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4 - D55 - ESE (Cecilia)\RTE\"/>
    </mc:Choice>
  </mc:AlternateContent>
  <xr:revisionPtr revIDLastSave="0" documentId="13_ncr:1_{072186BA-DB92-459F-BCD7-83122AA1DFE3}" xr6:coauthVersionLast="47" xr6:coauthVersionMax="47" xr10:uidLastSave="{00000000-0000-0000-0000-000000000000}"/>
  <bookViews>
    <workbookView xWindow="-120" yWindow="-120" windowWidth="29040" windowHeight="15840" firstSheet="20" activeTab="30" xr2:uid="{8E8D3A12-9566-4710-A246-8B61A43B2F1F}"/>
  </bookViews>
  <sheets>
    <sheet name="Mercado_Receita" sheetId="1" r:id="rId1"/>
    <sheet name="EVENTOS" sheetId="2" r:id="rId2"/>
    <sheet name="TAR FIN" sheetId="56" r:id="rId3"/>
    <sheet name="MERCADO TUSD" sheetId="3" r:id="rId4"/>
    <sheet name="MERCADO TE" sheetId="4" r:id="rId5"/>
    <sheet name="CUSTOS" sheetId="5" r:id="rId6"/>
    <sheet name="TRANSICAO" sheetId="55" r:id="rId7"/>
    <sheet name="TR TUSD" sheetId="47" r:id="rId8"/>
    <sheet name="TUSD BE" sheetId="48" r:id="rId9"/>
    <sheet name="TUSD BF" sheetId="49" r:id="rId10"/>
    <sheet name="TUSD CVA" sheetId="50" r:id="rId11"/>
    <sheet name="TR TE" sheetId="51" r:id="rId12"/>
    <sheet name="TE BE" sheetId="52" r:id="rId13"/>
    <sheet name="TE BF" sheetId="53" r:id="rId14"/>
    <sheet name="TE CVA" sheetId="54" r:id="rId15"/>
    <sheet name="EFEITO" sheetId="57" r:id="rId16"/>
    <sheet name="SUBSIDIO" sheetId="58" r:id="rId17"/>
    <sheet name="TabDinEfeito" sheetId="59" r:id="rId18"/>
    <sheet name="TabDinSubsidio" sheetId="60" r:id="rId19"/>
    <sheet name="TABELAS REH" sheetId="74" r:id="rId20"/>
    <sheet name="CONSISTENCIA" sheetId="61" r:id="rId21"/>
    <sheet name="TUSD" sheetId="63" r:id="rId22"/>
    <sheet name="TE" sheetId="64" r:id="rId23"/>
    <sheet name="RESUMO TUSD" sheetId="65" r:id="rId24"/>
    <sheet name="RESUMO TE" sheetId="66" r:id="rId25"/>
    <sheet name="EFEITO2" sheetId="72" r:id="rId26"/>
    <sheet name="Descontos" sheetId="20" r:id="rId27"/>
    <sheet name="ERD" sheetId="73" r:id="rId28"/>
    <sheet name="TA - Aplicação" sheetId="75" r:id="rId29"/>
    <sheet name="TA - BE" sheetId="76" r:id="rId30"/>
    <sheet name="TA - CVA" sheetId="77" r:id="rId31"/>
  </sheets>
  <definedNames>
    <definedName name="DadosExternos_1" localSheetId="28" hidden="1">'TA - Aplicação'!$B$3:$AR$74</definedName>
    <definedName name="DadosExternos_1" localSheetId="29" hidden="1">'TA - BE'!$B$3:$AR$74</definedName>
    <definedName name="DadosExternos_1" localSheetId="30" hidden="1">'TA - CVA'!$B$3:$AR$74</definedName>
  </definedNames>
  <calcPr calcId="191029" iterate="1"/>
  <pivotCaches>
    <pivotCache cacheId="60" r:id="rId32"/>
    <pivotCache cacheId="61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74" l="1"/>
  <c r="V32" i="74"/>
  <c r="V31" i="74"/>
  <c r="V30" i="74"/>
  <c r="V29" i="74"/>
  <c r="V28" i="74"/>
  <c r="V27" i="74"/>
  <c r="V26" i="74"/>
  <c r="V21" i="74"/>
  <c r="V16" i="74"/>
  <c r="V25" i="74"/>
  <c r="V20" i="74"/>
  <c r="V15" i="74"/>
  <c r="V24" i="74"/>
  <c r="V23" i="74"/>
  <c r="V22" i="74"/>
  <c r="V19" i="74"/>
  <c r="V18" i="74"/>
  <c r="V17" i="74"/>
  <c r="V14" i="74"/>
  <c r="V13" i="74"/>
  <c r="V12" i="74"/>
  <c r="V11" i="74"/>
  <c r="V9" i="74"/>
  <c r="V10" i="74"/>
  <c r="V8" i="74"/>
  <c r="V7" i="74"/>
  <c r="V6" i="74"/>
  <c r="V5" i="74"/>
  <c r="J25" i="74"/>
  <c r="G25" i="74"/>
  <c r="J19" i="74"/>
  <c r="J18" i="74"/>
  <c r="J14" i="74"/>
  <c r="J13" i="74"/>
  <c r="J11" i="74"/>
  <c r="G11" i="74"/>
  <c r="J6" i="74"/>
  <c r="J5" i="74"/>
  <c r="H12" i="74"/>
  <c r="I3" i="73"/>
  <c r="I2" i="73" s="1"/>
  <c r="K3" i="73"/>
  <c r="B2" i="73"/>
  <c r="C2" i="73"/>
  <c r="D2" i="73"/>
  <c r="E2" i="73"/>
  <c r="F2" i="73"/>
  <c r="G2" i="73"/>
  <c r="H2" i="73"/>
  <c r="J2" i="73"/>
  <c r="K2" i="73"/>
  <c r="L2" i="73"/>
  <c r="B11" i="73"/>
  <c r="AT7" i="72" l="1"/>
  <c r="AP7" i="72"/>
  <c r="AO7" i="72"/>
  <c r="AJ7" i="72"/>
  <c r="AT6" i="72"/>
  <c r="AP6" i="72"/>
  <c r="AO6" i="72"/>
  <c r="AJ6" i="72"/>
  <c r="AT5" i="72"/>
  <c r="AP5" i="72"/>
  <c r="AO5" i="72"/>
  <c r="AJ5" i="72"/>
  <c r="AP2" i="72"/>
  <c r="AT4" i="72"/>
  <c r="AP4" i="72"/>
  <c r="AP9" i="72" s="1"/>
  <c r="AO4" i="72"/>
  <c r="AJ4" i="72"/>
  <c r="AQ6" i="72" l="1"/>
  <c r="AQ5" i="72"/>
  <c r="AQ4" i="72"/>
  <c r="AT9" i="72"/>
  <c r="AQ7" i="72"/>
  <c r="AJ2" i="72"/>
  <c r="AT2" i="72"/>
  <c r="AO2" i="72"/>
  <c r="AJ9" i="72"/>
  <c r="AO9" i="72"/>
  <c r="AO3" i="72"/>
  <c r="AP3" i="72"/>
  <c r="AP8" i="72" s="1"/>
  <c r="AP10" i="72" s="1"/>
  <c r="AT3" i="72"/>
  <c r="AO8" i="72" l="1"/>
  <c r="AQ8" i="72" s="1"/>
  <c r="AQ2" i="72"/>
  <c r="AQ9" i="72"/>
  <c r="AJ3" i="72"/>
  <c r="AJ8" i="72" s="1"/>
  <c r="AT8" i="72"/>
  <c r="AQ3" i="72"/>
  <c r="AJ10" i="72" l="1"/>
  <c r="AT10" i="72"/>
  <c r="AO10" i="72"/>
  <c r="AQ10" i="72" s="1"/>
  <c r="F50" i="5" l="1"/>
  <c r="P11" i="5"/>
  <c r="R11" i="5" s="1"/>
  <c r="P10" i="5"/>
  <c r="R10" i="5" s="1"/>
  <c r="P9" i="5"/>
  <c r="R9" i="5" s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D35" i="5" s="1"/>
  <c r="E35" i="5" l="1"/>
  <c r="D30" i="5" s="1"/>
  <c r="F35" i="5"/>
  <c r="K5" i="66"/>
  <c r="J5" i="66"/>
  <c r="I5" i="66"/>
  <c r="H5" i="66"/>
  <c r="G5" i="66"/>
  <c r="F5" i="66"/>
  <c r="E5" i="66"/>
  <c r="D5" i="66"/>
  <c r="C5" i="66"/>
  <c r="B5" i="66"/>
  <c r="I2" i="66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C5" i="65"/>
  <c r="B5" i="65"/>
  <c r="I2" i="65"/>
  <c r="T15" i="64"/>
  <c r="T14" i="64"/>
  <c r="T12" i="64"/>
  <c r="T9" i="64"/>
  <c r="T8" i="64"/>
  <c r="T7" i="64"/>
  <c r="AB28" i="63"/>
  <c r="AB27" i="63"/>
  <c r="AB26" i="63"/>
  <c r="AB25" i="63"/>
  <c r="AB24" i="63"/>
  <c r="AB23" i="63"/>
  <c r="AB22" i="63"/>
  <c r="AB21" i="63"/>
  <c r="AB20" i="63"/>
  <c r="AB19" i="63"/>
  <c r="AB18" i="63"/>
  <c r="AB17" i="63"/>
  <c r="AB11" i="63"/>
  <c r="AB10" i="63"/>
  <c r="AB9" i="63"/>
  <c r="AE13" i="61"/>
  <c r="AD13" i="61"/>
  <c r="AC13" i="61"/>
  <c r="AB13" i="61"/>
  <c r="AA13" i="61"/>
  <c r="W13" i="61"/>
  <c r="V13" i="61"/>
  <c r="U13" i="61"/>
  <c r="T13" i="61"/>
  <c r="S13" i="61"/>
  <c r="Y13" i="61" s="1"/>
  <c r="AG13" i="61" s="1"/>
  <c r="R13" i="61"/>
  <c r="AE12" i="61"/>
  <c r="AD12" i="61"/>
  <c r="AE8" i="61"/>
  <c r="AD8" i="61"/>
  <c r="AC8" i="61"/>
  <c r="AB8" i="61"/>
  <c r="AA8" i="61"/>
  <c r="W8" i="61"/>
  <c r="V8" i="61"/>
  <c r="U8" i="61"/>
  <c r="T8" i="61"/>
  <c r="S8" i="61"/>
  <c r="R8" i="61"/>
  <c r="X8" i="61" s="1"/>
  <c r="AE6" i="61"/>
  <c r="AD6" i="61"/>
  <c r="AC6" i="61"/>
  <c r="AB6" i="61"/>
  <c r="AA6" i="61"/>
  <c r="X6" i="61"/>
  <c r="AF6" i="61" s="1"/>
  <c r="W6" i="61"/>
  <c r="V6" i="61"/>
  <c r="U6" i="61"/>
  <c r="T6" i="61"/>
  <c r="S6" i="61"/>
  <c r="R6" i="61"/>
  <c r="AE4" i="61"/>
  <c r="AD4" i="61"/>
  <c r="AC4" i="61"/>
  <c r="AB4" i="61"/>
  <c r="AA4" i="61"/>
  <c r="X4" i="61"/>
  <c r="W4" i="61"/>
  <c r="V4" i="61"/>
  <c r="U4" i="61"/>
  <c r="T4" i="61"/>
  <c r="S4" i="61"/>
  <c r="R4" i="61"/>
  <c r="AE3" i="61"/>
  <c r="AD3" i="61"/>
  <c r="AC3" i="61"/>
  <c r="AB3" i="61"/>
  <c r="AA3" i="61"/>
  <c r="W3" i="61"/>
  <c r="V3" i="61"/>
  <c r="U3" i="61"/>
  <c r="AI3" i="61" s="1"/>
  <c r="T3" i="61"/>
  <c r="S3" i="61"/>
  <c r="R3" i="61"/>
  <c r="J1844" i="61"/>
  <c r="J1843" i="61"/>
  <c r="M1843" i="61" s="1"/>
  <c r="J1842" i="61"/>
  <c r="J1841" i="61"/>
  <c r="M1841" i="61" s="1"/>
  <c r="J1840" i="61"/>
  <c r="M1840" i="61" s="1"/>
  <c r="J1839" i="61"/>
  <c r="M1839" i="61" s="1"/>
  <c r="J1838" i="61"/>
  <c r="J1837" i="61"/>
  <c r="M1837" i="61" s="1"/>
  <c r="J1836" i="61"/>
  <c r="J1835" i="61"/>
  <c r="M1835" i="61" s="1"/>
  <c r="J1834" i="61"/>
  <c r="M1834" i="61" s="1"/>
  <c r="J1833" i="61"/>
  <c r="M1833" i="61" s="1"/>
  <c r="J1832" i="61"/>
  <c r="J1831" i="61"/>
  <c r="M1831" i="61" s="1"/>
  <c r="J1830" i="61"/>
  <c r="J1189" i="61"/>
  <c r="M1189" i="61" s="1"/>
  <c r="J1188" i="61"/>
  <c r="M1188" i="61" s="1"/>
  <c r="J1187" i="61"/>
  <c r="M1187" i="61" s="1"/>
  <c r="J1186" i="61"/>
  <c r="M1186" i="61" s="1"/>
  <c r="J1185" i="61"/>
  <c r="M1185" i="61" s="1"/>
  <c r="J1184" i="61"/>
  <c r="J1183" i="61"/>
  <c r="J1182" i="61"/>
  <c r="J1181" i="61"/>
  <c r="J1180" i="61"/>
  <c r="J1179" i="61"/>
  <c r="J1178" i="61"/>
  <c r="J1177" i="61"/>
  <c r="M1177" i="61" s="1"/>
  <c r="L1176" i="61"/>
  <c r="O1176" i="61" s="1"/>
  <c r="K1176" i="61"/>
  <c r="N1176" i="61" s="1"/>
  <c r="L1175" i="61"/>
  <c r="O1175" i="61" s="1"/>
  <c r="K1175" i="61"/>
  <c r="N1175" i="61" s="1"/>
  <c r="L1174" i="61"/>
  <c r="K1174" i="61"/>
  <c r="L1173" i="61"/>
  <c r="K1173" i="61"/>
  <c r="L1172" i="61"/>
  <c r="K1172" i="61"/>
  <c r="L1171" i="61"/>
  <c r="K1171" i="61"/>
  <c r="N1171" i="61" s="1"/>
  <c r="L1170" i="61"/>
  <c r="O1170" i="61" s="1"/>
  <c r="K1170" i="61"/>
  <c r="N1170" i="61" s="1"/>
  <c r="L1169" i="61"/>
  <c r="O1169" i="61" s="1"/>
  <c r="K1169" i="61"/>
  <c r="N1169" i="61" s="1"/>
  <c r="L1168" i="61"/>
  <c r="K1168" i="61"/>
  <c r="L1167" i="61"/>
  <c r="K1167" i="61"/>
  <c r="L1166" i="61"/>
  <c r="K1166" i="61"/>
  <c r="L1165" i="61"/>
  <c r="K1165" i="61"/>
  <c r="N1165" i="61" s="1"/>
  <c r="L1164" i="61"/>
  <c r="O1164" i="61" s="1"/>
  <c r="K1164" i="61"/>
  <c r="N1164" i="61" s="1"/>
  <c r="L1163" i="61"/>
  <c r="O1163" i="61" s="1"/>
  <c r="K1163" i="61"/>
  <c r="N1163" i="61" s="1"/>
  <c r="J1162" i="61"/>
  <c r="J1161" i="61"/>
  <c r="J1160" i="61"/>
  <c r="J1159" i="61"/>
  <c r="J1158" i="61"/>
  <c r="J1157" i="61"/>
  <c r="J1156" i="61"/>
  <c r="J1155" i="61"/>
  <c r="M1155" i="61" s="1"/>
  <c r="J1154" i="61"/>
  <c r="M1154" i="61" s="1"/>
  <c r="J1153" i="61"/>
  <c r="M1153" i="61" s="1"/>
  <c r="J1152" i="61"/>
  <c r="M1152" i="61" s="1"/>
  <c r="J1151" i="61"/>
  <c r="M1151" i="61" s="1"/>
  <c r="J1150" i="61"/>
  <c r="J1149" i="61"/>
  <c r="J1148" i="61"/>
  <c r="J1147" i="61"/>
  <c r="J1146" i="61"/>
  <c r="J1145" i="61"/>
  <c r="J1144" i="61"/>
  <c r="J1143" i="61"/>
  <c r="M1143" i="61" s="1"/>
  <c r="J1142" i="61"/>
  <c r="M1142" i="61" s="1"/>
  <c r="J1141" i="61"/>
  <c r="M1141" i="61" s="1"/>
  <c r="J1140" i="61"/>
  <c r="M1140" i="61" s="1"/>
  <c r="J1139" i="61"/>
  <c r="M1139" i="61" s="1"/>
  <c r="J1138" i="61"/>
  <c r="J1137" i="61"/>
  <c r="J1136" i="61"/>
  <c r="J1135" i="61"/>
  <c r="J1134" i="61"/>
  <c r="J1133" i="61"/>
  <c r="J1132" i="61"/>
  <c r="J1131" i="61"/>
  <c r="M1131" i="61" s="1"/>
  <c r="J1130" i="61"/>
  <c r="M1130" i="61" s="1"/>
  <c r="J1129" i="61"/>
  <c r="M1129" i="61" s="1"/>
  <c r="J1128" i="61"/>
  <c r="M1128" i="61" s="1"/>
  <c r="J1127" i="61"/>
  <c r="M1127" i="61" s="1"/>
  <c r="J1126" i="61"/>
  <c r="L1125" i="61"/>
  <c r="K1125" i="61"/>
  <c r="L1124" i="61"/>
  <c r="K1124" i="61"/>
  <c r="L1123" i="61"/>
  <c r="K1123" i="61"/>
  <c r="L1122" i="61"/>
  <c r="O1122" i="61" s="1"/>
  <c r="K1122" i="61"/>
  <c r="N1122" i="61" s="1"/>
  <c r="L1121" i="61"/>
  <c r="O1121" i="61" s="1"/>
  <c r="K1121" i="61"/>
  <c r="N1121" i="61" s="1"/>
  <c r="L1120" i="61"/>
  <c r="O1120" i="61" s="1"/>
  <c r="K1120" i="61"/>
  <c r="L1119" i="61"/>
  <c r="K1119" i="61"/>
  <c r="L1118" i="61"/>
  <c r="K1118" i="61"/>
  <c r="L1117" i="61"/>
  <c r="K1117" i="61"/>
  <c r="L1116" i="61"/>
  <c r="O1116" i="61" s="1"/>
  <c r="K1116" i="61"/>
  <c r="N1116" i="61" s="1"/>
  <c r="L1115" i="61"/>
  <c r="O1115" i="61" s="1"/>
  <c r="K1115" i="61"/>
  <c r="N1115" i="61" s="1"/>
  <c r="L1114" i="61"/>
  <c r="O1114" i="61" s="1"/>
  <c r="K1114" i="61"/>
  <c r="L1113" i="61"/>
  <c r="K1113" i="61"/>
  <c r="L1112" i="61"/>
  <c r="K1112" i="61"/>
  <c r="L1111" i="61"/>
  <c r="K1111" i="61"/>
  <c r="L1110" i="61"/>
  <c r="O1110" i="61" s="1"/>
  <c r="K1110" i="61"/>
  <c r="N1110" i="61" s="1"/>
  <c r="L1109" i="61"/>
  <c r="O1109" i="61" s="1"/>
  <c r="K1109" i="61"/>
  <c r="N1109" i="61" s="1"/>
  <c r="L1108" i="61"/>
  <c r="O1108" i="61" s="1"/>
  <c r="K1108" i="61"/>
  <c r="L1107" i="61"/>
  <c r="K1107" i="61"/>
  <c r="L1106" i="61"/>
  <c r="K1106" i="61"/>
  <c r="L1105" i="61"/>
  <c r="K1105" i="61"/>
  <c r="L1104" i="61"/>
  <c r="O1104" i="61" s="1"/>
  <c r="K1104" i="61"/>
  <c r="N1104" i="61" s="1"/>
  <c r="L1103" i="61"/>
  <c r="O1103" i="61" s="1"/>
  <c r="K1103" i="61"/>
  <c r="N1103" i="61" s="1"/>
  <c r="L1102" i="61"/>
  <c r="O1102" i="61" s="1"/>
  <c r="K1102" i="61"/>
  <c r="L1101" i="61"/>
  <c r="K1101" i="61"/>
  <c r="L1100" i="61"/>
  <c r="K1100" i="61"/>
  <c r="L1099" i="61"/>
  <c r="K1099" i="61"/>
  <c r="L1098" i="61"/>
  <c r="O1098" i="61" s="1"/>
  <c r="K1098" i="61"/>
  <c r="N1098" i="61" s="1"/>
  <c r="L1097" i="61"/>
  <c r="O1097" i="61" s="1"/>
  <c r="K1097" i="61"/>
  <c r="N1097" i="61" s="1"/>
  <c r="J1096" i="61"/>
  <c r="M1096" i="61" s="1"/>
  <c r="J1095" i="61"/>
  <c r="J1094" i="61"/>
  <c r="J1093" i="61"/>
  <c r="J1092" i="61"/>
  <c r="J1091" i="61"/>
  <c r="J1090" i="61"/>
  <c r="J1089" i="61"/>
  <c r="J1088" i="61"/>
  <c r="M1088" i="61" s="1"/>
  <c r="J1087" i="61"/>
  <c r="M1087" i="61" s="1"/>
  <c r="J1086" i="61"/>
  <c r="M1086" i="61" s="1"/>
  <c r="J1085" i="61"/>
  <c r="M1085" i="61" s="1"/>
  <c r="J1084" i="61"/>
  <c r="M1084" i="61" s="1"/>
  <c r="J1083" i="61"/>
  <c r="J1082" i="61"/>
  <c r="J1081" i="61"/>
  <c r="J1080" i="61"/>
  <c r="J1079" i="61"/>
  <c r="J1078" i="61"/>
  <c r="J1077" i="61"/>
  <c r="J1076" i="61"/>
  <c r="M1076" i="61" s="1"/>
  <c r="J1075" i="61"/>
  <c r="M1075" i="61" s="1"/>
  <c r="J1074" i="61"/>
  <c r="M1074" i="61" s="1"/>
  <c r="J1073" i="61"/>
  <c r="M1073" i="61" s="1"/>
  <c r="J1072" i="61"/>
  <c r="M1072" i="61" s="1"/>
  <c r="J1071" i="61"/>
  <c r="J1070" i="61"/>
  <c r="J1069" i="61"/>
  <c r="J1068" i="61"/>
  <c r="J1067" i="61"/>
  <c r="J1066" i="61"/>
  <c r="J1065" i="61"/>
  <c r="J1064" i="61"/>
  <c r="M1064" i="61" s="1"/>
  <c r="J1063" i="61"/>
  <c r="M1063" i="61" s="1"/>
  <c r="J1062" i="61"/>
  <c r="M1062" i="61" s="1"/>
  <c r="J1061" i="61"/>
  <c r="M1061" i="61" s="1"/>
  <c r="J1060" i="61"/>
  <c r="M1060" i="61" s="1"/>
  <c r="J1059" i="61"/>
  <c r="J1058" i="61"/>
  <c r="J1057" i="61"/>
  <c r="J1056" i="61"/>
  <c r="J1055" i="61"/>
  <c r="J1054" i="61"/>
  <c r="J1053" i="61"/>
  <c r="J1052" i="61"/>
  <c r="M1052" i="61" s="1"/>
  <c r="J1051" i="61"/>
  <c r="M1051" i="61" s="1"/>
  <c r="J1050" i="61"/>
  <c r="M1050" i="61" s="1"/>
  <c r="J1049" i="61"/>
  <c r="M1049" i="61" s="1"/>
  <c r="J1048" i="61"/>
  <c r="M1048" i="61" s="1"/>
  <c r="J1047" i="61"/>
  <c r="L1046" i="61"/>
  <c r="K1046" i="61"/>
  <c r="L1045" i="61"/>
  <c r="K1045" i="61"/>
  <c r="L1044" i="61"/>
  <c r="K1044" i="61"/>
  <c r="L1043" i="61"/>
  <c r="O1043" i="61" s="1"/>
  <c r="K1043" i="61"/>
  <c r="N1043" i="61" s="1"/>
  <c r="L1042" i="61"/>
  <c r="O1042" i="61" s="1"/>
  <c r="K1042" i="61"/>
  <c r="N1042" i="61" s="1"/>
  <c r="L1041" i="61"/>
  <c r="O1041" i="61" s="1"/>
  <c r="K1041" i="61"/>
  <c r="L1040" i="61"/>
  <c r="K1040" i="61"/>
  <c r="N1040" i="61" s="1"/>
  <c r="L1039" i="61"/>
  <c r="K1039" i="61"/>
  <c r="L1038" i="61"/>
  <c r="K1038" i="61"/>
  <c r="L1037" i="61"/>
  <c r="O1037" i="61" s="1"/>
  <c r="K1037" i="61"/>
  <c r="N1037" i="61" s="1"/>
  <c r="L1036" i="61"/>
  <c r="O1036" i="61" s="1"/>
  <c r="K1036" i="61"/>
  <c r="N1036" i="61" s="1"/>
  <c r="L1035" i="61"/>
  <c r="O1035" i="61" s="1"/>
  <c r="K1035" i="61"/>
  <c r="L1034" i="61"/>
  <c r="K1034" i="61"/>
  <c r="N1034" i="61" s="1"/>
  <c r="L1033" i="61"/>
  <c r="K1033" i="61"/>
  <c r="L1032" i="61"/>
  <c r="K1032" i="61"/>
  <c r="L1031" i="61"/>
  <c r="O1031" i="61" s="1"/>
  <c r="K1031" i="61"/>
  <c r="N1031" i="61" s="1"/>
  <c r="L1030" i="61"/>
  <c r="O1030" i="61" s="1"/>
  <c r="K1030" i="61"/>
  <c r="N1030" i="61" s="1"/>
  <c r="L1029" i="61"/>
  <c r="O1029" i="61" s="1"/>
  <c r="K1029" i="61"/>
  <c r="L1028" i="61"/>
  <c r="K1028" i="61"/>
  <c r="N1028" i="61" s="1"/>
  <c r="L1027" i="61"/>
  <c r="K1027" i="61"/>
  <c r="L1026" i="61"/>
  <c r="K1026" i="61"/>
  <c r="L1025" i="61"/>
  <c r="O1025" i="61" s="1"/>
  <c r="K1025" i="61"/>
  <c r="N1025" i="61" s="1"/>
  <c r="L1024" i="61"/>
  <c r="O1024" i="61" s="1"/>
  <c r="K1024" i="61"/>
  <c r="N1024" i="61" s="1"/>
  <c r="L1023" i="61"/>
  <c r="O1023" i="61" s="1"/>
  <c r="K1023" i="61"/>
  <c r="L1022" i="61"/>
  <c r="K1022" i="61"/>
  <c r="N1022" i="61" s="1"/>
  <c r="L1021" i="61"/>
  <c r="K1021" i="61"/>
  <c r="J1020" i="61"/>
  <c r="J1019" i="61"/>
  <c r="J1018" i="61"/>
  <c r="M1018" i="61" s="1"/>
  <c r="J1017" i="61"/>
  <c r="M1017" i="61" s="1"/>
  <c r="J1016" i="61"/>
  <c r="M1016" i="61" s="1"/>
  <c r="J1015" i="61"/>
  <c r="M1015" i="61" s="1"/>
  <c r="J1014" i="61"/>
  <c r="M1014" i="61" s="1"/>
  <c r="J1013" i="61"/>
  <c r="J1012" i="61"/>
  <c r="J1011" i="61"/>
  <c r="M1011" i="61" s="1"/>
  <c r="J1010" i="61"/>
  <c r="J1009" i="61"/>
  <c r="J1008" i="61"/>
  <c r="J1007" i="61"/>
  <c r="J1006" i="61"/>
  <c r="M1006" i="61" s="1"/>
  <c r="J1005" i="61"/>
  <c r="M1005" i="61" s="1"/>
  <c r="J1004" i="61"/>
  <c r="M1004" i="61" s="1"/>
  <c r="J1003" i="61"/>
  <c r="M1003" i="61" s="1"/>
  <c r="J1002" i="61"/>
  <c r="M1002" i="61" s="1"/>
  <c r="J1001" i="61"/>
  <c r="J1000" i="61"/>
  <c r="J999" i="61"/>
  <c r="M999" i="61" s="1"/>
  <c r="J998" i="61"/>
  <c r="J997" i="61"/>
  <c r="J996" i="61"/>
  <c r="J995" i="61"/>
  <c r="J994" i="61"/>
  <c r="M994" i="61" s="1"/>
  <c r="J993" i="61"/>
  <c r="M993" i="61" s="1"/>
  <c r="J992" i="61"/>
  <c r="M992" i="61" s="1"/>
  <c r="J991" i="61"/>
  <c r="M991" i="61" s="1"/>
  <c r="J990" i="61"/>
  <c r="M990" i="61" s="1"/>
  <c r="J989" i="61"/>
  <c r="J988" i="61"/>
  <c r="J987" i="61"/>
  <c r="M987" i="61" s="1"/>
  <c r="J986" i="61"/>
  <c r="J985" i="61"/>
  <c r="J984" i="61"/>
  <c r="J983" i="61"/>
  <c r="J982" i="61"/>
  <c r="M982" i="61" s="1"/>
  <c r="J981" i="61"/>
  <c r="M981" i="61" s="1"/>
  <c r="J980" i="61"/>
  <c r="M980" i="61" s="1"/>
  <c r="J979" i="61"/>
  <c r="M979" i="61" s="1"/>
  <c r="J1866" i="61"/>
  <c r="M1866" i="61" s="1"/>
  <c r="J1865" i="61"/>
  <c r="M1865" i="61" s="1"/>
  <c r="J1864" i="61"/>
  <c r="M1864" i="61" s="1"/>
  <c r="J1863" i="61"/>
  <c r="M1863" i="61" s="1"/>
  <c r="J1862" i="61"/>
  <c r="M1862" i="61" s="1"/>
  <c r="J1861" i="61"/>
  <c r="M1861" i="61" s="1"/>
  <c r="M1860" i="61"/>
  <c r="J1860" i="61"/>
  <c r="J1859" i="61"/>
  <c r="M1859" i="61" s="1"/>
  <c r="J1858" i="61"/>
  <c r="M1858" i="61" s="1"/>
  <c r="J1857" i="61"/>
  <c r="M1857" i="61" s="1"/>
  <c r="J1856" i="61"/>
  <c r="M1856" i="61" s="1"/>
  <c r="J1855" i="61"/>
  <c r="M1855" i="61" s="1"/>
  <c r="J1854" i="61"/>
  <c r="M1854" i="61" s="1"/>
  <c r="J1853" i="61"/>
  <c r="M1853" i="61" s="1"/>
  <c r="J1852" i="61"/>
  <c r="M1852" i="61" s="1"/>
  <c r="J1851" i="61"/>
  <c r="M1851" i="61" s="1"/>
  <c r="J1850" i="61"/>
  <c r="M1850" i="61" s="1"/>
  <c r="J1849" i="61"/>
  <c r="M1849" i="61" s="1"/>
  <c r="J1848" i="61"/>
  <c r="M1848" i="61" s="1"/>
  <c r="J1847" i="61"/>
  <c r="M1847" i="61" s="1"/>
  <c r="J1846" i="61"/>
  <c r="M1846" i="61" s="1"/>
  <c r="J1845" i="61"/>
  <c r="M1844" i="61"/>
  <c r="M1842" i="61"/>
  <c r="M1838" i="61"/>
  <c r="M1836" i="61"/>
  <c r="M1832" i="61"/>
  <c r="M1830" i="61"/>
  <c r="J1829" i="61"/>
  <c r="M1829" i="61" s="1"/>
  <c r="M1828" i="61"/>
  <c r="J1828" i="61"/>
  <c r="J1827" i="61"/>
  <c r="M1827" i="61" s="1"/>
  <c r="J1826" i="61"/>
  <c r="M1826" i="61" s="1"/>
  <c r="J1825" i="61"/>
  <c r="M1825" i="61" s="1"/>
  <c r="J1824" i="61"/>
  <c r="M1824" i="61" s="1"/>
  <c r="J1823" i="61"/>
  <c r="M1823" i="61" s="1"/>
  <c r="J1822" i="61"/>
  <c r="M1822" i="61" s="1"/>
  <c r="J1821" i="61"/>
  <c r="M1821" i="61" s="1"/>
  <c r="J1820" i="61"/>
  <c r="M1820" i="61" s="1"/>
  <c r="M1819" i="61"/>
  <c r="J1819" i="61"/>
  <c r="J1818" i="61"/>
  <c r="M1818" i="61" s="1"/>
  <c r="J1817" i="61"/>
  <c r="M1817" i="61" s="1"/>
  <c r="J1816" i="61"/>
  <c r="M1816" i="61" s="1"/>
  <c r="J1815" i="61"/>
  <c r="M1815" i="61" s="1"/>
  <c r="J1814" i="61"/>
  <c r="M1814" i="61" s="1"/>
  <c r="M1813" i="61"/>
  <c r="J1813" i="61"/>
  <c r="J1812" i="61"/>
  <c r="M1812" i="61" s="1"/>
  <c r="M1811" i="61"/>
  <c r="J1811" i="61"/>
  <c r="J1810" i="61"/>
  <c r="M1810" i="61" s="1"/>
  <c r="J1809" i="61"/>
  <c r="M1809" i="61" s="1"/>
  <c r="J1808" i="61"/>
  <c r="M1808" i="61" s="1"/>
  <c r="J1807" i="61"/>
  <c r="M1807" i="61" s="1"/>
  <c r="J1806" i="61"/>
  <c r="M1806" i="61" s="1"/>
  <c r="M1805" i="61"/>
  <c r="J1805" i="61"/>
  <c r="J1804" i="61"/>
  <c r="M1804" i="61" s="1"/>
  <c r="J1803" i="61"/>
  <c r="M1803" i="61" s="1"/>
  <c r="J1802" i="61"/>
  <c r="M1802" i="61" s="1"/>
  <c r="J1801" i="61"/>
  <c r="M1801" i="61" s="1"/>
  <c r="J1800" i="61"/>
  <c r="M1800" i="61" s="1"/>
  <c r="J1799" i="61"/>
  <c r="M1799" i="61" s="1"/>
  <c r="J1798" i="61"/>
  <c r="M1798" i="61" s="1"/>
  <c r="J1797" i="61"/>
  <c r="M1797" i="61" s="1"/>
  <c r="J1796" i="61"/>
  <c r="M1796" i="61" s="1"/>
  <c r="J1795" i="61"/>
  <c r="M1795" i="61" s="1"/>
  <c r="J1794" i="61"/>
  <c r="M1794" i="61" s="1"/>
  <c r="M1793" i="61"/>
  <c r="J1793" i="61"/>
  <c r="J1792" i="61"/>
  <c r="M1792" i="61" s="1"/>
  <c r="J1791" i="61"/>
  <c r="M1791" i="61" s="1"/>
  <c r="J1790" i="61"/>
  <c r="M1790" i="61" s="1"/>
  <c r="J1789" i="61"/>
  <c r="M1789" i="61" s="1"/>
  <c r="J1788" i="61"/>
  <c r="M1788" i="61" s="1"/>
  <c r="J1787" i="61"/>
  <c r="M1787" i="61" s="1"/>
  <c r="J1786" i="61"/>
  <c r="M1786" i="61" s="1"/>
  <c r="J1785" i="61"/>
  <c r="M1785" i="61" s="1"/>
  <c r="J1784" i="61"/>
  <c r="M1784" i="61" s="1"/>
  <c r="J1783" i="61"/>
  <c r="M1783" i="61" s="1"/>
  <c r="J1782" i="61"/>
  <c r="M1782" i="61" s="1"/>
  <c r="M1781" i="61"/>
  <c r="J1781" i="61"/>
  <c r="J1780" i="61"/>
  <c r="M1780" i="61" s="1"/>
  <c r="J1779" i="61"/>
  <c r="M1779" i="61" s="1"/>
  <c r="J1778" i="61"/>
  <c r="M1778" i="61" s="1"/>
  <c r="J1777" i="61"/>
  <c r="M1777" i="61" s="1"/>
  <c r="J1776" i="61"/>
  <c r="M1776" i="61" s="1"/>
  <c r="J1775" i="61"/>
  <c r="M1775" i="61" s="1"/>
  <c r="J1774" i="61"/>
  <c r="M1774" i="61" s="1"/>
  <c r="J1773" i="61"/>
  <c r="M1773" i="61" s="1"/>
  <c r="J1772" i="61"/>
  <c r="M1772" i="61" s="1"/>
  <c r="J1771" i="61"/>
  <c r="M1771" i="61" s="1"/>
  <c r="J1770" i="61"/>
  <c r="M1770" i="61" s="1"/>
  <c r="J1769" i="61"/>
  <c r="M1769" i="61" s="1"/>
  <c r="J1768" i="61"/>
  <c r="M1768" i="61" s="1"/>
  <c r="J1767" i="61"/>
  <c r="M1767" i="61" s="1"/>
  <c r="J1766" i="61"/>
  <c r="M1766" i="61" s="1"/>
  <c r="J1765" i="61"/>
  <c r="M1765" i="61" s="1"/>
  <c r="J1764" i="61"/>
  <c r="M1764" i="61" s="1"/>
  <c r="J1763" i="61"/>
  <c r="M1763" i="61" s="1"/>
  <c r="J1762" i="61"/>
  <c r="M1762" i="61" s="1"/>
  <c r="M1761" i="61"/>
  <c r="J1761" i="61"/>
  <c r="J1760" i="61"/>
  <c r="M1760" i="61" s="1"/>
  <c r="J1759" i="61"/>
  <c r="M1759" i="61" s="1"/>
  <c r="M1758" i="61"/>
  <c r="J1758" i="61"/>
  <c r="J1757" i="61"/>
  <c r="M1757" i="61" s="1"/>
  <c r="J1756" i="61"/>
  <c r="M1756" i="61" s="1"/>
  <c r="J1755" i="61"/>
  <c r="M1755" i="61" s="1"/>
  <c r="M1754" i="61"/>
  <c r="J1754" i="61"/>
  <c r="J1753" i="61"/>
  <c r="M1753" i="61" s="1"/>
  <c r="J1752" i="61"/>
  <c r="M1752" i="61" s="1"/>
  <c r="J1751" i="61"/>
  <c r="M1751" i="61" s="1"/>
  <c r="J1750" i="61"/>
  <c r="M1750" i="61" s="1"/>
  <c r="M1749" i="61"/>
  <c r="J1749" i="61"/>
  <c r="J1748" i="61"/>
  <c r="M1748" i="61" s="1"/>
  <c r="J1747" i="61"/>
  <c r="M1747" i="61" s="1"/>
  <c r="J1746" i="61"/>
  <c r="M1746" i="61" s="1"/>
  <c r="J1745" i="61"/>
  <c r="M1745" i="61" s="1"/>
  <c r="J1744" i="61"/>
  <c r="M1744" i="61" s="1"/>
  <c r="J1743" i="61"/>
  <c r="M1743" i="61" s="1"/>
  <c r="J1742" i="61"/>
  <c r="M1742" i="61" s="1"/>
  <c r="M1741" i="61"/>
  <c r="J1741" i="61"/>
  <c r="J1740" i="61"/>
  <c r="M1740" i="61" s="1"/>
  <c r="J1739" i="61"/>
  <c r="M1739" i="61" s="1"/>
  <c r="J1738" i="61"/>
  <c r="M1738" i="61" s="1"/>
  <c r="J1737" i="61"/>
  <c r="M1737" i="61" s="1"/>
  <c r="J1736" i="61"/>
  <c r="M1736" i="61" s="1"/>
  <c r="J1735" i="61"/>
  <c r="M1735" i="61" s="1"/>
  <c r="J1734" i="61"/>
  <c r="M1734" i="61" s="1"/>
  <c r="J1733" i="61"/>
  <c r="M1733" i="61" s="1"/>
  <c r="J1732" i="61"/>
  <c r="M1732" i="61" s="1"/>
  <c r="J1731" i="61"/>
  <c r="M1731" i="61" s="1"/>
  <c r="J1730" i="61"/>
  <c r="M1730" i="61" s="1"/>
  <c r="J1729" i="61"/>
  <c r="M1729" i="61" s="1"/>
  <c r="J1728" i="61"/>
  <c r="M1728" i="61" s="1"/>
  <c r="J1727" i="61"/>
  <c r="M1727" i="61" s="1"/>
  <c r="J1726" i="61"/>
  <c r="M1726" i="61" s="1"/>
  <c r="J1725" i="61"/>
  <c r="M1725" i="61" s="1"/>
  <c r="J1724" i="61"/>
  <c r="M1724" i="61" s="1"/>
  <c r="J1723" i="61"/>
  <c r="M1723" i="61" s="1"/>
  <c r="J1722" i="61"/>
  <c r="M1722" i="61" s="1"/>
  <c r="J1721" i="61"/>
  <c r="M1721" i="61" s="1"/>
  <c r="J1720" i="61"/>
  <c r="M1720" i="61" s="1"/>
  <c r="J1719" i="61"/>
  <c r="M1719" i="61" s="1"/>
  <c r="J1718" i="61"/>
  <c r="M1718" i="61" s="1"/>
  <c r="J1717" i="61"/>
  <c r="M1717" i="61" s="1"/>
  <c r="J1716" i="61"/>
  <c r="M1716" i="61" s="1"/>
  <c r="M1715" i="61"/>
  <c r="J1715" i="61"/>
  <c r="J1714" i="61"/>
  <c r="M1714" i="61" s="1"/>
  <c r="M1713" i="61"/>
  <c r="J1713" i="61"/>
  <c r="J1712" i="61"/>
  <c r="M1712" i="61" s="1"/>
  <c r="M1711" i="61"/>
  <c r="J1711" i="61"/>
  <c r="J1710" i="61"/>
  <c r="M1710" i="61" s="1"/>
  <c r="J1709" i="61"/>
  <c r="M1709" i="61" s="1"/>
  <c r="J1708" i="61"/>
  <c r="M1708" i="61" s="1"/>
  <c r="J1707" i="61"/>
  <c r="M1707" i="61" s="1"/>
  <c r="J1706" i="61"/>
  <c r="M1706" i="61" s="1"/>
  <c r="J1705" i="61"/>
  <c r="M1705" i="61" s="1"/>
  <c r="J1704" i="61"/>
  <c r="M1704" i="61" s="1"/>
  <c r="J1703" i="61"/>
  <c r="M1703" i="61" s="1"/>
  <c r="J1702" i="61"/>
  <c r="M1702" i="61" s="1"/>
  <c r="J1701" i="61"/>
  <c r="M1701" i="61" s="1"/>
  <c r="J1700" i="61"/>
  <c r="M1700" i="61" s="1"/>
  <c r="M1699" i="61"/>
  <c r="J1699" i="61"/>
  <c r="J1698" i="61"/>
  <c r="M1698" i="61" s="1"/>
  <c r="J1697" i="61"/>
  <c r="M1697" i="61" s="1"/>
  <c r="J1696" i="61"/>
  <c r="M1696" i="61" s="1"/>
  <c r="J1695" i="61"/>
  <c r="M1695" i="61" s="1"/>
  <c r="J1694" i="61"/>
  <c r="M1694" i="61" s="1"/>
  <c r="J1693" i="61"/>
  <c r="M1693" i="61" s="1"/>
  <c r="J1692" i="61"/>
  <c r="M1692" i="61" s="1"/>
  <c r="M1691" i="61"/>
  <c r="J1691" i="61"/>
  <c r="J1690" i="61"/>
  <c r="M1690" i="61" s="1"/>
  <c r="J1689" i="61"/>
  <c r="M1689" i="61" s="1"/>
  <c r="J1688" i="61"/>
  <c r="M1688" i="61" s="1"/>
  <c r="J1687" i="61"/>
  <c r="M1687" i="61" s="1"/>
  <c r="J1686" i="61"/>
  <c r="M1686" i="61" s="1"/>
  <c r="J1685" i="61"/>
  <c r="M1685" i="61" s="1"/>
  <c r="J1684" i="61"/>
  <c r="M1684" i="61" s="1"/>
  <c r="M1683" i="61"/>
  <c r="J1683" i="61"/>
  <c r="J1682" i="61"/>
  <c r="M1682" i="61" s="1"/>
  <c r="J1681" i="61"/>
  <c r="M1681" i="61" s="1"/>
  <c r="J1680" i="61"/>
  <c r="M1680" i="61" s="1"/>
  <c r="M1679" i="61"/>
  <c r="J1679" i="61"/>
  <c r="J1678" i="61"/>
  <c r="M1678" i="61" s="1"/>
  <c r="J1677" i="61"/>
  <c r="M1677" i="61" s="1"/>
  <c r="J1676" i="61"/>
  <c r="M1676" i="61" s="1"/>
  <c r="M1675" i="61"/>
  <c r="J1675" i="61"/>
  <c r="J1674" i="61"/>
  <c r="M1674" i="61" s="1"/>
  <c r="M1673" i="61"/>
  <c r="J1673" i="61"/>
  <c r="J1672" i="61"/>
  <c r="M1672" i="61" s="1"/>
  <c r="J1671" i="61"/>
  <c r="M1671" i="61" s="1"/>
  <c r="J1670" i="61"/>
  <c r="M1670" i="61" s="1"/>
  <c r="J1669" i="61"/>
  <c r="M1669" i="61" s="1"/>
  <c r="J1668" i="61"/>
  <c r="M1668" i="61" s="1"/>
  <c r="J1667" i="61"/>
  <c r="M1667" i="61" s="1"/>
  <c r="J1666" i="61"/>
  <c r="M1666" i="61" s="1"/>
  <c r="J1665" i="61"/>
  <c r="M1665" i="61" s="1"/>
  <c r="J1664" i="61"/>
  <c r="M1664" i="61" s="1"/>
  <c r="J1663" i="61"/>
  <c r="M1663" i="61" s="1"/>
  <c r="J1662" i="61"/>
  <c r="M1662" i="61" s="1"/>
  <c r="J1661" i="61"/>
  <c r="M1661" i="61" s="1"/>
  <c r="J1660" i="61"/>
  <c r="M1660" i="61" s="1"/>
  <c r="M1659" i="61"/>
  <c r="J1659" i="61"/>
  <c r="J1658" i="61"/>
  <c r="M1658" i="61" s="1"/>
  <c r="J1657" i="61"/>
  <c r="M1657" i="61" s="1"/>
  <c r="J1656" i="61"/>
  <c r="M1656" i="61" s="1"/>
  <c r="M1655" i="61"/>
  <c r="J1655" i="61"/>
  <c r="J1654" i="61"/>
  <c r="M1654" i="61" s="1"/>
  <c r="J1653" i="61"/>
  <c r="M1653" i="61" s="1"/>
  <c r="J1652" i="61"/>
  <c r="M1652" i="61" s="1"/>
  <c r="J1651" i="61"/>
  <c r="M1651" i="61" s="1"/>
  <c r="J1650" i="61"/>
  <c r="M1650" i="61" s="1"/>
  <c r="J1649" i="61"/>
  <c r="M1649" i="61" s="1"/>
  <c r="J1648" i="61"/>
  <c r="M1648" i="61" s="1"/>
  <c r="J1647" i="61"/>
  <c r="M1647" i="61" s="1"/>
  <c r="J1646" i="61"/>
  <c r="M1646" i="61" s="1"/>
  <c r="J1645" i="61"/>
  <c r="M1645" i="61" s="1"/>
  <c r="J1644" i="61"/>
  <c r="M1644" i="61" s="1"/>
  <c r="J1643" i="61"/>
  <c r="M1643" i="61" s="1"/>
  <c r="J1642" i="61"/>
  <c r="M1642" i="61" s="1"/>
  <c r="M1641" i="61"/>
  <c r="J1641" i="61"/>
  <c r="J1640" i="61"/>
  <c r="M1640" i="61" s="1"/>
  <c r="J1639" i="61"/>
  <c r="M1639" i="61" s="1"/>
  <c r="J1638" i="61"/>
  <c r="M1638" i="61" s="1"/>
  <c r="J1637" i="61"/>
  <c r="M1637" i="61" s="1"/>
  <c r="J1636" i="61"/>
  <c r="M1636" i="61" s="1"/>
  <c r="J1635" i="61"/>
  <c r="M1635" i="61" s="1"/>
  <c r="J1634" i="61"/>
  <c r="M1634" i="61" s="1"/>
  <c r="J1633" i="61"/>
  <c r="M1633" i="61" s="1"/>
  <c r="J1632" i="61"/>
  <c r="M1632" i="61" s="1"/>
  <c r="J1631" i="61"/>
  <c r="M1631" i="61" s="1"/>
  <c r="J1630" i="61"/>
  <c r="M1630" i="61" s="1"/>
  <c r="J1629" i="61"/>
  <c r="M1629" i="61" s="1"/>
  <c r="J1628" i="61"/>
  <c r="M1628" i="61" s="1"/>
  <c r="J1627" i="61"/>
  <c r="M1627" i="61" s="1"/>
  <c r="J1626" i="61"/>
  <c r="M1626" i="61" s="1"/>
  <c r="J1625" i="61"/>
  <c r="M1625" i="61" s="1"/>
  <c r="J1624" i="61"/>
  <c r="M1624" i="61" s="1"/>
  <c r="J1623" i="61"/>
  <c r="M1623" i="61" s="1"/>
  <c r="J1622" i="61"/>
  <c r="M1622" i="61" s="1"/>
  <c r="J1621" i="61"/>
  <c r="M1621" i="61" s="1"/>
  <c r="J1620" i="61"/>
  <c r="M1620" i="61" s="1"/>
  <c r="J1619" i="61"/>
  <c r="M1619" i="61" s="1"/>
  <c r="J1618" i="61"/>
  <c r="M1618" i="61" s="1"/>
  <c r="J1617" i="61"/>
  <c r="M1617" i="61" s="1"/>
  <c r="J1616" i="61"/>
  <c r="M1616" i="61" s="1"/>
  <c r="J1615" i="61"/>
  <c r="M1615" i="61" s="1"/>
  <c r="J1614" i="61"/>
  <c r="M1614" i="61" s="1"/>
  <c r="J1613" i="61"/>
  <c r="M1613" i="61" s="1"/>
  <c r="J1612" i="61"/>
  <c r="M1612" i="61" s="1"/>
  <c r="J1611" i="61"/>
  <c r="M1611" i="61" s="1"/>
  <c r="J1610" i="61"/>
  <c r="M1610" i="61" s="1"/>
  <c r="J1609" i="61"/>
  <c r="M1609" i="61" s="1"/>
  <c r="J1608" i="61"/>
  <c r="M1608" i="61" s="1"/>
  <c r="J1607" i="61"/>
  <c r="M1607" i="61" s="1"/>
  <c r="J1606" i="61"/>
  <c r="M1606" i="61" s="1"/>
  <c r="J1605" i="61"/>
  <c r="M1605" i="61" s="1"/>
  <c r="J1604" i="61"/>
  <c r="M1604" i="61" s="1"/>
  <c r="M1603" i="61"/>
  <c r="J1603" i="61"/>
  <c r="J1602" i="61"/>
  <c r="M1602" i="61" s="1"/>
  <c r="J1601" i="61"/>
  <c r="M1601" i="61" s="1"/>
  <c r="J1600" i="61"/>
  <c r="M1600" i="61" s="1"/>
  <c r="M1599" i="61"/>
  <c r="J1599" i="61"/>
  <c r="J1598" i="61"/>
  <c r="M1598" i="61" s="1"/>
  <c r="J1597" i="61"/>
  <c r="M1597" i="61" s="1"/>
  <c r="J1596" i="61"/>
  <c r="M1596" i="61" s="1"/>
  <c r="J1595" i="61"/>
  <c r="M1595" i="61" s="1"/>
  <c r="J1594" i="61"/>
  <c r="M1594" i="61" s="1"/>
  <c r="J1593" i="61"/>
  <c r="M1593" i="61" s="1"/>
  <c r="J1592" i="61"/>
  <c r="M1592" i="61" s="1"/>
  <c r="J1591" i="61"/>
  <c r="M1591" i="61" s="1"/>
  <c r="J1590" i="61"/>
  <c r="M1590" i="61" s="1"/>
  <c r="J1589" i="61"/>
  <c r="M1589" i="61" s="1"/>
  <c r="J1588" i="61"/>
  <c r="M1588" i="61" s="1"/>
  <c r="J1587" i="61"/>
  <c r="M1587" i="61" s="1"/>
  <c r="J1586" i="61"/>
  <c r="M1586" i="61" s="1"/>
  <c r="J1585" i="61"/>
  <c r="M1585" i="61" s="1"/>
  <c r="J1584" i="61"/>
  <c r="M1584" i="61" s="1"/>
  <c r="J1583" i="61"/>
  <c r="M1583" i="61" s="1"/>
  <c r="J1582" i="61"/>
  <c r="M1582" i="61" s="1"/>
  <c r="J1581" i="61"/>
  <c r="M1581" i="61" s="1"/>
  <c r="J1580" i="61"/>
  <c r="M1580" i="61" s="1"/>
  <c r="J1579" i="61"/>
  <c r="M1579" i="61" s="1"/>
  <c r="J1578" i="61"/>
  <c r="M1578" i="61" s="1"/>
  <c r="J1577" i="61"/>
  <c r="M1577" i="61" s="1"/>
  <c r="J1576" i="61"/>
  <c r="M1576" i="61" s="1"/>
  <c r="J1575" i="61"/>
  <c r="M1575" i="61" s="1"/>
  <c r="J1574" i="61"/>
  <c r="M1574" i="61" s="1"/>
  <c r="J1573" i="61"/>
  <c r="M1573" i="61" s="1"/>
  <c r="J1572" i="61"/>
  <c r="M1572" i="61" s="1"/>
  <c r="J1571" i="61"/>
  <c r="M1571" i="61" s="1"/>
  <c r="J1570" i="61"/>
  <c r="M1570" i="61" s="1"/>
  <c r="J1569" i="61"/>
  <c r="M1569" i="61" s="1"/>
  <c r="J1568" i="61"/>
  <c r="M1568" i="61" s="1"/>
  <c r="J1567" i="61"/>
  <c r="M1567" i="61" s="1"/>
  <c r="J1566" i="61"/>
  <c r="M1566" i="61" s="1"/>
  <c r="J1565" i="61"/>
  <c r="M1565" i="61" s="1"/>
  <c r="J1564" i="61"/>
  <c r="M1564" i="61" s="1"/>
  <c r="J1563" i="61"/>
  <c r="M1563" i="61" s="1"/>
  <c r="J1562" i="61"/>
  <c r="M1562" i="61" s="1"/>
  <c r="J1561" i="61"/>
  <c r="M1561" i="61" s="1"/>
  <c r="J1560" i="61"/>
  <c r="M1560" i="61" s="1"/>
  <c r="J1559" i="61"/>
  <c r="M1559" i="61" s="1"/>
  <c r="J1558" i="61"/>
  <c r="M1558" i="61" s="1"/>
  <c r="J1557" i="61"/>
  <c r="M1557" i="61" s="1"/>
  <c r="J1556" i="61"/>
  <c r="M1556" i="61" s="1"/>
  <c r="J1555" i="61"/>
  <c r="M1555" i="61" s="1"/>
  <c r="J1554" i="61"/>
  <c r="M1554" i="61" s="1"/>
  <c r="J1553" i="61"/>
  <c r="M1553" i="61" s="1"/>
  <c r="J1552" i="61"/>
  <c r="M1552" i="61" s="1"/>
  <c r="J1551" i="61"/>
  <c r="M1551" i="61" s="1"/>
  <c r="J1550" i="61"/>
  <c r="M1550" i="61" s="1"/>
  <c r="J1549" i="61"/>
  <c r="M1549" i="61" s="1"/>
  <c r="J1548" i="61"/>
  <c r="M1548" i="61" s="1"/>
  <c r="J1547" i="61"/>
  <c r="M1547" i="61" s="1"/>
  <c r="J1546" i="61"/>
  <c r="M1546" i="61" s="1"/>
  <c r="J1545" i="61"/>
  <c r="M1545" i="61" s="1"/>
  <c r="J1544" i="61"/>
  <c r="M1544" i="61" s="1"/>
  <c r="J1543" i="61"/>
  <c r="M1543" i="61" s="1"/>
  <c r="J1542" i="61"/>
  <c r="M1542" i="61" s="1"/>
  <c r="J1541" i="61"/>
  <c r="M1541" i="61" s="1"/>
  <c r="J1540" i="61"/>
  <c r="M1540" i="61" s="1"/>
  <c r="J1539" i="61"/>
  <c r="M1539" i="61" s="1"/>
  <c r="J1538" i="61"/>
  <c r="M1538" i="61" s="1"/>
  <c r="J1537" i="61"/>
  <c r="M1537" i="61" s="1"/>
  <c r="J1536" i="61"/>
  <c r="M1536" i="61" s="1"/>
  <c r="J1535" i="61"/>
  <c r="M1535" i="61" s="1"/>
  <c r="J1534" i="61"/>
  <c r="M1534" i="61" s="1"/>
  <c r="J1533" i="61"/>
  <c r="M1533" i="61" s="1"/>
  <c r="J1532" i="61"/>
  <c r="M1532" i="61" s="1"/>
  <c r="J1531" i="61"/>
  <c r="M1531" i="61" s="1"/>
  <c r="J1530" i="61"/>
  <c r="M1530" i="61" s="1"/>
  <c r="M1529" i="61"/>
  <c r="J1529" i="61"/>
  <c r="J1528" i="61"/>
  <c r="M1528" i="61" s="1"/>
  <c r="J1527" i="61"/>
  <c r="M1527" i="61" s="1"/>
  <c r="J1526" i="61"/>
  <c r="M1526" i="61" s="1"/>
  <c r="J1525" i="61"/>
  <c r="M1525" i="61" s="1"/>
  <c r="J1524" i="61"/>
  <c r="M1524" i="61" s="1"/>
  <c r="J1523" i="61"/>
  <c r="M1523" i="61" s="1"/>
  <c r="J1470" i="61"/>
  <c r="M1470" i="61" s="1"/>
  <c r="J1469" i="61"/>
  <c r="M1469" i="61" s="1"/>
  <c r="J1468" i="61"/>
  <c r="M1468" i="61" s="1"/>
  <c r="J1467" i="61"/>
  <c r="M1467" i="61" s="1"/>
  <c r="J1466" i="61"/>
  <c r="M1466" i="61" s="1"/>
  <c r="J1465" i="61"/>
  <c r="M1465" i="61" s="1"/>
  <c r="J1464" i="61"/>
  <c r="M1464" i="61" s="1"/>
  <c r="J1463" i="61"/>
  <c r="M1463" i="61" s="1"/>
  <c r="J1462" i="61"/>
  <c r="M1462" i="61" s="1"/>
  <c r="J1461" i="61"/>
  <c r="M1461" i="61" s="1"/>
  <c r="J1460" i="61"/>
  <c r="M1460" i="61" s="1"/>
  <c r="J1459" i="61"/>
  <c r="M1459" i="61" s="1"/>
  <c r="J1458" i="61"/>
  <c r="M1458" i="61" s="1"/>
  <c r="J1457" i="61"/>
  <c r="M1457" i="61" s="1"/>
  <c r="J1456" i="61"/>
  <c r="M1456" i="61" s="1"/>
  <c r="J1455" i="61"/>
  <c r="M1455" i="61" s="1"/>
  <c r="J1454" i="61"/>
  <c r="M1454" i="61" s="1"/>
  <c r="J1453" i="61"/>
  <c r="M1453" i="61" s="1"/>
  <c r="J1452" i="61"/>
  <c r="M1452" i="61" s="1"/>
  <c r="J1451" i="61"/>
  <c r="M1451" i="61" s="1"/>
  <c r="J1450" i="61"/>
  <c r="M1450" i="61" s="1"/>
  <c r="J1449" i="61"/>
  <c r="M1449" i="61" s="1"/>
  <c r="J1448" i="61"/>
  <c r="M1448" i="61" s="1"/>
  <c r="J1447" i="61"/>
  <c r="M1447" i="61" s="1"/>
  <c r="J1446" i="61"/>
  <c r="M1446" i="61" s="1"/>
  <c r="J1445" i="61"/>
  <c r="M1445" i="61" s="1"/>
  <c r="J1444" i="61"/>
  <c r="M1444" i="61" s="1"/>
  <c r="J1443" i="61"/>
  <c r="M1443" i="61" s="1"/>
  <c r="J1442" i="61"/>
  <c r="M1442" i="61" s="1"/>
  <c r="J1441" i="61"/>
  <c r="M1441" i="61" s="1"/>
  <c r="J1440" i="61"/>
  <c r="M1440" i="61" s="1"/>
  <c r="J1439" i="61"/>
  <c r="M1439" i="61" s="1"/>
  <c r="J1438" i="61"/>
  <c r="M1438" i="61" s="1"/>
  <c r="J1437" i="61"/>
  <c r="M1437" i="61" s="1"/>
  <c r="J1436" i="61"/>
  <c r="M1436" i="61" s="1"/>
  <c r="J1435" i="61"/>
  <c r="M1435" i="61" s="1"/>
  <c r="J1434" i="61"/>
  <c r="M1434" i="61" s="1"/>
  <c r="J1433" i="61"/>
  <c r="M1433" i="61" s="1"/>
  <c r="J1432" i="61"/>
  <c r="M1432" i="61" s="1"/>
  <c r="J1431" i="61"/>
  <c r="M1431" i="61" s="1"/>
  <c r="J1430" i="61"/>
  <c r="M1430" i="61" s="1"/>
  <c r="J1429" i="61"/>
  <c r="M1429" i="61" s="1"/>
  <c r="J1428" i="61"/>
  <c r="M1428" i="61" s="1"/>
  <c r="J1427" i="61"/>
  <c r="M1427" i="61" s="1"/>
  <c r="J1426" i="61"/>
  <c r="M1426" i="61" s="1"/>
  <c r="J1425" i="61"/>
  <c r="M1425" i="61" s="1"/>
  <c r="J1424" i="61"/>
  <c r="M1424" i="61" s="1"/>
  <c r="J1423" i="61"/>
  <c r="M1423" i="61" s="1"/>
  <c r="J1422" i="61"/>
  <c r="M1422" i="61" s="1"/>
  <c r="J1421" i="61"/>
  <c r="M1421" i="61" s="1"/>
  <c r="J1420" i="61"/>
  <c r="M1420" i="61" s="1"/>
  <c r="J1419" i="61"/>
  <c r="M1419" i="61" s="1"/>
  <c r="J1418" i="61"/>
  <c r="M1418" i="61" s="1"/>
  <c r="J1417" i="61"/>
  <c r="M1417" i="61" s="1"/>
  <c r="J1416" i="61"/>
  <c r="M1416" i="61" s="1"/>
  <c r="J1415" i="61"/>
  <c r="M1415" i="61" s="1"/>
  <c r="J1414" i="61"/>
  <c r="M1414" i="61" s="1"/>
  <c r="J1413" i="61"/>
  <c r="M1413" i="61" s="1"/>
  <c r="J1412" i="61"/>
  <c r="M1412" i="61" s="1"/>
  <c r="J1411" i="61"/>
  <c r="M1411" i="61" s="1"/>
  <c r="J1410" i="61"/>
  <c r="M1410" i="61" s="1"/>
  <c r="J1409" i="61"/>
  <c r="M1409" i="61" s="1"/>
  <c r="J1408" i="61"/>
  <c r="M1408" i="61" s="1"/>
  <c r="J1407" i="61"/>
  <c r="M1407" i="61" s="1"/>
  <c r="J1406" i="61"/>
  <c r="M1406" i="61" s="1"/>
  <c r="J1405" i="61"/>
  <c r="M1405" i="61" s="1"/>
  <c r="J1404" i="61"/>
  <c r="M1404" i="61" s="1"/>
  <c r="J1403" i="61"/>
  <c r="M1403" i="61" s="1"/>
  <c r="J1402" i="61"/>
  <c r="M1402" i="61" s="1"/>
  <c r="J1401" i="61"/>
  <c r="M1401" i="61" s="1"/>
  <c r="J1400" i="61"/>
  <c r="M1400" i="61" s="1"/>
  <c r="J1399" i="61"/>
  <c r="M1399" i="61" s="1"/>
  <c r="J1398" i="61"/>
  <c r="M1398" i="61" s="1"/>
  <c r="J1397" i="61"/>
  <c r="M1397" i="61" s="1"/>
  <c r="J1396" i="61"/>
  <c r="M1396" i="61" s="1"/>
  <c r="J1395" i="61"/>
  <c r="M1395" i="61" s="1"/>
  <c r="J1394" i="61"/>
  <c r="M1394" i="61" s="1"/>
  <c r="J1393" i="61"/>
  <c r="M1393" i="61" s="1"/>
  <c r="J1392" i="61"/>
  <c r="M1392" i="61" s="1"/>
  <c r="J1391" i="61"/>
  <c r="M1391" i="61" s="1"/>
  <c r="J1390" i="61"/>
  <c r="M1390" i="61" s="1"/>
  <c r="J1389" i="61"/>
  <c r="M1389" i="61" s="1"/>
  <c r="J1388" i="61"/>
  <c r="M1388" i="61" s="1"/>
  <c r="J1387" i="61"/>
  <c r="M1387" i="61" s="1"/>
  <c r="J1386" i="61"/>
  <c r="M1386" i="61" s="1"/>
  <c r="J1385" i="61"/>
  <c r="M1385" i="61" s="1"/>
  <c r="J1384" i="61"/>
  <c r="M1384" i="61" s="1"/>
  <c r="J1383" i="61"/>
  <c r="M1383" i="61" s="1"/>
  <c r="J1382" i="61"/>
  <c r="M1382" i="61" s="1"/>
  <c r="J1381" i="61"/>
  <c r="M1381" i="61" s="1"/>
  <c r="J1380" i="61"/>
  <c r="M1380" i="61" s="1"/>
  <c r="J1379" i="61"/>
  <c r="M1379" i="61" s="1"/>
  <c r="J1378" i="61"/>
  <c r="M1378" i="61" s="1"/>
  <c r="J1377" i="61"/>
  <c r="M1377" i="61" s="1"/>
  <c r="J1376" i="61"/>
  <c r="M1376" i="61" s="1"/>
  <c r="J1375" i="61"/>
  <c r="M1375" i="61" s="1"/>
  <c r="J1374" i="61"/>
  <c r="M1374" i="61" s="1"/>
  <c r="J1373" i="61"/>
  <c r="M1373" i="61" s="1"/>
  <c r="J1372" i="61"/>
  <c r="M1372" i="61" s="1"/>
  <c r="J1371" i="61"/>
  <c r="M1371" i="61" s="1"/>
  <c r="J1370" i="61"/>
  <c r="M1370" i="61" s="1"/>
  <c r="J1369" i="61"/>
  <c r="M1369" i="61" s="1"/>
  <c r="J1368" i="61"/>
  <c r="M1368" i="61" s="1"/>
  <c r="J1367" i="61"/>
  <c r="M1367" i="61" s="1"/>
  <c r="J1366" i="61"/>
  <c r="M1366" i="61" s="1"/>
  <c r="J1365" i="61"/>
  <c r="M1365" i="61" s="1"/>
  <c r="J1364" i="61"/>
  <c r="M1364" i="61" s="1"/>
  <c r="J1363" i="61"/>
  <c r="M1363" i="61" s="1"/>
  <c r="J1362" i="61"/>
  <c r="M1362" i="61" s="1"/>
  <c r="J1361" i="61"/>
  <c r="M1361" i="61" s="1"/>
  <c r="J1360" i="61"/>
  <c r="M1360" i="61" s="1"/>
  <c r="J1359" i="61"/>
  <c r="M1359" i="61" s="1"/>
  <c r="J1358" i="61"/>
  <c r="M1358" i="61" s="1"/>
  <c r="J1357" i="61"/>
  <c r="M1357" i="61" s="1"/>
  <c r="J1356" i="61"/>
  <c r="M1356" i="61" s="1"/>
  <c r="J1355" i="61"/>
  <c r="M1355" i="61" s="1"/>
  <c r="J1354" i="61"/>
  <c r="M1354" i="61" s="1"/>
  <c r="J1353" i="61"/>
  <c r="M1353" i="61" s="1"/>
  <c r="J1352" i="61"/>
  <c r="M1352" i="61" s="1"/>
  <c r="J1351" i="61"/>
  <c r="M1351" i="61" s="1"/>
  <c r="J1350" i="61"/>
  <c r="M1350" i="61" s="1"/>
  <c r="J1349" i="61"/>
  <c r="M1349" i="61" s="1"/>
  <c r="J1348" i="61"/>
  <c r="M1348" i="61" s="1"/>
  <c r="J1347" i="61"/>
  <c r="M1347" i="61" s="1"/>
  <c r="J1346" i="61"/>
  <c r="M1346" i="61" s="1"/>
  <c r="J1345" i="61"/>
  <c r="M1345" i="61" s="1"/>
  <c r="J1344" i="61"/>
  <c r="M1344" i="61" s="1"/>
  <c r="J1343" i="61"/>
  <c r="M1343" i="61" s="1"/>
  <c r="J1342" i="61"/>
  <c r="M1342" i="61" s="1"/>
  <c r="J1341" i="61"/>
  <c r="M1341" i="61" s="1"/>
  <c r="J1340" i="61"/>
  <c r="M1340" i="61" s="1"/>
  <c r="J1339" i="61"/>
  <c r="M1339" i="61" s="1"/>
  <c r="J1338" i="61"/>
  <c r="M1338" i="61" s="1"/>
  <c r="J1337" i="61"/>
  <c r="M1337" i="61" s="1"/>
  <c r="J1336" i="61"/>
  <c r="M1336" i="61" s="1"/>
  <c r="J1335" i="61"/>
  <c r="M1335" i="61" s="1"/>
  <c r="J1334" i="61"/>
  <c r="M1334" i="61" s="1"/>
  <c r="J1333" i="61"/>
  <c r="M1333" i="61" s="1"/>
  <c r="J1332" i="61"/>
  <c r="M1332" i="61" s="1"/>
  <c r="J1331" i="61"/>
  <c r="M1331" i="61" s="1"/>
  <c r="J1330" i="61"/>
  <c r="M1330" i="61" s="1"/>
  <c r="J1329" i="61"/>
  <c r="M1329" i="61" s="1"/>
  <c r="J1328" i="61"/>
  <c r="M1328" i="61" s="1"/>
  <c r="J1327" i="61"/>
  <c r="M1327" i="61" s="1"/>
  <c r="J1326" i="61"/>
  <c r="M1326" i="61" s="1"/>
  <c r="J1325" i="61"/>
  <c r="M1325" i="61" s="1"/>
  <c r="J1324" i="61"/>
  <c r="M1324" i="61" s="1"/>
  <c r="M1323" i="61"/>
  <c r="J1323" i="61"/>
  <c r="J1322" i="61"/>
  <c r="M1322" i="61" s="1"/>
  <c r="J1321" i="61"/>
  <c r="M1321" i="61" s="1"/>
  <c r="J1320" i="61"/>
  <c r="M1320" i="61" s="1"/>
  <c r="M1319" i="61"/>
  <c r="J1319" i="61"/>
  <c r="J1318" i="61"/>
  <c r="M1318" i="61" s="1"/>
  <c r="J1317" i="61"/>
  <c r="M1317" i="61" s="1"/>
  <c r="J1316" i="61"/>
  <c r="M1316" i="61" s="1"/>
  <c r="M1315" i="61"/>
  <c r="J1315" i="61"/>
  <c r="J1314" i="61"/>
  <c r="M1314" i="61" s="1"/>
  <c r="J1313" i="61"/>
  <c r="M1313" i="61" s="1"/>
  <c r="J1312" i="61"/>
  <c r="M1312" i="61" s="1"/>
  <c r="M1311" i="61"/>
  <c r="J1311" i="61"/>
  <c r="J1310" i="61"/>
  <c r="M1310" i="61" s="1"/>
  <c r="J1309" i="61"/>
  <c r="M1309" i="61" s="1"/>
  <c r="J1308" i="61"/>
  <c r="M1308" i="61" s="1"/>
  <c r="M1307" i="61"/>
  <c r="J1307" i="61"/>
  <c r="J1306" i="61"/>
  <c r="M1306" i="61" s="1"/>
  <c r="J1305" i="61"/>
  <c r="M1305" i="61" s="1"/>
  <c r="J1304" i="61"/>
  <c r="M1304" i="61" s="1"/>
  <c r="M1303" i="61"/>
  <c r="J1303" i="61"/>
  <c r="J1302" i="61"/>
  <c r="M1302" i="61" s="1"/>
  <c r="J1301" i="61"/>
  <c r="M1301" i="61" s="1"/>
  <c r="J1300" i="61"/>
  <c r="M1300" i="61" s="1"/>
  <c r="M1299" i="61"/>
  <c r="J1299" i="61"/>
  <c r="J1298" i="61"/>
  <c r="M1298" i="61" s="1"/>
  <c r="J1297" i="61"/>
  <c r="M1297" i="61" s="1"/>
  <c r="J1296" i="61"/>
  <c r="M1296" i="61" s="1"/>
  <c r="M1295" i="61"/>
  <c r="J1295" i="61"/>
  <c r="J1294" i="61"/>
  <c r="M1294" i="61" s="1"/>
  <c r="J1293" i="61"/>
  <c r="M1293" i="61" s="1"/>
  <c r="J1292" i="61"/>
  <c r="M1292" i="61" s="1"/>
  <c r="M1291" i="61"/>
  <c r="J1291" i="61"/>
  <c r="J1290" i="61"/>
  <c r="M1290" i="61" s="1"/>
  <c r="J1289" i="61"/>
  <c r="M1289" i="61" s="1"/>
  <c r="J1288" i="61"/>
  <c r="M1288" i="61" s="1"/>
  <c r="M1287" i="61"/>
  <c r="J1287" i="61"/>
  <c r="J1286" i="61"/>
  <c r="M1286" i="61" s="1"/>
  <c r="J1285" i="61"/>
  <c r="M1285" i="61" s="1"/>
  <c r="J1284" i="61"/>
  <c r="M1284" i="61" s="1"/>
  <c r="M1283" i="61"/>
  <c r="J1283" i="61"/>
  <c r="J1282" i="61"/>
  <c r="M1282" i="61" s="1"/>
  <c r="J1281" i="61"/>
  <c r="M1281" i="61" s="1"/>
  <c r="J1280" i="61"/>
  <c r="M1280" i="61" s="1"/>
  <c r="M1279" i="61"/>
  <c r="J1279" i="61"/>
  <c r="J1278" i="61"/>
  <c r="M1278" i="61" s="1"/>
  <c r="J1277" i="61"/>
  <c r="M1277" i="61" s="1"/>
  <c r="J1276" i="61"/>
  <c r="M1276" i="61" s="1"/>
  <c r="M1275" i="61"/>
  <c r="J1275" i="61"/>
  <c r="J1274" i="61"/>
  <c r="M1274" i="61" s="1"/>
  <c r="J1273" i="61"/>
  <c r="M1273" i="61" s="1"/>
  <c r="J1272" i="61"/>
  <c r="M1272" i="61" s="1"/>
  <c r="M1271" i="61"/>
  <c r="J1271" i="61"/>
  <c r="J1270" i="61"/>
  <c r="M1270" i="61" s="1"/>
  <c r="J1269" i="61"/>
  <c r="M1269" i="61" s="1"/>
  <c r="J1268" i="61"/>
  <c r="M1268" i="61" s="1"/>
  <c r="M1267" i="61"/>
  <c r="J1267" i="61"/>
  <c r="J1266" i="61"/>
  <c r="M1266" i="61" s="1"/>
  <c r="J1265" i="61"/>
  <c r="M1265" i="61" s="1"/>
  <c r="J1264" i="61"/>
  <c r="M1264" i="61" s="1"/>
  <c r="M1263" i="61"/>
  <c r="J1263" i="61"/>
  <c r="J1262" i="61"/>
  <c r="M1262" i="61" s="1"/>
  <c r="J1261" i="61"/>
  <c r="M1261" i="61" s="1"/>
  <c r="J1260" i="61"/>
  <c r="M1260" i="61" s="1"/>
  <c r="M1259" i="61"/>
  <c r="J1259" i="61"/>
  <c r="J1258" i="61"/>
  <c r="M1258" i="61" s="1"/>
  <c r="J1257" i="61"/>
  <c r="M1257" i="61" s="1"/>
  <c r="J1256" i="61"/>
  <c r="M1256" i="61" s="1"/>
  <c r="J1255" i="61"/>
  <c r="M1255" i="61" s="1"/>
  <c r="J1254" i="61"/>
  <c r="M1254" i="61" s="1"/>
  <c r="M1253" i="61"/>
  <c r="J1253" i="61"/>
  <c r="J1252" i="61"/>
  <c r="M1252" i="61" s="1"/>
  <c r="J1251" i="61"/>
  <c r="M1251" i="61" s="1"/>
  <c r="M1250" i="61"/>
  <c r="J1250" i="61"/>
  <c r="J1249" i="61"/>
  <c r="M1249" i="61" s="1"/>
  <c r="J1248" i="61"/>
  <c r="M1248" i="61" s="1"/>
  <c r="J1247" i="61"/>
  <c r="M1247" i="61" s="1"/>
  <c r="M1246" i="61"/>
  <c r="J1246" i="61"/>
  <c r="J1245" i="61"/>
  <c r="M1245" i="61" s="1"/>
  <c r="J1244" i="61"/>
  <c r="M1244" i="61" s="1"/>
  <c r="J1243" i="61"/>
  <c r="M1243" i="61" s="1"/>
  <c r="J1242" i="61"/>
  <c r="M1242" i="61" s="1"/>
  <c r="J1241" i="61"/>
  <c r="M1241" i="61" s="1"/>
  <c r="J1240" i="61"/>
  <c r="M1240" i="61" s="1"/>
  <c r="J1239" i="61"/>
  <c r="M1239" i="61" s="1"/>
  <c r="J1238" i="61"/>
  <c r="M1238" i="61" s="1"/>
  <c r="J1237" i="61"/>
  <c r="M1237" i="61" s="1"/>
  <c r="J1236" i="61"/>
  <c r="M1236" i="61" s="1"/>
  <c r="J1235" i="61"/>
  <c r="M1235" i="61" s="1"/>
  <c r="J1234" i="61"/>
  <c r="M1234" i="61" s="1"/>
  <c r="J1233" i="61"/>
  <c r="M1233" i="61" s="1"/>
  <c r="M1232" i="61"/>
  <c r="J1232" i="61"/>
  <c r="J1231" i="61"/>
  <c r="M1231" i="61" s="1"/>
  <c r="M1230" i="61"/>
  <c r="J1230" i="61"/>
  <c r="J1229" i="61"/>
  <c r="M1229" i="61" s="1"/>
  <c r="J1228" i="61"/>
  <c r="M1228" i="61" s="1"/>
  <c r="J1227" i="61"/>
  <c r="M1227" i="61" s="1"/>
  <c r="J1226" i="61"/>
  <c r="M1226" i="61" s="1"/>
  <c r="J1225" i="61"/>
  <c r="M1225" i="61" s="1"/>
  <c r="J1224" i="61"/>
  <c r="M1224" i="61" s="1"/>
  <c r="J1223" i="61"/>
  <c r="M1223" i="61" s="1"/>
  <c r="M1222" i="61"/>
  <c r="J1222" i="61"/>
  <c r="J1221" i="61"/>
  <c r="M1221" i="61" s="1"/>
  <c r="J1220" i="61"/>
  <c r="M1220" i="61" s="1"/>
  <c r="J1219" i="61"/>
  <c r="M1219" i="61" s="1"/>
  <c r="J1218" i="61"/>
  <c r="M1218" i="61" s="1"/>
  <c r="J1217" i="61"/>
  <c r="M1217" i="61" s="1"/>
  <c r="J1216" i="61"/>
  <c r="M1216" i="61" s="1"/>
  <c r="J1215" i="61"/>
  <c r="M1215" i="61" s="1"/>
  <c r="J1214" i="61"/>
  <c r="M1214" i="61" s="1"/>
  <c r="J1213" i="61"/>
  <c r="M1213" i="61" s="1"/>
  <c r="J1212" i="61"/>
  <c r="M1212" i="61" s="1"/>
  <c r="J1211" i="61"/>
  <c r="M1211" i="61" s="1"/>
  <c r="J1210" i="61"/>
  <c r="M1210" i="61" s="1"/>
  <c r="J1209" i="61"/>
  <c r="M1209" i="61" s="1"/>
  <c r="M1208" i="61"/>
  <c r="J1208" i="61"/>
  <c r="J1207" i="61"/>
  <c r="M1207" i="61" s="1"/>
  <c r="M1206" i="61"/>
  <c r="J1206" i="61"/>
  <c r="J1205" i="61"/>
  <c r="M1205" i="61" s="1"/>
  <c r="J1204" i="61"/>
  <c r="M1204" i="61" s="1"/>
  <c r="J1203" i="61"/>
  <c r="M1203" i="61" s="1"/>
  <c r="J1202" i="61"/>
  <c r="M1202" i="61" s="1"/>
  <c r="J1201" i="61"/>
  <c r="M1201" i="61" s="1"/>
  <c r="J1200" i="61"/>
  <c r="M1200" i="61" s="1"/>
  <c r="J1199" i="61"/>
  <c r="M1199" i="61" s="1"/>
  <c r="M1198" i="61"/>
  <c r="J1198" i="61"/>
  <c r="J1197" i="61"/>
  <c r="M1197" i="61" s="1"/>
  <c r="J1196" i="61"/>
  <c r="M1196" i="61" s="1"/>
  <c r="J1195" i="61"/>
  <c r="M1195" i="61" s="1"/>
  <c r="J1194" i="61"/>
  <c r="M1194" i="61" s="1"/>
  <c r="J1193" i="61"/>
  <c r="M1193" i="61" s="1"/>
  <c r="J1192" i="61"/>
  <c r="M1192" i="61" s="1"/>
  <c r="J1191" i="61"/>
  <c r="M1191" i="61" s="1"/>
  <c r="J1190" i="61"/>
  <c r="M1190" i="61" s="1"/>
  <c r="M1184" i="61"/>
  <c r="M1183" i="61"/>
  <c r="M1182" i="61"/>
  <c r="M1181" i="61"/>
  <c r="M1180" i="61"/>
  <c r="M1179" i="61"/>
  <c r="M1178" i="61"/>
  <c r="O1174" i="61"/>
  <c r="N1174" i="61"/>
  <c r="O1173" i="61"/>
  <c r="N1173" i="61"/>
  <c r="O1172" i="61"/>
  <c r="N1172" i="61"/>
  <c r="O1171" i="61"/>
  <c r="O1168" i="61"/>
  <c r="N1168" i="61"/>
  <c r="O1167" i="61"/>
  <c r="N1167" i="61"/>
  <c r="O1166" i="61"/>
  <c r="N1166" i="61"/>
  <c r="O1165" i="61"/>
  <c r="M1162" i="61"/>
  <c r="M1161" i="61"/>
  <c r="M1160" i="61"/>
  <c r="M1159" i="61"/>
  <c r="M1158" i="61"/>
  <c r="M1157" i="61"/>
  <c r="M1156" i="61"/>
  <c r="M1150" i="61"/>
  <c r="M1149" i="61"/>
  <c r="M1148" i="61"/>
  <c r="M1147" i="61"/>
  <c r="M1146" i="61"/>
  <c r="M1145" i="61"/>
  <c r="M1144" i="61"/>
  <c r="M1138" i="61"/>
  <c r="M1137" i="61"/>
  <c r="M1136" i="61"/>
  <c r="M1135" i="61"/>
  <c r="M1134" i="61"/>
  <c r="M1133" i="61"/>
  <c r="M1132" i="61"/>
  <c r="M1126" i="61"/>
  <c r="O1125" i="61"/>
  <c r="N1125" i="61"/>
  <c r="O1124" i="61"/>
  <c r="N1124" i="61"/>
  <c r="O1123" i="61"/>
  <c r="N1123" i="61"/>
  <c r="N1120" i="61"/>
  <c r="O1119" i="61"/>
  <c r="N1119" i="61"/>
  <c r="O1118" i="61"/>
  <c r="N1118" i="61"/>
  <c r="O1117" i="61"/>
  <c r="N1117" i="61"/>
  <c r="N1114" i="61"/>
  <c r="O1113" i="61"/>
  <c r="N1113" i="61"/>
  <c r="O1112" i="61"/>
  <c r="N1112" i="61"/>
  <c r="O1111" i="61"/>
  <c r="N1111" i="61"/>
  <c r="N1108" i="61"/>
  <c r="O1107" i="61"/>
  <c r="N1107" i="61"/>
  <c r="O1106" i="61"/>
  <c r="N1106" i="61"/>
  <c r="O1105" i="61"/>
  <c r="N1105" i="61"/>
  <c r="N1102" i="61"/>
  <c r="O1101" i="61"/>
  <c r="N1101" i="61"/>
  <c r="O1100" i="61"/>
  <c r="N1100" i="61"/>
  <c r="O1099" i="61"/>
  <c r="N1099" i="61"/>
  <c r="M1095" i="61"/>
  <c r="M1094" i="61"/>
  <c r="M1093" i="61"/>
  <c r="M1092" i="61"/>
  <c r="M1091" i="61"/>
  <c r="M1090" i="61"/>
  <c r="M1089" i="61"/>
  <c r="M1083" i="61"/>
  <c r="M1082" i="61"/>
  <c r="M1081" i="61"/>
  <c r="M1080" i="61"/>
  <c r="M1079" i="61"/>
  <c r="M1078" i="61"/>
  <c r="M1077" i="61"/>
  <c r="M1071" i="61"/>
  <c r="M1070" i="61"/>
  <c r="M1069" i="61"/>
  <c r="M1068" i="61"/>
  <c r="M1067" i="61"/>
  <c r="M1066" i="61"/>
  <c r="M1065" i="61"/>
  <c r="M1059" i="61"/>
  <c r="M1058" i="61"/>
  <c r="M1057" i="61"/>
  <c r="M1056" i="61"/>
  <c r="M1055" i="61"/>
  <c r="M1054" i="61"/>
  <c r="M1053" i="61"/>
  <c r="M1047" i="61"/>
  <c r="O1046" i="61"/>
  <c r="N1046" i="61"/>
  <c r="O1045" i="61"/>
  <c r="N1045" i="61"/>
  <c r="O1044" i="61"/>
  <c r="N1044" i="61"/>
  <c r="N1041" i="61"/>
  <c r="O1040" i="61"/>
  <c r="O1039" i="61"/>
  <c r="N1039" i="61"/>
  <c r="O1038" i="61"/>
  <c r="N1038" i="61"/>
  <c r="N1035" i="61"/>
  <c r="O1034" i="61"/>
  <c r="O1033" i="61"/>
  <c r="N1033" i="61"/>
  <c r="O1032" i="61"/>
  <c r="N1032" i="61"/>
  <c r="N1029" i="61"/>
  <c r="O1028" i="61"/>
  <c r="O1027" i="61"/>
  <c r="N1027" i="61"/>
  <c r="O1026" i="61"/>
  <c r="N1026" i="61"/>
  <c r="N1023" i="61"/>
  <c r="O1022" i="61"/>
  <c r="O1021" i="61"/>
  <c r="N1021" i="61"/>
  <c r="M1020" i="61"/>
  <c r="M1019" i="61"/>
  <c r="M1013" i="61"/>
  <c r="M1012" i="61"/>
  <c r="M1010" i="61"/>
  <c r="M1009" i="61"/>
  <c r="M1008" i="61"/>
  <c r="M1007" i="61"/>
  <c r="M1001" i="61"/>
  <c r="M1000" i="61"/>
  <c r="M998" i="61"/>
  <c r="M997" i="61"/>
  <c r="M996" i="61"/>
  <c r="M995" i="61"/>
  <c r="M989" i="61"/>
  <c r="M988" i="61"/>
  <c r="M986" i="61"/>
  <c r="M985" i="61"/>
  <c r="M984" i="61"/>
  <c r="M983" i="61"/>
  <c r="J978" i="61"/>
  <c r="M978" i="61" s="1"/>
  <c r="J977" i="61"/>
  <c r="M977" i="61" s="1"/>
  <c r="M976" i="61"/>
  <c r="J976" i="61"/>
  <c r="J975" i="61"/>
  <c r="M975" i="61" s="1"/>
  <c r="J974" i="61"/>
  <c r="M974" i="61" s="1"/>
  <c r="J973" i="61"/>
  <c r="M973" i="61" s="1"/>
  <c r="J972" i="61"/>
  <c r="M972" i="61" s="1"/>
  <c r="J971" i="61"/>
  <c r="M971" i="61" s="1"/>
  <c r="J970" i="61"/>
  <c r="M970" i="61" s="1"/>
  <c r="J969" i="61"/>
  <c r="M969" i="61" s="1"/>
  <c r="J968" i="61"/>
  <c r="M968" i="61" s="1"/>
  <c r="J967" i="61"/>
  <c r="M967" i="61" s="1"/>
  <c r="J966" i="61"/>
  <c r="M966" i="61" s="1"/>
  <c r="J965" i="61"/>
  <c r="M965" i="61" s="1"/>
  <c r="J964" i="61"/>
  <c r="M964" i="61" s="1"/>
  <c r="J963" i="61"/>
  <c r="M963" i="61" s="1"/>
  <c r="J962" i="61"/>
  <c r="M962" i="61" s="1"/>
  <c r="J961" i="61"/>
  <c r="M961" i="61" s="1"/>
  <c r="M960" i="61"/>
  <c r="J960" i="61"/>
  <c r="J959" i="61"/>
  <c r="M959" i="61" s="1"/>
  <c r="M958" i="61"/>
  <c r="J958" i="61"/>
  <c r="J957" i="61"/>
  <c r="M957" i="61" s="1"/>
  <c r="M956" i="61"/>
  <c r="J956" i="61"/>
  <c r="J955" i="61"/>
  <c r="M955" i="61" s="1"/>
  <c r="J954" i="61"/>
  <c r="M954" i="61" s="1"/>
  <c r="M953" i="61"/>
  <c r="J953" i="61"/>
  <c r="J952" i="61"/>
  <c r="M952" i="61" s="1"/>
  <c r="L951" i="61"/>
  <c r="O951" i="61" s="1"/>
  <c r="K951" i="61"/>
  <c r="N951" i="61" s="1"/>
  <c r="L950" i="61"/>
  <c r="O950" i="61" s="1"/>
  <c r="K950" i="61"/>
  <c r="N950" i="61" s="1"/>
  <c r="L949" i="61"/>
  <c r="O949" i="61" s="1"/>
  <c r="K949" i="61"/>
  <c r="N949" i="61" s="1"/>
  <c r="L948" i="61"/>
  <c r="O948" i="61" s="1"/>
  <c r="K948" i="61"/>
  <c r="N948" i="61" s="1"/>
  <c r="O947" i="61"/>
  <c r="L947" i="61"/>
  <c r="K947" i="61"/>
  <c r="N947" i="61" s="1"/>
  <c r="L946" i="61"/>
  <c r="O946" i="61" s="1"/>
  <c r="K946" i="61"/>
  <c r="N946" i="61" s="1"/>
  <c r="L945" i="61"/>
  <c r="O945" i="61" s="1"/>
  <c r="K945" i="61"/>
  <c r="N945" i="61" s="1"/>
  <c r="L944" i="61"/>
  <c r="O944" i="61" s="1"/>
  <c r="K944" i="61"/>
  <c r="N944" i="61" s="1"/>
  <c r="L943" i="61"/>
  <c r="O943" i="61" s="1"/>
  <c r="K943" i="61"/>
  <c r="N943" i="61" s="1"/>
  <c r="N942" i="61"/>
  <c r="L942" i="61"/>
  <c r="O942" i="61" s="1"/>
  <c r="K942" i="61"/>
  <c r="L941" i="61"/>
  <c r="O941" i="61" s="1"/>
  <c r="K941" i="61"/>
  <c r="N941" i="61" s="1"/>
  <c r="L940" i="61"/>
  <c r="O940" i="61" s="1"/>
  <c r="K940" i="61"/>
  <c r="N940" i="61" s="1"/>
  <c r="L939" i="61"/>
  <c r="O939" i="61" s="1"/>
  <c r="K939" i="61"/>
  <c r="N939" i="61" s="1"/>
  <c r="N938" i="61"/>
  <c r="L938" i="61"/>
  <c r="O938" i="61" s="1"/>
  <c r="K938" i="61"/>
  <c r="L937" i="61"/>
  <c r="O937" i="61" s="1"/>
  <c r="K937" i="61"/>
  <c r="N937" i="61" s="1"/>
  <c r="L936" i="61"/>
  <c r="O936" i="61" s="1"/>
  <c r="K936" i="61"/>
  <c r="N936" i="61" s="1"/>
  <c r="O935" i="61"/>
  <c r="L935" i="61"/>
  <c r="K935" i="61"/>
  <c r="N935" i="61" s="1"/>
  <c r="N934" i="61"/>
  <c r="L934" i="61"/>
  <c r="O934" i="61" s="1"/>
  <c r="K934" i="61"/>
  <c r="L933" i="61"/>
  <c r="O933" i="61" s="1"/>
  <c r="K933" i="61"/>
  <c r="N933" i="61" s="1"/>
  <c r="L932" i="61"/>
  <c r="O932" i="61" s="1"/>
  <c r="K932" i="61"/>
  <c r="N932" i="61" s="1"/>
  <c r="L931" i="61"/>
  <c r="O931" i="61" s="1"/>
  <c r="K931" i="61"/>
  <c r="N931" i="61" s="1"/>
  <c r="L930" i="61"/>
  <c r="O930" i="61" s="1"/>
  <c r="K930" i="61"/>
  <c r="N930" i="61" s="1"/>
  <c r="L929" i="61"/>
  <c r="O929" i="61" s="1"/>
  <c r="K929" i="61"/>
  <c r="N929" i="61" s="1"/>
  <c r="L928" i="61"/>
  <c r="O928" i="61" s="1"/>
  <c r="K928" i="61"/>
  <c r="N928" i="61" s="1"/>
  <c r="L927" i="61"/>
  <c r="O927" i="61" s="1"/>
  <c r="K927" i="61"/>
  <c r="N927" i="61" s="1"/>
  <c r="N926" i="61"/>
  <c r="L926" i="61"/>
  <c r="O926" i="61" s="1"/>
  <c r="K926" i="61"/>
  <c r="L925" i="61"/>
  <c r="O925" i="61" s="1"/>
  <c r="K925" i="61"/>
  <c r="N925" i="61" s="1"/>
  <c r="L924" i="61"/>
  <c r="O924" i="61" s="1"/>
  <c r="K924" i="61"/>
  <c r="N924" i="61" s="1"/>
  <c r="O923" i="61"/>
  <c r="L923" i="61"/>
  <c r="K923" i="61"/>
  <c r="N923" i="61" s="1"/>
  <c r="M922" i="61"/>
  <c r="J922" i="61"/>
  <c r="J921" i="61"/>
  <c r="M921" i="61" s="1"/>
  <c r="J920" i="61"/>
  <c r="M920" i="61" s="1"/>
  <c r="J919" i="61"/>
  <c r="M919" i="61" s="1"/>
  <c r="J918" i="61"/>
  <c r="M918" i="61" s="1"/>
  <c r="J917" i="61"/>
  <c r="M917" i="61" s="1"/>
  <c r="J916" i="61"/>
  <c r="M916" i="61" s="1"/>
  <c r="J915" i="61"/>
  <c r="M915" i="61" s="1"/>
  <c r="M914" i="61"/>
  <c r="J914" i="61"/>
  <c r="J913" i="61"/>
  <c r="M913" i="61" s="1"/>
  <c r="J912" i="61"/>
  <c r="M912" i="61" s="1"/>
  <c r="J911" i="61"/>
  <c r="M911" i="61" s="1"/>
  <c r="J910" i="61"/>
  <c r="M910" i="61" s="1"/>
  <c r="J909" i="61"/>
  <c r="M909" i="61" s="1"/>
  <c r="J908" i="61"/>
  <c r="M908" i="61" s="1"/>
  <c r="J907" i="61"/>
  <c r="M907" i="61" s="1"/>
  <c r="J906" i="61"/>
  <c r="M906" i="61" s="1"/>
  <c r="J905" i="61"/>
  <c r="M905" i="61" s="1"/>
  <c r="J904" i="61"/>
  <c r="M904" i="61" s="1"/>
  <c r="J903" i="61"/>
  <c r="M903" i="61" s="1"/>
  <c r="J902" i="61"/>
  <c r="M902" i="61" s="1"/>
  <c r="J901" i="61"/>
  <c r="M901" i="61" s="1"/>
  <c r="M900" i="61"/>
  <c r="J900" i="61"/>
  <c r="J899" i="61"/>
  <c r="M899" i="61" s="1"/>
  <c r="M898" i="61"/>
  <c r="J898" i="61"/>
  <c r="J897" i="61"/>
  <c r="M897" i="61" s="1"/>
  <c r="J896" i="61"/>
  <c r="M896" i="61" s="1"/>
  <c r="J895" i="61"/>
  <c r="M895" i="61" s="1"/>
  <c r="J894" i="61"/>
  <c r="M894" i="61" s="1"/>
  <c r="J893" i="61"/>
  <c r="M893" i="61" s="1"/>
  <c r="J892" i="61"/>
  <c r="M892" i="61" s="1"/>
  <c r="J891" i="61"/>
  <c r="M891" i="61" s="1"/>
  <c r="M890" i="61"/>
  <c r="J890" i="61"/>
  <c r="J889" i="61"/>
  <c r="M889" i="61" s="1"/>
  <c r="J888" i="61"/>
  <c r="M888" i="61" s="1"/>
  <c r="J887" i="61"/>
  <c r="M887" i="61" s="1"/>
  <c r="J886" i="61"/>
  <c r="M886" i="61" s="1"/>
  <c r="J885" i="61"/>
  <c r="M885" i="61" s="1"/>
  <c r="J884" i="61"/>
  <c r="M884" i="61" s="1"/>
  <c r="J883" i="61"/>
  <c r="M883" i="61" s="1"/>
  <c r="J882" i="61"/>
  <c r="M882" i="61" s="1"/>
  <c r="J881" i="61"/>
  <c r="M881" i="61" s="1"/>
  <c r="J880" i="61"/>
  <c r="M880" i="61" s="1"/>
  <c r="J879" i="61"/>
  <c r="M879" i="61" s="1"/>
  <c r="J878" i="61"/>
  <c r="M878" i="61" s="1"/>
  <c r="J877" i="61"/>
  <c r="M877" i="61" s="1"/>
  <c r="M876" i="61"/>
  <c r="J876" i="61"/>
  <c r="L875" i="61"/>
  <c r="O875" i="61" s="1"/>
  <c r="J875" i="61"/>
  <c r="M875" i="61" s="1"/>
  <c r="J874" i="61"/>
  <c r="M874" i="61" s="1"/>
  <c r="J873" i="61"/>
  <c r="M873" i="61" s="1"/>
  <c r="M872" i="61"/>
  <c r="J872" i="61"/>
  <c r="J871" i="61"/>
  <c r="M871" i="61" s="1"/>
  <c r="M870" i="61"/>
  <c r="J870" i="61"/>
  <c r="J869" i="61"/>
  <c r="M869" i="61" s="1"/>
  <c r="J868" i="61"/>
  <c r="M868" i="61" s="1"/>
  <c r="J867" i="61"/>
  <c r="M867" i="61" s="1"/>
  <c r="J866" i="61"/>
  <c r="M866" i="61" s="1"/>
  <c r="J865" i="61"/>
  <c r="M865" i="61" s="1"/>
  <c r="J864" i="61"/>
  <c r="M864" i="61" s="1"/>
  <c r="L863" i="61"/>
  <c r="O863" i="61" s="1"/>
  <c r="K863" i="61"/>
  <c r="N863" i="61" s="1"/>
  <c r="L862" i="61"/>
  <c r="O862" i="61" s="1"/>
  <c r="K862" i="61"/>
  <c r="N862" i="61" s="1"/>
  <c r="L861" i="61"/>
  <c r="O861" i="61" s="1"/>
  <c r="K861" i="61"/>
  <c r="N861" i="61" s="1"/>
  <c r="N860" i="61"/>
  <c r="L860" i="61"/>
  <c r="O860" i="61" s="1"/>
  <c r="K860" i="61"/>
  <c r="L859" i="61"/>
  <c r="O859" i="61" s="1"/>
  <c r="K859" i="61"/>
  <c r="N859" i="61" s="1"/>
  <c r="L858" i="61"/>
  <c r="O858" i="61" s="1"/>
  <c r="K858" i="61"/>
  <c r="N858" i="61" s="1"/>
  <c r="L857" i="61"/>
  <c r="O857" i="61" s="1"/>
  <c r="K857" i="61"/>
  <c r="N857" i="61" s="1"/>
  <c r="N856" i="61"/>
  <c r="L856" i="61"/>
  <c r="O856" i="61" s="1"/>
  <c r="K856" i="61"/>
  <c r="L855" i="61"/>
  <c r="O855" i="61" s="1"/>
  <c r="K855" i="61"/>
  <c r="N855" i="61" s="1"/>
  <c r="L854" i="61"/>
  <c r="O854" i="61" s="1"/>
  <c r="K854" i="61"/>
  <c r="N854" i="61" s="1"/>
  <c r="O853" i="61"/>
  <c r="L853" i="61"/>
  <c r="K853" i="61"/>
  <c r="N853" i="61" s="1"/>
  <c r="N852" i="61"/>
  <c r="L852" i="61"/>
  <c r="O852" i="61" s="1"/>
  <c r="K852" i="61"/>
  <c r="L851" i="61"/>
  <c r="O851" i="61" s="1"/>
  <c r="K851" i="61"/>
  <c r="N851" i="61" s="1"/>
  <c r="L850" i="61"/>
  <c r="O850" i="61" s="1"/>
  <c r="K850" i="61"/>
  <c r="N850" i="61" s="1"/>
  <c r="L849" i="61"/>
  <c r="O849" i="61" s="1"/>
  <c r="K849" i="61"/>
  <c r="N849" i="61" s="1"/>
  <c r="L848" i="61"/>
  <c r="O848" i="61" s="1"/>
  <c r="K848" i="61"/>
  <c r="N848" i="61" s="1"/>
  <c r="L847" i="61"/>
  <c r="O847" i="61" s="1"/>
  <c r="K847" i="61"/>
  <c r="N847" i="61" s="1"/>
  <c r="L846" i="61"/>
  <c r="O846" i="61" s="1"/>
  <c r="K846" i="61"/>
  <c r="N846" i="61" s="1"/>
  <c r="L845" i="61"/>
  <c r="O845" i="61" s="1"/>
  <c r="K845" i="61"/>
  <c r="N845" i="61" s="1"/>
  <c r="N844" i="61"/>
  <c r="L844" i="61"/>
  <c r="O844" i="61" s="1"/>
  <c r="K844" i="61"/>
  <c r="L843" i="61"/>
  <c r="O843" i="61" s="1"/>
  <c r="K843" i="61"/>
  <c r="N843" i="61" s="1"/>
  <c r="L842" i="61"/>
  <c r="O842" i="61" s="1"/>
  <c r="K842" i="61"/>
  <c r="N842" i="61" s="1"/>
  <c r="O841" i="61"/>
  <c r="L841" i="61"/>
  <c r="K841" i="61"/>
  <c r="N841" i="61" s="1"/>
  <c r="L840" i="61"/>
  <c r="O840" i="61" s="1"/>
  <c r="K840" i="61"/>
  <c r="N840" i="61" s="1"/>
  <c r="L839" i="61"/>
  <c r="O839" i="61" s="1"/>
  <c r="K839" i="61"/>
  <c r="N839" i="61" s="1"/>
  <c r="L838" i="61"/>
  <c r="O838" i="61" s="1"/>
  <c r="K838" i="61"/>
  <c r="N838" i="61" s="1"/>
  <c r="L837" i="61"/>
  <c r="O837" i="61" s="1"/>
  <c r="K837" i="61"/>
  <c r="N837" i="61" s="1"/>
  <c r="J836" i="61"/>
  <c r="M836" i="61" s="1"/>
  <c r="J835" i="61"/>
  <c r="M835" i="61" s="1"/>
  <c r="M834" i="61"/>
  <c r="J834" i="61"/>
  <c r="J833" i="61"/>
  <c r="M833" i="61" s="1"/>
  <c r="J832" i="61"/>
  <c r="M832" i="61" s="1"/>
  <c r="J831" i="61"/>
  <c r="M831" i="61" s="1"/>
  <c r="J830" i="61"/>
  <c r="M830" i="61" s="1"/>
  <c r="J829" i="61"/>
  <c r="M829" i="61" s="1"/>
  <c r="J828" i="61"/>
  <c r="M828" i="61" s="1"/>
  <c r="J827" i="61"/>
  <c r="M827" i="61" s="1"/>
  <c r="J826" i="61"/>
  <c r="M826" i="61" s="1"/>
  <c r="J825" i="61"/>
  <c r="M825" i="61" s="1"/>
  <c r="J824" i="61"/>
  <c r="M824" i="61" s="1"/>
  <c r="J823" i="61"/>
  <c r="M823" i="61" s="1"/>
  <c r="M822" i="61"/>
  <c r="J822" i="61"/>
  <c r="J821" i="61"/>
  <c r="M821" i="61" s="1"/>
  <c r="J820" i="61"/>
  <c r="M820" i="61" s="1"/>
  <c r="J819" i="61"/>
  <c r="M819" i="61" s="1"/>
  <c r="L818" i="61"/>
  <c r="O818" i="61" s="1"/>
  <c r="J818" i="61"/>
  <c r="M818" i="61" s="1"/>
  <c r="J817" i="61"/>
  <c r="M817" i="61" s="1"/>
  <c r="J816" i="61"/>
  <c r="M816" i="61" s="1"/>
  <c r="J815" i="61"/>
  <c r="M815" i="61" s="1"/>
  <c r="J814" i="61"/>
  <c r="M814" i="61" s="1"/>
  <c r="J813" i="61"/>
  <c r="M813" i="61" s="1"/>
  <c r="M812" i="61"/>
  <c r="J812" i="61"/>
  <c r="J811" i="61"/>
  <c r="M811" i="61" s="1"/>
  <c r="J810" i="61"/>
  <c r="M810" i="61" s="1"/>
  <c r="J809" i="61"/>
  <c r="M809" i="61" s="1"/>
  <c r="J808" i="61"/>
  <c r="M808" i="61" s="1"/>
  <c r="J807" i="61"/>
  <c r="M807" i="61" s="1"/>
  <c r="L806" i="61"/>
  <c r="O806" i="61" s="1"/>
  <c r="J806" i="61"/>
  <c r="M806" i="61" s="1"/>
  <c r="O805" i="61"/>
  <c r="L805" i="61"/>
  <c r="J805" i="61"/>
  <c r="M805" i="61" s="1"/>
  <c r="M804" i="61"/>
  <c r="L804" i="61"/>
  <c r="O804" i="61" s="1"/>
  <c r="J804" i="61"/>
  <c r="O803" i="61"/>
  <c r="L803" i="61"/>
  <c r="J803" i="61"/>
  <c r="M803" i="61" s="1"/>
  <c r="L802" i="61"/>
  <c r="O802" i="61" s="1"/>
  <c r="J802" i="61"/>
  <c r="M802" i="61" s="1"/>
  <c r="L801" i="61"/>
  <c r="O801" i="61" s="1"/>
  <c r="J801" i="61"/>
  <c r="M801" i="61" s="1"/>
  <c r="M800" i="61"/>
  <c r="L800" i="61"/>
  <c r="O800" i="61" s="1"/>
  <c r="J800" i="61"/>
  <c r="L799" i="61"/>
  <c r="O799" i="61" s="1"/>
  <c r="J799" i="61"/>
  <c r="M799" i="61" s="1"/>
  <c r="L798" i="61"/>
  <c r="O798" i="61" s="1"/>
  <c r="J798" i="61"/>
  <c r="M798" i="61" s="1"/>
  <c r="O797" i="61"/>
  <c r="L797" i="61"/>
  <c r="J797" i="61"/>
  <c r="M797" i="61" s="1"/>
  <c r="L796" i="61"/>
  <c r="O796" i="61" s="1"/>
  <c r="J796" i="61"/>
  <c r="M796" i="61" s="1"/>
  <c r="L795" i="61"/>
  <c r="O795" i="61" s="1"/>
  <c r="J795" i="61"/>
  <c r="M795" i="61" s="1"/>
  <c r="L794" i="61"/>
  <c r="O794" i="61" s="1"/>
  <c r="K794" i="61"/>
  <c r="N794" i="61" s="1"/>
  <c r="L793" i="61"/>
  <c r="O793" i="61" s="1"/>
  <c r="K793" i="61"/>
  <c r="N793" i="61" s="1"/>
  <c r="N792" i="61"/>
  <c r="L792" i="61"/>
  <c r="O792" i="61" s="1"/>
  <c r="K792" i="61"/>
  <c r="L791" i="61"/>
  <c r="O791" i="61" s="1"/>
  <c r="K791" i="61"/>
  <c r="N791" i="61" s="1"/>
  <c r="L790" i="61"/>
  <c r="O790" i="61" s="1"/>
  <c r="K790" i="61"/>
  <c r="N790" i="61" s="1"/>
  <c r="L789" i="61"/>
  <c r="O789" i="61" s="1"/>
  <c r="K789" i="61"/>
  <c r="N789" i="61" s="1"/>
  <c r="N788" i="61"/>
  <c r="L788" i="61"/>
  <c r="O788" i="61" s="1"/>
  <c r="K788" i="61"/>
  <c r="L787" i="61"/>
  <c r="O787" i="61" s="1"/>
  <c r="K787" i="61"/>
  <c r="N787" i="61" s="1"/>
  <c r="L786" i="61"/>
  <c r="O786" i="61" s="1"/>
  <c r="K786" i="61"/>
  <c r="N786" i="61" s="1"/>
  <c r="O785" i="61"/>
  <c r="L785" i="61"/>
  <c r="K785" i="61"/>
  <c r="N785" i="61" s="1"/>
  <c r="L784" i="61"/>
  <c r="O784" i="61" s="1"/>
  <c r="K784" i="61"/>
  <c r="N784" i="61" s="1"/>
  <c r="L783" i="61"/>
  <c r="O783" i="61" s="1"/>
  <c r="K783" i="61"/>
  <c r="N783" i="61" s="1"/>
  <c r="L782" i="61"/>
  <c r="O782" i="61" s="1"/>
  <c r="J782" i="61"/>
  <c r="M782" i="61" s="1"/>
  <c r="L781" i="61"/>
  <c r="O781" i="61" s="1"/>
  <c r="J781" i="61"/>
  <c r="M781" i="61" s="1"/>
  <c r="M780" i="61"/>
  <c r="L780" i="61"/>
  <c r="O780" i="61" s="1"/>
  <c r="J780" i="61"/>
  <c r="L779" i="61"/>
  <c r="O779" i="61" s="1"/>
  <c r="J779" i="61"/>
  <c r="M779" i="61" s="1"/>
  <c r="L778" i="61"/>
  <c r="O778" i="61" s="1"/>
  <c r="J778" i="61"/>
  <c r="M778" i="61" s="1"/>
  <c r="O777" i="61"/>
  <c r="L777" i="61"/>
  <c r="J777" i="61"/>
  <c r="M777" i="61" s="1"/>
  <c r="M776" i="61"/>
  <c r="L776" i="61"/>
  <c r="O776" i="61" s="1"/>
  <c r="J776" i="61"/>
  <c r="L775" i="61"/>
  <c r="O775" i="61" s="1"/>
  <c r="J775" i="61"/>
  <c r="M775" i="61" s="1"/>
  <c r="L774" i="61"/>
  <c r="O774" i="61" s="1"/>
  <c r="J774" i="61"/>
  <c r="M774" i="61" s="1"/>
  <c r="O773" i="61"/>
  <c r="L773" i="61"/>
  <c r="J773" i="61"/>
  <c r="M773" i="61" s="1"/>
  <c r="L772" i="61"/>
  <c r="O772" i="61" s="1"/>
  <c r="J772" i="61"/>
  <c r="M772" i="61" s="1"/>
  <c r="O771" i="61"/>
  <c r="L771" i="61"/>
  <c r="J771" i="61"/>
  <c r="M771" i="61" s="1"/>
  <c r="J770" i="61"/>
  <c r="M770" i="61" s="1"/>
  <c r="J769" i="61"/>
  <c r="M769" i="61" s="1"/>
  <c r="J768" i="61"/>
  <c r="M768" i="61" s="1"/>
  <c r="J767" i="61"/>
  <c r="M767" i="61" s="1"/>
  <c r="J766" i="61"/>
  <c r="M766" i="61" s="1"/>
  <c r="J765" i="61"/>
  <c r="M765" i="61" s="1"/>
  <c r="J764" i="61"/>
  <c r="M764" i="61" s="1"/>
  <c r="J763" i="61"/>
  <c r="M763" i="61" s="1"/>
  <c r="J762" i="61"/>
  <c r="M762" i="61" s="1"/>
  <c r="J761" i="61"/>
  <c r="M761" i="61" s="1"/>
  <c r="J760" i="61"/>
  <c r="M760" i="61" s="1"/>
  <c r="J759" i="61"/>
  <c r="M759" i="61" s="1"/>
  <c r="N758" i="61"/>
  <c r="L758" i="61"/>
  <c r="O758" i="61" s="1"/>
  <c r="K758" i="61"/>
  <c r="L757" i="61"/>
  <c r="O757" i="61" s="1"/>
  <c r="K757" i="61"/>
  <c r="N757" i="61" s="1"/>
  <c r="L756" i="61"/>
  <c r="O756" i="61" s="1"/>
  <c r="K756" i="61"/>
  <c r="N756" i="61" s="1"/>
  <c r="L755" i="61"/>
  <c r="O755" i="61" s="1"/>
  <c r="K755" i="61"/>
  <c r="N755" i="61" s="1"/>
  <c r="N754" i="61"/>
  <c r="L754" i="61"/>
  <c r="O754" i="61" s="1"/>
  <c r="K754" i="61"/>
  <c r="L753" i="61"/>
  <c r="O753" i="61" s="1"/>
  <c r="K753" i="61"/>
  <c r="N753" i="61" s="1"/>
  <c r="L752" i="61"/>
  <c r="O752" i="61" s="1"/>
  <c r="K752" i="61"/>
  <c r="N752" i="61" s="1"/>
  <c r="L751" i="61"/>
  <c r="O751" i="61" s="1"/>
  <c r="K751" i="61"/>
  <c r="N751" i="61" s="1"/>
  <c r="N750" i="61"/>
  <c r="L750" i="61"/>
  <c r="O750" i="61" s="1"/>
  <c r="K750" i="61"/>
  <c r="L749" i="61"/>
  <c r="O749" i="61" s="1"/>
  <c r="K749" i="61"/>
  <c r="N749" i="61" s="1"/>
  <c r="L748" i="61"/>
  <c r="O748" i="61" s="1"/>
  <c r="K748" i="61"/>
  <c r="N748" i="61" s="1"/>
  <c r="L747" i="61"/>
  <c r="O747" i="61" s="1"/>
  <c r="K747" i="61"/>
  <c r="N747" i="61" s="1"/>
  <c r="J746" i="61"/>
  <c r="M746" i="61" s="1"/>
  <c r="J745" i="61"/>
  <c r="M745" i="61" s="1"/>
  <c r="J744" i="61"/>
  <c r="M744" i="61" s="1"/>
  <c r="J743" i="61"/>
  <c r="M743" i="61" s="1"/>
  <c r="J742" i="61"/>
  <c r="M742" i="61" s="1"/>
  <c r="J741" i="61"/>
  <c r="M741" i="61" s="1"/>
  <c r="J740" i="61"/>
  <c r="M740" i="61" s="1"/>
  <c r="J739" i="61"/>
  <c r="M739" i="61" s="1"/>
  <c r="J738" i="61"/>
  <c r="M738" i="61" s="1"/>
  <c r="J737" i="61"/>
  <c r="M737" i="61" s="1"/>
  <c r="J736" i="61"/>
  <c r="M736" i="61" s="1"/>
  <c r="J735" i="61"/>
  <c r="M735" i="61" s="1"/>
  <c r="L734" i="61"/>
  <c r="O734" i="61" s="1"/>
  <c r="J734" i="61"/>
  <c r="M734" i="61" s="1"/>
  <c r="L733" i="61"/>
  <c r="O733" i="61" s="1"/>
  <c r="J733" i="61"/>
  <c r="M733" i="61" s="1"/>
  <c r="J732" i="61"/>
  <c r="M732" i="61" s="1"/>
  <c r="J731" i="61"/>
  <c r="M731" i="61" s="1"/>
  <c r="J730" i="61"/>
  <c r="M730" i="61" s="1"/>
  <c r="L729" i="61"/>
  <c r="O729" i="61" s="1"/>
  <c r="J729" i="61"/>
  <c r="M729" i="61" s="1"/>
  <c r="L728" i="61"/>
  <c r="O728" i="61" s="1"/>
  <c r="J728" i="61"/>
  <c r="M728" i="61" s="1"/>
  <c r="J727" i="61"/>
  <c r="M727" i="61" s="1"/>
  <c r="J726" i="61"/>
  <c r="M726" i="61" s="1"/>
  <c r="J725" i="61"/>
  <c r="M725" i="61" s="1"/>
  <c r="L724" i="61"/>
  <c r="O724" i="61" s="1"/>
  <c r="J724" i="61"/>
  <c r="M724" i="61" s="1"/>
  <c r="J723" i="61"/>
  <c r="M723" i="61" s="1"/>
  <c r="J722" i="61"/>
  <c r="M722" i="61" s="1"/>
  <c r="J721" i="61"/>
  <c r="M721" i="61" s="1"/>
  <c r="L720" i="61"/>
  <c r="O720" i="61" s="1"/>
  <c r="J720" i="61"/>
  <c r="M720" i="61" s="1"/>
  <c r="J719" i="61"/>
  <c r="M719" i="61" s="1"/>
  <c r="M718" i="61"/>
  <c r="J718" i="61"/>
  <c r="J717" i="61"/>
  <c r="M717" i="61" s="1"/>
  <c r="L716" i="61"/>
  <c r="O716" i="61" s="1"/>
  <c r="J716" i="61"/>
  <c r="M716" i="61" s="1"/>
  <c r="J715" i="61"/>
  <c r="M715" i="61" s="1"/>
  <c r="J714" i="61"/>
  <c r="M714" i="61" s="1"/>
  <c r="L713" i="61"/>
  <c r="O713" i="61" s="1"/>
  <c r="J713" i="61"/>
  <c r="M713" i="61" s="1"/>
  <c r="J712" i="61"/>
  <c r="M712" i="61" s="1"/>
  <c r="J711" i="61"/>
  <c r="M711" i="61" s="1"/>
  <c r="L710" i="61"/>
  <c r="O710" i="61" s="1"/>
  <c r="J710" i="61"/>
  <c r="M710" i="61" s="1"/>
  <c r="J709" i="61"/>
  <c r="M709" i="61" s="1"/>
  <c r="J708" i="61"/>
  <c r="M708" i="61" s="1"/>
  <c r="L707" i="61"/>
  <c r="O707" i="61" s="1"/>
  <c r="J707" i="61"/>
  <c r="M707" i="61" s="1"/>
  <c r="J706" i="61"/>
  <c r="M706" i="61" s="1"/>
  <c r="J705" i="61"/>
  <c r="M705" i="61" s="1"/>
  <c r="L704" i="61"/>
  <c r="O704" i="61" s="1"/>
  <c r="J704" i="61"/>
  <c r="M704" i="61" s="1"/>
  <c r="J703" i="61"/>
  <c r="M703" i="61" s="1"/>
  <c r="J702" i="61"/>
  <c r="M702" i="61" s="1"/>
  <c r="J701" i="61"/>
  <c r="M701" i="61" s="1"/>
  <c r="M700" i="61"/>
  <c r="L700" i="61"/>
  <c r="O700" i="61" s="1"/>
  <c r="J700" i="61"/>
  <c r="J699" i="61"/>
  <c r="M699" i="61" s="1"/>
  <c r="M698" i="61"/>
  <c r="J698" i="61"/>
  <c r="J697" i="61"/>
  <c r="M697" i="61" s="1"/>
  <c r="L696" i="61"/>
  <c r="O696" i="61" s="1"/>
  <c r="J696" i="61"/>
  <c r="M696" i="61" s="1"/>
  <c r="J695" i="61"/>
  <c r="M695" i="61" s="1"/>
  <c r="J694" i="61"/>
  <c r="M694" i="61" s="1"/>
  <c r="J693" i="61"/>
  <c r="M693" i="61" s="1"/>
  <c r="J692" i="61"/>
  <c r="M692" i="61" s="1"/>
  <c r="L691" i="61"/>
  <c r="O691" i="61" s="1"/>
  <c r="J691" i="61"/>
  <c r="M691" i="61" s="1"/>
  <c r="J690" i="61"/>
  <c r="M690" i="61" s="1"/>
  <c r="J689" i="61"/>
  <c r="M689" i="61" s="1"/>
  <c r="N688" i="61"/>
  <c r="L688" i="61"/>
  <c r="O688" i="61" s="1"/>
  <c r="K688" i="61"/>
  <c r="L687" i="61"/>
  <c r="O687" i="61" s="1"/>
  <c r="K687" i="61"/>
  <c r="N687" i="61" s="1"/>
  <c r="L686" i="61"/>
  <c r="O686" i="61" s="1"/>
  <c r="K686" i="61"/>
  <c r="N686" i="61" s="1"/>
  <c r="O685" i="61"/>
  <c r="L685" i="61"/>
  <c r="K685" i="61"/>
  <c r="N685" i="61" s="1"/>
  <c r="N684" i="61"/>
  <c r="L684" i="61"/>
  <c r="O684" i="61" s="1"/>
  <c r="K684" i="61"/>
  <c r="L683" i="61"/>
  <c r="O683" i="61" s="1"/>
  <c r="K683" i="61"/>
  <c r="N683" i="61" s="1"/>
  <c r="L682" i="61"/>
  <c r="O682" i="61" s="1"/>
  <c r="K682" i="61"/>
  <c r="N682" i="61" s="1"/>
  <c r="O681" i="61"/>
  <c r="L681" i="61"/>
  <c r="K681" i="61"/>
  <c r="N681" i="61" s="1"/>
  <c r="L680" i="61"/>
  <c r="O680" i="61" s="1"/>
  <c r="K680" i="61"/>
  <c r="N680" i="61" s="1"/>
  <c r="L679" i="61"/>
  <c r="O679" i="61" s="1"/>
  <c r="K679" i="61"/>
  <c r="N679" i="61" s="1"/>
  <c r="L678" i="61"/>
  <c r="O678" i="61" s="1"/>
  <c r="K678" i="61"/>
  <c r="N678" i="61" s="1"/>
  <c r="L677" i="61"/>
  <c r="O677" i="61" s="1"/>
  <c r="K677" i="61"/>
  <c r="N677" i="61" s="1"/>
  <c r="N676" i="61"/>
  <c r="L676" i="61"/>
  <c r="O676" i="61" s="1"/>
  <c r="K676" i="61"/>
  <c r="L675" i="61"/>
  <c r="O675" i="61" s="1"/>
  <c r="K675" i="61"/>
  <c r="N675" i="61" s="1"/>
  <c r="L674" i="61"/>
  <c r="O674" i="61" s="1"/>
  <c r="K674" i="61"/>
  <c r="N674" i="61" s="1"/>
  <c r="O673" i="61"/>
  <c r="L673" i="61"/>
  <c r="K673" i="61"/>
  <c r="N673" i="61" s="1"/>
  <c r="N672" i="61"/>
  <c r="L672" i="61"/>
  <c r="O672" i="61" s="1"/>
  <c r="K672" i="61"/>
  <c r="L671" i="61"/>
  <c r="O671" i="61" s="1"/>
  <c r="K671" i="61"/>
  <c r="N671" i="61" s="1"/>
  <c r="L670" i="61"/>
  <c r="O670" i="61" s="1"/>
  <c r="K670" i="61"/>
  <c r="N670" i="61" s="1"/>
  <c r="O669" i="61"/>
  <c r="L669" i="61"/>
  <c r="K669" i="61"/>
  <c r="N669" i="61" s="1"/>
  <c r="L668" i="61"/>
  <c r="O668" i="61" s="1"/>
  <c r="K668" i="61"/>
  <c r="N668" i="61" s="1"/>
  <c r="L667" i="61"/>
  <c r="O667" i="61" s="1"/>
  <c r="K667" i="61"/>
  <c r="N667" i="61" s="1"/>
  <c r="L666" i="61"/>
  <c r="O666" i="61" s="1"/>
  <c r="K666" i="61"/>
  <c r="N666" i="61" s="1"/>
  <c r="L665" i="61"/>
  <c r="O665" i="61" s="1"/>
  <c r="K665" i="61"/>
  <c r="N665" i="61" s="1"/>
  <c r="N664" i="61"/>
  <c r="L664" i="61"/>
  <c r="O664" i="61" s="1"/>
  <c r="K664" i="61"/>
  <c r="L663" i="61"/>
  <c r="O663" i="61" s="1"/>
  <c r="K663" i="61"/>
  <c r="N663" i="61" s="1"/>
  <c r="L662" i="61"/>
  <c r="O662" i="61" s="1"/>
  <c r="K662" i="61"/>
  <c r="N662" i="61" s="1"/>
  <c r="O661" i="61"/>
  <c r="L661" i="61"/>
  <c r="K661" i="61"/>
  <c r="N661" i="61" s="1"/>
  <c r="N660" i="61"/>
  <c r="L660" i="61"/>
  <c r="O660" i="61" s="1"/>
  <c r="K660" i="61"/>
  <c r="L659" i="61"/>
  <c r="O659" i="61" s="1"/>
  <c r="K659" i="61"/>
  <c r="N659" i="61" s="1"/>
  <c r="L658" i="61"/>
  <c r="O658" i="61" s="1"/>
  <c r="K658" i="61"/>
  <c r="N658" i="61" s="1"/>
  <c r="O657" i="61"/>
  <c r="L657" i="61"/>
  <c r="K657" i="61"/>
  <c r="N657" i="61" s="1"/>
  <c r="L656" i="61"/>
  <c r="O656" i="61" s="1"/>
  <c r="K656" i="61"/>
  <c r="N656" i="61" s="1"/>
  <c r="L655" i="61"/>
  <c r="O655" i="61" s="1"/>
  <c r="K655" i="61"/>
  <c r="N655" i="61" s="1"/>
  <c r="L654" i="61"/>
  <c r="O654" i="61" s="1"/>
  <c r="K654" i="61"/>
  <c r="N654" i="61" s="1"/>
  <c r="L653" i="61"/>
  <c r="O653" i="61" s="1"/>
  <c r="K653" i="61"/>
  <c r="N653" i="61" s="1"/>
  <c r="N652" i="61"/>
  <c r="L652" i="61"/>
  <c r="O652" i="61" s="1"/>
  <c r="K652" i="61"/>
  <c r="L651" i="61"/>
  <c r="O651" i="61" s="1"/>
  <c r="K651" i="61"/>
  <c r="N651" i="61" s="1"/>
  <c r="L650" i="61"/>
  <c r="O650" i="61" s="1"/>
  <c r="K650" i="61"/>
  <c r="N650" i="61" s="1"/>
  <c r="O649" i="61"/>
  <c r="L649" i="61"/>
  <c r="K649" i="61"/>
  <c r="N649" i="61" s="1"/>
  <c r="N648" i="61"/>
  <c r="L648" i="61"/>
  <c r="O648" i="61" s="1"/>
  <c r="K648" i="61"/>
  <c r="L647" i="61"/>
  <c r="O647" i="61" s="1"/>
  <c r="K647" i="61"/>
  <c r="N647" i="61" s="1"/>
  <c r="L646" i="61"/>
  <c r="O646" i="61" s="1"/>
  <c r="K646" i="61"/>
  <c r="N646" i="61" s="1"/>
  <c r="O645" i="61"/>
  <c r="L645" i="61"/>
  <c r="K645" i="61"/>
  <c r="N645" i="61" s="1"/>
  <c r="L644" i="61"/>
  <c r="O644" i="61" s="1"/>
  <c r="K644" i="61"/>
  <c r="N644" i="61" s="1"/>
  <c r="L643" i="61"/>
  <c r="O643" i="61" s="1"/>
  <c r="J643" i="61"/>
  <c r="M643" i="61" s="1"/>
  <c r="L642" i="61"/>
  <c r="O642" i="61" s="1"/>
  <c r="J642" i="61"/>
  <c r="M642" i="61" s="1"/>
  <c r="J641" i="61"/>
  <c r="M641" i="61" s="1"/>
  <c r="J640" i="61"/>
  <c r="M640" i="61" s="1"/>
  <c r="J639" i="61"/>
  <c r="M639" i="61" s="1"/>
  <c r="J638" i="61"/>
  <c r="M638" i="61" s="1"/>
  <c r="L637" i="61"/>
  <c r="O637" i="61" s="1"/>
  <c r="J637" i="61"/>
  <c r="M637" i="61" s="1"/>
  <c r="L636" i="61"/>
  <c r="O636" i="61" s="1"/>
  <c r="J636" i="61"/>
  <c r="M636" i="61" s="1"/>
  <c r="J635" i="61"/>
  <c r="M635" i="61" s="1"/>
  <c r="J634" i="61"/>
  <c r="M634" i="61" s="1"/>
  <c r="J633" i="61"/>
  <c r="M633" i="61" s="1"/>
  <c r="J632" i="61"/>
  <c r="M632" i="61" s="1"/>
  <c r="L631" i="61"/>
  <c r="O631" i="61" s="1"/>
  <c r="J631" i="61"/>
  <c r="M631" i="61" s="1"/>
  <c r="J630" i="61"/>
  <c r="M630" i="61" s="1"/>
  <c r="J629" i="61"/>
  <c r="M629" i="61" s="1"/>
  <c r="M628" i="61"/>
  <c r="J628" i="61"/>
  <c r="L627" i="61"/>
  <c r="O627" i="61" s="1"/>
  <c r="J627" i="61"/>
  <c r="M627" i="61" s="1"/>
  <c r="J626" i="61"/>
  <c r="M626" i="61" s="1"/>
  <c r="J625" i="61"/>
  <c r="M625" i="61" s="1"/>
  <c r="J624" i="61"/>
  <c r="M624" i="61" s="1"/>
  <c r="L623" i="61"/>
  <c r="O623" i="61" s="1"/>
  <c r="J623" i="61"/>
  <c r="M623" i="61" s="1"/>
  <c r="J622" i="61"/>
  <c r="M622" i="61" s="1"/>
  <c r="J621" i="61"/>
  <c r="M621" i="61" s="1"/>
  <c r="L620" i="61"/>
  <c r="O620" i="61" s="1"/>
  <c r="J620" i="61"/>
  <c r="M620" i="61" s="1"/>
  <c r="J619" i="61"/>
  <c r="M619" i="61" s="1"/>
  <c r="J618" i="61"/>
  <c r="M618" i="61" s="1"/>
  <c r="O617" i="61"/>
  <c r="L617" i="61"/>
  <c r="J617" i="61"/>
  <c r="M617" i="61" s="1"/>
  <c r="J616" i="61"/>
  <c r="M616" i="61" s="1"/>
  <c r="J615" i="61"/>
  <c r="M615" i="61" s="1"/>
  <c r="L614" i="61"/>
  <c r="O614" i="61" s="1"/>
  <c r="J614" i="61"/>
  <c r="M614" i="61" s="1"/>
  <c r="J613" i="61"/>
  <c r="M613" i="61" s="1"/>
  <c r="J612" i="61"/>
  <c r="M612" i="61" s="1"/>
  <c r="J611" i="61"/>
  <c r="M611" i="61" s="1"/>
  <c r="M610" i="61"/>
  <c r="L610" i="61"/>
  <c r="O610" i="61" s="1"/>
  <c r="J610" i="61"/>
  <c r="J609" i="61"/>
  <c r="M609" i="61" s="1"/>
  <c r="J608" i="61"/>
  <c r="M608" i="61" s="1"/>
  <c r="J607" i="61"/>
  <c r="M607" i="61" s="1"/>
  <c r="L606" i="61"/>
  <c r="O606" i="61" s="1"/>
  <c r="J606" i="61"/>
  <c r="M606" i="61" s="1"/>
  <c r="J605" i="61"/>
  <c r="M605" i="61" s="1"/>
  <c r="J604" i="61"/>
  <c r="M604" i="61" s="1"/>
  <c r="J603" i="61"/>
  <c r="M603" i="61" s="1"/>
  <c r="L602" i="61"/>
  <c r="O602" i="61" s="1"/>
  <c r="J602" i="61"/>
  <c r="M602" i="61" s="1"/>
  <c r="J601" i="61"/>
  <c r="M601" i="61" s="1"/>
  <c r="J600" i="61"/>
  <c r="M600" i="61" s="1"/>
  <c r="J599" i="61"/>
  <c r="M599" i="61" s="1"/>
  <c r="J598" i="61"/>
  <c r="M598" i="61" s="1"/>
  <c r="L597" i="61"/>
  <c r="O597" i="61" s="1"/>
  <c r="J597" i="61"/>
  <c r="M597" i="61" s="1"/>
  <c r="J596" i="61"/>
  <c r="M596" i="61" s="1"/>
  <c r="J595" i="61"/>
  <c r="M595" i="61" s="1"/>
  <c r="N594" i="61"/>
  <c r="L594" i="61"/>
  <c r="O594" i="61" s="1"/>
  <c r="K594" i="61"/>
  <c r="L593" i="61"/>
  <c r="O593" i="61" s="1"/>
  <c r="K593" i="61"/>
  <c r="N593" i="61" s="1"/>
  <c r="L592" i="61"/>
  <c r="O592" i="61" s="1"/>
  <c r="K592" i="61"/>
  <c r="N592" i="61" s="1"/>
  <c r="L591" i="61"/>
  <c r="O591" i="61" s="1"/>
  <c r="K591" i="61"/>
  <c r="N591" i="61" s="1"/>
  <c r="N590" i="61"/>
  <c r="L590" i="61"/>
  <c r="O590" i="61" s="1"/>
  <c r="K590" i="61"/>
  <c r="L589" i="61"/>
  <c r="O589" i="61" s="1"/>
  <c r="K589" i="61"/>
  <c r="N589" i="61" s="1"/>
  <c r="L588" i="61"/>
  <c r="O588" i="61" s="1"/>
  <c r="L587" i="61"/>
  <c r="O587" i="61" s="1"/>
  <c r="L586" i="61"/>
  <c r="O586" i="61" s="1"/>
  <c r="L585" i="61"/>
  <c r="O585" i="61" s="1"/>
  <c r="L584" i="61"/>
  <c r="O584" i="61" s="1"/>
  <c r="L583" i="61"/>
  <c r="O583" i="61" s="1"/>
  <c r="L582" i="61"/>
  <c r="O582" i="61" s="1"/>
  <c r="L581" i="61"/>
  <c r="O581" i="61" s="1"/>
  <c r="L580" i="61"/>
  <c r="O580" i="61" s="1"/>
  <c r="L579" i="61"/>
  <c r="O579" i="61" s="1"/>
  <c r="L578" i="61"/>
  <c r="O578" i="61" s="1"/>
  <c r="L577" i="61"/>
  <c r="O577" i="61" s="1"/>
  <c r="L576" i="61"/>
  <c r="O576" i="61" s="1"/>
  <c r="L575" i="61"/>
  <c r="O575" i="61" s="1"/>
  <c r="L574" i="61"/>
  <c r="O574" i="61" s="1"/>
  <c r="O573" i="61"/>
  <c r="L573" i="61"/>
  <c r="L572" i="61"/>
  <c r="O572" i="61" s="1"/>
  <c r="L571" i="61"/>
  <c r="O571" i="61" s="1"/>
  <c r="L570" i="61"/>
  <c r="O570" i="61" s="1"/>
  <c r="L569" i="61"/>
  <c r="O569" i="61" s="1"/>
  <c r="L568" i="61"/>
  <c r="O568" i="61" s="1"/>
  <c r="L567" i="61"/>
  <c r="O567" i="61" s="1"/>
  <c r="L566" i="61"/>
  <c r="O566" i="61" s="1"/>
  <c r="L565" i="61"/>
  <c r="O565" i="61" s="1"/>
  <c r="L564" i="61"/>
  <c r="O564" i="61" s="1"/>
  <c r="L563" i="61"/>
  <c r="O563" i="61" s="1"/>
  <c r="L562" i="61"/>
  <c r="O562" i="61" s="1"/>
  <c r="L561" i="61"/>
  <c r="O561" i="61" s="1"/>
  <c r="L560" i="61"/>
  <c r="O560" i="61" s="1"/>
  <c r="L559" i="61"/>
  <c r="O559" i="61" s="1"/>
  <c r="L558" i="61"/>
  <c r="O558" i="61" s="1"/>
  <c r="O557" i="61"/>
  <c r="L557" i="61"/>
  <c r="L556" i="61"/>
  <c r="O556" i="61" s="1"/>
  <c r="L555" i="61"/>
  <c r="O555" i="61" s="1"/>
  <c r="L554" i="61"/>
  <c r="O554" i="61" s="1"/>
  <c r="L553" i="61"/>
  <c r="O553" i="61" s="1"/>
  <c r="L552" i="61"/>
  <c r="O552" i="61" s="1"/>
  <c r="L551" i="61"/>
  <c r="O551" i="61" s="1"/>
  <c r="L550" i="61"/>
  <c r="O550" i="61" s="1"/>
  <c r="L549" i="61"/>
  <c r="O549" i="61" s="1"/>
  <c r="L548" i="61"/>
  <c r="O548" i="61" s="1"/>
  <c r="L547" i="61"/>
  <c r="O547" i="61" s="1"/>
  <c r="O546" i="61"/>
  <c r="L546" i="61"/>
  <c r="L545" i="61"/>
  <c r="O545" i="61" s="1"/>
  <c r="L544" i="61"/>
  <c r="O544" i="61" s="1"/>
  <c r="L543" i="61"/>
  <c r="O543" i="61" s="1"/>
  <c r="O542" i="61"/>
  <c r="L542" i="61"/>
  <c r="L541" i="61"/>
  <c r="O541" i="61" s="1"/>
  <c r="L540" i="61"/>
  <c r="O540" i="61" s="1"/>
  <c r="L539" i="61"/>
  <c r="O539" i="61" s="1"/>
  <c r="O538" i="61"/>
  <c r="L538" i="61"/>
  <c r="L537" i="61"/>
  <c r="O537" i="61" s="1"/>
  <c r="L536" i="61"/>
  <c r="O536" i="61" s="1"/>
  <c r="L535" i="61"/>
  <c r="O535" i="61" s="1"/>
  <c r="O534" i="61"/>
  <c r="L534" i="61"/>
  <c r="L533" i="61"/>
  <c r="O533" i="61" s="1"/>
  <c r="L532" i="61"/>
  <c r="O532" i="61" s="1"/>
  <c r="L531" i="61"/>
  <c r="O531" i="61" s="1"/>
  <c r="O530" i="61"/>
  <c r="L530" i="61"/>
  <c r="L529" i="61"/>
  <c r="O529" i="61" s="1"/>
  <c r="L528" i="61"/>
  <c r="O528" i="61" s="1"/>
  <c r="L527" i="61"/>
  <c r="O527" i="61" s="1"/>
  <c r="O526" i="61"/>
  <c r="L526" i="61"/>
  <c r="L525" i="61"/>
  <c r="O525" i="61" s="1"/>
  <c r="L524" i="61"/>
  <c r="O524" i="61" s="1"/>
  <c r="L523" i="61"/>
  <c r="O523" i="61" s="1"/>
  <c r="O522" i="61"/>
  <c r="L522" i="61"/>
  <c r="L521" i="61"/>
  <c r="O521" i="61" s="1"/>
  <c r="L520" i="61"/>
  <c r="O520" i="61" s="1"/>
  <c r="L519" i="61"/>
  <c r="O519" i="61" s="1"/>
  <c r="O518" i="61"/>
  <c r="L518" i="61"/>
  <c r="L517" i="61"/>
  <c r="O517" i="61" s="1"/>
  <c r="L386" i="61"/>
  <c r="O386" i="61" s="1"/>
  <c r="L383" i="61"/>
  <c r="O383" i="61" s="1"/>
  <c r="L380" i="61"/>
  <c r="O380" i="61" s="1"/>
  <c r="O377" i="61"/>
  <c r="L377" i="61"/>
  <c r="L374" i="61"/>
  <c r="O374" i="61" s="1"/>
  <c r="L371" i="61"/>
  <c r="O371" i="61" s="1"/>
  <c r="L368" i="61"/>
  <c r="O368" i="61" s="1"/>
  <c r="J368" i="61"/>
  <c r="M368" i="61" s="1"/>
  <c r="O367" i="61"/>
  <c r="L367" i="61"/>
  <c r="J367" i="61"/>
  <c r="M367" i="61" s="1"/>
  <c r="L366" i="61"/>
  <c r="O366" i="61" s="1"/>
  <c r="J366" i="61"/>
  <c r="M366" i="61" s="1"/>
  <c r="L365" i="61"/>
  <c r="O365" i="61" s="1"/>
  <c r="J365" i="61"/>
  <c r="M365" i="61" s="1"/>
  <c r="L364" i="61"/>
  <c r="O364" i="61" s="1"/>
  <c r="J364" i="61"/>
  <c r="M364" i="61" s="1"/>
  <c r="L363" i="61"/>
  <c r="O363" i="61" s="1"/>
  <c r="J363" i="61"/>
  <c r="M363" i="61" s="1"/>
  <c r="L350" i="61"/>
  <c r="O350" i="61" s="1"/>
  <c r="O347" i="61"/>
  <c r="L347" i="61"/>
  <c r="L344" i="61"/>
  <c r="O344" i="61" s="1"/>
  <c r="L341" i="61"/>
  <c r="O341" i="61" s="1"/>
  <c r="L337" i="61"/>
  <c r="O337" i="61" s="1"/>
  <c r="L334" i="61"/>
  <c r="O334" i="61" s="1"/>
  <c r="O331" i="61"/>
  <c r="L331" i="61"/>
  <c r="L330" i="61"/>
  <c r="O330" i="61" s="1"/>
  <c r="L329" i="61"/>
  <c r="O329" i="61" s="1"/>
  <c r="L328" i="61"/>
  <c r="O328" i="61" s="1"/>
  <c r="L327" i="61"/>
  <c r="O327" i="61" s="1"/>
  <c r="L326" i="61"/>
  <c r="O326" i="61" s="1"/>
  <c r="L325" i="61"/>
  <c r="O325" i="61" s="1"/>
  <c r="L324" i="61"/>
  <c r="O324" i="61" s="1"/>
  <c r="O323" i="61"/>
  <c r="L323" i="61"/>
  <c r="L322" i="61"/>
  <c r="O322" i="61" s="1"/>
  <c r="L321" i="61"/>
  <c r="O321" i="61" s="1"/>
  <c r="L320" i="61"/>
  <c r="O320" i="61" s="1"/>
  <c r="L319" i="61"/>
  <c r="O319" i="61" s="1"/>
  <c r="M318" i="61"/>
  <c r="L318" i="61"/>
  <c r="O318" i="61" s="1"/>
  <c r="J318" i="61"/>
  <c r="L317" i="61"/>
  <c r="O317" i="61" s="1"/>
  <c r="J317" i="61"/>
  <c r="M317" i="61" s="1"/>
  <c r="L316" i="61"/>
  <c r="O316" i="61" s="1"/>
  <c r="J316" i="61"/>
  <c r="M316" i="61" s="1"/>
  <c r="L315" i="61"/>
  <c r="O315" i="61" s="1"/>
  <c r="J315" i="61"/>
  <c r="M315" i="61" s="1"/>
  <c r="M314" i="61"/>
  <c r="L314" i="61"/>
  <c r="O314" i="61" s="1"/>
  <c r="J314" i="61"/>
  <c r="L313" i="61"/>
  <c r="O313" i="61" s="1"/>
  <c r="J313" i="61"/>
  <c r="M313" i="61" s="1"/>
  <c r="L312" i="61"/>
  <c r="O312" i="61" s="1"/>
  <c r="J312" i="61"/>
  <c r="M312" i="61" s="1"/>
  <c r="L311" i="61"/>
  <c r="O311" i="61" s="1"/>
  <c r="J311" i="61"/>
  <c r="M311" i="61" s="1"/>
  <c r="L310" i="61"/>
  <c r="O310" i="61" s="1"/>
  <c r="J310" i="61"/>
  <c r="M310" i="61" s="1"/>
  <c r="L309" i="61"/>
  <c r="O309" i="61" s="1"/>
  <c r="J309" i="61"/>
  <c r="M309" i="61" s="1"/>
  <c r="L308" i="61"/>
  <c r="O308" i="61" s="1"/>
  <c r="J308" i="61"/>
  <c r="M308" i="61" s="1"/>
  <c r="L307" i="61"/>
  <c r="O307" i="61" s="1"/>
  <c r="J307" i="61"/>
  <c r="M307" i="61" s="1"/>
  <c r="L306" i="61"/>
  <c r="O306" i="61" s="1"/>
  <c r="O305" i="61"/>
  <c r="L305" i="61"/>
  <c r="L304" i="61"/>
  <c r="O304" i="61" s="1"/>
  <c r="O303" i="61"/>
  <c r="L303" i="61"/>
  <c r="L302" i="61"/>
  <c r="O302" i="61" s="1"/>
  <c r="L301" i="61"/>
  <c r="O301" i="61" s="1"/>
  <c r="L300" i="61"/>
  <c r="O300" i="61" s="1"/>
  <c r="L299" i="61"/>
  <c r="O299" i="61" s="1"/>
  <c r="L298" i="61"/>
  <c r="O298" i="61" s="1"/>
  <c r="L297" i="61"/>
  <c r="O297" i="61" s="1"/>
  <c r="L296" i="61"/>
  <c r="O296" i="61" s="1"/>
  <c r="O295" i="61"/>
  <c r="L295" i="61"/>
  <c r="L294" i="61"/>
  <c r="O294" i="61" s="1"/>
  <c r="L244" i="61"/>
  <c r="O244" i="61" s="1"/>
  <c r="K244" i="61"/>
  <c r="N244" i="61" s="1"/>
  <c r="L243" i="61"/>
  <c r="O243" i="61" s="1"/>
  <c r="K243" i="61"/>
  <c r="N243" i="61" s="1"/>
  <c r="L242" i="61"/>
  <c r="O242" i="61" s="1"/>
  <c r="K242" i="61"/>
  <c r="N242" i="61" s="1"/>
  <c r="L241" i="61"/>
  <c r="O241" i="61" s="1"/>
  <c r="K241" i="61"/>
  <c r="N241" i="61" s="1"/>
  <c r="L240" i="61"/>
  <c r="O240" i="61" s="1"/>
  <c r="K240" i="61"/>
  <c r="N240" i="61" s="1"/>
  <c r="L239" i="61"/>
  <c r="O239" i="61" s="1"/>
  <c r="K239" i="61"/>
  <c r="N239" i="61" s="1"/>
  <c r="L238" i="61"/>
  <c r="O238" i="61" s="1"/>
  <c r="K238" i="61"/>
  <c r="N238" i="61" s="1"/>
  <c r="O237" i="61"/>
  <c r="L237" i="61"/>
  <c r="K237" i="61"/>
  <c r="N237" i="61" s="1"/>
  <c r="L236" i="61"/>
  <c r="O236" i="61" s="1"/>
  <c r="K236" i="61"/>
  <c r="N236" i="61" s="1"/>
  <c r="L235" i="61"/>
  <c r="O235" i="61" s="1"/>
  <c r="K235" i="61"/>
  <c r="N235" i="61" s="1"/>
  <c r="L234" i="61"/>
  <c r="O234" i="61" s="1"/>
  <c r="K234" i="61"/>
  <c r="N234" i="61" s="1"/>
  <c r="L233" i="61"/>
  <c r="O233" i="61" s="1"/>
  <c r="K233" i="61"/>
  <c r="N233" i="61" s="1"/>
  <c r="L232" i="61"/>
  <c r="O232" i="61" s="1"/>
  <c r="K232" i="61"/>
  <c r="N232" i="61" s="1"/>
  <c r="L231" i="61"/>
  <c r="O231" i="61" s="1"/>
  <c r="K231" i="61"/>
  <c r="N231" i="61" s="1"/>
  <c r="L230" i="61"/>
  <c r="O230" i="61" s="1"/>
  <c r="K230" i="61"/>
  <c r="N230" i="61" s="1"/>
  <c r="L229" i="61"/>
  <c r="O229" i="61" s="1"/>
  <c r="K229" i="61"/>
  <c r="N229" i="61" s="1"/>
  <c r="L228" i="61"/>
  <c r="O228" i="61" s="1"/>
  <c r="K228" i="61"/>
  <c r="N228" i="61" s="1"/>
  <c r="L227" i="61"/>
  <c r="O227" i="61" s="1"/>
  <c r="K227" i="61"/>
  <c r="N227" i="61" s="1"/>
  <c r="L226" i="61"/>
  <c r="O226" i="61" s="1"/>
  <c r="K226" i="61"/>
  <c r="N226" i="61" s="1"/>
  <c r="L225" i="61"/>
  <c r="O225" i="61" s="1"/>
  <c r="K225" i="61"/>
  <c r="N225" i="61" s="1"/>
  <c r="L224" i="61"/>
  <c r="O224" i="61" s="1"/>
  <c r="K224" i="61"/>
  <c r="N224" i="61" s="1"/>
  <c r="L223" i="61"/>
  <c r="O223" i="61" s="1"/>
  <c r="K223" i="61"/>
  <c r="N223" i="61" s="1"/>
  <c r="L222" i="61"/>
  <c r="O222" i="61" s="1"/>
  <c r="K222" i="61"/>
  <c r="N222" i="61" s="1"/>
  <c r="L221" i="61"/>
  <c r="O221" i="61" s="1"/>
  <c r="K221" i="61"/>
  <c r="N221" i="61" s="1"/>
  <c r="L220" i="61"/>
  <c r="O220" i="61" s="1"/>
  <c r="K220" i="61"/>
  <c r="N220" i="61" s="1"/>
  <c r="L219" i="61"/>
  <c r="O219" i="61" s="1"/>
  <c r="K219" i="61"/>
  <c r="N219" i="61" s="1"/>
  <c r="N218" i="61"/>
  <c r="L218" i="61"/>
  <c r="O218" i="61" s="1"/>
  <c r="K218" i="61"/>
  <c r="L217" i="61"/>
  <c r="O217" i="61" s="1"/>
  <c r="K217" i="61"/>
  <c r="N217" i="61" s="1"/>
  <c r="L216" i="61"/>
  <c r="O216" i="61" s="1"/>
  <c r="K216" i="61"/>
  <c r="N216" i="61" s="1"/>
  <c r="O215" i="61"/>
  <c r="L215" i="61"/>
  <c r="K215" i="61"/>
  <c r="N215" i="61" s="1"/>
  <c r="L214" i="61"/>
  <c r="O214" i="61" s="1"/>
  <c r="K214" i="61"/>
  <c r="N214" i="61" s="1"/>
  <c r="L213" i="61"/>
  <c r="O213" i="61" s="1"/>
  <c r="K213" i="61"/>
  <c r="N213" i="61" s="1"/>
  <c r="L212" i="61"/>
  <c r="O212" i="61" s="1"/>
  <c r="K212" i="61"/>
  <c r="N212" i="61" s="1"/>
  <c r="L211" i="61"/>
  <c r="O211" i="61" s="1"/>
  <c r="K211" i="61"/>
  <c r="N211" i="61" s="1"/>
  <c r="N210" i="61"/>
  <c r="L210" i="61"/>
  <c r="O210" i="61" s="1"/>
  <c r="K210" i="61"/>
  <c r="L209" i="61"/>
  <c r="O209" i="61" s="1"/>
  <c r="K209" i="61"/>
  <c r="N209" i="61" s="1"/>
  <c r="L208" i="61"/>
  <c r="O208" i="61" s="1"/>
  <c r="K208" i="61"/>
  <c r="N208" i="61" s="1"/>
  <c r="L207" i="61"/>
  <c r="O207" i="61" s="1"/>
  <c r="K207" i="61"/>
  <c r="N207" i="61" s="1"/>
  <c r="N206" i="61"/>
  <c r="L206" i="61"/>
  <c r="O206" i="61" s="1"/>
  <c r="K206" i="61"/>
  <c r="L205" i="61"/>
  <c r="O205" i="61" s="1"/>
  <c r="K205" i="61"/>
  <c r="N205" i="61" s="1"/>
  <c r="L204" i="61"/>
  <c r="O204" i="61" s="1"/>
  <c r="K204" i="61"/>
  <c r="N204" i="61" s="1"/>
  <c r="O203" i="61"/>
  <c r="L203" i="61"/>
  <c r="K203" i="61"/>
  <c r="N203" i="61" s="1"/>
  <c r="N202" i="61"/>
  <c r="L202" i="61"/>
  <c r="O202" i="61" s="1"/>
  <c r="K202" i="61"/>
  <c r="L201" i="61"/>
  <c r="O201" i="61" s="1"/>
  <c r="K201" i="61"/>
  <c r="N201" i="61" s="1"/>
  <c r="L200" i="61"/>
  <c r="O200" i="61" s="1"/>
  <c r="K200" i="61"/>
  <c r="N200" i="61" s="1"/>
  <c r="L199" i="61"/>
  <c r="O199" i="61" s="1"/>
  <c r="K199" i="61"/>
  <c r="N199" i="61" s="1"/>
  <c r="L198" i="61"/>
  <c r="O198" i="61" s="1"/>
  <c r="K198" i="61"/>
  <c r="N198" i="61" s="1"/>
  <c r="L197" i="61"/>
  <c r="O197" i="61" s="1"/>
  <c r="K197" i="61"/>
  <c r="N197" i="61" s="1"/>
  <c r="L124" i="61"/>
  <c r="O124" i="61" s="1"/>
  <c r="L122" i="61"/>
  <c r="O122" i="61" s="1"/>
  <c r="L120" i="61"/>
  <c r="O120" i="61" s="1"/>
  <c r="L118" i="61"/>
  <c r="O118" i="61" s="1"/>
  <c r="L116" i="61"/>
  <c r="O116" i="61" s="1"/>
  <c r="L114" i="61"/>
  <c r="O114" i="61" s="1"/>
  <c r="L112" i="61"/>
  <c r="O112" i="61" s="1"/>
  <c r="L110" i="61"/>
  <c r="O110" i="61" s="1"/>
  <c r="L108" i="61"/>
  <c r="O108" i="61" s="1"/>
  <c r="L106" i="61"/>
  <c r="O106" i="61" s="1"/>
  <c r="L104" i="61"/>
  <c r="O104" i="61" s="1"/>
  <c r="L102" i="61"/>
  <c r="O102" i="61" s="1"/>
  <c r="L100" i="61"/>
  <c r="O100" i="61" s="1"/>
  <c r="J100" i="61"/>
  <c r="M100" i="61" s="1"/>
  <c r="L99" i="61"/>
  <c r="O99" i="61" s="1"/>
  <c r="J99" i="61"/>
  <c r="M99" i="61" s="1"/>
  <c r="L98" i="61"/>
  <c r="O98" i="61" s="1"/>
  <c r="J98" i="61"/>
  <c r="M98" i="61" s="1"/>
  <c r="M97" i="61"/>
  <c r="L97" i="61"/>
  <c r="O97" i="61" s="1"/>
  <c r="J97" i="61"/>
  <c r="L96" i="61"/>
  <c r="O96" i="61" s="1"/>
  <c r="J96" i="61"/>
  <c r="M96" i="61" s="1"/>
  <c r="L95" i="61"/>
  <c r="O95" i="61" s="1"/>
  <c r="J95" i="61"/>
  <c r="M95" i="61" s="1"/>
  <c r="O94" i="61"/>
  <c r="L94" i="61"/>
  <c r="J94" i="61"/>
  <c r="M94" i="61" s="1"/>
  <c r="L93" i="61"/>
  <c r="O93" i="61" s="1"/>
  <c r="J93" i="61"/>
  <c r="M93" i="61" s="1"/>
  <c r="O92" i="61"/>
  <c r="L92" i="61"/>
  <c r="J92" i="61"/>
  <c r="M92" i="61" s="1"/>
  <c r="L91" i="61"/>
  <c r="O91" i="61" s="1"/>
  <c r="J91" i="61"/>
  <c r="M91" i="61" s="1"/>
  <c r="L90" i="61"/>
  <c r="O90" i="61" s="1"/>
  <c r="J90" i="61"/>
  <c r="M90" i="61" s="1"/>
  <c r="M89" i="61"/>
  <c r="L89" i="61"/>
  <c r="O89" i="61" s="1"/>
  <c r="J89" i="61"/>
  <c r="L88" i="61"/>
  <c r="O88" i="61" s="1"/>
  <c r="J88" i="61"/>
  <c r="M88" i="61" s="1"/>
  <c r="L87" i="61"/>
  <c r="O87" i="61" s="1"/>
  <c r="J87" i="61"/>
  <c r="M87" i="61" s="1"/>
  <c r="L86" i="61"/>
  <c r="O86" i="61" s="1"/>
  <c r="J86" i="61"/>
  <c r="M86" i="61" s="1"/>
  <c r="L85" i="61"/>
  <c r="O85" i="61" s="1"/>
  <c r="J85" i="61"/>
  <c r="M85" i="61" s="1"/>
  <c r="L84" i="61"/>
  <c r="O84" i="61" s="1"/>
  <c r="J84" i="61"/>
  <c r="M84" i="61" s="1"/>
  <c r="L83" i="61"/>
  <c r="O83" i="61" s="1"/>
  <c r="J83" i="61"/>
  <c r="M83" i="61" s="1"/>
  <c r="L82" i="61"/>
  <c r="O82" i="61" s="1"/>
  <c r="J82" i="61"/>
  <c r="M82" i="61" s="1"/>
  <c r="L81" i="61"/>
  <c r="O81" i="61" s="1"/>
  <c r="J81" i="61"/>
  <c r="M81" i="61" s="1"/>
  <c r="L80" i="61"/>
  <c r="O80" i="61" s="1"/>
  <c r="J80" i="61"/>
  <c r="M80" i="61" s="1"/>
  <c r="L79" i="61"/>
  <c r="O79" i="61" s="1"/>
  <c r="J79" i="61"/>
  <c r="M79" i="61" s="1"/>
  <c r="L78" i="61"/>
  <c r="O78" i="61" s="1"/>
  <c r="J78" i="61"/>
  <c r="M78" i="61" s="1"/>
  <c r="L77" i="61"/>
  <c r="O77" i="61" s="1"/>
  <c r="J77" i="61"/>
  <c r="M77" i="61" s="1"/>
  <c r="L76" i="61"/>
  <c r="O76" i="61" s="1"/>
  <c r="L74" i="61"/>
  <c r="O74" i="61" s="1"/>
  <c r="L72" i="61"/>
  <c r="O72" i="61" s="1"/>
  <c r="L69" i="61"/>
  <c r="O69" i="61" s="1"/>
  <c r="L67" i="61"/>
  <c r="O67" i="61" s="1"/>
  <c r="L65" i="61"/>
  <c r="O65" i="61" s="1"/>
  <c r="L63" i="61"/>
  <c r="O63" i="61" s="1"/>
  <c r="L61" i="61"/>
  <c r="O61" i="61" s="1"/>
  <c r="L59" i="61"/>
  <c r="O59" i="61" s="1"/>
  <c r="L57" i="61"/>
  <c r="O57" i="61" s="1"/>
  <c r="L55" i="61"/>
  <c r="O55" i="61" s="1"/>
  <c r="L53" i="61"/>
  <c r="O53" i="61" s="1"/>
  <c r="L51" i="61"/>
  <c r="O51" i="61" s="1"/>
  <c r="L50" i="61"/>
  <c r="O50" i="61" s="1"/>
  <c r="L49" i="61"/>
  <c r="O49" i="61" s="1"/>
  <c r="L48" i="61"/>
  <c r="O48" i="61" s="1"/>
  <c r="L47" i="61"/>
  <c r="O47" i="61" s="1"/>
  <c r="L46" i="61"/>
  <c r="O46" i="61" s="1"/>
  <c r="L45" i="61"/>
  <c r="O45" i="61" s="1"/>
  <c r="L44" i="61"/>
  <c r="O44" i="61" s="1"/>
  <c r="L43" i="61"/>
  <c r="O43" i="61" s="1"/>
  <c r="L42" i="61"/>
  <c r="O42" i="61" s="1"/>
  <c r="L41" i="61"/>
  <c r="O41" i="61" s="1"/>
  <c r="L40" i="61"/>
  <c r="O40" i="61" s="1"/>
  <c r="M39" i="61"/>
  <c r="L39" i="61"/>
  <c r="O39" i="61" s="1"/>
  <c r="J39" i="61"/>
  <c r="L38" i="61"/>
  <c r="O38" i="61" s="1"/>
  <c r="J38" i="61"/>
  <c r="M38" i="61" s="1"/>
  <c r="L37" i="61"/>
  <c r="O37" i="61" s="1"/>
  <c r="J37" i="61"/>
  <c r="M37" i="61" s="1"/>
  <c r="O36" i="61"/>
  <c r="L36" i="61"/>
  <c r="J36" i="61"/>
  <c r="M36" i="61" s="1"/>
  <c r="M35" i="61"/>
  <c r="L35" i="61"/>
  <c r="O35" i="61" s="1"/>
  <c r="J35" i="61"/>
  <c r="L34" i="61"/>
  <c r="O34" i="61" s="1"/>
  <c r="J34" i="61"/>
  <c r="M34" i="61" s="1"/>
  <c r="L33" i="61"/>
  <c r="O33" i="61" s="1"/>
  <c r="J33" i="61"/>
  <c r="M33" i="61" s="1"/>
  <c r="O32" i="61"/>
  <c r="L32" i="61"/>
  <c r="J32" i="61"/>
  <c r="M32" i="61" s="1"/>
  <c r="L31" i="61"/>
  <c r="O31" i="61" s="1"/>
  <c r="J31" i="61"/>
  <c r="M31" i="61" s="1"/>
  <c r="L30" i="61"/>
  <c r="O30" i="61" s="1"/>
  <c r="J30" i="61"/>
  <c r="M30" i="61" s="1"/>
  <c r="L29" i="61"/>
  <c r="O29" i="61" s="1"/>
  <c r="J29" i="61"/>
  <c r="M29" i="61" s="1"/>
  <c r="L28" i="61"/>
  <c r="O28" i="61" s="1"/>
  <c r="J28" i="61"/>
  <c r="M28" i="61" s="1"/>
  <c r="M27" i="61"/>
  <c r="L27" i="61"/>
  <c r="O27" i="61" s="1"/>
  <c r="J27" i="61"/>
  <c r="L26" i="61"/>
  <c r="O26" i="61" s="1"/>
  <c r="J26" i="61"/>
  <c r="M26" i="61" s="1"/>
  <c r="L25" i="61"/>
  <c r="O25" i="61" s="1"/>
  <c r="L24" i="61"/>
  <c r="O24" i="61" s="1"/>
  <c r="L23" i="61"/>
  <c r="O23" i="61" s="1"/>
  <c r="L22" i="61"/>
  <c r="O22" i="61" s="1"/>
  <c r="L21" i="61"/>
  <c r="O21" i="61" s="1"/>
  <c r="O20" i="61"/>
  <c r="L20" i="61"/>
  <c r="L19" i="61"/>
  <c r="O19" i="61" s="1"/>
  <c r="O18" i="61"/>
  <c r="L18" i="61"/>
  <c r="L17" i="61"/>
  <c r="O17" i="61" s="1"/>
  <c r="L16" i="61"/>
  <c r="O16" i="61" s="1"/>
  <c r="L15" i="61"/>
  <c r="O15" i="61" s="1"/>
  <c r="L14" i="61"/>
  <c r="O14" i="61" s="1"/>
  <c r="M13" i="61"/>
  <c r="L13" i="61"/>
  <c r="O13" i="61" s="1"/>
  <c r="J13" i="61"/>
  <c r="L12" i="61"/>
  <c r="O12" i="61" s="1"/>
  <c r="J12" i="61"/>
  <c r="M12" i="61" s="1"/>
  <c r="L11" i="61"/>
  <c r="O11" i="61" s="1"/>
  <c r="J11" i="61"/>
  <c r="M11" i="61" s="1"/>
  <c r="L10" i="61"/>
  <c r="O10" i="61" s="1"/>
  <c r="J10" i="61"/>
  <c r="M10" i="61" s="1"/>
  <c r="L9" i="61"/>
  <c r="O9" i="61" s="1"/>
  <c r="J9" i="61"/>
  <c r="M9" i="61" s="1"/>
  <c r="L8" i="61"/>
  <c r="O8" i="61" s="1"/>
  <c r="J8" i="61"/>
  <c r="M8" i="61" s="1"/>
  <c r="L7" i="61"/>
  <c r="O7" i="61" s="1"/>
  <c r="J7" i="61"/>
  <c r="M7" i="61" s="1"/>
  <c r="L6" i="61"/>
  <c r="O6" i="61" s="1"/>
  <c r="J6" i="61"/>
  <c r="M6" i="61" s="1"/>
  <c r="M5" i="61"/>
  <c r="L5" i="61"/>
  <c r="O5" i="61" s="1"/>
  <c r="J5" i="61"/>
  <c r="L4" i="61"/>
  <c r="O4" i="61" s="1"/>
  <c r="J4" i="61"/>
  <c r="M4" i="61" s="1"/>
  <c r="L3" i="61"/>
  <c r="O3" i="61" s="1"/>
  <c r="J3" i="61"/>
  <c r="M3" i="61" s="1"/>
  <c r="O2" i="61"/>
  <c r="L2" i="61"/>
  <c r="J2" i="61"/>
  <c r="M2" i="61" s="1"/>
  <c r="X1844" i="57"/>
  <c r="W1844" i="57"/>
  <c r="X1843" i="57"/>
  <c r="W1843" i="57"/>
  <c r="X1842" i="57"/>
  <c r="W1842" i="57"/>
  <c r="X1841" i="57"/>
  <c r="AD1841" i="57" s="1"/>
  <c r="W1841" i="57"/>
  <c r="X1840" i="57"/>
  <c r="W1840" i="57"/>
  <c r="X1839" i="57"/>
  <c r="W1839" i="57"/>
  <c r="X1838" i="57"/>
  <c r="W1838" i="57"/>
  <c r="X1837" i="57"/>
  <c r="W1837" i="57"/>
  <c r="X1836" i="57"/>
  <c r="W1836" i="57"/>
  <c r="X1835" i="57"/>
  <c r="AD1835" i="57" s="1"/>
  <c r="W1835" i="57"/>
  <c r="X1834" i="57"/>
  <c r="W1834" i="57"/>
  <c r="X1833" i="57"/>
  <c r="W1833" i="57"/>
  <c r="X1832" i="57"/>
  <c r="W1832" i="57"/>
  <c r="X1831" i="57"/>
  <c r="W1831" i="57"/>
  <c r="X1830" i="57"/>
  <c r="W1830" i="57"/>
  <c r="X1189" i="57"/>
  <c r="AD1189" i="57" s="1"/>
  <c r="W1189" i="57"/>
  <c r="X1188" i="57"/>
  <c r="W1188" i="57"/>
  <c r="X1187" i="57"/>
  <c r="W1187" i="57"/>
  <c r="X1186" i="57"/>
  <c r="W1186" i="57"/>
  <c r="X1185" i="57"/>
  <c r="W1185" i="57"/>
  <c r="X1184" i="57"/>
  <c r="W1184" i="57"/>
  <c r="X1183" i="57"/>
  <c r="W1183" i="57"/>
  <c r="X1182" i="57"/>
  <c r="W1182" i="57"/>
  <c r="X1181" i="57"/>
  <c r="W1181" i="57"/>
  <c r="X1180" i="57"/>
  <c r="W1180" i="57"/>
  <c r="X1179" i="57"/>
  <c r="W1179" i="57"/>
  <c r="X1178" i="57"/>
  <c r="W1178" i="57"/>
  <c r="X1177" i="57"/>
  <c r="AD1177" i="57" s="1"/>
  <c r="W1177" i="57"/>
  <c r="V1176" i="57"/>
  <c r="V1175" i="57"/>
  <c r="V1174" i="57"/>
  <c r="V1173" i="57"/>
  <c r="V1172" i="57"/>
  <c r="V1171" i="57"/>
  <c r="V1170" i="57"/>
  <c r="V1169" i="57"/>
  <c r="V1168" i="57"/>
  <c r="V1167" i="57"/>
  <c r="V1166" i="57"/>
  <c r="AB1166" i="57" s="1"/>
  <c r="V1165" i="57"/>
  <c r="V1164" i="57"/>
  <c r="V1163" i="57"/>
  <c r="X1162" i="57"/>
  <c r="W1162" i="57"/>
  <c r="X1161" i="57"/>
  <c r="W1161" i="57"/>
  <c r="X1160" i="57"/>
  <c r="W1160" i="57"/>
  <c r="X1159" i="57"/>
  <c r="W1159" i="57"/>
  <c r="X1158" i="57"/>
  <c r="AD1158" i="57" s="1"/>
  <c r="W1158" i="57"/>
  <c r="X1157" i="57"/>
  <c r="W1157" i="57"/>
  <c r="X1156" i="57"/>
  <c r="W1156" i="57"/>
  <c r="X1155" i="57"/>
  <c r="W1155" i="57"/>
  <c r="X1154" i="57"/>
  <c r="W1154" i="57"/>
  <c r="X1153" i="57"/>
  <c r="W1153" i="57"/>
  <c r="X1152" i="57"/>
  <c r="AD1152" i="57" s="1"/>
  <c r="W1152" i="57"/>
  <c r="X1151" i="57"/>
  <c r="W1151" i="57"/>
  <c r="X1150" i="57"/>
  <c r="W1150" i="57"/>
  <c r="X1149" i="57"/>
  <c r="W1149" i="57"/>
  <c r="X1148" i="57"/>
  <c r="W1148" i="57"/>
  <c r="X1147" i="57"/>
  <c r="W1147" i="57"/>
  <c r="X1146" i="57"/>
  <c r="AD1146" i="57" s="1"/>
  <c r="W1146" i="57"/>
  <c r="X1145" i="57"/>
  <c r="W1145" i="57"/>
  <c r="X1144" i="57"/>
  <c r="W1144" i="57"/>
  <c r="X1143" i="57"/>
  <c r="W1143" i="57"/>
  <c r="X1142" i="57"/>
  <c r="W1142" i="57"/>
  <c r="X1141" i="57"/>
  <c r="W1141" i="57"/>
  <c r="X1140" i="57"/>
  <c r="AD1140" i="57" s="1"/>
  <c r="W1140" i="57"/>
  <c r="X1139" i="57"/>
  <c r="W1139" i="57"/>
  <c r="X1138" i="57"/>
  <c r="W1138" i="57"/>
  <c r="X1137" i="57"/>
  <c r="W1137" i="57"/>
  <c r="X1136" i="57"/>
  <c r="W1136" i="57"/>
  <c r="X1135" i="57"/>
  <c r="W1135" i="57"/>
  <c r="X1134" i="57"/>
  <c r="AD1134" i="57" s="1"/>
  <c r="W1134" i="57"/>
  <c r="X1133" i="57"/>
  <c r="W1133" i="57"/>
  <c r="X1132" i="57"/>
  <c r="W1132" i="57"/>
  <c r="X1131" i="57"/>
  <c r="W1131" i="57"/>
  <c r="X1130" i="57"/>
  <c r="W1130" i="57"/>
  <c r="X1129" i="57"/>
  <c r="W1129" i="57"/>
  <c r="X1128" i="57"/>
  <c r="AD1128" i="57" s="1"/>
  <c r="W1128" i="57"/>
  <c r="X1127" i="57"/>
  <c r="W1127" i="57"/>
  <c r="X1126" i="57"/>
  <c r="W1126" i="57"/>
  <c r="V1125" i="57"/>
  <c r="V1124" i="57"/>
  <c r="V1123" i="57"/>
  <c r="V1122" i="57"/>
  <c r="V1121" i="57"/>
  <c r="V1120" i="57"/>
  <c r="V1119" i="57"/>
  <c r="V1118" i="57"/>
  <c r="V1117" i="57"/>
  <c r="V1116" i="57"/>
  <c r="V1115" i="57"/>
  <c r="V1114" i="57"/>
  <c r="V1113" i="57"/>
  <c r="V1112" i="57"/>
  <c r="V1111" i="57"/>
  <c r="V1110" i="57"/>
  <c r="V1109" i="57"/>
  <c r="V1108" i="57"/>
  <c r="V1107" i="57"/>
  <c r="V1106" i="57"/>
  <c r="V1105" i="57"/>
  <c r="V1104" i="57"/>
  <c r="V1103" i="57"/>
  <c r="V1102" i="57"/>
  <c r="V1101" i="57"/>
  <c r="V1100" i="57"/>
  <c r="V1099" i="57"/>
  <c r="V1098" i="57"/>
  <c r="V1097" i="57"/>
  <c r="X1096" i="57"/>
  <c r="W1096" i="57"/>
  <c r="AC1096" i="57" s="1"/>
  <c r="X1095" i="57"/>
  <c r="W1095" i="57"/>
  <c r="X1094" i="57"/>
  <c r="W1094" i="57"/>
  <c r="X1093" i="57"/>
  <c r="W1093" i="57"/>
  <c r="X1092" i="57"/>
  <c r="W1092" i="57"/>
  <c r="X1091" i="57"/>
  <c r="W1091" i="57"/>
  <c r="X1090" i="57"/>
  <c r="W1090" i="57"/>
  <c r="X1089" i="57"/>
  <c r="W1089" i="57"/>
  <c r="X1088" i="57"/>
  <c r="W1088" i="57"/>
  <c r="X1087" i="57"/>
  <c r="W1087" i="57"/>
  <c r="X1086" i="57"/>
  <c r="W1086" i="57"/>
  <c r="X1085" i="57"/>
  <c r="W1085" i="57"/>
  <c r="X1084" i="57"/>
  <c r="W1084" i="57"/>
  <c r="AC1084" i="57" s="1"/>
  <c r="X1083" i="57"/>
  <c r="W1083" i="57"/>
  <c r="X1082" i="57"/>
  <c r="W1082" i="57"/>
  <c r="X1081" i="57"/>
  <c r="W1081" i="57"/>
  <c r="X1080" i="57"/>
  <c r="W1080" i="57"/>
  <c r="X1079" i="57"/>
  <c r="W1079" i="57"/>
  <c r="X1078" i="57"/>
  <c r="W1078" i="57"/>
  <c r="X1077" i="57"/>
  <c r="W1077" i="57"/>
  <c r="X1076" i="57"/>
  <c r="W1076" i="57"/>
  <c r="X1075" i="57"/>
  <c r="W1075" i="57"/>
  <c r="X1074" i="57"/>
  <c r="W1074" i="57"/>
  <c r="X1073" i="57"/>
  <c r="W1073" i="57"/>
  <c r="X1072" i="57"/>
  <c r="W1072" i="57"/>
  <c r="AC1072" i="57" s="1"/>
  <c r="X1071" i="57"/>
  <c r="W1071" i="57"/>
  <c r="X1070" i="57"/>
  <c r="W1070" i="57"/>
  <c r="X1069" i="57"/>
  <c r="W1069" i="57"/>
  <c r="X1068" i="57"/>
  <c r="W1068" i="57"/>
  <c r="X1067" i="57"/>
  <c r="W1067" i="57"/>
  <c r="X1066" i="57"/>
  <c r="W1066" i="57"/>
  <c r="X1065" i="57"/>
  <c r="W1065" i="57"/>
  <c r="X1064" i="57"/>
  <c r="W1064" i="57"/>
  <c r="X1063" i="57"/>
  <c r="W1063" i="57"/>
  <c r="X1062" i="57"/>
  <c r="W1062" i="57"/>
  <c r="X1061" i="57"/>
  <c r="W1061" i="57"/>
  <c r="X1060" i="57"/>
  <c r="W1060" i="57"/>
  <c r="AC1060" i="57" s="1"/>
  <c r="X1059" i="57"/>
  <c r="W1059" i="57"/>
  <c r="X1058" i="57"/>
  <c r="W1058" i="57"/>
  <c r="X1057" i="57"/>
  <c r="W1057" i="57"/>
  <c r="X1056" i="57"/>
  <c r="W1056" i="57"/>
  <c r="X1055" i="57"/>
  <c r="W1055" i="57"/>
  <c r="X1054" i="57"/>
  <c r="W1054" i="57"/>
  <c r="X1053" i="57"/>
  <c r="W1053" i="57"/>
  <c r="X1052" i="57"/>
  <c r="W1052" i="57"/>
  <c r="X1051" i="57"/>
  <c r="W1051" i="57"/>
  <c r="X1050" i="57"/>
  <c r="W1050" i="57"/>
  <c r="X1049" i="57"/>
  <c r="W1049" i="57"/>
  <c r="X1048" i="57"/>
  <c r="W1048" i="57"/>
  <c r="AC1048" i="57" s="1"/>
  <c r="X1047" i="57"/>
  <c r="W1047" i="57"/>
  <c r="V1046" i="57"/>
  <c r="V1045" i="57"/>
  <c r="V1044" i="57"/>
  <c r="V1043" i="57"/>
  <c r="V1042" i="57"/>
  <c r="V1041" i="57"/>
  <c r="V1040" i="57"/>
  <c r="V1039" i="57"/>
  <c r="V1038" i="57"/>
  <c r="V1037" i="57"/>
  <c r="AB1037" i="57" s="1"/>
  <c r="V1036" i="57"/>
  <c r="V1035" i="57"/>
  <c r="V1034" i="57"/>
  <c r="V1033" i="57"/>
  <c r="V1032" i="57"/>
  <c r="V1031" i="57"/>
  <c r="V1030" i="57"/>
  <c r="V1029" i="57"/>
  <c r="V1028" i="57"/>
  <c r="V1027" i="57"/>
  <c r="V1026" i="57"/>
  <c r="V1025" i="57"/>
  <c r="AB1025" i="57" s="1"/>
  <c r="V1024" i="57"/>
  <c r="V1023" i="57"/>
  <c r="V1022" i="57"/>
  <c r="V1021" i="57"/>
  <c r="X1020" i="57"/>
  <c r="W1020" i="57"/>
  <c r="X1019" i="57"/>
  <c r="W1019" i="57"/>
  <c r="X1018" i="57"/>
  <c r="W1018" i="57"/>
  <c r="X1017" i="57"/>
  <c r="W1017" i="57"/>
  <c r="AC1017" i="57" s="1"/>
  <c r="X1016" i="57"/>
  <c r="W1016" i="57"/>
  <c r="X1015" i="57"/>
  <c r="W1015" i="57"/>
  <c r="X1014" i="57"/>
  <c r="W1014" i="57"/>
  <c r="X1013" i="57"/>
  <c r="W1013" i="57"/>
  <c r="X1012" i="57"/>
  <c r="W1012" i="57"/>
  <c r="X1011" i="57"/>
  <c r="W1011" i="57"/>
  <c r="X1010" i="57"/>
  <c r="W1010" i="57"/>
  <c r="X1009" i="57"/>
  <c r="W1009" i="57"/>
  <c r="X1008" i="57"/>
  <c r="W1008" i="57"/>
  <c r="X1007" i="57"/>
  <c r="W1007" i="57"/>
  <c r="X1006" i="57"/>
  <c r="W1006" i="57"/>
  <c r="X1005" i="57"/>
  <c r="W1005" i="57"/>
  <c r="AC1005" i="57" s="1"/>
  <c r="X1004" i="57"/>
  <c r="W1004" i="57"/>
  <c r="X1003" i="57"/>
  <c r="W1003" i="57"/>
  <c r="AD836" i="58"/>
  <c r="X836" i="58"/>
  <c r="W836" i="58"/>
  <c r="AD835" i="58"/>
  <c r="X835" i="58"/>
  <c r="W835" i="58"/>
  <c r="AD834" i="58"/>
  <c r="X834" i="58"/>
  <c r="W834" i="58"/>
  <c r="AD833" i="58"/>
  <c r="X833" i="58"/>
  <c r="W833" i="58"/>
  <c r="AD832" i="58"/>
  <c r="X832" i="58"/>
  <c r="W832" i="58"/>
  <c r="AD831" i="58"/>
  <c r="X831" i="58"/>
  <c r="W831" i="58"/>
  <c r="AD830" i="58"/>
  <c r="X830" i="58"/>
  <c r="W830" i="58"/>
  <c r="AD829" i="58"/>
  <c r="X829" i="58"/>
  <c r="W829" i="58"/>
  <c r="AD828" i="58"/>
  <c r="X828" i="58"/>
  <c r="W828" i="58"/>
  <c r="AD827" i="58"/>
  <c r="X827" i="58"/>
  <c r="W827" i="58"/>
  <c r="AD826" i="58"/>
  <c r="X826" i="58"/>
  <c r="W826" i="58"/>
  <c r="AD825" i="58"/>
  <c r="X825" i="58"/>
  <c r="W825" i="58"/>
  <c r="AD824" i="58"/>
  <c r="X824" i="58"/>
  <c r="W824" i="58"/>
  <c r="AD823" i="58"/>
  <c r="X823" i="58"/>
  <c r="W823" i="58"/>
  <c r="AD822" i="58"/>
  <c r="AD11" i="61" s="1"/>
  <c r="X822" i="58"/>
  <c r="W822" i="58"/>
  <c r="AD520" i="58"/>
  <c r="X520" i="58"/>
  <c r="W520" i="58"/>
  <c r="AD519" i="58"/>
  <c r="X519" i="58"/>
  <c r="W519" i="58"/>
  <c r="AD518" i="58"/>
  <c r="X518" i="58"/>
  <c r="W518" i="58"/>
  <c r="AD517" i="58"/>
  <c r="X517" i="58"/>
  <c r="W517" i="58"/>
  <c r="AD516" i="58"/>
  <c r="X516" i="58"/>
  <c r="W516" i="58"/>
  <c r="AD515" i="58"/>
  <c r="X515" i="58"/>
  <c r="W515" i="58"/>
  <c r="AD514" i="58"/>
  <c r="X514" i="58"/>
  <c r="W514" i="58"/>
  <c r="AD513" i="58"/>
  <c r="X513" i="58"/>
  <c r="W513" i="58"/>
  <c r="AD512" i="58"/>
  <c r="X512" i="58"/>
  <c r="W512" i="58"/>
  <c r="AD511" i="58"/>
  <c r="X511" i="58"/>
  <c r="W511" i="58"/>
  <c r="AD510" i="58"/>
  <c r="X510" i="58"/>
  <c r="W510" i="58"/>
  <c r="AD509" i="58"/>
  <c r="X509" i="58"/>
  <c r="W509" i="58"/>
  <c r="AD508" i="58"/>
  <c r="X508" i="58"/>
  <c r="W508" i="58"/>
  <c r="AE507" i="58"/>
  <c r="V507" i="58"/>
  <c r="AB507" i="58" s="1"/>
  <c r="AE506" i="58"/>
  <c r="V506" i="58"/>
  <c r="AB506" i="58" s="1"/>
  <c r="AE505" i="58"/>
  <c r="V505" i="58"/>
  <c r="AB505" i="58" s="1"/>
  <c r="AE504" i="58"/>
  <c r="V504" i="58"/>
  <c r="AB504" i="58" s="1"/>
  <c r="AE503" i="58"/>
  <c r="V503" i="58"/>
  <c r="AB503" i="58" s="1"/>
  <c r="AE502" i="58"/>
  <c r="V502" i="58"/>
  <c r="AB502" i="58" s="1"/>
  <c r="AE501" i="58"/>
  <c r="V501" i="58"/>
  <c r="AB501" i="58" s="1"/>
  <c r="AE500" i="58"/>
  <c r="V500" i="58"/>
  <c r="AB500" i="58" s="1"/>
  <c r="AE499" i="58"/>
  <c r="V499" i="58"/>
  <c r="AB499" i="58" s="1"/>
  <c r="AE498" i="58"/>
  <c r="V498" i="58"/>
  <c r="AB498" i="58" s="1"/>
  <c r="AE497" i="58"/>
  <c r="V497" i="58"/>
  <c r="AB497" i="58" s="1"/>
  <c r="AE496" i="58"/>
  <c r="V496" i="58"/>
  <c r="AB496" i="58" s="1"/>
  <c r="AE495" i="58"/>
  <c r="V495" i="58"/>
  <c r="AB495" i="58" s="1"/>
  <c r="AE494" i="58"/>
  <c r="V494" i="58"/>
  <c r="AB494" i="58" s="1"/>
  <c r="AD493" i="58"/>
  <c r="X493" i="58"/>
  <c r="W493" i="58"/>
  <c r="AD492" i="58"/>
  <c r="X492" i="58"/>
  <c r="W492" i="58"/>
  <c r="AD491" i="58"/>
  <c r="X491" i="58"/>
  <c r="W491" i="58"/>
  <c r="AD490" i="58"/>
  <c r="X490" i="58"/>
  <c r="W490" i="58"/>
  <c r="AD489" i="58"/>
  <c r="X489" i="58"/>
  <c r="W489" i="58"/>
  <c r="AD488" i="58"/>
  <c r="X488" i="58"/>
  <c r="W488" i="58"/>
  <c r="AD487" i="58"/>
  <c r="X487" i="58"/>
  <c r="W487" i="58"/>
  <c r="AD486" i="58"/>
  <c r="X486" i="58"/>
  <c r="W486" i="58"/>
  <c r="AD485" i="58"/>
  <c r="X485" i="58"/>
  <c r="W485" i="58"/>
  <c r="AD484" i="58"/>
  <c r="X484" i="58"/>
  <c r="W484" i="58"/>
  <c r="AD483" i="58"/>
  <c r="X483" i="58"/>
  <c r="W483" i="58"/>
  <c r="AD482" i="58"/>
  <c r="X482" i="58"/>
  <c r="W482" i="58"/>
  <c r="AD481" i="58"/>
  <c r="X481" i="58"/>
  <c r="W481" i="58"/>
  <c r="AD480" i="58"/>
  <c r="X480" i="58"/>
  <c r="W480" i="58"/>
  <c r="AD479" i="58"/>
  <c r="X479" i="58"/>
  <c r="W479" i="58"/>
  <c r="AD478" i="58"/>
  <c r="X478" i="58"/>
  <c r="W478" i="58"/>
  <c r="X478" i="57"/>
  <c r="W478" i="57"/>
  <c r="V478" i="57"/>
  <c r="AD477" i="58"/>
  <c r="X477" i="58"/>
  <c r="W477" i="58"/>
  <c r="AC477" i="58" s="1"/>
  <c r="X477" i="57"/>
  <c r="W477" i="57"/>
  <c r="V477" i="57"/>
  <c r="AD476" i="58"/>
  <c r="X476" i="58"/>
  <c r="W476" i="58"/>
  <c r="X476" i="57"/>
  <c r="W476" i="57"/>
  <c r="V476" i="57"/>
  <c r="AD475" i="58"/>
  <c r="X475" i="58"/>
  <c r="W475" i="58"/>
  <c r="AC475" i="58" s="1"/>
  <c r="X475" i="57"/>
  <c r="W475" i="57"/>
  <c r="V475" i="57"/>
  <c r="AD474" i="58"/>
  <c r="X474" i="58"/>
  <c r="W474" i="58"/>
  <c r="X474" i="57"/>
  <c r="W474" i="57"/>
  <c r="V474" i="57"/>
  <c r="AD473" i="58"/>
  <c r="X473" i="58"/>
  <c r="W473" i="58"/>
  <c r="AC473" i="58" s="1"/>
  <c r="X473" i="57"/>
  <c r="W473" i="57"/>
  <c r="V473" i="57"/>
  <c r="AD472" i="58"/>
  <c r="X472" i="58"/>
  <c r="W472" i="58"/>
  <c r="X472" i="57"/>
  <c r="W472" i="57"/>
  <c r="V472" i="57"/>
  <c r="AD471" i="58"/>
  <c r="X471" i="58"/>
  <c r="W471" i="58"/>
  <c r="AC471" i="58" s="1"/>
  <c r="X471" i="57"/>
  <c r="W471" i="57"/>
  <c r="V471" i="57"/>
  <c r="AD470" i="58"/>
  <c r="X470" i="58"/>
  <c r="W470" i="58"/>
  <c r="X470" i="57"/>
  <c r="W470" i="57"/>
  <c r="V470" i="57"/>
  <c r="AD469" i="58"/>
  <c r="X469" i="58"/>
  <c r="W469" i="58"/>
  <c r="AC469" i="58" s="1"/>
  <c r="X469" i="57"/>
  <c r="W469" i="57"/>
  <c r="V469" i="57"/>
  <c r="AD468" i="58"/>
  <c r="X468" i="58"/>
  <c r="W468" i="58"/>
  <c r="X468" i="57"/>
  <c r="W468" i="57"/>
  <c r="V468" i="57"/>
  <c r="AD467" i="58"/>
  <c r="X467" i="58"/>
  <c r="W467" i="58"/>
  <c r="AC467" i="58" s="1"/>
  <c r="X467" i="57"/>
  <c r="W467" i="57"/>
  <c r="V467" i="57"/>
  <c r="AD466" i="58"/>
  <c r="X466" i="58"/>
  <c r="W466" i="58"/>
  <c r="X466" i="57"/>
  <c r="W466" i="57"/>
  <c r="V466" i="57"/>
  <c r="AD465" i="58"/>
  <c r="X465" i="58"/>
  <c r="W465" i="58"/>
  <c r="AC465" i="58" s="1"/>
  <c r="X465" i="57"/>
  <c r="W465" i="57"/>
  <c r="V465" i="57"/>
  <c r="AD464" i="58"/>
  <c r="X464" i="58"/>
  <c r="W464" i="58"/>
  <c r="X464" i="57"/>
  <c r="W464" i="57"/>
  <c r="V464" i="57"/>
  <c r="AD463" i="58"/>
  <c r="X463" i="58"/>
  <c r="W463" i="58"/>
  <c r="AC463" i="58" s="1"/>
  <c r="X463" i="57"/>
  <c r="W463" i="57"/>
  <c r="V463" i="57"/>
  <c r="AD462" i="58"/>
  <c r="X462" i="58"/>
  <c r="W462" i="58"/>
  <c r="X462" i="57"/>
  <c r="W462" i="57"/>
  <c r="V462" i="57"/>
  <c r="AD461" i="58"/>
  <c r="X461" i="58"/>
  <c r="W461" i="58"/>
  <c r="AC461" i="58" s="1"/>
  <c r="X461" i="57"/>
  <c r="W461" i="57"/>
  <c r="V461" i="57"/>
  <c r="AD460" i="58"/>
  <c r="X460" i="58"/>
  <c r="W460" i="58"/>
  <c r="X460" i="57"/>
  <c r="W460" i="57"/>
  <c r="V460" i="57"/>
  <c r="AD459" i="58"/>
  <c r="X459" i="58"/>
  <c r="W459" i="58"/>
  <c r="AC459" i="58" s="1"/>
  <c r="X459" i="57"/>
  <c r="W459" i="57"/>
  <c r="V459" i="57"/>
  <c r="AD458" i="58"/>
  <c r="X458" i="58"/>
  <c r="W458" i="58"/>
  <c r="X458" i="57"/>
  <c r="W458" i="57"/>
  <c r="V458" i="57"/>
  <c r="AD457" i="58"/>
  <c r="X457" i="58"/>
  <c r="W457" i="58"/>
  <c r="AC457" i="58" s="1"/>
  <c r="X457" i="57"/>
  <c r="W457" i="57"/>
  <c r="V457" i="57"/>
  <c r="AE456" i="58"/>
  <c r="V456" i="58"/>
  <c r="AB456" i="58" s="1"/>
  <c r="X456" i="57"/>
  <c r="W456" i="57"/>
  <c r="AC456" i="57" s="1"/>
  <c r="V456" i="57"/>
  <c r="AE455" i="58"/>
  <c r="V455" i="58"/>
  <c r="AB455" i="58" s="1"/>
  <c r="X455" i="57"/>
  <c r="W455" i="57"/>
  <c r="V455" i="57"/>
  <c r="AE454" i="58"/>
  <c r="V454" i="58"/>
  <c r="AB454" i="58" s="1"/>
  <c r="X454" i="57"/>
  <c r="W454" i="57"/>
  <c r="V454" i="57"/>
  <c r="AE453" i="58"/>
  <c r="V453" i="58"/>
  <c r="AB453" i="58" s="1"/>
  <c r="X453" i="57"/>
  <c r="W453" i="57"/>
  <c r="AC453" i="57" s="1"/>
  <c r="V453" i="57"/>
  <c r="AE452" i="58"/>
  <c r="V452" i="58"/>
  <c r="AB452" i="58" s="1"/>
  <c r="X452" i="57"/>
  <c r="W452" i="57"/>
  <c r="V452" i="57"/>
  <c r="AE451" i="58"/>
  <c r="V451" i="58"/>
  <c r="AB451" i="58" s="1"/>
  <c r="X451" i="57"/>
  <c r="W451" i="57"/>
  <c r="V451" i="57"/>
  <c r="AE450" i="58"/>
  <c r="V450" i="58"/>
  <c r="AB450" i="58" s="1"/>
  <c r="X450" i="57"/>
  <c r="W450" i="57"/>
  <c r="AC450" i="57" s="1"/>
  <c r="V450" i="57"/>
  <c r="AE449" i="58"/>
  <c r="V449" i="58"/>
  <c r="AB449" i="58" s="1"/>
  <c r="X449" i="57"/>
  <c r="W449" i="57"/>
  <c r="V449" i="57"/>
  <c r="AE448" i="58"/>
  <c r="V448" i="58"/>
  <c r="AB448" i="58" s="1"/>
  <c r="X448" i="57"/>
  <c r="W448" i="57"/>
  <c r="V448" i="57"/>
  <c r="AE447" i="58"/>
  <c r="V447" i="58"/>
  <c r="AB447" i="58" s="1"/>
  <c r="X447" i="57"/>
  <c r="W447" i="57"/>
  <c r="V447" i="57"/>
  <c r="AE446" i="58"/>
  <c r="V446" i="58"/>
  <c r="AB446" i="58" s="1"/>
  <c r="X446" i="57"/>
  <c r="W446" i="57"/>
  <c r="AC446" i="57" s="1"/>
  <c r="V446" i="57"/>
  <c r="AB446" i="57" s="1"/>
  <c r="AE445" i="58"/>
  <c r="V445" i="58"/>
  <c r="AB445" i="58" s="1"/>
  <c r="X445" i="57"/>
  <c r="W445" i="57"/>
  <c r="V445" i="57"/>
  <c r="AE444" i="58"/>
  <c r="V444" i="58"/>
  <c r="AB444" i="58" s="1"/>
  <c r="X444" i="57"/>
  <c r="W444" i="57"/>
  <c r="AC444" i="57" s="1"/>
  <c r="V444" i="57"/>
  <c r="AE443" i="58"/>
  <c r="V443" i="58"/>
  <c r="AB443" i="58" s="1"/>
  <c r="X443" i="57"/>
  <c r="W443" i="57"/>
  <c r="V443" i="57"/>
  <c r="AE442" i="58"/>
  <c r="V442" i="58"/>
  <c r="AB442" i="58" s="1"/>
  <c r="X442" i="57"/>
  <c r="W442" i="57"/>
  <c r="V442" i="57"/>
  <c r="AE441" i="58"/>
  <c r="V441" i="58"/>
  <c r="AB441" i="58" s="1"/>
  <c r="X441" i="57"/>
  <c r="W441" i="57"/>
  <c r="AC441" i="57" s="1"/>
  <c r="V441" i="57"/>
  <c r="AE440" i="58"/>
  <c r="V440" i="58"/>
  <c r="AB440" i="58" s="1"/>
  <c r="X440" i="57"/>
  <c r="W440" i="57"/>
  <c r="V440" i="57"/>
  <c r="AE439" i="58"/>
  <c r="V439" i="58"/>
  <c r="AB439" i="58" s="1"/>
  <c r="X439" i="57"/>
  <c r="W439" i="57"/>
  <c r="V439" i="57"/>
  <c r="AE438" i="58"/>
  <c r="V438" i="58"/>
  <c r="AB438" i="58" s="1"/>
  <c r="X438" i="57"/>
  <c r="W438" i="57"/>
  <c r="AC438" i="57" s="1"/>
  <c r="V438" i="57"/>
  <c r="AE437" i="58"/>
  <c r="AB437" i="58"/>
  <c r="V437" i="58"/>
  <c r="X437" i="57"/>
  <c r="W437" i="57"/>
  <c r="V437" i="57"/>
  <c r="AE436" i="58"/>
  <c r="V436" i="58"/>
  <c r="AB436" i="58" s="1"/>
  <c r="X436" i="57"/>
  <c r="W436" i="57"/>
  <c r="AC436" i="57" s="1"/>
  <c r="V436" i="57"/>
  <c r="AE435" i="58"/>
  <c r="V435" i="58"/>
  <c r="AB435" i="58" s="1"/>
  <c r="X435" i="57"/>
  <c r="W435" i="57"/>
  <c r="V435" i="57"/>
  <c r="AE434" i="58"/>
  <c r="V434" i="58"/>
  <c r="AB434" i="58" s="1"/>
  <c r="X434" i="57"/>
  <c r="W434" i="57"/>
  <c r="AC434" i="57" s="1"/>
  <c r="V434" i="57"/>
  <c r="AE433" i="58"/>
  <c r="AB433" i="58"/>
  <c r="V433" i="58"/>
  <c r="X433" i="57"/>
  <c r="W433" i="57"/>
  <c r="V433" i="57"/>
  <c r="AE432" i="58"/>
  <c r="V432" i="58"/>
  <c r="AB432" i="58" s="1"/>
  <c r="X432" i="57"/>
  <c r="W432" i="57"/>
  <c r="AC432" i="57" s="1"/>
  <c r="V432" i="57"/>
  <c r="AB432" i="57" s="1"/>
  <c r="AE431" i="58"/>
  <c r="V431" i="58"/>
  <c r="AB431" i="58" s="1"/>
  <c r="X431" i="57"/>
  <c r="W431" i="57"/>
  <c r="V431" i="57"/>
  <c r="AE430" i="58"/>
  <c r="V430" i="58"/>
  <c r="AB430" i="58" s="1"/>
  <c r="X430" i="57"/>
  <c r="W430" i="57"/>
  <c r="AC430" i="57" s="1"/>
  <c r="V430" i="57"/>
  <c r="AE429" i="58"/>
  <c r="AB429" i="58"/>
  <c r="V429" i="58"/>
  <c r="X429" i="57"/>
  <c r="W429" i="57"/>
  <c r="V429" i="57"/>
  <c r="AE428" i="58"/>
  <c r="V428" i="58"/>
  <c r="AB428" i="58" s="1"/>
  <c r="AD427" i="58"/>
  <c r="X427" i="58"/>
  <c r="W427" i="58"/>
  <c r="AC427" i="58" s="1"/>
  <c r="AD426" i="58"/>
  <c r="X426" i="58"/>
  <c r="W426" i="58"/>
  <c r="AC426" i="58" s="1"/>
  <c r="AD425" i="58"/>
  <c r="X425" i="58"/>
  <c r="W425" i="58"/>
  <c r="AC425" i="58" s="1"/>
  <c r="AD424" i="58"/>
  <c r="X424" i="58"/>
  <c r="W424" i="58"/>
  <c r="AC424" i="58" s="1"/>
  <c r="AD423" i="58"/>
  <c r="X423" i="58"/>
  <c r="W423" i="58"/>
  <c r="AC423" i="58" s="1"/>
  <c r="AD422" i="58"/>
  <c r="X422" i="58"/>
  <c r="W422" i="58"/>
  <c r="AC422" i="58" s="1"/>
  <c r="AD421" i="58"/>
  <c r="X421" i="58"/>
  <c r="W421" i="58"/>
  <c r="AC421" i="58" s="1"/>
  <c r="AD420" i="58"/>
  <c r="X420" i="58"/>
  <c r="W420" i="58"/>
  <c r="AC420" i="58" s="1"/>
  <c r="AD419" i="58"/>
  <c r="X419" i="58"/>
  <c r="W419" i="58"/>
  <c r="AC419" i="58" s="1"/>
  <c r="AD418" i="58"/>
  <c r="X418" i="58"/>
  <c r="W418" i="58"/>
  <c r="AC418" i="58" s="1"/>
  <c r="AD417" i="58"/>
  <c r="X417" i="58"/>
  <c r="W417" i="58"/>
  <c r="AC417" i="58" s="1"/>
  <c r="AD416" i="58"/>
  <c r="X416" i="58"/>
  <c r="W416" i="58"/>
  <c r="AC416" i="58" s="1"/>
  <c r="AD415" i="58"/>
  <c r="X415" i="58"/>
  <c r="W415" i="58"/>
  <c r="AC415" i="58" s="1"/>
  <c r="AD414" i="58"/>
  <c r="X414" i="58"/>
  <c r="W414" i="58"/>
  <c r="AC414" i="58" s="1"/>
  <c r="AD413" i="58"/>
  <c r="X413" i="58"/>
  <c r="W413" i="58"/>
  <c r="AC413" i="58" s="1"/>
  <c r="AD412" i="58"/>
  <c r="X412" i="58"/>
  <c r="W412" i="58"/>
  <c r="AC412" i="58" s="1"/>
  <c r="AD411" i="58"/>
  <c r="X411" i="58"/>
  <c r="W411" i="58"/>
  <c r="AC411" i="58" s="1"/>
  <c r="AD410" i="58"/>
  <c r="X410" i="58"/>
  <c r="W410" i="58"/>
  <c r="AC410" i="58" s="1"/>
  <c r="AD409" i="58"/>
  <c r="X409" i="58"/>
  <c r="W409" i="58"/>
  <c r="AC409" i="58" s="1"/>
  <c r="AD408" i="58"/>
  <c r="X408" i="58"/>
  <c r="W408" i="58"/>
  <c r="AC408" i="58" s="1"/>
  <c r="AD407" i="58"/>
  <c r="X407" i="58"/>
  <c r="W407" i="58"/>
  <c r="AC407" i="58" s="1"/>
  <c r="AD406" i="58"/>
  <c r="X406" i="58"/>
  <c r="W406" i="58"/>
  <c r="AC406" i="58" s="1"/>
  <c r="AD405" i="58"/>
  <c r="X405" i="58"/>
  <c r="W405" i="58"/>
  <c r="AC405" i="58" s="1"/>
  <c r="AD404" i="58"/>
  <c r="X404" i="58"/>
  <c r="W404" i="58"/>
  <c r="AC404" i="58" s="1"/>
  <c r="AD403" i="58"/>
  <c r="X403" i="58"/>
  <c r="W403" i="58"/>
  <c r="AC403" i="58" s="1"/>
  <c r="AD402" i="58"/>
  <c r="X402" i="58"/>
  <c r="W402" i="58"/>
  <c r="AC402" i="58" s="1"/>
  <c r="AD401" i="58"/>
  <c r="X401" i="58"/>
  <c r="W401" i="58"/>
  <c r="AC401" i="58" s="1"/>
  <c r="AD400" i="58"/>
  <c r="X400" i="58"/>
  <c r="W400" i="58"/>
  <c r="AC400" i="58" s="1"/>
  <c r="AD399" i="58"/>
  <c r="X399" i="58"/>
  <c r="W399" i="58"/>
  <c r="AC399" i="58" s="1"/>
  <c r="AD398" i="58"/>
  <c r="X398" i="58"/>
  <c r="W398" i="58"/>
  <c r="AC398" i="58" s="1"/>
  <c r="AD397" i="58"/>
  <c r="X397" i="58"/>
  <c r="W397" i="58"/>
  <c r="AC397" i="58" s="1"/>
  <c r="AD396" i="58"/>
  <c r="X396" i="58"/>
  <c r="W396" i="58"/>
  <c r="AC396" i="58" s="1"/>
  <c r="AD395" i="58"/>
  <c r="X395" i="58"/>
  <c r="W395" i="58"/>
  <c r="AC395" i="58" s="1"/>
  <c r="AD394" i="58"/>
  <c r="X394" i="58"/>
  <c r="W394" i="58"/>
  <c r="AC394" i="58" s="1"/>
  <c r="AD393" i="58"/>
  <c r="X393" i="58"/>
  <c r="W393" i="58"/>
  <c r="AC393" i="58" s="1"/>
  <c r="AD392" i="58"/>
  <c r="X392" i="58"/>
  <c r="W392" i="58"/>
  <c r="AC392" i="58" s="1"/>
  <c r="AD391" i="58"/>
  <c r="X391" i="58"/>
  <c r="W391" i="58"/>
  <c r="AC391" i="58" s="1"/>
  <c r="AD390" i="58"/>
  <c r="X390" i="58"/>
  <c r="W390" i="58"/>
  <c r="AC390" i="58" s="1"/>
  <c r="AD389" i="58"/>
  <c r="X389" i="58"/>
  <c r="W389" i="58"/>
  <c r="AC389" i="58" s="1"/>
  <c r="AD388" i="58"/>
  <c r="X388" i="58"/>
  <c r="W388" i="58"/>
  <c r="AC388" i="58" s="1"/>
  <c r="AD387" i="58"/>
  <c r="X387" i="58"/>
  <c r="W387" i="58"/>
  <c r="AC387" i="58" s="1"/>
  <c r="AD386" i="58"/>
  <c r="X386" i="58"/>
  <c r="W386" i="58"/>
  <c r="AC386" i="58" s="1"/>
  <c r="AD385" i="58"/>
  <c r="X385" i="58"/>
  <c r="W385" i="58"/>
  <c r="AC385" i="58" s="1"/>
  <c r="AD384" i="58"/>
  <c r="X384" i="58"/>
  <c r="W384" i="58"/>
  <c r="AC384" i="58" s="1"/>
  <c r="AD383" i="58"/>
  <c r="X383" i="58"/>
  <c r="W383" i="58"/>
  <c r="AD382" i="58"/>
  <c r="X382" i="58"/>
  <c r="W382" i="58"/>
  <c r="AC382" i="58" s="1"/>
  <c r="AD381" i="58"/>
  <c r="X381" i="58"/>
  <c r="W381" i="58"/>
  <c r="AD380" i="58"/>
  <c r="X380" i="58"/>
  <c r="W380" i="58"/>
  <c r="AD379" i="58"/>
  <c r="X379" i="58"/>
  <c r="W379" i="58"/>
  <c r="AD378" i="58"/>
  <c r="X378" i="58"/>
  <c r="W378" i="58"/>
  <c r="AE377" i="58"/>
  <c r="V377" i="58"/>
  <c r="AB377" i="58" s="1"/>
  <c r="AE376" i="58"/>
  <c r="V376" i="58"/>
  <c r="AB376" i="58" s="1"/>
  <c r="AE375" i="58"/>
  <c r="V375" i="58"/>
  <c r="AB375" i="58" s="1"/>
  <c r="AE374" i="58"/>
  <c r="V374" i="58"/>
  <c r="AB374" i="58" s="1"/>
  <c r="AE373" i="58"/>
  <c r="V373" i="58"/>
  <c r="AB373" i="58" s="1"/>
  <c r="AE372" i="58"/>
  <c r="V372" i="58"/>
  <c r="AB372" i="58" s="1"/>
  <c r="AE371" i="58"/>
  <c r="V371" i="58"/>
  <c r="AB371" i="58" s="1"/>
  <c r="AE370" i="58"/>
  <c r="V370" i="58"/>
  <c r="AB370" i="58" s="1"/>
  <c r="AE369" i="58"/>
  <c r="V369" i="58"/>
  <c r="AB369" i="58" s="1"/>
  <c r="AE368" i="58"/>
  <c r="V368" i="58"/>
  <c r="AB368" i="58" s="1"/>
  <c r="AE367" i="58"/>
  <c r="V367" i="58"/>
  <c r="AB367" i="58" s="1"/>
  <c r="AE366" i="58"/>
  <c r="V366" i="58"/>
  <c r="AB366" i="58" s="1"/>
  <c r="AE365" i="58"/>
  <c r="V365" i="58"/>
  <c r="AB365" i="58" s="1"/>
  <c r="AE364" i="58"/>
  <c r="V364" i="58"/>
  <c r="AB364" i="58" s="1"/>
  <c r="AE363" i="58"/>
  <c r="V363" i="58"/>
  <c r="AB363" i="58" s="1"/>
  <c r="AE362" i="58"/>
  <c r="V362" i="58"/>
  <c r="AB362" i="58" s="1"/>
  <c r="AE361" i="58"/>
  <c r="V361" i="58"/>
  <c r="AB361" i="58" s="1"/>
  <c r="AE360" i="58"/>
  <c r="V360" i="58"/>
  <c r="AB360" i="58" s="1"/>
  <c r="AE359" i="58"/>
  <c r="V359" i="58"/>
  <c r="AB359" i="58" s="1"/>
  <c r="AE358" i="58"/>
  <c r="V358" i="58"/>
  <c r="AB358" i="58" s="1"/>
  <c r="AE357" i="58"/>
  <c r="V357" i="58"/>
  <c r="AB357" i="58" s="1"/>
  <c r="AE356" i="58"/>
  <c r="V356" i="58"/>
  <c r="AB356" i="58" s="1"/>
  <c r="AE355" i="58"/>
  <c r="V355" i="58"/>
  <c r="AB355" i="58" s="1"/>
  <c r="AE354" i="58"/>
  <c r="V354" i="58"/>
  <c r="AB354" i="58" s="1"/>
  <c r="AE353" i="58"/>
  <c r="V353" i="58"/>
  <c r="AB353" i="58" s="1"/>
  <c r="AE352" i="58"/>
  <c r="V352" i="58"/>
  <c r="AB352" i="58" s="1"/>
  <c r="AD351" i="58"/>
  <c r="X351" i="58"/>
  <c r="W351" i="58"/>
  <c r="AD350" i="58"/>
  <c r="X350" i="58"/>
  <c r="W350" i="58"/>
  <c r="AD349" i="58"/>
  <c r="X349" i="58"/>
  <c r="W349" i="58"/>
  <c r="AD348" i="58"/>
  <c r="X348" i="58"/>
  <c r="W348" i="58"/>
  <c r="AD347" i="58"/>
  <c r="X347" i="58"/>
  <c r="W347" i="58"/>
  <c r="AD346" i="58"/>
  <c r="X346" i="58"/>
  <c r="W346" i="58"/>
  <c r="AD345" i="58"/>
  <c r="X345" i="58"/>
  <c r="W345" i="58"/>
  <c r="AD344" i="58"/>
  <c r="X344" i="58"/>
  <c r="W344" i="58"/>
  <c r="AD343" i="58"/>
  <c r="X343" i="58"/>
  <c r="W343" i="58"/>
  <c r="AD342" i="58"/>
  <c r="X342" i="58"/>
  <c r="W342" i="58"/>
  <c r="AD341" i="58"/>
  <c r="X341" i="58"/>
  <c r="W341" i="58"/>
  <c r="AD340" i="58"/>
  <c r="X340" i="58"/>
  <c r="W340" i="58"/>
  <c r="AD339" i="58"/>
  <c r="X339" i="58"/>
  <c r="W339" i="58"/>
  <c r="AD338" i="58"/>
  <c r="X338" i="58"/>
  <c r="W338" i="58"/>
  <c r="AD337" i="58"/>
  <c r="X337" i="58"/>
  <c r="W337" i="58"/>
  <c r="AD336" i="58"/>
  <c r="X336" i="58"/>
  <c r="W336" i="58"/>
  <c r="AD335" i="58"/>
  <c r="X335" i="58"/>
  <c r="W335" i="58"/>
  <c r="AD334" i="58"/>
  <c r="X334" i="58"/>
  <c r="W334" i="58"/>
  <c r="X229" i="58"/>
  <c r="W229" i="58"/>
  <c r="V229" i="58"/>
  <c r="AB229" i="58" s="1"/>
  <c r="X228" i="58"/>
  <c r="W228" i="58"/>
  <c r="V228" i="58"/>
  <c r="AB228" i="58" s="1"/>
  <c r="X227" i="58"/>
  <c r="W227" i="58"/>
  <c r="AC227" i="58" s="1"/>
  <c r="V227" i="58"/>
  <c r="AB227" i="58" s="1"/>
  <c r="X226" i="58"/>
  <c r="W226" i="58"/>
  <c r="V226" i="58"/>
  <c r="AB226" i="58" s="1"/>
  <c r="X225" i="58"/>
  <c r="W225" i="58"/>
  <c r="V225" i="58"/>
  <c r="AB225" i="58" s="1"/>
  <c r="X224" i="58"/>
  <c r="W224" i="58"/>
  <c r="AC224" i="58" s="1"/>
  <c r="V224" i="58"/>
  <c r="AB224" i="58" s="1"/>
  <c r="X223" i="58"/>
  <c r="W223" i="58"/>
  <c r="AC223" i="58" s="1"/>
  <c r="V223" i="58"/>
  <c r="AB223" i="58" s="1"/>
  <c r="X222" i="58"/>
  <c r="W222" i="58"/>
  <c r="V222" i="58"/>
  <c r="AB222" i="58" s="1"/>
  <c r="X221" i="58"/>
  <c r="W221" i="58"/>
  <c r="V221" i="58"/>
  <c r="AB221" i="58" s="1"/>
  <c r="X220" i="58"/>
  <c r="W220" i="58"/>
  <c r="AC220" i="58" s="1"/>
  <c r="V220" i="58"/>
  <c r="AB220" i="58" s="1"/>
  <c r="X219" i="58"/>
  <c r="W219" i="58"/>
  <c r="AC219" i="58" s="1"/>
  <c r="V219" i="58"/>
  <c r="AB219" i="58" s="1"/>
  <c r="X218" i="58"/>
  <c r="W218" i="58"/>
  <c r="V218" i="58"/>
  <c r="AB218" i="58" s="1"/>
  <c r="X217" i="58"/>
  <c r="W217" i="58"/>
  <c r="V217" i="58"/>
  <c r="AB217" i="58" s="1"/>
  <c r="X216" i="58"/>
  <c r="W216" i="58"/>
  <c r="AC216" i="58" s="1"/>
  <c r="V216" i="58"/>
  <c r="AB216" i="58" s="1"/>
  <c r="X215" i="58"/>
  <c r="W215" i="58"/>
  <c r="AC215" i="58" s="1"/>
  <c r="V215" i="58"/>
  <c r="AB215" i="58" s="1"/>
  <c r="X214" i="58"/>
  <c r="W214" i="58"/>
  <c r="V214" i="58"/>
  <c r="AB214" i="58" s="1"/>
  <c r="X213" i="58"/>
  <c r="W213" i="58"/>
  <c r="V213" i="58"/>
  <c r="AB213" i="58" s="1"/>
  <c r="X212" i="58"/>
  <c r="W212" i="58"/>
  <c r="AC212" i="58" s="1"/>
  <c r="V212" i="58"/>
  <c r="AB212" i="58" s="1"/>
  <c r="X211" i="58"/>
  <c r="W211" i="58"/>
  <c r="AC211" i="58" s="1"/>
  <c r="V211" i="58"/>
  <c r="AB211" i="58" s="1"/>
  <c r="X210" i="58"/>
  <c r="W210" i="58"/>
  <c r="V210" i="58"/>
  <c r="AB210" i="58" s="1"/>
  <c r="X209" i="58"/>
  <c r="W209" i="58"/>
  <c r="V209" i="58"/>
  <c r="AB209" i="58" s="1"/>
  <c r="X208" i="58"/>
  <c r="W208" i="58"/>
  <c r="AC208" i="58" s="1"/>
  <c r="V208" i="58"/>
  <c r="AB208" i="58" s="1"/>
  <c r="X207" i="58"/>
  <c r="W207" i="58"/>
  <c r="AC207" i="58" s="1"/>
  <c r="V207" i="58"/>
  <c r="AB207" i="58" s="1"/>
  <c r="X206" i="58"/>
  <c r="W206" i="58"/>
  <c r="V206" i="58"/>
  <c r="AB206" i="58" s="1"/>
  <c r="X205" i="58"/>
  <c r="W205" i="58"/>
  <c r="V205" i="58"/>
  <c r="AB205" i="58" s="1"/>
  <c r="X204" i="58"/>
  <c r="W204" i="58"/>
  <c r="AC204" i="58" s="1"/>
  <c r="V204" i="58"/>
  <c r="AB204" i="58" s="1"/>
  <c r="X203" i="58"/>
  <c r="W203" i="58"/>
  <c r="AC203" i="58" s="1"/>
  <c r="V203" i="58"/>
  <c r="AB203" i="58" s="1"/>
  <c r="X202" i="58"/>
  <c r="W202" i="58"/>
  <c r="V202" i="58"/>
  <c r="AB202" i="58" s="1"/>
  <c r="X201" i="58"/>
  <c r="W201" i="58"/>
  <c r="V201" i="58"/>
  <c r="AB201" i="58" s="1"/>
  <c r="X200" i="58"/>
  <c r="W200" i="58"/>
  <c r="AC200" i="58" s="1"/>
  <c r="V200" i="58"/>
  <c r="AB200" i="58" s="1"/>
  <c r="X199" i="58"/>
  <c r="W199" i="58"/>
  <c r="AC199" i="58" s="1"/>
  <c r="V199" i="58"/>
  <c r="AB199" i="58" s="1"/>
  <c r="X198" i="58"/>
  <c r="W198" i="58"/>
  <c r="V198" i="58"/>
  <c r="AB198" i="58" s="1"/>
  <c r="X197" i="58"/>
  <c r="W197" i="58"/>
  <c r="V197" i="58"/>
  <c r="AB197" i="58" s="1"/>
  <c r="X196" i="58"/>
  <c r="W196" i="58"/>
  <c r="AC196" i="58" s="1"/>
  <c r="V196" i="58"/>
  <c r="AB196" i="58" s="1"/>
  <c r="X195" i="58"/>
  <c r="W195" i="58"/>
  <c r="AC195" i="58" s="1"/>
  <c r="V195" i="58"/>
  <c r="AB195" i="58" s="1"/>
  <c r="X194" i="58"/>
  <c r="W194" i="58"/>
  <c r="V194" i="58"/>
  <c r="AB194" i="58" s="1"/>
  <c r="X193" i="58"/>
  <c r="W193" i="58"/>
  <c r="V193" i="58"/>
  <c r="AB193" i="58" s="1"/>
  <c r="X192" i="58"/>
  <c r="W192" i="58"/>
  <c r="AC192" i="58" s="1"/>
  <c r="V192" i="58"/>
  <c r="AB192" i="58" s="1"/>
  <c r="X191" i="58"/>
  <c r="W191" i="58"/>
  <c r="AC191" i="58" s="1"/>
  <c r="V191" i="58"/>
  <c r="AB191" i="58" s="1"/>
  <c r="X190" i="58"/>
  <c r="W190" i="58"/>
  <c r="V190" i="58"/>
  <c r="AB190" i="58" s="1"/>
  <c r="X189" i="58"/>
  <c r="W189" i="58"/>
  <c r="V189" i="58"/>
  <c r="AB189" i="58" s="1"/>
  <c r="X188" i="58"/>
  <c r="W188" i="58"/>
  <c r="AC188" i="58" s="1"/>
  <c r="V188" i="58"/>
  <c r="AB188" i="58" s="1"/>
  <c r="X187" i="58"/>
  <c r="W187" i="58"/>
  <c r="AC187" i="58" s="1"/>
  <c r="V187" i="58"/>
  <c r="AB187" i="58" s="1"/>
  <c r="X186" i="58"/>
  <c r="W186" i="58"/>
  <c r="V186" i="58"/>
  <c r="AB186" i="58" s="1"/>
  <c r="X186" i="57"/>
  <c r="W186" i="57"/>
  <c r="AC186" i="57" s="1"/>
  <c r="V186" i="57"/>
  <c r="X185" i="58"/>
  <c r="W185" i="58"/>
  <c r="AC185" i="58" s="1"/>
  <c r="V185" i="58"/>
  <c r="AB185" i="58" s="1"/>
  <c r="X185" i="57"/>
  <c r="W185" i="57"/>
  <c r="V185" i="57"/>
  <c r="X184" i="58"/>
  <c r="W184" i="58"/>
  <c r="V184" i="58"/>
  <c r="AB184" i="58" s="1"/>
  <c r="X184" i="57"/>
  <c r="W184" i="57"/>
  <c r="V184" i="57"/>
  <c r="X183" i="58"/>
  <c r="W183" i="58"/>
  <c r="AC183" i="58" s="1"/>
  <c r="V183" i="58"/>
  <c r="AB183" i="58" s="1"/>
  <c r="X183" i="57"/>
  <c r="W183" i="57"/>
  <c r="V183" i="57"/>
  <c r="X182" i="58"/>
  <c r="W182" i="58"/>
  <c r="V182" i="58"/>
  <c r="AB182" i="58" s="1"/>
  <c r="X182" i="57"/>
  <c r="W182" i="57"/>
  <c r="AC182" i="57" s="1"/>
  <c r="V182" i="57"/>
  <c r="X181" i="58"/>
  <c r="W181" i="58"/>
  <c r="AC181" i="58" s="1"/>
  <c r="V181" i="58"/>
  <c r="AB181" i="58" s="1"/>
  <c r="X181" i="57"/>
  <c r="W181" i="57"/>
  <c r="V181" i="57"/>
  <c r="X180" i="58"/>
  <c r="W180" i="58"/>
  <c r="V180" i="58"/>
  <c r="AB180" i="58" s="1"/>
  <c r="X180" i="57"/>
  <c r="W180" i="57"/>
  <c r="V180" i="57"/>
  <c r="X179" i="57"/>
  <c r="W179" i="57"/>
  <c r="V179" i="57"/>
  <c r="AB179" i="57" s="1"/>
  <c r="X178" i="57"/>
  <c r="W178" i="57"/>
  <c r="V178" i="57"/>
  <c r="X177" i="57"/>
  <c r="W177" i="57"/>
  <c r="V177" i="57"/>
  <c r="AB177" i="57" s="1"/>
  <c r="X176" i="57"/>
  <c r="W176" i="57"/>
  <c r="V176" i="57"/>
  <c r="X175" i="57"/>
  <c r="W175" i="57"/>
  <c r="V175" i="57"/>
  <c r="AB175" i="57" s="1"/>
  <c r="X174" i="57"/>
  <c r="W174" i="57"/>
  <c r="V174" i="57"/>
  <c r="X173" i="57"/>
  <c r="W173" i="57"/>
  <c r="V173" i="57"/>
  <c r="AB173" i="57" s="1"/>
  <c r="X172" i="57"/>
  <c r="W172" i="57"/>
  <c r="V172" i="57"/>
  <c r="X171" i="57"/>
  <c r="W171" i="57"/>
  <c r="V171" i="57"/>
  <c r="AB171" i="57" s="1"/>
  <c r="X170" i="57"/>
  <c r="W170" i="57"/>
  <c r="V170" i="57"/>
  <c r="X169" i="57"/>
  <c r="W169" i="57"/>
  <c r="V169" i="57"/>
  <c r="AB169" i="57" s="1"/>
  <c r="X168" i="57"/>
  <c r="W168" i="57"/>
  <c r="AC168" i="57" s="1"/>
  <c r="V168" i="57"/>
  <c r="X167" i="57"/>
  <c r="W167" i="57"/>
  <c r="V167" i="57"/>
  <c r="AB167" i="57" s="1"/>
  <c r="X166" i="57"/>
  <c r="W166" i="57"/>
  <c r="V166" i="57"/>
  <c r="X165" i="57"/>
  <c r="W165" i="57"/>
  <c r="V165" i="57"/>
  <c r="AB165" i="57" s="1"/>
  <c r="X164" i="57"/>
  <c r="W164" i="57"/>
  <c r="AC164" i="57" s="1"/>
  <c r="V164" i="57"/>
  <c r="X163" i="57"/>
  <c r="W163" i="57"/>
  <c r="V163" i="57"/>
  <c r="AB163" i="57" s="1"/>
  <c r="X162" i="57"/>
  <c r="W162" i="57"/>
  <c r="V162" i="57"/>
  <c r="X161" i="57"/>
  <c r="W161" i="57"/>
  <c r="V161" i="57"/>
  <c r="AB161" i="57" s="1"/>
  <c r="X160" i="57"/>
  <c r="W160" i="57"/>
  <c r="AC160" i="57" s="1"/>
  <c r="V160" i="57"/>
  <c r="X159" i="57"/>
  <c r="W159" i="57"/>
  <c r="V159" i="57"/>
  <c r="AB159" i="57" s="1"/>
  <c r="X158" i="57"/>
  <c r="W158" i="57"/>
  <c r="V158" i="57"/>
  <c r="X157" i="57"/>
  <c r="W157" i="57"/>
  <c r="V157" i="57"/>
  <c r="AB157" i="57" s="1"/>
  <c r="X156" i="57"/>
  <c r="W156" i="57"/>
  <c r="V156" i="57"/>
  <c r="X155" i="57"/>
  <c r="W155" i="57"/>
  <c r="V155" i="57"/>
  <c r="AB155" i="57" s="1"/>
  <c r="X83" i="58"/>
  <c r="W83" i="58"/>
  <c r="AC83" i="58" s="1"/>
  <c r="V83" i="58"/>
  <c r="AB83" i="58" s="1"/>
  <c r="X82" i="58"/>
  <c r="W82" i="58"/>
  <c r="V82" i="58"/>
  <c r="AB82" i="58" s="1"/>
  <c r="X81" i="58"/>
  <c r="W81" i="58"/>
  <c r="V81" i="58"/>
  <c r="AB81" i="58" s="1"/>
  <c r="X80" i="58"/>
  <c r="W80" i="58"/>
  <c r="AC80" i="58" s="1"/>
  <c r="V80" i="58"/>
  <c r="AB80" i="58" s="1"/>
  <c r="X79" i="58"/>
  <c r="W79" i="58"/>
  <c r="AC79" i="58" s="1"/>
  <c r="V79" i="58"/>
  <c r="AB79" i="58" s="1"/>
  <c r="X78" i="58"/>
  <c r="W78" i="58"/>
  <c r="V78" i="58"/>
  <c r="AB78" i="58" s="1"/>
  <c r="X77" i="58"/>
  <c r="W77" i="58"/>
  <c r="V77" i="58"/>
  <c r="AB77" i="58" s="1"/>
  <c r="X76" i="58"/>
  <c r="W76" i="58"/>
  <c r="AC76" i="58" s="1"/>
  <c r="V76" i="58"/>
  <c r="AB76" i="58" s="1"/>
  <c r="X75" i="58"/>
  <c r="W75" i="58"/>
  <c r="AC75" i="58" s="1"/>
  <c r="V75" i="58"/>
  <c r="AB75" i="58" s="1"/>
  <c r="X74" i="58"/>
  <c r="W74" i="58"/>
  <c r="V74" i="58"/>
  <c r="AB74" i="58" s="1"/>
  <c r="X73" i="58"/>
  <c r="W73" i="58"/>
  <c r="AC73" i="58" s="1"/>
  <c r="V73" i="58"/>
  <c r="AB73" i="58" s="1"/>
  <c r="X72" i="58"/>
  <c r="W72" i="58"/>
  <c r="AC72" i="58" s="1"/>
  <c r="V72" i="58"/>
  <c r="AB72" i="58" s="1"/>
  <c r="X71" i="58"/>
  <c r="W71" i="58"/>
  <c r="AC71" i="58" s="1"/>
  <c r="V71" i="58"/>
  <c r="AB71" i="58" s="1"/>
  <c r="X70" i="58"/>
  <c r="W70" i="58"/>
  <c r="V70" i="58"/>
  <c r="AB70" i="58" s="1"/>
  <c r="X69" i="58"/>
  <c r="W69" i="58"/>
  <c r="AC69" i="58" s="1"/>
  <c r="V69" i="58"/>
  <c r="AB69" i="58" s="1"/>
  <c r="X68" i="58"/>
  <c r="W68" i="58"/>
  <c r="AC68" i="58" s="1"/>
  <c r="V68" i="58"/>
  <c r="AB68" i="58" s="1"/>
  <c r="X67" i="58"/>
  <c r="W67" i="58"/>
  <c r="AC67" i="58" s="1"/>
  <c r="V67" i="58"/>
  <c r="AB67" i="58" s="1"/>
  <c r="X66" i="58"/>
  <c r="W66" i="58"/>
  <c r="V66" i="58"/>
  <c r="AB66" i="58" s="1"/>
  <c r="X65" i="58"/>
  <c r="W65" i="58"/>
  <c r="AC65" i="58" s="1"/>
  <c r="V65" i="58"/>
  <c r="AB65" i="58" s="1"/>
  <c r="X64" i="58"/>
  <c r="W64" i="58"/>
  <c r="AC64" i="58" s="1"/>
  <c r="V64" i="58"/>
  <c r="AB64" i="58" s="1"/>
  <c r="X63" i="58"/>
  <c r="W63" i="58"/>
  <c r="AC63" i="58" s="1"/>
  <c r="V63" i="58"/>
  <c r="AB63" i="58" s="1"/>
  <c r="X62" i="58"/>
  <c r="W62" i="58"/>
  <c r="V62" i="58"/>
  <c r="AB62" i="58" s="1"/>
  <c r="X61" i="58"/>
  <c r="W61" i="58"/>
  <c r="AC61" i="58" s="1"/>
  <c r="V61" i="58"/>
  <c r="AB61" i="58" s="1"/>
  <c r="X60" i="58"/>
  <c r="W60" i="58"/>
  <c r="AC60" i="58" s="1"/>
  <c r="V60" i="58"/>
  <c r="AB60" i="58" s="1"/>
  <c r="X59" i="58"/>
  <c r="W59" i="58"/>
  <c r="AC59" i="58" s="1"/>
  <c r="V59" i="58"/>
  <c r="AB59" i="58" s="1"/>
  <c r="X58" i="58"/>
  <c r="W58" i="58"/>
  <c r="V58" i="58"/>
  <c r="AB58" i="58" s="1"/>
  <c r="X57" i="58"/>
  <c r="W57" i="58"/>
  <c r="AC57" i="58" s="1"/>
  <c r="V57" i="58"/>
  <c r="AB57" i="58" s="1"/>
  <c r="X56" i="58"/>
  <c r="W56" i="58"/>
  <c r="AC56" i="58" s="1"/>
  <c r="V56" i="58"/>
  <c r="AB56" i="58" s="1"/>
  <c r="X55" i="58"/>
  <c r="W55" i="58"/>
  <c r="AC55" i="58" s="1"/>
  <c r="V55" i="58"/>
  <c r="AB55" i="58" s="1"/>
  <c r="X54" i="58"/>
  <c r="W54" i="58"/>
  <c r="V54" i="58"/>
  <c r="AB54" i="58" s="1"/>
  <c r="X53" i="58"/>
  <c r="W53" i="58"/>
  <c r="AC53" i="58" s="1"/>
  <c r="V53" i="58"/>
  <c r="AB53" i="58" s="1"/>
  <c r="X52" i="58"/>
  <c r="W52" i="58"/>
  <c r="AC52" i="58" s="1"/>
  <c r="V52" i="58"/>
  <c r="AB52" i="58" s="1"/>
  <c r="M40" i="5"/>
  <c r="M39" i="5"/>
  <c r="M38" i="5"/>
  <c r="AJ9" i="58"/>
  <c r="AI9" i="58"/>
  <c r="AD821" i="58"/>
  <c r="AD820" i="58"/>
  <c r="AD819" i="58"/>
  <c r="AD818" i="58"/>
  <c r="AD817" i="58"/>
  <c r="AD816" i="58"/>
  <c r="AD815" i="58"/>
  <c r="AD814" i="58"/>
  <c r="AD813" i="58"/>
  <c r="AD812" i="58"/>
  <c r="AD811" i="58"/>
  <c r="AD810" i="58"/>
  <c r="AD809" i="58"/>
  <c r="AD808" i="58"/>
  <c r="AD807" i="58"/>
  <c r="AD806" i="58"/>
  <c r="AD805" i="58"/>
  <c r="AD804" i="58"/>
  <c r="AD803" i="58"/>
  <c r="AD802" i="58"/>
  <c r="AD801" i="58"/>
  <c r="AD800" i="58"/>
  <c r="AD799" i="58"/>
  <c r="AD798" i="58"/>
  <c r="AD797" i="58"/>
  <c r="AD796" i="58"/>
  <c r="AD795" i="58"/>
  <c r="AD794" i="58"/>
  <c r="AD793" i="58"/>
  <c r="AD792" i="58"/>
  <c r="AD791" i="58"/>
  <c r="AD790" i="58"/>
  <c r="AD789" i="58"/>
  <c r="AD788" i="58"/>
  <c r="AD787" i="58"/>
  <c r="AD786" i="58"/>
  <c r="AD785" i="58"/>
  <c r="AD784" i="58"/>
  <c r="AD783" i="58"/>
  <c r="AD782" i="58"/>
  <c r="AD781" i="58"/>
  <c r="AD780" i="58"/>
  <c r="AD779" i="58"/>
  <c r="AD778" i="58"/>
  <c r="AD777" i="58"/>
  <c r="AD776" i="58"/>
  <c r="AD775" i="58"/>
  <c r="AD774" i="58"/>
  <c r="AD773" i="58"/>
  <c r="AD772" i="58"/>
  <c r="AD771" i="58"/>
  <c r="AD770" i="58"/>
  <c r="AD769" i="58"/>
  <c r="AD768" i="58"/>
  <c r="AD767" i="58"/>
  <c r="AD766" i="58"/>
  <c r="AD765" i="58"/>
  <c r="AD764" i="58"/>
  <c r="AD763" i="58"/>
  <c r="AD762" i="58"/>
  <c r="AD761" i="58"/>
  <c r="AD760" i="58"/>
  <c r="AD759" i="58"/>
  <c r="AD758" i="58"/>
  <c r="AD757" i="58"/>
  <c r="AD756" i="58"/>
  <c r="AD755" i="58"/>
  <c r="AD754" i="58"/>
  <c r="AD753" i="58"/>
  <c r="AD752" i="58"/>
  <c r="AD751" i="58"/>
  <c r="AD750" i="58"/>
  <c r="AD749" i="58"/>
  <c r="AD748" i="58"/>
  <c r="AD747" i="58"/>
  <c r="AD746" i="58"/>
  <c r="AD745" i="58"/>
  <c r="AD744" i="58"/>
  <c r="AD743" i="58"/>
  <c r="AD742" i="58"/>
  <c r="AD741" i="58"/>
  <c r="AD740" i="58"/>
  <c r="AD739" i="58"/>
  <c r="AD738" i="58"/>
  <c r="AD737" i="58"/>
  <c r="AD736" i="58"/>
  <c r="AD735" i="58"/>
  <c r="AD734" i="58"/>
  <c r="AD733" i="58"/>
  <c r="AD732" i="58"/>
  <c r="AD731" i="58"/>
  <c r="AD730" i="58"/>
  <c r="AD729" i="58"/>
  <c r="AD728" i="58"/>
  <c r="AD727" i="58"/>
  <c r="AD726" i="58"/>
  <c r="AD725" i="58"/>
  <c r="AD724" i="58"/>
  <c r="AD723" i="58"/>
  <c r="AD722" i="58"/>
  <c r="AD721" i="58"/>
  <c r="AD720" i="58"/>
  <c r="AD719" i="58"/>
  <c r="AD718" i="58"/>
  <c r="AD717" i="58"/>
  <c r="AD716" i="58"/>
  <c r="AD715" i="58"/>
  <c r="AD714" i="58"/>
  <c r="AD713" i="58"/>
  <c r="AD712" i="58"/>
  <c r="AD711" i="58"/>
  <c r="AD710" i="58"/>
  <c r="AD709" i="58"/>
  <c r="AD708" i="58"/>
  <c r="AD707" i="58"/>
  <c r="AD706" i="58"/>
  <c r="AD705" i="58"/>
  <c r="AD704" i="58"/>
  <c r="AD703" i="58"/>
  <c r="AD702" i="58"/>
  <c r="AD701" i="58"/>
  <c r="AD700" i="58"/>
  <c r="AD699" i="58"/>
  <c r="AD698" i="58"/>
  <c r="AD697" i="58"/>
  <c r="AD696" i="58"/>
  <c r="AD695" i="58"/>
  <c r="AD694" i="58"/>
  <c r="AD693" i="58"/>
  <c r="AD692" i="58"/>
  <c r="AD691" i="58"/>
  <c r="AD690" i="58"/>
  <c r="AD689" i="58"/>
  <c r="AD688" i="58"/>
  <c r="AD687" i="58"/>
  <c r="AD686" i="58"/>
  <c r="AD685" i="58"/>
  <c r="AD684" i="58"/>
  <c r="AD683" i="58"/>
  <c r="AD682" i="58"/>
  <c r="AD681" i="58"/>
  <c r="AD680" i="58"/>
  <c r="AD679" i="58"/>
  <c r="AD678" i="58"/>
  <c r="AD677" i="58"/>
  <c r="AD676" i="58"/>
  <c r="AD675" i="58"/>
  <c r="AD674" i="58"/>
  <c r="AD673" i="58"/>
  <c r="AD672" i="58"/>
  <c r="AD671" i="58"/>
  <c r="AD670" i="58"/>
  <c r="AD669" i="58"/>
  <c r="AD668" i="58"/>
  <c r="AD667" i="58"/>
  <c r="AD666" i="58"/>
  <c r="AD665" i="58"/>
  <c r="AD664" i="58"/>
  <c r="AD663" i="58"/>
  <c r="AD662" i="58"/>
  <c r="AD661" i="58"/>
  <c r="AD660" i="58"/>
  <c r="AD659" i="58"/>
  <c r="AD658" i="58"/>
  <c r="AD657" i="58"/>
  <c r="AD656" i="58"/>
  <c r="AD655" i="58"/>
  <c r="AD654" i="58"/>
  <c r="AD653" i="58"/>
  <c r="AD652" i="58"/>
  <c r="AD651" i="58"/>
  <c r="AD650" i="58"/>
  <c r="AD649" i="58"/>
  <c r="AD648" i="58"/>
  <c r="AD647" i="58"/>
  <c r="AD646" i="58"/>
  <c r="AD645" i="58"/>
  <c r="AD644" i="58"/>
  <c r="AD643" i="58"/>
  <c r="AD642" i="58"/>
  <c r="AD641" i="58"/>
  <c r="AD640" i="58"/>
  <c r="AD639" i="58"/>
  <c r="AD638" i="58"/>
  <c r="AD637" i="58"/>
  <c r="AD636" i="58"/>
  <c r="AD635" i="58"/>
  <c r="AD634" i="58"/>
  <c r="AD633" i="58"/>
  <c r="AD632" i="58"/>
  <c r="AD631" i="58"/>
  <c r="AD630" i="58"/>
  <c r="AD629" i="58"/>
  <c r="AD628" i="58"/>
  <c r="AD627" i="58"/>
  <c r="AD626" i="58"/>
  <c r="AD625" i="58"/>
  <c r="AD624" i="58"/>
  <c r="AD623" i="58"/>
  <c r="AD622" i="58"/>
  <c r="AD621" i="58"/>
  <c r="AD620" i="58"/>
  <c r="AD619" i="58"/>
  <c r="AD618" i="58"/>
  <c r="AD617" i="58"/>
  <c r="AD616" i="58"/>
  <c r="AD615" i="58"/>
  <c r="AD614" i="58"/>
  <c r="AD613" i="58"/>
  <c r="AD612" i="58"/>
  <c r="AD611" i="58"/>
  <c r="AD610" i="58"/>
  <c r="AD609" i="58"/>
  <c r="AD608" i="58"/>
  <c r="AD607" i="58"/>
  <c r="AD606" i="58"/>
  <c r="AD605" i="58"/>
  <c r="AD604" i="58"/>
  <c r="AD603" i="58"/>
  <c r="AD602" i="58"/>
  <c r="AD601" i="58"/>
  <c r="AD600" i="58"/>
  <c r="AD599" i="58"/>
  <c r="AD598" i="58"/>
  <c r="AD597" i="58"/>
  <c r="AD596" i="58"/>
  <c r="AD595" i="58"/>
  <c r="AD594" i="58"/>
  <c r="AD593" i="58"/>
  <c r="AD592" i="58"/>
  <c r="AD591" i="58"/>
  <c r="AD590" i="58"/>
  <c r="AD589" i="58"/>
  <c r="AD588" i="58"/>
  <c r="AD587" i="58"/>
  <c r="AD586" i="58"/>
  <c r="AD585" i="58"/>
  <c r="AD584" i="58"/>
  <c r="AD583" i="58"/>
  <c r="AD582" i="58"/>
  <c r="AD581" i="58"/>
  <c r="AD580" i="58"/>
  <c r="AD579" i="58"/>
  <c r="AD578" i="58"/>
  <c r="AD577" i="58"/>
  <c r="AD576" i="58"/>
  <c r="AD575" i="58"/>
  <c r="AD574" i="58"/>
  <c r="AD573" i="58"/>
  <c r="AD572" i="58"/>
  <c r="AD571" i="58"/>
  <c r="AD570" i="58"/>
  <c r="AD569" i="58"/>
  <c r="AD568" i="58"/>
  <c r="AD567" i="58"/>
  <c r="AD566" i="58"/>
  <c r="AD565" i="58"/>
  <c r="AD564" i="58"/>
  <c r="AD563" i="58"/>
  <c r="AD562" i="58"/>
  <c r="AD561" i="58"/>
  <c r="AD560" i="58"/>
  <c r="AD559" i="58"/>
  <c r="AD558" i="58"/>
  <c r="AD557" i="58"/>
  <c r="AD556" i="58"/>
  <c r="AD555" i="58"/>
  <c r="AD554" i="58"/>
  <c r="AD553" i="58"/>
  <c r="AD552" i="58"/>
  <c r="AD551" i="58"/>
  <c r="AD550" i="58"/>
  <c r="AD549" i="58"/>
  <c r="AD548" i="58"/>
  <c r="AD547" i="58"/>
  <c r="AD546" i="58"/>
  <c r="AD545" i="58"/>
  <c r="AD544" i="58"/>
  <c r="AD543" i="58"/>
  <c r="AD542" i="58"/>
  <c r="AD541" i="58"/>
  <c r="AD540" i="58"/>
  <c r="AD539" i="58"/>
  <c r="AD538" i="58"/>
  <c r="AD537" i="58"/>
  <c r="AD536" i="58"/>
  <c r="AD535" i="58"/>
  <c r="AD534" i="58"/>
  <c r="AD533" i="58"/>
  <c r="AD532" i="58"/>
  <c r="AD531" i="58"/>
  <c r="AD530" i="58"/>
  <c r="AD529" i="58"/>
  <c r="AD528" i="58"/>
  <c r="AD527" i="58"/>
  <c r="AD526" i="58"/>
  <c r="AD525" i="58"/>
  <c r="AD524" i="58"/>
  <c r="AD523" i="58"/>
  <c r="AD522" i="58"/>
  <c r="AD521" i="58"/>
  <c r="AD333" i="58"/>
  <c r="AD332" i="58"/>
  <c r="AD331" i="58"/>
  <c r="AD330" i="58"/>
  <c r="AD329" i="58"/>
  <c r="AD328" i="58"/>
  <c r="AD327" i="58"/>
  <c r="AD326" i="58"/>
  <c r="AD325" i="58"/>
  <c r="AD324" i="58"/>
  <c r="AD323" i="58"/>
  <c r="AD322" i="58"/>
  <c r="AD321" i="58"/>
  <c r="AD320" i="58"/>
  <c r="AD319" i="58"/>
  <c r="AD318" i="58"/>
  <c r="AD317" i="58"/>
  <c r="AD316" i="58"/>
  <c r="AD315" i="58"/>
  <c r="AD314" i="58"/>
  <c r="AD313" i="58"/>
  <c r="AD312" i="58"/>
  <c r="AD311" i="58"/>
  <c r="AD310" i="58"/>
  <c r="AD309" i="58"/>
  <c r="AD308" i="58"/>
  <c r="AD307" i="58"/>
  <c r="AD306" i="58"/>
  <c r="AD305" i="58"/>
  <c r="AD304" i="58"/>
  <c r="AD303" i="58"/>
  <c r="AD302" i="58"/>
  <c r="AD301" i="58"/>
  <c r="AD300" i="58"/>
  <c r="AD299" i="58"/>
  <c r="AD298" i="58"/>
  <c r="AE297" i="58"/>
  <c r="AE296" i="58"/>
  <c r="AE295" i="58"/>
  <c r="AE294" i="58"/>
  <c r="AE293" i="58"/>
  <c r="AE292" i="58"/>
  <c r="AE291" i="58"/>
  <c r="AE290" i="58"/>
  <c r="AE289" i="58"/>
  <c r="AE288" i="58"/>
  <c r="AE287" i="58"/>
  <c r="AE286" i="58"/>
  <c r="AD285" i="58"/>
  <c r="AD284" i="58"/>
  <c r="AD283" i="58"/>
  <c r="AD282" i="58"/>
  <c r="AD281" i="58"/>
  <c r="AD280" i="58"/>
  <c r="AD279" i="58"/>
  <c r="AD278" i="58"/>
  <c r="AD277" i="58"/>
  <c r="AD276" i="58"/>
  <c r="AD275" i="58"/>
  <c r="AD274" i="58"/>
  <c r="AE273" i="58"/>
  <c r="AE272" i="58"/>
  <c r="AE271" i="58"/>
  <c r="AE270" i="58"/>
  <c r="AE269" i="58"/>
  <c r="AE268" i="58"/>
  <c r="AD166" i="58"/>
  <c r="AD165" i="58"/>
  <c r="AD164" i="58"/>
  <c r="AD163" i="58"/>
  <c r="AD162" i="58"/>
  <c r="AD161" i="58"/>
  <c r="AD160" i="58"/>
  <c r="AD159" i="58"/>
  <c r="AD158" i="58"/>
  <c r="AD157" i="58"/>
  <c r="AD156" i="58"/>
  <c r="AD155" i="58"/>
  <c r="AE141" i="58"/>
  <c r="AE140" i="58"/>
  <c r="AE139" i="58"/>
  <c r="AE138" i="58"/>
  <c r="AE137" i="58"/>
  <c r="AE136" i="58"/>
  <c r="AE135" i="58"/>
  <c r="AE134" i="58"/>
  <c r="AE133" i="58"/>
  <c r="AE132" i="58"/>
  <c r="AE131" i="58"/>
  <c r="AE130" i="58"/>
  <c r="AE129" i="58"/>
  <c r="AE128" i="58"/>
  <c r="AE127" i="58"/>
  <c r="AE126" i="58"/>
  <c r="AE125" i="58"/>
  <c r="AE124" i="58"/>
  <c r="AE123" i="58"/>
  <c r="AE122" i="58"/>
  <c r="AE121" i="58"/>
  <c r="AE120" i="58"/>
  <c r="AE119" i="58"/>
  <c r="AE118" i="58"/>
  <c r="AE117" i="58"/>
  <c r="AE116" i="58"/>
  <c r="AE115" i="58"/>
  <c r="AE114" i="58"/>
  <c r="AE113" i="58"/>
  <c r="AE112" i="58"/>
  <c r="AE111" i="58"/>
  <c r="AE110" i="58"/>
  <c r="AE109" i="58"/>
  <c r="AE108" i="58"/>
  <c r="AE107" i="58"/>
  <c r="AE106" i="58"/>
  <c r="AE105" i="58"/>
  <c r="AE104" i="58"/>
  <c r="AE103" i="58"/>
  <c r="AE102" i="58"/>
  <c r="AE101" i="58"/>
  <c r="AE100" i="58"/>
  <c r="AE99" i="58"/>
  <c r="AE98" i="58"/>
  <c r="AE97" i="58"/>
  <c r="AE96" i="58"/>
  <c r="AE95" i="58"/>
  <c r="AE94" i="58"/>
  <c r="AD27" i="58"/>
  <c r="AD26" i="58"/>
  <c r="AD25" i="58"/>
  <c r="AD24" i="58"/>
  <c r="AD23" i="58"/>
  <c r="AD22" i="58"/>
  <c r="AD21" i="58"/>
  <c r="AD20" i="58"/>
  <c r="AD19" i="58"/>
  <c r="AD18" i="58"/>
  <c r="AD17" i="58"/>
  <c r="AD16" i="58"/>
  <c r="AD15" i="58"/>
  <c r="AD14" i="58"/>
  <c r="V836" i="58"/>
  <c r="AB836" i="58" s="1"/>
  <c r="V835" i="58"/>
  <c r="AB835" i="58" s="1"/>
  <c r="V834" i="58"/>
  <c r="AB834" i="58" s="1"/>
  <c r="V833" i="58"/>
  <c r="AB833" i="58" s="1"/>
  <c r="V832" i="58"/>
  <c r="AB832" i="58" s="1"/>
  <c r="V831" i="58"/>
  <c r="AB831" i="58" s="1"/>
  <c r="V830" i="58"/>
  <c r="AB830" i="58" s="1"/>
  <c r="V829" i="58"/>
  <c r="AB829" i="58" s="1"/>
  <c r="V828" i="58"/>
  <c r="AB828" i="58" s="1"/>
  <c r="V827" i="58"/>
  <c r="AB827" i="58" s="1"/>
  <c r="V826" i="58"/>
  <c r="AB826" i="58" s="1"/>
  <c r="V825" i="58"/>
  <c r="AB825" i="58" s="1"/>
  <c r="V824" i="58"/>
  <c r="AB824" i="58" s="1"/>
  <c r="V823" i="58"/>
  <c r="AB823" i="58" s="1"/>
  <c r="V822" i="58"/>
  <c r="AB822" i="58" s="1"/>
  <c r="X821" i="58"/>
  <c r="W821" i="58"/>
  <c r="V821" i="58"/>
  <c r="AB821" i="58" s="1"/>
  <c r="X820" i="58"/>
  <c r="W820" i="58"/>
  <c r="V820" i="58"/>
  <c r="AB820" i="58" s="1"/>
  <c r="X819" i="58"/>
  <c r="W819" i="58"/>
  <c r="V819" i="58"/>
  <c r="AB819" i="58" s="1"/>
  <c r="X818" i="58"/>
  <c r="W818" i="58"/>
  <c r="V818" i="58"/>
  <c r="AB818" i="58" s="1"/>
  <c r="X817" i="58"/>
  <c r="W817" i="58"/>
  <c r="V817" i="58"/>
  <c r="AB817" i="58" s="1"/>
  <c r="X816" i="58"/>
  <c r="W816" i="58"/>
  <c r="V816" i="58"/>
  <c r="AB816" i="58" s="1"/>
  <c r="X815" i="58"/>
  <c r="W815" i="58"/>
  <c r="V815" i="58"/>
  <c r="AB815" i="58" s="1"/>
  <c r="X814" i="58"/>
  <c r="W814" i="58"/>
  <c r="V814" i="58"/>
  <c r="AB814" i="58" s="1"/>
  <c r="X813" i="58"/>
  <c r="W813" i="58"/>
  <c r="V813" i="58"/>
  <c r="AB813" i="58" s="1"/>
  <c r="X812" i="58"/>
  <c r="W812" i="58"/>
  <c r="V812" i="58"/>
  <c r="AB812" i="58" s="1"/>
  <c r="X811" i="58"/>
  <c r="W811" i="58"/>
  <c r="V811" i="58"/>
  <c r="AB811" i="58" s="1"/>
  <c r="X810" i="58"/>
  <c r="W810" i="58"/>
  <c r="V810" i="58"/>
  <c r="AB810" i="58" s="1"/>
  <c r="X809" i="58"/>
  <c r="W809" i="58"/>
  <c r="V809" i="58"/>
  <c r="AB809" i="58" s="1"/>
  <c r="X808" i="58"/>
  <c r="W808" i="58"/>
  <c r="V808" i="58"/>
  <c r="AB808" i="58" s="1"/>
  <c r="X807" i="58"/>
  <c r="W807" i="58"/>
  <c r="V807" i="58"/>
  <c r="AB807" i="58" s="1"/>
  <c r="X806" i="58"/>
  <c r="W806" i="58"/>
  <c r="V806" i="58"/>
  <c r="AB806" i="58" s="1"/>
  <c r="X805" i="58"/>
  <c r="W805" i="58"/>
  <c r="V805" i="58"/>
  <c r="AB805" i="58" s="1"/>
  <c r="X804" i="58"/>
  <c r="W804" i="58"/>
  <c r="V804" i="58"/>
  <c r="AB804" i="58" s="1"/>
  <c r="X803" i="58"/>
  <c r="W803" i="58"/>
  <c r="V803" i="58"/>
  <c r="AB803" i="58" s="1"/>
  <c r="X802" i="58"/>
  <c r="W802" i="58"/>
  <c r="V802" i="58"/>
  <c r="AB802" i="58" s="1"/>
  <c r="X801" i="58"/>
  <c r="W801" i="58"/>
  <c r="V801" i="58"/>
  <c r="AB801" i="58" s="1"/>
  <c r="X800" i="58"/>
  <c r="W800" i="58"/>
  <c r="V800" i="58"/>
  <c r="AB800" i="58" s="1"/>
  <c r="X799" i="58"/>
  <c r="W799" i="58"/>
  <c r="V799" i="58"/>
  <c r="AB799" i="58" s="1"/>
  <c r="X798" i="58"/>
  <c r="W798" i="58"/>
  <c r="V798" i="58"/>
  <c r="AB798" i="58" s="1"/>
  <c r="X797" i="58"/>
  <c r="W797" i="58"/>
  <c r="V797" i="58"/>
  <c r="AB797" i="58" s="1"/>
  <c r="X796" i="58"/>
  <c r="W796" i="58"/>
  <c r="V796" i="58"/>
  <c r="AB796" i="58" s="1"/>
  <c r="X795" i="58"/>
  <c r="W795" i="58"/>
  <c r="V795" i="58"/>
  <c r="AB795" i="58" s="1"/>
  <c r="X794" i="58"/>
  <c r="W794" i="58"/>
  <c r="V794" i="58"/>
  <c r="AB794" i="58" s="1"/>
  <c r="X793" i="58"/>
  <c r="W793" i="58"/>
  <c r="V793" i="58"/>
  <c r="AB793" i="58" s="1"/>
  <c r="X792" i="58"/>
  <c r="W792" i="58"/>
  <c r="V792" i="58"/>
  <c r="AB792" i="58" s="1"/>
  <c r="X791" i="58"/>
  <c r="W791" i="58"/>
  <c r="V791" i="58"/>
  <c r="AB791" i="58" s="1"/>
  <c r="X790" i="58"/>
  <c r="W790" i="58"/>
  <c r="V790" i="58"/>
  <c r="AB790" i="58" s="1"/>
  <c r="X789" i="58"/>
  <c r="W789" i="58"/>
  <c r="V789" i="58"/>
  <c r="AB789" i="58" s="1"/>
  <c r="X788" i="58"/>
  <c r="W788" i="58"/>
  <c r="V788" i="58"/>
  <c r="AB788" i="58" s="1"/>
  <c r="X787" i="58"/>
  <c r="W787" i="58"/>
  <c r="V787" i="58"/>
  <c r="AB787" i="58" s="1"/>
  <c r="X786" i="58"/>
  <c r="W786" i="58"/>
  <c r="V786" i="58"/>
  <c r="AB786" i="58" s="1"/>
  <c r="X785" i="58"/>
  <c r="W785" i="58"/>
  <c r="V785" i="58"/>
  <c r="AB785" i="58" s="1"/>
  <c r="X784" i="58"/>
  <c r="W784" i="58"/>
  <c r="V784" i="58"/>
  <c r="AB784" i="58" s="1"/>
  <c r="X783" i="58"/>
  <c r="W783" i="58"/>
  <c r="V783" i="58"/>
  <c r="AB783" i="58" s="1"/>
  <c r="X782" i="58"/>
  <c r="W782" i="58"/>
  <c r="V782" i="58"/>
  <c r="AB782" i="58" s="1"/>
  <c r="X781" i="58"/>
  <c r="W781" i="58"/>
  <c r="V781" i="58"/>
  <c r="AB781" i="58" s="1"/>
  <c r="X780" i="58"/>
  <c r="W780" i="58"/>
  <c r="V780" i="58"/>
  <c r="AB780" i="58" s="1"/>
  <c r="X779" i="58"/>
  <c r="W779" i="58"/>
  <c r="V779" i="58"/>
  <c r="AB779" i="58" s="1"/>
  <c r="X778" i="58"/>
  <c r="W778" i="58"/>
  <c r="V778" i="58"/>
  <c r="AB778" i="58" s="1"/>
  <c r="X777" i="58"/>
  <c r="W777" i="58"/>
  <c r="V777" i="58"/>
  <c r="AB777" i="58" s="1"/>
  <c r="X776" i="58"/>
  <c r="W776" i="58"/>
  <c r="V776" i="58"/>
  <c r="AB776" i="58" s="1"/>
  <c r="X775" i="58"/>
  <c r="W775" i="58"/>
  <c r="V775" i="58"/>
  <c r="AB775" i="58" s="1"/>
  <c r="X774" i="58"/>
  <c r="W774" i="58"/>
  <c r="V774" i="58"/>
  <c r="AB774" i="58" s="1"/>
  <c r="X773" i="58"/>
  <c r="W773" i="58"/>
  <c r="V773" i="58"/>
  <c r="AB773" i="58" s="1"/>
  <c r="X772" i="58"/>
  <c r="W772" i="58"/>
  <c r="V772" i="58"/>
  <c r="AB772" i="58" s="1"/>
  <c r="X771" i="58"/>
  <c r="W771" i="58"/>
  <c r="V771" i="58"/>
  <c r="AB771" i="58" s="1"/>
  <c r="X770" i="58"/>
  <c r="W770" i="58"/>
  <c r="V770" i="58"/>
  <c r="AB770" i="58" s="1"/>
  <c r="X769" i="58"/>
  <c r="W769" i="58"/>
  <c r="V769" i="58"/>
  <c r="AB769" i="58" s="1"/>
  <c r="X768" i="58"/>
  <c r="W768" i="58"/>
  <c r="V768" i="58"/>
  <c r="AB768" i="58" s="1"/>
  <c r="X767" i="58"/>
  <c r="W767" i="58"/>
  <c r="V767" i="58"/>
  <c r="AB767" i="58" s="1"/>
  <c r="X766" i="58"/>
  <c r="W766" i="58"/>
  <c r="V766" i="58"/>
  <c r="AB766" i="58" s="1"/>
  <c r="X765" i="58"/>
  <c r="W765" i="58"/>
  <c r="V765" i="58"/>
  <c r="AB765" i="58" s="1"/>
  <c r="X764" i="58"/>
  <c r="W764" i="58"/>
  <c r="V764" i="58"/>
  <c r="AB764" i="58" s="1"/>
  <c r="X763" i="58"/>
  <c r="W763" i="58"/>
  <c r="V763" i="58"/>
  <c r="AB763" i="58" s="1"/>
  <c r="X762" i="58"/>
  <c r="W762" i="58"/>
  <c r="V762" i="58"/>
  <c r="AB762" i="58" s="1"/>
  <c r="X761" i="58"/>
  <c r="W761" i="58"/>
  <c r="V761" i="58"/>
  <c r="AB761" i="58" s="1"/>
  <c r="X760" i="58"/>
  <c r="W760" i="58"/>
  <c r="V760" i="58"/>
  <c r="AB760" i="58" s="1"/>
  <c r="X759" i="58"/>
  <c r="W759" i="58"/>
  <c r="V759" i="58"/>
  <c r="AB759" i="58" s="1"/>
  <c r="X758" i="58"/>
  <c r="W758" i="58"/>
  <c r="V758" i="58"/>
  <c r="AB758" i="58" s="1"/>
  <c r="X757" i="58"/>
  <c r="W757" i="58"/>
  <c r="V757" i="58"/>
  <c r="AB757" i="58" s="1"/>
  <c r="X756" i="58"/>
  <c r="W756" i="58"/>
  <c r="V756" i="58"/>
  <c r="AB756" i="58" s="1"/>
  <c r="X755" i="58"/>
  <c r="W755" i="58"/>
  <c r="V755" i="58"/>
  <c r="AB755" i="58" s="1"/>
  <c r="X754" i="58"/>
  <c r="W754" i="58"/>
  <c r="V754" i="58"/>
  <c r="AB754" i="58" s="1"/>
  <c r="X753" i="58"/>
  <c r="W753" i="58"/>
  <c r="V753" i="58"/>
  <c r="AB753" i="58" s="1"/>
  <c r="X752" i="58"/>
  <c r="W752" i="58"/>
  <c r="V752" i="58"/>
  <c r="AB752" i="58" s="1"/>
  <c r="X751" i="58"/>
  <c r="W751" i="58"/>
  <c r="V751" i="58"/>
  <c r="AB751" i="58" s="1"/>
  <c r="X750" i="58"/>
  <c r="W750" i="58"/>
  <c r="V750" i="58"/>
  <c r="AB750" i="58" s="1"/>
  <c r="X749" i="58"/>
  <c r="W749" i="58"/>
  <c r="V749" i="58"/>
  <c r="AB749" i="58" s="1"/>
  <c r="X748" i="58"/>
  <c r="W748" i="58"/>
  <c r="V748" i="58"/>
  <c r="AB748" i="58" s="1"/>
  <c r="X747" i="58"/>
  <c r="W747" i="58"/>
  <c r="V747" i="58"/>
  <c r="AB747" i="58" s="1"/>
  <c r="X746" i="58"/>
  <c r="W746" i="58"/>
  <c r="V746" i="58"/>
  <c r="AB746" i="58" s="1"/>
  <c r="X745" i="58"/>
  <c r="W745" i="58"/>
  <c r="V745" i="58"/>
  <c r="AB745" i="58" s="1"/>
  <c r="X744" i="58"/>
  <c r="W744" i="58"/>
  <c r="V744" i="58"/>
  <c r="AB744" i="58" s="1"/>
  <c r="X743" i="58"/>
  <c r="W743" i="58"/>
  <c r="V743" i="58"/>
  <c r="AB743" i="58" s="1"/>
  <c r="X742" i="58"/>
  <c r="W742" i="58"/>
  <c r="V742" i="58"/>
  <c r="AB742" i="58" s="1"/>
  <c r="X741" i="58"/>
  <c r="W741" i="58"/>
  <c r="V741" i="58"/>
  <c r="AB741" i="58" s="1"/>
  <c r="X740" i="58"/>
  <c r="W740" i="58"/>
  <c r="V740" i="58"/>
  <c r="AB740" i="58" s="1"/>
  <c r="X739" i="58"/>
  <c r="W739" i="58"/>
  <c r="V739" i="58"/>
  <c r="AB739" i="58" s="1"/>
  <c r="X738" i="58"/>
  <c r="W738" i="58"/>
  <c r="V738" i="58"/>
  <c r="AB738" i="58" s="1"/>
  <c r="X737" i="58"/>
  <c r="W737" i="58"/>
  <c r="V737" i="58"/>
  <c r="AB737" i="58" s="1"/>
  <c r="X736" i="58"/>
  <c r="W736" i="58"/>
  <c r="V736" i="58"/>
  <c r="AB736" i="58" s="1"/>
  <c r="X735" i="58"/>
  <c r="W735" i="58"/>
  <c r="V735" i="58"/>
  <c r="AB735" i="58" s="1"/>
  <c r="X734" i="58"/>
  <c r="W734" i="58"/>
  <c r="V734" i="58"/>
  <c r="AB734" i="58" s="1"/>
  <c r="X733" i="58"/>
  <c r="W733" i="58"/>
  <c r="V733" i="58"/>
  <c r="AB733" i="58" s="1"/>
  <c r="X732" i="58"/>
  <c r="W732" i="58"/>
  <c r="V732" i="58"/>
  <c r="AB732" i="58" s="1"/>
  <c r="X731" i="58"/>
  <c r="W731" i="58"/>
  <c r="V731" i="58"/>
  <c r="AB731" i="58" s="1"/>
  <c r="X730" i="58"/>
  <c r="W730" i="58"/>
  <c r="V730" i="58"/>
  <c r="AB730" i="58" s="1"/>
  <c r="X729" i="58"/>
  <c r="W729" i="58"/>
  <c r="V729" i="58"/>
  <c r="AB729" i="58" s="1"/>
  <c r="X728" i="58"/>
  <c r="W728" i="58"/>
  <c r="V728" i="58"/>
  <c r="AB728" i="58" s="1"/>
  <c r="X727" i="58"/>
  <c r="W727" i="58"/>
  <c r="V727" i="58"/>
  <c r="AB727" i="58" s="1"/>
  <c r="X726" i="58"/>
  <c r="W726" i="58"/>
  <c r="V726" i="58"/>
  <c r="AB726" i="58" s="1"/>
  <c r="X725" i="58"/>
  <c r="W725" i="58"/>
  <c r="V725" i="58"/>
  <c r="AB725" i="58" s="1"/>
  <c r="X724" i="58"/>
  <c r="W724" i="58"/>
  <c r="V724" i="58"/>
  <c r="AB724" i="58" s="1"/>
  <c r="X723" i="58"/>
  <c r="W723" i="58"/>
  <c r="V723" i="58"/>
  <c r="AB723" i="58" s="1"/>
  <c r="X722" i="58"/>
  <c r="W722" i="58"/>
  <c r="V722" i="58"/>
  <c r="AB722" i="58" s="1"/>
  <c r="X721" i="58"/>
  <c r="W721" i="58"/>
  <c r="V721" i="58"/>
  <c r="AB721" i="58" s="1"/>
  <c r="X720" i="58"/>
  <c r="W720" i="58"/>
  <c r="V720" i="58"/>
  <c r="AB720" i="58" s="1"/>
  <c r="X719" i="58"/>
  <c r="W719" i="58"/>
  <c r="V719" i="58"/>
  <c r="AB719" i="58" s="1"/>
  <c r="X718" i="58"/>
  <c r="W718" i="58"/>
  <c r="V718" i="58"/>
  <c r="AB718" i="58" s="1"/>
  <c r="X717" i="58"/>
  <c r="W717" i="58"/>
  <c r="V717" i="58"/>
  <c r="AB717" i="58" s="1"/>
  <c r="X716" i="58"/>
  <c r="W716" i="58"/>
  <c r="V716" i="58"/>
  <c r="AB716" i="58" s="1"/>
  <c r="X715" i="58"/>
  <c r="W715" i="58"/>
  <c r="V715" i="58"/>
  <c r="AB715" i="58" s="1"/>
  <c r="X714" i="58"/>
  <c r="W714" i="58"/>
  <c r="V714" i="58"/>
  <c r="AB714" i="58" s="1"/>
  <c r="X713" i="58"/>
  <c r="W713" i="58"/>
  <c r="V713" i="58"/>
  <c r="AB713" i="58" s="1"/>
  <c r="X712" i="58"/>
  <c r="W712" i="58"/>
  <c r="V712" i="58"/>
  <c r="AB712" i="58" s="1"/>
  <c r="X711" i="58"/>
  <c r="W711" i="58"/>
  <c r="V711" i="58"/>
  <c r="AB711" i="58" s="1"/>
  <c r="X710" i="58"/>
  <c r="W710" i="58"/>
  <c r="V710" i="58"/>
  <c r="AB710" i="58" s="1"/>
  <c r="X709" i="58"/>
  <c r="W709" i="58"/>
  <c r="V709" i="58"/>
  <c r="AB709" i="58" s="1"/>
  <c r="X708" i="58"/>
  <c r="W708" i="58"/>
  <c r="V708" i="58"/>
  <c r="AB708" i="58" s="1"/>
  <c r="X707" i="58"/>
  <c r="W707" i="58"/>
  <c r="V707" i="58"/>
  <c r="AB707" i="58" s="1"/>
  <c r="X706" i="58"/>
  <c r="W706" i="58"/>
  <c r="V706" i="58"/>
  <c r="AB706" i="58" s="1"/>
  <c r="X705" i="58"/>
  <c r="W705" i="58"/>
  <c r="V705" i="58"/>
  <c r="AB705" i="58" s="1"/>
  <c r="X704" i="58"/>
  <c r="W704" i="58"/>
  <c r="V704" i="58"/>
  <c r="AB704" i="58" s="1"/>
  <c r="X703" i="58"/>
  <c r="W703" i="58"/>
  <c r="V703" i="58"/>
  <c r="AB703" i="58" s="1"/>
  <c r="X702" i="58"/>
  <c r="W702" i="58"/>
  <c r="V702" i="58"/>
  <c r="AB702" i="58" s="1"/>
  <c r="X701" i="58"/>
  <c r="W701" i="58"/>
  <c r="V701" i="58"/>
  <c r="AB701" i="58" s="1"/>
  <c r="X700" i="58"/>
  <c r="W700" i="58"/>
  <c r="V700" i="58"/>
  <c r="AB700" i="58" s="1"/>
  <c r="X699" i="58"/>
  <c r="W699" i="58"/>
  <c r="V699" i="58"/>
  <c r="AB699" i="58" s="1"/>
  <c r="X698" i="58"/>
  <c r="W698" i="58"/>
  <c r="V698" i="58"/>
  <c r="AB698" i="58" s="1"/>
  <c r="X697" i="58"/>
  <c r="W697" i="58"/>
  <c r="V697" i="58"/>
  <c r="AB697" i="58" s="1"/>
  <c r="X696" i="58"/>
  <c r="W696" i="58"/>
  <c r="V696" i="58"/>
  <c r="AB696" i="58" s="1"/>
  <c r="X695" i="58"/>
  <c r="W695" i="58"/>
  <c r="V695" i="58"/>
  <c r="AB695" i="58" s="1"/>
  <c r="X694" i="58"/>
  <c r="W694" i="58"/>
  <c r="V694" i="58"/>
  <c r="AB694" i="58" s="1"/>
  <c r="X693" i="58"/>
  <c r="W693" i="58"/>
  <c r="V693" i="58"/>
  <c r="AB693" i="58" s="1"/>
  <c r="X692" i="58"/>
  <c r="W692" i="58"/>
  <c r="V692" i="58"/>
  <c r="AB692" i="58" s="1"/>
  <c r="X691" i="58"/>
  <c r="W691" i="58"/>
  <c r="V691" i="58"/>
  <c r="AB691" i="58" s="1"/>
  <c r="X690" i="58"/>
  <c r="W690" i="58"/>
  <c r="V690" i="58"/>
  <c r="AB690" i="58" s="1"/>
  <c r="X689" i="58"/>
  <c r="W689" i="58"/>
  <c r="V689" i="58"/>
  <c r="AB689" i="58" s="1"/>
  <c r="X688" i="58"/>
  <c r="W688" i="58"/>
  <c r="V688" i="58"/>
  <c r="AB688" i="58" s="1"/>
  <c r="X687" i="58"/>
  <c r="W687" i="58"/>
  <c r="V687" i="58"/>
  <c r="AB687" i="58" s="1"/>
  <c r="X686" i="58"/>
  <c r="W686" i="58"/>
  <c r="V686" i="58"/>
  <c r="AB686" i="58" s="1"/>
  <c r="X685" i="58"/>
  <c r="W685" i="58"/>
  <c r="V685" i="58"/>
  <c r="AB685" i="58" s="1"/>
  <c r="X684" i="58"/>
  <c r="W684" i="58"/>
  <c r="V684" i="58"/>
  <c r="AB684" i="58" s="1"/>
  <c r="X683" i="58"/>
  <c r="W683" i="58"/>
  <c r="V683" i="58"/>
  <c r="AB683" i="58" s="1"/>
  <c r="X682" i="58"/>
  <c r="W682" i="58"/>
  <c r="V682" i="58"/>
  <c r="AB682" i="58" s="1"/>
  <c r="X681" i="58"/>
  <c r="W681" i="58"/>
  <c r="V681" i="58"/>
  <c r="AB681" i="58" s="1"/>
  <c r="X680" i="58"/>
  <c r="W680" i="58"/>
  <c r="V680" i="58"/>
  <c r="AB680" i="58" s="1"/>
  <c r="X679" i="58"/>
  <c r="W679" i="58"/>
  <c r="V679" i="58"/>
  <c r="AB679" i="58" s="1"/>
  <c r="X678" i="58"/>
  <c r="W678" i="58"/>
  <c r="V678" i="58"/>
  <c r="AB678" i="58" s="1"/>
  <c r="X677" i="58"/>
  <c r="W677" i="58"/>
  <c r="V677" i="58"/>
  <c r="AB677" i="58" s="1"/>
  <c r="X676" i="58"/>
  <c r="W676" i="58"/>
  <c r="V676" i="58"/>
  <c r="AB676" i="58" s="1"/>
  <c r="X675" i="58"/>
  <c r="W675" i="58"/>
  <c r="V675" i="58"/>
  <c r="AB675" i="58" s="1"/>
  <c r="X674" i="58"/>
  <c r="W674" i="58"/>
  <c r="V674" i="58"/>
  <c r="AB674" i="58" s="1"/>
  <c r="X673" i="58"/>
  <c r="W673" i="58"/>
  <c r="V673" i="58"/>
  <c r="AB673" i="58" s="1"/>
  <c r="X672" i="58"/>
  <c r="W672" i="58"/>
  <c r="V672" i="58"/>
  <c r="AB672" i="58" s="1"/>
  <c r="X671" i="58"/>
  <c r="W671" i="58"/>
  <c r="V671" i="58"/>
  <c r="AB671" i="58" s="1"/>
  <c r="X670" i="58"/>
  <c r="W670" i="58"/>
  <c r="V670" i="58"/>
  <c r="AB670" i="58" s="1"/>
  <c r="X669" i="58"/>
  <c r="W669" i="58"/>
  <c r="V669" i="58"/>
  <c r="AB669" i="58" s="1"/>
  <c r="X668" i="58"/>
  <c r="W668" i="58"/>
  <c r="V668" i="58"/>
  <c r="AB668" i="58" s="1"/>
  <c r="X667" i="58"/>
  <c r="W667" i="58"/>
  <c r="V667" i="58"/>
  <c r="AB667" i="58" s="1"/>
  <c r="X666" i="58"/>
  <c r="W666" i="58"/>
  <c r="V666" i="58"/>
  <c r="AB666" i="58" s="1"/>
  <c r="X665" i="58"/>
  <c r="W665" i="58"/>
  <c r="V665" i="58"/>
  <c r="AB665" i="58" s="1"/>
  <c r="X664" i="58"/>
  <c r="W664" i="58"/>
  <c r="V664" i="58"/>
  <c r="AB664" i="58" s="1"/>
  <c r="X663" i="58"/>
  <c r="W663" i="58"/>
  <c r="V663" i="58"/>
  <c r="AB663" i="58" s="1"/>
  <c r="X662" i="58"/>
  <c r="W662" i="58"/>
  <c r="V662" i="58"/>
  <c r="AB662" i="58" s="1"/>
  <c r="X661" i="58"/>
  <c r="W661" i="58"/>
  <c r="V661" i="58"/>
  <c r="AB661" i="58" s="1"/>
  <c r="X660" i="58"/>
  <c r="W660" i="58"/>
  <c r="V660" i="58"/>
  <c r="AB660" i="58" s="1"/>
  <c r="X659" i="58"/>
  <c r="W659" i="58"/>
  <c r="V659" i="58"/>
  <c r="AB659" i="58" s="1"/>
  <c r="X658" i="58"/>
  <c r="W658" i="58"/>
  <c r="V658" i="58"/>
  <c r="AB658" i="58" s="1"/>
  <c r="X657" i="58"/>
  <c r="W657" i="58"/>
  <c r="V657" i="58"/>
  <c r="AB657" i="58" s="1"/>
  <c r="X656" i="58"/>
  <c r="W656" i="58"/>
  <c r="V656" i="58"/>
  <c r="AB656" i="58" s="1"/>
  <c r="X655" i="58"/>
  <c r="W655" i="58"/>
  <c r="V655" i="58"/>
  <c r="AB655" i="58" s="1"/>
  <c r="X654" i="58"/>
  <c r="W654" i="58"/>
  <c r="V654" i="58"/>
  <c r="AB654" i="58" s="1"/>
  <c r="X653" i="58"/>
  <c r="W653" i="58"/>
  <c r="V653" i="58"/>
  <c r="AB653" i="58" s="1"/>
  <c r="X652" i="58"/>
  <c r="W652" i="58"/>
  <c r="V652" i="58"/>
  <c r="AB652" i="58" s="1"/>
  <c r="X651" i="58"/>
  <c r="W651" i="58"/>
  <c r="V651" i="58"/>
  <c r="AB651" i="58" s="1"/>
  <c r="X650" i="58"/>
  <c r="W650" i="58"/>
  <c r="V650" i="58"/>
  <c r="AB650" i="58" s="1"/>
  <c r="X649" i="58"/>
  <c r="W649" i="58"/>
  <c r="V649" i="58"/>
  <c r="AB649" i="58" s="1"/>
  <c r="X648" i="58"/>
  <c r="W648" i="58"/>
  <c r="V648" i="58"/>
  <c r="AB648" i="58" s="1"/>
  <c r="X647" i="58"/>
  <c r="W647" i="58"/>
  <c r="V647" i="58"/>
  <c r="AB647" i="58" s="1"/>
  <c r="X646" i="58"/>
  <c r="W646" i="58"/>
  <c r="V646" i="58"/>
  <c r="AB646" i="58" s="1"/>
  <c r="X645" i="58"/>
  <c r="W645" i="58"/>
  <c r="V645" i="58"/>
  <c r="AB645" i="58" s="1"/>
  <c r="X644" i="58"/>
  <c r="W644" i="58"/>
  <c r="V644" i="58"/>
  <c r="AB644" i="58" s="1"/>
  <c r="X643" i="58"/>
  <c r="W643" i="58"/>
  <c r="V643" i="58"/>
  <c r="AB643" i="58" s="1"/>
  <c r="X642" i="58"/>
  <c r="W642" i="58"/>
  <c r="V642" i="58"/>
  <c r="AB642" i="58" s="1"/>
  <c r="X641" i="58"/>
  <c r="W641" i="58"/>
  <c r="V641" i="58"/>
  <c r="AB641" i="58" s="1"/>
  <c r="X640" i="58"/>
  <c r="W640" i="58"/>
  <c r="V640" i="58"/>
  <c r="AB640" i="58" s="1"/>
  <c r="X639" i="58"/>
  <c r="W639" i="58"/>
  <c r="V639" i="58"/>
  <c r="AB639" i="58" s="1"/>
  <c r="X638" i="58"/>
  <c r="W638" i="58"/>
  <c r="V638" i="58"/>
  <c r="AB638" i="58" s="1"/>
  <c r="X637" i="58"/>
  <c r="W637" i="58"/>
  <c r="V637" i="58"/>
  <c r="AB637" i="58" s="1"/>
  <c r="X636" i="58"/>
  <c r="W636" i="58"/>
  <c r="V636" i="58"/>
  <c r="AB636" i="58" s="1"/>
  <c r="X635" i="58"/>
  <c r="W635" i="58"/>
  <c r="V635" i="58"/>
  <c r="AB635" i="58" s="1"/>
  <c r="X634" i="58"/>
  <c r="W634" i="58"/>
  <c r="V634" i="58"/>
  <c r="AB634" i="58" s="1"/>
  <c r="X633" i="58"/>
  <c r="W633" i="58"/>
  <c r="V633" i="58"/>
  <c r="AB633" i="58" s="1"/>
  <c r="X632" i="58"/>
  <c r="W632" i="58"/>
  <c r="V632" i="58"/>
  <c r="AB632" i="58" s="1"/>
  <c r="X631" i="58"/>
  <c r="W631" i="58"/>
  <c r="V631" i="58"/>
  <c r="AB631" i="58" s="1"/>
  <c r="X630" i="58"/>
  <c r="W630" i="58"/>
  <c r="V630" i="58"/>
  <c r="AB630" i="58" s="1"/>
  <c r="X629" i="58"/>
  <c r="W629" i="58"/>
  <c r="V629" i="58"/>
  <c r="AB629" i="58" s="1"/>
  <c r="X628" i="58"/>
  <c r="W628" i="58"/>
  <c r="V628" i="58"/>
  <c r="AB628" i="58" s="1"/>
  <c r="X627" i="58"/>
  <c r="W627" i="58"/>
  <c r="V627" i="58"/>
  <c r="AB627" i="58" s="1"/>
  <c r="X626" i="58"/>
  <c r="W626" i="58"/>
  <c r="V626" i="58"/>
  <c r="AB626" i="58" s="1"/>
  <c r="X625" i="58"/>
  <c r="W625" i="58"/>
  <c r="V625" i="58"/>
  <c r="AB625" i="58" s="1"/>
  <c r="X624" i="58"/>
  <c r="W624" i="58"/>
  <c r="V624" i="58"/>
  <c r="AB624" i="58" s="1"/>
  <c r="X623" i="58"/>
  <c r="W623" i="58"/>
  <c r="V623" i="58"/>
  <c r="AB623" i="58" s="1"/>
  <c r="X622" i="58"/>
  <c r="W622" i="58"/>
  <c r="V622" i="58"/>
  <c r="AB622" i="58" s="1"/>
  <c r="X621" i="58"/>
  <c r="W621" i="58"/>
  <c r="V621" i="58"/>
  <c r="AB621" i="58" s="1"/>
  <c r="X620" i="58"/>
  <c r="W620" i="58"/>
  <c r="V620" i="58"/>
  <c r="AB620" i="58" s="1"/>
  <c r="X619" i="58"/>
  <c r="W619" i="58"/>
  <c r="V619" i="58"/>
  <c r="AB619" i="58" s="1"/>
  <c r="X618" i="58"/>
  <c r="W618" i="58"/>
  <c r="V618" i="58"/>
  <c r="AB618" i="58" s="1"/>
  <c r="X617" i="58"/>
  <c r="W617" i="58"/>
  <c r="V617" i="58"/>
  <c r="AB617" i="58" s="1"/>
  <c r="X616" i="58"/>
  <c r="W616" i="58"/>
  <c r="V616" i="58"/>
  <c r="AB616" i="58" s="1"/>
  <c r="X615" i="58"/>
  <c r="W615" i="58"/>
  <c r="V615" i="58"/>
  <c r="AB615" i="58" s="1"/>
  <c r="X614" i="58"/>
  <c r="W614" i="58"/>
  <c r="V614" i="58"/>
  <c r="AB614" i="58" s="1"/>
  <c r="X613" i="58"/>
  <c r="W613" i="58"/>
  <c r="V613" i="58"/>
  <c r="AB613" i="58" s="1"/>
  <c r="X612" i="58"/>
  <c r="W612" i="58"/>
  <c r="V612" i="58"/>
  <c r="AB612" i="58" s="1"/>
  <c r="X611" i="58"/>
  <c r="W611" i="58"/>
  <c r="V611" i="58"/>
  <c r="AB611" i="58" s="1"/>
  <c r="X610" i="58"/>
  <c r="W610" i="58"/>
  <c r="V610" i="58"/>
  <c r="AB610" i="58" s="1"/>
  <c r="X609" i="58"/>
  <c r="W609" i="58"/>
  <c r="V609" i="58"/>
  <c r="AB609" i="58" s="1"/>
  <c r="X608" i="58"/>
  <c r="W608" i="58"/>
  <c r="V608" i="58"/>
  <c r="AB608" i="58" s="1"/>
  <c r="X607" i="58"/>
  <c r="W607" i="58"/>
  <c r="V607" i="58"/>
  <c r="AB607" i="58" s="1"/>
  <c r="X606" i="58"/>
  <c r="W606" i="58"/>
  <c r="V606" i="58"/>
  <c r="AB606" i="58" s="1"/>
  <c r="X605" i="58"/>
  <c r="W605" i="58"/>
  <c r="V605" i="58"/>
  <c r="AB605" i="58" s="1"/>
  <c r="X604" i="58"/>
  <c r="W604" i="58"/>
  <c r="V604" i="58"/>
  <c r="AB604" i="58" s="1"/>
  <c r="X603" i="58"/>
  <c r="W603" i="58"/>
  <c r="V603" i="58"/>
  <c r="AB603" i="58" s="1"/>
  <c r="X602" i="58"/>
  <c r="W602" i="58"/>
  <c r="V602" i="58"/>
  <c r="AB602" i="58" s="1"/>
  <c r="X601" i="58"/>
  <c r="W601" i="58"/>
  <c r="V601" i="58"/>
  <c r="AB601" i="58" s="1"/>
  <c r="X600" i="58"/>
  <c r="W600" i="58"/>
  <c r="V600" i="58"/>
  <c r="AB600" i="58" s="1"/>
  <c r="X599" i="58"/>
  <c r="W599" i="58"/>
  <c r="V599" i="58"/>
  <c r="AB599" i="58" s="1"/>
  <c r="X598" i="58"/>
  <c r="W598" i="58"/>
  <c r="V598" i="58"/>
  <c r="AB598" i="58" s="1"/>
  <c r="X597" i="58"/>
  <c r="W597" i="58"/>
  <c r="V597" i="58"/>
  <c r="AB597" i="58" s="1"/>
  <c r="X596" i="58"/>
  <c r="W596" i="58"/>
  <c r="V596" i="58"/>
  <c r="AB596" i="58" s="1"/>
  <c r="X595" i="58"/>
  <c r="W595" i="58"/>
  <c r="V595" i="58"/>
  <c r="AB595" i="58" s="1"/>
  <c r="X594" i="58"/>
  <c r="W594" i="58"/>
  <c r="V594" i="58"/>
  <c r="AB594" i="58" s="1"/>
  <c r="X593" i="58"/>
  <c r="W593" i="58"/>
  <c r="V593" i="58"/>
  <c r="AB593" i="58" s="1"/>
  <c r="X592" i="58"/>
  <c r="W592" i="58"/>
  <c r="V592" i="58"/>
  <c r="AB592" i="58" s="1"/>
  <c r="X591" i="58"/>
  <c r="W591" i="58"/>
  <c r="V591" i="58"/>
  <c r="AB591" i="58" s="1"/>
  <c r="X590" i="58"/>
  <c r="W590" i="58"/>
  <c r="V590" i="58"/>
  <c r="AB590" i="58" s="1"/>
  <c r="X589" i="58"/>
  <c r="W589" i="58"/>
  <c r="V589" i="58"/>
  <c r="AB589" i="58" s="1"/>
  <c r="X588" i="58"/>
  <c r="W588" i="58"/>
  <c r="V588" i="58"/>
  <c r="AB588" i="58" s="1"/>
  <c r="X587" i="58"/>
  <c r="W587" i="58"/>
  <c r="V587" i="58"/>
  <c r="AB587" i="58" s="1"/>
  <c r="X586" i="58"/>
  <c r="W586" i="58"/>
  <c r="V586" i="58"/>
  <c r="AB586" i="58" s="1"/>
  <c r="X585" i="58"/>
  <c r="W585" i="58"/>
  <c r="V585" i="58"/>
  <c r="AB585" i="58" s="1"/>
  <c r="X584" i="58"/>
  <c r="W584" i="58"/>
  <c r="V584" i="58"/>
  <c r="AB584" i="58" s="1"/>
  <c r="X583" i="58"/>
  <c r="W583" i="58"/>
  <c r="V583" i="58"/>
  <c r="AB583" i="58" s="1"/>
  <c r="X582" i="58"/>
  <c r="W582" i="58"/>
  <c r="V582" i="58"/>
  <c r="AB582" i="58" s="1"/>
  <c r="X581" i="58"/>
  <c r="W581" i="58"/>
  <c r="V581" i="58"/>
  <c r="AB581" i="58" s="1"/>
  <c r="X580" i="58"/>
  <c r="W580" i="58"/>
  <c r="V580" i="58"/>
  <c r="AB580" i="58" s="1"/>
  <c r="X579" i="58"/>
  <c r="W579" i="58"/>
  <c r="V579" i="58"/>
  <c r="AB579" i="58" s="1"/>
  <c r="X578" i="58"/>
  <c r="W578" i="58"/>
  <c r="V578" i="58"/>
  <c r="AB578" i="58" s="1"/>
  <c r="X577" i="58"/>
  <c r="W577" i="58"/>
  <c r="V577" i="58"/>
  <c r="AB577" i="58" s="1"/>
  <c r="X576" i="58"/>
  <c r="W576" i="58"/>
  <c r="V576" i="58"/>
  <c r="AB576" i="58" s="1"/>
  <c r="X575" i="58"/>
  <c r="W575" i="58"/>
  <c r="V575" i="58"/>
  <c r="AB575" i="58" s="1"/>
  <c r="X574" i="58"/>
  <c r="W574" i="58"/>
  <c r="V574" i="58"/>
  <c r="AB574" i="58" s="1"/>
  <c r="X573" i="58"/>
  <c r="W573" i="58"/>
  <c r="V573" i="58"/>
  <c r="AB573" i="58" s="1"/>
  <c r="X572" i="58"/>
  <c r="W572" i="58"/>
  <c r="V572" i="58"/>
  <c r="AB572" i="58" s="1"/>
  <c r="X571" i="58"/>
  <c r="W571" i="58"/>
  <c r="V571" i="58"/>
  <c r="AB571" i="58" s="1"/>
  <c r="X570" i="58"/>
  <c r="W570" i="58"/>
  <c r="V570" i="58"/>
  <c r="AB570" i="58" s="1"/>
  <c r="X569" i="58"/>
  <c r="W569" i="58"/>
  <c r="V569" i="58"/>
  <c r="AB569" i="58" s="1"/>
  <c r="X568" i="58"/>
  <c r="W568" i="58"/>
  <c r="V568" i="58"/>
  <c r="AB568" i="58" s="1"/>
  <c r="X567" i="58"/>
  <c r="W567" i="58"/>
  <c r="V567" i="58"/>
  <c r="AB567" i="58" s="1"/>
  <c r="X566" i="58"/>
  <c r="W566" i="58"/>
  <c r="V566" i="58"/>
  <c r="AB566" i="58" s="1"/>
  <c r="X565" i="58"/>
  <c r="W565" i="58"/>
  <c r="V565" i="58"/>
  <c r="AB565" i="58" s="1"/>
  <c r="X564" i="58"/>
  <c r="W564" i="58"/>
  <c r="V564" i="58"/>
  <c r="AB564" i="58" s="1"/>
  <c r="X563" i="58"/>
  <c r="W563" i="58"/>
  <c r="V563" i="58"/>
  <c r="AB563" i="58" s="1"/>
  <c r="X562" i="58"/>
  <c r="W562" i="58"/>
  <c r="V562" i="58"/>
  <c r="AB562" i="58" s="1"/>
  <c r="X561" i="58"/>
  <c r="W561" i="58"/>
  <c r="V561" i="58"/>
  <c r="AB561" i="58" s="1"/>
  <c r="X560" i="58"/>
  <c r="W560" i="58"/>
  <c r="V560" i="58"/>
  <c r="AB560" i="58" s="1"/>
  <c r="X559" i="58"/>
  <c r="W559" i="58"/>
  <c r="V559" i="58"/>
  <c r="AB559" i="58" s="1"/>
  <c r="X558" i="58"/>
  <c r="W558" i="58"/>
  <c r="V558" i="58"/>
  <c r="AB558" i="58" s="1"/>
  <c r="X557" i="58"/>
  <c r="W557" i="58"/>
  <c r="V557" i="58"/>
  <c r="AB557" i="58" s="1"/>
  <c r="X556" i="58"/>
  <c r="W556" i="58"/>
  <c r="V556" i="58"/>
  <c r="AB556" i="58" s="1"/>
  <c r="X555" i="58"/>
  <c r="W555" i="58"/>
  <c r="V555" i="58"/>
  <c r="AB555" i="58" s="1"/>
  <c r="X554" i="58"/>
  <c r="W554" i="58"/>
  <c r="V554" i="58"/>
  <c r="AB554" i="58" s="1"/>
  <c r="X553" i="58"/>
  <c r="W553" i="58"/>
  <c r="V553" i="58"/>
  <c r="AB553" i="58" s="1"/>
  <c r="X552" i="58"/>
  <c r="W552" i="58"/>
  <c r="V552" i="58"/>
  <c r="AB552" i="58" s="1"/>
  <c r="X551" i="58"/>
  <c r="W551" i="58"/>
  <c r="V551" i="58"/>
  <c r="AB551" i="58" s="1"/>
  <c r="X550" i="58"/>
  <c r="W550" i="58"/>
  <c r="AC550" i="58" s="1"/>
  <c r="V550" i="58"/>
  <c r="AB550" i="58" s="1"/>
  <c r="X549" i="58"/>
  <c r="W549" i="58"/>
  <c r="AC549" i="58" s="1"/>
  <c r="V549" i="58"/>
  <c r="AB549" i="58" s="1"/>
  <c r="X548" i="58"/>
  <c r="W548" i="58"/>
  <c r="V548" i="58"/>
  <c r="AB548" i="58" s="1"/>
  <c r="X547" i="58"/>
  <c r="W547" i="58"/>
  <c r="V547" i="58"/>
  <c r="AB547" i="58" s="1"/>
  <c r="X546" i="58"/>
  <c r="W546" i="58"/>
  <c r="AC546" i="58" s="1"/>
  <c r="V546" i="58"/>
  <c r="AB546" i="58" s="1"/>
  <c r="X545" i="58"/>
  <c r="W545" i="58"/>
  <c r="AC545" i="58" s="1"/>
  <c r="V545" i="58"/>
  <c r="AB545" i="58" s="1"/>
  <c r="X544" i="58"/>
  <c r="W544" i="58"/>
  <c r="V544" i="58"/>
  <c r="AB544" i="58" s="1"/>
  <c r="X543" i="58"/>
  <c r="W543" i="58"/>
  <c r="V543" i="58"/>
  <c r="AB543" i="58" s="1"/>
  <c r="X542" i="58"/>
  <c r="W542" i="58"/>
  <c r="AC542" i="58" s="1"/>
  <c r="V542" i="58"/>
  <c r="AB542" i="58" s="1"/>
  <c r="X541" i="58"/>
  <c r="W541" i="58"/>
  <c r="AC541" i="58" s="1"/>
  <c r="V541" i="58"/>
  <c r="AB541" i="58" s="1"/>
  <c r="X540" i="58"/>
  <c r="W540" i="58"/>
  <c r="V540" i="58"/>
  <c r="AB540" i="58" s="1"/>
  <c r="X539" i="58"/>
  <c r="W539" i="58"/>
  <c r="V539" i="58"/>
  <c r="AB539" i="58" s="1"/>
  <c r="X538" i="58"/>
  <c r="W538" i="58"/>
  <c r="AC538" i="58" s="1"/>
  <c r="V538" i="58"/>
  <c r="AB538" i="58" s="1"/>
  <c r="X537" i="58"/>
  <c r="W537" i="58"/>
  <c r="AC537" i="58" s="1"/>
  <c r="V537" i="58"/>
  <c r="AB537" i="58" s="1"/>
  <c r="X536" i="58"/>
  <c r="W536" i="58"/>
  <c r="V536" i="58"/>
  <c r="AB536" i="58" s="1"/>
  <c r="X535" i="58"/>
  <c r="W535" i="58"/>
  <c r="V535" i="58"/>
  <c r="AB535" i="58" s="1"/>
  <c r="X534" i="58"/>
  <c r="W534" i="58"/>
  <c r="AC534" i="58" s="1"/>
  <c r="V534" i="58"/>
  <c r="AB534" i="58" s="1"/>
  <c r="X533" i="58"/>
  <c r="W533" i="58"/>
  <c r="AC533" i="58" s="1"/>
  <c r="V533" i="58"/>
  <c r="AB533" i="58" s="1"/>
  <c r="X532" i="58"/>
  <c r="W532" i="58"/>
  <c r="V532" i="58"/>
  <c r="AB532" i="58" s="1"/>
  <c r="X531" i="58"/>
  <c r="W531" i="58"/>
  <c r="V531" i="58"/>
  <c r="AB531" i="58" s="1"/>
  <c r="X530" i="58"/>
  <c r="W530" i="58"/>
  <c r="AC530" i="58" s="1"/>
  <c r="V530" i="58"/>
  <c r="AB530" i="58" s="1"/>
  <c r="X529" i="58"/>
  <c r="W529" i="58"/>
  <c r="AC529" i="58" s="1"/>
  <c r="V529" i="58"/>
  <c r="AB529" i="58" s="1"/>
  <c r="X528" i="58"/>
  <c r="W528" i="58"/>
  <c r="V528" i="58"/>
  <c r="AB528" i="58" s="1"/>
  <c r="X527" i="58"/>
  <c r="W527" i="58"/>
  <c r="V527" i="58"/>
  <c r="AB527" i="58" s="1"/>
  <c r="X526" i="58"/>
  <c r="W526" i="58"/>
  <c r="AC526" i="58" s="1"/>
  <c r="V526" i="58"/>
  <c r="AB526" i="58" s="1"/>
  <c r="X525" i="58"/>
  <c r="W525" i="58"/>
  <c r="AC525" i="58" s="1"/>
  <c r="V525" i="58"/>
  <c r="AB525" i="58" s="1"/>
  <c r="X524" i="58"/>
  <c r="W524" i="58"/>
  <c r="V524" i="58"/>
  <c r="AB524" i="58" s="1"/>
  <c r="X523" i="58"/>
  <c r="W523" i="58"/>
  <c r="V523" i="58"/>
  <c r="AB523" i="58" s="1"/>
  <c r="X522" i="58"/>
  <c r="W522" i="58"/>
  <c r="AC522" i="58" s="1"/>
  <c r="V522" i="58"/>
  <c r="AB522" i="58" s="1"/>
  <c r="X521" i="58"/>
  <c r="W521" i="58"/>
  <c r="AC521" i="58" s="1"/>
  <c r="V521" i="58"/>
  <c r="AB521" i="58" s="1"/>
  <c r="V520" i="58"/>
  <c r="AB520" i="58" s="1"/>
  <c r="V519" i="58"/>
  <c r="AB519" i="58" s="1"/>
  <c r="V518" i="58"/>
  <c r="AB518" i="58" s="1"/>
  <c r="V517" i="58"/>
  <c r="AB517" i="58" s="1"/>
  <c r="V516" i="58"/>
  <c r="AB516" i="58" s="1"/>
  <c r="V515" i="58"/>
  <c r="AB515" i="58" s="1"/>
  <c r="V514" i="58"/>
  <c r="AB514" i="58" s="1"/>
  <c r="V513" i="58"/>
  <c r="AB513" i="58" s="1"/>
  <c r="V512" i="58"/>
  <c r="AB512" i="58" s="1"/>
  <c r="V511" i="58"/>
  <c r="AB511" i="58" s="1"/>
  <c r="V510" i="58"/>
  <c r="AB510" i="58" s="1"/>
  <c r="V509" i="58"/>
  <c r="AB509" i="58" s="1"/>
  <c r="V508" i="58"/>
  <c r="AB508" i="58" s="1"/>
  <c r="X507" i="58"/>
  <c r="W507" i="58"/>
  <c r="AC507" i="58" s="1"/>
  <c r="X506" i="58"/>
  <c r="W506" i="58"/>
  <c r="X505" i="58"/>
  <c r="W505" i="58"/>
  <c r="X504" i="58"/>
  <c r="W504" i="58"/>
  <c r="X503" i="58"/>
  <c r="W503" i="58"/>
  <c r="AC503" i="58" s="1"/>
  <c r="X502" i="58"/>
  <c r="W502" i="58"/>
  <c r="X501" i="58"/>
  <c r="W501" i="58"/>
  <c r="AC501" i="58" s="1"/>
  <c r="X500" i="58"/>
  <c r="W500" i="58"/>
  <c r="X499" i="58"/>
  <c r="W499" i="58"/>
  <c r="X498" i="58"/>
  <c r="W498" i="58"/>
  <c r="X497" i="58"/>
  <c r="W497" i="58"/>
  <c r="AC497" i="58" s="1"/>
  <c r="X496" i="58"/>
  <c r="W496" i="58"/>
  <c r="X495" i="58"/>
  <c r="W495" i="58"/>
  <c r="AC495" i="58" s="1"/>
  <c r="X494" i="58"/>
  <c r="W494" i="58"/>
  <c r="V493" i="58"/>
  <c r="AB493" i="58" s="1"/>
  <c r="V492" i="58"/>
  <c r="AB492" i="58" s="1"/>
  <c r="V491" i="58"/>
  <c r="AB491" i="58" s="1"/>
  <c r="V490" i="58"/>
  <c r="AB490" i="58" s="1"/>
  <c r="V489" i="58"/>
  <c r="AB489" i="58" s="1"/>
  <c r="V488" i="58"/>
  <c r="AB488" i="58" s="1"/>
  <c r="V487" i="58"/>
  <c r="AB487" i="58" s="1"/>
  <c r="V486" i="58"/>
  <c r="AB486" i="58" s="1"/>
  <c r="V485" i="58"/>
  <c r="AB485" i="58" s="1"/>
  <c r="V484" i="58"/>
  <c r="AB484" i="58" s="1"/>
  <c r="V483" i="58"/>
  <c r="AB483" i="58" s="1"/>
  <c r="V482" i="58"/>
  <c r="AB482" i="58" s="1"/>
  <c r="V481" i="58"/>
  <c r="AB481" i="58" s="1"/>
  <c r="V480" i="58"/>
  <c r="AB480" i="58" s="1"/>
  <c r="V479" i="58"/>
  <c r="AB479" i="58" s="1"/>
  <c r="V478" i="58"/>
  <c r="AB478" i="58" s="1"/>
  <c r="V477" i="58"/>
  <c r="AB477" i="58" s="1"/>
  <c r="V476" i="58"/>
  <c r="AB476" i="58" s="1"/>
  <c r="V475" i="58"/>
  <c r="AB475" i="58" s="1"/>
  <c r="V474" i="58"/>
  <c r="AB474" i="58" s="1"/>
  <c r="V473" i="58"/>
  <c r="AB473" i="58" s="1"/>
  <c r="V472" i="58"/>
  <c r="AB472" i="58" s="1"/>
  <c r="V471" i="58"/>
  <c r="AB471" i="58" s="1"/>
  <c r="V470" i="58"/>
  <c r="AB470" i="58" s="1"/>
  <c r="V469" i="58"/>
  <c r="AB469" i="58" s="1"/>
  <c r="V468" i="58"/>
  <c r="AB468" i="58" s="1"/>
  <c r="V467" i="58"/>
  <c r="AB467" i="58" s="1"/>
  <c r="V466" i="58"/>
  <c r="AB466" i="58" s="1"/>
  <c r="V465" i="58"/>
  <c r="AB465" i="58" s="1"/>
  <c r="V464" i="58"/>
  <c r="AB464" i="58" s="1"/>
  <c r="V463" i="58"/>
  <c r="AB463" i="58" s="1"/>
  <c r="V462" i="58"/>
  <c r="AB462" i="58" s="1"/>
  <c r="V461" i="58"/>
  <c r="AB461" i="58" s="1"/>
  <c r="V460" i="58"/>
  <c r="AB460" i="58" s="1"/>
  <c r="V459" i="58"/>
  <c r="AB459" i="58" s="1"/>
  <c r="V458" i="58"/>
  <c r="AB458" i="58" s="1"/>
  <c r="V457" i="58"/>
  <c r="AB457" i="58" s="1"/>
  <c r="X456" i="58"/>
  <c r="W456" i="58"/>
  <c r="AC456" i="58" s="1"/>
  <c r="X455" i="58"/>
  <c r="W455" i="58"/>
  <c r="X454" i="58"/>
  <c r="W454" i="58"/>
  <c r="AC454" i="58" s="1"/>
  <c r="X453" i="58"/>
  <c r="W453" i="58"/>
  <c r="X452" i="58"/>
  <c r="W452" i="58"/>
  <c r="X451" i="58"/>
  <c r="W451" i="58"/>
  <c r="X450" i="58"/>
  <c r="W450" i="58"/>
  <c r="AC450" i="58" s="1"/>
  <c r="X449" i="58"/>
  <c r="W449" i="58"/>
  <c r="X448" i="58"/>
  <c r="W448" i="58"/>
  <c r="AC448" i="58" s="1"/>
  <c r="X447" i="58"/>
  <c r="W447" i="58"/>
  <c r="X446" i="58"/>
  <c r="W446" i="58"/>
  <c r="X445" i="58"/>
  <c r="W445" i="58"/>
  <c r="X444" i="58"/>
  <c r="W444" i="58"/>
  <c r="AC444" i="58" s="1"/>
  <c r="X443" i="58"/>
  <c r="W443" i="58"/>
  <c r="X442" i="58"/>
  <c r="W442" i="58"/>
  <c r="AC442" i="58" s="1"/>
  <c r="X441" i="58"/>
  <c r="W441" i="58"/>
  <c r="X440" i="58"/>
  <c r="W440" i="58"/>
  <c r="X439" i="58"/>
  <c r="W439" i="58"/>
  <c r="X438" i="58"/>
  <c r="W438" i="58"/>
  <c r="AC438" i="58" s="1"/>
  <c r="X437" i="58"/>
  <c r="W437" i="58"/>
  <c r="X436" i="58"/>
  <c r="W436" i="58"/>
  <c r="AC436" i="58" s="1"/>
  <c r="X435" i="58"/>
  <c r="W435" i="58"/>
  <c r="X434" i="58"/>
  <c r="W434" i="58"/>
  <c r="X433" i="58"/>
  <c r="W433" i="58"/>
  <c r="X432" i="58"/>
  <c r="W432" i="58"/>
  <c r="AC432" i="58" s="1"/>
  <c r="X431" i="58"/>
  <c r="W431" i="58"/>
  <c r="X430" i="58"/>
  <c r="W430" i="58"/>
  <c r="AC430" i="58" s="1"/>
  <c r="X429" i="58"/>
  <c r="W429" i="58"/>
  <c r="X428" i="58"/>
  <c r="W428" i="58"/>
  <c r="V427" i="58"/>
  <c r="AB427" i="58" s="1"/>
  <c r="V426" i="58"/>
  <c r="AB426" i="58" s="1"/>
  <c r="V425" i="58"/>
  <c r="AB425" i="58" s="1"/>
  <c r="V424" i="58"/>
  <c r="AB424" i="58" s="1"/>
  <c r="V423" i="58"/>
  <c r="AB423" i="58" s="1"/>
  <c r="V422" i="58"/>
  <c r="AB422" i="58" s="1"/>
  <c r="V421" i="58"/>
  <c r="AB421" i="58" s="1"/>
  <c r="V420" i="58"/>
  <c r="AB420" i="58" s="1"/>
  <c r="V419" i="58"/>
  <c r="AB419" i="58" s="1"/>
  <c r="V418" i="58"/>
  <c r="AB418" i="58" s="1"/>
  <c r="V417" i="58"/>
  <c r="AB417" i="58" s="1"/>
  <c r="V416" i="58"/>
  <c r="AB416" i="58" s="1"/>
  <c r="V415" i="58"/>
  <c r="AB415" i="58" s="1"/>
  <c r="V414" i="58"/>
  <c r="AB414" i="58" s="1"/>
  <c r="V413" i="58"/>
  <c r="AB413" i="58" s="1"/>
  <c r="V412" i="58"/>
  <c r="AB412" i="58" s="1"/>
  <c r="V411" i="58"/>
  <c r="AB411" i="58" s="1"/>
  <c r="V410" i="58"/>
  <c r="AB410" i="58" s="1"/>
  <c r="V409" i="58"/>
  <c r="AB409" i="58" s="1"/>
  <c r="V408" i="58"/>
  <c r="AB408" i="58" s="1"/>
  <c r="V407" i="58"/>
  <c r="AB407" i="58" s="1"/>
  <c r="V406" i="58"/>
  <c r="AB406" i="58" s="1"/>
  <c r="V405" i="58"/>
  <c r="AB405" i="58" s="1"/>
  <c r="V404" i="58"/>
  <c r="AB404" i="58" s="1"/>
  <c r="V403" i="58"/>
  <c r="AB403" i="58" s="1"/>
  <c r="V402" i="58"/>
  <c r="AB402" i="58" s="1"/>
  <c r="V401" i="58"/>
  <c r="AB401" i="58" s="1"/>
  <c r="V400" i="58"/>
  <c r="AB400" i="58" s="1"/>
  <c r="V399" i="58"/>
  <c r="AB399" i="58" s="1"/>
  <c r="V398" i="58"/>
  <c r="AB398" i="58" s="1"/>
  <c r="V397" i="58"/>
  <c r="AB397" i="58" s="1"/>
  <c r="V396" i="58"/>
  <c r="AB396" i="58" s="1"/>
  <c r="V395" i="58"/>
  <c r="AB395" i="58" s="1"/>
  <c r="V394" i="58"/>
  <c r="AB394" i="58" s="1"/>
  <c r="V393" i="58"/>
  <c r="AB393" i="58" s="1"/>
  <c r="V392" i="58"/>
  <c r="AB392" i="58" s="1"/>
  <c r="V391" i="58"/>
  <c r="AB391" i="58" s="1"/>
  <c r="V390" i="58"/>
  <c r="AB390" i="58" s="1"/>
  <c r="V389" i="58"/>
  <c r="AB389" i="58" s="1"/>
  <c r="V388" i="58"/>
  <c r="AB388" i="58" s="1"/>
  <c r="V387" i="58"/>
  <c r="AB387" i="58" s="1"/>
  <c r="V386" i="58"/>
  <c r="AB386" i="58" s="1"/>
  <c r="V385" i="58"/>
  <c r="AB385" i="58" s="1"/>
  <c r="V384" i="58"/>
  <c r="AB384" i="58" s="1"/>
  <c r="V383" i="58"/>
  <c r="AB383" i="58" s="1"/>
  <c r="V382" i="58"/>
  <c r="AB382" i="58" s="1"/>
  <c r="V381" i="58"/>
  <c r="AB381" i="58" s="1"/>
  <c r="V380" i="58"/>
  <c r="AB380" i="58" s="1"/>
  <c r="V379" i="58"/>
  <c r="AB379" i="58" s="1"/>
  <c r="V378" i="58"/>
  <c r="AB378" i="58" s="1"/>
  <c r="X377" i="58"/>
  <c r="W377" i="58"/>
  <c r="AC377" i="58" s="1"/>
  <c r="X376" i="58"/>
  <c r="W376" i="58"/>
  <c r="X375" i="58"/>
  <c r="W375" i="58"/>
  <c r="AC375" i="58" s="1"/>
  <c r="X374" i="58"/>
  <c r="W374" i="58"/>
  <c r="X373" i="58"/>
  <c r="W373" i="58"/>
  <c r="X372" i="58"/>
  <c r="W372" i="58"/>
  <c r="X371" i="58"/>
  <c r="W371" i="58"/>
  <c r="AC371" i="58" s="1"/>
  <c r="X370" i="58"/>
  <c r="W370" i="58"/>
  <c r="X369" i="58"/>
  <c r="W369" i="58"/>
  <c r="AC369" i="58" s="1"/>
  <c r="X368" i="58"/>
  <c r="W368" i="58"/>
  <c r="X367" i="58"/>
  <c r="W367" i="58"/>
  <c r="X366" i="58"/>
  <c r="W366" i="58"/>
  <c r="X365" i="58"/>
  <c r="W365" i="58"/>
  <c r="AC365" i="58" s="1"/>
  <c r="X364" i="58"/>
  <c r="W364" i="58"/>
  <c r="X363" i="58"/>
  <c r="W363" i="58"/>
  <c r="AC363" i="58" s="1"/>
  <c r="X362" i="58"/>
  <c r="W362" i="58"/>
  <c r="X361" i="58"/>
  <c r="W361" i="58"/>
  <c r="X360" i="58"/>
  <c r="W360" i="58"/>
  <c r="X359" i="58"/>
  <c r="W359" i="58"/>
  <c r="AC359" i="58" s="1"/>
  <c r="X358" i="58"/>
  <c r="W358" i="58"/>
  <c r="X357" i="58"/>
  <c r="W357" i="58"/>
  <c r="AC357" i="58" s="1"/>
  <c r="X356" i="58"/>
  <c r="W356" i="58"/>
  <c r="X355" i="58"/>
  <c r="W355" i="58"/>
  <c r="X354" i="58"/>
  <c r="W354" i="58"/>
  <c r="X353" i="58"/>
  <c r="W353" i="58"/>
  <c r="AC353" i="58" s="1"/>
  <c r="X352" i="58"/>
  <c r="W352" i="58"/>
  <c r="V351" i="58"/>
  <c r="AB351" i="58" s="1"/>
  <c r="V350" i="58"/>
  <c r="AB350" i="58" s="1"/>
  <c r="V349" i="58"/>
  <c r="AB349" i="58" s="1"/>
  <c r="V348" i="58"/>
  <c r="AB348" i="58" s="1"/>
  <c r="V347" i="58"/>
  <c r="AB347" i="58" s="1"/>
  <c r="V346" i="58"/>
  <c r="AB346" i="58" s="1"/>
  <c r="V345" i="58"/>
  <c r="AB345" i="58" s="1"/>
  <c r="V344" i="58"/>
  <c r="AB344" i="58" s="1"/>
  <c r="V343" i="58"/>
  <c r="AB343" i="58" s="1"/>
  <c r="V342" i="58"/>
  <c r="AB342" i="58" s="1"/>
  <c r="V341" i="58"/>
  <c r="AB341" i="58" s="1"/>
  <c r="V340" i="58"/>
  <c r="AB340" i="58" s="1"/>
  <c r="V339" i="58"/>
  <c r="AB339" i="58" s="1"/>
  <c r="V338" i="58"/>
  <c r="AB338" i="58" s="1"/>
  <c r="V337" i="58"/>
  <c r="AB337" i="58" s="1"/>
  <c r="V336" i="58"/>
  <c r="AB336" i="58" s="1"/>
  <c r="V335" i="58"/>
  <c r="AB335" i="58" s="1"/>
  <c r="V334" i="58"/>
  <c r="AB334" i="58" s="1"/>
  <c r="X333" i="58"/>
  <c r="W333" i="58"/>
  <c r="V333" i="58"/>
  <c r="AB333" i="58" s="1"/>
  <c r="X332" i="58"/>
  <c r="W332" i="58"/>
  <c r="V332" i="58"/>
  <c r="AB332" i="58" s="1"/>
  <c r="X331" i="58"/>
  <c r="W331" i="58"/>
  <c r="AC331" i="58" s="1"/>
  <c r="V331" i="58"/>
  <c r="AB331" i="58" s="1"/>
  <c r="X330" i="58"/>
  <c r="W330" i="58"/>
  <c r="V330" i="58"/>
  <c r="AB330" i="58" s="1"/>
  <c r="X329" i="58"/>
  <c r="W329" i="58"/>
  <c r="V329" i="58"/>
  <c r="AB329" i="58" s="1"/>
  <c r="X328" i="58"/>
  <c r="W328" i="58"/>
  <c r="V328" i="58"/>
  <c r="AB328" i="58" s="1"/>
  <c r="X327" i="58"/>
  <c r="W327" i="58"/>
  <c r="AC327" i="58" s="1"/>
  <c r="V327" i="58"/>
  <c r="AB327" i="58" s="1"/>
  <c r="X326" i="58"/>
  <c r="W326" i="58"/>
  <c r="V326" i="58"/>
  <c r="AB326" i="58" s="1"/>
  <c r="X325" i="58"/>
  <c r="W325" i="58"/>
  <c r="V325" i="58"/>
  <c r="AB325" i="58" s="1"/>
  <c r="X324" i="58"/>
  <c r="W324" i="58"/>
  <c r="V324" i="58"/>
  <c r="AB324" i="58" s="1"/>
  <c r="X323" i="58"/>
  <c r="W323" i="58"/>
  <c r="AC323" i="58" s="1"/>
  <c r="V323" i="58"/>
  <c r="AB323" i="58" s="1"/>
  <c r="X322" i="58"/>
  <c r="W322" i="58"/>
  <c r="V322" i="58"/>
  <c r="AB322" i="58" s="1"/>
  <c r="X321" i="58"/>
  <c r="W321" i="58"/>
  <c r="V321" i="58"/>
  <c r="AB321" i="58" s="1"/>
  <c r="X320" i="58"/>
  <c r="W320" i="58"/>
  <c r="V320" i="58"/>
  <c r="AB320" i="58" s="1"/>
  <c r="X319" i="58"/>
  <c r="W319" i="58"/>
  <c r="AC319" i="58" s="1"/>
  <c r="V319" i="58"/>
  <c r="AB319" i="58" s="1"/>
  <c r="X318" i="58"/>
  <c r="W318" i="58"/>
  <c r="V318" i="58"/>
  <c r="AB318" i="58" s="1"/>
  <c r="X317" i="58"/>
  <c r="W317" i="58"/>
  <c r="V317" i="58"/>
  <c r="AB317" i="58" s="1"/>
  <c r="X316" i="58"/>
  <c r="W316" i="58"/>
  <c r="V316" i="58"/>
  <c r="AB316" i="58" s="1"/>
  <c r="X315" i="58"/>
  <c r="W315" i="58"/>
  <c r="AC315" i="58" s="1"/>
  <c r="V315" i="58"/>
  <c r="AB315" i="58" s="1"/>
  <c r="X314" i="58"/>
  <c r="W314" i="58"/>
  <c r="V314" i="58"/>
  <c r="AB314" i="58" s="1"/>
  <c r="X313" i="58"/>
  <c r="W313" i="58"/>
  <c r="V313" i="58"/>
  <c r="AB313" i="58" s="1"/>
  <c r="X312" i="58"/>
  <c r="W312" i="58"/>
  <c r="V312" i="58"/>
  <c r="AB312" i="58" s="1"/>
  <c r="X311" i="58"/>
  <c r="W311" i="58"/>
  <c r="AC311" i="58" s="1"/>
  <c r="V311" i="58"/>
  <c r="AB311" i="58" s="1"/>
  <c r="X310" i="58"/>
  <c r="W310" i="58"/>
  <c r="V310" i="58"/>
  <c r="AB310" i="58" s="1"/>
  <c r="X309" i="58"/>
  <c r="W309" i="58"/>
  <c r="V309" i="58"/>
  <c r="AB309" i="58" s="1"/>
  <c r="X308" i="58"/>
  <c r="W308" i="58"/>
  <c r="V308" i="58"/>
  <c r="AB308" i="58" s="1"/>
  <c r="X307" i="58"/>
  <c r="W307" i="58"/>
  <c r="V307" i="58"/>
  <c r="AB307" i="58" s="1"/>
  <c r="X306" i="58"/>
  <c r="W306" i="58"/>
  <c r="V306" i="58"/>
  <c r="AB306" i="58" s="1"/>
  <c r="X305" i="58"/>
  <c r="W305" i="58"/>
  <c r="V305" i="58"/>
  <c r="AB305" i="58" s="1"/>
  <c r="X304" i="58"/>
  <c r="W304" i="58"/>
  <c r="V304" i="58"/>
  <c r="AB304" i="58" s="1"/>
  <c r="X303" i="58"/>
  <c r="W303" i="58"/>
  <c r="V303" i="58"/>
  <c r="AB303" i="58" s="1"/>
  <c r="X302" i="58"/>
  <c r="W302" i="58"/>
  <c r="V302" i="58"/>
  <c r="AB302" i="58" s="1"/>
  <c r="X301" i="58"/>
  <c r="W301" i="58"/>
  <c r="V301" i="58"/>
  <c r="AB301" i="58" s="1"/>
  <c r="X300" i="58"/>
  <c r="W300" i="58"/>
  <c r="V300" i="58"/>
  <c r="AB300" i="58" s="1"/>
  <c r="X299" i="58"/>
  <c r="W299" i="58"/>
  <c r="V299" i="58"/>
  <c r="AB299" i="58" s="1"/>
  <c r="X298" i="58"/>
  <c r="W298" i="58"/>
  <c r="V298" i="58"/>
  <c r="AB298" i="58" s="1"/>
  <c r="X297" i="58"/>
  <c r="W297" i="58"/>
  <c r="V297" i="58"/>
  <c r="AB297" i="58" s="1"/>
  <c r="X296" i="58"/>
  <c r="W296" i="58"/>
  <c r="V296" i="58"/>
  <c r="AB296" i="58" s="1"/>
  <c r="X295" i="58"/>
  <c r="W295" i="58"/>
  <c r="V295" i="58"/>
  <c r="AB295" i="58" s="1"/>
  <c r="X294" i="58"/>
  <c r="W294" i="58"/>
  <c r="V294" i="58"/>
  <c r="AB294" i="58" s="1"/>
  <c r="X293" i="58"/>
  <c r="W293" i="58"/>
  <c r="V293" i="58"/>
  <c r="AB293" i="58" s="1"/>
  <c r="X292" i="58"/>
  <c r="W292" i="58"/>
  <c r="V292" i="58"/>
  <c r="AB292" i="58" s="1"/>
  <c r="X291" i="58"/>
  <c r="W291" i="58"/>
  <c r="V291" i="58"/>
  <c r="AB291" i="58" s="1"/>
  <c r="X290" i="58"/>
  <c r="W290" i="58"/>
  <c r="V290" i="58"/>
  <c r="AB290" i="58" s="1"/>
  <c r="X289" i="58"/>
  <c r="W289" i="58"/>
  <c r="V289" i="58"/>
  <c r="AB289" i="58" s="1"/>
  <c r="X288" i="58"/>
  <c r="W288" i="58"/>
  <c r="V288" i="58"/>
  <c r="AB288" i="58" s="1"/>
  <c r="X287" i="58"/>
  <c r="W287" i="58"/>
  <c r="V287" i="58"/>
  <c r="AB287" i="58" s="1"/>
  <c r="X286" i="58"/>
  <c r="W286" i="58"/>
  <c r="V286" i="58"/>
  <c r="AB286" i="58" s="1"/>
  <c r="X285" i="58"/>
  <c r="W285" i="58"/>
  <c r="V285" i="58"/>
  <c r="AB285" i="58" s="1"/>
  <c r="X284" i="58"/>
  <c r="W284" i="58"/>
  <c r="V284" i="58"/>
  <c r="AB284" i="58" s="1"/>
  <c r="X283" i="58"/>
  <c r="W283" i="58"/>
  <c r="V283" i="58"/>
  <c r="AB283" i="58" s="1"/>
  <c r="X282" i="58"/>
  <c r="W282" i="58"/>
  <c r="V282" i="58"/>
  <c r="AB282" i="58" s="1"/>
  <c r="X281" i="58"/>
  <c r="W281" i="58"/>
  <c r="V281" i="58"/>
  <c r="AB281" i="58" s="1"/>
  <c r="X280" i="58"/>
  <c r="W280" i="58"/>
  <c r="V280" i="58"/>
  <c r="AB280" i="58" s="1"/>
  <c r="X279" i="58"/>
  <c r="W279" i="58"/>
  <c r="V279" i="58"/>
  <c r="AB279" i="58" s="1"/>
  <c r="X278" i="58"/>
  <c r="W278" i="58"/>
  <c r="V278" i="58"/>
  <c r="AB278" i="58" s="1"/>
  <c r="X277" i="58"/>
  <c r="W277" i="58"/>
  <c r="V277" i="58"/>
  <c r="AB277" i="58" s="1"/>
  <c r="X276" i="58"/>
  <c r="W276" i="58"/>
  <c r="V276" i="58"/>
  <c r="AB276" i="58" s="1"/>
  <c r="X275" i="58"/>
  <c r="W275" i="58"/>
  <c r="V275" i="58"/>
  <c r="AB275" i="58" s="1"/>
  <c r="X274" i="58"/>
  <c r="W274" i="58"/>
  <c r="V274" i="58"/>
  <c r="AB274" i="58" s="1"/>
  <c r="X273" i="58"/>
  <c r="W273" i="58"/>
  <c r="V273" i="58"/>
  <c r="AB273" i="58" s="1"/>
  <c r="X272" i="58"/>
  <c r="W272" i="58"/>
  <c r="V272" i="58"/>
  <c r="AB272" i="58" s="1"/>
  <c r="X271" i="58"/>
  <c r="W271" i="58"/>
  <c r="V271" i="58"/>
  <c r="AB271" i="58" s="1"/>
  <c r="X270" i="58"/>
  <c r="W270" i="58"/>
  <c r="V270" i="58"/>
  <c r="AB270" i="58" s="1"/>
  <c r="X269" i="58"/>
  <c r="W269" i="58"/>
  <c r="V269" i="58"/>
  <c r="AB269" i="58" s="1"/>
  <c r="X268" i="58"/>
  <c r="W268" i="58"/>
  <c r="V268" i="58"/>
  <c r="AB268" i="58" s="1"/>
  <c r="X267" i="58"/>
  <c r="W267" i="58"/>
  <c r="V267" i="58"/>
  <c r="O267" i="58"/>
  <c r="M267" i="58"/>
  <c r="K267" i="58"/>
  <c r="X266" i="58"/>
  <c r="W266" i="58"/>
  <c r="V266" i="58"/>
  <c r="O266" i="58"/>
  <c r="M266" i="58"/>
  <c r="K266" i="58"/>
  <c r="X265" i="58"/>
  <c r="W265" i="58"/>
  <c r="V265" i="58"/>
  <c r="O265" i="58"/>
  <c r="M265" i="58"/>
  <c r="K265" i="58"/>
  <c r="X264" i="58"/>
  <c r="W264" i="58"/>
  <c r="V264" i="58"/>
  <c r="O264" i="58"/>
  <c r="M264" i="58"/>
  <c r="K264" i="58"/>
  <c r="X263" i="58"/>
  <c r="W263" i="58"/>
  <c r="V263" i="58"/>
  <c r="O263" i="58"/>
  <c r="M263" i="58"/>
  <c r="K263" i="58"/>
  <c r="X262" i="58"/>
  <c r="W262" i="58"/>
  <c r="V262" i="58"/>
  <c r="O262" i="58"/>
  <c r="M262" i="58"/>
  <c r="K262" i="58"/>
  <c r="X261" i="58"/>
  <c r="W261" i="58"/>
  <c r="V261" i="58"/>
  <c r="O261" i="58"/>
  <c r="M261" i="58"/>
  <c r="K261" i="58"/>
  <c r="X260" i="58"/>
  <c r="W260" i="58"/>
  <c r="V260" i="58"/>
  <c r="O260" i="58"/>
  <c r="M260" i="58"/>
  <c r="K260" i="58"/>
  <c r="X259" i="58"/>
  <c r="W259" i="58"/>
  <c r="V259" i="58"/>
  <c r="O259" i="58"/>
  <c r="M259" i="58"/>
  <c r="K259" i="58"/>
  <c r="X258" i="58"/>
  <c r="W258" i="58"/>
  <c r="V258" i="58"/>
  <c r="O258" i="58"/>
  <c r="M258" i="58"/>
  <c r="K258" i="58"/>
  <c r="X257" i="58"/>
  <c r="W257" i="58"/>
  <c r="V257" i="58"/>
  <c r="O257" i="58"/>
  <c r="M257" i="58"/>
  <c r="K257" i="58"/>
  <c r="X256" i="58"/>
  <c r="W256" i="58"/>
  <c r="V256" i="58"/>
  <c r="O256" i="58"/>
  <c r="M256" i="58"/>
  <c r="K256" i="58"/>
  <c r="X255" i="58"/>
  <c r="W255" i="58"/>
  <c r="V255" i="58"/>
  <c r="O255" i="58"/>
  <c r="M255" i="58"/>
  <c r="K255" i="58"/>
  <c r="X254" i="58"/>
  <c r="W254" i="58"/>
  <c r="V254" i="58"/>
  <c r="AB254" i="58" s="1"/>
  <c r="X253" i="58"/>
  <c r="W253" i="58"/>
  <c r="V253" i="58"/>
  <c r="O253" i="58"/>
  <c r="M253" i="58"/>
  <c r="K253" i="58"/>
  <c r="X252" i="58"/>
  <c r="W252" i="58"/>
  <c r="V252" i="58"/>
  <c r="AB252" i="58" s="1"/>
  <c r="X251" i="58"/>
  <c r="W251" i="58"/>
  <c r="V251" i="58"/>
  <c r="O251" i="58"/>
  <c r="M251" i="58"/>
  <c r="K251" i="58"/>
  <c r="X250" i="58"/>
  <c r="W250" i="58"/>
  <c r="V250" i="58"/>
  <c r="O250" i="58"/>
  <c r="M250" i="58"/>
  <c r="K250" i="58"/>
  <c r="X249" i="58"/>
  <c r="W249" i="58"/>
  <c r="V249" i="58"/>
  <c r="O249" i="58"/>
  <c r="M249" i="58"/>
  <c r="K249" i="58"/>
  <c r="X248" i="58"/>
  <c r="W248" i="58"/>
  <c r="V248" i="58"/>
  <c r="O248" i="58"/>
  <c r="M248" i="58"/>
  <c r="K248" i="58"/>
  <c r="X247" i="58"/>
  <c r="W247" i="58"/>
  <c r="V247" i="58"/>
  <c r="O247" i="58"/>
  <c r="M247" i="58"/>
  <c r="K247" i="58"/>
  <c r="X246" i="58"/>
  <c r="W246" i="58"/>
  <c r="V246" i="58"/>
  <c r="O246" i="58"/>
  <c r="M246" i="58"/>
  <c r="K246" i="58"/>
  <c r="X245" i="58"/>
  <c r="W245" i="58"/>
  <c r="V245" i="58"/>
  <c r="O245" i="58"/>
  <c r="M245" i="58"/>
  <c r="K245" i="58"/>
  <c r="X244" i="58"/>
  <c r="W244" i="58"/>
  <c r="V244" i="58"/>
  <c r="O244" i="58"/>
  <c r="M244" i="58"/>
  <c r="K244" i="58"/>
  <c r="X243" i="58"/>
  <c r="W243" i="58"/>
  <c r="V243" i="58"/>
  <c r="O243" i="58"/>
  <c r="M243" i="58"/>
  <c r="K243" i="58"/>
  <c r="X242" i="58"/>
  <c r="W242" i="58"/>
  <c r="V242" i="58"/>
  <c r="O242" i="58"/>
  <c r="M242" i="58"/>
  <c r="K242" i="58"/>
  <c r="X241" i="58"/>
  <c r="W241" i="58"/>
  <c r="V241" i="58"/>
  <c r="O241" i="58"/>
  <c r="M241" i="58"/>
  <c r="K241" i="58"/>
  <c r="X240" i="58"/>
  <c r="W240" i="58"/>
  <c r="V240" i="58"/>
  <c r="O240" i="58"/>
  <c r="M240" i="58"/>
  <c r="K240" i="58"/>
  <c r="X239" i="58"/>
  <c r="W239" i="58"/>
  <c r="V239" i="58"/>
  <c r="O239" i="58"/>
  <c r="M239" i="58"/>
  <c r="K239" i="58"/>
  <c r="X238" i="58"/>
  <c r="W238" i="58"/>
  <c r="V238" i="58"/>
  <c r="O238" i="58"/>
  <c r="M238" i="58"/>
  <c r="K238" i="58"/>
  <c r="X237" i="58"/>
  <c r="W237" i="58"/>
  <c r="V237" i="58"/>
  <c r="O237" i="58"/>
  <c r="M237" i="58"/>
  <c r="K237" i="58"/>
  <c r="X236" i="58"/>
  <c r="W236" i="58"/>
  <c r="V236" i="58"/>
  <c r="O236" i="58"/>
  <c r="M236" i="58"/>
  <c r="K236" i="58"/>
  <c r="X235" i="58"/>
  <c r="W235" i="58"/>
  <c r="V235" i="58"/>
  <c r="O235" i="58"/>
  <c r="M235" i="58"/>
  <c r="K235" i="58"/>
  <c r="X234" i="58"/>
  <c r="W234" i="58"/>
  <c r="V234" i="58"/>
  <c r="O234" i="58"/>
  <c r="M234" i="58"/>
  <c r="K234" i="58"/>
  <c r="X233" i="58"/>
  <c r="W233" i="58"/>
  <c r="V233" i="58"/>
  <c r="O233" i="58"/>
  <c r="M233" i="58"/>
  <c r="K233" i="58"/>
  <c r="X232" i="58"/>
  <c r="W232" i="58"/>
  <c r="V232" i="58"/>
  <c r="O232" i="58"/>
  <c r="M232" i="58"/>
  <c r="K232" i="58"/>
  <c r="X231" i="58"/>
  <c r="W231" i="58"/>
  <c r="V231" i="58"/>
  <c r="O231" i="58"/>
  <c r="M231" i="58"/>
  <c r="K231" i="58"/>
  <c r="X230" i="58"/>
  <c r="W230" i="58"/>
  <c r="V230" i="58"/>
  <c r="O230" i="58"/>
  <c r="M230" i="58"/>
  <c r="K230" i="58"/>
  <c r="X179" i="58"/>
  <c r="W179" i="58"/>
  <c r="V179" i="58"/>
  <c r="AB179" i="58" s="1"/>
  <c r="X178" i="58"/>
  <c r="W178" i="58"/>
  <c r="V178" i="58"/>
  <c r="AB178" i="58" s="1"/>
  <c r="X177" i="58"/>
  <c r="W177" i="58"/>
  <c r="AC177" i="58" s="1"/>
  <c r="V177" i="58"/>
  <c r="AB177" i="58" s="1"/>
  <c r="X176" i="58"/>
  <c r="W176" i="58"/>
  <c r="V176" i="58"/>
  <c r="AB176" i="58" s="1"/>
  <c r="X175" i="58"/>
  <c r="W175" i="58"/>
  <c r="V175" i="58"/>
  <c r="AB175" i="58" s="1"/>
  <c r="X174" i="58"/>
  <c r="W174" i="58"/>
  <c r="V174" i="58"/>
  <c r="AB174" i="58" s="1"/>
  <c r="X173" i="58"/>
  <c r="W173" i="58"/>
  <c r="AC173" i="58" s="1"/>
  <c r="V173" i="58"/>
  <c r="AB173" i="58" s="1"/>
  <c r="X172" i="58"/>
  <c r="W172" i="58"/>
  <c r="V172" i="58"/>
  <c r="AB172" i="58" s="1"/>
  <c r="X171" i="58"/>
  <c r="W171" i="58"/>
  <c r="V171" i="58"/>
  <c r="AB171" i="58" s="1"/>
  <c r="X170" i="58"/>
  <c r="W170" i="58"/>
  <c r="V170" i="58"/>
  <c r="AB170" i="58" s="1"/>
  <c r="X169" i="58"/>
  <c r="W169" i="58"/>
  <c r="AC169" i="58" s="1"/>
  <c r="V169" i="58"/>
  <c r="AB169" i="58" s="1"/>
  <c r="X168" i="58"/>
  <c r="W168" i="58"/>
  <c r="V168" i="58"/>
  <c r="AB168" i="58" s="1"/>
  <c r="X167" i="58"/>
  <c r="W167" i="58"/>
  <c r="V167" i="58"/>
  <c r="AB167" i="58" s="1"/>
  <c r="X166" i="58"/>
  <c r="W166" i="58"/>
  <c r="V166" i="58"/>
  <c r="AB166" i="58" s="1"/>
  <c r="X165" i="58"/>
  <c r="W165" i="58"/>
  <c r="AC165" i="58" s="1"/>
  <c r="V165" i="58"/>
  <c r="AB165" i="58" s="1"/>
  <c r="X164" i="58"/>
  <c r="W164" i="58"/>
  <c r="V164" i="58"/>
  <c r="AB164" i="58" s="1"/>
  <c r="X163" i="58"/>
  <c r="W163" i="58"/>
  <c r="V163" i="58"/>
  <c r="AB163" i="58" s="1"/>
  <c r="X162" i="58"/>
  <c r="W162" i="58"/>
  <c r="V162" i="58"/>
  <c r="AB162" i="58" s="1"/>
  <c r="X161" i="58"/>
  <c r="W161" i="58"/>
  <c r="AC161" i="58" s="1"/>
  <c r="V161" i="58"/>
  <c r="AB161" i="58" s="1"/>
  <c r="X160" i="58"/>
  <c r="W160" i="58"/>
  <c r="V160" i="58"/>
  <c r="AB160" i="58" s="1"/>
  <c r="X159" i="58"/>
  <c r="W159" i="58"/>
  <c r="V159" i="58"/>
  <c r="AB159" i="58" s="1"/>
  <c r="X158" i="58"/>
  <c r="W158" i="58"/>
  <c r="V158" i="58"/>
  <c r="AB158" i="58" s="1"/>
  <c r="X157" i="58"/>
  <c r="W157" i="58"/>
  <c r="AC157" i="58" s="1"/>
  <c r="V157" i="58"/>
  <c r="AB157" i="58" s="1"/>
  <c r="X156" i="58"/>
  <c r="W156" i="58"/>
  <c r="V156" i="58"/>
  <c r="AB156" i="58" s="1"/>
  <c r="X155" i="58"/>
  <c r="W155" i="58"/>
  <c r="V155" i="58"/>
  <c r="AB155" i="58" s="1"/>
  <c r="X154" i="58"/>
  <c r="W154" i="58"/>
  <c r="V154" i="58"/>
  <c r="AB154" i="58" s="1"/>
  <c r="X153" i="58"/>
  <c r="W153" i="58"/>
  <c r="AC153" i="58" s="1"/>
  <c r="V153" i="58"/>
  <c r="AB153" i="58" s="1"/>
  <c r="X152" i="58"/>
  <c r="W152" i="58"/>
  <c r="V152" i="58"/>
  <c r="AB152" i="58" s="1"/>
  <c r="X151" i="58"/>
  <c r="W151" i="58"/>
  <c r="V151" i="58"/>
  <c r="AB151" i="58" s="1"/>
  <c r="X150" i="58"/>
  <c r="W150" i="58"/>
  <c r="V150" i="58"/>
  <c r="AB150" i="58" s="1"/>
  <c r="X149" i="58"/>
  <c r="W149" i="58"/>
  <c r="AC149" i="58" s="1"/>
  <c r="V149" i="58"/>
  <c r="AB149" i="58" s="1"/>
  <c r="X148" i="58"/>
  <c r="W148" i="58"/>
  <c r="V148" i="58"/>
  <c r="AB148" i="58" s="1"/>
  <c r="X147" i="58"/>
  <c r="W147" i="58"/>
  <c r="V147" i="58"/>
  <c r="AB147" i="58" s="1"/>
  <c r="X146" i="58"/>
  <c r="W146" i="58"/>
  <c r="V146" i="58"/>
  <c r="AB146" i="58" s="1"/>
  <c r="X145" i="58"/>
  <c r="W145" i="58"/>
  <c r="AC145" i="58" s="1"/>
  <c r="V145" i="58"/>
  <c r="AB145" i="58" s="1"/>
  <c r="X144" i="58"/>
  <c r="W144" i="58"/>
  <c r="V144" i="58"/>
  <c r="AB144" i="58" s="1"/>
  <c r="X143" i="58"/>
  <c r="W143" i="58"/>
  <c r="V143" i="58"/>
  <c r="AB143" i="58" s="1"/>
  <c r="X142" i="58"/>
  <c r="W142" i="58"/>
  <c r="V142" i="58"/>
  <c r="AB142" i="58" s="1"/>
  <c r="X141" i="58"/>
  <c r="W141" i="58"/>
  <c r="V141" i="58"/>
  <c r="AB141" i="58" s="1"/>
  <c r="X140" i="58"/>
  <c r="W140" i="58"/>
  <c r="V140" i="58"/>
  <c r="AB140" i="58" s="1"/>
  <c r="X139" i="58"/>
  <c r="W139" i="58"/>
  <c r="V139" i="58"/>
  <c r="AB139" i="58" s="1"/>
  <c r="X138" i="58"/>
  <c r="W138" i="58"/>
  <c r="V138" i="58"/>
  <c r="AB138" i="58" s="1"/>
  <c r="X137" i="58"/>
  <c r="W137" i="58"/>
  <c r="V137" i="58"/>
  <c r="AB137" i="58" s="1"/>
  <c r="X136" i="58"/>
  <c r="W136" i="58"/>
  <c r="V136" i="58"/>
  <c r="AB136" i="58" s="1"/>
  <c r="X135" i="58"/>
  <c r="W135" i="58"/>
  <c r="V135" i="58"/>
  <c r="AB135" i="58" s="1"/>
  <c r="X134" i="58"/>
  <c r="W134" i="58"/>
  <c r="V134" i="58"/>
  <c r="AB134" i="58" s="1"/>
  <c r="X133" i="58"/>
  <c r="W133" i="58"/>
  <c r="V133" i="58"/>
  <c r="AB133" i="58" s="1"/>
  <c r="X132" i="58"/>
  <c r="W132" i="58"/>
  <c r="V132" i="58"/>
  <c r="AB132" i="58" s="1"/>
  <c r="X131" i="58"/>
  <c r="W131" i="58"/>
  <c r="V131" i="58"/>
  <c r="AB131" i="58" s="1"/>
  <c r="X130" i="58"/>
  <c r="W130" i="58"/>
  <c r="V130" i="58"/>
  <c r="AB130" i="58" s="1"/>
  <c r="X129" i="58"/>
  <c r="W129" i="58"/>
  <c r="V129" i="58"/>
  <c r="AB129" i="58" s="1"/>
  <c r="X128" i="58"/>
  <c r="W128" i="58"/>
  <c r="V128" i="58"/>
  <c r="AB128" i="58" s="1"/>
  <c r="X127" i="58"/>
  <c r="W127" i="58"/>
  <c r="V127" i="58"/>
  <c r="AB127" i="58" s="1"/>
  <c r="X126" i="58"/>
  <c r="W126" i="58"/>
  <c r="V126" i="58"/>
  <c r="AB126" i="58" s="1"/>
  <c r="X125" i="58"/>
  <c r="W125" i="58"/>
  <c r="V125" i="58"/>
  <c r="AB125" i="58" s="1"/>
  <c r="X124" i="58"/>
  <c r="W124" i="58"/>
  <c r="V124" i="58"/>
  <c r="AB124" i="58" s="1"/>
  <c r="X123" i="58"/>
  <c r="W123" i="58"/>
  <c r="V123" i="58"/>
  <c r="AB123" i="58" s="1"/>
  <c r="X122" i="58"/>
  <c r="W122" i="58"/>
  <c r="V122" i="58"/>
  <c r="AB122" i="58" s="1"/>
  <c r="X121" i="58"/>
  <c r="W121" i="58"/>
  <c r="V121" i="58"/>
  <c r="AB121" i="58" s="1"/>
  <c r="X120" i="58"/>
  <c r="W120" i="58"/>
  <c r="V120" i="58"/>
  <c r="AB120" i="58" s="1"/>
  <c r="X119" i="58"/>
  <c r="W119" i="58"/>
  <c r="V119" i="58"/>
  <c r="AB119" i="58" s="1"/>
  <c r="X118" i="58"/>
  <c r="W118" i="58"/>
  <c r="V118" i="58"/>
  <c r="AB118" i="58" s="1"/>
  <c r="X117" i="58"/>
  <c r="W117" i="58"/>
  <c r="V117" i="58"/>
  <c r="AB117" i="58" s="1"/>
  <c r="X116" i="58"/>
  <c r="W116" i="58"/>
  <c r="V116" i="58"/>
  <c r="AB116" i="58" s="1"/>
  <c r="X115" i="58"/>
  <c r="W115" i="58"/>
  <c r="V115" i="58"/>
  <c r="AB115" i="58" s="1"/>
  <c r="X114" i="58"/>
  <c r="W114" i="58"/>
  <c r="V114" i="58"/>
  <c r="AB114" i="58" s="1"/>
  <c r="X113" i="58"/>
  <c r="W113" i="58"/>
  <c r="V113" i="58"/>
  <c r="AB113" i="58" s="1"/>
  <c r="X112" i="58"/>
  <c r="W112" i="58"/>
  <c r="V112" i="58"/>
  <c r="AB112" i="58" s="1"/>
  <c r="X111" i="58"/>
  <c r="W111" i="58"/>
  <c r="V111" i="58"/>
  <c r="AB111" i="58" s="1"/>
  <c r="X110" i="58"/>
  <c r="W110" i="58"/>
  <c r="V110" i="58"/>
  <c r="AB110" i="58" s="1"/>
  <c r="X109" i="58"/>
  <c r="W109" i="58"/>
  <c r="V109" i="58"/>
  <c r="AB109" i="58" s="1"/>
  <c r="X108" i="58"/>
  <c r="W108" i="58"/>
  <c r="V108" i="58"/>
  <c r="AB108" i="58" s="1"/>
  <c r="X107" i="58"/>
  <c r="W107" i="58"/>
  <c r="V107" i="58"/>
  <c r="AB107" i="58" s="1"/>
  <c r="X106" i="58"/>
  <c r="W106" i="58"/>
  <c r="V106" i="58"/>
  <c r="AB106" i="58" s="1"/>
  <c r="X105" i="58"/>
  <c r="W105" i="58"/>
  <c r="V105" i="58"/>
  <c r="AB105" i="58" s="1"/>
  <c r="X104" i="58"/>
  <c r="W104" i="58"/>
  <c r="V104" i="58"/>
  <c r="AB104" i="58" s="1"/>
  <c r="X103" i="58"/>
  <c r="W103" i="58"/>
  <c r="V103" i="58"/>
  <c r="AB103" i="58" s="1"/>
  <c r="X102" i="58"/>
  <c r="W102" i="58"/>
  <c r="V102" i="58"/>
  <c r="AB102" i="58" s="1"/>
  <c r="X101" i="58"/>
  <c r="W101" i="58"/>
  <c r="V101" i="58"/>
  <c r="AB101" i="58" s="1"/>
  <c r="X100" i="58"/>
  <c r="W100" i="58"/>
  <c r="V100" i="58"/>
  <c r="AB100" i="58" s="1"/>
  <c r="X99" i="58"/>
  <c r="W99" i="58"/>
  <c r="V99" i="58"/>
  <c r="AB99" i="58" s="1"/>
  <c r="X98" i="58"/>
  <c r="W98" i="58"/>
  <c r="V98" i="58"/>
  <c r="AB98" i="58" s="1"/>
  <c r="X97" i="58"/>
  <c r="W97" i="58"/>
  <c r="V97" i="58"/>
  <c r="AB97" i="58" s="1"/>
  <c r="X96" i="58"/>
  <c r="W96" i="58"/>
  <c r="V96" i="58"/>
  <c r="AB96" i="58" s="1"/>
  <c r="X95" i="58"/>
  <c r="W95" i="58"/>
  <c r="V95" i="58"/>
  <c r="AB95" i="58" s="1"/>
  <c r="X94" i="58"/>
  <c r="W94" i="58"/>
  <c r="V94" i="58"/>
  <c r="AB94" i="58" s="1"/>
  <c r="X93" i="58"/>
  <c r="W93" i="58"/>
  <c r="V93" i="58"/>
  <c r="AB93" i="58" s="1"/>
  <c r="X92" i="58"/>
  <c r="W92" i="58"/>
  <c r="V92" i="58"/>
  <c r="AB92" i="58" s="1"/>
  <c r="X91" i="58"/>
  <c r="W91" i="58"/>
  <c r="V91" i="58"/>
  <c r="AB91" i="58" s="1"/>
  <c r="X90" i="58"/>
  <c r="W90" i="58"/>
  <c r="V90" i="58"/>
  <c r="AB90" i="58" s="1"/>
  <c r="X89" i="58"/>
  <c r="W89" i="58"/>
  <c r="V89" i="58"/>
  <c r="AB89" i="58" s="1"/>
  <c r="X88" i="58"/>
  <c r="W88" i="58"/>
  <c r="V88" i="58"/>
  <c r="AB88" i="58" s="1"/>
  <c r="X87" i="58"/>
  <c r="W87" i="58"/>
  <c r="V87" i="58"/>
  <c r="AB87" i="58" s="1"/>
  <c r="X86" i="58"/>
  <c r="W86" i="58"/>
  <c r="V86" i="58"/>
  <c r="AB86" i="58" s="1"/>
  <c r="X85" i="58"/>
  <c r="W85" i="58"/>
  <c r="V85" i="58"/>
  <c r="AB85" i="58" s="1"/>
  <c r="X84" i="58"/>
  <c r="W84" i="58"/>
  <c r="V84" i="58"/>
  <c r="AB84" i="58" s="1"/>
  <c r="X51" i="58"/>
  <c r="W51" i="58"/>
  <c r="V51" i="58"/>
  <c r="AB51" i="58" s="1"/>
  <c r="X50" i="58"/>
  <c r="W50" i="58"/>
  <c r="V50" i="58"/>
  <c r="AB50" i="58" s="1"/>
  <c r="X49" i="58"/>
  <c r="W49" i="58"/>
  <c r="V49" i="58"/>
  <c r="AB49" i="58" s="1"/>
  <c r="X48" i="58"/>
  <c r="W48" i="58"/>
  <c r="V48" i="58"/>
  <c r="AB48" i="58" s="1"/>
  <c r="X47" i="58"/>
  <c r="W47" i="58"/>
  <c r="V47" i="58"/>
  <c r="AB47" i="58" s="1"/>
  <c r="X46" i="58"/>
  <c r="W46" i="58"/>
  <c r="V46" i="58"/>
  <c r="AB46" i="58" s="1"/>
  <c r="X45" i="58"/>
  <c r="W45" i="58"/>
  <c r="V45" i="58"/>
  <c r="AB45" i="58" s="1"/>
  <c r="X44" i="58"/>
  <c r="W44" i="58"/>
  <c r="V44" i="58"/>
  <c r="AB44" i="58" s="1"/>
  <c r="X43" i="58"/>
  <c r="W43" i="58"/>
  <c r="V43" i="58"/>
  <c r="AB43" i="58" s="1"/>
  <c r="X42" i="58"/>
  <c r="W42" i="58"/>
  <c r="V42" i="58"/>
  <c r="AB42" i="58" s="1"/>
  <c r="X41" i="58"/>
  <c r="W41" i="58"/>
  <c r="V41" i="58"/>
  <c r="AB41" i="58" s="1"/>
  <c r="X40" i="58"/>
  <c r="W40" i="58"/>
  <c r="V40" i="58"/>
  <c r="AB40" i="58" s="1"/>
  <c r="X39" i="58"/>
  <c r="W39" i="58"/>
  <c r="AC39" i="58" s="1"/>
  <c r="V39" i="58"/>
  <c r="AB39" i="58" s="1"/>
  <c r="X38" i="58"/>
  <c r="W38" i="58"/>
  <c r="V38" i="58"/>
  <c r="AB38" i="58" s="1"/>
  <c r="X37" i="58"/>
  <c r="W37" i="58"/>
  <c r="AC37" i="58" s="1"/>
  <c r="V37" i="58"/>
  <c r="AB37" i="58" s="1"/>
  <c r="X36" i="58"/>
  <c r="W36" i="58"/>
  <c r="V36" i="58"/>
  <c r="AB36" i="58" s="1"/>
  <c r="X35" i="58"/>
  <c r="W35" i="58"/>
  <c r="AC35" i="58" s="1"/>
  <c r="V35" i="58"/>
  <c r="AB35" i="58" s="1"/>
  <c r="X34" i="58"/>
  <c r="W34" i="58"/>
  <c r="V34" i="58"/>
  <c r="AB34" i="58" s="1"/>
  <c r="X33" i="58"/>
  <c r="W33" i="58"/>
  <c r="AC33" i="58" s="1"/>
  <c r="V33" i="58"/>
  <c r="AB33" i="58" s="1"/>
  <c r="X32" i="58"/>
  <c r="W32" i="58"/>
  <c r="V32" i="58"/>
  <c r="AB32" i="58" s="1"/>
  <c r="X31" i="58"/>
  <c r="W31" i="58"/>
  <c r="AC31" i="58" s="1"/>
  <c r="V31" i="58"/>
  <c r="AB31" i="58" s="1"/>
  <c r="X30" i="58"/>
  <c r="W30" i="58"/>
  <c r="V30" i="58"/>
  <c r="AB30" i="58" s="1"/>
  <c r="X29" i="58"/>
  <c r="W29" i="58"/>
  <c r="AC29" i="58" s="1"/>
  <c r="V29" i="58"/>
  <c r="AB29" i="58" s="1"/>
  <c r="X28" i="58"/>
  <c r="W28" i="58"/>
  <c r="V28" i="58"/>
  <c r="AB28" i="58" s="1"/>
  <c r="X27" i="58"/>
  <c r="W27" i="58"/>
  <c r="V27" i="58"/>
  <c r="AB27" i="58" s="1"/>
  <c r="X26" i="58"/>
  <c r="W26" i="58"/>
  <c r="V26" i="58"/>
  <c r="AB26" i="58" s="1"/>
  <c r="X25" i="58"/>
  <c r="W25" i="58"/>
  <c r="V25" i="58"/>
  <c r="AB25" i="58" s="1"/>
  <c r="X24" i="58"/>
  <c r="W24" i="58"/>
  <c r="V24" i="58"/>
  <c r="AB24" i="58" s="1"/>
  <c r="X23" i="58"/>
  <c r="W23" i="58"/>
  <c r="V23" i="58"/>
  <c r="AB23" i="58" s="1"/>
  <c r="X22" i="58"/>
  <c r="W22" i="58"/>
  <c r="V22" i="58"/>
  <c r="AB22" i="58" s="1"/>
  <c r="X21" i="58"/>
  <c r="W21" i="58"/>
  <c r="V21" i="58"/>
  <c r="AB21" i="58" s="1"/>
  <c r="X20" i="58"/>
  <c r="W20" i="58"/>
  <c r="V20" i="58"/>
  <c r="AB20" i="58" s="1"/>
  <c r="X19" i="58"/>
  <c r="W19" i="58"/>
  <c r="V19" i="58"/>
  <c r="AB19" i="58" s="1"/>
  <c r="X18" i="58"/>
  <c r="W18" i="58"/>
  <c r="V18" i="58"/>
  <c r="AB18" i="58" s="1"/>
  <c r="X17" i="58"/>
  <c r="W17" i="58"/>
  <c r="V17" i="58"/>
  <c r="AB17" i="58" s="1"/>
  <c r="X16" i="58"/>
  <c r="W16" i="58"/>
  <c r="V16" i="58"/>
  <c r="AB16" i="58" s="1"/>
  <c r="X15" i="58"/>
  <c r="W15" i="58"/>
  <c r="V15" i="58"/>
  <c r="AB15" i="58" s="1"/>
  <c r="X14" i="58"/>
  <c r="W14" i="58"/>
  <c r="V14" i="58"/>
  <c r="AB14" i="58" s="1"/>
  <c r="X13" i="58"/>
  <c r="W13" i="58"/>
  <c r="AC13" i="58" s="1"/>
  <c r="V13" i="58"/>
  <c r="AB13" i="58" s="1"/>
  <c r="X12" i="58"/>
  <c r="W12" i="58"/>
  <c r="V12" i="58"/>
  <c r="AB12" i="58" s="1"/>
  <c r="X11" i="58"/>
  <c r="W11" i="58"/>
  <c r="AC11" i="58" s="1"/>
  <c r="V11" i="58"/>
  <c r="AB11" i="58" s="1"/>
  <c r="X10" i="58"/>
  <c r="W10" i="58"/>
  <c r="V10" i="58"/>
  <c r="AB10" i="58" s="1"/>
  <c r="X9" i="58"/>
  <c r="W9" i="58"/>
  <c r="AC9" i="58" s="1"/>
  <c r="V9" i="58"/>
  <c r="AB9" i="58" s="1"/>
  <c r="X8" i="58"/>
  <c r="W8" i="58"/>
  <c r="V8" i="58"/>
  <c r="AB8" i="58" s="1"/>
  <c r="X7" i="58"/>
  <c r="W7" i="58"/>
  <c r="AC7" i="58" s="1"/>
  <c r="V7" i="58"/>
  <c r="AB7" i="58" s="1"/>
  <c r="X6" i="58"/>
  <c r="W6" i="58"/>
  <c r="V6" i="58"/>
  <c r="AB6" i="58" s="1"/>
  <c r="X5" i="58"/>
  <c r="W5" i="58"/>
  <c r="AC5" i="58" s="1"/>
  <c r="V5" i="58"/>
  <c r="AB5" i="58" s="1"/>
  <c r="X4" i="58"/>
  <c r="W4" i="58"/>
  <c r="V4" i="58"/>
  <c r="AB4" i="58" s="1"/>
  <c r="X3" i="58"/>
  <c r="W3" i="58"/>
  <c r="AC3" i="58" s="1"/>
  <c r="V3" i="58"/>
  <c r="AB3" i="58" s="1"/>
  <c r="X2" i="58"/>
  <c r="W2" i="58"/>
  <c r="V2" i="58"/>
  <c r="AB2" i="58" s="1"/>
  <c r="AE1866" i="57"/>
  <c r="AE1865" i="57"/>
  <c r="AE1864" i="57"/>
  <c r="AE1863" i="57"/>
  <c r="AE1862" i="57"/>
  <c r="AE1861" i="57"/>
  <c r="AE1860" i="57"/>
  <c r="AE1859" i="57"/>
  <c r="AE1858" i="57"/>
  <c r="AE1857" i="57"/>
  <c r="AE1856" i="57"/>
  <c r="AE1855" i="57"/>
  <c r="AE1854" i="57"/>
  <c r="AE1853" i="57"/>
  <c r="AE1852" i="57"/>
  <c r="AE1851" i="57"/>
  <c r="AE1850" i="57"/>
  <c r="AE1849" i="57"/>
  <c r="AE1848" i="57"/>
  <c r="AE1847" i="57"/>
  <c r="AE1846" i="57"/>
  <c r="AE1845" i="57"/>
  <c r="AE1844" i="57"/>
  <c r="AD1844" i="57"/>
  <c r="AC1844" i="57"/>
  <c r="AE1843" i="57"/>
  <c r="AD1843" i="57"/>
  <c r="AC1843" i="57"/>
  <c r="AE1842" i="57"/>
  <c r="AD1842" i="57"/>
  <c r="AC1842" i="57"/>
  <c r="AE1841" i="57"/>
  <c r="AC1841" i="57"/>
  <c r="AE1840" i="57"/>
  <c r="AD1840" i="57"/>
  <c r="AC1840" i="57"/>
  <c r="AE1839" i="57"/>
  <c r="AD1839" i="57"/>
  <c r="AC1839" i="57"/>
  <c r="AE1838" i="57"/>
  <c r="AD1838" i="57"/>
  <c r="AC1838" i="57"/>
  <c r="AE1837" i="57"/>
  <c r="AD1837" i="57"/>
  <c r="AC1837" i="57"/>
  <c r="AE1836" i="57"/>
  <c r="AD1836" i="57"/>
  <c r="AC1836" i="57"/>
  <c r="AE1835" i="57"/>
  <c r="AC1835" i="57"/>
  <c r="AE1834" i="57"/>
  <c r="AD1834" i="57"/>
  <c r="AC1834" i="57"/>
  <c r="AE1833" i="57"/>
  <c r="AD1833" i="57"/>
  <c r="AC1833" i="57"/>
  <c r="AE1832" i="57"/>
  <c r="AD1832" i="57"/>
  <c r="AC1832" i="57"/>
  <c r="AE1831" i="57"/>
  <c r="AD1831" i="57"/>
  <c r="AC1831" i="57"/>
  <c r="AE1830" i="57"/>
  <c r="AD1830" i="57"/>
  <c r="AC1830" i="57"/>
  <c r="AE1829" i="57"/>
  <c r="AE1828" i="57"/>
  <c r="AE1827" i="57"/>
  <c r="AE1826" i="57"/>
  <c r="AE1825" i="57"/>
  <c r="AE1824" i="57"/>
  <c r="AE1823" i="57"/>
  <c r="AE1822" i="57"/>
  <c r="AE1821" i="57"/>
  <c r="AE1820" i="57"/>
  <c r="AE1819" i="57"/>
  <c r="AE1818" i="57"/>
  <c r="AE1817" i="57"/>
  <c r="AE1816" i="57"/>
  <c r="AE1815" i="57"/>
  <c r="AE1814" i="57"/>
  <c r="AE1813" i="57"/>
  <c r="AE1812" i="57"/>
  <c r="AE1811" i="57"/>
  <c r="AE1810" i="57"/>
  <c r="AE1809" i="57"/>
  <c r="AE1808" i="57"/>
  <c r="AE1807" i="57"/>
  <c r="AE1806" i="57"/>
  <c r="AE1805" i="57"/>
  <c r="AE1804" i="57"/>
  <c r="AE1803" i="57"/>
  <c r="AE1802" i="57"/>
  <c r="AE1801" i="57"/>
  <c r="AE1800" i="57"/>
  <c r="AE1799" i="57"/>
  <c r="AE1798" i="57"/>
  <c r="AE1797" i="57"/>
  <c r="AE1796" i="57"/>
  <c r="AE1795" i="57"/>
  <c r="AE1794" i="57"/>
  <c r="AE1793" i="57"/>
  <c r="AE1792" i="57"/>
  <c r="AE1791" i="57"/>
  <c r="AE1790" i="57"/>
  <c r="AE1789" i="57"/>
  <c r="AE1788" i="57"/>
  <c r="AE1787" i="57"/>
  <c r="AE1786" i="57"/>
  <c r="AE1785" i="57"/>
  <c r="AE1784" i="57"/>
  <c r="AE1783" i="57"/>
  <c r="AE1782" i="57"/>
  <c r="AE1781" i="57"/>
  <c r="AE1780" i="57"/>
  <c r="AE1779" i="57"/>
  <c r="AE1778" i="57"/>
  <c r="AE1777" i="57"/>
  <c r="AE1776" i="57"/>
  <c r="AE1775" i="57"/>
  <c r="AE1774" i="57"/>
  <c r="AE1773" i="57"/>
  <c r="AE1772" i="57"/>
  <c r="AE1771" i="57"/>
  <c r="AE1770" i="57"/>
  <c r="AE1769" i="57"/>
  <c r="AE1768" i="57"/>
  <c r="AE1767" i="57"/>
  <c r="AE1766" i="57"/>
  <c r="AE1765" i="57"/>
  <c r="AE1764" i="57"/>
  <c r="AE1763" i="57"/>
  <c r="AE1762" i="57"/>
  <c r="AE1761" i="57"/>
  <c r="AE1760" i="57"/>
  <c r="AE1759" i="57"/>
  <c r="AE1758" i="57"/>
  <c r="AE1757" i="57"/>
  <c r="AE1756" i="57"/>
  <c r="AE1755" i="57"/>
  <c r="AE1754" i="57"/>
  <c r="AE1753" i="57"/>
  <c r="AE1752" i="57"/>
  <c r="AE1751" i="57"/>
  <c r="AE1750" i="57"/>
  <c r="AE1749" i="57"/>
  <c r="AE1748" i="57"/>
  <c r="AE1747" i="57"/>
  <c r="AE1746" i="57"/>
  <c r="AE1745" i="57"/>
  <c r="AE1744" i="57"/>
  <c r="AE1743" i="57"/>
  <c r="AE1742" i="57"/>
  <c r="AE1741" i="57"/>
  <c r="AE1740" i="57"/>
  <c r="AE1739" i="57"/>
  <c r="AE1738" i="57"/>
  <c r="AE1737" i="57"/>
  <c r="AE1736" i="57"/>
  <c r="AE1735" i="57"/>
  <c r="AE1734" i="57"/>
  <c r="AE1733" i="57"/>
  <c r="AE1732" i="57"/>
  <c r="AE1731" i="57"/>
  <c r="AE1730" i="57"/>
  <c r="AE1729" i="57"/>
  <c r="AE1728" i="57"/>
  <c r="AE1727" i="57"/>
  <c r="AE1726" i="57"/>
  <c r="AE1725" i="57"/>
  <c r="AE1724" i="57"/>
  <c r="AE1723" i="57"/>
  <c r="AE1722" i="57"/>
  <c r="AE1721" i="57"/>
  <c r="AE1720" i="57"/>
  <c r="AE1719" i="57"/>
  <c r="AE1718" i="57"/>
  <c r="AE1717" i="57"/>
  <c r="AE1716" i="57"/>
  <c r="AE1715" i="57"/>
  <c r="AE1714" i="57"/>
  <c r="AE1713" i="57"/>
  <c r="AE1712" i="57"/>
  <c r="AE1711" i="57"/>
  <c r="AE1710" i="57"/>
  <c r="AE1709" i="57"/>
  <c r="AE1708" i="57"/>
  <c r="AE1707" i="57"/>
  <c r="AE1706" i="57"/>
  <c r="AE1705" i="57"/>
  <c r="AE1704" i="57"/>
  <c r="AE1703" i="57"/>
  <c r="AE1702" i="57"/>
  <c r="AE1701" i="57"/>
  <c r="AE1700" i="57"/>
  <c r="AE1699" i="57"/>
  <c r="AE1698" i="57"/>
  <c r="AE1697" i="57"/>
  <c r="AE1696" i="57"/>
  <c r="AE1695" i="57"/>
  <c r="AE1694" i="57"/>
  <c r="AE1693" i="57"/>
  <c r="AE1692" i="57"/>
  <c r="AE1691" i="57"/>
  <c r="AE1690" i="57"/>
  <c r="AE1689" i="57"/>
  <c r="AE1688" i="57"/>
  <c r="AE1687" i="57"/>
  <c r="AE1686" i="57"/>
  <c r="AE1685" i="57"/>
  <c r="AE1684" i="57"/>
  <c r="AE1683" i="57"/>
  <c r="AE1682" i="57"/>
  <c r="AE1681" i="57"/>
  <c r="AE1680" i="57"/>
  <c r="AE1679" i="57"/>
  <c r="AE1678" i="57"/>
  <c r="AE1677" i="57"/>
  <c r="AE1676" i="57"/>
  <c r="AE1675" i="57"/>
  <c r="AE1674" i="57"/>
  <c r="AE1673" i="57"/>
  <c r="AE1672" i="57"/>
  <c r="AE1671" i="57"/>
  <c r="AE1670" i="57"/>
  <c r="AE1669" i="57"/>
  <c r="AE1668" i="57"/>
  <c r="AE1667" i="57"/>
  <c r="AE1666" i="57"/>
  <c r="AE1665" i="57"/>
  <c r="AE1664" i="57"/>
  <c r="AE1663" i="57"/>
  <c r="AE1662" i="57"/>
  <c r="AE1661" i="57"/>
  <c r="AE1660" i="57"/>
  <c r="AE1659" i="57"/>
  <c r="AE1658" i="57"/>
  <c r="AE1657" i="57"/>
  <c r="AE1656" i="57"/>
  <c r="AE1655" i="57"/>
  <c r="AE1654" i="57"/>
  <c r="AE1653" i="57"/>
  <c r="AE1652" i="57"/>
  <c r="AE1651" i="57"/>
  <c r="AE1650" i="57"/>
  <c r="AE1649" i="57"/>
  <c r="AE1648" i="57"/>
  <c r="AE1647" i="57"/>
  <c r="AE1646" i="57"/>
  <c r="AE1645" i="57"/>
  <c r="AE1644" i="57"/>
  <c r="AE1643" i="57"/>
  <c r="AE1642" i="57"/>
  <c r="AE1641" i="57"/>
  <c r="AE1640" i="57"/>
  <c r="AE1639" i="57"/>
  <c r="AE1638" i="57"/>
  <c r="AE1637" i="57"/>
  <c r="AE1636" i="57"/>
  <c r="AE1635" i="57"/>
  <c r="AE1634" i="57"/>
  <c r="AE1633" i="57"/>
  <c r="AE1632" i="57"/>
  <c r="AE1631" i="57"/>
  <c r="AE1630" i="57"/>
  <c r="AE1629" i="57"/>
  <c r="AE1628" i="57"/>
  <c r="AE1627" i="57"/>
  <c r="AE1626" i="57"/>
  <c r="AE1625" i="57"/>
  <c r="AE1624" i="57"/>
  <c r="AE1623" i="57"/>
  <c r="AE1622" i="57"/>
  <c r="AE1621" i="57"/>
  <c r="AE1620" i="57"/>
  <c r="AE1619" i="57"/>
  <c r="AE1618" i="57"/>
  <c r="AE1617" i="57"/>
  <c r="AE1616" i="57"/>
  <c r="AE1615" i="57"/>
  <c r="AE1614" i="57"/>
  <c r="AE1613" i="57"/>
  <c r="AE1612" i="57"/>
  <c r="AE1611" i="57"/>
  <c r="AE1610" i="57"/>
  <c r="AE1609" i="57"/>
  <c r="AE1608" i="57"/>
  <c r="AE1607" i="57"/>
  <c r="AE1606" i="57"/>
  <c r="AE1605" i="57"/>
  <c r="AE1604" i="57"/>
  <c r="AE1603" i="57"/>
  <c r="AE1602" i="57"/>
  <c r="AE1601" i="57"/>
  <c r="AE1600" i="57"/>
  <c r="AE1599" i="57"/>
  <c r="AE1598" i="57"/>
  <c r="AE1597" i="57"/>
  <c r="AE1596" i="57"/>
  <c r="AE1595" i="57"/>
  <c r="AE1594" i="57"/>
  <c r="AE1593" i="57"/>
  <c r="AE1592" i="57"/>
  <c r="AE1591" i="57"/>
  <c r="AE1590" i="57"/>
  <c r="AE1589" i="57"/>
  <c r="AE1588" i="57"/>
  <c r="AE1587" i="57"/>
  <c r="AE1586" i="57"/>
  <c r="AE1585" i="57"/>
  <c r="AE1584" i="57"/>
  <c r="AE1583" i="57"/>
  <c r="AE1582" i="57"/>
  <c r="AE1581" i="57"/>
  <c r="AE1580" i="57"/>
  <c r="AE1579" i="57"/>
  <c r="AE1578" i="57"/>
  <c r="AE1577" i="57"/>
  <c r="AE1576" i="57"/>
  <c r="AE1575" i="57"/>
  <c r="AE1574" i="57"/>
  <c r="AE1573" i="57"/>
  <c r="AE1572" i="57"/>
  <c r="AE1571" i="57"/>
  <c r="AE1570" i="57"/>
  <c r="AE1569" i="57"/>
  <c r="AE1568" i="57"/>
  <c r="AE1567" i="57"/>
  <c r="AE1566" i="57"/>
  <c r="AE1565" i="57"/>
  <c r="AE1564" i="57"/>
  <c r="AE1563" i="57"/>
  <c r="AE1562" i="57"/>
  <c r="AE1561" i="57"/>
  <c r="AE1560" i="57"/>
  <c r="AE1559" i="57"/>
  <c r="AE1558" i="57"/>
  <c r="AE1557" i="57"/>
  <c r="AE1556" i="57"/>
  <c r="AE1555" i="57"/>
  <c r="AE1554" i="57"/>
  <c r="AE1553" i="57"/>
  <c r="AE1552" i="57"/>
  <c r="AE1551" i="57"/>
  <c r="AE1550" i="57"/>
  <c r="AE1549" i="57"/>
  <c r="AE1548" i="57"/>
  <c r="AE1547" i="57"/>
  <c r="AE1546" i="57"/>
  <c r="AE1545" i="57"/>
  <c r="AE1544" i="57"/>
  <c r="AE1543" i="57"/>
  <c r="AE1542" i="57"/>
  <c r="AE1541" i="57"/>
  <c r="AE1540" i="57"/>
  <c r="AE1539" i="57"/>
  <c r="AE1538" i="57"/>
  <c r="AE1537" i="57"/>
  <c r="AE1536" i="57"/>
  <c r="AE1535" i="57"/>
  <c r="AE1534" i="57"/>
  <c r="AE1533" i="57"/>
  <c r="AE1532" i="57"/>
  <c r="AE1531" i="57"/>
  <c r="AE1530" i="57"/>
  <c r="AE1529" i="57"/>
  <c r="AE1528" i="57"/>
  <c r="AE1527" i="57"/>
  <c r="AE1526" i="57"/>
  <c r="AE1525" i="57"/>
  <c r="AE1524" i="57"/>
  <c r="AE1523" i="57"/>
  <c r="AE1522" i="57"/>
  <c r="AE1521" i="57"/>
  <c r="AE1520" i="57"/>
  <c r="AE1519" i="57"/>
  <c r="AE1518" i="57"/>
  <c r="AE1517" i="57"/>
  <c r="AE1516" i="57"/>
  <c r="AE1515" i="57"/>
  <c r="AE1514" i="57"/>
  <c r="AE1513" i="57"/>
  <c r="AE1512" i="57"/>
  <c r="AE1511" i="57"/>
  <c r="AE1510" i="57"/>
  <c r="AE1509" i="57"/>
  <c r="AE1508" i="57"/>
  <c r="AE1507" i="57"/>
  <c r="AE1506" i="57"/>
  <c r="AE1505" i="57"/>
  <c r="AE1504" i="57"/>
  <c r="AE1503" i="57"/>
  <c r="AE1502" i="57"/>
  <c r="AE1501" i="57"/>
  <c r="AE1500" i="57"/>
  <c r="AE1499" i="57"/>
  <c r="AE1498" i="57"/>
  <c r="AE1497" i="57"/>
  <c r="AE1496" i="57"/>
  <c r="AE1495" i="57"/>
  <c r="AE1494" i="57"/>
  <c r="AE1493" i="57"/>
  <c r="AE1492" i="57"/>
  <c r="AE1491" i="57"/>
  <c r="AE1490" i="57"/>
  <c r="AE1489" i="57"/>
  <c r="AE1488" i="57"/>
  <c r="AE1487" i="57"/>
  <c r="AE1486" i="57"/>
  <c r="AE1485" i="57"/>
  <c r="AE1484" i="57"/>
  <c r="AE1483" i="57"/>
  <c r="AE1482" i="57"/>
  <c r="AE1481" i="57"/>
  <c r="AE1480" i="57"/>
  <c r="AE1479" i="57"/>
  <c r="AE1478" i="57"/>
  <c r="AE1477" i="57"/>
  <c r="AE1476" i="57"/>
  <c r="AE1475" i="57"/>
  <c r="AE1474" i="57"/>
  <c r="AE1473" i="57"/>
  <c r="AE1472" i="57"/>
  <c r="AE1471" i="57"/>
  <c r="AE1470" i="57"/>
  <c r="AE1469" i="57"/>
  <c r="AE1468" i="57"/>
  <c r="AE1467" i="57"/>
  <c r="AE1466" i="57"/>
  <c r="AE1465" i="57"/>
  <c r="AE1464" i="57"/>
  <c r="AE1463" i="57"/>
  <c r="AE1462" i="57"/>
  <c r="AE1461" i="57"/>
  <c r="AE1460" i="57"/>
  <c r="AE1459" i="57"/>
  <c r="AE1458" i="57"/>
  <c r="AE1457" i="57"/>
  <c r="AE1456" i="57"/>
  <c r="AE1455" i="57"/>
  <c r="AE1454" i="57"/>
  <c r="AE1453" i="57"/>
  <c r="AE1452" i="57"/>
  <c r="AE1451" i="57"/>
  <c r="AE1450" i="57"/>
  <c r="AE1449" i="57"/>
  <c r="AE1448" i="57"/>
  <c r="AE1447" i="57"/>
  <c r="AE1446" i="57"/>
  <c r="AE1445" i="57"/>
  <c r="AE1444" i="57"/>
  <c r="AE1443" i="57"/>
  <c r="AE1442" i="57"/>
  <c r="AE1441" i="57"/>
  <c r="AE1440" i="57"/>
  <c r="AE1439" i="57"/>
  <c r="AE1438" i="57"/>
  <c r="AE1437" i="57"/>
  <c r="AE1436" i="57"/>
  <c r="AE1435" i="57"/>
  <c r="AE1434" i="57"/>
  <c r="AE1433" i="57"/>
  <c r="AE1432" i="57"/>
  <c r="AE1431" i="57"/>
  <c r="AE1430" i="57"/>
  <c r="AE1429" i="57"/>
  <c r="AE1428" i="57"/>
  <c r="AE1427" i="57"/>
  <c r="AE1426" i="57"/>
  <c r="AE1425" i="57"/>
  <c r="AE1424" i="57"/>
  <c r="AE1423" i="57"/>
  <c r="AE1422" i="57"/>
  <c r="AE1421" i="57"/>
  <c r="AE1420" i="57"/>
  <c r="AE1419" i="57"/>
  <c r="AE1418" i="57"/>
  <c r="AE1417" i="57"/>
  <c r="AE1416" i="57"/>
  <c r="AE1415" i="57"/>
  <c r="AE1414" i="57"/>
  <c r="AE1413" i="57"/>
  <c r="AE1412" i="57"/>
  <c r="AE1411" i="57"/>
  <c r="AE1410" i="57"/>
  <c r="AE1409" i="57"/>
  <c r="AE1408" i="57"/>
  <c r="AE1407" i="57"/>
  <c r="AE1406" i="57"/>
  <c r="AE1405" i="57"/>
  <c r="AE1404" i="57"/>
  <c r="AE1403" i="57"/>
  <c r="AE1402" i="57"/>
  <c r="AE1401" i="57"/>
  <c r="AE1400" i="57"/>
  <c r="AE1399" i="57"/>
  <c r="AE1398" i="57"/>
  <c r="AE1397" i="57"/>
  <c r="AE1396" i="57"/>
  <c r="AE1395" i="57"/>
  <c r="AE1394" i="57"/>
  <c r="AE1393" i="57"/>
  <c r="AE1392" i="57"/>
  <c r="AE1391" i="57"/>
  <c r="AE1390" i="57"/>
  <c r="AE1389" i="57"/>
  <c r="AE1388" i="57"/>
  <c r="AE1387" i="57"/>
  <c r="AE1386" i="57"/>
  <c r="AE1385" i="57"/>
  <c r="AE1384" i="57"/>
  <c r="AE1383" i="57"/>
  <c r="AE1382" i="57"/>
  <c r="AE1381" i="57"/>
  <c r="AE1380" i="57"/>
  <c r="AE1379" i="57"/>
  <c r="AE1378" i="57"/>
  <c r="AE1377" i="57"/>
  <c r="AE1376" i="57"/>
  <c r="AE1375" i="57"/>
  <c r="AE1374" i="57"/>
  <c r="AE1373" i="57"/>
  <c r="AE1372" i="57"/>
  <c r="AE1371" i="57"/>
  <c r="AE1370" i="57"/>
  <c r="AE1369" i="57"/>
  <c r="AE1368" i="57"/>
  <c r="AE1367" i="57"/>
  <c r="AE1366" i="57"/>
  <c r="AE1365" i="57"/>
  <c r="AE1364" i="57"/>
  <c r="AE1363" i="57"/>
  <c r="AE1362" i="57"/>
  <c r="AE1361" i="57"/>
  <c r="AE1360" i="57"/>
  <c r="AE1359" i="57"/>
  <c r="AE1358" i="57"/>
  <c r="AE1357" i="57"/>
  <c r="AE1356" i="57"/>
  <c r="AE1355" i="57"/>
  <c r="AE1354" i="57"/>
  <c r="AE1353" i="57"/>
  <c r="AE1352" i="57"/>
  <c r="AE1351" i="57"/>
  <c r="AE1350" i="57"/>
  <c r="AE1349" i="57"/>
  <c r="AE1348" i="57"/>
  <c r="AE1347" i="57"/>
  <c r="AE1346" i="57"/>
  <c r="AE1345" i="57"/>
  <c r="AE1344" i="57"/>
  <c r="AE1343" i="57"/>
  <c r="AE1342" i="57"/>
  <c r="AE1341" i="57"/>
  <c r="AE1340" i="57"/>
  <c r="AE1339" i="57"/>
  <c r="AE1338" i="57"/>
  <c r="AE1337" i="57"/>
  <c r="AE1336" i="57"/>
  <c r="AE1335" i="57"/>
  <c r="AE1334" i="57"/>
  <c r="AE1333" i="57"/>
  <c r="AE1332" i="57"/>
  <c r="AE1331" i="57"/>
  <c r="AE1330" i="57"/>
  <c r="AE1329" i="57"/>
  <c r="AE1328" i="57"/>
  <c r="AE1327" i="57"/>
  <c r="AE1326" i="57"/>
  <c r="AE1325" i="57"/>
  <c r="AE1324" i="57"/>
  <c r="AE1323" i="57"/>
  <c r="AE1322" i="57"/>
  <c r="AE1321" i="57"/>
  <c r="AE1320" i="57"/>
  <c r="AE1319" i="57"/>
  <c r="AE1318" i="57"/>
  <c r="AE1317" i="57"/>
  <c r="AE1316" i="57"/>
  <c r="AE1315" i="57"/>
  <c r="AE1314" i="57"/>
  <c r="AE1313" i="57"/>
  <c r="AE1312" i="57"/>
  <c r="AE1311" i="57"/>
  <c r="AE1310" i="57"/>
  <c r="AE1309" i="57"/>
  <c r="AE1308" i="57"/>
  <c r="AE1307" i="57"/>
  <c r="AE1306" i="57"/>
  <c r="AE1305" i="57"/>
  <c r="AE1304" i="57"/>
  <c r="AE1303" i="57"/>
  <c r="AE1302" i="57"/>
  <c r="AE1301" i="57"/>
  <c r="AE1300" i="57"/>
  <c r="AE1299" i="57"/>
  <c r="AE1298" i="57"/>
  <c r="AE1297" i="57"/>
  <c r="AE1296" i="57"/>
  <c r="AE1295" i="57"/>
  <c r="AE1294" i="57"/>
  <c r="AE1293" i="57"/>
  <c r="AE1292" i="57"/>
  <c r="AE1291" i="57"/>
  <c r="AE1290" i="57"/>
  <c r="AE1289" i="57"/>
  <c r="AE1288" i="57"/>
  <c r="AE1287" i="57"/>
  <c r="AE1286" i="57"/>
  <c r="AE1285" i="57"/>
  <c r="AE1284" i="57"/>
  <c r="AE1283" i="57"/>
  <c r="AE1282" i="57"/>
  <c r="AE1281" i="57"/>
  <c r="AE1280" i="57"/>
  <c r="AE1279" i="57"/>
  <c r="AE1278" i="57"/>
  <c r="AE1277" i="57"/>
  <c r="AE1276" i="57"/>
  <c r="AE1275" i="57"/>
  <c r="AE1274" i="57"/>
  <c r="AE1273" i="57"/>
  <c r="AE1272" i="57"/>
  <c r="AE1271" i="57"/>
  <c r="AE1270" i="57"/>
  <c r="AE1269" i="57"/>
  <c r="AE1268" i="57"/>
  <c r="AE1267" i="57"/>
  <c r="AE1266" i="57"/>
  <c r="AE1265" i="57"/>
  <c r="AE1264" i="57"/>
  <c r="AE1263" i="57"/>
  <c r="AE1262" i="57"/>
  <c r="AE1261" i="57"/>
  <c r="AE1260" i="57"/>
  <c r="AE1259" i="57"/>
  <c r="AE1258" i="57"/>
  <c r="AE1257" i="57"/>
  <c r="AE1256" i="57"/>
  <c r="AE1255" i="57"/>
  <c r="AE1254" i="57"/>
  <c r="AE1253" i="57"/>
  <c r="AE1252" i="57"/>
  <c r="AE1251" i="57"/>
  <c r="AE1250" i="57"/>
  <c r="AE1249" i="57"/>
  <c r="AE1248" i="57"/>
  <c r="AE1247" i="57"/>
  <c r="AE1246" i="57"/>
  <c r="AE1245" i="57"/>
  <c r="AE1244" i="57"/>
  <c r="AE1243" i="57"/>
  <c r="AE1242" i="57"/>
  <c r="AE1241" i="57"/>
  <c r="AE1240" i="57"/>
  <c r="AE1239" i="57"/>
  <c r="AE1238" i="57"/>
  <c r="AE1237" i="57"/>
  <c r="AE1236" i="57"/>
  <c r="AE1235" i="57"/>
  <c r="AE1234" i="57"/>
  <c r="AE1233" i="57"/>
  <c r="AE1232" i="57"/>
  <c r="AE1231" i="57"/>
  <c r="AE1230" i="57"/>
  <c r="AE1229" i="57"/>
  <c r="AE1228" i="57"/>
  <c r="AE1227" i="57"/>
  <c r="AE1226" i="57"/>
  <c r="AE1225" i="57"/>
  <c r="AE1224" i="57"/>
  <c r="AE1223" i="57"/>
  <c r="AE1222" i="57"/>
  <c r="AE1221" i="57"/>
  <c r="AE1220" i="57"/>
  <c r="AE1219" i="57"/>
  <c r="AE1218" i="57"/>
  <c r="AE1217" i="57"/>
  <c r="AE1216" i="57"/>
  <c r="AE1215" i="57"/>
  <c r="AE1214" i="57"/>
  <c r="AE1213" i="57"/>
  <c r="AE1212" i="57"/>
  <c r="AE1211" i="57"/>
  <c r="AE1210" i="57"/>
  <c r="AE1209" i="57"/>
  <c r="AE1208" i="57"/>
  <c r="AE1207" i="57"/>
  <c r="AE1206" i="57"/>
  <c r="AE1205" i="57"/>
  <c r="AE1204" i="57"/>
  <c r="AE1203" i="57"/>
  <c r="AE1202" i="57"/>
  <c r="AE1201" i="57"/>
  <c r="AE1200" i="57"/>
  <c r="AE1199" i="57"/>
  <c r="AE1198" i="57"/>
  <c r="AE1197" i="57"/>
  <c r="AE1196" i="57"/>
  <c r="AE1195" i="57"/>
  <c r="AE1194" i="57"/>
  <c r="AE1193" i="57"/>
  <c r="AE1192" i="57"/>
  <c r="AE1191" i="57"/>
  <c r="AE1190" i="57"/>
  <c r="AE1189" i="57"/>
  <c r="AC1189" i="57"/>
  <c r="AE1188" i="57"/>
  <c r="AD1188" i="57"/>
  <c r="AC1188" i="57"/>
  <c r="AE1187" i="57"/>
  <c r="AD1187" i="57"/>
  <c r="AC1187" i="57"/>
  <c r="AE1186" i="57"/>
  <c r="AD1186" i="57"/>
  <c r="AC1186" i="57"/>
  <c r="AE1185" i="57"/>
  <c r="AD1185" i="57"/>
  <c r="AC1185" i="57"/>
  <c r="AE1184" i="57"/>
  <c r="AD1184" i="57"/>
  <c r="AC1184" i="57"/>
  <c r="AE1183" i="57"/>
  <c r="AD1183" i="57"/>
  <c r="AC1183" i="57"/>
  <c r="AE1182" i="57"/>
  <c r="AD1182" i="57"/>
  <c r="AC1182" i="57"/>
  <c r="AE1181" i="57"/>
  <c r="AD1181" i="57"/>
  <c r="AC1181" i="57"/>
  <c r="AE1180" i="57"/>
  <c r="AD1180" i="57"/>
  <c r="AC1180" i="57"/>
  <c r="AE1179" i="57"/>
  <c r="AD1179" i="57"/>
  <c r="AC1179" i="57"/>
  <c r="AE1178" i="57"/>
  <c r="AD1178" i="57"/>
  <c r="AC1178" i="57"/>
  <c r="AE1177" i="57"/>
  <c r="AC1177" i="57"/>
  <c r="AG1176" i="57"/>
  <c r="AF1176" i="57"/>
  <c r="AB1176" i="57"/>
  <c r="AG1175" i="57"/>
  <c r="AF1175" i="57"/>
  <c r="AB1175" i="57"/>
  <c r="AG1174" i="57"/>
  <c r="AF1174" i="57"/>
  <c r="AB1174" i="57"/>
  <c r="AG1173" i="57"/>
  <c r="AF1173" i="57"/>
  <c r="AB1173" i="57"/>
  <c r="AG1172" i="57"/>
  <c r="AF1172" i="57"/>
  <c r="AB1172" i="57"/>
  <c r="AG1171" i="57"/>
  <c r="AF1171" i="57"/>
  <c r="AB1171" i="57"/>
  <c r="AG1170" i="57"/>
  <c r="AF1170" i="57"/>
  <c r="AB1170" i="57"/>
  <c r="AG1169" i="57"/>
  <c r="AF1169" i="57"/>
  <c r="AB1169" i="57"/>
  <c r="AG1168" i="57"/>
  <c r="AF1168" i="57"/>
  <c r="AB1168" i="57"/>
  <c r="AG1167" i="57"/>
  <c r="AF1167" i="57"/>
  <c r="AB1167" i="57"/>
  <c r="AG1166" i="57"/>
  <c r="AF1166" i="57"/>
  <c r="AG1165" i="57"/>
  <c r="AF1165" i="57"/>
  <c r="AB1165" i="57"/>
  <c r="AG1164" i="57"/>
  <c r="AF1164" i="57"/>
  <c r="AB1164" i="57"/>
  <c r="AG1163" i="57"/>
  <c r="AF1163" i="57"/>
  <c r="AB1163" i="57"/>
  <c r="AE1162" i="57"/>
  <c r="AD1162" i="57"/>
  <c r="AC1162" i="57"/>
  <c r="AE1161" i="57"/>
  <c r="AD1161" i="57"/>
  <c r="AC1161" i="57"/>
  <c r="AE1160" i="57"/>
  <c r="AD1160" i="57"/>
  <c r="AC1160" i="57"/>
  <c r="AE1159" i="57"/>
  <c r="AD1159" i="57"/>
  <c r="AC1159" i="57"/>
  <c r="AE1158" i="57"/>
  <c r="AC1158" i="57"/>
  <c r="AE1157" i="57"/>
  <c r="AD1157" i="57"/>
  <c r="AC1157" i="57"/>
  <c r="AE1156" i="57"/>
  <c r="AD1156" i="57"/>
  <c r="AC1156" i="57"/>
  <c r="AE1155" i="57"/>
  <c r="AD1155" i="57"/>
  <c r="AC1155" i="57"/>
  <c r="AE1154" i="57"/>
  <c r="AD1154" i="57"/>
  <c r="AC1154" i="57"/>
  <c r="AE1153" i="57"/>
  <c r="AD1153" i="57"/>
  <c r="AC1153" i="57"/>
  <c r="AE1152" i="57"/>
  <c r="AC1152" i="57"/>
  <c r="AE1151" i="57"/>
  <c r="AD1151" i="57"/>
  <c r="AC1151" i="57"/>
  <c r="AE1150" i="57"/>
  <c r="AD1150" i="57"/>
  <c r="AC1150" i="57"/>
  <c r="AE1149" i="57"/>
  <c r="AD1149" i="57"/>
  <c r="AC1149" i="57"/>
  <c r="AE1148" i="57"/>
  <c r="AD1148" i="57"/>
  <c r="AC1148" i="57"/>
  <c r="AE1147" i="57"/>
  <c r="AD1147" i="57"/>
  <c r="AC1147" i="57"/>
  <c r="AE1146" i="57"/>
  <c r="AC1146" i="57"/>
  <c r="AE1145" i="57"/>
  <c r="AD1145" i="57"/>
  <c r="AC1145" i="57"/>
  <c r="AE1144" i="57"/>
  <c r="AD1144" i="57"/>
  <c r="AC1144" i="57"/>
  <c r="AE1143" i="57"/>
  <c r="AD1143" i="57"/>
  <c r="AC1143" i="57"/>
  <c r="AE1142" i="57"/>
  <c r="AD1142" i="57"/>
  <c r="AC1142" i="57"/>
  <c r="AE1141" i="57"/>
  <c r="AD1141" i="57"/>
  <c r="AC1141" i="57"/>
  <c r="AE1140" i="57"/>
  <c r="AC1140" i="57"/>
  <c r="AE1139" i="57"/>
  <c r="AD1139" i="57"/>
  <c r="AC1139" i="57"/>
  <c r="AE1138" i="57"/>
  <c r="AD1138" i="57"/>
  <c r="AC1138" i="57"/>
  <c r="AE1137" i="57"/>
  <c r="AD1137" i="57"/>
  <c r="AC1137" i="57"/>
  <c r="AE1136" i="57"/>
  <c r="AD1136" i="57"/>
  <c r="AC1136" i="57"/>
  <c r="AE1135" i="57"/>
  <c r="AD1135" i="57"/>
  <c r="AC1135" i="57"/>
  <c r="AE1134" i="57"/>
  <c r="AC1134" i="57"/>
  <c r="AE1133" i="57"/>
  <c r="AD1133" i="57"/>
  <c r="AC1133" i="57"/>
  <c r="AE1132" i="57"/>
  <c r="AD1132" i="57"/>
  <c r="AC1132" i="57"/>
  <c r="AE1131" i="57"/>
  <c r="AD1131" i="57"/>
  <c r="AC1131" i="57"/>
  <c r="AE1130" i="57"/>
  <c r="AD1130" i="57"/>
  <c r="AC1130" i="57"/>
  <c r="AE1129" i="57"/>
  <c r="AD1129" i="57"/>
  <c r="AC1129" i="57"/>
  <c r="AE1128" i="57"/>
  <c r="AC1128" i="57"/>
  <c r="AE1127" i="57"/>
  <c r="AD1127" i="57"/>
  <c r="AC1127" i="57"/>
  <c r="AE1126" i="57"/>
  <c r="AD1126" i="57"/>
  <c r="AC1126" i="57"/>
  <c r="AG1125" i="57"/>
  <c r="AF1125" i="57"/>
  <c r="AB1125" i="57"/>
  <c r="AG1124" i="57"/>
  <c r="AF1124" i="57"/>
  <c r="AB1124" i="57"/>
  <c r="AG1123" i="57"/>
  <c r="AF1123" i="57"/>
  <c r="AB1123" i="57"/>
  <c r="AG1122" i="57"/>
  <c r="AF1122" i="57"/>
  <c r="AB1122" i="57"/>
  <c r="AG1121" i="57"/>
  <c r="AF1121" i="57"/>
  <c r="AB1121" i="57"/>
  <c r="AG1120" i="57"/>
  <c r="AF1120" i="57"/>
  <c r="AB1120" i="57"/>
  <c r="AG1119" i="57"/>
  <c r="AF1119" i="57"/>
  <c r="AB1119" i="57"/>
  <c r="AG1118" i="57"/>
  <c r="AF1118" i="57"/>
  <c r="AB1118" i="57"/>
  <c r="AG1117" i="57"/>
  <c r="AF1117" i="57"/>
  <c r="AB1117" i="57"/>
  <c r="AG1116" i="57"/>
  <c r="AF1116" i="57"/>
  <c r="AB1116" i="57"/>
  <c r="AG1115" i="57"/>
  <c r="AF1115" i="57"/>
  <c r="AB1115" i="57"/>
  <c r="AG1114" i="57"/>
  <c r="AF1114" i="57"/>
  <c r="AB1114" i="57"/>
  <c r="AG1113" i="57"/>
  <c r="AF1113" i="57"/>
  <c r="AB1113" i="57"/>
  <c r="AG1112" i="57"/>
  <c r="AF1112" i="57"/>
  <c r="AB1112" i="57"/>
  <c r="AG1111" i="57"/>
  <c r="AF1111" i="57"/>
  <c r="AB1111" i="57"/>
  <c r="AG1110" i="57"/>
  <c r="AF1110" i="57"/>
  <c r="AB1110" i="57"/>
  <c r="AG1109" i="57"/>
  <c r="AF1109" i="57"/>
  <c r="AB1109" i="57"/>
  <c r="AG1108" i="57"/>
  <c r="AF1108" i="57"/>
  <c r="AB1108" i="57"/>
  <c r="AG1107" i="57"/>
  <c r="AF1107" i="57"/>
  <c r="AB1107" i="57"/>
  <c r="AG1106" i="57"/>
  <c r="AF1106" i="57"/>
  <c r="AB1106" i="57"/>
  <c r="AG1105" i="57"/>
  <c r="AF1105" i="57"/>
  <c r="AB1105" i="57"/>
  <c r="AG1104" i="57"/>
  <c r="AF1104" i="57"/>
  <c r="AB1104" i="57"/>
  <c r="AG1103" i="57"/>
  <c r="AF1103" i="57"/>
  <c r="AB1103" i="57"/>
  <c r="AG1102" i="57"/>
  <c r="AF1102" i="57"/>
  <c r="AB1102" i="57"/>
  <c r="AG1101" i="57"/>
  <c r="AF1101" i="57"/>
  <c r="AB1101" i="57"/>
  <c r="AG1100" i="57"/>
  <c r="AF1100" i="57"/>
  <c r="AB1100" i="57"/>
  <c r="AG1099" i="57"/>
  <c r="AF1099" i="57"/>
  <c r="AB1099" i="57"/>
  <c r="AG1098" i="57"/>
  <c r="AF1098" i="57"/>
  <c r="AB1098" i="57"/>
  <c r="AG1097" i="57"/>
  <c r="AF1097" i="57"/>
  <c r="AB1097" i="57"/>
  <c r="AE1096" i="57"/>
  <c r="AD1096" i="57"/>
  <c r="AE1095" i="57"/>
  <c r="AD1095" i="57"/>
  <c r="AC1095" i="57"/>
  <c r="AE1094" i="57"/>
  <c r="AD1094" i="57"/>
  <c r="AC1094" i="57"/>
  <c r="AE1093" i="57"/>
  <c r="AD1093" i="57"/>
  <c r="AC1093" i="57"/>
  <c r="AE1092" i="57"/>
  <c r="AD1092" i="57"/>
  <c r="AC1092" i="57"/>
  <c r="AE1091" i="57"/>
  <c r="AD1091" i="57"/>
  <c r="AC1091" i="57"/>
  <c r="AE1090" i="57"/>
  <c r="AD1090" i="57"/>
  <c r="AC1090" i="57"/>
  <c r="AE1089" i="57"/>
  <c r="AD1089" i="57"/>
  <c r="AC1089" i="57"/>
  <c r="AE1088" i="57"/>
  <c r="AD1088" i="57"/>
  <c r="AC1088" i="57"/>
  <c r="AE1087" i="57"/>
  <c r="AD1087" i="57"/>
  <c r="AC1087" i="57"/>
  <c r="AE1086" i="57"/>
  <c r="AD1086" i="57"/>
  <c r="AC1086" i="57"/>
  <c r="AE1085" i="57"/>
  <c r="AD1085" i="57"/>
  <c r="AC1085" i="57"/>
  <c r="AE1084" i="57"/>
  <c r="AD1084" i="57"/>
  <c r="AE1083" i="57"/>
  <c r="AD1083" i="57"/>
  <c r="AC1083" i="57"/>
  <c r="AE1082" i="57"/>
  <c r="AD1082" i="57"/>
  <c r="AC1082" i="57"/>
  <c r="AE1081" i="57"/>
  <c r="AD1081" i="57"/>
  <c r="AC1081" i="57"/>
  <c r="AE1080" i="57"/>
  <c r="AD1080" i="57"/>
  <c r="AC1080" i="57"/>
  <c r="AE1079" i="57"/>
  <c r="AD1079" i="57"/>
  <c r="AC1079" i="57"/>
  <c r="AE1078" i="57"/>
  <c r="AD1078" i="57"/>
  <c r="AC1078" i="57"/>
  <c r="AE1077" i="57"/>
  <c r="AD1077" i="57"/>
  <c r="AC1077" i="57"/>
  <c r="AE1076" i="57"/>
  <c r="AD1076" i="57"/>
  <c r="AC1076" i="57"/>
  <c r="AE1075" i="57"/>
  <c r="AD1075" i="57"/>
  <c r="AC1075" i="57"/>
  <c r="AE1074" i="57"/>
  <c r="AD1074" i="57"/>
  <c r="AC1074" i="57"/>
  <c r="AE1073" i="57"/>
  <c r="AD1073" i="57"/>
  <c r="AC1073" i="57"/>
  <c r="AE1072" i="57"/>
  <c r="AD1072" i="57"/>
  <c r="AE1071" i="57"/>
  <c r="AD1071" i="57"/>
  <c r="AC1071" i="57"/>
  <c r="AE1070" i="57"/>
  <c r="AD1070" i="57"/>
  <c r="AC1070" i="57"/>
  <c r="AE1069" i="57"/>
  <c r="AD1069" i="57"/>
  <c r="AC1069" i="57"/>
  <c r="AE1068" i="57"/>
  <c r="AD1068" i="57"/>
  <c r="AC1068" i="57"/>
  <c r="AE1067" i="57"/>
  <c r="AD1067" i="57"/>
  <c r="AC1067" i="57"/>
  <c r="AE1066" i="57"/>
  <c r="AD1066" i="57"/>
  <c r="AC1066" i="57"/>
  <c r="AE1065" i="57"/>
  <c r="AD1065" i="57"/>
  <c r="AC1065" i="57"/>
  <c r="AE1064" i="57"/>
  <c r="AD1064" i="57"/>
  <c r="AC1064" i="57"/>
  <c r="AE1063" i="57"/>
  <c r="AD1063" i="57"/>
  <c r="AC1063" i="57"/>
  <c r="AE1062" i="57"/>
  <c r="AD1062" i="57"/>
  <c r="AC1062" i="57"/>
  <c r="AE1061" i="57"/>
  <c r="AD1061" i="57"/>
  <c r="AC1061" i="57"/>
  <c r="AE1060" i="57"/>
  <c r="AD1060" i="57"/>
  <c r="AE1059" i="57"/>
  <c r="AD1059" i="57"/>
  <c r="AC1059" i="57"/>
  <c r="AE1058" i="57"/>
  <c r="AD1058" i="57"/>
  <c r="AC1058" i="57"/>
  <c r="AE1057" i="57"/>
  <c r="AD1057" i="57"/>
  <c r="AC1057" i="57"/>
  <c r="AE1056" i="57"/>
  <c r="AD1056" i="57"/>
  <c r="AC1056" i="57"/>
  <c r="AE1055" i="57"/>
  <c r="AD1055" i="57"/>
  <c r="AC1055" i="57"/>
  <c r="AE1054" i="57"/>
  <c r="AD1054" i="57"/>
  <c r="AC1054" i="57"/>
  <c r="AE1053" i="57"/>
  <c r="AD1053" i="57"/>
  <c r="AC1053" i="57"/>
  <c r="AE1052" i="57"/>
  <c r="AD1052" i="57"/>
  <c r="AC1052" i="57"/>
  <c r="AE1051" i="57"/>
  <c r="AD1051" i="57"/>
  <c r="AC1051" i="57"/>
  <c r="AE1050" i="57"/>
  <c r="AD1050" i="57"/>
  <c r="AC1050" i="57"/>
  <c r="AE1049" i="57"/>
  <c r="AD1049" i="57"/>
  <c r="AC1049" i="57"/>
  <c r="AE1048" i="57"/>
  <c r="AD1048" i="57"/>
  <c r="AE1047" i="57"/>
  <c r="AD1047" i="57"/>
  <c r="AC1047" i="57"/>
  <c r="AG1046" i="57"/>
  <c r="AF1046" i="57"/>
  <c r="AB1046" i="57"/>
  <c r="AG1045" i="57"/>
  <c r="AF1045" i="57"/>
  <c r="AB1045" i="57"/>
  <c r="AG1044" i="57"/>
  <c r="AF1044" i="57"/>
  <c r="AB1044" i="57"/>
  <c r="AG1043" i="57"/>
  <c r="AF1043" i="57"/>
  <c r="AB1043" i="57"/>
  <c r="AG1042" i="57"/>
  <c r="AF1042" i="57"/>
  <c r="AB1042" i="57"/>
  <c r="AG1041" i="57"/>
  <c r="AF1041" i="57"/>
  <c r="AB1041" i="57"/>
  <c r="AG1040" i="57"/>
  <c r="AF1040" i="57"/>
  <c r="AB1040" i="57"/>
  <c r="AG1039" i="57"/>
  <c r="AF1039" i="57"/>
  <c r="AB1039" i="57"/>
  <c r="AG1038" i="57"/>
  <c r="AF1038" i="57"/>
  <c r="AB1038" i="57"/>
  <c r="AG1037" i="57"/>
  <c r="AF1037" i="57"/>
  <c r="AG1036" i="57"/>
  <c r="AF1036" i="57"/>
  <c r="AB1036" i="57"/>
  <c r="AG1035" i="57"/>
  <c r="AF1035" i="57"/>
  <c r="AB1035" i="57"/>
  <c r="AG1034" i="57"/>
  <c r="AF1034" i="57"/>
  <c r="AB1034" i="57"/>
  <c r="AG1033" i="57"/>
  <c r="AF1033" i="57"/>
  <c r="AB1033" i="57"/>
  <c r="AG1032" i="57"/>
  <c r="AF1032" i="57"/>
  <c r="AB1032" i="57"/>
  <c r="AG1031" i="57"/>
  <c r="AF1031" i="57"/>
  <c r="AB1031" i="57"/>
  <c r="AG1030" i="57"/>
  <c r="AF1030" i="57"/>
  <c r="AB1030" i="57"/>
  <c r="AG1029" i="57"/>
  <c r="AF1029" i="57"/>
  <c r="AB1029" i="57"/>
  <c r="AG1028" i="57"/>
  <c r="AF1028" i="57"/>
  <c r="AB1028" i="57"/>
  <c r="AG1027" i="57"/>
  <c r="AF1027" i="57"/>
  <c r="AB1027" i="57"/>
  <c r="AG1026" i="57"/>
  <c r="AF1026" i="57"/>
  <c r="AB1026" i="57"/>
  <c r="AG1025" i="57"/>
  <c r="AF1025" i="57"/>
  <c r="AG1024" i="57"/>
  <c r="AF1024" i="57"/>
  <c r="AB1024" i="57"/>
  <c r="AG1023" i="57"/>
  <c r="AF1023" i="57"/>
  <c r="AB1023" i="57"/>
  <c r="AG1022" i="57"/>
  <c r="AF1022" i="57"/>
  <c r="AB1022" i="57"/>
  <c r="AG1021" i="57"/>
  <c r="AF1021" i="57"/>
  <c r="AB1021" i="57"/>
  <c r="AE1020" i="57"/>
  <c r="AD1020" i="57"/>
  <c r="AC1020" i="57"/>
  <c r="AE1019" i="57"/>
  <c r="AD1019" i="57"/>
  <c r="AC1019" i="57"/>
  <c r="AE1018" i="57"/>
  <c r="AD1018" i="57"/>
  <c r="AC1018" i="57"/>
  <c r="AE1017" i="57"/>
  <c r="AD1017" i="57"/>
  <c r="AE1016" i="57"/>
  <c r="AD1016" i="57"/>
  <c r="AC1016" i="57"/>
  <c r="AE1015" i="57"/>
  <c r="AD1015" i="57"/>
  <c r="AC1015" i="57"/>
  <c r="AE1014" i="57"/>
  <c r="AD1014" i="57"/>
  <c r="AC1014" i="57"/>
  <c r="AE1013" i="57"/>
  <c r="AD1013" i="57"/>
  <c r="AC1013" i="57"/>
  <c r="AE1012" i="57"/>
  <c r="AD1012" i="57"/>
  <c r="AC1012" i="57"/>
  <c r="AE1011" i="57"/>
  <c r="AD1011" i="57"/>
  <c r="AC1011" i="57"/>
  <c r="AE1010" i="57"/>
  <c r="AD1010" i="57"/>
  <c r="AC1010" i="57"/>
  <c r="AE1009" i="57"/>
  <c r="AD1009" i="57"/>
  <c r="AC1009" i="57"/>
  <c r="AE1008" i="57"/>
  <c r="AD1008" i="57"/>
  <c r="AC1008" i="57"/>
  <c r="AE1007" i="57"/>
  <c r="AD1007" i="57"/>
  <c r="AC1007" i="57"/>
  <c r="AE1006" i="57"/>
  <c r="AD1006" i="57"/>
  <c r="AC1006" i="57"/>
  <c r="AE1005" i="57"/>
  <c r="AD1005" i="57"/>
  <c r="AE1004" i="57"/>
  <c r="AD1004" i="57"/>
  <c r="AC1004" i="57"/>
  <c r="AE1003" i="57"/>
  <c r="AD1003" i="57"/>
  <c r="AC1003" i="57"/>
  <c r="AE1002" i="57"/>
  <c r="AE1001" i="57"/>
  <c r="AE1000" i="57"/>
  <c r="AE999" i="57"/>
  <c r="AE998" i="57"/>
  <c r="AE997" i="57"/>
  <c r="AE996" i="57"/>
  <c r="AE995" i="57"/>
  <c r="AE994" i="57"/>
  <c r="AE993" i="57"/>
  <c r="AE992" i="57"/>
  <c r="AE991" i="57"/>
  <c r="AE990" i="57"/>
  <c r="AE989" i="57"/>
  <c r="AE988" i="57"/>
  <c r="AE987" i="57"/>
  <c r="AE986" i="57"/>
  <c r="AE985" i="57"/>
  <c r="AE984" i="57"/>
  <c r="AE983" i="57"/>
  <c r="AE982" i="57"/>
  <c r="AE981" i="57"/>
  <c r="AE980" i="57"/>
  <c r="AE979" i="57"/>
  <c r="AE978" i="57"/>
  <c r="AE977" i="57"/>
  <c r="AE976" i="57"/>
  <c r="AE975" i="57"/>
  <c r="AE974" i="57"/>
  <c r="AE973" i="57"/>
  <c r="AE972" i="57"/>
  <c r="AE971" i="57"/>
  <c r="AE970" i="57"/>
  <c r="AE969" i="57"/>
  <c r="AE968" i="57"/>
  <c r="AE967" i="57"/>
  <c r="AE966" i="57"/>
  <c r="AE965" i="57"/>
  <c r="AE964" i="57"/>
  <c r="AE963" i="57"/>
  <c r="AE962" i="57"/>
  <c r="AE961" i="57"/>
  <c r="AE960" i="57"/>
  <c r="AE959" i="57"/>
  <c r="AE958" i="57"/>
  <c r="AE957" i="57"/>
  <c r="AE956" i="57"/>
  <c r="AE955" i="57"/>
  <c r="AE954" i="57"/>
  <c r="AE953" i="57"/>
  <c r="AE952" i="57"/>
  <c r="AG951" i="57"/>
  <c r="AF951" i="57"/>
  <c r="AG950" i="57"/>
  <c r="AF950" i="57"/>
  <c r="AG949" i="57"/>
  <c r="AF949" i="57"/>
  <c r="AG948" i="57"/>
  <c r="AF948" i="57"/>
  <c r="AG947" i="57"/>
  <c r="AF947" i="57"/>
  <c r="AG946" i="57"/>
  <c r="AF946" i="57"/>
  <c r="AG945" i="57"/>
  <c r="AF945" i="57"/>
  <c r="AG944" i="57"/>
  <c r="AF944" i="57"/>
  <c r="AG943" i="57"/>
  <c r="AF943" i="57"/>
  <c r="AG942" i="57"/>
  <c r="AF942" i="57"/>
  <c r="AG941" i="57"/>
  <c r="AF941" i="57"/>
  <c r="AG940" i="57"/>
  <c r="AF940" i="57"/>
  <c r="AG939" i="57"/>
  <c r="AF939" i="57"/>
  <c r="AG938" i="57"/>
  <c r="AF938" i="57"/>
  <c r="AG937" i="57"/>
  <c r="AF937" i="57"/>
  <c r="AG936" i="57"/>
  <c r="AF936" i="57"/>
  <c r="AG935" i="57"/>
  <c r="AF935" i="57"/>
  <c r="AG934" i="57"/>
  <c r="AF934" i="57"/>
  <c r="AG933" i="57"/>
  <c r="AF933" i="57"/>
  <c r="AG932" i="57"/>
  <c r="AF932" i="57"/>
  <c r="AG931" i="57"/>
  <c r="AF931" i="57"/>
  <c r="AG930" i="57"/>
  <c r="AF930" i="57"/>
  <c r="AG929" i="57"/>
  <c r="AF929" i="57"/>
  <c r="AG928" i="57"/>
  <c r="AF928" i="57"/>
  <c r="AG927" i="57"/>
  <c r="AF927" i="57"/>
  <c r="AG926" i="57"/>
  <c r="AF926" i="57"/>
  <c r="AG925" i="57"/>
  <c r="AF925" i="57"/>
  <c r="AG924" i="57"/>
  <c r="AF924" i="57"/>
  <c r="AG923" i="57"/>
  <c r="AF923" i="57"/>
  <c r="AE922" i="57"/>
  <c r="AE921" i="57"/>
  <c r="AE920" i="57"/>
  <c r="AE919" i="57"/>
  <c r="AE918" i="57"/>
  <c r="AE917" i="57"/>
  <c r="AE916" i="57"/>
  <c r="AE915" i="57"/>
  <c r="AE914" i="57"/>
  <c r="AE913" i="57"/>
  <c r="AE912" i="57"/>
  <c r="AE911" i="57"/>
  <c r="AE910" i="57"/>
  <c r="AE909" i="57"/>
  <c r="AE908" i="57"/>
  <c r="AE907" i="57"/>
  <c r="AE906" i="57"/>
  <c r="AE905" i="57"/>
  <c r="AE904" i="57"/>
  <c r="AE903" i="57"/>
  <c r="AE902" i="57"/>
  <c r="AE901" i="57"/>
  <c r="AE900" i="57"/>
  <c r="AE899" i="57"/>
  <c r="AE898" i="57"/>
  <c r="AE897" i="57"/>
  <c r="AE896" i="57"/>
  <c r="AE895" i="57"/>
  <c r="AE894" i="57"/>
  <c r="AE893" i="57"/>
  <c r="AE892" i="57"/>
  <c r="AE891" i="57"/>
  <c r="AE890" i="57"/>
  <c r="AE889" i="57"/>
  <c r="AE888" i="57"/>
  <c r="AE887" i="57"/>
  <c r="AE886" i="57"/>
  <c r="AE885" i="57"/>
  <c r="AE884" i="57"/>
  <c r="AE883" i="57"/>
  <c r="AE882" i="57"/>
  <c r="AE881" i="57"/>
  <c r="AE880" i="57"/>
  <c r="AE879" i="57"/>
  <c r="AE878" i="57"/>
  <c r="AE877" i="57"/>
  <c r="AE876" i="57"/>
  <c r="AG875" i="57"/>
  <c r="AE875" i="57"/>
  <c r="AE874" i="57"/>
  <c r="AE873" i="57"/>
  <c r="AE872" i="57"/>
  <c r="AE871" i="57"/>
  <c r="AE870" i="57"/>
  <c r="AE869" i="57"/>
  <c r="AE868" i="57"/>
  <c r="AE867" i="57"/>
  <c r="AE866" i="57"/>
  <c r="AE865" i="57"/>
  <c r="AE864" i="57"/>
  <c r="AG863" i="57"/>
  <c r="AF863" i="57"/>
  <c r="AG862" i="57"/>
  <c r="AF862" i="57"/>
  <c r="AG861" i="57"/>
  <c r="AF861" i="57"/>
  <c r="AG860" i="57"/>
  <c r="AF860" i="57"/>
  <c r="AG859" i="57"/>
  <c r="AF859" i="57"/>
  <c r="AG858" i="57"/>
  <c r="AF858" i="57"/>
  <c r="AG857" i="57"/>
  <c r="AF857" i="57"/>
  <c r="AG856" i="57"/>
  <c r="AF856" i="57"/>
  <c r="AG855" i="57"/>
  <c r="AF855" i="57"/>
  <c r="AG854" i="57"/>
  <c r="AF854" i="57"/>
  <c r="AG853" i="57"/>
  <c r="AF853" i="57"/>
  <c r="AG852" i="57"/>
  <c r="AF852" i="57"/>
  <c r="AG851" i="57"/>
  <c r="AF851" i="57"/>
  <c r="AG850" i="57"/>
  <c r="AF850" i="57"/>
  <c r="AG849" i="57"/>
  <c r="AF849" i="57"/>
  <c r="AG848" i="57"/>
  <c r="AF848" i="57"/>
  <c r="AG847" i="57"/>
  <c r="AF847" i="57"/>
  <c r="AG846" i="57"/>
  <c r="AF846" i="57"/>
  <c r="AG845" i="57"/>
  <c r="AF845" i="57"/>
  <c r="AG844" i="57"/>
  <c r="AF844" i="57"/>
  <c r="AG843" i="57"/>
  <c r="AF843" i="57"/>
  <c r="AG842" i="57"/>
  <c r="AF842" i="57"/>
  <c r="AG841" i="57"/>
  <c r="AF841" i="57"/>
  <c r="AG840" i="57"/>
  <c r="AF840" i="57"/>
  <c r="AG839" i="57"/>
  <c r="AF839" i="57"/>
  <c r="AG838" i="57"/>
  <c r="AF838" i="57"/>
  <c r="AG837" i="57"/>
  <c r="AF837" i="57"/>
  <c r="AE836" i="57"/>
  <c r="AE835" i="57"/>
  <c r="AE834" i="57"/>
  <c r="AE833" i="57"/>
  <c r="AE832" i="57"/>
  <c r="AE831" i="57"/>
  <c r="AE830" i="57"/>
  <c r="AE829" i="57"/>
  <c r="AE828" i="57"/>
  <c r="AE827" i="57"/>
  <c r="AE826" i="57"/>
  <c r="AE825" i="57"/>
  <c r="AE824" i="57"/>
  <c r="AE823" i="57"/>
  <c r="AE822" i="57"/>
  <c r="AE821" i="57"/>
  <c r="AE820" i="57"/>
  <c r="AE819" i="57"/>
  <c r="AG818" i="57"/>
  <c r="AE818" i="57"/>
  <c r="AE817" i="57"/>
  <c r="AE816" i="57"/>
  <c r="AE815" i="57"/>
  <c r="AE814" i="57"/>
  <c r="AE813" i="57"/>
  <c r="AE812" i="57"/>
  <c r="AE811" i="57"/>
  <c r="AE810" i="57"/>
  <c r="AE809" i="57"/>
  <c r="AE808" i="57"/>
  <c r="AE807" i="57"/>
  <c r="AG806" i="57"/>
  <c r="AE806" i="57"/>
  <c r="AG805" i="57"/>
  <c r="AE805" i="57"/>
  <c r="AG804" i="57"/>
  <c r="AE804" i="57"/>
  <c r="AG803" i="57"/>
  <c r="AE803" i="57"/>
  <c r="AG802" i="57"/>
  <c r="AE802" i="57"/>
  <c r="AG801" i="57"/>
  <c r="AE801" i="57"/>
  <c r="AG800" i="57"/>
  <c r="AE800" i="57"/>
  <c r="AG799" i="57"/>
  <c r="AE799" i="57"/>
  <c r="AG798" i="57"/>
  <c r="AE798" i="57"/>
  <c r="AG797" i="57"/>
  <c r="AE797" i="57"/>
  <c r="AG796" i="57"/>
  <c r="AE796" i="57"/>
  <c r="AG795" i="57"/>
  <c r="AE795" i="57"/>
  <c r="AG794" i="57"/>
  <c r="AF794" i="57"/>
  <c r="AG793" i="57"/>
  <c r="AF793" i="57"/>
  <c r="AG792" i="57"/>
  <c r="AF792" i="57"/>
  <c r="AG791" i="57"/>
  <c r="AF791" i="57"/>
  <c r="AG790" i="57"/>
  <c r="AF790" i="57"/>
  <c r="AG789" i="57"/>
  <c r="AF789" i="57"/>
  <c r="AG788" i="57"/>
  <c r="AF788" i="57"/>
  <c r="AG787" i="57"/>
  <c r="AF787" i="57"/>
  <c r="AG786" i="57"/>
  <c r="AF786" i="57"/>
  <c r="AG785" i="57"/>
  <c r="AF785" i="57"/>
  <c r="AG784" i="57"/>
  <c r="AF784" i="57"/>
  <c r="AG783" i="57"/>
  <c r="AF783" i="57"/>
  <c r="AG782" i="57"/>
  <c r="AE782" i="57"/>
  <c r="AG781" i="57"/>
  <c r="AE781" i="57"/>
  <c r="AG780" i="57"/>
  <c r="AE780" i="57"/>
  <c r="AG779" i="57"/>
  <c r="AE779" i="57"/>
  <c r="AG778" i="57"/>
  <c r="AE778" i="57"/>
  <c r="AG777" i="57"/>
  <c r="AE777" i="57"/>
  <c r="AG776" i="57"/>
  <c r="AE776" i="57"/>
  <c r="AG775" i="57"/>
  <c r="AE775" i="57"/>
  <c r="AG774" i="57"/>
  <c r="AE774" i="57"/>
  <c r="AG773" i="57"/>
  <c r="AE773" i="57"/>
  <c r="AG772" i="57"/>
  <c r="AE772" i="57"/>
  <c r="AG771" i="57"/>
  <c r="AE771" i="57"/>
  <c r="AE770" i="57"/>
  <c r="AE769" i="57"/>
  <c r="AE768" i="57"/>
  <c r="AE767" i="57"/>
  <c r="AE766" i="57"/>
  <c r="AE765" i="57"/>
  <c r="AE764" i="57"/>
  <c r="AE763" i="57"/>
  <c r="AE762" i="57"/>
  <c r="AE761" i="57"/>
  <c r="AE760" i="57"/>
  <c r="AE759" i="57"/>
  <c r="AG758" i="57"/>
  <c r="AF758" i="57"/>
  <c r="AG757" i="57"/>
  <c r="AF757" i="57"/>
  <c r="AG756" i="57"/>
  <c r="AF756" i="57"/>
  <c r="AG755" i="57"/>
  <c r="AF755" i="57"/>
  <c r="AG754" i="57"/>
  <c r="AF754" i="57"/>
  <c r="AG753" i="57"/>
  <c r="AF753" i="57"/>
  <c r="AG752" i="57"/>
  <c r="AF752" i="57"/>
  <c r="AG751" i="57"/>
  <c r="AF751" i="57"/>
  <c r="AG750" i="57"/>
  <c r="AF750" i="57"/>
  <c r="AG749" i="57"/>
  <c r="AF749" i="57"/>
  <c r="AG748" i="57"/>
  <c r="AF748" i="57"/>
  <c r="AG747" i="57"/>
  <c r="AF747" i="57"/>
  <c r="AE746" i="57"/>
  <c r="AE745" i="57"/>
  <c r="AE744" i="57"/>
  <c r="AE743" i="57"/>
  <c r="AE742" i="57"/>
  <c r="AE741" i="57"/>
  <c r="AE740" i="57"/>
  <c r="AE739" i="57"/>
  <c r="AE738" i="57"/>
  <c r="AE737" i="57"/>
  <c r="AE736" i="57"/>
  <c r="AE735" i="57"/>
  <c r="AG734" i="57"/>
  <c r="AE734" i="57"/>
  <c r="AG733" i="57"/>
  <c r="AE733" i="57"/>
  <c r="AE732" i="57"/>
  <c r="AE731" i="57"/>
  <c r="AE730" i="57"/>
  <c r="AG729" i="57"/>
  <c r="AE729" i="57"/>
  <c r="AG728" i="57"/>
  <c r="AE728" i="57"/>
  <c r="AE727" i="57"/>
  <c r="AE726" i="57"/>
  <c r="AE725" i="57"/>
  <c r="AG724" i="57"/>
  <c r="AE724" i="57"/>
  <c r="AE723" i="57"/>
  <c r="AE722" i="57"/>
  <c r="AE721" i="57"/>
  <c r="AG720" i="57"/>
  <c r="AE720" i="57"/>
  <c r="AE719" i="57"/>
  <c r="AE718" i="57"/>
  <c r="AE717" i="57"/>
  <c r="AG716" i="57"/>
  <c r="AE716" i="57"/>
  <c r="AE715" i="57"/>
  <c r="AE714" i="57"/>
  <c r="AG713" i="57"/>
  <c r="AE713" i="57"/>
  <c r="AE712" i="57"/>
  <c r="AE711" i="57"/>
  <c r="AG710" i="57"/>
  <c r="AE710" i="57"/>
  <c r="AE709" i="57"/>
  <c r="AE708" i="57"/>
  <c r="AG707" i="57"/>
  <c r="AE707" i="57"/>
  <c r="AE706" i="57"/>
  <c r="AE705" i="57"/>
  <c r="AG704" i="57"/>
  <c r="AE704" i="57"/>
  <c r="AE703" i="57"/>
  <c r="AE702" i="57"/>
  <c r="AE701" i="57"/>
  <c r="AG700" i="57"/>
  <c r="AE700" i="57"/>
  <c r="AE699" i="57"/>
  <c r="AE698" i="57"/>
  <c r="AE697" i="57"/>
  <c r="AG696" i="57"/>
  <c r="AE696" i="57"/>
  <c r="AE695" i="57"/>
  <c r="AE694" i="57"/>
  <c r="AE693" i="57"/>
  <c r="AE692" i="57"/>
  <c r="AG691" i="57"/>
  <c r="AE691" i="57"/>
  <c r="AE690" i="57"/>
  <c r="AE689" i="57"/>
  <c r="AG688" i="57"/>
  <c r="AF688" i="57"/>
  <c r="AG687" i="57"/>
  <c r="AF687" i="57"/>
  <c r="AG686" i="57"/>
  <c r="AF686" i="57"/>
  <c r="AG685" i="57"/>
  <c r="AF685" i="57"/>
  <c r="AG684" i="57"/>
  <c r="AF684" i="57"/>
  <c r="AG683" i="57"/>
  <c r="AF683" i="57"/>
  <c r="AG682" i="57"/>
  <c r="AF682" i="57"/>
  <c r="AG681" i="57"/>
  <c r="AF681" i="57"/>
  <c r="AG680" i="57"/>
  <c r="AF680" i="57"/>
  <c r="AG679" i="57"/>
  <c r="AF679" i="57"/>
  <c r="AG678" i="57"/>
  <c r="AF678" i="57"/>
  <c r="AG677" i="57"/>
  <c r="AF677" i="57"/>
  <c r="AG676" i="57"/>
  <c r="AF676" i="57"/>
  <c r="AG675" i="57"/>
  <c r="AF675" i="57"/>
  <c r="AG674" i="57"/>
  <c r="AF674" i="57"/>
  <c r="AG673" i="57"/>
  <c r="AF673" i="57"/>
  <c r="AG672" i="57"/>
  <c r="AF672" i="57"/>
  <c r="AG671" i="57"/>
  <c r="AF671" i="57"/>
  <c r="AG670" i="57"/>
  <c r="AF670" i="57"/>
  <c r="AG669" i="57"/>
  <c r="AF669" i="57"/>
  <c r="AG668" i="57"/>
  <c r="AF668" i="57"/>
  <c r="AG667" i="57"/>
  <c r="AF667" i="57"/>
  <c r="AG666" i="57"/>
  <c r="AF666" i="57"/>
  <c r="AG665" i="57"/>
  <c r="AF665" i="57"/>
  <c r="AG664" i="57"/>
  <c r="AF664" i="57"/>
  <c r="AG663" i="57"/>
  <c r="AF663" i="57"/>
  <c r="AG662" i="57"/>
  <c r="AF662" i="57"/>
  <c r="AG661" i="57"/>
  <c r="AF661" i="57"/>
  <c r="AG660" i="57"/>
  <c r="AF660" i="57"/>
  <c r="AG659" i="57"/>
  <c r="AF659" i="57"/>
  <c r="AG658" i="57"/>
  <c r="AF658" i="57"/>
  <c r="AG657" i="57"/>
  <c r="AF657" i="57"/>
  <c r="AG656" i="57"/>
  <c r="AF656" i="57"/>
  <c r="AG655" i="57"/>
  <c r="AF655" i="57"/>
  <c r="AG654" i="57"/>
  <c r="AF654" i="57"/>
  <c r="AG653" i="57"/>
  <c r="AF653" i="57"/>
  <c r="AG652" i="57"/>
  <c r="AF652" i="57"/>
  <c r="AG651" i="57"/>
  <c r="AF651" i="57"/>
  <c r="AG650" i="57"/>
  <c r="AF650" i="57"/>
  <c r="AG649" i="57"/>
  <c r="AF649" i="57"/>
  <c r="AG648" i="57"/>
  <c r="AF648" i="57"/>
  <c r="AG647" i="57"/>
  <c r="AF647" i="57"/>
  <c r="AG646" i="57"/>
  <c r="AF646" i="57"/>
  <c r="AG645" i="57"/>
  <c r="AF645" i="57"/>
  <c r="AG644" i="57"/>
  <c r="AF644" i="57"/>
  <c r="AG643" i="57"/>
  <c r="AE643" i="57"/>
  <c r="AG642" i="57"/>
  <c r="AE642" i="57"/>
  <c r="AE641" i="57"/>
  <c r="AE640" i="57"/>
  <c r="AE639" i="57"/>
  <c r="AE638" i="57"/>
  <c r="AG637" i="57"/>
  <c r="AE637" i="57"/>
  <c r="AG636" i="57"/>
  <c r="AE636" i="57"/>
  <c r="AE635" i="57"/>
  <c r="AE634" i="57"/>
  <c r="AE633" i="57"/>
  <c r="AE632" i="57"/>
  <c r="AG631" i="57"/>
  <c r="AE631" i="57"/>
  <c r="AE630" i="57"/>
  <c r="AE629" i="57"/>
  <c r="AE628" i="57"/>
  <c r="AG627" i="57"/>
  <c r="AE627" i="57"/>
  <c r="AE626" i="57"/>
  <c r="AE625" i="57"/>
  <c r="AE624" i="57"/>
  <c r="AG623" i="57"/>
  <c r="AE623" i="57"/>
  <c r="AE622" i="57"/>
  <c r="AE621" i="57"/>
  <c r="AG620" i="57"/>
  <c r="AE620" i="57"/>
  <c r="AE619" i="57"/>
  <c r="AE618" i="57"/>
  <c r="AG617" i="57"/>
  <c r="AE617" i="57"/>
  <c r="AE616" i="57"/>
  <c r="AE615" i="57"/>
  <c r="AG614" i="57"/>
  <c r="AE614" i="57"/>
  <c r="AE613" i="57"/>
  <c r="AE612" i="57"/>
  <c r="AE611" i="57"/>
  <c r="AG610" i="57"/>
  <c r="AE610" i="57"/>
  <c r="AE609" i="57"/>
  <c r="AE608" i="57"/>
  <c r="AE607" i="57"/>
  <c r="AG606" i="57"/>
  <c r="AE606" i="57"/>
  <c r="AE605" i="57"/>
  <c r="AE604" i="57"/>
  <c r="AE603" i="57"/>
  <c r="AG602" i="57"/>
  <c r="AE602" i="57"/>
  <c r="AE601" i="57"/>
  <c r="AE600" i="57"/>
  <c r="AE599" i="57"/>
  <c r="AE598" i="57"/>
  <c r="AG597" i="57"/>
  <c r="AE597" i="57"/>
  <c r="AE596" i="57"/>
  <c r="AE595" i="57"/>
  <c r="AG594" i="57"/>
  <c r="AF594" i="57"/>
  <c r="AG593" i="57"/>
  <c r="AF593" i="57"/>
  <c r="AG592" i="57"/>
  <c r="AF592" i="57"/>
  <c r="AG591" i="57"/>
  <c r="AF591" i="57"/>
  <c r="AG590" i="57"/>
  <c r="AF590" i="57"/>
  <c r="AG589" i="57"/>
  <c r="AF589" i="57"/>
  <c r="AG588" i="57"/>
  <c r="AG587" i="57"/>
  <c r="AG586" i="57"/>
  <c r="AG585" i="57"/>
  <c r="AG584" i="57"/>
  <c r="AG583" i="57"/>
  <c r="AG582" i="57"/>
  <c r="AG581" i="57"/>
  <c r="AG580" i="57"/>
  <c r="AG579" i="57"/>
  <c r="AG578" i="57"/>
  <c r="AG577" i="57"/>
  <c r="AG576" i="57"/>
  <c r="AG575" i="57"/>
  <c r="AG574" i="57"/>
  <c r="AG573" i="57"/>
  <c r="AG572" i="57"/>
  <c r="AG571" i="57"/>
  <c r="AG570" i="57"/>
  <c r="AG569" i="57"/>
  <c r="AG568" i="57"/>
  <c r="AG567" i="57"/>
  <c r="AG566" i="57"/>
  <c r="AG565" i="57"/>
  <c r="AG564" i="57"/>
  <c r="AG563" i="57"/>
  <c r="AG562" i="57"/>
  <c r="AG561" i="57"/>
  <c r="AG560" i="57"/>
  <c r="AG559" i="57"/>
  <c r="AG558" i="57"/>
  <c r="AG557" i="57"/>
  <c r="AG556" i="57"/>
  <c r="AG555" i="57"/>
  <c r="AG554" i="57"/>
  <c r="AG553" i="57"/>
  <c r="AG552" i="57"/>
  <c r="AG551" i="57"/>
  <c r="AG550" i="57"/>
  <c r="AG549" i="57"/>
  <c r="AG548" i="57"/>
  <c r="AG547" i="57"/>
  <c r="AG546" i="57"/>
  <c r="AG545" i="57"/>
  <c r="AG544" i="57"/>
  <c r="AG543" i="57"/>
  <c r="AG542" i="57"/>
  <c r="AG541" i="57"/>
  <c r="AG540" i="57"/>
  <c r="AG539" i="57"/>
  <c r="AG538" i="57"/>
  <c r="AG537" i="57"/>
  <c r="AG536" i="57"/>
  <c r="AG535" i="57"/>
  <c r="AG534" i="57"/>
  <c r="AG533" i="57"/>
  <c r="AG532" i="57"/>
  <c r="AG531" i="57"/>
  <c r="AG530" i="57"/>
  <c r="AG529" i="57"/>
  <c r="AG528" i="57"/>
  <c r="AG527" i="57"/>
  <c r="AG526" i="57"/>
  <c r="AG525" i="57"/>
  <c r="AG524" i="57"/>
  <c r="AG523" i="57"/>
  <c r="AG522" i="57"/>
  <c r="AG521" i="57"/>
  <c r="AG520" i="57"/>
  <c r="AG519" i="57"/>
  <c r="AG518" i="57"/>
  <c r="AG517" i="57"/>
  <c r="AD478" i="57"/>
  <c r="AC478" i="57"/>
  <c r="AB478" i="57"/>
  <c r="AD477" i="57"/>
  <c r="AC477" i="57"/>
  <c r="AB477" i="57"/>
  <c r="AD476" i="57"/>
  <c r="AC476" i="57"/>
  <c r="AB476" i="57"/>
  <c r="AD475" i="57"/>
  <c r="AC475" i="57"/>
  <c r="AB475" i="57"/>
  <c r="AD474" i="57"/>
  <c r="AC474" i="57"/>
  <c r="AB474" i="57"/>
  <c r="AD473" i="57"/>
  <c r="AC473" i="57"/>
  <c r="AB473" i="57"/>
  <c r="AD472" i="57"/>
  <c r="AC472" i="57"/>
  <c r="AB472" i="57"/>
  <c r="AD471" i="57"/>
  <c r="AC471" i="57"/>
  <c r="AB471" i="57"/>
  <c r="AD470" i="57"/>
  <c r="AC470" i="57"/>
  <c r="AB470" i="57"/>
  <c r="AD469" i="57"/>
  <c r="AC469" i="57"/>
  <c r="AB469" i="57"/>
  <c r="AD468" i="57"/>
  <c r="AC468" i="57"/>
  <c r="AB468" i="57"/>
  <c r="AD467" i="57"/>
  <c r="AC467" i="57"/>
  <c r="AB467" i="57"/>
  <c r="AD466" i="57"/>
  <c r="AC466" i="57"/>
  <c r="AB466" i="57"/>
  <c r="AD465" i="57"/>
  <c r="AC465" i="57"/>
  <c r="AB465" i="57"/>
  <c r="AD464" i="57"/>
  <c r="AC464" i="57"/>
  <c r="AB464" i="57"/>
  <c r="AD463" i="57"/>
  <c r="AC463" i="57"/>
  <c r="AB463" i="57"/>
  <c r="AD462" i="57"/>
  <c r="AC462" i="57"/>
  <c r="AB462" i="57"/>
  <c r="AD461" i="57"/>
  <c r="AC461" i="57"/>
  <c r="AB461" i="57"/>
  <c r="AD460" i="57"/>
  <c r="AC460" i="57"/>
  <c r="AB460" i="57"/>
  <c r="AD459" i="57"/>
  <c r="AC459" i="57"/>
  <c r="AB459" i="57"/>
  <c r="AD458" i="57"/>
  <c r="AC458" i="57"/>
  <c r="AB458" i="57"/>
  <c r="AD457" i="57"/>
  <c r="AC457" i="57"/>
  <c r="AB457" i="57"/>
  <c r="AD456" i="57"/>
  <c r="AB456" i="57"/>
  <c r="AD455" i="57"/>
  <c r="AC455" i="57"/>
  <c r="AB455" i="57"/>
  <c r="AD454" i="57"/>
  <c r="AC454" i="57"/>
  <c r="AB454" i="57"/>
  <c r="AD453" i="57"/>
  <c r="AB453" i="57"/>
  <c r="AD452" i="57"/>
  <c r="AC452" i="57"/>
  <c r="AB452" i="57"/>
  <c r="AD451" i="57"/>
  <c r="AC451" i="57"/>
  <c r="AB451" i="57"/>
  <c r="AD450" i="57"/>
  <c r="AB450" i="57"/>
  <c r="AD449" i="57"/>
  <c r="AC449" i="57"/>
  <c r="AB449" i="57"/>
  <c r="AD448" i="57"/>
  <c r="AC448" i="57"/>
  <c r="AB448" i="57"/>
  <c r="AD447" i="57"/>
  <c r="AC447" i="57"/>
  <c r="AB447" i="57"/>
  <c r="AD446" i="57"/>
  <c r="AD445" i="57"/>
  <c r="AC445" i="57"/>
  <c r="AB445" i="57"/>
  <c r="AD444" i="57"/>
  <c r="AB444" i="57"/>
  <c r="AD443" i="57"/>
  <c r="AC443" i="57"/>
  <c r="AB443" i="57"/>
  <c r="AD442" i="57"/>
  <c r="AC442" i="57"/>
  <c r="AB442" i="57"/>
  <c r="AD441" i="57"/>
  <c r="AB441" i="57"/>
  <c r="AD440" i="57"/>
  <c r="AC440" i="57"/>
  <c r="AB440" i="57"/>
  <c r="AD439" i="57"/>
  <c r="AC439" i="57"/>
  <c r="AB439" i="57"/>
  <c r="AD438" i="57"/>
  <c r="AB438" i="57"/>
  <c r="AD437" i="57"/>
  <c r="AC437" i="57"/>
  <c r="AB437" i="57"/>
  <c r="AD436" i="57"/>
  <c r="AB436" i="57"/>
  <c r="AD435" i="57"/>
  <c r="AC435" i="57"/>
  <c r="AB435" i="57"/>
  <c r="AD434" i="57"/>
  <c r="AB434" i="57"/>
  <c r="AD433" i="57"/>
  <c r="AC433" i="57"/>
  <c r="AB433" i="57"/>
  <c r="AD432" i="57"/>
  <c r="AD431" i="57"/>
  <c r="AC431" i="57"/>
  <c r="AB431" i="57"/>
  <c r="AD430" i="57"/>
  <c r="AB430" i="57"/>
  <c r="AD429" i="57"/>
  <c r="AC429" i="57"/>
  <c r="AB429" i="57"/>
  <c r="AG386" i="57"/>
  <c r="AG383" i="57"/>
  <c r="AG380" i="57"/>
  <c r="AG377" i="57"/>
  <c r="AG374" i="57"/>
  <c r="AG371" i="57"/>
  <c r="AG368" i="57"/>
  <c r="AE368" i="57"/>
  <c r="AG367" i="57"/>
  <c r="AE367" i="57"/>
  <c r="AG366" i="57"/>
  <c r="AE366" i="57"/>
  <c r="AG365" i="57"/>
  <c r="AE365" i="57"/>
  <c r="AG364" i="57"/>
  <c r="AE364" i="57"/>
  <c r="AG363" i="57"/>
  <c r="AE363" i="57"/>
  <c r="AG350" i="57"/>
  <c r="AG347" i="57"/>
  <c r="AG344" i="57"/>
  <c r="AG341" i="57"/>
  <c r="AG337" i="57"/>
  <c r="AG334" i="57"/>
  <c r="AG331" i="57"/>
  <c r="AG330" i="57"/>
  <c r="AG329" i="57"/>
  <c r="AG328" i="57"/>
  <c r="AG327" i="57"/>
  <c r="AG326" i="57"/>
  <c r="AG325" i="57"/>
  <c r="AG324" i="57"/>
  <c r="AG323" i="57"/>
  <c r="AG322" i="57"/>
  <c r="AG321" i="57"/>
  <c r="AG320" i="57"/>
  <c r="AG319" i="57"/>
  <c r="AG318" i="57"/>
  <c r="AE318" i="57"/>
  <c r="AG317" i="57"/>
  <c r="AE317" i="57"/>
  <c r="AG316" i="57"/>
  <c r="AE316" i="57"/>
  <c r="AG315" i="57"/>
  <c r="AE315" i="57"/>
  <c r="AG314" i="57"/>
  <c r="AE314" i="57"/>
  <c r="AG313" i="57"/>
  <c r="AE313" i="57"/>
  <c r="AG312" i="57"/>
  <c r="AE312" i="57"/>
  <c r="AG311" i="57"/>
  <c r="AE311" i="57"/>
  <c r="AG310" i="57"/>
  <c r="AE310" i="57"/>
  <c r="AG309" i="57"/>
  <c r="AE309" i="57"/>
  <c r="AG308" i="57"/>
  <c r="AE308" i="57"/>
  <c r="AG307" i="57"/>
  <c r="AE307" i="57"/>
  <c r="AG306" i="57"/>
  <c r="AG305" i="57"/>
  <c r="AG304" i="57"/>
  <c r="AG303" i="57"/>
  <c r="AG302" i="57"/>
  <c r="AG301" i="57"/>
  <c r="AG300" i="57"/>
  <c r="AG299" i="57"/>
  <c r="AG298" i="57"/>
  <c r="AG297" i="57"/>
  <c r="AG296" i="57"/>
  <c r="AG295" i="57"/>
  <c r="AG294" i="57"/>
  <c r="AG244" i="57"/>
  <c r="AF244" i="57"/>
  <c r="AG243" i="57"/>
  <c r="AF243" i="57"/>
  <c r="AG242" i="57"/>
  <c r="AF242" i="57"/>
  <c r="AG241" i="57"/>
  <c r="AF241" i="57"/>
  <c r="AG240" i="57"/>
  <c r="AF240" i="57"/>
  <c r="AG239" i="57"/>
  <c r="AF239" i="57"/>
  <c r="AG238" i="57"/>
  <c r="AF238" i="57"/>
  <c r="AG237" i="57"/>
  <c r="AF237" i="57"/>
  <c r="AG236" i="57"/>
  <c r="AF236" i="57"/>
  <c r="AG235" i="57"/>
  <c r="AF235" i="57"/>
  <c r="AG234" i="57"/>
  <c r="AF234" i="57"/>
  <c r="AG233" i="57"/>
  <c r="AF233" i="57"/>
  <c r="AG232" i="57"/>
  <c r="AF232" i="57"/>
  <c r="AG231" i="57"/>
  <c r="AF231" i="57"/>
  <c r="AG230" i="57"/>
  <c r="AF230" i="57"/>
  <c r="AG229" i="57"/>
  <c r="AF229" i="57"/>
  <c r="AG228" i="57"/>
  <c r="AF228" i="57"/>
  <c r="AG227" i="57"/>
  <c r="AF227" i="57"/>
  <c r="AG226" i="57"/>
  <c r="AF226" i="57"/>
  <c r="AG225" i="57"/>
  <c r="AF225" i="57"/>
  <c r="AG224" i="57"/>
  <c r="AF224" i="57"/>
  <c r="AG223" i="57"/>
  <c r="AF223" i="57"/>
  <c r="AG222" i="57"/>
  <c r="AF222" i="57"/>
  <c r="AG221" i="57"/>
  <c r="AF221" i="57"/>
  <c r="AG220" i="57"/>
  <c r="AF220" i="57"/>
  <c r="AG219" i="57"/>
  <c r="AF219" i="57"/>
  <c r="AG218" i="57"/>
  <c r="AF218" i="57"/>
  <c r="AG217" i="57"/>
  <c r="AF217" i="57"/>
  <c r="AG216" i="57"/>
  <c r="AF216" i="57"/>
  <c r="AG215" i="57"/>
  <c r="AF215" i="57"/>
  <c r="AG214" i="57"/>
  <c r="AF214" i="57"/>
  <c r="AG213" i="57"/>
  <c r="AF213" i="57"/>
  <c r="AG212" i="57"/>
  <c r="AF212" i="57"/>
  <c r="AG211" i="57"/>
  <c r="AF211" i="57"/>
  <c r="AG210" i="57"/>
  <c r="AF210" i="57"/>
  <c r="AG209" i="57"/>
  <c r="AF209" i="57"/>
  <c r="AG208" i="57"/>
  <c r="AF208" i="57"/>
  <c r="AG207" i="57"/>
  <c r="AF207" i="57"/>
  <c r="AG206" i="57"/>
  <c r="AF206" i="57"/>
  <c r="AG205" i="57"/>
  <c r="AF205" i="57"/>
  <c r="AG204" i="57"/>
  <c r="AF204" i="57"/>
  <c r="AG203" i="57"/>
  <c r="AF203" i="57"/>
  <c r="AG202" i="57"/>
  <c r="AF202" i="57"/>
  <c r="AG201" i="57"/>
  <c r="AF201" i="57"/>
  <c r="AG200" i="57"/>
  <c r="AF200" i="57"/>
  <c r="AG199" i="57"/>
  <c r="AF199" i="57"/>
  <c r="AG198" i="57"/>
  <c r="AF198" i="57"/>
  <c r="AG197" i="57"/>
  <c r="AF197" i="57"/>
  <c r="AD186" i="57"/>
  <c r="AB186" i="57"/>
  <c r="AD185" i="57"/>
  <c r="AC185" i="57"/>
  <c r="AB185" i="57"/>
  <c r="AD184" i="57"/>
  <c r="AC184" i="57"/>
  <c r="AB184" i="57"/>
  <c r="AD183" i="57"/>
  <c r="AC183" i="57"/>
  <c r="AB183" i="57"/>
  <c r="AD182" i="57"/>
  <c r="AB182" i="57"/>
  <c r="AD181" i="57"/>
  <c r="AC181" i="57"/>
  <c r="AB181" i="57"/>
  <c r="AD180" i="57"/>
  <c r="AC180" i="57"/>
  <c r="AB180" i="57"/>
  <c r="AD179" i="57"/>
  <c r="AC179" i="57"/>
  <c r="AD178" i="57"/>
  <c r="AC178" i="57"/>
  <c r="AB178" i="57"/>
  <c r="AD177" i="57"/>
  <c r="AC177" i="57"/>
  <c r="AD176" i="57"/>
  <c r="AC176" i="57"/>
  <c r="AB176" i="57"/>
  <c r="AD175" i="57"/>
  <c r="AC175" i="57"/>
  <c r="AD174" i="57"/>
  <c r="AC174" i="57"/>
  <c r="AB174" i="57"/>
  <c r="AD173" i="57"/>
  <c r="AC173" i="57"/>
  <c r="AD172" i="57"/>
  <c r="AC172" i="57"/>
  <c r="AB172" i="57"/>
  <c r="AD171" i="57"/>
  <c r="AC171" i="57"/>
  <c r="AD170" i="57"/>
  <c r="AC170" i="57"/>
  <c r="AB170" i="57"/>
  <c r="AD169" i="57"/>
  <c r="AC169" i="57"/>
  <c r="AD168" i="57"/>
  <c r="AB168" i="57"/>
  <c r="AD167" i="57"/>
  <c r="AC167" i="57"/>
  <c r="AD166" i="57"/>
  <c r="AC166" i="57"/>
  <c r="AB166" i="57"/>
  <c r="AD165" i="57"/>
  <c r="AC165" i="57"/>
  <c r="AD164" i="57"/>
  <c r="AB164" i="57"/>
  <c r="AD163" i="57"/>
  <c r="AC163" i="57"/>
  <c r="AD162" i="57"/>
  <c r="AC162" i="57"/>
  <c r="AB162" i="57"/>
  <c r="AD161" i="57"/>
  <c r="AC161" i="57"/>
  <c r="AD160" i="57"/>
  <c r="AB160" i="57"/>
  <c r="AD159" i="57"/>
  <c r="AC159" i="57"/>
  <c r="AD158" i="57"/>
  <c r="AC158" i="57"/>
  <c r="AB158" i="57"/>
  <c r="AD157" i="57"/>
  <c r="AC157" i="57"/>
  <c r="AD156" i="57"/>
  <c r="AC156" i="57"/>
  <c r="AB156" i="57"/>
  <c r="AD155" i="57"/>
  <c r="AC155" i="57"/>
  <c r="AG124" i="57"/>
  <c r="AG122" i="57"/>
  <c r="AG120" i="57"/>
  <c r="AG118" i="57"/>
  <c r="AG116" i="57"/>
  <c r="AG114" i="57"/>
  <c r="AG112" i="57"/>
  <c r="AG110" i="57"/>
  <c r="AG108" i="57"/>
  <c r="AG106" i="57"/>
  <c r="AG104" i="57"/>
  <c r="AG102" i="57"/>
  <c r="AG100" i="57"/>
  <c r="AE100" i="57"/>
  <c r="AG99" i="57"/>
  <c r="AE99" i="57"/>
  <c r="AG98" i="57"/>
  <c r="AE98" i="57"/>
  <c r="AG97" i="57"/>
  <c r="AE97" i="57"/>
  <c r="AG96" i="57"/>
  <c r="AE96" i="57"/>
  <c r="AG95" i="57"/>
  <c r="AE95" i="57"/>
  <c r="AG94" i="57"/>
  <c r="AE94" i="57"/>
  <c r="AG93" i="57"/>
  <c r="AE93" i="57"/>
  <c r="AG92" i="57"/>
  <c r="AE92" i="57"/>
  <c r="AG91" i="57"/>
  <c r="AE91" i="57"/>
  <c r="AG90" i="57"/>
  <c r="AE90" i="57"/>
  <c r="AG89" i="57"/>
  <c r="AE89" i="57"/>
  <c r="AG88" i="57"/>
  <c r="AE88" i="57"/>
  <c r="AG87" i="57"/>
  <c r="AE87" i="57"/>
  <c r="AG86" i="57"/>
  <c r="AE86" i="57"/>
  <c r="AG85" i="57"/>
  <c r="AE85" i="57"/>
  <c r="AG84" i="57"/>
  <c r="AE84" i="57"/>
  <c r="AG83" i="57"/>
  <c r="AE83" i="57"/>
  <c r="AG82" i="57"/>
  <c r="AE82" i="57"/>
  <c r="AG81" i="57"/>
  <c r="AE81" i="57"/>
  <c r="AG80" i="57"/>
  <c r="AE80" i="57"/>
  <c r="AG79" i="57"/>
  <c r="AE79" i="57"/>
  <c r="AG78" i="57"/>
  <c r="AE78" i="57"/>
  <c r="AG77" i="57"/>
  <c r="AE77" i="57"/>
  <c r="AG76" i="57"/>
  <c r="AG74" i="57"/>
  <c r="AG72" i="57"/>
  <c r="AG69" i="57"/>
  <c r="AG67" i="57"/>
  <c r="AG65" i="57"/>
  <c r="AG63" i="57"/>
  <c r="AG61" i="57"/>
  <c r="AG59" i="57"/>
  <c r="AG57" i="57"/>
  <c r="AG55" i="57"/>
  <c r="AG53" i="57"/>
  <c r="AG51" i="57"/>
  <c r="AG50" i="57"/>
  <c r="AG49" i="57"/>
  <c r="AG48" i="57"/>
  <c r="AG47" i="57"/>
  <c r="AG46" i="57"/>
  <c r="AG45" i="57"/>
  <c r="AG44" i="57"/>
  <c r="AG43" i="57"/>
  <c r="AG42" i="57"/>
  <c r="AG41" i="57"/>
  <c r="AG40" i="57"/>
  <c r="AG39" i="57"/>
  <c r="AE39" i="57"/>
  <c r="AG38" i="57"/>
  <c r="AE38" i="57"/>
  <c r="AG37" i="57"/>
  <c r="AE37" i="57"/>
  <c r="AG36" i="57"/>
  <c r="AE36" i="57"/>
  <c r="AG35" i="57"/>
  <c r="AE35" i="57"/>
  <c r="AG34" i="57"/>
  <c r="AE34" i="57"/>
  <c r="AG33" i="57"/>
  <c r="AE33" i="57"/>
  <c r="AG32" i="57"/>
  <c r="AE32" i="57"/>
  <c r="AG31" i="57"/>
  <c r="AE31" i="57"/>
  <c r="AG30" i="57"/>
  <c r="AE30" i="57"/>
  <c r="AG29" i="57"/>
  <c r="AE29" i="57"/>
  <c r="AG28" i="57"/>
  <c r="AE28" i="57"/>
  <c r="AG27" i="57"/>
  <c r="AE27" i="57"/>
  <c r="AG26" i="57"/>
  <c r="AE26" i="57"/>
  <c r="AG25" i="57"/>
  <c r="AG24" i="57"/>
  <c r="AG23" i="57"/>
  <c r="AG22" i="57"/>
  <c r="AG21" i="57"/>
  <c r="AG20" i="57"/>
  <c r="AG19" i="57"/>
  <c r="AG18" i="57"/>
  <c r="AG17" i="57"/>
  <c r="AG16" i="57"/>
  <c r="AG15" i="57"/>
  <c r="AG14" i="57"/>
  <c r="AG13" i="57"/>
  <c r="AE13" i="57"/>
  <c r="AG12" i="57"/>
  <c r="AE12" i="57"/>
  <c r="AG11" i="57"/>
  <c r="AE11" i="57"/>
  <c r="AG10" i="57"/>
  <c r="AE10" i="57"/>
  <c r="AG9" i="57"/>
  <c r="AE9" i="57"/>
  <c r="AG8" i="57"/>
  <c r="AE8" i="57"/>
  <c r="AG7" i="57"/>
  <c r="AE7" i="57"/>
  <c r="AG6" i="57"/>
  <c r="AE6" i="57"/>
  <c r="AG5" i="57"/>
  <c r="AE5" i="57"/>
  <c r="AG4" i="57"/>
  <c r="AE4" i="57"/>
  <c r="AG3" i="57"/>
  <c r="AE3" i="57"/>
  <c r="AG2" i="57"/>
  <c r="AE2" i="57"/>
  <c r="M516" i="57"/>
  <c r="O516" i="57"/>
  <c r="K516" i="57"/>
  <c r="M515" i="57"/>
  <c r="O515" i="57"/>
  <c r="K515" i="57"/>
  <c r="M514" i="57"/>
  <c r="O514" i="57"/>
  <c r="K514" i="57"/>
  <c r="M513" i="57"/>
  <c r="O513" i="57"/>
  <c r="K513" i="57"/>
  <c r="M512" i="57"/>
  <c r="O512" i="57"/>
  <c r="K512" i="57"/>
  <c r="M511" i="57"/>
  <c r="O511" i="57"/>
  <c r="K511" i="57"/>
  <c r="M510" i="57"/>
  <c r="O510" i="57"/>
  <c r="K510" i="57"/>
  <c r="M509" i="57"/>
  <c r="O509" i="57"/>
  <c r="K509" i="57"/>
  <c r="M508" i="57"/>
  <c r="O508" i="57"/>
  <c r="K508" i="57"/>
  <c r="M507" i="57"/>
  <c r="O507" i="57"/>
  <c r="K507" i="57"/>
  <c r="M506" i="57"/>
  <c r="O506" i="57"/>
  <c r="K506" i="57"/>
  <c r="M505" i="57"/>
  <c r="O505" i="57"/>
  <c r="K505" i="57"/>
  <c r="M504" i="57"/>
  <c r="O504" i="57"/>
  <c r="K504" i="57"/>
  <c r="M502" i="57"/>
  <c r="O502" i="57"/>
  <c r="K502" i="57"/>
  <c r="M500" i="57"/>
  <c r="O500" i="57"/>
  <c r="K500" i="57"/>
  <c r="M499" i="57"/>
  <c r="O499" i="57"/>
  <c r="K499" i="57"/>
  <c r="M498" i="57"/>
  <c r="O498" i="57"/>
  <c r="K498" i="57"/>
  <c r="M497" i="57"/>
  <c r="O497" i="57"/>
  <c r="K497" i="57"/>
  <c r="M496" i="57"/>
  <c r="O496" i="57"/>
  <c r="K496" i="57"/>
  <c r="M495" i="57"/>
  <c r="O495" i="57"/>
  <c r="K495" i="57"/>
  <c r="M494" i="57"/>
  <c r="O494" i="57"/>
  <c r="K494" i="57"/>
  <c r="M493" i="57"/>
  <c r="O493" i="57"/>
  <c r="K493" i="57"/>
  <c r="M492" i="57"/>
  <c r="O492" i="57"/>
  <c r="K492" i="57"/>
  <c r="M491" i="57"/>
  <c r="O491" i="57"/>
  <c r="K491" i="57"/>
  <c r="M490" i="57"/>
  <c r="O490" i="57"/>
  <c r="K490" i="57"/>
  <c r="M489" i="57"/>
  <c r="O489" i="57"/>
  <c r="K489" i="57"/>
  <c r="M488" i="57"/>
  <c r="O488" i="57"/>
  <c r="K488" i="57"/>
  <c r="M487" i="57"/>
  <c r="O487" i="57"/>
  <c r="K487" i="57"/>
  <c r="M486" i="57"/>
  <c r="O486" i="57"/>
  <c r="K486" i="57"/>
  <c r="M485" i="57"/>
  <c r="O485" i="57"/>
  <c r="K485" i="57"/>
  <c r="M484" i="57"/>
  <c r="O484" i="57"/>
  <c r="K484" i="57"/>
  <c r="M483" i="57"/>
  <c r="O483" i="57"/>
  <c r="K483" i="57"/>
  <c r="M482" i="57"/>
  <c r="O482" i="57"/>
  <c r="K482" i="57"/>
  <c r="M481" i="57"/>
  <c r="O481" i="57"/>
  <c r="K481" i="57"/>
  <c r="M480" i="57"/>
  <c r="O480" i="57"/>
  <c r="K480" i="57"/>
  <c r="M479" i="57"/>
  <c r="O479" i="57"/>
  <c r="K479" i="57"/>
  <c r="X1866" i="57"/>
  <c r="AD1866" i="57" s="1"/>
  <c r="W1866" i="57"/>
  <c r="AC1866" i="57" s="1"/>
  <c r="V1866" i="57"/>
  <c r="AB1866" i="57" s="1"/>
  <c r="X1865" i="57"/>
  <c r="AD1865" i="57" s="1"/>
  <c r="W1865" i="57"/>
  <c r="AC1865" i="57" s="1"/>
  <c r="V1865" i="57"/>
  <c r="AB1865" i="57" s="1"/>
  <c r="X1864" i="57"/>
  <c r="AD1864" i="57" s="1"/>
  <c r="W1864" i="57"/>
  <c r="AC1864" i="57" s="1"/>
  <c r="V1864" i="57"/>
  <c r="AB1864" i="57" s="1"/>
  <c r="X1863" i="57"/>
  <c r="AD1863" i="57" s="1"/>
  <c r="W1863" i="57"/>
  <c r="AC1863" i="57" s="1"/>
  <c r="V1863" i="57"/>
  <c r="AB1863" i="57" s="1"/>
  <c r="X1862" i="57"/>
  <c r="AD1862" i="57" s="1"/>
  <c r="W1862" i="57"/>
  <c r="AC1862" i="57" s="1"/>
  <c r="V1862" i="57"/>
  <c r="AB1862" i="57" s="1"/>
  <c r="X1861" i="57"/>
  <c r="AD1861" i="57" s="1"/>
  <c r="W1861" i="57"/>
  <c r="AC1861" i="57" s="1"/>
  <c r="V1861" i="57"/>
  <c r="AB1861" i="57" s="1"/>
  <c r="X1860" i="57"/>
  <c r="AD1860" i="57" s="1"/>
  <c r="W1860" i="57"/>
  <c r="AC1860" i="57" s="1"/>
  <c r="V1860" i="57"/>
  <c r="AB1860" i="57" s="1"/>
  <c r="X1859" i="57"/>
  <c r="AD1859" i="57" s="1"/>
  <c r="W1859" i="57"/>
  <c r="AC1859" i="57" s="1"/>
  <c r="V1859" i="57"/>
  <c r="AB1859" i="57" s="1"/>
  <c r="X1858" i="57"/>
  <c r="AD1858" i="57" s="1"/>
  <c r="W1858" i="57"/>
  <c r="AC1858" i="57" s="1"/>
  <c r="V1858" i="57"/>
  <c r="AB1858" i="57" s="1"/>
  <c r="X1857" i="57"/>
  <c r="AD1857" i="57" s="1"/>
  <c r="W1857" i="57"/>
  <c r="AC1857" i="57" s="1"/>
  <c r="V1857" i="57"/>
  <c r="AB1857" i="57" s="1"/>
  <c r="X1856" i="57"/>
  <c r="AD1856" i="57" s="1"/>
  <c r="W1856" i="57"/>
  <c r="AC1856" i="57" s="1"/>
  <c r="V1856" i="57"/>
  <c r="AB1856" i="57" s="1"/>
  <c r="X1855" i="57"/>
  <c r="AD1855" i="57" s="1"/>
  <c r="W1855" i="57"/>
  <c r="AC1855" i="57" s="1"/>
  <c r="V1855" i="57"/>
  <c r="AB1855" i="57" s="1"/>
  <c r="X1854" i="57"/>
  <c r="AD1854" i="57" s="1"/>
  <c r="W1854" i="57"/>
  <c r="AC1854" i="57" s="1"/>
  <c r="V1854" i="57"/>
  <c r="AB1854" i="57" s="1"/>
  <c r="X1853" i="57"/>
  <c r="AD1853" i="57" s="1"/>
  <c r="W1853" i="57"/>
  <c r="AC1853" i="57" s="1"/>
  <c r="V1853" i="57"/>
  <c r="AB1853" i="57" s="1"/>
  <c r="X1852" i="57"/>
  <c r="AD1852" i="57" s="1"/>
  <c r="W1852" i="57"/>
  <c r="AC1852" i="57" s="1"/>
  <c r="V1852" i="57"/>
  <c r="AB1852" i="57" s="1"/>
  <c r="X1851" i="57"/>
  <c r="AD1851" i="57" s="1"/>
  <c r="W1851" i="57"/>
  <c r="AC1851" i="57" s="1"/>
  <c r="V1851" i="57"/>
  <c r="AB1851" i="57" s="1"/>
  <c r="X1850" i="57"/>
  <c r="AD1850" i="57" s="1"/>
  <c r="W1850" i="57"/>
  <c r="AC1850" i="57" s="1"/>
  <c r="V1850" i="57"/>
  <c r="AB1850" i="57" s="1"/>
  <c r="X1849" i="57"/>
  <c r="AD1849" i="57" s="1"/>
  <c r="W1849" i="57"/>
  <c r="AC1849" i="57" s="1"/>
  <c r="V1849" i="57"/>
  <c r="AB1849" i="57" s="1"/>
  <c r="X1848" i="57"/>
  <c r="AD1848" i="57" s="1"/>
  <c r="W1848" i="57"/>
  <c r="AC1848" i="57" s="1"/>
  <c r="V1848" i="57"/>
  <c r="AB1848" i="57" s="1"/>
  <c r="X1847" i="57"/>
  <c r="AD1847" i="57" s="1"/>
  <c r="W1847" i="57"/>
  <c r="AC1847" i="57" s="1"/>
  <c r="V1847" i="57"/>
  <c r="AB1847" i="57" s="1"/>
  <c r="X1846" i="57"/>
  <c r="AD1846" i="57" s="1"/>
  <c r="W1846" i="57"/>
  <c r="AC1846" i="57" s="1"/>
  <c r="V1846" i="57"/>
  <c r="AB1846" i="57" s="1"/>
  <c r="X1845" i="57"/>
  <c r="AD1845" i="57" s="1"/>
  <c r="W1845" i="57"/>
  <c r="AC1845" i="57" s="1"/>
  <c r="V1845" i="57"/>
  <c r="AB1845" i="57" s="1"/>
  <c r="V1844" i="57"/>
  <c r="AB1844" i="57" s="1"/>
  <c r="V1843" i="57"/>
  <c r="AB1843" i="57" s="1"/>
  <c r="V1842" i="57"/>
  <c r="AB1842" i="57" s="1"/>
  <c r="V1841" i="57"/>
  <c r="AB1841" i="57" s="1"/>
  <c r="V1840" i="57"/>
  <c r="AB1840" i="57" s="1"/>
  <c r="V1839" i="57"/>
  <c r="AB1839" i="57" s="1"/>
  <c r="V1838" i="57"/>
  <c r="AB1838" i="57" s="1"/>
  <c r="V1837" i="57"/>
  <c r="AB1837" i="57" s="1"/>
  <c r="V1836" i="57"/>
  <c r="AB1836" i="57" s="1"/>
  <c r="V1835" i="57"/>
  <c r="AB1835" i="57" s="1"/>
  <c r="V1834" i="57"/>
  <c r="AB1834" i="57" s="1"/>
  <c r="V1833" i="57"/>
  <c r="AB1833" i="57" s="1"/>
  <c r="V1832" i="57"/>
  <c r="AB1832" i="57" s="1"/>
  <c r="V1831" i="57"/>
  <c r="AB1831" i="57" s="1"/>
  <c r="V1830" i="57"/>
  <c r="AB1830" i="57" s="1"/>
  <c r="X1829" i="57"/>
  <c r="AD1829" i="57" s="1"/>
  <c r="W1829" i="57"/>
  <c r="AC1829" i="57" s="1"/>
  <c r="V1829" i="57"/>
  <c r="AB1829" i="57" s="1"/>
  <c r="X1828" i="57"/>
  <c r="AD1828" i="57" s="1"/>
  <c r="W1828" i="57"/>
  <c r="AC1828" i="57" s="1"/>
  <c r="V1828" i="57"/>
  <c r="AB1828" i="57" s="1"/>
  <c r="X1827" i="57"/>
  <c r="AD1827" i="57" s="1"/>
  <c r="W1827" i="57"/>
  <c r="AC1827" i="57" s="1"/>
  <c r="V1827" i="57"/>
  <c r="AB1827" i="57" s="1"/>
  <c r="X1826" i="57"/>
  <c r="AD1826" i="57" s="1"/>
  <c r="W1826" i="57"/>
  <c r="AC1826" i="57" s="1"/>
  <c r="V1826" i="57"/>
  <c r="AB1826" i="57" s="1"/>
  <c r="X1825" i="57"/>
  <c r="AD1825" i="57" s="1"/>
  <c r="W1825" i="57"/>
  <c r="AC1825" i="57" s="1"/>
  <c r="V1825" i="57"/>
  <c r="AB1825" i="57" s="1"/>
  <c r="X1824" i="57"/>
  <c r="AD1824" i="57" s="1"/>
  <c r="W1824" i="57"/>
  <c r="AC1824" i="57" s="1"/>
  <c r="V1824" i="57"/>
  <c r="AB1824" i="57" s="1"/>
  <c r="X1823" i="57"/>
  <c r="AD1823" i="57" s="1"/>
  <c r="W1823" i="57"/>
  <c r="AC1823" i="57" s="1"/>
  <c r="V1823" i="57"/>
  <c r="AB1823" i="57" s="1"/>
  <c r="X1822" i="57"/>
  <c r="AD1822" i="57" s="1"/>
  <c r="W1822" i="57"/>
  <c r="AC1822" i="57" s="1"/>
  <c r="V1822" i="57"/>
  <c r="AB1822" i="57" s="1"/>
  <c r="X1821" i="57"/>
  <c r="AD1821" i="57" s="1"/>
  <c r="W1821" i="57"/>
  <c r="AC1821" i="57" s="1"/>
  <c r="V1821" i="57"/>
  <c r="AB1821" i="57" s="1"/>
  <c r="X1820" i="57"/>
  <c r="AD1820" i="57" s="1"/>
  <c r="W1820" i="57"/>
  <c r="AC1820" i="57" s="1"/>
  <c r="V1820" i="57"/>
  <c r="AB1820" i="57" s="1"/>
  <c r="X1819" i="57"/>
  <c r="AD1819" i="57" s="1"/>
  <c r="W1819" i="57"/>
  <c r="AC1819" i="57" s="1"/>
  <c r="V1819" i="57"/>
  <c r="AB1819" i="57" s="1"/>
  <c r="X1818" i="57"/>
  <c r="AD1818" i="57" s="1"/>
  <c r="W1818" i="57"/>
  <c r="AC1818" i="57" s="1"/>
  <c r="V1818" i="57"/>
  <c r="AB1818" i="57" s="1"/>
  <c r="X1817" i="57"/>
  <c r="AD1817" i="57" s="1"/>
  <c r="W1817" i="57"/>
  <c r="AC1817" i="57" s="1"/>
  <c r="V1817" i="57"/>
  <c r="AB1817" i="57" s="1"/>
  <c r="X1816" i="57"/>
  <c r="AD1816" i="57" s="1"/>
  <c r="W1816" i="57"/>
  <c r="AC1816" i="57" s="1"/>
  <c r="V1816" i="57"/>
  <c r="AB1816" i="57" s="1"/>
  <c r="X1815" i="57"/>
  <c r="AD1815" i="57" s="1"/>
  <c r="W1815" i="57"/>
  <c r="AC1815" i="57" s="1"/>
  <c r="V1815" i="57"/>
  <c r="AB1815" i="57" s="1"/>
  <c r="X1814" i="57"/>
  <c r="AD1814" i="57" s="1"/>
  <c r="W1814" i="57"/>
  <c r="AC1814" i="57" s="1"/>
  <c r="V1814" i="57"/>
  <c r="AB1814" i="57" s="1"/>
  <c r="X1813" i="57"/>
  <c r="AD1813" i="57" s="1"/>
  <c r="W1813" i="57"/>
  <c r="AC1813" i="57" s="1"/>
  <c r="V1813" i="57"/>
  <c r="AB1813" i="57" s="1"/>
  <c r="X1812" i="57"/>
  <c r="AD1812" i="57" s="1"/>
  <c r="W1812" i="57"/>
  <c r="AC1812" i="57" s="1"/>
  <c r="V1812" i="57"/>
  <c r="AB1812" i="57" s="1"/>
  <c r="X1811" i="57"/>
  <c r="AD1811" i="57" s="1"/>
  <c r="W1811" i="57"/>
  <c r="AC1811" i="57" s="1"/>
  <c r="V1811" i="57"/>
  <c r="AB1811" i="57" s="1"/>
  <c r="X1810" i="57"/>
  <c r="AD1810" i="57" s="1"/>
  <c r="W1810" i="57"/>
  <c r="AC1810" i="57" s="1"/>
  <c r="V1810" i="57"/>
  <c r="AB1810" i="57" s="1"/>
  <c r="X1809" i="57"/>
  <c r="AD1809" i="57" s="1"/>
  <c r="W1809" i="57"/>
  <c r="AC1809" i="57" s="1"/>
  <c r="V1809" i="57"/>
  <c r="AB1809" i="57" s="1"/>
  <c r="X1808" i="57"/>
  <c r="AD1808" i="57" s="1"/>
  <c r="W1808" i="57"/>
  <c r="AC1808" i="57" s="1"/>
  <c r="V1808" i="57"/>
  <c r="AB1808" i="57" s="1"/>
  <c r="X1807" i="57"/>
  <c r="AD1807" i="57" s="1"/>
  <c r="W1807" i="57"/>
  <c r="AC1807" i="57" s="1"/>
  <c r="V1807" i="57"/>
  <c r="AB1807" i="57" s="1"/>
  <c r="X1806" i="57"/>
  <c r="AD1806" i="57" s="1"/>
  <c r="W1806" i="57"/>
  <c r="AC1806" i="57" s="1"/>
  <c r="V1806" i="57"/>
  <c r="AB1806" i="57" s="1"/>
  <c r="X1805" i="57"/>
  <c r="AD1805" i="57" s="1"/>
  <c r="W1805" i="57"/>
  <c r="AC1805" i="57" s="1"/>
  <c r="V1805" i="57"/>
  <c r="AB1805" i="57" s="1"/>
  <c r="X1804" i="57"/>
  <c r="AD1804" i="57" s="1"/>
  <c r="W1804" i="57"/>
  <c r="AC1804" i="57" s="1"/>
  <c r="V1804" i="57"/>
  <c r="AB1804" i="57" s="1"/>
  <c r="X1803" i="57"/>
  <c r="AD1803" i="57" s="1"/>
  <c r="W1803" i="57"/>
  <c r="AC1803" i="57" s="1"/>
  <c r="V1803" i="57"/>
  <c r="AB1803" i="57" s="1"/>
  <c r="X1802" i="57"/>
  <c r="AD1802" i="57" s="1"/>
  <c r="W1802" i="57"/>
  <c r="AC1802" i="57" s="1"/>
  <c r="V1802" i="57"/>
  <c r="AB1802" i="57" s="1"/>
  <c r="X1801" i="57"/>
  <c r="AD1801" i="57" s="1"/>
  <c r="W1801" i="57"/>
  <c r="AC1801" i="57" s="1"/>
  <c r="V1801" i="57"/>
  <c r="AB1801" i="57" s="1"/>
  <c r="X1800" i="57"/>
  <c r="AD1800" i="57" s="1"/>
  <c r="W1800" i="57"/>
  <c r="AC1800" i="57" s="1"/>
  <c r="V1800" i="57"/>
  <c r="AB1800" i="57" s="1"/>
  <c r="X1799" i="57"/>
  <c r="AD1799" i="57" s="1"/>
  <c r="W1799" i="57"/>
  <c r="AC1799" i="57" s="1"/>
  <c r="V1799" i="57"/>
  <c r="AB1799" i="57" s="1"/>
  <c r="X1798" i="57"/>
  <c r="AD1798" i="57" s="1"/>
  <c r="W1798" i="57"/>
  <c r="AC1798" i="57" s="1"/>
  <c r="V1798" i="57"/>
  <c r="AB1798" i="57" s="1"/>
  <c r="X1797" i="57"/>
  <c r="AD1797" i="57" s="1"/>
  <c r="W1797" i="57"/>
  <c r="AC1797" i="57" s="1"/>
  <c r="V1797" i="57"/>
  <c r="AB1797" i="57" s="1"/>
  <c r="X1796" i="57"/>
  <c r="AD1796" i="57" s="1"/>
  <c r="W1796" i="57"/>
  <c r="AC1796" i="57" s="1"/>
  <c r="V1796" i="57"/>
  <c r="AB1796" i="57" s="1"/>
  <c r="X1795" i="57"/>
  <c r="AD1795" i="57" s="1"/>
  <c r="W1795" i="57"/>
  <c r="AC1795" i="57" s="1"/>
  <c r="V1795" i="57"/>
  <c r="AB1795" i="57" s="1"/>
  <c r="X1794" i="57"/>
  <c r="AD1794" i="57" s="1"/>
  <c r="W1794" i="57"/>
  <c r="AC1794" i="57" s="1"/>
  <c r="V1794" i="57"/>
  <c r="AB1794" i="57" s="1"/>
  <c r="X1793" i="57"/>
  <c r="AD1793" i="57" s="1"/>
  <c r="W1793" i="57"/>
  <c r="AC1793" i="57" s="1"/>
  <c r="V1793" i="57"/>
  <c r="AB1793" i="57" s="1"/>
  <c r="X1792" i="57"/>
  <c r="AD1792" i="57" s="1"/>
  <c r="W1792" i="57"/>
  <c r="AC1792" i="57" s="1"/>
  <c r="V1792" i="57"/>
  <c r="AB1792" i="57" s="1"/>
  <c r="X1791" i="57"/>
  <c r="AD1791" i="57" s="1"/>
  <c r="W1791" i="57"/>
  <c r="AC1791" i="57" s="1"/>
  <c r="V1791" i="57"/>
  <c r="AB1791" i="57" s="1"/>
  <c r="X1790" i="57"/>
  <c r="AD1790" i="57" s="1"/>
  <c r="W1790" i="57"/>
  <c r="AC1790" i="57" s="1"/>
  <c r="V1790" i="57"/>
  <c r="AB1790" i="57" s="1"/>
  <c r="X1789" i="57"/>
  <c r="AD1789" i="57" s="1"/>
  <c r="W1789" i="57"/>
  <c r="AC1789" i="57" s="1"/>
  <c r="V1789" i="57"/>
  <c r="AB1789" i="57" s="1"/>
  <c r="X1788" i="57"/>
  <c r="AD1788" i="57" s="1"/>
  <c r="W1788" i="57"/>
  <c r="AC1788" i="57" s="1"/>
  <c r="V1788" i="57"/>
  <c r="AB1788" i="57" s="1"/>
  <c r="X1787" i="57"/>
  <c r="AD1787" i="57" s="1"/>
  <c r="W1787" i="57"/>
  <c r="AC1787" i="57" s="1"/>
  <c r="V1787" i="57"/>
  <c r="AB1787" i="57" s="1"/>
  <c r="X1786" i="57"/>
  <c r="AD1786" i="57" s="1"/>
  <c r="W1786" i="57"/>
  <c r="AC1786" i="57" s="1"/>
  <c r="V1786" i="57"/>
  <c r="AB1786" i="57" s="1"/>
  <c r="X1785" i="57"/>
  <c r="AD1785" i="57" s="1"/>
  <c r="W1785" i="57"/>
  <c r="AC1785" i="57" s="1"/>
  <c r="V1785" i="57"/>
  <c r="AB1785" i="57" s="1"/>
  <c r="X1784" i="57"/>
  <c r="AD1784" i="57" s="1"/>
  <c r="W1784" i="57"/>
  <c r="AC1784" i="57" s="1"/>
  <c r="V1784" i="57"/>
  <c r="AB1784" i="57" s="1"/>
  <c r="X1783" i="57"/>
  <c r="AD1783" i="57" s="1"/>
  <c r="W1783" i="57"/>
  <c r="AC1783" i="57" s="1"/>
  <c r="V1783" i="57"/>
  <c r="AB1783" i="57" s="1"/>
  <c r="X1782" i="57"/>
  <c r="AD1782" i="57" s="1"/>
  <c r="W1782" i="57"/>
  <c r="AC1782" i="57" s="1"/>
  <c r="V1782" i="57"/>
  <c r="AB1782" i="57" s="1"/>
  <c r="X1781" i="57"/>
  <c r="AD1781" i="57" s="1"/>
  <c r="W1781" i="57"/>
  <c r="AC1781" i="57" s="1"/>
  <c r="V1781" i="57"/>
  <c r="AB1781" i="57" s="1"/>
  <c r="X1780" i="57"/>
  <c r="AD1780" i="57" s="1"/>
  <c r="W1780" i="57"/>
  <c r="AC1780" i="57" s="1"/>
  <c r="V1780" i="57"/>
  <c r="AB1780" i="57" s="1"/>
  <c r="X1779" i="57"/>
  <c r="AD1779" i="57" s="1"/>
  <c r="W1779" i="57"/>
  <c r="AC1779" i="57" s="1"/>
  <c r="V1779" i="57"/>
  <c r="AB1779" i="57" s="1"/>
  <c r="X1778" i="57"/>
  <c r="AD1778" i="57" s="1"/>
  <c r="W1778" i="57"/>
  <c r="AC1778" i="57" s="1"/>
  <c r="V1778" i="57"/>
  <c r="AB1778" i="57" s="1"/>
  <c r="X1777" i="57"/>
  <c r="AD1777" i="57" s="1"/>
  <c r="W1777" i="57"/>
  <c r="AC1777" i="57" s="1"/>
  <c r="V1777" i="57"/>
  <c r="AB1777" i="57" s="1"/>
  <c r="X1776" i="57"/>
  <c r="AD1776" i="57" s="1"/>
  <c r="W1776" i="57"/>
  <c r="AC1776" i="57" s="1"/>
  <c r="V1776" i="57"/>
  <c r="AB1776" i="57" s="1"/>
  <c r="X1775" i="57"/>
  <c r="AD1775" i="57" s="1"/>
  <c r="W1775" i="57"/>
  <c r="AC1775" i="57" s="1"/>
  <c r="V1775" i="57"/>
  <c r="AB1775" i="57" s="1"/>
  <c r="X1774" i="57"/>
  <c r="AD1774" i="57" s="1"/>
  <c r="W1774" i="57"/>
  <c r="AC1774" i="57" s="1"/>
  <c r="V1774" i="57"/>
  <c r="AB1774" i="57" s="1"/>
  <c r="X1773" i="57"/>
  <c r="AD1773" i="57" s="1"/>
  <c r="W1773" i="57"/>
  <c r="AC1773" i="57" s="1"/>
  <c r="V1773" i="57"/>
  <c r="AB1773" i="57" s="1"/>
  <c r="X1772" i="57"/>
  <c r="AD1772" i="57" s="1"/>
  <c r="W1772" i="57"/>
  <c r="AC1772" i="57" s="1"/>
  <c r="V1772" i="57"/>
  <c r="AB1772" i="57" s="1"/>
  <c r="X1771" i="57"/>
  <c r="AD1771" i="57" s="1"/>
  <c r="W1771" i="57"/>
  <c r="AC1771" i="57" s="1"/>
  <c r="V1771" i="57"/>
  <c r="AB1771" i="57" s="1"/>
  <c r="X1770" i="57"/>
  <c r="AD1770" i="57" s="1"/>
  <c r="W1770" i="57"/>
  <c r="AC1770" i="57" s="1"/>
  <c r="V1770" i="57"/>
  <c r="AB1770" i="57" s="1"/>
  <c r="X1769" i="57"/>
  <c r="AD1769" i="57" s="1"/>
  <c r="W1769" i="57"/>
  <c r="AC1769" i="57" s="1"/>
  <c r="V1769" i="57"/>
  <c r="AB1769" i="57" s="1"/>
  <c r="X1768" i="57"/>
  <c r="AD1768" i="57" s="1"/>
  <c r="W1768" i="57"/>
  <c r="AC1768" i="57" s="1"/>
  <c r="V1768" i="57"/>
  <c r="AB1768" i="57" s="1"/>
  <c r="X1767" i="57"/>
  <c r="AD1767" i="57" s="1"/>
  <c r="W1767" i="57"/>
  <c r="AC1767" i="57" s="1"/>
  <c r="V1767" i="57"/>
  <c r="AB1767" i="57" s="1"/>
  <c r="X1766" i="57"/>
  <c r="AD1766" i="57" s="1"/>
  <c r="W1766" i="57"/>
  <c r="AC1766" i="57" s="1"/>
  <c r="V1766" i="57"/>
  <c r="AB1766" i="57" s="1"/>
  <c r="X1765" i="57"/>
  <c r="AD1765" i="57" s="1"/>
  <c r="W1765" i="57"/>
  <c r="AC1765" i="57" s="1"/>
  <c r="V1765" i="57"/>
  <c r="AB1765" i="57" s="1"/>
  <c r="X1764" i="57"/>
  <c r="AD1764" i="57" s="1"/>
  <c r="W1764" i="57"/>
  <c r="AC1764" i="57" s="1"/>
  <c r="V1764" i="57"/>
  <c r="AB1764" i="57" s="1"/>
  <c r="X1763" i="57"/>
  <c r="AD1763" i="57" s="1"/>
  <c r="W1763" i="57"/>
  <c r="AC1763" i="57" s="1"/>
  <c r="V1763" i="57"/>
  <c r="AB1763" i="57" s="1"/>
  <c r="X1762" i="57"/>
  <c r="AD1762" i="57" s="1"/>
  <c r="W1762" i="57"/>
  <c r="AC1762" i="57" s="1"/>
  <c r="V1762" i="57"/>
  <c r="AB1762" i="57" s="1"/>
  <c r="X1761" i="57"/>
  <c r="AD1761" i="57" s="1"/>
  <c r="W1761" i="57"/>
  <c r="AC1761" i="57" s="1"/>
  <c r="V1761" i="57"/>
  <c r="AB1761" i="57" s="1"/>
  <c r="X1760" i="57"/>
  <c r="AD1760" i="57" s="1"/>
  <c r="W1760" i="57"/>
  <c r="AC1760" i="57" s="1"/>
  <c r="V1760" i="57"/>
  <c r="AB1760" i="57" s="1"/>
  <c r="X1759" i="57"/>
  <c r="AD1759" i="57" s="1"/>
  <c r="W1759" i="57"/>
  <c r="AC1759" i="57" s="1"/>
  <c r="V1759" i="57"/>
  <c r="AB1759" i="57" s="1"/>
  <c r="X1758" i="57"/>
  <c r="AD1758" i="57" s="1"/>
  <c r="W1758" i="57"/>
  <c r="AC1758" i="57" s="1"/>
  <c r="V1758" i="57"/>
  <c r="AB1758" i="57" s="1"/>
  <c r="X1757" i="57"/>
  <c r="AD1757" i="57" s="1"/>
  <c r="W1757" i="57"/>
  <c r="AC1757" i="57" s="1"/>
  <c r="V1757" i="57"/>
  <c r="AB1757" i="57" s="1"/>
  <c r="X1756" i="57"/>
  <c r="AD1756" i="57" s="1"/>
  <c r="W1756" i="57"/>
  <c r="AC1756" i="57" s="1"/>
  <c r="V1756" i="57"/>
  <c r="AB1756" i="57" s="1"/>
  <c r="X1755" i="57"/>
  <c r="AD1755" i="57" s="1"/>
  <c r="W1755" i="57"/>
  <c r="AC1755" i="57" s="1"/>
  <c r="V1755" i="57"/>
  <c r="AB1755" i="57" s="1"/>
  <c r="X1754" i="57"/>
  <c r="AD1754" i="57" s="1"/>
  <c r="W1754" i="57"/>
  <c r="AC1754" i="57" s="1"/>
  <c r="V1754" i="57"/>
  <c r="AB1754" i="57" s="1"/>
  <c r="X1753" i="57"/>
  <c r="AD1753" i="57" s="1"/>
  <c r="W1753" i="57"/>
  <c r="AC1753" i="57" s="1"/>
  <c r="V1753" i="57"/>
  <c r="AB1753" i="57" s="1"/>
  <c r="X1752" i="57"/>
  <c r="AD1752" i="57" s="1"/>
  <c r="W1752" i="57"/>
  <c r="AC1752" i="57" s="1"/>
  <c r="V1752" i="57"/>
  <c r="AB1752" i="57" s="1"/>
  <c r="X1751" i="57"/>
  <c r="AD1751" i="57" s="1"/>
  <c r="W1751" i="57"/>
  <c r="AC1751" i="57" s="1"/>
  <c r="V1751" i="57"/>
  <c r="AB1751" i="57" s="1"/>
  <c r="X1750" i="57"/>
  <c r="AD1750" i="57" s="1"/>
  <c r="W1750" i="57"/>
  <c r="AC1750" i="57" s="1"/>
  <c r="V1750" i="57"/>
  <c r="AB1750" i="57" s="1"/>
  <c r="X1749" i="57"/>
  <c r="AD1749" i="57" s="1"/>
  <c r="W1749" i="57"/>
  <c r="AC1749" i="57" s="1"/>
  <c r="V1749" i="57"/>
  <c r="AB1749" i="57" s="1"/>
  <c r="X1748" i="57"/>
  <c r="AD1748" i="57" s="1"/>
  <c r="W1748" i="57"/>
  <c r="AC1748" i="57" s="1"/>
  <c r="V1748" i="57"/>
  <c r="AB1748" i="57" s="1"/>
  <c r="X1747" i="57"/>
  <c r="AD1747" i="57" s="1"/>
  <c r="W1747" i="57"/>
  <c r="AC1747" i="57" s="1"/>
  <c r="V1747" i="57"/>
  <c r="AB1747" i="57" s="1"/>
  <c r="X1746" i="57"/>
  <c r="AD1746" i="57" s="1"/>
  <c r="W1746" i="57"/>
  <c r="AC1746" i="57" s="1"/>
  <c r="V1746" i="57"/>
  <c r="AB1746" i="57" s="1"/>
  <c r="X1745" i="57"/>
  <c r="AD1745" i="57" s="1"/>
  <c r="W1745" i="57"/>
  <c r="AC1745" i="57" s="1"/>
  <c r="V1745" i="57"/>
  <c r="AB1745" i="57" s="1"/>
  <c r="X1744" i="57"/>
  <c r="AD1744" i="57" s="1"/>
  <c r="W1744" i="57"/>
  <c r="AC1744" i="57" s="1"/>
  <c r="V1744" i="57"/>
  <c r="AB1744" i="57" s="1"/>
  <c r="X1743" i="57"/>
  <c r="AD1743" i="57" s="1"/>
  <c r="W1743" i="57"/>
  <c r="AC1743" i="57" s="1"/>
  <c r="V1743" i="57"/>
  <c r="AB1743" i="57" s="1"/>
  <c r="X1742" i="57"/>
  <c r="AD1742" i="57" s="1"/>
  <c r="W1742" i="57"/>
  <c r="AC1742" i="57" s="1"/>
  <c r="V1742" i="57"/>
  <c r="AB1742" i="57" s="1"/>
  <c r="X1741" i="57"/>
  <c r="AD1741" i="57" s="1"/>
  <c r="W1741" i="57"/>
  <c r="AC1741" i="57" s="1"/>
  <c r="V1741" i="57"/>
  <c r="AB1741" i="57" s="1"/>
  <c r="X1740" i="57"/>
  <c r="AD1740" i="57" s="1"/>
  <c r="W1740" i="57"/>
  <c r="AC1740" i="57" s="1"/>
  <c r="V1740" i="57"/>
  <c r="AB1740" i="57" s="1"/>
  <c r="X1739" i="57"/>
  <c r="AD1739" i="57" s="1"/>
  <c r="W1739" i="57"/>
  <c r="AC1739" i="57" s="1"/>
  <c r="V1739" i="57"/>
  <c r="AB1739" i="57" s="1"/>
  <c r="X1738" i="57"/>
  <c r="AD1738" i="57" s="1"/>
  <c r="W1738" i="57"/>
  <c r="AC1738" i="57" s="1"/>
  <c r="V1738" i="57"/>
  <c r="AB1738" i="57" s="1"/>
  <c r="X1737" i="57"/>
  <c r="AD1737" i="57" s="1"/>
  <c r="W1737" i="57"/>
  <c r="AC1737" i="57" s="1"/>
  <c r="V1737" i="57"/>
  <c r="AB1737" i="57" s="1"/>
  <c r="X1736" i="57"/>
  <c r="AD1736" i="57" s="1"/>
  <c r="W1736" i="57"/>
  <c r="AC1736" i="57" s="1"/>
  <c r="V1736" i="57"/>
  <c r="AB1736" i="57" s="1"/>
  <c r="X1735" i="57"/>
  <c r="AD1735" i="57" s="1"/>
  <c r="W1735" i="57"/>
  <c r="AC1735" i="57" s="1"/>
  <c r="V1735" i="57"/>
  <c r="AB1735" i="57" s="1"/>
  <c r="X1734" i="57"/>
  <c r="AD1734" i="57" s="1"/>
  <c r="W1734" i="57"/>
  <c r="AC1734" i="57" s="1"/>
  <c r="V1734" i="57"/>
  <c r="AB1734" i="57" s="1"/>
  <c r="X1733" i="57"/>
  <c r="AD1733" i="57" s="1"/>
  <c r="W1733" i="57"/>
  <c r="AC1733" i="57" s="1"/>
  <c r="V1733" i="57"/>
  <c r="AB1733" i="57" s="1"/>
  <c r="X1732" i="57"/>
  <c r="AD1732" i="57" s="1"/>
  <c r="W1732" i="57"/>
  <c r="AC1732" i="57" s="1"/>
  <c r="V1732" i="57"/>
  <c r="AB1732" i="57" s="1"/>
  <c r="X1731" i="57"/>
  <c r="AD1731" i="57" s="1"/>
  <c r="W1731" i="57"/>
  <c r="AC1731" i="57" s="1"/>
  <c r="V1731" i="57"/>
  <c r="AB1731" i="57" s="1"/>
  <c r="X1730" i="57"/>
  <c r="AD1730" i="57" s="1"/>
  <c r="W1730" i="57"/>
  <c r="AC1730" i="57" s="1"/>
  <c r="V1730" i="57"/>
  <c r="AB1730" i="57" s="1"/>
  <c r="X1729" i="57"/>
  <c r="AD1729" i="57" s="1"/>
  <c r="W1729" i="57"/>
  <c r="AC1729" i="57" s="1"/>
  <c r="V1729" i="57"/>
  <c r="AB1729" i="57" s="1"/>
  <c r="X1728" i="57"/>
  <c r="AD1728" i="57" s="1"/>
  <c r="W1728" i="57"/>
  <c r="AC1728" i="57" s="1"/>
  <c r="V1728" i="57"/>
  <c r="AB1728" i="57" s="1"/>
  <c r="X1727" i="57"/>
  <c r="AD1727" i="57" s="1"/>
  <c r="W1727" i="57"/>
  <c r="AC1727" i="57" s="1"/>
  <c r="V1727" i="57"/>
  <c r="AB1727" i="57" s="1"/>
  <c r="X1726" i="57"/>
  <c r="AD1726" i="57" s="1"/>
  <c r="W1726" i="57"/>
  <c r="AC1726" i="57" s="1"/>
  <c r="V1726" i="57"/>
  <c r="AB1726" i="57" s="1"/>
  <c r="X1725" i="57"/>
  <c r="AD1725" i="57" s="1"/>
  <c r="W1725" i="57"/>
  <c r="AC1725" i="57" s="1"/>
  <c r="V1725" i="57"/>
  <c r="AB1725" i="57" s="1"/>
  <c r="X1724" i="57"/>
  <c r="AD1724" i="57" s="1"/>
  <c r="W1724" i="57"/>
  <c r="AC1724" i="57" s="1"/>
  <c r="V1724" i="57"/>
  <c r="AB1724" i="57" s="1"/>
  <c r="X1723" i="57"/>
  <c r="AD1723" i="57" s="1"/>
  <c r="W1723" i="57"/>
  <c r="AC1723" i="57" s="1"/>
  <c r="V1723" i="57"/>
  <c r="AB1723" i="57" s="1"/>
  <c r="X1722" i="57"/>
  <c r="AD1722" i="57" s="1"/>
  <c r="W1722" i="57"/>
  <c r="AC1722" i="57" s="1"/>
  <c r="V1722" i="57"/>
  <c r="AB1722" i="57" s="1"/>
  <c r="X1721" i="57"/>
  <c r="AD1721" i="57" s="1"/>
  <c r="W1721" i="57"/>
  <c r="AC1721" i="57" s="1"/>
  <c r="V1721" i="57"/>
  <c r="AB1721" i="57" s="1"/>
  <c r="X1720" i="57"/>
  <c r="AD1720" i="57" s="1"/>
  <c r="W1720" i="57"/>
  <c r="AC1720" i="57" s="1"/>
  <c r="V1720" i="57"/>
  <c r="AB1720" i="57" s="1"/>
  <c r="X1719" i="57"/>
  <c r="AD1719" i="57" s="1"/>
  <c r="W1719" i="57"/>
  <c r="AC1719" i="57" s="1"/>
  <c r="V1719" i="57"/>
  <c r="AB1719" i="57" s="1"/>
  <c r="X1718" i="57"/>
  <c r="AD1718" i="57" s="1"/>
  <c r="W1718" i="57"/>
  <c r="AC1718" i="57" s="1"/>
  <c r="V1718" i="57"/>
  <c r="AB1718" i="57" s="1"/>
  <c r="X1717" i="57"/>
  <c r="AD1717" i="57" s="1"/>
  <c r="W1717" i="57"/>
  <c r="AC1717" i="57" s="1"/>
  <c r="V1717" i="57"/>
  <c r="AB1717" i="57" s="1"/>
  <c r="X1716" i="57"/>
  <c r="AD1716" i="57" s="1"/>
  <c r="W1716" i="57"/>
  <c r="AC1716" i="57" s="1"/>
  <c r="V1716" i="57"/>
  <c r="AB1716" i="57" s="1"/>
  <c r="X1715" i="57"/>
  <c r="AD1715" i="57" s="1"/>
  <c r="W1715" i="57"/>
  <c r="AC1715" i="57" s="1"/>
  <c r="V1715" i="57"/>
  <c r="AB1715" i="57" s="1"/>
  <c r="X1714" i="57"/>
  <c r="AD1714" i="57" s="1"/>
  <c r="W1714" i="57"/>
  <c r="AC1714" i="57" s="1"/>
  <c r="V1714" i="57"/>
  <c r="AB1714" i="57" s="1"/>
  <c r="X1713" i="57"/>
  <c r="AD1713" i="57" s="1"/>
  <c r="W1713" i="57"/>
  <c r="AC1713" i="57" s="1"/>
  <c r="V1713" i="57"/>
  <c r="AB1713" i="57" s="1"/>
  <c r="X1712" i="57"/>
  <c r="AD1712" i="57" s="1"/>
  <c r="W1712" i="57"/>
  <c r="AC1712" i="57" s="1"/>
  <c r="V1712" i="57"/>
  <c r="AB1712" i="57" s="1"/>
  <c r="X1711" i="57"/>
  <c r="AD1711" i="57" s="1"/>
  <c r="W1711" i="57"/>
  <c r="AC1711" i="57" s="1"/>
  <c r="V1711" i="57"/>
  <c r="AB1711" i="57" s="1"/>
  <c r="X1710" i="57"/>
  <c r="AD1710" i="57" s="1"/>
  <c r="W1710" i="57"/>
  <c r="AC1710" i="57" s="1"/>
  <c r="V1710" i="57"/>
  <c r="AB1710" i="57" s="1"/>
  <c r="X1709" i="57"/>
  <c r="AD1709" i="57" s="1"/>
  <c r="W1709" i="57"/>
  <c r="AC1709" i="57" s="1"/>
  <c r="V1709" i="57"/>
  <c r="AB1709" i="57" s="1"/>
  <c r="X1708" i="57"/>
  <c r="AD1708" i="57" s="1"/>
  <c r="W1708" i="57"/>
  <c r="AC1708" i="57" s="1"/>
  <c r="V1708" i="57"/>
  <c r="AB1708" i="57" s="1"/>
  <c r="X1707" i="57"/>
  <c r="AD1707" i="57" s="1"/>
  <c r="W1707" i="57"/>
  <c r="AC1707" i="57" s="1"/>
  <c r="V1707" i="57"/>
  <c r="AB1707" i="57" s="1"/>
  <c r="X1706" i="57"/>
  <c r="AD1706" i="57" s="1"/>
  <c r="W1706" i="57"/>
  <c r="AC1706" i="57" s="1"/>
  <c r="V1706" i="57"/>
  <c r="AB1706" i="57" s="1"/>
  <c r="X1705" i="57"/>
  <c r="AD1705" i="57" s="1"/>
  <c r="W1705" i="57"/>
  <c r="AC1705" i="57" s="1"/>
  <c r="V1705" i="57"/>
  <c r="AB1705" i="57" s="1"/>
  <c r="X1704" i="57"/>
  <c r="AD1704" i="57" s="1"/>
  <c r="W1704" i="57"/>
  <c r="AC1704" i="57" s="1"/>
  <c r="V1704" i="57"/>
  <c r="AB1704" i="57" s="1"/>
  <c r="X1703" i="57"/>
  <c r="AD1703" i="57" s="1"/>
  <c r="W1703" i="57"/>
  <c r="AC1703" i="57" s="1"/>
  <c r="V1703" i="57"/>
  <c r="AB1703" i="57" s="1"/>
  <c r="X1702" i="57"/>
  <c r="AD1702" i="57" s="1"/>
  <c r="W1702" i="57"/>
  <c r="AC1702" i="57" s="1"/>
  <c r="V1702" i="57"/>
  <c r="AB1702" i="57" s="1"/>
  <c r="X1701" i="57"/>
  <c r="AD1701" i="57" s="1"/>
  <c r="W1701" i="57"/>
  <c r="AC1701" i="57" s="1"/>
  <c r="V1701" i="57"/>
  <c r="AB1701" i="57" s="1"/>
  <c r="X1700" i="57"/>
  <c r="AD1700" i="57" s="1"/>
  <c r="W1700" i="57"/>
  <c r="AC1700" i="57" s="1"/>
  <c r="V1700" i="57"/>
  <c r="AB1700" i="57" s="1"/>
  <c r="X1699" i="57"/>
  <c r="AD1699" i="57" s="1"/>
  <c r="W1699" i="57"/>
  <c r="AC1699" i="57" s="1"/>
  <c r="V1699" i="57"/>
  <c r="AB1699" i="57" s="1"/>
  <c r="X1698" i="57"/>
  <c r="AD1698" i="57" s="1"/>
  <c r="W1698" i="57"/>
  <c r="AC1698" i="57" s="1"/>
  <c r="V1698" i="57"/>
  <c r="AB1698" i="57" s="1"/>
  <c r="X1697" i="57"/>
  <c r="AD1697" i="57" s="1"/>
  <c r="W1697" i="57"/>
  <c r="AC1697" i="57" s="1"/>
  <c r="V1697" i="57"/>
  <c r="AB1697" i="57" s="1"/>
  <c r="X1696" i="57"/>
  <c r="AD1696" i="57" s="1"/>
  <c r="W1696" i="57"/>
  <c r="AC1696" i="57" s="1"/>
  <c r="V1696" i="57"/>
  <c r="AB1696" i="57" s="1"/>
  <c r="X1695" i="57"/>
  <c r="AD1695" i="57" s="1"/>
  <c r="W1695" i="57"/>
  <c r="AC1695" i="57" s="1"/>
  <c r="V1695" i="57"/>
  <c r="AB1695" i="57" s="1"/>
  <c r="X1694" i="57"/>
  <c r="AD1694" i="57" s="1"/>
  <c r="W1694" i="57"/>
  <c r="AC1694" i="57" s="1"/>
  <c r="V1694" i="57"/>
  <c r="AB1694" i="57" s="1"/>
  <c r="X1693" i="57"/>
  <c r="AD1693" i="57" s="1"/>
  <c r="W1693" i="57"/>
  <c r="AC1693" i="57" s="1"/>
  <c r="V1693" i="57"/>
  <c r="AB1693" i="57" s="1"/>
  <c r="X1692" i="57"/>
  <c r="AD1692" i="57" s="1"/>
  <c r="W1692" i="57"/>
  <c r="AC1692" i="57" s="1"/>
  <c r="V1692" i="57"/>
  <c r="AB1692" i="57" s="1"/>
  <c r="X1691" i="57"/>
  <c r="AD1691" i="57" s="1"/>
  <c r="W1691" i="57"/>
  <c r="AC1691" i="57" s="1"/>
  <c r="V1691" i="57"/>
  <c r="AB1691" i="57" s="1"/>
  <c r="X1690" i="57"/>
  <c r="AD1690" i="57" s="1"/>
  <c r="W1690" i="57"/>
  <c r="AC1690" i="57" s="1"/>
  <c r="V1690" i="57"/>
  <c r="AB1690" i="57" s="1"/>
  <c r="X1689" i="57"/>
  <c r="AD1689" i="57" s="1"/>
  <c r="W1689" i="57"/>
  <c r="AC1689" i="57" s="1"/>
  <c r="V1689" i="57"/>
  <c r="AB1689" i="57" s="1"/>
  <c r="X1688" i="57"/>
  <c r="AD1688" i="57" s="1"/>
  <c r="W1688" i="57"/>
  <c r="AC1688" i="57" s="1"/>
  <c r="V1688" i="57"/>
  <c r="AB1688" i="57" s="1"/>
  <c r="X1687" i="57"/>
  <c r="AD1687" i="57" s="1"/>
  <c r="W1687" i="57"/>
  <c r="AC1687" i="57" s="1"/>
  <c r="V1687" i="57"/>
  <c r="AB1687" i="57" s="1"/>
  <c r="X1686" i="57"/>
  <c r="AD1686" i="57" s="1"/>
  <c r="W1686" i="57"/>
  <c r="AC1686" i="57" s="1"/>
  <c r="V1686" i="57"/>
  <c r="AB1686" i="57" s="1"/>
  <c r="X1685" i="57"/>
  <c r="AD1685" i="57" s="1"/>
  <c r="W1685" i="57"/>
  <c r="AC1685" i="57" s="1"/>
  <c r="V1685" i="57"/>
  <c r="AB1685" i="57" s="1"/>
  <c r="X1684" i="57"/>
  <c r="AD1684" i="57" s="1"/>
  <c r="W1684" i="57"/>
  <c r="AC1684" i="57" s="1"/>
  <c r="V1684" i="57"/>
  <c r="AB1684" i="57" s="1"/>
  <c r="X1683" i="57"/>
  <c r="AD1683" i="57" s="1"/>
  <c r="W1683" i="57"/>
  <c r="AC1683" i="57" s="1"/>
  <c r="V1683" i="57"/>
  <c r="AB1683" i="57" s="1"/>
  <c r="X1682" i="57"/>
  <c r="AD1682" i="57" s="1"/>
  <c r="W1682" i="57"/>
  <c r="AC1682" i="57" s="1"/>
  <c r="V1682" i="57"/>
  <c r="AB1682" i="57" s="1"/>
  <c r="X1681" i="57"/>
  <c r="AD1681" i="57" s="1"/>
  <c r="W1681" i="57"/>
  <c r="AC1681" i="57" s="1"/>
  <c r="V1681" i="57"/>
  <c r="AB1681" i="57" s="1"/>
  <c r="X1680" i="57"/>
  <c r="AD1680" i="57" s="1"/>
  <c r="W1680" i="57"/>
  <c r="AC1680" i="57" s="1"/>
  <c r="V1680" i="57"/>
  <c r="AB1680" i="57" s="1"/>
  <c r="X1679" i="57"/>
  <c r="AD1679" i="57" s="1"/>
  <c r="W1679" i="57"/>
  <c r="AC1679" i="57" s="1"/>
  <c r="V1679" i="57"/>
  <c r="AB1679" i="57" s="1"/>
  <c r="X1678" i="57"/>
  <c r="AD1678" i="57" s="1"/>
  <c r="W1678" i="57"/>
  <c r="AC1678" i="57" s="1"/>
  <c r="V1678" i="57"/>
  <c r="AB1678" i="57" s="1"/>
  <c r="X1677" i="57"/>
  <c r="AD1677" i="57" s="1"/>
  <c r="W1677" i="57"/>
  <c r="AC1677" i="57" s="1"/>
  <c r="V1677" i="57"/>
  <c r="AB1677" i="57" s="1"/>
  <c r="X1676" i="57"/>
  <c r="AD1676" i="57" s="1"/>
  <c r="W1676" i="57"/>
  <c r="AC1676" i="57" s="1"/>
  <c r="V1676" i="57"/>
  <c r="AB1676" i="57" s="1"/>
  <c r="X1675" i="57"/>
  <c r="AD1675" i="57" s="1"/>
  <c r="W1675" i="57"/>
  <c r="AC1675" i="57" s="1"/>
  <c r="V1675" i="57"/>
  <c r="AB1675" i="57" s="1"/>
  <c r="X1674" i="57"/>
  <c r="AD1674" i="57" s="1"/>
  <c r="W1674" i="57"/>
  <c r="AC1674" i="57" s="1"/>
  <c r="V1674" i="57"/>
  <c r="AB1674" i="57" s="1"/>
  <c r="X1673" i="57"/>
  <c r="AD1673" i="57" s="1"/>
  <c r="W1673" i="57"/>
  <c r="AC1673" i="57" s="1"/>
  <c r="V1673" i="57"/>
  <c r="AB1673" i="57" s="1"/>
  <c r="X1672" i="57"/>
  <c r="AD1672" i="57" s="1"/>
  <c r="W1672" i="57"/>
  <c r="AC1672" i="57" s="1"/>
  <c r="V1672" i="57"/>
  <c r="AB1672" i="57" s="1"/>
  <c r="X1671" i="57"/>
  <c r="AD1671" i="57" s="1"/>
  <c r="W1671" i="57"/>
  <c r="AC1671" i="57" s="1"/>
  <c r="V1671" i="57"/>
  <c r="AB1671" i="57" s="1"/>
  <c r="X1670" i="57"/>
  <c r="AD1670" i="57" s="1"/>
  <c r="W1670" i="57"/>
  <c r="AC1670" i="57" s="1"/>
  <c r="V1670" i="57"/>
  <c r="AB1670" i="57" s="1"/>
  <c r="X1669" i="57"/>
  <c r="AD1669" i="57" s="1"/>
  <c r="W1669" i="57"/>
  <c r="AC1669" i="57" s="1"/>
  <c r="V1669" i="57"/>
  <c r="AB1669" i="57" s="1"/>
  <c r="X1668" i="57"/>
  <c r="AD1668" i="57" s="1"/>
  <c r="W1668" i="57"/>
  <c r="AC1668" i="57" s="1"/>
  <c r="V1668" i="57"/>
  <c r="AB1668" i="57" s="1"/>
  <c r="X1667" i="57"/>
  <c r="AD1667" i="57" s="1"/>
  <c r="W1667" i="57"/>
  <c r="AC1667" i="57" s="1"/>
  <c r="V1667" i="57"/>
  <c r="AB1667" i="57" s="1"/>
  <c r="X1666" i="57"/>
  <c r="AD1666" i="57" s="1"/>
  <c r="W1666" i="57"/>
  <c r="AC1666" i="57" s="1"/>
  <c r="V1666" i="57"/>
  <c r="AB1666" i="57" s="1"/>
  <c r="X1665" i="57"/>
  <c r="AD1665" i="57" s="1"/>
  <c r="W1665" i="57"/>
  <c r="AC1665" i="57" s="1"/>
  <c r="V1665" i="57"/>
  <c r="AB1665" i="57" s="1"/>
  <c r="X1664" i="57"/>
  <c r="AD1664" i="57" s="1"/>
  <c r="W1664" i="57"/>
  <c r="AC1664" i="57" s="1"/>
  <c r="V1664" i="57"/>
  <c r="AB1664" i="57" s="1"/>
  <c r="X1663" i="57"/>
  <c r="AD1663" i="57" s="1"/>
  <c r="W1663" i="57"/>
  <c r="AC1663" i="57" s="1"/>
  <c r="V1663" i="57"/>
  <c r="AB1663" i="57" s="1"/>
  <c r="X1662" i="57"/>
  <c r="AD1662" i="57" s="1"/>
  <c r="W1662" i="57"/>
  <c r="AC1662" i="57" s="1"/>
  <c r="V1662" i="57"/>
  <c r="AB1662" i="57" s="1"/>
  <c r="X1661" i="57"/>
  <c r="AD1661" i="57" s="1"/>
  <c r="W1661" i="57"/>
  <c r="AC1661" i="57" s="1"/>
  <c r="V1661" i="57"/>
  <c r="AB1661" i="57" s="1"/>
  <c r="X1660" i="57"/>
  <c r="AD1660" i="57" s="1"/>
  <c r="W1660" i="57"/>
  <c r="AC1660" i="57" s="1"/>
  <c r="V1660" i="57"/>
  <c r="AB1660" i="57" s="1"/>
  <c r="X1659" i="57"/>
  <c r="AD1659" i="57" s="1"/>
  <c r="W1659" i="57"/>
  <c r="AC1659" i="57" s="1"/>
  <c r="V1659" i="57"/>
  <c r="AB1659" i="57" s="1"/>
  <c r="X1658" i="57"/>
  <c r="AD1658" i="57" s="1"/>
  <c r="W1658" i="57"/>
  <c r="AC1658" i="57" s="1"/>
  <c r="V1658" i="57"/>
  <c r="AB1658" i="57" s="1"/>
  <c r="X1657" i="57"/>
  <c r="AD1657" i="57" s="1"/>
  <c r="W1657" i="57"/>
  <c r="AC1657" i="57" s="1"/>
  <c r="V1657" i="57"/>
  <c r="AB1657" i="57" s="1"/>
  <c r="X1656" i="57"/>
  <c r="AD1656" i="57" s="1"/>
  <c r="W1656" i="57"/>
  <c r="AC1656" i="57" s="1"/>
  <c r="V1656" i="57"/>
  <c r="AB1656" i="57" s="1"/>
  <c r="X1655" i="57"/>
  <c r="AD1655" i="57" s="1"/>
  <c r="W1655" i="57"/>
  <c r="AC1655" i="57" s="1"/>
  <c r="V1655" i="57"/>
  <c r="AB1655" i="57" s="1"/>
  <c r="X1654" i="57"/>
  <c r="AD1654" i="57" s="1"/>
  <c r="W1654" i="57"/>
  <c r="AC1654" i="57" s="1"/>
  <c r="V1654" i="57"/>
  <c r="AB1654" i="57" s="1"/>
  <c r="X1653" i="57"/>
  <c r="AD1653" i="57" s="1"/>
  <c r="W1653" i="57"/>
  <c r="AC1653" i="57" s="1"/>
  <c r="V1653" i="57"/>
  <c r="AB1653" i="57" s="1"/>
  <c r="X1652" i="57"/>
  <c r="AD1652" i="57" s="1"/>
  <c r="W1652" i="57"/>
  <c r="AC1652" i="57" s="1"/>
  <c r="V1652" i="57"/>
  <c r="AB1652" i="57" s="1"/>
  <c r="X1651" i="57"/>
  <c r="AD1651" i="57" s="1"/>
  <c r="W1651" i="57"/>
  <c r="AC1651" i="57" s="1"/>
  <c r="V1651" i="57"/>
  <c r="AB1651" i="57" s="1"/>
  <c r="X1650" i="57"/>
  <c r="AD1650" i="57" s="1"/>
  <c r="W1650" i="57"/>
  <c r="AC1650" i="57" s="1"/>
  <c r="V1650" i="57"/>
  <c r="AB1650" i="57" s="1"/>
  <c r="X1649" i="57"/>
  <c r="AD1649" i="57" s="1"/>
  <c r="W1649" i="57"/>
  <c r="AC1649" i="57" s="1"/>
  <c r="V1649" i="57"/>
  <c r="AB1649" i="57" s="1"/>
  <c r="X1648" i="57"/>
  <c r="AD1648" i="57" s="1"/>
  <c r="W1648" i="57"/>
  <c r="AC1648" i="57" s="1"/>
  <c r="V1648" i="57"/>
  <c r="AB1648" i="57" s="1"/>
  <c r="X1647" i="57"/>
  <c r="AD1647" i="57" s="1"/>
  <c r="W1647" i="57"/>
  <c r="AC1647" i="57" s="1"/>
  <c r="V1647" i="57"/>
  <c r="AB1647" i="57" s="1"/>
  <c r="X1646" i="57"/>
  <c r="AD1646" i="57" s="1"/>
  <c r="W1646" i="57"/>
  <c r="AC1646" i="57" s="1"/>
  <c r="V1646" i="57"/>
  <c r="AB1646" i="57" s="1"/>
  <c r="X1645" i="57"/>
  <c r="AD1645" i="57" s="1"/>
  <c r="W1645" i="57"/>
  <c r="AC1645" i="57" s="1"/>
  <c r="V1645" i="57"/>
  <c r="AB1645" i="57" s="1"/>
  <c r="X1644" i="57"/>
  <c r="AD1644" i="57" s="1"/>
  <c r="W1644" i="57"/>
  <c r="AC1644" i="57" s="1"/>
  <c r="V1644" i="57"/>
  <c r="AB1644" i="57" s="1"/>
  <c r="X1643" i="57"/>
  <c r="AD1643" i="57" s="1"/>
  <c r="W1643" i="57"/>
  <c r="AC1643" i="57" s="1"/>
  <c r="V1643" i="57"/>
  <c r="AB1643" i="57" s="1"/>
  <c r="X1642" i="57"/>
  <c r="AD1642" i="57" s="1"/>
  <c r="W1642" i="57"/>
  <c r="AC1642" i="57" s="1"/>
  <c r="V1642" i="57"/>
  <c r="AB1642" i="57" s="1"/>
  <c r="X1641" i="57"/>
  <c r="AD1641" i="57" s="1"/>
  <c r="W1641" i="57"/>
  <c r="AC1641" i="57" s="1"/>
  <c r="V1641" i="57"/>
  <c r="AB1641" i="57" s="1"/>
  <c r="X1640" i="57"/>
  <c r="AD1640" i="57" s="1"/>
  <c r="W1640" i="57"/>
  <c r="AC1640" i="57" s="1"/>
  <c r="V1640" i="57"/>
  <c r="AB1640" i="57" s="1"/>
  <c r="X1639" i="57"/>
  <c r="AD1639" i="57" s="1"/>
  <c r="W1639" i="57"/>
  <c r="AC1639" i="57" s="1"/>
  <c r="V1639" i="57"/>
  <c r="AB1639" i="57" s="1"/>
  <c r="X1638" i="57"/>
  <c r="AD1638" i="57" s="1"/>
  <c r="W1638" i="57"/>
  <c r="AC1638" i="57" s="1"/>
  <c r="V1638" i="57"/>
  <c r="AB1638" i="57" s="1"/>
  <c r="X1637" i="57"/>
  <c r="AD1637" i="57" s="1"/>
  <c r="W1637" i="57"/>
  <c r="AC1637" i="57" s="1"/>
  <c r="V1637" i="57"/>
  <c r="AB1637" i="57" s="1"/>
  <c r="X1636" i="57"/>
  <c r="AD1636" i="57" s="1"/>
  <c r="W1636" i="57"/>
  <c r="AC1636" i="57" s="1"/>
  <c r="V1636" i="57"/>
  <c r="AB1636" i="57" s="1"/>
  <c r="X1635" i="57"/>
  <c r="AD1635" i="57" s="1"/>
  <c r="W1635" i="57"/>
  <c r="AC1635" i="57" s="1"/>
  <c r="V1635" i="57"/>
  <c r="AB1635" i="57" s="1"/>
  <c r="X1634" i="57"/>
  <c r="AD1634" i="57" s="1"/>
  <c r="W1634" i="57"/>
  <c r="AC1634" i="57" s="1"/>
  <c r="V1634" i="57"/>
  <c r="AB1634" i="57" s="1"/>
  <c r="X1633" i="57"/>
  <c r="AD1633" i="57" s="1"/>
  <c r="W1633" i="57"/>
  <c r="AC1633" i="57" s="1"/>
  <c r="V1633" i="57"/>
  <c r="AB1633" i="57" s="1"/>
  <c r="X1632" i="57"/>
  <c r="AD1632" i="57" s="1"/>
  <c r="W1632" i="57"/>
  <c r="AC1632" i="57" s="1"/>
  <c r="V1632" i="57"/>
  <c r="AB1632" i="57" s="1"/>
  <c r="X1631" i="57"/>
  <c r="AD1631" i="57" s="1"/>
  <c r="W1631" i="57"/>
  <c r="AC1631" i="57" s="1"/>
  <c r="V1631" i="57"/>
  <c r="AB1631" i="57" s="1"/>
  <c r="X1630" i="57"/>
  <c r="AD1630" i="57" s="1"/>
  <c r="W1630" i="57"/>
  <c r="AC1630" i="57" s="1"/>
  <c r="V1630" i="57"/>
  <c r="AB1630" i="57" s="1"/>
  <c r="X1629" i="57"/>
  <c r="AD1629" i="57" s="1"/>
  <c r="W1629" i="57"/>
  <c r="AC1629" i="57" s="1"/>
  <c r="V1629" i="57"/>
  <c r="AB1629" i="57" s="1"/>
  <c r="X1628" i="57"/>
  <c r="AD1628" i="57" s="1"/>
  <c r="W1628" i="57"/>
  <c r="AC1628" i="57" s="1"/>
  <c r="V1628" i="57"/>
  <c r="AB1628" i="57" s="1"/>
  <c r="X1627" i="57"/>
  <c r="AD1627" i="57" s="1"/>
  <c r="W1627" i="57"/>
  <c r="AC1627" i="57" s="1"/>
  <c r="V1627" i="57"/>
  <c r="AB1627" i="57" s="1"/>
  <c r="X1626" i="57"/>
  <c r="AD1626" i="57" s="1"/>
  <c r="W1626" i="57"/>
  <c r="AC1626" i="57" s="1"/>
  <c r="V1626" i="57"/>
  <c r="AB1626" i="57" s="1"/>
  <c r="X1625" i="57"/>
  <c r="AD1625" i="57" s="1"/>
  <c r="W1625" i="57"/>
  <c r="AC1625" i="57" s="1"/>
  <c r="V1625" i="57"/>
  <c r="AB1625" i="57" s="1"/>
  <c r="X1624" i="57"/>
  <c r="AD1624" i="57" s="1"/>
  <c r="W1624" i="57"/>
  <c r="AC1624" i="57" s="1"/>
  <c r="V1624" i="57"/>
  <c r="AB1624" i="57" s="1"/>
  <c r="X1623" i="57"/>
  <c r="AD1623" i="57" s="1"/>
  <c r="W1623" i="57"/>
  <c r="AC1623" i="57" s="1"/>
  <c r="V1623" i="57"/>
  <c r="AB1623" i="57" s="1"/>
  <c r="X1622" i="57"/>
  <c r="AD1622" i="57" s="1"/>
  <c r="W1622" i="57"/>
  <c r="AC1622" i="57" s="1"/>
  <c r="V1622" i="57"/>
  <c r="AB1622" i="57" s="1"/>
  <c r="X1621" i="57"/>
  <c r="AD1621" i="57" s="1"/>
  <c r="W1621" i="57"/>
  <c r="AC1621" i="57" s="1"/>
  <c r="V1621" i="57"/>
  <c r="AB1621" i="57" s="1"/>
  <c r="X1620" i="57"/>
  <c r="AD1620" i="57" s="1"/>
  <c r="W1620" i="57"/>
  <c r="AC1620" i="57" s="1"/>
  <c r="V1620" i="57"/>
  <c r="AB1620" i="57" s="1"/>
  <c r="X1619" i="57"/>
  <c r="AD1619" i="57" s="1"/>
  <c r="W1619" i="57"/>
  <c r="AC1619" i="57" s="1"/>
  <c r="V1619" i="57"/>
  <c r="AB1619" i="57" s="1"/>
  <c r="X1618" i="57"/>
  <c r="AD1618" i="57" s="1"/>
  <c r="W1618" i="57"/>
  <c r="AC1618" i="57" s="1"/>
  <c r="V1618" i="57"/>
  <c r="AB1618" i="57" s="1"/>
  <c r="X1617" i="57"/>
  <c r="AD1617" i="57" s="1"/>
  <c r="W1617" i="57"/>
  <c r="AC1617" i="57" s="1"/>
  <c r="V1617" i="57"/>
  <c r="AB1617" i="57" s="1"/>
  <c r="X1616" i="57"/>
  <c r="AD1616" i="57" s="1"/>
  <c r="W1616" i="57"/>
  <c r="AC1616" i="57" s="1"/>
  <c r="V1616" i="57"/>
  <c r="AB1616" i="57" s="1"/>
  <c r="X1615" i="57"/>
  <c r="AD1615" i="57" s="1"/>
  <c r="W1615" i="57"/>
  <c r="AC1615" i="57" s="1"/>
  <c r="V1615" i="57"/>
  <c r="AB1615" i="57" s="1"/>
  <c r="X1614" i="57"/>
  <c r="AD1614" i="57" s="1"/>
  <c r="W1614" i="57"/>
  <c r="AC1614" i="57" s="1"/>
  <c r="V1614" i="57"/>
  <c r="AB1614" i="57" s="1"/>
  <c r="X1613" i="57"/>
  <c r="AD1613" i="57" s="1"/>
  <c r="W1613" i="57"/>
  <c r="AC1613" i="57" s="1"/>
  <c r="V1613" i="57"/>
  <c r="AB1613" i="57" s="1"/>
  <c r="X1612" i="57"/>
  <c r="AD1612" i="57" s="1"/>
  <c r="W1612" i="57"/>
  <c r="AC1612" i="57" s="1"/>
  <c r="V1612" i="57"/>
  <c r="AB1612" i="57" s="1"/>
  <c r="X1611" i="57"/>
  <c r="AD1611" i="57" s="1"/>
  <c r="W1611" i="57"/>
  <c r="AC1611" i="57" s="1"/>
  <c r="V1611" i="57"/>
  <c r="AB1611" i="57" s="1"/>
  <c r="X1610" i="57"/>
  <c r="AD1610" i="57" s="1"/>
  <c r="W1610" i="57"/>
  <c r="AC1610" i="57" s="1"/>
  <c r="V1610" i="57"/>
  <c r="AB1610" i="57" s="1"/>
  <c r="X1609" i="57"/>
  <c r="AD1609" i="57" s="1"/>
  <c r="W1609" i="57"/>
  <c r="AC1609" i="57" s="1"/>
  <c r="V1609" i="57"/>
  <c r="AB1609" i="57" s="1"/>
  <c r="X1608" i="57"/>
  <c r="AD1608" i="57" s="1"/>
  <c r="W1608" i="57"/>
  <c r="AC1608" i="57" s="1"/>
  <c r="V1608" i="57"/>
  <c r="AB1608" i="57" s="1"/>
  <c r="X1607" i="57"/>
  <c r="AD1607" i="57" s="1"/>
  <c r="W1607" i="57"/>
  <c r="AC1607" i="57" s="1"/>
  <c r="V1607" i="57"/>
  <c r="AB1607" i="57" s="1"/>
  <c r="X1606" i="57"/>
  <c r="AD1606" i="57" s="1"/>
  <c r="W1606" i="57"/>
  <c r="AC1606" i="57" s="1"/>
  <c r="V1606" i="57"/>
  <c r="AB1606" i="57" s="1"/>
  <c r="X1605" i="57"/>
  <c r="AD1605" i="57" s="1"/>
  <c r="W1605" i="57"/>
  <c r="AC1605" i="57" s="1"/>
  <c r="V1605" i="57"/>
  <c r="AB1605" i="57" s="1"/>
  <c r="X1604" i="57"/>
  <c r="AD1604" i="57" s="1"/>
  <c r="W1604" i="57"/>
  <c r="AC1604" i="57" s="1"/>
  <c r="V1604" i="57"/>
  <c r="AB1604" i="57" s="1"/>
  <c r="X1603" i="57"/>
  <c r="AD1603" i="57" s="1"/>
  <c r="W1603" i="57"/>
  <c r="AC1603" i="57" s="1"/>
  <c r="V1603" i="57"/>
  <c r="AB1603" i="57" s="1"/>
  <c r="X1602" i="57"/>
  <c r="AD1602" i="57" s="1"/>
  <c r="W1602" i="57"/>
  <c r="AC1602" i="57" s="1"/>
  <c r="V1602" i="57"/>
  <c r="AB1602" i="57" s="1"/>
  <c r="X1601" i="57"/>
  <c r="AD1601" i="57" s="1"/>
  <c r="W1601" i="57"/>
  <c r="AC1601" i="57" s="1"/>
  <c r="V1601" i="57"/>
  <c r="AB1601" i="57" s="1"/>
  <c r="X1600" i="57"/>
  <c r="AD1600" i="57" s="1"/>
  <c r="W1600" i="57"/>
  <c r="AC1600" i="57" s="1"/>
  <c r="V1600" i="57"/>
  <c r="AB1600" i="57" s="1"/>
  <c r="X1599" i="57"/>
  <c r="AD1599" i="57" s="1"/>
  <c r="W1599" i="57"/>
  <c r="AC1599" i="57" s="1"/>
  <c r="V1599" i="57"/>
  <c r="AB1599" i="57" s="1"/>
  <c r="X1598" i="57"/>
  <c r="AD1598" i="57" s="1"/>
  <c r="W1598" i="57"/>
  <c r="AC1598" i="57" s="1"/>
  <c r="V1598" i="57"/>
  <c r="AB1598" i="57" s="1"/>
  <c r="X1597" i="57"/>
  <c r="AD1597" i="57" s="1"/>
  <c r="W1597" i="57"/>
  <c r="AC1597" i="57" s="1"/>
  <c r="V1597" i="57"/>
  <c r="AB1597" i="57" s="1"/>
  <c r="X1596" i="57"/>
  <c r="AD1596" i="57" s="1"/>
  <c r="W1596" i="57"/>
  <c r="AC1596" i="57" s="1"/>
  <c r="V1596" i="57"/>
  <c r="AB1596" i="57" s="1"/>
  <c r="X1595" i="57"/>
  <c r="AD1595" i="57" s="1"/>
  <c r="W1595" i="57"/>
  <c r="AC1595" i="57" s="1"/>
  <c r="V1595" i="57"/>
  <c r="AB1595" i="57" s="1"/>
  <c r="X1594" i="57"/>
  <c r="AD1594" i="57" s="1"/>
  <c r="W1594" i="57"/>
  <c r="AC1594" i="57" s="1"/>
  <c r="V1594" i="57"/>
  <c r="AB1594" i="57" s="1"/>
  <c r="X1593" i="57"/>
  <c r="AD1593" i="57" s="1"/>
  <c r="W1593" i="57"/>
  <c r="AC1593" i="57" s="1"/>
  <c r="V1593" i="57"/>
  <c r="AB1593" i="57" s="1"/>
  <c r="X1592" i="57"/>
  <c r="AD1592" i="57" s="1"/>
  <c r="W1592" i="57"/>
  <c r="AC1592" i="57" s="1"/>
  <c r="V1592" i="57"/>
  <c r="AB1592" i="57" s="1"/>
  <c r="X1591" i="57"/>
  <c r="AD1591" i="57" s="1"/>
  <c r="W1591" i="57"/>
  <c r="AC1591" i="57" s="1"/>
  <c r="V1591" i="57"/>
  <c r="AB1591" i="57" s="1"/>
  <c r="X1590" i="57"/>
  <c r="AD1590" i="57" s="1"/>
  <c r="W1590" i="57"/>
  <c r="AC1590" i="57" s="1"/>
  <c r="V1590" i="57"/>
  <c r="AB1590" i="57" s="1"/>
  <c r="X1589" i="57"/>
  <c r="AD1589" i="57" s="1"/>
  <c r="W1589" i="57"/>
  <c r="AC1589" i="57" s="1"/>
  <c r="V1589" i="57"/>
  <c r="AB1589" i="57" s="1"/>
  <c r="X1588" i="57"/>
  <c r="AD1588" i="57" s="1"/>
  <c r="W1588" i="57"/>
  <c r="AC1588" i="57" s="1"/>
  <c r="V1588" i="57"/>
  <c r="AB1588" i="57" s="1"/>
  <c r="X1587" i="57"/>
  <c r="AD1587" i="57" s="1"/>
  <c r="W1587" i="57"/>
  <c r="AC1587" i="57" s="1"/>
  <c r="V1587" i="57"/>
  <c r="AB1587" i="57" s="1"/>
  <c r="X1586" i="57"/>
  <c r="AD1586" i="57" s="1"/>
  <c r="W1586" i="57"/>
  <c r="AC1586" i="57" s="1"/>
  <c r="V1586" i="57"/>
  <c r="AB1586" i="57" s="1"/>
  <c r="X1585" i="57"/>
  <c r="AD1585" i="57" s="1"/>
  <c r="W1585" i="57"/>
  <c r="AC1585" i="57" s="1"/>
  <c r="V1585" i="57"/>
  <c r="AB1585" i="57" s="1"/>
  <c r="X1584" i="57"/>
  <c r="AD1584" i="57" s="1"/>
  <c r="W1584" i="57"/>
  <c r="AC1584" i="57" s="1"/>
  <c r="V1584" i="57"/>
  <c r="AB1584" i="57" s="1"/>
  <c r="X1583" i="57"/>
  <c r="AD1583" i="57" s="1"/>
  <c r="W1583" i="57"/>
  <c r="AC1583" i="57" s="1"/>
  <c r="V1583" i="57"/>
  <c r="AB1583" i="57" s="1"/>
  <c r="X1582" i="57"/>
  <c r="AD1582" i="57" s="1"/>
  <c r="W1582" i="57"/>
  <c r="AC1582" i="57" s="1"/>
  <c r="V1582" i="57"/>
  <c r="AB1582" i="57" s="1"/>
  <c r="X1581" i="57"/>
  <c r="AD1581" i="57" s="1"/>
  <c r="W1581" i="57"/>
  <c r="AC1581" i="57" s="1"/>
  <c r="V1581" i="57"/>
  <c r="AB1581" i="57" s="1"/>
  <c r="X1580" i="57"/>
  <c r="AD1580" i="57" s="1"/>
  <c r="W1580" i="57"/>
  <c r="AC1580" i="57" s="1"/>
  <c r="V1580" i="57"/>
  <c r="AB1580" i="57" s="1"/>
  <c r="X1579" i="57"/>
  <c r="AD1579" i="57" s="1"/>
  <c r="W1579" i="57"/>
  <c r="AC1579" i="57" s="1"/>
  <c r="V1579" i="57"/>
  <c r="AB1579" i="57" s="1"/>
  <c r="X1578" i="57"/>
  <c r="AD1578" i="57" s="1"/>
  <c r="W1578" i="57"/>
  <c r="AC1578" i="57" s="1"/>
  <c r="V1578" i="57"/>
  <c r="AB1578" i="57" s="1"/>
  <c r="X1577" i="57"/>
  <c r="AD1577" i="57" s="1"/>
  <c r="W1577" i="57"/>
  <c r="AC1577" i="57" s="1"/>
  <c r="V1577" i="57"/>
  <c r="AB1577" i="57" s="1"/>
  <c r="X1576" i="57"/>
  <c r="AD1576" i="57" s="1"/>
  <c r="W1576" i="57"/>
  <c r="AC1576" i="57" s="1"/>
  <c r="V1576" i="57"/>
  <c r="AB1576" i="57" s="1"/>
  <c r="X1575" i="57"/>
  <c r="AD1575" i="57" s="1"/>
  <c r="W1575" i="57"/>
  <c r="AC1575" i="57" s="1"/>
  <c r="V1575" i="57"/>
  <c r="AB1575" i="57" s="1"/>
  <c r="X1574" i="57"/>
  <c r="AD1574" i="57" s="1"/>
  <c r="W1574" i="57"/>
  <c r="AC1574" i="57" s="1"/>
  <c r="V1574" i="57"/>
  <c r="AB1574" i="57" s="1"/>
  <c r="X1573" i="57"/>
  <c r="AD1573" i="57" s="1"/>
  <c r="W1573" i="57"/>
  <c r="AC1573" i="57" s="1"/>
  <c r="V1573" i="57"/>
  <c r="AB1573" i="57" s="1"/>
  <c r="X1572" i="57"/>
  <c r="AD1572" i="57" s="1"/>
  <c r="W1572" i="57"/>
  <c r="AC1572" i="57" s="1"/>
  <c r="V1572" i="57"/>
  <c r="AB1572" i="57" s="1"/>
  <c r="X1571" i="57"/>
  <c r="AD1571" i="57" s="1"/>
  <c r="W1571" i="57"/>
  <c r="AC1571" i="57" s="1"/>
  <c r="V1571" i="57"/>
  <c r="AB1571" i="57" s="1"/>
  <c r="X1570" i="57"/>
  <c r="AD1570" i="57" s="1"/>
  <c r="W1570" i="57"/>
  <c r="AC1570" i="57" s="1"/>
  <c r="V1570" i="57"/>
  <c r="AB1570" i="57" s="1"/>
  <c r="X1569" i="57"/>
  <c r="AD1569" i="57" s="1"/>
  <c r="W1569" i="57"/>
  <c r="AC1569" i="57" s="1"/>
  <c r="V1569" i="57"/>
  <c r="AB1569" i="57" s="1"/>
  <c r="X1568" i="57"/>
  <c r="AD1568" i="57" s="1"/>
  <c r="W1568" i="57"/>
  <c r="AC1568" i="57" s="1"/>
  <c r="V1568" i="57"/>
  <c r="AB1568" i="57" s="1"/>
  <c r="X1567" i="57"/>
  <c r="AD1567" i="57" s="1"/>
  <c r="W1567" i="57"/>
  <c r="AC1567" i="57" s="1"/>
  <c r="V1567" i="57"/>
  <c r="AB1567" i="57" s="1"/>
  <c r="X1566" i="57"/>
  <c r="AD1566" i="57" s="1"/>
  <c r="W1566" i="57"/>
  <c r="AC1566" i="57" s="1"/>
  <c r="V1566" i="57"/>
  <c r="AB1566" i="57" s="1"/>
  <c r="X1565" i="57"/>
  <c r="AD1565" i="57" s="1"/>
  <c r="W1565" i="57"/>
  <c r="AC1565" i="57" s="1"/>
  <c r="V1565" i="57"/>
  <c r="AB1565" i="57" s="1"/>
  <c r="X1564" i="57"/>
  <c r="AD1564" i="57" s="1"/>
  <c r="W1564" i="57"/>
  <c r="AC1564" i="57" s="1"/>
  <c r="V1564" i="57"/>
  <c r="AB1564" i="57" s="1"/>
  <c r="X1563" i="57"/>
  <c r="AD1563" i="57" s="1"/>
  <c r="W1563" i="57"/>
  <c r="AC1563" i="57" s="1"/>
  <c r="V1563" i="57"/>
  <c r="AB1563" i="57" s="1"/>
  <c r="X1562" i="57"/>
  <c r="AD1562" i="57" s="1"/>
  <c r="W1562" i="57"/>
  <c r="AC1562" i="57" s="1"/>
  <c r="V1562" i="57"/>
  <c r="AB1562" i="57" s="1"/>
  <c r="X1561" i="57"/>
  <c r="AD1561" i="57" s="1"/>
  <c r="W1561" i="57"/>
  <c r="AC1561" i="57" s="1"/>
  <c r="V1561" i="57"/>
  <c r="AB1561" i="57" s="1"/>
  <c r="X1560" i="57"/>
  <c r="AD1560" i="57" s="1"/>
  <c r="W1560" i="57"/>
  <c r="AC1560" i="57" s="1"/>
  <c r="V1560" i="57"/>
  <c r="AB1560" i="57" s="1"/>
  <c r="X1559" i="57"/>
  <c r="AD1559" i="57" s="1"/>
  <c r="W1559" i="57"/>
  <c r="AC1559" i="57" s="1"/>
  <c r="V1559" i="57"/>
  <c r="AB1559" i="57" s="1"/>
  <c r="X1558" i="57"/>
  <c r="AD1558" i="57" s="1"/>
  <c r="W1558" i="57"/>
  <c r="AC1558" i="57" s="1"/>
  <c r="V1558" i="57"/>
  <c r="AB1558" i="57" s="1"/>
  <c r="X1557" i="57"/>
  <c r="AD1557" i="57" s="1"/>
  <c r="W1557" i="57"/>
  <c r="AC1557" i="57" s="1"/>
  <c r="V1557" i="57"/>
  <c r="AB1557" i="57" s="1"/>
  <c r="X1556" i="57"/>
  <c r="AD1556" i="57" s="1"/>
  <c r="W1556" i="57"/>
  <c r="AC1556" i="57" s="1"/>
  <c r="V1556" i="57"/>
  <c r="AB1556" i="57" s="1"/>
  <c r="X1555" i="57"/>
  <c r="AD1555" i="57" s="1"/>
  <c r="W1555" i="57"/>
  <c r="AC1555" i="57" s="1"/>
  <c r="V1555" i="57"/>
  <c r="AB1555" i="57" s="1"/>
  <c r="X1554" i="57"/>
  <c r="AD1554" i="57" s="1"/>
  <c r="W1554" i="57"/>
  <c r="AC1554" i="57" s="1"/>
  <c r="V1554" i="57"/>
  <c r="AB1554" i="57" s="1"/>
  <c r="X1553" i="57"/>
  <c r="AD1553" i="57" s="1"/>
  <c r="W1553" i="57"/>
  <c r="AC1553" i="57" s="1"/>
  <c r="V1553" i="57"/>
  <c r="AB1553" i="57" s="1"/>
  <c r="X1552" i="57"/>
  <c r="AD1552" i="57" s="1"/>
  <c r="W1552" i="57"/>
  <c r="AC1552" i="57" s="1"/>
  <c r="V1552" i="57"/>
  <c r="AB1552" i="57" s="1"/>
  <c r="X1551" i="57"/>
  <c r="AD1551" i="57" s="1"/>
  <c r="W1551" i="57"/>
  <c r="AC1551" i="57" s="1"/>
  <c r="V1551" i="57"/>
  <c r="AB1551" i="57" s="1"/>
  <c r="X1550" i="57"/>
  <c r="AD1550" i="57" s="1"/>
  <c r="W1550" i="57"/>
  <c r="AC1550" i="57" s="1"/>
  <c r="V1550" i="57"/>
  <c r="AB1550" i="57" s="1"/>
  <c r="X1549" i="57"/>
  <c r="AD1549" i="57" s="1"/>
  <c r="W1549" i="57"/>
  <c r="AC1549" i="57" s="1"/>
  <c r="V1549" i="57"/>
  <c r="AB1549" i="57" s="1"/>
  <c r="X1548" i="57"/>
  <c r="AD1548" i="57" s="1"/>
  <c r="W1548" i="57"/>
  <c r="AC1548" i="57" s="1"/>
  <c r="V1548" i="57"/>
  <c r="AB1548" i="57" s="1"/>
  <c r="X1547" i="57"/>
  <c r="AD1547" i="57" s="1"/>
  <c r="W1547" i="57"/>
  <c r="AC1547" i="57" s="1"/>
  <c r="V1547" i="57"/>
  <c r="AB1547" i="57" s="1"/>
  <c r="X1546" i="57"/>
  <c r="AD1546" i="57" s="1"/>
  <c r="W1546" i="57"/>
  <c r="AC1546" i="57" s="1"/>
  <c r="V1546" i="57"/>
  <c r="AB1546" i="57" s="1"/>
  <c r="X1545" i="57"/>
  <c r="AD1545" i="57" s="1"/>
  <c r="W1545" i="57"/>
  <c r="AC1545" i="57" s="1"/>
  <c r="V1545" i="57"/>
  <c r="AB1545" i="57" s="1"/>
  <c r="X1544" i="57"/>
  <c r="AD1544" i="57" s="1"/>
  <c r="W1544" i="57"/>
  <c r="AC1544" i="57" s="1"/>
  <c r="V1544" i="57"/>
  <c r="AB1544" i="57" s="1"/>
  <c r="X1543" i="57"/>
  <c r="AD1543" i="57" s="1"/>
  <c r="W1543" i="57"/>
  <c r="AC1543" i="57" s="1"/>
  <c r="V1543" i="57"/>
  <c r="AB1543" i="57" s="1"/>
  <c r="X1542" i="57"/>
  <c r="AD1542" i="57" s="1"/>
  <c r="W1542" i="57"/>
  <c r="AC1542" i="57" s="1"/>
  <c r="V1542" i="57"/>
  <c r="AB1542" i="57" s="1"/>
  <c r="X1541" i="57"/>
  <c r="AD1541" i="57" s="1"/>
  <c r="W1541" i="57"/>
  <c r="AC1541" i="57" s="1"/>
  <c r="V1541" i="57"/>
  <c r="AB1541" i="57" s="1"/>
  <c r="X1540" i="57"/>
  <c r="AD1540" i="57" s="1"/>
  <c r="W1540" i="57"/>
  <c r="AC1540" i="57" s="1"/>
  <c r="V1540" i="57"/>
  <c r="AB1540" i="57" s="1"/>
  <c r="X1539" i="57"/>
  <c r="AD1539" i="57" s="1"/>
  <c r="W1539" i="57"/>
  <c r="AC1539" i="57" s="1"/>
  <c r="V1539" i="57"/>
  <c r="AB1539" i="57" s="1"/>
  <c r="X1538" i="57"/>
  <c r="AD1538" i="57" s="1"/>
  <c r="W1538" i="57"/>
  <c r="AC1538" i="57" s="1"/>
  <c r="V1538" i="57"/>
  <c r="AB1538" i="57" s="1"/>
  <c r="X1537" i="57"/>
  <c r="AD1537" i="57" s="1"/>
  <c r="W1537" i="57"/>
  <c r="AC1537" i="57" s="1"/>
  <c r="V1537" i="57"/>
  <c r="AB1537" i="57" s="1"/>
  <c r="X1536" i="57"/>
  <c r="AD1536" i="57" s="1"/>
  <c r="W1536" i="57"/>
  <c r="AC1536" i="57" s="1"/>
  <c r="V1536" i="57"/>
  <c r="AB1536" i="57" s="1"/>
  <c r="X1535" i="57"/>
  <c r="AD1535" i="57" s="1"/>
  <c r="W1535" i="57"/>
  <c r="AC1535" i="57" s="1"/>
  <c r="V1535" i="57"/>
  <c r="AB1535" i="57" s="1"/>
  <c r="X1534" i="57"/>
  <c r="AD1534" i="57" s="1"/>
  <c r="W1534" i="57"/>
  <c r="AC1534" i="57" s="1"/>
  <c r="V1534" i="57"/>
  <c r="AB1534" i="57" s="1"/>
  <c r="X1533" i="57"/>
  <c r="AD1533" i="57" s="1"/>
  <c r="W1533" i="57"/>
  <c r="AC1533" i="57" s="1"/>
  <c r="V1533" i="57"/>
  <c r="AB1533" i="57" s="1"/>
  <c r="X1532" i="57"/>
  <c r="AD1532" i="57" s="1"/>
  <c r="W1532" i="57"/>
  <c r="AC1532" i="57" s="1"/>
  <c r="V1532" i="57"/>
  <c r="AB1532" i="57" s="1"/>
  <c r="X1531" i="57"/>
  <c r="AD1531" i="57" s="1"/>
  <c r="W1531" i="57"/>
  <c r="AC1531" i="57" s="1"/>
  <c r="V1531" i="57"/>
  <c r="AB1531" i="57" s="1"/>
  <c r="X1530" i="57"/>
  <c r="AD1530" i="57" s="1"/>
  <c r="W1530" i="57"/>
  <c r="AC1530" i="57" s="1"/>
  <c r="V1530" i="57"/>
  <c r="AB1530" i="57" s="1"/>
  <c r="X1529" i="57"/>
  <c r="AD1529" i="57" s="1"/>
  <c r="W1529" i="57"/>
  <c r="AC1529" i="57" s="1"/>
  <c r="V1529" i="57"/>
  <c r="AB1529" i="57" s="1"/>
  <c r="X1528" i="57"/>
  <c r="AD1528" i="57" s="1"/>
  <c r="W1528" i="57"/>
  <c r="AC1528" i="57" s="1"/>
  <c r="V1528" i="57"/>
  <c r="AB1528" i="57" s="1"/>
  <c r="X1527" i="57"/>
  <c r="AD1527" i="57" s="1"/>
  <c r="W1527" i="57"/>
  <c r="AC1527" i="57" s="1"/>
  <c r="V1527" i="57"/>
  <c r="AB1527" i="57" s="1"/>
  <c r="X1526" i="57"/>
  <c r="AD1526" i="57" s="1"/>
  <c r="W1526" i="57"/>
  <c r="AC1526" i="57" s="1"/>
  <c r="V1526" i="57"/>
  <c r="AB1526" i="57" s="1"/>
  <c r="X1525" i="57"/>
  <c r="AD1525" i="57" s="1"/>
  <c r="W1525" i="57"/>
  <c r="AC1525" i="57" s="1"/>
  <c r="V1525" i="57"/>
  <c r="AB1525" i="57" s="1"/>
  <c r="X1524" i="57"/>
  <c r="AD1524" i="57" s="1"/>
  <c r="W1524" i="57"/>
  <c r="AC1524" i="57" s="1"/>
  <c r="V1524" i="57"/>
  <c r="AB1524" i="57" s="1"/>
  <c r="X1523" i="57"/>
  <c r="AD1523" i="57" s="1"/>
  <c r="W1523" i="57"/>
  <c r="AC1523" i="57" s="1"/>
  <c r="V1523" i="57"/>
  <c r="AB1523" i="57" s="1"/>
  <c r="X1522" i="57"/>
  <c r="AD1522" i="57" s="1"/>
  <c r="W1522" i="57"/>
  <c r="AC1522" i="57" s="1"/>
  <c r="V1522" i="57"/>
  <c r="AB1522" i="57" s="1"/>
  <c r="X1521" i="57"/>
  <c r="AD1521" i="57" s="1"/>
  <c r="W1521" i="57"/>
  <c r="AC1521" i="57" s="1"/>
  <c r="V1521" i="57"/>
  <c r="AB1521" i="57" s="1"/>
  <c r="X1520" i="57"/>
  <c r="AD1520" i="57" s="1"/>
  <c r="W1520" i="57"/>
  <c r="AC1520" i="57" s="1"/>
  <c r="V1520" i="57"/>
  <c r="AB1520" i="57" s="1"/>
  <c r="X1519" i="57"/>
  <c r="AD1519" i="57" s="1"/>
  <c r="W1519" i="57"/>
  <c r="AC1519" i="57" s="1"/>
  <c r="V1519" i="57"/>
  <c r="AB1519" i="57" s="1"/>
  <c r="X1518" i="57"/>
  <c r="AD1518" i="57" s="1"/>
  <c r="W1518" i="57"/>
  <c r="AC1518" i="57" s="1"/>
  <c r="V1518" i="57"/>
  <c r="AB1518" i="57" s="1"/>
  <c r="X1517" i="57"/>
  <c r="AD1517" i="57" s="1"/>
  <c r="W1517" i="57"/>
  <c r="AC1517" i="57" s="1"/>
  <c r="V1517" i="57"/>
  <c r="AB1517" i="57" s="1"/>
  <c r="X1516" i="57"/>
  <c r="AD1516" i="57" s="1"/>
  <c r="W1516" i="57"/>
  <c r="AC1516" i="57" s="1"/>
  <c r="V1516" i="57"/>
  <c r="AB1516" i="57" s="1"/>
  <c r="X1515" i="57"/>
  <c r="AD1515" i="57" s="1"/>
  <c r="W1515" i="57"/>
  <c r="AC1515" i="57" s="1"/>
  <c r="V1515" i="57"/>
  <c r="AB1515" i="57" s="1"/>
  <c r="X1514" i="57"/>
  <c r="AD1514" i="57" s="1"/>
  <c r="W1514" i="57"/>
  <c r="AC1514" i="57" s="1"/>
  <c r="V1514" i="57"/>
  <c r="AB1514" i="57" s="1"/>
  <c r="X1513" i="57"/>
  <c r="AD1513" i="57" s="1"/>
  <c r="W1513" i="57"/>
  <c r="AC1513" i="57" s="1"/>
  <c r="V1513" i="57"/>
  <c r="AB1513" i="57" s="1"/>
  <c r="X1512" i="57"/>
  <c r="AD1512" i="57" s="1"/>
  <c r="W1512" i="57"/>
  <c r="AC1512" i="57" s="1"/>
  <c r="V1512" i="57"/>
  <c r="AB1512" i="57" s="1"/>
  <c r="X1511" i="57"/>
  <c r="AD1511" i="57" s="1"/>
  <c r="W1511" i="57"/>
  <c r="AC1511" i="57" s="1"/>
  <c r="V1511" i="57"/>
  <c r="AB1511" i="57" s="1"/>
  <c r="X1510" i="57"/>
  <c r="AD1510" i="57" s="1"/>
  <c r="W1510" i="57"/>
  <c r="AC1510" i="57" s="1"/>
  <c r="V1510" i="57"/>
  <c r="AB1510" i="57" s="1"/>
  <c r="X1509" i="57"/>
  <c r="AD1509" i="57" s="1"/>
  <c r="W1509" i="57"/>
  <c r="AC1509" i="57" s="1"/>
  <c r="V1509" i="57"/>
  <c r="AB1509" i="57" s="1"/>
  <c r="X1508" i="57"/>
  <c r="AD1508" i="57" s="1"/>
  <c r="W1508" i="57"/>
  <c r="AC1508" i="57" s="1"/>
  <c r="V1508" i="57"/>
  <c r="AB1508" i="57" s="1"/>
  <c r="X1507" i="57"/>
  <c r="AD1507" i="57" s="1"/>
  <c r="W1507" i="57"/>
  <c r="AC1507" i="57" s="1"/>
  <c r="V1507" i="57"/>
  <c r="AB1507" i="57" s="1"/>
  <c r="X1506" i="57"/>
  <c r="AD1506" i="57" s="1"/>
  <c r="W1506" i="57"/>
  <c r="AC1506" i="57" s="1"/>
  <c r="V1506" i="57"/>
  <c r="AB1506" i="57" s="1"/>
  <c r="X1505" i="57"/>
  <c r="AD1505" i="57" s="1"/>
  <c r="W1505" i="57"/>
  <c r="AC1505" i="57" s="1"/>
  <c r="V1505" i="57"/>
  <c r="AB1505" i="57" s="1"/>
  <c r="X1504" i="57"/>
  <c r="AD1504" i="57" s="1"/>
  <c r="W1504" i="57"/>
  <c r="AC1504" i="57" s="1"/>
  <c r="V1504" i="57"/>
  <c r="AB1504" i="57" s="1"/>
  <c r="X1503" i="57"/>
  <c r="AD1503" i="57" s="1"/>
  <c r="W1503" i="57"/>
  <c r="AC1503" i="57" s="1"/>
  <c r="V1503" i="57"/>
  <c r="AB1503" i="57" s="1"/>
  <c r="X1502" i="57"/>
  <c r="AD1502" i="57" s="1"/>
  <c r="W1502" i="57"/>
  <c r="AC1502" i="57" s="1"/>
  <c r="V1502" i="57"/>
  <c r="AB1502" i="57" s="1"/>
  <c r="X1501" i="57"/>
  <c r="AD1501" i="57" s="1"/>
  <c r="W1501" i="57"/>
  <c r="AC1501" i="57" s="1"/>
  <c r="V1501" i="57"/>
  <c r="AB1501" i="57" s="1"/>
  <c r="X1500" i="57"/>
  <c r="AD1500" i="57" s="1"/>
  <c r="W1500" i="57"/>
  <c r="AC1500" i="57" s="1"/>
  <c r="V1500" i="57"/>
  <c r="AB1500" i="57" s="1"/>
  <c r="X1499" i="57"/>
  <c r="AD1499" i="57" s="1"/>
  <c r="W1499" i="57"/>
  <c r="AC1499" i="57" s="1"/>
  <c r="V1499" i="57"/>
  <c r="AB1499" i="57" s="1"/>
  <c r="X1498" i="57"/>
  <c r="AD1498" i="57" s="1"/>
  <c r="W1498" i="57"/>
  <c r="AC1498" i="57" s="1"/>
  <c r="V1498" i="57"/>
  <c r="AB1498" i="57" s="1"/>
  <c r="X1497" i="57"/>
  <c r="AD1497" i="57" s="1"/>
  <c r="W1497" i="57"/>
  <c r="AC1497" i="57" s="1"/>
  <c r="V1497" i="57"/>
  <c r="AB1497" i="57" s="1"/>
  <c r="X1496" i="57"/>
  <c r="AD1496" i="57" s="1"/>
  <c r="W1496" i="57"/>
  <c r="AC1496" i="57" s="1"/>
  <c r="V1496" i="57"/>
  <c r="AB1496" i="57" s="1"/>
  <c r="X1495" i="57"/>
  <c r="AD1495" i="57" s="1"/>
  <c r="W1495" i="57"/>
  <c r="AC1495" i="57" s="1"/>
  <c r="V1495" i="57"/>
  <c r="AB1495" i="57" s="1"/>
  <c r="X1494" i="57"/>
  <c r="AD1494" i="57" s="1"/>
  <c r="W1494" i="57"/>
  <c r="AC1494" i="57" s="1"/>
  <c r="V1494" i="57"/>
  <c r="AB1494" i="57" s="1"/>
  <c r="X1493" i="57"/>
  <c r="AD1493" i="57" s="1"/>
  <c r="W1493" i="57"/>
  <c r="AC1493" i="57" s="1"/>
  <c r="V1493" i="57"/>
  <c r="AB1493" i="57" s="1"/>
  <c r="X1492" i="57"/>
  <c r="AD1492" i="57" s="1"/>
  <c r="W1492" i="57"/>
  <c r="AC1492" i="57" s="1"/>
  <c r="V1492" i="57"/>
  <c r="AB1492" i="57" s="1"/>
  <c r="X1491" i="57"/>
  <c r="AD1491" i="57" s="1"/>
  <c r="W1491" i="57"/>
  <c r="AC1491" i="57" s="1"/>
  <c r="V1491" i="57"/>
  <c r="AB1491" i="57" s="1"/>
  <c r="X1490" i="57"/>
  <c r="AD1490" i="57" s="1"/>
  <c r="W1490" i="57"/>
  <c r="AC1490" i="57" s="1"/>
  <c r="V1490" i="57"/>
  <c r="AB1490" i="57" s="1"/>
  <c r="X1489" i="57"/>
  <c r="AD1489" i="57" s="1"/>
  <c r="W1489" i="57"/>
  <c r="AC1489" i="57" s="1"/>
  <c r="V1489" i="57"/>
  <c r="AB1489" i="57" s="1"/>
  <c r="X1488" i="57"/>
  <c r="AD1488" i="57" s="1"/>
  <c r="W1488" i="57"/>
  <c r="AC1488" i="57" s="1"/>
  <c r="V1488" i="57"/>
  <c r="AB1488" i="57" s="1"/>
  <c r="X1487" i="57"/>
  <c r="AD1487" i="57" s="1"/>
  <c r="W1487" i="57"/>
  <c r="AC1487" i="57" s="1"/>
  <c r="V1487" i="57"/>
  <c r="AB1487" i="57" s="1"/>
  <c r="X1486" i="57"/>
  <c r="AD1486" i="57" s="1"/>
  <c r="W1486" i="57"/>
  <c r="AC1486" i="57" s="1"/>
  <c r="V1486" i="57"/>
  <c r="AB1486" i="57" s="1"/>
  <c r="X1485" i="57"/>
  <c r="AD1485" i="57" s="1"/>
  <c r="W1485" i="57"/>
  <c r="AC1485" i="57" s="1"/>
  <c r="V1485" i="57"/>
  <c r="AB1485" i="57" s="1"/>
  <c r="X1484" i="57"/>
  <c r="AD1484" i="57" s="1"/>
  <c r="W1484" i="57"/>
  <c r="AC1484" i="57" s="1"/>
  <c r="V1484" i="57"/>
  <c r="AB1484" i="57" s="1"/>
  <c r="X1483" i="57"/>
  <c r="AD1483" i="57" s="1"/>
  <c r="W1483" i="57"/>
  <c r="AC1483" i="57" s="1"/>
  <c r="V1483" i="57"/>
  <c r="AB1483" i="57" s="1"/>
  <c r="X1482" i="57"/>
  <c r="AD1482" i="57" s="1"/>
  <c r="W1482" i="57"/>
  <c r="AC1482" i="57" s="1"/>
  <c r="V1482" i="57"/>
  <c r="AB1482" i="57" s="1"/>
  <c r="X1481" i="57"/>
  <c r="AD1481" i="57" s="1"/>
  <c r="W1481" i="57"/>
  <c r="AC1481" i="57" s="1"/>
  <c r="V1481" i="57"/>
  <c r="AB1481" i="57" s="1"/>
  <c r="X1480" i="57"/>
  <c r="AD1480" i="57" s="1"/>
  <c r="W1480" i="57"/>
  <c r="AC1480" i="57" s="1"/>
  <c r="V1480" i="57"/>
  <c r="AB1480" i="57" s="1"/>
  <c r="X1479" i="57"/>
  <c r="AD1479" i="57" s="1"/>
  <c r="W1479" i="57"/>
  <c r="AC1479" i="57" s="1"/>
  <c r="V1479" i="57"/>
  <c r="AB1479" i="57" s="1"/>
  <c r="X1478" i="57"/>
  <c r="AD1478" i="57" s="1"/>
  <c r="W1478" i="57"/>
  <c r="AC1478" i="57" s="1"/>
  <c r="V1478" i="57"/>
  <c r="AB1478" i="57" s="1"/>
  <c r="X1477" i="57"/>
  <c r="AD1477" i="57" s="1"/>
  <c r="W1477" i="57"/>
  <c r="AC1477" i="57" s="1"/>
  <c r="V1477" i="57"/>
  <c r="AB1477" i="57" s="1"/>
  <c r="X1476" i="57"/>
  <c r="AD1476" i="57" s="1"/>
  <c r="W1476" i="57"/>
  <c r="AC1476" i="57" s="1"/>
  <c r="V1476" i="57"/>
  <c r="AB1476" i="57" s="1"/>
  <c r="X1475" i="57"/>
  <c r="AD1475" i="57" s="1"/>
  <c r="W1475" i="57"/>
  <c r="AC1475" i="57" s="1"/>
  <c r="V1475" i="57"/>
  <c r="AB1475" i="57" s="1"/>
  <c r="X1474" i="57"/>
  <c r="AD1474" i="57" s="1"/>
  <c r="W1474" i="57"/>
  <c r="AC1474" i="57" s="1"/>
  <c r="V1474" i="57"/>
  <c r="AB1474" i="57" s="1"/>
  <c r="X1473" i="57"/>
  <c r="AD1473" i="57" s="1"/>
  <c r="W1473" i="57"/>
  <c r="AC1473" i="57" s="1"/>
  <c r="V1473" i="57"/>
  <c r="AB1473" i="57" s="1"/>
  <c r="X1472" i="57"/>
  <c r="AD1472" i="57" s="1"/>
  <c r="W1472" i="57"/>
  <c r="AC1472" i="57" s="1"/>
  <c r="V1472" i="57"/>
  <c r="AB1472" i="57" s="1"/>
  <c r="X1471" i="57"/>
  <c r="AD1471" i="57" s="1"/>
  <c r="W1471" i="57"/>
  <c r="AC1471" i="57" s="1"/>
  <c r="V1471" i="57"/>
  <c r="AB1471" i="57" s="1"/>
  <c r="X1470" i="57"/>
  <c r="AD1470" i="57" s="1"/>
  <c r="W1470" i="57"/>
  <c r="AC1470" i="57" s="1"/>
  <c r="V1470" i="57"/>
  <c r="AB1470" i="57" s="1"/>
  <c r="X1469" i="57"/>
  <c r="AD1469" i="57" s="1"/>
  <c r="W1469" i="57"/>
  <c r="AC1469" i="57" s="1"/>
  <c r="V1469" i="57"/>
  <c r="AB1469" i="57" s="1"/>
  <c r="X1468" i="57"/>
  <c r="AD1468" i="57" s="1"/>
  <c r="W1468" i="57"/>
  <c r="AC1468" i="57" s="1"/>
  <c r="V1468" i="57"/>
  <c r="AB1468" i="57" s="1"/>
  <c r="X1467" i="57"/>
  <c r="AD1467" i="57" s="1"/>
  <c r="W1467" i="57"/>
  <c r="AC1467" i="57" s="1"/>
  <c r="V1467" i="57"/>
  <c r="AB1467" i="57" s="1"/>
  <c r="X1466" i="57"/>
  <c r="AD1466" i="57" s="1"/>
  <c r="W1466" i="57"/>
  <c r="AC1466" i="57" s="1"/>
  <c r="V1466" i="57"/>
  <c r="AB1466" i="57" s="1"/>
  <c r="X1465" i="57"/>
  <c r="AD1465" i="57" s="1"/>
  <c r="W1465" i="57"/>
  <c r="AC1465" i="57" s="1"/>
  <c r="V1465" i="57"/>
  <c r="AB1465" i="57" s="1"/>
  <c r="X1464" i="57"/>
  <c r="AD1464" i="57" s="1"/>
  <c r="W1464" i="57"/>
  <c r="AC1464" i="57" s="1"/>
  <c r="V1464" i="57"/>
  <c r="AB1464" i="57" s="1"/>
  <c r="X1463" i="57"/>
  <c r="AD1463" i="57" s="1"/>
  <c r="W1463" i="57"/>
  <c r="AC1463" i="57" s="1"/>
  <c r="V1463" i="57"/>
  <c r="AB1463" i="57" s="1"/>
  <c r="X1462" i="57"/>
  <c r="AD1462" i="57" s="1"/>
  <c r="W1462" i="57"/>
  <c r="AC1462" i="57" s="1"/>
  <c r="V1462" i="57"/>
  <c r="AB1462" i="57" s="1"/>
  <c r="X1461" i="57"/>
  <c r="AD1461" i="57" s="1"/>
  <c r="W1461" i="57"/>
  <c r="AC1461" i="57" s="1"/>
  <c r="V1461" i="57"/>
  <c r="AB1461" i="57" s="1"/>
  <c r="X1460" i="57"/>
  <c r="AD1460" i="57" s="1"/>
  <c r="W1460" i="57"/>
  <c r="AC1460" i="57" s="1"/>
  <c r="V1460" i="57"/>
  <c r="AB1460" i="57" s="1"/>
  <c r="X1459" i="57"/>
  <c r="AD1459" i="57" s="1"/>
  <c r="W1459" i="57"/>
  <c r="AC1459" i="57" s="1"/>
  <c r="V1459" i="57"/>
  <c r="AB1459" i="57" s="1"/>
  <c r="X1458" i="57"/>
  <c r="AD1458" i="57" s="1"/>
  <c r="W1458" i="57"/>
  <c r="AC1458" i="57" s="1"/>
  <c r="V1458" i="57"/>
  <c r="AB1458" i="57" s="1"/>
  <c r="X1457" i="57"/>
  <c r="AD1457" i="57" s="1"/>
  <c r="W1457" i="57"/>
  <c r="AC1457" i="57" s="1"/>
  <c r="V1457" i="57"/>
  <c r="AB1457" i="57" s="1"/>
  <c r="X1456" i="57"/>
  <c r="AD1456" i="57" s="1"/>
  <c r="W1456" i="57"/>
  <c r="AC1456" i="57" s="1"/>
  <c r="V1456" i="57"/>
  <c r="AB1456" i="57" s="1"/>
  <c r="X1455" i="57"/>
  <c r="AD1455" i="57" s="1"/>
  <c r="W1455" i="57"/>
  <c r="AC1455" i="57" s="1"/>
  <c r="V1455" i="57"/>
  <c r="AB1455" i="57" s="1"/>
  <c r="X1454" i="57"/>
  <c r="AD1454" i="57" s="1"/>
  <c r="W1454" i="57"/>
  <c r="AC1454" i="57" s="1"/>
  <c r="V1454" i="57"/>
  <c r="AB1454" i="57" s="1"/>
  <c r="X1453" i="57"/>
  <c r="AD1453" i="57" s="1"/>
  <c r="W1453" i="57"/>
  <c r="AC1453" i="57" s="1"/>
  <c r="V1453" i="57"/>
  <c r="AB1453" i="57" s="1"/>
  <c r="X1452" i="57"/>
  <c r="AD1452" i="57" s="1"/>
  <c r="W1452" i="57"/>
  <c r="AC1452" i="57" s="1"/>
  <c r="V1452" i="57"/>
  <c r="AB1452" i="57" s="1"/>
  <c r="X1451" i="57"/>
  <c r="AD1451" i="57" s="1"/>
  <c r="W1451" i="57"/>
  <c r="AC1451" i="57" s="1"/>
  <c r="V1451" i="57"/>
  <c r="AB1451" i="57" s="1"/>
  <c r="X1450" i="57"/>
  <c r="AD1450" i="57" s="1"/>
  <c r="W1450" i="57"/>
  <c r="AC1450" i="57" s="1"/>
  <c r="V1450" i="57"/>
  <c r="AB1450" i="57" s="1"/>
  <c r="X1449" i="57"/>
  <c r="AD1449" i="57" s="1"/>
  <c r="W1449" i="57"/>
  <c r="AC1449" i="57" s="1"/>
  <c r="V1449" i="57"/>
  <c r="AB1449" i="57" s="1"/>
  <c r="X1448" i="57"/>
  <c r="AD1448" i="57" s="1"/>
  <c r="W1448" i="57"/>
  <c r="AC1448" i="57" s="1"/>
  <c r="V1448" i="57"/>
  <c r="AB1448" i="57" s="1"/>
  <c r="X1447" i="57"/>
  <c r="AD1447" i="57" s="1"/>
  <c r="W1447" i="57"/>
  <c r="AC1447" i="57" s="1"/>
  <c r="V1447" i="57"/>
  <c r="AB1447" i="57" s="1"/>
  <c r="X1446" i="57"/>
  <c r="AD1446" i="57" s="1"/>
  <c r="W1446" i="57"/>
  <c r="AC1446" i="57" s="1"/>
  <c r="V1446" i="57"/>
  <c r="AB1446" i="57" s="1"/>
  <c r="X1445" i="57"/>
  <c r="AD1445" i="57" s="1"/>
  <c r="W1445" i="57"/>
  <c r="AC1445" i="57" s="1"/>
  <c r="V1445" i="57"/>
  <c r="AB1445" i="57" s="1"/>
  <c r="X1444" i="57"/>
  <c r="AD1444" i="57" s="1"/>
  <c r="W1444" i="57"/>
  <c r="AC1444" i="57" s="1"/>
  <c r="V1444" i="57"/>
  <c r="AB1444" i="57" s="1"/>
  <c r="X1443" i="57"/>
  <c r="AD1443" i="57" s="1"/>
  <c r="W1443" i="57"/>
  <c r="AC1443" i="57" s="1"/>
  <c r="V1443" i="57"/>
  <c r="AB1443" i="57" s="1"/>
  <c r="X1442" i="57"/>
  <c r="AD1442" i="57" s="1"/>
  <c r="W1442" i="57"/>
  <c r="AC1442" i="57" s="1"/>
  <c r="V1442" i="57"/>
  <c r="AB1442" i="57" s="1"/>
  <c r="X1441" i="57"/>
  <c r="AD1441" i="57" s="1"/>
  <c r="W1441" i="57"/>
  <c r="AC1441" i="57" s="1"/>
  <c r="V1441" i="57"/>
  <c r="AB1441" i="57" s="1"/>
  <c r="X1440" i="57"/>
  <c r="AD1440" i="57" s="1"/>
  <c r="W1440" i="57"/>
  <c r="AC1440" i="57" s="1"/>
  <c r="V1440" i="57"/>
  <c r="AB1440" i="57" s="1"/>
  <c r="X1439" i="57"/>
  <c r="AD1439" i="57" s="1"/>
  <c r="W1439" i="57"/>
  <c r="AC1439" i="57" s="1"/>
  <c r="V1439" i="57"/>
  <c r="AB1439" i="57" s="1"/>
  <c r="X1438" i="57"/>
  <c r="AD1438" i="57" s="1"/>
  <c r="W1438" i="57"/>
  <c r="AC1438" i="57" s="1"/>
  <c r="V1438" i="57"/>
  <c r="AB1438" i="57" s="1"/>
  <c r="X1437" i="57"/>
  <c r="AD1437" i="57" s="1"/>
  <c r="W1437" i="57"/>
  <c r="AC1437" i="57" s="1"/>
  <c r="V1437" i="57"/>
  <c r="AB1437" i="57" s="1"/>
  <c r="X1436" i="57"/>
  <c r="AD1436" i="57" s="1"/>
  <c r="W1436" i="57"/>
  <c r="AC1436" i="57" s="1"/>
  <c r="V1436" i="57"/>
  <c r="AB1436" i="57" s="1"/>
  <c r="X1435" i="57"/>
  <c r="AD1435" i="57" s="1"/>
  <c r="W1435" i="57"/>
  <c r="AC1435" i="57" s="1"/>
  <c r="V1435" i="57"/>
  <c r="AB1435" i="57" s="1"/>
  <c r="X1434" i="57"/>
  <c r="AD1434" i="57" s="1"/>
  <c r="W1434" i="57"/>
  <c r="AC1434" i="57" s="1"/>
  <c r="V1434" i="57"/>
  <c r="AB1434" i="57" s="1"/>
  <c r="X1433" i="57"/>
  <c r="AD1433" i="57" s="1"/>
  <c r="W1433" i="57"/>
  <c r="AC1433" i="57" s="1"/>
  <c r="V1433" i="57"/>
  <c r="AB1433" i="57" s="1"/>
  <c r="X1432" i="57"/>
  <c r="AD1432" i="57" s="1"/>
  <c r="W1432" i="57"/>
  <c r="AC1432" i="57" s="1"/>
  <c r="V1432" i="57"/>
  <c r="AB1432" i="57" s="1"/>
  <c r="X1431" i="57"/>
  <c r="AD1431" i="57" s="1"/>
  <c r="W1431" i="57"/>
  <c r="AC1431" i="57" s="1"/>
  <c r="V1431" i="57"/>
  <c r="AB1431" i="57" s="1"/>
  <c r="X1430" i="57"/>
  <c r="AD1430" i="57" s="1"/>
  <c r="W1430" i="57"/>
  <c r="AC1430" i="57" s="1"/>
  <c r="V1430" i="57"/>
  <c r="AB1430" i="57" s="1"/>
  <c r="X1429" i="57"/>
  <c r="AD1429" i="57" s="1"/>
  <c r="W1429" i="57"/>
  <c r="AC1429" i="57" s="1"/>
  <c r="V1429" i="57"/>
  <c r="AB1429" i="57" s="1"/>
  <c r="X1428" i="57"/>
  <c r="AD1428" i="57" s="1"/>
  <c r="W1428" i="57"/>
  <c r="AC1428" i="57" s="1"/>
  <c r="V1428" i="57"/>
  <c r="AB1428" i="57" s="1"/>
  <c r="X1427" i="57"/>
  <c r="AD1427" i="57" s="1"/>
  <c r="W1427" i="57"/>
  <c r="AC1427" i="57" s="1"/>
  <c r="V1427" i="57"/>
  <c r="AB1427" i="57" s="1"/>
  <c r="X1426" i="57"/>
  <c r="AD1426" i="57" s="1"/>
  <c r="W1426" i="57"/>
  <c r="AC1426" i="57" s="1"/>
  <c r="V1426" i="57"/>
  <c r="AB1426" i="57" s="1"/>
  <c r="X1425" i="57"/>
  <c r="AD1425" i="57" s="1"/>
  <c r="W1425" i="57"/>
  <c r="AC1425" i="57" s="1"/>
  <c r="V1425" i="57"/>
  <c r="AB1425" i="57" s="1"/>
  <c r="X1424" i="57"/>
  <c r="AD1424" i="57" s="1"/>
  <c r="W1424" i="57"/>
  <c r="AC1424" i="57" s="1"/>
  <c r="V1424" i="57"/>
  <c r="AB1424" i="57" s="1"/>
  <c r="X1423" i="57"/>
  <c r="AD1423" i="57" s="1"/>
  <c r="W1423" i="57"/>
  <c r="AC1423" i="57" s="1"/>
  <c r="V1423" i="57"/>
  <c r="AB1423" i="57" s="1"/>
  <c r="X1422" i="57"/>
  <c r="AD1422" i="57" s="1"/>
  <c r="W1422" i="57"/>
  <c r="AC1422" i="57" s="1"/>
  <c r="V1422" i="57"/>
  <c r="AB1422" i="57" s="1"/>
  <c r="X1421" i="57"/>
  <c r="AD1421" i="57" s="1"/>
  <c r="W1421" i="57"/>
  <c r="AC1421" i="57" s="1"/>
  <c r="V1421" i="57"/>
  <c r="AB1421" i="57" s="1"/>
  <c r="X1420" i="57"/>
  <c r="AD1420" i="57" s="1"/>
  <c r="W1420" i="57"/>
  <c r="AC1420" i="57" s="1"/>
  <c r="V1420" i="57"/>
  <c r="AB1420" i="57" s="1"/>
  <c r="X1419" i="57"/>
  <c r="AD1419" i="57" s="1"/>
  <c r="W1419" i="57"/>
  <c r="AC1419" i="57" s="1"/>
  <c r="V1419" i="57"/>
  <c r="AB1419" i="57" s="1"/>
  <c r="X1418" i="57"/>
  <c r="AD1418" i="57" s="1"/>
  <c r="W1418" i="57"/>
  <c r="AC1418" i="57" s="1"/>
  <c r="V1418" i="57"/>
  <c r="AB1418" i="57" s="1"/>
  <c r="X1417" i="57"/>
  <c r="AD1417" i="57" s="1"/>
  <c r="W1417" i="57"/>
  <c r="AC1417" i="57" s="1"/>
  <c r="V1417" i="57"/>
  <c r="AB1417" i="57" s="1"/>
  <c r="X1416" i="57"/>
  <c r="AD1416" i="57" s="1"/>
  <c r="W1416" i="57"/>
  <c r="AC1416" i="57" s="1"/>
  <c r="V1416" i="57"/>
  <c r="AB1416" i="57" s="1"/>
  <c r="X1415" i="57"/>
  <c r="AD1415" i="57" s="1"/>
  <c r="W1415" i="57"/>
  <c r="AC1415" i="57" s="1"/>
  <c r="V1415" i="57"/>
  <c r="AB1415" i="57" s="1"/>
  <c r="X1414" i="57"/>
  <c r="AD1414" i="57" s="1"/>
  <c r="W1414" i="57"/>
  <c r="AC1414" i="57" s="1"/>
  <c r="V1414" i="57"/>
  <c r="AB1414" i="57" s="1"/>
  <c r="X1413" i="57"/>
  <c r="AD1413" i="57" s="1"/>
  <c r="W1413" i="57"/>
  <c r="AC1413" i="57" s="1"/>
  <c r="V1413" i="57"/>
  <c r="AB1413" i="57" s="1"/>
  <c r="X1412" i="57"/>
  <c r="AD1412" i="57" s="1"/>
  <c r="W1412" i="57"/>
  <c r="AC1412" i="57" s="1"/>
  <c r="V1412" i="57"/>
  <c r="AB1412" i="57" s="1"/>
  <c r="X1411" i="57"/>
  <c r="AD1411" i="57" s="1"/>
  <c r="W1411" i="57"/>
  <c r="AC1411" i="57" s="1"/>
  <c r="V1411" i="57"/>
  <c r="AB1411" i="57" s="1"/>
  <c r="X1410" i="57"/>
  <c r="AD1410" i="57" s="1"/>
  <c r="W1410" i="57"/>
  <c r="AC1410" i="57" s="1"/>
  <c r="V1410" i="57"/>
  <c r="AB1410" i="57" s="1"/>
  <c r="X1409" i="57"/>
  <c r="AD1409" i="57" s="1"/>
  <c r="W1409" i="57"/>
  <c r="AC1409" i="57" s="1"/>
  <c r="V1409" i="57"/>
  <c r="AB1409" i="57" s="1"/>
  <c r="X1408" i="57"/>
  <c r="AD1408" i="57" s="1"/>
  <c r="W1408" i="57"/>
  <c r="AC1408" i="57" s="1"/>
  <c r="V1408" i="57"/>
  <c r="AB1408" i="57" s="1"/>
  <c r="X1407" i="57"/>
  <c r="AD1407" i="57" s="1"/>
  <c r="W1407" i="57"/>
  <c r="AC1407" i="57" s="1"/>
  <c r="V1407" i="57"/>
  <c r="AB1407" i="57" s="1"/>
  <c r="X1406" i="57"/>
  <c r="AD1406" i="57" s="1"/>
  <c r="W1406" i="57"/>
  <c r="AC1406" i="57" s="1"/>
  <c r="V1406" i="57"/>
  <c r="AB1406" i="57" s="1"/>
  <c r="X1405" i="57"/>
  <c r="AD1405" i="57" s="1"/>
  <c r="W1405" i="57"/>
  <c r="AC1405" i="57" s="1"/>
  <c r="V1405" i="57"/>
  <c r="AB1405" i="57" s="1"/>
  <c r="X1404" i="57"/>
  <c r="AD1404" i="57" s="1"/>
  <c r="W1404" i="57"/>
  <c r="AC1404" i="57" s="1"/>
  <c r="V1404" i="57"/>
  <c r="AB1404" i="57" s="1"/>
  <c r="X1403" i="57"/>
  <c r="AD1403" i="57" s="1"/>
  <c r="W1403" i="57"/>
  <c r="AC1403" i="57" s="1"/>
  <c r="V1403" i="57"/>
  <c r="AB1403" i="57" s="1"/>
  <c r="X1402" i="57"/>
  <c r="AD1402" i="57" s="1"/>
  <c r="W1402" i="57"/>
  <c r="AC1402" i="57" s="1"/>
  <c r="V1402" i="57"/>
  <c r="AB1402" i="57" s="1"/>
  <c r="X1401" i="57"/>
  <c r="AD1401" i="57" s="1"/>
  <c r="W1401" i="57"/>
  <c r="AC1401" i="57" s="1"/>
  <c r="V1401" i="57"/>
  <c r="AB1401" i="57" s="1"/>
  <c r="X1400" i="57"/>
  <c r="AD1400" i="57" s="1"/>
  <c r="W1400" i="57"/>
  <c r="AC1400" i="57" s="1"/>
  <c r="V1400" i="57"/>
  <c r="AB1400" i="57" s="1"/>
  <c r="X1399" i="57"/>
  <c r="AD1399" i="57" s="1"/>
  <c r="W1399" i="57"/>
  <c r="AC1399" i="57" s="1"/>
  <c r="V1399" i="57"/>
  <c r="AB1399" i="57" s="1"/>
  <c r="X1398" i="57"/>
  <c r="AD1398" i="57" s="1"/>
  <c r="W1398" i="57"/>
  <c r="AC1398" i="57" s="1"/>
  <c r="V1398" i="57"/>
  <c r="AB1398" i="57" s="1"/>
  <c r="X1397" i="57"/>
  <c r="AD1397" i="57" s="1"/>
  <c r="W1397" i="57"/>
  <c r="AC1397" i="57" s="1"/>
  <c r="V1397" i="57"/>
  <c r="AB1397" i="57" s="1"/>
  <c r="X1396" i="57"/>
  <c r="AD1396" i="57" s="1"/>
  <c r="W1396" i="57"/>
  <c r="AC1396" i="57" s="1"/>
  <c r="V1396" i="57"/>
  <c r="AB1396" i="57" s="1"/>
  <c r="X1395" i="57"/>
  <c r="AD1395" i="57" s="1"/>
  <c r="W1395" i="57"/>
  <c r="AC1395" i="57" s="1"/>
  <c r="V1395" i="57"/>
  <c r="AB1395" i="57" s="1"/>
  <c r="X1394" i="57"/>
  <c r="AD1394" i="57" s="1"/>
  <c r="W1394" i="57"/>
  <c r="AC1394" i="57" s="1"/>
  <c r="V1394" i="57"/>
  <c r="AB1394" i="57" s="1"/>
  <c r="X1393" i="57"/>
  <c r="AD1393" i="57" s="1"/>
  <c r="W1393" i="57"/>
  <c r="AC1393" i="57" s="1"/>
  <c r="V1393" i="57"/>
  <c r="AB1393" i="57" s="1"/>
  <c r="X1392" i="57"/>
  <c r="AD1392" i="57" s="1"/>
  <c r="W1392" i="57"/>
  <c r="AC1392" i="57" s="1"/>
  <c r="V1392" i="57"/>
  <c r="AB1392" i="57" s="1"/>
  <c r="X1391" i="57"/>
  <c r="AD1391" i="57" s="1"/>
  <c r="W1391" i="57"/>
  <c r="AC1391" i="57" s="1"/>
  <c r="V1391" i="57"/>
  <c r="AB1391" i="57" s="1"/>
  <c r="X1390" i="57"/>
  <c r="AD1390" i="57" s="1"/>
  <c r="W1390" i="57"/>
  <c r="AC1390" i="57" s="1"/>
  <c r="V1390" i="57"/>
  <c r="AB1390" i="57" s="1"/>
  <c r="X1389" i="57"/>
  <c r="AD1389" i="57" s="1"/>
  <c r="W1389" i="57"/>
  <c r="AC1389" i="57" s="1"/>
  <c r="V1389" i="57"/>
  <c r="AB1389" i="57" s="1"/>
  <c r="X1388" i="57"/>
  <c r="AD1388" i="57" s="1"/>
  <c r="W1388" i="57"/>
  <c r="AC1388" i="57" s="1"/>
  <c r="V1388" i="57"/>
  <c r="AB1388" i="57" s="1"/>
  <c r="X1387" i="57"/>
  <c r="AD1387" i="57" s="1"/>
  <c r="W1387" i="57"/>
  <c r="AC1387" i="57" s="1"/>
  <c r="V1387" i="57"/>
  <c r="AB1387" i="57" s="1"/>
  <c r="X1386" i="57"/>
  <c r="AD1386" i="57" s="1"/>
  <c r="W1386" i="57"/>
  <c r="AC1386" i="57" s="1"/>
  <c r="V1386" i="57"/>
  <c r="AB1386" i="57" s="1"/>
  <c r="X1385" i="57"/>
  <c r="AD1385" i="57" s="1"/>
  <c r="W1385" i="57"/>
  <c r="AC1385" i="57" s="1"/>
  <c r="V1385" i="57"/>
  <c r="AB1385" i="57" s="1"/>
  <c r="X1384" i="57"/>
  <c r="AD1384" i="57" s="1"/>
  <c r="W1384" i="57"/>
  <c r="AC1384" i="57" s="1"/>
  <c r="V1384" i="57"/>
  <c r="AB1384" i="57" s="1"/>
  <c r="X1383" i="57"/>
  <c r="AD1383" i="57" s="1"/>
  <c r="W1383" i="57"/>
  <c r="AC1383" i="57" s="1"/>
  <c r="V1383" i="57"/>
  <c r="AB1383" i="57" s="1"/>
  <c r="X1382" i="57"/>
  <c r="AD1382" i="57" s="1"/>
  <c r="W1382" i="57"/>
  <c r="AC1382" i="57" s="1"/>
  <c r="V1382" i="57"/>
  <c r="AB1382" i="57" s="1"/>
  <c r="X1381" i="57"/>
  <c r="AD1381" i="57" s="1"/>
  <c r="W1381" i="57"/>
  <c r="AC1381" i="57" s="1"/>
  <c r="V1381" i="57"/>
  <c r="AB1381" i="57" s="1"/>
  <c r="X1380" i="57"/>
  <c r="AD1380" i="57" s="1"/>
  <c r="W1380" i="57"/>
  <c r="AC1380" i="57" s="1"/>
  <c r="V1380" i="57"/>
  <c r="AB1380" i="57" s="1"/>
  <c r="X1379" i="57"/>
  <c r="AD1379" i="57" s="1"/>
  <c r="W1379" i="57"/>
  <c r="AC1379" i="57" s="1"/>
  <c r="V1379" i="57"/>
  <c r="AB1379" i="57" s="1"/>
  <c r="X1378" i="57"/>
  <c r="AD1378" i="57" s="1"/>
  <c r="W1378" i="57"/>
  <c r="AC1378" i="57" s="1"/>
  <c r="V1378" i="57"/>
  <c r="AB1378" i="57" s="1"/>
  <c r="X1377" i="57"/>
  <c r="AD1377" i="57" s="1"/>
  <c r="W1377" i="57"/>
  <c r="AC1377" i="57" s="1"/>
  <c r="V1377" i="57"/>
  <c r="AB1377" i="57" s="1"/>
  <c r="X1376" i="57"/>
  <c r="AD1376" i="57" s="1"/>
  <c r="W1376" i="57"/>
  <c r="AC1376" i="57" s="1"/>
  <c r="V1376" i="57"/>
  <c r="AB1376" i="57" s="1"/>
  <c r="X1375" i="57"/>
  <c r="AD1375" i="57" s="1"/>
  <c r="W1375" i="57"/>
  <c r="AC1375" i="57" s="1"/>
  <c r="V1375" i="57"/>
  <c r="AB1375" i="57" s="1"/>
  <c r="X1374" i="57"/>
  <c r="AD1374" i="57" s="1"/>
  <c r="W1374" i="57"/>
  <c r="AC1374" i="57" s="1"/>
  <c r="V1374" i="57"/>
  <c r="AB1374" i="57" s="1"/>
  <c r="X1373" i="57"/>
  <c r="AD1373" i="57" s="1"/>
  <c r="W1373" i="57"/>
  <c r="AC1373" i="57" s="1"/>
  <c r="V1373" i="57"/>
  <c r="AB1373" i="57" s="1"/>
  <c r="X1372" i="57"/>
  <c r="AD1372" i="57" s="1"/>
  <c r="W1372" i="57"/>
  <c r="AC1372" i="57" s="1"/>
  <c r="V1372" i="57"/>
  <c r="AB1372" i="57" s="1"/>
  <c r="X1371" i="57"/>
  <c r="AD1371" i="57" s="1"/>
  <c r="W1371" i="57"/>
  <c r="AC1371" i="57" s="1"/>
  <c r="V1371" i="57"/>
  <c r="AB1371" i="57" s="1"/>
  <c r="X1370" i="57"/>
  <c r="AD1370" i="57" s="1"/>
  <c r="W1370" i="57"/>
  <c r="AC1370" i="57" s="1"/>
  <c r="V1370" i="57"/>
  <c r="AB1370" i="57" s="1"/>
  <c r="X1369" i="57"/>
  <c r="AD1369" i="57" s="1"/>
  <c r="W1369" i="57"/>
  <c r="AC1369" i="57" s="1"/>
  <c r="V1369" i="57"/>
  <c r="AB1369" i="57" s="1"/>
  <c r="X1368" i="57"/>
  <c r="AD1368" i="57" s="1"/>
  <c r="W1368" i="57"/>
  <c r="AC1368" i="57" s="1"/>
  <c r="V1368" i="57"/>
  <c r="AB1368" i="57" s="1"/>
  <c r="X1367" i="57"/>
  <c r="AD1367" i="57" s="1"/>
  <c r="W1367" i="57"/>
  <c r="AC1367" i="57" s="1"/>
  <c r="V1367" i="57"/>
  <c r="AB1367" i="57" s="1"/>
  <c r="X1366" i="57"/>
  <c r="AD1366" i="57" s="1"/>
  <c r="W1366" i="57"/>
  <c r="AC1366" i="57" s="1"/>
  <c r="V1366" i="57"/>
  <c r="AB1366" i="57" s="1"/>
  <c r="X1365" i="57"/>
  <c r="AD1365" i="57" s="1"/>
  <c r="W1365" i="57"/>
  <c r="AC1365" i="57" s="1"/>
  <c r="V1365" i="57"/>
  <c r="AB1365" i="57" s="1"/>
  <c r="X1364" i="57"/>
  <c r="AD1364" i="57" s="1"/>
  <c r="W1364" i="57"/>
  <c r="AC1364" i="57" s="1"/>
  <c r="V1364" i="57"/>
  <c r="AB1364" i="57" s="1"/>
  <c r="X1363" i="57"/>
  <c r="AD1363" i="57" s="1"/>
  <c r="W1363" i="57"/>
  <c r="AC1363" i="57" s="1"/>
  <c r="V1363" i="57"/>
  <c r="AB1363" i="57" s="1"/>
  <c r="X1362" i="57"/>
  <c r="AD1362" i="57" s="1"/>
  <c r="W1362" i="57"/>
  <c r="AC1362" i="57" s="1"/>
  <c r="V1362" i="57"/>
  <c r="AB1362" i="57" s="1"/>
  <c r="X1361" i="57"/>
  <c r="AD1361" i="57" s="1"/>
  <c r="W1361" i="57"/>
  <c r="AC1361" i="57" s="1"/>
  <c r="V1361" i="57"/>
  <c r="AB1361" i="57" s="1"/>
  <c r="X1360" i="57"/>
  <c r="AD1360" i="57" s="1"/>
  <c r="W1360" i="57"/>
  <c r="AC1360" i="57" s="1"/>
  <c r="V1360" i="57"/>
  <c r="AB1360" i="57" s="1"/>
  <c r="X1359" i="57"/>
  <c r="AD1359" i="57" s="1"/>
  <c r="W1359" i="57"/>
  <c r="AC1359" i="57" s="1"/>
  <c r="V1359" i="57"/>
  <c r="AB1359" i="57" s="1"/>
  <c r="X1358" i="57"/>
  <c r="AD1358" i="57" s="1"/>
  <c r="W1358" i="57"/>
  <c r="AC1358" i="57" s="1"/>
  <c r="V1358" i="57"/>
  <c r="AB1358" i="57" s="1"/>
  <c r="X1357" i="57"/>
  <c r="AD1357" i="57" s="1"/>
  <c r="W1357" i="57"/>
  <c r="AC1357" i="57" s="1"/>
  <c r="V1357" i="57"/>
  <c r="AB1357" i="57" s="1"/>
  <c r="X1356" i="57"/>
  <c r="AD1356" i="57" s="1"/>
  <c r="W1356" i="57"/>
  <c r="AC1356" i="57" s="1"/>
  <c r="V1356" i="57"/>
  <c r="AB1356" i="57" s="1"/>
  <c r="X1355" i="57"/>
  <c r="AD1355" i="57" s="1"/>
  <c r="W1355" i="57"/>
  <c r="AC1355" i="57" s="1"/>
  <c r="V1355" i="57"/>
  <c r="AB1355" i="57" s="1"/>
  <c r="X1354" i="57"/>
  <c r="AD1354" i="57" s="1"/>
  <c r="W1354" i="57"/>
  <c r="AC1354" i="57" s="1"/>
  <c r="V1354" i="57"/>
  <c r="AB1354" i="57" s="1"/>
  <c r="X1353" i="57"/>
  <c r="AD1353" i="57" s="1"/>
  <c r="W1353" i="57"/>
  <c r="AC1353" i="57" s="1"/>
  <c r="V1353" i="57"/>
  <c r="AB1353" i="57" s="1"/>
  <c r="X1352" i="57"/>
  <c r="AD1352" i="57" s="1"/>
  <c r="W1352" i="57"/>
  <c r="AC1352" i="57" s="1"/>
  <c r="V1352" i="57"/>
  <c r="AB1352" i="57" s="1"/>
  <c r="X1351" i="57"/>
  <c r="AD1351" i="57" s="1"/>
  <c r="W1351" i="57"/>
  <c r="AC1351" i="57" s="1"/>
  <c r="V1351" i="57"/>
  <c r="AB1351" i="57" s="1"/>
  <c r="X1350" i="57"/>
  <c r="AD1350" i="57" s="1"/>
  <c r="W1350" i="57"/>
  <c r="AC1350" i="57" s="1"/>
  <c r="V1350" i="57"/>
  <c r="AB1350" i="57" s="1"/>
  <c r="X1349" i="57"/>
  <c r="AD1349" i="57" s="1"/>
  <c r="W1349" i="57"/>
  <c r="AC1349" i="57" s="1"/>
  <c r="V1349" i="57"/>
  <c r="AB1349" i="57" s="1"/>
  <c r="X1348" i="57"/>
  <c r="AD1348" i="57" s="1"/>
  <c r="W1348" i="57"/>
  <c r="AC1348" i="57" s="1"/>
  <c r="V1348" i="57"/>
  <c r="AB1348" i="57" s="1"/>
  <c r="X1347" i="57"/>
  <c r="AD1347" i="57" s="1"/>
  <c r="W1347" i="57"/>
  <c r="AC1347" i="57" s="1"/>
  <c r="V1347" i="57"/>
  <c r="AB1347" i="57" s="1"/>
  <c r="X1346" i="57"/>
  <c r="AD1346" i="57" s="1"/>
  <c r="W1346" i="57"/>
  <c r="AC1346" i="57" s="1"/>
  <c r="V1346" i="57"/>
  <c r="AB1346" i="57" s="1"/>
  <c r="X1345" i="57"/>
  <c r="AD1345" i="57" s="1"/>
  <c r="W1345" i="57"/>
  <c r="AC1345" i="57" s="1"/>
  <c r="V1345" i="57"/>
  <c r="AB1345" i="57" s="1"/>
  <c r="X1344" i="57"/>
  <c r="AD1344" i="57" s="1"/>
  <c r="W1344" i="57"/>
  <c r="AC1344" i="57" s="1"/>
  <c r="V1344" i="57"/>
  <c r="AB1344" i="57" s="1"/>
  <c r="X1343" i="57"/>
  <c r="AD1343" i="57" s="1"/>
  <c r="W1343" i="57"/>
  <c r="AC1343" i="57" s="1"/>
  <c r="V1343" i="57"/>
  <c r="AB1343" i="57" s="1"/>
  <c r="X1342" i="57"/>
  <c r="AD1342" i="57" s="1"/>
  <c r="W1342" i="57"/>
  <c r="AC1342" i="57" s="1"/>
  <c r="V1342" i="57"/>
  <c r="AB1342" i="57" s="1"/>
  <c r="X1341" i="57"/>
  <c r="AD1341" i="57" s="1"/>
  <c r="W1341" i="57"/>
  <c r="AC1341" i="57" s="1"/>
  <c r="V1341" i="57"/>
  <c r="AB1341" i="57" s="1"/>
  <c r="X1340" i="57"/>
  <c r="AD1340" i="57" s="1"/>
  <c r="W1340" i="57"/>
  <c r="AC1340" i="57" s="1"/>
  <c r="V1340" i="57"/>
  <c r="AB1340" i="57" s="1"/>
  <c r="X1339" i="57"/>
  <c r="AD1339" i="57" s="1"/>
  <c r="W1339" i="57"/>
  <c r="AC1339" i="57" s="1"/>
  <c r="V1339" i="57"/>
  <c r="AB1339" i="57" s="1"/>
  <c r="X1338" i="57"/>
  <c r="AD1338" i="57" s="1"/>
  <c r="W1338" i="57"/>
  <c r="AC1338" i="57" s="1"/>
  <c r="V1338" i="57"/>
  <c r="AB1338" i="57" s="1"/>
  <c r="X1337" i="57"/>
  <c r="AD1337" i="57" s="1"/>
  <c r="W1337" i="57"/>
  <c r="AC1337" i="57" s="1"/>
  <c r="V1337" i="57"/>
  <c r="AB1337" i="57" s="1"/>
  <c r="X1336" i="57"/>
  <c r="AD1336" i="57" s="1"/>
  <c r="W1336" i="57"/>
  <c r="AC1336" i="57" s="1"/>
  <c r="V1336" i="57"/>
  <c r="AB1336" i="57" s="1"/>
  <c r="X1335" i="57"/>
  <c r="AD1335" i="57" s="1"/>
  <c r="W1335" i="57"/>
  <c r="AC1335" i="57" s="1"/>
  <c r="V1335" i="57"/>
  <c r="AB1335" i="57" s="1"/>
  <c r="X1334" i="57"/>
  <c r="AD1334" i="57" s="1"/>
  <c r="W1334" i="57"/>
  <c r="AC1334" i="57" s="1"/>
  <c r="V1334" i="57"/>
  <c r="AB1334" i="57" s="1"/>
  <c r="X1333" i="57"/>
  <c r="AD1333" i="57" s="1"/>
  <c r="W1333" i="57"/>
  <c r="AC1333" i="57" s="1"/>
  <c r="V1333" i="57"/>
  <c r="AB1333" i="57" s="1"/>
  <c r="X1332" i="57"/>
  <c r="AD1332" i="57" s="1"/>
  <c r="W1332" i="57"/>
  <c r="AC1332" i="57" s="1"/>
  <c r="V1332" i="57"/>
  <c r="AB1332" i="57" s="1"/>
  <c r="X1331" i="57"/>
  <c r="AD1331" i="57" s="1"/>
  <c r="W1331" i="57"/>
  <c r="AC1331" i="57" s="1"/>
  <c r="V1331" i="57"/>
  <c r="AB1331" i="57" s="1"/>
  <c r="X1330" i="57"/>
  <c r="AD1330" i="57" s="1"/>
  <c r="W1330" i="57"/>
  <c r="AC1330" i="57" s="1"/>
  <c r="V1330" i="57"/>
  <c r="AB1330" i="57" s="1"/>
  <c r="X1329" i="57"/>
  <c r="AD1329" i="57" s="1"/>
  <c r="W1329" i="57"/>
  <c r="AC1329" i="57" s="1"/>
  <c r="V1329" i="57"/>
  <c r="AB1329" i="57" s="1"/>
  <c r="X1328" i="57"/>
  <c r="AD1328" i="57" s="1"/>
  <c r="W1328" i="57"/>
  <c r="AC1328" i="57" s="1"/>
  <c r="V1328" i="57"/>
  <c r="AB1328" i="57" s="1"/>
  <c r="X1327" i="57"/>
  <c r="AD1327" i="57" s="1"/>
  <c r="W1327" i="57"/>
  <c r="AC1327" i="57" s="1"/>
  <c r="V1327" i="57"/>
  <c r="AB1327" i="57" s="1"/>
  <c r="X1326" i="57"/>
  <c r="AD1326" i="57" s="1"/>
  <c r="W1326" i="57"/>
  <c r="AC1326" i="57" s="1"/>
  <c r="V1326" i="57"/>
  <c r="AB1326" i="57" s="1"/>
  <c r="X1325" i="57"/>
  <c r="AD1325" i="57" s="1"/>
  <c r="W1325" i="57"/>
  <c r="AC1325" i="57" s="1"/>
  <c r="V1325" i="57"/>
  <c r="AB1325" i="57" s="1"/>
  <c r="X1324" i="57"/>
  <c r="AD1324" i="57" s="1"/>
  <c r="W1324" i="57"/>
  <c r="AC1324" i="57" s="1"/>
  <c r="V1324" i="57"/>
  <c r="AB1324" i="57" s="1"/>
  <c r="X1323" i="57"/>
  <c r="AD1323" i="57" s="1"/>
  <c r="W1323" i="57"/>
  <c r="AC1323" i="57" s="1"/>
  <c r="V1323" i="57"/>
  <c r="AB1323" i="57" s="1"/>
  <c r="X1322" i="57"/>
  <c r="AD1322" i="57" s="1"/>
  <c r="W1322" i="57"/>
  <c r="AC1322" i="57" s="1"/>
  <c r="V1322" i="57"/>
  <c r="AB1322" i="57" s="1"/>
  <c r="X1321" i="57"/>
  <c r="AD1321" i="57" s="1"/>
  <c r="W1321" i="57"/>
  <c r="AC1321" i="57" s="1"/>
  <c r="V1321" i="57"/>
  <c r="AB1321" i="57" s="1"/>
  <c r="X1320" i="57"/>
  <c r="AD1320" i="57" s="1"/>
  <c r="W1320" i="57"/>
  <c r="AC1320" i="57" s="1"/>
  <c r="V1320" i="57"/>
  <c r="AB1320" i="57" s="1"/>
  <c r="X1319" i="57"/>
  <c r="AD1319" i="57" s="1"/>
  <c r="W1319" i="57"/>
  <c r="AC1319" i="57" s="1"/>
  <c r="V1319" i="57"/>
  <c r="AB1319" i="57" s="1"/>
  <c r="X1318" i="57"/>
  <c r="AD1318" i="57" s="1"/>
  <c r="W1318" i="57"/>
  <c r="AC1318" i="57" s="1"/>
  <c r="V1318" i="57"/>
  <c r="AB1318" i="57" s="1"/>
  <c r="X1317" i="57"/>
  <c r="AD1317" i="57" s="1"/>
  <c r="W1317" i="57"/>
  <c r="AC1317" i="57" s="1"/>
  <c r="V1317" i="57"/>
  <c r="AB1317" i="57" s="1"/>
  <c r="X1316" i="57"/>
  <c r="AD1316" i="57" s="1"/>
  <c r="W1316" i="57"/>
  <c r="AC1316" i="57" s="1"/>
  <c r="V1316" i="57"/>
  <c r="AB1316" i="57" s="1"/>
  <c r="X1315" i="57"/>
  <c r="AD1315" i="57" s="1"/>
  <c r="W1315" i="57"/>
  <c r="AC1315" i="57" s="1"/>
  <c r="V1315" i="57"/>
  <c r="AB1315" i="57" s="1"/>
  <c r="X1314" i="57"/>
  <c r="AD1314" i="57" s="1"/>
  <c r="W1314" i="57"/>
  <c r="AC1314" i="57" s="1"/>
  <c r="V1314" i="57"/>
  <c r="AB1314" i="57" s="1"/>
  <c r="X1313" i="57"/>
  <c r="AD1313" i="57" s="1"/>
  <c r="W1313" i="57"/>
  <c r="AC1313" i="57" s="1"/>
  <c r="V1313" i="57"/>
  <c r="AB1313" i="57" s="1"/>
  <c r="X1312" i="57"/>
  <c r="AD1312" i="57" s="1"/>
  <c r="W1312" i="57"/>
  <c r="AC1312" i="57" s="1"/>
  <c r="V1312" i="57"/>
  <c r="AB1312" i="57" s="1"/>
  <c r="X1311" i="57"/>
  <c r="AD1311" i="57" s="1"/>
  <c r="W1311" i="57"/>
  <c r="AC1311" i="57" s="1"/>
  <c r="V1311" i="57"/>
  <c r="AB1311" i="57" s="1"/>
  <c r="X1310" i="57"/>
  <c r="AD1310" i="57" s="1"/>
  <c r="W1310" i="57"/>
  <c r="AC1310" i="57" s="1"/>
  <c r="V1310" i="57"/>
  <c r="AB1310" i="57" s="1"/>
  <c r="X1309" i="57"/>
  <c r="AD1309" i="57" s="1"/>
  <c r="W1309" i="57"/>
  <c r="AC1309" i="57" s="1"/>
  <c r="V1309" i="57"/>
  <c r="AB1309" i="57" s="1"/>
  <c r="X1308" i="57"/>
  <c r="AD1308" i="57" s="1"/>
  <c r="W1308" i="57"/>
  <c r="AC1308" i="57" s="1"/>
  <c r="V1308" i="57"/>
  <c r="AB1308" i="57" s="1"/>
  <c r="X1307" i="57"/>
  <c r="AD1307" i="57" s="1"/>
  <c r="W1307" i="57"/>
  <c r="AC1307" i="57" s="1"/>
  <c r="V1307" i="57"/>
  <c r="AB1307" i="57" s="1"/>
  <c r="X1306" i="57"/>
  <c r="AD1306" i="57" s="1"/>
  <c r="W1306" i="57"/>
  <c r="AC1306" i="57" s="1"/>
  <c r="V1306" i="57"/>
  <c r="AB1306" i="57" s="1"/>
  <c r="X1305" i="57"/>
  <c r="AD1305" i="57" s="1"/>
  <c r="W1305" i="57"/>
  <c r="AC1305" i="57" s="1"/>
  <c r="V1305" i="57"/>
  <c r="AB1305" i="57" s="1"/>
  <c r="X1304" i="57"/>
  <c r="AD1304" i="57" s="1"/>
  <c r="W1304" i="57"/>
  <c r="AC1304" i="57" s="1"/>
  <c r="V1304" i="57"/>
  <c r="AB1304" i="57" s="1"/>
  <c r="X1303" i="57"/>
  <c r="AD1303" i="57" s="1"/>
  <c r="W1303" i="57"/>
  <c r="AC1303" i="57" s="1"/>
  <c r="V1303" i="57"/>
  <c r="AB1303" i="57" s="1"/>
  <c r="X1302" i="57"/>
  <c r="AD1302" i="57" s="1"/>
  <c r="W1302" i="57"/>
  <c r="AC1302" i="57" s="1"/>
  <c r="V1302" i="57"/>
  <c r="AB1302" i="57" s="1"/>
  <c r="X1301" i="57"/>
  <c r="AD1301" i="57" s="1"/>
  <c r="W1301" i="57"/>
  <c r="AC1301" i="57" s="1"/>
  <c r="V1301" i="57"/>
  <c r="AB1301" i="57" s="1"/>
  <c r="X1300" i="57"/>
  <c r="AD1300" i="57" s="1"/>
  <c r="W1300" i="57"/>
  <c r="AC1300" i="57" s="1"/>
  <c r="V1300" i="57"/>
  <c r="AB1300" i="57" s="1"/>
  <c r="X1299" i="57"/>
  <c r="AD1299" i="57" s="1"/>
  <c r="W1299" i="57"/>
  <c r="AC1299" i="57" s="1"/>
  <c r="V1299" i="57"/>
  <c r="AB1299" i="57" s="1"/>
  <c r="X1298" i="57"/>
  <c r="AD1298" i="57" s="1"/>
  <c r="W1298" i="57"/>
  <c r="AC1298" i="57" s="1"/>
  <c r="V1298" i="57"/>
  <c r="AB1298" i="57" s="1"/>
  <c r="X1297" i="57"/>
  <c r="AD1297" i="57" s="1"/>
  <c r="W1297" i="57"/>
  <c r="AC1297" i="57" s="1"/>
  <c r="V1297" i="57"/>
  <c r="AB1297" i="57" s="1"/>
  <c r="X1296" i="57"/>
  <c r="AD1296" i="57" s="1"/>
  <c r="W1296" i="57"/>
  <c r="AC1296" i="57" s="1"/>
  <c r="V1296" i="57"/>
  <c r="AB1296" i="57" s="1"/>
  <c r="X1295" i="57"/>
  <c r="AD1295" i="57" s="1"/>
  <c r="W1295" i="57"/>
  <c r="AC1295" i="57" s="1"/>
  <c r="V1295" i="57"/>
  <c r="AB1295" i="57" s="1"/>
  <c r="X1294" i="57"/>
  <c r="AD1294" i="57" s="1"/>
  <c r="W1294" i="57"/>
  <c r="AC1294" i="57" s="1"/>
  <c r="V1294" i="57"/>
  <c r="AB1294" i="57" s="1"/>
  <c r="X1293" i="57"/>
  <c r="AD1293" i="57" s="1"/>
  <c r="W1293" i="57"/>
  <c r="AC1293" i="57" s="1"/>
  <c r="V1293" i="57"/>
  <c r="AB1293" i="57" s="1"/>
  <c r="X1292" i="57"/>
  <c r="AD1292" i="57" s="1"/>
  <c r="W1292" i="57"/>
  <c r="AC1292" i="57" s="1"/>
  <c r="V1292" i="57"/>
  <c r="AB1292" i="57" s="1"/>
  <c r="X1291" i="57"/>
  <c r="AD1291" i="57" s="1"/>
  <c r="W1291" i="57"/>
  <c r="AC1291" i="57" s="1"/>
  <c r="V1291" i="57"/>
  <c r="AB1291" i="57" s="1"/>
  <c r="X1290" i="57"/>
  <c r="AD1290" i="57" s="1"/>
  <c r="W1290" i="57"/>
  <c r="AC1290" i="57" s="1"/>
  <c r="V1290" i="57"/>
  <c r="AB1290" i="57" s="1"/>
  <c r="X1289" i="57"/>
  <c r="AD1289" i="57" s="1"/>
  <c r="W1289" i="57"/>
  <c r="AC1289" i="57" s="1"/>
  <c r="V1289" i="57"/>
  <c r="AB1289" i="57" s="1"/>
  <c r="X1288" i="57"/>
  <c r="AD1288" i="57" s="1"/>
  <c r="W1288" i="57"/>
  <c r="AC1288" i="57" s="1"/>
  <c r="V1288" i="57"/>
  <c r="AB1288" i="57" s="1"/>
  <c r="X1287" i="57"/>
  <c r="AD1287" i="57" s="1"/>
  <c r="W1287" i="57"/>
  <c r="AC1287" i="57" s="1"/>
  <c r="V1287" i="57"/>
  <c r="AB1287" i="57" s="1"/>
  <c r="X1286" i="57"/>
  <c r="AD1286" i="57" s="1"/>
  <c r="W1286" i="57"/>
  <c r="AC1286" i="57" s="1"/>
  <c r="V1286" i="57"/>
  <c r="AB1286" i="57" s="1"/>
  <c r="X1285" i="57"/>
  <c r="AD1285" i="57" s="1"/>
  <c r="W1285" i="57"/>
  <c r="AC1285" i="57" s="1"/>
  <c r="V1285" i="57"/>
  <c r="AB1285" i="57" s="1"/>
  <c r="X1284" i="57"/>
  <c r="AD1284" i="57" s="1"/>
  <c r="W1284" i="57"/>
  <c r="AC1284" i="57" s="1"/>
  <c r="V1284" i="57"/>
  <c r="AB1284" i="57" s="1"/>
  <c r="X1283" i="57"/>
  <c r="AD1283" i="57" s="1"/>
  <c r="W1283" i="57"/>
  <c r="AC1283" i="57" s="1"/>
  <c r="V1283" i="57"/>
  <c r="AB1283" i="57" s="1"/>
  <c r="X1282" i="57"/>
  <c r="AD1282" i="57" s="1"/>
  <c r="W1282" i="57"/>
  <c r="AC1282" i="57" s="1"/>
  <c r="V1282" i="57"/>
  <c r="AB1282" i="57" s="1"/>
  <c r="X1281" i="57"/>
  <c r="AD1281" i="57" s="1"/>
  <c r="W1281" i="57"/>
  <c r="AC1281" i="57" s="1"/>
  <c r="V1281" i="57"/>
  <c r="AB1281" i="57" s="1"/>
  <c r="X1280" i="57"/>
  <c r="AD1280" i="57" s="1"/>
  <c r="W1280" i="57"/>
  <c r="AC1280" i="57" s="1"/>
  <c r="V1280" i="57"/>
  <c r="AB1280" i="57" s="1"/>
  <c r="X1279" i="57"/>
  <c r="AD1279" i="57" s="1"/>
  <c r="W1279" i="57"/>
  <c r="AC1279" i="57" s="1"/>
  <c r="V1279" i="57"/>
  <c r="AB1279" i="57" s="1"/>
  <c r="X1278" i="57"/>
  <c r="AD1278" i="57" s="1"/>
  <c r="W1278" i="57"/>
  <c r="AC1278" i="57" s="1"/>
  <c r="V1278" i="57"/>
  <c r="AB1278" i="57" s="1"/>
  <c r="X1277" i="57"/>
  <c r="AD1277" i="57" s="1"/>
  <c r="W1277" i="57"/>
  <c r="AC1277" i="57" s="1"/>
  <c r="V1277" i="57"/>
  <c r="AB1277" i="57" s="1"/>
  <c r="X1276" i="57"/>
  <c r="AD1276" i="57" s="1"/>
  <c r="W1276" i="57"/>
  <c r="AC1276" i="57" s="1"/>
  <c r="V1276" i="57"/>
  <c r="AB1276" i="57" s="1"/>
  <c r="X1275" i="57"/>
  <c r="AD1275" i="57" s="1"/>
  <c r="W1275" i="57"/>
  <c r="AC1275" i="57" s="1"/>
  <c r="V1275" i="57"/>
  <c r="AB1275" i="57" s="1"/>
  <c r="X1274" i="57"/>
  <c r="AD1274" i="57" s="1"/>
  <c r="W1274" i="57"/>
  <c r="AC1274" i="57" s="1"/>
  <c r="V1274" i="57"/>
  <c r="AB1274" i="57" s="1"/>
  <c r="X1273" i="57"/>
  <c r="AD1273" i="57" s="1"/>
  <c r="W1273" i="57"/>
  <c r="AC1273" i="57" s="1"/>
  <c r="V1273" i="57"/>
  <c r="AB1273" i="57" s="1"/>
  <c r="X1272" i="57"/>
  <c r="AD1272" i="57" s="1"/>
  <c r="W1272" i="57"/>
  <c r="AC1272" i="57" s="1"/>
  <c r="V1272" i="57"/>
  <c r="AB1272" i="57" s="1"/>
  <c r="X1271" i="57"/>
  <c r="AD1271" i="57" s="1"/>
  <c r="W1271" i="57"/>
  <c r="AC1271" i="57" s="1"/>
  <c r="V1271" i="57"/>
  <c r="AB1271" i="57" s="1"/>
  <c r="X1270" i="57"/>
  <c r="AD1270" i="57" s="1"/>
  <c r="W1270" i="57"/>
  <c r="AC1270" i="57" s="1"/>
  <c r="V1270" i="57"/>
  <c r="AB1270" i="57" s="1"/>
  <c r="X1269" i="57"/>
  <c r="AD1269" i="57" s="1"/>
  <c r="W1269" i="57"/>
  <c r="AC1269" i="57" s="1"/>
  <c r="V1269" i="57"/>
  <c r="AB1269" i="57" s="1"/>
  <c r="X1268" i="57"/>
  <c r="AD1268" i="57" s="1"/>
  <c r="W1268" i="57"/>
  <c r="AC1268" i="57" s="1"/>
  <c r="V1268" i="57"/>
  <c r="AB1268" i="57" s="1"/>
  <c r="X1267" i="57"/>
  <c r="AD1267" i="57" s="1"/>
  <c r="W1267" i="57"/>
  <c r="AC1267" i="57" s="1"/>
  <c r="V1267" i="57"/>
  <c r="AB1267" i="57" s="1"/>
  <c r="X1266" i="57"/>
  <c r="AD1266" i="57" s="1"/>
  <c r="W1266" i="57"/>
  <c r="AC1266" i="57" s="1"/>
  <c r="V1266" i="57"/>
  <c r="AB1266" i="57" s="1"/>
  <c r="X1265" i="57"/>
  <c r="AD1265" i="57" s="1"/>
  <c r="W1265" i="57"/>
  <c r="AC1265" i="57" s="1"/>
  <c r="V1265" i="57"/>
  <c r="AB1265" i="57" s="1"/>
  <c r="X1264" i="57"/>
  <c r="AD1264" i="57" s="1"/>
  <c r="W1264" i="57"/>
  <c r="AC1264" i="57" s="1"/>
  <c r="V1264" i="57"/>
  <c r="AB1264" i="57" s="1"/>
  <c r="X1263" i="57"/>
  <c r="AD1263" i="57" s="1"/>
  <c r="W1263" i="57"/>
  <c r="AC1263" i="57" s="1"/>
  <c r="V1263" i="57"/>
  <c r="AB1263" i="57" s="1"/>
  <c r="X1262" i="57"/>
  <c r="AD1262" i="57" s="1"/>
  <c r="W1262" i="57"/>
  <c r="AC1262" i="57" s="1"/>
  <c r="V1262" i="57"/>
  <c r="AB1262" i="57" s="1"/>
  <c r="X1261" i="57"/>
  <c r="AD1261" i="57" s="1"/>
  <c r="W1261" i="57"/>
  <c r="AC1261" i="57" s="1"/>
  <c r="V1261" i="57"/>
  <c r="AB1261" i="57" s="1"/>
  <c r="X1260" i="57"/>
  <c r="AD1260" i="57" s="1"/>
  <c r="W1260" i="57"/>
  <c r="AC1260" i="57" s="1"/>
  <c r="V1260" i="57"/>
  <c r="AB1260" i="57" s="1"/>
  <c r="X1259" i="57"/>
  <c r="AD1259" i="57" s="1"/>
  <c r="W1259" i="57"/>
  <c r="AC1259" i="57" s="1"/>
  <c r="V1259" i="57"/>
  <c r="AB1259" i="57" s="1"/>
  <c r="X1258" i="57"/>
  <c r="AD1258" i="57" s="1"/>
  <c r="W1258" i="57"/>
  <c r="AC1258" i="57" s="1"/>
  <c r="V1258" i="57"/>
  <c r="AB1258" i="57" s="1"/>
  <c r="X1257" i="57"/>
  <c r="AD1257" i="57" s="1"/>
  <c r="W1257" i="57"/>
  <c r="AC1257" i="57" s="1"/>
  <c r="V1257" i="57"/>
  <c r="AB1257" i="57" s="1"/>
  <c r="X1256" i="57"/>
  <c r="AD1256" i="57" s="1"/>
  <c r="W1256" i="57"/>
  <c r="AC1256" i="57" s="1"/>
  <c r="V1256" i="57"/>
  <c r="AB1256" i="57" s="1"/>
  <c r="X1255" i="57"/>
  <c r="AD1255" i="57" s="1"/>
  <c r="W1255" i="57"/>
  <c r="AC1255" i="57" s="1"/>
  <c r="V1255" i="57"/>
  <c r="AB1255" i="57" s="1"/>
  <c r="X1254" i="57"/>
  <c r="AD1254" i="57" s="1"/>
  <c r="W1254" i="57"/>
  <c r="AC1254" i="57" s="1"/>
  <c r="V1254" i="57"/>
  <c r="AB1254" i="57" s="1"/>
  <c r="X1253" i="57"/>
  <c r="AD1253" i="57" s="1"/>
  <c r="W1253" i="57"/>
  <c r="AC1253" i="57" s="1"/>
  <c r="V1253" i="57"/>
  <c r="AB1253" i="57" s="1"/>
  <c r="X1252" i="57"/>
  <c r="AD1252" i="57" s="1"/>
  <c r="W1252" i="57"/>
  <c r="AC1252" i="57" s="1"/>
  <c r="V1252" i="57"/>
  <c r="AB1252" i="57" s="1"/>
  <c r="X1251" i="57"/>
  <c r="AD1251" i="57" s="1"/>
  <c r="W1251" i="57"/>
  <c r="AC1251" i="57" s="1"/>
  <c r="V1251" i="57"/>
  <c r="AB1251" i="57" s="1"/>
  <c r="X1250" i="57"/>
  <c r="AD1250" i="57" s="1"/>
  <c r="W1250" i="57"/>
  <c r="AC1250" i="57" s="1"/>
  <c r="V1250" i="57"/>
  <c r="AB1250" i="57" s="1"/>
  <c r="X1249" i="57"/>
  <c r="AD1249" i="57" s="1"/>
  <c r="W1249" i="57"/>
  <c r="AC1249" i="57" s="1"/>
  <c r="V1249" i="57"/>
  <c r="AB1249" i="57" s="1"/>
  <c r="X1248" i="57"/>
  <c r="AD1248" i="57" s="1"/>
  <c r="W1248" i="57"/>
  <c r="AC1248" i="57" s="1"/>
  <c r="V1248" i="57"/>
  <c r="AB1248" i="57" s="1"/>
  <c r="X1247" i="57"/>
  <c r="AD1247" i="57" s="1"/>
  <c r="W1247" i="57"/>
  <c r="AC1247" i="57" s="1"/>
  <c r="V1247" i="57"/>
  <c r="AB1247" i="57" s="1"/>
  <c r="X1246" i="57"/>
  <c r="AD1246" i="57" s="1"/>
  <c r="W1246" i="57"/>
  <c r="AC1246" i="57" s="1"/>
  <c r="V1246" i="57"/>
  <c r="AB1246" i="57" s="1"/>
  <c r="X1245" i="57"/>
  <c r="AD1245" i="57" s="1"/>
  <c r="W1245" i="57"/>
  <c r="AC1245" i="57" s="1"/>
  <c r="V1245" i="57"/>
  <c r="AB1245" i="57" s="1"/>
  <c r="X1244" i="57"/>
  <c r="AD1244" i="57" s="1"/>
  <c r="W1244" i="57"/>
  <c r="AC1244" i="57" s="1"/>
  <c r="V1244" i="57"/>
  <c r="AB1244" i="57" s="1"/>
  <c r="X1243" i="57"/>
  <c r="AD1243" i="57" s="1"/>
  <c r="W1243" i="57"/>
  <c r="AC1243" i="57" s="1"/>
  <c r="V1243" i="57"/>
  <c r="AB1243" i="57" s="1"/>
  <c r="X1242" i="57"/>
  <c r="AD1242" i="57" s="1"/>
  <c r="W1242" i="57"/>
  <c r="AC1242" i="57" s="1"/>
  <c r="V1242" i="57"/>
  <c r="AB1242" i="57" s="1"/>
  <c r="X1241" i="57"/>
  <c r="AD1241" i="57" s="1"/>
  <c r="W1241" i="57"/>
  <c r="AC1241" i="57" s="1"/>
  <c r="V1241" i="57"/>
  <c r="AB1241" i="57" s="1"/>
  <c r="X1240" i="57"/>
  <c r="AD1240" i="57" s="1"/>
  <c r="W1240" i="57"/>
  <c r="AC1240" i="57" s="1"/>
  <c r="V1240" i="57"/>
  <c r="AB1240" i="57" s="1"/>
  <c r="X1239" i="57"/>
  <c r="AD1239" i="57" s="1"/>
  <c r="W1239" i="57"/>
  <c r="AC1239" i="57" s="1"/>
  <c r="V1239" i="57"/>
  <c r="AB1239" i="57" s="1"/>
  <c r="X1238" i="57"/>
  <c r="AD1238" i="57" s="1"/>
  <c r="W1238" i="57"/>
  <c r="AC1238" i="57" s="1"/>
  <c r="V1238" i="57"/>
  <c r="AB1238" i="57" s="1"/>
  <c r="X1237" i="57"/>
  <c r="AD1237" i="57" s="1"/>
  <c r="W1237" i="57"/>
  <c r="AC1237" i="57" s="1"/>
  <c r="V1237" i="57"/>
  <c r="AB1237" i="57" s="1"/>
  <c r="X1236" i="57"/>
  <c r="AD1236" i="57" s="1"/>
  <c r="W1236" i="57"/>
  <c r="AC1236" i="57" s="1"/>
  <c r="V1236" i="57"/>
  <c r="AB1236" i="57" s="1"/>
  <c r="X1235" i="57"/>
  <c r="AD1235" i="57" s="1"/>
  <c r="W1235" i="57"/>
  <c r="AC1235" i="57" s="1"/>
  <c r="V1235" i="57"/>
  <c r="AB1235" i="57" s="1"/>
  <c r="X1234" i="57"/>
  <c r="AD1234" i="57" s="1"/>
  <c r="W1234" i="57"/>
  <c r="AC1234" i="57" s="1"/>
  <c r="V1234" i="57"/>
  <c r="AB1234" i="57" s="1"/>
  <c r="X1233" i="57"/>
  <c r="AD1233" i="57" s="1"/>
  <c r="W1233" i="57"/>
  <c r="AC1233" i="57" s="1"/>
  <c r="V1233" i="57"/>
  <c r="AB1233" i="57" s="1"/>
  <c r="X1232" i="57"/>
  <c r="AD1232" i="57" s="1"/>
  <c r="W1232" i="57"/>
  <c r="AC1232" i="57" s="1"/>
  <c r="V1232" i="57"/>
  <c r="AB1232" i="57" s="1"/>
  <c r="X1231" i="57"/>
  <c r="AD1231" i="57" s="1"/>
  <c r="W1231" i="57"/>
  <c r="AC1231" i="57" s="1"/>
  <c r="V1231" i="57"/>
  <c r="AB1231" i="57" s="1"/>
  <c r="X1230" i="57"/>
  <c r="AD1230" i="57" s="1"/>
  <c r="W1230" i="57"/>
  <c r="AC1230" i="57" s="1"/>
  <c r="V1230" i="57"/>
  <c r="AB1230" i="57" s="1"/>
  <c r="X1229" i="57"/>
  <c r="AD1229" i="57" s="1"/>
  <c r="W1229" i="57"/>
  <c r="AC1229" i="57" s="1"/>
  <c r="V1229" i="57"/>
  <c r="AB1229" i="57" s="1"/>
  <c r="X1228" i="57"/>
  <c r="AD1228" i="57" s="1"/>
  <c r="W1228" i="57"/>
  <c r="AC1228" i="57" s="1"/>
  <c r="V1228" i="57"/>
  <c r="AB1228" i="57" s="1"/>
  <c r="X1227" i="57"/>
  <c r="AD1227" i="57" s="1"/>
  <c r="W1227" i="57"/>
  <c r="AC1227" i="57" s="1"/>
  <c r="V1227" i="57"/>
  <c r="AB1227" i="57" s="1"/>
  <c r="X1226" i="57"/>
  <c r="AD1226" i="57" s="1"/>
  <c r="W1226" i="57"/>
  <c r="AC1226" i="57" s="1"/>
  <c r="V1226" i="57"/>
  <c r="AB1226" i="57" s="1"/>
  <c r="X1225" i="57"/>
  <c r="AD1225" i="57" s="1"/>
  <c r="W1225" i="57"/>
  <c r="AC1225" i="57" s="1"/>
  <c r="V1225" i="57"/>
  <c r="AB1225" i="57" s="1"/>
  <c r="X1224" i="57"/>
  <c r="AD1224" i="57" s="1"/>
  <c r="W1224" i="57"/>
  <c r="AC1224" i="57" s="1"/>
  <c r="V1224" i="57"/>
  <c r="AB1224" i="57" s="1"/>
  <c r="X1223" i="57"/>
  <c r="AD1223" i="57" s="1"/>
  <c r="W1223" i="57"/>
  <c r="AC1223" i="57" s="1"/>
  <c r="V1223" i="57"/>
  <c r="AB1223" i="57" s="1"/>
  <c r="X1222" i="57"/>
  <c r="AD1222" i="57" s="1"/>
  <c r="W1222" i="57"/>
  <c r="AC1222" i="57" s="1"/>
  <c r="V1222" i="57"/>
  <c r="AB1222" i="57" s="1"/>
  <c r="X1221" i="57"/>
  <c r="AD1221" i="57" s="1"/>
  <c r="W1221" i="57"/>
  <c r="AC1221" i="57" s="1"/>
  <c r="V1221" i="57"/>
  <c r="AB1221" i="57" s="1"/>
  <c r="X1220" i="57"/>
  <c r="AD1220" i="57" s="1"/>
  <c r="W1220" i="57"/>
  <c r="AC1220" i="57" s="1"/>
  <c r="V1220" i="57"/>
  <c r="AB1220" i="57" s="1"/>
  <c r="X1219" i="57"/>
  <c r="AD1219" i="57" s="1"/>
  <c r="W1219" i="57"/>
  <c r="AC1219" i="57" s="1"/>
  <c r="V1219" i="57"/>
  <c r="AB1219" i="57" s="1"/>
  <c r="X1218" i="57"/>
  <c r="AD1218" i="57" s="1"/>
  <c r="W1218" i="57"/>
  <c r="AC1218" i="57" s="1"/>
  <c r="V1218" i="57"/>
  <c r="AB1218" i="57" s="1"/>
  <c r="X1217" i="57"/>
  <c r="AD1217" i="57" s="1"/>
  <c r="W1217" i="57"/>
  <c r="AC1217" i="57" s="1"/>
  <c r="V1217" i="57"/>
  <c r="AB1217" i="57" s="1"/>
  <c r="X1216" i="57"/>
  <c r="AD1216" i="57" s="1"/>
  <c r="W1216" i="57"/>
  <c r="AC1216" i="57" s="1"/>
  <c r="V1216" i="57"/>
  <c r="AB1216" i="57" s="1"/>
  <c r="X1215" i="57"/>
  <c r="AD1215" i="57" s="1"/>
  <c r="W1215" i="57"/>
  <c r="AC1215" i="57" s="1"/>
  <c r="V1215" i="57"/>
  <c r="AB1215" i="57" s="1"/>
  <c r="X1214" i="57"/>
  <c r="AD1214" i="57" s="1"/>
  <c r="W1214" i="57"/>
  <c r="AC1214" i="57" s="1"/>
  <c r="V1214" i="57"/>
  <c r="AB1214" i="57" s="1"/>
  <c r="X1213" i="57"/>
  <c r="AD1213" i="57" s="1"/>
  <c r="W1213" i="57"/>
  <c r="AC1213" i="57" s="1"/>
  <c r="V1213" i="57"/>
  <c r="AB1213" i="57" s="1"/>
  <c r="X1212" i="57"/>
  <c r="AD1212" i="57" s="1"/>
  <c r="W1212" i="57"/>
  <c r="AC1212" i="57" s="1"/>
  <c r="V1212" i="57"/>
  <c r="AB1212" i="57" s="1"/>
  <c r="X1211" i="57"/>
  <c r="AD1211" i="57" s="1"/>
  <c r="W1211" i="57"/>
  <c r="AC1211" i="57" s="1"/>
  <c r="V1211" i="57"/>
  <c r="AB1211" i="57" s="1"/>
  <c r="X1210" i="57"/>
  <c r="AD1210" i="57" s="1"/>
  <c r="W1210" i="57"/>
  <c r="AC1210" i="57" s="1"/>
  <c r="V1210" i="57"/>
  <c r="AB1210" i="57" s="1"/>
  <c r="X1209" i="57"/>
  <c r="AD1209" i="57" s="1"/>
  <c r="W1209" i="57"/>
  <c r="AC1209" i="57" s="1"/>
  <c r="V1209" i="57"/>
  <c r="AB1209" i="57" s="1"/>
  <c r="X1208" i="57"/>
  <c r="AD1208" i="57" s="1"/>
  <c r="W1208" i="57"/>
  <c r="AC1208" i="57" s="1"/>
  <c r="V1208" i="57"/>
  <c r="AB1208" i="57" s="1"/>
  <c r="X1207" i="57"/>
  <c r="AD1207" i="57" s="1"/>
  <c r="W1207" i="57"/>
  <c r="AC1207" i="57" s="1"/>
  <c r="V1207" i="57"/>
  <c r="AB1207" i="57" s="1"/>
  <c r="X1206" i="57"/>
  <c r="AD1206" i="57" s="1"/>
  <c r="W1206" i="57"/>
  <c r="AC1206" i="57" s="1"/>
  <c r="V1206" i="57"/>
  <c r="AB1206" i="57" s="1"/>
  <c r="X1205" i="57"/>
  <c r="AD1205" i="57" s="1"/>
  <c r="W1205" i="57"/>
  <c r="AC1205" i="57" s="1"/>
  <c r="V1205" i="57"/>
  <c r="AB1205" i="57" s="1"/>
  <c r="X1204" i="57"/>
  <c r="AD1204" i="57" s="1"/>
  <c r="W1204" i="57"/>
  <c r="AC1204" i="57" s="1"/>
  <c r="V1204" i="57"/>
  <c r="AB1204" i="57" s="1"/>
  <c r="X1203" i="57"/>
  <c r="AD1203" i="57" s="1"/>
  <c r="W1203" i="57"/>
  <c r="AC1203" i="57" s="1"/>
  <c r="V1203" i="57"/>
  <c r="AB1203" i="57" s="1"/>
  <c r="X1202" i="57"/>
  <c r="AD1202" i="57" s="1"/>
  <c r="W1202" i="57"/>
  <c r="AC1202" i="57" s="1"/>
  <c r="V1202" i="57"/>
  <c r="AB1202" i="57" s="1"/>
  <c r="X1201" i="57"/>
  <c r="AD1201" i="57" s="1"/>
  <c r="W1201" i="57"/>
  <c r="AC1201" i="57" s="1"/>
  <c r="V1201" i="57"/>
  <c r="AB1201" i="57" s="1"/>
  <c r="X1200" i="57"/>
  <c r="AD1200" i="57" s="1"/>
  <c r="W1200" i="57"/>
  <c r="AC1200" i="57" s="1"/>
  <c r="V1200" i="57"/>
  <c r="AB1200" i="57" s="1"/>
  <c r="X1199" i="57"/>
  <c r="AD1199" i="57" s="1"/>
  <c r="W1199" i="57"/>
  <c r="AC1199" i="57" s="1"/>
  <c r="V1199" i="57"/>
  <c r="AB1199" i="57" s="1"/>
  <c r="X1198" i="57"/>
  <c r="AD1198" i="57" s="1"/>
  <c r="W1198" i="57"/>
  <c r="AC1198" i="57" s="1"/>
  <c r="V1198" i="57"/>
  <c r="AB1198" i="57" s="1"/>
  <c r="X1197" i="57"/>
  <c r="AD1197" i="57" s="1"/>
  <c r="W1197" i="57"/>
  <c r="AC1197" i="57" s="1"/>
  <c r="V1197" i="57"/>
  <c r="AB1197" i="57" s="1"/>
  <c r="X1196" i="57"/>
  <c r="AD1196" i="57" s="1"/>
  <c r="W1196" i="57"/>
  <c r="AC1196" i="57" s="1"/>
  <c r="V1196" i="57"/>
  <c r="AB1196" i="57" s="1"/>
  <c r="X1195" i="57"/>
  <c r="AD1195" i="57" s="1"/>
  <c r="W1195" i="57"/>
  <c r="AC1195" i="57" s="1"/>
  <c r="V1195" i="57"/>
  <c r="AB1195" i="57" s="1"/>
  <c r="X1194" i="57"/>
  <c r="AD1194" i="57" s="1"/>
  <c r="W1194" i="57"/>
  <c r="AC1194" i="57" s="1"/>
  <c r="V1194" i="57"/>
  <c r="AB1194" i="57" s="1"/>
  <c r="X1193" i="57"/>
  <c r="AD1193" i="57" s="1"/>
  <c r="W1193" i="57"/>
  <c r="AC1193" i="57" s="1"/>
  <c r="V1193" i="57"/>
  <c r="AB1193" i="57" s="1"/>
  <c r="X1192" i="57"/>
  <c r="AD1192" i="57" s="1"/>
  <c r="W1192" i="57"/>
  <c r="AC1192" i="57" s="1"/>
  <c r="V1192" i="57"/>
  <c r="AB1192" i="57" s="1"/>
  <c r="X1191" i="57"/>
  <c r="AD1191" i="57" s="1"/>
  <c r="W1191" i="57"/>
  <c r="AC1191" i="57" s="1"/>
  <c r="V1191" i="57"/>
  <c r="AB1191" i="57" s="1"/>
  <c r="X1190" i="57"/>
  <c r="AD1190" i="57" s="1"/>
  <c r="W1190" i="57"/>
  <c r="AC1190" i="57" s="1"/>
  <c r="V1190" i="57"/>
  <c r="AB1190" i="57" s="1"/>
  <c r="V1189" i="57"/>
  <c r="AB1189" i="57" s="1"/>
  <c r="V1188" i="57"/>
  <c r="AB1188" i="57" s="1"/>
  <c r="V1187" i="57"/>
  <c r="AB1187" i="57" s="1"/>
  <c r="V1186" i="57"/>
  <c r="AB1186" i="57" s="1"/>
  <c r="V1185" i="57"/>
  <c r="AB1185" i="57" s="1"/>
  <c r="V1184" i="57"/>
  <c r="AB1184" i="57" s="1"/>
  <c r="V1183" i="57"/>
  <c r="AB1183" i="57" s="1"/>
  <c r="V1182" i="57"/>
  <c r="AB1182" i="57" s="1"/>
  <c r="V1181" i="57"/>
  <c r="AB1181" i="57" s="1"/>
  <c r="V1180" i="57"/>
  <c r="AB1180" i="57" s="1"/>
  <c r="V1179" i="57"/>
  <c r="AB1179" i="57" s="1"/>
  <c r="V1178" i="57"/>
  <c r="AB1178" i="57" s="1"/>
  <c r="V1177" i="57"/>
  <c r="AB1177" i="57" s="1"/>
  <c r="X1176" i="57"/>
  <c r="AD1176" i="57" s="1"/>
  <c r="W1176" i="57"/>
  <c r="AC1176" i="57" s="1"/>
  <c r="X1175" i="57"/>
  <c r="AD1175" i="57" s="1"/>
  <c r="W1175" i="57"/>
  <c r="AC1175" i="57" s="1"/>
  <c r="X1174" i="57"/>
  <c r="AD1174" i="57" s="1"/>
  <c r="W1174" i="57"/>
  <c r="AC1174" i="57" s="1"/>
  <c r="X1173" i="57"/>
  <c r="AD1173" i="57" s="1"/>
  <c r="W1173" i="57"/>
  <c r="AC1173" i="57" s="1"/>
  <c r="X1172" i="57"/>
  <c r="AD1172" i="57" s="1"/>
  <c r="W1172" i="57"/>
  <c r="AC1172" i="57" s="1"/>
  <c r="X1171" i="57"/>
  <c r="AD1171" i="57" s="1"/>
  <c r="W1171" i="57"/>
  <c r="AC1171" i="57" s="1"/>
  <c r="X1170" i="57"/>
  <c r="AD1170" i="57" s="1"/>
  <c r="W1170" i="57"/>
  <c r="AC1170" i="57" s="1"/>
  <c r="X1169" i="57"/>
  <c r="AD1169" i="57" s="1"/>
  <c r="W1169" i="57"/>
  <c r="AC1169" i="57" s="1"/>
  <c r="X1168" i="57"/>
  <c r="AD1168" i="57" s="1"/>
  <c r="W1168" i="57"/>
  <c r="AC1168" i="57" s="1"/>
  <c r="X1167" i="57"/>
  <c r="AD1167" i="57" s="1"/>
  <c r="W1167" i="57"/>
  <c r="AC1167" i="57" s="1"/>
  <c r="X1166" i="57"/>
  <c r="AD1166" i="57" s="1"/>
  <c r="W1166" i="57"/>
  <c r="AC1166" i="57" s="1"/>
  <c r="X1165" i="57"/>
  <c r="AD1165" i="57" s="1"/>
  <c r="W1165" i="57"/>
  <c r="AC1165" i="57" s="1"/>
  <c r="X1164" i="57"/>
  <c r="AD1164" i="57" s="1"/>
  <c r="W1164" i="57"/>
  <c r="AC1164" i="57" s="1"/>
  <c r="X1163" i="57"/>
  <c r="AD1163" i="57" s="1"/>
  <c r="W1163" i="57"/>
  <c r="AC1163" i="57" s="1"/>
  <c r="V1162" i="57"/>
  <c r="AB1162" i="57" s="1"/>
  <c r="V1161" i="57"/>
  <c r="AB1161" i="57" s="1"/>
  <c r="V1160" i="57"/>
  <c r="AB1160" i="57" s="1"/>
  <c r="V1159" i="57"/>
  <c r="AB1159" i="57" s="1"/>
  <c r="V1158" i="57"/>
  <c r="AB1158" i="57" s="1"/>
  <c r="V1157" i="57"/>
  <c r="AB1157" i="57" s="1"/>
  <c r="V1156" i="57"/>
  <c r="AB1156" i="57" s="1"/>
  <c r="V1155" i="57"/>
  <c r="AB1155" i="57" s="1"/>
  <c r="V1154" i="57"/>
  <c r="AB1154" i="57" s="1"/>
  <c r="V1153" i="57"/>
  <c r="AB1153" i="57" s="1"/>
  <c r="V1152" i="57"/>
  <c r="AB1152" i="57" s="1"/>
  <c r="V1151" i="57"/>
  <c r="AB1151" i="57" s="1"/>
  <c r="V1150" i="57"/>
  <c r="AB1150" i="57" s="1"/>
  <c r="V1149" i="57"/>
  <c r="AB1149" i="57" s="1"/>
  <c r="V1148" i="57"/>
  <c r="AB1148" i="57" s="1"/>
  <c r="V1147" i="57"/>
  <c r="AB1147" i="57" s="1"/>
  <c r="V1146" i="57"/>
  <c r="AB1146" i="57" s="1"/>
  <c r="V1145" i="57"/>
  <c r="AB1145" i="57" s="1"/>
  <c r="V1144" i="57"/>
  <c r="AB1144" i="57" s="1"/>
  <c r="V1143" i="57"/>
  <c r="AB1143" i="57" s="1"/>
  <c r="V1142" i="57"/>
  <c r="AB1142" i="57" s="1"/>
  <c r="V1141" i="57"/>
  <c r="AB1141" i="57" s="1"/>
  <c r="V1140" i="57"/>
  <c r="AB1140" i="57" s="1"/>
  <c r="V1139" i="57"/>
  <c r="AB1139" i="57" s="1"/>
  <c r="V1138" i="57"/>
  <c r="AB1138" i="57" s="1"/>
  <c r="V1137" i="57"/>
  <c r="AB1137" i="57" s="1"/>
  <c r="V1136" i="57"/>
  <c r="AB1136" i="57" s="1"/>
  <c r="V1135" i="57"/>
  <c r="AB1135" i="57" s="1"/>
  <c r="V1134" i="57"/>
  <c r="AB1134" i="57" s="1"/>
  <c r="V1133" i="57"/>
  <c r="AB1133" i="57" s="1"/>
  <c r="V1132" i="57"/>
  <c r="AB1132" i="57" s="1"/>
  <c r="V1131" i="57"/>
  <c r="AB1131" i="57" s="1"/>
  <c r="V1130" i="57"/>
  <c r="AB1130" i="57" s="1"/>
  <c r="V1129" i="57"/>
  <c r="AB1129" i="57" s="1"/>
  <c r="V1128" i="57"/>
  <c r="AB1128" i="57" s="1"/>
  <c r="V1127" i="57"/>
  <c r="AB1127" i="57" s="1"/>
  <c r="V1126" i="57"/>
  <c r="AB1126" i="57" s="1"/>
  <c r="X1125" i="57"/>
  <c r="AD1125" i="57" s="1"/>
  <c r="W1125" i="57"/>
  <c r="AC1125" i="57" s="1"/>
  <c r="X1124" i="57"/>
  <c r="AD1124" i="57" s="1"/>
  <c r="W1124" i="57"/>
  <c r="AC1124" i="57" s="1"/>
  <c r="X1123" i="57"/>
  <c r="AD1123" i="57" s="1"/>
  <c r="W1123" i="57"/>
  <c r="AC1123" i="57" s="1"/>
  <c r="X1122" i="57"/>
  <c r="AD1122" i="57" s="1"/>
  <c r="W1122" i="57"/>
  <c r="AC1122" i="57" s="1"/>
  <c r="X1121" i="57"/>
  <c r="AD1121" i="57" s="1"/>
  <c r="W1121" i="57"/>
  <c r="AC1121" i="57" s="1"/>
  <c r="X1120" i="57"/>
  <c r="AD1120" i="57" s="1"/>
  <c r="W1120" i="57"/>
  <c r="AC1120" i="57" s="1"/>
  <c r="X1119" i="57"/>
  <c r="AD1119" i="57" s="1"/>
  <c r="W1119" i="57"/>
  <c r="AC1119" i="57" s="1"/>
  <c r="X1118" i="57"/>
  <c r="AD1118" i="57" s="1"/>
  <c r="W1118" i="57"/>
  <c r="AC1118" i="57" s="1"/>
  <c r="X1117" i="57"/>
  <c r="AD1117" i="57" s="1"/>
  <c r="W1117" i="57"/>
  <c r="AC1117" i="57" s="1"/>
  <c r="X1116" i="57"/>
  <c r="AD1116" i="57" s="1"/>
  <c r="W1116" i="57"/>
  <c r="AC1116" i="57" s="1"/>
  <c r="X1115" i="57"/>
  <c r="AD1115" i="57" s="1"/>
  <c r="W1115" i="57"/>
  <c r="AC1115" i="57" s="1"/>
  <c r="X1114" i="57"/>
  <c r="AD1114" i="57" s="1"/>
  <c r="W1114" i="57"/>
  <c r="AC1114" i="57" s="1"/>
  <c r="X1113" i="57"/>
  <c r="AD1113" i="57" s="1"/>
  <c r="W1113" i="57"/>
  <c r="AC1113" i="57" s="1"/>
  <c r="X1112" i="57"/>
  <c r="AD1112" i="57" s="1"/>
  <c r="W1112" i="57"/>
  <c r="AC1112" i="57" s="1"/>
  <c r="X1111" i="57"/>
  <c r="AD1111" i="57" s="1"/>
  <c r="W1111" i="57"/>
  <c r="AC1111" i="57" s="1"/>
  <c r="X1110" i="57"/>
  <c r="AD1110" i="57" s="1"/>
  <c r="W1110" i="57"/>
  <c r="AC1110" i="57" s="1"/>
  <c r="X1109" i="57"/>
  <c r="AD1109" i="57" s="1"/>
  <c r="W1109" i="57"/>
  <c r="AC1109" i="57" s="1"/>
  <c r="X1108" i="57"/>
  <c r="AD1108" i="57" s="1"/>
  <c r="W1108" i="57"/>
  <c r="AC1108" i="57" s="1"/>
  <c r="X1107" i="57"/>
  <c r="AD1107" i="57" s="1"/>
  <c r="W1107" i="57"/>
  <c r="AC1107" i="57" s="1"/>
  <c r="X1106" i="57"/>
  <c r="AD1106" i="57" s="1"/>
  <c r="W1106" i="57"/>
  <c r="AC1106" i="57" s="1"/>
  <c r="X1105" i="57"/>
  <c r="AD1105" i="57" s="1"/>
  <c r="W1105" i="57"/>
  <c r="AC1105" i="57" s="1"/>
  <c r="X1104" i="57"/>
  <c r="AD1104" i="57" s="1"/>
  <c r="W1104" i="57"/>
  <c r="AC1104" i="57" s="1"/>
  <c r="X1103" i="57"/>
  <c r="AD1103" i="57" s="1"/>
  <c r="W1103" i="57"/>
  <c r="AC1103" i="57" s="1"/>
  <c r="X1102" i="57"/>
  <c r="AD1102" i="57" s="1"/>
  <c r="W1102" i="57"/>
  <c r="AC1102" i="57" s="1"/>
  <c r="X1101" i="57"/>
  <c r="AD1101" i="57" s="1"/>
  <c r="W1101" i="57"/>
  <c r="AC1101" i="57" s="1"/>
  <c r="X1100" i="57"/>
  <c r="AD1100" i="57" s="1"/>
  <c r="W1100" i="57"/>
  <c r="AC1100" i="57" s="1"/>
  <c r="X1099" i="57"/>
  <c r="AD1099" i="57" s="1"/>
  <c r="W1099" i="57"/>
  <c r="AC1099" i="57" s="1"/>
  <c r="X1098" i="57"/>
  <c r="AD1098" i="57" s="1"/>
  <c r="W1098" i="57"/>
  <c r="AC1098" i="57" s="1"/>
  <c r="X1097" i="57"/>
  <c r="AD1097" i="57" s="1"/>
  <c r="W1097" i="57"/>
  <c r="AC1097" i="57" s="1"/>
  <c r="V1096" i="57"/>
  <c r="AB1096" i="57" s="1"/>
  <c r="V1095" i="57"/>
  <c r="AB1095" i="57" s="1"/>
  <c r="V1094" i="57"/>
  <c r="AB1094" i="57" s="1"/>
  <c r="V1093" i="57"/>
  <c r="AB1093" i="57" s="1"/>
  <c r="V1092" i="57"/>
  <c r="AB1092" i="57" s="1"/>
  <c r="V1091" i="57"/>
  <c r="AB1091" i="57" s="1"/>
  <c r="V1090" i="57"/>
  <c r="AB1090" i="57" s="1"/>
  <c r="V1089" i="57"/>
  <c r="AB1089" i="57" s="1"/>
  <c r="V1088" i="57"/>
  <c r="AB1088" i="57" s="1"/>
  <c r="V1087" i="57"/>
  <c r="AB1087" i="57" s="1"/>
  <c r="V1086" i="57"/>
  <c r="AB1086" i="57" s="1"/>
  <c r="V1085" i="57"/>
  <c r="AB1085" i="57" s="1"/>
  <c r="V1084" i="57"/>
  <c r="AB1084" i="57" s="1"/>
  <c r="V1083" i="57"/>
  <c r="AB1083" i="57" s="1"/>
  <c r="V1082" i="57"/>
  <c r="AB1082" i="57" s="1"/>
  <c r="V1081" i="57"/>
  <c r="AB1081" i="57" s="1"/>
  <c r="V1080" i="57"/>
  <c r="AB1080" i="57" s="1"/>
  <c r="V1079" i="57"/>
  <c r="AB1079" i="57" s="1"/>
  <c r="V1078" i="57"/>
  <c r="AB1078" i="57" s="1"/>
  <c r="V1077" i="57"/>
  <c r="AB1077" i="57" s="1"/>
  <c r="V1076" i="57"/>
  <c r="AB1076" i="57" s="1"/>
  <c r="V1075" i="57"/>
  <c r="AB1075" i="57" s="1"/>
  <c r="V1074" i="57"/>
  <c r="AB1074" i="57" s="1"/>
  <c r="V1073" i="57"/>
  <c r="AB1073" i="57" s="1"/>
  <c r="V1072" i="57"/>
  <c r="AB1072" i="57" s="1"/>
  <c r="V1071" i="57"/>
  <c r="AB1071" i="57" s="1"/>
  <c r="V1070" i="57"/>
  <c r="AB1070" i="57" s="1"/>
  <c r="V1069" i="57"/>
  <c r="AB1069" i="57" s="1"/>
  <c r="V1068" i="57"/>
  <c r="AB1068" i="57" s="1"/>
  <c r="V1067" i="57"/>
  <c r="AB1067" i="57" s="1"/>
  <c r="V1066" i="57"/>
  <c r="AB1066" i="57" s="1"/>
  <c r="V1065" i="57"/>
  <c r="AB1065" i="57" s="1"/>
  <c r="V1064" i="57"/>
  <c r="AB1064" i="57" s="1"/>
  <c r="V1063" i="57"/>
  <c r="AB1063" i="57" s="1"/>
  <c r="V1062" i="57"/>
  <c r="AB1062" i="57" s="1"/>
  <c r="V1061" i="57"/>
  <c r="AB1061" i="57" s="1"/>
  <c r="V1060" i="57"/>
  <c r="AB1060" i="57" s="1"/>
  <c r="V1059" i="57"/>
  <c r="AB1059" i="57" s="1"/>
  <c r="V1058" i="57"/>
  <c r="AB1058" i="57" s="1"/>
  <c r="V1057" i="57"/>
  <c r="AB1057" i="57" s="1"/>
  <c r="V1056" i="57"/>
  <c r="AB1056" i="57" s="1"/>
  <c r="V1055" i="57"/>
  <c r="AB1055" i="57" s="1"/>
  <c r="V1054" i="57"/>
  <c r="AB1054" i="57" s="1"/>
  <c r="V1053" i="57"/>
  <c r="AB1053" i="57" s="1"/>
  <c r="V1052" i="57"/>
  <c r="AB1052" i="57" s="1"/>
  <c r="V1051" i="57"/>
  <c r="AB1051" i="57" s="1"/>
  <c r="V1050" i="57"/>
  <c r="AB1050" i="57" s="1"/>
  <c r="V1049" i="57"/>
  <c r="AB1049" i="57" s="1"/>
  <c r="V1048" i="57"/>
  <c r="AB1048" i="57" s="1"/>
  <c r="V1047" i="57"/>
  <c r="AB1047" i="57" s="1"/>
  <c r="X1046" i="57"/>
  <c r="AD1046" i="57" s="1"/>
  <c r="W1046" i="57"/>
  <c r="AC1046" i="57" s="1"/>
  <c r="X1045" i="57"/>
  <c r="AD1045" i="57" s="1"/>
  <c r="W1045" i="57"/>
  <c r="AC1045" i="57" s="1"/>
  <c r="X1044" i="57"/>
  <c r="AD1044" i="57" s="1"/>
  <c r="W1044" i="57"/>
  <c r="AC1044" i="57" s="1"/>
  <c r="X1043" i="57"/>
  <c r="AD1043" i="57" s="1"/>
  <c r="W1043" i="57"/>
  <c r="AC1043" i="57" s="1"/>
  <c r="X1042" i="57"/>
  <c r="AD1042" i="57" s="1"/>
  <c r="W1042" i="57"/>
  <c r="AC1042" i="57" s="1"/>
  <c r="X1041" i="57"/>
  <c r="AD1041" i="57" s="1"/>
  <c r="W1041" i="57"/>
  <c r="AC1041" i="57" s="1"/>
  <c r="X1040" i="57"/>
  <c r="AD1040" i="57" s="1"/>
  <c r="W1040" i="57"/>
  <c r="AC1040" i="57" s="1"/>
  <c r="X1039" i="57"/>
  <c r="AD1039" i="57" s="1"/>
  <c r="W1039" i="57"/>
  <c r="AC1039" i="57" s="1"/>
  <c r="X1038" i="57"/>
  <c r="AD1038" i="57" s="1"/>
  <c r="W1038" i="57"/>
  <c r="AC1038" i="57" s="1"/>
  <c r="X1037" i="57"/>
  <c r="AD1037" i="57" s="1"/>
  <c r="W1037" i="57"/>
  <c r="AC1037" i="57" s="1"/>
  <c r="X1036" i="57"/>
  <c r="AD1036" i="57" s="1"/>
  <c r="W1036" i="57"/>
  <c r="AC1036" i="57" s="1"/>
  <c r="X1035" i="57"/>
  <c r="AD1035" i="57" s="1"/>
  <c r="W1035" i="57"/>
  <c r="AC1035" i="57" s="1"/>
  <c r="X1034" i="57"/>
  <c r="AD1034" i="57" s="1"/>
  <c r="W1034" i="57"/>
  <c r="AC1034" i="57" s="1"/>
  <c r="X1033" i="57"/>
  <c r="AD1033" i="57" s="1"/>
  <c r="W1033" i="57"/>
  <c r="AC1033" i="57" s="1"/>
  <c r="X1032" i="57"/>
  <c r="AD1032" i="57" s="1"/>
  <c r="W1032" i="57"/>
  <c r="AC1032" i="57" s="1"/>
  <c r="X1031" i="57"/>
  <c r="AD1031" i="57" s="1"/>
  <c r="W1031" i="57"/>
  <c r="AC1031" i="57" s="1"/>
  <c r="X1030" i="57"/>
  <c r="AD1030" i="57" s="1"/>
  <c r="W1030" i="57"/>
  <c r="AC1030" i="57" s="1"/>
  <c r="X1029" i="57"/>
  <c r="AD1029" i="57" s="1"/>
  <c r="W1029" i="57"/>
  <c r="AC1029" i="57" s="1"/>
  <c r="X1028" i="57"/>
  <c r="AD1028" i="57" s="1"/>
  <c r="W1028" i="57"/>
  <c r="AC1028" i="57" s="1"/>
  <c r="X1027" i="57"/>
  <c r="AD1027" i="57" s="1"/>
  <c r="W1027" i="57"/>
  <c r="AC1027" i="57" s="1"/>
  <c r="X1026" i="57"/>
  <c r="AD1026" i="57" s="1"/>
  <c r="W1026" i="57"/>
  <c r="AC1026" i="57" s="1"/>
  <c r="X1025" i="57"/>
  <c r="AD1025" i="57" s="1"/>
  <c r="W1025" i="57"/>
  <c r="AC1025" i="57" s="1"/>
  <c r="X1024" i="57"/>
  <c r="AD1024" i="57" s="1"/>
  <c r="W1024" i="57"/>
  <c r="AC1024" i="57" s="1"/>
  <c r="X1023" i="57"/>
  <c r="AD1023" i="57" s="1"/>
  <c r="W1023" i="57"/>
  <c r="AC1023" i="57" s="1"/>
  <c r="X1022" i="57"/>
  <c r="AD1022" i="57" s="1"/>
  <c r="W1022" i="57"/>
  <c r="AC1022" i="57" s="1"/>
  <c r="X1021" i="57"/>
  <c r="AD1021" i="57" s="1"/>
  <c r="W1021" i="57"/>
  <c r="AC1021" i="57" s="1"/>
  <c r="V1020" i="57"/>
  <c r="AB1020" i="57" s="1"/>
  <c r="V1019" i="57"/>
  <c r="AB1019" i="57" s="1"/>
  <c r="V1018" i="57"/>
  <c r="AB1018" i="57" s="1"/>
  <c r="V1017" i="57"/>
  <c r="AB1017" i="57" s="1"/>
  <c r="V1016" i="57"/>
  <c r="AB1016" i="57" s="1"/>
  <c r="V1015" i="57"/>
  <c r="AB1015" i="57" s="1"/>
  <c r="V1014" i="57"/>
  <c r="AB1014" i="57" s="1"/>
  <c r="V1013" i="57"/>
  <c r="AB1013" i="57" s="1"/>
  <c r="V1012" i="57"/>
  <c r="AB1012" i="57" s="1"/>
  <c r="V1011" i="57"/>
  <c r="AB1011" i="57" s="1"/>
  <c r="V1010" i="57"/>
  <c r="AB1010" i="57" s="1"/>
  <c r="V1009" i="57"/>
  <c r="AB1009" i="57" s="1"/>
  <c r="V1008" i="57"/>
  <c r="AB1008" i="57" s="1"/>
  <c r="V1007" i="57"/>
  <c r="AB1007" i="57" s="1"/>
  <c r="V1006" i="57"/>
  <c r="AB1006" i="57" s="1"/>
  <c r="V1005" i="57"/>
  <c r="AB1005" i="57" s="1"/>
  <c r="V1004" i="57"/>
  <c r="AB1004" i="57" s="1"/>
  <c r="V1003" i="57"/>
  <c r="AB1003" i="57" s="1"/>
  <c r="X1002" i="57"/>
  <c r="AD1002" i="57" s="1"/>
  <c r="W1002" i="57"/>
  <c r="AC1002" i="57" s="1"/>
  <c r="V1002" i="57"/>
  <c r="AB1002" i="57" s="1"/>
  <c r="X1001" i="57"/>
  <c r="AD1001" i="57" s="1"/>
  <c r="W1001" i="57"/>
  <c r="AC1001" i="57" s="1"/>
  <c r="V1001" i="57"/>
  <c r="AB1001" i="57" s="1"/>
  <c r="X1000" i="57"/>
  <c r="AD1000" i="57" s="1"/>
  <c r="W1000" i="57"/>
  <c r="AC1000" i="57" s="1"/>
  <c r="V1000" i="57"/>
  <c r="AB1000" i="57" s="1"/>
  <c r="X999" i="57"/>
  <c r="AD999" i="57" s="1"/>
  <c r="W999" i="57"/>
  <c r="AC999" i="57" s="1"/>
  <c r="V999" i="57"/>
  <c r="AB999" i="57" s="1"/>
  <c r="X998" i="57"/>
  <c r="AD998" i="57" s="1"/>
  <c r="W998" i="57"/>
  <c r="AC998" i="57" s="1"/>
  <c r="V998" i="57"/>
  <c r="AB998" i="57" s="1"/>
  <c r="X997" i="57"/>
  <c r="AD997" i="57" s="1"/>
  <c r="W997" i="57"/>
  <c r="AC997" i="57" s="1"/>
  <c r="V997" i="57"/>
  <c r="AB997" i="57" s="1"/>
  <c r="X996" i="57"/>
  <c r="AD996" i="57" s="1"/>
  <c r="W996" i="57"/>
  <c r="AC996" i="57" s="1"/>
  <c r="V996" i="57"/>
  <c r="AB996" i="57" s="1"/>
  <c r="X995" i="57"/>
  <c r="AD995" i="57" s="1"/>
  <c r="W995" i="57"/>
  <c r="AC995" i="57" s="1"/>
  <c r="V995" i="57"/>
  <c r="AB995" i="57" s="1"/>
  <c r="X994" i="57"/>
  <c r="AD994" i="57" s="1"/>
  <c r="W994" i="57"/>
  <c r="AC994" i="57" s="1"/>
  <c r="V994" i="57"/>
  <c r="AB994" i="57" s="1"/>
  <c r="X993" i="57"/>
  <c r="AD993" i="57" s="1"/>
  <c r="W993" i="57"/>
  <c r="AC993" i="57" s="1"/>
  <c r="V993" i="57"/>
  <c r="AB993" i="57" s="1"/>
  <c r="X992" i="57"/>
  <c r="AD992" i="57" s="1"/>
  <c r="W992" i="57"/>
  <c r="AC992" i="57" s="1"/>
  <c r="V992" i="57"/>
  <c r="AB992" i="57" s="1"/>
  <c r="X991" i="57"/>
  <c r="AD991" i="57" s="1"/>
  <c r="W991" i="57"/>
  <c r="AC991" i="57" s="1"/>
  <c r="V991" i="57"/>
  <c r="AB991" i="57" s="1"/>
  <c r="X990" i="57"/>
  <c r="AD990" i="57" s="1"/>
  <c r="W990" i="57"/>
  <c r="AC990" i="57" s="1"/>
  <c r="V990" i="57"/>
  <c r="AB990" i="57" s="1"/>
  <c r="X989" i="57"/>
  <c r="AD989" i="57" s="1"/>
  <c r="W989" i="57"/>
  <c r="AC989" i="57" s="1"/>
  <c r="V989" i="57"/>
  <c r="AB989" i="57" s="1"/>
  <c r="X988" i="57"/>
  <c r="AD988" i="57" s="1"/>
  <c r="W988" i="57"/>
  <c r="AC988" i="57" s="1"/>
  <c r="V988" i="57"/>
  <c r="AB988" i="57" s="1"/>
  <c r="X987" i="57"/>
  <c r="AD987" i="57" s="1"/>
  <c r="W987" i="57"/>
  <c r="AC987" i="57" s="1"/>
  <c r="V987" i="57"/>
  <c r="AB987" i="57" s="1"/>
  <c r="X986" i="57"/>
  <c r="AD986" i="57" s="1"/>
  <c r="W986" i="57"/>
  <c r="AC986" i="57" s="1"/>
  <c r="V986" i="57"/>
  <c r="AB986" i="57" s="1"/>
  <c r="X985" i="57"/>
  <c r="AD985" i="57" s="1"/>
  <c r="W985" i="57"/>
  <c r="AC985" i="57" s="1"/>
  <c r="V985" i="57"/>
  <c r="AB985" i="57" s="1"/>
  <c r="X984" i="57"/>
  <c r="AD984" i="57" s="1"/>
  <c r="W984" i="57"/>
  <c r="AC984" i="57" s="1"/>
  <c r="V984" i="57"/>
  <c r="AB984" i="57" s="1"/>
  <c r="X983" i="57"/>
  <c r="AD983" i="57" s="1"/>
  <c r="W983" i="57"/>
  <c r="AC983" i="57" s="1"/>
  <c r="V983" i="57"/>
  <c r="AB983" i="57" s="1"/>
  <c r="X982" i="57"/>
  <c r="AD982" i="57" s="1"/>
  <c r="W982" i="57"/>
  <c r="AC982" i="57" s="1"/>
  <c r="V982" i="57"/>
  <c r="AB982" i="57" s="1"/>
  <c r="X981" i="57"/>
  <c r="AD981" i="57" s="1"/>
  <c r="W981" i="57"/>
  <c r="AC981" i="57" s="1"/>
  <c r="V981" i="57"/>
  <c r="AB981" i="57" s="1"/>
  <c r="X980" i="57"/>
  <c r="AD980" i="57" s="1"/>
  <c r="W980" i="57"/>
  <c r="AC980" i="57" s="1"/>
  <c r="V980" i="57"/>
  <c r="AB980" i="57" s="1"/>
  <c r="X979" i="57"/>
  <c r="AD979" i="57" s="1"/>
  <c r="W979" i="57"/>
  <c r="AC979" i="57" s="1"/>
  <c r="V979" i="57"/>
  <c r="AB979" i="57" s="1"/>
  <c r="X978" i="57"/>
  <c r="AD978" i="57" s="1"/>
  <c r="W978" i="57"/>
  <c r="AC978" i="57" s="1"/>
  <c r="V978" i="57"/>
  <c r="AB978" i="57" s="1"/>
  <c r="X977" i="57"/>
  <c r="AD977" i="57" s="1"/>
  <c r="W977" i="57"/>
  <c r="AC977" i="57" s="1"/>
  <c r="V977" i="57"/>
  <c r="AB977" i="57" s="1"/>
  <c r="X976" i="57"/>
  <c r="AD976" i="57" s="1"/>
  <c r="W976" i="57"/>
  <c r="AC976" i="57" s="1"/>
  <c r="V976" i="57"/>
  <c r="AB976" i="57" s="1"/>
  <c r="X975" i="57"/>
  <c r="AD975" i="57" s="1"/>
  <c r="W975" i="57"/>
  <c r="AC975" i="57" s="1"/>
  <c r="V975" i="57"/>
  <c r="AB975" i="57" s="1"/>
  <c r="X974" i="57"/>
  <c r="AD974" i="57" s="1"/>
  <c r="W974" i="57"/>
  <c r="AC974" i="57" s="1"/>
  <c r="V974" i="57"/>
  <c r="AB974" i="57" s="1"/>
  <c r="X973" i="57"/>
  <c r="AD973" i="57" s="1"/>
  <c r="W973" i="57"/>
  <c r="AC973" i="57" s="1"/>
  <c r="V973" i="57"/>
  <c r="AB973" i="57" s="1"/>
  <c r="X972" i="57"/>
  <c r="AD972" i="57" s="1"/>
  <c r="W972" i="57"/>
  <c r="AC972" i="57" s="1"/>
  <c r="V972" i="57"/>
  <c r="AB972" i="57" s="1"/>
  <c r="X971" i="57"/>
  <c r="AD971" i="57" s="1"/>
  <c r="W971" i="57"/>
  <c r="AC971" i="57" s="1"/>
  <c r="V971" i="57"/>
  <c r="AB971" i="57" s="1"/>
  <c r="X970" i="57"/>
  <c r="AD970" i="57" s="1"/>
  <c r="W970" i="57"/>
  <c r="AC970" i="57" s="1"/>
  <c r="V970" i="57"/>
  <c r="AB970" i="57" s="1"/>
  <c r="X969" i="57"/>
  <c r="AD969" i="57" s="1"/>
  <c r="W969" i="57"/>
  <c r="AC969" i="57" s="1"/>
  <c r="V969" i="57"/>
  <c r="AB969" i="57" s="1"/>
  <c r="X968" i="57"/>
  <c r="AD968" i="57" s="1"/>
  <c r="W968" i="57"/>
  <c r="AC968" i="57" s="1"/>
  <c r="V968" i="57"/>
  <c r="AB968" i="57" s="1"/>
  <c r="X967" i="57"/>
  <c r="AD967" i="57" s="1"/>
  <c r="W967" i="57"/>
  <c r="AC967" i="57" s="1"/>
  <c r="V967" i="57"/>
  <c r="AB967" i="57" s="1"/>
  <c r="X966" i="57"/>
  <c r="AD966" i="57" s="1"/>
  <c r="W966" i="57"/>
  <c r="AC966" i="57" s="1"/>
  <c r="V966" i="57"/>
  <c r="AB966" i="57" s="1"/>
  <c r="X965" i="57"/>
  <c r="AD965" i="57" s="1"/>
  <c r="W965" i="57"/>
  <c r="AC965" i="57" s="1"/>
  <c r="V965" i="57"/>
  <c r="AB965" i="57" s="1"/>
  <c r="X964" i="57"/>
  <c r="AD964" i="57" s="1"/>
  <c r="W964" i="57"/>
  <c r="AC964" i="57" s="1"/>
  <c r="V964" i="57"/>
  <c r="AB964" i="57" s="1"/>
  <c r="X963" i="57"/>
  <c r="AD963" i="57" s="1"/>
  <c r="W963" i="57"/>
  <c r="AC963" i="57" s="1"/>
  <c r="V963" i="57"/>
  <c r="AB963" i="57" s="1"/>
  <c r="X962" i="57"/>
  <c r="AD962" i="57" s="1"/>
  <c r="W962" i="57"/>
  <c r="AC962" i="57" s="1"/>
  <c r="V962" i="57"/>
  <c r="AB962" i="57" s="1"/>
  <c r="X961" i="57"/>
  <c r="AD961" i="57" s="1"/>
  <c r="W961" i="57"/>
  <c r="AC961" i="57" s="1"/>
  <c r="V961" i="57"/>
  <c r="AB961" i="57" s="1"/>
  <c r="X960" i="57"/>
  <c r="AD960" i="57" s="1"/>
  <c r="W960" i="57"/>
  <c r="AC960" i="57" s="1"/>
  <c r="V960" i="57"/>
  <c r="AB960" i="57" s="1"/>
  <c r="X959" i="57"/>
  <c r="AD959" i="57" s="1"/>
  <c r="W959" i="57"/>
  <c r="AC959" i="57" s="1"/>
  <c r="V959" i="57"/>
  <c r="AB959" i="57" s="1"/>
  <c r="X958" i="57"/>
  <c r="AD958" i="57" s="1"/>
  <c r="W958" i="57"/>
  <c r="AC958" i="57" s="1"/>
  <c r="V958" i="57"/>
  <c r="AB958" i="57" s="1"/>
  <c r="X957" i="57"/>
  <c r="AD957" i="57" s="1"/>
  <c r="W957" i="57"/>
  <c r="AC957" i="57" s="1"/>
  <c r="V957" i="57"/>
  <c r="AB957" i="57" s="1"/>
  <c r="X956" i="57"/>
  <c r="AD956" i="57" s="1"/>
  <c r="W956" i="57"/>
  <c r="AC956" i="57" s="1"/>
  <c r="V956" i="57"/>
  <c r="AB956" i="57" s="1"/>
  <c r="X955" i="57"/>
  <c r="AD955" i="57" s="1"/>
  <c r="W955" i="57"/>
  <c r="AC955" i="57" s="1"/>
  <c r="V955" i="57"/>
  <c r="AB955" i="57" s="1"/>
  <c r="X954" i="57"/>
  <c r="AD954" i="57" s="1"/>
  <c r="W954" i="57"/>
  <c r="AC954" i="57" s="1"/>
  <c r="V954" i="57"/>
  <c r="AB954" i="57" s="1"/>
  <c r="X953" i="57"/>
  <c r="AD953" i="57" s="1"/>
  <c r="W953" i="57"/>
  <c r="AC953" i="57" s="1"/>
  <c r="V953" i="57"/>
  <c r="AB953" i="57" s="1"/>
  <c r="X952" i="57"/>
  <c r="AD952" i="57" s="1"/>
  <c r="W952" i="57"/>
  <c r="AC952" i="57" s="1"/>
  <c r="V952" i="57"/>
  <c r="AB952" i="57" s="1"/>
  <c r="X951" i="57"/>
  <c r="AD951" i="57" s="1"/>
  <c r="W951" i="57"/>
  <c r="AC951" i="57" s="1"/>
  <c r="V951" i="57"/>
  <c r="AB951" i="57" s="1"/>
  <c r="X950" i="57"/>
  <c r="AD950" i="57" s="1"/>
  <c r="W950" i="57"/>
  <c r="AC950" i="57" s="1"/>
  <c r="V950" i="57"/>
  <c r="AB950" i="57" s="1"/>
  <c r="X949" i="57"/>
  <c r="AD949" i="57" s="1"/>
  <c r="W949" i="57"/>
  <c r="AC949" i="57" s="1"/>
  <c r="V949" i="57"/>
  <c r="AB949" i="57" s="1"/>
  <c r="X948" i="57"/>
  <c r="AD948" i="57" s="1"/>
  <c r="W948" i="57"/>
  <c r="AC948" i="57" s="1"/>
  <c r="V948" i="57"/>
  <c r="AB948" i="57" s="1"/>
  <c r="X947" i="57"/>
  <c r="AD947" i="57" s="1"/>
  <c r="W947" i="57"/>
  <c r="AC947" i="57" s="1"/>
  <c r="V947" i="57"/>
  <c r="AB947" i="57" s="1"/>
  <c r="X946" i="57"/>
  <c r="AD946" i="57" s="1"/>
  <c r="W946" i="57"/>
  <c r="AC946" i="57" s="1"/>
  <c r="V946" i="57"/>
  <c r="AB946" i="57" s="1"/>
  <c r="X945" i="57"/>
  <c r="AD945" i="57" s="1"/>
  <c r="W945" i="57"/>
  <c r="AC945" i="57" s="1"/>
  <c r="V945" i="57"/>
  <c r="AB945" i="57" s="1"/>
  <c r="X944" i="57"/>
  <c r="AD944" i="57" s="1"/>
  <c r="W944" i="57"/>
  <c r="AC944" i="57" s="1"/>
  <c r="V944" i="57"/>
  <c r="AB944" i="57" s="1"/>
  <c r="X943" i="57"/>
  <c r="AD943" i="57" s="1"/>
  <c r="W943" i="57"/>
  <c r="AC943" i="57" s="1"/>
  <c r="V943" i="57"/>
  <c r="AB943" i="57" s="1"/>
  <c r="X942" i="57"/>
  <c r="AD942" i="57" s="1"/>
  <c r="W942" i="57"/>
  <c r="AC942" i="57" s="1"/>
  <c r="V942" i="57"/>
  <c r="AB942" i="57" s="1"/>
  <c r="X941" i="57"/>
  <c r="AD941" i="57" s="1"/>
  <c r="W941" i="57"/>
  <c r="AC941" i="57" s="1"/>
  <c r="V941" i="57"/>
  <c r="AB941" i="57" s="1"/>
  <c r="X940" i="57"/>
  <c r="AD940" i="57" s="1"/>
  <c r="W940" i="57"/>
  <c r="AC940" i="57" s="1"/>
  <c r="V940" i="57"/>
  <c r="AB940" i="57" s="1"/>
  <c r="X939" i="57"/>
  <c r="AD939" i="57" s="1"/>
  <c r="W939" i="57"/>
  <c r="AC939" i="57" s="1"/>
  <c r="V939" i="57"/>
  <c r="AB939" i="57" s="1"/>
  <c r="X938" i="57"/>
  <c r="AD938" i="57" s="1"/>
  <c r="W938" i="57"/>
  <c r="AC938" i="57" s="1"/>
  <c r="V938" i="57"/>
  <c r="AB938" i="57" s="1"/>
  <c r="X937" i="57"/>
  <c r="AD937" i="57" s="1"/>
  <c r="W937" i="57"/>
  <c r="AC937" i="57" s="1"/>
  <c r="V937" i="57"/>
  <c r="AB937" i="57" s="1"/>
  <c r="X936" i="57"/>
  <c r="AD936" i="57" s="1"/>
  <c r="W936" i="57"/>
  <c r="AC936" i="57" s="1"/>
  <c r="V936" i="57"/>
  <c r="AB936" i="57" s="1"/>
  <c r="X935" i="57"/>
  <c r="AD935" i="57" s="1"/>
  <c r="W935" i="57"/>
  <c r="AC935" i="57" s="1"/>
  <c r="V935" i="57"/>
  <c r="AB935" i="57" s="1"/>
  <c r="X934" i="57"/>
  <c r="AD934" i="57" s="1"/>
  <c r="W934" i="57"/>
  <c r="AC934" i="57" s="1"/>
  <c r="V934" i="57"/>
  <c r="AB934" i="57" s="1"/>
  <c r="X933" i="57"/>
  <c r="AD933" i="57" s="1"/>
  <c r="W933" i="57"/>
  <c r="AC933" i="57" s="1"/>
  <c r="V933" i="57"/>
  <c r="AB933" i="57" s="1"/>
  <c r="X932" i="57"/>
  <c r="AD932" i="57" s="1"/>
  <c r="W932" i="57"/>
  <c r="AC932" i="57" s="1"/>
  <c r="V932" i="57"/>
  <c r="AB932" i="57" s="1"/>
  <c r="X931" i="57"/>
  <c r="AD931" i="57" s="1"/>
  <c r="W931" i="57"/>
  <c r="AC931" i="57" s="1"/>
  <c r="V931" i="57"/>
  <c r="AB931" i="57" s="1"/>
  <c r="X930" i="57"/>
  <c r="AD930" i="57" s="1"/>
  <c r="W930" i="57"/>
  <c r="AC930" i="57" s="1"/>
  <c r="V930" i="57"/>
  <c r="AB930" i="57" s="1"/>
  <c r="X929" i="57"/>
  <c r="AD929" i="57" s="1"/>
  <c r="W929" i="57"/>
  <c r="AC929" i="57" s="1"/>
  <c r="V929" i="57"/>
  <c r="AB929" i="57" s="1"/>
  <c r="X928" i="57"/>
  <c r="AD928" i="57" s="1"/>
  <c r="W928" i="57"/>
  <c r="AC928" i="57" s="1"/>
  <c r="V928" i="57"/>
  <c r="AB928" i="57" s="1"/>
  <c r="X927" i="57"/>
  <c r="AD927" i="57" s="1"/>
  <c r="W927" i="57"/>
  <c r="AC927" i="57" s="1"/>
  <c r="V927" i="57"/>
  <c r="AB927" i="57" s="1"/>
  <c r="X926" i="57"/>
  <c r="AD926" i="57" s="1"/>
  <c r="W926" i="57"/>
  <c r="AC926" i="57" s="1"/>
  <c r="V926" i="57"/>
  <c r="AB926" i="57" s="1"/>
  <c r="X925" i="57"/>
  <c r="AD925" i="57" s="1"/>
  <c r="W925" i="57"/>
  <c r="AC925" i="57" s="1"/>
  <c r="V925" i="57"/>
  <c r="AB925" i="57" s="1"/>
  <c r="X924" i="57"/>
  <c r="AD924" i="57" s="1"/>
  <c r="W924" i="57"/>
  <c r="AC924" i="57" s="1"/>
  <c r="V924" i="57"/>
  <c r="AB924" i="57" s="1"/>
  <c r="X923" i="57"/>
  <c r="AD923" i="57" s="1"/>
  <c r="W923" i="57"/>
  <c r="AC923" i="57" s="1"/>
  <c r="V923" i="57"/>
  <c r="AB923" i="57" s="1"/>
  <c r="X922" i="57"/>
  <c r="AD922" i="57" s="1"/>
  <c r="W922" i="57"/>
  <c r="AC922" i="57" s="1"/>
  <c r="V922" i="57"/>
  <c r="AB922" i="57" s="1"/>
  <c r="X921" i="57"/>
  <c r="AD921" i="57" s="1"/>
  <c r="W921" i="57"/>
  <c r="AC921" i="57" s="1"/>
  <c r="V921" i="57"/>
  <c r="AB921" i="57" s="1"/>
  <c r="X920" i="57"/>
  <c r="AD920" i="57" s="1"/>
  <c r="W920" i="57"/>
  <c r="AC920" i="57" s="1"/>
  <c r="V920" i="57"/>
  <c r="AB920" i="57" s="1"/>
  <c r="X919" i="57"/>
  <c r="AD919" i="57" s="1"/>
  <c r="W919" i="57"/>
  <c r="AC919" i="57" s="1"/>
  <c r="V919" i="57"/>
  <c r="AB919" i="57" s="1"/>
  <c r="X918" i="57"/>
  <c r="AD918" i="57" s="1"/>
  <c r="W918" i="57"/>
  <c r="AC918" i="57" s="1"/>
  <c r="V918" i="57"/>
  <c r="AB918" i="57" s="1"/>
  <c r="X917" i="57"/>
  <c r="AD917" i="57" s="1"/>
  <c r="W917" i="57"/>
  <c r="AC917" i="57" s="1"/>
  <c r="V917" i="57"/>
  <c r="AB917" i="57" s="1"/>
  <c r="X916" i="57"/>
  <c r="AD916" i="57" s="1"/>
  <c r="W916" i="57"/>
  <c r="AC916" i="57" s="1"/>
  <c r="V916" i="57"/>
  <c r="AB916" i="57" s="1"/>
  <c r="X915" i="57"/>
  <c r="AD915" i="57" s="1"/>
  <c r="W915" i="57"/>
  <c r="AC915" i="57" s="1"/>
  <c r="V915" i="57"/>
  <c r="AB915" i="57" s="1"/>
  <c r="X914" i="57"/>
  <c r="AD914" i="57" s="1"/>
  <c r="W914" i="57"/>
  <c r="AC914" i="57" s="1"/>
  <c r="V914" i="57"/>
  <c r="AB914" i="57" s="1"/>
  <c r="X913" i="57"/>
  <c r="AD913" i="57" s="1"/>
  <c r="W913" i="57"/>
  <c r="AC913" i="57" s="1"/>
  <c r="V913" i="57"/>
  <c r="AB913" i="57" s="1"/>
  <c r="X912" i="57"/>
  <c r="AD912" i="57" s="1"/>
  <c r="W912" i="57"/>
  <c r="AC912" i="57" s="1"/>
  <c r="V912" i="57"/>
  <c r="AB912" i="57" s="1"/>
  <c r="X911" i="57"/>
  <c r="AD911" i="57" s="1"/>
  <c r="W911" i="57"/>
  <c r="AC911" i="57" s="1"/>
  <c r="V911" i="57"/>
  <c r="AB911" i="57" s="1"/>
  <c r="X910" i="57"/>
  <c r="AD910" i="57" s="1"/>
  <c r="W910" i="57"/>
  <c r="AC910" i="57" s="1"/>
  <c r="V910" i="57"/>
  <c r="AB910" i="57" s="1"/>
  <c r="X909" i="57"/>
  <c r="AD909" i="57" s="1"/>
  <c r="W909" i="57"/>
  <c r="AC909" i="57" s="1"/>
  <c r="V909" i="57"/>
  <c r="AB909" i="57" s="1"/>
  <c r="X908" i="57"/>
  <c r="AD908" i="57" s="1"/>
  <c r="W908" i="57"/>
  <c r="AC908" i="57" s="1"/>
  <c r="V908" i="57"/>
  <c r="AB908" i="57" s="1"/>
  <c r="X907" i="57"/>
  <c r="AD907" i="57" s="1"/>
  <c r="W907" i="57"/>
  <c r="AC907" i="57" s="1"/>
  <c r="V907" i="57"/>
  <c r="AB907" i="57" s="1"/>
  <c r="X906" i="57"/>
  <c r="AD906" i="57" s="1"/>
  <c r="W906" i="57"/>
  <c r="AC906" i="57" s="1"/>
  <c r="V906" i="57"/>
  <c r="AB906" i="57" s="1"/>
  <c r="X905" i="57"/>
  <c r="AD905" i="57" s="1"/>
  <c r="W905" i="57"/>
  <c r="AC905" i="57" s="1"/>
  <c r="V905" i="57"/>
  <c r="AB905" i="57" s="1"/>
  <c r="X904" i="57"/>
  <c r="AD904" i="57" s="1"/>
  <c r="W904" i="57"/>
  <c r="AC904" i="57" s="1"/>
  <c r="V904" i="57"/>
  <c r="AB904" i="57" s="1"/>
  <c r="X903" i="57"/>
  <c r="AD903" i="57" s="1"/>
  <c r="W903" i="57"/>
  <c r="AC903" i="57" s="1"/>
  <c r="V903" i="57"/>
  <c r="AB903" i="57" s="1"/>
  <c r="X902" i="57"/>
  <c r="AD902" i="57" s="1"/>
  <c r="W902" i="57"/>
  <c r="AC902" i="57" s="1"/>
  <c r="V902" i="57"/>
  <c r="AB902" i="57" s="1"/>
  <c r="X901" i="57"/>
  <c r="AD901" i="57" s="1"/>
  <c r="W901" i="57"/>
  <c r="AC901" i="57" s="1"/>
  <c r="V901" i="57"/>
  <c r="AB901" i="57" s="1"/>
  <c r="X900" i="57"/>
  <c r="AD900" i="57" s="1"/>
  <c r="W900" i="57"/>
  <c r="AC900" i="57" s="1"/>
  <c r="V900" i="57"/>
  <c r="AB900" i="57" s="1"/>
  <c r="X899" i="57"/>
  <c r="AD899" i="57" s="1"/>
  <c r="W899" i="57"/>
  <c r="AC899" i="57" s="1"/>
  <c r="V899" i="57"/>
  <c r="AB899" i="57" s="1"/>
  <c r="X898" i="57"/>
  <c r="AD898" i="57" s="1"/>
  <c r="W898" i="57"/>
  <c r="AC898" i="57" s="1"/>
  <c r="V898" i="57"/>
  <c r="AB898" i="57" s="1"/>
  <c r="X897" i="57"/>
  <c r="AD897" i="57" s="1"/>
  <c r="W897" i="57"/>
  <c r="AC897" i="57" s="1"/>
  <c r="V897" i="57"/>
  <c r="AB897" i="57" s="1"/>
  <c r="X896" i="57"/>
  <c r="AD896" i="57" s="1"/>
  <c r="W896" i="57"/>
  <c r="AC896" i="57" s="1"/>
  <c r="V896" i="57"/>
  <c r="AB896" i="57" s="1"/>
  <c r="X895" i="57"/>
  <c r="AD895" i="57" s="1"/>
  <c r="W895" i="57"/>
  <c r="AC895" i="57" s="1"/>
  <c r="V895" i="57"/>
  <c r="AB895" i="57" s="1"/>
  <c r="X894" i="57"/>
  <c r="AD894" i="57" s="1"/>
  <c r="W894" i="57"/>
  <c r="AC894" i="57" s="1"/>
  <c r="V894" i="57"/>
  <c r="AB894" i="57" s="1"/>
  <c r="X893" i="57"/>
  <c r="AD893" i="57" s="1"/>
  <c r="W893" i="57"/>
  <c r="AC893" i="57" s="1"/>
  <c r="V893" i="57"/>
  <c r="AB893" i="57" s="1"/>
  <c r="X892" i="57"/>
  <c r="AD892" i="57" s="1"/>
  <c r="W892" i="57"/>
  <c r="AC892" i="57" s="1"/>
  <c r="V892" i="57"/>
  <c r="AB892" i="57" s="1"/>
  <c r="X891" i="57"/>
  <c r="AD891" i="57" s="1"/>
  <c r="W891" i="57"/>
  <c r="AC891" i="57" s="1"/>
  <c r="V891" i="57"/>
  <c r="AB891" i="57" s="1"/>
  <c r="X890" i="57"/>
  <c r="AD890" i="57" s="1"/>
  <c r="W890" i="57"/>
  <c r="AC890" i="57" s="1"/>
  <c r="V890" i="57"/>
  <c r="AB890" i="57" s="1"/>
  <c r="X889" i="57"/>
  <c r="AD889" i="57" s="1"/>
  <c r="W889" i="57"/>
  <c r="AC889" i="57" s="1"/>
  <c r="V889" i="57"/>
  <c r="AB889" i="57" s="1"/>
  <c r="X888" i="57"/>
  <c r="AD888" i="57" s="1"/>
  <c r="W888" i="57"/>
  <c r="AC888" i="57" s="1"/>
  <c r="V888" i="57"/>
  <c r="AB888" i="57" s="1"/>
  <c r="X887" i="57"/>
  <c r="AD887" i="57" s="1"/>
  <c r="W887" i="57"/>
  <c r="AC887" i="57" s="1"/>
  <c r="V887" i="57"/>
  <c r="AB887" i="57" s="1"/>
  <c r="X886" i="57"/>
  <c r="AD886" i="57" s="1"/>
  <c r="W886" i="57"/>
  <c r="AC886" i="57" s="1"/>
  <c r="V886" i="57"/>
  <c r="AB886" i="57" s="1"/>
  <c r="X885" i="57"/>
  <c r="AD885" i="57" s="1"/>
  <c r="W885" i="57"/>
  <c r="AC885" i="57" s="1"/>
  <c r="V885" i="57"/>
  <c r="AB885" i="57" s="1"/>
  <c r="X884" i="57"/>
  <c r="AD884" i="57" s="1"/>
  <c r="W884" i="57"/>
  <c r="AC884" i="57" s="1"/>
  <c r="V884" i="57"/>
  <c r="AB884" i="57" s="1"/>
  <c r="X883" i="57"/>
  <c r="AD883" i="57" s="1"/>
  <c r="W883" i="57"/>
  <c r="AC883" i="57" s="1"/>
  <c r="V883" i="57"/>
  <c r="AB883" i="57" s="1"/>
  <c r="X882" i="57"/>
  <c r="AD882" i="57" s="1"/>
  <c r="W882" i="57"/>
  <c r="AC882" i="57" s="1"/>
  <c r="V882" i="57"/>
  <c r="AB882" i="57" s="1"/>
  <c r="X881" i="57"/>
  <c r="AD881" i="57" s="1"/>
  <c r="W881" i="57"/>
  <c r="AC881" i="57" s="1"/>
  <c r="V881" i="57"/>
  <c r="AB881" i="57" s="1"/>
  <c r="X880" i="57"/>
  <c r="AD880" i="57" s="1"/>
  <c r="W880" i="57"/>
  <c r="AC880" i="57" s="1"/>
  <c r="V880" i="57"/>
  <c r="AB880" i="57" s="1"/>
  <c r="X879" i="57"/>
  <c r="AD879" i="57" s="1"/>
  <c r="W879" i="57"/>
  <c r="AC879" i="57" s="1"/>
  <c r="V879" i="57"/>
  <c r="AB879" i="57" s="1"/>
  <c r="X878" i="57"/>
  <c r="AD878" i="57" s="1"/>
  <c r="W878" i="57"/>
  <c r="AC878" i="57" s="1"/>
  <c r="V878" i="57"/>
  <c r="AB878" i="57" s="1"/>
  <c r="X877" i="57"/>
  <c r="AD877" i="57" s="1"/>
  <c r="W877" i="57"/>
  <c r="AC877" i="57" s="1"/>
  <c r="V877" i="57"/>
  <c r="AB877" i="57" s="1"/>
  <c r="X876" i="57"/>
  <c r="AD876" i="57" s="1"/>
  <c r="W876" i="57"/>
  <c r="AC876" i="57" s="1"/>
  <c r="V876" i="57"/>
  <c r="AB876" i="57" s="1"/>
  <c r="X875" i="57"/>
  <c r="AD875" i="57" s="1"/>
  <c r="W875" i="57"/>
  <c r="AC875" i="57" s="1"/>
  <c r="V875" i="57"/>
  <c r="AB875" i="57" s="1"/>
  <c r="X874" i="57"/>
  <c r="AD874" i="57" s="1"/>
  <c r="W874" i="57"/>
  <c r="AC874" i="57" s="1"/>
  <c r="V874" i="57"/>
  <c r="AB874" i="57" s="1"/>
  <c r="X873" i="57"/>
  <c r="AD873" i="57" s="1"/>
  <c r="W873" i="57"/>
  <c r="AC873" i="57" s="1"/>
  <c r="V873" i="57"/>
  <c r="AB873" i="57" s="1"/>
  <c r="X872" i="57"/>
  <c r="AD872" i="57" s="1"/>
  <c r="W872" i="57"/>
  <c r="AC872" i="57" s="1"/>
  <c r="V872" i="57"/>
  <c r="AB872" i="57" s="1"/>
  <c r="X871" i="57"/>
  <c r="AD871" i="57" s="1"/>
  <c r="W871" i="57"/>
  <c r="AC871" i="57" s="1"/>
  <c r="V871" i="57"/>
  <c r="AB871" i="57" s="1"/>
  <c r="X870" i="57"/>
  <c r="AD870" i="57" s="1"/>
  <c r="W870" i="57"/>
  <c r="AC870" i="57" s="1"/>
  <c r="V870" i="57"/>
  <c r="AB870" i="57" s="1"/>
  <c r="X869" i="57"/>
  <c r="AD869" i="57" s="1"/>
  <c r="W869" i="57"/>
  <c r="AC869" i="57" s="1"/>
  <c r="V869" i="57"/>
  <c r="AB869" i="57" s="1"/>
  <c r="X868" i="57"/>
  <c r="AD868" i="57" s="1"/>
  <c r="W868" i="57"/>
  <c r="AC868" i="57" s="1"/>
  <c r="V868" i="57"/>
  <c r="AB868" i="57" s="1"/>
  <c r="X867" i="57"/>
  <c r="AD867" i="57" s="1"/>
  <c r="W867" i="57"/>
  <c r="AC867" i="57" s="1"/>
  <c r="V867" i="57"/>
  <c r="AB867" i="57" s="1"/>
  <c r="X866" i="57"/>
  <c r="AD866" i="57" s="1"/>
  <c r="W866" i="57"/>
  <c r="AC866" i="57" s="1"/>
  <c r="V866" i="57"/>
  <c r="AB866" i="57" s="1"/>
  <c r="X865" i="57"/>
  <c r="AD865" i="57" s="1"/>
  <c r="W865" i="57"/>
  <c r="AC865" i="57" s="1"/>
  <c r="V865" i="57"/>
  <c r="AB865" i="57" s="1"/>
  <c r="X864" i="57"/>
  <c r="AD864" i="57" s="1"/>
  <c r="W864" i="57"/>
  <c r="AC864" i="57" s="1"/>
  <c r="V864" i="57"/>
  <c r="AB864" i="57" s="1"/>
  <c r="X863" i="57"/>
  <c r="AD863" i="57" s="1"/>
  <c r="W863" i="57"/>
  <c r="AC863" i="57" s="1"/>
  <c r="V863" i="57"/>
  <c r="AB863" i="57" s="1"/>
  <c r="X862" i="57"/>
  <c r="AD862" i="57" s="1"/>
  <c r="W862" i="57"/>
  <c r="AC862" i="57" s="1"/>
  <c r="V862" i="57"/>
  <c r="AB862" i="57" s="1"/>
  <c r="X861" i="57"/>
  <c r="AD861" i="57" s="1"/>
  <c r="W861" i="57"/>
  <c r="AC861" i="57" s="1"/>
  <c r="V861" i="57"/>
  <c r="AB861" i="57" s="1"/>
  <c r="X860" i="57"/>
  <c r="AD860" i="57" s="1"/>
  <c r="W860" i="57"/>
  <c r="AC860" i="57" s="1"/>
  <c r="V860" i="57"/>
  <c r="AB860" i="57" s="1"/>
  <c r="X859" i="57"/>
  <c r="AD859" i="57" s="1"/>
  <c r="W859" i="57"/>
  <c r="AC859" i="57" s="1"/>
  <c r="V859" i="57"/>
  <c r="AB859" i="57" s="1"/>
  <c r="X858" i="57"/>
  <c r="AD858" i="57" s="1"/>
  <c r="W858" i="57"/>
  <c r="AC858" i="57" s="1"/>
  <c r="V858" i="57"/>
  <c r="AB858" i="57" s="1"/>
  <c r="X857" i="57"/>
  <c r="AD857" i="57" s="1"/>
  <c r="W857" i="57"/>
  <c r="AC857" i="57" s="1"/>
  <c r="V857" i="57"/>
  <c r="AB857" i="57" s="1"/>
  <c r="X856" i="57"/>
  <c r="AD856" i="57" s="1"/>
  <c r="W856" i="57"/>
  <c r="AC856" i="57" s="1"/>
  <c r="V856" i="57"/>
  <c r="AB856" i="57" s="1"/>
  <c r="X855" i="57"/>
  <c r="AD855" i="57" s="1"/>
  <c r="W855" i="57"/>
  <c r="AC855" i="57" s="1"/>
  <c r="V855" i="57"/>
  <c r="AB855" i="57" s="1"/>
  <c r="X854" i="57"/>
  <c r="AD854" i="57" s="1"/>
  <c r="W854" i="57"/>
  <c r="AC854" i="57" s="1"/>
  <c r="V854" i="57"/>
  <c r="AB854" i="57" s="1"/>
  <c r="X853" i="57"/>
  <c r="AD853" i="57" s="1"/>
  <c r="W853" i="57"/>
  <c r="AC853" i="57" s="1"/>
  <c r="V853" i="57"/>
  <c r="AB853" i="57" s="1"/>
  <c r="X852" i="57"/>
  <c r="AD852" i="57" s="1"/>
  <c r="W852" i="57"/>
  <c r="AC852" i="57" s="1"/>
  <c r="V852" i="57"/>
  <c r="AB852" i="57" s="1"/>
  <c r="X851" i="57"/>
  <c r="AD851" i="57" s="1"/>
  <c r="W851" i="57"/>
  <c r="AC851" i="57" s="1"/>
  <c r="V851" i="57"/>
  <c r="AB851" i="57" s="1"/>
  <c r="X850" i="57"/>
  <c r="AD850" i="57" s="1"/>
  <c r="W850" i="57"/>
  <c r="AC850" i="57" s="1"/>
  <c r="V850" i="57"/>
  <c r="AB850" i="57" s="1"/>
  <c r="X849" i="57"/>
  <c r="AD849" i="57" s="1"/>
  <c r="W849" i="57"/>
  <c r="AC849" i="57" s="1"/>
  <c r="V849" i="57"/>
  <c r="AB849" i="57" s="1"/>
  <c r="X848" i="57"/>
  <c r="AD848" i="57" s="1"/>
  <c r="W848" i="57"/>
  <c r="AC848" i="57" s="1"/>
  <c r="V848" i="57"/>
  <c r="AB848" i="57" s="1"/>
  <c r="X847" i="57"/>
  <c r="AD847" i="57" s="1"/>
  <c r="W847" i="57"/>
  <c r="AC847" i="57" s="1"/>
  <c r="V847" i="57"/>
  <c r="AB847" i="57" s="1"/>
  <c r="X846" i="57"/>
  <c r="AD846" i="57" s="1"/>
  <c r="W846" i="57"/>
  <c r="AC846" i="57" s="1"/>
  <c r="V846" i="57"/>
  <c r="AB846" i="57" s="1"/>
  <c r="X845" i="57"/>
  <c r="AD845" i="57" s="1"/>
  <c r="W845" i="57"/>
  <c r="AC845" i="57" s="1"/>
  <c r="V845" i="57"/>
  <c r="AB845" i="57" s="1"/>
  <c r="X844" i="57"/>
  <c r="AD844" i="57" s="1"/>
  <c r="W844" i="57"/>
  <c r="AC844" i="57" s="1"/>
  <c r="V844" i="57"/>
  <c r="AB844" i="57" s="1"/>
  <c r="X843" i="57"/>
  <c r="AD843" i="57" s="1"/>
  <c r="W843" i="57"/>
  <c r="AC843" i="57" s="1"/>
  <c r="V843" i="57"/>
  <c r="AB843" i="57" s="1"/>
  <c r="X842" i="57"/>
  <c r="AD842" i="57" s="1"/>
  <c r="W842" i="57"/>
  <c r="AC842" i="57" s="1"/>
  <c r="V842" i="57"/>
  <c r="AB842" i="57" s="1"/>
  <c r="X841" i="57"/>
  <c r="AD841" i="57" s="1"/>
  <c r="W841" i="57"/>
  <c r="AC841" i="57" s="1"/>
  <c r="V841" i="57"/>
  <c r="AB841" i="57" s="1"/>
  <c r="X840" i="57"/>
  <c r="AD840" i="57" s="1"/>
  <c r="W840" i="57"/>
  <c r="AC840" i="57" s="1"/>
  <c r="V840" i="57"/>
  <c r="AB840" i="57" s="1"/>
  <c r="X839" i="57"/>
  <c r="AD839" i="57" s="1"/>
  <c r="W839" i="57"/>
  <c r="AC839" i="57" s="1"/>
  <c r="V839" i="57"/>
  <c r="AB839" i="57" s="1"/>
  <c r="X838" i="57"/>
  <c r="AD838" i="57" s="1"/>
  <c r="W838" i="57"/>
  <c r="AC838" i="57" s="1"/>
  <c r="V838" i="57"/>
  <c r="AB838" i="57" s="1"/>
  <c r="X837" i="57"/>
  <c r="AD837" i="57" s="1"/>
  <c r="W837" i="57"/>
  <c r="AC837" i="57" s="1"/>
  <c r="V837" i="57"/>
  <c r="AB837" i="57" s="1"/>
  <c r="X836" i="57"/>
  <c r="AD836" i="57" s="1"/>
  <c r="W836" i="57"/>
  <c r="AC836" i="57" s="1"/>
  <c r="V836" i="57"/>
  <c r="AB836" i="57" s="1"/>
  <c r="X835" i="57"/>
  <c r="AD835" i="57" s="1"/>
  <c r="W835" i="57"/>
  <c r="AC835" i="57" s="1"/>
  <c r="V835" i="57"/>
  <c r="AB835" i="57" s="1"/>
  <c r="X834" i="57"/>
  <c r="AD834" i="57" s="1"/>
  <c r="W834" i="57"/>
  <c r="AC834" i="57" s="1"/>
  <c r="V834" i="57"/>
  <c r="AB834" i="57" s="1"/>
  <c r="X833" i="57"/>
  <c r="AD833" i="57" s="1"/>
  <c r="W833" i="57"/>
  <c r="AC833" i="57" s="1"/>
  <c r="V833" i="57"/>
  <c r="AB833" i="57" s="1"/>
  <c r="X832" i="57"/>
  <c r="AD832" i="57" s="1"/>
  <c r="W832" i="57"/>
  <c r="AC832" i="57" s="1"/>
  <c r="V832" i="57"/>
  <c r="AB832" i="57" s="1"/>
  <c r="X831" i="57"/>
  <c r="AD831" i="57" s="1"/>
  <c r="W831" i="57"/>
  <c r="AC831" i="57" s="1"/>
  <c r="V831" i="57"/>
  <c r="AB831" i="57" s="1"/>
  <c r="X830" i="57"/>
  <c r="AD830" i="57" s="1"/>
  <c r="W830" i="57"/>
  <c r="AC830" i="57" s="1"/>
  <c r="V830" i="57"/>
  <c r="AB830" i="57" s="1"/>
  <c r="X829" i="57"/>
  <c r="AD829" i="57" s="1"/>
  <c r="W829" i="57"/>
  <c r="AC829" i="57" s="1"/>
  <c r="V829" i="57"/>
  <c r="AB829" i="57" s="1"/>
  <c r="X828" i="57"/>
  <c r="AD828" i="57" s="1"/>
  <c r="W828" i="57"/>
  <c r="AC828" i="57" s="1"/>
  <c r="V828" i="57"/>
  <c r="AB828" i="57" s="1"/>
  <c r="X827" i="57"/>
  <c r="AD827" i="57" s="1"/>
  <c r="W827" i="57"/>
  <c r="AC827" i="57" s="1"/>
  <c r="V827" i="57"/>
  <c r="AB827" i="57" s="1"/>
  <c r="X826" i="57"/>
  <c r="AD826" i="57" s="1"/>
  <c r="W826" i="57"/>
  <c r="AC826" i="57" s="1"/>
  <c r="V826" i="57"/>
  <c r="AB826" i="57" s="1"/>
  <c r="X825" i="57"/>
  <c r="AD825" i="57" s="1"/>
  <c r="W825" i="57"/>
  <c r="AC825" i="57" s="1"/>
  <c r="V825" i="57"/>
  <c r="AB825" i="57" s="1"/>
  <c r="X824" i="57"/>
  <c r="AD824" i="57" s="1"/>
  <c r="W824" i="57"/>
  <c r="AC824" i="57" s="1"/>
  <c r="V824" i="57"/>
  <c r="AB824" i="57" s="1"/>
  <c r="X823" i="57"/>
  <c r="AD823" i="57" s="1"/>
  <c r="W823" i="57"/>
  <c r="AC823" i="57" s="1"/>
  <c r="V823" i="57"/>
  <c r="AB823" i="57" s="1"/>
  <c r="X822" i="57"/>
  <c r="AD822" i="57" s="1"/>
  <c r="W822" i="57"/>
  <c r="AC822" i="57" s="1"/>
  <c r="V822" i="57"/>
  <c r="AB822" i="57" s="1"/>
  <c r="X821" i="57"/>
  <c r="AD821" i="57" s="1"/>
  <c r="W821" i="57"/>
  <c r="AC821" i="57" s="1"/>
  <c r="V821" i="57"/>
  <c r="AB821" i="57" s="1"/>
  <c r="X820" i="57"/>
  <c r="AD820" i="57" s="1"/>
  <c r="W820" i="57"/>
  <c r="AC820" i="57" s="1"/>
  <c r="V820" i="57"/>
  <c r="AB820" i="57" s="1"/>
  <c r="X819" i="57"/>
  <c r="AD819" i="57" s="1"/>
  <c r="W819" i="57"/>
  <c r="AC819" i="57" s="1"/>
  <c r="V819" i="57"/>
  <c r="AB819" i="57" s="1"/>
  <c r="X818" i="57"/>
  <c r="AD818" i="57" s="1"/>
  <c r="W818" i="57"/>
  <c r="AC818" i="57" s="1"/>
  <c r="V818" i="57"/>
  <c r="AB818" i="57" s="1"/>
  <c r="X817" i="57"/>
  <c r="AD817" i="57" s="1"/>
  <c r="W817" i="57"/>
  <c r="AC817" i="57" s="1"/>
  <c r="V817" i="57"/>
  <c r="AB817" i="57" s="1"/>
  <c r="X816" i="57"/>
  <c r="AD816" i="57" s="1"/>
  <c r="W816" i="57"/>
  <c r="AC816" i="57" s="1"/>
  <c r="V816" i="57"/>
  <c r="AB816" i="57" s="1"/>
  <c r="X815" i="57"/>
  <c r="AD815" i="57" s="1"/>
  <c r="W815" i="57"/>
  <c r="AC815" i="57" s="1"/>
  <c r="V815" i="57"/>
  <c r="AB815" i="57" s="1"/>
  <c r="X814" i="57"/>
  <c r="AD814" i="57" s="1"/>
  <c r="W814" i="57"/>
  <c r="AC814" i="57" s="1"/>
  <c r="V814" i="57"/>
  <c r="AB814" i="57" s="1"/>
  <c r="X813" i="57"/>
  <c r="AD813" i="57" s="1"/>
  <c r="W813" i="57"/>
  <c r="AC813" i="57" s="1"/>
  <c r="V813" i="57"/>
  <c r="AB813" i="57" s="1"/>
  <c r="X812" i="57"/>
  <c r="AD812" i="57" s="1"/>
  <c r="W812" i="57"/>
  <c r="AC812" i="57" s="1"/>
  <c r="V812" i="57"/>
  <c r="AB812" i="57" s="1"/>
  <c r="X811" i="57"/>
  <c r="AD811" i="57" s="1"/>
  <c r="W811" i="57"/>
  <c r="AC811" i="57" s="1"/>
  <c r="V811" i="57"/>
  <c r="AB811" i="57" s="1"/>
  <c r="X810" i="57"/>
  <c r="AD810" i="57" s="1"/>
  <c r="W810" i="57"/>
  <c r="AC810" i="57" s="1"/>
  <c r="V810" i="57"/>
  <c r="AB810" i="57" s="1"/>
  <c r="X809" i="57"/>
  <c r="AD809" i="57" s="1"/>
  <c r="W809" i="57"/>
  <c r="AC809" i="57" s="1"/>
  <c r="V809" i="57"/>
  <c r="AB809" i="57" s="1"/>
  <c r="X808" i="57"/>
  <c r="AD808" i="57" s="1"/>
  <c r="W808" i="57"/>
  <c r="AC808" i="57" s="1"/>
  <c r="V808" i="57"/>
  <c r="AB808" i="57" s="1"/>
  <c r="X807" i="57"/>
  <c r="AD807" i="57" s="1"/>
  <c r="W807" i="57"/>
  <c r="AC807" i="57" s="1"/>
  <c r="V807" i="57"/>
  <c r="AB807" i="57" s="1"/>
  <c r="X806" i="57"/>
  <c r="AD806" i="57" s="1"/>
  <c r="W806" i="57"/>
  <c r="AC806" i="57" s="1"/>
  <c r="V806" i="57"/>
  <c r="AB806" i="57" s="1"/>
  <c r="X805" i="57"/>
  <c r="AD805" i="57" s="1"/>
  <c r="W805" i="57"/>
  <c r="AC805" i="57" s="1"/>
  <c r="V805" i="57"/>
  <c r="AB805" i="57" s="1"/>
  <c r="X804" i="57"/>
  <c r="AD804" i="57" s="1"/>
  <c r="W804" i="57"/>
  <c r="AC804" i="57" s="1"/>
  <c r="V804" i="57"/>
  <c r="AB804" i="57" s="1"/>
  <c r="X803" i="57"/>
  <c r="AD803" i="57" s="1"/>
  <c r="W803" i="57"/>
  <c r="AC803" i="57" s="1"/>
  <c r="V803" i="57"/>
  <c r="AB803" i="57" s="1"/>
  <c r="X802" i="57"/>
  <c r="AD802" i="57" s="1"/>
  <c r="W802" i="57"/>
  <c r="AC802" i="57" s="1"/>
  <c r="V802" i="57"/>
  <c r="AB802" i="57" s="1"/>
  <c r="X801" i="57"/>
  <c r="AD801" i="57" s="1"/>
  <c r="W801" i="57"/>
  <c r="AC801" i="57" s="1"/>
  <c r="V801" i="57"/>
  <c r="AB801" i="57" s="1"/>
  <c r="X800" i="57"/>
  <c r="AD800" i="57" s="1"/>
  <c r="W800" i="57"/>
  <c r="AC800" i="57" s="1"/>
  <c r="V800" i="57"/>
  <c r="AB800" i="57" s="1"/>
  <c r="X799" i="57"/>
  <c r="AD799" i="57" s="1"/>
  <c r="W799" i="57"/>
  <c r="AC799" i="57" s="1"/>
  <c r="V799" i="57"/>
  <c r="AB799" i="57" s="1"/>
  <c r="X798" i="57"/>
  <c r="AD798" i="57" s="1"/>
  <c r="W798" i="57"/>
  <c r="AC798" i="57" s="1"/>
  <c r="V798" i="57"/>
  <c r="AB798" i="57" s="1"/>
  <c r="X797" i="57"/>
  <c r="AD797" i="57" s="1"/>
  <c r="W797" i="57"/>
  <c r="AC797" i="57" s="1"/>
  <c r="V797" i="57"/>
  <c r="AB797" i="57" s="1"/>
  <c r="X796" i="57"/>
  <c r="AD796" i="57" s="1"/>
  <c r="W796" i="57"/>
  <c r="AC796" i="57" s="1"/>
  <c r="V796" i="57"/>
  <c r="AB796" i="57" s="1"/>
  <c r="X795" i="57"/>
  <c r="AD795" i="57" s="1"/>
  <c r="W795" i="57"/>
  <c r="AC795" i="57" s="1"/>
  <c r="V795" i="57"/>
  <c r="AB795" i="57" s="1"/>
  <c r="X794" i="57"/>
  <c r="AD794" i="57" s="1"/>
  <c r="W794" i="57"/>
  <c r="AC794" i="57" s="1"/>
  <c r="V794" i="57"/>
  <c r="AB794" i="57" s="1"/>
  <c r="X793" i="57"/>
  <c r="AD793" i="57" s="1"/>
  <c r="W793" i="57"/>
  <c r="AC793" i="57" s="1"/>
  <c r="V793" i="57"/>
  <c r="AB793" i="57" s="1"/>
  <c r="X792" i="57"/>
  <c r="AD792" i="57" s="1"/>
  <c r="W792" i="57"/>
  <c r="AC792" i="57" s="1"/>
  <c r="V792" i="57"/>
  <c r="AB792" i="57" s="1"/>
  <c r="X791" i="57"/>
  <c r="AD791" i="57" s="1"/>
  <c r="W791" i="57"/>
  <c r="AC791" i="57" s="1"/>
  <c r="V791" i="57"/>
  <c r="AB791" i="57" s="1"/>
  <c r="X790" i="57"/>
  <c r="AD790" i="57" s="1"/>
  <c r="W790" i="57"/>
  <c r="AC790" i="57" s="1"/>
  <c r="V790" i="57"/>
  <c r="AB790" i="57" s="1"/>
  <c r="X789" i="57"/>
  <c r="AD789" i="57" s="1"/>
  <c r="W789" i="57"/>
  <c r="AC789" i="57" s="1"/>
  <c r="V789" i="57"/>
  <c r="AB789" i="57" s="1"/>
  <c r="X788" i="57"/>
  <c r="AD788" i="57" s="1"/>
  <c r="W788" i="57"/>
  <c r="AC788" i="57" s="1"/>
  <c r="V788" i="57"/>
  <c r="AB788" i="57" s="1"/>
  <c r="X787" i="57"/>
  <c r="AD787" i="57" s="1"/>
  <c r="W787" i="57"/>
  <c r="AC787" i="57" s="1"/>
  <c r="V787" i="57"/>
  <c r="AB787" i="57" s="1"/>
  <c r="X786" i="57"/>
  <c r="AD786" i="57" s="1"/>
  <c r="W786" i="57"/>
  <c r="AC786" i="57" s="1"/>
  <c r="V786" i="57"/>
  <c r="AB786" i="57" s="1"/>
  <c r="X785" i="57"/>
  <c r="AD785" i="57" s="1"/>
  <c r="W785" i="57"/>
  <c r="AC785" i="57" s="1"/>
  <c r="V785" i="57"/>
  <c r="AB785" i="57" s="1"/>
  <c r="X784" i="57"/>
  <c r="AD784" i="57" s="1"/>
  <c r="W784" i="57"/>
  <c r="AC784" i="57" s="1"/>
  <c r="V784" i="57"/>
  <c r="AB784" i="57" s="1"/>
  <c r="X783" i="57"/>
  <c r="AD783" i="57" s="1"/>
  <c r="W783" i="57"/>
  <c r="AC783" i="57" s="1"/>
  <c r="V783" i="57"/>
  <c r="AB783" i="57" s="1"/>
  <c r="X782" i="57"/>
  <c r="AD782" i="57" s="1"/>
  <c r="W782" i="57"/>
  <c r="AC782" i="57" s="1"/>
  <c r="V782" i="57"/>
  <c r="AB782" i="57" s="1"/>
  <c r="X781" i="57"/>
  <c r="AD781" i="57" s="1"/>
  <c r="W781" i="57"/>
  <c r="AC781" i="57" s="1"/>
  <c r="V781" i="57"/>
  <c r="AB781" i="57" s="1"/>
  <c r="X780" i="57"/>
  <c r="AD780" i="57" s="1"/>
  <c r="W780" i="57"/>
  <c r="AC780" i="57" s="1"/>
  <c r="V780" i="57"/>
  <c r="AB780" i="57" s="1"/>
  <c r="X779" i="57"/>
  <c r="AD779" i="57" s="1"/>
  <c r="W779" i="57"/>
  <c r="AC779" i="57" s="1"/>
  <c r="V779" i="57"/>
  <c r="AB779" i="57" s="1"/>
  <c r="X778" i="57"/>
  <c r="AD778" i="57" s="1"/>
  <c r="W778" i="57"/>
  <c r="AC778" i="57" s="1"/>
  <c r="V778" i="57"/>
  <c r="AB778" i="57" s="1"/>
  <c r="X777" i="57"/>
  <c r="AD777" i="57" s="1"/>
  <c r="W777" i="57"/>
  <c r="AC777" i="57" s="1"/>
  <c r="V777" i="57"/>
  <c r="AB777" i="57" s="1"/>
  <c r="X776" i="57"/>
  <c r="AD776" i="57" s="1"/>
  <c r="W776" i="57"/>
  <c r="AC776" i="57" s="1"/>
  <c r="V776" i="57"/>
  <c r="AB776" i="57" s="1"/>
  <c r="X775" i="57"/>
  <c r="AD775" i="57" s="1"/>
  <c r="W775" i="57"/>
  <c r="AC775" i="57" s="1"/>
  <c r="V775" i="57"/>
  <c r="AB775" i="57" s="1"/>
  <c r="X774" i="57"/>
  <c r="AD774" i="57" s="1"/>
  <c r="W774" i="57"/>
  <c r="AC774" i="57" s="1"/>
  <c r="V774" i="57"/>
  <c r="AB774" i="57" s="1"/>
  <c r="X773" i="57"/>
  <c r="AD773" i="57" s="1"/>
  <c r="W773" i="57"/>
  <c r="AC773" i="57" s="1"/>
  <c r="V773" i="57"/>
  <c r="AB773" i="57" s="1"/>
  <c r="X772" i="57"/>
  <c r="AD772" i="57" s="1"/>
  <c r="W772" i="57"/>
  <c r="AC772" i="57" s="1"/>
  <c r="V772" i="57"/>
  <c r="AB772" i="57" s="1"/>
  <c r="X771" i="57"/>
  <c r="AD771" i="57" s="1"/>
  <c r="W771" i="57"/>
  <c r="AC771" i="57" s="1"/>
  <c r="V771" i="57"/>
  <c r="AB771" i="57" s="1"/>
  <c r="X770" i="57"/>
  <c r="AD770" i="57" s="1"/>
  <c r="W770" i="57"/>
  <c r="AC770" i="57" s="1"/>
  <c r="V770" i="57"/>
  <c r="AB770" i="57" s="1"/>
  <c r="X769" i="57"/>
  <c r="AD769" i="57" s="1"/>
  <c r="W769" i="57"/>
  <c r="AC769" i="57" s="1"/>
  <c r="V769" i="57"/>
  <c r="AB769" i="57" s="1"/>
  <c r="X768" i="57"/>
  <c r="AD768" i="57" s="1"/>
  <c r="W768" i="57"/>
  <c r="AC768" i="57" s="1"/>
  <c r="V768" i="57"/>
  <c r="AB768" i="57" s="1"/>
  <c r="X767" i="57"/>
  <c r="AD767" i="57" s="1"/>
  <c r="W767" i="57"/>
  <c r="AC767" i="57" s="1"/>
  <c r="V767" i="57"/>
  <c r="AB767" i="57" s="1"/>
  <c r="X766" i="57"/>
  <c r="AD766" i="57" s="1"/>
  <c r="W766" i="57"/>
  <c r="AC766" i="57" s="1"/>
  <c r="V766" i="57"/>
  <c r="AB766" i="57" s="1"/>
  <c r="X765" i="57"/>
  <c r="AD765" i="57" s="1"/>
  <c r="W765" i="57"/>
  <c r="AC765" i="57" s="1"/>
  <c r="V765" i="57"/>
  <c r="AB765" i="57" s="1"/>
  <c r="X764" i="57"/>
  <c r="AD764" i="57" s="1"/>
  <c r="W764" i="57"/>
  <c r="AC764" i="57" s="1"/>
  <c r="V764" i="57"/>
  <c r="AB764" i="57" s="1"/>
  <c r="X763" i="57"/>
  <c r="AD763" i="57" s="1"/>
  <c r="W763" i="57"/>
  <c r="AC763" i="57" s="1"/>
  <c r="V763" i="57"/>
  <c r="AB763" i="57" s="1"/>
  <c r="X762" i="57"/>
  <c r="AD762" i="57" s="1"/>
  <c r="W762" i="57"/>
  <c r="AC762" i="57" s="1"/>
  <c r="V762" i="57"/>
  <c r="AB762" i="57" s="1"/>
  <c r="X761" i="57"/>
  <c r="AD761" i="57" s="1"/>
  <c r="W761" i="57"/>
  <c r="AC761" i="57" s="1"/>
  <c r="V761" i="57"/>
  <c r="AB761" i="57" s="1"/>
  <c r="X760" i="57"/>
  <c r="AD760" i="57" s="1"/>
  <c r="W760" i="57"/>
  <c r="AC760" i="57" s="1"/>
  <c r="V760" i="57"/>
  <c r="AB760" i="57" s="1"/>
  <c r="X759" i="57"/>
  <c r="AD759" i="57" s="1"/>
  <c r="W759" i="57"/>
  <c r="AC759" i="57" s="1"/>
  <c r="V759" i="57"/>
  <c r="AB759" i="57" s="1"/>
  <c r="X758" i="57"/>
  <c r="AD758" i="57" s="1"/>
  <c r="W758" i="57"/>
  <c r="AC758" i="57" s="1"/>
  <c r="V758" i="57"/>
  <c r="AB758" i="57" s="1"/>
  <c r="X757" i="57"/>
  <c r="AD757" i="57" s="1"/>
  <c r="W757" i="57"/>
  <c r="AC757" i="57" s="1"/>
  <c r="V757" i="57"/>
  <c r="AB757" i="57" s="1"/>
  <c r="X756" i="57"/>
  <c r="AD756" i="57" s="1"/>
  <c r="W756" i="57"/>
  <c r="AC756" i="57" s="1"/>
  <c r="V756" i="57"/>
  <c r="AB756" i="57" s="1"/>
  <c r="X755" i="57"/>
  <c r="AD755" i="57" s="1"/>
  <c r="W755" i="57"/>
  <c r="AC755" i="57" s="1"/>
  <c r="V755" i="57"/>
  <c r="AB755" i="57" s="1"/>
  <c r="X754" i="57"/>
  <c r="AD754" i="57" s="1"/>
  <c r="W754" i="57"/>
  <c r="AC754" i="57" s="1"/>
  <c r="V754" i="57"/>
  <c r="AB754" i="57" s="1"/>
  <c r="X753" i="57"/>
  <c r="AD753" i="57" s="1"/>
  <c r="W753" i="57"/>
  <c r="AC753" i="57" s="1"/>
  <c r="V753" i="57"/>
  <c r="AB753" i="57" s="1"/>
  <c r="X752" i="57"/>
  <c r="AD752" i="57" s="1"/>
  <c r="W752" i="57"/>
  <c r="AC752" i="57" s="1"/>
  <c r="V752" i="57"/>
  <c r="AB752" i="57" s="1"/>
  <c r="X751" i="57"/>
  <c r="AD751" i="57" s="1"/>
  <c r="W751" i="57"/>
  <c r="AC751" i="57" s="1"/>
  <c r="V751" i="57"/>
  <c r="AB751" i="57" s="1"/>
  <c r="X750" i="57"/>
  <c r="AD750" i="57" s="1"/>
  <c r="W750" i="57"/>
  <c r="AC750" i="57" s="1"/>
  <c r="V750" i="57"/>
  <c r="AB750" i="57" s="1"/>
  <c r="X749" i="57"/>
  <c r="AD749" i="57" s="1"/>
  <c r="W749" i="57"/>
  <c r="AC749" i="57" s="1"/>
  <c r="V749" i="57"/>
  <c r="AB749" i="57" s="1"/>
  <c r="X748" i="57"/>
  <c r="AD748" i="57" s="1"/>
  <c r="W748" i="57"/>
  <c r="AC748" i="57" s="1"/>
  <c r="V748" i="57"/>
  <c r="AB748" i="57" s="1"/>
  <c r="X747" i="57"/>
  <c r="AD747" i="57" s="1"/>
  <c r="W747" i="57"/>
  <c r="AC747" i="57" s="1"/>
  <c r="V747" i="57"/>
  <c r="AB747" i="57" s="1"/>
  <c r="X746" i="57"/>
  <c r="AD746" i="57" s="1"/>
  <c r="W746" i="57"/>
  <c r="AC746" i="57" s="1"/>
  <c r="V746" i="57"/>
  <c r="AB746" i="57" s="1"/>
  <c r="X745" i="57"/>
  <c r="AD745" i="57" s="1"/>
  <c r="W745" i="57"/>
  <c r="AC745" i="57" s="1"/>
  <c r="V745" i="57"/>
  <c r="AB745" i="57" s="1"/>
  <c r="X744" i="57"/>
  <c r="AD744" i="57" s="1"/>
  <c r="W744" i="57"/>
  <c r="AC744" i="57" s="1"/>
  <c r="V744" i="57"/>
  <c r="AB744" i="57" s="1"/>
  <c r="X743" i="57"/>
  <c r="AD743" i="57" s="1"/>
  <c r="W743" i="57"/>
  <c r="AC743" i="57" s="1"/>
  <c r="V743" i="57"/>
  <c r="AB743" i="57" s="1"/>
  <c r="X742" i="57"/>
  <c r="AD742" i="57" s="1"/>
  <c r="W742" i="57"/>
  <c r="AC742" i="57" s="1"/>
  <c r="V742" i="57"/>
  <c r="AB742" i="57" s="1"/>
  <c r="X741" i="57"/>
  <c r="AD741" i="57" s="1"/>
  <c r="W741" i="57"/>
  <c r="AC741" i="57" s="1"/>
  <c r="V741" i="57"/>
  <c r="AB741" i="57" s="1"/>
  <c r="X740" i="57"/>
  <c r="AD740" i="57" s="1"/>
  <c r="W740" i="57"/>
  <c r="AC740" i="57" s="1"/>
  <c r="V740" i="57"/>
  <c r="AB740" i="57" s="1"/>
  <c r="X739" i="57"/>
  <c r="AD739" i="57" s="1"/>
  <c r="W739" i="57"/>
  <c r="AC739" i="57" s="1"/>
  <c r="V739" i="57"/>
  <c r="AB739" i="57" s="1"/>
  <c r="X738" i="57"/>
  <c r="AD738" i="57" s="1"/>
  <c r="W738" i="57"/>
  <c r="AC738" i="57" s="1"/>
  <c r="V738" i="57"/>
  <c r="AB738" i="57" s="1"/>
  <c r="X737" i="57"/>
  <c r="AD737" i="57" s="1"/>
  <c r="W737" i="57"/>
  <c r="AC737" i="57" s="1"/>
  <c r="V737" i="57"/>
  <c r="AB737" i="57" s="1"/>
  <c r="X736" i="57"/>
  <c r="AD736" i="57" s="1"/>
  <c r="W736" i="57"/>
  <c r="AC736" i="57" s="1"/>
  <c r="V736" i="57"/>
  <c r="AB736" i="57" s="1"/>
  <c r="X735" i="57"/>
  <c r="AD735" i="57" s="1"/>
  <c r="W735" i="57"/>
  <c r="AC735" i="57" s="1"/>
  <c r="V735" i="57"/>
  <c r="AB735" i="57" s="1"/>
  <c r="X734" i="57"/>
  <c r="AD734" i="57" s="1"/>
  <c r="W734" i="57"/>
  <c r="AC734" i="57" s="1"/>
  <c r="V734" i="57"/>
  <c r="AB734" i="57" s="1"/>
  <c r="X733" i="57"/>
  <c r="AD733" i="57" s="1"/>
  <c r="W733" i="57"/>
  <c r="AC733" i="57" s="1"/>
  <c r="V733" i="57"/>
  <c r="AB733" i="57" s="1"/>
  <c r="X732" i="57"/>
  <c r="AD732" i="57" s="1"/>
  <c r="W732" i="57"/>
  <c r="AC732" i="57" s="1"/>
  <c r="V732" i="57"/>
  <c r="AB732" i="57" s="1"/>
  <c r="X731" i="57"/>
  <c r="AD731" i="57" s="1"/>
  <c r="W731" i="57"/>
  <c r="AC731" i="57" s="1"/>
  <c r="V731" i="57"/>
  <c r="AB731" i="57" s="1"/>
  <c r="X730" i="57"/>
  <c r="AD730" i="57" s="1"/>
  <c r="W730" i="57"/>
  <c r="AC730" i="57" s="1"/>
  <c r="V730" i="57"/>
  <c r="AB730" i="57" s="1"/>
  <c r="X729" i="57"/>
  <c r="AD729" i="57" s="1"/>
  <c r="W729" i="57"/>
  <c r="AC729" i="57" s="1"/>
  <c r="V729" i="57"/>
  <c r="AB729" i="57" s="1"/>
  <c r="X728" i="57"/>
  <c r="AD728" i="57" s="1"/>
  <c r="W728" i="57"/>
  <c r="AC728" i="57" s="1"/>
  <c r="V728" i="57"/>
  <c r="AB728" i="57" s="1"/>
  <c r="X727" i="57"/>
  <c r="AD727" i="57" s="1"/>
  <c r="W727" i="57"/>
  <c r="AC727" i="57" s="1"/>
  <c r="V727" i="57"/>
  <c r="AB727" i="57" s="1"/>
  <c r="X726" i="57"/>
  <c r="AD726" i="57" s="1"/>
  <c r="W726" i="57"/>
  <c r="AC726" i="57" s="1"/>
  <c r="V726" i="57"/>
  <c r="AB726" i="57" s="1"/>
  <c r="X725" i="57"/>
  <c r="AD725" i="57" s="1"/>
  <c r="W725" i="57"/>
  <c r="AC725" i="57" s="1"/>
  <c r="V725" i="57"/>
  <c r="AB725" i="57" s="1"/>
  <c r="X724" i="57"/>
  <c r="AD724" i="57" s="1"/>
  <c r="W724" i="57"/>
  <c r="AC724" i="57" s="1"/>
  <c r="V724" i="57"/>
  <c r="AB724" i="57" s="1"/>
  <c r="X723" i="57"/>
  <c r="AD723" i="57" s="1"/>
  <c r="W723" i="57"/>
  <c r="AC723" i="57" s="1"/>
  <c r="V723" i="57"/>
  <c r="AB723" i="57" s="1"/>
  <c r="X722" i="57"/>
  <c r="AD722" i="57" s="1"/>
  <c r="W722" i="57"/>
  <c r="AC722" i="57" s="1"/>
  <c r="V722" i="57"/>
  <c r="AB722" i="57" s="1"/>
  <c r="X721" i="57"/>
  <c r="AD721" i="57" s="1"/>
  <c r="W721" i="57"/>
  <c r="AC721" i="57" s="1"/>
  <c r="V721" i="57"/>
  <c r="AB721" i="57" s="1"/>
  <c r="X720" i="57"/>
  <c r="AD720" i="57" s="1"/>
  <c r="W720" i="57"/>
  <c r="AC720" i="57" s="1"/>
  <c r="V720" i="57"/>
  <c r="AB720" i="57" s="1"/>
  <c r="X719" i="57"/>
  <c r="AD719" i="57" s="1"/>
  <c r="W719" i="57"/>
  <c r="AC719" i="57" s="1"/>
  <c r="V719" i="57"/>
  <c r="AB719" i="57" s="1"/>
  <c r="X718" i="57"/>
  <c r="AD718" i="57" s="1"/>
  <c r="W718" i="57"/>
  <c r="AC718" i="57" s="1"/>
  <c r="V718" i="57"/>
  <c r="AB718" i="57" s="1"/>
  <c r="X717" i="57"/>
  <c r="AD717" i="57" s="1"/>
  <c r="W717" i="57"/>
  <c r="AC717" i="57" s="1"/>
  <c r="V717" i="57"/>
  <c r="AB717" i="57" s="1"/>
  <c r="X716" i="57"/>
  <c r="AD716" i="57" s="1"/>
  <c r="W716" i="57"/>
  <c r="AC716" i="57" s="1"/>
  <c r="V716" i="57"/>
  <c r="AB716" i="57" s="1"/>
  <c r="X715" i="57"/>
  <c r="AD715" i="57" s="1"/>
  <c r="W715" i="57"/>
  <c r="AC715" i="57" s="1"/>
  <c r="V715" i="57"/>
  <c r="AB715" i="57" s="1"/>
  <c r="X714" i="57"/>
  <c r="AD714" i="57" s="1"/>
  <c r="W714" i="57"/>
  <c r="AC714" i="57" s="1"/>
  <c r="V714" i="57"/>
  <c r="AB714" i="57" s="1"/>
  <c r="X713" i="57"/>
  <c r="AD713" i="57" s="1"/>
  <c r="W713" i="57"/>
  <c r="AC713" i="57" s="1"/>
  <c r="V713" i="57"/>
  <c r="AB713" i="57" s="1"/>
  <c r="X712" i="57"/>
  <c r="AD712" i="57" s="1"/>
  <c r="W712" i="57"/>
  <c r="AC712" i="57" s="1"/>
  <c r="V712" i="57"/>
  <c r="AB712" i="57" s="1"/>
  <c r="X711" i="57"/>
  <c r="AD711" i="57" s="1"/>
  <c r="W711" i="57"/>
  <c r="AC711" i="57" s="1"/>
  <c r="V711" i="57"/>
  <c r="AB711" i="57" s="1"/>
  <c r="X710" i="57"/>
  <c r="AD710" i="57" s="1"/>
  <c r="W710" i="57"/>
  <c r="AC710" i="57" s="1"/>
  <c r="V710" i="57"/>
  <c r="AB710" i="57" s="1"/>
  <c r="X709" i="57"/>
  <c r="AD709" i="57" s="1"/>
  <c r="W709" i="57"/>
  <c r="AC709" i="57" s="1"/>
  <c r="V709" i="57"/>
  <c r="AB709" i="57" s="1"/>
  <c r="X708" i="57"/>
  <c r="AD708" i="57" s="1"/>
  <c r="W708" i="57"/>
  <c r="AC708" i="57" s="1"/>
  <c r="V708" i="57"/>
  <c r="AB708" i="57" s="1"/>
  <c r="X707" i="57"/>
  <c r="AD707" i="57" s="1"/>
  <c r="W707" i="57"/>
  <c r="AC707" i="57" s="1"/>
  <c r="V707" i="57"/>
  <c r="AB707" i="57" s="1"/>
  <c r="X706" i="57"/>
  <c r="AD706" i="57" s="1"/>
  <c r="W706" i="57"/>
  <c r="AC706" i="57" s="1"/>
  <c r="V706" i="57"/>
  <c r="AB706" i="57" s="1"/>
  <c r="X705" i="57"/>
  <c r="AD705" i="57" s="1"/>
  <c r="W705" i="57"/>
  <c r="AC705" i="57" s="1"/>
  <c r="V705" i="57"/>
  <c r="AB705" i="57" s="1"/>
  <c r="X704" i="57"/>
  <c r="AD704" i="57" s="1"/>
  <c r="W704" i="57"/>
  <c r="AC704" i="57" s="1"/>
  <c r="V704" i="57"/>
  <c r="AB704" i="57" s="1"/>
  <c r="X703" i="57"/>
  <c r="AD703" i="57" s="1"/>
  <c r="W703" i="57"/>
  <c r="AC703" i="57" s="1"/>
  <c r="V703" i="57"/>
  <c r="AB703" i="57" s="1"/>
  <c r="X702" i="57"/>
  <c r="AD702" i="57" s="1"/>
  <c r="W702" i="57"/>
  <c r="AC702" i="57" s="1"/>
  <c r="V702" i="57"/>
  <c r="AB702" i="57" s="1"/>
  <c r="X701" i="57"/>
  <c r="AD701" i="57" s="1"/>
  <c r="W701" i="57"/>
  <c r="AC701" i="57" s="1"/>
  <c r="V701" i="57"/>
  <c r="AB701" i="57" s="1"/>
  <c r="X700" i="57"/>
  <c r="AD700" i="57" s="1"/>
  <c r="W700" i="57"/>
  <c r="AC700" i="57" s="1"/>
  <c r="V700" i="57"/>
  <c r="AB700" i="57" s="1"/>
  <c r="X699" i="57"/>
  <c r="AD699" i="57" s="1"/>
  <c r="W699" i="57"/>
  <c r="AC699" i="57" s="1"/>
  <c r="V699" i="57"/>
  <c r="AB699" i="57" s="1"/>
  <c r="X698" i="57"/>
  <c r="AD698" i="57" s="1"/>
  <c r="W698" i="57"/>
  <c r="AC698" i="57" s="1"/>
  <c r="V698" i="57"/>
  <c r="AB698" i="57" s="1"/>
  <c r="X697" i="57"/>
  <c r="AD697" i="57" s="1"/>
  <c r="W697" i="57"/>
  <c r="AC697" i="57" s="1"/>
  <c r="V697" i="57"/>
  <c r="AB697" i="57" s="1"/>
  <c r="X696" i="57"/>
  <c r="AD696" i="57" s="1"/>
  <c r="W696" i="57"/>
  <c r="AC696" i="57" s="1"/>
  <c r="V696" i="57"/>
  <c r="AB696" i="57" s="1"/>
  <c r="X695" i="57"/>
  <c r="AD695" i="57" s="1"/>
  <c r="W695" i="57"/>
  <c r="AC695" i="57" s="1"/>
  <c r="V695" i="57"/>
  <c r="AB695" i="57" s="1"/>
  <c r="X694" i="57"/>
  <c r="AD694" i="57" s="1"/>
  <c r="W694" i="57"/>
  <c r="AC694" i="57" s="1"/>
  <c r="V694" i="57"/>
  <c r="AB694" i="57" s="1"/>
  <c r="X693" i="57"/>
  <c r="AD693" i="57" s="1"/>
  <c r="W693" i="57"/>
  <c r="AC693" i="57" s="1"/>
  <c r="V693" i="57"/>
  <c r="AB693" i="57" s="1"/>
  <c r="X692" i="57"/>
  <c r="AD692" i="57" s="1"/>
  <c r="W692" i="57"/>
  <c r="AC692" i="57" s="1"/>
  <c r="V692" i="57"/>
  <c r="AB692" i="57" s="1"/>
  <c r="X691" i="57"/>
  <c r="AD691" i="57" s="1"/>
  <c r="W691" i="57"/>
  <c r="AC691" i="57" s="1"/>
  <c r="V691" i="57"/>
  <c r="AB691" i="57" s="1"/>
  <c r="X690" i="57"/>
  <c r="AD690" i="57" s="1"/>
  <c r="W690" i="57"/>
  <c r="AC690" i="57" s="1"/>
  <c r="V690" i="57"/>
  <c r="AB690" i="57" s="1"/>
  <c r="X689" i="57"/>
  <c r="AD689" i="57" s="1"/>
  <c r="W689" i="57"/>
  <c r="AC689" i="57" s="1"/>
  <c r="V689" i="57"/>
  <c r="AB689" i="57" s="1"/>
  <c r="X688" i="57"/>
  <c r="AD688" i="57" s="1"/>
  <c r="W688" i="57"/>
  <c r="AC688" i="57" s="1"/>
  <c r="V688" i="57"/>
  <c r="AB688" i="57" s="1"/>
  <c r="X687" i="57"/>
  <c r="AD687" i="57" s="1"/>
  <c r="W687" i="57"/>
  <c r="AC687" i="57" s="1"/>
  <c r="V687" i="57"/>
  <c r="AB687" i="57" s="1"/>
  <c r="X686" i="57"/>
  <c r="AD686" i="57" s="1"/>
  <c r="W686" i="57"/>
  <c r="AC686" i="57" s="1"/>
  <c r="V686" i="57"/>
  <c r="AB686" i="57" s="1"/>
  <c r="X685" i="57"/>
  <c r="AD685" i="57" s="1"/>
  <c r="W685" i="57"/>
  <c r="AC685" i="57" s="1"/>
  <c r="V685" i="57"/>
  <c r="AB685" i="57" s="1"/>
  <c r="X684" i="57"/>
  <c r="AD684" i="57" s="1"/>
  <c r="W684" i="57"/>
  <c r="AC684" i="57" s="1"/>
  <c r="V684" i="57"/>
  <c r="AB684" i="57" s="1"/>
  <c r="X683" i="57"/>
  <c r="AD683" i="57" s="1"/>
  <c r="W683" i="57"/>
  <c r="AC683" i="57" s="1"/>
  <c r="V683" i="57"/>
  <c r="AB683" i="57" s="1"/>
  <c r="X682" i="57"/>
  <c r="AD682" i="57" s="1"/>
  <c r="W682" i="57"/>
  <c r="AC682" i="57" s="1"/>
  <c r="V682" i="57"/>
  <c r="AB682" i="57" s="1"/>
  <c r="X681" i="57"/>
  <c r="AD681" i="57" s="1"/>
  <c r="W681" i="57"/>
  <c r="AC681" i="57" s="1"/>
  <c r="V681" i="57"/>
  <c r="AB681" i="57" s="1"/>
  <c r="X680" i="57"/>
  <c r="AD680" i="57" s="1"/>
  <c r="W680" i="57"/>
  <c r="AC680" i="57" s="1"/>
  <c r="V680" i="57"/>
  <c r="AB680" i="57" s="1"/>
  <c r="X679" i="57"/>
  <c r="AD679" i="57" s="1"/>
  <c r="W679" i="57"/>
  <c r="AC679" i="57" s="1"/>
  <c r="V679" i="57"/>
  <c r="AB679" i="57" s="1"/>
  <c r="X678" i="57"/>
  <c r="AD678" i="57" s="1"/>
  <c r="W678" i="57"/>
  <c r="AC678" i="57" s="1"/>
  <c r="V678" i="57"/>
  <c r="AB678" i="57" s="1"/>
  <c r="X677" i="57"/>
  <c r="AD677" i="57" s="1"/>
  <c r="W677" i="57"/>
  <c r="AC677" i="57" s="1"/>
  <c r="V677" i="57"/>
  <c r="AB677" i="57" s="1"/>
  <c r="X676" i="57"/>
  <c r="AD676" i="57" s="1"/>
  <c r="W676" i="57"/>
  <c r="AC676" i="57" s="1"/>
  <c r="V676" i="57"/>
  <c r="AB676" i="57" s="1"/>
  <c r="X675" i="57"/>
  <c r="AD675" i="57" s="1"/>
  <c r="W675" i="57"/>
  <c r="AC675" i="57" s="1"/>
  <c r="V675" i="57"/>
  <c r="AB675" i="57" s="1"/>
  <c r="X674" i="57"/>
  <c r="AD674" i="57" s="1"/>
  <c r="W674" i="57"/>
  <c r="AC674" i="57" s="1"/>
  <c r="V674" i="57"/>
  <c r="AB674" i="57" s="1"/>
  <c r="X673" i="57"/>
  <c r="AD673" i="57" s="1"/>
  <c r="W673" i="57"/>
  <c r="AC673" i="57" s="1"/>
  <c r="V673" i="57"/>
  <c r="AB673" i="57" s="1"/>
  <c r="X672" i="57"/>
  <c r="AD672" i="57" s="1"/>
  <c r="W672" i="57"/>
  <c r="AC672" i="57" s="1"/>
  <c r="V672" i="57"/>
  <c r="AB672" i="57" s="1"/>
  <c r="X671" i="57"/>
  <c r="AD671" i="57" s="1"/>
  <c r="W671" i="57"/>
  <c r="AC671" i="57" s="1"/>
  <c r="V671" i="57"/>
  <c r="AB671" i="57" s="1"/>
  <c r="X670" i="57"/>
  <c r="AD670" i="57" s="1"/>
  <c r="W670" i="57"/>
  <c r="AC670" i="57" s="1"/>
  <c r="V670" i="57"/>
  <c r="AB670" i="57" s="1"/>
  <c r="X669" i="57"/>
  <c r="AD669" i="57" s="1"/>
  <c r="W669" i="57"/>
  <c r="AC669" i="57" s="1"/>
  <c r="V669" i="57"/>
  <c r="AB669" i="57" s="1"/>
  <c r="X668" i="57"/>
  <c r="AD668" i="57" s="1"/>
  <c r="W668" i="57"/>
  <c r="AC668" i="57" s="1"/>
  <c r="V668" i="57"/>
  <c r="AB668" i="57" s="1"/>
  <c r="X667" i="57"/>
  <c r="AD667" i="57" s="1"/>
  <c r="W667" i="57"/>
  <c r="AC667" i="57" s="1"/>
  <c r="V667" i="57"/>
  <c r="AB667" i="57" s="1"/>
  <c r="X666" i="57"/>
  <c r="AD666" i="57" s="1"/>
  <c r="W666" i="57"/>
  <c r="AC666" i="57" s="1"/>
  <c r="V666" i="57"/>
  <c r="AB666" i="57" s="1"/>
  <c r="X665" i="57"/>
  <c r="AD665" i="57" s="1"/>
  <c r="W665" i="57"/>
  <c r="AC665" i="57" s="1"/>
  <c r="V665" i="57"/>
  <c r="AB665" i="57" s="1"/>
  <c r="X664" i="57"/>
  <c r="AD664" i="57" s="1"/>
  <c r="W664" i="57"/>
  <c r="AC664" i="57" s="1"/>
  <c r="V664" i="57"/>
  <c r="AB664" i="57" s="1"/>
  <c r="X663" i="57"/>
  <c r="AD663" i="57" s="1"/>
  <c r="W663" i="57"/>
  <c r="AC663" i="57" s="1"/>
  <c r="V663" i="57"/>
  <c r="AB663" i="57" s="1"/>
  <c r="X662" i="57"/>
  <c r="AD662" i="57" s="1"/>
  <c r="W662" i="57"/>
  <c r="AC662" i="57" s="1"/>
  <c r="V662" i="57"/>
  <c r="AB662" i="57" s="1"/>
  <c r="X661" i="57"/>
  <c r="AD661" i="57" s="1"/>
  <c r="W661" i="57"/>
  <c r="AC661" i="57" s="1"/>
  <c r="V661" i="57"/>
  <c r="AB661" i="57" s="1"/>
  <c r="X660" i="57"/>
  <c r="AD660" i="57" s="1"/>
  <c r="W660" i="57"/>
  <c r="AC660" i="57" s="1"/>
  <c r="V660" i="57"/>
  <c r="AB660" i="57" s="1"/>
  <c r="X659" i="57"/>
  <c r="AD659" i="57" s="1"/>
  <c r="W659" i="57"/>
  <c r="AC659" i="57" s="1"/>
  <c r="V659" i="57"/>
  <c r="AB659" i="57" s="1"/>
  <c r="X658" i="57"/>
  <c r="AD658" i="57" s="1"/>
  <c r="W658" i="57"/>
  <c r="AC658" i="57" s="1"/>
  <c r="V658" i="57"/>
  <c r="AB658" i="57" s="1"/>
  <c r="X657" i="57"/>
  <c r="AD657" i="57" s="1"/>
  <c r="W657" i="57"/>
  <c r="AC657" i="57" s="1"/>
  <c r="V657" i="57"/>
  <c r="AB657" i="57" s="1"/>
  <c r="X656" i="57"/>
  <c r="AD656" i="57" s="1"/>
  <c r="W656" i="57"/>
  <c r="AC656" i="57" s="1"/>
  <c r="V656" i="57"/>
  <c r="AB656" i="57" s="1"/>
  <c r="X655" i="57"/>
  <c r="AD655" i="57" s="1"/>
  <c r="W655" i="57"/>
  <c r="AC655" i="57" s="1"/>
  <c r="V655" i="57"/>
  <c r="AB655" i="57" s="1"/>
  <c r="X654" i="57"/>
  <c r="AD654" i="57" s="1"/>
  <c r="W654" i="57"/>
  <c r="AC654" i="57" s="1"/>
  <c r="V654" i="57"/>
  <c r="AB654" i="57" s="1"/>
  <c r="X653" i="57"/>
  <c r="AD653" i="57" s="1"/>
  <c r="W653" i="57"/>
  <c r="AC653" i="57" s="1"/>
  <c r="V653" i="57"/>
  <c r="AB653" i="57" s="1"/>
  <c r="X652" i="57"/>
  <c r="AD652" i="57" s="1"/>
  <c r="W652" i="57"/>
  <c r="AC652" i="57" s="1"/>
  <c r="V652" i="57"/>
  <c r="AB652" i="57" s="1"/>
  <c r="X651" i="57"/>
  <c r="AD651" i="57" s="1"/>
  <c r="W651" i="57"/>
  <c r="AC651" i="57" s="1"/>
  <c r="V651" i="57"/>
  <c r="AB651" i="57" s="1"/>
  <c r="X650" i="57"/>
  <c r="AD650" i="57" s="1"/>
  <c r="W650" i="57"/>
  <c r="AC650" i="57" s="1"/>
  <c r="V650" i="57"/>
  <c r="AB650" i="57" s="1"/>
  <c r="X649" i="57"/>
  <c r="AD649" i="57" s="1"/>
  <c r="W649" i="57"/>
  <c r="AC649" i="57" s="1"/>
  <c r="V649" i="57"/>
  <c r="AB649" i="57" s="1"/>
  <c r="X648" i="57"/>
  <c r="AD648" i="57" s="1"/>
  <c r="W648" i="57"/>
  <c r="AC648" i="57" s="1"/>
  <c r="V648" i="57"/>
  <c r="AB648" i="57" s="1"/>
  <c r="X647" i="57"/>
  <c r="AD647" i="57" s="1"/>
  <c r="W647" i="57"/>
  <c r="AC647" i="57" s="1"/>
  <c r="V647" i="57"/>
  <c r="AB647" i="57" s="1"/>
  <c r="X646" i="57"/>
  <c r="AD646" i="57" s="1"/>
  <c r="W646" i="57"/>
  <c r="AC646" i="57" s="1"/>
  <c r="V646" i="57"/>
  <c r="AB646" i="57" s="1"/>
  <c r="X645" i="57"/>
  <c r="AD645" i="57" s="1"/>
  <c r="W645" i="57"/>
  <c r="AC645" i="57" s="1"/>
  <c r="V645" i="57"/>
  <c r="AB645" i="57" s="1"/>
  <c r="X644" i="57"/>
  <c r="AD644" i="57" s="1"/>
  <c r="W644" i="57"/>
  <c r="AC644" i="57" s="1"/>
  <c r="V644" i="57"/>
  <c r="AB644" i="57" s="1"/>
  <c r="X643" i="57"/>
  <c r="AD643" i="57" s="1"/>
  <c r="W643" i="57"/>
  <c r="AC643" i="57" s="1"/>
  <c r="V643" i="57"/>
  <c r="AB643" i="57" s="1"/>
  <c r="X642" i="57"/>
  <c r="AD642" i="57" s="1"/>
  <c r="W642" i="57"/>
  <c r="AC642" i="57" s="1"/>
  <c r="V642" i="57"/>
  <c r="AB642" i="57" s="1"/>
  <c r="X641" i="57"/>
  <c r="AD641" i="57" s="1"/>
  <c r="W641" i="57"/>
  <c r="AC641" i="57" s="1"/>
  <c r="V641" i="57"/>
  <c r="AB641" i="57" s="1"/>
  <c r="X640" i="57"/>
  <c r="AD640" i="57" s="1"/>
  <c r="W640" i="57"/>
  <c r="AC640" i="57" s="1"/>
  <c r="V640" i="57"/>
  <c r="AB640" i="57" s="1"/>
  <c r="X639" i="57"/>
  <c r="AD639" i="57" s="1"/>
  <c r="W639" i="57"/>
  <c r="AC639" i="57" s="1"/>
  <c r="V639" i="57"/>
  <c r="AB639" i="57" s="1"/>
  <c r="X638" i="57"/>
  <c r="AD638" i="57" s="1"/>
  <c r="W638" i="57"/>
  <c r="AC638" i="57" s="1"/>
  <c r="V638" i="57"/>
  <c r="AB638" i="57" s="1"/>
  <c r="X637" i="57"/>
  <c r="AD637" i="57" s="1"/>
  <c r="W637" i="57"/>
  <c r="AC637" i="57" s="1"/>
  <c r="V637" i="57"/>
  <c r="AB637" i="57" s="1"/>
  <c r="X636" i="57"/>
  <c r="AD636" i="57" s="1"/>
  <c r="W636" i="57"/>
  <c r="AC636" i="57" s="1"/>
  <c r="V636" i="57"/>
  <c r="AB636" i="57" s="1"/>
  <c r="X635" i="57"/>
  <c r="AD635" i="57" s="1"/>
  <c r="W635" i="57"/>
  <c r="AC635" i="57" s="1"/>
  <c r="V635" i="57"/>
  <c r="AB635" i="57" s="1"/>
  <c r="X634" i="57"/>
  <c r="AD634" i="57" s="1"/>
  <c r="W634" i="57"/>
  <c r="AC634" i="57" s="1"/>
  <c r="V634" i="57"/>
  <c r="AB634" i="57" s="1"/>
  <c r="X633" i="57"/>
  <c r="AD633" i="57" s="1"/>
  <c r="W633" i="57"/>
  <c r="AC633" i="57" s="1"/>
  <c r="V633" i="57"/>
  <c r="AB633" i="57" s="1"/>
  <c r="X632" i="57"/>
  <c r="AD632" i="57" s="1"/>
  <c r="W632" i="57"/>
  <c r="AC632" i="57" s="1"/>
  <c r="V632" i="57"/>
  <c r="AB632" i="57" s="1"/>
  <c r="X631" i="57"/>
  <c r="AD631" i="57" s="1"/>
  <c r="W631" i="57"/>
  <c r="AC631" i="57" s="1"/>
  <c r="V631" i="57"/>
  <c r="AB631" i="57" s="1"/>
  <c r="X630" i="57"/>
  <c r="AD630" i="57" s="1"/>
  <c r="W630" i="57"/>
  <c r="AC630" i="57" s="1"/>
  <c r="V630" i="57"/>
  <c r="AB630" i="57" s="1"/>
  <c r="X629" i="57"/>
  <c r="AD629" i="57" s="1"/>
  <c r="W629" i="57"/>
  <c r="AC629" i="57" s="1"/>
  <c r="V629" i="57"/>
  <c r="AB629" i="57" s="1"/>
  <c r="X628" i="57"/>
  <c r="AD628" i="57" s="1"/>
  <c r="W628" i="57"/>
  <c r="AC628" i="57" s="1"/>
  <c r="V628" i="57"/>
  <c r="AB628" i="57" s="1"/>
  <c r="X627" i="57"/>
  <c r="AD627" i="57" s="1"/>
  <c r="W627" i="57"/>
  <c r="AC627" i="57" s="1"/>
  <c r="V627" i="57"/>
  <c r="AB627" i="57" s="1"/>
  <c r="X626" i="57"/>
  <c r="AD626" i="57" s="1"/>
  <c r="W626" i="57"/>
  <c r="AC626" i="57" s="1"/>
  <c r="V626" i="57"/>
  <c r="AB626" i="57" s="1"/>
  <c r="X625" i="57"/>
  <c r="AD625" i="57" s="1"/>
  <c r="W625" i="57"/>
  <c r="AC625" i="57" s="1"/>
  <c r="V625" i="57"/>
  <c r="AB625" i="57" s="1"/>
  <c r="X624" i="57"/>
  <c r="AD624" i="57" s="1"/>
  <c r="W624" i="57"/>
  <c r="AC624" i="57" s="1"/>
  <c r="V624" i="57"/>
  <c r="AB624" i="57" s="1"/>
  <c r="X623" i="57"/>
  <c r="AD623" i="57" s="1"/>
  <c r="W623" i="57"/>
  <c r="AC623" i="57" s="1"/>
  <c r="V623" i="57"/>
  <c r="AB623" i="57" s="1"/>
  <c r="X622" i="57"/>
  <c r="AD622" i="57" s="1"/>
  <c r="W622" i="57"/>
  <c r="AC622" i="57" s="1"/>
  <c r="V622" i="57"/>
  <c r="AB622" i="57" s="1"/>
  <c r="X621" i="57"/>
  <c r="AD621" i="57" s="1"/>
  <c r="W621" i="57"/>
  <c r="AC621" i="57" s="1"/>
  <c r="V621" i="57"/>
  <c r="AB621" i="57" s="1"/>
  <c r="X620" i="57"/>
  <c r="AD620" i="57" s="1"/>
  <c r="W620" i="57"/>
  <c r="AC620" i="57" s="1"/>
  <c r="V620" i="57"/>
  <c r="AB620" i="57" s="1"/>
  <c r="X619" i="57"/>
  <c r="AD619" i="57" s="1"/>
  <c r="W619" i="57"/>
  <c r="AC619" i="57" s="1"/>
  <c r="V619" i="57"/>
  <c r="AB619" i="57" s="1"/>
  <c r="X618" i="57"/>
  <c r="AD618" i="57" s="1"/>
  <c r="W618" i="57"/>
  <c r="AC618" i="57" s="1"/>
  <c r="V618" i="57"/>
  <c r="AB618" i="57" s="1"/>
  <c r="X617" i="57"/>
  <c r="AD617" i="57" s="1"/>
  <c r="W617" i="57"/>
  <c r="AC617" i="57" s="1"/>
  <c r="V617" i="57"/>
  <c r="AB617" i="57" s="1"/>
  <c r="X616" i="57"/>
  <c r="AD616" i="57" s="1"/>
  <c r="W616" i="57"/>
  <c r="AC616" i="57" s="1"/>
  <c r="V616" i="57"/>
  <c r="AB616" i="57" s="1"/>
  <c r="X615" i="57"/>
  <c r="AD615" i="57" s="1"/>
  <c r="W615" i="57"/>
  <c r="AC615" i="57" s="1"/>
  <c r="V615" i="57"/>
  <c r="AB615" i="57" s="1"/>
  <c r="X614" i="57"/>
  <c r="AD614" i="57" s="1"/>
  <c r="W614" i="57"/>
  <c r="AC614" i="57" s="1"/>
  <c r="V614" i="57"/>
  <c r="AB614" i="57" s="1"/>
  <c r="X613" i="57"/>
  <c r="AD613" i="57" s="1"/>
  <c r="W613" i="57"/>
  <c r="AC613" i="57" s="1"/>
  <c r="V613" i="57"/>
  <c r="AB613" i="57" s="1"/>
  <c r="X612" i="57"/>
  <c r="AD612" i="57" s="1"/>
  <c r="W612" i="57"/>
  <c r="AC612" i="57" s="1"/>
  <c r="V612" i="57"/>
  <c r="AB612" i="57" s="1"/>
  <c r="X611" i="57"/>
  <c r="AD611" i="57" s="1"/>
  <c r="W611" i="57"/>
  <c r="AC611" i="57" s="1"/>
  <c r="V611" i="57"/>
  <c r="AB611" i="57" s="1"/>
  <c r="X610" i="57"/>
  <c r="AD610" i="57" s="1"/>
  <c r="W610" i="57"/>
  <c r="AC610" i="57" s="1"/>
  <c r="V610" i="57"/>
  <c r="AB610" i="57" s="1"/>
  <c r="X609" i="57"/>
  <c r="AD609" i="57" s="1"/>
  <c r="W609" i="57"/>
  <c r="AC609" i="57" s="1"/>
  <c r="V609" i="57"/>
  <c r="AB609" i="57" s="1"/>
  <c r="X608" i="57"/>
  <c r="AD608" i="57" s="1"/>
  <c r="W608" i="57"/>
  <c r="AC608" i="57" s="1"/>
  <c r="V608" i="57"/>
  <c r="AB608" i="57" s="1"/>
  <c r="X607" i="57"/>
  <c r="AD607" i="57" s="1"/>
  <c r="W607" i="57"/>
  <c r="AC607" i="57" s="1"/>
  <c r="V607" i="57"/>
  <c r="AB607" i="57" s="1"/>
  <c r="X606" i="57"/>
  <c r="AD606" i="57" s="1"/>
  <c r="W606" i="57"/>
  <c r="AC606" i="57" s="1"/>
  <c r="V606" i="57"/>
  <c r="AB606" i="57" s="1"/>
  <c r="X605" i="57"/>
  <c r="AD605" i="57" s="1"/>
  <c r="W605" i="57"/>
  <c r="AC605" i="57" s="1"/>
  <c r="V605" i="57"/>
  <c r="AB605" i="57" s="1"/>
  <c r="X604" i="57"/>
  <c r="AD604" i="57" s="1"/>
  <c r="W604" i="57"/>
  <c r="AC604" i="57" s="1"/>
  <c r="V604" i="57"/>
  <c r="AB604" i="57" s="1"/>
  <c r="X603" i="57"/>
  <c r="AD603" i="57" s="1"/>
  <c r="W603" i="57"/>
  <c r="AC603" i="57" s="1"/>
  <c r="V603" i="57"/>
  <c r="AB603" i="57" s="1"/>
  <c r="X602" i="57"/>
  <c r="AD602" i="57" s="1"/>
  <c r="W602" i="57"/>
  <c r="AC602" i="57" s="1"/>
  <c r="V602" i="57"/>
  <c r="AB602" i="57" s="1"/>
  <c r="X601" i="57"/>
  <c r="AD601" i="57" s="1"/>
  <c r="W601" i="57"/>
  <c r="AC601" i="57" s="1"/>
  <c r="V601" i="57"/>
  <c r="AB601" i="57" s="1"/>
  <c r="X600" i="57"/>
  <c r="AD600" i="57" s="1"/>
  <c r="W600" i="57"/>
  <c r="AC600" i="57" s="1"/>
  <c r="V600" i="57"/>
  <c r="AB600" i="57" s="1"/>
  <c r="X599" i="57"/>
  <c r="AD599" i="57" s="1"/>
  <c r="W599" i="57"/>
  <c r="AC599" i="57" s="1"/>
  <c r="V599" i="57"/>
  <c r="AB599" i="57" s="1"/>
  <c r="X598" i="57"/>
  <c r="AD598" i="57" s="1"/>
  <c r="W598" i="57"/>
  <c r="AC598" i="57" s="1"/>
  <c r="V598" i="57"/>
  <c r="AB598" i="57" s="1"/>
  <c r="X597" i="57"/>
  <c r="AD597" i="57" s="1"/>
  <c r="W597" i="57"/>
  <c r="AC597" i="57" s="1"/>
  <c r="V597" i="57"/>
  <c r="AB597" i="57" s="1"/>
  <c r="X596" i="57"/>
  <c r="AD596" i="57" s="1"/>
  <c r="W596" i="57"/>
  <c r="AC596" i="57" s="1"/>
  <c r="V596" i="57"/>
  <c r="AB596" i="57" s="1"/>
  <c r="X595" i="57"/>
  <c r="AD595" i="57" s="1"/>
  <c r="W595" i="57"/>
  <c r="AC595" i="57" s="1"/>
  <c r="V595" i="57"/>
  <c r="AB595" i="57" s="1"/>
  <c r="X594" i="57"/>
  <c r="AD594" i="57" s="1"/>
  <c r="W594" i="57"/>
  <c r="AC594" i="57" s="1"/>
  <c r="V594" i="57"/>
  <c r="AB594" i="57" s="1"/>
  <c r="X593" i="57"/>
  <c r="AD593" i="57" s="1"/>
  <c r="W593" i="57"/>
  <c r="AC593" i="57" s="1"/>
  <c r="V593" i="57"/>
  <c r="AB593" i="57" s="1"/>
  <c r="X592" i="57"/>
  <c r="AD592" i="57" s="1"/>
  <c r="W592" i="57"/>
  <c r="AC592" i="57" s="1"/>
  <c r="V592" i="57"/>
  <c r="AB592" i="57" s="1"/>
  <c r="X591" i="57"/>
  <c r="AD591" i="57" s="1"/>
  <c r="W591" i="57"/>
  <c r="AC591" i="57" s="1"/>
  <c r="V591" i="57"/>
  <c r="AB591" i="57" s="1"/>
  <c r="X590" i="57"/>
  <c r="AD590" i="57" s="1"/>
  <c r="W590" i="57"/>
  <c r="AC590" i="57" s="1"/>
  <c r="V590" i="57"/>
  <c r="AB590" i="57" s="1"/>
  <c r="X589" i="57"/>
  <c r="AD589" i="57" s="1"/>
  <c r="W589" i="57"/>
  <c r="AC589" i="57" s="1"/>
  <c r="V589" i="57"/>
  <c r="AB589" i="57" s="1"/>
  <c r="X588" i="57"/>
  <c r="AD588" i="57" s="1"/>
  <c r="W588" i="57"/>
  <c r="AC588" i="57" s="1"/>
  <c r="V588" i="57"/>
  <c r="AB588" i="57" s="1"/>
  <c r="X587" i="57"/>
  <c r="AD587" i="57" s="1"/>
  <c r="W587" i="57"/>
  <c r="AC587" i="57" s="1"/>
  <c r="V587" i="57"/>
  <c r="AB587" i="57" s="1"/>
  <c r="X586" i="57"/>
  <c r="AD586" i="57" s="1"/>
  <c r="W586" i="57"/>
  <c r="AC586" i="57" s="1"/>
  <c r="V586" i="57"/>
  <c r="AB586" i="57" s="1"/>
  <c r="X585" i="57"/>
  <c r="AD585" i="57" s="1"/>
  <c r="W585" i="57"/>
  <c r="AC585" i="57" s="1"/>
  <c r="V585" i="57"/>
  <c r="AB585" i="57" s="1"/>
  <c r="X584" i="57"/>
  <c r="AD584" i="57" s="1"/>
  <c r="W584" i="57"/>
  <c r="AC584" i="57" s="1"/>
  <c r="V584" i="57"/>
  <c r="AB584" i="57" s="1"/>
  <c r="X583" i="57"/>
  <c r="AD583" i="57" s="1"/>
  <c r="W583" i="57"/>
  <c r="AC583" i="57" s="1"/>
  <c r="V583" i="57"/>
  <c r="AB583" i="57" s="1"/>
  <c r="X582" i="57"/>
  <c r="AD582" i="57" s="1"/>
  <c r="W582" i="57"/>
  <c r="AC582" i="57" s="1"/>
  <c r="V582" i="57"/>
  <c r="AB582" i="57" s="1"/>
  <c r="X581" i="57"/>
  <c r="AD581" i="57" s="1"/>
  <c r="W581" i="57"/>
  <c r="AC581" i="57" s="1"/>
  <c r="V581" i="57"/>
  <c r="AB581" i="57" s="1"/>
  <c r="X580" i="57"/>
  <c r="AD580" i="57" s="1"/>
  <c r="W580" i="57"/>
  <c r="AC580" i="57" s="1"/>
  <c r="V580" i="57"/>
  <c r="AB580" i="57" s="1"/>
  <c r="X579" i="57"/>
  <c r="AD579" i="57" s="1"/>
  <c r="W579" i="57"/>
  <c r="AC579" i="57" s="1"/>
  <c r="V579" i="57"/>
  <c r="AB579" i="57" s="1"/>
  <c r="X578" i="57"/>
  <c r="AD578" i="57" s="1"/>
  <c r="W578" i="57"/>
  <c r="AC578" i="57" s="1"/>
  <c r="V578" i="57"/>
  <c r="AB578" i="57" s="1"/>
  <c r="X577" i="57"/>
  <c r="AD577" i="57" s="1"/>
  <c r="W577" i="57"/>
  <c r="AC577" i="57" s="1"/>
  <c r="V577" i="57"/>
  <c r="AB577" i="57" s="1"/>
  <c r="X576" i="57"/>
  <c r="AD576" i="57" s="1"/>
  <c r="W576" i="57"/>
  <c r="AC576" i="57" s="1"/>
  <c r="V576" i="57"/>
  <c r="AB576" i="57" s="1"/>
  <c r="X575" i="57"/>
  <c r="AD575" i="57" s="1"/>
  <c r="W575" i="57"/>
  <c r="AC575" i="57" s="1"/>
  <c r="V575" i="57"/>
  <c r="AB575" i="57" s="1"/>
  <c r="X574" i="57"/>
  <c r="AD574" i="57" s="1"/>
  <c r="W574" i="57"/>
  <c r="AC574" i="57" s="1"/>
  <c r="V574" i="57"/>
  <c r="AB574" i="57" s="1"/>
  <c r="X573" i="57"/>
  <c r="AD573" i="57" s="1"/>
  <c r="W573" i="57"/>
  <c r="AC573" i="57" s="1"/>
  <c r="V573" i="57"/>
  <c r="AB573" i="57" s="1"/>
  <c r="X572" i="57"/>
  <c r="AD572" i="57" s="1"/>
  <c r="W572" i="57"/>
  <c r="AC572" i="57" s="1"/>
  <c r="V572" i="57"/>
  <c r="AB572" i="57" s="1"/>
  <c r="X571" i="57"/>
  <c r="AD571" i="57" s="1"/>
  <c r="W571" i="57"/>
  <c r="AC571" i="57" s="1"/>
  <c r="V571" i="57"/>
  <c r="AB571" i="57" s="1"/>
  <c r="X570" i="57"/>
  <c r="AD570" i="57" s="1"/>
  <c r="W570" i="57"/>
  <c r="AC570" i="57" s="1"/>
  <c r="V570" i="57"/>
  <c r="AB570" i="57" s="1"/>
  <c r="X569" i="57"/>
  <c r="AD569" i="57" s="1"/>
  <c r="W569" i="57"/>
  <c r="AC569" i="57" s="1"/>
  <c r="V569" i="57"/>
  <c r="AB569" i="57" s="1"/>
  <c r="X568" i="57"/>
  <c r="AD568" i="57" s="1"/>
  <c r="W568" i="57"/>
  <c r="AC568" i="57" s="1"/>
  <c r="V568" i="57"/>
  <c r="AB568" i="57" s="1"/>
  <c r="X567" i="57"/>
  <c r="AD567" i="57" s="1"/>
  <c r="W567" i="57"/>
  <c r="AC567" i="57" s="1"/>
  <c r="V567" i="57"/>
  <c r="AB567" i="57" s="1"/>
  <c r="X566" i="57"/>
  <c r="AD566" i="57" s="1"/>
  <c r="W566" i="57"/>
  <c r="AC566" i="57" s="1"/>
  <c r="V566" i="57"/>
  <c r="AB566" i="57" s="1"/>
  <c r="X565" i="57"/>
  <c r="AD565" i="57" s="1"/>
  <c r="W565" i="57"/>
  <c r="AC565" i="57" s="1"/>
  <c r="V565" i="57"/>
  <c r="AB565" i="57" s="1"/>
  <c r="X564" i="57"/>
  <c r="AD564" i="57" s="1"/>
  <c r="W564" i="57"/>
  <c r="AC564" i="57" s="1"/>
  <c r="V564" i="57"/>
  <c r="AB564" i="57" s="1"/>
  <c r="X563" i="57"/>
  <c r="AD563" i="57" s="1"/>
  <c r="W563" i="57"/>
  <c r="AC563" i="57" s="1"/>
  <c r="V563" i="57"/>
  <c r="AB563" i="57" s="1"/>
  <c r="X562" i="57"/>
  <c r="AD562" i="57" s="1"/>
  <c r="W562" i="57"/>
  <c r="AC562" i="57" s="1"/>
  <c r="V562" i="57"/>
  <c r="AB562" i="57" s="1"/>
  <c r="X561" i="57"/>
  <c r="AD561" i="57" s="1"/>
  <c r="W561" i="57"/>
  <c r="AC561" i="57" s="1"/>
  <c r="V561" i="57"/>
  <c r="AB561" i="57" s="1"/>
  <c r="X560" i="57"/>
  <c r="AD560" i="57" s="1"/>
  <c r="W560" i="57"/>
  <c r="AC560" i="57" s="1"/>
  <c r="V560" i="57"/>
  <c r="AB560" i="57" s="1"/>
  <c r="X559" i="57"/>
  <c r="AD559" i="57" s="1"/>
  <c r="W559" i="57"/>
  <c r="AC559" i="57" s="1"/>
  <c r="V559" i="57"/>
  <c r="AB559" i="57" s="1"/>
  <c r="X558" i="57"/>
  <c r="AD558" i="57" s="1"/>
  <c r="W558" i="57"/>
  <c r="AC558" i="57" s="1"/>
  <c r="V558" i="57"/>
  <c r="AB558" i="57" s="1"/>
  <c r="X557" i="57"/>
  <c r="AD557" i="57" s="1"/>
  <c r="W557" i="57"/>
  <c r="AC557" i="57" s="1"/>
  <c r="V557" i="57"/>
  <c r="AB557" i="57" s="1"/>
  <c r="X556" i="57"/>
  <c r="AD556" i="57" s="1"/>
  <c r="W556" i="57"/>
  <c r="AC556" i="57" s="1"/>
  <c r="V556" i="57"/>
  <c r="AB556" i="57" s="1"/>
  <c r="X555" i="57"/>
  <c r="AD555" i="57" s="1"/>
  <c r="W555" i="57"/>
  <c r="AC555" i="57" s="1"/>
  <c r="V555" i="57"/>
  <c r="AB555" i="57" s="1"/>
  <c r="X554" i="57"/>
  <c r="AD554" i="57" s="1"/>
  <c r="W554" i="57"/>
  <c r="AC554" i="57" s="1"/>
  <c r="V554" i="57"/>
  <c r="AB554" i="57" s="1"/>
  <c r="X553" i="57"/>
  <c r="AD553" i="57" s="1"/>
  <c r="W553" i="57"/>
  <c r="AC553" i="57" s="1"/>
  <c r="V553" i="57"/>
  <c r="AB553" i="57" s="1"/>
  <c r="X552" i="57"/>
  <c r="AD552" i="57" s="1"/>
  <c r="W552" i="57"/>
  <c r="AC552" i="57" s="1"/>
  <c r="V552" i="57"/>
  <c r="AB552" i="57" s="1"/>
  <c r="X551" i="57"/>
  <c r="AD551" i="57" s="1"/>
  <c r="W551" i="57"/>
  <c r="AC551" i="57" s="1"/>
  <c r="V551" i="57"/>
  <c r="AB551" i="57" s="1"/>
  <c r="X550" i="57"/>
  <c r="AD550" i="57" s="1"/>
  <c r="W550" i="57"/>
  <c r="AC550" i="57" s="1"/>
  <c r="V550" i="57"/>
  <c r="AB550" i="57" s="1"/>
  <c r="X549" i="57"/>
  <c r="AD549" i="57" s="1"/>
  <c r="W549" i="57"/>
  <c r="AC549" i="57" s="1"/>
  <c r="V549" i="57"/>
  <c r="AB549" i="57" s="1"/>
  <c r="X548" i="57"/>
  <c r="AD548" i="57" s="1"/>
  <c r="W548" i="57"/>
  <c r="AC548" i="57" s="1"/>
  <c r="V548" i="57"/>
  <c r="AB548" i="57" s="1"/>
  <c r="X547" i="57"/>
  <c r="AD547" i="57" s="1"/>
  <c r="W547" i="57"/>
  <c r="AC547" i="57" s="1"/>
  <c r="V547" i="57"/>
  <c r="AB547" i="57" s="1"/>
  <c r="X546" i="57"/>
  <c r="AD546" i="57" s="1"/>
  <c r="W546" i="57"/>
  <c r="AC546" i="57" s="1"/>
  <c r="V546" i="57"/>
  <c r="AB546" i="57" s="1"/>
  <c r="X545" i="57"/>
  <c r="AD545" i="57" s="1"/>
  <c r="W545" i="57"/>
  <c r="AC545" i="57" s="1"/>
  <c r="V545" i="57"/>
  <c r="AB545" i="57" s="1"/>
  <c r="X544" i="57"/>
  <c r="AD544" i="57" s="1"/>
  <c r="W544" i="57"/>
  <c r="AC544" i="57" s="1"/>
  <c r="V544" i="57"/>
  <c r="AB544" i="57" s="1"/>
  <c r="X543" i="57"/>
  <c r="AD543" i="57" s="1"/>
  <c r="W543" i="57"/>
  <c r="AC543" i="57" s="1"/>
  <c r="V543" i="57"/>
  <c r="AB543" i="57" s="1"/>
  <c r="X542" i="57"/>
  <c r="AD542" i="57" s="1"/>
  <c r="W542" i="57"/>
  <c r="AC542" i="57" s="1"/>
  <c r="V542" i="57"/>
  <c r="AB542" i="57" s="1"/>
  <c r="X541" i="57"/>
  <c r="AD541" i="57" s="1"/>
  <c r="W541" i="57"/>
  <c r="AC541" i="57" s="1"/>
  <c r="V541" i="57"/>
  <c r="AB541" i="57" s="1"/>
  <c r="X540" i="57"/>
  <c r="AD540" i="57" s="1"/>
  <c r="W540" i="57"/>
  <c r="AC540" i="57" s="1"/>
  <c r="V540" i="57"/>
  <c r="AB540" i="57" s="1"/>
  <c r="X539" i="57"/>
  <c r="AD539" i="57" s="1"/>
  <c r="W539" i="57"/>
  <c r="AC539" i="57" s="1"/>
  <c r="V539" i="57"/>
  <c r="AB539" i="57" s="1"/>
  <c r="X538" i="57"/>
  <c r="AD538" i="57" s="1"/>
  <c r="W538" i="57"/>
  <c r="AC538" i="57" s="1"/>
  <c r="V538" i="57"/>
  <c r="AB538" i="57" s="1"/>
  <c r="X537" i="57"/>
  <c r="AD537" i="57" s="1"/>
  <c r="W537" i="57"/>
  <c r="AC537" i="57" s="1"/>
  <c r="V537" i="57"/>
  <c r="AB537" i="57" s="1"/>
  <c r="X536" i="57"/>
  <c r="AD536" i="57" s="1"/>
  <c r="W536" i="57"/>
  <c r="AC536" i="57" s="1"/>
  <c r="V536" i="57"/>
  <c r="AB536" i="57" s="1"/>
  <c r="X535" i="57"/>
  <c r="AD535" i="57" s="1"/>
  <c r="W535" i="57"/>
  <c r="AC535" i="57" s="1"/>
  <c r="V535" i="57"/>
  <c r="AB535" i="57" s="1"/>
  <c r="X534" i="57"/>
  <c r="AD534" i="57" s="1"/>
  <c r="W534" i="57"/>
  <c r="AC534" i="57" s="1"/>
  <c r="V534" i="57"/>
  <c r="AB534" i="57" s="1"/>
  <c r="X533" i="57"/>
  <c r="AD533" i="57" s="1"/>
  <c r="W533" i="57"/>
  <c r="AC533" i="57" s="1"/>
  <c r="V533" i="57"/>
  <c r="AB533" i="57" s="1"/>
  <c r="X532" i="57"/>
  <c r="AD532" i="57" s="1"/>
  <c r="W532" i="57"/>
  <c r="AC532" i="57" s="1"/>
  <c r="V532" i="57"/>
  <c r="AB532" i="57" s="1"/>
  <c r="X531" i="57"/>
  <c r="AD531" i="57" s="1"/>
  <c r="W531" i="57"/>
  <c r="AC531" i="57" s="1"/>
  <c r="V531" i="57"/>
  <c r="AB531" i="57" s="1"/>
  <c r="X530" i="57"/>
  <c r="AD530" i="57" s="1"/>
  <c r="W530" i="57"/>
  <c r="AC530" i="57" s="1"/>
  <c r="V530" i="57"/>
  <c r="AB530" i="57" s="1"/>
  <c r="X529" i="57"/>
  <c r="AD529" i="57" s="1"/>
  <c r="W529" i="57"/>
  <c r="AC529" i="57" s="1"/>
  <c r="V529" i="57"/>
  <c r="AB529" i="57" s="1"/>
  <c r="X528" i="57"/>
  <c r="AD528" i="57" s="1"/>
  <c r="W528" i="57"/>
  <c r="AC528" i="57" s="1"/>
  <c r="V528" i="57"/>
  <c r="AB528" i="57" s="1"/>
  <c r="X527" i="57"/>
  <c r="AD527" i="57" s="1"/>
  <c r="W527" i="57"/>
  <c r="AC527" i="57" s="1"/>
  <c r="V527" i="57"/>
  <c r="AB527" i="57" s="1"/>
  <c r="X526" i="57"/>
  <c r="AD526" i="57" s="1"/>
  <c r="W526" i="57"/>
  <c r="AC526" i="57" s="1"/>
  <c r="V526" i="57"/>
  <c r="AB526" i="57" s="1"/>
  <c r="X525" i="57"/>
  <c r="AD525" i="57" s="1"/>
  <c r="W525" i="57"/>
  <c r="AC525" i="57" s="1"/>
  <c r="V525" i="57"/>
  <c r="AB525" i="57" s="1"/>
  <c r="X524" i="57"/>
  <c r="AD524" i="57" s="1"/>
  <c r="W524" i="57"/>
  <c r="AC524" i="57" s="1"/>
  <c r="V524" i="57"/>
  <c r="AB524" i="57" s="1"/>
  <c r="X523" i="57"/>
  <c r="AD523" i="57" s="1"/>
  <c r="W523" i="57"/>
  <c r="AC523" i="57" s="1"/>
  <c r="V523" i="57"/>
  <c r="AB523" i="57" s="1"/>
  <c r="X522" i="57"/>
  <c r="AD522" i="57" s="1"/>
  <c r="W522" i="57"/>
  <c r="AC522" i="57" s="1"/>
  <c r="V522" i="57"/>
  <c r="AB522" i="57" s="1"/>
  <c r="X521" i="57"/>
  <c r="AD521" i="57" s="1"/>
  <c r="W521" i="57"/>
  <c r="AC521" i="57" s="1"/>
  <c r="V521" i="57"/>
  <c r="AB521" i="57" s="1"/>
  <c r="X520" i="57"/>
  <c r="AD520" i="57" s="1"/>
  <c r="W520" i="57"/>
  <c r="AC520" i="57" s="1"/>
  <c r="V520" i="57"/>
  <c r="AB520" i="57" s="1"/>
  <c r="X519" i="57"/>
  <c r="AD519" i="57" s="1"/>
  <c r="W519" i="57"/>
  <c r="AC519" i="57" s="1"/>
  <c r="V519" i="57"/>
  <c r="AB519" i="57" s="1"/>
  <c r="X518" i="57"/>
  <c r="AD518" i="57" s="1"/>
  <c r="W518" i="57"/>
  <c r="AC518" i="57" s="1"/>
  <c r="V518" i="57"/>
  <c r="AB518" i="57" s="1"/>
  <c r="X517" i="57"/>
  <c r="AD517" i="57" s="1"/>
  <c r="W517" i="57"/>
  <c r="AC517" i="57" s="1"/>
  <c r="V517" i="57"/>
  <c r="AB517" i="57" s="1"/>
  <c r="X516" i="57"/>
  <c r="W516" i="57"/>
  <c r="V516" i="57"/>
  <c r="X515" i="57"/>
  <c r="W515" i="57"/>
  <c r="V515" i="57"/>
  <c r="X514" i="57"/>
  <c r="W514" i="57"/>
  <c r="V514" i="57"/>
  <c r="X513" i="57"/>
  <c r="W513" i="57"/>
  <c r="V513" i="57"/>
  <c r="X512" i="57"/>
  <c r="W512" i="57"/>
  <c r="V512" i="57"/>
  <c r="X511" i="57"/>
  <c r="W511" i="57"/>
  <c r="V511" i="57"/>
  <c r="X510" i="57"/>
  <c r="W510" i="57"/>
  <c r="V510" i="57"/>
  <c r="X509" i="57"/>
  <c r="W509" i="57"/>
  <c r="V509" i="57"/>
  <c r="X508" i="57"/>
  <c r="W508" i="57"/>
  <c r="V508" i="57"/>
  <c r="X507" i="57"/>
  <c r="W507" i="57"/>
  <c r="V507" i="57"/>
  <c r="X506" i="57"/>
  <c r="W506" i="57"/>
  <c r="V506" i="57"/>
  <c r="X505" i="57"/>
  <c r="W505" i="57"/>
  <c r="V505" i="57"/>
  <c r="X504" i="57"/>
  <c r="W504" i="57"/>
  <c r="V504" i="57"/>
  <c r="X503" i="57"/>
  <c r="AD503" i="57" s="1"/>
  <c r="W503" i="57"/>
  <c r="AC503" i="57" s="1"/>
  <c r="V503" i="57"/>
  <c r="AB503" i="57" s="1"/>
  <c r="X502" i="57"/>
  <c r="W502" i="57"/>
  <c r="V502" i="57"/>
  <c r="X501" i="57"/>
  <c r="AD501" i="57" s="1"/>
  <c r="W501" i="57"/>
  <c r="AC501" i="57" s="1"/>
  <c r="V501" i="57"/>
  <c r="AB501" i="57" s="1"/>
  <c r="X500" i="57"/>
  <c r="W500" i="57"/>
  <c r="V500" i="57"/>
  <c r="X499" i="57"/>
  <c r="W499" i="57"/>
  <c r="V499" i="57"/>
  <c r="X498" i="57"/>
  <c r="W498" i="57"/>
  <c r="V498" i="57"/>
  <c r="X497" i="57"/>
  <c r="W497" i="57"/>
  <c r="V497" i="57"/>
  <c r="X496" i="57"/>
  <c r="W496" i="57"/>
  <c r="V496" i="57"/>
  <c r="X495" i="57"/>
  <c r="W495" i="57"/>
  <c r="V495" i="57"/>
  <c r="X494" i="57"/>
  <c r="W494" i="57"/>
  <c r="V494" i="57"/>
  <c r="X493" i="57"/>
  <c r="W493" i="57"/>
  <c r="V493" i="57"/>
  <c r="X492" i="57"/>
  <c r="W492" i="57"/>
  <c r="V492" i="57"/>
  <c r="X491" i="57"/>
  <c r="W491" i="57"/>
  <c r="V491" i="57"/>
  <c r="X490" i="57"/>
  <c r="W490" i="57"/>
  <c r="V490" i="57"/>
  <c r="X489" i="57"/>
  <c r="W489" i="57"/>
  <c r="V489" i="57"/>
  <c r="X488" i="57"/>
  <c r="W488" i="57"/>
  <c r="V488" i="57"/>
  <c r="X487" i="57"/>
  <c r="W487" i="57"/>
  <c r="V487" i="57"/>
  <c r="X486" i="57"/>
  <c r="W486" i="57"/>
  <c r="V486" i="57"/>
  <c r="X485" i="57"/>
  <c r="W485" i="57"/>
  <c r="V485" i="57"/>
  <c r="X484" i="57"/>
  <c r="W484" i="57"/>
  <c r="V484" i="57"/>
  <c r="X483" i="57"/>
  <c r="W483" i="57"/>
  <c r="V483" i="57"/>
  <c r="X482" i="57"/>
  <c r="W482" i="57"/>
  <c r="V482" i="57"/>
  <c r="X481" i="57"/>
  <c r="W481" i="57"/>
  <c r="V481" i="57"/>
  <c r="X480" i="57"/>
  <c r="W480" i="57"/>
  <c r="V480" i="57"/>
  <c r="X479" i="57"/>
  <c r="W479" i="57"/>
  <c r="V479" i="57"/>
  <c r="X428" i="57"/>
  <c r="AD428" i="57" s="1"/>
  <c r="W428" i="57"/>
  <c r="AC428" i="57" s="1"/>
  <c r="V428" i="57"/>
  <c r="AB428" i="57" s="1"/>
  <c r="X427" i="57"/>
  <c r="AD427" i="57" s="1"/>
  <c r="W427" i="57"/>
  <c r="AC427" i="57" s="1"/>
  <c r="V427" i="57"/>
  <c r="AB427" i="57" s="1"/>
  <c r="X426" i="57"/>
  <c r="AD426" i="57" s="1"/>
  <c r="W426" i="57"/>
  <c r="AC426" i="57" s="1"/>
  <c r="V426" i="57"/>
  <c r="AB426" i="57" s="1"/>
  <c r="X425" i="57"/>
  <c r="AD425" i="57" s="1"/>
  <c r="W425" i="57"/>
  <c r="AC425" i="57" s="1"/>
  <c r="V425" i="57"/>
  <c r="AB425" i="57" s="1"/>
  <c r="X424" i="57"/>
  <c r="AD424" i="57" s="1"/>
  <c r="W424" i="57"/>
  <c r="AC424" i="57" s="1"/>
  <c r="V424" i="57"/>
  <c r="AB424" i="57" s="1"/>
  <c r="X423" i="57"/>
  <c r="AD423" i="57" s="1"/>
  <c r="W423" i="57"/>
  <c r="AC423" i="57" s="1"/>
  <c r="V423" i="57"/>
  <c r="AB423" i="57" s="1"/>
  <c r="X422" i="57"/>
  <c r="AD422" i="57" s="1"/>
  <c r="W422" i="57"/>
  <c r="AC422" i="57" s="1"/>
  <c r="V422" i="57"/>
  <c r="AB422" i="57" s="1"/>
  <c r="X421" i="57"/>
  <c r="AD421" i="57" s="1"/>
  <c r="W421" i="57"/>
  <c r="AC421" i="57" s="1"/>
  <c r="V421" i="57"/>
  <c r="AB421" i="57" s="1"/>
  <c r="X420" i="57"/>
  <c r="AD420" i="57" s="1"/>
  <c r="W420" i="57"/>
  <c r="AC420" i="57" s="1"/>
  <c r="V420" i="57"/>
  <c r="AB420" i="57" s="1"/>
  <c r="X419" i="57"/>
  <c r="AD419" i="57" s="1"/>
  <c r="W419" i="57"/>
  <c r="AC419" i="57" s="1"/>
  <c r="V419" i="57"/>
  <c r="AB419" i="57" s="1"/>
  <c r="X418" i="57"/>
  <c r="AD418" i="57" s="1"/>
  <c r="W418" i="57"/>
  <c r="AC418" i="57" s="1"/>
  <c r="V418" i="57"/>
  <c r="AB418" i="57" s="1"/>
  <c r="X417" i="57"/>
  <c r="AD417" i="57" s="1"/>
  <c r="W417" i="57"/>
  <c r="AC417" i="57" s="1"/>
  <c r="V417" i="57"/>
  <c r="AB417" i="57" s="1"/>
  <c r="X416" i="57"/>
  <c r="AD416" i="57" s="1"/>
  <c r="W416" i="57"/>
  <c r="AC416" i="57" s="1"/>
  <c r="V416" i="57"/>
  <c r="AB416" i="57" s="1"/>
  <c r="X415" i="57"/>
  <c r="AD415" i="57" s="1"/>
  <c r="W415" i="57"/>
  <c r="AC415" i="57" s="1"/>
  <c r="V415" i="57"/>
  <c r="AB415" i="57" s="1"/>
  <c r="X414" i="57"/>
  <c r="AD414" i="57" s="1"/>
  <c r="W414" i="57"/>
  <c r="AC414" i="57" s="1"/>
  <c r="V414" i="57"/>
  <c r="AB414" i="57" s="1"/>
  <c r="X413" i="57"/>
  <c r="AD413" i="57" s="1"/>
  <c r="W413" i="57"/>
  <c r="AC413" i="57" s="1"/>
  <c r="V413" i="57"/>
  <c r="AB413" i="57" s="1"/>
  <c r="X412" i="57"/>
  <c r="AD412" i="57" s="1"/>
  <c r="W412" i="57"/>
  <c r="AC412" i="57" s="1"/>
  <c r="V412" i="57"/>
  <c r="AB412" i="57" s="1"/>
  <c r="X411" i="57"/>
  <c r="AD411" i="57" s="1"/>
  <c r="W411" i="57"/>
  <c r="AC411" i="57" s="1"/>
  <c r="V411" i="57"/>
  <c r="AB411" i="57" s="1"/>
  <c r="X410" i="57"/>
  <c r="AD410" i="57" s="1"/>
  <c r="W410" i="57"/>
  <c r="AC410" i="57" s="1"/>
  <c r="V410" i="57"/>
  <c r="AB410" i="57" s="1"/>
  <c r="X409" i="57"/>
  <c r="AD409" i="57" s="1"/>
  <c r="W409" i="57"/>
  <c r="AC409" i="57" s="1"/>
  <c r="V409" i="57"/>
  <c r="AB409" i="57" s="1"/>
  <c r="X408" i="57"/>
  <c r="AD408" i="57" s="1"/>
  <c r="W408" i="57"/>
  <c r="AC408" i="57" s="1"/>
  <c r="V408" i="57"/>
  <c r="AB408" i="57" s="1"/>
  <c r="X407" i="57"/>
  <c r="AD407" i="57" s="1"/>
  <c r="W407" i="57"/>
  <c r="AC407" i="57" s="1"/>
  <c r="V407" i="57"/>
  <c r="AB407" i="57" s="1"/>
  <c r="X406" i="57"/>
  <c r="AD406" i="57" s="1"/>
  <c r="W406" i="57"/>
  <c r="AC406" i="57" s="1"/>
  <c r="V406" i="57"/>
  <c r="AB406" i="57" s="1"/>
  <c r="X405" i="57"/>
  <c r="AD405" i="57" s="1"/>
  <c r="W405" i="57"/>
  <c r="AC405" i="57" s="1"/>
  <c r="V405" i="57"/>
  <c r="AB405" i="57" s="1"/>
  <c r="X404" i="57"/>
  <c r="AD404" i="57" s="1"/>
  <c r="W404" i="57"/>
  <c r="AC404" i="57" s="1"/>
  <c r="V404" i="57"/>
  <c r="AB404" i="57" s="1"/>
  <c r="X403" i="57"/>
  <c r="AD403" i="57" s="1"/>
  <c r="W403" i="57"/>
  <c r="AC403" i="57" s="1"/>
  <c r="V403" i="57"/>
  <c r="AB403" i="57" s="1"/>
  <c r="X402" i="57"/>
  <c r="AD402" i="57" s="1"/>
  <c r="W402" i="57"/>
  <c r="AC402" i="57" s="1"/>
  <c r="V402" i="57"/>
  <c r="AB402" i="57" s="1"/>
  <c r="X401" i="57"/>
  <c r="AD401" i="57" s="1"/>
  <c r="W401" i="57"/>
  <c r="AC401" i="57" s="1"/>
  <c r="V401" i="57"/>
  <c r="AB401" i="57" s="1"/>
  <c r="X400" i="57"/>
  <c r="AD400" i="57" s="1"/>
  <c r="W400" i="57"/>
  <c r="AC400" i="57" s="1"/>
  <c r="V400" i="57"/>
  <c r="AB400" i="57" s="1"/>
  <c r="X399" i="57"/>
  <c r="AD399" i="57" s="1"/>
  <c r="W399" i="57"/>
  <c r="AC399" i="57" s="1"/>
  <c r="V399" i="57"/>
  <c r="AB399" i="57" s="1"/>
  <c r="X398" i="57"/>
  <c r="AD398" i="57" s="1"/>
  <c r="W398" i="57"/>
  <c r="AC398" i="57" s="1"/>
  <c r="V398" i="57"/>
  <c r="AB398" i="57" s="1"/>
  <c r="X397" i="57"/>
  <c r="AD397" i="57" s="1"/>
  <c r="W397" i="57"/>
  <c r="AC397" i="57" s="1"/>
  <c r="V397" i="57"/>
  <c r="AB397" i="57" s="1"/>
  <c r="X396" i="57"/>
  <c r="AD396" i="57" s="1"/>
  <c r="W396" i="57"/>
  <c r="AC396" i="57" s="1"/>
  <c r="V396" i="57"/>
  <c r="AB396" i="57" s="1"/>
  <c r="X395" i="57"/>
  <c r="AD395" i="57" s="1"/>
  <c r="W395" i="57"/>
  <c r="AC395" i="57" s="1"/>
  <c r="V395" i="57"/>
  <c r="AB395" i="57" s="1"/>
  <c r="X394" i="57"/>
  <c r="AD394" i="57" s="1"/>
  <c r="W394" i="57"/>
  <c r="AC394" i="57" s="1"/>
  <c r="V394" i="57"/>
  <c r="AB394" i="57" s="1"/>
  <c r="X393" i="57"/>
  <c r="AD393" i="57" s="1"/>
  <c r="W393" i="57"/>
  <c r="AC393" i="57" s="1"/>
  <c r="V393" i="57"/>
  <c r="AB393" i="57" s="1"/>
  <c r="X392" i="57"/>
  <c r="AD392" i="57" s="1"/>
  <c r="W392" i="57"/>
  <c r="AC392" i="57" s="1"/>
  <c r="V392" i="57"/>
  <c r="AB392" i="57" s="1"/>
  <c r="X391" i="57"/>
  <c r="AD391" i="57" s="1"/>
  <c r="W391" i="57"/>
  <c r="AC391" i="57" s="1"/>
  <c r="V391" i="57"/>
  <c r="AB391" i="57" s="1"/>
  <c r="X390" i="57"/>
  <c r="AD390" i="57" s="1"/>
  <c r="W390" i="57"/>
  <c r="AC390" i="57" s="1"/>
  <c r="V390" i="57"/>
  <c r="AB390" i="57" s="1"/>
  <c r="X389" i="57"/>
  <c r="AD389" i="57" s="1"/>
  <c r="W389" i="57"/>
  <c r="AC389" i="57" s="1"/>
  <c r="V389" i="57"/>
  <c r="AB389" i="57" s="1"/>
  <c r="X388" i="57"/>
  <c r="AD388" i="57" s="1"/>
  <c r="W388" i="57"/>
  <c r="AC388" i="57" s="1"/>
  <c r="V388" i="57"/>
  <c r="AB388" i="57" s="1"/>
  <c r="X387" i="57"/>
  <c r="AD387" i="57" s="1"/>
  <c r="W387" i="57"/>
  <c r="AC387" i="57" s="1"/>
  <c r="V387" i="57"/>
  <c r="AB387" i="57" s="1"/>
  <c r="X386" i="57"/>
  <c r="AD386" i="57" s="1"/>
  <c r="W386" i="57"/>
  <c r="AC386" i="57" s="1"/>
  <c r="V386" i="57"/>
  <c r="AB386" i="57" s="1"/>
  <c r="X385" i="57"/>
  <c r="AD385" i="57" s="1"/>
  <c r="W385" i="57"/>
  <c r="AC385" i="57" s="1"/>
  <c r="V385" i="57"/>
  <c r="AB385" i="57" s="1"/>
  <c r="X384" i="57"/>
  <c r="AD384" i="57" s="1"/>
  <c r="W384" i="57"/>
  <c r="AC384" i="57" s="1"/>
  <c r="V384" i="57"/>
  <c r="AB384" i="57" s="1"/>
  <c r="X383" i="57"/>
  <c r="AD383" i="57" s="1"/>
  <c r="W383" i="57"/>
  <c r="AC383" i="57" s="1"/>
  <c r="V383" i="57"/>
  <c r="AB383" i="57" s="1"/>
  <c r="X382" i="57"/>
  <c r="AD382" i="57" s="1"/>
  <c r="W382" i="57"/>
  <c r="AC382" i="57" s="1"/>
  <c r="V382" i="57"/>
  <c r="AB382" i="57" s="1"/>
  <c r="X381" i="57"/>
  <c r="AD381" i="57" s="1"/>
  <c r="W381" i="57"/>
  <c r="AC381" i="57" s="1"/>
  <c r="V381" i="57"/>
  <c r="AB381" i="57" s="1"/>
  <c r="X380" i="57"/>
  <c r="AD380" i="57" s="1"/>
  <c r="W380" i="57"/>
  <c r="AC380" i="57" s="1"/>
  <c r="V380" i="57"/>
  <c r="AB380" i="57" s="1"/>
  <c r="X379" i="57"/>
  <c r="AD379" i="57" s="1"/>
  <c r="W379" i="57"/>
  <c r="AC379" i="57" s="1"/>
  <c r="V379" i="57"/>
  <c r="AB379" i="57" s="1"/>
  <c r="X378" i="57"/>
  <c r="AD378" i="57" s="1"/>
  <c r="W378" i="57"/>
  <c r="AC378" i="57" s="1"/>
  <c r="V378" i="57"/>
  <c r="AB378" i="57" s="1"/>
  <c r="X377" i="57"/>
  <c r="AD377" i="57" s="1"/>
  <c r="W377" i="57"/>
  <c r="AC377" i="57" s="1"/>
  <c r="V377" i="57"/>
  <c r="AB377" i="57" s="1"/>
  <c r="X376" i="57"/>
  <c r="AD376" i="57" s="1"/>
  <c r="W376" i="57"/>
  <c r="AC376" i="57" s="1"/>
  <c r="V376" i="57"/>
  <c r="AB376" i="57" s="1"/>
  <c r="X375" i="57"/>
  <c r="AD375" i="57" s="1"/>
  <c r="W375" i="57"/>
  <c r="AC375" i="57" s="1"/>
  <c r="V375" i="57"/>
  <c r="AB375" i="57" s="1"/>
  <c r="X374" i="57"/>
  <c r="AD374" i="57" s="1"/>
  <c r="W374" i="57"/>
  <c r="AC374" i="57" s="1"/>
  <c r="V374" i="57"/>
  <c r="AB374" i="57" s="1"/>
  <c r="X373" i="57"/>
  <c r="AD373" i="57" s="1"/>
  <c r="W373" i="57"/>
  <c r="AC373" i="57" s="1"/>
  <c r="V373" i="57"/>
  <c r="AB373" i="57" s="1"/>
  <c r="X372" i="57"/>
  <c r="AD372" i="57" s="1"/>
  <c r="W372" i="57"/>
  <c r="AC372" i="57" s="1"/>
  <c r="V372" i="57"/>
  <c r="AB372" i="57" s="1"/>
  <c r="X371" i="57"/>
  <c r="AD371" i="57" s="1"/>
  <c r="W371" i="57"/>
  <c r="AC371" i="57" s="1"/>
  <c r="V371" i="57"/>
  <c r="AB371" i="57" s="1"/>
  <c r="X370" i="57"/>
  <c r="AD370" i="57" s="1"/>
  <c r="W370" i="57"/>
  <c r="AC370" i="57" s="1"/>
  <c r="V370" i="57"/>
  <c r="AB370" i="57" s="1"/>
  <c r="X369" i="57"/>
  <c r="AD369" i="57" s="1"/>
  <c r="W369" i="57"/>
  <c r="AC369" i="57" s="1"/>
  <c r="V369" i="57"/>
  <c r="AB369" i="57" s="1"/>
  <c r="X368" i="57"/>
  <c r="AD368" i="57" s="1"/>
  <c r="W368" i="57"/>
  <c r="AC368" i="57" s="1"/>
  <c r="V368" i="57"/>
  <c r="AB368" i="57" s="1"/>
  <c r="X367" i="57"/>
  <c r="AD367" i="57" s="1"/>
  <c r="W367" i="57"/>
  <c r="AC367" i="57" s="1"/>
  <c r="V367" i="57"/>
  <c r="AB367" i="57" s="1"/>
  <c r="X366" i="57"/>
  <c r="AD366" i="57" s="1"/>
  <c r="W366" i="57"/>
  <c r="AC366" i="57" s="1"/>
  <c r="V366" i="57"/>
  <c r="AB366" i="57" s="1"/>
  <c r="X365" i="57"/>
  <c r="AD365" i="57" s="1"/>
  <c r="W365" i="57"/>
  <c r="AC365" i="57" s="1"/>
  <c r="V365" i="57"/>
  <c r="AB365" i="57" s="1"/>
  <c r="X364" i="57"/>
  <c r="AD364" i="57" s="1"/>
  <c r="W364" i="57"/>
  <c r="AC364" i="57" s="1"/>
  <c r="V364" i="57"/>
  <c r="AB364" i="57" s="1"/>
  <c r="X363" i="57"/>
  <c r="AD363" i="57" s="1"/>
  <c r="W363" i="57"/>
  <c r="AC363" i="57" s="1"/>
  <c r="V363" i="57"/>
  <c r="AB363" i="57" s="1"/>
  <c r="X362" i="57"/>
  <c r="AD362" i="57" s="1"/>
  <c r="W362" i="57"/>
  <c r="AC362" i="57" s="1"/>
  <c r="V362" i="57"/>
  <c r="AB362" i="57" s="1"/>
  <c r="X361" i="57"/>
  <c r="AD361" i="57" s="1"/>
  <c r="W361" i="57"/>
  <c r="AC361" i="57" s="1"/>
  <c r="V361" i="57"/>
  <c r="AB361" i="57" s="1"/>
  <c r="X360" i="57"/>
  <c r="AD360" i="57" s="1"/>
  <c r="W360" i="57"/>
  <c r="AC360" i="57" s="1"/>
  <c r="V360" i="57"/>
  <c r="AB360" i="57" s="1"/>
  <c r="X359" i="57"/>
  <c r="AD359" i="57" s="1"/>
  <c r="W359" i="57"/>
  <c r="AC359" i="57" s="1"/>
  <c r="V359" i="57"/>
  <c r="AB359" i="57" s="1"/>
  <c r="X358" i="57"/>
  <c r="AD358" i="57" s="1"/>
  <c r="W358" i="57"/>
  <c r="AC358" i="57" s="1"/>
  <c r="V358" i="57"/>
  <c r="AB358" i="57" s="1"/>
  <c r="X357" i="57"/>
  <c r="AD357" i="57" s="1"/>
  <c r="W357" i="57"/>
  <c r="AC357" i="57" s="1"/>
  <c r="V357" i="57"/>
  <c r="AB357" i="57" s="1"/>
  <c r="X356" i="57"/>
  <c r="AD356" i="57" s="1"/>
  <c r="W356" i="57"/>
  <c r="AC356" i="57" s="1"/>
  <c r="V356" i="57"/>
  <c r="AB356" i="57" s="1"/>
  <c r="X355" i="57"/>
  <c r="AD355" i="57" s="1"/>
  <c r="W355" i="57"/>
  <c r="AC355" i="57" s="1"/>
  <c r="V355" i="57"/>
  <c r="AB355" i="57" s="1"/>
  <c r="X354" i="57"/>
  <c r="AD354" i="57" s="1"/>
  <c r="W354" i="57"/>
  <c r="AC354" i="57" s="1"/>
  <c r="V354" i="57"/>
  <c r="AB354" i="57" s="1"/>
  <c r="X353" i="57"/>
  <c r="AD353" i="57" s="1"/>
  <c r="W353" i="57"/>
  <c r="AC353" i="57" s="1"/>
  <c r="V353" i="57"/>
  <c r="AB353" i="57" s="1"/>
  <c r="X352" i="57"/>
  <c r="AD352" i="57" s="1"/>
  <c r="W352" i="57"/>
  <c r="AC352" i="57" s="1"/>
  <c r="V352" i="57"/>
  <c r="AB352" i="57" s="1"/>
  <c r="X351" i="57"/>
  <c r="AD351" i="57" s="1"/>
  <c r="W351" i="57"/>
  <c r="AC351" i="57" s="1"/>
  <c r="V351" i="57"/>
  <c r="AB351" i="57" s="1"/>
  <c r="X350" i="57"/>
  <c r="AD350" i="57" s="1"/>
  <c r="W350" i="57"/>
  <c r="AC350" i="57" s="1"/>
  <c r="V350" i="57"/>
  <c r="AB350" i="57" s="1"/>
  <c r="X349" i="57"/>
  <c r="AD349" i="57" s="1"/>
  <c r="W349" i="57"/>
  <c r="AC349" i="57" s="1"/>
  <c r="V349" i="57"/>
  <c r="AB349" i="57" s="1"/>
  <c r="X348" i="57"/>
  <c r="AD348" i="57" s="1"/>
  <c r="W348" i="57"/>
  <c r="AC348" i="57" s="1"/>
  <c r="V348" i="57"/>
  <c r="AB348" i="57" s="1"/>
  <c r="X347" i="57"/>
  <c r="AD347" i="57" s="1"/>
  <c r="W347" i="57"/>
  <c r="AC347" i="57" s="1"/>
  <c r="V347" i="57"/>
  <c r="AB347" i="57" s="1"/>
  <c r="X346" i="57"/>
  <c r="AD346" i="57" s="1"/>
  <c r="W346" i="57"/>
  <c r="AC346" i="57" s="1"/>
  <c r="V346" i="57"/>
  <c r="AB346" i="57" s="1"/>
  <c r="X345" i="57"/>
  <c r="AD345" i="57" s="1"/>
  <c r="W345" i="57"/>
  <c r="AC345" i="57" s="1"/>
  <c r="V345" i="57"/>
  <c r="AB345" i="57" s="1"/>
  <c r="X344" i="57"/>
  <c r="AD344" i="57" s="1"/>
  <c r="W344" i="57"/>
  <c r="AC344" i="57" s="1"/>
  <c r="V344" i="57"/>
  <c r="AB344" i="57" s="1"/>
  <c r="X343" i="57"/>
  <c r="AD343" i="57" s="1"/>
  <c r="W343" i="57"/>
  <c r="AC343" i="57" s="1"/>
  <c r="V343" i="57"/>
  <c r="AB343" i="57" s="1"/>
  <c r="X342" i="57"/>
  <c r="AD342" i="57" s="1"/>
  <c r="W342" i="57"/>
  <c r="AC342" i="57" s="1"/>
  <c r="V342" i="57"/>
  <c r="AB342" i="57" s="1"/>
  <c r="X341" i="57"/>
  <c r="AD341" i="57" s="1"/>
  <c r="W341" i="57"/>
  <c r="AC341" i="57" s="1"/>
  <c r="V341" i="57"/>
  <c r="AB341" i="57" s="1"/>
  <c r="X340" i="57"/>
  <c r="AD340" i="57" s="1"/>
  <c r="W340" i="57"/>
  <c r="AC340" i="57" s="1"/>
  <c r="V340" i="57"/>
  <c r="AB340" i="57" s="1"/>
  <c r="X339" i="57"/>
  <c r="AD339" i="57" s="1"/>
  <c r="W339" i="57"/>
  <c r="AC339" i="57" s="1"/>
  <c r="V339" i="57"/>
  <c r="AB339" i="57" s="1"/>
  <c r="X338" i="57"/>
  <c r="AD338" i="57" s="1"/>
  <c r="W338" i="57"/>
  <c r="AC338" i="57" s="1"/>
  <c r="V338" i="57"/>
  <c r="AB338" i="57" s="1"/>
  <c r="X337" i="57"/>
  <c r="AD337" i="57" s="1"/>
  <c r="W337" i="57"/>
  <c r="AC337" i="57" s="1"/>
  <c r="V337" i="57"/>
  <c r="AB337" i="57" s="1"/>
  <c r="X336" i="57"/>
  <c r="AD336" i="57" s="1"/>
  <c r="W336" i="57"/>
  <c r="AC336" i="57" s="1"/>
  <c r="V336" i="57"/>
  <c r="AB336" i="57" s="1"/>
  <c r="X335" i="57"/>
  <c r="AD335" i="57" s="1"/>
  <c r="W335" i="57"/>
  <c r="AC335" i="57" s="1"/>
  <c r="V335" i="57"/>
  <c r="AB335" i="57" s="1"/>
  <c r="X334" i="57"/>
  <c r="AD334" i="57" s="1"/>
  <c r="W334" i="57"/>
  <c r="AC334" i="57" s="1"/>
  <c r="V334" i="57"/>
  <c r="AB334" i="57" s="1"/>
  <c r="X333" i="57"/>
  <c r="AD333" i="57" s="1"/>
  <c r="W333" i="57"/>
  <c r="AC333" i="57" s="1"/>
  <c r="V333" i="57"/>
  <c r="AB333" i="57" s="1"/>
  <c r="X332" i="57"/>
  <c r="AD332" i="57" s="1"/>
  <c r="W332" i="57"/>
  <c r="AC332" i="57" s="1"/>
  <c r="V332" i="57"/>
  <c r="AB332" i="57" s="1"/>
  <c r="X331" i="57"/>
  <c r="AD331" i="57" s="1"/>
  <c r="W331" i="57"/>
  <c r="AC331" i="57" s="1"/>
  <c r="V331" i="57"/>
  <c r="AB331" i="57" s="1"/>
  <c r="X330" i="57"/>
  <c r="AD330" i="57" s="1"/>
  <c r="W330" i="57"/>
  <c r="AC330" i="57" s="1"/>
  <c r="V330" i="57"/>
  <c r="AB330" i="57" s="1"/>
  <c r="X329" i="57"/>
  <c r="AD329" i="57" s="1"/>
  <c r="W329" i="57"/>
  <c r="AC329" i="57" s="1"/>
  <c r="V329" i="57"/>
  <c r="AB329" i="57" s="1"/>
  <c r="X328" i="57"/>
  <c r="AD328" i="57" s="1"/>
  <c r="W328" i="57"/>
  <c r="AC328" i="57" s="1"/>
  <c r="V328" i="57"/>
  <c r="AB328" i="57" s="1"/>
  <c r="X327" i="57"/>
  <c r="AD327" i="57" s="1"/>
  <c r="W327" i="57"/>
  <c r="AC327" i="57" s="1"/>
  <c r="V327" i="57"/>
  <c r="AB327" i="57" s="1"/>
  <c r="X326" i="57"/>
  <c r="AD326" i="57" s="1"/>
  <c r="W326" i="57"/>
  <c r="AC326" i="57" s="1"/>
  <c r="V326" i="57"/>
  <c r="AB326" i="57" s="1"/>
  <c r="X325" i="57"/>
  <c r="AD325" i="57" s="1"/>
  <c r="W325" i="57"/>
  <c r="AC325" i="57" s="1"/>
  <c r="V325" i="57"/>
  <c r="AB325" i="57" s="1"/>
  <c r="X324" i="57"/>
  <c r="AD324" i="57" s="1"/>
  <c r="W324" i="57"/>
  <c r="AC324" i="57" s="1"/>
  <c r="V324" i="57"/>
  <c r="AB324" i="57" s="1"/>
  <c r="X323" i="57"/>
  <c r="AD323" i="57" s="1"/>
  <c r="W323" i="57"/>
  <c r="AC323" i="57" s="1"/>
  <c r="V323" i="57"/>
  <c r="AB323" i="57" s="1"/>
  <c r="X322" i="57"/>
  <c r="AD322" i="57" s="1"/>
  <c r="W322" i="57"/>
  <c r="AC322" i="57" s="1"/>
  <c r="V322" i="57"/>
  <c r="AB322" i="57" s="1"/>
  <c r="X321" i="57"/>
  <c r="AD321" i="57" s="1"/>
  <c r="W321" i="57"/>
  <c r="AC321" i="57" s="1"/>
  <c r="V321" i="57"/>
  <c r="AB321" i="57" s="1"/>
  <c r="X320" i="57"/>
  <c r="AD320" i="57" s="1"/>
  <c r="W320" i="57"/>
  <c r="AC320" i="57" s="1"/>
  <c r="V320" i="57"/>
  <c r="AB320" i="57" s="1"/>
  <c r="X319" i="57"/>
  <c r="AD319" i="57" s="1"/>
  <c r="W319" i="57"/>
  <c r="AC319" i="57" s="1"/>
  <c r="V319" i="57"/>
  <c r="AB319" i="57" s="1"/>
  <c r="X318" i="57"/>
  <c r="AD318" i="57" s="1"/>
  <c r="W318" i="57"/>
  <c r="AC318" i="57" s="1"/>
  <c r="V318" i="57"/>
  <c r="AB318" i="57" s="1"/>
  <c r="X317" i="57"/>
  <c r="AD317" i="57" s="1"/>
  <c r="W317" i="57"/>
  <c r="AC317" i="57" s="1"/>
  <c r="V317" i="57"/>
  <c r="AB317" i="57" s="1"/>
  <c r="X316" i="57"/>
  <c r="AD316" i="57" s="1"/>
  <c r="W316" i="57"/>
  <c r="AC316" i="57" s="1"/>
  <c r="V316" i="57"/>
  <c r="AB316" i="57" s="1"/>
  <c r="X315" i="57"/>
  <c r="AD315" i="57" s="1"/>
  <c r="W315" i="57"/>
  <c r="AC315" i="57" s="1"/>
  <c r="V315" i="57"/>
  <c r="AB315" i="57" s="1"/>
  <c r="X314" i="57"/>
  <c r="AD314" i="57" s="1"/>
  <c r="W314" i="57"/>
  <c r="AC314" i="57" s="1"/>
  <c r="V314" i="57"/>
  <c r="AB314" i="57" s="1"/>
  <c r="X313" i="57"/>
  <c r="AD313" i="57" s="1"/>
  <c r="W313" i="57"/>
  <c r="AC313" i="57" s="1"/>
  <c r="V313" i="57"/>
  <c r="AB313" i="57" s="1"/>
  <c r="X312" i="57"/>
  <c r="AD312" i="57" s="1"/>
  <c r="W312" i="57"/>
  <c r="AC312" i="57" s="1"/>
  <c r="V312" i="57"/>
  <c r="AB312" i="57" s="1"/>
  <c r="X311" i="57"/>
  <c r="AD311" i="57" s="1"/>
  <c r="W311" i="57"/>
  <c r="AC311" i="57" s="1"/>
  <c r="V311" i="57"/>
  <c r="AB311" i="57" s="1"/>
  <c r="X310" i="57"/>
  <c r="AD310" i="57" s="1"/>
  <c r="W310" i="57"/>
  <c r="AC310" i="57" s="1"/>
  <c r="V310" i="57"/>
  <c r="AB310" i="57" s="1"/>
  <c r="X309" i="57"/>
  <c r="AD309" i="57" s="1"/>
  <c r="W309" i="57"/>
  <c r="AC309" i="57" s="1"/>
  <c r="V309" i="57"/>
  <c r="AB309" i="57" s="1"/>
  <c r="X308" i="57"/>
  <c r="AD308" i="57" s="1"/>
  <c r="W308" i="57"/>
  <c r="AC308" i="57" s="1"/>
  <c r="V308" i="57"/>
  <c r="AB308" i="57" s="1"/>
  <c r="X307" i="57"/>
  <c r="AD307" i="57" s="1"/>
  <c r="W307" i="57"/>
  <c r="AC307" i="57" s="1"/>
  <c r="V307" i="57"/>
  <c r="AB307" i="57" s="1"/>
  <c r="X306" i="57"/>
  <c r="AD306" i="57" s="1"/>
  <c r="W306" i="57"/>
  <c r="AC306" i="57" s="1"/>
  <c r="V306" i="57"/>
  <c r="AB306" i="57" s="1"/>
  <c r="X305" i="57"/>
  <c r="AD305" i="57" s="1"/>
  <c r="W305" i="57"/>
  <c r="AC305" i="57" s="1"/>
  <c r="V305" i="57"/>
  <c r="AB305" i="57" s="1"/>
  <c r="X304" i="57"/>
  <c r="AD304" i="57" s="1"/>
  <c r="W304" i="57"/>
  <c r="AC304" i="57" s="1"/>
  <c r="V304" i="57"/>
  <c r="AB304" i="57" s="1"/>
  <c r="X303" i="57"/>
  <c r="AD303" i="57" s="1"/>
  <c r="W303" i="57"/>
  <c r="AC303" i="57" s="1"/>
  <c r="V303" i="57"/>
  <c r="AB303" i="57" s="1"/>
  <c r="X302" i="57"/>
  <c r="AD302" i="57" s="1"/>
  <c r="W302" i="57"/>
  <c r="AC302" i="57" s="1"/>
  <c r="V302" i="57"/>
  <c r="AB302" i="57" s="1"/>
  <c r="X301" i="57"/>
  <c r="AD301" i="57" s="1"/>
  <c r="W301" i="57"/>
  <c r="AC301" i="57" s="1"/>
  <c r="V301" i="57"/>
  <c r="AB301" i="57" s="1"/>
  <c r="X300" i="57"/>
  <c r="AD300" i="57" s="1"/>
  <c r="W300" i="57"/>
  <c r="AC300" i="57" s="1"/>
  <c r="V300" i="57"/>
  <c r="AB300" i="57" s="1"/>
  <c r="X299" i="57"/>
  <c r="AD299" i="57" s="1"/>
  <c r="W299" i="57"/>
  <c r="AC299" i="57" s="1"/>
  <c r="V299" i="57"/>
  <c r="AB299" i="57" s="1"/>
  <c r="X298" i="57"/>
  <c r="AD298" i="57" s="1"/>
  <c r="W298" i="57"/>
  <c r="AC298" i="57" s="1"/>
  <c r="V298" i="57"/>
  <c r="AB298" i="57" s="1"/>
  <c r="X297" i="57"/>
  <c r="AD297" i="57" s="1"/>
  <c r="W297" i="57"/>
  <c r="AC297" i="57" s="1"/>
  <c r="V297" i="57"/>
  <c r="AB297" i="57" s="1"/>
  <c r="X296" i="57"/>
  <c r="AD296" i="57" s="1"/>
  <c r="W296" i="57"/>
  <c r="AC296" i="57" s="1"/>
  <c r="V296" i="57"/>
  <c r="AB296" i="57" s="1"/>
  <c r="X295" i="57"/>
  <c r="AD295" i="57" s="1"/>
  <c r="W295" i="57"/>
  <c r="AC295" i="57" s="1"/>
  <c r="V295" i="57"/>
  <c r="AB295" i="57" s="1"/>
  <c r="X294" i="57"/>
  <c r="AD294" i="57" s="1"/>
  <c r="W294" i="57"/>
  <c r="AC294" i="57" s="1"/>
  <c r="V294" i="57"/>
  <c r="AB294" i="57" s="1"/>
  <c r="X293" i="57"/>
  <c r="AD293" i="57" s="1"/>
  <c r="W293" i="57"/>
  <c r="AC293" i="57" s="1"/>
  <c r="V293" i="57"/>
  <c r="AB293" i="57" s="1"/>
  <c r="X292" i="57"/>
  <c r="AD292" i="57" s="1"/>
  <c r="W292" i="57"/>
  <c r="AC292" i="57" s="1"/>
  <c r="V292" i="57"/>
  <c r="AB292" i="57" s="1"/>
  <c r="X291" i="57"/>
  <c r="AD291" i="57" s="1"/>
  <c r="W291" i="57"/>
  <c r="AC291" i="57" s="1"/>
  <c r="V291" i="57"/>
  <c r="AB291" i="57" s="1"/>
  <c r="X290" i="57"/>
  <c r="AD290" i="57" s="1"/>
  <c r="W290" i="57"/>
  <c r="AC290" i="57" s="1"/>
  <c r="V290" i="57"/>
  <c r="AB290" i="57" s="1"/>
  <c r="X289" i="57"/>
  <c r="AD289" i="57" s="1"/>
  <c r="W289" i="57"/>
  <c r="AC289" i="57" s="1"/>
  <c r="V289" i="57"/>
  <c r="AB289" i="57" s="1"/>
  <c r="X288" i="57"/>
  <c r="AD288" i="57" s="1"/>
  <c r="W288" i="57"/>
  <c r="AC288" i="57" s="1"/>
  <c r="V288" i="57"/>
  <c r="AB288" i="57" s="1"/>
  <c r="X287" i="57"/>
  <c r="AD287" i="57" s="1"/>
  <c r="W287" i="57"/>
  <c r="AC287" i="57" s="1"/>
  <c r="V287" i="57"/>
  <c r="AB287" i="57" s="1"/>
  <c r="X286" i="57"/>
  <c r="AD286" i="57" s="1"/>
  <c r="W286" i="57"/>
  <c r="AC286" i="57" s="1"/>
  <c r="V286" i="57"/>
  <c r="AB286" i="57" s="1"/>
  <c r="X285" i="57"/>
  <c r="AD285" i="57" s="1"/>
  <c r="W285" i="57"/>
  <c r="AC285" i="57" s="1"/>
  <c r="V285" i="57"/>
  <c r="AB285" i="57" s="1"/>
  <c r="X284" i="57"/>
  <c r="AD284" i="57" s="1"/>
  <c r="W284" i="57"/>
  <c r="AC284" i="57" s="1"/>
  <c r="V284" i="57"/>
  <c r="AB284" i="57" s="1"/>
  <c r="X283" i="57"/>
  <c r="AD283" i="57" s="1"/>
  <c r="W283" i="57"/>
  <c r="AC283" i="57" s="1"/>
  <c r="V283" i="57"/>
  <c r="AB283" i="57" s="1"/>
  <c r="X282" i="57"/>
  <c r="AD282" i="57" s="1"/>
  <c r="W282" i="57"/>
  <c r="AC282" i="57" s="1"/>
  <c r="V282" i="57"/>
  <c r="AB282" i="57" s="1"/>
  <c r="X281" i="57"/>
  <c r="AD281" i="57" s="1"/>
  <c r="W281" i="57"/>
  <c r="AC281" i="57" s="1"/>
  <c r="V281" i="57"/>
  <c r="AB281" i="57" s="1"/>
  <c r="X280" i="57"/>
  <c r="AD280" i="57" s="1"/>
  <c r="W280" i="57"/>
  <c r="AC280" i="57" s="1"/>
  <c r="V280" i="57"/>
  <c r="AB280" i="57" s="1"/>
  <c r="X279" i="57"/>
  <c r="AD279" i="57" s="1"/>
  <c r="W279" i="57"/>
  <c r="AC279" i="57" s="1"/>
  <c r="V279" i="57"/>
  <c r="AB279" i="57" s="1"/>
  <c r="X278" i="57"/>
  <c r="AD278" i="57" s="1"/>
  <c r="W278" i="57"/>
  <c r="AC278" i="57" s="1"/>
  <c r="V278" i="57"/>
  <c r="AB278" i="57" s="1"/>
  <c r="X277" i="57"/>
  <c r="AD277" i="57" s="1"/>
  <c r="W277" i="57"/>
  <c r="AC277" i="57" s="1"/>
  <c r="V277" i="57"/>
  <c r="AB277" i="57" s="1"/>
  <c r="X276" i="57"/>
  <c r="AD276" i="57" s="1"/>
  <c r="W276" i="57"/>
  <c r="AC276" i="57" s="1"/>
  <c r="V276" i="57"/>
  <c r="AB276" i="57" s="1"/>
  <c r="X275" i="57"/>
  <c r="AD275" i="57" s="1"/>
  <c r="W275" i="57"/>
  <c r="AC275" i="57" s="1"/>
  <c r="V275" i="57"/>
  <c r="AB275" i="57" s="1"/>
  <c r="X274" i="57"/>
  <c r="AD274" i="57" s="1"/>
  <c r="W274" i="57"/>
  <c r="AC274" i="57" s="1"/>
  <c r="V274" i="57"/>
  <c r="AB274" i="57" s="1"/>
  <c r="X273" i="57"/>
  <c r="AD273" i="57" s="1"/>
  <c r="W273" i="57"/>
  <c r="AC273" i="57" s="1"/>
  <c r="V273" i="57"/>
  <c r="AB273" i="57" s="1"/>
  <c r="X272" i="57"/>
  <c r="AD272" i="57" s="1"/>
  <c r="W272" i="57"/>
  <c r="AC272" i="57" s="1"/>
  <c r="V272" i="57"/>
  <c r="AB272" i="57" s="1"/>
  <c r="X271" i="57"/>
  <c r="AD271" i="57" s="1"/>
  <c r="W271" i="57"/>
  <c r="AC271" i="57" s="1"/>
  <c r="V271" i="57"/>
  <c r="AB271" i="57" s="1"/>
  <c r="X270" i="57"/>
  <c r="AD270" i="57" s="1"/>
  <c r="W270" i="57"/>
  <c r="AC270" i="57" s="1"/>
  <c r="V270" i="57"/>
  <c r="AB270" i="57" s="1"/>
  <c r="X269" i="57"/>
  <c r="AD269" i="57" s="1"/>
  <c r="W269" i="57"/>
  <c r="AC269" i="57" s="1"/>
  <c r="V269" i="57"/>
  <c r="AB269" i="57" s="1"/>
  <c r="X268" i="57"/>
  <c r="AD268" i="57" s="1"/>
  <c r="W268" i="57"/>
  <c r="AC268" i="57" s="1"/>
  <c r="V268" i="57"/>
  <c r="AB268" i="57" s="1"/>
  <c r="X267" i="57"/>
  <c r="AD267" i="57" s="1"/>
  <c r="W267" i="57"/>
  <c r="AC267" i="57" s="1"/>
  <c r="V267" i="57"/>
  <c r="AB267" i="57" s="1"/>
  <c r="X266" i="57"/>
  <c r="AD266" i="57" s="1"/>
  <c r="W266" i="57"/>
  <c r="AC266" i="57" s="1"/>
  <c r="V266" i="57"/>
  <c r="AB266" i="57" s="1"/>
  <c r="X265" i="57"/>
  <c r="AD265" i="57" s="1"/>
  <c r="W265" i="57"/>
  <c r="AC265" i="57" s="1"/>
  <c r="V265" i="57"/>
  <c r="AB265" i="57" s="1"/>
  <c r="X264" i="57"/>
  <c r="AD264" i="57" s="1"/>
  <c r="W264" i="57"/>
  <c r="AC264" i="57" s="1"/>
  <c r="V264" i="57"/>
  <c r="AB264" i="57" s="1"/>
  <c r="X263" i="57"/>
  <c r="AD263" i="57" s="1"/>
  <c r="W263" i="57"/>
  <c r="AC263" i="57" s="1"/>
  <c r="V263" i="57"/>
  <c r="AB263" i="57" s="1"/>
  <c r="X262" i="57"/>
  <c r="AD262" i="57" s="1"/>
  <c r="W262" i="57"/>
  <c r="AC262" i="57" s="1"/>
  <c r="V262" i="57"/>
  <c r="AB262" i="57" s="1"/>
  <c r="X261" i="57"/>
  <c r="AD261" i="57" s="1"/>
  <c r="W261" i="57"/>
  <c r="AC261" i="57" s="1"/>
  <c r="V261" i="57"/>
  <c r="AB261" i="57" s="1"/>
  <c r="X260" i="57"/>
  <c r="AD260" i="57" s="1"/>
  <c r="W260" i="57"/>
  <c r="AC260" i="57" s="1"/>
  <c r="V260" i="57"/>
  <c r="AB260" i="57" s="1"/>
  <c r="X259" i="57"/>
  <c r="AD259" i="57" s="1"/>
  <c r="W259" i="57"/>
  <c r="AC259" i="57" s="1"/>
  <c r="V259" i="57"/>
  <c r="AB259" i="57" s="1"/>
  <c r="X258" i="57"/>
  <c r="AD258" i="57" s="1"/>
  <c r="W258" i="57"/>
  <c r="AC258" i="57" s="1"/>
  <c r="V258" i="57"/>
  <c r="AB258" i="57" s="1"/>
  <c r="X257" i="57"/>
  <c r="AD257" i="57" s="1"/>
  <c r="W257" i="57"/>
  <c r="AC257" i="57" s="1"/>
  <c r="V257" i="57"/>
  <c r="AB257" i="57" s="1"/>
  <c r="X256" i="57"/>
  <c r="AD256" i="57" s="1"/>
  <c r="W256" i="57"/>
  <c r="AC256" i="57" s="1"/>
  <c r="V256" i="57"/>
  <c r="AB256" i="57" s="1"/>
  <c r="X255" i="57"/>
  <c r="AD255" i="57" s="1"/>
  <c r="W255" i="57"/>
  <c r="AC255" i="57" s="1"/>
  <c r="V255" i="57"/>
  <c r="AB255" i="57" s="1"/>
  <c r="X254" i="57"/>
  <c r="AD254" i="57" s="1"/>
  <c r="W254" i="57"/>
  <c r="AC254" i="57" s="1"/>
  <c r="V254" i="57"/>
  <c r="AB254" i="57" s="1"/>
  <c r="X253" i="57"/>
  <c r="AD253" i="57" s="1"/>
  <c r="W253" i="57"/>
  <c r="AC253" i="57" s="1"/>
  <c r="V253" i="57"/>
  <c r="AB253" i="57" s="1"/>
  <c r="X252" i="57"/>
  <c r="AD252" i="57" s="1"/>
  <c r="W252" i="57"/>
  <c r="AC252" i="57" s="1"/>
  <c r="V252" i="57"/>
  <c r="AB252" i="57" s="1"/>
  <c r="X251" i="57"/>
  <c r="AD251" i="57" s="1"/>
  <c r="W251" i="57"/>
  <c r="AC251" i="57" s="1"/>
  <c r="V251" i="57"/>
  <c r="AB251" i="57" s="1"/>
  <c r="X250" i="57"/>
  <c r="AD250" i="57" s="1"/>
  <c r="W250" i="57"/>
  <c r="AC250" i="57" s="1"/>
  <c r="V250" i="57"/>
  <c r="AB250" i="57" s="1"/>
  <c r="X249" i="57"/>
  <c r="AD249" i="57" s="1"/>
  <c r="W249" i="57"/>
  <c r="AC249" i="57" s="1"/>
  <c r="V249" i="57"/>
  <c r="AB249" i="57" s="1"/>
  <c r="X248" i="57"/>
  <c r="AD248" i="57" s="1"/>
  <c r="W248" i="57"/>
  <c r="AC248" i="57" s="1"/>
  <c r="V248" i="57"/>
  <c r="AB248" i="57" s="1"/>
  <c r="X247" i="57"/>
  <c r="AD247" i="57" s="1"/>
  <c r="W247" i="57"/>
  <c r="AC247" i="57" s="1"/>
  <c r="V247" i="57"/>
  <c r="AB247" i="57" s="1"/>
  <c r="X246" i="57"/>
  <c r="AD246" i="57" s="1"/>
  <c r="W246" i="57"/>
  <c r="AC246" i="57" s="1"/>
  <c r="V246" i="57"/>
  <c r="AB246" i="57" s="1"/>
  <c r="X245" i="57"/>
  <c r="AD245" i="57" s="1"/>
  <c r="W245" i="57"/>
  <c r="AC245" i="57" s="1"/>
  <c r="V245" i="57"/>
  <c r="AB245" i="57" s="1"/>
  <c r="X244" i="57"/>
  <c r="AD244" i="57" s="1"/>
  <c r="W244" i="57"/>
  <c r="AC244" i="57" s="1"/>
  <c r="V244" i="57"/>
  <c r="AB244" i="57" s="1"/>
  <c r="X243" i="57"/>
  <c r="AD243" i="57" s="1"/>
  <c r="W243" i="57"/>
  <c r="AC243" i="57" s="1"/>
  <c r="V243" i="57"/>
  <c r="AB243" i="57" s="1"/>
  <c r="X242" i="57"/>
  <c r="AD242" i="57" s="1"/>
  <c r="W242" i="57"/>
  <c r="AC242" i="57" s="1"/>
  <c r="V242" i="57"/>
  <c r="AB242" i="57" s="1"/>
  <c r="X241" i="57"/>
  <c r="AD241" i="57" s="1"/>
  <c r="W241" i="57"/>
  <c r="AC241" i="57" s="1"/>
  <c r="V241" i="57"/>
  <c r="AB241" i="57" s="1"/>
  <c r="X240" i="57"/>
  <c r="AD240" i="57" s="1"/>
  <c r="W240" i="57"/>
  <c r="AC240" i="57" s="1"/>
  <c r="V240" i="57"/>
  <c r="AB240" i="57" s="1"/>
  <c r="X239" i="57"/>
  <c r="AD239" i="57" s="1"/>
  <c r="W239" i="57"/>
  <c r="AC239" i="57" s="1"/>
  <c r="V239" i="57"/>
  <c r="AB239" i="57" s="1"/>
  <c r="X238" i="57"/>
  <c r="AD238" i="57" s="1"/>
  <c r="W238" i="57"/>
  <c r="AC238" i="57" s="1"/>
  <c r="V238" i="57"/>
  <c r="AB238" i="57" s="1"/>
  <c r="X237" i="57"/>
  <c r="AD237" i="57" s="1"/>
  <c r="W237" i="57"/>
  <c r="AC237" i="57" s="1"/>
  <c r="V237" i="57"/>
  <c r="AB237" i="57" s="1"/>
  <c r="X236" i="57"/>
  <c r="AD236" i="57" s="1"/>
  <c r="W236" i="57"/>
  <c r="AC236" i="57" s="1"/>
  <c r="V236" i="57"/>
  <c r="AB236" i="57" s="1"/>
  <c r="X235" i="57"/>
  <c r="AD235" i="57" s="1"/>
  <c r="W235" i="57"/>
  <c r="AC235" i="57" s="1"/>
  <c r="V235" i="57"/>
  <c r="AB235" i="57" s="1"/>
  <c r="X234" i="57"/>
  <c r="AD234" i="57" s="1"/>
  <c r="W234" i="57"/>
  <c r="AC234" i="57" s="1"/>
  <c r="V234" i="57"/>
  <c r="AB234" i="57" s="1"/>
  <c r="X233" i="57"/>
  <c r="AD233" i="57" s="1"/>
  <c r="W233" i="57"/>
  <c r="AC233" i="57" s="1"/>
  <c r="V233" i="57"/>
  <c r="AB233" i="57" s="1"/>
  <c r="X232" i="57"/>
  <c r="AD232" i="57" s="1"/>
  <c r="W232" i="57"/>
  <c r="AC232" i="57" s="1"/>
  <c r="V232" i="57"/>
  <c r="AB232" i="57" s="1"/>
  <c r="X231" i="57"/>
  <c r="AD231" i="57" s="1"/>
  <c r="W231" i="57"/>
  <c r="AC231" i="57" s="1"/>
  <c r="V231" i="57"/>
  <c r="AB231" i="57" s="1"/>
  <c r="X230" i="57"/>
  <c r="AD230" i="57" s="1"/>
  <c r="W230" i="57"/>
  <c r="AC230" i="57" s="1"/>
  <c r="V230" i="57"/>
  <c r="AB230" i="57" s="1"/>
  <c r="X229" i="57"/>
  <c r="AD229" i="57" s="1"/>
  <c r="W229" i="57"/>
  <c r="AC229" i="57" s="1"/>
  <c r="V229" i="57"/>
  <c r="AB229" i="57" s="1"/>
  <c r="X228" i="57"/>
  <c r="AD228" i="57" s="1"/>
  <c r="W228" i="57"/>
  <c r="AC228" i="57" s="1"/>
  <c r="V228" i="57"/>
  <c r="AB228" i="57" s="1"/>
  <c r="X227" i="57"/>
  <c r="AD227" i="57" s="1"/>
  <c r="W227" i="57"/>
  <c r="AC227" i="57" s="1"/>
  <c r="V227" i="57"/>
  <c r="AB227" i="57" s="1"/>
  <c r="X226" i="57"/>
  <c r="AD226" i="57" s="1"/>
  <c r="W226" i="57"/>
  <c r="AC226" i="57" s="1"/>
  <c r="V226" i="57"/>
  <c r="AB226" i="57" s="1"/>
  <c r="X225" i="57"/>
  <c r="AD225" i="57" s="1"/>
  <c r="W225" i="57"/>
  <c r="AC225" i="57" s="1"/>
  <c r="V225" i="57"/>
  <c r="AB225" i="57" s="1"/>
  <c r="X224" i="57"/>
  <c r="AD224" i="57" s="1"/>
  <c r="W224" i="57"/>
  <c r="AC224" i="57" s="1"/>
  <c r="V224" i="57"/>
  <c r="AB224" i="57" s="1"/>
  <c r="X223" i="57"/>
  <c r="AD223" i="57" s="1"/>
  <c r="W223" i="57"/>
  <c r="AC223" i="57" s="1"/>
  <c r="V223" i="57"/>
  <c r="AB223" i="57" s="1"/>
  <c r="X222" i="57"/>
  <c r="AD222" i="57" s="1"/>
  <c r="W222" i="57"/>
  <c r="AC222" i="57" s="1"/>
  <c r="V222" i="57"/>
  <c r="AB222" i="57" s="1"/>
  <c r="X221" i="57"/>
  <c r="AD221" i="57" s="1"/>
  <c r="W221" i="57"/>
  <c r="AC221" i="57" s="1"/>
  <c r="V221" i="57"/>
  <c r="AB221" i="57" s="1"/>
  <c r="X220" i="57"/>
  <c r="AD220" i="57" s="1"/>
  <c r="W220" i="57"/>
  <c r="AC220" i="57" s="1"/>
  <c r="V220" i="57"/>
  <c r="AB220" i="57" s="1"/>
  <c r="X219" i="57"/>
  <c r="AD219" i="57" s="1"/>
  <c r="W219" i="57"/>
  <c r="AC219" i="57" s="1"/>
  <c r="V219" i="57"/>
  <c r="AB219" i="57" s="1"/>
  <c r="X218" i="57"/>
  <c r="AD218" i="57" s="1"/>
  <c r="W218" i="57"/>
  <c r="AC218" i="57" s="1"/>
  <c r="V218" i="57"/>
  <c r="AB218" i="57" s="1"/>
  <c r="X217" i="57"/>
  <c r="AD217" i="57" s="1"/>
  <c r="W217" i="57"/>
  <c r="AC217" i="57" s="1"/>
  <c r="V217" i="57"/>
  <c r="AB217" i="57" s="1"/>
  <c r="X216" i="57"/>
  <c r="AD216" i="57" s="1"/>
  <c r="W216" i="57"/>
  <c r="AC216" i="57" s="1"/>
  <c r="V216" i="57"/>
  <c r="AB216" i="57" s="1"/>
  <c r="X215" i="57"/>
  <c r="AD215" i="57" s="1"/>
  <c r="W215" i="57"/>
  <c r="AC215" i="57" s="1"/>
  <c r="V215" i="57"/>
  <c r="AB215" i="57" s="1"/>
  <c r="X214" i="57"/>
  <c r="AD214" i="57" s="1"/>
  <c r="W214" i="57"/>
  <c r="AC214" i="57" s="1"/>
  <c r="V214" i="57"/>
  <c r="AB214" i="57" s="1"/>
  <c r="X213" i="57"/>
  <c r="AD213" i="57" s="1"/>
  <c r="W213" i="57"/>
  <c r="AC213" i="57" s="1"/>
  <c r="V213" i="57"/>
  <c r="AB213" i="57" s="1"/>
  <c r="X212" i="57"/>
  <c r="AD212" i="57" s="1"/>
  <c r="W212" i="57"/>
  <c r="AC212" i="57" s="1"/>
  <c r="V212" i="57"/>
  <c r="AB212" i="57" s="1"/>
  <c r="X211" i="57"/>
  <c r="AD211" i="57" s="1"/>
  <c r="W211" i="57"/>
  <c r="AC211" i="57" s="1"/>
  <c r="V211" i="57"/>
  <c r="AB211" i="57" s="1"/>
  <c r="X210" i="57"/>
  <c r="AD210" i="57" s="1"/>
  <c r="W210" i="57"/>
  <c r="AC210" i="57" s="1"/>
  <c r="V210" i="57"/>
  <c r="AB210" i="57" s="1"/>
  <c r="X209" i="57"/>
  <c r="AD209" i="57" s="1"/>
  <c r="W209" i="57"/>
  <c r="AC209" i="57" s="1"/>
  <c r="V209" i="57"/>
  <c r="AB209" i="57" s="1"/>
  <c r="X208" i="57"/>
  <c r="AD208" i="57" s="1"/>
  <c r="W208" i="57"/>
  <c r="AC208" i="57" s="1"/>
  <c r="V208" i="57"/>
  <c r="AB208" i="57" s="1"/>
  <c r="X207" i="57"/>
  <c r="AD207" i="57" s="1"/>
  <c r="W207" i="57"/>
  <c r="AC207" i="57" s="1"/>
  <c r="V207" i="57"/>
  <c r="AB207" i="57" s="1"/>
  <c r="X206" i="57"/>
  <c r="AD206" i="57" s="1"/>
  <c r="W206" i="57"/>
  <c r="AC206" i="57" s="1"/>
  <c r="V206" i="57"/>
  <c r="AB206" i="57" s="1"/>
  <c r="X205" i="57"/>
  <c r="AD205" i="57" s="1"/>
  <c r="W205" i="57"/>
  <c r="AC205" i="57" s="1"/>
  <c r="V205" i="57"/>
  <c r="AB205" i="57" s="1"/>
  <c r="X204" i="57"/>
  <c r="AD204" i="57" s="1"/>
  <c r="W204" i="57"/>
  <c r="AC204" i="57" s="1"/>
  <c r="V204" i="57"/>
  <c r="AB204" i="57" s="1"/>
  <c r="X203" i="57"/>
  <c r="AD203" i="57" s="1"/>
  <c r="W203" i="57"/>
  <c r="AC203" i="57" s="1"/>
  <c r="V203" i="57"/>
  <c r="AB203" i="57" s="1"/>
  <c r="X202" i="57"/>
  <c r="AD202" i="57" s="1"/>
  <c r="W202" i="57"/>
  <c r="AC202" i="57" s="1"/>
  <c r="V202" i="57"/>
  <c r="AB202" i="57" s="1"/>
  <c r="X201" i="57"/>
  <c r="AD201" i="57" s="1"/>
  <c r="W201" i="57"/>
  <c r="AC201" i="57" s="1"/>
  <c r="V201" i="57"/>
  <c r="AB201" i="57" s="1"/>
  <c r="X200" i="57"/>
  <c r="AD200" i="57" s="1"/>
  <c r="W200" i="57"/>
  <c r="AC200" i="57" s="1"/>
  <c r="V200" i="57"/>
  <c r="AB200" i="57" s="1"/>
  <c r="X199" i="57"/>
  <c r="AD199" i="57" s="1"/>
  <c r="W199" i="57"/>
  <c r="AC199" i="57" s="1"/>
  <c r="V199" i="57"/>
  <c r="AB199" i="57" s="1"/>
  <c r="X198" i="57"/>
  <c r="AD198" i="57" s="1"/>
  <c r="W198" i="57"/>
  <c r="AC198" i="57" s="1"/>
  <c r="V198" i="57"/>
  <c r="AB198" i="57" s="1"/>
  <c r="X197" i="57"/>
  <c r="AD197" i="57" s="1"/>
  <c r="W197" i="57"/>
  <c r="AC197" i="57" s="1"/>
  <c r="V197" i="57"/>
  <c r="AB197" i="57" s="1"/>
  <c r="X196" i="57"/>
  <c r="AD196" i="57" s="1"/>
  <c r="W196" i="57"/>
  <c r="AC196" i="57" s="1"/>
  <c r="V196" i="57"/>
  <c r="AB196" i="57" s="1"/>
  <c r="X195" i="57"/>
  <c r="AD195" i="57" s="1"/>
  <c r="W195" i="57"/>
  <c r="AC195" i="57" s="1"/>
  <c r="V195" i="57"/>
  <c r="AB195" i="57" s="1"/>
  <c r="X194" i="57"/>
  <c r="AD194" i="57" s="1"/>
  <c r="W194" i="57"/>
  <c r="AC194" i="57" s="1"/>
  <c r="V194" i="57"/>
  <c r="AB194" i="57" s="1"/>
  <c r="X193" i="57"/>
  <c r="AD193" i="57" s="1"/>
  <c r="W193" i="57"/>
  <c r="AC193" i="57" s="1"/>
  <c r="V193" i="57"/>
  <c r="AB193" i="57" s="1"/>
  <c r="X192" i="57"/>
  <c r="AD192" i="57" s="1"/>
  <c r="W192" i="57"/>
  <c r="AC192" i="57" s="1"/>
  <c r="V192" i="57"/>
  <c r="AB192" i="57" s="1"/>
  <c r="X191" i="57"/>
  <c r="AD191" i="57" s="1"/>
  <c r="W191" i="57"/>
  <c r="AC191" i="57" s="1"/>
  <c r="V191" i="57"/>
  <c r="AB191" i="57" s="1"/>
  <c r="X190" i="57"/>
  <c r="AD190" i="57" s="1"/>
  <c r="W190" i="57"/>
  <c r="AC190" i="57" s="1"/>
  <c r="V190" i="57"/>
  <c r="AB190" i="57" s="1"/>
  <c r="X189" i="57"/>
  <c r="AD189" i="57" s="1"/>
  <c r="W189" i="57"/>
  <c r="AC189" i="57" s="1"/>
  <c r="V189" i="57"/>
  <c r="AB189" i="57" s="1"/>
  <c r="X188" i="57"/>
  <c r="AD188" i="57" s="1"/>
  <c r="W188" i="57"/>
  <c r="AC188" i="57" s="1"/>
  <c r="V188" i="57"/>
  <c r="AB188" i="57" s="1"/>
  <c r="X187" i="57"/>
  <c r="AD187" i="57" s="1"/>
  <c r="W187" i="57"/>
  <c r="AC187" i="57" s="1"/>
  <c r="V187" i="57"/>
  <c r="AB187" i="57" s="1"/>
  <c r="X154" i="57"/>
  <c r="AD154" i="57" s="1"/>
  <c r="W154" i="57"/>
  <c r="AC154" i="57" s="1"/>
  <c r="V154" i="57"/>
  <c r="AB154" i="57" s="1"/>
  <c r="X153" i="57"/>
  <c r="AD153" i="57" s="1"/>
  <c r="W153" i="57"/>
  <c r="AC153" i="57" s="1"/>
  <c r="V153" i="57"/>
  <c r="AB153" i="57" s="1"/>
  <c r="X152" i="57"/>
  <c r="AD152" i="57" s="1"/>
  <c r="W152" i="57"/>
  <c r="AC152" i="57" s="1"/>
  <c r="V152" i="57"/>
  <c r="AB152" i="57" s="1"/>
  <c r="X151" i="57"/>
  <c r="AD151" i="57" s="1"/>
  <c r="W151" i="57"/>
  <c r="AC151" i="57" s="1"/>
  <c r="V151" i="57"/>
  <c r="AB151" i="57" s="1"/>
  <c r="X150" i="57"/>
  <c r="AD150" i="57" s="1"/>
  <c r="W150" i="57"/>
  <c r="AC150" i="57" s="1"/>
  <c r="V150" i="57"/>
  <c r="AB150" i="57" s="1"/>
  <c r="X149" i="57"/>
  <c r="AD149" i="57" s="1"/>
  <c r="W149" i="57"/>
  <c r="AC149" i="57" s="1"/>
  <c r="V149" i="57"/>
  <c r="AB149" i="57" s="1"/>
  <c r="X148" i="57"/>
  <c r="AD148" i="57" s="1"/>
  <c r="W148" i="57"/>
  <c r="AC148" i="57" s="1"/>
  <c r="V148" i="57"/>
  <c r="AB148" i="57" s="1"/>
  <c r="X147" i="57"/>
  <c r="AD147" i="57" s="1"/>
  <c r="W147" i="57"/>
  <c r="AC147" i="57" s="1"/>
  <c r="V147" i="57"/>
  <c r="AB147" i="57" s="1"/>
  <c r="X146" i="57"/>
  <c r="AD146" i="57" s="1"/>
  <c r="W146" i="57"/>
  <c r="AC146" i="57" s="1"/>
  <c r="V146" i="57"/>
  <c r="AB146" i="57" s="1"/>
  <c r="X145" i="57"/>
  <c r="AD145" i="57" s="1"/>
  <c r="W145" i="57"/>
  <c r="AC145" i="57" s="1"/>
  <c r="V145" i="57"/>
  <c r="AB145" i="57" s="1"/>
  <c r="X144" i="57"/>
  <c r="AD144" i="57" s="1"/>
  <c r="W144" i="57"/>
  <c r="AC144" i="57" s="1"/>
  <c r="V144" i="57"/>
  <c r="AB144" i="57" s="1"/>
  <c r="X143" i="57"/>
  <c r="AD143" i="57" s="1"/>
  <c r="W143" i="57"/>
  <c r="AC143" i="57" s="1"/>
  <c r="V143" i="57"/>
  <c r="AB143" i="57" s="1"/>
  <c r="X142" i="57"/>
  <c r="AD142" i="57" s="1"/>
  <c r="W142" i="57"/>
  <c r="AC142" i="57" s="1"/>
  <c r="V142" i="57"/>
  <c r="AB142" i="57" s="1"/>
  <c r="X141" i="57"/>
  <c r="AD141" i="57" s="1"/>
  <c r="W141" i="57"/>
  <c r="AC141" i="57" s="1"/>
  <c r="V141" i="57"/>
  <c r="AB141" i="57" s="1"/>
  <c r="X140" i="57"/>
  <c r="AD140" i="57" s="1"/>
  <c r="W140" i="57"/>
  <c r="AC140" i="57" s="1"/>
  <c r="V140" i="57"/>
  <c r="AB140" i="57" s="1"/>
  <c r="X139" i="57"/>
  <c r="AD139" i="57" s="1"/>
  <c r="W139" i="57"/>
  <c r="AC139" i="57" s="1"/>
  <c r="V139" i="57"/>
  <c r="AB139" i="57" s="1"/>
  <c r="X138" i="57"/>
  <c r="AD138" i="57" s="1"/>
  <c r="W138" i="57"/>
  <c r="AC138" i="57" s="1"/>
  <c r="V138" i="57"/>
  <c r="AB138" i="57" s="1"/>
  <c r="X137" i="57"/>
  <c r="AD137" i="57" s="1"/>
  <c r="W137" i="57"/>
  <c r="AC137" i="57" s="1"/>
  <c r="V137" i="57"/>
  <c r="AB137" i="57" s="1"/>
  <c r="X136" i="57"/>
  <c r="AD136" i="57" s="1"/>
  <c r="W136" i="57"/>
  <c r="AC136" i="57" s="1"/>
  <c r="V136" i="57"/>
  <c r="AB136" i="57" s="1"/>
  <c r="X135" i="57"/>
  <c r="AD135" i="57" s="1"/>
  <c r="W135" i="57"/>
  <c r="AC135" i="57" s="1"/>
  <c r="V135" i="57"/>
  <c r="AB135" i="57" s="1"/>
  <c r="X134" i="57"/>
  <c r="AD134" i="57" s="1"/>
  <c r="W134" i="57"/>
  <c r="AC134" i="57" s="1"/>
  <c r="V134" i="57"/>
  <c r="AB134" i="57" s="1"/>
  <c r="X133" i="57"/>
  <c r="AD133" i="57" s="1"/>
  <c r="W133" i="57"/>
  <c r="AC133" i="57" s="1"/>
  <c r="V133" i="57"/>
  <c r="AB133" i="57" s="1"/>
  <c r="X132" i="57"/>
  <c r="AD132" i="57" s="1"/>
  <c r="W132" i="57"/>
  <c r="AC132" i="57" s="1"/>
  <c r="V132" i="57"/>
  <c r="AB132" i="57" s="1"/>
  <c r="X131" i="57"/>
  <c r="AD131" i="57" s="1"/>
  <c r="W131" i="57"/>
  <c r="AC131" i="57" s="1"/>
  <c r="V131" i="57"/>
  <c r="AB131" i="57" s="1"/>
  <c r="X130" i="57"/>
  <c r="AD130" i="57" s="1"/>
  <c r="W130" i="57"/>
  <c r="AC130" i="57" s="1"/>
  <c r="V130" i="57"/>
  <c r="AB130" i="57" s="1"/>
  <c r="X129" i="57"/>
  <c r="AD129" i="57" s="1"/>
  <c r="W129" i="57"/>
  <c r="AC129" i="57" s="1"/>
  <c r="V129" i="57"/>
  <c r="AB129" i="57" s="1"/>
  <c r="X128" i="57"/>
  <c r="AD128" i="57" s="1"/>
  <c r="W128" i="57"/>
  <c r="AC128" i="57" s="1"/>
  <c r="V128" i="57"/>
  <c r="AB128" i="57" s="1"/>
  <c r="X127" i="57"/>
  <c r="AD127" i="57" s="1"/>
  <c r="W127" i="57"/>
  <c r="AC127" i="57" s="1"/>
  <c r="V127" i="57"/>
  <c r="AB127" i="57" s="1"/>
  <c r="X126" i="57"/>
  <c r="AD126" i="57" s="1"/>
  <c r="W126" i="57"/>
  <c r="AC126" i="57" s="1"/>
  <c r="V126" i="57"/>
  <c r="AB126" i="57" s="1"/>
  <c r="X125" i="57"/>
  <c r="AD125" i="57" s="1"/>
  <c r="W125" i="57"/>
  <c r="AC125" i="57" s="1"/>
  <c r="V125" i="57"/>
  <c r="AB125" i="57" s="1"/>
  <c r="X124" i="57"/>
  <c r="AD124" i="57" s="1"/>
  <c r="W124" i="57"/>
  <c r="AC124" i="57" s="1"/>
  <c r="V124" i="57"/>
  <c r="AB124" i="57" s="1"/>
  <c r="X123" i="57"/>
  <c r="AD123" i="57" s="1"/>
  <c r="W123" i="57"/>
  <c r="AC123" i="57" s="1"/>
  <c r="V123" i="57"/>
  <c r="AB123" i="57" s="1"/>
  <c r="X122" i="57"/>
  <c r="AD122" i="57" s="1"/>
  <c r="W122" i="57"/>
  <c r="AC122" i="57" s="1"/>
  <c r="V122" i="57"/>
  <c r="AB122" i="57" s="1"/>
  <c r="X121" i="57"/>
  <c r="AD121" i="57" s="1"/>
  <c r="W121" i="57"/>
  <c r="AC121" i="57" s="1"/>
  <c r="V121" i="57"/>
  <c r="AB121" i="57" s="1"/>
  <c r="X120" i="57"/>
  <c r="AD120" i="57" s="1"/>
  <c r="W120" i="57"/>
  <c r="AC120" i="57" s="1"/>
  <c r="V120" i="57"/>
  <c r="AB120" i="57" s="1"/>
  <c r="X119" i="57"/>
  <c r="AD119" i="57" s="1"/>
  <c r="W119" i="57"/>
  <c r="AC119" i="57" s="1"/>
  <c r="V119" i="57"/>
  <c r="AB119" i="57" s="1"/>
  <c r="X118" i="57"/>
  <c r="AD118" i="57" s="1"/>
  <c r="W118" i="57"/>
  <c r="AC118" i="57" s="1"/>
  <c r="V118" i="57"/>
  <c r="AB118" i="57" s="1"/>
  <c r="X117" i="57"/>
  <c r="AD117" i="57" s="1"/>
  <c r="W117" i="57"/>
  <c r="AC117" i="57" s="1"/>
  <c r="V117" i="57"/>
  <c r="AB117" i="57" s="1"/>
  <c r="X116" i="57"/>
  <c r="AD116" i="57" s="1"/>
  <c r="W116" i="57"/>
  <c r="AC116" i="57" s="1"/>
  <c r="V116" i="57"/>
  <c r="AB116" i="57" s="1"/>
  <c r="X115" i="57"/>
  <c r="AD115" i="57" s="1"/>
  <c r="W115" i="57"/>
  <c r="AC115" i="57" s="1"/>
  <c r="V115" i="57"/>
  <c r="AB115" i="57" s="1"/>
  <c r="X114" i="57"/>
  <c r="AD114" i="57" s="1"/>
  <c r="W114" i="57"/>
  <c r="AC114" i="57" s="1"/>
  <c r="V114" i="57"/>
  <c r="AB114" i="57" s="1"/>
  <c r="X113" i="57"/>
  <c r="AD113" i="57" s="1"/>
  <c r="W113" i="57"/>
  <c r="AC113" i="57" s="1"/>
  <c r="V113" i="57"/>
  <c r="AB113" i="57" s="1"/>
  <c r="X112" i="57"/>
  <c r="AD112" i="57" s="1"/>
  <c r="W112" i="57"/>
  <c r="AC112" i="57" s="1"/>
  <c r="V112" i="57"/>
  <c r="AB112" i="57" s="1"/>
  <c r="X111" i="57"/>
  <c r="AD111" i="57" s="1"/>
  <c r="W111" i="57"/>
  <c r="AC111" i="57" s="1"/>
  <c r="V111" i="57"/>
  <c r="AB111" i="57" s="1"/>
  <c r="X110" i="57"/>
  <c r="AD110" i="57" s="1"/>
  <c r="W110" i="57"/>
  <c r="AC110" i="57" s="1"/>
  <c r="V110" i="57"/>
  <c r="AB110" i="57" s="1"/>
  <c r="X109" i="57"/>
  <c r="AD109" i="57" s="1"/>
  <c r="W109" i="57"/>
  <c r="AC109" i="57" s="1"/>
  <c r="V109" i="57"/>
  <c r="AB109" i="57" s="1"/>
  <c r="X108" i="57"/>
  <c r="AD108" i="57" s="1"/>
  <c r="W108" i="57"/>
  <c r="AC108" i="57" s="1"/>
  <c r="V108" i="57"/>
  <c r="AB108" i="57" s="1"/>
  <c r="X107" i="57"/>
  <c r="AD107" i="57" s="1"/>
  <c r="W107" i="57"/>
  <c r="AC107" i="57" s="1"/>
  <c r="V107" i="57"/>
  <c r="AB107" i="57" s="1"/>
  <c r="X106" i="57"/>
  <c r="AD106" i="57" s="1"/>
  <c r="W106" i="57"/>
  <c r="AC106" i="57" s="1"/>
  <c r="V106" i="57"/>
  <c r="AB106" i="57" s="1"/>
  <c r="X105" i="57"/>
  <c r="AD105" i="57" s="1"/>
  <c r="W105" i="57"/>
  <c r="AC105" i="57" s="1"/>
  <c r="V105" i="57"/>
  <c r="AB105" i="57" s="1"/>
  <c r="X104" i="57"/>
  <c r="AD104" i="57" s="1"/>
  <c r="W104" i="57"/>
  <c r="AC104" i="57" s="1"/>
  <c r="V104" i="57"/>
  <c r="AB104" i="57" s="1"/>
  <c r="X103" i="57"/>
  <c r="AD103" i="57" s="1"/>
  <c r="W103" i="57"/>
  <c r="AC103" i="57" s="1"/>
  <c r="V103" i="57"/>
  <c r="AB103" i="57" s="1"/>
  <c r="X102" i="57"/>
  <c r="AD102" i="57" s="1"/>
  <c r="W102" i="57"/>
  <c r="AC102" i="57" s="1"/>
  <c r="V102" i="57"/>
  <c r="AB102" i="57" s="1"/>
  <c r="X101" i="57"/>
  <c r="AD101" i="57" s="1"/>
  <c r="W101" i="57"/>
  <c r="AC101" i="57" s="1"/>
  <c r="V101" i="57"/>
  <c r="AB101" i="57" s="1"/>
  <c r="X100" i="57"/>
  <c r="AD100" i="57" s="1"/>
  <c r="W100" i="57"/>
  <c r="AC100" i="57" s="1"/>
  <c r="V100" i="57"/>
  <c r="AB100" i="57" s="1"/>
  <c r="X99" i="57"/>
  <c r="AD99" i="57" s="1"/>
  <c r="W99" i="57"/>
  <c r="AC99" i="57" s="1"/>
  <c r="V99" i="57"/>
  <c r="AB99" i="57" s="1"/>
  <c r="X98" i="57"/>
  <c r="AD98" i="57" s="1"/>
  <c r="W98" i="57"/>
  <c r="AC98" i="57" s="1"/>
  <c r="V98" i="57"/>
  <c r="AB98" i="57" s="1"/>
  <c r="X97" i="57"/>
  <c r="AD97" i="57" s="1"/>
  <c r="W97" i="57"/>
  <c r="AC97" i="57" s="1"/>
  <c r="V97" i="57"/>
  <c r="AB97" i="57" s="1"/>
  <c r="X96" i="57"/>
  <c r="AD96" i="57" s="1"/>
  <c r="W96" i="57"/>
  <c r="AC96" i="57" s="1"/>
  <c r="V96" i="57"/>
  <c r="AB96" i="57" s="1"/>
  <c r="X95" i="57"/>
  <c r="AD95" i="57" s="1"/>
  <c r="W95" i="57"/>
  <c r="AC95" i="57" s="1"/>
  <c r="V95" i="57"/>
  <c r="AB95" i="57" s="1"/>
  <c r="X94" i="57"/>
  <c r="AD94" i="57" s="1"/>
  <c r="W94" i="57"/>
  <c r="AC94" i="57" s="1"/>
  <c r="V94" i="57"/>
  <c r="AB94" i="57" s="1"/>
  <c r="X93" i="57"/>
  <c r="AD93" i="57" s="1"/>
  <c r="W93" i="57"/>
  <c r="AC93" i="57" s="1"/>
  <c r="V93" i="57"/>
  <c r="AB93" i="57" s="1"/>
  <c r="X92" i="57"/>
  <c r="AD92" i="57" s="1"/>
  <c r="W92" i="57"/>
  <c r="AC92" i="57" s="1"/>
  <c r="V92" i="57"/>
  <c r="AB92" i="57" s="1"/>
  <c r="X91" i="57"/>
  <c r="AD91" i="57" s="1"/>
  <c r="W91" i="57"/>
  <c r="AC91" i="57" s="1"/>
  <c r="V91" i="57"/>
  <c r="AB91" i="57" s="1"/>
  <c r="X90" i="57"/>
  <c r="AD90" i="57" s="1"/>
  <c r="W90" i="57"/>
  <c r="AC90" i="57" s="1"/>
  <c r="V90" i="57"/>
  <c r="AB90" i="57" s="1"/>
  <c r="X89" i="57"/>
  <c r="AD89" i="57" s="1"/>
  <c r="W89" i="57"/>
  <c r="AC89" i="57" s="1"/>
  <c r="V89" i="57"/>
  <c r="AB89" i="57" s="1"/>
  <c r="X88" i="57"/>
  <c r="AD88" i="57" s="1"/>
  <c r="W88" i="57"/>
  <c r="AC88" i="57" s="1"/>
  <c r="V88" i="57"/>
  <c r="AB88" i="57" s="1"/>
  <c r="X87" i="57"/>
  <c r="AD87" i="57" s="1"/>
  <c r="W87" i="57"/>
  <c r="AC87" i="57" s="1"/>
  <c r="V87" i="57"/>
  <c r="AB87" i="57" s="1"/>
  <c r="X86" i="57"/>
  <c r="AD86" i="57" s="1"/>
  <c r="W86" i="57"/>
  <c r="AC86" i="57" s="1"/>
  <c r="V86" i="57"/>
  <c r="AB86" i="57" s="1"/>
  <c r="X85" i="57"/>
  <c r="AD85" i="57" s="1"/>
  <c r="W85" i="57"/>
  <c r="AC85" i="57" s="1"/>
  <c r="V85" i="57"/>
  <c r="AB85" i="57" s="1"/>
  <c r="X84" i="57"/>
  <c r="AD84" i="57" s="1"/>
  <c r="W84" i="57"/>
  <c r="AC84" i="57" s="1"/>
  <c r="V84" i="57"/>
  <c r="AB84" i="57" s="1"/>
  <c r="X83" i="57"/>
  <c r="AD83" i="57" s="1"/>
  <c r="W83" i="57"/>
  <c r="AC83" i="57" s="1"/>
  <c r="V83" i="57"/>
  <c r="AB83" i="57" s="1"/>
  <c r="X82" i="57"/>
  <c r="AD82" i="57" s="1"/>
  <c r="W82" i="57"/>
  <c r="AC82" i="57" s="1"/>
  <c r="V82" i="57"/>
  <c r="AB82" i="57" s="1"/>
  <c r="X81" i="57"/>
  <c r="AD81" i="57" s="1"/>
  <c r="W81" i="57"/>
  <c r="AC81" i="57" s="1"/>
  <c r="V81" i="57"/>
  <c r="AB81" i="57" s="1"/>
  <c r="X80" i="57"/>
  <c r="AD80" i="57" s="1"/>
  <c r="W80" i="57"/>
  <c r="AC80" i="57" s="1"/>
  <c r="V80" i="57"/>
  <c r="AB80" i="57" s="1"/>
  <c r="X79" i="57"/>
  <c r="AD79" i="57" s="1"/>
  <c r="W79" i="57"/>
  <c r="AC79" i="57" s="1"/>
  <c r="V79" i="57"/>
  <c r="AB79" i="57" s="1"/>
  <c r="X78" i="57"/>
  <c r="AD78" i="57" s="1"/>
  <c r="W78" i="57"/>
  <c r="AC78" i="57" s="1"/>
  <c r="V78" i="57"/>
  <c r="AB78" i="57" s="1"/>
  <c r="X77" i="57"/>
  <c r="AD77" i="57" s="1"/>
  <c r="W77" i="57"/>
  <c r="AC77" i="57" s="1"/>
  <c r="V77" i="57"/>
  <c r="AB77" i="57" s="1"/>
  <c r="X76" i="57"/>
  <c r="AD76" i="57" s="1"/>
  <c r="W76" i="57"/>
  <c r="AC76" i="57" s="1"/>
  <c r="V76" i="57"/>
  <c r="AB76" i="57" s="1"/>
  <c r="X75" i="57"/>
  <c r="AD75" i="57" s="1"/>
  <c r="W75" i="57"/>
  <c r="AC75" i="57" s="1"/>
  <c r="V75" i="57"/>
  <c r="AB75" i="57" s="1"/>
  <c r="X74" i="57"/>
  <c r="AD74" i="57" s="1"/>
  <c r="W74" i="57"/>
  <c r="AC74" i="57" s="1"/>
  <c r="V74" i="57"/>
  <c r="AB74" i="57" s="1"/>
  <c r="X73" i="57"/>
  <c r="AD73" i="57" s="1"/>
  <c r="W73" i="57"/>
  <c r="AC73" i="57" s="1"/>
  <c r="V73" i="57"/>
  <c r="AB73" i="57" s="1"/>
  <c r="X72" i="57"/>
  <c r="AD72" i="57" s="1"/>
  <c r="W72" i="57"/>
  <c r="AC72" i="57" s="1"/>
  <c r="V72" i="57"/>
  <c r="AB72" i="57" s="1"/>
  <c r="X71" i="57"/>
  <c r="AD71" i="57" s="1"/>
  <c r="W71" i="57"/>
  <c r="AC71" i="57" s="1"/>
  <c r="V71" i="57"/>
  <c r="AB71" i="57" s="1"/>
  <c r="X70" i="57"/>
  <c r="AD70" i="57" s="1"/>
  <c r="W70" i="57"/>
  <c r="AC70" i="57" s="1"/>
  <c r="V70" i="57"/>
  <c r="AB70" i="57" s="1"/>
  <c r="X69" i="57"/>
  <c r="AD69" i="57" s="1"/>
  <c r="W69" i="57"/>
  <c r="AC69" i="57" s="1"/>
  <c r="V69" i="57"/>
  <c r="AB69" i="57" s="1"/>
  <c r="X68" i="57"/>
  <c r="AD68" i="57" s="1"/>
  <c r="W68" i="57"/>
  <c r="AC68" i="57" s="1"/>
  <c r="V68" i="57"/>
  <c r="AB68" i="57" s="1"/>
  <c r="X67" i="57"/>
  <c r="AD67" i="57" s="1"/>
  <c r="W67" i="57"/>
  <c r="AC67" i="57" s="1"/>
  <c r="V67" i="57"/>
  <c r="AB67" i="57" s="1"/>
  <c r="X66" i="57"/>
  <c r="AD66" i="57" s="1"/>
  <c r="W66" i="57"/>
  <c r="AC66" i="57" s="1"/>
  <c r="V66" i="57"/>
  <c r="AB66" i="57" s="1"/>
  <c r="X65" i="57"/>
  <c r="AD65" i="57" s="1"/>
  <c r="W65" i="57"/>
  <c r="AC65" i="57" s="1"/>
  <c r="V65" i="57"/>
  <c r="AB65" i="57" s="1"/>
  <c r="X64" i="57"/>
  <c r="AD64" i="57" s="1"/>
  <c r="W64" i="57"/>
  <c r="AC64" i="57" s="1"/>
  <c r="V64" i="57"/>
  <c r="AB64" i="57" s="1"/>
  <c r="X63" i="57"/>
  <c r="AD63" i="57" s="1"/>
  <c r="W63" i="57"/>
  <c r="AC63" i="57" s="1"/>
  <c r="V63" i="57"/>
  <c r="AB63" i="57" s="1"/>
  <c r="X62" i="57"/>
  <c r="AD62" i="57" s="1"/>
  <c r="W62" i="57"/>
  <c r="AC62" i="57" s="1"/>
  <c r="V62" i="57"/>
  <c r="AB62" i="57" s="1"/>
  <c r="X61" i="57"/>
  <c r="AD61" i="57" s="1"/>
  <c r="W61" i="57"/>
  <c r="AC61" i="57" s="1"/>
  <c r="V61" i="57"/>
  <c r="AB61" i="57" s="1"/>
  <c r="X60" i="57"/>
  <c r="AD60" i="57" s="1"/>
  <c r="W60" i="57"/>
  <c r="AC60" i="57" s="1"/>
  <c r="V60" i="57"/>
  <c r="AB60" i="57" s="1"/>
  <c r="X59" i="57"/>
  <c r="AD59" i="57" s="1"/>
  <c r="W59" i="57"/>
  <c r="AC59" i="57" s="1"/>
  <c r="V59" i="57"/>
  <c r="AB59" i="57" s="1"/>
  <c r="X58" i="57"/>
  <c r="AD58" i="57" s="1"/>
  <c r="W58" i="57"/>
  <c r="AC58" i="57" s="1"/>
  <c r="V58" i="57"/>
  <c r="AB58" i="57" s="1"/>
  <c r="X57" i="57"/>
  <c r="AD57" i="57" s="1"/>
  <c r="W57" i="57"/>
  <c r="AC57" i="57" s="1"/>
  <c r="V57" i="57"/>
  <c r="AB57" i="57" s="1"/>
  <c r="X56" i="57"/>
  <c r="AD56" i="57" s="1"/>
  <c r="W56" i="57"/>
  <c r="AC56" i="57" s="1"/>
  <c r="V56" i="57"/>
  <c r="AB56" i="57" s="1"/>
  <c r="X55" i="57"/>
  <c r="AD55" i="57" s="1"/>
  <c r="W55" i="57"/>
  <c r="AC55" i="57" s="1"/>
  <c r="V55" i="57"/>
  <c r="AB55" i="57" s="1"/>
  <c r="X54" i="57"/>
  <c r="AD54" i="57" s="1"/>
  <c r="W54" i="57"/>
  <c r="AC54" i="57" s="1"/>
  <c r="V54" i="57"/>
  <c r="AB54" i="57" s="1"/>
  <c r="X53" i="57"/>
  <c r="AD53" i="57" s="1"/>
  <c r="W53" i="57"/>
  <c r="AC53" i="57" s="1"/>
  <c r="V53" i="57"/>
  <c r="AB53" i="57" s="1"/>
  <c r="X52" i="57"/>
  <c r="AD52" i="57" s="1"/>
  <c r="W52" i="57"/>
  <c r="AC52" i="57" s="1"/>
  <c r="V52" i="57"/>
  <c r="AB52" i="57" s="1"/>
  <c r="X51" i="57"/>
  <c r="AD51" i="57" s="1"/>
  <c r="W51" i="57"/>
  <c r="AC51" i="57" s="1"/>
  <c r="V51" i="57"/>
  <c r="AB51" i="57" s="1"/>
  <c r="X50" i="57"/>
  <c r="AD50" i="57" s="1"/>
  <c r="W50" i="57"/>
  <c r="AC50" i="57" s="1"/>
  <c r="V50" i="57"/>
  <c r="AB50" i="57" s="1"/>
  <c r="X49" i="57"/>
  <c r="AD49" i="57" s="1"/>
  <c r="W49" i="57"/>
  <c r="AC49" i="57" s="1"/>
  <c r="V49" i="57"/>
  <c r="AB49" i="57" s="1"/>
  <c r="X48" i="57"/>
  <c r="AD48" i="57" s="1"/>
  <c r="W48" i="57"/>
  <c r="AC48" i="57" s="1"/>
  <c r="V48" i="57"/>
  <c r="AB48" i="57" s="1"/>
  <c r="X47" i="57"/>
  <c r="AD47" i="57" s="1"/>
  <c r="W47" i="57"/>
  <c r="AC47" i="57" s="1"/>
  <c r="V47" i="57"/>
  <c r="AB47" i="57" s="1"/>
  <c r="X46" i="57"/>
  <c r="AD46" i="57" s="1"/>
  <c r="W46" i="57"/>
  <c r="AC46" i="57" s="1"/>
  <c r="V46" i="57"/>
  <c r="AB46" i="57" s="1"/>
  <c r="X45" i="57"/>
  <c r="AD45" i="57" s="1"/>
  <c r="W45" i="57"/>
  <c r="AC45" i="57" s="1"/>
  <c r="V45" i="57"/>
  <c r="AB45" i="57" s="1"/>
  <c r="X44" i="57"/>
  <c r="AD44" i="57" s="1"/>
  <c r="W44" i="57"/>
  <c r="AC44" i="57" s="1"/>
  <c r="V44" i="57"/>
  <c r="AB44" i="57" s="1"/>
  <c r="X43" i="57"/>
  <c r="AD43" i="57" s="1"/>
  <c r="W43" i="57"/>
  <c r="AC43" i="57" s="1"/>
  <c r="V43" i="57"/>
  <c r="AB43" i="57" s="1"/>
  <c r="X42" i="57"/>
  <c r="AD42" i="57" s="1"/>
  <c r="W42" i="57"/>
  <c r="AC42" i="57" s="1"/>
  <c r="V42" i="57"/>
  <c r="AB42" i="57" s="1"/>
  <c r="X41" i="57"/>
  <c r="AD41" i="57" s="1"/>
  <c r="W41" i="57"/>
  <c r="AC41" i="57" s="1"/>
  <c r="V41" i="57"/>
  <c r="AB41" i="57" s="1"/>
  <c r="X40" i="57"/>
  <c r="AD40" i="57" s="1"/>
  <c r="W40" i="57"/>
  <c r="AC40" i="57" s="1"/>
  <c r="V40" i="57"/>
  <c r="AB40" i="57" s="1"/>
  <c r="X39" i="57"/>
  <c r="AD39" i="57" s="1"/>
  <c r="W39" i="57"/>
  <c r="AC39" i="57" s="1"/>
  <c r="V39" i="57"/>
  <c r="AB39" i="57" s="1"/>
  <c r="X38" i="57"/>
  <c r="AD38" i="57" s="1"/>
  <c r="W38" i="57"/>
  <c r="AC38" i="57" s="1"/>
  <c r="V38" i="57"/>
  <c r="AB38" i="57" s="1"/>
  <c r="X37" i="57"/>
  <c r="AD37" i="57" s="1"/>
  <c r="W37" i="57"/>
  <c r="AC37" i="57" s="1"/>
  <c r="V37" i="57"/>
  <c r="AB37" i="57" s="1"/>
  <c r="X36" i="57"/>
  <c r="AD36" i="57" s="1"/>
  <c r="W36" i="57"/>
  <c r="AC36" i="57" s="1"/>
  <c r="V36" i="57"/>
  <c r="AB36" i="57" s="1"/>
  <c r="X35" i="57"/>
  <c r="AD35" i="57" s="1"/>
  <c r="W35" i="57"/>
  <c r="AC35" i="57" s="1"/>
  <c r="V35" i="57"/>
  <c r="AB35" i="57" s="1"/>
  <c r="X34" i="57"/>
  <c r="AD34" i="57" s="1"/>
  <c r="W34" i="57"/>
  <c r="AC34" i="57" s="1"/>
  <c r="V34" i="57"/>
  <c r="AB34" i="57" s="1"/>
  <c r="X33" i="57"/>
  <c r="AD33" i="57" s="1"/>
  <c r="W33" i="57"/>
  <c r="AC33" i="57" s="1"/>
  <c r="V33" i="57"/>
  <c r="AB33" i="57" s="1"/>
  <c r="X32" i="57"/>
  <c r="AD32" i="57" s="1"/>
  <c r="W32" i="57"/>
  <c r="AC32" i="57" s="1"/>
  <c r="V32" i="57"/>
  <c r="AB32" i="57" s="1"/>
  <c r="X31" i="57"/>
  <c r="AD31" i="57" s="1"/>
  <c r="W31" i="57"/>
  <c r="AC31" i="57" s="1"/>
  <c r="V31" i="57"/>
  <c r="AB31" i="57" s="1"/>
  <c r="X30" i="57"/>
  <c r="AD30" i="57" s="1"/>
  <c r="W30" i="57"/>
  <c r="AC30" i="57" s="1"/>
  <c r="V30" i="57"/>
  <c r="AB30" i="57" s="1"/>
  <c r="X29" i="57"/>
  <c r="AD29" i="57" s="1"/>
  <c r="W29" i="57"/>
  <c r="AC29" i="57" s="1"/>
  <c r="V29" i="57"/>
  <c r="AB29" i="57" s="1"/>
  <c r="X28" i="57"/>
  <c r="AD28" i="57" s="1"/>
  <c r="W28" i="57"/>
  <c r="AC28" i="57" s="1"/>
  <c r="V28" i="57"/>
  <c r="AB28" i="57" s="1"/>
  <c r="X27" i="57"/>
  <c r="AD27" i="57" s="1"/>
  <c r="W27" i="57"/>
  <c r="AC27" i="57" s="1"/>
  <c r="V27" i="57"/>
  <c r="AB27" i="57" s="1"/>
  <c r="X26" i="57"/>
  <c r="AD26" i="57" s="1"/>
  <c r="W26" i="57"/>
  <c r="AC26" i="57" s="1"/>
  <c r="V26" i="57"/>
  <c r="AB26" i="57" s="1"/>
  <c r="X25" i="57"/>
  <c r="AD25" i="57" s="1"/>
  <c r="W25" i="57"/>
  <c r="AC25" i="57" s="1"/>
  <c r="V25" i="57"/>
  <c r="AB25" i="57" s="1"/>
  <c r="X24" i="57"/>
  <c r="AD24" i="57" s="1"/>
  <c r="W24" i="57"/>
  <c r="AC24" i="57" s="1"/>
  <c r="V24" i="57"/>
  <c r="AB24" i="57" s="1"/>
  <c r="X23" i="57"/>
  <c r="AD23" i="57" s="1"/>
  <c r="W23" i="57"/>
  <c r="AC23" i="57" s="1"/>
  <c r="V23" i="57"/>
  <c r="AB23" i="57" s="1"/>
  <c r="X22" i="57"/>
  <c r="AD22" i="57" s="1"/>
  <c r="W22" i="57"/>
  <c r="AC22" i="57" s="1"/>
  <c r="V22" i="57"/>
  <c r="AB22" i="57" s="1"/>
  <c r="X21" i="57"/>
  <c r="AD21" i="57" s="1"/>
  <c r="W21" i="57"/>
  <c r="AC21" i="57" s="1"/>
  <c r="V21" i="57"/>
  <c r="AB21" i="57" s="1"/>
  <c r="X20" i="57"/>
  <c r="AD20" i="57" s="1"/>
  <c r="W20" i="57"/>
  <c r="AC20" i="57" s="1"/>
  <c r="V20" i="57"/>
  <c r="AB20" i="57" s="1"/>
  <c r="X19" i="57"/>
  <c r="AD19" i="57" s="1"/>
  <c r="W19" i="57"/>
  <c r="AC19" i="57" s="1"/>
  <c r="V19" i="57"/>
  <c r="AB19" i="57" s="1"/>
  <c r="X18" i="57"/>
  <c r="AD18" i="57" s="1"/>
  <c r="W18" i="57"/>
  <c r="AC18" i="57" s="1"/>
  <c r="V18" i="57"/>
  <c r="AB18" i="57" s="1"/>
  <c r="X17" i="57"/>
  <c r="AD17" i="57" s="1"/>
  <c r="W17" i="57"/>
  <c r="AC17" i="57" s="1"/>
  <c r="V17" i="57"/>
  <c r="AB17" i="57" s="1"/>
  <c r="X16" i="57"/>
  <c r="AD16" i="57" s="1"/>
  <c r="W16" i="57"/>
  <c r="AC16" i="57" s="1"/>
  <c r="V16" i="57"/>
  <c r="AB16" i="57" s="1"/>
  <c r="X15" i="57"/>
  <c r="AD15" i="57" s="1"/>
  <c r="W15" i="57"/>
  <c r="AC15" i="57" s="1"/>
  <c r="V15" i="57"/>
  <c r="AB15" i="57" s="1"/>
  <c r="X14" i="57"/>
  <c r="AD14" i="57" s="1"/>
  <c r="W14" i="57"/>
  <c r="AC14" i="57" s="1"/>
  <c r="V14" i="57"/>
  <c r="AB14" i="57" s="1"/>
  <c r="X13" i="57"/>
  <c r="AD13" i="57" s="1"/>
  <c r="W13" i="57"/>
  <c r="AC13" i="57" s="1"/>
  <c r="V13" i="57"/>
  <c r="AB13" i="57" s="1"/>
  <c r="X12" i="57"/>
  <c r="AD12" i="57" s="1"/>
  <c r="W12" i="57"/>
  <c r="AC12" i="57" s="1"/>
  <c r="V12" i="57"/>
  <c r="AB12" i="57" s="1"/>
  <c r="X11" i="57"/>
  <c r="AD11" i="57" s="1"/>
  <c r="W11" i="57"/>
  <c r="AC11" i="57" s="1"/>
  <c r="V11" i="57"/>
  <c r="AB11" i="57" s="1"/>
  <c r="X10" i="57"/>
  <c r="AD10" i="57" s="1"/>
  <c r="W10" i="57"/>
  <c r="AC10" i="57" s="1"/>
  <c r="V10" i="57"/>
  <c r="AB10" i="57" s="1"/>
  <c r="X9" i="57"/>
  <c r="AD9" i="57" s="1"/>
  <c r="W9" i="57"/>
  <c r="AC9" i="57" s="1"/>
  <c r="V9" i="57"/>
  <c r="AB9" i="57" s="1"/>
  <c r="X8" i="57"/>
  <c r="AD8" i="57" s="1"/>
  <c r="W8" i="57"/>
  <c r="AC8" i="57" s="1"/>
  <c r="V8" i="57"/>
  <c r="AB8" i="57" s="1"/>
  <c r="X7" i="57"/>
  <c r="AD7" i="57" s="1"/>
  <c r="W7" i="57"/>
  <c r="AC7" i="57" s="1"/>
  <c r="V7" i="57"/>
  <c r="AB7" i="57" s="1"/>
  <c r="X6" i="57"/>
  <c r="AD6" i="57" s="1"/>
  <c r="W6" i="57"/>
  <c r="AC6" i="57" s="1"/>
  <c r="V6" i="57"/>
  <c r="AB6" i="57" s="1"/>
  <c r="X5" i="57"/>
  <c r="AD5" i="57" s="1"/>
  <c r="W5" i="57"/>
  <c r="AC5" i="57" s="1"/>
  <c r="V5" i="57"/>
  <c r="AB5" i="57" s="1"/>
  <c r="X4" i="57"/>
  <c r="AD4" i="57" s="1"/>
  <c r="W4" i="57"/>
  <c r="AC4" i="57" s="1"/>
  <c r="V4" i="57"/>
  <c r="AB4" i="57" s="1"/>
  <c r="X3" i="57"/>
  <c r="AD3" i="57" s="1"/>
  <c r="W3" i="57"/>
  <c r="AC3" i="57" s="1"/>
  <c r="V3" i="57"/>
  <c r="AB3" i="57" s="1"/>
  <c r="X2" i="57"/>
  <c r="AD2" i="57" s="1"/>
  <c r="W2" i="57"/>
  <c r="AC2" i="57" s="1"/>
  <c r="V2" i="57"/>
  <c r="AB2" i="57" s="1"/>
  <c r="AD71" i="47"/>
  <c r="AB71" i="47"/>
  <c r="AA71" i="47"/>
  <c r="AA71" i="48" s="1"/>
  <c r="Z71" i="47"/>
  <c r="Y71" i="47"/>
  <c r="X71" i="47"/>
  <c r="AD70" i="47"/>
  <c r="AB70" i="47"/>
  <c r="AA70" i="47"/>
  <c r="AA70" i="48" s="1"/>
  <c r="Z70" i="47"/>
  <c r="Y70" i="47"/>
  <c r="X70" i="47"/>
  <c r="AD69" i="47"/>
  <c r="AB69" i="47"/>
  <c r="AA69" i="47"/>
  <c r="AA69" i="48" s="1"/>
  <c r="Z69" i="47"/>
  <c r="Y69" i="47"/>
  <c r="X69" i="47"/>
  <c r="AD68" i="47"/>
  <c r="AB68" i="47"/>
  <c r="AA68" i="47"/>
  <c r="AA68" i="48" s="1"/>
  <c r="Z68" i="47"/>
  <c r="Y68" i="47"/>
  <c r="X68" i="47"/>
  <c r="AD67" i="47"/>
  <c r="AB67" i="47"/>
  <c r="AA67" i="47"/>
  <c r="AA67" i="48" s="1"/>
  <c r="Z67" i="47"/>
  <c r="Y67" i="47"/>
  <c r="X67" i="47"/>
  <c r="AD66" i="47"/>
  <c r="AB66" i="47"/>
  <c r="AA66" i="47"/>
  <c r="AA66" i="48" s="1"/>
  <c r="Z66" i="47"/>
  <c r="Y66" i="47"/>
  <c r="X66" i="47"/>
  <c r="AD65" i="47"/>
  <c r="AB65" i="47"/>
  <c r="AA65" i="47"/>
  <c r="AA65" i="48" s="1"/>
  <c r="Z65" i="47"/>
  <c r="Y65" i="47"/>
  <c r="X65" i="47"/>
  <c r="AD64" i="47"/>
  <c r="AB64" i="47"/>
  <c r="AA64" i="47"/>
  <c r="AA64" i="48" s="1"/>
  <c r="Z64" i="47"/>
  <c r="Y64" i="47"/>
  <c r="X64" i="47"/>
  <c r="AD63" i="47"/>
  <c r="AB63" i="47"/>
  <c r="AA63" i="47"/>
  <c r="AA63" i="48" s="1"/>
  <c r="Z63" i="47"/>
  <c r="Y63" i="47"/>
  <c r="X63" i="47"/>
  <c r="AD62" i="47"/>
  <c r="AB62" i="47"/>
  <c r="AA62" i="47"/>
  <c r="Z62" i="47"/>
  <c r="Y62" i="47"/>
  <c r="X62" i="47"/>
  <c r="AD61" i="47"/>
  <c r="AB61" i="47"/>
  <c r="AA61" i="47"/>
  <c r="AA61" i="48" s="1"/>
  <c r="Z61" i="47"/>
  <c r="Y61" i="47"/>
  <c r="X61" i="47"/>
  <c r="AD60" i="47"/>
  <c r="AB60" i="47"/>
  <c r="AA60" i="47"/>
  <c r="AA60" i="48" s="1"/>
  <c r="Z60" i="47"/>
  <c r="Y60" i="47"/>
  <c r="X60" i="47"/>
  <c r="AD59" i="47"/>
  <c r="AB59" i="47"/>
  <c r="AA59" i="47"/>
  <c r="AA59" i="48" s="1"/>
  <c r="Z59" i="47"/>
  <c r="Y59" i="47"/>
  <c r="X59" i="47"/>
  <c r="AD58" i="47"/>
  <c r="AB58" i="47"/>
  <c r="AA58" i="47"/>
  <c r="Z58" i="47"/>
  <c r="Y58" i="47"/>
  <c r="X58" i="47"/>
  <c r="AD57" i="47"/>
  <c r="AB57" i="47"/>
  <c r="AA57" i="47"/>
  <c r="AA57" i="48" s="1"/>
  <c r="Z57" i="47"/>
  <c r="Y57" i="47"/>
  <c r="X57" i="47"/>
  <c r="AD56" i="47"/>
  <c r="AB56" i="47"/>
  <c r="AA56" i="47"/>
  <c r="AA56" i="48" s="1"/>
  <c r="Z56" i="47"/>
  <c r="Y56" i="47"/>
  <c r="X56" i="47"/>
  <c r="AD55" i="47"/>
  <c r="AB55" i="47"/>
  <c r="AA55" i="47"/>
  <c r="AA55" i="48" s="1"/>
  <c r="Z55" i="47"/>
  <c r="Y55" i="47"/>
  <c r="X55" i="47"/>
  <c r="AD54" i="47"/>
  <c r="AB54" i="47"/>
  <c r="AA54" i="47"/>
  <c r="Z54" i="47"/>
  <c r="Y54" i="47"/>
  <c r="X54" i="47"/>
  <c r="AD53" i="47"/>
  <c r="AB53" i="47"/>
  <c r="AA53" i="47"/>
  <c r="AA53" i="48" s="1"/>
  <c r="Z53" i="47"/>
  <c r="Y53" i="47"/>
  <c r="X53" i="47"/>
  <c r="AD52" i="47"/>
  <c r="AB52" i="47"/>
  <c r="AA52" i="47"/>
  <c r="AA52" i="48" s="1"/>
  <c r="Z52" i="47"/>
  <c r="Y52" i="47"/>
  <c r="X52" i="47"/>
  <c r="AD51" i="47"/>
  <c r="AB51" i="47"/>
  <c r="AA51" i="47"/>
  <c r="AA51" i="48" s="1"/>
  <c r="Z51" i="47"/>
  <c r="Y51" i="47"/>
  <c r="X51" i="47"/>
  <c r="AD50" i="47"/>
  <c r="AB50" i="47"/>
  <c r="AA50" i="47"/>
  <c r="Z50" i="47"/>
  <c r="Y50" i="47"/>
  <c r="X50" i="47"/>
  <c r="AD49" i="47"/>
  <c r="AB49" i="47"/>
  <c r="AA49" i="47"/>
  <c r="AA49" i="48" s="1"/>
  <c r="Z49" i="47"/>
  <c r="Y49" i="47"/>
  <c r="X49" i="47"/>
  <c r="AD48" i="47"/>
  <c r="AB48" i="47"/>
  <c r="AA48" i="47"/>
  <c r="AA48" i="48" s="1"/>
  <c r="Z48" i="47"/>
  <c r="Y48" i="47"/>
  <c r="X48" i="47"/>
  <c r="AD47" i="47"/>
  <c r="AB47" i="47"/>
  <c r="AA47" i="47"/>
  <c r="AA47" i="48" s="1"/>
  <c r="Z47" i="47"/>
  <c r="Y47" i="47"/>
  <c r="X47" i="47"/>
  <c r="AD46" i="47"/>
  <c r="AB46" i="47"/>
  <c r="AA46" i="47"/>
  <c r="Z46" i="47"/>
  <c r="Y46" i="47"/>
  <c r="X46" i="47"/>
  <c r="AD45" i="47"/>
  <c r="AC45" i="47"/>
  <c r="AB45" i="47"/>
  <c r="AA45" i="47"/>
  <c r="Z45" i="47"/>
  <c r="Z45" i="48" s="1"/>
  <c r="Y45" i="47"/>
  <c r="X45" i="47"/>
  <c r="W45" i="47"/>
  <c r="V45" i="47"/>
  <c r="U45" i="47"/>
  <c r="AD44" i="47"/>
  <c r="AB44" i="47"/>
  <c r="AA44" i="47"/>
  <c r="Z44" i="47"/>
  <c r="Y44" i="47"/>
  <c r="X44" i="47"/>
  <c r="AD43" i="47"/>
  <c r="AB43" i="47"/>
  <c r="AA43" i="47"/>
  <c r="AA43" i="48" s="1"/>
  <c r="Z43" i="47"/>
  <c r="Y43" i="47"/>
  <c r="X43" i="47"/>
  <c r="AD42" i="47"/>
  <c r="AB42" i="47"/>
  <c r="AA42" i="47"/>
  <c r="Z42" i="47"/>
  <c r="Y42" i="47"/>
  <c r="X42" i="47"/>
  <c r="AD41" i="47"/>
  <c r="AB41" i="47"/>
  <c r="AA41" i="47"/>
  <c r="AA41" i="48" s="1"/>
  <c r="Z41" i="47"/>
  <c r="Z41" i="48" s="1"/>
  <c r="Y41" i="47"/>
  <c r="X41" i="47"/>
  <c r="AD40" i="47"/>
  <c r="AC40" i="47"/>
  <c r="AB40" i="47"/>
  <c r="AA40" i="47"/>
  <c r="Z40" i="47"/>
  <c r="Z40" i="48" s="1"/>
  <c r="Y40" i="47"/>
  <c r="X40" i="47"/>
  <c r="W40" i="47"/>
  <c r="V40" i="47"/>
  <c r="U40" i="47"/>
  <c r="AD39" i="47"/>
  <c r="AC39" i="47"/>
  <c r="AB39" i="47"/>
  <c r="AA39" i="47"/>
  <c r="Z39" i="47"/>
  <c r="Y39" i="47"/>
  <c r="X39" i="47"/>
  <c r="W39" i="47"/>
  <c r="V39" i="47"/>
  <c r="U39" i="47"/>
  <c r="AD38" i="47"/>
  <c r="AC38" i="47"/>
  <c r="AB38" i="47"/>
  <c r="AA38" i="47"/>
  <c r="Z38" i="47"/>
  <c r="Y38" i="47"/>
  <c r="X38" i="47"/>
  <c r="W38" i="47"/>
  <c r="V38" i="47"/>
  <c r="U38" i="47"/>
  <c r="AD37" i="47"/>
  <c r="AC37" i="47"/>
  <c r="AB37" i="47"/>
  <c r="AA37" i="47"/>
  <c r="AA37" i="48" s="1"/>
  <c r="Z37" i="47"/>
  <c r="Z37" i="48" s="1"/>
  <c r="Y37" i="47"/>
  <c r="X37" i="47"/>
  <c r="W37" i="47"/>
  <c r="V37" i="47"/>
  <c r="U37" i="47"/>
  <c r="AD36" i="47"/>
  <c r="AC36" i="47"/>
  <c r="AB36" i="47"/>
  <c r="AA36" i="47"/>
  <c r="AA36" i="48" s="1"/>
  <c r="Z36" i="47"/>
  <c r="Z36" i="48" s="1"/>
  <c r="Y36" i="47"/>
  <c r="X36" i="47"/>
  <c r="W36" i="47"/>
  <c r="V36" i="47"/>
  <c r="U36" i="47"/>
  <c r="AD35" i="47"/>
  <c r="AC35" i="47"/>
  <c r="AB35" i="47"/>
  <c r="AA35" i="47"/>
  <c r="Z35" i="47"/>
  <c r="Y35" i="47"/>
  <c r="X35" i="47"/>
  <c r="W35" i="47"/>
  <c r="V35" i="47"/>
  <c r="U35" i="47"/>
  <c r="AD34" i="47"/>
  <c r="AC34" i="47"/>
  <c r="AB34" i="47"/>
  <c r="AA34" i="47"/>
  <c r="Z34" i="47"/>
  <c r="Z34" i="48" s="1"/>
  <c r="Y34" i="47"/>
  <c r="X34" i="47"/>
  <c r="W34" i="47"/>
  <c r="V34" i="47"/>
  <c r="U34" i="47"/>
  <c r="AD33" i="47"/>
  <c r="AC33" i="47"/>
  <c r="AB33" i="47"/>
  <c r="AA33" i="47"/>
  <c r="AA33" i="48" s="1"/>
  <c r="Z33" i="47"/>
  <c r="Z33" i="48" s="1"/>
  <c r="Y33" i="47"/>
  <c r="X33" i="47"/>
  <c r="W33" i="47"/>
  <c r="V33" i="47"/>
  <c r="U33" i="47"/>
  <c r="AD32" i="47"/>
  <c r="AC32" i="47"/>
  <c r="AB32" i="47"/>
  <c r="AA32" i="47"/>
  <c r="Z32" i="47"/>
  <c r="Y32" i="47"/>
  <c r="X32" i="47"/>
  <c r="W32" i="47"/>
  <c r="V32" i="47"/>
  <c r="U32" i="47"/>
  <c r="AD31" i="47"/>
  <c r="AC31" i="47"/>
  <c r="AB31" i="47"/>
  <c r="AA31" i="47"/>
  <c r="Z31" i="47"/>
  <c r="Z31" i="48" s="1"/>
  <c r="Y31" i="47"/>
  <c r="X31" i="47"/>
  <c r="W31" i="47"/>
  <c r="V31" i="47"/>
  <c r="U31" i="47"/>
  <c r="AD30" i="47"/>
  <c r="AC30" i="47"/>
  <c r="AB30" i="47"/>
  <c r="AA30" i="47"/>
  <c r="Z30" i="47"/>
  <c r="Z30" i="48" s="1"/>
  <c r="Y30" i="47"/>
  <c r="X30" i="47"/>
  <c r="W30" i="47"/>
  <c r="V30" i="47"/>
  <c r="U30" i="47"/>
  <c r="AD29" i="47"/>
  <c r="AC29" i="47"/>
  <c r="AB29" i="47"/>
  <c r="AA29" i="47"/>
  <c r="Z29" i="47"/>
  <c r="Z29" i="48" s="1"/>
  <c r="Y29" i="47"/>
  <c r="X29" i="47"/>
  <c r="W29" i="47"/>
  <c r="V29" i="47"/>
  <c r="U29" i="47"/>
  <c r="AD28" i="47"/>
  <c r="AC28" i="47"/>
  <c r="AB28" i="47"/>
  <c r="AA28" i="47"/>
  <c r="Z28" i="47"/>
  <c r="Z28" i="48" s="1"/>
  <c r="Y28" i="47"/>
  <c r="X28" i="47"/>
  <c r="W28" i="47"/>
  <c r="V28" i="47"/>
  <c r="U28" i="47"/>
  <c r="AD27" i="47"/>
  <c r="AC27" i="47"/>
  <c r="AB27" i="47"/>
  <c r="AA27" i="47"/>
  <c r="Z27" i="47"/>
  <c r="Y27" i="47"/>
  <c r="X27" i="47"/>
  <c r="W27" i="47"/>
  <c r="V27" i="47"/>
  <c r="U27" i="47"/>
  <c r="AD26" i="47"/>
  <c r="AC26" i="47"/>
  <c r="AB26" i="47"/>
  <c r="AA26" i="47"/>
  <c r="Z26" i="47"/>
  <c r="Y26" i="47"/>
  <c r="X26" i="47"/>
  <c r="W26" i="47"/>
  <c r="V26" i="47"/>
  <c r="U26" i="47"/>
  <c r="AD25" i="47"/>
  <c r="AC25" i="47"/>
  <c r="AB25" i="47"/>
  <c r="AA25" i="47"/>
  <c r="AA25" i="48" s="1"/>
  <c r="Z25" i="47"/>
  <c r="Z25" i="48" s="1"/>
  <c r="Y25" i="47"/>
  <c r="X25" i="47"/>
  <c r="W25" i="47"/>
  <c r="V25" i="47"/>
  <c r="U25" i="47"/>
  <c r="AD24" i="47"/>
  <c r="AC24" i="47"/>
  <c r="AB24" i="47"/>
  <c r="AA24" i="47"/>
  <c r="AA24" i="48" s="1"/>
  <c r="Z24" i="47"/>
  <c r="Z24" i="48" s="1"/>
  <c r="Y24" i="47"/>
  <c r="X24" i="47"/>
  <c r="W24" i="47"/>
  <c r="V24" i="47"/>
  <c r="U24" i="47"/>
  <c r="AD23" i="47"/>
  <c r="AC23" i="47"/>
  <c r="AB23" i="47"/>
  <c r="AA23" i="47"/>
  <c r="Z23" i="47"/>
  <c r="Y23" i="47"/>
  <c r="X23" i="47"/>
  <c r="W23" i="47"/>
  <c r="V23" i="47"/>
  <c r="U23" i="47"/>
  <c r="AD22" i="47"/>
  <c r="AC22" i="47"/>
  <c r="AB22" i="47"/>
  <c r="AA22" i="47"/>
  <c r="Z22" i="47"/>
  <c r="Z22" i="48" s="1"/>
  <c r="Y22" i="47"/>
  <c r="X22" i="47"/>
  <c r="W22" i="47"/>
  <c r="V22" i="47"/>
  <c r="U22" i="47"/>
  <c r="AD21" i="47"/>
  <c r="AC21" i="47"/>
  <c r="AB21" i="47"/>
  <c r="AA21" i="47"/>
  <c r="AA21" i="48" s="1"/>
  <c r="Z21" i="47"/>
  <c r="Z21" i="48" s="1"/>
  <c r="Y21" i="47"/>
  <c r="X21" i="47"/>
  <c r="W21" i="47"/>
  <c r="V21" i="47"/>
  <c r="U21" i="47"/>
  <c r="AD20" i="47"/>
  <c r="AC20" i="47"/>
  <c r="AB20" i="47"/>
  <c r="AA20" i="47"/>
  <c r="Z20" i="47"/>
  <c r="Y20" i="47"/>
  <c r="X20" i="47"/>
  <c r="W20" i="47"/>
  <c r="V20" i="47"/>
  <c r="U20" i="47"/>
  <c r="AD19" i="47"/>
  <c r="AC19" i="47"/>
  <c r="AB19" i="47"/>
  <c r="AA19" i="47"/>
  <c r="Z19" i="47"/>
  <c r="Z19" i="48" s="1"/>
  <c r="Y19" i="47"/>
  <c r="X19" i="47"/>
  <c r="W19" i="47"/>
  <c r="V19" i="47"/>
  <c r="U19" i="47"/>
  <c r="AD18" i="47"/>
  <c r="AC18" i="47"/>
  <c r="AB18" i="47"/>
  <c r="AA18" i="47"/>
  <c r="Z18" i="47"/>
  <c r="Z18" i="48" s="1"/>
  <c r="Y18" i="47"/>
  <c r="X18" i="47"/>
  <c r="W18" i="47"/>
  <c r="V18" i="47"/>
  <c r="U18" i="47"/>
  <c r="AD17" i="47"/>
  <c r="AC17" i="47"/>
  <c r="AB17" i="47"/>
  <c r="AA17" i="47"/>
  <c r="Z17" i="47"/>
  <c r="Z17" i="48" s="1"/>
  <c r="Y17" i="47"/>
  <c r="X17" i="47"/>
  <c r="W17" i="47"/>
  <c r="V17" i="47"/>
  <c r="U17" i="47"/>
  <c r="AD16" i="47"/>
  <c r="AC16" i="47"/>
  <c r="AB16" i="47"/>
  <c r="AA16" i="47"/>
  <c r="Z16" i="47"/>
  <c r="Z16" i="48" s="1"/>
  <c r="Y16" i="47"/>
  <c r="X16" i="47"/>
  <c r="W16" i="47"/>
  <c r="V16" i="47"/>
  <c r="U16" i="47"/>
  <c r="AD15" i="47"/>
  <c r="AC15" i="47"/>
  <c r="AB15" i="47"/>
  <c r="AA15" i="47"/>
  <c r="Z15" i="47"/>
  <c r="Y15" i="47"/>
  <c r="X15" i="47"/>
  <c r="W15" i="47"/>
  <c r="V15" i="47"/>
  <c r="U15" i="47"/>
  <c r="AD14" i="47"/>
  <c r="AC14" i="47"/>
  <c r="AB14" i="47"/>
  <c r="AA14" i="47"/>
  <c r="Z14" i="47"/>
  <c r="Y14" i="47"/>
  <c r="X14" i="47"/>
  <c r="W14" i="47"/>
  <c r="V14" i="47"/>
  <c r="U14" i="47"/>
  <c r="AD13" i="47"/>
  <c r="AC13" i="47"/>
  <c r="AB13" i="47"/>
  <c r="AA13" i="47"/>
  <c r="AA13" i="48" s="1"/>
  <c r="Z13" i="47"/>
  <c r="Z13" i="48" s="1"/>
  <c r="Y13" i="47"/>
  <c r="X13" i="47"/>
  <c r="W13" i="47"/>
  <c r="V13" i="47"/>
  <c r="U13" i="47"/>
  <c r="AD12" i="47"/>
  <c r="AB12" i="47"/>
  <c r="AA12" i="47"/>
  <c r="Z12" i="47"/>
  <c r="AD11" i="47"/>
  <c r="AC11" i="47"/>
  <c r="AB11" i="47"/>
  <c r="AA11" i="47"/>
  <c r="Z11" i="47"/>
  <c r="Y11" i="47"/>
  <c r="X11" i="47"/>
  <c r="W11" i="47"/>
  <c r="V11" i="47"/>
  <c r="U11" i="47"/>
  <c r="AD10" i="47"/>
  <c r="AC10" i="47"/>
  <c r="AB10" i="47"/>
  <c r="AA10" i="47"/>
  <c r="Z10" i="47"/>
  <c r="Y10" i="47"/>
  <c r="X10" i="47"/>
  <c r="W10" i="47"/>
  <c r="V10" i="47"/>
  <c r="U10" i="47"/>
  <c r="AD9" i="47"/>
  <c r="AC9" i="47"/>
  <c r="AB9" i="47"/>
  <c r="AA9" i="47"/>
  <c r="Z9" i="47"/>
  <c r="Z9" i="48" s="1"/>
  <c r="Y9" i="47"/>
  <c r="X9" i="47"/>
  <c r="W9" i="47"/>
  <c r="V9" i="47"/>
  <c r="U9" i="47"/>
  <c r="AD8" i="47"/>
  <c r="AC8" i="47"/>
  <c r="AB8" i="47"/>
  <c r="AA8" i="47"/>
  <c r="Z8" i="47"/>
  <c r="Y8" i="47"/>
  <c r="X8" i="47"/>
  <c r="W8" i="47"/>
  <c r="V8" i="47"/>
  <c r="U8" i="47"/>
  <c r="AD7" i="47"/>
  <c r="AC7" i="47"/>
  <c r="AB7" i="47"/>
  <c r="AA7" i="47"/>
  <c r="AA7" i="48" s="1"/>
  <c r="Z7" i="47"/>
  <c r="Z7" i="48" s="1"/>
  <c r="Y7" i="47"/>
  <c r="X7" i="47"/>
  <c r="W7" i="47"/>
  <c r="V7" i="47"/>
  <c r="U7" i="47"/>
  <c r="AD6" i="47"/>
  <c r="AC6" i="47"/>
  <c r="AB6" i="47"/>
  <c r="AA6" i="47"/>
  <c r="Z6" i="47"/>
  <c r="Z6" i="48" s="1"/>
  <c r="Y6" i="47"/>
  <c r="X6" i="47"/>
  <c r="W6" i="47"/>
  <c r="V6" i="47"/>
  <c r="U6" i="47"/>
  <c r="AD5" i="47"/>
  <c r="AC5" i="47"/>
  <c r="AB5" i="47"/>
  <c r="AA5" i="47"/>
  <c r="Z5" i="47"/>
  <c r="Y5" i="47"/>
  <c r="X5" i="47"/>
  <c r="W5" i="47"/>
  <c r="V5" i="47"/>
  <c r="U5" i="47"/>
  <c r="AP71" i="55"/>
  <c r="AC71" i="55"/>
  <c r="AC71" i="47" s="1"/>
  <c r="W71" i="55"/>
  <c r="W71" i="47" s="1"/>
  <c r="V71" i="55"/>
  <c r="V71" i="47" s="1"/>
  <c r="U71" i="55"/>
  <c r="U71" i="47" s="1"/>
  <c r="AP70" i="55"/>
  <c r="AC70" i="55"/>
  <c r="AC70" i="47" s="1"/>
  <c r="W70" i="55"/>
  <c r="W70" i="47" s="1"/>
  <c r="V70" i="55"/>
  <c r="V70" i="47" s="1"/>
  <c r="U70" i="55"/>
  <c r="U70" i="47" s="1"/>
  <c r="AP69" i="55"/>
  <c r="AC69" i="55"/>
  <c r="AC69" i="47" s="1"/>
  <c r="W69" i="55"/>
  <c r="W69" i="47" s="1"/>
  <c r="V69" i="55"/>
  <c r="V69" i="47" s="1"/>
  <c r="U69" i="55"/>
  <c r="U69" i="47" s="1"/>
  <c r="AP68" i="55"/>
  <c r="AC68" i="55"/>
  <c r="AC68" i="47" s="1"/>
  <c r="W68" i="55"/>
  <c r="W68" i="47" s="1"/>
  <c r="V68" i="55"/>
  <c r="V68" i="47" s="1"/>
  <c r="U68" i="55"/>
  <c r="U68" i="47" s="1"/>
  <c r="AP67" i="55"/>
  <c r="AC67" i="55"/>
  <c r="AC67" i="47" s="1"/>
  <c r="W67" i="55"/>
  <c r="W67" i="47" s="1"/>
  <c r="V67" i="55"/>
  <c r="V67" i="47" s="1"/>
  <c r="U67" i="55"/>
  <c r="U67" i="47" s="1"/>
  <c r="AP66" i="55"/>
  <c r="AC66" i="55"/>
  <c r="AC66" i="47" s="1"/>
  <c r="W66" i="55"/>
  <c r="W66" i="47" s="1"/>
  <c r="V66" i="55"/>
  <c r="V66" i="47" s="1"/>
  <c r="U66" i="55"/>
  <c r="U66" i="47" s="1"/>
  <c r="AP65" i="55"/>
  <c r="AC65" i="55"/>
  <c r="AC65" i="47" s="1"/>
  <c r="W65" i="55"/>
  <c r="W65" i="47" s="1"/>
  <c r="V65" i="55"/>
  <c r="V65" i="47" s="1"/>
  <c r="U65" i="55"/>
  <c r="U65" i="47" s="1"/>
  <c r="AP64" i="55"/>
  <c r="AC64" i="55"/>
  <c r="AC64" i="47" s="1"/>
  <c r="W64" i="55"/>
  <c r="W64" i="47" s="1"/>
  <c r="V64" i="55"/>
  <c r="V64" i="47" s="1"/>
  <c r="U64" i="55"/>
  <c r="U64" i="47" s="1"/>
  <c r="AP63" i="55"/>
  <c r="AC63" i="55"/>
  <c r="AC63" i="47" s="1"/>
  <c r="W63" i="55"/>
  <c r="W63" i="47" s="1"/>
  <c r="V63" i="55"/>
  <c r="V63" i="47" s="1"/>
  <c r="U63" i="55"/>
  <c r="U63" i="47" s="1"/>
  <c r="AP62" i="55"/>
  <c r="AC62" i="55"/>
  <c r="AC62" i="47" s="1"/>
  <c r="W62" i="55"/>
  <c r="W62" i="47" s="1"/>
  <c r="V62" i="55"/>
  <c r="V62" i="47" s="1"/>
  <c r="U62" i="55"/>
  <c r="U62" i="47" s="1"/>
  <c r="AP61" i="55"/>
  <c r="AC61" i="55"/>
  <c r="AC61" i="47" s="1"/>
  <c r="W61" i="55"/>
  <c r="W61" i="47" s="1"/>
  <c r="V61" i="55"/>
  <c r="V61" i="47" s="1"/>
  <c r="U61" i="55"/>
  <c r="U61" i="47" s="1"/>
  <c r="AP60" i="55"/>
  <c r="AC60" i="55"/>
  <c r="AC60" i="47" s="1"/>
  <c r="W60" i="55"/>
  <c r="W60" i="47" s="1"/>
  <c r="V60" i="55"/>
  <c r="V60" i="47" s="1"/>
  <c r="U60" i="55"/>
  <c r="U60" i="47" s="1"/>
  <c r="AP59" i="55"/>
  <c r="AC59" i="55"/>
  <c r="AC59" i="47" s="1"/>
  <c r="W59" i="55"/>
  <c r="W59" i="47" s="1"/>
  <c r="V59" i="55"/>
  <c r="V59" i="47" s="1"/>
  <c r="U59" i="55"/>
  <c r="U59" i="47" s="1"/>
  <c r="AP58" i="55"/>
  <c r="AC58" i="55"/>
  <c r="AC58" i="47" s="1"/>
  <c r="W58" i="55"/>
  <c r="W58" i="47" s="1"/>
  <c r="V58" i="55"/>
  <c r="V58" i="47" s="1"/>
  <c r="U58" i="55"/>
  <c r="U58" i="47" s="1"/>
  <c r="AP57" i="55"/>
  <c r="AC57" i="55"/>
  <c r="AC57" i="47" s="1"/>
  <c r="W57" i="55"/>
  <c r="W57" i="47" s="1"/>
  <c r="V57" i="55"/>
  <c r="V57" i="47" s="1"/>
  <c r="U57" i="55"/>
  <c r="U57" i="47" s="1"/>
  <c r="AP56" i="55"/>
  <c r="AC56" i="55"/>
  <c r="AC56" i="47" s="1"/>
  <c r="W56" i="55"/>
  <c r="W56" i="47" s="1"/>
  <c r="V56" i="55"/>
  <c r="V56" i="47" s="1"/>
  <c r="U56" i="55"/>
  <c r="U56" i="47" s="1"/>
  <c r="AP55" i="55"/>
  <c r="AC55" i="55"/>
  <c r="AC55" i="47" s="1"/>
  <c r="W55" i="55"/>
  <c r="W55" i="47" s="1"/>
  <c r="V55" i="55"/>
  <c r="V55" i="47" s="1"/>
  <c r="U55" i="55"/>
  <c r="U55" i="47" s="1"/>
  <c r="AP54" i="55"/>
  <c r="AC54" i="55"/>
  <c r="AC54" i="47" s="1"/>
  <c r="W54" i="55"/>
  <c r="W54" i="47" s="1"/>
  <c r="V54" i="55"/>
  <c r="V54" i="47" s="1"/>
  <c r="U54" i="55"/>
  <c r="U54" i="47" s="1"/>
  <c r="AP53" i="55"/>
  <c r="AC53" i="55"/>
  <c r="AC53" i="47" s="1"/>
  <c r="W53" i="55"/>
  <c r="W53" i="47" s="1"/>
  <c r="V53" i="55"/>
  <c r="V53" i="47" s="1"/>
  <c r="U53" i="55"/>
  <c r="U53" i="47" s="1"/>
  <c r="AP52" i="55"/>
  <c r="AC52" i="55"/>
  <c r="AC52" i="47" s="1"/>
  <c r="W52" i="55"/>
  <c r="W52" i="47" s="1"/>
  <c r="V52" i="55"/>
  <c r="V52" i="47" s="1"/>
  <c r="U52" i="55"/>
  <c r="U52" i="47" s="1"/>
  <c r="AP51" i="55"/>
  <c r="AC51" i="55"/>
  <c r="AC51" i="47" s="1"/>
  <c r="W51" i="55"/>
  <c r="W51" i="47" s="1"/>
  <c r="V51" i="55"/>
  <c r="V51" i="47" s="1"/>
  <c r="U51" i="55"/>
  <c r="U51" i="47" s="1"/>
  <c r="AP50" i="55"/>
  <c r="AC50" i="55"/>
  <c r="AC50" i="47" s="1"/>
  <c r="W50" i="55"/>
  <c r="W50" i="47" s="1"/>
  <c r="V50" i="55"/>
  <c r="V50" i="47" s="1"/>
  <c r="U50" i="55"/>
  <c r="U50" i="47" s="1"/>
  <c r="AP49" i="55"/>
  <c r="AC49" i="55"/>
  <c r="AC49" i="47" s="1"/>
  <c r="W49" i="55"/>
  <c r="W49" i="47" s="1"/>
  <c r="V49" i="55"/>
  <c r="V49" i="47" s="1"/>
  <c r="U49" i="55"/>
  <c r="U49" i="47" s="1"/>
  <c r="AP48" i="55"/>
  <c r="AC48" i="55"/>
  <c r="AC48" i="47" s="1"/>
  <c r="W48" i="55"/>
  <c r="W48" i="47" s="1"/>
  <c r="V48" i="55"/>
  <c r="V48" i="47" s="1"/>
  <c r="U48" i="55"/>
  <c r="U48" i="47" s="1"/>
  <c r="AP47" i="55"/>
  <c r="AC47" i="55"/>
  <c r="AC47" i="47" s="1"/>
  <c r="W47" i="55"/>
  <c r="W47" i="47" s="1"/>
  <c r="V47" i="55"/>
  <c r="V47" i="47" s="1"/>
  <c r="U47" i="55"/>
  <c r="U47" i="47" s="1"/>
  <c r="AP46" i="55"/>
  <c r="AC46" i="55"/>
  <c r="AC46" i="47" s="1"/>
  <c r="W46" i="55"/>
  <c r="W46" i="47" s="1"/>
  <c r="V46" i="55"/>
  <c r="V46" i="47" s="1"/>
  <c r="U46" i="55"/>
  <c r="U46" i="47" s="1"/>
  <c r="AP44" i="55"/>
  <c r="AC44" i="55"/>
  <c r="AC44" i="47" s="1"/>
  <c r="W44" i="55"/>
  <c r="W44" i="47" s="1"/>
  <c r="V44" i="55"/>
  <c r="V44" i="47" s="1"/>
  <c r="U44" i="55"/>
  <c r="U44" i="47" s="1"/>
  <c r="AP43" i="55"/>
  <c r="AC43" i="55"/>
  <c r="AC43" i="47" s="1"/>
  <c r="W43" i="55"/>
  <c r="W43" i="47" s="1"/>
  <c r="V43" i="55"/>
  <c r="V43" i="47" s="1"/>
  <c r="U43" i="55"/>
  <c r="U43" i="47" s="1"/>
  <c r="AP42" i="55"/>
  <c r="AC42" i="55"/>
  <c r="AC42" i="47" s="1"/>
  <c r="W42" i="55"/>
  <c r="W42" i="47" s="1"/>
  <c r="V42" i="55"/>
  <c r="V42" i="47" s="1"/>
  <c r="U42" i="55"/>
  <c r="U42" i="47" s="1"/>
  <c r="AP41" i="55"/>
  <c r="AC41" i="55"/>
  <c r="AC41" i="47" s="1"/>
  <c r="W41" i="55"/>
  <c r="W41" i="47" s="1"/>
  <c r="V41" i="55"/>
  <c r="V41" i="47" s="1"/>
  <c r="U41" i="55"/>
  <c r="U41" i="47" s="1"/>
  <c r="AC12" i="55"/>
  <c r="AC12" i="47" s="1"/>
  <c r="Y12" i="55"/>
  <c r="Y12" i="47" s="1"/>
  <c r="Y12" i="48" s="1"/>
  <c r="X12" i="55"/>
  <c r="X12" i="47" s="1"/>
  <c r="W12" i="55"/>
  <c r="W12" i="47" s="1"/>
  <c r="W12" i="48" s="1"/>
  <c r="V12" i="55"/>
  <c r="V12" i="47" s="1"/>
  <c r="U12" i="55"/>
  <c r="U12" i="47" s="1"/>
  <c r="X15" i="54"/>
  <c r="X14" i="54"/>
  <c r="X12" i="54"/>
  <c r="X9" i="54"/>
  <c r="X8" i="54"/>
  <c r="X7" i="54"/>
  <c r="W55" i="54"/>
  <c r="U55" i="54"/>
  <c r="S55" i="54"/>
  <c r="O55" i="54"/>
  <c r="N55" i="54"/>
  <c r="M55" i="54"/>
  <c r="U54" i="54"/>
  <c r="T54" i="54"/>
  <c r="S54" i="54"/>
  <c r="O54" i="54"/>
  <c r="N54" i="54"/>
  <c r="M54" i="54"/>
  <c r="W53" i="54"/>
  <c r="U53" i="54"/>
  <c r="T53" i="54"/>
  <c r="S53" i="54"/>
  <c r="O53" i="54"/>
  <c r="N53" i="54"/>
  <c r="M53" i="54"/>
  <c r="X15" i="53"/>
  <c r="X14" i="53"/>
  <c r="X12" i="53"/>
  <c r="X9" i="53"/>
  <c r="X8" i="53"/>
  <c r="X7" i="53"/>
  <c r="W55" i="53"/>
  <c r="U55" i="53"/>
  <c r="S55" i="53"/>
  <c r="O55" i="53"/>
  <c r="N55" i="53"/>
  <c r="M55" i="53"/>
  <c r="U54" i="53"/>
  <c r="T54" i="53"/>
  <c r="S54" i="53"/>
  <c r="O54" i="53"/>
  <c r="N54" i="53"/>
  <c r="M54" i="53"/>
  <c r="W53" i="53"/>
  <c r="U53" i="53"/>
  <c r="U57" i="53" s="1"/>
  <c r="T53" i="53"/>
  <c r="T57" i="53" s="1"/>
  <c r="S53" i="53"/>
  <c r="S57" i="53" s="1"/>
  <c r="O53" i="53"/>
  <c r="N53" i="53"/>
  <c r="N57" i="53" s="1"/>
  <c r="M53" i="53"/>
  <c r="X50" i="52"/>
  <c r="X49" i="52"/>
  <c r="X48" i="52"/>
  <c r="X47" i="52"/>
  <c r="X46" i="52"/>
  <c r="X45" i="52"/>
  <c r="X44" i="52"/>
  <c r="X43" i="52"/>
  <c r="X42" i="52"/>
  <c r="X41" i="52"/>
  <c r="X40" i="52"/>
  <c r="X39" i="52"/>
  <c r="X38" i="52"/>
  <c r="X37" i="52"/>
  <c r="X36" i="52"/>
  <c r="X35" i="52"/>
  <c r="X34" i="52"/>
  <c r="X33" i="52"/>
  <c r="X32" i="52"/>
  <c r="X31" i="52"/>
  <c r="X30" i="52"/>
  <c r="X29" i="52"/>
  <c r="X28" i="52"/>
  <c r="X27" i="52"/>
  <c r="X26" i="52"/>
  <c r="X25" i="52"/>
  <c r="X24" i="52"/>
  <c r="X23" i="52"/>
  <c r="X22" i="52"/>
  <c r="X21" i="52"/>
  <c r="X20" i="52"/>
  <c r="X19" i="52"/>
  <c r="X18" i="52"/>
  <c r="X17" i="52"/>
  <c r="X16" i="52"/>
  <c r="Z15" i="52"/>
  <c r="X15" i="52"/>
  <c r="X14" i="52"/>
  <c r="X13" i="52"/>
  <c r="X12" i="52"/>
  <c r="X11" i="52"/>
  <c r="X10" i="52"/>
  <c r="Z9" i="52"/>
  <c r="X9" i="52"/>
  <c r="X8" i="52"/>
  <c r="X7" i="52"/>
  <c r="X6" i="52"/>
  <c r="X5" i="52"/>
  <c r="W55" i="52"/>
  <c r="U55" i="52"/>
  <c r="S55" i="52"/>
  <c r="O55" i="52"/>
  <c r="N55" i="52"/>
  <c r="M55" i="52"/>
  <c r="U54" i="52"/>
  <c r="T54" i="52"/>
  <c r="S54" i="52"/>
  <c r="O54" i="52"/>
  <c r="N54" i="52"/>
  <c r="M54" i="52"/>
  <c r="W53" i="52"/>
  <c r="U53" i="52"/>
  <c r="T53" i="52"/>
  <c r="T57" i="52" s="1"/>
  <c r="S53" i="52"/>
  <c r="S57" i="52" s="1"/>
  <c r="O53" i="52"/>
  <c r="N53" i="52"/>
  <c r="N57" i="52" s="1"/>
  <c r="M53" i="52"/>
  <c r="W55" i="51"/>
  <c r="W53" i="51"/>
  <c r="U55" i="51"/>
  <c r="U54" i="51"/>
  <c r="U53" i="51"/>
  <c r="T54" i="51"/>
  <c r="T53" i="51"/>
  <c r="S55" i="51"/>
  <c r="S54" i="51"/>
  <c r="S53" i="51"/>
  <c r="Q56" i="51"/>
  <c r="Q15" i="52" s="1"/>
  <c r="O55" i="51"/>
  <c r="O54" i="51"/>
  <c r="O53" i="51"/>
  <c r="N55" i="51"/>
  <c r="N54" i="51"/>
  <c r="N53" i="51"/>
  <c r="M55" i="51"/>
  <c r="M54" i="51"/>
  <c r="M53" i="51"/>
  <c r="Y50" i="51"/>
  <c r="Y49" i="51"/>
  <c r="Y48" i="51"/>
  <c r="Y47" i="51"/>
  <c r="Y46" i="51"/>
  <c r="Y45" i="51"/>
  <c r="Y44" i="51"/>
  <c r="Y43" i="51"/>
  <c r="Y42" i="51"/>
  <c r="Y41" i="51"/>
  <c r="Y40" i="51"/>
  <c r="Y39" i="51"/>
  <c r="Y38" i="51"/>
  <c r="Y37" i="51"/>
  <c r="Y36" i="51"/>
  <c r="Y35" i="51"/>
  <c r="Y34" i="51"/>
  <c r="Y33" i="51"/>
  <c r="Y32" i="51"/>
  <c r="Y31" i="51"/>
  <c r="Y30" i="51"/>
  <c r="Y29" i="51"/>
  <c r="Y28" i="51"/>
  <c r="Y27" i="51"/>
  <c r="Y26" i="51"/>
  <c r="Y25" i="51"/>
  <c r="Y23" i="51"/>
  <c r="Y22" i="51"/>
  <c r="Y21" i="51"/>
  <c r="Y20" i="51"/>
  <c r="U50" i="51"/>
  <c r="U49" i="51"/>
  <c r="U48" i="51"/>
  <c r="U47" i="51"/>
  <c r="U46" i="51"/>
  <c r="U45" i="51"/>
  <c r="U44" i="51"/>
  <c r="U43" i="51"/>
  <c r="U42" i="51"/>
  <c r="U41" i="51"/>
  <c r="U40" i="51"/>
  <c r="U39" i="51"/>
  <c r="U38" i="51"/>
  <c r="U37" i="51"/>
  <c r="U36" i="51"/>
  <c r="U35" i="51"/>
  <c r="U34" i="51"/>
  <c r="U33" i="51"/>
  <c r="U32" i="51"/>
  <c r="U31" i="51"/>
  <c r="U30" i="51"/>
  <c r="U29" i="51"/>
  <c r="U28" i="51"/>
  <c r="U27" i="51"/>
  <c r="U26" i="51"/>
  <c r="U25" i="51"/>
  <c r="U23" i="51"/>
  <c r="U22" i="51"/>
  <c r="U21" i="51"/>
  <c r="U20" i="51"/>
  <c r="T50" i="51"/>
  <c r="T49" i="51"/>
  <c r="T48" i="51"/>
  <c r="T47" i="51"/>
  <c r="T46" i="51"/>
  <c r="T45" i="51"/>
  <c r="T44" i="51"/>
  <c r="T43" i="51"/>
  <c r="T42" i="51"/>
  <c r="T41" i="51"/>
  <c r="T40" i="51"/>
  <c r="T39" i="51"/>
  <c r="T38" i="51"/>
  <c r="T37" i="51"/>
  <c r="T36" i="51"/>
  <c r="T35" i="51"/>
  <c r="T34" i="51"/>
  <c r="T33" i="51"/>
  <c r="T32" i="51"/>
  <c r="T31" i="51"/>
  <c r="T30" i="51"/>
  <c r="T29" i="51"/>
  <c r="T28" i="51"/>
  <c r="T27" i="51"/>
  <c r="T26" i="51"/>
  <c r="T25" i="51"/>
  <c r="T23" i="51"/>
  <c r="T22" i="51"/>
  <c r="T21" i="51"/>
  <c r="T20" i="51"/>
  <c r="S50" i="51"/>
  <c r="S49" i="51"/>
  <c r="S48" i="51"/>
  <c r="S47" i="51"/>
  <c r="S46" i="51"/>
  <c r="S45" i="51"/>
  <c r="S44" i="51"/>
  <c r="S43" i="51"/>
  <c r="S42" i="51"/>
  <c r="S41" i="51"/>
  <c r="S40" i="51"/>
  <c r="S39" i="51"/>
  <c r="S38" i="51"/>
  <c r="S37" i="51"/>
  <c r="S36" i="51"/>
  <c r="S35" i="51"/>
  <c r="S34" i="51"/>
  <c r="S33" i="51"/>
  <c r="S32" i="51"/>
  <c r="S31" i="51"/>
  <c r="S30" i="51"/>
  <c r="S29" i="51"/>
  <c r="S28" i="51"/>
  <c r="S27" i="51"/>
  <c r="S26" i="51"/>
  <c r="S25" i="51"/>
  <c r="S23" i="51"/>
  <c r="S22" i="51"/>
  <c r="S21" i="51"/>
  <c r="S20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3" i="51"/>
  <c r="Q22" i="51"/>
  <c r="Q21" i="51"/>
  <c r="Q20" i="51"/>
  <c r="O50" i="51"/>
  <c r="O49" i="51"/>
  <c r="O48" i="51"/>
  <c r="O47" i="51"/>
  <c r="O46" i="51"/>
  <c r="O45" i="51"/>
  <c r="O44" i="51"/>
  <c r="O43" i="51"/>
  <c r="O42" i="51"/>
  <c r="O41" i="51"/>
  <c r="O40" i="51"/>
  <c r="O39" i="51"/>
  <c r="O38" i="51"/>
  <c r="O37" i="51"/>
  <c r="O36" i="51"/>
  <c r="O35" i="51"/>
  <c r="O34" i="51"/>
  <c r="O33" i="51"/>
  <c r="O32" i="51"/>
  <c r="O31" i="51"/>
  <c r="O30" i="51"/>
  <c r="O29" i="51"/>
  <c r="O28" i="51"/>
  <c r="O27" i="51"/>
  <c r="O26" i="51"/>
  <c r="O25" i="51"/>
  <c r="O23" i="51"/>
  <c r="O22" i="51"/>
  <c r="O21" i="51"/>
  <c r="O20" i="51"/>
  <c r="N50" i="51"/>
  <c r="N49" i="51"/>
  <c r="N48" i="51"/>
  <c r="N47" i="51"/>
  <c r="N46" i="51"/>
  <c r="N45" i="51"/>
  <c r="N44" i="51"/>
  <c r="N43" i="51"/>
  <c r="N42" i="51"/>
  <c r="N41" i="51"/>
  <c r="N40" i="51"/>
  <c r="N39" i="51"/>
  <c r="N38" i="51"/>
  <c r="N37" i="51"/>
  <c r="N36" i="51"/>
  <c r="N35" i="51"/>
  <c r="N34" i="51"/>
  <c r="N33" i="51"/>
  <c r="N32" i="51"/>
  <c r="N31" i="51"/>
  <c r="N30" i="51"/>
  <c r="N29" i="51"/>
  <c r="N28" i="51"/>
  <c r="N27" i="51"/>
  <c r="N26" i="51"/>
  <c r="N25" i="51"/>
  <c r="N23" i="51"/>
  <c r="N22" i="51"/>
  <c r="N21" i="51"/>
  <c r="N20" i="51"/>
  <c r="M50" i="51"/>
  <c r="M49" i="51"/>
  <c r="M48" i="51"/>
  <c r="M47" i="51"/>
  <c r="M46" i="51"/>
  <c r="M45" i="51"/>
  <c r="M44" i="51"/>
  <c r="M43" i="51"/>
  <c r="M42" i="51"/>
  <c r="M41" i="51"/>
  <c r="M40" i="51"/>
  <c r="M39" i="51"/>
  <c r="M38" i="51"/>
  <c r="M37" i="51"/>
  <c r="M36" i="51"/>
  <c r="M35" i="51"/>
  <c r="M34" i="51"/>
  <c r="M33" i="51"/>
  <c r="M32" i="51"/>
  <c r="M31" i="51"/>
  <c r="M30" i="51"/>
  <c r="M29" i="51"/>
  <c r="M28" i="51"/>
  <c r="M27" i="51"/>
  <c r="M26" i="51"/>
  <c r="M25" i="51"/>
  <c r="M23" i="51"/>
  <c r="M22" i="51"/>
  <c r="M21" i="51"/>
  <c r="M20" i="51"/>
  <c r="L50" i="51"/>
  <c r="L49" i="51"/>
  <c r="L48" i="51"/>
  <c r="L47" i="51"/>
  <c r="L46" i="51"/>
  <c r="L45" i="51"/>
  <c r="L44" i="51"/>
  <c r="L43" i="51"/>
  <c r="L42" i="51"/>
  <c r="L41" i="51"/>
  <c r="L40" i="51"/>
  <c r="L39" i="51"/>
  <c r="L38" i="51"/>
  <c r="L37" i="51"/>
  <c r="L36" i="51"/>
  <c r="L35" i="51"/>
  <c r="L34" i="51"/>
  <c r="L33" i="51"/>
  <c r="L32" i="51"/>
  <c r="L31" i="51"/>
  <c r="L30" i="51"/>
  <c r="L29" i="51"/>
  <c r="L28" i="51"/>
  <c r="L27" i="51"/>
  <c r="L26" i="51"/>
  <c r="L25" i="51"/>
  <c r="L23" i="51"/>
  <c r="L22" i="51"/>
  <c r="L21" i="51"/>
  <c r="L20" i="51"/>
  <c r="AC77" i="50"/>
  <c r="N77" i="50"/>
  <c r="M77" i="50"/>
  <c r="AK76" i="50"/>
  <c r="AF76" i="50"/>
  <c r="AP74" i="50" s="1"/>
  <c r="AE76" i="50"/>
  <c r="AO74" i="50" s="1"/>
  <c r="AC76" i="50"/>
  <c r="Y76" i="50"/>
  <c r="X76" i="50"/>
  <c r="W76" i="50"/>
  <c r="S76" i="50"/>
  <c r="R76" i="50"/>
  <c r="Q76" i="50"/>
  <c r="P76" i="50"/>
  <c r="O76" i="50"/>
  <c r="M76" i="50"/>
  <c r="L76" i="50"/>
  <c r="AK75" i="50"/>
  <c r="AF75" i="50"/>
  <c r="AC75" i="50"/>
  <c r="AA75" i="50"/>
  <c r="Z75" i="50"/>
  <c r="Y75" i="50"/>
  <c r="X75" i="50"/>
  <c r="W75" i="50"/>
  <c r="V75" i="50"/>
  <c r="U75" i="50"/>
  <c r="S75" i="50"/>
  <c r="R75" i="50"/>
  <c r="Q75" i="50"/>
  <c r="P75" i="50"/>
  <c r="O75" i="50"/>
  <c r="M75" i="50"/>
  <c r="L75" i="50"/>
  <c r="AL77" i="49"/>
  <c r="AG77" i="49"/>
  <c r="AB77" i="49"/>
  <c r="AC77" i="49"/>
  <c r="AD77" i="49" s="1"/>
  <c r="N77" i="49"/>
  <c r="M77" i="49"/>
  <c r="T77" i="49" s="1"/>
  <c r="AK76" i="49"/>
  <c r="AF76" i="49"/>
  <c r="AE76" i="49"/>
  <c r="AC76" i="49"/>
  <c r="Y76" i="49"/>
  <c r="X76" i="49"/>
  <c r="W76" i="49"/>
  <c r="S76" i="49"/>
  <c r="R76" i="49"/>
  <c r="Q76" i="49"/>
  <c r="P76" i="49"/>
  <c r="O76" i="49"/>
  <c r="M76" i="49"/>
  <c r="L76" i="49"/>
  <c r="AK75" i="49"/>
  <c r="AF75" i="49"/>
  <c r="AP74" i="49" s="1"/>
  <c r="AC75" i="49"/>
  <c r="AA75" i="49"/>
  <c r="Z75" i="49"/>
  <c r="Y75" i="49"/>
  <c r="X75" i="49"/>
  <c r="W75" i="49"/>
  <c r="V75" i="49"/>
  <c r="U75" i="49"/>
  <c r="S75" i="49"/>
  <c r="R75" i="49"/>
  <c r="Q75" i="49"/>
  <c r="P75" i="49"/>
  <c r="O75" i="49"/>
  <c r="M75" i="49"/>
  <c r="L75" i="49"/>
  <c r="AL77" i="48"/>
  <c r="AG77" i="48"/>
  <c r="AB77" i="48"/>
  <c r="AG71" i="48"/>
  <c r="Z71" i="48"/>
  <c r="AG70" i="48"/>
  <c r="Z70" i="48"/>
  <c r="AG69" i="48"/>
  <c r="Z69" i="48"/>
  <c r="AG68" i="48"/>
  <c r="Z68" i="48"/>
  <c r="AG67" i="48"/>
  <c r="Z67" i="48"/>
  <c r="AG66" i="48"/>
  <c r="Z66" i="48"/>
  <c r="AG65" i="48"/>
  <c r="Z65" i="48"/>
  <c r="AG64" i="48"/>
  <c r="Z64" i="48"/>
  <c r="AG63" i="48"/>
  <c r="Z63" i="48"/>
  <c r="AG62" i="48"/>
  <c r="AA62" i="48"/>
  <c r="Z62" i="48"/>
  <c r="AG61" i="48"/>
  <c r="Z61" i="48"/>
  <c r="AG60" i="48"/>
  <c r="Z60" i="48"/>
  <c r="AG59" i="48"/>
  <c r="Z59" i="48"/>
  <c r="AG58" i="48"/>
  <c r="AA58" i="48"/>
  <c r="Z58" i="48"/>
  <c r="AG57" i="48"/>
  <c r="Z57" i="48"/>
  <c r="AG56" i="48"/>
  <c r="Z56" i="48"/>
  <c r="AG55" i="48"/>
  <c r="Z55" i="48"/>
  <c r="AG54" i="48"/>
  <c r="AA54" i="48"/>
  <c r="Z54" i="48"/>
  <c r="AG53" i="48"/>
  <c r="Z53" i="48"/>
  <c r="AG52" i="48"/>
  <c r="Z52" i="48"/>
  <c r="AG51" i="48"/>
  <c r="Z51" i="48"/>
  <c r="AG50" i="48"/>
  <c r="AA50" i="48"/>
  <c r="Z50" i="48"/>
  <c r="AG49" i="48"/>
  <c r="Z49" i="48"/>
  <c r="AG48" i="48"/>
  <c r="Z48" i="48"/>
  <c r="AG47" i="48"/>
  <c r="Z47" i="48"/>
  <c r="AG46" i="48"/>
  <c r="AA46" i="48"/>
  <c r="Z46" i="48"/>
  <c r="AG45" i="48"/>
  <c r="AA45" i="48"/>
  <c r="AG44" i="48"/>
  <c r="AA44" i="48"/>
  <c r="Z44" i="48"/>
  <c r="AG43" i="48"/>
  <c r="Z43" i="48"/>
  <c r="AG42" i="48"/>
  <c r="AA42" i="48"/>
  <c r="Z42" i="48"/>
  <c r="AG41" i="48"/>
  <c r="AG40" i="48"/>
  <c r="AA40" i="48"/>
  <c r="AG39" i="48"/>
  <c r="AA39" i="48"/>
  <c r="Z39" i="48"/>
  <c r="AG38" i="48"/>
  <c r="AA38" i="48"/>
  <c r="Z38" i="48"/>
  <c r="AG37" i="48"/>
  <c r="AG36" i="48"/>
  <c r="AG35" i="48"/>
  <c r="AA35" i="48"/>
  <c r="Z35" i="48"/>
  <c r="AG34" i="48"/>
  <c r="AA34" i="48"/>
  <c r="AG33" i="48"/>
  <c r="AG32" i="48"/>
  <c r="AA32" i="48"/>
  <c r="Z32" i="48"/>
  <c r="AG31" i="48"/>
  <c r="AA31" i="48"/>
  <c r="AG30" i="48"/>
  <c r="AA30" i="48"/>
  <c r="AG29" i="48"/>
  <c r="AA29" i="48"/>
  <c r="AG28" i="48"/>
  <c r="AA28" i="48"/>
  <c r="AG27" i="48"/>
  <c r="AA27" i="48"/>
  <c r="Z27" i="48"/>
  <c r="AG26" i="48"/>
  <c r="AA26" i="48"/>
  <c r="Z26" i="48"/>
  <c r="AG25" i="48"/>
  <c r="AG24" i="48"/>
  <c r="AG23" i="48"/>
  <c r="AA23" i="48"/>
  <c r="Z23" i="48"/>
  <c r="AG22" i="48"/>
  <c r="AA22" i="48"/>
  <c r="AG21" i="48"/>
  <c r="AG20" i="48"/>
  <c r="AA20" i="48"/>
  <c r="Z20" i="48"/>
  <c r="AG19" i="48"/>
  <c r="AA19" i="48"/>
  <c r="AG18" i="48"/>
  <c r="AA18" i="48"/>
  <c r="AG17" i="48"/>
  <c r="AA17" i="48"/>
  <c r="AG16" i="48"/>
  <c r="AA16" i="48"/>
  <c r="AG15" i="48"/>
  <c r="AA15" i="48"/>
  <c r="Z15" i="48"/>
  <c r="AG14" i="48"/>
  <c r="AA14" i="48"/>
  <c r="Z14" i="48"/>
  <c r="AG13" i="48"/>
  <c r="AJ12" i="48"/>
  <c r="AG12" i="48"/>
  <c r="AA12" i="48"/>
  <c r="Z12" i="48"/>
  <c r="S12" i="48"/>
  <c r="R12" i="48"/>
  <c r="Q12" i="48"/>
  <c r="P12" i="48"/>
  <c r="L12" i="48"/>
  <c r="AG11" i="48"/>
  <c r="AA11" i="48"/>
  <c r="Z11" i="48"/>
  <c r="AG10" i="48"/>
  <c r="AA10" i="48"/>
  <c r="Z10" i="48"/>
  <c r="AG9" i="48"/>
  <c r="AA9" i="48"/>
  <c r="AG8" i="48"/>
  <c r="AA8" i="48"/>
  <c r="Z8" i="48"/>
  <c r="AG7" i="48"/>
  <c r="AG6" i="48"/>
  <c r="AA6" i="48"/>
  <c r="AG5" i="48"/>
  <c r="AA5" i="48"/>
  <c r="Z5" i="48"/>
  <c r="AC77" i="48"/>
  <c r="AD77" i="48" s="1"/>
  <c r="N77" i="48"/>
  <c r="M77" i="48"/>
  <c r="AK76" i="48"/>
  <c r="AF76" i="48"/>
  <c r="AE76" i="48"/>
  <c r="AC76" i="48"/>
  <c r="Y76" i="48"/>
  <c r="X76" i="48"/>
  <c r="W76" i="48"/>
  <c r="S76" i="48"/>
  <c r="R76" i="48"/>
  <c r="Q76" i="48"/>
  <c r="P76" i="48"/>
  <c r="O76" i="48"/>
  <c r="M76" i="48"/>
  <c r="L76" i="48"/>
  <c r="AK75" i="48"/>
  <c r="AF75" i="48"/>
  <c r="AC75" i="48"/>
  <c r="AA75" i="48"/>
  <c r="Z75" i="48"/>
  <c r="Y75" i="48"/>
  <c r="X75" i="48"/>
  <c r="W75" i="48"/>
  <c r="V75" i="48"/>
  <c r="U75" i="48"/>
  <c r="S75" i="48"/>
  <c r="R75" i="48"/>
  <c r="Q75" i="48"/>
  <c r="P75" i="48"/>
  <c r="O75" i="48"/>
  <c r="M75" i="48"/>
  <c r="L75" i="48"/>
  <c r="AP71" i="48"/>
  <c r="AP70" i="48"/>
  <c r="AP69" i="48"/>
  <c r="AP68" i="48"/>
  <c r="AP67" i="48"/>
  <c r="AP66" i="48"/>
  <c r="AP65" i="48"/>
  <c r="AP64" i="48"/>
  <c r="AP63" i="48"/>
  <c r="AP62" i="48"/>
  <c r="AP61" i="48"/>
  <c r="AP60" i="48"/>
  <c r="AP59" i="48"/>
  <c r="AP58" i="48"/>
  <c r="AP57" i="48"/>
  <c r="AP56" i="48"/>
  <c r="AP55" i="48"/>
  <c r="AP54" i="48"/>
  <c r="AP53" i="48"/>
  <c r="AP52" i="48"/>
  <c r="AP51" i="48"/>
  <c r="AP50" i="48"/>
  <c r="AP49" i="48"/>
  <c r="AP48" i="48"/>
  <c r="AP47" i="48"/>
  <c r="AP46" i="48"/>
  <c r="AP44" i="48"/>
  <c r="AP43" i="48"/>
  <c r="AP42" i="48"/>
  <c r="AP41" i="48"/>
  <c r="AK78" i="47"/>
  <c r="AK77" i="47"/>
  <c r="AK76" i="47"/>
  <c r="AF78" i="47"/>
  <c r="AF77" i="47"/>
  <c r="AF76" i="47"/>
  <c r="AE78" i="47"/>
  <c r="AE76" i="47"/>
  <c r="AC78" i="47"/>
  <c r="AC77" i="47"/>
  <c r="AC76" i="47"/>
  <c r="AC79" i="47"/>
  <c r="AA77" i="47"/>
  <c r="Z77" i="47"/>
  <c r="Y78" i="47"/>
  <c r="Y77" i="47"/>
  <c r="X78" i="47"/>
  <c r="X77" i="47"/>
  <c r="X76" i="47"/>
  <c r="W78" i="47"/>
  <c r="W77" i="47"/>
  <c r="V77" i="47"/>
  <c r="U77" i="47"/>
  <c r="U76" i="47"/>
  <c r="S78" i="47"/>
  <c r="S77" i="47"/>
  <c r="S76" i="47"/>
  <c r="R78" i="47"/>
  <c r="R77" i="47"/>
  <c r="R76" i="47"/>
  <c r="Q78" i="47"/>
  <c r="Q77" i="47"/>
  <c r="Q76" i="47"/>
  <c r="P78" i="47"/>
  <c r="P77" i="47"/>
  <c r="P76" i="47"/>
  <c r="O78" i="47"/>
  <c r="O77" i="47"/>
  <c r="O76" i="47"/>
  <c r="N79" i="47"/>
  <c r="M78" i="47"/>
  <c r="M77" i="47"/>
  <c r="M76" i="47"/>
  <c r="M79" i="47"/>
  <c r="L78" i="47"/>
  <c r="L77" i="47"/>
  <c r="L76" i="47"/>
  <c r="AK36" i="47"/>
  <c r="AK35" i="47"/>
  <c r="AK30" i="47"/>
  <c r="AK29" i="47"/>
  <c r="AK28" i="47"/>
  <c r="AK27" i="47"/>
  <c r="AK26" i="47"/>
  <c r="AK25" i="47"/>
  <c r="AK24" i="47"/>
  <c r="AK23" i="47"/>
  <c r="AK22" i="47"/>
  <c r="AK21" i="47"/>
  <c r="AK20" i="47"/>
  <c r="AK19" i="47"/>
  <c r="AK18" i="47"/>
  <c r="AK17" i="47"/>
  <c r="AK14" i="47"/>
  <c r="AK13" i="47"/>
  <c r="AK12" i="47"/>
  <c r="AK12" i="48" s="1"/>
  <c r="AK11" i="47"/>
  <c r="AK10" i="47"/>
  <c r="AK9" i="47"/>
  <c r="AK6" i="47"/>
  <c r="AK5" i="47"/>
  <c r="AI71" i="47"/>
  <c r="AI70" i="47"/>
  <c r="AI69" i="47"/>
  <c r="AI68" i="47"/>
  <c r="AI67" i="47"/>
  <c r="AI66" i="47"/>
  <c r="AI65" i="47"/>
  <c r="AI64" i="47"/>
  <c r="AI63" i="47"/>
  <c r="AI62" i="47"/>
  <c r="AI61" i="47"/>
  <c r="AI60" i="47"/>
  <c r="AI59" i="47"/>
  <c r="AI58" i="47"/>
  <c r="AI57" i="47"/>
  <c r="AI56" i="47"/>
  <c r="AI55" i="47"/>
  <c r="AI54" i="47"/>
  <c r="AI53" i="47"/>
  <c r="AI52" i="47"/>
  <c r="AI51" i="47"/>
  <c r="AI50" i="47"/>
  <c r="AI49" i="47"/>
  <c r="AI48" i="47"/>
  <c r="AI47" i="47"/>
  <c r="AI46" i="47"/>
  <c r="AI44" i="47"/>
  <c r="AI43" i="47"/>
  <c r="AI42" i="47"/>
  <c r="AI41" i="47"/>
  <c r="AI12" i="47"/>
  <c r="AH71" i="47"/>
  <c r="AH70" i="47"/>
  <c r="AH69" i="47"/>
  <c r="AH68" i="47"/>
  <c r="AH67" i="47"/>
  <c r="AH66" i="47"/>
  <c r="AH65" i="47"/>
  <c r="AH64" i="47"/>
  <c r="AH63" i="47"/>
  <c r="AH62" i="47"/>
  <c r="AH61" i="47"/>
  <c r="AH60" i="47"/>
  <c r="AH59" i="47"/>
  <c r="AH58" i="47"/>
  <c r="AH57" i="47"/>
  <c r="AH56" i="47"/>
  <c r="AH55" i="47"/>
  <c r="AH54" i="47"/>
  <c r="AH53" i="47"/>
  <c r="AH52" i="47"/>
  <c r="AH51" i="47"/>
  <c r="AH50" i="47"/>
  <c r="AH49" i="47"/>
  <c r="AH48" i="47"/>
  <c r="AH47" i="47"/>
  <c r="AH46" i="47"/>
  <c r="AH44" i="47"/>
  <c r="AH43" i="47"/>
  <c r="AH42" i="47"/>
  <c r="AH41" i="47"/>
  <c r="AH12" i="47"/>
  <c r="AH12" i="48" s="1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4" i="47"/>
  <c r="S43" i="47"/>
  <c r="S42" i="47"/>
  <c r="S41" i="47"/>
  <c r="R71" i="47"/>
  <c r="R70" i="47"/>
  <c r="R69" i="47"/>
  <c r="R68" i="47"/>
  <c r="R67" i="47"/>
  <c r="R66" i="47"/>
  <c r="R65" i="47"/>
  <c r="R64" i="47"/>
  <c r="R63" i="47"/>
  <c r="R62" i="47"/>
  <c r="R61" i="47"/>
  <c r="R60" i="47"/>
  <c r="R59" i="47"/>
  <c r="R58" i="47"/>
  <c r="R57" i="47"/>
  <c r="R56" i="47"/>
  <c r="R55" i="47"/>
  <c r="R54" i="47"/>
  <c r="R53" i="47"/>
  <c r="R52" i="47"/>
  <c r="R51" i="47"/>
  <c r="R50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5" i="47"/>
  <c r="Q40" i="47"/>
  <c r="Q39" i="47"/>
  <c r="Q38" i="47"/>
  <c r="Q37" i="47"/>
  <c r="Q32" i="47"/>
  <c r="Q31" i="47"/>
  <c r="Q15" i="47"/>
  <c r="Q7" i="47"/>
  <c r="P71" i="47"/>
  <c r="P70" i="47"/>
  <c r="P69" i="47"/>
  <c r="P68" i="47"/>
  <c r="P67" i="47"/>
  <c r="P66" i="47"/>
  <c r="P65" i="47"/>
  <c r="P64" i="47"/>
  <c r="P63" i="47"/>
  <c r="P62" i="47"/>
  <c r="P61" i="47"/>
  <c r="P60" i="47"/>
  <c r="P59" i="47"/>
  <c r="P58" i="47"/>
  <c r="P57" i="47"/>
  <c r="P56" i="47"/>
  <c r="P55" i="47"/>
  <c r="P54" i="47"/>
  <c r="P53" i="47"/>
  <c r="P52" i="47"/>
  <c r="P51" i="47"/>
  <c r="P50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4" i="47"/>
  <c r="O43" i="47"/>
  <c r="O42" i="47"/>
  <c r="O41" i="47"/>
  <c r="O12" i="47"/>
  <c r="N36" i="47"/>
  <c r="N35" i="47"/>
  <c r="N29" i="47"/>
  <c r="N12" i="47"/>
  <c r="AP71" i="47"/>
  <c r="AP70" i="47"/>
  <c r="AP69" i="47"/>
  <c r="AP68" i="47"/>
  <c r="AP67" i="47"/>
  <c r="AP66" i="47"/>
  <c r="AP65" i="47"/>
  <c r="AP64" i="47"/>
  <c r="AP63" i="47"/>
  <c r="AP62" i="47"/>
  <c r="AP61" i="47"/>
  <c r="AP60" i="47"/>
  <c r="AP59" i="47"/>
  <c r="AP58" i="47"/>
  <c r="AP57" i="47"/>
  <c r="AP56" i="47"/>
  <c r="AP55" i="47"/>
  <c r="AP54" i="47"/>
  <c r="AP53" i="47"/>
  <c r="AP52" i="47"/>
  <c r="AP51" i="47"/>
  <c r="AP50" i="47"/>
  <c r="AP49" i="47"/>
  <c r="AP48" i="47"/>
  <c r="AP47" i="47"/>
  <c r="AP46" i="47"/>
  <c r="AP44" i="47"/>
  <c r="AP43" i="47"/>
  <c r="AP42" i="47"/>
  <c r="AP41" i="47"/>
  <c r="M12" i="47"/>
  <c r="L71" i="47"/>
  <c r="L70" i="47"/>
  <c r="L69" i="47"/>
  <c r="L68" i="47"/>
  <c r="L67" i="47"/>
  <c r="L66" i="47"/>
  <c r="L65" i="47"/>
  <c r="L64" i="47"/>
  <c r="L63" i="47"/>
  <c r="L62" i="47"/>
  <c r="L61" i="47"/>
  <c r="L60" i="47"/>
  <c r="L59" i="47"/>
  <c r="L58" i="47"/>
  <c r="L57" i="47"/>
  <c r="L56" i="47"/>
  <c r="L55" i="47"/>
  <c r="L54" i="47"/>
  <c r="L53" i="47"/>
  <c r="L52" i="47"/>
  <c r="L51" i="47"/>
  <c r="L50" i="47"/>
  <c r="L45" i="47"/>
  <c r="L40" i="47"/>
  <c r="L39" i="47"/>
  <c r="L38" i="47"/>
  <c r="L37" i="47"/>
  <c r="L32" i="47"/>
  <c r="L31" i="47"/>
  <c r="L15" i="47"/>
  <c r="L7" i="47"/>
  <c r="E44" i="5"/>
  <c r="AJ76" i="47"/>
  <c r="AI76" i="47"/>
  <c r="F28" i="5"/>
  <c r="AH76" i="47"/>
  <c r="W76" i="47"/>
  <c r="F40" i="5"/>
  <c r="F18" i="5"/>
  <c r="D44" i="5"/>
  <c r="F42" i="5"/>
  <c r="D42" i="5"/>
  <c r="E40" i="5"/>
  <c r="D40" i="5"/>
  <c r="E28" i="5"/>
  <c r="D28" i="5"/>
  <c r="AL76" i="47" s="1"/>
  <c r="F23" i="5"/>
  <c r="D23" i="5"/>
  <c r="AG76" i="47" s="1"/>
  <c r="F20" i="5"/>
  <c r="E20" i="5"/>
  <c r="D20" i="5"/>
  <c r="AD76" i="47" s="1"/>
  <c r="E18" i="5"/>
  <c r="D18" i="5"/>
  <c r="AB76" i="47" s="1"/>
  <c r="T47" i="4"/>
  <c r="S47" i="4"/>
  <c r="R47" i="4"/>
  <c r="Q47" i="4"/>
  <c r="P47" i="4"/>
  <c r="O47" i="4"/>
  <c r="N47" i="4"/>
  <c r="M47" i="4"/>
  <c r="L47" i="4"/>
  <c r="K47" i="4"/>
  <c r="J47" i="4"/>
  <c r="I47" i="4"/>
  <c r="T46" i="4"/>
  <c r="S46" i="4"/>
  <c r="R46" i="4"/>
  <c r="Q46" i="4"/>
  <c r="P46" i="4"/>
  <c r="O46" i="4"/>
  <c r="N46" i="4"/>
  <c r="M46" i="4"/>
  <c r="L46" i="4"/>
  <c r="K46" i="4"/>
  <c r="J46" i="4"/>
  <c r="I46" i="4"/>
  <c r="T45" i="4"/>
  <c r="S45" i="4"/>
  <c r="R45" i="4"/>
  <c r="Q45" i="4"/>
  <c r="P45" i="4"/>
  <c r="O45" i="4"/>
  <c r="N45" i="4"/>
  <c r="M45" i="4"/>
  <c r="L45" i="4"/>
  <c r="K45" i="4"/>
  <c r="J45" i="4"/>
  <c r="I45" i="4"/>
  <c r="T44" i="4"/>
  <c r="S44" i="4"/>
  <c r="R44" i="4"/>
  <c r="Q44" i="4"/>
  <c r="P44" i="4"/>
  <c r="O44" i="4"/>
  <c r="N44" i="4"/>
  <c r="M44" i="4"/>
  <c r="L44" i="4"/>
  <c r="K44" i="4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68" i="3"/>
  <c r="S68" i="3"/>
  <c r="R68" i="3"/>
  <c r="Q68" i="3"/>
  <c r="P68" i="3"/>
  <c r="O68" i="3"/>
  <c r="N68" i="3"/>
  <c r="M68" i="3"/>
  <c r="L68" i="3"/>
  <c r="K68" i="3"/>
  <c r="J68" i="3"/>
  <c r="I68" i="3"/>
  <c r="T67" i="3"/>
  <c r="S67" i="3"/>
  <c r="R67" i="3"/>
  <c r="Q67" i="3"/>
  <c r="P67" i="3"/>
  <c r="O67" i="3"/>
  <c r="N67" i="3"/>
  <c r="M67" i="3"/>
  <c r="L67" i="3"/>
  <c r="K67" i="3"/>
  <c r="J67" i="3"/>
  <c r="I67" i="3"/>
  <c r="T66" i="3"/>
  <c r="S66" i="3"/>
  <c r="R66" i="3"/>
  <c r="Q66" i="3"/>
  <c r="P66" i="3"/>
  <c r="O66" i="3"/>
  <c r="N66" i="3"/>
  <c r="M66" i="3"/>
  <c r="L66" i="3"/>
  <c r="K66" i="3"/>
  <c r="J66" i="3"/>
  <c r="I66" i="3"/>
  <c r="T65" i="3"/>
  <c r="S65" i="3"/>
  <c r="R65" i="3"/>
  <c r="Q65" i="3"/>
  <c r="P65" i="3"/>
  <c r="O65" i="3"/>
  <c r="N65" i="3"/>
  <c r="M65" i="3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T63" i="3"/>
  <c r="S63" i="3"/>
  <c r="R63" i="3"/>
  <c r="Q63" i="3"/>
  <c r="P63" i="3"/>
  <c r="O63" i="3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T60" i="3"/>
  <c r="S60" i="3"/>
  <c r="R60" i="3"/>
  <c r="Q60" i="3"/>
  <c r="P60" i="3"/>
  <c r="O60" i="3"/>
  <c r="N60" i="3"/>
  <c r="M60" i="3"/>
  <c r="L60" i="3"/>
  <c r="K60" i="3"/>
  <c r="J60" i="3"/>
  <c r="I60" i="3"/>
  <c r="T59" i="3"/>
  <c r="S59" i="3"/>
  <c r="R59" i="3"/>
  <c r="Q59" i="3"/>
  <c r="P59" i="3"/>
  <c r="O59" i="3"/>
  <c r="N59" i="3"/>
  <c r="M59" i="3"/>
  <c r="L59" i="3"/>
  <c r="K59" i="3"/>
  <c r="J59" i="3"/>
  <c r="I59" i="3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R25" i="3"/>
  <c r="J25" i="3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T25" i="3" s="1"/>
  <c r="S23" i="3"/>
  <c r="R23" i="3"/>
  <c r="Q23" i="3"/>
  <c r="Q25" i="3" s="1"/>
  <c r="P23" i="3"/>
  <c r="P25" i="3" s="1"/>
  <c r="O23" i="3"/>
  <c r="N23" i="3"/>
  <c r="N25" i="3" s="1"/>
  <c r="M23" i="3"/>
  <c r="M25" i="3" s="1"/>
  <c r="L23" i="3"/>
  <c r="L25" i="3" s="1"/>
  <c r="K23" i="3"/>
  <c r="J23" i="3"/>
  <c r="I23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T22" i="3" s="1"/>
  <c r="S20" i="3"/>
  <c r="S22" i="3" s="1"/>
  <c r="R20" i="3"/>
  <c r="Q20" i="3"/>
  <c r="Q22" i="3" s="1"/>
  <c r="P20" i="3"/>
  <c r="P22" i="3" s="1"/>
  <c r="O20" i="3"/>
  <c r="O22" i="3" s="1"/>
  <c r="N20" i="3"/>
  <c r="M20" i="3"/>
  <c r="M22" i="3" s="1"/>
  <c r="L20" i="3"/>
  <c r="L22" i="3" s="1"/>
  <c r="K20" i="3"/>
  <c r="K22" i="3" s="1"/>
  <c r="J20" i="3"/>
  <c r="I20" i="3"/>
  <c r="L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T19" i="3" s="1"/>
  <c r="S17" i="3"/>
  <c r="S19" i="3" s="1"/>
  <c r="R17" i="3"/>
  <c r="R19" i="3" s="1"/>
  <c r="Q17" i="3"/>
  <c r="P17" i="3"/>
  <c r="P19" i="3" s="1"/>
  <c r="O17" i="3"/>
  <c r="O19" i="3" s="1"/>
  <c r="N17" i="3"/>
  <c r="N19" i="3" s="1"/>
  <c r="M17" i="3"/>
  <c r="L17" i="3"/>
  <c r="K17" i="3"/>
  <c r="K19" i="3" s="1"/>
  <c r="J17" i="3"/>
  <c r="J19" i="3" s="1"/>
  <c r="I17" i="3"/>
  <c r="O16" i="3"/>
  <c r="K16" i="3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S16" i="3" s="1"/>
  <c r="R14" i="3"/>
  <c r="R16" i="3" s="1"/>
  <c r="Q14" i="3"/>
  <c r="Q16" i="3" s="1"/>
  <c r="P14" i="3"/>
  <c r="O14" i="3"/>
  <c r="N14" i="3"/>
  <c r="N16" i="3" s="1"/>
  <c r="M14" i="3"/>
  <c r="M16" i="3" s="1"/>
  <c r="L14" i="3"/>
  <c r="K14" i="3"/>
  <c r="J14" i="3"/>
  <c r="J16" i="3" s="1"/>
  <c r="I14" i="3"/>
  <c r="I16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S8" i="3"/>
  <c r="O8" i="3"/>
  <c r="K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R8" i="3" s="1"/>
  <c r="Q6" i="3"/>
  <c r="Q8" i="3" s="1"/>
  <c r="P6" i="3"/>
  <c r="O6" i="3"/>
  <c r="N6" i="3"/>
  <c r="N8" i="3" s="1"/>
  <c r="M6" i="3"/>
  <c r="M8" i="3" s="1"/>
  <c r="L6" i="3"/>
  <c r="K6" i="3"/>
  <c r="J6" i="3"/>
  <c r="J8" i="3" s="1"/>
  <c r="I6" i="3"/>
  <c r="I8" i="3" s="1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H1" i="2"/>
  <c r="L8" i="3" l="1"/>
  <c r="R22" i="3"/>
  <c r="U2" i="3"/>
  <c r="U12" i="3"/>
  <c r="L16" i="3"/>
  <c r="U17" i="3"/>
  <c r="I19" i="3"/>
  <c r="U9" i="3"/>
  <c r="P8" i="3"/>
  <c r="U8" i="3" s="1"/>
  <c r="U23" i="3"/>
  <c r="K25" i="3"/>
  <c r="U26" i="3"/>
  <c r="U27" i="3"/>
  <c r="U28" i="3"/>
  <c r="I31" i="47" s="1"/>
  <c r="U29" i="3"/>
  <c r="U30" i="3"/>
  <c r="U4" i="3"/>
  <c r="I7" i="63" s="1"/>
  <c r="U5" i="3"/>
  <c r="U7" i="3"/>
  <c r="N22" i="3"/>
  <c r="T16" i="3"/>
  <c r="U16" i="3" s="1"/>
  <c r="Q19" i="3"/>
  <c r="U19" i="3" s="1"/>
  <c r="O25" i="3"/>
  <c r="U20" i="3"/>
  <c r="U21" i="3"/>
  <c r="I22" i="3"/>
  <c r="P16" i="3"/>
  <c r="M19" i="3"/>
  <c r="J22" i="3"/>
  <c r="S25" i="3"/>
  <c r="Y3" i="61"/>
  <c r="AG3" i="61" s="1"/>
  <c r="T8" i="3"/>
  <c r="AO4" i="57"/>
  <c r="AC88" i="58"/>
  <c r="AC96" i="58"/>
  <c r="AC100" i="58"/>
  <c r="AC104" i="58"/>
  <c r="AC108" i="58"/>
  <c r="AC112" i="58"/>
  <c r="AC116" i="58"/>
  <c r="AC120" i="58"/>
  <c r="AC124" i="58"/>
  <c r="AC128" i="58"/>
  <c r="AC132" i="58"/>
  <c r="AC136" i="58"/>
  <c r="AC140" i="58"/>
  <c r="AC156" i="58"/>
  <c r="AC160" i="58"/>
  <c r="AC164" i="58"/>
  <c r="U31" i="3"/>
  <c r="U32" i="3"/>
  <c r="I35" i="47" s="1"/>
  <c r="U33" i="3"/>
  <c r="U34" i="3"/>
  <c r="U35" i="3"/>
  <c r="I38" i="63" s="1"/>
  <c r="U36" i="3"/>
  <c r="U37" i="3"/>
  <c r="I40" i="63" s="1"/>
  <c r="U38" i="3"/>
  <c r="I41" i="50" s="1"/>
  <c r="U39" i="3"/>
  <c r="I42" i="47" s="1"/>
  <c r="U40" i="3"/>
  <c r="I43" i="49" s="1"/>
  <c r="U41" i="3"/>
  <c r="U42" i="3"/>
  <c r="U43" i="3"/>
  <c r="U44" i="3"/>
  <c r="I47" i="55" s="1"/>
  <c r="U45" i="3"/>
  <c r="U46" i="3"/>
  <c r="U47" i="3"/>
  <c r="I50" i="63" s="1"/>
  <c r="U48" i="3"/>
  <c r="U49" i="3"/>
  <c r="I52" i="63" s="1"/>
  <c r="U50" i="3"/>
  <c r="I53" i="50" s="1"/>
  <c r="U51" i="3"/>
  <c r="I54" i="55" s="1"/>
  <c r="U52" i="3"/>
  <c r="I55" i="55" s="1"/>
  <c r="U53" i="3"/>
  <c r="U54" i="3"/>
  <c r="U55" i="3"/>
  <c r="U56" i="3"/>
  <c r="I59" i="55" s="1"/>
  <c r="U57" i="3"/>
  <c r="U58" i="3"/>
  <c r="U59" i="3"/>
  <c r="I62" i="63" s="1"/>
  <c r="U60" i="3"/>
  <c r="U61" i="3"/>
  <c r="I64" i="63" s="1"/>
  <c r="U62" i="3"/>
  <c r="I65" i="50" s="1"/>
  <c r="U63" i="3"/>
  <c r="I66" i="55" s="1"/>
  <c r="U64" i="3"/>
  <c r="I67" i="55" s="1"/>
  <c r="U65" i="3"/>
  <c r="U66" i="3"/>
  <c r="U67" i="3"/>
  <c r="U68" i="3"/>
  <c r="I71" i="55" s="1"/>
  <c r="U2" i="4"/>
  <c r="U3" i="4"/>
  <c r="I6" i="51" s="1"/>
  <c r="U4" i="4"/>
  <c r="I7" i="54" s="1"/>
  <c r="U5" i="4"/>
  <c r="U6" i="4"/>
  <c r="I9" i="53" s="1"/>
  <c r="U7" i="4"/>
  <c r="U8" i="4"/>
  <c r="I11" i="51" s="1"/>
  <c r="U9" i="4"/>
  <c r="I12" i="64" s="1"/>
  <c r="AC63" i="64" s="1"/>
  <c r="U10" i="4"/>
  <c r="I13" i="64" s="1"/>
  <c r="AC64" i="64" s="1"/>
  <c r="U11" i="4"/>
  <c r="U12" i="4"/>
  <c r="U13" i="4"/>
  <c r="I16" i="54" s="1"/>
  <c r="U14" i="4"/>
  <c r="U15" i="4"/>
  <c r="I18" i="51" s="1"/>
  <c r="U16" i="4"/>
  <c r="I19" i="54" s="1"/>
  <c r="U17" i="4"/>
  <c r="U18" i="4"/>
  <c r="I21" i="53" s="1"/>
  <c r="U19" i="4"/>
  <c r="I22" i="64" s="1"/>
  <c r="U20" i="4"/>
  <c r="I23" i="51" s="1"/>
  <c r="U21" i="4"/>
  <c r="I24" i="64" s="1"/>
  <c r="U22" i="4"/>
  <c r="I25" i="64" s="1"/>
  <c r="AE76" i="64" s="1"/>
  <c r="U23" i="4"/>
  <c r="U24" i="4"/>
  <c r="U25" i="4"/>
  <c r="I28" i="54" s="1"/>
  <c r="U26" i="4"/>
  <c r="U27" i="4"/>
  <c r="I30" i="51" s="1"/>
  <c r="U28" i="4"/>
  <c r="I31" i="54" s="1"/>
  <c r="U29" i="4"/>
  <c r="U30" i="4"/>
  <c r="I33" i="53" s="1"/>
  <c r="U31" i="4"/>
  <c r="U32" i="4"/>
  <c r="I35" i="51" s="1"/>
  <c r="U33" i="4"/>
  <c r="I36" i="64" s="1"/>
  <c r="U34" i="4"/>
  <c r="I37" i="64" s="1"/>
  <c r="AC88" i="64" s="1"/>
  <c r="U35" i="4"/>
  <c r="U36" i="4"/>
  <c r="U37" i="4"/>
  <c r="I40" i="54" s="1"/>
  <c r="U38" i="4"/>
  <c r="U39" i="4"/>
  <c r="I42" i="51" s="1"/>
  <c r="U40" i="4"/>
  <c r="I43" i="52" s="1"/>
  <c r="U41" i="4"/>
  <c r="U42" i="4"/>
  <c r="I45" i="53" s="1"/>
  <c r="U43" i="4"/>
  <c r="U44" i="4"/>
  <c r="I47" i="51" s="1"/>
  <c r="U45" i="4"/>
  <c r="I48" i="64" s="1"/>
  <c r="U46" i="4"/>
  <c r="I49" i="64" s="1"/>
  <c r="W100" i="64" s="1"/>
  <c r="U47" i="4"/>
  <c r="D4" i="5"/>
  <c r="AJ6" i="61"/>
  <c r="AC334" i="58"/>
  <c r="AC338" i="58"/>
  <c r="AC342" i="58"/>
  <c r="AC346" i="58"/>
  <c r="AC350" i="58"/>
  <c r="AF4" i="61"/>
  <c r="AD10" i="61"/>
  <c r="AA12" i="61"/>
  <c r="AC499" i="58"/>
  <c r="AC505" i="58"/>
  <c r="AC335" i="58"/>
  <c r="AC339" i="58"/>
  <c r="AC343" i="58"/>
  <c r="AC347" i="58"/>
  <c r="AC351" i="58"/>
  <c r="AC511" i="58"/>
  <c r="AC515" i="58"/>
  <c r="AC519" i="58"/>
  <c r="AC824" i="58"/>
  <c r="AI8" i="61"/>
  <c r="AI4" i="61"/>
  <c r="AC355" i="58"/>
  <c r="AC361" i="58"/>
  <c r="AC367" i="58"/>
  <c r="AC373" i="58"/>
  <c r="AC428" i="58"/>
  <c r="AC434" i="58"/>
  <c r="AC440" i="58"/>
  <c r="AC446" i="58"/>
  <c r="AC452" i="58"/>
  <c r="AC336" i="58"/>
  <c r="AC340" i="58"/>
  <c r="AC344" i="58"/>
  <c r="AC348" i="58"/>
  <c r="AC508" i="58"/>
  <c r="AC512" i="58"/>
  <c r="AC516" i="58"/>
  <c r="AC520" i="58"/>
  <c r="AC825" i="58"/>
  <c r="AF8" i="61"/>
  <c r="Y8" i="61"/>
  <c r="AG8" i="61" s="1"/>
  <c r="X13" i="61"/>
  <c r="AC337" i="58"/>
  <c r="AC341" i="58"/>
  <c r="AC345" i="58"/>
  <c r="AC349" i="58"/>
  <c r="M57" i="53"/>
  <c r="F4" i="5"/>
  <c r="I5" i="63"/>
  <c r="I5" i="48"/>
  <c r="I5" i="55"/>
  <c r="I5" i="50"/>
  <c r="I5" i="49"/>
  <c r="I5" i="47"/>
  <c r="I6" i="63"/>
  <c r="I6" i="48"/>
  <c r="I6" i="55"/>
  <c r="I6" i="50"/>
  <c r="I6" i="49"/>
  <c r="I6" i="47"/>
  <c r="I7" i="50"/>
  <c r="I7" i="49"/>
  <c r="I7" i="47"/>
  <c r="I7" i="48"/>
  <c r="I8" i="63"/>
  <c r="I8" i="55"/>
  <c r="I8" i="50"/>
  <c r="I8" i="49"/>
  <c r="I8" i="47"/>
  <c r="I8" i="48"/>
  <c r="I10" i="63"/>
  <c r="I10" i="48"/>
  <c r="I10" i="55"/>
  <c r="I10" i="50"/>
  <c r="I10" i="49"/>
  <c r="I10" i="47"/>
  <c r="I24" i="63"/>
  <c r="I24" i="50"/>
  <c r="I24" i="49"/>
  <c r="I24" i="47"/>
  <c r="I24" i="55"/>
  <c r="I24" i="48"/>
  <c r="U22" i="3"/>
  <c r="I20" i="63"/>
  <c r="I20" i="50"/>
  <c r="I20" i="49"/>
  <c r="I20" i="47"/>
  <c r="I20" i="55"/>
  <c r="I20" i="48"/>
  <c r="I12" i="63"/>
  <c r="I12" i="55"/>
  <c r="I12" i="50"/>
  <c r="I12" i="49"/>
  <c r="I12" i="47"/>
  <c r="AE74" i="47" s="1"/>
  <c r="I12" i="48"/>
  <c r="I13" i="63"/>
  <c r="I13" i="55"/>
  <c r="I13" i="48"/>
  <c r="I13" i="50"/>
  <c r="I13" i="49"/>
  <c r="I13" i="47"/>
  <c r="I14" i="63"/>
  <c r="I14" i="55"/>
  <c r="I14" i="48"/>
  <c r="I14" i="50"/>
  <c r="I14" i="49"/>
  <c r="I14" i="47"/>
  <c r="I15" i="63"/>
  <c r="I15" i="50"/>
  <c r="I15" i="49"/>
  <c r="I15" i="47"/>
  <c r="I15" i="55"/>
  <c r="I15" i="48"/>
  <c r="I16" i="63"/>
  <c r="I16" i="50"/>
  <c r="I16" i="49"/>
  <c r="I16" i="47"/>
  <c r="I16" i="55"/>
  <c r="I16" i="48"/>
  <c r="I18" i="63"/>
  <c r="I18" i="55"/>
  <c r="I18" i="48"/>
  <c r="I18" i="50"/>
  <c r="I18" i="49"/>
  <c r="I18" i="47"/>
  <c r="I29" i="63"/>
  <c r="I30" i="63"/>
  <c r="I30" i="55"/>
  <c r="I30" i="48"/>
  <c r="I30" i="50"/>
  <c r="I30" i="49"/>
  <c r="I30" i="47"/>
  <c r="I31" i="63"/>
  <c r="BA103" i="63" s="1"/>
  <c r="I31" i="50"/>
  <c r="I31" i="49"/>
  <c r="I31" i="55"/>
  <c r="I32" i="63"/>
  <c r="I32" i="50"/>
  <c r="I32" i="49"/>
  <c r="I32" i="47"/>
  <c r="I32" i="55"/>
  <c r="I32" i="48"/>
  <c r="I33" i="63"/>
  <c r="I33" i="55"/>
  <c r="I33" i="48"/>
  <c r="I33" i="50"/>
  <c r="I33" i="49"/>
  <c r="I33" i="47"/>
  <c r="I34" i="55"/>
  <c r="I34" i="47"/>
  <c r="I35" i="63"/>
  <c r="I35" i="50"/>
  <c r="I35" i="49"/>
  <c r="I35" i="55"/>
  <c r="I35" i="48"/>
  <c r="I36" i="63"/>
  <c r="I36" i="50"/>
  <c r="I36" i="49"/>
  <c r="I36" i="47"/>
  <c r="I36" i="55"/>
  <c r="I36" i="48"/>
  <c r="I37" i="63"/>
  <c r="BA109" i="63" s="1"/>
  <c r="I37" i="55"/>
  <c r="I37" i="48"/>
  <c r="I37" i="50"/>
  <c r="I38" i="55"/>
  <c r="I38" i="48"/>
  <c r="I38" i="49"/>
  <c r="I39" i="63"/>
  <c r="AL111" i="63" s="1"/>
  <c r="I39" i="50"/>
  <c r="I39" i="49"/>
  <c r="I39" i="55"/>
  <c r="I39" i="48"/>
  <c r="I39" i="47"/>
  <c r="I40" i="50"/>
  <c r="I40" i="49"/>
  <c r="I40" i="48"/>
  <c r="I40" i="47"/>
  <c r="I41" i="55"/>
  <c r="I41" i="48"/>
  <c r="I43" i="63"/>
  <c r="I43" i="55"/>
  <c r="I43" i="50"/>
  <c r="I43" i="48"/>
  <c r="I45" i="63"/>
  <c r="I45" i="55"/>
  <c r="I45" i="48"/>
  <c r="I45" i="47"/>
  <c r="I45" i="50"/>
  <c r="I45" i="49"/>
  <c r="I46" i="55"/>
  <c r="I46" i="49"/>
  <c r="I47" i="63"/>
  <c r="I47" i="50"/>
  <c r="I47" i="49"/>
  <c r="I47" i="48"/>
  <c r="I47" i="47"/>
  <c r="I48" i="63"/>
  <c r="I48" i="55"/>
  <c r="I48" i="50"/>
  <c r="I48" i="49"/>
  <c r="I48" i="48"/>
  <c r="I48" i="47"/>
  <c r="I49" i="63"/>
  <c r="I49" i="47"/>
  <c r="I49" i="55"/>
  <c r="I49" i="50"/>
  <c r="I50" i="55"/>
  <c r="I50" i="48"/>
  <c r="I50" i="49"/>
  <c r="I51" i="63"/>
  <c r="BA123" i="63" s="1"/>
  <c r="I51" i="50"/>
  <c r="I51" i="49"/>
  <c r="I51" i="55"/>
  <c r="I51" i="48"/>
  <c r="I51" i="47"/>
  <c r="I52" i="55"/>
  <c r="I52" i="50"/>
  <c r="I52" i="48"/>
  <c r="I52" i="47"/>
  <c r="I53" i="47"/>
  <c r="I53" i="55"/>
  <c r="I55" i="63"/>
  <c r="I55" i="50"/>
  <c r="I55" i="49"/>
  <c r="I55" i="48"/>
  <c r="I57" i="63"/>
  <c r="I57" i="47"/>
  <c r="I57" i="55"/>
  <c r="I57" i="48"/>
  <c r="I57" i="50"/>
  <c r="I57" i="49"/>
  <c r="I58" i="55"/>
  <c r="I58" i="49"/>
  <c r="I59" i="63"/>
  <c r="I59" i="50"/>
  <c r="I59" i="49"/>
  <c r="I59" i="48"/>
  <c r="I59" i="47"/>
  <c r="I60" i="63"/>
  <c r="I60" i="55"/>
  <c r="I60" i="50"/>
  <c r="I60" i="49"/>
  <c r="I60" i="48"/>
  <c r="I60" i="47"/>
  <c r="I61" i="63"/>
  <c r="I61" i="47"/>
  <c r="I61" i="55"/>
  <c r="I61" i="50"/>
  <c r="I62" i="55"/>
  <c r="I62" i="48"/>
  <c r="I62" i="49"/>
  <c r="I63" i="63"/>
  <c r="AZ135" i="63" s="1"/>
  <c r="I63" i="50"/>
  <c r="I63" i="49"/>
  <c r="I63" i="55"/>
  <c r="I63" i="48"/>
  <c r="I63" i="47"/>
  <c r="I64" i="55"/>
  <c r="I64" i="50"/>
  <c r="I64" i="48"/>
  <c r="I64" i="47"/>
  <c r="I65" i="47"/>
  <c r="I65" i="55"/>
  <c r="I67" i="63"/>
  <c r="I67" i="50"/>
  <c r="I67" i="49"/>
  <c r="I67" i="48"/>
  <c r="I69" i="63"/>
  <c r="BA141" i="63" s="1"/>
  <c r="I69" i="47"/>
  <c r="I69" i="55"/>
  <c r="I69" i="48"/>
  <c r="I69" i="50"/>
  <c r="I69" i="49"/>
  <c r="I70" i="55"/>
  <c r="I70" i="49"/>
  <c r="I71" i="63"/>
  <c r="I71" i="50"/>
  <c r="I71" i="49"/>
  <c r="I71" i="48"/>
  <c r="I71" i="47"/>
  <c r="I5" i="64"/>
  <c r="AC56" i="64" s="1"/>
  <c r="I5" i="53"/>
  <c r="I5" i="54"/>
  <c r="I5" i="52"/>
  <c r="I5" i="51"/>
  <c r="I6" i="64"/>
  <c r="AC57" i="64" s="1"/>
  <c r="I6" i="53"/>
  <c r="I6" i="54"/>
  <c r="I6" i="52"/>
  <c r="I7" i="64"/>
  <c r="AC58" i="64" s="1"/>
  <c r="I7" i="51"/>
  <c r="I7" i="53"/>
  <c r="I8" i="64"/>
  <c r="AC59" i="64" s="1"/>
  <c r="I8" i="53"/>
  <c r="I8" i="54"/>
  <c r="I8" i="52"/>
  <c r="I8" i="51"/>
  <c r="I9" i="64"/>
  <c r="AC60" i="64" s="1"/>
  <c r="I9" i="54"/>
  <c r="I9" i="52"/>
  <c r="I11" i="53"/>
  <c r="I12" i="54"/>
  <c r="I13" i="53"/>
  <c r="I14" i="64"/>
  <c r="AC65" i="64" s="1"/>
  <c r="I14" i="53"/>
  <c r="I14" i="54"/>
  <c r="I14" i="52"/>
  <c r="I14" i="51"/>
  <c r="I15" i="51"/>
  <c r="I15" i="53"/>
  <c r="I16" i="64"/>
  <c r="AC67" i="64" s="1"/>
  <c r="I16" i="53"/>
  <c r="I16" i="52"/>
  <c r="I16" i="51"/>
  <c r="I17" i="64"/>
  <c r="AE68" i="64" s="1"/>
  <c r="I17" i="53"/>
  <c r="I17" i="54"/>
  <c r="I17" i="52"/>
  <c r="I17" i="51"/>
  <c r="I18" i="64"/>
  <c r="AB69" i="64" s="1"/>
  <c r="I18" i="53"/>
  <c r="I18" i="54"/>
  <c r="I18" i="52"/>
  <c r="I19" i="64"/>
  <c r="AA70" i="64" s="1"/>
  <c r="I19" i="51"/>
  <c r="I19" i="53"/>
  <c r="I20" i="64"/>
  <c r="I20" i="53"/>
  <c r="I20" i="54"/>
  <c r="I20" i="52"/>
  <c r="I20" i="51"/>
  <c r="I21" i="64"/>
  <c r="AE72" i="64" s="1"/>
  <c r="I21" i="54"/>
  <c r="I21" i="52"/>
  <c r="I22" i="51"/>
  <c r="I24" i="54"/>
  <c r="I26" i="64"/>
  <c r="Z77" i="64" s="1"/>
  <c r="I26" i="53"/>
  <c r="I26" i="54"/>
  <c r="I26" i="52"/>
  <c r="I26" i="51"/>
  <c r="I27" i="51"/>
  <c r="I27" i="53"/>
  <c r="I28" i="64"/>
  <c r="I28" i="53"/>
  <c r="I28" i="52"/>
  <c r="I28" i="51"/>
  <c r="I29" i="64"/>
  <c r="AC80" i="64" s="1"/>
  <c r="I29" i="53"/>
  <c r="I29" i="54"/>
  <c r="I29" i="52"/>
  <c r="I29" i="51"/>
  <c r="I30" i="64"/>
  <c r="Z81" i="64" s="1"/>
  <c r="I30" i="53"/>
  <c r="I30" i="54"/>
  <c r="I30" i="52"/>
  <c r="I31" i="64"/>
  <c r="AC82" i="64" s="1"/>
  <c r="I31" i="51"/>
  <c r="I31" i="53"/>
  <c r="I32" i="64"/>
  <c r="I32" i="53"/>
  <c r="I32" i="54"/>
  <c r="I32" i="52"/>
  <c r="I32" i="51"/>
  <c r="I33" i="64"/>
  <c r="AC84" i="64" s="1"/>
  <c r="I33" i="54"/>
  <c r="I33" i="52"/>
  <c r="I35" i="53"/>
  <c r="I36" i="54"/>
  <c r="I37" i="53"/>
  <c r="I38" i="64"/>
  <c r="Z89" i="64" s="1"/>
  <c r="I38" i="53"/>
  <c r="I38" i="54"/>
  <c r="I38" i="52"/>
  <c r="I38" i="51"/>
  <c r="I39" i="51"/>
  <c r="I39" i="53"/>
  <c r="I40" i="64"/>
  <c r="I40" i="53"/>
  <c r="I40" i="52"/>
  <c r="I40" i="51"/>
  <c r="I41" i="64"/>
  <c r="AC92" i="64" s="1"/>
  <c r="I41" i="53"/>
  <c r="I41" i="54"/>
  <c r="I41" i="52"/>
  <c r="I41" i="51"/>
  <c r="I42" i="64"/>
  <c r="I42" i="53"/>
  <c r="I42" i="54"/>
  <c r="I42" i="52"/>
  <c r="I43" i="64"/>
  <c r="AD94" i="64" s="1"/>
  <c r="I43" i="54"/>
  <c r="I43" i="51"/>
  <c r="I43" i="53"/>
  <c r="I44" i="64"/>
  <c r="I44" i="53"/>
  <c r="I44" i="54"/>
  <c r="I44" i="52"/>
  <c r="I44" i="51"/>
  <c r="I45" i="64"/>
  <c r="AE96" i="64" s="1"/>
  <c r="I45" i="54"/>
  <c r="I45" i="52"/>
  <c r="I46" i="64"/>
  <c r="AE97" i="64" s="1"/>
  <c r="I48" i="54"/>
  <c r="I49" i="51"/>
  <c r="I50" i="64"/>
  <c r="I50" i="53"/>
  <c r="I50" i="54"/>
  <c r="I50" i="52"/>
  <c r="I50" i="51"/>
  <c r="I27" i="63"/>
  <c r="I27" i="50"/>
  <c r="I27" i="49"/>
  <c r="I27" i="47"/>
  <c r="I27" i="55"/>
  <c r="I27" i="48"/>
  <c r="U6" i="3"/>
  <c r="I25" i="3"/>
  <c r="U25" i="3" s="1"/>
  <c r="AK74" i="47"/>
  <c r="U57" i="52"/>
  <c r="AJ4" i="57"/>
  <c r="AT4" i="57"/>
  <c r="AJ6" i="57"/>
  <c r="AB480" i="57"/>
  <c r="AC482" i="57"/>
  <c r="AB484" i="57"/>
  <c r="AC486" i="57"/>
  <c r="AB488" i="57"/>
  <c r="AC490" i="57"/>
  <c r="AB492" i="57"/>
  <c r="U14" i="3"/>
  <c r="U18" i="3"/>
  <c r="AO5" i="57"/>
  <c r="AO7" i="57"/>
  <c r="AB479" i="57"/>
  <c r="AB487" i="57"/>
  <c r="AD492" i="57"/>
  <c r="AB495" i="57"/>
  <c r="AD500" i="57"/>
  <c r="AB505" i="57"/>
  <c r="AC480" i="57"/>
  <c r="AB482" i="57"/>
  <c r="AC484" i="57"/>
  <c r="AB486" i="57"/>
  <c r="AC488" i="57"/>
  <c r="AB490" i="57"/>
  <c r="AC492" i="57"/>
  <c r="AB494" i="57"/>
  <c r="AB504" i="57"/>
  <c r="AB516" i="57"/>
  <c r="AJ5" i="57"/>
  <c r="AJ9" i="57" s="1"/>
  <c r="AT5" i="57"/>
  <c r="AT7" i="57"/>
  <c r="AJ7" i="57"/>
  <c r="AC479" i="57"/>
  <c r="AB481" i="57"/>
  <c r="AD482" i="57"/>
  <c r="AC483" i="57"/>
  <c r="AB485" i="57"/>
  <c r="AD486" i="57"/>
  <c r="AC487" i="57"/>
  <c r="AB489" i="57"/>
  <c r="AD490" i="57"/>
  <c r="AC491" i="57"/>
  <c r="AB493" i="57"/>
  <c r="AC495" i="57"/>
  <c r="AD498" i="57"/>
  <c r="AD504" i="57"/>
  <c r="AD508" i="57"/>
  <c r="AB511" i="57"/>
  <c r="AD512" i="57"/>
  <c r="AD516" i="57"/>
  <c r="AC481" i="57"/>
  <c r="AB483" i="57"/>
  <c r="AC485" i="57"/>
  <c r="AC489" i="57"/>
  <c r="AB491" i="57"/>
  <c r="AC493" i="57"/>
  <c r="AC497" i="57"/>
  <c r="AB499" i="57"/>
  <c r="AC502" i="57"/>
  <c r="AC507" i="57"/>
  <c r="AB509" i="57"/>
  <c r="AC511" i="57"/>
  <c r="AB513" i="57"/>
  <c r="AD514" i="57"/>
  <c r="AC515" i="57"/>
  <c r="AC496" i="57"/>
  <c r="AB498" i="57"/>
  <c r="AC500" i="57"/>
  <c r="AC506" i="57"/>
  <c r="AB508" i="57"/>
  <c r="AC510" i="57"/>
  <c r="AB512" i="57"/>
  <c r="AC514" i="57"/>
  <c r="AO2" i="57"/>
  <c r="AB497" i="57"/>
  <c r="AC499" i="57"/>
  <c r="AB502" i="57"/>
  <c r="AJ3" i="57" s="1"/>
  <c r="AJ8" i="57" s="1"/>
  <c r="AC505" i="57"/>
  <c r="AB507" i="57"/>
  <c r="AC509" i="57"/>
  <c r="AC513" i="57"/>
  <c r="AB515" i="57"/>
  <c r="AJ2" i="57"/>
  <c r="AC494" i="57"/>
  <c r="AB496" i="57"/>
  <c r="AC498" i="57"/>
  <c r="AB500" i="57"/>
  <c r="AC504" i="57"/>
  <c r="AB506" i="57"/>
  <c r="AC508" i="57"/>
  <c r="AB510" i="57"/>
  <c r="AC512" i="57"/>
  <c r="AB514" i="57"/>
  <c r="AC516" i="57"/>
  <c r="AT2" i="57"/>
  <c r="AA9" i="61"/>
  <c r="AA11" i="61"/>
  <c r="AA10" i="61"/>
  <c r="AO6" i="57"/>
  <c r="AC95" i="58"/>
  <c r="AC99" i="58"/>
  <c r="AC103" i="58"/>
  <c r="AC107" i="58"/>
  <c r="AC111" i="58"/>
  <c r="AC115" i="58"/>
  <c r="AC119" i="58"/>
  <c r="AC123" i="58"/>
  <c r="AC127" i="58"/>
  <c r="AC131" i="58"/>
  <c r="AC135" i="58"/>
  <c r="AC139" i="58"/>
  <c r="AC143" i="58"/>
  <c r="AC147" i="58"/>
  <c r="AC151" i="58"/>
  <c r="AC155" i="58"/>
  <c r="AC159" i="58"/>
  <c r="AC163" i="58"/>
  <c r="AC167" i="58"/>
  <c r="AC171" i="58"/>
  <c r="AC175" i="58"/>
  <c r="AC179" i="58"/>
  <c r="AC254" i="58"/>
  <c r="AC313" i="58"/>
  <c r="AC317" i="58"/>
  <c r="AC321" i="58"/>
  <c r="AC325" i="58"/>
  <c r="AC329" i="58"/>
  <c r="AC333" i="58"/>
  <c r="AC352" i="58"/>
  <c r="AC354" i="58"/>
  <c r="AC356" i="58"/>
  <c r="AC358" i="58"/>
  <c r="AC360" i="58"/>
  <c r="AC362" i="58"/>
  <c r="AC364" i="58"/>
  <c r="AC366" i="58"/>
  <c r="AC368" i="58"/>
  <c r="AC370" i="58"/>
  <c r="AC372" i="58"/>
  <c r="AC374" i="58"/>
  <c r="AC376" i="58"/>
  <c r="AC429" i="58"/>
  <c r="AC431" i="58"/>
  <c r="AC433" i="58"/>
  <c r="AC435" i="58"/>
  <c r="AC437" i="58"/>
  <c r="AC439" i="58"/>
  <c r="AC441" i="58"/>
  <c r="AC443" i="58"/>
  <c r="AC445" i="58"/>
  <c r="AC447" i="58"/>
  <c r="AC449" i="58"/>
  <c r="AC451" i="58"/>
  <c r="AC453" i="58"/>
  <c r="AC455" i="58"/>
  <c r="AC524" i="58"/>
  <c r="AC528" i="58"/>
  <c r="AC532" i="58"/>
  <c r="AC536" i="58"/>
  <c r="AC540" i="58"/>
  <c r="AC544" i="58"/>
  <c r="AC548" i="58"/>
  <c r="AC90" i="58"/>
  <c r="AC146" i="58"/>
  <c r="AC158" i="58"/>
  <c r="AC162" i="58"/>
  <c r="AC166" i="58"/>
  <c r="AC312" i="58"/>
  <c r="AC316" i="58"/>
  <c r="AC320" i="58"/>
  <c r="AC324" i="58"/>
  <c r="AC328" i="58"/>
  <c r="AC332" i="58"/>
  <c r="AC494" i="58"/>
  <c r="AC496" i="58"/>
  <c r="AC498" i="58"/>
  <c r="AC500" i="58"/>
  <c r="AC502" i="58"/>
  <c r="AC504" i="58"/>
  <c r="AC506" i="58"/>
  <c r="AC555" i="58"/>
  <c r="AC559" i="58"/>
  <c r="AC563" i="58"/>
  <c r="AC567" i="58"/>
  <c r="AC571" i="58"/>
  <c r="AC575" i="58"/>
  <c r="AC579" i="58"/>
  <c r="AC583" i="58"/>
  <c r="AC587" i="58"/>
  <c r="AC591" i="58"/>
  <c r="AC595" i="58"/>
  <c r="AC599" i="58"/>
  <c r="AC603" i="58"/>
  <c r="AC607" i="58"/>
  <c r="AC611" i="58"/>
  <c r="AC615" i="58"/>
  <c r="AC619" i="58"/>
  <c r="AC623" i="58"/>
  <c r="AC627" i="58"/>
  <c r="AC667" i="58"/>
  <c r="AC671" i="58"/>
  <c r="AC675" i="58"/>
  <c r="AC679" i="58"/>
  <c r="AC683" i="58"/>
  <c r="AC687" i="58"/>
  <c r="AC691" i="58"/>
  <c r="AC695" i="58"/>
  <c r="AC699" i="58"/>
  <c r="AC703" i="58"/>
  <c r="AC707" i="58"/>
  <c r="AC711" i="58"/>
  <c r="AC715" i="58"/>
  <c r="AD9" i="61"/>
  <c r="AC54" i="58"/>
  <c r="AC58" i="58"/>
  <c r="AC62" i="58"/>
  <c r="AC66" i="58"/>
  <c r="AC70" i="58"/>
  <c r="AC74" i="58"/>
  <c r="AC78" i="58"/>
  <c r="AC82" i="58"/>
  <c r="AC180" i="58"/>
  <c r="AC182" i="58"/>
  <c r="AC184" i="58"/>
  <c r="AC186" i="58"/>
  <c r="AC190" i="58"/>
  <c r="AC194" i="58"/>
  <c r="AC198" i="58"/>
  <c r="AC202" i="58"/>
  <c r="AC206" i="58"/>
  <c r="AC210" i="58"/>
  <c r="AC214" i="58"/>
  <c r="AC218" i="58"/>
  <c r="AC222" i="58"/>
  <c r="AC226" i="58"/>
  <c r="AC458" i="58"/>
  <c r="AC462" i="58"/>
  <c r="AC466" i="58"/>
  <c r="AC470" i="58"/>
  <c r="AC474" i="58"/>
  <c r="AC478" i="58"/>
  <c r="AC479" i="58"/>
  <c r="AC480" i="58"/>
  <c r="AC481" i="58"/>
  <c r="AC482" i="58"/>
  <c r="AC483" i="58"/>
  <c r="AC484" i="58"/>
  <c r="AC485" i="58"/>
  <c r="AC510" i="58"/>
  <c r="AC514" i="58"/>
  <c r="AC518" i="58"/>
  <c r="AC823" i="58"/>
  <c r="AC77" i="58"/>
  <c r="AC81" i="58"/>
  <c r="AC189" i="58"/>
  <c r="AC193" i="58"/>
  <c r="AC197" i="58"/>
  <c r="AC201" i="58"/>
  <c r="AC205" i="58"/>
  <c r="AC209" i="58"/>
  <c r="AC213" i="58"/>
  <c r="AC217" i="58"/>
  <c r="AC221" i="58"/>
  <c r="AC225" i="58"/>
  <c r="AC229" i="58"/>
  <c r="AC378" i="58"/>
  <c r="AC380" i="58"/>
  <c r="AC509" i="58"/>
  <c r="AC513" i="58"/>
  <c r="AC517" i="58"/>
  <c r="AC822" i="58"/>
  <c r="J1522" i="61"/>
  <c r="M1522" i="61" s="1"/>
  <c r="J1516" i="61"/>
  <c r="M1516" i="61" s="1"/>
  <c r="J1513" i="61"/>
  <c r="M1513" i="61" s="1"/>
  <c r="J1510" i="61"/>
  <c r="M1510" i="61" s="1"/>
  <c r="J1506" i="61"/>
  <c r="M1506" i="61" s="1"/>
  <c r="J1500" i="61"/>
  <c r="M1500" i="61" s="1"/>
  <c r="J1497" i="61"/>
  <c r="M1497" i="61" s="1"/>
  <c r="J1494" i="61"/>
  <c r="M1494" i="61" s="1"/>
  <c r="J1490" i="61"/>
  <c r="M1490" i="61" s="1"/>
  <c r="J1484" i="61"/>
  <c r="M1484" i="61" s="1"/>
  <c r="J1481" i="61"/>
  <c r="M1481" i="61" s="1"/>
  <c r="J1478" i="61"/>
  <c r="M1478" i="61" s="1"/>
  <c r="J1521" i="61"/>
  <c r="M1521" i="61" s="1"/>
  <c r="J1517" i="61"/>
  <c r="M1517" i="61" s="1"/>
  <c r="J1512" i="61"/>
  <c r="M1512" i="61" s="1"/>
  <c r="J1508" i="61"/>
  <c r="M1508" i="61" s="1"/>
  <c r="J1504" i="61"/>
  <c r="M1504" i="61" s="1"/>
  <c r="J1499" i="61"/>
  <c r="M1499" i="61" s="1"/>
  <c r="J1491" i="61"/>
  <c r="M1491" i="61" s="1"/>
  <c r="J1487" i="61"/>
  <c r="M1487" i="61" s="1"/>
  <c r="J1482" i="61"/>
  <c r="M1482" i="61" s="1"/>
  <c r="J1479" i="61"/>
  <c r="M1479" i="61" s="1"/>
  <c r="J1520" i="61"/>
  <c r="M1520" i="61" s="1"/>
  <c r="J1515" i="61"/>
  <c r="M1515" i="61" s="1"/>
  <c r="J1507" i="61"/>
  <c r="M1507" i="61" s="1"/>
  <c r="J1503" i="61"/>
  <c r="M1503" i="61" s="1"/>
  <c r="J1498" i="61"/>
  <c r="M1498" i="61" s="1"/>
  <c r="J1495" i="61"/>
  <c r="M1495" i="61" s="1"/>
  <c r="J1486" i="61"/>
  <c r="M1486" i="61" s="1"/>
  <c r="J1477" i="61"/>
  <c r="M1477" i="61" s="1"/>
  <c r="J1475" i="61"/>
  <c r="M1475" i="61" s="1"/>
  <c r="J1473" i="61"/>
  <c r="M1473" i="61" s="1"/>
  <c r="J1471" i="61"/>
  <c r="M1471" i="61" s="1"/>
  <c r="J1519" i="61"/>
  <c r="M1519" i="61" s="1"/>
  <c r="J1514" i="61"/>
  <c r="M1514" i="61" s="1"/>
  <c r="J1511" i="61"/>
  <c r="M1511" i="61" s="1"/>
  <c r="J1502" i="61"/>
  <c r="M1502" i="61" s="1"/>
  <c r="J1493" i="61"/>
  <c r="M1493" i="61" s="1"/>
  <c r="J1489" i="61"/>
  <c r="M1489" i="61" s="1"/>
  <c r="J1485" i="61"/>
  <c r="M1485" i="61" s="1"/>
  <c r="J1480" i="61"/>
  <c r="M1480" i="61" s="1"/>
  <c r="J1518" i="61"/>
  <c r="M1518" i="61" s="1"/>
  <c r="J1509" i="61"/>
  <c r="M1509" i="61" s="1"/>
  <c r="J1505" i="61"/>
  <c r="M1505" i="61" s="1"/>
  <c r="J1501" i="61"/>
  <c r="M1501" i="61" s="1"/>
  <c r="J1496" i="61"/>
  <c r="M1496" i="61" s="1"/>
  <c r="J1492" i="61"/>
  <c r="M1492" i="61" s="1"/>
  <c r="J1488" i="61"/>
  <c r="M1488" i="61" s="1"/>
  <c r="J1483" i="61"/>
  <c r="M1483" i="61" s="1"/>
  <c r="J1476" i="61"/>
  <c r="M1476" i="61" s="1"/>
  <c r="J1474" i="61"/>
  <c r="M1474" i="61" s="1"/>
  <c r="J1472" i="61"/>
  <c r="M1472" i="61" s="1"/>
  <c r="U10" i="61" s="1"/>
  <c r="AI10" i="61" s="1"/>
  <c r="AC460" i="58"/>
  <c r="AC464" i="58"/>
  <c r="AC468" i="58"/>
  <c r="AC472" i="58"/>
  <c r="AC476" i="58"/>
  <c r="AC228" i="58"/>
  <c r="AC486" i="58"/>
  <c r="AC487" i="58"/>
  <c r="AC488" i="58"/>
  <c r="AC489" i="58"/>
  <c r="AC490" i="58"/>
  <c r="AC491" i="58"/>
  <c r="AC492" i="58"/>
  <c r="AC493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I6" i="61"/>
  <c r="Y6" i="61"/>
  <c r="AG6" i="61" s="1"/>
  <c r="AI13" i="61"/>
  <c r="Y4" i="61"/>
  <c r="AG4" i="61" s="1"/>
  <c r="AF13" i="61"/>
  <c r="M57" i="52"/>
  <c r="Q9" i="52"/>
  <c r="O57" i="53"/>
  <c r="O57" i="52"/>
  <c r="AD480" i="57"/>
  <c r="AD496" i="57"/>
  <c r="AD510" i="57"/>
  <c r="AJ13" i="61"/>
  <c r="AD484" i="57"/>
  <c r="AD488" i="57"/>
  <c r="AD494" i="57"/>
  <c r="AD506" i="57"/>
  <c r="AD479" i="57"/>
  <c r="AD481" i="57"/>
  <c r="AD483" i="57"/>
  <c r="AD485" i="57"/>
  <c r="AD487" i="57"/>
  <c r="AD489" i="57"/>
  <c r="AD491" i="57"/>
  <c r="AD493" i="57"/>
  <c r="AD495" i="57"/>
  <c r="AD497" i="57"/>
  <c r="AD499" i="57"/>
  <c r="AD502" i="57"/>
  <c r="AD505" i="57"/>
  <c r="AD507" i="57"/>
  <c r="AD509" i="57"/>
  <c r="AD511" i="57"/>
  <c r="AD513" i="57"/>
  <c r="AD515" i="57"/>
  <c r="Z13" i="61"/>
  <c r="AH13" i="61" s="1"/>
  <c r="BA80" i="63"/>
  <c r="AW80" i="63"/>
  <c r="AS80" i="63"/>
  <c r="AO80" i="63"/>
  <c r="AK80" i="63"/>
  <c r="BD80" i="63"/>
  <c r="AZ80" i="63"/>
  <c r="AV80" i="63"/>
  <c r="AR80" i="63"/>
  <c r="AN80" i="63"/>
  <c r="AJ80" i="63"/>
  <c r="BC80" i="63"/>
  <c r="AY80" i="63"/>
  <c r="AU80" i="63"/>
  <c r="AQ80" i="63"/>
  <c r="AM80" i="63"/>
  <c r="AI80" i="63"/>
  <c r="BB80" i="63"/>
  <c r="AX80" i="63"/>
  <c r="AT80" i="63"/>
  <c r="AP80" i="63"/>
  <c r="AL80" i="63"/>
  <c r="BA84" i="63"/>
  <c r="AK84" i="63"/>
  <c r="AV84" i="63"/>
  <c r="AQ84" i="63"/>
  <c r="AT84" i="63"/>
  <c r="BA88" i="63"/>
  <c r="AZ88" i="63"/>
  <c r="AY88" i="63"/>
  <c r="AQ88" i="63"/>
  <c r="AL88" i="63"/>
  <c r="BA92" i="63"/>
  <c r="AW92" i="63"/>
  <c r="AS92" i="63"/>
  <c r="AO92" i="63"/>
  <c r="AK92" i="63"/>
  <c r="AB92" i="63"/>
  <c r="BD92" i="63"/>
  <c r="AZ92" i="63"/>
  <c r="AV92" i="63"/>
  <c r="AR92" i="63"/>
  <c r="AN92" i="63"/>
  <c r="AJ92" i="63"/>
  <c r="BC92" i="63"/>
  <c r="AY92" i="63"/>
  <c r="AU92" i="63"/>
  <c r="AQ92" i="63"/>
  <c r="AM92" i="63"/>
  <c r="AI92" i="63"/>
  <c r="BB92" i="63"/>
  <c r="AX92" i="63"/>
  <c r="AT92" i="63"/>
  <c r="AP92" i="63"/>
  <c r="AL92" i="63"/>
  <c r="BA96" i="63"/>
  <c r="AW96" i="63"/>
  <c r="AS96" i="63"/>
  <c r="AO96" i="63"/>
  <c r="AK96" i="63"/>
  <c r="AB96" i="63"/>
  <c r="BD96" i="63"/>
  <c r="AZ96" i="63"/>
  <c r="AV96" i="63"/>
  <c r="AR96" i="63"/>
  <c r="AN96" i="63"/>
  <c r="AJ96" i="63"/>
  <c r="BC96" i="63"/>
  <c r="AY96" i="63"/>
  <c r="AU96" i="63"/>
  <c r="AQ96" i="63"/>
  <c r="AM96" i="63"/>
  <c r="AI96" i="63"/>
  <c r="BB96" i="63"/>
  <c r="AX96" i="63"/>
  <c r="AT96" i="63"/>
  <c r="AP96" i="63"/>
  <c r="AL96" i="63"/>
  <c r="BC104" i="63"/>
  <c r="AY104" i="63"/>
  <c r="AU104" i="63"/>
  <c r="AQ104" i="63"/>
  <c r="AM104" i="63"/>
  <c r="AI104" i="63"/>
  <c r="BA104" i="63"/>
  <c r="AW104" i="63"/>
  <c r="AS104" i="63"/>
  <c r="AO104" i="63"/>
  <c r="AK104" i="63"/>
  <c r="BD104" i="63"/>
  <c r="AZ104" i="63"/>
  <c r="AV104" i="63"/>
  <c r="AR104" i="63"/>
  <c r="AN104" i="63"/>
  <c r="AJ104" i="63"/>
  <c r="AX104" i="63"/>
  <c r="AT104" i="63"/>
  <c r="AP104" i="63"/>
  <c r="BB104" i="63"/>
  <c r="AL104" i="63"/>
  <c r="BC108" i="63"/>
  <c r="AY108" i="63"/>
  <c r="AU108" i="63"/>
  <c r="AQ108" i="63"/>
  <c r="AM108" i="63"/>
  <c r="AI108" i="63"/>
  <c r="BB108" i="63"/>
  <c r="AX108" i="63"/>
  <c r="AT108" i="63"/>
  <c r="AP108" i="63"/>
  <c r="AL108" i="63"/>
  <c r="BA108" i="63"/>
  <c r="AW108" i="63"/>
  <c r="AS108" i="63"/>
  <c r="AO108" i="63"/>
  <c r="AK108" i="63"/>
  <c r="BD108" i="63"/>
  <c r="AZ108" i="63"/>
  <c r="AV108" i="63"/>
  <c r="AR108" i="63"/>
  <c r="AN108" i="63"/>
  <c r="AJ108" i="63"/>
  <c r="BC112" i="63"/>
  <c r="AY112" i="63"/>
  <c r="AU112" i="63"/>
  <c r="AM112" i="63"/>
  <c r="AI112" i="63"/>
  <c r="AX112" i="63"/>
  <c r="AT112" i="63"/>
  <c r="AP112" i="63"/>
  <c r="AL112" i="63"/>
  <c r="BA112" i="63"/>
  <c r="AW112" i="63"/>
  <c r="AS112" i="63"/>
  <c r="AO112" i="63"/>
  <c r="BD112" i="63"/>
  <c r="AZ112" i="63"/>
  <c r="AR112" i="63"/>
  <c r="AN112" i="63"/>
  <c r="AJ112" i="63"/>
  <c r="BC120" i="63"/>
  <c r="AY120" i="63"/>
  <c r="AU120" i="63"/>
  <c r="AQ120" i="63"/>
  <c r="AM120" i="63"/>
  <c r="AI120" i="63"/>
  <c r="R120" i="63"/>
  <c r="BB120" i="63"/>
  <c r="AX120" i="63"/>
  <c r="AT120" i="63"/>
  <c r="AP120" i="63"/>
  <c r="AL120" i="63"/>
  <c r="BD120" i="63"/>
  <c r="AV120" i="63"/>
  <c r="AN120" i="63"/>
  <c r="BA120" i="63"/>
  <c r="AS120" i="63"/>
  <c r="AK120" i="63"/>
  <c r="AZ120" i="63"/>
  <c r="AR120" i="63"/>
  <c r="AJ120" i="63"/>
  <c r="AW120" i="63"/>
  <c r="AO120" i="63"/>
  <c r="P120" i="63"/>
  <c r="BA124" i="63"/>
  <c r="AW124" i="63"/>
  <c r="AS124" i="63"/>
  <c r="AO124" i="63"/>
  <c r="AK124" i="63"/>
  <c r="AY124" i="63"/>
  <c r="AU124" i="63"/>
  <c r="AM124" i="63"/>
  <c r="AI124" i="63"/>
  <c r="BB124" i="63"/>
  <c r="AX124" i="63"/>
  <c r="AT124" i="63"/>
  <c r="AP124" i="63"/>
  <c r="AL124" i="63"/>
  <c r="AZ124" i="63"/>
  <c r="AV124" i="63"/>
  <c r="AR124" i="63"/>
  <c r="AN124" i="63"/>
  <c r="BA132" i="63"/>
  <c r="AW132" i="63"/>
  <c r="AS132" i="63"/>
  <c r="AO132" i="63"/>
  <c r="AK132" i="63"/>
  <c r="BD132" i="63"/>
  <c r="AZ132" i="63"/>
  <c r="AV132" i="63"/>
  <c r="AR132" i="63"/>
  <c r="AN132" i="63"/>
  <c r="AJ132" i="63"/>
  <c r="BC132" i="63"/>
  <c r="AY132" i="63"/>
  <c r="AU132" i="63"/>
  <c r="AQ132" i="63"/>
  <c r="AM132" i="63"/>
  <c r="AI132" i="63"/>
  <c r="BB132" i="63"/>
  <c r="AX132" i="63"/>
  <c r="AT132" i="63"/>
  <c r="AP132" i="63"/>
  <c r="AL132" i="63"/>
  <c r="BA136" i="63"/>
  <c r="AW136" i="63"/>
  <c r="AO136" i="63"/>
  <c r="AK136" i="63"/>
  <c r="BD136" i="63"/>
  <c r="AZ136" i="63"/>
  <c r="AV136" i="63"/>
  <c r="AR136" i="63"/>
  <c r="AN136" i="63"/>
  <c r="AJ136" i="63"/>
  <c r="AY136" i="63"/>
  <c r="AU136" i="63"/>
  <c r="AM136" i="63"/>
  <c r="AI136" i="63"/>
  <c r="BB136" i="63"/>
  <c r="AX136" i="63"/>
  <c r="AT136" i="63"/>
  <c r="AP136" i="63"/>
  <c r="AL136" i="63"/>
  <c r="BA77" i="63"/>
  <c r="AW77" i="63"/>
  <c r="AS77" i="63"/>
  <c r="AO77" i="63"/>
  <c r="AK77" i="63"/>
  <c r="BD77" i="63"/>
  <c r="AZ77" i="63"/>
  <c r="AV77" i="63"/>
  <c r="AR77" i="63"/>
  <c r="AN77" i="63"/>
  <c r="AJ77" i="63"/>
  <c r="BC77" i="63"/>
  <c r="AY77" i="63"/>
  <c r="AU77" i="63"/>
  <c r="AQ77" i="63"/>
  <c r="AM77" i="63"/>
  <c r="AI77" i="63"/>
  <c r="BB77" i="63"/>
  <c r="AX77" i="63"/>
  <c r="AT77" i="63"/>
  <c r="AP77" i="63"/>
  <c r="AL77" i="63"/>
  <c r="BA85" i="63"/>
  <c r="AW85" i="63"/>
  <c r="AS85" i="63"/>
  <c r="AO85" i="63"/>
  <c r="AK85" i="63"/>
  <c r="BD85" i="63"/>
  <c r="AZ85" i="63"/>
  <c r="AV85" i="63"/>
  <c r="AR85" i="63"/>
  <c r="AN85" i="63"/>
  <c r="AJ85" i="63"/>
  <c r="BC85" i="63"/>
  <c r="AY85" i="63"/>
  <c r="AU85" i="63"/>
  <c r="AQ85" i="63"/>
  <c r="AM85" i="63"/>
  <c r="AI85" i="63"/>
  <c r="BB85" i="63"/>
  <c r="AX85" i="63"/>
  <c r="AT85" i="63"/>
  <c r="AP85" i="63"/>
  <c r="AL85" i="63"/>
  <c r="AY101" i="63"/>
  <c r="AM101" i="63"/>
  <c r="AS101" i="63"/>
  <c r="AZ101" i="63"/>
  <c r="AR101" i="63"/>
  <c r="BB101" i="63"/>
  <c r="AP101" i="63"/>
  <c r="BC105" i="63"/>
  <c r="AY105" i="63"/>
  <c r="AU105" i="63"/>
  <c r="AQ105" i="63"/>
  <c r="AM105" i="63"/>
  <c r="AI105" i="63"/>
  <c r="BA105" i="63"/>
  <c r="AW105" i="63"/>
  <c r="AS105" i="63"/>
  <c r="AK105" i="63"/>
  <c r="BD105" i="63"/>
  <c r="AZ105" i="63"/>
  <c r="AV105" i="63"/>
  <c r="AR105" i="63"/>
  <c r="AN105" i="63"/>
  <c r="AJ105" i="63"/>
  <c r="BB105" i="63"/>
  <c r="AL105" i="63"/>
  <c r="AX105" i="63"/>
  <c r="AT105" i="63"/>
  <c r="BC109" i="63"/>
  <c r="AY109" i="63"/>
  <c r="AU109" i="63"/>
  <c r="AQ109" i="63"/>
  <c r="AM109" i="63"/>
  <c r="AI109" i="63"/>
  <c r="BB109" i="63"/>
  <c r="AX109" i="63"/>
  <c r="AT109" i="63"/>
  <c r="AP109" i="63"/>
  <c r="AL109" i="63"/>
  <c r="AW109" i="63"/>
  <c r="AS109" i="63"/>
  <c r="AO109" i="63"/>
  <c r="AK109" i="63"/>
  <c r="BD109" i="63"/>
  <c r="AZ109" i="63"/>
  <c r="AV109" i="63"/>
  <c r="AR109" i="63"/>
  <c r="AN109" i="63"/>
  <c r="AJ109" i="63"/>
  <c r="BC117" i="63"/>
  <c r="AU117" i="63"/>
  <c r="AQ117" i="63"/>
  <c r="AM117" i="63"/>
  <c r="AI117" i="63"/>
  <c r="BB117" i="63"/>
  <c r="AX117" i="63"/>
  <c r="AT117" i="63"/>
  <c r="AP117" i="63"/>
  <c r="AL117" i="63"/>
  <c r="AZ117" i="63"/>
  <c r="AR117" i="63"/>
  <c r="AW117" i="63"/>
  <c r="AO117" i="63"/>
  <c r="BD117" i="63"/>
  <c r="AV117" i="63"/>
  <c r="AN117" i="63"/>
  <c r="BA117" i="63"/>
  <c r="AS117" i="63"/>
  <c r="AK117" i="63"/>
  <c r="BC121" i="63"/>
  <c r="AY121" i="63"/>
  <c r="AU121" i="63"/>
  <c r="AM121" i="63"/>
  <c r="AI121" i="63"/>
  <c r="R121" i="63"/>
  <c r="BB121" i="63"/>
  <c r="AX121" i="63"/>
  <c r="AT121" i="63"/>
  <c r="AP121" i="63"/>
  <c r="AL121" i="63"/>
  <c r="AZ121" i="63"/>
  <c r="AR121" i="63"/>
  <c r="AJ121" i="63"/>
  <c r="AO121" i="63"/>
  <c r="P121" i="63"/>
  <c r="BD121" i="63"/>
  <c r="AV121" i="63"/>
  <c r="AN121" i="63"/>
  <c r="BA121" i="63"/>
  <c r="AS121" i="63"/>
  <c r="AK121" i="63"/>
  <c r="BA129" i="63"/>
  <c r="AW129" i="63"/>
  <c r="AS129" i="63"/>
  <c r="AO129" i="63"/>
  <c r="AK129" i="63"/>
  <c r="AY129" i="63"/>
  <c r="AU129" i="63"/>
  <c r="AQ129" i="63"/>
  <c r="AM129" i="63"/>
  <c r="AI129" i="63"/>
  <c r="BB129" i="63"/>
  <c r="AX129" i="63"/>
  <c r="AT129" i="63"/>
  <c r="AP129" i="63"/>
  <c r="AL129" i="63"/>
  <c r="BD129" i="63"/>
  <c r="AZ129" i="63"/>
  <c r="AJ129" i="63"/>
  <c r="AV129" i="63"/>
  <c r="AR129" i="63"/>
  <c r="BA133" i="63"/>
  <c r="AW133" i="63"/>
  <c r="AS133" i="63"/>
  <c r="AO133" i="63"/>
  <c r="AK133" i="63"/>
  <c r="BD133" i="63"/>
  <c r="AZ133" i="63"/>
  <c r="AR133" i="63"/>
  <c r="AN133" i="63"/>
  <c r="AJ133" i="63"/>
  <c r="BC133" i="63"/>
  <c r="AY133" i="63"/>
  <c r="AU133" i="63"/>
  <c r="AQ133" i="63"/>
  <c r="AM133" i="63"/>
  <c r="AI133" i="63"/>
  <c r="BB133" i="63"/>
  <c r="AX133" i="63"/>
  <c r="AP133" i="63"/>
  <c r="AL133" i="63"/>
  <c r="BC141" i="63"/>
  <c r="AY141" i="63"/>
  <c r="AU141" i="63"/>
  <c r="AQ141" i="63"/>
  <c r="AM141" i="63"/>
  <c r="AI141" i="63"/>
  <c r="BB141" i="63"/>
  <c r="AX141" i="63"/>
  <c r="AT141" i="63"/>
  <c r="AP141" i="63"/>
  <c r="AL141" i="63"/>
  <c r="AW141" i="63"/>
  <c r="AS141" i="63"/>
  <c r="AO141" i="63"/>
  <c r="AK141" i="63"/>
  <c r="BD141" i="63"/>
  <c r="AZ141" i="63"/>
  <c r="AV141" i="63"/>
  <c r="AR141" i="63"/>
  <c r="AN141" i="63"/>
  <c r="AJ141" i="63"/>
  <c r="BA78" i="63"/>
  <c r="AW78" i="63"/>
  <c r="AS78" i="63"/>
  <c r="AO78" i="63"/>
  <c r="AK78" i="63"/>
  <c r="BD78" i="63"/>
  <c r="AZ78" i="63"/>
  <c r="AV78" i="63"/>
  <c r="AR78" i="63"/>
  <c r="AN78" i="63"/>
  <c r="AJ78" i="63"/>
  <c r="BC78" i="63"/>
  <c r="AY78" i="63"/>
  <c r="AU78" i="63"/>
  <c r="AQ78" i="63"/>
  <c r="AM78" i="63"/>
  <c r="AI78" i="63"/>
  <c r="BB78" i="63"/>
  <c r="AX78" i="63"/>
  <c r="AT78" i="63"/>
  <c r="AP78" i="63"/>
  <c r="AL78" i="63"/>
  <c r="BA82" i="63"/>
  <c r="AW82" i="63"/>
  <c r="AS82" i="63"/>
  <c r="AO82" i="63"/>
  <c r="AK82" i="63"/>
  <c r="AB82" i="63"/>
  <c r="BD82" i="63"/>
  <c r="AZ82" i="63"/>
  <c r="AV82" i="63"/>
  <c r="AR82" i="63"/>
  <c r="AN82" i="63"/>
  <c r="AJ82" i="63"/>
  <c r="BC82" i="63"/>
  <c r="AY82" i="63"/>
  <c r="AU82" i="63"/>
  <c r="AQ82" i="63"/>
  <c r="AM82" i="63"/>
  <c r="AI82" i="63"/>
  <c r="BB82" i="63"/>
  <c r="AX82" i="63"/>
  <c r="AT82" i="63"/>
  <c r="AP82" i="63"/>
  <c r="AL82" i="63"/>
  <c r="BA86" i="63"/>
  <c r="BD86" i="63"/>
  <c r="AV86" i="63"/>
  <c r="AJ86" i="63"/>
  <c r="AU86" i="63"/>
  <c r="AX86" i="63"/>
  <c r="AP86" i="63"/>
  <c r="BA90" i="63"/>
  <c r="AW90" i="63"/>
  <c r="AS90" i="63"/>
  <c r="AO90" i="63"/>
  <c r="AK90" i="63"/>
  <c r="AB90" i="63"/>
  <c r="BD90" i="63"/>
  <c r="AZ90" i="63"/>
  <c r="AV90" i="63"/>
  <c r="AR90" i="63"/>
  <c r="AN90" i="63"/>
  <c r="AJ90" i="63"/>
  <c r="BC90" i="63"/>
  <c r="AY90" i="63"/>
  <c r="AU90" i="63"/>
  <c r="AQ90" i="63"/>
  <c r="AM90" i="63"/>
  <c r="AI90" i="63"/>
  <c r="BB90" i="63"/>
  <c r="AX90" i="63"/>
  <c r="AT90" i="63"/>
  <c r="AP90" i="63"/>
  <c r="AL90" i="63"/>
  <c r="BC102" i="63"/>
  <c r="AY102" i="63"/>
  <c r="AU102" i="63"/>
  <c r="AQ102" i="63"/>
  <c r="AM102" i="63"/>
  <c r="AI102" i="63"/>
  <c r="BA102" i="63"/>
  <c r="AW102" i="63"/>
  <c r="AS102" i="63"/>
  <c r="AO102" i="63"/>
  <c r="AK102" i="63"/>
  <c r="BD102" i="63"/>
  <c r="AZ102" i="63"/>
  <c r="AV102" i="63"/>
  <c r="AR102" i="63"/>
  <c r="AN102" i="63"/>
  <c r="AJ102" i="63"/>
  <c r="AP102" i="63"/>
  <c r="BB102" i="63"/>
  <c r="AL102" i="63"/>
  <c r="AX102" i="63"/>
  <c r="AT102" i="63"/>
  <c r="AY110" i="63"/>
  <c r="AU110" i="63"/>
  <c r="AQ110" i="63"/>
  <c r="AM110" i="63"/>
  <c r="AI110" i="63"/>
  <c r="BB110" i="63"/>
  <c r="AX110" i="63"/>
  <c r="AT110" i="63"/>
  <c r="AP110" i="63"/>
  <c r="AL110" i="63"/>
  <c r="BA110" i="63"/>
  <c r="AS110" i="63"/>
  <c r="AO110" i="63"/>
  <c r="AK110" i="63"/>
  <c r="BD110" i="63"/>
  <c r="AZ110" i="63"/>
  <c r="AV110" i="63"/>
  <c r="AR110" i="63"/>
  <c r="AN110" i="63"/>
  <c r="AJ110" i="63"/>
  <c r="BA122" i="63"/>
  <c r="BC122" i="63"/>
  <c r="AU122" i="63"/>
  <c r="AQ122" i="63"/>
  <c r="AM122" i="63"/>
  <c r="AI122" i="63"/>
  <c r="BB122" i="63"/>
  <c r="AX122" i="63"/>
  <c r="AT122" i="63"/>
  <c r="AP122" i="63"/>
  <c r="AL122" i="63"/>
  <c r="AV122" i="63"/>
  <c r="AN122" i="63"/>
  <c r="AS122" i="63"/>
  <c r="AK122" i="63"/>
  <c r="AZ122" i="63"/>
  <c r="AR122" i="63"/>
  <c r="AJ122" i="63"/>
  <c r="AW122" i="63"/>
  <c r="AO122" i="63"/>
  <c r="BA134" i="63"/>
  <c r="AW134" i="63"/>
  <c r="AS134" i="63"/>
  <c r="AO134" i="63"/>
  <c r="AK134" i="63"/>
  <c r="BD134" i="63"/>
  <c r="AZ134" i="63"/>
  <c r="AV134" i="63"/>
  <c r="AN134" i="63"/>
  <c r="AJ134" i="63"/>
  <c r="BC134" i="63"/>
  <c r="AY134" i="63"/>
  <c r="AU134" i="63"/>
  <c r="AQ134" i="63"/>
  <c r="AM134" i="63"/>
  <c r="AI134" i="63"/>
  <c r="BB134" i="63"/>
  <c r="AX134" i="63"/>
  <c r="AT134" i="63"/>
  <c r="AL134" i="63"/>
  <c r="BA79" i="63"/>
  <c r="AW79" i="63"/>
  <c r="AS79" i="63"/>
  <c r="AO79" i="63"/>
  <c r="AK79" i="63"/>
  <c r="BD79" i="63"/>
  <c r="AZ79" i="63"/>
  <c r="AV79" i="63"/>
  <c r="AR79" i="63"/>
  <c r="AN79" i="63"/>
  <c r="AJ79" i="63"/>
  <c r="BC79" i="63"/>
  <c r="AY79" i="63"/>
  <c r="AU79" i="63"/>
  <c r="AQ79" i="63"/>
  <c r="AM79" i="63"/>
  <c r="AI79" i="63"/>
  <c r="BB79" i="63"/>
  <c r="AX79" i="63"/>
  <c r="AT79" i="63"/>
  <c r="AP79" i="63"/>
  <c r="AL79" i="63"/>
  <c r="BA87" i="63"/>
  <c r="AW87" i="63"/>
  <c r="AS87" i="63"/>
  <c r="AO87" i="63"/>
  <c r="AK87" i="63"/>
  <c r="BD87" i="63"/>
  <c r="AZ87" i="63"/>
  <c r="AV87" i="63"/>
  <c r="AR87" i="63"/>
  <c r="AN87" i="63"/>
  <c r="AJ87" i="63"/>
  <c r="BC87" i="63"/>
  <c r="AY87" i="63"/>
  <c r="AU87" i="63"/>
  <c r="AQ87" i="63"/>
  <c r="AM87" i="63"/>
  <c r="AI87" i="63"/>
  <c r="BB87" i="63"/>
  <c r="AX87" i="63"/>
  <c r="AT87" i="63"/>
  <c r="AP87" i="63"/>
  <c r="AL87" i="63"/>
  <c r="BA99" i="63"/>
  <c r="AW99" i="63"/>
  <c r="AS99" i="63"/>
  <c r="AO99" i="63"/>
  <c r="AK99" i="63"/>
  <c r="AB99" i="63"/>
  <c r="BD99" i="63"/>
  <c r="AZ99" i="63"/>
  <c r="AV99" i="63"/>
  <c r="AR99" i="63"/>
  <c r="AN99" i="63"/>
  <c r="AJ99" i="63"/>
  <c r="BC99" i="63"/>
  <c r="AU99" i="63"/>
  <c r="AM99" i="63"/>
  <c r="BB99" i="63"/>
  <c r="AT99" i="63"/>
  <c r="AL99" i="63"/>
  <c r="AY99" i="63"/>
  <c r="AQ99" i="63"/>
  <c r="AI99" i="63"/>
  <c r="AX99" i="63"/>
  <c r="AP99" i="63"/>
  <c r="AQ103" i="63"/>
  <c r="AI103" i="63"/>
  <c r="AN103" i="63"/>
  <c r="AT103" i="63"/>
  <c r="BC107" i="63"/>
  <c r="AY107" i="63"/>
  <c r="AU107" i="63"/>
  <c r="AQ107" i="63"/>
  <c r="AM107" i="63"/>
  <c r="AI107" i="63"/>
  <c r="BB107" i="63"/>
  <c r="AX107" i="63"/>
  <c r="AT107" i="63"/>
  <c r="AP107" i="63"/>
  <c r="AL107" i="63"/>
  <c r="BA107" i="63"/>
  <c r="AW107" i="63"/>
  <c r="AS107" i="63"/>
  <c r="AO107" i="63"/>
  <c r="AK107" i="63"/>
  <c r="BD107" i="63"/>
  <c r="AZ107" i="63"/>
  <c r="AV107" i="63"/>
  <c r="AR107" i="63"/>
  <c r="AN107" i="63"/>
  <c r="AJ107" i="63"/>
  <c r="AX111" i="63"/>
  <c r="AP111" i="63"/>
  <c r="AR111" i="63"/>
  <c r="AJ111" i="63"/>
  <c r="BC115" i="63"/>
  <c r="AY115" i="63"/>
  <c r="AU115" i="63"/>
  <c r="AQ115" i="63"/>
  <c r="AM115" i="63"/>
  <c r="AI115" i="63"/>
  <c r="R115" i="63"/>
  <c r="BB115" i="63"/>
  <c r="AX115" i="63"/>
  <c r="AT115" i="63"/>
  <c r="AP115" i="63"/>
  <c r="AL115" i="63"/>
  <c r="BA115" i="63"/>
  <c r="AW115" i="63"/>
  <c r="AS115" i="63"/>
  <c r="AO115" i="63"/>
  <c r="AK115" i="63"/>
  <c r="P115" i="63"/>
  <c r="BD115" i="63"/>
  <c r="AZ115" i="63"/>
  <c r="AV115" i="63"/>
  <c r="AR115" i="63"/>
  <c r="AN115" i="63"/>
  <c r="AJ115" i="63"/>
  <c r="BC119" i="63"/>
  <c r="AY119" i="63"/>
  <c r="AU119" i="63"/>
  <c r="AQ119" i="63"/>
  <c r="AM119" i="63"/>
  <c r="AI119" i="63"/>
  <c r="R119" i="63"/>
  <c r="BB119" i="63"/>
  <c r="AX119" i="63"/>
  <c r="AT119" i="63"/>
  <c r="AP119" i="63"/>
  <c r="AL119" i="63"/>
  <c r="AZ119" i="63"/>
  <c r="AR119" i="63"/>
  <c r="AJ119" i="63"/>
  <c r="AW119" i="63"/>
  <c r="AO119" i="63"/>
  <c r="P119" i="63"/>
  <c r="BD119" i="63"/>
  <c r="AV119" i="63"/>
  <c r="AN119" i="63"/>
  <c r="BA119" i="63"/>
  <c r="AS119" i="63"/>
  <c r="AK119" i="63"/>
  <c r="AM123" i="63"/>
  <c r="BB123" i="63"/>
  <c r="AJ123" i="63"/>
  <c r="BA127" i="63"/>
  <c r="AW127" i="63"/>
  <c r="AS127" i="63"/>
  <c r="AO127" i="63"/>
  <c r="AK127" i="63"/>
  <c r="BC127" i="63"/>
  <c r="AY127" i="63"/>
  <c r="AU127" i="63"/>
  <c r="AQ127" i="63"/>
  <c r="AM127" i="63"/>
  <c r="AI127" i="63"/>
  <c r="BB127" i="63"/>
  <c r="AX127" i="63"/>
  <c r="AT127" i="63"/>
  <c r="AP127" i="63"/>
  <c r="AL127" i="63"/>
  <c r="AV127" i="63"/>
  <c r="AR127" i="63"/>
  <c r="BD127" i="63"/>
  <c r="AN127" i="63"/>
  <c r="AZ127" i="63"/>
  <c r="AJ127" i="63"/>
  <c r="BA131" i="63"/>
  <c r="AW131" i="63"/>
  <c r="AS131" i="63"/>
  <c r="AO131" i="63"/>
  <c r="AK131" i="63"/>
  <c r="BD131" i="63"/>
  <c r="AZ131" i="63"/>
  <c r="AV131" i="63"/>
  <c r="AR131" i="63"/>
  <c r="AN131" i="63"/>
  <c r="AJ131" i="63"/>
  <c r="BC131" i="63"/>
  <c r="AY131" i="63"/>
  <c r="AU131" i="63"/>
  <c r="AQ131" i="63"/>
  <c r="AM131" i="63"/>
  <c r="AI131" i="63"/>
  <c r="BB131" i="63"/>
  <c r="AX131" i="63"/>
  <c r="AT131" i="63"/>
  <c r="AP131" i="63"/>
  <c r="AL131" i="63"/>
  <c r="AO135" i="63"/>
  <c r="BD135" i="63"/>
  <c r="AM135" i="63"/>
  <c r="BB135" i="63"/>
  <c r="BC139" i="63"/>
  <c r="AY139" i="63"/>
  <c r="AU139" i="63"/>
  <c r="AQ139" i="63"/>
  <c r="AM139" i="63"/>
  <c r="AI139" i="63"/>
  <c r="BB139" i="63"/>
  <c r="AX139" i="63"/>
  <c r="AT139" i="63"/>
  <c r="AP139" i="63"/>
  <c r="AL139" i="63"/>
  <c r="BA139" i="63"/>
  <c r="AW139" i="63"/>
  <c r="AS139" i="63"/>
  <c r="AO139" i="63"/>
  <c r="AK139" i="63"/>
  <c r="BD139" i="63"/>
  <c r="AZ139" i="63"/>
  <c r="AV139" i="63"/>
  <c r="AR139" i="63"/>
  <c r="AN139" i="63"/>
  <c r="AJ139" i="63"/>
  <c r="BC143" i="63"/>
  <c r="AY143" i="63"/>
  <c r="AU143" i="63"/>
  <c r="AQ143" i="63"/>
  <c r="AM143" i="63"/>
  <c r="AI143" i="63"/>
  <c r="BB143" i="63"/>
  <c r="AX143" i="63"/>
  <c r="AT143" i="63"/>
  <c r="AP143" i="63"/>
  <c r="AL143" i="63"/>
  <c r="BA143" i="63"/>
  <c r="AW143" i="63"/>
  <c r="AS143" i="63"/>
  <c r="AO143" i="63"/>
  <c r="AK143" i="63"/>
  <c r="BD143" i="63"/>
  <c r="AZ143" i="63"/>
  <c r="AV143" i="63"/>
  <c r="AR143" i="63"/>
  <c r="AN143" i="63"/>
  <c r="AJ143" i="63"/>
  <c r="H10" i="66"/>
  <c r="AD71" i="64"/>
  <c r="Z71" i="64"/>
  <c r="AC71" i="64"/>
  <c r="Y71" i="64"/>
  <c r="AD75" i="64"/>
  <c r="Z75" i="64"/>
  <c r="AC75" i="64"/>
  <c r="Y75" i="64"/>
  <c r="AF79" i="64"/>
  <c r="AB79" i="64"/>
  <c r="X79" i="64"/>
  <c r="AE79" i="64"/>
  <c r="AA79" i="64"/>
  <c r="W79" i="64"/>
  <c r="AD79" i="64"/>
  <c r="AC79" i="64"/>
  <c r="AF83" i="64"/>
  <c r="AB83" i="64"/>
  <c r="X83" i="64"/>
  <c r="AE83" i="64"/>
  <c r="AA83" i="64"/>
  <c r="W83" i="64"/>
  <c r="AD83" i="64"/>
  <c r="AC83" i="64"/>
  <c r="AF87" i="64"/>
  <c r="AB87" i="64"/>
  <c r="X87" i="64"/>
  <c r="AE87" i="64"/>
  <c r="AA87" i="64"/>
  <c r="W87" i="64"/>
  <c r="AD87" i="64"/>
  <c r="AC87" i="64"/>
  <c r="AF91" i="64"/>
  <c r="AB91" i="64"/>
  <c r="X91" i="64"/>
  <c r="AE91" i="64"/>
  <c r="AA91" i="64"/>
  <c r="W91" i="64"/>
  <c r="AD91" i="64"/>
  <c r="AC91" i="64"/>
  <c r="AE95" i="64"/>
  <c r="AA95" i="64"/>
  <c r="W95" i="64"/>
  <c r="AC95" i="64"/>
  <c r="Y95" i="64"/>
  <c r="AF95" i="64"/>
  <c r="AB95" i="64"/>
  <c r="X95" i="64"/>
  <c r="AD95" i="64"/>
  <c r="Z95" i="64"/>
  <c r="AE99" i="64"/>
  <c r="AA99" i="64"/>
  <c r="W99" i="64"/>
  <c r="AD99" i="64"/>
  <c r="Z99" i="64"/>
  <c r="AC99" i="64"/>
  <c r="Y99" i="64"/>
  <c r="AF99" i="64"/>
  <c r="AB99" i="64"/>
  <c r="X99" i="64"/>
  <c r="Z56" i="64"/>
  <c r="AD56" i="64"/>
  <c r="Z57" i="64"/>
  <c r="AD57" i="64"/>
  <c r="Z58" i="64"/>
  <c r="AD58" i="64"/>
  <c r="Z59" i="64"/>
  <c r="AD59" i="64"/>
  <c r="Z60" i="64"/>
  <c r="AD60" i="64"/>
  <c r="Z63" i="64"/>
  <c r="AD63" i="64"/>
  <c r="Z64" i="64"/>
  <c r="AD64" i="64"/>
  <c r="Z65" i="64"/>
  <c r="AD65" i="64"/>
  <c r="Z67" i="64"/>
  <c r="AD67" i="64"/>
  <c r="W68" i="64"/>
  <c r="AA69" i="64"/>
  <c r="AA71" i="64"/>
  <c r="W72" i="64"/>
  <c r="AA75" i="64"/>
  <c r="W76" i="64"/>
  <c r="Y77" i="64"/>
  <c r="Y81" i="64"/>
  <c r="Y89" i="64"/>
  <c r="AD68" i="64"/>
  <c r="Z68" i="64"/>
  <c r="AC68" i="64"/>
  <c r="Y68" i="64"/>
  <c r="AD72" i="64"/>
  <c r="Z72" i="64"/>
  <c r="AC72" i="64"/>
  <c r="Y72" i="64"/>
  <c r="AC76" i="64"/>
  <c r="AF80" i="64"/>
  <c r="AB80" i="64"/>
  <c r="X80" i="64"/>
  <c r="AE80" i="64"/>
  <c r="AA80" i="64"/>
  <c r="W80" i="64"/>
  <c r="Z80" i="64"/>
  <c r="Y80" i="64"/>
  <c r="AF84" i="64"/>
  <c r="AB84" i="64"/>
  <c r="X84" i="64"/>
  <c r="AE84" i="64"/>
  <c r="AA84" i="64"/>
  <c r="W84" i="64"/>
  <c r="Z84" i="64"/>
  <c r="Y84" i="64"/>
  <c r="AB88" i="64"/>
  <c r="AE88" i="64"/>
  <c r="Z88" i="64"/>
  <c r="AF92" i="64"/>
  <c r="AB92" i="64"/>
  <c r="X92" i="64"/>
  <c r="AE92" i="64"/>
  <c r="AA92" i="64"/>
  <c r="W92" i="64"/>
  <c r="Z92" i="64"/>
  <c r="Y92" i="64"/>
  <c r="W96" i="64"/>
  <c r="Y96" i="64"/>
  <c r="AF96" i="64"/>
  <c r="X96" i="64"/>
  <c r="Z96" i="64"/>
  <c r="AA100" i="64"/>
  <c r="Z100" i="64"/>
  <c r="AF100" i="64"/>
  <c r="AB100" i="64"/>
  <c r="W56" i="64"/>
  <c r="AA56" i="64"/>
  <c r="F8" i="66" s="1"/>
  <c r="AE56" i="64"/>
  <c r="W57" i="64"/>
  <c r="B8" i="66" s="1"/>
  <c r="AA57" i="64"/>
  <c r="AE57" i="64"/>
  <c r="W58" i="64"/>
  <c r="AA58" i="64"/>
  <c r="AE58" i="64"/>
  <c r="W59" i="64"/>
  <c r="AA59" i="64"/>
  <c r="AE59" i="64"/>
  <c r="W60" i="64"/>
  <c r="AA60" i="64"/>
  <c r="AE60" i="64"/>
  <c r="W63" i="64"/>
  <c r="AA63" i="64"/>
  <c r="AE63" i="64"/>
  <c r="W64" i="64"/>
  <c r="AA64" i="64"/>
  <c r="W65" i="64"/>
  <c r="AA65" i="64"/>
  <c r="AE65" i="64"/>
  <c r="W67" i="64"/>
  <c r="AA67" i="64"/>
  <c r="AE67" i="64"/>
  <c r="X68" i="64"/>
  <c r="AF68" i="64"/>
  <c r="AF70" i="64"/>
  <c r="AB71" i="64"/>
  <c r="X72" i="64"/>
  <c r="AF72" i="64"/>
  <c r="AB75" i="64"/>
  <c r="X76" i="64"/>
  <c r="AD80" i="64"/>
  <c r="AD84" i="64"/>
  <c r="AD92" i="64"/>
  <c r="AD69" i="64"/>
  <c r="Z69" i="64"/>
  <c r="AC69" i="64"/>
  <c r="Y69" i="64"/>
  <c r="AF77" i="64"/>
  <c r="AB77" i="64"/>
  <c r="X77" i="64"/>
  <c r="AE77" i="64"/>
  <c r="AA77" i="64"/>
  <c r="W77" i="64"/>
  <c r="AD77" i="64"/>
  <c r="AC77" i="64"/>
  <c r="AF81" i="64"/>
  <c r="AB81" i="64"/>
  <c r="X81" i="64"/>
  <c r="AE81" i="64"/>
  <c r="AA81" i="64"/>
  <c r="W81" i="64"/>
  <c r="AD81" i="64"/>
  <c r="AC81" i="64"/>
  <c r="AF89" i="64"/>
  <c r="AB89" i="64"/>
  <c r="X89" i="64"/>
  <c r="AE89" i="64"/>
  <c r="AA89" i="64"/>
  <c r="W89" i="64"/>
  <c r="AD89" i="64"/>
  <c r="AC89" i="64"/>
  <c r="AE93" i="64"/>
  <c r="AA93" i="64"/>
  <c r="W93" i="64"/>
  <c r="AC93" i="64"/>
  <c r="Y93" i="64"/>
  <c r="AF93" i="64"/>
  <c r="AB93" i="64"/>
  <c r="X93" i="64"/>
  <c r="W97" i="64"/>
  <c r="AC97" i="64"/>
  <c r="Y97" i="64"/>
  <c r="X97" i="64"/>
  <c r="AE101" i="64"/>
  <c r="AF101" i="64"/>
  <c r="AA101" i="64"/>
  <c r="W101" i="64"/>
  <c r="AD101" i="64"/>
  <c r="Z101" i="64"/>
  <c r="AC101" i="64"/>
  <c r="Y101" i="64"/>
  <c r="AB101" i="64"/>
  <c r="X101" i="64"/>
  <c r="X56" i="64"/>
  <c r="AB56" i="64"/>
  <c r="AF56" i="64"/>
  <c r="X57" i="64"/>
  <c r="AB57" i="64"/>
  <c r="AF57" i="64"/>
  <c r="X58" i="64"/>
  <c r="AB58" i="64"/>
  <c r="AF58" i="64"/>
  <c r="X59" i="64"/>
  <c r="AB59" i="64"/>
  <c r="AF59" i="64"/>
  <c r="X60" i="64"/>
  <c r="AB60" i="64"/>
  <c r="AF60" i="64"/>
  <c r="X63" i="64"/>
  <c r="AB63" i="64"/>
  <c r="AF63" i="64"/>
  <c r="X64" i="64"/>
  <c r="AB64" i="64"/>
  <c r="X65" i="64"/>
  <c r="AB65" i="64"/>
  <c r="AF65" i="64"/>
  <c r="X67" i="64"/>
  <c r="AB67" i="64"/>
  <c r="AF67" i="64"/>
  <c r="AA68" i="64"/>
  <c r="W69" i="64"/>
  <c r="AE69" i="64"/>
  <c r="W71" i="64"/>
  <c r="AE71" i="64"/>
  <c r="AA72" i="64"/>
  <c r="W75" i="64"/>
  <c r="AE75" i="64"/>
  <c r="AA76" i="64"/>
  <c r="Y79" i="64"/>
  <c r="Y83" i="64"/>
  <c r="Y87" i="64"/>
  <c r="Y91" i="64"/>
  <c r="Z93" i="64"/>
  <c r="AC70" i="64"/>
  <c r="AF82" i="64"/>
  <c r="AB82" i="64"/>
  <c r="X82" i="64"/>
  <c r="AE82" i="64"/>
  <c r="AA82" i="64"/>
  <c r="W82" i="64"/>
  <c r="Z82" i="64"/>
  <c r="Y82" i="64"/>
  <c r="AA94" i="64"/>
  <c r="W94" i="64"/>
  <c r="AF94" i="64"/>
  <c r="X94" i="64"/>
  <c r="Y56" i="64"/>
  <c r="D8" i="66" s="1"/>
  <c r="Y57" i="64"/>
  <c r="T58" i="64"/>
  <c r="Y58" i="64"/>
  <c r="T59" i="64"/>
  <c r="Y59" i="64"/>
  <c r="T60" i="64"/>
  <c r="Y60" i="64"/>
  <c r="T63" i="64"/>
  <c r="Y63" i="64"/>
  <c r="T65" i="64"/>
  <c r="Y65" i="64"/>
  <c r="Y67" i="64"/>
  <c r="AB68" i="64"/>
  <c r="X69" i="64"/>
  <c r="AF69" i="64"/>
  <c r="AB70" i="64"/>
  <c r="X71" i="64"/>
  <c r="AF71" i="64"/>
  <c r="AB72" i="64"/>
  <c r="X75" i="64"/>
  <c r="AF75" i="64"/>
  <c r="AB76" i="64"/>
  <c r="Z79" i="64"/>
  <c r="AD82" i="64"/>
  <c r="Z83" i="64"/>
  <c r="Z87" i="64"/>
  <c r="Z91" i="64"/>
  <c r="AD93" i="64"/>
  <c r="H8" i="66"/>
  <c r="Z3" i="61"/>
  <c r="AH3" i="61" s="1"/>
  <c r="AJ8" i="61"/>
  <c r="Z4" i="61"/>
  <c r="AH4" i="61" s="1"/>
  <c r="Z6" i="61"/>
  <c r="AH6" i="61" s="1"/>
  <c r="AJ4" i="61"/>
  <c r="Z8" i="61"/>
  <c r="AH8" i="61" s="1"/>
  <c r="AJ3" i="61"/>
  <c r="U9" i="61"/>
  <c r="AI9" i="61" s="1"/>
  <c r="R9" i="61"/>
  <c r="U11" i="61"/>
  <c r="AI11" i="61" s="1"/>
  <c r="R11" i="61"/>
  <c r="R12" i="61"/>
  <c r="M1845" i="61"/>
  <c r="U12" i="61" s="1"/>
  <c r="AI12" i="61" s="1"/>
  <c r="X3" i="61"/>
  <c r="AF3" i="61" s="1"/>
  <c r="AT6" i="57"/>
  <c r="AT9" i="57" s="1"/>
  <c r="AC379" i="58"/>
  <c r="AC381" i="58"/>
  <c r="AC383" i="58"/>
  <c r="AC86" i="58"/>
  <c r="AC94" i="58"/>
  <c r="AC98" i="58"/>
  <c r="AC102" i="58"/>
  <c r="AC106" i="58"/>
  <c r="AC110" i="58"/>
  <c r="AC114" i="58"/>
  <c r="AC118" i="58"/>
  <c r="AC122" i="58"/>
  <c r="AC126" i="58"/>
  <c r="AC130" i="58"/>
  <c r="AC134" i="58"/>
  <c r="AC138" i="58"/>
  <c r="AC142" i="58"/>
  <c r="AC2" i="58"/>
  <c r="AC6" i="58"/>
  <c r="AC10" i="58"/>
  <c r="AC14" i="58"/>
  <c r="AC15" i="58"/>
  <c r="AC16" i="58"/>
  <c r="AC17" i="58"/>
  <c r="AC18" i="58"/>
  <c r="AC19" i="58"/>
  <c r="AC20" i="58"/>
  <c r="AC21" i="58"/>
  <c r="AC22" i="58"/>
  <c r="AC23" i="58"/>
  <c r="AC24" i="58"/>
  <c r="AC25" i="58"/>
  <c r="AC26" i="58"/>
  <c r="AC27" i="58"/>
  <c r="AC28" i="58"/>
  <c r="AC32" i="58"/>
  <c r="AC36" i="58"/>
  <c r="AC40" i="58"/>
  <c r="AC42" i="58"/>
  <c r="AC44" i="58"/>
  <c r="AC46" i="58"/>
  <c r="AC48" i="58"/>
  <c r="AC50" i="58"/>
  <c r="AC84" i="58"/>
  <c r="AC92" i="58"/>
  <c r="AC97" i="58"/>
  <c r="AC101" i="58"/>
  <c r="AC105" i="58"/>
  <c r="AC109" i="58"/>
  <c r="AC113" i="58"/>
  <c r="AC117" i="58"/>
  <c r="AC121" i="58"/>
  <c r="AC125" i="58"/>
  <c r="AC129" i="58"/>
  <c r="AC133" i="58"/>
  <c r="AC137" i="58"/>
  <c r="AC141" i="58"/>
  <c r="AC4" i="58"/>
  <c r="AC8" i="58"/>
  <c r="AC12" i="58"/>
  <c r="AC30" i="58"/>
  <c r="AC34" i="58"/>
  <c r="AC38" i="58"/>
  <c r="AC41" i="58"/>
  <c r="AC43" i="58"/>
  <c r="AC45" i="58"/>
  <c r="AC47" i="58"/>
  <c r="AC49" i="58"/>
  <c r="AC51" i="58"/>
  <c r="AC85" i="58"/>
  <c r="AC87" i="58"/>
  <c r="AC89" i="58"/>
  <c r="AC91" i="58"/>
  <c r="AC93" i="58"/>
  <c r="AC144" i="58"/>
  <c r="AC148" i="58"/>
  <c r="AC152" i="58"/>
  <c r="AC168" i="58"/>
  <c r="AC172" i="58"/>
  <c r="AC176" i="58"/>
  <c r="AC230" i="58"/>
  <c r="AB231" i="58"/>
  <c r="AC234" i="58"/>
  <c r="AB235" i="58"/>
  <c r="AC238" i="58"/>
  <c r="AB239" i="58"/>
  <c r="AC242" i="58"/>
  <c r="AB243" i="58"/>
  <c r="AC246" i="58"/>
  <c r="AB247" i="58"/>
  <c r="AC250" i="58"/>
  <c r="AB251" i="58"/>
  <c r="AC253" i="58"/>
  <c r="AC256" i="58"/>
  <c r="AB257" i="58"/>
  <c r="AC260" i="58"/>
  <c r="AB261" i="58"/>
  <c r="AC264" i="58"/>
  <c r="AB265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4" i="58"/>
  <c r="AC318" i="58"/>
  <c r="AC322" i="58"/>
  <c r="AC326" i="58"/>
  <c r="AC330" i="58"/>
  <c r="AC523" i="58"/>
  <c r="AC527" i="58"/>
  <c r="AC531" i="58"/>
  <c r="AC535" i="58"/>
  <c r="AC539" i="58"/>
  <c r="AC543" i="58"/>
  <c r="AC547" i="58"/>
  <c r="AC551" i="58"/>
  <c r="AC231" i="58"/>
  <c r="AB232" i="58"/>
  <c r="AC235" i="58"/>
  <c r="AB236" i="58"/>
  <c r="AC239" i="58"/>
  <c r="AB240" i="58"/>
  <c r="AC243" i="58"/>
  <c r="AB244" i="58"/>
  <c r="AC247" i="58"/>
  <c r="AB248" i="58"/>
  <c r="AC251" i="58"/>
  <c r="AC257" i="58"/>
  <c r="AB258" i="58"/>
  <c r="AC261" i="58"/>
  <c r="AB262" i="58"/>
  <c r="AC265" i="58"/>
  <c r="AB266" i="58"/>
  <c r="AC150" i="58"/>
  <c r="AC154" i="58"/>
  <c r="AC170" i="58"/>
  <c r="AC174" i="58"/>
  <c r="AC178" i="58"/>
  <c r="AC232" i="58"/>
  <c r="AB233" i="58"/>
  <c r="AC236" i="58"/>
  <c r="AB237" i="58"/>
  <c r="AC240" i="58"/>
  <c r="AB241" i="58"/>
  <c r="AC244" i="58"/>
  <c r="AB245" i="58"/>
  <c r="AC248" i="58"/>
  <c r="AB249" i="58"/>
  <c r="AC252" i="58"/>
  <c r="AB255" i="58"/>
  <c r="AC258" i="58"/>
  <c r="AB259" i="58"/>
  <c r="AC262" i="58"/>
  <c r="AB263" i="58"/>
  <c r="AC266" i="58"/>
  <c r="AB267" i="58"/>
  <c r="AB230" i="58"/>
  <c r="AC233" i="58"/>
  <c r="AB234" i="58"/>
  <c r="AC237" i="58"/>
  <c r="AB238" i="58"/>
  <c r="AC241" i="58"/>
  <c r="AB242" i="58"/>
  <c r="AC245" i="58"/>
  <c r="AB246" i="58"/>
  <c r="AC249" i="58"/>
  <c r="AB250" i="58"/>
  <c r="AB253" i="58"/>
  <c r="AC255" i="58"/>
  <c r="AB256" i="58"/>
  <c r="AC259" i="58"/>
  <c r="AB260" i="58"/>
  <c r="AC263" i="58"/>
  <c r="AB264" i="58"/>
  <c r="AC267" i="58"/>
  <c r="AC552" i="58"/>
  <c r="AC556" i="58"/>
  <c r="AC560" i="58"/>
  <c r="AC564" i="58"/>
  <c r="AC568" i="58"/>
  <c r="AC572" i="58"/>
  <c r="AC576" i="58"/>
  <c r="AC580" i="58"/>
  <c r="AC584" i="58"/>
  <c r="AC588" i="58"/>
  <c r="AC592" i="58"/>
  <c r="AC596" i="58"/>
  <c r="AC600" i="58"/>
  <c r="AC604" i="58"/>
  <c r="AC608" i="58"/>
  <c r="AC612" i="58"/>
  <c r="AC616" i="58"/>
  <c r="AC620" i="58"/>
  <c r="AC624" i="58"/>
  <c r="AC628" i="58"/>
  <c r="AC632" i="58"/>
  <c r="AC636" i="58"/>
  <c r="AC640" i="58"/>
  <c r="AC644" i="58"/>
  <c r="AC648" i="58"/>
  <c r="AC652" i="58"/>
  <c r="AC656" i="58"/>
  <c r="AC660" i="58"/>
  <c r="AC664" i="58"/>
  <c r="AC668" i="58"/>
  <c r="AC672" i="58"/>
  <c r="AC676" i="58"/>
  <c r="AC680" i="58"/>
  <c r="AC684" i="58"/>
  <c r="AC688" i="58"/>
  <c r="AC692" i="58"/>
  <c r="AC696" i="58"/>
  <c r="AC700" i="58"/>
  <c r="AC704" i="58"/>
  <c r="AC708" i="58"/>
  <c r="AC712" i="58"/>
  <c r="AC716" i="58"/>
  <c r="AC720" i="58"/>
  <c r="AC724" i="58"/>
  <c r="AC728" i="58"/>
  <c r="AC732" i="58"/>
  <c r="AC736" i="58"/>
  <c r="AC740" i="58"/>
  <c r="AC744" i="58"/>
  <c r="AC748" i="58"/>
  <c r="AC752" i="58"/>
  <c r="AC756" i="58"/>
  <c r="AC760" i="58"/>
  <c r="AC764" i="58"/>
  <c r="AC768" i="58"/>
  <c r="AC772" i="58"/>
  <c r="AC776" i="58"/>
  <c r="AC780" i="58"/>
  <c r="AC784" i="58"/>
  <c r="AC788" i="58"/>
  <c r="AC792" i="58"/>
  <c r="AC796" i="58"/>
  <c r="AC800" i="58"/>
  <c r="AC804" i="58"/>
  <c r="AC808" i="58"/>
  <c r="AC812" i="58"/>
  <c r="AC816" i="58"/>
  <c r="AC820" i="58"/>
  <c r="AC553" i="58"/>
  <c r="AC557" i="58"/>
  <c r="AC561" i="58"/>
  <c r="AC565" i="58"/>
  <c r="AC569" i="58"/>
  <c r="AC573" i="58"/>
  <c r="AC577" i="58"/>
  <c r="AC581" i="58"/>
  <c r="AC585" i="58"/>
  <c r="AC589" i="58"/>
  <c r="AC593" i="58"/>
  <c r="AC597" i="58"/>
  <c r="AC601" i="58"/>
  <c r="AC605" i="58"/>
  <c r="AC609" i="58"/>
  <c r="AC613" i="58"/>
  <c r="AC617" i="58"/>
  <c r="AC621" i="58"/>
  <c r="AC625" i="58"/>
  <c r="AC629" i="58"/>
  <c r="AC633" i="58"/>
  <c r="AC637" i="58"/>
  <c r="AC641" i="58"/>
  <c r="AC645" i="58"/>
  <c r="AC649" i="58"/>
  <c r="AC653" i="58"/>
  <c r="AC657" i="58"/>
  <c r="AC661" i="58"/>
  <c r="AC665" i="58"/>
  <c r="AC669" i="58"/>
  <c r="AC673" i="58"/>
  <c r="AC677" i="58"/>
  <c r="AC681" i="58"/>
  <c r="AC685" i="58"/>
  <c r="AC689" i="58"/>
  <c r="AC693" i="58"/>
  <c r="AC697" i="58"/>
  <c r="AC701" i="58"/>
  <c r="AC705" i="58"/>
  <c r="AC709" i="58"/>
  <c r="AC713" i="58"/>
  <c r="AC717" i="58"/>
  <c r="AC721" i="58"/>
  <c r="AC725" i="58"/>
  <c r="AC729" i="58"/>
  <c r="AC733" i="58"/>
  <c r="AC737" i="58"/>
  <c r="AC741" i="58"/>
  <c r="AC745" i="58"/>
  <c r="AC749" i="58"/>
  <c r="AC753" i="58"/>
  <c r="AC757" i="58"/>
  <c r="AC761" i="58"/>
  <c r="AC765" i="58"/>
  <c r="AC769" i="58"/>
  <c r="AC773" i="58"/>
  <c r="AC777" i="58"/>
  <c r="AC781" i="58"/>
  <c r="AC785" i="58"/>
  <c r="AC789" i="58"/>
  <c r="AC793" i="58"/>
  <c r="AC797" i="58"/>
  <c r="AC801" i="58"/>
  <c r="AC805" i="58"/>
  <c r="AC809" i="58"/>
  <c r="AC813" i="58"/>
  <c r="AC817" i="58"/>
  <c r="AC821" i="58"/>
  <c r="AO9" i="57"/>
  <c r="AC554" i="58"/>
  <c r="AC558" i="58"/>
  <c r="AC562" i="58"/>
  <c r="AC566" i="58"/>
  <c r="AC570" i="58"/>
  <c r="AC574" i="58"/>
  <c r="AC578" i="58"/>
  <c r="AC582" i="58"/>
  <c r="AC586" i="58"/>
  <c r="AC590" i="58"/>
  <c r="AC594" i="58"/>
  <c r="AC598" i="58"/>
  <c r="AC602" i="58"/>
  <c r="AC606" i="58"/>
  <c r="AC610" i="58"/>
  <c r="AC614" i="58"/>
  <c r="AC618" i="58"/>
  <c r="AC622" i="58"/>
  <c r="AC626" i="58"/>
  <c r="AC630" i="58"/>
  <c r="AC634" i="58"/>
  <c r="AC638" i="58"/>
  <c r="AC642" i="58"/>
  <c r="AC646" i="58"/>
  <c r="AC650" i="58"/>
  <c r="AC654" i="58"/>
  <c r="AC658" i="58"/>
  <c r="AC662" i="58"/>
  <c r="AC666" i="58"/>
  <c r="AC670" i="58"/>
  <c r="AC674" i="58"/>
  <c r="AC678" i="58"/>
  <c r="AC682" i="58"/>
  <c r="AC686" i="58"/>
  <c r="AC690" i="58"/>
  <c r="AC694" i="58"/>
  <c r="AC698" i="58"/>
  <c r="AC702" i="58"/>
  <c r="AC706" i="58"/>
  <c r="AC710" i="58"/>
  <c r="AC714" i="58"/>
  <c r="AC718" i="58"/>
  <c r="AC722" i="58"/>
  <c r="AC726" i="58"/>
  <c r="AC730" i="58"/>
  <c r="AC734" i="58"/>
  <c r="AC738" i="58"/>
  <c r="AC742" i="58"/>
  <c r="AC746" i="58"/>
  <c r="AC750" i="58"/>
  <c r="AC754" i="58"/>
  <c r="AC758" i="58"/>
  <c r="AC762" i="58"/>
  <c r="AC766" i="58"/>
  <c r="AC770" i="58"/>
  <c r="AC774" i="58"/>
  <c r="AC778" i="58"/>
  <c r="AC782" i="58"/>
  <c r="AC786" i="58"/>
  <c r="AC790" i="58"/>
  <c r="AC794" i="58"/>
  <c r="AC798" i="58"/>
  <c r="AC802" i="58"/>
  <c r="AC806" i="58"/>
  <c r="AC810" i="58"/>
  <c r="AC814" i="58"/>
  <c r="AC818" i="58"/>
  <c r="AC631" i="58"/>
  <c r="AC635" i="58"/>
  <c r="AC639" i="58"/>
  <c r="AC643" i="58"/>
  <c r="AC647" i="58"/>
  <c r="AC651" i="58"/>
  <c r="AC655" i="58"/>
  <c r="AC659" i="58"/>
  <c r="AC663" i="58"/>
  <c r="AC719" i="58"/>
  <c r="AC723" i="58"/>
  <c r="AC727" i="58"/>
  <c r="AC731" i="58"/>
  <c r="AC735" i="58"/>
  <c r="AC739" i="58"/>
  <c r="AC743" i="58"/>
  <c r="AC747" i="58"/>
  <c r="AC751" i="58"/>
  <c r="AC755" i="58"/>
  <c r="AC759" i="58"/>
  <c r="AC763" i="58"/>
  <c r="AC767" i="58"/>
  <c r="AC771" i="58"/>
  <c r="AC775" i="58"/>
  <c r="AC779" i="58"/>
  <c r="AC783" i="58"/>
  <c r="AC787" i="58"/>
  <c r="AC791" i="58"/>
  <c r="AC795" i="58"/>
  <c r="AC799" i="58"/>
  <c r="AC803" i="58"/>
  <c r="AC807" i="58"/>
  <c r="AC811" i="58"/>
  <c r="AC815" i="58"/>
  <c r="AC819" i="58"/>
  <c r="AB76" i="50"/>
  <c r="AB76" i="49"/>
  <c r="AB76" i="48"/>
  <c r="AB78" i="47"/>
  <c r="V55" i="54"/>
  <c r="V55" i="53"/>
  <c r="V55" i="52"/>
  <c r="V55" i="51"/>
  <c r="AL76" i="50"/>
  <c r="AL76" i="49"/>
  <c r="AL78" i="47"/>
  <c r="AL76" i="48"/>
  <c r="Z54" i="54"/>
  <c r="Z54" i="53"/>
  <c r="Z54" i="52"/>
  <c r="Z54" i="51"/>
  <c r="AB75" i="50"/>
  <c r="AB75" i="49"/>
  <c r="AB75" i="48"/>
  <c r="AB77" i="47"/>
  <c r="AD76" i="50"/>
  <c r="AD76" i="49"/>
  <c r="AD78" i="47"/>
  <c r="AD76" i="48"/>
  <c r="AL75" i="50"/>
  <c r="AL75" i="49"/>
  <c r="AL77" i="47"/>
  <c r="AL75" i="48"/>
  <c r="V76" i="50"/>
  <c r="V76" i="49"/>
  <c r="V78" i="47"/>
  <c r="V76" i="48"/>
  <c r="W74" i="49"/>
  <c r="W78" i="49" s="1"/>
  <c r="W12" i="50" s="1"/>
  <c r="W74" i="50"/>
  <c r="W74" i="48"/>
  <c r="AI74" i="49"/>
  <c r="AI74" i="50"/>
  <c r="AI74" i="48"/>
  <c r="AJ75" i="50"/>
  <c r="AJ75" i="49"/>
  <c r="AJ75" i="48"/>
  <c r="AJ77" i="47"/>
  <c r="F44" i="5"/>
  <c r="Y55" i="54"/>
  <c r="Y55" i="53"/>
  <c r="Y55" i="51"/>
  <c r="Y55" i="52"/>
  <c r="AG74" i="49"/>
  <c r="AG74" i="50"/>
  <c r="AG74" i="48"/>
  <c r="X53" i="54"/>
  <c r="X53" i="53"/>
  <c r="X53" i="52"/>
  <c r="X53" i="51"/>
  <c r="Q53" i="54"/>
  <c r="Q53" i="53"/>
  <c r="Q53" i="51"/>
  <c r="Q53" i="52"/>
  <c r="Z76" i="50"/>
  <c r="Z76" i="49"/>
  <c r="Z78" i="47"/>
  <c r="Z76" i="48"/>
  <c r="AH74" i="49"/>
  <c r="AH74" i="50"/>
  <c r="AH74" i="48"/>
  <c r="AI75" i="50"/>
  <c r="AI75" i="49"/>
  <c r="AI75" i="48"/>
  <c r="AI77" i="47"/>
  <c r="AJ76" i="50"/>
  <c r="AJ76" i="49"/>
  <c r="AJ76" i="48"/>
  <c r="AJ78" i="47"/>
  <c r="M74" i="47"/>
  <c r="M12" i="48"/>
  <c r="V74" i="47"/>
  <c r="V12" i="48"/>
  <c r="AC74" i="47"/>
  <c r="AC12" i="48"/>
  <c r="AD74" i="49"/>
  <c r="AD74" i="50"/>
  <c r="AD74" i="48"/>
  <c r="AG76" i="50"/>
  <c r="AG76" i="49"/>
  <c r="AG76" i="48"/>
  <c r="AG78" i="47"/>
  <c r="V53" i="54"/>
  <c r="V53" i="53"/>
  <c r="V53" i="51"/>
  <c r="V53" i="52"/>
  <c r="X55" i="54"/>
  <c r="X55" i="53"/>
  <c r="X55" i="52"/>
  <c r="X55" i="51"/>
  <c r="AA76" i="50"/>
  <c r="AA76" i="49"/>
  <c r="AA78" i="47"/>
  <c r="AA76" i="48"/>
  <c r="AH75" i="50"/>
  <c r="AH75" i="49"/>
  <c r="AH77" i="47"/>
  <c r="AH75" i="48"/>
  <c r="AI76" i="50"/>
  <c r="AI76" i="49"/>
  <c r="AI78" i="47"/>
  <c r="AI76" i="48"/>
  <c r="Y53" i="54"/>
  <c r="Y53" i="53"/>
  <c r="Y57" i="53" s="1"/>
  <c r="Y15" i="54" s="1"/>
  <c r="Z15" i="54" s="1"/>
  <c r="Y53" i="52"/>
  <c r="Y53" i="51"/>
  <c r="N74" i="47"/>
  <c r="N12" i="48"/>
  <c r="O74" i="47"/>
  <c r="O12" i="48"/>
  <c r="U74" i="47"/>
  <c r="U12" i="48"/>
  <c r="AB74" i="49"/>
  <c r="AB74" i="50"/>
  <c r="AB74" i="48"/>
  <c r="AD75" i="50"/>
  <c r="AD75" i="49"/>
  <c r="AD75" i="48"/>
  <c r="AD77" i="47"/>
  <c r="AL74" i="49"/>
  <c r="AL74" i="50"/>
  <c r="AL74" i="48"/>
  <c r="V54" i="54"/>
  <c r="V54" i="53"/>
  <c r="V54" i="52"/>
  <c r="V54" i="51"/>
  <c r="Z53" i="54"/>
  <c r="Z53" i="53"/>
  <c r="Z53" i="51"/>
  <c r="Z53" i="52"/>
  <c r="U76" i="50"/>
  <c r="U76" i="49"/>
  <c r="U76" i="48"/>
  <c r="U78" i="47"/>
  <c r="T55" i="54"/>
  <c r="T55" i="53"/>
  <c r="T55" i="52"/>
  <c r="T55" i="51"/>
  <c r="AH76" i="50"/>
  <c r="AH76" i="49"/>
  <c r="AH78" i="47"/>
  <c r="AH76" i="48"/>
  <c r="AJ74" i="49"/>
  <c r="AJ74" i="50"/>
  <c r="AJ74" i="48"/>
  <c r="Y54" i="54"/>
  <c r="Y54" i="53"/>
  <c r="Y54" i="51"/>
  <c r="Y54" i="52"/>
  <c r="X74" i="47"/>
  <c r="X12" i="48"/>
  <c r="AI74" i="47"/>
  <c r="AI12" i="48"/>
  <c r="L74" i="49"/>
  <c r="L78" i="49" s="1"/>
  <c r="L12" i="50" s="1"/>
  <c r="L74" i="50"/>
  <c r="L74" i="48"/>
  <c r="M74" i="49"/>
  <c r="M78" i="49" s="1"/>
  <c r="M74" i="50"/>
  <c r="M74" i="48"/>
  <c r="O74" i="49"/>
  <c r="O78" i="49" s="1"/>
  <c r="O74" i="50"/>
  <c r="O74" i="48"/>
  <c r="S74" i="49"/>
  <c r="S74" i="50"/>
  <c r="S74" i="48"/>
  <c r="AC74" i="49"/>
  <c r="AC78" i="49" s="1"/>
  <c r="AC74" i="50"/>
  <c r="AC74" i="48"/>
  <c r="AF74" i="49"/>
  <c r="AF74" i="50"/>
  <c r="AF74" i="48"/>
  <c r="R74" i="49"/>
  <c r="R78" i="49" s="1"/>
  <c r="R12" i="50" s="1"/>
  <c r="R74" i="50"/>
  <c r="R74" i="48"/>
  <c r="Q74" i="49"/>
  <c r="Q78" i="49" s="1"/>
  <c r="Q12" i="50" s="1"/>
  <c r="Q74" i="50"/>
  <c r="Q74" i="48"/>
  <c r="AE74" i="49"/>
  <c r="AE74" i="50"/>
  <c r="AE74" i="48"/>
  <c r="AK74" i="49"/>
  <c r="AK78" i="49" s="1"/>
  <c r="AK12" i="50" s="1"/>
  <c r="AK74" i="50"/>
  <c r="AK74" i="48"/>
  <c r="T77" i="48"/>
  <c r="AM77" i="48" s="1"/>
  <c r="AO77" i="48" s="1"/>
  <c r="P74" i="49"/>
  <c r="P78" i="49" s="1"/>
  <c r="P12" i="50" s="1"/>
  <c r="P74" i="50"/>
  <c r="P74" i="48"/>
  <c r="U74" i="49"/>
  <c r="U74" i="50"/>
  <c r="U74" i="48"/>
  <c r="X74" i="49"/>
  <c r="X78" i="49" s="1"/>
  <c r="X74" i="50"/>
  <c r="X74" i="48"/>
  <c r="R15" i="52"/>
  <c r="M15" i="53"/>
  <c r="M15" i="64" s="1"/>
  <c r="M9" i="53"/>
  <c r="Q14" i="52"/>
  <c r="Q8" i="52"/>
  <c r="Q12" i="52"/>
  <c r="Q7" i="52"/>
  <c r="M15" i="54"/>
  <c r="M9" i="54"/>
  <c r="L74" i="47"/>
  <c r="Q74" i="47"/>
  <c r="S74" i="47"/>
  <c r="W74" i="47"/>
  <c r="Y74" i="47"/>
  <c r="AF74" i="47"/>
  <c r="Z74" i="47"/>
  <c r="Z76" i="47" s="1"/>
  <c r="AA74" i="47"/>
  <c r="AA76" i="47" s="1"/>
  <c r="AH74" i="47"/>
  <c r="AJ74" i="47"/>
  <c r="P74" i="47"/>
  <c r="R74" i="47"/>
  <c r="D36" i="5"/>
  <c r="AB73" i="64" l="1"/>
  <c r="AF73" i="64"/>
  <c r="X73" i="64"/>
  <c r="W73" i="64"/>
  <c r="AE73" i="64"/>
  <c r="Z73" i="64"/>
  <c r="AD73" i="64"/>
  <c r="AC73" i="64"/>
  <c r="AA73" i="64"/>
  <c r="Y73" i="64"/>
  <c r="AW101" i="63"/>
  <c r="AX101" i="63"/>
  <c r="AV88" i="63"/>
  <c r="AT88" i="63"/>
  <c r="AJ88" i="63"/>
  <c r="AK86" i="63"/>
  <c r="AI86" i="63"/>
  <c r="BD84" i="63"/>
  <c r="BB84" i="63"/>
  <c r="AR84" i="63"/>
  <c r="AP84" i="63"/>
  <c r="I68" i="63"/>
  <c r="I68" i="50"/>
  <c r="I68" i="49"/>
  <c r="I68" i="48"/>
  <c r="I56" i="63"/>
  <c r="I56" i="50"/>
  <c r="I56" i="49"/>
  <c r="I56" i="48"/>
  <c r="I44" i="63"/>
  <c r="I44" i="49"/>
  <c r="I44" i="47"/>
  <c r="I44" i="55"/>
  <c r="I23" i="50"/>
  <c r="I23" i="49"/>
  <c r="I23" i="55"/>
  <c r="I23" i="48"/>
  <c r="I29" i="50"/>
  <c r="I29" i="47"/>
  <c r="AB94" i="64"/>
  <c r="AF64" i="64"/>
  <c r="AD88" i="64"/>
  <c r="X70" i="64"/>
  <c r="AE64" i="64"/>
  <c r="J8" i="66"/>
  <c r="AE100" i="64"/>
  <c r="X88" i="64"/>
  <c r="AI135" i="63"/>
  <c r="AK135" i="63"/>
  <c r="AI123" i="63"/>
  <c r="AN111" i="63"/>
  <c r="AT111" i="63"/>
  <c r="AJ103" i="63"/>
  <c r="AM103" i="63"/>
  <c r="AT86" i="63"/>
  <c r="AZ86" i="63"/>
  <c r="AV101" i="63"/>
  <c r="BC101" i="63"/>
  <c r="AU88" i="63"/>
  <c r="AL84" i="63"/>
  <c r="AZ84" i="63"/>
  <c r="I66" i="63"/>
  <c r="I66" i="48"/>
  <c r="I66" i="47"/>
  <c r="I66" i="50"/>
  <c r="I54" i="63"/>
  <c r="I54" i="48"/>
  <c r="I54" i="47"/>
  <c r="I54" i="50"/>
  <c r="I42" i="63"/>
  <c r="I42" i="50"/>
  <c r="I42" i="49"/>
  <c r="I42" i="55"/>
  <c r="AF88" i="64"/>
  <c r="AS135" i="63"/>
  <c r="BB111" i="63"/>
  <c r="AR103" i="63"/>
  <c r="BB86" i="63"/>
  <c r="AO86" i="63"/>
  <c r="BD101" i="63"/>
  <c r="BC88" i="63"/>
  <c r="AX84" i="63"/>
  <c r="AO84" i="63"/>
  <c r="I49" i="52"/>
  <c r="I35" i="52"/>
  <c r="I25" i="51"/>
  <c r="I11" i="52"/>
  <c r="I23" i="47"/>
  <c r="I46" i="53"/>
  <c r="I46" i="54"/>
  <c r="I46" i="52"/>
  <c r="I34" i="53"/>
  <c r="I34" i="54"/>
  <c r="I34" i="52"/>
  <c r="I22" i="53"/>
  <c r="I22" i="54"/>
  <c r="I22" i="52"/>
  <c r="I10" i="53"/>
  <c r="I10" i="54"/>
  <c r="I10" i="52"/>
  <c r="I65" i="48"/>
  <c r="M89" i="47" s="1"/>
  <c r="I65" i="49"/>
  <c r="I53" i="48"/>
  <c r="I53" i="49"/>
  <c r="I41" i="47"/>
  <c r="I41" i="49"/>
  <c r="I26" i="63"/>
  <c r="I26" i="55"/>
  <c r="Y94" i="64"/>
  <c r="AB97" i="64"/>
  <c r="AQ135" i="63"/>
  <c r="AZ123" i="63"/>
  <c r="AQ123" i="63"/>
  <c r="AV111" i="63"/>
  <c r="AU103" i="63"/>
  <c r="AC94" i="64"/>
  <c r="AF97" i="64"/>
  <c r="AF76" i="64"/>
  <c r="X100" i="64"/>
  <c r="AB96" i="64"/>
  <c r="AU135" i="63"/>
  <c r="AW135" i="63"/>
  <c r="AN123" i="63"/>
  <c r="AU123" i="63"/>
  <c r="AZ111" i="63"/>
  <c r="AI111" i="63"/>
  <c r="AV103" i="63"/>
  <c r="AY103" i="63"/>
  <c r="AM86" i="63"/>
  <c r="AS86" i="63"/>
  <c r="AK101" i="63"/>
  <c r="AN88" i="63"/>
  <c r="AI84" i="63"/>
  <c r="AS84" i="63"/>
  <c r="I49" i="54"/>
  <c r="I35" i="54"/>
  <c r="I25" i="52"/>
  <c r="I11" i="54"/>
  <c r="I65" i="63"/>
  <c r="BC129" i="63"/>
  <c r="AN129" i="63"/>
  <c r="I53" i="63"/>
  <c r="AY117" i="63"/>
  <c r="AJ117" i="63"/>
  <c r="I41" i="63"/>
  <c r="AO105" i="63"/>
  <c r="AP105" i="63"/>
  <c r="I23" i="63"/>
  <c r="BC136" i="63"/>
  <c r="AS136" i="63"/>
  <c r="AQ136" i="63"/>
  <c r="BC124" i="63"/>
  <c r="AJ124" i="63"/>
  <c r="AQ124" i="63"/>
  <c r="BD124" i="63"/>
  <c r="AQ112" i="63"/>
  <c r="AK112" i="63"/>
  <c r="BB112" i="63"/>
  <c r="AV112" i="63"/>
  <c r="AI2" i="58"/>
  <c r="X11" i="61"/>
  <c r="AF11" i="61" s="1"/>
  <c r="AY135" i="63"/>
  <c r="BA135" i="63"/>
  <c r="BD123" i="63"/>
  <c r="AY123" i="63"/>
  <c r="BD111" i="63"/>
  <c r="AM111" i="63"/>
  <c r="AZ103" i="63"/>
  <c r="BC103" i="63"/>
  <c r="AQ86" i="63"/>
  <c r="AW86" i="63"/>
  <c r="AO101" i="63"/>
  <c r="AR88" i="63"/>
  <c r="AM84" i="63"/>
  <c r="AW84" i="63"/>
  <c r="I26" i="47"/>
  <c r="I49" i="53"/>
  <c r="I35" i="64"/>
  <c r="I25" i="54"/>
  <c r="I11" i="64"/>
  <c r="I68" i="47"/>
  <c r="I56" i="47"/>
  <c r="I44" i="48"/>
  <c r="I26" i="49"/>
  <c r="I34" i="51"/>
  <c r="I25" i="53"/>
  <c r="I10" i="51"/>
  <c r="I68" i="55"/>
  <c r="I56" i="55"/>
  <c r="I44" i="50"/>
  <c r="AR134" i="63"/>
  <c r="AP134" i="63"/>
  <c r="AY122" i="63"/>
  <c r="BD122" i="63"/>
  <c r="BC110" i="63"/>
  <c r="AW110" i="63"/>
  <c r="AI3" i="58"/>
  <c r="AI8" i="58"/>
  <c r="AE94" i="64"/>
  <c r="Z97" i="64"/>
  <c r="Y100" i="64"/>
  <c r="AC96" i="64"/>
  <c r="AE70" i="64"/>
  <c r="AJ135" i="63"/>
  <c r="AV123" i="63"/>
  <c r="AK123" i="63"/>
  <c r="AO111" i="63"/>
  <c r="AU111" i="63"/>
  <c r="AK103" i="63"/>
  <c r="AY86" i="63"/>
  <c r="AT101" i="63"/>
  <c r="BA101" i="63"/>
  <c r="AP88" i="63"/>
  <c r="BD88" i="63"/>
  <c r="AU84" i="63"/>
  <c r="I26" i="50"/>
  <c r="I47" i="53"/>
  <c r="I34" i="64"/>
  <c r="I10" i="64"/>
  <c r="I61" i="48"/>
  <c r="M88" i="47" s="1"/>
  <c r="I61" i="49"/>
  <c r="I49" i="48"/>
  <c r="I49" i="49"/>
  <c r="I37" i="47"/>
  <c r="I37" i="49"/>
  <c r="BC135" i="63"/>
  <c r="AR123" i="63"/>
  <c r="BC123" i="63"/>
  <c r="AK111" i="63"/>
  <c r="AQ111" i="63"/>
  <c r="BD103" i="63"/>
  <c r="M66" i="64"/>
  <c r="AC12" i="50"/>
  <c r="AD12" i="50" s="1"/>
  <c r="Y70" i="64"/>
  <c r="AD97" i="64"/>
  <c r="AC100" i="64"/>
  <c r="AD96" i="64"/>
  <c r="Y88" i="64"/>
  <c r="Y76" i="64"/>
  <c r="W70" i="64"/>
  <c r="AL135" i="63"/>
  <c r="AN135" i="63"/>
  <c r="AL123" i="63"/>
  <c r="AO123" i="63"/>
  <c r="AS111" i="63"/>
  <c r="AY111" i="63"/>
  <c r="AX103" i="63"/>
  <c r="AO103" i="63"/>
  <c r="BC86" i="63"/>
  <c r="AL101" i="63"/>
  <c r="AI101" i="63"/>
  <c r="AX88" i="63"/>
  <c r="AK88" i="63"/>
  <c r="AY84" i="63"/>
  <c r="I26" i="48"/>
  <c r="I47" i="52"/>
  <c r="I23" i="53"/>
  <c r="AP123" i="63"/>
  <c r="AS103" i="63"/>
  <c r="AI5" i="58"/>
  <c r="I47" i="54"/>
  <c r="I37" i="51"/>
  <c r="I23" i="52"/>
  <c r="I13" i="51"/>
  <c r="AV133" i="63"/>
  <c r="AT133" i="63"/>
  <c r="AQ121" i="63"/>
  <c r="AW121" i="63"/>
  <c r="I29" i="49"/>
  <c r="AP135" i="63"/>
  <c r="BC111" i="63"/>
  <c r="BB88" i="63"/>
  <c r="AO88" i="63"/>
  <c r="BC84" i="63"/>
  <c r="Z94" i="64"/>
  <c r="Z70" i="64"/>
  <c r="AA97" i="64"/>
  <c r="AD100" i="64"/>
  <c r="AA96" i="64"/>
  <c r="W88" i="64"/>
  <c r="Z76" i="64"/>
  <c r="AT135" i="63"/>
  <c r="AV135" i="63"/>
  <c r="AT123" i="63"/>
  <c r="AW123" i="63"/>
  <c r="BA111" i="63"/>
  <c r="BB103" i="63"/>
  <c r="AW103" i="63"/>
  <c r="AN86" i="63"/>
  <c r="AJ101" i="63"/>
  <c r="AQ101" i="63"/>
  <c r="AI88" i="63"/>
  <c r="AS88" i="63"/>
  <c r="AJ84" i="63"/>
  <c r="I47" i="64"/>
  <c r="I37" i="52"/>
  <c r="I23" i="54"/>
  <c r="I13" i="52"/>
  <c r="I29" i="48"/>
  <c r="F30" i="5"/>
  <c r="E30" i="5"/>
  <c r="E4" i="5"/>
  <c r="I39" i="64"/>
  <c r="I39" i="54"/>
  <c r="I39" i="52"/>
  <c r="I27" i="64"/>
  <c r="I27" i="54"/>
  <c r="I27" i="52"/>
  <c r="I15" i="64"/>
  <c r="I15" i="54"/>
  <c r="I15" i="52"/>
  <c r="X52" i="52" s="1"/>
  <c r="I70" i="63"/>
  <c r="I70" i="48"/>
  <c r="I70" i="47"/>
  <c r="I70" i="50"/>
  <c r="I58" i="63"/>
  <c r="I58" i="48"/>
  <c r="I58" i="47"/>
  <c r="I58" i="50"/>
  <c r="I46" i="63"/>
  <c r="I46" i="48"/>
  <c r="I46" i="47"/>
  <c r="I46" i="50"/>
  <c r="I34" i="63"/>
  <c r="I34" i="48"/>
  <c r="I34" i="50"/>
  <c r="I34" i="49"/>
  <c r="AR135" i="63"/>
  <c r="AS123" i="63"/>
  <c r="AW111" i="63"/>
  <c r="AL103" i="63"/>
  <c r="X12" i="50"/>
  <c r="AJ78" i="49"/>
  <c r="AJ12" i="50" s="1"/>
  <c r="Y64" i="64"/>
  <c r="AD70" i="64"/>
  <c r="AA88" i="64"/>
  <c r="AD76" i="64"/>
  <c r="AX135" i="63"/>
  <c r="AX123" i="63"/>
  <c r="AP103" i="63"/>
  <c r="AL86" i="63"/>
  <c r="AR86" i="63"/>
  <c r="AN101" i="63"/>
  <c r="AU101" i="63"/>
  <c r="AM88" i="63"/>
  <c r="AW88" i="63"/>
  <c r="AN84" i="63"/>
  <c r="I46" i="51"/>
  <c r="I37" i="54"/>
  <c r="I23" i="64"/>
  <c r="I13" i="54"/>
  <c r="I66" i="49"/>
  <c r="I54" i="49"/>
  <c r="I42" i="48"/>
  <c r="I29" i="55"/>
  <c r="I62" i="50"/>
  <c r="I50" i="50"/>
  <c r="I38" i="50"/>
  <c r="I7" i="55"/>
  <c r="I48" i="51"/>
  <c r="I36" i="51"/>
  <c r="I24" i="51"/>
  <c r="I12" i="51"/>
  <c r="I64" i="49"/>
  <c r="I62" i="47"/>
  <c r="I52" i="49"/>
  <c r="I50" i="47"/>
  <c r="I40" i="55"/>
  <c r="I38" i="47"/>
  <c r="I48" i="52"/>
  <c r="I36" i="52"/>
  <c r="I24" i="52"/>
  <c r="I12" i="52"/>
  <c r="P13" i="5"/>
  <c r="P16" i="5" s="1"/>
  <c r="I48" i="53"/>
  <c r="I45" i="51"/>
  <c r="I36" i="53"/>
  <c r="I33" i="51"/>
  <c r="I31" i="52"/>
  <c r="I24" i="53"/>
  <c r="I21" i="51"/>
  <c r="I19" i="52"/>
  <c r="I12" i="53"/>
  <c r="I9" i="51"/>
  <c r="I7" i="52"/>
  <c r="P14" i="5"/>
  <c r="P17" i="5" s="1"/>
  <c r="I67" i="47"/>
  <c r="I55" i="47"/>
  <c r="I43" i="47"/>
  <c r="I31" i="48"/>
  <c r="M84" i="47" s="1"/>
  <c r="P12" i="5"/>
  <c r="P15" i="5" s="1"/>
  <c r="I9" i="63"/>
  <c r="I9" i="48"/>
  <c r="I9" i="55"/>
  <c r="I9" i="50"/>
  <c r="I9" i="49"/>
  <c r="I9" i="47"/>
  <c r="M87" i="47"/>
  <c r="M83" i="47"/>
  <c r="I21" i="63"/>
  <c r="I21" i="55"/>
  <c r="I21" i="48"/>
  <c r="I21" i="50"/>
  <c r="I21" i="49"/>
  <c r="I21" i="47"/>
  <c r="I19" i="63"/>
  <c r="I19" i="50"/>
  <c r="I19" i="49"/>
  <c r="I19" i="47"/>
  <c r="I19" i="55"/>
  <c r="I19" i="48"/>
  <c r="I11" i="63"/>
  <c r="I11" i="55"/>
  <c r="I11" i="50"/>
  <c r="I11" i="49"/>
  <c r="I11" i="47"/>
  <c r="I11" i="48"/>
  <c r="M9" i="64"/>
  <c r="M60" i="64" s="1"/>
  <c r="O12" i="50"/>
  <c r="T12" i="48"/>
  <c r="AJ10" i="57"/>
  <c r="R10" i="61"/>
  <c r="X10" i="61" s="1"/>
  <c r="AF10" i="61" s="1"/>
  <c r="I17" i="63"/>
  <c r="I17" i="55"/>
  <c r="I17" i="48"/>
  <c r="I17" i="50"/>
  <c r="I17" i="49"/>
  <c r="I17" i="47"/>
  <c r="M90" i="47"/>
  <c r="I25" i="63"/>
  <c r="I25" i="55"/>
  <c r="I25" i="48"/>
  <c r="I25" i="50"/>
  <c r="I25" i="49"/>
  <c r="I25" i="47"/>
  <c r="AI7" i="58"/>
  <c r="I28" i="63"/>
  <c r="I28" i="50"/>
  <c r="I28" i="49"/>
  <c r="I28" i="47"/>
  <c r="I28" i="55"/>
  <c r="I28" i="48"/>
  <c r="I22" i="63"/>
  <c r="I22" i="55"/>
  <c r="I22" i="48"/>
  <c r="I22" i="50"/>
  <c r="I22" i="49"/>
  <c r="I22" i="47"/>
  <c r="Y9" i="54"/>
  <c r="Z9" i="54" s="1"/>
  <c r="M12" i="50"/>
  <c r="U78" i="49"/>
  <c r="U12" i="50" s="1"/>
  <c r="AL12" i="48"/>
  <c r="Y57" i="52"/>
  <c r="AH78" i="49"/>
  <c r="AH12" i="50" s="1"/>
  <c r="R9" i="52"/>
  <c r="AO3" i="57"/>
  <c r="AO8" i="57" s="1"/>
  <c r="AO10" i="57" s="1"/>
  <c r="AT3" i="57"/>
  <c r="AT8" i="57" s="1"/>
  <c r="AT10" i="57" s="1"/>
  <c r="AI4" i="58"/>
  <c r="G10" i="66"/>
  <c r="G8" i="66"/>
  <c r="J10" i="66"/>
  <c r="E10" i="66"/>
  <c r="E8" i="66"/>
  <c r="C10" i="66"/>
  <c r="C8" i="66"/>
  <c r="F10" i="66"/>
  <c r="D10" i="66"/>
  <c r="B10" i="66"/>
  <c r="K10" i="66"/>
  <c r="K8" i="66"/>
  <c r="I10" i="66"/>
  <c r="I8" i="66"/>
  <c r="X12" i="61"/>
  <c r="AF12" i="61" s="1"/>
  <c r="X9" i="61"/>
  <c r="AF9" i="61" s="1"/>
  <c r="AI6" i="58"/>
  <c r="L53" i="54"/>
  <c r="L53" i="53"/>
  <c r="L53" i="52"/>
  <c r="L53" i="51"/>
  <c r="R53" i="54"/>
  <c r="R53" i="53"/>
  <c r="R53" i="51"/>
  <c r="R53" i="52"/>
  <c r="F36" i="5"/>
  <c r="Q55" i="54"/>
  <c r="Q55" i="53"/>
  <c r="Q57" i="53" s="1"/>
  <c r="Q55" i="51"/>
  <c r="Q55" i="52"/>
  <c r="AA74" i="49"/>
  <c r="AA78" i="49" s="1"/>
  <c r="AA74" i="50"/>
  <c r="AA74" i="48"/>
  <c r="E36" i="5"/>
  <c r="Q54" i="54"/>
  <c r="Q54" i="53"/>
  <c r="Q54" i="52"/>
  <c r="Q57" i="52" s="1"/>
  <c r="Q54" i="51"/>
  <c r="Z74" i="49"/>
  <c r="Z78" i="49" s="1"/>
  <c r="Z74" i="50"/>
  <c r="Z74" i="48"/>
  <c r="Y9" i="53"/>
  <c r="Y15" i="53"/>
  <c r="AI78" i="49"/>
  <c r="AI12" i="50" s="1"/>
  <c r="AL12" i="50" s="1"/>
  <c r="R12" i="52"/>
  <c r="AB12" i="48"/>
  <c r="AD12" i="48"/>
  <c r="Z55" i="54"/>
  <c r="Z55" i="53"/>
  <c r="Z55" i="52"/>
  <c r="Z55" i="51"/>
  <c r="R7" i="52"/>
  <c r="R8" i="52"/>
  <c r="R14" i="52"/>
  <c r="N76" i="47"/>
  <c r="D34" i="5"/>
  <c r="O56" i="51" l="1"/>
  <c r="U56" i="51"/>
  <c r="W56" i="51"/>
  <c r="S56" i="51"/>
  <c r="M52" i="51"/>
  <c r="O52" i="51"/>
  <c r="O57" i="51" s="1"/>
  <c r="Y56" i="51"/>
  <c r="R52" i="51"/>
  <c r="L52" i="51"/>
  <c r="X52" i="51"/>
  <c r="Q52" i="51"/>
  <c r="Q57" i="51" s="1"/>
  <c r="T52" i="51"/>
  <c r="T57" i="51" s="1"/>
  <c r="T13" i="52" s="1"/>
  <c r="Y52" i="51"/>
  <c r="T56" i="51"/>
  <c r="W52" i="51"/>
  <c r="W57" i="51" s="1"/>
  <c r="S52" i="51"/>
  <c r="S57" i="51" s="1"/>
  <c r="U52" i="51"/>
  <c r="N56" i="51"/>
  <c r="M56" i="51"/>
  <c r="N52" i="51"/>
  <c r="P52" i="51"/>
  <c r="V52" i="51"/>
  <c r="Z52" i="51"/>
  <c r="AC62" i="64"/>
  <c r="AD62" i="64"/>
  <c r="Z62" i="64"/>
  <c r="W62" i="64"/>
  <c r="X62" i="64"/>
  <c r="AA62" i="64"/>
  <c r="AB62" i="64"/>
  <c r="AE62" i="64"/>
  <c r="AF62" i="64"/>
  <c r="Y62" i="64"/>
  <c r="AV98" i="63"/>
  <c r="AM98" i="63"/>
  <c r="BA98" i="63"/>
  <c r="AI98" i="63"/>
  <c r="AW98" i="63"/>
  <c r="AB98" i="63"/>
  <c r="AS98" i="63"/>
  <c r="AX98" i="63"/>
  <c r="AO98" i="63"/>
  <c r="AP98" i="63"/>
  <c r="BD98" i="63"/>
  <c r="AU98" i="63"/>
  <c r="AK98" i="63"/>
  <c r="BC98" i="63"/>
  <c r="AZ98" i="63"/>
  <c r="BB98" i="63"/>
  <c r="AR98" i="63"/>
  <c r="AT98" i="63"/>
  <c r="AN98" i="63"/>
  <c r="AL98" i="63"/>
  <c r="AJ98" i="63"/>
  <c r="AY98" i="63"/>
  <c r="AQ98" i="63"/>
  <c r="AC86" i="64"/>
  <c r="AF86" i="64"/>
  <c r="AB86" i="64"/>
  <c r="X86" i="64"/>
  <c r="AE86" i="64"/>
  <c r="W86" i="64"/>
  <c r="AA86" i="64"/>
  <c r="Z86" i="64"/>
  <c r="Y86" i="64"/>
  <c r="AD86" i="64"/>
  <c r="AO125" i="63"/>
  <c r="AL125" i="63"/>
  <c r="AI125" i="63"/>
  <c r="BB125" i="63"/>
  <c r="AX125" i="63"/>
  <c r="BA125" i="63"/>
  <c r="AT125" i="63"/>
  <c r="AS125" i="63"/>
  <c r="AW125" i="63"/>
  <c r="AP125" i="63"/>
  <c r="BD125" i="63"/>
  <c r="AK125" i="63"/>
  <c r="AN125" i="63"/>
  <c r="BC125" i="63"/>
  <c r="AZ125" i="63"/>
  <c r="AU125" i="63"/>
  <c r="AY125" i="63"/>
  <c r="AJ125" i="63"/>
  <c r="AV125" i="63"/>
  <c r="AQ125" i="63"/>
  <c r="AR125" i="63"/>
  <c r="AM125" i="63"/>
  <c r="AU114" i="63"/>
  <c r="AS114" i="63"/>
  <c r="BC114" i="63"/>
  <c r="AW114" i="63"/>
  <c r="AY114" i="63"/>
  <c r="AO114" i="63"/>
  <c r="AQ114" i="63"/>
  <c r="AK114" i="63"/>
  <c r="AM114" i="63"/>
  <c r="P114" i="63"/>
  <c r="R114" i="63"/>
  <c r="AZ114" i="63"/>
  <c r="AI114" i="63"/>
  <c r="BD114" i="63"/>
  <c r="BB114" i="63"/>
  <c r="AV114" i="63"/>
  <c r="AX114" i="63"/>
  <c r="AR114" i="63"/>
  <c r="AT114" i="63"/>
  <c r="AN114" i="63"/>
  <c r="AP114" i="63"/>
  <c r="AJ114" i="63"/>
  <c r="AL114" i="63"/>
  <c r="BA114" i="63"/>
  <c r="AY140" i="63"/>
  <c r="AS140" i="63"/>
  <c r="AM140" i="63"/>
  <c r="BD140" i="63"/>
  <c r="BB140" i="63"/>
  <c r="AN140" i="63"/>
  <c r="AX140" i="63"/>
  <c r="AJ140" i="63"/>
  <c r="AT140" i="63"/>
  <c r="AP140" i="63"/>
  <c r="BA140" i="63"/>
  <c r="AL140" i="63"/>
  <c r="AW140" i="63"/>
  <c r="AO140" i="63"/>
  <c r="AZ140" i="63"/>
  <c r="BC140" i="63"/>
  <c r="AK140" i="63"/>
  <c r="AU140" i="63"/>
  <c r="AQ140" i="63"/>
  <c r="AV140" i="63"/>
  <c r="AI140" i="63"/>
  <c r="AR140" i="63"/>
  <c r="AC66" i="64"/>
  <c r="X66" i="64"/>
  <c r="W66" i="64"/>
  <c r="AA66" i="64"/>
  <c r="AB66" i="64"/>
  <c r="T66" i="64"/>
  <c r="AE66" i="64"/>
  <c r="AF66" i="64"/>
  <c r="Y66" i="64"/>
  <c r="AD66" i="64"/>
  <c r="Z66" i="64"/>
  <c r="AU118" i="63"/>
  <c r="AN118" i="63"/>
  <c r="AQ118" i="63"/>
  <c r="AS118" i="63"/>
  <c r="AM118" i="63"/>
  <c r="AK118" i="63"/>
  <c r="AZ118" i="63"/>
  <c r="AI118" i="63"/>
  <c r="R118" i="63"/>
  <c r="AR118" i="63"/>
  <c r="AX118" i="63"/>
  <c r="AW118" i="63"/>
  <c r="BB118" i="63"/>
  <c r="AJ118" i="63"/>
  <c r="AT118" i="63"/>
  <c r="AO118" i="63"/>
  <c r="AP118" i="63"/>
  <c r="P118" i="63"/>
  <c r="BD118" i="63"/>
  <c r="AL118" i="63"/>
  <c r="BC118" i="63"/>
  <c r="AV118" i="63"/>
  <c r="AY118" i="63"/>
  <c r="BA118" i="63"/>
  <c r="AE98" i="64"/>
  <c r="AA98" i="64"/>
  <c r="W98" i="64"/>
  <c r="AD98" i="64"/>
  <c r="Z98" i="64"/>
  <c r="AC98" i="64"/>
  <c r="Y98" i="64"/>
  <c r="AB98" i="64"/>
  <c r="AF98" i="64"/>
  <c r="X98" i="64"/>
  <c r="AN137" i="63"/>
  <c r="AL137" i="63"/>
  <c r="AJ137" i="63"/>
  <c r="BC137" i="63"/>
  <c r="AY137" i="63"/>
  <c r="BA137" i="63"/>
  <c r="AU137" i="63"/>
  <c r="AS137" i="63"/>
  <c r="AM137" i="63"/>
  <c r="AW137" i="63"/>
  <c r="AQ137" i="63"/>
  <c r="AO137" i="63"/>
  <c r="AI137" i="63"/>
  <c r="AK137" i="63"/>
  <c r="BB137" i="63"/>
  <c r="AT137" i="63"/>
  <c r="BD137" i="63"/>
  <c r="AX137" i="63"/>
  <c r="AZ137" i="63"/>
  <c r="AV137" i="63"/>
  <c r="AP137" i="63"/>
  <c r="AR137" i="63"/>
  <c r="AC78" i="64"/>
  <c r="AA78" i="64"/>
  <c r="Z78" i="64"/>
  <c r="W78" i="64"/>
  <c r="Y78" i="64"/>
  <c r="AD78" i="64"/>
  <c r="AF78" i="64"/>
  <c r="X78" i="64"/>
  <c r="AE78" i="64"/>
  <c r="AB78" i="64"/>
  <c r="AK126" i="63"/>
  <c r="AR126" i="63"/>
  <c r="AM126" i="63"/>
  <c r="AI126" i="63"/>
  <c r="BB126" i="63"/>
  <c r="AX126" i="63"/>
  <c r="AW126" i="63"/>
  <c r="AP126" i="63"/>
  <c r="BA126" i="63"/>
  <c r="AT126" i="63"/>
  <c r="AS126" i="63"/>
  <c r="AL126" i="63"/>
  <c r="AO126" i="63"/>
  <c r="BD126" i="63"/>
  <c r="AY126" i="63"/>
  <c r="BC126" i="63"/>
  <c r="AN126" i="63"/>
  <c r="AZ126" i="63"/>
  <c r="AU126" i="63"/>
  <c r="AJ126" i="63"/>
  <c r="AQ126" i="63"/>
  <c r="AV126" i="63"/>
  <c r="AI116" i="63"/>
  <c r="P116" i="63"/>
  <c r="AX116" i="63"/>
  <c r="AV116" i="63"/>
  <c r="BB116" i="63"/>
  <c r="AN116" i="63"/>
  <c r="AT116" i="63"/>
  <c r="AJ116" i="63"/>
  <c r="AP116" i="63"/>
  <c r="AL116" i="63"/>
  <c r="AW116" i="63"/>
  <c r="BA116" i="63"/>
  <c r="BC116" i="63"/>
  <c r="AS116" i="63"/>
  <c r="AY116" i="63"/>
  <c r="AO116" i="63"/>
  <c r="AQ116" i="63"/>
  <c r="BD116" i="63"/>
  <c r="AU116" i="63"/>
  <c r="AK116" i="63"/>
  <c r="AM116" i="63"/>
  <c r="AZ116" i="63"/>
  <c r="R116" i="63"/>
  <c r="AR116" i="63"/>
  <c r="AW106" i="63"/>
  <c r="AI106" i="63"/>
  <c r="AN106" i="63"/>
  <c r="BB106" i="63"/>
  <c r="AJ106" i="63"/>
  <c r="AX106" i="63"/>
  <c r="AP106" i="63"/>
  <c r="AT106" i="63"/>
  <c r="AL106" i="63"/>
  <c r="AS106" i="63"/>
  <c r="BA106" i="63"/>
  <c r="AO106" i="63"/>
  <c r="BC106" i="63"/>
  <c r="AK106" i="63"/>
  <c r="AY106" i="63"/>
  <c r="BD106" i="63"/>
  <c r="AU106" i="63"/>
  <c r="AZ106" i="63"/>
  <c r="AQ106" i="63"/>
  <c r="AV106" i="63"/>
  <c r="AM106" i="63"/>
  <c r="AR106" i="63"/>
  <c r="AK95" i="63"/>
  <c r="AM95" i="63"/>
  <c r="BB95" i="63"/>
  <c r="AB95" i="63"/>
  <c r="AI95" i="63"/>
  <c r="BD95" i="63"/>
  <c r="AZ95" i="63"/>
  <c r="AX95" i="63"/>
  <c r="AR95" i="63"/>
  <c r="AP95" i="63"/>
  <c r="AV95" i="63"/>
  <c r="AT95" i="63"/>
  <c r="AN95" i="63"/>
  <c r="AL95" i="63"/>
  <c r="AJ95" i="63"/>
  <c r="BA95" i="63"/>
  <c r="BC95" i="63"/>
  <c r="AS95" i="63"/>
  <c r="AU95" i="63"/>
  <c r="AW95" i="63"/>
  <c r="AO95" i="63"/>
  <c r="AY95" i="63"/>
  <c r="AQ95" i="63"/>
  <c r="AA52" i="51"/>
  <c r="AY130" i="63"/>
  <c r="AN130" i="63"/>
  <c r="BA130" i="63"/>
  <c r="AT130" i="63"/>
  <c r="AW130" i="63"/>
  <c r="AP130" i="63"/>
  <c r="AS130" i="63"/>
  <c r="AL130" i="63"/>
  <c r="AO130" i="63"/>
  <c r="AR130" i="63"/>
  <c r="BC130" i="63"/>
  <c r="AZ130" i="63"/>
  <c r="AK130" i="63"/>
  <c r="BD130" i="63"/>
  <c r="AU130" i="63"/>
  <c r="AJ130" i="63"/>
  <c r="AQ130" i="63"/>
  <c r="AV130" i="63"/>
  <c r="AM130" i="63"/>
  <c r="AI130" i="63"/>
  <c r="BB130" i="63"/>
  <c r="AX130" i="63"/>
  <c r="L56" i="51"/>
  <c r="AC90" i="64"/>
  <c r="AA90" i="64"/>
  <c r="W90" i="64"/>
  <c r="AD90" i="64"/>
  <c r="Z90" i="64"/>
  <c r="Y90" i="64"/>
  <c r="AF90" i="64"/>
  <c r="X90" i="64"/>
  <c r="AB90" i="64"/>
  <c r="AE90" i="64"/>
  <c r="AC61" i="64"/>
  <c r="AD61" i="64"/>
  <c r="AA61" i="64"/>
  <c r="AB61" i="64"/>
  <c r="AE61" i="64"/>
  <c r="AF61" i="64"/>
  <c r="Y61" i="64"/>
  <c r="W61" i="64"/>
  <c r="Z61" i="64"/>
  <c r="X61" i="64"/>
  <c r="AL142" i="63"/>
  <c r="BA142" i="63"/>
  <c r="BC142" i="63"/>
  <c r="AW142" i="63"/>
  <c r="AY142" i="63"/>
  <c r="AS142" i="63"/>
  <c r="AQ142" i="63"/>
  <c r="AK142" i="63"/>
  <c r="AU142" i="63"/>
  <c r="AO142" i="63"/>
  <c r="AM142" i="63"/>
  <c r="BD142" i="63"/>
  <c r="AI142" i="63"/>
  <c r="AZ142" i="63"/>
  <c r="AR142" i="63"/>
  <c r="BB142" i="63"/>
  <c r="AV142" i="63"/>
  <c r="AX142" i="63"/>
  <c r="AT142" i="63"/>
  <c r="AN142" i="63"/>
  <c r="AP142" i="63"/>
  <c r="AJ142" i="63"/>
  <c r="AA74" i="64"/>
  <c r="X74" i="64"/>
  <c r="AB74" i="64"/>
  <c r="Z74" i="64"/>
  <c r="AF74" i="64"/>
  <c r="AD74" i="64"/>
  <c r="AC74" i="64"/>
  <c r="Y74" i="64"/>
  <c r="W74" i="64"/>
  <c r="AE74" i="64"/>
  <c r="Z85" i="64"/>
  <c r="AF85" i="64"/>
  <c r="X85" i="64"/>
  <c r="AB85" i="64"/>
  <c r="Y85" i="64"/>
  <c r="AE85" i="64"/>
  <c r="AA85" i="64"/>
  <c r="W85" i="64"/>
  <c r="AD85" i="64"/>
  <c r="AC85" i="64"/>
  <c r="AT138" i="63"/>
  <c r="AN138" i="63"/>
  <c r="AP138" i="63"/>
  <c r="AJ138" i="63"/>
  <c r="AL138" i="63"/>
  <c r="BA138" i="63"/>
  <c r="AY138" i="63"/>
  <c r="AS138" i="63"/>
  <c r="BC138" i="63"/>
  <c r="AW138" i="63"/>
  <c r="AU138" i="63"/>
  <c r="AO138" i="63"/>
  <c r="AQ138" i="63"/>
  <c r="AK138" i="63"/>
  <c r="AZ138" i="63"/>
  <c r="AM138" i="63"/>
  <c r="BD138" i="63"/>
  <c r="AI138" i="63"/>
  <c r="BB138" i="63"/>
  <c r="AV138" i="63"/>
  <c r="AX138" i="63"/>
  <c r="AR138" i="63"/>
  <c r="AU128" i="63"/>
  <c r="AR128" i="63"/>
  <c r="AI128" i="63"/>
  <c r="AK128" i="63"/>
  <c r="AV128" i="63"/>
  <c r="BC128" i="63"/>
  <c r="BD128" i="63"/>
  <c r="AY128" i="63"/>
  <c r="AN128" i="63"/>
  <c r="AQ128" i="63"/>
  <c r="BB128" i="63"/>
  <c r="AM128" i="63"/>
  <c r="AX128" i="63"/>
  <c r="AT128" i="63"/>
  <c r="AL128" i="63"/>
  <c r="BA128" i="63"/>
  <c r="AP128" i="63"/>
  <c r="AW128" i="63"/>
  <c r="AS128" i="63"/>
  <c r="AZ128" i="63"/>
  <c r="AO128" i="63"/>
  <c r="AJ128" i="63"/>
  <c r="W52" i="52"/>
  <c r="AY113" i="63"/>
  <c r="AW113" i="63"/>
  <c r="AU113" i="63"/>
  <c r="AO113" i="63"/>
  <c r="AQ113" i="63"/>
  <c r="AK113" i="63"/>
  <c r="AM113" i="63"/>
  <c r="P113" i="63"/>
  <c r="AI113" i="63"/>
  <c r="BD113" i="63"/>
  <c r="BB113" i="63"/>
  <c r="AV113" i="63"/>
  <c r="R113" i="63"/>
  <c r="AZ113" i="63"/>
  <c r="AX113" i="63"/>
  <c r="AR113" i="63"/>
  <c r="AT113" i="63"/>
  <c r="AN113" i="63"/>
  <c r="AP113" i="63"/>
  <c r="AJ113" i="63"/>
  <c r="AL113" i="63"/>
  <c r="BA113" i="63"/>
  <c r="BC113" i="63"/>
  <c r="AS113" i="63"/>
  <c r="BA100" i="63"/>
  <c r="AK100" i="63"/>
  <c r="AV100" i="63"/>
  <c r="AY100" i="63"/>
  <c r="AP100" i="63"/>
  <c r="BB100" i="63"/>
  <c r="AW100" i="63"/>
  <c r="AB100" i="63"/>
  <c r="AR100" i="63"/>
  <c r="AQ100" i="63"/>
  <c r="BC100" i="63"/>
  <c r="AT100" i="63"/>
  <c r="AS100" i="63"/>
  <c r="BD100" i="63"/>
  <c r="AN100" i="63"/>
  <c r="AI100" i="63"/>
  <c r="AU100" i="63"/>
  <c r="AL100" i="63"/>
  <c r="AO100" i="63"/>
  <c r="AZ100" i="63"/>
  <c r="AJ100" i="63"/>
  <c r="AX100" i="63"/>
  <c r="AM100" i="63"/>
  <c r="BA97" i="63"/>
  <c r="AK97" i="63"/>
  <c r="AV97" i="63"/>
  <c r="BC97" i="63"/>
  <c r="AM97" i="63"/>
  <c r="AT97" i="63"/>
  <c r="AW97" i="63"/>
  <c r="AB97" i="63"/>
  <c r="AR97" i="63"/>
  <c r="AY97" i="63"/>
  <c r="AI97" i="63"/>
  <c r="AP97" i="63"/>
  <c r="AS97" i="63"/>
  <c r="BD97" i="63"/>
  <c r="AN97" i="63"/>
  <c r="AU97" i="63"/>
  <c r="BB97" i="63"/>
  <c r="AL97" i="63"/>
  <c r="AO97" i="63"/>
  <c r="AZ97" i="63"/>
  <c r="AJ97" i="63"/>
  <c r="AQ97" i="63"/>
  <c r="AX97" i="63"/>
  <c r="AS89" i="63"/>
  <c r="BD89" i="63"/>
  <c r="AN89" i="63"/>
  <c r="AU89" i="63"/>
  <c r="BB89" i="63"/>
  <c r="AL89" i="63"/>
  <c r="AO89" i="63"/>
  <c r="AZ89" i="63"/>
  <c r="AJ89" i="63"/>
  <c r="AQ89" i="63"/>
  <c r="AX89" i="63"/>
  <c r="BA89" i="63"/>
  <c r="AK89" i="63"/>
  <c r="AV89" i="63"/>
  <c r="BC89" i="63"/>
  <c r="AM89" i="63"/>
  <c r="AT89" i="63"/>
  <c r="AW89" i="63"/>
  <c r="AB89" i="63"/>
  <c r="AR89" i="63"/>
  <c r="AY89" i="63"/>
  <c r="AI89" i="63"/>
  <c r="AP89" i="63"/>
  <c r="AO81" i="63"/>
  <c r="AZ81" i="63"/>
  <c r="AJ81" i="63"/>
  <c r="AQ81" i="63"/>
  <c r="AX81" i="63"/>
  <c r="BA81" i="63"/>
  <c r="AK81" i="63"/>
  <c r="AV81" i="63"/>
  <c r="BC81" i="63"/>
  <c r="AM81" i="63"/>
  <c r="AT81" i="63"/>
  <c r="AW81" i="63"/>
  <c r="AB81" i="63"/>
  <c r="AR81" i="63"/>
  <c r="AY81" i="63"/>
  <c r="AI81" i="63"/>
  <c r="AP81" i="63"/>
  <c r="AS81" i="63"/>
  <c r="BD81" i="63"/>
  <c r="AN81" i="63"/>
  <c r="AU81" i="63"/>
  <c r="BB81" i="63"/>
  <c r="AL81" i="63"/>
  <c r="AW94" i="63"/>
  <c r="AB94" i="63"/>
  <c r="AR94" i="63"/>
  <c r="AY94" i="63"/>
  <c r="AI94" i="63"/>
  <c r="AP94" i="63"/>
  <c r="AS94" i="63"/>
  <c r="BD94" i="63"/>
  <c r="AN94" i="63"/>
  <c r="AU94" i="63"/>
  <c r="BB94" i="63"/>
  <c r="AL94" i="63"/>
  <c r="AO94" i="63"/>
  <c r="AZ94" i="63"/>
  <c r="AJ94" i="63"/>
  <c r="AQ94" i="63"/>
  <c r="AX94" i="63"/>
  <c r="BA94" i="63"/>
  <c r="AK94" i="63"/>
  <c r="AV94" i="63"/>
  <c r="BC94" i="63"/>
  <c r="AM94" i="63"/>
  <c r="AT94" i="63"/>
  <c r="AS91" i="63"/>
  <c r="BD91" i="63"/>
  <c r="AN91" i="63"/>
  <c r="AU91" i="63"/>
  <c r="BB91" i="63"/>
  <c r="AL91" i="63"/>
  <c r="AO91" i="63"/>
  <c r="AZ91" i="63"/>
  <c r="AJ91" i="63"/>
  <c r="AQ91" i="63"/>
  <c r="AX91" i="63"/>
  <c r="BA91" i="63"/>
  <c r="AK91" i="63"/>
  <c r="AV91" i="63"/>
  <c r="BC91" i="63"/>
  <c r="AM91" i="63"/>
  <c r="AT91" i="63"/>
  <c r="AW91" i="63"/>
  <c r="AB91" i="63"/>
  <c r="AR91" i="63"/>
  <c r="AY91" i="63"/>
  <c r="AI91" i="63"/>
  <c r="AP91" i="63"/>
  <c r="M85" i="47"/>
  <c r="M91" i="47" s="1"/>
  <c r="AO83" i="63"/>
  <c r="AZ83" i="63"/>
  <c r="AJ83" i="63"/>
  <c r="AQ83" i="63"/>
  <c r="AX83" i="63"/>
  <c r="BA83" i="63"/>
  <c r="AK83" i="63"/>
  <c r="AV83" i="63"/>
  <c r="BC83" i="63"/>
  <c r="AM83" i="63"/>
  <c r="AT83" i="63"/>
  <c r="AW83" i="63"/>
  <c r="AB83" i="63"/>
  <c r="AR83" i="63"/>
  <c r="AY83" i="63"/>
  <c r="AI83" i="63"/>
  <c r="AP83" i="63"/>
  <c r="AS83" i="63"/>
  <c r="BD83" i="63"/>
  <c r="AN83" i="63"/>
  <c r="AU83" i="63"/>
  <c r="BB83" i="63"/>
  <c r="AL83" i="63"/>
  <c r="AO93" i="63"/>
  <c r="AZ93" i="63"/>
  <c r="AJ93" i="63"/>
  <c r="AQ93" i="63"/>
  <c r="AX93" i="63"/>
  <c r="BA93" i="63"/>
  <c r="AK93" i="63"/>
  <c r="AV93" i="63"/>
  <c r="BC93" i="63"/>
  <c r="AM93" i="63"/>
  <c r="AT93" i="63"/>
  <c r="AW93" i="63"/>
  <c r="AB93" i="63"/>
  <c r="AR93" i="63"/>
  <c r="AY93" i="63"/>
  <c r="AI93" i="63"/>
  <c r="AP93" i="63"/>
  <c r="AS93" i="63"/>
  <c r="BD93" i="63"/>
  <c r="AN93" i="63"/>
  <c r="AU93" i="63"/>
  <c r="BB93" i="63"/>
  <c r="AL93" i="63"/>
  <c r="M34" i="47"/>
  <c r="M8" i="47"/>
  <c r="M43" i="47"/>
  <c r="M64" i="47"/>
  <c r="M70" i="47"/>
  <c r="M31" i="47"/>
  <c r="P75" i="47"/>
  <c r="P80" i="47" s="1"/>
  <c r="P49" i="48" s="1"/>
  <c r="M32" i="47"/>
  <c r="M51" i="47"/>
  <c r="M59" i="47"/>
  <c r="M67" i="47"/>
  <c r="M33" i="47"/>
  <c r="M45" i="47"/>
  <c r="S75" i="47"/>
  <c r="S80" i="47" s="1"/>
  <c r="M16" i="47"/>
  <c r="M50" i="47"/>
  <c r="M58" i="47"/>
  <c r="M66" i="47"/>
  <c r="U75" i="47"/>
  <c r="U80" i="47" s="1"/>
  <c r="AH75" i="47"/>
  <c r="AH80" i="47" s="1"/>
  <c r="AE75" i="47"/>
  <c r="AE80" i="47" s="1"/>
  <c r="M65" i="47"/>
  <c r="M48" i="47"/>
  <c r="M39" i="47"/>
  <c r="R75" i="47"/>
  <c r="R80" i="47" s="1"/>
  <c r="R49" i="48" s="1"/>
  <c r="M40" i="47"/>
  <c r="M53" i="47"/>
  <c r="M61" i="47"/>
  <c r="M69" i="47"/>
  <c r="M37" i="47"/>
  <c r="L75" i="47"/>
  <c r="L80" i="47" s="1"/>
  <c r="W75" i="47"/>
  <c r="W80" i="47" s="1"/>
  <c r="AF75" i="47"/>
  <c r="AF80" i="47" s="1"/>
  <c r="M38" i="47"/>
  <c r="M52" i="47"/>
  <c r="M60" i="47"/>
  <c r="M68" i="47"/>
  <c r="Z75" i="47"/>
  <c r="X75" i="47"/>
  <c r="X80" i="47" s="1"/>
  <c r="M47" i="47"/>
  <c r="M63" i="47"/>
  <c r="V75" i="47"/>
  <c r="M41" i="47"/>
  <c r="Y75" i="47"/>
  <c r="Y80" i="47" s="1"/>
  <c r="M54" i="47"/>
  <c r="AA75" i="47"/>
  <c r="M44" i="47"/>
  <c r="M57" i="47"/>
  <c r="Q75" i="47"/>
  <c r="Q80" i="47" s="1"/>
  <c r="AC75" i="47"/>
  <c r="AC80" i="47" s="1"/>
  <c r="M7" i="47"/>
  <c r="M42" i="47"/>
  <c r="M55" i="47"/>
  <c r="M71" i="47"/>
  <c r="AI75" i="47"/>
  <c r="AI80" i="47" s="1"/>
  <c r="O75" i="47"/>
  <c r="O80" i="47" s="1"/>
  <c r="M46" i="47"/>
  <c r="M62" i="47"/>
  <c r="M49" i="47"/>
  <c r="M15" i="47"/>
  <c r="M56" i="47"/>
  <c r="AA73" i="48"/>
  <c r="AA78" i="48" s="1"/>
  <c r="AG73" i="48"/>
  <c r="Z73" i="48"/>
  <c r="Z78" i="48" s="1"/>
  <c r="AF73" i="48"/>
  <c r="AE73" i="48"/>
  <c r="Q8" i="53"/>
  <c r="Q12" i="53"/>
  <c r="Q7" i="53"/>
  <c r="Q14" i="53"/>
  <c r="Z15" i="53"/>
  <c r="U15" i="64"/>
  <c r="U66" i="64" s="1"/>
  <c r="Z9" i="53"/>
  <c r="U9" i="64"/>
  <c r="U60" i="64" s="1"/>
  <c r="L8" i="66"/>
  <c r="L10" i="66"/>
  <c r="AO12" i="50"/>
  <c r="R47" i="48"/>
  <c r="R45" i="48"/>
  <c r="R48" i="48"/>
  <c r="R46" i="48"/>
  <c r="R44" i="48"/>
  <c r="R24" i="48"/>
  <c r="R9" i="48"/>
  <c r="R40" i="48"/>
  <c r="R38" i="48"/>
  <c r="R36" i="48"/>
  <c r="R34" i="48"/>
  <c r="R29" i="48"/>
  <c r="R17" i="48"/>
  <c r="R5" i="48"/>
  <c r="R30" i="48"/>
  <c r="R26" i="48"/>
  <c r="R23" i="48"/>
  <c r="R20" i="48"/>
  <c r="R15" i="48"/>
  <c r="R41" i="48"/>
  <c r="R35" i="48"/>
  <c r="R27" i="48"/>
  <c r="R21" i="48"/>
  <c r="R18" i="48"/>
  <c r="R13" i="48"/>
  <c r="R11" i="48"/>
  <c r="R56" i="48"/>
  <c r="R50" i="48"/>
  <c r="R51" i="48"/>
  <c r="R67" i="48"/>
  <c r="R60" i="48"/>
  <c r="R57" i="48"/>
  <c r="R54" i="48"/>
  <c r="R70" i="48"/>
  <c r="R71" i="48"/>
  <c r="R58" i="48"/>
  <c r="R52" i="48"/>
  <c r="R68" i="48"/>
  <c r="R65" i="48"/>
  <c r="R62" i="48"/>
  <c r="R63" i="48"/>
  <c r="O19" i="52"/>
  <c r="O18" i="52"/>
  <c r="O10" i="52"/>
  <c r="O5" i="52"/>
  <c r="O16" i="52"/>
  <c r="O11" i="52"/>
  <c r="O6" i="52"/>
  <c r="O24" i="52"/>
  <c r="O17" i="52"/>
  <c r="O13" i="52"/>
  <c r="O33" i="52"/>
  <c r="O36" i="52"/>
  <c r="O21" i="52"/>
  <c r="O38" i="52"/>
  <c r="O35" i="52"/>
  <c r="O20" i="52"/>
  <c r="O37" i="52"/>
  <c r="O22" i="52"/>
  <c r="O23" i="52"/>
  <c r="O40" i="52"/>
  <c r="O41" i="52"/>
  <c r="O26" i="52"/>
  <c r="O42" i="52"/>
  <c r="O39" i="52"/>
  <c r="O25" i="52"/>
  <c r="O31" i="52"/>
  <c r="O28" i="52"/>
  <c r="O44" i="52"/>
  <c r="O45" i="52"/>
  <c r="O30" i="52"/>
  <c r="O46" i="52"/>
  <c r="O43" i="52"/>
  <c r="O29" i="52"/>
  <c r="O32" i="52"/>
  <c r="O48" i="52"/>
  <c r="O49" i="52"/>
  <c r="O34" i="52"/>
  <c r="O50" i="52"/>
  <c r="O27" i="52"/>
  <c r="O47" i="52"/>
  <c r="Q15" i="54"/>
  <c r="R15" i="54" s="1"/>
  <c r="Q56" i="53"/>
  <c r="Q9" i="54"/>
  <c r="R9" i="54" s="1"/>
  <c r="Q14" i="54"/>
  <c r="R14" i="54" s="1"/>
  <c r="Q8" i="54"/>
  <c r="R8" i="54" s="1"/>
  <c r="Q7" i="54"/>
  <c r="R7" i="54" s="1"/>
  <c r="AP12" i="50"/>
  <c r="Z66" i="50"/>
  <c r="Z67" i="50"/>
  <c r="Z59" i="50"/>
  <c r="Z61" i="50"/>
  <c r="Z51" i="50"/>
  <c r="Z45" i="50"/>
  <c r="Z50" i="50"/>
  <c r="Z40" i="50"/>
  <c r="Z32" i="50"/>
  <c r="Z37" i="50"/>
  <c r="Z29" i="50"/>
  <c r="Z25" i="50"/>
  <c r="Z21" i="50"/>
  <c r="Z5" i="50"/>
  <c r="Z16" i="50"/>
  <c r="Z15" i="50"/>
  <c r="Z64" i="50"/>
  <c r="Z71" i="50"/>
  <c r="Z56" i="50"/>
  <c r="Z58" i="50"/>
  <c r="Z60" i="50"/>
  <c r="Z43" i="50"/>
  <c r="Z48" i="50"/>
  <c r="Z38" i="50"/>
  <c r="Z30" i="50"/>
  <c r="Z35" i="50"/>
  <c r="Z28" i="50"/>
  <c r="Z24" i="50"/>
  <c r="Z20" i="50"/>
  <c r="Z14" i="50"/>
  <c r="Z8" i="50"/>
  <c r="Z13" i="50"/>
  <c r="Z70" i="50"/>
  <c r="Z62" i="50"/>
  <c r="Z63" i="50"/>
  <c r="Z54" i="50"/>
  <c r="Z57" i="50"/>
  <c r="Z49" i="50"/>
  <c r="Z41" i="50"/>
  <c r="Z46" i="50"/>
  <c r="Z36" i="50"/>
  <c r="Z44" i="50"/>
  <c r="Z33" i="50"/>
  <c r="Z27" i="50"/>
  <c r="Z23" i="50"/>
  <c r="Z9" i="50"/>
  <c r="Z10" i="50"/>
  <c r="Z11" i="50"/>
  <c r="Z12" i="50"/>
  <c r="Z6" i="50"/>
  <c r="Z68" i="50"/>
  <c r="Z69" i="50"/>
  <c r="Z65" i="50"/>
  <c r="Z52" i="50"/>
  <c r="Z55" i="50"/>
  <c r="Z47" i="50"/>
  <c r="Z53" i="50"/>
  <c r="Z42" i="50"/>
  <c r="Z34" i="50"/>
  <c r="Z39" i="50"/>
  <c r="Z31" i="50"/>
  <c r="Z26" i="50"/>
  <c r="Z22" i="50"/>
  <c r="Z7" i="50"/>
  <c r="Z17" i="50"/>
  <c r="Z18" i="50"/>
  <c r="Z19" i="50"/>
  <c r="L15" i="52"/>
  <c r="L7" i="52"/>
  <c r="L12" i="52"/>
  <c r="L8" i="52"/>
  <c r="L14" i="52"/>
  <c r="L9" i="52"/>
  <c r="D45" i="5"/>
  <c r="P53" i="54"/>
  <c r="P53" i="53"/>
  <c r="P53" i="52"/>
  <c r="P53" i="51"/>
  <c r="P46" i="48"/>
  <c r="P47" i="48"/>
  <c r="P45" i="48"/>
  <c r="P32" i="48"/>
  <c r="P30" i="48"/>
  <c r="P26" i="48"/>
  <c r="P15" i="48"/>
  <c r="P41" i="48"/>
  <c r="P37" i="48"/>
  <c r="P35" i="48"/>
  <c r="P33" i="48"/>
  <c r="P27" i="48"/>
  <c r="P21" i="48"/>
  <c r="P11" i="48"/>
  <c r="P31" i="48"/>
  <c r="P24" i="48"/>
  <c r="P19" i="48"/>
  <c r="P16" i="48"/>
  <c r="P9" i="48"/>
  <c r="P44" i="48"/>
  <c r="P38" i="48"/>
  <c r="P29" i="48"/>
  <c r="P22" i="48"/>
  <c r="P17" i="48"/>
  <c r="P14" i="48"/>
  <c r="P7" i="48"/>
  <c r="P5" i="48"/>
  <c r="P55" i="48"/>
  <c r="P68" i="48"/>
  <c r="P62" i="48"/>
  <c r="P59" i="48"/>
  <c r="P56" i="48"/>
  <c r="P65" i="48"/>
  <c r="P50" i="48"/>
  <c r="P60" i="48"/>
  <c r="P54" i="48"/>
  <c r="P51" i="48"/>
  <c r="P67" i="48"/>
  <c r="P64" i="48"/>
  <c r="S19" i="52"/>
  <c r="S24" i="52"/>
  <c r="S11" i="52"/>
  <c r="S17" i="52"/>
  <c r="S13" i="52"/>
  <c r="S10" i="52"/>
  <c r="S18" i="52"/>
  <c r="S16" i="52"/>
  <c r="S6" i="52"/>
  <c r="S5" i="52"/>
  <c r="S26" i="52"/>
  <c r="S27" i="52"/>
  <c r="S23" i="52"/>
  <c r="S40" i="52"/>
  <c r="S29" i="52"/>
  <c r="S45" i="52"/>
  <c r="S34" i="52"/>
  <c r="S50" i="52"/>
  <c r="S31" i="52"/>
  <c r="S47" i="52"/>
  <c r="S28" i="52"/>
  <c r="S44" i="52"/>
  <c r="S33" i="52"/>
  <c r="S49" i="52"/>
  <c r="S38" i="52"/>
  <c r="S35" i="52"/>
  <c r="S25" i="52"/>
  <c r="S32" i="52"/>
  <c r="S48" i="52"/>
  <c r="S37" i="52"/>
  <c r="S21" i="52"/>
  <c r="S42" i="52"/>
  <c r="S39" i="52"/>
  <c r="S36" i="52"/>
  <c r="S20" i="52"/>
  <c r="S41" i="52"/>
  <c r="S30" i="52"/>
  <c r="S46" i="52"/>
  <c r="S22" i="52"/>
  <c r="S43" i="52"/>
  <c r="Q12" i="54"/>
  <c r="R12" i="54" s="1"/>
  <c r="AO12" i="49"/>
  <c r="AM12" i="48"/>
  <c r="AA65" i="50"/>
  <c r="AA71" i="50"/>
  <c r="AA58" i="50"/>
  <c r="AA63" i="50"/>
  <c r="AA50" i="50"/>
  <c r="AA45" i="50"/>
  <c r="AA44" i="50"/>
  <c r="AA40" i="50"/>
  <c r="AA32" i="50"/>
  <c r="AA37" i="50"/>
  <c r="AA29" i="50"/>
  <c r="AA25" i="50"/>
  <c r="AA16" i="50"/>
  <c r="AA10" i="50"/>
  <c r="AA24" i="50"/>
  <c r="AA18" i="50"/>
  <c r="AA8" i="50"/>
  <c r="AA62" i="50"/>
  <c r="AA69" i="50"/>
  <c r="AA56" i="50"/>
  <c r="AA64" i="50"/>
  <c r="AA48" i="50"/>
  <c r="AA43" i="50"/>
  <c r="AA57" i="50"/>
  <c r="AA38" i="50"/>
  <c r="AA30" i="50"/>
  <c r="AA35" i="50"/>
  <c r="AA28" i="50"/>
  <c r="AA42" i="50"/>
  <c r="AA14" i="50"/>
  <c r="AA9" i="50"/>
  <c r="AA22" i="50"/>
  <c r="AA17" i="50"/>
  <c r="AA6" i="50"/>
  <c r="AA61" i="50"/>
  <c r="AA66" i="50"/>
  <c r="AA67" i="50"/>
  <c r="AA54" i="50"/>
  <c r="AA49" i="50"/>
  <c r="AA53" i="50"/>
  <c r="AA55" i="50"/>
  <c r="AA36" i="50"/>
  <c r="AA41" i="50"/>
  <c r="AA33" i="50"/>
  <c r="AA27" i="50"/>
  <c r="AA23" i="50"/>
  <c r="AA12" i="50"/>
  <c r="AA7" i="50"/>
  <c r="AA20" i="50"/>
  <c r="AA15" i="50"/>
  <c r="AA70" i="50"/>
  <c r="AA59" i="50"/>
  <c r="AA60" i="50"/>
  <c r="AA68" i="50"/>
  <c r="AA52" i="50"/>
  <c r="AA47" i="50"/>
  <c r="AA46" i="50"/>
  <c r="AA51" i="50"/>
  <c r="AA34" i="50"/>
  <c r="AA39" i="50"/>
  <c r="AA31" i="50"/>
  <c r="AA26" i="50"/>
  <c r="AA21" i="50"/>
  <c r="AA11" i="50"/>
  <c r="AA5" i="50"/>
  <c r="AA19" i="50"/>
  <c r="AA13" i="50"/>
  <c r="F34" i="5"/>
  <c r="L55" i="54"/>
  <c r="L55" i="53"/>
  <c r="L57" i="53" s="1"/>
  <c r="L56" i="53" s="1"/>
  <c r="L55" i="52"/>
  <c r="L55" i="51"/>
  <c r="T17" i="52"/>
  <c r="T10" i="52"/>
  <c r="T49" i="52"/>
  <c r="T23" i="52"/>
  <c r="T48" i="52"/>
  <c r="T41" i="52"/>
  <c r="T50" i="52"/>
  <c r="AP12" i="49"/>
  <c r="R54" i="54"/>
  <c r="R54" i="53"/>
  <c r="R54" i="52"/>
  <c r="R54" i="51"/>
  <c r="R55" i="54"/>
  <c r="R55" i="53"/>
  <c r="R55" i="52"/>
  <c r="R55" i="51"/>
  <c r="N74" i="49"/>
  <c r="N74" i="50"/>
  <c r="N74" i="48"/>
  <c r="Q56" i="52"/>
  <c r="Q15" i="53"/>
  <c r="Q9" i="53"/>
  <c r="D10" i="5"/>
  <c r="T76" i="47" s="1"/>
  <c r="T34" i="52" l="1"/>
  <c r="T32" i="52"/>
  <c r="T33" i="52"/>
  <c r="T19" i="52"/>
  <c r="Q26" i="52"/>
  <c r="Q37" i="52"/>
  <c r="Q33" i="52"/>
  <c r="Q29" i="52"/>
  <c r="Q16" i="52"/>
  <c r="Q40" i="52"/>
  <c r="Q11" i="52"/>
  <c r="Q41" i="52"/>
  <c r="Q20" i="52"/>
  <c r="Q27" i="52"/>
  <c r="Q45" i="52"/>
  <c r="Q17" i="52"/>
  <c r="Q32" i="52"/>
  <c r="Q42" i="52"/>
  <c r="Q19" i="52"/>
  <c r="Q22" i="52"/>
  <c r="Q10" i="52"/>
  <c r="Q35" i="52"/>
  <c r="Q36" i="52"/>
  <c r="Q48" i="52"/>
  <c r="Q6" i="52"/>
  <c r="Q25" i="52"/>
  <c r="Q50" i="52"/>
  <c r="Q47" i="52"/>
  <c r="Q28" i="52"/>
  <c r="Q44" i="52"/>
  <c r="Q13" i="52"/>
  <c r="Q30" i="52"/>
  <c r="Q34" i="52"/>
  <c r="Q31" i="52"/>
  <c r="Q43" i="52"/>
  <c r="Q23" i="52"/>
  <c r="Q46" i="52"/>
  <c r="Q39" i="52"/>
  <c r="Q18" i="52"/>
  <c r="Q21" i="52"/>
  <c r="Q49" i="52"/>
  <c r="Q5" i="52"/>
  <c r="Q24" i="52"/>
  <c r="Q38" i="52"/>
  <c r="T45" i="52"/>
  <c r="T47" i="52"/>
  <c r="T40" i="52"/>
  <c r="T18" i="52"/>
  <c r="T18" i="53" s="1"/>
  <c r="C6" i="66"/>
  <c r="T39" i="52"/>
  <c r="E6" i="66"/>
  <c r="L57" i="51"/>
  <c r="T29" i="52"/>
  <c r="T27" i="52"/>
  <c r="T24" i="52"/>
  <c r="T36" i="52"/>
  <c r="T42" i="52"/>
  <c r="T26" i="52"/>
  <c r="B6" i="66"/>
  <c r="N57" i="51"/>
  <c r="D6" i="66"/>
  <c r="M56" i="53"/>
  <c r="M14" i="52"/>
  <c r="M56" i="52"/>
  <c r="M12" i="52"/>
  <c r="M8" i="52"/>
  <c r="M7" i="52"/>
  <c r="Y56" i="53"/>
  <c r="Y8" i="52"/>
  <c r="Y56" i="52"/>
  <c r="Y14" i="52"/>
  <c r="Y7" i="52"/>
  <c r="Y12" i="52"/>
  <c r="K6" i="66"/>
  <c r="N8" i="52"/>
  <c r="N9" i="52"/>
  <c r="N14" i="52"/>
  <c r="N12" i="52"/>
  <c r="N15" i="52"/>
  <c r="N56" i="52"/>
  <c r="N7" i="52"/>
  <c r="N56" i="53"/>
  <c r="T35" i="52"/>
  <c r="T31" i="52"/>
  <c r="T21" i="52"/>
  <c r="T20" i="52"/>
  <c r="T11" i="52"/>
  <c r="T22" i="52"/>
  <c r="T44" i="52"/>
  <c r="T5" i="52"/>
  <c r="J6" i="66"/>
  <c r="U57" i="51"/>
  <c r="M57" i="51"/>
  <c r="T46" i="52"/>
  <c r="G6" i="66"/>
  <c r="S9" i="52"/>
  <c r="S15" i="52"/>
  <c r="S7" i="52"/>
  <c r="S56" i="53"/>
  <c r="S56" i="52"/>
  <c r="S14" i="52"/>
  <c r="S12" i="52"/>
  <c r="S8" i="52"/>
  <c r="T37" i="52"/>
  <c r="T28" i="52"/>
  <c r="T6" i="52"/>
  <c r="T30" i="52"/>
  <c r="T43" i="52"/>
  <c r="T16" i="52"/>
  <c r="F6" i="66"/>
  <c r="I6" i="66"/>
  <c r="T14" i="52"/>
  <c r="T9" i="52"/>
  <c r="T7" i="52"/>
  <c r="T56" i="52"/>
  <c r="T12" i="52"/>
  <c r="T56" i="53"/>
  <c r="T15" i="52"/>
  <c r="T8" i="52"/>
  <c r="U15" i="52"/>
  <c r="U8" i="52"/>
  <c r="U56" i="53"/>
  <c r="U12" i="52"/>
  <c r="U7" i="52"/>
  <c r="U56" i="52"/>
  <c r="U9" i="52"/>
  <c r="U14" i="52"/>
  <c r="T25" i="52"/>
  <c r="T38" i="52"/>
  <c r="H6" i="66"/>
  <c r="Y57" i="51"/>
  <c r="O56" i="52"/>
  <c r="O12" i="52"/>
  <c r="O14" i="52"/>
  <c r="O7" i="52"/>
  <c r="O15" i="52"/>
  <c r="O9" i="52"/>
  <c r="P9" i="52" s="1"/>
  <c r="O8" i="52"/>
  <c r="O56" i="53"/>
  <c r="P69" i="48"/>
  <c r="P52" i="48"/>
  <c r="P34" i="48"/>
  <c r="P6" i="48"/>
  <c r="P43" i="48"/>
  <c r="P48" i="48"/>
  <c r="R61" i="48"/>
  <c r="R69" i="48"/>
  <c r="R37" i="48"/>
  <c r="R7" i="48"/>
  <c r="R16" i="48"/>
  <c r="P53" i="48"/>
  <c r="P71" i="48"/>
  <c r="P36" i="48"/>
  <c r="P8" i="48"/>
  <c r="P8" i="50" s="1"/>
  <c r="P10" i="48"/>
  <c r="R64" i="48"/>
  <c r="R53" i="48"/>
  <c r="R39" i="48"/>
  <c r="R14" i="48"/>
  <c r="R19" i="48"/>
  <c r="P63" i="48"/>
  <c r="P63" i="50" s="1"/>
  <c r="P58" i="48"/>
  <c r="P40" i="48"/>
  <c r="P13" i="48"/>
  <c r="P20" i="48"/>
  <c r="P20" i="50" s="1"/>
  <c r="R55" i="48"/>
  <c r="R6" i="48"/>
  <c r="R43" i="48"/>
  <c r="R22" i="48"/>
  <c r="R28" i="48"/>
  <c r="P66" i="48"/>
  <c r="P57" i="48"/>
  <c r="P42" i="48"/>
  <c r="P18" i="48"/>
  <c r="P23" i="48"/>
  <c r="R8" i="48"/>
  <c r="R8" i="50" s="1"/>
  <c r="R10" i="48"/>
  <c r="R25" i="48"/>
  <c r="R31" i="48"/>
  <c r="P70" i="48"/>
  <c r="P61" i="48"/>
  <c r="P25" i="48"/>
  <c r="P28" i="48"/>
  <c r="P39" i="48"/>
  <c r="R59" i="48"/>
  <c r="R66" i="48"/>
  <c r="R33" i="48"/>
  <c r="R33" i="50" s="1"/>
  <c r="R32" i="48"/>
  <c r="R42" i="48"/>
  <c r="AA33" i="49"/>
  <c r="AA70" i="49"/>
  <c r="Z70" i="63" s="1"/>
  <c r="Z142" i="63" s="1"/>
  <c r="AA54" i="49"/>
  <c r="Z54" i="63" s="1"/>
  <c r="Z126" i="63" s="1"/>
  <c r="AA61" i="49"/>
  <c r="AA68" i="49"/>
  <c r="Z68" i="63" s="1"/>
  <c r="Z140" i="63" s="1"/>
  <c r="AA52" i="49"/>
  <c r="AA44" i="49"/>
  <c r="AA29" i="49"/>
  <c r="AA46" i="49"/>
  <c r="Z46" i="63" s="1"/>
  <c r="Z118" i="63" s="1"/>
  <c r="AA28" i="49"/>
  <c r="AA63" i="49"/>
  <c r="AA38" i="49"/>
  <c r="AA19" i="49"/>
  <c r="Z19" i="63" s="1"/>
  <c r="Z91" i="63" s="1"/>
  <c r="AA42" i="49"/>
  <c r="Z42" i="63" s="1"/>
  <c r="Z114" i="63" s="1"/>
  <c r="AA26" i="49"/>
  <c r="Z26" i="63" s="1"/>
  <c r="Z98" i="63" s="1"/>
  <c r="AA21" i="49"/>
  <c r="AA17" i="49"/>
  <c r="AA5" i="49"/>
  <c r="AA66" i="49"/>
  <c r="Z66" i="63" s="1"/>
  <c r="Z138" i="63" s="1"/>
  <c r="AA50" i="49"/>
  <c r="Z50" i="63" s="1"/>
  <c r="Z122" i="63" s="1"/>
  <c r="AA57" i="49"/>
  <c r="Z57" i="63" s="1"/>
  <c r="Z129" i="63" s="1"/>
  <c r="AA64" i="49"/>
  <c r="AA49" i="49"/>
  <c r="AA39" i="49"/>
  <c r="AA25" i="49"/>
  <c r="AA41" i="49"/>
  <c r="Z41" i="63" s="1"/>
  <c r="Z113" i="63" s="1"/>
  <c r="AA24" i="49"/>
  <c r="AA48" i="49"/>
  <c r="Z48" i="63" s="1"/>
  <c r="Z120" i="63" s="1"/>
  <c r="AA31" i="49"/>
  <c r="AA15" i="49"/>
  <c r="Z15" i="63" s="1"/>
  <c r="Z87" i="63" s="1"/>
  <c r="AA35" i="49"/>
  <c r="AA22" i="49"/>
  <c r="Z22" i="63" s="1"/>
  <c r="Z94" i="63" s="1"/>
  <c r="AA13" i="49"/>
  <c r="Z13" i="63" s="1"/>
  <c r="Z85" i="63" s="1"/>
  <c r="AA10" i="49"/>
  <c r="Z10" i="63" s="1"/>
  <c r="Z82" i="63" s="1"/>
  <c r="AA12" i="49"/>
  <c r="AA62" i="49"/>
  <c r="Z62" i="63" s="1"/>
  <c r="Z134" i="63" s="1"/>
  <c r="AA69" i="49"/>
  <c r="AA53" i="49"/>
  <c r="Z53" i="63" s="1"/>
  <c r="Z125" i="63" s="1"/>
  <c r="AA60" i="49"/>
  <c r="AA71" i="49"/>
  <c r="Z71" i="63" s="1"/>
  <c r="Z143" i="63" s="1"/>
  <c r="AA37" i="49"/>
  <c r="Z37" i="63" s="1"/>
  <c r="Z109" i="63" s="1"/>
  <c r="AA67" i="49"/>
  <c r="AA36" i="49"/>
  <c r="Z36" i="63" s="1"/>
  <c r="Z108" i="63" s="1"/>
  <c r="AA20" i="49"/>
  <c r="Z20" i="63" s="1"/>
  <c r="Z92" i="63" s="1"/>
  <c r="AA43" i="49"/>
  <c r="Z43" i="63" s="1"/>
  <c r="Z115" i="63" s="1"/>
  <c r="AA27" i="49"/>
  <c r="AA59" i="49"/>
  <c r="AA18" i="49"/>
  <c r="AA11" i="49"/>
  <c r="AA6" i="49"/>
  <c r="Z6" i="63" s="1"/>
  <c r="Z78" i="63" s="1"/>
  <c r="AA8" i="49"/>
  <c r="AA56" i="49"/>
  <c r="AA34" i="49"/>
  <c r="AA45" i="49"/>
  <c r="Z45" i="63" s="1"/>
  <c r="Z117" i="63" s="1"/>
  <c r="AA9" i="49"/>
  <c r="AA58" i="49"/>
  <c r="AA55" i="49"/>
  <c r="Z55" i="63" s="1"/>
  <c r="Z127" i="63" s="1"/>
  <c r="AA16" i="49"/>
  <c r="AA30" i="49"/>
  <c r="Z30" i="63" s="1"/>
  <c r="Z102" i="63" s="1"/>
  <c r="AA47" i="49"/>
  <c r="AA23" i="49"/>
  <c r="Z23" i="63" s="1"/>
  <c r="Z95" i="63" s="1"/>
  <c r="AA7" i="49"/>
  <c r="Z7" i="63" s="1"/>
  <c r="Z79" i="63" s="1"/>
  <c r="AA65" i="49"/>
  <c r="AA32" i="49"/>
  <c r="AA40" i="49"/>
  <c r="AA14" i="49"/>
  <c r="Z14" i="63" s="1"/>
  <c r="Z86" i="63" s="1"/>
  <c r="AA51" i="49"/>
  <c r="Z51" i="63" s="1"/>
  <c r="Z123" i="63" s="1"/>
  <c r="AC38" i="48"/>
  <c r="AC10" i="48"/>
  <c r="AC31" i="48"/>
  <c r="AC51" i="48"/>
  <c r="AC57" i="48"/>
  <c r="AC45" i="48"/>
  <c r="AC34" i="48"/>
  <c r="AC17" i="48"/>
  <c r="AC32" i="48"/>
  <c r="AC20" i="48"/>
  <c r="AC37" i="48"/>
  <c r="AC21" i="48"/>
  <c r="AC8" i="48"/>
  <c r="AC24" i="48"/>
  <c r="AC43" i="48"/>
  <c r="AC50" i="48"/>
  <c r="AC48" i="48"/>
  <c r="AC54" i="48"/>
  <c r="AC52" i="48"/>
  <c r="AC58" i="48"/>
  <c r="AC44" i="48"/>
  <c r="AC47" i="48"/>
  <c r="AC40" i="48"/>
  <c r="AC29" i="48"/>
  <c r="AC14" i="48"/>
  <c r="AC30" i="48"/>
  <c r="AC15" i="48"/>
  <c r="AC35" i="48"/>
  <c r="AC18" i="48"/>
  <c r="AC6" i="48"/>
  <c r="AC19" i="48"/>
  <c r="AC60" i="48"/>
  <c r="AC66" i="48"/>
  <c r="AC64" i="48"/>
  <c r="AC70" i="48"/>
  <c r="AC68" i="48"/>
  <c r="AC42" i="48"/>
  <c r="AC61" i="48"/>
  <c r="AC63" i="48"/>
  <c r="AC25" i="48"/>
  <c r="AC7" i="48"/>
  <c r="AC26" i="48"/>
  <c r="AC33" i="48"/>
  <c r="AC13" i="48"/>
  <c r="AC16" i="48"/>
  <c r="AC49" i="48"/>
  <c r="AC53" i="48"/>
  <c r="AC55" i="48"/>
  <c r="AC59" i="48"/>
  <c r="AC46" i="48"/>
  <c r="AC5" i="48"/>
  <c r="AC11" i="48"/>
  <c r="AC56" i="48"/>
  <c r="AC23" i="48"/>
  <c r="AC28" i="48"/>
  <c r="AC69" i="48"/>
  <c r="AC62" i="48"/>
  <c r="AC27" i="48"/>
  <c r="AC67" i="48"/>
  <c r="AC36" i="48"/>
  <c r="AC39" i="48"/>
  <c r="AC9" i="48"/>
  <c r="AC71" i="48"/>
  <c r="AC22" i="48"/>
  <c r="AC65" i="48"/>
  <c r="AC41" i="48"/>
  <c r="V76" i="47"/>
  <c r="Y76" i="47"/>
  <c r="M75" i="47"/>
  <c r="M80" i="47" s="1"/>
  <c r="S38" i="48"/>
  <c r="S25" i="48"/>
  <c r="S7" i="48"/>
  <c r="S26" i="48"/>
  <c r="S10" i="48"/>
  <c r="S33" i="48"/>
  <c r="S13" i="48"/>
  <c r="S31" i="48"/>
  <c r="S16" i="48"/>
  <c r="S55" i="48"/>
  <c r="S53" i="48"/>
  <c r="S42" i="48"/>
  <c r="S50" i="48"/>
  <c r="S43" i="48"/>
  <c r="S54" i="48"/>
  <c r="S48" i="48"/>
  <c r="S36" i="48"/>
  <c r="S22" i="48"/>
  <c r="S5" i="48"/>
  <c r="S23" i="48"/>
  <c r="S39" i="48"/>
  <c r="S27" i="48"/>
  <c r="S11" i="48"/>
  <c r="S28" i="48"/>
  <c r="S9" i="48"/>
  <c r="S71" i="48"/>
  <c r="S69" i="48"/>
  <c r="S59" i="48"/>
  <c r="S66" i="48"/>
  <c r="S60" i="48"/>
  <c r="S70" i="48"/>
  <c r="S64" i="48"/>
  <c r="S45" i="48"/>
  <c r="S34" i="48"/>
  <c r="S17" i="48"/>
  <c r="S32" i="48"/>
  <c r="S20" i="48"/>
  <c r="S37" i="48"/>
  <c r="S21" i="48"/>
  <c r="S8" i="48"/>
  <c r="S24" i="48"/>
  <c r="S41" i="48"/>
  <c r="S52" i="48"/>
  <c r="S46" i="48"/>
  <c r="S56" i="48"/>
  <c r="S47" i="48"/>
  <c r="S44" i="48"/>
  <c r="S51" i="48"/>
  <c r="S49" i="48"/>
  <c r="S40" i="48"/>
  <c r="S15" i="48"/>
  <c r="S19" i="48"/>
  <c r="S57" i="48"/>
  <c r="S65" i="48"/>
  <c r="S29" i="48"/>
  <c r="S35" i="48"/>
  <c r="S58" i="48"/>
  <c r="S63" i="48"/>
  <c r="S30" i="48"/>
  <c r="S62" i="48"/>
  <c r="S67" i="48"/>
  <c r="S14" i="48"/>
  <c r="S18" i="48"/>
  <c r="S68" i="48"/>
  <c r="S61" i="48"/>
  <c r="S6" i="48"/>
  <c r="E8" i="65"/>
  <c r="E6" i="65"/>
  <c r="E10" i="65"/>
  <c r="W8" i="65"/>
  <c r="W6" i="65"/>
  <c r="W10" i="65"/>
  <c r="R8" i="65"/>
  <c r="R10" i="65"/>
  <c r="R6" i="65"/>
  <c r="M8" i="65"/>
  <c r="M6" i="65"/>
  <c r="M10" i="65"/>
  <c r="D10" i="65"/>
  <c r="D6" i="65"/>
  <c r="D8" i="65"/>
  <c r="C8" i="65"/>
  <c r="C6" i="65"/>
  <c r="C10" i="65"/>
  <c r="Z5" i="63"/>
  <c r="Z77" i="63" s="1"/>
  <c r="Z31" i="63"/>
  <c r="Z103" i="63" s="1"/>
  <c r="Z60" i="63"/>
  <c r="Z132" i="63" s="1"/>
  <c r="Z27" i="63"/>
  <c r="Z99" i="63" s="1"/>
  <c r="Z67" i="63"/>
  <c r="Z139" i="63" s="1"/>
  <c r="Z17" i="63"/>
  <c r="Z89" i="63" s="1"/>
  <c r="Z38" i="63"/>
  <c r="Z110" i="63" s="1"/>
  <c r="Z64" i="63"/>
  <c r="Z136" i="63" s="1"/>
  <c r="Z8" i="63"/>
  <c r="Z80" i="63" s="1"/>
  <c r="Z16" i="63"/>
  <c r="Z88" i="63" s="1"/>
  <c r="Z32" i="63"/>
  <c r="Z104" i="63" s="1"/>
  <c r="Z65" i="63"/>
  <c r="Z137" i="63" s="1"/>
  <c r="Q38" i="48"/>
  <c r="Q38" i="50" s="1"/>
  <c r="Q45" i="48"/>
  <c r="Q45" i="50" s="1"/>
  <c r="Q46" i="48"/>
  <c r="Q46" i="50" s="1"/>
  <c r="Q33" i="48"/>
  <c r="Q33" i="50" s="1"/>
  <c r="Q13" i="48"/>
  <c r="Q13" i="50" s="1"/>
  <c r="Q28" i="48"/>
  <c r="Q28" i="50" s="1"/>
  <c r="Q9" i="48"/>
  <c r="Q9" i="50" s="1"/>
  <c r="Q34" i="48"/>
  <c r="Q34" i="50" s="1"/>
  <c r="Q17" i="48"/>
  <c r="Q17" i="50" s="1"/>
  <c r="Q30" i="48"/>
  <c r="Q30" i="50" s="1"/>
  <c r="Q15" i="48"/>
  <c r="Q15" i="50" s="1"/>
  <c r="Q31" i="48"/>
  <c r="Q31" i="50" s="1"/>
  <c r="Q50" i="48"/>
  <c r="Q50" i="50" s="1"/>
  <c r="Q32" i="48"/>
  <c r="Q32" i="50" s="1"/>
  <c r="Q54" i="48"/>
  <c r="Q54" i="50" s="1"/>
  <c r="Q40" i="48"/>
  <c r="Q40" i="50" s="1"/>
  <c r="Q58" i="48"/>
  <c r="Q58" i="50" s="1"/>
  <c r="Q68" i="48"/>
  <c r="Q68" i="50" s="1"/>
  <c r="Q49" i="48"/>
  <c r="Q49" i="50" s="1"/>
  <c r="Q43" i="48"/>
  <c r="Q43" i="50" s="1"/>
  <c r="Q27" i="48"/>
  <c r="Q27" i="50" s="1"/>
  <c r="Q11" i="48"/>
  <c r="Q11" i="50" s="1"/>
  <c r="Q24" i="48"/>
  <c r="Q24" i="50" s="1"/>
  <c r="Q44" i="48"/>
  <c r="Q44" i="50" s="1"/>
  <c r="Q29" i="48"/>
  <c r="Q29" i="50" s="1"/>
  <c r="Q14" i="48"/>
  <c r="Q14" i="50" s="1"/>
  <c r="Q26" i="48"/>
  <c r="Q26" i="50" s="1"/>
  <c r="Q10" i="48"/>
  <c r="Q10" i="50" s="1"/>
  <c r="Q59" i="48"/>
  <c r="Q59" i="50" s="1"/>
  <c r="Q66" i="48"/>
  <c r="Q66" i="50" s="1"/>
  <c r="Q60" i="48"/>
  <c r="Q60" i="50" s="1"/>
  <c r="Q70" i="48"/>
  <c r="Q70" i="50" s="1"/>
  <c r="Q64" i="48"/>
  <c r="Q64" i="50" s="1"/>
  <c r="Q55" i="48"/>
  <c r="Q55" i="50" s="1"/>
  <c r="Q53" i="48"/>
  <c r="Q53" i="50" s="1"/>
  <c r="Q47" i="48"/>
  <c r="Q47" i="50" s="1"/>
  <c r="Q41" i="48"/>
  <c r="Q41" i="50" s="1"/>
  <c r="Q21" i="48"/>
  <c r="Q21" i="50" s="1"/>
  <c r="Q8" i="48"/>
  <c r="Q8" i="50" s="1"/>
  <c r="Q19" i="48"/>
  <c r="Q19" i="50" s="1"/>
  <c r="Q42" i="48"/>
  <c r="Q42" i="50" s="1"/>
  <c r="Q25" i="48"/>
  <c r="Q25" i="50" s="1"/>
  <c r="Q7" i="48"/>
  <c r="Q7" i="50" s="1"/>
  <c r="Q23" i="48"/>
  <c r="Q23" i="50" s="1"/>
  <c r="Q56" i="48"/>
  <c r="Q56" i="50" s="1"/>
  <c r="Q39" i="48"/>
  <c r="Q39" i="50" s="1"/>
  <c r="Q37" i="48"/>
  <c r="Q37" i="50" s="1"/>
  <c r="Q51" i="48"/>
  <c r="Q51" i="50" s="1"/>
  <c r="Q71" i="48"/>
  <c r="Q71" i="50" s="1"/>
  <c r="Q69" i="48"/>
  <c r="Q69" i="50" s="1"/>
  <c r="Q6" i="48"/>
  <c r="Q6" i="50" s="1"/>
  <c r="Q52" i="48"/>
  <c r="Q52" i="50" s="1"/>
  <c r="Q48" i="48"/>
  <c r="Q48" i="50" s="1"/>
  <c r="Q16" i="48"/>
  <c r="Q16" i="50" s="1"/>
  <c r="Q20" i="48"/>
  <c r="Q20" i="50" s="1"/>
  <c r="Q61" i="48"/>
  <c r="Q61" i="50" s="1"/>
  <c r="Q18" i="48"/>
  <c r="Q18" i="50" s="1"/>
  <c r="Q57" i="48"/>
  <c r="Q57" i="50" s="1"/>
  <c r="Q5" i="48"/>
  <c r="Q35" i="48"/>
  <c r="Q35" i="50" s="1"/>
  <c r="Q36" i="48"/>
  <c r="Q36" i="50" s="1"/>
  <c r="Q62" i="48"/>
  <c r="Q62" i="50" s="1"/>
  <c r="Q67" i="48"/>
  <c r="Q67" i="50" s="1"/>
  <c r="Q22" i="48"/>
  <c r="Q22" i="50" s="1"/>
  <c r="Q65" i="48"/>
  <c r="Q65" i="50" s="1"/>
  <c r="Q63" i="48"/>
  <c r="Q63" i="50" s="1"/>
  <c r="U10" i="65"/>
  <c r="U8" i="65"/>
  <c r="U6" i="65"/>
  <c r="L6" i="65"/>
  <c r="L8" i="65"/>
  <c r="L10" i="65"/>
  <c r="K8" i="65"/>
  <c r="K10" i="65"/>
  <c r="K6" i="65"/>
  <c r="F8" i="65"/>
  <c r="F10" i="65"/>
  <c r="F6" i="65"/>
  <c r="T8" i="65"/>
  <c r="T10" i="65"/>
  <c r="T6" i="65"/>
  <c r="S8" i="65"/>
  <c r="S6" i="65"/>
  <c r="S10" i="65"/>
  <c r="Z11" i="63"/>
  <c r="Z83" i="63" s="1"/>
  <c r="Z39" i="63"/>
  <c r="Z111" i="63" s="1"/>
  <c r="Z47" i="63"/>
  <c r="Z119" i="63" s="1"/>
  <c r="Z59" i="63"/>
  <c r="Z131" i="63" s="1"/>
  <c r="Z33" i="63"/>
  <c r="Z105" i="63" s="1"/>
  <c r="Z28" i="63"/>
  <c r="Z100" i="63" s="1"/>
  <c r="Z56" i="63"/>
  <c r="Z128" i="63" s="1"/>
  <c r="Z18" i="63"/>
  <c r="Z90" i="63" s="1"/>
  <c r="Z25" i="63"/>
  <c r="Z97" i="63" s="1"/>
  <c r="Z40" i="63"/>
  <c r="Z112" i="63" s="1"/>
  <c r="Z63" i="63"/>
  <c r="Z135" i="63" s="1"/>
  <c r="Z67" i="49"/>
  <c r="Y67" i="63" s="1"/>
  <c r="Y139" i="63" s="1"/>
  <c r="Z51" i="49"/>
  <c r="Z62" i="49"/>
  <c r="Y62" i="63" s="1"/>
  <c r="Y134" i="63" s="1"/>
  <c r="Z69" i="49"/>
  <c r="Y69" i="63" s="1"/>
  <c r="Y141" i="63" s="1"/>
  <c r="Z53" i="49"/>
  <c r="Y53" i="63" s="1"/>
  <c r="Y125" i="63" s="1"/>
  <c r="Z42" i="49"/>
  <c r="Y42" i="63" s="1"/>
  <c r="Y114" i="63" s="1"/>
  <c r="Z26" i="49"/>
  <c r="Y26" i="63" s="1"/>
  <c r="Y98" i="63" s="1"/>
  <c r="Z39" i="49"/>
  <c r="Y39" i="63" s="1"/>
  <c r="Y111" i="63" s="1"/>
  <c r="Z25" i="49"/>
  <c r="Y25" i="63" s="1"/>
  <c r="Y97" i="63" s="1"/>
  <c r="Z49" i="49"/>
  <c r="Y49" i="63" s="1"/>
  <c r="Y121" i="63" s="1"/>
  <c r="Z34" i="49"/>
  <c r="Y34" i="63" s="1"/>
  <c r="Y106" i="63" s="1"/>
  <c r="Z16" i="49"/>
  <c r="Y16" i="63" s="1"/>
  <c r="Y88" i="63" s="1"/>
  <c r="Z38" i="49"/>
  <c r="Y38" i="63" s="1"/>
  <c r="Y110" i="63" s="1"/>
  <c r="Z19" i="49"/>
  <c r="Y19" i="63" s="1"/>
  <c r="Y91" i="63" s="1"/>
  <c r="Z8" i="49"/>
  <c r="Y8" i="63" s="1"/>
  <c r="Y80" i="63" s="1"/>
  <c r="Z7" i="49"/>
  <c r="Y7" i="63" s="1"/>
  <c r="Y79" i="63" s="1"/>
  <c r="Z9" i="49"/>
  <c r="Y9" i="63" s="1"/>
  <c r="Y81" i="63" s="1"/>
  <c r="Z63" i="49"/>
  <c r="Y63" i="63" s="1"/>
  <c r="Y135" i="63" s="1"/>
  <c r="Z48" i="49"/>
  <c r="Y48" i="63" s="1"/>
  <c r="Y120" i="63" s="1"/>
  <c r="Z58" i="49"/>
  <c r="Y58" i="63" s="1"/>
  <c r="Y130" i="63" s="1"/>
  <c r="Z65" i="49"/>
  <c r="Y65" i="63" s="1"/>
  <c r="Y137" i="63" s="1"/>
  <c r="Z47" i="49"/>
  <c r="Y47" i="63" s="1"/>
  <c r="Y119" i="63" s="1"/>
  <c r="Z35" i="49"/>
  <c r="Y35" i="63" s="1"/>
  <c r="Y107" i="63" s="1"/>
  <c r="Z68" i="49"/>
  <c r="Y68" i="63" s="1"/>
  <c r="Y140" i="63" s="1"/>
  <c r="Z37" i="49"/>
  <c r="Y37" i="63" s="1"/>
  <c r="Y109" i="63" s="1"/>
  <c r="Z21" i="49"/>
  <c r="Z46" i="49"/>
  <c r="Y46" i="63" s="1"/>
  <c r="Y118" i="63" s="1"/>
  <c r="Z28" i="49"/>
  <c r="Y28" i="63" s="1"/>
  <c r="Y100" i="63" s="1"/>
  <c r="Z60" i="49"/>
  <c r="Y60" i="63" s="1"/>
  <c r="Y132" i="63" s="1"/>
  <c r="Z31" i="49"/>
  <c r="Z15" i="49"/>
  <c r="Y15" i="63" s="1"/>
  <c r="Y87" i="63" s="1"/>
  <c r="Z18" i="49"/>
  <c r="Y18" i="63" s="1"/>
  <c r="Y90" i="63" s="1"/>
  <c r="Z14" i="49"/>
  <c r="Y14" i="63" s="1"/>
  <c r="Y86" i="63" s="1"/>
  <c r="Z5" i="49"/>
  <c r="Y5" i="63" s="1"/>
  <c r="Y77" i="63" s="1"/>
  <c r="Z59" i="49"/>
  <c r="Y59" i="63" s="1"/>
  <c r="Y131" i="63" s="1"/>
  <c r="Z70" i="49"/>
  <c r="Z54" i="49"/>
  <c r="Y54" i="63" s="1"/>
  <c r="Y126" i="63" s="1"/>
  <c r="Z61" i="49"/>
  <c r="Y61" i="63" s="1"/>
  <c r="Y133" i="63" s="1"/>
  <c r="Z56" i="49"/>
  <c r="Y56" i="63" s="1"/>
  <c r="Y128" i="63" s="1"/>
  <c r="Z33" i="49"/>
  <c r="Y33" i="63" s="1"/>
  <c r="Y105" i="63" s="1"/>
  <c r="Z52" i="49"/>
  <c r="Y52" i="63" s="1"/>
  <c r="Y124" i="63" s="1"/>
  <c r="Z32" i="49"/>
  <c r="Z17" i="49"/>
  <c r="Y17" i="63" s="1"/>
  <c r="Y89" i="63" s="1"/>
  <c r="Z41" i="49"/>
  <c r="Y41" i="63" s="1"/>
  <c r="Y113" i="63" s="1"/>
  <c r="Z24" i="49"/>
  <c r="Y24" i="63" s="1"/>
  <c r="Y96" i="63" s="1"/>
  <c r="Z43" i="49"/>
  <c r="Y43" i="63" s="1"/>
  <c r="Y115" i="63" s="1"/>
  <c r="Z27" i="49"/>
  <c r="Y27" i="63" s="1"/>
  <c r="Y99" i="63" s="1"/>
  <c r="Z22" i="49"/>
  <c r="Y22" i="63" s="1"/>
  <c r="Y94" i="63" s="1"/>
  <c r="Z13" i="49"/>
  <c r="Y13" i="63" s="1"/>
  <c r="Y85" i="63" s="1"/>
  <c r="Z10" i="49"/>
  <c r="Y10" i="63" s="1"/>
  <c r="Y82" i="63" s="1"/>
  <c r="Z71" i="49"/>
  <c r="Y71" i="63" s="1"/>
  <c r="Y143" i="63" s="1"/>
  <c r="Z55" i="49"/>
  <c r="Y55" i="63" s="1"/>
  <c r="Y127" i="63" s="1"/>
  <c r="Z66" i="49"/>
  <c r="Y66" i="63" s="1"/>
  <c r="Y138" i="63" s="1"/>
  <c r="Z50" i="49"/>
  <c r="Y50" i="63" s="1"/>
  <c r="Y122" i="63" s="1"/>
  <c r="Z57" i="49"/>
  <c r="Y57" i="63" s="1"/>
  <c r="Y129" i="63" s="1"/>
  <c r="Z45" i="49"/>
  <c r="Y45" i="63" s="1"/>
  <c r="Y117" i="63" s="1"/>
  <c r="Z30" i="49"/>
  <c r="Y30" i="63" s="1"/>
  <c r="Y102" i="63" s="1"/>
  <c r="Z44" i="49"/>
  <c r="Y44" i="63" s="1"/>
  <c r="Y116" i="63" s="1"/>
  <c r="Z29" i="49"/>
  <c r="Y29" i="63" s="1"/>
  <c r="Y101" i="63" s="1"/>
  <c r="Z64" i="49"/>
  <c r="Z36" i="49"/>
  <c r="Z20" i="49"/>
  <c r="Z40" i="49"/>
  <c r="Y40" i="63" s="1"/>
  <c r="Y112" i="63" s="1"/>
  <c r="Z23" i="49"/>
  <c r="Z12" i="49"/>
  <c r="Y12" i="63" s="1"/>
  <c r="Y84" i="63" s="1"/>
  <c r="Z11" i="49"/>
  <c r="Y11" i="63" s="1"/>
  <c r="Y83" i="63" s="1"/>
  <c r="Z6" i="49"/>
  <c r="Y6" i="63" s="1"/>
  <c r="Y78" i="63" s="1"/>
  <c r="O36" i="48"/>
  <c r="O36" i="50" s="1"/>
  <c r="O22" i="48"/>
  <c r="O22" i="50" s="1"/>
  <c r="O5" i="48"/>
  <c r="O23" i="48"/>
  <c r="O23" i="50" s="1"/>
  <c r="O39" i="48"/>
  <c r="O39" i="50" s="1"/>
  <c r="O27" i="48"/>
  <c r="O27" i="50" s="1"/>
  <c r="O11" i="48"/>
  <c r="O11" i="50" s="1"/>
  <c r="O28" i="48"/>
  <c r="O28" i="50" s="1"/>
  <c r="O9" i="48"/>
  <c r="O9" i="50" s="1"/>
  <c r="O64" i="48"/>
  <c r="O64" i="50" s="1"/>
  <c r="O58" i="48"/>
  <c r="O58" i="50" s="1"/>
  <c r="O68" i="48"/>
  <c r="O68" i="50" s="1"/>
  <c r="O62" i="48"/>
  <c r="O62" i="50" s="1"/>
  <c r="O53" i="48"/>
  <c r="O53" i="50" s="1"/>
  <c r="O42" i="48"/>
  <c r="O42" i="50" s="1"/>
  <c r="O57" i="48"/>
  <c r="O57" i="50" s="1"/>
  <c r="O45" i="48"/>
  <c r="O45" i="50" s="1"/>
  <c r="O34" i="48"/>
  <c r="O34" i="50" s="1"/>
  <c r="O17" i="48"/>
  <c r="O17" i="50" s="1"/>
  <c r="O32" i="48"/>
  <c r="O32" i="50" s="1"/>
  <c r="O20" i="48"/>
  <c r="O20" i="50" s="1"/>
  <c r="O37" i="48"/>
  <c r="O37" i="50" s="1"/>
  <c r="O21" i="48"/>
  <c r="O21" i="50" s="1"/>
  <c r="O8" i="48"/>
  <c r="O8" i="50" s="1"/>
  <c r="O24" i="48"/>
  <c r="O24" i="50" s="1"/>
  <c r="O47" i="48"/>
  <c r="O47" i="50" s="1"/>
  <c r="O44" i="48"/>
  <c r="O44" i="50" s="1"/>
  <c r="O51" i="48"/>
  <c r="O51" i="50" s="1"/>
  <c r="O49" i="48"/>
  <c r="O49" i="50" s="1"/>
  <c r="O55" i="48"/>
  <c r="O55" i="50" s="1"/>
  <c r="O69" i="48"/>
  <c r="O69" i="50" s="1"/>
  <c r="O59" i="48"/>
  <c r="O59" i="50" s="1"/>
  <c r="O54" i="48"/>
  <c r="O54" i="50" s="1"/>
  <c r="O40" i="48"/>
  <c r="O40" i="50" s="1"/>
  <c r="O29" i="48"/>
  <c r="O29" i="50" s="1"/>
  <c r="O14" i="48"/>
  <c r="O14" i="50" s="1"/>
  <c r="O30" i="48"/>
  <c r="O30" i="50" s="1"/>
  <c r="O15" i="48"/>
  <c r="O15" i="50" s="1"/>
  <c r="O35" i="48"/>
  <c r="O35" i="50" s="1"/>
  <c r="O18" i="48"/>
  <c r="O18" i="50" s="1"/>
  <c r="O6" i="48"/>
  <c r="O6" i="50" s="1"/>
  <c r="O19" i="48"/>
  <c r="O19" i="50" s="1"/>
  <c r="O63" i="48"/>
  <c r="O63" i="50" s="1"/>
  <c r="O61" i="48"/>
  <c r="O61" i="50" s="1"/>
  <c r="O67" i="48"/>
  <c r="O67" i="50" s="1"/>
  <c r="O65" i="48"/>
  <c r="O65" i="50" s="1"/>
  <c r="O71" i="48"/>
  <c r="O71" i="50" s="1"/>
  <c r="O50" i="48"/>
  <c r="O50" i="50" s="1"/>
  <c r="O43" i="48"/>
  <c r="O43" i="50" s="1"/>
  <c r="O70" i="48"/>
  <c r="O70" i="50" s="1"/>
  <c r="O38" i="48"/>
  <c r="O38" i="50" s="1"/>
  <c r="O25" i="48"/>
  <c r="O25" i="50" s="1"/>
  <c r="O7" i="48"/>
  <c r="O7" i="50" s="1"/>
  <c r="O26" i="48"/>
  <c r="O26" i="50" s="1"/>
  <c r="O10" i="48"/>
  <c r="O10" i="50" s="1"/>
  <c r="O33" i="48"/>
  <c r="O33" i="50" s="1"/>
  <c r="O13" i="48"/>
  <c r="O13" i="50" s="1"/>
  <c r="O31" i="48"/>
  <c r="O31" i="50" s="1"/>
  <c r="O16" i="48"/>
  <c r="O16" i="50" s="1"/>
  <c r="O48" i="48"/>
  <c r="O48" i="50" s="1"/>
  <c r="O41" i="48"/>
  <c r="O41" i="50" s="1"/>
  <c r="O52" i="48"/>
  <c r="O52" i="50" s="1"/>
  <c r="O46" i="48"/>
  <c r="O46" i="50" s="1"/>
  <c r="O56" i="48"/>
  <c r="O56" i="50" s="1"/>
  <c r="O66" i="48"/>
  <c r="O66" i="50" s="1"/>
  <c r="O60" i="48"/>
  <c r="O60" i="50" s="1"/>
  <c r="Y64" i="48"/>
  <c r="Y50" i="48"/>
  <c r="Y70" i="48"/>
  <c r="Y57" i="48"/>
  <c r="Y55" i="48"/>
  <c r="Y47" i="48"/>
  <c r="Y63" i="48"/>
  <c r="Y30" i="48"/>
  <c r="Y15" i="48"/>
  <c r="Y39" i="48"/>
  <c r="Y27" i="48"/>
  <c r="Y11" i="48"/>
  <c r="Y28" i="48"/>
  <c r="Y9" i="48"/>
  <c r="Y36" i="48"/>
  <c r="Y22" i="48"/>
  <c r="Y5" i="48"/>
  <c r="Y61" i="48"/>
  <c r="Y48" i="48"/>
  <c r="Y67" i="48"/>
  <c r="Y68" i="48"/>
  <c r="Y53" i="48"/>
  <c r="Y45" i="48"/>
  <c r="Y58" i="48"/>
  <c r="Y26" i="48"/>
  <c r="Y10" i="48"/>
  <c r="Y37" i="48"/>
  <c r="Y21" i="48"/>
  <c r="Y8" i="48"/>
  <c r="Y24" i="48"/>
  <c r="Y42" i="48"/>
  <c r="Y34" i="48"/>
  <c r="Y17" i="48"/>
  <c r="Y54" i="48"/>
  <c r="Y46" i="48"/>
  <c r="Y62" i="48"/>
  <c r="Y65" i="48"/>
  <c r="Y51" i="48"/>
  <c r="Y71" i="48"/>
  <c r="Y56" i="48"/>
  <c r="Y23" i="48"/>
  <c r="Y43" i="48"/>
  <c r="Y35" i="48"/>
  <c r="Y18" i="48"/>
  <c r="Y6" i="48"/>
  <c r="Y19" i="48"/>
  <c r="Y40" i="48"/>
  <c r="Y29" i="48"/>
  <c r="Y14" i="48"/>
  <c r="Y69" i="48"/>
  <c r="Y52" i="48"/>
  <c r="Y44" i="48"/>
  <c r="Y59" i="48"/>
  <c r="Y60" i="48"/>
  <c r="Y49" i="48"/>
  <c r="Y66" i="48"/>
  <c r="Y32" i="48"/>
  <c r="Y20" i="48"/>
  <c r="Y41" i="48"/>
  <c r="Y33" i="48"/>
  <c r="Y13" i="48"/>
  <c r="Y31" i="48"/>
  <c r="Y16" i="48"/>
  <c r="Y38" i="48"/>
  <c r="Y25" i="48"/>
  <c r="Y7" i="48"/>
  <c r="W28" i="48"/>
  <c r="W28" i="50" s="1"/>
  <c r="W9" i="48"/>
  <c r="W9" i="50" s="1"/>
  <c r="W34" i="48"/>
  <c r="W34" i="50" s="1"/>
  <c r="W17" i="48"/>
  <c r="W17" i="50" s="1"/>
  <c r="W32" i="48"/>
  <c r="W32" i="50" s="1"/>
  <c r="W20" i="48"/>
  <c r="W20" i="50" s="1"/>
  <c r="W37" i="48"/>
  <c r="W37" i="50" s="1"/>
  <c r="W21" i="48"/>
  <c r="W21" i="50" s="1"/>
  <c r="W8" i="48"/>
  <c r="W8" i="50" s="1"/>
  <c r="W54" i="48"/>
  <c r="W54" i="50" s="1"/>
  <c r="W56" i="48"/>
  <c r="W56" i="50" s="1"/>
  <c r="W58" i="48"/>
  <c r="W58" i="50" s="1"/>
  <c r="W60" i="48"/>
  <c r="W60" i="50" s="1"/>
  <c r="W62" i="48"/>
  <c r="W62" i="50" s="1"/>
  <c r="W64" i="48"/>
  <c r="W64" i="50" s="1"/>
  <c r="W47" i="48"/>
  <c r="W47" i="50" s="1"/>
  <c r="W24" i="48"/>
  <c r="W24" i="50" s="1"/>
  <c r="W40" i="48"/>
  <c r="W40" i="50" s="1"/>
  <c r="W29" i="48"/>
  <c r="W29" i="50" s="1"/>
  <c r="W14" i="48"/>
  <c r="W14" i="50" s="1"/>
  <c r="W30" i="48"/>
  <c r="W30" i="50" s="1"/>
  <c r="W15" i="48"/>
  <c r="W15" i="50" s="1"/>
  <c r="W35" i="48"/>
  <c r="W35" i="50" s="1"/>
  <c r="W18" i="48"/>
  <c r="W18" i="50" s="1"/>
  <c r="W6" i="48"/>
  <c r="W6" i="50" s="1"/>
  <c r="W70" i="48"/>
  <c r="W70" i="50" s="1"/>
  <c r="W49" i="48"/>
  <c r="W49" i="50" s="1"/>
  <c r="W55" i="48"/>
  <c r="W55" i="50" s="1"/>
  <c r="W53" i="48"/>
  <c r="W53" i="50" s="1"/>
  <c r="W42" i="48"/>
  <c r="W42" i="50" s="1"/>
  <c r="W57" i="48"/>
  <c r="W57" i="50" s="1"/>
  <c r="W63" i="48"/>
  <c r="W63" i="50" s="1"/>
  <c r="W45" i="48"/>
  <c r="W19" i="48"/>
  <c r="W38" i="48"/>
  <c r="W25" i="48"/>
  <c r="W7" i="48"/>
  <c r="W26" i="48"/>
  <c r="W10" i="48"/>
  <c r="W33" i="48"/>
  <c r="W13" i="48"/>
  <c r="W44" i="48"/>
  <c r="W51" i="48"/>
  <c r="W65" i="48"/>
  <c r="W71" i="48"/>
  <c r="W69" i="48"/>
  <c r="W59" i="48"/>
  <c r="W50" i="48"/>
  <c r="W52" i="48"/>
  <c r="W31" i="48"/>
  <c r="W31" i="50" s="1"/>
  <c r="W16" i="48"/>
  <c r="W16" i="50" s="1"/>
  <c r="W36" i="48"/>
  <c r="W36" i="50" s="1"/>
  <c r="W22" i="48"/>
  <c r="W22" i="50" s="1"/>
  <c r="W5" i="48"/>
  <c r="W23" i="48"/>
  <c r="W23" i="50" s="1"/>
  <c r="W39" i="48"/>
  <c r="W39" i="50" s="1"/>
  <c r="W27" i="48"/>
  <c r="W27" i="50" s="1"/>
  <c r="W11" i="48"/>
  <c r="W11" i="50" s="1"/>
  <c r="W61" i="48"/>
  <c r="W61" i="50" s="1"/>
  <c r="W67" i="48"/>
  <c r="W67" i="50" s="1"/>
  <c r="W41" i="48"/>
  <c r="W41" i="50" s="1"/>
  <c r="W43" i="48"/>
  <c r="W43" i="50" s="1"/>
  <c r="W46" i="48"/>
  <c r="W46" i="50" s="1"/>
  <c r="W48" i="48"/>
  <c r="W48" i="50" s="1"/>
  <c r="W66" i="48"/>
  <c r="W66" i="50" s="1"/>
  <c r="W68" i="48"/>
  <c r="W68" i="50" s="1"/>
  <c r="AH55" i="48"/>
  <c r="AH39" i="48"/>
  <c r="AH39" i="50" s="1"/>
  <c r="AH28" i="48"/>
  <c r="AH28" i="50" s="1"/>
  <c r="AH13" i="48"/>
  <c r="AH13" i="50" s="1"/>
  <c r="AH29" i="48"/>
  <c r="AH29" i="50" s="1"/>
  <c r="AH14" i="48"/>
  <c r="AH14" i="50" s="1"/>
  <c r="AH36" i="48"/>
  <c r="AH36" i="50" s="1"/>
  <c r="AH20" i="48"/>
  <c r="AH20" i="50" s="1"/>
  <c r="AH5" i="48"/>
  <c r="AH18" i="48"/>
  <c r="AH18" i="50" s="1"/>
  <c r="AH50" i="48"/>
  <c r="AH50" i="50" s="1"/>
  <c r="AH52" i="48"/>
  <c r="AH52" i="50" s="1"/>
  <c r="AH54" i="48"/>
  <c r="AH54" i="50" s="1"/>
  <c r="AH56" i="48"/>
  <c r="AH56" i="50" s="1"/>
  <c r="AH58" i="48"/>
  <c r="AH58" i="50" s="1"/>
  <c r="AH60" i="48"/>
  <c r="AH60" i="50" s="1"/>
  <c r="AH62" i="48"/>
  <c r="AH62" i="50" s="1"/>
  <c r="AH64" i="48"/>
  <c r="AH64" i="50" s="1"/>
  <c r="AH37" i="48"/>
  <c r="AH24" i="48"/>
  <c r="AH11" i="48"/>
  <c r="AH25" i="48"/>
  <c r="AH9" i="48"/>
  <c r="AH34" i="48"/>
  <c r="AH17" i="48"/>
  <c r="AH30" i="48"/>
  <c r="AH15" i="48"/>
  <c r="AH66" i="48"/>
  <c r="AH68" i="48"/>
  <c r="AH70" i="48"/>
  <c r="AH49" i="48"/>
  <c r="AH42" i="48"/>
  <c r="AH53" i="48"/>
  <c r="AH47" i="48"/>
  <c r="AH35" i="48"/>
  <c r="AH21" i="48"/>
  <c r="AH6" i="48"/>
  <c r="AH22" i="48"/>
  <c r="AH40" i="48"/>
  <c r="AH32" i="48"/>
  <c r="AH10" i="48"/>
  <c r="AH27" i="48"/>
  <c r="AH8" i="48"/>
  <c r="AH51" i="48"/>
  <c r="AH44" i="48"/>
  <c r="AH65" i="48"/>
  <c r="AH59" i="48"/>
  <c r="AH69" i="48"/>
  <c r="AH63" i="48"/>
  <c r="AH45" i="48"/>
  <c r="AH19" i="48"/>
  <c r="AH23" i="48"/>
  <c r="AH71" i="48"/>
  <c r="AH48" i="48"/>
  <c r="AH33" i="48"/>
  <c r="AH38" i="48"/>
  <c r="AH57" i="48"/>
  <c r="AH41" i="48"/>
  <c r="AH31" i="48"/>
  <c r="AH61" i="48"/>
  <c r="AH16" i="48"/>
  <c r="AH26" i="48"/>
  <c r="AH67" i="48"/>
  <c r="AH43" i="48"/>
  <c r="AH7" i="48"/>
  <c r="AH46" i="48"/>
  <c r="N8" i="65"/>
  <c r="N6" i="65"/>
  <c r="N10" i="65"/>
  <c r="I8" i="65"/>
  <c r="I10" i="65"/>
  <c r="I6" i="65"/>
  <c r="V8" i="65"/>
  <c r="V6" i="65"/>
  <c r="V10" i="65"/>
  <c r="Q8" i="65"/>
  <c r="Q6" i="65"/>
  <c r="Q10" i="65"/>
  <c r="H8" i="65"/>
  <c r="H10" i="65"/>
  <c r="H6" i="65"/>
  <c r="Z21" i="63"/>
  <c r="Z93" i="63" s="1"/>
  <c r="Z34" i="63"/>
  <c r="Z106" i="63" s="1"/>
  <c r="Z52" i="63"/>
  <c r="Z124" i="63" s="1"/>
  <c r="Z12" i="63"/>
  <c r="Z84" i="63" s="1"/>
  <c r="Z49" i="63"/>
  <c r="Z121" i="63" s="1"/>
  <c r="Z61" i="63"/>
  <c r="Z133" i="63" s="1"/>
  <c r="Z9" i="63"/>
  <c r="Z81" i="63" s="1"/>
  <c r="Z35" i="63"/>
  <c r="Z107" i="63" s="1"/>
  <c r="Z69" i="63"/>
  <c r="Z141" i="63" s="1"/>
  <c r="Z24" i="63"/>
  <c r="Z96" i="63" s="1"/>
  <c r="Z29" i="63"/>
  <c r="Z101" i="63" s="1"/>
  <c r="Z44" i="63"/>
  <c r="Z116" i="63" s="1"/>
  <c r="Z58" i="63"/>
  <c r="Z130" i="63" s="1"/>
  <c r="Y31" i="63"/>
  <c r="Y103" i="63" s="1"/>
  <c r="Y23" i="63"/>
  <c r="Y95" i="63" s="1"/>
  <c r="Y36" i="63"/>
  <c r="Y108" i="63" s="1"/>
  <c r="Y70" i="63"/>
  <c r="Y142" i="63" s="1"/>
  <c r="Y20" i="63"/>
  <c r="Y92" i="63" s="1"/>
  <c r="Y64" i="63"/>
  <c r="Y136" i="63" s="1"/>
  <c r="Y21" i="63"/>
  <c r="Y93" i="63" s="1"/>
  <c r="Y32" i="63"/>
  <c r="Y104" i="63" s="1"/>
  <c r="Y51" i="63"/>
  <c r="Y123" i="63" s="1"/>
  <c r="AI31" i="48"/>
  <c r="AI19" i="48"/>
  <c r="AI38" i="48"/>
  <c r="AI26" i="48"/>
  <c r="AI7" i="48"/>
  <c r="AI23" i="48"/>
  <c r="AI39" i="48"/>
  <c r="AI28" i="48"/>
  <c r="AI13" i="48"/>
  <c r="AI58" i="48"/>
  <c r="AI68" i="48"/>
  <c r="AI62" i="48"/>
  <c r="AI53" i="48"/>
  <c r="AI59" i="48"/>
  <c r="AI54" i="48"/>
  <c r="AI48" i="48"/>
  <c r="AI69" i="48"/>
  <c r="AI29" i="48"/>
  <c r="AI29" i="50" s="1"/>
  <c r="AI14" i="48"/>
  <c r="AI36" i="48"/>
  <c r="AI36" i="50" s="1"/>
  <c r="AI20" i="48"/>
  <c r="AI20" i="50" s="1"/>
  <c r="AI5" i="48"/>
  <c r="AI18" i="48"/>
  <c r="AI18" i="50" s="1"/>
  <c r="AI37" i="48"/>
  <c r="AI37" i="50" s="1"/>
  <c r="AI24" i="48"/>
  <c r="AI24" i="50" s="1"/>
  <c r="AI11" i="48"/>
  <c r="AI11" i="50" s="1"/>
  <c r="AI51" i="48"/>
  <c r="AI51" i="50" s="1"/>
  <c r="AI49" i="48"/>
  <c r="AI49" i="50" s="1"/>
  <c r="AI55" i="48"/>
  <c r="AI55" i="50" s="1"/>
  <c r="AI50" i="48"/>
  <c r="AI43" i="48"/>
  <c r="AI43" i="50" s="1"/>
  <c r="AI70" i="48"/>
  <c r="AI70" i="50" s="1"/>
  <c r="AI64" i="48"/>
  <c r="AI64" i="50" s="1"/>
  <c r="AI25" i="48"/>
  <c r="AI25" i="50" s="1"/>
  <c r="AI9" i="48"/>
  <c r="AI9" i="50" s="1"/>
  <c r="AI34" i="48"/>
  <c r="AI34" i="50" s="1"/>
  <c r="AI17" i="48"/>
  <c r="AI17" i="50" s="1"/>
  <c r="AI30" i="48"/>
  <c r="AI30" i="50" s="1"/>
  <c r="AI15" i="48"/>
  <c r="AI15" i="50" s="1"/>
  <c r="AI35" i="48"/>
  <c r="AI35" i="50" s="1"/>
  <c r="AI21" i="48"/>
  <c r="AI21" i="50" s="1"/>
  <c r="AI6" i="48"/>
  <c r="AI6" i="50" s="1"/>
  <c r="AI67" i="48"/>
  <c r="AI67" i="50" s="1"/>
  <c r="AI65" i="48"/>
  <c r="AI65" i="50" s="1"/>
  <c r="AI71" i="48"/>
  <c r="AI71" i="50" s="1"/>
  <c r="AI66" i="48"/>
  <c r="AI66" i="50" s="1"/>
  <c r="AI60" i="48"/>
  <c r="AI60" i="50" s="1"/>
  <c r="AI47" i="48"/>
  <c r="AI47" i="50" s="1"/>
  <c r="AI44" i="48"/>
  <c r="AI44" i="50" s="1"/>
  <c r="AI45" i="48"/>
  <c r="AI22" i="48"/>
  <c r="AI40" i="48"/>
  <c r="AI32" i="48"/>
  <c r="AI10" i="48"/>
  <c r="AI27" i="48"/>
  <c r="AI8" i="48"/>
  <c r="AI33" i="48"/>
  <c r="AI16" i="48"/>
  <c r="AI41" i="48"/>
  <c r="AI52" i="48"/>
  <c r="AI46" i="48"/>
  <c r="AI56" i="48"/>
  <c r="AI42" i="48"/>
  <c r="AI57" i="48"/>
  <c r="AI63" i="48"/>
  <c r="AI61" i="48"/>
  <c r="X58" i="48"/>
  <c r="X58" i="50" s="1"/>
  <c r="X61" i="48"/>
  <c r="X61" i="50" s="1"/>
  <c r="X48" i="48"/>
  <c r="X48" i="50" s="1"/>
  <c r="X67" i="48"/>
  <c r="X67" i="50" s="1"/>
  <c r="X68" i="48"/>
  <c r="X68" i="50" s="1"/>
  <c r="X53" i="48"/>
  <c r="X53" i="50" s="1"/>
  <c r="X45" i="48"/>
  <c r="X36" i="48"/>
  <c r="X36" i="50" s="1"/>
  <c r="X22" i="48"/>
  <c r="X22" i="50" s="1"/>
  <c r="X5" i="48"/>
  <c r="X23" i="48"/>
  <c r="X23" i="50" s="1"/>
  <c r="X43" i="48"/>
  <c r="X43" i="50" s="1"/>
  <c r="X35" i="48"/>
  <c r="X35" i="50" s="1"/>
  <c r="X18" i="48"/>
  <c r="X18" i="50" s="1"/>
  <c r="X6" i="48"/>
  <c r="X6" i="50" s="1"/>
  <c r="X19" i="48"/>
  <c r="X19" i="50" s="1"/>
  <c r="X71" i="48"/>
  <c r="X71" i="50" s="1"/>
  <c r="X56" i="48"/>
  <c r="X56" i="50" s="1"/>
  <c r="X54" i="48"/>
  <c r="X54" i="50" s="1"/>
  <c r="X46" i="48"/>
  <c r="X46" i="50" s="1"/>
  <c r="X62" i="48"/>
  <c r="X62" i="50" s="1"/>
  <c r="X65" i="48"/>
  <c r="X65" i="50" s="1"/>
  <c r="X51" i="48"/>
  <c r="X51" i="50" s="1"/>
  <c r="X42" i="48"/>
  <c r="X42" i="50" s="1"/>
  <c r="X34" i="48"/>
  <c r="X34" i="50" s="1"/>
  <c r="X17" i="48"/>
  <c r="X17" i="50" s="1"/>
  <c r="X32" i="48"/>
  <c r="X32" i="50" s="1"/>
  <c r="X20" i="48"/>
  <c r="X20" i="50" s="1"/>
  <c r="X41" i="48"/>
  <c r="X41" i="50" s="1"/>
  <c r="X33" i="48"/>
  <c r="X33" i="50" s="1"/>
  <c r="X13" i="48"/>
  <c r="X13" i="50" s="1"/>
  <c r="X31" i="48"/>
  <c r="X31" i="50" s="1"/>
  <c r="X16" i="48"/>
  <c r="X16" i="50" s="1"/>
  <c r="X66" i="48"/>
  <c r="X66" i="50" s="1"/>
  <c r="X69" i="48"/>
  <c r="X69" i="50" s="1"/>
  <c r="X52" i="48"/>
  <c r="X52" i="50" s="1"/>
  <c r="X44" i="48"/>
  <c r="X44" i="50" s="1"/>
  <c r="X59" i="48"/>
  <c r="X59" i="50" s="1"/>
  <c r="X60" i="48"/>
  <c r="X60" i="50" s="1"/>
  <c r="X49" i="48"/>
  <c r="X49" i="50" s="1"/>
  <c r="X40" i="48"/>
  <c r="X40" i="50" s="1"/>
  <c r="X29" i="48"/>
  <c r="X29" i="50" s="1"/>
  <c r="X14" i="48"/>
  <c r="X14" i="50" s="1"/>
  <c r="X30" i="48"/>
  <c r="X30" i="50" s="1"/>
  <c r="X15" i="48"/>
  <c r="X15" i="50" s="1"/>
  <c r="X39" i="48"/>
  <c r="X39" i="50" s="1"/>
  <c r="X27" i="48"/>
  <c r="X27" i="50" s="1"/>
  <c r="X11" i="48"/>
  <c r="X11" i="50" s="1"/>
  <c r="X28" i="48"/>
  <c r="X28" i="50" s="1"/>
  <c r="X9" i="48"/>
  <c r="X9" i="50" s="1"/>
  <c r="X63" i="48"/>
  <c r="X63" i="50" s="1"/>
  <c r="X64" i="48"/>
  <c r="X50" i="48"/>
  <c r="X50" i="50" s="1"/>
  <c r="X70" i="48"/>
  <c r="X57" i="48"/>
  <c r="X57" i="50" s="1"/>
  <c r="X55" i="48"/>
  <c r="X47" i="48"/>
  <c r="X47" i="50" s="1"/>
  <c r="X38" i="48"/>
  <c r="X25" i="48"/>
  <c r="X25" i="50" s="1"/>
  <c r="X7" i="48"/>
  <c r="X26" i="48"/>
  <c r="X26" i="50" s="1"/>
  <c r="X10" i="48"/>
  <c r="X37" i="48"/>
  <c r="X37" i="50" s="1"/>
  <c r="X21" i="48"/>
  <c r="X8" i="48"/>
  <c r="X8" i="50" s="1"/>
  <c r="X24" i="48"/>
  <c r="L49" i="48"/>
  <c r="L49" i="50" s="1"/>
  <c r="L43" i="48"/>
  <c r="L43" i="50" s="1"/>
  <c r="L27" i="48"/>
  <c r="L27" i="50" s="1"/>
  <c r="L11" i="48"/>
  <c r="L11" i="50" s="1"/>
  <c r="L24" i="48"/>
  <c r="L24" i="50" s="1"/>
  <c r="L44" i="48"/>
  <c r="L44" i="50" s="1"/>
  <c r="L29" i="48"/>
  <c r="L29" i="50" s="1"/>
  <c r="L14" i="48"/>
  <c r="L14" i="50" s="1"/>
  <c r="L47" i="48"/>
  <c r="L47" i="50" s="1"/>
  <c r="L41" i="48"/>
  <c r="L41" i="50" s="1"/>
  <c r="L21" i="48"/>
  <c r="L21" i="50" s="1"/>
  <c r="L8" i="48"/>
  <c r="L8" i="50" s="1"/>
  <c r="L19" i="48"/>
  <c r="L19" i="50" s="1"/>
  <c r="L42" i="48"/>
  <c r="L42" i="50" s="1"/>
  <c r="L25" i="48"/>
  <c r="L25" i="50" s="1"/>
  <c r="L7" i="48"/>
  <c r="L7" i="50" s="1"/>
  <c r="L23" i="48"/>
  <c r="L23" i="50" s="1"/>
  <c r="L39" i="48"/>
  <c r="L39" i="50" s="1"/>
  <c r="L57" i="48"/>
  <c r="L57" i="50" s="1"/>
  <c r="L56" i="48"/>
  <c r="L56" i="50" s="1"/>
  <c r="L62" i="48"/>
  <c r="L62" i="50" s="1"/>
  <c r="L60" i="48"/>
  <c r="L60" i="50" s="1"/>
  <c r="L66" i="48"/>
  <c r="L66" i="50" s="1"/>
  <c r="L64" i="48"/>
  <c r="L64" i="50" s="1"/>
  <c r="L70" i="48"/>
  <c r="L70" i="50" s="1"/>
  <c r="L48" i="48"/>
  <c r="L48" i="50" s="1"/>
  <c r="L35" i="48"/>
  <c r="L35" i="50" s="1"/>
  <c r="L18" i="48"/>
  <c r="L18" i="50" s="1"/>
  <c r="L6" i="48"/>
  <c r="L6" i="50" s="1"/>
  <c r="L16" i="48"/>
  <c r="L16" i="50" s="1"/>
  <c r="L36" i="48"/>
  <c r="L36" i="50" s="1"/>
  <c r="L22" i="48"/>
  <c r="L22" i="50" s="1"/>
  <c r="L5" i="48"/>
  <c r="L20" i="48"/>
  <c r="L20" i="50" s="1"/>
  <c r="L63" i="48"/>
  <c r="L63" i="50" s="1"/>
  <c r="L58" i="48"/>
  <c r="L58" i="50" s="1"/>
  <c r="L37" i="48"/>
  <c r="L37" i="50" s="1"/>
  <c r="L55" i="48"/>
  <c r="L55" i="50" s="1"/>
  <c r="L45" i="48"/>
  <c r="L45" i="50" s="1"/>
  <c r="L31" i="48"/>
  <c r="L31" i="50" s="1"/>
  <c r="L53" i="48"/>
  <c r="L53" i="50" s="1"/>
  <c r="L46" i="48"/>
  <c r="L46" i="50" s="1"/>
  <c r="L33" i="48"/>
  <c r="L33" i="50" s="1"/>
  <c r="L13" i="48"/>
  <c r="L13" i="50" s="1"/>
  <c r="L28" i="48"/>
  <c r="L28" i="50" s="1"/>
  <c r="L9" i="48"/>
  <c r="L9" i="50" s="1"/>
  <c r="L34" i="48"/>
  <c r="L34" i="50" s="1"/>
  <c r="L17" i="48"/>
  <c r="L17" i="50" s="1"/>
  <c r="L30" i="48"/>
  <c r="L30" i="50" s="1"/>
  <c r="L15" i="48"/>
  <c r="L15" i="50" s="1"/>
  <c r="L52" i="48"/>
  <c r="L52" i="50" s="1"/>
  <c r="L51" i="48"/>
  <c r="L51" i="50" s="1"/>
  <c r="L61" i="48"/>
  <c r="L61" i="50" s="1"/>
  <c r="L71" i="48"/>
  <c r="L71" i="50" s="1"/>
  <c r="L65" i="48"/>
  <c r="L65" i="50" s="1"/>
  <c r="L59" i="48"/>
  <c r="L59" i="50" s="1"/>
  <c r="L69" i="48"/>
  <c r="L69" i="50" s="1"/>
  <c r="L67" i="48"/>
  <c r="L67" i="50" s="1"/>
  <c r="L40" i="48"/>
  <c r="L40" i="50" s="1"/>
  <c r="L26" i="48"/>
  <c r="L26" i="50" s="1"/>
  <c r="L38" i="48"/>
  <c r="L38" i="50" s="1"/>
  <c r="L54" i="48"/>
  <c r="L54" i="50" s="1"/>
  <c r="L68" i="48"/>
  <c r="L68" i="50" s="1"/>
  <c r="L50" i="48"/>
  <c r="L50" i="50" s="1"/>
  <c r="L10" i="48"/>
  <c r="L10" i="50" s="1"/>
  <c r="L32" i="48"/>
  <c r="L32" i="50" s="1"/>
  <c r="U26" i="48"/>
  <c r="U26" i="50" s="1"/>
  <c r="U10" i="48"/>
  <c r="U10" i="50" s="1"/>
  <c r="U33" i="48"/>
  <c r="U33" i="50" s="1"/>
  <c r="U13" i="48"/>
  <c r="U13" i="50" s="1"/>
  <c r="U31" i="48"/>
  <c r="U31" i="50" s="1"/>
  <c r="U16" i="48"/>
  <c r="U16" i="50" s="1"/>
  <c r="U36" i="48"/>
  <c r="U36" i="50" s="1"/>
  <c r="U22" i="48"/>
  <c r="U22" i="50" s="1"/>
  <c r="U5" i="48"/>
  <c r="U49" i="48"/>
  <c r="U49" i="50" s="1"/>
  <c r="U47" i="48"/>
  <c r="U47" i="50" s="1"/>
  <c r="U53" i="48"/>
  <c r="U53" i="50" s="1"/>
  <c r="U51" i="48"/>
  <c r="U51" i="50" s="1"/>
  <c r="U57" i="48"/>
  <c r="U57" i="50" s="1"/>
  <c r="U71" i="48"/>
  <c r="U71" i="50" s="1"/>
  <c r="U61" i="48"/>
  <c r="U61" i="50" s="1"/>
  <c r="U45" i="48"/>
  <c r="U45" i="50" s="1"/>
  <c r="U23" i="48"/>
  <c r="U39" i="48"/>
  <c r="U39" i="50" s="1"/>
  <c r="U27" i="48"/>
  <c r="U11" i="48"/>
  <c r="U11" i="50" s="1"/>
  <c r="U28" i="48"/>
  <c r="U9" i="48"/>
  <c r="U9" i="50" s="1"/>
  <c r="U34" i="48"/>
  <c r="U17" i="48"/>
  <c r="U17" i="50" s="1"/>
  <c r="U42" i="48"/>
  <c r="U65" i="48"/>
  <c r="U65" i="50" s="1"/>
  <c r="U63" i="48"/>
  <c r="U69" i="48"/>
  <c r="U69" i="50" s="1"/>
  <c r="U67" i="48"/>
  <c r="U46" i="48"/>
  <c r="U46" i="50" s="1"/>
  <c r="U52" i="48"/>
  <c r="U50" i="48"/>
  <c r="U50" i="50" s="1"/>
  <c r="U32" i="48"/>
  <c r="U32" i="50" s="1"/>
  <c r="U20" i="48"/>
  <c r="U20" i="50" s="1"/>
  <c r="U37" i="48"/>
  <c r="U37" i="50" s="1"/>
  <c r="U21" i="48"/>
  <c r="U21" i="50" s="1"/>
  <c r="U8" i="48"/>
  <c r="U8" i="50" s="1"/>
  <c r="U24" i="48"/>
  <c r="U24" i="50" s="1"/>
  <c r="U40" i="48"/>
  <c r="U40" i="50" s="1"/>
  <c r="U29" i="48"/>
  <c r="U29" i="50" s="1"/>
  <c r="U14" i="48"/>
  <c r="U14" i="50" s="1"/>
  <c r="U59" i="48"/>
  <c r="U59" i="50" s="1"/>
  <c r="U54" i="48"/>
  <c r="U54" i="50" s="1"/>
  <c r="U43" i="48"/>
  <c r="U43" i="50" s="1"/>
  <c r="U41" i="48"/>
  <c r="U41" i="50" s="1"/>
  <c r="U48" i="48"/>
  <c r="U48" i="50" s="1"/>
  <c r="U62" i="48"/>
  <c r="U62" i="50" s="1"/>
  <c r="U68" i="48"/>
  <c r="U68" i="50" s="1"/>
  <c r="U66" i="48"/>
  <c r="U66" i="50" s="1"/>
  <c r="U18" i="48"/>
  <c r="U18" i="50" s="1"/>
  <c r="U25" i="48"/>
  <c r="U25" i="50" s="1"/>
  <c r="U60" i="48"/>
  <c r="U60" i="50" s="1"/>
  <c r="U44" i="48"/>
  <c r="U44" i="50" s="1"/>
  <c r="U30" i="48"/>
  <c r="U6" i="48"/>
  <c r="U7" i="48"/>
  <c r="U58" i="48"/>
  <c r="U35" i="48"/>
  <c r="U38" i="48"/>
  <c r="U55" i="48"/>
  <c r="U15" i="48"/>
  <c r="U15" i="50" s="1"/>
  <c r="U19" i="48"/>
  <c r="U19" i="50" s="1"/>
  <c r="U56" i="48"/>
  <c r="U56" i="50" s="1"/>
  <c r="U64" i="48"/>
  <c r="U64" i="50" s="1"/>
  <c r="U70" i="48"/>
  <c r="G8" i="65"/>
  <c r="G6" i="65"/>
  <c r="G10" i="65"/>
  <c r="B8" i="65"/>
  <c r="B10" i="65"/>
  <c r="B6" i="65"/>
  <c r="P8" i="65"/>
  <c r="P10" i="65"/>
  <c r="P6" i="65"/>
  <c r="O8" i="65"/>
  <c r="O10" i="65"/>
  <c r="O6" i="65"/>
  <c r="J8" i="65"/>
  <c r="J10" i="65"/>
  <c r="J6" i="65"/>
  <c r="R9" i="53"/>
  <c r="P9" i="64"/>
  <c r="P60" i="64" s="1"/>
  <c r="R15" i="53"/>
  <c r="P15" i="64"/>
  <c r="P66" i="64" s="1"/>
  <c r="R14" i="53"/>
  <c r="P14" i="64"/>
  <c r="P65" i="64" s="1"/>
  <c r="R7" i="53"/>
  <c r="P7" i="64"/>
  <c r="P58" i="64" s="1"/>
  <c r="R12" i="53"/>
  <c r="P12" i="64"/>
  <c r="P63" i="64" s="1"/>
  <c r="R8" i="53"/>
  <c r="P8" i="64"/>
  <c r="P59" i="64" s="1"/>
  <c r="T45" i="53"/>
  <c r="T45" i="54"/>
  <c r="T21" i="53"/>
  <c r="T21" i="54"/>
  <c r="T41" i="53"/>
  <c r="T41" i="54"/>
  <c r="T47" i="53"/>
  <c r="T47" i="54"/>
  <c r="T20" i="53"/>
  <c r="T20" i="54"/>
  <c r="T23" i="53"/>
  <c r="T23" i="54"/>
  <c r="T40" i="53"/>
  <c r="T40" i="54"/>
  <c r="T11" i="53"/>
  <c r="T11" i="54"/>
  <c r="R11" i="64" s="1"/>
  <c r="R62" i="64" s="1"/>
  <c r="T10" i="53"/>
  <c r="T10" i="54"/>
  <c r="F45" i="5"/>
  <c r="P55" i="54"/>
  <c r="P55" i="53"/>
  <c r="P55" i="52"/>
  <c r="P55" i="51"/>
  <c r="S46" i="53"/>
  <c r="S46" i="54"/>
  <c r="S36" i="53"/>
  <c r="S36" i="54"/>
  <c r="S37" i="53"/>
  <c r="S37" i="54"/>
  <c r="S35" i="53"/>
  <c r="S35" i="54"/>
  <c r="S44" i="53"/>
  <c r="S44" i="54"/>
  <c r="S50" i="53"/>
  <c r="S50" i="54"/>
  <c r="S40" i="53"/>
  <c r="S40" i="54"/>
  <c r="S5" i="53"/>
  <c r="S5" i="54"/>
  <c r="S52" i="52"/>
  <c r="S10" i="53"/>
  <c r="S10" i="54"/>
  <c r="S24" i="53"/>
  <c r="S24" i="54"/>
  <c r="P51" i="50"/>
  <c r="P53" i="50"/>
  <c r="P50" i="50"/>
  <c r="P62" i="50"/>
  <c r="P71" i="50"/>
  <c r="P5" i="50"/>
  <c r="P22" i="50"/>
  <c r="P36" i="50"/>
  <c r="P44" i="50"/>
  <c r="P24" i="50"/>
  <c r="P21" i="50"/>
  <c r="P37" i="50"/>
  <c r="P10" i="50"/>
  <c r="P26" i="50"/>
  <c r="P47" i="50"/>
  <c r="AA53" i="54"/>
  <c r="AA53" i="53"/>
  <c r="W57" i="53" s="1"/>
  <c r="AA53" i="52"/>
  <c r="AA53" i="51"/>
  <c r="P8" i="52"/>
  <c r="L8" i="54"/>
  <c r="O34" i="53"/>
  <c r="O34" i="54"/>
  <c r="O29" i="53"/>
  <c r="O29" i="54"/>
  <c r="O45" i="53"/>
  <c r="O45" i="54"/>
  <c r="O25" i="53"/>
  <c r="O25" i="54"/>
  <c r="O41" i="53"/>
  <c r="O41" i="54"/>
  <c r="O37" i="53"/>
  <c r="O37" i="54"/>
  <c r="O21" i="53"/>
  <c r="O21" i="54"/>
  <c r="O17" i="53"/>
  <c r="O17" i="54"/>
  <c r="O16" i="53"/>
  <c r="O16" i="54"/>
  <c r="O19" i="53"/>
  <c r="O19" i="54"/>
  <c r="R68" i="50"/>
  <c r="R61" i="50"/>
  <c r="R70" i="50"/>
  <c r="R67" i="50"/>
  <c r="R69" i="50"/>
  <c r="R21" i="50"/>
  <c r="R37" i="50"/>
  <c r="R10" i="50"/>
  <c r="R26" i="50"/>
  <c r="R7" i="50"/>
  <c r="R25" i="50"/>
  <c r="R38" i="50"/>
  <c r="R16" i="50"/>
  <c r="R31" i="50"/>
  <c r="R45" i="50"/>
  <c r="E34" i="5"/>
  <c r="L54" i="54"/>
  <c r="L54" i="53"/>
  <c r="L54" i="52"/>
  <c r="L57" i="52" s="1"/>
  <c r="L54" i="51"/>
  <c r="N75" i="50"/>
  <c r="N75" i="49"/>
  <c r="N75" i="48"/>
  <c r="T29" i="53"/>
  <c r="T29" i="54"/>
  <c r="T22" i="53"/>
  <c r="T22" i="54"/>
  <c r="T25" i="53"/>
  <c r="T25" i="54"/>
  <c r="T27" i="53"/>
  <c r="T27" i="54"/>
  <c r="T44" i="53"/>
  <c r="T44" i="54"/>
  <c r="T38" i="53"/>
  <c r="T38" i="54"/>
  <c r="T39" i="53"/>
  <c r="T39" i="54"/>
  <c r="T5" i="53"/>
  <c r="T5" i="54"/>
  <c r="T13" i="53"/>
  <c r="T13" i="54"/>
  <c r="T24" i="53"/>
  <c r="T24" i="54"/>
  <c r="S30" i="53"/>
  <c r="S30" i="54"/>
  <c r="S39" i="53"/>
  <c r="S39" i="54"/>
  <c r="S48" i="53"/>
  <c r="S48" i="54"/>
  <c r="S38" i="53"/>
  <c r="S38" i="54"/>
  <c r="S28" i="53"/>
  <c r="S28" i="54"/>
  <c r="S34" i="53"/>
  <c r="S34" i="54"/>
  <c r="S23" i="53"/>
  <c r="S23" i="54"/>
  <c r="S6" i="53"/>
  <c r="S6" i="54"/>
  <c r="S13" i="53"/>
  <c r="S13" i="54"/>
  <c r="S19" i="53"/>
  <c r="S19" i="54"/>
  <c r="P70" i="50"/>
  <c r="P60" i="50"/>
  <c r="P65" i="50"/>
  <c r="P61" i="50"/>
  <c r="P55" i="50"/>
  <c r="P7" i="50"/>
  <c r="P25" i="50"/>
  <c r="P38" i="50"/>
  <c r="P9" i="50"/>
  <c r="P28" i="50"/>
  <c r="P11" i="50"/>
  <c r="P27" i="50"/>
  <c r="P39" i="50"/>
  <c r="P15" i="50"/>
  <c r="P30" i="50"/>
  <c r="P49" i="50"/>
  <c r="P12" i="52"/>
  <c r="L12" i="54"/>
  <c r="O47" i="53"/>
  <c r="O47" i="54"/>
  <c r="O49" i="53"/>
  <c r="O49" i="54"/>
  <c r="O43" i="53"/>
  <c r="O43" i="54"/>
  <c r="O44" i="53"/>
  <c r="O44" i="54"/>
  <c r="O39" i="53"/>
  <c r="O39" i="54"/>
  <c r="O40" i="53"/>
  <c r="O40" i="54"/>
  <c r="O20" i="53"/>
  <c r="O20" i="54"/>
  <c r="O36" i="53"/>
  <c r="O36" i="54"/>
  <c r="O24" i="53"/>
  <c r="O24" i="54"/>
  <c r="O5" i="53"/>
  <c r="O5" i="54"/>
  <c r="O52" i="52"/>
  <c r="R63" i="50"/>
  <c r="R52" i="50"/>
  <c r="R64" i="50"/>
  <c r="R54" i="50"/>
  <c r="R51" i="50"/>
  <c r="R53" i="50"/>
  <c r="R11" i="50"/>
  <c r="R27" i="50"/>
  <c r="R39" i="50"/>
  <c r="R15" i="50"/>
  <c r="R30" i="50"/>
  <c r="R14" i="50"/>
  <c r="R29" i="50"/>
  <c r="R40" i="50"/>
  <c r="R19" i="50"/>
  <c r="R44" i="50"/>
  <c r="R47" i="50"/>
  <c r="T74" i="49"/>
  <c r="T74" i="50"/>
  <c r="T74" i="48"/>
  <c r="T50" i="53"/>
  <c r="T50" i="54"/>
  <c r="T36" i="53"/>
  <c r="T36" i="54"/>
  <c r="T46" i="53"/>
  <c r="T46" i="54"/>
  <c r="T48" i="53"/>
  <c r="T48" i="54"/>
  <c r="T42" i="53"/>
  <c r="T42" i="54"/>
  <c r="T28" i="53"/>
  <c r="T28" i="54"/>
  <c r="T49" i="53"/>
  <c r="T49" i="54"/>
  <c r="T26" i="53"/>
  <c r="T26" i="54"/>
  <c r="T6" i="53"/>
  <c r="T6" i="54"/>
  <c r="T17" i="53"/>
  <c r="T17" i="54"/>
  <c r="S43" i="53"/>
  <c r="S43" i="54"/>
  <c r="S41" i="53"/>
  <c r="S41" i="54"/>
  <c r="S42" i="53"/>
  <c r="S42" i="54"/>
  <c r="S32" i="53"/>
  <c r="S32" i="54"/>
  <c r="S49" i="53"/>
  <c r="S49" i="54"/>
  <c r="S47" i="53"/>
  <c r="S47" i="54"/>
  <c r="S45" i="53"/>
  <c r="S45" i="54"/>
  <c r="S27" i="53"/>
  <c r="S27" i="54"/>
  <c r="S16" i="53"/>
  <c r="S16" i="54"/>
  <c r="S17" i="53"/>
  <c r="S17" i="54"/>
  <c r="P64" i="50"/>
  <c r="P54" i="50"/>
  <c r="P56" i="50"/>
  <c r="P68" i="50"/>
  <c r="P58" i="50"/>
  <c r="P14" i="50"/>
  <c r="P29" i="50"/>
  <c r="P40" i="50"/>
  <c r="P16" i="50"/>
  <c r="P31" i="50"/>
  <c r="P13" i="50"/>
  <c r="P33" i="50"/>
  <c r="P41" i="50"/>
  <c r="P32" i="50"/>
  <c r="P46" i="50"/>
  <c r="L9" i="54"/>
  <c r="P7" i="52"/>
  <c r="L7" i="54"/>
  <c r="Z73" i="50"/>
  <c r="O27" i="53"/>
  <c r="O27" i="54"/>
  <c r="O48" i="53"/>
  <c r="O48" i="54"/>
  <c r="O46" i="53"/>
  <c r="O46" i="54"/>
  <c r="O28" i="53"/>
  <c r="O28" i="54"/>
  <c r="O42" i="53"/>
  <c r="O42" i="54"/>
  <c r="O23" i="53"/>
  <c r="O23" i="54"/>
  <c r="O35" i="53"/>
  <c r="O35" i="54"/>
  <c r="O33" i="53"/>
  <c r="O33" i="54"/>
  <c r="O6" i="53"/>
  <c r="O6" i="54"/>
  <c r="O10" i="53"/>
  <c r="O10" i="54"/>
  <c r="R62" i="50"/>
  <c r="R59" i="50"/>
  <c r="R71" i="50"/>
  <c r="R57" i="50"/>
  <c r="R66" i="50"/>
  <c r="R56" i="50"/>
  <c r="R13" i="50"/>
  <c r="R41" i="50"/>
  <c r="R20" i="50"/>
  <c r="R32" i="50"/>
  <c r="R17" i="50"/>
  <c r="R34" i="50"/>
  <c r="R42" i="50"/>
  <c r="R24" i="50"/>
  <c r="R46" i="50"/>
  <c r="R49" i="50"/>
  <c r="N76" i="50"/>
  <c r="N76" i="49"/>
  <c r="N78" i="49" s="1"/>
  <c r="N12" i="50" s="1"/>
  <c r="N76" i="48"/>
  <c r="T34" i="53"/>
  <c r="T34" i="54"/>
  <c r="T35" i="53"/>
  <c r="T35" i="54"/>
  <c r="T32" i="53"/>
  <c r="T32" i="54"/>
  <c r="T37" i="53"/>
  <c r="T37" i="54"/>
  <c r="T43" i="53"/>
  <c r="T43" i="54"/>
  <c r="T33" i="53"/>
  <c r="T33" i="54"/>
  <c r="T16" i="53"/>
  <c r="T16" i="54"/>
  <c r="T19" i="53"/>
  <c r="T19" i="54"/>
  <c r="AA73" i="50"/>
  <c r="S22" i="53"/>
  <c r="S22" i="54"/>
  <c r="S20" i="53"/>
  <c r="S20" i="54"/>
  <c r="S21" i="53"/>
  <c r="S21" i="54"/>
  <c r="S25" i="53"/>
  <c r="S25" i="54"/>
  <c r="S33" i="53"/>
  <c r="S33" i="54"/>
  <c r="S31" i="53"/>
  <c r="S31" i="54"/>
  <c r="S29" i="53"/>
  <c r="S29" i="54"/>
  <c r="S26" i="53"/>
  <c r="S26" i="54"/>
  <c r="S18" i="53"/>
  <c r="S18" i="54"/>
  <c r="S11" i="53"/>
  <c r="S11" i="54"/>
  <c r="P67" i="50"/>
  <c r="P69" i="50"/>
  <c r="P66" i="50"/>
  <c r="P59" i="50"/>
  <c r="P52" i="50"/>
  <c r="P57" i="50"/>
  <c r="P17" i="50"/>
  <c r="P34" i="50"/>
  <c r="P42" i="50"/>
  <c r="P19" i="50"/>
  <c r="P18" i="50"/>
  <c r="P35" i="50"/>
  <c r="P43" i="50"/>
  <c r="P23" i="50"/>
  <c r="P45" i="50"/>
  <c r="P48" i="50"/>
  <c r="P14" i="52"/>
  <c r="L14" i="54"/>
  <c r="P15" i="52"/>
  <c r="L15" i="54"/>
  <c r="O50" i="53"/>
  <c r="O50" i="54"/>
  <c r="O32" i="53"/>
  <c r="O32" i="54"/>
  <c r="O30" i="53"/>
  <c r="O30" i="54"/>
  <c r="O31" i="53"/>
  <c r="O31" i="54"/>
  <c r="O26" i="53"/>
  <c r="O26" i="54"/>
  <c r="O22" i="53"/>
  <c r="O22" i="54"/>
  <c r="O38" i="53"/>
  <c r="O38" i="54"/>
  <c r="O13" i="53"/>
  <c r="O13" i="54"/>
  <c r="O11" i="53"/>
  <c r="O11" i="54"/>
  <c r="O18" i="53"/>
  <c r="O18" i="54"/>
  <c r="R65" i="50"/>
  <c r="R58" i="50"/>
  <c r="R55" i="50"/>
  <c r="R60" i="50"/>
  <c r="R50" i="50"/>
  <c r="R6" i="50"/>
  <c r="R18" i="50"/>
  <c r="R35" i="50"/>
  <c r="R43" i="50"/>
  <c r="R23" i="50"/>
  <c r="R5" i="50"/>
  <c r="R22" i="50"/>
  <c r="R36" i="50"/>
  <c r="R9" i="50"/>
  <c r="R28" i="50"/>
  <c r="R48" i="50"/>
  <c r="E10" i="5"/>
  <c r="N77" i="47"/>
  <c r="F10" i="5"/>
  <c r="F46" i="5" s="1"/>
  <c r="N78" i="47"/>
  <c r="D46" i="5"/>
  <c r="D29" i="5"/>
  <c r="Y10" i="52" l="1"/>
  <c r="Y40" i="52"/>
  <c r="Y34" i="52"/>
  <c r="Y6" i="52"/>
  <c r="Y29" i="52"/>
  <c r="Y50" i="52"/>
  <c r="Y16" i="52"/>
  <c r="Y45" i="52"/>
  <c r="Y27" i="52"/>
  <c r="Y5" i="52"/>
  <c r="Y30" i="52"/>
  <c r="Y28" i="52"/>
  <c r="Y39" i="52"/>
  <c r="Y46" i="52"/>
  <c r="Y35" i="52"/>
  <c r="Y13" i="52"/>
  <c r="Y43" i="52"/>
  <c r="Y36" i="52"/>
  <c r="Y22" i="52"/>
  <c r="Y32" i="52"/>
  <c r="Y19" i="52"/>
  <c r="Y20" i="52"/>
  <c r="Y31" i="52"/>
  <c r="Y48" i="52"/>
  <c r="Y24" i="52"/>
  <c r="Y41" i="52"/>
  <c r="Y47" i="52"/>
  <c r="Y37" i="52"/>
  <c r="Y18" i="52"/>
  <c r="Y26" i="52"/>
  <c r="Y23" i="52"/>
  <c r="Y21" i="52"/>
  <c r="Y11" i="52"/>
  <c r="Y42" i="52"/>
  <c r="Y44" i="52"/>
  <c r="Y38" i="52"/>
  <c r="Y17" i="52"/>
  <c r="Y25" i="52"/>
  <c r="Y33" i="52"/>
  <c r="Y49" i="52"/>
  <c r="T8" i="53"/>
  <c r="T8" i="54"/>
  <c r="T52" i="52"/>
  <c r="R8" i="64"/>
  <c r="R59" i="64" s="1"/>
  <c r="T30" i="53"/>
  <c r="T30" i="54"/>
  <c r="R30" i="64" s="1"/>
  <c r="R81" i="64" s="1"/>
  <c r="V30" i="52"/>
  <c r="Q48" i="54"/>
  <c r="R48" i="54" s="1"/>
  <c r="R48" i="52"/>
  <c r="Q48" i="53"/>
  <c r="R48" i="53" s="1"/>
  <c r="N11" i="52"/>
  <c r="N38" i="52"/>
  <c r="N27" i="52"/>
  <c r="N6" i="52"/>
  <c r="N40" i="52"/>
  <c r="N43" i="52"/>
  <c r="N18" i="52"/>
  <c r="N32" i="52"/>
  <c r="N36" i="52"/>
  <c r="N37" i="52"/>
  <c r="N5" i="52"/>
  <c r="N21" i="52"/>
  <c r="N22" i="52"/>
  <c r="N50" i="52"/>
  <c r="N48" i="52"/>
  <c r="N13" i="52"/>
  <c r="N41" i="52"/>
  <c r="N31" i="52"/>
  <c r="N45" i="52"/>
  <c r="N29" i="52"/>
  <c r="N47" i="52"/>
  <c r="N30" i="52"/>
  <c r="N34" i="52"/>
  <c r="N17" i="52"/>
  <c r="N25" i="52"/>
  <c r="N44" i="52"/>
  <c r="N24" i="52"/>
  <c r="N33" i="52"/>
  <c r="N39" i="52"/>
  <c r="N46" i="52"/>
  <c r="N28" i="52"/>
  <c r="N26" i="52"/>
  <c r="N19" i="52"/>
  <c r="N20" i="52"/>
  <c r="N16" i="52"/>
  <c r="N49" i="52"/>
  <c r="N42" i="52"/>
  <c r="N10" i="52"/>
  <c r="N35" i="52"/>
  <c r="N23" i="52"/>
  <c r="AA9" i="52"/>
  <c r="L56" i="52"/>
  <c r="L12" i="53"/>
  <c r="L14" i="53"/>
  <c r="L15" i="53"/>
  <c r="L7" i="53"/>
  <c r="T31" i="53"/>
  <c r="T31" i="54"/>
  <c r="Q23" i="53"/>
  <c r="R23" i="53" s="1"/>
  <c r="R23" i="52"/>
  <c r="Q23" i="54"/>
  <c r="R23" i="54" s="1"/>
  <c r="P7" i="54"/>
  <c r="T15" i="53"/>
  <c r="T15" i="54"/>
  <c r="Z14" i="52"/>
  <c r="Y14" i="54"/>
  <c r="Z14" i="54" s="1"/>
  <c r="Y14" i="53"/>
  <c r="L6" i="66"/>
  <c r="Q43" i="53"/>
  <c r="Q43" i="54"/>
  <c r="R43" i="54" s="1"/>
  <c r="R43" i="52"/>
  <c r="Q36" i="53"/>
  <c r="R36" i="52"/>
  <c r="Q36" i="54"/>
  <c r="R36" i="54" s="1"/>
  <c r="Q11" i="53"/>
  <c r="R11" i="52"/>
  <c r="Q11" i="54"/>
  <c r="R11" i="54" s="1"/>
  <c r="Q41" i="53"/>
  <c r="R41" i="53" s="1"/>
  <c r="Q41" i="54"/>
  <c r="R41" i="54" s="1"/>
  <c r="R41" i="52"/>
  <c r="M19" i="52"/>
  <c r="M26" i="52"/>
  <c r="M50" i="52"/>
  <c r="M43" i="52"/>
  <c r="M18" i="52"/>
  <c r="M31" i="52"/>
  <c r="M20" i="52"/>
  <c r="M28" i="52"/>
  <c r="M24" i="52"/>
  <c r="M47" i="52"/>
  <c r="M37" i="52"/>
  <c r="M44" i="52"/>
  <c r="M32" i="52"/>
  <c r="M22" i="52"/>
  <c r="M42" i="52"/>
  <c r="M33" i="52"/>
  <c r="M40" i="52"/>
  <c r="M16" i="52"/>
  <c r="M11" i="52"/>
  <c r="M48" i="52"/>
  <c r="M39" i="52"/>
  <c r="M6" i="52"/>
  <c r="M46" i="52"/>
  <c r="M23" i="52"/>
  <c r="M17" i="52"/>
  <c r="M13" i="52"/>
  <c r="M49" i="52"/>
  <c r="M38" i="52"/>
  <c r="M10" i="52"/>
  <c r="M25" i="52"/>
  <c r="M30" i="52"/>
  <c r="M5" i="52"/>
  <c r="M35" i="52"/>
  <c r="M41" i="52"/>
  <c r="M29" i="52"/>
  <c r="M36" i="52"/>
  <c r="M21" i="52"/>
  <c r="M27" i="52"/>
  <c r="M45" i="52"/>
  <c r="M34" i="52"/>
  <c r="Q31" i="53"/>
  <c r="R31" i="52"/>
  <c r="Q31" i="54"/>
  <c r="R31" i="54" s="1"/>
  <c r="Q35" i="54"/>
  <c r="R35" i="54" s="1"/>
  <c r="Q35" i="53"/>
  <c r="R35" i="52"/>
  <c r="R40" i="52"/>
  <c r="Q40" i="53"/>
  <c r="Q40" i="54"/>
  <c r="R40" i="54" s="1"/>
  <c r="R73" i="48"/>
  <c r="P73" i="48"/>
  <c r="P78" i="48" s="1"/>
  <c r="P41" i="64"/>
  <c r="P92" i="64" s="1"/>
  <c r="T12" i="54"/>
  <c r="T52" i="54" s="1"/>
  <c r="T12" i="53"/>
  <c r="U18" i="52"/>
  <c r="U26" i="52"/>
  <c r="U28" i="52"/>
  <c r="U42" i="52"/>
  <c r="U10" i="52"/>
  <c r="U35" i="52"/>
  <c r="U30" i="52"/>
  <c r="U47" i="52"/>
  <c r="U16" i="52"/>
  <c r="U23" i="52"/>
  <c r="U37" i="52"/>
  <c r="U36" i="52"/>
  <c r="U33" i="52"/>
  <c r="U17" i="52"/>
  <c r="U6" i="52"/>
  <c r="U40" i="52"/>
  <c r="U38" i="52"/>
  <c r="U5" i="52"/>
  <c r="U29" i="52"/>
  <c r="U27" i="52"/>
  <c r="U24" i="52"/>
  <c r="U43" i="52"/>
  <c r="U11" i="52"/>
  <c r="U49" i="52"/>
  <c r="U32" i="52"/>
  <c r="U34" i="52"/>
  <c r="U48" i="52"/>
  <c r="U13" i="52"/>
  <c r="U50" i="52"/>
  <c r="U20" i="52"/>
  <c r="U25" i="52"/>
  <c r="U22" i="52"/>
  <c r="U41" i="52"/>
  <c r="U21" i="52"/>
  <c r="U31" i="52"/>
  <c r="V31" i="52" s="1"/>
  <c r="U39" i="52"/>
  <c r="U44" i="52"/>
  <c r="U19" i="52"/>
  <c r="U45" i="52"/>
  <c r="U46" i="52"/>
  <c r="N7" i="53"/>
  <c r="N7" i="54"/>
  <c r="Z8" i="52"/>
  <c r="Y8" i="53"/>
  <c r="Y8" i="54"/>
  <c r="Z8" i="54" s="1"/>
  <c r="Q34" i="53"/>
  <c r="R34" i="52"/>
  <c r="Q34" i="54"/>
  <c r="R34" i="54" s="1"/>
  <c r="Q10" i="54"/>
  <c r="R10" i="54" s="1"/>
  <c r="Q10" i="53"/>
  <c r="R10" i="52"/>
  <c r="Q16" i="54"/>
  <c r="R16" i="54" s="1"/>
  <c r="Q16" i="53"/>
  <c r="R16" i="52"/>
  <c r="P9" i="54"/>
  <c r="U14" i="53"/>
  <c r="U14" i="54"/>
  <c r="S8" i="53"/>
  <c r="S8" i="54"/>
  <c r="V8" i="52"/>
  <c r="AA8" i="52" s="1"/>
  <c r="Q38" i="54"/>
  <c r="R38" i="54" s="1"/>
  <c r="Q38" i="53"/>
  <c r="R38" i="52"/>
  <c r="Q30" i="53"/>
  <c r="R30" i="52"/>
  <c r="Q30" i="54"/>
  <c r="R30" i="54" s="1"/>
  <c r="Q22" i="53"/>
  <c r="R22" i="52"/>
  <c r="Q22" i="54"/>
  <c r="R22" i="54" s="1"/>
  <c r="R29" i="52"/>
  <c r="Q29" i="53"/>
  <c r="Q29" i="54"/>
  <c r="R29" i="54" s="1"/>
  <c r="O8" i="53"/>
  <c r="O8" i="64" s="1"/>
  <c r="O59" i="64" s="1"/>
  <c r="O8" i="54"/>
  <c r="U9" i="53"/>
  <c r="U9" i="54"/>
  <c r="T7" i="53"/>
  <c r="R7" i="64" s="1"/>
  <c r="R58" i="64" s="1"/>
  <c r="T7" i="54"/>
  <c r="S12" i="53"/>
  <c r="V12" i="52"/>
  <c r="AA12" i="52" s="1"/>
  <c r="S12" i="54"/>
  <c r="V12" i="54" s="1"/>
  <c r="N15" i="53"/>
  <c r="N15" i="64" s="1"/>
  <c r="N66" i="64" s="1"/>
  <c r="N15" i="54"/>
  <c r="M7" i="53"/>
  <c r="M7" i="54"/>
  <c r="R24" i="52"/>
  <c r="Q24" i="53"/>
  <c r="Q24" i="54"/>
  <c r="R24" i="54" s="1"/>
  <c r="R13" i="52"/>
  <c r="Q13" i="53"/>
  <c r="Q13" i="54"/>
  <c r="R13" i="54" s="1"/>
  <c r="Q19" i="54"/>
  <c r="R19" i="54" s="1"/>
  <c r="R19" i="52"/>
  <c r="Q19" i="53"/>
  <c r="R33" i="52"/>
  <c r="Q33" i="53"/>
  <c r="Q33" i="54"/>
  <c r="R33" i="54" s="1"/>
  <c r="O9" i="53"/>
  <c r="O9" i="54"/>
  <c r="T9" i="53"/>
  <c r="T9" i="54"/>
  <c r="S14" i="53"/>
  <c r="S14" i="54"/>
  <c r="V14" i="52"/>
  <c r="AA14" i="52" s="1"/>
  <c r="N12" i="53"/>
  <c r="N12" i="64" s="1"/>
  <c r="N63" i="64" s="1"/>
  <c r="N12" i="54"/>
  <c r="M8" i="53"/>
  <c r="M8" i="54"/>
  <c r="Q52" i="52"/>
  <c r="R5" i="52"/>
  <c r="Q5" i="53"/>
  <c r="Q5" i="54"/>
  <c r="R44" i="52"/>
  <c r="Q44" i="53"/>
  <c r="Q44" i="54"/>
  <c r="R44" i="54" s="1"/>
  <c r="R42" i="52"/>
  <c r="Q42" i="54"/>
  <c r="R42" i="54" s="1"/>
  <c r="Q42" i="53"/>
  <c r="R37" i="52"/>
  <c r="Q37" i="53"/>
  <c r="Q37" i="54"/>
  <c r="R37" i="54" s="1"/>
  <c r="Y7" i="53"/>
  <c r="Z7" i="52"/>
  <c r="Y7" i="54"/>
  <c r="Z7" i="54" s="1"/>
  <c r="AA15" i="52"/>
  <c r="O15" i="53"/>
  <c r="O15" i="54"/>
  <c r="P15" i="54" s="1"/>
  <c r="AA15" i="54" s="1"/>
  <c r="U7" i="54"/>
  <c r="U7" i="53"/>
  <c r="T14" i="54"/>
  <c r="T14" i="53"/>
  <c r="R14" i="64" s="1"/>
  <c r="R65" i="64" s="1"/>
  <c r="N14" i="54"/>
  <c r="N14" i="53"/>
  <c r="N14" i="64" s="1"/>
  <c r="N65" i="64" s="1"/>
  <c r="M12" i="53"/>
  <c r="M12" i="54"/>
  <c r="P12" i="54" s="1"/>
  <c r="Q49" i="53"/>
  <c r="Q49" i="54"/>
  <c r="R49" i="54" s="1"/>
  <c r="R49" i="52"/>
  <c r="Q28" i="53"/>
  <c r="Q28" i="54"/>
  <c r="R28" i="54" s="1"/>
  <c r="R28" i="52"/>
  <c r="Q32" i="53"/>
  <c r="R32" i="52"/>
  <c r="Q32" i="54"/>
  <c r="R32" i="54" s="1"/>
  <c r="R26" i="52"/>
  <c r="Q26" i="53"/>
  <c r="Q26" i="54"/>
  <c r="R26" i="54" s="1"/>
  <c r="O7" i="53"/>
  <c r="O7" i="54"/>
  <c r="U12" i="53"/>
  <c r="S12" i="64" s="1"/>
  <c r="S63" i="64" s="1"/>
  <c r="U12" i="54"/>
  <c r="N9" i="53"/>
  <c r="N9" i="64" s="1"/>
  <c r="N60" i="64" s="1"/>
  <c r="N9" i="54"/>
  <c r="L17" i="52"/>
  <c r="L28" i="52"/>
  <c r="L38" i="52"/>
  <c r="L13" i="52"/>
  <c r="L44" i="52"/>
  <c r="L22" i="52"/>
  <c r="L27" i="52"/>
  <c r="L33" i="52"/>
  <c r="L39" i="52"/>
  <c r="L39" i="53" s="1"/>
  <c r="L43" i="52"/>
  <c r="L49" i="52"/>
  <c r="L36" i="52"/>
  <c r="L24" i="52"/>
  <c r="L19" i="52"/>
  <c r="L23" i="52"/>
  <c r="L34" i="52"/>
  <c r="L25" i="52"/>
  <c r="L18" i="52"/>
  <c r="L40" i="52"/>
  <c r="L41" i="52"/>
  <c r="L50" i="52"/>
  <c r="L29" i="52"/>
  <c r="L35" i="52"/>
  <c r="L26" i="52"/>
  <c r="L10" i="52"/>
  <c r="L45" i="52"/>
  <c r="L32" i="52"/>
  <c r="L42" i="52"/>
  <c r="L5" i="52"/>
  <c r="L5" i="53" s="1"/>
  <c r="L30" i="52"/>
  <c r="L48" i="52"/>
  <c r="L16" i="52"/>
  <c r="L46" i="52"/>
  <c r="L20" i="52"/>
  <c r="L11" i="52"/>
  <c r="L31" i="52"/>
  <c r="L37" i="52"/>
  <c r="L6" i="52"/>
  <c r="L47" i="52"/>
  <c r="L21" i="52"/>
  <c r="R21" i="52"/>
  <c r="Q21" i="54"/>
  <c r="R21" i="54" s="1"/>
  <c r="Q21" i="53"/>
  <c r="R47" i="52"/>
  <c r="Q47" i="54"/>
  <c r="R47" i="54" s="1"/>
  <c r="Q47" i="53"/>
  <c r="R17" i="52"/>
  <c r="Q17" i="53"/>
  <c r="Q17" i="54"/>
  <c r="R17" i="54" s="1"/>
  <c r="P6" i="50"/>
  <c r="O14" i="53"/>
  <c r="O14" i="54"/>
  <c r="P14" i="54" s="1"/>
  <c r="V7" i="52"/>
  <c r="AA7" i="52" s="1"/>
  <c r="S7" i="53"/>
  <c r="S52" i="53" s="1"/>
  <c r="S7" i="54"/>
  <c r="N8" i="53"/>
  <c r="N8" i="64" s="1"/>
  <c r="N59" i="64" s="1"/>
  <c r="N8" i="54"/>
  <c r="M14" i="53"/>
  <c r="M14" i="64" s="1"/>
  <c r="M65" i="64" s="1"/>
  <c r="M14" i="54"/>
  <c r="Q18" i="53"/>
  <c r="R18" i="52"/>
  <c r="Q18" i="54"/>
  <c r="R18" i="54" s="1"/>
  <c r="Q50" i="53"/>
  <c r="R50" i="52"/>
  <c r="Q50" i="54"/>
  <c r="R50" i="54" s="1"/>
  <c r="Q45" i="53"/>
  <c r="R45" i="52"/>
  <c r="Q45" i="54"/>
  <c r="R45" i="54" s="1"/>
  <c r="V18" i="52"/>
  <c r="T18" i="54"/>
  <c r="O12" i="53"/>
  <c r="O12" i="64" s="1"/>
  <c r="O63" i="64" s="1"/>
  <c r="O12" i="54"/>
  <c r="U8" i="53"/>
  <c r="U8" i="54"/>
  <c r="S15" i="53"/>
  <c r="S15" i="54"/>
  <c r="V15" i="54" s="1"/>
  <c r="V15" i="52"/>
  <c r="R39" i="52"/>
  <c r="Q39" i="53"/>
  <c r="Q39" i="54"/>
  <c r="R39" i="54" s="1"/>
  <c r="Q25" i="53"/>
  <c r="R25" i="52"/>
  <c r="Q25" i="54"/>
  <c r="R25" i="54" s="1"/>
  <c r="Q27" i="53"/>
  <c r="R27" i="52"/>
  <c r="Q27" i="54"/>
  <c r="R27" i="54" s="1"/>
  <c r="P8" i="54"/>
  <c r="U15" i="53"/>
  <c r="S15" i="64" s="1"/>
  <c r="S66" i="64" s="1"/>
  <c r="U15" i="54"/>
  <c r="S9" i="54"/>
  <c r="S9" i="53"/>
  <c r="V9" i="52"/>
  <c r="Z12" i="52"/>
  <c r="Y12" i="54"/>
  <c r="Z12" i="54" s="1"/>
  <c r="Y12" i="53"/>
  <c r="Q46" i="53"/>
  <c r="R46" i="52"/>
  <c r="Q46" i="54"/>
  <c r="R46" i="54" s="1"/>
  <c r="Q6" i="53"/>
  <c r="R6" i="52"/>
  <c r="Q6" i="54"/>
  <c r="R6" i="54" s="1"/>
  <c r="R20" i="52"/>
  <c r="Q20" i="53"/>
  <c r="Q20" i="54"/>
  <c r="R20" i="54" s="1"/>
  <c r="L6" i="53"/>
  <c r="L49" i="53"/>
  <c r="L42" i="53"/>
  <c r="P35" i="49"/>
  <c r="P17" i="49"/>
  <c r="P67" i="49"/>
  <c r="P67" i="63" s="1"/>
  <c r="P139" i="63" s="1"/>
  <c r="L43" i="53"/>
  <c r="L32" i="53"/>
  <c r="P32" i="49"/>
  <c r="L17" i="53"/>
  <c r="E41" i="5"/>
  <c r="E21" i="5"/>
  <c r="P18" i="49"/>
  <c r="P57" i="49"/>
  <c r="P20" i="49"/>
  <c r="L45" i="53"/>
  <c r="L21" i="53"/>
  <c r="X10" i="65"/>
  <c r="O11" i="65"/>
  <c r="O9" i="65"/>
  <c r="O7" i="65"/>
  <c r="P11" i="65"/>
  <c r="P7" i="65"/>
  <c r="P9" i="65"/>
  <c r="Q34" i="64"/>
  <c r="Q85" i="64" s="1"/>
  <c r="R25" i="64"/>
  <c r="R76" i="64" s="1"/>
  <c r="R29" i="64"/>
  <c r="R80" i="64" s="1"/>
  <c r="U55" i="50"/>
  <c r="U7" i="50"/>
  <c r="U73" i="48"/>
  <c r="U78" i="48" s="1"/>
  <c r="U7" i="49" s="1"/>
  <c r="U5" i="50"/>
  <c r="AI42" i="50"/>
  <c r="AI41" i="50"/>
  <c r="AI27" i="50"/>
  <c r="AI22" i="50"/>
  <c r="AI14" i="50"/>
  <c r="AI54" i="50"/>
  <c r="AI68" i="50"/>
  <c r="AI39" i="50"/>
  <c r="AI38" i="50"/>
  <c r="AH46" i="50"/>
  <c r="AH26" i="50"/>
  <c r="AH41" i="50"/>
  <c r="AH48" i="50"/>
  <c r="AH45" i="50"/>
  <c r="AH65" i="50"/>
  <c r="AH27" i="50"/>
  <c r="AH22" i="50"/>
  <c r="AH47" i="50"/>
  <c r="AH70" i="50"/>
  <c r="AH30" i="50"/>
  <c r="AH25" i="50"/>
  <c r="W50" i="50"/>
  <c r="W65" i="50"/>
  <c r="W33" i="50"/>
  <c r="W25" i="50"/>
  <c r="V80" i="47"/>
  <c r="V74" i="49"/>
  <c r="V78" i="49" s="1"/>
  <c r="V12" i="50" s="1"/>
  <c r="V74" i="50"/>
  <c r="V74" i="48"/>
  <c r="AD71" i="48"/>
  <c r="AC71" i="50"/>
  <c r="AD71" i="50" s="1"/>
  <c r="AD67" i="48"/>
  <c r="AC67" i="50"/>
  <c r="AD67" i="50" s="1"/>
  <c r="AC28" i="50"/>
  <c r="AD28" i="50" s="1"/>
  <c r="AD28" i="48"/>
  <c r="AD5" i="48"/>
  <c r="AC5" i="50"/>
  <c r="AC73" i="48"/>
  <c r="AC78" i="48" s="1"/>
  <c r="AC10" i="49" s="1"/>
  <c r="AD53" i="48"/>
  <c r="AC53" i="50"/>
  <c r="AD53" i="50" s="1"/>
  <c r="AC33" i="50"/>
  <c r="AD33" i="50" s="1"/>
  <c r="AD33" i="48"/>
  <c r="AC63" i="50"/>
  <c r="AD63" i="50" s="1"/>
  <c r="AD63" i="48"/>
  <c r="AC70" i="50"/>
  <c r="AD70" i="50" s="1"/>
  <c r="AD70" i="48"/>
  <c r="AC19" i="50"/>
  <c r="AD19" i="50" s="1"/>
  <c r="AD19" i="48"/>
  <c r="AC15" i="50"/>
  <c r="AD15" i="50" s="1"/>
  <c r="AD15" i="48"/>
  <c r="AC40" i="50"/>
  <c r="AD40" i="50" s="1"/>
  <c r="AD40" i="48"/>
  <c r="AD52" i="48"/>
  <c r="AC52" i="50"/>
  <c r="AD52" i="50" s="1"/>
  <c r="AD43" i="48"/>
  <c r="AC43" i="50"/>
  <c r="AD43" i="50" s="1"/>
  <c r="AD37" i="48"/>
  <c r="AC37" i="50"/>
  <c r="AD37" i="50" s="1"/>
  <c r="AD34" i="48"/>
  <c r="AC34" i="50"/>
  <c r="AD34" i="50" s="1"/>
  <c r="AD31" i="48"/>
  <c r="AC31" i="50"/>
  <c r="AD31" i="50" s="1"/>
  <c r="AA73" i="49"/>
  <c r="X6" i="65"/>
  <c r="U38" i="50"/>
  <c r="U6" i="49"/>
  <c r="T6" i="63" s="1"/>
  <c r="T78" i="63" s="1"/>
  <c r="U6" i="50"/>
  <c r="U52" i="50"/>
  <c r="U63" i="49"/>
  <c r="T63" i="63" s="1"/>
  <c r="T135" i="63" s="1"/>
  <c r="U63" i="50"/>
  <c r="U34" i="50"/>
  <c r="U27" i="50"/>
  <c r="X21" i="50"/>
  <c r="X7" i="50"/>
  <c r="X55" i="50"/>
  <c r="X64" i="50"/>
  <c r="AI61" i="50"/>
  <c r="AI56" i="50"/>
  <c r="AI16" i="50"/>
  <c r="AI10" i="50"/>
  <c r="AI45" i="50"/>
  <c r="AI50" i="50"/>
  <c r="AI5" i="50"/>
  <c r="AI73" i="48"/>
  <c r="AI78" i="48" s="1"/>
  <c r="AI42" i="49" s="1"/>
  <c r="AI59" i="50"/>
  <c r="AI58" i="50"/>
  <c r="AI23" i="50"/>
  <c r="AI19" i="50"/>
  <c r="AH7" i="50"/>
  <c r="AH16" i="50"/>
  <c r="AH57" i="50"/>
  <c r="AH71" i="50"/>
  <c r="AH63" i="50"/>
  <c r="AH44" i="50"/>
  <c r="AH10" i="50"/>
  <c r="AH6" i="50"/>
  <c r="AH53" i="50"/>
  <c r="AH68" i="50"/>
  <c r="AH17" i="50"/>
  <c r="AH11" i="50"/>
  <c r="AH73" i="48"/>
  <c r="AH78" i="48" s="1"/>
  <c r="AH27" i="49" s="1"/>
  <c r="AH5" i="50"/>
  <c r="AH55" i="50"/>
  <c r="W59" i="50"/>
  <c r="W51" i="50"/>
  <c r="W10" i="50"/>
  <c r="W38" i="50"/>
  <c r="Y73" i="48"/>
  <c r="Y78" i="48" s="1"/>
  <c r="O73" i="48"/>
  <c r="O78" i="48" s="1"/>
  <c r="O5" i="50"/>
  <c r="O73" i="50" s="1"/>
  <c r="Z73" i="49"/>
  <c r="Q5" i="50"/>
  <c r="Q73" i="50" s="1"/>
  <c r="Q73" i="48"/>
  <c r="Q78" i="48" s="1"/>
  <c r="X8" i="65"/>
  <c r="AC41" i="50"/>
  <c r="AD41" i="50" s="1"/>
  <c r="AD41" i="48"/>
  <c r="AD9" i="48"/>
  <c r="AC9" i="50"/>
  <c r="AD9" i="50" s="1"/>
  <c r="AC27" i="50"/>
  <c r="AD27" i="50" s="1"/>
  <c r="AD27" i="48"/>
  <c r="AC23" i="50"/>
  <c r="AD23" i="50" s="1"/>
  <c r="AD23" i="48"/>
  <c r="AD46" i="48"/>
  <c r="AC46" i="50"/>
  <c r="AD46" i="50" s="1"/>
  <c r="AC49" i="50"/>
  <c r="AD49" i="50" s="1"/>
  <c r="AD49" i="48"/>
  <c r="AD26" i="48"/>
  <c r="AC26" i="50"/>
  <c r="AD26" i="50" s="1"/>
  <c r="AD61" i="48"/>
  <c r="AC61" i="50"/>
  <c r="AD61" i="50" s="1"/>
  <c r="AD64" i="48"/>
  <c r="AC64" i="50"/>
  <c r="AD64" i="50" s="1"/>
  <c r="AD6" i="48"/>
  <c r="AC6" i="50"/>
  <c r="AD6" i="50" s="1"/>
  <c r="AD30" i="48"/>
  <c r="AC30" i="50"/>
  <c r="AD30" i="50" s="1"/>
  <c r="AD47" i="48"/>
  <c r="AC47" i="50"/>
  <c r="AD47" i="50" s="1"/>
  <c r="AD54" i="48"/>
  <c r="AC54" i="50"/>
  <c r="AD54" i="50" s="1"/>
  <c r="AD24" i="48"/>
  <c r="AC24" i="50"/>
  <c r="AD24" i="50" s="1"/>
  <c r="AD20" i="48"/>
  <c r="AC20" i="50"/>
  <c r="AD20" i="50" s="1"/>
  <c r="AD45" i="48"/>
  <c r="AC45" i="50"/>
  <c r="AD45" i="50" s="1"/>
  <c r="AC10" i="50"/>
  <c r="AD10" i="50" s="1"/>
  <c r="AD10" i="48"/>
  <c r="U35" i="49"/>
  <c r="U35" i="50"/>
  <c r="U30" i="50"/>
  <c r="L5" i="50"/>
  <c r="L73" i="50" s="1"/>
  <c r="L73" i="48"/>
  <c r="L78" i="48" s="1"/>
  <c r="X45" i="50"/>
  <c r="AI63" i="50"/>
  <c r="AI46" i="50"/>
  <c r="AI33" i="50"/>
  <c r="AI32" i="50"/>
  <c r="AI69" i="50"/>
  <c r="AI53" i="50"/>
  <c r="AI13" i="50"/>
  <c r="AI7" i="50"/>
  <c r="AI31" i="50"/>
  <c r="AH43" i="50"/>
  <c r="AH61" i="50"/>
  <c r="AH38" i="50"/>
  <c r="AH23" i="50"/>
  <c r="AH69" i="50"/>
  <c r="AH51" i="49"/>
  <c r="AH51" i="50"/>
  <c r="AH32" i="50"/>
  <c r="AH21" i="50"/>
  <c r="AH42" i="50"/>
  <c r="AH66" i="50"/>
  <c r="AH34" i="50"/>
  <c r="AH24" i="50"/>
  <c r="W5" i="50"/>
  <c r="W73" i="48"/>
  <c r="W78" i="48" s="1"/>
  <c r="W51" i="49" s="1"/>
  <c r="V51" i="63" s="1"/>
  <c r="V123" i="63" s="1"/>
  <c r="W69" i="50"/>
  <c r="W44" i="50"/>
  <c r="W26" i="50"/>
  <c r="W19" i="50"/>
  <c r="M46" i="48"/>
  <c r="M46" i="50" s="1"/>
  <c r="M38" i="48"/>
  <c r="M38" i="50" s="1"/>
  <c r="M61" i="48"/>
  <c r="M61" i="50" s="1"/>
  <c r="M71" i="48"/>
  <c r="M71" i="50" s="1"/>
  <c r="M24" i="48"/>
  <c r="M24" i="50" s="1"/>
  <c r="M29" i="48"/>
  <c r="M14" i="48"/>
  <c r="M14" i="50" s="1"/>
  <c r="M23" i="48"/>
  <c r="M27" i="48"/>
  <c r="M27" i="50" s="1"/>
  <c r="M11" i="48"/>
  <c r="M34" i="48"/>
  <c r="M34" i="50" s="1"/>
  <c r="M44" i="48"/>
  <c r="M16" i="48"/>
  <c r="M47" i="48"/>
  <c r="M54" i="48"/>
  <c r="M54" i="50" s="1"/>
  <c r="M64" i="48"/>
  <c r="M64" i="50" s="1"/>
  <c r="M50" i="48"/>
  <c r="M50" i="50" s="1"/>
  <c r="M51" i="48"/>
  <c r="M51" i="50" s="1"/>
  <c r="M48" i="48"/>
  <c r="M48" i="50" s="1"/>
  <c r="M59" i="48"/>
  <c r="M59" i="50" s="1"/>
  <c r="M66" i="48"/>
  <c r="M66" i="50" s="1"/>
  <c r="M19" i="48"/>
  <c r="M19" i="50" s="1"/>
  <c r="M25" i="48"/>
  <c r="M25" i="50" s="1"/>
  <c r="M5" i="48"/>
  <c r="M20" i="48"/>
  <c r="M20" i="50" s="1"/>
  <c r="M21" i="48"/>
  <c r="M21" i="50" s="1"/>
  <c r="M6" i="48"/>
  <c r="M6" i="50" s="1"/>
  <c r="M15" i="48"/>
  <c r="M15" i="50" s="1"/>
  <c r="M49" i="48"/>
  <c r="M49" i="50" s="1"/>
  <c r="M32" i="48"/>
  <c r="M32" i="50" s="1"/>
  <c r="M42" i="48"/>
  <c r="M40" i="48"/>
  <c r="M57" i="48"/>
  <c r="M45" i="48"/>
  <c r="M45" i="50" s="1"/>
  <c r="M63" i="48"/>
  <c r="M8" i="48"/>
  <c r="M8" i="50" s="1"/>
  <c r="M52" i="48"/>
  <c r="M52" i="50" s="1"/>
  <c r="M9" i="48"/>
  <c r="M9" i="50" s="1"/>
  <c r="M22" i="48"/>
  <c r="M22" i="50" s="1"/>
  <c r="M30" i="48"/>
  <c r="M30" i="50" s="1"/>
  <c r="M10" i="48"/>
  <c r="M10" i="50" s="1"/>
  <c r="M18" i="48"/>
  <c r="M18" i="50" s="1"/>
  <c r="M70" i="48"/>
  <c r="M70" i="50" s="1"/>
  <c r="M56" i="48"/>
  <c r="M56" i="50" s="1"/>
  <c r="M31" i="48"/>
  <c r="M31" i="50" s="1"/>
  <c r="M39" i="48"/>
  <c r="M39" i="50" s="1"/>
  <c r="M60" i="48"/>
  <c r="M60" i="50" s="1"/>
  <c r="M43" i="48"/>
  <c r="M33" i="48"/>
  <c r="M55" i="48"/>
  <c r="M68" i="48"/>
  <c r="M68" i="50" s="1"/>
  <c r="M58" i="48"/>
  <c r="M53" i="48"/>
  <c r="M41" i="48"/>
  <c r="M65" i="48"/>
  <c r="M65" i="50" s="1"/>
  <c r="M28" i="48"/>
  <c r="M36" i="48"/>
  <c r="M17" i="48"/>
  <c r="M26" i="48"/>
  <c r="M35" i="48"/>
  <c r="M13" i="48"/>
  <c r="M7" i="48"/>
  <c r="M67" i="48"/>
  <c r="M69" i="48"/>
  <c r="M69" i="50" s="1"/>
  <c r="M37" i="48"/>
  <c r="M37" i="50" s="1"/>
  <c r="M62" i="48"/>
  <c r="AC65" i="50"/>
  <c r="AD65" i="50" s="1"/>
  <c r="AD65" i="48"/>
  <c r="AD39" i="48"/>
  <c r="AC39" i="50"/>
  <c r="AD39" i="50" s="1"/>
  <c r="AC62" i="50"/>
  <c r="AD62" i="50" s="1"/>
  <c r="AD62" i="48"/>
  <c r="AD56" i="48"/>
  <c r="AC56" i="50"/>
  <c r="AD56" i="50" s="1"/>
  <c r="AD59" i="48"/>
  <c r="AC59" i="50"/>
  <c r="AD59" i="50" s="1"/>
  <c r="AC16" i="50"/>
  <c r="AD16" i="50" s="1"/>
  <c r="AD16" i="48"/>
  <c r="AD7" i="48"/>
  <c r="AC7" i="50"/>
  <c r="AD7" i="50" s="1"/>
  <c r="AC42" i="50"/>
  <c r="AD42" i="50" s="1"/>
  <c r="AD42" i="48"/>
  <c r="AC66" i="50"/>
  <c r="AD66" i="50" s="1"/>
  <c r="AD66" i="48"/>
  <c r="AC18" i="50"/>
  <c r="AD18" i="50" s="1"/>
  <c r="AD18" i="48"/>
  <c r="AC14" i="50"/>
  <c r="AD14" i="50" s="1"/>
  <c r="AD14" i="48"/>
  <c r="AD44" i="48"/>
  <c r="AC44" i="50"/>
  <c r="AD44" i="50" s="1"/>
  <c r="AD48" i="48"/>
  <c r="AC48" i="50"/>
  <c r="AD48" i="50" s="1"/>
  <c r="AD8" i="48"/>
  <c r="AC8" i="50"/>
  <c r="AD8" i="50" s="1"/>
  <c r="AD32" i="48"/>
  <c r="AC32" i="50"/>
  <c r="AD32" i="50" s="1"/>
  <c r="AC57" i="50"/>
  <c r="AD57" i="50" s="1"/>
  <c r="AD57" i="48"/>
  <c r="AC38" i="50"/>
  <c r="AD38" i="50" s="1"/>
  <c r="AD38" i="48"/>
  <c r="R33" i="64"/>
  <c r="R84" i="64" s="1"/>
  <c r="R37" i="64"/>
  <c r="R88" i="64" s="1"/>
  <c r="R34" i="64"/>
  <c r="R85" i="64" s="1"/>
  <c r="O10" i="64"/>
  <c r="O61" i="64" s="1"/>
  <c r="O33" i="64"/>
  <c r="O84" i="64" s="1"/>
  <c r="O23" i="64"/>
  <c r="O74" i="64" s="1"/>
  <c r="O28" i="64"/>
  <c r="O79" i="64" s="1"/>
  <c r="O48" i="64"/>
  <c r="O99" i="64" s="1"/>
  <c r="U19" i="49"/>
  <c r="T19" i="63" s="1"/>
  <c r="T91" i="63" s="1"/>
  <c r="U70" i="49"/>
  <c r="U70" i="50"/>
  <c r="U58" i="49"/>
  <c r="T58" i="63" s="1"/>
  <c r="T130" i="63" s="1"/>
  <c r="U58" i="50"/>
  <c r="U67" i="49"/>
  <c r="U67" i="50"/>
  <c r="U42" i="50"/>
  <c r="U42" i="49"/>
  <c r="U28" i="49"/>
  <c r="U28" i="50"/>
  <c r="U23" i="50"/>
  <c r="U23" i="49"/>
  <c r="X24" i="50"/>
  <c r="X10" i="50"/>
  <c r="X38" i="50"/>
  <c r="X70" i="50"/>
  <c r="X73" i="48"/>
  <c r="X78" i="48" s="1"/>
  <c r="X7" i="49" s="1"/>
  <c r="W7" i="63" s="1"/>
  <c r="W79" i="63" s="1"/>
  <c r="X5" i="50"/>
  <c r="AI57" i="50"/>
  <c r="AI52" i="50"/>
  <c r="AI8" i="49"/>
  <c r="AE8" i="63" s="1"/>
  <c r="AE80" i="63" s="1"/>
  <c r="AI8" i="50"/>
  <c r="AI40" i="50"/>
  <c r="AI48" i="50"/>
  <c r="AI62" i="50"/>
  <c r="AI62" i="49"/>
  <c r="AI28" i="50"/>
  <c r="AI26" i="50"/>
  <c r="AH67" i="50"/>
  <c r="AH31" i="49"/>
  <c r="AH31" i="50"/>
  <c r="AH33" i="50"/>
  <c r="AH19" i="50"/>
  <c r="AH59" i="50"/>
  <c r="AH8" i="50"/>
  <c r="AH40" i="50"/>
  <c r="AH35" i="49"/>
  <c r="AH35" i="50"/>
  <c r="AH49" i="50"/>
  <c r="AH15" i="50"/>
  <c r="AH9" i="50"/>
  <c r="AH37" i="50"/>
  <c r="W52" i="50"/>
  <c r="W71" i="50"/>
  <c r="W13" i="50"/>
  <c r="W7" i="50"/>
  <c r="W45" i="50"/>
  <c r="Y35" i="50"/>
  <c r="S73" i="48"/>
  <c r="Y74" i="50"/>
  <c r="Y74" i="48"/>
  <c r="Y74" i="49"/>
  <c r="Y78" i="49" s="1"/>
  <c r="Y12" i="50" s="1"/>
  <c r="AD22" i="48"/>
  <c r="AC22" i="50"/>
  <c r="AD22" i="50" s="1"/>
  <c r="AD36" i="48"/>
  <c r="AC36" i="50"/>
  <c r="AD36" i="50" s="1"/>
  <c r="AC69" i="50"/>
  <c r="AD69" i="50" s="1"/>
  <c r="AD69" i="48"/>
  <c r="AD11" i="48"/>
  <c r="AC11" i="50"/>
  <c r="AD11" i="50" s="1"/>
  <c r="AC55" i="50"/>
  <c r="AD55" i="50" s="1"/>
  <c r="AD55" i="48"/>
  <c r="AD13" i="48"/>
  <c r="AC13" i="50"/>
  <c r="AD13" i="50" s="1"/>
  <c r="AD25" i="48"/>
  <c r="AC25" i="50"/>
  <c r="AD25" i="50" s="1"/>
  <c r="AD68" i="48"/>
  <c r="AC68" i="50"/>
  <c r="AD68" i="50" s="1"/>
  <c r="AD60" i="48"/>
  <c r="AC60" i="50"/>
  <c r="AD60" i="50" s="1"/>
  <c r="AD35" i="48"/>
  <c r="AC35" i="50"/>
  <c r="AD35" i="50" s="1"/>
  <c r="AD29" i="48"/>
  <c r="AC29" i="50"/>
  <c r="AD29" i="50" s="1"/>
  <c r="AD58" i="48"/>
  <c r="AC58" i="50"/>
  <c r="AD58" i="50" s="1"/>
  <c r="AD50" i="48"/>
  <c r="AC50" i="50"/>
  <c r="AD50" i="50" s="1"/>
  <c r="AD21" i="48"/>
  <c r="AC21" i="50"/>
  <c r="AD21" i="50" s="1"/>
  <c r="AD17" i="48"/>
  <c r="AC17" i="50"/>
  <c r="AD17" i="50" s="1"/>
  <c r="AD51" i="48"/>
  <c r="AC51" i="50"/>
  <c r="AD51" i="50" s="1"/>
  <c r="Q24" i="64"/>
  <c r="Q75" i="64" s="1"/>
  <c r="Q50" i="64"/>
  <c r="Q101" i="64" s="1"/>
  <c r="Q35" i="64"/>
  <c r="Q86" i="64" s="1"/>
  <c r="Q46" i="64"/>
  <c r="Q97" i="64" s="1"/>
  <c r="R10" i="64"/>
  <c r="R61" i="64" s="1"/>
  <c r="R23" i="64"/>
  <c r="R74" i="64" s="1"/>
  <c r="R47" i="64"/>
  <c r="R98" i="64" s="1"/>
  <c r="R21" i="64"/>
  <c r="R72" i="64" s="1"/>
  <c r="O38" i="64"/>
  <c r="O89" i="64" s="1"/>
  <c r="O30" i="64"/>
  <c r="O81" i="64" s="1"/>
  <c r="P17" i="63"/>
  <c r="P89" i="63" s="1"/>
  <c r="O11" i="64"/>
  <c r="O62" i="64" s="1"/>
  <c r="O26" i="64"/>
  <c r="O77" i="64" s="1"/>
  <c r="O50" i="64"/>
  <c r="O101" i="64" s="1"/>
  <c r="P35" i="63"/>
  <c r="P107" i="63" s="1"/>
  <c r="Q49" i="64"/>
  <c r="Q100" i="64" s="1"/>
  <c r="Q41" i="64"/>
  <c r="Q92" i="64" s="1"/>
  <c r="R42" i="64"/>
  <c r="R93" i="64" s="1"/>
  <c r="Q23" i="64"/>
  <c r="Q74" i="64" s="1"/>
  <c r="Q38" i="64"/>
  <c r="Q89" i="64" s="1"/>
  <c r="Q30" i="64"/>
  <c r="Q81" i="64" s="1"/>
  <c r="R24" i="64"/>
  <c r="R75" i="64" s="1"/>
  <c r="O18" i="64"/>
  <c r="O69" i="64" s="1"/>
  <c r="R19" i="64"/>
  <c r="R70" i="64" s="1"/>
  <c r="P20" i="63"/>
  <c r="P92" i="63" s="1"/>
  <c r="Q47" i="64"/>
  <c r="Q98" i="64" s="1"/>
  <c r="R17" i="64"/>
  <c r="R68" i="64" s="1"/>
  <c r="R26" i="64"/>
  <c r="R77" i="64" s="1"/>
  <c r="R28" i="64"/>
  <c r="R79" i="64" s="1"/>
  <c r="R46" i="64"/>
  <c r="R97" i="64" s="1"/>
  <c r="O24" i="64"/>
  <c r="O75" i="64" s="1"/>
  <c r="O20" i="64"/>
  <c r="O71" i="64" s="1"/>
  <c r="O39" i="64"/>
  <c r="O90" i="64" s="1"/>
  <c r="O43" i="64"/>
  <c r="O94" i="64" s="1"/>
  <c r="O47" i="64"/>
  <c r="O98" i="64" s="1"/>
  <c r="P30" i="49"/>
  <c r="P30" i="63" s="1"/>
  <c r="P102" i="63" s="1"/>
  <c r="P39" i="49"/>
  <c r="P39" i="63" s="1"/>
  <c r="P111" i="63" s="1"/>
  <c r="P11" i="49"/>
  <c r="P11" i="63" s="1"/>
  <c r="P83" i="63" s="1"/>
  <c r="P9" i="49"/>
  <c r="P9" i="63" s="1"/>
  <c r="P81" i="63" s="1"/>
  <c r="P25" i="49"/>
  <c r="P25" i="63" s="1"/>
  <c r="P97" i="63" s="1"/>
  <c r="P55" i="49"/>
  <c r="P55" i="63" s="1"/>
  <c r="P127" i="63" s="1"/>
  <c r="P65" i="49"/>
  <c r="P65" i="63" s="1"/>
  <c r="P137" i="63" s="1"/>
  <c r="P70" i="49"/>
  <c r="P70" i="63" s="1"/>
  <c r="P142" i="63" s="1"/>
  <c r="Q39" i="64"/>
  <c r="Q90" i="64" s="1"/>
  <c r="L44" i="53"/>
  <c r="L22" i="53"/>
  <c r="R5" i="64"/>
  <c r="R56" i="64" s="1"/>
  <c r="R38" i="64"/>
  <c r="R89" i="64" s="1"/>
  <c r="O16" i="64"/>
  <c r="O67" i="64" s="1"/>
  <c r="O21" i="64"/>
  <c r="O72" i="64" s="1"/>
  <c r="O41" i="64"/>
  <c r="O92" i="64" s="1"/>
  <c r="O45" i="64"/>
  <c r="O96" i="64" s="1"/>
  <c r="O34" i="64"/>
  <c r="O85" i="64" s="1"/>
  <c r="P44" i="49"/>
  <c r="Q40" i="64"/>
  <c r="Q91" i="64" s="1"/>
  <c r="Q36" i="64"/>
  <c r="Q87" i="64" s="1"/>
  <c r="R40" i="64"/>
  <c r="R91" i="64" s="1"/>
  <c r="R31" i="64"/>
  <c r="R82" i="64" s="1"/>
  <c r="R43" i="64"/>
  <c r="R94" i="64" s="1"/>
  <c r="R32" i="64"/>
  <c r="R83" i="64" s="1"/>
  <c r="R35" i="64"/>
  <c r="R86" i="64" s="1"/>
  <c r="O6" i="64"/>
  <c r="O57" i="64" s="1"/>
  <c r="O35" i="64"/>
  <c r="O86" i="64" s="1"/>
  <c r="O42" i="64"/>
  <c r="O93" i="64" s="1"/>
  <c r="O46" i="64"/>
  <c r="O97" i="64" s="1"/>
  <c r="O27" i="64"/>
  <c r="O78" i="64" s="1"/>
  <c r="Q16" i="64"/>
  <c r="Q67" i="64" s="1"/>
  <c r="Q32" i="64"/>
  <c r="Q83" i="64" s="1"/>
  <c r="Q42" i="64"/>
  <c r="Q93" i="64" s="1"/>
  <c r="Q43" i="64"/>
  <c r="Q94" i="64" s="1"/>
  <c r="L30" i="53"/>
  <c r="L38" i="53"/>
  <c r="R48" i="64"/>
  <c r="R99" i="64" s="1"/>
  <c r="R50" i="64"/>
  <c r="R101" i="64" s="1"/>
  <c r="Q13" i="64"/>
  <c r="Q64" i="64" s="1"/>
  <c r="Q6" i="64"/>
  <c r="Q57" i="64" s="1"/>
  <c r="Q28" i="64"/>
  <c r="Q79" i="64" s="1"/>
  <c r="L16" i="53"/>
  <c r="L46" i="53"/>
  <c r="L20" i="53"/>
  <c r="R13" i="64"/>
  <c r="R64" i="64" s="1"/>
  <c r="R27" i="64"/>
  <c r="R78" i="64" s="1"/>
  <c r="R22" i="64"/>
  <c r="R73" i="64" s="1"/>
  <c r="P8" i="49"/>
  <c r="P8" i="63" s="1"/>
  <c r="P80" i="63" s="1"/>
  <c r="Q5" i="64"/>
  <c r="Q56" i="64" s="1"/>
  <c r="Q44" i="64"/>
  <c r="Q95" i="64" s="1"/>
  <c r="R18" i="64"/>
  <c r="R69" i="64" s="1"/>
  <c r="R20" i="64"/>
  <c r="R71" i="64" s="1"/>
  <c r="R41" i="64"/>
  <c r="R92" i="64" s="1"/>
  <c r="R45" i="64"/>
  <c r="R96" i="64" s="1"/>
  <c r="O13" i="64"/>
  <c r="O64" i="64" s="1"/>
  <c r="O22" i="64"/>
  <c r="O73" i="64" s="1"/>
  <c r="O31" i="64"/>
  <c r="O82" i="64" s="1"/>
  <c r="O32" i="64"/>
  <c r="O83" i="64" s="1"/>
  <c r="P18" i="63"/>
  <c r="P90" i="63" s="1"/>
  <c r="P57" i="63"/>
  <c r="P129" i="63" s="1"/>
  <c r="R16" i="64"/>
  <c r="R67" i="64" s="1"/>
  <c r="L9" i="53"/>
  <c r="P9" i="53" s="1"/>
  <c r="P32" i="63"/>
  <c r="P104" i="63" s="1"/>
  <c r="P16" i="49"/>
  <c r="P16" i="63" s="1"/>
  <c r="P88" i="63" s="1"/>
  <c r="P29" i="49"/>
  <c r="P29" i="63" s="1"/>
  <c r="P101" i="63" s="1"/>
  <c r="P58" i="49"/>
  <c r="P58" i="63" s="1"/>
  <c r="P130" i="63" s="1"/>
  <c r="P56" i="49"/>
  <c r="P56" i="63" s="1"/>
  <c r="P128" i="63" s="1"/>
  <c r="P54" i="49"/>
  <c r="P54" i="63" s="1"/>
  <c r="P126" i="63" s="1"/>
  <c r="Q17" i="64"/>
  <c r="Q68" i="64" s="1"/>
  <c r="L23" i="53"/>
  <c r="L48" i="53"/>
  <c r="R6" i="64"/>
  <c r="R57" i="64" s="1"/>
  <c r="R49" i="64"/>
  <c r="R100" i="64" s="1"/>
  <c r="R36" i="64"/>
  <c r="R87" i="64" s="1"/>
  <c r="O5" i="64"/>
  <c r="O56" i="64" s="1"/>
  <c r="O36" i="64"/>
  <c r="O87" i="64" s="1"/>
  <c r="O40" i="64"/>
  <c r="O91" i="64" s="1"/>
  <c r="O44" i="64"/>
  <c r="O95" i="64" s="1"/>
  <c r="O49" i="64"/>
  <c r="O100" i="64" s="1"/>
  <c r="P49" i="49"/>
  <c r="P15" i="49"/>
  <c r="P15" i="63" s="1"/>
  <c r="P87" i="63" s="1"/>
  <c r="P27" i="49"/>
  <c r="P27" i="63" s="1"/>
  <c r="P99" i="63" s="1"/>
  <c r="P28" i="49"/>
  <c r="P28" i="63" s="1"/>
  <c r="P100" i="63" s="1"/>
  <c r="P38" i="49"/>
  <c r="P38" i="63" s="1"/>
  <c r="P110" i="63" s="1"/>
  <c r="P7" i="49"/>
  <c r="P7" i="63" s="1"/>
  <c r="P79" i="63" s="1"/>
  <c r="P61" i="49"/>
  <c r="P61" i="63" s="1"/>
  <c r="P133" i="63" s="1"/>
  <c r="P60" i="49"/>
  <c r="P60" i="63" s="1"/>
  <c r="P132" i="63" s="1"/>
  <c r="Q19" i="64"/>
  <c r="Q70" i="64" s="1"/>
  <c r="Q48" i="64"/>
  <c r="Q99" i="64" s="1"/>
  <c r="L18" i="53"/>
  <c r="L40" i="53"/>
  <c r="R39" i="64"/>
  <c r="R90" i="64" s="1"/>
  <c r="R44" i="64"/>
  <c r="R95" i="64" s="1"/>
  <c r="O19" i="64"/>
  <c r="O70" i="64" s="1"/>
  <c r="O17" i="64"/>
  <c r="O68" i="64" s="1"/>
  <c r="O37" i="64"/>
  <c r="O88" i="64" s="1"/>
  <c r="O25" i="64"/>
  <c r="O76" i="64" s="1"/>
  <c r="O29" i="64"/>
  <c r="O80" i="64" s="1"/>
  <c r="P37" i="49"/>
  <c r="P37" i="63" s="1"/>
  <c r="P109" i="63" s="1"/>
  <c r="Q10" i="64"/>
  <c r="Q61" i="64" s="1"/>
  <c r="Q37" i="64"/>
  <c r="Q88" i="64" s="1"/>
  <c r="L12" i="64"/>
  <c r="L63" i="64" s="1"/>
  <c r="Q11" i="64"/>
  <c r="Q62" i="64" s="1"/>
  <c r="Q31" i="64"/>
  <c r="Q82" i="64" s="1"/>
  <c r="Q20" i="64"/>
  <c r="Q71" i="64" s="1"/>
  <c r="L14" i="64"/>
  <c r="L65" i="64" s="1"/>
  <c r="L13" i="53"/>
  <c r="P26" i="49"/>
  <c r="P26" i="63" s="1"/>
  <c r="P98" i="63" s="1"/>
  <c r="P22" i="49"/>
  <c r="P22" i="63" s="1"/>
  <c r="P94" i="63" s="1"/>
  <c r="L7" i="64"/>
  <c r="L58" i="64" s="1"/>
  <c r="Q18" i="64"/>
  <c r="Q69" i="64" s="1"/>
  <c r="Q33" i="64"/>
  <c r="Q84" i="64" s="1"/>
  <c r="Q22" i="64"/>
  <c r="Q73" i="64" s="1"/>
  <c r="L9" i="64"/>
  <c r="L60" i="64" s="1"/>
  <c r="Q26" i="64"/>
  <c r="Q77" i="64" s="1"/>
  <c r="Q25" i="64"/>
  <c r="Q76" i="64" s="1"/>
  <c r="Q27" i="64"/>
  <c r="Q78" i="64" s="1"/>
  <c r="Q29" i="64"/>
  <c r="Q80" i="64" s="1"/>
  <c r="Q21" i="64"/>
  <c r="Q72" i="64" s="1"/>
  <c r="L15" i="64"/>
  <c r="L66" i="64" s="1"/>
  <c r="Q45" i="64"/>
  <c r="Q96" i="64" s="1"/>
  <c r="P53" i="49"/>
  <c r="P53" i="63" s="1"/>
  <c r="P125" i="63" s="1"/>
  <c r="P47" i="49"/>
  <c r="P10" i="49"/>
  <c r="P10" i="63" s="1"/>
  <c r="P82" i="63" s="1"/>
  <c r="P21" i="49"/>
  <c r="P21" i="63" s="1"/>
  <c r="P93" i="63" s="1"/>
  <c r="P24" i="49"/>
  <c r="P24" i="63" s="1"/>
  <c r="P96" i="63" s="1"/>
  <c r="P36" i="49"/>
  <c r="P36" i="63" s="1"/>
  <c r="P108" i="63" s="1"/>
  <c r="P62" i="49"/>
  <c r="P62" i="63" s="1"/>
  <c r="P134" i="63" s="1"/>
  <c r="P5" i="49"/>
  <c r="P5" i="63" s="1"/>
  <c r="P77" i="63" s="1"/>
  <c r="T78" i="47"/>
  <c r="T76" i="50"/>
  <c r="T76" i="49"/>
  <c r="T76" i="48"/>
  <c r="S78" i="48"/>
  <c r="R78" i="48"/>
  <c r="T52" i="53"/>
  <c r="P71" i="49"/>
  <c r="P71" i="63" s="1"/>
  <c r="P143" i="63" s="1"/>
  <c r="P50" i="49"/>
  <c r="P50" i="63" s="1"/>
  <c r="P122" i="63" s="1"/>
  <c r="P51" i="49"/>
  <c r="P51" i="63" s="1"/>
  <c r="P123" i="63" s="1"/>
  <c r="L24" i="53"/>
  <c r="L31" i="53"/>
  <c r="AA55" i="54"/>
  <c r="AA55" i="53"/>
  <c r="AA55" i="52"/>
  <c r="AA55" i="51"/>
  <c r="AM76" i="47"/>
  <c r="AM74" i="50"/>
  <c r="AM74" i="48"/>
  <c r="AM74" i="49" s="1"/>
  <c r="P73" i="50"/>
  <c r="L29" i="53"/>
  <c r="L37" i="53"/>
  <c r="P54" i="54"/>
  <c r="P54" i="53"/>
  <c r="P54" i="52"/>
  <c r="P54" i="51"/>
  <c r="L8" i="53"/>
  <c r="L27" i="53"/>
  <c r="L35" i="53"/>
  <c r="T77" i="47"/>
  <c r="T75" i="50"/>
  <c r="T75" i="49"/>
  <c r="T75" i="48"/>
  <c r="R73" i="50"/>
  <c r="O52" i="53"/>
  <c r="L11" i="53"/>
  <c r="L33" i="53"/>
  <c r="L26" i="53"/>
  <c r="F29" i="5"/>
  <c r="P16" i="53" l="1"/>
  <c r="AC49" i="49"/>
  <c r="P46" i="52"/>
  <c r="L46" i="54"/>
  <c r="U11" i="53"/>
  <c r="V11" i="53" s="1"/>
  <c r="U11" i="54"/>
  <c r="V11" i="54" s="1"/>
  <c r="V11" i="52"/>
  <c r="M25" i="53"/>
  <c r="M25" i="54"/>
  <c r="Y44" i="54"/>
  <c r="Z44" i="54" s="1"/>
  <c r="Z44" i="52"/>
  <c r="Y44" i="53"/>
  <c r="Z44" i="53" s="1"/>
  <c r="P16" i="52"/>
  <c r="L16" i="54"/>
  <c r="P41" i="52"/>
  <c r="L41" i="54"/>
  <c r="P41" i="54" s="1"/>
  <c r="P33" i="52"/>
  <c r="AA33" i="52" s="1"/>
  <c r="L33" i="54"/>
  <c r="O15" i="64"/>
  <c r="O66" i="64" s="1"/>
  <c r="S14" i="64"/>
  <c r="S65" i="64" s="1"/>
  <c r="R34" i="53"/>
  <c r="P34" i="64"/>
  <c r="P85" i="64" s="1"/>
  <c r="U21" i="53"/>
  <c r="U21" i="54"/>
  <c r="V21" i="54" s="1"/>
  <c r="V21" i="52"/>
  <c r="V43" i="52"/>
  <c r="U43" i="54"/>
  <c r="V43" i="54" s="1"/>
  <c r="U43" i="53"/>
  <c r="V43" i="53" s="1"/>
  <c r="U23" i="54"/>
  <c r="V23" i="54" s="1"/>
  <c r="U23" i="53"/>
  <c r="V23" i="53" s="1"/>
  <c r="V23" i="52"/>
  <c r="R31" i="53"/>
  <c r="P31" i="64"/>
  <c r="P82" i="64" s="1"/>
  <c r="M10" i="53"/>
  <c r="M10" i="54"/>
  <c r="M40" i="53"/>
  <c r="M40" i="54"/>
  <c r="M18" i="53"/>
  <c r="M18" i="54"/>
  <c r="N23" i="53"/>
  <c r="N23" i="64" s="1"/>
  <c r="N74" i="64" s="1"/>
  <c r="N23" i="54"/>
  <c r="N33" i="53"/>
  <c r="N33" i="64" s="1"/>
  <c r="N84" i="64" s="1"/>
  <c r="N33" i="54"/>
  <c r="N13" i="53"/>
  <c r="N13" i="54"/>
  <c r="N13" i="64" s="1"/>
  <c r="N64" i="64" s="1"/>
  <c r="N6" i="54"/>
  <c r="N6" i="53"/>
  <c r="N6" i="64"/>
  <c r="N57" i="64" s="1"/>
  <c r="Z42" i="52"/>
  <c r="Y42" i="54"/>
  <c r="Z42" i="54" s="1"/>
  <c r="Y42" i="53"/>
  <c r="Y20" i="54"/>
  <c r="Z20" i="54" s="1"/>
  <c r="Z20" i="52"/>
  <c r="Y20" i="53"/>
  <c r="Y5" i="53"/>
  <c r="Z5" i="52"/>
  <c r="Y52" i="52"/>
  <c r="Y5" i="54"/>
  <c r="V15" i="53"/>
  <c r="Q15" i="64"/>
  <c r="Q66" i="64" s="1"/>
  <c r="P50" i="52"/>
  <c r="L50" i="54"/>
  <c r="P50" i="54" s="1"/>
  <c r="M31" i="53"/>
  <c r="M31" i="54"/>
  <c r="O52" i="54"/>
  <c r="AC13" i="49"/>
  <c r="W52" i="49"/>
  <c r="AI26" i="49"/>
  <c r="AE26" i="63" s="1"/>
  <c r="AE98" i="63" s="1"/>
  <c r="U52" i="49"/>
  <c r="S8" i="64"/>
  <c r="S59" i="64" s="1"/>
  <c r="R21" i="53"/>
  <c r="P21" i="64"/>
  <c r="P72" i="64" s="1"/>
  <c r="P48" i="52"/>
  <c r="L48" i="54"/>
  <c r="P40" i="52"/>
  <c r="L40" i="54"/>
  <c r="P27" i="52"/>
  <c r="L27" i="54"/>
  <c r="O7" i="64"/>
  <c r="O58" i="64" s="1"/>
  <c r="P23" i="64"/>
  <c r="P74" i="64" s="1"/>
  <c r="V14" i="54"/>
  <c r="AA14" i="54" s="1"/>
  <c r="Q12" i="64"/>
  <c r="Q63" i="64" s="1"/>
  <c r="R22" i="53"/>
  <c r="P22" i="64"/>
  <c r="P73" i="64" s="1"/>
  <c r="V41" i="52"/>
  <c r="U41" i="53"/>
  <c r="U41" i="54"/>
  <c r="V41" i="54" s="1"/>
  <c r="U24" i="53"/>
  <c r="U24" i="54"/>
  <c r="V24" i="54" s="1"/>
  <c r="V24" i="52"/>
  <c r="U16" i="53"/>
  <c r="V16" i="52"/>
  <c r="U16" i="54"/>
  <c r="V16" i="54" s="1"/>
  <c r="P12" i="49"/>
  <c r="P12" i="63" s="1"/>
  <c r="P84" i="63" s="1"/>
  <c r="P14" i="49"/>
  <c r="P14" i="63" s="1"/>
  <c r="P86" i="63" s="1"/>
  <c r="F7" i="65" s="1"/>
  <c r="F13" i="65" s="1"/>
  <c r="P41" i="49"/>
  <c r="P59" i="49"/>
  <c r="P59" i="63" s="1"/>
  <c r="P131" i="63" s="1"/>
  <c r="P52" i="49"/>
  <c r="P52" i="63" s="1"/>
  <c r="P124" i="63" s="1"/>
  <c r="P43" i="49"/>
  <c r="P64" i="49"/>
  <c r="P64" i="63" s="1"/>
  <c r="P136" i="63" s="1"/>
  <c r="P40" i="49"/>
  <c r="P40" i="63" s="1"/>
  <c r="P112" i="63" s="1"/>
  <c r="P46" i="49"/>
  <c r="P31" i="49"/>
  <c r="P31" i="63" s="1"/>
  <c r="P103" i="63" s="1"/>
  <c r="P34" i="49"/>
  <c r="P34" i="63" s="1"/>
  <c r="P106" i="63" s="1"/>
  <c r="P23" i="49"/>
  <c r="P23" i="63" s="1"/>
  <c r="P95" i="63" s="1"/>
  <c r="P13" i="49"/>
  <c r="P13" i="63" s="1"/>
  <c r="P85" i="63" s="1"/>
  <c r="P42" i="49"/>
  <c r="P63" i="49"/>
  <c r="P63" i="63" s="1"/>
  <c r="P135" i="63" s="1"/>
  <c r="P69" i="49"/>
  <c r="P69" i="63" s="1"/>
  <c r="P141" i="63" s="1"/>
  <c r="P45" i="49"/>
  <c r="P45" i="63" s="1"/>
  <c r="P117" i="63" s="1"/>
  <c r="P68" i="49"/>
  <c r="P68" i="63" s="1"/>
  <c r="P140" i="63" s="1"/>
  <c r="P33" i="49"/>
  <c r="P33" i="63" s="1"/>
  <c r="P105" i="63" s="1"/>
  <c r="P66" i="49"/>
  <c r="P66" i="63" s="1"/>
  <c r="P138" i="63" s="1"/>
  <c r="P48" i="49"/>
  <c r="P19" i="49"/>
  <c r="P19" i="63" s="1"/>
  <c r="P91" i="63" s="1"/>
  <c r="M34" i="53"/>
  <c r="M34" i="54"/>
  <c r="M38" i="53"/>
  <c r="M38" i="54"/>
  <c r="M33" i="53"/>
  <c r="M33" i="54"/>
  <c r="M43" i="54"/>
  <c r="M43" i="53"/>
  <c r="R36" i="53"/>
  <c r="P36" i="64"/>
  <c r="P87" i="64" s="1"/>
  <c r="N35" i="53"/>
  <c r="N35" i="64" s="1"/>
  <c r="N86" i="64" s="1"/>
  <c r="N35" i="54"/>
  <c r="N24" i="53"/>
  <c r="N24" i="54"/>
  <c r="N24" i="64"/>
  <c r="N75" i="64" s="1"/>
  <c r="N48" i="53"/>
  <c r="N48" i="54"/>
  <c r="N48" i="64"/>
  <c r="N99" i="64" s="1"/>
  <c r="N27" i="53"/>
  <c r="N27" i="54"/>
  <c r="N27" i="64"/>
  <c r="N78" i="64" s="1"/>
  <c r="Y11" i="53"/>
  <c r="Y11" i="54"/>
  <c r="Z11" i="54" s="1"/>
  <c r="Z11" i="52"/>
  <c r="Z19" i="52"/>
  <c r="Y19" i="53"/>
  <c r="Y19" i="54"/>
  <c r="Z19" i="54" s="1"/>
  <c r="Y27" i="53"/>
  <c r="Z27" i="52"/>
  <c r="Y27" i="54"/>
  <c r="Z27" i="54" s="1"/>
  <c r="P28" i="64"/>
  <c r="P79" i="64" s="1"/>
  <c r="R28" i="53"/>
  <c r="Y30" i="54"/>
  <c r="Z30" i="54" s="1"/>
  <c r="Y30" i="53"/>
  <c r="Z30" i="53" s="1"/>
  <c r="Z30" i="52"/>
  <c r="AH24" i="49"/>
  <c r="AH23" i="49"/>
  <c r="P46" i="64"/>
  <c r="P97" i="64" s="1"/>
  <c r="R46" i="53"/>
  <c r="R27" i="53"/>
  <c r="P27" i="64"/>
  <c r="P78" i="64" s="1"/>
  <c r="R50" i="53"/>
  <c r="P50" i="64"/>
  <c r="P101" i="64" s="1"/>
  <c r="O14" i="64"/>
  <c r="O65" i="64" s="1"/>
  <c r="P30" i="52"/>
  <c r="AA30" i="52" s="1"/>
  <c r="L30" i="54"/>
  <c r="P18" i="52"/>
  <c r="L18" i="54"/>
  <c r="L22" i="54"/>
  <c r="P22" i="54" s="1"/>
  <c r="P22" i="52"/>
  <c r="AA22" i="52" s="1"/>
  <c r="W22" i="54" s="1"/>
  <c r="R49" i="53"/>
  <c r="P49" i="64"/>
  <c r="P100" i="64" s="1"/>
  <c r="R44" i="53"/>
  <c r="P44" i="64"/>
  <c r="P95" i="64" s="1"/>
  <c r="Q14" i="64"/>
  <c r="Q65" i="64" s="1"/>
  <c r="V14" i="53"/>
  <c r="R13" i="53"/>
  <c r="P13" i="64"/>
  <c r="P64" i="64" s="1"/>
  <c r="Z8" i="53"/>
  <c r="U8" i="64"/>
  <c r="U59" i="64" s="1"/>
  <c r="V22" i="52"/>
  <c r="U22" i="53"/>
  <c r="U22" i="54"/>
  <c r="V22" i="54" s="1"/>
  <c r="U27" i="53"/>
  <c r="V27" i="52"/>
  <c r="U27" i="54"/>
  <c r="V27" i="54" s="1"/>
  <c r="U47" i="53"/>
  <c r="U47" i="54"/>
  <c r="V47" i="54" s="1"/>
  <c r="V47" i="52"/>
  <c r="M45" i="53"/>
  <c r="M45" i="54"/>
  <c r="M49" i="53"/>
  <c r="M49" i="54"/>
  <c r="M42" i="54"/>
  <c r="M42" i="53"/>
  <c r="M50" i="54"/>
  <c r="M50" i="53"/>
  <c r="M50" i="64" s="1"/>
  <c r="M101" i="64" s="1"/>
  <c r="N10" i="53"/>
  <c r="N10" i="54"/>
  <c r="N10" i="64"/>
  <c r="N61" i="64" s="1"/>
  <c r="N44" i="53"/>
  <c r="N44" i="64" s="1"/>
  <c r="N95" i="64" s="1"/>
  <c r="N44" i="54"/>
  <c r="N50" i="53"/>
  <c r="N50" i="54"/>
  <c r="N50" i="64"/>
  <c r="N101" i="64" s="1"/>
  <c r="N38" i="53"/>
  <c r="N38" i="54"/>
  <c r="N38" i="64"/>
  <c r="N89" i="64" s="1"/>
  <c r="Y21" i="53"/>
  <c r="Z21" i="52"/>
  <c r="Y21" i="54"/>
  <c r="Z21" i="54" s="1"/>
  <c r="Y32" i="54"/>
  <c r="Z32" i="54" s="1"/>
  <c r="Z32" i="52"/>
  <c r="Y32" i="53"/>
  <c r="Y45" i="54"/>
  <c r="Z45" i="54" s="1"/>
  <c r="Y45" i="53"/>
  <c r="Z45" i="52"/>
  <c r="N41" i="53"/>
  <c r="N41" i="54"/>
  <c r="N41" i="64"/>
  <c r="N92" i="64" s="1"/>
  <c r="AH37" i="49"/>
  <c r="AD37" i="63" s="1"/>
  <c r="AD109" i="63" s="1"/>
  <c r="AH8" i="49"/>
  <c r="AC57" i="49"/>
  <c r="Z12" i="53"/>
  <c r="U12" i="64"/>
  <c r="U63" i="64" s="1"/>
  <c r="P5" i="52"/>
  <c r="L5" i="54"/>
  <c r="L52" i="52"/>
  <c r="P25" i="52"/>
  <c r="L25" i="53"/>
  <c r="L25" i="54"/>
  <c r="L44" i="54"/>
  <c r="P44" i="52"/>
  <c r="V25" i="52"/>
  <c r="U25" i="53"/>
  <c r="U25" i="54"/>
  <c r="V25" i="54" s="1"/>
  <c r="V29" i="52"/>
  <c r="U29" i="53"/>
  <c r="U29" i="54"/>
  <c r="V29" i="54" s="1"/>
  <c r="U30" i="53"/>
  <c r="U30" i="54"/>
  <c r="V30" i="54" s="1"/>
  <c r="M27" i="53"/>
  <c r="M27" i="64" s="1"/>
  <c r="M78" i="64" s="1"/>
  <c r="M27" i="54"/>
  <c r="M13" i="53"/>
  <c r="M13" i="54"/>
  <c r="M22" i="54"/>
  <c r="M22" i="53"/>
  <c r="M26" i="54"/>
  <c r="M26" i="53"/>
  <c r="M26" i="64" s="1"/>
  <c r="M77" i="64" s="1"/>
  <c r="N42" i="53"/>
  <c r="N42" i="54"/>
  <c r="N25" i="53"/>
  <c r="N25" i="54"/>
  <c r="N25" i="64"/>
  <c r="N76" i="64" s="1"/>
  <c r="N22" i="53"/>
  <c r="N22" i="54"/>
  <c r="N22" i="64"/>
  <c r="N73" i="64" s="1"/>
  <c r="N11" i="53"/>
  <c r="N11" i="64" s="1"/>
  <c r="N62" i="64" s="1"/>
  <c r="N11" i="54"/>
  <c r="Y23" i="53"/>
  <c r="Z23" i="52"/>
  <c r="Y23" i="54"/>
  <c r="Z23" i="54" s="1"/>
  <c r="Z22" i="52"/>
  <c r="Y22" i="53"/>
  <c r="Y22" i="54"/>
  <c r="Z22" i="54" s="1"/>
  <c r="Z16" i="52"/>
  <c r="Y16" i="54"/>
  <c r="Z16" i="54" s="1"/>
  <c r="Y16" i="53"/>
  <c r="R45" i="53"/>
  <c r="P45" i="64"/>
  <c r="P96" i="64" s="1"/>
  <c r="N39" i="53"/>
  <c r="N39" i="54"/>
  <c r="N39" i="64"/>
  <c r="N90" i="64" s="1"/>
  <c r="H9" i="66"/>
  <c r="H15" i="66" s="1"/>
  <c r="AC55" i="49"/>
  <c r="X38" i="49"/>
  <c r="AI58" i="49"/>
  <c r="AE58" i="63" s="1"/>
  <c r="AE130" i="63" s="1"/>
  <c r="U55" i="49"/>
  <c r="T55" i="63" s="1"/>
  <c r="T127" i="63" s="1"/>
  <c r="P21" i="52"/>
  <c r="AA21" i="52" s="1"/>
  <c r="W21" i="54" s="1"/>
  <c r="X21" i="54" s="1"/>
  <c r="AA21" i="54" s="1"/>
  <c r="L21" i="54"/>
  <c r="P21" i="54" s="1"/>
  <c r="P42" i="52"/>
  <c r="AA42" i="52" s="1"/>
  <c r="W42" i="54" s="1"/>
  <c r="L42" i="54"/>
  <c r="P34" i="52"/>
  <c r="L34" i="53"/>
  <c r="L34" i="54"/>
  <c r="P34" i="54" s="1"/>
  <c r="L13" i="54"/>
  <c r="P13" i="54" s="1"/>
  <c r="P13" i="52"/>
  <c r="R26" i="53"/>
  <c r="P26" i="64"/>
  <c r="P77" i="64" s="1"/>
  <c r="M12" i="64"/>
  <c r="M63" i="64" s="1"/>
  <c r="R5" i="54"/>
  <c r="R52" i="54" s="1"/>
  <c r="Q52" i="54"/>
  <c r="R9" i="64"/>
  <c r="R60" i="64" s="1"/>
  <c r="H11" i="66" s="1"/>
  <c r="R30" i="53"/>
  <c r="P30" i="64"/>
  <c r="P81" i="64" s="1"/>
  <c r="U20" i="53"/>
  <c r="V20" i="52"/>
  <c r="U20" i="54"/>
  <c r="V20" i="54" s="1"/>
  <c r="U52" i="52"/>
  <c r="V5" i="52"/>
  <c r="U5" i="53"/>
  <c r="U5" i="54"/>
  <c r="U35" i="54"/>
  <c r="V35" i="54" s="1"/>
  <c r="U35" i="53"/>
  <c r="V35" i="52"/>
  <c r="M21" i="53"/>
  <c r="M21" i="54"/>
  <c r="M17" i="53"/>
  <c r="M17" i="54"/>
  <c r="M32" i="54"/>
  <c r="M32" i="53"/>
  <c r="M19" i="54"/>
  <c r="M19" i="53"/>
  <c r="M19" i="64" s="1"/>
  <c r="M70" i="64" s="1"/>
  <c r="R43" i="53"/>
  <c r="P43" i="64"/>
  <c r="P94" i="64" s="1"/>
  <c r="N49" i="53"/>
  <c r="N49" i="64" s="1"/>
  <c r="N100" i="64" s="1"/>
  <c r="N49" i="54"/>
  <c r="N17" i="54"/>
  <c r="N17" i="53"/>
  <c r="N17" i="64"/>
  <c r="N68" i="64" s="1"/>
  <c r="N21" i="53"/>
  <c r="N21" i="64" s="1"/>
  <c r="N72" i="64" s="1"/>
  <c r="N21" i="54"/>
  <c r="Z26" i="52"/>
  <c r="Y26" i="54"/>
  <c r="Z26" i="54" s="1"/>
  <c r="Y26" i="53"/>
  <c r="Y36" i="54"/>
  <c r="Z36" i="54" s="1"/>
  <c r="Z36" i="52"/>
  <c r="Y36" i="53"/>
  <c r="Z50" i="52"/>
  <c r="Y50" i="53"/>
  <c r="Y50" i="54"/>
  <c r="Z50" i="54" s="1"/>
  <c r="S11" i="64"/>
  <c r="S62" i="64" s="1"/>
  <c r="M25" i="64"/>
  <c r="M76" i="64" s="1"/>
  <c r="AH59" i="49"/>
  <c r="AD59" i="63" s="1"/>
  <c r="AD131" i="63" s="1"/>
  <c r="Y21" i="50"/>
  <c r="AH66" i="49"/>
  <c r="R25" i="53"/>
  <c r="P25" i="64"/>
  <c r="P76" i="64" s="1"/>
  <c r="R18" i="53"/>
  <c r="P18" i="64"/>
  <c r="P69" i="64" s="1"/>
  <c r="L47" i="54"/>
  <c r="P47" i="54" s="1"/>
  <c r="P47" i="52"/>
  <c r="AA47" i="52" s="1"/>
  <c r="L47" i="53"/>
  <c r="P32" i="52"/>
  <c r="L32" i="54"/>
  <c r="P23" i="52"/>
  <c r="L23" i="54"/>
  <c r="P38" i="52"/>
  <c r="AA38" i="52" s="1"/>
  <c r="L38" i="54"/>
  <c r="P5" i="64"/>
  <c r="P56" i="64" s="1"/>
  <c r="R5" i="53"/>
  <c r="Q52" i="53"/>
  <c r="R24" i="53"/>
  <c r="P24" i="64"/>
  <c r="P75" i="64" s="1"/>
  <c r="S9" i="64"/>
  <c r="S60" i="64" s="1"/>
  <c r="R16" i="53"/>
  <c r="P16" i="64"/>
  <c r="P67" i="64" s="1"/>
  <c r="N7" i="64"/>
  <c r="N58" i="64" s="1"/>
  <c r="U50" i="53"/>
  <c r="V50" i="52"/>
  <c r="U50" i="54"/>
  <c r="V50" i="54" s="1"/>
  <c r="V38" i="52"/>
  <c r="U38" i="53"/>
  <c r="U38" i="54"/>
  <c r="V38" i="54" s="1"/>
  <c r="U10" i="53"/>
  <c r="V10" i="52"/>
  <c r="U10" i="54"/>
  <c r="V10" i="54" s="1"/>
  <c r="R40" i="53"/>
  <c r="P40" i="64"/>
  <c r="P91" i="64" s="1"/>
  <c r="M36" i="53"/>
  <c r="M36" i="54"/>
  <c r="M23" i="53"/>
  <c r="M23" i="64" s="1"/>
  <c r="M74" i="64" s="1"/>
  <c r="M23" i="54"/>
  <c r="M44" i="53"/>
  <c r="M44" i="54"/>
  <c r="N16" i="53"/>
  <c r="N16" i="54"/>
  <c r="N16" i="64"/>
  <c r="N67" i="64" s="1"/>
  <c r="N34" i="53"/>
  <c r="N34" i="54"/>
  <c r="N34" i="64"/>
  <c r="N85" i="64" s="1"/>
  <c r="N52" i="52"/>
  <c r="N5" i="53"/>
  <c r="N5" i="54"/>
  <c r="N5" i="64" s="1"/>
  <c r="N56" i="64" s="1"/>
  <c r="Z18" i="52"/>
  <c r="Y18" i="53"/>
  <c r="Y18" i="54"/>
  <c r="Z18" i="54" s="1"/>
  <c r="Z43" i="52"/>
  <c r="Y43" i="53"/>
  <c r="Y43" i="54"/>
  <c r="Z43" i="54" s="1"/>
  <c r="Y29" i="54"/>
  <c r="Z29" i="54" s="1"/>
  <c r="Y29" i="53"/>
  <c r="Z29" i="52"/>
  <c r="E9" i="66"/>
  <c r="L46" i="64"/>
  <c r="L97" i="64" s="1"/>
  <c r="R6" i="53"/>
  <c r="P6" i="64"/>
  <c r="P57" i="64" s="1"/>
  <c r="Q7" i="64"/>
  <c r="Q58" i="64" s="1"/>
  <c r="V7" i="53"/>
  <c r="S52" i="54"/>
  <c r="L40" i="64"/>
  <c r="L91" i="64" s="1"/>
  <c r="M18" i="64"/>
  <c r="M69" i="64" s="1"/>
  <c r="L44" i="64"/>
  <c r="L95" i="64" s="1"/>
  <c r="Y42" i="50"/>
  <c r="AH9" i="49"/>
  <c r="AD9" i="63" s="1"/>
  <c r="AD81" i="63" s="1"/>
  <c r="AH43" i="49"/>
  <c r="AH6" i="49"/>
  <c r="L6" i="54"/>
  <c r="P6" i="52"/>
  <c r="P45" i="52"/>
  <c r="L45" i="54"/>
  <c r="P19" i="52"/>
  <c r="AA19" i="52" s="1"/>
  <c r="L19" i="53"/>
  <c r="L19" i="54"/>
  <c r="P28" i="52"/>
  <c r="L28" i="53"/>
  <c r="L28" i="54"/>
  <c r="Z7" i="53"/>
  <c r="U7" i="64"/>
  <c r="U58" i="64" s="1"/>
  <c r="R52" i="52"/>
  <c r="O9" i="64"/>
  <c r="O60" i="64" s="1"/>
  <c r="R38" i="53"/>
  <c r="P38" i="64"/>
  <c r="P89" i="64" s="1"/>
  <c r="V46" i="52"/>
  <c r="U46" i="53"/>
  <c r="U46" i="54"/>
  <c r="V46" i="54" s="1"/>
  <c r="V13" i="52"/>
  <c r="U13" i="53"/>
  <c r="U13" i="54"/>
  <c r="V13" i="54" s="1"/>
  <c r="U40" i="53"/>
  <c r="V40" i="52"/>
  <c r="U40" i="54"/>
  <c r="V40" i="54" s="1"/>
  <c r="U42" i="54"/>
  <c r="V42" i="54" s="1"/>
  <c r="U42" i="53"/>
  <c r="V42" i="52"/>
  <c r="M29" i="53"/>
  <c r="M29" i="54"/>
  <c r="M46" i="53"/>
  <c r="M46" i="54"/>
  <c r="M37" i="54"/>
  <c r="M37" i="53"/>
  <c r="Z14" i="53"/>
  <c r="U14" i="64"/>
  <c r="U65" i="64" s="1"/>
  <c r="P7" i="53"/>
  <c r="AA7" i="53" s="1"/>
  <c r="N20" i="53"/>
  <c r="N20" i="64" s="1"/>
  <c r="N71" i="64" s="1"/>
  <c r="N20" i="54"/>
  <c r="N30" i="53"/>
  <c r="N30" i="64" s="1"/>
  <c r="N81" i="64" s="1"/>
  <c r="N30" i="54"/>
  <c r="N37" i="53"/>
  <c r="N37" i="64" s="1"/>
  <c r="N88" i="64" s="1"/>
  <c r="N37" i="54"/>
  <c r="P48" i="64"/>
  <c r="P99" i="64" s="1"/>
  <c r="Y49" i="54"/>
  <c r="Z49" i="54" s="1"/>
  <c r="Y49" i="53"/>
  <c r="Z49" i="52"/>
  <c r="Y37" i="54"/>
  <c r="Z37" i="54" s="1"/>
  <c r="Y37" i="53"/>
  <c r="Z37" i="52"/>
  <c r="Y13" i="53"/>
  <c r="Z13" i="52"/>
  <c r="Y13" i="54"/>
  <c r="Z13" i="54" s="1"/>
  <c r="Z6" i="52"/>
  <c r="Y6" i="53"/>
  <c r="Y6" i="54"/>
  <c r="Z6" i="54" s="1"/>
  <c r="L18" i="64"/>
  <c r="L69" i="64" s="1"/>
  <c r="AH19" i="49"/>
  <c r="AE42" i="63"/>
  <c r="AE114" i="63" s="1"/>
  <c r="R20" i="53"/>
  <c r="P20" i="64"/>
  <c r="P71" i="64" s="1"/>
  <c r="V9" i="53"/>
  <c r="AA9" i="53" s="1"/>
  <c r="Q9" i="64"/>
  <c r="Q60" i="64" s="1"/>
  <c r="R39" i="53"/>
  <c r="P39" i="64"/>
  <c r="P90" i="64" s="1"/>
  <c r="L37" i="54"/>
  <c r="P37" i="54" s="1"/>
  <c r="P37" i="52"/>
  <c r="P10" i="52"/>
  <c r="L10" i="54"/>
  <c r="P10" i="54" s="1"/>
  <c r="L10" i="53"/>
  <c r="P24" i="52"/>
  <c r="L24" i="54"/>
  <c r="P17" i="52"/>
  <c r="L17" i="54"/>
  <c r="P17" i="54" s="1"/>
  <c r="U45" i="54"/>
  <c r="V45" i="54" s="1"/>
  <c r="V45" i="52"/>
  <c r="U45" i="53"/>
  <c r="V48" i="52"/>
  <c r="U48" i="53"/>
  <c r="U48" i="54"/>
  <c r="V48" i="54" s="1"/>
  <c r="V6" i="52"/>
  <c r="U6" i="53"/>
  <c r="U6" i="54"/>
  <c r="V6" i="54" s="1"/>
  <c r="U28" i="54"/>
  <c r="V28" i="54" s="1"/>
  <c r="V28" i="52"/>
  <c r="U28" i="53"/>
  <c r="M41" i="53"/>
  <c r="M41" i="64" s="1"/>
  <c r="M92" i="64" s="1"/>
  <c r="M41" i="54"/>
  <c r="M6" i="53"/>
  <c r="P6" i="53" s="1"/>
  <c r="M6" i="54"/>
  <c r="M47" i="53"/>
  <c r="M47" i="54"/>
  <c r="P15" i="53"/>
  <c r="AA15" i="53" s="1"/>
  <c r="N19" i="53"/>
  <c r="N19" i="64" s="1"/>
  <c r="N70" i="64" s="1"/>
  <c r="N19" i="54"/>
  <c r="N47" i="53"/>
  <c r="N47" i="54"/>
  <c r="N47" i="64"/>
  <c r="N98" i="64" s="1"/>
  <c r="N36" i="53"/>
  <c r="N36" i="64" s="1"/>
  <c r="N87" i="64" s="1"/>
  <c r="N36" i="54"/>
  <c r="Y33" i="53"/>
  <c r="Y33" i="54"/>
  <c r="Z33" i="54" s="1"/>
  <c r="Z33" i="52"/>
  <c r="Z47" i="52"/>
  <c r="Y47" i="54"/>
  <c r="Z47" i="54" s="1"/>
  <c r="Y47" i="53"/>
  <c r="Y35" i="53"/>
  <c r="Z35" i="52"/>
  <c r="Y35" i="54"/>
  <c r="Z35" i="54" s="1"/>
  <c r="Y34" i="53"/>
  <c r="Z34" i="52"/>
  <c r="Y34" i="54"/>
  <c r="Z34" i="54" s="1"/>
  <c r="L23" i="64"/>
  <c r="L74" i="64" s="1"/>
  <c r="AA12" i="54"/>
  <c r="U31" i="53"/>
  <c r="U31" i="54"/>
  <c r="V31" i="54" s="1"/>
  <c r="V37" i="52"/>
  <c r="U37" i="53"/>
  <c r="V37" i="53" s="1"/>
  <c r="U37" i="54"/>
  <c r="V37" i="54" s="1"/>
  <c r="M16" i="54"/>
  <c r="M16" i="53"/>
  <c r="M16" i="64" s="1"/>
  <c r="M67" i="64" s="1"/>
  <c r="L50" i="53"/>
  <c r="M10" i="64"/>
  <c r="M61" i="64" s="1"/>
  <c r="AH15" i="49"/>
  <c r="AI40" i="49"/>
  <c r="U30" i="49"/>
  <c r="V9" i="54"/>
  <c r="AA9" i="54" s="1"/>
  <c r="R17" i="53"/>
  <c r="P17" i="64"/>
  <c r="P68" i="64" s="1"/>
  <c r="P31" i="52"/>
  <c r="L31" i="54"/>
  <c r="P31" i="54" s="1"/>
  <c r="P26" i="52"/>
  <c r="AA26" i="52" s="1"/>
  <c r="W26" i="54" s="1"/>
  <c r="L26" i="54"/>
  <c r="P36" i="52"/>
  <c r="AA36" i="52" s="1"/>
  <c r="W36" i="54" s="1"/>
  <c r="L36" i="53"/>
  <c r="L36" i="54"/>
  <c r="P36" i="54" s="1"/>
  <c r="R32" i="53"/>
  <c r="P32" i="64"/>
  <c r="P83" i="64" s="1"/>
  <c r="R37" i="53"/>
  <c r="P37" i="64"/>
  <c r="P88" i="64" s="1"/>
  <c r="R33" i="53"/>
  <c r="P33" i="64"/>
  <c r="P84" i="64" s="1"/>
  <c r="M7" i="64"/>
  <c r="M58" i="64" s="1"/>
  <c r="R10" i="53"/>
  <c r="P10" i="64"/>
  <c r="P61" i="64" s="1"/>
  <c r="U19" i="53"/>
  <c r="V19" i="52"/>
  <c r="U19" i="54"/>
  <c r="V19" i="54" s="1"/>
  <c r="U34" i="53"/>
  <c r="U34" i="54"/>
  <c r="V34" i="54" s="1"/>
  <c r="V34" i="52"/>
  <c r="V17" i="52"/>
  <c r="U17" i="53"/>
  <c r="U17" i="54"/>
  <c r="V17" i="54" s="1"/>
  <c r="V26" i="52"/>
  <c r="U26" i="54"/>
  <c r="V26" i="54" s="1"/>
  <c r="U26" i="53"/>
  <c r="R35" i="53"/>
  <c r="P35" i="64"/>
  <c r="P86" i="64" s="1"/>
  <c r="M35" i="53"/>
  <c r="M35" i="54"/>
  <c r="M39" i="53"/>
  <c r="M39" i="64" s="1"/>
  <c r="M90" i="64" s="1"/>
  <c r="M39" i="54"/>
  <c r="M24" i="54"/>
  <c r="M24" i="53"/>
  <c r="M24" i="64" s="1"/>
  <c r="M75" i="64" s="1"/>
  <c r="P14" i="53"/>
  <c r="AA14" i="53" s="1"/>
  <c r="N26" i="53"/>
  <c r="N26" i="64" s="1"/>
  <c r="N77" i="64" s="1"/>
  <c r="N26" i="54"/>
  <c r="N29" i="53"/>
  <c r="N29" i="64" s="1"/>
  <c r="N80" i="64" s="1"/>
  <c r="N29" i="54"/>
  <c r="N32" i="53"/>
  <c r="N32" i="54"/>
  <c r="N32" i="64" s="1"/>
  <c r="N83" i="64" s="1"/>
  <c r="Y25" i="53"/>
  <c r="Z25" i="52"/>
  <c r="Y25" i="54"/>
  <c r="Z25" i="54" s="1"/>
  <c r="Y41" i="54"/>
  <c r="Z41" i="54" s="1"/>
  <c r="Y41" i="53"/>
  <c r="Z41" i="52"/>
  <c r="Z46" i="52"/>
  <c r="Y46" i="53"/>
  <c r="Y46" i="54"/>
  <c r="Z46" i="54" s="1"/>
  <c r="Z40" i="52"/>
  <c r="Y40" i="53"/>
  <c r="Y40" i="54"/>
  <c r="Z40" i="54" s="1"/>
  <c r="Z31" i="52"/>
  <c r="Y31" i="53"/>
  <c r="Z31" i="53" s="1"/>
  <c r="Y31" i="54"/>
  <c r="Z31" i="54" s="1"/>
  <c r="P22" i="53"/>
  <c r="L13" i="64"/>
  <c r="L64" i="64" s="1"/>
  <c r="U44" i="64"/>
  <c r="U95" i="64" s="1"/>
  <c r="L30" i="64"/>
  <c r="L81" i="64" s="1"/>
  <c r="U5" i="64"/>
  <c r="U56" i="64" s="1"/>
  <c r="AC25" i="49"/>
  <c r="W7" i="49"/>
  <c r="AH33" i="49"/>
  <c r="AD33" i="63" s="1"/>
  <c r="AD105" i="63" s="1"/>
  <c r="AC7" i="49"/>
  <c r="W69" i="49"/>
  <c r="V69" i="63" s="1"/>
  <c r="V141" i="63" s="1"/>
  <c r="AH32" i="49"/>
  <c r="U34" i="49"/>
  <c r="P11" i="52"/>
  <c r="AA11" i="52" s="1"/>
  <c r="L11" i="54"/>
  <c r="P35" i="52"/>
  <c r="AA35" i="52" s="1"/>
  <c r="L35" i="54"/>
  <c r="P35" i="54" s="1"/>
  <c r="P49" i="52"/>
  <c r="L49" i="54"/>
  <c r="S7" i="64"/>
  <c r="S58" i="64" s="1"/>
  <c r="M8" i="64"/>
  <c r="M59" i="64" s="1"/>
  <c r="R29" i="53"/>
  <c r="P29" i="64"/>
  <c r="P80" i="64" s="1"/>
  <c r="V8" i="54"/>
  <c r="AA8" i="54" s="1"/>
  <c r="U44" i="54"/>
  <c r="V44" i="54" s="1"/>
  <c r="V44" i="52"/>
  <c r="U44" i="53"/>
  <c r="U32" i="53"/>
  <c r="V32" i="52"/>
  <c r="U32" i="54"/>
  <c r="V32" i="54" s="1"/>
  <c r="U33" i="53"/>
  <c r="U33" i="54"/>
  <c r="V33" i="54" s="1"/>
  <c r="V33" i="52"/>
  <c r="U18" i="54"/>
  <c r="V18" i="54" s="1"/>
  <c r="U18" i="53"/>
  <c r="M5" i="53"/>
  <c r="M5" i="54"/>
  <c r="M52" i="52"/>
  <c r="M48" i="53"/>
  <c r="P48" i="53" s="1"/>
  <c r="M48" i="54"/>
  <c r="M28" i="53"/>
  <c r="M28" i="64" s="1"/>
  <c r="M79" i="64" s="1"/>
  <c r="M28" i="54"/>
  <c r="P12" i="53"/>
  <c r="N28" i="54"/>
  <c r="N28" i="53"/>
  <c r="N28" i="64" s="1"/>
  <c r="N79" i="64" s="1"/>
  <c r="N45" i="53"/>
  <c r="N45" i="54"/>
  <c r="N45" i="64"/>
  <c r="N96" i="64" s="1"/>
  <c r="N18" i="54"/>
  <c r="N18" i="64" s="1"/>
  <c r="N69" i="64" s="1"/>
  <c r="N18" i="53"/>
  <c r="Y17" i="54"/>
  <c r="Z17" i="54" s="1"/>
  <c r="Y17" i="53"/>
  <c r="Z17" i="52"/>
  <c r="Y24" i="53"/>
  <c r="Y24" i="54"/>
  <c r="Z24" i="54" s="1"/>
  <c r="Z24" i="52"/>
  <c r="Y39" i="53"/>
  <c r="Z39" i="52"/>
  <c r="Y39" i="54"/>
  <c r="Z39" i="54" s="1"/>
  <c r="Z10" i="52"/>
  <c r="Y10" i="53"/>
  <c r="Y10" i="54"/>
  <c r="Z10" i="54" s="1"/>
  <c r="P39" i="52"/>
  <c r="AA39" i="52" s="1"/>
  <c r="L39" i="54"/>
  <c r="N40" i="54"/>
  <c r="N40" i="53"/>
  <c r="N40" i="64" s="1"/>
  <c r="N91" i="64" s="1"/>
  <c r="L16" i="64"/>
  <c r="L67" i="64" s="1"/>
  <c r="L48" i="64"/>
  <c r="L99" i="64" s="1"/>
  <c r="L20" i="64"/>
  <c r="L71" i="64" s="1"/>
  <c r="M31" i="64"/>
  <c r="M82" i="64" s="1"/>
  <c r="AH49" i="49"/>
  <c r="AD49" i="63" s="1"/>
  <c r="AD121" i="63" s="1"/>
  <c r="AC38" i="49"/>
  <c r="AH55" i="49"/>
  <c r="L41" i="53"/>
  <c r="L41" i="64" s="1"/>
  <c r="L92" i="64" s="1"/>
  <c r="V7" i="54"/>
  <c r="AA7" i="54" s="1"/>
  <c r="R47" i="53"/>
  <c r="P47" i="64"/>
  <c r="P98" i="64" s="1"/>
  <c r="P20" i="52"/>
  <c r="L20" i="54"/>
  <c r="P29" i="52"/>
  <c r="AA29" i="52" s="1"/>
  <c r="L29" i="54"/>
  <c r="P43" i="52"/>
  <c r="AA43" i="52" s="1"/>
  <c r="W43" i="54" s="1"/>
  <c r="L43" i="54"/>
  <c r="R42" i="53"/>
  <c r="P42" i="64"/>
  <c r="P93" i="64" s="1"/>
  <c r="R19" i="53"/>
  <c r="P19" i="64"/>
  <c r="P70" i="64" s="1"/>
  <c r="V8" i="53"/>
  <c r="Q8" i="64"/>
  <c r="Q59" i="64" s="1"/>
  <c r="U39" i="53"/>
  <c r="U39" i="54"/>
  <c r="V39" i="54" s="1"/>
  <c r="V39" i="52"/>
  <c r="V49" i="52"/>
  <c r="U49" i="53"/>
  <c r="U49" i="54"/>
  <c r="V49" i="54" s="1"/>
  <c r="U36" i="53"/>
  <c r="U36" i="54"/>
  <c r="V36" i="54" s="1"/>
  <c r="V36" i="52"/>
  <c r="V12" i="53"/>
  <c r="R12" i="64"/>
  <c r="R63" i="64" s="1"/>
  <c r="M30" i="53"/>
  <c r="M30" i="54"/>
  <c r="M11" i="53"/>
  <c r="M11" i="64" s="1"/>
  <c r="M62" i="64" s="1"/>
  <c r="M11" i="54"/>
  <c r="M20" i="54"/>
  <c r="M20" i="53"/>
  <c r="R11" i="53"/>
  <c r="P11" i="64"/>
  <c r="P62" i="64" s="1"/>
  <c r="R15" i="64"/>
  <c r="R66" i="64" s="1"/>
  <c r="N46" i="53"/>
  <c r="P46" i="53" s="1"/>
  <c r="N46" i="54"/>
  <c r="N46" i="64"/>
  <c r="N97" i="64" s="1"/>
  <c r="N31" i="53"/>
  <c r="N31" i="64" s="1"/>
  <c r="N82" i="64" s="1"/>
  <c r="N31" i="54"/>
  <c r="N43" i="54"/>
  <c r="N43" i="53"/>
  <c r="P43" i="53" s="1"/>
  <c r="N43" i="64"/>
  <c r="N94" i="64" s="1"/>
  <c r="Z38" i="52"/>
  <c r="Y38" i="53"/>
  <c r="Y38" i="54"/>
  <c r="Z38" i="54" s="1"/>
  <c r="Y48" i="54"/>
  <c r="Z48" i="54" s="1"/>
  <c r="Z48" i="52"/>
  <c r="Y48" i="53"/>
  <c r="Z28" i="52"/>
  <c r="Y28" i="53"/>
  <c r="Y28" i="54"/>
  <c r="Z28" i="54" s="1"/>
  <c r="P6" i="49"/>
  <c r="P6" i="63" s="1"/>
  <c r="P78" i="63" s="1"/>
  <c r="P14" i="65"/>
  <c r="O14" i="65"/>
  <c r="Y71" i="50"/>
  <c r="W71" i="49"/>
  <c r="V71" i="63" s="1"/>
  <c r="V143" i="63" s="1"/>
  <c r="Y34" i="50"/>
  <c r="AH21" i="49"/>
  <c r="AH61" i="49"/>
  <c r="AH44" i="49"/>
  <c r="U38" i="49"/>
  <c r="T38" i="63" s="1"/>
  <c r="T110" i="63" s="1"/>
  <c r="Y18" i="50"/>
  <c r="Y15" i="50"/>
  <c r="AH45" i="49"/>
  <c r="AD45" i="63" s="1"/>
  <c r="AD117" i="63" s="1"/>
  <c r="Y40" i="50"/>
  <c r="Y29" i="50"/>
  <c r="AC51" i="49"/>
  <c r="AD51" i="49" s="1"/>
  <c r="Y49" i="50"/>
  <c r="AH40" i="49"/>
  <c r="AD40" i="63" s="1"/>
  <c r="AD112" i="63" s="1"/>
  <c r="AH67" i="49"/>
  <c r="AD67" i="63" s="1"/>
  <c r="AD139" i="63" s="1"/>
  <c r="AI52" i="49"/>
  <c r="Y33" i="50"/>
  <c r="Y68" i="50"/>
  <c r="AH11" i="49"/>
  <c r="AH71" i="49"/>
  <c r="U27" i="49"/>
  <c r="T27" i="63" s="1"/>
  <c r="T99" i="63" s="1"/>
  <c r="AH30" i="49"/>
  <c r="AD30" i="63" s="1"/>
  <c r="AD102" i="63" s="1"/>
  <c r="Y41" i="50"/>
  <c r="Y38" i="50"/>
  <c r="Y65" i="50"/>
  <c r="AH41" i="49"/>
  <c r="Y16" i="50"/>
  <c r="W19" i="49"/>
  <c r="V19" i="63" s="1"/>
  <c r="V91" i="63" s="1"/>
  <c r="AC26" i="49"/>
  <c r="Y59" i="50"/>
  <c r="Y63" i="50"/>
  <c r="W45" i="49"/>
  <c r="AH34" i="49"/>
  <c r="AD34" i="63" s="1"/>
  <c r="AD106" i="63" s="1"/>
  <c r="AH69" i="49"/>
  <c r="T35" i="63"/>
  <c r="T107" i="63" s="1"/>
  <c r="AH68" i="49"/>
  <c r="AH16" i="49"/>
  <c r="AC33" i="49"/>
  <c r="AD33" i="49" s="1"/>
  <c r="AH47" i="49"/>
  <c r="AD47" i="63" s="1"/>
  <c r="AD119" i="63" s="1"/>
  <c r="T7" i="63"/>
  <c r="T79" i="63" s="1"/>
  <c r="Y27" i="50"/>
  <c r="AE62" i="63"/>
  <c r="AE134" i="63" s="1"/>
  <c r="W26" i="49"/>
  <c r="V26" i="63" s="1"/>
  <c r="V98" i="63" s="1"/>
  <c r="AH46" i="49"/>
  <c r="Y36" i="50"/>
  <c r="V7" i="63"/>
  <c r="V79" i="63" s="1"/>
  <c r="W38" i="63"/>
  <c r="W110" i="63" s="1"/>
  <c r="AI19" i="49"/>
  <c r="AE19" i="63" s="1"/>
  <c r="AE91" i="63" s="1"/>
  <c r="Y45" i="50"/>
  <c r="Y11" i="50"/>
  <c r="W44" i="49"/>
  <c r="V44" i="63" s="1"/>
  <c r="V116" i="63" s="1"/>
  <c r="Y37" i="50"/>
  <c r="W13" i="49"/>
  <c r="Y22" i="50"/>
  <c r="AH42" i="49"/>
  <c r="AH38" i="49"/>
  <c r="AD38" i="63" s="1"/>
  <c r="AD110" i="63" s="1"/>
  <c r="AD10" i="49"/>
  <c r="AA10" i="63"/>
  <c r="AA82" i="63" s="1"/>
  <c r="E7" i="66"/>
  <c r="E13" i="66" s="1"/>
  <c r="Y70" i="50"/>
  <c r="Y48" i="50"/>
  <c r="Y46" i="50"/>
  <c r="Y52" i="50"/>
  <c r="V45" i="63"/>
  <c r="V117" i="63" s="1"/>
  <c r="V13" i="63"/>
  <c r="V85" i="63" s="1"/>
  <c r="V52" i="63"/>
  <c r="V124" i="63" s="1"/>
  <c r="AI28" i="49"/>
  <c r="AE28" i="63" s="1"/>
  <c r="AE100" i="63" s="1"/>
  <c r="AI48" i="49"/>
  <c r="AE48" i="63" s="1"/>
  <c r="AE120" i="63" s="1"/>
  <c r="AI57" i="49"/>
  <c r="AE57" i="63" s="1"/>
  <c r="AE129" i="63" s="1"/>
  <c r="X70" i="49"/>
  <c r="W70" i="63" s="1"/>
  <c r="W142" i="63" s="1"/>
  <c r="X10" i="49"/>
  <c r="W10" i="63" s="1"/>
  <c r="W82" i="63" s="1"/>
  <c r="T23" i="63"/>
  <c r="T95" i="63" s="1"/>
  <c r="T42" i="63"/>
  <c r="T114" i="63" s="1"/>
  <c r="AC16" i="49"/>
  <c r="AC59" i="49"/>
  <c r="M67" i="50"/>
  <c r="M26" i="50"/>
  <c r="M63" i="50"/>
  <c r="M42" i="50"/>
  <c r="Y30" i="50"/>
  <c r="Y58" i="50"/>
  <c r="Y56" i="50"/>
  <c r="Y66" i="50"/>
  <c r="W73" i="50"/>
  <c r="AD42" i="63"/>
  <c r="AD114" i="63" s="1"/>
  <c r="AD32" i="63"/>
  <c r="AD104" i="63" s="1"/>
  <c r="AD69" i="63"/>
  <c r="AD141" i="63" s="1"/>
  <c r="AD43" i="63"/>
  <c r="AD115" i="63" s="1"/>
  <c r="AI7" i="49"/>
  <c r="AE7" i="63" s="1"/>
  <c r="AE79" i="63" s="1"/>
  <c r="AI53" i="49"/>
  <c r="AE53" i="63" s="1"/>
  <c r="AE125" i="63" s="1"/>
  <c r="AI32" i="49"/>
  <c r="AE32" i="63" s="1"/>
  <c r="AE104" i="63" s="1"/>
  <c r="AI46" i="49"/>
  <c r="AE46" i="63" s="1"/>
  <c r="AE118" i="63" s="1"/>
  <c r="X45" i="49"/>
  <c r="W45" i="63" s="1"/>
  <c r="W117" i="63" s="1"/>
  <c r="T30" i="63"/>
  <c r="T102" i="63" s="1"/>
  <c r="Y55" i="50"/>
  <c r="Y5" i="50"/>
  <c r="Y17" i="50"/>
  <c r="Y14" i="50"/>
  <c r="Y25" i="50"/>
  <c r="AH12" i="49"/>
  <c r="AD12" i="63" s="1"/>
  <c r="AD84" i="63" s="1"/>
  <c r="AH64" i="49"/>
  <c r="AD64" i="63" s="1"/>
  <c r="AD136" i="63" s="1"/>
  <c r="AH54" i="49"/>
  <c r="AD54" i="63" s="1"/>
  <c r="AD126" i="63" s="1"/>
  <c r="AH14" i="49"/>
  <c r="AD14" i="63" s="1"/>
  <c r="AD86" i="63" s="1"/>
  <c r="AH56" i="49"/>
  <c r="AD56" i="63" s="1"/>
  <c r="AD128" i="63" s="1"/>
  <c r="AH58" i="49"/>
  <c r="AD58" i="63" s="1"/>
  <c r="AD130" i="63" s="1"/>
  <c r="AH20" i="49"/>
  <c r="AD20" i="63" s="1"/>
  <c r="AD92" i="63" s="1"/>
  <c r="AH18" i="49"/>
  <c r="AD18" i="63" s="1"/>
  <c r="AD90" i="63" s="1"/>
  <c r="AH29" i="49"/>
  <c r="AD29" i="63" s="1"/>
  <c r="AD101" i="63" s="1"/>
  <c r="AH28" i="49"/>
  <c r="AD28" i="63" s="1"/>
  <c r="AD100" i="63" s="1"/>
  <c r="AH36" i="49"/>
  <c r="AD36" i="63" s="1"/>
  <c r="AD108" i="63" s="1"/>
  <c r="AH5" i="49"/>
  <c r="AH62" i="49"/>
  <c r="AD62" i="63" s="1"/>
  <c r="AD134" i="63" s="1"/>
  <c r="AH39" i="49"/>
  <c r="AD39" i="63" s="1"/>
  <c r="AD111" i="63" s="1"/>
  <c r="AH60" i="49"/>
  <c r="AD60" i="63" s="1"/>
  <c r="AD132" i="63" s="1"/>
  <c r="AH52" i="49"/>
  <c r="AD52" i="63" s="1"/>
  <c r="AD124" i="63" s="1"/>
  <c r="AH50" i="49"/>
  <c r="AD50" i="63" s="1"/>
  <c r="AD122" i="63" s="1"/>
  <c r="AH13" i="49"/>
  <c r="AD13" i="63" s="1"/>
  <c r="AD85" i="63" s="1"/>
  <c r="AH17" i="49"/>
  <c r="AD17" i="63" s="1"/>
  <c r="AD89" i="63" s="1"/>
  <c r="AH53" i="49"/>
  <c r="AD53" i="63" s="1"/>
  <c r="AD125" i="63" s="1"/>
  <c r="AH10" i="49"/>
  <c r="AD10" i="63" s="1"/>
  <c r="AD82" i="63" s="1"/>
  <c r="AH63" i="49"/>
  <c r="AD63" i="63" s="1"/>
  <c r="AD135" i="63" s="1"/>
  <c r="AH57" i="49"/>
  <c r="AD57" i="63" s="1"/>
  <c r="AD129" i="63" s="1"/>
  <c r="AH7" i="49"/>
  <c r="AD7" i="63" s="1"/>
  <c r="AD79" i="63" s="1"/>
  <c r="O13" i="65"/>
  <c r="P13" i="65"/>
  <c r="AB12" i="50"/>
  <c r="Y39" i="50"/>
  <c r="Y10" i="50"/>
  <c r="Y43" i="50"/>
  <c r="Y20" i="50"/>
  <c r="AH22" i="49"/>
  <c r="AD22" i="63" s="1"/>
  <c r="AD94" i="63" s="1"/>
  <c r="AH65" i="49"/>
  <c r="AD65" i="63" s="1"/>
  <c r="AD137" i="63" s="1"/>
  <c r="AH48" i="49"/>
  <c r="AD48" i="63" s="1"/>
  <c r="AD120" i="63" s="1"/>
  <c r="AH26" i="49"/>
  <c r="AD26" i="63" s="1"/>
  <c r="AD98" i="63" s="1"/>
  <c r="AI38" i="49"/>
  <c r="AE38" i="63" s="1"/>
  <c r="AE110" i="63" s="1"/>
  <c r="AI68" i="49"/>
  <c r="AE68" i="63" s="1"/>
  <c r="AE140" i="63" s="1"/>
  <c r="AI14" i="49"/>
  <c r="AE14" i="63" s="1"/>
  <c r="AE86" i="63" s="1"/>
  <c r="AI27" i="49"/>
  <c r="AE27" i="63" s="1"/>
  <c r="AE99" i="63" s="1"/>
  <c r="AA7" i="63"/>
  <c r="AA79" i="63" s="1"/>
  <c r="AD7" i="49"/>
  <c r="M62" i="50"/>
  <c r="M7" i="50"/>
  <c r="M17" i="50"/>
  <c r="M41" i="50"/>
  <c r="M55" i="50"/>
  <c r="M47" i="50"/>
  <c r="M11" i="50"/>
  <c r="M29" i="50"/>
  <c r="L12" i="49"/>
  <c r="L12" i="63" s="1"/>
  <c r="L84" i="63" s="1"/>
  <c r="L36" i="49"/>
  <c r="L36" i="63" s="1"/>
  <c r="L108" i="63" s="1"/>
  <c r="L24" i="49"/>
  <c r="L24" i="63" s="1"/>
  <c r="L96" i="63" s="1"/>
  <c r="L38" i="49"/>
  <c r="L38" i="63" s="1"/>
  <c r="L110" i="63" s="1"/>
  <c r="L42" i="49"/>
  <c r="L42" i="63" s="1"/>
  <c r="L114" i="63" s="1"/>
  <c r="L60" i="49"/>
  <c r="L60" i="63" s="1"/>
  <c r="L132" i="63" s="1"/>
  <c r="L63" i="49"/>
  <c r="L63" i="63" s="1"/>
  <c r="L135" i="63" s="1"/>
  <c r="L17" i="49"/>
  <c r="L17" i="63" s="1"/>
  <c r="L89" i="63" s="1"/>
  <c r="L59" i="49"/>
  <c r="L59" i="63" s="1"/>
  <c r="L131" i="63" s="1"/>
  <c r="L41" i="49"/>
  <c r="L41" i="63" s="1"/>
  <c r="L113" i="63" s="1"/>
  <c r="L22" i="49"/>
  <c r="L22" i="63" s="1"/>
  <c r="L94" i="63" s="1"/>
  <c r="L11" i="49"/>
  <c r="L11" i="63" s="1"/>
  <c r="L83" i="63" s="1"/>
  <c r="L67" i="49"/>
  <c r="L67" i="63" s="1"/>
  <c r="L139" i="63" s="1"/>
  <c r="L23" i="49"/>
  <c r="L23" i="63" s="1"/>
  <c r="L95" i="63" s="1"/>
  <c r="L70" i="49"/>
  <c r="L70" i="63" s="1"/>
  <c r="L142" i="63" s="1"/>
  <c r="L58" i="49"/>
  <c r="L58" i="63" s="1"/>
  <c r="L130" i="63" s="1"/>
  <c r="L33" i="49"/>
  <c r="L33" i="63" s="1"/>
  <c r="L105" i="63" s="1"/>
  <c r="L52" i="49"/>
  <c r="L52" i="63" s="1"/>
  <c r="L124" i="63" s="1"/>
  <c r="L55" i="49"/>
  <c r="L55" i="63" s="1"/>
  <c r="L127" i="63" s="1"/>
  <c r="L28" i="49"/>
  <c r="L28" i="63" s="1"/>
  <c r="L100" i="63" s="1"/>
  <c r="L29" i="49"/>
  <c r="L29" i="63" s="1"/>
  <c r="L101" i="63" s="1"/>
  <c r="L50" i="49"/>
  <c r="L50" i="63" s="1"/>
  <c r="L122" i="63" s="1"/>
  <c r="L7" i="49"/>
  <c r="L7" i="63" s="1"/>
  <c r="L79" i="63" s="1"/>
  <c r="L64" i="49"/>
  <c r="L64" i="63" s="1"/>
  <c r="L136" i="63" s="1"/>
  <c r="L37" i="49"/>
  <c r="L37" i="63" s="1"/>
  <c r="L109" i="63" s="1"/>
  <c r="L46" i="49"/>
  <c r="L46" i="63" s="1"/>
  <c r="L118" i="63" s="1"/>
  <c r="L15" i="49"/>
  <c r="L15" i="63" s="1"/>
  <c r="L87" i="63" s="1"/>
  <c r="L8" i="49"/>
  <c r="L8" i="63" s="1"/>
  <c r="L80" i="63" s="1"/>
  <c r="L48" i="49"/>
  <c r="L48" i="63" s="1"/>
  <c r="L120" i="63" s="1"/>
  <c r="L44" i="49"/>
  <c r="L44" i="63" s="1"/>
  <c r="L116" i="63" s="1"/>
  <c r="L32" i="49"/>
  <c r="L32" i="63" s="1"/>
  <c r="L104" i="63" s="1"/>
  <c r="L57" i="49"/>
  <c r="L57" i="63" s="1"/>
  <c r="L129" i="63" s="1"/>
  <c r="L35" i="49"/>
  <c r="L35" i="63" s="1"/>
  <c r="L107" i="63" s="1"/>
  <c r="L49" i="49"/>
  <c r="L49" i="63" s="1"/>
  <c r="L121" i="63" s="1"/>
  <c r="L26" i="49"/>
  <c r="L26" i="63" s="1"/>
  <c r="L98" i="63" s="1"/>
  <c r="L54" i="49"/>
  <c r="L54" i="63" s="1"/>
  <c r="L126" i="63" s="1"/>
  <c r="L39" i="49"/>
  <c r="L39" i="63" s="1"/>
  <c r="L111" i="63" s="1"/>
  <c r="L45" i="49"/>
  <c r="L45" i="63" s="1"/>
  <c r="L117" i="63" s="1"/>
  <c r="L13" i="49"/>
  <c r="L13" i="63" s="1"/>
  <c r="L85" i="63" s="1"/>
  <c r="L51" i="49"/>
  <c r="L51" i="63" s="1"/>
  <c r="L123" i="63" s="1"/>
  <c r="L18" i="49"/>
  <c r="L18" i="63" s="1"/>
  <c r="L90" i="63" s="1"/>
  <c r="L14" i="49"/>
  <c r="L14" i="63" s="1"/>
  <c r="L86" i="63" s="1"/>
  <c r="L40" i="49"/>
  <c r="L40" i="63" s="1"/>
  <c r="L112" i="63" s="1"/>
  <c r="L19" i="49"/>
  <c r="L19" i="63" s="1"/>
  <c r="L91" i="63" s="1"/>
  <c r="L62" i="49"/>
  <c r="L62" i="63" s="1"/>
  <c r="L134" i="63" s="1"/>
  <c r="L31" i="49"/>
  <c r="L31" i="63" s="1"/>
  <c r="L103" i="63" s="1"/>
  <c r="L34" i="49"/>
  <c r="L34" i="63" s="1"/>
  <c r="L106" i="63" s="1"/>
  <c r="L65" i="49"/>
  <c r="L65" i="63" s="1"/>
  <c r="L137" i="63" s="1"/>
  <c r="L6" i="49"/>
  <c r="L6" i="63" s="1"/>
  <c r="L78" i="63" s="1"/>
  <c r="L27" i="49"/>
  <c r="L27" i="63" s="1"/>
  <c r="L99" i="63" s="1"/>
  <c r="L68" i="49"/>
  <c r="L68" i="63" s="1"/>
  <c r="L140" i="63" s="1"/>
  <c r="L56" i="49"/>
  <c r="L56" i="63" s="1"/>
  <c r="L128" i="63" s="1"/>
  <c r="L5" i="49"/>
  <c r="L53" i="49"/>
  <c r="L53" i="63" s="1"/>
  <c r="L125" i="63" s="1"/>
  <c r="L9" i="49"/>
  <c r="L9" i="63" s="1"/>
  <c r="L81" i="63" s="1"/>
  <c r="L71" i="49"/>
  <c r="L71" i="63" s="1"/>
  <c r="L143" i="63" s="1"/>
  <c r="L16" i="49"/>
  <c r="L16" i="63" s="1"/>
  <c r="L88" i="63" s="1"/>
  <c r="L43" i="49"/>
  <c r="L43" i="63" s="1"/>
  <c r="L115" i="63" s="1"/>
  <c r="L10" i="49"/>
  <c r="L10" i="63" s="1"/>
  <c r="L82" i="63" s="1"/>
  <c r="L25" i="49"/>
  <c r="L25" i="63" s="1"/>
  <c r="L97" i="63" s="1"/>
  <c r="L66" i="49"/>
  <c r="L66" i="63" s="1"/>
  <c r="L138" i="63" s="1"/>
  <c r="L20" i="49"/>
  <c r="L20" i="63" s="1"/>
  <c r="L92" i="63" s="1"/>
  <c r="L30" i="49"/>
  <c r="L30" i="63" s="1"/>
  <c r="L102" i="63" s="1"/>
  <c r="L69" i="49"/>
  <c r="L69" i="63" s="1"/>
  <c r="L141" i="63" s="1"/>
  <c r="L47" i="49"/>
  <c r="L47" i="63" s="1"/>
  <c r="L119" i="63" s="1"/>
  <c r="L21" i="49"/>
  <c r="L21" i="63" s="1"/>
  <c r="L93" i="63" s="1"/>
  <c r="L61" i="49"/>
  <c r="L61" i="63" s="1"/>
  <c r="L133" i="63" s="1"/>
  <c r="AD49" i="49"/>
  <c r="AA49" i="63"/>
  <c r="AA121" i="63" s="1"/>
  <c r="AI12" i="49"/>
  <c r="AE12" i="63" s="1"/>
  <c r="AE84" i="63" s="1"/>
  <c r="AI20" i="49"/>
  <c r="AE20" i="63" s="1"/>
  <c r="AE92" i="63" s="1"/>
  <c r="AI11" i="49"/>
  <c r="AE11" i="63" s="1"/>
  <c r="AE83" i="63" s="1"/>
  <c r="AI37" i="49"/>
  <c r="AE37" i="63" s="1"/>
  <c r="AE109" i="63" s="1"/>
  <c r="AI24" i="49"/>
  <c r="AE24" i="63" s="1"/>
  <c r="AE96" i="63" s="1"/>
  <c r="AI64" i="49"/>
  <c r="AE64" i="63" s="1"/>
  <c r="AE136" i="63" s="1"/>
  <c r="AI34" i="49"/>
  <c r="AE34" i="63" s="1"/>
  <c r="AE106" i="63" s="1"/>
  <c r="AI65" i="49"/>
  <c r="AE65" i="63" s="1"/>
  <c r="AE137" i="63" s="1"/>
  <c r="AI29" i="49"/>
  <c r="AE29" i="63" s="1"/>
  <c r="AE101" i="63" s="1"/>
  <c r="AI9" i="49"/>
  <c r="AE9" i="63" s="1"/>
  <c r="AE81" i="63" s="1"/>
  <c r="AI67" i="49"/>
  <c r="AE67" i="63" s="1"/>
  <c r="AE139" i="63" s="1"/>
  <c r="AI49" i="49"/>
  <c r="AE49" i="63" s="1"/>
  <c r="AE121" i="63" s="1"/>
  <c r="AI70" i="49"/>
  <c r="AE70" i="63" s="1"/>
  <c r="AE142" i="63" s="1"/>
  <c r="AI51" i="49"/>
  <c r="AE51" i="63" s="1"/>
  <c r="AE123" i="63" s="1"/>
  <c r="AI30" i="49"/>
  <c r="AE30" i="63" s="1"/>
  <c r="AE102" i="63" s="1"/>
  <c r="AI66" i="49"/>
  <c r="AE66" i="63" s="1"/>
  <c r="AE138" i="63" s="1"/>
  <c r="AI36" i="49"/>
  <c r="AE36" i="63" s="1"/>
  <c r="AE108" i="63" s="1"/>
  <c r="AI17" i="49"/>
  <c r="AE17" i="63" s="1"/>
  <c r="AE89" i="63" s="1"/>
  <c r="AI71" i="49"/>
  <c r="AE71" i="63" s="1"/>
  <c r="AE143" i="63" s="1"/>
  <c r="AI55" i="49"/>
  <c r="AE55" i="63" s="1"/>
  <c r="AE127" i="63" s="1"/>
  <c r="AI35" i="49"/>
  <c r="AE35" i="63" s="1"/>
  <c r="AE107" i="63" s="1"/>
  <c r="AI47" i="49"/>
  <c r="AE47" i="63" s="1"/>
  <c r="AE119" i="63" s="1"/>
  <c r="AI15" i="49"/>
  <c r="AE15" i="63" s="1"/>
  <c r="AE87" i="63" s="1"/>
  <c r="AI60" i="49"/>
  <c r="AE60" i="63" s="1"/>
  <c r="AE132" i="63" s="1"/>
  <c r="AI18" i="49"/>
  <c r="AE18" i="63" s="1"/>
  <c r="AE90" i="63" s="1"/>
  <c r="AI43" i="49"/>
  <c r="AE43" i="63" s="1"/>
  <c r="AE115" i="63" s="1"/>
  <c r="AI25" i="49"/>
  <c r="AE25" i="63" s="1"/>
  <c r="AE97" i="63" s="1"/>
  <c r="AI6" i="49"/>
  <c r="AE6" i="63" s="1"/>
  <c r="AE78" i="63" s="1"/>
  <c r="AI21" i="49"/>
  <c r="AE21" i="63" s="1"/>
  <c r="AE93" i="63" s="1"/>
  <c r="AI44" i="49"/>
  <c r="AE44" i="63" s="1"/>
  <c r="AE116" i="63" s="1"/>
  <c r="AI50" i="49"/>
  <c r="AE50" i="63" s="1"/>
  <c r="AE122" i="63" s="1"/>
  <c r="AI10" i="49"/>
  <c r="AE10" i="63" s="1"/>
  <c r="AE82" i="63" s="1"/>
  <c r="AI56" i="49"/>
  <c r="AE56" i="63" s="1"/>
  <c r="AE128" i="63" s="1"/>
  <c r="X64" i="49"/>
  <c r="W64" i="63" s="1"/>
  <c r="W136" i="63" s="1"/>
  <c r="AC12" i="49"/>
  <c r="AC36" i="49"/>
  <c r="AC44" i="49"/>
  <c r="AC63" i="49"/>
  <c r="AC9" i="49"/>
  <c r="AC8" i="49"/>
  <c r="AC61" i="49"/>
  <c r="AC37" i="49"/>
  <c r="AC14" i="49"/>
  <c r="AC68" i="49"/>
  <c r="AC40" i="49"/>
  <c r="AC70" i="49"/>
  <c r="AC23" i="49"/>
  <c r="AC5" i="49"/>
  <c r="AC22" i="49"/>
  <c r="AC20" i="49"/>
  <c r="AC30" i="49"/>
  <c r="AC65" i="49"/>
  <c r="AC17" i="49"/>
  <c r="AC50" i="49"/>
  <c r="AC43" i="49"/>
  <c r="AC35" i="49"/>
  <c r="AC45" i="49"/>
  <c r="AC71" i="49"/>
  <c r="AC69" i="49"/>
  <c r="AC67" i="49"/>
  <c r="AC11" i="49"/>
  <c r="AC24" i="49"/>
  <c r="AC6" i="49"/>
  <c r="AC39" i="49"/>
  <c r="AC32" i="49"/>
  <c r="AC58" i="49"/>
  <c r="AC66" i="49"/>
  <c r="AC52" i="49"/>
  <c r="AC18" i="49"/>
  <c r="AC54" i="49"/>
  <c r="AC29" i="49"/>
  <c r="AC62" i="49"/>
  <c r="AC56" i="49"/>
  <c r="AC41" i="49"/>
  <c r="AC28" i="49"/>
  <c r="AC48" i="49"/>
  <c r="AC64" i="49"/>
  <c r="AC27" i="49"/>
  <c r="AC21" i="49"/>
  <c r="AC42" i="49"/>
  <c r="AC34" i="49"/>
  <c r="AC60" i="49"/>
  <c r="AC47" i="49"/>
  <c r="AC15" i="49"/>
  <c r="AC19" i="49"/>
  <c r="V39" i="48"/>
  <c r="V27" i="48"/>
  <c r="V11" i="48"/>
  <c r="V28" i="48"/>
  <c r="V9" i="48"/>
  <c r="V34" i="48"/>
  <c r="V17" i="48"/>
  <c r="V32" i="48"/>
  <c r="V20" i="48"/>
  <c r="V60" i="48"/>
  <c r="V66" i="48"/>
  <c r="V64" i="48"/>
  <c r="V42" i="48"/>
  <c r="V44" i="48"/>
  <c r="V47" i="48"/>
  <c r="V65" i="48"/>
  <c r="V67" i="48"/>
  <c r="V37" i="48"/>
  <c r="V21" i="48"/>
  <c r="V8" i="48"/>
  <c r="V24" i="48"/>
  <c r="V40" i="48"/>
  <c r="V29" i="48"/>
  <c r="V14" i="48"/>
  <c r="V30" i="48"/>
  <c r="V15" i="48"/>
  <c r="V53" i="48"/>
  <c r="V55" i="48"/>
  <c r="V57" i="48"/>
  <c r="V59" i="48"/>
  <c r="V61" i="48"/>
  <c r="V63" i="48"/>
  <c r="V46" i="48"/>
  <c r="V35" i="48"/>
  <c r="V18" i="48"/>
  <c r="V6" i="48"/>
  <c r="V19" i="48"/>
  <c r="V38" i="48"/>
  <c r="V25" i="48"/>
  <c r="V7" i="48"/>
  <c r="V26" i="48"/>
  <c r="V10" i="48"/>
  <c r="V69" i="48"/>
  <c r="V71" i="48"/>
  <c r="V54" i="48"/>
  <c r="V52" i="48"/>
  <c r="V41" i="48"/>
  <c r="V56" i="48"/>
  <c r="V62" i="48"/>
  <c r="V45" i="48"/>
  <c r="V33" i="48"/>
  <c r="V13" i="48"/>
  <c r="V31" i="48"/>
  <c r="V16" i="48"/>
  <c r="V36" i="48"/>
  <c r="V22" i="48"/>
  <c r="V5" i="48"/>
  <c r="V23" i="48"/>
  <c r="V43" i="48"/>
  <c r="V50" i="48"/>
  <c r="V48" i="48"/>
  <c r="V70" i="48"/>
  <c r="V68" i="48"/>
  <c r="V58" i="48"/>
  <c r="V49" i="48"/>
  <c r="V51" i="48"/>
  <c r="Y9" i="50"/>
  <c r="Y24" i="50"/>
  <c r="Y19" i="50"/>
  <c r="Y31" i="50"/>
  <c r="W33" i="49"/>
  <c r="V33" i="63" s="1"/>
  <c r="V105" i="63" s="1"/>
  <c r="W50" i="49"/>
  <c r="V50" i="63" s="1"/>
  <c r="V122" i="63" s="1"/>
  <c r="U73" i="50"/>
  <c r="P15" i="65"/>
  <c r="O15" i="65"/>
  <c r="AD55" i="49"/>
  <c r="AA55" i="63"/>
  <c r="AA127" i="63" s="1"/>
  <c r="X73" i="50"/>
  <c r="AD38" i="49"/>
  <c r="AA38" i="63"/>
  <c r="AA110" i="63" s="1"/>
  <c r="M13" i="50"/>
  <c r="M36" i="50"/>
  <c r="M53" i="50"/>
  <c r="M33" i="50"/>
  <c r="M57" i="50"/>
  <c r="M16" i="50"/>
  <c r="AD24" i="63"/>
  <c r="AD96" i="63" s="1"/>
  <c r="AD66" i="63"/>
  <c r="AD138" i="63" s="1"/>
  <c r="AD21" i="63"/>
  <c r="AD93" i="63" s="1"/>
  <c r="AD51" i="63"/>
  <c r="AD123" i="63" s="1"/>
  <c r="AD23" i="63"/>
  <c r="AD95" i="63" s="1"/>
  <c r="AD61" i="63"/>
  <c r="AD133" i="63" s="1"/>
  <c r="AI31" i="49"/>
  <c r="AE31" i="63" s="1"/>
  <c r="AE103" i="63" s="1"/>
  <c r="AI13" i="49"/>
  <c r="AE13" i="63" s="1"/>
  <c r="AE85" i="63" s="1"/>
  <c r="AI69" i="49"/>
  <c r="AE69" i="63" s="1"/>
  <c r="AE141" i="63" s="1"/>
  <c r="AI33" i="49"/>
  <c r="AE33" i="63" s="1"/>
  <c r="AE105" i="63" s="1"/>
  <c r="AI63" i="49"/>
  <c r="AE63" i="63" s="1"/>
  <c r="AE135" i="63" s="1"/>
  <c r="AD26" i="49"/>
  <c r="AA26" i="63"/>
  <c r="AA98" i="63" s="1"/>
  <c r="Q12" i="49"/>
  <c r="Q12" i="63" s="1"/>
  <c r="Q84" i="63" s="1"/>
  <c r="Q57" i="49"/>
  <c r="Q57" i="63" s="1"/>
  <c r="Q129" i="63" s="1"/>
  <c r="Q18" i="49"/>
  <c r="Q18" i="63" s="1"/>
  <c r="Q90" i="63" s="1"/>
  <c r="Q61" i="49"/>
  <c r="Q61" i="63" s="1"/>
  <c r="Q133" i="63" s="1"/>
  <c r="Q28" i="49"/>
  <c r="Q28" i="63" s="1"/>
  <c r="Q100" i="63" s="1"/>
  <c r="Q32" i="49"/>
  <c r="Q32" i="63" s="1"/>
  <c r="Q104" i="63" s="1"/>
  <c r="Q43" i="49"/>
  <c r="Q43" i="63" s="1"/>
  <c r="Q115" i="63" s="1"/>
  <c r="Q10" i="49"/>
  <c r="Q10" i="63" s="1"/>
  <c r="Q82" i="63" s="1"/>
  <c r="Q25" i="49"/>
  <c r="Q25" i="63" s="1"/>
  <c r="Q97" i="63" s="1"/>
  <c r="Q45" i="49"/>
  <c r="Q45" i="63" s="1"/>
  <c r="Q117" i="63" s="1"/>
  <c r="Q63" i="49"/>
  <c r="Q63" i="63" s="1"/>
  <c r="Q135" i="63" s="1"/>
  <c r="Q17" i="49"/>
  <c r="Q17" i="63" s="1"/>
  <c r="Q89" i="63" s="1"/>
  <c r="Q58" i="49"/>
  <c r="Q58" i="63" s="1"/>
  <c r="Q130" i="63" s="1"/>
  <c r="Q49" i="49"/>
  <c r="Q49" i="63" s="1"/>
  <c r="Q121" i="63" s="1"/>
  <c r="Q26" i="49"/>
  <c r="Q26" i="63" s="1"/>
  <c r="Q98" i="63" s="1"/>
  <c r="Q53" i="49"/>
  <c r="Q53" i="63" s="1"/>
  <c r="Q125" i="63" s="1"/>
  <c r="Q51" i="49"/>
  <c r="Q51" i="63" s="1"/>
  <c r="Q123" i="63" s="1"/>
  <c r="Q59" i="49"/>
  <c r="Q59" i="63" s="1"/>
  <c r="Q131" i="63" s="1"/>
  <c r="Q7" i="49"/>
  <c r="Q7" i="63" s="1"/>
  <c r="Q79" i="63" s="1"/>
  <c r="Q71" i="49"/>
  <c r="Q71" i="63" s="1"/>
  <c r="Q143" i="63" s="1"/>
  <c r="Q6" i="49"/>
  <c r="Q6" i="63" s="1"/>
  <c r="Q78" i="63" s="1"/>
  <c r="Q35" i="49"/>
  <c r="Q35" i="63" s="1"/>
  <c r="Q107" i="63" s="1"/>
  <c r="Q16" i="49"/>
  <c r="Q16" i="63" s="1"/>
  <c r="Q88" i="63" s="1"/>
  <c r="Q65" i="49"/>
  <c r="Q65" i="63" s="1"/>
  <c r="Q137" i="63" s="1"/>
  <c r="Q34" i="49"/>
  <c r="Q34" i="63" s="1"/>
  <c r="Q106" i="63" s="1"/>
  <c r="Q40" i="49"/>
  <c r="Q40" i="63" s="1"/>
  <c r="Q112" i="63" s="1"/>
  <c r="Q11" i="49"/>
  <c r="Q11" i="63" s="1"/>
  <c r="Q83" i="63" s="1"/>
  <c r="Q66" i="49"/>
  <c r="Q66" i="63" s="1"/>
  <c r="Q138" i="63" s="1"/>
  <c r="Q47" i="49"/>
  <c r="Q47" i="63" s="1"/>
  <c r="Q119" i="63" s="1"/>
  <c r="Q23" i="49"/>
  <c r="Q23" i="63" s="1"/>
  <c r="Q95" i="63" s="1"/>
  <c r="Q69" i="49"/>
  <c r="Q69" i="63" s="1"/>
  <c r="Q141" i="63" s="1"/>
  <c r="Q67" i="49"/>
  <c r="Q67" i="63" s="1"/>
  <c r="Q139" i="63" s="1"/>
  <c r="Q46" i="49"/>
  <c r="Q46" i="63" s="1"/>
  <c r="Q118" i="63" s="1"/>
  <c r="Q15" i="49"/>
  <c r="Q15" i="63" s="1"/>
  <c r="Q87" i="63" s="1"/>
  <c r="Q22" i="49"/>
  <c r="Q22" i="63" s="1"/>
  <c r="Q94" i="63" s="1"/>
  <c r="Q30" i="49"/>
  <c r="Q30" i="63" s="1"/>
  <c r="Q102" i="63" s="1"/>
  <c r="Q68" i="49"/>
  <c r="Q68" i="63" s="1"/>
  <c r="Q140" i="63" s="1"/>
  <c r="Q44" i="49"/>
  <c r="Q44" i="63" s="1"/>
  <c r="Q116" i="63" s="1"/>
  <c r="Q70" i="49"/>
  <c r="Q70" i="63" s="1"/>
  <c r="Q142" i="63" s="1"/>
  <c r="Q21" i="49"/>
  <c r="Q21" i="63" s="1"/>
  <c r="Q93" i="63" s="1"/>
  <c r="Q56" i="49"/>
  <c r="Q56" i="63" s="1"/>
  <c r="Q128" i="63" s="1"/>
  <c r="Q5" i="49"/>
  <c r="Q52" i="49"/>
  <c r="Q52" i="63" s="1"/>
  <c r="Q124" i="63" s="1"/>
  <c r="Q13" i="49"/>
  <c r="Q13" i="63" s="1"/>
  <c r="Q85" i="63" s="1"/>
  <c r="Q50" i="49"/>
  <c r="Q50" i="63" s="1"/>
  <c r="Q122" i="63" s="1"/>
  <c r="Q24" i="49"/>
  <c r="Q24" i="63" s="1"/>
  <c r="Q96" i="63" s="1"/>
  <c r="Q60" i="49"/>
  <c r="Q60" i="63" s="1"/>
  <c r="Q132" i="63" s="1"/>
  <c r="Q41" i="49"/>
  <c r="Q41" i="63" s="1"/>
  <c r="Q113" i="63" s="1"/>
  <c r="Q38" i="49"/>
  <c r="Q38" i="63" s="1"/>
  <c r="Q110" i="63" s="1"/>
  <c r="Q36" i="49"/>
  <c r="Q36" i="63" s="1"/>
  <c r="Q108" i="63" s="1"/>
  <c r="Q48" i="49"/>
  <c r="Q48" i="63" s="1"/>
  <c r="Q120" i="63" s="1"/>
  <c r="Q20" i="49"/>
  <c r="Q20" i="63" s="1"/>
  <c r="Q92" i="63" s="1"/>
  <c r="Q33" i="49"/>
  <c r="Q33" i="63" s="1"/>
  <c r="Q105" i="63" s="1"/>
  <c r="Q31" i="49"/>
  <c r="Q31" i="63" s="1"/>
  <c r="Q103" i="63" s="1"/>
  <c r="Q14" i="49"/>
  <c r="Q14" i="63" s="1"/>
  <c r="Q86" i="63" s="1"/>
  <c r="Q55" i="49"/>
  <c r="Q55" i="63" s="1"/>
  <c r="Q127" i="63" s="1"/>
  <c r="Q19" i="49"/>
  <c r="Q19" i="63" s="1"/>
  <c r="Q91" i="63" s="1"/>
  <c r="Q37" i="49"/>
  <c r="Q37" i="63" s="1"/>
  <c r="Q109" i="63" s="1"/>
  <c r="Q62" i="49"/>
  <c r="Q62" i="63" s="1"/>
  <c r="Q134" i="63" s="1"/>
  <c r="Q9" i="49"/>
  <c r="Q9" i="63" s="1"/>
  <c r="Q81" i="63" s="1"/>
  <c r="Q54" i="49"/>
  <c r="Q54" i="63" s="1"/>
  <c r="Q126" i="63" s="1"/>
  <c r="Q29" i="49"/>
  <c r="Q29" i="63" s="1"/>
  <c r="Q101" i="63" s="1"/>
  <c r="Q64" i="49"/>
  <c r="Q64" i="63" s="1"/>
  <c r="Q136" i="63" s="1"/>
  <c r="Q8" i="49"/>
  <c r="Q8" i="63" s="1"/>
  <c r="Q80" i="63" s="1"/>
  <c r="Q39" i="49"/>
  <c r="Q39" i="63" s="1"/>
  <c r="Q111" i="63" s="1"/>
  <c r="Q42" i="49"/>
  <c r="Q42" i="63" s="1"/>
  <c r="Q114" i="63" s="1"/>
  <c r="Q27" i="49"/>
  <c r="Q27" i="63" s="1"/>
  <c r="Q99" i="63" s="1"/>
  <c r="O12" i="49"/>
  <c r="O12" i="63" s="1"/>
  <c r="O84" i="63" s="1"/>
  <c r="O45" i="49"/>
  <c r="O45" i="63" s="1"/>
  <c r="O117" i="63" s="1"/>
  <c r="O24" i="49"/>
  <c r="O24" i="63" s="1"/>
  <c r="O96" i="63" s="1"/>
  <c r="O54" i="49"/>
  <c r="O54" i="63" s="1"/>
  <c r="O126" i="63" s="1"/>
  <c r="O5" i="49"/>
  <c r="O58" i="49"/>
  <c r="O58" i="63" s="1"/>
  <c r="O130" i="63" s="1"/>
  <c r="O29" i="49"/>
  <c r="O29" i="63" s="1"/>
  <c r="O101" i="63" s="1"/>
  <c r="O63" i="49"/>
  <c r="O63" i="63" s="1"/>
  <c r="O135" i="63" s="1"/>
  <c r="O33" i="49"/>
  <c r="O33" i="63" s="1"/>
  <c r="O105" i="63" s="1"/>
  <c r="O56" i="49"/>
  <c r="O56" i="63" s="1"/>
  <c r="O128" i="63" s="1"/>
  <c r="O37" i="49"/>
  <c r="O37" i="63" s="1"/>
  <c r="O109" i="63" s="1"/>
  <c r="O55" i="49"/>
  <c r="O55" i="63" s="1"/>
  <c r="O127" i="63" s="1"/>
  <c r="O28" i="49"/>
  <c r="O28" i="63" s="1"/>
  <c r="O100" i="63" s="1"/>
  <c r="O57" i="49"/>
  <c r="O57" i="63" s="1"/>
  <c r="O129" i="63" s="1"/>
  <c r="O14" i="49"/>
  <c r="O14" i="63" s="1"/>
  <c r="O86" i="63" s="1"/>
  <c r="O61" i="49"/>
  <c r="O61" i="63" s="1"/>
  <c r="O133" i="63" s="1"/>
  <c r="O41" i="49"/>
  <c r="O41" i="63" s="1"/>
  <c r="O113" i="63" s="1"/>
  <c r="O15" i="49"/>
  <c r="O15" i="63" s="1"/>
  <c r="O87" i="63" s="1"/>
  <c r="O10" i="49"/>
  <c r="O10" i="63" s="1"/>
  <c r="O82" i="63" s="1"/>
  <c r="O46" i="49"/>
  <c r="O46" i="63" s="1"/>
  <c r="O118" i="63" s="1"/>
  <c r="O17" i="49"/>
  <c r="O17" i="63" s="1"/>
  <c r="O89" i="63" s="1"/>
  <c r="O44" i="49"/>
  <c r="O44" i="63" s="1"/>
  <c r="O116" i="63" s="1"/>
  <c r="O39" i="49"/>
  <c r="O39" i="63" s="1"/>
  <c r="O111" i="63" s="1"/>
  <c r="O62" i="49"/>
  <c r="O62" i="63" s="1"/>
  <c r="O134" i="63" s="1"/>
  <c r="O30" i="49"/>
  <c r="O30" i="63" s="1"/>
  <c r="O102" i="63" s="1"/>
  <c r="O67" i="49"/>
  <c r="O67" i="63" s="1"/>
  <c r="O139" i="63" s="1"/>
  <c r="O31" i="49"/>
  <c r="O31" i="63" s="1"/>
  <c r="O103" i="63" s="1"/>
  <c r="O60" i="49"/>
  <c r="O60" i="63" s="1"/>
  <c r="O132" i="63" s="1"/>
  <c r="O8" i="49"/>
  <c r="O8" i="63" s="1"/>
  <c r="O80" i="63" s="1"/>
  <c r="O59" i="49"/>
  <c r="O59" i="63" s="1"/>
  <c r="O131" i="63" s="1"/>
  <c r="O36" i="49"/>
  <c r="O36" i="63" s="1"/>
  <c r="O108" i="63" s="1"/>
  <c r="O20" i="49"/>
  <c r="O20" i="63" s="1"/>
  <c r="O92" i="63" s="1"/>
  <c r="O49" i="49"/>
  <c r="O49" i="63" s="1"/>
  <c r="O121" i="63" s="1"/>
  <c r="O11" i="49"/>
  <c r="O11" i="63" s="1"/>
  <c r="O83" i="63" s="1"/>
  <c r="O42" i="49"/>
  <c r="O42" i="63" s="1"/>
  <c r="O114" i="63" s="1"/>
  <c r="O35" i="49"/>
  <c r="O35" i="63" s="1"/>
  <c r="O107" i="63" s="1"/>
  <c r="O71" i="49"/>
  <c r="O71" i="63" s="1"/>
  <c r="O143" i="63" s="1"/>
  <c r="O25" i="49"/>
  <c r="O25" i="63" s="1"/>
  <c r="O97" i="63" s="1"/>
  <c r="O48" i="49"/>
  <c r="O48" i="63" s="1"/>
  <c r="O120" i="63" s="1"/>
  <c r="O22" i="49"/>
  <c r="O22" i="63" s="1"/>
  <c r="O94" i="63" s="1"/>
  <c r="O34" i="49"/>
  <c r="O34" i="63" s="1"/>
  <c r="O106" i="63" s="1"/>
  <c r="O47" i="49"/>
  <c r="O47" i="63" s="1"/>
  <c r="O119" i="63" s="1"/>
  <c r="O23" i="49"/>
  <c r="O23" i="63" s="1"/>
  <c r="O95" i="63" s="1"/>
  <c r="O68" i="49"/>
  <c r="O68" i="63" s="1"/>
  <c r="O140" i="63" s="1"/>
  <c r="O18" i="49"/>
  <c r="O18" i="63" s="1"/>
  <c r="O90" i="63" s="1"/>
  <c r="O50" i="49"/>
  <c r="O50" i="63" s="1"/>
  <c r="O122" i="63" s="1"/>
  <c r="O13" i="49"/>
  <c r="O13" i="63" s="1"/>
  <c r="O85" i="63" s="1"/>
  <c r="O66" i="49"/>
  <c r="O66" i="63" s="1"/>
  <c r="O138" i="63" s="1"/>
  <c r="O21" i="49"/>
  <c r="O21" i="63" s="1"/>
  <c r="O93" i="63" s="1"/>
  <c r="O69" i="49"/>
  <c r="O69" i="63" s="1"/>
  <c r="O141" i="63" s="1"/>
  <c r="O9" i="49"/>
  <c r="O9" i="63" s="1"/>
  <c r="O81" i="63" s="1"/>
  <c r="O6" i="49"/>
  <c r="O6" i="63" s="1"/>
  <c r="O78" i="63" s="1"/>
  <c r="O43" i="49"/>
  <c r="O43" i="63" s="1"/>
  <c r="O115" i="63" s="1"/>
  <c r="O26" i="49"/>
  <c r="O26" i="63" s="1"/>
  <c r="O98" i="63" s="1"/>
  <c r="O52" i="49"/>
  <c r="O52" i="63" s="1"/>
  <c r="O124" i="63" s="1"/>
  <c r="O32" i="49"/>
  <c r="O32" i="63" s="1"/>
  <c r="O104" i="63" s="1"/>
  <c r="O51" i="49"/>
  <c r="O51" i="63" s="1"/>
  <c r="O123" i="63" s="1"/>
  <c r="O27" i="49"/>
  <c r="O27" i="63" s="1"/>
  <c r="O99" i="63" s="1"/>
  <c r="O53" i="49"/>
  <c r="O53" i="63" s="1"/>
  <c r="O125" i="63" s="1"/>
  <c r="O40" i="49"/>
  <c r="O40" i="63" s="1"/>
  <c r="O112" i="63" s="1"/>
  <c r="O19" i="49"/>
  <c r="O19" i="63" s="1"/>
  <c r="O91" i="63" s="1"/>
  <c r="O70" i="49"/>
  <c r="O70" i="63" s="1"/>
  <c r="O142" i="63" s="1"/>
  <c r="O38" i="49"/>
  <c r="O38" i="63" s="1"/>
  <c r="O110" i="63" s="1"/>
  <c r="O16" i="49"/>
  <c r="O16" i="63" s="1"/>
  <c r="O88" i="63" s="1"/>
  <c r="O7" i="49"/>
  <c r="O7" i="63" s="1"/>
  <c r="O79" i="63" s="1"/>
  <c r="O64" i="49"/>
  <c r="O64" i="63" s="1"/>
  <c r="O136" i="63" s="1"/>
  <c r="O65" i="49"/>
  <c r="O65" i="63" s="1"/>
  <c r="O137" i="63" s="1"/>
  <c r="Y28" i="50"/>
  <c r="Y26" i="50"/>
  <c r="Y23" i="50"/>
  <c r="Y32" i="50"/>
  <c r="W38" i="49"/>
  <c r="V38" i="63" s="1"/>
  <c r="V110" i="63" s="1"/>
  <c r="AD55" i="63"/>
  <c r="AD127" i="63" s="1"/>
  <c r="AD11" i="63"/>
  <c r="AD83" i="63" s="1"/>
  <c r="AD68" i="63"/>
  <c r="AD140" i="63" s="1"/>
  <c r="AD6" i="63"/>
  <c r="AD78" i="63" s="1"/>
  <c r="AD44" i="63"/>
  <c r="AD116" i="63" s="1"/>
  <c r="AD71" i="63"/>
  <c r="AD143" i="63" s="1"/>
  <c r="AD16" i="63"/>
  <c r="AD88" i="63" s="1"/>
  <c r="AI73" i="50"/>
  <c r="AI45" i="49"/>
  <c r="AE45" i="63" s="1"/>
  <c r="AE117" i="63" s="1"/>
  <c r="AI16" i="49"/>
  <c r="AE16" i="63" s="1"/>
  <c r="AE88" i="63" s="1"/>
  <c r="AC73" i="50"/>
  <c r="AD5" i="50"/>
  <c r="AD73" i="50" s="1"/>
  <c r="Y50" i="50"/>
  <c r="Y61" i="50"/>
  <c r="Y54" i="50"/>
  <c r="Y69" i="50"/>
  <c r="Y7" i="50"/>
  <c r="AD27" i="63"/>
  <c r="AD99" i="63" s="1"/>
  <c r="AD41" i="63"/>
  <c r="AD113" i="63" s="1"/>
  <c r="AD46" i="63"/>
  <c r="AD118" i="63" s="1"/>
  <c r="AI39" i="49"/>
  <c r="AE39" i="63" s="1"/>
  <c r="AE111" i="63" s="1"/>
  <c r="AI54" i="49"/>
  <c r="AE54" i="63" s="1"/>
  <c r="AE126" i="63" s="1"/>
  <c r="AI22" i="49"/>
  <c r="AE22" i="63" s="1"/>
  <c r="AE94" i="63" s="1"/>
  <c r="AI41" i="49"/>
  <c r="AE41" i="63" s="1"/>
  <c r="AE113" i="63" s="1"/>
  <c r="U12" i="49"/>
  <c r="T12" i="63" s="1"/>
  <c r="T84" i="63" s="1"/>
  <c r="U29" i="49"/>
  <c r="T29" i="63" s="1"/>
  <c r="T101" i="63" s="1"/>
  <c r="U68" i="49"/>
  <c r="T68" i="63" s="1"/>
  <c r="T140" i="63" s="1"/>
  <c r="U45" i="49"/>
  <c r="T45" i="63" s="1"/>
  <c r="T117" i="63" s="1"/>
  <c r="U17" i="49"/>
  <c r="T17" i="63" s="1"/>
  <c r="T89" i="63" s="1"/>
  <c r="U50" i="49"/>
  <c r="T50" i="63" s="1"/>
  <c r="T122" i="63" s="1"/>
  <c r="U64" i="49"/>
  <c r="T64" i="63" s="1"/>
  <c r="T136" i="63" s="1"/>
  <c r="U8" i="49"/>
  <c r="T8" i="63" s="1"/>
  <c r="T80" i="63" s="1"/>
  <c r="U41" i="49"/>
  <c r="T41" i="63" s="1"/>
  <c r="T113" i="63" s="1"/>
  <c r="U16" i="49"/>
  <c r="T16" i="63" s="1"/>
  <c r="T88" i="63" s="1"/>
  <c r="U22" i="49"/>
  <c r="T22" i="63" s="1"/>
  <c r="T94" i="63" s="1"/>
  <c r="U61" i="49"/>
  <c r="T61" i="63" s="1"/>
  <c r="T133" i="63" s="1"/>
  <c r="U20" i="49"/>
  <c r="T20" i="63" s="1"/>
  <c r="T92" i="63" s="1"/>
  <c r="U59" i="49"/>
  <c r="T59" i="63" s="1"/>
  <c r="T131" i="63" s="1"/>
  <c r="U39" i="49"/>
  <c r="T39" i="63" s="1"/>
  <c r="T111" i="63" s="1"/>
  <c r="U65" i="49"/>
  <c r="T65" i="63" s="1"/>
  <c r="T137" i="63" s="1"/>
  <c r="U25" i="49"/>
  <c r="T25" i="63" s="1"/>
  <c r="T97" i="63" s="1"/>
  <c r="U44" i="49"/>
  <c r="T44" i="63" s="1"/>
  <c r="T116" i="63" s="1"/>
  <c r="U40" i="49"/>
  <c r="T40" i="63" s="1"/>
  <c r="T112" i="63" s="1"/>
  <c r="U62" i="49"/>
  <c r="T62" i="63" s="1"/>
  <c r="T134" i="63" s="1"/>
  <c r="U5" i="49"/>
  <c r="U21" i="49"/>
  <c r="T21" i="63" s="1"/>
  <c r="T93" i="63" s="1"/>
  <c r="U43" i="49"/>
  <c r="T43" i="63" s="1"/>
  <c r="T115" i="63" s="1"/>
  <c r="U11" i="49"/>
  <c r="T11" i="63" s="1"/>
  <c r="T83" i="63" s="1"/>
  <c r="U69" i="49"/>
  <c r="T69" i="63" s="1"/>
  <c r="T141" i="63" s="1"/>
  <c r="U15" i="49"/>
  <c r="T15" i="63" s="1"/>
  <c r="T87" i="63" s="1"/>
  <c r="U56" i="49"/>
  <c r="T56" i="63" s="1"/>
  <c r="T128" i="63" s="1"/>
  <c r="U32" i="49"/>
  <c r="T32" i="63" s="1"/>
  <c r="T104" i="63" s="1"/>
  <c r="U14" i="49"/>
  <c r="T14" i="63" s="1"/>
  <c r="T86" i="63" s="1"/>
  <c r="U66" i="49"/>
  <c r="T66" i="63" s="1"/>
  <c r="T138" i="63" s="1"/>
  <c r="U36" i="49"/>
  <c r="T36" i="63" s="1"/>
  <c r="T108" i="63" s="1"/>
  <c r="U47" i="49"/>
  <c r="T47" i="63" s="1"/>
  <c r="T119" i="63" s="1"/>
  <c r="U13" i="49"/>
  <c r="T13" i="63" s="1"/>
  <c r="T85" i="63" s="1"/>
  <c r="U49" i="49"/>
  <c r="T49" i="63" s="1"/>
  <c r="T121" i="63" s="1"/>
  <c r="U53" i="49"/>
  <c r="T53" i="63" s="1"/>
  <c r="T125" i="63" s="1"/>
  <c r="U24" i="49"/>
  <c r="T24" i="63" s="1"/>
  <c r="T96" i="63" s="1"/>
  <c r="U48" i="49"/>
  <c r="T48" i="63" s="1"/>
  <c r="T120" i="63" s="1"/>
  <c r="U9" i="49"/>
  <c r="T9" i="63" s="1"/>
  <c r="T81" i="63" s="1"/>
  <c r="U46" i="49"/>
  <c r="T46" i="63" s="1"/>
  <c r="T118" i="63" s="1"/>
  <c r="U18" i="49"/>
  <c r="T18" i="63" s="1"/>
  <c r="T90" i="63" s="1"/>
  <c r="U60" i="49"/>
  <c r="T60" i="63" s="1"/>
  <c r="T132" i="63" s="1"/>
  <c r="U37" i="49"/>
  <c r="T37" i="63" s="1"/>
  <c r="T109" i="63" s="1"/>
  <c r="U54" i="49"/>
  <c r="T54" i="63" s="1"/>
  <c r="T126" i="63" s="1"/>
  <c r="U33" i="49"/>
  <c r="T33" i="63" s="1"/>
  <c r="T105" i="63" s="1"/>
  <c r="U26" i="49"/>
  <c r="T26" i="63" s="1"/>
  <c r="T98" i="63" s="1"/>
  <c r="U57" i="49"/>
  <c r="T57" i="63" s="1"/>
  <c r="T129" i="63" s="1"/>
  <c r="U51" i="49"/>
  <c r="T51" i="63" s="1"/>
  <c r="T123" i="63" s="1"/>
  <c r="U71" i="49"/>
  <c r="T71" i="63" s="1"/>
  <c r="T143" i="63" s="1"/>
  <c r="U10" i="49"/>
  <c r="T10" i="63" s="1"/>
  <c r="T82" i="63" s="1"/>
  <c r="U31" i="49"/>
  <c r="T31" i="63" s="1"/>
  <c r="T103" i="63" s="1"/>
  <c r="AD25" i="49"/>
  <c r="AA25" i="63"/>
  <c r="AA97" i="63" s="1"/>
  <c r="AA13" i="63"/>
  <c r="AA85" i="63" s="1"/>
  <c r="AD13" i="49"/>
  <c r="AD15" i="63"/>
  <c r="AD87" i="63" s="1"/>
  <c r="AD35" i="63"/>
  <c r="AD107" i="63" s="1"/>
  <c r="AD8" i="63"/>
  <c r="AD80" i="63" s="1"/>
  <c r="AD19" i="63"/>
  <c r="AD91" i="63" s="1"/>
  <c r="AD31" i="63"/>
  <c r="AD103" i="63" s="1"/>
  <c r="AE40" i="63"/>
  <c r="AE112" i="63" s="1"/>
  <c r="AE52" i="63"/>
  <c r="AE124" i="63" s="1"/>
  <c r="X12" i="49"/>
  <c r="W12" i="63" s="1"/>
  <c r="W84" i="63" s="1"/>
  <c r="X63" i="49"/>
  <c r="W63" i="63" s="1"/>
  <c r="W135" i="63" s="1"/>
  <c r="X25" i="49"/>
  <c r="W25" i="63" s="1"/>
  <c r="W97" i="63" s="1"/>
  <c r="X48" i="49"/>
  <c r="W48" i="63" s="1"/>
  <c r="W120" i="63" s="1"/>
  <c r="X53" i="49"/>
  <c r="W53" i="63" s="1"/>
  <c r="W125" i="63" s="1"/>
  <c r="X39" i="49"/>
  <c r="W39" i="63" s="1"/>
  <c r="W111" i="63" s="1"/>
  <c r="X6" i="49"/>
  <c r="W6" i="63" s="1"/>
  <c r="W78" i="63" s="1"/>
  <c r="X51" i="49"/>
  <c r="W51" i="63" s="1"/>
  <c r="W123" i="63" s="1"/>
  <c r="X59" i="49"/>
  <c r="W59" i="63" s="1"/>
  <c r="W131" i="63" s="1"/>
  <c r="X19" i="49"/>
  <c r="W19" i="63" s="1"/>
  <c r="W91" i="63" s="1"/>
  <c r="X13" i="49"/>
  <c r="W13" i="63" s="1"/>
  <c r="W85" i="63" s="1"/>
  <c r="X49" i="49"/>
  <c r="W49" i="63" s="1"/>
  <c r="W121" i="63" s="1"/>
  <c r="X23" i="49"/>
  <c r="W23" i="63" s="1"/>
  <c r="W95" i="63" s="1"/>
  <c r="X71" i="49"/>
  <c r="W71" i="63" s="1"/>
  <c r="W143" i="63" s="1"/>
  <c r="X17" i="49"/>
  <c r="W17" i="63" s="1"/>
  <c r="W89" i="63" s="1"/>
  <c r="X30" i="49"/>
  <c r="W30" i="63" s="1"/>
  <c r="W102" i="63" s="1"/>
  <c r="X16" i="49"/>
  <c r="W16" i="63" s="1"/>
  <c r="W88" i="63" s="1"/>
  <c r="X50" i="49"/>
  <c r="W50" i="63" s="1"/>
  <c r="W122" i="63" s="1"/>
  <c r="X26" i="49"/>
  <c r="W26" i="63" s="1"/>
  <c r="W98" i="63" s="1"/>
  <c r="X36" i="49"/>
  <c r="W36" i="63" s="1"/>
  <c r="W108" i="63" s="1"/>
  <c r="X35" i="49"/>
  <c r="W35" i="63" s="1"/>
  <c r="W107" i="63" s="1"/>
  <c r="X62" i="49"/>
  <c r="W62" i="63" s="1"/>
  <c r="W134" i="63" s="1"/>
  <c r="X28" i="49"/>
  <c r="W28" i="63" s="1"/>
  <c r="W100" i="63" s="1"/>
  <c r="X34" i="49"/>
  <c r="W34" i="63" s="1"/>
  <c r="W106" i="63" s="1"/>
  <c r="X14" i="49"/>
  <c r="W14" i="63" s="1"/>
  <c r="W86" i="63" s="1"/>
  <c r="X46" i="49"/>
  <c r="W46" i="63" s="1"/>
  <c r="W118" i="63" s="1"/>
  <c r="X29" i="49"/>
  <c r="W29" i="63" s="1"/>
  <c r="W101" i="63" s="1"/>
  <c r="X18" i="49"/>
  <c r="W18" i="63" s="1"/>
  <c r="W90" i="63" s="1"/>
  <c r="X69" i="49"/>
  <c r="W69" i="63" s="1"/>
  <c r="W141" i="63" s="1"/>
  <c r="X57" i="49"/>
  <c r="W57" i="63" s="1"/>
  <c r="W129" i="63" s="1"/>
  <c r="X37" i="49"/>
  <c r="W37" i="63" s="1"/>
  <c r="W109" i="63" s="1"/>
  <c r="X68" i="49"/>
  <c r="W68" i="63" s="1"/>
  <c r="W140" i="63" s="1"/>
  <c r="X61" i="49"/>
  <c r="W61" i="63" s="1"/>
  <c r="W133" i="63" s="1"/>
  <c r="X20" i="49"/>
  <c r="W20" i="63" s="1"/>
  <c r="W92" i="63" s="1"/>
  <c r="X58" i="49"/>
  <c r="W58" i="63" s="1"/>
  <c r="W130" i="63" s="1"/>
  <c r="X31" i="49"/>
  <c r="W31" i="63" s="1"/>
  <c r="W103" i="63" s="1"/>
  <c r="X66" i="49"/>
  <c r="W66" i="63" s="1"/>
  <c r="W138" i="63" s="1"/>
  <c r="X15" i="49"/>
  <c r="W15" i="63" s="1"/>
  <c r="W87" i="63" s="1"/>
  <c r="X22" i="49"/>
  <c r="W22" i="63" s="1"/>
  <c r="W94" i="63" s="1"/>
  <c r="X32" i="49"/>
  <c r="W32" i="63" s="1"/>
  <c r="W104" i="63" s="1"/>
  <c r="X27" i="49"/>
  <c r="W27" i="63" s="1"/>
  <c r="W99" i="63" s="1"/>
  <c r="X65" i="49"/>
  <c r="W65" i="63" s="1"/>
  <c r="W137" i="63" s="1"/>
  <c r="X44" i="49"/>
  <c r="W44" i="63" s="1"/>
  <c r="W116" i="63" s="1"/>
  <c r="X54" i="49"/>
  <c r="W54" i="63" s="1"/>
  <c r="W126" i="63" s="1"/>
  <c r="X47" i="49"/>
  <c r="W47" i="63" s="1"/>
  <c r="W119" i="63" s="1"/>
  <c r="X8" i="49"/>
  <c r="W8" i="63" s="1"/>
  <c r="W80" i="63" s="1"/>
  <c r="X67" i="49"/>
  <c r="W67" i="63" s="1"/>
  <c r="W139" i="63" s="1"/>
  <c r="X33" i="49"/>
  <c r="W33" i="63" s="1"/>
  <c r="W105" i="63" s="1"/>
  <c r="X40" i="49"/>
  <c r="W40" i="63" s="1"/>
  <c r="W112" i="63" s="1"/>
  <c r="X5" i="49"/>
  <c r="X56" i="49"/>
  <c r="W56" i="63" s="1"/>
  <c r="W128" i="63" s="1"/>
  <c r="X52" i="49"/>
  <c r="W52" i="63" s="1"/>
  <c r="W124" i="63" s="1"/>
  <c r="X11" i="49"/>
  <c r="W11" i="63" s="1"/>
  <c r="W83" i="63" s="1"/>
  <c r="X43" i="49"/>
  <c r="W43" i="63" s="1"/>
  <c r="W115" i="63" s="1"/>
  <c r="X41" i="49"/>
  <c r="W41" i="63" s="1"/>
  <c r="W113" i="63" s="1"/>
  <c r="X9" i="49"/>
  <c r="W9" i="63" s="1"/>
  <c r="W81" i="63" s="1"/>
  <c r="X42" i="49"/>
  <c r="W42" i="63" s="1"/>
  <c r="W114" i="63" s="1"/>
  <c r="X60" i="49"/>
  <c r="W60" i="63" s="1"/>
  <c r="W132" i="63" s="1"/>
  <c r="X24" i="49"/>
  <c r="W24" i="63" s="1"/>
  <c r="W96" i="63" s="1"/>
  <c r="T28" i="63"/>
  <c r="T100" i="63" s="1"/>
  <c r="T67" i="63"/>
  <c r="T139" i="63" s="1"/>
  <c r="T70" i="63"/>
  <c r="T142" i="63" s="1"/>
  <c r="AD57" i="49"/>
  <c r="AA57" i="63"/>
  <c r="AA129" i="63" s="1"/>
  <c r="M35" i="50"/>
  <c r="M28" i="50"/>
  <c r="M58" i="50"/>
  <c r="M43" i="50"/>
  <c r="M40" i="50"/>
  <c r="M5" i="50"/>
  <c r="M73" i="48"/>
  <c r="M78" i="48" s="1"/>
  <c r="M26" i="49" s="1"/>
  <c r="M26" i="63" s="1"/>
  <c r="M98" i="63" s="1"/>
  <c r="M44" i="50"/>
  <c r="M23" i="50"/>
  <c r="M23" i="49"/>
  <c r="Y57" i="50"/>
  <c r="Y67" i="50"/>
  <c r="Y62" i="50"/>
  <c r="Y44" i="50"/>
  <c r="W12" i="49"/>
  <c r="V12" i="63" s="1"/>
  <c r="V84" i="63" s="1"/>
  <c r="W36" i="49"/>
  <c r="V36" i="63" s="1"/>
  <c r="V108" i="63" s="1"/>
  <c r="W41" i="49"/>
  <c r="V41" i="63" s="1"/>
  <c r="V113" i="63" s="1"/>
  <c r="W27" i="49"/>
  <c r="V27" i="63" s="1"/>
  <c r="V99" i="63" s="1"/>
  <c r="W21" i="49"/>
  <c r="V21" i="63" s="1"/>
  <c r="V93" i="63" s="1"/>
  <c r="W14" i="49"/>
  <c r="V14" i="63" s="1"/>
  <c r="V86" i="63" s="1"/>
  <c r="W66" i="49"/>
  <c r="V66" i="63" s="1"/>
  <c r="V138" i="63" s="1"/>
  <c r="W62" i="49"/>
  <c r="V62" i="63" s="1"/>
  <c r="V134" i="63" s="1"/>
  <c r="W37" i="49"/>
  <c r="V37" i="63" s="1"/>
  <c r="V109" i="63" s="1"/>
  <c r="W24" i="49"/>
  <c r="V24" i="63" s="1"/>
  <c r="V96" i="63" s="1"/>
  <c r="W6" i="49"/>
  <c r="V6" i="63" s="1"/>
  <c r="V78" i="63" s="1"/>
  <c r="W53" i="49"/>
  <c r="V53" i="63" s="1"/>
  <c r="V125" i="63" s="1"/>
  <c r="W16" i="49"/>
  <c r="V16" i="63" s="1"/>
  <c r="V88" i="63" s="1"/>
  <c r="W43" i="49"/>
  <c r="V43" i="63" s="1"/>
  <c r="V115" i="63" s="1"/>
  <c r="W9" i="49"/>
  <c r="V9" i="63" s="1"/>
  <c r="V81" i="63" s="1"/>
  <c r="W54" i="49"/>
  <c r="V54" i="63" s="1"/>
  <c r="V126" i="63" s="1"/>
  <c r="W15" i="49"/>
  <c r="V15" i="63" s="1"/>
  <c r="V87" i="63" s="1"/>
  <c r="W11" i="49"/>
  <c r="V11" i="63" s="1"/>
  <c r="V83" i="63" s="1"/>
  <c r="W47" i="49"/>
  <c r="V47" i="63" s="1"/>
  <c r="V119" i="63" s="1"/>
  <c r="W55" i="49"/>
  <c r="V55" i="63" s="1"/>
  <c r="V127" i="63" s="1"/>
  <c r="W28" i="49"/>
  <c r="V28" i="63" s="1"/>
  <c r="V100" i="63" s="1"/>
  <c r="W8" i="49"/>
  <c r="V8" i="63" s="1"/>
  <c r="V80" i="63" s="1"/>
  <c r="W29" i="49"/>
  <c r="V29" i="63" s="1"/>
  <c r="V101" i="63" s="1"/>
  <c r="W49" i="49"/>
  <c r="V49" i="63" s="1"/>
  <c r="V121" i="63" s="1"/>
  <c r="W5" i="49"/>
  <c r="W22" i="49"/>
  <c r="V22" i="63" s="1"/>
  <c r="V94" i="63" s="1"/>
  <c r="W17" i="49"/>
  <c r="V17" i="63" s="1"/>
  <c r="V89" i="63" s="1"/>
  <c r="W18" i="49"/>
  <c r="V18" i="63" s="1"/>
  <c r="V90" i="63" s="1"/>
  <c r="W67" i="49"/>
  <c r="V67" i="63" s="1"/>
  <c r="V139" i="63" s="1"/>
  <c r="W42" i="49"/>
  <c r="V42" i="63" s="1"/>
  <c r="V114" i="63" s="1"/>
  <c r="W34" i="49"/>
  <c r="V34" i="63" s="1"/>
  <c r="V106" i="63" s="1"/>
  <c r="W56" i="49"/>
  <c r="V56" i="63" s="1"/>
  <c r="V128" i="63" s="1"/>
  <c r="W30" i="49"/>
  <c r="V30" i="63" s="1"/>
  <c r="V102" i="63" s="1"/>
  <c r="W48" i="49"/>
  <c r="V48" i="63" s="1"/>
  <c r="V120" i="63" s="1"/>
  <c r="W60" i="49"/>
  <c r="V60" i="63" s="1"/>
  <c r="V132" i="63" s="1"/>
  <c r="W57" i="49"/>
  <c r="V57" i="63" s="1"/>
  <c r="V129" i="63" s="1"/>
  <c r="W31" i="49"/>
  <c r="V31" i="63" s="1"/>
  <c r="V103" i="63" s="1"/>
  <c r="W39" i="49"/>
  <c r="V39" i="63" s="1"/>
  <c r="V111" i="63" s="1"/>
  <c r="W61" i="49"/>
  <c r="V61" i="63" s="1"/>
  <c r="V133" i="63" s="1"/>
  <c r="W23" i="49"/>
  <c r="V23" i="63" s="1"/>
  <c r="V95" i="63" s="1"/>
  <c r="W20" i="49"/>
  <c r="V20" i="63" s="1"/>
  <c r="V92" i="63" s="1"/>
  <c r="W40" i="49"/>
  <c r="V40" i="63" s="1"/>
  <c r="V112" i="63" s="1"/>
  <c r="W70" i="49"/>
  <c r="V70" i="63" s="1"/>
  <c r="V142" i="63" s="1"/>
  <c r="W46" i="49"/>
  <c r="V46" i="63" s="1"/>
  <c r="V118" i="63" s="1"/>
  <c r="W58" i="49"/>
  <c r="V58" i="63" s="1"/>
  <c r="V130" i="63" s="1"/>
  <c r="W63" i="49"/>
  <c r="V63" i="63" s="1"/>
  <c r="V135" i="63" s="1"/>
  <c r="W32" i="49"/>
  <c r="V32" i="63" s="1"/>
  <c r="V104" i="63" s="1"/>
  <c r="W35" i="49"/>
  <c r="V35" i="63" s="1"/>
  <c r="V107" i="63" s="1"/>
  <c r="W68" i="49"/>
  <c r="V68" i="63" s="1"/>
  <c r="V140" i="63" s="1"/>
  <c r="W64" i="49"/>
  <c r="V64" i="63" s="1"/>
  <c r="V136" i="63" s="1"/>
  <c r="AC46" i="49"/>
  <c r="Y64" i="50"/>
  <c r="Y12" i="49"/>
  <c r="X12" i="63" s="1"/>
  <c r="X84" i="63" s="1"/>
  <c r="Y61" i="49"/>
  <c r="Y10" i="49"/>
  <c r="Y64" i="49"/>
  <c r="Y15" i="49"/>
  <c r="X15" i="63" s="1"/>
  <c r="X87" i="63" s="1"/>
  <c r="Y46" i="49"/>
  <c r="X46" i="63" s="1"/>
  <c r="X118" i="63" s="1"/>
  <c r="Y35" i="49"/>
  <c r="X35" i="63" s="1"/>
  <c r="X107" i="63" s="1"/>
  <c r="Y66" i="49"/>
  <c r="X66" i="63" s="1"/>
  <c r="X138" i="63" s="1"/>
  <c r="Y38" i="49"/>
  <c r="X38" i="63" s="1"/>
  <c r="X110" i="63" s="1"/>
  <c r="Y45" i="49"/>
  <c r="X45" i="63" s="1"/>
  <c r="X117" i="63" s="1"/>
  <c r="Y42" i="49"/>
  <c r="X42" i="63" s="1"/>
  <c r="X114" i="63" s="1"/>
  <c r="Y47" i="49"/>
  <c r="Y9" i="49"/>
  <c r="X9" i="63" s="1"/>
  <c r="X81" i="63" s="1"/>
  <c r="Y62" i="49"/>
  <c r="X62" i="63" s="1"/>
  <c r="X134" i="63" s="1"/>
  <c r="Y18" i="49"/>
  <c r="X18" i="63" s="1"/>
  <c r="X90" i="63" s="1"/>
  <c r="Y59" i="49"/>
  <c r="X59" i="63" s="1"/>
  <c r="X131" i="63" s="1"/>
  <c r="Y49" i="49"/>
  <c r="X49" i="63" s="1"/>
  <c r="X121" i="63" s="1"/>
  <c r="Y67" i="49"/>
  <c r="X67" i="63" s="1"/>
  <c r="X139" i="63" s="1"/>
  <c r="Y21" i="49"/>
  <c r="X21" i="63" s="1"/>
  <c r="X93" i="63" s="1"/>
  <c r="Y70" i="49"/>
  <c r="X70" i="63" s="1"/>
  <c r="X142" i="63" s="1"/>
  <c r="Y27" i="49"/>
  <c r="X27" i="63" s="1"/>
  <c r="X99" i="63" s="1"/>
  <c r="Y65" i="49"/>
  <c r="X65" i="63" s="1"/>
  <c r="X137" i="63" s="1"/>
  <c r="Y6" i="49"/>
  <c r="Y69" i="49"/>
  <c r="Y20" i="49"/>
  <c r="Y7" i="49"/>
  <c r="X7" i="63" s="1"/>
  <c r="X79" i="63" s="1"/>
  <c r="Y5" i="49"/>
  <c r="Y26" i="49"/>
  <c r="X26" i="63" s="1"/>
  <c r="X98" i="63" s="1"/>
  <c r="Y17" i="49"/>
  <c r="X17" i="63" s="1"/>
  <c r="X89" i="63" s="1"/>
  <c r="Y22" i="49"/>
  <c r="X22" i="63" s="1"/>
  <c r="X94" i="63" s="1"/>
  <c r="Y51" i="49"/>
  <c r="Y16" i="49"/>
  <c r="X16" i="63" s="1"/>
  <c r="X88" i="63" s="1"/>
  <c r="Y53" i="49"/>
  <c r="Y24" i="49"/>
  <c r="X24" i="63" s="1"/>
  <c r="X96" i="63" s="1"/>
  <c r="Y55" i="49"/>
  <c r="X55" i="63" s="1"/>
  <c r="X127" i="63" s="1"/>
  <c r="Y28" i="49"/>
  <c r="Y71" i="49"/>
  <c r="X71" i="63" s="1"/>
  <c r="X143" i="63" s="1"/>
  <c r="Y40" i="49"/>
  <c r="X40" i="63" s="1"/>
  <c r="X112" i="63" s="1"/>
  <c r="Y44" i="49"/>
  <c r="Y33" i="49"/>
  <c r="Y48" i="49"/>
  <c r="X48" i="63" s="1"/>
  <c r="X120" i="63" s="1"/>
  <c r="Y37" i="49"/>
  <c r="X37" i="63" s="1"/>
  <c r="X109" i="63" s="1"/>
  <c r="Y50" i="49"/>
  <c r="X50" i="63" s="1"/>
  <c r="X122" i="63" s="1"/>
  <c r="Y39" i="49"/>
  <c r="X39" i="63" s="1"/>
  <c r="X111" i="63" s="1"/>
  <c r="Y56" i="49"/>
  <c r="Y29" i="49"/>
  <c r="X29" i="63" s="1"/>
  <c r="X101" i="63" s="1"/>
  <c r="Y32" i="49"/>
  <c r="X32" i="63" s="1"/>
  <c r="X104" i="63" s="1"/>
  <c r="Y25" i="49"/>
  <c r="X25" i="63" s="1"/>
  <c r="X97" i="63" s="1"/>
  <c r="Y58" i="49"/>
  <c r="X58" i="63" s="1"/>
  <c r="X130" i="63" s="1"/>
  <c r="Y34" i="49"/>
  <c r="X34" i="63" s="1"/>
  <c r="X106" i="63" s="1"/>
  <c r="Y63" i="49"/>
  <c r="X63" i="63" s="1"/>
  <c r="X135" i="63" s="1"/>
  <c r="Y36" i="49"/>
  <c r="X36" i="63" s="1"/>
  <c r="X108" i="63" s="1"/>
  <c r="Y23" i="49"/>
  <c r="Y14" i="49"/>
  <c r="X14" i="63" s="1"/>
  <c r="X86" i="63" s="1"/>
  <c r="Y60" i="49"/>
  <c r="Y31" i="49"/>
  <c r="X31" i="63" s="1"/>
  <c r="X103" i="63" s="1"/>
  <c r="Y68" i="49"/>
  <c r="X68" i="63" s="1"/>
  <c r="X140" i="63" s="1"/>
  <c r="Y8" i="49"/>
  <c r="Y57" i="49"/>
  <c r="X57" i="63" s="1"/>
  <c r="X129" i="63" s="1"/>
  <c r="Y11" i="49"/>
  <c r="X11" i="63" s="1"/>
  <c r="X83" i="63" s="1"/>
  <c r="Y54" i="49"/>
  <c r="Y43" i="49"/>
  <c r="X43" i="63" s="1"/>
  <c r="X115" i="63" s="1"/>
  <c r="Y52" i="49"/>
  <c r="X52" i="63" s="1"/>
  <c r="X124" i="63" s="1"/>
  <c r="Y41" i="49"/>
  <c r="X41" i="63" s="1"/>
  <c r="X113" i="63" s="1"/>
  <c r="Y13" i="49"/>
  <c r="Y30" i="49"/>
  <c r="X30" i="63" s="1"/>
  <c r="X102" i="63" s="1"/>
  <c r="Y19" i="49"/>
  <c r="X19" i="63" s="1"/>
  <c r="X91" i="63" s="1"/>
  <c r="Y8" i="50"/>
  <c r="Y6" i="50"/>
  <c r="Y13" i="50"/>
  <c r="W10" i="49"/>
  <c r="V10" i="63" s="1"/>
  <c r="V82" i="63" s="1"/>
  <c r="W59" i="49"/>
  <c r="V59" i="63" s="1"/>
  <c r="V131" i="63" s="1"/>
  <c r="AH73" i="50"/>
  <c r="AI23" i="49"/>
  <c r="AE23" i="63" s="1"/>
  <c r="AE95" i="63" s="1"/>
  <c r="AI59" i="49"/>
  <c r="AE59" i="63" s="1"/>
  <c r="AE131" i="63" s="1"/>
  <c r="AI5" i="49"/>
  <c r="AI61" i="49"/>
  <c r="AE61" i="63" s="1"/>
  <c r="AE133" i="63" s="1"/>
  <c r="X55" i="49"/>
  <c r="W55" i="63" s="1"/>
  <c r="W127" i="63" s="1"/>
  <c r="X21" i="49"/>
  <c r="W21" i="63" s="1"/>
  <c r="W93" i="63" s="1"/>
  <c r="T34" i="63"/>
  <c r="T106" i="63" s="1"/>
  <c r="T52" i="63"/>
  <c r="T124" i="63" s="1"/>
  <c r="AC31" i="49"/>
  <c r="AC53" i="49"/>
  <c r="AD73" i="48"/>
  <c r="Y47" i="50"/>
  <c r="Y53" i="50"/>
  <c r="Y51" i="50"/>
  <c r="Y60" i="50"/>
  <c r="W25" i="49"/>
  <c r="V25" i="63" s="1"/>
  <c r="V97" i="63" s="1"/>
  <c r="W65" i="49"/>
  <c r="V65" i="63" s="1"/>
  <c r="V137" i="63" s="1"/>
  <c r="AH25" i="49"/>
  <c r="AD25" i="63" s="1"/>
  <c r="AD97" i="63" s="1"/>
  <c r="AH70" i="49"/>
  <c r="AD70" i="63" s="1"/>
  <c r="AD142" i="63" s="1"/>
  <c r="H7" i="66"/>
  <c r="H13" i="66" s="1"/>
  <c r="W38" i="54"/>
  <c r="X38" i="54" s="1"/>
  <c r="G7" i="66"/>
  <c r="G13" i="66" s="1"/>
  <c r="E11" i="66"/>
  <c r="P39" i="53"/>
  <c r="L39" i="64"/>
  <c r="L90" i="64" s="1"/>
  <c r="P11" i="53"/>
  <c r="L11" i="64"/>
  <c r="L62" i="64" s="1"/>
  <c r="P24" i="53"/>
  <c r="L24" i="64"/>
  <c r="L75" i="64" s="1"/>
  <c r="F9" i="65"/>
  <c r="F11" i="65"/>
  <c r="E15" i="66"/>
  <c r="E14" i="66"/>
  <c r="P33" i="53"/>
  <c r="L33" i="64"/>
  <c r="L84" i="64" s="1"/>
  <c r="P27" i="53"/>
  <c r="L27" i="64"/>
  <c r="L78" i="64" s="1"/>
  <c r="P29" i="53"/>
  <c r="L29" i="64"/>
  <c r="L80" i="64" s="1"/>
  <c r="P31" i="53"/>
  <c r="L31" i="64"/>
  <c r="L82" i="64" s="1"/>
  <c r="P26" i="53"/>
  <c r="L26" i="64"/>
  <c r="L77" i="64" s="1"/>
  <c r="P35" i="53"/>
  <c r="L35" i="64"/>
  <c r="L86" i="64" s="1"/>
  <c r="P8" i="53"/>
  <c r="AA8" i="53" s="1"/>
  <c r="L8" i="64"/>
  <c r="L59" i="64" s="1"/>
  <c r="P37" i="53"/>
  <c r="L37" i="64"/>
  <c r="L88" i="64" s="1"/>
  <c r="X42" i="54"/>
  <c r="X36" i="54"/>
  <c r="AA36" i="54" s="1"/>
  <c r="AE75" i="50"/>
  <c r="AE75" i="49"/>
  <c r="AO74" i="49" s="1"/>
  <c r="AE75" i="48"/>
  <c r="W29" i="54"/>
  <c r="E42" i="5"/>
  <c r="W54" i="54"/>
  <c r="W54" i="53"/>
  <c r="W54" i="51"/>
  <c r="W54" i="52"/>
  <c r="W57" i="52" s="1"/>
  <c r="R12" i="49"/>
  <c r="R12" i="63" s="1"/>
  <c r="R84" i="63" s="1"/>
  <c r="R62" i="49"/>
  <c r="R62" i="63" s="1"/>
  <c r="R134" i="63" s="1"/>
  <c r="R66" i="49"/>
  <c r="R66" i="63" s="1"/>
  <c r="R138" i="63" s="1"/>
  <c r="R13" i="49"/>
  <c r="R13" i="63" s="1"/>
  <c r="R85" i="63" s="1"/>
  <c r="R20" i="49"/>
  <c r="R20" i="63" s="1"/>
  <c r="R92" i="63" s="1"/>
  <c r="R32" i="49"/>
  <c r="R32" i="63" s="1"/>
  <c r="R104" i="63" s="1"/>
  <c r="R58" i="49"/>
  <c r="R58" i="63" s="1"/>
  <c r="R130" i="63" s="1"/>
  <c r="R50" i="49"/>
  <c r="R50" i="63" s="1"/>
  <c r="R122" i="63" s="1"/>
  <c r="R70" i="49"/>
  <c r="R70" i="63" s="1"/>
  <c r="R142" i="63" s="1"/>
  <c r="R37" i="49"/>
  <c r="R37" i="63" s="1"/>
  <c r="R109" i="63" s="1"/>
  <c r="R7" i="49"/>
  <c r="R7" i="63" s="1"/>
  <c r="R79" i="63" s="1"/>
  <c r="R25" i="49"/>
  <c r="R25" i="63" s="1"/>
  <c r="R97" i="63" s="1"/>
  <c r="R16" i="49"/>
  <c r="R16" i="63" s="1"/>
  <c r="R88" i="63" s="1"/>
  <c r="R54" i="49"/>
  <c r="R54" i="63" s="1"/>
  <c r="R126" i="63" s="1"/>
  <c r="R11" i="49"/>
  <c r="R11" i="63" s="1"/>
  <c r="R83" i="63" s="1"/>
  <c r="R39" i="49"/>
  <c r="R39" i="63" s="1"/>
  <c r="R111" i="63" s="1"/>
  <c r="R29" i="49"/>
  <c r="R29" i="63" s="1"/>
  <c r="R101" i="63" s="1"/>
  <c r="R44" i="49"/>
  <c r="R47" i="49"/>
  <c r="R59" i="49"/>
  <c r="R59" i="63" s="1"/>
  <c r="R131" i="63" s="1"/>
  <c r="R71" i="49"/>
  <c r="R71" i="63" s="1"/>
  <c r="R143" i="63" s="1"/>
  <c r="R57" i="49"/>
  <c r="R57" i="63" s="1"/>
  <c r="R129" i="63" s="1"/>
  <c r="R56" i="49"/>
  <c r="R56" i="63" s="1"/>
  <c r="R128" i="63" s="1"/>
  <c r="R33" i="49"/>
  <c r="R33" i="63" s="1"/>
  <c r="R105" i="63" s="1"/>
  <c r="R41" i="49"/>
  <c r="R17" i="49"/>
  <c r="R17" i="63" s="1"/>
  <c r="R89" i="63" s="1"/>
  <c r="R34" i="49"/>
  <c r="R34" i="63" s="1"/>
  <c r="R106" i="63" s="1"/>
  <c r="R42" i="49"/>
  <c r="R24" i="49"/>
  <c r="R24" i="63" s="1"/>
  <c r="R96" i="63" s="1"/>
  <c r="R46" i="49"/>
  <c r="R49" i="49"/>
  <c r="R65" i="49"/>
  <c r="R65" i="63" s="1"/>
  <c r="R137" i="63" s="1"/>
  <c r="R55" i="49"/>
  <c r="R55" i="63" s="1"/>
  <c r="R127" i="63" s="1"/>
  <c r="R60" i="49"/>
  <c r="R60" i="63" s="1"/>
  <c r="R132" i="63" s="1"/>
  <c r="R6" i="49"/>
  <c r="R6" i="63" s="1"/>
  <c r="R78" i="63" s="1"/>
  <c r="R18" i="49"/>
  <c r="R18" i="63" s="1"/>
  <c r="R90" i="63" s="1"/>
  <c r="R35" i="49"/>
  <c r="R35" i="63" s="1"/>
  <c r="R107" i="63" s="1"/>
  <c r="R43" i="49"/>
  <c r="R23" i="49"/>
  <c r="R23" i="63" s="1"/>
  <c r="R95" i="63" s="1"/>
  <c r="R5" i="49"/>
  <c r="R5" i="63" s="1"/>
  <c r="R77" i="63" s="1"/>
  <c r="R68" i="49"/>
  <c r="R68" i="63" s="1"/>
  <c r="R140" i="63" s="1"/>
  <c r="R61" i="49"/>
  <c r="R61" i="63" s="1"/>
  <c r="R133" i="63" s="1"/>
  <c r="R67" i="49"/>
  <c r="R67" i="63" s="1"/>
  <c r="R139" i="63" s="1"/>
  <c r="R69" i="49"/>
  <c r="R69" i="63" s="1"/>
  <c r="R141" i="63" s="1"/>
  <c r="R8" i="49"/>
  <c r="R8" i="63" s="1"/>
  <c r="R80" i="63" s="1"/>
  <c r="R21" i="49"/>
  <c r="R21" i="63" s="1"/>
  <c r="R93" i="63" s="1"/>
  <c r="R10" i="49"/>
  <c r="R10" i="63" s="1"/>
  <c r="R82" i="63" s="1"/>
  <c r="R26" i="49"/>
  <c r="R26" i="63" s="1"/>
  <c r="R98" i="63" s="1"/>
  <c r="R38" i="49"/>
  <c r="R38" i="63" s="1"/>
  <c r="R110" i="63" s="1"/>
  <c r="R31" i="49"/>
  <c r="R31" i="63" s="1"/>
  <c r="R103" i="63" s="1"/>
  <c r="R45" i="49"/>
  <c r="R45" i="63" s="1"/>
  <c r="R117" i="63" s="1"/>
  <c r="R63" i="49"/>
  <c r="R63" i="63" s="1"/>
  <c r="R135" i="63" s="1"/>
  <c r="R52" i="49"/>
  <c r="R52" i="63" s="1"/>
  <c r="R124" i="63" s="1"/>
  <c r="R64" i="49"/>
  <c r="R64" i="63" s="1"/>
  <c r="R136" i="63" s="1"/>
  <c r="R51" i="49"/>
  <c r="R51" i="63" s="1"/>
  <c r="R123" i="63" s="1"/>
  <c r="R53" i="49"/>
  <c r="R53" i="63" s="1"/>
  <c r="R125" i="63" s="1"/>
  <c r="R27" i="49"/>
  <c r="R27" i="63" s="1"/>
  <c r="R99" i="63" s="1"/>
  <c r="R15" i="49"/>
  <c r="R15" i="63" s="1"/>
  <c r="R87" i="63" s="1"/>
  <c r="R30" i="49"/>
  <c r="R30" i="63" s="1"/>
  <c r="R102" i="63" s="1"/>
  <c r="R14" i="49"/>
  <c r="R14" i="63" s="1"/>
  <c r="R86" i="63" s="1"/>
  <c r="R40" i="49"/>
  <c r="R40" i="63" s="1"/>
  <c r="R112" i="63" s="1"/>
  <c r="R19" i="49"/>
  <c r="R19" i="63" s="1"/>
  <c r="R91" i="63" s="1"/>
  <c r="R22" i="49"/>
  <c r="R22" i="63" s="1"/>
  <c r="R94" i="63" s="1"/>
  <c r="R36" i="49"/>
  <c r="R36" i="63" s="1"/>
  <c r="R108" i="63" s="1"/>
  <c r="R9" i="49"/>
  <c r="R9" i="63" s="1"/>
  <c r="R81" i="63" s="1"/>
  <c r="R28" i="49"/>
  <c r="R28" i="63" s="1"/>
  <c r="R100" i="63" s="1"/>
  <c r="R48" i="49"/>
  <c r="W39" i="54"/>
  <c r="W30" i="54"/>
  <c r="S12" i="49"/>
  <c r="S59" i="49"/>
  <c r="S71" i="49"/>
  <c r="S57" i="49"/>
  <c r="S56" i="49"/>
  <c r="S33" i="49"/>
  <c r="S41" i="49"/>
  <c r="S17" i="49"/>
  <c r="S34" i="49"/>
  <c r="S42" i="49"/>
  <c r="S24" i="49"/>
  <c r="S46" i="49"/>
  <c r="S49" i="49"/>
  <c r="S65" i="49"/>
  <c r="S55" i="49"/>
  <c r="S60" i="49"/>
  <c r="S6" i="49"/>
  <c r="S18" i="49"/>
  <c r="S35" i="49"/>
  <c r="S43" i="49"/>
  <c r="S23" i="49"/>
  <c r="S5" i="49"/>
  <c r="S68" i="49"/>
  <c r="S61" i="49"/>
  <c r="S67" i="49"/>
  <c r="S69" i="49"/>
  <c r="S8" i="49"/>
  <c r="S21" i="49"/>
  <c r="S10" i="49"/>
  <c r="S26" i="49"/>
  <c r="S38" i="49"/>
  <c r="S31" i="49"/>
  <c r="S45" i="49"/>
  <c r="S63" i="49"/>
  <c r="S52" i="49"/>
  <c r="S64" i="49"/>
  <c r="S51" i="49"/>
  <c r="S53" i="49"/>
  <c r="S27" i="49"/>
  <c r="S15" i="49"/>
  <c r="S30" i="49"/>
  <c r="S14" i="49"/>
  <c r="S40" i="49"/>
  <c r="S19" i="49"/>
  <c r="S62" i="49"/>
  <c r="S66" i="49"/>
  <c r="S13" i="49"/>
  <c r="S20" i="49"/>
  <c r="S32" i="49"/>
  <c r="S58" i="49"/>
  <c r="S50" i="49"/>
  <c r="S22" i="49"/>
  <c r="S36" i="49"/>
  <c r="S9" i="49"/>
  <c r="S28" i="49"/>
  <c r="S48" i="49"/>
  <c r="S70" i="49"/>
  <c r="S37" i="49"/>
  <c r="S7" i="49"/>
  <c r="S25" i="49"/>
  <c r="S16" i="49"/>
  <c r="S54" i="49"/>
  <c r="S11" i="49"/>
  <c r="S39" i="49"/>
  <c r="S29" i="49"/>
  <c r="S44" i="49"/>
  <c r="S47" i="49"/>
  <c r="AM78" i="47"/>
  <c r="AM76" i="50"/>
  <c r="AM76" i="49"/>
  <c r="AM76" i="48"/>
  <c r="W35" i="54"/>
  <c r="E23" i="5"/>
  <c r="E46" i="5" s="1"/>
  <c r="AE77" i="47"/>
  <c r="AA256" i="58" l="1"/>
  <c r="AA492" i="57"/>
  <c r="AA509" i="57"/>
  <c r="AA484" i="57"/>
  <c r="AA515" i="57"/>
  <c r="AA487" i="57"/>
  <c r="AA241" i="58"/>
  <c r="AA500" i="57"/>
  <c r="AA489" i="57"/>
  <c r="AA497" i="57"/>
  <c r="L497" i="61" s="1"/>
  <c r="O497" i="61" s="1"/>
  <c r="AA243" i="58"/>
  <c r="AA507" i="57"/>
  <c r="L507" i="61" s="1"/>
  <c r="O507" i="61" s="1"/>
  <c r="AA259" i="58"/>
  <c r="AA493" i="57"/>
  <c r="AA235" i="58"/>
  <c r="AA262" i="58"/>
  <c r="AA494" i="57"/>
  <c r="AA516" i="57"/>
  <c r="AA261" i="58"/>
  <c r="AA483" i="57"/>
  <c r="AA486" i="57"/>
  <c r="AA242" i="58"/>
  <c r="AA513" i="57"/>
  <c r="AA488" i="57"/>
  <c r="L488" i="61" s="1"/>
  <c r="O488" i="61" s="1"/>
  <c r="AA485" i="57"/>
  <c r="AA251" i="58"/>
  <c r="AA232" i="58"/>
  <c r="AA230" i="58"/>
  <c r="AA496" i="57"/>
  <c r="AA499" i="57"/>
  <c r="AA257" i="58"/>
  <c r="AA495" i="57"/>
  <c r="AA481" i="57"/>
  <c r="AA265" i="58"/>
  <c r="AA249" i="58"/>
  <c r="AA502" i="57"/>
  <c r="AG502" i="57" s="1"/>
  <c r="AA260" i="58"/>
  <c r="AA245" i="58"/>
  <c r="AA504" i="57"/>
  <c r="AA505" i="57"/>
  <c r="AA480" i="57"/>
  <c r="AA267" i="58"/>
  <c r="AA250" i="58"/>
  <c r="AA237" i="58"/>
  <c r="AA240" i="58"/>
  <c r="AA263" i="58"/>
  <c r="AA258" i="58"/>
  <c r="AA231" i="58"/>
  <c r="AA248" i="58"/>
  <c r="AA490" i="57"/>
  <c r="AA246" i="58"/>
  <c r="AA255" i="58"/>
  <c r="AA512" i="57"/>
  <c r="AA247" i="58"/>
  <c r="AA508" i="57"/>
  <c r="L508" i="61" s="1"/>
  <c r="O508" i="61" s="1"/>
  <c r="AA266" i="58"/>
  <c r="AA506" i="57"/>
  <c r="AA264" i="58"/>
  <c r="AA482" i="57"/>
  <c r="AG482" i="57" s="1"/>
  <c r="AA238" i="58"/>
  <c r="AA479" i="57"/>
  <c r="AA244" i="58"/>
  <c r="AA234" i="58"/>
  <c r="AA491" i="57"/>
  <c r="AA236" i="58"/>
  <c r="AA498" i="57"/>
  <c r="AA233" i="58"/>
  <c r="AA511" i="57"/>
  <c r="AA253" i="58"/>
  <c r="AA514" i="57"/>
  <c r="AA510" i="57"/>
  <c r="AA239" i="58"/>
  <c r="D11" i="66"/>
  <c r="D9" i="66"/>
  <c r="AA93" i="58"/>
  <c r="AA84" i="58"/>
  <c r="AA196" i="57"/>
  <c r="AA85" i="58"/>
  <c r="AA89" i="58"/>
  <c r="AA192" i="57"/>
  <c r="AA92" i="58"/>
  <c r="AA194" i="57"/>
  <c r="AG194" i="57" s="1"/>
  <c r="AA195" i="57"/>
  <c r="AA187" i="57"/>
  <c r="AA191" i="57"/>
  <c r="AA189" i="57"/>
  <c r="AA188" i="57"/>
  <c r="AA190" i="57"/>
  <c r="AA88" i="58"/>
  <c r="AA86" i="58"/>
  <c r="AA193" i="57"/>
  <c r="AA90" i="58"/>
  <c r="AA87" i="58"/>
  <c r="AA91" i="58"/>
  <c r="V49" i="53"/>
  <c r="S49" i="64"/>
  <c r="S100" i="64" s="1"/>
  <c r="P5" i="54"/>
  <c r="L52" i="54"/>
  <c r="V22" i="53"/>
  <c r="S22" i="64"/>
  <c r="S73" i="64" s="1"/>
  <c r="P29" i="54"/>
  <c r="M52" i="54"/>
  <c r="S28" i="64"/>
  <c r="S79" i="64" s="1"/>
  <c r="V28" i="53"/>
  <c r="M29" i="64"/>
  <c r="M80" i="64" s="1"/>
  <c r="W19" i="54"/>
  <c r="X19" i="54" s="1"/>
  <c r="V10" i="53"/>
  <c r="S10" i="64"/>
  <c r="S61" i="64" s="1"/>
  <c r="N42" i="64"/>
  <c r="N93" i="64" s="1"/>
  <c r="D7" i="66" s="1"/>
  <c r="D13" i="66" s="1"/>
  <c r="S29" i="64"/>
  <c r="S80" i="64" s="1"/>
  <c r="V29" i="53"/>
  <c r="AA5" i="52"/>
  <c r="P52" i="52"/>
  <c r="Z45" i="53"/>
  <c r="U45" i="64"/>
  <c r="U96" i="64" s="1"/>
  <c r="Z19" i="53"/>
  <c r="U19" i="64"/>
  <c r="U70" i="64" s="1"/>
  <c r="M38" i="64"/>
  <c r="M89" i="64" s="1"/>
  <c r="P38" i="53"/>
  <c r="AA50" i="52"/>
  <c r="L21" i="64"/>
  <c r="L72" i="64" s="1"/>
  <c r="W33" i="54"/>
  <c r="X33" i="54" s="1"/>
  <c r="AA33" i="54" s="1"/>
  <c r="S17" i="74" s="1"/>
  <c r="H14" i="66"/>
  <c r="AA51" i="63"/>
  <c r="AA123" i="63" s="1"/>
  <c r="M52" i="53"/>
  <c r="M5" i="64"/>
  <c r="M56" i="64" s="1"/>
  <c r="AA31" i="52"/>
  <c r="AA17" i="52"/>
  <c r="W17" i="53" s="1"/>
  <c r="Z37" i="53"/>
  <c r="U37" i="64"/>
  <c r="U88" i="64" s="1"/>
  <c r="P45" i="54"/>
  <c r="L45" i="64"/>
  <c r="L96" i="64" s="1"/>
  <c r="Z50" i="53"/>
  <c r="U50" i="64"/>
  <c r="U101" i="64" s="1"/>
  <c r="P17" i="53"/>
  <c r="M17" i="64"/>
  <c r="M68" i="64" s="1"/>
  <c r="S20" i="64"/>
  <c r="S71" i="64" s="1"/>
  <c r="V20" i="53"/>
  <c r="P34" i="53"/>
  <c r="L34" i="64"/>
  <c r="L85" i="64" s="1"/>
  <c r="Z23" i="53"/>
  <c r="U23" i="64"/>
  <c r="U74" i="64" s="1"/>
  <c r="P49" i="53"/>
  <c r="M49" i="64"/>
  <c r="M100" i="64" s="1"/>
  <c r="P18" i="54"/>
  <c r="AA41" i="52"/>
  <c r="P46" i="54"/>
  <c r="S37" i="64"/>
  <c r="S88" i="64" s="1"/>
  <c r="P20" i="53"/>
  <c r="M20" i="64"/>
  <c r="M71" i="64" s="1"/>
  <c r="L50" i="64"/>
  <c r="L101" i="64" s="1"/>
  <c r="P50" i="53"/>
  <c r="V46" i="53"/>
  <c r="S46" i="64"/>
  <c r="S97" i="64" s="1"/>
  <c r="AA42" i="54"/>
  <c r="W33" i="53"/>
  <c r="X33" i="53" s="1"/>
  <c r="P20" i="54"/>
  <c r="Z39" i="53"/>
  <c r="U39" i="64"/>
  <c r="U90" i="64" s="1"/>
  <c r="V18" i="53"/>
  <c r="S18" i="64"/>
  <c r="S69" i="64" s="1"/>
  <c r="S17" i="64"/>
  <c r="S68" i="64" s="1"/>
  <c r="V17" i="53"/>
  <c r="Z35" i="53"/>
  <c r="U35" i="64"/>
  <c r="U86" i="64" s="1"/>
  <c r="P24" i="54"/>
  <c r="V42" i="53"/>
  <c r="S42" i="64"/>
  <c r="S93" i="64" s="1"/>
  <c r="AA45" i="52"/>
  <c r="G9" i="66"/>
  <c r="Z18" i="53"/>
  <c r="U18" i="64"/>
  <c r="U69" i="64" s="1"/>
  <c r="V38" i="53"/>
  <c r="S38" i="64"/>
  <c r="S89" i="64" s="1"/>
  <c r="R52" i="53"/>
  <c r="AA34" i="52"/>
  <c r="Z32" i="53"/>
  <c r="U32" i="64"/>
  <c r="U83" i="64" s="1"/>
  <c r="AA18" i="52"/>
  <c r="S43" i="64"/>
  <c r="S94" i="64" s="1"/>
  <c r="M34" i="64"/>
  <c r="M85" i="64" s="1"/>
  <c r="P18" i="53"/>
  <c r="P16" i="54"/>
  <c r="AA46" i="52"/>
  <c r="E50" i="5"/>
  <c r="AU13" i="57"/>
  <c r="X23" i="63"/>
  <c r="X95" i="63" s="1"/>
  <c r="Z28" i="53"/>
  <c r="U28" i="64"/>
  <c r="U79" i="64" s="1"/>
  <c r="S39" i="64"/>
  <c r="S90" i="64" s="1"/>
  <c r="V39" i="53"/>
  <c r="AA20" i="52"/>
  <c r="Z25" i="53"/>
  <c r="U25" i="64"/>
  <c r="U76" i="64" s="1"/>
  <c r="Z47" i="53"/>
  <c r="U47" i="64"/>
  <c r="U98" i="64" s="1"/>
  <c r="AA24" i="52"/>
  <c r="AA6" i="52"/>
  <c r="W6" i="53" s="1"/>
  <c r="P44" i="53"/>
  <c r="M44" i="64"/>
  <c r="M95" i="64" s="1"/>
  <c r="F9" i="66"/>
  <c r="F11" i="66"/>
  <c r="F7" i="66"/>
  <c r="F13" i="66" s="1"/>
  <c r="Z36" i="53"/>
  <c r="U36" i="64"/>
  <c r="U87" i="64" s="1"/>
  <c r="M21" i="64"/>
  <c r="M72" i="64" s="1"/>
  <c r="P42" i="54"/>
  <c r="L42" i="64"/>
  <c r="L93" i="64" s="1"/>
  <c r="M22" i="64"/>
  <c r="M73" i="64" s="1"/>
  <c r="V25" i="53"/>
  <c r="S25" i="64"/>
  <c r="S76" i="64" s="1"/>
  <c r="P42" i="53"/>
  <c r="M45" i="64"/>
  <c r="M96" i="64" s="1"/>
  <c r="P30" i="54"/>
  <c r="V16" i="53"/>
  <c r="S16" i="64"/>
  <c r="S67" i="64" s="1"/>
  <c r="Z5" i="54"/>
  <c r="Z52" i="54" s="1"/>
  <c r="Y52" i="54"/>
  <c r="AA16" i="52"/>
  <c r="Z13" i="53"/>
  <c r="U13" i="64"/>
  <c r="U64" i="64" s="1"/>
  <c r="L19" i="64"/>
  <c r="L70" i="64" s="1"/>
  <c r="B7" i="66" s="1"/>
  <c r="B13" i="66" s="1"/>
  <c r="P19" i="53"/>
  <c r="X33" i="63"/>
  <c r="X105" i="63" s="1"/>
  <c r="X64" i="63"/>
  <c r="X136" i="63" s="1"/>
  <c r="M23" i="63"/>
  <c r="M95" i="63" s="1"/>
  <c r="P30" i="53"/>
  <c r="M30" i="64"/>
  <c r="M81" i="64" s="1"/>
  <c r="V6" i="53"/>
  <c r="S6" i="64"/>
  <c r="S57" i="64" s="1"/>
  <c r="P10" i="53"/>
  <c r="L10" i="64"/>
  <c r="L61" i="64" s="1"/>
  <c r="Z49" i="53"/>
  <c r="U49" i="64"/>
  <c r="U100" i="64" s="1"/>
  <c r="P6" i="54"/>
  <c r="L6" i="64"/>
  <c r="L57" i="64" s="1"/>
  <c r="P38" i="54"/>
  <c r="AA38" i="54" s="1"/>
  <c r="S23" i="74" s="1"/>
  <c r="Z11" i="53"/>
  <c r="U11" i="64"/>
  <c r="U62" i="64" s="1"/>
  <c r="P27" i="54"/>
  <c r="P40" i="53"/>
  <c r="M40" i="64"/>
  <c r="M91" i="64" s="1"/>
  <c r="P45" i="53"/>
  <c r="L5" i="64"/>
  <c r="L56" i="64" s="1"/>
  <c r="B11" i="66" s="1"/>
  <c r="Z48" i="53"/>
  <c r="U48" i="64"/>
  <c r="U99" i="64" s="1"/>
  <c r="Z24" i="53"/>
  <c r="U24" i="64"/>
  <c r="U75" i="64" s="1"/>
  <c r="Z40" i="53"/>
  <c r="U40" i="64"/>
  <c r="U91" i="64" s="1"/>
  <c r="N52" i="54"/>
  <c r="S35" i="64"/>
  <c r="S86" i="64" s="1"/>
  <c r="V35" i="53"/>
  <c r="Z16" i="53"/>
  <c r="U16" i="64"/>
  <c r="U67" i="64" s="1"/>
  <c r="AA44" i="52"/>
  <c r="AA27" i="52"/>
  <c r="W27" i="54" s="1"/>
  <c r="X27" i="54" s="1"/>
  <c r="AA27" i="54" s="1"/>
  <c r="S23" i="64"/>
  <c r="S74" i="64" s="1"/>
  <c r="Z52" i="52"/>
  <c r="V21" i="53"/>
  <c r="S21" i="64"/>
  <c r="S72" i="64" s="1"/>
  <c r="P5" i="53"/>
  <c r="P52" i="53" s="1"/>
  <c r="Z43" i="53"/>
  <c r="U43" i="64"/>
  <c r="U94" i="64" s="1"/>
  <c r="L52" i="53"/>
  <c r="X61" i="63"/>
  <c r="X133" i="63" s="1"/>
  <c r="AA12" i="53"/>
  <c r="S33" i="64"/>
  <c r="S84" i="64" s="1"/>
  <c r="V33" i="53"/>
  <c r="P49" i="54"/>
  <c r="L49" i="64"/>
  <c r="L100" i="64" s="1"/>
  <c r="V34" i="53"/>
  <c r="S34" i="64"/>
  <c r="S85" i="64" s="1"/>
  <c r="S31" i="64"/>
  <c r="S82" i="64" s="1"/>
  <c r="V31" i="53"/>
  <c r="AA10" i="52"/>
  <c r="S40" i="64"/>
  <c r="S91" i="64" s="1"/>
  <c r="V40" i="53"/>
  <c r="N52" i="53"/>
  <c r="V50" i="53"/>
  <c r="S50" i="64"/>
  <c r="S101" i="64" s="1"/>
  <c r="P23" i="54"/>
  <c r="Z26" i="53"/>
  <c r="U26" i="64"/>
  <c r="U77" i="64" s="1"/>
  <c r="P13" i="53"/>
  <c r="M13" i="64"/>
  <c r="M64" i="64" s="1"/>
  <c r="P44" i="54"/>
  <c r="S47" i="64"/>
  <c r="S98" i="64" s="1"/>
  <c r="V47" i="53"/>
  <c r="V24" i="53"/>
  <c r="S24" i="64"/>
  <c r="S75" i="64" s="1"/>
  <c r="P40" i="54"/>
  <c r="Y52" i="53"/>
  <c r="Z5" i="53"/>
  <c r="Z34" i="53"/>
  <c r="U34" i="64"/>
  <c r="U85" i="64" s="1"/>
  <c r="W11" i="54"/>
  <c r="X11" i="54" s="1"/>
  <c r="AA11" i="54" s="1"/>
  <c r="X20" i="63"/>
  <c r="X92" i="63" s="1"/>
  <c r="P41" i="53"/>
  <c r="P39" i="54"/>
  <c r="Z17" i="53"/>
  <c r="U17" i="64"/>
  <c r="U68" i="64" s="1"/>
  <c r="AA49" i="52"/>
  <c r="M35" i="64"/>
  <c r="M86" i="64" s="1"/>
  <c r="M47" i="64"/>
  <c r="M98" i="64" s="1"/>
  <c r="S48" i="64"/>
  <c r="S99" i="64" s="1"/>
  <c r="V48" i="53"/>
  <c r="AA37" i="52"/>
  <c r="Z6" i="53"/>
  <c r="U6" i="64"/>
  <c r="U57" i="64" s="1"/>
  <c r="M37" i="64"/>
  <c r="M88" i="64" s="1"/>
  <c r="P28" i="54"/>
  <c r="M36" i="64"/>
  <c r="M87" i="64" s="1"/>
  <c r="AA23" i="52"/>
  <c r="W23" i="54" s="1"/>
  <c r="X23" i="54" s="1"/>
  <c r="AA23" i="54" s="1"/>
  <c r="V5" i="54"/>
  <c r="V52" i="54" s="1"/>
  <c r="U52" i="54"/>
  <c r="P25" i="54"/>
  <c r="Z21" i="53"/>
  <c r="U21" i="64"/>
  <c r="U72" i="64" s="1"/>
  <c r="M43" i="64"/>
  <c r="M94" i="64" s="1"/>
  <c r="AA40" i="52"/>
  <c r="W40" i="54" s="1"/>
  <c r="X40" i="54" s="1"/>
  <c r="P21" i="53"/>
  <c r="Z20" i="53"/>
  <c r="U20" i="64"/>
  <c r="U71" i="64" s="1"/>
  <c r="L17" i="64"/>
  <c r="L68" i="64" s="1"/>
  <c r="Z46" i="53"/>
  <c r="U46" i="64"/>
  <c r="U97" i="64" s="1"/>
  <c r="P36" i="53"/>
  <c r="L36" i="64"/>
  <c r="L87" i="64" s="1"/>
  <c r="Z33" i="53"/>
  <c r="U33" i="64"/>
  <c r="U84" i="64" s="1"/>
  <c r="V13" i="53"/>
  <c r="S13" i="64"/>
  <c r="S64" i="64" s="1"/>
  <c r="L28" i="64"/>
  <c r="L79" i="64" s="1"/>
  <c r="P28" i="53"/>
  <c r="Z29" i="53"/>
  <c r="U29" i="64"/>
  <c r="U80" i="64" s="1"/>
  <c r="L32" i="64"/>
  <c r="L83" i="64" s="1"/>
  <c r="P32" i="54"/>
  <c r="S5" i="64"/>
  <c r="S56" i="64" s="1"/>
  <c r="V5" i="53"/>
  <c r="U52" i="53"/>
  <c r="L25" i="64"/>
  <c r="L76" i="64" s="1"/>
  <c r="P25" i="53"/>
  <c r="S41" i="64"/>
  <c r="S92" i="64" s="1"/>
  <c r="V41" i="53"/>
  <c r="P48" i="54"/>
  <c r="G11" i="66"/>
  <c r="W47" i="54"/>
  <c r="Z38" i="53"/>
  <c r="U38" i="64"/>
  <c r="U89" i="64" s="1"/>
  <c r="S36" i="64"/>
  <c r="S87" i="64" s="1"/>
  <c r="V36" i="53"/>
  <c r="S32" i="64"/>
  <c r="S83" i="64" s="1"/>
  <c r="V32" i="53"/>
  <c r="V19" i="53"/>
  <c r="S19" i="64"/>
  <c r="S70" i="64" s="1"/>
  <c r="M6" i="64"/>
  <c r="M57" i="64" s="1"/>
  <c r="S45" i="64"/>
  <c r="S96" i="64" s="1"/>
  <c r="V45" i="53"/>
  <c r="AA28" i="52"/>
  <c r="W28" i="54" s="1"/>
  <c r="X28" i="54" s="1"/>
  <c r="AA28" i="54" s="1"/>
  <c r="AA32" i="52"/>
  <c r="V52" i="52"/>
  <c r="Z22" i="53"/>
  <c r="U22" i="64"/>
  <c r="U73" i="64" s="1"/>
  <c r="AA25" i="52"/>
  <c r="V27" i="53"/>
  <c r="S27" i="64"/>
  <c r="S78" i="64" s="1"/>
  <c r="AA48" i="52"/>
  <c r="U30" i="64"/>
  <c r="U81" i="64" s="1"/>
  <c r="Z41" i="53"/>
  <c r="U41" i="64"/>
  <c r="U92" i="64" s="1"/>
  <c r="P73" i="49"/>
  <c r="P23" i="53"/>
  <c r="P43" i="54"/>
  <c r="L43" i="64"/>
  <c r="L94" i="64" s="1"/>
  <c r="Z10" i="53"/>
  <c r="U10" i="64"/>
  <c r="U61" i="64" s="1"/>
  <c r="M48" i="64"/>
  <c r="M99" i="64" s="1"/>
  <c r="S44" i="64"/>
  <c r="S95" i="64" s="1"/>
  <c r="V44" i="53"/>
  <c r="P11" i="54"/>
  <c r="V26" i="53"/>
  <c r="S26" i="64"/>
  <c r="S77" i="64" s="1"/>
  <c r="P26" i="54"/>
  <c r="L38" i="64"/>
  <c r="L89" i="64" s="1"/>
  <c r="M46" i="64"/>
  <c r="M97" i="64" s="1"/>
  <c r="P19" i="54"/>
  <c r="P47" i="53"/>
  <c r="L47" i="64"/>
  <c r="L98" i="64" s="1"/>
  <c r="L22" i="64"/>
  <c r="L73" i="64" s="1"/>
  <c r="P32" i="53"/>
  <c r="M32" i="64"/>
  <c r="M83" i="64" s="1"/>
  <c r="AA13" i="52"/>
  <c r="W13" i="54" s="1"/>
  <c r="X13" i="54" s="1"/>
  <c r="AA13" i="54" s="1"/>
  <c r="S30" i="64"/>
  <c r="S81" i="64" s="1"/>
  <c r="V30" i="53"/>
  <c r="M42" i="64"/>
  <c r="M93" i="64" s="1"/>
  <c r="Z27" i="53"/>
  <c r="U27" i="64"/>
  <c r="U78" i="64" s="1"/>
  <c r="M33" i="64"/>
  <c r="M84" i="64" s="1"/>
  <c r="Z42" i="53"/>
  <c r="U42" i="64"/>
  <c r="U93" i="64" s="1"/>
  <c r="P33" i="54"/>
  <c r="U31" i="64"/>
  <c r="U82" i="64" s="1"/>
  <c r="AG497" i="57"/>
  <c r="X54" i="63"/>
  <c r="X126" i="63" s="1"/>
  <c r="X10" i="63"/>
  <c r="X82" i="63" s="1"/>
  <c r="AG508" i="57"/>
  <c r="X28" i="63"/>
  <c r="X100" i="63" s="1"/>
  <c r="X69" i="63"/>
  <c r="X141" i="63" s="1"/>
  <c r="X47" i="63"/>
  <c r="X119" i="63" s="1"/>
  <c r="AA33" i="63"/>
  <c r="AA105" i="63" s="1"/>
  <c r="X56" i="63"/>
  <c r="X128" i="63" s="1"/>
  <c r="W5" i="53"/>
  <c r="W22" i="53"/>
  <c r="X22" i="53" s="1"/>
  <c r="W35" i="53"/>
  <c r="X35" i="53" s="1"/>
  <c r="W30" i="53"/>
  <c r="X30" i="53" s="1"/>
  <c r="AA30" i="53" s="1"/>
  <c r="W26" i="53"/>
  <c r="X26" i="53" s="1"/>
  <c r="AA26" i="53" s="1"/>
  <c r="W43" i="53"/>
  <c r="X43" i="53" s="1"/>
  <c r="AA43" i="53" s="1"/>
  <c r="W44" i="53"/>
  <c r="X44" i="53" s="1"/>
  <c r="AA44" i="53" s="1"/>
  <c r="W50" i="53"/>
  <c r="X50" i="53" s="1"/>
  <c r="AA50" i="53" s="1"/>
  <c r="AA31" i="63"/>
  <c r="AA103" i="63" s="1"/>
  <c r="AD31" i="49"/>
  <c r="X8" i="63"/>
  <c r="X80" i="63" s="1"/>
  <c r="M40" i="49"/>
  <c r="M40" i="63" s="1"/>
  <c r="M112" i="63" s="1"/>
  <c r="M58" i="49"/>
  <c r="M58" i="63" s="1"/>
  <c r="M130" i="63" s="1"/>
  <c r="W5" i="63"/>
  <c r="W77" i="63" s="1"/>
  <c r="X73" i="49"/>
  <c r="M33" i="49"/>
  <c r="M33" i="63" s="1"/>
  <c r="M105" i="63" s="1"/>
  <c r="M36" i="49"/>
  <c r="M36" i="63" s="1"/>
  <c r="M108" i="63" s="1"/>
  <c r="V58" i="50"/>
  <c r="AB58" i="50" s="1"/>
  <c r="AB58" i="48"/>
  <c r="V50" i="50"/>
  <c r="AB50" i="50" s="1"/>
  <c r="AB50" i="48"/>
  <c r="AB22" i="48"/>
  <c r="V22" i="50"/>
  <c r="AB22" i="50" s="1"/>
  <c r="AB13" i="48"/>
  <c r="V13" i="50"/>
  <c r="AB13" i="50" s="1"/>
  <c r="V56" i="50"/>
  <c r="AB56" i="50" s="1"/>
  <c r="AB56" i="48"/>
  <c r="V71" i="50"/>
  <c r="AB71" i="50" s="1"/>
  <c r="AB71" i="48"/>
  <c r="V7" i="50"/>
  <c r="AB7" i="50" s="1"/>
  <c r="AB7" i="48"/>
  <c r="V6" i="50"/>
  <c r="AB6" i="50" s="1"/>
  <c r="AB6" i="48"/>
  <c r="V63" i="50"/>
  <c r="AB63" i="50" s="1"/>
  <c r="AB63" i="48"/>
  <c r="V55" i="50"/>
  <c r="AB55" i="50" s="1"/>
  <c r="AB55" i="48"/>
  <c r="V14" i="50"/>
  <c r="AB14" i="50" s="1"/>
  <c r="AB14" i="48"/>
  <c r="V8" i="50"/>
  <c r="AB8" i="50" s="1"/>
  <c r="AB8" i="48"/>
  <c r="V65" i="50"/>
  <c r="AB65" i="50" s="1"/>
  <c r="AB65" i="48"/>
  <c r="V64" i="50"/>
  <c r="AB64" i="50" s="1"/>
  <c r="AB64" i="48"/>
  <c r="V32" i="50"/>
  <c r="AB32" i="50" s="1"/>
  <c r="AB32" i="48"/>
  <c r="V28" i="50"/>
  <c r="AB28" i="50" s="1"/>
  <c r="AB28" i="48"/>
  <c r="AA19" i="63"/>
  <c r="AA91" i="63" s="1"/>
  <c r="AD19" i="49"/>
  <c r="AD34" i="49"/>
  <c r="AA34" i="63"/>
  <c r="AA106" i="63" s="1"/>
  <c r="AD64" i="49"/>
  <c r="AA64" i="63"/>
  <c r="AA136" i="63" s="1"/>
  <c r="AD56" i="49"/>
  <c r="AA56" i="63"/>
  <c r="AA128" i="63" s="1"/>
  <c r="AD18" i="49"/>
  <c r="AA18" i="63"/>
  <c r="AA90" i="63" s="1"/>
  <c r="AD32" i="49"/>
  <c r="AA32" i="63"/>
  <c r="AA104" i="63" s="1"/>
  <c r="AD11" i="49"/>
  <c r="AA11" i="63"/>
  <c r="AA83" i="63" s="1"/>
  <c r="AD45" i="49"/>
  <c r="AA45" i="63"/>
  <c r="AA117" i="63" s="1"/>
  <c r="AD17" i="49"/>
  <c r="AA17" i="63"/>
  <c r="AA89" i="63" s="1"/>
  <c r="AD22" i="49"/>
  <c r="AA22" i="63"/>
  <c r="AA94" i="63" s="1"/>
  <c r="AD40" i="49"/>
  <c r="AA40" i="63"/>
  <c r="AA112" i="63" s="1"/>
  <c r="AD61" i="49"/>
  <c r="AA61" i="63"/>
  <c r="AA133" i="63" s="1"/>
  <c r="AD44" i="49"/>
  <c r="AA44" i="63"/>
  <c r="AA116" i="63" s="1"/>
  <c r="M47" i="49"/>
  <c r="M47" i="63" s="1"/>
  <c r="M119" i="63" s="1"/>
  <c r="M63" i="49"/>
  <c r="M63" i="63" s="1"/>
  <c r="M135" i="63" s="1"/>
  <c r="M67" i="49"/>
  <c r="M67" i="63" s="1"/>
  <c r="M139" i="63" s="1"/>
  <c r="W16" i="53"/>
  <c r="X16" i="53" s="1"/>
  <c r="AA16" i="53" s="1"/>
  <c r="W27" i="53"/>
  <c r="X27" i="53" s="1"/>
  <c r="AA27" i="53" s="1"/>
  <c r="X13" i="63"/>
  <c r="X85" i="63" s="1"/>
  <c r="X53" i="63"/>
  <c r="X125" i="63" s="1"/>
  <c r="V5" i="63"/>
  <c r="V77" i="63" s="1"/>
  <c r="W73" i="49"/>
  <c r="M44" i="49"/>
  <c r="M44" i="63" s="1"/>
  <c r="M116" i="63" s="1"/>
  <c r="M35" i="49"/>
  <c r="M35" i="63" s="1"/>
  <c r="M107" i="63" s="1"/>
  <c r="Q5" i="63"/>
  <c r="Q77" i="63" s="1"/>
  <c r="Q73" i="49"/>
  <c r="M16" i="49"/>
  <c r="M16" i="63" s="1"/>
  <c r="M88" i="63" s="1"/>
  <c r="V68" i="50"/>
  <c r="AB68" i="50" s="1"/>
  <c r="AB68" i="48"/>
  <c r="V43" i="50"/>
  <c r="AB43" i="50" s="1"/>
  <c r="AB43" i="48"/>
  <c r="V36" i="50"/>
  <c r="AB36" i="50" s="1"/>
  <c r="AB36" i="48"/>
  <c r="V33" i="50"/>
  <c r="AB33" i="50" s="1"/>
  <c r="AB33" i="48"/>
  <c r="V41" i="50"/>
  <c r="AB41" i="50" s="1"/>
  <c r="AB41" i="48"/>
  <c r="V69" i="50"/>
  <c r="AB69" i="50" s="1"/>
  <c r="AB69" i="48"/>
  <c r="V25" i="50"/>
  <c r="AB25" i="50" s="1"/>
  <c r="AB25" i="48"/>
  <c r="V18" i="50"/>
  <c r="AB18" i="50" s="1"/>
  <c r="AB18" i="48"/>
  <c r="V61" i="50"/>
  <c r="AB61" i="50" s="1"/>
  <c r="AB61" i="48"/>
  <c r="V53" i="50"/>
  <c r="AB53" i="50" s="1"/>
  <c r="AB53" i="48"/>
  <c r="V29" i="50"/>
  <c r="AB29" i="50" s="1"/>
  <c r="AB29" i="48"/>
  <c r="V21" i="50"/>
  <c r="AB21" i="50" s="1"/>
  <c r="AB21" i="48"/>
  <c r="V47" i="50"/>
  <c r="AB47" i="50" s="1"/>
  <c r="AB47" i="48"/>
  <c r="V66" i="50"/>
  <c r="AB66" i="50" s="1"/>
  <c r="AB66" i="48"/>
  <c r="V17" i="50"/>
  <c r="AB17" i="50" s="1"/>
  <c r="AB17" i="48"/>
  <c r="V11" i="50"/>
  <c r="AB11" i="50" s="1"/>
  <c r="AB11" i="48"/>
  <c r="AD15" i="49"/>
  <c r="AA15" i="63"/>
  <c r="AA87" i="63" s="1"/>
  <c r="AA42" i="63"/>
  <c r="AA114" i="63" s="1"/>
  <c r="AD42" i="49"/>
  <c r="AD48" i="49"/>
  <c r="AA48" i="63"/>
  <c r="AA120" i="63" s="1"/>
  <c r="AD62" i="49"/>
  <c r="AA62" i="63"/>
  <c r="AA134" i="63" s="1"/>
  <c r="AD52" i="49"/>
  <c r="AA52" i="63"/>
  <c r="AA124" i="63" s="1"/>
  <c r="AD39" i="49"/>
  <c r="AA39" i="63"/>
  <c r="AA111" i="63" s="1"/>
  <c r="AA67" i="63"/>
  <c r="AA139" i="63" s="1"/>
  <c r="AD67" i="49"/>
  <c r="AD35" i="49"/>
  <c r="AA35" i="63"/>
  <c r="AA107" i="63" s="1"/>
  <c r="AD65" i="49"/>
  <c r="AA65" i="63"/>
  <c r="AA137" i="63" s="1"/>
  <c r="AA5" i="63"/>
  <c r="AA77" i="63" s="1"/>
  <c r="AD5" i="49"/>
  <c r="AC73" i="49"/>
  <c r="AD68" i="49"/>
  <c r="AA68" i="63"/>
  <c r="AA140" i="63" s="1"/>
  <c r="AA8" i="63"/>
  <c r="AA80" i="63" s="1"/>
  <c r="AD8" i="49"/>
  <c r="AD36" i="49"/>
  <c r="AA36" i="63"/>
  <c r="AA108" i="63" s="1"/>
  <c r="M29" i="49"/>
  <c r="M29" i="63" s="1"/>
  <c r="M101" i="63" s="1"/>
  <c r="M41" i="49"/>
  <c r="M41" i="63" s="1"/>
  <c r="M113" i="63" s="1"/>
  <c r="M7" i="49"/>
  <c r="M7" i="63" s="1"/>
  <c r="M79" i="63" s="1"/>
  <c r="M42" i="49"/>
  <c r="M42" i="63" s="1"/>
  <c r="M114" i="63" s="1"/>
  <c r="AA59" i="63"/>
  <c r="AA131" i="63" s="1"/>
  <c r="AD59" i="49"/>
  <c r="AE5" i="63"/>
  <c r="AE77" i="63" s="1"/>
  <c r="AI73" i="49"/>
  <c r="M49" i="49"/>
  <c r="M49" i="63" s="1"/>
  <c r="M121" i="63" s="1"/>
  <c r="M24" i="49"/>
  <c r="M24" i="63" s="1"/>
  <c r="M96" i="63" s="1"/>
  <c r="M37" i="49"/>
  <c r="M37" i="63" s="1"/>
  <c r="M109" i="63" s="1"/>
  <c r="M21" i="49"/>
  <c r="M21" i="63" s="1"/>
  <c r="M93" i="63" s="1"/>
  <c r="M50" i="49"/>
  <c r="M50" i="63" s="1"/>
  <c r="M122" i="63" s="1"/>
  <c r="M70" i="49"/>
  <c r="M70" i="63" s="1"/>
  <c r="M142" i="63" s="1"/>
  <c r="M12" i="49"/>
  <c r="M12" i="63" s="1"/>
  <c r="M84" i="63" s="1"/>
  <c r="M15" i="49"/>
  <c r="M15" i="63" s="1"/>
  <c r="M87" i="63" s="1"/>
  <c r="M52" i="49"/>
  <c r="M52" i="63" s="1"/>
  <c r="M124" i="63" s="1"/>
  <c r="M9" i="49"/>
  <c r="M9" i="63" s="1"/>
  <c r="M81" i="63" s="1"/>
  <c r="M56" i="49"/>
  <c r="M56" i="63" s="1"/>
  <c r="M128" i="63" s="1"/>
  <c r="M68" i="49"/>
  <c r="M68" i="63" s="1"/>
  <c r="M140" i="63" s="1"/>
  <c r="M69" i="49"/>
  <c r="M69" i="63" s="1"/>
  <c r="M141" i="63" s="1"/>
  <c r="M54" i="49"/>
  <c r="M54" i="63" s="1"/>
  <c r="M126" i="63" s="1"/>
  <c r="M14" i="49"/>
  <c r="M14" i="63" s="1"/>
  <c r="M86" i="63" s="1"/>
  <c r="M71" i="49"/>
  <c r="M71" i="63" s="1"/>
  <c r="M143" i="63" s="1"/>
  <c r="M59" i="49"/>
  <c r="M59" i="63" s="1"/>
  <c r="M131" i="63" s="1"/>
  <c r="M46" i="49"/>
  <c r="M46" i="63" s="1"/>
  <c r="M118" i="63" s="1"/>
  <c r="M39" i="49"/>
  <c r="M39" i="63" s="1"/>
  <c r="M111" i="63" s="1"/>
  <c r="M31" i="49"/>
  <c r="M31" i="63" s="1"/>
  <c r="M103" i="63" s="1"/>
  <c r="M48" i="49"/>
  <c r="M48" i="63" s="1"/>
  <c r="M120" i="63" s="1"/>
  <c r="M27" i="49"/>
  <c r="M27" i="63" s="1"/>
  <c r="M99" i="63" s="1"/>
  <c r="M8" i="49"/>
  <c r="M8" i="63" s="1"/>
  <c r="M80" i="63" s="1"/>
  <c r="M51" i="49"/>
  <c r="M51" i="63" s="1"/>
  <c r="M123" i="63" s="1"/>
  <c r="M19" i="49"/>
  <c r="M19" i="63" s="1"/>
  <c r="M91" i="63" s="1"/>
  <c r="M25" i="49"/>
  <c r="M25" i="63" s="1"/>
  <c r="M97" i="63" s="1"/>
  <c r="M22" i="49"/>
  <c r="M22" i="63" s="1"/>
  <c r="M94" i="63" s="1"/>
  <c r="M60" i="49"/>
  <c r="M60" i="63" s="1"/>
  <c r="M132" i="63" s="1"/>
  <c r="M20" i="49"/>
  <c r="M20" i="63" s="1"/>
  <c r="M92" i="63" s="1"/>
  <c r="M38" i="49"/>
  <c r="M38" i="63" s="1"/>
  <c r="M110" i="63" s="1"/>
  <c r="M64" i="49"/>
  <c r="M64" i="63" s="1"/>
  <c r="M136" i="63" s="1"/>
  <c r="M65" i="49"/>
  <c r="M65" i="63" s="1"/>
  <c r="M137" i="63" s="1"/>
  <c r="M18" i="49"/>
  <c r="M18" i="63" s="1"/>
  <c r="M90" i="63" s="1"/>
  <c r="M45" i="49"/>
  <c r="M45" i="63" s="1"/>
  <c r="M117" i="63" s="1"/>
  <c r="M34" i="49"/>
  <c r="M34" i="63" s="1"/>
  <c r="M106" i="63" s="1"/>
  <c r="M61" i="49"/>
  <c r="M61" i="63" s="1"/>
  <c r="M133" i="63" s="1"/>
  <c r="M5" i="49"/>
  <c r="M10" i="49"/>
  <c r="M10" i="63" s="1"/>
  <c r="M82" i="63" s="1"/>
  <c r="M6" i="49"/>
  <c r="M6" i="63" s="1"/>
  <c r="M78" i="63" s="1"/>
  <c r="M66" i="49"/>
  <c r="M66" i="63" s="1"/>
  <c r="M138" i="63" s="1"/>
  <c r="M32" i="49"/>
  <c r="M32" i="63" s="1"/>
  <c r="M104" i="63" s="1"/>
  <c r="M30" i="49"/>
  <c r="M30" i="63" s="1"/>
  <c r="M102" i="63" s="1"/>
  <c r="T5" i="63"/>
  <c r="T77" i="63" s="1"/>
  <c r="U73" i="49"/>
  <c r="M57" i="49"/>
  <c r="M57" i="63" s="1"/>
  <c r="M129" i="63" s="1"/>
  <c r="M13" i="49"/>
  <c r="M13" i="63" s="1"/>
  <c r="M85" i="63" s="1"/>
  <c r="V51" i="50"/>
  <c r="AB51" i="50" s="1"/>
  <c r="AB51" i="48"/>
  <c r="V70" i="50"/>
  <c r="AB70" i="50" s="1"/>
  <c r="AB70" i="48"/>
  <c r="V23" i="50"/>
  <c r="AB23" i="50" s="1"/>
  <c r="AB23" i="48"/>
  <c r="AB16" i="48"/>
  <c r="V16" i="50"/>
  <c r="AB16" i="50" s="1"/>
  <c r="AB45" i="48"/>
  <c r="V45" i="50"/>
  <c r="AB45" i="50" s="1"/>
  <c r="V52" i="50"/>
  <c r="AB52" i="50" s="1"/>
  <c r="AB52" i="48"/>
  <c r="V10" i="50"/>
  <c r="AB10" i="50" s="1"/>
  <c r="AB10" i="48"/>
  <c r="V38" i="50"/>
  <c r="AB38" i="50" s="1"/>
  <c r="AB38" i="48"/>
  <c r="V35" i="50"/>
  <c r="AB35" i="50" s="1"/>
  <c r="AB35" i="48"/>
  <c r="V59" i="50"/>
  <c r="AB59" i="50" s="1"/>
  <c r="AB59" i="48"/>
  <c r="V15" i="50"/>
  <c r="AB15" i="50" s="1"/>
  <c r="AB15" i="48"/>
  <c r="V40" i="50"/>
  <c r="AB40" i="50" s="1"/>
  <c r="AB40" i="48"/>
  <c r="V37" i="50"/>
  <c r="AB37" i="50" s="1"/>
  <c r="AB37" i="48"/>
  <c r="V44" i="50"/>
  <c r="AB44" i="50" s="1"/>
  <c r="AB44" i="48"/>
  <c r="V60" i="50"/>
  <c r="AB60" i="50" s="1"/>
  <c r="AB60" i="48"/>
  <c r="V34" i="50"/>
  <c r="AB34" i="50" s="1"/>
  <c r="AB34" i="48"/>
  <c r="V27" i="50"/>
  <c r="AB27" i="50" s="1"/>
  <c r="AB27" i="48"/>
  <c r="AD47" i="49"/>
  <c r="AA47" i="63"/>
  <c r="AA119" i="63" s="1"/>
  <c r="AD21" i="49"/>
  <c r="AA21" i="63"/>
  <c r="AA93" i="63" s="1"/>
  <c r="AD28" i="49"/>
  <c r="AA28" i="63"/>
  <c r="AA100" i="63" s="1"/>
  <c r="AD29" i="49"/>
  <c r="AA29" i="63"/>
  <c r="AA101" i="63" s="1"/>
  <c r="AD66" i="49"/>
  <c r="AA66" i="63"/>
  <c r="AA138" i="63" s="1"/>
  <c r="AA6" i="63"/>
  <c r="AA78" i="63" s="1"/>
  <c r="AD6" i="49"/>
  <c r="AD69" i="49"/>
  <c r="AA69" i="63"/>
  <c r="AA141" i="63" s="1"/>
  <c r="AD43" i="49"/>
  <c r="AA43" i="63"/>
  <c r="AA115" i="63" s="1"/>
  <c r="AD30" i="49"/>
  <c r="AA30" i="63"/>
  <c r="AA102" i="63" s="1"/>
  <c r="AD23" i="49"/>
  <c r="AA23" i="63"/>
  <c r="AA95" i="63" s="1"/>
  <c r="AD14" i="49"/>
  <c r="AA14" i="63"/>
  <c r="AA86" i="63" s="1"/>
  <c r="AA9" i="63"/>
  <c r="AA81" i="63" s="1"/>
  <c r="AD9" i="49"/>
  <c r="AA12" i="63"/>
  <c r="AA84" i="63" s="1"/>
  <c r="AD12" i="49"/>
  <c r="M55" i="49"/>
  <c r="M55" i="63" s="1"/>
  <c r="M127" i="63" s="1"/>
  <c r="M17" i="49"/>
  <c r="M17" i="63" s="1"/>
  <c r="M89" i="63" s="1"/>
  <c r="Y73" i="50"/>
  <c r="AD16" i="49"/>
  <c r="AA16" i="63"/>
  <c r="AA88" i="63" s="1"/>
  <c r="W39" i="53"/>
  <c r="X39" i="53" s="1"/>
  <c r="AA39" i="53" s="1"/>
  <c r="AD53" i="49"/>
  <c r="AA53" i="63"/>
  <c r="AA125" i="63" s="1"/>
  <c r="X60" i="63"/>
  <c r="X132" i="63" s="1"/>
  <c r="X44" i="63"/>
  <c r="X116" i="63" s="1"/>
  <c r="X51" i="63"/>
  <c r="X123" i="63" s="1"/>
  <c r="X5" i="63"/>
  <c r="X77" i="63" s="1"/>
  <c r="Y73" i="49"/>
  <c r="X6" i="63"/>
  <c r="X78" i="63" s="1"/>
  <c r="AD46" i="49"/>
  <c r="AA46" i="63"/>
  <c r="AA118" i="63" s="1"/>
  <c r="M73" i="50"/>
  <c r="M43" i="49"/>
  <c r="M43" i="63" s="1"/>
  <c r="M115" i="63" s="1"/>
  <c r="M28" i="49"/>
  <c r="M28" i="63" s="1"/>
  <c r="M100" i="63" s="1"/>
  <c r="O5" i="63"/>
  <c r="O77" i="63" s="1"/>
  <c r="O73" i="49"/>
  <c r="M53" i="49"/>
  <c r="M53" i="63" s="1"/>
  <c r="M125" i="63" s="1"/>
  <c r="V49" i="50"/>
  <c r="AB49" i="50" s="1"/>
  <c r="AB49" i="48"/>
  <c r="V48" i="50"/>
  <c r="AB48" i="50" s="1"/>
  <c r="AB48" i="48"/>
  <c r="V73" i="48"/>
  <c r="V78" i="48" s="1"/>
  <c r="V5" i="50"/>
  <c r="AB5" i="48"/>
  <c r="V31" i="50"/>
  <c r="AB31" i="50" s="1"/>
  <c r="AB31" i="48"/>
  <c r="V62" i="50"/>
  <c r="AB62" i="50" s="1"/>
  <c r="AB62" i="48"/>
  <c r="V54" i="50"/>
  <c r="AB54" i="50" s="1"/>
  <c r="AB54" i="48"/>
  <c r="V26" i="50"/>
  <c r="AB26" i="50" s="1"/>
  <c r="AB26" i="48"/>
  <c r="V19" i="50"/>
  <c r="AB19" i="50" s="1"/>
  <c r="AB19" i="48"/>
  <c r="V46" i="50"/>
  <c r="AB46" i="50" s="1"/>
  <c r="AB46" i="48"/>
  <c r="V57" i="50"/>
  <c r="AB57" i="50" s="1"/>
  <c r="AB57" i="48"/>
  <c r="V30" i="50"/>
  <c r="AB30" i="50" s="1"/>
  <c r="AB30" i="48"/>
  <c r="V24" i="50"/>
  <c r="AB24" i="50" s="1"/>
  <c r="AB24" i="48"/>
  <c r="V67" i="50"/>
  <c r="AB67" i="50" s="1"/>
  <c r="AB67" i="48"/>
  <c r="V42" i="50"/>
  <c r="AB42" i="50" s="1"/>
  <c r="AB42" i="48"/>
  <c r="V20" i="50"/>
  <c r="AB20" i="50" s="1"/>
  <c r="AB20" i="48"/>
  <c r="V9" i="50"/>
  <c r="AB9" i="50" s="1"/>
  <c r="AB9" i="48"/>
  <c r="V39" i="50"/>
  <c r="AB39" i="50" s="1"/>
  <c r="AB39" i="48"/>
  <c r="AD60" i="49"/>
  <c r="AA60" i="63"/>
  <c r="AA132" i="63" s="1"/>
  <c r="AD27" i="49"/>
  <c r="AA27" i="63"/>
  <c r="AA99" i="63" s="1"/>
  <c r="AD41" i="49"/>
  <c r="AA41" i="63"/>
  <c r="AA113" i="63" s="1"/>
  <c r="AD54" i="49"/>
  <c r="AA54" i="63"/>
  <c r="AA126" i="63" s="1"/>
  <c r="AD58" i="49"/>
  <c r="AA58" i="63"/>
  <c r="AA130" i="63" s="1"/>
  <c r="AA24" i="63"/>
  <c r="AA96" i="63" s="1"/>
  <c r="AD24" i="49"/>
  <c r="AD71" i="49"/>
  <c r="AA71" i="63"/>
  <c r="AA143" i="63" s="1"/>
  <c r="AA50" i="63"/>
  <c r="AA122" i="63" s="1"/>
  <c r="AD50" i="49"/>
  <c r="AD20" i="49"/>
  <c r="AA20" i="63"/>
  <c r="AA92" i="63" s="1"/>
  <c r="AD70" i="49"/>
  <c r="AA70" i="63"/>
  <c r="AA142" i="63" s="1"/>
  <c r="AD37" i="49"/>
  <c r="AA37" i="63"/>
  <c r="AA109" i="63" s="1"/>
  <c r="AD63" i="49"/>
  <c r="AA63" i="63"/>
  <c r="AA135" i="63" s="1"/>
  <c r="L5" i="63"/>
  <c r="L77" i="63" s="1"/>
  <c r="L73" i="49"/>
  <c r="M11" i="49"/>
  <c r="M11" i="63" s="1"/>
  <c r="M83" i="63" s="1"/>
  <c r="M62" i="49"/>
  <c r="M62" i="63" s="1"/>
  <c r="M134" i="63" s="1"/>
  <c r="AD5" i="63"/>
  <c r="AD77" i="63" s="1"/>
  <c r="AH73" i="49"/>
  <c r="W13" i="53"/>
  <c r="X13" i="53" s="1"/>
  <c r="AA13" i="53" s="1"/>
  <c r="W34" i="53"/>
  <c r="X34" i="53" s="1"/>
  <c r="W11" i="53"/>
  <c r="X11" i="53" s="1"/>
  <c r="AA11" i="53" s="1"/>
  <c r="H9" i="65"/>
  <c r="H11" i="65"/>
  <c r="H7" i="65"/>
  <c r="H13" i="65" s="1"/>
  <c r="L485" i="61"/>
  <c r="O485" i="61" s="1"/>
  <c r="AG485" i="57"/>
  <c r="L484" i="61"/>
  <c r="O484" i="61" s="1"/>
  <c r="AG484" i="57"/>
  <c r="L491" i="61"/>
  <c r="O491" i="61" s="1"/>
  <c r="AG491" i="57"/>
  <c r="L509" i="61"/>
  <c r="O509" i="61" s="1"/>
  <c r="AG509" i="57"/>
  <c r="L512" i="61"/>
  <c r="O512" i="61" s="1"/>
  <c r="AG512" i="57"/>
  <c r="L196" i="61"/>
  <c r="O196" i="61" s="1"/>
  <c r="AG196" i="57"/>
  <c r="L504" i="61"/>
  <c r="O504" i="61" s="1"/>
  <c r="AG504" i="57"/>
  <c r="L515" i="61"/>
  <c r="O515" i="61" s="1"/>
  <c r="AG515" i="57"/>
  <c r="L193" i="61"/>
  <c r="O193" i="61" s="1"/>
  <c r="AG193" i="57"/>
  <c r="L486" i="61"/>
  <c r="O486" i="61" s="1"/>
  <c r="AG486" i="57"/>
  <c r="L489" i="61"/>
  <c r="O489" i="61" s="1"/>
  <c r="AG489" i="57"/>
  <c r="F15" i="65"/>
  <c r="F14" i="65"/>
  <c r="B9" i="66"/>
  <c r="L496" i="61"/>
  <c r="O496" i="61" s="1"/>
  <c r="AG496" i="57"/>
  <c r="AG507" i="57"/>
  <c r="L514" i="61"/>
  <c r="O514" i="61" s="1"/>
  <c r="AG514" i="57"/>
  <c r="AG195" i="57"/>
  <c r="L195" i="61"/>
  <c r="O195" i="61" s="1"/>
  <c r="L495" i="61"/>
  <c r="O495" i="61" s="1"/>
  <c r="AG495" i="57"/>
  <c r="L506" i="61"/>
  <c r="O506" i="61" s="1"/>
  <c r="AG506" i="57"/>
  <c r="L513" i="61"/>
  <c r="O513" i="61" s="1"/>
  <c r="AG513" i="57"/>
  <c r="L188" i="61"/>
  <c r="O188" i="61" s="1"/>
  <c r="AG188" i="57"/>
  <c r="L516" i="61"/>
  <c r="O516" i="61" s="1"/>
  <c r="AG516" i="57"/>
  <c r="AG189" i="57"/>
  <c r="L189" i="61"/>
  <c r="O189" i="61" s="1"/>
  <c r="L480" i="61"/>
  <c r="O480" i="61" s="1"/>
  <c r="AG480" i="57"/>
  <c r="L487" i="61"/>
  <c r="O487" i="61" s="1"/>
  <c r="AG487" i="57"/>
  <c r="L498" i="61"/>
  <c r="O498" i="61" s="1"/>
  <c r="AG498" i="57"/>
  <c r="L505" i="61"/>
  <c r="O505" i="61" s="1"/>
  <c r="AG505" i="57"/>
  <c r="L479" i="61"/>
  <c r="O479" i="61" s="1"/>
  <c r="AG479" i="57"/>
  <c r="L490" i="61"/>
  <c r="O490" i="61" s="1"/>
  <c r="AG490" i="57"/>
  <c r="L493" i="61"/>
  <c r="O493" i="61" s="1"/>
  <c r="AG493" i="57"/>
  <c r="AG187" i="57"/>
  <c r="L187" i="61"/>
  <c r="O187" i="61" s="1"/>
  <c r="L500" i="61"/>
  <c r="O500" i="61" s="1"/>
  <c r="AG500" i="57"/>
  <c r="L511" i="61"/>
  <c r="O511" i="61" s="1"/>
  <c r="AG511" i="57"/>
  <c r="L190" i="61"/>
  <c r="O190" i="61" s="1"/>
  <c r="AG190" i="57"/>
  <c r="X30" i="54"/>
  <c r="AA30" i="54" s="1"/>
  <c r="S13" i="74" s="1"/>
  <c r="T30" i="64"/>
  <c r="T81" i="64" s="1"/>
  <c r="T33" i="64"/>
  <c r="T84" i="64" s="1"/>
  <c r="X22" i="54"/>
  <c r="AA22" i="54" s="1"/>
  <c r="T22" i="64"/>
  <c r="T73" i="64" s="1"/>
  <c r="X29" i="54"/>
  <c r="AA29" i="54" s="1"/>
  <c r="S12" i="74" s="1"/>
  <c r="X43" i="54"/>
  <c r="T43" i="64"/>
  <c r="T94" i="64" s="1"/>
  <c r="X39" i="54"/>
  <c r="AA39" i="54" s="1"/>
  <c r="S24" i="74" s="1"/>
  <c r="T39" i="64"/>
  <c r="T90" i="64" s="1"/>
  <c r="X26" i="54"/>
  <c r="AA26" i="54" s="1"/>
  <c r="T26" i="64"/>
  <c r="T77" i="64" s="1"/>
  <c r="X35" i="54"/>
  <c r="AA35" i="54" s="1"/>
  <c r="S19" i="74" s="1"/>
  <c r="T35" i="64"/>
  <c r="T86" i="64" s="1"/>
  <c r="X47" i="54"/>
  <c r="AA47" i="54" s="1"/>
  <c r="S31" i="74" s="1"/>
  <c r="W37" i="53"/>
  <c r="W29" i="53"/>
  <c r="W46" i="53"/>
  <c r="W41" i="53"/>
  <c r="W18" i="53"/>
  <c r="AG77" i="47"/>
  <c r="AG75" i="50"/>
  <c r="AG75" i="49"/>
  <c r="AG75" i="48"/>
  <c r="S73" i="49"/>
  <c r="W38" i="53"/>
  <c r="W10" i="53"/>
  <c r="W45" i="53"/>
  <c r="W21" i="53"/>
  <c r="W32" i="53"/>
  <c r="W42" i="53"/>
  <c r="W36" i="53"/>
  <c r="W19" i="53"/>
  <c r="W48" i="53"/>
  <c r="E45" i="5"/>
  <c r="X54" i="54"/>
  <c r="X54" i="53"/>
  <c r="X54" i="52"/>
  <c r="X54" i="51"/>
  <c r="W47" i="53"/>
  <c r="X5" i="53"/>
  <c r="R73" i="49"/>
  <c r="S78" i="49" s="1"/>
  <c r="W25" i="53"/>
  <c r="W20" i="53"/>
  <c r="W28" i="53"/>
  <c r="E29" i="5"/>
  <c r="G19" i="74" l="1"/>
  <c r="G14" i="74"/>
  <c r="T11" i="64"/>
  <c r="T62" i="64" s="1"/>
  <c r="AA333" i="58"/>
  <c r="AA336" i="57"/>
  <c r="AA607" i="57"/>
  <c r="AA601" i="57"/>
  <c r="AA250" i="57"/>
  <c r="AA832" i="57"/>
  <c r="AA605" i="57"/>
  <c r="AA342" i="58"/>
  <c r="AA1074" i="57"/>
  <c r="AG1074" i="57" s="1"/>
  <c r="AA907" i="57"/>
  <c r="AG510" i="57"/>
  <c r="L510" i="61"/>
  <c r="O510" i="61" s="1"/>
  <c r="W49" i="54"/>
  <c r="X49" i="54" s="1"/>
  <c r="AA49" i="54" s="1"/>
  <c r="S32" i="74" s="1"/>
  <c r="L502" i="61"/>
  <c r="O502" i="61" s="1"/>
  <c r="W49" i="53"/>
  <c r="W32" i="54"/>
  <c r="X32" i="54" s="1"/>
  <c r="AA32" i="54" s="1"/>
  <c r="AA254" i="58"/>
  <c r="AA252" i="58"/>
  <c r="AA503" i="57"/>
  <c r="AA501" i="57"/>
  <c r="W44" i="54"/>
  <c r="X44" i="54" s="1"/>
  <c r="AA44" i="54" s="1"/>
  <c r="S27" i="74" s="1"/>
  <c r="W40" i="53"/>
  <c r="C7" i="66"/>
  <c r="C13" i="66" s="1"/>
  <c r="C9" i="66"/>
  <c r="C11" i="66"/>
  <c r="AG192" i="57"/>
  <c r="L192" i="61"/>
  <c r="O192" i="61" s="1"/>
  <c r="W31" i="54"/>
  <c r="X31" i="54" s="1"/>
  <c r="AA31" i="54" s="1"/>
  <c r="S14" i="74" s="1"/>
  <c r="W16" i="54"/>
  <c r="X16" i="54" s="1"/>
  <c r="AA16" i="54" s="1"/>
  <c r="S5" i="74" s="1"/>
  <c r="W46" i="54"/>
  <c r="X46" i="54" s="1"/>
  <c r="AA46" i="54" s="1"/>
  <c r="S29" i="74" s="1"/>
  <c r="AG481" i="57"/>
  <c r="L481" i="61"/>
  <c r="O481" i="61" s="1"/>
  <c r="W24" i="54"/>
  <c r="X24" i="54" s="1"/>
  <c r="AA24" i="54" s="1"/>
  <c r="S8" i="74" s="1"/>
  <c r="W24" i="53"/>
  <c r="X24" i="53" s="1"/>
  <c r="AA24" i="53" s="1"/>
  <c r="AA43" i="54"/>
  <c r="AA52" i="52"/>
  <c r="W5" i="54"/>
  <c r="AG483" i="57"/>
  <c r="L483" i="61"/>
  <c r="O483" i="61" s="1"/>
  <c r="AA34" i="53"/>
  <c r="W10" i="54"/>
  <c r="X10" i="54" s="1"/>
  <c r="AA10" i="54" s="1"/>
  <c r="G15" i="66"/>
  <c r="G14" i="66"/>
  <c r="AG488" i="57"/>
  <c r="K11" i="66"/>
  <c r="K9" i="66"/>
  <c r="K7" i="66"/>
  <c r="K13" i="66" s="1"/>
  <c r="W20" i="54"/>
  <c r="X20" i="54" s="1"/>
  <c r="AA20" i="54" s="1"/>
  <c r="S11" i="74" s="1"/>
  <c r="W45" i="54"/>
  <c r="X45" i="54" s="1"/>
  <c r="AA45" i="54" s="1"/>
  <c r="S28" i="74" s="1"/>
  <c r="W41" i="54"/>
  <c r="X41" i="54" s="1"/>
  <c r="AA41" i="54" s="1"/>
  <c r="L499" i="61"/>
  <c r="O499" i="61" s="1"/>
  <c r="AG499" i="57"/>
  <c r="I11" i="66"/>
  <c r="I7" i="66"/>
  <c r="I13" i="66" s="1"/>
  <c r="I9" i="66"/>
  <c r="W17" i="54"/>
  <c r="X17" i="54" s="1"/>
  <c r="AA17" i="54" s="1"/>
  <c r="S6" i="74" s="1"/>
  <c r="T27" i="64"/>
  <c r="T78" i="64" s="1"/>
  <c r="AA35" i="53"/>
  <c r="W23" i="53"/>
  <c r="W48" i="54"/>
  <c r="X48" i="54" s="1"/>
  <c r="AA48" i="54" s="1"/>
  <c r="S30" i="74" s="1"/>
  <c r="AA33" i="53"/>
  <c r="L494" i="61"/>
  <c r="O494" i="61" s="1"/>
  <c r="AG494" i="57"/>
  <c r="W31" i="53"/>
  <c r="AA22" i="53"/>
  <c r="AA1401" i="57" s="1"/>
  <c r="AG1401" i="57" s="1"/>
  <c r="W37" i="54"/>
  <c r="X37" i="54" s="1"/>
  <c r="AA37" i="54" s="1"/>
  <c r="S22" i="74" s="1"/>
  <c r="W18" i="54"/>
  <c r="X18" i="54" s="1"/>
  <c r="AA18" i="54" s="1"/>
  <c r="S7" i="74" s="1"/>
  <c r="W50" i="54"/>
  <c r="X50" i="54" s="1"/>
  <c r="AA50" i="54" s="1"/>
  <c r="S33" i="74" s="1"/>
  <c r="T16" i="64"/>
  <c r="T67" i="64" s="1"/>
  <c r="F14" i="66"/>
  <c r="F15" i="66"/>
  <c r="P52" i="54"/>
  <c r="AG191" i="57"/>
  <c r="L191" i="61"/>
  <c r="O191" i="61" s="1"/>
  <c r="D15" i="66"/>
  <c r="D14" i="66"/>
  <c r="L194" i="61"/>
  <c r="O194" i="61" s="1"/>
  <c r="L482" i="61"/>
  <c r="O482" i="61" s="1"/>
  <c r="W25" i="54"/>
  <c r="X25" i="54" s="1"/>
  <c r="AA25" i="54" s="1"/>
  <c r="S10" i="74" s="1"/>
  <c r="AA19" i="54"/>
  <c r="S9" i="74" s="1"/>
  <c r="AG492" i="57"/>
  <c r="L492" i="61"/>
  <c r="O492" i="61" s="1"/>
  <c r="W6" i="54"/>
  <c r="X6" i="54" s="1"/>
  <c r="AA6" i="54" s="1"/>
  <c r="G6" i="74" s="1"/>
  <c r="AA40" i="54"/>
  <c r="V52" i="53"/>
  <c r="Z52" i="53"/>
  <c r="W34" i="54"/>
  <c r="X34" i="54" s="1"/>
  <c r="AA34" i="54" s="1"/>
  <c r="S18" i="74" s="1"/>
  <c r="AA980" i="57"/>
  <c r="AG980" i="57" s="1"/>
  <c r="AA406" i="57"/>
  <c r="AG406" i="57" s="1"/>
  <c r="AA325" i="58"/>
  <c r="AA268" i="57"/>
  <c r="AG268" i="57" s="1"/>
  <c r="AA352" i="57"/>
  <c r="L352" i="61" s="1"/>
  <c r="O352" i="61" s="1"/>
  <c r="AA458" i="57"/>
  <c r="AG458" i="57" s="1"/>
  <c r="AA259" i="57"/>
  <c r="L259" i="61" s="1"/>
  <c r="O259" i="61" s="1"/>
  <c r="AA1400" i="57"/>
  <c r="AG1400" i="57" s="1"/>
  <c r="AA626" i="57"/>
  <c r="AA407" i="58"/>
  <c r="AA337" i="58"/>
  <c r="AA1499" i="57"/>
  <c r="L1499" i="61" s="1"/>
  <c r="O1499" i="61" s="1"/>
  <c r="AA1274" i="57"/>
  <c r="L1274" i="61" s="1"/>
  <c r="O1274" i="61" s="1"/>
  <c r="AA1506" i="57"/>
  <c r="AG1506" i="57" s="1"/>
  <c r="AA1266" i="57"/>
  <c r="AG1266" i="57" s="1"/>
  <c r="AA701" i="58"/>
  <c r="AA1270" i="57"/>
  <c r="AG1270" i="57" s="1"/>
  <c r="AA1268" i="57"/>
  <c r="AA1256" i="57"/>
  <c r="AG1256" i="57" s="1"/>
  <c r="AA1255" i="57"/>
  <c r="L1255" i="61" s="1"/>
  <c r="O1255" i="61" s="1"/>
  <c r="AA1249" i="57"/>
  <c r="AG1249" i="57" s="1"/>
  <c r="AA1253" i="57"/>
  <c r="L1253" i="61" s="1"/>
  <c r="O1253" i="61" s="1"/>
  <c r="AA1276" i="57"/>
  <c r="AG1276" i="57" s="1"/>
  <c r="AA1269" i="57"/>
  <c r="AG1269" i="57" s="1"/>
  <c r="AA1273" i="57"/>
  <c r="L1273" i="61" s="1"/>
  <c r="O1273" i="61" s="1"/>
  <c r="AA1508" i="57"/>
  <c r="AG1508" i="57" s="1"/>
  <c r="AA1250" i="57"/>
  <c r="AG1250" i="57" s="1"/>
  <c r="AA696" i="58"/>
  <c r="AA1399" i="57"/>
  <c r="AG1399" i="57" s="1"/>
  <c r="AA615" i="58"/>
  <c r="AA354" i="57"/>
  <c r="L354" i="61" s="1"/>
  <c r="O354" i="61" s="1"/>
  <c r="AA409" i="57"/>
  <c r="AA1419" i="57"/>
  <c r="AG1419" i="57" s="1"/>
  <c r="AA1420" i="57"/>
  <c r="AG1420" i="57" s="1"/>
  <c r="AA616" i="58"/>
  <c r="AA620" i="58"/>
  <c r="AA1405" i="57"/>
  <c r="AG1405" i="57" s="1"/>
  <c r="AA1428" i="57"/>
  <c r="AG1428" i="57" s="1"/>
  <c r="AA596" i="58"/>
  <c r="AA897" i="57"/>
  <c r="L897" i="61" s="1"/>
  <c r="O897" i="61" s="1"/>
  <c r="AA739" i="57"/>
  <c r="L739" i="61" s="1"/>
  <c r="O739" i="61" s="1"/>
  <c r="AA1425" i="57"/>
  <c r="AG1425" i="57" s="1"/>
  <c r="AA597" i="58"/>
  <c r="AA629" i="58"/>
  <c r="AA1071" i="57"/>
  <c r="AG1071" i="57" s="1"/>
  <c r="AA622" i="58"/>
  <c r="AA1429" i="57"/>
  <c r="AG1429" i="57" s="1"/>
  <c r="AA598" i="58"/>
  <c r="AA339" i="57"/>
  <c r="L339" i="61" s="1"/>
  <c r="O339" i="61" s="1"/>
  <c r="AA313" i="58"/>
  <c r="AA1410" i="57"/>
  <c r="AG1410" i="57" s="1"/>
  <c r="AA603" i="58"/>
  <c r="AA186" i="58"/>
  <c r="AA252" i="57"/>
  <c r="L252" i="61" s="1"/>
  <c r="O252" i="61" s="1"/>
  <c r="AA317" i="58"/>
  <c r="AA190" i="58"/>
  <c r="AA608" i="58"/>
  <c r="AA1411" i="57"/>
  <c r="AG1411" i="57" s="1"/>
  <c r="AA1434" i="57"/>
  <c r="AG1434" i="57" s="1"/>
  <c r="AA609" i="58"/>
  <c r="AA697" i="58"/>
  <c r="AA698" i="58"/>
  <c r="AA834" i="57"/>
  <c r="AG834" i="57" s="1"/>
  <c r="AA1500" i="57"/>
  <c r="AG1500" i="57" s="1"/>
  <c r="AA608" i="57"/>
  <c r="AG608" i="57" s="1"/>
  <c r="AA427" i="58"/>
  <c r="AA1510" i="57"/>
  <c r="AG1510" i="57" s="1"/>
  <c r="AA1503" i="57"/>
  <c r="L1503" i="61" s="1"/>
  <c r="O1503" i="61" s="1"/>
  <c r="AA1480" i="57"/>
  <c r="AA254" i="57"/>
  <c r="AA359" i="57"/>
  <c r="L359" i="61" s="1"/>
  <c r="O359" i="61" s="1"/>
  <c r="AA1409" i="57"/>
  <c r="AG1409" i="57" s="1"/>
  <c r="AA605" i="58"/>
  <c r="AA617" i="58"/>
  <c r="AA1263" i="57"/>
  <c r="AG1263" i="57" s="1"/>
  <c r="AA1507" i="57"/>
  <c r="AG1507" i="57" s="1"/>
  <c r="AA699" i="58"/>
  <c r="AA332" i="57"/>
  <c r="AA921" i="57"/>
  <c r="AG921" i="57" s="1"/>
  <c r="AA1407" i="57"/>
  <c r="AG1407" i="57" s="1"/>
  <c r="AA606" i="58"/>
  <c r="AA618" i="58"/>
  <c r="AA1251" i="57"/>
  <c r="AG1251" i="57" s="1"/>
  <c r="AA1258" i="57"/>
  <c r="AG1258" i="57" s="1"/>
  <c r="AA1479" i="57"/>
  <c r="AG1479" i="57" s="1"/>
  <c r="AA1504" i="57"/>
  <c r="AA700" i="58"/>
  <c r="AA349" i="57"/>
  <c r="AG349" i="57" s="1"/>
  <c r="AA630" i="57"/>
  <c r="AG630" i="57" s="1"/>
  <c r="AA742" i="57"/>
  <c r="AG742" i="57" s="1"/>
  <c r="AA1417" i="57"/>
  <c r="AG1417" i="57" s="1"/>
  <c r="AA1430" i="57"/>
  <c r="AG1430" i="57" s="1"/>
  <c r="AA595" i="58"/>
  <c r="AA607" i="58"/>
  <c r="AA619" i="58"/>
  <c r="AA400" i="58"/>
  <c r="Q9" i="65"/>
  <c r="Q15" i="65" s="1"/>
  <c r="AA673" i="58"/>
  <c r="AA1505" i="57"/>
  <c r="AG1505" i="57" s="1"/>
  <c r="AA704" i="58"/>
  <c r="AA1477" i="57"/>
  <c r="AG1477" i="57" s="1"/>
  <c r="AA672" i="58"/>
  <c r="AA702" i="58"/>
  <c r="AA1501" i="57"/>
  <c r="AG1501" i="57" s="1"/>
  <c r="AA703" i="58"/>
  <c r="AA674" i="58"/>
  <c r="AA1415" i="57"/>
  <c r="AG1415" i="57" s="1"/>
  <c r="AA1433" i="57"/>
  <c r="AG1433" i="57" s="1"/>
  <c r="AA1408" i="57"/>
  <c r="AG1408" i="57" s="1"/>
  <c r="AA623" i="58"/>
  <c r="AA1509" i="57"/>
  <c r="AG1509" i="57" s="1"/>
  <c r="AA675" i="58"/>
  <c r="AA705" i="58"/>
  <c r="AA629" i="57"/>
  <c r="AG629" i="57" s="1"/>
  <c r="AA744" i="57"/>
  <c r="AG744" i="57" s="1"/>
  <c r="AA920" i="57"/>
  <c r="AG920" i="57" s="1"/>
  <c r="AA1431" i="57"/>
  <c r="AG1431" i="57" s="1"/>
  <c r="AA600" i="58"/>
  <c r="AA612" i="58"/>
  <c r="AA625" i="58"/>
  <c r="AA484" i="58"/>
  <c r="AA1257" i="57"/>
  <c r="AG1257" i="57" s="1"/>
  <c r="AA1478" i="57"/>
  <c r="AA694" i="58"/>
  <c r="AA740" i="57"/>
  <c r="AG740" i="57" s="1"/>
  <c r="AA994" i="57"/>
  <c r="AG994" i="57" s="1"/>
  <c r="AA993" i="57"/>
  <c r="AG993" i="57" s="1"/>
  <c r="AA1403" i="57"/>
  <c r="AG1403" i="57" s="1"/>
  <c r="AA1406" i="57"/>
  <c r="AG1406" i="57" s="1"/>
  <c r="AA1416" i="57"/>
  <c r="AG1416" i="57" s="1"/>
  <c r="AA601" i="58"/>
  <c r="AA613" i="58"/>
  <c r="AA626" i="58"/>
  <c r="T13" i="64"/>
  <c r="T64" i="64" s="1"/>
  <c r="AA1502" i="57"/>
  <c r="L1502" i="61" s="1"/>
  <c r="O1502" i="61" s="1"/>
  <c r="AA695" i="58"/>
  <c r="AA602" i="58"/>
  <c r="AA614" i="58"/>
  <c r="AA627" i="58"/>
  <c r="AA482" i="58"/>
  <c r="AA624" i="58"/>
  <c r="AA1267" i="57"/>
  <c r="AA1275" i="57"/>
  <c r="L1275" i="61" s="1"/>
  <c r="O1275" i="61" s="1"/>
  <c r="AA1261" i="57"/>
  <c r="AG1261" i="57" s="1"/>
  <c r="AA1277" i="57"/>
  <c r="AG1277" i="57" s="1"/>
  <c r="AA1262" i="57"/>
  <c r="AG1262" i="57" s="1"/>
  <c r="AA1278" i="57"/>
  <c r="AG1278" i="57" s="1"/>
  <c r="AA1264" i="57"/>
  <c r="AG1264" i="57" s="1"/>
  <c r="AA813" i="57"/>
  <c r="AG813" i="57" s="1"/>
  <c r="AA604" i="57"/>
  <c r="AG604" i="57" s="1"/>
  <c r="AA257" i="57"/>
  <c r="L257" i="61" s="1"/>
  <c r="O257" i="61" s="1"/>
  <c r="AA628" i="57"/>
  <c r="AG628" i="57" s="1"/>
  <c r="AA835" i="57"/>
  <c r="L835" i="61" s="1"/>
  <c r="O835" i="61" s="1"/>
  <c r="AA815" i="57"/>
  <c r="AG815" i="57" s="1"/>
  <c r="AA999" i="57"/>
  <c r="AG999" i="57" s="1"/>
  <c r="AA329" i="58"/>
  <c r="AA343" i="58"/>
  <c r="AA212" i="58"/>
  <c r="AA404" i="58"/>
  <c r="T9" i="65"/>
  <c r="T11" i="65"/>
  <c r="T7" i="65"/>
  <c r="T13" i="65" s="1"/>
  <c r="B9" i="65"/>
  <c r="B7" i="65"/>
  <c r="B13" i="65" s="1"/>
  <c r="B11" i="65"/>
  <c r="Q7" i="65"/>
  <c r="Q13" i="65" s="1"/>
  <c r="Q11" i="65"/>
  <c r="AB73" i="48"/>
  <c r="J9" i="65"/>
  <c r="J11" i="65"/>
  <c r="J7" i="65"/>
  <c r="J13" i="65" s="1"/>
  <c r="U11" i="65"/>
  <c r="U9" i="65"/>
  <c r="U7" i="65"/>
  <c r="U13" i="65" s="1"/>
  <c r="G9" i="65"/>
  <c r="G7" i="65"/>
  <c r="G13" i="65" s="1"/>
  <c r="G11" i="65"/>
  <c r="L11" i="65"/>
  <c r="L7" i="65"/>
  <c r="L13" i="65" s="1"/>
  <c r="L9" i="65"/>
  <c r="V73" i="50"/>
  <c r="AB5" i="50"/>
  <c r="AB73" i="50" s="1"/>
  <c r="E9" i="65"/>
  <c r="E11" i="65"/>
  <c r="E7" i="65"/>
  <c r="E13" i="65" s="1"/>
  <c r="N9" i="65"/>
  <c r="N11" i="65"/>
  <c r="N7" i="65"/>
  <c r="N13" i="65" s="1"/>
  <c r="M11" i="65"/>
  <c r="M9" i="65"/>
  <c r="M7" i="65"/>
  <c r="M13" i="65" s="1"/>
  <c r="V12" i="49"/>
  <c r="V33" i="49"/>
  <c r="V58" i="49"/>
  <c r="V51" i="49"/>
  <c r="V28" i="49"/>
  <c r="V30" i="49"/>
  <c r="V52" i="49"/>
  <c r="V5" i="49"/>
  <c r="V66" i="49"/>
  <c r="V63" i="49"/>
  <c r="V54" i="49"/>
  <c r="V27" i="49"/>
  <c r="V44" i="49"/>
  <c r="V53" i="49"/>
  <c r="V7" i="49"/>
  <c r="V43" i="49"/>
  <c r="V40" i="49"/>
  <c r="V25" i="49"/>
  <c r="V47" i="49"/>
  <c r="V34" i="49"/>
  <c r="V68" i="49"/>
  <c r="V15" i="49"/>
  <c r="V41" i="49"/>
  <c r="V31" i="49"/>
  <c r="V32" i="49"/>
  <c r="V57" i="49"/>
  <c r="V35" i="49"/>
  <c r="V71" i="49"/>
  <c r="V67" i="49"/>
  <c r="V69" i="49"/>
  <c r="V36" i="49"/>
  <c r="V23" i="49"/>
  <c r="V64" i="49"/>
  <c r="V46" i="49"/>
  <c r="V38" i="49"/>
  <c r="V13" i="49"/>
  <c r="V49" i="49"/>
  <c r="V11" i="49"/>
  <c r="V14" i="49"/>
  <c r="V19" i="49"/>
  <c r="V21" i="49"/>
  <c r="V56" i="49"/>
  <c r="V9" i="49"/>
  <c r="V50" i="49"/>
  <c r="V70" i="49"/>
  <c r="V65" i="49"/>
  <c r="V24" i="49"/>
  <c r="V10" i="49"/>
  <c r="V22" i="49"/>
  <c r="V17" i="49"/>
  <c r="V55" i="49"/>
  <c r="V26" i="49"/>
  <c r="V60" i="49"/>
  <c r="V29" i="49"/>
  <c r="V6" i="49"/>
  <c r="V20" i="49"/>
  <c r="V37" i="49"/>
  <c r="V18" i="49"/>
  <c r="V45" i="49"/>
  <c r="V42" i="49"/>
  <c r="V48" i="49"/>
  <c r="V8" i="49"/>
  <c r="V62" i="49"/>
  <c r="V61" i="49"/>
  <c r="V16" i="49"/>
  <c r="V39" i="49"/>
  <c r="V59" i="49"/>
  <c r="M5" i="63"/>
  <c r="M77" i="63" s="1"/>
  <c r="M73" i="49"/>
  <c r="AD73" i="49"/>
  <c r="AA1085" i="57"/>
  <c r="AG1085" i="57" s="1"/>
  <c r="AA435" i="57"/>
  <c r="AG435" i="57" s="1"/>
  <c r="AA338" i="58"/>
  <c r="AA1014" i="57"/>
  <c r="AG1014" i="57" s="1"/>
  <c r="AA421" i="58"/>
  <c r="AA1091" i="57"/>
  <c r="AG1091" i="57" s="1"/>
  <c r="AA1076" i="57"/>
  <c r="AG1076" i="57" s="1"/>
  <c r="AA1019" i="57"/>
  <c r="AG1019" i="57" s="1"/>
  <c r="AA1088" i="57"/>
  <c r="AG1088" i="57" s="1"/>
  <c r="AA456" i="57"/>
  <c r="AG456" i="57" s="1"/>
  <c r="AA399" i="58"/>
  <c r="AA211" i="58"/>
  <c r="AA205" i="58"/>
  <c r="AA189" i="58"/>
  <c r="AA185" i="58"/>
  <c r="AA431" i="57"/>
  <c r="AG431" i="57" s="1"/>
  <c r="AA335" i="58"/>
  <c r="AA463" i="57"/>
  <c r="AG463" i="57" s="1"/>
  <c r="AA351" i="58"/>
  <c r="AA411" i="58"/>
  <c r="AA182" i="58"/>
  <c r="AA332" i="58"/>
  <c r="AA328" i="58"/>
  <c r="AA324" i="58"/>
  <c r="AA320" i="58"/>
  <c r="AA316" i="58"/>
  <c r="AA312" i="58"/>
  <c r="AA995" i="57"/>
  <c r="AG995" i="57" s="1"/>
  <c r="AA979" i="57"/>
  <c r="AG979" i="57" s="1"/>
  <c r="AA989" i="57"/>
  <c r="AG989" i="57" s="1"/>
  <c r="AA916" i="57"/>
  <c r="AG916" i="57" s="1"/>
  <c r="AA900" i="57"/>
  <c r="AG900" i="57" s="1"/>
  <c r="AA828" i="57"/>
  <c r="L828" i="61" s="1"/>
  <c r="O828" i="61" s="1"/>
  <c r="AA811" i="57"/>
  <c r="L811" i="61" s="1"/>
  <c r="O811" i="61" s="1"/>
  <c r="AA735" i="57"/>
  <c r="AG735" i="57" s="1"/>
  <c r="AA992" i="57"/>
  <c r="AG992" i="57" s="1"/>
  <c r="AA919" i="57"/>
  <c r="L919" i="61" s="1"/>
  <c r="O919" i="61" s="1"/>
  <c r="AA903" i="57"/>
  <c r="AG903" i="57" s="1"/>
  <c r="AA831" i="57"/>
  <c r="AG831" i="57" s="1"/>
  <c r="AA814" i="57"/>
  <c r="L814" i="61" s="1"/>
  <c r="O814" i="61" s="1"/>
  <c r="AA738" i="57"/>
  <c r="AG738" i="57" s="1"/>
  <c r="AA910" i="57"/>
  <c r="AG910" i="57" s="1"/>
  <c r="AA826" i="57"/>
  <c r="AG826" i="57" s="1"/>
  <c r="AA737" i="57"/>
  <c r="L737" i="61" s="1"/>
  <c r="O737" i="61" s="1"/>
  <c r="AA622" i="57"/>
  <c r="AG622" i="57" s="1"/>
  <c r="AA600" i="57"/>
  <c r="L600" i="61" s="1"/>
  <c r="O600" i="61" s="1"/>
  <c r="AA405" i="57"/>
  <c r="AG405" i="57" s="1"/>
  <c r="AA353" i="57"/>
  <c r="AG353" i="57" s="1"/>
  <c r="AA269" i="57"/>
  <c r="AG269" i="57" s="1"/>
  <c r="AA253" i="57"/>
  <c r="L253" i="61" s="1"/>
  <c r="O253" i="61" s="1"/>
  <c r="AA917" i="57"/>
  <c r="AG917" i="57" s="1"/>
  <c r="AA825" i="57"/>
  <c r="L825" i="61" s="1"/>
  <c r="O825" i="61" s="1"/>
  <c r="AA736" i="57"/>
  <c r="AG736" i="57" s="1"/>
  <c r="AA621" i="57"/>
  <c r="L621" i="61" s="1"/>
  <c r="O621" i="61" s="1"/>
  <c r="AA599" i="57"/>
  <c r="AG599" i="57" s="1"/>
  <c r="AA400" i="57"/>
  <c r="AG400" i="57" s="1"/>
  <c r="AA346" i="57"/>
  <c r="L346" i="61" s="1"/>
  <c r="O346" i="61" s="1"/>
  <c r="AA264" i="57"/>
  <c r="AG264" i="57" s="1"/>
  <c r="AA248" i="57"/>
  <c r="AG248" i="57" s="1"/>
  <c r="AA898" i="57"/>
  <c r="AG898" i="57" s="1"/>
  <c r="AA741" i="57"/>
  <c r="L741" i="61" s="1"/>
  <c r="O741" i="61" s="1"/>
  <c r="AA625" i="57"/>
  <c r="AG625" i="57" s="1"/>
  <c r="AA603" i="57"/>
  <c r="AG603" i="57" s="1"/>
  <c r="AA407" i="57"/>
  <c r="AG407" i="57" s="1"/>
  <c r="AA355" i="57"/>
  <c r="L355" i="61" s="1"/>
  <c r="O355" i="61" s="1"/>
  <c r="AA333" i="57"/>
  <c r="AG333" i="57" s="1"/>
  <c r="AA255" i="57"/>
  <c r="AG255" i="57" s="1"/>
  <c r="AA986" i="57"/>
  <c r="AG986" i="57" s="1"/>
  <c r="AA829" i="57"/>
  <c r="L829" i="61" s="1"/>
  <c r="O829" i="61" s="1"/>
  <c r="AA640" i="57"/>
  <c r="AG640" i="57" s="1"/>
  <c r="AA618" i="57"/>
  <c r="AG618" i="57" s="1"/>
  <c r="AA596" i="57"/>
  <c r="AG596" i="57" s="1"/>
  <c r="AA362" i="57"/>
  <c r="AG362" i="57" s="1"/>
  <c r="AA343" i="57"/>
  <c r="AG343" i="57" s="1"/>
  <c r="AA262" i="57"/>
  <c r="AG262" i="57" s="1"/>
  <c r="AA246" i="57"/>
  <c r="AG246" i="57" s="1"/>
  <c r="AA1017" i="57"/>
  <c r="AG1017" i="57" s="1"/>
  <c r="AA426" i="58"/>
  <c r="AA1156" i="57"/>
  <c r="AG1156" i="57" s="1"/>
  <c r="AA485" i="58"/>
  <c r="AA417" i="58"/>
  <c r="AA1015" i="57"/>
  <c r="AG1015" i="57" s="1"/>
  <c r="AA1157" i="57"/>
  <c r="AG1157" i="57" s="1"/>
  <c r="AA487" i="58"/>
  <c r="AA1020" i="57"/>
  <c r="AG1020" i="57" s="1"/>
  <c r="AA433" i="57"/>
  <c r="AG433" i="57" s="1"/>
  <c r="AA216" i="58"/>
  <c r="AA208" i="58"/>
  <c r="AA204" i="58"/>
  <c r="AA188" i="58"/>
  <c r="AA184" i="58"/>
  <c r="AA424" i="58"/>
  <c r="AA419" i="58"/>
  <c r="AA462" i="57"/>
  <c r="AG462" i="57" s="1"/>
  <c r="AA340" i="58"/>
  <c r="AA348" i="58"/>
  <c r="AA181" i="58"/>
  <c r="AA331" i="58"/>
  <c r="AA327" i="58"/>
  <c r="AA323" i="58"/>
  <c r="AA319" i="58"/>
  <c r="AA315" i="58"/>
  <c r="AA311" i="58"/>
  <c r="AA991" i="57"/>
  <c r="AG991" i="57" s="1"/>
  <c r="AA922" i="57"/>
  <c r="L1158" i="61" s="1"/>
  <c r="AA1001" i="57"/>
  <c r="AG1001" i="57" s="1"/>
  <c r="AA985" i="57"/>
  <c r="AG985" i="57" s="1"/>
  <c r="AA912" i="57"/>
  <c r="AG912" i="57" s="1"/>
  <c r="AA896" i="57"/>
  <c r="L896" i="61" s="1"/>
  <c r="O896" i="61" s="1"/>
  <c r="AA824" i="57"/>
  <c r="L824" i="61" s="1"/>
  <c r="O824" i="61" s="1"/>
  <c r="AA807" i="57"/>
  <c r="AG807" i="57" s="1"/>
  <c r="AA988" i="57"/>
  <c r="AG988" i="57" s="1"/>
  <c r="AA915" i="57"/>
  <c r="AG915" i="57" s="1"/>
  <c r="AA899" i="57"/>
  <c r="L899" i="61" s="1"/>
  <c r="O899" i="61" s="1"/>
  <c r="AA827" i="57"/>
  <c r="L827" i="61" s="1"/>
  <c r="O827" i="61" s="1"/>
  <c r="AA810" i="57"/>
  <c r="L810" i="61" s="1"/>
  <c r="O810" i="61" s="1"/>
  <c r="AA998" i="57"/>
  <c r="AG998" i="57" s="1"/>
  <c r="AA902" i="57"/>
  <c r="L902" i="61" s="1"/>
  <c r="O902" i="61" s="1"/>
  <c r="AA817" i="57"/>
  <c r="AG817" i="57" s="1"/>
  <c r="AA639" i="57"/>
  <c r="AG639" i="57" s="1"/>
  <c r="AA616" i="57"/>
  <c r="L616" i="61" s="1"/>
  <c r="O616" i="61" s="1"/>
  <c r="AA595" i="57"/>
  <c r="AG595" i="57" s="1"/>
  <c r="AA401" i="57"/>
  <c r="L401" i="61" s="1"/>
  <c r="O401" i="61" s="1"/>
  <c r="AA348" i="57"/>
  <c r="AG348" i="57" s="1"/>
  <c r="AA265" i="57"/>
  <c r="AG265" i="57" s="1"/>
  <c r="AA249" i="57"/>
  <c r="AG249" i="57" s="1"/>
  <c r="AA909" i="57"/>
  <c r="AG909" i="57" s="1"/>
  <c r="AA816" i="57"/>
  <c r="AG816" i="57" s="1"/>
  <c r="AA638" i="57"/>
  <c r="L638" i="61" s="1"/>
  <c r="O638" i="61" s="1"/>
  <c r="AA615" i="57"/>
  <c r="AG615" i="57" s="1"/>
  <c r="AA412" i="57"/>
  <c r="L412" i="61" s="1"/>
  <c r="O412" i="61" s="1"/>
  <c r="AA360" i="57"/>
  <c r="AG360" i="57" s="1"/>
  <c r="AA340" i="57"/>
  <c r="AG340" i="57" s="1"/>
  <c r="AA260" i="57"/>
  <c r="AG260" i="57" s="1"/>
  <c r="AA990" i="57"/>
  <c r="AG990" i="57" s="1"/>
  <c r="AA830" i="57"/>
  <c r="AG830" i="57" s="1"/>
  <c r="AA641" i="57"/>
  <c r="L641" i="61" s="1"/>
  <c r="O641" i="61" s="1"/>
  <c r="AA619" i="57"/>
  <c r="L619" i="61" s="1"/>
  <c r="O619" i="61" s="1"/>
  <c r="AA598" i="57"/>
  <c r="AG598" i="57" s="1"/>
  <c r="AA403" i="57"/>
  <c r="AG403" i="57" s="1"/>
  <c r="AA351" i="57"/>
  <c r="L351" i="61" s="1"/>
  <c r="O351" i="61" s="1"/>
  <c r="AA267" i="57"/>
  <c r="AG267" i="57" s="1"/>
  <c r="AA251" i="57"/>
  <c r="AG251" i="57" s="1"/>
  <c r="AA913" i="57"/>
  <c r="AG913" i="57" s="1"/>
  <c r="AA821" i="57"/>
  <c r="L821" i="61" s="1"/>
  <c r="O821" i="61" s="1"/>
  <c r="AA634" i="57"/>
  <c r="AG634" i="57" s="1"/>
  <c r="AA612" i="57"/>
  <c r="AG612" i="57" s="1"/>
  <c r="AA410" i="57"/>
  <c r="AG410" i="57" s="1"/>
  <c r="AA358" i="57"/>
  <c r="L358" i="61" s="1"/>
  <c r="O358" i="61" s="1"/>
  <c r="AA338" i="57"/>
  <c r="AG338" i="57" s="1"/>
  <c r="AA258" i="57"/>
  <c r="AG258" i="57" s="1"/>
  <c r="AA356" i="57"/>
  <c r="L356" i="61" s="1"/>
  <c r="O356" i="61" s="1"/>
  <c r="AA345" i="57"/>
  <c r="AG345" i="57" s="1"/>
  <c r="AA905" i="57"/>
  <c r="L905" i="61" s="1"/>
  <c r="O905" i="61" s="1"/>
  <c r="AA1159" i="57"/>
  <c r="AG1159" i="57" s="1"/>
  <c r="AA1009" i="57"/>
  <c r="AG1009" i="57" s="1"/>
  <c r="AA410" i="58"/>
  <c r="AA1082" i="57"/>
  <c r="AG1082" i="57" s="1"/>
  <c r="AA481" i="58"/>
  <c r="AA401" i="58"/>
  <c r="AA412" i="58"/>
  <c r="AA1095" i="57"/>
  <c r="AG1095" i="57" s="1"/>
  <c r="AA455" i="57"/>
  <c r="AG455" i="57" s="1"/>
  <c r="AA1012" i="57"/>
  <c r="AG1012" i="57" s="1"/>
  <c r="AA432" i="57"/>
  <c r="AG432" i="57" s="1"/>
  <c r="AA215" i="58"/>
  <c r="AA207" i="58"/>
  <c r="AA191" i="58"/>
  <c r="AA187" i="58"/>
  <c r="AA459" i="57"/>
  <c r="AG459" i="57" s="1"/>
  <c r="AA408" i="58"/>
  <c r="AA403" i="58"/>
  <c r="AA416" i="58"/>
  <c r="AA439" i="57"/>
  <c r="AG439" i="57" s="1"/>
  <c r="AA339" i="58"/>
  <c r="AA180" i="58"/>
  <c r="AA330" i="58"/>
  <c r="AA326" i="58"/>
  <c r="AA322" i="58"/>
  <c r="AA318" i="58"/>
  <c r="AA314" i="58"/>
  <c r="AA310" i="58"/>
  <c r="AA987" i="57"/>
  <c r="AG987" i="57" s="1"/>
  <c r="AA918" i="57"/>
  <c r="AG918" i="57" s="1"/>
  <c r="AA997" i="57"/>
  <c r="AG997" i="57" s="1"/>
  <c r="AA981" i="57"/>
  <c r="AG981" i="57" s="1"/>
  <c r="AA908" i="57"/>
  <c r="AG908" i="57" s="1"/>
  <c r="AA836" i="57"/>
  <c r="AG836" i="57" s="1"/>
  <c r="AA820" i="57"/>
  <c r="AG820" i="57" s="1"/>
  <c r="AA743" i="57"/>
  <c r="AG743" i="57" s="1"/>
  <c r="AA1000" i="57"/>
  <c r="AG1000" i="57" s="1"/>
  <c r="AA984" i="57"/>
  <c r="AG984" i="57" s="1"/>
  <c r="AA911" i="57"/>
  <c r="AG911" i="57" s="1"/>
  <c r="AA895" i="57"/>
  <c r="L895" i="61" s="1"/>
  <c r="O895" i="61" s="1"/>
  <c r="AA823" i="57"/>
  <c r="AG823" i="57" s="1"/>
  <c r="AA746" i="57"/>
  <c r="AG746" i="57" s="1"/>
  <c r="AA982" i="57"/>
  <c r="AG982" i="57" s="1"/>
  <c r="AA894" i="57"/>
  <c r="L894" i="61" s="1"/>
  <c r="O894" i="61" s="1"/>
  <c r="AA809" i="57"/>
  <c r="AG809" i="57" s="1"/>
  <c r="AA633" i="57"/>
  <c r="AG633" i="57" s="1"/>
  <c r="AA611" i="57"/>
  <c r="AG611" i="57" s="1"/>
  <c r="AA413" i="57"/>
  <c r="L439" i="61" s="1"/>
  <c r="AA361" i="57"/>
  <c r="AG361" i="57" s="1"/>
  <c r="AA342" i="57"/>
  <c r="L342" i="61" s="1"/>
  <c r="O342" i="61" s="1"/>
  <c r="AA261" i="57"/>
  <c r="AG261" i="57" s="1"/>
  <c r="AA245" i="57"/>
  <c r="L245" i="61" s="1"/>
  <c r="AA901" i="57"/>
  <c r="L901" i="61" s="1"/>
  <c r="O901" i="61" s="1"/>
  <c r="AA808" i="57"/>
  <c r="AG808" i="57" s="1"/>
  <c r="AA632" i="57"/>
  <c r="AG632" i="57" s="1"/>
  <c r="AA609" i="57"/>
  <c r="AG609" i="57" s="1"/>
  <c r="AA408" i="57"/>
  <c r="AG408" i="57" s="1"/>
  <c r="AA335" i="57"/>
  <c r="AG335" i="57" s="1"/>
  <c r="AA256" i="57"/>
  <c r="AG256" i="57" s="1"/>
  <c r="AA914" i="57"/>
  <c r="L914" i="61" s="1"/>
  <c r="O914" i="61" s="1"/>
  <c r="AA822" i="57"/>
  <c r="AG822" i="57" s="1"/>
  <c r="AA635" i="57"/>
  <c r="AG635" i="57" s="1"/>
  <c r="AA613" i="57"/>
  <c r="AG613" i="57" s="1"/>
  <c r="AA399" i="57"/>
  <c r="AG399" i="57" s="1"/>
  <c r="AA263" i="57"/>
  <c r="AG263" i="57" s="1"/>
  <c r="AA247" i="57"/>
  <c r="AG247" i="57" s="1"/>
  <c r="AA812" i="57"/>
  <c r="AG812" i="57" s="1"/>
  <c r="AA1656" i="57"/>
  <c r="AG1656" i="57" s="1"/>
  <c r="AA266" i="57"/>
  <c r="AG266" i="57" s="1"/>
  <c r="AA402" i="57"/>
  <c r="AG402" i="57" s="1"/>
  <c r="AA624" i="57"/>
  <c r="AG624" i="57" s="1"/>
  <c r="AA1002" i="57"/>
  <c r="AG1002" i="57" s="1"/>
  <c r="AA411" i="57"/>
  <c r="AG411" i="57" s="1"/>
  <c r="AA906" i="57"/>
  <c r="L906" i="61" s="1"/>
  <c r="O906" i="61" s="1"/>
  <c r="AA404" i="57"/>
  <c r="AG404" i="57" s="1"/>
  <c r="AA833" i="57"/>
  <c r="AG833" i="57" s="1"/>
  <c r="AA357" i="57"/>
  <c r="L357" i="61" s="1"/>
  <c r="O357" i="61" s="1"/>
  <c r="AA745" i="57"/>
  <c r="L745" i="61" s="1"/>
  <c r="O745" i="61" s="1"/>
  <c r="AA819" i="57"/>
  <c r="L819" i="61" s="1"/>
  <c r="O819" i="61" s="1"/>
  <c r="AA996" i="57"/>
  <c r="AG996" i="57" s="1"/>
  <c r="AA904" i="57"/>
  <c r="AG904" i="57" s="1"/>
  <c r="AA983" i="57"/>
  <c r="AG983" i="57" s="1"/>
  <c r="AA321" i="58"/>
  <c r="AA183" i="58"/>
  <c r="AA347" i="58"/>
  <c r="AA206" i="58"/>
  <c r="AA1096" i="57"/>
  <c r="AG1096" i="57" s="1"/>
  <c r="AA438" i="57"/>
  <c r="AG438" i="57" s="1"/>
  <c r="AA1155" i="57"/>
  <c r="AG1155" i="57" s="1"/>
  <c r="AA1016" i="57"/>
  <c r="AG1016" i="57" s="1"/>
  <c r="AA1007" i="57"/>
  <c r="AG1007" i="57" s="1"/>
  <c r="AA397" i="58"/>
  <c r="AA436" i="57"/>
  <c r="AG436" i="57" s="1"/>
  <c r="AA1010" i="57"/>
  <c r="AG1010" i="57" s="1"/>
  <c r="AA1152" i="57"/>
  <c r="AG1152" i="57" s="1"/>
  <c r="AA402" i="58"/>
  <c r="AA465" i="57"/>
  <c r="AG465" i="57" s="1"/>
  <c r="AA1081" i="57"/>
  <c r="AG1081" i="57" s="1"/>
  <c r="AA209" i="58"/>
  <c r="AA213" i="58"/>
  <c r="AA336" i="58"/>
  <c r="AA415" i="58"/>
  <c r="AA434" i="57"/>
  <c r="AG434" i="57" s="1"/>
  <c r="AA492" i="58"/>
  <c r="AA1072" i="57"/>
  <c r="AG1072" i="57" s="1"/>
  <c r="AA1150" i="57"/>
  <c r="AG1150" i="57" s="1"/>
  <c r="AA1003" i="57"/>
  <c r="AG1003" i="57" s="1"/>
  <c r="AA1079" i="57"/>
  <c r="AG1079" i="57" s="1"/>
  <c r="AA488" i="58"/>
  <c r="AA1084" i="57"/>
  <c r="AG1084" i="57" s="1"/>
  <c r="AA420" i="58"/>
  <c r="AA1075" i="57"/>
  <c r="AG1075" i="57" s="1"/>
  <c r="AA341" i="58"/>
  <c r="AA405" i="58"/>
  <c r="AA429" i="57"/>
  <c r="AG429" i="57" s="1"/>
  <c r="AA454" i="57"/>
  <c r="AG454" i="57" s="1"/>
  <c r="AA489" i="58"/>
  <c r="AA1066" i="57"/>
  <c r="AG1066" i="57" s="1"/>
  <c r="AA1086" i="57"/>
  <c r="AG1086" i="57" s="1"/>
  <c r="AA1160" i="57"/>
  <c r="AG1160" i="57" s="1"/>
  <c r="AA350" i="58"/>
  <c r="AA414" i="58"/>
  <c r="AA453" i="57"/>
  <c r="AG453" i="57" s="1"/>
  <c r="AA490" i="58"/>
  <c r="AA1069" i="57"/>
  <c r="AG1069" i="57" s="1"/>
  <c r="AA1089" i="57"/>
  <c r="AG1089" i="57" s="1"/>
  <c r="AA210" i="58"/>
  <c r="AA214" i="58"/>
  <c r="AA344" i="58"/>
  <c r="AA423" i="58"/>
  <c r="AA440" i="57"/>
  <c r="AG440" i="57" s="1"/>
  <c r="AA1004" i="57"/>
  <c r="AG1004" i="57" s="1"/>
  <c r="AA1080" i="57"/>
  <c r="AG1080" i="57" s="1"/>
  <c r="AA1158" i="57"/>
  <c r="AG1158" i="57" s="1"/>
  <c r="AA1011" i="57"/>
  <c r="AG1011" i="57" s="1"/>
  <c r="AA1087" i="57"/>
  <c r="AG1087" i="57" s="1"/>
  <c r="AA1008" i="57"/>
  <c r="AG1008" i="57" s="1"/>
  <c r="AA1092" i="57"/>
  <c r="AG1092" i="57" s="1"/>
  <c r="AA491" i="58"/>
  <c r="AA1083" i="57"/>
  <c r="AG1083" i="57" s="1"/>
  <c r="AA345" i="58"/>
  <c r="AA413" i="58"/>
  <c r="AA430" i="57"/>
  <c r="AG430" i="57" s="1"/>
  <c r="AA460" i="57"/>
  <c r="AG460" i="57" s="1"/>
  <c r="AA1006" i="57"/>
  <c r="AG1006" i="57" s="1"/>
  <c r="AA1070" i="57"/>
  <c r="AG1070" i="57" s="1"/>
  <c r="AA1090" i="57"/>
  <c r="AG1090" i="57" s="1"/>
  <c r="AA334" i="58"/>
  <c r="AA398" i="58"/>
  <c r="AA418" i="58"/>
  <c r="AA461" i="57"/>
  <c r="AG461" i="57" s="1"/>
  <c r="AA1005" i="57"/>
  <c r="AG1005" i="57" s="1"/>
  <c r="AA1073" i="57"/>
  <c r="AG1073" i="57" s="1"/>
  <c r="AA1151" i="57"/>
  <c r="AG1151" i="57" s="1"/>
  <c r="X42" i="53"/>
  <c r="AA42" i="53" s="1"/>
  <c r="T42" i="64"/>
  <c r="T93" i="64" s="1"/>
  <c r="X20" i="53"/>
  <c r="AA20" i="53" s="1"/>
  <c r="T20" i="64"/>
  <c r="T71" i="64" s="1"/>
  <c r="X19" i="53"/>
  <c r="AA19" i="53" s="1"/>
  <c r="T19" i="64"/>
  <c r="T70" i="64" s="1"/>
  <c r="X32" i="53"/>
  <c r="AA32" i="53" s="1"/>
  <c r="T32" i="64"/>
  <c r="T83" i="64" s="1"/>
  <c r="X10" i="53"/>
  <c r="AA10" i="53" s="1"/>
  <c r="X25" i="53"/>
  <c r="AA25" i="53" s="1"/>
  <c r="T25" i="64"/>
  <c r="T76" i="64" s="1"/>
  <c r="X47" i="53"/>
  <c r="AA47" i="53" s="1"/>
  <c r="T47" i="64"/>
  <c r="T98" i="64" s="1"/>
  <c r="X17" i="53"/>
  <c r="AA17" i="53" s="1"/>
  <c r="T17" i="64"/>
  <c r="T68" i="64" s="1"/>
  <c r="X21" i="53"/>
  <c r="AA21" i="53" s="1"/>
  <c r="T21" i="64"/>
  <c r="T72" i="64" s="1"/>
  <c r="X38" i="53"/>
  <c r="AA38" i="53" s="1"/>
  <c r="T38" i="64"/>
  <c r="T89" i="64" s="1"/>
  <c r="X18" i="53"/>
  <c r="AA18" i="53" s="1"/>
  <c r="X48" i="53"/>
  <c r="AA48" i="53" s="1"/>
  <c r="T48" i="64"/>
  <c r="T99" i="64" s="1"/>
  <c r="X6" i="53"/>
  <c r="AA6" i="53" s="1"/>
  <c r="T6" i="64"/>
  <c r="T57" i="64" s="1"/>
  <c r="X28" i="53"/>
  <c r="AA28" i="53" s="1"/>
  <c r="T28" i="64"/>
  <c r="T79" i="64" s="1"/>
  <c r="X31" i="53"/>
  <c r="AA31" i="53" s="1"/>
  <c r="X36" i="53"/>
  <c r="AA36" i="53" s="1"/>
  <c r="T36" i="64"/>
  <c r="T87" i="64" s="1"/>
  <c r="X45" i="53"/>
  <c r="AA45" i="53" s="1"/>
  <c r="T45" i="64"/>
  <c r="T96" i="64" s="1"/>
  <c r="X41" i="53"/>
  <c r="AA41" i="53" s="1"/>
  <c r="T41" i="64"/>
  <c r="T92" i="64" s="1"/>
  <c r="X29" i="53"/>
  <c r="AA29" i="53" s="1"/>
  <c r="T29" i="64"/>
  <c r="T80" i="64" s="1"/>
  <c r="X46" i="53"/>
  <c r="AA46" i="53" s="1"/>
  <c r="T46" i="64"/>
  <c r="T97" i="64" s="1"/>
  <c r="X37" i="53"/>
  <c r="AA37" i="53" s="1"/>
  <c r="T37" i="64"/>
  <c r="T88" i="64" s="1"/>
  <c r="AA1162" i="57"/>
  <c r="AG1162" i="57" s="1"/>
  <c r="AA1068" i="57"/>
  <c r="AG1068" i="57" s="1"/>
  <c r="AA1154" i="57"/>
  <c r="AG1154" i="57" s="1"/>
  <c r="AA483" i="58"/>
  <c r="AA1067" i="57"/>
  <c r="AG1067" i="57" s="1"/>
  <c r="AA1153" i="57"/>
  <c r="AG1153" i="57" s="1"/>
  <c r="AA349" i="58"/>
  <c r="AA409" i="58"/>
  <c r="AA425" i="58"/>
  <c r="AA437" i="57"/>
  <c r="AG437" i="57" s="1"/>
  <c r="AA464" i="57"/>
  <c r="AG464" i="57" s="1"/>
  <c r="AA493" i="58"/>
  <c r="AA1018" i="57"/>
  <c r="AG1018" i="57" s="1"/>
  <c r="AA1078" i="57"/>
  <c r="AG1078" i="57" s="1"/>
  <c r="AA1094" i="57"/>
  <c r="AG1094" i="57" s="1"/>
  <c r="AA1161" i="57"/>
  <c r="AG1161" i="57" s="1"/>
  <c r="AA346" i="58"/>
  <c r="AA406" i="58"/>
  <c r="AA422" i="58"/>
  <c r="AA457" i="57"/>
  <c r="AG457" i="57" s="1"/>
  <c r="AA486" i="58"/>
  <c r="AA1013" i="57"/>
  <c r="AG1013" i="57" s="1"/>
  <c r="AA1077" i="57"/>
  <c r="AG1077" i="57" s="1"/>
  <c r="AA1093" i="57"/>
  <c r="AG1093" i="57" s="1"/>
  <c r="H15" i="65"/>
  <c r="H14" i="65"/>
  <c r="B15" i="66"/>
  <c r="B14" i="66"/>
  <c r="L1266" i="61"/>
  <c r="O1266" i="61" s="1"/>
  <c r="AG1268" i="57"/>
  <c r="L1268" i="61"/>
  <c r="O1268" i="61" s="1"/>
  <c r="L1501" i="61"/>
  <c r="O1501" i="61" s="1"/>
  <c r="AG254" i="57"/>
  <c r="L254" i="61"/>
  <c r="O254" i="61" s="1"/>
  <c r="AG332" i="57"/>
  <c r="L332" i="61"/>
  <c r="O332" i="61" s="1"/>
  <c r="AG607" i="57"/>
  <c r="L607" i="61"/>
  <c r="O607" i="61" s="1"/>
  <c r="L820" i="61"/>
  <c r="O820" i="61" s="1"/>
  <c r="AG1253" i="57"/>
  <c r="L1269" i="61"/>
  <c r="O1269" i="61" s="1"/>
  <c r="L1270" i="61"/>
  <c r="O1270" i="61" s="1"/>
  <c r="AG1504" i="57"/>
  <c r="L1504" i="61"/>
  <c r="O1504" i="61" s="1"/>
  <c r="L816" i="61"/>
  <c r="O816" i="61" s="1"/>
  <c r="AG907" i="57"/>
  <c r="L907" i="61"/>
  <c r="O907" i="61" s="1"/>
  <c r="L1276" i="61"/>
  <c r="O1276" i="61" s="1"/>
  <c r="AG1499" i="57"/>
  <c r="L1509" i="61"/>
  <c r="O1509" i="61" s="1"/>
  <c r="AG829" i="57"/>
  <c r="L830" i="61"/>
  <c r="O830" i="61" s="1"/>
  <c r="AG336" i="57"/>
  <c r="L336" i="61"/>
  <c r="O336" i="61" s="1"/>
  <c r="AG409" i="57"/>
  <c r="L409" i="61"/>
  <c r="O409" i="61" s="1"/>
  <c r="L622" i="61"/>
  <c r="O622" i="61" s="1"/>
  <c r="AG1267" i="57"/>
  <c r="L1267" i="61"/>
  <c r="O1267" i="61" s="1"/>
  <c r="L1262" i="61"/>
  <c r="O1262" i="61" s="1"/>
  <c r="AG1503" i="57"/>
  <c r="AG1478" i="57"/>
  <c r="L1478" i="61"/>
  <c r="O1478" i="61" s="1"/>
  <c r="AG1480" i="57"/>
  <c r="L1480" i="61"/>
  <c r="O1480" i="61" s="1"/>
  <c r="AG250" i="57"/>
  <c r="L250" i="61"/>
  <c r="O250" i="61" s="1"/>
  <c r="AG601" i="57"/>
  <c r="L601" i="61"/>
  <c r="O601" i="61" s="1"/>
  <c r="AG897" i="57"/>
  <c r="AG626" i="57"/>
  <c r="L626" i="61"/>
  <c r="O626" i="61" s="1"/>
  <c r="L432" i="61"/>
  <c r="AG605" i="57"/>
  <c r="L605" i="61"/>
  <c r="O605" i="61" s="1"/>
  <c r="AG832" i="57"/>
  <c r="L832" i="61"/>
  <c r="O832" i="61" s="1"/>
  <c r="L1161" i="61"/>
  <c r="L998" i="61"/>
  <c r="O998" i="61" s="1"/>
  <c r="L1156" i="61"/>
  <c r="L1067" i="61"/>
  <c r="L1160" i="61"/>
  <c r="L1009" i="61"/>
  <c r="L985" i="61"/>
  <c r="L983" i="61"/>
  <c r="L1152" i="61"/>
  <c r="L1091" i="61"/>
  <c r="S12" i="50"/>
  <c r="S21" i="50"/>
  <c r="S21" i="63" s="1"/>
  <c r="S93" i="63" s="1"/>
  <c r="S10" i="50"/>
  <c r="S10" i="63" s="1"/>
  <c r="S82" i="63" s="1"/>
  <c r="S16" i="50"/>
  <c r="S16" i="63" s="1"/>
  <c r="S88" i="63" s="1"/>
  <c r="S63" i="50"/>
  <c r="S63" i="63" s="1"/>
  <c r="S135" i="63" s="1"/>
  <c r="S11" i="50"/>
  <c r="S11" i="63" s="1"/>
  <c r="S83" i="63" s="1"/>
  <c r="S30" i="50"/>
  <c r="S30" i="63" s="1"/>
  <c r="S102" i="63" s="1"/>
  <c r="S40" i="50"/>
  <c r="S40" i="63" s="1"/>
  <c r="S112" i="63" s="1"/>
  <c r="S9" i="50"/>
  <c r="S9" i="63" s="1"/>
  <c r="S81" i="63" s="1"/>
  <c r="S62" i="50"/>
  <c r="S62" i="63" s="1"/>
  <c r="S134" i="63" s="1"/>
  <c r="S59" i="50"/>
  <c r="S59" i="63" s="1"/>
  <c r="S131" i="63" s="1"/>
  <c r="S71" i="50"/>
  <c r="S71" i="63" s="1"/>
  <c r="S143" i="63" s="1"/>
  <c r="S56" i="50"/>
  <c r="S56" i="63" s="1"/>
  <c r="S128" i="63" s="1"/>
  <c r="S13" i="50"/>
  <c r="S13" i="63" s="1"/>
  <c r="S85" i="63" s="1"/>
  <c r="S33" i="50"/>
  <c r="S33" i="63" s="1"/>
  <c r="S105" i="63" s="1"/>
  <c r="S41" i="50"/>
  <c r="S41" i="63" s="1"/>
  <c r="S113" i="63" s="1"/>
  <c r="S17" i="50"/>
  <c r="S17" i="63" s="1"/>
  <c r="S89" i="63" s="1"/>
  <c r="S34" i="50"/>
  <c r="S34" i="63" s="1"/>
  <c r="S106" i="63" s="1"/>
  <c r="S24" i="50"/>
  <c r="S24" i="63" s="1"/>
  <c r="S96" i="63" s="1"/>
  <c r="S46" i="50"/>
  <c r="S46" i="63" s="1"/>
  <c r="S118" i="63" s="1"/>
  <c r="S49" i="50"/>
  <c r="S49" i="63" s="1"/>
  <c r="S121" i="63" s="1"/>
  <c r="S58" i="50"/>
  <c r="S58" i="63" s="1"/>
  <c r="S130" i="63" s="1"/>
  <c r="S60" i="50"/>
  <c r="S60" i="63" s="1"/>
  <c r="S132" i="63" s="1"/>
  <c r="S50" i="50"/>
  <c r="S50" i="63" s="1"/>
  <c r="S122" i="63" s="1"/>
  <c r="S35" i="50"/>
  <c r="S35" i="63" s="1"/>
  <c r="S107" i="63" s="1"/>
  <c r="S43" i="50"/>
  <c r="S43" i="63" s="1"/>
  <c r="S115" i="63" s="1"/>
  <c r="S23" i="50"/>
  <c r="S23" i="63" s="1"/>
  <c r="S95" i="63" s="1"/>
  <c r="S5" i="50"/>
  <c r="S5" i="63" s="1"/>
  <c r="S77" i="63" s="1"/>
  <c r="S68" i="50"/>
  <c r="S68" i="63" s="1"/>
  <c r="S140" i="63" s="1"/>
  <c r="S61" i="50"/>
  <c r="S61" i="63" s="1"/>
  <c r="S133" i="63" s="1"/>
  <c r="S70" i="50"/>
  <c r="S70" i="63" s="1"/>
  <c r="S142" i="63" s="1"/>
  <c r="S67" i="50"/>
  <c r="S67" i="63" s="1"/>
  <c r="S139" i="63" s="1"/>
  <c r="S69" i="50"/>
  <c r="S69" i="63" s="1"/>
  <c r="S141" i="63" s="1"/>
  <c r="S8" i="50"/>
  <c r="S8" i="63" s="1"/>
  <c r="S80" i="63" s="1"/>
  <c r="S37" i="50"/>
  <c r="S37" i="63" s="1"/>
  <c r="S109" i="63" s="1"/>
  <c r="S26" i="50"/>
  <c r="S26" i="63" s="1"/>
  <c r="S98" i="63" s="1"/>
  <c r="S7" i="50"/>
  <c r="S7" i="63" s="1"/>
  <c r="S79" i="63" s="1"/>
  <c r="S25" i="50"/>
  <c r="S25" i="63" s="1"/>
  <c r="S97" i="63" s="1"/>
  <c r="S38" i="50"/>
  <c r="S38" i="63" s="1"/>
  <c r="S110" i="63" s="1"/>
  <c r="S31" i="50"/>
  <c r="S31" i="63" s="1"/>
  <c r="S103" i="63" s="1"/>
  <c r="S45" i="50"/>
  <c r="S45" i="63" s="1"/>
  <c r="S117" i="63" s="1"/>
  <c r="S52" i="50"/>
  <c r="S52" i="63" s="1"/>
  <c r="S124" i="63" s="1"/>
  <c r="S64" i="50"/>
  <c r="S64" i="63" s="1"/>
  <c r="S136" i="63" s="1"/>
  <c r="S54" i="50"/>
  <c r="S54" i="63" s="1"/>
  <c r="S126" i="63" s="1"/>
  <c r="S51" i="50"/>
  <c r="S51" i="63" s="1"/>
  <c r="S123" i="63" s="1"/>
  <c r="S53" i="50"/>
  <c r="S53" i="63" s="1"/>
  <c r="S125" i="63" s="1"/>
  <c r="S27" i="50"/>
  <c r="S27" i="63" s="1"/>
  <c r="S99" i="63" s="1"/>
  <c r="S39" i="50"/>
  <c r="S39" i="63" s="1"/>
  <c r="S111" i="63" s="1"/>
  <c r="S15" i="50"/>
  <c r="S15" i="63" s="1"/>
  <c r="S87" i="63" s="1"/>
  <c r="S14" i="50"/>
  <c r="S14" i="63" s="1"/>
  <c r="S86" i="63" s="1"/>
  <c r="S29" i="50"/>
  <c r="S29" i="63" s="1"/>
  <c r="S101" i="63" s="1"/>
  <c r="S19" i="50"/>
  <c r="S19" i="63" s="1"/>
  <c r="S91" i="63" s="1"/>
  <c r="S44" i="50"/>
  <c r="S44" i="63" s="1"/>
  <c r="S116" i="63" s="1"/>
  <c r="S47" i="50"/>
  <c r="S47" i="63" s="1"/>
  <c r="S119" i="63" s="1"/>
  <c r="S57" i="50"/>
  <c r="S57" i="63" s="1"/>
  <c r="S129" i="63" s="1"/>
  <c r="S66" i="50"/>
  <c r="S66" i="63" s="1"/>
  <c r="S138" i="63" s="1"/>
  <c r="S20" i="50"/>
  <c r="S20" i="63" s="1"/>
  <c r="S92" i="63" s="1"/>
  <c r="S32" i="50"/>
  <c r="S32" i="63" s="1"/>
  <c r="S104" i="63" s="1"/>
  <c r="S42" i="50"/>
  <c r="S42" i="63" s="1"/>
  <c r="S114" i="63" s="1"/>
  <c r="S65" i="50"/>
  <c r="S65" i="63" s="1"/>
  <c r="S137" i="63" s="1"/>
  <c r="S55" i="50"/>
  <c r="S55" i="63" s="1"/>
  <c r="S127" i="63" s="1"/>
  <c r="S6" i="50"/>
  <c r="S6" i="63" s="1"/>
  <c r="S78" i="63" s="1"/>
  <c r="S18" i="50"/>
  <c r="S18" i="63" s="1"/>
  <c r="S90" i="63" s="1"/>
  <c r="S22" i="50"/>
  <c r="S22" i="63" s="1"/>
  <c r="S94" i="63" s="1"/>
  <c r="S36" i="50"/>
  <c r="S36" i="63" s="1"/>
  <c r="S108" i="63" s="1"/>
  <c r="S28" i="50"/>
  <c r="S28" i="63" s="1"/>
  <c r="S100" i="63" s="1"/>
  <c r="S48" i="50"/>
  <c r="S48" i="63" s="1"/>
  <c r="S120" i="63" s="1"/>
  <c r="AA54" i="54"/>
  <c r="AA54" i="53"/>
  <c r="AA54" i="51"/>
  <c r="AA54" i="52"/>
  <c r="AM77" i="47"/>
  <c r="AM75" i="50"/>
  <c r="AM75" i="49"/>
  <c r="AM75" i="48"/>
  <c r="AA5" i="53"/>
  <c r="L813" i="61" l="1"/>
  <c r="O813" i="61" s="1"/>
  <c r="AA1697" i="57"/>
  <c r="L1697" i="61" s="1"/>
  <c r="O1697" i="61" s="1"/>
  <c r="L1070" i="61"/>
  <c r="L608" i="61"/>
  <c r="O608" i="61" s="1"/>
  <c r="L1076" i="61"/>
  <c r="L1078" i="61"/>
  <c r="AA1694" i="57"/>
  <c r="AG1694" i="57" s="1"/>
  <c r="AG356" i="57"/>
  <c r="AA1666" i="57"/>
  <c r="AG1666" i="57" s="1"/>
  <c r="L992" i="61"/>
  <c r="L256" i="61"/>
  <c r="O256" i="61" s="1"/>
  <c r="L1096" i="61"/>
  <c r="O1096" i="61" s="1"/>
  <c r="L1153" i="61"/>
  <c r="L900" i="61"/>
  <c r="O900" i="61" s="1"/>
  <c r="AA1702" i="57"/>
  <c r="AG1702" i="57" s="1"/>
  <c r="L246" i="61"/>
  <c r="O246" i="61" s="1"/>
  <c r="AG814" i="57"/>
  <c r="AA1703" i="57"/>
  <c r="AG1703" i="57" s="1"/>
  <c r="AA1655" i="57"/>
  <c r="L1655" i="61" s="1"/>
  <c r="O1655" i="61" s="1"/>
  <c r="AA1668" i="57"/>
  <c r="AG1668" i="57" s="1"/>
  <c r="AA1698" i="57"/>
  <c r="L1698" i="61" s="1"/>
  <c r="O1698" i="61" s="1"/>
  <c r="AA1665" i="57"/>
  <c r="AG1665" i="57" s="1"/>
  <c r="AA1660" i="57"/>
  <c r="L1660" i="61" s="1"/>
  <c r="O1660" i="61" s="1"/>
  <c r="AA1663" i="57"/>
  <c r="L1663" i="61" s="1"/>
  <c r="O1663" i="61" s="1"/>
  <c r="AA1695" i="57"/>
  <c r="L1695" i="61" s="1"/>
  <c r="O1695" i="61" s="1"/>
  <c r="L921" i="61"/>
  <c r="O921" i="61" s="1"/>
  <c r="AA1693" i="57"/>
  <c r="AG1693" i="57" s="1"/>
  <c r="AA1700" i="57"/>
  <c r="L1700" i="61" s="1"/>
  <c r="O1700" i="61" s="1"/>
  <c r="AA1658" i="57"/>
  <c r="G13" i="74"/>
  <c r="G18" i="74"/>
  <c r="L1510" i="61"/>
  <c r="O1510" i="61" s="1"/>
  <c r="AA1662" i="57"/>
  <c r="AG1662" i="57" s="1"/>
  <c r="AA1704" i="57"/>
  <c r="AA1659" i="57"/>
  <c r="AG1659" i="57" s="1"/>
  <c r="S26" i="74"/>
  <c r="S21" i="74"/>
  <c r="S16" i="74"/>
  <c r="AG354" i="57"/>
  <c r="AA1667" i="57"/>
  <c r="AG1667" i="57" s="1"/>
  <c r="AA1661" i="57"/>
  <c r="AG1661" i="57" s="1"/>
  <c r="AA1701" i="57"/>
  <c r="S15" i="74"/>
  <c r="S20" i="74"/>
  <c r="S25" i="74"/>
  <c r="T44" i="64"/>
  <c r="T95" i="64" s="1"/>
  <c r="AA1696" i="57"/>
  <c r="L1696" i="61" s="1"/>
  <c r="O1696" i="61" s="1"/>
  <c r="AA1664" i="57"/>
  <c r="L744" i="61"/>
  <c r="O744" i="61" s="1"/>
  <c r="AG825" i="57"/>
  <c r="AA1657" i="57"/>
  <c r="L1657" i="61" s="1"/>
  <c r="O1657" i="61" s="1"/>
  <c r="AA1699" i="57"/>
  <c r="AG739" i="57"/>
  <c r="AG619" i="57"/>
  <c r="AG819" i="57"/>
  <c r="L406" i="61"/>
  <c r="O406" i="61" s="1"/>
  <c r="L836" i="61"/>
  <c r="O836" i="61" s="1"/>
  <c r="L910" i="61"/>
  <c r="O910" i="61" s="1"/>
  <c r="L633" i="61"/>
  <c r="O633" i="61" s="1"/>
  <c r="L434" i="61"/>
  <c r="O434" i="61" s="1"/>
  <c r="O1161" i="61"/>
  <c r="AG811" i="57"/>
  <c r="AG821" i="57"/>
  <c r="L980" i="61"/>
  <c r="O980" i="61" s="1"/>
  <c r="L904" i="61"/>
  <c r="O904" i="61" s="1"/>
  <c r="L911" i="61"/>
  <c r="O911" i="61" s="1"/>
  <c r="AG339" i="57"/>
  <c r="L1258" i="61"/>
  <c r="O1258" i="61" s="1"/>
  <c r="L410" i="61"/>
  <c r="O410" i="61" s="1"/>
  <c r="AA1265" i="57"/>
  <c r="AA1259" i="57"/>
  <c r="AA1252" i="57"/>
  <c r="AG896" i="57"/>
  <c r="L922" i="61"/>
  <c r="O922" i="61" s="1"/>
  <c r="L1151" i="61"/>
  <c r="O1151" i="61" s="1"/>
  <c r="AG741" i="57"/>
  <c r="AG824" i="57"/>
  <c r="AG919" i="57"/>
  <c r="AA1260" i="57"/>
  <c r="AA1254" i="57"/>
  <c r="AA1272" i="57"/>
  <c r="AG1272" i="57" s="1"/>
  <c r="AA1271" i="57"/>
  <c r="AG1271" i="57" s="1"/>
  <c r="L460" i="61"/>
  <c r="L335" i="61"/>
  <c r="O335" i="61" s="1"/>
  <c r="L632" i="61"/>
  <c r="O632" i="61" s="1"/>
  <c r="T50" i="64"/>
  <c r="T101" i="64" s="1"/>
  <c r="L437" i="61"/>
  <c r="L435" i="61"/>
  <c r="L1668" i="61"/>
  <c r="O1668" i="61" s="1"/>
  <c r="L615" i="61"/>
  <c r="O615" i="61" s="1"/>
  <c r="AG905" i="57"/>
  <c r="AG600" i="57"/>
  <c r="L267" i="61"/>
  <c r="O267" i="61" s="1"/>
  <c r="AG899" i="57"/>
  <c r="L459" i="61"/>
  <c r="O459" i="61" s="1"/>
  <c r="L454" i="61"/>
  <c r="O454" i="61" s="1"/>
  <c r="L264" i="61"/>
  <c r="O264" i="61" s="1"/>
  <c r="L629" i="61"/>
  <c r="O629" i="61" s="1"/>
  <c r="T31" i="64"/>
  <c r="T82" i="64" s="1"/>
  <c r="L461" i="61"/>
  <c r="O461" i="61" s="1"/>
  <c r="L266" i="61"/>
  <c r="O266" i="61" s="1"/>
  <c r="O1091" i="61"/>
  <c r="O1078" i="61"/>
  <c r="AG914" i="57"/>
  <c r="L456" i="61"/>
  <c r="O456" i="61" s="1"/>
  <c r="L1251" i="61"/>
  <c r="O1251" i="61" s="1"/>
  <c r="L834" i="61"/>
  <c r="O834" i="61" s="1"/>
  <c r="AG352" i="57"/>
  <c r="AG1274" i="57"/>
  <c r="AG1697" i="57"/>
  <c r="T18" i="64"/>
  <c r="T69" i="64" s="1"/>
  <c r="T10" i="64"/>
  <c r="T61" i="64" s="1"/>
  <c r="AA1418" i="57"/>
  <c r="AG1418" i="57" s="1"/>
  <c r="L361" i="61"/>
  <c r="O361" i="61" s="1"/>
  <c r="L1261" i="61"/>
  <c r="O1261" i="61" s="1"/>
  <c r="L1500" i="61"/>
  <c r="O1500" i="61" s="1"/>
  <c r="L920" i="61"/>
  <c r="O920" i="61" s="1"/>
  <c r="L268" i="61"/>
  <c r="O268" i="61" s="1"/>
  <c r="L405" i="61"/>
  <c r="O405" i="61" s="1"/>
  <c r="L630" i="61"/>
  <c r="O630" i="61" s="1"/>
  <c r="C14" i="66"/>
  <c r="C15" i="66"/>
  <c r="I15" i="66"/>
  <c r="I14" i="66"/>
  <c r="T24" i="64"/>
  <c r="T75" i="64" s="1"/>
  <c r="X23" i="53"/>
  <c r="AA23" i="53" s="1"/>
  <c r="T23" i="64"/>
  <c r="T74" i="64" s="1"/>
  <c r="O1009" i="61"/>
  <c r="W52" i="53"/>
  <c r="L349" i="61"/>
  <c r="O349" i="61" s="1"/>
  <c r="AG1275" i="57"/>
  <c r="AG252" i="57"/>
  <c r="AG1273" i="57"/>
  <c r="AG1502" i="57"/>
  <c r="AA621" i="58"/>
  <c r="AA1404" i="57"/>
  <c r="AG1404" i="57" s="1"/>
  <c r="X5" i="54"/>
  <c r="W52" i="54"/>
  <c r="T5" i="64"/>
  <c r="T56" i="64" s="1"/>
  <c r="J11" i="66" s="1"/>
  <c r="L11" i="66" s="1"/>
  <c r="X40" i="53"/>
  <c r="AA40" i="53" s="1"/>
  <c r="T40" i="64"/>
  <c r="T91" i="64" s="1"/>
  <c r="X49" i="53"/>
  <c r="AA49" i="53" s="1"/>
  <c r="T49" i="64"/>
  <c r="T100" i="64" s="1"/>
  <c r="L1505" i="61"/>
  <c r="O1505" i="61" s="1"/>
  <c r="AA610" i="58"/>
  <c r="K15" i="66"/>
  <c r="K14" i="66"/>
  <c r="L604" i="61"/>
  <c r="O604" i="61" s="1"/>
  <c r="AG501" i="57"/>
  <c r="L501" i="61"/>
  <c r="O501" i="61" s="1"/>
  <c r="L1256" i="61"/>
  <c r="O1256" i="61" s="1"/>
  <c r="AG359" i="57"/>
  <c r="L913" i="61"/>
  <c r="O913" i="61" s="1"/>
  <c r="AA1412" i="57"/>
  <c r="AG1412" i="57" s="1"/>
  <c r="AA611" i="58"/>
  <c r="AA1423" i="57"/>
  <c r="AG1423" i="57" s="1"/>
  <c r="AA1426" i="57"/>
  <c r="AG1426" i="57" s="1"/>
  <c r="AA1432" i="57"/>
  <c r="AG1432" i="57" s="1"/>
  <c r="AA594" i="58"/>
  <c r="AA604" i="58"/>
  <c r="AA1421" i="57"/>
  <c r="AG1421" i="57" s="1"/>
  <c r="AA1424" i="57"/>
  <c r="AG1424" i="57" s="1"/>
  <c r="AA1427" i="57"/>
  <c r="AG1427" i="57" s="1"/>
  <c r="AA628" i="58"/>
  <c r="L503" i="61"/>
  <c r="O503" i="61" s="1"/>
  <c r="AG503" i="57"/>
  <c r="AG257" i="57"/>
  <c r="AA1402" i="57"/>
  <c r="AG1402" i="57" s="1"/>
  <c r="AA599" i="58"/>
  <c r="AA1413" i="57"/>
  <c r="AG1413" i="57" s="1"/>
  <c r="AA1422" i="57"/>
  <c r="AG1422" i="57" s="1"/>
  <c r="AA1414" i="57"/>
  <c r="AG1414" i="57" s="1"/>
  <c r="T34" i="64"/>
  <c r="T85" i="64" s="1"/>
  <c r="L997" i="61"/>
  <c r="O997" i="61" s="1"/>
  <c r="L1007" i="61"/>
  <c r="L1071" i="61"/>
  <c r="O1071" i="61" s="1"/>
  <c r="L1094" i="61"/>
  <c r="O1094" i="61" s="1"/>
  <c r="L436" i="61"/>
  <c r="O436" i="61" s="1"/>
  <c r="AG245" i="57"/>
  <c r="L625" i="61"/>
  <c r="O625" i="61" s="1"/>
  <c r="AG828" i="57"/>
  <c r="AG638" i="57"/>
  <c r="L995" i="61"/>
  <c r="O995" i="61" s="1"/>
  <c r="L1069" i="61"/>
  <c r="O1069" i="61" s="1"/>
  <c r="L1079" i="61"/>
  <c r="O1079" i="61" s="1"/>
  <c r="L1150" i="61"/>
  <c r="O1150" i="61" s="1"/>
  <c r="L1011" i="61"/>
  <c r="O1011" i="61" s="1"/>
  <c r="L1073" i="61"/>
  <c r="O1073" i="61" s="1"/>
  <c r="L1092" i="61"/>
  <c r="O1092" i="61" s="1"/>
  <c r="L1089" i="61"/>
  <c r="O1089" i="61" s="1"/>
  <c r="AG810" i="57"/>
  <c r="L433" i="61"/>
  <c r="O433" i="61" s="1"/>
  <c r="L400" i="61"/>
  <c r="O400" i="61" s="1"/>
  <c r="L1249" i="61"/>
  <c r="O1249" i="61" s="1"/>
  <c r="L989" i="61"/>
  <c r="L988" i="61"/>
  <c r="O988" i="61" s="1"/>
  <c r="L990" i="61"/>
  <c r="O990" i="61" s="1"/>
  <c r="L1016" i="61"/>
  <c r="O1016" i="61" s="1"/>
  <c r="L1001" i="61"/>
  <c r="O1001" i="61" s="1"/>
  <c r="L994" i="61"/>
  <c r="O994" i="61" s="1"/>
  <c r="L464" i="61"/>
  <c r="O464" i="61" s="1"/>
  <c r="AG737" i="57"/>
  <c r="AG355" i="57"/>
  <c r="L1010" i="61"/>
  <c r="O1010" i="61" s="1"/>
  <c r="L1072" i="61"/>
  <c r="O1072" i="61" s="1"/>
  <c r="L1020" i="61"/>
  <c r="L1656" i="61"/>
  <c r="O1656" i="61" s="1"/>
  <c r="L1080" i="61"/>
  <c r="O1080" i="61" s="1"/>
  <c r="L1088" i="61"/>
  <c r="O1088" i="61" s="1"/>
  <c r="L1018" i="61"/>
  <c r="O1018" i="61" s="1"/>
  <c r="L413" i="61"/>
  <c r="O413" i="61" s="1"/>
  <c r="L463" i="61"/>
  <c r="O463" i="61" s="1"/>
  <c r="L353" i="61"/>
  <c r="O353" i="61" s="1"/>
  <c r="L903" i="61"/>
  <c r="O903" i="61" s="1"/>
  <c r="AG259" i="57"/>
  <c r="AG835" i="57"/>
  <c r="AG1255" i="57"/>
  <c r="L634" i="61"/>
  <c r="O634" i="61" s="1"/>
  <c r="O1070" i="61"/>
  <c r="L1508" i="61"/>
  <c r="O1508" i="61" s="1"/>
  <c r="AG901" i="57"/>
  <c r="L1506" i="61"/>
  <c r="O1506" i="61" s="1"/>
  <c r="O992" i="61"/>
  <c r="L815" i="61"/>
  <c r="O815" i="61" s="1"/>
  <c r="L740" i="61"/>
  <c r="O740" i="61" s="1"/>
  <c r="L362" i="61"/>
  <c r="O362" i="61" s="1"/>
  <c r="L1272" i="61"/>
  <c r="O1272" i="61" s="1"/>
  <c r="O1020" i="61"/>
  <c r="L1477" i="61"/>
  <c r="O1477" i="61" s="1"/>
  <c r="L742" i="61"/>
  <c r="O742" i="61" s="1"/>
  <c r="L360" i="61"/>
  <c r="O360" i="61" s="1"/>
  <c r="L1694" i="61"/>
  <c r="O1694" i="61" s="1"/>
  <c r="L340" i="61"/>
  <c r="O340" i="61" s="1"/>
  <c r="L263" i="61"/>
  <c r="O263" i="61" s="1"/>
  <c r="L639" i="61"/>
  <c r="O639" i="61" s="1"/>
  <c r="L613" i="61"/>
  <c r="O613" i="61" s="1"/>
  <c r="L1250" i="61"/>
  <c r="O1250" i="61" s="1"/>
  <c r="AG342" i="57"/>
  <c r="L261" i="61"/>
  <c r="O261" i="61" s="1"/>
  <c r="L1278" i="61"/>
  <c r="O1278" i="61" s="1"/>
  <c r="L411" i="61"/>
  <c r="O411" i="61" s="1"/>
  <c r="AG616" i="57"/>
  <c r="L399" i="61"/>
  <c r="O399" i="61" s="1"/>
  <c r="L912" i="61"/>
  <c r="O912" i="61" s="1"/>
  <c r="L440" i="61"/>
  <c r="O440" i="61" s="1"/>
  <c r="L458" i="61"/>
  <c r="O458" i="61" s="1"/>
  <c r="L247" i="61"/>
  <c r="O247" i="61" s="1"/>
  <c r="L640" i="61"/>
  <c r="O640" i="61" s="1"/>
  <c r="L269" i="61"/>
  <c r="O269" i="61" s="1"/>
  <c r="L635" i="61"/>
  <c r="O635" i="61" s="1"/>
  <c r="L403" i="61"/>
  <c r="O403" i="61" s="1"/>
  <c r="O1160" i="61"/>
  <c r="L453" i="61"/>
  <c r="O453" i="61" s="1"/>
  <c r="AG413" i="57"/>
  <c r="AG357" i="57"/>
  <c r="L808" i="61"/>
  <c r="O808" i="61" s="1"/>
  <c r="O1153" i="61"/>
  <c r="L457" i="61"/>
  <c r="O457" i="61" s="1"/>
  <c r="L431" i="61"/>
  <c r="O431" i="61" s="1"/>
  <c r="L898" i="61"/>
  <c r="O898" i="61" s="1"/>
  <c r="L624" i="61"/>
  <c r="O624" i="61" s="1"/>
  <c r="AG902" i="57"/>
  <c r="O989" i="61"/>
  <c r="L429" i="61"/>
  <c r="O429" i="61" s="1"/>
  <c r="L455" i="61"/>
  <c r="O455" i="61" s="1"/>
  <c r="L833" i="61"/>
  <c r="O833" i="61" s="1"/>
  <c r="L1479" i="61"/>
  <c r="O1479" i="61" s="1"/>
  <c r="AG641" i="57"/>
  <c r="L345" i="61"/>
  <c r="O345" i="61" s="1"/>
  <c r="L598" i="61"/>
  <c r="O598" i="61" s="1"/>
  <c r="AG346" i="57"/>
  <c r="L1507" i="61"/>
  <c r="O1507" i="61" s="1"/>
  <c r="L736" i="61"/>
  <c r="O736" i="61" s="1"/>
  <c r="L1263" i="61"/>
  <c r="O1263" i="61" s="1"/>
  <c r="L1661" i="61"/>
  <c r="O1661" i="61" s="1"/>
  <c r="L611" i="61"/>
  <c r="O611" i="61" s="1"/>
  <c r="L915" i="61"/>
  <c r="O915" i="61" s="1"/>
  <c r="L1257" i="61"/>
  <c r="O1257" i="61" s="1"/>
  <c r="AG358" i="57"/>
  <c r="L1703" i="61"/>
  <c r="O1703" i="61" s="1"/>
  <c r="L265" i="61"/>
  <c r="O265" i="61" s="1"/>
  <c r="L1084" i="61"/>
  <c r="O1084" i="61" s="1"/>
  <c r="L1154" i="61"/>
  <c r="O1154" i="61" s="1"/>
  <c r="L996" i="61"/>
  <c r="O996" i="61" s="1"/>
  <c r="L1075" i="61"/>
  <c r="O1075" i="61" s="1"/>
  <c r="L1002" i="61"/>
  <c r="O1002" i="61" s="1"/>
  <c r="L1093" i="61"/>
  <c r="O1093" i="61" s="1"/>
  <c r="L984" i="61"/>
  <c r="O984" i="61" s="1"/>
  <c r="L999" i="61"/>
  <c r="O999" i="61" s="1"/>
  <c r="L1004" i="61"/>
  <c r="O1004" i="61" s="1"/>
  <c r="L1083" i="61"/>
  <c r="O1083" i="61" s="1"/>
  <c r="L1014" i="61"/>
  <c r="O1014" i="61" s="1"/>
  <c r="L1157" i="61"/>
  <c r="O1157" i="61" s="1"/>
  <c r="L465" i="61"/>
  <c r="O465" i="61" s="1"/>
  <c r="L430" i="61"/>
  <c r="O430" i="61" s="1"/>
  <c r="L462" i="61"/>
  <c r="O462" i="61" s="1"/>
  <c r="AG621" i="57"/>
  <c r="L407" i="61"/>
  <c r="O407" i="61" s="1"/>
  <c r="L338" i="61"/>
  <c r="O338" i="61" s="1"/>
  <c r="AG894" i="57"/>
  <c r="L609" i="61"/>
  <c r="O609" i="61" s="1"/>
  <c r="O437" i="61"/>
  <c r="L404" i="61"/>
  <c r="O404" i="61" s="1"/>
  <c r="L981" i="61"/>
  <c r="O981" i="61" s="1"/>
  <c r="L1005" i="61"/>
  <c r="O1005" i="61" s="1"/>
  <c r="L1015" i="61"/>
  <c r="O1015" i="61" s="1"/>
  <c r="L1012" i="61"/>
  <c r="O1012" i="61" s="1"/>
  <c r="L1095" i="61"/>
  <c r="O1095" i="61" s="1"/>
  <c r="L1066" i="61"/>
  <c r="O1066" i="61" s="1"/>
  <c r="AG895" i="57"/>
  <c r="L596" i="61"/>
  <c r="O596" i="61" s="1"/>
  <c r="AG351" i="57"/>
  <c r="AG1655" i="57"/>
  <c r="L1702" i="61"/>
  <c r="O1702" i="61" s="1"/>
  <c r="L746" i="61"/>
  <c r="O746" i="61" s="1"/>
  <c r="L1081" i="61"/>
  <c r="O1081" i="61" s="1"/>
  <c r="L918" i="61"/>
  <c r="O918" i="61" s="1"/>
  <c r="AG253" i="57"/>
  <c r="L348" i="61"/>
  <c r="O348" i="61" s="1"/>
  <c r="L260" i="61"/>
  <c r="O260" i="61" s="1"/>
  <c r="L812" i="61"/>
  <c r="O812" i="61" s="1"/>
  <c r="O1158" i="61"/>
  <c r="L1008" i="61"/>
  <c r="O1008" i="61" s="1"/>
  <c r="L987" i="61"/>
  <c r="O987" i="61" s="1"/>
  <c r="L1090" i="61"/>
  <c r="O1090" i="61" s="1"/>
  <c r="L1159" i="61"/>
  <c r="O1159" i="61" s="1"/>
  <c r="L1082" i="61"/>
  <c r="O1082" i="61" s="1"/>
  <c r="O435" i="61"/>
  <c r="L1662" i="61"/>
  <c r="O1662" i="61" s="1"/>
  <c r="L1264" i="61"/>
  <c r="O1264" i="61" s="1"/>
  <c r="L343" i="61"/>
  <c r="O343" i="61" s="1"/>
  <c r="L979" i="61"/>
  <c r="O979" i="61" s="1"/>
  <c r="L1003" i="61"/>
  <c r="O1003" i="61" s="1"/>
  <c r="L1085" i="61"/>
  <c r="O1085" i="61" s="1"/>
  <c r="L1155" i="61"/>
  <c r="O1155" i="61" s="1"/>
  <c r="L986" i="61"/>
  <c r="O986" i="61" s="1"/>
  <c r="L1086" i="61"/>
  <c r="O1086" i="61" s="1"/>
  <c r="L438" i="61"/>
  <c r="O438" i="61" s="1"/>
  <c r="L743" i="61"/>
  <c r="O743" i="61" s="1"/>
  <c r="L1013" i="61"/>
  <c r="O1013" i="61" s="1"/>
  <c r="L1000" i="61"/>
  <c r="O1000" i="61" s="1"/>
  <c r="L991" i="61"/>
  <c r="O991" i="61" s="1"/>
  <c r="L993" i="61"/>
  <c r="O993" i="61" s="1"/>
  <c r="L1162" i="61"/>
  <c r="O1162" i="61" s="1"/>
  <c r="L982" i="61"/>
  <c r="O982" i="61" s="1"/>
  <c r="L1074" i="61"/>
  <c r="O1074" i="61" s="1"/>
  <c r="AG922" i="57"/>
  <c r="L595" i="61"/>
  <c r="O595" i="61" s="1"/>
  <c r="AG1700" i="57"/>
  <c r="Q14" i="65"/>
  <c r="O432" i="61"/>
  <c r="L738" i="61"/>
  <c r="O738" i="61" s="1"/>
  <c r="L1068" i="61"/>
  <c r="O1068" i="61" s="1"/>
  <c r="L1019" i="61"/>
  <c r="O1019" i="61" s="1"/>
  <c r="L1077" i="61"/>
  <c r="O1077" i="61" s="1"/>
  <c r="L1017" i="61"/>
  <c r="O1017" i="61" s="1"/>
  <c r="L1087" i="61"/>
  <c r="O1087" i="61" s="1"/>
  <c r="L1006" i="61"/>
  <c r="O1006" i="61" s="1"/>
  <c r="O439" i="61"/>
  <c r="L333" i="61"/>
  <c r="O333" i="61" s="1"/>
  <c r="AG401" i="57"/>
  <c r="L817" i="61"/>
  <c r="O817" i="61" s="1"/>
  <c r="AG745" i="57"/>
  <c r="L1667" i="61"/>
  <c r="O1667" i="61" s="1"/>
  <c r="L735" i="61"/>
  <c r="O735" i="61" s="1"/>
  <c r="L917" i="61"/>
  <c r="O917" i="61" s="1"/>
  <c r="L807" i="61"/>
  <c r="O807" i="61" s="1"/>
  <c r="L249" i="61"/>
  <c r="O249" i="61" s="1"/>
  <c r="AG906" i="57"/>
  <c r="L1666" i="61"/>
  <c r="O1666" i="61" s="1"/>
  <c r="L599" i="61"/>
  <c r="O599" i="61" s="1"/>
  <c r="AG827" i="57"/>
  <c r="L408" i="61"/>
  <c r="O408" i="61" s="1"/>
  <c r="L402" i="61"/>
  <c r="O402" i="61" s="1"/>
  <c r="L916" i="61"/>
  <c r="O916" i="61" s="1"/>
  <c r="L826" i="61"/>
  <c r="O826" i="61" s="1"/>
  <c r="L1665" i="61"/>
  <c r="O1665" i="61" s="1"/>
  <c r="L909" i="61"/>
  <c r="O909" i="61" s="1"/>
  <c r="AG412" i="57"/>
  <c r="O1152" i="61"/>
  <c r="L628" i="61"/>
  <c r="O628" i="61" s="1"/>
  <c r="L908" i="61"/>
  <c r="O908" i="61" s="1"/>
  <c r="L831" i="61"/>
  <c r="O831" i="61" s="1"/>
  <c r="L809" i="61"/>
  <c r="O809" i="61" s="1"/>
  <c r="L251" i="61"/>
  <c r="O251" i="61" s="1"/>
  <c r="L603" i="61"/>
  <c r="O603" i="61" s="1"/>
  <c r="L1277" i="61"/>
  <c r="O1277" i="61" s="1"/>
  <c r="L823" i="61"/>
  <c r="O823" i="61" s="1"/>
  <c r="L618" i="61"/>
  <c r="O618" i="61" s="1"/>
  <c r="L262" i="61"/>
  <c r="O262" i="61" s="1"/>
  <c r="L248" i="61"/>
  <c r="O248" i="61" s="1"/>
  <c r="L822" i="61"/>
  <c r="O822" i="61" s="1"/>
  <c r="L255" i="61"/>
  <c r="O255" i="61" s="1"/>
  <c r="L612" i="61"/>
  <c r="O612" i="61" s="1"/>
  <c r="L258" i="61"/>
  <c r="O258" i="61" s="1"/>
  <c r="O1007" i="61"/>
  <c r="O985" i="61"/>
  <c r="O1156" i="61"/>
  <c r="O1076" i="61"/>
  <c r="O983" i="61"/>
  <c r="AB16" i="49"/>
  <c r="U16" i="63"/>
  <c r="U88" i="63" s="1"/>
  <c r="U48" i="63"/>
  <c r="U120" i="63" s="1"/>
  <c r="AB48" i="49"/>
  <c r="AB37" i="49"/>
  <c r="U37" i="63"/>
  <c r="U109" i="63" s="1"/>
  <c r="AB60" i="49"/>
  <c r="U60" i="63"/>
  <c r="U132" i="63" s="1"/>
  <c r="AB22" i="49"/>
  <c r="U22" i="63"/>
  <c r="U94" i="63" s="1"/>
  <c r="U70" i="63"/>
  <c r="U142" i="63" s="1"/>
  <c r="AB70" i="49"/>
  <c r="AB21" i="49"/>
  <c r="U21" i="63"/>
  <c r="U93" i="63" s="1"/>
  <c r="AB49" i="49"/>
  <c r="U49" i="63"/>
  <c r="U121" i="63" s="1"/>
  <c r="AB64" i="49"/>
  <c r="U64" i="63"/>
  <c r="U136" i="63" s="1"/>
  <c r="U67" i="63"/>
  <c r="U139" i="63" s="1"/>
  <c r="AB67" i="49"/>
  <c r="AB32" i="49"/>
  <c r="U32" i="63"/>
  <c r="U104" i="63" s="1"/>
  <c r="U68" i="63"/>
  <c r="U140" i="63" s="1"/>
  <c r="AB68" i="49"/>
  <c r="AB40" i="49"/>
  <c r="U40" i="63"/>
  <c r="U112" i="63" s="1"/>
  <c r="AB44" i="49"/>
  <c r="U44" i="63"/>
  <c r="U116" i="63" s="1"/>
  <c r="AB66" i="49"/>
  <c r="U66" i="63"/>
  <c r="U138" i="63" s="1"/>
  <c r="AB28" i="49"/>
  <c r="U28" i="63"/>
  <c r="U100" i="63" s="1"/>
  <c r="AB12" i="49"/>
  <c r="U12" i="63"/>
  <c r="U84" i="63" s="1"/>
  <c r="U15" i="65"/>
  <c r="U14" i="65"/>
  <c r="J15" i="65"/>
  <c r="J14" i="65"/>
  <c r="B15" i="65"/>
  <c r="B14" i="65"/>
  <c r="C7" i="65"/>
  <c r="C13" i="65" s="1"/>
  <c r="C11" i="65"/>
  <c r="C9" i="65"/>
  <c r="AB61" i="49"/>
  <c r="U61" i="63"/>
  <c r="U133" i="63" s="1"/>
  <c r="AB42" i="49"/>
  <c r="U42" i="63"/>
  <c r="U114" i="63" s="1"/>
  <c r="AB20" i="49"/>
  <c r="U20" i="63"/>
  <c r="U92" i="63" s="1"/>
  <c r="U26" i="63"/>
  <c r="U98" i="63" s="1"/>
  <c r="AB26" i="49"/>
  <c r="AB10" i="49"/>
  <c r="U10" i="63"/>
  <c r="U82" i="63" s="1"/>
  <c r="AB50" i="49"/>
  <c r="U50" i="63"/>
  <c r="U122" i="63" s="1"/>
  <c r="AB19" i="49"/>
  <c r="U19" i="63"/>
  <c r="U91" i="63" s="1"/>
  <c r="U13" i="63"/>
  <c r="U85" i="63" s="1"/>
  <c r="AB13" i="49"/>
  <c r="U23" i="63"/>
  <c r="U95" i="63" s="1"/>
  <c r="AB23" i="49"/>
  <c r="U71" i="63"/>
  <c r="U143" i="63" s="1"/>
  <c r="AB71" i="49"/>
  <c r="AB31" i="49"/>
  <c r="U31" i="63"/>
  <c r="U103" i="63" s="1"/>
  <c r="U34" i="63"/>
  <c r="U106" i="63" s="1"/>
  <c r="AB34" i="49"/>
  <c r="AB43" i="49"/>
  <c r="U43" i="63"/>
  <c r="U115" i="63" s="1"/>
  <c r="AB27" i="49"/>
  <c r="U27" i="63"/>
  <c r="U99" i="63" s="1"/>
  <c r="U5" i="63"/>
  <c r="U77" i="63" s="1"/>
  <c r="V73" i="49"/>
  <c r="AB5" i="49"/>
  <c r="AB51" i="49"/>
  <c r="U51" i="63"/>
  <c r="U123" i="63" s="1"/>
  <c r="E14" i="65"/>
  <c r="E15" i="65"/>
  <c r="L15" i="65"/>
  <c r="L14" i="65"/>
  <c r="AB59" i="49"/>
  <c r="U59" i="63"/>
  <c r="U131" i="63" s="1"/>
  <c r="AB62" i="49"/>
  <c r="U62" i="63"/>
  <c r="U134" i="63" s="1"/>
  <c r="AB45" i="49"/>
  <c r="U45" i="63"/>
  <c r="U117" i="63" s="1"/>
  <c r="AB6" i="49"/>
  <c r="U6" i="63"/>
  <c r="U78" i="63" s="1"/>
  <c r="AB55" i="49"/>
  <c r="U55" i="63"/>
  <c r="U127" i="63" s="1"/>
  <c r="U24" i="63"/>
  <c r="U96" i="63" s="1"/>
  <c r="AB24" i="49"/>
  <c r="AB9" i="49"/>
  <c r="U9" i="63"/>
  <c r="U81" i="63" s="1"/>
  <c r="AB14" i="49"/>
  <c r="U14" i="63"/>
  <c r="U86" i="63" s="1"/>
  <c r="AB38" i="49"/>
  <c r="U38" i="63"/>
  <c r="U110" i="63" s="1"/>
  <c r="AB36" i="49"/>
  <c r="U36" i="63"/>
  <c r="U108" i="63" s="1"/>
  <c r="AB35" i="49"/>
  <c r="U35" i="63"/>
  <c r="U107" i="63" s="1"/>
  <c r="AB41" i="49"/>
  <c r="U41" i="63"/>
  <c r="U113" i="63" s="1"/>
  <c r="AB47" i="49"/>
  <c r="U47" i="63"/>
  <c r="U119" i="63" s="1"/>
  <c r="AB7" i="49"/>
  <c r="U7" i="63"/>
  <c r="U79" i="63" s="1"/>
  <c r="AB54" i="49"/>
  <c r="U54" i="63"/>
  <c r="U126" i="63" s="1"/>
  <c r="AB52" i="49"/>
  <c r="U52" i="63"/>
  <c r="U124" i="63" s="1"/>
  <c r="AB58" i="49"/>
  <c r="U58" i="63"/>
  <c r="U130" i="63" s="1"/>
  <c r="M15" i="65"/>
  <c r="M14" i="65"/>
  <c r="N15" i="65"/>
  <c r="N14" i="65"/>
  <c r="G15" i="65"/>
  <c r="G14" i="65"/>
  <c r="AB39" i="49"/>
  <c r="U39" i="63"/>
  <c r="U111" i="63" s="1"/>
  <c r="AB8" i="49"/>
  <c r="U8" i="63"/>
  <c r="U80" i="63" s="1"/>
  <c r="AB18" i="49"/>
  <c r="U18" i="63"/>
  <c r="U90" i="63" s="1"/>
  <c r="AB29" i="49"/>
  <c r="U29" i="63"/>
  <c r="U101" i="63" s="1"/>
  <c r="AB17" i="49"/>
  <c r="U17" i="63"/>
  <c r="U89" i="63" s="1"/>
  <c r="AB65" i="49"/>
  <c r="U65" i="63"/>
  <c r="U137" i="63" s="1"/>
  <c r="AB56" i="49"/>
  <c r="U56" i="63"/>
  <c r="U128" i="63" s="1"/>
  <c r="U11" i="63"/>
  <c r="U83" i="63" s="1"/>
  <c r="AB11" i="49"/>
  <c r="U46" i="63"/>
  <c r="U118" i="63" s="1"/>
  <c r="AB46" i="49"/>
  <c r="AB69" i="49"/>
  <c r="U69" i="63"/>
  <c r="U141" i="63" s="1"/>
  <c r="AB57" i="49"/>
  <c r="U57" i="63"/>
  <c r="U129" i="63" s="1"/>
  <c r="AB15" i="49"/>
  <c r="U15" i="63"/>
  <c r="U87" i="63" s="1"/>
  <c r="U25" i="63"/>
  <c r="U97" i="63" s="1"/>
  <c r="AB25" i="49"/>
  <c r="AB53" i="49"/>
  <c r="U53" i="63"/>
  <c r="U125" i="63" s="1"/>
  <c r="U63" i="63"/>
  <c r="U135" i="63" s="1"/>
  <c r="AB63" i="49"/>
  <c r="AB30" i="49"/>
  <c r="U30" i="63"/>
  <c r="U102" i="63" s="1"/>
  <c r="AB33" i="49"/>
  <c r="U33" i="63"/>
  <c r="U105" i="63" s="1"/>
  <c r="T15" i="65"/>
  <c r="T14" i="65"/>
  <c r="O460" i="61"/>
  <c r="O1067" i="61"/>
  <c r="T12" i="50"/>
  <c r="S12" i="63"/>
  <c r="S84" i="63" s="1"/>
  <c r="I11" i="65" s="1"/>
  <c r="AA1680" i="57"/>
  <c r="AA1636" i="57"/>
  <c r="AA1675" i="57"/>
  <c r="AA1631" i="57"/>
  <c r="AA1670" i="57"/>
  <c r="AA1677" i="57"/>
  <c r="AA1633" i="57"/>
  <c r="AA1676" i="57"/>
  <c r="AA1632" i="57"/>
  <c r="AA1671" i="57"/>
  <c r="AA1627" i="57"/>
  <c r="AA1638" i="57"/>
  <c r="AA1673" i="57"/>
  <c r="AA1629" i="57"/>
  <c r="AA1672" i="57"/>
  <c r="AA1628" i="57"/>
  <c r="AA1639" i="57"/>
  <c r="AA1678" i="57"/>
  <c r="AA1634" i="57"/>
  <c r="AA1669" i="57"/>
  <c r="AA1640" i="57"/>
  <c r="AA1679" i="57"/>
  <c r="AA1635" i="57"/>
  <c r="AA1674" i="57"/>
  <c r="AA1630" i="57"/>
  <c r="AA1637" i="57"/>
  <c r="AA1240" i="57"/>
  <c r="AA1224" i="57"/>
  <c r="AA1238" i="57"/>
  <c r="AA1222" i="57"/>
  <c r="AA1233" i="57"/>
  <c r="AA1243" i="57"/>
  <c r="AA1235" i="57"/>
  <c r="AA1236" i="57"/>
  <c r="AA1220" i="57"/>
  <c r="AA1234" i="57"/>
  <c r="AA1245" i="57"/>
  <c r="AA1229" i="57"/>
  <c r="AA1227" i="57"/>
  <c r="AA1219" i="57"/>
  <c r="AA1248" i="57"/>
  <c r="AA1232" i="57"/>
  <c r="AA1246" i="57"/>
  <c r="AA1230" i="57"/>
  <c r="AA1241" i="57"/>
  <c r="AA1225" i="57"/>
  <c r="AA1239" i="57"/>
  <c r="AA1247" i="57"/>
  <c r="AA1244" i="57"/>
  <c r="AA1228" i="57"/>
  <c r="AA1242" i="57"/>
  <c r="AA1226" i="57"/>
  <c r="AA1237" i="57"/>
  <c r="AA1221" i="57"/>
  <c r="AA1223" i="57"/>
  <c r="AA1231" i="57"/>
  <c r="AA820" i="58"/>
  <c r="AA816" i="58"/>
  <c r="AA812" i="58"/>
  <c r="AA808" i="58"/>
  <c r="AA804" i="58"/>
  <c r="AA800" i="58"/>
  <c r="AA796" i="58"/>
  <c r="AA792" i="58"/>
  <c r="AA788" i="58"/>
  <c r="AA784" i="58"/>
  <c r="AA780" i="58"/>
  <c r="AA776" i="58"/>
  <c r="AA772" i="58"/>
  <c r="AA768" i="58"/>
  <c r="AA764" i="58"/>
  <c r="AA760" i="58"/>
  <c r="AA756" i="58"/>
  <c r="AA752" i="58"/>
  <c r="AA748" i="58"/>
  <c r="AA744" i="58"/>
  <c r="AA740" i="58"/>
  <c r="AA736" i="58"/>
  <c r="AA732" i="58"/>
  <c r="AA728" i="58"/>
  <c r="AA724" i="58"/>
  <c r="AA720" i="58"/>
  <c r="AA1620" i="57"/>
  <c r="AG1620" i="57" s="1"/>
  <c r="AA1604" i="57"/>
  <c r="AG1604" i="57" s="1"/>
  <c r="AA1588" i="57"/>
  <c r="AG1588" i="57" s="1"/>
  <c r="AA1572" i="57"/>
  <c r="AG1572" i="57" s="1"/>
  <c r="AA1556" i="57"/>
  <c r="AG1556" i="57" s="1"/>
  <c r="AA1540" i="57"/>
  <c r="AG1540" i="57" s="1"/>
  <c r="AA1524" i="57"/>
  <c r="AG1524" i="57" s="1"/>
  <c r="AA1626" i="57"/>
  <c r="AG1626" i="57" s="1"/>
  <c r="AA1610" i="57"/>
  <c r="AG1610" i="57" s="1"/>
  <c r="AA1594" i="57"/>
  <c r="AG1594" i="57" s="1"/>
  <c r="AA1578" i="57"/>
  <c r="AG1578" i="57" s="1"/>
  <c r="AA1562" i="57"/>
  <c r="AG1562" i="57" s="1"/>
  <c r="AA1546" i="57"/>
  <c r="AG1546" i="57" s="1"/>
  <c r="AA1530" i="57"/>
  <c r="AG1530" i="57" s="1"/>
  <c r="AA1617" i="57"/>
  <c r="AG1617" i="57" s="1"/>
  <c r="AA1601" i="57"/>
  <c r="AG1601" i="57" s="1"/>
  <c r="AA1585" i="57"/>
  <c r="AG1585" i="57" s="1"/>
  <c r="AA1569" i="57"/>
  <c r="AG1569" i="57" s="1"/>
  <c r="AA1553" i="57"/>
  <c r="AG1553" i="57" s="1"/>
  <c r="AA1537" i="57"/>
  <c r="AG1537" i="57" s="1"/>
  <c r="AA1611" i="57"/>
  <c r="AG1611" i="57" s="1"/>
  <c r="AA1547" i="57"/>
  <c r="AG1547" i="57" s="1"/>
  <c r="AA1575" i="57"/>
  <c r="AG1575" i="57" s="1"/>
  <c r="AA1603" i="57"/>
  <c r="AG1603" i="57" s="1"/>
  <c r="AA1539" i="57"/>
  <c r="AG1539" i="57" s="1"/>
  <c r="AA1567" i="57"/>
  <c r="AG1567" i="57" s="1"/>
  <c r="AA819" i="58"/>
  <c r="AA815" i="58"/>
  <c r="AA811" i="58"/>
  <c r="AA807" i="58"/>
  <c r="AA803" i="58"/>
  <c r="AA799" i="58"/>
  <c r="AA795" i="58"/>
  <c r="AA791" i="58"/>
  <c r="AA787" i="58"/>
  <c r="AA783" i="58"/>
  <c r="AA779" i="58"/>
  <c r="AA775" i="58"/>
  <c r="AA771" i="58"/>
  <c r="AA767" i="58"/>
  <c r="AA763" i="58"/>
  <c r="AA759" i="58"/>
  <c r="AA755" i="58"/>
  <c r="AA751" i="58"/>
  <c r="AA747" i="58"/>
  <c r="AA743" i="58"/>
  <c r="AA739" i="58"/>
  <c r="AA735" i="58"/>
  <c r="AA731" i="58"/>
  <c r="AA727" i="58"/>
  <c r="AA723" i="58"/>
  <c r="AA719" i="58"/>
  <c r="AA1616" i="57"/>
  <c r="AG1616" i="57" s="1"/>
  <c r="AA1600" i="57"/>
  <c r="AG1600" i="57" s="1"/>
  <c r="AA1584" i="57"/>
  <c r="AG1584" i="57" s="1"/>
  <c r="AA1568" i="57"/>
  <c r="AG1568" i="57" s="1"/>
  <c r="AA1552" i="57"/>
  <c r="AG1552" i="57" s="1"/>
  <c r="AA1536" i="57"/>
  <c r="AG1536" i="57" s="1"/>
  <c r="AA1623" i="57"/>
  <c r="AG1623" i="57" s="1"/>
  <c r="AA1622" i="57"/>
  <c r="AG1622" i="57" s="1"/>
  <c r="AA1606" i="57"/>
  <c r="AG1606" i="57" s="1"/>
  <c r="AA1590" i="57"/>
  <c r="AG1590" i="57" s="1"/>
  <c r="AA1574" i="57"/>
  <c r="AG1574" i="57" s="1"/>
  <c r="AA1558" i="57"/>
  <c r="AG1558" i="57" s="1"/>
  <c r="AA1542" i="57"/>
  <c r="AG1542" i="57" s="1"/>
  <c r="AA1526" i="57"/>
  <c r="AG1526" i="57" s="1"/>
  <c r="AA1613" i="57"/>
  <c r="AG1613" i="57" s="1"/>
  <c r="AA1597" i="57"/>
  <c r="AG1597" i="57" s="1"/>
  <c r="AA1581" i="57"/>
  <c r="AG1581" i="57" s="1"/>
  <c r="AA1565" i="57"/>
  <c r="AG1565" i="57" s="1"/>
  <c r="AA1549" i="57"/>
  <c r="AG1549" i="57" s="1"/>
  <c r="AA1533" i="57"/>
  <c r="AG1533" i="57" s="1"/>
  <c r="AA1595" i="57"/>
  <c r="AG1595" i="57" s="1"/>
  <c r="AA1531" i="57"/>
  <c r="AG1531" i="57" s="1"/>
  <c r="AA1559" i="57"/>
  <c r="AG1559" i="57" s="1"/>
  <c r="AA1587" i="57"/>
  <c r="AG1587" i="57" s="1"/>
  <c r="AA1523" i="57"/>
  <c r="AG1523" i="57" s="1"/>
  <c r="AA1551" i="57"/>
  <c r="AG1551" i="57" s="1"/>
  <c r="AA818" i="58"/>
  <c r="AA814" i="58"/>
  <c r="AA810" i="58"/>
  <c r="AA806" i="58"/>
  <c r="AA802" i="58"/>
  <c r="AA798" i="58"/>
  <c r="AA794" i="58"/>
  <c r="AA790" i="58"/>
  <c r="AA786" i="58"/>
  <c r="AA782" i="58"/>
  <c r="AA778" i="58"/>
  <c r="AA774" i="58"/>
  <c r="AA770" i="58"/>
  <c r="AA766" i="58"/>
  <c r="AA762" i="58"/>
  <c r="AA758" i="58"/>
  <c r="AA754" i="58"/>
  <c r="AA750" i="58"/>
  <c r="AA746" i="58"/>
  <c r="AA742" i="58"/>
  <c r="AA738" i="58"/>
  <c r="AA734" i="58"/>
  <c r="AA730" i="58"/>
  <c r="AA726" i="58"/>
  <c r="AA722" i="58"/>
  <c r="AA718" i="58"/>
  <c r="AA1612" i="57"/>
  <c r="AG1612" i="57" s="1"/>
  <c r="AA1596" i="57"/>
  <c r="AG1596" i="57" s="1"/>
  <c r="AA1580" i="57"/>
  <c r="AG1580" i="57" s="1"/>
  <c r="AA1564" i="57"/>
  <c r="AG1564" i="57" s="1"/>
  <c r="AA1548" i="57"/>
  <c r="AG1548" i="57" s="1"/>
  <c r="AA1532" i="57"/>
  <c r="AG1532" i="57" s="1"/>
  <c r="AA1619" i="57"/>
  <c r="AG1619" i="57" s="1"/>
  <c r="AA1618" i="57"/>
  <c r="AG1618" i="57" s="1"/>
  <c r="AA1602" i="57"/>
  <c r="AG1602" i="57" s="1"/>
  <c r="AA1586" i="57"/>
  <c r="AG1586" i="57" s="1"/>
  <c r="AA1570" i="57"/>
  <c r="AG1570" i="57" s="1"/>
  <c r="AA1554" i="57"/>
  <c r="AG1554" i="57" s="1"/>
  <c r="AA1538" i="57"/>
  <c r="AG1538" i="57" s="1"/>
  <c r="AA1625" i="57"/>
  <c r="AG1625" i="57" s="1"/>
  <c r="AA1609" i="57"/>
  <c r="AG1609" i="57" s="1"/>
  <c r="AA1593" i="57"/>
  <c r="AG1593" i="57" s="1"/>
  <c r="AA1577" i="57"/>
  <c r="AG1577" i="57" s="1"/>
  <c r="AA1561" i="57"/>
  <c r="AG1561" i="57" s="1"/>
  <c r="AA1545" i="57"/>
  <c r="AG1545" i="57" s="1"/>
  <c r="AA1529" i="57"/>
  <c r="AG1529" i="57" s="1"/>
  <c r="AA1579" i="57"/>
  <c r="AG1579" i="57" s="1"/>
  <c r="AA1607" i="57"/>
  <c r="AG1607" i="57" s="1"/>
  <c r="AA1543" i="57"/>
  <c r="AG1543" i="57" s="1"/>
  <c r="AA1571" i="57"/>
  <c r="AG1571" i="57" s="1"/>
  <c r="AA1599" i="57"/>
  <c r="AG1599" i="57" s="1"/>
  <c r="AA1535" i="57"/>
  <c r="AG1535" i="57" s="1"/>
  <c r="AA821" i="58"/>
  <c r="AA817" i="58"/>
  <c r="AA813" i="58"/>
  <c r="AA809" i="58"/>
  <c r="AA805" i="58"/>
  <c r="AA801" i="58"/>
  <c r="AA797" i="58"/>
  <c r="AA793" i="58"/>
  <c r="AA789" i="58"/>
  <c r="AA785" i="58"/>
  <c r="AA781" i="58"/>
  <c r="AA777" i="58"/>
  <c r="AA773" i="58"/>
  <c r="AA769" i="58"/>
  <c r="AA765" i="58"/>
  <c r="AA761" i="58"/>
  <c r="AA757" i="58"/>
  <c r="AA753" i="58"/>
  <c r="AA749" i="58"/>
  <c r="AA745" i="58"/>
  <c r="AA741" i="58"/>
  <c r="AA737" i="58"/>
  <c r="AA733" i="58"/>
  <c r="AA729" i="58"/>
  <c r="AA725" i="58"/>
  <c r="AA721" i="58"/>
  <c r="AA1624" i="57"/>
  <c r="AG1624" i="57" s="1"/>
  <c r="AA1608" i="57"/>
  <c r="AG1608" i="57" s="1"/>
  <c r="AA1592" i="57"/>
  <c r="AG1592" i="57" s="1"/>
  <c r="AA1576" i="57"/>
  <c r="AG1576" i="57" s="1"/>
  <c r="AA1560" i="57"/>
  <c r="AG1560" i="57" s="1"/>
  <c r="AA1544" i="57"/>
  <c r="AG1544" i="57" s="1"/>
  <c r="AA1528" i="57"/>
  <c r="AG1528" i="57" s="1"/>
  <c r="AA1615" i="57"/>
  <c r="AG1615" i="57" s="1"/>
  <c r="AA1614" i="57"/>
  <c r="AG1614" i="57" s="1"/>
  <c r="AA1598" i="57"/>
  <c r="AG1598" i="57" s="1"/>
  <c r="AA1582" i="57"/>
  <c r="AG1582" i="57" s="1"/>
  <c r="AA1566" i="57"/>
  <c r="AG1566" i="57" s="1"/>
  <c r="AA1550" i="57"/>
  <c r="AG1550" i="57" s="1"/>
  <c r="AA1534" i="57"/>
  <c r="AG1534" i="57" s="1"/>
  <c r="AA1621" i="57"/>
  <c r="AG1621" i="57" s="1"/>
  <c r="AA1605" i="57"/>
  <c r="AG1605" i="57" s="1"/>
  <c r="AA1589" i="57"/>
  <c r="AG1589" i="57" s="1"/>
  <c r="AA1573" i="57"/>
  <c r="AG1573" i="57" s="1"/>
  <c r="AA1557" i="57"/>
  <c r="AG1557" i="57" s="1"/>
  <c r="AA1541" i="57"/>
  <c r="AG1541" i="57" s="1"/>
  <c r="AA1525" i="57"/>
  <c r="AG1525" i="57" s="1"/>
  <c r="AA1563" i="57"/>
  <c r="AG1563" i="57" s="1"/>
  <c r="AA1591" i="57"/>
  <c r="AG1591" i="57" s="1"/>
  <c r="AA1527" i="57"/>
  <c r="AG1527" i="57" s="1"/>
  <c r="AA1555" i="57"/>
  <c r="AG1555" i="57" s="1"/>
  <c r="AA1583" i="57"/>
  <c r="AG1583" i="57" s="1"/>
  <c r="AA555" i="58"/>
  <c r="AA551" i="58"/>
  <c r="AA547" i="58"/>
  <c r="AA543" i="58"/>
  <c r="AA539" i="58"/>
  <c r="AA535" i="58"/>
  <c r="AA531" i="58"/>
  <c r="AA527" i="58"/>
  <c r="AA523" i="58"/>
  <c r="AA1352" i="57"/>
  <c r="AG1352" i="57" s="1"/>
  <c r="AA1336" i="57"/>
  <c r="AG1336" i="57" s="1"/>
  <c r="AA1358" i="57"/>
  <c r="AG1358" i="57" s="1"/>
  <c r="AA1342" i="57"/>
  <c r="AG1342" i="57" s="1"/>
  <c r="AA1361" i="57"/>
  <c r="AG1361" i="57" s="1"/>
  <c r="AA1345" i="57"/>
  <c r="AG1345" i="57" s="1"/>
  <c r="AA1329" i="57"/>
  <c r="AG1329" i="57" s="1"/>
  <c r="AA1335" i="57"/>
  <c r="AG1335" i="57" s="1"/>
  <c r="AA1343" i="57"/>
  <c r="AG1343" i="57" s="1"/>
  <c r="AA554" i="58"/>
  <c r="AA550" i="58"/>
  <c r="AA546" i="58"/>
  <c r="AA542" i="58"/>
  <c r="AA538" i="58"/>
  <c r="AA534" i="58"/>
  <c r="AA530" i="58"/>
  <c r="AA526" i="58"/>
  <c r="AA522" i="58"/>
  <c r="AA1348" i="57"/>
  <c r="AG1348" i="57" s="1"/>
  <c r="AA1332" i="57"/>
  <c r="AG1332" i="57" s="1"/>
  <c r="AA1354" i="57"/>
  <c r="AG1354" i="57" s="1"/>
  <c r="AA1338" i="57"/>
  <c r="AG1338" i="57" s="1"/>
  <c r="AA1357" i="57"/>
  <c r="AG1357" i="57" s="1"/>
  <c r="AA1341" i="57"/>
  <c r="AG1341" i="57" s="1"/>
  <c r="AA1355" i="57"/>
  <c r="AG1355" i="57" s="1"/>
  <c r="AA1347" i="57"/>
  <c r="AG1347" i="57" s="1"/>
  <c r="AA1327" i="57"/>
  <c r="AG1327" i="57" s="1"/>
  <c r="AA557" i="58"/>
  <c r="AA553" i="58"/>
  <c r="AA549" i="58"/>
  <c r="AA545" i="58"/>
  <c r="AA541" i="58"/>
  <c r="AA537" i="58"/>
  <c r="AA533" i="58"/>
  <c r="AA529" i="58"/>
  <c r="AA525" i="58"/>
  <c r="AA1360" i="57"/>
  <c r="AG1360" i="57" s="1"/>
  <c r="AA1344" i="57"/>
  <c r="AG1344" i="57" s="1"/>
  <c r="AA1328" i="57"/>
  <c r="AG1328" i="57" s="1"/>
  <c r="AA1350" i="57"/>
  <c r="AG1350" i="57" s="1"/>
  <c r="AA1334" i="57"/>
  <c r="AG1334" i="57" s="1"/>
  <c r="AA1353" i="57"/>
  <c r="AG1353" i="57" s="1"/>
  <c r="AA1337" i="57"/>
  <c r="AG1337" i="57" s="1"/>
  <c r="AA1339" i="57"/>
  <c r="AG1339" i="57" s="1"/>
  <c r="AA1331" i="57"/>
  <c r="AG1331" i="57" s="1"/>
  <c r="AA556" i="58"/>
  <c r="AA552" i="58"/>
  <c r="AA548" i="58"/>
  <c r="AA544" i="58"/>
  <c r="AA540" i="58"/>
  <c r="AA536" i="58"/>
  <c r="AA532" i="58"/>
  <c r="AA528" i="58"/>
  <c r="AA524" i="58"/>
  <c r="AA1356" i="57"/>
  <c r="AG1356" i="57" s="1"/>
  <c r="AA1340" i="57"/>
  <c r="AG1340" i="57" s="1"/>
  <c r="AA1362" i="57"/>
  <c r="AG1362" i="57" s="1"/>
  <c r="AA1346" i="57"/>
  <c r="AG1346" i="57" s="1"/>
  <c r="AA1330" i="57"/>
  <c r="AG1330" i="57" s="1"/>
  <c r="AA1349" i="57"/>
  <c r="AG1349" i="57" s="1"/>
  <c r="AA1333" i="57"/>
  <c r="AG1333" i="57" s="1"/>
  <c r="AA1351" i="57"/>
  <c r="AG1351" i="57" s="1"/>
  <c r="AA1359" i="57"/>
  <c r="AG1359" i="57" s="1"/>
  <c r="J9" i="66"/>
  <c r="AA715" i="58"/>
  <c r="AA711" i="58"/>
  <c r="AA707" i="58"/>
  <c r="AA1520" i="57"/>
  <c r="AA1518" i="57"/>
  <c r="AA1517" i="57"/>
  <c r="AA1511" i="57"/>
  <c r="AA714" i="58"/>
  <c r="AA710" i="58"/>
  <c r="AA706" i="58"/>
  <c r="AA1516" i="57"/>
  <c r="AA1514" i="57"/>
  <c r="AA1513" i="57"/>
  <c r="AA1519" i="57"/>
  <c r="AA717" i="58"/>
  <c r="AA713" i="58"/>
  <c r="AA709" i="58"/>
  <c r="AA677" i="58"/>
  <c r="AA1512" i="57"/>
  <c r="AA1482" i="57"/>
  <c r="AA1481" i="57"/>
  <c r="AA716" i="58"/>
  <c r="AA712" i="58"/>
  <c r="AA708" i="58"/>
  <c r="AA676" i="58"/>
  <c r="AA1522" i="57"/>
  <c r="AA1521" i="57"/>
  <c r="AA1515" i="57"/>
  <c r="AA1692" i="57"/>
  <c r="AA1648" i="57"/>
  <c r="AA1683" i="57"/>
  <c r="AA1690" i="57"/>
  <c r="AA1650" i="57"/>
  <c r="AA1685" i="57"/>
  <c r="AA1645" i="57"/>
  <c r="AA1688" i="57"/>
  <c r="AA1644" i="57"/>
  <c r="AA1651" i="57"/>
  <c r="AA1686" i="57"/>
  <c r="AA1646" i="57"/>
  <c r="AA1681" i="57"/>
  <c r="AA1641" i="57"/>
  <c r="AA1684" i="57"/>
  <c r="AA1691" i="57"/>
  <c r="AA1647" i="57"/>
  <c r="AA1682" i="57"/>
  <c r="AA1642" i="57"/>
  <c r="AA1653" i="57"/>
  <c r="AA1652" i="57"/>
  <c r="AA1687" i="57"/>
  <c r="AA1643" i="57"/>
  <c r="AA1654" i="57"/>
  <c r="AA1689" i="57"/>
  <c r="AA1649" i="57"/>
  <c r="AA691" i="58"/>
  <c r="AA687" i="58"/>
  <c r="AA683" i="58"/>
  <c r="AA679" i="58"/>
  <c r="AA669" i="58"/>
  <c r="AA1496" i="57"/>
  <c r="AA1476" i="57"/>
  <c r="AA1490" i="57"/>
  <c r="AA1493" i="57"/>
  <c r="AA1483" i="57"/>
  <c r="AA1487" i="57"/>
  <c r="AA690" i="58"/>
  <c r="AA686" i="58"/>
  <c r="AA682" i="58"/>
  <c r="AA678" i="58"/>
  <c r="AA668" i="58"/>
  <c r="AA1492" i="57"/>
  <c r="AA1472" i="57"/>
  <c r="AA1486" i="57"/>
  <c r="AA1489" i="57"/>
  <c r="AA1495" i="57"/>
  <c r="AA1471" i="57"/>
  <c r="AA693" i="58"/>
  <c r="AA689" i="58"/>
  <c r="AA685" i="58"/>
  <c r="AA681" i="58"/>
  <c r="AA671" i="58"/>
  <c r="AA667" i="58"/>
  <c r="AA1488" i="57"/>
  <c r="AA1498" i="57"/>
  <c r="AA1474" i="57"/>
  <c r="AA1485" i="57"/>
  <c r="AA1491" i="57"/>
  <c r="AA692" i="58"/>
  <c r="AA688" i="58"/>
  <c r="AA684" i="58"/>
  <c r="AA680" i="58"/>
  <c r="AA670" i="58"/>
  <c r="AA666" i="58"/>
  <c r="AA1484" i="57"/>
  <c r="AA1494" i="57"/>
  <c r="AA1497" i="57"/>
  <c r="AA1473" i="57"/>
  <c r="AA1475" i="57"/>
  <c r="AA179" i="57"/>
  <c r="AG179" i="57" s="1"/>
  <c r="AA156" i="57"/>
  <c r="AG156" i="57" s="1"/>
  <c r="AA61" i="58"/>
  <c r="AA55" i="58"/>
  <c r="AA49" i="58"/>
  <c r="AA45" i="58"/>
  <c r="AA41" i="58"/>
  <c r="AA145" i="57"/>
  <c r="AG145" i="57" s="1"/>
  <c r="AA70" i="57"/>
  <c r="AA144" i="57"/>
  <c r="AG144" i="57" s="1"/>
  <c r="AA68" i="57"/>
  <c r="AA147" i="57"/>
  <c r="AG147" i="57" s="1"/>
  <c r="AA73" i="57"/>
  <c r="AA154" i="57"/>
  <c r="AG154" i="57" s="1"/>
  <c r="AA126" i="57"/>
  <c r="AA164" i="57"/>
  <c r="AG164" i="57" s="1"/>
  <c r="AA155" i="57"/>
  <c r="AG155" i="57" s="1"/>
  <c r="AA59" i="58"/>
  <c r="AA53" i="58"/>
  <c r="AA48" i="58"/>
  <c r="AA44" i="58"/>
  <c r="AA40" i="58"/>
  <c r="AA133" i="57"/>
  <c r="AA62" i="57"/>
  <c r="AA132" i="57"/>
  <c r="AA60" i="57"/>
  <c r="AA143" i="57"/>
  <c r="AG143" i="57" s="1"/>
  <c r="AA66" i="57"/>
  <c r="AA150" i="57"/>
  <c r="AG150" i="57" s="1"/>
  <c r="AA71" i="57"/>
  <c r="AA162" i="57"/>
  <c r="AG162" i="57" s="1"/>
  <c r="AA79" i="58"/>
  <c r="AA57" i="58"/>
  <c r="AA52" i="58"/>
  <c r="AA51" i="58"/>
  <c r="AA47" i="58"/>
  <c r="AA43" i="58"/>
  <c r="AA153" i="57"/>
  <c r="AG153" i="57" s="1"/>
  <c r="AA129" i="57"/>
  <c r="AA54" i="57"/>
  <c r="AA152" i="57"/>
  <c r="AG152" i="57" s="1"/>
  <c r="AA128" i="57"/>
  <c r="AA52" i="57"/>
  <c r="AA131" i="57"/>
  <c r="AA58" i="57"/>
  <c r="AA146" i="57"/>
  <c r="AG146" i="57" s="1"/>
  <c r="AA64" i="57"/>
  <c r="AA182" i="57"/>
  <c r="AG182" i="57" s="1"/>
  <c r="AA160" i="57"/>
  <c r="AG160" i="57" s="1"/>
  <c r="AA63" i="58"/>
  <c r="AA56" i="58"/>
  <c r="AA50" i="58"/>
  <c r="AA46" i="58"/>
  <c r="AA42" i="58"/>
  <c r="AA149" i="57"/>
  <c r="AG149" i="57" s="1"/>
  <c r="AA125" i="57"/>
  <c r="AA148" i="57"/>
  <c r="AG148" i="57" s="1"/>
  <c r="AA75" i="57"/>
  <c r="AA151" i="57"/>
  <c r="AG151" i="57" s="1"/>
  <c r="AA127" i="57"/>
  <c r="AA130" i="57"/>
  <c r="AA56" i="57"/>
  <c r="AA159" i="57"/>
  <c r="AG159" i="57" s="1"/>
  <c r="AA158" i="57"/>
  <c r="AG158" i="57" s="1"/>
  <c r="AA161" i="57"/>
  <c r="AG161" i="57" s="1"/>
  <c r="AA54" i="58"/>
  <c r="AA166" i="57"/>
  <c r="AG166" i="57" s="1"/>
  <c r="AA163" i="57"/>
  <c r="AG163" i="57" s="1"/>
  <c r="AA62" i="58"/>
  <c r="AA165" i="57"/>
  <c r="AG165" i="57" s="1"/>
  <c r="AA58" i="58"/>
  <c r="AA60" i="58"/>
  <c r="AA180" i="57"/>
  <c r="AG180" i="57" s="1"/>
  <c r="AA78" i="58"/>
  <c r="AA181" i="57"/>
  <c r="AG181" i="57" s="1"/>
  <c r="AA76" i="58"/>
  <c r="AA77" i="58"/>
  <c r="AA157" i="57"/>
  <c r="AG157" i="57" s="1"/>
  <c r="AA1208" i="57"/>
  <c r="AA1192" i="57"/>
  <c r="AA1206" i="57"/>
  <c r="AA1190" i="57"/>
  <c r="AA1205" i="57"/>
  <c r="AA1211" i="57"/>
  <c r="AA1203" i="57"/>
  <c r="AA1204" i="57"/>
  <c r="AA1218" i="57"/>
  <c r="AA1202" i="57"/>
  <c r="AA1217" i="57"/>
  <c r="AA1201" i="57"/>
  <c r="AA1195" i="57"/>
  <c r="AA1215" i="57"/>
  <c r="AA1216" i="57"/>
  <c r="AA1200" i="57"/>
  <c r="AA1214" i="57"/>
  <c r="AA1198" i="57"/>
  <c r="AA1213" i="57"/>
  <c r="AA1197" i="57"/>
  <c r="AA1207" i="57"/>
  <c r="AA1199" i="57"/>
  <c r="AA1212" i="57"/>
  <c r="AA1196" i="57"/>
  <c r="AA1210" i="57"/>
  <c r="AA1194" i="57"/>
  <c r="AA1209" i="57"/>
  <c r="AA1193" i="57"/>
  <c r="AA1191" i="57"/>
  <c r="AA591" i="58"/>
  <c r="AA586" i="58"/>
  <c r="AA581" i="58"/>
  <c r="AA575" i="58"/>
  <c r="AA570" i="58"/>
  <c r="AA565" i="58"/>
  <c r="AA559" i="58"/>
  <c r="AA1388" i="57"/>
  <c r="AG1388" i="57" s="1"/>
  <c r="AA1372" i="57"/>
  <c r="AG1372" i="57" s="1"/>
  <c r="AA1394" i="57"/>
  <c r="AG1394" i="57" s="1"/>
  <c r="AA1378" i="57"/>
  <c r="AG1378" i="57" s="1"/>
  <c r="AA1397" i="57"/>
  <c r="AG1397" i="57" s="1"/>
  <c r="AA1381" i="57"/>
  <c r="AG1381" i="57" s="1"/>
  <c r="AA1365" i="57"/>
  <c r="AG1365" i="57" s="1"/>
  <c r="AA1367" i="57"/>
  <c r="AG1367" i="57" s="1"/>
  <c r="AA1391" i="57"/>
  <c r="AG1391" i="57" s="1"/>
  <c r="AA590" i="58"/>
  <c r="AA585" i="58"/>
  <c r="AA579" i="58"/>
  <c r="AA574" i="58"/>
  <c r="AA569" i="58"/>
  <c r="AA563" i="58"/>
  <c r="AA558" i="58"/>
  <c r="AA1384" i="57"/>
  <c r="AG1384" i="57" s="1"/>
  <c r="AA1368" i="57"/>
  <c r="AG1368" i="57" s="1"/>
  <c r="AA1390" i="57"/>
  <c r="AG1390" i="57" s="1"/>
  <c r="AA1374" i="57"/>
  <c r="AG1374" i="57" s="1"/>
  <c r="AA1393" i="57"/>
  <c r="AG1393" i="57" s="1"/>
  <c r="AA1377" i="57"/>
  <c r="AG1377" i="57" s="1"/>
  <c r="AA1387" i="57"/>
  <c r="AG1387" i="57" s="1"/>
  <c r="AA1395" i="57"/>
  <c r="AG1395" i="57" s="1"/>
  <c r="AA1375" i="57"/>
  <c r="AG1375" i="57" s="1"/>
  <c r="AA589" i="58"/>
  <c r="AA583" i="58"/>
  <c r="AA578" i="58"/>
  <c r="AA573" i="58"/>
  <c r="AA567" i="58"/>
  <c r="AA562" i="58"/>
  <c r="AA1396" i="57"/>
  <c r="AG1396" i="57" s="1"/>
  <c r="AA1380" i="57"/>
  <c r="AG1380" i="57" s="1"/>
  <c r="AA1364" i="57"/>
  <c r="AG1364" i="57" s="1"/>
  <c r="AA1386" i="57"/>
  <c r="AG1386" i="57" s="1"/>
  <c r="AA1370" i="57"/>
  <c r="AG1370" i="57" s="1"/>
  <c r="AA1389" i="57"/>
  <c r="AG1389" i="57" s="1"/>
  <c r="AA1373" i="57"/>
  <c r="AG1373" i="57" s="1"/>
  <c r="AA1371" i="57"/>
  <c r="AG1371" i="57" s="1"/>
  <c r="AA1379" i="57"/>
  <c r="AG1379" i="57" s="1"/>
  <c r="AA593" i="58"/>
  <c r="AA587" i="58"/>
  <c r="AA582" i="58"/>
  <c r="AA577" i="58"/>
  <c r="AA571" i="58"/>
  <c r="AA566" i="58"/>
  <c r="AA561" i="58"/>
  <c r="AA1392" i="57"/>
  <c r="AG1392" i="57" s="1"/>
  <c r="AA1376" i="57"/>
  <c r="AG1376" i="57" s="1"/>
  <c r="AA1398" i="57"/>
  <c r="AG1398" i="57" s="1"/>
  <c r="AA1382" i="57"/>
  <c r="AG1382" i="57" s="1"/>
  <c r="AA1366" i="57"/>
  <c r="AG1366" i="57" s="1"/>
  <c r="AA1385" i="57"/>
  <c r="AG1385" i="57" s="1"/>
  <c r="AA1369" i="57"/>
  <c r="AG1369" i="57" s="1"/>
  <c r="AA1383" i="57"/>
  <c r="AG1383" i="57" s="1"/>
  <c r="AA1363" i="57"/>
  <c r="AG1363" i="57" s="1"/>
  <c r="AA592" i="58"/>
  <c r="AA572" i="58"/>
  <c r="AA588" i="58"/>
  <c r="AA560" i="58"/>
  <c r="AA576" i="58"/>
  <c r="AA564" i="58"/>
  <c r="AA580" i="58"/>
  <c r="AA568" i="58"/>
  <c r="AA584" i="58"/>
  <c r="AA1831" i="57"/>
  <c r="AG1831" i="57" s="1"/>
  <c r="AA823" i="58"/>
  <c r="AA1844" i="57"/>
  <c r="AG1844" i="57" s="1"/>
  <c r="AA834" i="58"/>
  <c r="AA1830" i="57"/>
  <c r="AG1830" i="57" s="1"/>
  <c r="AA832" i="58"/>
  <c r="AA1834" i="57"/>
  <c r="AG1834" i="57" s="1"/>
  <c r="AA1828" i="57"/>
  <c r="AA1812" i="57"/>
  <c r="AA1796" i="57"/>
  <c r="AA1780" i="57"/>
  <c r="AA1764" i="57"/>
  <c r="AA1748" i="57"/>
  <c r="AA1732" i="57"/>
  <c r="AA1716" i="57"/>
  <c r="AA1815" i="57"/>
  <c r="AA1799" i="57"/>
  <c r="AA1783" i="57"/>
  <c r="AA1767" i="57"/>
  <c r="AA1751" i="57"/>
  <c r="AA1735" i="57"/>
  <c r="AA1719" i="57"/>
  <c r="AA1818" i="57"/>
  <c r="AA1802" i="57"/>
  <c r="AA1786" i="57"/>
  <c r="AA1770" i="57"/>
  <c r="AA1754" i="57"/>
  <c r="AA1738" i="57"/>
  <c r="AA1722" i="57"/>
  <c r="AA1706" i="57"/>
  <c r="AA1829" i="57"/>
  <c r="AA1813" i="57"/>
  <c r="AA1797" i="57"/>
  <c r="AA1781" i="57"/>
  <c r="AA1765" i="57"/>
  <c r="AA1749" i="57"/>
  <c r="AA1733" i="57"/>
  <c r="AA1717" i="57"/>
  <c r="AA1843" i="57"/>
  <c r="AG1843" i="57" s="1"/>
  <c r="AA835" i="58"/>
  <c r="AA1841" i="57"/>
  <c r="AG1841" i="57" s="1"/>
  <c r="AA1840" i="57"/>
  <c r="AG1840" i="57" s="1"/>
  <c r="AA830" i="58"/>
  <c r="AA833" i="58"/>
  <c r="AA824" i="58"/>
  <c r="AA836" i="58"/>
  <c r="AA1824" i="57"/>
  <c r="AA1808" i="57"/>
  <c r="AA1792" i="57"/>
  <c r="AA1776" i="57"/>
  <c r="AA1760" i="57"/>
  <c r="AA1744" i="57"/>
  <c r="AA1728" i="57"/>
  <c r="AA1712" i="57"/>
  <c r="AA1827" i="57"/>
  <c r="AA1811" i="57"/>
  <c r="AA1795" i="57"/>
  <c r="AA1779" i="57"/>
  <c r="AA1763" i="57"/>
  <c r="AA1747" i="57"/>
  <c r="AA1731" i="57"/>
  <c r="AA1715" i="57"/>
  <c r="AA1814" i="57"/>
  <c r="AA1798" i="57"/>
  <c r="AA1782" i="57"/>
  <c r="AA1766" i="57"/>
  <c r="AA1750" i="57"/>
  <c r="AA1734" i="57"/>
  <c r="AA1718" i="57"/>
  <c r="AA1825" i="57"/>
  <c r="AA1809" i="57"/>
  <c r="AA1793" i="57"/>
  <c r="AA1777" i="57"/>
  <c r="AA1761" i="57"/>
  <c r="AA1745" i="57"/>
  <c r="AA1729" i="57"/>
  <c r="AA1713" i="57"/>
  <c r="AA1839" i="57"/>
  <c r="AG1839" i="57" s="1"/>
  <c r="AA831" i="58"/>
  <c r="AA1837" i="57"/>
  <c r="AG1837" i="57" s="1"/>
  <c r="AA1836" i="57"/>
  <c r="AG1836" i="57" s="1"/>
  <c r="AA826" i="58"/>
  <c r="AA825" i="58"/>
  <c r="AA1838" i="57"/>
  <c r="AG1838" i="57" s="1"/>
  <c r="AA828" i="58"/>
  <c r="AA1820" i="57"/>
  <c r="AA1804" i="57"/>
  <c r="AA1788" i="57"/>
  <c r="AA1772" i="57"/>
  <c r="AA1756" i="57"/>
  <c r="AA1740" i="57"/>
  <c r="AA1724" i="57"/>
  <c r="AA1708" i="57"/>
  <c r="AA1823" i="57"/>
  <c r="AA1807" i="57"/>
  <c r="AA1791" i="57"/>
  <c r="AA1775" i="57"/>
  <c r="AA1759" i="57"/>
  <c r="AA1743" i="57"/>
  <c r="AA1727" i="57"/>
  <c r="AA1711" i="57"/>
  <c r="AA1826" i="57"/>
  <c r="AA1810" i="57"/>
  <c r="AA1794" i="57"/>
  <c r="AA1778" i="57"/>
  <c r="AA1762" i="57"/>
  <c r="AA1746" i="57"/>
  <c r="AA1730" i="57"/>
  <c r="AA1714" i="57"/>
  <c r="AA1821" i="57"/>
  <c r="AA1805" i="57"/>
  <c r="AA1789" i="57"/>
  <c r="AA1773" i="57"/>
  <c r="AA1757" i="57"/>
  <c r="AA1741" i="57"/>
  <c r="AA1725" i="57"/>
  <c r="AA1709" i="57"/>
  <c r="AA1835" i="57"/>
  <c r="AG1835" i="57" s="1"/>
  <c r="AA827" i="58"/>
  <c r="AA1833" i="57"/>
  <c r="AG1833" i="57" s="1"/>
  <c r="AA1832" i="57"/>
  <c r="AG1832" i="57" s="1"/>
  <c r="AA822" i="58"/>
  <c r="AA1842" i="57"/>
  <c r="AG1842" i="57" s="1"/>
  <c r="AA829" i="58"/>
  <c r="AA1816" i="57"/>
  <c r="AA1800" i="57"/>
  <c r="AA1784" i="57"/>
  <c r="AA1768" i="57"/>
  <c r="AA1752" i="57"/>
  <c r="AA1736" i="57"/>
  <c r="AA1720" i="57"/>
  <c r="AA1819" i="57"/>
  <c r="AA1803" i="57"/>
  <c r="AA1787" i="57"/>
  <c r="AA1771" i="57"/>
  <c r="AA1755" i="57"/>
  <c r="AA1739" i="57"/>
  <c r="AA1723" i="57"/>
  <c r="AA1707" i="57"/>
  <c r="AA1822" i="57"/>
  <c r="AA1806" i="57"/>
  <c r="AA1790" i="57"/>
  <c r="AA1774" i="57"/>
  <c r="AA1758" i="57"/>
  <c r="AA1742" i="57"/>
  <c r="AA1726" i="57"/>
  <c r="AA1710" i="57"/>
  <c r="AA1817" i="57"/>
  <c r="AA1801" i="57"/>
  <c r="AA1785" i="57"/>
  <c r="AA1769" i="57"/>
  <c r="AA1753" i="57"/>
  <c r="AA1737" i="57"/>
  <c r="AA1721" i="57"/>
  <c r="AA1705" i="57"/>
  <c r="AA1147" i="57"/>
  <c r="AG1147" i="57" s="1"/>
  <c r="AA1131" i="57"/>
  <c r="AG1131" i="57" s="1"/>
  <c r="AA1057" i="57"/>
  <c r="AG1057" i="57" s="1"/>
  <c r="AA514" i="58"/>
  <c r="AA474" i="58"/>
  <c r="AA466" i="58"/>
  <c r="AA445" i="57"/>
  <c r="AG445" i="57" s="1"/>
  <c r="AA386" i="58"/>
  <c r="AA1185" i="57"/>
  <c r="AG1185" i="57" s="1"/>
  <c r="AA1184" i="57"/>
  <c r="AG1184" i="57" s="1"/>
  <c r="AA1140" i="57"/>
  <c r="AG1140" i="57" s="1"/>
  <c r="AA1062" i="57"/>
  <c r="AG1062" i="57" s="1"/>
  <c r="AA517" i="58"/>
  <c r="AA476" i="57"/>
  <c r="AG476" i="57" s="1"/>
  <c r="AA468" i="57"/>
  <c r="AG468" i="57" s="1"/>
  <c r="AA450" i="57"/>
  <c r="AG450" i="57" s="1"/>
  <c r="AA389" i="58"/>
  <c r="AA1137" i="57"/>
  <c r="AG1137" i="57" s="1"/>
  <c r="AA516" i="58"/>
  <c r="AA396" i="58"/>
  <c r="AA1146" i="57"/>
  <c r="AG1146" i="57" s="1"/>
  <c r="AA1052" i="57"/>
  <c r="AG1052" i="57" s="1"/>
  <c r="AA1149" i="57"/>
  <c r="AG1149" i="57" s="1"/>
  <c r="AA1055" i="57"/>
  <c r="AG1055" i="57" s="1"/>
  <c r="AA479" i="58"/>
  <c r="AA471" i="58"/>
  <c r="AA463" i="58"/>
  <c r="AA1142" i="57"/>
  <c r="AG1142" i="57" s="1"/>
  <c r="AA1056" i="57"/>
  <c r="AG1056" i="57" s="1"/>
  <c r="AA448" i="57"/>
  <c r="AG448" i="57" s="1"/>
  <c r="AA228" i="58"/>
  <c r="AA224" i="58"/>
  <c r="AA220" i="58"/>
  <c r="AA203" i="58"/>
  <c r="AA199" i="58"/>
  <c r="AA195" i="58"/>
  <c r="AA475" i="57"/>
  <c r="AG475" i="57" s="1"/>
  <c r="AA444" i="57"/>
  <c r="AG444" i="57" s="1"/>
  <c r="AA478" i="57"/>
  <c r="AG478" i="57" s="1"/>
  <c r="AA384" i="58"/>
  <c r="AA967" i="57"/>
  <c r="AA977" i="57"/>
  <c r="AA961" i="57"/>
  <c r="AA888" i="57"/>
  <c r="AA871" i="57"/>
  <c r="AA759" i="57"/>
  <c r="AA964" i="57"/>
  <c r="AA891" i="57"/>
  <c r="AA874" i="57"/>
  <c r="AA766" i="57"/>
  <c r="AA721" i="57"/>
  <c r="AA869" i="57"/>
  <c r="AA706" i="57"/>
  <c r="AA421" i="57"/>
  <c r="AA389" i="57"/>
  <c r="AA293" i="57"/>
  <c r="AA277" i="57"/>
  <c r="AA978" i="57"/>
  <c r="AA877" i="57"/>
  <c r="AA712" i="57"/>
  <c r="AA689" i="57"/>
  <c r="AA424" i="57"/>
  <c r="AA392" i="57"/>
  <c r="AA370" i="57"/>
  <c r="AA280" i="57"/>
  <c r="AA1187" i="57"/>
  <c r="AG1187" i="57" s="1"/>
  <c r="AA1143" i="57"/>
  <c r="AG1143" i="57" s="1"/>
  <c r="AA1127" i="57"/>
  <c r="AG1127" i="57" s="1"/>
  <c r="AA1053" i="57"/>
  <c r="AG1053" i="57" s="1"/>
  <c r="AA510" i="58"/>
  <c r="AA473" i="57"/>
  <c r="AG473" i="57" s="1"/>
  <c r="AA462" i="58"/>
  <c r="AA441" i="57"/>
  <c r="AG441" i="57" s="1"/>
  <c r="AA382" i="58"/>
  <c r="AA1181" i="57"/>
  <c r="AG1181" i="57" s="1"/>
  <c r="AA1180" i="57"/>
  <c r="AG1180" i="57" s="1"/>
  <c r="AA1136" i="57"/>
  <c r="AG1136" i="57" s="1"/>
  <c r="AA1058" i="57"/>
  <c r="AG1058" i="57" s="1"/>
  <c r="AA513" i="58"/>
  <c r="AA473" i="58"/>
  <c r="AA465" i="58"/>
  <c r="AA446" i="57"/>
  <c r="AG446" i="57" s="1"/>
  <c r="AA385" i="58"/>
  <c r="AA1129" i="57"/>
  <c r="AG1129" i="57" s="1"/>
  <c r="AA508" i="58"/>
  <c r="AA388" i="58"/>
  <c r="AA1138" i="57"/>
  <c r="AG1138" i="57" s="1"/>
  <c r="AA515" i="58"/>
  <c r="AA1141" i="57"/>
  <c r="AG1141" i="57" s="1"/>
  <c r="AA1047" i="57"/>
  <c r="AG1047" i="57" s="1"/>
  <c r="AA476" i="58"/>
  <c r="AA468" i="58"/>
  <c r="AA460" i="58"/>
  <c r="AA1134" i="57"/>
  <c r="AG1134" i="57" s="1"/>
  <c r="AA1048" i="57"/>
  <c r="AG1048" i="57" s="1"/>
  <c r="AA391" i="58"/>
  <c r="AA227" i="58"/>
  <c r="AA223" i="58"/>
  <c r="AA219" i="58"/>
  <c r="AA202" i="58"/>
  <c r="AA198" i="58"/>
  <c r="AA194" i="58"/>
  <c r="AA474" i="57"/>
  <c r="AG474" i="57" s="1"/>
  <c r="AA392" i="58"/>
  <c r="AA471" i="57"/>
  <c r="AG471" i="57" s="1"/>
  <c r="AA395" i="58"/>
  <c r="AA963" i="57"/>
  <c r="AA973" i="57"/>
  <c r="AA957" i="57"/>
  <c r="AA884" i="57"/>
  <c r="AA867" i="57"/>
  <c r="AA727" i="57"/>
  <c r="AA976" i="57"/>
  <c r="AA960" i="57"/>
  <c r="AA887" i="57"/>
  <c r="AA870" i="57"/>
  <c r="AA762" i="57"/>
  <c r="AA715" i="57"/>
  <c r="AA966" i="57"/>
  <c r="AA765" i="57"/>
  <c r="AA701" i="57"/>
  <c r="AA417" i="57"/>
  <c r="AA384" i="57"/>
  <c r="AA289" i="57"/>
  <c r="AA273" i="57"/>
  <c r="AA962" i="57"/>
  <c r="AA868" i="57"/>
  <c r="AA705" i="57"/>
  <c r="AA420" i="57"/>
  <c r="AA388" i="57"/>
  <c r="AA292" i="57"/>
  <c r="AA276" i="57"/>
  <c r="AA1183" i="57"/>
  <c r="AG1183" i="57" s="1"/>
  <c r="AA1139" i="57"/>
  <c r="AG1139" i="57" s="1"/>
  <c r="AA1065" i="57"/>
  <c r="AG1065" i="57" s="1"/>
  <c r="AA1049" i="57"/>
  <c r="AG1049" i="57" s="1"/>
  <c r="AA478" i="58"/>
  <c r="AA470" i="58"/>
  <c r="AA458" i="58"/>
  <c r="AA394" i="58"/>
  <c r="AA378" i="58"/>
  <c r="AA1177" i="57"/>
  <c r="AG1177" i="57" s="1"/>
  <c r="AA1148" i="57"/>
  <c r="AG1148" i="57" s="1"/>
  <c r="AA1132" i="57"/>
  <c r="AG1132" i="57" s="1"/>
  <c r="AA1054" i="57"/>
  <c r="AG1054" i="57" s="1"/>
  <c r="AA509" i="58"/>
  <c r="AA472" i="57"/>
  <c r="AG472" i="57" s="1"/>
  <c r="AA461" i="58"/>
  <c r="AA442" i="57"/>
  <c r="AG442" i="57" s="1"/>
  <c r="AA381" i="58"/>
  <c r="AA1059" i="57"/>
  <c r="AG1059" i="57" s="1"/>
  <c r="AA451" i="57"/>
  <c r="AG451" i="57" s="1"/>
  <c r="AA380" i="58"/>
  <c r="AA1130" i="57"/>
  <c r="AG1130" i="57" s="1"/>
  <c r="AA480" i="58"/>
  <c r="AA1133" i="57"/>
  <c r="AG1133" i="57" s="1"/>
  <c r="AA520" i="58"/>
  <c r="AA475" i="58"/>
  <c r="AA467" i="58"/>
  <c r="AA459" i="58"/>
  <c r="AA1126" i="57"/>
  <c r="AG1126" i="57" s="1"/>
  <c r="AA519" i="58"/>
  <c r="AA383" i="58"/>
  <c r="AA226" i="58"/>
  <c r="AA222" i="58"/>
  <c r="AA218" i="58"/>
  <c r="AA201" i="58"/>
  <c r="AA197" i="58"/>
  <c r="AA193" i="58"/>
  <c r="AA467" i="57"/>
  <c r="AG467" i="57" s="1"/>
  <c r="AA447" i="57"/>
  <c r="AG447" i="57" s="1"/>
  <c r="AA470" i="57"/>
  <c r="AG470" i="57" s="1"/>
  <c r="AA379" i="58"/>
  <c r="AA975" i="57"/>
  <c r="AA959" i="57"/>
  <c r="AA969" i="57"/>
  <c r="AA953" i="57"/>
  <c r="AA880" i="57"/>
  <c r="AA767" i="57"/>
  <c r="AA722" i="57"/>
  <c r="AA972" i="57"/>
  <c r="AA956" i="57"/>
  <c r="AA883" i="57"/>
  <c r="AA866" i="57"/>
  <c r="AA732" i="57"/>
  <c r="AA709" i="57"/>
  <c r="AA886" i="57"/>
  <c r="AA725" i="57"/>
  <c r="AA695" i="57"/>
  <c r="AA397" i="57"/>
  <c r="AA378" i="57"/>
  <c r="AA285" i="57"/>
  <c r="AA893" i="57"/>
  <c r="AA764" i="57"/>
  <c r="AA699" i="57"/>
  <c r="AA416" i="57"/>
  <c r="AA382" i="57"/>
  <c r="AA288" i="57"/>
  <c r="AA272" i="57"/>
  <c r="AA1179" i="57"/>
  <c r="AG1179" i="57" s="1"/>
  <c r="AA1135" i="57"/>
  <c r="AG1135" i="57" s="1"/>
  <c r="AA1061" i="57"/>
  <c r="AG1061" i="57" s="1"/>
  <c r="AA518" i="58"/>
  <c r="AA477" i="57"/>
  <c r="AG477" i="57" s="1"/>
  <c r="AA469" i="57"/>
  <c r="AG469" i="57" s="1"/>
  <c r="AA449" i="57"/>
  <c r="AG449" i="57" s="1"/>
  <c r="AA390" i="58"/>
  <c r="AA1189" i="57"/>
  <c r="AG1189" i="57" s="1"/>
  <c r="AA1188" i="57"/>
  <c r="AG1188" i="57" s="1"/>
  <c r="AA1144" i="57"/>
  <c r="AG1144" i="57" s="1"/>
  <c r="AA1128" i="57"/>
  <c r="AG1128" i="57" s="1"/>
  <c r="AA1050" i="57"/>
  <c r="AG1050" i="57" s="1"/>
  <c r="AA477" i="58"/>
  <c r="AA469" i="58"/>
  <c r="AA457" i="58"/>
  <c r="AA393" i="58"/>
  <c r="AA1145" i="57"/>
  <c r="AG1145" i="57" s="1"/>
  <c r="AA1051" i="57"/>
  <c r="AG1051" i="57" s="1"/>
  <c r="AA443" i="57"/>
  <c r="AG443" i="57" s="1"/>
  <c r="AA1186" i="57"/>
  <c r="AG1186" i="57" s="1"/>
  <c r="AA1060" i="57"/>
  <c r="AG1060" i="57" s="1"/>
  <c r="AA1182" i="57"/>
  <c r="AG1182" i="57" s="1"/>
  <c r="AA1063" i="57"/>
  <c r="AG1063" i="57" s="1"/>
  <c r="AA512" i="58"/>
  <c r="AA472" i="58"/>
  <c r="AA464" i="58"/>
  <c r="AA1178" i="57"/>
  <c r="AG1178" i="57" s="1"/>
  <c r="AA1064" i="57"/>
  <c r="AG1064" i="57" s="1"/>
  <c r="AA511" i="58"/>
  <c r="AA229" i="58"/>
  <c r="AA225" i="58"/>
  <c r="AA221" i="58"/>
  <c r="AA217" i="58"/>
  <c r="AA200" i="58"/>
  <c r="AA196" i="58"/>
  <c r="AA192" i="58"/>
  <c r="AA466" i="57"/>
  <c r="AG466" i="57" s="1"/>
  <c r="AA387" i="58"/>
  <c r="AA452" i="57"/>
  <c r="AG452" i="57" s="1"/>
  <c r="AA971" i="57"/>
  <c r="AA955" i="57"/>
  <c r="AA965" i="57"/>
  <c r="AA892" i="57"/>
  <c r="AA876" i="57"/>
  <c r="AA763" i="57"/>
  <c r="AA717" i="57"/>
  <c r="AA968" i="57"/>
  <c r="AA428" i="57"/>
  <c r="AA270" i="57"/>
  <c r="AA879" i="57"/>
  <c r="AA878" i="57"/>
  <c r="AA393" i="57"/>
  <c r="AA885" i="57"/>
  <c r="AA396" i="57"/>
  <c r="AA882" i="57"/>
  <c r="AA761" i="57"/>
  <c r="AA703" i="57"/>
  <c r="AA427" i="57"/>
  <c r="AA395" i="57"/>
  <c r="AA375" i="57"/>
  <c r="AA889" i="57"/>
  <c r="AA768" i="57"/>
  <c r="AA708" i="57"/>
  <c r="AA426" i="57"/>
  <c r="AA379" i="57"/>
  <c r="AA282" i="57"/>
  <c r="AA770" i="57"/>
  <c r="AA714" i="57"/>
  <c r="AA372" i="57"/>
  <c r="AA723" i="57"/>
  <c r="AA376" i="57"/>
  <c r="AA974" i="57"/>
  <c r="AA873" i="57"/>
  <c r="AA731" i="57"/>
  <c r="AA698" i="57"/>
  <c r="AA423" i="57"/>
  <c r="AA391" i="57"/>
  <c r="AA369" i="57"/>
  <c r="AA279" i="57"/>
  <c r="AA881" i="57"/>
  <c r="AA760" i="57"/>
  <c r="AA702" i="57"/>
  <c r="AA422" i="57"/>
  <c r="AA394" i="57"/>
  <c r="AA373" i="57"/>
  <c r="AA278" i="57"/>
  <c r="AA283" i="57"/>
  <c r="AA726" i="57"/>
  <c r="AA690" i="57"/>
  <c r="AA281" i="57"/>
  <c r="AA694" i="57"/>
  <c r="AA284" i="57"/>
  <c r="AA958" i="57"/>
  <c r="AA865" i="57"/>
  <c r="AA719" i="57"/>
  <c r="AA693" i="57"/>
  <c r="AA419" i="57"/>
  <c r="AA387" i="57"/>
  <c r="AA291" i="57"/>
  <c r="AA275" i="57"/>
  <c r="AA970" i="57"/>
  <c r="AA872" i="57"/>
  <c r="AA730" i="57"/>
  <c r="AA697" i="57"/>
  <c r="AA418" i="57"/>
  <c r="AA390" i="57"/>
  <c r="AA290" i="57"/>
  <c r="AA274" i="57"/>
  <c r="AA952" i="57"/>
  <c r="AA425" i="57"/>
  <c r="AA890" i="57"/>
  <c r="AA769" i="57"/>
  <c r="AA711" i="57"/>
  <c r="AA415" i="57"/>
  <c r="AA381" i="57"/>
  <c r="AA287" i="57"/>
  <c r="AA271" i="57"/>
  <c r="AA954" i="57"/>
  <c r="AA864" i="57"/>
  <c r="AA718" i="57"/>
  <c r="AA692" i="57"/>
  <c r="AA414" i="57"/>
  <c r="AA385" i="57"/>
  <c r="AA286" i="57"/>
  <c r="AA398" i="57"/>
  <c r="AA521" i="58"/>
  <c r="AA1312" i="57"/>
  <c r="AA1296" i="57"/>
  <c r="AA1280" i="57"/>
  <c r="AA1314" i="57"/>
  <c r="AA1298" i="57"/>
  <c r="AA1282" i="57"/>
  <c r="AA1313" i="57"/>
  <c r="AA1297" i="57"/>
  <c r="AA1281" i="57"/>
  <c r="AA1319" i="57"/>
  <c r="AA1299" i="57"/>
  <c r="AA1279" i="57"/>
  <c r="AA1324" i="57"/>
  <c r="AA1308" i="57"/>
  <c r="AA1292" i="57"/>
  <c r="AA1326" i="57"/>
  <c r="AA1310" i="57"/>
  <c r="AA1294" i="57"/>
  <c r="AA1325" i="57"/>
  <c r="AA1309" i="57"/>
  <c r="AA1293" i="57"/>
  <c r="AA1323" i="57"/>
  <c r="AA1303" i="57"/>
  <c r="AA1283" i="57"/>
  <c r="AA1320" i="57"/>
  <c r="AA1304" i="57"/>
  <c r="AA1288" i="57"/>
  <c r="AA1322" i="57"/>
  <c r="AA1306" i="57"/>
  <c r="AA1290" i="57"/>
  <c r="AA1321" i="57"/>
  <c r="AA1305" i="57"/>
  <c r="AA1289" i="57"/>
  <c r="AA1307" i="57"/>
  <c r="AA1287" i="57"/>
  <c r="AA1311" i="57"/>
  <c r="AA1316" i="57"/>
  <c r="AA1300" i="57"/>
  <c r="AA1284" i="57"/>
  <c r="AA1318" i="57"/>
  <c r="AA1302" i="57"/>
  <c r="AA1286" i="57"/>
  <c r="AA1317" i="57"/>
  <c r="AA1301" i="57"/>
  <c r="AA1285" i="57"/>
  <c r="AA1291" i="57"/>
  <c r="AA1315" i="57"/>
  <c r="AA1295" i="57"/>
  <c r="O245" i="61"/>
  <c r="S73" i="50"/>
  <c r="AG1660" i="57" l="1"/>
  <c r="AG1698" i="57"/>
  <c r="L1693" i="61"/>
  <c r="O1693" i="61" s="1"/>
  <c r="AG1657" i="57"/>
  <c r="AG1664" i="57"/>
  <c r="L1664" i="61"/>
  <c r="O1664" i="61" s="1"/>
  <c r="L1704" i="61"/>
  <c r="O1704" i="61" s="1"/>
  <c r="AG1704" i="57"/>
  <c r="L1659" i="61"/>
  <c r="O1659" i="61" s="1"/>
  <c r="AG1696" i="57"/>
  <c r="AG1701" i="57"/>
  <c r="L1701" i="61"/>
  <c r="O1701" i="61" s="1"/>
  <c r="AG1663" i="57"/>
  <c r="AG1695" i="57"/>
  <c r="AG1658" i="57"/>
  <c r="L1658" i="61"/>
  <c r="O1658" i="61" s="1"/>
  <c r="AG1699" i="57"/>
  <c r="L1699" i="61"/>
  <c r="O1699" i="61" s="1"/>
  <c r="AG1265" i="57"/>
  <c r="L1265" i="61"/>
  <c r="O1265" i="61" s="1"/>
  <c r="AG1254" i="57"/>
  <c r="L1254" i="61"/>
  <c r="O1254" i="61" s="1"/>
  <c r="L1260" i="61"/>
  <c r="O1260" i="61" s="1"/>
  <c r="AG1260" i="57"/>
  <c r="L1252" i="61"/>
  <c r="O1252" i="61" s="1"/>
  <c r="AG1252" i="57"/>
  <c r="L1271" i="61"/>
  <c r="O1271" i="61" s="1"/>
  <c r="L1259" i="61"/>
  <c r="O1259" i="61" s="1"/>
  <c r="AG1259" i="57"/>
  <c r="J7" i="66"/>
  <c r="L7" i="66" s="1"/>
  <c r="L13" i="66" s="1"/>
  <c r="AA5" i="54"/>
  <c r="G5" i="74" s="1"/>
  <c r="X52" i="54"/>
  <c r="AA1441" i="57"/>
  <c r="AG1441" i="57" s="1"/>
  <c r="AA655" i="58"/>
  <c r="AA652" i="58"/>
  <c r="AA1436" i="57"/>
  <c r="AG1436" i="57" s="1"/>
  <c r="AA1439" i="57"/>
  <c r="AG1439" i="57" s="1"/>
  <c r="AA642" i="58"/>
  <c r="AA1470" i="57"/>
  <c r="AG1470" i="57" s="1"/>
  <c r="AA663" i="58"/>
  <c r="AA660" i="58"/>
  <c r="AA1452" i="57"/>
  <c r="AG1452" i="57" s="1"/>
  <c r="AA1447" i="57"/>
  <c r="AG1447" i="57" s="1"/>
  <c r="AA646" i="58"/>
  <c r="AA1458" i="57"/>
  <c r="AG1458" i="57" s="1"/>
  <c r="AA638" i="58"/>
  <c r="AA662" i="58"/>
  <c r="AA640" i="58"/>
  <c r="AA1455" i="57"/>
  <c r="AG1455" i="57" s="1"/>
  <c r="AA1468" i="57"/>
  <c r="AG1468" i="57" s="1"/>
  <c r="AA1467" i="57"/>
  <c r="AG1467" i="57" s="1"/>
  <c r="AA650" i="58"/>
  <c r="AA1457" i="57"/>
  <c r="AG1457" i="57" s="1"/>
  <c r="AA636" i="58"/>
  <c r="AA634" i="58"/>
  <c r="AA656" i="58"/>
  <c r="AA1437" i="57"/>
  <c r="AG1437" i="57" s="1"/>
  <c r="AA633" i="58"/>
  <c r="AA1449" i="57"/>
  <c r="AG1449" i="57" s="1"/>
  <c r="AA654" i="58"/>
  <c r="AA639" i="58"/>
  <c r="AA644" i="58"/>
  <c r="AA648" i="58"/>
  <c r="AA1469" i="57"/>
  <c r="AG1469" i="57" s="1"/>
  <c r="AA637" i="58"/>
  <c r="AA1465" i="57"/>
  <c r="AG1465" i="57" s="1"/>
  <c r="AA658" i="58"/>
  <c r="AA661" i="58"/>
  <c r="AA647" i="58"/>
  <c r="AA1443" i="57"/>
  <c r="AG1443" i="57" s="1"/>
  <c r="AA1438" i="57"/>
  <c r="AG1438" i="57" s="1"/>
  <c r="AA1463" i="57"/>
  <c r="AG1463" i="57" s="1"/>
  <c r="AA1466" i="57"/>
  <c r="AG1466" i="57" s="1"/>
  <c r="AA641" i="58"/>
  <c r="AA1446" i="57"/>
  <c r="AG1446" i="57" s="1"/>
  <c r="AA1454" i="57"/>
  <c r="AG1454" i="57" s="1"/>
  <c r="AA1453" i="57"/>
  <c r="AG1453" i="57" s="1"/>
  <c r="AA1460" i="57"/>
  <c r="AG1460" i="57" s="1"/>
  <c r="AA1459" i="57"/>
  <c r="AG1459" i="57" s="1"/>
  <c r="AA645" i="58"/>
  <c r="AA1462" i="57"/>
  <c r="AG1462" i="57" s="1"/>
  <c r="AA664" i="58"/>
  <c r="AA632" i="58"/>
  <c r="AA1450" i="57"/>
  <c r="AG1450" i="57" s="1"/>
  <c r="AA635" i="58"/>
  <c r="AA1451" i="57"/>
  <c r="AG1451" i="57" s="1"/>
  <c r="AA649" i="58"/>
  <c r="AA1440" i="57"/>
  <c r="AG1440" i="57" s="1"/>
  <c r="AA1442" i="57"/>
  <c r="AG1442" i="57" s="1"/>
  <c r="AA1464" i="57"/>
  <c r="AG1464" i="57" s="1"/>
  <c r="AA665" i="58"/>
  <c r="AA1435" i="57"/>
  <c r="AA1444" i="57"/>
  <c r="AG1444" i="57" s="1"/>
  <c r="AA643" i="58"/>
  <c r="AA1445" i="57"/>
  <c r="AG1445" i="57" s="1"/>
  <c r="AA653" i="58"/>
  <c r="AA1456" i="57"/>
  <c r="AG1456" i="57" s="1"/>
  <c r="AA1448" i="57"/>
  <c r="AG1448" i="57" s="1"/>
  <c r="AA631" i="58"/>
  <c r="AA651" i="58"/>
  <c r="AA1461" i="57"/>
  <c r="AG1461" i="57" s="1"/>
  <c r="AA657" i="58"/>
  <c r="AA630" i="58"/>
  <c r="AA659" i="58"/>
  <c r="X52" i="53"/>
  <c r="AA52" i="53"/>
  <c r="AA1861" i="57"/>
  <c r="AA1860" i="57"/>
  <c r="AA1847" i="57"/>
  <c r="AA1865" i="57"/>
  <c r="AA1851" i="57"/>
  <c r="AA1850" i="57"/>
  <c r="AA1853" i="57"/>
  <c r="AA1864" i="57"/>
  <c r="AA1859" i="57"/>
  <c r="AA1846" i="57"/>
  <c r="AA1857" i="57"/>
  <c r="AA1849" i="57"/>
  <c r="AA1862" i="57"/>
  <c r="AA1845" i="57"/>
  <c r="AA1848" i="57"/>
  <c r="AA1855" i="57"/>
  <c r="AA1854" i="57"/>
  <c r="AA1858" i="57"/>
  <c r="AA1863" i="57"/>
  <c r="AA1852" i="57"/>
  <c r="AA1866" i="57"/>
  <c r="AA1856" i="57"/>
  <c r="I7" i="65"/>
  <c r="I13" i="65" s="1"/>
  <c r="C14" i="65"/>
  <c r="C15" i="65"/>
  <c r="I9" i="65"/>
  <c r="I14" i="65" s="1"/>
  <c r="AB73" i="49"/>
  <c r="K11" i="65"/>
  <c r="K9" i="65"/>
  <c r="K7" i="65"/>
  <c r="K13" i="65" s="1"/>
  <c r="AG1285" i="57"/>
  <c r="L1285" i="61"/>
  <c r="O1285" i="61" s="1"/>
  <c r="AG1302" i="57"/>
  <c r="L1302" i="61"/>
  <c r="O1302" i="61" s="1"/>
  <c r="AG1316" i="57"/>
  <c r="L1316" i="61"/>
  <c r="O1316" i="61" s="1"/>
  <c r="AG1289" i="57"/>
  <c r="L1289" i="61"/>
  <c r="O1289" i="61" s="1"/>
  <c r="AG1306" i="57"/>
  <c r="L1306" i="61"/>
  <c r="O1306" i="61" s="1"/>
  <c r="AG1320" i="57"/>
  <c r="L1320" i="61"/>
  <c r="O1320" i="61" s="1"/>
  <c r="AG1293" i="57"/>
  <c r="L1293" i="61"/>
  <c r="O1293" i="61" s="1"/>
  <c r="AG1310" i="57"/>
  <c r="L1310" i="61"/>
  <c r="O1310" i="61" s="1"/>
  <c r="AG1324" i="57"/>
  <c r="L1324" i="61"/>
  <c r="O1324" i="61" s="1"/>
  <c r="L1281" i="61"/>
  <c r="O1281" i="61" s="1"/>
  <c r="AG1281" i="57"/>
  <c r="L1298" i="61"/>
  <c r="O1298" i="61" s="1"/>
  <c r="AG1298" i="57"/>
  <c r="L1312" i="61"/>
  <c r="O1312" i="61" s="1"/>
  <c r="AG1312" i="57"/>
  <c r="AG286" i="57"/>
  <c r="L286" i="61"/>
  <c r="O286" i="61" s="1"/>
  <c r="AG718" i="57"/>
  <c r="L718" i="61"/>
  <c r="O718" i="61" s="1"/>
  <c r="AG287" i="57"/>
  <c r="L287" i="61"/>
  <c r="O287" i="61" s="1"/>
  <c r="AG769" i="57"/>
  <c r="L769" i="61"/>
  <c r="O769" i="61" s="1"/>
  <c r="AG274" i="57"/>
  <c r="L274" i="61"/>
  <c r="O274" i="61" s="1"/>
  <c r="AG697" i="57"/>
  <c r="L697" i="61"/>
  <c r="O697" i="61" s="1"/>
  <c r="AG275" i="57"/>
  <c r="L275" i="61"/>
  <c r="O275" i="61" s="1"/>
  <c r="AG693" i="57"/>
  <c r="L693" i="61"/>
  <c r="O693" i="61" s="1"/>
  <c r="AG284" i="57"/>
  <c r="L284" i="61"/>
  <c r="O284" i="61" s="1"/>
  <c r="AG726" i="57"/>
  <c r="L726" i="61"/>
  <c r="O726" i="61" s="1"/>
  <c r="L394" i="61"/>
  <c r="O394" i="61" s="1"/>
  <c r="AG394" i="57"/>
  <c r="L881" i="61"/>
  <c r="O881" i="61" s="1"/>
  <c r="AG881" i="57"/>
  <c r="L423" i="61"/>
  <c r="O423" i="61" s="1"/>
  <c r="AG423" i="57"/>
  <c r="L974" i="61"/>
  <c r="O974" i="61" s="1"/>
  <c r="AG974" i="57"/>
  <c r="AG714" i="57"/>
  <c r="L714" i="61"/>
  <c r="O714" i="61" s="1"/>
  <c r="L426" i="61"/>
  <c r="O426" i="61" s="1"/>
  <c r="AG426" i="57"/>
  <c r="AG375" i="57"/>
  <c r="L375" i="61"/>
  <c r="O375" i="61" s="1"/>
  <c r="AG761" i="57"/>
  <c r="L761" i="61"/>
  <c r="O761" i="61" s="1"/>
  <c r="L393" i="61"/>
  <c r="O393" i="61" s="1"/>
  <c r="AG393" i="57"/>
  <c r="L478" i="61"/>
  <c r="O478" i="61" s="1"/>
  <c r="L466" i="61"/>
  <c r="O466" i="61" s="1"/>
  <c r="L475" i="61"/>
  <c r="O475" i="61" s="1"/>
  <c r="L447" i="61"/>
  <c r="O447" i="61" s="1"/>
  <c r="L469" i="61"/>
  <c r="O469" i="61" s="1"/>
  <c r="L452" i="61"/>
  <c r="O452" i="61" s="1"/>
  <c r="L441" i="61"/>
  <c r="O441" i="61" s="1"/>
  <c r="L477" i="61"/>
  <c r="O477" i="61" s="1"/>
  <c r="L450" i="61"/>
  <c r="O450" i="61" s="1"/>
  <c r="L471" i="61"/>
  <c r="O471" i="61" s="1"/>
  <c r="L443" i="61"/>
  <c r="O443" i="61" s="1"/>
  <c r="L445" i="61"/>
  <c r="O445" i="61" s="1"/>
  <c r="L444" i="61"/>
  <c r="O444" i="61" s="1"/>
  <c r="L428" i="61"/>
  <c r="O428" i="61" s="1"/>
  <c r="L474" i="61"/>
  <c r="O474" i="61" s="1"/>
  <c r="L446" i="61"/>
  <c r="O446" i="61" s="1"/>
  <c r="L467" i="61"/>
  <c r="O467" i="61" s="1"/>
  <c r="L472" i="61"/>
  <c r="O472" i="61" s="1"/>
  <c r="L476" i="61"/>
  <c r="O476" i="61" s="1"/>
  <c r="L449" i="61"/>
  <c r="O449" i="61" s="1"/>
  <c r="AG428" i="57"/>
  <c r="L470" i="61"/>
  <c r="O470" i="61" s="1"/>
  <c r="L442" i="61"/>
  <c r="O442" i="61" s="1"/>
  <c r="L451" i="61"/>
  <c r="O451" i="61" s="1"/>
  <c r="L448" i="61"/>
  <c r="O448" i="61" s="1"/>
  <c r="L468" i="61"/>
  <c r="O468" i="61" s="1"/>
  <c r="L473" i="61"/>
  <c r="O473" i="61" s="1"/>
  <c r="AG876" i="57"/>
  <c r="L876" i="61"/>
  <c r="O876" i="61" s="1"/>
  <c r="AG971" i="57"/>
  <c r="L971" i="61"/>
  <c r="O971" i="61" s="1"/>
  <c r="L416" i="61"/>
  <c r="O416" i="61" s="1"/>
  <c r="AG416" i="57"/>
  <c r="AG285" i="57"/>
  <c r="L285" i="61"/>
  <c r="O285" i="61" s="1"/>
  <c r="AG725" i="57"/>
  <c r="L725" i="61"/>
  <c r="O725" i="61" s="1"/>
  <c r="AG866" i="57"/>
  <c r="L866" i="61"/>
  <c r="O866" i="61" s="1"/>
  <c r="L722" i="61"/>
  <c r="O722" i="61" s="1"/>
  <c r="AG722" i="57"/>
  <c r="L969" i="61"/>
  <c r="O969" i="61" s="1"/>
  <c r="AG969" i="57"/>
  <c r="AG276" i="57"/>
  <c r="L276" i="61"/>
  <c r="O276" i="61" s="1"/>
  <c r="AG705" i="57"/>
  <c r="L705" i="61"/>
  <c r="O705" i="61" s="1"/>
  <c r="AG289" i="57"/>
  <c r="L289" i="61"/>
  <c r="O289" i="61" s="1"/>
  <c r="AG765" i="57"/>
  <c r="L765" i="61"/>
  <c r="O765" i="61" s="1"/>
  <c r="AG870" i="57"/>
  <c r="L870" i="61"/>
  <c r="O870" i="61" s="1"/>
  <c r="L727" i="61"/>
  <c r="O727" i="61" s="1"/>
  <c r="AG727" i="57"/>
  <c r="L973" i="61"/>
  <c r="O973" i="61" s="1"/>
  <c r="AG973" i="57"/>
  <c r="AG280" i="57"/>
  <c r="L280" i="61"/>
  <c r="O280" i="61" s="1"/>
  <c r="AG689" i="57"/>
  <c r="L689" i="61"/>
  <c r="O689" i="61" s="1"/>
  <c r="AG277" i="57"/>
  <c r="L277" i="61"/>
  <c r="O277" i="61" s="1"/>
  <c r="AG706" i="57"/>
  <c r="L706" i="61"/>
  <c r="O706" i="61" s="1"/>
  <c r="AG874" i="57"/>
  <c r="L874" i="61"/>
  <c r="O874" i="61" s="1"/>
  <c r="AG871" i="57"/>
  <c r="L871" i="61"/>
  <c r="O871" i="61" s="1"/>
  <c r="AG967" i="57"/>
  <c r="L967" i="61"/>
  <c r="O967" i="61" s="1"/>
  <c r="AG1737" i="57"/>
  <c r="L1737" i="61"/>
  <c r="O1737" i="61" s="1"/>
  <c r="AG1801" i="57"/>
  <c r="L1801" i="61"/>
  <c r="O1801" i="61" s="1"/>
  <c r="AG1742" i="57"/>
  <c r="L1742" i="61"/>
  <c r="O1742" i="61" s="1"/>
  <c r="AG1806" i="57"/>
  <c r="L1806" i="61"/>
  <c r="O1806" i="61" s="1"/>
  <c r="AG1739" i="57"/>
  <c r="L1739" i="61"/>
  <c r="O1739" i="61" s="1"/>
  <c r="AG1803" i="57"/>
  <c r="L1803" i="61"/>
  <c r="O1803" i="61" s="1"/>
  <c r="AG1752" i="57"/>
  <c r="L1752" i="61"/>
  <c r="O1752" i="61" s="1"/>
  <c r="AG1816" i="57"/>
  <c r="L1816" i="61"/>
  <c r="O1816" i="61" s="1"/>
  <c r="L1709" i="61"/>
  <c r="O1709" i="61" s="1"/>
  <c r="AG1709" i="57"/>
  <c r="L1773" i="61"/>
  <c r="O1773" i="61" s="1"/>
  <c r="AG1773" i="57"/>
  <c r="L1714" i="61"/>
  <c r="O1714" i="61" s="1"/>
  <c r="AG1714" i="57"/>
  <c r="L1778" i="61"/>
  <c r="O1778" i="61" s="1"/>
  <c r="AG1778" i="57"/>
  <c r="L1711" i="61"/>
  <c r="O1711" i="61" s="1"/>
  <c r="AG1711" i="57"/>
  <c r="L1775" i="61"/>
  <c r="O1775" i="61" s="1"/>
  <c r="AG1775" i="57"/>
  <c r="L1708" i="61"/>
  <c r="O1708" i="61" s="1"/>
  <c r="AG1708" i="57"/>
  <c r="L1772" i="61"/>
  <c r="O1772" i="61" s="1"/>
  <c r="AG1772" i="57"/>
  <c r="AG1713" i="57"/>
  <c r="L1713" i="61"/>
  <c r="O1713" i="61" s="1"/>
  <c r="AG1777" i="57"/>
  <c r="L1777" i="61"/>
  <c r="O1777" i="61" s="1"/>
  <c r="AG1718" i="57"/>
  <c r="L1718" i="61"/>
  <c r="O1718" i="61" s="1"/>
  <c r="AG1782" i="57"/>
  <c r="L1782" i="61"/>
  <c r="O1782" i="61" s="1"/>
  <c r="AG1731" i="57"/>
  <c r="L1731" i="61"/>
  <c r="O1731" i="61" s="1"/>
  <c r="AG1795" i="57"/>
  <c r="L1795" i="61"/>
  <c r="O1795" i="61" s="1"/>
  <c r="AG1728" i="57"/>
  <c r="L1728" i="61"/>
  <c r="O1728" i="61" s="1"/>
  <c r="AG1792" i="57"/>
  <c r="L1792" i="61"/>
  <c r="O1792" i="61" s="1"/>
  <c r="AG1733" i="57"/>
  <c r="L1733" i="61"/>
  <c r="O1733" i="61" s="1"/>
  <c r="AG1797" i="57"/>
  <c r="L1797" i="61"/>
  <c r="O1797" i="61" s="1"/>
  <c r="AG1722" i="57"/>
  <c r="L1722" i="61"/>
  <c r="O1722" i="61" s="1"/>
  <c r="AG1786" i="57"/>
  <c r="L1786" i="61"/>
  <c r="O1786" i="61" s="1"/>
  <c r="AG1735" i="57"/>
  <c r="L1735" i="61"/>
  <c r="O1735" i="61" s="1"/>
  <c r="AG1799" i="57"/>
  <c r="L1799" i="61"/>
  <c r="O1799" i="61" s="1"/>
  <c r="AG1748" i="57"/>
  <c r="L1748" i="61"/>
  <c r="O1748" i="61" s="1"/>
  <c r="AG1812" i="57"/>
  <c r="L1812" i="61"/>
  <c r="O1812" i="61" s="1"/>
  <c r="AG1194" i="57"/>
  <c r="L1194" i="61"/>
  <c r="O1194" i="61" s="1"/>
  <c r="L1199" i="61"/>
  <c r="O1199" i="61" s="1"/>
  <c r="AG1199" i="57"/>
  <c r="L1198" i="61"/>
  <c r="O1198" i="61" s="1"/>
  <c r="AG1198" i="57"/>
  <c r="AG1215" i="57"/>
  <c r="L1215" i="61"/>
  <c r="O1215" i="61" s="1"/>
  <c r="AG1202" i="57"/>
  <c r="L1202" i="61"/>
  <c r="O1202" i="61" s="1"/>
  <c r="AG1211" i="57"/>
  <c r="L1211" i="61"/>
  <c r="O1211" i="61" s="1"/>
  <c r="AG1192" i="57"/>
  <c r="L1192" i="61"/>
  <c r="O1192" i="61" s="1"/>
  <c r="L130" i="61"/>
  <c r="O130" i="61" s="1"/>
  <c r="AG130" i="57"/>
  <c r="AG58" i="57"/>
  <c r="L58" i="61"/>
  <c r="O58" i="61" s="1"/>
  <c r="AG132" i="57"/>
  <c r="L132" i="61"/>
  <c r="O132" i="61" s="1"/>
  <c r="AG73" i="57"/>
  <c r="L73" i="61"/>
  <c r="O73" i="61" s="1"/>
  <c r="L70" i="61"/>
  <c r="O70" i="61" s="1"/>
  <c r="AG70" i="57"/>
  <c r="AG1494" i="57"/>
  <c r="L1494" i="61"/>
  <c r="O1494" i="61" s="1"/>
  <c r="AG1491" i="57"/>
  <c r="L1491" i="61"/>
  <c r="O1491" i="61" s="1"/>
  <c r="AG1488" i="57"/>
  <c r="L1488" i="61"/>
  <c r="O1488" i="61" s="1"/>
  <c r="AG1495" i="57"/>
  <c r="L1495" i="61"/>
  <c r="O1495" i="61" s="1"/>
  <c r="AG1492" i="57"/>
  <c r="L1492" i="61"/>
  <c r="O1492" i="61" s="1"/>
  <c r="AG1493" i="57"/>
  <c r="L1493" i="61"/>
  <c r="O1493" i="61" s="1"/>
  <c r="L1654" i="61"/>
  <c r="O1654" i="61" s="1"/>
  <c r="AG1654" i="57"/>
  <c r="L1653" i="61"/>
  <c r="O1653" i="61" s="1"/>
  <c r="AG1653" i="57"/>
  <c r="L1691" i="61"/>
  <c r="O1691" i="61" s="1"/>
  <c r="AG1691" i="57"/>
  <c r="AG1646" i="57"/>
  <c r="L1646" i="61"/>
  <c r="O1646" i="61" s="1"/>
  <c r="AG1688" i="57"/>
  <c r="L1688" i="61"/>
  <c r="O1688" i="61" s="1"/>
  <c r="L1690" i="61"/>
  <c r="O1690" i="61" s="1"/>
  <c r="AG1690" i="57"/>
  <c r="AG1515" i="57"/>
  <c r="L1515" i="61"/>
  <c r="O1515" i="61" s="1"/>
  <c r="AG1482" i="57"/>
  <c r="L1482" i="61"/>
  <c r="O1482" i="61" s="1"/>
  <c r="L1514" i="61"/>
  <c r="O1514" i="61" s="1"/>
  <c r="AG1514" i="57"/>
  <c r="AG1520" i="57"/>
  <c r="L1520" i="61"/>
  <c r="O1520" i="61" s="1"/>
  <c r="L1221" i="61"/>
  <c r="O1221" i="61" s="1"/>
  <c r="AG1221" i="57"/>
  <c r="L1228" i="61"/>
  <c r="O1228" i="61" s="1"/>
  <c r="AG1228" i="57"/>
  <c r="L1225" i="61"/>
  <c r="O1225" i="61" s="1"/>
  <c r="AG1225" i="57"/>
  <c r="L1232" i="61"/>
  <c r="O1232" i="61" s="1"/>
  <c r="AG1232" i="57"/>
  <c r="L1229" i="61"/>
  <c r="O1229" i="61" s="1"/>
  <c r="AG1229" i="57"/>
  <c r="L1236" i="61"/>
  <c r="O1236" i="61" s="1"/>
  <c r="AG1236" i="57"/>
  <c r="AG1222" i="57"/>
  <c r="L1222" i="61"/>
  <c r="O1222" i="61" s="1"/>
  <c r="AG1630" i="57"/>
  <c r="L1630" i="61"/>
  <c r="O1630" i="61" s="1"/>
  <c r="AG1640" i="57"/>
  <c r="L1640" i="61"/>
  <c r="O1640" i="61" s="1"/>
  <c r="AG1639" i="57"/>
  <c r="L1639" i="61"/>
  <c r="O1639" i="61" s="1"/>
  <c r="AG1673" i="57"/>
  <c r="L1673" i="61"/>
  <c r="O1673" i="61" s="1"/>
  <c r="AG1632" i="57"/>
  <c r="L1632" i="61"/>
  <c r="O1632" i="61" s="1"/>
  <c r="AG1670" i="57"/>
  <c r="L1670" i="61"/>
  <c r="O1670" i="61" s="1"/>
  <c r="AG1680" i="57"/>
  <c r="L1680" i="61"/>
  <c r="O1680" i="61" s="1"/>
  <c r="AG1295" i="57"/>
  <c r="L1295" i="61"/>
  <c r="O1295" i="61" s="1"/>
  <c r="AG1301" i="57"/>
  <c r="L1301" i="61"/>
  <c r="O1301" i="61" s="1"/>
  <c r="AG1318" i="57"/>
  <c r="L1318" i="61"/>
  <c r="O1318" i="61" s="1"/>
  <c r="L1311" i="61"/>
  <c r="O1311" i="61" s="1"/>
  <c r="AG1311" i="57"/>
  <c r="L1305" i="61"/>
  <c r="O1305" i="61" s="1"/>
  <c r="AG1305" i="57"/>
  <c r="L1322" i="61"/>
  <c r="O1322" i="61" s="1"/>
  <c r="AG1322" i="57"/>
  <c r="L1283" i="61"/>
  <c r="O1283" i="61" s="1"/>
  <c r="AG1283" i="57"/>
  <c r="L1309" i="61"/>
  <c r="O1309" i="61" s="1"/>
  <c r="AG1309" i="57"/>
  <c r="L1326" i="61"/>
  <c r="O1326" i="61" s="1"/>
  <c r="AG1326" i="57"/>
  <c r="L1615" i="61"/>
  <c r="O1615" i="61" s="1"/>
  <c r="L1599" i="61"/>
  <c r="O1599" i="61" s="1"/>
  <c r="L1626" i="61"/>
  <c r="O1626" i="61" s="1"/>
  <c r="L1610" i="61"/>
  <c r="O1610" i="61" s="1"/>
  <c r="L1594" i="61"/>
  <c r="O1594" i="61" s="1"/>
  <c r="L1596" i="61"/>
  <c r="O1596" i="61" s="1"/>
  <c r="L1581" i="61"/>
  <c r="O1581" i="61" s="1"/>
  <c r="L1565" i="61"/>
  <c r="O1565" i="61" s="1"/>
  <c r="L1543" i="61"/>
  <c r="O1543" i="61" s="1"/>
  <c r="L1527" i="61"/>
  <c r="O1527" i="61" s="1"/>
  <c r="L1604" i="61"/>
  <c r="O1604" i="61" s="1"/>
  <c r="L1586" i="61"/>
  <c r="O1586" i="61" s="1"/>
  <c r="L1570" i="61"/>
  <c r="O1570" i="61" s="1"/>
  <c r="L1557" i="61"/>
  <c r="O1557" i="61" s="1"/>
  <c r="L1541" i="61"/>
  <c r="O1541" i="61" s="1"/>
  <c r="L1525" i="61"/>
  <c r="O1525" i="61" s="1"/>
  <c r="L1583" i="61"/>
  <c r="O1583" i="61" s="1"/>
  <c r="L1567" i="61"/>
  <c r="O1567" i="61" s="1"/>
  <c r="L1546" i="61"/>
  <c r="O1546" i="61" s="1"/>
  <c r="L1529" i="61"/>
  <c r="O1529" i="61" s="1"/>
  <c r="L1536" i="61"/>
  <c r="O1536" i="61" s="1"/>
  <c r="L1553" i="61"/>
  <c r="O1553" i="61" s="1"/>
  <c r="L1531" i="61"/>
  <c r="O1531" i="61" s="1"/>
  <c r="L1580" i="61"/>
  <c r="O1580" i="61" s="1"/>
  <c r="L1544" i="61"/>
  <c r="O1544" i="61" s="1"/>
  <c r="L1576" i="61"/>
  <c r="O1576" i="61" s="1"/>
  <c r="AG1279" i="57"/>
  <c r="L1614" i="61"/>
  <c r="O1614" i="61" s="1"/>
  <c r="L1598" i="61"/>
  <c r="O1598" i="61" s="1"/>
  <c r="L1619" i="61"/>
  <c r="O1619" i="61" s="1"/>
  <c r="L1603" i="61"/>
  <c r="O1603" i="61" s="1"/>
  <c r="L1624" i="61"/>
  <c r="O1624" i="61" s="1"/>
  <c r="L1592" i="61"/>
  <c r="O1592" i="61" s="1"/>
  <c r="L1577" i="61"/>
  <c r="O1577" i="61" s="1"/>
  <c r="L1561" i="61"/>
  <c r="O1561" i="61" s="1"/>
  <c r="L1542" i="61"/>
  <c r="O1542" i="61" s="1"/>
  <c r="L1526" i="61"/>
  <c r="O1526" i="61" s="1"/>
  <c r="L1600" i="61"/>
  <c r="O1600" i="61" s="1"/>
  <c r="L1582" i="61"/>
  <c r="O1582" i="61" s="1"/>
  <c r="L1566" i="61"/>
  <c r="O1566" i="61" s="1"/>
  <c r="L1556" i="61"/>
  <c r="O1556" i="61" s="1"/>
  <c r="L1540" i="61"/>
  <c r="O1540" i="61" s="1"/>
  <c r="L1524" i="61"/>
  <c r="O1524" i="61" s="1"/>
  <c r="L1579" i="61"/>
  <c r="O1579" i="61" s="1"/>
  <c r="L1563" i="61"/>
  <c r="O1563" i="61" s="1"/>
  <c r="L1545" i="61"/>
  <c r="O1545" i="61" s="1"/>
  <c r="L1523" i="61"/>
  <c r="O1523" i="61" s="1"/>
  <c r="L1605" i="61"/>
  <c r="O1605" i="61" s="1"/>
  <c r="L1547" i="61"/>
  <c r="O1547" i="61" s="1"/>
  <c r="L1620" i="61"/>
  <c r="O1620" i="61" s="1"/>
  <c r="L1572" i="61"/>
  <c r="O1572" i="61" s="1"/>
  <c r="L1528" i="61"/>
  <c r="O1528" i="61" s="1"/>
  <c r="L1560" i="61"/>
  <c r="O1560" i="61" s="1"/>
  <c r="L1623" i="61"/>
  <c r="O1623" i="61" s="1"/>
  <c r="L1607" i="61"/>
  <c r="O1607" i="61" s="1"/>
  <c r="L1591" i="61"/>
  <c r="O1591" i="61" s="1"/>
  <c r="L1618" i="61"/>
  <c r="O1618" i="61" s="1"/>
  <c r="L1602" i="61"/>
  <c r="O1602" i="61" s="1"/>
  <c r="L1621" i="61"/>
  <c r="O1621" i="61" s="1"/>
  <c r="L1589" i="61"/>
  <c r="O1589" i="61" s="1"/>
  <c r="L1573" i="61"/>
  <c r="O1573" i="61" s="1"/>
  <c r="L1551" i="61"/>
  <c r="O1551" i="61" s="1"/>
  <c r="L1535" i="61"/>
  <c r="O1535" i="61" s="1"/>
  <c r="L1279" i="61"/>
  <c r="O1279" i="61" s="1"/>
  <c r="L1597" i="61"/>
  <c r="O1597" i="61" s="1"/>
  <c r="L1578" i="61"/>
  <c r="O1578" i="61" s="1"/>
  <c r="L1562" i="61"/>
  <c r="O1562" i="61" s="1"/>
  <c r="L1549" i="61"/>
  <c r="O1549" i="61" s="1"/>
  <c r="L1533" i="61"/>
  <c r="O1533" i="61" s="1"/>
  <c r="L1608" i="61"/>
  <c r="O1608" i="61" s="1"/>
  <c r="L1575" i="61"/>
  <c r="O1575" i="61" s="1"/>
  <c r="L1559" i="61"/>
  <c r="O1559" i="61" s="1"/>
  <c r="L1539" i="61"/>
  <c r="O1539" i="61" s="1"/>
  <c r="L1613" i="61"/>
  <c r="O1613" i="61" s="1"/>
  <c r="L1601" i="61"/>
  <c r="O1601" i="61" s="1"/>
  <c r="L1538" i="61"/>
  <c r="O1538" i="61" s="1"/>
  <c r="L1616" i="61"/>
  <c r="O1616" i="61" s="1"/>
  <c r="L1564" i="61"/>
  <c r="O1564" i="61" s="1"/>
  <c r="L1584" i="61"/>
  <c r="O1584" i="61" s="1"/>
  <c r="L1612" i="61"/>
  <c r="O1612" i="61" s="1"/>
  <c r="L1622" i="61"/>
  <c r="O1622" i="61" s="1"/>
  <c r="L1606" i="61"/>
  <c r="O1606" i="61" s="1"/>
  <c r="L1590" i="61"/>
  <c r="O1590" i="61" s="1"/>
  <c r="L1611" i="61"/>
  <c r="O1611" i="61" s="1"/>
  <c r="L1595" i="61"/>
  <c r="O1595" i="61" s="1"/>
  <c r="L1617" i="61"/>
  <c r="O1617" i="61" s="1"/>
  <c r="L1585" i="61"/>
  <c r="O1585" i="61" s="1"/>
  <c r="L1569" i="61"/>
  <c r="O1569" i="61" s="1"/>
  <c r="L1550" i="61"/>
  <c r="O1550" i="61" s="1"/>
  <c r="L1534" i="61"/>
  <c r="O1534" i="61" s="1"/>
  <c r="L1625" i="61"/>
  <c r="O1625" i="61" s="1"/>
  <c r="L1593" i="61"/>
  <c r="O1593" i="61" s="1"/>
  <c r="L1574" i="61"/>
  <c r="O1574" i="61" s="1"/>
  <c r="L1558" i="61"/>
  <c r="O1558" i="61" s="1"/>
  <c r="L1548" i="61"/>
  <c r="O1548" i="61" s="1"/>
  <c r="L1532" i="61"/>
  <c r="O1532" i="61" s="1"/>
  <c r="L1587" i="61"/>
  <c r="O1587" i="61" s="1"/>
  <c r="L1571" i="61"/>
  <c r="O1571" i="61" s="1"/>
  <c r="L1555" i="61"/>
  <c r="O1555" i="61" s="1"/>
  <c r="L1530" i="61"/>
  <c r="O1530" i="61" s="1"/>
  <c r="L1552" i="61"/>
  <c r="O1552" i="61" s="1"/>
  <c r="L1554" i="61"/>
  <c r="O1554" i="61" s="1"/>
  <c r="L1537" i="61"/>
  <c r="O1537" i="61" s="1"/>
  <c r="L1588" i="61"/>
  <c r="O1588" i="61" s="1"/>
  <c r="L1609" i="61"/>
  <c r="O1609" i="61" s="1"/>
  <c r="L1568" i="61"/>
  <c r="O1568" i="61" s="1"/>
  <c r="AG1297" i="57"/>
  <c r="L1297" i="61"/>
  <c r="O1297" i="61" s="1"/>
  <c r="AG1314" i="57"/>
  <c r="L1314" i="61"/>
  <c r="O1314" i="61" s="1"/>
  <c r="L385" i="61"/>
  <c r="O385" i="61" s="1"/>
  <c r="AG385" i="57"/>
  <c r="L864" i="61"/>
  <c r="O864" i="61" s="1"/>
  <c r="AG864" i="57"/>
  <c r="L381" i="61"/>
  <c r="O381" i="61" s="1"/>
  <c r="AG381" i="57"/>
  <c r="L890" i="61"/>
  <c r="O890" i="61" s="1"/>
  <c r="AG890" i="57"/>
  <c r="AG290" i="57"/>
  <c r="L290" i="61"/>
  <c r="O290" i="61" s="1"/>
  <c r="AG730" i="57"/>
  <c r="L730" i="61"/>
  <c r="O730" i="61" s="1"/>
  <c r="AG291" i="57"/>
  <c r="L291" i="61"/>
  <c r="O291" i="61" s="1"/>
  <c r="AG719" i="57"/>
  <c r="L719" i="61"/>
  <c r="O719" i="61" s="1"/>
  <c r="AG694" i="57"/>
  <c r="L694" i="61"/>
  <c r="O694" i="61" s="1"/>
  <c r="L283" i="61"/>
  <c r="O283" i="61" s="1"/>
  <c r="AG283" i="57"/>
  <c r="AG422" i="57"/>
  <c r="L422" i="61"/>
  <c r="O422" i="61" s="1"/>
  <c r="AG279" i="57"/>
  <c r="L279" i="61"/>
  <c r="O279" i="61" s="1"/>
  <c r="AG698" i="57"/>
  <c r="L698" i="61"/>
  <c r="O698" i="61" s="1"/>
  <c r="L376" i="61"/>
  <c r="O376" i="61" s="1"/>
  <c r="AG376" i="57"/>
  <c r="L770" i="61"/>
  <c r="O770" i="61" s="1"/>
  <c r="AG770" i="57"/>
  <c r="AG708" i="57"/>
  <c r="L708" i="61"/>
  <c r="O708" i="61" s="1"/>
  <c r="L395" i="61"/>
  <c r="O395" i="61" s="1"/>
  <c r="AG395" i="57"/>
  <c r="L882" i="61"/>
  <c r="O882" i="61" s="1"/>
  <c r="AG882" i="57"/>
  <c r="L878" i="61"/>
  <c r="O878" i="61" s="1"/>
  <c r="AG878" i="57"/>
  <c r="AG968" i="57"/>
  <c r="L968" i="61"/>
  <c r="O968" i="61" s="1"/>
  <c r="AG892" i="57"/>
  <c r="L892" i="61"/>
  <c r="O892" i="61" s="1"/>
  <c r="AG272" i="57"/>
  <c r="L272" i="61"/>
  <c r="O272" i="61" s="1"/>
  <c r="AG699" i="57"/>
  <c r="L699" i="61"/>
  <c r="O699" i="61" s="1"/>
  <c r="AG378" i="57"/>
  <c r="L378" i="61"/>
  <c r="O378" i="61" s="1"/>
  <c r="AG886" i="57"/>
  <c r="L886" i="61"/>
  <c r="O886" i="61" s="1"/>
  <c r="AG883" i="57"/>
  <c r="L883" i="61"/>
  <c r="O883" i="61" s="1"/>
  <c r="AG767" i="57"/>
  <c r="L767" i="61"/>
  <c r="O767" i="61" s="1"/>
  <c r="AG959" i="57"/>
  <c r="L959" i="61"/>
  <c r="O959" i="61" s="1"/>
  <c r="L292" i="61"/>
  <c r="O292" i="61" s="1"/>
  <c r="AG292" i="57"/>
  <c r="AG868" i="57"/>
  <c r="L868" i="61"/>
  <c r="O868" i="61" s="1"/>
  <c r="AG384" i="57"/>
  <c r="L384" i="61"/>
  <c r="O384" i="61" s="1"/>
  <c r="AG966" i="57"/>
  <c r="L966" i="61"/>
  <c r="O966" i="61" s="1"/>
  <c r="AG887" i="57"/>
  <c r="L887" i="61"/>
  <c r="O887" i="61" s="1"/>
  <c r="AG867" i="57"/>
  <c r="L867" i="61"/>
  <c r="O867" i="61" s="1"/>
  <c r="AG963" i="57"/>
  <c r="L963" i="61"/>
  <c r="O963" i="61" s="1"/>
  <c r="AG370" i="57"/>
  <c r="L370" i="61"/>
  <c r="O370" i="61" s="1"/>
  <c r="L712" i="61"/>
  <c r="O712" i="61" s="1"/>
  <c r="AG712" i="57"/>
  <c r="L293" i="61"/>
  <c r="O293" i="61" s="1"/>
  <c r="AG293" i="57"/>
  <c r="L869" i="61"/>
  <c r="O869" i="61" s="1"/>
  <c r="AG869" i="57"/>
  <c r="L891" i="61"/>
  <c r="O891" i="61" s="1"/>
  <c r="AG891" i="57"/>
  <c r="AG888" i="57"/>
  <c r="L888" i="61"/>
  <c r="O888" i="61" s="1"/>
  <c r="AG1753" i="57"/>
  <c r="L1753" i="61"/>
  <c r="O1753" i="61" s="1"/>
  <c r="AG1817" i="57"/>
  <c r="L1817" i="61"/>
  <c r="O1817" i="61" s="1"/>
  <c r="AG1758" i="57"/>
  <c r="L1758" i="61"/>
  <c r="O1758" i="61" s="1"/>
  <c r="AG1822" i="57"/>
  <c r="L1822" i="61"/>
  <c r="O1822" i="61" s="1"/>
  <c r="AG1755" i="57"/>
  <c r="L1755" i="61"/>
  <c r="O1755" i="61" s="1"/>
  <c r="AG1819" i="57"/>
  <c r="L1819" i="61"/>
  <c r="O1819" i="61" s="1"/>
  <c r="AG1768" i="57"/>
  <c r="L1768" i="61"/>
  <c r="O1768" i="61" s="1"/>
  <c r="AG1725" i="57"/>
  <c r="L1725" i="61"/>
  <c r="O1725" i="61" s="1"/>
  <c r="AG1789" i="57"/>
  <c r="L1789" i="61"/>
  <c r="O1789" i="61" s="1"/>
  <c r="AG1730" i="57"/>
  <c r="L1730" i="61"/>
  <c r="O1730" i="61" s="1"/>
  <c r="AG1794" i="57"/>
  <c r="L1794" i="61"/>
  <c r="O1794" i="61" s="1"/>
  <c r="AG1727" i="57"/>
  <c r="L1727" i="61"/>
  <c r="O1727" i="61" s="1"/>
  <c r="AG1791" i="57"/>
  <c r="L1791" i="61"/>
  <c r="O1791" i="61" s="1"/>
  <c r="AG1724" i="57"/>
  <c r="L1724" i="61"/>
  <c r="O1724" i="61" s="1"/>
  <c r="AG1788" i="57"/>
  <c r="L1788" i="61"/>
  <c r="O1788" i="61" s="1"/>
  <c r="L1729" i="61"/>
  <c r="O1729" i="61" s="1"/>
  <c r="AG1729" i="57"/>
  <c r="L1793" i="61"/>
  <c r="O1793" i="61" s="1"/>
  <c r="AG1793" i="57"/>
  <c r="L1734" i="61"/>
  <c r="O1734" i="61" s="1"/>
  <c r="AG1734" i="57"/>
  <c r="L1798" i="61"/>
  <c r="O1798" i="61" s="1"/>
  <c r="AG1798" i="57"/>
  <c r="L1747" i="61"/>
  <c r="O1747" i="61" s="1"/>
  <c r="AG1747" i="57"/>
  <c r="L1811" i="61"/>
  <c r="O1811" i="61" s="1"/>
  <c r="AG1811" i="57"/>
  <c r="L1744" i="61"/>
  <c r="O1744" i="61" s="1"/>
  <c r="AG1744" i="57"/>
  <c r="L1808" i="61"/>
  <c r="O1808" i="61" s="1"/>
  <c r="AG1808" i="57"/>
  <c r="AG1749" i="57"/>
  <c r="L1749" i="61"/>
  <c r="O1749" i="61" s="1"/>
  <c r="AG1813" i="57"/>
  <c r="L1813" i="61"/>
  <c r="O1813" i="61" s="1"/>
  <c r="L1738" i="61"/>
  <c r="O1738" i="61" s="1"/>
  <c r="AG1738" i="57"/>
  <c r="L1802" i="61"/>
  <c r="O1802" i="61" s="1"/>
  <c r="AG1802" i="57"/>
  <c r="L1751" i="61"/>
  <c r="O1751" i="61" s="1"/>
  <c r="AG1751" i="57"/>
  <c r="L1815" i="61"/>
  <c r="O1815" i="61" s="1"/>
  <c r="AG1815" i="57"/>
  <c r="L1764" i="61"/>
  <c r="O1764" i="61" s="1"/>
  <c r="AG1764" i="57"/>
  <c r="L1828" i="61"/>
  <c r="O1828" i="61" s="1"/>
  <c r="AG1828" i="57"/>
  <c r="AG1191" i="57"/>
  <c r="L1191" i="61"/>
  <c r="O1191" i="61" s="1"/>
  <c r="AG1210" i="57"/>
  <c r="L1210" i="61"/>
  <c r="O1210" i="61" s="1"/>
  <c r="AG1207" i="57"/>
  <c r="L1207" i="61"/>
  <c r="O1207" i="61" s="1"/>
  <c r="AG1214" i="57"/>
  <c r="L1214" i="61"/>
  <c r="O1214" i="61" s="1"/>
  <c r="L1195" i="61"/>
  <c r="O1195" i="61" s="1"/>
  <c r="AG1195" i="57"/>
  <c r="L1218" i="61"/>
  <c r="O1218" i="61" s="1"/>
  <c r="AG1218" i="57"/>
  <c r="AG1205" i="57"/>
  <c r="L1205" i="61"/>
  <c r="O1205" i="61" s="1"/>
  <c r="AG1208" i="57"/>
  <c r="L1208" i="61"/>
  <c r="O1208" i="61" s="1"/>
  <c r="AG127" i="57"/>
  <c r="L127" i="61"/>
  <c r="O127" i="61" s="1"/>
  <c r="AG125" i="57"/>
  <c r="L125" i="61"/>
  <c r="O125" i="61" s="1"/>
  <c r="L131" i="61"/>
  <c r="O131" i="61" s="1"/>
  <c r="AG131" i="57"/>
  <c r="L54" i="61"/>
  <c r="O54" i="61" s="1"/>
  <c r="AG54" i="57"/>
  <c r="L66" i="61"/>
  <c r="O66" i="61" s="1"/>
  <c r="AG66" i="57"/>
  <c r="AG62" i="57"/>
  <c r="L62" i="61"/>
  <c r="O62" i="61" s="1"/>
  <c r="AG1475" i="57"/>
  <c r="L1475" i="61"/>
  <c r="O1475" i="61" s="1"/>
  <c r="AG1484" i="57"/>
  <c r="L1484" i="61"/>
  <c r="O1484" i="61" s="1"/>
  <c r="L1485" i="61"/>
  <c r="O1485" i="61" s="1"/>
  <c r="AG1485" i="57"/>
  <c r="L1489" i="61"/>
  <c r="O1489" i="61" s="1"/>
  <c r="AG1489" i="57"/>
  <c r="AG1490" i="57"/>
  <c r="L1490" i="61"/>
  <c r="O1490" i="61" s="1"/>
  <c r="AG1643" i="57"/>
  <c r="L1643" i="61"/>
  <c r="O1643" i="61" s="1"/>
  <c r="AG1642" i="57"/>
  <c r="L1642" i="61"/>
  <c r="O1642" i="61" s="1"/>
  <c r="AG1684" i="57"/>
  <c r="L1684" i="61"/>
  <c r="O1684" i="61" s="1"/>
  <c r="L1686" i="61"/>
  <c r="O1686" i="61" s="1"/>
  <c r="AG1686" i="57"/>
  <c r="AG1645" i="57"/>
  <c r="L1645" i="61"/>
  <c r="O1645" i="61" s="1"/>
  <c r="AG1683" i="57"/>
  <c r="L1683" i="61"/>
  <c r="O1683" i="61" s="1"/>
  <c r="AG1521" i="57"/>
  <c r="L1521" i="61"/>
  <c r="O1521" i="61" s="1"/>
  <c r="L1512" i="61"/>
  <c r="O1512" i="61" s="1"/>
  <c r="AG1512" i="57"/>
  <c r="AG1516" i="57"/>
  <c r="L1516" i="61"/>
  <c r="O1516" i="61" s="1"/>
  <c r="AG1511" i="57"/>
  <c r="L1511" i="61"/>
  <c r="O1511" i="61" s="1"/>
  <c r="AG1237" i="57"/>
  <c r="L1237" i="61"/>
  <c r="O1237" i="61" s="1"/>
  <c r="AG1244" i="57"/>
  <c r="L1244" i="61"/>
  <c r="O1244" i="61" s="1"/>
  <c r="AG1241" i="57"/>
  <c r="L1241" i="61"/>
  <c r="O1241" i="61" s="1"/>
  <c r="AG1248" i="57"/>
  <c r="L1248" i="61"/>
  <c r="O1248" i="61" s="1"/>
  <c r="AG1245" i="57"/>
  <c r="L1245" i="61"/>
  <c r="O1245" i="61" s="1"/>
  <c r="L1235" i="61"/>
  <c r="O1235" i="61" s="1"/>
  <c r="AG1235" i="57"/>
  <c r="L1238" i="61"/>
  <c r="O1238" i="61" s="1"/>
  <c r="AG1238" i="57"/>
  <c r="AG1674" i="57"/>
  <c r="L1674" i="61"/>
  <c r="O1674" i="61" s="1"/>
  <c r="L1669" i="61"/>
  <c r="O1669" i="61" s="1"/>
  <c r="AG1669" i="57"/>
  <c r="L1628" i="61"/>
  <c r="O1628" i="61" s="1"/>
  <c r="AG1628" i="57"/>
  <c r="L1638" i="61"/>
  <c r="O1638" i="61" s="1"/>
  <c r="AG1638" i="57"/>
  <c r="L1676" i="61"/>
  <c r="O1676" i="61" s="1"/>
  <c r="AG1676" i="57"/>
  <c r="AG1631" i="57"/>
  <c r="L1631" i="61"/>
  <c r="O1631" i="61" s="1"/>
  <c r="AG1315" i="57"/>
  <c r="L1315" i="61"/>
  <c r="O1315" i="61" s="1"/>
  <c r="AG1317" i="57"/>
  <c r="L1317" i="61"/>
  <c r="O1317" i="61" s="1"/>
  <c r="AG1284" i="57"/>
  <c r="L1284" i="61"/>
  <c r="O1284" i="61" s="1"/>
  <c r="AG1287" i="57"/>
  <c r="L1287" i="61"/>
  <c r="O1287" i="61" s="1"/>
  <c r="AG1321" i="57"/>
  <c r="L1321" i="61"/>
  <c r="O1321" i="61" s="1"/>
  <c r="AG1288" i="57"/>
  <c r="L1288" i="61"/>
  <c r="O1288" i="61" s="1"/>
  <c r="AG1303" i="57"/>
  <c r="L1303" i="61"/>
  <c r="O1303" i="61" s="1"/>
  <c r="AG1325" i="57"/>
  <c r="L1325" i="61"/>
  <c r="O1325" i="61" s="1"/>
  <c r="AG1292" i="57"/>
  <c r="L1292" i="61"/>
  <c r="O1292" i="61" s="1"/>
  <c r="L1299" i="61"/>
  <c r="O1299" i="61" s="1"/>
  <c r="AG1299" i="57"/>
  <c r="L1313" i="61"/>
  <c r="O1313" i="61" s="1"/>
  <c r="AG1313" i="57"/>
  <c r="L1280" i="61"/>
  <c r="O1280" i="61" s="1"/>
  <c r="AG1280" i="57"/>
  <c r="AG414" i="57"/>
  <c r="L414" i="61"/>
  <c r="O414" i="61" s="1"/>
  <c r="AG954" i="57"/>
  <c r="L954" i="61"/>
  <c r="O954" i="61" s="1"/>
  <c r="AG415" i="57"/>
  <c r="L415" i="61"/>
  <c r="O415" i="61" s="1"/>
  <c r="AG425" i="57"/>
  <c r="L425" i="61"/>
  <c r="O425" i="61" s="1"/>
  <c r="AG390" i="57"/>
  <c r="L390" i="61"/>
  <c r="O390" i="61" s="1"/>
  <c r="AG872" i="57"/>
  <c r="L872" i="61"/>
  <c r="O872" i="61" s="1"/>
  <c r="AG387" i="57"/>
  <c r="L387" i="61"/>
  <c r="O387" i="61" s="1"/>
  <c r="AG865" i="57"/>
  <c r="L865" i="61"/>
  <c r="O865" i="61" s="1"/>
  <c r="L281" i="61"/>
  <c r="O281" i="61" s="1"/>
  <c r="AG281" i="57"/>
  <c r="L278" i="61"/>
  <c r="O278" i="61" s="1"/>
  <c r="AG278" i="57"/>
  <c r="L702" i="61"/>
  <c r="O702" i="61" s="1"/>
  <c r="AG702" i="57"/>
  <c r="L369" i="61"/>
  <c r="O369" i="61" s="1"/>
  <c r="AG369" i="57"/>
  <c r="L731" i="61"/>
  <c r="O731" i="61" s="1"/>
  <c r="AG731" i="57"/>
  <c r="L723" i="61"/>
  <c r="O723" i="61" s="1"/>
  <c r="AG723" i="57"/>
  <c r="AG282" i="57"/>
  <c r="L282" i="61"/>
  <c r="O282" i="61" s="1"/>
  <c r="L768" i="61"/>
  <c r="O768" i="61" s="1"/>
  <c r="AG768" i="57"/>
  <c r="AG427" i="57"/>
  <c r="L427" i="61"/>
  <c r="O427" i="61" s="1"/>
  <c r="AG396" i="57"/>
  <c r="L396" i="61"/>
  <c r="O396" i="61" s="1"/>
  <c r="AG879" i="57"/>
  <c r="L879" i="61"/>
  <c r="O879" i="61" s="1"/>
  <c r="AG717" i="57"/>
  <c r="L717" i="61"/>
  <c r="O717" i="61" s="1"/>
  <c r="AG965" i="57"/>
  <c r="L965" i="61"/>
  <c r="O965" i="61" s="1"/>
  <c r="L288" i="61"/>
  <c r="O288" i="61" s="1"/>
  <c r="AG288" i="57"/>
  <c r="AG764" i="57"/>
  <c r="L764" i="61"/>
  <c r="O764" i="61" s="1"/>
  <c r="AG397" i="57"/>
  <c r="L397" i="61"/>
  <c r="O397" i="61" s="1"/>
  <c r="AG709" i="57"/>
  <c r="L709" i="61"/>
  <c r="O709" i="61" s="1"/>
  <c r="AG956" i="57"/>
  <c r="L956" i="61"/>
  <c r="O956" i="61" s="1"/>
  <c r="L880" i="61"/>
  <c r="O880" i="61" s="1"/>
  <c r="AG880" i="57"/>
  <c r="L975" i="61"/>
  <c r="O975" i="61" s="1"/>
  <c r="AG975" i="57"/>
  <c r="AG388" i="57"/>
  <c r="L388" i="61"/>
  <c r="O388" i="61" s="1"/>
  <c r="AG962" i="57"/>
  <c r="L962" i="61"/>
  <c r="O962" i="61" s="1"/>
  <c r="AG417" i="57"/>
  <c r="L417" i="61"/>
  <c r="O417" i="61" s="1"/>
  <c r="AG715" i="57"/>
  <c r="L715" i="61"/>
  <c r="O715" i="61" s="1"/>
  <c r="AG960" i="57"/>
  <c r="L960" i="61"/>
  <c r="O960" i="61" s="1"/>
  <c r="L884" i="61"/>
  <c r="O884" i="61" s="1"/>
  <c r="AG884" i="57"/>
  <c r="AG392" i="57"/>
  <c r="L392" i="61"/>
  <c r="O392" i="61" s="1"/>
  <c r="AG877" i="57"/>
  <c r="L877" i="61"/>
  <c r="O877" i="61" s="1"/>
  <c r="AG389" i="57"/>
  <c r="L389" i="61"/>
  <c r="O389" i="61" s="1"/>
  <c r="AG721" i="57"/>
  <c r="L721" i="61"/>
  <c r="O721" i="61" s="1"/>
  <c r="AG964" i="57"/>
  <c r="L964" i="61"/>
  <c r="O964" i="61" s="1"/>
  <c r="AG961" i="57"/>
  <c r="L961" i="61"/>
  <c r="O961" i="61" s="1"/>
  <c r="AG1705" i="57"/>
  <c r="L1705" i="61"/>
  <c r="O1705" i="61" s="1"/>
  <c r="AG1769" i="57"/>
  <c r="L1769" i="61"/>
  <c r="O1769" i="61" s="1"/>
  <c r="AG1710" i="57"/>
  <c r="L1710" i="61"/>
  <c r="O1710" i="61" s="1"/>
  <c r="AG1774" i="57"/>
  <c r="L1774" i="61"/>
  <c r="O1774" i="61" s="1"/>
  <c r="AG1707" i="57"/>
  <c r="L1707" i="61"/>
  <c r="O1707" i="61" s="1"/>
  <c r="AG1771" i="57"/>
  <c r="L1771" i="61"/>
  <c r="O1771" i="61" s="1"/>
  <c r="AG1720" i="57"/>
  <c r="L1720" i="61"/>
  <c r="O1720" i="61" s="1"/>
  <c r="AG1784" i="57"/>
  <c r="L1784" i="61"/>
  <c r="O1784" i="61" s="1"/>
  <c r="L1741" i="61"/>
  <c r="O1741" i="61" s="1"/>
  <c r="AG1741" i="57"/>
  <c r="L1805" i="61"/>
  <c r="O1805" i="61" s="1"/>
  <c r="AG1805" i="57"/>
  <c r="L1746" i="61"/>
  <c r="O1746" i="61" s="1"/>
  <c r="AG1746" i="57"/>
  <c r="L1810" i="61"/>
  <c r="O1810" i="61" s="1"/>
  <c r="AG1810" i="57"/>
  <c r="L1743" i="61"/>
  <c r="O1743" i="61" s="1"/>
  <c r="AG1743" i="57"/>
  <c r="L1807" i="61"/>
  <c r="O1807" i="61" s="1"/>
  <c r="AG1807" i="57"/>
  <c r="L1740" i="61"/>
  <c r="O1740" i="61" s="1"/>
  <c r="AG1740" i="57"/>
  <c r="L1804" i="61"/>
  <c r="O1804" i="61" s="1"/>
  <c r="AG1804" i="57"/>
  <c r="AG1745" i="57"/>
  <c r="L1745" i="61"/>
  <c r="O1745" i="61" s="1"/>
  <c r="AG1809" i="57"/>
  <c r="L1809" i="61"/>
  <c r="O1809" i="61" s="1"/>
  <c r="AG1750" i="57"/>
  <c r="L1750" i="61"/>
  <c r="O1750" i="61" s="1"/>
  <c r="AG1814" i="57"/>
  <c r="L1814" i="61"/>
  <c r="O1814" i="61" s="1"/>
  <c r="AG1763" i="57"/>
  <c r="L1763" i="61"/>
  <c r="O1763" i="61" s="1"/>
  <c r="AG1827" i="57"/>
  <c r="L1827" i="61"/>
  <c r="O1827" i="61" s="1"/>
  <c r="AG1760" i="57"/>
  <c r="L1760" i="61"/>
  <c r="O1760" i="61" s="1"/>
  <c r="AG1824" i="57"/>
  <c r="L1824" i="61"/>
  <c r="O1824" i="61" s="1"/>
  <c r="AG1765" i="57"/>
  <c r="L1765" i="61"/>
  <c r="O1765" i="61" s="1"/>
  <c r="L1837" i="61"/>
  <c r="O1837" i="61" s="1"/>
  <c r="L1835" i="61"/>
  <c r="O1835" i="61" s="1"/>
  <c r="L1836" i="61"/>
  <c r="O1836" i="61" s="1"/>
  <c r="L1839" i="61"/>
  <c r="O1839" i="61" s="1"/>
  <c r="L1833" i="61"/>
  <c r="O1833" i="61" s="1"/>
  <c r="L1832" i="61"/>
  <c r="O1832" i="61" s="1"/>
  <c r="L1831" i="61"/>
  <c r="O1831" i="61" s="1"/>
  <c r="L1829" i="61"/>
  <c r="O1829" i="61" s="1"/>
  <c r="AG1829" i="57"/>
  <c r="L1843" i="61"/>
  <c r="O1843" i="61" s="1"/>
  <c r="L1838" i="61"/>
  <c r="O1838" i="61" s="1"/>
  <c r="L1842" i="61"/>
  <c r="O1842" i="61" s="1"/>
  <c r="L1834" i="61"/>
  <c r="O1834" i="61" s="1"/>
  <c r="L1841" i="61"/>
  <c r="O1841" i="61" s="1"/>
  <c r="L1840" i="61"/>
  <c r="O1840" i="61" s="1"/>
  <c r="L1830" i="61"/>
  <c r="O1830" i="61" s="1"/>
  <c r="L1844" i="61"/>
  <c r="O1844" i="61" s="1"/>
  <c r="AG1754" i="57"/>
  <c r="L1754" i="61"/>
  <c r="O1754" i="61" s="1"/>
  <c r="AG1818" i="57"/>
  <c r="L1818" i="61"/>
  <c r="O1818" i="61" s="1"/>
  <c r="AG1767" i="57"/>
  <c r="L1767" i="61"/>
  <c r="O1767" i="61" s="1"/>
  <c r="AG1716" i="57"/>
  <c r="L1716" i="61"/>
  <c r="O1716" i="61" s="1"/>
  <c r="AG1780" i="57"/>
  <c r="L1780" i="61"/>
  <c r="O1780" i="61" s="1"/>
  <c r="AG1193" i="57"/>
  <c r="L1193" i="61"/>
  <c r="O1193" i="61" s="1"/>
  <c r="AG1196" i="57"/>
  <c r="L1196" i="61"/>
  <c r="O1196" i="61" s="1"/>
  <c r="L1197" i="61"/>
  <c r="O1197" i="61" s="1"/>
  <c r="AG1197" i="57"/>
  <c r="L1200" i="61"/>
  <c r="O1200" i="61" s="1"/>
  <c r="AG1200" i="57"/>
  <c r="AG1201" i="57"/>
  <c r="L1201" i="61"/>
  <c r="O1201" i="61" s="1"/>
  <c r="AG1204" i="57"/>
  <c r="L1204" i="61"/>
  <c r="O1204" i="61" s="1"/>
  <c r="AG1190" i="57"/>
  <c r="L1190" i="61"/>
  <c r="AG64" i="57"/>
  <c r="L64" i="61"/>
  <c r="O64" i="61" s="1"/>
  <c r="AG52" i="57"/>
  <c r="L52" i="61"/>
  <c r="O52" i="61" s="1"/>
  <c r="AG129" i="57"/>
  <c r="L129" i="61"/>
  <c r="O129" i="61" s="1"/>
  <c r="L181" i="61"/>
  <c r="O181" i="61" s="1"/>
  <c r="L153" i="61"/>
  <c r="O153" i="61" s="1"/>
  <c r="L163" i="61"/>
  <c r="O163" i="61" s="1"/>
  <c r="L182" i="61"/>
  <c r="O182" i="61" s="1"/>
  <c r="L150" i="61"/>
  <c r="O150" i="61" s="1"/>
  <c r="L162" i="61"/>
  <c r="O162" i="61" s="1"/>
  <c r="L160" i="61"/>
  <c r="O160" i="61" s="1"/>
  <c r="L133" i="61"/>
  <c r="O133" i="61" s="1"/>
  <c r="L165" i="61"/>
  <c r="O165" i="61" s="1"/>
  <c r="L149" i="61"/>
  <c r="O149" i="61" s="1"/>
  <c r="L156" i="61"/>
  <c r="O156" i="61" s="1"/>
  <c r="L166" i="61"/>
  <c r="O166" i="61" s="1"/>
  <c r="L143" i="61"/>
  <c r="O143" i="61" s="1"/>
  <c r="L155" i="61"/>
  <c r="O155" i="61" s="1"/>
  <c r="L158" i="61"/>
  <c r="O158" i="61" s="1"/>
  <c r="L161" i="61"/>
  <c r="O161" i="61" s="1"/>
  <c r="L145" i="61"/>
  <c r="O145" i="61" s="1"/>
  <c r="L154" i="61"/>
  <c r="O154" i="61" s="1"/>
  <c r="L159" i="61"/>
  <c r="O159" i="61" s="1"/>
  <c r="L180" i="61"/>
  <c r="O180" i="61" s="1"/>
  <c r="L148" i="61"/>
  <c r="O148" i="61" s="1"/>
  <c r="L144" i="61"/>
  <c r="O144" i="61" s="1"/>
  <c r="AG133" i="57"/>
  <c r="L157" i="61"/>
  <c r="O157" i="61" s="1"/>
  <c r="L179" i="61"/>
  <c r="O179" i="61" s="1"/>
  <c r="L147" i="61"/>
  <c r="O147" i="61" s="1"/>
  <c r="L152" i="61"/>
  <c r="O152" i="61" s="1"/>
  <c r="L164" i="61"/>
  <c r="O164" i="61" s="1"/>
  <c r="L146" i="61"/>
  <c r="O146" i="61" s="1"/>
  <c r="L151" i="61"/>
  <c r="O151" i="61" s="1"/>
  <c r="L126" i="61"/>
  <c r="O126" i="61" s="1"/>
  <c r="AG126" i="57"/>
  <c r="L68" i="61"/>
  <c r="O68" i="61" s="1"/>
  <c r="AG68" i="57"/>
  <c r="AG1473" i="57"/>
  <c r="L1473" i="61"/>
  <c r="O1473" i="61" s="1"/>
  <c r="AG1474" i="57"/>
  <c r="L1474" i="61"/>
  <c r="O1474" i="61" s="1"/>
  <c r="AG1486" i="57"/>
  <c r="L1486" i="61"/>
  <c r="O1486" i="61" s="1"/>
  <c r="AG1487" i="57"/>
  <c r="L1487" i="61"/>
  <c r="O1487" i="61" s="1"/>
  <c r="AG1476" i="57"/>
  <c r="L1476" i="61"/>
  <c r="O1476" i="61" s="1"/>
  <c r="L1649" i="61"/>
  <c r="O1649" i="61" s="1"/>
  <c r="AG1649" i="57"/>
  <c r="L1687" i="61"/>
  <c r="O1687" i="61" s="1"/>
  <c r="AG1687" i="57"/>
  <c r="L1682" i="61"/>
  <c r="O1682" i="61" s="1"/>
  <c r="AG1682" i="57"/>
  <c r="AG1641" i="57"/>
  <c r="L1641" i="61"/>
  <c r="O1641" i="61" s="1"/>
  <c r="AG1651" i="57"/>
  <c r="L1651" i="61"/>
  <c r="O1651" i="61" s="1"/>
  <c r="L1685" i="61"/>
  <c r="O1685" i="61" s="1"/>
  <c r="AG1685" i="57"/>
  <c r="L1648" i="61"/>
  <c r="O1648" i="61" s="1"/>
  <c r="AG1648" i="57"/>
  <c r="AG1522" i="57"/>
  <c r="L1522" i="61"/>
  <c r="O1522" i="61" s="1"/>
  <c r="L1519" i="61"/>
  <c r="O1519" i="61" s="1"/>
  <c r="AG1519" i="57"/>
  <c r="AG1517" i="57"/>
  <c r="L1517" i="61"/>
  <c r="O1517" i="61" s="1"/>
  <c r="J15" i="66"/>
  <c r="L9" i="66"/>
  <c r="J14" i="66"/>
  <c r="L1231" i="61"/>
  <c r="O1231" i="61" s="1"/>
  <c r="AG1231" i="57"/>
  <c r="L1226" i="61"/>
  <c r="O1226" i="61" s="1"/>
  <c r="AG1226" i="57"/>
  <c r="L1247" i="61"/>
  <c r="O1247" i="61" s="1"/>
  <c r="AG1247" i="57"/>
  <c r="L1230" i="61"/>
  <c r="O1230" i="61" s="1"/>
  <c r="AG1230" i="57"/>
  <c r="L1219" i="61"/>
  <c r="O1219" i="61" s="1"/>
  <c r="AG1219" i="57"/>
  <c r="L1234" i="61"/>
  <c r="O1234" i="61" s="1"/>
  <c r="AG1234" i="57"/>
  <c r="AG1243" i="57"/>
  <c r="L1243" i="61"/>
  <c r="O1243" i="61" s="1"/>
  <c r="AG1224" i="57"/>
  <c r="L1224" i="61"/>
  <c r="O1224" i="61" s="1"/>
  <c r="AG1635" i="57"/>
  <c r="L1635" i="61"/>
  <c r="O1635" i="61" s="1"/>
  <c r="AG1634" i="57"/>
  <c r="L1634" i="61"/>
  <c r="O1634" i="61" s="1"/>
  <c r="AG1672" i="57"/>
  <c r="L1672" i="61"/>
  <c r="O1672" i="61" s="1"/>
  <c r="AG1627" i="57"/>
  <c r="L1627" i="61"/>
  <c r="AG1633" i="57"/>
  <c r="L1633" i="61"/>
  <c r="O1633" i="61" s="1"/>
  <c r="AG1675" i="57"/>
  <c r="L1675" i="61"/>
  <c r="O1675" i="61" s="1"/>
  <c r="AG1291" i="57"/>
  <c r="L1291" i="61"/>
  <c r="O1291" i="61" s="1"/>
  <c r="AG1286" i="57"/>
  <c r="L1286" i="61"/>
  <c r="O1286" i="61" s="1"/>
  <c r="AG1300" i="57"/>
  <c r="L1300" i="61"/>
  <c r="O1300" i="61" s="1"/>
  <c r="L1307" i="61"/>
  <c r="O1307" i="61" s="1"/>
  <c r="AG1307" i="57"/>
  <c r="L1290" i="61"/>
  <c r="O1290" i="61" s="1"/>
  <c r="AG1290" i="57"/>
  <c r="L1304" i="61"/>
  <c r="O1304" i="61" s="1"/>
  <c r="AG1304" i="57"/>
  <c r="L1323" i="61"/>
  <c r="O1323" i="61" s="1"/>
  <c r="AG1323" i="57"/>
  <c r="L1294" i="61"/>
  <c r="O1294" i="61" s="1"/>
  <c r="AG1294" i="57"/>
  <c r="L1308" i="61"/>
  <c r="O1308" i="61" s="1"/>
  <c r="AG1308" i="57"/>
  <c r="AG1319" i="57"/>
  <c r="L1319" i="61"/>
  <c r="O1319" i="61" s="1"/>
  <c r="AG1282" i="57"/>
  <c r="L1282" i="61"/>
  <c r="O1282" i="61" s="1"/>
  <c r="AG1296" i="57"/>
  <c r="L1296" i="61"/>
  <c r="O1296" i="61" s="1"/>
  <c r="AG398" i="57"/>
  <c r="L398" i="61"/>
  <c r="O398" i="61" s="1"/>
  <c r="L692" i="61"/>
  <c r="O692" i="61" s="1"/>
  <c r="AG692" i="57"/>
  <c r="L271" i="61"/>
  <c r="O271" i="61" s="1"/>
  <c r="AG271" i="57"/>
  <c r="L711" i="61"/>
  <c r="O711" i="61" s="1"/>
  <c r="AG711" i="57"/>
  <c r="L952" i="61"/>
  <c r="O952" i="61" s="1"/>
  <c r="AG952" i="57"/>
  <c r="AG418" i="57"/>
  <c r="L418" i="61"/>
  <c r="O418" i="61" s="1"/>
  <c r="AG970" i="57"/>
  <c r="L970" i="61"/>
  <c r="O970" i="61" s="1"/>
  <c r="AG419" i="57"/>
  <c r="L419" i="61"/>
  <c r="O419" i="61" s="1"/>
  <c r="AG958" i="57"/>
  <c r="L958" i="61"/>
  <c r="O958" i="61" s="1"/>
  <c r="L690" i="61"/>
  <c r="O690" i="61" s="1"/>
  <c r="AG690" i="57"/>
  <c r="AG373" i="57"/>
  <c r="L373" i="61"/>
  <c r="O373" i="61" s="1"/>
  <c r="AG760" i="57"/>
  <c r="L760" i="61"/>
  <c r="O760" i="61" s="1"/>
  <c r="AG391" i="57"/>
  <c r="L391" i="61"/>
  <c r="O391" i="61" s="1"/>
  <c r="AG873" i="57"/>
  <c r="L873" i="61"/>
  <c r="O873" i="61" s="1"/>
  <c r="AG372" i="57"/>
  <c r="L372" i="61"/>
  <c r="O372" i="61" s="1"/>
  <c r="L379" i="61"/>
  <c r="O379" i="61" s="1"/>
  <c r="AG379" i="57"/>
  <c r="AG889" i="57"/>
  <c r="L889" i="61"/>
  <c r="O889" i="61" s="1"/>
  <c r="L703" i="61"/>
  <c r="O703" i="61" s="1"/>
  <c r="AG703" i="57"/>
  <c r="AG885" i="57"/>
  <c r="L885" i="61"/>
  <c r="O885" i="61" s="1"/>
  <c r="L270" i="61"/>
  <c r="AG270" i="57"/>
  <c r="AG763" i="57"/>
  <c r="L763" i="61"/>
  <c r="O763" i="61" s="1"/>
  <c r="AG955" i="57"/>
  <c r="L955" i="61"/>
  <c r="O955" i="61" s="1"/>
  <c r="AG382" i="57"/>
  <c r="L382" i="61"/>
  <c r="O382" i="61" s="1"/>
  <c r="AG893" i="57"/>
  <c r="L893" i="61"/>
  <c r="O893" i="61" s="1"/>
  <c r="AG695" i="57"/>
  <c r="L695" i="61"/>
  <c r="O695" i="61" s="1"/>
  <c r="AG732" i="57"/>
  <c r="L732" i="61"/>
  <c r="O732" i="61" s="1"/>
  <c r="AG972" i="57"/>
  <c r="L972" i="61"/>
  <c r="O972" i="61" s="1"/>
  <c r="AG953" i="57"/>
  <c r="L953" i="61"/>
  <c r="O953" i="61" s="1"/>
  <c r="L420" i="61"/>
  <c r="O420" i="61" s="1"/>
  <c r="AG420" i="57"/>
  <c r="AG273" i="57"/>
  <c r="L273" i="61"/>
  <c r="O273" i="61" s="1"/>
  <c r="AG701" i="57"/>
  <c r="L701" i="61"/>
  <c r="O701" i="61" s="1"/>
  <c r="AG762" i="57"/>
  <c r="L762" i="61"/>
  <c r="O762" i="61" s="1"/>
  <c r="AG976" i="57"/>
  <c r="L976" i="61"/>
  <c r="O976" i="61" s="1"/>
  <c r="AG957" i="57"/>
  <c r="L957" i="61"/>
  <c r="O957" i="61" s="1"/>
  <c r="AG424" i="57"/>
  <c r="L424" i="61"/>
  <c r="O424" i="61" s="1"/>
  <c r="L1189" i="61"/>
  <c r="O1189" i="61" s="1"/>
  <c r="L1149" i="61"/>
  <c r="O1149" i="61" s="1"/>
  <c r="L1133" i="61"/>
  <c r="O1133" i="61" s="1"/>
  <c r="L1179" i="61"/>
  <c r="O1179" i="61" s="1"/>
  <c r="L1062" i="61"/>
  <c r="O1062" i="61" s="1"/>
  <c r="L1182" i="61"/>
  <c r="O1182" i="61" s="1"/>
  <c r="L1135" i="61"/>
  <c r="O1135" i="61" s="1"/>
  <c r="L1059" i="61"/>
  <c r="O1059" i="61" s="1"/>
  <c r="L1180" i="61"/>
  <c r="O1180" i="61" s="1"/>
  <c r="L1130" i="61"/>
  <c r="O1130" i="61" s="1"/>
  <c r="L1061" i="61"/>
  <c r="O1061" i="61" s="1"/>
  <c r="L1188" i="61"/>
  <c r="O1188" i="61" s="1"/>
  <c r="L1136" i="61"/>
  <c r="O1136" i="61" s="1"/>
  <c r="L1048" i="61"/>
  <c r="O1048" i="61" s="1"/>
  <c r="L978" i="61"/>
  <c r="O978" i="61" s="1"/>
  <c r="L1185" i="61"/>
  <c r="O1185" i="61" s="1"/>
  <c r="L1145" i="61"/>
  <c r="O1145" i="61" s="1"/>
  <c r="L1129" i="61"/>
  <c r="O1129" i="61" s="1"/>
  <c r="L1142" i="61"/>
  <c r="O1142" i="61" s="1"/>
  <c r="L1058" i="61"/>
  <c r="O1058" i="61" s="1"/>
  <c r="L1148" i="61"/>
  <c r="O1148" i="61" s="1"/>
  <c r="L1132" i="61"/>
  <c r="O1132" i="61" s="1"/>
  <c r="L1055" i="61"/>
  <c r="O1055" i="61" s="1"/>
  <c r="L1146" i="61"/>
  <c r="O1146" i="61" s="1"/>
  <c r="L1128" i="61"/>
  <c r="O1128" i="61" s="1"/>
  <c r="L1057" i="61"/>
  <c r="O1057" i="61" s="1"/>
  <c r="L1183" i="61"/>
  <c r="O1183" i="61" s="1"/>
  <c r="L1131" i="61"/>
  <c r="O1131" i="61" s="1"/>
  <c r="L1178" i="61"/>
  <c r="O1178" i="61" s="1"/>
  <c r="L1181" i="61"/>
  <c r="O1181" i="61" s="1"/>
  <c r="L1141" i="61"/>
  <c r="O1141" i="61" s="1"/>
  <c r="L1187" i="61"/>
  <c r="O1187" i="61" s="1"/>
  <c r="L1134" i="61"/>
  <c r="O1134" i="61" s="1"/>
  <c r="L1054" i="61"/>
  <c r="O1054" i="61" s="1"/>
  <c r="L1143" i="61"/>
  <c r="O1143" i="61" s="1"/>
  <c r="L1127" i="61"/>
  <c r="O1127" i="61" s="1"/>
  <c r="L1051" i="61"/>
  <c r="O1051" i="61" s="1"/>
  <c r="L1144" i="61"/>
  <c r="O1144" i="61" s="1"/>
  <c r="L1186" i="61"/>
  <c r="O1186" i="61" s="1"/>
  <c r="L1053" i="61"/>
  <c r="O1053" i="61" s="1"/>
  <c r="L1147" i="61"/>
  <c r="O1147" i="61" s="1"/>
  <c r="L1064" i="61"/>
  <c r="O1064" i="61" s="1"/>
  <c r="L1060" i="61"/>
  <c r="O1060" i="61" s="1"/>
  <c r="AG978" i="57"/>
  <c r="L1177" i="61"/>
  <c r="O1177" i="61" s="1"/>
  <c r="L1137" i="61"/>
  <c r="O1137" i="61" s="1"/>
  <c r="L1184" i="61"/>
  <c r="O1184" i="61" s="1"/>
  <c r="L1126" i="61"/>
  <c r="O1126" i="61" s="1"/>
  <c r="L1050" i="61"/>
  <c r="O1050" i="61" s="1"/>
  <c r="L1140" i="61"/>
  <c r="O1140" i="61" s="1"/>
  <c r="L1063" i="61"/>
  <c r="O1063" i="61" s="1"/>
  <c r="L1047" i="61"/>
  <c r="O1047" i="61" s="1"/>
  <c r="L1139" i="61"/>
  <c r="O1139" i="61" s="1"/>
  <c r="L1065" i="61"/>
  <c r="O1065" i="61" s="1"/>
  <c r="L1049" i="61"/>
  <c r="O1049" i="61" s="1"/>
  <c r="L1138" i="61"/>
  <c r="O1138" i="61" s="1"/>
  <c r="L1056" i="61"/>
  <c r="O1056" i="61" s="1"/>
  <c r="L1052" i="61"/>
  <c r="O1052" i="61" s="1"/>
  <c r="L421" i="61"/>
  <c r="O421" i="61" s="1"/>
  <c r="AG421" i="57"/>
  <c r="L766" i="61"/>
  <c r="O766" i="61" s="1"/>
  <c r="AG766" i="57"/>
  <c r="AG759" i="57"/>
  <c r="L759" i="61"/>
  <c r="O759" i="61" s="1"/>
  <c r="AG977" i="57"/>
  <c r="L977" i="61"/>
  <c r="O977" i="61" s="1"/>
  <c r="AG1721" i="57"/>
  <c r="L1721" i="61"/>
  <c r="O1721" i="61" s="1"/>
  <c r="AG1785" i="57"/>
  <c r="L1785" i="61"/>
  <c r="O1785" i="61" s="1"/>
  <c r="AG1726" i="57"/>
  <c r="L1726" i="61"/>
  <c r="O1726" i="61" s="1"/>
  <c r="AG1790" i="57"/>
  <c r="L1790" i="61"/>
  <c r="O1790" i="61" s="1"/>
  <c r="AG1723" i="57"/>
  <c r="L1723" i="61"/>
  <c r="O1723" i="61" s="1"/>
  <c r="AG1787" i="57"/>
  <c r="L1787" i="61"/>
  <c r="O1787" i="61" s="1"/>
  <c r="AG1736" i="57"/>
  <c r="L1736" i="61"/>
  <c r="O1736" i="61" s="1"/>
  <c r="AG1800" i="57"/>
  <c r="L1800" i="61"/>
  <c r="O1800" i="61" s="1"/>
  <c r="AG1757" i="57"/>
  <c r="L1757" i="61"/>
  <c r="O1757" i="61" s="1"/>
  <c r="AG1821" i="57"/>
  <c r="L1821" i="61"/>
  <c r="O1821" i="61" s="1"/>
  <c r="AG1762" i="57"/>
  <c r="L1762" i="61"/>
  <c r="O1762" i="61" s="1"/>
  <c r="AG1826" i="57"/>
  <c r="L1826" i="61"/>
  <c r="O1826" i="61" s="1"/>
  <c r="AG1759" i="57"/>
  <c r="L1759" i="61"/>
  <c r="O1759" i="61" s="1"/>
  <c r="AG1823" i="57"/>
  <c r="L1823" i="61"/>
  <c r="O1823" i="61" s="1"/>
  <c r="AG1756" i="57"/>
  <c r="L1756" i="61"/>
  <c r="O1756" i="61" s="1"/>
  <c r="AG1820" i="57"/>
  <c r="L1820" i="61"/>
  <c r="O1820" i="61" s="1"/>
  <c r="L1761" i="61"/>
  <c r="O1761" i="61" s="1"/>
  <c r="AG1761" i="57"/>
  <c r="L1825" i="61"/>
  <c r="O1825" i="61" s="1"/>
  <c r="AG1825" i="57"/>
  <c r="L1766" i="61"/>
  <c r="O1766" i="61" s="1"/>
  <c r="AG1766" i="57"/>
  <c r="L1715" i="61"/>
  <c r="O1715" i="61" s="1"/>
  <c r="AG1715" i="57"/>
  <c r="L1779" i="61"/>
  <c r="O1779" i="61" s="1"/>
  <c r="AG1779" i="57"/>
  <c r="L1712" i="61"/>
  <c r="O1712" i="61" s="1"/>
  <c r="AG1712" i="57"/>
  <c r="L1776" i="61"/>
  <c r="O1776" i="61" s="1"/>
  <c r="AG1776" i="57"/>
  <c r="AG1717" i="57"/>
  <c r="L1717" i="61"/>
  <c r="O1717" i="61" s="1"/>
  <c r="AG1781" i="57"/>
  <c r="L1781" i="61"/>
  <c r="O1781" i="61" s="1"/>
  <c r="L1706" i="61"/>
  <c r="O1706" i="61" s="1"/>
  <c r="AG1706" i="57"/>
  <c r="L1770" i="61"/>
  <c r="O1770" i="61" s="1"/>
  <c r="AG1770" i="57"/>
  <c r="L1719" i="61"/>
  <c r="O1719" i="61" s="1"/>
  <c r="AG1719" i="57"/>
  <c r="L1783" i="61"/>
  <c r="O1783" i="61" s="1"/>
  <c r="AG1783" i="57"/>
  <c r="L1732" i="61"/>
  <c r="O1732" i="61" s="1"/>
  <c r="AG1732" i="57"/>
  <c r="L1796" i="61"/>
  <c r="O1796" i="61" s="1"/>
  <c r="AG1796" i="57"/>
  <c r="AG1209" i="57"/>
  <c r="L1209" i="61"/>
  <c r="O1209" i="61" s="1"/>
  <c r="AG1212" i="57"/>
  <c r="L1212" i="61"/>
  <c r="O1212" i="61" s="1"/>
  <c r="AG1213" i="57"/>
  <c r="L1213" i="61"/>
  <c r="O1213" i="61" s="1"/>
  <c r="AG1216" i="57"/>
  <c r="L1216" i="61"/>
  <c r="O1216" i="61" s="1"/>
  <c r="L1217" i="61"/>
  <c r="O1217" i="61" s="1"/>
  <c r="AG1217" i="57"/>
  <c r="AG1203" i="57"/>
  <c r="L1203" i="61"/>
  <c r="O1203" i="61" s="1"/>
  <c r="AG1206" i="57"/>
  <c r="L1206" i="61"/>
  <c r="O1206" i="61" s="1"/>
  <c r="AG56" i="57"/>
  <c r="L56" i="61"/>
  <c r="O56" i="61" s="1"/>
  <c r="AG75" i="57"/>
  <c r="L75" i="61"/>
  <c r="O75" i="61" s="1"/>
  <c r="L128" i="61"/>
  <c r="O128" i="61" s="1"/>
  <c r="AG128" i="57"/>
  <c r="L71" i="61"/>
  <c r="O71" i="61" s="1"/>
  <c r="AG71" i="57"/>
  <c r="L60" i="61"/>
  <c r="O60" i="61" s="1"/>
  <c r="AG60" i="57"/>
  <c r="AG1497" i="57"/>
  <c r="L1497" i="61"/>
  <c r="O1497" i="61" s="1"/>
  <c r="L1498" i="61"/>
  <c r="O1498" i="61" s="1"/>
  <c r="AG1498" i="57"/>
  <c r="L1471" i="61"/>
  <c r="AG1471" i="57"/>
  <c r="L1472" i="61"/>
  <c r="O1472" i="61" s="1"/>
  <c r="AG1472" i="57"/>
  <c r="AG1483" i="57"/>
  <c r="L1483" i="61"/>
  <c r="O1483" i="61" s="1"/>
  <c r="AG1496" i="57"/>
  <c r="L1496" i="61"/>
  <c r="O1496" i="61" s="1"/>
  <c r="AG1689" i="57"/>
  <c r="L1689" i="61"/>
  <c r="O1689" i="61" s="1"/>
  <c r="AG1652" i="57"/>
  <c r="L1652" i="61"/>
  <c r="O1652" i="61" s="1"/>
  <c r="AG1647" i="57"/>
  <c r="L1647" i="61"/>
  <c r="O1647" i="61" s="1"/>
  <c r="L1681" i="61"/>
  <c r="O1681" i="61" s="1"/>
  <c r="AG1681" i="57"/>
  <c r="L1644" i="61"/>
  <c r="O1644" i="61" s="1"/>
  <c r="AG1644" i="57"/>
  <c r="AG1650" i="57"/>
  <c r="L1650" i="61"/>
  <c r="O1650" i="61" s="1"/>
  <c r="AG1692" i="57"/>
  <c r="L1692" i="61"/>
  <c r="O1692" i="61" s="1"/>
  <c r="L1481" i="61"/>
  <c r="O1481" i="61" s="1"/>
  <c r="AG1481" i="57"/>
  <c r="AG1513" i="57"/>
  <c r="L1513" i="61"/>
  <c r="O1513" i="61" s="1"/>
  <c r="AG1518" i="57"/>
  <c r="L1518" i="61"/>
  <c r="O1518" i="61" s="1"/>
  <c r="AG1223" i="57"/>
  <c r="L1223" i="61"/>
  <c r="O1223" i="61" s="1"/>
  <c r="AG1242" i="57"/>
  <c r="L1242" i="61"/>
  <c r="O1242" i="61" s="1"/>
  <c r="AG1239" i="57"/>
  <c r="L1239" i="61"/>
  <c r="O1239" i="61" s="1"/>
  <c r="AG1246" i="57"/>
  <c r="L1246" i="61"/>
  <c r="O1246" i="61" s="1"/>
  <c r="AG1227" i="57"/>
  <c r="L1227" i="61"/>
  <c r="O1227" i="61" s="1"/>
  <c r="AG1220" i="57"/>
  <c r="L1220" i="61"/>
  <c r="O1220" i="61" s="1"/>
  <c r="L1233" i="61"/>
  <c r="O1233" i="61" s="1"/>
  <c r="AG1233" i="57"/>
  <c r="L1240" i="61"/>
  <c r="O1240" i="61" s="1"/>
  <c r="AG1240" i="57"/>
  <c r="AG1637" i="57"/>
  <c r="L1637" i="61"/>
  <c r="O1637" i="61" s="1"/>
  <c r="AG1679" i="57"/>
  <c r="L1679" i="61"/>
  <c r="O1679" i="61" s="1"/>
  <c r="L1678" i="61"/>
  <c r="O1678" i="61" s="1"/>
  <c r="AG1678" i="57"/>
  <c r="L1629" i="61"/>
  <c r="O1629" i="61" s="1"/>
  <c r="AG1629" i="57"/>
  <c r="L1671" i="61"/>
  <c r="O1671" i="61" s="1"/>
  <c r="AG1671" i="57"/>
  <c r="AG1677" i="57"/>
  <c r="L1677" i="61"/>
  <c r="O1677" i="61" s="1"/>
  <c r="AG1636" i="57"/>
  <c r="L1636" i="61"/>
  <c r="O1636" i="61" s="1"/>
  <c r="I15" i="65" l="1"/>
  <c r="J13" i="66"/>
  <c r="AG1863" i="57"/>
  <c r="L1863" i="61"/>
  <c r="O1863" i="61" s="1"/>
  <c r="L1853" i="61"/>
  <c r="O1853" i="61" s="1"/>
  <c r="AG1853" i="57"/>
  <c r="L1858" i="61"/>
  <c r="O1858" i="61" s="1"/>
  <c r="AG1858" i="57"/>
  <c r="AG1850" i="57"/>
  <c r="L1850" i="61"/>
  <c r="O1850" i="61" s="1"/>
  <c r="AG1854" i="57"/>
  <c r="L1854" i="61"/>
  <c r="O1854" i="61" s="1"/>
  <c r="AG1851" i="57"/>
  <c r="L1851" i="61"/>
  <c r="O1851" i="61" s="1"/>
  <c r="AG1855" i="57"/>
  <c r="L1855" i="61"/>
  <c r="O1855" i="61" s="1"/>
  <c r="AG1865" i="57"/>
  <c r="L1865" i="61"/>
  <c r="O1865" i="61" s="1"/>
  <c r="L1848" i="61"/>
  <c r="O1848" i="61" s="1"/>
  <c r="AG1848" i="57"/>
  <c r="AG1847" i="57"/>
  <c r="L1847" i="61"/>
  <c r="O1847" i="61" s="1"/>
  <c r="L1864" i="61"/>
  <c r="O1864" i="61" s="1"/>
  <c r="AG1864" i="57"/>
  <c r="AG1845" i="57"/>
  <c r="L1845" i="61"/>
  <c r="AG1860" i="57"/>
  <c r="L1860" i="61"/>
  <c r="O1860" i="61" s="1"/>
  <c r="AG1862" i="57"/>
  <c r="L1862" i="61"/>
  <c r="O1862" i="61" s="1"/>
  <c r="AG1861" i="57"/>
  <c r="L1861" i="61"/>
  <c r="O1861" i="61" s="1"/>
  <c r="AG1849" i="57"/>
  <c r="L1849" i="61"/>
  <c r="O1849" i="61" s="1"/>
  <c r="L1852" i="61"/>
  <c r="O1852" i="61" s="1"/>
  <c r="AG1852" i="57"/>
  <c r="L1857" i="61"/>
  <c r="O1857" i="61" s="1"/>
  <c r="AG1857" i="57"/>
  <c r="AG1856" i="57"/>
  <c r="L1856" i="61"/>
  <c r="O1856" i="61" s="1"/>
  <c r="L1846" i="61"/>
  <c r="O1846" i="61" s="1"/>
  <c r="AG1846" i="57"/>
  <c r="L1440" i="61"/>
  <c r="O1440" i="61" s="1"/>
  <c r="L1469" i="61"/>
  <c r="O1469" i="61" s="1"/>
  <c r="L1421" i="61"/>
  <c r="O1421" i="61" s="1"/>
  <c r="L1384" i="61"/>
  <c r="O1384" i="61" s="1"/>
  <c r="L1360" i="61"/>
  <c r="O1360" i="61" s="1"/>
  <c r="L1336" i="61"/>
  <c r="O1336" i="61" s="1"/>
  <c r="L1446" i="61"/>
  <c r="O1446" i="61" s="1"/>
  <c r="L1373" i="61"/>
  <c r="O1373" i="61" s="1"/>
  <c r="L1439" i="61"/>
  <c r="O1439" i="61" s="1"/>
  <c r="L1399" i="61"/>
  <c r="O1399" i="61" s="1"/>
  <c r="L1436" i="61"/>
  <c r="O1436" i="61" s="1"/>
  <c r="L1401" i="61"/>
  <c r="O1401" i="61" s="1"/>
  <c r="L1416" i="61"/>
  <c r="O1416" i="61" s="1"/>
  <c r="L1445" i="61"/>
  <c r="O1445" i="61" s="1"/>
  <c r="L1348" i="61"/>
  <c r="O1348" i="61" s="1"/>
  <c r="L1353" i="61"/>
  <c r="O1353" i="61" s="1"/>
  <c r="L1435" i="61"/>
  <c r="O1435" i="61" s="1"/>
  <c r="L1466" i="61"/>
  <c r="O1466" i="61" s="1"/>
  <c r="L1418" i="61"/>
  <c r="O1418" i="61" s="1"/>
  <c r="L1382" i="61"/>
  <c r="O1382" i="61" s="1"/>
  <c r="L1358" i="61"/>
  <c r="O1358" i="61" s="1"/>
  <c r="L1334" i="61"/>
  <c r="O1334" i="61" s="1"/>
  <c r="L1441" i="61"/>
  <c r="O1441" i="61" s="1"/>
  <c r="L1369" i="61"/>
  <c r="O1369" i="61" s="1"/>
  <c r="L1428" i="61"/>
  <c r="O1428" i="61" s="1"/>
  <c r="L1341" i="61"/>
  <c r="O1341" i="61" s="1"/>
  <c r="L1415" i="61"/>
  <c r="O1415" i="61" s="1"/>
  <c r="L1383" i="61"/>
  <c r="O1383" i="61" s="1"/>
  <c r="L1464" i="61"/>
  <c r="O1464" i="61" s="1"/>
  <c r="L1397" i="61"/>
  <c r="O1397" i="61" s="1"/>
  <c r="L1398" i="61"/>
  <c r="O1398" i="61" s="1"/>
  <c r="L1379" i="61"/>
  <c r="O1379" i="61" s="1"/>
  <c r="L1381" i="61"/>
  <c r="O1381" i="61" s="1"/>
  <c r="L1395" i="61"/>
  <c r="O1395" i="61" s="1"/>
  <c r="L1362" i="61"/>
  <c r="O1362" i="61" s="1"/>
  <c r="L1420" i="61"/>
  <c r="O1420" i="61" s="1"/>
  <c r="L1432" i="61"/>
  <c r="O1432" i="61" s="1"/>
  <c r="L1461" i="61"/>
  <c r="O1461" i="61" s="1"/>
  <c r="L1413" i="61"/>
  <c r="O1413" i="61" s="1"/>
  <c r="L1380" i="61"/>
  <c r="O1380" i="61" s="1"/>
  <c r="L1356" i="61"/>
  <c r="O1356" i="61" s="1"/>
  <c r="L1332" i="61"/>
  <c r="O1332" i="61" s="1"/>
  <c r="L1430" i="61"/>
  <c r="O1430" i="61" s="1"/>
  <c r="L1365" i="61"/>
  <c r="O1365" i="61" s="1"/>
  <c r="L1423" i="61"/>
  <c r="O1423" i="61" s="1"/>
  <c r="L1438" i="61"/>
  <c r="O1438" i="61" s="1"/>
  <c r="L1349" i="61"/>
  <c r="O1349" i="61" s="1"/>
  <c r="L1331" i="61"/>
  <c r="O1331" i="61" s="1"/>
  <c r="L1463" i="61"/>
  <c r="O1463" i="61" s="1"/>
  <c r="L1388" i="61"/>
  <c r="O1388" i="61" s="1"/>
  <c r="L1447" i="61"/>
  <c r="O1447" i="61" s="1"/>
  <c r="L1404" i="61"/>
  <c r="O1404" i="61" s="1"/>
  <c r="L1470" i="61"/>
  <c r="O1470" i="61" s="1"/>
  <c r="L1427" i="61"/>
  <c r="O1427" i="61" s="1"/>
  <c r="L1458" i="61"/>
  <c r="O1458" i="61" s="1"/>
  <c r="L1410" i="61"/>
  <c r="O1410" i="61" s="1"/>
  <c r="L1378" i="61"/>
  <c r="O1378" i="61" s="1"/>
  <c r="L1354" i="61"/>
  <c r="O1354" i="61" s="1"/>
  <c r="L1330" i="61"/>
  <c r="O1330" i="61" s="1"/>
  <c r="L1425" i="61"/>
  <c r="O1425" i="61" s="1"/>
  <c r="L1361" i="61"/>
  <c r="O1361" i="61" s="1"/>
  <c r="L1412" i="61"/>
  <c r="O1412" i="61" s="1"/>
  <c r="L1417" i="61"/>
  <c r="O1417" i="61" s="1"/>
  <c r="L1462" i="61"/>
  <c r="O1462" i="61" s="1"/>
  <c r="L1422" i="61"/>
  <c r="O1422" i="61" s="1"/>
  <c r="L1343" i="61"/>
  <c r="O1343" i="61" s="1"/>
  <c r="AG1435" i="57"/>
  <c r="L1424" i="61"/>
  <c r="O1424" i="61" s="1"/>
  <c r="L1453" i="61"/>
  <c r="O1453" i="61" s="1"/>
  <c r="L1405" i="61"/>
  <c r="O1405" i="61" s="1"/>
  <c r="L1376" i="61"/>
  <c r="O1376" i="61" s="1"/>
  <c r="L1352" i="61"/>
  <c r="O1352" i="61" s="1"/>
  <c r="L1328" i="61"/>
  <c r="O1328" i="61" s="1"/>
  <c r="L1414" i="61"/>
  <c r="O1414" i="61" s="1"/>
  <c r="L1357" i="61"/>
  <c r="O1357" i="61" s="1"/>
  <c r="L1407" i="61"/>
  <c r="O1407" i="61" s="1"/>
  <c r="L1406" i="61"/>
  <c r="O1406" i="61" s="1"/>
  <c r="L1433" i="61"/>
  <c r="O1433" i="61" s="1"/>
  <c r="L1367" i="61"/>
  <c r="O1367" i="61" s="1"/>
  <c r="L1372" i="61"/>
  <c r="O1372" i="61" s="1"/>
  <c r="L1375" i="61"/>
  <c r="O1375" i="61" s="1"/>
  <c r="L1339" i="61"/>
  <c r="O1339" i="61" s="1"/>
  <c r="L1426" i="61"/>
  <c r="O1426" i="61" s="1"/>
  <c r="L1377" i="61"/>
  <c r="O1377" i="61" s="1"/>
  <c r="L1467" i="61"/>
  <c r="O1467" i="61" s="1"/>
  <c r="L1419" i="61"/>
  <c r="O1419" i="61" s="1"/>
  <c r="L1450" i="61"/>
  <c r="O1450" i="61" s="1"/>
  <c r="L1402" i="61"/>
  <c r="O1402" i="61" s="1"/>
  <c r="L1374" i="61"/>
  <c r="O1374" i="61" s="1"/>
  <c r="L1350" i="61"/>
  <c r="O1350" i="61" s="1"/>
  <c r="L1468" i="61"/>
  <c r="O1468" i="61" s="1"/>
  <c r="L1409" i="61"/>
  <c r="O1409" i="61" s="1"/>
  <c r="L1351" i="61"/>
  <c r="O1351" i="61" s="1"/>
  <c r="L1396" i="61"/>
  <c r="O1396" i="61" s="1"/>
  <c r="L1387" i="61"/>
  <c r="O1387" i="61" s="1"/>
  <c r="L1391" i="61"/>
  <c r="O1391" i="61" s="1"/>
  <c r="L1448" i="61"/>
  <c r="O1448" i="61" s="1"/>
  <c r="L1429" i="61"/>
  <c r="O1429" i="61" s="1"/>
  <c r="L1340" i="61"/>
  <c r="O1340" i="61" s="1"/>
  <c r="L1431" i="61"/>
  <c r="O1431" i="61" s="1"/>
  <c r="L1338" i="61"/>
  <c r="O1338" i="61" s="1"/>
  <c r="L1459" i="61"/>
  <c r="O1459" i="61" s="1"/>
  <c r="L1411" i="61"/>
  <c r="O1411" i="61" s="1"/>
  <c r="L1442" i="61"/>
  <c r="O1442" i="61" s="1"/>
  <c r="L1394" i="61"/>
  <c r="O1394" i="61" s="1"/>
  <c r="L1370" i="61"/>
  <c r="O1370" i="61" s="1"/>
  <c r="L1346" i="61"/>
  <c r="O1346" i="61" s="1"/>
  <c r="L1460" i="61"/>
  <c r="O1460" i="61" s="1"/>
  <c r="L1393" i="61"/>
  <c r="O1393" i="61" s="1"/>
  <c r="L1335" i="61"/>
  <c r="O1335" i="61" s="1"/>
  <c r="L1345" i="61"/>
  <c r="O1345" i="61" s="1"/>
  <c r="L1371" i="61"/>
  <c r="O1371" i="61" s="1"/>
  <c r="L1359" i="61"/>
  <c r="O1359" i="61" s="1"/>
  <c r="L1456" i="61"/>
  <c r="O1456" i="61" s="1"/>
  <c r="L1437" i="61"/>
  <c r="O1437" i="61" s="1"/>
  <c r="L1392" i="61"/>
  <c r="O1392" i="61" s="1"/>
  <c r="L1368" i="61"/>
  <c r="O1368" i="61" s="1"/>
  <c r="L1455" i="61"/>
  <c r="O1455" i="61" s="1"/>
  <c r="L1389" i="61"/>
  <c r="O1389" i="61" s="1"/>
  <c r="L1327" i="61"/>
  <c r="O1327" i="61" s="1"/>
  <c r="L1363" i="61"/>
  <c r="O1363" i="61" s="1"/>
  <c r="L1347" i="61"/>
  <c r="O1347" i="61" s="1"/>
  <c r="L1400" i="61"/>
  <c r="O1400" i="61" s="1"/>
  <c r="L1364" i="61"/>
  <c r="O1364" i="61" s="1"/>
  <c r="L1454" i="61"/>
  <c r="O1454" i="61" s="1"/>
  <c r="L1443" i="61"/>
  <c r="O1443" i="61" s="1"/>
  <c r="L1444" i="61"/>
  <c r="O1444" i="61" s="1"/>
  <c r="L1408" i="61"/>
  <c r="O1408" i="61" s="1"/>
  <c r="L1344" i="61"/>
  <c r="O1344" i="61" s="1"/>
  <c r="L1337" i="61"/>
  <c r="O1337" i="61" s="1"/>
  <c r="L1386" i="61"/>
  <c r="O1386" i="61" s="1"/>
  <c r="L1333" i="61"/>
  <c r="O1333" i="61" s="1"/>
  <c r="L1451" i="61"/>
  <c r="O1451" i="61" s="1"/>
  <c r="L1403" i="61"/>
  <c r="O1403" i="61" s="1"/>
  <c r="L1434" i="61"/>
  <c r="O1434" i="61" s="1"/>
  <c r="L1390" i="61"/>
  <c r="O1390" i="61" s="1"/>
  <c r="L1366" i="61"/>
  <c r="O1366" i="61" s="1"/>
  <c r="L1342" i="61"/>
  <c r="O1342" i="61" s="1"/>
  <c r="L1452" i="61"/>
  <c r="O1452" i="61" s="1"/>
  <c r="L1385" i="61"/>
  <c r="O1385" i="61" s="1"/>
  <c r="L1465" i="61"/>
  <c r="O1465" i="61" s="1"/>
  <c r="L1329" i="61"/>
  <c r="O1329" i="61" s="1"/>
  <c r="L1355" i="61"/>
  <c r="O1355" i="61" s="1"/>
  <c r="L1449" i="61"/>
  <c r="O1449" i="61" s="1"/>
  <c r="L1457" i="61"/>
  <c r="O1457" i="61" s="1"/>
  <c r="AG1866" i="57"/>
  <c r="L1866" i="61"/>
  <c r="O1866" i="61" s="1"/>
  <c r="AG1859" i="57"/>
  <c r="L1859" i="61"/>
  <c r="O1859" i="61" s="1"/>
  <c r="AA177" i="57"/>
  <c r="AG177" i="57" s="1"/>
  <c r="AA82" i="58"/>
  <c r="AA66" i="58"/>
  <c r="AA115" i="57"/>
  <c r="AA103" i="57"/>
  <c r="AA184" i="57"/>
  <c r="AG184" i="57" s="1"/>
  <c r="AA176" i="57"/>
  <c r="AG176" i="57" s="1"/>
  <c r="AA81" i="58"/>
  <c r="AA65" i="58"/>
  <c r="AA107" i="57"/>
  <c r="AA175" i="57"/>
  <c r="AG175" i="57" s="1"/>
  <c r="AA80" i="58"/>
  <c r="AA64" i="58"/>
  <c r="AA139" i="57"/>
  <c r="AA172" i="57"/>
  <c r="AG172" i="57" s="1"/>
  <c r="AA168" i="57"/>
  <c r="AG168" i="57" s="1"/>
  <c r="AA178" i="57"/>
  <c r="AG178" i="57" s="1"/>
  <c r="AA174" i="57"/>
  <c r="AG174" i="57" s="1"/>
  <c r="AA75" i="58"/>
  <c r="AA52" i="54"/>
  <c r="AA135" i="57"/>
  <c r="AA137" i="57"/>
  <c r="AA69" i="58"/>
  <c r="AA173" i="57"/>
  <c r="AG173" i="57" s="1"/>
  <c r="AA74" i="58"/>
  <c r="AA141" i="57"/>
  <c r="AA121" i="57"/>
  <c r="AA113" i="57"/>
  <c r="AA140" i="57"/>
  <c r="AA73" i="58"/>
  <c r="AA134" i="57"/>
  <c r="AA111" i="57"/>
  <c r="AA171" i="57"/>
  <c r="AG171" i="57" s="1"/>
  <c r="AA72" i="58"/>
  <c r="AA117" i="57"/>
  <c r="AA105" i="57"/>
  <c r="AA123" i="57"/>
  <c r="AA186" i="57"/>
  <c r="AG186" i="57" s="1"/>
  <c r="AA170" i="57"/>
  <c r="AG170" i="57" s="1"/>
  <c r="AA71" i="58"/>
  <c r="AA109" i="57"/>
  <c r="AA142" i="57"/>
  <c r="AA83" i="58"/>
  <c r="AA185" i="57"/>
  <c r="AG185" i="57" s="1"/>
  <c r="AA169" i="57"/>
  <c r="AG169" i="57" s="1"/>
  <c r="AA70" i="58"/>
  <c r="AA101" i="57"/>
  <c r="AA138" i="57"/>
  <c r="AA183" i="57"/>
  <c r="AG183" i="57" s="1"/>
  <c r="AA167" i="57"/>
  <c r="AG167" i="57" s="1"/>
  <c r="AA68" i="58"/>
  <c r="AA136" i="57"/>
  <c r="AA119" i="57"/>
  <c r="AA67" i="58"/>
  <c r="K15" i="65"/>
  <c r="K14" i="65"/>
  <c r="AP5" i="57"/>
  <c r="AQ5" i="57" s="1"/>
  <c r="AC10" i="61"/>
  <c r="AC7" i="61"/>
  <c r="AP3" i="57"/>
  <c r="AQ3" i="57" s="1"/>
  <c r="L15" i="66"/>
  <c r="L14" i="66"/>
  <c r="T10" i="61"/>
  <c r="O1471" i="61"/>
  <c r="W10" i="61" s="1"/>
  <c r="O270" i="61"/>
  <c r="W7" i="61" s="1"/>
  <c r="T7" i="61"/>
  <c r="T11" i="61"/>
  <c r="O1627" i="61"/>
  <c r="W11" i="61" s="1"/>
  <c r="AP6" i="57"/>
  <c r="AQ6" i="57" s="1"/>
  <c r="AC11" i="61"/>
  <c r="O1190" i="61"/>
  <c r="W9" i="61" s="1"/>
  <c r="T9" i="61"/>
  <c r="AP4" i="57"/>
  <c r="AC9" i="61"/>
  <c r="AG123" i="57" l="1"/>
  <c r="L123" i="61"/>
  <c r="O123" i="61" s="1"/>
  <c r="AC12" i="61"/>
  <c r="AP7" i="57"/>
  <c r="AQ7" i="57" s="1"/>
  <c r="AG138" i="57"/>
  <c r="L138" i="61"/>
  <c r="O138" i="61" s="1"/>
  <c r="AG105" i="57"/>
  <c r="L105" i="61"/>
  <c r="O105" i="61" s="1"/>
  <c r="L101" i="61"/>
  <c r="AG101" i="57"/>
  <c r="L117" i="61"/>
  <c r="O117" i="61" s="1"/>
  <c r="AG117" i="57"/>
  <c r="AG137" i="57"/>
  <c r="L137" i="61"/>
  <c r="O137" i="61" s="1"/>
  <c r="AG107" i="57"/>
  <c r="L107" i="61"/>
  <c r="O107" i="61" s="1"/>
  <c r="L135" i="61"/>
  <c r="O135" i="61" s="1"/>
  <c r="AG135" i="57"/>
  <c r="AG111" i="57"/>
  <c r="L111" i="61"/>
  <c r="O111" i="61" s="1"/>
  <c r="L134" i="61"/>
  <c r="O134" i="61" s="1"/>
  <c r="AG134" i="57"/>
  <c r="L168" i="61"/>
  <c r="O168" i="61" s="1"/>
  <c r="L178" i="61"/>
  <c r="O178" i="61" s="1"/>
  <c r="AG142" i="57"/>
  <c r="L171" i="61"/>
  <c r="O171" i="61" s="1"/>
  <c r="L167" i="61"/>
  <c r="O167" i="61" s="1"/>
  <c r="L175" i="61"/>
  <c r="O175" i="61" s="1"/>
  <c r="L185" i="61"/>
  <c r="O185" i="61" s="1"/>
  <c r="L183" i="61"/>
  <c r="O183" i="61" s="1"/>
  <c r="L177" i="61"/>
  <c r="O177" i="61" s="1"/>
  <c r="L176" i="61"/>
  <c r="O176" i="61" s="1"/>
  <c r="L174" i="61"/>
  <c r="O174" i="61" s="1"/>
  <c r="L173" i="61"/>
  <c r="O173" i="61" s="1"/>
  <c r="L169" i="61"/>
  <c r="O169" i="61" s="1"/>
  <c r="L186" i="61"/>
  <c r="O186" i="61" s="1"/>
  <c r="L142" i="61"/>
  <c r="O142" i="61" s="1"/>
  <c r="L184" i="61"/>
  <c r="O184" i="61" s="1"/>
  <c r="L172" i="61"/>
  <c r="O172" i="61" s="1"/>
  <c r="L170" i="61"/>
  <c r="O170" i="61" s="1"/>
  <c r="L139" i="61"/>
  <c r="O139" i="61" s="1"/>
  <c r="AG139" i="57"/>
  <c r="AG119" i="57"/>
  <c r="L119" i="61"/>
  <c r="O119" i="61" s="1"/>
  <c r="L109" i="61"/>
  <c r="O109" i="61" s="1"/>
  <c r="AG109" i="57"/>
  <c r="L140" i="61"/>
  <c r="O140" i="61" s="1"/>
  <c r="AG140" i="57"/>
  <c r="AG103" i="57"/>
  <c r="L103" i="61"/>
  <c r="O103" i="61" s="1"/>
  <c r="AG141" i="57"/>
  <c r="L141" i="61"/>
  <c r="O141" i="61" s="1"/>
  <c r="T12" i="61"/>
  <c r="O1845" i="61"/>
  <c r="W12" i="61" s="1"/>
  <c r="AG136" i="57"/>
  <c r="L136" i="61"/>
  <c r="O136" i="61" s="1"/>
  <c r="AG113" i="57"/>
  <c r="L113" i="61"/>
  <c r="O113" i="61" s="1"/>
  <c r="AG115" i="57"/>
  <c r="L115" i="61"/>
  <c r="O115" i="61" s="1"/>
  <c r="AG121" i="57"/>
  <c r="L121" i="61"/>
  <c r="O121" i="61" s="1"/>
  <c r="Z11" i="61"/>
  <c r="AH11" i="61" s="1"/>
  <c r="Z10" i="61"/>
  <c r="AH10" i="61" s="1"/>
  <c r="Z7" i="61"/>
  <c r="AH7" i="61" s="1"/>
  <c r="AQ4" i="57"/>
  <c r="Z9" i="61"/>
  <c r="AH9" i="61" s="1"/>
  <c r="AP2" i="57" l="1"/>
  <c r="AC5" i="61"/>
  <c r="O101" i="61"/>
  <c r="W5" i="61" s="1"/>
  <c r="T5" i="61"/>
  <c r="AP9" i="57"/>
  <c r="AQ9" i="57" s="1"/>
  <c r="Z12" i="61"/>
  <c r="AH12" i="61" s="1"/>
  <c r="Z5" i="61" l="1"/>
  <c r="AH5" i="61" s="1"/>
  <c r="AQ2" i="57"/>
  <c r="AP8" i="57"/>
  <c r="AK2" i="72"/>
  <c r="AL2" i="72" s="1"/>
  <c r="AU2" i="72"/>
  <c r="AV2" i="72" s="1"/>
  <c r="AK3" i="72"/>
  <c r="AL3" i="72" s="1"/>
  <c r="AU3" i="72"/>
  <c r="AV3" i="72" s="1"/>
  <c r="AK4" i="72"/>
  <c r="AL4" i="72" s="1"/>
  <c r="AU4" i="72"/>
  <c r="AV4" i="72" s="1"/>
  <c r="AK5" i="72"/>
  <c r="AL5" i="72" s="1"/>
  <c r="AU5" i="72"/>
  <c r="AV5" i="72" s="1"/>
  <c r="AK6" i="72"/>
  <c r="AL6" i="72" s="1"/>
  <c r="AU6" i="72"/>
  <c r="AV6" i="72" s="1"/>
  <c r="AK7" i="72"/>
  <c r="AL7" i="72" s="1"/>
  <c r="AU7" i="72"/>
  <c r="AV7" i="72" s="1"/>
  <c r="AU8" i="72" l="1"/>
  <c r="AV8" i="72" s="1"/>
  <c r="AQ8" i="57"/>
  <c r="AP10" i="57"/>
  <c r="AQ10" i="57" s="1"/>
  <c r="AK9" i="72"/>
  <c r="AK8" i="72"/>
  <c r="AL8" i="72" s="1"/>
  <c r="AU9" i="72"/>
  <c r="AV9" i="72" l="1"/>
  <c r="AU10" i="72"/>
  <c r="AL9" i="72"/>
  <c r="AK10" i="72"/>
  <c r="AL10" i="72" s="1"/>
  <c r="AV10" i="72" l="1"/>
  <c r="K2" i="61" l="1"/>
  <c r="N2" i="61"/>
  <c r="K3" i="61"/>
  <c r="N3" i="61"/>
  <c r="K4" i="61"/>
  <c r="N4" i="61"/>
  <c r="K5" i="61"/>
  <c r="N5" i="61"/>
  <c r="R5" i="61"/>
  <c r="S5" i="61"/>
  <c r="U5" i="61"/>
  <c r="V5" i="61"/>
  <c r="X5" i="61"/>
  <c r="Y5" i="61"/>
  <c r="AA5" i="61"/>
  <c r="AB5" i="61"/>
  <c r="AD5" i="61"/>
  <c r="AE5" i="61"/>
  <c r="AF5" i="61"/>
  <c r="AG5" i="61"/>
  <c r="AI5" i="61"/>
  <c r="AJ5" i="61"/>
  <c r="K6" i="61"/>
  <c r="N6" i="61"/>
  <c r="K7" i="61"/>
  <c r="N7" i="61"/>
  <c r="R7" i="61"/>
  <c r="S7" i="61"/>
  <c r="U7" i="61"/>
  <c r="V7" i="61"/>
  <c r="X7" i="61"/>
  <c r="Y7" i="61"/>
  <c r="AA7" i="61"/>
  <c r="AB7" i="61"/>
  <c r="AD7" i="61"/>
  <c r="AE7" i="61"/>
  <c r="AF7" i="61"/>
  <c r="AG7" i="61"/>
  <c r="AI7" i="61"/>
  <c r="AJ7" i="61"/>
  <c r="K8" i="61"/>
  <c r="N8" i="61"/>
  <c r="K9" i="61"/>
  <c r="N9" i="61"/>
  <c r="S9" i="61"/>
  <c r="V9" i="61"/>
  <c r="Y9" i="61"/>
  <c r="AB9" i="61"/>
  <c r="AE9" i="61"/>
  <c r="AG9" i="61"/>
  <c r="AJ9" i="61"/>
  <c r="K10" i="61"/>
  <c r="N10" i="61"/>
  <c r="S10" i="61"/>
  <c r="V10" i="61"/>
  <c r="Y10" i="61"/>
  <c r="AB10" i="61"/>
  <c r="AE10" i="61"/>
  <c r="AG10" i="61"/>
  <c r="AJ10" i="61"/>
  <c r="K11" i="61"/>
  <c r="N11" i="61"/>
  <c r="S11" i="61"/>
  <c r="V11" i="61"/>
  <c r="Y11" i="61"/>
  <c r="AB11" i="61"/>
  <c r="AE11" i="61"/>
  <c r="AG11" i="61"/>
  <c r="AJ11" i="61"/>
  <c r="K12" i="61"/>
  <c r="N12" i="61"/>
  <c r="S12" i="61"/>
  <c r="V12" i="61"/>
  <c r="Y12" i="61"/>
  <c r="AB12" i="61"/>
  <c r="AG12" i="61"/>
  <c r="AJ12" i="61"/>
  <c r="K13" i="61"/>
  <c r="N13" i="61"/>
  <c r="J14" i="61"/>
  <c r="K14" i="61"/>
  <c r="M14" i="61"/>
  <c r="N14" i="61"/>
  <c r="J15" i="61"/>
  <c r="K15" i="61"/>
  <c r="M15" i="61"/>
  <c r="N15" i="61"/>
  <c r="J16" i="61"/>
  <c r="K16" i="61"/>
  <c r="M16" i="61"/>
  <c r="N16" i="61"/>
  <c r="J17" i="61"/>
  <c r="K17" i="61"/>
  <c r="M17" i="61"/>
  <c r="N17" i="61"/>
  <c r="J18" i="61"/>
  <c r="K18" i="61"/>
  <c r="M18" i="61"/>
  <c r="N18" i="61"/>
  <c r="J19" i="61"/>
  <c r="K19" i="61"/>
  <c r="M19" i="61"/>
  <c r="N19" i="61"/>
  <c r="J20" i="61"/>
  <c r="K20" i="61"/>
  <c r="M20" i="61"/>
  <c r="N20" i="61"/>
  <c r="J21" i="61"/>
  <c r="K21" i="61"/>
  <c r="M21" i="61"/>
  <c r="N21" i="61"/>
  <c r="J22" i="61"/>
  <c r="K22" i="61"/>
  <c r="M22" i="61"/>
  <c r="N22" i="61"/>
  <c r="J23" i="61"/>
  <c r="K23" i="61"/>
  <c r="M23" i="61"/>
  <c r="N23" i="61"/>
  <c r="J24" i="61"/>
  <c r="K24" i="61"/>
  <c r="M24" i="61"/>
  <c r="N24" i="61"/>
  <c r="J25" i="61"/>
  <c r="K25" i="61"/>
  <c r="M25" i="61"/>
  <c r="N25" i="61"/>
  <c r="K26" i="61"/>
  <c r="N26" i="61"/>
  <c r="K27" i="61"/>
  <c r="N27" i="61"/>
  <c r="K28" i="61"/>
  <c r="N28" i="61"/>
  <c r="K29" i="61"/>
  <c r="N29" i="61"/>
  <c r="K30" i="61"/>
  <c r="N30" i="61"/>
  <c r="K31" i="61"/>
  <c r="N31" i="61"/>
  <c r="K32" i="61"/>
  <c r="N32" i="61"/>
  <c r="K33" i="61"/>
  <c r="N33" i="61"/>
  <c r="K34" i="61"/>
  <c r="N34" i="61"/>
  <c r="K35" i="61"/>
  <c r="N35" i="61"/>
  <c r="K36" i="61"/>
  <c r="N36" i="61"/>
  <c r="K37" i="61"/>
  <c r="N37" i="61"/>
  <c r="K38" i="61"/>
  <c r="N38" i="61"/>
  <c r="K39" i="61"/>
  <c r="N39" i="61"/>
  <c r="J40" i="61"/>
  <c r="K40" i="61"/>
  <c r="M40" i="61"/>
  <c r="N40" i="61"/>
  <c r="J41" i="61"/>
  <c r="K41" i="61"/>
  <c r="M41" i="61"/>
  <c r="N41" i="61"/>
  <c r="J42" i="61"/>
  <c r="K42" i="61"/>
  <c r="M42" i="61"/>
  <c r="N42" i="61"/>
  <c r="J43" i="61"/>
  <c r="K43" i="61"/>
  <c r="M43" i="61"/>
  <c r="N43" i="61"/>
  <c r="J44" i="61"/>
  <c r="K44" i="61"/>
  <c r="M44" i="61"/>
  <c r="N44" i="61"/>
  <c r="J45" i="61"/>
  <c r="K45" i="61"/>
  <c r="M45" i="61"/>
  <c r="N45" i="61"/>
  <c r="J46" i="61"/>
  <c r="K46" i="61"/>
  <c r="M46" i="61"/>
  <c r="N46" i="61"/>
  <c r="J47" i="61"/>
  <c r="K47" i="61"/>
  <c r="M47" i="61"/>
  <c r="N47" i="61"/>
  <c r="J48" i="61"/>
  <c r="K48" i="61"/>
  <c r="M48" i="61"/>
  <c r="N48" i="61"/>
  <c r="J49" i="61"/>
  <c r="K49" i="61"/>
  <c r="M49" i="61"/>
  <c r="N49" i="61"/>
  <c r="J50" i="61"/>
  <c r="K50" i="61"/>
  <c r="M50" i="61"/>
  <c r="N50" i="61"/>
  <c r="J51" i="61"/>
  <c r="K51" i="61"/>
  <c r="M51" i="61"/>
  <c r="N51" i="61"/>
  <c r="J52" i="61"/>
  <c r="K52" i="61"/>
  <c r="M52" i="61"/>
  <c r="N52" i="61"/>
  <c r="J53" i="61"/>
  <c r="K53" i="61"/>
  <c r="M53" i="61"/>
  <c r="N53" i="61"/>
  <c r="J54" i="61"/>
  <c r="K54" i="61"/>
  <c r="M54" i="61"/>
  <c r="N54" i="61"/>
  <c r="J55" i="61"/>
  <c r="K55" i="61"/>
  <c r="M55" i="61"/>
  <c r="N55" i="61"/>
  <c r="J56" i="61"/>
  <c r="K56" i="61"/>
  <c r="M56" i="61"/>
  <c r="N56" i="61"/>
  <c r="J57" i="61"/>
  <c r="K57" i="61"/>
  <c r="M57" i="61"/>
  <c r="N57" i="61"/>
  <c r="J58" i="61"/>
  <c r="K58" i="61"/>
  <c r="M58" i="61"/>
  <c r="N58" i="61"/>
  <c r="J59" i="61"/>
  <c r="K59" i="61"/>
  <c r="M59" i="61"/>
  <c r="N59" i="61"/>
  <c r="J60" i="61"/>
  <c r="K60" i="61"/>
  <c r="M60" i="61"/>
  <c r="N60" i="61"/>
  <c r="J61" i="61"/>
  <c r="K61" i="61"/>
  <c r="M61" i="61"/>
  <c r="N61" i="61"/>
  <c r="J62" i="61"/>
  <c r="K62" i="61"/>
  <c r="M62" i="61"/>
  <c r="N62" i="61"/>
  <c r="J63" i="61"/>
  <c r="K63" i="61"/>
  <c r="M63" i="61"/>
  <c r="N63" i="61"/>
  <c r="J64" i="61"/>
  <c r="K64" i="61"/>
  <c r="M64" i="61"/>
  <c r="N64" i="61"/>
  <c r="J65" i="61"/>
  <c r="K65" i="61"/>
  <c r="M65" i="61"/>
  <c r="N65" i="61"/>
  <c r="J66" i="61"/>
  <c r="K66" i="61"/>
  <c r="M66" i="61"/>
  <c r="N66" i="61"/>
  <c r="J67" i="61"/>
  <c r="K67" i="61"/>
  <c r="M67" i="61"/>
  <c r="N67" i="61"/>
  <c r="J68" i="61"/>
  <c r="K68" i="61"/>
  <c r="M68" i="61"/>
  <c r="N68" i="61"/>
  <c r="J69" i="61"/>
  <c r="K69" i="61"/>
  <c r="M69" i="61"/>
  <c r="N69" i="61"/>
  <c r="J70" i="61"/>
  <c r="K70" i="61"/>
  <c r="M70" i="61"/>
  <c r="N70" i="61"/>
  <c r="J71" i="61"/>
  <c r="K71" i="61"/>
  <c r="M71" i="61"/>
  <c r="N71" i="61"/>
  <c r="J72" i="61"/>
  <c r="K72" i="61"/>
  <c r="M72" i="61"/>
  <c r="N72" i="61"/>
  <c r="J73" i="61"/>
  <c r="K73" i="61"/>
  <c r="M73" i="61"/>
  <c r="N73" i="61"/>
  <c r="J74" i="61"/>
  <c r="K74" i="61"/>
  <c r="M74" i="61"/>
  <c r="N74" i="61"/>
  <c r="J75" i="61"/>
  <c r="K75" i="61"/>
  <c r="M75" i="61"/>
  <c r="N75" i="61"/>
  <c r="J76" i="61"/>
  <c r="K76" i="61"/>
  <c r="M76" i="61"/>
  <c r="N76" i="61"/>
  <c r="K77" i="61"/>
  <c r="N77" i="61"/>
  <c r="K78" i="61"/>
  <c r="N78" i="61"/>
  <c r="K79" i="61"/>
  <c r="N79" i="61"/>
  <c r="K80" i="61"/>
  <c r="N80" i="61"/>
  <c r="K81" i="61"/>
  <c r="N81" i="61"/>
  <c r="K82" i="61"/>
  <c r="N82" i="61"/>
  <c r="K83" i="61"/>
  <c r="N83" i="61"/>
  <c r="K84" i="61"/>
  <c r="N84" i="61"/>
  <c r="K85" i="61"/>
  <c r="N85" i="61"/>
  <c r="K86" i="61"/>
  <c r="N86" i="61"/>
  <c r="K87" i="61"/>
  <c r="N87" i="61"/>
  <c r="K88" i="61"/>
  <c r="N88" i="61"/>
  <c r="K89" i="61"/>
  <c r="N89" i="61"/>
  <c r="K90" i="61"/>
  <c r="N90" i="61"/>
  <c r="K91" i="61"/>
  <c r="N91" i="61"/>
  <c r="K92" i="61"/>
  <c r="N92" i="61"/>
  <c r="K93" i="61"/>
  <c r="N93" i="61"/>
  <c r="K94" i="61"/>
  <c r="N94" i="61"/>
  <c r="K95" i="61"/>
  <c r="N95" i="61"/>
  <c r="K96" i="61"/>
  <c r="N96" i="61"/>
  <c r="K97" i="61"/>
  <c r="N97" i="61"/>
  <c r="K98" i="61"/>
  <c r="N98" i="61"/>
  <c r="K99" i="61"/>
  <c r="N99" i="61"/>
  <c r="K100" i="61"/>
  <c r="N100" i="61"/>
  <c r="J101" i="61"/>
  <c r="K101" i="61"/>
  <c r="M101" i="61"/>
  <c r="N101" i="61"/>
  <c r="J102" i="61"/>
  <c r="K102" i="61"/>
  <c r="M102" i="61"/>
  <c r="N102" i="61"/>
  <c r="J103" i="61"/>
  <c r="K103" i="61"/>
  <c r="M103" i="61"/>
  <c r="N103" i="61"/>
  <c r="J104" i="61"/>
  <c r="K104" i="61"/>
  <c r="M104" i="61"/>
  <c r="N104" i="61"/>
  <c r="J105" i="61"/>
  <c r="K105" i="61"/>
  <c r="M105" i="61"/>
  <c r="N105" i="61"/>
  <c r="J106" i="61"/>
  <c r="K106" i="61"/>
  <c r="M106" i="61"/>
  <c r="N106" i="61"/>
  <c r="J107" i="61"/>
  <c r="K107" i="61"/>
  <c r="M107" i="61"/>
  <c r="N107" i="61"/>
  <c r="J108" i="61"/>
  <c r="K108" i="61"/>
  <c r="M108" i="61"/>
  <c r="N108" i="61"/>
  <c r="J109" i="61"/>
  <c r="K109" i="61"/>
  <c r="M109" i="61"/>
  <c r="N109" i="61"/>
  <c r="J110" i="61"/>
  <c r="K110" i="61"/>
  <c r="M110" i="61"/>
  <c r="N110" i="61"/>
  <c r="J111" i="61"/>
  <c r="K111" i="61"/>
  <c r="M111" i="61"/>
  <c r="N111" i="61"/>
  <c r="J112" i="61"/>
  <c r="K112" i="61"/>
  <c r="M112" i="61"/>
  <c r="N112" i="61"/>
  <c r="J113" i="61"/>
  <c r="K113" i="61"/>
  <c r="M113" i="61"/>
  <c r="N113" i="61"/>
  <c r="J114" i="61"/>
  <c r="K114" i="61"/>
  <c r="M114" i="61"/>
  <c r="N114" i="61"/>
  <c r="J115" i="61"/>
  <c r="K115" i="61"/>
  <c r="M115" i="61"/>
  <c r="N115" i="61"/>
  <c r="J116" i="61"/>
  <c r="K116" i="61"/>
  <c r="M116" i="61"/>
  <c r="N116" i="61"/>
  <c r="J117" i="61"/>
  <c r="K117" i="61"/>
  <c r="M117" i="61"/>
  <c r="N117" i="61"/>
  <c r="J118" i="61"/>
  <c r="K118" i="61"/>
  <c r="M118" i="61"/>
  <c r="N118" i="61"/>
  <c r="J119" i="61"/>
  <c r="K119" i="61"/>
  <c r="M119" i="61"/>
  <c r="N119" i="61"/>
  <c r="J120" i="61"/>
  <c r="K120" i="61"/>
  <c r="M120" i="61"/>
  <c r="N120" i="61"/>
  <c r="J121" i="61"/>
  <c r="K121" i="61"/>
  <c r="M121" i="61"/>
  <c r="N121" i="61"/>
  <c r="J122" i="61"/>
  <c r="K122" i="61"/>
  <c r="M122" i="61"/>
  <c r="N122" i="61"/>
  <c r="J123" i="61"/>
  <c r="K123" i="61"/>
  <c r="M123" i="61"/>
  <c r="N123" i="61"/>
  <c r="J124" i="61"/>
  <c r="K124" i="61"/>
  <c r="M124" i="61"/>
  <c r="N124" i="61"/>
  <c r="J125" i="61"/>
  <c r="K125" i="61"/>
  <c r="M125" i="61"/>
  <c r="N125" i="61"/>
  <c r="J126" i="61"/>
  <c r="K126" i="61"/>
  <c r="M126" i="61"/>
  <c r="N126" i="61"/>
  <c r="J127" i="61"/>
  <c r="K127" i="61"/>
  <c r="M127" i="61"/>
  <c r="N127" i="61"/>
  <c r="J128" i="61"/>
  <c r="K128" i="61"/>
  <c r="M128" i="61"/>
  <c r="N128" i="61"/>
  <c r="J129" i="61"/>
  <c r="K129" i="61"/>
  <c r="M129" i="61"/>
  <c r="N129" i="61"/>
  <c r="J130" i="61"/>
  <c r="K130" i="61"/>
  <c r="M130" i="61"/>
  <c r="N130" i="61"/>
  <c r="J131" i="61"/>
  <c r="K131" i="61"/>
  <c r="M131" i="61"/>
  <c r="N131" i="61"/>
  <c r="J132" i="61"/>
  <c r="K132" i="61"/>
  <c r="M132" i="61"/>
  <c r="N132" i="61"/>
  <c r="J133" i="61"/>
  <c r="K133" i="61"/>
  <c r="M133" i="61"/>
  <c r="N133" i="61"/>
  <c r="J134" i="61"/>
  <c r="K134" i="61"/>
  <c r="M134" i="61"/>
  <c r="N134" i="61"/>
  <c r="J135" i="61"/>
  <c r="K135" i="61"/>
  <c r="M135" i="61"/>
  <c r="N135" i="61"/>
  <c r="J136" i="61"/>
  <c r="K136" i="61"/>
  <c r="M136" i="61"/>
  <c r="N136" i="61"/>
  <c r="J137" i="61"/>
  <c r="K137" i="61"/>
  <c r="M137" i="61"/>
  <c r="N137" i="61"/>
  <c r="J138" i="61"/>
  <c r="K138" i="61"/>
  <c r="M138" i="61"/>
  <c r="N138" i="61"/>
  <c r="J139" i="61"/>
  <c r="K139" i="61"/>
  <c r="M139" i="61"/>
  <c r="N139" i="61"/>
  <c r="J140" i="61"/>
  <c r="K140" i="61"/>
  <c r="M140" i="61"/>
  <c r="N140" i="61"/>
  <c r="J141" i="61"/>
  <c r="K141" i="61"/>
  <c r="M141" i="61"/>
  <c r="N141" i="61"/>
  <c r="J142" i="61"/>
  <c r="K142" i="61"/>
  <c r="M142" i="61"/>
  <c r="N142" i="61"/>
  <c r="J143" i="61"/>
  <c r="K143" i="61"/>
  <c r="M143" i="61"/>
  <c r="N143" i="61"/>
  <c r="J144" i="61"/>
  <c r="K144" i="61"/>
  <c r="M144" i="61"/>
  <c r="N144" i="61"/>
  <c r="J145" i="61"/>
  <c r="K145" i="61"/>
  <c r="M145" i="61"/>
  <c r="N145" i="61"/>
  <c r="J146" i="61"/>
  <c r="K146" i="61"/>
  <c r="M146" i="61"/>
  <c r="N146" i="61"/>
  <c r="J147" i="61"/>
  <c r="K147" i="61"/>
  <c r="M147" i="61"/>
  <c r="N147" i="61"/>
  <c r="J148" i="61"/>
  <c r="K148" i="61"/>
  <c r="M148" i="61"/>
  <c r="N148" i="61"/>
  <c r="J149" i="61"/>
  <c r="K149" i="61"/>
  <c r="M149" i="61"/>
  <c r="N149" i="61"/>
  <c r="J150" i="61"/>
  <c r="K150" i="61"/>
  <c r="M150" i="61"/>
  <c r="N150" i="61"/>
  <c r="J151" i="61"/>
  <c r="K151" i="61"/>
  <c r="M151" i="61"/>
  <c r="N151" i="61"/>
  <c r="J152" i="61"/>
  <c r="K152" i="61"/>
  <c r="M152" i="61"/>
  <c r="N152" i="61"/>
  <c r="J153" i="61"/>
  <c r="K153" i="61"/>
  <c r="M153" i="61"/>
  <c r="N153" i="61"/>
  <c r="J154" i="61"/>
  <c r="K154" i="61"/>
  <c r="M154" i="61"/>
  <c r="N154" i="61"/>
  <c r="J155" i="61"/>
  <c r="K155" i="61"/>
  <c r="M155" i="61"/>
  <c r="N155" i="61"/>
  <c r="J156" i="61"/>
  <c r="K156" i="61"/>
  <c r="M156" i="61"/>
  <c r="N156" i="61"/>
  <c r="J157" i="61"/>
  <c r="K157" i="61"/>
  <c r="M157" i="61"/>
  <c r="N157" i="61"/>
  <c r="J158" i="61"/>
  <c r="K158" i="61"/>
  <c r="M158" i="61"/>
  <c r="N158" i="61"/>
  <c r="J159" i="61"/>
  <c r="K159" i="61"/>
  <c r="M159" i="61"/>
  <c r="N159" i="61"/>
  <c r="J160" i="61"/>
  <c r="K160" i="61"/>
  <c r="M160" i="61"/>
  <c r="N160" i="61"/>
  <c r="J161" i="61"/>
  <c r="K161" i="61"/>
  <c r="M161" i="61"/>
  <c r="N161" i="61"/>
  <c r="J162" i="61"/>
  <c r="K162" i="61"/>
  <c r="M162" i="61"/>
  <c r="N162" i="61"/>
  <c r="J163" i="61"/>
  <c r="K163" i="61"/>
  <c r="M163" i="61"/>
  <c r="N163" i="61"/>
  <c r="J164" i="61"/>
  <c r="K164" i="61"/>
  <c r="M164" i="61"/>
  <c r="N164" i="61"/>
  <c r="J165" i="61"/>
  <c r="K165" i="61"/>
  <c r="M165" i="61"/>
  <c r="N165" i="61"/>
  <c r="J166" i="61"/>
  <c r="K166" i="61"/>
  <c r="M166" i="61"/>
  <c r="N166" i="61"/>
  <c r="J167" i="61"/>
  <c r="K167" i="61"/>
  <c r="M167" i="61"/>
  <c r="N167" i="61"/>
  <c r="J168" i="61"/>
  <c r="K168" i="61"/>
  <c r="M168" i="61"/>
  <c r="N168" i="61"/>
  <c r="J169" i="61"/>
  <c r="K169" i="61"/>
  <c r="M169" i="61"/>
  <c r="N169" i="61"/>
  <c r="J170" i="61"/>
  <c r="K170" i="61"/>
  <c r="M170" i="61"/>
  <c r="N170" i="61"/>
  <c r="J171" i="61"/>
  <c r="K171" i="61"/>
  <c r="M171" i="61"/>
  <c r="N171" i="61"/>
  <c r="J172" i="61"/>
  <c r="K172" i="61"/>
  <c r="M172" i="61"/>
  <c r="N172" i="61"/>
  <c r="J173" i="61"/>
  <c r="K173" i="61"/>
  <c r="M173" i="61"/>
  <c r="N173" i="61"/>
  <c r="J174" i="61"/>
  <c r="K174" i="61"/>
  <c r="M174" i="61"/>
  <c r="N174" i="61"/>
  <c r="J175" i="61"/>
  <c r="K175" i="61"/>
  <c r="M175" i="61"/>
  <c r="N175" i="61"/>
  <c r="J176" i="61"/>
  <c r="K176" i="61"/>
  <c r="M176" i="61"/>
  <c r="N176" i="61"/>
  <c r="J177" i="61"/>
  <c r="K177" i="61"/>
  <c r="M177" i="61"/>
  <c r="N177" i="61"/>
  <c r="J178" i="61"/>
  <c r="K178" i="61"/>
  <c r="M178" i="61"/>
  <c r="N178" i="61"/>
  <c r="J179" i="61"/>
  <c r="K179" i="61"/>
  <c r="M179" i="61"/>
  <c r="N179" i="61"/>
  <c r="J180" i="61"/>
  <c r="K180" i="61"/>
  <c r="M180" i="61"/>
  <c r="N180" i="61"/>
  <c r="J181" i="61"/>
  <c r="K181" i="61"/>
  <c r="M181" i="61"/>
  <c r="N181" i="61"/>
  <c r="J182" i="61"/>
  <c r="K182" i="61"/>
  <c r="M182" i="61"/>
  <c r="N182" i="61"/>
  <c r="J183" i="61"/>
  <c r="K183" i="61"/>
  <c r="M183" i="61"/>
  <c r="N183" i="61"/>
  <c r="J184" i="61"/>
  <c r="K184" i="61"/>
  <c r="M184" i="61"/>
  <c r="N184" i="61"/>
  <c r="J185" i="61"/>
  <c r="K185" i="61"/>
  <c r="M185" i="61"/>
  <c r="N185" i="61"/>
  <c r="J186" i="61"/>
  <c r="K186" i="61"/>
  <c r="M186" i="61"/>
  <c r="N186" i="61"/>
  <c r="J187" i="61"/>
  <c r="K187" i="61"/>
  <c r="M187" i="61"/>
  <c r="N187" i="61"/>
  <c r="J188" i="61"/>
  <c r="K188" i="61"/>
  <c r="M188" i="61"/>
  <c r="N188" i="61"/>
  <c r="J189" i="61"/>
  <c r="K189" i="61"/>
  <c r="M189" i="61"/>
  <c r="N189" i="61"/>
  <c r="J190" i="61"/>
  <c r="K190" i="61"/>
  <c r="M190" i="61"/>
  <c r="N190" i="61"/>
  <c r="J191" i="61"/>
  <c r="K191" i="61"/>
  <c r="M191" i="61"/>
  <c r="N191" i="61"/>
  <c r="J192" i="61"/>
  <c r="K192" i="61"/>
  <c r="M192" i="61"/>
  <c r="N192" i="61"/>
  <c r="J193" i="61"/>
  <c r="K193" i="61"/>
  <c r="M193" i="61"/>
  <c r="N193" i="61"/>
  <c r="J194" i="61"/>
  <c r="K194" i="61"/>
  <c r="M194" i="61"/>
  <c r="N194" i="61"/>
  <c r="J195" i="61"/>
  <c r="K195" i="61"/>
  <c r="M195" i="61"/>
  <c r="N195" i="61"/>
  <c r="J196" i="61"/>
  <c r="K196" i="61"/>
  <c r="M196" i="61"/>
  <c r="N196" i="61"/>
  <c r="J197" i="61"/>
  <c r="M197" i="61"/>
  <c r="J198" i="61"/>
  <c r="M198" i="61"/>
  <c r="J199" i="61"/>
  <c r="M199" i="61"/>
  <c r="J200" i="61"/>
  <c r="M200" i="61"/>
  <c r="J201" i="61"/>
  <c r="M201" i="61"/>
  <c r="J202" i="61"/>
  <c r="M202" i="61"/>
  <c r="J203" i="61"/>
  <c r="M203" i="61"/>
  <c r="J204" i="61"/>
  <c r="M204" i="61"/>
  <c r="J205" i="61"/>
  <c r="M205" i="61"/>
  <c r="J206" i="61"/>
  <c r="M206" i="61"/>
  <c r="J207" i="61"/>
  <c r="M207" i="61"/>
  <c r="J208" i="61"/>
  <c r="M208" i="61"/>
  <c r="J209" i="61"/>
  <c r="M209" i="61"/>
  <c r="J210" i="61"/>
  <c r="M210" i="61"/>
  <c r="J211" i="61"/>
  <c r="M211" i="61"/>
  <c r="J212" i="61"/>
  <c r="M212" i="61"/>
  <c r="J213" i="61"/>
  <c r="M213" i="61"/>
  <c r="J214" i="61"/>
  <c r="M214" i="61"/>
  <c r="J215" i="61"/>
  <c r="M215" i="61"/>
  <c r="J216" i="61"/>
  <c r="M216" i="61"/>
  <c r="J217" i="61"/>
  <c r="M217" i="61"/>
  <c r="J218" i="61"/>
  <c r="M218" i="61"/>
  <c r="J219" i="61"/>
  <c r="M219" i="61"/>
  <c r="J220" i="61"/>
  <c r="M220" i="61"/>
  <c r="J221" i="61"/>
  <c r="M221" i="61"/>
  <c r="J222" i="61"/>
  <c r="M222" i="61"/>
  <c r="J223" i="61"/>
  <c r="M223" i="61"/>
  <c r="J224" i="61"/>
  <c r="M224" i="61"/>
  <c r="J225" i="61"/>
  <c r="M225" i="61"/>
  <c r="J226" i="61"/>
  <c r="M226" i="61"/>
  <c r="J227" i="61"/>
  <c r="M227" i="61"/>
  <c r="J228" i="61"/>
  <c r="M228" i="61"/>
  <c r="J229" i="61"/>
  <c r="M229" i="61"/>
  <c r="J230" i="61"/>
  <c r="M230" i="61"/>
  <c r="J231" i="61"/>
  <c r="M231" i="61"/>
  <c r="J232" i="61"/>
  <c r="M232" i="61"/>
  <c r="J233" i="61"/>
  <c r="M233" i="61"/>
  <c r="J234" i="61"/>
  <c r="M234" i="61"/>
  <c r="J235" i="61"/>
  <c r="M235" i="61"/>
  <c r="J236" i="61"/>
  <c r="M236" i="61"/>
  <c r="J237" i="61"/>
  <c r="M237" i="61"/>
  <c r="J238" i="61"/>
  <c r="M238" i="61"/>
  <c r="J239" i="61"/>
  <c r="M239" i="61"/>
  <c r="J240" i="61"/>
  <c r="M240" i="61"/>
  <c r="J241" i="61"/>
  <c r="M241" i="61"/>
  <c r="J242" i="61"/>
  <c r="M242" i="61"/>
  <c r="J243" i="61"/>
  <c r="M243" i="61"/>
  <c r="J244" i="61"/>
  <c r="M244" i="61"/>
  <c r="J245" i="61"/>
  <c r="K245" i="61"/>
  <c r="M245" i="61"/>
  <c r="N245" i="61"/>
  <c r="J246" i="61"/>
  <c r="K246" i="61"/>
  <c r="M246" i="61"/>
  <c r="N246" i="61"/>
  <c r="J247" i="61"/>
  <c r="K247" i="61"/>
  <c r="M247" i="61"/>
  <c r="N247" i="61"/>
  <c r="J248" i="61"/>
  <c r="K248" i="61"/>
  <c r="M248" i="61"/>
  <c r="N248" i="61"/>
  <c r="J249" i="61"/>
  <c r="K249" i="61"/>
  <c r="M249" i="61"/>
  <c r="N249" i="61"/>
  <c r="J250" i="61"/>
  <c r="K250" i="61"/>
  <c r="M250" i="61"/>
  <c r="N250" i="61"/>
  <c r="J251" i="61"/>
  <c r="K251" i="61"/>
  <c r="M251" i="61"/>
  <c r="N251" i="61"/>
  <c r="J252" i="61"/>
  <c r="K252" i="61"/>
  <c r="M252" i="61"/>
  <c r="N252" i="61"/>
  <c r="J253" i="61"/>
  <c r="K253" i="61"/>
  <c r="M253" i="61"/>
  <c r="N253" i="61"/>
  <c r="J254" i="61"/>
  <c r="K254" i="61"/>
  <c r="M254" i="61"/>
  <c r="N254" i="61"/>
  <c r="J255" i="61"/>
  <c r="K255" i="61"/>
  <c r="M255" i="61"/>
  <c r="N255" i="61"/>
  <c r="J256" i="61"/>
  <c r="K256" i="61"/>
  <c r="M256" i="61"/>
  <c r="N256" i="61"/>
  <c r="J257" i="61"/>
  <c r="K257" i="61"/>
  <c r="M257" i="61"/>
  <c r="N257" i="61"/>
  <c r="J258" i="61"/>
  <c r="K258" i="61"/>
  <c r="M258" i="61"/>
  <c r="N258" i="61"/>
  <c r="J259" i="61"/>
  <c r="K259" i="61"/>
  <c r="M259" i="61"/>
  <c r="N259" i="61"/>
  <c r="J260" i="61"/>
  <c r="K260" i="61"/>
  <c r="M260" i="61"/>
  <c r="N260" i="61"/>
  <c r="J261" i="61"/>
  <c r="K261" i="61"/>
  <c r="M261" i="61"/>
  <c r="N261" i="61"/>
  <c r="J262" i="61"/>
  <c r="K262" i="61"/>
  <c r="M262" i="61"/>
  <c r="N262" i="61"/>
  <c r="J263" i="61"/>
  <c r="K263" i="61"/>
  <c r="M263" i="61"/>
  <c r="N263" i="61"/>
  <c r="J264" i="61"/>
  <c r="K264" i="61"/>
  <c r="M264" i="61"/>
  <c r="N264" i="61"/>
  <c r="J265" i="61"/>
  <c r="K265" i="61"/>
  <c r="M265" i="61"/>
  <c r="N265" i="61"/>
  <c r="J266" i="61"/>
  <c r="K266" i="61"/>
  <c r="M266" i="61"/>
  <c r="N266" i="61"/>
  <c r="J267" i="61"/>
  <c r="K267" i="61"/>
  <c r="M267" i="61"/>
  <c r="N267" i="61"/>
  <c r="J268" i="61"/>
  <c r="K268" i="61"/>
  <c r="M268" i="61"/>
  <c r="N268" i="61"/>
  <c r="J269" i="61"/>
  <c r="K269" i="61"/>
  <c r="M269" i="61"/>
  <c r="N269" i="61"/>
  <c r="J270" i="61"/>
  <c r="K270" i="61"/>
  <c r="M270" i="61"/>
  <c r="N270" i="61"/>
  <c r="J271" i="61"/>
  <c r="K271" i="61"/>
  <c r="M271" i="61"/>
  <c r="N271" i="61"/>
  <c r="J272" i="61"/>
  <c r="K272" i="61"/>
  <c r="M272" i="61"/>
  <c r="N272" i="61"/>
  <c r="J273" i="61"/>
  <c r="K273" i="61"/>
  <c r="M273" i="61"/>
  <c r="N273" i="61"/>
  <c r="J274" i="61"/>
  <c r="K274" i="61"/>
  <c r="M274" i="61"/>
  <c r="N274" i="61"/>
  <c r="J275" i="61"/>
  <c r="K275" i="61"/>
  <c r="M275" i="61"/>
  <c r="N275" i="61"/>
  <c r="J276" i="61"/>
  <c r="K276" i="61"/>
  <c r="M276" i="61"/>
  <c r="N276" i="61"/>
  <c r="J277" i="61"/>
  <c r="K277" i="61"/>
  <c r="M277" i="61"/>
  <c r="N277" i="61"/>
  <c r="J278" i="61"/>
  <c r="K278" i="61"/>
  <c r="M278" i="61"/>
  <c r="N278" i="61"/>
  <c r="J279" i="61"/>
  <c r="K279" i="61"/>
  <c r="M279" i="61"/>
  <c r="N279" i="61"/>
  <c r="J280" i="61"/>
  <c r="K280" i="61"/>
  <c r="M280" i="61"/>
  <c r="N280" i="61"/>
  <c r="J281" i="61"/>
  <c r="K281" i="61"/>
  <c r="M281" i="61"/>
  <c r="N281" i="61"/>
  <c r="J282" i="61"/>
  <c r="K282" i="61"/>
  <c r="M282" i="61"/>
  <c r="N282" i="61"/>
  <c r="J283" i="61"/>
  <c r="K283" i="61"/>
  <c r="M283" i="61"/>
  <c r="N283" i="61"/>
  <c r="J284" i="61"/>
  <c r="K284" i="61"/>
  <c r="M284" i="61"/>
  <c r="N284" i="61"/>
  <c r="J285" i="61"/>
  <c r="K285" i="61"/>
  <c r="M285" i="61"/>
  <c r="N285" i="61"/>
  <c r="J286" i="61"/>
  <c r="K286" i="61"/>
  <c r="M286" i="61"/>
  <c r="N286" i="61"/>
  <c r="J287" i="61"/>
  <c r="K287" i="61"/>
  <c r="M287" i="61"/>
  <c r="N287" i="61"/>
  <c r="J288" i="61"/>
  <c r="K288" i="61"/>
  <c r="M288" i="61"/>
  <c r="N288" i="61"/>
  <c r="J289" i="61"/>
  <c r="K289" i="61"/>
  <c r="M289" i="61"/>
  <c r="N289" i="61"/>
  <c r="J290" i="61"/>
  <c r="K290" i="61"/>
  <c r="M290" i="61"/>
  <c r="N290" i="61"/>
  <c r="J291" i="61"/>
  <c r="K291" i="61"/>
  <c r="M291" i="61"/>
  <c r="N291" i="61"/>
  <c r="J292" i="61"/>
  <c r="K292" i="61"/>
  <c r="M292" i="61"/>
  <c r="N292" i="61"/>
  <c r="J293" i="61"/>
  <c r="K293" i="61"/>
  <c r="M293" i="61"/>
  <c r="N293" i="61"/>
  <c r="J294" i="61"/>
  <c r="K294" i="61"/>
  <c r="M294" i="61"/>
  <c r="N294" i="61"/>
  <c r="J295" i="61"/>
  <c r="K295" i="61"/>
  <c r="M295" i="61"/>
  <c r="N295" i="61"/>
  <c r="J296" i="61"/>
  <c r="K296" i="61"/>
  <c r="M296" i="61"/>
  <c r="N296" i="61"/>
  <c r="J297" i="61"/>
  <c r="K297" i="61"/>
  <c r="M297" i="61"/>
  <c r="N297" i="61"/>
  <c r="J298" i="61"/>
  <c r="K298" i="61"/>
  <c r="M298" i="61"/>
  <c r="N298" i="61"/>
  <c r="J299" i="61"/>
  <c r="K299" i="61"/>
  <c r="M299" i="61"/>
  <c r="N299" i="61"/>
  <c r="J300" i="61"/>
  <c r="K300" i="61"/>
  <c r="M300" i="61"/>
  <c r="N300" i="61"/>
  <c r="J301" i="61"/>
  <c r="K301" i="61"/>
  <c r="M301" i="61"/>
  <c r="N301" i="61"/>
  <c r="J302" i="61"/>
  <c r="K302" i="61"/>
  <c r="M302" i="61"/>
  <c r="N302" i="61"/>
  <c r="J303" i="61"/>
  <c r="K303" i="61"/>
  <c r="M303" i="61"/>
  <c r="N303" i="61"/>
  <c r="J304" i="61"/>
  <c r="K304" i="61"/>
  <c r="M304" i="61"/>
  <c r="N304" i="61"/>
  <c r="J305" i="61"/>
  <c r="K305" i="61"/>
  <c r="M305" i="61"/>
  <c r="N305" i="61"/>
  <c r="J306" i="61"/>
  <c r="K306" i="61"/>
  <c r="M306" i="61"/>
  <c r="N306" i="61"/>
  <c r="K307" i="61"/>
  <c r="N307" i="61"/>
  <c r="K308" i="61"/>
  <c r="N308" i="61"/>
  <c r="K309" i="61"/>
  <c r="N309" i="61"/>
  <c r="K310" i="61"/>
  <c r="N310" i="61"/>
  <c r="K311" i="61"/>
  <c r="N311" i="61"/>
  <c r="K312" i="61"/>
  <c r="N312" i="61"/>
  <c r="K313" i="61"/>
  <c r="N313" i="61"/>
  <c r="K314" i="61"/>
  <c r="N314" i="61"/>
  <c r="K315" i="61"/>
  <c r="N315" i="61"/>
  <c r="K316" i="61"/>
  <c r="N316" i="61"/>
  <c r="K317" i="61"/>
  <c r="N317" i="61"/>
  <c r="K318" i="61"/>
  <c r="N318" i="61"/>
  <c r="J319" i="61"/>
  <c r="K319" i="61"/>
  <c r="M319" i="61"/>
  <c r="N319" i="61"/>
  <c r="J320" i="61"/>
  <c r="K320" i="61"/>
  <c r="M320" i="61"/>
  <c r="N320" i="61"/>
  <c r="J321" i="61"/>
  <c r="K321" i="61"/>
  <c r="M321" i="61"/>
  <c r="N321" i="61"/>
  <c r="J322" i="61"/>
  <c r="K322" i="61"/>
  <c r="M322" i="61"/>
  <c r="N322" i="61"/>
  <c r="J323" i="61"/>
  <c r="K323" i="61"/>
  <c r="M323" i="61"/>
  <c r="N323" i="61"/>
  <c r="J324" i="61"/>
  <c r="K324" i="61"/>
  <c r="M324" i="61"/>
  <c r="N324" i="61"/>
  <c r="J325" i="61"/>
  <c r="K325" i="61"/>
  <c r="M325" i="61"/>
  <c r="N325" i="61"/>
  <c r="J326" i="61"/>
  <c r="K326" i="61"/>
  <c r="M326" i="61"/>
  <c r="N326" i="61"/>
  <c r="J327" i="61"/>
  <c r="K327" i="61"/>
  <c r="M327" i="61"/>
  <c r="N327" i="61"/>
  <c r="J328" i="61"/>
  <c r="K328" i="61"/>
  <c r="M328" i="61"/>
  <c r="N328" i="61"/>
  <c r="J329" i="61"/>
  <c r="K329" i="61"/>
  <c r="M329" i="61"/>
  <c r="N329" i="61"/>
  <c r="J330" i="61"/>
  <c r="K330" i="61"/>
  <c r="M330" i="61"/>
  <c r="N330" i="61"/>
  <c r="J331" i="61"/>
  <c r="K331" i="61"/>
  <c r="M331" i="61"/>
  <c r="N331" i="61"/>
  <c r="J332" i="61"/>
  <c r="K332" i="61"/>
  <c r="M332" i="61"/>
  <c r="N332" i="61"/>
  <c r="J333" i="61"/>
  <c r="K333" i="61"/>
  <c r="M333" i="61"/>
  <c r="N333" i="61"/>
  <c r="J334" i="61"/>
  <c r="K334" i="61"/>
  <c r="M334" i="61"/>
  <c r="N334" i="61"/>
  <c r="J335" i="61"/>
  <c r="K335" i="61"/>
  <c r="M335" i="61"/>
  <c r="N335" i="61"/>
  <c r="J336" i="61"/>
  <c r="K336" i="61"/>
  <c r="M336" i="61"/>
  <c r="N336" i="61"/>
  <c r="J337" i="61"/>
  <c r="K337" i="61"/>
  <c r="M337" i="61"/>
  <c r="N337" i="61"/>
  <c r="J338" i="61"/>
  <c r="K338" i="61"/>
  <c r="M338" i="61"/>
  <c r="N338" i="61"/>
  <c r="J339" i="61"/>
  <c r="K339" i="61"/>
  <c r="M339" i="61"/>
  <c r="N339" i="61"/>
  <c r="J340" i="61"/>
  <c r="K340" i="61"/>
  <c r="M340" i="61"/>
  <c r="N340" i="61"/>
  <c r="J341" i="61"/>
  <c r="K341" i="61"/>
  <c r="M341" i="61"/>
  <c r="N341" i="61"/>
  <c r="J342" i="61"/>
  <c r="K342" i="61"/>
  <c r="M342" i="61"/>
  <c r="N342" i="61"/>
  <c r="J343" i="61"/>
  <c r="K343" i="61"/>
  <c r="M343" i="61"/>
  <c r="N343" i="61"/>
  <c r="J344" i="61"/>
  <c r="K344" i="61"/>
  <c r="M344" i="61"/>
  <c r="N344" i="61"/>
  <c r="J345" i="61"/>
  <c r="K345" i="61"/>
  <c r="M345" i="61"/>
  <c r="N345" i="61"/>
  <c r="J346" i="61"/>
  <c r="K346" i="61"/>
  <c r="M346" i="61"/>
  <c r="N346" i="61"/>
  <c r="J347" i="61"/>
  <c r="K347" i="61"/>
  <c r="M347" i="61"/>
  <c r="N347" i="61"/>
  <c r="J348" i="61"/>
  <c r="K348" i="61"/>
  <c r="M348" i="61"/>
  <c r="N348" i="61"/>
  <c r="J349" i="61"/>
  <c r="K349" i="61"/>
  <c r="M349" i="61"/>
  <c r="N349" i="61"/>
  <c r="J350" i="61"/>
  <c r="K350" i="61"/>
  <c r="M350" i="61"/>
  <c r="N350" i="61"/>
  <c r="J351" i="61"/>
  <c r="K351" i="61"/>
  <c r="M351" i="61"/>
  <c r="N351" i="61"/>
  <c r="J352" i="61"/>
  <c r="K352" i="61"/>
  <c r="M352" i="61"/>
  <c r="N352" i="61"/>
  <c r="J353" i="61"/>
  <c r="K353" i="61"/>
  <c r="M353" i="61"/>
  <c r="N353" i="61"/>
  <c r="J354" i="61"/>
  <c r="K354" i="61"/>
  <c r="M354" i="61"/>
  <c r="N354" i="61"/>
  <c r="J355" i="61"/>
  <c r="K355" i="61"/>
  <c r="M355" i="61"/>
  <c r="N355" i="61"/>
  <c r="J356" i="61"/>
  <c r="K356" i="61"/>
  <c r="M356" i="61"/>
  <c r="N356" i="61"/>
  <c r="J357" i="61"/>
  <c r="K357" i="61"/>
  <c r="M357" i="61"/>
  <c r="N357" i="61"/>
  <c r="J358" i="61"/>
  <c r="K358" i="61"/>
  <c r="M358" i="61"/>
  <c r="N358" i="61"/>
  <c r="J359" i="61"/>
  <c r="K359" i="61"/>
  <c r="M359" i="61"/>
  <c r="N359" i="61"/>
  <c r="J360" i="61"/>
  <c r="K360" i="61"/>
  <c r="M360" i="61"/>
  <c r="N360" i="61"/>
  <c r="J361" i="61"/>
  <c r="K361" i="61"/>
  <c r="M361" i="61"/>
  <c r="N361" i="61"/>
  <c r="J362" i="61"/>
  <c r="K362" i="61"/>
  <c r="M362" i="61"/>
  <c r="N362" i="61"/>
  <c r="K363" i="61"/>
  <c r="N363" i="61"/>
  <c r="K364" i="61"/>
  <c r="N364" i="61"/>
  <c r="K365" i="61"/>
  <c r="N365" i="61"/>
  <c r="K366" i="61"/>
  <c r="N366" i="61"/>
  <c r="K367" i="61"/>
  <c r="N367" i="61"/>
  <c r="K368" i="61"/>
  <c r="N368" i="61"/>
  <c r="J369" i="61"/>
  <c r="K369" i="61"/>
  <c r="M369" i="61"/>
  <c r="N369" i="61"/>
  <c r="J370" i="61"/>
  <c r="K370" i="61"/>
  <c r="M370" i="61"/>
  <c r="N370" i="61"/>
  <c r="J371" i="61"/>
  <c r="K371" i="61"/>
  <c r="M371" i="61"/>
  <c r="N371" i="61"/>
  <c r="J372" i="61"/>
  <c r="K372" i="61"/>
  <c r="M372" i="61"/>
  <c r="N372" i="61"/>
  <c r="J373" i="61"/>
  <c r="K373" i="61"/>
  <c r="M373" i="61"/>
  <c r="N373" i="61"/>
  <c r="J374" i="61"/>
  <c r="K374" i="61"/>
  <c r="M374" i="61"/>
  <c r="N374" i="61"/>
  <c r="J375" i="61"/>
  <c r="K375" i="61"/>
  <c r="M375" i="61"/>
  <c r="N375" i="61"/>
  <c r="J376" i="61"/>
  <c r="K376" i="61"/>
  <c r="M376" i="61"/>
  <c r="N376" i="61"/>
  <c r="J377" i="61"/>
  <c r="K377" i="61"/>
  <c r="M377" i="61"/>
  <c r="N377" i="61"/>
  <c r="J378" i="61"/>
  <c r="K378" i="61"/>
  <c r="M378" i="61"/>
  <c r="N378" i="61"/>
  <c r="J379" i="61"/>
  <c r="K379" i="61"/>
  <c r="M379" i="61"/>
  <c r="N379" i="61"/>
  <c r="J380" i="61"/>
  <c r="K380" i="61"/>
  <c r="M380" i="61"/>
  <c r="N380" i="61"/>
  <c r="J381" i="61"/>
  <c r="K381" i="61"/>
  <c r="M381" i="61"/>
  <c r="N381" i="61"/>
  <c r="J382" i="61"/>
  <c r="K382" i="61"/>
  <c r="M382" i="61"/>
  <c r="N382" i="61"/>
  <c r="J383" i="61"/>
  <c r="K383" i="61"/>
  <c r="M383" i="61"/>
  <c r="N383" i="61"/>
  <c r="J384" i="61"/>
  <c r="K384" i="61"/>
  <c r="M384" i="61"/>
  <c r="N384" i="61"/>
  <c r="J385" i="61"/>
  <c r="K385" i="61"/>
  <c r="M385" i="61"/>
  <c r="N385" i="61"/>
  <c r="J386" i="61"/>
  <c r="K386" i="61"/>
  <c r="M386" i="61"/>
  <c r="N386" i="61"/>
  <c r="J387" i="61"/>
  <c r="K387" i="61"/>
  <c r="M387" i="61"/>
  <c r="N387" i="61"/>
  <c r="J388" i="61"/>
  <c r="K388" i="61"/>
  <c r="M388" i="61"/>
  <c r="N388" i="61"/>
  <c r="J389" i="61"/>
  <c r="K389" i="61"/>
  <c r="M389" i="61"/>
  <c r="N389" i="61"/>
  <c r="J390" i="61"/>
  <c r="K390" i="61"/>
  <c r="M390" i="61"/>
  <c r="N390" i="61"/>
  <c r="J391" i="61"/>
  <c r="K391" i="61"/>
  <c r="M391" i="61"/>
  <c r="N391" i="61"/>
  <c r="J392" i="61"/>
  <c r="K392" i="61"/>
  <c r="M392" i="61"/>
  <c r="N392" i="61"/>
  <c r="J393" i="61"/>
  <c r="K393" i="61"/>
  <c r="M393" i="61"/>
  <c r="N393" i="61"/>
  <c r="J394" i="61"/>
  <c r="K394" i="61"/>
  <c r="M394" i="61"/>
  <c r="N394" i="61"/>
  <c r="J395" i="61"/>
  <c r="K395" i="61"/>
  <c r="M395" i="61"/>
  <c r="N395" i="61"/>
  <c r="J396" i="61"/>
  <c r="K396" i="61"/>
  <c r="M396" i="61"/>
  <c r="N396" i="61"/>
  <c r="J397" i="61"/>
  <c r="K397" i="61"/>
  <c r="M397" i="61"/>
  <c r="N397" i="61"/>
  <c r="J398" i="61"/>
  <c r="K398" i="61"/>
  <c r="M398" i="61"/>
  <c r="N398" i="61"/>
  <c r="J399" i="61"/>
  <c r="K399" i="61"/>
  <c r="M399" i="61"/>
  <c r="N399" i="61"/>
  <c r="J400" i="61"/>
  <c r="K400" i="61"/>
  <c r="M400" i="61"/>
  <c r="N400" i="61"/>
  <c r="J401" i="61"/>
  <c r="K401" i="61"/>
  <c r="M401" i="61"/>
  <c r="N401" i="61"/>
  <c r="J402" i="61"/>
  <c r="K402" i="61"/>
  <c r="M402" i="61"/>
  <c r="N402" i="61"/>
  <c r="J403" i="61"/>
  <c r="K403" i="61"/>
  <c r="M403" i="61"/>
  <c r="N403" i="61"/>
  <c r="J404" i="61"/>
  <c r="K404" i="61"/>
  <c r="M404" i="61"/>
  <c r="N404" i="61"/>
  <c r="J405" i="61"/>
  <c r="K405" i="61"/>
  <c r="M405" i="61"/>
  <c r="N405" i="61"/>
  <c r="J406" i="61"/>
  <c r="K406" i="61"/>
  <c r="M406" i="61"/>
  <c r="N406" i="61"/>
  <c r="J407" i="61"/>
  <c r="K407" i="61"/>
  <c r="M407" i="61"/>
  <c r="N407" i="61"/>
  <c r="J408" i="61"/>
  <c r="K408" i="61"/>
  <c r="M408" i="61"/>
  <c r="N408" i="61"/>
  <c r="J409" i="61"/>
  <c r="K409" i="61"/>
  <c r="M409" i="61"/>
  <c r="N409" i="61"/>
  <c r="J410" i="61"/>
  <c r="K410" i="61"/>
  <c r="M410" i="61"/>
  <c r="N410" i="61"/>
  <c r="J411" i="61"/>
  <c r="K411" i="61"/>
  <c r="M411" i="61"/>
  <c r="N411" i="61"/>
  <c r="J412" i="61"/>
  <c r="K412" i="61"/>
  <c r="M412" i="61"/>
  <c r="N412" i="61"/>
  <c r="J413" i="61"/>
  <c r="K413" i="61"/>
  <c r="M413" i="61"/>
  <c r="N413" i="61"/>
  <c r="J414" i="61"/>
  <c r="K414" i="61"/>
  <c r="M414" i="61"/>
  <c r="N414" i="61"/>
  <c r="J415" i="61"/>
  <c r="K415" i="61"/>
  <c r="M415" i="61"/>
  <c r="N415" i="61"/>
  <c r="J416" i="61"/>
  <c r="K416" i="61"/>
  <c r="M416" i="61"/>
  <c r="N416" i="61"/>
  <c r="J417" i="61"/>
  <c r="K417" i="61"/>
  <c r="M417" i="61"/>
  <c r="N417" i="61"/>
  <c r="J418" i="61"/>
  <c r="K418" i="61"/>
  <c r="M418" i="61"/>
  <c r="N418" i="61"/>
  <c r="J419" i="61"/>
  <c r="K419" i="61"/>
  <c r="M419" i="61"/>
  <c r="N419" i="61"/>
  <c r="J420" i="61"/>
  <c r="K420" i="61"/>
  <c r="M420" i="61"/>
  <c r="N420" i="61"/>
  <c r="J421" i="61"/>
  <c r="K421" i="61"/>
  <c r="M421" i="61"/>
  <c r="N421" i="61"/>
  <c r="J422" i="61"/>
  <c r="K422" i="61"/>
  <c r="M422" i="61"/>
  <c r="N422" i="61"/>
  <c r="J423" i="61"/>
  <c r="K423" i="61"/>
  <c r="M423" i="61"/>
  <c r="N423" i="61"/>
  <c r="J424" i="61"/>
  <c r="K424" i="61"/>
  <c r="M424" i="61"/>
  <c r="N424" i="61"/>
  <c r="J425" i="61"/>
  <c r="K425" i="61"/>
  <c r="M425" i="61"/>
  <c r="N425" i="61"/>
  <c r="J426" i="61"/>
  <c r="K426" i="61"/>
  <c r="M426" i="61"/>
  <c r="N426" i="61"/>
  <c r="J427" i="61"/>
  <c r="K427" i="61"/>
  <c r="M427" i="61"/>
  <c r="N427" i="61"/>
  <c r="J428" i="61"/>
  <c r="K428" i="61"/>
  <c r="M428" i="61"/>
  <c r="N428" i="61"/>
  <c r="J429" i="61"/>
  <c r="K429" i="61"/>
  <c r="M429" i="61"/>
  <c r="N429" i="61"/>
  <c r="J430" i="61"/>
  <c r="K430" i="61"/>
  <c r="M430" i="61"/>
  <c r="N430" i="61"/>
  <c r="J431" i="61"/>
  <c r="K431" i="61"/>
  <c r="M431" i="61"/>
  <c r="N431" i="61"/>
  <c r="J432" i="61"/>
  <c r="K432" i="61"/>
  <c r="M432" i="61"/>
  <c r="N432" i="61"/>
  <c r="J433" i="61"/>
  <c r="K433" i="61"/>
  <c r="M433" i="61"/>
  <c r="N433" i="61"/>
  <c r="J434" i="61"/>
  <c r="K434" i="61"/>
  <c r="M434" i="61"/>
  <c r="N434" i="61"/>
  <c r="J435" i="61"/>
  <c r="K435" i="61"/>
  <c r="M435" i="61"/>
  <c r="N435" i="61"/>
  <c r="J436" i="61"/>
  <c r="K436" i="61"/>
  <c r="M436" i="61"/>
  <c r="N436" i="61"/>
  <c r="J437" i="61"/>
  <c r="K437" i="61"/>
  <c r="M437" i="61"/>
  <c r="N437" i="61"/>
  <c r="J438" i="61"/>
  <c r="K438" i="61"/>
  <c r="M438" i="61"/>
  <c r="N438" i="61"/>
  <c r="J439" i="61"/>
  <c r="K439" i="61"/>
  <c r="M439" i="61"/>
  <c r="N439" i="61"/>
  <c r="J440" i="61"/>
  <c r="K440" i="61"/>
  <c r="M440" i="61"/>
  <c r="N440" i="61"/>
  <c r="J441" i="61"/>
  <c r="K441" i="61"/>
  <c r="M441" i="61"/>
  <c r="N441" i="61"/>
  <c r="J442" i="61"/>
  <c r="K442" i="61"/>
  <c r="M442" i="61"/>
  <c r="N442" i="61"/>
  <c r="J443" i="61"/>
  <c r="K443" i="61"/>
  <c r="M443" i="61"/>
  <c r="N443" i="61"/>
  <c r="J444" i="61"/>
  <c r="K444" i="61"/>
  <c r="M444" i="61"/>
  <c r="N444" i="61"/>
  <c r="J445" i="61"/>
  <c r="K445" i="61"/>
  <c r="M445" i="61"/>
  <c r="N445" i="61"/>
  <c r="J446" i="61"/>
  <c r="K446" i="61"/>
  <c r="M446" i="61"/>
  <c r="N446" i="61"/>
  <c r="J447" i="61"/>
  <c r="K447" i="61"/>
  <c r="M447" i="61"/>
  <c r="N447" i="61"/>
  <c r="J448" i="61"/>
  <c r="K448" i="61"/>
  <c r="M448" i="61"/>
  <c r="N448" i="61"/>
  <c r="J449" i="61"/>
  <c r="K449" i="61"/>
  <c r="M449" i="61"/>
  <c r="N449" i="61"/>
  <c r="J450" i="61"/>
  <c r="K450" i="61"/>
  <c r="M450" i="61"/>
  <c r="N450" i="61"/>
  <c r="J451" i="61"/>
  <c r="K451" i="61"/>
  <c r="M451" i="61"/>
  <c r="N451" i="61"/>
  <c r="J452" i="61"/>
  <c r="K452" i="61"/>
  <c r="M452" i="61"/>
  <c r="N452" i="61"/>
  <c r="J453" i="61"/>
  <c r="K453" i="61"/>
  <c r="M453" i="61"/>
  <c r="N453" i="61"/>
  <c r="J454" i="61"/>
  <c r="K454" i="61"/>
  <c r="M454" i="61"/>
  <c r="N454" i="61"/>
  <c r="J455" i="61"/>
  <c r="K455" i="61"/>
  <c r="M455" i="61"/>
  <c r="N455" i="61"/>
  <c r="J456" i="61"/>
  <c r="K456" i="61"/>
  <c r="M456" i="61"/>
  <c r="N456" i="61"/>
  <c r="J457" i="61"/>
  <c r="K457" i="61"/>
  <c r="M457" i="61"/>
  <c r="N457" i="61"/>
  <c r="J458" i="61"/>
  <c r="K458" i="61"/>
  <c r="M458" i="61"/>
  <c r="N458" i="61"/>
  <c r="J459" i="61"/>
  <c r="K459" i="61"/>
  <c r="M459" i="61"/>
  <c r="N459" i="61"/>
  <c r="J460" i="61"/>
  <c r="K460" i="61"/>
  <c r="M460" i="61"/>
  <c r="N460" i="61"/>
  <c r="J461" i="61"/>
  <c r="K461" i="61"/>
  <c r="M461" i="61"/>
  <c r="N461" i="61"/>
  <c r="J462" i="61"/>
  <c r="K462" i="61"/>
  <c r="M462" i="61"/>
  <c r="N462" i="61"/>
  <c r="J463" i="61"/>
  <c r="K463" i="61"/>
  <c r="M463" i="61"/>
  <c r="N463" i="61"/>
  <c r="J464" i="61"/>
  <c r="K464" i="61"/>
  <c r="M464" i="61"/>
  <c r="N464" i="61"/>
  <c r="J465" i="61"/>
  <c r="K465" i="61"/>
  <c r="M465" i="61"/>
  <c r="N465" i="61"/>
  <c r="J466" i="61"/>
  <c r="K466" i="61"/>
  <c r="M466" i="61"/>
  <c r="N466" i="61"/>
  <c r="J467" i="61"/>
  <c r="K467" i="61"/>
  <c r="M467" i="61"/>
  <c r="N467" i="61"/>
  <c r="J468" i="61"/>
  <c r="K468" i="61"/>
  <c r="M468" i="61"/>
  <c r="N468" i="61"/>
  <c r="J469" i="61"/>
  <c r="K469" i="61"/>
  <c r="M469" i="61"/>
  <c r="N469" i="61"/>
  <c r="J470" i="61"/>
  <c r="K470" i="61"/>
  <c r="M470" i="61"/>
  <c r="N470" i="61"/>
  <c r="J471" i="61"/>
  <c r="K471" i="61"/>
  <c r="M471" i="61"/>
  <c r="N471" i="61"/>
  <c r="J472" i="61"/>
  <c r="K472" i="61"/>
  <c r="M472" i="61"/>
  <c r="N472" i="61"/>
  <c r="J473" i="61"/>
  <c r="K473" i="61"/>
  <c r="M473" i="61"/>
  <c r="N473" i="61"/>
  <c r="J474" i="61"/>
  <c r="K474" i="61"/>
  <c r="M474" i="61"/>
  <c r="N474" i="61"/>
  <c r="J475" i="61"/>
  <c r="K475" i="61"/>
  <c r="M475" i="61"/>
  <c r="N475" i="61"/>
  <c r="J476" i="61"/>
  <c r="K476" i="61"/>
  <c r="M476" i="61"/>
  <c r="N476" i="61"/>
  <c r="J477" i="61"/>
  <c r="K477" i="61"/>
  <c r="M477" i="61"/>
  <c r="N477" i="61"/>
  <c r="J478" i="61"/>
  <c r="K478" i="61"/>
  <c r="M478" i="61"/>
  <c r="N478" i="61"/>
  <c r="J479" i="61"/>
  <c r="K479" i="61"/>
  <c r="M479" i="61"/>
  <c r="N479" i="61"/>
  <c r="J480" i="61"/>
  <c r="K480" i="61"/>
  <c r="M480" i="61"/>
  <c r="N480" i="61"/>
  <c r="J481" i="61"/>
  <c r="K481" i="61"/>
  <c r="M481" i="61"/>
  <c r="N481" i="61"/>
  <c r="J482" i="61"/>
  <c r="K482" i="61"/>
  <c r="M482" i="61"/>
  <c r="N482" i="61"/>
  <c r="J483" i="61"/>
  <c r="K483" i="61"/>
  <c r="M483" i="61"/>
  <c r="N483" i="61"/>
  <c r="J484" i="61"/>
  <c r="K484" i="61"/>
  <c r="M484" i="61"/>
  <c r="N484" i="61"/>
  <c r="J485" i="61"/>
  <c r="K485" i="61"/>
  <c r="M485" i="61"/>
  <c r="N485" i="61"/>
  <c r="J486" i="61"/>
  <c r="K486" i="61"/>
  <c r="M486" i="61"/>
  <c r="N486" i="61"/>
  <c r="J487" i="61"/>
  <c r="K487" i="61"/>
  <c r="M487" i="61"/>
  <c r="N487" i="61"/>
  <c r="J488" i="61"/>
  <c r="K488" i="61"/>
  <c r="M488" i="61"/>
  <c r="N488" i="61"/>
  <c r="J489" i="61"/>
  <c r="K489" i="61"/>
  <c r="M489" i="61"/>
  <c r="N489" i="61"/>
  <c r="J490" i="61"/>
  <c r="K490" i="61"/>
  <c r="M490" i="61"/>
  <c r="N490" i="61"/>
  <c r="J491" i="61"/>
  <c r="K491" i="61"/>
  <c r="M491" i="61"/>
  <c r="N491" i="61"/>
  <c r="J492" i="61"/>
  <c r="K492" i="61"/>
  <c r="M492" i="61"/>
  <c r="N492" i="61"/>
  <c r="J493" i="61"/>
  <c r="K493" i="61"/>
  <c r="M493" i="61"/>
  <c r="N493" i="61"/>
  <c r="J494" i="61"/>
  <c r="K494" i="61"/>
  <c r="M494" i="61"/>
  <c r="N494" i="61"/>
  <c r="J495" i="61"/>
  <c r="K495" i="61"/>
  <c r="M495" i="61"/>
  <c r="N495" i="61"/>
  <c r="J496" i="61"/>
  <c r="K496" i="61"/>
  <c r="M496" i="61"/>
  <c r="N496" i="61"/>
  <c r="J497" i="61"/>
  <c r="K497" i="61"/>
  <c r="M497" i="61"/>
  <c r="N497" i="61"/>
  <c r="J498" i="61"/>
  <c r="K498" i="61"/>
  <c r="M498" i="61"/>
  <c r="N498" i="61"/>
  <c r="J499" i="61"/>
  <c r="K499" i="61"/>
  <c r="M499" i="61"/>
  <c r="N499" i="61"/>
  <c r="J500" i="61"/>
  <c r="K500" i="61"/>
  <c r="M500" i="61"/>
  <c r="N500" i="61"/>
  <c r="J501" i="61"/>
  <c r="K501" i="61"/>
  <c r="M501" i="61"/>
  <c r="N501" i="61"/>
  <c r="J502" i="61"/>
  <c r="K502" i="61"/>
  <c r="M502" i="61"/>
  <c r="N502" i="61"/>
  <c r="J503" i="61"/>
  <c r="K503" i="61"/>
  <c r="M503" i="61"/>
  <c r="N503" i="61"/>
  <c r="J504" i="61"/>
  <c r="K504" i="61"/>
  <c r="M504" i="61"/>
  <c r="N504" i="61"/>
  <c r="J505" i="61"/>
  <c r="K505" i="61"/>
  <c r="M505" i="61"/>
  <c r="N505" i="61"/>
  <c r="J506" i="61"/>
  <c r="K506" i="61"/>
  <c r="M506" i="61"/>
  <c r="N506" i="61"/>
  <c r="J507" i="61"/>
  <c r="K507" i="61"/>
  <c r="M507" i="61"/>
  <c r="N507" i="61"/>
  <c r="J508" i="61"/>
  <c r="K508" i="61"/>
  <c r="M508" i="61"/>
  <c r="N508" i="61"/>
  <c r="J509" i="61"/>
  <c r="K509" i="61"/>
  <c r="M509" i="61"/>
  <c r="N509" i="61"/>
  <c r="J510" i="61"/>
  <c r="K510" i="61"/>
  <c r="M510" i="61"/>
  <c r="N510" i="61"/>
  <c r="J511" i="61"/>
  <c r="K511" i="61"/>
  <c r="M511" i="61"/>
  <c r="N511" i="61"/>
  <c r="J512" i="61"/>
  <c r="K512" i="61"/>
  <c r="M512" i="61"/>
  <c r="N512" i="61"/>
  <c r="J513" i="61"/>
  <c r="K513" i="61"/>
  <c r="M513" i="61"/>
  <c r="N513" i="61"/>
  <c r="J514" i="61"/>
  <c r="K514" i="61"/>
  <c r="M514" i="61"/>
  <c r="N514" i="61"/>
  <c r="J515" i="61"/>
  <c r="K515" i="61"/>
  <c r="M515" i="61"/>
  <c r="N515" i="61"/>
  <c r="J516" i="61"/>
  <c r="K516" i="61"/>
  <c r="M516" i="61"/>
  <c r="N516" i="61"/>
  <c r="J517" i="61"/>
  <c r="K517" i="61"/>
  <c r="M517" i="61"/>
  <c r="N517" i="61"/>
  <c r="J518" i="61"/>
  <c r="K518" i="61"/>
  <c r="M518" i="61"/>
  <c r="N518" i="61"/>
  <c r="J519" i="61"/>
  <c r="K519" i="61"/>
  <c r="M519" i="61"/>
  <c r="N519" i="61"/>
  <c r="J520" i="61"/>
  <c r="K520" i="61"/>
  <c r="M520" i="61"/>
  <c r="N520" i="61"/>
  <c r="J521" i="61"/>
  <c r="K521" i="61"/>
  <c r="M521" i="61"/>
  <c r="N521" i="61"/>
  <c r="J522" i="61"/>
  <c r="K522" i="61"/>
  <c r="M522" i="61"/>
  <c r="N522" i="61"/>
  <c r="J523" i="61"/>
  <c r="K523" i="61"/>
  <c r="M523" i="61"/>
  <c r="N523" i="61"/>
  <c r="J524" i="61"/>
  <c r="K524" i="61"/>
  <c r="M524" i="61"/>
  <c r="N524" i="61"/>
  <c r="J525" i="61"/>
  <c r="K525" i="61"/>
  <c r="M525" i="61"/>
  <c r="N525" i="61"/>
  <c r="J526" i="61"/>
  <c r="K526" i="61"/>
  <c r="M526" i="61"/>
  <c r="N526" i="61"/>
  <c r="J527" i="61"/>
  <c r="K527" i="61"/>
  <c r="M527" i="61"/>
  <c r="N527" i="61"/>
  <c r="J528" i="61"/>
  <c r="K528" i="61"/>
  <c r="M528" i="61"/>
  <c r="N528" i="61"/>
  <c r="J529" i="61"/>
  <c r="K529" i="61"/>
  <c r="M529" i="61"/>
  <c r="N529" i="61"/>
  <c r="J530" i="61"/>
  <c r="K530" i="61"/>
  <c r="M530" i="61"/>
  <c r="N530" i="61"/>
  <c r="J531" i="61"/>
  <c r="K531" i="61"/>
  <c r="M531" i="61"/>
  <c r="N531" i="61"/>
  <c r="J532" i="61"/>
  <c r="K532" i="61"/>
  <c r="M532" i="61"/>
  <c r="N532" i="61"/>
  <c r="J533" i="61"/>
  <c r="K533" i="61"/>
  <c r="M533" i="61"/>
  <c r="N533" i="61"/>
  <c r="J534" i="61"/>
  <c r="K534" i="61"/>
  <c r="M534" i="61"/>
  <c r="N534" i="61"/>
  <c r="J535" i="61"/>
  <c r="K535" i="61"/>
  <c r="M535" i="61"/>
  <c r="N535" i="61"/>
  <c r="J536" i="61"/>
  <c r="K536" i="61"/>
  <c r="M536" i="61"/>
  <c r="N536" i="61"/>
  <c r="J537" i="61"/>
  <c r="K537" i="61"/>
  <c r="M537" i="61"/>
  <c r="N537" i="61"/>
  <c r="J538" i="61"/>
  <c r="K538" i="61"/>
  <c r="M538" i="61"/>
  <c r="N538" i="61"/>
  <c r="J539" i="61"/>
  <c r="K539" i="61"/>
  <c r="M539" i="61"/>
  <c r="N539" i="61"/>
  <c r="J540" i="61"/>
  <c r="K540" i="61"/>
  <c r="M540" i="61"/>
  <c r="N540" i="61"/>
  <c r="J541" i="61"/>
  <c r="K541" i="61"/>
  <c r="M541" i="61"/>
  <c r="N541" i="61"/>
  <c r="J542" i="61"/>
  <c r="K542" i="61"/>
  <c r="M542" i="61"/>
  <c r="N542" i="61"/>
  <c r="J543" i="61"/>
  <c r="K543" i="61"/>
  <c r="M543" i="61"/>
  <c r="N543" i="61"/>
  <c r="J544" i="61"/>
  <c r="K544" i="61"/>
  <c r="M544" i="61"/>
  <c r="N544" i="61"/>
  <c r="J545" i="61"/>
  <c r="K545" i="61"/>
  <c r="M545" i="61"/>
  <c r="N545" i="61"/>
  <c r="J546" i="61"/>
  <c r="K546" i="61"/>
  <c r="M546" i="61"/>
  <c r="N546" i="61"/>
  <c r="J547" i="61"/>
  <c r="K547" i="61"/>
  <c r="M547" i="61"/>
  <c r="N547" i="61"/>
  <c r="J548" i="61"/>
  <c r="K548" i="61"/>
  <c r="M548" i="61"/>
  <c r="N548" i="61"/>
  <c r="J549" i="61"/>
  <c r="K549" i="61"/>
  <c r="M549" i="61"/>
  <c r="N549" i="61"/>
  <c r="J550" i="61"/>
  <c r="K550" i="61"/>
  <c r="M550" i="61"/>
  <c r="N550" i="61"/>
  <c r="J551" i="61"/>
  <c r="K551" i="61"/>
  <c r="M551" i="61"/>
  <c r="N551" i="61"/>
  <c r="J552" i="61"/>
  <c r="K552" i="61"/>
  <c r="M552" i="61"/>
  <c r="N552" i="61"/>
  <c r="J553" i="61"/>
  <c r="K553" i="61"/>
  <c r="M553" i="61"/>
  <c r="N553" i="61"/>
  <c r="J554" i="61"/>
  <c r="K554" i="61"/>
  <c r="M554" i="61"/>
  <c r="N554" i="61"/>
  <c r="J555" i="61"/>
  <c r="K555" i="61"/>
  <c r="M555" i="61"/>
  <c r="N555" i="61"/>
  <c r="J556" i="61"/>
  <c r="K556" i="61"/>
  <c r="M556" i="61"/>
  <c r="N556" i="61"/>
  <c r="J557" i="61"/>
  <c r="K557" i="61"/>
  <c r="M557" i="61"/>
  <c r="N557" i="61"/>
  <c r="J558" i="61"/>
  <c r="K558" i="61"/>
  <c r="M558" i="61"/>
  <c r="N558" i="61"/>
  <c r="J559" i="61"/>
  <c r="K559" i="61"/>
  <c r="M559" i="61"/>
  <c r="N559" i="61"/>
  <c r="J560" i="61"/>
  <c r="K560" i="61"/>
  <c r="M560" i="61"/>
  <c r="N560" i="61"/>
  <c r="J561" i="61"/>
  <c r="K561" i="61"/>
  <c r="M561" i="61"/>
  <c r="N561" i="61"/>
  <c r="J562" i="61"/>
  <c r="K562" i="61"/>
  <c r="M562" i="61"/>
  <c r="N562" i="61"/>
  <c r="J563" i="61"/>
  <c r="K563" i="61"/>
  <c r="M563" i="61"/>
  <c r="N563" i="61"/>
  <c r="J564" i="61"/>
  <c r="K564" i="61"/>
  <c r="M564" i="61"/>
  <c r="N564" i="61"/>
  <c r="J565" i="61"/>
  <c r="K565" i="61"/>
  <c r="M565" i="61"/>
  <c r="N565" i="61"/>
  <c r="J566" i="61"/>
  <c r="K566" i="61"/>
  <c r="M566" i="61"/>
  <c r="N566" i="61"/>
  <c r="J567" i="61"/>
  <c r="K567" i="61"/>
  <c r="M567" i="61"/>
  <c r="N567" i="61"/>
  <c r="J568" i="61"/>
  <c r="K568" i="61"/>
  <c r="M568" i="61"/>
  <c r="N568" i="61"/>
  <c r="J569" i="61"/>
  <c r="K569" i="61"/>
  <c r="M569" i="61"/>
  <c r="N569" i="61"/>
  <c r="J570" i="61"/>
  <c r="K570" i="61"/>
  <c r="M570" i="61"/>
  <c r="N570" i="61"/>
  <c r="J571" i="61"/>
  <c r="K571" i="61"/>
  <c r="M571" i="61"/>
  <c r="N571" i="61"/>
  <c r="J572" i="61"/>
  <c r="K572" i="61"/>
  <c r="M572" i="61"/>
  <c r="N572" i="61"/>
  <c r="J573" i="61"/>
  <c r="K573" i="61"/>
  <c r="M573" i="61"/>
  <c r="N573" i="61"/>
  <c r="J574" i="61"/>
  <c r="K574" i="61"/>
  <c r="M574" i="61"/>
  <c r="N574" i="61"/>
  <c r="J575" i="61"/>
  <c r="K575" i="61"/>
  <c r="M575" i="61"/>
  <c r="N575" i="61"/>
  <c r="J576" i="61"/>
  <c r="K576" i="61"/>
  <c r="M576" i="61"/>
  <c r="N576" i="61"/>
  <c r="J577" i="61"/>
  <c r="K577" i="61"/>
  <c r="M577" i="61"/>
  <c r="N577" i="61"/>
  <c r="J578" i="61"/>
  <c r="K578" i="61"/>
  <c r="M578" i="61"/>
  <c r="N578" i="61"/>
  <c r="J579" i="61"/>
  <c r="K579" i="61"/>
  <c r="M579" i="61"/>
  <c r="N579" i="61"/>
  <c r="J580" i="61"/>
  <c r="K580" i="61"/>
  <c r="M580" i="61"/>
  <c r="N580" i="61"/>
  <c r="J581" i="61"/>
  <c r="K581" i="61"/>
  <c r="M581" i="61"/>
  <c r="N581" i="61"/>
  <c r="J582" i="61"/>
  <c r="K582" i="61"/>
  <c r="M582" i="61"/>
  <c r="N582" i="61"/>
  <c r="J583" i="61"/>
  <c r="K583" i="61"/>
  <c r="M583" i="61"/>
  <c r="N583" i="61"/>
  <c r="J584" i="61"/>
  <c r="K584" i="61"/>
  <c r="M584" i="61"/>
  <c r="N584" i="61"/>
  <c r="J585" i="61"/>
  <c r="K585" i="61"/>
  <c r="M585" i="61"/>
  <c r="N585" i="61"/>
  <c r="J586" i="61"/>
  <c r="K586" i="61"/>
  <c r="M586" i="61"/>
  <c r="N586" i="61"/>
  <c r="J587" i="61"/>
  <c r="K587" i="61"/>
  <c r="M587" i="61"/>
  <c r="N587" i="61"/>
  <c r="J588" i="61"/>
  <c r="K588" i="61"/>
  <c r="M588" i="61"/>
  <c r="N588" i="61"/>
  <c r="J589" i="61"/>
  <c r="M589" i="61"/>
  <c r="J590" i="61"/>
  <c r="M590" i="61"/>
  <c r="J591" i="61"/>
  <c r="M591" i="61"/>
  <c r="J592" i="61"/>
  <c r="M592" i="61"/>
  <c r="J593" i="61"/>
  <c r="M593" i="61"/>
  <c r="J594" i="61"/>
  <c r="M594" i="61"/>
  <c r="K595" i="61"/>
  <c r="N595" i="61"/>
  <c r="K596" i="61"/>
  <c r="N596" i="61"/>
  <c r="K597" i="61"/>
  <c r="N597" i="61"/>
  <c r="K598" i="61"/>
  <c r="N598" i="61"/>
  <c r="K599" i="61"/>
  <c r="N599" i="61"/>
  <c r="K600" i="61"/>
  <c r="N600" i="61"/>
  <c r="K601" i="61"/>
  <c r="N601" i="61"/>
  <c r="K602" i="61"/>
  <c r="N602" i="61"/>
  <c r="K603" i="61"/>
  <c r="N603" i="61"/>
  <c r="K604" i="61"/>
  <c r="N604" i="61"/>
  <c r="K605" i="61"/>
  <c r="N605" i="61"/>
  <c r="K606" i="61"/>
  <c r="N606" i="61"/>
  <c r="K607" i="61"/>
  <c r="N607" i="61"/>
  <c r="K608" i="61"/>
  <c r="N608" i="61"/>
  <c r="K609" i="61"/>
  <c r="N609" i="61"/>
  <c r="K610" i="61"/>
  <c r="N610" i="61"/>
  <c r="K611" i="61"/>
  <c r="N611" i="61"/>
  <c r="K612" i="61"/>
  <c r="N612" i="61"/>
  <c r="K613" i="61"/>
  <c r="N613" i="61"/>
  <c r="K614" i="61"/>
  <c r="N614" i="61"/>
  <c r="K615" i="61"/>
  <c r="N615" i="61"/>
  <c r="K616" i="61"/>
  <c r="N616" i="61"/>
  <c r="K617" i="61"/>
  <c r="N617" i="61"/>
  <c r="K618" i="61"/>
  <c r="N618" i="61"/>
  <c r="K619" i="61"/>
  <c r="N619" i="61"/>
  <c r="K620" i="61"/>
  <c r="N620" i="61"/>
  <c r="K621" i="61"/>
  <c r="N621" i="61"/>
  <c r="K622" i="61"/>
  <c r="N622" i="61"/>
  <c r="K623" i="61"/>
  <c r="N623" i="61"/>
  <c r="K624" i="61"/>
  <c r="N624" i="61"/>
  <c r="K625" i="61"/>
  <c r="N625" i="61"/>
  <c r="K626" i="61"/>
  <c r="N626" i="61"/>
  <c r="K627" i="61"/>
  <c r="N627" i="61"/>
  <c r="K628" i="61"/>
  <c r="N628" i="61"/>
  <c r="K629" i="61"/>
  <c r="N629" i="61"/>
  <c r="K630" i="61"/>
  <c r="N630" i="61"/>
  <c r="K631" i="61"/>
  <c r="N631" i="61"/>
  <c r="K632" i="61"/>
  <c r="N632" i="61"/>
  <c r="K633" i="61"/>
  <c r="N633" i="61"/>
  <c r="K634" i="61"/>
  <c r="N634" i="61"/>
  <c r="K635" i="61"/>
  <c r="N635" i="61"/>
  <c r="K636" i="61"/>
  <c r="N636" i="61"/>
  <c r="K637" i="61"/>
  <c r="N637" i="61"/>
  <c r="K638" i="61"/>
  <c r="N638" i="61"/>
  <c r="K639" i="61"/>
  <c r="N639" i="61"/>
  <c r="K640" i="61"/>
  <c r="N640" i="61"/>
  <c r="K641" i="61"/>
  <c r="N641" i="61"/>
  <c r="K642" i="61"/>
  <c r="N642" i="61"/>
  <c r="K643" i="61"/>
  <c r="N643" i="61"/>
  <c r="J644" i="61"/>
  <c r="M644" i="61"/>
  <c r="J645" i="61"/>
  <c r="M645" i="61"/>
  <c r="J646" i="61"/>
  <c r="M646" i="61"/>
  <c r="J647" i="61"/>
  <c r="M647" i="61"/>
  <c r="J648" i="61"/>
  <c r="M648" i="61"/>
  <c r="J649" i="61"/>
  <c r="M649" i="61"/>
  <c r="J650" i="61"/>
  <c r="M650" i="61"/>
  <c r="J651" i="61"/>
  <c r="M651" i="61"/>
  <c r="J652" i="61"/>
  <c r="M652" i="61"/>
  <c r="J653" i="61"/>
  <c r="M653" i="61"/>
  <c r="J654" i="61"/>
  <c r="M654" i="61"/>
  <c r="J655" i="61"/>
  <c r="M655" i="61"/>
  <c r="J656" i="61"/>
  <c r="M656" i="61"/>
  <c r="J657" i="61"/>
  <c r="M657" i="61"/>
  <c r="J658" i="61"/>
  <c r="M658" i="61"/>
  <c r="J659" i="61"/>
  <c r="M659" i="61"/>
  <c r="J660" i="61"/>
  <c r="M660" i="61"/>
  <c r="J661" i="61"/>
  <c r="M661" i="61"/>
  <c r="J662" i="61"/>
  <c r="M662" i="61"/>
  <c r="J663" i="61"/>
  <c r="M663" i="61"/>
  <c r="J664" i="61"/>
  <c r="M664" i="61"/>
  <c r="J665" i="61"/>
  <c r="M665" i="61"/>
  <c r="J666" i="61"/>
  <c r="M666" i="61"/>
  <c r="J667" i="61"/>
  <c r="M667" i="61"/>
  <c r="J668" i="61"/>
  <c r="M668" i="61"/>
  <c r="J669" i="61"/>
  <c r="M669" i="61"/>
  <c r="J670" i="61"/>
  <c r="M670" i="61"/>
  <c r="J671" i="61"/>
  <c r="M671" i="61"/>
  <c r="J672" i="61"/>
  <c r="M672" i="61"/>
  <c r="J673" i="61"/>
  <c r="M673" i="61"/>
  <c r="J674" i="61"/>
  <c r="M674" i="61"/>
  <c r="J675" i="61"/>
  <c r="M675" i="61"/>
  <c r="J676" i="61"/>
  <c r="M676" i="61"/>
  <c r="J677" i="61"/>
  <c r="M677" i="61"/>
  <c r="J678" i="61"/>
  <c r="M678" i="61"/>
  <c r="J679" i="61"/>
  <c r="M679" i="61"/>
  <c r="J680" i="61"/>
  <c r="M680" i="61"/>
  <c r="J681" i="61"/>
  <c r="M681" i="61"/>
  <c r="J682" i="61"/>
  <c r="M682" i="61"/>
  <c r="J683" i="61"/>
  <c r="M683" i="61"/>
  <c r="J684" i="61"/>
  <c r="M684" i="61"/>
  <c r="J685" i="61"/>
  <c r="M685" i="61"/>
  <c r="J686" i="61"/>
  <c r="M686" i="61"/>
  <c r="J687" i="61"/>
  <c r="M687" i="61"/>
  <c r="J688" i="61"/>
  <c r="M688" i="61"/>
  <c r="K689" i="61"/>
  <c r="N689" i="61"/>
  <c r="K690" i="61"/>
  <c r="N690" i="61"/>
  <c r="K691" i="61"/>
  <c r="N691" i="61"/>
  <c r="K692" i="61"/>
  <c r="N692" i="61"/>
  <c r="K693" i="61"/>
  <c r="N693" i="61"/>
  <c r="K694" i="61"/>
  <c r="N694" i="61"/>
  <c r="K695" i="61"/>
  <c r="N695" i="61"/>
  <c r="K696" i="61"/>
  <c r="N696" i="61"/>
  <c r="K697" i="61"/>
  <c r="N697" i="61"/>
  <c r="K698" i="61"/>
  <c r="N698" i="61"/>
  <c r="K699" i="61"/>
  <c r="N699" i="61"/>
  <c r="K700" i="61"/>
  <c r="N700" i="61"/>
  <c r="K701" i="61"/>
  <c r="N701" i="61"/>
  <c r="K702" i="61"/>
  <c r="N702" i="61"/>
  <c r="K703" i="61"/>
  <c r="N703" i="61"/>
  <c r="K704" i="61"/>
  <c r="N704" i="61"/>
  <c r="K705" i="61"/>
  <c r="N705" i="61"/>
  <c r="K706" i="61"/>
  <c r="N706" i="61"/>
  <c r="K707" i="61"/>
  <c r="N707" i="61"/>
  <c r="K708" i="61"/>
  <c r="N708" i="61"/>
  <c r="K709" i="61"/>
  <c r="N709" i="61"/>
  <c r="K710" i="61"/>
  <c r="N710" i="61"/>
  <c r="K711" i="61"/>
  <c r="N711" i="61"/>
  <c r="K712" i="61"/>
  <c r="N712" i="61"/>
  <c r="K713" i="61"/>
  <c r="N713" i="61"/>
  <c r="K714" i="61"/>
  <c r="N714" i="61"/>
  <c r="K715" i="61"/>
  <c r="N715" i="61"/>
  <c r="K716" i="61"/>
  <c r="N716" i="61"/>
  <c r="K717" i="61"/>
  <c r="N717" i="61"/>
  <c r="K718" i="61"/>
  <c r="N718" i="61"/>
  <c r="K719" i="61"/>
  <c r="N719" i="61"/>
  <c r="K720" i="61"/>
  <c r="N720" i="61"/>
  <c r="K721" i="61"/>
  <c r="N721" i="61"/>
  <c r="K722" i="61"/>
  <c r="N722" i="61"/>
  <c r="K723" i="61"/>
  <c r="N723" i="61"/>
  <c r="K724" i="61"/>
  <c r="N724" i="61"/>
  <c r="K725" i="61"/>
  <c r="N725" i="61"/>
  <c r="K726" i="61"/>
  <c r="N726" i="61"/>
  <c r="K727" i="61"/>
  <c r="N727" i="61"/>
  <c r="K728" i="61"/>
  <c r="N728" i="61"/>
  <c r="K729" i="61"/>
  <c r="N729" i="61"/>
  <c r="K730" i="61"/>
  <c r="N730" i="61"/>
  <c r="K731" i="61"/>
  <c r="N731" i="61"/>
  <c r="K732" i="61"/>
  <c r="N732" i="61"/>
  <c r="K733" i="61"/>
  <c r="N733" i="61"/>
  <c r="K734" i="61"/>
  <c r="N734" i="61"/>
  <c r="K735" i="61"/>
  <c r="N735" i="61"/>
  <c r="K736" i="61"/>
  <c r="N736" i="61"/>
  <c r="K737" i="61"/>
  <c r="N737" i="61"/>
  <c r="K738" i="61"/>
  <c r="N738" i="61"/>
  <c r="K739" i="61"/>
  <c r="N739" i="61"/>
  <c r="K740" i="61"/>
  <c r="N740" i="61"/>
  <c r="K741" i="61"/>
  <c r="N741" i="61"/>
  <c r="K742" i="61"/>
  <c r="N742" i="61"/>
  <c r="K743" i="61"/>
  <c r="N743" i="61"/>
  <c r="K744" i="61"/>
  <c r="N744" i="61"/>
  <c r="K745" i="61"/>
  <c r="N745" i="61"/>
  <c r="K746" i="61"/>
  <c r="N746" i="61"/>
  <c r="J747" i="61"/>
  <c r="M747" i="61"/>
  <c r="J748" i="61"/>
  <c r="M748" i="61"/>
  <c r="J749" i="61"/>
  <c r="M749" i="61"/>
  <c r="J750" i="61"/>
  <c r="M750" i="61"/>
  <c r="J751" i="61"/>
  <c r="M751" i="61"/>
  <c r="J752" i="61"/>
  <c r="M752" i="61"/>
  <c r="J753" i="61"/>
  <c r="M753" i="61"/>
  <c r="J754" i="61"/>
  <c r="M754" i="61"/>
  <c r="J755" i="61"/>
  <c r="M755" i="61"/>
  <c r="J756" i="61"/>
  <c r="M756" i="61"/>
  <c r="J757" i="61"/>
  <c r="M757" i="61"/>
  <c r="J758" i="61"/>
  <c r="M758" i="61"/>
  <c r="K759" i="61"/>
  <c r="N759" i="61"/>
  <c r="K760" i="61"/>
  <c r="N760" i="61"/>
  <c r="K761" i="61"/>
  <c r="N761" i="61"/>
  <c r="K762" i="61"/>
  <c r="N762" i="61"/>
  <c r="K763" i="61"/>
  <c r="N763" i="61"/>
  <c r="K764" i="61"/>
  <c r="N764" i="61"/>
  <c r="K765" i="61"/>
  <c r="N765" i="61"/>
  <c r="K766" i="61"/>
  <c r="N766" i="61"/>
  <c r="K767" i="61"/>
  <c r="N767" i="61"/>
  <c r="K768" i="61"/>
  <c r="N768" i="61"/>
  <c r="K769" i="61"/>
  <c r="N769" i="61"/>
  <c r="K770" i="61"/>
  <c r="N770" i="61"/>
  <c r="K771" i="61"/>
  <c r="N771" i="61"/>
  <c r="K772" i="61"/>
  <c r="N772" i="61"/>
  <c r="K773" i="61"/>
  <c r="N773" i="61"/>
  <c r="K774" i="61"/>
  <c r="N774" i="61"/>
  <c r="K775" i="61"/>
  <c r="N775" i="61"/>
  <c r="K776" i="61"/>
  <c r="N776" i="61"/>
  <c r="K777" i="61"/>
  <c r="N777" i="61"/>
  <c r="K778" i="61"/>
  <c r="N778" i="61"/>
  <c r="K779" i="61"/>
  <c r="N779" i="61"/>
  <c r="K780" i="61"/>
  <c r="N780" i="61"/>
  <c r="K781" i="61"/>
  <c r="N781" i="61"/>
  <c r="K782" i="61"/>
  <c r="N782" i="61"/>
  <c r="J783" i="61"/>
  <c r="M783" i="61"/>
  <c r="J784" i="61"/>
  <c r="M784" i="61"/>
  <c r="J785" i="61"/>
  <c r="M785" i="61"/>
  <c r="J786" i="61"/>
  <c r="M786" i="61"/>
  <c r="J787" i="61"/>
  <c r="M787" i="61"/>
  <c r="J788" i="61"/>
  <c r="M788" i="61"/>
  <c r="J789" i="61"/>
  <c r="M789" i="61"/>
  <c r="J790" i="61"/>
  <c r="M790" i="61"/>
  <c r="J791" i="61"/>
  <c r="M791" i="61"/>
  <c r="J792" i="61"/>
  <c r="M792" i="61"/>
  <c r="J793" i="61"/>
  <c r="M793" i="61"/>
  <c r="J794" i="61"/>
  <c r="M794" i="61"/>
  <c r="K795" i="61"/>
  <c r="N795" i="61"/>
  <c r="K796" i="61"/>
  <c r="N796" i="61"/>
  <c r="K797" i="61"/>
  <c r="N797" i="61"/>
  <c r="K798" i="61"/>
  <c r="N798" i="61"/>
  <c r="K799" i="61"/>
  <c r="N799" i="61"/>
  <c r="K800" i="61"/>
  <c r="N800" i="61"/>
  <c r="K801" i="61"/>
  <c r="N801" i="61"/>
  <c r="K802" i="61"/>
  <c r="N802" i="61"/>
  <c r="K803" i="61"/>
  <c r="N803" i="61"/>
  <c r="K804" i="61"/>
  <c r="N804" i="61"/>
  <c r="K805" i="61"/>
  <c r="N805" i="61"/>
  <c r="K806" i="61"/>
  <c r="N806" i="61"/>
  <c r="K807" i="61"/>
  <c r="N807" i="61"/>
  <c r="K808" i="61"/>
  <c r="N808" i="61"/>
  <c r="K809" i="61"/>
  <c r="N809" i="61"/>
  <c r="K810" i="61"/>
  <c r="N810" i="61"/>
  <c r="K811" i="61"/>
  <c r="N811" i="61"/>
  <c r="K812" i="61"/>
  <c r="N812" i="61"/>
  <c r="K813" i="61"/>
  <c r="N813" i="61"/>
  <c r="K814" i="61"/>
  <c r="N814" i="61"/>
  <c r="K815" i="61"/>
  <c r="N815" i="61"/>
  <c r="K816" i="61"/>
  <c r="N816" i="61"/>
  <c r="K817" i="61"/>
  <c r="N817" i="61"/>
  <c r="K818" i="61"/>
  <c r="N818" i="61"/>
  <c r="K819" i="61"/>
  <c r="N819" i="61"/>
  <c r="K820" i="61"/>
  <c r="N820" i="61"/>
  <c r="K821" i="61"/>
  <c r="N821" i="61"/>
  <c r="K822" i="61"/>
  <c r="N822" i="61"/>
  <c r="K823" i="61"/>
  <c r="N823" i="61"/>
  <c r="K824" i="61"/>
  <c r="N824" i="61"/>
  <c r="K825" i="61"/>
  <c r="N825" i="61"/>
  <c r="K826" i="61"/>
  <c r="N826" i="61"/>
  <c r="K827" i="61"/>
  <c r="N827" i="61"/>
  <c r="K828" i="61"/>
  <c r="N828" i="61"/>
  <c r="K829" i="61"/>
  <c r="N829" i="61"/>
  <c r="K830" i="61"/>
  <c r="N830" i="61"/>
  <c r="K831" i="61"/>
  <c r="N831" i="61"/>
  <c r="K832" i="61"/>
  <c r="N832" i="61"/>
  <c r="K833" i="61"/>
  <c r="N833" i="61"/>
  <c r="K834" i="61"/>
  <c r="N834" i="61"/>
  <c r="K835" i="61"/>
  <c r="N835" i="61"/>
  <c r="K836" i="61"/>
  <c r="N836" i="61"/>
  <c r="J837" i="61"/>
  <c r="M837" i="61"/>
  <c r="J838" i="61"/>
  <c r="M838" i="61"/>
  <c r="J839" i="61"/>
  <c r="M839" i="61"/>
  <c r="J840" i="61"/>
  <c r="M840" i="61"/>
  <c r="J841" i="61"/>
  <c r="M841" i="61"/>
  <c r="J842" i="61"/>
  <c r="M842" i="61"/>
  <c r="J843" i="61"/>
  <c r="M843" i="61"/>
  <c r="J844" i="61"/>
  <c r="M844" i="61"/>
  <c r="J845" i="61"/>
  <c r="M845" i="61"/>
  <c r="J846" i="61"/>
  <c r="M846" i="61"/>
  <c r="J847" i="61"/>
  <c r="M847" i="61"/>
  <c r="J848" i="61"/>
  <c r="M848" i="61"/>
  <c r="J849" i="61"/>
  <c r="M849" i="61"/>
  <c r="J850" i="61"/>
  <c r="M850" i="61"/>
  <c r="J851" i="61"/>
  <c r="M851" i="61"/>
  <c r="J852" i="61"/>
  <c r="M852" i="61"/>
  <c r="J853" i="61"/>
  <c r="M853" i="61"/>
  <c r="J854" i="61"/>
  <c r="M854" i="61"/>
  <c r="J855" i="61"/>
  <c r="M855" i="61"/>
  <c r="J856" i="61"/>
  <c r="M856" i="61"/>
  <c r="J857" i="61"/>
  <c r="M857" i="61"/>
  <c r="J858" i="61"/>
  <c r="M858" i="61"/>
  <c r="J859" i="61"/>
  <c r="M859" i="61"/>
  <c r="J860" i="61"/>
  <c r="M860" i="61"/>
  <c r="J861" i="61"/>
  <c r="M861" i="61"/>
  <c r="J862" i="61"/>
  <c r="M862" i="61"/>
  <c r="J863" i="61"/>
  <c r="M863" i="61"/>
  <c r="K864" i="61"/>
  <c r="N864" i="61"/>
  <c r="K865" i="61"/>
  <c r="N865" i="61"/>
  <c r="K866" i="61"/>
  <c r="N866" i="61"/>
  <c r="K867" i="61"/>
  <c r="N867" i="61"/>
  <c r="K868" i="61"/>
  <c r="N868" i="61"/>
  <c r="K869" i="61"/>
  <c r="N869" i="61"/>
  <c r="K870" i="61"/>
  <c r="N870" i="61"/>
  <c r="K871" i="61"/>
  <c r="N871" i="61"/>
  <c r="K872" i="61"/>
  <c r="N872" i="61"/>
  <c r="K873" i="61"/>
  <c r="N873" i="61"/>
  <c r="K874" i="61"/>
  <c r="N874" i="61"/>
  <c r="K875" i="61"/>
  <c r="N875" i="61"/>
  <c r="K876" i="61"/>
  <c r="N876" i="61"/>
  <c r="K877" i="61"/>
  <c r="N877" i="61"/>
  <c r="K878" i="61"/>
  <c r="N878" i="61"/>
  <c r="K879" i="61"/>
  <c r="N879" i="61"/>
  <c r="K880" i="61"/>
  <c r="N880" i="61"/>
  <c r="K881" i="61"/>
  <c r="N881" i="61"/>
  <c r="K882" i="61"/>
  <c r="N882" i="61"/>
  <c r="K883" i="61"/>
  <c r="N883" i="61"/>
  <c r="K884" i="61"/>
  <c r="N884" i="61"/>
  <c r="K885" i="61"/>
  <c r="N885" i="61"/>
  <c r="K886" i="61"/>
  <c r="N886" i="61"/>
  <c r="K887" i="61"/>
  <c r="N887" i="61"/>
  <c r="K888" i="61"/>
  <c r="N888" i="61"/>
  <c r="K889" i="61"/>
  <c r="N889" i="61"/>
  <c r="K890" i="61"/>
  <c r="N890" i="61"/>
  <c r="K891" i="61"/>
  <c r="N891" i="61"/>
  <c r="K892" i="61"/>
  <c r="N892" i="61"/>
  <c r="K893" i="61"/>
  <c r="N893" i="61"/>
  <c r="K894" i="61"/>
  <c r="N894" i="61"/>
  <c r="K895" i="61"/>
  <c r="N895" i="61"/>
  <c r="K896" i="61"/>
  <c r="N896" i="61"/>
  <c r="K897" i="61"/>
  <c r="N897" i="61"/>
  <c r="K898" i="61"/>
  <c r="N898" i="61"/>
  <c r="K899" i="61"/>
  <c r="N899" i="61"/>
  <c r="K900" i="61"/>
  <c r="N900" i="61"/>
  <c r="K901" i="61"/>
  <c r="N901" i="61"/>
  <c r="K902" i="61"/>
  <c r="N902" i="61"/>
  <c r="K903" i="61"/>
  <c r="N903" i="61"/>
  <c r="K904" i="61"/>
  <c r="N904" i="61"/>
  <c r="K905" i="61"/>
  <c r="N905" i="61"/>
  <c r="K906" i="61"/>
  <c r="N906" i="61"/>
  <c r="K907" i="61"/>
  <c r="N907" i="61"/>
  <c r="K908" i="61"/>
  <c r="N908" i="61"/>
  <c r="K909" i="61"/>
  <c r="N909" i="61"/>
  <c r="K910" i="61"/>
  <c r="N910" i="61"/>
  <c r="K911" i="61"/>
  <c r="N911" i="61"/>
  <c r="K912" i="61"/>
  <c r="N912" i="61"/>
  <c r="K913" i="61"/>
  <c r="N913" i="61"/>
  <c r="K914" i="61"/>
  <c r="N914" i="61"/>
  <c r="K915" i="61"/>
  <c r="N915" i="61"/>
  <c r="K916" i="61"/>
  <c r="N916" i="61"/>
  <c r="K917" i="61"/>
  <c r="N917" i="61"/>
  <c r="K918" i="61"/>
  <c r="N918" i="61"/>
  <c r="K919" i="61"/>
  <c r="N919" i="61"/>
  <c r="K920" i="61"/>
  <c r="N920" i="61"/>
  <c r="K921" i="61"/>
  <c r="N921" i="61"/>
  <c r="K922" i="61"/>
  <c r="N922" i="61"/>
  <c r="J923" i="61"/>
  <c r="M923" i="61"/>
  <c r="J924" i="61"/>
  <c r="M924" i="61"/>
  <c r="J925" i="61"/>
  <c r="M925" i="61"/>
  <c r="J926" i="61"/>
  <c r="M926" i="61"/>
  <c r="J927" i="61"/>
  <c r="M927" i="61"/>
  <c r="J928" i="61"/>
  <c r="M928" i="61"/>
  <c r="J929" i="61"/>
  <c r="M929" i="61"/>
  <c r="J930" i="61"/>
  <c r="M930" i="61"/>
  <c r="J931" i="61"/>
  <c r="M931" i="61"/>
  <c r="J932" i="61"/>
  <c r="M932" i="61"/>
  <c r="J933" i="61"/>
  <c r="M933" i="61"/>
  <c r="J934" i="61"/>
  <c r="M934" i="61"/>
  <c r="J935" i="61"/>
  <c r="M935" i="61"/>
  <c r="J936" i="61"/>
  <c r="M936" i="61"/>
  <c r="J937" i="61"/>
  <c r="M937" i="61"/>
  <c r="J938" i="61"/>
  <c r="M938" i="61"/>
  <c r="J939" i="61"/>
  <c r="M939" i="61"/>
  <c r="J940" i="61"/>
  <c r="M940" i="61"/>
  <c r="J941" i="61"/>
  <c r="M941" i="61"/>
  <c r="J942" i="61"/>
  <c r="M942" i="61"/>
  <c r="J943" i="61"/>
  <c r="M943" i="61"/>
  <c r="J944" i="61"/>
  <c r="M944" i="61"/>
  <c r="J945" i="61"/>
  <c r="M945" i="61"/>
  <c r="J946" i="61"/>
  <c r="M946" i="61"/>
  <c r="J947" i="61"/>
  <c r="M947" i="61"/>
  <c r="J948" i="61"/>
  <c r="M948" i="61"/>
  <c r="J949" i="61"/>
  <c r="M949" i="61"/>
  <c r="J950" i="61"/>
  <c r="M950" i="61"/>
  <c r="J951" i="61"/>
  <c r="M951" i="61"/>
  <c r="K952" i="61"/>
  <c r="N952" i="61"/>
  <c r="K953" i="61"/>
  <c r="N953" i="61"/>
  <c r="K954" i="61"/>
  <c r="N954" i="61"/>
  <c r="K955" i="61"/>
  <c r="N955" i="61"/>
  <c r="K956" i="61"/>
  <c r="N956" i="61"/>
  <c r="K957" i="61"/>
  <c r="N957" i="61"/>
  <c r="K958" i="61"/>
  <c r="N958" i="61"/>
  <c r="K959" i="61"/>
  <c r="N959" i="61"/>
  <c r="K960" i="61"/>
  <c r="N960" i="61"/>
  <c r="K961" i="61"/>
  <c r="N961" i="61"/>
  <c r="K962" i="61"/>
  <c r="N962" i="61"/>
  <c r="K963" i="61"/>
  <c r="N963" i="61"/>
  <c r="K964" i="61"/>
  <c r="N964" i="61"/>
  <c r="K965" i="61"/>
  <c r="N965" i="61"/>
  <c r="K966" i="61"/>
  <c r="N966" i="61"/>
  <c r="K967" i="61"/>
  <c r="N967" i="61"/>
  <c r="K968" i="61"/>
  <c r="N968" i="61"/>
  <c r="K969" i="61"/>
  <c r="N969" i="61"/>
  <c r="K970" i="61"/>
  <c r="N970" i="61"/>
  <c r="K971" i="61"/>
  <c r="N971" i="61"/>
  <c r="K972" i="61"/>
  <c r="N972" i="61"/>
  <c r="K973" i="61"/>
  <c r="N973" i="61"/>
  <c r="K974" i="61"/>
  <c r="N974" i="61"/>
  <c r="K975" i="61"/>
  <c r="N975" i="61"/>
  <c r="K976" i="61"/>
  <c r="N976" i="61"/>
  <c r="K977" i="61"/>
  <c r="N977" i="61"/>
  <c r="K978" i="61"/>
  <c r="N978" i="61"/>
  <c r="K979" i="61"/>
  <c r="N979" i="61"/>
  <c r="K980" i="61"/>
  <c r="N980" i="61"/>
  <c r="K981" i="61"/>
  <c r="N981" i="61"/>
  <c r="K982" i="61"/>
  <c r="N982" i="61"/>
  <c r="K983" i="61"/>
  <c r="N983" i="61"/>
  <c r="K984" i="61"/>
  <c r="N984" i="61"/>
  <c r="K985" i="61"/>
  <c r="N985" i="61"/>
  <c r="K986" i="61"/>
  <c r="N986" i="61"/>
  <c r="K987" i="61"/>
  <c r="N987" i="61"/>
  <c r="K988" i="61"/>
  <c r="N988" i="61"/>
  <c r="K989" i="61"/>
  <c r="N989" i="61"/>
  <c r="K990" i="61"/>
  <c r="N990" i="61"/>
  <c r="K991" i="61"/>
  <c r="N991" i="61"/>
  <c r="K992" i="61"/>
  <c r="N992" i="61"/>
  <c r="K993" i="61"/>
  <c r="N993" i="61"/>
  <c r="K994" i="61"/>
  <c r="N994" i="61"/>
  <c r="K995" i="61"/>
  <c r="N995" i="61"/>
  <c r="K996" i="61"/>
  <c r="N996" i="61"/>
  <c r="K997" i="61"/>
  <c r="N997" i="61"/>
  <c r="K998" i="61"/>
  <c r="N998" i="61"/>
  <c r="K999" i="61"/>
  <c r="N999" i="61"/>
  <c r="K1000" i="61"/>
  <c r="N1000" i="61"/>
  <c r="K1001" i="61"/>
  <c r="N1001" i="61"/>
  <c r="K1002" i="61"/>
  <c r="N1002" i="61"/>
  <c r="K1003" i="61"/>
  <c r="N1003" i="61"/>
  <c r="K1004" i="61"/>
  <c r="N1004" i="61"/>
  <c r="K1005" i="61"/>
  <c r="N1005" i="61"/>
  <c r="K1006" i="61"/>
  <c r="N1006" i="61"/>
  <c r="K1007" i="61"/>
  <c r="N1007" i="61"/>
  <c r="K1008" i="61"/>
  <c r="N1008" i="61"/>
  <c r="K1009" i="61"/>
  <c r="N1009" i="61"/>
  <c r="K1010" i="61"/>
  <c r="N1010" i="61"/>
  <c r="K1011" i="61"/>
  <c r="N1011" i="61"/>
  <c r="K1012" i="61"/>
  <c r="N1012" i="61"/>
  <c r="K1013" i="61"/>
  <c r="N1013" i="61"/>
  <c r="K1014" i="61"/>
  <c r="N1014" i="61"/>
  <c r="K1015" i="61"/>
  <c r="N1015" i="61"/>
  <c r="K1016" i="61"/>
  <c r="N1016" i="61"/>
  <c r="K1017" i="61"/>
  <c r="N1017" i="61"/>
  <c r="K1018" i="61"/>
  <c r="N1018" i="61"/>
  <c r="K1019" i="61"/>
  <c r="N1019" i="61"/>
  <c r="K1020" i="61"/>
  <c r="N1020" i="61"/>
  <c r="J1021" i="61"/>
  <c r="M1021" i="61"/>
  <c r="J1022" i="61"/>
  <c r="M1022" i="61"/>
  <c r="J1023" i="61"/>
  <c r="M1023" i="61"/>
  <c r="J1024" i="61"/>
  <c r="M1024" i="61"/>
  <c r="J1025" i="61"/>
  <c r="M1025" i="61"/>
  <c r="J1026" i="61"/>
  <c r="M1026" i="61"/>
  <c r="J1027" i="61"/>
  <c r="M1027" i="61"/>
  <c r="J1028" i="61"/>
  <c r="M1028" i="61"/>
  <c r="J1029" i="61"/>
  <c r="M1029" i="61"/>
  <c r="J1030" i="61"/>
  <c r="M1030" i="61"/>
  <c r="J1031" i="61"/>
  <c r="M1031" i="61"/>
  <c r="J1032" i="61"/>
  <c r="M1032" i="61"/>
  <c r="J1033" i="61"/>
  <c r="M1033" i="61"/>
  <c r="J1034" i="61"/>
  <c r="M1034" i="61"/>
  <c r="J1035" i="61"/>
  <c r="M1035" i="61"/>
  <c r="J1036" i="61"/>
  <c r="M1036" i="61"/>
  <c r="J1037" i="61"/>
  <c r="M1037" i="61"/>
  <c r="J1038" i="61"/>
  <c r="M1038" i="61"/>
  <c r="J1039" i="61"/>
  <c r="M1039" i="61"/>
  <c r="J1040" i="61"/>
  <c r="M1040" i="61"/>
  <c r="J1041" i="61"/>
  <c r="M1041" i="61"/>
  <c r="J1042" i="61"/>
  <c r="M1042" i="61"/>
  <c r="J1043" i="61"/>
  <c r="M1043" i="61"/>
  <c r="J1044" i="61"/>
  <c r="M1044" i="61"/>
  <c r="J1045" i="61"/>
  <c r="M1045" i="61"/>
  <c r="J1046" i="61"/>
  <c r="M1046" i="61"/>
  <c r="K1047" i="61"/>
  <c r="N1047" i="61"/>
  <c r="K1048" i="61"/>
  <c r="N1048" i="61"/>
  <c r="K1049" i="61"/>
  <c r="N1049" i="61"/>
  <c r="K1050" i="61"/>
  <c r="N1050" i="61"/>
  <c r="K1051" i="61"/>
  <c r="N1051" i="61"/>
  <c r="K1052" i="61"/>
  <c r="N1052" i="61"/>
  <c r="K1053" i="61"/>
  <c r="N1053" i="61"/>
  <c r="K1054" i="61"/>
  <c r="N1054" i="61"/>
  <c r="K1055" i="61"/>
  <c r="N1055" i="61"/>
  <c r="K1056" i="61"/>
  <c r="N1056" i="61"/>
  <c r="K1057" i="61"/>
  <c r="N1057" i="61"/>
  <c r="K1058" i="61"/>
  <c r="N1058" i="61"/>
  <c r="K1059" i="61"/>
  <c r="N1059" i="61"/>
  <c r="K1060" i="61"/>
  <c r="N1060" i="61"/>
  <c r="K1061" i="61"/>
  <c r="N1061" i="61"/>
  <c r="K1062" i="61"/>
  <c r="N1062" i="61"/>
  <c r="K1063" i="61"/>
  <c r="N1063" i="61"/>
  <c r="K1064" i="61"/>
  <c r="N1064" i="61"/>
  <c r="K1065" i="61"/>
  <c r="N1065" i="61"/>
  <c r="K1066" i="61"/>
  <c r="N1066" i="61"/>
  <c r="K1067" i="61"/>
  <c r="N1067" i="61"/>
  <c r="K1068" i="61"/>
  <c r="N1068" i="61"/>
  <c r="K1069" i="61"/>
  <c r="N1069" i="61"/>
  <c r="K1070" i="61"/>
  <c r="N1070" i="61"/>
  <c r="K1071" i="61"/>
  <c r="N1071" i="61"/>
  <c r="K1072" i="61"/>
  <c r="N1072" i="61"/>
  <c r="K1073" i="61"/>
  <c r="N1073" i="61"/>
  <c r="K1074" i="61"/>
  <c r="N1074" i="61"/>
  <c r="K1075" i="61"/>
  <c r="N1075" i="61"/>
  <c r="K1076" i="61"/>
  <c r="N1076" i="61"/>
  <c r="K1077" i="61"/>
  <c r="N1077" i="61"/>
  <c r="K1078" i="61"/>
  <c r="N1078" i="61"/>
  <c r="K1079" i="61"/>
  <c r="N1079" i="61"/>
  <c r="K1080" i="61"/>
  <c r="N1080" i="61"/>
  <c r="K1081" i="61"/>
  <c r="N1081" i="61"/>
  <c r="K1082" i="61"/>
  <c r="N1082" i="61"/>
  <c r="K1083" i="61"/>
  <c r="N1083" i="61"/>
  <c r="K1084" i="61"/>
  <c r="N1084" i="61"/>
  <c r="K1085" i="61"/>
  <c r="N1085" i="61"/>
  <c r="K1086" i="61"/>
  <c r="N1086" i="61"/>
  <c r="K1087" i="61"/>
  <c r="N1087" i="61"/>
  <c r="K1088" i="61"/>
  <c r="N1088" i="61"/>
  <c r="K1089" i="61"/>
  <c r="N1089" i="61"/>
  <c r="K1090" i="61"/>
  <c r="N1090" i="61"/>
  <c r="K1091" i="61"/>
  <c r="N1091" i="61"/>
  <c r="K1092" i="61"/>
  <c r="N1092" i="61"/>
  <c r="K1093" i="61"/>
  <c r="N1093" i="61"/>
  <c r="K1094" i="61"/>
  <c r="N1094" i="61"/>
  <c r="K1095" i="61"/>
  <c r="N1095" i="61"/>
  <c r="K1096" i="61"/>
  <c r="N1096" i="61"/>
  <c r="J1097" i="61"/>
  <c r="M1097" i="61"/>
  <c r="J1098" i="61"/>
  <c r="M1098" i="61"/>
  <c r="J1099" i="61"/>
  <c r="M1099" i="61"/>
  <c r="J1100" i="61"/>
  <c r="M1100" i="61"/>
  <c r="J1101" i="61"/>
  <c r="M1101" i="61"/>
  <c r="J1102" i="61"/>
  <c r="M1102" i="61"/>
  <c r="J1103" i="61"/>
  <c r="M1103" i="61"/>
  <c r="J1104" i="61"/>
  <c r="M1104" i="61"/>
  <c r="J1105" i="61"/>
  <c r="M1105" i="61"/>
  <c r="J1106" i="61"/>
  <c r="M1106" i="61"/>
  <c r="J1107" i="61"/>
  <c r="M1107" i="61"/>
  <c r="J1108" i="61"/>
  <c r="M1108" i="61"/>
  <c r="J1109" i="61"/>
  <c r="M1109" i="61"/>
  <c r="J1110" i="61"/>
  <c r="M1110" i="61"/>
  <c r="J1111" i="61"/>
  <c r="M1111" i="61"/>
  <c r="J1112" i="61"/>
  <c r="M1112" i="61"/>
  <c r="J1113" i="61"/>
  <c r="M1113" i="61"/>
  <c r="J1114" i="61"/>
  <c r="M1114" i="61"/>
  <c r="J1115" i="61"/>
  <c r="M1115" i="61"/>
  <c r="J1116" i="61"/>
  <c r="M1116" i="61"/>
  <c r="J1117" i="61"/>
  <c r="M1117" i="61"/>
  <c r="J1118" i="61"/>
  <c r="M1118" i="61"/>
  <c r="J1119" i="61"/>
  <c r="M1119" i="61"/>
  <c r="J1120" i="61"/>
  <c r="M1120" i="61"/>
  <c r="J1121" i="61"/>
  <c r="M1121" i="61"/>
  <c r="J1122" i="61"/>
  <c r="M1122" i="61"/>
  <c r="J1123" i="61"/>
  <c r="M1123" i="61"/>
  <c r="J1124" i="61"/>
  <c r="M1124" i="61"/>
  <c r="J1125" i="61"/>
  <c r="M1125" i="61"/>
  <c r="K1126" i="61"/>
  <c r="N1126" i="61"/>
  <c r="K1127" i="61"/>
  <c r="N1127" i="61"/>
  <c r="K1128" i="61"/>
  <c r="N1128" i="61"/>
  <c r="K1129" i="61"/>
  <c r="N1129" i="61"/>
  <c r="K1130" i="61"/>
  <c r="N1130" i="61"/>
  <c r="K1131" i="61"/>
  <c r="N1131" i="61"/>
  <c r="K1132" i="61"/>
  <c r="N1132" i="61"/>
  <c r="K1133" i="61"/>
  <c r="N1133" i="61"/>
  <c r="K1134" i="61"/>
  <c r="N1134" i="61"/>
  <c r="K1135" i="61"/>
  <c r="N1135" i="61"/>
  <c r="K1136" i="61"/>
  <c r="N1136" i="61"/>
  <c r="K1137" i="61"/>
  <c r="N1137" i="61"/>
  <c r="K1138" i="61"/>
  <c r="N1138" i="61"/>
  <c r="K1139" i="61"/>
  <c r="N1139" i="61"/>
  <c r="K1140" i="61"/>
  <c r="N1140" i="61"/>
  <c r="K1141" i="61"/>
  <c r="N1141" i="61"/>
  <c r="K1142" i="61"/>
  <c r="N1142" i="61"/>
  <c r="K1143" i="61"/>
  <c r="N1143" i="61"/>
  <c r="K1144" i="61"/>
  <c r="N1144" i="61"/>
  <c r="K1145" i="61"/>
  <c r="N1145" i="61"/>
  <c r="K1146" i="61"/>
  <c r="N1146" i="61"/>
  <c r="K1147" i="61"/>
  <c r="N1147" i="61"/>
  <c r="K1148" i="61"/>
  <c r="N1148" i="61"/>
  <c r="K1149" i="61"/>
  <c r="N1149" i="61"/>
  <c r="K1150" i="61"/>
  <c r="N1150" i="61"/>
  <c r="K1151" i="61"/>
  <c r="N1151" i="61"/>
  <c r="K1152" i="61"/>
  <c r="N1152" i="61"/>
  <c r="K1153" i="61"/>
  <c r="N1153" i="61"/>
  <c r="K1154" i="61"/>
  <c r="N1154" i="61"/>
  <c r="K1155" i="61"/>
  <c r="N1155" i="61"/>
  <c r="K1156" i="61"/>
  <c r="N1156" i="61"/>
  <c r="K1157" i="61"/>
  <c r="N1157" i="61"/>
  <c r="K1158" i="61"/>
  <c r="N1158" i="61"/>
  <c r="K1159" i="61"/>
  <c r="N1159" i="61"/>
  <c r="K1160" i="61"/>
  <c r="N1160" i="61"/>
  <c r="K1161" i="61"/>
  <c r="N1161" i="61"/>
  <c r="K1162" i="61"/>
  <c r="N1162" i="61"/>
  <c r="J1163" i="61"/>
  <c r="M1163" i="61"/>
  <c r="J1164" i="61"/>
  <c r="M1164" i="61"/>
  <c r="J1165" i="61"/>
  <c r="M1165" i="61"/>
  <c r="J1166" i="61"/>
  <c r="M1166" i="61"/>
  <c r="J1167" i="61"/>
  <c r="M1167" i="61"/>
  <c r="J1168" i="61"/>
  <c r="M1168" i="61"/>
  <c r="J1169" i="61"/>
  <c r="M1169" i="61"/>
  <c r="J1170" i="61"/>
  <c r="M1170" i="61"/>
  <c r="J1171" i="61"/>
  <c r="M1171" i="61"/>
  <c r="J1172" i="61"/>
  <c r="M1172" i="61"/>
  <c r="J1173" i="61"/>
  <c r="M1173" i="61"/>
  <c r="J1174" i="61"/>
  <c r="M1174" i="61"/>
  <c r="J1175" i="61"/>
  <c r="M1175" i="61"/>
  <c r="J1176" i="61"/>
  <c r="M1176" i="61"/>
  <c r="K1177" i="61"/>
  <c r="N1177" i="61"/>
  <c r="K1178" i="61"/>
  <c r="N1178" i="61"/>
  <c r="K1179" i="61"/>
  <c r="N1179" i="61"/>
  <c r="K1180" i="61"/>
  <c r="N1180" i="61"/>
  <c r="K1181" i="61"/>
  <c r="N1181" i="61"/>
  <c r="K1182" i="61"/>
  <c r="N1182" i="61"/>
  <c r="K1183" i="61"/>
  <c r="N1183" i="61"/>
  <c r="K1184" i="61"/>
  <c r="N1184" i="61"/>
  <c r="K1185" i="61"/>
  <c r="N1185" i="61"/>
  <c r="K1186" i="61"/>
  <c r="N1186" i="61"/>
  <c r="K1187" i="61"/>
  <c r="N1187" i="61"/>
  <c r="K1188" i="61"/>
  <c r="N1188" i="61"/>
  <c r="K1189" i="61"/>
  <c r="N1189" i="61"/>
  <c r="K1190" i="61"/>
  <c r="N1190" i="61"/>
  <c r="K1191" i="61"/>
  <c r="N1191" i="61"/>
  <c r="K1192" i="61"/>
  <c r="N1192" i="61"/>
  <c r="K1193" i="61"/>
  <c r="N1193" i="61"/>
  <c r="K1194" i="61"/>
  <c r="N1194" i="61"/>
  <c r="K1195" i="61"/>
  <c r="N1195" i="61"/>
  <c r="K1196" i="61"/>
  <c r="N1196" i="61"/>
  <c r="K1197" i="61"/>
  <c r="N1197" i="61"/>
  <c r="K1198" i="61"/>
  <c r="N1198" i="61"/>
  <c r="K1199" i="61"/>
  <c r="N1199" i="61"/>
  <c r="K1200" i="61"/>
  <c r="N1200" i="61"/>
  <c r="K1201" i="61"/>
  <c r="N1201" i="61"/>
  <c r="K1202" i="61"/>
  <c r="N1202" i="61"/>
  <c r="K1203" i="61"/>
  <c r="N1203" i="61"/>
  <c r="K1204" i="61"/>
  <c r="N1204" i="61"/>
  <c r="K1205" i="61"/>
  <c r="N1205" i="61"/>
  <c r="K1206" i="61"/>
  <c r="N1206" i="61"/>
  <c r="K1207" i="61"/>
  <c r="N1207" i="61"/>
  <c r="K1208" i="61"/>
  <c r="N1208" i="61"/>
  <c r="K1209" i="61"/>
  <c r="N1209" i="61"/>
  <c r="K1210" i="61"/>
  <c r="N1210" i="61"/>
  <c r="K1211" i="61"/>
  <c r="N1211" i="61"/>
  <c r="K1212" i="61"/>
  <c r="N1212" i="61"/>
  <c r="K1213" i="61"/>
  <c r="N1213" i="61"/>
  <c r="K1214" i="61"/>
  <c r="N1214" i="61"/>
  <c r="K1215" i="61"/>
  <c r="N1215" i="61"/>
  <c r="K1216" i="61"/>
  <c r="N1216" i="61"/>
  <c r="K1217" i="61"/>
  <c r="N1217" i="61"/>
  <c r="K1218" i="61"/>
  <c r="N1218" i="61"/>
  <c r="K1219" i="61"/>
  <c r="N1219" i="61"/>
  <c r="K1220" i="61"/>
  <c r="N1220" i="61"/>
  <c r="K1221" i="61"/>
  <c r="N1221" i="61"/>
  <c r="K1222" i="61"/>
  <c r="N1222" i="61"/>
  <c r="K1223" i="61"/>
  <c r="N1223" i="61"/>
  <c r="K1224" i="61"/>
  <c r="N1224" i="61"/>
  <c r="K1225" i="61"/>
  <c r="N1225" i="61"/>
  <c r="K1226" i="61"/>
  <c r="N1226" i="61"/>
  <c r="K1227" i="61"/>
  <c r="N1227" i="61"/>
  <c r="K1228" i="61"/>
  <c r="N1228" i="61"/>
  <c r="K1229" i="61"/>
  <c r="N1229" i="61"/>
  <c r="K1230" i="61"/>
  <c r="N1230" i="61"/>
  <c r="K1231" i="61"/>
  <c r="N1231" i="61"/>
  <c r="K1232" i="61"/>
  <c r="N1232" i="61"/>
  <c r="K1233" i="61"/>
  <c r="N1233" i="61"/>
  <c r="K1234" i="61"/>
  <c r="N1234" i="61"/>
  <c r="K1235" i="61"/>
  <c r="N1235" i="61"/>
  <c r="K1236" i="61"/>
  <c r="N1236" i="61"/>
  <c r="K1237" i="61"/>
  <c r="N1237" i="61"/>
  <c r="K1238" i="61"/>
  <c r="N1238" i="61"/>
  <c r="K1239" i="61"/>
  <c r="N1239" i="61"/>
  <c r="K1240" i="61"/>
  <c r="N1240" i="61"/>
  <c r="K1241" i="61"/>
  <c r="N1241" i="61"/>
  <c r="K1242" i="61"/>
  <c r="N1242" i="61"/>
  <c r="K1243" i="61"/>
  <c r="N1243" i="61"/>
  <c r="K1244" i="61"/>
  <c r="N1244" i="61"/>
  <c r="K1245" i="61"/>
  <c r="N1245" i="61"/>
  <c r="K1246" i="61"/>
  <c r="N1246" i="61"/>
  <c r="K1247" i="61"/>
  <c r="N1247" i="61"/>
  <c r="K1248" i="61"/>
  <c r="N1248" i="61"/>
  <c r="K1249" i="61"/>
  <c r="N1249" i="61"/>
  <c r="K1250" i="61"/>
  <c r="N1250" i="61"/>
  <c r="K1251" i="61"/>
  <c r="N1251" i="61"/>
  <c r="K1252" i="61"/>
  <c r="N1252" i="61"/>
  <c r="K1253" i="61"/>
  <c r="N1253" i="61"/>
  <c r="K1254" i="61"/>
  <c r="N1254" i="61"/>
  <c r="K1255" i="61"/>
  <c r="N1255" i="61"/>
  <c r="K1256" i="61"/>
  <c r="N1256" i="61"/>
  <c r="K1257" i="61"/>
  <c r="N1257" i="61"/>
  <c r="K1258" i="61"/>
  <c r="N1258" i="61"/>
  <c r="K1259" i="61"/>
  <c r="N1259" i="61"/>
  <c r="K1260" i="61"/>
  <c r="N1260" i="61"/>
  <c r="K1261" i="61"/>
  <c r="N1261" i="61"/>
  <c r="K1262" i="61"/>
  <c r="N1262" i="61"/>
  <c r="K1263" i="61"/>
  <c r="N1263" i="61"/>
  <c r="K1264" i="61"/>
  <c r="N1264" i="61"/>
  <c r="K1265" i="61"/>
  <c r="N1265" i="61"/>
  <c r="K1266" i="61"/>
  <c r="N1266" i="61"/>
  <c r="K1267" i="61"/>
  <c r="N1267" i="61"/>
  <c r="K1268" i="61"/>
  <c r="N1268" i="61"/>
  <c r="K1269" i="61"/>
  <c r="N1269" i="61"/>
  <c r="K1270" i="61"/>
  <c r="N1270" i="61"/>
  <c r="K1271" i="61"/>
  <c r="N1271" i="61"/>
  <c r="K1272" i="61"/>
  <c r="N1272" i="61"/>
  <c r="K1273" i="61"/>
  <c r="N1273" i="61"/>
  <c r="K1274" i="61"/>
  <c r="N1274" i="61"/>
  <c r="K1275" i="61"/>
  <c r="N1275" i="61"/>
  <c r="K1276" i="61"/>
  <c r="N1276" i="61"/>
  <c r="K1277" i="61"/>
  <c r="N1277" i="61"/>
  <c r="K1278" i="61"/>
  <c r="N1278" i="61"/>
  <c r="K1279" i="61"/>
  <c r="N1279" i="61"/>
  <c r="K1280" i="61"/>
  <c r="N1280" i="61"/>
  <c r="K1281" i="61"/>
  <c r="N1281" i="61"/>
  <c r="K1282" i="61"/>
  <c r="N1282" i="61"/>
  <c r="K1283" i="61"/>
  <c r="N1283" i="61"/>
  <c r="K1284" i="61"/>
  <c r="N1284" i="61"/>
  <c r="K1285" i="61"/>
  <c r="N1285" i="61"/>
  <c r="K1286" i="61"/>
  <c r="N1286" i="61"/>
  <c r="K1287" i="61"/>
  <c r="N1287" i="61"/>
  <c r="K1288" i="61"/>
  <c r="N1288" i="61"/>
  <c r="K1289" i="61"/>
  <c r="N1289" i="61"/>
  <c r="K1290" i="61"/>
  <c r="N1290" i="61"/>
  <c r="K1291" i="61"/>
  <c r="N1291" i="61"/>
  <c r="K1292" i="61"/>
  <c r="N1292" i="61"/>
  <c r="K1293" i="61"/>
  <c r="N1293" i="61"/>
  <c r="K1294" i="61"/>
  <c r="N1294" i="61"/>
  <c r="K1295" i="61"/>
  <c r="N1295" i="61"/>
  <c r="K1296" i="61"/>
  <c r="N1296" i="61"/>
  <c r="K1297" i="61"/>
  <c r="N1297" i="61"/>
  <c r="K1298" i="61"/>
  <c r="N1298" i="61"/>
  <c r="K1299" i="61"/>
  <c r="N1299" i="61"/>
  <c r="K1300" i="61"/>
  <c r="N1300" i="61"/>
  <c r="K1301" i="61"/>
  <c r="N1301" i="61"/>
  <c r="K1302" i="61"/>
  <c r="N1302" i="61"/>
  <c r="K1303" i="61"/>
  <c r="N1303" i="61"/>
  <c r="K1304" i="61"/>
  <c r="N1304" i="61"/>
  <c r="K1305" i="61"/>
  <c r="N1305" i="61"/>
  <c r="K1306" i="61"/>
  <c r="N1306" i="61"/>
  <c r="K1307" i="61"/>
  <c r="N1307" i="61"/>
  <c r="K1308" i="61"/>
  <c r="N1308" i="61"/>
  <c r="K1309" i="61"/>
  <c r="N1309" i="61"/>
  <c r="K1310" i="61"/>
  <c r="N1310" i="61"/>
  <c r="K1311" i="61"/>
  <c r="N1311" i="61"/>
  <c r="K1312" i="61"/>
  <c r="N1312" i="61"/>
  <c r="K1313" i="61"/>
  <c r="N1313" i="61"/>
  <c r="K1314" i="61"/>
  <c r="N1314" i="61"/>
  <c r="K1315" i="61"/>
  <c r="N1315" i="61"/>
  <c r="K1316" i="61"/>
  <c r="N1316" i="61"/>
  <c r="K1317" i="61"/>
  <c r="N1317" i="61"/>
  <c r="K1318" i="61"/>
  <c r="N1318" i="61"/>
  <c r="K1319" i="61"/>
  <c r="N1319" i="61"/>
  <c r="K1320" i="61"/>
  <c r="N1320" i="61"/>
  <c r="K1321" i="61"/>
  <c r="N1321" i="61"/>
  <c r="K1322" i="61"/>
  <c r="N1322" i="61"/>
  <c r="K1323" i="61"/>
  <c r="N1323" i="61"/>
  <c r="K1324" i="61"/>
  <c r="N1324" i="61"/>
  <c r="K1325" i="61"/>
  <c r="N1325" i="61"/>
  <c r="K1326" i="61"/>
  <c r="N1326" i="61"/>
  <c r="K1327" i="61"/>
  <c r="N1327" i="61"/>
  <c r="K1328" i="61"/>
  <c r="N1328" i="61"/>
  <c r="K1329" i="61"/>
  <c r="N1329" i="61"/>
  <c r="K1330" i="61"/>
  <c r="N1330" i="61"/>
  <c r="K1331" i="61"/>
  <c r="N1331" i="61"/>
  <c r="K1332" i="61"/>
  <c r="N1332" i="61"/>
  <c r="K1333" i="61"/>
  <c r="N1333" i="61"/>
  <c r="K1334" i="61"/>
  <c r="N1334" i="61"/>
  <c r="K1335" i="61"/>
  <c r="N1335" i="61"/>
  <c r="K1336" i="61"/>
  <c r="N1336" i="61"/>
  <c r="K1337" i="61"/>
  <c r="N1337" i="61"/>
  <c r="K1338" i="61"/>
  <c r="N1338" i="61"/>
  <c r="K1339" i="61"/>
  <c r="N1339" i="61"/>
  <c r="K1340" i="61"/>
  <c r="N1340" i="61"/>
  <c r="K1341" i="61"/>
  <c r="N1341" i="61"/>
  <c r="K1342" i="61"/>
  <c r="N1342" i="61"/>
  <c r="K1343" i="61"/>
  <c r="N1343" i="61"/>
  <c r="K1344" i="61"/>
  <c r="N1344" i="61"/>
  <c r="K1345" i="61"/>
  <c r="N1345" i="61"/>
  <c r="K1346" i="61"/>
  <c r="N1346" i="61"/>
  <c r="K1347" i="61"/>
  <c r="N1347" i="61"/>
  <c r="K1348" i="61"/>
  <c r="N1348" i="61"/>
  <c r="K1349" i="61"/>
  <c r="N1349" i="61"/>
  <c r="K1350" i="61"/>
  <c r="N1350" i="61"/>
  <c r="K1351" i="61"/>
  <c r="N1351" i="61"/>
  <c r="K1352" i="61"/>
  <c r="N1352" i="61"/>
  <c r="K1353" i="61"/>
  <c r="N1353" i="61"/>
  <c r="K1354" i="61"/>
  <c r="N1354" i="61"/>
  <c r="K1355" i="61"/>
  <c r="N1355" i="61"/>
  <c r="K1356" i="61"/>
  <c r="N1356" i="61"/>
  <c r="K1357" i="61"/>
  <c r="N1357" i="61"/>
  <c r="K1358" i="61"/>
  <c r="N1358" i="61"/>
  <c r="K1359" i="61"/>
  <c r="N1359" i="61"/>
  <c r="K1360" i="61"/>
  <c r="N1360" i="61"/>
  <c r="K1361" i="61"/>
  <c r="N1361" i="61"/>
  <c r="K1362" i="61"/>
  <c r="N1362" i="61"/>
  <c r="K1363" i="61"/>
  <c r="N1363" i="61"/>
  <c r="K1364" i="61"/>
  <c r="N1364" i="61"/>
  <c r="K1365" i="61"/>
  <c r="N1365" i="61"/>
  <c r="K1366" i="61"/>
  <c r="N1366" i="61"/>
  <c r="K1367" i="61"/>
  <c r="N1367" i="61"/>
  <c r="K1368" i="61"/>
  <c r="N1368" i="61"/>
  <c r="K1369" i="61"/>
  <c r="N1369" i="61"/>
  <c r="K1370" i="61"/>
  <c r="N1370" i="61"/>
  <c r="K1371" i="61"/>
  <c r="N1371" i="61"/>
  <c r="K1372" i="61"/>
  <c r="N1372" i="61"/>
  <c r="K1373" i="61"/>
  <c r="N1373" i="61"/>
  <c r="K1374" i="61"/>
  <c r="N1374" i="61"/>
  <c r="K1375" i="61"/>
  <c r="N1375" i="61"/>
  <c r="K1376" i="61"/>
  <c r="N1376" i="61"/>
  <c r="K1377" i="61"/>
  <c r="N1377" i="61"/>
  <c r="K1378" i="61"/>
  <c r="N1378" i="61"/>
  <c r="K1379" i="61"/>
  <c r="N1379" i="61"/>
  <c r="K1380" i="61"/>
  <c r="N1380" i="61"/>
  <c r="K1381" i="61"/>
  <c r="N1381" i="61"/>
  <c r="K1382" i="61"/>
  <c r="N1382" i="61"/>
  <c r="K1383" i="61"/>
  <c r="N1383" i="61"/>
  <c r="K1384" i="61"/>
  <c r="N1384" i="61"/>
  <c r="K1385" i="61"/>
  <c r="N1385" i="61"/>
  <c r="K1386" i="61"/>
  <c r="N1386" i="61"/>
  <c r="K1387" i="61"/>
  <c r="N1387" i="61"/>
  <c r="K1388" i="61"/>
  <c r="N1388" i="61"/>
  <c r="K1389" i="61"/>
  <c r="N1389" i="61"/>
  <c r="K1390" i="61"/>
  <c r="N1390" i="61"/>
  <c r="K1391" i="61"/>
  <c r="N1391" i="61"/>
  <c r="K1392" i="61"/>
  <c r="N1392" i="61"/>
  <c r="K1393" i="61"/>
  <c r="N1393" i="61"/>
  <c r="K1394" i="61"/>
  <c r="N1394" i="61"/>
  <c r="K1395" i="61"/>
  <c r="N1395" i="61"/>
  <c r="K1396" i="61"/>
  <c r="N1396" i="61"/>
  <c r="K1397" i="61"/>
  <c r="N1397" i="61"/>
  <c r="K1398" i="61"/>
  <c r="N1398" i="61"/>
  <c r="K1399" i="61"/>
  <c r="N1399" i="61"/>
  <c r="K1400" i="61"/>
  <c r="N1400" i="61"/>
  <c r="K1401" i="61"/>
  <c r="N1401" i="61"/>
  <c r="K1402" i="61"/>
  <c r="N1402" i="61"/>
  <c r="K1403" i="61"/>
  <c r="N1403" i="61"/>
  <c r="K1404" i="61"/>
  <c r="N1404" i="61"/>
  <c r="K1405" i="61"/>
  <c r="N1405" i="61"/>
  <c r="K1406" i="61"/>
  <c r="N1406" i="61"/>
  <c r="K1407" i="61"/>
  <c r="N1407" i="61"/>
  <c r="K1408" i="61"/>
  <c r="N1408" i="61"/>
  <c r="K1409" i="61"/>
  <c r="N1409" i="61"/>
  <c r="K1410" i="61"/>
  <c r="N1410" i="61"/>
  <c r="K1411" i="61"/>
  <c r="N1411" i="61"/>
  <c r="K1412" i="61"/>
  <c r="N1412" i="61"/>
  <c r="K1413" i="61"/>
  <c r="N1413" i="61"/>
  <c r="K1414" i="61"/>
  <c r="N1414" i="61"/>
  <c r="K1415" i="61"/>
  <c r="N1415" i="61"/>
  <c r="K1416" i="61"/>
  <c r="N1416" i="61"/>
  <c r="K1417" i="61"/>
  <c r="N1417" i="61"/>
  <c r="K1418" i="61"/>
  <c r="N1418" i="61"/>
  <c r="K1419" i="61"/>
  <c r="N1419" i="61"/>
  <c r="K1420" i="61"/>
  <c r="N1420" i="61"/>
  <c r="K1421" i="61"/>
  <c r="N1421" i="61"/>
  <c r="K1422" i="61"/>
  <c r="N1422" i="61"/>
  <c r="K1423" i="61"/>
  <c r="N1423" i="61"/>
  <c r="K1424" i="61"/>
  <c r="N1424" i="61"/>
  <c r="K1425" i="61"/>
  <c r="N1425" i="61"/>
  <c r="K1426" i="61"/>
  <c r="N1426" i="61"/>
  <c r="K1427" i="61"/>
  <c r="N1427" i="61"/>
  <c r="K1428" i="61"/>
  <c r="N1428" i="61"/>
  <c r="K1429" i="61"/>
  <c r="N1429" i="61"/>
  <c r="K1430" i="61"/>
  <c r="N1430" i="61"/>
  <c r="K1431" i="61"/>
  <c r="N1431" i="61"/>
  <c r="K1432" i="61"/>
  <c r="N1432" i="61"/>
  <c r="K1433" i="61"/>
  <c r="N1433" i="61"/>
  <c r="K1434" i="61"/>
  <c r="N1434" i="61"/>
  <c r="K1435" i="61"/>
  <c r="N1435" i="61"/>
  <c r="K1436" i="61"/>
  <c r="N1436" i="61"/>
  <c r="K1437" i="61"/>
  <c r="N1437" i="61"/>
  <c r="K1438" i="61"/>
  <c r="N1438" i="61"/>
  <c r="K1439" i="61"/>
  <c r="N1439" i="61"/>
  <c r="K1440" i="61"/>
  <c r="N1440" i="61"/>
  <c r="K1441" i="61"/>
  <c r="N1441" i="61"/>
  <c r="K1442" i="61"/>
  <c r="N1442" i="61"/>
  <c r="K1443" i="61"/>
  <c r="N1443" i="61"/>
  <c r="K1444" i="61"/>
  <c r="N1444" i="61"/>
  <c r="K1445" i="61"/>
  <c r="N1445" i="61"/>
  <c r="K1446" i="61"/>
  <c r="N1446" i="61"/>
  <c r="K1447" i="61"/>
  <c r="N1447" i="61"/>
  <c r="K1448" i="61"/>
  <c r="N1448" i="61"/>
  <c r="K1449" i="61"/>
  <c r="N1449" i="61"/>
  <c r="K1450" i="61"/>
  <c r="N1450" i="61"/>
  <c r="K1451" i="61"/>
  <c r="N1451" i="61"/>
  <c r="K1452" i="61"/>
  <c r="N1452" i="61"/>
  <c r="K1453" i="61"/>
  <c r="N1453" i="61"/>
  <c r="K1454" i="61"/>
  <c r="N1454" i="61"/>
  <c r="K1455" i="61"/>
  <c r="N1455" i="61"/>
  <c r="K1456" i="61"/>
  <c r="N1456" i="61"/>
  <c r="K1457" i="61"/>
  <c r="N1457" i="61"/>
  <c r="K1458" i="61"/>
  <c r="N1458" i="61"/>
  <c r="K1459" i="61"/>
  <c r="N1459" i="61"/>
  <c r="K1460" i="61"/>
  <c r="N1460" i="61"/>
  <c r="K1461" i="61"/>
  <c r="N1461" i="61"/>
  <c r="K1462" i="61"/>
  <c r="N1462" i="61"/>
  <c r="K1463" i="61"/>
  <c r="N1463" i="61"/>
  <c r="K1464" i="61"/>
  <c r="N1464" i="61"/>
  <c r="K1465" i="61"/>
  <c r="N1465" i="61"/>
  <c r="K1466" i="61"/>
  <c r="N1466" i="61"/>
  <c r="K1467" i="61"/>
  <c r="N1467" i="61"/>
  <c r="K1468" i="61"/>
  <c r="N1468" i="61"/>
  <c r="K1469" i="61"/>
  <c r="N1469" i="61"/>
  <c r="K1470" i="61"/>
  <c r="N1470" i="61"/>
  <c r="K1471" i="61"/>
  <c r="N1471" i="61"/>
  <c r="K1472" i="61"/>
  <c r="N1472" i="61"/>
  <c r="K1473" i="61"/>
  <c r="N1473" i="61"/>
  <c r="K1474" i="61"/>
  <c r="N1474" i="61"/>
  <c r="K1475" i="61"/>
  <c r="N1475" i="61"/>
  <c r="K1476" i="61"/>
  <c r="N1476" i="61"/>
  <c r="K1477" i="61"/>
  <c r="N1477" i="61"/>
  <c r="K1478" i="61"/>
  <c r="N1478" i="61"/>
  <c r="K1479" i="61"/>
  <c r="N1479" i="61"/>
  <c r="K1480" i="61"/>
  <c r="N1480" i="61"/>
  <c r="K1481" i="61"/>
  <c r="N1481" i="61"/>
  <c r="K1482" i="61"/>
  <c r="N1482" i="61"/>
  <c r="K1483" i="61"/>
  <c r="N1483" i="61"/>
  <c r="K1484" i="61"/>
  <c r="N1484" i="61"/>
  <c r="K1485" i="61"/>
  <c r="N1485" i="61"/>
  <c r="K1486" i="61"/>
  <c r="N1486" i="61"/>
  <c r="K1487" i="61"/>
  <c r="N1487" i="61"/>
  <c r="K1488" i="61"/>
  <c r="N1488" i="61"/>
  <c r="K1489" i="61"/>
  <c r="N1489" i="61"/>
  <c r="K1490" i="61"/>
  <c r="N1490" i="61"/>
  <c r="K1491" i="61"/>
  <c r="N1491" i="61"/>
  <c r="K1492" i="61"/>
  <c r="N1492" i="61"/>
  <c r="K1493" i="61"/>
  <c r="N1493" i="61"/>
  <c r="K1494" i="61"/>
  <c r="N1494" i="61"/>
  <c r="K1495" i="61"/>
  <c r="N1495" i="61"/>
  <c r="K1496" i="61"/>
  <c r="N1496" i="61"/>
  <c r="K1497" i="61"/>
  <c r="N1497" i="61"/>
  <c r="K1498" i="61"/>
  <c r="N1498" i="61"/>
  <c r="K1499" i="61"/>
  <c r="N1499" i="61"/>
  <c r="K1500" i="61"/>
  <c r="N1500" i="61"/>
  <c r="K1501" i="61"/>
  <c r="N1501" i="61"/>
  <c r="K1502" i="61"/>
  <c r="N1502" i="61"/>
  <c r="K1503" i="61"/>
  <c r="N1503" i="61"/>
  <c r="K1504" i="61"/>
  <c r="N1504" i="61"/>
  <c r="K1505" i="61"/>
  <c r="N1505" i="61"/>
  <c r="K1506" i="61"/>
  <c r="N1506" i="61"/>
  <c r="K1507" i="61"/>
  <c r="N1507" i="61"/>
  <c r="K1508" i="61"/>
  <c r="N1508" i="61"/>
  <c r="K1509" i="61"/>
  <c r="N1509" i="61"/>
  <c r="K1510" i="61"/>
  <c r="N1510" i="61"/>
  <c r="K1511" i="61"/>
  <c r="N1511" i="61"/>
  <c r="K1512" i="61"/>
  <c r="N1512" i="61"/>
  <c r="K1513" i="61"/>
  <c r="N1513" i="61"/>
  <c r="K1514" i="61"/>
  <c r="N1514" i="61"/>
  <c r="K1515" i="61"/>
  <c r="N1515" i="61"/>
  <c r="K1516" i="61"/>
  <c r="N1516" i="61"/>
  <c r="K1517" i="61"/>
  <c r="N1517" i="61"/>
  <c r="K1518" i="61"/>
  <c r="N1518" i="61"/>
  <c r="K1519" i="61"/>
  <c r="N1519" i="61"/>
  <c r="K1520" i="61"/>
  <c r="N1520" i="61"/>
  <c r="K1521" i="61"/>
  <c r="N1521" i="61"/>
  <c r="K1522" i="61"/>
  <c r="N1522" i="61"/>
  <c r="K1523" i="61"/>
  <c r="N1523" i="61"/>
  <c r="K1524" i="61"/>
  <c r="N1524" i="61"/>
  <c r="K1525" i="61"/>
  <c r="N1525" i="61"/>
  <c r="K1526" i="61"/>
  <c r="N1526" i="61"/>
  <c r="K1527" i="61"/>
  <c r="N1527" i="61"/>
  <c r="K1528" i="61"/>
  <c r="N1528" i="61"/>
  <c r="K1529" i="61"/>
  <c r="N1529" i="61"/>
  <c r="K1530" i="61"/>
  <c r="N1530" i="61"/>
  <c r="K1531" i="61"/>
  <c r="N1531" i="61"/>
  <c r="K1532" i="61"/>
  <c r="N1532" i="61"/>
  <c r="K1533" i="61"/>
  <c r="N1533" i="61"/>
  <c r="K1534" i="61"/>
  <c r="N1534" i="61"/>
  <c r="K1535" i="61"/>
  <c r="N1535" i="61"/>
  <c r="K1536" i="61"/>
  <c r="N1536" i="61"/>
  <c r="K1537" i="61"/>
  <c r="N1537" i="61"/>
  <c r="K1538" i="61"/>
  <c r="N1538" i="61"/>
  <c r="K1539" i="61"/>
  <c r="N1539" i="61"/>
  <c r="K1540" i="61"/>
  <c r="N1540" i="61"/>
  <c r="K1541" i="61"/>
  <c r="N1541" i="61"/>
  <c r="K1542" i="61"/>
  <c r="N1542" i="61"/>
  <c r="K1543" i="61"/>
  <c r="N1543" i="61"/>
  <c r="K1544" i="61"/>
  <c r="N1544" i="61"/>
  <c r="K1545" i="61"/>
  <c r="N1545" i="61"/>
  <c r="K1546" i="61"/>
  <c r="N1546" i="61"/>
  <c r="K1547" i="61"/>
  <c r="N1547" i="61"/>
  <c r="K1548" i="61"/>
  <c r="N1548" i="61"/>
  <c r="K1549" i="61"/>
  <c r="N1549" i="61"/>
  <c r="K1550" i="61"/>
  <c r="N1550" i="61"/>
  <c r="K1551" i="61"/>
  <c r="N1551" i="61"/>
  <c r="K1552" i="61"/>
  <c r="N1552" i="61"/>
  <c r="K1553" i="61"/>
  <c r="N1553" i="61"/>
  <c r="K1554" i="61"/>
  <c r="N1554" i="61"/>
  <c r="K1555" i="61"/>
  <c r="N1555" i="61"/>
  <c r="K1556" i="61"/>
  <c r="N1556" i="61"/>
  <c r="K1557" i="61"/>
  <c r="N1557" i="61"/>
  <c r="K1558" i="61"/>
  <c r="N1558" i="61"/>
  <c r="K1559" i="61"/>
  <c r="N1559" i="61"/>
  <c r="K1560" i="61"/>
  <c r="N1560" i="61"/>
  <c r="K1561" i="61"/>
  <c r="N1561" i="61"/>
  <c r="K1562" i="61"/>
  <c r="N1562" i="61"/>
  <c r="K1563" i="61"/>
  <c r="N1563" i="61"/>
  <c r="K1564" i="61"/>
  <c r="N1564" i="61"/>
  <c r="K1565" i="61"/>
  <c r="N1565" i="61"/>
  <c r="K1566" i="61"/>
  <c r="N1566" i="61"/>
  <c r="K1567" i="61"/>
  <c r="N1567" i="61"/>
  <c r="K1568" i="61"/>
  <c r="N1568" i="61"/>
  <c r="K1569" i="61"/>
  <c r="N1569" i="61"/>
  <c r="K1570" i="61"/>
  <c r="N1570" i="61"/>
  <c r="K1571" i="61"/>
  <c r="N1571" i="61"/>
  <c r="K1572" i="61"/>
  <c r="N1572" i="61"/>
  <c r="K1573" i="61"/>
  <c r="N1573" i="61"/>
  <c r="K1574" i="61"/>
  <c r="N1574" i="61"/>
  <c r="K1575" i="61"/>
  <c r="N1575" i="61"/>
  <c r="K1576" i="61"/>
  <c r="N1576" i="61"/>
  <c r="K1577" i="61"/>
  <c r="N1577" i="61"/>
  <c r="K1578" i="61"/>
  <c r="N1578" i="61"/>
  <c r="K1579" i="61"/>
  <c r="N1579" i="61"/>
  <c r="K1580" i="61"/>
  <c r="N1580" i="61"/>
  <c r="K1581" i="61"/>
  <c r="N1581" i="61"/>
  <c r="K1582" i="61"/>
  <c r="N1582" i="61"/>
  <c r="K1583" i="61"/>
  <c r="N1583" i="61"/>
  <c r="K1584" i="61"/>
  <c r="N1584" i="61"/>
  <c r="K1585" i="61"/>
  <c r="N1585" i="61"/>
  <c r="K1586" i="61"/>
  <c r="N1586" i="61"/>
  <c r="K1587" i="61"/>
  <c r="N1587" i="61"/>
  <c r="K1588" i="61"/>
  <c r="N1588" i="61"/>
  <c r="K1589" i="61"/>
  <c r="N1589" i="61"/>
  <c r="K1590" i="61"/>
  <c r="N1590" i="61"/>
  <c r="K1591" i="61"/>
  <c r="N1591" i="61"/>
  <c r="K1592" i="61"/>
  <c r="N1592" i="61"/>
  <c r="K1593" i="61"/>
  <c r="N1593" i="61"/>
  <c r="K1594" i="61"/>
  <c r="N1594" i="61"/>
  <c r="K1595" i="61"/>
  <c r="N1595" i="61"/>
  <c r="K1596" i="61"/>
  <c r="N1596" i="61"/>
  <c r="K1597" i="61"/>
  <c r="N1597" i="61"/>
  <c r="K1598" i="61"/>
  <c r="N1598" i="61"/>
  <c r="K1599" i="61"/>
  <c r="N1599" i="61"/>
  <c r="K1600" i="61"/>
  <c r="N1600" i="61"/>
  <c r="K1601" i="61"/>
  <c r="N1601" i="61"/>
  <c r="K1602" i="61"/>
  <c r="N1602" i="61"/>
  <c r="K1603" i="61"/>
  <c r="N1603" i="61"/>
  <c r="K1604" i="61"/>
  <c r="N1604" i="61"/>
  <c r="K1605" i="61"/>
  <c r="N1605" i="61"/>
  <c r="K1606" i="61"/>
  <c r="N1606" i="61"/>
  <c r="K1607" i="61"/>
  <c r="N1607" i="61"/>
  <c r="K1608" i="61"/>
  <c r="N1608" i="61"/>
  <c r="K1609" i="61"/>
  <c r="N1609" i="61"/>
  <c r="K1610" i="61"/>
  <c r="N1610" i="61"/>
  <c r="K1611" i="61"/>
  <c r="N1611" i="61"/>
  <c r="K1612" i="61"/>
  <c r="N1612" i="61"/>
  <c r="K1613" i="61"/>
  <c r="N1613" i="61"/>
  <c r="K1614" i="61"/>
  <c r="N1614" i="61"/>
  <c r="K1615" i="61"/>
  <c r="N1615" i="61"/>
  <c r="K1616" i="61"/>
  <c r="N1616" i="61"/>
  <c r="K1617" i="61"/>
  <c r="N1617" i="61"/>
  <c r="K1618" i="61"/>
  <c r="N1618" i="61"/>
  <c r="K1619" i="61"/>
  <c r="N1619" i="61"/>
  <c r="K1620" i="61"/>
  <c r="N1620" i="61"/>
  <c r="K1621" i="61"/>
  <c r="N1621" i="61"/>
  <c r="K1622" i="61"/>
  <c r="N1622" i="61"/>
  <c r="K1623" i="61"/>
  <c r="N1623" i="61"/>
  <c r="K1624" i="61"/>
  <c r="N1624" i="61"/>
  <c r="K1625" i="61"/>
  <c r="N1625" i="61"/>
  <c r="K1626" i="61"/>
  <c r="N1626" i="61"/>
  <c r="K1627" i="61"/>
  <c r="N1627" i="61"/>
  <c r="K1628" i="61"/>
  <c r="N1628" i="61"/>
  <c r="K1629" i="61"/>
  <c r="N1629" i="61"/>
  <c r="K1630" i="61"/>
  <c r="N1630" i="61"/>
  <c r="K1631" i="61"/>
  <c r="N1631" i="61"/>
  <c r="K1632" i="61"/>
  <c r="N1632" i="61"/>
  <c r="K1633" i="61"/>
  <c r="N1633" i="61"/>
  <c r="K1634" i="61"/>
  <c r="N1634" i="61"/>
  <c r="K1635" i="61"/>
  <c r="N1635" i="61"/>
  <c r="K1636" i="61"/>
  <c r="N1636" i="61"/>
  <c r="K1637" i="61"/>
  <c r="N1637" i="61"/>
  <c r="K1638" i="61"/>
  <c r="N1638" i="61"/>
  <c r="K1639" i="61"/>
  <c r="N1639" i="61"/>
  <c r="K1640" i="61"/>
  <c r="N1640" i="61"/>
  <c r="K1641" i="61"/>
  <c r="N1641" i="61"/>
  <c r="K1642" i="61"/>
  <c r="N1642" i="61"/>
  <c r="K1643" i="61"/>
  <c r="N1643" i="61"/>
  <c r="K1644" i="61"/>
  <c r="N1644" i="61"/>
  <c r="K1645" i="61"/>
  <c r="N1645" i="61"/>
  <c r="K1646" i="61"/>
  <c r="N1646" i="61"/>
  <c r="K1647" i="61"/>
  <c r="N1647" i="61"/>
  <c r="K1648" i="61"/>
  <c r="N1648" i="61"/>
  <c r="K1649" i="61"/>
  <c r="N1649" i="61"/>
  <c r="K1650" i="61"/>
  <c r="N1650" i="61"/>
  <c r="K1651" i="61"/>
  <c r="N1651" i="61"/>
  <c r="K1652" i="61"/>
  <c r="N1652" i="61"/>
  <c r="K1653" i="61"/>
  <c r="N1653" i="61"/>
  <c r="K1654" i="61"/>
  <c r="N1654" i="61"/>
  <c r="K1655" i="61"/>
  <c r="N1655" i="61"/>
  <c r="K1656" i="61"/>
  <c r="N1656" i="61"/>
  <c r="K1657" i="61"/>
  <c r="N1657" i="61"/>
  <c r="K1658" i="61"/>
  <c r="N1658" i="61"/>
  <c r="K1659" i="61"/>
  <c r="N1659" i="61"/>
  <c r="K1660" i="61"/>
  <c r="N1660" i="61"/>
  <c r="K1661" i="61"/>
  <c r="N1661" i="61"/>
  <c r="K1662" i="61"/>
  <c r="N1662" i="61"/>
  <c r="K1663" i="61"/>
  <c r="N1663" i="61"/>
  <c r="K1664" i="61"/>
  <c r="N1664" i="61"/>
  <c r="K1665" i="61"/>
  <c r="N1665" i="61"/>
  <c r="K1666" i="61"/>
  <c r="N1666" i="61"/>
  <c r="K1667" i="61"/>
  <c r="N1667" i="61"/>
  <c r="K1668" i="61"/>
  <c r="N1668" i="61"/>
  <c r="K1669" i="61"/>
  <c r="N1669" i="61"/>
  <c r="K1670" i="61"/>
  <c r="N1670" i="61"/>
  <c r="K1671" i="61"/>
  <c r="N1671" i="61"/>
  <c r="K1672" i="61"/>
  <c r="N1672" i="61"/>
  <c r="K1673" i="61"/>
  <c r="N1673" i="61"/>
  <c r="K1674" i="61"/>
  <c r="N1674" i="61"/>
  <c r="K1675" i="61"/>
  <c r="N1675" i="61"/>
  <c r="K1676" i="61"/>
  <c r="N1676" i="61"/>
  <c r="K1677" i="61"/>
  <c r="N1677" i="61"/>
  <c r="K1678" i="61"/>
  <c r="N1678" i="61"/>
  <c r="K1679" i="61"/>
  <c r="N1679" i="61"/>
  <c r="K1680" i="61"/>
  <c r="N1680" i="61"/>
  <c r="K1681" i="61"/>
  <c r="N1681" i="61"/>
  <c r="K1682" i="61"/>
  <c r="N1682" i="61"/>
  <c r="K1683" i="61"/>
  <c r="N1683" i="61"/>
  <c r="K1684" i="61"/>
  <c r="N1684" i="61"/>
  <c r="K1685" i="61"/>
  <c r="N1685" i="61"/>
  <c r="K1686" i="61"/>
  <c r="N1686" i="61"/>
  <c r="K1687" i="61"/>
  <c r="N1687" i="61"/>
  <c r="K1688" i="61"/>
  <c r="N1688" i="61"/>
  <c r="K1689" i="61"/>
  <c r="N1689" i="61"/>
  <c r="K1690" i="61"/>
  <c r="N1690" i="61"/>
  <c r="K1691" i="61"/>
  <c r="N1691" i="61"/>
  <c r="K1692" i="61"/>
  <c r="N1692" i="61"/>
  <c r="K1693" i="61"/>
  <c r="N1693" i="61"/>
  <c r="K1694" i="61"/>
  <c r="N1694" i="61"/>
  <c r="K1695" i="61"/>
  <c r="N1695" i="61"/>
  <c r="K1696" i="61"/>
  <c r="N1696" i="61"/>
  <c r="K1697" i="61"/>
  <c r="N1697" i="61"/>
  <c r="K1698" i="61"/>
  <c r="N1698" i="61"/>
  <c r="K1699" i="61"/>
  <c r="N1699" i="61"/>
  <c r="K1700" i="61"/>
  <c r="N1700" i="61"/>
  <c r="K1701" i="61"/>
  <c r="N1701" i="61"/>
  <c r="K1702" i="61"/>
  <c r="N1702" i="61"/>
  <c r="K1703" i="61"/>
  <c r="N1703" i="61"/>
  <c r="K1704" i="61"/>
  <c r="N1704" i="61"/>
  <c r="K1705" i="61"/>
  <c r="N1705" i="61"/>
  <c r="K1706" i="61"/>
  <c r="N1706" i="61"/>
  <c r="K1707" i="61"/>
  <c r="N1707" i="61"/>
  <c r="K1708" i="61"/>
  <c r="N1708" i="61"/>
  <c r="K1709" i="61"/>
  <c r="N1709" i="61"/>
  <c r="K1710" i="61"/>
  <c r="N1710" i="61"/>
  <c r="K1711" i="61"/>
  <c r="N1711" i="61"/>
  <c r="K1712" i="61"/>
  <c r="N1712" i="61"/>
  <c r="K1713" i="61"/>
  <c r="N1713" i="61"/>
  <c r="K1714" i="61"/>
  <c r="N1714" i="61"/>
  <c r="K1715" i="61"/>
  <c r="N1715" i="61"/>
  <c r="K1716" i="61"/>
  <c r="N1716" i="61"/>
  <c r="K1717" i="61"/>
  <c r="N1717" i="61"/>
  <c r="K1718" i="61"/>
  <c r="N1718" i="61"/>
  <c r="K1719" i="61"/>
  <c r="N1719" i="61"/>
  <c r="K1720" i="61"/>
  <c r="N1720" i="61"/>
  <c r="K1721" i="61"/>
  <c r="N1721" i="61"/>
  <c r="K1722" i="61"/>
  <c r="N1722" i="61"/>
  <c r="K1723" i="61"/>
  <c r="N1723" i="61"/>
  <c r="K1724" i="61"/>
  <c r="N1724" i="61"/>
  <c r="K1725" i="61"/>
  <c r="N1725" i="61"/>
  <c r="K1726" i="61"/>
  <c r="N1726" i="61"/>
  <c r="K1727" i="61"/>
  <c r="N1727" i="61"/>
  <c r="K1728" i="61"/>
  <c r="N1728" i="61"/>
  <c r="K1729" i="61"/>
  <c r="N1729" i="61"/>
  <c r="K1730" i="61"/>
  <c r="N1730" i="61"/>
  <c r="K1731" i="61"/>
  <c r="N1731" i="61"/>
  <c r="K1732" i="61"/>
  <c r="N1732" i="61"/>
  <c r="K1733" i="61"/>
  <c r="N1733" i="61"/>
  <c r="K1734" i="61"/>
  <c r="N1734" i="61"/>
  <c r="K1735" i="61"/>
  <c r="N1735" i="61"/>
  <c r="K1736" i="61"/>
  <c r="N1736" i="61"/>
  <c r="K1737" i="61"/>
  <c r="N1737" i="61"/>
  <c r="K1738" i="61"/>
  <c r="N1738" i="61"/>
  <c r="K1739" i="61"/>
  <c r="N1739" i="61"/>
  <c r="K1740" i="61"/>
  <c r="N1740" i="61"/>
  <c r="K1741" i="61"/>
  <c r="N1741" i="61"/>
  <c r="K1742" i="61"/>
  <c r="N1742" i="61"/>
  <c r="K1743" i="61"/>
  <c r="N1743" i="61"/>
  <c r="K1744" i="61"/>
  <c r="N1744" i="61"/>
  <c r="K1745" i="61"/>
  <c r="N1745" i="61"/>
  <c r="K1746" i="61"/>
  <c r="N1746" i="61"/>
  <c r="K1747" i="61"/>
  <c r="N1747" i="61"/>
  <c r="K1748" i="61"/>
  <c r="N1748" i="61"/>
  <c r="K1749" i="61"/>
  <c r="N1749" i="61"/>
  <c r="K1750" i="61"/>
  <c r="N1750" i="61"/>
  <c r="K1751" i="61"/>
  <c r="N1751" i="61"/>
  <c r="K1752" i="61"/>
  <c r="N1752" i="61"/>
  <c r="K1753" i="61"/>
  <c r="N1753" i="61"/>
  <c r="K1754" i="61"/>
  <c r="N1754" i="61"/>
  <c r="K1755" i="61"/>
  <c r="N1755" i="61"/>
  <c r="K1756" i="61"/>
  <c r="N1756" i="61"/>
  <c r="K1757" i="61"/>
  <c r="N1757" i="61"/>
  <c r="K1758" i="61"/>
  <c r="N1758" i="61"/>
  <c r="K1759" i="61"/>
  <c r="N1759" i="61"/>
  <c r="K1760" i="61"/>
  <c r="N1760" i="61"/>
  <c r="K1761" i="61"/>
  <c r="N1761" i="61"/>
  <c r="K1762" i="61"/>
  <c r="N1762" i="61"/>
  <c r="K1763" i="61"/>
  <c r="N1763" i="61"/>
  <c r="K1764" i="61"/>
  <c r="N1764" i="61"/>
  <c r="K1765" i="61"/>
  <c r="N1765" i="61"/>
  <c r="K1766" i="61"/>
  <c r="N1766" i="61"/>
  <c r="K1767" i="61"/>
  <c r="N1767" i="61"/>
  <c r="K1768" i="61"/>
  <c r="N1768" i="61"/>
  <c r="K1769" i="61"/>
  <c r="N1769" i="61"/>
  <c r="K1770" i="61"/>
  <c r="N1770" i="61"/>
  <c r="K1771" i="61"/>
  <c r="N1771" i="61"/>
  <c r="K1772" i="61"/>
  <c r="N1772" i="61"/>
  <c r="K1773" i="61"/>
  <c r="N1773" i="61"/>
  <c r="K1774" i="61"/>
  <c r="N1774" i="61"/>
  <c r="K1775" i="61"/>
  <c r="N1775" i="61"/>
  <c r="K1776" i="61"/>
  <c r="N1776" i="61"/>
  <c r="K1777" i="61"/>
  <c r="N1777" i="61"/>
  <c r="K1778" i="61"/>
  <c r="N1778" i="61"/>
  <c r="K1779" i="61"/>
  <c r="N1779" i="61"/>
  <c r="K1780" i="61"/>
  <c r="N1780" i="61"/>
  <c r="K1781" i="61"/>
  <c r="N1781" i="61"/>
  <c r="K1782" i="61"/>
  <c r="N1782" i="61"/>
  <c r="K1783" i="61"/>
  <c r="N1783" i="61"/>
  <c r="K1784" i="61"/>
  <c r="N1784" i="61"/>
  <c r="K1785" i="61"/>
  <c r="N1785" i="61"/>
  <c r="K1786" i="61"/>
  <c r="N1786" i="61"/>
  <c r="K1787" i="61"/>
  <c r="N1787" i="61"/>
  <c r="K1788" i="61"/>
  <c r="N1788" i="61"/>
  <c r="K1789" i="61"/>
  <c r="N1789" i="61"/>
  <c r="K1790" i="61"/>
  <c r="N1790" i="61"/>
  <c r="K1791" i="61"/>
  <c r="N1791" i="61"/>
  <c r="K1792" i="61"/>
  <c r="N1792" i="61"/>
  <c r="K1793" i="61"/>
  <c r="N1793" i="61"/>
  <c r="K1794" i="61"/>
  <c r="N1794" i="61"/>
  <c r="K1795" i="61"/>
  <c r="N1795" i="61"/>
  <c r="K1796" i="61"/>
  <c r="N1796" i="61"/>
  <c r="K1797" i="61"/>
  <c r="N1797" i="61"/>
  <c r="K1798" i="61"/>
  <c r="N1798" i="61"/>
  <c r="K1799" i="61"/>
  <c r="N1799" i="61"/>
  <c r="K1800" i="61"/>
  <c r="N1800" i="61"/>
  <c r="K1801" i="61"/>
  <c r="N1801" i="61"/>
  <c r="K1802" i="61"/>
  <c r="N1802" i="61"/>
  <c r="K1803" i="61"/>
  <c r="N1803" i="61"/>
  <c r="K1804" i="61"/>
  <c r="N1804" i="61"/>
  <c r="K1805" i="61"/>
  <c r="N1805" i="61"/>
  <c r="K1806" i="61"/>
  <c r="N1806" i="61"/>
  <c r="K1807" i="61"/>
  <c r="N1807" i="61"/>
  <c r="K1808" i="61"/>
  <c r="N1808" i="61"/>
  <c r="K1809" i="61"/>
  <c r="N1809" i="61"/>
  <c r="K1810" i="61"/>
  <c r="N1810" i="61"/>
  <c r="K1811" i="61"/>
  <c r="N1811" i="61"/>
  <c r="K1812" i="61"/>
  <c r="N1812" i="61"/>
  <c r="K1813" i="61"/>
  <c r="N1813" i="61"/>
  <c r="K1814" i="61"/>
  <c r="N1814" i="61"/>
  <c r="K1815" i="61"/>
  <c r="N1815" i="61"/>
  <c r="K1816" i="61"/>
  <c r="N1816" i="61"/>
  <c r="K1817" i="61"/>
  <c r="N1817" i="61"/>
  <c r="K1818" i="61"/>
  <c r="N1818" i="61"/>
  <c r="K1819" i="61"/>
  <c r="N1819" i="61"/>
  <c r="K1820" i="61"/>
  <c r="N1820" i="61"/>
  <c r="K1821" i="61"/>
  <c r="N1821" i="61"/>
  <c r="K1822" i="61"/>
  <c r="N1822" i="61"/>
  <c r="K1823" i="61"/>
  <c r="N1823" i="61"/>
  <c r="K1824" i="61"/>
  <c r="N1824" i="61"/>
  <c r="K1825" i="61"/>
  <c r="N1825" i="61"/>
  <c r="K1826" i="61"/>
  <c r="N1826" i="61"/>
  <c r="K1827" i="61"/>
  <c r="N1827" i="61"/>
  <c r="K1828" i="61"/>
  <c r="N1828" i="61"/>
  <c r="K1829" i="61"/>
  <c r="N1829" i="61"/>
  <c r="K1830" i="61"/>
  <c r="N1830" i="61"/>
  <c r="K1831" i="61"/>
  <c r="N1831" i="61"/>
  <c r="K1832" i="61"/>
  <c r="N1832" i="61"/>
  <c r="K1833" i="61"/>
  <c r="N1833" i="61"/>
  <c r="K1834" i="61"/>
  <c r="N1834" i="61"/>
  <c r="K1835" i="61"/>
  <c r="N1835" i="61"/>
  <c r="K1836" i="61"/>
  <c r="N1836" i="61"/>
  <c r="K1837" i="61"/>
  <c r="N1837" i="61"/>
  <c r="K1838" i="61"/>
  <c r="N1838" i="61"/>
  <c r="K1839" i="61"/>
  <c r="N1839" i="61"/>
  <c r="K1840" i="61"/>
  <c r="N1840" i="61"/>
  <c r="K1841" i="61"/>
  <c r="N1841" i="61"/>
  <c r="K1842" i="61"/>
  <c r="N1842" i="61"/>
  <c r="K1843" i="61"/>
  <c r="N1843" i="61"/>
  <c r="K1844" i="61"/>
  <c r="N1844" i="61"/>
  <c r="K1845" i="61"/>
  <c r="N1845" i="61"/>
  <c r="K1846" i="61"/>
  <c r="N1846" i="61"/>
  <c r="K1847" i="61"/>
  <c r="N1847" i="61"/>
  <c r="K1848" i="61"/>
  <c r="N1848" i="61"/>
  <c r="K1849" i="61"/>
  <c r="N1849" i="61"/>
  <c r="K1850" i="61"/>
  <c r="N1850" i="61"/>
  <c r="K1851" i="61"/>
  <c r="N1851" i="61"/>
  <c r="K1852" i="61"/>
  <c r="N1852" i="61"/>
  <c r="K1853" i="61"/>
  <c r="N1853" i="61"/>
  <c r="K1854" i="61"/>
  <c r="N1854" i="61"/>
  <c r="K1855" i="61"/>
  <c r="N1855" i="61"/>
  <c r="K1856" i="61"/>
  <c r="N1856" i="61"/>
  <c r="K1857" i="61"/>
  <c r="N1857" i="61"/>
  <c r="K1858" i="61"/>
  <c r="N1858" i="61"/>
  <c r="K1859" i="61"/>
  <c r="N1859" i="61"/>
  <c r="K1860" i="61"/>
  <c r="N1860" i="61"/>
  <c r="K1861" i="61"/>
  <c r="N1861" i="61"/>
  <c r="K1862" i="61"/>
  <c r="N1862" i="61"/>
  <c r="K1863" i="61"/>
  <c r="N1863" i="61"/>
  <c r="K1864" i="61"/>
  <c r="N1864" i="61"/>
  <c r="K1865" i="61"/>
  <c r="N1865" i="61"/>
  <c r="K1866" i="61"/>
  <c r="N1866" i="61"/>
  <c r="D47" i="5"/>
  <c r="E47" i="5"/>
  <c r="F47" i="5"/>
  <c r="G47" i="5"/>
  <c r="D48" i="5"/>
  <c r="E48" i="5"/>
  <c r="F48" i="5"/>
  <c r="Z2" i="57"/>
  <c r="AF2" i="57"/>
  <c r="AK2" i="57"/>
  <c r="AL2" i="57"/>
  <c r="AU2" i="57"/>
  <c r="AV2" i="57"/>
  <c r="AX2" i="57"/>
  <c r="Z3" i="57"/>
  <c r="AF3" i="57"/>
  <c r="AK3" i="57"/>
  <c r="AL3" i="57"/>
  <c r="AU3" i="57"/>
  <c r="AV3" i="57"/>
  <c r="AX3" i="57"/>
  <c r="Z4" i="57"/>
  <c r="AF4" i="57"/>
  <c r="AK4" i="57"/>
  <c r="AL4" i="57"/>
  <c r="AU4" i="57"/>
  <c r="AV4" i="57"/>
  <c r="AX4" i="57"/>
  <c r="Z5" i="57"/>
  <c r="AF5" i="57"/>
  <c r="AK5" i="57"/>
  <c r="AL5" i="57"/>
  <c r="AU5" i="57"/>
  <c r="AV5" i="57"/>
  <c r="AX5" i="57"/>
  <c r="Z6" i="57"/>
  <c r="AF6" i="57"/>
  <c r="AK6" i="57"/>
  <c r="AL6" i="57"/>
  <c r="AU6" i="57"/>
  <c r="AV6" i="57"/>
  <c r="AX6" i="57"/>
  <c r="Z7" i="57"/>
  <c r="AF7" i="57"/>
  <c r="AK7" i="57"/>
  <c r="AL7" i="57"/>
  <c r="AU7" i="57"/>
  <c r="AV7" i="57"/>
  <c r="AX7" i="57"/>
  <c r="Z8" i="57"/>
  <c r="AF8" i="57"/>
  <c r="AK8" i="57"/>
  <c r="AL8" i="57"/>
  <c r="AU8" i="57"/>
  <c r="AV8" i="57"/>
  <c r="AX8" i="57"/>
  <c r="Z9" i="57"/>
  <c r="AF9" i="57"/>
  <c r="AK9" i="57"/>
  <c r="AL9" i="57"/>
  <c r="AU9" i="57"/>
  <c r="AV9" i="57"/>
  <c r="AX9" i="57"/>
  <c r="Z10" i="57"/>
  <c r="AF10" i="57"/>
  <c r="AK10" i="57"/>
  <c r="AL10" i="57"/>
  <c r="AU10" i="57"/>
  <c r="AV10" i="57"/>
  <c r="AX10" i="57"/>
  <c r="Z11" i="57"/>
  <c r="AF11" i="57"/>
  <c r="Z12" i="57"/>
  <c r="AF12" i="57"/>
  <c r="AU12" i="57"/>
  <c r="Z13" i="57"/>
  <c r="AF13" i="57"/>
  <c r="Y14" i="57"/>
  <c r="Z14" i="57"/>
  <c r="AE14" i="57"/>
  <c r="AF14" i="57"/>
  <c r="Y15" i="57"/>
  <c r="Z15" i="57"/>
  <c r="AE15" i="57"/>
  <c r="AF15" i="57"/>
  <c r="Y16" i="57"/>
  <c r="Z16" i="57"/>
  <c r="AE16" i="57"/>
  <c r="AF16" i="57"/>
  <c r="Y17" i="57"/>
  <c r="Z17" i="57"/>
  <c r="AE17" i="57"/>
  <c r="AF17" i="57"/>
  <c r="Y18" i="57"/>
  <c r="Z18" i="57"/>
  <c r="AE18" i="57"/>
  <c r="AF18" i="57"/>
  <c r="Y19" i="57"/>
  <c r="Z19" i="57"/>
  <c r="AE19" i="57"/>
  <c r="AF19" i="57"/>
  <c r="Y20" i="57"/>
  <c r="Z20" i="57"/>
  <c r="AE20" i="57"/>
  <c r="AF20" i="57"/>
  <c r="Y21" i="57"/>
  <c r="Z21" i="57"/>
  <c r="AE21" i="57"/>
  <c r="AF21" i="57"/>
  <c r="Y22" i="57"/>
  <c r="Z22" i="57"/>
  <c r="AE22" i="57"/>
  <c r="AF22" i="57"/>
  <c r="Y23" i="57"/>
  <c r="Z23" i="57"/>
  <c r="AE23" i="57"/>
  <c r="AF23" i="57"/>
  <c r="Y24" i="57"/>
  <c r="Z24" i="57"/>
  <c r="AE24" i="57"/>
  <c r="AF24" i="57"/>
  <c r="Y25" i="57"/>
  <c r="Z25" i="57"/>
  <c r="AE25" i="57"/>
  <c r="AF25" i="57"/>
  <c r="Z26" i="57"/>
  <c r="AF26" i="57"/>
  <c r="Z27" i="57"/>
  <c r="AF27" i="57"/>
  <c r="Z28" i="57"/>
  <c r="AF28" i="57"/>
  <c r="Z29" i="57"/>
  <c r="AF29" i="57"/>
  <c r="Z30" i="57"/>
  <c r="AF30" i="57"/>
  <c r="Z31" i="57"/>
  <c r="AF31" i="57"/>
  <c r="Z32" i="57"/>
  <c r="AF32" i="57"/>
  <c r="Z33" i="57"/>
  <c r="AF33" i="57"/>
  <c r="Z34" i="57"/>
  <c r="AF34" i="57"/>
  <c r="Z35" i="57"/>
  <c r="AF35" i="57"/>
  <c r="Z36" i="57"/>
  <c r="AF36" i="57"/>
  <c r="Z37" i="57"/>
  <c r="AF37" i="57"/>
  <c r="Z38" i="57"/>
  <c r="AF38" i="57"/>
  <c r="Z39" i="57"/>
  <c r="AF39" i="57"/>
  <c r="Y40" i="57"/>
  <c r="Z40" i="57"/>
  <c r="AE40" i="57"/>
  <c r="AF40" i="57"/>
  <c r="Y41" i="57"/>
  <c r="Z41" i="57"/>
  <c r="AE41" i="57"/>
  <c r="AF41" i="57"/>
  <c r="Y42" i="57"/>
  <c r="Z42" i="57"/>
  <c r="AE42" i="57"/>
  <c r="AF42" i="57"/>
  <c r="Y43" i="57"/>
  <c r="Z43" i="57"/>
  <c r="AE43" i="57"/>
  <c r="AF43" i="57"/>
  <c r="Y44" i="57"/>
  <c r="Z44" i="57"/>
  <c r="AE44" i="57"/>
  <c r="AF44" i="57"/>
  <c r="Y45" i="57"/>
  <c r="Z45" i="57"/>
  <c r="AE45" i="57"/>
  <c r="AF45" i="57"/>
  <c r="Y46" i="57"/>
  <c r="Z46" i="57"/>
  <c r="AE46" i="57"/>
  <c r="AF46" i="57"/>
  <c r="Y47" i="57"/>
  <c r="Z47" i="57"/>
  <c r="AE47" i="57"/>
  <c r="AF47" i="57"/>
  <c r="Y48" i="57"/>
  <c r="Z48" i="57"/>
  <c r="AE48" i="57"/>
  <c r="AF48" i="57"/>
  <c r="Y49" i="57"/>
  <c r="Z49" i="57"/>
  <c r="AE49" i="57"/>
  <c r="AF49" i="57"/>
  <c r="Y50" i="57"/>
  <c r="Z50" i="57"/>
  <c r="AE50" i="57"/>
  <c r="AF50" i="57"/>
  <c r="Y51" i="57"/>
  <c r="Z51" i="57"/>
  <c r="AE51" i="57"/>
  <c r="AF51" i="57"/>
  <c r="Y52" i="57"/>
  <c r="Z52" i="57"/>
  <c r="AE52" i="57"/>
  <c r="AF52" i="57"/>
  <c r="Y53" i="57"/>
  <c r="Z53" i="57"/>
  <c r="AE53" i="57"/>
  <c r="AF53" i="57"/>
  <c r="Y54" i="57"/>
  <c r="Z54" i="57"/>
  <c r="AE54" i="57"/>
  <c r="AF54" i="57"/>
  <c r="Y55" i="57"/>
  <c r="Z55" i="57"/>
  <c r="AE55" i="57"/>
  <c r="AF55" i="57"/>
  <c r="Y56" i="57"/>
  <c r="Z56" i="57"/>
  <c r="AE56" i="57"/>
  <c r="AF56" i="57"/>
  <c r="Y57" i="57"/>
  <c r="Z57" i="57"/>
  <c r="AE57" i="57"/>
  <c r="AF57" i="57"/>
  <c r="Y58" i="57"/>
  <c r="Z58" i="57"/>
  <c r="AE58" i="57"/>
  <c r="AF58" i="57"/>
  <c r="Y59" i="57"/>
  <c r="Z59" i="57"/>
  <c r="AE59" i="57"/>
  <c r="AF59" i="57"/>
  <c r="Y60" i="57"/>
  <c r="Z60" i="57"/>
  <c r="AE60" i="57"/>
  <c r="AF60" i="57"/>
  <c r="Y61" i="57"/>
  <c r="Z61" i="57"/>
  <c r="AE61" i="57"/>
  <c r="AF61" i="57"/>
  <c r="Y62" i="57"/>
  <c r="Z62" i="57"/>
  <c r="AE62" i="57"/>
  <c r="AF62" i="57"/>
  <c r="Y63" i="57"/>
  <c r="Z63" i="57"/>
  <c r="AE63" i="57"/>
  <c r="AF63" i="57"/>
  <c r="Y64" i="57"/>
  <c r="Z64" i="57"/>
  <c r="AE64" i="57"/>
  <c r="AF64" i="57"/>
  <c r="Y65" i="57"/>
  <c r="Z65" i="57"/>
  <c r="AE65" i="57"/>
  <c r="AF65" i="57"/>
  <c r="Y66" i="57"/>
  <c r="Z66" i="57"/>
  <c r="AE66" i="57"/>
  <c r="AF66" i="57"/>
  <c r="Y67" i="57"/>
  <c r="Z67" i="57"/>
  <c r="AE67" i="57"/>
  <c r="AF67" i="57"/>
  <c r="Y68" i="57"/>
  <c r="Z68" i="57"/>
  <c r="AE68" i="57"/>
  <c r="AF68" i="57"/>
  <c r="Y69" i="57"/>
  <c r="Z69" i="57"/>
  <c r="AE69" i="57"/>
  <c r="AF69" i="57"/>
  <c r="Y70" i="57"/>
  <c r="Z70" i="57"/>
  <c r="AE70" i="57"/>
  <c r="AF70" i="57"/>
  <c r="Y71" i="57"/>
  <c r="Z71" i="57"/>
  <c r="AE71" i="57"/>
  <c r="AF71" i="57"/>
  <c r="Y72" i="57"/>
  <c r="Z72" i="57"/>
  <c r="AE72" i="57"/>
  <c r="AF72" i="57"/>
  <c r="Y73" i="57"/>
  <c r="Z73" i="57"/>
  <c r="AE73" i="57"/>
  <c r="AF73" i="57"/>
  <c r="Y74" i="57"/>
  <c r="Z74" i="57"/>
  <c r="AE74" i="57"/>
  <c r="AF74" i="57"/>
  <c r="Y75" i="57"/>
  <c r="Z75" i="57"/>
  <c r="AE75" i="57"/>
  <c r="AF75" i="57"/>
  <c r="Y76" i="57"/>
  <c r="Z76" i="57"/>
  <c r="AE76" i="57"/>
  <c r="AF76" i="57"/>
  <c r="Z77" i="57"/>
  <c r="AF77" i="57"/>
  <c r="Z78" i="57"/>
  <c r="AF78" i="57"/>
  <c r="Z79" i="57"/>
  <c r="AF79" i="57"/>
  <c r="Z80" i="57"/>
  <c r="AF80" i="57"/>
  <c r="Z81" i="57"/>
  <c r="AF81" i="57"/>
  <c r="Z82" i="57"/>
  <c r="AF82" i="57"/>
  <c r="Z83" i="57"/>
  <c r="AF83" i="57"/>
  <c r="Z84" i="57"/>
  <c r="AF84" i="57"/>
  <c r="Z85" i="57"/>
  <c r="AF85" i="57"/>
  <c r="Z86" i="57"/>
  <c r="AF86" i="57"/>
  <c r="Z87" i="57"/>
  <c r="AF87" i="57"/>
  <c r="Z88" i="57"/>
  <c r="AF88" i="57"/>
  <c r="Z89" i="57"/>
  <c r="AF89" i="57"/>
  <c r="Z90" i="57"/>
  <c r="AF90" i="57"/>
  <c r="Z91" i="57"/>
  <c r="AF91" i="57"/>
  <c r="Z92" i="57"/>
  <c r="AF92" i="57"/>
  <c r="Z93" i="57"/>
  <c r="AF93" i="57"/>
  <c r="Z94" i="57"/>
  <c r="AF94" i="57"/>
  <c r="Z95" i="57"/>
  <c r="AF95" i="57"/>
  <c r="Z96" i="57"/>
  <c r="AF96" i="57"/>
  <c r="Z97" i="57"/>
  <c r="AF97" i="57"/>
  <c r="Z98" i="57"/>
  <c r="AF98" i="57"/>
  <c r="Z99" i="57"/>
  <c r="AF99" i="57"/>
  <c r="Z100" i="57"/>
  <c r="AF100" i="57"/>
  <c r="Y101" i="57"/>
  <c r="Z101" i="57"/>
  <c r="AE101" i="57"/>
  <c r="AF101" i="57"/>
  <c r="Y102" i="57"/>
  <c r="Z102" i="57"/>
  <c r="AE102" i="57"/>
  <c r="AF102" i="57"/>
  <c r="Y103" i="57"/>
  <c r="Z103" i="57"/>
  <c r="AE103" i="57"/>
  <c r="AF103" i="57"/>
  <c r="Y104" i="57"/>
  <c r="Z104" i="57"/>
  <c r="AE104" i="57"/>
  <c r="AF104" i="57"/>
  <c r="Y105" i="57"/>
  <c r="Z105" i="57"/>
  <c r="AE105" i="57"/>
  <c r="AF105" i="57"/>
  <c r="Y106" i="57"/>
  <c r="Z106" i="57"/>
  <c r="AE106" i="57"/>
  <c r="AF106" i="57"/>
  <c r="Y107" i="57"/>
  <c r="Z107" i="57"/>
  <c r="AE107" i="57"/>
  <c r="AF107" i="57"/>
  <c r="Y108" i="57"/>
  <c r="Z108" i="57"/>
  <c r="AE108" i="57"/>
  <c r="AF108" i="57"/>
  <c r="Y109" i="57"/>
  <c r="Z109" i="57"/>
  <c r="AE109" i="57"/>
  <c r="AF109" i="57"/>
  <c r="Y110" i="57"/>
  <c r="Z110" i="57"/>
  <c r="AE110" i="57"/>
  <c r="AF110" i="57"/>
  <c r="Y111" i="57"/>
  <c r="Z111" i="57"/>
  <c r="AE111" i="57"/>
  <c r="AF111" i="57"/>
  <c r="Y112" i="57"/>
  <c r="Z112" i="57"/>
  <c r="AE112" i="57"/>
  <c r="AF112" i="57"/>
  <c r="Y113" i="57"/>
  <c r="Z113" i="57"/>
  <c r="AE113" i="57"/>
  <c r="AF113" i="57"/>
  <c r="Y114" i="57"/>
  <c r="Z114" i="57"/>
  <c r="AE114" i="57"/>
  <c r="AF114" i="57"/>
  <c r="Y115" i="57"/>
  <c r="Z115" i="57"/>
  <c r="AE115" i="57"/>
  <c r="AF115" i="57"/>
  <c r="Y116" i="57"/>
  <c r="Z116" i="57"/>
  <c r="AE116" i="57"/>
  <c r="AF116" i="57"/>
  <c r="Y117" i="57"/>
  <c r="Z117" i="57"/>
  <c r="AE117" i="57"/>
  <c r="AF117" i="57"/>
  <c r="Y118" i="57"/>
  <c r="Z118" i="57"/>
  <c r="AE118" i="57"/>
  <c r="AF118" i="57"/>
  <c r="Y119" i="57"/>
  <c r="Z119" i="57"/>
  <c r="AE119" i="57"/>
  <c r="AF119" i="57"/>
  <c r="Y120" i="57"/>
  <c r="Z120" i="57"/>
  <c r="AE120" i="57"/>
  <c r="AF120" i="57"/>
  <c r="Y121" i="57"/>
  <c r="Z121" i="57"/>
  <c r="AE121" i="57"/>
  <c r="AF121" i="57"/>
  <c r="Y122" i="57"/>
  <c r="Z122" i="57"/>
  <c r="AE122" i="57"/>
  <c r="AF122" i="57"/>
  <c r="Y123" i="57"/>
  <c r="Z123" i="57"/>
  <c r="AE123" i="57"/>
  <c r="AF123" i="57"/>
  <c r="Y124" i="57"/>
  <c r="Z124" i="57"/>
  <c r="AE124" i="57"/>
  <c r="AF124" i="57"/>
  <c r="Y125" i="57"/>
  <c r="Z125" i="57"/>
  <c r="AE125" i="57"/>
  <c r="AF125" i="57"/>
  <c r="Y126" i="57"/>
  <c r="Z126" i="57"/>
  <c r="AE126" i="57"/>
  <c r="AF126" i="57"/>
  <c r="Y127" i="57"/>
  <c r="Z127" i="57"/>
  <c r="AE127" i="57"/>
  <c r="AF127" i="57"/>
  <c r="Y128" i="57"/>
  <c r="Z128" i="57"/>
  <c r="AE128" i="57"/>
  <c r="AF128" i="57"/>
  <c r="Y129" i="57"/>
  <c r="Z129" i="57"/>
  <c r="AE129" i="57"/>
  <c r="AF129" i="57"/>
  <c r="Y130" i="57"/>
  <c r="Z130" i="57"/>
  <c r="AE130" i="57"/>
  <c r="AF130" i="57"/>
  <c r="Y131" i="57"/>
  <c r="Z131" i="57"/>
  <c r="AE131" i="57"/>
  <c r="AF131" i="57"/>
  <c r="Y132" i="57"/>
  <c r="Z132" i="57"/>
  <c r="AE132" i="57"/>
  <c r="AF132" i="57"/>
  <c r="Y133" i="57"/>
  <c r="Z133" i="57"/>
  <c r="AE133" i="57"/>
  <c r="AF133" i="57"/>
  <c r="Y134" i="57"/>
  <c r="Z134" i="57"/>
  <c r="AE134" i="57"/>
  <c r="AF134" i="57"/>
  <c r="Y135" i="57"/>
  <c r="Z135" i="57"/>
  <c r="AE135" i="57"/>
  <c r="AF135" i="57"/>
  <c r="Y136" i="57"/>
  <c r="Z136" i="57"/>
  <c r="AE136" i="57"/>
  <c r="AF136" i="57"/>
  <c r="Y137" i="57"/>
  <c r="Z137" i="57"/>
  <c r="AE137" i="57"/>
  <c r="AF137" i="57"/>
  <c r="Y138" i="57"/>
  <c r="Z138" i="57"/>
  <c r="AE138" i="57"/>
  <c r="AF138" i="57"/>
  <c r="Y139" i="57"/>
  <c r="Z139" i="57"/>
  <c r="AE139" i="57"/>
  <c r="AF139" i="57"/>
  <c r="Y140" i="57"/>
  <c r="Z140" i="57"/>
  <c r="AE140" i="57"/>
  <c r="AF140" i="57"/>
  <c r="Y141" i="57"/>
  <c r="Z141" i="57"/>
  <c r="AE141" i="57"/>
  <c r="AF141" i="57"/>
  <c r="Y142" i="57"/>
  <c r="Z142" i="57"/>
  <c r="AE142" i="57"/>
  <c r="AF142" i="57"/>
  <c r="Y143" i="57"/>
  <c r="Z143" i="57"/>
  <c r="AE143" i="57"/>
  <c r="AF143" i="57"/>
  <c r="Y144" i="57"/>
  <c r="Z144" i="57"/>
  <c r="AE144" i="57"/>
  <c r="AF144" i="57"/>
  <c r="Y145" i="57"/>
  <c r="Z145" i="57"/>
  <c r="AE145" i="57"/>
  <c r="AF145" i="57"/>
  <c r="Y146" i="57"/>
  <c r="Z146" i="57"/>
  <c r="AE146" i="57"/>
  <c r="AF146" i="57"/>
  <c r="Y147" i="57"/>
  <c r="Z147" i="57"/>
  <c r="AE147" i="57"/>
  <c r="AF147" i="57"/>
  <c r="Y148" i="57"/>
  <c r="Z148" i="57"/>
  <c r="AE148" i="57"/>
  <c r="AF148" i="57"/>
  <c r="Y149" i="57"/>
  <c r="Z149" i="57"/>
  <c r="AE149" i="57"/>
  <c r="AF149" i="57"/>
  <c r="Y150" i="57"/>
  <c r="Z150" i="57"/>
  <c r="AE150" i="57"/>
  <c r="AF150" i="57"/>
  <c r="Y151" i="57"/>
  <c r="Z151" i="57"/>
  <c r="AE151" i="57"/>
  <c r="AF151" i="57"/>
  <c r="Y152" i="57"/>
  <c r="Z152" i="57"/>
  <c r="AE152" i="57"/>
  <c r="AF152" i="57"/>
  <c r="Y153" i="57"/>
  <c r="Z153" i="57"/>
  <c r="AE153" i="57"/>
  <c r="AF153" i="57"/>
  <c r="Y154" i="57"/>
  <c r="Z154" i="57"/>
  <c r="AE154" i="57"/>
  <c r="AF154" i="57"/>
  <c r="Y155" i="57"/>
  <c r="Z155" i="57"/>
  <c r="AE155" i="57"/>
  <c r="AF155" i="57"/>
  <c r="Y156" i="57"/>
  <c r="Z156" i="57"/>
  <c r="AE156" i="57"/>
  <c r="AF156" i="57"/>
  <c r="Y157" i="57"/>
  <c r="Z157" i="57"/>
  <c r="AE157" i="57"/>
  <c r="AF157" i="57"/>
  <c r="Y158" i="57"/>
  <c r="Z158" i="57"/>
  <c r="AE158" i="57"/>
  <c r="AF158" i="57"/>
  <c r="Y159" i="57"/>
  <c r="Z159" i="57"/>
  <c r="AE159" i="57"/>
  <c r="AF159" i="57"/>
  <c r="Y160" i="57"/>
  <c r="Z160" i="57"/>
  <c r="AE160" i="57"/>
  <c r="AF160" i="57"/>
  <c r="Y161" i="57"/>
  <c r="Z161" i="57"/>
  <c r="AE161" i="57"/>
  <c r="AF161" i="57"/>
  <c r="Y162" i="57"/>
  <c r="Z162" i="57"/>
  <c r="AE162" i="57"/>
  <c r="AF162" i="57"/>
  <c r="Y163" i="57"/>
  <c r="Z163" i="57"/>
  <c r="AE163" i="57"/>
  <c r="AF163" i="57"/>
  <c r="Y164" i="57"/>
  <c r="Z164" i="57"/>
  <c r="AE164" i="57"/>
  <c r="AF164" i="57"/>
  <c r="Y165" i="57"/>
  <c r="Z165" i="57"/>
  <c r="AE165" i="57"/>
  <c r="AF165" i="57"/>
  <c r="Y166" i="57"/>
  <c r="Z166" i="57"/>
  <c r="AE166" i="57"/>
  <c r="AF166" i="57"/>
  <c r="Y167" i="57"/>
  <c r="Z167" i="57"/>
  <c r="AE167" i="57"/>
  <c r="AF167" i="57"/>
  <c r="Y168" i="57"/>
  <c r="Z168" i="57"/>
  <c r="AE168" i="57"/>
  <c r="AF168" i="57"/>
  <c r="Y169" i="57"/>
  <c r="Z169" i="57"/>
  <c r="AE169" i="57"/>
  <c r="AF169" i="57"/>
  <c r="Y170" i="57"/>
  <c r="Z170" i="57"/>
  <c r="AE170" i="57"/>
  <c r="AF170" i="57"/>
  <c r="Y171" i="57"/>
  <c r="Z171" i="57"/>
  <c r="AE171" i="57"/>
  <c r="AF171" i="57"/>
  <c r="Y172" i="57"/>
  <c r="Z172" i="57"/>
  <c r="AE172" i="57"/>
  <c r="AF172" i="57"/>
  <c r="Y173" i="57"/>
  <c r="Z173" i="57"/>
  <c r="AE173" i="57"/>
  <c r="AF173" i="57"/>
  <c r="Y174" i="57"/>
  <c r="Z174" i="57"/>
  <c r="AE174" i="57"/>
  <c r="AF174" i="57"/>
  <c r="Y175" i="57"/>
  <c r="Z175" i="57"/>
  <c r="AE175" i="57"/>
  <c r="AF175" i="57"/>
  <c r="Y176" i="57"/>
  <c r="Z176" i="57"/>
  <c r="AE176" i="57"/>
  <c r="AF176" i="57"/>
  <c r="Y177" i="57"/>
  <c r="Z177" i="57"/>
  <c r="AE177" i="57"/>
  <c r="AF177" i="57"/>
  <c r="Y178" i="57"/>
  <c r="Z178" i="57"/>
  <c r="AE178" i="57"/>
  <c r="AF178" i="57"/>
  <c r="Y179" i="57"/>
  <c r="Z179" i="57"/>
  <c r="AE179" i="57"/>
  <c r="AF179" i="57"/>
  <c r="Y180" i="57"/>
  <c r="Z180" i="57"/>
  <c r="AE180" i="57"/>
  <c r="AF180" i="57"/>
  <c r="Y181" i="57"/>
  <c r="Z181" i="57"/>
  <c r="AE181" i="57"/>
  <c r="AF181" i="57"/>
  <c r="Y182" i="57"/>
  <c r="Z182" i="57"/>
  <c r="AE182" i="57"/>
  <c r="AF182" i="57"/>
  <c r="Y183" i="57"/>
  <c r="Z183" i="57"/>
  <c r="AE183" i="57"/>
  <c r="AF183" i="57"/>
  <c r="Y184" i="57"/>
  <c r="Z184" i="57"/>
  <c r="AE184" i="57"/>
  <c r="AF184" i="57"/>
  <c r="Y185" i="57"/>
  <c r="Z185" i="57"/>
  <c r="AE185" i="57"/>
  <c r="AF185" i="57"/>
  <c r="Y186" i="57"/>
  <c r="Z186" i="57"/>
  <c r="AE186" i="57"/>
  <c r="AF186" i="57"/>
  <c r="Y187" i="57"/>
  <c r="Z187" i="57"/>
  <c r="AE187" i="57"/>
  <c r="AF187" i="57"/>
  <c r="Y188" i="57"/>
  <c r="Z188" i="57"/>
  <c r="AE188" i="57"/>
  <c r="AF188" i="57"/>
  <c r="Y189" i="57"/>
  <c r="Z189" i="57"/>
  <c r="AE189" i="57"/>
  <c r="AF189" i="57"/>
  <c r="Y190" i="57"/>
  <c r="Z190" i="57"/>
  <c r="AE190" i="57"/>
  <c r="AF190" i="57"/>
  <c r="Y191" i="57"/>
  <c r="Z191" i="57"/>
  <c r="AE191" i="57"/>
  <c r="AF191" i="57"/>
  <c r="Y192" i="57"/>
  <c r="Z192" i="57"/>
  <c r="AE192" i="57"/>
  <c r="AF192" i="57"/>
  <c r="Y193" i="57"/>
  <c r="Z193" i="57"/>
  <c r="AE193" i="57"/>
  <c r="AF193" i="57"/>
  <c r="Y194" i="57"/>
  <c r="Z194" i="57"/>
  <c r="AE194" i="57"/>
  <c r="AF194" i="57"/>
  <c r="Y195" i="57"/>
  <c r="Z195" i="57"/>
  <c r="AE195" i="57"/>
  <c r="AF195" i="57"/>
  <c r="Y196" i="57"/>
  <c r="Z196" i="57"/>
  <c r="AE196" i="57"/>
  <c r="AF196" i="57"/>
  <c r="Y197" i="57"/>
  <c r="AE197" i="57"/>
  <c r="Y198" i="57"/>
  <c r="AE198" i="57"/>
  <c r="Y199" i="57"/>
  <c r="AE199" i="57"/>
  <c r="Y200" i="57"/>
  <c r="AE200" i="57"/>
  <c r="Y201" i="57"/>
  <c r="AE201" i="57"/>
  <c r="Y202" i="57"/>
  <c r="AE202" i="57"/>
  <c r="Y203" i="57"/>
  <c r="AE203" i="57"/>
  <c r="Y204" i="57"/>
  <c r="AE204" i="57"/>
  <c r="Y205" i="57"/>
  <c r="AE205" i="57"/>
  <c r="Y206" i="57"/>
  <c r="AE206" i="57"/>
  <c r="Y207" i="57"/>
  <c r="AE207" i="57"/>
  <c r="Y208" i="57"/>
  <c r="AE208" i="57"/>
  <c r="Y209" i="57"/>
  <c r="AE209" i="57"/>
  <c r="Y210" i="57"/>
  <c r="AE210" i="57"/>
  <c r="Y211" i="57"/>
  <c r="AE211" i="57"/>
  <c r="Y212" i="57"/>
  <c r="AE212" i="57"/>
  <c r="Y213" i="57"/>
  <c r="AE213" i="57"/>
  <c r="Y214" i="57"/>
  <c r="AE214" i="57"/>
  <c r="Y215" i="57"/>
  <c r="AE215" i="57"/>
  <c r="Y216" i="57"/>
  <c r="AE216" i="57"/>
  <c r="Y217" i="57"/>
  <c r="AE217" i="57"/>
  <c r="Y218" i="57"/>
  <c r="AE218" i="57"/>
  <c r="Y219" i="57"/>
  <c r="AE219" i="57"/>
  <c r="Y220" i="57"/>
  <c r="AE220" i="57"/>
  <c r="Y221" i="57"/>
  <c r="AE221" i="57"/>
  <c r="Y222" i="57"/>
  <c r="AE222" i="57"/>
  <c r="Y223" i="57"/>
  <c r="AE223" i="57"/>
  <c r="Y224" i="57"/>
  <c r="AE224" i="57"/>
  <c r="Y225" i="57"/>
  <c r="AE225" i="57"/>
  <c r="Y226" i="57"/>
  <c r="AE226" i="57"/>
  <c r="Y227" i="57"/>
  <c r="AE227" i="57"/>
  <c r="Y228" i="57"/>
  <c r="AE228" i="57"/>
  <c r="Y229" i="57"/>
  <c r="AE229" i="57"/>
  <c r="Y230" i="57"/>
  <c r="AE230" i="57"/>
  <c r="Y231" i="57"/>
  <c r="AE231" i="57"/>
  <c r="Y232" i="57"/>
  <c r="AE232" i="57"/>
  <c r="Y233" i="57"/>
  <c r="AE233" i="57"/>
  <c r="Y234" i="57"/>
  <c r="AE234" i="57"/>
  <c r="Y235" i="57"/>
  <c r="AE235" i="57"/>
  <c r="Y236" i="57"/>
  <c r="AE236" i="57"/>
  <c r="Y237" i="57"/>
  <c r="AE237" i="57"/>
  <c r="Y238" i="57"/>
  <c r="AE238" i="57"/>
  <c r="Y239" i="57"/>
  <c r="AE239" i="57"/>
  <c r="Y240" i="57"/>
  <c r="AE240" i="57"/>
  <c r="Y241" i="57"/>
  <c r="AE241" i="57"/>
  <c r="Y242" i="57"/>
  <c r="AE242" i="57"/>
  <c r="Y243" i="57"/>
  <c r="AE243" i="57"/>
  <c r="Y244" i="57"/>
  <c r="AE244" i="57"/>
  <c r="Y245" i="57"/>
  <c r="Z245" i="57"/>
  <c r="AE245" i="57"/>
  <c r="AF245" i="57"/>
  <c r="Y246" i="57"/>
  <c r="Z246" i="57"/>
  <c r="AE246" i="57"/>
  <c r="AF246" i="57"/>
  <c r="Y247" i="57"/>
  <c r="Z247" i="57"/>
  <c r="AE247" i="57"/>
  <c r="AF247" i="57"/>
  <c r="Y248" i="57"/>
  <c r="Z248" i="57"/>
  <c r="AE248" i="57"/>
  <c r="AF248" i="57"/>
  <c r="Y249" i="57"/>
  <c r="Z249" i="57"/>
  <c r="AE249" i="57"/>
  <c r="AF249" i="57"/>
  <c r="Y250" i="57"/>
  <c r="Z250" i="57"/>
  <c r="AE250" i="57"/>
  <c r="AF250" i="57"/>
  <c r="Y251" i="57"/>
  <c r="Z251" i="57"/>
  <c r="AE251" i="57"/>
  <c r="AF251" i="57"/>
  <c r="Y252" i="57"/>
  <c r="Z252" i="57"/>
  <c r="AE252" i="57"/>
  <c r="AF252" i="57"/>
  <c r="Y253" i="57"/>
  <c r="Z253" i="57"/>
  <c r="AE253" i="57"/>
  <c r="AF253" i="57"/>
  <c r="Y254" i="57"/>
  <c r="Z254" i="57"/>
  <c r="AE254" i="57"/>
  <c r="AF254" i="57"/>
  <c r="Y255" i="57"/>
  <c r="Z255" i="57"/>
  <c r="AE255" i="57"/>
  <c r="AF255" i="57"/>
  <c r="Y256" i="57"/>
  <c r="Z256" i="57"/>
  <c r="AE256" i="57"/>
  <c r="AF256" i="57"/>
  <c r="Y257" i="57"/>
  <c r="Z257" i="57"/>
  <c r="AE257" i="57"/>
  <c r="AF257" i="57"/>
  <c r="Y258" i="57"/>
  <c r="Z258" i="57"/>
  <c r="AE258" i="57"/>
  <c r="AF258" i="57"/>
  <c r="Y259" i="57"/>
  <c r="Z259" i="57"/>
  <c r="AE259" i="57"/>
  <c r="AF259" i="57"/>
  <c r="Y260" i="57"/>
  <c r="Z260" i="57"/>
  <c r="AE260" i="57"/>
  <c r="AF260" i="57"/>
  <c r="Y261" i="57"/>
  <c r="Z261" i="57"/>
  <c r="AE261" i="57"/>
  <c r="AF261" i="57"/>
  <c r="Y262" i="57"/>
  <c r="Z262" i="57"/>
  <c r="AE262" i="57"/>
  <c r="AF262" i="57"/>
  <c r="Y263" i="57"/>
  <c r="Z263" i="57"/>
  <c r="AE263" i="57"/>
  <c r="AF263" i="57"/>
  <c r="Y264" i="57"/>
  <c r="Z264" i="57"/>
  <c r="AE264" i="57"/>
  <c r="AF264" i="57"/>
  <c r="Y265" i="57"/>
  <c r="Z265" i="57"/>
  <c r="AE265" i="57"/>
  <c r="AF265" i="57"/>
  <c r="Y266" i="57"/>
  <c r="Z266" i="57"/>
  <c r="AE266" i="57"/>
  <c r="AF266" i="57"/>
  <c r="Y267" i="57"/>
  <c r="Z267" i="57"/>
  <c r="AE267" i="57"/>
  <c r="AF267" i="57"/>
  <c r="Y268" i="57"/>
  <c r="Z268" i="57"/>
  <c r="AE268" i="57"/>
  <c r="AF268" i="57"/>
  <c r="Y269" i="57"/>
  <c r="Z269" i="57"/>
  <c r="AE269" i="57"/>
  <c r="AF269" i="57"/>
  <c r="Y270" i="57"/>
  <c r="Z270" i="57"/>
  <c r="AE270" i="57"/>
  <c r="AF270" i="57"/>
  <c r="Y271" i="57"/>
  <c r="Z271" i="57"/>
  <c r="AE271" i="57"/>
  <c r="AF271" i="57"/>
  <c r="Y272" i="57"/>
  <c r="Z272" i="57"/>
  <c r="AE272" i="57"/>
  <c r="AF272" i="57"/>
  <c r="Y273" i="57"/>
  <c r="Z273" i="57"/>
  <c r="AE273" i="57"/>
  <c r="AF273" i="57"/>
  <c r="Y274" i="57"/>
  <c r="Z274" i="57"/>
  <c r="AE274" i="57"/>
  <c r="AF274" i="57"/>
  <c r="Y275" i="57"/>
  <c r="Z275" i="57"/>
  <c r="AE275" i="57"/>
  <c r="AF275" i="57"/>
  <c r="Y276" i="57"/>
  <c r="Z276" i="57"/>
  <c r="AE276" i="57"/>
  <c r="AF276" i="57"/>
  <c r="Y277" i="57"/>
  <c r="Z277" i="57"/>
  <c r="AE277" i="57"/>
  <c r="AF277" i="57"/>
  <c r="Y278" i="57"/>
  <c r="Z278" i="57"/>
  <c r="AE278" i="57"/>
  <c r="AF278" i="57"/>
  <c r="Y279" i="57"/>
  <c r="Z279" i="57"/>
  <c r="AE279" i="57"/>
  <c r="AF279" i="57"/>
  <c r="Y280" i="57"/>
  <c r="Z280" i="57"/>
  <c r="AE280" i="57"/>
  <c r="AF280" i="57"/>
  <c r="Y281" i="57"/>
  <c r="Z281" i="57"/>
  <c r="AE281" i="57"/>
  <c r="AF281" i="57"/>
  <c r="Y282" i="57"/>
  <c r="Z282" i="57"/>
  <c r="AE282" i="57"/>
  <c r="AF282" i="57"/>
  <c r="Y283" i="57"/>
  <c r="Z283" i="57"/>
  <c r="AE283" i="57"/>
  <c r="AF283" i="57"/>
  <c r="Y284" i="57"/>
  <c r="Z284" i="57"/>
  <c r="AE284" i="57"/>
  <c r="AF284" i="57"/>
  <c r="Y285" i="57"/>
  <c r="Z285" i="57"/>
  <c r="AE285" i="57"/>
  <c r="AF285" i="57"/>
  <c r="Y286" i="57"/>
  <c r="Z286" i="57"/>
  <c r="AE286" i="57"/>
  <c r="AF286" i="57"/>
  <c r="Y287" i="57"/>
  <c r="Z287" i="57"/>
  <c r="AE287" i="57"/>
  <c r="AF287" i="57"/>
  <c r="Y288" i="57"/>
  <c r="Z288" i="57"/>
  <c r="AE288" i="57"/>
  <c r="AF288" i="57"/>
  <c r="Y289" i="57"/>
  <c r="Z289" i="57"/>
  <c r="AE289" i="57"/>
  <c r="AF289" i="57"/>
  <c r="Y290" i="57"/>
  <c r="Z290" i="57"/>
  <c r="AE290" i="57"/>
  <c r="AF290" i="57"/>
  <c r="Y291" i="57"/>
  <c r="Z291" i="57"/>
  <c r="AE291" i="57"/>
  <c r="AF291" i="57"/>
  <c r="Y292" i="57"/>
  <c r="Z292" i="57"/>
  <c r="AE292" i="57"/>
  <c r="AF292" i="57"/>
  <c r="Y293" i="57"/>
  <c r="Z293" i="57"/>
  <c r="AE293" i="57"/>
  <c r="AF293" i="57"/>
  <c r="Y294" i="57"/>
  <c r="Z294" i="57"/>
  <c r="AE294" i="57"/>
  <c r="AF294" i="57"/>
  <c r="Y295" i="57"/>
  <c r="Z295" i="57"/>
  <c r="AE295" i="57"/>
  <c r="AF295" i="57"/>
  <c r="Y296" i="57"/>
  <c r="Z296" i="57"/>
  <c r="AE296" i="57"/>
  <c r="AF296" i="57"/>
  <c r="Y297" i="57"/>
  <c r="Z297" i="57"/>
  <c r="AE297" i="57"/>
  <c r="AF297" i="57"/>
  <c r="Y298" i="57"/>
  <c r="Z298" i="57"/>
  <c r="AE298" i="57"/>
  <c r="AF298" i="57"/>
  <c r="Y299" i="57"/>
  <c r="Z299" i="57"/>
  <c r="AE299" i="57"/>
  <c r="AF299" i="57"/>
  <c r="Y300" i="57"/>
  <c r="Z300" i="57"/>
  <c r="AE300" i="57"/>
  <c r="AF300" i="57"/>
  <c r="Y301" i="57"/>
  <c r="Z301" i="57"/>
  <c r="AE301" i="57"/>
  <c r="AF301" i="57"/>
  <c r="Y302" i="57"/>
  <c r="Z302" i="57"/>
  <c r="AE302" i="57"/>
  <c r="AF302" i="57"/>
  <c r="Y303" i="57"/>
  <c r="Z303" i="57"/>
  <c r="AE303" i="57"/>
  <c r="AF303" i="57"/>
  <c r="Y304" i="57"/>
  <c r="Z304" i="57"/>
  <c r="AE304" i="57"/>
  <c r="AF304" i="57"/>
  <c r="Y305" i="57"/>
  <c r="Z305" i="57"/>
  <c r="AE305" i="57"/>
  <c r="AF305" i="57"/>
  <c r="Y306" i="57"/>
  <c r="Z306" i="57"/>
  <c r="AE306" i="57"/>
  <c r="AF306" i="57"/>
  <c r="Z307" i="57"/>
  <c r="AF307" i="57"/>
  <c r="Z308" i="57"/>
  <c r="AF308" i="57"/>
  <c r="Z309" i="57"/>
  <c r="AF309" i="57"/>
  <c r="Z310" i="57"/>
  <c r="AF310" i="57"/>
  <c r="Z311" i="57"/>
  <c r="AF311" i="57"/>
  <c r="Z312" i="57"/>
  <c r="AF312" i="57"/>
  <c r="Z313" i="57"/>
  <c r="AF313" i="57"/>
  <c r="Z314" i="57"/>
  <c r="AF314" i="57"/>
  <c r="Z315" i="57"/>
  <c r="AF315" i="57"/>
  <c r="Z316" i="57"/>
  <c r="AF316" i="57"/>
  <c r="Z317" i="57"/>
  <c r="AF317" i="57"/>
  <c r="Z318" i="57"/>
  <c r="AF318" i="57"/>
  <c r="Y319" i="57"/>
  <c r="Z319" i="57"/>
  <c r="AE319" i="57"/>
  <c r="AF319" i="57"/>
  <c r="Y320" i="57"/>
  <c r="Z320" i="57"/>
  <c r="AE320" i="57"/>
  <c r="AF320" i="57"/>
  <c r="Y321" i="57"/>
  <c r="Z321" i="57"/>
  <c r="AE321" i="57"/>
  <c r="AF321" i="57"/>
  <c r="Y322" i="57"/>
  <c r="Z322" i="57"/>
  <c r="AE322" i="57"/>
  <c r="AF322" i="57"/>
  <c r="Y323" i="57"/>
  <c r="Z323" i="57"/>
  <c r="AE323" i="57"/>
  <c r="AF323" i="57"/>
  <c r="Y324" i="57"/>
  <c r="Z324" i="57"/>
  <c r="AE324" i="57"/>
  <c r="AF324" i="57"/>
  <c r="Y325" i="57"/>
  <c r="Z325" i="57"/>
  <c r="AE325" i="57"/>
  <c r="AF325" i="57"/>
  <c r="Y326" i="57"/>
  <c r="Z326" i="57"/>
  <c r="AE326" i="57"/>
  <c r="AF326" i="57"/>
  <c r="Y327" i="57"/>
  <c r="Z327" i="57"/>
  <c r="AE327" i="57"/>
  <c r="AF327" i="57"/>
  <c r="Y328" i="57"/>
  <c r="Z328" i="57"/>
  <c r="AE328" i="57"/>
  <c r="AF328" i="57"/>
  <c r="Y329" i="57"/>
  <c r="Z329" i="57"/>
  <c r="AE329" i="57"/>
  <c r="AF329" i="57"/>
  <c r="Y330" i="57"/>
  <c r="Z330" i="57"/>
  <c r="AE330" i="57"/>
  <c r="AF330" i="57"/>
  <c r="Y331" i="57"/>
  <c r="Z331" i="57"/>
  <c r="AE331" i="57"/>
  <c r="AF331" i="57"/>
  <c r="Y332" i="57"/>
  <c r="Z332" i="57"/>
  <c r="AE332" i="57"/>
  <c r="AF332" i="57"/>
  <c r="Y333" i="57"/>
  <c r="Z333" i="57"/>
  <c r="AE333" i="57"/>
  <c r="AF333" i="57"/>
  <c r="Y334" i="57"/>
  <c r="Z334" i="57"/>
  <c r="AE334" i="57"/>
  <c r="AF334" i="57"/>
  <c r="Y335" i="57"/>
  <c r="Z335" i="57"/>
  <c r="AE335" i="57"/>
  <c r="AF335" i="57"/>
  <c r="Y336" i="57"/>
  <c r="Z336" i="57"/>
  <c r="AE336" i="57"/>
  <c r="AF336" i="57"/>
  <c r="Y337" i="57"/>
  <c r="Z337" i="57"/>
  <c r="AE337" i="57"/>
  <c r="AF337" i="57"/>
  <c r="Y338" i="57"/>
  <c r="Z338" i="57"/>
  <c r="AE338" i="57"/>
  <c r="AF338" i="57"/>
  <c r="Y339" i="57"/>
  <c r="Z339" i="57"/>
  <c r="AE339" i="57"/>
  <c r="AF339" i="57"/>
  <c r="Y340" i="57"/>
  <c r="Z340" i="57"/>
  <c r="AE340" i="57"/>
  <c r="AF340" i="57"/>
  <c r="Y341" i="57"/>
  <c r="Z341" i="57"/>
  <c r="AE341" i="57"/>
  <c r="AF341" i="57"/>
  <c r="Y342" i="57"/>
  <c r="Z342" i="57"/>
  <c r="AE342" i="57"/>
  <c r="AF342" i="57"/>
  <c r="Y343" i="57"/>
  <c r="Z343" i="57"/>
  <c r="AE343" i="57"/>
  <c r="AF343" i="57"/>
  <c r="Y344" i="57"/>
  <c r="Z344" i="57"/>
  <c r="AE344" i="57"/>
  <c r="AF344" i="57"/>
  <c r="Y345" i="57"/>
  <c r="Z345" i="57"/>
  <c r="AE345" i="57"/>
  <c r="AF345" i="57"/>
  <c r="Y346" i="57"/>
  <c r="Z346" i="57"/>
  <c r="AE346" i="57"/>
  <c r="AF346" i="57"/>
  <c r="Y347" i="57"/>
  <c r="Z347" i="57"/>
  <c r="AE347" i="57"/>
  <c r="AF347" i="57"/>
  <c r="Y348" i="57"/>
  <c r="Z348" i="57"/>
  <c r="AE348" i="57"/>
  <c r="AF348" i="57"/>
  <c r="Y349" i="57"/>
  <c r="Z349" i="57"/>
  <c r="AE349" i="57"/>
  <c r="AF349" i="57"/>
  <c r="Y350" i="57"/>
  <c r="Z350" i="57"/>
  <c r="AE350" i="57"/>
  <c r="AF350" i="57"/>
  <c r="Y351" i="57"/>
  <c r="Z351" i="57"/>
  <c r="AE351" i="57"/>
  <c r="AF351" i="57"/>
  <c r="Y352" i="57"/>
  <c r="Z352" i="57"/>
  <c r="AE352" i="57"/>
  <c r="AF352" i="57"/>
  <c r="Y353" i="57"/>
  <c r="Z353" i="57"/>
  <c r="AE353" i="57"/>
  <c r="AF353" i="57"/>
  <c r="Y354" i="57"/>
  <c r="Z354" i="57"/>
  <c r="AE354" i="57"/>
  <c r="AF354" i="57"/>
  <c r="Y355" i="57"/>
  <c r="Z355" i="57"/>
  <c r="AE355" i="57"/>
  <c r="AF355" i="57"/>
  <c r="Y356" i="57"/>
  <c r="Z356" i="57"/>
  <c r="AE356" i="57"/>
  <c r="AF356" i="57"/>
  <c r="Y357" i="57"/>
  <c r="Z357" i="57"/>
  <c r="AE357" i="57"/>
  <c r="AF357" i="57"/>
  <c r="Y358" i="57"/>
  <c r="Z358" i="57"/>
  <c r="AE358" i="57"/>
  <c r="AF358" i="57"/>
  <c r="Y359" i="57"/>
  <c r="Z359" i="57"/>
  <c r="AE359" i="57"/>
  <c r="AF359" i="57"/>
  <c r="Y360" i="57"/>
  <c r="Z360" i="57"/>
  <c r="AE360" i="57"/>
  <c r="AF360" i="57"/>
  <c r="Y361" i="57"/>
  <c r="Z361" i="57"/>
  <c r="AE361" i="57"/>
  <c r="AF361" i="57"/>
  <c r="Y362" i="57"/>
  <c r="Z362" i="57"/>
  <c r="AE362" i="57"/>
  <c r="AF362" i="57"/>
  <c r="Z363" i="57"/>
  <c r="AF363" i="57"/>
  <c r="Z364" i="57"/>
  <c r="AF364" i="57"/>
  <c r="Z365" i="57"/>
  <c r="AF365" i="57"/>
  <c r="Z366" i="57"/>
  <c r="AF366" i="57"/>
  <c r="Z367" i="57"/>
  <c r="AF367" i="57"/>
  <c r="Z368" i="57"/>
  <c r="AF368" i="57"/>
  <c r="Y369" i="57"/>
  <c r="Z369" i="57"/>
  <c r="AE369" i="57"/>
  <c r="AF369" i="57"/>
  <c r="Y370" i="57"/>
  <c r="Z370" i="57"/>
  <c r="AE370" i="57"/>
  <c r="AF370" i="57"/>
  <c r="Y371" i="57"/>
  <c r="Z371" i="57"/>
  <c r="AE371" i="57"/>
  <c r="AF371" i="57"/>
  <c r="Y372" i="57"/>
  <c r="Z372" i="57"/>
  <c r="AE372" i="57"/>
  <c r="AF372" i="57"/>
  <c r="Y373" i="57"/>
  <c r="Z373" i="57"/>
  <c r="AE373" i="57"/>
  <c r="AF373" i="57"/>
  <c r="Y374" i="57"/>
  <c r="Z374" i="57"/>
  <c r="AE374" i="57"/>
  <c r="AF374" i="57"/>
  <c r="Y375" i="57"/>
  <c r="Z375" i="57"/>
  <c r="AE375" i="57"/>
  <c r="AF375" i="57"/>
  <c r="Y376" i="57"/>
  <c r="Z376" i="57"/>
  <c r="AE376" i="57"/>
  <c r="AF376" i="57"/>
  <c r="Y377" i="57"/>
  <c r="Z377" i="57"/>
  <c r="AE377" i="57"/>
  <c r="AF377" i="57"/>
  <c r="Y378" i="57"/>
  <c r="Z378" i="57"/>
  <c r="AE378" i="57"/>
  <c r="AF378" i="57"/>
  <c r="Y379" i="57"/>
  <c r="Z379" i="57"/>
  <c r="AE379" i="57"/>
  <c r="AF379" i="57"/>
  <c r="Y380" i="57"/>
  <c r="Z380" i="57"/>
  <c r="AE380" i="57"/>
  <c r="AF380" i="57"/>
  <c r="Y381" i="57"/>
  <c r="Z381" i="57"/>
  <c r="AE381" i="57"/>
  <c r="AF381" i="57"/>
  <c r="Y382" i="57"/>
  <c r="Z382" i="57"/>
  <c r="AE382" i="57"/>
  <c r="AF382" i="57"/>
  <c r="Y383" i="57"/>
  <c r="Z383" i="57"/>
  <c r="AE383" i="57"/>
  <c r="AF383" i="57"/>
  <c r="Y384" i="57"/>
  <c r="Z384" i="57"/>
  <c r="AE384" i="57"/>
  <c r="AF384" i="57"/>
  <c r="Y385" i="57"/>
  <c r="Z385" i="57"/>
  <c r="AE385" i="57"/>
  <c r="AF385" i="57"/>
  <c r="Y386" i="57"/>
  <c r="Z386" i="57"/>
  <c r="AE386" i="57"/>
  <c r="AF386" i="57"/>
  <c r="Y387" i="57"/>
  <c r="Z387" i="57"/>
  <c r="AE387" i="57"/>
  <c r="AF387" i="57"/>
  <c r="Y388" i="57"/>
  <c r="Z388" i="57"/>
  <c r="AE388" i="57"/>
  <c r="AF388" i="57"/>
  <c r="Y389" i="57"/>
  <c r="Z389" i="57"/>
  <c r="AE389" i="57"/>
  <c r="AF389" i="57"/>
  <c r="Y390" i="57"/>
  <c r="Z390" i="57"/>
  <c r="AE390" i="57"/>
  <c r="AF390" i="57"/>
  <c r="Y391" i="57"/>
  <c r="Z391" i="57"/>
  <c r="AE391" i="57"/>
  <c r="AF391" i="57"/>
  <c r="Y392" i="57"/>
  <c r="Z392" i="57"/>
  <c r="AE392" i="57"/>
  <c r="AF392" i="57"/>
  <c r="Y393" i="57"/>
  <c r="Z393" i="57"/>
  <c r="AE393" i="57"/>
  <c r="AF393" i="57"/>
  <c r="Y394" i="57"/>
  <c r="Z394" i="57"/>
  <c r="AE394" i="57"/>
  <c r="AF394" i="57"/>
  <c r="Y395" i="57"/>
  <c r="Z395" i="57"/>
  <c r="AE395" i="57"/>
  <c r="AF395" i="57"/>
  <c r="Y396" i="57"/>
  <c r="Z396" i="57"/>
  <c r="AE396" i="57"/>
  <c r="AF396" i="57"/>
  <c r="Y397" i="57"/>
  <c r="Z397" i="57"/>
  <c r="AE397" i="57"/>
  <c r="AF397" i="57"/>
  <c r="Y398" i="57"/>
  <c r="Z398" i="57"/>
  <c r="AE398" i="57"/>
  <c r="AF398" i="57"/>
  <c r="Y399" i="57"/>
  <c r="Z399" i="57"/>
  <c r="AE399" i="57"/>
  <c r="AF399" i="57"/>
  <c r="Y400" i="57"/>
  <c r="Z400" i="57"/>
  <c r="AE400" i="57"/>
  <c r="AF400" i="57"/>
  <c r="Y401" i="57"/>
  <c r="Z401" i="57"/>
  <c r="AE401" i="57"/>
  <c r="AF401" i="57"/>
  <c r="Y402" i="57"/>
  <c r="Z402" i="57"/>
  <c r="AE402" i="57"/>
  <c r="AF402" i="57"/>
  <c r="Y403" i="57"/>
  <c r="Z403" i="57"/>
  <c r="AE403" i="57"/>
  <c r="AF403" i="57"/>
  <c r="Y404" i="57"/>
  <c r="Z404" i="57"/>
  <c r="AE404" i="57"/>
  <c r="AF404" i="57"/>
  <c r="Y405" i="57"/>
  <c r="Z405" i="57"/>
  <c r="AE405" i="57"/>
  <c r="AF405" i="57"/>
  <c r="Y406" i="57"/>
  <c r="Z406" i="57"/>
  <c r="AE406" i="57"/>
  <c r="AF406" i="57"/>
  <c r="Y407" i="57"/>
  <c r="Z407" i="57"/>
  <c r="AE407" i="57"/>
  <c r="AF407" i="57"/>
  <c r="Y408" i="57"/>
  <c r="Z408" i="57"/>
  <c r="AE408" i="57"/>
  <c r="AF408" i="57"/>
  <c r="Y409" i="57"/>
  <c r="Z409" i="57"/>
  <c r="AE409" i="57"/>
  <c r="AF409" i="57"/>
  <c r="Y410" i="57"/>
  <c r="Z410" i="57"/>
  <c r="AE410" i="57"/>
  <c r="AF410" i="57"/>
  <c r="Y411" i="57"/>
  <c r="Z411" i="57"/>
  <c r="AE411" i="57"/>
  <c r="AF411" i="57"/>
  <c r="Y412" i="57"/>
  <c r="Z412" i="57"/>
  <c r="AE412" i="57"/>
  <c r="AF412" i="57"/>
  <c r="Y413" i="57"/>
  <c r="Z413" i="57"/>
  <c r="AE413" i="57"/>
  <c r="AF413" i="57"/>
  <c r="Y414" i="57"/>
  <c r="Z414" i="57"/>
  <c r="AE414" i="57"/>
  <c r="AF414" i="57"/>
  <c r="Y415" i="57"/>
  <c r="Z415" i="57"/>
  <c r="AE415" i="57"/>
  <c r="AF415" i="57"/>
  <c r="Y416" i="57"/>
  <c r="Z416" i="57"/>
  <c r="AE416" i="57"/>
  <c r="AF416" i="57"/>
  <c r="Y417" i="57"/>
  <c r="Z417" i="57"/>
  <c r="AE417" i="57"/>
  <c r="AF417" i="57"/>
  <c r="Y418" i="57"/>
  <c r="Z418" i="57"/>
  <c r="AE418" i="57"/>
  <c r="AF418" i="57"/>
  <c r="Y419" i="57"/>
  <c r="Z419" i="57"/>
  <c r="AE419" i="57"/>
  <c r="AF419" i="57"/>
  <c r="Y420" i="57"/>
  <c r="Z420" i="57"/>
  <c r="AE420" i="57"/>
  <c r="AF420" i="57"/>
  <c r="Y421" i="57"/>
  <c r="Z421" i="57"/>
  <c r="AE421" i="57"/>
  <c r="AF421" i="57"/>
  <c r="Y422" i="57"/>
  <c r="Z422" i="57"/>
  <c r="AE422" i="57"/>
  <c r="AF422" i="57"/>
  <c r="Y423" i="57"/>
  <c r="Z423" i="57"/>
  <c r="AE423" i="57"/>
  <c r="AF423" i="57"/>
  <c r="Y424" i="57"/>
  <c r="Z424" i="57"/>
  <c r="AE424" i="57"/>
  <c r="AF424" i="57"/>
  <c r="Y425" i="57"/>
  <c r="Z425" i="57"/>
  <c r="AE425" i="57"/>
  <c r="AF425" i="57"/>
  <c r="Y426" i="57"/>
  <c r="Z426" i="57"/>
  <c r="AE426" i="57"/>
  <c r="AF426" i="57"/>
  <c r="Y427" i="57"/>
  <c r="Z427" i="57"/>
  <c r="AE427" i="57"/>
  <c r="AF427" i="57"/>
  <c r="Y428" i="57"/>
  <c r="Z428" i="57"/>
  <c r="AE428" i="57"/>
  <c r="AF428" i="57"/>
  <c r="Y429" i="57"/>
  <c r="Z429" i="57"/>
  <c r="AE429" i="57"/>
  <c r="AF429" i="57"/>
  <c r="Y430" i="57"/>
  <c r="Z430" i="57"/>
  <c r="AE430" i="57"/>
  <c r="AF430" i="57"/>
  <c r="Y431" i="57"/>
  <c r="Z431" i="57"/>
  <c r="AE431" i="57"/>
  <c r="AF431" i="57"/>
  <c r="Y432" i="57"/>
  <c r="Z432" i="57"/>
  <c r="AE432" i="57"/>
  <c r="AF432" i="57"/>
  <c r="Y433" i="57"/>
  <c r="Z433" i="57"/>
  <c r="AE433" i="57"/>
  <c r="AF433" i="57"/>
  <c r="Y434" i="57"/>
  <c r="Z434" i="57"/>
  <c r="AE434" i="57"/>
  <c r="AF434" i="57"/>
  <c r="Y435" i="57"/>
  <c r="Z435" i="57"/>
  <c r="AE435" i="57"/>
  <c r="AF435" i="57"/>
  <c r="Y436" i="57"/>
  <c r="Z436" i="57"/>
  <c r="AE436" i="57"/>
  <c r="AF436" i="57"/>
  <c r="Y437" i="57"/>
  <c r="Z437" i="57"/>
  <c r="AE437" i="57"/>
  <c r="AF437" i="57"/>
  <c r="Y438" i="57"/>
  <c r="Z438" i="57"/>
  <c r="AE438" i="57"/>
  <c r="AF438" i="57"/>
  <c r="Y439" i="57"/>
  <c r="Z439" i="57"/>
  <c r="AE439" i="57"/>
  <c r="AF439" i="57"/>
  <c r="Y440" i="57"/>
  <c r="Z440" i="57"/>
  <c r="AE440" i="57"/>
  <c r="AF440" i="57"/>
  <c r="Y441" i="57"/>
  <c r="Z441" i="57"/>
  <c r="AE441" i="57"/>
  <c r="AF441" i="57"/>
  <c r="Y442" i="57"/>
  <c r="Z442" i="57"/>
  <c r="AE442" i="57"/>
  <c r="AF442" i="57"/>
  <c r="Y443" i="57"/>
  <c r="Z443" i="57"/>
  <c r="AE443" i="57"/>
  <c r="AF443" i="57"/>
  <c r="Y444" i="57"/>
  <c r="Z444" i="57"/>
  <c r="AE444" i="57"/>
  <c r="AF444" i="57"/>
  <c r="Y445" i="57"/>
  <c r="Z445" i="57"/>
  <c r="AE445" i="57"/>
  <c r="AF445" i="57"/>
  <c r="Y446" i="57"/>
  <c r="Z446" i="57"/>
  <c r="AE446" i="57"/>
  <c r="AF446" i="57"/>
  <c r="Y447" i="57"/>
  <c r="Z447" i="57"/>
  <c r="AE447" i="57"/>
  <c r="AF447" i="57"/>
  <c r="Y448" i="57"/>
  <c r="Z448" i="57"/>
  <c r="AE448" i="57"/>
  <c r="AF448" i="57"/>
  <c r="Y449" i="57"/>
  <c r="Z449" i="57"/>
  <c r="AE449" i="57"/>
  <c r="AF449" i="57"/>
  <c r="Y450" i="57"/>
  <c r="Z450" i="57"/>
  <c r="AE450" i="57"/>
  <c r="AF450" i="57"/>
  <c r="Y451" i="57"/>
  <c r="Z451" i="57"/>
  <c r="AE451" i="57"/>
  <c r="AF451" i="57"/>
  <c r="Y452" i="57"/>
  <c r="Z452" i="57"/>
  <c r="AE452" i="57"/>
  <c r="AF452" i="57"/>
  <c r="Y453" i="57"/>
  <c r="Z453" i="57"/>
  <c r="AE453" i="57"/>
  <c r="AF453" i="57"/>
  <c r="Y454" i="57"/>
  <c r="Z454" i="57"/>
  <c r="AE454" i="57"/>
  <c r="AF454" i="57"/>
  <c r="Y455" i="57"/>
  <c r="Z455" i="57"/>
  <c r="AE455" i="57"/>
  <c r="AF455" i="57"/>
  <c r="Y456" i="57"/>
  <c r="Z456" i="57"/>
  <c r="AE456" i="57"/>
  <c r="AF456" i="57"/>
  <c r="Y457" i="57"/>
  <c r="Z457" i="57"/>
  <c r="AE457" i="57"/>
  <c r="AF457" i="57"/>
  <c r="Y458" i="57"/>
  <c r="Z458" i="57"/>
  <c r="AE458" i="57"/>
  <c r="AF458" i="57"/>
  <c r="Y459" i="57"/>
  <c r="Z459" i="57"/>
  <c r="AE459" i="57"/>
  <c r="AF459" i="57"/>
  <c r="Y460" i="57"/>
  <c r="Z460" i="57"/>
  <c r="AE460" i="57"/>
  <c r="AF460" i="57"/>
  <c r="Y461" i="57"/>
  <c r="Z461" i="57"/>
  <c r="AE461" i="57"/>
  <c r="AF461" i="57"/>
  <c r="Y462" i="57"/>
  <c r="Z462" i="57"/>
  <c r="AE462" i="57"/>
  <c r="AF462" i="57"/>
  <c r="Y463" i="57"/>
  <c r="Z463" i="57"/>
  <c r="AE463" i="57"/>
  <c r="AF463" i="57"/>
  <c r="Y464" i="57"/>
  <c r="Z464" i="57"/>
  <c r="AE464" i="57"/>
  <c r="AF464" i="57"/>
  <c r="Y465" i="57"/>
  <c r="Z465" i="57"/>
  <c r="AE465" i="57"/>
  <c r="AF465" i="57"/>
  <c r="Y466" i="57"/>
  <c r="Z466" i="57"/>
  <c r="AE466" i="57"/>
  <c r="AF466" i="57"/>
  <c r="Y467" i="57"/>
  <c r="Z467" i="57"/>
  <c r="AE467" i="57"/>
  <c r="AF467" i="57"/>
  <c r="Y468" i="57"/>
  <c r="Z468" i="57"/>
  <c r="AE468" i="57"/>
  <c r="AF468" i="57"/>
  <c r="Y469" i="57"/>
  <c r="Z469" i="57"/>
  <c r="AE469" i="57"/>
  <c r="AF469" i="57"/>
  <c r="Y470" i="57"/>
  <c r="Z470" i="57"/>
  <c r="AE470" i="57"/>
  <c r="AF470" i="57"/>
  <c r="Y471" i="57"/>
  <c r="Z471" i="57"/>
  <c r="AE471" i="57"/>
  <c r="AF471" i="57"/>
  <c r="Y472" i="57"/>
  <c r="Z472" i="57"/>
  <c r="AE472" i="57"/>
  <c r="AF472" i="57"/>
  <c r="Y473" i="57"/>
  <c r="Z473" i="57"/>
  <c r="AE473" i="57"/>
  <c r="AF473" i="57"/>
  <c r="Y474" i="57"/>
  <c r="Z474" i="57"/>
  <c r="AE474" i="57"/>
  <c r="AF474" i="57"/>
  <c r="Y475" i="57"/>
  <c r="Z475" i="57"/>
  <c r="AE475" i="57"/>
  <c r="AF475" i="57"/>
  <c r="Y476" i="57"/>
  <c r="Z476" i="57"/>
  <c r="AE476" i="57"/>
  <c r="AF476" i="57"/>
  <c r="Y477" i="57"/>
  <c r="Z477" i="57"/>
  <c r="AE477" i="57"/>
  <c r="AF477" i="57"/>
  <c r="Y478" i="57"/>
  <c r="Z478" i="57"/>
  <c r="AE478" i="57"/>
  <c r="AF478" i="57"/>
  <c r="Y479" i="57"/>
  <c r="Z479" i="57"/>
  <c r="AE479" i="57"/>
  <c r="AF479" i="57"/>
  <c r="Y480" i="57"/>
  <c r="Z480" i="57"/>
  <c r="AE480" i="57"/>
  <c r="AF480" i="57"/>
  <c r="Y481" i="57"/>
  <c r="Z481" i="57"/>
  <c r="AE481" i="57"/>
  <c r="AF481" i="57"/>
  <c r="Y482" i="57"/>
  <c r="Z482" i="57"/>
  <c r="AE482" i="57"/>
  <c r="AF482" i="57"/>
  <c r="Y483" i="57"/>
  <c r="Z483" i="57"/>
  <c r="AE483" i="57"/>
  <c r="AF483" i="57"/>
  <c r="Y484" i="57"/>
  <c r="Z484" i="57"/>
  <c r="AE484" i="57"/>
  <c r="AF484" i="57"/>
  <c r="Y485" i="57"/>
  <c r="Z485" i="57"/>
  <c r="AE485" i="57"/>
  <c r="AF485" i="57"/>
  <c r="Y486" i="57"/>
  <c r="Z486" i="57"/>
  <c r="AE486" i="57"/>
  <c r="AF486" i="57"/>
  <c r="Y487" i="57"/>
  <c r="Z487" i="57"/>
  <c r="AE487" i="57"/>
  <c r="AF487" i="57"/>
  <c r="Y488" i="57"/>
  <c r="Z488" i="57"/>
  <c r="AE488" i="57"/>
  <c r="AF488" i="57"/>
  <c r="Y489" i="57"/>
  <c r="Z489" i="57"/>
  <c r="AE489" i="57"/>
  <c r="AF489" i="57"/>
  <c r="Y490" i="57"/>
  <c r="Z490" i="57"/>
  <c r="AE490" i="57"/>
  <c r="AF490" i="57"/>
  <c r="Y491" i="57"/>
  <c r="Z491" i="57"/>
  <c r="AE491" i="57"/>
  <c r="AF491" i="57"/>
  <c r="Y492" i="57"/>
  <c r="Z492" i="57"/>
  <c r="AE492" i="57"/>
  <c r="AF492" i="57"/>
  <c r="Y493" i="57"/>
  <c r="Z493" i="57"/>
  <c r="AE493" i="57"/>
  <c r="AF493" i="57"/>
  <c r="Y494" i="57"/>
  <c r="Z494" i="57"/>
  <c r="AE494" i="57"/>
  <c r="AF494" i="57"/>
  <c r="Y495" i="57"/>
  <c r="Z495" i="57"/>
  <c r="AE495" i="57"/>
  <c r="AF495" i="57"/>
  <c r="Y496" i="57"/>
  <c r="Z496" i="57"/>
  <c r="AE496" i="57"/>
  <c r="AF496" i="57"/>
  <c r="Y497" i="57"/>
  <c r="Z497" i="57"/>
  <c r="AE497" i="57"/>
  <c r="AF497" i="57"/>
  <c r="Y498" i="57"/>
  <c r="Z498" i="57"/>
  <c r="AE498" i="57"/>
  <c r="AF498" i="57"/>
  <c r="Y499" i="57"/>
  <c r="Z499" i="57"/>
  <c r="AE499" i="57"/>
  <c r="AF499" i="57"/>
  <c r="Y500" i="57"/>
  <c r="Z500" i="57"/>
  <c r="AE500" i="57"/>
  <c r="AF500" i="57"/>
  <c r="Y501" i="57"/>
  <c r="Z501" i="57"/>
  <c r="AE501" i="57"/>
  <c r="AF501" i="57"/>
  <c r="Y502" i="57"/>
  <c r="Z502" i="57"/>
  <c r="AE502" i="57"/>
  <c r="AF502" i="57"/>
  <c r="Y503" i="57"/>
  <c r="Z503" i="57"/>
  <c r="AE503" i="57"/>
  <c r="AF503" i="57"/>
  <c r="Y504" i="57"/>
  <c r="Z504" i="57"/>
  <c r="AE504" i="57"/>
  <c r="AF504" i="57"/>
  <c r="Y505" i="57"/>
  <c r="Z505" i="57"/>
  <c r="AE505" i="57"/>
  <c r="AF505" i="57"/>
  <c r="Y506" i="57"/>
  <c r="Z506" i="57"/>
  <c r="AE506" i="57"/>
  <c r="AF506" i="57"/>
  <c r="Y507" i="57"/>
  <c r="Z507" i="57"/>
  <c r="AE507" i="57"/>
  <c r="AF507" i="57"/>
  <c r="Y508" i="57"/>
  <c r="Z508" i="57"/>
  <c r="AE508" i="57"/>
  <c r="AF508" i="57"/>
  <c r="Y509" i="57"/>
  <c r="Z509" i="57"/>
  <c r="AE509" i="57"/>
  <c r="AF509" i="57"/>
  <c r="Y510" i="57"/>
  <c r="Z510" i="57"/>
  <c r="AE510" i="57"/>
  <c r="AF510" i="57"/>
  <c r="Y511" i="57"/>
  <c r="Z511" i="57"/>
  <c r="AE511" i="57"/>
  <c r="AF511" i="57"/>
  <c r="Y512" i="57"/>
  <c r="Z512" i="57"/>
  <c r="AE512" i="57"/>
  <c r="AF512" i="57"/>
  <c r="Y513" i="57"/>
  <c r="Z513" i="57"/>
  <c r="AE513" i="57"/>
  <c r="AF513" i="57"/>
  <c r="Y514" i="57"/>
  <c r="Z514" i="57"/>
  <c r="AE514" i="57"/>
  <c r="AF514" i="57"/>
  <c r="Y515" i="57"/>
  <c r="Z515" i="57"/>
  <c r="AE515" i="57"/>
  <c r="AF515" i="57"/>
  <c r="Y516" i="57"/>
  <c r="Z516" i="57"/>
  <c r="AE516" i="57"/>
  <c r="AF516" i="57"/>
  <c r="Y517" i="57"/>
  <c r="Z517" i="57"/>
  <c r="AE517" i="57"/>
  <c r="AF517" i="57"/>
  <c r="Y518" i="57"/>
  <c r="Z518" i="57"/>
  <c r="AE518" i="57"/>
  <c r="AF518" i="57"/>
  <c r="Y519" i="57"/>
  <c r="Z519" i="57"/>
  <c r="AE519" i="57"/>
  <c r="AF519" i="57"/>
  <c r="Y520" i="57"/>
  <c r="Z520" i="57"/>
  <c r="AE520" i="57"/>
  <c r="AF520" i="57"/>
  <c r="Y521" i="57"/>
  <c r="Z521" i="57"/>
  <c r="AE521" i="57"/>
  <c r="AF521" i="57"/>
  <c r="Y522" i="57"/>
  <c r="Z522" i="57"/>
  <c r="AE522" i="57"/>
  <c r="AF522" i="57"/>
  <c r="Y523" i="57"/>
  <c r="Z523" i="57"/>
  <c r="AE523" i="57"/>
  <c r="AF523" i="57"/>
  <c r="Y524" i="57"/>
  <c r="Z524" i="57"/>
  <c r="AE524" i="57"/>
  <c r="AF524" i="57"/>
  <c r="Y525" i="57"/>
  <c r="Z525" i="57"/>
  <c r="AE525" i="57"/>
  <c r="AF525" i="57"/>
  <c r="Y526" i="57"/>
  <c r="Z526" i="57"/>
  <c r="AE526" i="57"/>
  <c r="AF526" i="57"/>
  <c r="Y527" i="57"/>
  <c r="Z527" i="57"/>
  <c r="AE527" i="57"/>
  <c r="AF527" i="57"/>
  <c r="Y528" i="57"/>
  <c r="Z528" i="57"/>
  <c r="AE528" i="57"/>
  <c r="AF528" i="57"/>
  <c r="Y529" i="57"/>
  <c r="Z529" i="57"/>
  <c r="AE529" i="57"/>
  <c r="AF529" i="57"/>
  <c r="Y530" i="57"/>
  <c r="Z530" i="57"/>
  <c r="AE530" i="57"/>
  <c r="AF530" i="57"/>
  <c r="Y531" i="57"/>
  <c r="Z531" i="57"/>
  <c r="AE531" i="57"/>
  <c r="AF531" i="57"/>
  <c r="Y532" i="57"/>
  <c r="Z532" i="57"/>
  <c r="AE532" i="57"/>
  <c r="AF532" i="57"/>
  <c r="Y533" i="57"/>
  <c r="Z533" i="57"/>
  <c r="AE533" i="57"/>
  <c r="AF533" i="57"/>
  <c r="Y534" i="57"/>
  <c r="Z534" i="57"/>
  <c r="AE534" i="57"/>
  <c r="AF534" i="57"/>
  <c r="Y535" i="57"/>
  <c r="Z535" i="57"/>
  <c r="AE535" i="57"/>
  <c r="AF535" i="57"/>
  <c r="Y536" i="57"/>
  <c r="Z536" i="57"/>
  <c r="AE536" i="57"/>
  <c r="AF536" i="57"/>
  <c r="Y537" i="57"/>
  <c r="Z537" i="57"/>
  <c r="AE537" i="57"/>
  <c r="AF537" i="57"/>
  <c r="Y538" i="57"/>
  <c r="Z538" i="57"/>
  <c r="AE538" i="57"/>
  <c r="AF538" i="57"/>
  <c r="Y539" i="57"/>
  <c r="Z539" i="57"/>
  <c r="AE539" i="57"/>
  <c r="AF539" i="57"/>
  <c r="Y540" i="57"/>
  <c r="Z540" i="57"/>
  <c r="AE540" i="57"/>
  <c r="AF540" i="57"/>
  <c r="Y541" i="57"/>
  <c r="Z541" i="57"/>
  <c r="AE541" i="57"/>
  <c r="AF541" i="57"/>
  <c r="Y542" i="57"/>
  <c r="Z542" i="57"/>
  <c r="AE542" i="57"/>
  <c r="AF542" i="57"/>
  <c r="Y543" i="57"/>
  <c r="Z543" i="57"/>
  <c r="AE543" i="57"/>
  <c r="AF543" i="57"/>
  <c r="Y544" i="57"/>
  <c r="Z544" i="57"/>
  <c r="AE544" i="57"/>
  <c r="AF544" i="57"/>
  <c r="Y545" i="57"/>
  <c r="Z545" i="57"/>
  <c r="AE545" i="57"/>
  <c r="AF545" i="57"/>
  <c r="Y546" i="57"/>
  <c r="Z546" i="57"/>
  <c r="AE546" i="57"/>
  <c r="AF546" i="57"/>
  <c r="Y547" i="57"/>
  <c r="Z547" i="57"/>
  <c r="AE547" i="57"/>
  <c r="AF547" i="57"/>
  <c r="Y548" i="57"/>
  <c r="Z548" i="57"/>
  <c r="AE548" i="57"/>
  <c r="AF548" i="57"/>
  <c r="Y549" i="57"/>
  <c r="Z549" i="57"/>
  <c r="AE549" i="57"/>
  <c r="AF549" i="57"/>
  <c r="Y550" i="57"/>
  <c r="Z550" i="57"/>
  <c r="AE550" i="57"/>
  <c r="AF550" i="57"/>
  <c r="Y551" i="57"/>
  <c r="Z551" i="57"/>
  <c r="AE551" i="57"/>
  <c r="AF551" i="57"/>
  <c r="Y552" i="57"/>
  <c r="Z552" i="57"/>
  <c r="AE552" i="57"/>
  <c r="AF552" i="57"/>
  <c r="Y553" i="57"/>
  <c r="Z553" i="57"/>
  <c r="AE553" i="57"/>
  <c r="AF553" i="57"/>
  <c r="Y554" i="57"/>
  <c r="Z554" i="57"/>
  <c r="AE554" i="57"/>
  <c r="AF554" i="57"/>
  <c r="Y555" i="57"/>
  <c r="Z555" i="57"/>
  <c r="AE555" i="57"/>
  <c r="AF555" i="57"/>
  <c r="Y556" i="57"/>
  <c r="Z556" i="57"/>
  <c r="AE556" i="57"/>
  <c r="AF556" i="57"/>
  <c r="Y557" i="57"/>
  <c r="Z557" i="57"/>
  <c r="AE557" i="57"/>
  <c r="AF557" i="57"/>
  <c r="Y558" i="57"/>
  <c r="Z558" i="57"/>
  <c r="AE558" i="57"/>
  <c r="AF558" i="57"/>
  <c r="Y559" i="57"/>
  <c r="Z559" i="57"/>
  <c r="AE559" i="57"/>
  <c r="AF559" i="57"/>
  <c r="Y560" i="57"/>
  <c r="Z560" i="57"/>
  <c r="AE560" i="57"/>
  <c r="AF560" i="57"/>
  <c r="Y561" i="57"/>
  <c r="Z561" i="57"/>
  <c r="AE561" i="57"/>
  <c r="AF561" i="57"/>
  <c r="Y562" i="57"/>
  <c r="Z562" i="57"/>
  <c r="AE562" i="57"/>
  <c r="AF562" i="57"/>
  <c r="Y563" i="57"/>
  <c r="Z563" i="57"/>
  <c r="AE563" i="57"/>
  <c r="AF563" i="57"/>
  <c r="Y564" i="57"/>
  <c r="Z564" i="57"/>
  <c r="AE564" i="57"/>
  <c r="AF564" i="57"/>
  <c r="Y565" i="57"/>
  <c r="Z565" i="57"/>
  <c r="AE565" i="57"/>
  <c r="AF565" i="57"/>
  <c r="Y566" i="57"/>
  <c r="Z566" i="57"/>
  <c r="AE566" i="57"/>
  <c r="AF566" i="57"/>
  <c r="Y567" i="57"/>
  <c r="Z567" i="57"/>
  <c r="AE567" i="57"/>
  <c r="AF567" i="57"/>
  <c r="Y568" i="57"/>
  <c r="Z568" i="57"/>
  <c r="AE568" i="57"/>
  <c r="AF568" i="57"/>
  <c r="Y569" i="57"/>
  <c r="Z569" i="57"/>
  <c r="AE569" i="57"/>
  <c r="AF569" i="57"/>
  <c r="Y570" i="57"/>
  <c r="Z570" i="57"/>
  <c r="AE570" i="57"/>
  <c r="AF570" i="57"/>
  <c r="Y571" i="57"/>
  <c r="Z571" i="57"/>
  <c r="AE571" i="57"/>
  <c r="AF571" i="57"/>
  <c r="Y572" i="57"/>
  <c r="Z572" i="57"/>
  <c r="AE572" i="57"/>
  <c r="AF572" i="57"/>
  <c r="Y573" i="57"/>
  <c r="Z573" i="57"/>
  <c r="AE573" i="57"/>
  <c r="AF573" i="57"/>
  <c r="Y574" i="57"/>
  <c r="Z574" i="57"/>
  <c r="AE574" i="57"/>
  <c r="AF574" i="57"/>
  <c r="Y575" i="57"/>
  <c r="Z575" i="57"/>
  <c r="AE575" i="57"/>
  <c r="AF575" i="57"/>
  <c r="Y576" i="57"/>
  <c r="Z576" i="57"/>
  <c r="AE576" i="57"/>
  <c r="AF576" i="57"/>
  <c r="Y577" i="57"/>
  <c r="Z577" i="57"/>
  <c r="AE577" i="57"/>
  <c r="AF577" i="57"/>
  <c r="Y578" i="57"/>
  <c r="Z578" i="57"/>
  <c r="AE578" i="57"/>
  <c r="AF578" i="57"/>
  <c r="Y579" i="57"/>
  <c r="Z579" i="57"/>
  <c r="AE579" i="57"/>
  <c r="AF579" i="57"/>
  <c r="Y580" i="57"/>
  <c r="Z580" i="57"/>
  <c r="AE580" i="57"/>
  <c r="AF580" i="57"/>
  <c r="Y581" i="57"/>
  <c r="Z581" i="57"/>
  <c r="AE581" i="57"/>
  <c r="AF581" i="57"/>
  <c r="Y582" i="57"/>
  <c r="Z582" i="57"/>
  <c r="AE582" i="57"/>
  <c r="AF582" i="57"/>
  <c r="Y583" i="57"/>
  <c r="Z583" i="57"/>
  <c r="AE583" i="57"/>
  <c r="AF583" i="57"/>
  <c r="Y584" i="57"/>
  <c r="Z584" i="57"/>
  <c r="AE584" i="57"/>
  <c r="AF584" i="57"/>
  <c r="Y585" i="57"/>
  <c r="Z585" i="57"/>
  <c r="AE585" i="57"/>
  <c r="AF585" i="57"/>
  <c r="Y586" i="57"/>
  <c r="Z586" i="57"/>
  <c r="AE586" i="57"/>
  <c r="AF586" i="57"/>
  <c r="Y587" i="57"/>
  <c r="Z587" i="57"/>
  <c r="AE587" i="57"/>
  <c r="AF587" i="57"/>
  <c r="Y588" i="57"/>
  <c r="Z588" i="57"/>
  <c r="AE588" i="57"/>
  <c r="AF588" i="57"/>
  <c r="Y589" i="57"/>
  <c r="AE589" i="57"/>
  <c r="Y590" i="57"/>
  <c r="AE590" i="57"/>
  <c r="Y591" i="57"/>
  <c r="AE591" i="57"/>
  <c r="Y592" i="57"/>
  <c r="AE592" i="57"/>
  <c r="Y593" i="57"/>
  <c r="AE593" i="57"/>
  <c r="Y594" i="57"/>
  <c r="AE594" i="57"/>
  <c r="Z595" i="57"/>
  <c r="AF595" i="57"/>
  <c r="Z596" i="57"/>
  <c r="AF596" i="57"/>
  <c r="Z597" i="57"/>
  <c r="AF597" i="57"/>
  <c r="Z598" i="57"/>
  <c r="AF598" i="57"/>
  <c r="Z599" i="57"/>
  <c r="AF599" i="57"/>
  <c r="Z600" i="57"/>
  <c r="AF600" i="57"/>
  <c r="Z601" i="57"/>
  <c r="AF601" i="57"/>
  <c r="Z602" i="57"/>
  <c r="AF602" i="57"/>
  <c r="Z603" i="57"/>
  <c r="AF603" i="57"/>
  <c r="Z604" i="57"/>
  <c r="AF604" i="57"/>
  <c r="Z605" i="57"/>
  <c r="AF605" i="57"/>
  <c r="Z606" i="57"/>
  <c r="AF606" i="57"/>
  <c r="Z607" i="57"/>
  <c r="AF607" i="57"/>
  <c r="Z608" i="57"/>
  <c r="AF608" i="57"/>
  <c r="Z609" i="57"/>
  <c r="AF609" i="57"/>
  <c r="Z610" i="57"/>
  <c r="AF610" i="57"/>
  <c r="Z611" i="57"/>
  <c r="AF611" i="57"/>
  <c r="Z612" i="57"/>
  <c r="AF612" i="57"/>
  <c r="Z613" i="57"/>
  <c r="AF613" i="57"/>
  <c r="Z614" i="57"/>
  <c r="AF614" i="57"/>
  <c r="Z615" i="57"/>
  <c r="AF615" i="57"/>
  <c r="Z616" i="57"/>
  <c r="AF616" i="57"/>
  <c r="Z617" i="57"/>
  <c r="AF617" i="57"/>
  <c r="Z618" i="57"/>
  <c r="AF618" i="57"/>
  <c r="Z619" i="57"/>
  <c r="AF619" i="57"/>
  <c r="Z620" i="57"/>
  <c r="AF620" i="57"/>
  <c r="Z621" i="57"/>
  <c r="AF621" i="57"/>
  <c r="Z622" i="57"/>
  <c r="AF622" i="57"/>
  <c r="Z623" i="57"/>
  <c r="AF623" i="57"/>
  <c r="Z624" i="57"/>
  <c r="AF624" i="57"/>
  <c r="Z625" i="57"/>
  <c r="AF625" i="57"/>
  <c r="Z626" i="57"/>
  <c r="AF626" i="57"/>
  <c r="Z627" i="57"/>
  <c r="AF627" i="57"/>
  <c r="Z628" i="57"/>
  <c r="AF628" i="57"/>
  <c r="Z629" i="57"/>
  <c r="AF629" i="57"/>
  <c r="Z630" i="57"/>
  <c r="AF630" i="57"/>
  <c r="Z631" i="57"/>
  <c r="AF631" i="57"/>
  <c r="Z632" i="57"/>
  <c r="AF632" i="57"/>
  <c r="Z633" i="57"/>
  <c r="AF633" i="57"/>
  <c r="Z634" i="57"/>
  <c r="AF634" i="57"/>
  <c r="Z635" i="57"/>
  <c r="AF635" i="57"/>
  <c r="Z636" i="57"/>
  <c r="AF636" i="57"/>
  <c r="Z637" i="57"/>
  <c r="AF637" i="57"/>
  <c r="Z638" i="57"/>
  <c r="AF638" i="57"/>
  <c r="Z639" i="57"/>
  <c r="AF639" i="57"/>
  <c r="Z640" i="57"/>
  <c r="AF640" i="57"/>
  <c r="Z641" i="57"/>
  <c r="AF641" i="57"/>
  <c r="Z642" i="57"/>
  <c r="AF642" i="57"/>
  <c r="Z643" i="57"/>
  <c r="AF643" i="57"/>
  <c r="Y644" i="57"/>
  <c r="AE644" i="57"/>
  <c r="Y645" i="57"/>
  <c r="AE645" i="57"/>
  <c r="Y646" i="57"/>
  <c r="AE646" i="57"/>
  <c r="Y647" i="57"/>
  <c r="AE647" i="57"/>
  <c r="Y648" i="57"/>
  <c r="AE648" i="57"/>
  <c r="Y649" i="57"/>
  <c r="AE649" i="57"/>
  <c r="Y650" i="57"/>
  <c r="AE650" i="57"/>
  <c r="Y651" i="57"/>
  <c r="AE651" i="57"/>
  <c r="Y652" i="57"/>
  <c r="AE652" i="57"/>
  <c r="Y653" i="57"/>
  <c r="AE653" i="57"/>
  <c r="Y654" i="57"/>
  <c r="AE654" i="57"/>
  <c r="Y655" i="57"/>
  <c r="AE655" i="57"/>
  <c r="Y656" i="57"/>
  <c r="AE656" i="57"/>
  <c r="Y657" i="57"/>
  <c r="AE657" i="57"/>
  <c r="Y658" i="57"/>
  <c r="AE658" i="57"/>
  <c r="Y659" i="57"/>
  <c r="AE659" i="57"/>
  <c r="Y660" i="57"/>
  <c r="AE660" i="57"/>
  <c r="Y661" i="57"/>
  <c r="AE661" i="57"/>
  <c r="Y662" i="57"/>
  <c r="AE662" i="57"/>
  <c r="Y663" i="57"/>
  <c r="AE663" i="57"/>
  <c r="Y664" i="57"/>
  <c r="AE664" i="57"/>
  <c r="Y665" i="57"/>
  <c r="AE665" i="57"/>
  <c r="Y666" i="57"/>
  <c r="AE666" i="57"/>
  <c r="Y667" i="57"/>
  <c r="AE667" i="57"/>
  <c r="Y668" i="57"/>
  <c r="AE668" i="57"/>
  <c r="Y669" i="57"/>
  <c r="AE669" i="57"/>
  <c r="Y670" i="57"/>
  <c r="AE670" i="57"/>
  <c r="Y671" i="57"/>
  <c r="AE671" i="57"/>
  <c r="Y672" i="57"/>
  <c r="AE672" i="57"/>
  <c r="Y673" i="57"/>
  <c r="AE673" i="57"/>
  <c r="Y674" i="57"/>
  <c r="AE674" i="57"/>
  <c r="Y675" i="57"/>
  <c r="AE675" i="57"/>
  <c r="Y676" i="57"/>
  <c r="AE676" i="57"/>
  <c r="Y677" i="57"/>
  <c r="AE677" i="57"/>
  <c r="Y678" i="57"/>
  <c r="AE678" i="57"/>
  <c r="Y679" i="57"/>
  <c r="AE679" i="57"/>
  <c r="Y680" i="57"/>
  <c r="AE680" i="57"/>
  <c r="Y681" i="57"/>
  <c r="AE681" i="57"/>
  <c r="Y682" i="57"/>
  <c r="AE682" i="57"/>
  <c r="Y683" i="57"/>
  <c r="AE683" i="57"/>
  <c r="Y684" i="57"/>
  <c r="AE684" i="57"/>
  <c r="Y685" i="57"/>
  <c r="AE685" i="57"/>
  <c r="Y686" i="57"/>
  <c r="AE686" i="57"/>
  <c r="Y687" i="57"/>
  <c r="AE687" i="57"/>
  <c r="Y688" i="57"/>
  <c r="AE688" i="57"/>
  <c r="Z689" i="57"/>
  <c r="AF689" i="57"/>
  <c r="Z690" i="57"/>
  <c r="AF690" i="57"/>
  <c r="Z691" i="57"/>
  <c r="AF691" i="57"/>
  <c r="Z692" i="57"/>
  <c r="AF692" i="57"/>
  <c r="Z693" i="57"/>
  <c r="AF693" i="57"/>
  <c r="Z694" i="57"/>
  <c r="AF694" i="57"/>
  <c r="Z695" i="57"/>
  <c r="AF695" i="57"/>
  <c r="Z696" i="57"/>
  <c r="AF696" i="57"/>
  <c r="Z697" i="57"/>
  <c r="AF697" i="57"/>
  <c r="Z698" i="57"/>
  <c r="AF698" i="57"/>
  <c r="Z699" i="57"/>
  <c r="AF699" i="57"/>
  <c r="Z700" i="57"/>
  <c r="AF700" i="57"/>
  <c r="Z701" i="57"/>
  <c r="AF701" i="57"/>
  <c r="Z702" i="57"/>
  <c r="AF702" i="57"/>
  <c r="Z703" i="57"/>
  <c r="AF703" i="57"/>
  <c r="Z704" i="57"/>
  <c r="AF704" i="57"/>
  <c r="Z705" i="57"/>
  <c r="AF705" i="57"/>
  <c r="Z706" i="57"/>
  <c r="AF706" i="57"/>
  <c r="Z707" i="57"/>
  <c r="AF707" i="57"/>
  <c r="Z708" i="57"/>
  <c r="AF708" i="57"/>
  <c r="Z709" i="57"/>
  <c r="AF709" i="57"/>
  <c r="Z710" i="57"/>
  <c r="AF710" i="57"/>
  <c r="Z711" i="57"/>
  <c r="AF711" i="57"/>
  <c r="Z712" i="57"/>
  <c r="AF712" i="57"/>
  <c r="Z713" i="57"/>
  <c r="AF713" i="57"/>
  <c r="Z714" i="57"/>
  <c r="AF714" i="57"/>
  <c r="Z715" i="57"/>
  <c r="AF715" i="57"/>
  <c r="Z716" i="57"/>
  <c r="AF716" i="57"/>
  <c r="Z717" i="57"/>
  <c r="AF717" i="57"/>
  <c r="Z718" i="57"/>
  <c r="AF718" i="57"/>
  <c r="Z719" i="57"/>
  <c r="AF719" i="57"/>
  <c r="Z720" i="57"/>
  <c r="AF720" i="57"/>
  <c r="Z721" i="57"/>
  <c r="AF721" i="57"/>
  <c r="Z722" i="57"/>
  <c r="AF722" i="57"/>
  <c r="Z723" i="57"/>
  <c r="AF723" i="57"/>
  <c r="Z724" i="57"/>
  <c r="AF724" i="57"/>
  <c r="Z725" i="57"/>
  <c r="AF725" i="57"/>
  <c r="Z726" i="57"/>
  <c r="AF726" i="57"/>
  <c r="Z727" i="57"/>
  <c r="AF727" i="57"/>
  <c r="Z728" i="57"/>
  <c r="AF728" i="57"/>
  <c r="Z729" i="57"/>
  <c r="AF729" i="57"/>
  <c r="Z730" i="57"/>
  <c r="AF730" i="57"/>
  <c r="Z731" i="57"/>
  <c r="AF731" i="57"/>
  <c r="Z732" i="57"/>
  <c r="AF732" i="57"/>
  <c r="Z733" i="57"/>
  <c r="AF733" i="57"/>
  <c r="Z734" i="57"/>
  <c r="AF734" i="57"/>
  <c r="Z735" i="57"/>
  <c r="AF735" i="57"/>
  <c r="Z736" i="57"/>
  <c r="AF736" i="57"/>
  <c r="Z737" i="57"/>
  <c r="AF737" i="57"/>
  <c r="Z738" i="57"/>
  <c r="AF738" i="57"/>
  <c r="Z739" i="57"/>
  <c r="AF739" i="57"/>
  <c r="Z740" i="57"/>
  <c r="AF740" i="57"/>
  <c r="Z741" i="57"/>
  <c r="AF741" i="57"/>
  <c r="Z742" i="57"/>
  <c r="AF742" i="57"/>
  <c r="Z743" i="57"/>
  <c r="AF743" i="57"/>
  <c r="Z744" i="57"/>
  <c r="AF744" i="57"/>
  <c r="Z745" i="57"/>
  <c r="AF745" i="57"/>
  <c r="Z746" i="57"/>
  <c r="AF746" i="57"/>
  <c r="Y747" i="57"/>
  <c r="AE747" i="57"/>
  <c r="Y748" i="57"/>
  <c r="AE748" i="57"/>
  <c r="Y749" i="57"/>
  <c r="AE749" i="57"/>
  <c r="Y750" i="57"/>
  <c r="AE750" i="57"/>
  <c r="Y751" i="57"/>
  <c r="AE751" i="57"/>
  <c r="Y752" i="57"/>
  <c r="AE752" i="57"/>
  <c r="Y753" i="57"/>
  <c r="AE753" i="57"/>
  <c r="Y754" i="57"/>
  <c r="AE754" i="57"/>
  <c r="Y755" i="57"/>
  <c r="AE755" i="57"/>
  <c r="Y756" i="57"/>
  <c r="AE756" i="57"/>
  <c r="Y757" i="57"/>
  <c r="AE757" i="57"/>
  <c r="Y758" i="57"/>
  <c r="AE758" i="57"/>
  <c r="Z759" i="57"/>
  <c r="AF759" i="57"/>
  <c r="Z760" i="57"/>
  <c r="AF760" i="57"/>
  <c r="Z761" i="57"/>
  <c r="AF761" i="57"/>
  <c r="Z762" i="57"/>
  <c r="AF762" i="57"/>
  <c r="Z763" i="57"/>
  <c r="AF763" i="57"/>
  <c r="Z764" i="57"/>
  <c r="AF764" i="57"/>
  <c r="Z765" i="57"/>
  <c r="AF765" i="57"/>
  <c r="Z766" i="57"/>
  <c r="AF766" i="57"/>
  <c r="Z767" i="57"/>
  <c r="AF767" i="57"/>
  <c r="Z768" i="57"/>
  <c r="AF768" i="57"/>
  <c r="Z769" i="57"/>
  <c r="AF769" i="57"/>
  <c r="Z770" i="57"/>
  <c r="AF770" i="57"/>
  <c r="Z771" i="57"/>
  <c r="AF771" i="57"/>
  <c r="Z772" i="57"/>
  <c r="AF772" i="57"/>
  <c r="Z773" i="57"/>
  <c r="AF773" i="57"/>
  <c r="Z774" i="57"/>
  <c r="AF774" i="57"/>
  <c r="Z775" i="57"/>
  <c r="AF775" i="57"/>
  <c r="Z776" i="57"/>
  <c r="AF776" i="57"/>
  <c r="Z777" i="57"/>
  <c r="AF777" i="57"/>
  <c r="Z778" i="57"/>
  <c r="AF778" i="57"/>
  <c r="Z779" i="57"/>
  <c r="AF779" i="57"/>
  <c r="Z780" i="57"/>
  <c r="AF780" i="57"/>
  <c r="Z781" i="57"/>
  <c r="AF781" i="57"/>
  <c r="Z782" i="57"/>
  <c r="AF782" i="57"/>
  <c r="Y783" i="57"/>
  <c r="AE783" i="57"/>
  <c r="Y784" i="57"/>
  <c r="AE784" i="57"/>
  <c r="Y785" i="57"/>
  <c r="AE785" i="57"/>
  <c r="Y786" i="57"/>
  <c r="AE786" i="57"/>
  <c r="Y787" i="57"/>
  <c r="AE787" i="57"/>
  <c r="Y788" i="57"/>
  <c r="AE788" i="57"/>
  <c r="Y789" i="57"/>
  <c r="AE789" i="57"/>
  <c r="Y790" i="57"/>
  <c r="AE790" i="57"/>
  <c r="Y791" i="57"/>
  <c r="AE791" i="57"/>
  <c r="Y792" i="57"/>
  <c r="AE792" i="57"/>
  <c r="Y793" i="57"/>
  <c r="AE793" i="57"/>
  <c r="Y794" i="57"/>
  <c r="AE794" i="57"/>
  <c r="Z795" i="57"/>
  <c r="AF795" i="57"/>
  <c r="Z796" i="57"/>
  <c r="AF796" i="57"/>
  <c r="Z797" i="57"/>
  <c r="AF797" i="57"/>
  <c r="Z798" i="57"/>
  <c r="AF798" i="57"/>
  <c r="Z799" i="57"/>
  <c r="AF799" i="57"/>
  <c r="Z800" i="57"/>
  <c r="AF800" i="57"/>
  <c r="Z801" i="57"/>
  <c r="AF801" i="57"/>
  <c r="Z802" i="57"/>
  <c r="AF802" i="57"/>
  <c r="Z803" i="57"/>
  <c r="AF803" i="57"/>
  <c r="Z804" i="57"/>
  <c r="AF804" i="57"/>
  <c r="Z805" i="57"/>
  <c r="AF805" i="57"/>
  <c r="Z806" i="57"/>
  <c r="AF806" i="57"/>
  <c r="Z807" i="57"/>
  <c r="AF807" i="57"/>
  <c r="Z808" i="57"/>
  <c r="AF808" i="57"/>
  <c r="Z809" i="57"/>
  <c r="AF809" i="57"/>
  <c r="Z810" i="57"/>
  <c r="AF810" i="57"/>
  <c r="Z811" i="57"/>
  <c r="AF811" i="57"/>
  <c r="Z812" i="57"/>
  <c r="AF812" i="57"/>
  <c r="Z813" i="57"/>
  <c r="AF813" i="57"/>
  <c r="Z814" i="57"/>
  <c r="AF814" i="57"/>
  <c r="Z815" i="57"/>
  <c r="AF815" i="57"/>
  <c r="Z816" i="57"/>
  <c r="AF816" i="57"/>
  <c r="Z817" i="57"/>
  <c r="AF817" i="57"/>
  <c r="Z818" i="57"/>
  <c r="AF818" i="57"/>
  <c r="Z819" i="57"/>
  <c r="AF819" i="57"/>
  <c r="Z820" i="57"/>
  <c r="AF820" i="57"/>
  <c r="Z821" i="57"/>
  <c r="AF821" i="57"/>
  <c r="Z822" i="57"/>
  <c r="AF822" i="57"/>
  <c r="Z823" i="57"/>
  <c r="AF823" i="57"/>
  <c r="Z824" i="57"/>
  <c r="AF824" i="57"/>
  <c r="Z825" i="57"/>
  <c r="AF825" i="57"/>
  <c r="Z826" i="57"/>
  <c r="AF826" i="57"/>
  <c r="Z827" i="57"/>
  <c r="AF827" i="57"/>
  <c r="Z828" i="57"/>
  <c r="AF828" i="57"/>
  <c r="Z829" i="57"/>
  <c r="AF829" i="57"/>
  <c r="Z830" i="57"/>
  <c r="AF830" i="57"/>
  <c r="Z831" i="57"/>
  <c r="AF831" i="57"/>
  <c r="Z832" i="57"/>
  <c r="AF832" i="57"/>
  <c r="Z833" i="57"/>
  <c r="AF833" i="57"/>
  <c r="Z834" i="57"/>
  <c r="AF834" i="57"/>
  <c r="Z835" i="57"/>
  <c r="AF835" i="57"/>
  <c r="Z836" i="57"/>
  <c r="AF836" i="57"/>
  <c r="Y837" i="57"/>
  <c r="AE837" i="57"/>
  <c r="Y838" i="57"/>
  <c r="AE838" i="57"/>
  <c r="Y839" i="57"/>
  <c r="AE839" i="57"/>
  <c r="Y840" i="57"/>
  <c r="AE840" i="57"/>
  <c r="Y841" i="57"/>
  <c r="AE841" i="57"/>
  <c r="Y842" i="57"/>
  <c r="AE842" i="57"/>
  <c r="Y843" i="57"/>
  <c r="AE843" i="57"/>
  <c r="Y844" i="57"/>
  <c r="AE844" i="57"/>
  <c r="Y845" i="57"/>
  <c r="AE845" i="57"/>
  <c r="Y846" i="57"/>
  <c r="AE846" i="57"/>
  <c r="Y847" i="57"/>
  <c r="AE847" i="57"/>
  <c r="Y848" i="57"/>
  <c r="AE848" i="57"/>
  <c r="Y849" i="57"/>
  <c r="AE849" i="57"/>
  <c r="Y850" i="57"/>
  <c r="AE850" i="57"/>
  <c r="Y851" i="57"/>
  <c r="AE851" i="57"/>
  <c r="Y852" i="57"/>
  <c r="AE852" i="57"/>
  <c r="Y853" i="57"/>
  <c r="AE853" i="57"/>
  <c r="Y854" i="57"/>
  <c r="AE854" i="57"/>
  <c r="Y855" i="57"/>
  <c r="AE855" i="57"/>
  <c r="Y856" i="57"/>
  <c r="AE856" i="57"/>
  <c r="Y857" i="57"/>
  <c r="AE857" i="57"/>
  <c r="Y858" i="57"/>
  <c r="AE858" i="57"/>
  <c r="Y859" i="57"/>
  <c r="AE859" i="57"/>
  <c r="Y860" i="57"/>
  <c r="AE860" i="57"/>
  <c r="Y861" i="57"/>
  <c r="AE861" i="57"/>
  <c r="Y862" i="57"/>
  <c r="AE862" i="57"/>
  <c r="Y863" i="57"/>
  <c r="AE863" i="57"/>
  <c r="Z864" i="57"/>
  <c r="AF864" i="57"/>
  <c r="Z865" i="57"/>
  <c r="AF865" i="57"/>
  <c r="Z866" i="57"/>
  <c r="AF866" i="57"/>
  <c r="Z867" i="57"/>
  <c r="AF867" i="57"/>
  <c r="Z868" i="57"/>
  <c r="AF868" i="57"/>
  <c r="Z869" i="57"/>
  <c r="AF869" i="57"/>
  <c r="Z870" i="57"/>
  <c r="AF870" i="57"/>
  <c r="Z871" i="57"/>
  <c r="AF871" i="57"/>
  <c r="Z872" i="57"/>
  <c r="AF872" i="57"/>
  <c r="Z873" i="57"/>
  <c r="AF873" i="57"/>
  <c r="Z874" i="57"/>
  <c r="AF874" i="57"/>
  <c r="Z875" i="57"/>
  <c r="AF875" i="57"/>
  <c r="Z876" i="57"/>
  <c r="AF876" i="57"/>
  <c r="Z877" i="57"/>
  <c r="AF877" i="57"/>
  <c r="Z878" i="57"/>
  <c r="AF878" i="57"/>
  <c r="Z879" i="57"/>
  <c r="AF879" i="57"/>
  <c r="Z880" i="57"/>
  <c r="AF880" i="57"/>
  <c r="Z881" i="57"/>
  <c r="AF881" i="57"/>
  <c r="Z882" i="57"/>
  <c r="AF882" i="57"/>
  <c r="Z883" i="57"/>
  <c r="AF883" i="57"/>
  <c r="Z884" i="57"/>
  <c r="AF884" i="57"/>
  <c r="Z885" i="57"/>
  <c r="AF885" i="57"/>
  <c r="Z886" i="57"/>
  <c r="AF886" i="57"/>
  <c r="Z887" i="57"/>
  <c r="AF887" i="57"/>
  <c r="Z888" i="57"/>
  <c r="AF888" i="57"/>
  <c r="Z889" i="57"/>
  <c r="AF889" i="57"/>
  <c r="Z890" i="57"/>
  <c r="AF890" i="57"/>
  <c r="Z891" i="57"/>
  <c r="AF891" i="57"/>
  <c r="Z892" i="57"/>
  <c r="AF892" i="57"/>
  <c r="Z893" i="57"/>
  <c r="AF893" i="57"/>
  <c r="Z894" i="57"/>
  <c r="AF894" i="57"/>
  <c r="Z895" i="57"/>
  <c r="AF895" i="57"/>
  <c r="Z896" i="57"/>
  <c r="AF896" i="57"/>
  <c r="Z897" i="57"/>
  <c r="AF897" i="57"/>
  <c r="Z898" i="57"/>
  <c r="AF898" i="57"/>
  <c r="Z899" i="57"/>
  <c r="AF899" i="57"/>
  <c r="Z900" i="57"/>
  <c r="AF900" i="57"/>
  <c r="Z901" i="57"/>
  <c r="AF901" i="57"/>
  <c r="Z902" i="57"/>
  <c r="AF902" i="57"/>
  <c r="Z903" i="57"/>
  <c r="AF903" i="57"/>
  <c r="Z904" i="57"/>
  <c r="AF904" i="57"/>
  <c r="Z905" i="57"/>
  <c r="AF905" i="57"/>
  <c r="Z906" i="57"/>
  <c r="AF906" i="57"/>
  <c r="Z907" i="57"/>
  <c r="AF907" i="57"/>
  <c r="Z908" i="57"/>
  <c r="AF908" i="57"/>
  <c r="Z909" i="57"/>
  <c r="AF909" i="57"/>
  <c r="Z910" i="57"/>
  <c r="AF910" i="57"/>
  <c r="Z911" i="57"/>
  <c r="AF911" i="57"/>
  <c r="Z912" i="57"/>
  <c r="AF912" i="57"/>
  <c r="Z913" i="57"/>
  <c r="AF913" i="57"/>
  <c r="Z914" i="57"/>
  <c r="AF914" i="57"/>
  <c r="Z915" i="57"/>
  <c r="AF915" i="57"/>
  <c r="Z916" i="57"/>
  <c r="AF916" i="57"/>
  <c r="Z917" i="57"/>
  <c r="AF917" i="57"/>
  <c r="Z918" i="57"/>
  <c r="AF918" i="57"/>
  <c r="Z919" i="57"/>
  <c r="AF919" i="57"/>
  <c r="Z920" i="57"/>
  <c r="AF920" i="57"/>
  <c r="Z921" i="57"/>
  <c r="AF921" i="57"/>
  <c r="Z922" i="57"/>
  <c r="AF922" i="57"/>
  <c r="Y923" i="57"/>
  <c r="AE923" i="57"/>
  <c r="Y924" i="57"/>
  <c r="AE924" i="57"/>
  <c r="Y925" i="57"/>
  <c r="AE925" i="57"/>
  <c r="Y926" i="57"/>
  <c r="AE926" i="57"/>
  <c r="Y927" i="57"/>
  <c r="AE927" i="57"/>
  <c r="Y928" i="57"/>
  <c r="AE928" i="57"/>
  <c r="Y929" i="57"/>
  <c r="AE929" i="57"/>
  <c r="Y930" i="57"/>
  <c r="AE930" i="57"/>
  <c r="Y931" i="57"/>
  <c r="AE931" i="57"/>
  <c r="Y932" i="57"/>
  <c r="AE932" i="57"/>
  <c r="Y933" i="57"/>
  <c r="AE933" i="57"/>
  <c r="Y934" i="57"/>
  <c r="AE934" i="57"/>
  <c r="Y935" i="57"/>
  <c r="AE935" i="57"/>
  <c r="Y936" i="57"/>
  <c r="AE936" i="57"/>
  <c r="Y937" i="57"/>
  <c r="AE937" i="57"/>
  <c r="Y938" i="57"/>
  <c r="AE938" i="57"/>
  <c r="Y939" i="57"/>
  <c r="AE939" i="57"/>
  <c r="Y940" i="57"/>
  <c r="AE940" i="57"/>
  <c r="Y941" i="57"/>
  <c r="AE941" i="57"/>
  <c r="Y942" i="57"/>
  <c r="AE942" i="57"/>
  <c r="Y943" i="57"/>
  <c r="AE943" i="57"/>
  <c r="Y944" i="57"/>
  <c r="AE944" i="57"/>
  <c r="Y945" i="57"/>
  <c r="AE945" i="57"/>
  <c r="Y946" i="57"/>
  <c r="AE946" i="57"/>
  <c r="Y947" i="57"/>
  <c r="AE947" i="57"/>
  <c r="Y948" i="57"/>
  <c r="AE948" i="57"/>
  <c r="Y949" i="57"/>
  <c r="AE949" i="57"/>
  <c r="Y950" i="57"/>
  <c r="AE950" i="57"/>
  <c r="Y951" i="57"/>
  <c r="AE951" i="57"/>
  <c r="Z952" i="57"/>
  <c r="AF952" i="57"/>
  <c r="Z953" i="57"/>
  <c r="AF953" i="57"/>
  <c r="Z954" i="57"/>
  <c r="AF954" i="57"/>
  <c r="Z955" i="57"/>
  <c r="AF955" i="57"/>
  <c r="Z956" i="57"/>
  <c r="AF956" i="57"/>
  <c r="Z957" i="57"/>
  <c r="AF957" i="57"/>
  <c r="Z958" i="57"/>
  <c r="AF958" i="57"/>
  <c r="Z959" i="57"/>
  <c r="AF959" i="57"/>
  <c r="Z960" i="57"/>
  <c r="AF960" i="57"/>
  <c r="Z961" i="57"/>
  <c r="AF961" i="57"/>
  <c r="Z962" i="57"/>
  <c r="AF962" i="57"/>
  <c r="Z963" i="57"/>
  <c r="AF963" i="57"/>
  <c r="Z964" i="57"/>
  <c r="AF964" i="57"/>
  <c r="Z965" i="57"/>
  <c r="AF965" i="57"/>
  <c r="Z966" i="57"/>
  <c r="AF966" i="57"/>
  <c r="Z967" i="57"/>
  <c r="AF967" i="57"/>
  <c r="Z968" i="57"/>
  <c r="AF968" i="57"/>
  <c r="Z969" i="57"/>
  <c r="AF969" i="57"/>
  <c r="Z970" i="57"/>
  <c r="AF970" i="57"/>
  <c r="Z971" i="57"/>
  <c r="AF971" i="57"/>
  <c r="Z972" i="57"/>
  <c r="AF972" i="57"/>
  <c r="Z973" i="57"/>
  <c r="AF973" i="57"/>
  <c r="Z974" i="57"/>
  <c r="AF974" i="57"/>
  <c r="Z975" i="57"/>
  <c r="AF975" i="57"/>
  <c r="Z976" i="57"/>
  <c r="AF976" i="57"/>
  <c r="Z977" i="57"/>
  <c r="AF977" i="57"/>
  <c r="Z978" i="57"/>
  <c r="AF978" i="57"/>
  <c r="Z979" i="57"/>
  <c r="AF979" i="57"/>
  <c r="Z980" i="57"/>
  <c r="AF980" i="57"/>
  <c r="Z981" i="57"/>
  <c r="AF981" i="57"/>
  <c r="Z982" i="57"/>
  <c r="AF982" i="57"/>
  <c r="Z983" i="57"/>
  <c r="AF983" i="57"/>
  <c r="Z984" i="57"/>
  <c r="AF984" i="57"/>
  <c r="Z985" i="57"/>
  <c r="AF985" i="57"/>
  <c r="Z986" i="57"/>
  <c r="AF986" i="57"/>
  <c r="Z987" i="57"/>
  <c r="AF987" i="57"/>
  <c r="Z988" i="57"/>
  <c r="AF988" i="57"/>
  <c r="Z989" i="57"/>
  <c r="AF989" i="57"/>
  <c r="Z990" i="57"/>
  <c r="AF990" i="57"/>
  <c r="Z991" i="57"/>
  <c r="AF991" i="57"/>
  <c r="Z992" i="57"/>
  <c r="AF992" i="57"/>
  <c r="Z993" i="57"/>
  <c r="AF993" i="57"/>
  <c r="Z994" i="57"/>
  <c r="AF994" i="57"/>
  <c r="Z995" i="57"/>
  <c r="AF995" i="57"/>
  <c r="Z996" i="57"/>
  <c r="AF996" i="57"/>
  <c r="Z997" i="57"/>
  <c r="AF997" i="57"/>
  <c r="Z998" i="57"/>
  <c r="AF998" i="57"/>
  <c r="Z999" i="57"/>
  <c r="AF999" i="57"/>
  <c r="Z1000" i="57"/>
  <c r="AF1000" i="57"/>
  <c r="Z1001" i="57"/>
  <c r="AF1001" i="57"/>
  <c r="Z1002" i="57"/>
  <c r="AF1002" i="57"/>
  <c r="Z1003" i="57"/>
  <c r="AF1003" i="57"/>
  <c r="Z1004" i="57"/>
  <c r="AF1004" i="57"/>
  <c r="Z1005" i="57"/>
  <c r="AF1005" i="57"/>
  <c r="Z1006" i="57"/>
  <c r="AF1006" i="57"/>
  <c r="Z1007" i="57"/>
  <c r="AF1007" i="57"/>
  <c r="Z1008" i="57"/>
  <c r="AF1008" i="57"/>
  <c r="Z1009" i="57"/>
  <c r="AF1009" i="57"/>
  <c r="Z1010" i="57"/>
  <c r="AF1010" i="57"/>
  <c r="Z1011" i="57"/>
  <c r="AF1011" i="57"/>
  <c r="Z1012" i="57"/>
  <c r="AF1012" i="57"/>
  <c r="Z1013" i="57"/>
  <c r="AF1013" i="57"/>
  <c r="Z1014" i="57"/>
  <c r="AF1014" i="57"/>
  <c r="Z1015" i="57"/>
  <c r="AF1015" i="57"/>
  <c r="Z1016" i="57"/>
  <c r="AF1016" i="57"/>
  <c r="Z1017" i="57"/>
  <c r="AF1017" i="57"/>
  <c r="Z1018" i="57"/>
  <c r="AF1018" i="57"/>
  <c r="Z1019" i="57"/>
  <c r="AF1019" i="57"/>
  <c r="Z1020" i="57"/>
  <c r="AF1020" i="57"/>
  <c r="Y1021" i="57"/>
  <c r="AE1021" i="57"/>
  <c r="Y1022" i="57"/>
  <c r="AE1022" i="57"/>
  <c r="Y1023" i="57"/>
  <c r="AE1023" i="57"/>
  <c r="Y1024" i="57"/>
  <c r="AE1024" i="57"/>
  <c r="Y1025" i="57"/>
  <c r="AE1025" i="57"/>
  <c r="Y1026" i="57"/>
  <c r="AE1026" i="57"/>
  <c r="Y1027" i="57"/>
  <c r="AE1027" i="57"/>
  <c r="Y1028" i="57"/>
  <c r="AE1028" i="57"/>
  <c r="Y1029" i="57"/>
  <c r="AE1029" i="57"/>
  <c r="Y1030" i="57"/>
  <c r="AE1030" i="57"/>
  <c r="Y1031" i="57"/>
  <c r="AE1031" i="57"/>
  <c r="Y1032" i="57"/>
  <c r="AE1032" i="57"/>
  <c r="Y1033" i="57"/>
  <c r="AE1033" i="57"/>
  <c r="Y1034" i="57"/>
  <c r="AE1034" i="57"/>
  <c r="Y1035" i="57"/>
  <c r="AE1035" i="57"/>
  <c r="Y1036" i="57"/>
  <c r="AE1036" i="57"/>
  <c r="Y1037" i="57"/>
  <c r="AE1037" i="57"/>
  <c r="Y1038" i="57"/>
  <c r="AE1038" i="57"/>
  <c r="Y1039" i="57"/>
  <c r="AE1039" i="57"/>
  <c r="Y1040" i="57"/>
  <c r="AE1040" i="57"/>
  <c r="Y1041" i="57"/>
  <c r="AE1041" i="57"/>
  <c r="Y1042" i="57"/>
  <c r="AE1042" i="57"/>
  <c r="Y1043" i="57"/>
  <c r="AE1043" i="57"/>
  <c r="Y1044" i="57"/>
  <c r="AE1044" i="57"/>
  <c r="Y1045" i="57"/>
  <c r="AE1045" i="57"/>
  <c r="Y1046" i="57"/>
  <c r="AE1046" i="57"/>
  <c r="Z1047" i="57"/>
  <c r="AF1047" i="57"/>
  <c r="Z1048" i="57"/>
  <c r="AF1048" i="57"/>
  <c r="Z1049" i="57"/>
  <c r="AF1049" i="57"/>
  <c r="Z1050" i="57"/>
  <c r="AF1050" i="57"/>
  <c r="Z1051" i="57"/>
  <c r="AF1051" i="57"/>
  <c r="Z1052" i="57"/>
  <c r="AF1052" i="57"/>
  <c r="Z1053" i="57"/>
  <c r="AF1053" i="57"/>
  <c r="Z1054" i="57"/>
  <c r="AF1054" i="57"/>
  <c r="Z1055" i="57"/>
  <c r="AF1055" i="57"/>
  <c r="Z1056" i="57"/>
  <c r="AF1056" i="57"/>
  <c r="Z1057" i="57"/>
  <c r="AF1057" i="57"/>
  <c r="Z1058" i="57"/>
  <c r="AF1058" i="57"/>
  <c r="Z1059" i="57"/>
  <c r="AF1059" i="57"/>
  <c r="Z1060" i="57"/>
  <c r="AF1060" i="57"/>
  <c r="Z1061" i="57"/>
  <c r="AF1061" i="57"/>
  <c r="Z1062" i="57"/>
  <c r="AF1062" i="57"/>
  <c r="Z1063" i="57"/>
  <c r="AF1063" i="57"/>
  <c r="Z1064" i="57"/>
  <c r="AF1064" i="57"/>
  <c r="Z1065" i="57"/>
  <c r="AF1065" i="57"/>
  <c r="Z1066" i="57"/>
  <c r="AF1066" i="57"/>
  <c r="Z1067" i="57"/>
  <c r="AF1067" i="57"/>
  <c r="Z1068" i="57"/>
  <c r="AF1068" i="57"/>
  <c r="Z1069" i="57"/>
  <c r="AF1069" i="57"/>
  <c r="Z1070" i="57"/>
  <c r="AF1070" i="57"/>
  <c r="Z1071" i="57"/>
  <c r="AF1071" i="57"/>
  <c r="Z1072" i="57"/>
  <c r="AF1072" i="57"/>
  <c r="Z1073" i="57"/>
  <c r="AF1073" i="57"/>
  <c r="Z1074" i="57"/>
  <c r="AF1074" i="57"/>
  <c r="Z1075" i="57"/>
  <c r="AF1075" i="57"/>
  <c r="Z1076" i="57"/>
  <c r="AF1076" i="57"/>
  <c r="Z1077" i="57"/>
  <c r="AF1077" i="57"/>
  <c r="Z1078" i="57"/>
  <c r="AF1078" i="57"/>
  <c r="Z1079" i="57"/>
  <c r="AF1079" i="57"/>
  <c r="Z1080" i="57"/>
  <c r="AF1080" i="57"/>
  <c r="Z1081" i="57"/>
  <c r="AF1081" i="57"/>
  <c r="Z1082" i="57"/>
  <c r="AF1082" i="57"/>
  <c r="Z1083" i="57"/>
  <c r="AF1083" i="57"/>
  <c r="Z1084" i="57"/>
  <c r="AF1084" i="57"/>
  <c r="Z1085" i="57"/>
  <c r="AF1085" i="57"/>
  <c r="Z1086" i="57"/>
  <c r="AF1086" i="57"/>
  <c r="Z1087" i="57"/>
  <c r="AF1087" i="57"/>
  <c r="Z1088" i="57"/>
  <c r="AF1088" i="57"/>
  <c r="Z1089" i="57"/>
  <c r="AF1089" i="57"/>
  <c r="Z1090" i="57"/>
  <c r="AF1090" i="57"/>
  <c r="Z1091" i="57"/>
  <c r="AF1091" i="57"/>
  <c r="Z1092" i="57"/>
  <c r="AF1092" i="57"/>
  <c r="Z1093" i="57"/>
  <c r="AF1093" i="57"/>
  <c r="Z1094" i="57"/>
  <c r="AF1094" i="57"/>
  <c r="Z1095" i="57"/>
  <c r="AF1095" i="57"/>
  <c r="Z1096" i="57"/>
  <c r="AF1096" i="57"/>
  <c r="Y1097" i="57"/>
  <c r="AE1097" i="57"/>
  <c r="Y1098" i="57"/>
  <c r="AE1098" i="57"/>
  <c r="Y1099" i="57"/>
  <c r="AE1099" i="57"/>
  <c r="Y1100" i="57"/>
  <c r="AE1100" i="57"/>
  <c r="Y1101" i="57"/>
  <c r="AE1101" i="57"/>
  <c r="Y1102" i="57"/>
  <c r="AE1102" i="57"/>
  <c r="Y1103" i="57"/>
  <c r="AE1103" i="57"/>
  <c r="Y1104" i="57"/>
  <c r="AE1104" i="57"/>
  <c r="Y1105" i="57"/>
  <c r="AE1105" i="57"/>
  <c r="Y1106" i="57"/>
  <c r="AE1106" i="57"/>
  <c r="Y1107" i="57"/>
  <c r="AE1107" i="57"/>
  <c r="Y1108" i="57"/>
  <c r="AE1108" i="57"/>
  <c r="Y1109" i="57"/>
  <c r="AE1109" i="57"/>
  <c r="Y1110" i="57"/>
  <c r="AE1110" i="57"/>
  <c r="Y1111" i="57"/>
  <c r="AE1111" i="57"/>
  <c r="Y1112" i="57"/>
  <c r="AE1112" i="57"/>
  <c r="Y1113" i="57"/>
  <c r="AE1113" i="57"/>
  <c r="Y1114" i="57"/>
  <c r="AE1114" i="57"/>
  <c r="Y1115" i="57"/>
  <c r="AE1115" i="57"/>
  <c r="Y1116" i="57"/>
  <c r="AE1116" i="57"/>
  <c r="Y1117" i="57"/>
  <c r="AE1117" i="57"/>
  <c r="Y1118" i="57"/>
  <c r="AE1118" i="57"/>
  <c r="Y1119" i="57"/>
  <c r="AE1119" i="57"/>
  <c r="Y1120" i="57"/>
  <c r="AE1120" i="57"/>
  <c r="Y1121" i="57"/>
  <c r="AE1121" i="57"/>
  <c r="Y1122" i="57"/>
  <c r="AE1122" i="57"/>
  <c r="Y1123" i="57"/>
  <c r="AE1123" i="57"/>
  <c r="Y1124" i="57"/>
  <c r="AE1124" i="57"/>
  <c r="Y1125" i="57"/>
  <c r="AE1125" i="57"/>
  <c r="Z1126" i="57"/>
  <c r="AF1126" i="57"/>
  <c r="Z1127" i="57"/>
  <c r="AF1127" i="57"/>
  <c r="Z1128" i="57"/>
  <c r="AF1128" i="57"/>
  <c r="Z1129" i="57"/>
  <c r="AF1129" i="57"/>
  <c r="Z1130" i="57"/>
  <c r="AF1130" i="57"/>
  <c r="Z1131" i="57"/>
  <c r="AF1131" i="57"/>
  <c r="Z1132" i="57"/>
  <c r="AF1132" i="57"/>
  <c r="Z1133" i="57"/>
  <c r="AF1133" i="57"/>
  <c r="Z1134" i="57"/>
  <c r="AF1134" i="57"/>
  <c r="Z1135" i="57"/>
  <c r="AF1135" i="57"/>
  <c r="Z1136" i="57"/>
  <c r="AF1136" i="57"/>
  <c r="Z1137" i="57"/>
  <c r="AF1137" i="57"/>
  <c r="Z1138" i="57"/>
  <c r="AF1138" i="57"/>
  <c r="Z1139" i="57"/>
  <c r="AF1139" i="57"/>
  <c r="Z1140" i="57"/>
  <c r="AF1140" i="57"/>
  <c r="Z1141" i="57"/>
  <c r="AF1141" i="57"/>
  <c r="Z1142" i="57"/>
  <c r="AF1142" i="57"/>
  <c r="Z1143" i="57"/>
  <c r="AF1143" i="57"/>
  <c r="Z1144" i="57"/>
  <c r="AF1144" i="57"/>
  <c r="Z1145" i="57"/>
  <c r="AF1145" i="57"/>
  <c r="Z1146" i="57"/>
  <c r="AF1146" i="57"/>
  <c r="Z1147" i="57"/>
  <c r="AF1147" i="57"/>
  <c r="Z1148" i="57"/>
  <c r="AF1148" i="57"/>
  <c r="Z1149" i="57"/>
  <c r="AF1149" i="57"/>
  <c r="Z1150" i="57"/>
  <c r="AF1150" i="57"/>
  <c r="Z1151" i="57"/>
  <c r="AF1151" i="57"/>
  <c r="Z1152" i="57"/>
  <c r="AF1152" i="57"/>
  <c r="Z1153" i="57"/>
  <c r="AF1153" i="57"/>
  <c r="Z1154" i="57"/>
  <c r="AF1154" i="57"/>
  <c r="Z1155" i="57"/>
  <c r="AF1155" i="57"/>
  <c r="Z1156" i="57"/>
  <c r="AF1156" i="57"/>
  <c r="Z1157" i="57"/>
  <c r="AF1157" i="57"/>
  <c r="Z1158" i="57"/>
  <c r="AF1158" i="57"/>
  <c r="Z1159" i="57"/>
  <c r="AF1159" i="57"/>
  <c r="Z1160" i="57"/>
  <c r="AF1160" i="57"/>
  <c r="Z1161" i="57"/>
  <c r="AF1161" i="57"/>
  <c r="Z1162" i="57"/>
  <c r="AF1162" i="57"/>
  <c r="Y1163" i="57"/>
  <c r="AE1163" i="57"/>
  <c r="Y1164" i="57"/>
  <c r="AE1164" i="57"/>
  <c r="Y1165" i="57"/>
  <c r="AE1165" i="57"/>
  <c r="Y1166" i="57"/>
  <c r="AE1166" i="57"/>
  <c r="Y1167" i="57"/>
  <c r="AE1167" i="57"/>
  <c r="Y1168" i="57"/>
  <c r="AE1168" i="57"/>
  <c r="Y1169" i="57"/>
  <c r="AE1169" i="57"/>
  <c r="Y1170" i="57"/>
  <c r="AE1170" i="57"/>
  <c r="Y1171" i="57"/>
  <c r="AE1171" i="57"/>
  <c r="Y1172" i="57"/>
  <c r="AE1172" i="57"/>
  <c r="Y1173" i="57"/>
  <c r="AE1173" i="57"/>
  <c r="Y1174" i="57"/>
  <c r="AE1174" i="57"/>
  <c r="Y1175" i="57"/>
  <c r="AE1175" i="57"/>
  <c r="Y1176" i="57"/>
  <c r="AE1176" i="57"/>
  <c r="Z1177" i="57"/>
  <c r="AF1177" i="57"/>
  <c r="Z1178" i="57"/>
  <c r="AF1178" i="57"/>
  <c r="Z1179" i="57"/>
  <c r="AF1179" i="57"/>
  <c r="Z1180" i="57"/>
  <c r="AF1180" i="57"/>
  <c r="Z1181" i="57"/>
  <c r="AF1181" i="57"/>
  <c r="Z1182" i="57"/>
  <c r="AF1182" i="57"/>
  <c r="Z1183" i="57"/>
  <c r="AF1183" i="57"/>
  <c r="Z1184" i="57"/>
  <c r="AF1184" i="57"/>
  <c r="Z1185" i="57"/>
  <c r="AF1185" i="57"/>
  <c r="Z1186" i="57"/>
  <c r="AF1186" i="57"/>
  <c r="Z1187" i="57"/>
  <c r="AF1187" i="57"/>
  <c r="Z1188" i="57"/>
  <c r="AF1188" i="57"/>
  <c r="Z1189" i="57"/>
  <c r="AF1189" i="57"/>
  <c r="Z1190" i="57"/>
  <c r="AF1190" i="57"/>
  <c r="Z1191" i="57"/>
  <c r="AF1191" i="57"/>
  <c r="Z1192" i="57"/>
  <c r="AF1192" i="57"/>
  <c r="Z1193" i="57"/>
  <c r="AF1193" i="57"/>
  <c r="Z1194" i="57"/>
  <c r="AF1194" i="57"/>
  <c r="Z1195" i="57"/>
  <c r="AF1195" i="57"/>
  <c r="Z1196" i="57"/>
  <c r="AF1196" i="57"/>
  <c r="Z1197" i="57"/>
  <c r="AF1197" i="57"/>
  <c r="Z1198" i="57"/>
  <c r="AF1198" i="57"/>
  <c r="Z1199" i="57"/>
  <c r="AF1199" i="57"/>
  <c r="Z1200" i="57"/>
  <c r="AF1200" i="57"/>
  <c r="Z1201" i="57"/>
  <c r="AF1201" i="57"/>
  <c r="Z1202" i="57"/>
  <c r="AF1202" i="57"/>
  <c r="Z1203" i="57"/>
  <c r="AF1203" i="57"/>
  <c r="Z1204" i="57"/>
  <c r="AF1204" i="57"/>
  <c r="Z1205" i="57"/>
  <c r="AF1205" i="57"/>
  <c r="Z1206" i="57"/>
  <c r="AF1206" i="57"/>
  <c r="Z1207" i="57"/>
  <c r="AF1207" i="57"/>
  <c r="Z1208" i="57"/>
  <c r="AF1208" i="57"/>
  <c r="Z1209" i="57"/>
  <c r="AF1209" i="57"/>
  <c r="Z1210" i="57"/>
  <c r="AF1210" i="57"/>
  <c r="Z1211" i="57"/>
  <c r="AF1211" i="57"/>
  <c r="Z1212" i="57"/>
  <c r="AF1212" i="57"/>
  <c r="Z1213" i="57"/>
  <c r="AF1213" i="57"/>
  <c r="Z1214" i="57"/>
  <c r="AF1214" i="57"/>
  <c r="Z1215" i="57"/>
  <c r="AF1215" i="57"/>
  <c r="Z1216" i="57"/>
  <c r="AF1216" i="57"/>
  <c r="Z1217" i="57"/>
  <c r="AF1217" i="57"/>
  <c r="Z1218" i="57"/>
  <c r="AF1218" i="57"/>
  <c r="Z1219" i="57"/>
  <c r="AF1219" i="57"/>
  <c r="Z1220" i="57"/>
  <c r="AF1220" i="57"/>
  <c r="Z1221" i="57"/>
  <c r="AF1221" i="57"/>
  <c r="Z1222" i="57"/>
  <c r="AF1222" i="57"/>
  <c r="Z1223" i="57"/>
  <c r="AF1223" i="57"/>
  <c r="Z1224" i="57"/>
  <c r="AF1224" i="57"/>
  <c r="Z1225" i="57"/>
  <c r="AF1225" i="57"/>
  <c r="Z1226" i="57"/>
  <c r="AF1226" i="57"/>
  <c r="Z1227" i="57"/>
  <c r="AF1227" i="57"/>
  <c r="Z1228" i="57"/>
  <c r="AF1228" i="57"/>
  <c r="Z1229" i="57"/>
  <c r="AF1229" i="57"/>
  <c r="Z1230" i="57"/>
  <c r="AF1230" i="57"/>
  <c r="Z1231" i="57"/>
  <c r="AF1231" i="57"/>
  <c r="Z1232" i="57"/>
  <c r="AF1232" i="57"/>
  <c r="Z1233" i="57"/>
  <c r="AF1233" i="57"/>
  <c r="Z1234" i="57"/>
  <c r="AF1234" i="57"/>
  <c r="Z1235" i="57"/>
  <c r="AF1235" i="57"/>
  <c r="Z1236" i="57"/>
  <c r="AF1236" i="57"/>
  <c r="Z1237" i="57"/>
  <c r="AF1237" i="57"/>
  <c r="Z1238" i="57"/>
  <c r="AF1238" i="57"/>
  <c r="Z1239" i="57"/>
  <c r="AF1239" i="57"/>
  <c r="Z1240" i="57"/>
  <c r="AF1240" i="57"/>
  <c r="Z1241" i="57"/>
  <c r="AF1241" i="57"/>
  <c r="Z1242" i="57"/>
  <c r="AF1242" i="57"/>
  <c r="Z1243" i="57"/>
  <c r="AF1243" i="57"/>
  <c r="Z1244" i="57"/>
  <c r="AF1244" i="57"/>
  <c r="Z1245" i="57"/>
  <c r="AF1245" i="57"/>
  <c r="Z1246" i="57"/>
  <c r="AF1246" i="57"/>
  <c r="Z1247" i="57"/>
  <c r="AF1247" i="57"/>
  <c r="Z1248" i="57"/>
  <c r="AF1248" i="57"/>
  <c r="Z1249" i="57"/>
  <c r="AF1249" i="57"/>
  <c r="Z1250" i="57"/>
  <c r="AF1250" i="57"/>
  <c r="Z1251" i="57"/>
  <c r="AF1251" i="57"/>
  <c r="Z1252" i="57"/>
  <c r="AF1252" i="57"/>
  <c r="Z1253" i="57"/>
  <c r="AF1253" i="57"/>
  <c r="Z1254" i="57"/>
  <c r="AF1254" i="57"/>
  <c r="Z1255" i="57"/>
  <c r="AF1255" i="57"/>
  <c r="Z1256" i="57"/>
  <c r="AF1256" i="57"/>
  <c r="Z1257" i="57"/>
  <c r="AF1257" i="57"/>
  <c r="Z1258" i="57"/>
  <c r="AF1258" i="57"/>
  <c r="Z1259" i="57"/>
  <c r="AF1259" i="57"/>
  <c r="Z1260" i="57"/>
  <c r="AF1260" i="57"/>
  <c r="Z1261" i="57"/>
  <c r="AF1261" i="57"/>
  <c r="Z1262" i="57"/>
  <c r="AF1262" i="57"/>
  <c r="Z1263" i="57"/>
  <c r="AF1263" i="57"/>
  <c r="Z1264" i="57"/>
  <c r="AF1264" i="57"/>
  <c r="Z1265" i="57"/>
  <c r="AF1265" i="57"/>
  <c r="Z1266" i="57"/>
  <c r="AF1266" i="57"/>
  <c r="Z1267" i="57"/>
  <c r="AF1267" i="57"/>
  <c r="Z1268" i="57"/>
  <c r="AF1268" i="57"/>
  <c r="Z1269" i="57"/>
  <c r="AF1269" i="57"/>
  <c r="Z1270" i="57"/>
  <c r="AF1270" i="57"/>
  <c r="Z1271" i="57"/>
  <c r="AF1271" i="57"/>
  <c r="Z1272" i="57"/>
  <c r="AF1272" i="57"/>
  <c r="Z1273" i="57"/>
  <c r="AF1273" i="57"/>
  <c r="Z1274" i="57"/>
  <c r="AF1274" i="57"/>
  <c r="Z1275" i="57"/>
  <c r="AF1275" i="57"/>
  <c r="Z1276" i="57"/>
  <c r="AF1276" i="57"/>
  <c r="Z1277" i="57"/>
  <c r="AF1277" i="57"/>
  <c r="Z1278" i="57"/>
  <c r="AF1278" i="57"/>
  <c r="Z1279" i="57"/>
  <c r="AF1279" i="57"/>
  <c r="Z1280" i="57"/>
  <c r="AF1280" i="57"/>
  <c r="Z1281" i="57"/>
  <c r="AF1281" i="57"/>
  <c r="Z1282" i="57"/>
  <c r="AF1282" i="57"/>
  <c r="Z1283" i="57"/>
  <c r="AF1283" i="57"/>
  <c r="Z1284" i="57"/>
  <c r="AF1284" i="57"/>
  <c r="Z1285" i="57"/>
  <c r="AF1285" i="57"/>
  <c r="Z1286" i="57"/>
  <c r="AF1286" i="57"/>
  <c r="Z1287" i="57"/>
  <c r="AF1287" i="57"/>
  <c r="Z1288" i="57"/>
  <c r="AF1288" i="57"/>
  <c r="Z1289" i="57"/>
  <c r="AF1289" i="57"/>
  <c r="Z1290" i="57"/>
  <c r="AF1290" i="57"/>
  <c r="Z1291" i="57"/>
  <c r="AF1291" i="57"/>
  <c r="Z1292" i="57"/>
  <c r="AF1292" i="57"/>
  <c r="Z1293" i="57"/>
  <c r="AF1293" i="57"/>
  <c r="Z1294" i="57"/>
  <c r="AF1294" i="57"/>
  <c r="Z1295" i="57"/>
  <c r="AF1295" i="57"/>
  <c r="Z1296" i="57"/>
  <c r="AF1296" i="57"/>
  <c r="Z1297" i="57"/>
  <c r="AF1297" i="57"/>
  <c r="Z1298" i="57"/>
  <c r="AF1298" i="57"/>
  <c r="Z1299" i="57"/>
  <c r="AF1299" i="57"/>
  <c r="Z1300" i="57"/>
  <c r="AF1300" i="57"/>
  <c r="Z1301" i="57"/>
  <c r="AF1301" i="57"/>
  <c r="Z1302" i="57"/>
  <c r="AF1302" i="57"/>
  <c r="Z1303" i="57"/>
  <c r="AF1303" i="57"/>
  <c r="Z1304" i="57"/>
  <c r="AF1304" i="57"/>
  <c r="Z1305" i="57"/>
  <c r="AF1305" i="57"/>
  <c r="Z1306" i="57"/>
  <c r="AF1306" i="57"/>
  <c r="Z1307" i="57"/>
  <c r="AF1307" i="57"/>
  <c r="Z1308" i="57"/>
  <c r="AF1308" i="57"/>
  <c r="Z1309" i="57"/>
  <c r="AF1309" i="57"/>
  <c r="Z1310" i="57"/>
  <c r="AF1310" i="57"/>
  <c r="Z1311" i="57"/>
  <c r="AF1311" i="57"/>
  <c r="Z1312" i="57"/>
  <c r="AF1312" i="57"/>
  <c r="Z1313" i="57"/>
  <c r="AF1313" i="57"/>
  <c r="Z1314" i="57"/>
  <c r="AF1314" i="57"/>
  <c r="Z1315" i="57"/>
  <c r="AF1315" i="57"/>
  <c r="Z1316" i="57"/>
  <c r="AF1316" i="57"/>
  <c r="Z1317" i="57"/>
  <c r="AF1317" i="57"/>
  <c r="Z1318" i="57"/>
  <c r="AF1318" i="57"/>
  <c r="Z1319" i="57"/>
  <c r="AF1319" i="57"/>
  <c r="Z1320" i="57"/>
  <c r="AF1320" i="57"/>
  <c r="Z1321" i="57"/>
  <c r="AF1321" i="57"/>
  <c r="Z1322" i="57"/>
  <c r="AF1322" i="57"/>
  <c r="Z1323" i="57"/>
  <c r="AF1323" i="57"/>
  <c r="Z1324" i="57"/>
  <c r="AF1324" i="57"/>
  <c r="Z1325" i="57"/>
  <c r="AF1325" i="57"/>
  <c r="Z1326" i="57"/>
  <c r="AF1326" i="57"/>
  <c r="Z1327" i="57"/>
  <c r="AF1327" i="57"/>
  <c r="Z1328" i="57"/>
  <c r="AF1328" i="57"/>
  <c r="Z1329" i="57"/>
  <c r="AF1329" i="57"/>
  <c r="Z1330" i="57"/>
  <c r="AF1330" i="57"/>
  <c r="Z1331" i="57"/>
  <c r="AF1331" i="57"/>
  <c r="Z1332" i="57"/>
  <c r="AF1332" i="57"/>
  <c r="Z1333" i="57"/>
  <c r="AF1333" i="57"/>
  <c r="Z1334" i="57"/>
  <c r="AF1334" i="57"/>
  <c r="Z1335" i="57"/>
  <c r="AF1335" i="57"/>
  <c r="Z1336" i="57"/>
  <c r="AF1336" i="57"/>
  <c r="Z1337" i="57"/>
  <c r="AF1337" i="57"/>
  <c r="Z1338" i="57"/>
  <c r="AF1338" i="57"/>
  <c r="Z1339" i="57"/>
  <c r="AF1339" i="57"/>
  <c r="Z1340" i="57"/>
  <c r="AF1340" i="57"/>
  <c r="Z1341" i="57"/>
  <c r="AF1341" i="57"/>
  <c r="Z1342" i="57"/>
  <c r="AF1342" i="57"/>
  <c r="Z1343" i="57"/>
  <c r="AF1343" i="57"/>
  <c r="Z1344" i="57"/>
  <c r="AF1344" i="57"/>
  <c r="Z1345" i="57"/>
  <c r="AF1345" i="57"/>
  <c r="Z1346" i="57"/>
  <c r="AF1346" i="57"/>
  <c r="Z1347" i="57"/>
  <c r="AF1347" i="57"/>
  <c r="Z1348" i="57"/>
  <c r="AF1348" i="57"/>
  <c r="Z1349" i="57"/>
  <c r="AF1349" i="57"/>
  <c r="Z1350" i="57"/>
  <c r="AF1350" i="57"/>
  <c r="Z1351" i="57"/>
  <c r="AF1351" i="57"/>
  <c r="Z1352" i="57"/>
  <c r="AF1352" i="57"/>
  <c r="Z1353" i="57"/>
  <c r="AF1353" i="57"/>
  <c r="Z1354" i="57"/>
  <c r="AF1354" i="57"/>
  <c r="Z1355" i="57"/>
  <c r="AF1355" i="57"/>
  <c r="Z1356" i="57"/>
  <c r="AF1356" i="57"/>
  <c r="Z1357" i="57"/>
  <c r="AF1357" i="57"/>
  <c r="Z1358" i="57"/>
  <c r="AF1358" i="57"/>
  <c r="Z1359" i="57"/>
  <c r="AF1359" i="57"/>
  <c r="Z1360" i="57"/>
  <c r="AF1360" i="57"/>
  <c r="Z1361" i="57"/>
  <c r="AF1361" i="57"/>
  <c r="Z1362" i="57"/>
  <c r="AF1362" i="57"/>
  <c r="Z1363" i="57"/>
  <c r="AF1363" i="57"/>
  <c r="Z1364" i="57"/>
  <c r="AF1364" i="57"/>
  <c r="Z1365" i="57"/>
  <c r="AF1365" i="57"/>
  <c r="Z1366" i="57"/>
  <c r="AF1366" i="57"/>
  <c r="Z1367" i="57"/>
  <c r="AF1367" i="57"/>
  <c r="Z1368" i="57"/>
  <c r="AF1368" i="57"/>
  <c r="Z1369" i="57"/>
  <c r="AF1369" i="57"/>
  <c r="Z1370" i="57"/>
  <c r="AF1370" i="57"/>
  <c r="Z1371" i="57"/>
  <c r="AF1371" i="57"/>
  <c r="Z1372" i="57"/>
  <c r="AF1372" i="57"/>
  <c r="Z1373" i="57"/>
  <c r="AF1373" i="57"/>
  <c r="Z1374" i="57"/>
  <c r="AF1374" i="57"/>
  <c r="Z1375" i="57"/>
  <c r="AF1375" i="57"/>
  <c r="Z1376" i="57"/>
  <c r="AF1376" i="57"/>
  <c r="Z1377" i="57"/>
  <c r="AF1377" i="57"/>
  <c r="Z1378" i="57"/>
  <c r="AF1378" i="57"/>
  <c r="Z1379" i="57"/>
  <c r="AF1379" i="57"/>
  <c r="Z1380" i="57"/>
  <c r="AF1380" i="57"/>
  <c r="Z1381" i="57"/>
  <c r="AF1381" i="57"/>
  <c r="Z1382" i="57"/>
  <c r="AF1382" i="57"/>
  <c r="Z1383" i="57"/>
  <c r="AF1383" i="57"/>
  <c r="Z1384" i="57"/>
  <c r="AF1384" i="57"/>
  <c r="Z1385" i="57"/>
  <c r="AF1385" i="57"/>
  <c r="Z1386" i="57"/>
  <c r="AF1386" i="57"/>
  <c r="Z1387" i="57"/>
  <c r="AF1387" i="57"/>
  <c r="Z1388" i="57"/>
  <c r="AF1388" i="57"/>
  <c r="Z1389" i="57"/>
  <c r="AF1389" i="57"/>
  <c r="Z1390" i="57"/>
  <c r="AF1390" i="57"/>
  <c r="Z1391" i="57"/>
  <c r="AF1391" i="57"/>
  <c r="Z1392" i="57"/>
  <c r="AF1392" i="57"/>
  <c r="Z1393" i="57"/>
  <c r="AF1393" i="57"/>
  <c r="Z1394" i="57"/>
  <c r="AF1394" i="57"/>
  <c r="Z1395" i="57"/>
  <c r="AF1395" i="57"/>
  <c r="Z1396" i="57"/>
  <c r="AF1396" i="57"/>
  <c r="Z1397" i="57"/>
  <c r="AF1397" i="57"/>
  <c r="Z1398" i="57"/>
  <c r="AF1398" i="57"/>
  <c r="Z1399" i="57"/>
  <c r="AF1399" i="57"/>
  <c r="Z1400" i="57"/>
  <c r="AF1400" i="57"/>
  <c r="Z1401" i="57"/>
  <c r="AF1401" i="57"/>
  <c r="Z1402" i="57"/>
  <c r="AF1402" i="57"/>
  <c r="Z1403" i="57"/>
  <c r="AF1403" i="57"/>
  <c r="Z1404" i="57"/>
  <c r="AF1404" i="57"/>
  <c r="Z1405" i="57"/>
  <c r="AF1405" i="57"/>
  <c r="Z1406" i="57"/>
  <c r="AF1406" i="57"/>
  <c r="Z1407" i="57"/>
  <c r="AF1407" i="57"/>
  <c r="Z1408" i="57"/>
  <c r="AF1408" i="57"/>
  <c r="Z1409" i="57"/>
  <c r="AF1409" i="57"/>
  <c r="Z1410" i="57"/>
  <c r="AF1410" i="57"/>
  <c r="Z1411" i="57"/>
  <c r="AF1411" i="57"/>
  <c r="Z1412" i="57"/>
  <c r="AF1412" i="57"/>
  <c r="Z1413" i="57"/>
  <c r="AF1413" i="57"/>
  <c r="Z1414" i="57"/>
  <c r="AF1414" i="57"/>
  <c r="Z1415" i="57"/>
  <c r="AF1415" i="57"/>
  <c r="Z1416" i="57"/>
  <c r="AF1416" i="57"/>
  <c r="Z1417" i="57"/>
  <c r="AF1417" i="57"/>
  <c r="Z1418" i="57"/>
  <c r="AF1418" i="57"/>
  <c r="Z1419" i="57"/>
  <c r="AF1419" i="57"/>
  <c r="Z1420" i="57"/>
  <c r="AF1420" i="57"/>
  <c r="Z1421" i="57"/>
  <c r="AF1421" i="57"/>
  <c r="Z1422" i="57"/>
  <c r="AF1422" i="57"/>
  <c r="Z1423" i="57"/>
  <c r="AF1423" i="57"/>
  <c r="Z1424" i="57"/>
  <c r="AF1424" i="57"/>
  <c r="Z1425" i="57"/>
  <c r="AF1425" i="57"/>
  <c r="Z1426" i="57"/>
  <c r="AF1426" i="57"/>
  <c r="Z1427" i="57"/>
  <c r="AF1427" i="57"/>
  <c r="Z1428" i="57"/>
  <c r="AF1428" i="57"/>
  <c r="Z1429" i="57"/>
  <c r="AF1429" i="57"/>
  <c r="Z1430" i="57"/>
  <c r="AF1430" i="57"/>
  <c r="Z1431" i="57"/>
  <c r="AF1431" i="57"/>
  <c r="Z1432" i="57"/>
  <c r="AF1432" i="57"/>
  <c r="Z1433" i="57"/>
  <c r="AF1433" i="57"/>
  <c r="Z1434" i="57"/>
  <c r="AF1434" i="57"/>
  <c r="Z1435" i="57"/>
  <c r="AF1435" i="57"/>
  <c r="Z1436" i="57"/>
  <c r="AF1436" i="57"/>
  <c r="Z1437" i="57"/>
  <c r="AF1437" i="57"/>
  <c r="Z1438" i="57"/>
  <c r="AF1438" i="57"/>
  <c r="Z1439" i="57"/>
  <c r="AF1439" i="57"/>
  <c r="Z1440" i="57"/>
  <c r="AF1440" i="57"/>
  <c r="Z1441" i="57"/>
  <c r="AF1441" i="57"/>
  <c r="Z1442" i="57"/>
  <c r="AF1442" i="57"/>
  <c r="Z1443" i="57"/>
  <c r="AF1443" i="57"/>
  <c r="Z1444" i="57"/>
  <c r="AF1444" i="57"/>
  <c r="Z1445" i="57"/>
  <c r="AF1445" i="57"/>
  <c r="Z1446" i="57"/>
  <c r="AF1446" i="57"/>
  <c r="Z1447" i="57"/>
  <c r="AF1447" i="57"/>
  <c r="Z1448" i="57"/>
  <c r="AF1448" i="57"/>
  <c r="Z1449" i="57"/>
  <c r="AF1449" i="57"/>
  <c r="Z1450" i="57"/>
  <c r="AF1450" i="57"/>
  <c r="Z1451" i="57"/>
  <c r="AF1451" i="57"/>
  <c r="Z1452" i="57"/>
  <c r="AF1452" i="57"/>
  <c r="Z1453" i="57"/>
  <c r="AF1453" i="57"/>
  <c r="Z1454" i="57"/>
  <c r="AF1454" i="57"/>
  <c r="Z1455" i="57"/>
  <c r="AF1455" i="57"/>
  <c r="Z1456" i="57"/>
  <c r="AF1456" i="57"/>
  <c r="Z1457" i="57"/>
  <c r="AF1457" i="57"/>
  <c r="Z1458" i="57"/>
  <c r="AF1458" i="57"/>
  <c r="Z1459" i="57"/>
  <c r="AF1459" i="57"/>
  <c r="Z1460" i="57"/>
  <c r="AF1460" i="57"/>
  <c r="Z1461" i="57"/>
  <c r="AF1461" i="57"/>
  <c r="Z1462" i="57"/>
  <c r="AF1462" i="57"/>
  <c r="Z1463" i="57"/>
  <c r="AF1463" i="57"/>
  <c r="Z1464" i="57"/>
  <c r="AF1464" i="57"/>
  <c r="Z1465" i="57"/>
  <c r="AF1465" i="57"/>
  <c r="Z1466" i="57"/>
  <c r="AF1466" i="57"/>
  <c r="Z1467" i="57"/>
  <c r="AF1467" i="57"/>
  <c r="Z1468" i="57"/>
  <c r="AF1468" i="57"/>
  <c r="Z1469" i="57"/>
  <c r="AF1469" i="57"/>
  <c r="Z1470" i="57"/>
  <c r="AF1470" i="57"/>
  <c r="Z1471" i="57"/>
  <c r="AF1471" i="57"/>
  <c r="Z1472" i="57"/>
  <c r="AF1472" i="57"/>
  <c r="Z1473" i="57"/>
  <c r="AF1473" i="57"/>
  <c r="Z1474" i="57"/>
  <c r="AF1474" i="57"/>
  <c r="Z1475" i="57"/>
  <c r="AF1475" i="57"/>
  <c r="Z1476" i="57"/>
  <c r="AF1476" i="57"/>
  <c r="Z1477" i="57"/>
  <c r="AF1477" i="57"/>
  <c r="Z1478" i="57"/>
  <c r="AF1478" i="57"/>
  <c r="Z1479" i="57"/>
  <c r="AF1479" i="57"/>
  <c r="Z1480" i="57"/>
  <c r="AF1480" i="57"/>
  <c r="Z1481" i="57"/>
  <c r="AF1481" i="57"/>
  <c r="Z1482" i="57"/>
  <c r="AF1482" i="57"/>
  <c r="Z1483" i="57"/>
  <c r="AF1483" i="57"/>
  <c r="Z1484" i="57"/>
  <c r="AF1484" i="57"/>
  <c r="Z1485" i="57"/>
  <c r="AF1485" i="57"/>
  <c r="Z1486" i="57"/>
  <c r="AF1486" i="57"/>
  <c r="Z1487" i="57"/>
  <c r="AF1487" i="57"/>
  <c r="Z1488" i="57"/>
  <c r="AF1488" i="57"/>
  <c r="Z1489" i="57"/>
  <c r="AF1489" i="57"/>
  <c r="Z1490" i="57"/>
  <c r="AF1490" i="57"/>
  <c r="Z1491" i="57"/>
  <c r="AF1491" i="57"/>
  <c r="Z1492" i="57"/>
  <c r="AF1492" i="57"/>
  <c r="Z1493" i="57"/>
  <c r="AF1493" i="57"/>
  <c r="Z1494" i="57"/>
  <c r="AF1494" i="57"/>
  <c r="Z1495" i="57"/>
  <c r="AF1495" i="57"/>
  <c r="Z1496" i="57"/>
  <c r="AF1496" i="57"/>
  <c r="Z1497" i="57"/>
  <c r="AF1497" i="57"/>
  <c r="Z1498" i="57"/>
  <c r="AF1498" i="57"/>
  <c r="Z1499" i="57"/>
  <c r="AF1499" i="57"/>
  <c r="Z1500" i="57"/>
  <c r="AF1500" i="57"/>
  <c r="Z1501" i="57"/>
  <c r="AF1501" i="57"/>
  <c r="Z1502" i="57"/>
  <c r="AF1502" i="57"/>
  <c r="Z1503" i="57"/>
  <c r="AF1503" i="57"/>
  <c r="Z1504" i="57"/>
  <c r="AF1504" i="57"/>
  <c r="Z1505" i="57"/>
  <c r="AF1505" i="57"/>
  <c r="Z1506" i="57"/>
  <c r="AF1506" i="57"/>
  <c r="Z1507" i="57"/>
  <c r="AF1507" i="57"/>
  <c r="Z1508" i="57"/>
  <c r="AF1508" i="57"/>
  <c r="Z1509" i="57"/>
  <c r="AF1509" i="57"/>
  <c r="Z1510" i="57"/>
  <c r="AF1510" i="57"/>
  <c r="Z1511" i="57"/>
  <c r="AF1511" i="57"/>
  <c r="Z1512" i="57"/>
  <c r="AF1512" i="57"/>
  <c r="Z1513" i="57"/>
  <c r="AF1513" i="57"/>
  <c r="Z1514" i="57"/>
  <c r="AF1514" i="57"/>
  <c r="Z1515" i="57"/>
  <c r="AF1515" i="57"/>
  <c r="Z1516" i="57"/>
  <c r="AF1516" i="57"/>
  <c r="Z1517" i="57"/>
  <c r="AF1517" i="57"/>
  <c r="Z1518" i="57"/>
  <c r="AF1518" i="57"/>
  <c r="Z1519" i="57"/>
  <c r="AF1519" i="57"/>
  <c r="Z1520" i="57"/>
  <c r="AF1520" i="57"/>
  <c r="Z1521" i="57"/>
  <c r="AF1521" i="57"/>
  <c r="Z1522" i="57"/>
  <c r="AF1522" i="57"/>
  <c r="Z1523" i="57"/>
  <c r="AF1523" i="57"/>
  <c r="Z1524" i="57"/>
  <c r="AF1524" i="57"/>
  <c r="Z1525" i="57"/>
  <c r="AF1525" i="57"/>
  <c r="Z1526" i="57"/>
  <c r="AF1526" i="57"/>
  <c r="Z1527" i="57"/>
  <c r="AF1527" i="57"/>
  <c r="Z1528" i="57"/>
  <c r="AF1528" i="57"/>
  <c r="Z1529" i="57"/>
  <c r="AF1529" i="57"/>
  <c r="Z1530" i="57"/>
  <c r="AF1530" i="57"/>
  <c r="Z1531" i="57"/>
  <c r="AF1531" i="57"/>
  <c r="Z1532" i="57"/>
  <c r="AF1532" i="57"/>
  <c r="Z1533" i="57"/>
  <c r="AF1533" i="57"/>
  <c r="Z1534" i="57"/>
  <c r="AF1534" i="57"/>
  <c r="Z1535" i="57"/>
  <c r="AF1535" i="57"/>
  <c r="Z1536" i="57"/>
  <c r="AF1536" i="57"/>
  <c r="Z1537" i="57"/>
  <c r="AF1537" i="57"/>
  <c r="Z1538" i="57"/>
  <c r="AF1538" i="57"/>
  <c r="Z1539" i="57"/>
  <c r="AF1539" i="57"/>
  <c r="Z1540" i="57"/>
  <c r="AF1540" i="57"/>
  <c r="Z1541" i="57"/>
  <c r="AF1541" i="57"/>
  <c r="Z1542" i="57"/>
  <c r="AF1542" i="57"/>
  <c r="Z1543" i="57"/>
  <c r="AF1543" i="57"/>
  <c r="Z1544" i="57"/>
  <c r="AF1544" i="57"/>
  <c r="Z1545" i="57"/>
  <c r="AF1545" i="57"/>
  <c r="Z1546" i="57"/>
  <c r="AF1546" i="57"/>
  <c r="Z1547" i="57"/>
  <c r="AF1547" i="57"/>
  <c r="Z1548" i="57"/>
  <c r="AF1548" i="57"/>
  <c r="Z1549" i="57"/>
  <c r="AF1549" i="57"/>
  <c r="Z1550" i="57"/>
  <c r="AF1550" i="57"/>
  <c r="Z1551" i="57"/>
  <c r="AF1551" i="57"/>
  <c r="Z1552" i="57"/>
  <c r="AF1552" i="57"/>
  <c r="Z1553" i="57"/>
  <c r="AF1553" i="57"/>
  <c r="Z1554" i="57"/>
  <c r="AF1554" i="57"/>
  <c r="Z1555" i="57"/>
  <c r="AF1555" i="57"/>
  <c r="Z1556" i="57"/>
  <c r="AF1556" i="57"/>
  <c r="Z1557" i="57"/>
  <c r="AF1557" i="57"/>
  <c r="Z1558" i="57"/>
  <c r="AF1558" i="57"/>
  <c r="Z1559" i="57"/>
  <c r="AF1559" i="57"/>
  <c r="Z1560" i="57"/>
  <c r="AF1560" i="57"/>
  <c r="Z1561" i="57"/>
  <c r="AF1561" i="57"/>
  <c r="Z1562" i="57"/>
  <c r="AF1562" i="57"/>
  <c r="Z1563" i="57"/>
  <c r="AF1563" i="57"/>
  <c r="Z1564" i="57"/>
  <c r="AF1564" i="57"/>
  <c r="Z1565" i="57"/>
  <c r="AF1565" i="57"/>
  <c r="Z1566" i="57"/>
  <c r="AF1566" i="57"/>
  <c r="Z1567" i="57"/>
  <c r="AF1567" i="57"/>
  <c r="Z1568" i="57"/>
  <c r="AF1568" i="57"/>
  <c r="Z1569" i="57"/>
  <c r="AF1569" i="57"/>
  <c r="Z1570" i="57"/>
  <c r="AF1570" i="57"/>
  <c r="Z1571" i="57"/>
  <c r="AF1571" i="57"/>
  <c r="Z1572" i="57"/>
  <c r="AF1572" i="57"/>
  <c r="Z1573" i="57"/>
  <c r="AF1573" i="57"/>
  <c r="Z1574" i="57"/>
  <c r="AF1574" i="57"/>
  <c r="Z1575" i="57"/>
  <c r="AF1575" i="57"/>
  <c r="Z1576" i="57"/>
  <c r="AF1576" i="57"/>
  <c r="Z1577" i="57"/>
  <c r="AF1577" i="57"/>
  <c r="Z1578" i="57"/>
  <c r="AF1578" i="57"/>
  <c r="Z1579" i="57"/>
  <c r="AF1579" i="57"/>
  <c r="Z1580" i="57"/>
  <c r="AF1580" i="57"/>
  <c r="Z1581" i="57"/>
  <c r="AF1581" i="57"/>
  <c r="Z1582" i="57"/>
  <c r="AF1582" i="57"/>
  <c r="Z1583" i="57"/>
  <c r="AF1583" i="57"/>
  <c r="Z1584" i="57"/>
  <c r="AF1584" i="57"/>
  <c r="Z1585" i="57"/>
  <c r="AF1585" i="57"/>
  <c r="Z1586" i="57"/>
  <c r="AF1586" i="57"/>
  <c r="Z1587" i="57"/>
  <c r="AF1587" i="57"/>
  <c r="Z1588" i="57"/>
  <c r="AF1588" i="57"/>
  <c r="Z1589" i="57"/>
  <c r="AF1589" i="57"/>
  <c r="Z1590" i="57"/>
  <c r="AF1590" i="57"/>
  <c r="Z1591" i="57"/>
  <c r="AF1591" i="57"/>
  <c r="Z1592" i="57"/>
  <c r="AF1592" i="57"/>
  <c r="Z1593" i="57"/>
  <c r="AF1593" i="57"/>
  <c r="Z1594" i="57"/>
  <c r="AF1594" i="57"/>
  <c r="Z1595" i="57"/>
  <c r="AF1595" i="57"/>
  <c r="Z1596" i="57"/>
  <c r="AF1596" i="57"/>
  <c r="Z1597" i="57"/>
  <c r="AF1597" i="57"/>
  <c r="Z1598" i="57"/>
  <c r="AF1598" i="57"/>
  <c r="Z1599" i="57"/>
  <c r="AF1599" i="57"/>
  <c r="Z1600" i="57"/>
  <c r="AF1600" i="57"/>
  <c r="Z1601" i="57"/>
  <c r="AF1601" i="57"/>
  <c r="Z1602" i="57"/>
  <c r="AF1602" i="57"/>
  <c r="Z1603" i="57"/>
  <c r="AF1603" i="57"/>
  <c r="Z1604" i="57"/>
  <c r="AF1604" i="57"/>
  <c r="Z1605" i="57"/>
  <c r="AF1605" i="57"/>
  <c r="Z1606" i="57"/>
  <c r="AF1606" i="57"/>
  <c r="Z1607" i="57"/>
  <c r="AF1607" i="57"/>
  <c r="Z1608" i="57"/>
  <c r="AF1608" i="57"/>
  <c r="Z1609" i="57"/>
  <c r="AF1609" i="57"/>
  <c r="Z1610" i="57"/>
  <c r="AF1610" i="57"/>
  <c r="Z1611" i="57"/>
  <c r="AF1611" i="57"/>
  <c r="Z1612" i="57"/>
  <c r="AF1612" i="57"/>
  <c r="Z1613" i="57"/>
  <c r="AF1613" i="57"/>
  <c r="Z1614" i="57"/>
  <c r="AF1614" i="57"/>
  <c r="Z1615" i="57"/>
  <c r="AF1615" i="57"/>
  <c r="Z1616" i="57"/>
  <c r="AF1616" i="57"/>
  <c r="Z1617" i="57"/>
  <c r="AF1617" i="57"/>
  <c r="Z1618" i="57"/>
  <c r="AF1618" i="57"/>
  <c r="Z1619" i="57"/>
  <c r="AF1619" i="57"/>
  <c r="Z1620" i="57"/>
  <c r="AF1620" i="57"/>
  <c r="Z1621" i="57"/>
  <c r="AF1621" i="57"/>
  <c r="Z1622" i="57"/>
  <c r="AF1622" i="57"/>
  <c r="Z1623" i="57"/>
  <c r="AF1623" i="57"/>
  <c r="Z1624" i="57"/>
  <c r="AF1624" i="57"/>
  <c r="Z1625" i="57"/>
  <c r="AF1625" i="57"/>
  <c r="Z1626" i="57"/>
  <c r="AF1626" i="57"/>
  <c r="Z1627" i="57"/>
  <c r="AF1627" i="57"/>
  <c r="Z1628" i="57"/>
  <c r="AF1628" i="57"/>
  <c r="Z1629" i="57"/>
  <c r="AF1629" i="57"/>
  <c r="Z1630" i="57"/>
  <c r="AF1630" i="57"/>
  <c r="Z1631" i="57"/>
  <c r="AF1631" i="57"/>
  <c r="Z1632" i="57"/>
  <c r="AF1632" i="57"/>
  <c r="Z1633" i="57"/>
  <c r="AF1633" i="57"/>
  <c r="Z1634" i="57"/>
  <c r="AF1634" i="57"/>
  <c r="Z1635" i="57"/>
  <c r="AF1635" i="57"/>
  <c r="Z1636" i="57"/>
  <c r="AF1636" i="57"/>
  <c r="Z1637" i="57"/>
  <c r="AF1637" i="57"/>
  <c r="Z1638" i="57"/>
  <c r="AF1638" i="57"/>
  <c r="Z1639" i="57"/>
  <c r="AF1639" i="57"/>
  <c r="Z1640" i="57"/>
  <c r="AF1640" i="57"/>
  <c r="Z1641" i="57"/>
  <c r="AF1641" i="57"/>
  <c r="Z1642" i="57"/>
  <c r="AF1642" i="57"/>
  <c r="Z1643" i="57"/>
  <c r="AF1643" i="57"/>
  <c r="Z1644" i="57"/>
  <c r="AF1644" i="57"/>
  <c r="Z1645" i="57"/>
  <c r="AF1645" i="57"/>
  <c r="Z1646" i="57"/>
  <c r="AF1646" i="57"/>
  <c r="Z1647" i="57"/>
  <c r="AF1647" i="57"/>
  <c r="Z1648" i="57"/>
  <c r="AF1648" i="57"/>
  <c r="Z1649" i="57"/>
  <c r="AF1649" i="57"/>
  <c r="Z1650" i="57"/>
  <c r="AF1650" i="57"/>
  <c r="Z1651" i="57"/>
  <c r="AF1651" i="57"/>
  <c r="Z1652" i="57"/>
  <c r="AF1652" i="57"/>
  <c r="Z1653" i="57"/>
  <c r="AF1653" i="57"/>
  <c r="Z1654" i="57"/>
  <c r="AF1654" i="57"/>
  <c r="Z1655" i="57"/>
  <c r="AF1655" i="57"/>
  <c r="Z1656" i="57"/>
  <c r="AF1656" i="57"/>
  <c r="Z1657" i="57"/>
  <c r="AF1657" i="57"/>
  <c r="Z1658" i="57"/>
  <c r="AF1658" i="57"/>
  <c r="Z1659" i="57"/>
  <c r="AF1659" i="57"/>
  <c r="Z1660" i="57"/>
  <c r="AF1660" i="57"/>
  <c r="Z1661" i="57"/>
  <c r="AF1661" i="57"/>
  <c r="Z1662" i="57"/>
  <c r="AF1662" i="57"/>
  <c r="Z1663" i="57"/>
  <c r="AF1663" i="57"/>
  <c r="Z1664" i="57"/>
  <c r="AF1664" i="57"/>
  <c r="Z1665" i="57"/>
  <c r="AF1665" i="57"/>
  <c r="Z1666" i="57"/>
  <c r="AF1666" i="57"/>
  <c r="Z1667" i="57"/>
  <c r="AF1667" i="57"/>
  <c r="Z1668" i="57"/>
  <c r="AF1668" i="57"/>
  <c r="Z1669" i="57"/>
  <c r="AF1669" i="57"/>
  <c r="Z1670" i="57"/>
  <c r="AF1670" i="57"/>
  <c r="Z1671" i="57"/>
  <c r="AF1671" i="57"/>
  <c r="Z1672" i="57"/>
  <c r="AF1672" i="57"/>
  <c r="Z1673" i="57"/>
  <c r="AF1673" i="57"/>
  <c r="Z1674" i="57"/>
  <c r="AF1674" i="57"/>
  <c r="Z1675" i="57"/>
  <c r="AF1675" i="57"/>
  <c r="Z1676" i="57"/>
  <c r="AF1676" i="57"/>
  <c r="Z1677" i="57"/>
  <c r="AF1677" i="57"/>
  <c r="Z1678" i="57"/>
  <c r="AF1678" i="57"/>
  <c r="Z1679" i="57"/>
  <c r="AF1679" i="57"/>
  <c r="Z1680" i="57"/>
  <c r="AF1680" i="57"/>
  <c r="Z1681" i="57"/>
  <c r="AF1681" i="57"/>
  <c r="Z1682" i="57"/>
  <c r="AF1682" i="57"/>
  <c r="Z1683" i="57"/>
  <c r="AF1683" i="57"/>
  <c r="Z1684" i="57"/>
  <c r="AF1684" i="57"/>
  <c r="Z1685" i="57"/>
  <c r="AF1685" i="57"/>
  <c r="Z1686" i="57"/>
  <c r="AF1686" i="57"/>
  <c r="Z1687" i="57"/>
  <c r="AF1687" i="57"/>
  <c r="Z1688" i="57"/>
  <c r="AF1688" i="57"/>
  <c r="Z1689" i="57"/>
  <c r="AF1689" i="57"/>
  <c r="Z1690" i="57"/>
  <c r="AF1690" i="57"/>
  <c r="Z1691" i="57"/>
  <c r="AF1691" i="57"/>
  <c r="Z1692" i="57"/>
  <c r="AF1692" i="57"/>
  <c r="Z1693" i="57"/>
  <c r="AF1693" i="57"/>
  <c r="Z1694" i="57"/>
  <c r="AF1694" i="57"/>
  <c r="Z1695" i="57"/>
  <c r="AF1695" i="57"/>
  <c r="Z1696" i="57"/>
  <c r="AF1696" i="57"/>
  <c r="Z1697" i="57"/>
  <c r="AF1697" i="57"/>
  <c r="Z1698" i="57"/>
  <c r="AF1698" i="57"/>
  <c r="Z1699" i="57"/>
  <c r="AF1699" i="57"/>
  <c r="Z1700" i="57"/>
  <c r="AF1700" i="57"/>
  <c r="Z1701" i="57"/>
  <c r="AF1701" i="57"/>
  <c r="Z1702" i="57"/>
  <c r="AF1702" i="57"/>
  <c r="Z1703" i="57"/>
  <c r="AF1703" i="57"/>
  <c r="Z1704" i="57"/>
  <c r="AF1704" i="57"/>
  <c r="Z1705" i="57"/>
  <c r="AF1705" i="57"/>
  <c r="Z1706" i="57"/>
  <c r="AF1706" i="57"/>
  <c r="Z1707" i="57"/>
  <c r="AF1707" i="57"/>
  <c r="Z1708" i="57"/>
  <c r="AF1708" i="57"/>
  <c r="Z1709" i="57"/>
  <c r="AF1709" i="57"/>
  <c r="Z1710" i="57"/>
  <c r="AF1710" i="57"/>
  <c r="Z1711" i="57"/>
  <c r="AF1711" i="57"/>
  <c r="Z1712" i="57"/>
  <c r="AF1712" i="57"/>
  <c r="Z1713" i="57"/>
  <c r="AF1713" i="57"/>
  <c r="Z1714" i="57"/>
  <c r="AF1714" i="57"/>
  <c r="Z1715" i="57"/>
  <c r="AF1715" i="57"/>
  <c r="Z1716" i="57"/>
  <c r="AF1716" i="57"/>
  <c r="Z1717" i="57"/>
  <c r="AF1717" i="57"/>
  <c r="Z1718" i="57"/>
  <c r="AF1718" i="57"/>
  <c r="Z1719" i="57"/>
  <c r="AF1719" i="57"/>
  <c r="Z1720" i="57"/>
  <c r="AF1720" i="57"/>
  <c r="Z1721" i="57"/>
  <c r="AF1721" i="57"/>
  <c r="Z1722" i="57"/>
  <c r="AF1722" i="57"/>
  <c r="Z1723" i="57"/>
  <c r="AF1723" i="57"/>
  <c r="Z1724" i="57"/>
  <c r="AF1724" i="57"/>
  <c r="Z1725" i="57"/>
  <c r="AF1725" i="57"/>
  <c r="Z1726" i="57"/>
  <c r="AF1726" i="57"/>
  <c r="Z1727" i="57"/>
  <c r="AF1727" i="57"/>
  <c r="Z1728" i="57"/>
  <c r="AF1728" i="57"/>
  <c r="Z1729" i="57"/>
  <c r="AF1729" i="57"/>
  <c r="Z1730" i="57"/>
  <c r="AF1730" i="57"/>
  <c r="Z1731" i="57"/>
  <c r="AF1731" i="57"/>
  <c r="Z1732" i="57"/>
  <c r="AF1732" i="57"/>
  <c r="Z1733" i="57"/>
  <c r="AF1733" i="57"/>
  <c r="Z1734" i="57"/>
  <c r="AF1734" i="57"/>
  <c r="Z1735" i="57"/>
  <c r="AF1735" i="57"/>
  <c r="Z1736" i="57"/>
  <c r="AF1736" i="57"/>
  <c r="Z1737" i="57"/>
  <c r="AF1737" i="57"/>
  <c r="Z1738" i="57"/>
  <c r="AF1738" i="57"/>
  <c r="Z1739" i="57"/>
  <c r="AF1739" i="57"/>
  <c r="Z1740" i="57"/>
  <c r="AF1740" i="57"/>
  <c r="Z1741" i="57"/>
  <c r="AF1741" i="57"/>
  <c r="Z1742" i="57"/>
  <c r="AF1742" i="57"/>
  <c r="Z1743" i="57"/>
  <c r="AF1743" i="57"/>
  <c r="Z1744" i="57"/>
  <c r="AF1744" i="57"/>
  <c r="Z1745" i="57"/>
  <c r="AF1745" i="57"/>
  <c r="Z1746" i="57"/>
  <c r="AF1746" i="57"/>
  <c r="Z1747" i="57"/>
  <c r="AF1747" i="57"/>
  <c r="Z1748" i="57"/>
  <c r="AF1748" i="57"/>
  <c r="Z1749" i="57"/>
  <c r="AF1749" i="57"/>
  <c r="Z1750" i="57"/>
  <c r="AF1750" i="57"/>
  <c r="Z1751" i="57"/>
  <c r="AF1751" i="57"/>
  <c r="Z1752" i="57"/>
  <c r="AF1752" i="57"/>
  <c r="Z1753" i="57"/>
  <c r="AF1753" i="57"/>
  <c r="Z1754" i="57"/>
  <c r="AF1754" i="57"/>
  <c r="Z1755" i="57"/>
  <c r="AF1755" i="57"/>
  <c r="Z1756" i="57"/>
  <c r="AF1756" i="57"/>
  <c r="Z1757" i="57"/>
  <c r="AF1757" i="57"/>
  <c r="Z1758" i="57"/>
  <c r="AF1758" i="57"/>
  <c r="Z1759" i="57"/>
  <c r="AF1759" i="57"/>
  <c r="Z1760" i="57"/>
  <c r="AF1760" i="57"/>
  <c r="Z1761" i="57"/>
  <c r="AF1761" i="57"/>
  <c r="Z1762" i="57"/>
  <c r="AF1762" i="57"/>
  <c r="Z1763" i="57"/>
  <c r="AF1763" i="57"/>
  <c r="Z1764" i="57"/>
  <c r="AF1764" i="57"/>
  <c r="Z1765" i="57"/>
  <c r="AF1765" i="57"/>
  <c r="Z1766" i="57"/>
  <c r="AF1766" i="57"/>
  <c r="Z1767" i="57"/>
  <c r="AF1767" i="57"/>
  <c r="Z1768" i="57"/>
  <c r="AF1768" i="57"/>
  <c r="Z1769" i="57"/>
  <c r="AF1769" i="57"/>
  <c r="Z1770" i="57"/>
  <c r="AF1770" i="57"/>
  <c r="Z1771" i="57"/>
  <c r="AF1771" i="57"/>
  <c r="Z1772" i="57"/>
  <c r="AF1772" i="57"/>
  <c r="Z1773" i="57"/>
  <c r="AF1773" i="57"/>
  <c r="Z1774" i="57"/>
  <c r="AF1774" i="57"/>
  <c r="Z1775" i="57"/>
  <c r="AF1775" i="57"/>
  <c r="Z1776" i="57"/>
  <c r="AF1776" i="57"/>
  <c r="Z1777" i="57"/>
  <c r="AF1777" i="57"/>
  <c r="Z1778" i="57"/>
  <c r="AF1778" i="57"/>
  <c r="Z1779" i="57"/>
  <c r="AF1779" i="57"/>
  <c r="Z1780" i="57"/>
  <c r="AF1780" i="57"/>
  <c r="Z1781" i="57"/>
  <c r="AF1781" i="57"/>
  <c r="Z1782" i="57"/>
  <c r="AF1782" i="57"/>
  <c r="Z1783" i="57"/>
  <c r="AF1783" i="57"/>
  <c r="Z1784" i="57"/>
  <c r="AF1784" i="57"/>
  <c r="Z1785" i="57"/>
  <c r="AF1785" i="57"/>
  <c r="Z1786" i="57"/>
  <c r="AF1786" i="57"/>
  <c r="Z1787" i="57"/>
  <c r="AF1787" i="57"/>
  <c r="Z1788" i="57"/>
  <c r="AF1788" i="57"/>
  <c r="Z1789" i="57"/>
  <c r="AF1789" i="57"/>
  <c r="Z1790" i="57"/>
  <c r="AF1790" i="57"/>
  <c r="Z1791" i="57"/>
  <c r="AF1791" i="57"/>
  <c r="Z1792" i="57"/>
  <c r="AF1792" i="57"/>
  <c r="Z1793" i="57"/>
  <c r="AF1793" i="57"/>
  <c r="Z1794" i="57"/>
  <c r="AF1794" i="57"/>
  <c r="Z1795" i="57"/>
  <c r="AF1795" i="57"/>
  <c r="Z1796" i="57"/>
  <c r="AF1796" i="57"/>
  <c r="Z1797" i="57"/>
  <c r="AF1797" i="57"/>
  <c r="Z1798" i="57"/>
  <c r="AF1798" i="57"/>
  <c r="Z1799" i="57"/>
  <c r="AF1799" i="57"/>
  <c r="Z1800" i="57"/>
  <c r="AF1800" i="57"/>
  <c r="Z1801" i="57"/>
  <c r="AF1801" i="57"/>
  <c r="Z1802" i="57"/>
  <c r="AF1802" i="57"/>
  <c r="Z1803" i="57"/>
  <c r="AF1803" i="57"/>
  <c r="Z1804" i="57"/>
  <c r="AF1804" i="57"/>
  <c r="Z1805" i="57"/>
  <c r="AF1805" i="57"/>
  <c r="Z1806" i="57"/>
  <c r="AF1806" i="57"/>
  <c r="Z1807" i="57"/>
  <c r="AF1807" i="57"/>
  <c r="Z1808" i="57"/>
  <c r="AF1808" i="57"/>
  <c r="Z1809" i="57"/>
  <c r="AF1809" i="57"/>
  <c r="Z1810" i="57"/>
  <c r="AF1810" i="57"/>
  <c r="Z1811" i="57"/>
  <c r="AF1811" i="57"/>
  <c r="Z1812" i="57"/>
  <c r="AF1812" i="57"/>
  <c r="Z1813" i="57"/>
  <c r="AF1813" i="57"/>
  <c r="Z1814" i="57"/>
  <c r="AF1814" i="57"/>
  <c r="Z1815" i="57"/>
  <c r="AF1815" i="57"/>
  <c r="Z1816" i="57"/>
  <c r="AF1816" i="57"/>
  <c r="Z1817" i="57"/>
  <c r="AF1817" i="57"/>
  <c r="Z1818" i="57"/>
  <c r="AF1818" i="57"/>
  <c r="Z1819" i="57"/>
  <c r="AF1819" i="57"/>
  <c r="Z1820" i="57"/>
  <c r="AF1820" i="57"/>
  <c r="Z1821" i="57"/>
  <c r="AF1821" i="57"/>
  <c r="Z1822" i="57"/>
  <c r="AF1822" i="57"/>
  <c r="Z1823" i="57"/>
  <c r="AF1823" i="57"/>
  <c r="Z1824" i="57"/>
  <c r="AF1824" i="57"/>
  <c r="Z1825" i="57"/>
  <c r="AF1825" i="57"/>
  <c r="Z1826" i="57"/>
  <c r="AF1826" i="57"/>
  <c r="Z1827" i="57"/>
  <c r="AF1827" i="57"/>
  <c r="Z1828" i="57"/>
  <c r="AF1828" i="57"/>
  <c r="Z1829" i="57"/>
  <c r="AF1829" i="57"/>
  <c r="Z1830" i="57"/>
  <c r="AF1830" i="57"/>
  <c r="Z1831" i="57"/>
  <c r="AF1831" i="57"/>
  <c r="Z1832" i="57"/>
  <c r="AF1832" i="57"/>
  <c r="Z1833" i="57"/>
  <c r="AF1833" i="57"/>
  <c r="Z1834" i="57"/>
  <c r="AF1834" i="57"/>
  <c r="Z1835" i="57"/>
  <c r="AF1835" i="57"/>
  <c r="Z1836" i="57"/>
  <c r="AF1836" i="57"/>
  <c r="Z1837" i="57"/>
  <c r="AF1837" i="57"/>
  <c r="Z1838" i="57"/>
  <c r="AF1838" i="57"/>
  <c r="Z1839" i="57"/>
  <c r="AF1839" i="57"/>
  <c r="Z1840" i="57"/>
  <c r="AF1840" i="57"/>
  <c r="Z1841" i="57"/>
  <c r="AF1841" i="57"/>
  <c r="Z1842" i="57"/>
  <c r="AF1842" i="57"/>
  <c r="Z1843" i="57"/>
  <c r="AF1843" i="57"/>
  <c r="Z1844" i="57"/>
  <c r="AF1844" i="57"/>
  <c r="Z1845" i="57"/>
  <c r="AF1845" i="57"/>
  <c r="Z1846" i="57"/>
  <c r="AF1846" i="57"/>
  <c r="Z1847" i="57"/>
  <c r="AF1847" i="57"/>
  <c r="Z1848" i="57"/>
  <c r="AF1848" i="57"/>
  <c r="Z1849" i="57"/>
  <c r="AF1849" i="57"/>
  <c r="Z1850" i="57"/>
  <c r="AF1850" i="57"/>
  <c r="Z1851" i="57"/>
  <c r="AF1851" i="57"/>
  <c r="Z1852" i="57"/>
  <c r="AF1852" i="57"/>
  <c r="Z1853" i="57"/>
  <c r="AF1853" i="57"/>
  <c r="Z1854" i="57"/>
  <c r="AF1854" i="57"/>
  <c r="Z1855" i="57"/>
  <c r="AF1855" i="57"/>
  <c r="Z1856" i="57"/>
  <c r="AF1856" i="57"/>
  <c r="Z1857" i="57"/>
  <c r="AF1857" i="57"/>
  <c r="Z1858" i="57"/>
  <c r="AF1858" i="57"/>
  <c r="Z1859" i="57"/>
  <c r="AF1859" i="57"/>
  <c r="Z1860" i="57"/>
  <c r="AF1860" i="57"/>
  <c r="Z1861" i="57"/>
  <c r="AF1861" i="57"/>
  <c r="Z1862" i="57"/>
  <c r="AF1862" i="57"/>
  <c r="Z1863" i="57"/>
  <c r="AF1863" i="57"/>
  <c r="Z1864" i="57"/>
  <c r="AF1864" i="57"/>
  <c r="Z1865" i="57"/>
  <c r="AF1865" i="57"/>
  <c r="Z1866" i="57"/>
  <c r="AF1866" i="57"/>
  <c r="D7" i="65"/>
  <c r="R7" i="65"/>
  <c r="S7" i="65"/>
  <c r="V7" i="65"/>
  <c r="W7" i="65"/>
  <c r="X7" i="65"/>
  <c r="D9" i="65"/>
  <c r="R9" i="65"/>
  <c r="S9" i="65"/>
  <c r="V9" i="65"/>
  <c r="W9" i="65"/>
  <c r="X9" i="65"/>
  <c r="D11" i="65"/>
  <c r="R11" i="65"/>
  <c r="S11" i="65"/>
  <c r="V11" i="65"/>
  <c r="W11" i="65"/>
  <c r="X11" i="65"/>
  <c r="D13" i="65"/>
  <c r="R13" i="65"/>
  <c r="S13" i="65"/>
  <c r="V13" i="65"/>
  <c r="W13" i="65"/>
  <c r="X13" i="65"/>
  <c r="D14" i="65"/>
  <c r="R14" i="65"/>
  <c r="S14" i="65"/>
  <c r="V14" i="65"/>
  <c r="W14" i="65"/>
  <c r="X14" i="65"/>
  <c r="D15" i="65"/>
  <c r="R15" i="65"/>
  <c r="S15" i="65"/>
  <c r="V15" i="65"/>
  <c r="W15" i="65"/>
  <c r="X15" i="65"/>
  <c r="Y2" i="58"/>
  <c r="Z2" i="58"/>
  <c r="AD2" i="58"/>
  <c r="AE2" i="58"/>
  <c r="AJ2" i="58"/>
  <c r="Y3" i="58"/>
  <c r="Z3" i="58"/>
  <c r="AD3" i="58"/>
  <c r="AE3" i="58"/>
  <c r="AJ3" i="58"/>
  <c r="Y4" i="58"/>
  <c r="Z4" i="58"/>
  <c r="AD4" i="58"/>
  <c r="AE4" i="58"/>
  <c r="AJ4" i="58"/>
  <c r="Y5" i="58"/>
  <c r="Z5" i="58"/>
  <c r="AD5" i="58"/>
  <c r="AE5" i="58"/>
  <c r="AJ5" i="58"/>
  <c r="Y6" i="58"/>
  <c r="Z6" i="58"/>
  <c r="AD6" i="58"/>
  <c r="AE6" i="58"/>
  <c r="AJ6" i="58"/>
  <c r="Y7" i="58"/>
  <c r="Z7" i="58"/>
  <c r="AD7" i="58"/>
  <c r="AE7" i="58"/>
  <c r="AJ7" i="58"/>
  <c r="Y8" i="58"/>
  <c r="Z8" i="58"/>
  <c r="AD8" i="58"/>
  <c r="AE8" i="58"/>
  <c r="AJ8" i="58"/>
  <c r="Y9" i="58"/>
  <c r="Z9" i="58"/>
  <c r="AD9" i="58"/>
  <c r="AE9" i="58"/>
  <c r="Y10" i="58"/>
  <c r="Z10" i="58"/>
  <c r="AD10" i="58"/>
  <c r="AE10" i="58"/>
  <c r="Y11" i="58"/>
  <c r="Z11" i="58"/>
  <c r="AD11" i="58"/>
  <c r="AE11" i="58"/>
  <c r="AJ11" i="58"/>
  <c r="Y12" i="58"/>
  <c r="Z12" i="58"/>
  <c r="AD12" i="58"/>
  <c r="AE12" i="58"/>
  <c r="Y13" i="58"/>
  <c r="Z13" i="58"/>
  <c r="AD13" i="58"/>
  <c r="AE13" i="58"/>
  <c r="Z14" i="58"/>
  <c r="AE14" i="58"/>
  <c r="Z15" i="58"/>
  <c r="AE15" i="58"/>
  <c r="Z16" i="58"/>
  <c r="AE16" i="58"/>
  <c r="Z17" i="58"/>
  <c r="AE17" i="58"/>
  <c r="Z18" i="58"/>
  <c r="AE18" i="58"/>
  <c r="Z19" i="58"/>
  <c r="AE19" i="58"/>
  <c r="Z20" i="58"/>
  <c r="AE20" i="58"/>
  <c r="Z21" i="58"/>
  <c r="AE21" i="58"/>
  <c r="Z22" i="58"/>
  <c r="AE22" i="58"/>
  <c r="Z23" i="58"/>
  <c r="AE23" i="58"/>
  <c r="Z24" i="58"/>
  <c r="AE24" i="58"/>
  <c r="Z25" i="58"/>
  <c r="AE25" i="58"/>
  <c r="Z26" i="58"/>
  <c r="AE26" i="58"/>
  <c r="Z27" i="58"/>
  <c r="AE27" i="58"/>
  <c r="Y28" i="58"/>
  <c r="Z28" i="58"/>
  <c r="AD28" i="58"/>
  <c r="AE28" i="58"/>
  <c r="Y29" i="58"/>
  <c r="Z29" i="58"/>
  <c r="AD29" i="58"/>
  <c r="AE29" i="58"/>
  <c r="Y30" i="58"/>
  <c r="Z30" i="58"/>
  <c r="AD30" i="58"/>
  <c r="AE30" i="58"/>
  <c r="Y31" i="58"/>
  <c r="Z31" i="58"/>
  <c r="AD31" i="58"/>
  <c r="AE31" i="58"/>
  <c r="Y32" i="58"/>
  <c r="Z32" i="58"/>
  <c r="AD32" i="58"/>
  <c r="AE32" i="58"/>
  <c r="Y33" i="58"/>
  <c r="Z33" i="58"/>
  <c r="AD33" i="58"/>
  <c r="AE33" i="58"/>
  <c r="Y34" i="58"/>
  <c r="Z34" i="58"/>
  <c r="AD34" i="58"/>
  <c r="AE34" i="58"/>
  <c r="Y35" i="58"/>
  <c r="Z35" i="58"/>
  <c r="AD35" i="58"/>
  <c r="AE35" i="58"/>
  <c r="Y36" i="58"/>
  <c r="Z36" i="58"/>
  <c r="AD36" i="58"/>
  <c r="AE36" i="58"/>
  <c r="Y37" i="58"/>
  <c r="Z37" i="58"/>
  <c r="AD37" i="58"/>
  <c r="AE37" i="58"/>
  <c r="Y38" i="58"/>
  <c r="Z38" i="58"/>
  <c r="AD38" i="58"/>
  <c r="AE38" i="58"/>
  <c r="Y39" i="58"/>
  <c r="Z39" i="58"/>
  <c r="AD39" i="58"/>
  <c r="AE39" i="58"/>
  <c r="Y40" i="58"/>
  <c r="Z40" i="58"/>
  <c r="AD40" i="58"/>
  <c r="AE40" i="58"/>
  <c r="Y41" i="58"/>
  <c r="Z41" i="58"/>
  <c r="AD41" i="58"/>
  <c r="AE41" i="58"/>
  <c r="Y42" i="58"/>
  <c r="Z42" i="58"/>
  <c r="AD42" i="58"/>
  <c r="AE42" i="58"/>
  <c r="Y43" i="58"/>
  <c r="Z43" i="58"/>
  <c r="AD43" i="58"/>
  <c r="AE43" i="58"/>
  <c r="Y44" i="58"/>
  <c r="Z44" i="58"/>
  <c r="AD44" i="58"/>
  <c r="AE44" i="58"/>
  <c r="Y45" i="58"/>
  <c r="Z45" i="58"/>
  <c r="AD45" i="58"/>
  <c r="AE45" i="58"/>
  <c r="Y46" i="58"/>
  <c r="Z46" i="58"/>
  <c r="AD46" i="58"/>
  <c r="AE46" i="58"/>
  <c r="Y47" i="58"/>
  <c r="Z47" i="58"/>
  <c r="AD47" i="58"/>
  <c r="AE47" i="58"/>
  <c r="Y48" i="58"/>
  <c r="Z48" i="58"/>
  <c r="AD48" i="58"/>
  <c r="AE48" i="58"/>
  <c r="Y49" i="58"/>
  <c r="Z49" i="58"/>
  <c r="AD49" i="58"/>
  <c r="AE49" i="58"/>
  <c r="Y50" i="58"/>
  <c r="Z50" i="58"/>
  <c r="AD50" i="58"/>
  <c r="AE50" i="58"/>
  <c r="Y51" i="58"/>
  <c r="Z51" i="58"/>
  <c r="AD51" i="58"/>
  <c r="AE51" i="58"/>
  <c r="Y52" i="58"/>
  <c r="Z52" i="58"/>
  <c r="AD52" i="58"/>
  <c r="AE52" i="58"/>
  <c r="Y53" i="58"/>
  <c r="Z53" i="58"/>
  <c r="AD53" i="58"/>
  <c r="AE53" i="58"/>
  <c r="Y54" i="58"/>
  <c r="Z54" i="58"/>
  <c r="AD54" i="58"/>
  <c r="AE54" i="58"/>
  <c r="Y55" i="58"/>
  <c r="Z55" i="58"/>
  <c r="AD55" i="58"/>
  <c r="AE55" i="58"/>
  <c r="Y56" i="58"/>
  <c r="Z56" i="58"/>
  <c r="AD56" i="58"/>
  <c r="AE56" i="58"/>
  <c r="Y57" i="58"/>
  <c r="Z57" i="58"/>
  <c r="AD57" i="58"/>
  <c r="AE57" i="58"/>
  <c r="Y58" i="58"/>
  <c r="Z58" i="58"/>
  <c r="AD58" i="58"/>
  <c r="AE58" i="58"/>
  <c r="Y59" i="58"/>
  <c r="Z59" i="58"/>
  <c r="AD59" i="58"/>
  <c r="AE59" i="58"/>
  <c r="Y60" i="58"/>
  <c r="Z60" i="58"/>
  <c r="AD60" i="58"/>
  <c r="AE60" i="58"/>
  <c r="Y61" i="58"/>
  <c r="Z61" i="58"/>
  <c r="AD61" i="58"/>
  <c r="AE61" i="58"/>
  <c r="Y62" i="58"/>
  <c r="Z62" i="58"/>
  <c r="AD62" i="58"/>
  <c r="AE62" i="58"/>
  <c r="Y63" i="58"/>
  <c r="Z63" i="58"/>
  <c r="AD63" i="58"/>
  <c r="AE63" i="58"/>
  <c r="Y64" i="58"/>
  <c r="Z64" i="58"/>
  <c r="AD64" i="58"/>
  <c r="AE64" i="58"/>
  <c r="Y65" i="58"/>
  <c r="Z65" i="58"/>
  <c r="AD65" i="58"/>
  <c r="AE65" i="58"/>
  <c r="Y66" i="58"/>
  <c r="Z66" i="58"/>
  <c r="AD66" i="58"/>
  <c r="AE66" i="58"/>
  <c r="Y67" i="58"/>
  <c r="Z67" i="58"/>
  <c r="AD67" i="58"/>
  <c r="AE67" i="58"/>
  <c r="Y68" i="58"/>
  <c r="Z68" i="58"/>
  <c r="AD68" i="58"/>
  <c r="AE68" i="58"/>
  <c r="Y69" i="58"/>
  <c r="Z69" i="58"/>
  <c r="AD69" i="58"/>
  <c r="AE69" i="58"/>
  <c r="Y70" i="58"/>
  <c r="Z70" i="58"/>
  <c r="AD70" i="58"/>
  <c r="AE70" i="58"/>
  <c r="Y71" i="58"/>
  <c r="Z71" i="58"/>
  <c r="AD71" i="58"/>
  <c r="AE71" i="58"/>
  <c r="Y72" i="58"/>
  <c r="Z72" i="58"/>
  <c r="AD72" i="58"/>
  <c r="AE72" i="58"/>
  <c r="Y73" i="58"/>
  <c r="Z73" i="58"/>
  <c r="AD73" i="58"/>
  <c r="AE73" i="58"/>
  <c r="Y74" i="58"/>
  <c r="Z74" i="58"/>
  <c r="AD74" i="58"/>
  <c r="AE74" i="58"/>
  <c r="Y75" i="58"/>
  <c r="Z75" i="58"/>
  <c r="AD75" i="58"/>
  <c r="AE75" i="58"/>
  <c r="Y76" i="58"/>
  <c r="Z76" i="58"/>
  <c r="AD76" i="58"/>
  <c r="AE76" i="58"/>
  <c r="Y77" i="58"/>
  <c r="Z77" i="58"/>
  <c r="AD77" i="58"/>
  <c r="AE77" i="58"/>
  <c r="Y78" i="58"/>
  <c r="Z78" i="58"/>
  <c r="AD78" i="58"/>
  <c r="AE78" i="58"/>
  <c r="Y79" i="58"/>
  <c r="Z79" i="58"/>
  <c r="AD79" i="58"/>
  <c r="AE79" i="58"/>
  <c r="Y80" i="58"/>
  <c r="Z80" i="58"/>
  <c r="AD80" i="58"/>
  <c r="AE80" i="58"/>
  <c r="Y81" i="58"/>
  <c r="Z81" i="58"/>
  <c r="AD81" i="58"/>
  <c r="AE81" i="58"/>
  <c r="Y82" i="58"/>
  <c r="Z82" i="58"/>
  <c r="AD82" i="58"/>
  <c r="AE82" i="58"/>
  <c r="Y83" i="58"/>
  <c r="Z83" i="58"/>
  <c r="AD83" i="58"/>
  <c r="AE83" i="58"/>
  <c r="Y84" i="58"/>
  <c r="Z84" i="58"/>
  <c r="AD84" i="58"/>
  <c r="AE84" i="58"/>
  <c r="Y85" i="58"/>
  <c r="Z85" i="58"/>
  <c r="AD85" i="58"/>
  <c r="AE85" i="58"/>
  <c r="Y86" i="58"/>
  <c r="Z86" i="58"/>
  <c r="AD86" i="58"/>
  <c r="AE86" i="58"/>
  <c r="Y87" i="58"/>
  <c r="Z87" i="58"/>
  <c r="AD87" i="58"/>
  <c r="AE87" i="58"/>
  <c r="Y88" i="58"/>
  <c r="Z88" i="58"/>
  <c r="AD88" i="58"/>
  <c r="AE88" i="58"/>
  <c r="Y89" i="58"/>
  <c r="Z89" i="58"/>
  <c r="AD89" i="58"/>
  <c r="AE89" i="58"/>
  <c r="Y90" i="58"/>
  <c r="Z90" i="58"/>
  <c r="AD90" i="58"/>
  <c r="AE90" i="58"/>
  <c r="Y91" i="58"/>
  <c r="Z91" i="58"/>
  <c r="AD91" i="58"/>
  <c r="AE91" i="58"/>
  <c r="Y92" i="58"/>
  <c r="Z92" i="58"/>
  <c r="AD92" i="58"/>
  <c r="AE92" i="58"/>
  <c r="Y93" i="58"/>
  <c r="Z93" i="58"/>
  <c r="AD93" i="58"/>
  <c r="AE93" i="58"/>
  <c r="Y94" i="58"/>
  <c r="AD94" i="58"/>
  <c r="Y95" i="58"/>
  <c r="AD95" i="58"/>
  <c r="Y96" i="58"/>
  <c r="AD96" i="58"/>
  <c r="Y97" i="58"/>
  <c r="AD97" i="58"/>
  <c r="Y98" i="58"/>
  <c r="AD98" i="58"/>
  <c r="Y99" i="58"/>
  <c r="AD99" i="58"/>
  <c r="Y100" i="58"/>
  <c r="AD100" i="58"/>
  <c r="Y101" i="58"/>
  <c r="AD101" i="58"/>
  <c r="Y102" i="58"/>
  <c r="AD102" i="58"/>
  <c r="Y103" i="58"/>
  <c r="AD103" i="58"/>
  <c r="Y104" i="58"/>
  <c r="AD104" i="58"/>
  <c r="Y105" i="58"/>
  <c r="AD105" i="58"/>
  <c r="Y106" i="58"/>
  <c r="AD106" i="58"/>
  <c r="Y107" i="58"/>
  <c r="AD107" i="58"/>
  <c r="Y108" i="58"/>
  <c r="AD108" i="58"/>
  <c r="Y109" i="58"/>
  <c r="AD109" i="58"/>
  <c r="Y110" i="58"/>
  <c r="AD110" i="58"/>
  <c r="Y111" i="58"/>
  <c r="AD111" i="58"/>
  <c r="Y112" i="58"/>
  <c r="AD112" i="58"/>
  <c r="Y113" i="58"/>
  <c r="AD113" i="58"/>
  <c r="Y114" i="58"/>
  <c r="AD114" i="58"/>
  <c r="Y115" i="58"/>
  <c r="AD115" i="58"/>
  <c r="Y116" i="58"/>
  <c r="AD116" i="58"/>
  <c r="Y117" i="58"/>
  <c r="AD117" i="58"/>
  <c r="Y118" i="58"/>
  <c r="AD118" i="58"/>
  <c r="Y119" i="58"/>
  <c r="AD119" i="58"/>
  <c r="Y120" i="58"/>
  <c r="AD120" i="58"/>
  <c r="Y121" i="58"/>
  <c r="AD121" i="58"/>
  <c r="Y122" i="58"/>
  <c r="AD122" i="58"/>
  <c r="Y123" i="58"/>
  <c r="AD123" i="58"/>
  <c r="Y124" i="58"/>
  <c r="AD124" i="58"/>
  <c r="Y125" i="58"/>
  <c r="AD125" i="58"/>
  <c r="Y126" i="58"/>
  <c r="AD126" i="58"/>
  <c r="Y127" i="58"/>
  <c r="AD127" i="58"/>
  <c r="Y128" i="58"/>
  <c r="AD128" i="58"/>
  <c r="Y129" i="58"/>
  <c r="AD129" i="58"/>
  <c r="Y130" i="58"/>
  <c r="AD130" i="58"/>
  <c r="Y131" i="58"/>
  <c r="AD131" i="58"/>
  <c r="Y132" i="58"/>
  <c r="AD132" i="58"/>
  <c r="Y133" i="58"/>
  <c r="AD133" i="58"/>
  <c r="Y134" i="58"/>
  <c r="AD134" i="58"/>
  <c r="Y135" i="58"/>
  <c r="AD135" i="58"/>
  <c r="Y136" i="58"/>
  <c r="AD136" i="58"/>
  <c r="Y137" i="58"/>
  <c r="AD137" i="58"/>
  <c r="Y138" i="58"/>
  <c r="AD138" i="58"/>
  <c r="Y139" i="58"/>
  <c r="AD139" i="58"/>
  <c r="Y140" i="58"/>
  <c r="AD140" i="58"/>
  <c r="Y141" i="58"/>
  <c r="AD141" i="58"/>
  <c r="Y142" i="58"/>
  <c r="Z142" i="58"/>
  <c r="AD142" i="58"/>
  <c r="AE142" i="58"/>
  <c r="Y143" i="58"/>
  <c r="Z143" i="58"/>
  <c r="AD143" i="58"/>
  <c r="AE143" i="58"/>
  <c r="Y144" i="58"/>
  <c r="Z144" i="58"/>
  <c r="AD144" i="58"/>
  <c r="AE144" i="58"/>
  <c r="Y145" i="58"/>
  <c r="Z145" i="58"/>
  <c r="AD145" i="58"/>
  <c r="AE145" i="58"/>
  <c r="Y146" i="58"/>
  <c r="Z146" i="58"/>
  <c r="AD146" i="58"/>
  <c r="AE146" i="58"/>
  <c r="Y147" i="58"/>
  <c r="Z147" i="58"/>
  <c r="AD147" i="58"/>
  <c r="AE147" i="58"/>
  <c r="Y148" i="58"/>
  <c r="Z148" i="58"/>
  <c r="AD148" i="58"/>
  <c r="AE148" i="58"/>
  <c r="Y149" i="58"/>
  <c r="Z149" i="58"/>
  <c r="AD149" i="58"/>
  <c r="AE149" i="58"/>
  <c r="Y150" i="58"/>
  <c r="Z150" i="58"/>
  <c r="AD150" i="58"/>
  <c r="AE150" i="58"/>
  <c r="Y151" i="58"/>
  <c r="Z151" i="58"/>
  <c r="AD151" i="58"/>
  <c r="AE151" i="58"/>
  <c r="Y152" i="58"/>
  <c r="Z152" i="58"/>
  <c r="AD152" i="58"/>
  <c r="AE152" i="58"/>
  <c r="Y153" i="58"/>
  <c r="Z153" i="58"/>
  <c r="AD153" i="58"/>
  <c r="AE153" i="58"/>
  <c r="Y154" i="58"/>
  <c r="Z154" i="58"/>
  <c r="AD154" i="58"/>
  <c r="AE154" i="58"/>
  <c r="Z155" i="58"/>
  <c r="AE155" i="58"/>
  <c r="Z156" i="58"/>
  <c r="AE156" i="58"/>
  <c r="Z157" i="58"/>
  <c r="AE157" i="58"/>
  <c r="Z158" i="58"/>
  <c r="AE158" i="58"/>
  <c r="Z159" i="58"/>
  <c r="AE159" i="58"/>
  <c r="Z160" i="58"/>
  <c r="AE160" i="58"/>
  <c r="Z161" i="58"/>
  <c r="AE161" i="58"/>
  <c r="Z162" i="58"/>
  <c r="AE162" i="58"/>
  <c r="Z163" i="58"/>
  <c r="AE163" i="58"/>
  <c r="Z164" i="58"/>
  <c r="AE164" i="58"/>
  <c r="Z165" i="58"/>
  <c r="AE165" i="58"/>
  <c r="Z166" i="58"/>
  <c r="AE166" i="58"/>
  <c r="Y167" i="58"/>
  <c r="Z167" i="58"/>
  <c r="AD167" i="58"/>
  <c r="AE167" i="58"/>
  <c r="Y168" i="58"/>
  <c r="Z168" i="58"/>
  <c r="AD168" i="58"/>
  <c r="AE168" i="58"/>
  <c r="Y169" i="58"/>
  <c r="Z169" i="58"/>
  <c r="AD169" i="58"/>
  <c r="AE169" i="58"/>
  <c r="Y170" i="58"/>
  <c r="Z170" i="58"/>
  <c r="AD170" i="58"/>
  <c r="AE170" i="58"/>
  <c r="Y171" i="58"/>
  <c r="Z171" i="58"/>
  <c r="AD171" i="58"/>
  <c r="AE171" i="58"/>
  <c r="Y172" i="58"/>
  <c r="Z172" i="58"/>
  <c r="AD172" i="58"/>
  <c r="AE172" i="58"/>
  <c r="Y173" i="58"/>
  <c r="Z173" i="58"/>
  <c r="AD173" i="58"/>
  <c r="AE173" i="58"/>
  <c r="Y174" i="58"/>
  <c r="Z174" i="58"/>
  <c r="AD174" i="58"/>
  <c r="AE174" i="58"/>
  <c r="Y175" i="58"/>
  <c r="Z175" i="58"/>
  <c r="AD175" i="58"/>
  <c r="AE175" i="58"/>
  <c r="Y176" i="58"/>
  <c r="Z176" i="58"/>
  <c r="AD176" i="58"/>
  <c r="AE176" i="58"/>
  <c r="Y177" i="58"/>
  <c r="Z177" i="58"/>
  <c r="AD177" i="58"/>
  <c r="AE177" i="58"/>
  <c r="Y178" i="58"/>
  <c r="Z178" i="58"/>
  <c r="AD178" i="58"/>
  <c r="AE178" i="58"/>
  <c r="Y179" i="58"/>
  <c r="Z179" i="58"/>
  <c r="AD179" i="58"/>
  <c r="AE179" i="58"/>
  <c r="Y180" i="58"/>
  <c r="Z180" i="58"/>
  <c r="AD180" i="58"/>
  <c r="AE180" i="58"/>
  <c r="Y181" i="58"/>
  <c r="Z181" i="58"/>
  <c r="AD181" i="58"/>
  <c r="AE181" i="58"/>
  <c r="Y182" i="58"/>
  <c r="Z182" i="58"/>
  <c r="AD182" i="58"/>
  <c r="AE182" i="58"/>
  <c r="Y183" i="58"/>
  <c r="Z183" i="58"/>
  <c r="AD183" i="58"/>
  <c r="AE183" i="58"/>
  <c r="Y184" i="58"/>
  <c r="Z184" i="58"/>
  <c r="AD184" i="58"/>
  <c r="AE184" i="58"/>
  <c r="Y185" i="58"/>
  <c r="Z185" i="58"/>
  <c r="AD185" i="58"/>
  <c r="AE185" i="58"/>
  <c r="Y186" i="58"/>
  <c r="Z186" i="58"/>
  <c r="AD186" i="58"/>
  <c r="AE186" i="58"/>
  <c r="Y187" i="58"/>
  <c r="Z187" i="58"/>
  <c r="AD187" i="58"/>
  <c r="AE187" i="58"/>
  <c r="Y188" i="58"/>
  <c r="Z188" i="58"/>
  <c r="AD188" i="58"/>
  <c r="AE188" i="58"/>
  <c r="Y189" i="58"/>
  <c r="Z189" i="58"/>
  <c r="AD189" i="58"/>
  <c r="AE189" i="58"/>
  <c r="Y190" i="58"/>
  <c r="Z190" i="58"/>
  <c r="AD190" i="58"/>
  <c r="AE190" i="58"/>
  <c r="Y191" i="58"/>
  <c r="Z191" i="58"/>
  <c r="AD191" i="58"/>
  <c r="AE191" i="58"/>
  <c r="Y192" i="58"/>
  <c r="Z192" i="58"/>
  <c r="AD192" i="58"/>
  <c r="AE192" i="58"/>
  <c r="Y193" i="58"/>
  <c r="Z193" i="58"/>
  <c r="AD193" i="58"/>
  <c r="AE193" i="58"/>
  <c r="Y194" i="58"/>
  <c r="Z194" i="58"/>
  <c r="AD194" i="58"/>
  <c r="AE194" i="58"/>
  <c r="Y195" i="58"/>
  <c r="Z195" i="58"/>
  <c r="AD195" i="58"/>
  <c r="AE195" i="58"/>
  <c r="Y196" i="58"/>
  <c r="Z196" i="58"/>
  <c r="AD196" i="58"/>
  <c r="AE196" i="58"/>
  <c r="Y197" i="58"/>
  <c r="Z197" i="58"/>
  <c r="AD197" i="58"/>
  <c r="AE197" i="58"/>
  <c r="Y198" i="58"/>
  <c r="Z198" i="58"/>
  <c r="AD198" i="58"/>
  <c r="AE198" i="58"/>
  <c r="Y199" i="58"/>
  <c r="Z199" i="58"/>
  <c r="AD199" i="58"/>
  <c r="AE199" i="58"/>
  <c r="Y200" i="58"/>
  <c r="Z200" i="58"/>
  <c r="AD200" i="58"/>
  <c r="AE200" i="58"/>
  <c r="Y201" i="58"/>
  <c r="Z201" i="58"/>
  <c r="AD201" i="58"/>
  <c r="AE201" i="58"/>
  <c r="Y202" i="58"/>
  <c r="Z202" i="58"/>
  <c r="AD202" i="58"/>
  <c r="AE202" i="58"/>
  <c r="Y203" i="58"/>
  <c r="Z203" i="58"/>
  <c r="AD203" i="58"/>
  <c r="AE203" i="58"/>
  <c r="Y204" i="58"/>
  <c r="Z204" i="58"/>
  <c r="AD204" i="58"/>
  <c r="AE204" i="58"/>
  <c r="Y205" i="58"/>
  <c r="Z205" i="58"/>
  <c r="AD205" i="58"/>
  <c r="AE205" i="58"/>
  <c r="Y206" i="58"/>
  <c r="Z206" i="58"/>
  <c r="AD206" i="58"/>
  <c r="AE206" i="58"/>
  <c r="Y207" i="58"/>
  <c r="Z207" i="58"/>
  <c r="AD207" i="58"/>
  <c r="AE207" i="58"/>
  <c r="Y208" i="58"/>
  <c r="Z208" i="58"/>
  <c r="AD208" i="58"/>
  <c r="AE208" i="58"/>
  <c r="Y209" i="58"/>
  <c r="Z209" i="58"/>
  <c r="AD209" i="58"/>
  <c r="AE209" i="58"/>
  <c r="Y210" i="58"/>
  <c r="Z210" i="58"/>
  <c r="AD210" i="58"/>
  <c r="AE210" i="58"/>
  <c r="Y211" i="58"/>
  <c r="Z211" i="58"/>
  <c r="AD211" i="58"/>
  <c r="AE211" i="58"/>
  <c r="Y212" i="58"/>
  <c r="Z212" i="58"/>
  <c r="AD212" i="58"/>
  <c r="AE212" i="58"/>
  <c r="Y213" i="58"/>
  <c r="Z213" i="58"/>
  <c r="AD213" i="58"/>
  <c r="AE213" i="58"/>
  <c r="Y214" i="58"/>
  <c r="Z214" i="58"/>
  <c r="AD214" i="58"/>
  <c r="AE214" i="58"/>
  <c r="Y215" i="58"/>
  <c r="Z215" i="58"/>
  <c r="AD215" i="58"/>
  <c r="AE215" i="58"/>
  <c r="Y216" i="58"/>
  <c r="Z216" i="58"/>
  <c r="AD216" i="58"/>
  <c r="AE216" i="58"/>
  <c r="Y217" i="58"/>
  <c r="Z217" i="58"/>
  <c r="AD217" i="58"/>
  <c r="AE217" i="58"/>
  <c r="Y218" i="58"/>
  <c r="Z218" i="58"/>
  <c r="AD218" i="58"/>
  <c r="AE218" i="58"/>
  <c r="Y219" i="58"/>
  <c r="Z219" i="58"/>
  <c r="AD219" i="58"/>
  <c r="AE219" i="58"/>
  <c r="Y220" i="58"/>
  <c r="Z220" i="58"/>
  <c r="AD220" i="58"/>
  <c r="AE220" i="58"/>
  <c r="Y221" i="58"/>
  <c r="Z221" i="58"/>
  <c r="AD221" i="58"/>
  <c r="AE221" i="58"/>
  <c r="Y222" i="58"/>
  <c r="Z222" i="58"/>
  <c r="AD222" i="58"/>
  <c r="AE222" i="58"/>
  <c r="Y223" i="58"/>
  <c r="Z223" i="58"/>
  <c r="AD223" i="58"/>
  <c r="AE223" i="58"/>
  <c r="Y224" i="58"/>
  <c r="Z224" i="58"/>
  <c r="AD224" i="58"/>
  <c r="AE224" i="58"/>
  <c r="Y225" i="58"/>
  <c r="Z225" i="58"/>
  <c r="AD225" i="58"/>
  <c r="AE225" i="58"/>
  <c r="Y226" i="58"/>
  <c r="Z226" i="58"/>
  <c r="AD226" i="58"/>
  <c r="AE226" i="58"/>
  <c r="Y227" i="58"/>
  <c r="Z227" i="58"/>
  <c r="AD227" i="58"/>
  <c r="AE227" i="58"/>
  <c r="Y228" i="58"/>
  <c r="Z228" i="58"/>
  <c r="AD228" i="58"/>
  <c r="AE228" i="58"/>
  <c r="Y229" i="58"/>
  <c r="Z229" i="58"/>
  <c r="AD229" i="58"/>
  <c r="AE229" i="58"/>
  <c r="Y230" i="58"/>
  <c r="Z230" i="58"/>
  <c r="AD230" i="58"/>
  <c r="AE230" i="58"/>
  <c r="Y231" i="58"/>
  <c r="Z231" i="58"/>
  <c r="AD231" i="58"/>
  <c r="AE231" i="58"/>
  <c r="Y232" i="58"/>
  <c r="Z232" i="58"/>
  <c r="AD232" i="58"/>
  <c r="AE232" i="58"/>
  <c r="Y233" i="58"/>
  <c r="Z233" i="58"/>
  <c r="AD233" i="58"/>
  <c r="AE233" i="58"/>
  <c r="Y234" i="58"/>
  <c r="Z234" i="58"/>
  <c r="AD234" i="58"/>
  <c r="AE234" i="58"/>
  <c r="Y235" i="58"/>
  <c r="Z235" i="58"/>
  <c r="AD235" i="58"/>
  <c r="AE235" i="58"/>
  <c r="Y236" i="58"/>
  <c r="Z236" i="58"/>
  <c r="AD236" i="58"/>
  <c r="AE236" i="58"/>
  <c r="Y237" i="58"/>
  <c r="Z237" i="58"/>
  <c r="AD237" i="58"/>
  <c r="AE237" i="58"/>
  <c r="Y238" i="58"/>
  <c r="Z238" i="58"/>
  <c r="AD238" i="58"/>
  <c r="AE238" i="58"/>
  <c r="Y239" i="58"/>
  <c r="Z239" i="58"/>
  <c r="AD239" i="58"/>
  <c r="AE239" i="58"/>
  <c r="Y240" i="58"/>
  <c r="Z240" i="58"/>
  <c r="AD240" i="58"/>
  <c r="AE240" i="58"/>
  <c r="Y241" i="58"/>
  <c r="Z241" i="58"/>
  <c r="AD241" i="58"/>
  <c r="AE241" i="58"/>
  <c r="Y242" i="58"/>
  <c r="Z242" i="58"/>
  <c r="AD242" i="58"/>
  <c r="AE242" i="58"/>
  <c r="Y243" i="58"/>
  <c r="Z243" i="58"/>
  <c r="AD243" i="58"/>
  <c r="AE243" i="58"/>
  <c r="Y244" i="58"/>
  <c r="Z244" i="58"/>
  <c r="AD244" i="58"/>
  <c r="AE244" i="58"/>
  <c r="Y245" i="58"/>
  <c r="Z245" i="58"/>
  <c r="AD245" i="58"/>
  <c r="AE245" i="58"/>
  <c r="Y246" i="58"/>
  <c r="Z246" i="58"/>
  <c r="AD246" i="58"/>
  <c r="AE246" i="58"/>
  <c r="Y247" i="58"/>
  <c r="Z247" i="58"/>
  <c r="AD247" i="58"/>
  <c r="AE247" i="58"/>
  <c r="Y248" i="58"/>
  <c r="Z248" i="58"/>
  <c r="AD248" i="58"/>
  <c r="AE248" i="58"/>
  <c r="Y249" i="58"/>
  <c r="Z249" i="58"/>
  <c r="AD249" i="58"/>
  <c r="AE249" i="58"/>
  <c r="Y250" i="58"/>
  <c r="Z250" i="58"/>
  <c r="AD250" i="58"/>
  <c r="AE250" i="58"/>
  <c r="Y251" i="58"/>
  <c r="Z251" i="58"/>
  <c r="AD251" i="58"/>
  <c r="AE251" i="58"/>
  <c r="Y252" i="58"/>
  <c r="Z252" i="58"/>
  <c r="AD252" i="58"/>
  <c r="AE252" i="58"/>
  <c r="Y253" i="58"/>
  <c r="Z253" i="58"/>
  <c r="AD253" i="58"/>
  <c r="AE253" i="58"/>
  <c r="Y254" i="58"/>
  <c r="Z254" i="58"/>
  <c r="AD254" i="58"/>
  <c r="AE254" i="58"/>
  <c r="Y255" i="58"/>
  <c r="Z255" i="58"/>
  <c r="AD255" i="58"/>
  <c r="AE255" i="58"/>
  <c r="Y256" i="58"/>
  <c r="Z256" i="58"/>
  <c r="AD256" i="58"/>
  <c r="AE256" i="58"/>
  <c r="Y257" i="58"/>
  <c r="Z257" i="58"/>
  <c r="AD257" i="58"/>
  <c r="AE257" i="58"/>
  <c r="Y258" i="58"/>
  <c r="Z258" i="58"/>
  <c r="AD258" i="58"/>
  <c r="AE258" i="58"/>
  <c r="Y259" i="58"/>
  <c r="Z259" i="58"/>
  <c r="AD259" i="58"/>
  <c r="AE259" i="58"/>
  <c r="Y260" i="58"/>
  <c r="Z260" i="58"/>
  <c r="AD260" i="58"/>
  <c r="AE260" i="58"/>
  <c r="Y261" i="58"/>
  <c r="Z261" i="58"/>
  <c r="AD261" i="58"/>
  <c r="AE261" i="58"/>
  <c r="Y262" i="58"/>
  <c r="Z262" i="58"/>
  <c r="AD262" i="58"/>
  <c r="AE262" i="58"/>
  <c r="Y263" i="58"/>
  <c r="Z263" i="58"/>
  <c r="AD263" i="58"/>
  <c r="AE263" i="58"/>
  <c r="Y264" i="58"/>
  <c r="Z264" i="58"/>
  <c r="AD264" i="58"/>
  <c r="AE264" i="58"/>
  <c r="Y265" i="58"/>
  <c r="Z265" i="58"/>
  <c r="AD265" i="58"/>
  <c r="AE265" i="58"/>
  <c r="Y266" i="58"/>
  <c r="Z266" i="58"/>
  <c r="AD266" i="58"/>
  <c r="AE266" i="58"/>
  <c r="Y267" i="58"/>
  <c r="Z267" i="58"/>
  <c r="AD267" i="58"/>
  <c r="AE267" i="58"/>
  <c r="Y268" i="58"/>
  <c r="AD268" i="58"/>
  <c r="Y269" i="58"/>
  <c r="AD269" i="58"/>
  <c r="Y270" i="58"/>
  <c r="AD270" i="58"/>
  <c r="Y271" i="58"/>
  <c r="AD271" i="58"/>
  <c r="Y272" i="58"/>
  <c r="AD272" i="58"/>
  <c r="Y273" i="58"/>
  <c r="AD273" i="58"/>
  <c r="Z274" i="58"/>
  <c r="AE274" i="58"/>
  <c r="Z275" i="58"/>
  <c r="AE275" i="58"/>
  <c r="Z276" i="58"/>
  <c r="AE276" i="58"/>
  <c r="Z277" i="58"/>
  <c r="AE277" i="58"/>
  <c r="Z278" i="58"/>
  <c r="AE278" i="58"/>
  <c r="Z279" i="58"/>
  <c r="AE279" i="58"/>
  <c r="Z280" i="58"/>
  <c r="AE280" i="58"/>
  <c r="Z281" i="58"/>
  <c r="AE281" i="58"/>
  <c r="Z282" i="58"/>
  <c r="AE282" i="58"/>
  <c r="Z283" i="58"/>
  <c r="AE283" i="58"/>
  <c r="Z284" i="58"/>
  <c r="AE284" i="58"/>
  <c r="Z285" i="58"/>
  <c r="AE285" i="58"/>
  <c r="Y286" i="58"/>
  <c r="AD286" i="58"/>
  <c r="Y287" i="58"/>
  <c r="AD287" i="58"/>
  <c r="Y288" i="58"/>
  <c r="AD288" i="58"/>
  <c r="Y289" i="58"/>
  <c r="AD289" i="58"/>
  <c r="Y290" i="58"/>
  <c r="AD290" i="58"/>
  <c r="Y291" i="58"/>
  <c r="AD291" i="58"/>
  <c r="Y292" i="58"/>
  <c r="AD292" i="58"/>
  <c r="Y293" i="58"/>
  <c r="AD293" i="58"/>
  <c r="Y294" i="58"/>
  <c r="AD294" i="58"/>
  <c r="Y295" i="58"/>
  <c r="AD295" i="58"/>
  <c r="Y296" i="58"/>
  <c r="AD296" i="58"/>
  <c r="Y297" i="58"/>
  <c r="AD297" i="58"/>
  <c r="Z298" i="58"/>
  <c r="AE298" i="58"/>
  <c r="Z299" i="58"/>
  <c r="AE299" i="58"/>
  <c r="Z300" i="58"/>
  <c r="AE300" i="58"/>
  <c r="Z301" i="58"/>
  <c r="AE301" i="58"/>
  <c r="Z302" i="58"/>
  <c r="AE302" i="58"/>
  <c r="Z303" i="58"/>
  <c r="AE303" i="58"/>
  <c r="Z304" i="58"/>
  <c r="AE304" i="58"/>
  <c r="Z305" i="58"/>
  <c r="AE305" i="58"/>
  <c r="Z306" i="58"/>
  <c r="AE306" i="58"/>
  <c r="Z307" i="58"/>
  <c r="AE307" i="58"/>
  <c r="Z308" i="58"/>
  <c r="AE308" i="58"/>
  <c r="Z309" i="58"/>
  <c r="AE309" i="58"/>
  <c r="Z310" i="58"/>
  <c r="AE310" i="58"/>
  <c r="Z311" i="58"/>
  <c r="AE311" i="58"/>
  <c r="Z312" i="58"/>
  <c r="AE312" i="58"/>
  <c r="Z313" i="58"/>
  <c r="AE313" i="58"/>
  <c r="Z314" i="58"/>
  <c r="AE314" i="58"/>
  <c r="Z315" i="58"/>
  <c r="AE315" i="58"/>
  <c r="Z316" i="58"/>
  <c r="AE316" i="58"/>
  <c r="Z317" i="58"/>
  <c r="AE317" i="58"/>
  <c r="Z318" i="58"/>
  <c r="AE318" i="58"/>
  <c r="Z319" i="58"/>
  <c r="AE319" i="58"/>
  <c r="Z320" i="58"/>
  <c r="AE320" i="58"/>
  <c r="Z321" i="58"/>
  <c r="AE321" i="58"/>
  <c r="Z322" i="58"/>
  <c r="AE322" i="58"/>
  <c r="Z323" i="58"/>
  <c r="AE323" i="58"/>
  <c r="Z324" i="58"/>
  <c r="AE324" i="58"/>
  <c r="Z325" i="58"/>
  <c r="AE325" i="58"/>
  <c r="Z326" i="58"/>
  <c r="AE326" i="58"/>
  <c r="Z327" i="58"/>
  <c r="AE327" i="58"/>
  <c r="Z328" i="58"/>
  <c r="AE328" i="58"/>
  <c r="Z329" i="58"/>
  <c r="AE329" i="58"/>
  <c r="Z330" i="58"/>
  <c r="AE330" i="58"/>
  <c r="Z331" i="58"/>
  <c r="AE331" i="58"/>
  <c r="Z332" i="58"/>
  <c r="AE332" i="58"/>
  <c r="Z333" i="58"/>
  <c r="AE333" i="58"/>
  <c r="Z334" i="58"/>
  <c r="AE334" i="58"/>
  <c r="Z335" i="58"/>
  <c r="AE335" i="58"/>
  <c r="Z336" i="58"/>
  <c r="AE336" i="58"/>
  <c r="Z337" i="58"/>
  <c r="AE337" i="58"/>
  <c r="Z338" i="58"/>
  <c r="AE338" i="58"/>
  <c r="Z339" i="58"/>
  <c r="AE339" i="58"/>
  <c r="Z340" i="58"/>
  <c r="AE340" i="58"/>
  <c r="Z341" i="58"/>
  <c r="AE341" i="58"/>
  <c r="Z342" i="58"/>
  <c r="AE342" i="58"/>
  <c r="Z343" i="58"/>
  <c r="AE343" i="58"/>
  <c r="Z344" i="58"/>
  <c r="AE344" i="58"/>
  <c r="Z345" i="58"/>
  <c r="AE345" i="58"/>
  <c r="Z346" i="58"/>
  <c r="AE346" i="58"/>
  <c r="Z347" i="58"/>
  <c r="AE347" i="58"/>
  <c r="Z348" i="58"/>
  <c r="AE348" i="58"/>
  <c r="Z349" i="58"/>
  <c r="AE349" i="58"/>
  <c r="Z350" i="58"/>
  <c r="AE350" i="58"/>
  <c r="Z351" i="58"/>
  <c r="AE351" i="58"/>
  <c r="Y352" i="58"/>
  <c r="AD352" i="58"/>
  <c r="Y353" i="58"/>
  <c r="AD353" i="58"/>
  <c r="Y354" i="58"/>
  <c r="AD354" i="58"/>
  <c r="Y355" i="58"/>
  <c r="AD355" i="58"/>
  <c r="Y356" i="58"/>
  <c r="AD356" i="58"/>
  <c r="Y357" i="58"/>
  <c r="AD357" i="58"/>
  <c r="Y358" i="58"/>
  <c r="AD358" i="58"/>
  <c r="Y359" i="58"/>
  <c r="AD359" i="58"/>
  <c r="Y360" i="58"/>
  <c r="AD360" i="58"/>
  <c r="Y361" i="58"/>
  <c r="AD361" i="58"/>
  <c r="Y362" i="58"/>
  <c r="AD362" i="58"/>
  <c r="Y363" i="58"/>
  <c r="AD363" i="58"/>
  <c r="Y364" i="58"/>
  <c r="AD364" i="58"/>
  <c r="Y365" i="58"/>
  <c r="AD365" i="58"/>
  <c r="Y366" i="58"/>
  <c r="AD366" i="58"/>
  <c r="Y367" i="58"/>
  <c r="AD367" i="58"/>
  <c r="Y368" i="58"/>
  <c r="AD368" i="58"/>
  <c r="Y369" i="58"/>
  <c r="AD369" i="58"/>
  <c r="Y370" i="58"/>
  <c r="AD370" i="58"/>
  <c r="Y371" i="58"/>
  <c r="AD371" i="58"/>
  <c r="Y372" i="58"/>
  <c r="AD372" i="58"/>
  <c r="Y373" i="58"/>
  <c r="AD373" i="58"/>
  <c r="Y374" i="58"/>
  <c r="AD374" i="58"/>
  <c r="Y375" i="58"/>
  <c r="AD375" i="58"/>
  <c r="Y376" i="58"/>
  <c r="AD376" i="58"/>
  <c r="Y377" i="58"/>
  <c r="AD377" i="58"/>
  <c r="Z378" i="58"/>
  <c r="AE378" i="58"/>
  <c r="Z379" i="58"/>
  <c r="AE379" i="58"/>
  <c r="Z380" i="58"/>
  <c r="AE380" i="58"/>
  <c r="Z381" i="58"/>
  <c r="AE381" i="58"/>
  <c r="Z382" i="58"/>
  <c r="AE382" i="58"/>
  <c r="Z383" i="58"/>
  <c r="AE383" i="58"/>
  <c r="Z384" i="58"/>
  <c r="AE384" i="58"/>
  <c r="Z385" i="58"/>
  <c r="AE385" i="58"/>
  <c r="Z386" i="58"/>
  <c r="AE386" i="58"/>
  <c r="Z387" i="58"/>
  <c r="AE387" i="58"/>
  <c r="Z388" i="58"/>
  <c r="AE388" i="58"/>
  <c r="Z389" i="58"/>
  <c r="AE389" i="58"/>
  <c r="Z390" i="58"/>
  <c r="AE390" i="58"/>
  <c r="Z391" i="58"/>
  <c r="AE391" i="58"/>
  <c r="Z392" i="58"/>
  <c r="AE392" i="58"/>
  <c r="Z393" i="58"/>
  <c r="AE393" i="58"/>
  <c r="Z394" i="58"/>
  <c r="AE394" i="58"/>
  <c r="Z395" i="58"/>
  <c r="AE395" i="58"/>
  <c r="Z396" i="58"/>
  <c r="AE396" i="58"/>
  <c r="Z397" i="58"/>
  <c r="AE397" i="58"/>
  <c r="Z398" i="58"/>
  <c r="AE398" i="58"/>
  <c r="Z399" i="58"/>
  <c r="AE399" i="58"/>
  <c r="Z400" i="58"/>
  <c r="AE400" i="58"/>
  <c r="Z401" i="58"/>
  <c r="AE401" i="58"/>
  <c r="Z402" i="58"/>
  <c r="AE402" i="58"/>
  <c r="Z403" i="58"/>
  <c r="AE403" i="58"/>
  <c r="Z404" i="58"/>
  <c r="AE404" i="58"/>
  <c r="Z405" i="58"/>
  <c r="AE405" i="58"/>
  <c r="Z406" i="58"/>
  <c r="AE406" i="58"/>
  <c r="Z407" i="58"/>
  <c r="AE407" i="58"/>
  <c r="Z408" i="58"/>
  <c r="AE408" i="58"/>
  <c r="Z409" i="58"/>
  <c r="AE409" i="58"/>
  <c r="Z410" i="58"/>
  <c r="AE410" i="58"/>
  <c r="Z411" i="58"/>
  <c r="AE411" i="58"/>
  <c r="Z412" i="58"/>
  <c r="AE412" i="58"/>
  <c r="Z413" i="58"/>
  <c r="AE413" i="58"/>
  <c r="Z414" i="58"/>
  <c r="AE414" i="58"/>
  <c r="Z415" i="58"/>
  <c r="AE415" i="58"/>
  <c r="Z416" i="58"/>
  <c r="AE416" i="58"/>
  <c r="Z417" i="58"/>
  <c r="AE417" i="58"/>
  <c r="Z418" i="58"/>
  <c r="AE418" i="58"/>
  <c r="Z419" i="58"/>
  <c r="AE419" i="58"/>
  <c r="Z420" i="58"/>
  <c r="AE420" i="58"/>
  <c r="Z421" i="58"/>
  <c r="AE421" i="58"/>
  <c r="Z422" i="58"/>
  <c r="AE422" i="58"/>
  <c r="Z423" i="58"/>
  <c r="AE423" i="58"/>
  <c r="Z424" i="58"/>
  <c r="AE424" i="58"/>
  <c r="Z425" i="58"/>
  <c r="AE425" i="58"/>
  <c r="Z426" i="58"/>
  <c r="AE426" i="58"/>
  <c r="Z427" i="58"/>
  <c r="AE427" i="58"/>
  <c r="Y428" i="58"/>
  <c r="AD428" i="58"/>
  <c r="Y429" i="58"/>
  <c r="AD429" i="58"/>
  <c r="Y430" i="58"/>
  <c r="AD430" i="58"/>
  <c r="Y431" i="58"/>
  <c r="AD431" i="58"/>
  <c r="Y432" i="58"/>
  <c r="AD432" i="58"/>
  <c r="Y433" i="58"/>
  <c r="AD433" i="58"/>
  <c r="Y434" i="58"/>
  <c r="AD434" i="58"/>
  <c r="Y435" i="58"/>
  <c r="AD435" i="58"/>
  <c r="Y436" i="58"/>
  <c r="AD436" i="58"/>
  <c r="Y437" i="58"/>
  <c r="AD437" i="58"/>
  <c r="Y438" i="58"/>
  <c r="AD438" i="58"/>
  <c r="Y439" i="58"/>
  <c r="AD439" i="58"/>
  <c r="Y440" i="58"/>
  <c r="AD440" i="58"/>
  <c r="Y441" i="58"/>
  <c r="AD441" i="58"/>
  <c r="Y442" i="58"/>
  <c r="AD442" i="58"/>
  <c r="Y443" i="58"/>
  <c r="AD443" i="58"/>
  <c r="Y444" i="58"/>
  <c r="AD444" i="58"/>
  <c r="Y445" i="58"/>
  <c r="AD445" i="58"/>
  <c r="Y446" i="58"/>
  <c r="AD446" i="58"/>
  <c r="Y447" i="58"/>
  <c r="AD447" i="58"/>
  <c r="Y448" i="58"/>
  <c r="AD448" i="58"/>
  <c r="Y449" i="58"/>
  <c r="AD449" i="58"/>
  <c r="Y450" i="58"/>
  <c r="AD450" i="58"/>
  <c r="Y451" i="58"/>
  <c r="AD451" i="58"/>
  <c r="Y452" i="58"/>
  <c r="AD452" i="58"/>
  <c r="Y453" i="58"/>
  <c r="AD453" i="58"/>
  <c r="Y454" i="58"/>
  <c r="AD454" i="58"/>
  <c r="Y455" i="58"/>
  <c r="AD455" i="58"/>
  <c r="Y456" i="58"/>
  <c r="AD456" i="58"/>
  <c r="Z457" i="58"/>
  <c r="AE457" i="58"/>
  <c r="Z458" i="58"/>
  <c r="AE458" i="58"/>
  <c r="Z459" i="58"/>
  <c r="AE459" i="58"/>
  <c r="Z460" i="58"/>
  <c r="AE460" i="58"/>
  <c r="Z461" i="58"/>
  <c r="AE461" i="58"/>
  <c r="Z462" i="58"/>
  <c r="AE462" i="58"/>
  <c r="Z463" i="58"/>
  <c r="AE463" i="58"/>
  <c r="Z464" i="58"/>
  <c r="AE464" i="58"/>
  <c r="Z465" i="58"/>
  <c r="AE465" i="58"/>
  <c r="Z466" i="58"/>
  <c r="AE466" i="58"/>
  <c r="Z467" i="58"/>
  <c r="AE467" i="58"/>
  <c r="Z468" i="58"/>
  <c r="AE468" i="58"/>
  <c r="Z469" i="58"/>
  <c r="AE469" i="58"/>
  <c r="Z470" i="58"/>
  <c r="AE470" i="58"/>
  <c r="Z471" i="58"/>
  <c r="AE471" i="58"/>
  <c r="Z472" i="58"/>
  <c r="AE472" i="58"/>
  <c r="Z473" i="58"/>
  <c r="AE473" i="58"/>
  <c r="Z474" i="58"/>
  <c r="AE474" i="58"/>
  <c r="Z475" i="58"/>
  <c r="AE475" i="58"/>
  <c r="Z476" i="58"/>
  <c r="AE476" i="58"/>
  <c r="Z477" i="58"/>
  <c r="AE477" i="58"/>
  <c r="Z478" i="58"/>
  <c r="AE478" i="58"/>
  <c r="Z479" i="58"/>
  <c r="AE479" i="58"/>
  <c r="Z480" i="58"/>
  <c r="AE480" i="58"/>
  <c r="Z481" i="58"/>
  <c r="AE481" i="58"/>
  <c r="Z482" i="58"/>
  <c r="AE482" i="58"/>
  <c r="Z483" i="58"/>
  <c r="AE483" i="58"/>
  <c r="Z484" i="58"/>
  <c r="AE484" i="58"/>
  <c r="Z485" i="58"/>
  <c r="AE485" i="58"/>
  <c r="Z486" i="58"/>
  <c r="AE486" i="58"/>
  <c r="Z487" i="58"/>
  <c r="AE487" i="58"/>
  <c r="Z488" i="58"/>
  <c r="AE488" i="58"/>
  <c r="Z489" i="58"/>
  <c r="AE489" i="58"/>
  <c r="Z490" i="58"/>
  <c r="AE490" i="58"/>
  <c r="Z491" i="58"/>
  <c r="AE491" i="58"/>
  <c r="Z492" i="58"/>
  <c r="AE492" i="58"/>
  <c r="Z493" i="58"/>
  <c r="AE493" i="58"/>
  <c r="Y494" i="58"/>
  <c r="AD494" i="58"/>
  <c r="Y495" i="58"/>
  <c r="AD495" i="58"/>
  <c r="Y496" i="58"/>
  <c r="AD496" i="58"/>
  <c r="Y497" i="58"/>
  <c r="AD497" i="58"/>
  <c r="Y498" i="58"/>
  <c r="AD498" i="58"/>
  <c r="Y499" i="58"/>
  <c r="AD499" i="58"/>
  <c r="Y500" i="58"/>
  <c r="AD500" i="58"/>
  <c r="Y501" i="58"/>
  <c r="AD501" i="58"/>
  <c r="Y502" i="58"/>
  <c r="AD502" i="58"/>
  <c r="Y503" i="58"/>
  <c r="AD503" i="58"/>
  <c r="Y504" i="58"/>
  <c r="AD504" i="58"/>
  <c r="Y505" i="58"/>
  <c r="AD505" i="58"/>
  <c r="Y506" i="58"/>
  <c r="AD506" i="58"/>
  <c r="Y507" i="58"/>
  <c r="AD507" i="58"/>
  <c r="Z508" i="58"/>
  <c r="AE508" i="58"/>
  <c r="Z509" i="58"/>
  <c r="AE509" i="58"/>
  <c r="Z510" i="58"/>
  <c r="AE510" i="58"/>
  <c r="Z511" i="58"/>
  <c r="AE511" i="58"/>
  <c r="Z512" i="58"/>
  <c r="AE512" i="58"/>
  <c r="Z513" i="58"/>
  <c r="AE513" i="58"/>
  <c r="Z514" i="58"/>
  <c r="AE514" i="58"/>
  <c r="Z515" i="58"/>
  <c r="AE515" i="58"/>
  <c r="Z516" i="58"/>
  <c r="AE516" i="58"/>
  <c r="Z517" i="58"/>
  <c r="AE517" i="58"/>
  <c r="Z518" i="58"/>
  <c r="AE518" i="58"/>
  <c r="Z519" i="58"/>
  <c r="AE519" i="58"/>
  <c r="Z520" i="58"/>
  <c r="AE520" i="58"/>
  <c r="Z521" i="58"/>
  <c r="AE521" i="58"/>
  <c r="Z522" i="58"/>
  <c r="AE522" i="58"/>
  <c r="Z523" i="58"/>
  <c r="AE523" i="58"/>
  <c r="Z524" i="58"/>
  <c r="AE524" i="58"/>
  <c r="Z525" i="58"/>
  <c r="AE525" i="58"/>
  <c r="Z526" i="58"/>
  <c r="AE526" i="58"/>
  <c r="Z527" i="58"/>
  <c r="AE527" i="58"/>
  <c r="Z528" i="58"/>
  <c r="AE528" i="58"/>
  <c r="Z529" i="58"/>
  <c r="AE529" i="58"/>
  <c r="Z530" i="58"/>
  <c r="AE530" i="58"/>
  <c r="Z531" i="58"/>
  <c r="AE531" i="58"/>
  <c r="Z532" i="58"/>
  <c r="AE532" i="58"/>
  <c r="Z533" i="58"/>
  <c r="AE533" i="58"/>
  <c r="Z534" i="58"/>
  <c r="AE534" i="58"/>
  <c r="Z535" i="58"/>
  <c r="AE535" i="58"/>
  <c r="Z536" i="58"/>
  <c r="AE536" i="58"/>
  <c r="Z537" i="58"/>
  <c r="AE537" i="58"/>
  <c r="Z538" i="58"/>
  <c r="AE538" i="58"/>
  <c r="Z539" i="58"/>
  <c r="AE539" i="58"/>
  <c r="Z540" i="58"/>
  <c r="AE540" i="58"/>
  <c r="Z541" i="58"/>
  <c r="AE541" i="58"/>
  <c r="Z542" i="58"/>
  <c r="AE542" i="58"/>
  <c r="Z543" i="58"/>
  <c r="AE543" i="58"/>
  <c r="Z544" i="58"/>
  <c r="AE544" i="58"/>
  <c r="Z545" i="58"/>
  <c r="AE545" i="58"/>
  <c r="Z546" i="58"/>
  <c r="AE546" i="58"/>
  <c r="Z547" i="58"/>
  <c r="AE547" i="58"/>
  <c r="Z548" i="58"/>
  <c r="AE548" i="58"/>
  <c r="Z549" i="58"/>
  <c r="AE549" i="58"/>
  <c r="Z550" i="58"/>
  <c r="AE550" i="58"/>
  <c r="Z551" i="58"/>
  <c r="AE551" i="58"/>
  <c r="Z552" i="58"/>
  <c r="AE552" i="58"/>
  <c r="Z553" i="58"/>
  <c r="AE553" i="58"/>
  <c r="Z554" i="58"/>
  <c r="AE554" i="58"/>
  <c r="Z555" i="58"/>
  <c r="AE555" i="58"/>
  <c r="Z556" i="58"/>
  <c r="AE556" i="58"/>
  <c r="Z557" i="58"/>
  <c r="AE557" i="58"/>
  <c r="Z558" i="58"/>
  <c r="AE558" i="58"/>
  <c r="Z559" i="58"/>
  <c r="AE559" i="58"/>
  <c r="Z560" i="58"/>
  <c r="AE560" i="58"/>
  <c r="Z561" i="58"/>
  <c r="AE561" i="58"/>
  <c r="Z562" i="58"/>
  <c r="AE562" i="58"/>
  <c r="Z563" i="58"/>
  <c r="AE563" i="58"/>
  <c r="Z564" i="58"/>
  <c r="AE564" i="58"/>
  <c r="Z565" i="58"/>
  <c r="AE565" i="58"/>
  <c r="Z566" i="58"/>
  <c r="AE566" i="58"/>
  <c r="Z567" i="58"/>
  <c r="AE567" i="58"/>
  <c r="Z568" i="58"/>
  <c r="AE568" i="58"/>
  <c r="Z569" i="58"/>
  <c r="AE569" i="58"/>
  <c r="Z570" i="58"/>
  <c r="AE570" i="58"/>
  <c r="Z571" i="58"/>
  <c r="AE571" i="58"/>
  <c r="Z572" i="58"/>
  <c r="AE572" i="58"/>
  <c r="Z573" i="58"/>
  <c r="AE573" i="58"/>
  <c r="Z574" i="58"/>
  <c r="AE574" i="58"/>
  <c r="Z575" i="58"/>
  <c r="AE575" i="58"/>
  <c r="Z576" i="58"/>
  <c r="AE576" i="58"/>
  <c r="Z577" i="58"/>
  <c r="AE577" i="58"/>
  <c r="Z578" i="58"/>
  <c r="AE578" i="58"/>
  <c r="Z579" i="58"/>
  <c r="AE579" i="58"/>
  <c r="Z580" i="58"/>
  <c r="AE580" i="58"/>
  <c r="Z581" i="58"/>
  <c r="AE581" i="58"/>
  <c r="Z582" i="58"/>
  <c r="AE582" i="58"/>
  <c r="Z583" i="58"/>
  <c r="AE583" i="58"/>
  <c r="Z584" i="58"/>
  <c r="AE584" i="58"/>
  <c r="Z585" i="58"/>
  <c r="AE585" i="58"/>
  <c r="Z586" i="58"/>
  <c r="AE586" i="58"/>
  <c r="Z587" i="58"/>
  <c r="AE587" i="58"/>
  <c r="Z588" i="58"/>
  <c r="AE588" i="58"/>
  <c r="Z589" i="58"/>
  <c r="AE589" i="58"/>
  <c r="Z590" i="58"/>
  <c r="AE590" i="58"/>
  <c r="Z591" i="58"/>
  <c r="AE591" i="58"/>
  <c r="Z592" i="58"/>
  <c r="AE592" i="58"/>
  <c r="Z593" i="58"/>
  <c r="AE593" i="58"/>
  <c r="Z594" i="58"/>
  <c r="AE594" i="58"/>
  <c r="Z595" i="58"/>
  <c r="AE595" i="58"/>
  <c r="Z596" i="58"/>
  <c r="AE596" i="58"/>
  <c r="Z597" i="58"/>
  <c r="AE597" i="58"/>
  <c r="Z598" i="58"/>
  <c r="AE598" i="58"/>
  <c r="Z599" i="58"/>
  <c r="AE599" i="58"/>
  <c r="Z600" i="58"/>
  <c r="AE600" i="58"/>
  <c r="Z601" i="58"/>
  <c r="AE601" i="58"/>
  <c r="Z602" i="58"/>
  <c r="AE602" i="58"/>
  <c r="Z603" i="58"/>
  <c r="AE603" i="58"/>
  <c r="Z604" i="58"/>
  <c r="AE604" i="58"/>
  <c r="Z605" i="58"/>
  <c r="AE605" i="58"/>
  <c r="Z606" i="58"/>
  <c r="AE606" i="58"/>
  <c r="Z607" i="58"/>
  <c r="AE607" i="58"/>
  <c r="Z608" i="58"/>
  <c r="AE608" i="58"/>
  <c r="Z609" i="58"/>
  <c r="AE609" i="58"/>
  <c r="Z610" i="58"/>
  <c r="AE610" i="58"/>
  <c r="Z611" i="58"/>
  <c r="AE611" i="58"/>
  <c r="Z612" i="58"/>
  <c r="AE612" i="58"/>
  <c r="Z613" i="58"/>
  <c r="AE613" i="58"/>
  <c r="Z614" i="58"/>
  <c r="AE614" i="58"/>
  <c r="Z615" i="58"/>
  <c r="AE615" i="58"/>
  <c r="Z616" i="58"/>
  <c r="AE616" i="58"/>
  <c r="Z617" i="58"/>
  <c r="AE617" i="58"/>
  <c r="Z618" i="58"/>
  <c r="AE618" i="58"/>
  <c r="Z619" i="58"/>
  <c r="AE619" i="58"/>
  <c r="Z620" i="58"/>
  <c r="AE620" i="58"/>
  <c r="Z621" i="58"/>
  <c r="AE621" i="58"/>
  <c r="Z622" i="58"/>
  <c r="AE622" i="58"/>
  <c r="Z623" i="58"/>
  <c r="AE623" i="58"/>
  <c r="Z624" i="58"/>
  <c r="AE624" i="58"/>
  <c r="Z625" i="58"/>
  <c r="AE625" i="58"/>
  <c r="Z626" i="58"/>
  <c r="AE626" i="58"/>
  <c r="Z627" i="58"/>
  <c r="AE627" i="58"/>
  <c r="Z628" i="58"/>
  <c r="AE628" i="58"/>
  <c r="Z629" i="58"/>
  <c r="AE629" i="58"/>
  <c r="Z630" i="58"/>
  <c r="AE630" i="58"/>
  <c r="Z631" i="58"/>
  <c r="AE631" i="58"/>
  <c r="Z632" i="58"/>
  <c r="AE632" i="58"/>
  <c r="Z633" i="58"/>
  <c r="AE633" i="58"/>
  <c r="Z634" i="58"/>
  <c r="AE634" i="58"/>
  <c r="Z635" i="58"/>
  <c r="AE635" i="58"/>
  <c r="Z636" i="58"/>
  <c r="AE636" i="58"/>
  <c r="Z637" i="58"/>
  <c r="AE637" i="58"/>
  <c r="Z638" i="58"/>
  <c r="AE638" i="58"/>
  <c r="Z639" i="58"/>
  <c r="AE639" i="58"/>
  <c r="Z640" i="58"/>
  <c r="AE640" i="58"/>
  <c r="Z641" i="58"/>
  <c r="AE641" i="58"/>
  <c r="Z642" i="58"/>
  <c r="AE642" i="58"/>
  <c r="Z643" i="58"/>
  <c r="AE643" i="58"/>
  <c r="Z644" i="58"/>
  <c r="AE644" i="58"/>
  <c r="Z645" i="58"/>
  <c r="AE645" i="58"/>
  <c r="Z646" i="58"/>
  <c r="AE646" i="58"/>
  <c r="Z647" i="58"/>
  <c r="AE647" i="58"/>
  <c r="Z648" i="58"/>
  <c r="AE648" i="58"/>
  <c r="Z649" i="58"/>
  <c r="AE649" i="58"/>
  <c r="Z650" i="58"/>
  <c r="AE650" i="58"/>
  <c r="Z651" i="58"/>
  <c r="AE651" i="58"/>
  <c r="Z652" i="58"/>
  <c r="AE652" i="58"/>
  <c r="Z653" i="58"/>
  <c r="AE653" i="58"/>
  <c r="Z654" i="58"/>
  <c r="AE654" i="58"/>
  <c r="Z655" i="58"/>
  <c r="AE655" i="58"/>
  <c r="Z656" i="58"/>
  <c r="AE656" i="58"/>
  <c r="Z657" i="58"/>
  <c r="AE657" i="58"/>
  <c r="Z658" i="58"/>
  <c r="AE658" i="58"/>
  <c r="Z659" i="58"/>
  <c r="AE659" i="58"/>
  <c r="Z660" i="58"/>
  <c r="AE660" i="58"/>
  <c r="Z661" i="58"/>
  <c r="AE661" i="58"/>
  <c r="Z662" i="58"/>
  <c r="AE662" i="58"/>
  <c r="Z663" i="58"/>
  <c r="AE663" i="58"/>
  <c r="Z664" i="58"/>
  <c r="AE664" i="58"/>
  <c r="Z665" i="58"/>
  <c r="AE665" i="58"/>
  <c r="Z666" i="58"/>
  <c r="AE666" i="58"/>
  <c r="Z667" i="58"/>
  <c r="AE667" i="58"/>
  <c r="Z668" i="58"/>
  <c r="AE668" i="58"/>
  <c r="Z669" i="58"/>
  <c r="AE669" i="58"/>
  <c r="Z670" i="58"/>
  <c r="AE670" i="58"/>
  <c r="Z671" i="58"/>
  <c r="AE671" i="58"/>
  <c r="Z672" i="58"/>
  <c r="AE672" i="58"/>
  <c r="Z673" i="58"/>
  <c r="AE673" i="58"/>
  <c r="Z674" i="58"/>
  <c r="AE674" i="58"/>
  <c r="Z675" i="58"/>
  <c r="AE675" i="58"/>
  <c r="Z676" i="58"/>
  <c r="AE676" i="58"/>
  <c r="Z677" i="58"/>
  <c r="AE677" i="58"/>
  <c r="Z678" i="58"/>
  <c r="AE678" i="58"/>
  <c r="Z679" i="58"/>
  <c r="AE679" i="58"/>
  <c r="Z680" i="58"/>
  <c r="AE680" i="58"/>
  <c r="Z681" i="58"/>
  <c r="AE681" i="58"/>
  <c r="Z682" i="58"/>
  <c r="AE682" i="58"/>
  <c r="Z683" i="58"/>
  <c r="AE683" i="58"/>
  <c r="Z684" i="58"/>
  <c r="AE684" i="58"/>
  <c r="Z685" i="58"/>
  <c r="AE685" i="58"/>
  <c r="Z686" i="58"/>
  <c r="AE686" i="58"/>
  <c r="Z687" i="58"/>
  <c r="AE687" i="58"/>
  <c r="Z688" i="58"/>
  <c r="AE688" i="58"/>
  <c r="Z689" i="58"/>
  <c r="AE689" i="58"/>
  <c r="Z690" i="58"/>
  <c r="AE690" i="58"/>
  <c r="Z691" i="58"/>
  <c r="AE691" i="58"/>
  <c r="Z692" i="58"/>
  <c r="AE692" i="58"/>
  <c r="Z693" i="58"/>
  <c r="AE693" i="58"/>
  <c r="Z694" i="58"/>
  <c r="AE694" i="58"/>
  <c r="Z695" i="58"/>
  <c r="AE695" i="58"/>
  <c r="Z696" i="58"/>
  <c r="AE696" i="58"/>
  <c r="Z697" i="58"/>
  <c r="AE697" i="58"/>
  <c r="Z698" i="58"/>
  <c r="AE698" i="58"/>
  <c r="Z699" i="58"/>
  <c r="AE699" i="58"/>
  <c r="Z700" i="58"/>
  <c r="AE700" i="58"/>
  <c r="Z701" i="58"/>
  <c r="AE701" i="58"/>
  <c r="Z702" i="58"/>
  <c r="AE702" i="58"/>
  <c r="Z703" i="58"/>
  <c r="AE703" i="58"/>
  <c r="Z704" i="58"/>
  <c r="AE704" i="58"/>
  <c r="Z705" i="58"/>
  <c r="AE705" i="58"/>
  <c r="Z706" i="58"/>
  <c r="AE706" i="58"/>
  <c r="Z707" i="58"/>
  <c r="AE707" i="58"/>
  <c r="Z708" i="58"/>
  <c r="AE708" i="58"/>
  <c r="Z709" i="58"/>
  <c r="AE709" i="58"/>
  <c r="Z710" i="58"/>
  <c r="AE710" i="58"/>
  <c r="Z711" i="58"/>
  <c r="AE711" i="58"/>
  <c r="Z712" i="58"/>
  <c r="AE712" i="58"/>
  <c r="Z713" i="58"/>
  <c r="AE713" i="58"/>
  <c r="Z714" i="58"/>
  <c r="AE714" i="58"/>
  <c r="Z715" i="58"/>
  <c r="AE715" i="58"/>
  <c r="Z716" i="58"/>
  <c r="AE716" i="58"/>
  <c r="Z717" i="58"/>
  <c r="AE717" i="58"/>
  <c r="Z718" i="58"/>
  <c r="AE718" i="58"/>
  <c r="Z719" i="58"/>
  <c r="AE719" i="58"/>
  <c r="Z720" i="58"/>
  <c r="AE720" i="58"/>
  <c r="Z721" i="58"/>
  <c r="AE721" i="58"/>
  <c r="Z722" i="58"/>
  <c r="AE722" i="58"/>
  <c r="Z723" i="58"/>
  <c r="AE723" i="58"/>
  <c r="Z724" i="58"/>
  <c r="AE724" i="58"/>
  <c r="Z725" i="58"/>
  <c r="AE725" i="58"/>
  <c r="Z726" i="58"/>
  <c r="AE726" i="58"/>
  <c r="Z727" i="58"/>
  <c r="AE727" i="58"/>
  <c r="Z728" i="58"/>
  <c r="AE728" i="58"/>
  <c r="Z729" i="58"/>
  <c r="AE729" i="58"/>
  <c r="Z730" i="58"/>
  <c r="AE730" i="58"/>
  <c r="Z731" i="58"/>
  <c r="AE731" i="58"/>
  <c r="Z732" i="58"/>
  <c r="AE732" i="58"/>
  <c r="Z733" i="58"/>
  <c r="AE733" i="58"/>
  <c r="Z734" i="58"/>
  <c r="AE734" i="58"/>
  <c r="Z735" i="58"/>
  <c r="AE735" i="58"/>
  <c r="Z736" i="58"/>
  <c r="AE736" i="58"/>
  <c r="Z737" i="58"/>
  <c r="AE737" i="58"/>
  <c r="Z738" i="58"/>
  <c r="AE738" i="58"/>
  <c r="Z739" i="58"/>
  <c r="AE739" i="58"/>
  <c r="Z740" i="58"/>
  <c r="AE740" i="58"/>
  <c r="Z741" i="58"/>
  <c r="AE741" i="58"/>
  <c r="Z742" i="58"/>
  <c r="AE742" i="58"/>
  <c r="Z743" i="58"/>
  <c r="AE743" i="58"/>
  <c r="Z744" i="58"/>
  <c r="AE744" i="58"/>
  <c r="Z745" i="58"/>
  <c r="AE745" i="58"/>
  <c r="Z746" i="58"/>
  <c r="AE746" i="58"/>
  <c r="Z747" i="58"/>
  <c r="AE747" i="58"/>
  <c r="Z748" i="58"/>
  <c r="AE748" i="58"/>
  <c r="Z749" i="58"/>
  <c r="AE749" i="58"/>
  <c r="Z750" i="58"/>
  <c r="AE750" i="58"/>
  <c r="Z751" i="58"/>
  <c r="AE751" i="58"/>
  <c r="Z752" i="58"/>
  <c r="AE752" i="58"/>
  <c r="Z753" i="58"/>
  <c r="AE753" i="58"/>
  <c r="Z754" i="58"/>
  <c r="AE754" i="58"/>
  <c r="Z755" i="58"/>
  <c r="AE755" i="58"/>
  <c r="Z756" i="58"/>
  <c r="AE756" i="58"/>
  <c r="Z757" i="58"/>
  <c r="AE757" i="58"/>
  <c r="Z758" i="58"/>
  <c r="AE758" i="58"/>
  <c r="Z759" i="58"/>
  <c r="AE759" i="58"/>
  <c r="Z760" i="58"/>
  <c r="AE760" i="58"/>
  <c r="Z761" i="58"/>
  <c r="AE761" i="58"/>
  <c r="Z762" i="58"/>
  <c r="AE762" i="58"/>
  <c r="Z763" i="58"/>
  <c r="AE763" i="58"/>
  <c r="Z764" i="58"/>
  <c r="AE764" i="58"/>
  <c r="Z765" i="58"/>
  <c r="AE765" i="58"/>
  <c r="Z766" i="58"/>
  <c r="AE766" i="58"/>
  <c r="Z767" i="58"/>
  <c r="AE767" i="58"/>
  <c r="Z768" i="58"/>
  <c r="AE768" i="58"/>
  <c r="Z769" i="58"/>
  <c r="AE769" i="58"/>
  <c r="Z770" i="58"/>
  <c r="AE770" i="58"/>
  <c r="Z771" i="58"/>
  <c r="AE771" i="58"/>
  <c r="Z772" i="58"/>
  <c r="AE772" i="58"/>
  <c r="Z773" i="58"/>
  <c r="AE773" i="58"/>
  <c r="Z774" i="58"/>
  <c r="AE774" i="58"/>
  <c r="Z775" i="58"/>
  <c r="AE775" i="58"/>
  <c r="Z776" i="58"/>
  <c r="AE776" i="58"/>
  <c r="Z777" i="58"/>
  <c r="AE777" i="58"/>
  <c r="Z778" i="58"/>
  <c r="AE778" i="58"/>
  <c r="Z779" i="58"/>
  <c r="AE779" i="58"/>
  <c r="Z780" i="58"/>
  <c r="AE780" i="58"/>
  <c r="Z781" i="58"/>
  <c r="AE781" i="58"/>
  <c r="Z782" i="58"/>
  <c r="AE782" i="58"/>
  <c r="Z783" i="58"/>
  <c r="AE783" i="58"/>
  <c r="Z784" i="58"/>
  <c r="AE784" i="58"/>
  <c r="Z785" i="58"/>
  <c r="AE785" i="58"/>
  <c r="Z786" i="58"/>
  <c r="AE786" i="58"/>
  <c r="Z787" i="58"/>
  <c r="AE787" i="58"/>
  <c r="Z788" i="58"/>
  <c r="AE788" i="58"/>
  <c r="Z789" i="58"/>
  <c r="AE789" i="58"/>
  <c r="Z790" i="58"/>
  <c r="AE790" i="58"/>
  <c r="Z791" i="58"/>
  <c r="AE791" i="58"/>
  <c r="Z792" i="58"/>
  <c r="AE792" i="58"/>
  <c r="Z793" i="58"/>
  <c r="AE793" i="58"/>
  <c r="Z794" i="58"/>
  <c r="AE794" i="58"/>
  <c r="Z795" i="58"/>
  <c r="AE795" i="58"/>
  <c r="Z796" i="58"/>
  <c r="AE796" i="58"/>
  <c r="Z797" i="58"/>
  <c r="AE797" i="58"/>
  <c r="Z798" i="58"/>
  <c r="AE798" i="58"/>
  <c r="Z799" i="58"/>
  <c r="AE799" i="58"/>
  <c r="Z800" i="58"/>
  <c r="AE800" i="58"/>
  <c r="Z801" i="58"/>
  <c r="AE801" i="58"/>
  <c r="Z802" i="58"/>
  <c r="AE802" i="58"/>
  <c r="Z803" i="58"/>
  <c r="AE803" i="58"/>
  <c r="Z804" i="58"/>
  <c r="AE804" i="58"/>
  <c r="Z805" i="58"/>
  <c r="AE805" i="58"/>
  <c r="Z806" i="58"/>
  <c r="AE806" i="58"/>
  <c r="Z807" i="58"/>
  <c r="AE807" i="58"/>
  <c r="Z808" i="58"/>
  <c r="AE808" i="58"/>
  <c r="Z809" i="58"/>
  <c r="AE809" i="58"/>
  <c r="Z810" i="58"/>
  <c r="AE810" i="58"/>
  <c r="Z811" i="58"/>
  <c r="AE811" i="58"/>
  <c r="Z812" i="58"/>
  <c r="AE812" i="58"/>
  <c r="Z813" i="58"/>
  <c r="AE813" i="58"/>
  <c r="Z814" i="58"/>
  <c r="AE814" i="58"/>
  <c r="Z815" i="58"/>
  <c r="AE815" i="58"/>
  <c r="Z816" i="58"/>
  <c r="AE816" i="58"/>
  <c r="Z817" i="58"/>
  <c r="AE817" i="58"/>
  <c r="Z818" i="58"/>
  <c r="AE818" i="58"/>
  <c r="Z819" i="58"/>
  <c r="AE819" i="58"/>
  <c r="Z820" i="58"/>
  <c r="AE820" i="58"/>
  <c r="Z821" i="58"/>
  <c r="AE821" i="58"/>
  <c r="Z822" i="58"/>
  <c r="AE822" i="58"/>
  <c r="Z823" i="58"/>
  <c r="AE823" i="58"/>
  <c r="Z824" i="58"/>
  <c r="AE824" i="58"/>
  <c r="Z825" i="58"/>
  <c r="AE825" i="58"/>
  <c r="Z826" i="58"/>
  <c r="AE826" i="58"/>
  <c r="Z827" i="58"/>
  <c r="AE827" i="58"/>
  <c r="Z828" i="58"/>
  <c r="AE828" i="58"/>
  <c r="Z829" i="58"/>
  <c r="AE829" i="58"/>
  <c r="Z830" i="58"/>
  <c r="AE830" i="58"/>
  <c r="Z831" i="58"/>
  <c r="AE831" i="58"/>
  <c r="Z832" i="58"/>
  <c r="AE832" i="58"/>
  <c r="Z833" i="58"/>
  <c r="AE833" i="58"/>
  <c r="Z834" i="58"/>
  <c r="AE834" i="58"/>
  <c r="Z835" i="58"/>
  <c r="AE835" i="58"/>
  <c r="Z836" i="58"/>
  <c r="AE836" i="58"/>
  <c r="E5" i="74"/>
  <c r="F5" i="74"/>
  <c r="H5" i="74"/>
  <c r="I5" i="74"/>
  <c r="R5" i="74"/>
  <c r="U5" i="74"/>
  <c r="E6" i="74"/>
  <c r="F6" i="74"/>
  <c r="H6" i="74"/>
  <c r="I6" i="74"/>
  <c r="R6" i="74"/>
  <c r="U6" i="74"/>
  <c r="E7" i="74"/>
  <c r="F7" i="74"/>
  <c r="H7" i="74"/>
  <c r="I7" i="74"/>
  <c r="R7" i="74"/>
  <c r="U7" i="74"/>
  <c r="E8" i="74"/>
  <c r="F8" i="74"/>
  <c r="H8" i="74"/>
  <c r="I8" i="74"/>
  <c r="R8" i="74"/>
  <c r="U8" i="74"/>
  <c r="E9" i="74"/>
  <c r="F9" i="74"/>
  <c r="H9" i="74"/>
  <c r="I9" i="74"/>
  <c r="R9" i="74"/>
  <c r="U9" i="74"/>
  <c r="E10" i="74"/>
  <c r="F10" i="74"/>
  <c r="H10" i="74"/>
  <c r="I10" i="74"/>
  <c r="R10" i="74"/>
  <c r="U10" i="74"/>
  <c r="R11" i="74"/>
  <c r="U11" i="74"/>
  <c r="E12" i="74"/>
  <c r="R12" i="74"/>
  <c r="U12" i="74"/>
  <c r="E13" i="74"/>
  <c r="F13" i="74"/>
  <c r="H13" i="74"/>
  <c r="I13" i="74"/>
  <c r="R13" i="74"/>
  <c r="U13" i="74"/>
  <c r="E14" i="74"/>
  <c r="F14" i="74"/>
  <c r="H14" i="74"/>
  <c r="I14" i="74"/>
  <c r="R14" i="74"/>
  <c r="U14" i="74"/>
  <c r="E15" i="74"/>
  <c r="F15" i="74"/>
  <c r="H15" i="74"/>
  <c r="I15" i="74"/>
  <c r="R15" i="74"/>
  <c r="U15" i="74"/>
  <c r="E16" i="74"/>
  <c r="F16" i="74"/>
  <c r="H16" i="74"/>
  <c r="I16" i="74"/>
  <c r="R16" i="74"/>
  <c r="U16" i="74"/>
  <c r="E17" i="74"/>
  <c r="H17" i="74"/>
  <c r="R17" i="74"/>
  <c r="U17" i="74"/>
  <c r="F18" i="74"/>
  <c r="I18" i="74"/>
  <c r="R18" i="74"/>
  <c r="U18" i="74"/>
  <c r="F19" i="74"/>
  <c r="I19" i="74"/>
  <c r="R19" i="74"/>
  <c r="U19" i="74"/>
  <c r="E20" i="74"/>
  <c r="H20" i="74"/>
  <c r="R20" i="74"/>
  <c r="U20" i="74"/>
  <c r="F21" i="74"/>
  <c r="I21" i="74"/>
  <c r="R21" i="74"/>
  <c r="U21" i="74"/>
  <c r="F22" i="74"/>
  <c r="I22" i="74"/>
  <c r="R22" i="74"/>
  <c r="U22" i="74"/>
  <c r="E23" i="74"/>
  <c r="F23" i="74"/>
  <c r="H23" i="74"/>
  <c r="I23" i="74"/>
  <c r="R23" i="74"/>
  <c r="U23" i="74"/>
  <c r="E24" i="74"/>
  <c r="F24" i="74"/>
  <c r="H24" i="74"/>
  <c r="I24" i="74"/>
  <c r="R24" i="74"/>
  <c r="U24" i="74"/>
  <c r="R25" i="74"/>
  <c r="U25" i="74"/>
  <c r="E26" i="74"/>
  <c r="F26" i="74"/>
  <c r="H26" i="74"/>
  <c r="I26" i="74"/>
  <c r="R26" i="74"/>
  <c r="U26" i="74"/>
  <c r="E27" i="74"/>
  <c r="F27" i="74"/>
  <c r="H27" i="74"/>
  <c r="I27" i="74"/>
  <c r="R27" i="74"/>
  <c r="U27" i="74"/>
  <c r="R28" i="74"/>
  <c r="U28" i="74"/>
  <c r="E29" i="74"/>
  <c r="F29" i="74"/>
  <c r="H29" i="74"/>
  <c r="I29" i="74"/>
  <c r="R29" i="74"/>
  <c r="U29" i="74"/>
  <c r="E30" i="74"/>
  <c r="F30" i="74"/>
  <c r="H30" i="74"/>
  <c r="I30" i="74"/>
  <c r="R30" i="74"/>
  <c r="U30" i="74"/>
  <c r="R31" i="74"/>
  <c r="U31" i="74"/>
  <c r="E32" i="74"/>
  <c r="H32" i="74"/>
  <c r="R32" i="74"/>
  <c r="U32" i="74"/>
  <c r="R33" i="74"/>
  <c r="U33" i="74"/>
  <c r="Q34" i="74"/>
  <c r="T34" i="74"/>
  <c r="Q35" i="74"/>
  <c r="T35" i="74"/>
  <c r="N7" i="47"/>
  <c r="AJ7" i="47"/>
  <c r="AK7" i="47"/>
  <c r="N8" i="47"/>
  <c r="AJ8" i="47"/>
  <c r="AK8" i="47"/>
  <c r="N15" i="47"/>
  <c r="AJ15" i="47"/>
  <c r="AK15" i="47"/>
  <c r="N16" i="47"/>
  <c r="AJ16" i="47"/>
  <c r="AK16" i="47"/>
  <c r="N31" i="47"/>
  <c r="AJ31" i="47"/>
  <c r="AK31" i="47"/>
  <c r="N32" i="47"/>
  <c r="AJ32" i="47"/>
  <c r="AK32" i="47"/>
  <c r="N33" i="47"/>
  <c r="AJ33" i="47"/>
  <c r="AK33" i="47"/>
  <c r="N34" i="47"/>
  <c r="AJ34" i="47"/>
  <c r="AK34" i="47"/>
  <c r="N37" i="47"/>
  <c r="AJ37" i="47"/>
  <c r="AK37" i="47"/>
  <c r="N38" i="47"/>
  <c r="AJ38" i="47"/>
  <c r="AK38" i="47"/>
  <c r="N39" i="47"/>
  <c r="AJ39" i="47"/>
  <c r="AK39" i="47"/>
  <c r="N40" i="47"/>
  <c r="AJ40" i="47"/>
  <c r="AK40" i="47"/>
  <c r="N41" i="47"/>
  <c r="AJ41" i="47"/>
  <c r="AK41" i="47"/>
  <c r="N42" i="47"/>
  <c r="AJ42" i="47"/>
  <c r="AK42" i="47"/>
  <c r="N43" i="47"/>
  <c r="AJ43" i="47"/>
  <c r="AK43" i="47"/>
  <c r="N44" i="47"/>
  <c r="AJ44" i="47"/>
  <c r="AK44" i="47"/>
  <c r="N45" i="47"/>
  <c r="AJ45" i="47"/>
  <c r="AK45" i="47"/>
  <c r="N46" i="47"/>
  <c r="AJ46" i="47"/>
  <c r="AK46" i="47"/>
  <c r="N47" i="47"/>
  <c r="AJ47" i="47"/>
  <c r="AK47" i="47"/>
  <c r="N48" i="47"/>
  <c r="AJ48" i="47"/>
  <c r="AK48" i="47"/>
  <c r="N49" i="47"/>
  <c r="AJ49" i="47"/>
  <c r="AK49" i="47"/>
  <c r="N50" i="47"/>
  <c r="AJ50" i="47"/>
  <c r="AK50" i="47"/>
  <c r="N51" i="47"/>
  <c r="AJ51" i="47"/>
  <c r="AK51" i="47"/>
  <c r="N52" i="47"/>
  <c r="AJ52" i="47"/>
  <c r="AK52" i="47"/>
  <c r="N53" i="47"/>
  <c r="AJ53" i="47"/>
  <c r="AK53" i="47"/>
  <c r="N54" i="47"/>
  <c r="AJ54" i="47"/>
  <c r="AK54" i="47"/>
  <c r="N55" i="47"/>
  <c r="AJ55" i="47"/>
  <c r="AK55" i="47"/>
  <c r="N56" i="47"/>
  <c r="AJ56" i="47"/>
  <c r="AK56" i="47"/>
  <c r="N57" i="47"/>
  <c r="AJ57" i="47"/>
  <c r="AK57" i="47"/>
  <c r="N58" i="47"/>
  <c r="AJ58" i="47"/>
  <c r="AK58" i="47"/>
  <c r="N59" i="47"/>
  <c r="AJ59" i="47"/>
  <c r="AK59" i="47"/>
  <c r="N60" i="47"/>
  <c r="AJ60" i="47"/>
  <c r="AK60" i="47"/>
  <c r="N61" i="47"/>
  <c r="AJ61" i="47"/>
  <c r="AK61" i="47"/>
  <c r="N62" i="47"/>
  <c r="AJ62" i="47"/>
  <c r="AK62" i="47"/>
  <c r="N63" i="47"/>
  <c r="AJ63" i="47"/>
  <c r="AK63" i="47"/>
  <c r="N64" i="47"/>
  <c r="AJ64" i="47"/>
  <c r="AK64" i="47"/>
  <c r="N65" i="47"/>
  <c r="AJ65" i="47"/>
  <c r="AK65" i="47"/>
  <c r="N66" i="47"/>
  <c r="AJ66" i="47"/>
  <c r="AK66" i="47"/>
  <c r="N67" i="47"/>
  <c r="AJ67" i="47"/>
  <c r="AK67" i="47"/>
  <c r="N68" i="47"/>
  <c r="AJ68" i="47"/>
  <c r="AK68" i="47"/>
  <c r="N69" i="47"/>
  <c r="AJ69" i="47"/>
  <c r="AK69" i="47"/>
  <c r="N70" i="47"/>
  <c r="AJ70" i="47"/>
  <c r="AK70" i="47"/>
  <c r="N71" i="47"/>
  <c r="AJ71" i="47"/>
  <c r="AK71" i="47"/>
  <c r="N75" i="47"/>
  <c r="AJ75" i="47"/>
  <c r="AK75" i="47"/>
  <c r="N80" i="47"/>
  <c r="AJ80" i="47"/>
  <c r="AK80" i="47"/>
  <c r="L83" i="47"/>
  <c r="N83" i="47"/>
  <c r="L84" i="47"/>
  <c r="N84" i="47"/>
  <c r="L85" i="47"/>
  <c r="N85" i="47"/>
  <c r="N86" i="47"/>
  <c r="L87" i="47"/>
  <c r="L88" i="47"/>
  <c r="L89" i="47"/>
  <c r="L90" i="47"/>
  <c r="L91" i="47"/>
  <c r="N5" i="63"/>
  <c r="AB5" i="63"/>
  <c r="AC5" i="63"/>
  <c r="AF5" i="63"/>
  <c r="AG5" i="63"/>
  <c r="N6" i="63"/>
  <c r="AB6" i="63"/>
  <c r="AC6" i="63"/>
  <c r="AF6" i="63"/>
  <c r="AG6" i="63"/>
  <c r="N7" i="63"/>
  <c r="AB7" i="63"/>
  <c r="AC7" i="63"/>
  <c r="AF7" i="63"/>
  <c r="AG7" i="63"/>
  <c r="N8" i="63"/>
  <c r="AB8" i="63"/>
  <c r="AC8" i="63"/>
  <c r="AF8" i="63"/>
  <c r="AG8" i="63"/>
  <c r="N9" i="63"/>
  <c r="AC9" i="63"/>
  <c r="AF9" i="63"/>
  <c r="AG9" i="63"/>
  <c r="N10" i="63"/>
  <c r="AC10" i="63"/>
  <c r="AF10" i="63"/>
  <c r="AG10" i="63"/>
  <c r="N11" i="63"/>
  <c r="AC11" i="63"/>
  <c r="AF11" i="63"/>
  <c r="AG11" i="63"/>
  <c r="N12" i="63"/>
  <c r="AB12" i="63"/>
  <c r="AC12" i="63"/>
  <c r="AF12" i="63"/>
  <c r="AG12" i="63"/>
  <c r="N13" i="63"/>
  <c r="AB13" i="63"/>
  <c r="AC13" i="63"/>
  <c r="AF13" i="63"/>
  <c r="AG13" i="63"/>
  <c r="N14" i="63"/>
  <c r="AB14" i="63"/>
  <c r="AC14" i="63"/>
  <c r="AF14" i="63"/>
  <c r="AG14" i="63"/>
  <c r="N15" i="63"/>
  <c r="AB15" i="63"/>
  <c r="AC15" i="63"/>
  <c r="AF15" i="63"/>
  <c r="AG15" i="63"/>
  <c r="N16" i="63"/>
  <c r="AB16" i="63"/>
  <c r="AC16" i="63"/>
  <c r="AF16" i="63"/>
  <c r="AG16" i="63"/>
  <c r="N17" i="63"/>
  <c r="AC17" i="63"/>
  <c r="AF17" i="63"/>
  <c r="AG17" i="63"/>
  <c r="N18" i="63"/>
  <c r="AC18" i="63"/>
  <c r="AF18" i="63"/>
  <c r="AG18" i="63"/>
  <c r="N19" i="63"/>
  <c r="AC19" i="63"/>
  <c r="AF19" i="63"/>
  <c r="AG19" i="63"/>
  <c r="N20" i="63"/>
  <c r="AC20" i="63"/>
  <c r="AF20" i="63"/>
  <c r="AG20" i="63"/>
  <c r="N21" i="63"/>
  <c r="AC21" i="63"/>
  <c r="AF21" i="63"/>
  <c r="AG21" i="63"/>
  <c r="N22" i="63"/>
  <c r="AC22" i="63"/>
  <c r="AF22" i="63"/>
  <c r="AG22" i="63"/>
  <c r="N23" i="63"/>
  <c r="AC23" i="63"/>
  <c r="AF23" i="63"/>
  <c r="AG23" i="63"/>
  <c r="N24" i="63"/>
  <c r="AC24" i="63"/>
  <c r="AF24" i="63"/>
  <c r="AG24" i="63"/>
  <c r="N25" i="63"/>
  <c r="AC25" i="63"/>
  <c r="AF25" i="63"/>
  <c r="AG25" i="63"/>
  <c r="N26" i="63"/>
  <c r="AC26" i="63"/>
  <c r="AF26" i="63"/>
  <c r="AG26" i="63"/>
  <c r="N27" i="63"/>
  <c r="AC27" i="63"/>
  <c r="AF27" i="63"/>
  <c r="AG27" i="63"/>
  <c r="N28" i="63"/>
  <c r="AC28" i="63"/>
  <c r="AF28" i="63"/>
  <c r="AG28" i="63"/>
  <c r="N29" i="63"/>
  <c r="AB29" i="63"/>
  <c r="AC29" i="63"/>
  <c r="AF29" i="63"/>
  <c r="AG29" i="63"/>
  <c r="N30" i="63"/>
  <c r="AB30" i="63"/>
  <c r="AC30" i="63"/>
  <c r="AF30" i="63"/>
  <c r="AG30" i="63"/>
  <c r="N31" i="63"/>
  <c r="AB31" i="63"/>
  <c r="AC31" i="63"/>
  <c r="AF31" i="63"/>
  <c r="AG31" i="63"/>
  <c r="N32" i="63"/>
  <c r="AB32" i="63"/>
  <c r="AC32" i="63"/>
  <c r="AF32" i="63"/>
  <c r="AG32" i="63"/>
  <c r="N33" i="63"/>
  <c r="AB33" i="63"/>
  <c r="AC33" i="63"/>
  <c r="AF33" i="63"/>
  <c r="AG33" i="63"/>
  <c r="N34" i="63"/>
  <c r="AB34" i="63"/>
  <c r="AC34" i="63"/>
  <c r="AF34" i="63"/>
  <c r="AG34" i="63"/>
  <c r="N35" i="63"/>
  <c r="AB35" i="63"/>
  <c r="AC35" i="63"/>
  <c r="AF35" i="63"/>
  <c r="AG35" i="63"/>
  <c r="N36" i="63"/>
  <c r="AB36" i="63"/>
  <c r="AC36" i="63"/>
  <c r="AF36" i="63"/>
  <c r="AG36" i="63"/>
  <c r="N37" i="63"/>
  <c r="AB37" i="63"/>
  <c r="AC37" i="63"/>
  <c r="AF37" i="63"/>
  <c r="AG37" i="63"/>
  <c r="N38" i="63"/>
  <c r="AB38" i="63"/>
  <c r="AC38" i="63"/>
  <c r="AF38" i="63"/>
  <c r="AG38" i="63"/>
  <c r="N39" i="63"/>
  <c r="AB39" i="63"/>
  <c r="AC39" i="63"/>
  <c r="AF39" i="63"/>
  <c r="AG39" i="63"/>
  <c r="N40" i="63"/>
  <c r="AB40" i="63"/>
  <c r="AC40" i="63"/>
  <c r="AF40" i="63"/>
  <c r="AG40" i="63"/>
  <c r="N41" i="63"/>
  <c r="AB41" i="63"/>
  <c r="AC41" i="63"/>
  <c r="AF41" i="63"/>
  <c r="AG41" i="63"/>
  <c r="N42" i="63"/>
  <c r="AB42" i="63"/>
  <c r="AC42" i="63"/>
  <c r="AF42" i="63"/>
  <c r="AG42" i="63"/>
  <c r="N43" i="63"/>
  <c r="AB43" i="63"/>
  <c r="AC43" i="63"/>
  <c r="AF43" i="63"/>
  <c r="AG43" i="63"/>
  <c r="N44" i="63"/>
  <c r="AB44" i="63"/>
  <c r="AC44" i="63"/>
  <c r="AF44" i="63"/>
  <c r="AG44" i="63"/>
  <c r="N45" i="63"/>
  <c r="AB45" i="63"/>
  <c r="AC45" i="63"/>
  <c r="AF45" i="63"/>
  <c r="AG45" i="63"/>
  <c r="N46" i="63"/>
  <c r="AB46" i="63"/>
  <c r="AC46" i="63"/>
  <c r="AF46" i="63"/>
  <c r="AG46" i="63"/>
  <c r="N47" i="63"/>
  <c r="AB47" i="63"/>
  <c r="AC47" i="63"/>
  <c r="AF47" i="63"/>
  <c r="AG47" i="63"/>
  <c r="N48" i="63"/>
  <c r="AB48" i="63"/>
  <c r="AC48" i="63"/>
  <c r="AF48" i="63"/>
  <c r="AG48" i="63"/>
  <c r="N49" i="63"/>
  <c r="AB49" i="63"/>
  <c r="AC49" i="63"/>
  <c r="AF49" i="63"/>
  <c r="AG49" i="63"/>
  <c r="N50" i="63"/>
  <c r="AB50" i="63"/>
  <c r="AC50" i="63"/>
  <c r="AF50" i="63"/>
  <c r="AG50" i="63"/>
  <c r="N51" i="63"/>
  <c r="AB51" i="63"/>
  <c r="AC51" i="63"/>
  <c r="AF51" i="63"/>
  <c r="AG51" i="63"/>
  <c r="N52" i="63"/>
  <c r="AB52" i="63"/>
  <c r="AC52" i="63"/>
  <c r="AF52" i="63"/>
  <c r="AG52" i="63"/>
  <c r="N53" i="63"/>
  <c r="AB53" i="63"/>
  <c r="AC53" i="63"/>
  <c r="AF53" i="63"/>
  <c r="AG53" i="63"/>
  <c r="N54" i="63"/>
  <c r="AB54" i="63"/>
  <c r="AC54" i="63"/>
  <c r="AF54" i="63"/>
  <c r="AG54" i="63"/>
  <c r="N55" i="63"/>
  <c r="AB55" i="63"/>
  <c r="AC55" i="63"/>
  <c r="AF55" i="63"/>
  <c r="AG55" i="63"/>
  <c r="N56" i="63"/>
  <c r="AB56" i="63"/>
  <c r="AC56" i="63"/>
  <c r="AF56" i="63"/>
  <c r="AG56" i="63"/>
  <c r="N57" i="63"/>
  <c r="AB57" i="63"/>
  <c r="AC57" i="63"/>
  <c r="AF57" i="63"/>
  <c r="AG57" i="63"/>
  <c r="N58" i="63"/>
  <c r="AB58" i="63"/>
  <c r="AC58" i="63"/>
  <c r="AF58" i="63"/>
  <c r="AG58" i="63"/>
  <c r="N59" i="63"/>
  <c r="AB59" i="63"/>
  <c r="AC59" i="63"/>
  <c r="AF59" i="63"/>
  <c r="AG59" i="63"/>
  <c r="N60" i="63"/>
  <c r="AB60" i="63"/>
  <c r="AC60" i="63"/>
  <c r="AF60" i="63"/>
  <c r="AG60" i="63"/>
  <c r="N61" i="63"/>
  <c r="AB61" i="63"/>
  <c r="AC61" i="63"/>
  <c r="AF61" i="63"/>
  <c r="AG61" i="63"/>
  <c r="N62" i="63"/>
  <c r="AB62" i="63"/>
  <c r="AC62" i="63"/>
  <c r="AF62" i="63"/>
  <c r="AG62" i="63"/>
  <c r="N63" i="63"/>
  <c r="AB63" i="63"/>
  <c r="AC63" i="63"/>
  <c r="AF63" i="63"/>
  <c r="AG63" i="63"/>
  <c r="N64" i="63"/>
  <c r="AB64" i="63"/>
  <c r="AC64" i="63"/>
  <c r="AF64" i="63"/>
  <c r="AG64" i="63"/>
  <c r="N65" i="63"/>
  <c r="AB65" i="63"/>
  <c r="AC65" i="63"/>
  <c r="AF65" i="63"/>
  <c r="AG65" i="63"/>
  <c r="N66" i="63"/>
  <c r="AB66" i="63"/>
  <c r="AC66" i="63"/>
  <c r="AF66" i="63"/>
  <c r="AG66" i="63"/>
  <c r="N67" i="63"/>
  <c r="AB67" i="63"/>
  <c r="AC67" i="63"/>
  <c r="AF67" i="63"/>
  <c r="AG67" i="63"/>
  <c r="N68" i="63"/>
  <c r="AB68" i="63"/>
  <c r="AC68" i="63"/>
  <c r="AF68" i="63"/>
  <c r="AG68" i="63"/>
  <c r="N69" i="63"/>
  <c r="AB69" i="63"/>
  <c r="AC69" i="63"/>
  <c r="AF69" i="63"/>
  <c r="AG69" i="63"/>
  <c r="N70" i="63"/>
  <c r="AB70" i="63"/>
  <c r="AC70" i="63"/>
  <c r="AF70" i="63"/>
  <c r="AG70" i="63"/>
  <c r="N71" i="63"/>
  <c r="AB71" i="63"/>
  <c r="AC71" i="63"/>
  <c r="AF71" i="63"/>
  <c r="AG71" i="63"/>
  <c r="N77" i="63"/>
  <c r="AB77" i="63"/>
  <c r="AC77" i="63"/>
  <c r="AF77" i="63"/>
  <c r="AG77" i="63"/>
  <c r="N78" i="63"/>
  <c r="AB78" i="63"/>
  <c r="AC78" i="63"/>
  <c r="AF78" i="63"/>
  <c r="AG78" i="63"/>
  <c r="N79" i="63"/>
  <c r="AB79" i="63"/>
  <c r="AC79" i="63"/>
  <c r="AF79" i="63"/>
  <c r="AG79" i="63"/>
  <c r="N80" i="63"/>
  <c r="AB80" i="63"/>
  <c r="AC80" i="63"/>
  <c r="AF80" i="63"/>
  <c r="AG80" i="63"/>
  <c r="N81" i="63"/>
  <c r="AC81" i="63"/>
  <c r="AF81" i="63"/>
  <c r="AG81" i="63"/>
  <c r="N82" i="63"/>
  <c r="AC82" i="63"/>
  <c r="AF82" i="63"/>
  <c r="AG82" i="63"/>
  <c r="N83" i="63"/>
  <c r="AC83" i="63"/>
  <c r="AF83" i="63"/>
  <c r="AG83" i="63"/>
  <c r="N84" i="63"/>
  <c r="AB84" i="63"/>
  <c r="AC84" i="63"/>
  <c r="AF84" i="63"/>
  <c r="AG84" i="63"/>
  <c r="N85" i="63"/>
  <c r="AB85" i="63"/>
  <c r="AC85" i="63"/>
  <c r="AF85" i="63"/>
  <c r="AG85" i="63"/>
  <c r="N86" i="63"/>
  <c r="AB86" i="63"/>
  <c r="AC86" i="63"/>
  <c r="AF86" i="63"/>
  <c r="AG86" i="63"/>
  <c r="N87" i="63"/>
  <c r="AB87" i="63"/>
  <c r="AC87" i="63"/>
  <c r="AF87" i="63"/>
  <c r="AG87" i="63"/>
  <c r="N88" i="63"/>
  <c r="AB88" i="63"/>
  <c r="AC88" i="63"/>
  <c r="AF88" i="63"/>
  <c r="AG88" i="63"/>
  <c r="N89" i="63"/>
  <c r="AC89" i="63"/>
  <c r="AF89" i="63"/>
  <c r="AG89" i="63"/>
  <c r="N90" i="63"/>
  <c r="AC90" i="63"/>
  <c r="AF90" i="63"/>
  <c r="AG90" i="63"/>
  <c r="N91" i="63"/>
  <c r="AC91" i="63"/>
  <c r="AF91" i="63"/>
  <c r="AG91" i="63"/>
  <c r="N92" i="63"/>
  <c r="AC92" i="63"/>
  <c r="AF92" i="63"/>
  <c r="AG92" i="63"/>
  <c r="N93" i="63"/>
  <c r="AC93" i="63"/>
  <c r="AF93" i="63"/>
  <c r="AG93" i="63"/>
  <c r="N94" i="63"/>
  <c r="AC94" i="63"/>
  <c r="AF94" i="63"/>
  <c r="AG94" i="63"/>
  <c r="N95" i="63"/>
  <c r="AC95" i="63"/>
  <c r="AF95" i="63"/>
  <c r="AG95" i="63"/>
  <c r="N96" i="63"/>
  <c r="AC96" i="63"/>
  <c r="AF96" i="63"/>
  <c r="AG96" i="63"/>
  <c r="N97" i="63"/>
  <c r="AC97" i="63"/>
  <c r="AF97" i="63"/>
  <c r="AG97" i="63"/>
  <c r="N98" i="63"/>
  <c r="AC98" i="63"/>
  <c r="AF98" i="63"/>
  <c r="AG98" i="63"/>
  <c r="N99" i="63"/>
  <c r="AC99" i="63"/>
  <c r="AF99" i="63"/>
  <c r="AG99" i="63"/>
  <c r="N100" i="63"/>
  <c r="AC100" i="63"/>
  <c r="AF100" i="63"/>
  <c r="AG100" i="63"/>
  <c r="N101" i="63"/>
  <c r="AB101" i="63"/>
  <c r="AC101" i="63"/>
  <c r="AF101" i="63"/>
  <c r="AG101" i="63"/>
  <c r="N102" i="63"/>
  <c r="AB102" i="63"/>
  <c r="AC102" i="63"/>
  <c r="AF102" i="63"/>
  <c r="AG102" i="63"/>
  <c r="N103" i="63"/>
  <c r="AB103" i="63"/>
  <c r="AC103" i="63"/>
  <c r="AF103" i="63"/>
  <c r="AG103" i="63"/>
  <c r="N104" i="63"/>
  <c r="AB104" i="63"/>
  <c r="AC104" i="63"/>
  <c r="AF104" i="63"/>
  <c r="AG104" i="63"/>
  <c r="N105" i="63"/>
  <c r="AB105" i="63"/>
  <c r="AC105" i="63"/>
  <c r="AF105" i="63"/>
  <c r="AG105" i="63"/>
  <c r="N106" i="63"/>
  <c r="AB106" i="63"/>
  <c r="AC106" i="63"/>
  <c r="AF106" i="63"/>
  <c r="AG106" i="63"/>
  <c r="N107" i="63"/>
  <c r="AB107" i="63"/>
  <c r="AC107" i="63"/>
  <c r="AF107" i="63"/>
  <c r="AG107" i="63"/>
  <c r="N108" i="63"/>
  <c r="AB108" i="63"/>
  <c r="AC108" i="63"/>
  <c r="AF108" i="63"/>
  <c r="AG108" i="63"/>
  <c r="N109" i="63"/>
  <c r="AB109" i="63"/>
  <c r="AC109" i="63"/>
  <c r="AF109" i="63"/>
  <c r="AG109" i="63"/>
  <c r="N110" i="63"/>
  <c r="AB110" i="63"/>
  <c r="AC110" i="63"/>
  <c r="AF110" i="63"/>
  <c r="AG110" i="63"/>
  <c r="N111" i="63"/>
  <c r="AB111" i="63"/>
  <c r="AC111" i="63"/>
  <c r="AF111" i="63"/>
  <c r="AG111" i="63"/>
  <c r="N112" i="63"/>
  <c r="AB112" i="63"/>
  <c r="AC112" i="63"/>
  <c r="AF112" i="63"/>
  <c r="AG112" i="63"/>
  <c r="N113" i="63"/>
  <c r="AB113" i="63"/>
  <c r="AC113" i="63"/>
  <c r="AF113" i="63"/>
  <c r="AG113" i="63"/>
  <c r="N114" i="63"/>
  <c r="AB114" i="63"/>
  <c r="AC114" i="63"/>
  <c r="AF114" i="63"/>
  <c r="AG114" i="63"/>
  <c r="N115" i="63"/>
  <c r="AB115" i="63"/>
  <c r="AC115" i="63"/>
  <c r="AF115" i="63"/>
  <c r="AG115" i="63"/>
  <c r="N116" i="63"/>
  <c r="AB116" i="63"/>
  <c r="AC116" i="63"/>
  <c r="AF116" i="63"/>
  <c r="AG116" i="63"/>
  <c r="N117" i="63"/>
  <c r="AB117" i="63"/>
  <c r="AC117" i="63"/>
  <c r="AF117" i="63"/>
  <c r="AG117" i="63"/>
  <c r="N118" i="63"/>
  <c r="AB118" i="63"/>
  <c r="AC118" i="63"/>
  <c r="AF118" i="63"/>
  <c r="AG118" i="63"/>
  <c r="N119" i="63"/>
  <c r="AB119" i="63"/>
  <c r="AC119" i="63"/>
  <c r="AF119" i="63"/>
  <c r="AG119" i="63"/>
  <c r="N120" i="63"/>
  <c r="AB120" i="63"/>
  <c r="AC120" i="63"/>
  <c r="AF120" i="63"/>
  <c r="AG120" i="63"/>
  <c r="N121" i="63"/>
  <c r="AB121" i="63"/>
  <c r="AC121" i="63"/>
  <c r="AF121" i="63"/>
  <c r="AG121" i="63"/>
  <c r="N122" i="63"/>
  <c r="AB122" i="63"/>
  <c r="AC122" i="63"/>
  <c r="AF122" i="63"/>
  <c r="AG122" i="63"/>
  <c r="N123" i="63"/>
  <c r="AB123" i="63"/>
  <c r="AC123" i="63"/>
  <c r="AF123" i="63"/>
  <c r="AG123" i="63"/>
  <c r="N124" i="63"/>
  <c r="AB124" i="63"/>
  <c r="AC124" i="63"/>
  <c r="AF124" i="63"/>
  <c r="AG124" i="63"/>
  <c r="N125" i="63"/>
  <c r="AB125" i="63"/>
  <c r="AC125" i="63"/>
  <c r="AF125" i="63"/>
  <c r="AG125" i="63"/>
  <c r="N126" i="63"/>
  <c r="AB126" i="63"/>
  <c r="AC126" i="63"/>
  <c r="AF126" i="63"/>
  <c r="AG126" i="63"/>
  <c r="N127" i="63"/>
  <c r="AB127" i="63"/>
  <c r="AC127" i="63"/>
  <c r="AF127" i="63"/>
  <c r="AG127" i="63"/>
  <c r="N128" i="63"/>
  <c r="AB128" i="63"/>
  <c r="AC128" i="63"/>
  <c r="AF128" i="63"/>
  <c r="AG128" i="63"/>
  <c r="N129" i="63"/>
  <c r="AB129" i="63"/>
  <c r="AC129" i="63"/>
  <c r="AF129" i="63"/>
  <c r="AG129" i="63"/>
  <c r="N130" i="63"/>
  <c r="AB130" i="63"/>
  <c r="AC130" i="63"/>
  <c r="AF130" i="63"/>
  <c r="AG130" i="63"/>
  <c r="N131" i="63"/>
  <c r="AB131" i="63"/>
  <c r="AC131" i="63"/>
  <c r="AF131" i="63"/>
  <c r="AG131" i="63"/>
  <c r="N132" i="63"/>
  <c r="AB132" i="63"/>
  <c r="AC132" i="63"/>
  <c r="AF132" i="63"/>
  <c r="AG132" i="63"/>
  <c r="N133" i="63"/>
  <c r="AB133" i="63"/>
  <c r="AC133" i="63"/>
  <c r="AF133" i="63"/>
  <c r="AG133" i="63"/>
  <c r="N134" i="63"/>
  <c r="AB134" i="63"/>
  <c r="AC134" i="63"/>
  <c r="AF134" i="63"/>
  <c r="AG134" i="63"/>
  <c r="N135" i="63"/>
  <c r="AB135" i="63"/>
  <c r="AC135" i="63"/>
  <c r="AF135" i="63"/>
  <c r="AG135" i="63"/>
  <c r="N136" i="63"/>
  <c r="AB136" i="63"/>
  <c r="AC136" i="63"/>
  <c r="AF136" i="63"/>
  <c r="AG136" i="63"/>
  <c r="N137" i="63"/>
  <c r="AB137" i="63"/>
  <c r="AC137" i="63"/>
  <c r="AF137" i="63"/>
  <c r="AG137" i="63"/>
  <c r="N138" i="63"/>
  <c r="AB138" i="63"/>
  <c r="AC138" i="63"/>
  <c r="AF138" i="63"/>
  <c r="AG138" i="63"/>
  <c r="N139" i="63"/>
  <c r="AB139" i="63"/>
  <c r="AC139" i="63"/>
  <c r="AF139" i="63"/>
  <c r="AG139" i="63"/>
  <c r="N140" i="63"/>
  <c r="AB140" i="63"/>
  <c r="AC140" i="63"/>
  <c r="AF140" i="63"/>
  <c r="AG140" i="63"/>
  <c r="N141" i="63"/>
  <c r="AB141" i="63"/>
  <c r="AC141" i="63"/>
  <c r="AF141" i="63"/>
  <c r="AG141" i="63"/>
  <c r="N142" i="63"/>
  <c r="AB142" i="63"/>
  <c r="AC142" i="63"/>
  <c r="AF142" i="63"/>
  <c r="AG142" i="63"/>
  <c r="N143" i="63"/>
  <c r="AB143" i="63"/>
  <c r="AC143" i="63"/>
  <c r="AF143" i="63"/>
  <c r="AG143" i="63"/>
  <c r="N5" i="48"/>
  <c r="T5" i="48"/>
  <c r="AJ5" i="48"/>
  <c r="AK5" i="48"/>
  <c r="AL5" i="48"/>
  <c r="AM5" i="48"/>
  <c r="N6" i="48"/>
  <c r="T6" i="48"/>
  <c r="AJ6" i="48"/>
  <c r="AK6" i="48"/>
  <c r="AL6" i="48"/>
  <c r="AM6" i="48"/>
  <c r="N7" i="48"/>
  <c r="T7" i="48"/>
  <c r="AJ7" i="48"/>
  <c r="AK7" i="48"/>
  <c r="AL7" i="48"/>
  <c r="AM7" i="48"/>
  <c r="N8" i="48"/>
  <c r="T8" i="48"/>
  <c r="AJ8" i="48"/>
  <c r="AK8" i="48"/>
  <c r="AL8" i="48"/>
  <c r="AM8" i="48"/>
  <c r="N9" i="48"/>
  <c r="T9" i="48"/>
  <c r="AJ9" i="48"/>
  <c r="AK9" i="48"/>
  <c r="AL9" i="48"/>
  <c r="AM9" i="48"/>
  <c r="N10" i="48"/>
  <c r="T10" i="48"/>
  <c r="AJ10" i="48"/>
  <c r="AK10" i="48"/>
  <c r="AL10" i="48"/>
  <c r="AM10" i="48"/>
  <c r="N11" i="48"/>
  <c r="T11" i="48"/>
  <c r="AJ11" i="48"/>
  <c r="AK11" i="48"/>
  <c r="AL11" i="48"/>
  <c r="AM11" i="48"/>
  <c r="N13" i="48"/>
  <c r="T13" i="48"/>
  <c r="AJ13" i="48"/>
  <c r="AK13" i="48"/>
  <c r="AL13" i="48"/>
  <c r="AM13" i="48"/>
  <c r="N14" i="48"/>
  <c r="T14" i="48"/>
  <c r="AJ14" i="48"/>
  <c r="AK14" i="48"/>
  <c r="AL14" i="48"/>
  <c r="AM14" i="48"/>
  <c r="N15" i="48"/>
  <c r="T15" i="48"/>
  <c r="AJ15" i="48"/>
  <c r="AK15" i="48"/>
  <c r="AL15" i="48"/>
  <c r="AM15" i="48"/>
  <c r="N16" i="48"/>
  <c r="T16" i="48"/>
  <c r="AJ16" i="48"/>
  <c r="AK16" i="48"/>
  <c r="AL16" i="48"/>
  <c r="AM16" i="48"/>
  <c r="N17" i="48"/>
  <c r="T17" i="48"/>
  <c r="AJ17" i="48"/>
  <c r="AK17" i="48"/>
  <c r="AL17" i="48"/>
  <c r="AM17" i="48"/>
  <c r="N18" i="48"/>
  <c r="T18" i="48"/>
  <c r="AJ18" i="48"/>
  <c r="AK18" i="48"/>
  <c r="AL18" i="48"/>
  <c r="AM18" i="48"/>
  <c r="N19" i="48"/>
  <c r="T19" i="48"/>
  <c r="AJ19" i="48"/>
  <c r="AK19" i="48"/>
  <c r="AL19" i="48"/>
  <c r="AM19" i="48"/>
  <c r="N20" i="48"/>
  <c r="T20" i="48"/>
  <c r="AJ20" i="48"/>
  <c r="AK20" i="48"/>
  <c r="AL20" i="48"/>
  <c r="AM20" i="48"/>
  <c r="N21" i="48"/>
  <c r="T21" i="48"/>
  <c r="AJ21" i="48"/>
  <c r="AK21" i="48"/>
  <c r="AL21" i="48"/>
  <c r="AM21" i="48"/>
  <c r="N22" i="48"/>
  <c r="T22" i="48"/>
  <c r="AJ22" i="48"/>
  <c r="AK22" i="48"/>
  <c r="AL22" i="48"/>
  <c r="AM22" i="48"/>
  <c r="N23" i="48"/>
  <c r="T23" i="48"/>
  <c r="AJ23" i="48"/>
  <c r="AK23" i="48"/>
  <c r="AL23" i="48"/>
  <c r="AM23" i="48"/>
  <c r="N24" i="48"/>
  <c r="T24" i="48"/>
  <c r="AJ24" i="48"/>
  <c r="AK24" i="48"/>
  <c r="AL24" i="48"/>
  <c r="AM24" i="48"/>
  <c r="N25" i="48"/>
  <c r="T25" i="48"/>
  <c r="AJ25" i="48"/>
  <c r="AK25" i="48"/>
  <c r="AL25" i="48"/>
  <c r="AM25" i="48"/>
  <c r="N26" i="48"/>
  <c r="T26" i="48"/>
  <c r="AJ26" i="48"/>
  <c r="AK26" i="48"/>
  <c r="AL26" i="48"/>
  <c r="AM26" i="48"/>
  <c r="N27" i="48"/>
  <c r="T27" i="48"/>
  <c r="AJ27" i="48"/>
  <c r="AK27" i="48"/>
  <c r="AL27" i="48"/>
  <c r="AM27" i="48"/>
  <c r="N28" i="48"/>
  <c r="T28" i="48"/>
  <c r="AJ28" i="48"/>
  <c r="AK28" i="48"/>
  <c r="AL28" i="48"/>
  <c r="AM28" i="48"/>
  <c r="N29" i="48"/>
  <c r="T29" i="48"/>
  <c r="AJ29" i="48"/>
  <c r="AK29" i="48"/>
  <c r="AL29" i="48"/>
  <c r="AM29" i="48"/>
  <c r="N30" i="48"/>
  <c r="T30" i="48"/>
  <c r="AJ30" i="48"/>
  <c r="AK30" i="48"/>
  <c r="AL30" i="48"/>
  <c r="AM30" i="48"/>
  <c r="N31" i="48"/>
  <c r="T31" i="48"/>
  <c r="AJ31" i="48"/>
  <c r="AK31" i="48"/>
  <c r="AL31" i="48"/>
  <c r="AM31" i="48"/>
  <c r="N32" i="48"/>
  <c r="T32" i="48"/>
  <c r="AJ32" i="48"/>
  <c r="AK32" i="48"/>
  <c r="AL32" i="48"/>
  <c r="AM32" i="48"/>
  <c r="N33" i="48"/>
  <c r="T33" i="48"/>
  <c r="AJ33" i="48"/>
  <c r="AK33" i="48"/>
  <c r="AL33" i="48"/>
  <c r="AM33" i="48"/>
  <c r="N34" i="48"/>
  <c r="T34" i="48"/>
  <c r="AJ34" i="48"/>
  <c r="AK34" i="48"/>
  <c r="AL34" i="48"/>
  <c r="AM34" i="48"/>
  <c r="N35" i="48"/>
  <c r="T35" i="48"/>
  <c r="AJ35" i="48"/>
  <c r="AK35" i="48"/>
  <c r="AL35" i="48"/>
  <c r="AM35" i="48"/>
  <c r="N36" i="48"/>
  <c r="T36" i="48"/>
  <c r="AJ36" i="48"/>
  <c r="AK36" i="48"/>
  <c r="AL36" i="48"/>
  <c r="AM36" i="48"/>
  <c r="N37" i="48"/>
  <c r="T37" i="48"/>
  <c r="AJ37" i="48"/>
  <c r="AK37" i="48"/>
  <c r="AL37" i="48"/>
  <c r="AM37" i="48"/>
  <c r="N38" i="48"/>
  <c r="T38" i="48"/>
  <c r="AJ38" i="48"/>
  <c r="AK38" i="48"/>
  <c r="AL38" i="48"/>
  <c r="AM38" i="48"/>
  <c r="N39" i="48"/>
  <c r="T39" i="48"/>
  <c r="AJ39" i="48"/>
  <c r="AK39" i="48"/>
  <c r="AL39" i="48"/>
  <c r="AM39" i="48"/>
  <c r="N40" i="48"/>
  <c r="T40" i="48"/>
  <c r="AJ40" i="48"/>
  <c r="AK40" i="48"/>
  <c r="AL40" i="48"/>
  <c r="AM40" i="48"/>
  <c r="N41" i="48"/>
  <c r="T41" i="48"/>
  <c r="AJ41" i="48"/>
  <c r="AK41" i="48"/>
  <c r="AL41" i="48"/>
  <c r="AM41" i="48"/>
  <c r="N42" i="48"/>
  <c r="T42" i="48"/>
  <c r="AJ42" i="48"/>
  <c r="AK42" i="48"/>
  <c r="AL42" i="48"/>
  <c r="AM42" i="48"/>
  <c r="N43" i="48"/>
  <c r="T43" i="48"/>
  <c r="AJ43" i="48"/>
  <c r="AK43" i="48"/>
  <c r="AL43" i="48"/>
  <c r="AM43" i="48"/>
  <c r="N44" i="48"/>
  <c r="T44" i="48"/>
  <c r="AJ44" i="48"/>
  <c r="AK44" i="48"/>
  <c r="AL44" i="48"/>
  <c r="AM44" i="48"/>
  <c r="N45" i="48"/>
  <c r="T45" i="48"/>
  <c r="AJ45" i="48"/>
  <c r="AK45" i="48"/>
  <c r="AL45" i="48"/>
  <c r="AM45" i="48"/>
  <c r="N46" i="48"/>
  <c r="T46" i="48"/>
  <c r="AJ46" i="48"/>
  <c r="AK46" i="48"/>
  <c r="AL46" i="48"/>
  <c r="AM46" i="48"/>
  <c r="N47" i="48"/>
  <c r="T47" i="48"/>
  <c r="AJ47" i="48"/>
  <c r="AK47" i="48"/>
  <c r="AL47" i="48"/>
  <c r="AM47" i="48"/>
  <c r="N48" i="48"/>
  <c r="T48" i="48"/>
  <c r="AJ48" i="48"/>
  <c r="AK48" i="48"/>
  <c r="AL48" i="48"/>
  <c r="AM48" i="48"/>
  <c r="N49" i="48"/>
  <c r="T49" i="48"/>
  <c r="AJ49" i="48"/>
  <c r="AK49" i="48"/>
  <c r="AL49" i="48"/>
  <c r="AM49" i="48"/>
  <c r="N50" i="48"/>
  <c r="T50" i="48"/>
  <c r="AJ50" i="48"/>
  <c r="AK50" i="48"/>
  <c r="AL50" i="48"/>
  <c r="AM50" i="48"/>
  <c r="N51" i="48"/>
  <c r="T51" i="48"/>
  <c r="AJ51" i="48"/>
  <c r="AK51" i="48"/>
  <c r="AL51" i="48"/>
  <c r="AM51" i="48"/>
  <c r="N52" i="48"/>
  <c r="T52" i="48"/>
  <c r="AJ52" i="48"/>
  <c r="AK52" i="48"/>
  <c r="AL52" i="48"/>
  <c r="AM52" i="48"/>
  <c r="N53" i="48"/>
  <c r="T53" i="48"/>
  <c r="AJ53" i="48"/>
  <c r="AK53" i="48"/>
  <c r="AL53" i="48"/>
  <c r="AM53" i="48"/>
  <c r="N54" i="48"/>
  <c r="T54" i="48"/>
  <c r="AJ54" i="48"/>
  <c r="AK54" i="48"/>
  <c r="AL54" i="48"/>
  <c r="AM54" i="48"/>
  <c r="N55" i="48"/>
  <c r="T55" i="48"/>
  <c r="AJ55" i="48"/>
  <c r="AK55" i="48"/>
  <c r="AL55" i="48"/>
  <c r="AM55" i="48"/>
  <c r="N56" i="48"/>
  <c r="T56" i="48"/>
  <c r="AJ56" i="48"/>
  <c r="AK56" i="48"/>
  <c r="AL56" i="48"/>
  <c r="AM56" i="48"/>
  <c r="N57" i="48"/>
  <c r="T57" i="48"/>
  <c r="AJ57" i="48"/>
  <c r="AK57" i="48"/>
  <c r="AL57" i="48"/>
  <c r="AM57" i="48"/>
  <c r="N58" i="48"/>
  <c r="T58" i="48"/>
  <c r="AJ58" i="48"/>
  <c r="AK58" i="48"/>
  <c r="AL58" i="48"/>
  <c r="AM58" i="48"/>
  <c r="N59" i="48"/>
  <c r="T59" i="48"/>
  <c r="AJ59" i="48"/>
  <c r="AK59" i="48"/>
  <c r="AL59" i="48"/>
  <c r="AM59" i="48"/>
  <c r="N60" i="48"/>
  <c r="T60" i="48"/>
  <c r="AJ60" i="48"/>
  <c r="AK60" i="48"/>
  <c r="AL60" i="48"/>
  <c r="AM60" i="48"/>
  <c r="N61" i="48"/>
  <c r="T61" i="48"/>
  <c r="AJ61" i="48"/>
  <c r="AK61" i="48"/>
  <c r="AL61" i="48"/>
  <c r="AM61" i="48"/>
  <c r="N62" i="48"/>
  <c r="T62" i="48"/>
  <c r="AJ62" i="48"/>
  <c r="AK62" i="48"/>
  <c r="AL62" i="48"/>
  <c r="AM62" i="48"/>
  <c r="N63" i="48"/>
  <c r="T63" i="48"/>
  <c r="AJ63" i="48"/>
  <c r="AK63" i="48"/>
  <c r="AL63" i="48"/>
  <c r="AM63" i="48"/>
  <c r="N64" i="48"/>
  <c r="T64" i="48"/>
  <c r="AJ64" i="48"/>
  <c r="AK64" i="48"/>
  <c r="AL64" i="48"/>
  <c r="AM64" i="48"/>
  <c r="N65" i="48"/>
  <c r="T65" i="48"/>
  <c r="AJ65" i="48"/>
  <c r="AK65" i="48"/>
  <c r="AL65" i="48"/>
  <c r="AM65" i="48"/>
  <c r="N66" i="48"/>
  <c r="T66" i="48"/>
  <c r="AJ66" i="48"/>
  <c r="AK66" i="48"/>
  <c r="AL66" i="48"/>
  <c r="AM66" i="48"/>
  <c r="N67" i="48"/>
  <c r="T67" i="48"/>
  <c r="AJ67" i="48"/>
  <c r="AK67" i="48"/>
  <c r="AL67" i="48"/>
  <c r="AM67" i="48"/>
  <c r="N68" i="48"/>
  <c r="T68" i="48"/>
  <c r="AJ68" i="48"/>
  <c r="AK68" i="48"/>
  <c r="AL68" i="48"/>
  <c r="AM68" i="48"/>
  <c r="N69" i="48"/>
  <c r="T69" i="48"/>
  <c r="AJ69" i="48"/>
  <c r="AK69" i="48"/>
  <c r="AL69" i="48"/>
  <c r="AM69" i="48"/>
  <c r="N70" i="48"/>
  <c r="T70" i="48"/>
  <c r="AJ70" i="48"/>
  <c r="AK70" i="48"/>
  <c r="AL70" i="48"/>
  <c r="AM70" i="48"/>
  <c r="N71" i="48"/>
  <c r="T71" i="48"/>
  <c r="AJ71" i="48"/>
  <c r="AK71" i="48"/>
  <c r="AL71" i="48"/>
  <c r="AM71" i="48"/>
  <c r="N73" i="48"/>
  <c r="T73" i="48"/>
  <c r="AJ73" i="48"/>
  <c r="AK73" i="48"/>
  <c r="AL73" i="48"/>
  <c r="AM73" i="48"/>
  <c r="N78" i="48"/>
  <c r="AE78" i="48"/>
  <c r="AF78" i="48"/>
  <c r="AJ78" i="48"/>
  <c r="AK78" i="48"/>
  <c r="N5" i="49"/>
  <c r="T5" i="49"/>
  <c r="AE5" i="49"/>
  <c r="AF5" i="49"/>
  <c r="AG5" i="49"/>
  <c r="AJ5" i="49"/>
  <c r="AK5" i="49"/>
  <c r="AL5" i="49"/>
  <c r="AM5" i="49"/>
  <c r="AO5" i="49"/>
  <c r="AP5" i="49"/>
  <c r="N6" i="49"/>
  <c r="T6" i="49"/>
  <c r="AE6" i="49"/>
  <c r="AF6" i="49"/>
  <c r="AG6" i="49"/>
  <c r="AJ6" i="49"/>
  <c r="AK6" i="49"/>
  <c r="AL6" i="49"/>
  <c r="AM6" i="49"/>
  <c r="AO6" i="49"/>
  <c r="AP6" i="49"/>
  <c r="N7" i="49"/>
  <c r="T7" i="49"/>
  <c r="AE7" i="49"/>
  <c r="AF7" i="49"/>
  <c r="AG7" i="49"/>
  <c r="AJ7" i="49"/>
  <c r="AK7" i="49"/>
  <c r="AL7" i="49"/>
  <c r="AM7" i="49"/>
  <c r="AO7" i="49"/>
  <c r="AP7" i="49"/>
  <c r="N8" i="49"/>
  <c r="T8" i="49"/>
  <c r="AE8" i="49"/>
  <c r="AF8" i="49"/>
  <c r="AG8" i="49"/>
  <c r="AJ8" i="49"/>
  <c r="AK8" i="49"/>
  <c r="AL8" i="49"/>
  <c r="AM8" i="49"/>
  <c r="AO8" i="49"/>
  <c r="AP8" i="49"/>
  <c r="N9" i="49"/>
  <c r="T9" i="49"/>
  <c r="AF9" i="49"/>
  <c r="AG9" i="49"/>
  <c r="AJ9" i="49"/>
  <c r="AK9" i="49"/>
  <c r="AL9" i="49"/>
  <c r="AM9" i="49"/>
  <c r="AP9" i="49"/>
  <c r="N10" i="49"/>
  <c r="T10" i="49"/>
  <c r="AF10" i="49"/>
  <c r="AG10" i="49"/>
  <c r="AJ10" i="49"/>
  <c r="AK10" i="49"/>
  <c r="AL10" i="49"/>
  <c r="AM10" i="49"/>
  <c r="AP10" i="49"/>
  <c r="N11" i="49"/>
  <c r="T11" i="49"/>
  <c r="AF11" i="49"/>
  <c r="AG11" i="49"/>
  <c r="AJ11" i="49"/>
  <c r="AK11" i="49"/>
  <c r="AL11" i="49"/>
  <c r="AM11" i="49"/>
  <c r="AP11" i="49"/>
  <c r="N12" i="49"/>
  <c r="T12" i="49"/>
  <c r="AE12" i="49"/>
  <c r="AF12" i="49"/>
  <c r="AG12" i="49"/>
  <c r="AJ12" i="49"/>
  <c r="AK12" i="49"/>
  <c r="AL12" i="49"/>
  <c r="AM12" i="49"/>
  <c r="N13" i="49"/>
  <c r="T13" i="49"/>
  <c r="AE13" i="49"/>
  <c r="AF13" i="49"/>
  <c r="AG13" i="49"/>
  <c r="AJ13" i="49"/>
  <c r="AK13" i="49"/>
  <c r="AL13" i="49"/>
  <c r="AM13" i="49"/>
  <c r="AO13" i="49"/>
  <c r="AP13" i="49"/>
  <c r="N14" i="49"/>
  <c r="T14" i="49"/>
  <c r="AE14" i="49"/>
  <c r="AF14" i="49"/>
  <c r="AG14" i="49"/>
  <c r="AJ14" i="49"/>
  <c r="AK14" i="49"/>
  <c r="AL14" i="49"/>
  <c r="AM14" i="49"/>
  <c r="AO14" i="49"/>
  <c r="AP14" i="49"/>
  <c r="N15" i="49"/>
  <c r="T15" i="49"/>
  <c r="AE15" i="49"/>
  <c r="AF15" i="49"/>
  <c r="AG15" i="49"/>
  <c r="AJ15" i="49"/>
  <c r="AK15" i="49"/>
  <c r="AL15" i="49"/>
  <c r="AM15" i="49"/>
  <c r="AO15" i="49"/>
  <c r="AP15" i="49"/>
  <c r="N16" i="49"/>
  <c r="T16" i="49"/>
  <c r="AE16" i="49"/>
  <c r="AF16" i="49"/>
  <c r="AG16" i="49"/>
  <c r="AJ16" i="49"/>
  <c r="AK16" i="49"/>
  <c r="AL16" i="49"/>
  <c r="AM16" i="49"/>
  <c r="AO16" i="49"/>
  <c r="AP16" i="49"/>
  <c r="N17" i="49"/>
  <c r="T17" i="49"/>
  <c r="AF17" i="49"/>
  <c r="AG17" i="49"/>
  <c r="AJ17" i="49"/>
  <c r="AK17" i="49"/>
  <c r="AL17" i="49"/>
  <c r="AM17" i="49"/>
  <c r="AP17" i="49"/>
  <c r="N18" i="49"/>
  <c r="T18" i="49"/>
  <c r="AF18" i="49"/>
  <c r="AG18" i="49"/>
  <c r="AJ18" i="49"/>
  <c r="AK18" i="49"/>
  <c r="AL18" i="49"/>
  <c r="AM18" i="49"/>
  <c r="AP18" i="49"/>
  <c r="N19" i="49"/>
  <c r="T19" i="49"/>
  <c r="AF19" i="49"/>
  <c r="AG19" i="49"/>
  <c r="AJ19" i="49"/>
  <c r="AK19" i="49"/>
  <c r="AL19" i="49"/>
  <c r="AM19" i="49"/>
  <c r="AP19" i="49"/>
  <c r="N20" i="49"/>
  <c r="T20" i="49"/>
  <c r="AF20" i="49"/>
  <c r="AG20" i="49"/>
  <c r="AJ20" i="49"/>
  <c r="AK20" i="49"/>
  <c r="AL20" i="49"/>
  <c r="AM20" i="49"/>
  <c r="AP20" i="49"/>
  <c r="N21" i="49"/>
  <c r="T21" i="49"/>
  <c r="AF21" i="49"/>
  <c r="AG21" i="49"/>
  <c r="AJ21" i="49"/>
  <c r="AK21" i="49"/>
  <c r="AL21" i="49"/>
  <c r="AM21" i="49"/>
  <c r="AP21" i="49"/>
  <c r="N22" i="49"/>
  <c r="T22" i="49"/>
  <c r="AF22" i="49"/>
  <c r="AG22" i="49"/>
  <c r="AJ22" i="49"/>
  <c r="AK22" i="49"/>
  <c r="AL22" i="49"/>
  <c r="AM22" i="49"/>
  <c r="AP22" i="49"/>
  <c r="N23" i="49"/>
  <c r="T23" i="49"/>
  <c r="AF23" i="49"/>
  <c r="AG23" i="49"/>
  <c r="AJ23" i="49"/>
  <c r="AK23" i="49"/>
  <c r="AL23" i="49"/>
  <c r="AM23" i="49"/>
  <c r="AP23" i="49"/>
  <c r="N24" i="49"/>
  <c r="T24" i="49"/>
  <c r="AF24" i="49"/>
  <c r="AG24" i="49"/>
  <c r="AJ24" i="49"/>
  <c r="AK24" i="49"/>
  <c r="AL24" i="49"/>
  <c r="AM24" i="49"/>
  <c r="AP24" i="49"/>
  <c r="N25" i="49"/>
  <c r="T25" i="49"/>
  <c r="AF25" i="49"/>
  <c r="AG25" i="49"/>
  <c r="AJ25" i="49"/>
  <c r="AK25" i="49"/>
  <c r="AL25" i="49"/>
  <c r="AM25" i="49"/>
  <c r="AP25" i="49"/>
  <c r="N26" i="49"/>
  <c r="T26" i="49"/>
  <c r="AF26" i="49"/>
  <c r="AG26" i="49"/>
  <c r="AJ26" i="49"/>
  <c r="AK26" i="49"/>
  <c r="AL26" i="49"/>
  <c r="AM26" i="49"/>
  <c r="AP26" i="49"/>
  <c r="N27" i="49"/>
  <c r="T27" i="49"/>
  <c r="AF27" i="49"/>
  <c r="AG27" i="49"/>
  <c r="AJ27" i="49"/>
  <c r="AK27" i="49"/>
  <c r="AL27" i="49"/>
  <c r="AM27" i="49"/>
  <c r="AP27" i="49"/>
  <c r="N28" i="49"/>
  <c r="T28" i="49"/>
  <c r="AF28" i="49"/>
  <c r="AG28" i="49"/>
  <c r="AJ28" i="49"/>
  <c r="AK28" i="49"/>
  <c r="AL28" i="49"/>
  <c r="AM28" i="49"/>
  <c r="AP28" i="49"/>
  <c r="N29" i="49"/>
  <c r="T29" i="49"/>
  <c r="AE29" i="49"/>
  <c r="AF29" i="49"/>
  <c r="AG29" i="49"/>
  <c r="AJ29" i="49"/>
  <c r="AK29" i="49"/>
  <c r="AL29" i="49"/>
  <c r="AM29" i="49"/>
  <c r="AO29" i="49"/>
  <c r="AP29" i="49"/>
  <c r="N30" i="49"/>
  <c r="T30" i="49"/>
  <c r="AE30" i="49"/>
  <c r="AF30" i="49"/>
  <c r="AG30" i="49"/>
  <c r="AJ30" i="49"/>
  <c r="AK30" i="49"/>
  <c r="AL30" i="49"/>
  <c r="AM30" i="49"/>
  <c r="AO30" i="49"/>
  <c r="AP30" i="49"/>
  <c r="N31" i="49"/>
  <c r="T31" i="49"/>
  <c r="AE31" i="49"/>
  <c r="AF31" i="49"/>
  <c r="AG31" i="49"/>
  <c r="AJ31" i="49"/>
  <c r="AK31" i="49"/>
  <c r="AL31" i="49"/>
  <c r="AM31" i="49"/>
  <c r="AO31" i="49"/>
  <c r="AP31" i="49"/>
  <c r="N32" i="49"/>
  <c r="T32" i="49"/>
  <c r="AE32" i="49"/>
  <c r="AF32" i="49"/>
  <c r="AG32" i="49"/>
  <c r="AJ32" i="49"/>
  <c r="AK32" i="49"/>
  <c r="AL32" i="49"/>
  <c r="AM32" i="49"/>
  <c r="AO32" i="49"/>
  <c r="AP32" i="49"/>
  <c r="N33" i="49"/>
  <c r="T33" i="49"/>
  <c r="AE33" i="49"/>
  <c r="AF33" i="49"/>
  <c r="AG33" i="49"/>
  <c r="AJ33" i="49"/>
  <c r="AK33" i="49"/>
  <c r="AL33" i="49"/>
  <c r="AM33" i="49"/>
  <c r="AO33" i="49"/>
  <c r="AP33" i="49"/>
  <c r="N34" i="49"/>
  <c r="T34" i="49"/>
  <c r="AE34" i="49"/>
  <c r="AF34" i="49"/>
  <c r="AG34" i="49"/>
  <c r="AJ34" i="49"/>
  <c r="AK34" i="49"/>
  <c r="AL34" i="49"/>
  <c r="AM34" i="49"/>
  <c r="AO34" i="49"/>
  <c r="AP34" i="49"/>
  <c r="N35" i="49"/>
  <c r="T35" i="49"/>
  <c r="AE35" i="49"/>
  <c r="AF35" i="49"/>
  <c r="AG35" i="49"/>
  <c r="AJ35" i="49"/>
  <c r="AK35" i="49"/>
  <c r="AL35" i="49"/>
  <c r="AM35" i="49"/>
  <c r="AO35" i="49"/>
  <c r="AP35" i="49"/>
  <c r="N36" i="49"/>
  <c r="T36" i="49"/>
  <c r="AE36" i="49"/>
  <c r="AF36" i="49"/>
  <c r="AG36" i="49"/>
  <c r="AJ36" i="49"/>
  <c r="AK36" i="49"/>
  <c r="AL36" i="49"/>
  <c r="AM36" i="49"/>
  <c r="AO36" i="49"/>
  <c r="AP36" i="49"/>
  <c r="N37" i="49"/>
  <c r="T37" i="49"/>
  <c r="AE37" i="49"/>
  <c r="AF37" i="49"/>
  <c r="AG37" i="49"/>
  <c r="AJ37" i="49"/>
  <c r="AK37" i="49"/>
  <c r="AL37" i="49"/>
  <c r="AM37" i="49"/>
  <c r="AO37" i="49"/>
  <c r="AP37" i="49"/>
  <c r="N38" i="49"/>
  <c r="T38" i="49"/>
  <c r="AE38" i="49"/>
  <c r="AF38" i="49"/>
  <c r="AG38" i="49"/>
  <c r="AJ38" i="49"/>
  <c r="AK38" i="49"/>
  <c r="AL38" i="49"/>
  <c r="AM38" i="49"/>
  <c r="AO38" i="49"/>
  <c r="AP38" i="49"/>
  <c r="N39" i="49"/>
  <c r="T39" i="49"/>
  <c r="AE39" i="49"/>
  <c r="AF39" i="49"/>
  <c r="AG39" i="49"/>
  <c r="AJ39" i="49"/>
  <c r="AK39" i="49"/>
  <c r="AL39" i="49"/>
  <c r="AM39" i="49"/>
  <c r="AO39" i="49"/>
  <c r="AP39" i="49"/>
  <c r="N40" i="49"/>
  <c r="T40" i="49"/>
  <c r="AE40" i="49"/>
  <c r="AF40" i="49"/>
  <c r="AG40" i="49"/>
  <c r="AJ40" i="49"/>
  <c r="AK40" i="49"/>
  <c r="AL40" i="49"/>
  <c r="AM40" i="49"/>
  <c r="AO40" i="49"/>
  <c r="AP40" i="49"/>
  <c r="N41" i="49"/>
  <c r="T41" i="49"/>
  <c r="AE41" i="49"/>
  <c r="AF41" i="49"/>
  <c r="AG41" i="49"/>
  <c r="AJ41" i="49"/>
  <c r="AK41" i="49"/>
  <c r="AL41" i="49"/>
  <c r="AM41" i="49"/>
  <c r="AO41" i="49"/>
  <c r="AP41" i="49"/>
  <c r="N42" i="49"/>
  <c r="T42" i="49"/>
  <c r="AE42" i="49"/>
  <c r="AF42" i="49"/>
  <c r="AG42" i="49"/>
  <c r="AJ42" i="49"/>
  <c r="AK42" i="49"/>
  <c r="AL42" i="49"/>
  <c r="AM42" i="49"/>
  <c r="AO42" i="49"/>
  <c r="AP42" i="49"/>
  <c r="N43" i="49"/>
  <c r="T43" i="49"/>
  <c r="AE43" i="49"/>
  <c r="AF43" i="49"/>
  <c r="AG43" i="49"/>
  <c r="AJ43" i="49"/>
  <c r="AK43" i="49"/>
  <c r="AL43" i="49"/>
  <c r="AM43" i="49"/>
  <c r="AO43" i="49"/>
  <c r="AP43" i="49"/>
  <c r="N44" i="49"/>
  <c r="T44" i="49"/>
  <c r="AE44" i="49"/>
  <c r="AF44" i="49"/>
  <c r="AG44" i="49"/>
  <c r="AJ44" i="49"/>
  <c r="AK44" i="49"/>
  <c r="AL44" i="49"/>
  <c r="AM44" i="49"/>
  <c r="AO44" i="49"/>
  <c r="AP44" i="49"/>
  <c r="N45" i="49"/>
  <c r="T45" i="49"/>
  <c r="AE45" i="49"/>
  <c r="AF45" i="49"/>
  <c r="AG45" i="49"/>
  <c r="AJ45" i="49"/>
  <c r="AK45" i="49"/>
  <c r="AL45" i="49"/>
  <c r="AM45" i="49"/>
  <c r="AO45" i="49"/>
  <c r="AP45" i="49"/>
  <c r="N46" i="49"/>
  <c r="T46" i="49"/>
  <c r="AE46" i="49"/>
  <c r="AF46" i="49"/>
  <c r="AG46" i="49"/>
  <c r="AJ46" i="49"/>
  <c r="AK46" i="49"/>
  <c r="AL46" i="49"/>
  <c r="AM46" i="49"/>
  <c r="AO46" i="49"/>
  <c r="AP46" i="49"/>
  <c r="N47" i="49"/>
  <c r="T47" i="49"/>
  <c r="AE47" i="49"/>
  <c r="AF47" i="49"/>
  <c r="AG47" i="49"/>
  <c r="AJ47" i="49"/>
  <c r="AK47" i="49"/>
  <c r="AL47" i="49"/>
  <c r="AM47" i="49"/>
  <c r="AO47" i="49"/>
  <c r="AP47" i="49"/>
  <c r="N48" i="49"/>
  <c r="T48" i="49"/>
  <c r="AE48" i="49"/>
  <c r="AF48" i="49"/>
  <c r="AG48" i="49"/>
  <c r="AJ48" i="49"/>
  <c r="AK48" i="49"/>
  <c r="AL48" i="49"/>
  <c r="AM48" i="49"/>
  <c r="AO48" i="49"/>
  <c r="AP48" i="49"/>
  <c r="N49" i="49"/>
  <c r="T49" i="49"/>
  <c r="AE49" i="49"/>
  <c r="AF49" i="49"/>
  <c r="AG49" i="49"/>
  <c r="AJ49" i="49"/>
  <c r="AK49" i="49"/>
  <c r="AL49" i="49"/>
  <c r="AM49" i="49"/>
  <c r="AO49" i="49"/>
  <c r="AP49" i="49"/>
  <c r="N50" i="49"/>
  <c r="T50" i="49"/>
  <c r="AE50" i="49"/>
  <c r="AF50" i="49"/>
  <c r="AG50" i="49"/>
  <c r="AJ50" i="49"/>
  <c r="AK50" i="49"/>
  <c r="AL50" i="49"/>
  <c r="AM50" i="49"/>
  <c r="AO50" i="49"/>
  <c r="AP50" i="49"/>
  <c r="N51" i="49"/>
  <c r="T51" i="49"/>
  <c r="AE51" i="49"/>
  <c r="AF51" i="49"/>
  <c r="AG51" i="49"/>
  <c r="AJ51" i="49"/>
  <c r="AK51" i="49"/>
  <c r="AL51" i="49"/>
  <c r="AM51" i="49"/>
  <c r="AO51" i="49"/>
  <c r="AP51" i="49"/>
  <c r="N52" i="49"/>
  <c r="T52" i="49"/>
  <c r="AE52" i="49"/>
  <c r="AF52" i="49"/>
  <c r="AG52" i="49"/>
  <c r="AJ52" i="49"/>
  <c r="AK52" i="49"/>
  <c r="AL52" i="49"/>
  <c r="AM52" i="49"/>
  <c r="AO52" i="49"/>
  <c r="AP52" i="49"/>
  <c r="N53" i="49"/>
  <c r="T53" i="49"/>
  <c r="AE53" i="49"/>
  <c r="AF53" i="49"/>
  <c r="AG53" i="49"/>
  <c r="AJ53" i="49"/>
  <c r="AK53" i="49"/>
  <c r="AL53" i="49"/>
  <c r="AM53" i="49"/>
  <c r="AO53" i="49"/>
  <c r="AP53" i="49"/>
  <c r="N54" i="49"/>
  <c r="T54" i="49"/>
  <c r="AE54" i="49"/>
  <c r="AF54" i="49"/>
  <c r="AG54" i="49"/>
  <c r="AJ54" i="49"/>
  <c r="AK54" i="49"/>
  <c r="AL54" i="49"/>
  <c r="AM54" i="49"/>
  <c r="AO54" i="49"/>
  <c r="AP54" i="49"/>
  <c r="N55" i="49"/>
  <c r="T55" i="49"/>
  <c r="AE55" i="49"/>
  <c r="AF55" i="49"/>
  <c r="AG55" i="49"/>
  <c r="AJ55" i="49"/>
  <c r="AK55" i="49"/>
  <c r="AL55" i="49"/>
  <c r="AM55" i="49"/>
  <c r="AO55" i="49"/>
  <c r="AP55" i="49"/>
  <c r="N56" i="49"/>
  <c r="T56" i="49"/>
  <c r="AE56" i="49"/>
  <c r="AF56" i="49"/>
  <c r="AG56" i="49"/>
  <c r="AJ56" i="49"/>
  <c r="AK56" i="49"/>
  <c r="AL56" i="49"/>
  <c r="AM56" i="49"/>
  <c r="AO56" i="49"/>
  <c r="AP56" i="49"/>
  <c r="N57" i="49"/>
  <c r="T57" i="49"/>
  <c r="AE57" i="49"/>
  <c r="AF57" i="49"/>
  <c r="AG57" i="49"/>
  <c r="AJ57" i="49"/>
  <c r="AK57" i="49"/>
  <c r="AL57" i="49"/>
  <c r="AM57" i="49"/>
  <c r="AO57" i="49"/>
  <c r="AP57" i="49"/>
  <c r="N58" i="49"/>
  <c r="T58" i="49"/>
  <c r="AE58" i="49"/>
  <c r="AF58" i="49"/>
  <c r="AG58" i="49"/>
  <c r="AJ58" i="49"/>
  <c r="AK58" i="49"/>
  <c r="AL58" i="49"/>
  <c r="AM58" i="49"/>
  <c r="AO58" i="49"/>
  <c r="AP58" i="49"/>
  <c r="N59" i="49"/>
  <c r="T59" i="49"/>
  <c r="AE59" i="49"/>
  <c r="AF59" i="49"/>
  <c r="AG59" i="49"/>
  <c r="AJ59" i="49"/>
  <c r="AK59" i="49"/>
  <c r="AL59" i="49"/>
  <c r="AM59" i="49"/>
  <c r="AO59" i="49"/>
  <c r="AP59" i="49"/>
  <c r="N60" i="49"/>
  <c r="T60" i="49"/>
  <c r="AE60" i="49"/>
  <c r="AF60" i="49"/>
  <c r="AG60" i="49"/>
  <c r="AJ60" i="49"/>
  <c r="AK60" i="49"/>
  <c r="AL60" i="49"/>
  <c r="AM60" i="49"/>
  <c r="AO60" i="49"/>
  <c r="AP60" i="49"/>
  <c r="N61" i="49"/>
  <c r="T61" i="49"/>
  <c r="AE61" i="49"/>
  <c r="AF61" i="49"/>
  <c r="AG61" i="49"/>
  <c r="AJ61" i="49"/>
  <c r="AK61" i="49"/>
  <c r="AL61" i="49"/>
  <c r="AM61" i="49"/>
  <c r="AO61" i="49"/>
  <c r="AP61" i="49"/>
  <c r="N62" i="49"/>
  <c r="T62" i="49"/>
  <c r="AE62" i="49"/>
  <c r="AF62" i="49"/>
  <c r="AG62" i="49"/>
  <c r="AJ62" i="49"/>
  <c r="AK62" i="49"/>
  <c r="AL62" i="49"/>
  <c r="AM62" i="49"/>
  <c r="AO62" i="49"/>
  <c r="AP62" i="49"/>
  <c r="N63" i="49"/>
  <c r="T63" i="49"/>
  <c r="AE63" i="49"/>
  <c r="AF63" i="49"/>
  <c r="AG63" i="49"/>
  <c r="AJ63" i="49"/>
  <c r="AK63" i="49"/>
  <c r="AL63" i="49"/>
  <c r="AM63" i="49"/>
  <c r="AO63" i="49"/>
  <c r="AP63" i="49"/>
  <c r="N64" i="49"/>
  <c r="T64" i="49"/>
  <c r="AE64" i="49"/>
  <c r="AF64" i="49"/>
  <c r="AG64" i="49"/>
  <c r="AJ64" i="49"/>
  <c r="AK64" i="49"/>
  <c r="AL64" i="49"/>
  <c r="AM64" i="49"/>
  <c r="AO64" i="49"/>
  <c r="AP64" i="49"/>
  <c r="N65" i="49"/>
  <c r="T65" i="49"/>
  <c r="AE65" i="49"/>
  <c r="AF65" i="49"/>
  <c r="AG65" i="49"/>
  <c r="AJ65" i="49"/>
  <c r="AK65" i="49"/>
  <c r="AL65" i="49"/>
  <c r="AM65" i="49"/>
  <c r="AO65" i="49"/>
  <c r="AP65" i="49"/>
  <c r="N66" i="49"/>
  <c r="T66" i="49"/>
  <c r="AE66" i="49"/>
  <c r="AF66" i="49"/>
  <c r="AG66" i="49"/>
  <c r="AJ66" i="49"/>
  <c r="AK66" i="49"/>
  <c r="AL66" i="49"/>
  <c r="AM66" i="49"/>
  <c r="AO66" i="49"/>
  <c r="AP66" i="49"/>
  <c r="N67" i="49"/>
  <c r="T67" i="49"/>
  <c r="AE67" i="49"/>
  <c r="AF67" i="49"/>
  <c r="AG67" i="49"/>
  <c r="AJ67" i="49"/>
  <c r="AK67" i="49"/>
  <c r="AL67" i="49"/>
  <c r="AM67" i="49"/>
  <c r="AO67" i="49"/>
  <c r="AP67" i="49"/>
  <c r="N68" i="49"/>
  <c r="T68" i="49"/>
  <c r="AE68" i="49"/>
  <c r="AF68" i="49"/>
  <c r="AG68" i="49"/>
  <c r="AJ68" i="49"/>
  <c r="AK68" i="49"/>
  <c r="AL68" i="49"/>
  <c r="AM68" i="49"/>
  <c r="AO68" i="49"/>
  <c r="AP68" i="49"/>
  <c r="N69" i="49"/>
  <c r="T69" i="49"/>
  <c r="AE69" i="49"/>
  <c r="AF69" i="49"/>
  <c r="AG69" i="49"/>
  <c r="AJ69" i="49"/>
  <c r="AK69" i="49"/>
  <c r="AL69" i="49"/>
  <c r="AM69" i="49"/>
  <c r="AO69" i="49"/>
  <c r="AP69" i="49"/>
  <c r="N70" i="49"/>
  <c r="T70" i="49"/>
  <c r="AE70" i="49"/>
  <c r="AF70" i="49"/>
  <c r="AG70" i="49"/>
  <c r="AJ70" i="49"/>
  <c r="AK70" i="49"/>
  <c r="AL70" i="49"/>
  <c r="AM70" i="49"/>
  <c r="AO70" i="49"/>
  <c r="AP70" i="49"/>
  <c r="N71" i="49"/>
  <c r="T71" i="49"/>
  <c r="AE71" i="49"/>
  <c r="AF71" i="49"/>
  <c r="AG71" i="49"/>
  <c r="AJ71" i="49"/>
  <c r="AK71" i="49"/>
  <c r="AL71" i="49"/>
  <c r="AM71" i="49"/>
  <c r="AO71" i="49"/>
  <c r="AP71" i="49"/>
  <c r="N73" i="49"/>
  <c r="T73" i="49"/>
  <c r="AE73" i="49"/>
  <c r="AF73" i="49"/>
  <c r="AG73" i="49"/>
  <c r="AJ73" i="49"/>
  <c r="AK73" i="49"/>
  <c r="AL73" i="49"/>
  <c r="AM73" i="49"/>
  <c r="AO73" i="49"/>
  <c r="AP73" i="49"/>
  <c r="AO75" i="49"/>
  <c r="AP75" i="49"/>
  <c r="AE78" i="49"/>
  <c r="AF78" i="49"/>
  <c r="N5" i="50"/>
  <c r="T5" i="50"/>
  <c r="AE5" i="50"/>
  <c r="AF5" i="50"/>
  <c r="AG5" i="50"/>
  <c r="AJ5" i="50"/>
  <c r="AK5" i="50"/>
  <c r="AL5" i="50"/>
  <c r="AM5" i="50"/>
  <c r="AO5" i="50"/>
  <c r="AP5" i="50"/>
  <c r="N6" i="50"/>
  <c r="T6" i="50"/>
  <c r="AE6" i="50"/>
  <c r="AF6" i="50"/>
  <c r="AG6" i="50"/>
  <c r="AJ6" i="50"/>
  <c r="AK6" i="50"/>
  <c r="AL6" i="50"/>
  <c r="AM6" i="50"/>
  <c r="AO6" i="50"/>
  <c r="AP6" i="50"/>
  <c r="N7" i="50"/>
  <c r="T7" i="50"/>
  <c r="AE7" i="50"/>
  <c r="AF7" i="50"/>
  <c r="AG7" i="50"/>
  <c r="AJ7" i="50"/>
  <c r="AK7" i="50"/>
  <c r="AL7" i="50"/>
  <c r="AM7" i="50"/>
  <c r="AO7" i="50"/>
  <c r="AP7" i="50"/>
  <c r="N8" i="50"/>
  <c r="T8" i="50"/>
  <c r="AE8" i="50"/>
  <c r="AF8" i="50"/>
  <c r="AG8" i="50"/>
  <c r="AJ8" i="50"/>
  <c r="AK8" i="50"/>
  <c r="AL8" i="50"/>
  <c r="AM8" i="50"/>
  <c r="AO8" i="50"/>
  <c r="AP8" i="50"/>
  <c r="N9" i="50"/>
  <c r="T9" i="50"/>
  <c r="AF9" i="50"/>
  <c r="AG9" i="50"/>
  <c r="AJ9" i="50"/>
  <c r="AK9" i="50"/>
  <c r="AL9" i="50"/>
  <c r="AM9" i="50"/>
  <c r="AP9" i="50"/>
  <c r="N10" i="50"/>
  <c r="T10" i="50"/>
  <c r="AF10" i="50"/>
  <c r="AG10" i="50"/>
  <c r="AJ10" i="50"/>
  <c r="AK10" i="50"/>
  <c r="AL10" i="50"/>
  <c r="AM10" i="50"/>
  <c r="AP10" i="50"/>
  <c r="N11" i="50"/>
  <c r="T11" i="50"/>
  <c r="AF11" i="50"/>
  <c r="AG11" i="50"/>
  <c r="AJ11" i="50"/>
  <c r="AK11" i="50"/>
  <c r="AL11" i="50"/>
  <c r="AM11" i="50"/>
  <c r="AP11" i="50"/>
  <c r="AE12" i="50"/>
  <c r="AF12" i="50"/>
  <c r="AG12" i="50"/>
  <c r="AM12" i="50"/>
  <c r="N13" i="50"/>
  <c r="T13" i="50"/>
  <c r="AE13" i="50"/>
  <c r="AF13" i="50"/>
  <c r="AG13" i="50"/>
  <c r="AJ13" i="50"/>
  <c r="AK13" i="50"/>
  <c r="AL13" i="50"/>
  <c r="AM13" i="50"/>
  <c r="AO13" i="50"/>
  <c r="AP13" i="50"/>
  <c r="N14" i="50"/>
  <c r="T14" i="50"/>
  <c r="AE14" i="50"/>
  <c r="AF14" i="50"/>
  <c r="AG14" i="50"/>
  <c r="AJ14" i="50"/>
  <c r="AK14" i="50"/>
  <c r="AL14" i="50"/>
  <c r="AM14" i="50"/>
  <c r="AO14" i="50"/>
  <c r="AP14" i="50"/>
  <c r="N15" i="50"/>
  <c r="T15" i="50"/>
  <c r="AE15" i="50"/>
  <c r="AF15" i="50"/>
  <c r="AG15" i="50"/>
  <c r="AJ15" i="50"/>
  <c r="AK15" i="50"/>
  <c r="AL15" i="50"/>
  <c r="AM15" i="50"/>
  <c r="AO15" i="50"/>
  <c r="AP15" i="50"/>
  <c r="N16" i="50"/>
  <c r="T16" i="50"/>
  <c r="AE16" i="50"/>
  <c r="AF16" i="50"/>
  <c r="AG16" i="50"/>
  <c r="AJ16" i="50"/>
  <c r="AK16" i="50"/>
  <c r="AL16" i="50"/>
  <c r="AM16" i="50"/>
  <c r="AO16" i="50"/>
  <c r="AP16" i="50"/>
  <c r="N17" i="50"/>
  <c r="T17" i="50"/>
  <c r="AF17" i="50"/>
  <c r="AG17" i="50"/>
  <c r="AJ17" i="50"/>
  <c r="AK17" i="50"/>
  <c r="AL17" i="50"/>
  <c r="AM17" i="50"/>
  <c r="AP17" i="50"/>
  <c r="N18" i="50"/>
  <c r="T18" i="50"/>
  <c r="AF18" i="50"/>
  <c r="AG18" i="50"/>
  <c r="AJ18" i="50"/>
  <c r="AK18" i="50"/>
  <c r="AL18" i="50"/>
  <c r="AM18" i="50"/>
  <c r="AP18" i="50"/>
  <c r="N19" i="50"/>
  <c r="T19" i="50"/>
  <c r="AF19" i="50"/>
  <c r="AG19" i="50"/>
  <c r="AJ19" i="50"/>
  <c r="AK19" i="50"/>
  <c r="AL19" i="50"/>
  <c r="AM19" i="50"/>
  <c r="AP19" i="50"/>
  <c r="N20" i="50"/>
  <c r="T20" i="50"/>
  <c r="AF20" i="50"/>
  <c r="AG20" i="50"/>
  <c r="AJ20" i="50"/>
  <c r="AK20" i="50"/>
  <c r="AL20" i="50"/>
  <c r="AM20" i="50"/>
  <c r="AP20" i="50"/>
  <c r="N21" i="50"/>
  <c r="T21" i="50"/>
  <c r="AF21" i="50"/>
  <c r="AG21" i="50"/>
  <c r="AJ21" i="50"/>
  <c r="AK21" i="50"/>
  <c r="AL21" i="50"/>
  <c r="AM21" i="50"/>
  <c r="AP21" i="50"/>
  <c r="N22" i="50"/>
  <c r="T22" i="50"/>
  <c r="AF22" i="50"/>
  <c r="AG22" i="50"/>
  <c r="AJ22" i="50"/>
  <c r="AK22" i="50"/>
  <c r="AL22" i="50"/>
  <c r="AM22" i="50"/>
  <c r="AP22" i="50"/>
  <c r="N23" i="50"/>
  <c r="T23" i="50"/>
  <c r="AF23" i="50"/>
  <c r="AG23" i="50"/>
  <c r="AJ23" i="50"/>
  <c r="AK23" i="50"/>
  <c r="AL23" i="50"/>
  <c r="AM23" i="50"/>
  <c r="AP23" i="50"/>
  <c r="N24" i="50"/>
  <c r="T24" i="50"/>
  <c r="AF24" i="50"/>
  <c r="AG24" i="50"/>
  <c r="AJ24" i="50"/>
  <c r="AK24" i="50"/>
  <c r="AL24" i="50"/>
  <c r="AM24" i="50"/>
  <c r="AP24" i="50"/>
  <c r="N25" i="50"/>
  <c r="T25" i="50"/>
  <c r="AF25" i="50"/>
  <c r="AG25" i="50"/>
  <c r="AJ25" i="50"/>
  <c r="AK25" i="50"/>
  <c r="AL25" i="50"/>
  <c r="AM25" i="50"/>
  <c r="AP25" i="50"/>
  <c r="N26" i="50"/>
  <c r="T26" i="50"/>
  <c r="AF26" i="50"/>
  <c r="AG26" i="50"/>
  <c r="AJ26" i="50"/>
  <c r="AK26" i="50"/>
  <c r="AL26" i="50"/>
  <c r="AM26" i="50"/>
  <c r="AP26" i="50"/>
  <c r="N27" i="50"/>
  <c r="T27" i="50"/>
  <c r="AF27" i="50"/>
  <c r="AG27" i="50"/>
  <c r="AJ27" i="50"/>
  <c r="AK27" i="50"/>
  <c r="AL27" i="50"/>
  <c r="AM27" i="50"/>
  <c r="AP27" i="50"/>
  <c r="N28" i="50"/>
  <c r="T28" i="50"/>
  <c r="AF28" i="50"/>
  <c r="AG28" i="50"/>
  <c r="AJ28" i="50"/>
  <c r="AK28" i="50"/>
  <c r="AL28" i="50"/>
  <c r="AM28" i="50"/>
  <c r="AP28" i="50"/>
  <c r="N29" i="50"/>
  <c r="T29" i="50"/>
  <c r="AE29" i="50"/>
  <c r="AF29" i="50"/>
  <c r="AG29" i="50"/>
  <c r="AJ29" i="50"/>
  <c r="AK29" i="50"/>
  <c r="AL29" i="50"/>
  <c r="AM29" i="50"/>
  <c r="AO29" i="50"/>
  <c r="AP29" i="50"/>
  <c r="N30" i="50"/>
  <c r="T30" i="50"/>
  <c r="AE30" i="50"/>
  <c r="AF30" i="50"/>
  <c r="AG30" i="50"/>
  <c r="AJ30" i="50"/>
  <c r="AK30" i="50"/>
  <c r="AL30" i="50"/>
  <c r="AM30" i="50"/>
  <c r="AO30" i="50"/>
  <c r="AP30" i="50"/>
  <c r="N31" i="50"/>
  <c r="T31" i="50"/>
  <c r="AE31" i="50"/>
  <c r="AF31" i="50"/>
  <c r="AG31" i="50"/>
  <c r="AJ31" i="50"/>
  <c r="AK31" i="50"/>
  <c r="AL31" i="50"/>
  <c r="AM31" i="50"/>
  <c r="AO31" i="50"/>
  <c r="AP31" i="50"/>
  <c r="N32" i="50"/>
  <c r="T32" i="50"/>
  <c r="AE32" i="50"/>
  <c r="AF32" i="50"/>
  <c r="AG32" i="50"/>
  <c r="AJ32" i="50"/>
  <c r="AK32" i="50"/>
  <c r="AL32" i="50"/>
  <c r="AM32" i="50"/>
  <c r="AO32" i="50"/>
  <c r="AP32" i="50"/>
  <c r="N33" i="50"/>
  <c r="T33" i="50"/>
  <c r="AE33" i="50"/>
  <c r="AF33" i="50"/>
  <c r="AG33" i="50"/>
  <c r="AJ33" i="50"/>
  <c r="AK33" i="50"/>
  <c r="AL33" i="50"/>
  <c r="AM33" i="50"/>
  <c r="AO33" i="50"/>
  <c r="AP33" i="50"/>
  <c r="N34" i="50"/>
  <c r="T34" i="50"/>
  <c r="AE34" i="50"/>
  <c r="AF34" i="50"/>
  <c r="AG34" i="50"/>
  <c r="AJ34" i="50"/>
  <c r="AK34" i="50"/>
  <c r="AL34" i="50"/>
  <c r="AM34" i="50"/>
  <c r="AO34" i="50"/>
  <c r="AP34" i="50"/>
  <c r="N35" i="50"/>
  <c r="T35" i="50"/>
  <c r="AE35" i="50"/>
  <c r="AF35" i="50"/>
  <c r="AG35" i="50"/>
  <c r="AJ35" i="50"/>
  <c r="AK35" i="50"/>
  <c r="AL35" i="50"/>
  <c r="AM35" i="50"/>
  <c r="AO35" i="50"/>
  <c r="AP35" i="50"/>
  <c r="N36" i="50"/>
  <c r="T36" i="50"/>
  <c r="AE36" i="50"/>
  <c r="AF36" i="50"/>
  <c r="AG36" i="50"/>
  <c r="AJ36" i="50"/>
  <c r="AK36" i="50"/>
  <c r="AL36" i="50"/>
  <c r="AM36" i="50"/>
  <c r="AO36" i="50"/>
  <c r="AP36" i="50"/>
  <c r="N37" i="50"/>
  <c r="T37" i="50"/>
  <c r="AE37" i="50"/>
  <c r="AF37" i="50"/>
  <c r="AG37" i="50"/>
  <c r="AJ37" i="50"/>
  <c r="AK37" i="50"/>
  <c r="AL37" i="50"/>
  <c r="AM37" i="50"/>
  <c r="AO37" i="50"/>
  <c r="AP37" i="50"/>
  <c r="N38" i="50"/>
  <c r="T38" i="50"/>
  <c r="AE38" i="50"/>
  <c r="AF38" i="50"/>
  <c r="AG38" i="50"/>
  <c r="AJ38" i="50"/>
  <c r="AK38" i="50"/>
  <c r="AL38" i="50"/>
  <c r="AM38" i="50"/>
  <c r="AO38" i="50"/>
  <c r="AP38" i="50"/>
  <c r="N39" i="50"/>
  <c r="T39" i="50"/>
  <c r="AE39" i="50"/>
  <c r="AF39" i="50"/>
  <c r="AG39" i="50"/>
  <c r="AJ39" i="50"/>
  <c r="AK39" i="50"/>
  <c r="AL39" i="50"/>
  <c r="AM39" i="50"/>
  <c r="AO39" i="50"/>
  <c r="AP39" i="50"/>
  <c r="N40" i="50"/>
  <c r="T40" i="50"/>
  <c r="AE40" i="50"/>
  <c r="AF40" i="50"/>
  <c r="AG40" i="50"/>
  <c r="AJ40" i="50"/>
  <c r="AK40" i="50"/>
  <c r="AL40" i="50"/>
  <c r="AM40" i="50"/>
  <c r="AO40" i="50"/>
  <c r="AP40" i="50"/>
  <c r="N41" i="50"/>
  <c r="T41" i="50"/>
  <c r="AE41" i="50"/>
  <c r="AF41" i="50"/>
  <c r="AG41" i="50"/>
  <c r="AJ41" i="50"/>
  <c r="AK41" i="50"/>
  <c r="AL41" i="50"/>
  <c r="AM41" i="50"/>
  <c r="AO41" i="50"/>
  <c r="AP41" i="50"/>
  <c r="N42" i="50"/>
  <c r="T42" i="50"/>
  <c r="AE42" i="50"/>
  <c r="AF42" i="50"/>
  <c r="AG42" i="50"/>
  <c r="AJ42" i="50"/>
  <c r="AK42" i="50"/>
  <c r="AL42" i="50"/>
  <c r="AM42" i="50"/>
  <c r="AO42" i="50"/>
  <c r="AP42" i="50"/>
  <c r="N43" i="50"/>
  <c r="T43" i="50"/>
  <c r="AE43" i="50"/>
  <c r="AF43" i="50"/>
  <c r="AG43" i="50"/>
  <c r="AJ43" i="50"/>
  <c r="AK43" i="50"/>
  <c r="AL43" i="50"/>
  <c r="AM43" i="50"/>
  <c r="AO43" i="50"/>
  <c r="AP43" i="50"/>
  <c r="N44" i="50"/>
  <c r="T44" i="50"/>
  <c r="AE44" i="50"/>
  <c r="AF44" i="50"/>
  <c r="AG44" i="50"/>
  <c r="AJ44" i="50"/>
  <c r="AK44" i="50"/>
  <c r="AL44" i="50"/>
  <c r="AM44" i="50"/>
  <c r="AO44" i="50"/>
  <c r="AP44" i="50"/>
  <c r="N45" i="50"/>
  <c r="T45" i="50"/>
  <c r="AE45" i="50"/>
  <c r="AF45" i="50"/>
  <c r="AG45" i="50"/>
  <c r="AJ45" i="50"/>
  <c r="AK45" i="50"/>
  <c r="AL45" i="50"/>
  <c r="AM45" i="50"/>
  <c r="AO45" i="50"/>
  <c r="AP45" i="50"/>
  <c r="N46" i="50"/>
  <c r="T46" i="50"/>
  <c r="AE46" i="50"/>
  <c r="AF46" i="50"/>
  <c r="AG46" i="50"/>
  <c r="AJ46" i="50"/>
  <c r="AK46" i="50"/>
  <c r="AL46" i="50"/>
  <c r="AM46" i="50"/>
  <c r="AO46" i="50"/>
  <c r="AP46" i="50"/>
  <c r="N47" i="50"/>
  <c r="T47" i="50"/>
  <c r="AE47" i="50"/>
  <c r="AF47" i="50"/>
  <c r="AG47" i="50"/>
  <c r="AJ47" i="50"/>
  <c r="AK47" i="50"/>
  <c r="AL47" i="50"/>
  <c r="AM47" i="50"/>
  <c r="AO47" i="50"/>
  <c r="AP47" i="50"/>
  <c r="N48" i="50"/>
  <c r="T48" i="50"/>
  <c r="AE48" i="50"/>
  <c r="AF48" i="50"/>
  <c r="AG48" i="50"/>
  <c r="AJ48" i="50"/>
  <c r="AK48" i="50"/>
  <c r="AL48" i="50"/>
  <c r="AM48" i="50"/>
  <c r="AO48" i="50"/>
  <c r="AP48" i="50"/>
  <c r="N49" i="50"/>
  <c r="T49" i="50"/>
  <c r="AE49" i="50"/>
  <c r="AF49" i="50"/>
  <c r="AG49" i="50"/>
  <c r="AJ49" i="50"/>
  <c r="AK49" i="50"/>
  <c r="AL49" i="50"/>
  <c r="AM49" i="50"/>
  <c r="AO49" i="50"/>
  <c r="AP49" i="50"/>
  <c r="N50" i="50"/>
  <c r="T50" i="50"/>
  <c r="AE50" i="50"/>
  <c r="AF50" i="50"/>
  <c r="AG50" i="50"/>
  <c r="AJ50" i="50"/>
  <c r="AK50" i="50"/>
  <c r="AL50" i="50"/>
  <c r="AM50" i="50"/>
  <c r="AO50" i="50"/>
  <c r="AP50" i="50"/>
  <c r="N51" i="50"/>
  <c r="T51" i="50"/>
  <c r="AE51" i="50"/>
  <c r="AF51" i="50"/>
  <c r="AG51" i="50"/>
  <c r="AJ51" i="50"/>
  <c r="AK51" i="50"/>
  <c r="AL51" i="50"/>
  <c r="AM51" i="50"/>
  <c r="AO51" i="50"/>
  <c r="AP51" i="50"/>
  <c r="N52" i="50"/>
  <c r="T52" i="50"/>
  <c r="AE52" i="50"/>
  <c r="AF52" i="50"/>
  <c r="AG52" i="50"/>
  <c r="AJ52" i="50"/>
  <c r="AK52" i="50"/>
  <c r="AL52" i="50"/>
  <c r="AM52" i="50"/>
  <c r="AO52" i="50"/>
  <c r="AP52" i="50"/>
  <c r="N53" i="50"/>
  <c r="T53" i="50"/>
  <c r="AE53" i="50"/>
  <c r="AF53" i="50"/>
  <c r="AG53" i="50"/>
  <c r="AJ53" i="50"/>
  <c r="AK53" i="50"/>
  <c r="AL53" i="50"/>
  <c r="AM53" i="50"/>
  <c r="AO53" i="50"/>
  <c r="AP53" i="50"/>
  <c r="N54" i="50"/>
  <c r="T54" i="50"/>
  <c r="AE54" i="50"/>
  <c r="AF54" i="50"/>
  <c r="AG54" i="50"/>
  <c r="AJ54" i="50"/>
  <c r="AK54" i="50"/>
  <c r="AL54" i="50"/>
  <c r="AM54" i="50"/>
  <c r="AO54" i="50"/>
  <c r="AP54" i="50"/>
  <c r="N55" i="50"/>
  <c r="T55" i="50"/>
  <c r="AE55" i="50"/>
  <c r="AF55" i="50"/>
  <c r="AG55" i="50"/>
  <c r="AJ55" i="50"/>
  <c r="AK55" i="50"/>
  <c r="AL55" i="50"/>
  <c r="AM55" i="50"/>
  <c r="AO55" i="50"/>
  <c r="AP55" i="50"/>
  <c r="N56" i="50"/>
  <c r="T56" i="50"/>
  <c r="AE56" i="50"/>
  <c r="AF56" i="50"/>
  <c r="AG56" i="50"/>
  <c r="AJ56" i="50"/>
  <c r="AK56" i="50"/>
  <c r="AL56" i="50"/>
  <c r="AM56" i="50"/>
  <c r="AO56" i="50"/>
  <c r="AP56" i="50"/>
  <c r="N57" i="50"/>
  <c r="T57" i="50"/>
  <c r="AE57" i="50"/>
  <c r="AF57" i="50"/>
  <c r="AG57" i="50"/>
  <c r="AJ57" i="50"/>
  <c r="AK57" i="50"/>
  <c r="AL57" i="50"/>
  <c r="AM57" i="50"/>
  <c r="AO57" i="50"/>
  <c r="AP57" i="50"/>
  <c r="N58" i="50"/>
  <c r="T58" i="50"/>
  <c r="AE58" i="50"/>
  <c r="AF58" i="50"/>
  <c r="AG58" i="50"/>
  <c r="AJ58" i="50"/>
  <c r="AK58" i="50"/>
  <c r="AL58" i="50"/>
  <c r="AM58" i="50"/>
  <c r="AO58" i="50"/>
  <c r="AP58" i="50"/>
  <c r="N59" i="50"/>
  <c r="T59" i="50"/>
  <c r="AE59" i="50"/>
  <c r="AF59" i="50"/>
  <c r="AG59" i="50"/>
  <c r="AJ59" i="50"/>
  <c r="AK59" i="50"/>
  <c r="AL59" i="50"/>
  <c r="AM59" i="50"/>
  <c r="AO59" i="50"/>
  <c r="AP59" i="50"/>
  <c r="N60" i="50"/>
  <c r="T60" i="50"/>
  <c r="AE60" i="50"/>
  <c r="AF60" i="50"/>
  <c r="AG60" i="50"/>
  <c r="AJ60" i="50"/>
  <c r="AK60" i="50"/>
  <c r="AL60" i="50"/>
  <c r="AM60" i="50"/>
  <c r="AO60" i="50"/>
  <c r="AP60" i="50"/>
  <c r="N61" i="50"/>
  <c r="T61" i="50"/>
  <c r="AE61" i="50"/>
  <c r="AF61" i="50"/>
  <c r="AG61" i="50"/>
  <c r="AJ61" i="50"/>
  <c r="AK61" i="50"/>
  <c r="AL61" i="50"/>
  <c r="AM61" i="50"/>
  <c r="AO61" i="50"/>
  <c r="AP61" i="50"/>
  <c r="N62" i="50"/>
  <c r="T62" i="50"/>
  <c r="AE62" i="50"/>
  <c r="AF62" i="50"/>
  <c r="AG62" i="50"/>
  <c r="AJ62" i="50"/>
  <c r="AK62" i="50"/>
  <c r="AL62" i="50"/>
  <c r="AM62" i="50"/>
  <c r="AO62" i="50"/>
  <c r="AP62" i="50"/>
  <c r="N63" i="50"/>
  <c r="T63" i="50"/>
  <c r="AE63" i="50"/>
  <c r="AF63" i="50"/>
  <c r="AG63" i="50"/>
  <c r="AJ63" i="50"/>
  <c r="AK63" i="50"/>
  <c r="AL63" i="50"/>
  <c r="AM63" i="50"/>
  <c r="AO63" i="50"/>
  <c r="AP63" i="50"/>
  <c r="N64" i="50"/>
  <c r="T64" i="50"/>
  <c r="AE64" i="50"/>
  <c r="AF64" i="50"/>
  <c r="AG64" i="50"/>
  <c r="AJ64" i="50"/>
  <c r="AK64" i="50"/>
  <c r="AL64" i="50"/>
  <c r="AM64" i="50"/>
  <c r="AO64" i="50"/>
  <c r="AP64" i="50"/>
  <c r="N65" i="50"/>
  <c r="T65" i="50"/>
  <c r="AE65" i="50"/>
  <c r="AF65" i="50"/>
  <c r="AG65" i="50"/>
  <c r="AJ65" i="50"/>
  <c r="AK65" i="50"/>
  <c r="AL65" i="50"/>
  <c r="AM65" i="50"/>
  <c r="AO65" i="50"/>
  <c r="AP65" i="50"/>
  <c r="N66" i="50"/>
  <c r="T66" i="50"/>
  <c r="AE66" i="50"/>
  <c r="AF66" i="50"/>
  <c r="AG66" i="50"/>
  <c r="AJ66" i="50"/>
  <c r="AK66" i="50"/>
  <c r="AL66" i="50"/>
  <c r="AM66" i="50"/>
  <c r="AO66" i="50"/>
  <c r="AP66" i="50"/>
  <c r="N67" i="50"/>
  <c r="T67" i="50"/>
  <c r="AE67" i="50"/>
  <c r="AF67" i="50"/>
  <c r="AG67" i="50"/>
  <c r="AJ67" i="50"/>
  <c r="AK67" i="50"/>
  <c r="AL67" i="50"/>
  <c r="AM67" i="50"/>
  <c r="AO67" i="50"/>
  <c r="AP67" i="50"/>
  <c r="N68" i="50"/>
  <c r="T68" i="50"/>
  <c r="AE68" i="50"/>
  <c r="AF68" i="50"/>
  <c r="AG68" i="50"/>
  <c r="AJ68" i="50"/>
  <c r="AK68" i="50"/>
  <c r="AL68" i="50"/>
  <c r="AM68" i="50"/>
  <c r="AO68" i="50"/>
  <c r="AP68" i="50"/>
  <c r="N69" i="50"/>
  <c r="T69" i="50"/>
  <c r="AE69" i="50"/>
  <c r="AF69" i="50"/>
  <c r="AG69" i="50"/>
  <c r="AJ69" i="50"/>
  <c r="AK69" i="50"/>
  <c r="AL69" i="50"/>
  <c r="AM69" i="50"/>
  <c r="AO69" i="50"/>
  <c r="AP69" i="50"/>
  <c r="N70" i="50"/>
  <c r="T70" i="50"/>
  <c r="AE70" i="50"/>
  <c r="AF70" i="50"/>
  <c r="AG70" i="50"/>
  <c r="AJ70" i="50"/>
  <c r="AK70" i="50"/>
  <c r="AL70" i="50"/>
  <c r="AM70" i="50"/>
  <c r="AO70" i="50"/>
  <c r="AP70" i="50"/>
  <c r="N71" i="50"/>
  <c r="T71" i="50"/>
  <c r="AE71" i="50"/>
  <c r="AF71" i="50"/>
  <c r="AG71" i="50"/>
  <c r="AJ71" i="50"/>
  <c r="AK71" i="50"/>
  <c r="AL71" i="50"/>
  <c r="AM71" i="50"/>
  <c r="AO71" i="50"/>
  <c r="AP71" i="50"/>
  <c r="N73" i="50"/>
  <c r="T73" i="50"/>
  <c r="AE73" i="50"/>
  <c r="AF73" i="50"/>
  <c r="AG73" i="50"/>
  <c r="AJ73" i="50"/>
  <c r="AK73" i="50"/>
  <c r="AL73" i="50"/>
  <c r="AM73" i="50"/>
  <c r="AO73" i="50"/>
  <c r="AP73" i="50"/>
  <c r="AO75" i="50"/>
  <c r="AP75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C36FDA7D-276F-4804-9E06-E6F260A656BE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58E768-FEAB-4F7F-AC37-AD4805D9FB5F}" name="Conexão" type="7" refreshedVersion="8" background="1" saveData="1"/>
  <connection id="2" xr16:uid="{A3EE1BF1-5A04-4539-A1B4-F7D3FC6DBE58}" name="Conexão1" type="7" refreshedVersion="8" background="1" saveData="1"/>
  <connection id="3" xr16:uid="{74E45510-E0A2-45D6-89C3-D643035AB499}" name="Conexão2" type="7" refreshedVersion="8" background="1" saveData="1"/>
</connections>
</file>

<file path=xl/sharedStrings.xml><?xml version="1.0" encoding="utf-8"?>
<sst xmlns="http://schemas.openxmlformats.org/spreadsheetml/2006/main" count="87102" uniqueCount="1624">
  <si>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</si>
  <si>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</si>
  <si>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</si>
  <si>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</si>
  <si>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</si>
  <si>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</si>
  <si>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</si>
  <si>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</si>
  <si>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</si>
  <si>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</si>
  <si>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</si>
  <si>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</si>
  <si>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</si>
  <si>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</si>
  <si>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</si>
  <si>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</si>
  <si>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</si>
  <si>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</si>
  <si>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</si>
  <si>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</si>
  <si>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</si>
  <si>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</si>
  <si>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</si>
  <si>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</si>
  <si>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</si>
  <si>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</si>
  <si>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</si>
  <si>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</si>
  <si>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</si>
  <si>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</si>
  <si>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</si>
  <si>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</si>
  <si>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</si>
  <si>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</si>
  <si>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</si>
  <si>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</si>
  <si>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</si>
  <si>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</si>
  <si>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</si>
  <si>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A3</t>
  </si>
  <si>
    <t>Azul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</si>
  <si>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</si>
  <si>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</si>
  <si>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</si>
  <si>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</si>
  <si>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</si>
  <si>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</si>
  <si>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</si>
  <si>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</si>
  <si>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</si>
  <si>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</si>
  <si>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</si>
  <si>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</si>
  <si>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</si>
  <si>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</si>
  <si>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</si>
  <si>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</si>
  <si>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LIVRE</t>
  </si>
  <si>
    <t>APE</t>
  </si>
  <si>
    <t>LIVRE APE</t>
  </si>
  <si>
    <t>Fonte incentivada</t>
  </si>
  <si>
    <t>Distribuição</t>
  </si>
  <si>
    <t>Ceal</t>
  </si>
  <si>
    <t>DISTRIBUIÇÃO</t>
  </si>
  <si>
    <t>&lt;500</t>
  </si>
  <si>
    <t>Sulgipe</t>
  </si>
  <si>
    <t>SUPRIMENTO</t>
  </si>
  <si>
    <t>Coelba</t>
  </si>
  <si>
    <t>Cercos</t>
  </si>
  <si>
    <t>Geração</t>
  </si>
  <si>
    <t>Dupla contratação</t>
  </si>
  <si>
    <t>Iolando Leite</t>
  </si>
  <si>
    <t>GERAÇÃO</t>
  </si>
  <si>
    <t>São José do Pinheiro</t>
  </si>
  <si>
    <t>Barra dos Coqueiros</t>
  </si>
  <si>
    <t>Campo Lindo</t>
  </si>
  <si>
    <t>Taquari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</si>
  <si>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</si>
  <si>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</si>
  <si>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</si>
  <si>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</si>
  <si>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</si>
  <si>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</si>
  <si>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</si>
  <si>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</si>
  <si>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</si>
  <si>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</si>
  <si>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</si>
  <si>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</si>
  <si>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</si>
  <si>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</si>
  <si>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</si>
  <si>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</si>
  <si>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</si>
  <si>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</si>
  <si>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</si>
  <si>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suprimento concessionária</t>
  </si>
  <si>
    <t>&lt;500GWh</t>
  </si>
  <si>
    <t>E</t>
  </si>
  <si>
    <t>kW</t>
  </si>
  <si>
    <t>DP</t>
  </si>
  <si>
    <t>DFP</t>
  </si>
  <si>
    <t>Energia suprimento permissionária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</si>
  <si>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</si>
  <si>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</si>
  <si>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</si>
  <si>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</si>
  <si>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</si>
  <si>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</si>
  <si>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</si>
  <si>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</si>
  <si>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</si>
  <si>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</si>
  <si>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</si>
  <si>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44287A3AzulNão se aplicaNão se aplicaAPENão se aplicaNão se aplica</t>
  </si>
  <si>
    <t>44317A3AzulNão se aplicaNão se aplicaAPENão se aplicaNão se aplica</t>
  </si>
  <si>
    <t>44348A3AzulNão se aplicaNão se aplicaAPENão se aplicaNão se aplica</t>
  </si>
  <si>
    <t>44378A3AzulNão se aplicaNão se aplicaAPENão se aplicaNão se aplica</t>
  </si>
  <si>
    <t>44409A3AzulNão se aplicaNão se aplicaAPENão se aplicaNão se aplica</t>
  </si>
  <si>
    <t>44440A3AzulNão se aplicaNão se aplicaAPENão se aplicaNão se aplica</t>
  </si>
  <si>
    <t>44470A3AzulNão se aplicaNão se aplicaAPENão se aplicaNão se aplica</t>
  </si>
  <si>
    <t>44501A3AzulNão se aplicaNão se aplicaAPENão se aplicaNão se aplica</t>
  </si>
  <si>
    <t>44531A3AzulNão se aplicaNão se aplicaAPENão se aplicaNão se aplica</t>
  </si>
  <si>
    <t>44562A3AzulNão se aplicaNão se aplicaAPENão se aplicaNão se aplica</t>
  </si>
  <si>
    <t>44593A3AzulNão se aplicaNão se aplicaAPENão se aplicaNão se aplica</t>
  </si>
  <si>
    <t>44621A3AzulNão se aplicaNão se aplicaAPENão se aplicaNão se aplica</t>
  </si>
  <si>
    <t>44287A3AzulNão se aplicaNão se aplicaNão se aplicaNão se aplicaFora ponta</t>
  </si>
  <si>
    <t>44317A3AzulNão se aplicaNão se aplicaNão se aplicaNão se aplicaFora ponta</t>
  </si>
  <si>
    <t>44348A3AzulNão se aplicaNão se aplicaNão se aplicaNão se aplicaFora ponta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</si>
  <si>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</si>
  <si>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</si>
  <si>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</si>
  <si>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</si>
  <si>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</si>
  <si>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</si>
  <si>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</si>
  <si>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</si>
  <si>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</si>
  <si>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44287A3AzulNão se aplicaNão se aplicaNão se aplicaNão se aplicaNão se aplica</t>
  </si>
  <si>
    <t>44317A3AzulNão se aplicaNão se aplicaNão se aplicaNão se aplicaNão se aplica</t>
  </si>
  <si>
    <t>44348A3AzulNão se aplicaNão se aplicaNão se aplicaNão se aplicaNão se aplica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</si>
  <si>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</si>
  <si>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</si>
  <si>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</si>
  <si>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</si>
  <si>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</si>
  <si>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</si>
  <si>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</si>
  <si>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44593A3AzulNão se aplicaNão se aplicaNão se aplicaNão se aplicaNão se aplica</t>
  </si>
  <si>
    <t>44621A3AzulNão se aplicaNão se aplicaNão se aplicaNão se aplicaNão se aplica</t>
  </si>
  <si>
    <t>44287A3AzulNão se aplicaNão se aplicaNão se aplicaNão se aplicaPonta</t>
  </si>
  <si>
    <t>44317A3AzulNão se aplicaNão se aplicaNão se aplicaNão se aplicaPonta</t>
  </si>
  <si>
    <t>44348A3AzulNão se aplicaNão se aplicaNão se aplicaNão se aplicaPonta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</si>
  <si>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</si>
  <si>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</si>
  <si>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</si>
  <si>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</si>
  <si>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</si>
  <si>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</si>
  <si>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</si>
  <si>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</si>
  <si>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</si>
  <si>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44287A3DistribuiçãoNão se aplicaNão se aplicaNão se aplicaSulgipeNão se aplica</t>
  </si>
  <si>
    <t>44317A3DistribuiçãoNão se aplicaNão se aplicaNão se aplicaSulgipeNão se aplica</t>
  </si>
  <si>
    <t>44348A3DistribuiçãoNão se aplicaNão se aplicaNão se aplicaSulgipeNão se aplica</t>
  </si>
  <si>
    <t>44378A3DistribuiçãoNão se aplicaNão se aplicaNão se aplicaSulgipeNão se aplica</t>
  </si>
  <si>
    <t>44409A3DistribuiçãoNão se aplicaNão se aplicaNão se aplicaSulgipeNão se aplica</t>
  </si>
  <si>
    <t>44440A3DistribuiçãoNão se aplicaNão se aplicaNão se aplicaSulgipeNão se aplica</t>
  </si>
  <si>
    <t>44470A3DistribuiçãoNão se aplicaNão se aplicaNão se aplicaSulgipeNão se aplica</t>
  </si>
  <si>
    <t>44501A3DistribuiçãoNão se aplicaNão se aplicaNão se aplicaSulgipeNão se aplica</t>
  </si>
  <si>
    <t>44531A3DistribuiçãoNão se aplicaNão se aplicaNão se aplicaSulgipeNão se aplica</t>
  </si>
  <si>
    <t>44562A3DistribuiçãoNão se aplicaNão se aplicaNão se aplicaSulgipeNão se aplica</t>
  </si>
  <si>
    <t>44287A3GeraçãoNão se aplicaNão se aplicaNão se aplicaNão se aplicaNão se aplica</t>
  </si>
  <si>
    <t>44317A3GeraçãoNão se aplicaNão se aplicaNão se aplicaNão se aplicaNão se aplica</t>
  </si>
  <si>
    <t>44348A3GeraçãoNão se aplicaNão se aplicaNão se aplicaNão se aplicaNão se aplica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</si>
  <si>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</si>
  <si>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</si>
  <si>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</si>
  <si>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</si>
  <si>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</si>
  <si>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</si>
  <si>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</si>
  <si>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</si>
  <si>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</si>
  <si>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44287A4AzulNão se aplicaNão se aplicaNão se aplicaNão se aplicaFora ponta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</si>
  <si>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</si>
  <si>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</si>
  <si>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</si>
  <si>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</si>
  <si>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</si>
  <si>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</si>
  <si>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</si>
  <si>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</si>
  <si>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</si>
  <si>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</si>
  <si>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</si>
  <si>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44287A4AzulNão se aplicaNão se aplicaNão se aplicaNão se aplicaPonta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</si>
  <si>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</si>
  <si>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</si>
  <si>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</si>
  <si>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</si>
  <si>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</si>
  <si>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</si>
  <si>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</si>
  <si>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</si>
  <si>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</si>
  <si>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</si>
  <si>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</si>
  <si>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44287A4AzulNão se aplicaNão se aplicaNão se aplicaNão se aplicaNão se aplica</t>
  </si>
  <si>
    <t>44317A4AzulNão se aplicaNão se aplicaNão se aplicaNão se aplicaNão se aplica</t>
  </si>
  <si>
    <t>44348A4AzulNão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</si>
  <si>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</si>
  <si>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</si>
  <si>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</si>
  <si>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</si>
  <si>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</si>
  <si>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</si>
  <si>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</si>
  <si>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</si>
  <si>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</si>
  <si>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44287A4DistribuiçãoNão se aplicaNão se aplicaNão se aplicaCercosFora ponta</t>
  </si>
  <si>
    <t>44317A4DistribuiçãoNão se aplicaNão se aplicaNão se aplicaCercosFora ponta</t>
  </si>
  <si>
    <t>44348A4DistribuiçãoNão se aplicaNão se aplicaNão se aplicaCercosFora ponta</t>
  </si>
  <si>
    <t>44378A4DistribuiçãoNão se aplicaNão se aplicaNão se aplicaCercosFora ponta</t>
  </si>
  <si>
    <t>44409A4DistribuiçãoNão se aplicaNão se aplicaNão se aplicaCercosFora ponta</t>
  </si>
  <si>
    <t>44440A4DistribuiçãoNão se aplicaNão se aplicaNão se aplicaCercosFora ponta</t>
  </si>
  <si>
    <t>44470A4DistribuiçãoNão se aplicaNão se aplicaNão se aplicaCercosFora ponta</t>
  </si>
  <si>
    <t>44501A4DistribuiçãoNão se aplicaNão se aplicaNão se aplicaCercosFora ponta</t>
  </si>
  <si>
    <t>44531A4DistribuiçãoNão se aplicaNão se aplicaNão se aplicaCercosFora ponta</t>
  </si>
  <si>
    <t>44562A4DistribuiçãoNão se aplicaNão se aplicaNão se aplicaCercosFora ponta</t>
  </si>
  <si>
    <t>44593A4DistribuiçãoNão se aplicaNão se aplicaNão se aplicaCercosFora ponta</t>
  </si>
  <si>
    <t>44621A4DistribuiçãoNão se aplicaNão se aplicaNão se aplicaCercosFora ponta</t>
  </si>
  <si>
    <t>44287A4DistribuiçãoNão se aplicaNão se aplicaNão se aplicaCercosNão se aplica</t>
  </si>
  <si>
    <t>44317A4DistribuiçãoNão se aplicaNão se aplicaNão se aplicaCercosNão se aplica</t>
  </si>
  <si>
    <t>44348A4DistribuiçãoNão se aplicaNão se aplicaNão se aplicaCercosNão se aplica</t>
  </si>
  <si>
    <t>44378A4DistribuiçãoNão se aplicaNão se aplicaNão se aplicaCercosNão se aplica</t>
  </si>
  <si>
    <t>44409A4DistribuiçãoNão se aplicaNão se aplicaNão se aplicaCercosNão se aplica</t>
  </si>
  <si>
    <t>44440A4DistribuiçãoNão se aplicaNão se aplicaNão se aplicaCercosNão se aplica</t>
  </si>
  <si>
    <t>44470A4DistribuiçãoNão se aplicaNão se aplicaNão se aplicaCercosNão se aplica</t>
  </si>
  <si>
    <t>44501A4DistribuiçãoNão se aplicaNão se aplicaNão se aplicaCercosNão se aplica</t>
  </si>
  <si>
    <t>44531A4DistribuiçãoNão se aplicaNão se aplicaNão se aplicaCercosNão se aplica</t>
  </si>
  <si>
    <t>44562A4DistribuiçãoNão se aplicaNão se aplicaNão se aplicaCercosNão se aplica</t>
  </si>
  <si>
    <t>44593A4DistribuiçãoNão se aplicaNão se aplicaNão se aplicaSulgipeNão se aplica</t>
  </si>
  <si>
    <t>44593A4DistribuiçãoNão se aplicaNão se aplicaNão se aplicaCercosNão se aplica</t>
  </si>
  <si>
    <t>44621A4DistribuiçãoNão se aplicaNão se aplicaNão se aplicaSulgipeNão se aplica</t>
  </si>
  <si>
    <t>44621A4DistribuiçãoNão se aplicaNão se aplicaNão se aplicaCercosNão se aplica</t>
  </si>
  <si>
    <t>44287A4DistribuiçãoNão se aplicaNão se aplicaNão se aplicaCercosPonta</t>
  </si>
  <si>
    <t>44317A4DistribuiçãoNão se aplicaNão se aplicaNão se aplicaCercosPonta</t>
  </si>
  <si>
    <t>44348A4DistribuiçãoNão se aplicaNão se aplicaNão se aplicaCercosPonta</t>
  </si>
  <si>
    <t>44378A4DistribuiçãoNão se aplicaNão se aplicaNão se aplicaCercosPonta</t>
  </si>
  <si>
    <t>44409A4DistribuiçãoNão se aplicaNão se aplicaNão se aplicaCercosPonta</t>
  </si>
  <si>
    <t>44440A4DistribuiçãoNão se aplicaNão se aplicaNão se aplicaCercosPonta</t>
  </si>
  <si>
    <t>44470A4DistribuiçãoNão se aplicaNão se aplicaNão se aplicaCercosPonta</t>
  </si>
  <si>
    <t>44501A4DistribuiçãoNão se aplicaNão se aplicaNão se aplicaCercosPonta</t>
  </si>
  <si>
    <t>44531A4DistribuiçãoNão se aplicaNão se aplicaNão se aplicaCercosPonta</t>
  </si>
  <si>
    <t>44562A4DistribuiçãoNão se aplicaNão se aplicaNão se aplicaCercosPonta</t>
  </si>
  <si>
    <t>44593A4DistribuiçãoNão se aplicaNão se aplicaNão se aplicaCercosPonta</t>
  </si>
  <si>
    <t>44621A4DistribuiçãoNão se aplicaNão se aplicaNão se aplicaCercosPonta</t>
  </si>
  <si>
    <t>44287A4DistribuiçãoNão se aplicaNão se aplicaNão se aplicaCealFora ponta</t>
  </si>
  <si>
    <t>44287A4DistribuiçãoNão se aplicaNão se aplicaNão se aplicaCoelbaFora ponta</t>
  </si>
  <si>
    <t>44317A4DistribuiçãoNão se aplicaNão se aplicaNão se aplicaCealFora ponta</t>
  </si>
  <si>
    <t>44317A4DistribuiçãoNão se aplicaNão se aplicaNão se aplicaCoelbaFora ponta</t>
  </si>
  <si>
    <t>44348A4DistribuiçãoNão se aplicaNão se aplicaNão se aplicaCealFora ponta</t>
  </si>
  <si>
    <t>44348A4DistribuiçãoNão se aplicaNão se aplicaNão se aplicaCoelbaFora ponta</t>
  </si>
  <si>
    <t>44378A4DistribuiçãoNão se aplicaNão se aplicaNão se aplicaCealFora ponta</t>
  </si>
  <si>
    <t>44378A4DistribuiçãoNão se aplicaNão se aplicaNão se aplicaCoelbaFora ponta</t>
  </si>
  <si>
    <t>44409A4DistribuiçãoNão se aplicaNão se aplicaNão se aplicaCealFora ponta</t>
  </si>
  <si>
    <t>44409A4DistribuiçãoNão se aplicaNão se aplicaNão se aplicaCoelbaFora ponta</t>
  </si>
  <si>
    <t>44440A4DistribuiçãoNão se aplicaNão se aplicaNão se aplicaCealFora ponta</t>
  </si>
  <si>
    <t>44440A4DistribuiçãoNão se aplicaNão se aplicaNão se aplicaCoelbaFora ponta</t>
  </si>
  <si>
    <t>44470A4DistribuiçãoNão se aplicaNão se aplicaNão se aplicaCealFora ponta</t>
  </si>
  <si>
    <t>44470A4DistribuiçãoNão se aplicaNão se aplicaNão se aplicaCoelbaFora ponta</t>
  </si>
  <si>
    <t>44501A4DistribuiçãoNão se aplicaNão se aplicaNão se aplicaCealFora ponta</t>
  </si>
  <si>
    <t>44501A4DistribuiçãoNão se aplicaNão se aplicaNão se aplicaCoelbaFora ponta</t>
  </si>
  <si>
    <t>44531A4DistribuiçãoNão se aplicaNão se aplicaNão se aplicaCealFora ponta</t>
  </si>
  <si>
    <t>44531A4DistribuiçãoNão se aplicaNão se aplicaNão se aplicaCoelbaFora ponta</t>
  </si>
  <si>
    <t>44562A4DistribuiçãoNão se aplicaNão se aplicaNão se aplicaCealFora ponta</t>
  </si>
  <si>
    <t>44562A4DistribuiçãoNão se aplicaNão se aplicaNão se aplicaCoelbaFora ponta</t>
  </si>
  <si>
    <t>44593A4DistribuiçãoNão se aplicaNão se aplicaNão se aplicaCealFora ponta</t>
  </si>
  <si>
    <t>44593A4DistribuiçãoNão se aplicaNão se aplicaNão se aplicaCoelbaFora ponta</t>
  </si>
  <si>
    <t>44621A4DistribuiçãoNão se aplicaNão se aplicaNão se aplicaCealFora ponta</t>
  </si>
  <si>
    <t>44621A4DistribuiçãoNão se aplicaNão se aplicaNão se aplicaCoelbaFora ponta</t>
  </si>
  <si>
    <t>44287A4DistribuiçãoNão se aplicaNão se aplicaNão se aplicaCealNão se aplica</t>
  </si>
  <si>
    <t>44287A4DistribuiçãoNão se aplicaNão se aplicaNão se aplicaCoelbaNão se aplica</t>
  </si>
  <si>
    <t>44317A4DistribuiçãoNão se aplicaNão se aplicaNão se aplicaCealNão se aplica</t>
  </si>
  <si>
    <t>44317A4DistribuiçãoNão se aplicaNão se aplicaNão se aplicaCoelbaNão se aplica</t>
  </si>
  <si>
    <t>44348A4DistribuiçãoNão se aplicaNão se aplicaNão se aplicaCealNão se aplica</t>
  </si>
  <si>
    <t>44348A4DistribuiçãoNão se aplicaNão se aplicaNão se aplicaCoelbaNão se aplica</t>
  </si>
  <si>
    <t>44378A4DistribuiçãoNão se aplicaNão se aplicaNão se aplicaCealNão se aplica</t>
  </si>
  <si>
    <t>44378A4DistribuiçãoNão se aplicaNão se aplicaNão se aplicaCoelbaNão se aplica</t>
  </si>
  <si>
    <t>44409A4DistribuiçãoNão se aplicaNão se aplicaNão se aplicaCealNão se aplica</t>
  </si>
  <si>
    <t>44409A4DistribuiçãoNão se aplicaNão se aplicaNão se aplicaCoelbaNão se aplica</t>
  </si>
  <si>
    <t>44440A4DistribuiçãoNão se aplicaNão se aplicaNão se aplicaCealNão se aplica</t>
  </si>
  <si>
    <t>44440A4DistribuiçãoNão se aplicaNão se aplicaNão se aplicaCoelbaNão se aplica</t>
  </si>
  <si>
    <t>44470A4DistribuiçãoNão se aplicaNão se aplicaNão se aplicaCealNão se aplica</t>
  </si>
  <si>
    <t>44470A4DistribuiçãoNão se aplicaNão se aplicaNão se aplicaCoelbaNão se aplica</t>
  </si>
  <si>
    <t>44501A4DistribuiçãoNão se aplicaNão se aplicaNão se aplicaCealNão se aplica</t>
  </si>
  <si>
    <t>44501A4DistribuiçãoNão se aplicaNão se aplicaNão se aplicaCoelbaNão se aplica</t>
  </si>
  <si>
    <t>44531A4DistribuiçãoNão se aplicaNão se aplicaNão se aplicaCealNão se aplica</t>
  </si>
  <si>
    <t>44531A4DistribuiçãoNão se aplicaNão se aplicaNão se aplicaCoelbaNão se aplica</t>
  </si>
  <si>
    <t>44562A4DistribuiçãoNão se aplicaNão se aplicaNão se aplicaCealNão se aplica</t>
  </si>
  <si>
    <t>44562A4DistribuiçãoNão se aplicaNão se aplicaNão se aplicaCoelbaNão se aplica</t>
  </si>
  <si>
    <t>44593A4DistribuiçãoNão se aplicaNão se aplicaNão se aplicaCealNão se aplica</t>
  </si>
  <si>
    <t>44593A4DistribuiçãoNão se aplicaNão se aplicaNão se aplicaCoelbaNão se aplica</t>
  </si>
  <si>
    <t>44621A4DistribuiçãoNão se aplicaNão se aplicaNão se aplicaCealNão se aplica</t>
  </si>
  <si>
    <t>44621A4DistribuiçãoNão se aplicaNão se aplicaNão se aplicaCoelbaNão se aplica</t>
  </si>
  <si>
    <t>44287A4DistribuiçãoNão se aplicaNão se aplicaNão se aplicaCealPonta</t>
  </si>
  <si>
    <t>44287A4DistribuiçãoNão se aplicaNão se aplicaNão se aplicaCoelbaPonta</t>
  </si>
  <si>
    <t>44317A4DistribuiçãoNão se aplicaNão se aplicaNão se aplicaCealPonta</t>
  </si>
  <si>
    <t>44317A4DistribuiçãoNão se aplicaNão se aplicaNão se aplicaCoelbaPonta</t>
  </si>
  <si>
    <t>44348A4DistribuiçãoNão se aplicaNão se aplicaNão se aplicaCealPonta</t>
  </si>
  <si>
    <t>44348A4DistribuiçãoNão se aplicaNão se aplicaNão se aplicaCoelbaPonta</t>
  </si>
  <si>
    <t>44378A4DistribuiçãoNão se aplicaNão se aplicaNão se aplicaCealPonta</t>
  </si>
  <si>
    <t>44378A4DistribuiçãoNão se aplicaNão se aplicaNão se aplicaCoelbaPonta</t>
  </si>
  <si>
    <t>44409A4DistribuiçãoNão se aplicaNão se aplicaNão se aplicaCealPonta</t>
  </si>
  <si>
    <t>44409A4DistribuiçãoNão se aplicaNão se aplicaNão se aplicaCoelbaPonta</t>
  </si>
  <si>
    <t>44440A4DistribuiçãoNão se aplicaNão se aplicaNão se aplicaCealPonta</t>
  </si>
  <si>
    <t>44440A4DistribuiçãoNão se aplicaNão se aplicaNão se aplicaCoelbaPonta</t>
  </si>
  <si>
    <t>44470A4DistribuiçãoNão se aplicaNão se aplicaNão se aplicaCealPonta</t>
  </si>
  <si>
    <t>44470A4DistribuiçãoNão se aplicaNão se aplicaNão se aplicaCoelbaPonta</t>
  </si>
  <si>
    <t>44501A4DistribuiçãoNão se aplicaNão se aplicaNão se aplicaCealPonta</t>
  </si>
  <si>
    <t>44501A4DistribuiçãoNão se aplicaNão se aplicaNão se aplicaCoelbaPonta</t>
  </si>
  <si>
    <t>44531A4DistribuiçãoNão se aplicaNão se aplicaNão se aplicaCealPonta</t>
  </si>
  <si>
    <t>44531A4DistribuiçãoNão se aplicaNão se aplicaNão se aplicaCoelbaPonta</t>
  </si>
  <si>
    <t>44562A4DistribuiçãoNão se aplicaNão se aplicaNão se aplicaCealPonta</t>
  </si>
  <si>
    <t>44562A4DistribuiçãoNão se aplicaNão se aplicaNão se aplicaCoelbaPonta</t>
  </si>
  <si>
    <t>44593A4DistribuiçãoNão se aplicaNão se aplicaNão se aplicaCealPonta</t>
  </si>
  <si>
    <t>44593A4DistribuiçãoNão se aplicaNão se aplicaNão se aplicaCoelbaPonta</t>
  </si>
  <si>
    <t>44621A4DistribuiçãoNão se aplicaNão se aplicaNão se aplicaCealPonta</t>
  </si>
  <si>
    <t>44621A4DistribuiçãoNão se aplicaNão se aplicaNão se aplicaCoelbaPonta</t>
  </si>
  <si>
    <t>44287A4GeraçãoNão se aplicaNão se aplicaNão se aplicaNão se aplicaNão se aplica</t>
  </si>
  <si>
    <t>44317A4GeraçãoNão se aplicaNão se aplicaNão se aplicaNão se aplicaNão se aplica</t>
  </si>
  <si>
    <t>44348A4GeraçãoNão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</si>
  <si>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</si>
  <si>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</si>
  <si>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44501A4GeraçãoNão se aplicaNão se aplicaNão se aplicaNão se aplicaNão se aplica</t>
  </si>
  <si>
    <t>44287A4VerdeNão se aplicaNão se aplicaNão se aplicaNão se aplicaFora 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</si>
  <si>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</si>
  <si>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</si>
  <si>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</si>
  <si>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</si>
  <si>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</si>
  <si>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</si>
  <si>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</si>
  <si>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</si>
  <si>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</si>
  <si>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</si>
  <si>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</si>
  <si>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44287A4VerdeNão se aplicaNão se aplicaNão se aplicaNão se aplicaNão se aplica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</si>
  <si>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</si>
  <si>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</si>
  <si>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</si>
  <si>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</si>
  <si>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</si>
  <si>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</si>
  <si>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</si>
  <si>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</si>
  <si>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</si>
  <si>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</si>
  <si>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</si>
  <si>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44287A4VerdeNão se aplicaNão se aplicaNão se aplicaNão se aplicaPonta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</si>
  <si>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</si>
  <si>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</si>
  <si>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</si>
  <si>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</si>
  <si>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</si>
  <si>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</si>
  <si>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</si>
  <si>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</si>
  <si>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</si>
  <si>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</si>
  <si>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</si>
  <si>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44287B1BrancaResidencialResidencialNão se aplicaNão se aplicaFora 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</si>
  <si>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</si>
  <si>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</si>
  <si>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</si>
  <si>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</si>
  <si>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</si>
  <si>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</si>
  <si>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</si>
  <si>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</si>
  <si>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</si>
  <si>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</si>
  <si>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</si>
  <si>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44287B1BrancaResidencialResidencialNão se aplicaNão se aplicaIntermediário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</si>
  <si>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</si>
  <si>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</si>
  <si>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</si>
  <si>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</si>
  <si>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</si>
  <si>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</si>
  <si>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</si>
  <si>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</si>
  <si>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</si>
  <si>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</si>
  <si>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</si>
  <si>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44287B1BrancaResidencialResidencialNão se aplicaNão se aplicaPonta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</si>
  <si>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</si>
  <si>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</si>
  <si>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</si>
  <si>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</si>
  <si>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</si>
  <si>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</si>
  <si>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</si>
  <si>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</si>
  <si>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</si>
  <si>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</si>
  <si>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</si>
  <si>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44287B1ConvencionalResidencialResidencialNão se aplicaNão se aplicaNão se aplica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</si>
  <si>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</si>
  <si>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</si>
  <si>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</si>
  <si>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</si>
  <si>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</si>
  <si>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</si>
  <si>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</si>
  <si>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</si>
  <si>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</si>
  <si>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</si>
  <si>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</si>
  <si>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44287B1ConvencionalResidencialResidencial baixa renda – faixa 01Não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</si>
  <si>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</si>
  <si>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</si>
  <si>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</si>
  <si>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</si>
  <si>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</si>
  <si>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</si>
  <si>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</si>
  <si>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</si>
  <si>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</si>
  <si>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</si>
  <si>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</si>
  <si>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44287B1ConvencionalResidencialResidencial baixa renda – faixa 02Não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</si>
  <si>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</si>
  <si>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</si>
  <si>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</si>
  <si>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</si>
  <si>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</si>
  <si>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</si>
  <si>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</si>
  <si>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</si>
  <si>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</si>
  <si>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</si>
  <si>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</si>
  <si>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44287B1ConvencionalResidencialResidencial baixa renda – faixa 03Não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</si>
  <si>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</si>
  <si>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</si>
  <si>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</si>
  <si>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</si>
  <si>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</si>
  <si>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</si>
  <si>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</si>
  <si>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</si>
  <si>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</si>
  <si>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</si>
  <si>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</si>
  <si>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44287B1ConvencionalResidencialResidencial baixa renda – faixa 04Não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</si>
  <si>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</si>
  <si>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</si>
  <si>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</si>
  <si>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</si>
  <si>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</si>
  <si>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</si>
  <si>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</si>
  <si>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</si>
  <si>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</si>
  <si>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</si>
  <si>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</si>
  <si>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</si>
  <si>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</si>
  <si>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</si>
  <si>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</si>
  <si>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</si>
  <si>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</si>
  <si>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</si>
  <si>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</si>
  <si>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</si>
  <si>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</si>
  <si>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44531B2BrancaRuralNão se aplicaNão se aplicaNão se aplicaPonta</t>
  </si>
  <si>
    <t>44562B2BrancaRuralNão se aplicaNão se aplicaNão se aplicaPonta</t>
  </si>
  <si>
    <t>44287B2BrancaRuralNão se aplicaNão se aplicaNão se aplicaFora ponta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</si>
  <si>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</si>
  <si>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</si>
  <si>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</si>
  <si>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</si>
  <si>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</si>
  <si>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44287B2BrancaRuralNão se aplicaNão se aplicaNão se aplicaIntermediário</t>
  </si>
  <si>
    <t>44317B2BrancaRuralNão se aplicaNão se aplicaNão se aplicaIntermediário</t>
  </si>
  <si>
    <t>44348B2BrancaRuralNão se aplicaNão se aplicaNão se aplicaIntermediário</t>
  </si>
  <si>
    <t>44378B2BrancaRuralNão se aplicaNão se aplicaNão se aplicaIntermediário</t>
  </si>
  <si>
    <t>44409B2BrancaRuralNão se aplicaNão se aplicaNão se aplicaIntermediário</t>
  </si>
  <si>
    <t>44440B2BrancaRuralNão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</si>
  <si>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</si>
  <si>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</si>
  <si>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44287B2BrancaRuralNão se aplicaNão se aplicaNão se aplicaPonta</t>
  </si>
  <si>
    <t>44317B2BrancaRuralNão se aplicaNão se aplicaNão se aplicaPonta</t>
  </si>
  <si>
    <t>44348B2BrancaRuralNão se aplicaNão se aplicaNão se aplicaPonta</t>
  </si>
  <si>
    <t>44378B2BrancaRuralNão se aplicaNão se aplicaNão se aplicaPonta</t>
  </si>
  <si>
    <t>44409B2BrancaRuralNão se aplicaNão se aplicaNão se aplicaPonta</t>
  </si>
  <si>
    <t>44440B2BrancaRuralNão se aplicaNão se aplicaNão se aplicaPonta</t>
  </si>
  <si>
    <t>44470B2BrancaRuralNão se aplicaNão se aplicaNão se aplicaPonta</t>
  </si>
  <si>
    <t>44501B2BrancaRuralNão se aplicaNão se aplicaNão se aplicaPonta</t>
  </si>
  <si>
    <t>44593B2BrancaRuralNão se aplicaNão se aplicaNão se aplicaPonta</t>
  </si>
  <si>
    <t>44621B2BrancaRuralNão se aplicaNão se aplicaNão se aplicaPonta</t>
  </si>
  <si>
    <t>44287B2ConvencionalRuralNão se aplicaNão se aplicaNão se aplicaNão se aplica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</si>
  <si>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</si>
  <si>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</si>
  <si>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</si>
  <si>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</si>
  <si>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</si>
  <si>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</si>
  <si>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</si>
  <si>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</si>
  <si>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</si>
  <si>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</si>
  <si>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</si>
  <si>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44287B3BrancaNão se aplicaNão se aplicaNão se aplicaNão se aplicaFora ponta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</si>
  <si>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</si>
  <si>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</si>
  <si>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</si>
  <si>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</si>
  <si>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</si>
  <si>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</si>
  <si>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</si>
  <si>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</si>
  <si>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</si>
  <si>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</si>
  <si>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</si>
  <si>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44287B3BrancaNão se aplicaNão se aplicaNão se aplicaNão se aplicaIntermediário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</si>
  <si>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</si>
  <si>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</si>
  <si>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</si>
  <si>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</si>
  <si>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</si>
  <si>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</si>
  <si>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</si>
  <si>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</si>
  <si>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</si>
  <si>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</si>
  <si>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</si>
  <si>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44287B3BrancaNão se aplicaNão se aplicaNão se aplicaNão se aplicaPonta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</si>
  <si>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</si>
  <si>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</si>
  <si>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</si>
  <si>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</si>
  <si>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</si>
  <si>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</si>
  <si>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</si>
  <si>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</si>
  <si>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</si>
  <si>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</si>
  <si>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</si>
  <si>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44287B3ConvencionalNão se aplicaNão se aplicaNão se aplicaNão se aplicaNão se aplica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</si>
  <si>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</si>
  <si>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</si>
  <si>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</si>
  <si>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</si>
  <si>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</si>
  <si>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</si>
  <si>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</si>
  <si>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</si>
  <si>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</si>
  <si>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</si>
  <si>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</si>
  <si>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44287B4ConvencionalIluminação públicaIluminação pública – B4aNão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</si>
  <si>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</si>
  <si>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</si>
  <si>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</si>
  <si>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</si>
  <si>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</si>
  <si>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</si>
  <si>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</si>
  <si>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</si>
  <si>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</si>
  <si>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</si>
  <si>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</si>
  <si>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CHAVE TE</t>
  </si>
  <si>
    <t>44287A3Energia horáriaNão se aplicaNão se aplicaNão se aplicaNão se aplicaFora ponta</t>
  </si>
  <si>
    <t>44317A3Energia horáriaNão se aplicaNão se aplicaNão se aplicaNão se aplicaFora ponta</t>
  </si>
  <si>
    <t>44348A3Energia horáriaNão se aplicaNão se aplicaNão se aplicaNão se aplicaFora ponta</t>
  </si>
  <si>
    <t>44378A3Energia horáriaNão se aplicaNão se aplicaNão se aplicaNão se aplicaFora ponta</t>
  </si>
  <si>
    <t>44409A3Energia horáriaNão se aplicaNão se aplicaNão se aplicaNão se aplicaFora ponta</t>
  </si>
  <si>
    <t>44440A3Energia horáriaNão se aplicaNão se aplicaNão se aplicaNão se aplicaFora ponta</t>
  </si>
  <si>
    <t>44470A3Energia horáriaNão se aplicaNão se aplicaNão se aplicaNão se aplicaFora ponta</t>
  </si>
  <si>
    <t>44501A3Energia horáriaNão se aplicaNão se aplicaNão se aplicaNão se aplicaFora ponta</t>
  </si>
  <si>
    <t>44531A3Energia horáriaNão se aplicaNão se aplicaNão se aplicaNão se aplicaFora ponta</t>
  </si>
  <si>
    <t>44562A3Energia horáriaNão se aplicaNão se aplicaNão se aplicaNão se aplicaFora ponta</t>
  </si>
  <si>
    <t>44593A3Energia horáriaNão se aplicaNão se aplicaNão se aplicaNão se aplicaFora ponta</t>
  </si>
  <si>
    <t>44621A3Energia horáriaNão se aplicaNão se aplicaNão se aplicaNão se aplicaFora ponta</t>
  </si>
  <si>
    <t>44287A3Energia horáriaNão se aplicaNão se aplicaNão se aplicaNão se aplicaPonta</t>
  </si>
  <si>
    <t>44317A3Energia horáriaNão se aplicaNão se aplicaNão se aplicaNão se aplicaPonta</t>
  </si>
  <si>
    <t>44348A3Energia horáriaNão se aplicaNão se aplicaNão se aplicaNão se aplicaPonta</t>
  </si>
  <si>
    <t>44378A3Energia horáriaNão se aplicaNão se aplicaNão se aplicaNão se aplicaPonta</t>
  </si>
  <si>
    <t>44409A3Energia horáriaNão se aplicaNão se aplicaNão se aplicaNão se aplicaPonta</t>
  </si>
  <si>
    <t>44440A3Energia horáriaNão se aplicaNão se aplicaNão se aplicaNão se aplicaPonta</t>
  </si>
  <si>
    <t>44470A3Energia horáriaNão se aplicaNão se aplicaNão se aplicaNão se aplicaPonta</t>
  </si>
  <si>
    <t>44501A3Energia horáriaNão se aplicaNão se aplicaNão se aplicaNão se aplicaPonta</t>
  </si>
  <si>
    <t>44531A3Energia horáriaNão se aplicaNão se aplicaNão se aplicaNão se aplicaPonta</t>
  </si>
  <si>
    <t>44562A3Energia horáriaNão se aplicaNão se aplicaNão se aplicaNão se aplicaPonta</t>
  </si>
  <si>
    <t>44593A3Energia horáriaNão se aplicaNão se aplicaNão se aplicaNão se aplicaPonta</t>
  </si>
  <si>
    <t>44621A3Energia horáriaNão se aplicaNão se aplicaNão se aplicaNão se aplicaPonta</t>
  </si>
  <si>
    <t>44287A3Energia suprimento concessionáriaNão se aplicaNão se aplica&lt;500GWhNão se aplicaNão se aplica</t>
  </si>
  <si>
    <t>44317A3Energia suprimento concessionáriaNão se aplicaNão se aplica&lt;500GWhNão se aplicaNão se aplica</t>
  </si>
  <si>
    <t>44348A3Energia suprimento concessionáriaNão se aplicaNão se aplica&lt;500GWhNão se aplicaNão se aplica</t>
  </si>
  <si>
    <t>44378A3Energia suprimento concessionáriaNão se aplicaNão se aplica&lt;500GWhNão se aplicaNão se aplica</t>
  </si>
  <si>
    <t>44409A3Energia suprimento concessionáriaNão se aplicaNão se aplica&lt;500GWhNão se aplicaNão se aplica</t>
  </si>
  <si>
    <t>44440A3Energia suprimento concessionáriaNão se aplicaNão se aplica&lt;500GWhNão se aplicaNão se aplica</t>
  </si>
  <si>
    <t>44470A3Energia suprimento concessionáriaNão se aplicaNão se aplica&lt;500GWhNão se aplicaNão se aplica</t>
  </si>
  <si>
    <t>44501A3Energia suprimento concessionáriaNão se aplicaNão se aplica&lt;500GWhNão se aplicaNão se aplica</t>
  </si>
  <si>
    <t>44531A3Energia suprimento concessionáriaNão se aplicaNão se aplica&lt;500GWhNão se aplicaNão se aplica</t>
  </si>
  <si>
    <t>44562A3Energia suprimento concessionáriaNão se aplicaNão se aplica&lt;500GWhNão se aplicaNão se aplica</t>
  </si>
  <si>
    <t>44287A4Energia horáriaNão se aplicaNão se aplicaNão se aplicaNão se aplicaFora 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</si>
  <si>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</si>
  <si>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</si>
  <si>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</si>
  <si>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</si>
  <si>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</si>
  <si>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</si>
  <si>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</si>
  <si>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</si>
  <si>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</si>
  <si>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</si>
  <si>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</si>
  <si>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44287A4Energia horáriaNão se aplicaNão se aplicaNão se aplicaNão se aplicaPonta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</si>
  <si>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</si>
  <si>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</si>
  <si>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</si>
  <si>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</si>
  <si>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</si>
  <si>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</si>
  <si>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</si>
  <si>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</si>
  <si>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</si>
  <si>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</si>
  <si>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</si>
  <si>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44287A4Energia suprimento permissionáriaNão se aplicaNão se aplica&lt;500GWhNão se aplicaNão se aplica</t>
  </si>
  <si>
    <t>44317A4Energia suprimento permissionáriaNão se aplicaNão se aplica&lt;500GWhNão se aplicaNão se aplica</t>
  </si>
  <si>
    <t>44348A4Energia suprimento permissionáriaNão se aplicaNão se aplica&lt;500GWhNão se aplicaNão se aplica</t>
  </si>
  <si>
    <t>44378A4Energia suprimento permissionáriaNão se aplicaNão se aplica&lt;500GWhNão se aplicaNão se aplica</t>
  </si>
  <si>
    <t>44409A4Energia suprimento permissionáriaNão se aplicaNão se aplica&lt;500GWhNão se aplicaNão se aplica</t>
  </si>
  <si>
    <t>44440A4Energia suprimento permissionáriaNão se aplicaNão se aplica&lt;500GWhNão se aplicaNão se aplica</t>
  </si>
  <si>
    <t>44470A4Energia suprimento permissionáriaNão se aplicaNão se aplica&lt;500GWhNão se aplicaNão se aplica</t>
  </si>
  <si>
    <t>44501A4Energia suprimento permissionáriaNão se aplicaNão se aplica&lt;500GWhNão se aplicaNão se aplica</t>
  </si>
  <si>
    <t>44531A4Energia suprimento permissionáriaNão se aplicaNão se aplica&lt;500GWhNão se aplicaNão se aplica</t>
  </si>
  <si>
    <t>44562A4Energia suprimento permissionáriaNão se aplicaNão se aplica&lt;500GWhNão se aplicaNão se aplica</t>
  </si>
  <si>
    <t>44593A4Energia suprimento permissionáriaNão se aplicaNão se aplica&lt;500GWhNão se aplicaNão se aplica</t>
  </si>
  <si>
    <t>44621A4Energia suprimento permissionáriaNão se aplicaNão se aplica&lt;500GWhNão se aplicaNão se aplica</t>
  </si>
  <si>
    <t>44593A4Energia suprimento concessionáriaNão se aplicaNão se aplica&lt;500GWhNão se aplicaNão se aplica</t>
  </si>
  <si>
    <t>44621A4Energia suprimento concessionáriaNão se aplicaNão se aplica&lt;500GWhNão se aplicaNão se aplica</t>
  </si>
  <si>
    <t>CUIDADO</t>
  </si>
  <si>
    <t>Desculpe, mas não foi encontrado posto Não se aplica, modalidade Energia horária, subgrupo A4 no banco de regras.</t>
  </si>
  <si>
    <t>Mercado_Receita</t>
  </si>
  <si>
    <t>S</t>
  </si>
  <si>
    <t>44287B1Energia horáriaResidencialResidencialNão se aplicaNão se aplicaFora ponta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</si>
  <si>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</si>
  <si>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</si>
  <si>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</si>
  <si>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</si>
  <si>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</si>
  <si>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</si>
  <si>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</si>
  <si>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</si>
  <si>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</si>
  <si>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</si>
  <si>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</si>
  <si>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44287B1Energia horáriaResidencialResidencialNão se aplicaNão se aplicaIntermediário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</si>
  <si>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</si>
  <si>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</si>
  <si>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</si>
  <si>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</si>
  <si>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</si>
  <si>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</si>
  <si>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</si>
  <si>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</si>
  <si>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</si>
  <si>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</si>
  <si>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</si>
  <si>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44287B1Energia horáriaResidencialResidencialNão se aplicaNão se aplicaPonta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</si>
  <si>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</si>
  <si>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</si>
  <si>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</si>
  <si>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</si>
  <si>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</si>
  <si>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</si>
  <si>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</si>
  <si>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</si>
  <si>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</si>
  <si>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</si>
  <si>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</si>
  <si>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44287B1Energia convencionalResidencialResidencialNão se aplicaNão se aplicaNão se aplica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</si>
  <si>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</si>
  <si>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</si>
  <si>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</si>
  <si>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</si>
  <si>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</si>
  <si>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</si>
  <si>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</si>
  <si>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</si>
  <si>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</si>
  <si>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</si>
  <si>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</si>
  <si>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44287B1Energia convencionalResidencialResidencial baixa renda – faixa 01Não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</si>
  <si>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</si>
  <si>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</si>
  <si>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</si>
  <si>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</si>
  <si>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</si>
  <si>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</si>
  <si>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</si>
  <si>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</si>
  <si>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</si>
  <si>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</si>
  <si>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</si>
  <si>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44287B1Energia convencionalResidencialResidencial baixa renda – faixa 02Não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</si>
  <si>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</si>
  <si>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</si>
  <si>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</si>
  <si>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</si>
  <si>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</si>
  <si>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</si>
  <si>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</si>
  <si>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</si>
  <si>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</si>
  <si>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</si>
  <si>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</si>
  <si>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44287B1Energia convencionalResidencialResidencial baixa renda – faixa 03Não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</si>
  <si>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</si>
  <si>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</si>
  <si>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</si>
  <si>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</si>
  <si>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</si>
  <si>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</si>
  <si>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</si>
  <si>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</si>
  <si>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</si>
  <si>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</si>
  <si>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</si>
  <si>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44287B1Energia convencionalResidencialResidencial baixa renda – faixa 04Não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</si>
  <si>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</si>
  <si>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</si>
  <si>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</si>
  <si>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</si>
  <si>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</si>
  <si>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</si>
  <si>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</si>
  <si>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</si>
  <si>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</si>
  <si>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</si>
  <si>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</si>
  <si>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</si>
  <si>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</si>
  <si>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</si>
  <si>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</si>
  <si>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</si>
  <si>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</si>
  <si>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</si>
  <si>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</si>
  <si>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</si>
  <si>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</si>
  <si>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44531B2Energia horáriaRuralNão se aplicaNão se aplicaNão se aplicaPonta</t>
  </si>
  <si>
    <t>44562B2Energia horáriaRuralNão se aplicaNão se aplicaNão se aplicaPonta</t>
  </si>
  <si>
    <t>44287B2Energia horáriaRuralNão se aplicaNão se aplicaNão se aplicaFora ponta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</si>
  <si>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</si>
  <si>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</si>
  <si>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</si>
  <si>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</si>
  <si>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</si>
  <si>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44287B2Energia horáriaRuralNão se aplicaNão se aplicaNão se aplicaIntermediário</t>
  </si>
  <si>
    <t>44317B2Energia horáriaRuralNão se aplicaNão se aplicaNão se aplicaIntermediário</t>
  </si>
  <si>
    <t>44348B2Energia horáriaRuralNão se aplicaNão se aplicaNão se aplicaIntermediário</t>
  </si>
  <si>
    <t>44378B2Energia horáriaRuralNão se aplicaNão se aplicaNão se aplicaIntermediário</t>
  </si>
  <si>
    <t>44409B2Energia horáriaRuralNão se aplicaNão se aplicaNão se aplicaIntermediário</t>
  </si>
  <si>
    <t>44440B2Energia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</si>
  <si>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</si>
  <si>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</si>
  <si>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44287B2Energia horáriaRuralNão se aplicaNão se aplicaNão se aplicaPonta</t>
  </si>
  <si>
    <t>44317B2Energia horáriaRuralNão se aplicaNão se aplicaNão se aplicaPonta</t>
  </si>
  <si>
    <t>44348B2Energia horáriaRuralNão se aplicaNão se aplicaNão se aplicaPonta</t>
  </si>
  <si>
    <t>44378B2Energia horáriaRuralNão se aplicaNão se aplicaNão se aplicaPonta</t>
  </si>
  <si>
    <t>44409B2Energia horáriaRuralNão se aplicaNão se aplicaNão se aplicaPonta</t>
  </si>
  <si>
    <t>44440B2Energia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</si>
  <si>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</si>
  <si>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</si>
  <si>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</si>
  <si>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</si>
  <si>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44287B2Energia convencionalRuralNão se aplicaNão se aplicaNão se aplicaNão se aplica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</si>
  <si>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</si>
  <si>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</si>
  <si>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</si>
  <si>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</si>
  <si>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</si>
  <si>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</si>
  <si>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</si>
  <si>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</si>
  <si>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</si>
  <si>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</si>
  <si>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</si>
  <si>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44287B3Energia horáriaNão se aplicaNão se aplicaNão se aplicaNão se aplicaFora ponta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</si>
  <si>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</si>
  <si>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</si>
  <si>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</si>
  <si>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</si>
  <si>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</si>
  <si>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</si>
  <si>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</si>
  <si>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</si>
  <si>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</si>
  <si>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</si>
  <si>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</si>
  <si>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44287B3Energia horáriaNão se aplicaNão se aplicaNão se aplicaNão se aplicaIntermediário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</si>
  <si>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</si>
  <si>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</si>
  <si>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</si>
  <si>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</si>
  <si>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</si>
  <si>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</si>
  <si>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</si>
  <si>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</si>
  <si>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</si>
  <si>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</si>
  <si>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</si>
  <si>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44287B3Energia horáriaNão se aplicaNão se aplicaNão se aplicaNão se aplicaPonta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</si>
  <si>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</si>
  <si>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</si>
  <si>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</si>
  <si>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</si>
  <si>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</si>
  <si>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</si>
  <si>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</si>
  <si>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</si>
  <si>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</si>
  <si>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</si>
  <si>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</si>
  <si>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44287B3Energia convencionalNão se aplicaNão se aplicaNão se aplicaNão se aplicaNão se aplica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</si>
  <si>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</si>
  <si>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</si>
  <si>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</si>
  <si>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</si>
  <si>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</si>
  <si>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</si>
  <si>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</si>
  <si>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</si>
  <si>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</si>
  <si>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</si>
  <si>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</si>
  <si>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44287B4Energia convencionalIluminação públicaIluminação pública – B4aNão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</si>
  <si>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</si>
  <si>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</si>
  <si>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</si>
  <si>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</si>
  <si>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</si>
  <si>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</si>
  <si>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</si>
  <si>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</si>
  <si>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</si>
  <si>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</si>
  <si>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</si>
  <si>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</si>
  <si>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</si>
  <si>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</si>
  <si>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</si>
  <si>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</si>
  <si>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</si>
  <si>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</si>
  <si>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</si>
  <si>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</si>
  <si>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</si>
  <si>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</si>
  <si>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</si>
  <si>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</si>
  <si>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</si>
  <si>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</si>
  <si>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</si>
  <si>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</si>
  <si>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</si>
  <si>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</si>
  <si>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</si>
  <si>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</si>
  <si>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</si>
  <si>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</si>
  <si>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</si>
  <si>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</si>
  <si>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</si>
  <si>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</si>
  <si>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</si>
  <si>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</si>
  <si>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</si>
  <si>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</si>
  <si>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</si>
  <si>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</si>
  <si>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</si>
  <si>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</si>
  <si>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</si>
  <si>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</si>
  <si>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</si>
  <si>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</si>
  <si>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</si>
  <si>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</si>
  <si>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</si>
  <si>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</si>
  <si>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</si>
  <si>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</si>
  <si>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</si>
  <si>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</si>
  <si>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</si>
  <si>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</si>
  <si>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</si>
  <si>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</si>
  <si>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</si>
  <si>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</si>
  <si>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</si>
  <si>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</si>
  <si>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</si>
  <si>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</si>
  <si>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</si>
  <si>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</si>
  <si>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</si>
  <si>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</si>
  <si>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</si>
  <si>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</si>
  <si>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</si>
  <si>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</si>
  <si>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</si>
  <si>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</si>
  <si>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</si>
  <si>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</si>
  <si>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</si>
  <si>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</si>
  <si>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</si>
  <si>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</si>
  <si>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</si>
  <si>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</si>
  <si>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</si>
  <si>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</si>
  <si>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</si>
  <si>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</si>
  <si>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</si>
  <si>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</si>
  <si>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</si>
  <si>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</si>
  <si>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</si>
  <si>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</si>
  <si>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</si>
  <si>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</si>
  <si>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</si>
  <si>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</si>
  <si>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</si>
  <si>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</si>
  <si>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</si>
  <si>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</si>
  <si>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CIMESA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</si>
  <si>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</si>
  <si>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</si>
  <si>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</si>
  <si>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</si>
  <si>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</si>
  <si>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</si>
  <si>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</si>
  <si>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</si>
  <si>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</si>
  <si>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</si>
  <si>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</si>
  <si>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</si>
  <si>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</si>
  <si>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</si>
  <si>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</si>
  <si>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</si>
  <si>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</si>
  <si>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</si>
  <si>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</si>
  <si>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</si>
  <si>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</si>
  <si>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</si>
  <si>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</si>
  <si>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</si>
  <si>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</si>
  <si>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</si>
  <si>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</si>
  <si>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</si>
  <si>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</si>
  <si>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</si>
  <si>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</si>
  <si>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SULGIPE – SE Itabaianinha</t>
  </si>
  <si>
    <t>Potência</t>
  </si>
  <si>
    <t>SULGIPE - SE SEITH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</si>
  <si>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</si>
  <si>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</si>
  <si>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</si>
  <si>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</si>
  <si>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</si>
  <si>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</si>
  <si>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</si>
  <si>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</si>
  <si>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</si>
  <si>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</si>
  <si>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</si>
  <si>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</si>
  <si>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</si>
  <si>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</si>
  <si>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</si>
  <si>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</si>
  <si>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</si>
  <si>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</si>
  <si>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</si>
  <si>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</si>
  <si>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</si>
  <si>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</si>
  <si>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</si>
  <si>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</si>
  <si>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</si>
  <si>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</si>
  <si>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</si>
  <si>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</si>
  <si>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</si>
  <si>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</si>
  <si>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</si>
  <si>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</si>
  <si>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</si>
  <si>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</si>
  <si>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</si>
  <si>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</si>
  <si>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</si>
  <si>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</si>
  <si>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</si>
  <si>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</si>
  <si>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ÁGUA, ESGOTO E SANEAMENTO</t>
  </si>
  <si>
    <t>SUBSIDIO DISTRIBUIÇÃO</t>
  </si>
  <si>
    <t>SUBSIDIO GERAÇÃO FONTE INCENTIVADA</t>
  </si>
  <si>
    <t>SUBSIDIO BAIXA RENDA</t>
  </si>
  <si>
    <t>R$ (TV)</t>
  </si>
  <si>
    <t>R$ (TN)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</si>
  <si>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</si>
  <si>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</si>
  <si>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</si>
  <si>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</si>
  <si>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</si>
  <si>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</si>
  <si>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</si>
  <si>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</si>
  <si>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</si>
  <si>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</si>
  <si>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</si>
  <si>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</si>
  <si>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</si>
  <si>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</si>
  <si>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</si>
  <si>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</si>
  <si>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</si>
  <si>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Convencional1Serviço públicoÁgua, esgoto e saneamentoPlanilha CUSTOA4</t>
  </si>
  <si>
    <t>Branca1RuralNão se aplicaRuralB2</t>
  </si>
  <si>
    <t>Convencional1RuralCooperativa de eletrificação ruralPlanilha CUSTOB2</t>
  </si>
  <si>
    <t>Branca1RuralCooperativa de eletrificação ruralPlanilha CUSTOB2</t>
  </si>
  <si>
    <t>Convencional1RuralServiço público de irrigação ruralPlanilha CUSTOB2</t>
  </si>
  <si>
    <t>Branca1RuralServiço público de irrigação ruralPlanilha CUSTOB2</t>
  </si>
  <si>
    <t>Convencional1Serviço públicoÁgua, esgoto e saneamentoPlanilha CUSTOB3</t>
  </si>
  <si>
    <t>Branca1Serviço públicoÁgua, esgoto e saneamentoPlanilha CUSTOB3</t>
  </si>
  <si>
    <t>Azul1RuralNão se aplicaPlanilha CustoA3</t>
  </si>
  <si>
    <t>Azul1Serviço públicoÁgua, esgoto e saneamentoPlanilha CUSTOA3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</si>
  <si>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</si>
  <si>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</si>
  <si>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</si>
  <si>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</si>
  <si>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</si>
  <si>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</si>
  <si>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</si>
  <si>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</si>
  <si>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</si>
  <si>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</si>
  <si>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</si>
  <si>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</si>
  <si>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</si>
  <si>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</si>
  <si>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</si>
  <si>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</si>
  <si>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</si>
  <si>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</si>
  <si>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</si>
  <si>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</si>
  <si>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</si>
  <si>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</si>
  <si>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</si>
  <si>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</si>
  <si>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</si>
  <si>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</si>
  <si>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</si>
  <si>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</si>
  <si>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</si>
  <si>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</si>
  <si>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</si>
  <si>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</si>
  <si>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</si>
  <si>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</si>
  <si>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</si>
  <si>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</si>
  <si>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</si>
  <si>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</si>
  <si>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</si>
  <si>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</si>
  <si>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</si>
  <si>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</si>
  <si>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</si>
  <si>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</si>
  <si>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</si>
  <si>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</si>
  <si>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</si>
  <si>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</si>
  <si>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</si>
  <si>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</si>
  <si>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</si>
  <si>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</si>
  <si>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</si>
  <si>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</si>
  <si>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</si>
  <si>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</si>
  <si>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</si>
  <si>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</si>
  <si>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</si>
  <si>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</si>
  <si>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</si>
  <si>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</si>
  <si>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</si>
  <si>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</si>
  <si>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</si>
  <si>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</si>
  <si>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</si>
  <si>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</si>
  <si>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</si>
  <si>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</si>
  <si>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</si>
  <si>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</si>
  <si>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</si>
  <si>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</si>
  <si>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</si>
  <si>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</si>
  <si>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</si>
  <si>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</si>
  <si>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</si>
  <si>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</si>
  <si>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</si>
  <si>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A3Distribuição</t>
  </si>
  <si>
    <t>A3DistribuiçãoNão se aplica</t>
  </si>
  <si>
    <t>A3DistribuiçãoNão se aplicaNão se aplica</t>
  </si>
  <si>
    <t>A3DistribuiçãoNão se aplicaNão se aplicaNão se aplica</t>
  </si>
  <si>
    <t>A3DistribuiçãoNão se aplicaNão se aplicaNão se aplicaSulgipe</t>
  </si>
  <si>
    <t>A3DistribuiçãoNão se aplicaNão se aplicaNão se aplicaSulgipeDP</t>
  </si>
  <si>
    <t>A3DistribuiçãoNão se aplicaNão se aplicaNão se aplicaSulgipeDFP</t>
  </si>
  <si>
    <t>A3DistribuiçãoNão se aplicaNão se aplicaNão se aplicaSulgipeE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</si>
  <si>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</si>
  <si>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</si>
  <si>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</si>
  <si>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</si>
  <si>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</si>
  <si>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</si>
  <si>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</si>
  <si>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</si>
  <si>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</si>
  <si>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</si>
  <si>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</si>
  <si>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</si>
  <si>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</si>
  <si>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</si>
  <si>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</si>
  <si>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</si>
  <si>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</si>
  <si>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</si>
  <si>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</si>
  <si>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</si>
  <si>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</si>
  <si>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aplicaCercos</t>
  </si>
  <si>
    <t>A4DistribuiçãoNão se aplicaNão se aplicaNão se aplicaCercosDP</t>
  </si>
  <si>
    <t>A4DistribuiçãoNão se aplicaNão se aplicaNão se aplicaCercosDFP</t>
  </si>
  <si>
    <t>A4DistribuiçãoNão se aplicaNão se aplicaNão se aplicaCercosE</t>
  </si>
  <si>
    <t>A4DistribuiçãoNão se aplicaNão se aplicaNão se aplicaSulgipe</t>
  </si>
  <si>
    <t>A4DistribuiçãoNão se aplicaNão se aplicaNão se aplicaSulgipeDP</t>
  </si>
  <si>
    <t>A4DistribuiçãoNão se aplicaNão se aplicaNão se aplicaSulgipeDFP</t>
  </si>
  <si>
    <t>A4DistribuiçãoNão se aplicaNão se aplicaNão se aplicaSulgipeE</t>
  </si>
  <si>
    <t>A4DistribuiçãoNão se aplicaNão se aplicaNão se aplicaCeal</t>
  </si>
  <si>
    <t>A4DistribuiçãoNão se aplicaNão se aplicaNão se aplicaCealDP</t>
  </si>
  <si>
    <t>A4DistribuiçãoNão se aplicaNão se aplicaNão se aplicaCealDFP</t>
  </si>
  <si>
    <t>A4DistribuiçãoNão se aplicaNão se aplicaNão se aplicaCealE</t>
  </si>
  <si>
    <t>A4DistribuiçãoNão se aplicaNão se aplicaNão se aplicaCoelba</t>
  </si>
  <si>
    <t>A4DistribuiçãoNão se aplicaNão se aplicaNão se aplicaCoelbaDP</t>
  </si>
  <si>
    <t>A4DistribuiçãoNão se aplicaNão se aplicaNão se aplicaCoelbaDFP</t>
  </si>
  <si>
    <t>A4DistribuiçãoNão se aplicaNão se aplicaNão se aplicaCoelbaE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</si>
  <si>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</si>
  <si>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</si>
  <si>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</si>
  <si>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</si>
  <si>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</si>
  <si>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</si>
  <si>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</si>
  <si>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</si>
  <si>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</si>
  <si>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</si>
  <si>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</si>
  <si>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</si>
  <si>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</si>
  <si>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</si>
  <si>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</si>
  <si>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</si>
  <si>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</si>
  <si>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</si>
  <si>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</si>
  <si>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</si>
  <si>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</si>
  <si>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</si>
  <si>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</si>
  <si>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</si>
  <si>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</si>
  <si>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</si>
  <si>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</si>
  <si>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</si>
  <si>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</si>
  <si>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</si>
  <si>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</si>
  <si>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</si>
  <si>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</si>
  <si>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</si>
  <si>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</si>
  <si>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</si>
  <si>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</si>
  <si>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</si>
  <si>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</si>
  <si>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</si>
  <si>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</si>
  <si>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</si>
  <si>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</si>
  <si>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</si>
  <si>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</si>
  <si>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</si>
  <si>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</si>
  <si>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</si>
  <si>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</si>
  <si>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</si>
  <si>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</si>
  <si>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</si>
  <si>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</si>
  <si>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</si>
  <si>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</si>
  <si>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</si>
  <si>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</si>
  <si>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</si>
  <si>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</si>
  <si>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</si>
  <si>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</si>
  <si>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</si>
  <si>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</si>
  <si>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</si>
  <si>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</si>
  <si>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</si>
  <si>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</si>
  <si>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</si>
  <si>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</si>
  <si>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</si>
  <si>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</si>
  <si>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</si>
  <si>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</si>
  <si>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</si>
  <si>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</si>
  <si>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</si>
  <si>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</si>
  <si>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</si>
  <si>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</si>
  <si>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</si>
  <si>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</si>
  <si>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</si>
  <si>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</si>
  <si>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</si>
  <si>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</si>
  <si>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</si>
  <si>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</si>
  <si>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</si>
  <si>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</si>
  <si>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</si>
  <si>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</si>
  <si>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</si>
  <si>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</si>
  <si>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</si>
  <si>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</si>
  <si>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</si>
  <si>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</si>
  <si>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</si>
  <si>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</si>
  <si>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</si>
  <si>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</si>
  <si>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</si>
  <si>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</si>
  <si>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</si>
  <si>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</si>
  <si>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</si>
  <si>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</si>
  <si>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</si>
  <si>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</si>
  <si>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</si>
  <si>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</si>
  <si>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</si>
  <si>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</si>
  <si>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</si>
  <si>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</si>
  <si>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</si>
  <si>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</si>
  <si>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</si>
  <si>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</si>
  <si>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</si>
  <si>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</si>
  <si>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</si>
  <si>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</si>
  <si>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</si>
  <si>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</si>
  <si>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</si>
  <si>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</si>
  <si>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</si>
  <si>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</si>
  <si>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</si>
  <si>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</si>
  <si>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</si>
  <si>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</si>
  <si>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</si>
  <si>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</si>
  <si>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</si>
  <si>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</si>
  <si>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</si>
  <si>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</si>
  <si>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</si>
  <si>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</si>
  <si>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</si>
  <si>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</si>
  <si>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</si>
  <si>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</si>
  <si>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</si>
  <si>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</si>
  <si>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</si>
  <si>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</si>
  <si>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</si>
  <si>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</si>
  <si>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</si>
  <si>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</si>
  <si>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</si>
  <si>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</si>
  <si>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</si>
  <si>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</si>
  <si>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</si>
  <si>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</si>
  <si>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</si>
  <si>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</si>
  <si>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</si>
  <si>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</si>
  <si>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</si>
  <si>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</si>
  <si>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</si>
  <si>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A3Energia suprimento concessionária</t>
  </si>
  <si>
    <t>A3Energia suprimento concessionáriaNão se aplica</t>
  </si>
  <si>
    <t>A3Energia suprimento concessionáriaNão se aplicaNão se aplica</t>
  </si>
  <si>
    <t>A3Energia suprimento concessionáriaNão se aplicaNão se aplica&lt;500GWh</t>
  </si>
  <si>
    <t>A3Energia suprimento concessionáriaNão se aplicaNão se aplica&lt;500GWhNão se aplica</t>
  </si>
  <si>
    <t>A3Energia suprimento concessionáriaNão se aplicaNão se aplica&lt;500GWhNão se aplicaE</t>
  </si>
  <si>
    <t>A3Energia suprimento permissionária</t>
  </si>
  <si>
    <t>A3Energia suprimento permissionáriaNão se aplica</t>
  </si>
  <si>
    <t>A3Energia suprimento permissionáriaNão se aplicaNão se aplica</t>
  </si>
  <si>
    <t>A3Energia suprimento permissionáriaNão se aplicaNão se aplica&lt;500GWh</t>
  </si>
  <si>
    <t>A3Energia suprimento permissionáriaNão se aplicaNão se aplica&lt;500GWhNão se aplica</t>
  </si>
  <si>
    <t>A3Energia suprimento permissionáriaNão se aplicaNão se aplica&lt;500GWhNão se aplicaE</t>
  </si>
  <si>
    <t>A3Energia suprimento concessionáriaNão se aplicaNão se aplicaNão se aplica</t>
  </si>
  <si>
    <t>A3Energia suprimento concessionáriaNão se aplicaNão se aplicaNão se aplicaNão se aplica</t>
  </si>
  <si>
    <t>A3Energia suprimento concessionáriaNão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</si>
  <si>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</si>
  <si>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</si>
  <si>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</si>
  <si>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</si>
  <si>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</si>
  <si>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</si>
  <si>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</si>
  <si>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suprimento concessionária</t>
  </si>
  <si>
    <t>A4Energia suprimento concessionáriaNão se aplica</t>
  </si>
  <si>
    <t>A4Energia suprimento concessionáriaNão se aplicaNão se aplica</t>
  </si>
  <si>
    <t>A4Energia suprimento concessionáriaNão se aplicaNão se aplica&lt;500GWh</t>
  </si>
  <si>
    <t>A4Energia suprimento concessionáriaNão se aplicaNão se aplica&lt;500GWhNão se aplica</t>
  </si>
  <si>
    <t>A4Energia suprimento concessionáriaNão se aplicaNão se aplica&lt;500GWhNão se aplicaE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</si>
  <si>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</si>
  <si>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</si>
  <si>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</si>
  <si>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</si>
  <si>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</si>
  <si>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</si>
  <si>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A4Energia suprimento permissionária</t>
  </si>
  <si>
    <t>A4Energia suprimento permissionáriaNão se aplica</t>
  </si>
  <si>
    <t>A4Energia suprimento permissionáriaNão se aplicaNão se aplica</t>
  </si>
  <si>
    <t>A4Energia suprimento permissionáriaNão se aplicaNão se aplica&lt;500GWh</t>
  </si>
  <si>
    <t>A4Energia suprimento permissionáriaNão se aplicaNão se aplica&lt;500GWhNão se aplica</t>
  </si>
  <si>
    <t>A4Energia suprimento permissionáriaNão se aplicaNão se aplica&lt;500GWhNão se aplicaE</t>
  </si>
  <si>
    <t>A4Energia suprimento concessionáriaNão se aplicaNão se aplicaNão se aplica</t>
  </si>
  <si>
    <t>A4Energia suprimento concessionáriaNão se aplicaNão se aplicaNão se aplicaNão se aplica</t>
  </si>
  <si>
    <t>A4Energia suprimento concessionáriaNão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</si>
  <si>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</si>
  <si>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</si>
  <si>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</si>
  <si>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</si>
  <si>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</si>
  <si>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</si>
  <si>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</si>
  <si>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</si>
  <si>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</si>
  <si>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</si>
  <si>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</si>
  <si>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</si>
  <si>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</si>
  <si>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</si>
  <si>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</si>
  <si>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</si>
  <si>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</si>
  <si>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</si>
  <si>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</si>
  <si>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</si>
  <si>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</si>
  <si>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</si>
  <si>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</si>
  <si>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</si>
  <si>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</si>
  <si>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</si>
  <si>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</si>
  <si>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</si>
  <si>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</si>
  <si>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</si>
  <si>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</si>
  <si>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</si>
  <si>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</si>
  <si>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</si>
  <si>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</si>
  <si>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</si>
  <si>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</si>
  <si>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</si>
  <si>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</si>
  <si>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</si>
  <si>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</si>
  <si>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</si>
  <si>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</si>
  <si>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</si>
  <si>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</si>
  <si>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</si>
  <si>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</si>
  <si>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</si>
  <si>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</si>
  <si>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</si>
  <si>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</si>
  <si>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</si>
  <si>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</si>
  <si>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</si>
  <si>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</si>
  <si>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</si>
  <si>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</si>
  <si>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</si>
  <si>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</si>
  <si>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</si>
  <si>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</si>
  <si>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</si>
  <si>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</si>
  <si>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</si>
  <si>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</si>
  <si>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</si>
  <si>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</si>
  <si>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</si>
  <si>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</si>
  <si>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</si>
  <si>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</si>
  <si>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</si>
  <si>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</si>
  <si>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</si>
  <si>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</si>
  <si>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</si>
  <si>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</si>
  <si>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</si>
  <si>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</si>
  <si>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</si>
  <si>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</si>
  <si>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</si>
  <si>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</si>
  <si>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</si>
  <si>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</si>
  <si>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</si>
  <si>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</si>
  <si>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</si>
  <si>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</si>
  <si>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</si>
  <si>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</si>
  <si>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</si>
  <si>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</si>
  <si>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</si>
  <si>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</si>
  <si>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</si>
  <si>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</si>
  <si>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</si>
  <si>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</si>
  <si>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</si>
  <si>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</si>
  <si>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</si>
  <si>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</si>
  <si>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</si>
  <si>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</si>
  <si>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</si>
  <si>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</si>
  <si>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</si>
  <si>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</si>
  <si>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</si>
  <si>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</si>
  <si>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</si>
  <si>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</si>
  <si>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</si>
  <si>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</si>
  <si>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</si>
  <si>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</si>
  <si>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</si>
  <si>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</si>
  <si>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</si>
  <si>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</si>
  <si>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</si>
  <si>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</si>
  <si>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</si>
  <si>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</si>
  <si>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</si>
  <si>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</si>
  <si>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</si>
  <si>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</si>
  <si>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</si>
  <si>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</si>
  <si>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</si>
  <si>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</si>
  <si>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</si>
  <si>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</si>
  <si>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</si>
  <si>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</si>
  <si>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</si>
  <si>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</si>
  <si>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</si>
  <si>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</si>
  <si>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</si>
  <si>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</si>
  <si>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</si>
  <si>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</si>
  <si>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</si>
  <si>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</si>
  <si>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</si>
  <si>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</si>
  <si>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</si>
  <si>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</si>
  <si>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2.860, DE 22 DE ABRIL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</si>
  <si>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</si>
  <si>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</si>
  <si>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</si>
  <si>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</si>
  <si>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</si>
  <si>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</si>
  <si>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</si>
  <si>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</si>
  <si>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</si>
  <si>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</si>
  <si>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</si>
  <si>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</si>
  <si>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</si>
  <si>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</si>
  <si>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</si>
  <si>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</si>
  <si>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Diversos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</si>
  <si>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</si>
  <si>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</si>
  <si>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</si>
  <si>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</si>
  <si>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</si>
  <si>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</si>
  <si>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</si>
  <si>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</si>
  <si>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</si>
  <si>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</si>
  <si>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</si>
  <si>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</si>
  <si>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</si>
  <si>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</si>
  <si>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</si>
  <si>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</si>
  <si>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</si>
  <si>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</si>
  <si>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</si>
  <si>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</si>
  <si>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</si>
  <si>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</si>
  <si>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</si>
  <si>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</si>
  <si>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</si>
  <si>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</si>
  <si>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</si>
  <si>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</si>
  <si>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</si>
  <si>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</si>
  <si>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</si>
  <si>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</si>
  <si>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</si>
  <si>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</si>
  <si>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</si>
  <si>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</si>
  <si>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</si>
  <si>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</si>
  <si>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</si>
  <si>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</si>
  <si>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</si>
  <si>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</si>
  <si>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</si>
  <si>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</si>
  <si>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</si>
  <si>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</si>
  <si>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</si>
  <si>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</si>
  <si>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</si>
  <si>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</si>
  <si>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</si>
  <si>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</si>
  <si>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</si>
  <si>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</si>
  <si>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</si>
  <si>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</si>
  <si>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</si>
  <si>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</si>
  <si>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</si>
  <si>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</si>
  <si>
    <t>Efeito RTE</t>
  </si>
  <si>
    <t>TE_CDE_ELET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</si>
</sst>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7" fillId="2" borderId="0" xfId="0" applyNumberFormat="1" applyFont="1" applyFill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40" fontId="3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1" fillId="3" borderId="0" xfId="0" applyNumberFormat="1" applyFont="1" applyFill="1" applyAlignment="1">
      <alignment horizontal="center" vertical="center"/>
    </xf>
    <xf numFmtId="40" fontId="7" fillId="3" borderId="0" xfId="0" applyNumberFormat="1" applyFont="1" applyFill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4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0" fontId="3" fillId="0" borderId="14" xfId="0" applyFont="1" applyBorder="1" applyAlignment="1">
      <alignment vertical="center"/>
    </xf>
    <xf numFmtId="10" fontId="3" fillId="0" borderId="0" xfId="0" applyNumberFormat="1" applyFont="1"/>
    <xf numFmtId="2" fontId="8" fillId="4" borderId="16" xfId="0" applyNumberFormat="1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left" vertical="center" indent="1"/>
    </xf>
    <xf numFmtId="4" fontId="8" fillId="5" borderId="0" xfId="0" applyNumberFormat="1" applyFont="1" applyFill="1" applyAlignment="1">
      <alignment vertical="center"/>
    </xf>
    <xf numFmtId="0" fontId="8" fillId="5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5" borderId="0" xfId="0" applyNumberFormat="1" applyFont="1" applyFill="1" applyAlignment="1">
      <alignment vertical="center"/>
    </xf>
    <xf numFmtId="0" fontId="9" fillId="6" borderId="17" xfId="0" applyFont="1" applyFill="1" applyBorder="1" applyAlignment="1">
      <alignment horizontal="center" vertical="center"/>
    </xf>
    <xf numFmtId="40" fontId="8" fillId="4" borderId="16" xfId="0" applyNumberFormat="1" applyFont="1" applyFill="1" applyBorder="1" applyAlignment="1">
      <alignment horizontal="center" vertical="center"/>
    </xf>
    <xf numFmtId="168" fontId="8" fillId="5" borderId="0" xfId="0" applyNumberFormat="1" applyFont="1" applyFill="1" applyAlignment="1">
      <alignment horizontal="center" vertical="center"/>
    </xf>
    <xf numFmtId="4" fontId="11" fillId="7" borderId="19" xfId="0" applyNumberFormat="1" applyFont="1" applyFill="1" applyBorder="1"/>
    <xf numFmtId="4" fontId="11" fillId="7" borderId="13" xfId="0" applyNumberFormat="1" applyFont="1" applyFill="1" applyBorder="1"/>
    <xf numFmtId="4" fontId="11" fillId="7" borderId="20" xfId="0" applyNumberFormat="1" applyFont="1" applyFill="1" applyBorder="1"/>
    <xf numFmtId="4" fontId="11" fillId="7" borderId="3" xfId="0" applyNumberFormat="1" applyFont="1" applyFill="1" applyBorder="1"/>
    <xf numFmtId="4" fontId="11" fillId="7" borderId="14" xfId="0" applyNumberFormat="1" applyFont="1" applyFill="1" applyBorder="1"/>
    <xf numFmtId="4" fontId="11" fillId="7" borderId="2" xfId="0" applyNumberFormat="1" applyFont="1" applyFill="1" applyBorder="1"/>
    <xf numFmtId="4" fontId="11" fillId="7" borderId="21" xfId="0" applyNumberFormat="1" applyFont="1" applyFill="1" applyBorder="1"/>
    <xf numFmtId="4" fontId="11" fillId="7" borderId="11" xfId="0" applyNumberFormat="1" applyFont="1" applyFill="1" applyBorder="1"/>
    <xf numFmtId="4" fontId="11" fillId="7" borderId="18" xfId="0" applyNumberFormat="1" applyFont="1" applyFill="1" applyBorder="1"/>
    <xf numFmtId="4" fontId="11" fillId="7" borderId="13" xfId="0" applyNumberFormat="1" applyFont="1" applyFill="1" applyBorder="1" applyAlignment="1">
      <alignment horizontal="center"/>
    </xf>
    <xf numFmtId="4" fontId="11" fillId="7" borderId="20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" fontId="11" fillId="7" borderId="14" xfId="0" applyNumberFormat="1" applyFont="1" applyFill="1" applyBorder="1" applyAlignment="1">
      <alignment horizontal="center"/>
    </xf>
    <xf numFmtId="4" fontId="11" fillId="7" borderId="2" xfId="0" applyNumberFormat="1" applyFont="1" applyFill="1" applyBorder="1" applyAlignment="1">
      <alignment horizontal="center"/>
    </xf>
    <xf numFmtId="4" fontId="11" fillId="7" borderId="13" xfId="0" applyNumberFormat="1" applyFont="1" applyFill="1" applyBorder="1" applyAlignment="1">
      <alignment horizontal="center"/>
    </xf>
    <xf numFmtId="4" fontId="11" fillId="7" borderId="20" xfId="0" applyNumberFormat="1" applyFont="1" applyFill="1" applyBorder="1" applyAlignment="1">
      <alignment horizontal="center"/>
    </xf>
  </cellXfs>
  <cellStyles count="1">
    <cellStyle name="Normal" xfId="0" builtinId="0"/>
  </cellStyles>
  <dxfs count="1642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1.1444708314352178E-2</c:v>
                </c:pt>
                <c:pt idx="1">
                  <c:v>1.6747673382115164E-4</c:v>
                </c:pt>
                <c:pt idx="2">
                  <c:v>9.0067488821232058E-5</c:v>
                </c:pt>
                <c:pt idx="3">
                  <c:v>-9.4406890985559401E-6</c:v>
                </c:pt>
                <c:pt idx="4">
                  <c:v>0</c:v>
                </c:pt>
                <c:pt idx="5">
                  <c:v>4.4952430701631692E-2</c:v>
                </c:pt>
                <c:pt idx="6">
                  <c:v>1.552000436852178E-2</c:v>
                </c:pt>
                <c:pt idx="7">
                  <c:v>0</c:v>
                </c:pt>
                <c:pt idx="8">
                  <c:v>-2.7389425610326646E-3</c:v>
                </c:pt>
                <c:pt idx="9">
                  <c:v>-9.8613272388236081E-3</c:v>
                </c:pt>
                <c:pt idx="10">
                  <c:v>5.4476625384406643E-3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0.21679834252278921</c:v>
                </c:pt>
                <c:pt idx="16">
                  <c:v>-9.9764832780046511E-2</c:v>
                </c:pt>
                <c:pt idx="17">
                  <c:v>0</c:v>
                </c:pt>
                <c:pt idx="18">
                  <c:v>9.4741375295364465E-3</c:v>
                </c:pt>
                <c:pt idx="19">
                  <c:v>4.5762975662960931E-4</c:v>
                </c:pt>
                <c:pt idx="20">
                  <c:v>1.3067651501661973E-3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7-4AA5-8128-90FEF1FF4F33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1.4385758212723984E-2</c:v>
                </c:pt>
                <c:pt idx="1">
                  <c:v>2.4000283013438748E-4</c:v>
                </c:pt>
                <c:pt idx="2">
                  <c:v>1.568335476827258E-4</c:v>
                </c:pt>
                <c:pt idx="3">
                  <c:v>-1.6370410406386685E-5</c:v>
                </c:pt>
                <c:pt idx="4">
                  <c:v>0</c:v>
                </c:pt>
                <c:pt idx="5">
                  <c:v>5.0993077707305948E-2</c:v>
                </c:pt>
                <c:pt idx="6">
                  <c:v>2.8674249467044142E-2</c:v>
                </c:pt>
                <c:pt idx="7">
                  <c:v>0</c:v>
                </c:pt>
                <c:pt idx="8">
                  <c:v>-6.2773469846316996E-3</c:v>
                </c:pt>
                <c:pt idx="9">
                  <c:v>-2.0185529245552097E-2</c:v>
                </c:pt>
                <c:pt idx="10">
                  <c:v>1.0120253446077697E-2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0.15393634317644728</c:v>
                </c:pt>
                <c:pt idx="16">
                  <c:v>-9.486532539230258E-2</c:v>
                </c:pt>
                <c:pt idx="17">
                  <c:v>0</c:v>
                </c:pt>
                <c:pt idx="18">
                  <c:v>7.6394884507338806E-3</c:v>
                </c:pt>
                <c:pt idx="19">
                  <c:v>7.7432404056490946E-4</c:v>
                </c:pt>
                <c:pt idx="20">
                  <c:v>6.6075195428251442E-5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7-4AA5-8128-90FEF1FF4F33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1.4385758212723984E-2</c:v>
                </c:pt>
                <c:pt idx="1">
                  <c:v>2.4000283013438748E-4</c:v>
                </c:pt>
                <c:pt idx="2">
                  <c:v>1.568335476827258E-4</c:v>
                </c:pt>
                <c:pt idx="3">
                  <c:v>-1.6370410406386685E-5</c:v>
                </c:pt>
                <c:pt idx="4">
                  <c:v>0</c:v>
                </c:pt>
                <c:pt idx="5">
                  <c:v>5.0993077707305948E-2</c:v>
                </c:pt>
                <c:pt idx="6">
                  <c:v>2.8674249467044142E-2</c:v>
                </c:pt>
                <c:pt idx="7">
                  <c:v>0</c:v>
                </c:pt>
                <c:pt idx="8">
                  <c:v>-6.2773469846316996E-3</c:v>
                </c:pt>
                <c:pt idx="9">
                  <c:v>-2.0185529245552097E-2</c:v>
                </c:pt>
                <c:pt idx="10">
                  <c:v>1.0120253446077697E-2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0.15393634317644728</c:v>
                </c:pt>
                <c:pt idx="16">
                  <c:v>-9.486532539230258E-2</c:v>
                </c:pt>
                <c:pt idx="17">
                  <c:v>0</c:v>
                </c:pt>
                <c:pt idx="18">
                  <c:v>7.6394884507338806E-3</c:v>
                </c:pt>
                <c:pt idx="19">
                  <c:v>7.7432404056490946E-4</c:v>
                </c:pt>
                <c:pt idx="20">
                  <c:v>6.6075195428251442E-5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C7-4AA5-8128-90FEF1FF4F3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2C7-4AA5-8128-90FEF1FF4F3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2C7-4AA5-8128-90FEF1FF4F3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2C7-4AA5-8128-90FEF1FF4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079368"/>
        <c:axId val="1011080352"/>
      </c:radarChart>
      <c:catAx>
        <c:axId val="1011079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11080352"/>
        <c:crosses val="autoZero"/>
        <c:auto val="1"/>
        <c:lblAlgn val="ctr"/>
        <c:lblOffset val="100"/>
        <c:noMultiLvlLbl val="0"/>
      </c:catAx>
      <c:valAx>
        <c:axId val="101108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107936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General</c:formatCode>
                <c:ptCount val="10"/>
                <c:pt idx="0">
                  <c:v>1.865693820119076E-3</c:v>
                </c:pt>
                <c:pt idx="1">
                  <c:v>3.2359001942515488E-2</c:v>
                </c:pt>
                <c:pt idx="2">
                  <c:v>0</c:v>
                </c:pt>
                <c:pt idx="3">
                  <c:v>1.6409661794440842E-2</c:v>
                </c:pt>
                <c:pt idx="4">
                  <c:v>6.0688062063330599E-2</c:v>
                </c:pt>
                <c:pt idx="5">
                  <c:v>0</c:v>
                </c:pt>
                <c:pt idx="6">
                  <c:v>0</c:v>
                </c:pt>
                <c:pt idx="7">
                  <c:v>5.7666902232981639E-17</c:v>
                </c:pt>
                <c:pt idx="8">
                  <c:v>-8.9444248045741692E-2</c:v>
                </c:pt>
                <c:pt idx="9">
                  <c:v>3.2878654422407922E-3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1-4C30-8B9D-D700515450EA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General</c:formatCode>
                <c:ptCount val="10"/>
                <c:pt idx="0">
                  <c:v>1.8729908717939163E-3</c:v>
                </c:pt>
                <c:pt idx="1">
                  <c:v>3.2641928600542595E-2</c:v>
                </c:pt>
                <c:pt idx="2">
                  <c:v>0</c:v>
                </c:pt>
                <c:pt idx="3">
                  <c:v>1.6599787103605518E-2</c:v>
                </c:pt>
                <c:pt idx="4">
                  <c:v>5.8578146357345283E-2</c:v>
                </c:pt>
                <c:pt idx="5">
                  <c:v>0</c:v>
                </c:pt>
                <c:pt idx="6">
                  <c:v>0</c:v>
                </c:pt>
                <c:pt idx="7">
                  <c:v>5.589427428193543E-17</c:v>
                </c:pt>
                <c:pt idx="8">
                  <c:v>-2.4365218915850438E-2</c:v>
                </c:pt>
                <c:pt idx="9">
                  <c:v>3.2937264837666707E-3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1-4C30-8B9D-D700515450EA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General</c:formatCode>
                <c:ptCount val="10"/>
                <c:pt idx="0">
                  <c:v>1.8729908717939163E-3</c:v>
                </c:pt>
                <c:pt idx="1">
                  <c:v>3.2641928600542595E-2</c:v>
                </c:pt>
                <c:pt idx="2">
                  <c:v>0</c:v>
                </c:pt>
                <c:pt idx="3">
                  <c:v>1.6599787103605518E-2</c:v>
                </c:pt>
                <c:pt idx="4">
                  <c:v>5.8578146357345283E-2</c:v>
                </c:pt>
                <c:pt idx="5">
                  <c:v>0</c:v>
                </c:pt>
                <c:pt idx="6">
                  <c:v>0</c:v>
                </c:pt>
                <c:pt idx="7">
                  <c:v>5.589427428193543E-17</c:v>
                </c:pt>
                <c:pt idx="8">
                  <c:v>-2.4365218915850438E-2</c:v>
                </c:pt>
                <c:pt idx="9">
                  <c:v>3.2937264837666707E-3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1-4C30-8B9D-D700515450EA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461-4C30-8B9D-D700515450EA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461-4C30-8B9D-D700515450EA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461-4C30-8B9D-D70051545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63296"/>
        <c:axId val="337573136"/>
      </c:radarChart>
      <c:catAx>
        <c:axId val="3375632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573136"/>
        <c:crosses val="autoZero"/>
        <c:auto val="1"/>
        <c:lblAlgn val="ctr"/>
        <c:lblOffset val="100"/>
        <c:noMultiLvlLbl val="0"/>
      </c:catAx>
      <c:valAx>
        <c:axId val="33757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56329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16</xdr:row>
      <xdr:rowOff>0</xdr:rowOff>
    </xdr:from>
    <xdr:to>
      <xdr:col>11</xdr:col>
      <xdr:colOff>638176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BB70F1-D120-47C9-AF90-65DF5BCDD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16</xdr:row>
      <xdr:rowOff>0</xdr:rowOff>
    </xdr:from>
    <xdr:to>
      <xdr:col>11</xdr:col>
      <xdr:colOff>571501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A618D0-CD8F-43B7-B190-CDBA1151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59.510479166667" createdVersion="5" refreshedVersion="7" minRefreshableVersion="3" recordCount="1865" xr:uid="{6EA96B6B-178F-475C-A973-5B6AB79403B5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6">
        <s v="Azul"/>
        <s v="Distribuição"/>
        <s v="Geração"/>
        <s v="Verde"/>
        <s v="Branca"/>
        <s v="Convencional"/>
      </sharedItems>
    </cacheField>
    <cacheField name="Classe" numFmtId="0">
      <sharedItems count="9">
        <s v="Industrial"/>
        <s v="Poder público"/>
        <s v="Rural"/>
        <s v="Serviço público"/>
        <s v="Não se aplica"/>
        <s v="Comercial"/>
        <s v="Consumo próprio"/>
        <s v="Residencial"/>
        <s v="Iluminação pública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7">
        <s v="APE"/>
        <s v="Fonte incentivada"/>
        <s v="Não se aplica"/>
        <s v="IRRIG./AQUIC. PR"/>
        <s v="&lt;500"/>
        <s v="Dupla contratação"/>
        <s v="IRRIG./AQUIC."/>
      </sharedItems>
    </cacheField>
    <cacheField name="Agente" numFmtId="0">
      <sharedItems count="10">
        <s v="Não se aplica"/>
        <s v="Sulgipe"/>
        <s v="Iolando Leite"/>
        <s v="São José do Pinheiro"/>
        <s v="Campo Lindo"/>
        <s v="Barra dos Coqueiros"/>
        <s v="Cercos"/>
        <s v="Ceal"/>
        <s v="Coelba"/>
        <s v="Taquari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04-01T00:00:00" maxDate="2022-03-02T00:00:00" count="12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containsInteger="1" minValue="-3221" maxValue="50593"/>
    </cacheField>
    <cacheField name="Daj" numFmtId="40">
      <sharedItems containsSemiMixedTypes="0" containsString="0" containsNumber="1" minValue="-3221" maxValue="50593"/>
    </cacheField>
    <cacheField name="TUSD_E" numFmtId="40">
      <sharedItems containsSemiMixedTypes="0" containsString="0" containsNumber="1" minValue="-10539.724" maxValue="84990.285000000003"/>
    </cacheField>
    <cacheField name="TUSD_Eaj" numFmtId="40">
      <sharedItems containsSemiMixedTypes="0" containsString="0" containsNumber="1" minValue="-10539.724" maxValue="84990.285000000003"/>
    </cacheField>
    <cacheField name="TE_E" numFmtId="40">
      <sharedItems containsSemiMixedTypes="0" containsString="0" containsNumber="1" minValue="-6370.0129999999999" maxValue="84990.285000000003"/>
    </cacheField>
    <cacheField name="TE_Eaj" numFmtId="40">
      <sharedItems containsSemiMixedTypes="0" containsString="0" containsNumber="1" minValue="-6370.0129999999999" maxValue="84990.285000000003"/>
    </cacheField>
    <cacheField name="UC" numFmtId="40">
      <sharedItems containsSemiMixedTypes="0" containsString="0" containsNumber="1" containsInteger="1" minValue="-2618" maxValue="510702"/>
    </cacheField>
    <cacheField name="OPÇÃO" numFmtId="0">
      <sharedItems count="6">
        <s v="LIVRE APE"/>
        <s v="LIVRE"/>
        <s v="CATIVO"/>
        <s v="SUPRIMENTO"/>
        <s v="GERAÇÃO"/>
        <s v="DISTRIBUIÇÃO"/>
      </sharedItems>
    </cacheField>
    <cacheField name="CóD. AUX." numFmtId="0">
      <sharedItems containsSemiMixedTypes="0" containsString="0" containsNumber="1" containsInteger="1" minValue="0" maxValue="30677"/>
    </cacheField>
    <cacheField name="CóD. AUX. TUSD R$/kW" numFmtId="40">
      <sharedItems containsSemiMixedTypes="0" containsString="0" containsNumber="1" containsInteger="1" minValue="0" maxValue="106"/>
    </cacheField>
    <cacheField name="CóD. AUX. TUSD R$/MWh" numFmtId="40">
      <sharedItems containsSemiMixedTypes="0" containsString="0" containsNumber="1" containsInteger="1" minValue="0" maxValue="110"/>
    </cacheField>
    <cacheField name="CóD. AUX. TE R$/MWh" numFmtId="40">
      <sharedItems containsSemiMixedTypes="0" containsString="0" containsNumber="1" containsInteger="1" minValue="0" maxValue="101"/>
    </cacheField>
    <cacheField name="TUSD (R$/kW)" numFmtId="40">
      <sharedItems containsSemiMixedTypes="0" containsString="0" containsNumber="1" minValue="0" maxValue="62.23"/>
    </cacheField>
    <cacheField name="TUSD (R$/MWh)" numFmtId="40">
      <sharedItems containsSemiMixedTypes="0" containsString="0" containsNumber="1" minValue="0" maxValue="1564.59"/>
    </cacheField>
    <cacheField name="TE (R$/MWh)" numFmtId="40">
      <sharedItems containsSemiMixedTypes="0" containsString="0" containsNumber="1" minValue="0" maxValue="365.5"/>
    </cacheField>
    <cacheField name="TUSD (R$/kW) NOVA" numFmtId="40">
      <sharedItems containsString="0" containsBlank="1" containsNumber="1" minValue="11.399844968573289" maxValue="76.426473864517376"/>
    </cacheField>
    <cacheField name="TUSD (R$/MWh) NOVA" numFmtId="40">
      <sharedItems containsString="0" containsBlank="1" containsNumber="1" minValue="4.6233666364282548" maxValue="1922.323293423678"/>
    </cacheField>
    <cacheField name="TE (R$/MWh) NOVA" numFmtId="40">
      <sharedItems containsString="0" containsBlank="1" containsNumber="1" minValue="87.086426227343111" maxValue="382.75425465660959"/>
    </cacheField>
    <cacheField name="RA0 ou RV - TUSD (kW)" numFmtId="40">
      <sharedItems containsSemiMixedTypes="0" containsString="0" containsNumber="1" minValue="-78302.509999999995" maxValue="1229915.8299999998"/>
    </cacheField>
    <cacheField name="RA0 ou RV - TUSD (MWh)" numFmtId="40">
      <sharedItems containsSemiMixedTypes="0" containsString="0" containsNumber="1" minValue="-2205298.5005999999" maxValue="29423636.666999999"/>
    </cacheField>
    <cacheField name="RA0 ou RV - TE (MWh)" numFmtId="40">
      <sharedItems containsSemiMixedTypes="0" containsString="0" containsNumber="1" minValue="-1492111.84512" maxValue="19908124.358400002"/>
    </cacheField>
    <cacheField name="RA1 ou RRD - TUSD (kW)" numFmtId="40">
      <sharedItems containsSemiMixedTypes="0" containsString="0" containsNumber="1" minValue="-89494.605014333298" maxValue="1405712.6828594115"/>
    </cacheField>
    <cacheField name="RA1 ou RRD - TUSD (MWh)" numFmtId="40">
      <sharedItems containsSemiMixedTypes="0" containsString="0" containsNumber="1" minValue="-2732270.3335384405" maxValue="36454624.871955067"/>
    </cacheField>
    <cacheField name="RA1 ou RRD - TE (MWh)" numFmtId="40">
      <sharedItems containsSemiMixedTypes="0" containsString="0" containsNumber="1" minValue="-1584976.1919763333" maxValue="21147143.3848381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59.510826273145" createdVersion="5" refreshedVersion="7" minRefreshableVersion="3" recordCount="835" xr:uid="{858F35C2-43A3-416B-A178-60D509F09FE3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6">
        <s v="Azul"/>
        <s v="Distribuição"/>
        <s v="Geração"/>
        <s v="Verde"/>
        <s v="Convencional"/>
        <s v="Branca"/>
      </sharedItems>
    </cacheField>
    <cacheField name="Classe" numFmtId="0">
      <sharedItems count="5">
        <s v="Industrial"/>
        <s v="Rural"/>
        <s v="Serviço público"/>
        <s v="Não se aplica"/>
        <s v="Residencial"/>
      </sharedItems>
    </cacheField>
    <cacheField name="Subclasse" numFmtId="0">
      <sharedItems count="8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6">
        <s v="Fonte incentivada"/>
        <s v="IRRIG./AQUIC. PR"/>
        <s v="Não se aplica"/>
        <s v="&lt;500"/>
        <s v="Dupla contratação"/>
        <s v="IRRIG./AQUIC."/>
      </sharedItems>
    </cacheField>
    <cacheField name="Agente" numFmtId="0">
      <sharedItems count="8">
        <s v="Não se aplica"/>
        <s v="Sulgipe"/>
        <s v="Iolando Leite"/>
        <s v="São José do Pinheiro"/>
        <s v="Campo Lindo"/>
        <s v="Barra dos Coqueiros"/>
        <s v="Cercos"/>
        <s v="Taquari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4-01T00:00:00" maxDate="2022-03-02T00:00:00" count="12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containsInteger="1" minValue="-448" maxValue="37986"/>
    </cacheField>
    <cacheField name="Daj" numFmtId="40">
      <sharedItems containsSemiMixedTypes="0" containsString="0" containsNumber="1" minValue="-448" maxValue="19186.316072040001"/>
    </cacheField>
    <cacheField name="TUSD_E" numFmtId="40">
      <sharedItems containsSemiMixedTypes="0" containsString="0" containsNumber="1" minValue="-2009.1769999999999" maxValue="83240.540999999997"/>
    </cacheField>
    <cacheField name="TUSD_Eaj" numFmtId="40">
      <sharedItems containsSemiMixedTypes="0" containsString="0" containsNumber="1" minValue="-2009.1769999999999" maxValue="83240.540999999997"/>
    </cacheField>
    <cacheField name="TE_E" numFmtId="40">
      <sharedItems containsSemiMixedTypes="0" containsString="0" containsNumber="1" minValue="-471.37" maxValue="83240.540999999997"/>
    </cacheField>
    <cacheField name="TE_Eaj" numFmtId="40">
      <sharedItems containsSemiMixedTypes="0" containsString="0" containsNumber="1" minValue="-471.37" maxValue="83240.540999999997"/>
    </cacheField>
    <cacheField name="UC" numFmtId="40">
      <sharedItems containsSemiMixedTypes="0" containsString="0" containsNumber="1" containsInteger="1" minValue="-60" maxValue="503995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0677"/>
    </cacheField>
    <cacheField name="CóD. AUX. TUSD R$/kW" numFmtId="0">
      <sharedItems containsSemiMixedTypes="0" containsString="0" containsNumber="1" containsInteger="1" minValue="0" maxValue="44"/>
    </cacheField>
    <cacheField name="CóD. AUX. TUSD R$/MWh" numFmtId="0">
      <sharedItems containsSemiMixedTypes="0" containsString="0" containsNumber="1" containsInteger="1" minValue="0" maxValue="110"/>
    </cacheField>
    <cacheField name="CóD. AUX. TE R$/MWh" numFmtId="0">
      <sharedItems containsSemiMixedTypes="0" containsString="0" containsNumber="1" containsInteger="1" minValue="0" maxValue="101"/>
    </cacheField>
    <cacheField name="TUSD (R$/kW)" numFmtId="40">
      <sharedItems containsSemiMixedTypes="0" containsString="0" containsNumber="1" minValue="0" maxValue="62.23"/>
    </cacheField>
    <cacheField name="TUSD (R$/MWh)" numFmtId="40">
      <sharedItems containsSemiMixedTypes="0" containsString="0" containsNumber="1" minValue="0" maxValue="1564.59"/>
    </cacheField>
    <cacheField name="TE (R$/MWh)" numFmtId="40">
      <sharedItems containsSemiMixedTypes="0" containsString="0" containsNumber="1" minValue="0" maxValue="365.5"/>
    </cacheField>
    <cacheField name="TUSD (R$/kW) NOVA" numFmtId="40">
      <sharedItems containsString="0" containsBlank="1" containsNumber="1" minValue="11.399844968573289" maxValue="76.426473864517376"/>
    </cacheField>
    <cacheField name="TUSD (R$/MWh) NOVA" numFmtId="40">
      <sharedItems containsString="0" containsBlank="1" containsNumber="1" minValue="4.6233666364282548" maxValue="1922.323293423678"/>
    </cacheField>
    <cacheField name="TE (R$/MWh) NOVA" numFmtId="40">
      <sharedItems containsString="0" containsBlank="1" containsNumber="1" minValue="87.086426227343111" maxValue="382.75425465660959"/>
    </cacheField>
    <cacheField name="SUBSIDIO kW - TV" numFmtId="40">
      <sharedItems containsSemiMixedTypes="0" containsString="0" containsNumber="1" minValue="-402.57360000000006" maxValue="1088524.3151387479"/>
    </cacheField>
    <cacheField name="SUBSIDIO MWh - TV" numFmtId="40">
      <sharedItems containsSemiMixedTypes="0" containsString="0" containsNumber="1" minValue="-21903.124140000025" maxValue="2632262.1764399996"/>
    </cacheField>
    <cacheField name="SUBSIDIO kW - TN" numFmtId="40">
      <sharedItems containsSemiMixedTypes="0" containsString="0" containsNumber="1" minValue="-460.11507576447053" maxValue="1336848.38698125"/>
    </cacheField>
    <cacheField name="SUBSIDIO MWh - TN" numFmtId="40">
      <sharedItems containsSemiMixedTypes="0" containsString="0" containsNumber="1" minValue="-21492.543058300565" maxValue="3021686.8440668029"/>
    </cacheField>
    <cacheField name="TIPO" numFmtId="0">
      <sharedItems containsBlank="1" count="8">
        <s v="SUBSIDIO CARGA FONTE INCENTIVADA"/>
        <s v="SUBSIDIO IRRIGANTE/AQUICULTOR"/>
        <s v="SUBSIDIO RURAL"/>
        <s v="SUBSIDIO ÁGUA, ESGOTO E SANEAMENTO"/>
        <s v="SUBSIDIO DISTRIBUIÇÃO"/>
        <s v="SUBSIDIO GERAÇÃO FONTE INCENTIVADA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5">
  <r>
    <s v="Refaturamento - Regular"/>
    <x v="0"/>
    <x v="0"/>
    <x v="0"/>
    <x v="0"/>
    <x v="0"/>
    <x v="0"/>
    <x v="0"/>
    <x v="0"/>
    <n v="0"/>
    <n v="0"/>
    <n v="8611.0249999999996"/>
    <n v="8611.0249999999996"/>
    <n v="0"/>
    <n v="0"/>
    <n v="0"/>
    <x v="0"/>
    <n v="0"/>
    <n v="0"/>
    <n v="1"/>
    <n v="0"/>
    <n v="0"/>
    <n v="6.53"/>
    <n v="0"/>
    <m/>
    <n v="6.8997209610880859"/>
    <m/>
    <n v="0"/>
    <n v="56229.99325"/>
    <n v="0"/>
    <n v="0"/>
    <n v="59413.669688953531"/>
    <n v="0"/>
  </r>
  <r>
    <s v="Refaturamento - Regular"/>
    <x v="0"/>
    <x v="0"/>
    <x v="0"/>
    <x v="0"/>
    <x v="0"/>
    <x v="0"/>
    <x v="0"/>
    <x v="1"/>
    <n v="0"/>
    <n v="0"/>
    <n v="9286.5879999999997"/>
    <n v="9286.5879999999997"/>
    <n v="0"/>
    <n v="0"/>
    <n v="0"/>
    <x v="0"/>
    <n v="0"/>
    <n v="0"/>
    <n v="1"/>
    <n v="0"/>
    <n v="0"/>
    <n v="6.53"/>
    <n v="0"/>
    <m/>
    <n v="6.8997209610880859"/>
    <m/>
    <n v="0"/>
    <n v="60641.41964"/>
    <n v="0"/>
    <n v="0"/>
    <n v="64074.865880589081"/>
    <n v="0"/>
  </r>
  <r>
    <s v="Refaturamento - Regular"/>
    <x v="0"/>
    <x v="0"/>
    <x v="0"/>
    <x v="0"/>
    <x v="0"/>
    <x v="0"/>
    <x v="0"/>
    <x v="2"/>
    <n v="0"/>
    <n v="0"/>
    <n v="8567.4310000000005"/>
    <n v="8567.4310000000005"/>
    <n v="0"/>
    <n v="0"/>
    <n v="0"/>
    <x v="0"/>
    <n v="0"/>
    <n v="0"/>
    <n v="1"/>
    <n v="0"/>
    <n v="0"/>
    <n v="6.53"/>
    <n v="0"/>
    <m/>
    <n v="6.8997209610880859"/>
    <m/>
    <n v="0"/>
    <n v="55945.324430000008"/>
    <n v="0"/>
    <n v="0"/>
    <n v="59112.883253375861"/>
    <n v="0"/>
  </r>
  <r>
    <s v="Refaturamento - Regular"/>
    <x v="0"/>
    <x v="0"/>
    <x v="0"/>
    <x v="0"/>
    <x v="0"/>
    <x v="0"/>
    <x v="0"/>
    <x v="3"/>
    <n v="0"/>
    <n v="0"/>
    <n v="8502.1830000000009"/>
    <n v="8502.1830000000009"/>
    <n v="0"/>
    <n v="0"/>
    <n v="0"/>
    <x v="0"/>
    <n v="0"/>
    <n v="0"/>
    <n v="1"/>
    <n v="0"/>
    <n v="0"/>
    <n v="6.53"/>
    <n v="0"/>
    <m/>
    <n v="6.8997209610880859"/>
    <m/>
    <n v="0"/>
    <n v="55519.254990000009"/>
    <n v="0"/>
    <n v="0"/>
    <n v="58662.690260106792"/>
    <n v="0"/>
  </r>
  <r>
    <s v="Refaturamento - Regular"/>
    <x v="0"/>
    <x v="0"/>
    <x v="0"/>
    <x v="0"/>
    <x v="0"/>
    <x v="0"/>
    <x v="0"/>
    <x v="4"/>
    <n v="0"/>
    <n v="0"/>
    <n v="8514.0499999999993"/>
    <n v="8514.0499999999993"/>
    <n v="0"/>
    <n v="0"/>
    <n v="0"/>
    <x v="0"/>
    <n v="0"/>
    <n v="0"/>
    <n v="1"/>
    <n v="0"/>
    <n v="0"/>
    <n v="6.53"/>
    <n v="0"/>
    <m/>
    <n v="6.8997209610880859"/>
    <m/>
    <n v="0"/>
    <n v="55596.746499999994"/>
    <n v="0"/>
    <n v="0"/>
    <n v="58744.569248752014"/>
    <n v="0"/>
  </r>
  <r>
    <s v="Refaturamento - Regular"/>
    <x v="0"/>
    <x v="0"/>
    <x v="0"/>
    <x v="0"/>
    <x v="0"/>
    <x v="0"/>
    <x v="0"/>
    <x v="5"/>
    <n v="0"/>
    <n v="0"/>
    <n v="8410.0169999999998"/>
    <n v="8410.0169999999998"/>
    <n v="0"/>
    <n v="0"/>
    <n v="0"/>
    <x v="0"/>
    <n v="0"/>
    <n v="0"/>
    <n v="1"/>
    <n v="0"/>
    <n v="0"/>
    <n v="6.53"/>
    <n v="0"/>
    <m/>
    <n v="6.8997209610880859"/>
    <m/>
    <n v="0"/>
    <n v="54917.411010000003"/>
    <n v="0"/>
    <n v="0"/>
    <n v="58026.770578007141"/>
    <n v="0"/>
  </r>
  <r>
    <s v="Refaturamento - Regular"/>
    <x v="0"/>
    <x v="0"/>
    <x v="0"/>
    <x v="0"/>
    <x v="0"/>
    <x v="0"/>
    <x v="0"/>
    <x v="6"/>
    <n v="0"/>
    <n v="0"/>
    <n v="10005.154"/>
    <n v="10005.154"/>
    <n v="0"/>
    <n v="0"/>
    <n v="0"/>
    <x v="0"/>
    <n v="0"/>
    <n v="0"/>
    <n v="1"/>
    <n v="0"/>
    <n v="0"/>
    <n v="6.53"/>
    <n v="0"/>
    <m/>
    <n v="6.8997209610880859"/>
    <m/>
    <n v="0"/>
    <n v="65333.655620000005"/>
    <n v="0"/>
    <n v="0"/>
    <n v="69032.770772714313"/>
    <n v="0"/>
  </r>
  <r>
    <s v="Refaturamento - Regular"/>
    <x v="0"/>
    <x v="0"/>
    <x v="0"/>
    <x v="0"/>
    <x v="0"/>
    <x v="0"/>
    <x v="0"/>
    <x v="7"/>
    <n v="0"/>
    <n v="0"/>
    <n v="10221.031000000001"/>
    <n v="10221.031000000001"/>
    <n v="0"/>
    <n v="0"/>
    <n v="0"/>
    <x v="0"/>
    <n v="0"/>
    <n v="0"/>
    <n v="1"/>
    <n v="0"/>
    <n v="0"/>
    <n v="6.53"/>
    <n v="0"/>
    <m/>
    <n v="6.8997209610880859"/>
    <m/>
    <n v="0"/>
    <n v="66743.332430000009"/>
    <n v="0"/>
    <n v="0"/>
    <n v="70522.261834631121"/>
    <n v="0"/>
  </r>
  <r>
    <s v="Refaturamento - Regular"/>
    <x v="0"/>
    <x v="0"/>
    <x v="0"/>
    <x v="0"/>
    <x v="0"/>
    <x v="0"/>
    <x v="0"/>
    <x v="8"/>
    <n v="0"/>
    <n v="0"/>
    <n v="8846.6949999999997"/>
    <n v="8846.6949999999997"/>
    <n v="0"/>
    <n v="0"/>
    <n v="0"/>
    <x v="0"/>
    <n v="0"/>
    <n v="0"/>
    <n v="1"/>
    <n v="0"/>
    <n v="0"/>
    <n v="6.53"/>
    <n v="0"/>
    <m/>
    <n v="6.8997209610880859"/>
    <m/>
    <n v="0"/>
    <n v="57768.91835"/>
    <n v="0"/>
    <n v="0"/>
    <n v="61039.72692785316"/>
    <n v="0"/>
  </r>
  <r>
    <s v="Refaturamento - Regular"/>
    <x v="0"/>
    <x v="0"/>
    <x v="0"/>
    <x v="0"/>
    <x v="0"/>
    <x v="0"/>
    <x v="0"/>
    <x v="9"/>
    <n v="0"/>
    <n v="0"/>
    <n v="10539.724"/>
    <n v="10539.724"/>
    <n v="0"/>
    <n v="0"/>
    <n v="0"/>
    <x v="0"/>
    <n v="0"/>
    <n v="0"/>
    <n v="1"/>
    <n v="0"/>
    <n v="0"/>
    <n v="6.53"/>
    <n v="0"/>
    <m/>
    <n v="6.8997209610880859"/>
    <m/>
    <n v="0"/>
    <n v="68824.397720000008"/>
    <n v="0"/>
    <n v="0"/>
    <n v="72721.154606883167"/>
    <n v="0"/>
  </r>
  <r>
    <s v="Refaturamento - Regular"/>
    <x v="0"/>
    <x v="0"/>
    <x v="0"/>
    <x v="0"/>
    <x v="0"/>
    <x v="0"/>
    <x v="0"/>
    <x v="10"/>
    <n v="0"/>
    <n v="0"/>
    <n v="11106.028"/>
    <n v="11106.028"/>
    <n v="0"/>
    <n v="0"/>
    <n v="0"/>
    <x v="0"/>
    <n v="0"/>
    <n v="0"/>
    <n v="1"/>
    <n v="0"/>
    <n v="0"/>
    <n v="6.53"/>
    <n v="0"/>
    <m/>
    <n v="6.8997209610880859"/>
    <m/>
    <n v="0"/>
    <n v="72522.362840000002"/>
    <n v="0"/>
    <n v="0"/>
    <n v="76628.494186031196"/>
    <n v="0"/>
  </r>
  <r>
    <s v="PROJETADO"/>
    <x v="0"/>
    <x v="0"/>
    <x v="0"/>
    <x v="0"/>
    <x v="0"/>
    <x v="0"/>
    <x v="0"/>
    <x v="11"/>
    <n v="0"/>
    <n v="0"/>
    <n v="11106.028"/>
    <n v="11106.028"/>
    <n v="0"/>
    <n v="0"/>
    <n v="0"/>
    <x v="0"/>
    <n v="0"/>
    <n v="0"/>
    <n v="1"/>
    <n v="0"/>
    <n v="0"/>
    <n v="6.53"/>
    <n v="0"/>
    <m/>
    <n v="6.8997209610880859"/>
    <m/>
    <n v="0"/>
    <n v="72522.362840000002"/>
    <n v="0"/>
    <n v="0"/>
    <n v="76628.494186031196"/>
    <n v="0"/>
  </r>
  <r>
    <s v="Regular"/>
    <x v="0"/>
    <x v="0"/>
    <x v="0"/>
    <x v="0"/>
    <x v="1"/>
    <x v="0"/>
    <x v="1"/>
    <x v="0"/>
    <n v="1500"/>
    <n v="752.88340500000004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8725.9186639500003"/>
    <n v="0"/>
    <n v="0"/>
    <n v="8582.754096411576"/>
    <n v="0"/>
    <n v="0"/>
  </r>
  <r>
    <s v="Regular"/>
    <x v="0"/>
    <x v="0"/>
    <x v="0"/>
    <x v="0"/>
    <x v="1"/>
    <x v="0"/>
    <x v="1"/>
    <x v="1"/>
    <n v="1500"/>
    <n v="754.02548999999999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8739.1554290999993"/>
    <n v="0"/>
    <n v="0"/>
    <n v="8595.7736883525085"/>
    <n v="0"/>
    <n v="0"/>
  </r>
  <r>
    <s v="Regular"/>
    <x v="0"/>
    <x v="0"/>
    <x v="0"/>
    <x v="0"/>
    <x v="1"/>
    <x v="0"/>
    <x v="1"/>
    <x v="2"/>
    <n v="1500"/>
    <n v="750.61864500000001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8699.67009555"/>
    <n v="0"/>
    <n v="0"/>
    <n v="8556.9361835205491"/>
    <n v="0"/>
    <n v="0"/>
  </r>
  <r>
    <s v="Regular"/>
    <x v="0"/>
    <x v="0"/>
    <x v="0"/>
    <x v="0"/>
    <x v="1"/>
    <x v="0"/>
    <x v="1"/>
    <x v="3"/>
    <n v="1500"/>
    <n v="784.87662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9096.7200257999993"/>
    <n v="0"/>
    <n v="0"/>
    <n v="8947.4717874578091"/>
    <n v="0"/>
    <n v="0"/>
  </r>
  <r>
    <s v="Regular"/>
    <x v="0"/>
    <x v="0"/>
    <x v="0"/>
    <x v="0"/>
    <x v="1"/>
    <x v="0"/>
    <x v="1"/>
    <x v="4"/>
    <n v="1500"/>
    <n v="749.76273000000003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8689.7500407000007"/>
    <n v="0"/>
    <n v="0"/>
    <n v="8547.1788852142745"/>
    <n v="0"/>
    <n v="0"/>
  </r>
  <r>
    <s v="Regular"/>
    <x v="0"/>
    <x v="0"/>
    <x v="0"/>
    <x v="0"/>
    <x v="1"/>
    <x v="0"/>
    <x v="1"/>
    <x v="5"/>
    <n v="11100"/>
    <n v="5550.6575640000001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64332.12116676"/>
    <n v="0"/>
    <n v="0"/>
    <n v="63276.635703238673"/>
    <n v="0"/>
    <n v="0"/>
  </r>
  <r>
    <s v="Regular"/>
    <x v="0"/>
    <x v="0"/>
    <x v="0"/>
    <x v="0"/>
    <x v="1"/>
    <x v="0"/>
    <x v="1"/>
    <x v="6"/>
    <n v="11100"/>
    <n v="5551.2183359999999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64338.620514239999"/>
    <n v="0"/>
    <n v="0"/>
    <n v="63283.028417101385"/>
    <n v="0"/>
    <n v="0"/>
  </r>
  <r>
    <s v="Regular"/>
    <x v="0"/>
    <x v="0"/>
    <x v="0"/>
    <x v="0"/>
    <x v="1"/>
    <x v="0"/>
    <x v="1"/>
    <x v="7"/>
    <n v="16522"/>
    <n v="14758.487485940001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171050.86996204461"/>
    <n v="0"/>
    <n v="0"/>
    <n v="168244.46931034495"/>
    <n v="0"/>
    <n v="0"/>
  </r>
  <r>
    <s v="Regular"/>
    <x v="0"/>
    <x v="0"/>
    <x v="0"/>
    <x v="0"/>
    <x v="1"/>
    <x v="0"/>
    <x v="1"/>
    <x v="8"/>
    <n v="16610"/>
    <n v="14474.657599599999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167761.28157936397"/>
    <n v="0"/>
    <n v="0"/>
    <n v="165008.85260862118"/>
    <n v="0"/>
    <n v="0"/>
  </r>
  <r>
    <s v="Regular"/>
    <x v="0"/>
    <x v="0"/>
    <x v="0"/>
    <x v="0"/>
    <x v="1"/>
    <x v="0"/>
    <x v="1"/>
    <x v="9"/>
    <n v="11100"/>
    <n v="10350.295122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119959.92046397999"/>
    <n v="0"/>
    <n v="0"/>
    <n v="117991.75976978036"/>
    <n v="0"/>
    <n v="0"/>
  </r>
  <r>
    <s v="Regular"/>
    <x v="0"/>
    <x v="0"/>
    <x v="0"/>
    <x v="0"/>
    <x v="1"/>
    <x v="0"/>
    <x v="1"/>
    <x v="10"/>
    <n v="16543"/>
    <n v="14361.89908338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166454.4103763742"/>
    <n v="0"/>
    <n v="0"/>
    <n v="163723.42300482682"/>
    <n v="0"/>
    <n v="0"/>
  </r>
  <r>
    <s v="PROJETADO"/>
    <x v="0"/>
    <x v="0"/>
    <x v="0"/>
    <x v="0"/>
    <x v="1"/>
    <x v="0"/>
    <x v="1"/>
    <x v="11"/>
    <n v="16543"/>
    <n v="14361.89908338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166454.4103763742"/>
    <n v="0"/>
    <n v="0"/>
    <n v="163723.42300482682"/>
    <n v="0"/>
    <n v="0"/>
  </r>
  <r>
    <s v="Regular"/>
    <x v="0"/>
    <x v="0"/>
    <x v="0"/>
    <x v="0"/>
    <x v="1"/>
    <x v="0"/>
    <x v="0"/>
    <x v="0"/>
    <n v="0"/>
    <n v="0"/>
    <n v="370.19499999999999"/>
    <n v="370.19499999999999"/>
    <n v="0"/>
    <n v="0"/>
    <n v="1"/>
    <x v="1"/>
    <n v="0"/>
    <n v="0"/>
    <n v="6"/>
    <n v="0"/>
    <n v="0"/>
    <n v="35.86"/>
    <n v="0"/>
    <m/>
    <n v="47.127470273950593"/>
    <m/>
    <n v="0"/>
    <n v="13275.1927"/>
    <n v="0"/>
    <n v="0"/>
    <n v="17446.35385806514"/>
    <n v="0"/>
  </r>
  <r>
    <s v="Regular"/>
    <x v="0"/>
    <x v="0"/>
    <x v="0"/>
    <x v="0"/>
    <x v="1"/>
    <x v="0"/>
    <x v="0"/>
    <x v="1"/>
    <n v="0"/>
    <n v="0"/>
    <n v="324.17899999999997"/>
    <n v="324.17899999999997"/>
    <n v="0"/>
    <n v="0"/>
    <n v="1"/>
    <x v="1"/>
    <n v="0"/>
    <n v="0"/>
    <n v="6"/>
    <n v="0"/>
    <n v="0"/>
    <n v="35.86"/>
    <n v="0"/>
    <m/>
    <n v="47.127470273950593"/>
    <m/>
    <n v="0"/>
    <n v="11625.058939999999"/>
    <n v="0"/>
    <n v="0"/>
    <n v="15277.736185939028"/>
    <n v="0"/>
  </r>
  <r>
    <s v="Regular"/>
    <x v="0"/>
    <x v="0"/>
    <x v="0"/>
    <x v="0"/>
    <x v="1"/>
    <x v="0"/>
    <x v="0"/>
    <x v="2"/>
    <n v="0"/>
    <n v="0"/>
    <n v="327.90800000000002"/>
    <n v="327.90800000000002"/>
    <n v="0"/>
    <n v="0"/>
    <n v="1"/>
    <x v="1"/>
    <n v="0"/>
    <n v="0"/>
    <n v="6"/>
    <n v="0"/>
    <n v="0"/>
    <n v="35.86"/>
    <n v="0"/>
    <m/>
    <n v="47.127470273950593"/>
    <m/>
    <n v="0"/>
    <n v="11758.78088"/>
    <n v="0"/>
    <n v="0"/>
    <n v="15453.474522590592"/>
    <n v="0"/>
  </r>
  <r>
    <s v="Regular"/>
    <x v="0"/>
    <x v="0"/>
    <x v="0"/>
    <x v="0"/>
    <x v="1"/>
    <x v="0"/>
    <x v="0"/>
    <x v="3"/>
    <n v="0"/>
    <n v="0"/>
    <n v="364.52300000000002"/>
    <n v="364.52300000000002"/>
    <n v="0"/>
    <n v="0"/>
    <n v="1"/>
    <x v="1"/>
    <n v="0"/>
    <n v="0"/>
    <n v="6"/>
    <n v="0"/>
    <n v="0"/>
    <n v="35.86"/>
    <n v="0"/>
    <m/>
    <n v="47.127470273950593"/>
    <m/>
    <n v="0"/>
    <n v="13071.79478"/>
    <n v="0"/>
    <n v="0"/>
    <n v="17179.046846671292"/>
    <n v="0"/>
  </r>
  <r>
    <s v="Regular"/>
    <x v="0"/>
    <x v="0"/>
    <x v="0"/>
    <x v="0"/>
    <x v="1"/>
    <x v="0"/>
    <x v="0"/>
    <x v="4"/>
    <n v="0"/>
    <n v="0"/>
    <n v="414.50400000000002"/>
    <n v="414.50400000000002"/>
    <n v="0"/>
    <n v="0"/>
    <n v="1"/>
    <x v="1"/>
    <n v="0"/>
    <n v="0"/>
    <n v="6"/>
    <n v="0"/>
    <n v="0"/>
    <n v="35.86"/>
    <n v="0"/>
    <m/>
    <n v="47.127470273950593"/>
    <m/>
    <n v="0"/>
    <n v="14864.113440000001"/>
    <n v="0"/>
    <n v="0"/>
    <n v="19534.524938433617"/>
    <n v="0"/>
  </r>
  <r>
    <s v="Regular"/>
    <x v="0"/>
    <x v="0"/>
    <x v="0"/>
    <x v="0"/>
    <x v="1"/>
    <x v="0"/>
    <x v="0"/>
    <x v="5"/>
    <n v="0"/>
    <n v="0"/>
    <n v="6877.1030000000001"/>
    <n v="6877.1030000000001"/>
    <n v="0"/>
    <n v="0"/>
    <n v="2"/>
    <x v="1"/>
    <n v="0"/>
    <n v="0"/>
    <n v="6"/>
    <n v="0"/>
    <n v="0"/>
    <n v="35.86"/>
    <n v="0"/>
    <m/>
    <n v="47.127470273950593"/>
    <m/>
    <n v="0"/>
    <n v="246612.91357999999"/>
    <n v="0"/>
    <n v="0"/>
    <n v="324100.46720339643"/>
    <n v="0"/>
  </r>
  <r>
    <s v="Regular"/>
    <x v="0"/>
    <x v="0"/>
    <x v="0"/>
    <x v="0"/>
    <x v="1"/>
    <x v="0"/>
    <x v="0"/>
    <x v="6"/>
    <n v="0"/>
    <n v="0"/>
    <n v="6822.4920000000002"/>
    <n v="6822.4920000000002"/>
    <n v="0"/>
    <n v="0"/>
    <n v="2"/>
    <x v="1"/>
    <n v="0"/>
    <n v="0"/>
    <n v="6"/>
    <n v="0"/>
    <n v="0"/>
    <n v="35.86"/>
    <n v="0"/>
    <m/>
    <n v="47.127470273950593"/>
    <m/>
    <n v="0"/>
    <n v="244654.56312000001"/>
    <n v="0"/>
    <n v="0"/>
    <n v="321526.78892426571"/>
    <n v="0"/>
  </r>
  <r>
    <s v="Regular"/>
    <x v="0"/>
    <x v="0"/>
    <x v="0"/>
    <x v="0"/>
    <x v="1"/>
    <x v="0"/>
    <x v="0"/>
    <x v="7"/>
    <n v="0"/>
    <n v="0"/>
    <n v="10120.803"/>
    <n v="10120.803"/>
    <n v="0"/>
    <n v="0"/>
    <n v="3"/>
    <x v="1"/>
    <n v="0"/>
    <n v="0"/>
    <n v="6"/>
    <n v="0"/>
    <n v="0"/>
    <n v="35.86"/>
    <n v="0"/>
    <m/>
    <n v="47.127470273950593"/>
    <m/>
    <n v="0"/>
    <n v="362931.99557999999"/>
    <n v="0"/>
    <n v="0"/>
    <n v="476967.84253100998"/>
    <n v="0"/>
  </r>
  <r>
    <s v="Regular"/>
    <x v="0"/>
    <x v="0"/>
    <x v="0"/>
    <x v="0"/>
    <x v="1"/>
    <x v="0"/>
    <x v="0"/>
    <x v="8"/>
    <n v="0"/>
    <n v="0"/>
    <n v="10300.243"/>
    <n v="10300.243"/>
    <n v="0"/>
    <n v="0"/>
    <n v="3"/>
    <x v="1"/>
    <n v="0"/>
    <n v="0"/>
    <n v="6"/>
    <n v="0"/>
    <n v="0"/>
    <n v="35.86"/>
    <n v="0"/>
    <m/>
    <n v="47.127470273950593"/>
    <m/>
    <n v="0"/>
    <n v="369366.71398"/>
    <n v="0"/>
    <n v="0"/>
    <n v="485424.39579696767"/>
    <n v="0"/>
  </r>
  <r>
    <s v="Regular"/>
    <x v="0"/>
    <x v="0"/>
    <x v="0"/>
    <x v="0"/>
    <x v="1"/>
    <x v="0"/>
    <x v="0"/>
    <x v="9"/>
    <n v="0"/>
    <n v="0"/>
    <n v="7118.0290000000005"/>
    <n v="7118.0290000000005"/>
    <n v="0"/>
    <n v="0"/>
    <n v="2"/>
    <x v="1"/>
    <n v="0"/>
    <n v="0"/>
    <n v="6"/>
    <n v="0"/>
    <n v="0"/>
    <n v="35.86"/>
    <n v="0"/>
    <m/>
    <n v="47.127470273950593"/>
    <m/>
    <n v="0"/>
    <n v="255252.51994"/>
    <n v="0"/>
    <n v="0"/>
    <n v="335454.70010661829"/>
    <n v="0"/>
  </r>
  <r>
    <s v="Regular"/>
    <x v="0"/>
    <x v="0"/>
    <x v="0"/>
    <x v="0"/>
    <x v="1"/>
    <x v="0"/>
    <x v="0"/>
    <x v="10"/>
    <n v="0"/>
    <n v="0"/>
    <n v="10378.311"/>
    <n v="10378.311"/>
    <n v="0"/>
    <n v="0"/>
    <n v="3"/>
    <x v="1"/>
    <n v="0"/>
    <n v="0"/>
    <n v="6"/>
    <n v="0"/>
    <n v="0"/>
    <n v="35.86"/>
    <n v="0"/>
    <m/>
    <n v="47.127470273950593"/>
    <m/>
    <n v="0"/>
    <n v="372166.23245999997"/>
    <n v="0"/>
    <n v="0"/>
    <n v="489103.54314631445"/>
    <n v="0"/>
  </r>
  <r>
    <s v="Refaturamento - Regular"/>
    <x v="0"/>
    <x v="0"/>
    <x v="0"/>
    <x v="0"/>
    <x v="1"/>
    <x v="0"/>
    <x v="0"/>
    <x v="10"/>
    <n v="0"/>
    <n v="0"/>
    <n v="-2009.1769999999999"/>
    <n v="-2009.1769999999999"/>
    <n v="0"/>
    <n v="0"/>
    <n v="0"/>
    <x v="1"/>
    <n v="0"/>
    <n v="0"/>
    <n v="6"/>
    <n v="0"/>
    <n v="0"/>
    <n v="35.86"/>
    <n v="0"/>
    <m/>
    <n v="47.127470273950593"/>
    <m/>
    <n v="0"/>
    <n v="-72049.087220000001"/>
    <n v="0"/>
    <n v="0"/>
    <n v="-94687.429342605232"/>
    <n v="0"/>
  </r>
  <r>
    <s v="PROJETADO"/>
    <x v="0"/>
    <x v="0"/>
    <x v="0"/>
    <x v="0"/>
    <x v="1"/>
    <x v="0"/>
    <x v="0"/>
    <x v="11"/>
    <n v="0"/>
    <n v="0"/>
    <n v="10378.311"/>
    <n v="10378.311"/>
    <n v="0"/>
    <n v="0"/>
    <n v="3"/>
    <x v="1"/>
    <n v="0"/>
    <n v="0"/>
    <n v="6"/>
    <n v="0"/>
    <n v="0"/>
    <n v="35.86"/>
    <n v="0"/>
    <m/>
    <n v="47.127470273950593"/>
    <m/>
    <n v="0"/>
    <n v="372166.23245999997"/>
    <n v="0"/>
    <n v="0"/>
    <n v="489103.54314631445"/>
    <n v="0"/>
  </r>
  <r>
    <s v="PROJETADO"/>
    <x v="0"/>
    <x v="0"/>
    <x v="0"/>
    <x v="0"/>
    <x v="1"/>
    <x v="0"/>
    <x v="0"/>
    <x v="11"/>
    <n v="0"/>
    <n v="0"/>
    <n v="-2009.1769999999999"/>
    <n v="-2009.1769999999999"/>
    <n v="0"/>
    <n v="0"/>
    <n v="0"/>
    <x v="1"/>
    <n v="0"/>
    <n v="0"/>
    <n v="6"/>
    <n v="0"/>
    <n v="0"/>
    <n v="35.86"/>
    <n v="0"/>
    <m/>
    <n v="47.127470273950593"/>
    <m/>
    <n v="0"/>
    <n v="-72049.087220000001"/>
    <n v="0"/>
    <n v="0"/>
    <n v="-94687.429342605232"/>
    <n v="0"/>
  </r>
  <r>
    <s v="Regular"/>
    <x v="0"/>
    <x v="0"/>
    <x v="0"/>
    <x v="0"/>
    <x v="1"/>
    <x v="0"/>
    <x v="2"/>
    <x v="0"/>
    <n v="1210"/>
    <n v="607.32558370000004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7211.607042058"/>
    <n v="0"/>
    <n v="0"/>
    <n v="19880.058329085041"/>
    <n v="0"/>
    <n v="0"/>
  </r>
  <r>
    <s v="Regular"/>
    <x v="0"/>
    <x v="0"/>
    <x v="0"/>
    <x v="0"/>
    <x v="1"/>
    <x v="0"/>
    <x v="2"/>
    <x v="1"/>
    <n v="1210"/>
    <n v="608.3789855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7241.46044907"/>
    <n v="0"/>
    <n v="0"/>
    <n v="19914.540145412258"/>
    <n v="0"/>
    <n v="0"/>
  </r>
  <r>
    <s v="Regular"/>
    <x v="0"/>
    <x v="0"/>
    <x v="0"/>
    <x v="0"/>
    <x v="1"/>
    <x v="0"/>
    <x v="2"/>
    <x v="2"/>
    <n v="1210"/>
    <n v="605.55787050000004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7161.510049970002"/>
    <n v="0"/>
    <n v="0"/>
    <n v="19822.194404909482"/>
    <n v="0"/>
    <n v="0"/>
  </r>
  <r>
    <s v="Regular"/>
    <x v="0"/>
    <x v="0"/>
    <x v="0"/>
    <x v="0"/>
    <x v="1"/>
    <x v="0"/>
    <x v="2"/>
    <x v="3"/>
    <n v="1210"/>
    <n v="635.23677469999996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8002.610194998"/>
    <n v="0"/>
    <n v="0"/>
    <n v="20793.69694403317"/>
    <n v="0"/>
    <n v="0"/>
  </r>
  <r>
    <s v="Regular"/>
    <x v="0"/>
    <x v="0"/>
    <x v="0"/>
    <x v="0"/>
    <x v="1"/>
    <x v="0"/>
    <x v="2"/>
    <x v="4"/>
    <n v="1210"/>
    <n v="604.80840860000001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7140.270299724001"/>
    <n v="0"/>
    <n v="0"/>
    <n v="19797.661688542332"/>
    <n v="0"/>
    <n v="0"/>
  </r>
  <r>
    <s v="Regular"/>
    <x v="0"/>
    <x v="0"/>
    <x v="0"/>
    <x v="0"/>
    <x v="1"/>
    <x v="0"/>
    <x v="2"/>
    <x v="5"/>
    <n v="4910"/>
    <n v="2455.5318020999998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69589.771271513993"/>
    <n v="0"/>
    <n v="0"/>
    <n v="80378.822767961887"/>
    <n v="0"/>
    <n v="0"/>
  </r>
  <r>
    <s v="Regular"/>
    <x v="0"/>
    <x v="0"/>
    <x v="0"/>
    <x v="0"/>
    <x v="1"/>
    <x v="0"/>
    <x v="2"/>
    <x v="6"/>
    <n v="4910"/>
    <n v="2455.9827365000001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69602.550752409996"/>
    <n v="0"/>
    <n v="0"/>
    <n v="80393.583552646742"/>
    <n v="0"/>
    <n v="0"/>
  </r>
  <r>
    <s v="Regular"/>
    <x v="0"/>
    <x v="0"/>
    <x v="0"/>
    <x v="0"/>
    <x v="1"/>
    <x v="0"/>
    <x v="2"/>
    <x v="7"/>
    <n v="8848"/>
    <n v="7471.7574825600004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211749.60705575041"/>
    <n v="0"/>
    <n v="0"/>
    <n v="244578.81992905482"/>
    <n v="0"/>
    <n v="0"/>
  </r>
  <r>
    <s v="Regular"/>
    <x v="0"/>
    <x v="0"/>
    <x v="0"/>
    <x v="0"/>
    <x v="1"/>
    <x v="0"/>
    <x v="2"/>
    <x v="8"/>
    <n v="9134"/>
    <n v="7379.7821435799997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209143.02594905719"/>
    <n v="0"/>
    <n v="0"/>
    <n v="241568.11998023957"/>
    <n v="0"/>
    <n v="0"/>
  </r>
  <r>
    <s v="Regular"/>
    <x v="0"/>
    <x v="0"/>
    <x v="0"/>
    <x v="0"/>
    <x v="1"/>
    <x v="0"/>
    <x v="2"/>
    <x v="9"/>
    <n v="4960"/>
    <n v="4349.5840096000002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123267.21083206401"/>
    <n v="0"/>
    <n v="0"/>
    <n v="142378.29944739671"/>
    <n v="0"/>
    <n v="0"/>
  </r>
  <r>
    <s v="Regular"/>
    <x v="0"/>
    <x v="0"/>
    <x v="0"/>
    <x v="0"/>
    <x v="1"/>
    <x v="0"/>
    <x v="2"/>
    <x v="10"/>
    <n v="8824"/>
    <n v="7312.3944441599997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207233.25854749439"/>
    <n v="0"/>
    <n v="0"/>
    <n v="239362.26626505307"/>
    <n v="0"/>
    <n v="0"/>
  </r>
  <r>
    <s v="PROJETADO"/>
    <x v="0"/>
    <x v="0"/>
    <x v="0"/>
    <x v="0"/>
    <x v="1"/>
    <x v="0"/>
    <x v="2"/>
    <x v="11"/>
    <n v="8824"/>
    <n v="7312.3944441599997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207233.25854749439"/>
    <n v="0"/>
    <n v="0"/>
    <n v="239362.26626505307"/>
    <n v="0"/>
    <n v="0"/>
  </r>
  <r>
    <s v="Regular"/>
    <x v="0"/>
    <x v="0"/>
    <x v="0"/>
    <x v="0"/>
    <x v="2"/>
    <x v="0"/>
    <x v="1"/>
    <x v="0"/>
    <n v="10839"/>
    <n v="10839"/>
    <n v="3980.9520000000002"/>
    <n v="3980.9520000000002"/>
    <n v="3980.9520000000002"/>
    <n v="3980.9520000000002"/>
    <n v="0"/>
    <x v="2"/>
    <n v="0"/>
    <n v="5"/>
    <n v="6"/>
    <n v="87"/>
    <n v="11.59"/>
    <n v="35.86"/>
    <n v="222.31"/>
    <n v="11.399844968573289"/>
    <n v="47.127470273950593"/>
    <n v="236.64237028527376"/>
    <n v="125624.01"/>
    <n v="142756.93872000001"/>
    <n v="885005.43912000011"/>
    <n v="123562.91961436588"/>
    <n v="187612.19704202417"/>
    <n v="942061.91727190115"/>
  </r>
  <r>
    <s v="Regular"/>
    <x v="0"/>
    <x v="0"/>
    <x v="0"/>
    <x v="0"/>
    <x v="2"/>
    <x v="0"/>
    <x v="1"/>
    <x v="0"/>
    <n v="34410"/>
    <n v="34410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8811.9"/>
    <n v="0"/>
    <n v="0"/>
    <n v="392268.66536860686"/>
    <n v="0"/>
    <n v="0"/>
  </r>
  <r>
    <s v="Regular"/>
    <x v="0"/>
    <x v="0"/>
    <x v="0"/>
    <x v="0"/>
    <x v="2"/>
    <x v="0"/>
    <x v="1"/>
    <x v="1"/>
    <n v="10942"/>
    <n v="10942"/>
    <n v="4029.835"/>
    <n v="4029.835"/>
    <n v="4029.835"/>
    <n v="4029.835"/>
    <n v="0"/>
    <x v="2"/>
    <n v="0"/>
    <n v="5"/>
    <n v="6"/>
    <n v="87"/>
    <n v="11.59"/>
    <n v="35.86"/>
    <n v="222.31"/>
    <n v="11.399844968573289"/>
    <n v="47.127470273950593"/>
    <n v="236.64237028527376"/>
    <n v="126817.78"/>
    <n v="144509.88310000001"/>
    <n v="895872.61884999997"/>
    <n v="124737.10364612893"/>
    <n v="189915.9291714257"/>
    <n v="953629.70625855622"/>
  </r>
  <r>
    <s v="Regular"/>
    <x v="0"/>
    <x v="0"/>
    <x v="0"/>
    <x v="0"/>
    <x v="2"/>
    <x v="0"/>
    <x v="1"/>
    <x v="1"/>
    <n v="34444"/>
    <n v="34444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9205.96"/>
    <n v="0"/>
    <n v="0"/>
    <n v="392656.26009753835"/>
    <n v="0"/>
    <n v="0"/>
  </r>
  <r>
    <s v="Regular"/>
    <x v="0"/>
    <x v="0"/>
    <x v="0"/>
    <x v="0"/>
    <x v="2"/>
    <x v="0"/>
    <x v="1"/>
    <x v="2"/>
    <n v="10325"/>
    <n v="10325"/>
    <n v="3862.712"/>
    <n v="3862.712"/>
    <n v="3862.712"/>
    <n v="3862.712"/>
    <n v="0"/>
    <x v="2"/>
    <n v="0"/>
    <n v="5"/>
    <n v="6"/>
    <n v="87"/>
    <n v="11.59"/>
    <n v="35.86"/>
    <n v="222.31"/>
    <n v="11.399844968573289"/>
    <n v="47.127470273950593"/>
    <n v="236.64237028527376"/>
    <n v="119666.75"/>
    <n v="138516.85232000001"/>
    <n v="858719.50471999997"/>
    <n v="117703.3993005192"/>
    <n v="182039.84495683224"/>
    <n v="914081.32340937038"/>
  </r>
  <r>
    <s v="Regular"/>
    <x v="0"/>
    <x v="0"/>
    <x v="0"/>
    <x v="0"/>
    <x v="2"/>
    <x v="0"/>
    <x v="1"/>
    <x v="2"/>
    <n v="34262"/>
    <n v="34262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7096.58"/>
    <n v="0"/>
    <n v="0"/>
    <n v="390581.48831325804"/>
    <n v="0"/>
    <n v="0"/>
  </r>
  <r>
    <s v="Regular"/>
    <x v="0"/>
    <x v="0"/>
    <x v="0"/>
    <x v="0"/>
    <x v="2"/>
    <x v="0"/>
    <x v="1"/>
    <x v="3"/>
    <n v="10465"/>
    <n v="10465"/>
    <n v="3960.0239999999999"/>
    <n v="3960.0239999999999"/>
    <n v="3960.0239999999999"/>
    <n v="3960.0239999999999"/>
    <n v="0"/>
    <x v="2"/>
    <n v="0"/>
    <n v="5"/>
    <n v="6"/>
    <n v="87"/>
    <n v="11.59"/>
    <n v="35.86"/>
    <n v="222.31"/>
    <n v="11.399844968573289"/>
    <n v="47.127470273950593"/>
    <n v="236.64237028527376"/>
    <n v="121289.34999999999"/>
    <n v="142006.46064"/>
    <n v="880352.93544000003"/>
    <n v="119299.37759611946"/>
    <n v="186625.91334413091"/>
    <n v="937109.46574657084"/>
  </r>
  <r>
    <s v="Regular"/>
    <x v="0"/>
    <x v="0"/>
    <x v="0"/>
    <x v="0"/>
    <x v="2"/>
    <x v="0"/>
    <x v="1"/>
    <x v="3"/>
    <n v="34325"/>
    <n v="34325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7826.75"/>
    <n v="0"/>
    <n v="0"/>
    <n v="391299.67854627816"/>
    <n v="0"/>
    <n v="0"/>
  </r>
  <r>
    <s v="Regular"/>
    <x v="0"/>
    <x v="0"/>
    <x v="0"/>
    <x v="0"/>
    <x v="2"/>
    <x v="0"/>
    <x v="1"/>
    <x v="4"/>
    <n v="10675"/>
    <n v="10675"/>
    <n v="3964.2350000000001"/>
    <n v="3964.2350000000001"/>
    <n v="3964.2350000000001"/>
    <n v="3964.2350000000001"/>
    <n v="0"/>
    <x v="2"/>
    <n v="0"/>
    <n v="5"/>
    <n v="6"/>
    <n v="87"/>
    <n v="11.59"/>
    <n v="35.86"/>
    <n v="222.31"/>
    <n v="11.399844968573289"/>
    <n v="47.127470273950593"/>
    <n v="236.64237028527376"/>
    <n v="123723.25"/>
    <n v="142157.46710000001"/>
    <n v="881289.08285000001"/>
    <n v="121693.34503951986"/>
    <n v="186824.36712145453"/>
    <n v="938105.96676784218"/>
  </r>
  <r>
    <s v="Regular"/>
    <x v="0"/>
    <x v="0"/>
    <x v="0"/>
    <x v="0"/>
    <x v="2"/>
    <x v="0"/>
    <x v="1"/>
    <x v="4"/>
    <n v="34324"/>
    <n v="34324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7815.16"/>
    <n v="0"/>
    <n v="0"/>
    <n v="391288.27870130958"/>
    <n v="0"/>
    <n v="0"/>
  </r>
  <r>
    <s v="Regular"/>
    <x v="0"/>
    <x v="0"/>
    <x v="0"/>
    <x v="0"/>
    <x v="2"/>
    <x v="0"/>
    <x v="1"/>
    <x v="5"/>
    <n v="10672"/>
    <n v="10672"/>
    <n v="3601.9229999999998"/>
    <n v="3601.9229999999998"/>
    <n v="3601.9229999999998"/>
    <n v="3601.9229999999998"/>
    <n v="0"/>
    <x v="2"/>
    <n v="0"/>
    <n v="5"/>
    <n v="6"/>
    <n v="87"/>
    <n v="11.59"/>
    <n v="35.86"/>
    <n v="222.31"/>
    <n v="11.399844968573289"/>
    <n v="47.127470273950593"/>
    <n v="236.64237028527376"/>
    <n v="123688.48"/>
    <n v="129164.95877999999"/>
    <n v="800743.50212999992"/>
    <n v="121659.14550461413"/>
    <n v="169749.51911155894"/>
    <n v="852367.59630504402"/>
  </r>
  <r>
    <s v="Regular"/>
    <x v="0"/>
    <x v="0"/>
    <x v="0"/>
    <x v="0"/>
    <x v="2"/>
    <x v="0"/>
    <x v="1"/>
    <x v="5"/>
    <n v="34304"/>
    <n v="34304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7583.35999999999"/>
    <n v="0"/>
    <n v="0"/>
    <n v="391060.28180193808"/>
    <n v="0"/>
    <n v="0"/>
  </r>
  <r>
    <s v="Regular"/>
    <x v="0"/>
    <x v="0"/>
    <x v="0"/>
    <x v="0"/>
    <x v="2"/>
    <x v="0"/>
    <x v="1"/>
    <x v="6"/>
    <n v="11408"/>
    <n v="11408"/>
    <n v="3525.7629999999999"/>
    <n v="3525.7629999999999"/>
    <n v="3525.7629999999999"/>
    <n v="3525.7629999999999"/>
    <n v="0"/>
    <x v="2"/>
    <n v="0"/>
    <n v="5"/>
    <n v="6"/>
    <n v="87"/>
    <n v="11.59"/>
    <n v="35.86"/>
    <n v="222.31"/>
    <n v="11.399844968573289"/>
    <n v="47.127470273950593"/>
    <n v="236.64237028527376"/>
    <n v="132218.72"/>
    <n v="126433.86117999999"/>
    <n v="783812.37252999994"/>
    <n v="130049.43140148408"/>
    <n v="166160.29097549486"/>
    <n v="834344.91338411765"/>
  </r>
  <r>
    <s v="Regular"/>
    <x v="0"/>
    <x v="0"/>
    <x v="0"/>
    <x v="0"/>
    <x v="2"/>
    <x v="0"/>
    <x v="1"/>
    <x v="6"/>
    <n v="34372"/>
    <n v="34372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8371.48"/>
    <n v="0"/>
    <n v="0"/>
    <n v="391835.47125980107"/>
    <n v="0"/>
    <n v="0"/>
  </r>
  <r>
    <s v="Regular"/>
    <x v="0"/>
    <x v="0"/>
    <x v="0"/>
    <x v="0"/>
    <x v="2"/>
    <x v="0"/>
    <x v="1"/>
    <x v="7"/>
    <n v="13314"/>
    <n v="13314"/>
    <n v="3538.7069999999999"/>
    <n v="3538.7069999999999"/>
    <n v="3538.7069999999999"/>
    <n v="3538.7069999999999"/>
    <n v="0"/>
    <x v="2"/>
    <n v="0"/>
    <n v="5"/>
    <n v="6"/>
    <n v="87"/>
    <n v="11.59"/>
    <n v="35.86"/>
    <n v="222.31"/>
    <n v="11.399844968573289"/>
    <n v="47.127470273950593"/>
    <n v="236.64237028527376"/>
    <n v="154309.26"/>
    <n v="126898.03301999999"/>
    <n v="786689.95316999999"/>
    <n v="151777.53591158477"/>
    <n v="166770.30895072088"/>
    <n v="837408.01222509018"/>
  </r>
  <r>
    <s v="Regular"/>
    <x v="0"/>
    <x v="0"/>
    <x v="0"/>
    <x v="0"/>
    <x v="2"/>
    <x v="0"/>
    <x v="1"/>
    <x v="7"/>
    <n v="29000"/>
    <n v="29000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36110"/>
    <n v="0"/>
    <n v="0"/>
    <n v="330595.50408862537"/>
    <n v="0"/>
    <n v="0"/>
  </r>
  <r>
    <s v="Regular"/>
    <x v="0"/>
    <x v="0"/>
    <x v="0"/>
    <x v="0"/>
    <x v="2"/>
    <x v="0"/>
    <x v="1"/>
    <x v="8"/>
    <n v="10912"/>
    <n v="10912"/>
    <n v="3660.768"/>
    <n v="3660.768"/>
    <n v="3660.768"/>
    <n v="3660.768"/>
    <n v="0"/>
    <x v="2"/>
    <n v="0"/>
    <n v="5"/>
    <n v="6"/>
    <n v="87"/>
    <n v="11.59"/>
    <n v="35.86"/>
    <n v="222.31"/>
    <n v="11.399844968573289"/>
    <n v="47.127470273950593"/>
    <n v="236.64237028527376"/>
    <n v="126470.08"/>
    <n v="131275.14048"/>
    <n v="813825.33408000006"/>
    <n v="124395.10829707173"/>
    <n v="172522.73509982956"/>
    <n v="866292.81658448104"/>
  </r>
  <r>
    <s v="Regular"/>
    <x v="0"/>
    <x v="0"/>
    <x v="0"/>
    <x v="0"/>
    <x v="2"/>
    <x v="0"/>
    <x v="1"/>
    <x v="8"/>
    <n v="29000"/>
    <n v="29000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36110"/>
    <n v="0"/>
    <n v="0"/>
    <n v="330595.50408862537"/>
    <n v="0"/>
    <n v="0"/>
  </r>
  <r>
    <s v="Regular"/>
    <x v="0"/>
    <x v="0"/>
    <x v="0"/>
    <x v="0"/>
    <x v="2"/>
    <x v="0"/>
    <x v="1"/>
    <x v="9"/>
    <n v="10869"/>
    <n v="10869"/>
    <n v="3110.2190000000001"/>
    <n v="3110.2190000000001"/>
    <n v="3110.2190000000001"/>
    <n v="3110.2190000000001"/>
    <n v="0"/>
    <x v="2"/>
    <n v="0"/>
    <n v="5"/>
    <n v="6"/>
    <n v="87"/>
    <n v="11.59"/>
    <n v="35.86"/>
    <n v="222.31"/>
    <n v="11.399844968573289"/>
    <n v="47.127470273950593"/>
    <n v="236.64237028527376"/>
    <n v="125971.70999999999"/>
    <n v="111532.45334000001"/>
    <n v="691432.78589000006"/>
    <n v="123904.91496342309"/>
    <n v="146576.75346797635"/>
    <n v="736009.5962662939"/>
  </r>
  <r>
    <s v="Refaturamento - Regular"/>
    <x v="0"/>
    <x v="0"/>
    <x v="0"/>
    <x v="0"/>
    <x v="2"/>
    <x v="0"/>
    <x v="1"/>
    <x v="9"/>
    <n v="0"/>
    <n v="0"/>
    <n v="56"/>
    <n v="56"/>
    <n v="56"/>
    <n v="56"/>
    <n v="0"/>
    <x v="2"/>
    <n v="0"/>
    <n v="0"/>
    <n v="6"/>
    <n v="87"/>
    <n v="0"/>
    <n v="35.86"/>
    <n v="222.31"/>
    <n v="11.399844968573289"/>
    <n v="47.127470273950593"/>
    <n v="236.64237028527376"/>
    <n v="0"/>
    <n v="2008.1599999999999"/>
    <n v="12449.36"/>
    <n v="0"/>
    <n v="2639.138335341233"/>
    <n v="13251.972735975331"/>
  </r>
  <r>
    <s v="Regular"/>
    <x v="0"/>
    <x v="0"/>
    <x v="0"/>
    <x v="0"/>
    <x v="2"/>
    <x v="0"/>
    <x v="1"/>
    <x v="9"/>
    <n v="34485"/>
    <n v="34485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99681.15"/>
    <n v="0"/>
    <n v="0"/>
    <n v="393123.65374124987"/>
    <n v="0"/>
    <n v="0"/>
  </r>
  <r>
    <s v="Regular"/>
    <x v="0"/>
    <x v="0"/>
    <x v="0"/>
    <x v="0"/>
    <x v="2"/>
    <x v="0"/>
    <x v="1"/>
    <x v="10"/>
    <n v="10836"/>
    <n v="10836"/>
    <n v="3208.0810000000001"/>
    <n v="3208.0810000000001"/>
    <n v="3208.0810000000001"/>
    <n v="3208.0810000000001"/>
    <n v="0"/>
    <x v="2"/>
    <n v="0"/>
    <n v="5"/>
    <n v="6"/>
    <n v="87"/>
    <n v="11.59"/>
    <n v="35.86"/>
    <n v="222.31"/>
    <n v="11.399844968573289"/>
    <n v="47.127470273950593"/>
    <n v="236.64237028527376"/>
    <n v="125589.24"/>
    <n v="115041.78466"/>
    <n v="713188.48710999999"/>
    <n v="123528.72007946017"/>
    <n v="151188.74196392568"/>
    <n v="759167.89190715132"/>
  </r>
  <r>
    <s v="Regular"/>
    <x v="0"/>
    <x v="0"/>
    <x v="0"/>
    <x v="0"/>
    <x v="2"/>
    <x v="0"/>
    <x v="1"/>
    <x v="10"/>
    <n v="29000"/>
    <n v="29000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36110"/>
    <n v="0"/>
    <n v="0"/>
    <n v="330595.50408862537"/>
    <n v="0"/>
    <n v="0"/>
  </r>
  <r>
    <s v="PROJETADO"/>
    <x v="0"/>
    <x v="0"/>
    <x v="0"/>
    <x v="0"/>
    <x v="2"/>
    <x v="0"/>
    <x v="1"/>
    <x v="11"/>
    <n v="10836"/>
    <n v="10836"/>
    <n v="3208.0810000000001"/>
    <n v="3208.0810000000001"/>
    <n v="3208.0810000000001"/>
    <n v="3208.0810000000001"/>
    <n v="0"/>
    <x v="2"/>
    <n v="0"/>
    <n v="5"/>
    <n v="6"/>
    <n v="87"/>
    <n v="11.59"/>
    <n v="35.86"/>
    <n v="222.31"/>
    <n v="11.399844968573289"/>
    <n v="47.127470273950593"/>
    <n v="236.64237028527376"/>
    <n v="125589.24"/>
    <n v="115041.78466"/>
    <n v="713188.48710999999"/>
    <n v="123528.72007946017"/>
    <n v="151188.74196392568"/>
    <n v="759167.89190715132"/>
  </r>
  <r>
    <s v="PROJETADO"/>
    <x v="0"/>
    <x v="0"/>
    <x v="0"/>
    <x v="0"/>
    <x v="2"/>
    <x v="0"/>
    <x v="1"/>
    <x v="11"/>
    <n v="29000"/>
    <n v="29000"/>
    <n v="0"/>
    <n v="0"/>
    <n v="0"/>
    <n v="0"/>
    <n v="0"/>
    <x v="1"/>
    <n v="0"/>
    <n v="5"/>
    <n v="0"/>
    <n v="0"/>
    <n v="11.59"/>
    <n v="0"/>
    <n v="0"/>
    <n v="11.399844968573289"/>
    <n v="47.127470273950593"/>
    <m/>
    <n v="336110"/>
    <n v="0"/>
    <n v="0"/>
    <n v="330595.50408862537"/>
    <n v="0"/>
    <n v="0"/>
  </r>
  <r>
    <s v="Regular"/>
    <x v="0"/>
    <x v="0"/>
    <x v="0"/>
    <x v="0"/>
    <x v="2"/>
    <x v="0"/>
    <x v="0"/>
    <x v="0"/>
    <n v="0"/>
    <n v="0"/>
    <n v="17535.516"/>
    <n v="17535.516"/>
    <n v="0"/>
    <n v="0"/>
    <n v="5"/>
    <x v="1"/>
    <n v="0"/>
    <n v="0"/>
    <n v="6"/>
    <n v="0"/>
    <n v="0"/>
    <n v="35.86"/>
    <n v="0"/>
    <m/>
    <n v="47.127470273950593"/>
    <m/>
    <n v="0"/>
    <n v="628823.60375999997"/>
    <n v="0"/>
    <n v="0"/>
    <n v="826404.50902838493"/>
    <n v="0"/>
  </r>
  <r>
    <s v="Refaturamento - Regular"/>
    <x v="0"/>
    <x v="0"/>
    <x v="0"/>
    <x v="0"/>
    <x v="2"/>
    <x v="0"/>
    <x v="0"/>
    <x v="0"/>
    <n v="0"/>
    <n v="0"/>
    <n v="-8611.0249999999996"/>
    <n v="-8611.0249999999996"/>
    <n v="0"/>
    <n v="0"/>
    <n v="0"/>
    <x v="1"/>
    <n v="0"/>
    <n v="0"/>
    <n v="6"/>
    <n v="0"/>
    <n v="0"/>
    <n v="35.86"/>
    <n v="0"/>
    <m/>
    <n v="47.127470273950593"/>
    <m/>
    <n v="0"/>
    <n v="-308791.35649999999"/>
    <n v="0"/>
    <n v="0"/>
    <n v="-405815.8247157454"/>
    <n v="0"/>
  </r>
  <r>
    <s v="Regular"/>
    <x v="0"/>
    <x v="0"/>
    <x v="0"/>
    <x v="0"/>
    <x v="2"/>
    <x v="0"/>
    <x v="0"/>
    <x v="1"/>
    <n v="0"/>
    <n v="0"/>
    <n v="16297.62"/>
    <n v="16297.62"/>
    <n v="0"/>
    <n v="0"/>
    <n v="5"/>
    <x v="1"/>
    <n v="0"/>
    <n v="0"/>
    <n v="6"/>
    <n v="0"/>
    <n v="0"/>
    <n v="35.86"/>
    <n v="0"/>
    <m/>
    <n v="47.127470273950593"/>
    <m/>
    <n v="0"/>
    <n v="584432.65320000006"/>
    <n v="0"/>
    <n v="0"/>
    <n v="768065.60208614275"/>
    <n v="0"/>
  </r>
  <r>
    <s v="Refaturamento - Regular"/>
    <x v="0"/>
    <x v="0"/>
    <x v="0"/>
    <x v="0"/>
    <x v="2"/>
    <x v="0"/>
    <x v="0"/>
    <x v="1"/>
    <n v="0"/>
    <n v="0"/>
    <n v="-9286.5879999999997"/>
    <n v="-9286.5879999999997"/>
    <n v="0"/>
    <n v="0"/>
    <n v="0"/>
    <x v="1"/>
    <n v="0"/>
    <n v="0"/>
    <n v="6"/>
    <n v="0"/>
    <n v="0"/>
    <n v="35.86"/>
    <n v="0"/>
    <m/>
    <n v="47.127470273950593"/>
    <m/>
    <n v="0"/>
    <n v="-333017.04567999998"/>
    <n v="0"/>
    <n v="0"/>
    <n v="-437653.39991642628"/>
    <n v="0"/>
  </r>
  <r>
    <s v="Regular"/>
    <x v="0"/>
    <x v="0"/>
    <x v="0"/>
    <x v="0"/>
    <x v="2"/>
    <x v="0"/>
    <x v="0"/>
    <x v="2"/>
    <n v="0"/>
    <n v="0"/>
    <n v="16579.490000000002"/>
    <n v="16579.490000000002"/>
    <n v="0"/>
    <n v="0"/>
    <n v="5"/>
    <x v="1"/>
    <n v="0"/>
    <n v="0"/>
    <n v="6"/>
    <n v="0"/>
    <n v="0"/>
    <n v="35.86"/>
    <n v="0"/>
    <m/>
    <n v="47.127470273950593"/>
    <m/>
    <n v="0"/>
    <n v="594540.51140000008"/>
    <n v="0"/>
    <n v="0"/>
    <n v="781349.42213226121"/>
    <n v="0"/>
  </r>
  <r>
    <s v="Refaturamento - Regular"/>
    <x v="0"/>
    <x v="0"/>
    <x v="0"/>
    <x v="0"/>
    <x v="2"/>
    <x v="0"/>
    <x v="0"/>
    <x v="2"/>
    <n v="0"/>
    <n v="0"/>
    <n v="-8567.4310000000005"/>
    <n v="-8567.4310000000005"/>
    <n v="0"/>
    <n v="0"/>
    <n v="0"/>
    <x v="1"/>
    <n v="0"/>
    <n v="0"/>
    <n v="6"/>
    <n v="0"/>
    <n v="0"/>
    <n v="35.86"/>
    <n v="0"/>
    <m/>
    <n v="47.127470273950593"/>
    <m/>
    <n v="0"/>
    <n v="-307228.07566000003"/>
    <n v="0"/>
    <n v="0"/>
    <n v="-403761.34977662284"/>
    <n v="0"/>
  </r>
  <r>
    <s v="Regular"/>
    <x v="0"/>
    <x v="0"/>
    <x v="0"/>
    <x v="0"/>
    <x v="2"/>
    <x v="0"/>
    <x v="0"/>
    <x v="3"/>
    <n v="0"/>
    <n v="0"/>
    <n v="16228.864"/>
    <n v="16228.864"/>
    <n v="0"/>
    <n v="0"/>
    <n v="5"/>
    <x v="1"/>
    <n v="0"/>
    <n v="0"/>
    <n v="6"/>
    <n v="0"/>
    <n v="0"/>
    <n v="35.86"/>
    <n v="0"/>
    <m/>
    <n v="47.127470273950593"/>
    <m/>
    <n v="0"/>
    <n v="581967.06303999992"/>
    <n v="0"/>
    <n v="0"/>
    <n v="764825.30573998694"/>
    <n v="0"/>
  </r>
  <r>
    <s v="Refaturamento - Regular"/>
    <x v="0"/>
    <x v="0"/>
    <x v="0"/>
    <x v="0"/>
    <x v="2"/>
    <x v="0"/>
    <x v="0"/>
    <x v="3"/>
    <n v="0"/>
    <n v="0"/>
    <n v="-8502.1830000000009"/>
    <n v="-8502.1830000000009"/>
    <n v="0"/>
    <n v="0"/>
    <n v="0"/>
    <x v="1"/>
    <n v="0"/>
    <n v="0"/>
    <n v="6"/>
    <n v="0"/>
    <n v="0"/>
    <n v="35.86"/>
    <n v="0"/>
    <m/>
    <n v="47.127470273950593"/>
    <m/>
    <n v="0"/>
    <n v="-304888.28238000005"/>
    <n v="0"/>
    <n v="0"/>
    <n v="-400686.37659618811"/>
    <n v="0"/>
  </r>
  <r>
    <s v="Regular"/>
    <x v="0"/>
    <x v="0"/>
    <x v="0"/>
    <x v="0"/>
    <x v="2"/>
    <x v="0"/>
    <x v="0"/>
    <x v="4"/>
    <n v="0"/>
    <n v="0"/>
    <n v="16190.949000000001"/>
    <n v="16190.949000000001"/>
    <n v="0"/>
    <n v="0"/>
    <n v="5"/>
    <x v="1"/>
    <n v="0"/>
    <n v="0"/>
    <n v="6"/>
    <n v="0"/>
    <n v="0"/>
    <n v="35.86"/>
    <n v="0"/>
    <m/>
    <n v="47.127470273950593"/>
    <m/>
    <n v="0"/>
    <n v="580607.43114"/>
    <n v="0"/>
    <n v="0"/>
    <n v="763038.46770455013"/>
    <n v="0"/>
  </r>
  <r>
    <s v="Refaturamento - Regular"/>
    <x v="0"/>
    <x v="0"/>
    <x v="0"/>
    <x v="0"/>
    <x v="2"/>
    <x v="0"/>
    <x v="0"/>
    <x v="4"/>
    <n v="0"/>
    <n v="0"/>
    <n v="-8514.0499999999993"/>
    <n v="-8514.0499999999993"/>
    <n v="0"/>
    <n v="0"/>
    <n v="0"/>
    <x v="1"/>
    <n v="0"/>
    <n v="0"/>
    <n v="6"/>
    <n v="0"/>
    <n v="0"/>
    <n v="35.86"/>
    <n v="0"/>
    <m/>
    <n v="47.127470273950593"/>
    <m/>
    <n v="0"/>
    <n v="-305313.83299999998"/>
    <n v="0"/>
    <n v="0"/>
    <n v="-401245.63828592899"/>
    <n v="0"/>
  </r>
  <r>
    <s v="Regular"/>
    <x v="0"/>
    <x v="0"/>
    <x v="0"/>
    <x v="0"/>
    <x v="2"/>
    <x v="0"/>
    <x v="0"/>
    <x v="5"/>
    <n v="0"/>
    <n v="0"/>
    <n v="16741.626"/>
    <n v="16741.626"/>
    <n v="0"/>
    <n v="0"/>
    <n v="5"/>
    <x v="1"/>
    <n v="0"/>
    <n v="0"/>
    <n v="6"/>
    <n v="0"/>
    <n v="0"/>
    <n v="35.86"/>
    <n v="0"/>
    <m/>
    <n v="47.127470273950593"/>
    <m/>
    <n v="0"/>
    <n v="600354.70836000005"/>
    <n v="0"/>
    <n v="0"/>
    <n v="788990.48165259836"/>
    <n v="0"/>
  </r>
  <r>
    <s v="Refaturamento - Regular"/>
    <x v="0"/>
    <x v="0"/>
    <x v="0"/>
    <x v="0"/>
    <x v="2"/>
    <x v="0"/>
    <x v="0"/>
    <x v="5"/>
    <n v="0"/>
    <n v="0"/>
    <n v="-8410.0169999999998"/>
    <n v="-8410.0169999999998"/>
    <n v="0"/>
    <n v="0"/>
    <n v="0"/>
    <x v="1"/>
    <n v="0"/>
    <n v="0"/>
    <n v="6"/>
    <n v="0"/>
    <n v="0"/>
    <n v="35.86"/>
    <n v="0"/>
    <m/>
    <n v="47.127470273950593"/>
    <m/>
    <n v="0"/>
    <n v="-301583.20961999998"/>
    <n v="0"/>
    <n v="0"/>
    <n v="-396342.82617091911"/>
    <n v="0"/>
  </r>
  <r>
    <s v="Regular"/>
    <x v="0"/>
    <x v="0"/>
    <x v="0"/>
    <x v="0"/>
    <x v="2"/>
    <x v="0"/>
    <x v="0"/>
    <x v="6"/>
    <n v="0"/>
    <n v="0"/>
    <n v="16446.648000000001"/>
    <n v="16446.648000000001"/>
    <n v="0"/>
    <n v="0"/>
    <n v="5"/>
    <x v="1"/>
    <n v="0"/>
    <n v="0"/>
    <n v="6"/>
    <n v="0"/>
    <n v="0"/>
    <n v="35.86"/>
    <n v="0"/>
    <m/>
    <n v="47.127470273950593"/>
    <m/>
    <n v="0"/>
    <n v="589776.79728000006"/>
    <n v="0"/>
    <n v="0"/>
    <n v="775088.91472612903"/>
    <n v="0"/>
  </r>
  <r>
    <s v="Refaturamento - Regular"/>
    <x v="0"/>
    <x v="0"/>
    <x v="0"/>
    <x v="0"/>
    <x v="2"/>
    <x v="0"/>
    <x v="0"/>
    <x v="6"/>
    <n v="0"/>
    <n v="0"/>
    <n v="-10005.154"/>
    <n v="-10005.154"/>
    <n v="0"/>
    <n v="0"/>
    <n v="0"/>
    <x v="1"/>
    <n v="0"/>
    <n v="0"/>
    <n v="6"/>
    <n v="0"/>
    <n v="0"/>
    <n v="35.86"/>
    <n v="0"/>
    <m/>
    <n v="47.127470273950593"/>
    <m/>
    <n v="0"/>
    <n v="-358784.82244000002"/>
    <n v="0"/>
    <n v="0"/>
    <n v="-471517.59772129788"/>
    <n v="0"/>
  </r>
  <r>
    <s v="Regular"/>
    <x v="0"/>
    <x v="0"/>
    <x v="0"/>
    <x v="0"/>
    <x v="2"/>
    <x v="0"/>
    <x v="0"/>
    <x v="7"/>
    <n v="0"/>
    <n v="0"/>
    <n v="13548.636"/>
    <n v="13548.636"/>
    <n v="0"/>
    <n v="0"/>
    <n v="4"/>
    <x v="1"/>
    <n v="0"/>
    <n v="0"/>
    <n v="6"/>
    <n v="0"/>
    <n v="0"/>
    <n v="35.86"/>
    <n v="0"/>
    <m/>
    <n v="47.127470273950593"/>
    <m/>
    <n v="0"/>
    <n v="485854.08695999999"/>
    <n v="0"/>
    <n v="0"/>
    <n v="638512.94034257683"/>
    <n v="0"/>
  </r>
  <r>
    <s v="Refaturamento - Regular"/>
    <x v="0"/>
    <x v="0"/>
    <x v="0"/>
    <x v="0"/>
    <x v="2"/>
    <x v="0"/>
    <x v="0"/>
    <x v="7"/>
    <n v="0"/>
    <n v="0"/>
    <n v="-10221.031000000001"/>
    <n v="-10221.031000000001"/>
    <n v="0"/>
    <n v="0"/>
    <n v="0"/>
    <x v="1"/>
    <n v="0"/>
    <n v="0"/>
    <n v="6"/>
    <n v="0"/>
    <n v="0"/>
    <n v="35.86"/>
    <n v="0"/>
    <m/>
    <n v="47.127470273950593"/>
    <m/>
    <n v="0"/>
    <n v="-366526.17166000005"/>
    <n v="0"/>
    <n v="0"/>
    <n v="-481691.33462162752"/>
    <n v="0"/>
  </r>
  <r>
    <s v="Regular"/>
    <x v="0"/>
    <x v="0"/>
    <x v="0"/>
    <x v="0"/>
    <x v="2"/>
    <x v="0"/>
    <x v="0"/>
    <x v="8"/>
    <n v="0"/>
    <n v="0"/>
    <n v="13127.984"/>
    <n v="13127.984"/>
    <n v="0"/>
    <n v="0"/>
    <n v="4"/>
    <x v="1"/>
    <n v="0"/>
    <n v="0"/>
    <n v="6"/>
    <n v="0"/>
    <n v="0"/>
    <n v="35.86"/>
    <n v="0"/>
    <m/>
    <n v="47.127470273950593"/>
    <m/>
    <n v="0"/>
    <n v="470769.50624000002"/>
    <n v="0"/>
    <n v="0"/>
    <n v="618688.67571689899"/>
    <n v="0"/>
  </r>
  <r>
    <s v="Refaturamento - Regular"/>
    <x v="0"/>
    <x v="0"/>
    <x v="0"/>
    <x v="0"/>
    <x v="2"/>
    <x v="0"/>
    <x v="0"/>
    <x v="8"/>
    <n v="0"/>
    <n v="0"/>
    <n v="-8846.6949999999997"/>
    <n v="-8846.6949999999997"/>
    <n v="0"/>
    <n v="0"/>
    <n v="0"/>
    <x v="1"/>
    <n v="0"/>
    <n v="0"/>
    <n v="6"/>
    <n v="0"/>
    <n v="0"/>
    <n v="35.86"/>
    <n v="0"/>
    <m/>
    <n v="47.127470273950593"/>
    <m/>
    <n v="0"/>
    <n v="-317242.48269999999"/>
    <n v="0"/>
    <n v="0"/>
    <n v="-416922.35563520732"/>
    <n v="0"/>
  </r>
  <r>
    <s v="Regular"/>
    <x v="0"/>
    <x v="0"/>
    <x v="0"/>
    <x v="0"/>
    <x v="2"/>
    <x v="0"/>
    <x v="0"/>
    <x v="9"/>
    <n v="0"/>
    <n v="0"/>
    <n v="16015.737999999999"/>
    <n v="16015.737999999999"/>
    <n v="0"/>
    <n v="0"/>
    <n v="5"/>
    <x v="1"/>
    <n v="0"/>
    <n v="0"/>
    <n v="6"/>
    <n v="0"/>
    <n v="0"/>
    <n v="35.86"/>
    <n v="0"/>
    <m/>
    <n v="47.127470273950593"/>
    <m/>
    <n v="0"/>
    <n v="574324.36468"/>
    <n v="0"/>
    <n v="0"/>
    <n v="754781.21651038085"/>
    <n v="0"/>
  </r>
  <r>
    <s v="Refaturamento - Regular"/>
    <x v="0"/>
    <x v="0"/>
    <x v="0"/>
    <x v="0"/>
    <x v="2"/>
    <x v="0"/>
    <x v="0"/>
    <x v="9"/>
    <n v="0"/>
    <n v="0"/>
    <n v="-10539.724"/>
    <n v="-10539.724"/>
    <n v="0"/>
    <n v="0"/>
    <n v="0"/>
    <x v="1"/>
    <n v="0"/>
    <n v="0"/>
    <n v="6"/>
    <n v="0"/>
    <n v="0"/>
    <n v="35.86"/>
    <n v="0"/>
    <m/>
    <n v="47.127470273950593"/>
    <m/>
    <n v="0"/>
    <n v="-377954.50264000002"/>
    <n v="0"/>
    <n v="0"/>
    <n v="-496710.52950564364"/>
    <n v="0"/>
  </r>
  <r>
    <s v="Regular"/>
    <x v="0"/>
    <x v="0"/>
    <x v="0"/>
    <x v="0"/>
    <x v="2"/>
    <x v="0"/>
    <x v="0"/>
    <x v="10"/>
    <n v="0"/>
    <n v="0"/>
    <n v="12271.759"/>
    <n v="12271.759"/>
    <n v="0"/>
    <n v="0"/>
    <n v="4"/>
    <x v="1"/>
    <n v="0"/>
    <n v="0"/>
    <n v="6"/>
    <n v="0"/>
    <n v="0"/>
    <n v="35.86"/>
    <n v="0"/>
    <m/>
    <n v="47.127470273950593"/>
    <m/>
    <n v="0"/>
    <n v="440065.27773999999"/>
    <n v="0"/>
    <n v="0"/>
    <n v="578336.95748158568"/>
    <n v="0"/>
  </r>
  <r>
    <s v="Refaturamento - Regular"/>
    <x v="0"/>
    <x v="0"/>
    <x v="0"/>
    <x v="0"/>
    <x v="2"/>
    <x v="0"/>
    <x v="0"/>
    <x v="10"/>
    <n v="0"/>
    <n v="0"/>
    <n v="-9096.8510000000006"/>
    <n v="-9096.8510000000006"/>
    <n v="0"/>
    <n v="0"/>
    <n v="0"/>
    <x v="1"/>
    <n v="0"/>
    <n v="0"/>
    <n v="6"/>
    <n v="0"/>
    <n v="0"/>
    <n v="35.86"/>
    <n v="0"/>
    <m/>
    <n v="47.127470273950593"/>
    <m/>
    <n v="0"/>
    <n v="-326213.07686000003"/>
    <n v="0"/>
    <n v="0"/>
    <n v="-428711.57508905773"/>
    <n v="0"/>
  </r>
  <r>
    <s v="PROJETADO"/>
    <x v="0"/>
    <x v="0"/>
    <x v="0"/>
    <x v="0"/>
    <x v="2"/>
    <x v="0"/>
    <x v="0"/>
    <x v="11"/>
    <n v="0"/>
    <n v="0"/>
    <n v="12271.759"/>
    <n v="12271.759"/>
    <n v="0"/>
    <n v="0"/>
    <n v="4"/>
    <x v="1"/>
    <n v="0"/>
    <n v="0"/>
    <n v="6"/>
    <n v="0"/>
    <n v="0"/>
    <n v="35.86"/>
    <n v="0"/>
    <m/>
    <n v="47.127470273950593"/>
    <m/>
    <n v="0"/>
    <n v="440065.27773999999"/>
    <n v="0"/>
    <n v="0"/>
    <n v="578336.95748158568"/>
    <n v="0"/>
  </r>
  <r>
    <s v="PROJETADO"/>
    <x v="0"/>
    <x v="0"/>
    <x v="0"/>
    <x v="0"/>
    <x v="2"/>
    <x v="0"/>
    <x v="0"/>
    <x v="11"/>
    <n v="0"/>
    <n v="0"/>
    <n v="-9096.8510000000006"/>
    <n v="-9096.8510000000006"/>
    <n v="0"/>
    <n v="0"/>
    <n v="0"/>
    <x v="1"/>
    <n v="0"/>
    <n v="0"/>
    <n v="6"/>
    <n v="0"/>
    <n v="0"/>
    <n v="35.86"/>
    <n v="0"/>
    <m/>
    <n v="47.127470273950593"/>
    <m/>
    <n v="0"/>
    <n v="-326213.07686000003"/>
    <n v="0"/>
    <n v="0"/>
    <n v="-428711.57508905773"/>
    <n v="0"/>
  </r>
  <r>
    <s v="Regular"/>
    <x v="0"/>
    <x v="0"/>
    <x v="0"/>
    <x v="0"/>
    <x v="2"/>
    <x v="0"/>
    <x v="2"/>
    <x v="0"/>
    <n v="6274"/>
    <n v="6274"/>
    <n v="293.60500000000002"/>
    <n v="293.60500000000002"/>
    <n v="293.60500000000002"/>
    <n v="293.60500000000002"/>
    <n v="0"/>
    <x v="2"/>
    <n v="0"/>
    <n v="4"/>
    <n v="6"/>
    <n v="86"/>
    <n v="28.34"/>
    <n v="35.86"/>
    <n v="365.5"/>
    <n v="32.733773881169434"/>
    <n v="47.127470273950593"/>
    <n v="382.75425465660959"/>
    <n v="177805.16"/>
    <n v="10528.675300000001"/>
    <n v="107312.6275"/>
    <n v="205371.69733045701"/>
    <n v="13836.860909783265"/>
    <n v="112378.56293845386"/>
  </r>
  <r>
    <s v="Regular"/>
    <x v="0"/>
    <x v="0"/>
    <x v="0"/>
    <x v="0"/>
    <x v="2"/>
    <x v="0"/>
    <x v="2"/>
    <x v="0"/>
    <n v="32410"/>
    <n v="3241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918499.4"/>
    <n v="0"/>
    <n v="0"/>
    <n v="1060901.6114887013"/>
    <n v="0"/>
    <n v="0"/>
  </r>
  <r>
    <s v="Regular"/>
    <x v="0"/>
    <x v="0"/>
    <x v="0"/>
    <x v="0"/>
    <x v="2"/>
    <x v="0"/>
    <x v="2"/>
    <x v="1"/>
    <n v="6455"/>
    <n v="6455"/>
    <n v="309.166"/>
    <n v="309.166"/>
    <n v="309.166"/>
    <n v="309.166"/>
    <n v="0"/>
    <x v="2"/>
    <n v="0"/>
    <n v="4"/>
    <n v="6"/>
    <n v="86"/>
    <n v="28.34"/>
    <n v="35.86"/>
    <n v="365.5"/>
    <n v="32.733773881169434"/>
    <n v="47.127470273950593"/>
    <n v="382.75425465660959"/>
    <n v="182934.7"/>
    <n v="11086.69276"/>
    <n v="113000.173"/>
    <n v="211296.51040294868"/>
    <n v="14570.211474716209"/>
    <n v="118334.60189516535"/>
  </r>
  <r>
    <s v="Regular"/>
    <x v="0"/>
    <x v="0"/>
    <x v="0"/>
    <x v="0"/>
    <x v="2"/>
    <x v="0"/>
    <x v="2"/>
    <x v="1"/>
    <n v="31136"/>
    <n v="31136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2394.24"/>
    <n v="0"/>
    <n v="0"/>
    <n v="1019198.7835640915"/>
    <n v="0"/>
    <n v="0"/>
  </r>
  <r>
    <s v="Regular"/>
    <x v="0"/>
    <x v="0"/>
    <x v="0"/>
    <x v="0"/>
    <x v="2"/>
    <x v="0"/>
    <x v="2"/>
    <x v="2"/>
    <n v="6320"/>
    <n v="6320"/>
    <n v="309.36700000000002"/>
    <n v="309.36700000000002"/>
    <n v="309.36700000000002"/>
    <n v="309.36700000000002"/>
    <n v="0"/>
    <x v="2"/>
    <n v="0"/>
    <n v="4"/>
    <n v="6"/>
    <n v="86"/>
    <n v="28.34"/>
    <n v="35.86"/>
    <n v="365.5"/>
    <n v="32.733773881169434"/>
    <n v="47.127470273950593"/>
    <n v="382.75425465660959"/>
    <n v="179108.8"/>
    <n v="11093.90062"/>
    <n v="113073.6385"/>
    <n v="206877.45092899082"/>
    <n v="14579.684096241273"/>
    <n v="118411.53550035134"/>
  </r>
  <r>
    <s v="Regular"/>
    <x v="0"/>
    <x v="0"/>
    <x v="0"/>
    <x v="0"/>
    <x v="2"/>
    <x v="0"/>
    <x v="2"/>
    <x v="2"/>
    <n v="31168"/>
    <n v="31168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3301.12"/>
    <n v="0"/>
    <n v="0"/>
    <n v="1020246.264328289"/>
    <n v="0"/>
    <n v="0"/>
  </r>
  <r>
    <s v="Regular"/>
    <x v="0"/>
    <x v="0"/>
    <x v="0"/>
    <x v="0"/>
    <x v="2"/>
    <x v="0"/>
    <x v="2"/>
    <x v="3"/>
    <n v="6300"/>
    <n v="6300"/>
    <n v="302.17500000000001"/>
    <n v="302.17500000000001"/>
    <n v="302.17500000000001"/>
    <n v="302.17500000000001"/>
    <n v="0"/>
    <x v="2"/>
    <n v="0"/>
    <n v="4"/>
    <n v="6"/>
    <n v="86"/>
    <n v="28.34"/>
    <n v="35.86"/>
    <n v="365.5"/>
    <n v="32.733773881169434"/>
    <n v="47.127470273950593"/>
    <n v="382.75425465660959"/>
    <n v="178542"/>
    <n v="10835.995500000001"/>
    <n v="110444.96250000001"/>
    <n v="206222.77545136743"/>
    <n v="14240.74333003102"/>
    <n v="115658.76690086101"/>
  </r>
  <r>
    <s v="Regular"/>
    <x v="0"/>
    <x v="0"/>
    <x v="0"/>
    <x v="0"/>
    <x v="2"/>
    <x v="0"/>
    <x v="2"/>
    <x v="3"/>
    <n v="31096"/>
    <n v="31096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1260.64"/>
    <n v="0"/>
    <n v="0"/>
    <n v="1017889.4326088447"/>
    <n v="0"/>
    <n v="0"/>
  </r>
  <r>
    <s v="Regular"/>
    <x v="0"/>
    <x v="0"/>
    <x v="0"/>
    <x v="0"/>
    <x v="2"/>
    <x v="0"/>
    <x v="2"/>
    <x v="4"/>
    <n v="6720"/>
    <n v="6720"/>
    <n v="314.81799999999998"/>
    <n v="314.81799999999998"/>
    <n v="314.81799999999998"/>
    <n v="314.81799999999998"/>
    <n v="0"/>
    <x v="2"/>
    <n v="0"/>
    <n v="4"/>
    <n v="6"/>
    <n v="86"/>
    <n v="28.34"/>
    <n v="35.86"/>
    <n v="365.5"/>
    <n v="32.733773881169434"/>
    <n v="47.127470273950593"/>
    <n v="382.75425465660959"/>
    <n v="190444.79999999999"/>
    <n v="11289.373479999998"/>
    <n v="115065.97899999999"/>
    <n v="219970.96048145861"/>
    <n v="14836.575936704578"/>
    <n v="120497.9289424845"/>
  </r>
  <r>
    <s v="Regular"/>
    <x v="0"/>
    <x v="0"/>
    <x v="0"/>
    <x v="0"/>
    <x v="2"/>
    <x v="0"/>
    <x v="2"/>
    <x v="4"/>
    <n v="31080"/>
    <n v="3108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0807.2"/>
    <n v="0"/>
    <n v="0"/>
    <n v="1017365.692226746"/>
    <n v="0"/>
    <n v="0"/>
  </r>
  <r>
    <s v="Regular"/>
    <x v="0"/>
    <x v="0"/>
    <x v="0"/>
    <x v="0"/>
    <x v="2"/>
    <x v="0"/>
    <x v="2"/>
    <x v="5"/>
    <n v="6359"/>
    <n v="6359"/>
    <n v="284.125"/>
    <n v="284.125"/>
    <n v="284.125"/>
    <n v="284.125"/>
    <n v="0"/>
    <x v="2"/>
    <n v="0"/>
    <n v="4"/>
    <n v="6"/>
    <n v="86"/>
    <n v="28.34"/>
    <n v="35.86"/>
    <n v="365.5"/>
    <n v="32.733773881169434"/>
    <n v="47.127470273950593"/>
    <n v="382.75425465660959"/>
    <n v="180214.06"/>
    <n v="10188.7225"/>
    <n v="103847.6875"/>
    <n v="208154.06811035643"/>
    <n v="13390.092491586212"/>
    <n v="108750.0526043092"/>
  </r>
  <r>
    <s v="Regular"/>
    <x v="0"/>
    <x v="0"/>
    <x v="0"/>
    <x v="0"/>
    <x v="2"/>
    <x v="0"/>
    <x v="2"/>
    <x v="5"/>
    <n v="31120"/>
    <n v="3112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1940.8"/>
    <n v="0"/>
    <n v="0"/>
    <n v="1018675.0431819927"/>
    <n v="0"/>
    <n v="0"/>
  </r>
  <r>
    <s v="Regular"/>
    <x v="0"/>
    <x v="0"/>
    <x v="0"/>
    <x v="0"/>
    <x v="2"/>
    <x v="0"/>
    <x v="2"/>
    <x v="6"/>
    <n v="6431"/>
    <n v="6431"/>
    <n v="281.93299999999999"/>
    <n v="281.93299999999999"/>
    <n v="281.93299999999999"/>
    <n v="281.93299999999999"/>
    <n v="0"/>
    <x v="2"/>
    <n v="0"/>
    <n v="4"/>
    <n v="6"/>
    <n v="86"/>
    <n v="28.34"/>
    <n v="35.86"/>
    <n v="365.5"/>
    <n v="32.733773881169434"/>
    <n v="47.127470273950593"/>
    <n v="382.75425465660959"/>
    <n v="182254.54"/>
    <n v="10110.11738"/>
    <n v="103046.51149999999"/>
    <n v="210510.89982980062"/>
    <n v="13286.789076745712"/>
    <n v="107911.05527810191"/>
  </r>
  <r>
    <s v="Regular"/>
    <x v="0"/>
    <x v="0"/>
    <x v="0"/>
    <x v="0"/>
    <x v="2"/>
    <x v="0"/>
    <x v="2"/>
    <x v="6"/>
    <n v="31092"/>
    <n v="31092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1147.28"/>
    <n v="0"/>
    <n v="0"/>
    <n v="1017758.4975133201"/>
    <n v="0"/>
    <n v="0"/>
  </r>
  <r>
    <s v="Regular"/>
    <x v="0"/>
    <x v="0"/>
    <x v="0"/>
    <x v="0"/>
    <x v="2"/>
    <x v="0"/>
    <x v="2"/>
    <x v="7"/>
    <n v="6518"/>
    <n v="6518"/>
    <n v="262.976"/>
    <n v="262.976"/>
    <n v="262.976"/>
    <n v="262.976"/>
    <n v="0"/>
    <x v="2"/>
    <n v="0"/>
    <n v="4"/>
    <n v="6"/>
    <n v="86"/>
    <n v="28.34"/>
    <n v="35.86"/>
    <n v="365.5"/>
    <n v="32.733773881169434"/>
    <n v="47.127470273950593"/>
    <n v="382.75425465660959"/>
    <n v="184720.12"/>
    <n v="9430.3193599999995"/>
    <n v="96117.728000000003"/>
    <n v="213358.73815746236"/>
    <n v="12393.393622762431"/>
    <n v="100655.18287257657"/>
  </r>
  <r>
    <s v="Regular"/>
    <x v="0"/>
    <x v="0"/>
    <x v="0"/>
    <x v="0"/>
    <x v="2"/>
    <x v="0"/>
    <x v="2"/>
    <x v="7"/>
    <n v="27208"/>
    <n v="27208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771074.72"/>
    <n v="0"/>
    <n v="0"/>
    <n v="890620.5197588579"/>
    <n v="0"/>
    <n v="0"/>
  </r>
  <r>
    <s v="Regular"/>
    <x v="0"/>
    <x v="0"/>
    <x v="0"/>
    <x v="0"/>
    <x v="2"/>
    <x v="0"/>
    <x v="2"/>
    <x v="8"/>
    <n v="6547"/>
    <n v="6547"/>
    <n v="276.64299999999997"/>
    <n v="276.64299999999997"/>
    <n v="276.64299999999997"/>
    <n v="276.64299999999997"/>
    <n v="0"/>
    <x v="2"/>
    <n v="0"/>
    <n v="4"/>
    <n v="6"/>
    <n v="86"/>
    <n v="28.34"/>
    <n v="35.86"/>
    <n v="365.5"/>
    <n v="32.733773881169434"/>
    <n v="47.127470273950593"/>
    <n v="382.75425465660959"/>
    <n v="185541.98"/>
    <n v="9920.4179799999984"/>
    <n v="101113.01649999998"/>
    <n v="214308.01760001629"/>
    <n v="13037.484758996512"/>
    <n v="105886.28527096844"/>
  </r>
  <r>
    <s v="Regular"/>
    <x v="0"/>
    <x v="0"/>
    <x v="0"/>
    <x v="0"/>
    <x v="2"/>
    <x v="0"/>
    <x v="2"/>
    <x v="8"/>
    <n v="27200"/>
    <n v="2720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770848"/>
    <n v="0"/>
    <n v="0"/>
    <n v="890358.64956780861"/>
    <n v="0"/>
    <n v="0"/>
  </r>
  <r>
    <s v="Regular"/>
    <x v="0"/>
    <x v="0"/>
    <x v="0"/>
    <x v="0"/>
    <x v="2"/>
    <x v="0"/>
    <x v="2"/>
    <x v="9"/>
    <n v="6448"/>
    <n v="6448"/>
    <n v="264.197"/>
    <n v="264.197"/>
    <n v="264.197"/>
    <n v="264.197"/>
    <n v="0"/>
    <x v="2"/>
    <n v="0"/>
    <n v="4"/>
    <n v="6"/>
    <n v="86"/>
    <n v="28.34"/>
    <n v="35.86"/>
    <n v="365.5"/>
    <n v="32.733773881169434"/>
    <n v="47.127470273950593"/>
    <n v="382.75425465660959"/>
    <n v="182736.32"/>
    <n v="9474.1044199999997"/>
    <n v="96564.003500000006"/>
    <n v="211067.37398578052"/>
    <n v="12450.936263966925"/>
    <n v="101122.52581751229"/>
  </r>
  <r>
    <s v="Regular"/>
    <x v="0"/>
    <x v="0"/>
    <x v="0"/>
    <x v="0"/>
    <x v="2"/>
    <x v="0"/>
    <x v="2"/>
    <x v="9"/>
    <n v="31099"/>
    <n v="31099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881345.66"/>
    <n v="0"/>
    <n v="0"/>
    <n v="1017987.6339304883"/>
    <n v="0"/>
    <n v="0"/>
  </r>
  <r>
    <s v="Regular"/>
    <x v="0"/>
    <x v="0"/>
    <x v="0"/>
    <x v="0"/>
    <x v="2"/>
    <x v="0"/>
    <x v="2"/>
    <x v="10"/>
    <n v="6230"/>
    <n v="6230"/>
    <n v="255.58500000000001"/>
    <n v="255.58500000000001"/>
    <n v="255.58500000000001"/>
    <n v="255.58500000000001"/>
    <n v="0"/>
    <x v="2"/>
    <n v="0"/>
    <n v="4"/>
    <n v="6"/>
    <n v="86"/>
    <n v="28.34"/>
    <n v="35.86"/>
    <n v="365.5"/>
    <n v="32.733773881169434"/>
    <n v="47.127470273950593"/>
    <n v="382.75425465660959"/>
    <n v="176558.2"/>
    <n v="9165.2780999999995"/>
    <n v="93416.317500000005"/>
    <n v="203931.41127968556"/>
    <n v="12045.074489967663"/>
    <n v="97826.246176409564"/>
  </r>
  <r>
    <s v="Regular"/>
    <x v="0"/>
    <x v="0"/>
    <x v="0"/>
    <x v="0"/>
    <x v="2"/>
    <x v="0"/>
    <x v="2"/>
    <x v="10"/>
    <n v="27200"/>
    <n v="2720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770848"/>
    <n v="0"/>
    <n v="0"/>
    <n v="890358.64956780861"/>
    <n v="0"/>
    <n v="0"/>
  </r>
  <r>
    <s v="PROJETADO"/>
    <x v="0"/>
    <x v="0"/>
    <x v="0"/>
    <x v="0"/>
    <x v="2"/>
    <x v="0"/>
    <x v="2"/>
    <x v="11"/>
    <n v="6230"/>
    <n v="6230"/>
    <n v="255.58500000000001"/>
    <n v="255.58500000000001"/>
    <n v="255.58500000000001"/>
    <n v="255.58500000000001"/>
    <n v="0"/>
    <x v="2"/>
    <n v="0"/>
    <n v="4"/>
    <n v="6"/>
    <n v="86"/>
    <n v="28.34"/>
    <n v="35.86"/>
    <n v="365.5"/>
    <n v="32.733773881169434"/>
    <n v="47.127470273950593"/>
    <n v="382.75425465660959"/>
    <n v="176558.2"/>
    <n v="9165.2780999999995"/>
    <n v="93416.317500000005"/>
    <n v="203931.41127968556"/>
    <n v="12045.074489967663"/>
    <n v="97826.246176409564"/>
  </r>
  <r>
    <s v="PROJETADO"/>
    <x v="0"/>
    <x v="0"/>
    <x v="0"/>
    <x v="0"/>
    <x v="2"/>
    <x v="0"/>
    <x v="2"/>
    <x v="11"/>
    <n v="27200"/>
    <n v="27200"/>
    <n v="0"/>
    <n v="0"/>
    <n v="0"/>
    <n v="0"/>
    <n v="0"/>
    <x v="1"/>
    <n v="0"/>
    <n v="4"/>
    <n v="0"/>
    <n v="0"/>
    <n v="28.34"/>
    <n v="0"/>
    <n v="0"/>
    <n v="32.733773881169434"/>
    <n v="47.127470273950593"/>
    <m/>
    <n v="770848"/>
    <n v="0"/>
    <n v="0"/>
    <n v="890358.64956780861"/>
    <n v="0"/>
    <n v="0"/>
  </r>
  <r>
    <s v="Regular"/>
    <x v="0"/>
    <x v="0"/>
    <x v="1"/>
    <x v="0"/>
    <x v="2"/>
    <x v="0"/>
    <x v="1"/>
    <x v="0"/>
    <n v="3550"/>
    <n v="3550"/>
    <n v="448"/>
    <n v="448"/>
    <n v="448"/>
    <n v="448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6065.279999999999"/>
    <n v="99594.880000000005"/>
    <n v="40469.449638435173"/>
    <n v="21113.106682729864"/>
    <n v="106015.78188780264"/>
  </r>
  <r>
    <s v="Regular"/>
    <x v="0"/>
    <x v="0"/>
    <x v="1"/>
    <x v="0"/>
    <x v="2"/>
    <x v="0"/>
    <x v="1"/>
    <x v="1"/>
    <n v="3550"/>
    <n v="3550"/>
    <n v="423.5"/>
    <n v="423.5"/>
    <n v="423.5"/>
    <n v="423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5186.71"/>
    <n v="94148.285000000003"/>
    <n v="40469.449638435173"/>
    <n v="19958.483661018076"/>
    <n v="100218.04381581343"/>
  </r>
  <r>
    <s v="Regular"/>
    <x v="0"/>
    <x v="0"/>
    <x v="1"/>
    <x v="0"/>
    <x v="2"/>
    <x v="0"/>
    <x v="1"/>
    <x v="2"/>
    <n v="3550"/>
    <n v="3550"/>
    <n v="402.5"/>
    <n v="402.5"/>
    <n v="402.5"/>
    <n v="402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4433.65"/>
    <n v="89479.774999999994"/>
    <n v="40469.449638435173"/>
    <n v="18968.806785265115"/>
    <n v="95248.554039822688"/>
  </r>
  <r>
    <s v="Regular"/>
    <x v="0"/>
    <x v="0"/>
    <x v="1"/>
    <x v="0"/>
    <x v="2"/>
    <x v="0"/>
    <x v="1"/>
    <x v="3"/>
    <n v="3550"/>
    <n v="3550"/>
    <n v="395.5"/>
    <n v="395.5"/>
    <n v="395.5"/>
    <n v="395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4182.63"/>
    <n v="87923.604999999996"/>
    <n v="40469.449638435173"/>
    <n v="18638.91449334746"/>
    <n v="93592.057447825777"/>
  </r>
  <r>
    <s v="Regular"/>
    <x v="0"/>
    <x v="0"/>
    <x v="1"/>
    <x v="0"/>
    <x v="2"/>
    <x v="0"/>
    <x v="1"/>
    <x v="4"/>
    <n v="3550"/>
    <n v="3550"/>
    <n v="402.5"/>
    <n v="402.5"/>
    <n v="402.5"/>
    <n v="402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4433.65"/>
    <n v="89479.774999999994"/>
    <n v="40469.449638435173"/>
    <n v="18968.806785265115"/>
    <n v="95248.554039822688"/>
  </r>
  <r>
    <s v="Regular"/>
    <x v="0"/>
    <x v="0"/>
    <x v="1"/>
    <x v="0"/>
    <x v="2"/>
    <x v="0"/>
    <x v="1"/>
    <x v="5"/>
    <n v="3550"/>
    <n v="3550"/>
    <n v="409.5"/>
    <n v="409.5"/>
    <n v="409.5"/>
    <n v="409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4684.67"/>
    <n v="91035.945000000007"/>
    <n v="40469.449638435173"/>
    <n v="19298.699077182766"/>
    <n v="96905.050631819598"/>
  </r>
  <r>
    <s v="Regular"/>
    <x v="0"/>
    <x v="0"/>
    <x v="1"/>
    <x v="0"/>
    <x v="2"/>
    <x v="0"/>
    <x v="1"/>
    <x v="6"/>
    <n v="3550"/>
    <n v="3550"/>
    <n v="511"/>
    <n v="511"/>
    <n v="511"/>
    <n v="511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8324.46"/>
    <n v="113600.41"/>
    <n v="40469.449638435173"/>
    <n v="24082.137309988753"/>
    <n v="120924.25121577489"/>
  </r>
  <r>
    <s v="Regular"/>
    <x v="0"/>
    <x v="0"/>
    <x v="1"/>
    <x v="0"/>
    <x v="2"/>
    <x v="0"/>
    <x v="1"/>
    <x v="7"/>
    <n v="3550"/>
    <n v="3550"/>
    <n v="542.5"/>
    <n v="542.5"/>
    <n v="542.5"/>
    <n v="542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9454.05"/>
    <n v="120603.175"/>
    <n v="40469.449638435173"/>
    <n v="25566.652623618196"/>
    <n v="128378.48587976101"/>
  </r>
  <r>
    <s v="Regular"/>
    <x v="0"/>
    <x v="0"/>
    <x v="1"/>
    <x v="0"/>
    <x v="2"/>
    <x v="0"/>
    <x v="1"/>
    <x v="8"/>
    <n v="3550"/>
    <n v="3550"/>
    <n v="500.5"/>
    <n v="500.5"/>
    <n v="500.5"/>
    <n v="500.5"/>
    <n v="0"/>
    <x v="2"/>
    <n v="0"/>
    <n v="5"/>
    <n v="6"/>
    <n v="87"/>
    <n v="11.59"/>
    <n v="35.86"/>
    <n v="222.31"/>
    <n v="11.399844968573289"/>
    <n v="47.127470273950593"/>
    <n v="236.64237028527376"/>
    <n v="41144.5"/>
    <n v="17947.93"/>
    <n v="111266.155"/>
    <n v="40469.449638435173"/>
    <n v="23587.298872112271"/>
    <n v="118439.50632777951"/>
  </r>
  <r>
    <s v="Regular"/>
    <x v="0"/>
    <x v="0"/>
    <x v="1"/>
    <x v="0"/>
    <x v="2"/>
    <x v="0"/>
    <x v="2"/>
    <x v="0"/>
    <n v="2950"/>
    <n v="2950"/>
    <n v="49"/>
    <n v="49"/>
    <n v="49"/>
    <n v="49"/>
    <n v="0"/>
    <x v="2"/>
    <n v="0"/>
    <n v="4"/>
    <n v="6"/>
    <n v="86"/>
    <n v="28.34"/>
    <n v="35.86"/>
    <n v="365.5"/>
    <n v="32.733773881169434"/>
    <n v="47.127470273950593"/>
    <n v="382.75425465660959"/>
    <n v="83603"/>
    <n v="1757.1399999999999"/>
    <n v="17909.5"/>
    <n v="96564.632949449835"/>
    <n v="2309.2460434235791"/>
    <n v="18754.95847817387"/>
  </r>
  <r>
    <s v="Regular"/>
    <x v="0"/>
    <x v="0"/>
    <x v="1"/>
    <x v="0"/>
    <x v="2"/>
    <x v="0"/>
    <x v="2"/>
    <x v="1"/>
    <n v="2950"/>
    <n v="2950"/>
    <n v="52.5"/>
    <n v="52.5"/>
    <n v="52.5"/>
    <n v="52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882.6499999999999"/>
    <n v="19188.75"/>
    <n v="96564.632949449835"/>
    <n v="2474.192189382406"/>
    <n v="20094.598369472002"/>
  </r>
  <r>
    <s v="Regular"/>
    <x v="0"/>
    <x v="0"/>
    <x v="1"/>
    <x v="0"/>
    <x v="2"/>
    <x v="0"/>
    <x v="2"/>
    <x v="2"/>
    <n v="2950"/>
    <n v="2950"/>
    <n v="52.5"/>
    <n v="52.5"/>
    <n v="52.5"/>
    <n v="52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882.6499999999999"/>
    <n v="19188.75"/>
    <n v="96564.632949449835"/>
    <n v="2474.192189382406"/>
    <n v="20094.598369472002"/>
  </r>
  <r>
    <s v="Regular"/>
    <x v="0"/>
    <x v="0"/>
    <x v="1"/>
    <x v="0"/>
    <x v="2"/>
    <x v="0"/>
    <x v="2"/>
    <x v="3"/>
    <n v="2950"/>
    <n v="2950"/>
    <n v="49"/>
    <n v="49"/>
    <n v="49"/>
    <n v="49"/>
    <n v="0"/>
    <x v="2"/>
    <n v="0"/>
    <n v="4"/>
    <n v="6"/>
    <n v="86"/>
    <n v="28.34"/>
    <n v="35.86"/>
    <n v="365.5"/>
    <n v="32.733773881169434"/>
    <n v="47.127470273950593"/>
    <n v="382.75425465660959"/>
    <n v="83603"/>
    <n v="1757.1399999999999"/>
    <n v="17909.5"/>
    <n v="96564.632949449835"/>
    <n v="2309.2460434235791"/>
    <n v="18754.95847817387"/>
  </r>
  <r>
    <s v="Regular"/>
    <x v="0"/>
    <x v="0"/>
    <x v="1"/>
    <x v="0"/>
    <x v="2"/>
    <x v="0"/>
    <x v="2"/>
    <x v="4"/>
    <n v="2950"/>
    <n v="2950"/>
    <n v="45.5"/>
    <n v="45.5"/>
    <n v="45.5"/>
    <n v="45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631.6299999999999"/>
    <n v="16630.25"/>
    <n v="96564.632949449835"/>
    <n v="2144.2998974647521"/>
    <n v="17415.318586875735"/>
  </r>
  <r>
    <s v="Regular"/>
    <x v="0"/>
    <x v="0"/>
    <x v="1"/>
    <x v="0"/>
    <x v="2"/>
    <x v="0"/>
    <x v="2"/>
    <x v="5"/>
    <n v="2950"/>
    <n v="2950"/>
    <n v="52.5"/>
    <n v="52.5"/>
    <n v="52.5"/>
    <n v="52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882.6499999999999"/>
    <n v="19188.75"/>
    <n v="96564.632949449835"/>
    <n v="2474.192189382406"/>
    <n v="20094.598369472002"/>
  </r>
  <r>
    <s v="Regular"/>
    <x v="0"/>
    <x v="0"/>
    <x v="1"/>
    <x v="0"/>
    <x v="2"/>
    <x v="0"/>
    <x v="2"/>
    <x v="6"/>
    <n v="2950"/>
    <n v="2950"/>
    <n v="52.5"/>
    <n v="52.5"/>
    <n v="52.5"/>
    <n v="52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882.6499999999999"/>
    <n v="19188.75"/>
    <n v="96564.632949449835"/>
    <n v="2474.192189382406"/>
    <n v="20094.598369472002"/>
  </r>
  <r>
    <s v="Regular"/>
    <x v="0"/>
    <x v="0"/>
    <x v="1"/>
    <x v="0"/>
    <x v="2"/>
    <x v="0"/>
    <x v="2"/>
    <x v="7"/>
    <n v="2950"/>
    <n v="2950"/>
    <n v="52.5"/>
    <n v="52.5"/>
    <n v="52.5"/>
    <n v="52.5"/>
    <n v="0"/>
    <x v="2"/>
    <n v="0"/>
    <n v="4"/>
    <n v="6"/>
    <n v="86"/>
    <n v="28.34"/>
    <n v="35.86"/>
    <n v="365.5"/>
    <n v="32.733773881169434"/>
    <n v="47.127470273950593"/>
    <n v="382.75425465660959"/>
    <n v="83603"/>
    <n v="1882.6499999999999"/>
    <n v="19188.75"/>
    <n v="96564.632949449835"/>
    <n v="2474.192189382406"/>
    <n v="20094.598369472002"/>
  </r>
  <r>
    <s v="Regular"/>
    <x v="0"/>
    <x v="0"/>
    <x v="1"/>
    <x v="0"/>
    <x v="2"/>
    <x v="0"/>
    <x v="2"/>
    <x v="8"/>
    <n v="2950"/>
    <n v="2950"/>
    <n v="59.5"/>
    <n v="59.5"/>
    <n v="59.5"/>
    <n v="59.5"/>
    <n v="0"/>
    <x v="2"/>
    <n v="0"/>
    <n v="4"/>
    <n v="6"/>
    <n v="86"/>
    <n v="28.34"/>
    <n v="35.86"/>
    <n v="365.5"/>
    <n v="32.733773881169434"/>
    <n v="47.127470273950593"/>
    <n v="382.75425465660959"/>
    <n v="83603"/>
    <n v="2133.67"/>
    <n v="21747.25"/>
    <n v="96564.632949449835"/>
    <n v="2804.0844813000604"/>
    <n v="22773.878152068271"/>
  </r>
  <r>
    <s v="Regular"/>
    <x v="0"/>
    <x v="0"/>
    <x v="2"/>
    <x v="1"/>
    <x v="3"/>
    <x v="0"/>
    <x v="1"/>
    <x v="0"/>
    <n v="0"/>
    <n v="0"/>
    <n v="514.35"/>
    <n v="51.435000000000002"/>
    <n v="514.35"/>
    <n v="51.435000000000002"/>
    <n v="0"/>
    <x v="2"/>
    <n v="0"/>
    <n v="0"/>
    <n v="6"/>
    <n v="87"/>
    <n v="0"/>
    <n v="35.86"/>
    <n v="222.31"/>
    <n v="11.399844968573289"/>
    <n v="47.127470273950593"/>
    <n v="236.64237028527376"/>
    <n v="0"/>
    <n v="1844.4591"/>
    <n v="11434.514850000001"/>
    <n v="0"/>
    <n v="2424.001433540649"/>
    <n v="12171.700315623057"/>
  </r>
  <r>
    <s v="Regular"/>
    <x v="0"/>
    <x v="0"/>
    <x v="2"/>
    <x v="1"/>
    <x v="3"/>
    <x v="0"/>
    <x v="1"/>
    <x v="1"/>
    <n v="0"/>
    <n v="0"/>
    <n v="134.13"/>
    <n v="13.413"/>
    <n v="134.13"/>
    <n v="13.413"/>
    <n v="0"/>
    <x v="2"/>
    <n v="0"/>
    <n v="0"/>
    <n v="6"/>
    <n v="87"/>
    <n v="0"/>
    <n v="35.86"/>
    <n v="222.31"/>
    <n v="11.399844968573289"/>
    <n v="47.127470273950593"/>
    <n v="236.64237028527376"/>
    <n v="0"/>
    <n v="480.99018000000001"/>
    <n v="2981.8440300000002"/>
    <n v="0"/>
    <n v="632.12075878449934"/>
    <n v="3174.0841126363771"/>
  </r>
  <r>
    <s v="Regular"/>
    <x v="0"/>
    <x v="0"/>
    <x v="2"/>
    <x v="1"/>
    <x v="3"/>
    <x v="0"/>
    <x v="1"/>
    <x v="2"/>
    <n v="0"/>
    <n v="0"/>
    <n v="122.04"/>
    <n v="12.204000000000001"/>
    <n v="122.04"/>
    <n v="12.204000000000001"/>
    <n v="0"/>
    <x v="2"/>
    <n v="0"/>
    <n v="0"/>
    <n v="6"/>
    <n v="87"/>
    <n v="0"/>
    <n v="35.86"/>
    <n v="222.31"/>
    <n v="11.399844968573289"/>
    <n v="47.127470273950593"/>
    <n v="236.64237028527376"/>
    <n v="0"/>
    <n v="437.63544000000002"/>
    <n v="2713.0712400000002"/>
    <n v="0"/>
    <n v="575.1436472232931"/>
    <n v="2887.983486961481"/>
  </r>
  <r>
    <s v="Regular"/>
    <x v="0"/>
    <x v="0"/>
    <x v="2"/>
    <x v="1"/>
    <x v="3"/>
    <x v="0"/>
    <x v="1"/>
    <x v="3"/>
    <n v="0"/>
    <n v="0"/>
    <n v="100.842"/>
    <n v="10.084199999999999"/>
    <n v="100.842"/>
    <n v="10.084199999999999"/>
    <n v="0"/>
    <x v="2"/>
    <n v="0"/>
    <n v="0"/>
    <n v="6"/>
    <n v="87"/>
    <n v="0"/>
    <n v="35.86"/>
    <n v="222.31"/>
    <n v="11.399844968573289"/>
    <n v="47.127470273950593"/>
    <n v="236.64237028527376"/>
    <n v="0"/>
    <n v="361.61941199999995"/>
    <n v="2241.8185019999996"/>
    <n v="0"/>
    <n v="475.24283573657254"/>
    <n v="2386.3489904307576"/>
  </r>
  <r>
    <s v="Regular"/>
    <x v="0"/>
    <x v="0"/>
    <x v="2"/>
    <x v="1"/>
    <x v="3"/>
    <x v="0"/>
    <x v="1"/>
    <x v="4"/>
    <n v="0"/>
    <n v="0"/>
    <n v="111.054"/>
    <n v="11.105399999999999"/>
    <n v="111.054"/>
    <n v="11.105399999999999"/>
    <n v="0"/>
    <x v="2"/>
    <n v="0"/>
    <n v="0"/>
    <n v="6"/>
    <n v="87"/>
    <n v="0"/>
    <n v="35.86"/>
    <n v="222.31"/>
    <n v="11.399844968573289"/>
    <n v="47.127470273950593"/>
    <n v="236.64237028527376"/>
    <n v="0"/>
    <n v="398.239644"/>
    <n v="2468.8414739999998"/>
    <n v="0"/>
    <n v="523.36940838033092"/>
    <n v="2628.008178966079"/>
  </r>
  <r>
    <s v="Regular"/>
    <x v="0"/>
    <x v="0"/>
    <x v="2"/>
    <x v="1"/>
    <x v="3"/>
    <x v="0"/>
    <x v="1"/>
    <x v="5"/>
    <n v="0"/>
    <n v="0"/>
    <n v="440.58600000000001"/>
    <n v="44.058599999999998"/>
    <n v="440.58600000000001"/>
    <n v="44.058599999999998"/>
    <n v="0"/>
    <x v="2"/>
    <n v="0"/>
    <n v="0"/>
    <n v="6"/>
    <n v="87"/>
    <n v="0"/>
    <n v="35.86"/>
    <n v="222.31"/>
    <n v="11.399844968573289"/>
    <n v="47.127470273950593"/>
    <n v="236.64237028527376"/>
    <n v="0"/>
    <n v="1579.9413959999999"/>
    <n v="9794.6673659999997"/>
    <n v="0"/>
    <n v="2076.3703618118793"/>
    <n v="10426.131535450762"/>
  </r>
  <r>
    <s v="Regular"/>
    <x v="0"/>
    <x v="0"/>
    <x v="2"/>
    <x v="1"/>
    <x v="3"/>
    <x v="0"/>
    <x v="1"/>
    <x v="6"/>
    <n v="0"/>
    <n v="0"/>
    <n v="884.274"/>
    <n v="88.427400000000006"/>
    <n v="884.274"/>
    <n v="88.427400000000006"/>
    <n v="0"/>
    <x v="2"/>
    <n v="0"/>
    <n v="0"/>
    <n v="6"/>
    <n v="87"/>
    <n v="0"/>
    <n v="35.86"/>
    <n v="222.31"/>
    <n v="11.399844968573289"/>
    <n v="47.127470273950593"/>
    <n v="236.64237028527376"/>
    <n v="0"/>
    <n v="3171.0065640000003"/>
    <n v="19658.295294000003"/>
    <n v="0"/>
    <n v="4167.3596649027386"/>
    <n v="20925.669534164019"/>
  </r>
  <r>
    <s v="Regular"/>
    <x v="0"/>
    <x v="0"/>
    <x v="2"/>
    <x v="1"/>
    <x v="3"/>
    <x v="0"/>
    <x v="1"/>
    <x v="7"/>
    <n v="0"/>
    <n v="0"/>
    <n v="960.69"/>
    <n v="96.069000000000003"/>
    <n v="960.69"/>
    <n v="96.069000000000003"/>
    <n v="0"/>
    <x v="2"/>
    <n v="0"/>
    <n v="0"/>
    <n v="6"/>
    <n v="87"/>
    <n v="0"/>
    <n v="35.86"/>
    <n v="222.31"/>
    <n v="11.399844968573289"/>
    <n v="47.127470273950593"/>
    <n v="236.64237028527376"/>
    <n v="0"/>
    <n v="3445.0343400000002"/>
    <n v="21357.099389999999"/>
    <n v="0"/>
    <n v="4527.48894174816"/>
    <n v="22733.995870935963"/>
  </r>
  <r>
    <s v="Regular"/>
    <x v="0"/>
    <x v="0"/>
    <x v="2"/>
    <x v="1"/>
    <x v="3"/>
    <x v="0"/>
    <x v="1"/>
    <x v="8"/>
    <n v="0"/>
    <n v="0"/>
    <n v="745.42200000000003"/>
    <n v="74.542199999999994"/>
    <n v="745.42200000000003"/>
    <n v="74.542199999999994"/>
    <n v="0"/>
    <x v="2"/>
    <n v="0"/>
    <n v="0"/>
    <n v="6"/>
    <n v="87"/>
    <n v="0"/>
    <n v="35.86"/>
    <n v="222.31"/>
    <n v="11.399844968573289"/>
    <n v="47.127470273950593"/>
    <n v="236.64237028527376"/>
    <n v="0"/>
    <n v="2673.0832919999998"/>
    <n v="16571.476481999998"/>
    <n v="0"/>
    <n v="3512.9853146548794"/>
    <n v="17639.842894278932"/>
  </r>
  <r>
    <s v="Regular"/>
    <x v="0"/>
    <x v="0"/>
    <x v="2"/>
    <x v="1"/>
    <x v="3"/>
    <x v="0"/>
    <x v="1"/>
    <x v="9"/>
    <n v="0"/>
    <n v="0"/>
    <n v="593.84"/>
    <n v="59.384"/>
    <n v="593.84"/>
    <n v="59.384"/>
    <n v="0"/>
    <x v="2"/>
    <n v="0"/>
    <n v="0"/>
    <n v="6"/>
    <n v="87"/>
    <n v="0"/>
    <n v="35.86"/>
    <n v="222.31"/>
    <n v="11.399844968573289"/>
    <n v="47.127470273950593"/>
    <n v="236.64237028527376"/>
    <n v="0"/>
    <n v="2129.5102400000001"/>
    <n v="13201.65704"/>
    <n v="0"/>
    <n v="2798.6176947482818"/>
    <n v="14052.770517020697"/>
  </r>
  <r>
    <s v="Regular"/>
    <x v="0"/>
    <x v="0"/>
    <x v="2"/>
    <x v="1"/>
    <x v="3"/>
    <x v="0"/>
    <x v="1"/>
    <x v="10"/>
    <n v="0"/>
    <n v="0"/>
    <n v="1122.606"/>
    <n v="112.2606"/>
    <n v="1122.606"/>
    <n v="112.2606"/>
    <n v="0"/>
    <x v="2"/>
    <n v="0"/>
    <n v="0"/>
    <n v="6"/>
    <n v="87"/>
    <n v="0"/>
    <n v="35.86"/>
    <n v="222.31"/>
    <n v="11.399844968573289"/>
    <n v="47.127470273950593"/>
    <n v="236.64237028527376"/>
    <n v="0"/>
    <n v="4025.6651159999997"/>
    <n v="24956.653986000001"/>
    <n v="0"/>
    <n v="5290.5580894358582"/>
    <n v="26565.614473647001"/>
  </r>
  <r>
    <s v="PROJETADO"/>
    <x v="0"/>
    <x v="0"/>
    <x v="2"/>
    <x v="1"/>
    <x v="3"/>
    <x v="0"/>
    <x v="1"/>
    <x v="11"/>
    <n v="0"/>
    <n v="0"/>
    <n v="1122.606"/>
    <n v="112.2606"/>
    <n v="1122.606"/>
    <n v="112.2606"/>
    <n v="0"/>
    <x v="2"/>
    <n v="0"/>
    <n v="0"/>
    <n v="6"/>
    <n v="87"/>
    <n v="0"/>
    <n v="35.86"/>
    <n v="222.31"/>
    <n v="11.399844968573289"/>
    <n v="47.127470273950593"/>
    <n v="236.64237028527376"/>
    <n v="0"/>
    <n v="4025.6651159999997"/>
    <n v="24956.653986000001"/>
    <n v="0"/>
    <n v="5290.5580894358582"/>
    <n v="26565.614473647001"/>
  </r>
  <r>
    <s v="Regular"/>
    <x v="0"/>
    <x v="0"/>
    <x v="2"/>
    <x v="1"/>
    <x v="2"/>
    <x v="0"/>
    <x v="1"/>
    <x v="0"/>
    <n v="3768"/>
    <n v="3617.2799999999997"/>
    <n v="434.34"/>
    <n v="416.96639999999996"/>
    <n v="434.34"/>
    <n v="416.96639999999996"/>
    <n v="0"/>
    <x v="2"/>
    <n v="0"/>
    <n v="5"/>
    <n v="6"/>
    <n v="87"/>
    <n v="11.59"/>
    <n v="35.86"/>
    <n v="222.31"/>
    <n v="11.399844968573289"/>
    <n v="47.127470273950593"/>
    <n v="236.64237028527376"/>
    <n v="41924.275199999996"/>
    <n v="14952.415103999998"/>
    <n v="92695.800383999987"/>
    <n v="41236.431207920781"/>
    <n v="19650.571621236191"/>
    <n v="98671.917225317564"/>
  </r>
  <r>
    <s v="Regular"/>
    <x v="0"/>
    <x v="0"/>
    <x v="2"/>
    <x v="1"/>
    <x v="2"/>
    <x v="0"/>
    <x v="1"/>
    <x v="1"/>
    <n v="1056"/>
    <n v="1013.76"/>
    <n v="10.164"/>
    <n v="9.757439999999999"/>
    <n v="10.164"/>
    <n v="9.757439999999999"/>
    <n v="0"/>
    <x v="2"/>
    <n v="0"/>
    <n v="5"/>
    <n v="6"/>
    <n v="87"/>
    <n v="11.59"/>
    <n v="35.86"/>
    <n v="222.31"/>
    <n v="11.399844968573289"/>
    <n v="47.127470273950593"/>
    <n v="236.64237028527376"/>
    <n v="11749.4784"/>
    <n v="349.90179839999996"/>
    <n v="2169.1764863999997"/>
    <n v="11556.706835340858"/>
    <n v="459.84346354985644"/>
    <n v="2309.0237295163415"/>
  </r>
  <r>
    <s v="Regular"/>
    <x v="0"/>
    <x v="0"/>
    <x v="2"/>
    <x v="1"/>
    <x v="2"/>
    <x v="0"/>
    <x v="1"/>
    <x v="2"/>
    <n v="1032"/>
    <n v="990.71999999999991"/>
    <n v="8.5500000000000007"/>
    <n v="8.2080000000000002"/>
    <n v="8.5500000000000007"/>
    <n v="8.2080000000000002"/>
    <n v="0"/>
    <x v="2"/>
    <n v="0"/>
    <n v="5"/>
    <n v="6"/>
    <n v="87"/>
    <n v="11.59"/>
    <n v="35.86"/>
    <n v="222.31"/>
    <n v="11.399844968573289"/>
    <n v="47.127470273950593"/>
    <n v="236.64237028527376"/>
    <n v="11482.444799999999"/>
    <n v="294.33888000000002"/>
    <n v="1824.72048"/>
    <n v="11294.054407264928"/>
    <n v="386.82227600858647"/>
    <n v="1942.360575301527"/>
  </r>
  <r>
    <s v="Regular"/>
    <x v="0"/>
    <x v="0"/>
    <x v="2"/>
    <x v="1"/>
    <x v="2"/>
    <x v="0"/>
    <x v="1"/>
    <x v="3"/>
    <n v="1056"/>
    <n v="1013.76"/>
    <n v="8.8260000000000005"/>
    <n v="8.4729600000000005"/>
    <n v="8.8260000000000005"/>
    <n v="8.4729600000000005"/>
    <n v="0"/>
    <x v="2"/>
    <n v="0"/>
    <n v="5"/>
    <n v="6"/>
    <n v="87"/>
    <n v="11.59"/>
    <n v="35.86"/>
    <n v="222.31"/>
    <n v="11.399844968573289"/>
    <n v="47.127470273950593"/>
    <n v="236.64237028527376"/>
    <n v="11749.4784"/>
    <n v="303.84034560000003"/>
    <n v="1883.6237376000001"/>
    <n v="11556.706835340858"/>
    <n v="399.30917053237243"/>
    <n v="2005.0613377323132"/>
  </r>
  <r>
    <s v="Regular"/>
    <x v="0"/>
    <x v="0"/>
    <x v="2"/>
    <x v="1"/>
    <x v="2"/>
    <x v="0"/>
    <x v="1"/>
    <x v="4"/>
    <n v="1056"/>
    <n v="1013.76"/>
    <n v="8.34"/>
    <n v="8.0063999999999993"/>
    <n v="8.34"/>
    <n v="8.0063999999999993"/>
    <n v="0"/>
    <x v="2"/>
    <n v="0"/>
    <n v="5"/>
    <n v="6"/>
    <n v="87"/>
    <n v="11.59"/>
    <n v="35.86"/>
    <n v="222.31"/>
    <n v="11.399844968573289"/>
    <n v="47.127470273950593"/>
    <n v="236.64237028527376"/>
    <n v="11749.4784"/>
    <n v="287.10950399999996"/>
    <n v="1779.9027839999999"/>
    <n v="11556.706835340858"/>
    <n v="377.32137800135797"/>
    <n v="1894.6534734520155"/>
  </r>
  <r>
    <s v="Regular"/>
    <x v="0"/>
    <x v="0"/>
    <x v="2"/>
    <x v="1"/>
    <x v="2"/>
    <x v="0"/>
    <x v="1"/>
    <x v="5"/>
    <n v="3000"/>
    <n v="2880"/>
    <n v="296.262"/>
    <n v="284.41152"/>
    <n v="296.262"/>
    <n v="284.41152"/>
    <n v="0"/>
    <x v="2"/>
    <n v="0"/>
    <n v="5"/>
    <n v="6"/>
    <n v="87"/>
    <n v="11.59"/>
    <n v="35.86"/>
    <n v="222.31"/>
    <n v="11.399844968573289"/>
    <n v="47.127470273950593"/>
    <n v="236.64237028527376"/>
    <n v="33379.199999999997"/>
    <n v="10198.997107199999"/>
    <n v="63227.525011199999"/>
    <n v="32831.553509491074"/>
    <n v="13403.595454369104"/>
    <n v="67303.816229237535"/>
  </r>
  <r>
    <s v="Regular"/>
    <x v="0"/>
    <x v="0"/>
    <x v="2"/>
    <x v="1"/>
    <x v="2"/>
    <x v="0"/>
    <x v="1"/>
    <x v="6"/>
    <n v="3792"/>
    <n v="3640.32"/>
    <n v="887.95799999999997"/>
    <n v="852.43967999999995"/>
    <n v="887.95799999999997"/>
    <n v="852.43967999999995"/>
    <n v="0"/>
    <x v="2"/>
    <n v="0"/>
    <n v="5"/>
    <n v="6"/>
    <n v="87"/>
    <n v="11.59"/>
    <n v="35.86"/>
    <n v="222.31"/>
    <n v="11.399844968573289"/>
    <n v="47.127470273950593"/>
    <n v="236.64237028527376"/>
    <n v="42191.308799999999"/>
    <n v="30568.4869248"/>
    <n v="189505.8652608"/>
    <n v="41499.083635996714"/>
    <n v="40173.325679535956"/>
    <n v="201723.34640042027"/>
  </r>
  <r>
    <s v="Regular"/>
    <x v="0"/>
    <x v="0"/>
    <x v="2"/>
    <x v="1"/>
    <x v="2"/>
    <x v="0"/>
    <x v="1"/>
    <x v="7"/>
    <n v="4536"/>
    <n v="4354.5599999999995"/>
    <n v="1033.596"/>
    <n v="992.25216"/>
    <n v="1033.596"/>
    <n v="992.25216"/>
    <n v="0"/>
    <x v="2"/>
    <n v="0"/>
    <n v="5"/>
    <n v="6"/>
    <n v="87"/>
    <n v="11.59"/>
    <n v="35.86"/>
    <n v="222.31"/>
    <n v="11.399844968573289"/>
    <n v="47.127470273950593"/>
    <n v="236.64237028527376"/>
    <n v="50469.350399999996"/>
    <n v="35582.162457600003"/>
    <n v="220587.5776896"/>
    <n v="49641.308906350496"/>
    <n v="46762.334174663265"/>
    <n v="234808.90306308269"/>
  </r>
  <r>
    <s v="Regular"/>
    <x v="0"/>
    <x v="0"/>
    <x v="2"/>
    <x v="1"/>
    <x v="2"/>
    <x v="0"/>
    <x v="1"/>
    <x v="8"/>
    <n v="4560"/>
    <n v="4377.5999999999995"/>
    <n v="696.81"/>
    <n v="668.93759999999997"/>
    <n v="696.81"/>
    <n v="668.93759999999997"/>
    <n v="0"/>
    <x v="2"/>
    <n v="0"/>
    <n v="5"/>
    <n v="6"/>
    <n v="87"/>
    <n v="11.59"/>
    <n v="35.86"/>
    <n v="222.31"/>
    <n v="11.399844968573289"/>
    <n v="47.127470273950593"/>
    <n v="236.64237028527376"/>
    <n v="50736.383999999991"/>
    <n v="23988.102336"/>
    <n v="148711.51785599999"/>
    <n v="49903.961334426422"/>
    <n v="31525.336859127852"/>
    <n v="158298.97923694234"/>
  </r>
  <r>
    <s v="Regular"/>
    <x v="0"/>
    <x v="0"/>
    <x v="2"/>
    <x v="1"/>
    <x v="2"/>
    <x v="0"/>
    <x v="1"/>
    <x v="9"/>
    <n v="453"/>
    <n v="434.88"/>
    <n v="518.57899999999995"/>
    <n v="497.83583999999996"/>
    <n v="518.57899999999995"/>
    <n v="497.83583999999996"/>
    <n v="0"/>
    <x v="2"/>
    <n v="0"/>
    <n v="5"/>
    <n v="6"/>
    <n v="87"/>
    <n v="11.59"/>
    <n v="35.86"/>
    <n v="222.31"/>
    <n v="11.399844968573289"/>
    <n v="47.127470273950593"/>
    <n v="236.64237028527376"/>
    <n v="5040.2591999999995"/>
    <n v="17852.393222399998"/>
    <n v="110673.88559039999"/>
    <n v="4957.5645799331514"/>
    <n v="23461.743750907222"/>
    <n v="117809.05319056028"/>
  </r>
  <r>
    <s v="Regular"/>
    <x v="0"/>
    <x v="0"/>
    <x v="2"/>
    <x v="1"/>
    <x v="2"/>
    <x v="0"/>
    <x v="1"/>
    <x v="10"/>
    <n v="3816"/>
    <n v="3663.36"/>
    <n v="1235.4000000000001"/>
    <n v="1185.9839999999999"/>
    <n v="1235.4000000000001"/>
    <n v="1185.9839999999999"/>
    <n v="0"/>
    <x v="2"/>
    <n v="0"/>
    <n v="5"/>
    <n v="6"/>
    <n v="87"/>
    <n v="11.59"/>
    <n v="35.86"/>
    <n v="222.31"/>
    <n v="11.399844968573289"/>
    <n v="47.127470273950593"/>
    <n v="236.64237028527376"/>
    <n v="42458.342400000001"/>
    <n v="42529.38624"/>
    <n v="263656.10303999996"/>
    <n v="41761.736064072647"/>
    <n v="55892.425705381014"/>
    <n v="280654.06488041009"/>
  </r>
  <r>
    <s v="PROJETADO"/>
    <x v="0"/>
    <x v="0"/>
    <x v="2"/>
    <x v="1"/>
    <x v="2"/>
    <x v="0"/>
    <x v="1"/>
    <x v="11"/>
    <n v="3816"/>
    <n v="3663.36"/>
    <n v="1235.4000000000001"/>
    <n v="1185.9839999999999"/>
    <n v="1235.4000000000001"/>
    <n v="1185.9839999999999"/>
    <n v="0"/>
    <x v="2"/>
    <n v="0"/>
    <n v="5"/>
    <n v="6"/>
    <n v="87"/>
    <n v="11.59"/>
    <n v="35.86"/>
    <n v="222.31"/>
    <n v="11.399844968573289"/>
    <n v="47.127470273950593"/>
    <n v="236.64237028527376"/>
    <n v="42458.342400000001"/>
    <n v="42529.38624"/>
    <n v="263656.10303999996"/>
    <n v="41761.736064072647"/>
    <n v="55892.425705381014"/>
    <n v="280654.06488041009"/>
  </r>
  <r>
    <s v="Regular"/>
    <x v="0"/>
    <x v="0"/>
    <x v="2"/>
    <x v="1"/>
    <x v="2"/>
    <x v="0"/>
    <x v="2"/>
    <x v="0"/>
    <n v="24"/>
    <n v="23.04"/>
    <n v="1.1160000000000001"/>
    <n v="1.0713600000000001"/>
    <n v="1.1160000000000001"/>
    <n v="1.0713600000000001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8.418969600000004"/>
    <n v="391.58208000000002"/>
    <n v="754.18615022214374"/>
    <n v="50.490486552699714"/>
    <n v="410.06759826890527"/>
  </r>
  <r>
    <s v="Regular"/>
    <x v="0"/>
    <x v="0"/>
    <x v="2"/>
    <x v="1"/>
    <x v="2"/>
    <x v="0"/>
    <x v="2"/>
    <x v="1"/>
    <n v="24"/>
    <n v="23.04"/>
    <n v="1.0920000000000001"/>
    <n v="1.0483200000000001"/>
    <n v="1.0920000000000001"/>
    <n v="1.0483200000000001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7.592755200000006"/>
    <n v="383.16096000000005"/>
    <n v="754.18615022214374"/>
    <n v="49.404669637587894"/>
    <n v="401.24894024161699"/>
  </r>
  <r>
    <s v="Regular"/>
    <x v="0"/>
    <x v="0"/>
    <x v="2"/>
    <x v="1"/>
    <x v="2"/>
    <x v="0"/>
    <x v="2"/>
    <x v="2"/>
    <n v="24"/>
    <n v="23.04"/>
    <n v="1.08"/>
    <n v="1.0367999999999999"/>
    <n v="1.08"/>
    <n v="1.0367999999999999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7.179648"/>
    <n v="378.9504"/>
    <n v="754.18615022214374"/>
    <n v="48.861761180031969"/>
    <n v="396.8396112279728"/>
  </r>
  <r>
    <s v="Regular"/>
    <x v="0"/>
    <x v="0"/>
    <x v="2"/>
    <x v="1"/>
    <x v="2"/>
    <x v="0"/>
    <x v="2"/>
    <x v="3"/>
    <n v="24"/>
    <n v="23.04"/>
    <n v="1.1759999999999999"/>
    <n v="1.12896"/>
    <n v="1.1759999999999999"/>
    <n v="1.12896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40.484505599999999"/>
    <n v="412.63488000000001"/>
    <n v="754.18615022214374"/>
    <n v="53.205028840479258"/>
    <n v="432.11424333712597"/>
  </r>
  <r>
    <s v="Regular"/>
    <x v="0"/>
    <x v="0"/>
    <x v="2"/>
    <x v="1"/>
    <x v="2"/>
    <x v="0"/>
    <x v="2"/>
    <x v="4"/>
    <n v="24"/>
    <n v="23.04"/>
    <n v="1.17"/>
    <n v="1.1232"/>
    <n v="1.17"/>
    <n v="1.1232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40.277951999999999"/>
    <n v="410.52960000000002"/>
    <n v="754.18615022214374"/>
    <n v="52.933574611701303"/>
    <n v="429.90957883030387"/>
  </r>
  <r>
    <s v="Regular"/>
    <x v="0"/>
    <x v="0"/>
    <x v="2"/>
    <x v="1"/>
    <x v="2"/>
    <x v="0"/>
    <x v="2"/>
    <x v="5"/>
    <n v="24"/>
    <n v="23.04"/>
    <n v="1.1519999999999999"/>
    <n v="1.10592"/>
    <n v="1.1519999999999999"/>
    <n v="1.10592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9.658291200000001"/>
    <n v="404.21375999999998"/>
    <n v="754.18615022214374"/>
    <n v="52.119211925367438"/>
    <n v="423.29558530983769"/>
  </r>
  <r>
    <s v="Regular"/>
    <x v="0"/>
    <x v="0"/>
    <x v="2"/>
    <x v="1"/>
    <x v="2"/>
    <x v="0"/>
    <x v="2"/>
    <x v="6"/>
    <n v="24"/>
    <n v="23.04"/>
    <n v="1.08"/>
    <n v="1.0367999999999999"/>
    <n v="1.08"/>
    <n v="1.0367999999999999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7.179648"/>
    <n v="378.9504"/>
    <n v="754.18615022214374"/>
    <n v="48.861761180031969"/>
    <n v="396.8396112279728"/>
  </r>
  <r>
    <s v="Regular"/>
    <x v="0"/>
    <x v="0"/>
    <x v="2"/>
    <x v="1"/>
    <x v="2"/>
    <x v="0"/>
    <x v="2"/>
    <x v="7"/>
    <n v="24"/>
    <n v="23.04"/>
    <n v="1.0740000000000001"/>
    <n v="1.03104"/>
    <n v="1.0740000000000001"/>
    <n v="1.03104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6.973094400000001"/>
    <n v="376.84512000000001"/>
    <n v="754.18615022214374"/>
    <n v="48.590306951254014"/>
    <n v="394.63494672115075"/>
  </r>
  <r>
    <s v="Regular"/>
    <x v="0"/>
    <x v="0"/>
    <x v="2"/>
    <x v="1"/>
    <x v="2"/>
    <x v="0"/>
    <x v="2"/>
    <x v="8"/>
    <n v="24"/>
    <n v="23.04"/>
    <n v="1.23"/>
    <n v="1.1807999999999998"/>
    <n v="1.23"/>
    <n v="1.1807999999999998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42.343487999999994"/>
    <n v="431.58239999999995"/>
    <n v="754.18615022214374"/>
    <n v="55.648116899480854"/>
    <n v="451.95622389852457"/>
  </r>
  <r>
    <s v="Regular"/>
    <x v="0"/>
    <x v="0"/>
    <x v="2"/>
    <x v="1"/>
    <x v="2"/>
    <x v="0"/>
    <x v="2"/>
    <x v="9"/>
    <n v="2"/>
    <n v="1.92"/>
    <n v="1.153"/>
    <n v="1.1068800000000001"/>
    <n v="1.153"/>
    <n v="1.1068800000000001"/>
    <n v="0"/>
    <x v="2"/>
    <n v="0"/>
    <n v="4"/>
    <n v="6"/>
    <n v="86"/>
    <n v="28.34"/>
    <n v="35.86"/>
    <n v="365.5"/>
    <n v="32.733773881169434"/>
    <n v="47.127470273950593"/>
    <n v="382.75425465660959"/>
    <n v="54.412799999999997"/>
    <n v="39.692716799999999"/>
    <n v="404.56464000000005"/>
    <n v="62.848845851845311"/>
    <n v="52.164454296830435"/>
    <n v="423.66302939430807"/>
  </r>
  <r>
    <s v="Regular"/>
    <x v="0"/>
    <x v="0"/>
    <x v="2"/>
    <x v="1"/>
    <x v="2"/>
    <x v="0"/>
    <x v="2"/>
    <x v="10"/>
    <n v="24"/>
    <n v="23.04"/>
    <n v="10.164"/>
    <n v="9.7574400000000008"/>
    <n v="10.164"/>
    <n v="9.7574400000000008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49.90179840000002"/>
    <n v="3566.3443200000002"/>
    <n v="754.18615022214374"/>
    <n v="459.84346354985649"/>
    <n v="3734.7016745565888"/>
  </r>
  <r>
    <s v="PROJETADO"/>
    <x v="0"/>
    <x v="0"/>
    <x v="2"/>
    <x v="1"/>
    <x v="2"/>
    <x v="0"/>
    <x v="2"/>
    <x v="11"/>
    <n v="24"/>
    <n v="23.04"/>
    <n v="10.164"/>
    <n v="9.7574400000000008"/>
    <n v="10.164"/>
    <n v="9.7574400000000008"/>
    <n v="0"/>
    <x v="2"/>
    <n v="0"/>
    <n v="4"/>
    <n v="6"/>
    <n v="86"/>
    <n v="28.34"/>
    <n v="35.86"/>
    <n v="365.5"/>
    <n v="32.733773881169434"/>
    <n v="47.127470273950593"/>
    <n v="382.75425465660959"/>
    <n v="652.95359999999994"/>
    <n v="349.90179840000002"/>
    <n v="3566.3443200000002"/>
    <n v="754.18615022214374"/>
    <n v="459.84346354985649"/>
    <n v="3734.7016745565888"/>
  </r>
  <r>
    <s v="Regular"/>
    <x v="0"/>
    <x v="0"/>
    <x v="3"/>
    <x v="2"/>
    <x v="2"/>
    <x v="0"/>
    <x v="1"/>
    <x v="0"/>
    <n v="9600"/>
    <n v="8160"/>
    <n v="6170.4849999999997"/>
    <n v="5800.2559000000001"/>
    <n v="6170.4849999999997"/>
    <n v="5800.2559000000001"/>
    <n v="0"/>
    <x v="2"/>
    <n v="0"/>
    <n v="5"/>
    <n v="6"/>
    <n v="87"/>
    <n v="11.59"/>
    <n v="35.86"/>
    <n v="222.31"/>
    <n v="11.399844968573289"/>
    <n v="47.127470273950593"/>
    <n v="236.64237028527376"/>
    <n v="94574.399999999994"/>
    <n v="207997.17657400001"/>
    <n v="1289454.889129"/>
    <n v="93022.73494355804"/>
    <n v="273351.38750855654"/>
    <n v="1372586.3044371437"/>
  </r>
  <r>
    <s v="Regular"/>
    <x v="0"/>
    <x v="0"/>
    <x v="3"/>
    <x v="2"/>
    <x v="2"/>
    <x v="0"/>
    <x v="1"/>
    <x v="1"/>
    <n v="9600"/>
    <n v="8160"/>
    <n v="6371.0889999999999"/>
    <n v="5988.82366"/>
    <n v="6371.0889999999999"/>
    <n v="5988.82366"/>
    <n v="0"/>
    <x v="2"/>
    <n v="0"/>
    <n v="5"/>
    <n v="6"/>
    <n v="87"/>
    <n v="11.59"/>
    <n v="35.86"/>
    <n v="222.31"/>
    <n v="11.399844968573289"/>
    <n v="47.127470273950593"/>
    <n v="236.64237028527376"/>
    <n v="94574.399999999994"/>
    <n v="214759.21644759999"/>
    <n v="1331375.3878546001"/>
    <n v="93022.73494355804"/>
    <n v="282238.10901258199"/>
    <n v="1417209.4261229285"/>
  </r>
  <r>
    <s v="Regular"/>
    <x v="0"/>
    <x v="0"/>
    <x v="3"/>
    <x v="2"/>
    <x v="2"/>
    <x v="0"/>
    <x v="1"/>
    <x v="2"/>
    <n v="9600"/>
    <n v="8160"/>
    <n v="5900.6350000000002"/>
    <n v="5546.5968999999996"/>
    <n v="5900.6350000000002"/>
    <n v="5546.5968999999996"/>
    <n v="0"/>
    <x v="2"/>
    <n v="0"/>
    <n v="5"/>
    <n v="6"/>
    <n v="87"/>
    <n v="11.59"/>
    <n v="35.86"/>
    <n v="222.31"/>
    <n v="11.399844968573289"/>
    <n v="47.127470273950593"/>
    <n v="236.64237028527376"/>
    <n v="94574.399999999994"/>
    <n v="198900.96483399998"/>
    <n v="1233063.9568389999"/>
    <n v="93022.73494355804"/>
    <n v="261397.08052633647"/>
    <n v="1312559.8374329514"/>
  </r>
  <r>
    <s v="Regular"/>
    <x v="0"/>
    <x v="0"/>
    <x v="3"/>
    <x v="2"/>
    <x v="2"/>
    <x v="0"/>
    <x v="1"/>
    <x v="3"/>
    <n v="9600"/>
    <n v="8160"/>
    <n v="6235.5010000000002"/>
    <n v="5861.3709399999998"/>
    <n v="6235.5010000000002"/>
    <n v="5861.3709399999998"/>
    <n v="0"/>
    <x v="2"/>
    <n v="0"/>
    <n v="5"/>
    <n v="6"/>
    <n v="87"/>
    <n v="11.59"/>
    <n v="35.86"/>
    <n v="222.31"/>
    <n v="11.399844968573289"/>
    <n v="47.127470273950593"/>
    <n v="236.64237028527376"/>
    <n v="94574.399999999994"/>
    <n v="210188.76190839999"/>
    <n v="1303041.3736713999"/>
    <n v="93022.73494355804"/>
    <n v="276231.5847394478"/>
    <n v="1387048.7123628231"/>
  </r>
  <r>
    <s v="Regular"/>
    <x v="0"/>
    <x v="0"/>
    <x v="3"/>
    <x v="2"/>
    <x v="2"/>
    <x v="0"/>
    <x v="2"/>
    <x v="0"/>
    <n v="3763"/>
    <n v="3198.5499999999997"/>
    <n v="218.589"/>
    <n v="205.47366"/>
    <n v="218.589"/>
    <n v="205.47366"/>
    <n v="0"/>
    <x v="2"/>
    <n v="0"/>
    <n v="4"/>
    <n v="6"/>
    <n v="86"/>
    <n v="28.34"/>
    <n v="35.86"/>
    <n v="365.5"/>
    <n v="32.733773881169434"/>
    <n v="47.127470273950593"/>
    <n v="382.75425465660959"/>
    <n v="90646.906999999992"/>
    <n v="7368.2854475999993"/>
    <n v="75100.622730000003"/>
    <n v="104700.61244761448"/>
    <n v="9683.4538037298298"/>
    <n v="78645.917584865616"/>
  </r>
  <r>
    <s v="Regular"/>
    <x v="0"/>
    <x v="0"/>
    <x v="3"/>
    <x v="2"/>
    <x v="2"/>
    <x v="0"/>
    <x v="2"/>
    <x v="1"/>
    <n v="3700"/>
    <n v="3145"/>
    <n v="229.916"/>
    <n v="216.12103999999999"/>
    <n v="229.916"/>
    <n v="216.12103999999999"/>
    <n v="0"/>
    <x v="2"/>
    <n v="0"/>
    <n v="4"/>
    <n v="6"/>
    <n v="86"/>
    <n v="28.34"/>
    <n v="35.86"/>
    <n v="365.5"/>
    <n v="32.733773881169434"/>
    <n v="47.127470273950593"/>
    <n v="382.75425465660959"/>
    <n v="89129.3"/>
    <n v="7750.1004943999997"/>
    <n v="78992.240120000002"/>
    <n v="102947.71885627788"/>
    <n v="10185.237888175287"/>
    <n v="82721.247580811309"/>
  </r>
  <r>
    <s v="Regular"/>
    <x v="0"/>
    <x v="0"/>
    <x v="3"/>
    <x v="2"/>
    <x v="2"/>
    <x v="0"/>
    <x v="2"/>
    <x v="2"/>
    <n v="3700"/>
    <n v="3145"/>
    <n v="229.82"/>
    <n v="216.0308"/>
    <n v="229.82"/>
    <n v="216.0308"/>
    <n v="0"/>
    <x v="2"/>
    <n v="0"/>
    <n v="4"/>
    <n v="6"/>
    <n v="86"/>
    <n v="28.34"/>
    <n v="35.86"/>
    <n v="365.5"/>
    <n v="32.733773881169434"/>
    <n v="47.127470273950593"/>
    <n v="382.75425465660959"/>
    <n v="89129.3"/>
    <n v="7746.8644880000002"/>
    <n v="78959.257400000002"/>
    <n v="102947.71885627788"/>
    <n v="10180.985105257765"/>
    <n v="82686.707836871094"/>
  </r>
  <r>
    <s v="Regular"/>
    <x v="0"/>
    <x v="0"/>
    <x v="3"/>
    <x v="2"/>
    <x v="2"/>
    <x v="0"/>
    <x v="2"/>
    <x v="3"/>
    <n v="3746"/>
    <n v="3184.1"/>
    <n v="241.227"/>
    <n v="226.75337999999999"/>
    <n v="241.227"/>
    <n v="226.75337999999999"/>
    <n v="0"/>
    <x v="2"/>
    <n v="0"/>
    <n v="4"/>
    <n v="6"/>
    <n v="86"/>
    <n v="28.34"/>
    <n v="35.86"/>
    <n v="365.5"/>
    <n v="32.733773881169434"/>
    <n v="47.127470273950593"/>
    <n v="382.75425465660959"/>
    <n v="90237.394"/>
    <n v="8131.3762067999996"/>
    <n v="82878.360390000002"/>
    <n v="104227.60941503159"/>
    <n v="10686.313175467823"/>
    <n v="86790.820952766968"/>
  </r>
  <r>
    <s v="Regular"/>
    <x v="0"/>
    <x v="1"/>
    <x v="4"/>
    <x v="0"/>
    <x v="4"/>
    <x v="1"/>
    <x v="0"/>
    <x v="0"/>
    <n v="0"/>
    <n v="0"/>
    <n v="0"/>
    <n v="0"/>
    <n v="31409.545999999998"/>
    <n v="31409.545999999998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7227336.5345999999"/>
    <n v="0"/>
    <n v="0"/>
    <n v="8008233.4076248053"/>
  </r>
  <r>
    <s v="Regular"/>
    <x v="0"/>
    <x v="1"/>
    <x v="4"/>
    <x v="0"/>
    <x v="4"/>
    <x v="1"/>
    <x v="0"/>
    <x v="1"/>
    <n v="0"/>
    <n v="0"/>
    <n v="0"/>
    <n v="0"/>
    <n v="28670.883999999998"/>
    <n v="28670.883999999998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597170.4083999991"/>
    <n v="0"/>
    <n v="0"/>
    <n v="7309979.2997624194"/>
  </r>
  <r>
    <s v="Regular"/>
    <x v="0"/>
    <x v="1"/>
    <x v="4"/>
    <x v="0"/>
    <x v="4"/>
    <x v="1"/>
    <x v="0"/>
    <x v="2"/>
    <n v="0"/>
    <n v="0"/>
    <n v="0"/>
    <n v="0"/>
    <n v="27604.213"/>
    <n v="27604.213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351729.4112999998"/>
    <n v="0"/>
    <n v="0"/>
    <n v="7038018.9747980107"/>
  </r>
  <r>
    <s v="Regular"/>
    <x v="0"/>
    <x v="1"/>
    <x v="4"/>
    <x v="0"/>
    <x v="4"/>
    <x v="1"/>
    <x v="0"/>
    <x v="3"/>
    <n v="0"/>
    <n v="0"/>
    <n v="0"/>
    <n v="0"/>
    <n v="26724.085999999999"/>
    <n v="26724.085999999999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149212.1886"/>
    <n v="0"/>
    <n v="0"/>
    <n v="6813620.2380460501"/>
  </r>
  <r>
    <s v="Regular"/>
    <x v="0"/>
    <x v="1"/>
    <x v="4"/>
    <x v="0"/>
    <x v="4"/>
    <x v="1"/>
    <x v="0"/>
    <x v="4"/>
    <n v="0"/>
    <n v="0"/>
    <n v="0"/>
    <n v="0"/>
    <n v="26608.66"/>
    <n v="26608.66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122652.6660000002"/>
    <n v="0"/>
    <n v="0"/>
    <n v="6784191.0209122365"/>
  </r>
  <r>
    <s v="Regular"/>
    <x v="0"/>
    <x v="1"/>
    <x v="4"/>
    <x v="0"/>
    <x v="4"/>
    <x v="1"/>
    <x v="0"/>
    <x v="5"/>
    <n v="0"/>
    <n v="0"/>
    <n v="0"/>
    <n v="0"/>
    <n v="26590.552"/>
    <n v="26590.552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118486.0151999993"/>
    <n v="0"/>
    <n v="0"/>
    <n v="6779574.1732015032"/>
  </r>
  <r>
    <s v="Regular"/>
    <x v="0"/>
    <x v="1"/>
    <x v="4"/>
    <x v="0"/>
    <x v="4"/>
    <x v="1"/>
    <x v="0"/>
    <x v="6"/>
    <n v="0"/>
    <n v="0"/>
    <n v="0"/>
    <n v="0"/>
    <n v="27481.698"/>
    <n v="27481.698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323538.7098000003"/>
    <n v="0"/>
    <n v="0"/>
    <n v="7006782.3336846642"/>
  </r>
  <r>
    <s v="Regular"/>
    <x v="0"/>
    <x v="1"/>
    <x v="4"/>
    <x v="0"/>
    <x v="4"/>
    <x v="1"/>
    <x v="0"/>
    <x v="7"/>
    <n v="0"/>
    <n v="0"/>
    <n v="0"/>
    <n v="0"/>
    <n v="30223.920999999998"/>
    <n v="30223.920999999998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954524.2220999999"/>
    <n v="0"/>
    <n v="0"/>
    <n v="7705944.360406002"/>
  </r>
  <r>
    <s v="Regular"/>
    <x v="0"/>
    <x v="1"/>
    <x v="4"/>
    <x v="0"/>
    <x v="4"/>
    <x v="1"/>
    <x v="0"/>
    <x v="8"/>
    <n v="0"/>
    <n v="0"/>
    <n v="0"/>
    <n v="0"/>
    <n v="29399.271000000001"/>
    <n v="29399.271000000001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6764772.2571"/>
    <n v="0"/>
    <n v="0"/>
    <n v="7495690.1377057517"/>
  </r>
  <r>
    <s v="Regular"/>
    <x v="0"/>
    <x v="1"/>
    <x v="4"/>
    <x v="0"/>
    <x v="4"/>
    <x v="1"/>
    <x v="0"/>
    <x v="9"/>
    <n v="0"/>
    <n v="0"/>
    <n v="0"/>
    <n v="0"/>
    <n v="31222.739000000001"/>
    <n v="31222.739000000001"/>
    <n v="0"/>
    <x v="3"/>
    <n v="46"/>
    <n v="0"/>
    <n v="0"/>
    <n v="90"/>
    <n v="0"/>
    <n v="0"/>
    <n v="230.1"/>
    <n v="36.211271580834378"/>
    <n v="4.6233666364282548"/>
    <n v="254.96176887194758"/>
    <n v="0"/>
    <n v="0"/>
    <n v="7184352.2439000001"/>
    <n v="0"/>
    <n v="0"/>
    <n v="7960604.7644671444"/>
  </r>
  <r>
    <s v="Regular"/>
    <x v="0"/>
    <x v="2"/>
    <x v="4"/>
    <x v="0"/>
    <x v="5"/>
    <x v="2"/>
    <x v="0"/>
    <x v="0"/>
    <n v="4496"/>
    <n v="2248"/>
    <n v="0"/>
    <n v="0"/>
    <n v="0"/>
    <n v="0"/>
    <n v="0"/>
    <x v="4"/>
    <n v="29152"/>
    <n v="10"/>
    <n v="0"/>
    <n v="0"/>
    <n v="10.55"/>
    <n v="0"/>
    <n v="0"/>
    <n v="13.562660039999955"/>
    <m/>
    <m/>
    <n v="23716.400000000001"/>
    <n v="0"/>
    <n v="0"/>
    <n v="30488.859769919898"/>
    <n v="0"/>
    <n v="0"/>
  </r>
  <r>
    <s v="Regular"/>
    <x v="0"/>
    <x v="2"/>
    <x v="4"/>
    <x v="0"/>
    <x v="5"/>
    <x v="3"/>
    <x v="0"/>
    <x v="0"/>
    <n v="10000"/>
    <n v="5000"/>
    <n v="0"/>
    <n v="0"/>
    <n v="0"/>
    <n v="0"/>
    <n v="0"/>
    <x v="4"/>
    <n v="29685"/>
    <n v="10"/>
    <n v="0"/>
    <n v="0"/>
    <n v="10.55"/>
    <n v="0"/>
    <n v="0"/>
    <n v="13.562660039999955"/>
    <m/>
    <m/>
    <n v="52750"/>
    <n v="0"/>
    <n v="0"/>
    <n v="67813.30019999978"/>
    <n v="0"/>
    <n v="0"/>
  </r>
  <r>
    <s v="Regular"/>
    <x v="0"/>
    <x v="2"/>
    <x v="4"/>
    <x v="0"/>
    <x v="5"/>
    <x v="4"/>
    <x v="0"/>
    <x v="0"/>
    <n v="13000"/>
    <n v="6500"/>
    <n v="0"/>
    <n v="0"/>
    <n v="0"/>
    <n v="0"/>
    <n v="0"/>
    <x v="4"/>
    <n v="30396"/>
    <n v="10"/>
    <n v="0"/>
    <n v="0"/>
    <n v="10.55"/>
    <n v="0"/>
    <n v="0"/>
    <n v="13.562660039999955"/>
    <m/>
    <m/>
    <n v="68575"/>
    <n v="0"/>
    <n v="0"/>
    <n v="88157.290259999703"/>
    <n v="0"/>
    <n v="0"/>
  </r>
  <r>
    <s v="Regular"/>
    <x v="0"/>
    <x v="2"/>
    <x v="4"/>
    <x v="0"/>
    <x v="5"/>
    <x v="2"/>
    <x v="0"/>
    <x v="1"/>
    <n v="4572"/>
    <n v="2286"/>
    <n v="0"/>
    <n v="0"/>
    <n v="0"/>
    <n v="0"/>
    <n v="0"/>
    <x v="4"/>
    <n v="29152"/>
    <n v="10"/>
    <n v="0"/>
    <n v="0"/>
    <n v="10.55"/>
    <n v="0"/>
    <n v="0"/>
    <n v="13.562660039999955"/>
    <m/>
    <m/>
    <n v="24117.300000000003"/>
    <n v="0"/>
    <n v="0"/>
    <n v="31004.240851439896"/>
    <n v="0"/>
    <n v="0"/>
  </r>
  <r>
    <s v="Regular"/>
    <x v="0"/>
    <x v="2"/>
    <x v="4"/>
    <x v="0"/>
    <x v="5"/>
    <x v="3"/>
    <x v="0"/>
    <x v="1"/>
    <n v="10000"/>
    <n v="5000"/>
    <n v="0"/>
    <n v="0"/>
    <n v="0"/>
    <n v="0"/>
    <n v="0"/>
    <x v="4"/>
    <n v="29685"/>
    <n v="10"/>
    <n v="0"/>
    <n v="0"/>
    <n v="10.55"/>
    <n v="0"/>
    <n v="0"/>
    <n v="13.562660039999955"/>
    <m/>
    <m/>
    <n v="52750"/>
    <n v="0"/>
    <n v="0"/>
    <n v="67813.30019999978"/>
    <n v="0"/>
    <n v="0"/>
  </r>
  <r>
    <s v="Regular"/>
    <x v="0"/>
    <x v="2"/>
    <x v="4"/>
    <x v="0"/>
    <x v="5"/>
    <x v="4"/>
    <x v="0"/>
    <x v="1"/>
    <n v="13000"/>
    <n v="6500"/>
    <n v="0"/>
    <n v="0"/>
    <n v="0"/>
    <n v="0"/>
    <n v="0"/>
    <x v="4"/>
    <n v="30396"/>
    <n v="10"/>
    <n v="0"/>
    <n v="0"/>
    <n v="10.55"/>
    <n v="0"/>
    <n v="0"/>
    <n v="13.562660039999955"/>
    <m/>
    <m/>
    <n v="68575"/>
    <n v="0"/>
    <n v="0"/>
    <n v="88157.290259999703"/>
    <n v="0"/>
    <n v="0"/>
  </r>
  <r>
    <s v="Regular"/>
    <x v="0"/>
    <x v="2"/>
    <x v="4"/>
    <x v="0"/>
    <x v="5"/>
    <x v="2"/>
    <x v="0"/>
    <x v="2"/>
    <n v="4940"/>
    <n v="2470"/>
    <n v="0"/>
    <n v="0"/>
    <n v="0"/>
    <n v="0"/>
    <n v="0"/>
    <x v="4"/>
    <n v="29152"/>
    <n v="10"/>
    <n v="0"/>
    <n v="0"/>
    <n v="10.55"/>
    <n v="0"/>
    <n v="0"/>
    <n v="13.562660039999955"/>
    <m/>
    <m/>
    <n v="26058.5"/>
    <n v="0"/>
    <n v="0"/>
    <n v="33499.770298799885"/>
    <n v="0"/>
    <n v="0"/>
  </r>
  <r>
    <s v="Regular"/>
    <x v="0"/>
    <x v="2"/>
    <x v="4"/>
    <x v="0"/>
    <x v="5"/>
    <x v="3"/>
    <x v="0"/>
    <x v="2"/>
    <n v="10000"/>
    <n v="5000"/>
    <n v="0"/>
    <n v="0"/>
    <n v="0"/>
    <n v="0"/>
    <n v="0"/>
    <x v="4"/>
    <n v="29685"/>
    <n v="10"/>
    <n v="0"/>
    <n v="0"/>
    <n v="10.55"/>
    <n v="0"/>
    <n v="0"/>
    <n v="13.562660039999955"/>
    <m/>
    <m/>
    <n v="52750"/>
    <n v="0"/>
    <n v="0"/>
    <n v="67813.30019999978"/>
    <n v="0"/>
    <n v="0"/>
  </r>
  <r>
    <s v="Regular"/>
    <x v="0"/>
    <x v="2"/>
    <x v="4"/>
    <x v="0"/>
    <x v="5"/>
    <x v="4"/>
    <x v="0"/>
    <x v="2"/>
    <n v="13000"/>
    <n v="6500"/>
    <n v="0"/>
    <n v="0"/>
    <n v="0"/>
    <n v="0"/>
    <n v="0"/>
    <x v="4"/>
    <n v="30396"/>
    <n v="10"/>
    <n v="0"/>
    <n v="0"/>
    <n v="10.55"/>
    <n v="0"/>
    <n v="0"/>
    <n v="13.562660039999955"/>
    <m/>
    <m/>
    <n v="68575"/>
    <n v="0"/>
    <n v="0"/>
    <n v="88157.290259999703"/>
    <n v="0"/>
    <n v="0"/>
  </r>
  <r>
    <s v="Regular"/>
    <x v="0"/>
    <x v="2"/>
    <x v="4"/>
    <x v="0"/>
    <x v="5"/>
    <x v="2"/>
    <x v="0"/>
    <x v="3"/>
    <n v="4939"/>
    <n v="2469.5"/>
    <n v="0"/>
    <n v="0"/>
    <n v="0"/>
    <n v="0"/>
    <n v="0"/>
    <x v="4"/>
    <n v="29152"/>
    <n v="10"/>
    <n v="0"/>
    <n v="0"/>
    <n v="10.55"/>
    <n v="0"/>
    <n v="0"/>
    <n v="13.562660039999955"/>
    <m/>
    <m/>
    <n v="26053.225000000002"/>
    <n v="0"/>
    <n v="0"/>
    <n v="33492.988968779886"/>
    <n v="0"/>
    <n v="0"/>
  </r>
  <r>
    <s v="Regular"/>
    <x v="0"/>
    <x v="2"/>
    <x v="4"/>
    <x v="0"/>
    <x v="5"/>
    <x v="3"/>
    <x v="0"/>
    <x v="3"/>
    <n v="10000"/>
    <n v="5000"/>
    <n v="0"/>
    <n v="0"/>
    <n v="0"/>
    <n v="0"/>
    <n v="0"/>
    <x v="4"/>
    <n v="29685"/>
    <n v="10"/>
    <n v="0"/>
    <n v="0"/>
    <n v="10.55"/>
    <n v="0"/>
    <n v="0"/>
    <n v="13.562660039999955"/>
    <m/>
    <m/>
    <n v="52750"/>
    <n v="0"/>
    <n v="0"/>
    <n v="67813.30019999978"/>
    <n v="0"/>
    <n v="0"/>
  </r>
  <r>
    <s v="Regular"/>
    <x v="0"/>
    <x v="2"/>
    <x v="4"/>
    <x v="0"/>
    <x v="5"/>
    <x v="4"/>
    <x v="0"/>
    <x v="3"/>
    <n v="13000"/>
    <n v="6500"/>
    <n v="0"/>
    <n v="0"/>
    <n v="0"/>
    <n v="0"/>
    <n v="0"/>
    <x v="4"/>
    <n v="30396"/>
    <n v="10"/>
    <n v="0"/>
    <n v="0"/>
    <n v="10.55"/>
    <n v="0"/>
    <n v="0"/>
    <n v="13.562660039999955"/>
    <m/>
    <m/>
    <n v="68575"/>
    <n v="0"/>
    <n v="0"/>
    <n v="88157.290259999703"/>
    <n v="0"/>
    <n v="0"/>
  </r>
  <r>
    <s v="Regular"/>
    <x v="0"/>
    <x v="2"/>
    <x v="4"/>
    <x v="0"/>
    <x v="5"/>
    <x v="2"/>
    <x v="0"/>
    <x v="4"/>
    <n v="4939"/>
    <n v="2469.5"/>
    <n v="0"/>
    <n v="0"/>
    <n v="0"/>
    <n v="0"/>
    <n v="0"/>
    <x v="4"/>
    <n v="29152"/>
    <n v="10"/>
    <n v="0"/>
    <n v="0"/>
    <n v="10.55"/>
    <n v="0"/>
    <n v="0"/>
    <n v="13.562660039999955"/>
    <m/>
    <m/>
    <n v="26053.225000000002"/>
    <n v="0"/>
    <n v="0"/>
    <n v="33492.988968779886"/>
    <n v="0"/>
    <n v="0"/>
  </r>
  <r>
    <s v="Regular"/>
    <x v="0"/>
    <x v="2"/>
    <x v="4"/>
    <x v="0"/>
    <x v="5"/>
    <x v="3"/>
    <x v="0"/>
    <x v="4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4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5"/>
    <x v="2"/>
    <x v="0"/>
    <x v="5"/>
    <n v="4942"/>
    <n v="2471"/>
    <n v="0"/>
    <n v="0"/>
    <n v="0"/>
    <n v="0"/>
    <n v="0"/>
    <x v="4"/>
    <n v="29152"/>
    <n v="10"/>
    <n v="0"/>
    <n v="0"/>
    <n v="10.55"/>
    <n v="0"/>
    <n v="0"/>
    <n v="13.562660039999955"/>
    <m/>
    <m/>
    <n v="26069.050000000003"/>
    <n v="0"/>
    <n v="0"/>
    <n v="33513.332958839885"/>
    <n v="0"/>
    <n v="0"/>
  </r>
  <r>
    <s v="Regular"/>
    <x v="0"/>
    <x v="2"/>
    <x v="4"/>
    <x v="0"/>
    <x v="5"/>
    <x v="3"/>
    <x v="0"/>
    <x v="5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5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5"/>
    <x v="2"/>
    <x v="0"/>
    <x v="6"/>
    <n v="4452"/>
    <n v="2226"/>
    <n v="0"/>
    <n v="0"/>
    <n v="0"/>
    <n v="0"/>
    <n v="0"/>
    <x v="4"/>
    <n v="29152"/>
    <n v="10"/>
    <n v="0"/>
    <n v="0"/>
    <n v="10.55"/>
    <n v="0"/>
    <n v="0"/>
    <n v="13.562660039999955"/>
    <m/>
    <m/>
    <n v="23484.300000000003"/>
    <n v="0"/>
    <n v="0"/>
    <n v="30190.481249039898"/>
    <n v="0"/>
    <n v="0"/>
  </r>
  <r>
    <s v="Regular"/>
    <x v="0"/>
    <x v="2"/>
    <x v="4"/>
    <x v="0"/>
    <x v="5"/>
    <x v="3"/>
    <x v="0"/>
    <x v="6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6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5"/>
    <x v="2"/>
    <x v="0"/>
    <x v="7"/>
    <n v="4472"/>
    <n v="2236"/>
    <n v="0"/>
    <n v="0"/>
    <n v="0"/>
    <n v="0"/>
    <n v="0"/>
    <x v="4"/>
    <n v="29152"/>
    <n v="10"/>
    <n v="0"/>
    <n v="0"/>
    <n v="10.55"/>
    <n v="0"/>
    <n v="0"/>
    <n v="13.562660039999955"/>
    <m/>
    <m/>
    <n v="23589.800000000003"/>
    <n v="0"/>
    <n v="0"/>
    <n v="30326.107849439897"/>
    <n v="0"/>
    <n v="0"/>
  </r>
  <r>
    <s v="Regular"/>
    <x v="0"/>
    <x v="2"/>
    <x v="4"/>
    <x v="0"/>
    <x v="5"/>
    <x v="3"/>
    <x v="0"/>
    <x v="7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7"/>
    <n v="10044"/>
    <n v="5022"/>
    <n v="0"/>
    <n v="0"/>
    <n v="0"/>
    <n v="0"/>
    <n v="0"/>
    <x v="4"/>
    <n v="30396"/>
    <n v="10"/>
    <n v="0"/>
    <n v="0"/>
    <n v="10.55"/>
    <n v="0"/>
    <n v="0"/>
    <n v="13.562660039999955"/>
    <m/>
    <m/>
    <n v="52982.100000000006"/>
    <n v="0"/>
    <n v="0"/>
    <n v="68111.678720879776"/>
    <n v="0"/>
    <n v="0"/>
  </r>
  <r>
    <s v="Regular"/>
    <x v="0"/>
    <x v="2"/>
    <x v="4"/>
    <x v="0"/>
    <x v="5"/>
    <x v="2"/>
    <x v="0"/>
    <x v="8"/>
    <n v="4448"/>
    <n v="2224"/>
    <n v="0"/>
    <n v="0"/>
    <n v="0"/>
    <n v="0"/>
    <n v="0"/>
    <x v="4"/>
    <n v="29152"/>
    <n v="10"/>
    <n v="0"/>
    <n v="0"/>
    <n v="10.55"/>
    <n v="0"/>
    <n v="0"/>
    <n v="13.562660039999955"/>
    <m/>
    <m/>
    <n v="23463.200000000001"/>
    <n v="0"/>
    <n v="0"/>
    <n v="30163.3559289599"/>
    <n v="0"/>
    <n v="0"/>
  </r>
  <r>
    <s v="Regular"/>
    <x v="0"/>
    <x v="2"/>
    <x v="4"/>
    <x v="0"/>
    <x v="5"/>
    <x v="3"/>
    <x v="0"/>
    <x v="8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8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5"/>
    <x v="2"/>
    <x v="0"/>
    <x v="9"/>
    <n v="4384"/>
    <n v="2192"/>
    <n v="0"/>
    <n v="0"/>
    <n v="0"/>
    <n v="0"/>
    <n v="0"/>
    <x v="4"/>
    <n v="29152"/>
    <n v="10"/>
    <n v="0"/>
    <n v="0"/>
    <n v="10.55"/>
    <n v="0"/>
    <n v="0"/>
    <n v="13.562660039999955"/>
    <m/>
    <m/>
    <n v="23125.600000000002"/>
    <n v="0"/>
    <n v="0"/>
    <n v="29729.350807679901"/>
    <n v="0"/>
    <n v="0"/>
  </r>
  <r>
    <s v="Regular"/>
    <x v="0"/>
    <x v="2"/>
    <x v="4"/>
    <x v="0"/>
    <x v="5"/>
    <x v="3"/>
    <x v="0"/>
    <x v="9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9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5"/>
    <x v="2"/>
    <x v="0"/>
    <x v="10"/>
    <n v="4412"/>
    <n v="2206"/>
    <n v="0"/>
    <n v="0"/>
    <n v="0"/>
    <n v="0"/>
    <n v="0"/>
    <x v="4"/>
    <n v="29152"/>
    <n v="10"/>
    <n v="0"/>
    <n v="0"/>
    <n v="10.55"/>
    <n v="0"/>
    <n v="0"/>
    <n v="13.562660039999955"/>
    <m/>
    <m/>
    <n v="23273.300000000003"/>
    <n v="0"/>
    <n v="0"/>
    <n v="29919.2280482399"/>
    <n v="0"/>
    <n v="0"/>
  </r>
  <r>
    <s v="Regular"/>
    <x v="0"/>
    <x v="2"/>
    <x v="4"/>
    <x v="0"/>
    <x v="5"/>
    <x v="3"/>
    <x v="0"/>
    <x v="10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Regular"/>
    <x v="0"/>
    <x v="2"/>
    <x v="4"/>
    <x v="0"/>
    <x v="5"/>
    <x v="4"/>
    <x v="0"/>
    <x v="10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PROJETADO"/>
    <x v="0"/>
    <x v="2"/>
    <x v="4"/>
    <x v="0"/>
    <x v="5"/>
    <x v="2"/>
    <x v="0"/>
    <x v="11"/>
    <n v="4412"/>
    <n v="2206"/>
    <n v="0"/>
    <n v="0"/>
    <n v="0"/>
    <n v="0"/>
    <n v="0"/>
    <x v="4"/>
    <n v="29152"/>
    <n v="10"/>
    <n v="0"/>
    <n v="0"/>
    <n v="10.55"/>
    <n v="0"/>
    <n v="0"/>
    <n v="13.562660039999955"/>
    <m/>
    <m/>
    <n v="23273.300000000003"/>
    <n v="0"/>
    <n v="0"/>
    <n v="29919.2280482399"/>
    <n v="0"/>
    <n v="0"/>
  </r>
  <r>
    <s v="PROJETADO"/>
    <x v="0"/>
    <x v="2"/>
    <x v="4"/>
    <x v="0"/>
    <x v="5"/>
    <x v="3"/>
    <x v="0"/>
    <x v="11"/>
    <n v="8200"/>
    <n v="4100"/>
    <n v="0"/>
    <n v="0"/>
    <n v="0"/>
    <n v="0"/>
    <n v="0"/>
    <x v="4"/>
    <n v="29685"/>
    <n v="10"/>
    <n v="0"/>
    <n v="0"/>
    <n v="10.55"/>
    <n v="0"/>
    <n v="0"/>
    <n v="13.562660039999955"/>
    <m/>
    <m/>
    <n v="43255"/>
    <n v="0"/>
    <n v="0"/>
    <n v="55606.906163999811"/>
    <n v="0"/>
    <n v="0"/>
  </r>
  <r>
    <s v="PROJETADO"/>
    <x v="0"/>
    <x v="2"/>
    <x v="4"/>
    <x v="0"/>
    <x v="5"/>
    <x v="4"/>
    <x v="0"/>
    <x v="11"/>
    <n v="12400"/>
    <n v="6200"/>
    <n v="0"/>
    <n v="0"/>
    <n v="0"/>
    <n v="0"/>
    <n v="0"/>
    <x v="4"/>
    <n v="30396"/>
    <n v="10"/>
    <n v="0"/>
    <n v="0"/>
    <n v="10.55"/>
    <n v="0"/>
    <n v="0"/>
    <n v="13.562660039999955"/>
    <m/>
    <m/>
    <n v="65410.000000000007"/>
    <n v="0"/>
    <n v="0"/>
    <n v="84088.492247999719"/>
    <n v="0"/>
    <n v="0"/>
  </r>
  <r>
    <s v="Regular"/>
    <x v="0"/>
    <x v="2"/>
    <x v="4"/>
    <x v="0"/>
    <x v="2"/>
    <x v="5"/>
    <x v="0"/>
    <x v="0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1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2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3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4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5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6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7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8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9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0"/>
    <x v="2"/>
    <x v="4"/>
    <x v="0"/>
    <x v="2"/>
    <x v="5"/>
    <x v="0"/>
    <x v="10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PROJETADO"/>
    <x v="0"/>
    <x v="2"/>
    <x v="4"/>
    <x v="0"/>
    <x v="2"/>
    <x v="5"/>
    <x v="0"/>
    <x v="11"/>
    <n v="30000"/>
    <n v="15000"/>
    <n v="0"/>
    <n v="0"/>
    <n v="0"/>
    <n v="0"/>
    <n v="0"/>
    <x v="4"/>
    <n v="30296"/>
    <n v="10"/>
    <n v="0"/>
    <n v="0"/>
    <n v="10.55"/>
    <n v="0"/>
    <n v="0"/>
    <n v="13.562660039999955"/>
    <m/>
    <m/>
    <n v="158250"/>
    <n v="0"/>
    <n v="0"/>
    <n v="203439.90059999932"/>
    <n v="0"/>
    <n v="0"/>
  </r>
  <r>
    <s v="Regular"/>
    <x v="1"/>
    <x v="0"/>
    <x v="5"/>
    <x v="0"/>
    <x v="2"/>
    <x v="0"/>
    <x v="1"/>
    <x v="0"/>
    <n v="8153"/>
    <n v="8153"/>
    <n v="2542.1590000000001"/>
    <n v="2542.1590000000001"/>
    <n v="2542.1590000000001"/>
    <n v="2542.1590000000001"/>
    <n v="0"/>
    <x v="2"/>
    <n v="0"/>
    <n v="12"/>
    <n v="110"/>
    <n v="89"/>
    <n v="24.31"/>
    <n v="51.27"/>
    <n v="222.31"/>
    <n v="27.784726797371405"/>
    <n v="66.787442987613147"/>
    <n v="236.64237028527376"/>
    <n v="198199.43"/>
    <n v="130336.49193000002"/>
    <n v="565147.36729000008"/>
    <n v="226528.87757896906"/>
    <n v="169784.29927794766"/>
    <n v="601582.53140204132"/>
  </r>
  <r>
    <s v="Sistema de Compensação"/>
    <x v="1"/>
    <x v="0"/>
    <x v="5"/>
    <x v="0"/>
    <x v="2"/>
    <x v="0"/>
    <x v="1"/>
    <x v="0"/>
    <n v="300"/>
    <n v="300"/>
    <n v="70.069999999999993"/>
    <n v="70.069999999999993"/>
    <n v="70.069999999999993"/>
    <n v="70.069999999999993"/>
    <n v="0"/>
    <x v="2"/>
    <n v="0"/>
    <n v="12"/>
    <n v="110"/>
    <n v="89"/>
    <n v="24.31"/>
    <n v="51.27"/>
    <n v="222.31"/>
    <n v="27.784726797371405"/>
    <n v="66.787442987613147"/>
    <n v="236.64237028527376"/>
    <n v="7293"/>
    <n v="3592.4888999999998"/>
    <n v="15577.261699999999"/>
    <n v="8335.4180392114213"/>
    <n v="4679.7961301420528"/>
    <n v="16581.530885889129"/>
  </r>
  <r>
    <s v="Regular"/>
    <x v="1"/>
    <x v="0"/>
    <x v="5"/>
    <x v="0"/>
    <x v="2"/>
    <x v="0"/>
    <x v="1"/>
    <x v="1"/>
    <n v="8480"/>
    <n v="8480"/>
    <n v="2543.1790000000001"/>
    <n v="2543.1790000000001"/>
    <n v="2543.1790000000001"/>
    <n v="2543.1790000000001"/>
    <n v="0"/>
    <x v="2"/>
    <n v="0"/>
    <n v="12"/>
    <n v="110"/>
    <n v="89"/>
    <n v="24.31"/>
    <n v="51.27"/>
    <n v="222.31"/>
    <n v="27.784726797371405"/>
    <n v="66.787442987613147"/>
    <n v="236.64237028527376"/>
    <n v="206148.8"/>
    <n v="130388.78733000001"/>
    <n v="565374.12349000003"/>
    <n v="235614.48324170953"/>
    <n v="169852.42246979501"/>
    <n v="601823.90661973227"/>
  </r>
  <r>
    <s v="Sistema de Compensação"/>
    <x v="1"/>
    <x v="0"/>
    <x v="5"/>
    <x v="0"/>
    <x v="2"/>
    <x v="0"/>
    <x v="1"/>
    <x v="1"/>
    <n v="300"/>
    <n v="300"/>
    <n v="69.510000000000005"/>
    <n v="69.510000000000005"/>
    <n v="69.510000000000005"/>
    <n v="69.510000000000005"/>
    <n v="0"/>
    <x v="2"/>
    <n v="0"/>
    <n v="12"/>
    <n v="110"/>
    <n v="89"/>
    <n v="24.31"/>
    <n v="51.27"/>
    <n v="222.31"/>
    <n v="27.784726797371405"/>
    <n v="66.787442987613147"/>
    <n v="236.64237028527376"/>
    <n v="7293"/>
    <n v="3563.7777000000006"/>
    <n v="15452.768100000001"/>
    <n v="8335.4180392114213"/>
    <n v="4642.3951620689904"/>
    <n v="16449.011158529382"/>
  </r>
  <r>
    <s v="Regular"/>
    <x v="1"/>
    <x v="0"/>
    <x v="5"/>
    <x v="0"/>
    <x v="2"/>
    <x v="0"/>
    <x v="1"/>
    <x v="2"/>
    <n v="8678"/>
    <n v="8678"/>
    <n v="2229.0329999999999"/>
    <n v="2229.0329999999999"/>
    <n v="2229.0329999999999"/>
    <n v="2229.0329999999999"/>
    <n v="0"/>
    <x v="2"/>
    <n v="0"/>
    <n v="12"/>
    <n v="110"/>
    <n v="89"/>
    <n v="24.31"/>
    <n v="51.27"/>
    <n v="222.31"/>
    <n v="27.784726797371405"/>
    <n v="66.787442987613147"/>
    <n v="236.64237028527376"/>
    <n v="210962.18"/>
    <n v="114282.52191"/>
    <n v="495536.32623000001"/>
    <n v="241115.85914758904"/>
    <n v="148871.41440500828"/>
    <n v="527483.65256409463"/>
  </r>
  <r>
    <s v="Sistema de Compensação"/>
    <x v="1"/>
    <x v="0"/>
    <x v="5"/>
    <x v="0"/>
    <x v="2"/>
    <x v="0"/>
    <x v="1"/>
    <x v="2"/>
    <n v="270"/>
    <n v="270"/>
    <n v="60.48"/>
    <n v="60.48"/>
    <n v="60.48"/>
    <n v="60.48"/>
    <n v="0"/>
    <x v="2"/>
    <n v="0"/>
    <n v="12"/>
    <n v="110"/>
    <n v="89"/>
    <n v="24.31"/>
    <n v="51.27"/>
    <n v="222.31"/>
    <n v="27.784726797371405"/>
    <n v="66.787442987613147"/>
    <n v="236.64237028527376"/>
    <n v="6563.7"/>
    <n v="3100.8096"/>
    <n v="13445.308799999999"/>
    <n v="7501.8762352902795"/>
    <n v="4039.304551890843"/>
    <n v="14312.130554853356"/>
  </r>
  <r>
    <s v="Regular"/>
    <x v="1"/>
    <x v="0"/>
    <x v="5"/>
    <x v="0"/>
    <x v="2"/>
    <x v="0"/>
    <x v="1"/>
    <x v="3"/>
    <n v="8020"/>
    <n v="8020"/>
    <n v="2193.9050000000002"/>
    <n v="2193.9050000000002"/>
    <n v="2193.9050000000002"/>
    <n v="2193.9050000000002"/>
    <n v="0"/>
    <x v="2"/>
    <n v="0"/>
    <n v="12"/>
    <n v="110"/>
    <n v="89"/>
    <n v="24.31"/>
    <n v="51.27"/>
    <n v="222.31"/>
    <n v="27.784726797371405"/>
    <n v="66.787442987613147"/>
    <n v="236.64237028527376"/>
    <n v="194966.19999999998"/>
    <n v="112481.50935000002"/>
    <n v="487727.02055000007"/>
    <n v="222833.50891491867"/>
    <n v="146525.30510773943"/>
    <n v="519170.87938071357"/>
  </r>
  <r>
    <s v="Refaturamento - Regular"/>
    <x v="1"/>
    <x v="0"/>
    <x v="5"/>
    <x v="0"/>
    <x v="2"/>
    <x v="0"/>
    <x v="1"/>
    <x v="3"/>
    <n v="-209"/>
    <n v="-209"/>
    <n v="75.561999999999998"/>
    <n v="75.561999999999998"/>
    <n v="75.561999999999998"/>
    <n v="75.561999999999998"/>
    <n v="0"/>
    <x v="2"/>
    <n v="0"/>
    <n v="12"/>
    <n v="110"/>
    <n v="89"/>
    <n v="24.31"/>
    <n v="51.27"/>
    <n v="222.31"/>
    <n v="27.784726797371405"/>
    <n v="66.787442987613147"/>
    <n v="236.64237028527376"/>
    <n v="-5080.79"/>
    <n v="3874.0637400000001"/>
    <n v="16798.18822"/>
    <n v="-5807.0079006506239"/>
    <n v="5046.5927670300243"/>
    <n v="17881.170783495854"/>
  </r>
  <r>
    <s v="Sistema de Compensação"/>
    <x v="1"/>
    <x v="0"/>
    <x v="5"/>
    <x v="0"/>
    <x v="2"/>
    <x v="0"/>
    <x v="1"/>
    <x v="3"/>
    <n v="270"/>
    <n v="270"/>
    <n v="62.58"/>
    <n v="62.58"/>
    <n v="62.58"/>
    <n v="62.58"/>
    <n v="0"/>
    <x v="2"/>
    <n v="0"/>
    <n v="12"/>
    <n v="110"/>
    <n v="89"/>
    <n v="24.31"/>
    <n v="51.27"/>
    <n v="222.31"/>
    <n v="27.784726797371405"/>
    <n v="66.787442987613147"/>
    <n v="236.64237028527376"/>
    <n v="6563.7"/>
    <n v="3208.4766"/>
    <n v="13912.159799999999"/>
    <n v="7501.8762352902795"/>
    <n v="4179.5581821648302"/>
    <n v="14809.079532452432"/>
  </r>
  <r>
    <s v="Regular"/>
    <x v="1"/>
    <x v="0"/>
    <x v="5"/>
    <x v="0"/>
    <x v="2"/>
    <x v="0"/>
    <x v="1"/>
    <x v="4"/>
    <n v="7796"/>
    <n v="7796"/>
    <n v="2182.826"/>
    <n v="2182.826"/>
    <n v="2182.826"/>
    <n v="2182.826"/>
    <n v="0"/>
    <x v="2"/>
    <n v="0"/>
    <n v="12"/>
    <n v="110"/>
    <n v="89"/>
    <n v="24.31"/>
    <n v="51.27"/>
    <n v="222.31"/>
    <n v="27.784726797371405"/>
    <n v="66.787442987613147"/>
    <n v="236.64237028527376"/>
    <n v="189520.75999999998"/>
    <n v="111913.48902000001"/>
    <n v="485264.04806"/>
    <n v="216609.73011230747"/>
    <n v="145785.36702687966"/>
    <n v="516549.11856032297"/>
  </r>
  <r>
    <s v="Refaturamento - Regular"/>
    <x v="1"/>
    <x v="0"/>
    <x v="5"/>
    <x v="0"/>
    <x v="2"/>
    <x v="0"/>
    <x v="1"/>
    <x v="4"/>
    <n v="0"/>
    <n v="0"/>
    <n v="-5.0519999999999996"/>
    <n v="-5.0519999999999996"/>
    <n v="-5.0519999999999996"/>
    <n v="-5.0519999999999996"/>
    <n v="0"/>
    <x v="2"/>
    <n v="0"/>
    <n v="0"/>
    <n v="110"/>
    <n v="89"/>
    <n v="0"/>
    <n v="51.27"/>
    <n v="222.31"/>
    <n v="27.784726797371405"/>
    <n v="66.787442987613147"/>
    <n v="236.64237028527376"/>
    <n v="0"/>
    <n v="-259.01603999999998"/>
    <n v="-1123.1101199999998"/>
    <n v="0"/>
    <n v="-337.41016197342157"/>
    <n v="-1195.517254681203"/>
  </r>
  <r>
    <s v="Sistema de Compensação"/>
    <x v="1"/>
    <x v="0"/>
    <x v="5"/>
    <x v="0"/>
    <x v="2"/>
    <x v="0"/>
    <x v="1"/>
    <x v="4"/>
    <n v="270"/>
    <n v="270"/>
    <n v="56.28"/>
    <n v="56.28"/>
    <n v="56.28"/>
    <n v="56.28"/>
    <n v="0"/>
    <x v="2"/>
    <n v="0"/>
    <n v="12"/>
    <n v="110"/>
    <n v="89"/>
    <n v="24.31"/>
    <n v="51.27"/>
    <n v="222.31"/>
    <n v="27.784726797371405"/>
    <n v="66.787442987613147"/>
    <n v="236.64237028527376"/>
    <n v="6563.7"/>
    <n v="2885.4756000000002"/>
    <n v="12511.6068"/>
    <n v="7501.8762352902795"/>
    <n v="3758.797291342868"/>
    <n v="13318.232599655208"/>
  </r>
  <r>
    <s v="Regular"/>
    <x v="1"/>
    <x v="0"/>
    <x v="5"/>
    <x v="0"/>
    <x v="2"/>
    <x v="0"/>
    <x v="1"/>
    <x v="5"/>
    <n v="7852"/>
    <n v="7852"/>
    <n v="2239.308"/>
    <n v="2239.308"/>
    <n v="2239.308"/>
    <n v="2239.308"/>
    <n v="0"/>
    <x v="2"/>
    <n v="0"/>
    <n v="12"/>
    <n v="110"/>
    <n v="89"/>
    <n v="24.31"/>
    <n v="51.27"/>
    <n v="222.31"/>
    <n v="27.784726797371405"/>
    <n v="66.787442987613147"/>
    <n v="236.64237028527376"/>
    <n v="190882.12"/>
    <n v="114809.32116000001"/>
    <n v="497820.56147999997"/>
    <n v="218165.67481296026"/>
    <n v="149557.65538170602"/>
    <n v="529915.1529187758"/>
  </r>
  <r>
    <s v="Sistema de Compensação"/>
    <x v="1"/>
    <x v="0"/>
    <x v="5"/>
    <x v="0"/>
    <x v="2"/>
    <x v="0"/>
    <x v="1"/>
    <x v="5"/>
    <n v="270"/>
    <n v="270"/>
    <n v="59.01"/>
    <n v="59.01"/>
    <n v="59.01"/>
    <n v="59.01"/>
    <n v="0"/>
    <x v="2"/>
    <n v="0"/>
    <n v="12"/>
    <n v="110"/>
    <n v="89"/>
    <n v="24.31"/>
    <n v="51.27"/>
    <n v="222.31"/>
    <n v="27.784726797371405"/>
    <n v="66.787442987613147"/>
    <n v="236.64237028527376"/>
    <n v="6563.7"/>
    <n v="3025.4427000000001"/>
    <n v="13118.5131"/>
    <n v="7501.8762352902795"/>
    <n v="3941.1270106990519"/>
    <n v="13964.266270534004"/>
  </r>
  <r>
    <s v="Regular"/>
    <x v="1"/>
    <x v="0"/>
    <x v="5"/>
    <x v="0"/>
    <x v="2"/>
    <x v="0"/>
    <x v="1"/>
    <x v="6"/>
    <n v="8176"/>
    <n v="8176"/>
    <n v="2561.413"/>
    <n v="2561.413"/>
    <n v="2561.413"/>
    <n v="2561.413"/>
    <n v="0"/>
    <x v="2"/>
    <n v="0"/>
    <n v="12"/>
    <n v="110"/>
    <n v="89"/>
    <n v="24.31"/>
    <n v="51.27"/>
    <n v="222.31"/>
    <n v="27.784726797371405"/>
    <n v="66.787442987613147"/>
    <n v="236.64237028527376"/>
    <n v="198758.56"/>
    <n v="131323.64451000001"/>
    <n v="569427.72403000004"/>
    <n v="227167.9262953086"/>
    <n v="171070.22470523114"/>
    <n v="606138.84359951387"/>
  </r>
  <r>
    <s v="Sistema de Compensação"/>
    <x v="1"/>
    <x v="0"/>
    <x v="5"/>
    <x v="0"/>
    <x v="2"/>
    <x v="0"/>
    <x v="1"/>
    <x v="6"/>
    <n v="270"/>
    <n v="270"/>
    <n v="64.47"/>
    <n v="64.47"/>
    <n v="64.47"/>
    <n v="64.47"/>
    <n v="0"/>
    <x v="2"/>
    <n v="0"/>
    <n v="12"/>
    <n v="110"/>
    <n v="89"/>
    <n v="24.31"/>
    <n v="51.27"/>
    <n v="222.31"/>
    <n v="27.784726797371405"/>
    <n v="66.787442987613147"/>
    <n v="236.64237028527376"/>
    <n v="6563.7"/>
    <n v="3305.3769000000002"/>
    <n v="14332.325699999999"/>
    <n v="7501.8762352902795"/>
    <n v="4305.7864494114192"/>
    <n v="15256.333612291599"/>
  </r>
  <r>
    <s v="Regular"/>
    <x v="1"/>
    <x v="0"/>
    <x v="5"/>
    <x v="0"/>
    <x v="2"/>
    <x v="0"/>
    <x v="1"/>
    <x v="7"/>
    <n v="8111"/>
    <n v="8111"/>
    <n v="2519.7860000000001"/>
    <n v="2519.7860000000001"/>
    <n v="2519.7860000000001"/>
    <n v="2519.7860000000001"/>
    <n v="0"/>
    <x v="2"/>
    <n v="0"/>
    <n v="12"/>
    <n v="110"/>
    <n v="89"/>
    <n v="24.31"/>
    <n v="51.27"/>
    <n v="222.31"/>
    <n v="27.784726797371405"/>
    <n v="66.787442987613147"/>
    <n v="236.64237028527376"/>
    <n v="197178.41"/>
    <n v="129189.42822000002"/>
    <n v="560173.62566000002"/>
    <n v="225361.91905347948"/>
    <n v="168290.06381598578"/>
    <n v="596288.13165164879"/>
  </r>
  <r>
    <s v="Regular"/>
    <x v="1"/>
    <x v="0"/>
    <x v="5"/>
    <x v="0"/>
    <x v="2"/>
    <x v="0"/>
    <x v="1"/>
    <x v="8"/>
    <n v="8119"/>
    <n v="8119"/>
    <n v="2619.7379999999998"/>
    <n v="2619.7379999999998"/>
    <n v="2619.7379999999998"/>
    <n v="2619.7379999999998"/>
    <n v="0"/>
    <x v="2"/>
    <n v="0"/>
    <n v="12"/>
    <n v="110"/>
    <n v="89"/>
    <n v="24.31"/>
    <n v="51.27"/>
    <n v="222.31"/>
    <n v="27.784726797371405"/>
    <n v="66.787442987613147"/>
    <n v="236.64237028527376"/>
    <n v="197372.88999999998"/>
    <n v="134313.96726"/>
    <n v="582393.95477999991"/>
    <n v="225584.19686785844"/>
    <n v="174965.60231748369"/>
    <n v="619941.00984640245"/>
  </r>
  <r>
    <s v="Regular"/>
    <x v="1"/>
    <x v="0"/>
    <x v="5"/>
    <x v="0"/>
    <x v="2"/>
    <x v="0"/>
    <x v="1"/>
    <x v="9"/>
    <n v="8084"/>
    <n v="8084"/>
    <n v="2640.25"/>
    <n v="2640.25"/>
    <n v="2640.25"/>
    <n v="2640.25"/>
    <n v="0"/>
    <x v="2"/>
    <n v="0"/>
    <n v="12"/>
    <n v="110"/>
    <n v="89"/>
    <n v="24.31"/>
    <n v="51.27"/>
    <n v="222.31"/>
    <n v="27.784726797371405"/>
    <n v="66.787442987613147"/>
    <n v="236.64237028527376"/>
    <n v="196522.03999999998"/>
    <n v="135365.61750000002"/>
    <n v="586953.97750000004"/>
    <n v="224611.73142995045"/>
    <n v="176335.54634804561"/>
    <n v="624795.01814569405"/>
  </r>
  <r>
    <s v="Sistema de Compensação"/>
    <x v="1"/>
    <x v="0"/>
    <x v="5"/>
    <x v="0"/>
    <x v="2"/>
    <x v="0"/>
    <x v="1"/>
    <x v="9"/>
    <n v="85"/>
    <n v="85"/>
    <n v="12.071999999999999"/>
    <n v="12.071999999999999"/>
    <n v="12.071999999999999"/>
    <n v="12.071999999999999"/>
    <n v="0"/>
    <x v="2"/>
    <n v="0"/>
    <n v="12"/>
    <n v="110"/>
    <n v="89"/>
    <n v="24.31"/>
    <n v="51.27"/>
    <n v="222.31"/>
    <n v="27.784726797371405"/>
    <n v="66.787442987613147"/>
    <n v="236.64237028527376"/>
    <n v="2066.35"/>
    <n v="618.93143999999995"/>
    <n v="2683.7263199999998"/>
    <n v="2361.7017777765695"/>
    <n v="806.25801174646585"/>
    <n v="2856.7466940838244"/>
  </r>
  <r>
    <s v="Sistema de Compensação"/>
    <x v="1"/>
    <x v="0"/>
    <x v="5"/>
    <x v="0"/>
    <x v="2"/>
    <x v="0"/>
    <x v="1"/>
    <x v="9"/>
    <n v="0"/>
    <n v="0"/>
    <n v="-0.72"/>
    <n v="-0.72"/>
    <n v="-0.72"/>
    <n v="-0.72"/>
    <n v="0"/>
    <x v="2"/>
    <n v="0"/>
    <n v="0"/>
    <n v="110"/>
    <n v="89"/>
    <n v="0"/>
    <n v="51.27"/>
    <n v="222.31"/>
    <n v="27.784726797371405"/>
    <n v="66.787442987613147"/>
    <n v="236.64237028527376"/>
    <n v="0"/>
    <n v="-36.914400000000001"/>
    <n v="-160.06319999999999"/>
    <n v="0"/>
    <n v="-48.086958951081463"/>
    <n v="-170.38250660539711"/>
  </r>
  <r>
    <s v="Regular"/>
    <x v="1"/>
    <x v="0"/>
    <x v="5"/>
    <x v="0"/>
    <x v="2"/>
    <x v="0"/>
    <x v="1"/>
    <x v="10"/>
    <n v="8250"/>
    <n v="8250"/>
    <n v="2522.1080000000002"/>
    <n v="2522.1080000000002"/>
    <n v="2522.1080000000002"/>
    <n v="2522.1080000000002"/>
    <n v="0"/>
    <x v="2"/>
    <n v="0"/>
    <n v="12"/>
    <n v="110"/>
    <n v="89"/>
    <n v="24.31"/>
    <n v="51.27"/>
    <n v="222.31"/>
    <n v="27.784726797371405"/>
    <n v="66.787442987613147"/>
    <n v="236.64237028527376"/>
    <n v="200557.5"/>
    <n v="129308.47716000002"/>
    <n v="560689.82948000007"/>
    <n v="229223.99607831409"/>
    <n v="168445.14425860302"/>
    <n v="596837.61523545126"/>
  </r>
  <r>
    <s v="Refaturamento - Regular"/>
    <x v="1"/>
    <x v="0"/>
    <x v="5"/>
    <x v="0"/>
    <x v="2"/>
    <x v="0"/>
    <x v="1"/>
    <x v="10"/>
    <n v="91"/>
    <n v="91"/>
    <n v="33.411999999999999"/>
    <n v="33.411999999999999"/>
    <n v="33.411999999999999"/>
    <n v="33.411999999999999"/>
    <n v="0"/>
    <x v="2"/>
    <n v="0"/>
    <n v="12"/>
    <n v="110"/>
    <n v="89"/>
    <n v="24.31"/>
    <n v="51.27"/>
    <n v="222.31"/>
    <n v="27.784726797371405"/>
    <n v="66.787442987613147"/>
    <n v="236.64237028527376"/>
    <n v="2212.21"/>
    <n v="1713.03324"/>
    <n v="7427.8217199999999"/>
    <n v="2528.4101385607978"/>
    <n v="2231.5020451021305"/>
    <n v="7906.6948759715669"/>
  </r>
  <r>
    <s v="PROJETADO"/>
    <x v="1"/>
    <x v="0"/>
    <x v="5"/>
    <x v="0"/>
    <x v="2"/>
    <x v="0"/>
    <x v="1"/>
    <x v="11"/>
    <n v="8250"/>
    <n v="8250"/>
    <n v="2522.1080000000002"/>
    <n v="2522.1080000000002"/>
    <n v="2522.1080000000002"/>
    <n v="2522.1080000000002"/>
    <n v="0"/>
    <x v="2"/>
    <n v="0"/>
    <n v="12"/>
    <n v="110"/>
    <n v="89"/>
    <n v="24.31"/>
    <n v="51.27"/>
    <n v="222.31"/>
    <n v="27.784726797371405"/>
    <n v="66.787442987613147"/>
    <n v="236.64237028527376"/>
    <n v="200557.5"/>
    <n v="129308.47716000002"/>
    <n v="560689.82948000007"/>
    <n v="229223.99607831409"/>
    <n v="168445.14425860302"/>
    <n v="596837.61523545126"/>
  </r>
  <r>
    <s v="PROJETADO"/>
    <x v="1"/>
    <x v="0"/>
    <x v="5"/>
    <x v="0"/>
    <x v="2"/>
    <x v="0"/>
    <x v="1"/>
    <x v="11"/>
    <n v="91"/>
    <n v="91"/>
    <n v="33.411999999999999"/>
    <n v="33.411999999999999"/>
    <n v="33.411999999999999"/>
    <n v="33.411999999999999"/>
    <n v="0"/>
    <x v="2"/>
    <n v="0"/>
    <n v="12"/>
    <n v="110"/>
    <n v="89"/>
    <n v="24.31"/>
    <n v="51.27"/>
    <n v="222.31"/>
    <n v="27.784726797371405"/>
    <n v="66.787442987613147"/>
    <n v="236.64237028527376"/>
    <n v="2212.21"/>
    <n v="1713.03324"/>
    <n v="7427.8217199999999"/>
    <n v="2528.4101385607978"/>
    <n v="2231.5020451021305"/>
    <n v="7906.6948759715669"/>
  </r>
  <r>
    <s v="Regular"/>
    <x v="1"/>
    <x v="0"/>
    <x v="5"/>
    <x v="0"/>
    <x v="2"/>
    <x v="0"/>
    <x v="2"/>
    <x v="0"/>
    <n v="7124"/>
    <n v="7124"/>
    <n v="246.08099999999999"/>
    <n v="246.08099999999999"/>
    <n v="246.08099999999999"/>
    <n v="246.08099999999999"/>
    <n v="0"/>
    <x v="2"/>
    <n v="0"/>
    <n v="11"/>
    <n v="110"/>
    <n v="88"/>
    <n v="62.23"/>
    <n v="51.27"/>
    <n v="365.5"/>
    <n v="76.426473864517376"/>
    <n v="66.787442987613147"/>
    <n v="382.75425465660959"/>
    <n v="443326.51999999996"/>
    <n v="12616.57287"/>
    <n v="89942.605499999991"/>
    <n v="544462.1998108218"/>
    <n v="16435.120757834829"/>
    <n v="94188.549740153147"/>
  </r>
  <r>
    <s v="Sistema de Compensação"/>
    <x v="1"/>
    <x v="0"/>
    <x v="5"/>
    <x v="0"/>
    <x v="2"/>
    <x v="0"/>
    <x v="2"/>
    <x v="0"/>
    <n v="273"/>
    <n v="273"/>
    <n v="10.85"/>
    <n v="10.85"/>
    <n v="10.85"/>
    <n v="10.85"/>
    <n v="0"/>
    <x v="2"/>
    <n v="0"/>
    <n v="11"/>
    <n v="110"/>
    <n v="88"/>
    <n v="62.23"/>
    <n v="51.27"/>
    <n v="365.5"/>
    <n v="76.426473864517376"/>
    <n v="66.787442987613147"/>
    <n v="382.75425465660959"/>
    <n v="16988.79"/>
    <n v="556.27949999999998"/>
    <n v="3965.6749999999997"/>
    <n v="20864.427365013245"/>
    <n v="724.64375641560264"/>
    <n v="4152.883663024214"/>
  </r>
  <r>
    <s v="Regular"/>
    <x v="1"/>
    <x v="0"/>
    <x v="5"/>
    <x v="0"/>
    <x v="2"/>
    <x v="0"/>
    <x v="2"/>
    <x v="1"/>
    <n v="7408"/>
    <n v="7408"/>
    <n v="251.47200000000001"/>
    <n v="251.47200000000001"/>
    <n v="251.47200000000001"/>
    <n v="251.47200000000001"/>
    <n v="0"/>
    <x v="2"/>
    <n v="0"/>
    <n v="11"/>
    <n v="110"/>
    <n v="88"/>
    <n v="62.23"/>
    <n v="51.27"/>
    <n v="365.5"/>
    <n v="76.426473864517376"/>
    <n v="66.787442987613147"/>
    <n v="382.75425465660959"/>
    <n v="460999.83999999997"/>
    <n v="12892.969440000001"/>
    <n v="91913.016000000003"/>
    <n v="566167.31838834472"/>
    <n v="16795.171862981053"/>
    <n v="96251.977927006927"/>
  </r>
  <r>
    <s v="Sistema de Compensação"/>
    <x v="1"/>
    <x v="0"/>
    <x v="5"/>
    <x v="0"/>
    <x v="2"/>
    <x v="0"/>
    <x v="2"/>
    <x v="1"/>
    <n v="273"/>
    <n v="273"/>
    <n v="10.99"/>
    <n v="10.99"/>
    <n v="10.99"/>
    <n v="10.99"/>
    <n v="0"/>
    <x v="2"/>
    <n v="0"/>
    <n v="11"/>
    <n v="110"/>
    <n v="88"/>
    <n v="62.23"/>
    <n v="51.27"/>
    <n v="365.5"/>
    <n v="76.426473864517376"/>
    <n v="66.787442987613147"/>
    <n v="382.75425465660959"/>
    <n v="16988.79"/>
    <n v="563.45730000000003"/>
    <n v="4016.8450000000003"/>
    <n v="20864.427365013245"/>
    <n v="733.99399843386846"/>
    <n v="4206.4692586761394"/>
  </r>
  <r>
    <s v="Regular"/>
    <x v="1"/>
    <x v="0"/>
    <x v="5"/>
    <x v="0"/>
    <x v="2"/>
    <x v="0"/>
    <x v="2"/>
    <x v="2"/>
    <n v="7275"/>
    <n v="7275"/>
    <n v="232.554"/>
    <n v="232.554"/>
    <n v="232.554"/>
    <n v="232.554"/>
    <n v="0"/>
    <x v="2"/>
    <n v="0"/>
    <n v="11"/>
    <n v="110"/>
    <n v="88"/>
    <n v="62.23"/>
    <n v="51.27"/>
    <n v="365.5"/>
    <n v="76.426473864517376"/>
    <n v="66.787442987613147"/>
    <n v="382.75425465660959"/>
    <n v="452723.25"/>
    <n v="11923.043580000001"/>
    <n v="84998.486999999994"/>
    <n v="556002.59736436396"/>
    <n v="15531.687016541387"/>
    <n v="89011.032937413183"/>
  </r>
  <r>
    <s v="Sistema de Compensação"/>
    <x v="1"/>
    <x v="0"/>
    <x v="5"/>
    <x v="0"/>
    <x v="2"/>
    <x v="0"/>
    <x v="2"/>
    <x v="2"/>
    <n v="250"/>
    <n v="250"/>
    <n v="9.8699999999999992"/>
    <n v="9.8699999999999992"/>
    <n v="9.8699999999999992"/>
    <n v="9.8699999999999992"/>
    <n v="0"/>
    <x v="2"/>
    <n v="0"/>
    <n v="11"/>
    <n v="110"/>
    <n v="88"/>
    <n v="62.23"/>
    <n v="51.27"/>
    <n v="365.5"/>
    <n v="76.426473864517376"/>
    <n v="66.787442987613147"/>
    <n v="382.75425465660959"/>
    <n v="15557.5"/>
    <n v="506.03489999999999"/>
    <n v="3607.4849999999997"/>
    <n v="19106.618466129345"/>
    <n v="659.19206228774169"/>
    <n v="3777.7844934607365"/>
  </r>
  <r>
    <s v="Regular"/>
    <x v="1"/>
    <x v="0"/>
    <x v="5"/>
    <x v="0"/>
    <x v="2"/>
    <x v="0"/>
    <x v="2"/>
    <x v="3"/>
    <n v="6717"/>
    <n v="6717"/>
    <n v="227.59299999999999"/>
    <n v="227.59299999999999"/>
    <n v="227.59299999999999"/>
    <n v="227.59299999999999"/>
    <n v="0"/>
    <x v="2"/>
    <n v="0"/>
    <n v="11"/>
    <n v="110"/>
    <n v="88"/>
    <n v="62.23"/>
    <n v="51.27"/>
    <n v="365.5"/>
    <n v="76.426473864517376"/>
    <n v="66.787442987613147"/>
    <n v="382.75425465660959"/>
    <n v="417998.91"/>
    <n v="11668.69311"/>
    <n v="83185.241499999989"/>
    <n v="513356.62494796322"/>
    <n v="15200.354511879837"/>
    <n v="87112.18908006174"/>
  </r>
  <r>
    <s v="Refaturamento - Regular"/>
    <x v="1"/>
    <x v="0"/>
    <x v="5"/>
    <x v="0"/>
    <x v="2"/>
    <x v="0"/>
    <x v="2"/>
    <x v="3"/>
    <n v="-41"/>
    <n v="-41"/>
    <n v="10.605"/>
    <n v="10.605"/>
    <n v="10.605"/>
    <n v="10.605"/>
    <n v="0"/>
    <x v="2"/>
    <n v="0"/>
    <n v="11"/>
    <n v="110"/>
    <n v="88"/>
    <n v="62.23"/>
    <n v="51.27"/>
    <n v="365.5"/>
    <n v="76.426473864517376"/>
    <n v="66.787442987613147"/>
    <n v="382.75425465660959"/>
    <n v="-2551.4299999999998"/>
    <n v="543.7183500000001"/>
    <n v="3876.1275000000001"/>
    <n v="-3133.4854284452126"/>
    <n v="708.28083288363746"/>
    <n v="4059.1088706333448"/>
  </r>
  <r>
    <s v="Sistema de Compensação"/>
    <x v="1"/>
    <x v="0"/>
    <x v="5"/>
    <x v="0"/>
    <x v="2"/>
    <x v="0"/>
    <x v="2"/>
    <x v="3"/>
    <n v="250"/>
    <n v="250"/>
    <n v="10.29"/>
    <n v="10.29"/>
    <n v="10.29"/>
    <n v="10.29"/>
    <n v="0"/>
    <x v="2"/>
    <n v="0"/>
    <n v="11"/>
    <n v="110"/>
    <n v="88"/>
    <n v="62.23"/>
    <n v="51.27"/>
    <n v="365.5"/>
    <n v="76.426473864517376"/>
    <n v="66.787442987613147"/>
    <n v="382.75425465660959"/>
    <n v="15557.5"/>
    <n v="527.56830000000002"/>
    <n v="3760.9949999999999"/>
    <n v="19106.618466129345"/>
    <n v="687.24278834253926"/>
    <n v="3938.5412804165126"/>
  </r>
  <r>
    <s v="Regular"/>
    <x v="1"/>
    <x v="0"/>
    <x v="5"/>
    <x v="0"/>
    <x v="2"/>
    <x v="0"/>
    <x v="2"/>
    <x v="4"/>
    <n v="6720"/>
    <n v="6720"/>
    <n v="235.00700000000001"/>
    <n v="235.00700000000001"/>
    <n v="235.00700000000001"/>
    <n v="235.00700000000001"/>
    <n v="0"/>
    <x v="2"/>
    <n v="0"/>
    <n v="11"/>
    <n v="110"/>
    <n v="88"/>
    <n v="62.23"/>
    <n v="51.27"/>
    <n v="365.5"/>
    <n v="76.426473864517376"/>
    <n v="66.787442987613147"/>
    <n v="382.75425465660959"/>
    <n v="418185.6"/>
    <n v="12048.80889"/>
    <n v="85895.058499999999"/>
    <n v="513585.90436955675"/>
    <n v="15695.516614190003"/>
    <n v="89949.929124085858"/>
  </r>
  <r>
    <s v="Refaturamento - Regular"/>
    <x v="1"/>
    <x v="0"/>
    <x v="5"/>
    <x v="0"/>
    <x v="2"/>
    <x v="0"/>
    <x v="2"/>
    <x v="4"/>
    <n v="0"/>
    <n v="0"/>
    <n v="-0.309"/>
    <n v="-0.309"/>
    <n v="-0.309"/>
    <n v="-0.309"/>
    <n v="0"/>
    <x v="2"/>
    <n v="0"/>
    <n v="0"/>
    <n v="110"/>
    <n v="88"/>
    <n v="0"/>
    <n v="51.27"/>
    <n v="365.5"/>
    <n v="76.426473864517376"/>
    <n v="66.787442987613147"/>
    <n v="382.75425465660959"/>
    <n v="0"/>
    <n v="-15.84243"/>
    <n v="-112.9395"/>
    <n v="0"/>
    <n v="-20.637319883172463"/>
    <n v="-118.27106468889237"/>
  </r>
  <r>
    <s v="Sistema de Compensação"/>
    <x v="1"/>
    <x v="0"/>
    <x v="5"/>
    <x v="0"/>
    <x v="2"/>
    <x v="0"/>
    <x v="2"/>
    <x v="4"/>
    <n v="250"/>
    <n v="250"/>
    <n v="10.5"/>
    <n v="10.5"/>
    <n v="10.5"/>
    <n v="10.5"/>
    <n v="0"/>
    <x v="2"/>
    <n v="0"/>
    <n v="11"/>
    <n v="110"/>
    <n v="88"/>
    <n v="62.23"/>
    <n v="51.27"/>
    <n v="365.5"/>
    <n v="76.426473864517376"/>
    <n v="66.787442987613147"/>
    <n v="382.75425465660959"/>
    <n v="15557.5"/>
    <n v="538.33500000000004"/>
    <n v="3837.75"/>
    <n v="19106.618466129345"/>
    <n v="701.2681513699381"/>
    <n v="4018.9196738944006"/>
  </r>
  <r>
    <s v="Regular"/>
    <x v="1"/>
    <x v="0"/>
    <x v="5"/>
    <x v="0"/>
    <x v="2"/>
    <x v="0"/>
    <x v="2"/>
    <x v="5"/>
    <n v="6749"/>
    <n v="6749"/>
    <n v="238.81299999999999"/>
    <n v="238.81299999999999"/>
    <n v="238.81299999999999"/>
    <n v="238.81299999999999"/>
    <n v="0"/>
    <x v="2"/>
    <n v="0"/>
    <n v="11"/>
    <n v="110"/>
    <n v="88"/>
    <n v="62.23"/>
    <n v="51.27"/>
    <n v="365.5"/>
    <n v="76.426473864517376"/>
    <n v="66.787442987613147"/>
    <n v="382.75425465660959"/>
    <n v="419990.26999999996"/>
    <n v="12243.942510000001"/>
    <n v="87286.151499999993"/>
    <n v="515802.2721116278"/>
    <n v="15949.709622200859"/>
    <n v="91406.691817308907"/>
  </r>
  <r>
    <s v="Sistema de Compensação"/>
    <x v="1"/>
    <x v="0"/>
    <x v="5"/>
    <x v="0"/>
    <x v="2"/>
    <x v="0"/>
    <x v="2"/>
    <x v="5"/>
    <n v="250"/>
    <n v="250"/>
    <n v="10.5"/>
    <n v="10.5"/>
    <n v="10.5"/>
    <n v="10.5"/>
    <n v="0"/>
    <x v="2"/>
    <n v="0"/>
    <n v="11"/>
    <n v="110"/>
    <n v="88"/>
    <n v="62.23"/>
    <n v="51.27"/>
    <n v="365.5"/>
    <n v="76.426473864517376"/>
    <n v="66.787442987613147"/>
    <n v="382.75425465660959"/>
    <n v="15557.5"/>
    <n v="538.33500000000004"/>
    <n v="3837.75"/>
    <n v="19106.618466129345"/>
    <n v="701.2681513699381"/>
    <n v="4018.9196738944006"/>
  </r>
  <r>
    <s v="Regular"/>
    <x v="1"/>
    <x v="0"/>
    <x v="5"/>
    <x v="0"/>
    <x v="2"/>
    <x v="0"/>
    <x v="2"/>
    <x v="6"/>
    <n v="7064"/>
    <n v="7064"/>
    <n v="247.87299999999999"/>
    <n v="247.87299999999999"/>
    <n v="247.87299999999999"/>
    <n v="247.87299999999999"/>
    <n v="0"/>
    <x v="2"/>
    <n v="0"/>
    <n v="11"/>
    <n v="110"/>
    <n v="88"/>
    <n v="62.23"/>
    <n v="51.27"/>
    <n v="365.5"/>
    <n v="76.426473864517376"/>
    <n v="66.787442987613147"/>
    <n v="382.75425465660959"/>
    <n v="439592.72"/>
    <n v="12708.448710000001"/>
    <n v="90597.5815"/>
    <n v="539876.61137895077"/>
    <n v="16554.803855668633"/>
    <n v="94874.445364497791"/>
  </r>
  <r>
    <s v="Sistema de Compensação"/>
    <x v="1"/>
    <x v="0"/>
    <x v="5"/>
    <x v="0"/>
    <x v="2"/>
    <x v="0"/>
    <x v="2"/>
    <x v="6"/>
    <n v="250"/>
    <n v="250"/>
    <n v="10.71"/>
    <n v="10.71"/>
    <n v="10.71"/>
    <n v="10.71"/>
    <n v="0"/>
    <x v="2"/>
    <n v="0"/>
    <n v="11"/>
    <n v="110"/>
    <n v="88"/>
    <n v="62.23"/>
    <n v="51.27"/>
    <n v="365.5"/>
    <n v="76.426473864517376"/>
    <n v="66.787442987613147"/>
    <n v="382.75425465660959"/>
    <n v="15557.5"/>
    <n v="549.10170000000005"/>
    <n v="3914.5050000000001"/>
    <n v="19106.618466129345"/>
    <n v="715.29351439733682"/>
    <n v="4099.2980673722886"/>
  </r>
  <r>
    <s v="Regular"/>
    <x v="1"/>
    <x v="0"/>
    <x v="5"/>
    <x v="0"/>
    <x v="2"/>
    <x v="0"/>
    <x v="2"/>
    <x v="7"/>
    <n v="7049"/>
    <n v="7049"/>
    <n v="251.01900000000001"/>
    <n v="251.01900000000001"/>
    <n v="251.01900000000001"/>
    <n v="251.01900000000001"/>
    <n v="0"/>
    <x v="2"/>
    <n v="0"/>
    <n v="11"/>
    <n v="110"/>
    <n v="88"/>
    <n v="62.23"/>
    <n v="51.27"/>
    <n v="365.5"/>
    <n v="76.426473864517376"/>
    <n v="66.787442987613147"/>
    <n v="382.75425465660959"/>
    <n v="438659.26999999996"/>
    <n v="12869.744130000001"/>
    <n v="91747.444499999998"/>
    <n v="538730.21427098301"/>
    <n v="16764.917151307665"/>
    <n v="96078.590249647488"/>
  </r>
  <r>
    <s v="Regular"/>
    <x v="1"/>
    <x v="0"/>
    <x v="5"/>
    <x v="0"/>
    <x v="2"/>
    <x v="0"/>
    <x v="2"/>
    <x v="8"/>
    <n v="7020"/>
    <n v="7020"/>
    <n v="285.47399999999999"/>
    <n v="285.47399999999999"/>
    <n v="285.47399999999999"/>
    <n v="285.47399999999999"/>
    <n v="0"/>
    <x v="2"/>
    <n v="0"/>
    <n v="11"/>
    <n v="110"/>
    <n v="88"/>
    <n v="62.23"/>
    <n v="51.27"/>
    <n v="365.5"/>
    <n v="76.426473864517376"/>
    <n v="66.787442987613147"/>
    <n v="382.75425465660959"/>
    <n v="436854.6"/>
    <n v="14636.251980000001"/>
    <n v="104340.747"/>
    <n v="536513.84652891196"/>
    <n v="19066.078499445874"/>
    <n v="109266.38809384096"/>
  </r>
  <r>
    <s v="Regular"/>
    <x v="1"/>
    <x v="0"/>
    <x v="5"/>
    <x v="0"/>
    <x v="2"/>
    <x v="0"/>
    <x v="2"/>
    <x v="9"/>
    <n v="6939"/>
    <n v="6939"/>
    <n v="274.18099999999998"/>
    <n v="274.18099999999998"/>
    <n v="274.18099999999998"/>
    <n v="274.18099999999998"/>
    <n v="0"/>
    <x v="2"/>
    <n v="0"/>
    <n v="11"/>
    <n v="110"/>
    <n v="88"/>
    <n v="62.23"/>
    <n v="51.27"/>
    <n v="365.5"/>
    <n v="76.426473864517376"/>
    <n v="66.787442987613147"/>
    <n v="382.75425465660959"/>
    <n v="431813.97"/>
    <n v="14057.25987"/>
    <n v="100213.15549999999"/>
    <n v="530323.30214588612"/>
    <n v="18311.847905786759"/>
    <n v="104943.94429600387"/>
  </r>
  <r>
    <s v="Sistema de Compensação"/>
    <x v="1"/>
    <x v="0"/>
    <x v="5"/>
    <x v="0"/>
    <x v="2"/>
    <x v="0"/>
    <x v="2"/>
    <x v="9"/>
    <n v="75"/>
    <n v="75"/>
    <n v="2.786"/>
    <n v="2.786"/>
    <n v="2.786"/>
    <n v="2.786"/>
    <n v="0"/>
    <x v="2"/>
    <n v="0"/>
    <n v="11"/>
    <n v="110"/>
    <n v="88"/>
    <n v="62.23"/>
    <n v="51.27"/>
    <n v="365.5"/>
    <n v="76.426473864517376"/>
    <n v="66.787442987613147"/>
    <n v="382.75425465660959"/>
    <n v="4667.25"/>
    <n v="142.83822000000001"/>
    <n v="1018.283"/>
    <n v="5731.9855398388036"/>
    <n v="186.06981616349023"/>
    <n v="1066.3533534733144"/>
  </r>
  <r>
    <s v="Regular"/>
    <x v="1"/>
    <x v="0"/>
    <x v="5"/>
    <x v="0"/>
    <x v="2"/>
    <x v="0"/>
    <x v="2"/>
    <x v="10"/>
    <n v="7064"/>
    <n v="7064"/>
    <n v="267.75"/>
    <n v="267.75"/>
    <n v="267.75"/>
    <n v="267.75"/>
    <n v="0"/>
    <x v="2"/>
    <n v="0"/>
    <n v="11"/>
    <n v="110"/>
    <n v="88"/>
    <n v="62.23"/>
    <n v="51.27"/>
    <n v="365.5"/>
    <n v="76.426473864517376"/>
    <n v="66.787442987613147"/>
    <n v="382.75425465660959"/>
    <n v="439592.72"/>
    <n v="13727.542500000001"/>
    <n v="97862.625"/>
    <n v="539876.61137895077"/>
    <n v="17882.337859933421"/>
    <n v="102482.45168430722"/>
  </r>
  <r>
    <s v="Refaturamento - Regular"/>
    <x v="1"/>
    <x v="0"/>
    <x v="5"/>
    <x v="0"/>
    <x v="2"/>
    <x v="0"/>
    <x v="2"/>
    <x v="10"/>
    <n v="80"/>
    <n v="80"/>
    <n v="4.4420000000000002"/>
    <n v="4.4420000000000002"/>
    <n v="4.4420000000000002"/>
    <n v="4.4420000000000002"/>
    <n v="0"/>
    <x v="2"/>
    <n v="0"/>
    <n v="11"/>
    <n v="110"/>
    <n v="88"/>
    <n v="62.23"/>
    <n v="51.27"/>
    <n v="365.5"/>
    <n v="76.426473864517376"/>
    <n v="66.787442987613147"/>
    <n v="382.75425465660959"/>
    <n v="4978.3999999999996"/>
    <n v="227.74134000000004"/>
    <n v="1623.5510000000002"/>
    <n v="6114.1179091613903"/>
    <n v="296.66982175097763"/>
    <n v="1700.1943991846599"/>
  </r>
  <r>
    <s v="PROJETADO"/>
    <x v="1"/>
    <x v="0"/>
    <x v="5"/>
    <x v="0"/>
    <x v="2"/>
    <x v="0"/>
    <x v="2"/>
    <x v="11"/>
    <n v="7064"/>
    <n v="7064"/>
    <n v="267.75"/>
    <n v="267.75"/>
    <n v="267.75"/>
    <n v="267.75"/>
    <n v="0"/>
    <x v="2"/>
    <n v="0"/>
    <n v="11"/>
    <n v="110"/>
    <n v="88"/>
    <n v="62.23"/>
    <n v="51.27"/>
    <n v="365.5"/>
    <n v="76.426473864517376"/>
    <n v="66.787442987613147"/>
    <n v="382.75425465660959"/>
    <n v="439592.72"/>
    <n v="13727.542500000001"/>
    <n v="97862.625"/>
    <n v="539876.61137895077"/>
    <n v="17882.337859933421"/>
    <n v="102482.45168430722"/>
  </r>
  <r>
    <s v="PROJETADO"/>
    <x v="1"/>
    <x v="0"/>
    <x v="5"/>
    <x v="0"/>
    <x v="2"/>
    <x v="0"/>
    <x v="2"/>
    <x v="11"/>
    <n v="80"/>
    <n v="80"/>
    <n v="4.4420000000000002"/>
    <n v="4.4420000000000002"/>
    <n v="4.4420000000000002"/>
    <n v="4.4420000000000002"/>
    <n v="0"/>
    <x v="2"/>
    <n v="0"/>
    <n v="11"/>
    <n v="110"/>
    <n v="88"/>
    <n v="62.23"/>
    <n v="51.27"/>
    <n v="365.5"/>
    <n v="76.426473864517376"/>
    <n v="66.787442987613147"/>
    <n v="382.75425465660959"/>
    <n v="4978.3999999999996"/>
    <n v="227.74134000000004"/>
    <n v="1623.5510000000002"/>
    <n v="6114.1179091613903"/>
    <n v="296.66982175097763"/>
    <n v="1700.1943991846599"/>
  </r>
  <r>
    <s v="Regular"/>
    <x v="1"/>
    <x v="0"/>
    <x v="0"/>
    <x v="0"/>
    <x v="1"/>
    <x v="0"/>
    <x v="1"/>
    <x v="0"/>
    <n v="25789"/>
    <n v="13282.53083593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22898.32462145831"/>
    <n v="0"/>
    <n v="0"/>
    <n v="369051.49045397626"/>
    <n v="0"/>
    <n v="0"/>
  </r>
  <r>
    <s v="Regular"/>
    <x v="1"/>
    <x v="0"/>
    <x v="0"/>
    <x v="0"/>
    <x v="1"/>
    <x v="0"/>
    <x v="1"/>
    <x v="1"/>
    <n v="25686"/>
    <n v="13354.910421299999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24657.87234180298"/>
    <n v="0"/>
    <n v="0"/>
    <n v="371062.53745918872"/>
    <n v="0"/>
    <n v="0"/>
  </r>
  <r>
    <s v="Regular"/>
    <x v="1"/>
    <x v="0"/>
    <x v="0"/>
    <x v="0"/>
    <x v="1"/>
    <x v="0"/>
    <x v="1"/>
    <x v="2"/>
    <n v="27204"/>
    <n v="14085.476016959999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42417.9219722976"/>
    <n v="0"/>
    <n v="0"/>
    <n v="391361.10294216074"/>
    <n v="0"/>
    <n v="0"/>
  </r>
  <r>
    <s v="Regular"/>
    <x v="1"/>
    <x v="0"/>
    <x v="0"/>
    <x v="0"/>
    <x v="1"/>
    <x v="0"/>
    <x v="1"/>
    <x v="3"/>
    <n v="27052"/>
    <n v="13257.480495399999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22289.35084317398"/>
    <n v="0"/>
    <n v="0"/>
    <n v="368355.47358616907"/>
    <n v="0"/>
    <n v="0"/>
  </r>
  <r>
    <s v="Regular"/>
    <x v="1"/>
    <x v="0"/>
    <x v="0"/>
    <x v="0"/>
    <x v="1"/>
    <x v="0"/>
    <x v="1"/>
    <x v="4"/>
    <n v="26095"/>
    <n v="12713.1844294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09057.51347871398"/>
    <n v="0"/>
    <n v="0"/>
    <n v="353232.35609547509"/>
    <n v="0"/>
    <n v="0"/>
  </r>
  <r>
    <s v="Regular"/>
    <x v="1"/>
    <x v="0"/>
    <x v="0"/>
    <x v="0"/>
    <x v="1"/>
    <x v="0"/>
    <x v="1"/>
    <x v="5"/>
    <n v="33633"/>
    <n v="16272.3651462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95581.19670412195"/>
    <n v="0"/>
    <n v="0"/>
    <n v="452123.21993423562"/>
    <n v="0"/>
    <n v="0"/>
  </r>
  <r>
    <s v="Regular"/>
    <x v="1"/>
    <x v="0"/>
    <x v="0"/>
    <x v="0"/>
    <x v="1"/>
    <x v="0"/>
    <x v="1"/>
    <x v="6"/>
    <n v="34601"/>
    <n v="16801.641120529999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08447.89564008429"/>
    <n v="0"/>
    <n v="0"/>
    <n v="466829.00828140718"/>
    <n v="0"/>
    <n v="0"/>
  </r>
  <r>
    <s v="Regular"/>
    <x v="1"/>
    <x v="0"/>
    <x v="0"/>
    <x v="0"/>
    <x v="1"/>
    <x v="0"/>
    <x v="1"/>
    <x v="7"/>
    <n v="34803"/>
    <n v="17489.772937080001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25176.3801004148"/>
    <n v="0"/>
    <n v="0"/>
    <n v="485948.56280482787"/>
    <n v="0"/>
    <n v="0"/>
  </r>
  <r>
    <s v="Refaturamento - Regular"/>
    <x v="1"/>
    <x v="0"/>
    <x v="0"/>
    <x v="0"/>
    <x v="1"/>
    <x v="0"/>
    <x v="1"/>
    <x v="7"/>
    <n v="-376"/>
    <n v="-376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-9140.56"/>
    <n v="0"/>
    <n v="0"/>
    <n v="-10447.057275811649"/>
    <n v="0"/>
    <n v="0"/>
  </r>
  <r>
    <s v="Regular"/>
    <x v="1"/>
    <x v="0"/>
    <x v="0"/>
    <x v="0"/>
    <x v="1"/>
    <x v="0"/>
    <x v="1"/>
    <x v="8"/>
    <n v="36518"/>
    <n v="18580.92881116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51702.37939929956"/>
    <n v="0"/>
    <n v="0"/>
    <n v="516266.03065948765"/>
    <n v="0"/>
    <n v="0"/>
  </r>
  <r>
    <s v="Regular"/>
    <x v="1"/>
    <x v="0"/>
    <x v="0"/>
    <x v="0"/>
    <x v="1"/>
    <x v="0"/>
    <x v="1"/>
    <x v="9"/>
    <n v="37776"/>
    <n v="18892.51536528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59277.04852995678"/>
    <n v="0"/>
    <n v="0"/>
    <n v="524923.37793944625"/>
    <n v="0"/>
    <n v="0"/>
  </r>
  <r>
    <s v="Regular"/>
    <x v="1"/>
    <x v="0"/>
    <x v="0"/>
    <x v="0"/>
    <x v="1"/>
    <x v="0"/>
    <x v="1"/>
    <x v="10"/>
    <n v="37986"/>
    <n v="19186.316072040001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66419.34371129237"/>
    <n v="0"/>
    <n v="0"/>
    <n v="533086.55030964746"/>
    <n v="0"/>
    <n v="0"/>
  </r>
  <r>
    <s v="PROJETADO"/>
    <x v="1"/>
    <x v="0"/>
    <x v="0"/>
    <x v="0"/>
    <x v="1"/>
    <x v="0"/>
    <x v="1"/>
    <x v="11"/>
    <n v="37986"/>
    <n v="19186.316072040001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466419.34371129237"/>
    <n v="0"/>
    <n v="0"/>
    <n v="533086.55030964746"/>
    <n v="0"/>
    <n v="0"/>
  </r>
  <r>
    <s v="Regular"/>
    <x v="1"/>
    <x v="0"/>
    <x v="0"/>
    <x v="0"/>
    <x v="1"/>
    <x v="0"/>
    <x v="0"/>
    <x v="0"/>
    <n v="0"/>
    <n v="0"/>
    <n v="12317.14"/>
    <n v="12317.14"/>
    <n v="0"/>
    <n v="0"/>
    <n v="49"/>
    <x v="1"/>
    <n v="0"/>
    <n v="0"/>
    <n v="110"/>
    <n v="0"/>
    <n v="0"/>
    <n v="51.27"/>
    <n v="0"/>
    <m/>
    <n v="66.787442987613147"/>
    <m/>
    <n v="0"/>
    <n v="631499.76780000003"/>
    <n v="0"/>
    <n v="0"/>
    <n v="822630.2855204494"/>
    <n v="0"/>
  </r>
  <r>
    <s v="Regular"/>
    <x v="1"/>
    <x v="0"/>
    <x v="0"/>
    <x v="0"/>
    <x v="1"/>
    <x v="0"/>
    <x v="0"/>
    <x v="1"/>
    <n v="0"/>
    <n v="0"/>
    <n v="10867.904"/>
    <n v="10867.904"/>
    <n v="0"/>
    <n v="0"/>
    <n v="49"/>
    <x v="1"/>
    <n v="0"/>
    <n v="0"/>
    <n v="110"/>
    <n v="0"/>
    <n v="0"/>
    <n v="51.27"/>
    <n v="0"/>
    <m/>
    <n v="66.787442987613147"/>
    <m/>
    <n v="0"/>
    <n v="557197.43808000011"/>
    <n v="0"/>
    <n v="0"/>
    <n v="725839.51879485289"/>
    <n v="0"/>
  </r>
  <r>
    <s v="Regular"/>
    <x v="1"/>
    <x v="0"/>
    <x v="0"/>
    <x v="0"/>
    <x v="1"/>
    <x v="0"/>
    <x v="0"/>
    <x v="2"/>
    <n v="0"/>
    <n v="0"/>
    <n v="12202.246999999999"/>
    <n v="12202.246999999999"/>
    <n v="0"/>
    <n v="0"/>
    <n v="50"/>
    <x v="1"/>
    <n v="0"/>
    <n v="0"/>
    <n v="110"/>
    <n v="0"/>
    <n v="0"/>
    <n v="51.27"/>
    <n v="0"/>
    <m/>
    <n v="66.787442987613147"/>
    <m/>
    <n v="0"/>
    <n v="625609.20368999999"/>
    <n v="0"/>
    <n v="0"/>
    <n v="814956.87583327352"/>
    <n v="0"/>
  </r>
  <r>
    <s v="Regular"/>
    <x v="1"/>
    <x v="0"/>
    <x v="0"/>
    <x v="0"/>
    <x v="1"/>
    <x v="0"/>
    <x v="0"/>
    <x v="3"/>
    <n v="0"/>
    <n v="0"/>
    <n v="11663.785"/>
    <n v="11663.785"/>
    <n v="0"/>
    <n v="0"/>
    <n v="50"/>
    <x v="1"/>
    <n v="0"/>
    <n v="0"/>
    <n v="110"/>
    <n v="0"/>
    <n v="0"/>
    <n v="51.27"/>
    <n v="0"/>
    <m/>
    <n v="66.787442987613147"/>
    <m/>
    <n v="0"/>
    <n v="598002.25695000007"/>
    <n v="0"/>
    <n v="0"/>
    <n v="778994.37570727745"/>
    <n v="0"/>
  </r>
  <r>
    <s v="Regular"/>
    <x v="1"/>
    <x v="0"/>
    <x v="0"/>
    <x v="0"/>
    <x v="1"/>
    <x v="0"/>
    <x v="0"/>
    <x v="4"/>
    <n v="0"/>
    <n v="0"/>
    <n v="11597.929"/>
    <n v="11597.929"/>
    <n v="0"/>
    <n v="0"/>
    <n v="50"/>
    <x v="1"/>
    <n v="0"/>
    <n v="0"/>
    <n v="110"/>
    <n v="0"/>
    <n v="0"/>
    <n v="51.27"/>
    <n v="0"/>
    <m/>
    <n v="66.787442987613147"/>
    <m/>
    <n v="0"/>
    <n v="594625.81983000005"/>
    <n v="0"/>
    <n v="0"/>
    <n v="774596.02186188521"/>
    <n v="0"/>
  </r>
  <r>
    <s v="Regular"/>
    <x v="1"/>
    <x v="0"/>
    <x v="0"/>
    <x v="0"/>
    <x v="1"/>
    <x v="0"/>
    <x v="0"/>
    <x v="5"/>
    <n v="0"/>
    <n v="0"/>
    <n v="16524.562000000002"/>
    <n v="16524.562000000002"/>
    <n v="0"/>
    <n v="0"/>
    <n v="58"/>
    <x v="1"/>
    <n v="0"/>
    <n v="0"/>
    <n v="110"/>
    <n v="0"/>
    <n v="0"/>
    <n v="51.27"/>
    <n v="0"/>
    <m/>
    <n v="66.787442987613147"/>
    <m/>
    <n v="0"/>
    <n v="847214.29374000011"/>
    <n v="0"/>
    <n v="0"/>
    <n v="1103633.2424702789"/>
    <n v="0"/>
  </r>
  <r>
    <s v="Regular"/>
    <x v="1"/>
    <x v="0"/>
    <x v="0"/>
    <x v="0"/>
    <x v="1"/>
    <x v="0"/>
    <x v="0"/>
    <x v="6"/>
    <n v="0"/>
    <n v="0"/>
    <n v="16363.849"/>
    <n v="16363.849"/>
    <n v="0"/>
    <n v="0"/>
    <n v="60"/>
    <x v="1"/>
    <n v="0"/>
    <n v="0"/>
    <n v="110"/>
    <n v="0"/>
    <n v="0"/>
    <n v="51.27"/>
    <n v="0"/>
    <m/>
    <n v="66.787442987613147"/>
    <m/>
    <n v="0"/>
    <n v="838974.53823000006"/>
    <n v="0"/>
    <n v="0"/>
    <n v="1092899.6321454104"/>
    <n v="0"/>
  </r>
  <r>
    <s v="Regular"/>
    <x v="1"/>
    <x v="0"/>
    <x v="0"/>
    <x v="0"/>
    <x v="1"/>
    <x v="0"/>
    <x v="0"/>
    <x v="7"/>
    <n v="0"/>
    <n v="0"/>
    <n v="17576.155999999999"/>
    <n v="17576.155999999999"/>
    <n v="0"/>
    <n v="0"/>
    <n v="60"/>
    <x v="1"/>
    <n v="0"/>
    <n v="0"/>
    <n v="110"/>
    <n v="0"/>
    <n v="0"/>
    <n v="51.27"/>
    <n v="0"/>
    <m/>
    <n v="66.787442987613147"/>
    <m/>
    <n v="0"/>
    <n v="901129.51812000002"/>
    <n v="0"/>
    <n v="0"/>
    <n v="1173866.5167913947"/>
    <n v="0"/>
  </r>
  <r>
    <s v="Regular"/>
    <x v="1"/>
    <x v="0"/>
    <x v="0"/>
    <x v="0"/>
    <x v="1"/>
    <x v="0"/>
    <x v="0"/>
    <x v="8"/>
    <n v="0"/>
    <n v="0"/>
    <n v="17139.843000000001"/>
    <n v="17139.843000000001"/>
    <n v="0"/>
    <n v="0"/>
    <n v="60"/>
    <x v="1"/>
    <n v="0"/>
    <n v="0"/>
    <n v="110"/>
    <n v="0"/>
    <n v="0"/>
    <n v="51.27"/>
    <n v="0"/>
    <m/>
    <n v="66.787442987613147"/>
    <m/>
    <n v="0"/>
    <n v="878759.7506100001"/>
    <n v="0"/>
    <n v="0"/>
    <n v="1144726.2871791404"/>
    <n v="0"/>
  </r>
  <r>
    <s v="Regular"/>
    <x v="1"/>
    <x v="0"/>
    <x v="0"/>
    <x v="0"/>
    <x v="1"/>
    <x v="0"/>
    <x v="0"/>
    <x v="9"/>
    <n v="0"/>
    <n v="0"/>
    <n v="17477.350999999999"/>
    <n v="17477.350999999999"/>
    <n v="0"/>
    <n v="0"/>
    <n v="62"/>
    <x v="1"/>
    <n v="0"/>
    <n v="0"/>
    <n v="110"/>
    <n v="0"/>
    <n v="0"/>
    <n v="51.27"/>
    <n v="0"/>
    <m/>
    <n v="66.787442987613147"/>
    <m/>
    <n v="0"/>
    <n v="896063.78576999996"/>
    <n v="0"/>
    <n v="0"/>
    <n v="1167267.5834870036"/>
    <n v="0"/>
  </r>
  <r>
    <s v="Regular"/>
    <x v="1"/>
    <x v="0"/>
    <x v="0"/>
    <x v="0"/>
    <x v="1"/>
    <x v="0"/>
    <x v="0"/>
    <x v="10"/>
    <n v="0"/>
    <n v="0"/>
    <n v="17975.597000000002"/>
    <n v="17975.597000000002"/>
    <n v="0"/>
    <n v="0"/>
    <n v="63"/>
    <x v="1"/>
    <n v="0"/>
    <n v="0"/>
    <n v="110"/>
    <n v="0"/>
    <n v="0"/>
    <n v="51.27"/>
    <n v="0"/>
    <m/>
    <n v="66.787442987613147"/>
    <m/>
    <n v="0"/>
    <n v="921608.85819000017"/>
    <n v="0"/>
    <n v="0"/>
    <n v="1200544.1598058101"/>
    <n v="0"/>
  </r>
  <r>
    <s v="PROJETADO"/>
    <x v="1"/>
    <x v="0"/>
    <x v="0"/>
    <x v="0"/>
    <x v="1"/>
    <x v="0"/>
    <x v="0"/>
    <x v="11"/>
    <n v="0"/>
    <n v="0"/>
    <n v="17975.597000000002"/>
    <n v="17975.597000000002"/>
    <n v="0"/>
    <n v="0"/>
    <n v="63"/>
    <x v="1"/>
    <n v="0"/>
    <n v="0"/>
    <n v="110"/>
    <n v="0"/>
    <n v="0"/>
    <n v="51.27"/>
    <n v="0"/>
    <m/>
    <n v="66.787442987613147"/>
    <m/>
    <n v="0"/>
    <n v="921608.85819000017"/>
    <n v="0"/>
    <n v="0"/>
    <n v="1200544.1598058101"/>
    <n v="0"/>
  </r>
  <r>
    <s v="Regular"/>
    <x v="1"/>
    <x v="0"/>
    <x v="0"/>
    <x v="0"/>
    <x v="1"/>
    <x v="0"/>
    <x v="2"/>
    <x v="0"/>
    <n v="22915"/>
    <n v="11822.50913945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735714.74374797347"/>
    <n v="0"/>
    <n v="0"/>
    <n v="903552.68575919326"/>
    <n v="0"/>
    <n v="0"/>
  </r>
  <r>
    <s v="Regular"/>
    <x v="1"/>
    <x v="0"/>
    <x v="0"/>
    <x v="0"/>
    <x v="1"/>
    <x v="0"/>
    <x v="2"/>
    <x v="1"/>
    <n v="22822"/>
    <n v="11905.543611200001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740881.97892497596"/>
    <n v="0"/>
    <n v="0"/>
    <n v="909898.71764424862"/>
    <n v="0"/>
    <n v="0"/>
  </r>
  <r>
    <s v="Regular"/>
    <x v="1"/>
    <x v="0"/>
    <x v="0"/>
    <x v="0"/>
    <x v="1"/>
    <x v="0"/>
    <x v="2"/>
    <x v="2"/>
    <n v="24187"/>
    <n v="12578.29334385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782747.19478778553"/>
    <n v="0"/>
    <n v="0"/>
    <n v="961314.60750398494"/>
    <n v="0"/>
    <n v="0"/>
  </r>
  <r>
    <s v="Regular"/>
    <x v="1"/>
    <x v="0"/>
    <x v="0"/>
    <x v="0"/>
    <x v="1"/>
    <x v="0"/>
    <x v="2"/>
    <x v="3"/>
    <n v="24070"/>
    <n v="11799.099558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734257.96549433994"/>
    <n v="0"/>
    <n v="0"/>
    <n v="901763.57399432547"/>
    <n v="0"/>
    <n v="0"/>
  </r>
  <r>
    <s v="Regular"/>
    <x v="1"/>
    <x v="0"/>
    <x v="0"/>
    <x v="0"/>
    <x v="1"/>
    <x v="0"/>
    <x v="2"/>
    <x v="4"/>
    <n v="23199"/>
    <n v="11312.310067410001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703965.05549492431"/>
    <n v="0"/>
    <n v="0"/>
    <n v="864559.96971422725"/>
    <n v="0"/>
    <n v="0"/>
  </r>
  <r>
    <s v="Regular"/>
    <x v="1"/>
    <x v="0"/>
    <x v="0"/>
    <x v="0"/>
    <x v="1"/>
    <x v="0"/>
    <x v="2"/>
    <x v="5"/>
    <n v="30615"/>
    <n v="14824.761455399999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922544.90536954196"/>
    <n v="0"/>
    <n v="0"/>
    <n v="1133004.2439188326"/>
    <n v="0"/>
    <n v="0"/>
  </r>
  <r>
    <s v="Regular"/>
    <x v="1"/>
    <x v="0"/>
    <x v="0"/>
    <x v="0"/>
    <x v="1"/>
    <x v="0"/>
    <x v="2"/>
    <x v="6"/>
    <n v="31804"/>
    <n v="15383.977402119999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957344.91373392753"/>
    <n v="0"/>
    <n v="0"/>
    <n v="1175743.14685545"/>
    <n v="0"/>
    <n v="0"/>
  </r>
  <r>
    <s v="Regular"/>
    <x v="1"/>
    <x v="0"/>
    <x v="0"/>
    <x v="0"/>
    <x v="1"/>
    <x v="0"/>
    <x v="2"/>
    <x v="7"/>
    <n v="32053"/>
    <n v="16162.476518719999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005790.9137599455"/>
    <n v="0"/>
    <n v="0"/>
    <n v="1235241.0892438297"/>
    <n v="0"/>
    <n v="0"/>
  </r>
  <r>
    <s v="Refaturamento - Regular"/>
    <x v="1"/>
    <x v="0"/>
    <x v="0"/>
    <x v="0"/>
    <x v="1"/>
    <x v="0"/>
    <x v="2"/>
    <x v="7"/>
    <n v="-448"/>
    <n v="-448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-27879.039999999997"/>
    <n v="0"/>
    <n v="0"/>
    <n v="-34239.060291303787"/>
    <n v="0"/>
    <n v="0"/>
  </r>
  <r>
    <s v="Regular"/>
    <x v="1"/>
    <x v="0"/>
    <x v="0"/>
    <x v="0"/>
    <x v="1"/>
    <x v="0"/>
    <x v="2"/>
    <x v="8"/>
    <n v="33112"/>
    <n v="16982.84083184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056842.1849654031"/>
    <n v="0"/>
    <n v="0"/>
    <n v="1297938.6409798784"/>
    <n v="0"/>
    <n v="0"/>
  </r>
  <r>
    <s v="Regular"/>
    <x v="1"/>
    <x v="0"/>
    <x v="0"/>
    <x v="0"/>
    <x v="1"/>
    <x v="0"/>
    <x v="2"/>
    <x v="9"/>
    <n v="35029"/>
    <n v="17537.04571527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091330.354861252"/>
    <n v="0"/>
    <n v="0"/>
    <n v="1340294.566018929"/>
    <n v="0"/>
    <n v="0"/>
  </r>
  <r>
    <s v="Regular"/>
    <x v="1"/>
    <x v="0"/>
    <x v="0"/>
    <x v="0"/>
    <x v="1"/>
    <x v="0"/>
    <x v="2"/>
    <x v="10"/>
    <n v="34681"/>
    <n v="17472.87703019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087337.1375887236"/>
    <n v="0"/>
    <n v="0"/>
    <n v="1335390.3796857421"/>
    <n v="0"/>
    <n v="0"/>
  </r>
  <r>
    <s v="PROJETADO"/>
    <x v="1"/>
    <x v="0"/>
    <x v="0"/>
    <x v="0"/>
    <x v="1"/>
    <x v="0"/>
    <x v="2"/>
    <x v="11"/>
    <n v="34681"/>
    <n v="17472.87703019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087337.1375887236"/>
    <n v="0"/>
    <n v="0"/>
    <n v="1335390.3796857421"/>
    <n v="0"/>
    <n v="0"/>
  </r>
  <r>
    <s v="Regular"/>
    <x v="1"/>
    <x v="0"/>
    <x v="0"/>
    <x v="0"/>
    <x v="2"/>
    <x v="0"/>
    <x v="1"/>
    <x v="0"/>
    <n v="6188"/>
    <n v="6188"/>
    <n v="1009.17"/>
    <n v="1009.17"/>
    <n v="1009.17"/>
    <n v="1009.17"/>
    <n v="0"/>
    <x v="2"/>
    <n v="0"/>
    <n v="12"/>
    <n v="110"/>
    <n v="89"/>
    <n v="24.31"/>
    <n v="51.27"/>
    <n v="222.31"/>
    <n v="27.784726797371405"/>
    <n v="66.787442987613147"/>
    <n v="236.64237028527376"/>
    <n v="150430.28"/>
    <n v="51740.145900000003"/>
    <n v="224348.5827"/>
    <n v="171931.88942213426"/>
    <n v="67399.883839809554"/>
    <n v="238812.38082078969"/>
  </r>
  <r>
    <s v="Sistema de Compensação"/>
    <x v="1"/>
    <x v="0"/>
    <x v="0"/>
    <x v="0"/>
    <x v="2"/>
    <x v="0"/>
    <x v="1"/>
    <x v="0"/>
    <n v="143"/>
    <n v="143"/>
    <n v="19.515999999999998"/>
    <n v="19.515999999999998"/>
    <n v="19.515999999999998"/>
    <n v="19.515999999999998"/>
    <n v="0"/>
    <x v="2"/>
    <n v="0"/>
    <n v="12"/>
    <n v="110"/>
    <n v="89"/>
    <n v="24.31"/>
    <n v="51.27"/>
    <n v="222.31"/>
    <n v="27.784726797371405"/>
    <n v="66.787442987613147"/>
    <n v="236.64237028527376"/>
    <n v="3476.33"/>
    <n v="1000.58532"/>
    <n v="4338.60196"/>
    <n v="3973.2159320241108"/>
    <n v="1303.4237373462581"/>
    <n v="4618.3124984874021"/>
  </r>
  <r>
    <s v="Regular"/>
    <x v="1"/>
    <x v="0"/>
    <x v="0"/>
    <x v="0"/>
    <x v="2"/>
    <x v="0"/>
    <x v="1"/>
    <x v="0"/>
    <n v="30"/>
    <n v="30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729.3"/>
    <n v="0"/>
    <n v="0"/>
    <n v="833.54180392114222"/>
    <n v="0"/>
    <n v="0"/>
  </r>
  <r>
    <s v="Regular"/>
    <x v="1"/>
    <x v="0"/>
    <x v="0"/>
    <x v="0"/>
    <x v="2"/>
    <x v="0"/>
    <x v="1"/>
    <x v="1"/>
    <n v="6353"/>
    <n v="6353"/>
    <n v="1184.0029999999999"/>
    <n v="1184.0029999999999"/>
    <n v="1184.0029999999999"/>
    <n v="1184.0029999999999"/>
    <n v="0"/>
    <x v="2"/>
    <n v="0"/>
    <n v="12"/>
    <n v="110"/>
    <n v="89"/>
    <n v="24.31"/>
    <n v="51.27"/>
    <n v="222.31"/>
    <n v="27.784726797371405"/>
    <n v="66.787442987613147"/>
    <n v="236.64237028527376"/>
    <n v="154441.43"/>
    <n v="60703.833809999996"/>
    <n v="263215.70692999999"/>
    <n v="176516.36934370053"/>
    <n v="79076.532859662926"/>
    <n v="280185.27634487499"/>
  </r>
  <r>
    <s v="Sistema de Compensação"/>
    <x v="1"/>
    <x v="0"/>
    <x v="0"/>
    <x v="0"/>
    <x v="2"/>
    <x v="0"/>
    <x v="1"/>
    <x v="1"/>
    <n v="143"/>
    <n v="143"/>
    <n v="17.712"/>
    <n v="17.712"/>
    <n v="17.712"/>
    <n v="17.712"/>
    <n v="0"/>
    <x v="2"/>
    <n v="0"/>
    <n v="12"/>
    <n v="110"/>
    <n v="89"/>
    <n v="24.31"/>
    <n v="51.27"/>
    <n v="222.31"/>
    <n v="27.784726797371405"/>
    <n v="66.787442987613147"/>
    <n v="236.64237028527376"/>
    <n v="3476.33"/>
    <n v="908.09424000000001"/>
    <n v="3937.5547200000001"/>
    <n v="3973.2159320241108"/>
    <n v="1182.9391901966042"/>
    <n v="4191.4096624927688"/>
  </r>
  <r>
    <s v="Regular"/>
    <x v="1"/>
    <x v="0"/>
    <x v="0"/>
    <x v="0"/>
    <x v="2"/>
    <x v="0"/>
    <x v="1"/>
    <x v="1"/>
    <n v="30"/>
    <n v="30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729.3"/>
    <n v="0"/>
    <n v="0"/>
    <n v="833.54180392114222"/>
    <n v="0"/>
    <n v="0"/>
  </r>
  <r>
    <s v="Regular"/>
    <x v="1"/>
    <x v="0"/>
    <x v="0"/>
    <x v="0"/>
    <x v="2"/>
    <x v="0"/>
    <x v="1"/>
    <x v="2"/>
    <n v="6347"/>
    <n v="6347"/>
    <n v="1017.986"/>
    <n v="1017.986"/>
    <n v="1017.986"/>
    <n v="1017.986"/>
    <n v="0"/>
    <x v="2"/>
    <n v="0"/>
    <n v="12"/>
    <n v="110"/>
    <n v="89"/>
    <n v="24.31"/>
    <n v="51.27"/>
    <n v="222.31"/>
    <n v="27.784726797371405"/>
    <n v="66.787442987613147"/>
    <n v="236.64237028527376"/>
    <n v="154295.56999999998"/>
    <n v="52192.142220000002"/>
    <n v="226308.46765999999"/>
    <n v="176349.66098291631"/>
    <n v="67988.681937188361"/>
    <n v="240898.6199572247"/>
  </r>
  <r>
    <s v="Refaturamento - Regular"/>
    <x v="1"/>
    <x v="0"/>
    <x v="0"/>
    <x v="0"/>
    <x v="2"/>
    <x v="0"/>
    <x v="1"/>
    <x v="2"/>
    <n v="-15"/>
    <n v="-15"/>
    <n v="0"/>
    <n v="0"/>
    <n v="0"/>
    <n v="0"/>
    <n v="0"/>
    <x v="2"/>
    <n v="0"/>
    <n v="12"/>
    <n v="0"/>
    <n v="0"/>
    <n v="24.31"/>
    <n v="0"/>
    <n v="0"/>
    <n v="27.784726797371405"/>
    <n v="66.787442987613147"/>
    <n v="236.64237028527376"/>
    <n v="-364.65"/>
    <n v="0"/>
    <n v="0"/>
    <n v="-416.77090196057111"/>
    <n v="0"/>
    <n v="0"/>
  </r>
  <r>
    <s v="Sistema de Compensação"/>
    <x v="1"/>
    <x v="0"/>
    <x v="0"/>
    <x v="0"/>
    <x v="2"/>
    <x v="0"/>
    <x v="1"/>
    <x v="2"/>
    <n v="143"/>
    <n v="143"/>
    <n v="18.777999999999999"/>
    <n v="18.777999999999999"/>
    <n v="18.777999999999999"/>
    <n v="18.777999999999999"/>
    <n v="0"/>
    <x v="2"/>
    <n v="0"/>
    <n v="12"/>
    <n v="110"/>
    <n v="89"/>
    <n v="24.31"/>
    <n v="51.27"/>
    <n v="222.31"/>
    <n v="27.784726797371405"/>
    <n v="66.787442987613147"/>
    <n v="236.64237028527376"/>
    <n v="3476.33"/>
    <n v="962.74806000000001"/>
    <n v="4174.5371799999994"/>
    <n v="3973.2159320241108"/>
    <n v="1254.1346044213997"/>
    <n v="4443.6704292168706"/>
  </r>
  <r>
    <s v="Regular"/>
    <x v="1"/>
    <x v="0"/>
    <x v="0"/>
    <x v="0"/>
    <x v="2"/>
    <x v="0"/>
    <x v="1"/>
    <x v="2"/>
    <n v="30"/>
    <n v="30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729.3"/>
    <n v="0"/>
    <n v="0"/>
    <n v="833.54180392114222"/>
    <n v="0"/>
    <n v="0"/>
  </r>
  <r>
    <s v="Regular"/>
    <x v="1"/>
    <x v="0"/>
    <x v="0"/>
    <x v="0"/>
    <x v="2"/>
    <x v="0"/>
    <x v="1"/>
    <x v="3"/>
    <n v="6335"/>
    <n v="6335"/>
    <n v="925.72699999999998"/>
    <n v="925.72699999999998"/>
    <n v="925.72699999999998"/>
    <n v="925.72699999999998"/>
    <n v="0"/>
    <x v="2"/>
    <n v="0"/>
    <n v="12"/>
    <n v="110"/>
    <n v="89"/>
    <n v="24.31"/>
    <n v="51.27"/>
    <n v="222.31"/>
    <n v="27.784726797371405"/>
    <n v="66.787442987613147"/>
    <n v="236.64237028527376"/>
    <n v="154003.85"/>
    <n v="47462.023290000005"/>
    <n v="205798.36937"/>
    <n v="176016.24426134786"/>
    <n v="61826.939234594152"/>
    <n v="219066.23151707562"/>
  </r>
  <r>
    <s v="Sistema de Compensação"/>
    <x v="1"/>
    <x v="0"/>
    <x v="0"/>
    <x v="0"/>
    <x v="2"/>
    <x v="0"/>
    <x v="1"/>
    <x v="3"/>
    <n v="143"/>
    <n v="143"/>
    <n v="10.199999999999999"/>
    <n v="10.199999999999999"/>
    <n v="10.199999999999999"/>
    <n v="10.199999999999999"/>
    <n v="0"/>
    <x v="2"/>
    <n v="0"/>
    <n v="12"/>
    <n v="110"/>
    <n v="89"/>
    <n v="24.31"/>
    <n v="51.27"/>
    <n v="222.31"/>
    <n v="27.784726797371405"/>
    <n v="66.787442987613147"/>
    <n v="236.64237028527376"/>
    <n v="3476.33"/>
    <n v="522.95399999999995"/>
    <n v="2267.5619999999999"/>
    <n v="3973.2159320241108"/>
    <n v="681.2319184736541"/>
    <n v="2413.7521769097921"/>
  </r>
  <r>
    <s v="Regular"/>
    <x v="1"/>
    <x v="0"/>
    <x v="0"/>
    <x v="0"/>
    <x v="2"/>
    <x v="0"/>
    <x v="1"/>
    <x v="3"/>
    <n v="30"/>
    <n v="30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729.3"/>
    <n v="0"/>
    <n v="0"/>
    <n v="833.54180392114222"/>
    <n v="0"/>
    <n v="0"/>
  </r>
  <r>
    <s v="Regular"/>
    <x v="1"/>
    <x v="0"/>
    <x v="0"/>
    <x v="0"/>
    <x v="2"/>
    <x v="0"/>
    <x v="1"/>
    <x v="4"/>
    <n v="6334"/>
    <n v="6334"/>
    <n v="1116.7270000000001"/>
    <n v="1116.7270000000001"/>
    <n v="1116.7270000000001"/>
    <n v="1116.7270000000001"/>
    <n v="0"/>
    <x v="2"/>
    <n v="0"/>
    <n v="12"/>
    <n v="110"/>
    <n v="89"/>
    <n v="24.31"/>
    <n v="51.27"/>
    <n v="222.31"/>
    <n v="27.784726797371405"/>
    <n v="66.787442987613147"/>
    <n v="236.64237028527376"/>
    <n v="153979.53999999998"/>
    <n v="57254.593290000012"/>
    <n v="248259.57937000002"/>
    <n v="175988.45953455049"/>
    <n v="74583.340845228275"/>
    <n v="264264.92424156296"/>
  </r>
  <r>
    <s v="Sistema de Compensação"/>
    <x v="1"/>
    <x v="0"/>
    <x v="0"/>
    <x v="0"/>
    <x v="2"/>
    <x v="0"/>
    <x v="1"/>
    <x v="4"/>
    <n v="143"/>
    <n v="143"/>
    <n v="0"/>
    <n v="0"/>
    <n v="0"/>
    <n v="0"/>
    <n v="0"/>
    <x v="2"/>
    <n v="0"/>
    <n v="12"/>
    <n v="0"/>
    <n v="0"/>
    <n v="24.31"/>
    <n v="0"/>
    <n v="0"/>
    <n v="27.784726797371405"/>
    <n v="66.787442987613147"/>
    <n v="236.64237028527376"/>
    <n v="3476.33"/>
    <n v="0"/>
    <n v="0"/>
    <n v="3973.2159320241108"/>
    <n v="0"/>
    <n v="0"/>
  </r>
  <r>
    <s v="Regular"/>
    <x v="1"/>
    <x v="0"/>
    <x v="0"/>
    <x v="0"/>
    <x v="2"/>
    <x v="0"/>
    <x v="1"/>
    <x v="4"/>
    <n v="1548"/>
    <n v="1548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37631.879999999997"/>
    <n v="0"/>
    <n v="0"/>
    <n v="43010.757082330936"/>
    <n v="0"/>
    <n v="0"/>
  </r>
  <r>
    <s v="Regular"/>
    <x v="1"/>
    <x v="0"/>
    <x v="0"/>
    <x v="0"/>
    <x v="2"/>
    <x v="0"/>
    <x v="1"/>
    <x v="5"/>
    <n v="6336"/>
    <n v="6336"/>
    <n v="1113.941"/>
    <n v="1113.941"/>
    <n v="1113.941"/>
    <n v="1113.941"/>
    <n v="0"/>
    <x v="2"/>
    <n v="0"/>
    <n v="12"/>
    <n v="110"/>
    <n v="89"/>
    <n v="24.31"/>
    <n v="51.27"/>
    <n v="222.31"/>
    <n v="27.784726797371405"/>
    <n v="66.787442987613147"/>
    <n v="236.64237028527376"/>
    <n v="154028.16"/>
    <n v="57111.755070000007"/>
    <n v="247640.22371000002"/>
    <n v="176044.02898814523"/>
    <n v="74397.271029064781"/>
    <n v="263605.63859794813"/>
  </r>
  <r>
    <s v="Sistema de Compensação"/>
    <x v="1"/>
    <x v="0"/>
    <x v="0"/>
    <x v="0"/>
    <x v="2"/>
    <x v="0"/>
    <x v="1"/>
    <x v="5"/>
    <n v="143"/>
    <n v="143"/>
    <n v="0"/>
    <n v="0"/>
    <n v="0"/>
    <n v="0"/>
    <n v="0"/>
    <x v="2"/>
    <n v="0"/>
    <n v="12"/>
    <n v="0"/>
    <n v="0"/>
    <n v="24.31"/>
    <n v="0"/>
    <n v="0"/>
    <n v="27.784726797371405"/>
    <n v="66.787442987613147"/>
    <n v="236.64237028527376"/>
    <n v="3476.33"/>
    <n v="0"/>
    <n v="0"/>
    <n v="3973.2159320241108"/>
    <n v="0"/>
    <n v="0"/>
  </r>
  <r>
    <s v="Regular"/>
    <x v="1"/>
    <x v="0"/>
    <x v="0"/>
    <x v="0"/>
    <x v="2"/>
    <x v="0"/>
    <x v="1"/>
    <x v="5"/>
    <n v="88"/>
    <n v="88"/>
    <n v="0"/>
    <n v="0"/>
    <n v="0"/>
    <n v="0"/>
    <n v="0"/>
    <x v="1"/>
    <n v="0"/>
    <n v="12"/>
    <n v="0"/>
    <n v="0"/>
    <n v="24.31"/>
    <n v="0"/>
    <n v="0"/>
    <n v="27.784726797371405"/>
    <n v="66.787442987613147"/>
    <m/>
    <n v="2139.2799999999997"/>
    <n v="0"/>
    <n v="0"/>
    <n v="2445.0559581686839"/>
    <n v="0"/>
    <n v="0"/>
  </r>
  <r>
    <s v="Regular"/>
    <x v="1"/>
    <x v="0"/>
    <x v="0"/>
    <x v="0"/>
    <x v="2"/>
    <x v="0"/>
    <x v="1"/>
    <x v="6"/>
    <n v="6439"/>
    <n v="6439"/>
    <n v="1224.2190000000001"/>
    <n v="1224.2190000000001"/>
    <n v="1224.2190000000001"/>
    <n v="1224.2190000000001"/>
    <n v="0"/>
    <x v="2"/>
    <n v="0"/>
    <n v="12"/>
    <n v="110"/>
    <n v="89"/>
    <n v="24.31"/>
    <n v="51.27"/>
    <n v="222.31"/>
    <n v="27.784726797371405"/>
    <n v="66.787442987613147"/>
    <n v="236.64237028527376"/>
    <n v="156532.09"/>
    <n v="62765.708130000006"/>
    <n v="272156.12589000002"/>
    <n v="178905.85584827448"/>
    <n v="81762.456666852784"/>
    <n v="289702.08590826759"/>
  </r>
  <r>
    <s v="Sistema de Compensação"/>
    <x v="1"/>
    <x v="0"/>
    <x v="0"/>
    <x v="0"/>
    <x v="2"/>
    <x v="0"/>
    <x v="1"/>
    <x v="6"/>
    <n v="143"/>
    <n v="143"/>
    <n v="0"/>
    <n v="0"/>
    <n v="0"/>
    <n v="0"/>
    <n v="0"/>
    <x v="2"/>
    <n v="0"/>
    <n v="12"/>
    <n v="0"/>
    <n v="0"/>
    <n v="24.31"/>
    <n v="0"/>
    <n v="0"/>
    <n v="27.784726797371405"/>
    <n v="66.787442987613147"/>
    <n v="236.64237028527376"/>
    <n v="3476.33"/>
    <n v="0"/>
    <n v="0"/>
    <n v="3973.2159320241108"/>
    <n v="0"/>
    <n v="0"/>
  </r>
  <r>
    <s v="Regular"/>
    <x v="1"/>
    <x v="0"/>
    <x v="0"/>
    <x v="0"/>
    <x v="2"/>
    <x v="0"/>
    <x v="1"/>
    <x v="7"/>
    <n v="6381"/>
    <n v="6381"/>
    <n v="1155.873"/>
    <n v="1155.873"/>
    <n v="1155.873"/>
    <n v="1155.873"/>
    <n v="0"/>
    <x v="2"/>
    <n v="0"/>
    <n v="12"/>
    <n v="110"/>
    <n v="89"/>
    <n v="24.31"/>
    <n v="51.27"/>
    <n v="222.31"/>
    <n v="27.784726797371405"/>
    <n v="66.787442987613147"/>
    <n v="236.64237028527376"/>
    <n v="155122.10999999999"/>
    <n v="59261.608710000008"/>
    <n v="256962.12663000001"/>
    <n v="177294.34169402692"/>
    <n v="77197.802088421377"/>
    <n v="273528.52646875026"/>
  </r>
  <r>
    <s v="Sistema de Compensação"/>
    <x v="1"/>
    <x v="0"/>
    <x v="0"/>
    <x v="0"/>
    <x v="2"/>
    <x v="0"/>
    <x v="1"/>
    <x v="7"/>
    <n v="358"/>
    <n v="358"/>
    <n v="10.785"/>
    <n v="10.785"/>
    <n v="10.785"/>
    <n v="10.785"/>
    <n v="0"/>
    <x v="2"/>
    <n v="0"/>
    <n v="12"/>
    <n v="110"/>
    <n v="89"/>
    <n v="24.31"/>
    <n v="51.27"/>
    <n v="222.31"/>
    <n v="27.784726797371405"/>
    <n v="66.787442987613147"/>
    <n v="236.64237028527376"/>
    <n v="8702.98"/>
    <n v="552.94695000000002"/>
    <n v="2397.6133500000001"/>
    <n v="9946.9321934589625"/>
    <n v="720.30257262140776"/>
    <n v="2552.1879635266773"/>
  </r>
  <r>
    <s v="Regular"/>
    <x v="1"/>
    <x v="0"/>
    <x v="0"/>
    <x v="0"/>
    <x v="2"/>
    <x v="0"/>
    <x v="1"/>
    <x v="8"/>
    <n v="5594"/>
    <n v="5594"/>
    <n v="1162.1420000000001"/>
    <n v="1162.1420000000001"/>
    <n v="1162.1420000000001"/>
    <n v="1162.1420000000001"/>
    <n v="0"/>
    <x v="2"/>
    <n v="0"/>
    <n v="12"/>
    <n v="110"/>
    <n v="89"/>
    <n v="24.31"/>
    <n v="51.27"/>
    <n v="222.31"/>
    <n v="27.784726797371405"/>
    <n v="66.787442987613147"/>
    <n v="236.64237028527376"/>
    <n v="135990.13999999998"/>
    <n v="59583.020340000003"/>
    <n v="258355.78802000001"/>
    <n v="155427.76170449564"/>
    <n v="77616.492568510716"/>
    <n v="275012.03748806863"/>
  </r>
  <r>
    <s v="Sistema de Compensação"/>
    <x v="1"/>
    <x v="0"/>
    <x v="0"/>
    <x v="0"/>
    <x v="2"/>
    <x v="0"/>
    <x v="1"/>
    <x v="8"/>
    <n v="358"/>
    <n v="358"/>
    <n v="23.751000000000001"/>
    <n v="23.751000000000001"/>
    <n v="23.751000000000001"/>
    <n v="23.751000000000001"/>
    <n v="0"/>
    <x v="2"/>
    <n v="0"/>
    <n v="12"/>
    <n v="110"/>
    <n v="89"/>
    <n v="24.31"/>
    <n v="51.27"/>
    <n v="222.31"/>
    <n v="27.784726797371405"/>
    <n v="66.787442987613147"/>
    <n v="236.64237028527376"/>
    <n v="8702.98"/>
    <n v="1217.7137700000001"/>
    <n v="5280.0848100000003"/>
    <n v="9946.9321934589625"/>
    <n v="1586.2685583988"/>
    <n v="5620.4929366455372"/>
  </r>
  <r>
    <s v="Regular"/>
    <x v="1"/>
    <x v="0"/>
    <x v="0"/>
    <x v="0"/>
    <x v="2"/>
    <x v="0"/>
    <x v="1"/>
    <x v="9"/>
    <n v="5578"/>
    <n v="5578"/>
    <n v="1070.269"/>
    <n v="1070.269"/>
    <n v="1070.269"/>
    <n v="1070.269"/>
    <n v="0"/>
    <x v="2"/>
    <n v="0"/>
    <n v="12"/>
    <n v="110"/>
    <n v="89"/>
    <n v="24.31"/>
    <n v="51.27"/>
    <n v="222.31"/>
    <n v="27.784726797371405"/>
    <n v="66.787442987613147"/>
    <n v="236.64237028527376"/>
    <n v="135601.18"/>
    <n v="54872.691630000001"/>
    <n v="237931.50138999999"/>
    <n v="154983.20607573769"/>
    <n v="71480.529818909738"/>
    <n v="253270.99300284966"/>
  </r>
  <r>
    <s v="Sistema de Compensação"/>
    <x v="1"/>
    <x v="0"/>
    <x v="0"/>
    <x v="0"/>
    <x v="2"/>
    <x v="0"/>
    <x v="1"/>
    <x v="9"/>
    <n v="358"/>
    <n v="358"/>
    <n v="26.701000000000001"/>
    <n v="26.701000000000001"/>
    <n v="26.701000000000001"/>
    <n v="26.701000000000001"/>
    <n v="0"/>
    <x v="2"/>
    <n v="0"/>
    <n v="12"/>
    <n v="110"/>
    <n v="89"/>
    <n v="24.31"/>
    <n v="51.27"/>
    <n v="222.31"/>
    <n v="27.784726797371405"/>
    <n v="66.787442987613147"/>
    <n v="236.64237028527376"/>
    <n v="8702.98"/>
    <n v="1368.96027"/>
    <n v="5935.8993099999998"/>
    <n v="9946.9321934589625"/>
    <n v="1783.2915152122587"/>
    <n v="6318.5879289870945"/>
  </r>
  <r>
    <s v="Regular"/>
    <x v="1"/>
    <x v="0"/>
    <x v="0"/>
    <x v="0"/>
    <x v="2"/>
    <x v="0"/>
    <x v="1"/>
    <x v="10"/>
    <n v="5757"/>
    <n v="5757"/>
    <n v="1124.3330000000001"/>
    <n v="1124.3330000000001"/>
    <n v="1124.3330000000001"/>
    <n v="1124.3330000000001"/>
    <n v="0"/>
    <x v="2"/>
    <n v="0"/>
    <n v="12"/>
    <n v="110"/>
    <n v="89"/>
    <n v="24.31"/>
    <n v="51.27"/>
    <n v="222.31"/>
    <n v="27.784726797371405"/>
    <n v="66.787442987613147"/>
    <n v="236.64237028527376"/>
    <n v="139952.66999999998"/>
    <n v="57644.552910000006"/>
    <n v="249950.46923000002"/>
    <n v="159956.6721724672"/>
    <n v="75091.326136592063"/>
    <n v="266064.8261099527"/>
  </r>
  <r>
    <s v="Sistema de Compensação"/>
    <x v="1"/>
    <x v="0"/>
    <x v="0"/>
    <x v="0"/>
    <x v="2"/>
    <x v="0"/>
    <x v="1"/>
    <x v="10"/>
    <n v="358"/>
    <n v="358"/>
    <n v="21.856000000000002"/>
    <n v="21.856000000000002"/>
    <n v="21.856000000000002"/>
    <n v="21.856000000000002"/>
    <n v="0"/>
    <x v="2"/>
    <n v="0"/>
    <n v="12"/>
    <n v="110"/>
    <n v="89"/>
    <n v="24.31"/>
    <n v="51.27"/>
    <n v="222.31"/>
    <n v="27.784726797371405"/>
    <n v="66.787442987613147"/>
    <n v="236.64237028527376"/>
    <n v="8702.98"/>
    <n v="1120.5571200000002"/>
    <n v="4858.8073600000007"/>
    <n v="9946.9321934589625"/>
    <n v="1459.706353937273"/>
    <n v="5172.055644954944"/>
  </r>
  <r>
    <s v="PROJETADO"/>
    <x v="1"/>
    <x v="0"/>
    <x v="0"/>
    <x v="0"/>
    <x v="2"/>
    <x v="0"/>
    <x v="1"/>
    <x v="11"/>
    <n v="5757"/>
    <n v="5757"/>
    <n v="1124.3330000000001"/>
    <n v="1124.3330000000001"/>
    <n v="1124.3330000000001"/>
    <n v="1124.3330000000001"/>
    <n v="0"/>
    <x v="2"/>
    <n v="0"/>
    <n v="12"/>
    <n v="110"/>
    <n v="89"/>
    <n v="24.31"/>
    <n v="51.27"/>
    <n v="222.31"/>
    <n v="27.784726797371405"/>
    <n v="66.787442987613147"/>
    <n v="236.64237028527376"/>
    <n v="139952.66999999998"/>
    <n v="57644.552910000006"/>
    <n v="249950.46923000002"/>
    <n v="159956.6721724672"/>
    <n v="75091.326136592063"/>
    <n v="266064.8261099527"/>
  </r>
  <r>
    <s v="PROJETADO"/>
    <x v="1"/>
    <x v="0"/>
    <x v="0"/>
    <x v="0"/>
    <x v="2"/>
    <x v="0"/>
    <x v="1"/>
    <x v="11"/>
    <n v="358"/>
    <n v="358"/>
    <n v="21.856000000000002"/>
    <n v="21.856000000000002"/>
    <n v="21.856000000000002"/>
    <n v="21.856000000000002"/>
    <n v="0"/>
    <x v="2"/>
    <n v="0"/>
    <n v="12"/>
    <n v="110"/>
    <n v="89"/>
    <n v="24.31"/>
    <n v="51.27"/>
    <n v="222.31"/>
    <n v="27.784726797371405"/>
    <n v="66.787442987613147"/>
    <n v="236.64237028527376"/>
    <n v="8702.98"/>
    <n v="1120.5571200000002"/>
    <n v="4858.8073600000007"/>
    <n v="9946.9321934589625"/>
    <n v="1459.706353937273"/>
    <n v="5172.055644954944"/>
  </r>
  <r>
    <s v="Regular"/>
    <x v="1"/>
    <x v="0"/>
    <x v="0"/>
    <x v="0"/>
    <x v="2"/>
    <x v="0"/>
    <x v="0"/>
    <x v="0"/>
    <n v="0"/>
    <n v="0"/>
    <n v="8.8379999999999992"/>
    <n v="8.8379999999999992"/>
    <n v="0"/>
    <n v="0"/>
    <n v="1"/>
    <x v="1"/>
    <n v="0"/>
    <n v="0"/>
    <n v="110"/>
    <n v="0"/>
    <n v="0"/>
    <n v="51.27"/>
    <n v="0"/>
    <m/>
    <n v="66.787442987613147"/>
    <m/>
    <n v="0"/>
    <n v="453.12425999999999"/>
    <n v="0"/>
    <n v="0"/>
    <n v="590.26742112452496"/>
    <n v="0"/>
  </r>
  <r>
    <s v="Regular"/>
    <x v="1"/>
    <x v="0"/>
    <x v="0"/>
    <x v="0"/>
    <x v="2"/>
    <x v="0"/>
    <x v="0"/>
    <x v="1"/>
    <n v="0"/>
    <n v="0"/>
    <n v="8.4990000000000006"/>
    <n v="8.4990000000000006"/>
    <n v="0"/>
    <n v="0"/>
    <n v="1"/>
    <x v="1"/>
    <n v="0"/>
    <n v="0"/>
    <n v="110"/>
    <n v="0"/>
    <n v="0"/>
    <n v="51.27"/>
    <n v="0"/>
    <m/>
    <n v="66.787442987613147"/>
    <m/>
    <n v="0"/>
    <n v="435.74373000000003"/>
    <n v="0"/>
    <n v="0"/>
    <n v="567.62647795172415"/>
    <n v="0"/>
  </r>
  <r>
    <s v="Regular"/>
    <x v="1"/>
    <x v="0"/>
    <x v="0"/>
    <x v="0"/>
    <x v="2"/>
    <x v="0"/>
    <x v="0"/>
    <x v="2"/>
    <n v="0"/>
    <n v="0"/>
    <n v="9.843"/>
    <n v="9.843"/>
    <n v="0"/>
    <n v="0"/>
    <n v="1"/>
    <x v="1"/>
    <n v="0"/>
    <n v="0"/>
    <n v="110"/>
    <n v="0"/>
    <n v="0"/>
    <n v="51.27"/>
    <n v="0"/>
    <m/>
    <n v="66.787442987613147"/>
    <m/>
    <n v="0"/>
    <n v="504.65061000000003"/>
    <n v="0"/>
    <n v="0"/>
    <n v="657.38880132707618"/>
    <n v="0"/>
  </r>
  <r>
    <s v="Regular"/>
    <x v="1"/>
    <x v="0"/>
    <x v="0"/>
    <x v="0"/>
    <x v="2"/>
    <x v="0"/>
    <x v="0"/>
    <x v="3"/>
    <n v="0"/>
    <n v="0"/>
    <n v="10.387"/>
    <n v="10.387"/>
    <n v="0"/>
    <n v="0"/>
    <n v="1"/>
    <x v="1"/>
    <n v="0"/>
    <n v="0"/>
    <n v="110"/>
    <n v="0"/>
    <n v="0"/>
    <n v="51.27"/>
    <n v="0"/>
    <m/>
    <n v="66.787442987613147"/>
    <m/>
    <n v="0"/>
    <n v="532.54149000000007"/>
    <n v="0"/>
    <n v="0"/>
    <n v="693.72117031233779"/>
    <n v="0"/>
  </r>
  <r>
    <s v="Regular"/>
    <x v="1"/>
    <x v="0"/>
    <x v="0"/>
    <x v="0"/>
    <x v="2"/>
    <x v="0"/>
    <x v="0"/>
    <x v="4"/>
    <n v="0"/>
    <n v="0"/>
    <n v="880.31700000000001"/>
    <n v="880.31700000000001"/>
    <n v="0"/>
    <n v="0"/>
    <n v="2"/>
    <x v="1"/>
    <n v="0"/>
    <n v="0"/>
    <n v="110"/>
    <n v="0"/>
    <n v="0"/>
    <n v="51.27"/>
    <n v="0"/>
    <m/>
    <n v="66.787442987613147"/>
    <m/>
    <n v="0"/>
    <n v="45133.852590000002"/>
    <n v="0"/>
    <n v="0"/>
    <n v="58794.121448526646"/>
    <n v="0"/>
  </r>
  <r>
    <s v="Regular"/>
    <x v="1"/>
    <x v="0"/>
    <x v="0"/>
    <x v="0"/>
    <x v="2"/>
    <x v="0"/>
    <x v="0"/>
    <x v="5"/>
    <n v="0"/>
    <n v="0"/>
    <n v="13.896000000000001"/>
    <n v="13.896000000000001"/>
    <n v="0"/>
    <n v="0"/>
    <n v="1"/>
    <x v="1"/>
    <n v="0"/>
    <n v="0"/>
    <n v="110"/>
    <n v="0"/>
    <n v="0"/>
    <n v="51.27"/>
    <n v="0"/>
    <m/>
    <n v="66.787442987613147"/>
    <m/>
    <n v="0"/>
    <n v="712.44792000000007"/>
    <n v="0"/>
    <n v="0"/>
    <n v="928.0783077558724"/>
    <n v="0"/>
  </r>
  <r>
    <s v="Regular"/>
    <x v="1"/>
    <x v="0"/>
    <x v="0"/>
    <x v="0"/>
    <x v="2"/>
    <x v="0"/>
    <x v="2"/>
    <x v="0"/>
    <n v="2106"/>
    <n v="2106"/>
    <n v="65.712999999999994"/>
    <n v="65.712999999999994"/>
    <n v="65.712999999999994"/>
    <n v="65.712999999999994"/>
    <n v="0"/>
    <x v="2"/>
    <n v="0"/>
    <n v="11"/>
    <n v="110"/>
    <n v="88"/>
    <n v="62.23"/>
    <n v="51.27"/>
    <n v="365.5"/>
    <n v="76.426473864517376"/>
    <n v="66.787442987613147"/>
    <n v="382.75425465660959"/>
    <n v="131056.37999999999"/>
    <n v="3369.1055099999999"/>
    <n v="24018.101499999997"/>
    <n v="160954.15395867359"/>
    <n v="4388.8032410450223"/>
    <n v="25151.930336249785"/>
  </r>
  <r>
    <s v="Sistema de Compensação"/>
    <x v="1"/>
    <x v="0"/>
    <x v="0"/>
    <x v="0"/>
    <x v="2"/>
    <x v="0"/>
    <x v="2"/>
    <x v="0"/>
    <n v="12"/>
    <n v="12"/>
    <n v="0.57399999999999995"/>
    <n v="0.57399999999999995"/>
    <n v="0.57399999999999995"/>
    <n v="0.57399999999999995"/>
    <n v="0"/>
    <x v="2"/>
    <n v="0"/>
    <n v="11"/>
    <n v="110"/>
    <n v="88"/>
    <n v="62.23"/>
    <n v="51.27"/>
    <n v="365.5"/>
    <n v="76.426473864517376"/>
    <n v="66.787442987613147"/>
    <n v="382.75425465660959"/>
    <n v="746.76"/>
    <n v="29.428979999999999"/>
    <n v="209.797"/>
    <n v="917.11768637420846"/>
    <n v="38.335992274889946"/>
    <n v="219.70094217289389"/>
  </r>
  <r>
    <s v="Regular"/>
    <x v="1"/>
    <x v="0"/>
    <x v="0"/>
    <x v="0"/>
    <x v="2"/>
    <x v="0"/>
    <x v="2"/>
    <x v="0"/>
    <n v="30"/>
    <n v="30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866.8999999999999"/>
    <n v="0"/>
    <n v="0"/>
    <n v="2292.7942159355212"/>
    <n v="0"/>
    <n v="0"/>
  </r>
  <r>
    <s v="Regular"/>
    <x v="1"/>
    <x v="0"/>
    <x v="0"/>
    <x v="0"/>
    <x v="2"/>
    <x v="0"/>
    <x v="2"/>
    <x v="1"/>
    <n v="2225"/>
    <n v="2225"/>
    <n v="66.191999999999993"/>
    <n v="66.191999999999993"/>
    <n v="66.191999999999993"/>
    <n v="66.191999999999993"/>
    <n v="0"/>
    <x v="2"/>
    <n v="0"/>
    <n v="11"/>
    <n v="110"/>
    <n v="88"/>
    <n v="62.23"/>
    <n v="51.27"/>
    <n v="365.5"/>
    <n v="76.426473864517376"/>
    <n v="66.787442987613147"/>
    <n v="382.75425465660959"/>
    <n v="138461.75"/>
    <n v="3393.6638399999997"/>
    <n v="24193.175999999996"/>
    <n v="170048.90434855115"/>
    <n v="4420.7944262360888"/>
    <n v="25335.269624230299"/>
  </r>
  <r>
    <s v="Sistema de Compensação"/>
    <x v="1"/>
    <x v="0"/>
    <x v="0"/>
    <x v="0"/>
    <x v="2"/>
    <x v="0"/>
    <x v="2"/>
    <x v="1"/>
    <n v="12"/>
    <n v="12"/>
    <n v="0.49199999999999999"/>
    <n v="0.49199999999999999"/>
    <n v="0.49199999999999999"/>
    <n v="0.49199999999999999"/>
    <n v="0"/>
    <x v="2"/>
    <n v="0"/>
    <n v="11"/>
    <n v="110"/>
    <n v="88"/>
    <n v="62.23"/>
    <n v="51.27"/>
    <n v="365.5"/>
    <n v="76.426473864517376"/>
    <n v="66.787442987613147"/>
    <n v="382.75425465660959"/>
    <n v="746.76"/>
    <n v="25.22484"/>
    <n v="179.82599999999999"/>
    <n v="917.11768637420846"/>
    <n v="32.859421949905666"/>
    <n v="188.31509329105191"/>
  </r>
  <r>
    <s v="Regular"/>
    <x v="1"/>
    <x v="0"/>
    <x v="0"/>
    <x v="0"/>
    <x v="2"/>
    <x v="0"/>
    <x v="2"/>
    <x v="1"/>
    <n v="30"/>
    <n v="30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866.8999999999999"/>
    <n v="0"/>
    <n v="0"/>
    <n v="2292.7942159355212"/>
    <n v="0"/>
    <n v="0"/>
  </r>
  <r>
    <s v="Regular"/>
    <x v="1"/>
    <x v="0"/>
    <x v="0"/>
    <x v="0"/>
    <x v="2"/>
    <x v="0"/>
    <x v="2"/>
    <x v="2"/>
    <n v="2225"/>
    <n v="2225"/>
    <n v="55.898000000000003"/>
    <n v="55.898000000000003"/>
    <n v="55.898000000000003"/>
    <n v="55.898000000000003"/>
    <n v="0"/>
    <x v="2"/>
    <n v="0"/>
    <n v="11"/>
    <n v="110"/>
    <n v="88"/>
    <n v="62.23"/>
    <n v="51.27"/>
    <n v="365.5"/>
    <n v="76.426473864517376"/>
    <n v="66.787442987613147"/>
    <n v="382.75425465660959"/>
    <n v="138461.75"/>
    <n v="2865.8904600000005"/>
    <n v="20430.719000000001"/>
    <n v="170048.90434855115"/>
    <n v="3733.2844881216001"/>
    <n v="21395.197326795165"/>
  </r>
  <r>
    <s v="Sistema de Compensação"/>
    <x v="1"/>
    <x v="0"/>
    <x v="0"/>
    <x v="0"/>
    <x v="2"/>
    <x v="0"/>
    <x v="2"/>
    <x v="2"/>
    <n v="12"/>
    <n v="12"/>
    <n v="0.57399999999999995"/>
    <n v="0.57399999999999995"/>
    <n v="0.57399999999999995"/>
    <n v="0.57399999999999995"/>
    <n v="0"/>
    <x v="2"/>
    <n v="0"/>
    <n v="11"/>
    <n v="110"/>
    <n v="88"/>
    <n v="62.23"/>
    <n v="51.27"/>
    <n v="365.5"/>
    <n v="76.426473864517376"/>
    <n v="66.787442987613147"/>
    <n v="382.75425465660959"/>
    <n v="746.76"/>
    <n v="29.428979999999999"/>
    <n v="209.797"/>
    <n v="917.11768637420846"/>
    <n v="38.335992274889946"/>
    <n v="219.70094217289389"/>
  </r>
  <r>
    <s v="Regular"/>
    <x v="1"/>
    <x v="0"/>
    <x v="0"/>
    <x v="0"/>
    <x v="2"/>
    <x v="0"/>
    <x v="2"/>
    <x v="2"/>
    <n v="30"/>
    <n v="30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866.8999999999999"/>
    <n v="0"/>
    <n v="0"/>
    <n v="2292.7942159355212"/>
    <n v="0"/>
    <n v="0"/>
  </r>
  <r>
    <s v="Regular"/>
    <x v="1"/>
    <x v="0"/>
    <x v="0"/>
    <x v="0"/>
    <x v="2"/>
    <x v="0"/>
    <x v="2"/>
    <x v="3"/>
    <n v="2228"/>
    <n v="2228"/>
    <n v="50.235999999999997"/>
    <n v="50.235999999999997"/>
    <n v="50.235999999999997"/>
    <n v="50.235999999999997"/>
    <n v="0"/>
    <x v="2"/>
    <n v="0"/>
    <n v="11"/>
    <n v="110"/>
    <n v="88"/>
    <n v="62.23"/>
    <n v="51.27"/>
    <n v="365.5"/>
    <n v="76.426473864517376"/>
    <n v="66.787442987613147"/>
    <n v="382.75425465660959"/>
    <n v="138648.44"/>
    <n v="2575.5997200000002"/>
    <n v="18361.257999999998"/>
    <n v="170278.18377014471"/>
    <n v="3355.1339859257337"/>
    <n v="19228.042736929438"/>
  </r>
  <r>
    <s v="Sistema de Compensação"/>
    <x v="1"/>
    <x v="0"/>
    <x v="0"/>
    <x v="0"/>
    <x v="2"/>
    <x v="0"/>
    <x v="2"/>
    <x v="3"/>
    <n v="12"/>
    <n v="12"/>
    <n v="0.57399999999999995"/>
    <n v="0.57399999999999995"/>
    <n v="0.57399999999999995"/>
    <n v="0.57399999999999995"/>
    <n v="0"/>
    <x v="2"/>
    <n v="0"/>
    <n v="11"/>
    <n v="110"/>
    <n v="88"/>
    <n v="62.23"/>
    <n v="51.27"/>
    <n v="365.5"/>
    <n v="76.426473864517376"/>
    <n v="66.787442987613147"/>
    <n v="382.75425465660959"/>
    <n v="746.76"/>
    <n v="29.428979999999999"/>
    <n v="209.797"/>
    <n v="917.11768637420846"/>
    <n v="38.335992274889946"/>
    <n v="219.70094217289389"/>
  </r>
  <r>
    <s v="Regular"/>
    <x v="1"/>
    <x v="0"/>
    <x v="0"/>
    <x v="0"/>
    <x v="2"/>
    <x v="0"/>
    <x v="2"/>
    <x v="3"/>
    <n v="30"/>
    <n v="30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866.8999999999999"/>
    <n v="0"/>
    <n v="0"/>
    <n v="2292.7942159355212"/>
    <n v="0"/>
    <n v="0"/>
  </r>
  <r>
    <s v="Regular"/>
    <x v="1"/>
    <x v="0"/>
    <x v="0"/>
    <x v="0"/>
    <x v="2"/>
    <x v="0"/>
    <x v="2"/>
    <x v="4"/>
    <n v="2220"/>
    <n v="2220"/>
    <n v="54.576000000000001"/>
    <n v="54.576000000000001"/>
    <n v="54.576000000000001"/>
    <n v="54.576000000000001"/>
    <n v="0"/>
    <x v="2"/>
    <n v="0"/>
    <n v="11"/>
    <n v="110"/>
    <n v="88"/>
    <n v="62.23"/>
    <n v="51.27"/>
    <n v="365.5"/>
    <n v="76.426473864517376"/>
    <n v="66.787442987613147"/>
    <n v="382.75425465660959"/>
    <n v="138150.6"/>
    <n v="2798.1115200000004"/>
    <n v="19947.527999999998"/>
    <n v="169666.77197922856"/>
    <n v="3644.9914884919754"/>
    <n v="20889.196202139126"/>
  </r>
  <r>
    <s v="Sistema de Compensação"/>
    <x v="1"/>
    <x v="0"/>
    <x v="0"/>
    <x v="0"/>
    <x v="2"/>
    <x v="0"/>
    <x v="2"/>
    <x v="4"/>
    <n v="12"/>
    <n v="12"/>
    <n v="0.08"/>
    <n v="0.08"/>
    <n v="0.08"/>
    <n v="0.08"/>
    <n v="0"/>
    <x v="2"/>
    <n v="0"/>
    <n v="11"/>
    <n v="110"/>
    <n v="88"/>
    <n v="62.23"/>
    <n v="51.27"/>
    <n v="365.5"/>
    <n v="76.426473864517376"/>
    <n v="66.787442987613147"/>
    <n v="382.75425465660959"/>
    <n v="746.76"/>
    <n v="4.1016000000000004"/>
    <n v="29.240000000000002"/>
    <n v="917.11768637420846"/>
    <n v="5.3429954390090515"/>
    <n v="30.620340372528769"/>
  </r>
  <r>
    <s v="Regular"/>
    <x v="1"/>
    <x v="0"/>
    <x v="0"/>
    <x v="0"/>
    <x v="2"/>
    <x v="0"/>
    <x v="2"/>
    <x v="4"/>
    <n v="1438"/>
    <n v="1438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89486.739999999991"/>
    <n v="0"/>
    <n v="0"/>
    <n v="109901.26941717599"/>
    <n v="0"/>
    <n v="0"/>
  </r>
  <r>
    <s v="Regular"/>
    <x v="1"/>
    <x v="0"/>
    <x v="0"/>
    <x v="0"/>
    <x v="2"/>
    <x v="0"/>
    <x v="2"/>
    <x v="5"/>
    <n v="2237"/>
    <n v="2237"/>
    <n v="57.249000000000002"/>
    <n v="57.249000000000002"/>
    <n v="57.249000000000002"/>
    <n v="57.249000000000002"/>
    <n v="0"/>
    <x v="2"/>
    <n v="0"/>
    <n v="11"/>
    <n v="110"/>
    <n v="88"/>
    <n v="62.23"/>
    <n v="51.27"/>
    <n v="365.5"/>
    <n v="76.426473864517376"/>
    <n v="66.787442987613147"/>
    <n v="382.75425465660959"/>
    <n v="139208.50999999998"/>
    <n v="2935.1562300000005"/>
    <n v="20924.5095"/>
    <n v="170966.02203492538"/>
    <n v="3823.5143235978653"/>
    <n v="21912.298324836243"/>
  </r>
  <r>
    <s v="Sistema de Compensação"/>
    <x v="1"/>
    <x v="0"/>
    <x v="0"/>
    <x v="0"/>
    <x v="2"/>
    <x v="0"/>
    <x v="2"/>
    <x v="5"/>
    <n v="12"/>
    <n v="12"/>
    <n v="0"/>
    <n v="0"/>
    <n v="0"/>
    <n v="0"/>
    <n v="0"/>
    <x v="2"/>
    <n v="0"/>
    <n v="11"/>
    <n v="0"/>
    <n v="0"/>
    <n v="62.23"/>
    <n v="0"/>
    <n v="0"/>
    <n v="76.426473864517376"/>
    <n v="66.787442987613147"/>
    <n v="382.75425465660959"/>
    <n v="746.76"/>
    <n v="0"/>
    <n v="0"/>
    <n v="917.11768637420846"/>
    <n v="0"/>
    <n v="0"/>
  </r>
  <r>
    <s v="Regular"/>
    <x v="1"/>
    <x v="0"/>
    <x v="0"/>
    <x v="0"/>
    <x v="2"/>
    <x v="0"/>
    <x v="2"/>
    <x v="5"/>
    <n v="30"/>
    <n v="30"/>
    <n v="0"/>
    <n v="0"/>
    <n v="0"/>
    <n v="0"/>
    <n v="0"/>
    <x v="1"/>
    <n v="0"/>
    <n v="11"/>
    <n v="0"/>
    <n v="0"/>
    <n v="62.23"/>
    <n v="0"/>
    <n v="0"/>
    <n v="76.426473864517376"/>
    <n v="66.787442987613147"/>
    <m/>
    <n v="1866.8999999999999"/>
    <n v="0"/>
    <n v="0"/>
    <n v="2292.7942159355212"/>
    <n v="0"/>
    <n v="0"/>
  </r>
  <r>
    <s v="Regular"/>
    <x v="1"/>
    <x v="0"/>
    <x v="0"/>
    <x v="0"/>
    <x v="2"/>
    <x v="0"/>
    <x v="2"/>
    <x v="6"/>
    <n v="2324"/>
    <n v="2324"/>
    <n v="59.393000000000001"/>
    <n v="59.393000000000001"/>
    <n v="59.393000000000001"/>
    <n v="59.393000000000001"/>
    <n v="0"/>
    <x v="2"/>
    <n v="0"/>
    <n v="11"/>
    <n v="110"/>
    <n v="88"/>
    <n v="62.23"/>
    <n v="51.27"/>
    <n v="365.5"/>
    <n v="76.426473864517376"/>
    <n v="66.787442987613147"/>
    <n v="382.75425465660959"/>
    <n v="144622.51999999999"/>
    <n v="3045.0791100000001"/>
    <n v="21708.141500000002"/>
    <n v="177615.1252611384"/>
    <n v="3966.7066013633075"/>
    <n v="22732.923446820012"/>
  </r>
  <r>
    <s v="Sistema de Compensação"/>
    <x v="1"/>
    <x v="0"/>
    <x v="0"/>
    <x v="0"/>
    <x v="2"/>
    <x v="0"/>
    <x v="2"/>
    <x v="6"/>
    <n v="12"/>
    <n v="12"/>
    <n v="0"/>
    <n v="0"/>
    <n v="0"/>
    <n v="0"/>
    <n v="0"/>
    <x v="2"/>
    <n v="0"/>
    <n v="11"/>
    <n v="0"/>
    <n v="0"/>
    <n v="62.23"/>
    <n v="0"/>
    <n v="0"/>
    <n v="76.426473864517376"/>
    <n v="66.787442987613147"/>
    <n v="382.75425465660959"/>
    <n v="746.76"/>
    <n v="0"/>
    <n v="0"/>
    <n v="917.11768637420846"/>
    <n v="0"/>
    <n v="0"/>
  </r>
  <r>
    <s v="Regular"/>
    <x v="1"/>
    <x v="0"/>
    <x v="0"/>
    <x v="0"/>
    <x v="2"/>
    <x v="0"/>
    <x v="2"/>
    <x v="7"/>
    <n v="2357"/>
    <n v="2357"/>
    <n v="54.738"/>
    <n v="54.738"/>
    <n v="54.738"/>
    <n v="54.738"/>
    <n v="0"/>
    <x v="2"/>
    <n v="0"/>
    <n v="11"/>
    <n v="110"/>
    <n v="88"/>
    <n v="62.23"/>
    <n v="51.27"/>
    <n v="365.5"/>
    <n v="76.426473864517376"/>
    <n v="66.787442987613147"/>
    <n v="382.75425465660959"/>
    <n v="146676.10999999999"/>
    <n v="2806.4172600000002"/>
    <n v="20006.739000000001"/>
    <n v="180137.19889866747"/>
    <n v="3655.8110542559684"/>
    <n v="20951.202391393497"/>
  </r>
  <r>
    <s v="Sistema de Compensação"/>
    <x v="1"/>
    <x v="0"/>
    <x v="0"/>
    <x v="0"/>
    <x v="2"/>
    <x v="0"/>
    <x v="2"/>
    <x v="7"/>
    <n v="29"/>
    <n v="29"/>
    <n v="1.476"/>
    <n v="1.476"/>
    <n v="1.476"/>
    <n v="1.476"/>
    <n v="0"/>
    <x v="2"/>
    <n v="0"/>
    <n v="11"/>
    <n v="110"/>
    <n v="88"/>
    <n v="62.23"/>
    <n v="51.27"/>
    <n v="365.5"/>
    <n v="76.426473864517376"/>
    <n v="66.787442987613147"/>
    <n v="382.75425465660959"/>
    <n v="1804.6699999999998"/>
    <n v="75.674520000000001"/>
    <n v="539.47799999999995"/>
    <n v="2216.3677420710037"/>
    <n v="98.578265849716999"/>
    <n v="564.94527987315576"/>
  </r>
  <r>
    <s v="Regular"/>
    <x v="1"/>
    <x v="0"/>
    <x v="0"/>
    <x v="0"/>
    <x v="2"/>
    <x v="0"/>
    <x v="2"/>
    <x v="8"/>
    <n v="1607"/>
    <n v="1607"/>
    <n v="56.951000000000001"/>
    <n v="56.951000000000001"/>
    <n v="56.951000000000001"/>
    <n v="56.951000000000001"/>
    <n v="0"/>
    <x v="2"/>
    <n v="0"/>
    <n v="11"/>
    <n v="110"/>
    <n v="88"/>
    <n v="62.23"/>
    <n v="51.27"/>
    <n v="365.5"/>
    <n v="76.426473864517376"/>
    <n v="66.787442987613147"/>
    <n v="382.75425465660959"/>
    <n v="100003.61"/>
    <n v="2919.8777700000001"/>
    <n v="20815.590499999998"/>
    <n v="122817.34350027943"/>
    <n v="3803.6116655875562"/>
    <n v="21798.237556948574"/>
  </r>
  <r>
    <s v="Sistema de Compensação"/>
    <x v="1"/>
    <x v="0"/>
    <x v="0"/>
    <x v="0"/>
    <x v="2"/>
    <x v="0"/>
    <x v="2"/>
    <x v="8"/>
    <n v="31"/>
    <n v="31"/>
    <n v="0.90200000000000002"/>
    <n v="0.90200000000000002"/>
    <n v="0.90200000000000002"/>
    <n v="0.90200000000000002"/>
    <n v="0"/>
    <x v="2"/>
    <n v="0"/>
    <n v="11"/>
    <n v="110"/>
    <n v="88"/>
    <n v="62.23"/>
    <n v="51.27"/>
    <n v="365.5"/>
    <n v="76.426473864517376"/>
    <n v="66.787442987613147"/>
    <n v="382.75425465660959"/>
    <n v="1929.1299999999999"/>
    <n v="46.245540000000005"/>
    <n v="329.68099999999998"/>
    <n v="2369.2206898000386"/>
    <n v="60.24227357482706"/>
    <n v="345.24433770026184"/>
  </r>
  <r>
    <s v="Regular"/>
    <x v="1"/>
    <x v="0"/>
    <x v="0"/>
    <x v="0"/>
    <x v="2"/>
    <x v="0"/>
    <x v="2"/>
    <x v="9"/>
    <n v="1517"/>
    <n v="1517"/>
    <n v="51.756999999999998"/>
    <n v="51.756999999999998"/>
    <n v="51.756999999999998"/>
    <n v="51.756999999999998"/>
    <n v="0"/>
    <x v="2"/>
    <n v="0"/>
    <n v="11"/>
    <n v="110"/>
    <n v="88"/>
    <n v="62.23"/>
    <n v="51.27"/>
    <n v="365.5"/>
    <n v="76.426473864517376"/>
    <n v="66.787442987613147"/>
    <n v="382.75425465660959"/>
    <n v="94402.909999999989"/>
    <n v="2653.5813899999998"/>
    <n v="18917.183499999999"/>
    <n v="115938.96085247285"/>
    <n v="3456.7176867098933"/>
    <n v="19810.211958262142"/>
  </r>
  <r>
    <s v="Sistema de Compensação"/>
    <x v="1"/>
    <x v="0"/>
    <x v="0"/>
    <x v="0"/>
    <x v="2"/>
    <x v="0"/>
    <x v="2"/>
    <x v="9"/>
    <n v="29"/>
    <n v="29"/>
    <n v="0.91100000000000003"/>
    <n v="0.91100000000000003"/>
    <n v="0.91100000000000003"/>
    <n v="0.91100000000000003"/>
    <n v="0"/>
    <x v="2"/>
    <n v="0"/>
    <n v="11"/>
    <n v="110"/>
    <n v="88"/>
    <n v="62.23"/>
    <n v="51.27"/>
    <n v="365.5"/>
    <n v="76.426473864517376"/>
    <n v="66.787442987613147"/>
    <n v="382.75425465660959"/>
    <n v="1804.6699999999998"/>
    <n v="46.706970000000005"/>
    <n v="332.97050000000002"/>
    <n v="2216.3677420710037"/>
    <n v="60.843360561715578"/>
    <n v="348.68912599217134"/>
  </r>
  <r>
    <s v="Regular"/>
    <x v="1"/>
    <x v="0"/>
    <x v="0"/>
    <x v="0"/>
    <x v="2"/>
    <x v="0"/>
    <x v="2"/>
    <x v="10"/>
    <n v="1635"/>
    <n v="1635"/>
    <n v="55.417000000000002"/>
    <n v="55.417000000000002"/>
    <n v="55.417000000000002"/>
    <n v="55.417000000000002"/>
    <n v="0"/>
    <x v="2"/>
    <n v="0"/>
    <n v="11"/>
    <n v="110"/>
    <n v="88"/>
    <n v="62.23"/>
    <n v="51.27"/>
    <n v="365.5"/>
    <n v="76.426473864517376"/>
    <n v="66.787442987613147"/>
    <n v="382.75425465660959"/>
    <n v="101746.04999999999"/>
    <n v="2841.2295900000004"/>
    <n v="20254.913500000002"/>
    <n v="124957.28476848592"/>
    <n v="3701.1597280445581"/>
    <n v="21211.092530305334"/>
  </r>
  <r>
    <s v="Sistema de Compensação"/>
    <x v="1"/>
    <x v="0"/>
    <x v="0"/>
    <x v="0"/>
    <x v="2"/>
    <x v="0"/>
    <x v="2"/>
    <x v="10"/>
    <n v="30"/>
    <n v="30"/>
    <n v="0.92"/>
    <n v="0.92"/>
    <n v="0.92"/>
    <n v="0.92"/>
    <n v="0"/>
    <x v="2"/>
    <n v="0"/>
    <n v="11"/>
    <n v="110"/>
    <n v="88"/>
    <n v="62.23"/>
    <n v="51.27"/>
    <n v="365.5"/>
    <n v="76.426473864517376"/>
    <n v="66.787442987613147"/>
    <n v="382.75425465660959"/>
    <n v="1866.8999999999999"/>
    <n v="47.168400000000005"/>
    <n v="336.26"/>
    <n v="2292.7942159355212"/>
    <n v="61.444447548604096"/>
    <n v="352.13391428408084"/>
  </r>
  <r>
    <s v="PROJETADO"/>
    <x v="1"/>
    <x v="0"/>
    <x v="0"/>
    <x v="0"/>
    <x v="2"/>
    <x v="0"/>
    <x v="2"/>
    <x v="11"/>
    <n v="1635"/>
    <n v="1635"/>
    <n v="55.417000000000002"/>
    <n v="55.417000000000002"/>
    <n v="55.417000000000002"/>
    <n v="55.417000000000002"/>
    <n v="0"/>
    <x v="2"/>
    <n v="0"/>
    <n v="11"/>
    <n v="110"/>
    <n v="88"/>
    <n v="62.23"/>
    <n v="51.27"/>
    <n v="365.5"/>
    <n v="76.426473864517376"/>
    <n v="66.787442987613147"/>
    <n v="382.75425465660959"/>
    <n v="101746.04999999999"/>
    <n v="2841.2295900000004"/>
    <n v="20254.913500000002"/>
    <n v="124957.28476848592"/>
    <n v="3701.1597280445581"/>
    <n v="21211.092530305334"/>
  </r>
  <r>
    <s v="PROJETADO"/>
    <x v="1"/>
    <x v="0"/>
    <x v="0"/>
    <x v="0"/>
    <x v="2"/>
    <x v="0"/>
    <x v="2"/>
    <x v="11"/>
    <n v="30"/>
    <n v="30"/>
    <n v="0.92"/>
    <n v="0.92"/>
    <n v="0.92"/>
    <n v="0.92"/>
    <n v="0"/>
    <x v="2"/>
    <n v="0"/>
    <n v="11"/>
    <n v="110"/>
    <n v="88"/>
    <n v="62.23"/>
    <n v="51.27"/>
    <n v="365.5"/>
    <n v="76.426473864517376"/>
    <n v="66.787442987613147"/>
    <n v="382.75425465660959"/>
    <n v="1866.8999999999999"/>
    <n v="47.168400000000005"/>
    <n v="336.26"/>
    <n v="2292.7942159355212"/>
    <n v="61.444447548604096"/>
    <n v="352.13391428408084"/>
  </r>
  <r>
    <s v="Regular"/>
    <x v="1"/>
    <x v="0"/>
    <x v="1"/>
    <x v="0"/>
    <x v="2"/>
    <x v="0"/>
    <x v="1"/>
    <x v="0"/>
    <n v="3687"/>
    <n v="3687"/>
    <n v="1108.0540000000001"/>
    <n v="1108.0540000000001"/>
    <n v="1108.0540000000001"/>
    <n v="1108.0540000000001"/>
    <n v="0"/>
    <x v="2"/>
    <n v="0"/>
    <n v="12"/>
    <n v="110"/>
    <n v="89"/>
    <n v="24.31"/>
    <n v="51.27"/>
    <n v="222.31"/>
    <n v="27.784726797371405"/>
    <n v="66.787442987613147"/>
    <n v="236.64237028527376"/>
    <n v="89630.97"/>
    <n v="56809.928580000007"/>
    <n v="246331.48474000001"/>
    <n v="102442.28770190837"/>
    <n v="74004.093352196709"/>
    <n v="262212.52496407874"/>
  </r>
  <r>
    <s v="Regular"/>
    <x v="1"/>
    <x v="0"/>
    <x v="1"/>
    <x v="0"/>
    <x v="2"/>
    <x v="0"/>
    <x v="1"/>
    <x v="1"/>
    <n v="3598"/>
    <n v="3598"/>
    <n v="1018.43"/>
    <n v="1018.43"/>
    <n v="1018.43"/>
    <n v="1018.43"/>
    <n v="0"/>
    <x v="2"/>
    <n v="0"/>
    <n v="12"/>
    <n v="110"/>
    <n v="89"/>
    <n v="24.31"/>
    <n v="51.27"/>
    <n v="222.31"/>
    <n v="27.784726797371405"/>
    <n v="66.787442987613147"/>
    <n v="236.64237028527376"/>
    <n v="87467.37999999999"/>
    <n v="52214.9061"/>
    <n v="226407.17329999999"/>
    <n v="99969.447016942315"/>
    <n v="68018.335561874861"/>
    <n v="241003.68916963134"/>
  </r>
  <r>
    <s v="Regular"/>
    <x v="1"/>
    <x v="0"/>
    <x v="1"/>
    <x v="0"/>
    <x v="2"/>
    <x v="0"/>
    <x v="1"/>
    <x v="2"/>
    <n v="3812"/>
    <n v="3812"/>
    <n v="951.928"/>
    <n v="951.928"/>
    <n v="951.928"/>
    <n v="951.928"/>
    <n v="0"/>
    <x v="2"/>
    <n v="0"/>
    <n v="12"/>
    <n v="110"/>
    <n v="89"/>
    <n v="24.31"/>
    <n v="51.27"/>
    <n v="222.31"/>
    <n v="27.784726797371405"/>
    <n v="66.787442987613147"/>
    <n v="236.64237028527376"/>
    <n v="92669.72"/>
    <n v="48805.348560000006"/>
    <n v="211623.11368000001"/>
    <n v="105915.37855157979"/>
    <n v="63576.837028312606"/>
    <n v="225266.49826092008"/>
  </r>
  <r>
    <s v="Regular"/>
    <x v="1"/>
    <x v="0"/>
    <x v="1"/>
    <x v="0"/>
    <x v="2"/>
    <x v="0"/>
    <x v="1"/>
    <x v="3"/>
    <n v="3550"/>
    <n v="3550"/>
    <n v="899.85199999999998"/>
    <n v="899.85199999999998"/>
    <n v="899.85199999999998"/>
    <n v="899.85199999999998"/>
    <n v="0"/>
    <x v="2"/>
    <n v="0"/>
    <n v="12"/>
    <n v="110"/>
    <n v="89"/>
    <n v="24.31"/>
    <n v="51.27"/>
    <n v="222.31"/>
    <n v="27.784726797371405"/>
    <n v="66.787442987613147"/>
    <n v="236.64237028527376"/>
    <n v="86300.5"/>
    <n v="46135.412040000003"/>
    <n v="200046.09812000001"/>
    <n v="98635.780130668485"/>
    <n v="60098.814147289668"/>
    <n v="212943.11018594416"/>
  </r>
  <r>
    <s v="Refaturamento - Regular"/>
    <x v="1"/>
    <x v="0"/>
    <x v="1"/>
    <x v="0"/>
    <x v="2"/>
    <x v="0"/>
    <x v="1"/>
    <x v="3"/>
    <n v="-220"/>
    <n v="-220"/>
    <n v="0"/>
    <n v="0"/>
    <n v="0"/>
    <n v="0"/>
    <n v="0"/>
    <x v="2"/>
    <n v="0"/>
    <n v="12"/>
    <n v="0"/>
    <n v="0"/>
    <n v="24.31"/>
    <n v="0"/>
    <n v="0"/>
    <n v="27.784726797371405"/>
    <n v="66.787442987613147"/>
    <n v="236.64237028527376"/>
    <n v="-5348.2"/>
    <n v="0"/>
    <n v="0"/>
    <n v="-6112.6398954217093"/>
    <n v="0"/>
    <n v="0"/>
  </r>
  <r>
    <s v="Regular"/>
    <x v="1"/>
    <x v="0"/>
    <x v="1"/>
    <x v="0"/>
    <x v="2"/>
    <x v="0"/>
    <x v="1"/>
    <x v="4"/>
    <n v="3545"/>
    <n v="3545"/>
    <n v="920.48500000000001"/>
    <n v="920.48500000000001"/>
    <n v="920.48500000000001"/>
    <n v="920.48500000000001"/>
    <n v="0"/>
    <x v="2"/>
    <n v="0"/>
    <n v="12"/>
    <n v="110"/>
    <n v="89"/>
    <n v="24.31"/>
    <n v="51.27"/>
    <n v="222.31"/>
    <n v="27.784726797371405"/>
    <n v="66.787442987613147"/>
    <n v="236.64237028527376"/>
    <n v="86178.95"/>
    <n v="47193.265950000001"/>
    <n v="204633.02035000001"/>
    <n v="98496.856496681634"/>
    <n v="61476.839458453091"/>
    <n v="217825.75221204021"/>
  </r>
  <r>
    <s v="Regular"/>
    <x v="1"/>
    <x v="0"/>
    <x v="1"/>
    <x v="0"/>
    <x v="2"/>
    <x v="0"/>
    <x v="1"/>
    <x v="5"/>
    <n v="3870"/>
    <n v="3870"/>
    <n v="1019.596"/>
    <n v="1019.596"/>
    <n v="1019.596"/>
    <n v="1019.596"/>
    <n v="0"/>
    <x v="2"/>
    <n v="0"/>
    <n v="12"/>
    <n v="110"/>
    <n v="89"/>
    <n v="24.31"/>
    <n v="51.27"/>
    <n v="222.31"/>
    <n v="27.784726797371405"/>
    <n v="66.787442987613147"/>
    <n v="236.64237028527376"/>
    <n v="94079.7"/>
    <n v="52274.68692"/>
    <n v="226666.38675999999"/>
    <n v="107526.89270582734"/>
    <n v="68096.209720398416"/>
    <n v="241279.61417338398"/>
  </r>
  <r>
    <s v="Regular"/>
    <x v="1"/>
    <x v="0"/>
    <x v="1"/>
    <x v="0"/>
    <x v="2"/>
    <x v="0"/>
    <x v="1"/>
    <x v="6"/>
    <n v="4058"/>
    <n v="4058"/>
    <n v="1179.6420000000001"/>
    <n v="1179.6420000000001"/>
    <n v="1179.6420000000001"/>
    <n v="1179.6420000000001"/>
    <n v="0"/>
    <x v="2"/>
    <n v="0"/>
    <n v="12"/>
    <n v="110"/>
    <n v="89"/>
    <n v="24.31"/>
    <n v="51.27"/>
    <n v="222.31"/>
    <n v="27.784726797371405"/>
    <n v="66.787442987613147"/>
    <n v="236.64237028527376"/>
    <n v="98649.98"/>
    <n v="60480.245340000009"/>
    <n v="262246.21302000002"/>
    <n v="112750.42134373316"/>
    <n v="78785.272820793951"/>
    <n v="279153.27896806091"/>
  </r>
  <r>
    <s v="Regular"/>
    <x v="1"/>
    <x v="0"/>
    <x v="1"/>
    <x v="0"/>
    <x v="2"/>
    <x v="0"/>
    <x v="1"/>
    <x v="7"/>
    <n v="4120"/>
    <n v="4120"/>
    <n v="1184.915"/>
    <n v="1184.915"/>
    <n v="1184.915"/>
    <n v="1184.915"/>
    <n v="0"/>
    <x v="2"/>
    <n v="0"/>
    <n v="12"/>
    <n v="110"/>
    <n v="89"/>
    <n v="24.31"/>
    <n v="51.27"/>
    <n v="222.31"/>
    <n v="27.784726797371405"/>
    <n v="66.787442987613147"/>
    <n v="236.64237028527376"/>
    <n v="100157.2"/>
    <n v="60750.592049999999"/>
    <n v="263418.45364999998"/>
    <n v="114473.07440517019"/>
    <n v="79137.443007667636"/>
    <n v="280401.09418657515"/>
  </r>
  <r>
    <s v="Regular"/>
    <x v="1"/>
    <x v="0"/>
    <x v="1"/>
    <x v="0"/>
    <x v="2"/>
    <x v="0"/>
    <x v="1"/>
    <x v="8"/>
    <n v="4136"/>
    <n v="4136"/>
    <n v="1212.8989999999999"/>
    <n v="1212.8989999999999"/>
    <n v="1212.8989999999999"/>
    <n v="1212.8989999999999"/>
    <n v="0"/>
    <x v="2"/>
    <n v="0"/>
    <n v="12"/>
    <n v="110"/>
    <n v="89"/>
    <n v="24.31"/>
    <n v="51.27"/>
    <n v="222.31"/>
    <n v="27.784726797371405"/>
    <n v="66.787442987613147"/>
    <n v="236.64237028527376"/>
    <n v="100546.15999999999"/>
    <n v="62185.331729999998"/>
    <n v="269639.57668999996"/>
    <n v="114917.63003392813"/>
    <n v="81006.422812232995"/>
    <n v="287023.29427663825"/>
  </r>
  <r>
    <s v="Regular"/>
    <x v="1"/>
    <x v="0"/>
    <x v="1"/>
    <x v="0"/>
    <x v="2"/>
    <x v="0"/>
    <x v="1"/>
    <x v="9"/>
    <n v="7266"/>
    <n v="7266"/>
    <n v="1910.9829999999999"/>
    <n v="1910.9829999999999"/>
    <n v="1910.9829999999999"/>
    <n v="1910.9829999999999"/>
    <n v="0"/>
    <x v="2"/>
    <n v="0"/>
    <n v="12"/>
    <n v="110"/>
    <n v="89"/>
    <n v="24.31"/>
    <n v="51.27"/>
    <n v="222.31"/>
    <n v="27.784726797371405"/>
    <n v="66.787442987613147"/>
    <n v="236.64237028527376"/>
    <n v="176636.46"/>
    <n v="97976.098410000006"/>
    <n v="424830.63072999998"/>
    <n v="201883.82490970063"/>
    <n v="127629.66816279793"/>
    <n v="452219.5466948633"/>
  </r>
  <r>
    <s v="Regular"/>
    <x v="1"/>
    <x v="0"/>
    <x v="1"/>
    <x v="0"/>
    <x v="2"/>
    <x v="0"/>
    <x v="1"/>
    <x v="10"/>
    <n v="6780"/>
    <n v="6780"/>
    <n v="1810.422"/>
    <n v="1810.422"/>
    <n v="1810.422"/>
    <n v="1810.422"/>
    <n v="0"/>
    <x v="2"/>
    <n v="0"/>
    <n v="12"/>
    <n v="110"/>
    <n v="89"/>
    <n v="24.31"/>
    <n v="51.27"/>
    <n v="222.31"/>
    <n v="27.784726797371405"/>
    <n v="66.787442987613147"/>
    <n v="236.64237028527376"/>
    <n v="164821.79999999999"/>
    <n v="92820.335940000004"/>
    <n v="402474.91482000001"/>
    <n v="188380.44768617811"/>
    <n v="120913.45610852056"/>
    <n v="428422.55329660588"/>
  </r>
  <r>
    <s v="Refaturamento - Regular"/>
    <x v="1"/>
    <x v="0"/>
    <x v="1"/>
    <x v="0"/>
    <x v="2"/>
    <x v="0"/>
    <x v="1"/>
    <x v="10"/>
    <n v="-322"/>
    <n v="-322"/>
    <n v="-95.385000000000005"/>
    <n v="-95.385000000000005"/>
    <n v="-95.385000000000005"/>
    <n v="-95.385000000000005"/>
    <n v="0"/>
    <x v="2"/>
    <n v="0"/>
    <n v="12"/>
    <n v="110"/>
    <n v="89"/>
    <n v="24.31"/>
    <n v="51.27"/>
    <n v="222.31"/>
    <n v="27.784726797371405"/>
    <n v="66.787442987613147"/>
    <n v="236.64237028527376"/>
    <n v="-7827.82"/>
    <n v="-4890.3889500000005"/>
    <n v="-21205.039350000003"/>
    <n v="-8946.682028753592"/>
    <n v="-6370.5202493734805"/>
    <n v="-22572.132489660838"/>
  </r>
  <r>
    <s v="PROJETADO"/>
    <x v="1"/>
    <x v="0"/>
    <x v="1"/>
    <x v="0"/>
    <x v="2"/>
    <x v="0"/>
    <x v="1"/>
    <x v="11"/>
    <n v="6780"/>
    <n v="6780"/>
    <n v="1810.422"/>
    <n v="1810.422"/>
    <n v="1810.422"/>
    <n v="1810.422"/>
    <n v="0"/>
    <x v="2"/>
    <n v="0"/>
    <n v="12"/>
    <n v="110"/>
    <n v="89"/>
    <n v="24.31"/>
    <n v="51.27"/>
    <n v="222.31"/>
    <n v="27.784726797371405"/>
    <n v="66.787442987613147"/>
    <n v="236.64237028527376"/>
    <n v="164821.79999999999"/>
    <n v="92820.335940000004"/>
    <n v="402474.91482000001"/>
    <n v="188380.44768617811"/>
    <n v="120913.45610852056"/>
    <n v="428422.55329660588"/>
  </r>
  <r>
    <s v="PROJETADO"/>
    <x v="1"/>
    <x v="0"/>
    <x v="1"/>
    <x v="0"/>
    <x v="2"/>
    <x v="0"/>
    <x v="1"/>
    <x v="11"/>
    <n v="-322"/>
    <n v="-322"/>
    <n v="-95.385000000000005"/>
    <n v="-95.385000000000005"/>
    <n v="-95.385000000000005"/>
    <n v="-95.385000000000005"/>
    <n v="0"/>
    <x v="2"/>
    <n v="0"/>
    <n v="12"/>
    <n v="110"/>
    <n v="89"/>
    <n v="24.31"/>
    <n v="51.27"/>
    <n v="222.31"/>
    <n v="27.784726797371405"/>
    <n v="66.787442987613147"/>
    <n v="236.64237028527376"/>
    <n v="-7827.82"/>
    <n v="-4890.3889500000005"/>
    <n v="-21205.039350000003"/>
    <n v="-8946.682028753592"/>
    <n v="-6370.5202493734805"/>
    <n v="-22572.132489660838"/>
  </r>
  <r>
    <s v="Regular"/>
    <x v="1"/>
    <x v="0"/>
    <x v="1"/>
    <x v="0"/>
    <x v="2"/>
    <x v="0"/>
    <x v="2"/>
    <x v="0"/>
    <n v="2758"/>
    <n v="2758"/>
    <n v="104.32899999999999"/>
    <n v="104.32899999999999"/>
    <n v="104.32899999999999"/>
    <n v="104.32899999999999"/>
    <n v="0"/>
    <x v="2"/>
    <n v="0"/>
    <n v="11"/>
    <n v="110"/>
    <n v="88"/>
    <n v="62.23"/>
    <n v="51.27"/>
    <n v="365.5"/>
    <n v="76.426473864517376"/>
    <n v="66.787442987613147"/>
    <n v="382.75425465660959"/>
    <n v="171630.34"/>
    <n v="5348.9478300000001"/>
    <n v="38132.249499999998"/>
    <n v="210784.21491833893"/>
    <n v="6967.8671394546918"/>
    <n v="39932.368634069418"/>
  </r>
  <r>
    <s v="Regular"/>
    <x v="1"/>
    <x v="0"/>
    <x v="1"/>
    <x v="0"/>
    <x v="2"/>
    <x v="0"/>
    <x v="2"/>
    <x v="1"/>
    <n v="2690"/>
    <n v="2690"/>
    <n v="98.05"/>
    <n v="98.05"/>
    <n v="98.05"/>
    <n v="98.05"/>
    <n v="0"/>
    <x v="2"/>
    <n v="0"/>
    <n v="11"/>
    <n v="110"/>
    <n v="88"/>
    <n v="62.23"/>
    <n v="51.27"/>
    <n v="365.5"/>
    <n v="76.426473864517376"/>
    <n v="66.787442987613147"/>
    <n v="382.75425465660959"/>
    <n v="167398.69999999998"/>
    <n v="5027.0235000000002"/>
    <n v="35837.275000000001"/>
    <n v="205587.21469555175"/>
    <n v="6548.5087849354686"/>
    <n v="37529.054669080571"/>
  </r>
  <r>
    <s v="Regular"/>
    <x v="1"/>
    <x v="0"/>
    <x v="1"/>
    <x v="0"/>
    <x v="2"/>
    <x v="0"/>
    <x v="2"/>
    <x v="2"/>
    <n v="2816"/>
    <n v="2816"/>
    <n v="92.218000000000004"/>
    <n v="92.218000000000004"/>
    <n v="92.218000000000004"/>
    <n v="92.218000000000004"/>
    <n v="0"/>
    <x v="2"/>
    <n v="0"/>
    <n v="11"/>
    <n v="110"/>
    <n v="88"/>
    <n v="62.23"/>
    <n v="51.27"/>
    <n v="365.5"/>
    <n v="76.426473864517376"/>
    <n v="66.787442987613147"/>
    <n v="382.75425465660959"/>
    <n v="175239.67999999999"/>
    <n v="4728.0168600000006"/>
    <n v="33705.679000000004"/>
    <n v="215216.95040248093"/>
    <n v="6159.004417431709"/>
    <n v="35296.831855923221"/>
  </r>
  <r>
    <s v="Regular"/>
    <x v="1"/>
    <x v="0"/>
    <x v="1"/>
    <x v="0"/>
    <x v="2"/>
    <x v="0"/>
    <x v="2"/>
    <x v="3"/>
    <n v="2613"/>
    <n v="2613"/>
    <n v="89.968999999999994"/>
    <n v="89.968999999999994"/>
    <n v="89.968999999999994"/>
    <n v="89.968999999999994"/>
    <n v="0"/>
    <x v="2"/>
    <n v="0"/>
    <n v="11"/>
    <n v="110"/>
    <n v="88"/>
    <n v="62.23"/>
    <n v="51.27"/>
    <n v="365.5"/>
    <n v="76.426473864517376"/>
    <n v="66.787442987613147"/>
    <n v="382.75425465660959"/>
    <n v="162606.99"/>
    <n v="4612.7106299999996"/>
    <n v="32883.669499999996"/>
    <n v="199702.37620798391"/>
    <n v="6008.7994581525672"/>
    <n v="34436.017537200503"/>
  </r>
  <r>
    <s v="Refaturamento - Regular"/>
    <x v="1"/>
    <x v="0"/>
    <x v="1"/>
    <x v="0"/>
    <x v="2"/>
    <x v="0"/>
    <x v="2"/>
    <x v="3"/>
    <n v="-150"/>
    <n v="-150"/>
    <n v="0"/>
    <n v="0"/>
    <n v="0"/>
    <n v="0"/>
    <n v="0"/>
    <x v="2"/>
    <n v="0"/>
    <n v="11"/>
    <n v="0"/>
    <n v="0"/>
    <n v="62.23"/>
    <n v="0"/>
    <n v="0"/>
    <n v="76.426473864517376"/>
    <n v="66.787442987613147"/>
    <n v="382.75425465660959"/>
    <n v="-9334.5"/>
    <n v="0"/>
    <n v="0"/>
    <n v="-11463.971079677607"/>
    <n v="0"/>
    <n v="0"/>
  </r>
  <r>
    <s v="Regular"/>
    <x v="1"/>
    <x v="0"/>
    <x v="1"/>
    <x v="0"/>
    <x v="2"/>
    <x v="0"/>
    <x v="2"/>
    <x v="4"/>
    <n v="2589"/>
    <n v="2589"/>
    <n v="91.953999999999994"/>
    <n v="91.953999999999994"/>
    <n v="91.953999999999994"/>
    <n v="91.953999999999994"/>
    <n v="0"/>
    <x v="2"/>
    <n v="0"/>
    <n v="11"/>
    <n v="110"/>
    <n v="88"/>
    <n v="62.23"/>
    <n v="51.27"/>
    <n v="365.5"/>
    <n v="76.426473864517376"/>
    <n v="66.787442987613147"/>
    <n v="382.75425465660959"/>
    <n v="161113.47"/>
    <n v="4714.4815799999997"/>
    <n v="33609.186999999998"/>
    <n v="197868.14083523548"/>
    <n v="6141.3725324829793"/>
    <n v="35195.784732693879"/>
  </r>
  <r>
    <s v="Regular"/>
    <x v="1"/>
    <x v="0"/>
    <x v="1"/>
    <x v="0"/>
    <x v="2"/>
    <x v="0"/>
    <x v="2"/>
    <x v="5"/>
    <n v="2870"/>
    <n v="2870"/>
    <n v="99.352999999999994"/>
    <n v="99.352999999999994"/>
    <n v="99.352999999999994"/>
    <n v="99.352999999999994"/>
    <n v="0"/>
    <x v="2"/>
    <n v="0"/>
    <n v="11"/>
    <n v="110"/>
    <n v="88"/>
    <n v="62.23"/>
    <n v="51.27"/>
    <n v="365.5"/>
    <n v="76.426473864517376"/>
    <n v="66.787442987613147"/>
    <n v="382.75425465660959"/>
    <n v="178600.09999999998"/>
    <n v="5093.8283099999999"/>
    <n v="36313.521499999995"/>
    <n v="219343.97999116487"/>
    <n v="6635.532823148329"/>
    <n v="38027.783462898129"/>
  </r>
  <r>
    <s v="Regular"/>
    <x v="1"/>
    <x v="0"/>
    <x v="1"/>
    <x v="0"/>
    <x v="2"/>
    <x v="0"/>
    <x v="2"/>
    <x v="6"/>
    <n v="2895"/>
    <n v="2895"/>
    <n v="106.759"/>
    <n v="106.759"/>
    <n v="106.759"/>
    <n v="106.759"/>
    <n v="0"/>
    <x v="2"/>
    <n v="0"/>
    <n v="11"/>
    <n v="110"/>
    <n v="88"/>
    <n v="62.23"/>
    <n v="51.27"/>
    <n v="365.5"/>
    <n v="76.426473864517376"/>
    <n v="66.787442987613147"/>
    <n v="382.75425465660959"/>
    <n v="180155.84999999998"/>
    <n v="5473.5339300000005"/>
    <n v="39020.414499999999"/>
    <n v="221254.6418377778"/>
    <n v="7130.1606259145919"/>
    <n v="40862.461472884985"/>
  </r>
  <r>
    <s v="Regular"/>
    <x v="1"/>
    <x v="0"/>
    <x v="1"/>
    <x v="0"/>
    <x v="2"/>
    <x v="0"/>
    <x v="2"/>
    <x v="7"/>
    <n v="2968"/>
    <n v="2968"/>
    <n v="112.881"/>
    <n v="112.881"/>
    <n v="112.881"/>
    <n v="112.881"/>
    <n v="0"/>
    <x v="2"/>
    <n v="0"/>
    <n v="11"/>
    <n v="110"/>
    <n v="88"/>
    <n v="62.23"/>
    <n v="51.27"/>
    <n v="365.5"/>
    <n v="76.426473864517376"/>
    <n v="66.787442987613147"/>
    <n v="382.75425465660959"/>
    <n v="184698.63999999998"/>
    <n v="5787.4088700000002"/>
    <n v="41258.005499999999"/>
    <n v="226833.77442988756"/>
    <n v="7539.0333518847601"/>
    <n v="43205.683019892749"/>
  </r>
  <r>
    <s v="Regular"/>
    <x v="1"/>
    <x v="0"/>
    <x v="1"/>
    <x v="0"/>
    <x v="2"/>
    <x v="0"/>
    <x v="2"/>
    <x v="8"/>
    <n v="2949"/>
    <n v="2949"/>
    <n v="125.82899999999999"/>
    <n v="125.82899999999999"/>
    <n v="125.82899999999999"/>
    <n v="125.82899999999999"/>
    <n v="0"/>
    <x v="2"/>
    <n v="0"/>
    <n v="11"/>
    <n v="110"/>
    <n v="88"/>
    <n v="62.23"/>
    <n v="51.27"/>
    <n v="365.5"/>
    <n v="76.426473864517376"/>
    <n v="66.787442987613147"/>
    <n v="382.75425465660959"/>
    <n v="183516.27"/>
    <n v="6451.2528300000004"/>
    <n v="45990.499499999998"/>
    <n v="225381.67142646175"/>
    <n v="8403.797163688374"/>
    <n v="48161.585109186526"/>
  </r>
  <r>
    <s v="Regular"/>
    <x v="1"/>
    <x v="0"/>
    <x v="1"/>
    <x v="0"/>
    <x v="2"/>
    <x v="0"/>
    <x v="2"/>
    <x v="9"/>
    <n v="5444"/>
    <n v="5444"/>
    <n v="189.29400000000001"/>
    <n v="189.29400000000001"/>
    <n v="189.29400000000001"/>
    <n v="189.29400000000001"/>
    <n v="0"/>
    <x v="2"/>
    <n v="0"/>
    <n v="11"/>
    <n v="110"/>
    <n v="88"/>
    <n v="62.23"/>
    <n v="51.27"/>
    <n v="365.5"/>
    <n v="76.426473864517376"/>
    <n v="66.787442987613147"/>
    <n v="382.75425465660959"/>
    <n v="338780.12"/>
    <n v="9705.1033800000005"/>
    <n v="69186.957000000009"/>
    <n v="416065.72371843259"/>
    <n v="12642.462232897244"/>
    <n v="72453.083880968261"/>
  </r>
  <r>
    <s v="Regular"/>
    <x v="1"/>
    <x v="0"/>
    <x v="1"/>
    <x v="0"/>
    <x v="2"/>
    <x v="0"/>
    <x v="2"/>
    <x v="10"/>
    <n v="5147"/>
    <n v="5147"/>
    <n v="189.32900000000001"/>
    <n v="189.32900000000001"/>
    <n v="189.32900000000001"/>
    <n v="189.32900000000001"/>
    <n v="0"/>
    <x v="2"/>
    <n v="0"/>
    <n v="11"/>
    <n v="110"/>
    <n v="88"/>
    <n v="62.23"/>
    <n v="51.27"/>
    <n v="365.5"/>
    <n v="76.426473864517376"/>
    <n v="66.787442987613147"/>
    <n v="382.75425465660959"/>
    <n v="320297.81"/>
    <n v="9706.8978300000017"/>
    <n v="69199.749500000005"/>
    <n v="393367.06098067091"/>
    <n v="12644.799793401809"/>
    <n v="72466.480279881245"/>
  </r>
  <r>
    <s v="Refaturamento - Regular"/>
    <x v="1"/>
    <x v="0"/>
    <x v="1"/>
    <x v="0"/>
    <x v="2"/>
    <x v="0"/>
    <x v="2"/>
    <x v="10"/>
    <n v="-253"/>
    <n v="-253"/>
    <n v="-11.163"/>
    <n v="-11.163"/>
    <n v="-11.163"/>
    <n v="-11.163"/>
    <n v="0"/>
    <x v="2"/>
    <n v="0"/>
    <n v="11"/>
    <n v="110"/>
    <n v="88"/>
    <n v="62.23"/>
    <n v="51.27"/>
    <n v="365.5"/>
    <n v="76.426473864517376"/>
    <n v="66.787442987613147"/>
    <n v="382.75425465660959"/>
    <n v="-15744.189999999999"/>
    <n v="-572.32701000000009"/>
    <n v="-4080.0765000000001"/>
    <n v="-19335.897887722895"/>
    <n v="-745.5482260707256"/>
    <n v="-4272.6857447317334"/>
  </r>
  <r>
    <s v="PROJETADO"/>
    <x v="1"/>
    <x v="0"/>
    <x v="1"/>
    <x v="0"/>
    <x v="2"/>
    <x v="0"/>
    <x v="2"/>
    <x v="11"/>
    <n v="5147"/>
    <n v="5147"/>
    <n v="189.32900000000001"/>
    <n v="189.32900000000001"/>
    <n v="189.32900000000001"/>
    <n v="189.32900000000001"/>
    <n v="0"/>
    <x v="2"/>
    <n v="0"/>
    <n v="11"/>
    <n v="110"/>
    <n v="88"/>
    <n v="62.23"/>
    <n v="51.27"/>
    <n v="365.5"/>
    <n v="76.426473864517376"/>
    <n v="66.787442987613147"/>
    <n v="382.75425465660959"/>
    <n v="320297.81"/>
    <n v="9706.8978300000017"/>
    <n v="69199.749500000005"/>
    <n v="393367.06098067091"/>
    <n v="12644.799793401809"/>
    <n v="72466.480279881245"/>
  </r>
  <r>
    <s v="PROJETADO"/>
    <x v="1"/>
    <x v="0"/>
    <x v="1"/>
    <x v="0"/>
    <x v="2"/>
    <x v="0"/>
    <x v="2"/>
    <x v="11"/>
    <n v="-253"/>
    <n v="-253"/>
    <n v="-11.163"/>
    <n v="-11.163"/>
    <n v="-11.163"/>
    <n v="-11.163"/>
    <n v="0"/>
    <x v="2"/>
    <n v="0"/>
    <n v="11"/>
    <n v="110"/>
    <n v="88"/>
    <n v="62.23"/>
    <n v="51.27"/>
    <n v="365.5"/>
    <n v="76.426473864517376"/>
    <n v="66.787442987613147"/>
    <n v="382.75425465660959"/>
    <n v="-15744.189999999999"/>
    <n v="-572.32701000000009"/>
    <n v="-4080.0765000000001"/>
    <n v="-19335.897887722895"/>
    <n v="-745.5482260707256"/>
    <n v="-4272.6857447317334"/>
  </r>
  <r>
    <s v="Regular"/>
    <x v="1"/>
    <x v="0"/>
    <x v="2"/>
    <x v="0"/>
    <x v="2"/>
    <x v="0"/>
    <x v="1"/>
    <x v="0"/>
    <n v="910"/>
    <n v="873.6"/>
    <n v="325.13099999999997"/>
    <n v="312.12576000000001"/>
    <n v="325.13099999999997"/>
    <n v="312.12576000000001"/>
    <n v="0"/>
    <x v="2"/>
    <n v="0"/>
    <n v="12"/>
    <n v="110"/>
    <n v="89"/>
    <n v="24.31"/>
    <n v="51.27"/>
    <n v="222.31"/>
    <n v="27.784726797371405"/>
    <n v="66.787442987613147"/>
    <n v="236.64237028527376"/>
    <n v="21237.216"/>
    <n v="16002.687715200002"/>
    <n v="69388.677705599999"/>
    <n v="24272.73733018366"/>
    <n v="20846.081400965424"/>
    <n v="73862.179673492486"/>
  </r>
  <r>
    <s v="Regular"/>
    <x v="1"/>
    <x v="0"/>
    <x v="2"/>
    <x v="0"/>
    <x v="2"/>
    <x v="0"/>
    <x v="1"/>
    <x v="1"/>
    <n v="866"/>
    <n v="831.36"/>
    <n v="329.81200000000001"/>
    <n v="316.61952000000002"/>
    <n v="329.81200000000001"/>
    <n v="316.61952000000002"/>
    <n v="0"/>
    <x v="2"/>
    <n v="0"/>
    <n v="12"/>
    <n v="110"/>
    <n v="89"/>
    <n v="24.31"/>
    <n v="51.27"/>
    <n v="222.31"/>
    <n v="27.784726797371405"/>
    <n v="66.787442987613147"/>
    <n v="236.64237028527376"/>
    <n v="20210.3616"/>
    <n v="16233.082790400002"/>
    <n v="70387.685491200013"/>
    <n v="23099.110470262691"/>
    <n v="21146.20814076544"/>
    <n v="74925.593691385642"/>
  </r>
  <r>
    <s v="Regular"/>
    <x v="1"/>
    <x v="0"/>
    <x v="2"/>
    <x v="0"/>
    <x v="2"/>
    <x v="0"/>
    <x v="1"/>
    <x v="2"/>
    <n v="841"/>
    <n v="807.36"/>
    <n v="321.48399999999998"/>
    <n v="308.62464"/>
    <n v="321.48399999999998"/>
    <n v="308.62464"/>
    <n v="0"/>
    <x v="2"/>
    <n v="0"/>
    <n v="12"/>
    <n v="110"/>
    <n v="89"/>
    <n v="24.31"/>
    <n v="51.27"/>
    <n v="222.31"/>
    <n v="27.784726797371405"/>
    <n v="66.787442987613147"/>
    <n v="236.64237028527376"/>
    <n v="19626.921599999998"/>
    <n v="15823.185292800001"/>
    <n v="68610.343718400007"/>
    <n v="22432.27702712578"/>
    <n v="20612.250548572632"/>
    <n v="73033.666338039315"/>
  </r>
  <r>
    <s v="Regular"/>
    <x v="1"/>
    <x v="0"/>
    <x v="2"/>
    <x v="0"/>
    <x v="2"/>
    <x v="0"/>
    <x v="1"/>
    <x v="3"/>
    <n v="873"/>
    <n v="838.08"/>
    <n v="313.298"/>
    <n v="300.76607999999999"/>
    <n v="313.298"/>
    <n v="300.76607999999999"/>
    <n v="0"/>
    <x v="2"/>
    <n v="0"/>
    <n v="12"/>
    <n v="110"/>
    <n v="89"/>
    <n v="24.31"/>
    <n v="51.27"/>
    <n v="222.31"/>
    <n v="27.784726797371405"/>
    <n v="66.787442987613147"/>
    <n v="236.64237028527376"/>
    <n v="20373.7248"/>
    <n v="15420.2769216"/>
    <n v="66863.307244800002"/>
    <n v="23285.82383434103"/>
    <n v="20087.397420607893"/>
    <n v="71173.998072610266"/>
  </r>
  <r>
    <s v="Regular"/>
    <x v="1"/>
    <x v="0"/>
    <x v="2"/>
    <x v="0"/>
    <x v="2"/>
    <x v="0"/>
    <x v="1"/>
    <x v="4"/>
    <n v="908"/>
    <n v="871.68"/>
    <n v="378.125"/>
    <n v="363"/>
    <n v="378.125"/>
    <n v="363"/>
    <n v="0"/>
    <x v="2"/>
    <n v="0"/>
    <n v="12"/>
    <n v="110"/>
    <n v="89"/>
    <n v="24.31"/>
    <n v="51.27"/>
    <n v="222.31"/>
    <n v="27.784726797371405"/>
    <n v="66.787442987613147"/>
    <n v="236.64237028527376"/>
    <n v="21190.540799999999"/>
    <n v="18611.010000000002"/>
    <n v="80698.53"/>
    <n v="24219.390654732706"/>
    <n v="24243.841804503572"/>
    <n v="85901.180413554379"/>
  </r>
  <r>
    <s v="Regular"/>
    <x v="1"/>
    <x v="0"/>
    <x v="2"/>
    <x v="0"/>
    <x v="2"/>
    <x v="0"/>
    <x v="1"/>
    <x v="5"/>
    <n v="930"/>
    <n v="892.8"/>
    <n v="414.2"/>
    <n v="397.63200000000001"/>
    <n v="414.2"/>
    <n v="397.63200000000001"/>
    <n v="0"/>
    <x v="2"/>
    <n v="0"/>
    <n v="12"/>
    <n v="110"/>
    <n v="89"/>
    <n v="24.31"/>
    <n v="51.27"/>
    <n v="222.31"/>
    <n v="27.784726797371405"/>
    <n v="66.787442987613147"/>
    <n v="236.64237028527376"/>
    <n v="21703.967999999997"/>
    <n v="20386.592640000003"/>
    <n v="88397.569920000009"/>
    <n v="24806.204084693189"/>
    <n v="26556.824530050591"/>
    <n v="94096.578981273982"/>
  </r>
  <r>
    <s v="Regular"/>
    <x v="1"/>
    <x v="0"/>
    <x v="2"/>
    <x v="0"/>
    <x v="2"/>
    <x v="0"/>
    <x v="1"/>
    <x v="6"/>
    <n v="960"/>
    <n v="921.6"/>
    <n v="381.40600000000001"/>
    <n v="366.14976000000001"/>
    <n v="381.40600000000001"/>
    <n v="366.14976000000001"/>
    <n v="0"/>
    <x v="2"/>
    <n v="0"/>
    <n v="12"/>
    <n v="110"/>
    <n v="89"/>
    <n v="24.31"/>
    <n v="51.27"/>
    <n v="222.31"/>
    <n v="27.784726797371405"/>
    <n v="66.787442987613147"/>
    <n v="236.64237028527376"/>
    <n v="22404.095999999998"/>
    <n v="18772.498195200002"/>
    <n v="81398.7531456"/>
    <n v="25606.404216457489"/>
    <n v="24454.206220928238"/>
    <n v="86646.547085784114"/>
  </r>
  <r>
    <s v="Regular"/>
    <x v="1"/>
    <x v="0"/>
    <x v="2"/>
    <x v="0"/>
    <x v="2"/>
    <x v="0"/>
    <x v="1"/>
    <x v="7"/>
    <n v="966"/>
    <n v="927.36"/>
    <n v="365.46499999999997"/>
    <n v="350.84640000000002"/>
    <n v="365.46499999999997"/>
    <n v="350.84640000000002"/>
    <n v="0"/>
    <x v="2"/>
    <n v="0"/>
    <n v="12"/>
    <n v="110"/>
    <n v="89"/>
    <n v="24.31"/>
    <n v="51.27"/>
    <n v="222.31"/>
    <n v="27.784726797371405"/>
    <n v="66.787442987613147"/>
    <n v="236.64237028527376"/>
    <n v="22544.121599999999"/>
    <n v="17987.894928000002"/>
    <n v="77996.663184000005"/>
    <n v="25766.444242810347"/>
    <n v="23432.133937409319"/>
    <n v="83025.12370205528"/>
  </r>
  <r>
    <s v="Regular"/>
    <x v="1"/>
    <x v="0"/>
    <x v="2"/>
    <x v="0"/>
    <x v="2"/>
    <x v="0"/>
    <x v="1"/>
    <x v="8"/>
    <n v="894"/>
    <n v="858.24"/>
    <n v="399.55"/>
    <n v="383.56799999999998"/>
    <n v="399.55"/>
    <n v="383.56799999999998"/>
    <n v="0"/>
    <x v="2"/>
    <n v="0"/>
    <n v="12"/>
    <n v="110"/>
    <n v="89"/>
    <n v="24.31"/>
    <n v="51.27"/>
    <n v="222.31"/>
    <n v="27.784726797371405"/>
    <n v="66.787442987613147"/>
    <n v="236.64237028527376"/>
    <n v="20863.814399999999"/>
    <n v="19665.531360000001"/>
    <n v="85271.002079999991"/>
    <n v="23845.963926576034"/>
    <n v="25617.525931872799"/>
    <n v="90768.440685581882"/>
  </r>
  <r>
    <s v="Regular"/>
    <x v="1"/>
    <x v="0"/>
    <x v="2"/>
    <x v="0"/>
    <x v="2"/>
    <x v="0"/>
    <x v="1"/>
    <x v="9"/>
    <n v="936"/>
    <n v="898.56"/>
    <n v="353.71300000000002"/>
    <n v="339.56448"/>
    <n v="353.71300000000002"/>
    <n v="339.56448"/>
    <n v="0"/>
    <x v="2"/>
    <n v="0"/>
    <n v="12"/>
    <n v="110"/>
    <n v="89"/>
    <n v="24.31"/>
    <n v="51.27"/>
    <n v="222.31"/>
    <n v="27.784726797371405"/>
    <n v="66.787442987613147"/>
    <n v="236.64237028527376"/>
    <n v="21843.993599999998"/>
    <n v="17409.470889600001"/>
    <n v="75488.5795488"/>
    <n v="24966.24411104605"/>
    <n v="22678.643348618505"/>
    <n v="80355.343411886439"/>
  </r>
  <r>
    <s v="Regular"/>
    <x v="1"/>
    <x v="0"/>
    <x v="2"/>
    <x v="0"/>
    <x v="2"/>
    <x v="0"/>
    <x v="1"/>
    <x v="10"/>
    <n v="934"/>
    <n v="896.64"/>
    <n v="356.20699999999999"/>
    <n v="341.95872000000003"/>
    <n v="356.20699999999999"/>
    <n v="341.95872000000003"/>
    <n v="0"/>
    <x v="2"/>
    <n v="0"/>
    <n v="12"/>
    <n v="110"/>
    <n v="89"/>
    <n v="24.31"/>
    <n v="51.27"/>
    <n v="222.31"/>
    <n v="27.784726797371405"/>
    <n v="66.787442987613147"/>
    <n v="236.64237028527376"/>
    <n v="21797.3184"/>
    <n v="17532.223574400003"/>
    <n v="76020.843043200002"/>
    <n v="24912.897435595096"/>
    <n v="22838.548516117171"/>
    <n v="80921.922040518257"/>
  </r>
  <r>
    <s v="PROJETADO"/>
    <x v="1"/>
    <x v="0"/>
    <x v="2"/>
    <x v="0"/>
    <x v="2"/>
    <x v="0"/>
    <x v="1"/>
    <x v="11"/>
    <n v="934"/>
    <n v="896.64"/>
    <n v="356.20699999999999"/>
    <n v="341.95872000000003"/>
    <n v="356.20699999999999"/>
    <n v="341.95872000000003"/>
    <n v="0"/>
    <x v="2"/>
    <n v="0"/>
    <n v="12"/>
    <n v="110"/>
    <n v="89"/>
    <n v="24.31"/>
    <n v="51.27"/>
    <n v="222.31"/>
    <n v="27.784726797371405"/>
    <n v="66.787442987613147"/>
    <n v="236.64237028527376"/>
    <n v="21797.3184"/>
    <n v="17532.223574400003"/>
    <n v="76020.843043200002"/>
    <n v="24912.897435595096"/>
    <n v="22838.548516117171"/>
    <n v="80921.922040518257"/>
  </r>
  <r>
    <s v="Regular"/>
    <x v="1"/>
    <x v="0"/>
    <x v="2"/>
    <x v="0"/>
    <x v="2"/>
    <x v="0"/>
    <x v="2"/>
    <x v="0"/>
    <n v="422"/>
    <n v="405.12"/>
    <n v="14.534000000000001"/>
    <n v="13.952640000000001"/>
    <n v="14.534000000000001"/>
    <n v="13.952640000000001"/>
    <n v="0"/>
    <x v="2"/>
    <n v="0"/>
    <n v="11"/>
    <n v="110"/>
    <n v="88"/>
    <n v="62.23"/>
    <n v="51.27"/>
    <n v="365.5"/>
    <n v="76.426473864517376"/>
    <n v="66.787442987613147"/>
    <n v="382.75425465660959"/>
    <n v="25210.617599999998"/>
    <n v="715.35185280000007"/>
    <n v="5099.6899199999998"/>
    <n v="30961.893091993279"/>
    <n v="931.86114852669073"/>
    <n v="5340.4323236919972"/>
  </r>
  <r>
    <s v="Regular"/>
    <x v="1"/>
    <x v="0"/>
    <x v="2"/>
    <x v="0"/>
    <x v="2"/>
    <x v="0"/>
    <x v="2"/>
    <x v="1"/>
    <n v="363"/>
    <n v="348.48"/>
    <n v="14.506"/>
    <n v="13.92576"/>
    <n v="14.506"/>
    <n v="13.92576"/>
    <n v="0"/>
    <x v="2"/>
    <n v="0"/>
    <n v="11"/>
    <n v="110"/>
    <n v="88"/>
    <n v="62.23"/>
    <n v="51.27"/>
    <n v="365.5"/>
    <n v="76.426473864517376"/>
    <n v="66.787442987613147"/>
    <n v="382.75425465660959"/>
    <n v="21685.910400000001"/>
    <n v="713.97371520000002"/>
    <n v="5089.86528"/>
    <n v="26633.097612307018"/>
    <n v="930.06590205918371"/>
    <n v="5330.1438893268278"/>
  </r>
  <r>
    <s v="Regular"/>
    <x v="1"/>
    <x v="0"/>
    <x v="2"/>
    <x v="0"/>
    <x v="2"/>
    <x v="0"/>
    <x v="2"/>
    <x v="2"/>
    <n v="449"/>
    <n v="431.04"/>
    <n v="14.18"/>
    <n v="13.6128"/>
    <n v="14.18"/>
    <n v="13.6128"/>
    <n v="0"/>
    <x v="2"/>
    <n v="0"/>
    <n v="11"/>
    <n v="110"/>
    <n v="88"/>
    <n v="62.23"/>
    <n v="51.27"/>
    <n v="365.5"/>
    <n v="76.426473864517376"/>
    <n v="66.787442987613147"/>
    <n v="382.75425465660959"/>
    <n v="26823.619200000001"/>
    <n v="697.92825600000003"/>
    <n v="4975.4784"/>
    <n v="32942.867294561569"/>
    <n v="909.16410390178021"/>
    <n v="5210.3571177894946"/>
  </r>
  <r>
    <s v="Regular"/>
    <x v="1"/>
    <x v="0"/>
    <x v="2"/>
    <x v="0"/>
    <x v="2"/>
    <x v="0"/>
    <x v="2"/>
    <x v="3"/>
    <n v="490"/>
    <n v="470.4"/>
    <n v="15.058999999999999"/>
    <n v="14.45664"/>
    <n v="15.058999999999999"/>
    <n v="14.45664"/>
    <n v="0"/>
    <x v="2"/>
    <n v="0"/>
    <n v="11"/>
    <n v="110"/>
    <n v="88"/>
    <n v="62.23"/>
    <n v="51.27"/>
    <n v="365.5"/>
    <n v="76.426473864517376"/>
    <n v="66.787442987613147"/>
    <n v="382.75425465660959"/>
    <n v="29272.991999999998"/>
    <n v="741.19193280000002"/>
    <n v="5283.9019200000002"/>
    <n v="35951.013305868975"/>
    <n v="965.52201979244774"/>
    <n v="5533.3404680389285"/>
  </r>
  <r>
    <s v="Regular"/>
    <x v="1"/>
    <x v="0"/>
    <x v="2"/>
    <x v="0"/>
    <x v="2"/>
    <x v="0"/>
    <x v="2"/>
    <x v="4"/>
    <n v="573"/>
    <n v="550.08000000000004"/>
    <n v="18.038"/>
    <n v="17.316479999999999"/>
    <n v="18.038"/>
    <n v="17.316479999999999"/>
    <n v="0"/>
    <x v="2"/>
    <n v="0"/>
    <n v="11"/>
    <n v="110"/>
    <n v="88"/>
    <n v="62.23"/>
    <n v="51.27"/>
    <n v="365.5"/>
    <n v="76.426473864517376"/>
    <n v="66.787442987613147"/>
    <n v="382.75425465660959"/>
    <n v="34231.4784"/>
    <n v="887.8159296"/>
    <n v="6329.1734399999996"/>
    <n v="42040.67474339372"/>
    <n v="1156.5234207461433"/>
    <n v="6627.9563956760867"/>
  </r>
  <r>
    <s v="Regular"/>
    <x v="1"/>
    <x v="0"/>
    <x v="2"/>
    <x v="0"/>
    <x v="2"/>
    <x v="0"/>
    <x v="2"/>
    <x v="5"/>
    <n v="464"/>
    <n v="445.44"/>
    <n v="17.111999999999998"/>
    <n v="16.427520000000001"/>
    <n v="17.111999999999998"/>
    <n v="16.427520000000001"/>
    <n v="0"/>
    <x v="2"/>
    <n v="0"/>
    <n v="11"/>
    <n v="110"/>
    <n v="88"/>
    <n v="62.23"/>
    <n v="51.27"/>
    <n v="365.5"/>
    <n v="76.426473864517376"/>
    <n v="66.787442987613147"/>
    <n v="382.75425465660959"/>
    <n v="27719.731199999998"/>
    <n v="842.23895040000014"/>
    <n v="6004.2585600000002"/>
    <n v="34043.408518210621"/>
    <n v="1097.1520554278748"/>
    <n v="6287.703173456548"/>
  </r>
  <r>
    <s v="Regular"/>
    <x v="1"/>
    <x v="0"/>
    <x v="2"/>
    <x v="0"/>
    <x v="2"/>
    <x v="0"/>
    <x v="2"/>
    <x v="6"/>
    <n v="454"/>
    <n v="435.84"/>
    <n v="17.024999999999999"/>
    <n v="16.344000000000001"/>
    <n v="17.024999999999999"/>
    <n v="16.344000000000001"/>
    <n v="0"/>
    <x v="2"/>
    <n v="0"/>
    <n v="11"/>
    <n v="110"/>
    <n v="88"/>
    <n v="62.23"/>
    <n v="51.27"/>
    <n v="365.5"/>
    <n v="76.426473864517376"/>
    <n v="66.787442987613147"/>
    <n v="382.75425465660959"/>
    <n v="27122.323199999995"/>
    <n v="837.95688000000007"/>
    <n v="5973.7320000000009"/>
    <n v="33309.714369111251"/>
    <n v="1091.5739681895493"/>
    <n v="6255.7355381076277"/>
  </r>
  <r>
    <s v="Regular"/>
    <x v="1"/>
    <x v="0"/>
    <x v="2"/>
    <x v="0"/>
    <x v="2"/>
    <x v="0"/>
    <x v="2"/>
    <x v="7"/>
    <n v="619"/>
    <n v="594.24"/>
    <n v="17.184999999999999"/>
    <n v="16.497599999999998"/>
    <n v="17.184999999999999"/>
    <n v="16.497599999999998"/>
    <n v="0"/>
    <x v="2"/>
    <n v="0"/>
    <n v="11"/>
    <n v="110"/>
    <n v="88"/>
    <n v="62.23"/>
    <n v="51.27"/>
    <n v="365.5"/>
    <n v="76.426473864517376"/>
    <n v="66.787442987613147"/>
    <n v="382.75425465660959"/>
    <n v="36979.555199999995"/>
    <n v="845.831952"/>
    <n v="6029.8727999999992"/>
    <n v="45415.667829250808"/>
    <n v="1101.8325194324466"/>
    <n v="6314.5265916228818"/>
  </r>
  <r>
    <s v="Regular"/>
    <x v="1"/>
    <x v="0"/>
    <x v="2"/>
    <x v="0"/>
    <x v="2"/>
    <x v="0"/>
    <x v="2"/>
    <x v="8"/>
    <n v="690"/>
    <n v="662.4"/>
    <n v="24.850999999999999"/>
    <n v="23.856960000000001"/>
    <n v="24.850999999999999"/>
    <n v="23.856960000000001"/>
    <n v="0"/>
    <x v="2"/>
    <n v="0"/>
    <n v="11"/>
    <n v="110"/>
    <n v="88"/>
    <n v="62.23"/>
    <n v="51.27"/>
    <n v="365.5"/>
    <n v="76.426473864517376"/>
    <n v="66.787442987613147"/>
    <n v="382.75425465660959"/>
    <n v="41221.151999999995"/>
    <n v="1223.1463392000001"/>
    <n v="8719.7188800000004"/>
    <n v="50624.896287856311"/>
    <n v="1593.3453558577673"/>
    <n v="9131.3529431725492"/>
  </r>
  <r>
    <s v="Regular"/>
    <x v="1"/>
    <x v="0"/>
    <x v="2"/>
    <x v="0"/>
    <x v="2"/>
    <x v="0"/>
    <x v="2"/>
    <x v="9"/>
    <n v="766"/>
    <n v="735.36"/>
    <n v="19.818999999999999"/>
    <n v="19.026240000000001"/>
    <n v="19.818999999999999"/>
    <n v="19.026240000000001"/>
    <n v="0"/>
    <x v="2"/>
    <n v="0"/>
    <n v="11"/>
    <n v="110"/>
    <n v="88"/>
    <n v="62.23"/>
    <n v="51.27"/>
    <n v="365.5"/>
    <n v="76.426473864517376"/>
    <n v="66.787442987613147"/>
    <n v="382.75425465660959"/>
    <n v="45761.452799999999"/>
    <n v="975.47532480000018"/>
    <n v="6954.0907200000001"/>
    <n v="56200.971821011502"/>
    <n v="1270.7139192686448"/>
    <n v="7282.3743101177724"/>
  </r>
  <r>
    <s v="Regular"/>
    <x v="1"/>
    <x v="0"/>
    <x v="2"/>
    <x v="0"/>
    <x v="2"/>
    <x v="0"/>
    <x v="2"/>
    <x v="10"/>
    <n v="737"/>
    <n v="707.52"/>
    <n v="23.018000000000001"/>
    <n v="22.097280000000001"/>
    <n v="23.018000000000001"/>
    <n v="22.097280000000001"/>
    <n v="0"/>
    <x v="2"/>
    <n v="0"/>
    <n v="11"/>
    <n v="110"/>
    <n v="88"/>
    <n v="62.23"/>
    <n v="51.27"/>
    <n v="365.5"/>
    <n v="76.426473864517376"/>
    <n v="66.787442987613147"/>
    <n v="382.75425465660959"/>
    <n v="44028.969599999997"/>
    <n v="1132.9275456"/>
    <n v="8076.5558400000009"/>
    <n v="54073.25878862333"/>
    <n v="1475.8208281813243"/>
    <n v="8457.8279363384063"/>
  </r>
  <r>
    <s v="PROJETADO"/>
    <x v="1"/>
    <x v="0"/>
    <x v="2"/>
    <x v="0"/>
    <x v="2"/>
    <x v="0"/>
    <x v="2"/>
    <x v="11"/>
    <n v="737"/>
    <n v="707.52"/>
    <n v="23.018000000000001"/>
    <n v="22.097280000000001"/>
    <n v="23.018000000000001"/>
    <n v="22.097280000000001"/>
    <n v="0"/>
    <x v="2"/>
    <n v="0"/>
    <n v="11"/>
    <n v="110"/>
    <n v="88"/>
    <n v="62.23"/>
    <n v="51.27"/>
    <n v="365.5"/>
    <n v="76.426473864517376"/>
    <n v="66.787442987613147"/>
    <n v="382.75425465660959"/>
    <n v="44028.969599999997"/>
    <n v="1132.9275456"/>
    <n v="8076.5558400000009"/>
    <n v="54073.25878862333"/>
    <n v="1475.8208281813243"/>
    <n v="8457.8279363384063"/>
  </r>
  <r>
    <s v="Regular"/>
    <x v="1"/>
    <x v="0"/>
    <x v="3"/>
    <x v="2"/>
    <x v="2"/>
    <x v="0"/>
    <x v="1"/>
    <x v="0"/>
    <n v="7026"/>
    <n v="5972.0999999999995"/>
    <n v="3424.1260000000002"/>
    <n v="3218.6784400000001"/>
    <n v="3424.1260000000002"/>
    <n v="3218.6784400000001"/>
    <n v="0"/>
    <x v="2"/>
    <n v="0"/>
    <n v="12"/>
    <n v="110"/>
    <n v="89"/>
    <n v="24.31"/>
    <n v="51.27"/>
    <n v="222.31"/>
    <n v="27.784726797371405"/>
    <n v="66.787442987613147"/>
    <n v="236.64237028527376"/>
    <n v="145181.75099999999"/>
    <n v="165021.64361880001"/>
    <n v="715544.40399640007"/>
    <n v="165933.16690658176"/>
    <n v="214967.30280695963"/>
    <n v="761675.69522770727"/>
  </r>
  <r>
    <s v="Regular"/>
    <x v="1"/>
    <x v="0"/>
    <x v="3"/>
    <x v="2"/>
    <x v="2"/>
    <x v="0"/>
    <x v="1"/>
    <x v="1"/>
    <n v="7064"/>
    <n v="6004.4"/>
    <n v="3484.2539999999999"/>
    <n v="3275.1987600000002"/>
    <n v="3484.2539999999999"/>
    <n v="3275.1987600000002"/>
    <n v="0"/>
    <x v="2"/>
    <n v="0"/>
    <n v="12"/>
    <n v="110"/>
    <n v="89"/>
    <n v="24.31"/>
    <n v="51.27"/>
    <n v="222.31"/>
    <n v="27.784726797371405"/>
    <n v="66.787442987613147"/>
    <n v="236.64237028527376"/>
    <n v="145966.96399999998"/>
    <n v="167919.44042520001"/>
    <n v="728109.4363356001"/>
    <n v="166830.61358213687"/>
    <n v="218742.15045660129"/>
    <n v="775050.79772178945"/>
  </r>
  <r>
    <s v="Regular"/>
    <x v="1"/>
    <x v="0"/>
    <x v="3"/>
    <x v="2"/>
    <x v="2"/>
    <x v="0"/>
    <x v="1"/>
    <x v="2"/>
    <n v="11333"/>
    <n v="9633.0499999999993"/>
    <n v="5526.6139999999996"/>
    <n v="5195.0171600000003"/>
    <n v="5526.6139999999996"/>
    <n v="5195.0171600000003"/>
    <n v="0"/>
    <x v="2"/>
    <n v="0"/>
    <n v="12"/>
    <n v="110"/>
    <n v="89"/>
    <n v="24.31"/>
    <n v="51.27"/>
    <n v="222.31"/>
    <n v="27.784726797371405"/>
    <n v="66.787442987613147"/>
    <n v="236.64237028527376"/>
    <n v="234179.44549999997"/>
    <n v="266348.52979320002"/>
    <n v="1154904.2648396001"/>
    <n v="267651.66247541859"/>
    <n v="346961.91239317198"/>
    <n v="1229361.1744150713"/>
  </r>
  <r>
    <s v="Regular"/>
    <x v="1"/>
    <x v="0"/>
    <x v="3"/>
    <x v="2"/>
    <x v="2"/>
    <x v="0"/>
    <x v="1"/>
    <x v="3"/>
    <n v="11554"/>
    <n v="9820.9"/>
    <n v="5620.0230000000001"/>
    <n v="5282.8216199999997"/>
    <n v="5620.0230000000001"/>
    <n v="5282.8216199999997"/>
    <n v="0"/>
    <x v="2"/>
    <n v="0"/>
    <n v="12"/>
    <n v="110"/>
    <n v="89"/>
    <n v="24.31"/>
    <n v="51.27"/>
    <n v="222.31"/>
    <n v="27.784726797371405"/>
    <n v="66.787442987613147"/>
    <n v="236.64237028527376"/>
    <n v="238746.07899999997"/>
    <n v="270850.26445740002"/>
    <n v="1174424.0743421998"/>
    <n v="272871.02340430481"/>
    <n v="352826.14775948011"/>
    <n v="1250139.4299510897"/>
  </r>
  <r>
    <s v="Refaturamento - Regular"/>
    <x v="1"/>
    <x v="0"/>
    <x v="3"/>
    <x v="2"/>
    <x v="2"/>
    <x v="0"/>
    <x v="1"/>
    <x v="3"/>
    <n v="-8"/>
    <n v="-6.8"/>
    <n v="-28"/>
    <n v="-26.32"/>
    <n v="-28"/>
    <n v="-26.32"/>
    <n v="0"/>
    <x v="2"/>
    <n v="0"/>
    <n v="12"/>
    <n v="110"/>
    <n v="89"/>
    <n v="24.31"/>
    <n v="51.27"/>
    <n v="222.31"/>
    <n v="27.784726797371405"/>
    <n v="66.787442987613147"/>
    <n v="236.64237028527376"/>
    <n v="-165.30799999999999"/>
    <n v="-1349.4264000000001"/>
    <n v="-5851.1992"/>
    <n v="-188.93614222212554"/>
    <n v="-1757.8454994339781"/>
    <n v="-6228.4271859084056"/>
  </r>
  <r>
    <s v="Regular"/>
    <x v="1"/>
    <x v="0"/>
    <x v="3"/>
    <x v="2"/>
    <x v="2"/>
    <x v="0"/>
    <x v="1"/>
    <x v="4"/>
    <n v="5382"/>
    <n v="4574.7"/>
    <n v="2391.4760000000001"/>
    <n v="2247.9874399999999"/>
    <n v="2391.4760000000001"/>
    <n v="2247.9874399999999"/>
    <n v="0"/>
    <x v="2"/>
    <n v="0"/>
    <n v="12"/>
    <n v="110"/>
    <n v="89"/>
    <n v="24.31"/>
    <n v="51.27"/>
    <n v="222.31"/>
    <n v="27.784726797371405"/>
    <n v="66.787442987613147"/>
    <n v="236.64237028527376"/>
    <n v="111210.95699999999"/>
    <n v="115254.3160488"/>
    <n v="499750.08778639999"/>
    <n v="127106.78967993497"/>
    <n v="150137.33298587042"/>
    <n v="531969.0761731246"/>
  </r>
  <r>
    <s v="Regular"/>
    <x v="1"/>
    <x v="0"/>
    <x v="3"/>
    <x v="2"/>
    <x v="2"/>
    <x v="0"/>
    <x v="1"/>
    <x v="5"/>
    <n v="5325"/>
    <n v="4526.25"/>
    <n v="2351.6170000000002"/>
    <n v="2210.51998"/>
    <n v="2351.6170000000002"/>
    <n v="2210.51998"/>
    <n v="0"/>
    <x v="2"/>
    <n v="0"/>
    <n v="12"/>
    <n v="110"/>
    <n v="89"/>
    <n v="24.31"/>
    <n v="51.27"/>
    <n v="222.31"/>
    <n v="27.784726797371405"/>
    <n v="66.787442987613147"/>
    <n v="236.64237028527376"/>
    <n v="110033.1375"/>
    <n v="113333.35937460001"/>
    <n v="491420.69675380003"/>
    <n v="125760.61966660232"/>
    <n v="147634.97713722975"/>
    <n v="523102.68763015594"/>
  </r>
  <r>
    <s v="Regular"/>
    <x v="1"/>
    <x v="0"/>
    <x v="3"/>
    <x v="2"/>
    <x v="2"/>
    <x v="0"/>
    <x v="1"/>
    <x v="6"/>
    <n v="5380"/>
    <n v="4573"/>
    <n v="2387.5569999999998"/>
    <n v="2244.3035799999998"/>
    <n v="2387.5569999999998"/>
    <n v="2244.3035799999998"/>
    <n v="0"/>
    <x v="2"/>
    <n v="0"/>
    <n v="12"/>
    <n v="110"/>
    <n v="89"/>
    <n v="24.31"/>
    <n v="51.27"/>
    <n v="222.31"/>
    <n v="27.784726797371405"/>
    <n v="66.787442987613147"/>
    <n v="236.64237028527376"/>
    <n v="111169.62999999999"/>
    <n v="115065.44454659999"/>
    <n v="498931.12886979996"/>
    <n v="127059.55564437943"/>
    <n v="149891.29739614608"/>
    <n v="531097.31881092547"/>
  </r>
  <r>
    <s v="Regular"/>
    <x v="1"/>
    <x v="0"/>
    <x v="3"/>
    <x v="2"/>
    <x v="2"/>
    <x v="0"/>
    <x v="1"/>
    <x v="7"/>
    <n v="5360"/>
    <n v="4556"/>
    <n v="2342.62"/>
    <n v="2202.0628000000002"/>
    <n v="2342.62"/>
    <n v="2202.0628000000002"/>
    <n v="0"/>
    <x v="2"/>
    <n v="0"/>
    <n v="12"/>
    <n v="110"/>
    <n v="89"/>
    <n v="24.31"/>
    <n v="51.27"/>
    <n v="222.31"/>
    <n v="27.784726797371405"/>
    <n v="66.787442987613147"/>
    <n v="236.64237028527376"/>
    <n v="110756.36"/>
    <n v="112899.75975600001"/>
    <n v="489540.58106800006"/>
    <n v="126587.21528882413"/>
    <n v="147070.14371014378"/>
    <n v="521101.36050902674"/>
  </r>
  <r>
    <s v="Regular"/>
    <x v="1"/>
    <x v="0"/>
    <x v="3"/>
    <x v="2"/>
    <x v="2"/>
    <x v="0"/>
    <x v="1"/>
    <x v="8"/>
    <n v="5291"/>
    <n v="4497.3499999999995"/>
    <n v="2365.7759999999998"/>
    <n v="2223.82944"/>
    <n v="2365.7759999999998"/>
    <n v="2223.82944"/>
    <n v="0"/>
    <x v="2"/>
    <n v="0"/>
    <n v="12"/>
    <n v="110"/>
    <n v="89"/>
    <n v="24.31"/>
    <n v="51.27"/>
    <n v="222.31"/>
    <n v="27.784726797371405"/>
    <n v="66.787442987613147"/>
    <n v="236.64237028527376"/>
    <n v="109330.57849999997"/>
    <n v="114015.73538880001"/>
    <n v="494379.52280640003"/>
    <n v="124957.64106215828"/>
    <n v="148523.88193817568"/>
    <n v="526252.26979177294"/>
  </r>
  <r>
    <s v="Regular"/>
    <x v="1"/>
    <x v="0"/>
    <x v="3"/>
    <x v="2"/>
    <x v="2"/>
    <x v="0"/>
    <x v="1"/>
    <x v="9"/>
    <n v="5396"/>
    <n v="4586.5999999999995"/>
    <n v="2486.547"/>
    <n v="2337.3541799999998"/>
    <n v="2486.547"/>
    <n v="2337.3541799999998"/>
    <n v="0"/>
    <x v="2"/>
    <n v="0"/>
    <n v="12"/>
    <n v="110"/>
    <n v="89"/>
    <n v="24.31"/>
    <n v="51.27"/>
    <n v="222.31"/>
    <n v="27.784726797371405"/>
    <n v="66.787442987613147"/>
    <n v="236.64237028527376"/>
    <n v="111500.24599999998"/>
    <n v="119836.1488086"/>
    <n v="519617.20775579999"/>
    <n v="127437.42792882367"/>
    <n v="156105.90903860927"/>
    <n v="553117.03335139237"/>
  </r>
  <r>
    <s v="Regular"/>
    <x v="1"/>
    <x v="0"/>
    <x v="3"/>
    <x v="2"/>
    <x v="2"/>
    <x v="0"/>
    <x v="1"/>
    <x v="10"/>
    <n v="5460"/>
    <n v="4641"/>
    <n v="2275.4929999999999"/>
    <n v="2138.96342"/>
    <n v="2275.4929999999999"/>
    <n v="2138.96342"/>
    <n v="0"/>
    <x v="2"/>
    <n v="0"/>
    <n v="12"/>
    <n v="110"/>
    <n v="89"/>
    <n v="24.31"/>
    <n v="51.27"/>
    <n v="222.31"/>
    <n v="27.784726797371405"/>
    <n v="66.787442987613147"/>
    <n v="236.64237028527376"/>
    <n v="112822.70999999999"/>
    <n v="109664.65454340001"/>
    <n v="475512.95790020004"/>
    <n v="128948.9170666007"/>
    <n v="142855.89746584004"/>
    <n v="506169.37366229552"/>
  </r>
  <r>
    <s v="PROJETADO"/>
    <x v="1"/>
    <x v="0"/>
    <x v="3"/>
    <x v="2"/>
    <x v="2"/>
    <x v="0"/>
    <x v="1"/>
    <x v="11"/>
    <n v="5460"/>
    <n v="4641"/>
    <n v="2275.4929999999999"/>
    <n v="2138.96342"/>
    <n v="2275.4929999999999"/>
    <n v="2138.96342"/>
    <n v="0"/>
    <x v="2"/>
    <n v="0"/>
    <n v="12"/>
    <n v="110"/>
    <n v="89"/>
    <n v="24.31"/>
    <n v="51.27"/>
    <n v="222.31"/>
    <n v="27.784726797371405"/>
    <n v="66.787442987613147"/>
    <n v="236.64237028527376"/>
    <n v="112822.70999999999"/>
    <n v="109664.65454340001"/>
    <n v="475512.95790020004"/>
    <n v="128948.9170666007"/>
    <n v="142855.89746584004"/>
    <n v="506169.37366229552"/>
  </r>
  <r>
    <s v="Regular"/>
    <x v="1"/>
    <x v="0"/>
    <x v="3"/>
    <x v="2"/>
    <x v="2"/>
    <x v="0"/>
    <x v="2"/>
    <x v="0"/>
    <n v="6658"/>
    <n v="5659.3"/>
    <n v="302.95299999999997"/>
    <n v="284.77582000000001"/>
    <n v="302.95299999999997"/>
    <n v="284.77582000000001"/>
    <n v="0"/>
    <x v="2"/>
    <n v="0"/>
    <n v="11"/>
    <n v="110"/>
    <n v="88"/>
    <n v="62.23"/>
    <n v="51.27"/>
    <n v="365.5"/>
    <n v="76.426473864517376"/>
    <n v="66.787442987613147"/>
    <n v="382.75425465660959"/>
    <n v="352178.239"/>
    <n v="14600.456291400002"/>
    <n v="104085.56221"/>
    <n v="432520.3435414632"/>
    <n v="19019.448842500784"/>
    <n v="108999.15672832482"/>
  </r>
  <r>
    <s v="Regular"/>
    <x v="1"/>
    <x v="0"/>
    <x v="3"/>
    <x v="2"/>
    <x v="2"/>
    <x v="0"/>
    <x v="2"/>
    <x v="1"/>
    <n v="6490"/>
    <n v="5516.5"/>
    <n v="303.73899999999998"/>
    <n v="285.51465999999999"/>
    <n v="303.73899999999998"/>
    <n v="285.51465999999999"/>
    <n v="0"/>
    <x v="2"/>
    <n v="0"/>
    <n v="11"/>
    <n v="110"/>
    <n v="88"/>
    <n v="62.23"/>
    <n v="51.27"/>
    <n v="365.5"/>
    <n v="76.426473864517376"/>
    <n v="66.787442987613147"/>
    <n v="382.75425465660959"/>
    <n v="343291.79499999998"/>
    <n v="14638.336618200001"/>
    <n v="104355.60823"/>
    <n v="421606.64307361009"/>
    <n v="19068.794076877752"/>
    <n v="109281.95088183531"/>
  </r>
  <r>
    <s v="Regular"/>
    <x v="1"/>
    <x v="0"/>
    <x v="3"/>
    <x v="2"/>
    <x v="2"/>
    <x v="0"/>
    <x v="2"/>
    <x v="2"/>
    <n v="10444"/>
    <n v="8877.4"/>
    <n v="505.92099999999999"/>
    <n v="475.56574000000001"/>
    <n v="505.92099999999999"/>
    <n v="475.56574000000001"/>
    <n v="0"/>
    <x v="2"/>
    <n v="0"/>
    <n v="11"/>
    <n v="110"/>
    <n v="88"/>
    <n v="62.23"/>
    <n v="51.27"/>
    <n v="365.5"/>
    <n v="76.426473864517376"/>
    <n v="66.787442987613147"/>
    <n v="382.75425465660959"/>
    <n v="552440.60199999996"/>
    <n v="24382.255489800002"/>
    <n v="173819.27797"/>
    <n v="678468.37908486649"/>
    <n v="31761.819747112058"/>
    <n v="182024.81035391899"/>
  </r>
  <r>
    <s v="Regular"/>
    <x v="1"/>
    <x v="0"/>
    <x v="3"/>
    <x v="2"/>
    <x v="2"/>
    <x v="0"/>
    <x v="2"/>
    <x v="3"/>
    <n v="10507"/>
    <n v="8930.9499999999989"/>
    <n v="541.37699999999995"/>
    <n v="508.89438000000001"/>
    <n v="541.37699999999995"/>
    <n v="508.89438000000001"/>
    <n v="0"/>
    <x v="2"/>
    <n v="0"/>
    <n v="11"/>
    <n v="110"/>
    <n v="88"/>
    <n v="62.23"/>
    <n v="51.27"/>
    <n v="365.5"/>
    <n v="76.426473864517376"/>
    <n v="66.787442987613147"/>
    <n v="382.75425465660959"/>
    <n v="555773.01849999989"/>
    <n v="26091.014862600001"/>
    <n v="186000.89589000001"/>
    <n v="682561.01676031132"/>
    <n v="33987.754390966744"/>
    <n v="194781.48911583747"/>
  </r>
  <r>
    <s v="Refaturamento - Regular"/>
    <x v="1"/>
    <x v="0"/>
    <x v="3"/>
    <x v="2"/>
    <x v="2"/>
    <x v="0"/>
    <x v="2"/>
    <x v="3"/>
    <n v="14"/>
    <n v="11.9"/>
    <n v="1.4"/>
    <n v="1.3160000000000001"/>
    <n v="1.4"/>
    <n v="1.3160000000000001"/>
    <n v="0"/>
    <x v="2"/>
    <n v="0"/>
    <n v="11"/>
    <n v="110"/>
    <n v="88"/>
    <n v="62.23"/>
    <n v="51.27"/>
    <n v="365.5"/>
    <n v="76.426473864517376"/>
    <n v="66.787442987613147"/>
    <n v="382.75425465660959"/>
    <n v="740.53700000000003"/>
    <n v="67.471320000000006"/>
    <n v="480.99800000000005"/>
    <n v="909.47503898775676"/>
    <n v="87.89227497169891"/>
    <n v="503.70459912809827"/>
  </r>
  <r>
    <s v="Regular"/>
    <x v="1"/>
    <x v="0"/>
    <x v="3"/>
    <x v="2"/>
    <x v="2"/>
    <x v="0"/>
    <x v="2"/>
    <x v="4"/>
    <n v="4805"/>
    <n v="4084.25"/>
    <n v="226.577"/>
    <n v="212.98238000000001"/>
    <n v="226.577"/>
    <n v="212.98238000000001"/>
    <n v="0"/>
    <x v="2"/>
    <n v="0"/>
    <n v="11"/>
    <n v="110"/>
    <n v="88"/>
    <n v="62.23"/>
    <n v="51.27"/>
    <n v="365.5"/>
    <n v="76.426473864517376"/>
    <n v="66.787442987613147"/>
    <n v="382.75425465660959"/>
    <n v="254162.87749999997"/>
    <n v="10919.6066226"/>
    <n v="77845.059890000004"/>
    <n v="312144.82588115509"/>
    <n v="14224.548561616159"/>
    <n v="81519.912111890793"/>
  </r>
  <r>
    <s v="Regular"/>
    <x v="1"/>
    <x v="0"/>
    <x v="3"/>
    <x v="2"/>
    <x v="2"/>
    <x v="0"/>
    <x v="2"/>
    <x v="5"/>
    <n v="4858"/>
    <n v="4129.3"/>
    <n v="219.75200000000001"/>
    <n v="206.56688"/>
    <n v="219.75200000000001"/>
    <n v="206.56688"/>
    <n v="0"/>
    <x v="2"/>
    <n v="0"/>
    <n v="11"/>
    <n v="110"/>
    <n v="88"/>
    <n v="62.23"/>
    <n v="51.27"/>
    <n v="365.5"/>
    <n v="76.426473864517376"/>
    <n v="66.787442987613147"/>
    <n v="382.75425465660959"/>
    <n v="256966.33900000001"/>
    <n v="10590.683937600001"/>
    <n v="75500.194640000002"/>
    <n v="315587.83852875163"/>
    <n v="13796.073721129127"/>
    <n v="79064.352191141312"/>
  </r>
  <r>
    <s v="Regular"/>
    <x v="1"/>
    <x v="0"/>
    <x v="3"/>
    <x v="2"/>
    <x v="2"/>
    <x v="0"/>
    <x v="2"/>
    <x v="6"/>
    <n v="4804"/>
    <n v="4083.4"/>
    <n v="213.417"/>
    <n v="200.61197999999999"/>
    <n v="213.417"/>
    <n v="200.61197999999999"/>
    <n v="0"/>
    <x v="2"/>
    <n v="0"/>
    <n v="11"/>
    <n v="110"/>
    <n v="88"/>
    <n v="62.23"/>
    <n v="51.27"/>
    <n v="365.5"/>
    <n v="76.426473864517376"/>
    <n v="66.787442987613147"/>
    <n v="382.75425465660959"/>
    <n v="254109.98199999999"/>
    <n v="10285.376214600001"/>
    <n v="73323.678690000001"/>
    <n v="312079.86337837024"/>
    <n v="13398.361176882188"/>
    <n v="76785.088880086667"/>
  </r>
  <r>
    <s v="Regular"/>
    <x v="1"/>
    <x v="0"/>
    <x v="3"/>
    <x v="2"/>
    <x v="2"/>
    <x v="0"/>
    <x v="2"/>
    <x v="7"/>
    <n v="5045"/>
    <n v="4288.25"/>
    <n v="213.58600000000001"/>
    <n v="200.77083999999999"/>
    <n v="213.58600000000001"/>
    <n v="200.77083999999999"/>
    <n v="0"/>
    <x v="2"/>
    <n v="0"/>
    <n v="11"/>
    <n v="110"/>
    <n v="88"/>
    <n v="62.23"/>
    <n v="51.27"/>
    <n v="365.5"/>
    <n v="76.426473864517376"/>
    <n v="66.787442987613147"/>
    <n v="382.75425465660959"/>
    <n v="266857.79749999999"/>
    <n v="10293.520966800001"/>
    <n v="73381.742019999991"/>
    <n v="327735.82654951664"/>
    <n v="13408.971030075201"/>
    <n v="76845.893220981423"/>
  </r>
  <r>
    <s v="Regular"/>
    <x v="1"/>
    <x v="0"/>
    <x v="3"/>
    <x v="2"/>
    <x v="2"/>
    <x v="0"/>
    <x v="2"/>
    <x v="8"/>
    <n v="4821"/>
    <n v="4097.8499999999995"/>
    <n v="220.51300000000001"/>
    <n v="207.28222"/>
    <n v="220.51300000000001"/>
    <n v="207.28222"/>
    <n v="0"/>
    <x v="2"/>
    <n v="0"/>
    <n v="11"/>
    <n v="110"/>
    <n v="88"/>
    <n v="62.23"/>
    <n v="51.27"/>
    <n v="365.5"/>
    <n v="76.426473864517376"/>
    <n v="66.787442987613147"/>
    <n v="382.75425465660959"/>
    <n v="255009.20549999995"/>
    <n v="10627.3594194"/>
    <n v="75761.651409999991"/>
    <n v="313184.2259257125"/>
    <n v="13843.849450595886"/>
    <n v="79338.151619667377"/>
  </r>
  <r>
    <s v="Regular"/>
    <x v="1"/>
    <x v="0"/>
    <x v="3"/>
    <x v="2"/>
    <x v="2"/>
    <x v="0"/>
    <x v="2"/>
    <x v="9"/>
    <n v="4984"/>
    <n v="4236.3999999999996"/>
    <n v="225.96"/>
    <n v="212.4024"/>
    <n v="225.96"/>
    <n v="212.4024"/>
    <n v="0"/>
    <x v="2"/>
    <n v="0"/>
    <n v="11"/>
    <n v="110"/>
    <n v="88"/>
    <n v="62.23"/>
    <n v="51.27"/>
    <n v="365.5"/>
    <n v="76.426473864517376"/>
    <n v="66.787442987613147"/>
    <n v="382.75425465660959"/>
    <n v="263631.17199999996"/>
    <n v="10889.871048000001"/>
    <n v="77633.0772"/>
    <n v="323773.1138796414"/>
    <n v="14185.813180432202"/>
    <n v="81297.922299275058"/>
  </r>
  <r>
    <s v="Regular"/>
    <x v="1"/>
    <x v="0"/>
    <x v="3"/>
    <x v="2"/>
    <x v="2"/>
    <x v="0"/>
    <x v="2"/>
    <x v="10"/>
    <n v="4945"/>
    <n v="4203.25"/>
    <n v="208.08"/>
    <n v="195.59520000000001"/>
    <n v="208.08"/>
    <n v="195.59520000000001"/>
    <n v="0"/>
    <x v="2"/>
    <n v="0"/>
    <n v="11"/>
    <n v="110"/>
    <n v="88"/>
    <n v="62.23"/>
    <n v="51.27"/>
    <n v="365.5"/>
    <n v="76.426473864517376"/>
    <n v="66.787442987613147"/>
    <n v="382.75425465660959"/>
    <n v="261568.2475"/>
    <n v="10028.165904000001"/>
    <n v="71490.045599999998"/>
    <n v="321239.57627103268"/>
    <n v="13063.303268650792"/>
    <n v="74864.894990410481"/>
  </r>
  <r>
    <s v="PROJETADO"/>
    <x v="1"/>
    <x v="0"/>
    <x v="3"/>
    <x v="2"/>
    <x v="2"/>
    <x v="0"/>
    <x v="2"/>
    <x v="11"/>
    <n v="4945"/>
    <n v="4203.25"/>
    <n v="208.08"/>
    <n v="195.59520000000001"/>
    <n v="208.08"/>
    <n v="195.59520000000001"/>
    <n v="0"/>
    <x v="2"/>
    <n v="0"/>
    <n v="11"/>
    <n v="110"/>
    <n v="88"/>
    <n v="62.23"/>
    <n v="51.27"/>
    <n v="365.5"/>
    <n v="76.426473864517376"/>
    <n v="66.787442987613147"/>
    <n v="382.75425465660959"/>
    <n v="261568.2475"/>
    <n v="10028.165904000001"/>
    <n v="71490.045599999998"/>
    <n v="321239.57627103268"/>
    <n v="13063.303268650792"/>
    <n v="74864.894990410481"/>
  </r>
  <r>
    <s v="Regular"/>
    <x v="1"/>
    <x v="1"/>
    <x v="4"/>
    <x v="0"/>
    <x v="4"/>
    <x v="6"/>
    <x v="1"/>
    <x v="0"/>
    <n v="1995"/>
    <n v="1278.7950000000001"/>
    <n v="997.26800000000003"/>
    <n v="639.24878799999999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258.652700000002"/>
    <n v="6168.7508041999999"/>
    <n v="0"/>
    <n v="21076.844239422418"/>
    <n v="7128.2281617573954"/>
    <n v="0"/>
  </r>
  <r>
    <s v="Regular"/>
    <x v="1"/>
    <x v="1"/>
    <x v="4"/>
    <x v="0"/>
    <x v="4"/>
    <x v="6"/>
    <x v="1"/>
    <x v="1"/>
    <n v="2016"/>
    <n v="1292.2560000000001"/>
    <n v="928.58900000000006"/>
    <n v="595.225549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461.375360000002"/>
    <n v="5743.9265478500001"/>
    <n v="0"/>
    <n v="21298.705757732128"/>
    <n v="6637.3274390616543"/>
    <n v="0"/>
  </r>
  <r>
    <s v="Regular"/>
    <x v="1"/>
    <x v="1"/>
    <x v="4"/>
    <x v="0"/>
    <x v="4"/>
    <x v="6"/>
    <x v="1"/>
    <x v="2"/>
    <n v="1935"/>
    <n v="1240.335"/>
    <n v="903.06299999999999"/>
    <n v="578.863383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8679.445100000001"/>
    <n v="5586.03164595"/>
    <n v="0"/>
    <n v="20442.95418710896"/>
    <n v="6454.8738237275429"/>
    <n v="0"/>
  </r>
  <r>
    <s v="Regular"/>
    <x v="1"/>
    <x v="1"/>
    <x v="4"/>
    <x v="0"/>
    <x v="4"/>
    <x v="6"/>
    <x v="1"/>
    <x v="3"/>
    <n v="1938"/>
    <n v="1242.258"/>
    <n v="870.15300000000002"/>
    <n v="557.76807300000007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8708.405480000001"/>
    <n v="5382.4619044500005"/>
    <n v="0"/>
    <n v="20474.648689724636"/>
    <n v="6219.6411793396401"/>
    <n v="0"/>
  </r>
  <r>
    <s v="Regular"/>
    <x v="1"/>
    <x v="1"/>
    <x v="4"/>
    <x v="0"/>
    <x v="4"/>
    <x v="6"/>
    <x v="1"/>
    <x v="4"/>
    <n v="1915"/>
    <n v="1227.5150000000001"/>
    <n v="835.46100000000001"/>
    <n v="535.53050100000007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8486.375900000003"/>
    <n v="5167.8693346500013"/>
    <n v="0"/>
    <n v="20231.657503004477"/>
    <n v="5971.6712340614522"/>
    <n v="0"/>
  </r>
  <r>
    <s v="Regular"/>
    <x v="1"/>
    <x v="1"/>
    <x v="4"/>
    <x v="0"/>
    <x v="4"/>
    <x v="6"/>
    <x v="1"/>
    <x v="5"/>
    <n v="1963"/>
    <n v="1258.2830000000001"/>
    <n v="864.78300000000002"/>
    <n v="554.32590300000004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8949.741980000003"/>
    <n v="5349.244963950001"/>
    <n v="0"/>
    <n v="20738.769544855244"/>
    <n v="6181.2577305288514"/>
    <n v="0"/>
  </r>
  <r>
    <s v="Regular"/>
    <x v="1"/>
    <x v="1"/>
    <x v="4"/>
    <x v="0"/>
    <x v="4"/>
    <x v="6"/>
    <x v="1"/>
    <x v="6"/>
    <n v="2009"/>
    <n v="1287.769"/>
    <n v="890.678"/>
    <n v="570.92459800000006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393.80114"/>
    <n v="5509.422370700001"/>
    <n v="0"/>
    <n v="21224.751918295558"/>
    <n v="6366.3488677644864"/>
    <n v="0"/>
  </r>
  <r>
    <s v="Regular"/>
    <x v="1"/>
    <x v="1"/>
    <x v="4"/>
    <x v="0"/>
    <x v="4"/>
    <x v="6"/>
    <x v="1"/>
    <x v="7"/>
    <n v="2042"/>
    <n v="1308.922"/>
    <n v="1001.43"/>
    <n v="641.91662999999994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712.365320000001"/>
    <n v="6194.4954794999994"/>
    <n v="0"/>
    <n v="21573.391447067959"/>
    <n v="7157.9771215247138"/>
    <n v="0"/>
  </r>
  <r>
    <s v="Regular"/>
    <x v="1"/>
    <x v="1"/>
    <x v="4"/>
    <x v="0"/>
    <x v="4"/>
    <x v="6"/>
    <x v="1"/>
    <x v="8"/>
    <n v="2010"/>
    <n v="1288.4100000000001"/>
    <n v="976.822"/>
    <n v="626.14290200000005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403.454600000001"/>
    <n v="6042.2790043000005"/>
    <n v="0"/>
    <n v="21235.316752500785"/>
    <n v="6982.0851460431732"/>
    <n v="0"/>
  </r>
  <r>
    <s v="Regular"/>
    <x v="1"/>
    <x v="1"/>
    <x v="4"/>
    <x v="0"/>
    <x v="4"/>
    <x v="6"/>
    <x v="1"/>
    <x v="9"/>
    <n v="2037"/>
    <n v="1305.7170000000001"/>
    <n v="999.56700000000001"/>
    <n v="640.72244699999999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19664.098020000001"/>
    <n v="6182.9716135500003"/>
    <n v="0"/>
    <n v="21520.567276041838"/>
    <n v="7144.6608524121448"/>
    <n v="0"/>
  </r>
  <r>
    <s v="Regular"/>
    <x v="1"/>
    <x v="1"/>
    <x v="4"/>
    <x v="0"/>
    <x v="4"/>
    <x v="6"/>
    <x v="1"/>
    <x v="10"/>
    <n v="2093"/>
    <n v="1341.6130000000001"/>
    <n v="1038.175"/>
    <n v="665.47017500000004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20204.691780000001"/>
    <n v="6421.7871887500005"/>
    <n v="0"/>
    <n v="22112.197991534398"/>
    <n v="7420.6214095233017"/>
    <n v="0"/>
  </r>
  <r>
    <s v="PROJETADO"/>
    <x v="1"/>
    <x v="1"/>
    <x v="4"/>
    <x v="0"/>
    <x v="4"/>
    <x v="6"/>
    <x v="1"/>
    <x v="11"/>
    <n v="2093"/>
    <n v="1341.6130000000001"/>
    <n v="1038.175"/>
    <n v="665.47017500000004"/>
    <n v="0"/>
    <n v="0"/>
    <n v="0"/>
    <x v="3"/>
    <n v="5377"/>
    <n v="14"/>
    <n v="15"/>
    <n v="0"/>
    <n v="15.06"/>
    <n v="9.65"/>
    <n v="0"/>
    <n v="16.481800632175148"/>
    <n v="11.150945133676805"/>
    <n v="254.96176887194758"/>
    <n v="20204.691780000001"/>
    <n v="6421.7871887500005"/>
    <n v="0"/>
    <n v="22112.197991534398"/>
    <n v="7420.6214095233017"/>
    <n v="0"/>
  </r>
  <r>
    <s v="Regular"/>
    <x v="1"/>
    <x v="1"/>
    <x v="4"/>
    <x v="0"/>
    <x v="4"/>
    <x v="6"/>
    <x v="0"/>
    <x v="0"/>
    <n v="0"/>
    <n v="0"/>
    <n v="0"/>
    <n v="0"/>
    <n v="1109.271"/>
    <n v="314.47832849999998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2361.463387849988"/>
    <n v="0"/>
    <n v="0"/>
    <n v="80179.950906253405"/>
  </r>
  <r>
    <s v="Regular"/>
    <x v="1"/>
    <x v="1"/>
    <x v="4"/>
    <x v="0"/>
    <x v="4"/>
    <x v="6"/>
    <x v="0"/>
    <x v="1"/>
    <n v="0"/>
    <n v="0"/>
    <n v="0"/>
    <n v="0"/>
    <n v="1022.86"/>
    <n v="289.98080999999996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6724.584380999993"/>
    <n v="0"/>
    <n v="0"/>
    <n v="73934.020256520133"/>
  </r>
  <r>
    <s v="Regular"/>
    <x v="1"/>
    <x v="1"/>
    <x v="4"/>
    <x v="0"/>
    <x v="4"/>
    <x v="6"/>
    <x v="0"/>
    <x v="2"/>
    <n v="0"/>
    <n v="0"/>
    <n v="0"/>
    <n v="0"/>
    <n v="1003.768"/>
    <n v="284.56822799999998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5479.149262799991"/>
    <n v="0"/>
    <n v="0"/>
    <n v="72554.018775635675"/>
  </r>
  <r>
    <s v="Regular"/>
    <x v="1"/>
    <x v="1"/>
    <x v="4"/>
    <x v="0"/>
    <x v="4"/>
    <x v="6"/>
    <x v="0"/>
    <x v="3"/>
    <n v="0"/>
    <n v="0"/>
    <n v="0"/>
    <n v="0"/>
    <n v="971.34299999999996"/>
    <n v="275.37574049999995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3363.957889049983"/>
    <n v="0"/>
    <n v="0"/>
    <n v="70210.285902302407"/>
  </r>
  <r>
    <s v="Regular"/>
    <x v="1"/>
    <x v="1"/>
    <x v="4"/>
    <x v="0"/>
    <x v="4"/>
    <x v="6"/>
    <x v="0"/>
    <x v="4"/>
    <n v="0"/>
    <n v="0"/>
    <n v="0"/>
    <n v="0"/>
    <n v="940.20299999999997"/>
    <n v="266.54755049999994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1332.591370049988"/>
    <n v="0"/>
    <n v="0"/>
    <n v="67959.434963964755"/>
  </r>
  <r>
    <s v="Regular"/>
    <x v="1"/>
    <x v="1"/>
    <x v="4"/>
    <x v="0"/>
    <x v="4"/>
    <x v="6"/>
    <x v="0"/>
    <x v="5"/>
    <n v="0"/>
    <n v="0"/>
    <n v="0"/>
    <n v="0"/>
    <n v="971.20899999999995"/>
    <n v="275.33775149999997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3355.216620149993"/>
    <n v="0"/>
    <n v="0"/>
    <n v="70200.600159664726"/>
  </r>
  <r>
    <s v="Regular"/>
    <x v="1"/>
    <x v="1"/>
    <x v="4"/>
    <x v="0"/>
    <x v="4"/>
    <x v="6"/>
    <x v="0"/>
    <x v="6"/>
    <n v="0"/>
    <n v="0"/>
    <n v="0"/>
    <n v="0"/>
    <n v="992.65"/>
    <n v="281.41627499999998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64753.884877499993"/>
    <n v="0"/>
    <n v="0"/>
    <n v="71750.391263354439"/>
  </r>
  <r>
    <s v="Regular"/>
    <x v="1"/>
    <x v="1"/>
    <x v="4"/>
    <x v="0"/>
    <x v="4"/>
    <x v="6"/>
    <x v="0"/>
    <x v="7"/>
    <n v="0"/>
    <n v="0"/>
    <n v="0"/>
    <n v="0"/>
    <n v="1101.4580000000001"/>
    <n v="312.26334300000002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1851.795224300004"/>
    <n v="0"/>
    <n v="0"/>
    <n v="79615.214285147697"/>
  </r>
  <r>
    <s v="Regular"/>
    <x v="1"/>
    <x v="1"/>
    <x v="4"/>
    <x v="0"/>
    <x v="4"/>
    <x v="6"/>
    <x v="0"/>
    <x v="8"/>
    <n v="0"/>
    <n v="0"/>
    <n v="0"/>
    <n v="0"/>
    <n v="1078.0350000000001"/>
    <n v="305.62292250000002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0323.834467249995"/>
    <n v="0"/>
    <n v="0"/>
    <n v="77922.16092841416"/>
  </r>
  <r>
    <s v="Regular"/>
    <x v="1"/>
    <x v="1"/>
    <x v="4"/>
    <x v="0"/>
    <x v="4"/>
    <x v="6"/>
    <x v="0"/>
    <x v="9"/>
    <n v="0"/>
    <n v="0"/>
    <n v="0"/>
    <n v="0"/>
    <n v="1117.4259999999999"/>
    <n v="316.79027099999996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2893.44135709999"/>
    <n v="0"/>
    <n v="0"/>
    <n v="80769.407855583631"/>
  </r>
  <r>
    <s v="Refaturamento - Regular"/>
    <x v="1"/>
    <x v="1"/>
    <x v="4"/>
    <x v="0"/>
    <x v="4"/>
    <x v="1"/>
    <x v="0"/>
    <x v="10"/>
    <n v="0"/>
    <n v="0"/>
    <n v="0"/>
    <n v="0"/>
    <n v="-471.37"/>
    <n v="-471.37"/>
    <n v="0"/>
    <x v="3"/>
    <n v="46"/>
    <n v="0"/>
    <n v="0"/>
    <n v="90"/>
    <n v="0"/>
    <n v="0"/>
    <n v="230.1"/>
    <n v="42.583563671169571"/>
    <n v="11.150945133676805"/>
    <n v="254.96176887194758"/>
    <n v="0"/>
    <n v="0"/>
    <n v="-108462.23699999999"/>
    <n v="0"/>
    <n v="0"/>
    <n v="-120181.32899316994"/>
  </r>
  <r>
    <s v="Regular"/>
    <x v="1"/>
    <x v="1"/>
    <x v="4"/>
    <x v="0"/>
    <x v="4"/>
    <x v="6"/>
    <x v="0"/>
    <x v="10"/>
    <n v="0"/>
    <n v="0"/>
    <n v="0"/>
    <n v="0"/>
    <n v="1144.837"/>
    <n v="324.56128949999999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4681.55271394999"/>
    <n v="0"/>
    <n v="0"/>
    <n v="82750.720478280258"/>
  </r>
  <r>
    <s v="PROJETADO"/>
    <x v="1"/>
    <x v="1"/>
    <x v="4"/>
    <x v="0"/>
    <x v="4"/>
    <x v="1"/>
    <x v="0"/>
    <x v="11"/>
    <n v="0"/>
    <n v="0"/>
    <n v="0"/>
    <n v="0"/>
    <n v="-471.37"/>
    <n v="-471.37"/>
    <n v="0"/>
    <x v="3"/>
    <n v="46"/>
    <n v="0"/>
    <n v="0"/>
    <n v="90"/>
    <n v="0"/>
    <n v="0"/>
    <n v="230.1"/>
    <n v="42.583563671169571"/>
    <n v="11.150945133676805"/>
    <n v="254.96176887194758"/>
    <n v="0"/>
    <n v="0"/>
    <n v="-108462.23699999999"/>
    <n v="0"/>
    <n v="0"/>
    <n v="-120181.32899316994"/>
  </r>
  <r>
    <s v="PROJETADO"/>
    <x v="1"/>
    <x v="1"/>
    <x v="4"/>
    <x v="0"/>
    <x v="4"/>
    <x v="6"/>
    <x v="0"/>
    <x v="11"/>
    <n v="0"/>
    <n v="0"/>
    <n v="0"/>
    <n v="0"/>
    <n v="1144.837"/>
    <n v="324.56128949999999"/>
    <n v="0"/>
    <x v="3"/>
    <n v="5377"/>
    <n v="0"/>
    <n v="0"/>
    <n v="94"/>
    <n v="0"/>
    <n v="0"/>
    <n v="230.1"/>
    <n v="42.583563671169571"/>
    <n v="11.150945133676805"/>
    <n v="254.96176887194758"/>
    <n v="0"/>
    <n v="0"/>
    <n v="74681.55271394999"/>
    <n v="0"/>
    <n v="0"/>
    <n v="82750.720478280258"/>
  </r>
  <r>
    <s v="Regular"/>
    <x v="1"/>
    <x v="1"/>
    <x v="4"/>
    <x v="0"/>
    <x v="4"/>
    <x v="6"/>
    <x v="2"/>
    <x v="0"/>
    <n v="2088"/>
    <n v="1338.4080000000001"/>
    <n v="124.779"/>
    <n v="79.983339000000001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40005.015120000004"/>
    <n v="771.83922135"/>
    <n v="0"/>
    <n v="48520.567313186744"/>
    <n v="891.88982479727224"/>
    <n v="0"/>
  </r>
  <r>
    <s v="Regular"/>
    <x v="1"/>
    <x v="1"/>
    <x v="4"/>
    <x v="0"/>
    <x v="4"/>
    <x v="6"/>
    <x v="2"/>
    <x v="1"/>
    <n v="1990"/>
    <n v="1275.5899999999999"/>
    <n v="108.497"/>
    <n v="69.546576999999999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8127.3851"/>
    <n v="671.12446805000002"/>
    <n v="0"/>
    <n v="46243.260992931806"/>
    <n v="775.5100643620292"/>
    <n v="0"/>
  </r>
  <r>
    <s v="Regular"/>
    <x v="1"/>
    <x v="1"/>
    <x v="4"/>
    <x v="0"/>
    <x v="4"/>
    <x v="6"/>
    <x v="2"/>
    <x v="2"/>
    <n v="2049"/>
    <n v="1313.4090000000001"/>
    <n v="114.601"/>
    <n v="73.459241000000006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9257.795010000002"/>
    <n v="708.88167565000003"/>
    <n v="0"/>
    <n v="47614.292349003656"/>
    <n v="819.13996595254173"/>
    <n v="0"/>
  </r>
  <r>
    <s v="Regular"/>
    <x v="1"/>
    <x v="1"/>
    <x v="4"/>
    <x v="0"/>
    <x v="4"/>
    <x v="6"/>
    <x v="2"/>
    <x v="3"/>
    <n v="1994"/>
    <n v="1278.154"/>
    <n v="115.446"/>
    <n v="74.000885999999994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8204.02306"/>
    <n v="714.10854989999996"/>
    <n v="0"/>
    <n v="46336.21227130956"/>
    <n v="825.17981962947192"/>
    <n v="0"/>
  </r>
  <r>
    <s v="Regular"/>
    <x v="1"/>
    <x v="1"/>
    <x v="4"/>
    <x v="0"/>
    <x v="4"/>
    <x v="6"/>
    <x v="2"/>
    <x v="4"/>
    <n v="2004"/>
    <n v="1284.5640000000001"/>
    <n v="119.52800000000001"/>
    <n v="76.61744800000001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8395.617960000003"/>
    <n v="739.35837320000007"/>
    <n v="0"/>
    <n v="46568.59046725394"/>
    <n v="854.35695893033574"/>
    <n v="0"/>
  </r>
  <r>
    <s v="Regular"/>
    <x v="1"/>
    <x v="1"/>
    <x v="4"/>
    <x v="0"/>
    <x v="4"/>
    <x v="6"/>
    <x v="2"/>
    <x v="5"/>
    <n v="2038"/>
    <n v="1306.3579999999999"/>
    <n v="121.212"/>
    <n v="77.696892000000005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9047.04062"/>
    <n v="749.77500780000003"/>
    <n v="0"/>
    <n v="47358.676333464835"/>
    <n v="866.39377974921229"/>
    <n v="0"/>
  </r>
  <r>
    <s v="Regular"/>
    <x v="1"/>
    <x v="1"/>
    <x v="4"/>
    <x v="0"/>
    <x v="4"/>
    <x v="6"/>
    <x v="2"/>
    <x v="6"/>
    <n v="2058"/>
    <n v="1319.1780000000001"/>
    <n v="117.648"/>
    <n v="75.412368000000001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9430.230420000007"/>
    <n v="727.7293512"/>
    <n v="0"/>
    <n v="47823.432725353603"/>
    <n v="840.91917796864436"/>
    <n v="0"/>
  </r>
  <r>
    <s v="Regular"/>
    <x v="1"/>
    <x v="1"/>
    <x v="4"/>
    <x v="0"/>
    <x v="4"/>
    <x v="6"/>
    <x v="2"/>
    <x v="7"/>
    <n v="2051"/>
    <n v="1314.691"/>
    <n v="115.67400000000001"/>
    <n v="74.147034000000005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9296.113990000005"/>
    <n v="715.51887810000005"/>
    <n v="0"/>
    <n v="47660.767988192529"/>
    <n v="826.80950795886861"/>
    <n v="0"/>
  </r>
  <r>
    <s v="Regular"/>
    <x v="1"/>
    <x v="1"/>
    <x v="4"/>
    <x v="0"/>
    <x v="4"/>
    <x v="6"/>
    <x v="2"/>
    <x v="8"/>
    <n v="2068"/>
    <n v="1325.588"/>
    <n v="115.57899999999999"/>
    <n v="74.086139000000003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39621.825319999996"/>
    <n v="714.93124135000005"/>
    <n v="0"/>
    <n v="48055.810921297976"/>
    <n v="826.1304711549534"/>
    <n v="0"/>
  </r>
  <r>
    <s v="Regular"/>
    <x v="1"/>
    <x v="1"/>
    <x v="4"/>
    <x v="0"/>
    <x v="4"/>
    <x v="6"/>
    <x v="2"/>
    <x v="9"/>
    <n v="2155"/>
    <n v="1381.355"/>
    <n v="130.245"/>
    <n v="83.487045000000009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41288.700949999999"/>
    <n v="805.6499842500001"/>
    <n v="0"/>
    <n v="50077.501226014094"/>
    <n v="930.95945816780647"/>
    <n v="0"/>
  </r>
  <r>
    <s v="Regular"/>
    <x v="1"/>
    <x v="1"/>
    <x v="4"/>
    <x v="0"/>
    <x v="4"/>
    <x v="6"/>
    <x v="2"/>
    <x v="10"/>
    <n v="2130"/>
    <n v="1365.33"/>
    <n v="119.048"/>
    <n v="76.309768000000005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40809.7137"/>
    <n v="736.38926120000008"/>
    <n v="0"/>
    <n v="49496.555736153139"/>
    <n v="850.926036131606"/>
    <n v="0"/>
  </r>
  <r>
    <s v="PROJETADO"/>
    <x v="1"/>
    <x v="1"/>
    <x v="4"/>
    <x v="0"/>
    <x v="4"/>
    <x v="6"/>
    <x v="2"/>
    <x v="11"/>
    <n v="2130"/>
    <n v="1365.33"/>
    <n v="119.048"/>
    <n v="76.309768000000005"/>
    <n v="0"/>
    <n v="0"/>
    <n v="0"/>
    <x v="3"/>
    <n v="5377"/>
    <n v="13"/>
    <n v="15"/>
    <n v="0"/>
    <n v="29.89"/>
    <n v="9.65"/>
    <n v="0"/>
    <n v="36.252448665270038"/>
    <n v="11.150945133676805"/>
    <n v="254.96176887194758"/>
    <n v="40809.7137"/>
    <n v="736.38926120000008"/>
    <n v="0"/>
    <n v="49496.555736153139"/>
    <n v="850.926036131606"/>
    <n v="0"/>
  </r>
  <r>
    <s v="Regular"/>
    <x v="1"/>
    <x v="1"/>
    <x v="4"/>
    <x v="0"/>
    <x v="2"/>
    <x v="7"/>
    <x v="1"/>
    <x v="0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0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1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1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2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2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3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3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4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4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5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5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6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6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7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7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8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8"/>
    <n v="6478"/>
    <n v="6478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7558.680000000008"/>
    <n v="0"/>
    <n v="0"/>
    <n v="106769.10449523061"/>
    <n v="0"/>
    <n v="0"/>
  </r>
  <r>
    <s v="Regular"/>
    <x v="1"/>
    <x v="1"/>
    <x v="4"/>
    <x v="0"/>
    <x v="2"/>
    <x v="7"/>
    <x v="1"/>
    <x v="9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9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1"/>
    <x v="10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Regular"/>
    <x v="1"/>
    <x v="1"/>
    <x v="4"/>
    <x v="0"/>
    <x v="2"/>
    <x v="8"/>
    <x v="1"/>
    <x v="10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PROJETADO"/>
    <x v="1"/>
    <x v="1"/>
    <x v="4"/>
    <x v="0"/>
    <x v="2"/>
    <x v="7"/>
    <x v="1"/>
    <x v="11"/>
    <n v="5577"/>
    <n v="5577"/>
    <n v="0"/>
    <n v="0"/>
    <n v="0"/>
    <n v="0"/>
    <n v="0"/>
    <x v="5"/>
    <n v="44"/>
    <n v="106"/>
    <n v="0"/>
    <n v="0"/>
    <n v="15.06"/>
    <n v="0"/>
    <n v="0"/>
    <n v="16.481800632175148"/>
    <n v="11.150945133676805"/>
    <m/>
    <n v="83989.62000000001"/>
    <n v="0"/>
    <n v="0"/>
    <n v="91919.002125640793"/>
    <n v="0"/>
    <n v="0"/>
  </r>
  <r>
    <s v="PROJETADO"/>
    <x v="1"/>
    <x v="1"/>
    <x v="4"/>
    <x v="0"/>
    <x v="2"/>
    <x v="8"/>
    <x v="1"/>
    <x v="11"/>
    <n v="6331"/>
    <n v="6331"/>
    <n v="0"/>
    <n v="0"/>
    <n v="0"/>
    <n v="0"/>
    <n v="0"/>
    <x v="5"/>
    <n v="47"/>
    <n v="18"/>
    <n v="0"/>
    <n v="0"/>
    <n v="15.06"/>
    <n v="0"/>
    <n v="0"/>
    <n v="16.481800632175148"/>
    <n v="11.150945133676805"/>
    <m/>
    <n v="95344.86"/>
    <n v="0"/>
    <n v="0"/>
    <n v="104346.27980230087"/>
    <n v="0"/>
    <n v="0"/>
  </r>
  <r>
    <s v="Regular"/>
    <x v="1"/>
    <x v="1"/>
    <x v="4"/>
    <x v="0"/>
    <x v="2"/>
    <x v="7"/>
    <x v="0"/>
    <x v="0"/>
    <n v="0"/>
    <n v="0"/>
    <n v="2156.9180000000001"/>
    <n v="2156.9180000000001"/>
    <n v="0"/>
    <n v="0"/>
    <n v="0"/>
    <x v="5"/>
    <n v="44"/>
    <n v="0"/>
    <n v="16"/>
    <n v="0"/>
    <n v="0"/>
    <n v="9.65"/>
    <n v="0"/>
    <n v="42.583563671169571"/>
    <n v="11.150945133676805"/>
    <m/>
    <n v="0"/>
    <n v="20814.258700000002"/>
    <n v="0"/>
    <n v="0"/>
    <n v="24051.674275839909"/>
    <n v="0"/>
  </r>
  <r>
    <s v="Regular"/>
    <x v="1"/>
    <x v="1"/>
    <x v="4"/>
    <x v="0"/>
    <x v="2"/>
    <x v="8"/>
    <x v="0"/>
    <x v="0"/>
    <n v="0"/>
    <n v="0"/>
    <n v="2165.0329999999999"/>
    <n v="2165.0329999999999"/>
    <n v="0"/>
    <n v="0"/>
    <n v="0"/>
    <x v="5"/>
    <n v="47"/>
    <n v="0"/>
    <n v="19"/>
    <n v="0"/>
    <n v="0"/>
    <n v="9.65"/>
    <n v="0"/>
    <n v="42.583563671169571"/>
    <n v="11.150945133676805"/>
    <m/>
    <n v="0"/>
    <n v="20892.568449999999"/>
    <n v="0"/>
    <n v="0"/>
    <n v="24142.164195599693"/>
    <n v="0"/>
  </r>
  <r>
    <s v="Regular"/>
    <x v="1"/>
    <x v="1"/>
    <x v="4"/>
    <x v="0"/>
    <x v="2"/>
    <x v="7"/>
    <x v="0"/>
    <x v="1"/>
    <n v="0"/>
    <n v="0"/>
    <n v="1952.4269999999999"/>
    <n v="1952.4269999999999"/>
    <n v="0"/>
    <n v="0"/>
    <n v="0"/>
    <x v="5"/>
    <n v="44"/>
    <n v="0"/>
    <n v="16"/>
    <n v="0"/>
    <n v="0"/>
    <n v="9.65"/>
    <n v="0"/>
    <n v="42.583563671169571"/>
    <n v="11.150945133676805"/>
    <m/>
    <n v="0"/>
    <n v="18840.920549999999"/>
    <n v="0"/>
    <n v="0"/>
    <n v="21771.406354509203"/>
    <n v="0"/>
  </r>
  <r>
    <s v="Regular"/>
    <x v="1"/>
    <x v="1"/>
    <x v="4"/>
    <x v="0"/>
    <x v="2"/>
    <x v="8"/>
    <x v="0"/>
    <x v="1"/>
    <n v="0"/>
    <n v="0"/>
    <n v="2015.944"/>
    <n v="2015.944"/>
    <n v="0"/>
    <n v="0"/>
    <n v="0"/>
    <x v="5"/>
    <n v="47"/>
    <n v="0"/>
    <n v="19"/>
    <n v="0"/>
    <n v="0"/>
    <n v="9.65"/>
    <n v="0"/>
    <n v="42.583563671169571"/>
    <n v="11.150945133676805"/>
    <m/>
    <n v="0"/>
    <n v="19453.8596"/>
    <n v="0"/>
    <n v="0"/>
    <n v="22479.680936564953"/>
    <n v="0"/>
  </r>
  <r>
    <s v="Regular"/>
    <x v="1"/>
    <x v="1"/>
    <x v="4"/>
    <x v="0"/>
    <x v="2"/>
    <x v="7"/>
    <x v="0"/>
    <x v="2"/>
    <n v="0"/>
    <n v="0"/>
    <n v="1707.413"/>
    <n v="1707.413"/>
    <n v="0"/>
    <n v="0"/>
    <n v="0"/>
    <x v="5"/>
    <n v="44"/>
    <n v="0"/>
    <n v="16"/>
    <n v="0"/>
    <n v="0"/>
    <n v="9.65"/>
    <n v="0"/>
    <n v="42.583563671169571"/>
    <n v="11.150945133676805"/>
    <m/>
    <n v="0"/>
    <n v="16476.535449999999"/>
    <n v="0"/>
    <n v="0"/>
    <n v="19039.268683526516"/>
    <n v="0"/>
  </r>
  <r>
    <s v="Regular"/>
    <x v="1"/>
    <x v="1"/>
    <x v="4"/>
    <x v="0"/>
    <x v="2"/>
    <x v="8"/>
    <x v="0"/>
    <x v="2"/>
    <n v="0"/>
    <n v="0"/>
    <n v="1925.34"/>
    <n v="1925.34"/>
    <n v="0"/>
    <n v="0"/>
    <n v="0"/>
    <x v="5"/>
    <n v="47"/>
    <n v="0"/>
    <n v="19"/>
    <n v="0"/>
    <n v="0"/>
    <n v="9.65"/>
    <n v="0"/>
    <n v="42.583563671169571"/>
    <n v="11.150945133676805"/>
    <m/>
    <n v="0"/>
    <n v="18579.530999999999"/>
    <n v="0"/>
    <n v="0"/>
    <n v="21469.360703673297"/>
    <n v="0"/>
  </r>
  <r>
    <s v="Regular"/>
    <x v="1"/>
    <x v="1"/>
    <x v="4"/>
    <x v="0"/>
    <x v="2"/>
    <x v="7"/>
    <x v="0"/>
    <x v="3"/>
    <n v="0"/>
    <n v="0"/>
    <n v="1596.17"/>
    <n v="1596.17"/>
    <n v="0"/>
    <n v="0"/>
    <n v="0"/>
    <x v="5"/>
    <n v="44"/>
    <n v="0"/>
    <n v="16"/>
    <n v="0"/>
    <n v="0"/>
    <n v="9.65"/>
    <n v="0"/>
    <n v="42.583563671169571"/>
    <n v="11.150945133676805"/>
    <m/>
    <n v="0"/>
    <n v="15403.040500000001"/>
    <n v="0"/>
    <n v="0"/>
    <n v="17798.804094020907"/>
    <n v="0"/>
  </r>
  <r>
    <s v="Regular"/>
    <x v="1"/>
    <x v="1"/>
    <x v="4"/>
    <x v="0"/>
    <x v="2"/>
    <x v="8"/>
    <x v="0"/>
    <x v="3"/>
    <n v="0"/>
    <n v="0"/>
    <n v="1852.33"/>
    <n v="1852.33"/>
    <n v="0"/>
    <n v="0"/>
    <n v="0"/>
    <x v="5"/>
    <n v="47"/>
    <n v="0"/>
    <n v="19"/>
    <n v="0"/>
    <n v="0"/>
    <n v="9.65"/>
    <n v="0"/>
    <n v="42.583563671169571"/>
    <n v="11.150945133676805"/>
    <m/>
    <n v="0"/>
    <n v="17874.984499999999"/>
    <n v="0"/>
    <n v="0"/>
    <n v="20655.230199463556"/>
    <n v="0"/>
  </r>
  <r>
    <s v="Regular"/>
    <x v="1"/>
    <x v="1"/>
    <x v="4"/>
    <x v="0"/>
    <x v="2"/>
    <x v="7"/>
    <x v="0"/>
    <x v="4"/>
    <n v="0"/>
    <n v="0"/>
    <n v="1625.443"/>
    <n v="1625.443"/>
    <n v="0"/>
    <n v="0"/>
    <n v="0"/>
    <x v="5"/>
    <n v="44"/>
    <n v="0"/>
    <n v="16"/>
    <n v="0"/>
    <n v="0"/>
    <n v="9.65"/>
    <n v="0"/>
    <n v="42.583563671169571"/>
    <n v="11.150945133676805"/>
    <m/>
    <n v="0"/>
    <n v="15685.524950000001"/>
    <n v="0"/>
    <n v="0"/>
    <n v="18125.225710919025"/>
    <n v="0"/>
  </r>
  <r>
    <s v="Regular"/>
    <x v="1"/>
    <x v="1"/>
    <x v="4"/>
    <x v="0"/>
    <x v="2"/>
    <x v="8"/>
    <x v="0"/>
    <x v="4"/>
    <n v="0"/>
    <n v="0"/>
    <n v="1840.6289999999999"/>
    <n v="1840.6289999999999"/>
    <n v="0"/>
    <n v="0"/>
    <n v="0"/>
    <x v="5"/>
    <n v="47"/>
    <n v="0"/>
    <n v="19"/>
    <n v="0"/>
    <n v="0"/>
    <n v="9.65"/>
    <n v="0"/>
    <n v="42.583563671169571"/>
    <n v="11.150945133676805"/>
    <m/>
    <n v="0"/>
    <n v="17762.06985"/>
    <n v="0"/>
    <n v="0"/>
    <n v="20524.752990454403"/>
    <n v="0"/>
  </r>
  <r>
    <s v="Regular"/>
    <x v="1"/>
    <x v="1"/>
    <x v="4"/>
    <x v="0"/>
    <x v="2"/>
    <x v="7"/>
    <x v="0"/>
    <x v="5"/>
    <n v="0"/>
    <n v="0"/>
    <n v="1615.0909999999999"/>
    <n v="1615.0909999999999"/>
    <n v="0"/>
    <n v="0"/>
    <n v="0"/>
    <x v="5"/>
    <n v="44"/>
    <n v="0"/>
    <n v="16"/>
    <n v="0"/>
    <n v="0"/>
    <n v="9.65"/>
    <n v="0"/>
    <n v="42.583563671169571"/>
    <n v="11.150945133676805"/>
    <m/>
    <n v="0"/>
    <n v="15585.62815"/>
    <n v="0"/>
    <n v="0"/>
    <n v="18009.791126895205"/>
    <n v="0"/>
  </r>
  <r>
    <s v="Regular"/>
    <x v="1"/>
    <x v="1"/>
    <x v="4"/>
    <x v="0"/>
    <x v="2"/>
    <x v="8"/>
    <x v="0"/>
    <x v="5"/>
    <n v="0"/>
    <n v="0"/>
    <n v="1839.097"/>
    <n v="1839.097"/>
    <n v="0"/>
    <n v="0"/>
    <n v="0"/>
    <x v="5"/>
    <n v="47"/>
    <n v="0"/>
    <n v="19"/>
    <n v="0"/>
    <n v="0"/>
    <n v="9.65"/>
    <n v="0"/>
    <n v="42.583563671169571"/>
    <n v="11.150945133676805"/>
    <m/>
    <n v="0"/>
    <n v="17747.286049999999"/>
    <n v="0"/>
    <n v="0"/>
    <n v="20507.66974250961"/>
    <n v="0"/>
  </r>
  <r>
    <s v="Regular"/>
    <x v="1"/>
    <x v="1"/>
    <x v="4"/>
    <x v="0"/>
    <x v="2"/>
    <x v="7"/>
    <x v="0"/>
    <x v="6"/>
    <n v="0"/>
    <n v="0"/>
    <n v="1752.021"/>
    <n v="1752.021"/>
    <n v="0"/>
    <n v="0"/>
    <n v="0"/>
    <x v="5"/>
    <n v="44"/>
    <n v="0"/>
    <n v="16"/>
    <n v="0"/>
    <n v="0"/>
    <n v="9.65"/>
    <n v="0"/>
    <n v="42.583563671169571"/>
    <n v="11.150945133676805"/>
    <m/>
    <n v="0"/>
    <n v="16907.002649999999"/>
    <n v="0"/>
    <n v="0"/>
    <n v="19536.69004404957"/>
    <n v="0"/>
  </r>
  <r>
    <s v="Regular"/>
    <x v="1"/>
    <x v="1"/>
    <x v="4"/>
    <x v="0"/>
    <x v="2"/>
    <x v="8"/>
    <x v="0"/>
    <x v="6"/>
    <n v="0"/>
    <n v="0"/>
    <n v="1905.72"/>
    <n v="1905.72"/>
    <n v="0"/>
    <n v="0"/>
    <n v="0"/>
    <x v="5"/>
    <n v="47"/>
    <n v="0"/>
    <n v="19"/>
    <n v="0"/>
    <n v="0"/>
    <n v="9.65"/>
    <n v="0"/>
    <n v="42.583563671169571"/>
    <n v="11.150945133676805"/>
    <m/>
    <n v="0"/>
    <n v="18390.198"/>
    <n v="0"/>
    <n v="0"/>
    <n v="21250.579160150563"/>
    <n v="0"/>
  </r>
  <r>
    <s v="Regular"/>
    <x v="1"/>
    <x v="1"/>
    <x v="4"/>
    <x v="0"/>
    <x v="2"/>
    <x v="7"/>
    <x v="0"/>
    <x v="7"/>
    <n v="0"/>
    <n v="0"/>
    <n v="2026.8440000000001"/>
    <n v="2026.8440000000001"/>
    <n v="0"/>
    <n v="0"/>
    <n v="0"/>
    <x v="5"/>
    <n v="44"/>
    <n v="0"/>
    <n v="16"/>
    <n v="0"/>
    <n v="0"/>
    <n v="9.65"/>
    <n v="0"/>
    <n v="42.583563671169571"/>
    <n v="11.150945133676805"/>
    <m/>
    <n v="0"/>
    <n v="19559.044600000001"/>
    <n v="0"/>
    <n v="0"/>
    <n v="22601.226238522031"/>
    <n v="0"/>
  </r>
  <r>
    <s v="Regular"/>
    <x v="1"/>
    <x v="1"/>
    <x v="4"/>
    <x v="0"/>
    <x v="2"/>
    <x v="8"/>
    <x v="0"/>
    <x v="7"/>
    <n v="0"/>
    <n v="0"/>
    <n v="2054.6640000000002"/>
    <n v="2054.6640000000002"/>
    <n v="0"/>
    <n v="0"/>
    <n v="0"/>
    <x v="5"/>
    <n v="47"/>
    <n v="0"/>
    <n v="19"/>
    <n v="0"/>
    <n v="0"/>
    <n v="9.65"/>
    <n v="0"/>
    <n v="42.583563671169571"/>
    <n v="11.150945133676805"/>
    <m/>
    <n v="0"/>
    <n v="19827.507600000004"/>
    <n v="0"/>
    <n v="0"/>
    <n v="22911.445532140922"/>
    <n v="0"/>
  </r>
  <r>
    <s v="Regular"/>
    <x v="1"/>
    <x v="1"/>
    <x v="4"/>
    <x v="0"/>
    <x v="2"/>
    <x v="7"/>
    <x v="0"/>
    <x v="8"/>
    <n v="0"/>
    <n v="0"/>
    <n v="2068.3890000000001"/>
    <n v="2068.3890000000001"/>
    <n v="0"/>
    <n v="0"/>
    <n v="0"/>
    <x v="5"/>
    <n v="44"/>
    <n v="0"/>
    <n v="16"/>
    <n v="0"/>
    <n v="0"/>
    <n v="9.65"/>
    <n v="0"/>
    <n v="42.583563671169571"/>
    <n v="11.150945133676805"/>
    <m/>
    <n v="0"/>
    <n v="19959.953850000002"/>
    <n v="0"/>
    <n v="0"/>
    <n v="23064.492254100634"/>
    <n v="0"/>
  </r>
  <r>
    <s v="Regular"/>
    <x v="1"/>
    <x v="1"/>
    <x v="4"/>
    <x v="0"/>
    <x v="2"/>
    <x v="8"/>
    <x v="0"/>
    <x v="8"/>
    <n v="0"/>
    <n v="0"/>
    <n v="2139.694"/>
    <n v="2139.694"/>
    <n v="0"/>
    <n v="0"/>
    <n v="0"/>
    <x v="5"/>
    <n v="47"/>
    <n v="0"/>
    <n v="19"/>
    <n v="0"/>
    <n v="0"/>
    <n v="9.65"/>
    <n v="0"/>
    <n v="42.583563671169571"/>
    <n v="11.150945133676805"/>
    <m/>
    <n v="0"/>
    <n v="20648.0471"/>
    <n v="0"/>
    <n v="0"/>
    <n v="23859.610396857457"/>
    <n v="0"/>
  </r>
  <r>
    <s v="Regular"/>
    <x v="1"/>
    <x v="1"/>
    <x v="4"/>
    <x v="0"/>
    <x v="2"/>
    <x v="7"/>
    <x v="0"/>
    <x v="9"/>
    <n v="0"/>
    <n v="0"/>
    <n v="2052.9780000000001"/>
    <n v="2052.9780000000001"/>
    <n v="0"/>
    <n v="0"/>
    <n v="0"/>
    <x v="5"/>
    <n v="44"/>
    <n v="0"/>
    <n v="16"/>
    <n v="0"/>
    <n v="0"/>
    <n v="9.65"/>
    <n v="0"/>
    <n v="42.583563671169571"/>
    <n v="11.150945133676805"/>
    <m/>
    <n v="0"/>
    <n v="19811.237700000001"/>
    <n v="0"/>
    <n v="0"/>
    <n v="22892.64503864554"/>
    <n v="0"/>
  </r>
  <r>
    <s v="Regular"/>
    <x v="1"/>
    <x v="1"/>
    <x v="4"/>
    <x v="0"/>
    <x v="2"/>
    <x v="8"/>
    <x v="0"/>
    <x v="9"/>
    <n v="0"/>
    <n v="0"/>
    <n v="2035.79"/>
    <n v="2035.79"/>
    <n v="0"/>
    <n v="0"/>
    <n v="0"/>
    <x v="5"/>
    <n v="47"/>
    <n v="0"/>
    <n v="19"/>
    <n v="0"/>
    <n v="0"/>
    <n v="9.65"/>
    <n v="0"/>
    <n v="42.583563671169571"/>
    <n v="11.150945133676805"/>
    <m/>
    <n v="0"/>
    <n v="19645.373500000002"/>
    <n v="0"/>
    <n v="0"/>
    <n v="22700.982593687902"/>
    <n v="0"/>
  </r>
  <r>
    <s v="Regular"/>
    <x v="1"/>
    <x v="1"/>
    <x v="4"/>
    <x v="0"/>
    <x v="2"/>
    <x v="7"/>
    <x v="0"/>
    <x v="10"/>
    <n v="0"/>
    <n v="0"/>
    <n v="2104.1329999999998"/>
    <n v="2104.1329999999998"/>
    <n v="0"/>
    <n v="0"/>
    <n v="0"/>
    <x v="5"/>
    <n v="44"/>
    <n v="0"/>
    <n v="16"/>
    <n v="0"/>
    <n v="0"/>
    <n v="9.65"/>
    <n v="0"/>
    <n v="42.583563671169571"/>
    <n v="11.150945133676805"/>
    <m/>
    <n v="0"/>
    <n v="20304.883449999998"/>
    <n v="0"/>
    <n v="0"/>
    <n v="23463.071636958775"/>
    <n v="0"/>
  </r>
  <r>
    <s v="Regular"/>
    <x v="1"/>
    <x v="1"/>
    <x v="4"/>
    <x v="0"/>
    <x v="2"/>
    <x v="8"/>
    <x v="0"/>
    <x v="10"/>
    <n v="0"/>
    <n v="0"/>
    <n v="2067.6849999999999"/>
    <n v="2067.6849999999999"/>
    <n v="0"/>
    <n v="0"/>
    <n v="0"/>
    <x v="5"/>
    <n v="47"/>
    <n v="0"/>
    <n v="19"/>
    <n v="0"/>
    <n v="0"/>
    <n v="9.65"/>
    <n v="0"/>
    <n v="42.583563671169571"/>
    <n v="11.150945133676805"/>
    <m/>
    <n v="0"/>
    <n v="19953.160250000001"/>
    <n v="0"/>
    <n v="0"/>
    <n v="23056.641988726522"/>
    <n v="0"/>
  </r>
  <r>
    <s v="PROJETADO"/>
    <x v="1"/>
    <x v="1"/>
    <x v="4"/>
    <x v="0"/>
    <x v="2"/>
    <x v="7"/>
    <x v="0"/>
    <x v="11"/>
    <n v="0"/>
    <n v="0"/>
    <n v="2104.1329999999998"/>
    <n v="2104.1329999999998"/>
    <n v="0"/>
    <n v="0"/>
    <n v="0"/>
    <x v="5"/>
    <n v="44"/>
    <n v="0"/>
    <n v="16"/>
    <n v="0"/>
    <n v="0"/>
    <n v="9.65"/>
    <n v="0"/>
    <n v="42.583563671169571"/>
    <n v="11.150945133676805"/>
    <m/>
    <n v="0"/>
    <n v="20304.883449999998"/>
    <n v="0"/>
    <n v="0"/>
    <n v="23463.071636958775"/>
    <n v="0"/>
  </r>
  <r>
    <s v="PROJETADO"/>
    <x v="1"/>
    <x v="1"/>
    <x v="4"/>
    <x v="0"/>
    <x v="2"/>
    <x v="8"/>
    <x v="0"/>
    <x v="11"/>
    <n v="0"/>
    <n v="0"/>
    <n v="2067.6849999999999"/>
    <n v="2067.6849999999999"/>
    <n v="0"/>
    <n v="0"/>
    <n v="0"/>
    <x v="5"/>
    <n v="47"/>
    <n v="0"/>
    <n v="19"/>
    <n v="0"/>
    <n v="0"/>
    <n v="9.65"/>
    <n v="0"/>
    <n v="42.583563671169571"/>
    <n v="11.150945133676805"/>
    <m/>
    <n v="0"/>
    <n v="19953.160250000001"/>
    <n v="0"/>
    <n v="0"/>
    <n v="23056.641988726522"/>
    <n v="0"/>
  </r>
  <r>
    <s v="Regular"/>
    <x v="1"/>
    <x v="1"/>
    <x v="4"/>
    <x v="0"/>
    <x v="2"/>
    <x v="7"/>
    <x v="2"/>
    <x v="0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0"/>
    <n v="6417"/>
    <n v="6417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804.13"/>
    <n v="0"/>
    <n v="0"/>
    <n v="232631.96308503783"/>
    <n v="0"/>
    <n v="0"/>
  </r>
  <r>
    <s v="Regular"/>
    <x v="1"/>
    <x v="1"/>
    <x v="4"/>
    <x v="0"/>
    <x v="2"/>
    <x v="7"/>
    <x v="2"/>
    <x v="1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1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1"/>
    <x v="4"/>
    <x v="0"/>
    <x v="2"/>
    <x v="7"/>
    <x v="2"/>
    <x v="2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2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1"/>
    <x v="4"/>
    <x v="0"/>
    <x v="2"/>
    <x v="7"/>
    <x v="2"/>
    <x v="3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3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1"/>
    <x v="4"/>
    <x v="0"/>
    <x v="2"/>
    <x v="7"/>
    <x v="2"/>
    <x v="4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4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1"/>
    <x v="4"/>
    <x v="0"/>
    <x v="2"/>
    <x v="7"/>
    <x v="2"/>
    <x v="5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5"/>
    <n v="6422"/>
    <n v="642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953.58000000002"/>
    <n v="0"/>
    <n v="0"/>
    <n v="232813.22532836418"/>
    <n v="0"/>
    <n v="0"/>
  </r>
  <r>
    <s v="Regular"/>
    <x v="1"/>
    <x v="1"/>
    <x v="4"/>
    <x v="0"/>
    <x v="2"/>
    <x v="7"/>
    <x v="2"/>
    <x v="6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6"/>
    <n v="6427"/>
    <n v="6427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2103.03"/>
    <n v="0"/>
    <n v="0"/>
    <n v="232994.48757169052"/>
    <n v="0"/>
    <n v="0"/>
  </r>
  <r>
    <s v="Regular"/>
    <x v="1"/>
    <x v="1"/>
    <x v="4"/>
    <x v="0"/>
    <x v="2"/>
    <x v="7"/>
    <x v="2"/>
    <x v="7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7"/>
    <n v="6427"/>
    <n v="6427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2103.03"/>
    <n v="0"/>
    <n v="0"/>
    <n v="232994.48757169052"/>
    <n v="0"/>
    <n v="0"/>
  </r>
  <r>
    <s v="Regular"/>
    <x v="1"/>
    <x v="1"/>
    <x v="4"/>
    <x v="0"/>
    <x v="2"/>
    <x v="7"/>
    <x v="2"/>
    <x v="8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8"/>
    <n v="6896"/>
    <n v="6896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206121.44"/>
    <n v="0"/>
    <n v="0"/>
    <n v="249996.88599570218"/>
    <n v="0"/>
    <n v="0"/>
  </r>
  <r>
    <s v="Regular"/>
    <x v="1"/>
    <x v="1"/>
    <x v="4"/>
    <x v="0"/>
    <x v="2"/>
    <x v="7"/>
    <x v="2"/>
    <x v="9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9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1"/>
    <x v="4"/>
    <x v="0"/>
    <x v="2"/>
    <x v="7"/>
    <x v="2"/>
    <x v="10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Regular"/>
    <x v="1"/>
    <x v="1"/>
    <x v="4"/>
    <x v="0"/>
    <x v="2"/>
    <x v="8"/>
    <x v="2"/>
    <x v="10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PROJETADO"/>
    <x v="1"/>
    <x v="1"/>
    <x v="4"/>
    <x v="0"/>
    <x v="2"/>
    <x v="7"/>
    <x v="2"/>
    <x v="11"/>
    <n v="4469"/>
    <n v="4469"/>
    <n v="0"/>
    <n v="0"/>
    <n v="0"/>
    <n v="0"/>
    <n v="0"/>
    <x v="5"/>
    <n v="44"/>
    <n v="105"/>
    <n v="0"/>
    <n v="0"/>
    <n v="29.89"/>
    <n v="0"/>
    <n v="0"/>
    <n v="36.252448665270038"/>
    <n v="11.150945133676805"/>
    <m/>
    <n v="133578.41"/>
    <n v="0"/>
    <n v="0"/>
    <n v="162012.1930850918"/>
    <n v="0"/>
    <n v="0"/>
  </r>
  <r>
    <s v="PROJETADO"/>
    <x v="1"/>
    <x v="1"/>
    <x v="4"/>
    <x v="0"/>
    <x v="2"/>
    <x v="8"/>
    <x v="2"/>
    <x v="11"/>
    <n v="6412"/>
    <n v="6412"/>
    <n v="0"/>
    <n v="0"/>
    <n v="0"/>
    <n v="0"/>
    <n v="0"/>
    <x v="5"/>
    <n v="47"/>
    <n v="17"/>
    <n v="0"/>
    <n v="0"/>
    <n v="29.89"/>
    <n v="0"/>
    <n v="0"/>
    <n v="36.252448665270038"/>
    <n v="11.150945133676805"/>
    <m/>
    <n v="191654.68"/>
    <n v="0"/>
    <n v="0"/>
    <n v="232450.70084171148"/>
    <n v="0"/>
    <n v="0"/>
  </r>
  <r>
    <s v="Regular"/>
    <x v="1"/>
    <x v="2"/>
    <x v="4"/>
    <x v="0"/>
    <x v="5"/>
    <x v="9"/>
    <x v="0"/>
    <x v="0"/>
    <n v="2196"/>
    <n v="1098"/>
    <n v="0"/>
    <n v="0"/>
    <n v="0"/>
    <n v="0"/>
    <n v="0"/>
    <x v="4"/>
    <n v="30677"/>
    <n v="43"/>
    <n v="0"/>
    <n v="0"/>
    <n v="11.74"/>
    <n v="0"/>
    <n v="0"/>
    <n v="14.992961250682045"/>
    <m/>
    <m/>
    <n v="12890.52"/>
    <n v="0"/>
    <n v="0"/>
    <n v="16462.271453248886"/>
    <n v="0"/>
    <n v="0"/>
  </r>
  <r>
    <s v="Regular"/>
    <x v="1"/>
    <x v="2"/>
    <x v="4"/>
    <x v="0"/>
    <x v="5"/>
    <x v="9"/>
    <x v="0"/>
    <x v="1"/>
    <n v="2252"/>
    <n v="1126"/>
    <n v="0"/>
    <n v="0"/>
    <n v="0"/>
    <n v="0"/>
    <n v="0"/>
    <x v="4"/>
    <n v="30677"/>
    <n v="43"/>
    <n v="0"/>
    <n v="0"/>
    <n v="11.74"/>
    <n v="0"/>
    <n v="0"/>
    <n v="14.992961250682045"/>
    <m/>
    <m/>
    <n v="13219.24"/>
    <n v="0"/>
    <n v="0"/>
    <n v="16882.074368267982"/>
    <n v="0"/>
    <n v="0"/>
  </r>
  <r>
    <s v="Regular"/>
    <x v="1"/>
    <x v="2"/>
    <x v="4"/>
    <x v="0"/>
    <x v="5"/>
    <x v="9"/>
    <x v="0"/>
    <x v="2"/>
    <n v="1000"/>
    <n v="500"/>
    <n v="0"/>
    <n v="0"/>
    <n v="0"/>
    <n v="0"/>
    <n v="0"/>
    <x v="4"/>
    <n v="30677"/>
    <n v="43"/>
    <n v="0"/>
    <n v="0"/>
    <n v="11.74"/>
    <n v="0"/>
    <n v="0"/>
    <n v="14.992961250682045"/>
    <m/>
    <m/>
    <n v="5870"/>
    <n v="0"/>
    <n v="0"/>
    <n v="7496.4806253410225"/>
    <n v="0"/>
    <n v="0"/>
  </r>
  <r>
    <s v="Regular"/>
    <x v="1"/>
    <x v="2"/>
    <x v="4"/>
    <x v="0"/>
    <x v="5"/>
    <x v="9"/>
    <x v="0"/>
    <x v="3"/>
    <n v="1000"/>
    <n v="500"/>
    <n v="0"/>
    <n v="0"/>
    <n v="0"/>
    <n v="0"/>
    <n v="0"/>
    <x v="4"/>
    <n v="30677"/>
    <n v="43"/>
    <n v="0"/>
    <n v="0"/>
    <n v="11.74"/>
    <n v="0"/>
    <n v="0"/>
    <n v="14.992961250682045"/>
    <m/>
    <m/>
    <n v="5870"/>
    <n v="0"/>
    <n v="0"/>
    <n v="7496.4806253410225"/>
    <n v="0"/>
    <n v="0"/>
  </r>
  <r>
    <s v="Regular"/>
    <x v="1"/>
    <x v="2"/>
    <x v="4"/>
    <x v="0"/>
    <x v="5"/>
    <x v="9"/>
    <x v="0"/>
    <x v="4"/>
    <n v="600"/>
    <n v="300"/>
    <n v="0"/>
    <n v="0"/>
    <n v="0"/>
    <n v="0"/>
    <n v="0"/>
    <x v="4"/>
    <n v="30677"/>
    <n v="43"/>
    <n v="0"/>
    <n v="0"/>
    <n v="11.74"/>
    <n v="0"/>
    <n v="0"/>
    <n v="14.992961250682045"/>
    <m/>
    <m/>
    <n v="3522"/>
    <n v="0"/>
    <n v="0"/>
    <n v="4497.8883752046131"/>
    <n v="0"/>
    <n v="0"/>
  </r>
  <r>
    <s v="Regular"/>
    <x v="1"/>
    <x v="2"/>
    <x v="4"/>
    <x v="0"/>
    <x v="5"/>
    <x v="9"/>
    <x v="0"/>
    <x v="7"/>
    <n v="92"/>
    <n v="46"/>
    <n v="0"/>
    <n v="0"/>
    <n v="0"/>
    <n v="0"/>
    <n v="0"/>
    <x v="4"/>
    <n v="30677"/>
    <n v="43"/>
    <n v="0"/>
    <n v="0"/>
    <n v="11.74"/>
    <n v="0"/>
    <n v="0"/>
    <n v="14.992961250682045"/>
    <m/>
    <m/>
    <n v="540.04"/>
    <n v="0"/>
    <n v="0"/>
    <n v="689.67621753137405"/>
    <n v="0"/>
    <n v="0"/>
  </r>
  <r>
    <s v="Regular"/>
    <x v="1"/>
    <x v="3"/>
    <x v="5"/>
    <x v="0"/>
    <x v="2"/>
    <x v="0"/>
    <x v="1"/>
    <x v="0"/>
    <n v="0"/>
    <n v="0"/>
    <n v="9683.9339999999993"/>
    <n v="9683.9339999999993"/>
    <n v="9683.9339999999993"/>
    <n v="9683.9339999999993"/>
    <n v="0"/>
    <x v="2"/>
    <n v="0"/>
    <n v="0"/>
    <n v="21"/>
    <n v="89"/>
    <n v="0"/>
    <n v="51.27"/>
    <n v="222.31"/>
    <m/>
    <n v="66.787442987613147"/>
    <n v="236.64237028527376"/>
    <n v="0"/>
    <n v="496495.29618"/>
    <n v="2152835.36754"/>
    <n v="0"/>
    <n v="646765.18992080854"/>
    <n v="2291629.0954461521"/>
  </r>
  <r>
    <s v="Sistema de Compensação"/>
    <x v="1"/>
    <x v="3"/>
    <x v="5"/>
    <x v="0"/>
    <x v="2"/>
    <x v="0"/>
    <x v="1"/>
    <x v="0"/>
    <n v="0"/>
    <n v="0"/>
    <n v="348.82799999999997"/>
    <n v="348.82799999999997"/>
    <n v="348.82799999999997"/>
    <n v="348.82799999999997"/>
    <n v="0"/>
    <x v="2"/>
    <n v="0"/>
    <n v="0"/>
    <n v="21"/>
    <n v="89"/>
    <n v="0"/>
    <n v="51.27"/>
    <n v="222.31"/>
    <m/>
    <n v="66.787442987613147"/>
    <n v="236.64237028527376"/>
    <n v="0"/>
    <n v="17884.41156"/>
    <n v="77547.952680000002"/>
    <n v="0"/>
    <n v="23297.330162483118"/>
    <n v="82547.484741871463"/>
  </r>
  <r>
    <s v="Regular"/>
    <x v="1"/>
    <x v="3"/>
    <x v="5"/>
    <x v="0"/>
    <x v="2"/>
    <x v="0"/>
    <x v="1"/>
    <x v="0"/>
    <n v="0"/>
    <n v="0"/>
    <n v="35.637999999999998"/>
    <n v="35.637999999999998"/>
    <n v="0"/>
    <n v="0"/>
    <n v="0"/>
    <x v="1"/>
    <n v="0"/>
    <n v="0"/>
    <n v="21"/>
    <n v="0"/>
    <n v="0"/>
    <n v="51.27"/>
    <n v="0"/>
    <m/>
    <n v="66.787442987613147"/>
    <m/>
    <n v="0"/>
    <n v="1827.1602600000001"/>
    <n v="0"/>
    <n v="0"/>
    <n v="2380.1708931925573"/>
    <n v="0"/>
  </r>
  <r>
    <s v="Regular"/>
    <x v="1"/>
    <x v="3"/>
    <x v="5"/>
    <x v="0"/>
    <x v="2"/>
    <x v="0"/>
    <x v="1"/>
    <x v="1"/>
    <n v="0"/>
    <n v="0"/>
    <n v="8876.3790000000008"/>
    <n v="8876.3790000000008"/>
    <n v="8876.3790000000008"/>
    <n v="8876.3790000000008"/>
    <n v="0"/>
    <x v="2"/>
    <n v="0"/>
    <n v="0"/>
    <n v="21"/>
    <n v="89"/>
    <n v="0"/>
    <n v="51.27"/>
    <n v="222.31"/>
    <m/>
    <n v="66.787442987613147"/>
    <n v="236.64237028527376"/>
    <n v="0"/>
    <n v="455091.95133000007"/>
    <n v="1973307.8154900002"/>
    <n v="0"/>
    <n v="592830.65639894665"/>
    <n v="2100527.3661104282"/>
  </r>
  <r>
    <s v="Refaturamento - Regular"/>
    <x v="1"/>
    <x v="3"/>
    <x v="5"/>
    <x v="0"/>
    <x v="2"/>
    <x v="0"/>
    <x v="1"/>
    <x v="1"/>
    <n v="0"/>
    <n v="0"/>
    <n v="-34.24"/>
    <n v="-34.24"/>
    <n v="-34.24"/>
    <n v="-34.24"/>
    <n v="0"/>
    <x v="2"/>
    <n v="0"/>
    <n v="0"/>
    <n v="21"/>
    <n v="89"/>
    <n v="0"/>
    <n v="51.27"/>
    <n v="222.31"/>
    <m/>
    <n v="66.787442987613147"/>
    <n v="236.64237028527376"/>
    <n v="0"/>
    <n v="-1755.4848000000002"/>
    <n v="-7611.8944000000001"/>
    <n v="0"/>
    <n v="-2286.8020478958742"/>
    <n v="-8102.634758567774"/>
  </r>
  <r>
    <s v="Sistema de Compensação"/>
    <x v="1"/>
    <x v="3"/>
    <x v="5"/>
    <x v="0"/>
    <x v="2"/>
    <x v="0"/>
    <x v="1"/>
    <x v="1"/>
    <n v="0"/>
    <n v="0"/>
    <n v="338.375"/>
    <n v="338.375"/>
    <n v="338.375"/>
    <n v="338.375"/>
    <n v="0"/>
    <x v="2"/>
    <n v="0"/>
    <n v="0"/>
    <n v="21"/>
    <n v="89"/>
    <n v="0"/>
    <n v="51.27"/>
    <n v="222.31"/>
    <m/>
    <n v="66.787442987613147"/>
    <n v="236.64237028527376"/>
    <n v="0"/>
    <n v="17348.486250000002"/>
    <n v="75224.146250000005"/>
    <n v="0"/>
    <n v="22599.2010209336"/>
    <n v="80073.8620452795"/>
  </r>
  <r>
    <s v="Sistema de Compensação"/>
    <x v="1"/>
    <x v="3"/>
    <x v="5"/>
    <x v="0"/>
    <x v="2"/>
    <x v="0"/>
    <x v="1"/>
    <x v="1"/>
    <n v="0"/>
    <n v="0"/>
    <n v="-4.3999999999999997E-2"/>
    <n v="-4.3999999999999997E-2"/>
    <n v="-4.3999999999999997E-2"/>
    <n v="-4.3999999999999997E-2"/>
    <n v="0"/>
    <x v="2"/>
    <n v="0"/>
    <n v="0"/>
    <n v="21"/>
    <n v="89"/>
    <n v="0"/>
    <n v="51.27"/>
    <n v="222.31"/>
    <m/>
    <n v="66.787442987613147"/>
    <n v="236.64237028527376"/>
    <n v="0"/>
    <n v="-2.2558799999999999"/>
    <n v="-9.7816399999999994"/>
    <n v="0"/>
    <n v="-2.9386474914549785"/>
    <n v="-10.412264292552045"/>
  </r>
  <r>
    <s v="Regular"/>
    <x v="1"/>
    <x v="3"/>
    <x v="5"/>
    <x v="0"/>
    <x v="2"/>
    <x v="0"/>
    <x v="1"/>
    <x v="1"/>
    <n v="0"/>
    <n v="0"/>
    <n v="29.349"/>
    <n v="29.349"/>
    <n v="0"/>
    <n v="0"/>
    <n v="0"/>
    <x v="1"/>
    <n v="0"/>
    <n v="0"/>
    <n v="21"/>
    <n v="0"/>
    <n v="0"/>
    <n v="51.27"/>
    <n v="0"/>
    <m/>
    <n v="66.787442987613147"/>
    <m/>
    <n v="0"/>
    <n v="1504.7232300000001"/>
    <n v="0"/>
    <n v="0"/>
    <n v="1960.1446642434582"/>
    <n v="0"/>
  </r>
  <r>
    <s v="Regular"/>
    <x v="1"/>
    <x v="3"/>
    <x v="5"/>
    <x v="0"/>
    <x v="2"/>
    <x v="0"/>
    <x v="1"/>
    <x v="2"/>
    <n v="0"/>
    <n v="0"/>
    <n v="8516.3060000000005"/>
    <n v="8516.3060000000005"/>
    <n v="8516.3060000000005"/>
    <n v="8516.3060000000005"/>
    <n v="0"/>
    <x v="2"/>
    <n v="0"/>
    <n v="0"/>
    <n v="21"/>
    <n v="89"/>
    <n v="0"/>
    <n v="51.27"/>
    <n v="222.31"/>
    <m/>
    <n v="66.787442987613147"/>
    <n v="236.64237028527376"/>
    <n v="0"/>
    <n v="436631.00862000004"/>
    <n v="1893259.9868600001"/>
    <n v="0"/>
    <n v="568782.30144006782"/>
    <n v="2015318.8379146988"/>
  </r>
  <r>
    <s v="Refaturamento - Regular"/>
    <x v="1"/>
    <x v="3"/>
    <x v="5"/>
    <x v="0"/>
    <x v="2"/>
    <x v="0"/>
    <x v="1"/>
    <x v="2"/>
    <n v="0"/>
    <n v="0"/>
    <n v="-39.581000000000003"/>
    <n v="-39.581000000000003"/>
    <n v="-39.581000000000003"/>
    <n v="-39.581000000000003"/>
    <n v="0"/>
    <x v="2"/>
    <n v="0"/>
    <n v="0"/>
    <n v="21"/>
    <n v="89"/>
    <n v="0"/>
    <n v="51.27"/>
    <n v="222.31"/>
    <m/>
    <n v="66.787442987613147"/>
    <n v="236.64237028527376"/>
    <n v="0"/>
    <n v="-2029.3178700000003"/>
    <n v="-8799.2521100000013"/>
    <n v="0"/>
    <n v="-2643.5137808927161"/>
    <n v="-9366.5416582614216"/>
  </r>
  <r>
    <s v="Sistema de Compensação"/>
    <x v="1"/>
    <x v="3"/>
    <x v="5"/>
    <x v="0"/>
    <x v="2"/>
    <x v="0"/>
    <x v="1"/>
    <x v="2"/>
    <n v="0"/>
    <n v="0"/>
    <n v="290.19900000000001"/>
    <n v="290.19900000000001"/>
    <n v="290.19900000000001"/>
    <n v="290.19900000000001"/>
    <n v="0"/>
    <x v="2"/>
    <n v="0"/>
    <n v="0"/>
    <n v="21"/>
    <n v="89"/>
    <n v="0"/>
    <n v="51.27"/>
    <n v="222.31"/>
    <m/>
    <n v="66.787442987613147"/>
    <n v="236.64237028527376"/>
    <n v="0"/>
    <n v="14878.502730000002"/>
    <n v="64514.139690000004"/>
    <n v="0"/>
    <n v="19381.649167562347"/>
    <n v="68673.379214416156"/>
  </r>
  <r>
    <s v="Regular"/>
    <x v="1"/>
    <x v="3"/>
    <x v="5"/>
    <x v="0"/>
    <x v="2"/>
    <x v="0"/>
    <x v="1"/>
    <x v="2"/>
    <n v="0"/>
    <n v="0"/>
    <n v="30.608000000000001"/>
    <n v="30.608000000000001"/>
    <n v="0"/>
    <n v="0"/>
    <n v="0"/>
    <x v="1"/>
    <n v="0"/>
    <n v="0"/>
    <n v="21"/>
    <n v="0"/>
    <n v="0"/>
    <n v="51.27"/>
    <n v="0"/>
    <m/>
    <n v="66.787442987613147"/>
    <m/>
    <n v="0"/>
    <n v="1569.2721600000002"/>
    <n v="0"/>
    <n v="0"/>
    <n v="2044.2300549648633"/>
    <n v="0"/>
  </r>
  <r>
    <s v="Regular"/>
    <x v="1"/>
    <x v="3"/>
    <x v="5"/>
    <x v="0"/>
    <x v="2"/>
    <x v="0"/>
    <x v="1"/>
    <x v="3"/>
    <n v="0"/>
    <n v="0"/>
    <n v="8417.9490000000005"/>
    <n v="8417.9490000000005"/>
    <n v="8417.9490000000005"/>
    <n v="8417.9490000000005"/>
    <n v="0"/>
    <x v="2"/>
    <n v="0"/>
    <n v="0"/>
    <n v="21"/>
    <n v="89"/>
    <n v="0"/>
    <n v="51.27"/>
    <n v="222.31"/>
    <m/>
    <n v="66.787442987613147"/>
    <n v="236.64237028527376"/>
    <n v="0"/>
    <n v="431588.24523000006"/>
    <n v="1871394.2421900001"/>
    <n v="0"/>
    <n v="562213.28891013516"/>
    <n v="1992043.40430055"/>
  </r>
  <r>
    <s v="Refaturamento - Regular"/>
    <x v="1"/>
    <x v="3"/>
    <x v="5"/>
    <x v="0"/>
    <x v="2"/>
    <x v="0"/>
    <x v="1"/>
    <x v="3"/>
    <n v="0"/>
    <n v="0"/>
    <n v="15.087999999999999"/>
    <n v="15.087999999999999"/>
    <n v="15.087999999999999"/>
    <n v="15.087999999999999"/>
    <n v="0"/>
    <x v="2"/>
    <n v="0"/>
    <n v="0"/>
    <n v="21"/>
    <n v="89"/>
    <n v="0"/>
    <n v="51.27"/>
    <n v="222.31"/>
    <m/>
    <n v="66.787442987613147"/>
    <n v="236.64237028527376"/>
    <n v="0"/>
    <n v="773.56176000000005"/>
    <n v="3354.2132799999999"/>
    <n v="0"/>
    <n v="1007.6889397971071"/>
    <n v="3570.4600828642101"/>
  </r>
  <r>
    <s v="Sistema de Compensação"/>
    <x v="1"/>
    <x v="3"/>
    <x v="5"/>
    <x v="0"/>
    <x v="2"/>
    <x v="0"/>
    <x v="1"/>
    <x v="3"/>
    <n v="0"/>
    <n v="0"/>
    <n v="301.976"/>
    <n v="301.976"/>
    <n v="301.976"/>
    <n v="301.976"/>
    <n v="0"/>
    <x v="2"/>
    <n v="0"/>
    <n v="0"/>
    <n v="21"/>
    <n v="89"/>
    <n v="0"/>
    <n v="51.27"/>
    <n v="222.31"/>
    <m/>
    <n v="66.787442987613147"/>
    <n v="236.64237028527376"/>
    <n v="0"/>
    <n v="15482.309520000001"/>
    <n v="67132.28456"/>
    <n v="0"/>
    <n v="20168.204883627466"/>
    <n v="71460.316409265826"/>
  </r>
  <r>
    <s v="Regular"/>
    <x v="1"/>
    <x v="3"/>
    <x v="5"/>
    <x v="0"/>
    <x v="2"/>
    <x v="0"/>
    <x v="1"/>
    <x v="3"/>
    <n v="0"/>
    <n v="0"/>
    <n v="221.518"/>
    <n v="221.518"/>
    <n v="0"/>
    <n v="0"/>
    <n v="0"/>
    <x v="1"/>
    <n v="0"/>
    <n v="0"/>
    <n v="21"/>
    <n v="0"/>
    <n v="0"/>
    <n v="51.27"/>
    <n v="0"/>
    <m/>
    <n v="66.787442987613147"/>
    <m/>
    <n v="0"/>
    <n v="11357.227860000001"/>
    <n v="0"/>
    <n v="0"/>
    <n v="14794.620795730089"/>
    <n v="0"/>
  </r>
  <r>
    <s v="Regular"/>
    <x v="1"/>
    <x v="3"/>
    <x v="5"/>
    <x v="0"/>
    <x v="2"/>
    <x v="0"/>
    <x v="1"/>
    <x v="4"/>
    <n v="0"/>
    <n v="0"/>
    <n v="8871.4429999999993"/>
    <n v="8871.4429999999993"/>
    <n v="8871.4429999999993"/>
    <n v="8871.4429999999993"/>
    <n v="0"/>
    <x v="2"/>
    <n v="0"/>
    <n v="0"/>
    <n v="21"/>
    <n v="89"/>
    <n v="0"/>
    <n v="51.27"/>
    <n v="222.31"/>
    <m/>
    <n v="66.787442987613147"/>
    <n v="236.64237028527376"/>
    <n v="0"/>
    <n v="454838.88260999997"/>
    <n v="1972210.49333"/>
    <n v="0"/>
    <n v="592500.99358035973"/>
    <n v="2099359.2993706996"/>
  </r>
  <r>
    <s v="Sistema de Compensação"/>
    <x v="1"/>
    <x v="3"/>
    <x v="5"/>
    <x v="0"/>
    <x v="2"/>
    <x v="0"/>
    <x v="1"/>
    <x v="4"/>
    <n v="0"/>
    <n v="0"/>
    <n v="305.15800000000002"/>
    <n v="305.15800000000002"/>
    <n v="305.15800000000002"/>
    <n v="305.15800000000002"/>
    <n v="0"/>
    <x v="2"/>
    <n v="0"/>
    <n v="0"/>
    <n v="21"/>
    <n v="89"/>
    <n v="0"/>
    <n v="51.27"/>
    <n v="222.31"/>
    <m/>
    <n v="66.787442987613147"/>
    <n v="236.64237028527376"/>
    <n v="0"/>
    <n v="15645.450660000002"/>
    <n v="67839.674980000011"/>
    <n v="0"/>
    <n v="20380.722527214053"/>
    <n v="72213.312431513579"/>
  </r>
  <r>
    <s v="Sistema de Compensação"/>
    <x v="1"/>
    <x v="3"/>
    <x v="5"/>
    <x v="0"/>
    <x v="2"/>
    <x v="0"/>
    <x v="1"/>
    <x v="4"/>
    <n v="0"/>
    <n v="0"/>
    <n v="0.38600000000000001"/>
    <n v="0.38600000000000001"/>
    <n v="0.38600000000000001"/>
    <n v="0.38600000000000001"/>
    <n v="0"/>
    <x v="2"/>
    <n v="0"/>
    <n v="0"/>
    <n v="21"/>
    <n v="89"/>
    <n v="0"/>
    <n v="51.27"/>
    <n v="222.31"/>
    <m/>
    <n v="66.787442987613147"/>
    <n v="236.64237028527376"/>
    <n v="0"/>
    <n v="19.790220000000001"/>
    <n v="85.811660000000003"/>
    <n v="0"/>
    <n v="25.779952993218675"/>
    <n v="91.343954930115672"/>
  </r>
  <r>
    <s v="Regular"/>
    <x v="1"/>
    <x v="3"/>
    <x v="5"/>
    <x v="0"/>
    <x v="2"/>
    <x v="0"/>
    <x v="1"/>
    <x v="4"/>
    <n v="0"/>
    <n v="0"/>
    <n v="531.10900000000004"/>
    <n v="531.10900000000004"/>
    <n v="0"/>
    <n v="0"/>
    <n v="0"/>
    <x v="1"/>
    <n v="0"/>
    <n v="0"/>
    <n v="21"/>
    <n v="0"/>
    <n v="0"/>
    <n v="51.27"/>
    <n v="0"/>
    <m/>
    <n v="66.787442987613147"/>
    <m/>
    <n v="0"/>
    <n v="27229.958430000002"/>
    <n v="0"/>
    <n v="0"/>
    <n v="35471.412057708236"/>
    <n v="0"/>
  </r>
  <r>
    <s v="Regular"/>
    <x v="1"/>
    <x v="3"/>
    <x v="5"/>
    <x v="0"/>
    <x v="2"/>
    <x v="0"/>
    <x v="1"/>
    <x v="5"/>
    <n v="0"/>
    <n v="0"/>
    <n v="9213.8379999999997"/>
    <n v="9213.8379999999997"/>
    <n v="9213.8379999999997"/>
    <n v="9213.8379999999997"/>
    <n v="0"/>
    <x v="2"/>
    <n v="0"/>
    <n v="0"/>
    <n v="21"/>
    <n v="89"/>
    <n v="0"/>
    <n v="51.27"/>
    <n v="222.31"/>
    <m/>
    <n v="66.787442987613147"/>
    <n v="236.64237028527376"/>
    <n v="0"/>
    <n v="472393.47425999999"/>
    <n v="2048328.3257800001"/>
    <n v="0"/>
    <n v="615368.68012210354"/>
    <n v="2180384.4637445263"/>
  </r>
  <r>
    <s v="Sistema de Compensação"/>
    <x v="1"/>
    <x v="3"/>
    <x v="5"/>
    <x v="0"/>
    <x v="2"/>
    <x v="0"/>
    <x v="1"/>
    <x v="5"/>
    <n v="0"/>
    <n v="0"/>
    <n v="421.5"/>
    <n v="421.5"/>
    <n v="421.5"/>
    <n v="421.5"/>
    <n v="0"/>
    <x v="2"/>
    <n v="0"/>
    <n v="0"/>
    <n v="21"/>
    <n v="89"/>
    <n v="0"/>
    <n v="51.27"/>
    <n v="222.31"/>
    <m/>
    <n v="66.787442987613147"/>
    <n v="236.64237028527376"/>
    <n v="0"/>
    <n v="21610.305"/>
    <n v="93703.665000000008"/>
    <n v="0"/>
    <n v="28150.907219278943"/>
    <n v="99744.759075242895"/>
  </r>
  <r>
    <s v="Regular"/>
    <x v="1"/>
    <x v="3"/>
    <x v="5"/>
    <x v="0"/>
    <x v="2"/>
    <x v="0"/>
    <x v="1"/>
    <x v="5"/>
    <n v="0"/>
    <n v="0"/>
    <n v="261.51400000000001"/>
    <n v="261.51400000000001"/>
    <n v="0"/>
    <n v="0"/>
    <n v="0"/>
    <x v="1"/>
    <n v="0"/>
    <n v="0"/>
    <n v="21"/>
    <n v="0"/>
    <n v="0"/>
    <n v="51.27"/>
    <n v="0"/>
    <m/>
    <n v="66.787442987613147"/>
    <m/>
    <n v="0"/>
    <n v="13407.822780000002"/>
    <n v="0"/>
    <n v="0"/>
    <n v="17465.851365462666"/>
    <n v="0"/>
  </r>
  <r>
    <s v="Regular"/>
    <x v="1"/>
    <x v="3"/>
    <x v="5"/>
    <x v="0"/>
    <x v="2"/>
    <x v="0"/>
    <x v="1"/>
    <x v="6"/>
    <n v="0"/>
    <n v="0"/>
    <n v="9708.741"/>
    <n v="9708.741"/>
    <n v="9708.741"/>
    <n v="9708.741"/>
    <n v="0"/>
    <x v="2"/>
    <n v="0"/>
    <n v="0"/>
    <n v="21"/>
    <n v="89"/>
    <n v="0"/>
    <n v="51.27"/>
    <n v="222.31"/>
    <m/>
    <n v="66.787442987613147"/>
    <n v="236.64237028527376"/>
    <n v="0"/>
    <n v="497767.15107000002"/>
    <n v="2158350.2117099999"/>
    <n v="0"/>
    <n v="648421.98601900227"/>
    <n v="2297499.4827258191"/>
  </r>
  <r>
    <s v="Sistema de Compensação"/>
    <x v="1"/>
    <x v="3"/>
    <x v="5"/>
    <x v="0"/>
    <x v="2"/>
    <x v="0"/>
    <x v="1"/>
    <x v="6"/>
    <n v="0"/>
    <n v="0"/>
    <n v="429.31799999999998"/>
    <n v="429.31799999999998"/>
    <n v="429.31799999999998"/>
    <n v="429.31799999999998"/>
    <n v="0"/>
    <x v="2"/>
    <n v="0"/>
    <n v="0"/>
    <n v="21"/>
    <n v="89"/>
    <n v="0"/>
    <n v="51.27"/>
    <n v="222.31"/>
    <m/>
    <n v="66.787442987613147"/>
    <n v="236.64237028527376"/>
    <n v="0"/>
    <n v="22011.133860000002"/>
    <n v="95441.684580000001"/>
    <n v="0"/>
    <n v="28673.0514485561"/>
    <n v="101594.82912613316"/>
  </r>
  <r>
    <s v="Regular"/>
    <x v="1"/>
    <x v="3"/>
    <x v="5"/>
    <x v="0"/>
    <x v="2"/>
    <x v="0"/>
    <x v="1"/>
    <x v="6"/>
    <n v="0"/>
    <n v="0"/>
    <n v="302.68799999999999"/>
    <n v="302.68799999999999"/>
    <n v="0"/>
    <n v="0"/>
    <n v="0"/>
    <x v="1"/>
    <n v="0"/>
    <n v="0"/>
    <n v="21"/>
    <n v="0"/>
    <n v="0"/>
    <n v="51.27"/>
    <n v="0"/>
    <m/>
    <n v="66.787442987613147"/>
    <m/>
    <n v="0"/>
    <n v="15518.813760000001"/>
    <n v="0"/>
    <n v="0"/>
    <n v="20215.757543034648"/>
    <n v="0"/>
  </r>
  <r>
    <s v="Regular"/>
    <x v="1"/>
    <x v="3"/>
    <x v="5"/>
    <x v="0"/>
    <x v="2"/>
    <x v="0"/>
    <x v="1"/>
    <x v="7"/>
    <n v="0"/>
    <n v="0"/>
    <n v="10145.656000000001"/>
    <n v="10145.656000000001"/>
    <n v="10145.656000000001"/>
    <n v="10145.656000000001"/>
    <n v="0"/>
    <x v="2"/>
    <n v="0"/>
    <n v="0"/>
    <n v="21"/>
    <n v="89"/>
    <n v="0"/>
    <n v="51.27"/>
    <n v="222.31"/>
    <m/>
    <n v="66.787442987613147"/>
    <n v="236.64237028527376"/>
    <n v="0"/>
    <n v="520167.78312000009"/>
    <n v="2255480.7853600001"/>
    <n v="0"/>
    <n v="677602.42167193536"/>
    <n v="2400892.0839390098"/>
  </r>
  <r>
    <s v="Sistema de Compensação"/>
    <x v="1"/>
    <x v="3"/>
    <x v="5"/>
    <x v="0"/>
    <x v="2"/>
    <x v="0"/>
    <x v="1"/>
    <x v="7"/>
    <n v="0"/>
    <n v="0"/>
    <n v="532.37"/>
    <n v="532.37"/>
    <n v="532.37"/>
    <n v="532.37"/>
    <n v="0"/>
    <x v="2"/>
    <n v="0"/>
    <n v="0"/>
    <n v="21"/>
    <n v="89"/>
    <n v="0"/>
    <n v="51.27"/>
    <n v="222.31"/>
    <m/>
    <n v="66.787442987613147"/>
    <n v="236.64237028527376"/>
    <n v="0"/>
    <n v="27294.609900000003"/>
    <n v="118351.1747"/>
    <n v="0"/>
    <n v="35555.631023315611"/>
    <n v="125981.2986687712"/>
  </r>
  <r>
    <s v="Regular"/>
    <x v="1"/>
    <x v="3"/>
    <x v="5"/>
    <x v="0"/>
    <x v="2"/>
    <x v="0"/>
    <x v="1"/>
    <x v="7"/>
    <n v="0"/>
    <n v="0"/>
    <n v="321.14800000000002"/>
    <n v="321.14800000000002"/>
    <n v="0"/>
    <n v="0"/>
    <n v="0"/>
    <x v="1"/>
    <n v="0"/>
    <n v="0"/>
    <n v="21"/>
    <n v="0"/>
    <n v="0"/>
    <n v="51.27"/>
    <n v="0"/>
    <m/>
    <n v="66.787442987613147"/>
    <m/>
    <n v="0"/>
    <n v="16465.257960000003"/>
    <n v="0"/>
    <n v="0"/>
    <n v="21448.653740585989"/>
    <n v="0"/>
  </r>
  <r>
    <s v="Regular"/>
    <x v="1"/>
    <x v="3"/>
    <x v="5"/>
    <x v="0"/>
    <x v="2"/>
    <x v="0"/>
    <x v="1"/>
    <x v="8"/>
    <n v="0"/>
    <n v="0"/>
    <n v="9701.7450000000008"/>
    <n v="9701.7450000000008"/>
    <n v="9701.7450000000008"/>
    <n v="9701.7450000000008"/>
    <n v="0"/>
    <x v="2"/>
    <n v="0"/>
    <n v="0"/>
    <n v="21"/>
    <n v="89"/>
    <n v="0"/>
    <n v="51.27"/>
    <n v="222.31"/>
    <m/>
    <n v="66.787442987613147"/>
    <n v="236.64237028527376"/>
    <n v="0"/>
    <n v="497408.46615000005"/>
    <n v="2156794.9309500004"/>
    <n v="0"/>
    <n v="647954.74106786097"/>
    <n v="2295843.9327033036"/>
  </r>
  <r>
    <s v="Sistema de Compensação"/>
    <x v="1"/>
    <x v="3"/>
    <x v="5"/>
    <x v="0"/>
    <x v="2"/>
    <x v="0"/>
    <x v="1"/>
    <x v="8"/>
    <n v="0"/>
    <n v="0"/>
    <n v="517.86900000000003"/>
    <n v="517.86900000000003"/>
    <n v="517.86900000000003"/>
    <n v="517.86900000000003"/>
    <n v="0"/>
    <x v="2"/>
    <n v="0"/>
    <n v="0"/>
    <n v="21"/>
    <n v="89"/>
    <n v="0"/>
    <n v="51.27"/>
    <n v="222.31"/>
    <m/>
    <n v="66.787442987613147"/>
    <n v="236.64237028527376"/>
    <n v="0"/>
    <n v="26551.143630000002"/>
    <n v="115127.45739000001"/>
    <n v="0"/>
    <n v="34587.146312552235"/>
    <n v="122549.74765726444"/>
  </r>
  <r>
    <s v="Sistema de Compensação"/>
    <x v="1"/>
    <x v="3"/>
    <x v="5"/>
    <x v="0"/>
    <x v="2"/>
    <x v="0"/>
    <x v="1"/>
    <x v="8"/>
    <n v="0"/>
    <n v="0"/>
    <n v="-116.643"/>
    <n v="-116.643"/>
    <n v="-116.643"/>
    <n v="-116.643"/>
    <n v="0"/>
    <x v="2"/>
    <n v="0"/>
    <n v="0"/>
    <n v="21"/>
    <n v="89"/>
    <n v="0"/>
    <n v="51.27"/>
    <n v="222.31"/>
    <m/>
    <n v="66.787442987613147"/>
    <n v="236.64237028527376"/>
    <n v="0"/>
    <n v="-5980.2866100000001"/>
    <n v="-25930.905330000001"/>
    <n v="0"/>
    <n v="-7790.2877124041606"/>
    <n v="-27602.675997185186"/>
  </r>
  <r>
    <s v="Regular"/>
    <x v="1"/>
    <x v="3"/>
    <x v="5"/>
    <x v="0"/>
    <x v="2"/>
    <x v="0"/>
    <x v="1"/>
    <x v="8"/>
    <n v="0"/>
    <n v="0"/>
    <n v="370.32600000000002"/>
    <n v="370.32600000000002"/>
    <n v="0"/>
    <n v="0"/>
    <n v="0"/>
    <x v="1"/>
    <n v="0"/>
    <n v="0"/>
    <n v="21"/>
    <n v="0"/>
    <n v="0"/>
    <n v="51.27"/>
    <n v="0"/>
    <m/>
    <n v="66.787442987613147"/>
    <m/>
    <n v="0"/>
    <n v="18986.614020000001"/>
    <n v="0"/>
    <n v="0"/>
    <n v="24733.126611830827"/>
    <n v="0"/>
  </r>
  <r>
    <s v="Regular"/>
    <x v="1"/>
    <x v="3"/>
    <x v="5"/>
    <x v="0"/>
    <x v="2"/>
    <x v="0"/>
    <x v="1"/>
    <x v="9"/>
    <n v="0"/>
    <n v="0"/>
    <n v="9469.4210000000003"/>
    <n v="9469.4210000000003"/>
    <n v="9469.4210000000003"/>
    <n v="9469.4210000000003"/>
    <n v="0"/>
    <x v="2"/>
    <n v="0"/>
    <n v="0"/>
    <n v="21"/>
    <n v="89"/>
    <n v="0"/>
    <n v="51.27"/>
    <n v="222.31"/>
    <m/>
    <n v="66.787442987613147"/>
    <n v="236.64237028527376"/>
    <n v="0"/>
    <n v="485497.21467000002"/>
    <n v="2105146.98251"/>
    <n v="0"/>
    <n v="632438.41516320675"/>
    <n v="2240866.2306691473"/>
  </r>
  <r>
    <s v="Sistema de Compensação"/>
    <x v="1"/>
    <x v="3"/>
    <x v="5"/>
    <x v="0"/>
    <x v="2"/>
    <x v="0"/>
    <x v="1"/>
    <x v="9"/>
    <n v="0"/>
    <n v="0"/>
    <n v="603.48699999999997"/>
    <n v="603.48699999999997"/>
    <n v="603.48699999999997"/>
    <n v="603.48699999999997"/>
    <n v="0"/>
    <x v="2"/>
    <n v="0"/>
    <n v="0"/>
    <n v="21"/>
    <n v="89"/>
    <n v="0"/>
    <n v="51.27"/>
    <n v="222.31"/>
    <m/>
    <n v="66.787442987613147"/>
    <n v="236.64237028527376"/>
    <n v="0"/>
    <n v="30940.778490000001"/>
    <n v="134161.19496999998"/>
    <n v="0"/>
    <n v="40305.353606265693"/>
    <n v="142810.59411634901"/>
  </r>
  <r>
    <s v="Sistema de Compensação"/>
    <x v="1"/>
    <x v="3"/>
    <x v="5"/>
    <x v="0"/>
    <x v="2"/>
    <x v="0"/>
    <x v="1"/>
    <x v="9"/>
    <n v="0"/>
    <n v="0"/>
    <n v="9.8339999999999996"/>
    <n v="9.8339999999999996"/>
    <n v="9.8339999999999996"/>
    <n v="9.8339999999999996"/>
    <n v="0"/>
    <x v="2"/>
    <n v="0"/>
    <n v="0"/>
    <n v="21"/>
    <n v="89"/>
    <n v="0"/>
    <n v="51.27"/>
    <n v="222.31"/>
    <m/>
    <n v="66.787442987613147"/>
    <n v="236.64237028527376"/>
    <n v="0"/>
    <n v="504.18918000000002"/>
    <n v="2186.1965399999999"/>
    <n v="0"/>
    <n v="656.78771434018768"/>
    <n v="2327.1410693853823"/>
  </r>
  <r>
    <s v="Regular"/>
    <x v="1"/>
    <x v="3"/>
    <x v="5"/>
    <x v="0"/>
    <x v="2"/>
    <x v="0"/>
    <x v="1"/>
    <x v="9"/>
    <n v="0"/>
    <n v="0"/>
    <n v="279.661"/>
    <n v="279.661"/>
    <n v="0"/>
    <n v="0"/>
    <n v="0"/>
    <x v="1"/>
    <n v="0"/>
    <n v="0"/>
    <n v="21"/>
    <n v="0"/>
    <n v="0"/>
    <n v="51.27"/>
    <n v="0"/>
    <m/>
    <n v="66.787442987613147"/>
    <m/>
    <n v="0"/>
    <n v="14338.219470000002"/>
    <n v="0"/>
    <n v="0"/>
    <n v="18677.843093358879"/>
    <n v="0"/>
  </r>
  <r>
    <s v="Regular"/>
    <x v="1"/>
    <x v="3"/>
    <x v="5"/>
    <x v="0"/>
    <x v="2"/>
    <x v="0"/>
    <x v="1"/>
    <x v="10"/>
    <n v="0"/>
    <n v="0"/>
    <n v="9099.2129999999997"/>
    <n v="9099.2129999999997"/>
    <n v="9099.2129999999997"/>
    <n v="9099.2129999999997"/>
    <n v="0"/>
    <x v="2"/>
    <n v="0"/>
    <n v="0"/>
    <n v="21"/>
    <n v="89"/>
    <n v="0"/>
    <n v="51.27"/>
    <n v="222.31"/>
    <m/>
    <n v="66.787442987613147"/>
    <n v="236.64237028527376"/>
    <n v="0"/>
    <n v="466516.65051000001"/>
    <n v="2022846.0420299999"/>
    <n v="0"/>
    <n v="607713.16946964839"/>
    <n v="2153259.3320505768"/>
  </r>
  <r>
    <s v="Refaturamento - Regular"/>
    <x v="1"/>
    <x v="3"/>
    <x v="5"/>
    <x v="0"/>
    <x v="2"/>
    <x v="0"/>
    <x v="1"/>
    <x v="10"/>
    <n v="0"/>
    <n v="0"/>
    <n v="-35.911000000000001"/>
    <n v="-35.911000000000001"/>
    <n v="-35.911000000000001"/>
    <n v="-35.911000000000001"/>
    <n v="0"/>
    <x v="2"/>
    <n v="0"/>
    <n v="0"/>
    <n v="21"/>
    <n v="89"/>
    <n v="0"/>
    <n v="51.27"/>
    <n v="222.31"/>
    <m/>
    <n v="66.787442987613147"/>
    <n v="236.64237028527376"/>
    <n v="0"/>
    <n v="-1841.1569700000002"/>
    <n v="-7983.3744100000004"/>
    <n v="0"/>
    <n v="-2398.4038651281758"/>
    <n v="-8498.0641593144665"/>
  </r>
  <r>
    <s v="Sistema de Compensação"/>
    <x v="1"/>
    <x v="3"/>
    <x v="5"/>
    <x v="0"/>
    <x v="2"/>
    <x v="0"/>
    <x v="1"/>
    <x v="10"/>
    <n v="0"/>
    <n v="0"/>
    <n v="528.70500000000004"/>
    <n v="528.70500000000004"/>
    <n v="528.70500000000004"/>
    <n v="528.70500000000004"/>
    <n v="0"/>
    <x v="2"/>
    <n v="0"/>
    <n v="0"/>
    <n v="21"/>
    <n v="89"/>
    <n v="0"/>
    <n v="51.27"/>
    <n v="222.31"/>
    <m/>
    <n v="66.787442987613147"/>
    <n v="236.64237028527376"/>
    <n v="0"/>
    <n v="27106.705350000004"/>
    <n v="117536.40855000001"/>
    <n v="0"/>
    <n v="35310.855044766009"/>
    <n v="125114.00438167567"/>
  </r>
  <r>
    <s v="Sistema de Compensação"/>
    <x v="1"/>
    <x v="3"/>
    <x v="5"/>
    <x v="0"/>
    <x v="2"/>
    <x v="0"/>
    <x v="1"/>
    <x v="10"/>
    <n v="0"/>
    <n v="0"/>
    <n v="8.6560000000000006"/>
    <n v="8.6560000000000006"/>
    <n v="8.6560000000000006"/>
    <n v="8.6560000000000006"/>
    <n v="0"/>
    <x v="2"/>
    <n v="0"/>
    <n v="0"/>
    <n v="21"/>
    <n v="89"/>
    <n v="0"/>
    <n v="51.27"/>
    <n v="222.31"/>
    <m/>
    <n v="66.787442987613147"/>
    <n v="236.64237028527376"/>
    <n v="0"/>
    <n v="443.79312000000004"/>
    <n v="1924.3153600000001"/>
    <n v="0"/>
    <n v="578.11210650077942"/>
    <n v="2048.3763571893296"/>
  </r>
  <r>
    <s v="Regular"/>
    <x v="1"/>
    <x v="3"/>
    <x v="5"/>
    <x v="0"/>
    <x v="2"/>
    <x v="0"/>
    <x v="1"/>
    <x v="10"/>
    <n v="0"/>
    <n v="0"/>
    <n v="296.55700000000002"/>
    <n v="296.55700000000002"/>
    <n v="0"/>
    <n v="0"/>
    <n v="0"/>
    <x v="1"/>
    <n v="0"/>
    <n v="0"/>
    <n v="21"/>
    <n v="0"/>
    <n v="0"/>
    <n v="51.27"/>
    <n v="0"/>
    <m/>
    <n v="66.787442987613147"/>
    <m/>
    <n v="0"/>
    <n v="15204.477390000002"/>
    <n v="0"/>
    <n v="0"/>
    <n v="19806.283730077594"/>
    <n v="0"/>
  </r>
  <r>
    <s v="Refaturamento - Regular"/>
    <x v="1"/>
    <x v="3"/>
    <x v="5"/>
    <x v="0"/>
    <x v="2"/>
    <x v="0"/>
    <x v="1"/>
    <x v="10"/>
    <n v="0"/>
    <n v="0"/>
    <n v="4.5599999999999996"/>
    <n v="4.5599999999999996"/>
    <n v="0"/>
    <n v="0"/>
    <n v="0"/>
    <x v="1"/>
    <n v="0"/>
    <n v="0"/>
    <n v="21"/>
    <n v="0"/>
    <n v="0"/>
    <n v="51.27"/>
    <n v="0"/>
    <m/>
    <n v="66.787442987613147"/>
    <m/>
    <n v="0"/>
    <n v="233.7912"/>
    <n v="0"/>
    <n v="0"/>
    <n v="304.55074002351591"/>
    <n v="0"/>
  </r>
  <r>
    <s v="PROJETADO"/>
    <x v="1"/>
    <x v="3"/>
    <x v="5"/>
    <x v="0"/>
    <x v="2"/>
    <x v="0"/>
    <x v="1"/>
    <x v="11"/>
    <n v="0"/>
    <n v="0"/>
    <n v="9099.2129999999997"/>
    <n v="9099.2129999999997"/>
    <n v="9099.2129999999997"/>
    <n v="9099.2129999999997"/>
    <n v="0"/>
    <x v="2"/>
    <n v="0"/>
    <n v="0"/>
    <n v="21"/>
    <n v="89"/>
    <n v="0"/>
    <n v="51.27"/>
    <n v="222.31"/>
    <m/>
    <n v="66.787442987613147"/>
    <n v="236.64237028527376"/>
    <n v="0"/>
    <n v="466516.65051000001"/>
    <n v="2022846.0420299999"/>
    <n v="0"/>
    <n v="607713.16946964839"/>
    <n v="2153259.3320505768"/>
  </r>
  <r>
    <s v="PROJETADO"/>
    <x v="1"/>
    <x v="3"/>
    <x v="5"/>
    <x v="0"/>
    <x v="2"/>
    <x v="0"/>
    <x v="1"/>
    <x v="11"/>
    <n v="0"/>
    <n v="0"/>
    <n v="-35.911000000000001"/>
    <n v="-35.911000000000001"/>
    <n v="-35.911000000000001"/>
    <n v="-35.911000000000001"/>
    <n v="0"/>
    <x v="2"/>
    <n v="0"/>
    <n v="0"/>
    <n v="21"/>
    <n v="89"/>
    <n v="0"/>
    <n v="51.27"/>
    <n v="222.31"/>
    <m/>
    <n v="66.787442987613147"/>
    <n v="236.64237028527376"/>
    <n v="0"/>
    <n v="-1841.1569700000002"/>
    <n v="-7983.3744100000004"/>
    <n v="0"/>
    <n v="-2398.4038651281758"/>
    <n v="-8498.0641593144665"/>
  </r>
  <r>
    <s v="PROJETADO"/>
    <x v="1"/>
    <x v="3"/>
    <x v="5"/>
    <x v="0"/>
    <x v="2"/>
    <x v="0"/>
    <x v="1"/>
    <x v="11"/>
    <n v="0"/>
    <n v="0"/>
    <n v="528.70500000000004"/>
    <n v="528.70500000000004"/>
    <n v="528.70500000000004"/>
    <n v="528.70500000000004"/>
    <n v="0"/>
    <x v="2"/>
    <n v="0"/>
    <n v="0"/>
    <n v="21"/>
    <n v="89"/>
    <n v="0"/>
    <n v="51.27"/>
    <n v="222.31"/>
    <m/>
    <n v="66.787442987613147"/>
    <n v="236.64237028527376"/>
    <n v="0"/>
    <n v="27106.705350000004"/>
    <n v="117536.40855000001"/>
    <n v="0"/>
    <n v="35310.855044766009"/>
    <n v="125114.00438167567"/>
  </r>
  <r>
    <s v="PROJETADO"/>
    <x v="1"/>
    <x v="3"/>
    <x v="5"/>
    <x v="0"/>
    <x v="2"/>
    <x v="0"/>
    <x v="1"/>
    <x v="11"/>
    <n v="0"/>
    <n v="0"/>
    <n v="8.6560000000000006"/>
    <n v="8.6560000000000006"/>
    <n v="8.6560000000000006"/>
    <n v="8.6560000000000006"/>
    <n v="0"/>
    <x v="2"/>
    <n v="0"/>
    <n v="0"/>
    <n v="21"/>
    <n v="89"/>
    <n v="0"/>
    <n v="51.27"/>
    <n v="222.31"/>
    <m/>
    <n v="66.787442987613147"/>
    <n v="236.64237028527376"/>
    <n v="0"/>
    <n v="443.79312000000004"/>
    <n v="1924.3153600000001"/>
    <n v="0"/>
    <n v="578.11210650077942"/>
    <n v="2048.3763571893296"/>
  </r>
  <r>
    <s v="PROJETADO"/>
    <x v="1"/>
    <x v="3"/>
    <x v="5"/>
    <x v="0"/>
    <x v="2"/>
    <x v="0"/>
    <x v="1"/>
    <x v="11"/>
    <n v="0"/>
    <n v="0"/>
    <n v="296.55700000000002"/>
    <n v="296.55700000000002"/>
    <n v="0"/>
    <n v="0"/>
    <n v="0"/>
    <x v="1"/>
    <n v="0"/>
    <n v="0"/>
    <n v="21"/>
    <n v="0"/>
    <n v="0"/>
    <n v="51.27"/>
    <n v="0"/>
    <m/>
    <n v="66.787442987613147"/>
    <m/>
    <n v="0"/>
    <n v="15204.477390000002"/>
    <n v="0"/>
    <n v="0"/>
    <n v="19806.283730077594"/>
    <n v="0"/>
  </r>
  <r>
    <s v="PROJETADO"/>
    <x v="1"/>
    <x v="3"/>
    <x v="5"/>
    <x v="0"/>
    <x v="2"/>
    <x v="0"/>
    <x v="1"/>
    <x v="11"/>
    <n v="0"/>
    <n v="0"/>
    <n v="4.5599999999999996"/>
    <n v="4.5599999999999996"/>
    <n v="0"/>
    <n v="0"/>
    <n v="0"/>
    <x v="1"/>
    <n v="0"/>
    <n v="0"/>
    <n v="21"/>
    <n v="0"/>
    <n v="0"/>
    <n v="51.27"/>
    <n v="0"/>
    <m/>
    <n v="66.787442987613147"/>
    <m/>
    <n v="0"/>
    <n v="233.7912"/>
    <n v="0"/>
    <n v="0"/>
    <n v="304.55074002351591"/>
    <n v="0"/>
  </r>
  <r>
    <s v="Regular"/>
    <x v="1"/>
    <x v="3"/>
    <x v="5"/>
    <x v="0"/>
    <x v="2"/>
    <x v="0"/>
    <x v="0"/>
    <x v="0"/>
    <n v="50593"/>
    <n v="50593"/>
    <n v="0"/>
    <n v="0"/>
    <n v="0"/>
    <n v="0"/>
    <n v="455"/>
    <x v="2"/>
    <n v="0"/>
    <n v="44"/>
    <n v="0"/>
    <n v="0"/>
    <n v="24.31"/>
    <n v="0"/>
    <n v="0"/>
    <n v="27.784726797371405"/>
    <m/>
    <m/>
    <n v="1229915.8299999998"/>
    <n v="0"/>
    <n v="0"/>
    <n v="1405712.6828594115"/>
    <n v="0"/>
    <n v="0"/>
  </r>
  <r>
    <s v="Refaturamento - Regular"/>
    <x v="1"/>
    <x v="3"/>
    <x v="5"/>
    <x v="0"/>
    <x v="2"/>
    <x v="0"/>
    <x v="0"/>
    <x v="0"/>
    <n v="-3221"/>
    <n v="-3221"/>
    <n v="0"/>
    <n v="0"/>
    <n v="0"/>
    <n v="0"/>
    <n v="0"/>
    <x v="2"/>
    <n v="0"/>
    <n v="44"/>
    <n v="0"/>
    <n v="0"/>
    <n v="24.31"/>
    <n v="0"/>
    <n v="0"/>
    <n v="27.784726797371405"/>
    <m/>
    <m/>
    <n v="-78302.509999999995"/>
    <n v="0"/>
    <n v="0"/>
    <n v="-89494.605014333298"/>
    <n v="0"/>
    <n v="0"/>
  </r>
  <r>
    <s v="Sistema de Compensação"/>
    <x v="1"/>
    <x v="3"/>
    <x v="5"/>
    <x v="0"/>
    <x v="2"/>
    <x v="0"/>
    <x v="0"/>
    <x v="0"/>
    <n v="4609"/>
    <n v="4609"/>
    <n v="0"/>
    <n v="0"/>
    <n v="0"/>
    <n v="0"/>
    <n v="30"/>
    <x v="2"/>
    <n v="0"/>
    <n v="44"/>
    <n v="0"/>
    <n v="0"/>
    <n v="24.31"/>
    <n v="0"/>
    <n v="0"/>
    <n v="27.784726797371405"/>
    <m/>
    <m/>
    <n v="112044.79"/>
    <n v="0"/>
    <n v="0"/>
    <n v="128059.80580908481"/>
    <n v="0"/>
    <n v="0"/>
  </r>
  <r>
    <s v="Regular"/>
    <x v="1"/>
    <x v="3"/>
    <x v="5"/>
    <x v="0"/>
    <x v="2"/>
    <x v="0"/>
    <x v="0"/>
    <x v="0"/>
    <n v="239"/>
    <n v="239"/>
    <n v="0"/>
    <n v="0"/>
    <n v="0"/>
    <n v="0"/>
    <n v="1"/>
    <x v="1"/>
    <n v="0"/>
    <n v="44"/>
    <n v="0"/>
    <n v="0"/>
    <n v="24.31"/>
    <n v="0"/>
    <n v="0"/>
    <n v="27.784726797371405"/>
    <m/>
    <m/>
    <n v="5810.09"/>
    <n v="0"/>
    <n v="0"/>
    <n v="6640.5497045717657"/>
    <n v="0"/>
    <n v="0"/>
  </r>
  <r>
    <s v="Regular"/>
    <x v="1"/>
    <x v="3"/>
    <x v="5"/>
    <x v="0"/>
    <x v="2"/>
    <x v="0"/>
    <x v="0"/>
    <x v="1"/>
    <n v="48763"/>
    <n v="48763"/>
    <n v="0"/>
    <n v="0"/>
    <n v="0"/>
    <n v="0"/>
    <n v="456"/>
    <x v="2"/>
    <n v="0"/>
    <n v="44"/>
    <n v="0"/>
    <n v="0"/>
    <n v="24.31"/>
    <n v="0"/>
    <n v="0"/>
    <n v="27.784726797371405"/>
    <m/>
    <m/>
    <n v="1185428.53"/>
    <n v="0"/>
    <n v="0"/>
    <n v="1354866.6328202218"/>
    <n v="0"/>
    <n v="0"/>
  </r>
  <r>
    <s v="Refaturamento - Regular"/>
    <x v="1"/>
    <x v="3"/>
    <x v="5"/>
    <x v="0"/>
    <x v="2"/>
    <x v="0"/>
    <x v="0"/>
    <x v="1"/>
    <n v="-112"/>
    <n v="-112"/>
    <n v="0"/>
    <n v="0"/>
    <n v="0"/>
    <n v="0"/>
    <n v="0"/>
    <x v="2"/>
    <n v="0"/>
    <n v="44"/>
    <n v="0"/>
    <n v="0"/>
    <n v="24.31"/>
    <n v="0"/>
    <n v="0"/>
    <n v="27.784726797371405"/>
    <m/>
    <m/>
    <n v="-2722.72"/>
    <n v="0"/>
    <n v="0"/>
    <n v="-3111.8894013055974"/>
    <n v="0"/>
    <n v="0"/>
  </r>
  <r>
    <s v="Sistema de Compensação"/>
    <x v="1"/>
    <x v="3"/>
    <x v="5"/>
    <x v="0"/>
    <x v="2"/>
    <x v="0"/>
    <x v="0"/>
    <x v="1"/>
    <n v="4544"/>
    <n v="4544"/>
    <n v="0"/>
    <n v="0"/>
    <n v="0"/>
    <n v="0"/>
    <n v="30"/>
    <x v="2"/>
    <n v="0"/>
    <n v="44"/>
    <n v="0"/>
    <n v="0"/>
    <n v="24.31"/>
    <n v="0"/>
    <n v="0"/>
    <n v="27.784726797371405"/>
    <m/>
    <m/>
    <n v="110464.64"/>
    <n v="0"/>
    <n v="0"/>
    <n v="126253.79856725567"/>
    <n v="0"/>
    <n v="0"/>
  </r>
  <r>
    <s v="Regular"/>
    <x v="1"/>
    <x v="3"/>
    <x v="5"/>
    <x v="0"/>
    <x v="2"/>
    <x v="0"/>
    <x v="0"/>
    <x v="1"/>
    <n v="239"/>
    <n v="239"/>
    <n v="0"/>
    <n v="0"/>
    <n v="0"/>
    <n v="0"/>
    <n v="1"/>
    <x v="1"/>
    <n v="0"/>
    <n v="44"/>
    <n v="0"/>
    <n v="0"/>
    <n v="24.31"/>
    <n v="0"/>
    <n v="0"/>
    <n v="27.784726797371405"/>
    <m/>
    <m/>
    <n v="5810.09"/>
    <n v="0"/>
    <n v="0"/>
    <n v="6640.5497045717657"/>
    <n v="0"/>
    <n v="0"/>
  </r>
  <r>
    <s v="Regular"/>
    <x v="1"/>
    <x v="3"/>
    <x v="5"/>
    <x v="0"/>
    <x v="2"/>
    <x v="0"/>
    <x v="0"/>
    <x v="2"/>
    <n v="48558"/>
    <n v="48558"/>
    <n v="0"/>
    <n v="0"/>
    <n v="0"/>
    <n v="0"/>
    <n v="456"/>
    <x v="2"/>
    <n v="0"/>
    <n v="44"/>
    <n v="0"/>
    <n v="0"/>
    <n v="24.31"/>
    <n v="0"/>
    <n v="0"/>
    <n v="27.784726797371405"/>
    <m/>
    <m/>
    <n v="1180444.98"/>
    <n v="0"/>
    <n v="0"/>
    <n v="1349170.7638267607"/>
    <n v="0"/>
    <n v="0"/>
  </r>
  <r>
    <s v="Refaturamento - Regular"/>
    <x v="1"/>
    <x v="3"/>
    <x v="5"/>
    <x v="0"/>
    <x v="2"/>
    <x v="0"/>
    <x v="0"/>
    <x v="2"/>
    <n v="-253"/>
    <n v="-253"/>
    <n v="0"/>
    <n v="0"/>
    <n v="0"/>
    <n v="0"/>
    <n v="0"/>
    <x v="2"/>
    <n v="0"/>
    <n v="44"/>
    <n v="0"/>
    <n v="0"/>
    <n v="24.31"/>
    <n v="0"/>
    <n v="0"/>
    <n v="27.784726797371405"/>
    <m/>
    <m/>
    <n v="-6150.4299999999994"/>
    <n v="0"/>
    <n v="0"/>
    <n v="-7029.5358797349654"/>
    <n v="0"/>
    <n v="0"/>
  </r>
  <r>
    <s v="Sistema de Compensação"/>
    <x v="1"/>
    <x v="3"/>
    <x v="5"/>
    <x v="0"/>
    <x v="2"/>
    <x v="0"/>
    <x v="0"/>
    <x v="2"/>
    <n v="4348"/>
    <n v="4348"/>
    <n v="0"/>
    <n v="0"/>
    <n v="0"/>
    <n v="0"/>
    <n v="27"/>
    <x v="2"/>
    <n v="0"/>
    <n v="44"/>
    <n v="0"/>
    <n v="0"/>
    <n v="24.31"/>
    <n v="0"/>
    <n v="0"/>
    <n v="27.784726797371405"/>
    <m/>
    <m/>
    <n v="105699.87999999999"/>
    <n v="0"/>
    <n v="0"/>
    <n v="120807.99211497087"/>
    <n v="0"/>
    <n v="0"/>
  </r>
  <r>
    <s v="Regular"/>
    <x v="1"/>
    <x v="3"/>
    <x v="5"/>
    <x v="0"/>
    <x v="2"/>
    <x v="0"/>
    <x v="0"/>
    <x v="2"/>
    <n v="239"/>
    <n v="239"/>
    <n v="0"/>
    <n v="0"/>
    <n v="0"/>
    <n v="0"/>
    <n v="1"/>
    <x v="1"/>
    <n v="0"/>
    <n v="44"/>
    <n v="0"/>
    <n v="0"/>
    <n v="24.31"/>
    <n v="0"/>
    <n v="0"/>
    <n v="27.784726797371405"/>
    <m/>
    <m/>
    <n v="5810.09"/>
    <n v="0"/>
    <n v="0"/>
    <n v="6640.5497045717657"/>
    <n v="0"/>
    <n v="0"/>
  </r>
  <r>
    <s v="Regular"/>
    <x v="1"/>
    <x v="3"/>
    <x v="5"/>
    <x v="0"/>
    <x v="2"/>
    <x v="0"/>
    <x v="0"/>
    <x v="3"/>
    <n v="48105"/>
    <n v="48105"/>
    <n v="0"/>
    <n v="0"/>
    <n v="0"/>
    <n v="0"/>
    <n v="453"/>
    <x v="2"/>
    <n v="0"/>
    <n v="44"/>
    <n v="0"/>
    <n v="0"/>
    <n v="24.31"/>
    <n v="0"/>
    <n v="0"/>
    <n v="27.784726797371405"/>
    <m/>
    <m/>
    <n v="1169432.55"/>
    <n v="0"/>
    <n v="0"/>
    <n v="1336584.2825875515"/>
    <n v="0"/>
    <n v="0"/>
  </r>
  <r>
    <s v="Refaturamento - Regular"/>
    <x v="1"/>
    <x v="3"/>
    <x v="5"/>
    <x v="0"/>
    <x v="2"/>
    <x v="0"/>
    <x v="0"/>
    <x v="3"/>
    <n v="75"/>
    <n v="75"/>
    <n v="0"/>
    <n v="0"/>
    <n v="0"/>
    <n v="0"/>
    <n v="1"/>
    <x v="2"/>
    <n v="0"/>
    <n v="44"/>
    <n v="0"/>
    <n v="0"/>
    <n v="24.31"/>
    <n v="0"/>
    <n v="0"/>
    <n v="27.784726797371405"/>
    <m/>
    <m/>
    <n v="1823.25"/>
    <n v="0"/>
    <n v="0"/>
    <n v="2083.8545098028553"/>
    <n v="0"/>
    <n v="0"/>
  </r>
  <r>
    <s v="Sistema de Compensação"/>
    <x v="1"/>
    <x v="3"/>
    <x v="5"/>
    <x v="0"/>
    <x v="2"/>
    <x v="0"/>
    <x v="0"/>
    <x v="3"/>
    <n v="4440"/>
    <n v="4440"/>
    <n v="0"/>
    <n v="0"/>
    <n v="0"/>
    <n v="0"/>
    <n v="26"/>
    <x v="2"/>
    <n v="0"/>
    <n v="44"/>
    <n v="0"/>
    <n v="0"/>
    <n v="24.31"/>
    <n v="0"/>
    <n v="0"/>
    <n v="27.784726797371405"/>
    <m/>
    <m/>
    <n v="107936.4"/>
    <n v="0"/>
    <n v="0"/>
    <n v="123364.18698032905"/>
    <n v="0"/>
    <n v="0"/>
  </r>
  <r>
    <s v="Regular"/>
    <x v="1"/>
    <x v="3"/>
    <x v="5"/>
    <x v="0"/>
    <x v="2"/>
    <x v="0"/>
    <x v="0"/>
    <x v="3"/>
    <n v="2239"/>
    <n v="2239"/>
    <n v="0"/>
    <n v="0"/>
    <n v="0"/>
    <n v="0"/>
    <n v="2"/>
    <x v="1"/>
    <n v="0"/>
    <n v="44"/>
    <n v="0"/>
    <n v="0"/>
    <n v="24.31"/>
    <n v="0"/>
    <n v="0"/>
    <n v="27.784726797371405"/>
    <m/>
    <m/>
    <n v="54430.09"/>
    <n v="0"/>
    <n v="0"/>
    <n v="62210.00329931458"/>
    <n v="0"/>
    <n v="0"/>
  </r>
  <r>
    <s v="Regular"/>
    <x v="1"/>
    <x v="3"/>
    <x v="5"/>
    <x v="0"/>
    <x v="2"/>
    <x v="0"/>
    <x v="0"/>
    <x v="4"/>
    <n v="48595"/>
    <n v="48595"/>
    <n v="0"/>
    <n v="0"/>
    <n v="0"/>
    <n v="0"/>
    <n v="454"/>
    <x v="2"/>
    <n v="0"/>
    <n v="44"/>
    <n v="0"/>
    <n v="0"/>
    <n v="24.31"/>
    <n v="0"/>
    <n v="0"/>
    <n v="27.784726797371405"/>
    <m/>
    <m/>
    <n v="1181344.45"/>
    <n v="0"/>
    <n v="0"/>
    <n v="1350198.7987182634"/>
    <n v="0"/>
    <n v="0"/>
  </r>
  <r>
    <s v="Sistema de Compensação"/>
    <x v="1"/>
    <x v="3"/>
    <x v="5"/>
    <x v="0"/>
    <x v="2"/>
    <x v="0"/>
    <x v="0"/>
    <x v="4"/>
    <n v="4366"/>
    <n v="4366"/>
    <n v="0"/>
    <n v="0"/>
    <n v="0"/>
    <n v="0"/>
    <n v="26"/>
    <x v="2"/>
    <n v="0"/>
    <n v="44"/>
    <n v="0"/>
    <n v="0"/>
    <n v="24.31"/>
    <n v="0"/>
    <n v="0"/>
    <n v="27.784726797371405"/>
    <m/>
    <m/>
    <n v="106137.45999999999"/>
    <n v="0"/>
    <n v="0"/>
    <n v="121308.11719732356"/>
    <n v="0"/>
    <n v="0"/>
  </r>
  <r>
    <s v="Regular"/>
    <x v="1"/>
    <x v="3"/>
    <x v="5"/>
    <x v="0"/>
    <x v="2"/>
    <x v="0"/>
    <x v="0"/>
    <x v="4"/>
    <n v="3319"/>
    <n v="3319"/>
    <n v="0"/>
    <n v="0"/>
    <n v="0"/>
    <n v="0"/>
    <n v="5"/>
    <x v="1"/>
    <n v="0"/>
    <n v="44"/>
    <n v="0"/>
    <n v="0"/>
    <n v="24.31"/>
    <n v="0"/>
    <n v="0"/>
    <n v="27.784726797371405"/>
    <m/>
    <m/>
    <n v="80684.89"/>
    <n v="0"/>
    <n v="0"/>
    <n v="92217.508240475698"/>
    <n v="0"/>
    <n v="0"/>
  </r>
  <r>
    <s v="Regular"/>
    <x v="1"/>
    <x v="3"/>
    <x v="5"/>
    <x v="0"/>
    <x v="2"/>
    <x v="0"/>
    <x v="0"/>
    <x v="5"/>
    <n v="49028"/>
    <n v="49028"/>
    <n v="0"/>
    <n v="0"/>
    <n v="0"/>
    <n v="0"/>
    <n v="453"/>
    <x v="2"/>
    <n v="0"/>
    <n v="44"/>
    <n v="0"/>
    <n v="0"/>
    <n v="24.31"/>
    <n v="0"/>
    <n v="0"/>
    <n v="27.784726797371405"/>
    <m/>
    <m/>
    <n v="1191870.68"/>
    <n v="0"/>
    <n v="0"/>
    <n v="1362229.5854215252"/>
    <n v="0"/>
    <n v="0"/>
  </r>
  <r>
    <s v="Sistema de Compensação"/>
    <x v="1"/>
    <x v="3"/>
    <x v="5"/>
    <x v="0"/>
    <x v="2"/>
    <x v="0"/>
    <x v="0"/>
    <x v="5"/>
    <n v="4670"/>
    <n v="4670"/>
    <n v="0"/>
    <n v="0"/>
    <n v="0"/>
    <n v="0"/>
    <n v="30"/>
    <x v="2"/>
    <n v="0"/>
    <n v="44"/>
    <n v="0"/>
    <n v="0"/>
    <n v="24.31"/>
    <n v="0"/>
    <n v="0"/>
    <n v="27.784726797371405"/>
    <m/>
    <m/>
    <n v="113527.7"/>
    <n v="0"/>
    <n v="0"/>
    <n v="129754.67414372446"/>
    <n v="0"/>
    <n v="0"/>
  </r>
  <r>
    <s v="Regular"/>
    <x v="1"/>
    <x v="3"/>
    <x v="5"/>
    <x v="0"/>
    <x v="2"/>
    <x v="0"/>
    <x v="0"/>
    <x v="5"/>
    <n v="2239"/>
    <n v="2239"/>
    <n v="0"/>
    <n v="0"/>
    <n v="0"/>
    <n v="0"/>
    <n v="2"/>
    <x v="1"/>
    <n v="0"/>
    <n v="44"/>
    <n v="0"/>
    <n v="0"/>
    <n v="24.31"/>
    <n v="0"/>
    <n v="0"/>
    <n v="27.784726797371405"/>
    <m/>
    <m/>
    <n v="54430.09"/>
    <n v="0"/>
    <n v="0"/>
    <n v="62210.00329931458"/>
    <n v="0"/>
    <n v="0"/>
  </r>
  <r>
    <s v="Regular"/>
    <x v="1"/>
    <x v="3"/>
    <x v="5"/>
    <x v="0"/>
    <x v="2"/>
    <x v="0"/>
    <x v="0"/>
    <x v="6"/>
    <n v="48707"/>
    <n v="48707"/>
    <n v="0"/>
    <n v="0"/>
    <n v="0"/>
    <n v="0"/>
    <n v="452"/>
    <x v="2"/>
    <n v="0"/>
    <n v="44"/>
    <n v="0"/>
    <n v="0"/>
    <n v="24.31"/>
    <n v="0"/>
    <n v="0"/>
    <n v="27.784726797371405"/>
    <m/>
    <m/>
    <n v="1184067.17"/>
    <n v="0"/>
    <n v="0"/>
    <n v="1353310.6881195691"/>
    <n v="0"/>
    <n v="0"/>
  </r>
  <r>
    <s v="Refaturamento - Regular"/>
    <x v="1"/>
    <x v="3"/>
    <x v="5"/>
    <x v="0"/>
    <x v="2"/>
    <x v="0"/>
    <x v="0"/>
    <x v="6"/>
    <n v="-958"/>
    <n v="-958"/>
    <n v="0"/>
    <n v="0"/>
    <n v="0"/>
    <n v="0"/>
    <n v="-1"/>
    <x v="2"/>
    <n v="0"/>
    <n v="44"/>
    <n v="0"/>
    <n v="0"/>
    <n v="24.31"/>
    <n v="0"/>
    <n v="0"/>
    <n v="27.784726797371405"/>
    <m/>
    <m/>
    <n v="-23288.98"/>
    <n v="0"/>
    <n v="0"/>
    <n v="-26617.768271881807"/>
    <n v="0"/>
    <n v="0"/>
  </r>
  <r>
    <s v="Sistema de Compensação"/>
    <x v="1"/>
    <x v="3"/>
    <x v="5"/>
    <x v="0"/>
    <x v="2"/>
    <x v="0"/>
    <x v="0"/>
    <x v="6"/>
    <n v="4634"/>
    <n v="4634"/>
    <n v="0"/>
    <n v="0"/>
    <n v="0"/>
    <n v="0"/>
    <n v="28"/>
    <x v="2"/>
    <n v="0"/>
    <n v="44"/>
    <n v="0"/>
    <n v="0"/>
    <n v="24.31"/>
    <n v="0"/>
    <n v="0"/>
    <n v="27.784726797371405"/>
    <m/>
    <m/>
    <n v="112652.54"/>
    <n v="0"/>
    <n v="0"/>
    <n v="128754.42397901909"/>
    <n v="0"/>
    <n v="0"/>
  </r>
  <r>
    <s v="Regular"/>
    <x v="1"/>
    <x v="3"/>
    <x v="5"/>
    <x v="0"/>
    <x v="2"/>
    <x v="0"/>
    <x v="0"/>
    <x v="6"/>
    <n v="2239"/>
    <n v="2239"/>
    <n v="0"/>
    <n v="0"/>
    <n v="0"/>
    <n v="0"/>
    <n v="2"/>
    <x v="1"/>
    <n v="0"/>
    <n v="44"/>
    <n v="0"/>
    <n v="0"/>
    <n v="24.31"/>
    <n v="0"/>
    <n v="0"/>
    <n v="27.784726797371405"/>
    <m/>
    <m/>
    <n v="54430.09"/>
    <n v="0"/>
    <n v="0"/>
    <n v="62210.00329931458"/>
    <n v="0"/>
    <n v="0"/>
  </r>
  <r>
    <s v="Regular"/>
    <x v="1"/>
    <x v="3"/>
    <x v="5"/>
    <x v="0"/>
    <x v="2"/>
    <x v="0"/>
    <x v="0"/>
    <x v="7"/>
    <n v="49499"/>
    <n v="49499"/>
    <n v="0"/>
    <n v="0"/>
    <n v="0"/>
    <n v="0"/>
    <n v="453"/>
    <x v="2"/>
    <n v="0"/>
    <n v="44"/>
    <n v="0"/>
    <n v="0"/>
    <n v="24.31"/>
    <n v="0"/>
    <n v="0"/>
    <n v="27.784726797371405"/>
    <m/>
    <m/>
    <n v="1203320.69"/>
    <n v="0"/>
    <n v="0"/>
    <n v="1375316.1917430873"/>
    <n v="0"/>
    <n v="0"/>
  </r>
  <r>
    <s v="Refaturamento - Regular"/>
    <x v="1"/>
    <x v="3"/>
    <x v="5"/>
    <x v="0"/>
    <x v="2"/>
    <x v="0"/>
    <x v="0"/>
    <x v="7"/>
    <n v="340"/>
    <n v="340"/>
    <n v="0"/>
    <n v="0"/>
    <n v="0"/>
    <n v="0"/>
    <n v="0"/>
    <x v="2"/>
    <n v="0"/>
    <n v="44"/>
    <n v="0"/>
    <n v="0"/>
    <n v="24.31"/>
    <n v="0"/>
    <n v="0"/>
    <n v="27.784726797371405"/>
    <m/>
    <m/>
    <n v="8265.4"/>
    <n v="0"/>
    <n v="0"/>
    <n v="9446.8071111062782"/>
    <n v="0"/>
    <n v="0"/>
  </r>
  <r>
    <s v="Sistema de Compensação"/>
    <x v="1"/>
    <x v="3"/>
    <x v="5"/>
    <x v="0"/>
    <x v="2"/>
    <x v="0"/>
    <x v="0"/>
    <x v="7"/>
    <n v="5057"/>
    <n v="5057"/>
    <n v="0"/>
    <n v="0"/>
    <n v="0"/>
    <n v="0"/>
    <n v="30"/>
    <x v="2"/>
    <n v="0"/>
    <n v="44"/>
    <n v="0"/>
    <n v="0"/>
    <n v="24.31"/>
    <n v="0"/>
    <n v="0"/>
    <n v="27.784726797371405"/>
    <m/>
    <m/>
    <n v="122935.67"/>
    <n v="0"/>
    <n v="0"/>
    <n v="140507.36341430718"/>
    <n v="0"/>
    <n v="0"/>
  </r>
  <r>
    <s v="Regular"/>
    <x v="1"/>
    <x v="3"/>
    <x v="5"/>
    <x v="0"/>
    <x v="2"/>
    <x v="0"/>
    <x v="0"/>
    <x v="7"/>
    <n v="2175"/>
    <n v="2175"/>
    <n v="0"/>
    <n v="0"/>
    <n v="0"/>
    <n v="0"/>
    <n v="2"/>
    <x v="1"/>
    <n v="0"/>
    <n v="44"/>
    <n v="0"/>
    <n v="0"/>
    <n v="24.31"/>
    <n v="0"/>
    <n v="0"/>
    <n v="27.784726797371405"/>
    <m/>
    <m/>
    <n v="52874.25"/>
    <n v="0"/>
    <n v="0"/>
    <n v="60431.780784282804"/>
    <n v="0"/>
    <n v="0"/>
  </r>
  <r>
    <s v="Regular"/>
    <x v="1"/>
    <x v="3"/>
    <x v="5"/>
    <x v="0"/>
    <x v="2"/>
    <x v="0"/>
    <x v="0"/>
    <x v="8"/>
    <n v="49135"/>
    <n v="49135"/>
    <n v="0"/>
    <n v="0"/>
    <n v="0"/>
    <n v="0"/>
    <n v="446"/>
    <x v="2"/>
    <n v="0"/>
    <n v="44"/>
    <n v="0"/>
    <n v="0"/>
    <n v="24.31"/>
    <n v="0"/>
    <n v="0"/>
    <n v="27.784726797371405"/>
    <m/>
    <m/>
    <n v="1194471.8499999999"/>
    <n v="0"/>
    <n v="0"/>
    <n v="1365202.551188844"/>
    <n v="0"/>
    <n v="0"/>
  </r>
  <r>
    <s v="Refaturamento - Regular"/>
    <x v="1"/>
    <x v="3"/>
    <x v="5"/>
    <x v="0"/>
    <x v="2"/>
    <x v="0"/>
    <x v="0"/>
    <x v="8"/>
    <n v="323"/>
    <n v="323"/>
    <n v="0"/>
    <n v="0"/>
    <n v="0"/>
    <n v="0"/>
    <n v="0"/>
    <x v="2"/>
    <n v="0"/>
    <n v="44"/>
    <n v="0"/>
    <n v="0"/>
    <n v="24.31"/>
    <n v="0"/>
    <n v="0"/>
    <n v="27.784726797371405"/>
    <m/>
    <m/>
    <n v="7852.1299999999992"/>
    <n v="0"/>
    <n v="0"/>
    <n v="8974.4667555509641"/>
    <n v="0"/>
    <n v="0"/>
  </r>
  <r>
    <s v="Sistema de Compensação"/>
    <x v="1"/>
    <x v="3"/>
    <x v="5"/>
    <x v="0"/>
    <x v="2"/>
    <x v="0"/>
    <x v="0"/>
    <x v="8"/>
    <n v="5529"/>
    <n v="5529"/>
    <n v="0"/>
    <n v="0"/>
    <n v="0"/>
    <n v="0"/>
    <n v="36"/>
    <x v="2"/>
    <n v="0"/>
    <n v="44"/>
    <n v="0"/>
    <n v="0"/>
    <n v="24.31"/>
    <n v="0"/>
    <n v="0"/>
    <n v="27.784726797371405"/>
    <m/>
    <m/>
    <n v="134409.99"/>
    <n v="0"/>
    <n v="0"/>
    <n v="153621.75446266649"/>
    <n v="0"/>
    <n v="0"/>
  </r>
  <r>
    <s v="Regular"/>
    <x v="1"/>
    <x v="3"/>
    <x v="5"/>
    <x v="0"/>
    <x v="2"/>
    <x v="0"/>
    <x v="0"/>
    <x v="8"/>
    <n v="2175"/>
    <n v="2175"/>
    <n v="0"/>
    <n v="0"/>
    <n v="0"/>
    <n v="0"/>
    <n v="2"/>
    <x v="1"/>
    <n v="0"/>
    <n v="44"/>
    <n v="0"/>
    <n v="0"/>
    <n v="24.31"/>
    <n v="0"/>
    <n v="0"/>
    <n v="27.784726797371405"/>
    <m/>
    <m/>
    <n v="52874.25"/>
    <n v="0"/>
    <n v="0"/>
    <n v="60431.780784282804"/>
    <n v="0"/>
    <n v="0"/>
  </r>
  <r>
    <s v="Regular"/>
    <x v="1"/>
    <x v="3"/>
    <x v="5"/>
    <x v="0"/>
    <x v="2"/>
    <x v="0"/>
    <x v="0"/>
    <x v="9"/>
    <n v="47290"/>
    <n v="47290"/>
    <n v="0"/>
    <n v="0"/>
    <n v="0"/>
    <n v="0"/>
    <n v="438"/>
    <x v="2"/>
    <n v="0"/>
    <n v="44"/>
    <n v="0"/>
    <n v="0"/>
    <n v="24.31"/>
    <n v="0"/>
    <n v="0"/>
    <n v="27.784726797371405"/>
    <m/>
    <m/>
    <n v="1149619.8999999999"/>
    <n v="0"/>
    <n v="0"/>
    <n v="1313939.7302476938"/>
    <n v="0"/>
    <n v="0"/>
  </r>
  <r>
    <s v="Sistema de Compensação"/>
    <x v="1"/>
    <x v="3"/>
    <x v="5"/>
    <x v="0"/>
    <x v="2"/>
    <x v="0"/>
    <x v="0"/>
    <x v="9"/>
    <n v="5866"/>
    <n v="5866"/>
    <n v="0"/>
    <n v="0"/>
    <n v="0"/>
    <n v="0"/>
    <n v="36"/>
    <x v="2"/>
    <n v="0"/>
    <n v="44"/>
    <n v="0"/>
    <n v="0"/>
    <n v="24.31"/>
    <n v="0"/>
    <n v="0"/>
    <n v="27.784726797371405"/>
    <m/>
    <m/>
    <n v="142602.46"/>
    <n v="0"/>
    <n v="0"/>
    <n v="162985.20739338067"/>
    <n v="0"/>
    <n v="0"/>
  </r>
  <r>
    <s v="Regular"/>
    <x v="1"/>
    <x v="3"/>
    <x v="5"/>
    <x v="0"/>
    <x v="2"/>
    <x v="0"/>
    <x v="0"/>
    <x v="9"/>
    <n v="2175"/>
    <n v="2175"/>
    <n v="0"/>
    <n v="0"/>
    <n v="0"/>
    <n v="0"/>
    <n v="2"/>
    <x v="1"/>
    <n v="0"/>
    <n v="44"/>
    <n v="0"/>
    <n v="0"/>
    <n v="24.31"/>
    <n v="0"/>
    <n v="0"/>
    <n v="27.784726797371405"/>
    <m/>
    <m/>
    <n v="52874.25"/>
    <n v="0"/>
    <n v="0"/>
    <n v="60431.780784282804"/>
    <n v="0"/>
    <n v="0"/>
  </r>
  <r>
    <s v="Regular"/>
    <x v="1"/>
    <x v="3"/>
    <x v="5"/>
    <x v="0"/>
    <x v="2"/>
    <x v="0"/>
    <x v="0"/>
    <x v="10"/>
    <n v="47206"/>
    <n v="47206"/>
    <n v="0"/>
    <n v="0"/>
    <n v="0"/>
    <n v="0"/>
    <n v="432"/>
    <x v="2"/>
    <n v="0"/>
    <n v="44"/>
    <n v="0"/>
    <n v="0"/>
    <n v="24.31"/>
    <n v="0"/>
    <n v="0"/>
    <n v="27.784726797371405"/>
    <m/>
    <m/>
    <n v="1147577.8599999999"/>
    <n v="0"/>
    <n v="0"/>
    <n v="1311605.8131967145"/>
    <n v="0"/>
    <n v="0"/>
  </r>
  <r>
    <s v="Refaturamento - Regular"/>
    <x v="1"/>
    <x v="3"/>
    <x v="5"/>
    <x v="0"/>
    <x v="2"/>
    <x v="0"/>
    <x v="0"/>
    <x v="10"/>
    <n v="8"/>
    <n v="8"/>
    <n v="0"/>
    <n v="0"/>
    <n v="0"/>
    <n v="0"/>
    <n v="-2"/>
    <x v="2"/>
    <n v="0"/>
    <n v="44"/>
    <n v="0"/>
    <n v="0"/>
    <n v="24.31"/>
    <n v="0"/>
    <n v="0"/>
    <n v="27.784726797371405"/>
    <m/>
    <m/>
    <n v="194.48"/>
    <n v="0"/>
    <n v="0"/>
    <n v="222.27781437897124"/>
    <n v="0"/>
    <n v="0"/>
  </r>
  <r>
    <s v="Sistema de Compensação"/>
    <x v="1"/>
    <x v="3"/>
    <x v="5"/>
    <x v="0"/>
    <x v="2"/>
    <x v="0"/>
    <x v="0"/>
    <x v="10"/>
    <n v="6779"/>
    <n v="6779"/>
    <n v="0"/>
    <n v="0"/>
    <n v="0"/>
    <n v="0"/>
    <n v="38"/>
    <x v="2"/>
    <n v="0"/>
    <n v="44"/>
    <n v="0"/>
    <n v="0"/>
    <n v="24.31"/>
    <n v="0"/>
    <n v="0"/>
    <n v="27.784726797371405"/>
    <m/>
    <m/>
    <n v="164797.49"/>
    <n v="0"/>
    <n v="0"/>
    <n v="188352.66295938074"/>
    <n v="0"/>
    <n v="0"/>
  </r>
  <r>
    <s v="Regular"/>
    <x v="1"/>
    <x v="3"/>
    <x v="5"/>
    <x v="0"/>
    <x v="2"/>
    <x v="0"/>
    <x v="0"/>
    <x v="10"/>
    <n v="2175"/>
    <n v="2175"/>
    <n v="0"/>
    <n v="0"/>
    <n v="0"/>
    <n v="0"/>
    <n v="2"/>
    <x v="1"/>
    <n v="0"/>
    <n v="44"/>
    <n v="0"/>
    <n v="0"/>
    <n v="24.31"/>
    <n v="0"/>
    <n v="0"/>
    <n v="27.784726797371405"/>
    <m/>
    <m/>
    <n v="52874.25"/>
    <n v="0"/>
    <n v="0"/>
    <n v="60431.780784282804"/>
    <n v="0"/>
    <n v="0"/>
  </r>
  <r>
    <s v="PROJETADO"/>
    <x v="1"/>
    <x v="3"/>
    <x v="5"/>
    <x v="0"/>
    <x v="2"/>
    <x v="0"/>
    <x v="0"/>
    <x v="11"/>
    <n v="47206"/>
    <n v="47206"/>
    <n v="0"/>
    <n v="0"/>
    <n v="0"/>
    <n v="0"/>
    <n v="432"/>
    <x v="2"/>
    <n v="0"/>
    <n v="44"/>
    <n v="0"/>
    <n v="0"/>
    <n v="24.31"/>
    <n v="0"/>
    <n v="0"/>
    <n v="27.784726797371405"/>
    <m/>
    <m/>
    <n v="1147577.8599999999"/>
    <n v="0"/>
    <n v="0"/>
    <n v="1311605.8131967145"/>
    <n v="0"/>
    <n v="0"/>
  </r>
  <r>
    <s v="PROJETADO"/>
    <x v="1"/>
    <x v="3"/>
    <x v="5"/>
    <x v="0"/>
    <x v="2"/>
    <x v="0"/>
    <x v="0"/>
    <x v="11"/>
    <n v="8"/>
    <n v="8"/>
    <n v="0"/>
    <n v="0"/>
    <n v="0"/>
    <n v="0"/>
    <n v="-2"/>
    <x v="2"/>
    <n v="0"/>
    <n v="44"/>
    <n v="0"/>
    <n v="0"/>
    <n v="24.31"/>
    <n v="0"/>
    <n v="0"/>
    <n v="27.784726797371405"/>
    <m/>
    <m/>
    <n v="194.48"/>
    <n v="0"/>
    <n v="0"/>
    <n v="222.27781437897124"/>
    <n v="0"/>
    <n v="0"/>
  </r>
  <r>
    <s v="PROJETADO"/>
    <x v="1"/>
    <x v="3"/>
    <x v="5"/>
    <x v="0"/>
    <x v="2"/>
    <x v="0"/>
    <x v="0"/>
    <x v="11"/>
    <n v="6779"/>
    <n v="6779"/>
    <n v="0"/>
    <n v="0"/>
    <n v="0"/>
    <n v="0"/>
    <n v="38"/>
    <x v="2"/>
    <n v="0"/>
    <n v="44"/>
    <n v="0"/>
    <n v="0"/>
    <n v="24.31"/>
    <n v="0"/>
    <n v="0"/>
    <n v="27.784726797371405"/>
    <m/>
    <m/>
    <n v="164797.49"/>
    <n v="0"/>
    <n v="0"/>
    <n v="188352.66295938074"/>
    <n v="0"/>
    <n v="0"/>
  </r>
  <r>
    <s v="PROJETADO"/>
    <x v="1"/>
    <x v="3"/>
    <x v="5"/>
    <x v="0"/>
    <x v="2"/>
    <x v="0"/>
    <x v="0"/>
    <x v="11"/>
    <n v="2175"/>
    <n v="2175"/>
    <n v="0"/>
    <n v="0"/>
    <n v="0"/>
    <n v="0"/>
    <n v="2"/>
    <x v="1"/>
    <n v="0"/>
    <n v="44"/>
    <n v="0"/>
    <n v="0"/>
    <n v="24.31"/>
    <n v="0"/>
    <n v="0"/>
    <n v="27.784726797371405"/>
    <m/>
    <m/>
    <n v="52874.25"/>
    <n v="0"/>
    <n v="0"/>
    <n v="60431.780784282804"/>
    <n v="0"/>
    <n v="0"/>
  </r>
  <r>
    <s v="Regular"/>
    <x v="1"/>
    <x v="3"/>
    <x v="5"/>
    <x v="0"/>
    <x v="2"/>
    <x v="0"/>
    <x v="2"/>
    <x v="0"/>
    <n v="0"/>
    <n v="0"/>
    <n v="678.03399999999999"/>
    <n v="678.03399999999999"/>
    <n v="678.03399999999999"/>
    <n v="678.03399999999999"/>
    <n v="0"/>
    <x v="2"/>
    <n v="0"/>
    <n v="0"/>
    <n v="20"/>
    <n v="88"/>
    <n v="0"/>
    <n v="1564.59"/>
    <n v="365.5"/>
    <m/>
    <n v="1922.323293423678"/>
    <n v="382.75425465660959"/>
    <n v="0"/>
    <n v="1060845.21606"/>
    <n v="247821.427"/>
    <n v="0"/>
    <n v="1303400.5519332301"/>
    <n v="259520.39830183962"/>
  </r>
  <r>
    <s v="Sistema de Compensação"/>
    <x v="1"/>
    <x v="3"/>
    <x v="5"/>
    <x v="0"/>
    <x v="2"/>
    <x v="0"/>
    <x v="2"/>
    <x v="0"/>
    <n v="0"/>
    <n v="0"/>
    <n v="40.098999999999997"/>
    <n v="40.098999999999997"/>
    <n v="40.098999999999997"/>
    <n v="40.098999999999997"/>
    <n v="0"/>
    <x v="2"/>
    <n v="0"/>
    <n v="0"/>
    <n v="20"/>
    <n v="88"/>
    <n v="0"/>
    <n v="1564.59"/>
    <n v="365.5"/>
    <m/>
    <n v="1922.323293423678"/>
    <n v="382.75425465660959"/>
    <n v="0"/>
    <n v="62738.494409999992"/>
    <n v="14656.184499999999"/>
    <n v="0"/>
    <n v="77083.241742996062"/>
    <n v="15348.062857475386"/>
  </r>
  <r>
    <s v="Regular"/>
    <x v="1"/>
    <x v="3"/>
    <x v="5"/>
    <x v="0"/>
    <x v="2"/>
    <x v="0"/>
    <x v="2"/>
    <x v="0"/>
    <n v="0"/>
    <n v="0"/>
    <n v="3.9510000000000001"/>
    <n v="3.9510000000000001"/>
    <n v="0"/>
    <n v="0"/>
    <n v="0"/>
    <x v="1"/>
    <n v="0"/>
    <n v="0"/>
    <n v="20"/>
    <n v="0"/>
    <n v="0"/>
    <n v="1564.59"/>
    <n v="0"/>
    <m/>
    <n v="1922.323293423678"/>
    <m/>
    <n v="0"/>
    <n v="6181.6950900000002"/>
    <n v="0"/>
    <n v="0"/>
    <n v="7595.0993323169523"/>
    <n v="0"/>
  </r>
  <r>
    <s v="Regular"/>
    <x v="1"/>
    <x v="3"/>
    <x v="5"/>
    <x v="0"/>
    <x v="2"/>
    <x v="0"/>
    <x v="2"/>
    <x v="1"/>
    <n v="0"/>
    <n v="0"/>
    <n v="641.56100000000004"/>
    <n v="641.56100000000004"/>
    <n v="641.56100000000004"/>
    <n v="641.56100000000004"/>
    <n v="0"/>
    <x v="2"/>
    <n v="0"/>
    <n v="0"/>
    <n v="20"/>
    <n v="88"/>
    <n v="0"/>
    <n v="1564.59"/>
    <n v="365.5"/>
    <m/>
    <n v="1922.323293423678"/>
    <n v="382.75425465660959"/>
    <n v="0"/>
    <n v="1003779.92499"/>
    <n v="234490.54550000001"/>
    <n v="0"/>
    <n v="1233287.6544521884"/>
    <n v="245560.20237174912"/>
  </r>
  <r>
    <s v="Refaturamento - Regular"/>
    <x v="1"/>
    <x v="3"/>
    <x v="5"/>
    <x v="0"/>
    <x v="2"/>
    <x v="0"/>
    <x v="2"/>
    <x v="1"/>
    <n v="0"/>
    <n v="0"/>
    <n v="-4.3600000000000003"/>
    <n v="-4.3600000000000003"/>
    <n v="-4.3600000000000003"/>
    <n v="-4.3600000000000003"/>
    <n v="0"/>
    <x v="2"/>
    <n v="0"/>
    <n v="0"/>
    <n v="20"/>
    <n v="88"/>
    <n v="0"/>
    <n v="1564.59"/>
    <n v="365.5"/>
    <m/>
    <n v="1922.323293423678"/>
    <n v="382.75425465660959"/>
    <n v="0"/>
    <n v="-6821.6124"/>
    <n v="-1593.5800000000002"/>
    <n v="0"/>
    <n v="-8381.329559327236"/>
    <n v="-1668.8085503028178"/>
  </r>
  <r>
    <s v="Sistema de Compensação"/>
    <x v="1"/>
    <x v="3"/>
    <x v="5"/>
    <x v="0"/>
    <x v="2"/>
    <x v="0"/>
    <x v="2"/>
    <x v="1"/>
    <n v="0"/>
    <n v="0"/>
    <n v="43.762999999999998"/>
    <n v="43.762999999999998"/>
    <n v="43.762999999999998"/>
    <n v="43.762999999999998"/>
    <n v="0"/>
    <x v="2"/>
    <n v="0"/>
    <n v="0"/>
    <n v="20"/>
    <n v="88"/>
    <n v="0"/>
    <n v="1564.59"/>
    <n v="365.5"/>
    <m/>
    <n v="1922.323293423678"/>
    <n v="382.75425465660959"/>
    <n v="0"/>
    <n v="68471.152169999987"/>
    <n v="15995.376499999998"/>
    <n v="0"/>
    <n v="84126.634290100425"/>
    <n v="16750.474446537206"/>
  </r>
  <r>
    <s v="Sistema de Compensação"/>
    <x v="1"/>
    <x v="3"/>
    <x v="5"/>
    <x v="0"/>
    <x v="2"/>
    <x v="0"/>
    <x v="2"/>
    <x v="1"/>
    <n v="0"/>
    <n v="0"/>
    <n v="-0.06"/>
    <n v="-0.06"/>
    <n v="-0.06"/>
    <n v="-0.06"/>
    <n v="0"/>
    <x v="2"/>
    <n v="0"/>
    <n v="0"/>
    <n v="20"/>
    <n v="88"/>
    <n v="0"/>
    <n v="1564.59"/>
    <n v="365.5"/>
    <m/>
    <n v="1922.323293423678"/>
    <n v="382.75425465660959"/>
    <n v="0"/>
    <n v="-93.875399999999985"/>
    <n v="-21.93"/>
    <n v="0"/>
    <n v="-115.33939760542067"/>
    <n v="-22.965255279396576"/>
  </r>
  <r>
    <s v="Regular"/>
    <x v="1"/>
    <x v="3"/>
    <x v="5"/>
    <x v="0"/>
    <x v="2"/>
    <x v="0"/>
    <x v="2"/>
    <x v="1"/>
    <n v="0"/>
    <n v="0"/>
    <n v="3.718"/>
    <n v="3.718"/>
    <n v="0"/>
    <n v="0"/>
    <n v="0"/>
    <x v="1"/>
    <n v="0"/>
    <n v="0"/>
    <n v="20"/>
    <n v="0"/>
    <n v="0"/>
    <n v="1564.59"/>
    <n v="0"/>
    <m/>
    <n v="1922.323293423678"/>
    <m/>
    <n v="0"/>
    <n v="5817.1456199999993"/>
    <n v="0"/>
    <n v="0"/>
    <n v="7147.1980049492349"/>
    <n v="0"/>
  </r>
  <r>
    <s v="Regular"/>
    <x v="1"/>
    <x v="3"/>
    <x v="5"/>
    <x v="0"/>
    <x v="2"/>
    <x v="0"/>
    <x v="2"/>
    <x v="2"/>
    <n v="0"/>
    <n v="0"/>
    <n v="636.63099999999997"/>
    <n v="636.63099999999997"/>
    <n v="636.63099999999997"/>
    <n v="636.63099999999997"/>
    <n v="0"/>
    <x v="2"/>
    <n v="0"/>
    <n v="0"/>
    <n v="20"/>
    <n v="88"/>
    <n v="0"/>
    <n v="1564.59"/>
    <n v="365.5"/>
    <m/>
    <n v="1922.323293423678"/>
    <n v="382.75425465660959"/>
    <n v="0"/>
    <n v="996066.49628999992"/>
    <n v="232688.6305"/>
    <n v="0"/>
    <n v="1223810.6006156094"/>
    <n v="243673.22389629201"/>
  </r>
  <r>
    <s v="Refaturamento - Regular"/>
    <x v="1"/>
    <x v="3"/>
    <x v="5"/>
    <x v="0"/>
    <x v="2"/>
    <x v="0"/>
    <x v="2"/>
    <x v="2"/>
    <n v="0"/>
    <n v="0"/>
    <n v="-4.4550000000000001"/>
    <n v="-4.4550000000000001"/>
    <n v="-4.4550000000000001"/>
    <n v="-4.4550000000000001"/>
    <n v="0"/>
    <x v="2"/>
    <n v="0"/>
    <n v="0"/>
    <n v="20"/>
    <n v="88"/>
    <n v="0"/>
    <n v="1564.59"/>
    <n v="365.5"/>
    <m/>
    <n v="1922.323293423678"/>
    <n v="382.75425465660959"/>
    <n v="0"/>
    <n v="-6970.24845"/>
    <n v="-1628.3025"/>
    <n v="0"/>
    <n v="-8563.9502722024863"/>
    <n v="-1705.1702044951958"/>
  </r>
  <r>
    <s v="Sistema de Compensação"/>
    <x v="1"/>
    <x v="3"/>
    <x v="5"/>
    <x v="0"/>
    <x v="2"/>
    <x v="0"/>
    <x v="2"/>
    <x v="2"/>
    <n v="0"/>
    <n v="0"/>
    <n v="37.39"/>
    <n v="37.39"/>
    <n v="37.39"/>
    <n v="37.39"/>
    <n v="0"/>
    <x v="2"/>
    <n v="0"/>
    <n v="0"/>
    <n v="20"/>
    <n v="88"/>
    <n v="0"/>
    <n v="1564.59"/>
    <n v="365.5"/>
    <m/>
    <n v="1922.323293423678"/>
    <n v="382.75425465660959"/>
    <n v="0"/>
    <n v="58500.020099999994"/>
    <n v="13666.045"/>
    <n v="0"/>
    <n v="71875.667941111329"/>
    <n v="14311.181581610634"/>
  </r>
  <r>
    <s v="Regular"/>
    <x v="1"/>
    <x v="3"/>
    <x v="5"/>
    <x v="0"/>
    <x v="2"/>
    <x v="0"/>
    <x v="2"/>
    <x v="2"/>
    <n v="0"/>
    <n v="0"/>
    <n v="5.8410000000000002"/>
    <n v="5.8410000000000002"/>
    <n v="0"/>
    <n v="0"/>
    <n v="0"/>
    <x v="1"/>
    <n v="0"/>
    <n v="0"/>
    <n v="20"/>
    <n v="0"/>
    <n v="0"/>
    <n v="1564.59"/>
    <n v="0"/>
    <m/>
    <n v="1922.323293423678"/>
    <m/>
    <n v="0"/>
    <n v="9138.7701899999993"/>
    <n v="0"/>
    <n v="0"/>
    <n v="11228.290356887705"/>
    <n v="0"/>
  </r>
  <r>
    <s v="Regular"/>
    <x v="1"/>
    <x v="3"/>
    <x v="5"/>
    <x v="0"/>
    <x v="2"/>
    <x v="0"/>
    <x v="2"/>
    <x v="3"/>
    <n v="0"/>
    <n v="0"/>
    <n v="641.88599999999997"/>
    <n v="641.88599999999997"/>
    <n v="641.88599999999997"/>
    <n v="641.88599999999997"/>
    <n v="0"/>
    <x v="2"/>
    <n v="0"/>
    <n v="0"/>
    <n v="20"/>
    <n v="88"/>
    <n v="0"/>
    <n v="1564.59"/>
    <n v="365.5"/>
    <m/>
    <n v="1922.323293423678"/>
    <n v="382.75425465660959"/>
    <n v="0"/>
    <n v="1004288.4167399999"/>
    <n v="234609.33299999998"/>
    <n v="0"/>
    <n v="1233912.4095225509"/>
    <n v="245684.59750451249"/>
  </r>
  <r>
    <s v="Refaturamento - Regular"/>
    <x v="1"/>
    <x v="3"/>
    <x v="5"/>
    <x v="0"/>
    <x v="2"/>
    <x v="0"/>
    <x v="2"/>
    <x v="3"/>
    <n v="0"/>
    <n v="0"/>
    <n v="4.2699999999999996"/>
    <n v="4.2699999999999996"/>
    <n v="4.2699999999999996"/>
    <n v="4.2699999999999996"/>
    <n v="0"/>
    <x v="2"/>
    <n v="0"/>
    <n v="0"/>
    <n v="20"/>
    <n v="88"/>
    <n v="0"/>
    <n v="1564.59"/>
    <n v="365.5"/>
    <m/>
    <n v="1922.323293423678"/>
    <n v="382.75425465660959"/>
    <n v="0"/>
    <n v="6680.7992999999988"/>
    <n v="1560.6849999999999"/>
    <n v="0"/>
    <n v="8208.3204629191041"/>
    <n v="1634.3606673837228"/>
  </r>
  <r>
    <s v="Sistema de Compensação"/>
    <x v="1"/>
    <x v="3"/>
    <x v="5"/>
    <x v="0"/>
    <x v="2"/>
    <x v="0"/>
    <x v="2"/>
    <x v="3"/>
    <n v="0"/>
    <n v="0"/>
    <n v="39"/>
    <n v="39"/>
    <n v="39"/>
    <n v="39"/>
    <n v="0"/>
    <x v="2"/>
    <n v="0"/>
    <n v="0"/>
    <n v="20"/>
    <n v="88"/>
    <n v="0"/>
    <n v="1564.59"/>
    <n v="365.5"/>
    <m/>
    <n v="1922.323293423678"/>
    <n v="382.75425465660959"/>
    <n v="0"/>
    <n v="61019.009999999995"/>
    <n v="14254.5"/>
    <n v="0"/>
    <n v="74970.608443523437"/>
    <n v="14927.415931607775"/>
  </r>
  <r>
    <s v="Regular"/>
    <x v="1"/>
    <x v="3"/>
    <x v="5"/>
    <x v="0"/>
    <x v="2"/>
    <x v="0"/>
    <x v="2"/>
    <x v="3"/>
    <n v="0"/>
    <n v="0"/>
    <n v="26.3"/>
    <n v="26.3"/>
    <n v="0"/>
    <n v="0"/>
    <n v="0"/>
    <x v="1"/>
    <n v="0"/>
    <n v="0"/>
    <n v="20"/>
    <n v="0"/>
    <n v="0"/>
    <n v="1564.59"/>
    <n v="0"/>
    <m/>
    <n v="1922.323293423678"/>
    <m/>
    <n v="0"/>
    <n v="41148.716999999997"/>
    <n v="0"/>
    <n v="0"/>
    <n v="50557.102617042736"/>
    <n v="0"/>
  </r>
  <r>
    <s v="Regular"/>
    <x v="1"/>
    <x v="3"/>
    <x v="5"/>
    <x v="0"/>
    <x v="2"/>
    <x v="0"/>
    <x v="2"/>
    <x v="4"/>
    <n v="0"/>
    <n v="0"/>
    <n v="686.34699999999998"/>
    <n v="686.34699999999998"/>
    <n v="686.34699999999998"/>
    <n v="686.34699999999998"/>
    <n v="0"/>
    <x v="2"/>
    <n v="0"/>
    <n v="0"/>
    <n v="20"/>
    <n v="88"/>
    <n v="0"/>
    <n v="1564.59"/>
    <n v="365.5"/>
    <m/>
    <n v="1922.323293423678"/>
    <n v="382.75425465660959"/>
    <n v="0"/>
    <n v="1073851.65273"/>
    <n v="250859.8285"/>
    <n v="0"/>
    <n v="1319380.8254714611"/>
    <n v="262702.2344208"/>
  </r>
  <r>
    <s v="Sistema de Compensação"/>
    <x v="1"/>
    <x v="3"/>
    <x v="5"/>
    <x v="0"/>
    <x v="2"/>
    <x v="0"/>
    <x v="2"/>
    <x v="4"/>
    <n v="0"/>
    <n v="0"/>
    <n v="39.442"/>
    <n v="39.442"/>
    <n v="39.442"/>
    <n v="39.442"/>
    <n v="0"/>
    <x v="2"/>
    <n v="0"/>
    <n v="0"/>
    <n v="20"/>
    <n v="88"/>
    <n v="0"/>
    <n v="1564.59"/>
    <n v="365.5"/>
    <m/>
    <n v="1922.323293423678"/>
    <n v="382.75425465660959"/>
    <n v="0"/>
    <n v="61710.558779999999"/>
    <n v="14416.050999999999"/>
    <n v="0"/>
    <n v="75820.275339216707"/>
    <n v="15096.593312165996"/>
  </r>
  <r>
    <s v="Regular"/>
    <x v="1"/>
    <x v="3"/>
    <x v="5"/>
    <x v="0"/>
    <x v="2"/>
    <x v="0"/>
    <x v="2"/>
    <x v="4"/>
    <n v="0"/>
    <n v="0"/>
    <n v="20.62"/>
    <n v="20.62"/>
    <n v="0"/>
    <n v="0"/>
    <n v="0"/>
    <x v="1"/>
    <n v="0"/>
    <n v="0"/>
    <n v="20"/>
    <n v="0"/>
    <n v="0"/>
    <n v="1564.59"/>
    <n v="0"/>
    <m/>
    <n v="1922.323293423678"/>
    <m/>
    <n v="0"/>
    <n v="32261.845799999999"/>
    <n v="0"/>
    <n v="0"/>
    <n v="39638.306310396241"/>
    <n v="0"/>
  </r>
  <r>
    <s v="Regular"/>
    <x v="1"/>
    <x v="3"/>
    <x v="5"/>
    <x v="0"/>
    <x v="2"/>
    <x v="0"/>
    <x v="2"/>
    <x v="5"/>
    <n v="0"/>
    <n v="0"/>
    <n v="700.45100000000002"/>
    <n v="700.45100000000002"/>
    <n v="700.45100000000002"/>
    <n v="700.45100000000002"/>
    <n v="0"/>
    <x v="2"/>
    <n v="0"/>
    <n v="0"/>
    <n v="20"/>
    <n v="88"/>
    <n v="0"/>
    <n v="1564.59"/>
    <n v="365.5"/>
    <m/>
    <n v="1922.323293423678"/>
    <n v="382.75425465660959"/>
    <n v="0"/>
    <n v="1095918.6300899999"/>
    <n v="256014.84050000002"/>
    <n v="0"/>
    <n v="1346493.2732019087"/>
    <n v="268100.60042847687"/>
  </r>
  <r>
    <s v="Sistema de Compensação"/>
    <x v="1"/>
    <x v="3"/>
    <x v="5"/>
    <x v="0"/>
    <x v="2"/>
    <x v="0"/>
    <x v="2"/>
    <x v="5"/>
    <n v="0"/>
    <n v="0"/>
    <n v="50.274000000000001"/>
    <n v="50.274000000000001"/>
    <n v="50.274000000000001"/>
    <n v="50.274000000000001"/>
    <n v="0"/>
    <x v="2"/>
    <n v="0"/>
    <n v="0"/>
    <n v="20"/>
    <n v="88"/>
    <n v="0"/>
    <n v="1564.59"/>
    <n v="365.5"/>
    <m/>
    <n v="1922.323293423678"/>
    <n v="382.75425465660959"/>
    <n v="0"/>
    <n v="78658.197659999991"/>
    <n v="18375.147000000001"/>
    <n v="0"/>
    <n v="96642.881253581989"/>
    <n v="19242.587398606393"/>
  </r>
  <r>
    <s v="Regular"/>
    <x v="1"/>
    <x v="3"/>
    <x v="5"/>
    <x v="0"/>
    <x v="2"/>
    <x v="0"/>
    <x v="2"/>
    <x v="5"/>
    <n v="0"/>
    <n v="0"/>
    <n v="11.423"/>
    <n v="11.423"/>
    <n v="0"/>
    <n v="0"/>
    <n v="0"/>
    <x v="1"/>
    <n v="0"/>
    <n v="0"/>
    <n v="20"/>
    <n v="0"/>
    <n v="0"/>
    <n v="1564.59"/>
    <n v="0"/>
    <m/>
    <n v="1922.323293423678"/>
    <m/>
    <n v="0"/>
    <n v="17872.311569999998"/>
    <n v="0"/>
    <n v="0"/>
    <n v="21958.698980778674"/>
    <n v="0"/>
  </r>
  <r>
    <s v="Regular"/>
    <x v="1"/>
    <x v="3"/>
    <x v="5"/>
    <x v="0"/>
    <x v="2"/>
    <x v="0"/>
    <x v="2"/>
    <x v="6"/>
    <n v="0"/>
    <n v="0"/>
    <n v="716.50099999999998"/>
    <n v="716.50099999999998"/>
    <n v="716.50099999999998"/>
    <n v="716.50099999999998"/>
    <n v="0"/>
    <x v="2"/>
    <n v="0"/>
    <n v="0"/>
    <n v="20"/>
    <n v="88"/>
    <n v="0"/>
    <n v="1564.59"/>
    <n v="365.5"/>
    <m/>
    <n v="1922.323293423678"/>
    <n v="382.75425465660959"/>
    <n v="0"/>
    <n v="1121030.29959"/>
    <n v="261881.11549999999"/>
    <n v="0"/>
    <n v="1377346.5620613587"/>
    <n v="274243.80621571542"/>
  </r>
  <r>
    <s v="Sistema de Compensação"/>
    <x v="1"/>
    <x v="3"/>
    <x v="5"/>
    <x v="0"/>
    <x v="2"/>
    <x v="0"/>
    <x v="2"/>
    <x v="6"/>
    <n v="0"/>
    <n v="0"/>
    <n v="53.237000000000002"/>
    <n v="53.237000000000002"/>
    <n v="53.237000000000002"/>
    <n v="53.237000000000002"/>
    <n v="0"/>
    <x v="2"/>
    <n v="0"/>
    <n v="0"/>
    <n v="20"/>
    <n v="88"/>
    <n v="0"/>
    <n v="1564.59"/>
    <n v="365.5"/>
    <m/>
    <n v="1922.323293423678"/>
    <n v="382.75425465660959"/>
    <n v="0"/>
    <n v="83294.077829999995"/>
    <n v="19458.123500000002"/>
    <n v="0"/>
    <n v="102338.72517199635"/>
    <n v="20376.688255153924"/>
  </r>
  <r>
    <s v="Regular"/>
    <x v="1"/>
    <x v="3"/>
    <x v="5"/>
    <x v="0"/>
    <x v="2"/>
    <x v="0"/>
    <x v="2"/>
    <x v="6"/>
    <n v="0"/>
    <n v="0"/>
    <n v="15.625"/>
    <n v="15.625"/>
    <n v="0"/>
    <n v="0"/>
    <n v="0"/>
    <x v="1"/>
    <n v="0"/>
    <n v="0"/>
    <n v="20"/>
    <n v="0"/>
    <n v="0"/>
    <n v="1564.59"/>
    <n v="0"/>
    <m/>
    <n v="1922.323293423678"/>
    <m/>
    <n v="0"/>
    <n v="24446.71875"/>
    <n v="0"/>
    <n v="0"/>
    <n v="30036.301459744969"/>
    <n v="0"/>
  </r>
  <r>
    <s v="Regular"/>
    <x v="1"/>
    <x v="3"/>
    <x v="5"/>
    <x v="0"/>
    <x v="2"/>
    <x v="0"/>
    <x v="2"/>
    <x v="7"/>
    <n v="0"/>
    <n v="0"/>
    <n v="755.91499999999996"/>
    <n v="755.91499999999996"/>
    <n v="755.91499999999996"/>
    <n v="755.91499999999996"/>
    <n v="0"/>
    <x v="2"/>
    <n v="0"/>
    <n v="0"/>
    <n v="20"/>
    <n v="88"/>
    <n v="0"/>
    <n v="1564.59"/>
    <n v="365.5"/>
    <m/>
    <n v="1922.323293423678"/>
    <n v="382.75425465660959"/>
    <n v="0"/>
    <n v="1182697.0498499998"/>
    <n v="276286.9325"/>
    <n v="0"/>
    <n v="1453113.0123483595"/>
    <n v="289329.68240875105"/>
  </r>
  <r>
    <s v="Sistema de Compensação"/>
    <x v="1"/>
    <x v="3"/>
    <x v="5"/>
    <x v="0"/>
    <x v="2"/>
    <x v="0"/>
    <x v="2"/>
    <x v="7"/>
    <n v="0"/>
    <n v="0"/>
    <n v="63.789000000000001"/>
    <n v="63.789000000000001"/>
    <n v="63.789000000000001"/>
    <n v="63.789000000000001"/>
    <n v="0"/>
    <x v="2"/>
    <n v="0"/>
    <n v="0"/>
    <n v="20"/>
    <n v="88"/>
    <n v="0"/>
    <n v="1564.59"/>
    <n v="365.5"/>
    <m/>
    <n v="1922.323293423678"/>
    <n v="382.75425465660959"/>
    <n v="0"/>
    <n v="99803.631509999992"/>
    <n v="23314.879499999999"/>
    <n v="0"/>
    <n v="122623.080564203"/>
    <n v="24415.511150290469"/>
  </r>
  <r>
    <s v="Regular"/>
    <x v="1"/>
    <x v="3"/>
    <x v="5"/>
    <x v="0"/>
    <x v="2"/>
    <x v="0"/>
    <x v="2"/>
    <x v="7"/>
    <n v="0"/>
    <n v="0"/>
    <n v="7.4509999999999996"/>
    <n v="7.4509999999999996"/>
    <n v="0"/>
    <n v="0"/>
    <n v="0"/>
    <x v="1"/>
    <n v="0"/>
    <n v="0"/>
    <n v="20"/>
    <n v="0"/>
    <n v="0"/>
    <n v="1564.59"/>
    <n v="0"/>
    <m/>
    <n v="1922.323293423678"/>
    <m/>
    <n v="0"/>
    <n v="11657.760089999998"/>
    <n v="0"/>
    <n v="0"/>
    <n v="14323.230859299823"/>
    <n v="0"/>
  </r>
  <r>
    <s v="Regular"/>
    <x v="1"/>
    <x v="3"/>
    <x v="5"/>
    <x v="0"/>
    <x v="2"/>
    <x v="0"/>
    <x v="2"/>
    <x v="8"/>
    <n v="0"/>
    <n v="0"/>
    <n v="761.98800000000006"/>
    <n v="761.98800000000006"/>
    <n v="761.98800000000006"/>
    <n v="761.98800000000006"/>
    <n v="0"/>
    <x v="2"/>
    <n v="0"/>
    <n v="0"/>
    <n v="20"/>
    <n v="88"/>
    <n v="0"/>
    <n v="1564.59"/>
    <n v="365.5"/>
    <m/>
    <n v="1922.323293423678"/>
    <n v="382.75425465660959"/>
    <n v="0"/>
    <n v="1192198.80492"/>
    <n v="278506.614"/>
    <n v="0"/>
    <n v="1464787.2817093218"/>
    <n v="291654.14899728063"/>
  </r>
  <r>
    <s v="Sistema de Compensação"/>
    <x v="1"/>
    <x v="3"/>
    <x v="5"/>
    <x v="0"/>
    <x v="2"/>
    <x v="0"/>
    <x v="2"/>
    <x v="8"/>
    <n v="0"/>
    <n v="0"/>
    <n v="73.396000000000001"/>
    <n v="73.396000000000001"/>
    <n v="73.396000000000001"/>
    <n v="73.396000000000001"/>
    <n v="0"/>
    <x v="2"/>
    <n v="0"/>
    <n v="0"/>
    <n v="20"/>
    <n v="88"/>
    <n v="0"/>
    <n v="1564.59"/>
    <n v="365.5"/>
    <m/>
    <n v="1922.323293423678"/>
    <n v="382.75425465660959"/>
    <n v="0"/>
    <n v="114834.64764"/>
    <n v="26826.238000000001"/>
    <n v="0"/>
    <n v="141090.84044412427"/>
    <n v="28092.631274776519"/>
  </r>
  <r>
    <s v="Sistema de Compensação"/>
    <x v="1"/>
    <x v="3"/>
    <x v="5"/>
    <x v="0"/>
    <x v="2"/>
    <x v="0"/>
    <x v="2"/>
    <x v="8"/>
    <n v="0"/>
    <n v="0"/>
    <n v="-11.34"/>
    <n v="-11.34"/>
    <n v="-11.34"/>
    <n v="-11.34"/>
    <n v="0"/>
    <x v="2"/>
    <n v="0"/>
    <n v="0"/>
    <n v="20"/>
    <n v="88"/>
    <n v="0"/>
    <n v="1564.59"/>
    <n v="365.5"/>
    <m/>
    <n v="1922.323293423678"/>
    <n v="382.75425465660959"/>
    <n v="0"/>
    <n v="-17742.4506"/>
    <n v="-4144.7699999999995"/>
    <n v="0"/>
    <n v="-21799.146147424508"/>
    <n v="-4340.4332478059523"/>
  </r>
  <r>
    <s v="Regular"/>
    <x v="1"/>
    <x v="3"/>
    <x v="5"/>
    <x v="0"/>
    <x v="2"/>
    <x v="0"/>
    <x v="2"/>
    <x v="8"/>
    <n v="0"/>
    <n v="0"/>
    <n v="16.52"/>
    <n v="16.52"/>
    <n v="0"/>
    <n v="0"/>
    <n v="0"/>
    <x v="1"/>
    <n v="0"/>
    <n v="0"/>
    <n v="20"/>
    <n v="0"/>
    <n v="0"/>
    <n v="1564.59"/>
    <n v="0"/>
    <m/>
    <n v="1922.323293423678"/>
    <m/>
    <n v="0"/>
    <n v="25847.0268"/>
    <n v="0"/>
    <n v="0"/>
    <n v="31756.780807359159"/>
    <n v="0"/>
  </r>
  <r>
    <s v="Regular"/>
    <x v="1"/>
    <x v="3"/>
    <x v="5"/>
    <x v="0"/>
    <x v="2"/>
    <x v="0"/>
    <x v="2"/>
    <x v="9"/>
    <n v="0"/>
    <n v="0"/>
    <n v="710.97"/>
    <n v="710.97"/>
    <n v="710.97"/>
    <n v="710.97"/>
    <n v="0"/>
    <x v="2"/>
    <n v="0"/>
    <n v="0"/>
    <n v="20"/>
    <n v="88"/>
    <n v="0"/>
    <n v="1564.59"/>
    <n v="365.5"/>
    <m/>
    <n v="1922.323293423678"/>
    <n v="382.75425465660959"/>
    <n v="0"/>
    <n v="1112376.5523000001"/>
    <n v="259859.535"/>
    <n v="0"/>
    <n v="1366714.1919254325"/>
    <n v="272126.79243320972"/>
  </r>
  <r>
    <s v="Sistema de Compensação"/>
    <x v="1"/>
    <x v="3"/>
    <x v="5"/>
    <x v="0"/>
    <x v="2"/>
    <x v="0"/>
    <x v="2"/>
    <x v="9"/>
    <n v="0"/>
    <n v="0"/>
    <n v="72.305999999999997"/>
    <n v="72.305999999999997"/>
    <n v="72.305999999999997"/>
    <n v="72.305999999999997"/>
    <n v="0"/>
    <x v="2"/>
    <n v="0"/>
    <n v="0"/>
    <n v="20"/>
    <n v="88"/>
    <n v="0"/>
    <n v="1564.59"/>
    <n v="365.5"/>
    <m/>
    <n v="1922.323293423678"/>
    <n v="382.75425465660959"/>
    <n v="0"/>
    <n v="113129.24453999999"/>
    <n v="26427.843000000001"/>
    <n v="0"/>
    <n v="138995.50805429247"/>
    <n v="27675.429137200812"/>
  </r>
  <r>
    <s v="Sistema de Compensação"/>
    <x v="1"/>
    <x v="3"/>
    <x v="5"/>
    <x v="0"/>
    <x v="2"/>
    <x v="0"/>
    <x v="2"/>
    <x v="9"/>
    <n v="0"/>
    <n v="0"/>
    <n v="1.4650000000000001"/>
    <n v="1.4650000000000001"/>
    <n v="1.4650000000000001"/>
    <n v="1.4650000000000001"/>
    <n v="0"/>
    <x v="2"/>
    <n v="0"/>
    <n v="0"/>
    <n v="20"/>
    <n v="88"/>
    <n v="0"/>
    <n v="1564.59"/>
    <n v="365.5"/>
    <m/>
    <n v="1922.323293423678"/>
    <n v="382.75425465660959"/>
    <n v="0"/>
    <n v="2292.12435"/>
    <n v="535.45749999999998"/>
    <n v="0"/>
    <n v="2816.2036248656887"/>
    <n v="560.73498307193313"/>
  </r>
  <r>
    <s v="Regular"/>
    <x v="1"/>
    <x v="3"/>
    <x v="5"/>
    <x v="0"/>
    <x v="2"/>
    <x v="0"/>
    <x v="2"/>
    <x v="9"/>
    <n v="0"/>
    <n v="0"/>
    <n v="20.579000000000001"/>
    <n v="20.579000000000001"/>
    <n v="0"/>
    <n v="0"/>
    <n v="0"/>
    <x v="1"/>
    <n v="0"/>
    <n v="0"/>
    <n v="20"/>
    <n v="0"/>
    <n v="0"/>
    <n v="1564.59"/>
    <n v="0"/>
    <m/>
    <n v="1922.323293423678"/>
    <m/>
    <n v="0"/>
    <n v="32197.697609999999"/>
    <n v="0"/>
    <n v="0"/>
    <n v="39559.49105536587"/>
    <n v="0"/>
  </r>
  <r>
    <s v="Regular"/>
    <x v="1"/>
    <x v="3"/>
    <x v="5"/>
    <x v="0"/>
    <x v="2"/>
    <x v="0"/>
    <x v="2"/>
    <x v="10"/>
    <n v="0"/>
    <n v="0"/>
    <n v="689.31"/>
    <n v="689.31"/>
    <n v="689.31"/>
    <n v="689.31"/>
    <n v="0"/>
    <x v="2"/>
    <n v="0"/>
    <n v="0"/>
    <n v="20"/>
    <n v="88"/>
    <n v="0"/>
    <n v="1564.59"/>
    <n v="365.5"/>
    <m/>
    <n v="1922.323293423678"/>
    <n v="382.75425465660959"/>
    <n v="0"/>
    <n v="1078487.5328999998"/>
    <n v="251942.80499999999"/>
    <n v="0"/>
    <n v="1325076.6693898754"/>
    <n v="263836.33527734753"/>
  </r>
  <r>
    <s v="Refaturamento - Regular"/>
    <x v="1"/>
    <x v="3"/>
    <x v="5"/>
    <x v="0"/>
    <x v="2"/>
    <x v="0"/>
    <x v="2"/>
    <x v="10"/>
    <n v="0"/>
    <n v="0"/>
    <n v="-4.6669999999999998"/>
    <n v="-4.6669999999999998"/>
    <n v="-4.6669999999999998"/>
    <n v="-4.6669999999999998"/>
    <n v="0"/>
    <x v="2"/>
    <n v="0"/>
    <n v="0"/>
    <n v="20"/>
    <n v="88"/>
    <n v="0"/>
    <n v="1564.59"/>
    <n v="365.5"/>
    <m/>
    <n v="1922.323293423678"/>
    <n v="382.75425465660959"/>
    <n v="0"/>
    <n v="-7301.9415299999991"/>
    <n v="-1705.7884999999999"/>
    <n v="0"/>
    <n v="-8971.4828104083044"/>
    <n v="-1786.3141064823969"/>
  </r>
  <r>
    <s v="Sistema de Compensação"/>
    <x v="1"/>
    <x v="3"/>
    <x v="5"/>
    <x v="0"/>
    <x v="2"/>
    <x v="0"/>
    <x v="2"/>
    <x v="10"/>
    <n v="0"/>
    <n v="0"/>
    <n v="81.218000000000004"/>
    <n v="81.218000000000004"/>
    <n v="81.218000000000004"/>
    <n v="81.218000000000004"/>
    <n v="0"/>
    <x v="2"/>
    <n v="0"/>
    <n v="0"/>
    <n v="20"/>
    <n v="88"/>
    <n v="0"/>
    <n v="1564.59"/>
    <n v="365.5"/>
    <m/>
    <n v="1922.323293423678"/>
    <n v="382.75425465660959"/>
    <n v="0"/>
    <n v="127072.87062"/>
    <n v="29685.179"/>
    <n v="0"/>
    <n v="156127.25324528429"/>
    <n v="31086.535054700518"/>
  </r>
  <r>
    <s v="Regular"/>
    <x v="1"/>
    <x v="3"/>
    <x v="5"/>
    <x v="0"/>
    <x v="2"/>
    <x v="0"/>
    <x v="2"/>
    <x v="10"/>
    <n v="0"/>
    <n v="0"/>
    <n v="13.175000000000001"/>
    <n v="13.175000000000001"/>
    <n v="0"/>
    <n v="0"/>
    <n v="0"/>
    <x v="1"/>
    <n v="0"/>
    <n v="0"/>
    <n v="20"/>
    <n v="0"/>
    <n v="0"/>
    <n v="1564.59"/>
    <n v="0"/>
    <m/>
    <n v="1922.323293423678"/>
    <m/>
    <n v="0"/>
    <n v="20613.473249999999"/>
    <n v="0"/>
    <n v="0"/>
    <n v="25326.60939085696"/>
    <n v="0"/>
  </r>
  <r>
    <s v="Refaturamento - Regular"/>
    <x v="1"/>
    <x v="3"/>
    <x v="5"/>
    <x v="0"/>
    <x v="2"/>
    <x v="0"/>
    <x v="2"/>
    <x v="10"/>
    <n v="0"/>
    <n v="0"/>
    <n v="-8.6020000000000003"/>
    <n v="-8.6020000000000003"/>
    <n v="0"/>
    <n v="0"/>
    <n v="0"/>
    <x v="1"/>
    <n v="0"/>
    <n v="0"/>
    <n v="20"/>
    <n v="0"/>
    <n v="0"/>
    <n v="1564.59"/>
    <n v="0"/>
    <m/>
    <n v="1922.323293423678"/>
    <m/>
    <n v="0"/>
    <n v="-13458.60318"/>
    <n v="0"/>
    <n v="0"/>
    <n v="-16535.82497003048"/>
    <n v="0"/>
  </r>
  <r>
    <s v="PROJETADO"/>
    <x v="1"/>
    <x v="3"/>
    <x v="5"/>
    <x v="0"/>
    <x v="2"/>
    <x v="0"/>
    <x v="2"/>
    <x v="11"/>
    <n v="0"/>
    <n v="0"/>
    <n v="689.31"/>
    <n v="689.31"/>
    <n v="689.31"/>
    <n v="689.31"/>
    <n v="0"/>
    <x v="2"/>
    <n v="0"/>
    <n v="0"/>
    <n v="20"/>
    <n v="88"/>
    <n v="0"/>
    <n v="1564.59"/>
    <n v="365.5"/>
    <m/>
    <n v="1922.323293423678"/>
    <n v="382.75425465660959"/>
    <n v="0"/>
    <n v="1078487.5328999998"/>
    <n v="251942.80499999999"/>
    <n v="0"/>
    <n v="1325076.6693898754"/>
    <n v="263836.33527734753"/>
  </r>
  <r>
    <s v="PROJETADO"/>
    <x v="1"/>
    <x v="3"/>
    <x v="5"/>
    <x v="0"/>
    <x v="2"/>
    <x v="0"/>
    <x v="2"/>
    <x v="11"/>
    <n v="0"/>
    <n v="0"/>
    <n v="-4.6669999999999998"/>
    <n v="-4.6669999999999998"/>
    <n v="-4.6669999999999998"/>
    <n v="-4.6669999999999998"/>
    <n v="0"/>
    <x v="2"/>
    <n v="0"/>
    <n v="0"/>
    <n v="20"/>
    <n v="88"/>
    <n v="0"/>
    <n v="1564.59"/>
    <n v="365.5"/>
    <m/>
    <n v="1922.323293423678"/>
    <n v="382.75425465660959"/>
    <n v="0"/>
    <n v="-7301.9415299999991"/>
    <n v="-1705.7884999999999"/>
    <n v="0"/>
    <n v="-8971.4828104083044"/>
    <n v="-1786.3141064823969"/>
  </r>
  <r>
    <s v="PROJETADO"/>
    <x v="1"/>
    <x v="3"/>
    <x v="5"/>
    <x v="0"/>
    <x v="2"/>
    <x v="0"/>
    <x v="2"/>
    <x v="11"/>
    <n v="0"/>
    <n v="0"/>
    <n v="81.218000000000004"/>
    <n v="81.218000000000004"/>
    <n v="81.218000000000004"/>
    <n v="81.218000000000004"/>
    <n v="0"/>
    <x v="2"/>
    <n v="0"/>
    <n v="0"/>
    <n v="20"/>
    <n v="88"/>
    <n v="0"/>
    <n v="1564.59"/>
    <n v="365.5"/>
    <m/>
    <n v="1922.323293423678"/>
    <n v="382.75425465660959"/>
    <n v="0"/>
    <n v="127072.87062"/>
    <n v="29685.179"/>
    <n v="0"/>
    <n v="156127.25324528429"/>
    <n v="31086.535054700518"/>
  </r>
  <r>
    <s v="PROJETADO"/>
    <x v="1"/>
    <x v="3"/>
    <x v="5"/>
    <x v="0"/>
    <x v="2"/>
    <x v="0"/>
    <x v="2"/>
    <x v="11"/>
    <n v="0"/>
    <n v="0"/>
    <n v="13.175000000000001"/>
    <n v="13.175000000000001"/>
    <n v="0"/>
    <n v="0"/>
    <n v="0"/>
    <x v="1"/>
    <n v="0"/>
    <n v="0"/>
    <n v="20"/>
    <n v="0"/>
    <n v="0"/>
    <n v="1564.59"/>
    <n v="0"/>
    <m/>
    <n v="1922.323293423678"/>
    <m/>
    <n v="0"/>
    <n v="20613.473249999999"/>
    <n v="0"/>
    <n v="0"/>
    <n v="25326.60939085696"/>
    <n v="0"/>
  </r>
  <r>
    <s v="PROJETADO"/>
    <x v="1"/>
    <x v="3"/>
    <x v="5"/>
    <x v="0"/>
    <x v="2"/>
    <x v="0"/>
    <x v="2"/>
    <x v="11"/>
    <n v="0"/>
    <n v="0"/>
    <n v="-8.6020000000000003"/>
    <n v="-8.6020000000000003"/>
    <n v="0"/>
    <n v="0"/>
    <n v="0"/>
    <x v="1"/>
    <n v="0"/>
    <n v="0"/>
    <n v="20"/>
    <n v="0"/>
    <n v="0"/>
    <n v="1564.59"/>
    <n v="0"/>
    <m/>
    <n v="1922.323293423678"/>
    <m/>
    <n v="0"/>
    <n v="-13458.60318"/>
    <n v="0"/>
    <n v="0"/>
    <n v="-16535.82497003048"/>
    <n v="0"/>
  </r>
  <r>
    <s v="Regular"/>
    <x v="1"/>
    <x v="3"/>
    <x v="6"/>
    <x v="0"/>
    <x v="2"/>
    <x v="0"/>
    <x v="1"/>
    <x v="0"/>
    <n v="0"/>
    <n v="0"/>
    <n v="82.25"/>
    <n v="82.25"/>
    <n v="82.25"/>
    <n v="82.25"/>
    <n v="0"/>
    <x v="2"/>
    <n v="0"/>
    <n v="0"/>
    <n v="21"/>
    <n v="89"/>
    <n v="0"/>
    <n v="51.27"/>
    <n v="222.31"/>
    <m/>
    <n v="66.787442987613147"/>
    <n v="236.64237028527376"/>
    <n v="0"/>
    <n v="4216.9575000000004"/>
    <n v="18284.997500000001"/>
    <n v="0"/>
    <n v="5493.2671857311816"/>
    <n v="19463.834955963768"/>
  </r>
  <r>
    <s v="Regular"/>
    <x v="1"/>
    <x v="3"/>
    <x v="6"/>
    <x v="0"/>
    <x v="2"/>
    <x v="0"/>
    <x v="1"/>
    <x v="1"/>
    <n v="0"/>
    <n v="0"/>
    <n v="72.099999999999994"/>
    <n v="72.099999999999994"/>
    <n v="72.099999999999994"/>
    <n v="72.099999999999994"/>
    <n v="0"/>
    <x v="2"/>
    <n v="0"/>
    <n v="0"/>
    <n v="21"/>
    <n v="89"/>
    <n v="0"/>
    <n v="51.27"/>
    <n v="222.31"/>
    <m/>
    <n v="66.787442987613147"/>
    <n v="236.64237028527376"/>
    <n v="0"/>
    <n v="3696.567"/>
    <n v="16028.550999999999"/>
    <n v="0"/>
    <n v="4815.3746394069076"/>
    <n v="17061.914897568236"/>
  </r>
  <r>
    <s v="Regular"/>
    <x v="1"/>
    <x v="3"/>
    <x v="6"/>
    <x v="0"/>
    <x v="2"/>
    <x v="0"/>
    <x v="1"/>
    <x v="2"/>
    <n v="0"/>
    <n v="0"/>
    <n v="64.05"/>
    <n v="64.05"/>
    <n v="64.05"/>
    <n v="64.05"/>
    <n v="0"/>
    <x v="2"/>
    <n v="0"/>
    <n v="0"/>
    <n v="21"/>
    <n v="89"/>
    <n v="0"/>
    <n v="51.27"/>
    <n v="222.31"/>
    <m/>
    <n v="66.787442987613147"/>
    <n v="236.64237028527376"/>
    <n v="0"/>
    <n v="3283.8434999999999"/>
    <n v="14238.9555"/>
    <n v="0"/>
    <n v="4277.7357233566217"/>
    <n v="15156.943816771784"/>
  </r>
  <r>
    <s v="Regular"/>
    <x v="1"/>
    <x v="3"/>
    <x v="6"/>
    <x v="0"/>
    <x v="2"/>
    <x v="0"/>
    <x v="1"/>
    <x v="3"/>
    <n v="0"/>
    <n v="0"/>
    <n v="71.05"/>
    <n v="71.05"/>
    <n v="71.05"/>
    <n v="71.05"/>
    <n v="0"/>
    <x v="2"/>
    <n v="0"/>
    <n v="0"/>
    <n v="21"/>
    <n v="89"/>
    <n v="0"/>
    <n v="51.27"/>
    <n v="222.31"/>
    <m/>
    <n v="66.787442987613147"/>
    <n v="236.64237028527376"/>
    <n v="0"/>
    <n v="3642.7335000000003"/>
    <n v="15795.1255"/>
    <n v="0"/>
    <n v="4745.2478242699135"/>
    <n v="16813.4404087687"/>
  </r>
  <r>
    <s v="Regular"/>
    <x v="1"/>
    <x v="3"/>
    <x v="6"/>
    <x v="0"/>
    <x v="2"/>
    <x v="0"/>
    <x v="1"/>
    <x v="4"/>
    <n v="0"/>
    <n v="0"/>
    <n v="74.2"/>
    <n v="74.2"/>
    <n v="74.2"/>
    <n v="74.2"/>
    <n v="0"/>
    <x v="2"/>
    <n v="0"/>
    <n v="0"/>
    <n v="21"/>
    <n v="89"/>
    <n v="0"/>
    <n v="51.27"/>
    <n v="222.31"/>
    <m/>
    <n v="66.787442987613147"/>
    <n v="236.64237028527376"/>
    <n v="0"/>
    <n v="3804.2340000000004"/>
    <n v="16495.402000000002"/>
    <n v="0"/>
    <n v="4955.6282696808958"/>
    <n v="17558.863875167313"/>
  </r>
  <r>
    <s v="Regular"/>
    <x v="1"/>
    <x v="3"/>
    <x v="6"/>
    <x v="0"/>
    <x v="2"/>
    <x v="0"/>
    <x v="1"/>
    <x v="5"/>
    <n v="0"/>
    <n v="0"/>
    <n v="73.5"/>
    <n v="73.5"/>
    <n v="73.5"/>
    <n v="73.5"/>
    <n v="0"/>
    <x v="2"/>
    <n v="0"/>
    <n v="0"/>
    <n v="21"/>
    <n v="89"/>
    <n v="0"/>
    <n v="51.27"/>
    <n v="222.31"/>
    <m/>
    <n v="66.787442987613147"/>
    <n v="236.64237028527376"/>
    <n v="0"/>
    <n v="3768.3450000000003"/>
    <n v="16339.785"/>
    <n v="0"/>
    <n v="4908.8770595895667"/>
    <n v="17393.214215967622"/>
  </r>
  <r>
    <s v="Regular"/>
    <x v="1"/>
    <x v="3"/>
    <x v="6"/>
    <x v="0"/>
    <x v="2"/>
    <x v="0"/>
    <x v="1"/>
    <x v="6"/>
    <n v="0"/>
    <n v="0"/>
    <n v="73.150000000000006"/>
    <n v="73.150000000000006"/>
    <n v="73.150000000000006"/>
    <n v="73.150000000000006"/>
    <n v="0"/>
    <x v="2"/>
    <n v="0"/>
    <n v="0"/>
    <n v="21"/>
    <n v="89"/>
    <n v="0"/>
    <n v="51.27"/>
    <n v="222.31"/>
    <m/>
    <n v="66.787442987613147"/>
    <n v="236.64237028527376"/>
    <n v="0"/>
    <n v="3750.4005000000006"/>
    <n v="16261.976500000001"/>
    <n v="0"/>
    <n v="4885.5014545439017"/>
    <n v="17310.389386367777"/>
  </r>
  <r>
    <s v="Regular"/>
    <x v="1"/>
    <x v="3"/>
    <x v="6"/>
    <x v="0"/>
    <x v="2"/>
    <x v="0"/>
    <x v="1"/>
    <x v="7"/>
    <n v="0"/>
    <n v="0"/>
    <n v="75.25"/>
    <n v="75.25"/>
    <n v="75.25"/>
    <n v="75.25"/>
    <n v="0"/>
    <x v="2"/>
    <n v="0"/>
    <n v="0"/>
    <n v="21"/>
    <n v="89"/>
    <n v="0"/>
    <n v="51.27"/>
    <n v="222.31"/>
    <m/>
    <n v="66.787442987613147"/>
    <n v="236.64237028527376"/>
    <n v="0"/>
    <n v="3858.0675000000001"/>
    <n v="16728.827499999999"/>
    <n v="0"/>
    <n v="5025.7550848178889"/>
    <n v="17807.33836396685"/>
  </r>
  <r>
    <s v="Regular"/>
    <x v="1"/>
    <x v="3"/>
    <x v="6"/>
    <x v="0"/>
    <x v="2"/>
    <x v="0"/>
    <x v="1"/>
    <x v="8"/>
    <n v="0"/>
    <n v="0"/>
    <n v="75.599999999999994"/>
    <n v="75.599999999999994"/>
    <n v="75.599999999999994"/>
    <n v="75.599999999999994"/>
    <n v="0"/>
    <x v="2"/>
    <n v="0"/>
    <n v="0"/>
    <n v="21"/>
    <n v="89"/>
    <n v="0"/>
    <n v="51.27"/>
    <n v="222.31"/>
    <m/>
    <n v="66.787442987613147"/>
    <n v="236.64237028527376"/>
    <n v="0"/>
    <n v="3876.0120000000002"/>
    <n v="16806.635999999999"/>
    <n v="0"/>
    <n v="5049.1306898635539"/>
    <n v="17890.163193566696"/>
  </r>
  <r>
    <s v="Regular"/>
    <x v="1"/>
    <x v="3"/>
    <x v="6"/>
    <x v="0"/>
    <x v="2"/>
    <x v="0"/>
    <x v="1"/>
    <x v="9"/>
    <n v="0"/>
    <n v="0"/>
    <n v="78.706000000000003"/>
    <n v="78.706000000000003"/>
    <n v="78.706000000000003"/>
    <n v="78.706000000000003"/>
    <n v="0"/>
    <x v="2"/>
    <n v="0"/>
    <n v="0"/>
    <n v="21"/>
    <n v="89"/>
    <n v="0"/>
    <n v="51.27"/>
    <n v="222.31"/>
    <m/>
    <n v="66.787442987613147"/>
    <n v="236.64237028527376"/>
    <n v="0"/>
    <n v="4035.2566200000006"/>
    <n v="17497.130860000001"/>
    <n v="0"/>
    <n v="5256.5724877830808"/>
    <n v="18625.174395672759"/>
  </r>
  <r>
    <s v="Regular"/>
    <x v="1"/>
    <x v="3"/>
    <x v="6"/>
    <x v="0"/>
    <x v="2"/>
    <x v="0"/>
    <x v="1"/>
    <x v="10"/>
    <n v="0"/>
    <n v="0"/>
    <n v="77.076999999999998"/>
    <n v="77.076999999999998"/>
    <n v="77.076999999999998"/>
    <n v="77.076999999999998"/>
    <n v="0"/>
    <x v="2"/>
    <n v="0"/>
    <n v="0"/>
    <n v="21"/>
    <n v="89"/>
    <n v="0"/>
    <n v="51.27"/>
    <n v="222.31"/>
    <m/>
    <n v="66.787442987613147"/>
    <n v="236.64237028527376"/>
    <n v="0"/>
    <n v="3951.7377900000001"/>
    <n v="17134.987870000001"/>
    <n v="0"/>
    <n v="5147.7757431562586"/>
    <n v="18239.683974478045"/>
  </r>
  <r>
    <s v="PROJETADO"/>
    <x v="1"/>
    <x v="3"/>
    <x v="6"/>
    <x v="0"/>
    <x v="2"/>
    <x v="0"/>
    <x v="1"/>
    <x v="11"/>
    <n v="0"/>
    <n v="0"/>
    <n v="77.076999999999998"/>
    <n v="77.076999999999998"/>
    <n v="77.076999999999998"/>
    <n v="77.076999999999998"/>
    <n v="0"/>
    <x v="2"/>
    <n v="0"/>
    <n v="0"/>
    <n v="21"/>
    <n v="89"/>
    <n v="0"/>
    <n v="51.27"/>
    <n v="222.31"/>
    <m/>
    <n v="66.787442987613147"/>
    <n v="236.64237028527376"/>
    <n v="0"/>
    <n v="3951.7377900000001"/>
    <n v="17134.987870000001"/>
    <n v="0"/>
    <n v="5147.7757431562586"/>
    <n v="18239.683974478045"/>
  </r>
  <r>
    <s v="Regular"/>
    <x v="1"/>
    <x v="3"/>
    <x v="6"/>
    <x v="0"/>
    <x v="2"/>
    <x v="0"/>
    <x v="0"/>
    <x v="0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1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2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3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4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5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6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7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8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9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0"/>
    <x v="10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PROJETADO"/>
    <x v="1"/>
    <x v="3"/>
    <x v="6"/>
    <x v="0"/>
    <x v="2"/>
    <x v="0"/>
    <x v="0"/>
    <x v="11"/>
    <n v="410"/>
    <n v="410"/>
    <n v="0"/>
    <n v="0"/>
    <n v="0"/>
    <n v="0"/>
    <n v="1"/>
    <x v="2"/>
    <n v="0"/>
    <n v="44"/>
    <n v="0"/>
    <n v="0"/>
    <n v="24.31"/>
    <n v="0"/>
    <n v="0"/>
    <n v="27.784726797371405"/>
    <m/>
    <m/>
    <n v="9967.1"/>
    <n v="0"/>
    <n v="0"/>
    <n v="11391.737986922277"/>
    <n v="0"/>
    <n v="0"/>
  </r>
  <r>
    <s v="Regular"/>
    <x v="1"/>
    <x v="3"/>
    <x v="6"/>
    <x v="0"/>
    <x v="2"/>
    <x v="0"/>
    <x v="2"/>
    <x v="0"/>
    <n v="0"/>
    <n v="0"/>
    <n v="7.35"/>
    <n v="7.35"/>
    <n v="7.35"/>
    <n v="7.35"/>
    <n v="0"/>
    <x v="2"/>
    <n v="0"/>
    <n v="0"/>
    <n v="20"/>
    <n v="88"/>
    <n v="0"/>
    <n v="1564.59"/>
    <n v="365.5"/>
    <m/>
    <n v="1922.323293423678"/>
    <n v="382.75425465660959"/>
    <n v="0"/>
    <n v="11499.736499999999"/>
    <n v="2686.4249999999997"/>
    <n v="0"/>
    <n v="14129.076206664033"/>
    <n v="2813.2437717260805"/>
  </r>
  <r>
    <s v="Regular"/>
    <x v="1"/>
    <x v="3"/>
    <x v="6"/>
    <x v="0"/>
    <x v="2"/>
    <x v="0"/>
    <x v="2"/>
    <x v="1"/>
    <n v="0"/>
    <n v="0"/>
    <n v="6.3"/>
    <n v="6.3"/>
    <n v="6.3"/>
    <n v="6.3"/>
    <n v="0"/>
    <x v="2"/>
    <n v="0"/>
    <n v="0"/>
    <n v="20"/>
    <n v="88"/>
    <n v="0"/>
    <n v="1564.59"/>
    <n v="365.5"/>
    <m/>
    <n v="1922.323293423678"/>
    <n v="382.75425465660959"/>
    <n v="0"/>
    <n v="9856.9169999999995"/>
    <n v="2302.65"/>
    <n v="0"/>
    <n v="12110.636748569172"/>
    <n v="2411.3518043366403"/>
  </r>
  <r>
    <s v="Regular"/>
    <x v="1"/>
    <x v="3"/>
    <x v="6"/>
    <x v="0"/>
    <x v="2"/>
    <x v="0"/>
    <x v="2"/>
    <x v="2"/>
    <n v="0"/>
    <n v="0"/>
    <n v="5.95"/>
    <n v="5.95"/>
    <n v="5.95"/>
    <n v="5.95"/>
    <n v="0"/>
    <x v="2"/>
    <n v="0"/>
    <n v="0"/>
    <n v="20"/>
    <n v="88"/>
    <n v="0"/>
    <n v="1564.59"/>
    <n v="365.5"/>
    <m/>
    <n v="1922.323293423678"/>
    <n v="382.75425465660959"/>
    <n v="0"/>
    <n v="9309.3104999999996"/>
    <n v="2174.7249999999999"/>
    <n v="0"/>
    <n v="11437.823595870885"/>
    <n v="2277.3878152068273"/>
  </r>
  <r>
    <s v="Regular"/>
    <x v="1"/>
    <x v="3"/>
    <x v="6"/>
    <x v="0"/>
    <x v="2"/>
    <x v="0"/>
    <x v="2"/>
    <x v="3"/>
    <n v="0"/>
    <n v="0"/>
    <n v="6.65"/>
    <n v="6.65"/>
    <n v="6.65"/>
    <n v="6.65"/>
    <n v="0"/>
    <x v="2"/>
    <n v="0"/>
    <n v="0"/>
    <n v="20"/>
    <n v="88"/>
    <n v="0"/>
    <n v="1564.59"/>
    <n v="365.5"/>
    <m/>
    <n v="1922.323293423678"/>
    <n v="382.75425465660959"/>
    <n v="0"/>
    <n v="10404.523499999999"/>
    <n v="2430.5750000000003"/>
    <n v="0"/>
    <n v="12783.449901267459"/>
    <n v="2545.3157934664541"/>
  </r>
  <r>
    <s v="Regular"/>
    <x v="1"/>
    <x v="3"/>
    <x v="6"/>
    <x v="0"/>
    <x v="2"/>
    <x v="0"/>
    <x v="2"/>
    <x v="4"/>
    <n v="0"/>
    <n v="0"/>
    <n v="6.65"/>
    <n v="6.65"/>
    <n v="6.65"/>
    <n v="6.65"/>
    <n v="0"/>
    <x v="2"/>
    <n v="0"/>
    <n v="0"/>
    <n v="20"/>
    <n v="88"/>
    <n v="0"/>
    <n v="1564.59"/>
    <n v="365.5"/>
    <m/>
    <n v="1922.323293423678"/>
    <n v="382.75425465660959"/>
    <n v="0"/>
    <n v="10404.523499999999"/>
    <n v="2430.5750000000003"/>
    <n v="0"/>
    <n v="12783.449901267459"/>
    <n v="2545.3157934664541"/>
  </r>
  <r>
    <s v="Regular"/>
    <x v="1"/>
    <x v="3"/>
    <x v="6"/>
    <x v="0"/>
    <x v="2"/>
    <x v="0"/>
    <x v="2"/>
    <x v="5"/>
    <n v="0"/>
    <n v="0"/>
    <n v="6.65"/>
    <n v="6.65"/>
    <n v="6.65"/>
    <n v="6.65"/>
    <n v="0"/>
    <x v="2"/>
    <n v="0"/>
    <n v="0"/>
    <n v="20"/>
    <n v="88"/>
    <n v="0"/>
    <n v="1564.59"/>
    <n v="365.5"/>
    <m/>
    <n v="1922.323293423678"/>
    <n v="382.75425465660959"/>
    <n v="0"/>
    <n v="10404.523499999999"/>
    <n v="2430.5750000000003"/>
    <n v="0"/>
    <n v="12783.449901267459"/>
    <n v="2545.3157934664541"/>
  </r>
  <r>
    <s v="Regular"/>
    <x v="1"/>
    <x v="3"/>
    <x v="6"/>
    <x v="0"/>
    <x v="2"/>
    <x v="0"/>
    <x v="2"/>
    <x v="6"/>
    <n v="0"/>
    <n v="0"/>
    <n v="5.6"/>
    <n v="5.6"/>
    <n v="5.6"/>
    <n v="5.6"/>
    <n v="0"/>
    <x v="2"/>
    <n v="0"/>
    <n v="0"/>
    <n v="20"/>
    <n v="88"/>
    <n v="0"/>
    <n v="1564.59"/>
    <n v="365.5"/>
    <m/>
    <n v="1922.323293423678"/>
    <n v="382.75425465660959"/>
    <n v="0"/>
    <n v="8761.7039999999997"/>
    <n v="2046.8"/>
    <n v="0"/>
    <n v="10765.010443172596"/>
    <n v="2143.4238260770135"/>
  </r>
  <r>
    <s v="Regular"/>
    <x v="1"/>
    <x v="3"/>
    <x v="6"/>
    <x v="0"/>
    <x v="2"/>
    <x v="0"/>
    <x v="2"/>
    <x v="7"/>
    <n v="0"/>
    <n v="0"/>
    <n v="6.3"/>
    <n v="6.3"/>
    <n v="6.3"/>
    <n v="6.3"/>
    <n v="0"/>
    <x v="2"/>
    <n v="0"/>
    <n v="0"/>
    <n v="20"/>
    <n v="88"/>
    <n v="0"/>
    <n v="1564.59"/>
    <n v="365.5"/>
    <m/>
    <n v="1922.323293423678"/>
    <n v="382.75425465660959"/>
    <n v="0"/>
    <n v="9856.9169999999995"/>
    <n v="2302.65"/>
    <n v="0"/>
    <n v="12110.636748569172"/>
    <n v="2411.3518043366403"/>
  </r>
  <r>
    <s v="Regular"/>
    <x v="1"/>
    <x v="3"/>
    <x v="6"/>
    <x v="0"/>
    <x v="2"/>
    <x v="0"/>
    <x v="2"/>
    <x v="8"/>
    <n v="0"/>
    <n v="0"/>
    <n v="6.3"/>
    <n v="6.3"/>
    <n v="6.3"/>
    <n v="6.3"/>
    <n v="0"/>
    <x v="2"/>
    <n v="0"/>
    <n v="0"/>
    <n v="20"/>
    <n v="88"/>
    <n v="0"/>
    <n v="1564.59"/>
    <n v="365.5"/>
    <m/>
    <n v="1922.323293423678"/>
    <n v="382.75425465660959"/>
    <n v="0"/>
    <n v="9856.9169999999995"/>
    <n v="2302.65"/>
    <n v="0"/>
    <n v="12110.636748569172"/>
    <n v="2411.3518043366403"/>
  </r>
  <r>
    <s v="Regular"/>
    <x v="1"/>
    <x v="3"/>
    <x v="6"/>
    <x v="0"/>
    <x v="2"/>
    <x v="0"/>
    <x v="2"/>
    <x v="9"/>
    <n v="0"/>
    <n v="0"/>
    <n v="6.1779999999999999"/>
    <n v="6.1779999999999999"/>
    <n v="6.1779999999999999"/>
    <n v="6.1779999999999999"/>
    <n v="0"/>
    <x v="2"/>
    <n v="0"/>
    <n v="0"/>
    <n v="20"/>
    <n v="88"/>
    <n v="0"/>
    <n v="1564.59"/>
    <n v="365.5"/>
    <m/>
    <n v="1922.323293423678"/>
    <n v="382.75425465660959"/>
    <n v="0"/>
    <n v="9666.0370199999998"/>
    <n v="2258.0590000000002"/>
    <n v="0"/>
    <n v="11876.113306771482"/>
    <n v="2364.6557852685341"/>
  </r>
  <r>
    <s v="Regular"/>
    <x v="1"/>
    <x v="3"/>
    <x v="6"/>
    <x v="0"/>
    <x v="2"/>
    <x v="0"/>
    <x v="2"/>
    <x v="10"/>
    <n v="0"/>
    <n v="0"/>
    <n v="6.28"/>
    <n v="6.28"/>
    <n v="6.28"/>
    <n v="6.28"/>
    <n v="0"/>
    <x v="2"/>
    <n v="0"/>
    <n v="0"/>
    <n v="20"/>
    <n v="88"/>
    <n v="0"/>
    <n v="1564.59"/>
    <n v="365.5"/>
    <m/>
    <n v="1922.323293423678"/>
    <n v="382.75425465660959"/>
    <n v="0"/>
    <n v="9825.6252000000004"/>
    <n v="2295.34"/>
    <n v="0"/>
    <n v="12072.190282700698"/>
    <n v="2403.6967192435081"/>
  </r>
  <r>
    <s v="PROJETADO"/>
    <x v="1"/>
    <x v="3"/>
    <x v="6"/>
    <x v="0"/>
    <x v="2"/>
    <x v="0"/>
    <x v="2"/>
    <x v="11"/>
    <n v="0"/>
    <n v="0"/>
    <n v="6.28"/>
    <n v="6.28"/>
    <n v="6.28"/>
    <n v="6.28"/>
    <n v="0"/>
    <x v="2"/>
    <n v="0"/>
    <n v="0"/>
    <n v="20"/>
    <n v="88"/>
    <n v="0"/>
    <n v="1564.59"/>
    <n v="365.5"/>
    <m/>
    <n v="1922.323293423678"/>
    <n v="382.75425465660959"/>
    <n v="0"/>
    <n v="9825.6252000000004"/>
    <n v="2295.34"/>
    <n v="0"/>
    <n v="12072.190282700698"/>
    <n v="2403.6967192435081"/>
  </r>
  <r>
    <s v="Regular"/>
    <x v="1"/>
    <x v="3"/>
    <x v="0"/>
    <x v="0"/>
    <x v="1"/>
    <x v="0"/>
    <x v="1"/>
    <x v="0"/>
    <n v="0"/>
    <n v="0"/>
    <n v="6159.0150000000003"/>
    <n v="6159.0150000000003"/>
    <n v="0"/>
    <n v="0"/>
    <n v="0"/>
    <x v="1"/>
    <n v="0"/>
    <n v="0"/>
    <n v="21"/>
    <n v="0"/>
    <n v="0"/>
    <n v="51.27"/>
    <n v="0"/>
    <m/>
    <n v="66.787442987613147"/>
    <m/>
    <n v="0"/>
    <n v="315772.69905000005"/>
    <n v="0"/>
    <n v="0"/>
    <n v="411344.86317235423"/>
    <n v="0"/>
  </r>
  <r>
    <s v="Regular"/>
    <x v="1"/>
    <x v="3"/>
    <x v="0"/>
    <x v="0"/>
    <x v="1"/>
    <x v="0"/>
    <x v="1"/>
    <x v="1"/>
    <n v="0"/>
    <n v="0"/>
    <n v="5798.2060000000001"/>
    <n v="5798.2060000000001"/>
    <n v="0"/>
    <n v="0"/>
    <n v="0"/>
    <x v="1"/>
    <n v="0"/>
    <n v="0"/>
    <n v="21"/>
    <n v="0"/>
    <n v="0"/>
    <n v="51.27"/>
    <n v="0"/>
    <m/>
    <n v="66.787442987613147"/>
    <m/>
    <n v="0"/>
    <n v="297274.02162000001"/>
    <n v="0"/>
    <n v="0"/>
    <n v="387247.35265543649"/>
    <n v="0"/>
  </r>
  <r>
    <s v="Regular"/>
    <x v="1"/>
    <x v="3"/>
    <x v="0"/>
    <x v="0"/>
    <x v="1"/>
    <x v="0"/>
    <x v="1"/>
    <x v="2"/>
    <n v="0"/>
    <n v="0"/>
    <n v="5700.5879999999997"/>
    <n v="5700.5879999999997"/>
    <n v="0"/>
    <n v="0"/>
    <n v="0"/>
    <x v="1"/>
    <n v="0"/>
    <n v="0"/>
    <n v="21"/>
    <n v="0"/>
    <n v="0"/>
    <n v="51.27"/>
    <n v="0"/>
    <m/>
    <n v="66.787442987613147"/>
    <m/>
    <n v="0"/>
    <n v="292269.14676000003"/>
    <n v="0"/>
    <n v="0"/>
    <n v="380727.69604587165"/>
    <n v="0"/>
  </r>
  <r>
    <s v="Regular"/>
    <x v="1"/>
    <x v="3"/>
    <x v="0"/>
    <x v="0"/>
    <x v="1"/>
    <x v="0"/>
    <x v="1"/>
    <x v="3"/>
    <n v="0"/>
    <n v="0"/>
    <n v="5409.0119999999997"/>
    <n v="5409.0119999999997"/>
    <n v="0"/>
    <n v="0"/>
    <n v="0"/>
    <x v="1"/>
    <n v="0"/>
    <n v="0"/>
    <n v="21"/>
    <n v="0"/>
    <n v="0"/>
    <n v="51.27"/>
    <n v="0"/>
    <m/>
    <n v="66.787442987613147"/>
    <m/>
    <n v="0"/>
    <n v="277320.04524000001"/>
    <n v="0"/>
    <n v="0"/>
    <n v="361254.08056931535"/>
    <n v="0"/>
  </r>
  <r>
    <s v="Regular"/>
    <x v="1"/>
    <x v="3"/>
    <x v="0"/>
    <x v="0"/>
    <x v="1"/>
    <x v="0"/>
    <x v="1"/>
    <x v="4"/>
    <n v="0"/>
    <n v="0"/>
    <n v="5621.5079999999998"/>
    <n v="5621.5079999999998"/>
    <n v="0"/>
    <n v="0"/>
    <n v="0"/>
    <x v="1"/>
    <n v="0"/>
    <n v="0"/>
    <n v="21"/>
    <n v="0"/>
    <n v="0"/>
    <n v="51.27"/>
    <n v="0"/>
    <m/>
    <n v="66.787442987613147"/>
    <m/>
    <n v="0"/>
    <n v="288214.71516000002"/>
    <n v="0"/>
    <n v="0"/>
    <n v="375446.1450544112"/>
    <n v="0"/>
  </r>
  <r>
    <s v="Regular"/>
    <x v="1"/>
    <x v="3"/>
    <x v="0"/>
    <x v="0"/>
    <x v="1"/>
    <x v="0"/>
    <x v="1"/>
    <x v="5"/>
    <n v="0"/>
    <n v="0"/>
    <n v="7134.8580000000002"/>
    <n v="7134.8580000000002"/>
    <n v="0"/>
    <n v="0"/>
    <n v="0"/>
    <x v="1"/>
    <n v="0"/>
    <n v="0"/>
    <n v="21"/>
    <n v="0"/>
    <n v="0"/>
    <n v="51.27"/>
    <n v="0"/>
    <m/>
    <n v="66.787442987613147"/>
    <m/>
    <n v="0"/>
    <n v="365804.16966000001"/>
    <n v="0"/>
    <n v="0"/>
    <n v="476518.92189971555"/>
    <n v="0"/>
  </r>
  <r>
    <s v="Regular"/>
    <x v="1"/>
    <x v="3"/>
    <x v="0"/>
    <x v="0"/>
    <x v="1"/>
    <x v="0"/>
    <x v="1"/>
    <x v="6"/>
    <n v="0"/>
    <n v="0"/>
    <n v="7308.808"/>
    <n v="7308.808"/>
    <n v="0"/>
    <n v="0"/>
    <n v="0"/>
    <x v="1"/>
    <n v="0"/>
    <n v="0"/>
    <n v="21"/>
    <n v="0"/>
    <n v="0"/>
    <n v="51.27"/>
    <n v="0"/>
    <m/>
    <n v="66.787442987613147"/>
    <m/>
    <n v="0"/>
    <n v="374722.58616000001"/>
    <n v="0"/>
    <n v="0"/>
    <n v="488136.59760741086"/>
    <n v="0"/>
  </r>
  <r>
    <s v="Regular"/>
    <x v="1"/>
    <x v="3"/>
    <x v="0"/>
    <x v="0"/>
    <x v="1"/>
    <x v="0"/>
    <x v="1"/>
    <x v="7"/>
    <n v="0"/>
    <n v="0"/>
    <n v="8182.6310000000003"/>
    <n v="8182.6310000000003"/>
    <n v="0"/>
    <n v="0"/>
    <n v="0"/>
    <x v="1"/>
    <n v="0"/>
    <n v="0"/>
    <n v="21"/>
    <n v="0"/>
    <n v="0"/>
    <n v="51.27"/>
    <n v="0"/>
    <m/>
    <n v="66.787442987613147"/>
    <m/>
    <n v="0"/>
    <n v="419523.49137000006"/>
    <n v="0"/>
    <n v="0"/>
    <n v="546497.00140117598"/>
    <n v="0"/>
  </r>
  <r>
    <s v="Regular"/>
    <x v="1"/>
    <x v="3"/>
    <x v="0"/>
    <x v="0"/>
    <x v="1"/>
    <x v="0"/>
    <x v="1"/>
    <x v="8"/>
    <n v="0"/>
    <n v="0"/>
    <n v="7914.6170000000002"/>
    <n v="7914.6170000000002"/>
    <n v="0"/>
    <n v="0"/>
    <n v="0"/>
    <x v="1"/>
    <n v="0"/>
    <n v="0"/>
    <n v="21"/>
    <n v="0"/>
    <n v="0"/>
    <n v="51.27"/>
    <n v="0"/>
    <m/>
    <n v="66.787442987613147"/>
    <m/>
    <n v="0"/>
    <n v="405782.41359000001"/>
    <n v="0"/>
    <n v="0"/>
    <n v="528597.03165629378"/>
    <n v="0"/>
  </r>
  <r>
    <s v="Regular"/>
    <x v="1"/>
    <x v="3"/>
    <x v="0"/>
    <x v="0"/>
    <x v="1"/>
    <x v="0"/>
    <x v="1"/>
    <x v="9"/>
    <n v="0"/>
    <n v="0"/>
    <n v="8449.2540000000008"/>
    <n v="8449.2540000000008"/>
    <n v="0"/>
    <n v="0"/>
    <n v="0"/>
    <x v="1"/>
    <n v="0"/>
    <n v="0"/>
    <n v="21"/>
    <n v="0"/>
    <n v="0"/>
    <n v="51.27"/>
    <n v="0"/>
    <m/>
    <n v="66.787442987613147"/>
    <m/>
    <n v="0"/>
    <n v="433193.25258000009"/>
    <n v="0"/>
    <n v="0"/>
    <n v="564304.06981286244"/>
    <n v="0"/>
  </r>
  <r>
    <s v="Regular"/>
    <x v="1"/>
    <x v="3"/>
    <x v="0"/>
    <x v="0"/>
    <x v="1"/>
    <x v="0"/>
    <x v="1"/>
    <x v="10"/>
    <n v="0"/>
    <n v="0"/>
    <n v="8613.9060000000009"/>
    <n v="8613.9060000000009"/>
    <n v="0"/>
    <n v="0"/>
    <n v="0"/>
    <x v="1"/>
    <n v="0"/>
    <n v="0"/>
    <n v="21"/>
    <n v="0"/>
    <n v="0"/>
    <n v="51.27"/>
    <n v="0"/>
    <m/>
    <n v="66.787442987613147"/>
    <m/>
    <n v="0"/>
    <n v="441634.96062000009"/>
    <n v="0"/>
    <n v="0"/>
    <n v="575300.75587565883"/>
    <n v="0"/>
  </r>
  <r>
    <s v="PROJETADO"/>
    <x v="1"/>
    <x v="3"/>
    <x v="0"/>
    <x v="0"/>
    <x v="1"/>
    <x v="0"/>
    <x v="1"/>
    <x v="11"/>
    <n v="0"/>
    <n v="0"/>
    <n v="8613.9060000000009"/>
    <n v="8613.9060000000009"/>
    <n v="0"/>
    <n v="0"/>
    <n v="0"/>
    <x v="1"/>
    <n v="0"/>
    <n v="0"/>
    <n v="21"/>
    <n v="0"/>
    <n v="0"/>
    <n v="51.27"/>
    <n v="0"/>
    <m/>
    <n v="66.787442987613147"/>
    <m/>
    <n v="0"/>
    <n v="441634.96062000009"/>
    <n v="0"/>
    <n v="0"/>
    <n v="575300.75587565883"/>
    <n v="0"/>
  </r>
  <r>
    <s v="Regular"/>
    <x v="1"/>
    <x v="3"/>
    <x v="0"/>
    <x v="0"/>
    <x v="1"/>
    <x v="0"/>
    <x v="0"/>
    <x v="0"/>
    <n v="23269"/>
    <n v="10642.111355429999"/>
    <n v="0"/>
    <n v="0"/>
    <n v="0"/>
    <n v="0"/>
    <n v="42"/>
    <x v="1"/>
    <n v="0"/>
    <n v="44"/>
    <n v="0"/>
    <n v="0"/>
    <n v="24.31"/>
    <n v="0"/>
    <n v="0"/>
    <n v="27.784726797371405"/>
    <m/>
    <m/>
    <n v="258709.72705050325"/>
    <n v="0"/>
    <n v="0"/>
    <n v="295688.15655782644"/>
    <n v="0"/>
    <n v="0"/>
  </r>
  <r>
    <s v="Regular"/>
    <x v="1"/>
    <x v="3"/>
    <x v="0"/>
    <x v="0"/>
    <x v="1"/>
    <x v="0"/>
    <x v="0"/>
    <x v="1"/>
    <n v="23235"/>
    <n v="12628.432544400001"/>
    <n v="0"/>
    <n v="0"/>
    <n v="0"/>
    <n v="0"/>
    <n v="43"/>
    <x v="1"/>
    <n v="0"/>
    <n v="44"/>
    <n v="0"/>
    <n v="0"/>
    <n v="24.31"/>
    <n v="0"/>
    <n v="0"/>
    <n v="27.784726797371405"/>
    <m/>
    <m/>
    <n v="306997.19515436399"/>
    <n v="0"/>
    <n v="0"/>
    <n v="350877.54812518787"/>
    <n v="0"/>
    <n v="0"/>
  </r>
  <r>
    <s v="Regular"/>
    <x v="1"/>
    <x v="3"/>
    <x v="0"/>
    <x v="0"/>
    <x v="1"/>
    <x v="0"/>
    <x v="0"/>
    <x v="2"/>
    <n v="24006"/>
    <n v="12884.823440759999"/>
    <n v="0"/>
    <n v="0"/>
    <n v="0"/>
    <n v="0"/>
    <n v="45"/>
    <x v="1"/>
    <n v="0"/>
    <n v="44"/>
    <n v="0"/>
    <n v="0"/>
    <n v="24.31"/>
    <n v="0"/>
    <n v="0"/>
    <n v="27.784726797371405"/>
    <m/>
    <m/>
    <n v="313230.05784487556"/>
    <n v="0"/>
    <n v="0"/>
    <n v="358001.29913388361"/>
    <n v="0"/>
    <n v="0"/>
  </r>
  <r>
    <s v="Regular"/>
    <x v="1"/>
    <x v="3"/>
    <x v="0"/>
    <x v="0"/>
    <x v="1"/>
    <x v="0"/>
    <x v="0"/>
    <x v="3"/>
    <n v="24430"/>
    <n v="11263.2457994"/>
    <n v="0"/>
    <n v="0"/>
    <n v="0"/>
    <n v="0"/>
    <n v="48"/>
    <x v="1"/>
    <n v="0"/>
    <n v="44"/>
    <n v="0"/>
    <n v="0"/>
    <n v="24.31"/>
    <n v="0"/>
    <n v="0"/>
    <n v="27.784726797371405"/>
    <m/>
    <m/>
    <n v="273809.50538341398"/>
    <n v="0"/>
    <n v="0"/>
    <n v="312946.20738797006"/>
    <n v="0"/>
    <n v="0"/>
  </r>
  <r>
    <s v="Regular"/>
    <x v="1"/>
    <x v="3"/>
    <x v="0"/>
    <x v="0"/>
    <x v="1"/>
    <x v="0"/>
    <x v="0"/>
    <x v="4"/>
    <n v="22743"/>
    <n v="10533.04655508"/>
    <n v="0"/>
    <n v="0"/>
    <n v="0"/>
    <n v="0"/>
    <n v="45"/>
    <x v="1"/>
    <n v="0"/>
    <n v="44"/>
    <n v="0"/>
    <n v="0"/>
    <n v="24.31"/>
    <n v="0"/>
    <n v="0"/>
    <n v="27.784726797371405"/>
    <m/>
    <m/>
    <n v="256058.36175399477"/>
    <n v="0"/>
    <n v="0"/>
    <n v="292657.82087689184"/>
    <n v="0"/>
    <n v="0"/>
  </r>
  <r>
    <s v="Regular"/>
    <x v="1"/>
    <x v="3"/>
    <x v="0"/>
    <x v="0"/>
    <x v="1"/>
    <x v="0"/>
    <x v="0"/>
    <x v="5"/>
    <n v="26726"/>
    <n v="12047.426013"/>
    <n v="0"/>
    <n v="0"/>
    <n v="0"/>
    <n v="0"/>
    <n v="51"/>
    <x v="1"/>
    <n v="0"/>
    <n v="44"/>
    <n v="0"/>
    <n v="0"/>
    <n v="24.31"/>
    <n v="0"/>
    <n v="0"/>
    <n v="27.784726797371405"/>
    <m/>
    <m/>
    <n v="292872.92637602997"/>
    <n v="0"/>
    <n v="0"/>
    <n v="334734.44038275047"/>
    <n v="0"/>
    <n v="0"/>
  </r>
  <r>
    <s v="Regular"/>
    <x v="1"/>
    <x v="3"/>
    <x v="0"/>
    <x v="0"/>
    <x v="1"/>
    <x v="0"/>
    <x v="0"/>
    <x v="6"/>
    <n v="27408"/>
    <n v="12046.95233568"/>
    <n v="0"/>
    <n v="0"/>
    <n v="0"/>
    <n v="0"/>
    <n v="52"/>
    <x v="1"/>
    <n v="0"/>
    <n v="44"/>
    <n v="0"/>
    <n v="0"/>
    <n v="24.31"/>
    <n v="0"/>
    <n v="0"/>
    <n v="27.784726797371405"/>
    <m/>
    <m/>
    <n v="292861.41128038079"/>
    <n v="0"/>
    <n v="0"/>
    <n v="334721.27938782412"/>
    <n v="0"/>
    <n v="0"/>
  </r>
  <r>
    <s v="Regular"/>
    <x v="1"/>
    <x v="3"/>
    <x v="0"/>
    <x v="0"/>
    <x v="1"/>
    <x v="0"/>
    <x v="0"/>
    <x v="7"/>
    <n v="28700"/>
    <n v="13059.603228"/>
    <n v="0"/>
    <n v="0"/>
    <n v="0"/>
    <n v="0"/>
    <n v="54"/>
    <x v="1"/>
    <n v="0"/>
    <n v="44"/>
    <n v="0"/>
    <n v="0"/>
    <n v="24.31"/>
    <n v="0"/>
    <n v="0"/>
    <n v="27.784726797371405"/>
    <m/>
    <m/>
    <n v="317478.95447267999"/>
    <n v="0"/>
    <n v="0"/>
    <n v="362857.50777204969"/>
    <n v="0"/>
    <n v="0"/>
  </r>
  <r>
    <s v="Regular"/>
    <x v="1"/>
    <x v="3"/>
    <x v="0"/>
    <x v="0"/>
    <x v="1"/>
    <x v="0"/>
    <x v="0"/>
    <x v="8"/>
    <n v="28741"/>
    <n v="13238.41529021"/>
    <n v="0"/>
    <n v="0"/>
    <n v="0"/>
    <n v="0"/>
    <n v="54"/>
    <x v="1"/>
    <n v="0"/>
    <n v="44"/>
    <n v="0"/>
    <n v="0"/>
    <n v="24.31"/>
    <n v="0"/>
    <n v="0"/>
    <n v="27.784726797371405"/>
    <m/>
    <m/>
    <n v="321825.87570500508"/>
    <n v="0"/>
    <n v="0"/>
    <n v="367825.75206862914"/>
    <n v="0"/>
    <n v="0"/>
  </r>
  <r>
    <s v="Regular"/>
    <x v="1"/>
    <x v="3"/>
    <x v="0"/>
    <x v="0"/>
    <x v="1"/>
    <x v="0"/>
    <x v="0"/>
    <x v="9"/>
    <n v="30936"/>
    <n v="14142.4681932"/>
    <n v="0"/>
    <n v="0"/>
    <n v="0"/>
    <n v="0"/>
    <n v="61"/>
    <x v="1"/>
    <n v="0"/>
    <n v="44"/>
    <n v="0"/>
    <n v="0"/>
    <n v="24.31"/>
    <n v="0"/>
    <n v="0"/>
    <n v="27.784726797371405"/>
    <m/>
    <m/>
    <n v="343803.40177669202"/>
    <n v="0"/>
    <n v="0"/>
    <n v="392944.6149885768"/>
    <n v="0"/>
    <n v="0"/>
  </r>
  <r>
    <s v="Regular"/>
    <x v="1"/>
    <x v="3"/>
    <x v="0"/>
    <x v="0"/>
    <x v="1"/>
    <x v="0"/>
    <x v="0"/>
    <x v="10"/>
    <n v="31779"/>
    <n v="14638.08270375"/>
    <n v="0"/>
    <n v="0"/>
    <n v="0"/>
    <n v="0"/>
    <n v="69"/>
    <x v="1"/>
    <n v="0"/>
    <n v="44"/>
    <n v="0"/>
    <n v="0"/>
    <n v="24.31"/>
    <n v="0"/>
    <n v="0"/>
    <n v="27.784726797371405"/>
    <m/>
    <m/>
    <n v="355851.7905281625"/>
    <n v="0"/>
    <n v="0"/>
    <n v="406715.12876102154"/>
    <n v="0"/>
    <n v="0"/>
  </r>
  <r>
    <s v="PROJETADO"/>
    <x v="1"/>
    <x v="3"/>
    <x v="0"/>
    <x v="0"/>
    <x v="1"/>
    <x v="0"/>
    <x v="0"/>
    <x v="11"/>
    <n v="31779"/>
    <n v="14638.08270375"/>
    <n v="0"/>
    <n v="0"/>
    <n v="0"/>
    <n v="0"/>
    <n v="69"/>
    <x v="1"/>
    <n v="0"/>
    <n v="44"/>
    <n v="0"/>
    <n v="0"/>
    <n v="24.31"/>
    <n v="0"/>
    <n v="0"/>
    <n v="27.784726797371405"/>
    <m/>
    <m/>
    <n v="355851.7905281625"/>
    <n v="0"/>
    <n v="0"/>
    <n v="406715.12876102154"/>
    <n v="0"/>
    <n v="0"/>
  </r>
  <r>
    <s v="Regular"/>
    <x v="1"/>
    <x v="3"/>
    <x v="0"/>
    <x v="0"/>
    <x v="1"/>
    <x v="0"/>
    <x v="2"/>
    <x v="0"/>
    <n v="0"/>
    <n v="0"/>
    <n v="580.53499999999997"/>
    <n v="285.9499915408"/>
    <n v="0"/>
    <n v="0"/>
    <n v="0"/>
    <x v="1"/>
    <n v="0"/>
    <n v="0"/>
    <n v="20"/>
    <n v="0"/>
    <n v="0"/>
    <n v="1564.59"/>
    <n v="0"/>
    <m/>
    <n v="1922.323293423678"/>
    <m/>
    <n v="0"/>
    <n v="447394.49726482027"/>
    <n v="0"/>
    <n v="0"/>
    <n v="549688.32949318353"/>
    <n v="0"/>
  </r>
  <r>
    <s v="Regular"/>
    <x v="1"/>
    <x v="3"/>
    <x v="0"/>
    <x v="0"/>
    <x v="1"/>
    <x v="0"/>
    <x v="2"/>
    <x v="1"/>
    <n v="0"/>
    <n v="0"/>
    <n v="489.67399999999998"/>
    <n v="254.90256246135999"/>
    <n v="0"/>
    <n v="0"/>
    <n v="0"/>
    <x v="1"/>
    <n v="0"/>
    <n v="0"/>
    <n v="20"/>
    <n v="0"/>
    <n v="0"/>
    <n v="1564.59"/>
    <n v="0"/>
    <m/>
    <n v="1922.323293423678"/>
    <m/>
    <n v="0"/>
    <n v="398818.00020141923"/>
    <n v="0"/>
    <n v="0"/>
    <n v="490005.13337285636"/>
    <n v="0"/>
  </r>
  <r>
    <s v="Regular"/>
    <x v="1"/>
    <x v="3"/>
    <x v="0"/>
    <x v="0"/>
    <x v="1"/>
    <x v="0"/>
    <x v="2"/>
    <x v="2"/>
    <n v="0"/>
    <n v="0"/>
    <n v="470.584"/>
    <n v="230.80871329112"/>
    <n v="0"/>
    <n v="0"/>
    <n v="0"/>
    <x v="1"/>
    <n v="0"/>
    <n v="0"/>
    <n v="20"/>
    <n v="0"/>
    <n v="0"/>
    <n v="1564.59"/>
    <n v="0"/>
    <m/>
    <n v="1922.323293423678"/>
    <m/>
    <n v="0"/>
    <n v="361121.00472815341"/>
    <n v="0"/>
    <n v="0"/>
    <n v="443688.96588466724"/>
    <n v="0"/>
  </r>
  <r>
    <s v="Regular"/>
    <x v="1"/>
    <x v="3"/>
    <x v="0"/>
    <x v="0"/>
    <x v="1"/>
    <x v="0"/>
    <x v="2"/>
    <x v="3"/>
    <n v="0"/>
    <n v="0"/>
    <n v="489.572"/>
    <n v="232.17391540060001"/>
    <n v="0"/>
    <n v="0"/>
    <n v="0"/>
    <x v="1"/>
    <n v="0"/>
    <n v="0"/>
    <n v="20"/>
    <n v="0"/>
    <n v="0"/>
    <n v="1564.59"/>
    <n v="0"/>
    <m/>
    <n v="1922.323293423678"/>
    <m/>
    <n v="0"/>
    <n v="363256.98629662476"/>
    <n v="0"/>
    <n v="0"/>
    <n v="446313.32569995179"/>
    <n v="0"/>
  </r>
  <r>
    <s v="Regular"/>
    <x v="1"/>
    <x v="3"/>
    <x v="0"/>
    <x v="0"/>
    <x v="1"/>
    <x v="0"/>
    <x v="2"/>
    <x v="4"/>
    <n v="0"/>
    <n v="0"/>
    <n v="543.85400000000004"/>
    <n v="262.91474641913999"/>
    <n v="0"/>
    <n v="0"/>
    <n v="0"/>
    <x v="1"/>
    <n v="0"/>
    <n v="0"/>
    <n v="20"/>
    <n v="0"/>
    <n v="0"/>
    <n v="1564.59"/>
    <n v="0"/>
    <m/>
    <n v="1922.323293423678"/>
    <m/>
    <n v="0"/>
    <n v="411353.78309992224"/>
    <n v="0"/>
    <n v="0"/>
    <n v="505407.14122609235"/>
    <n v="0"/>
  </r>
  <r>
    <s v="Regular"/>
    <x v="1"/>
    <x v="3"/>
    <x v="0"/>
    <x v="0"/>
    <x v="1"/>
    <x v="0"/>
    <x v="2"/>
    <x v="5"/>
    <n v="0"/>
    <n v="0"/>
    <n v="632.55899999999997"/>
    <n v="305.00095405322998"/>
    <n v="0"/>
    <n v="0"/>
    <n v="0"/>
    <x v="1"/>
    <n v="0"/>
    <n v="0"/>
    <n v="20"/>
    <n v="0"/>
    <n v="0"/>
    <n v="1564.59"/>
    <n v="0"/>
    <m/>
    <n v="1922.323293423678"/>
    <m/>
    <n v="0"/>
    <n v="477201.44270214305"/>
    <n v="0"/>
    <n v="0"/>
    <n v="586310.43849296891"/>
    <n v="0"/>
  </r>
  <r>
    <s v="Regular"/>
    <x v="1"/>
    <x v="3"/>
    <x v="0"/>
    <x v="0"/>
    <x v="1"/>
    <x v="0"/>
    <x v="2"/>
    <x v="6"/>
    <n v="0"/>
    <n v="0"/>
    <n v="622.37099999999998"/>
    <n v="294.65512708128"/>
    <n v="0"/>
    <n v="0"/>
    <n v="0"/>
    <x v="1"/>
    <n v="0"/>
    <n v="0"/>
    <n v="20"/>
    <n v="0"/>
    <n v="0"/>
    <n v="1564.59"/>
    <n v="0"/>
    <m/>
    <n v="1922.323293423678"/>
    <m/>
    <n v="0"/>
    <n v="461014.46528009983"/>
    <n v="0"/>
    <n v="0"/>
    <n v="566422.4143150585"/>
    <n v="0"/>
  </r>
  <r>
    <s v="Regular"/>
    <x v="1"/>
    <x v="3"/>
    <x v="0"/>
    <x v="0"/>
    <x v="1"/>
    <x v="0"/>
    <x v="2"/>
    <x v="7"/>
    <n v="0"/>
    <n v="0"/>
    <n v="630.06799999999998"/>
    <n v="301.98059141272"/>
    <n v="0"/>
    <n v="0"/>
    <n v="0"/>
    <x v="1"/>
    <n v="0"/>
    <n v="0"/>
    <n v="20"/>
    <n v="0"/>
    <n v="0"/>
    <n v="1564.59"/>
    <n v="0"/>
    <m/>
    <n v="1922.323293423678"/>
    <m/>
    <n v="0"/>
    <n v="472475.81351842755"/>
    <n v="0"/>
    <n v="0"/>
    <n v="580504.32503453002"/>
    <n v="0"/>
  </r>
  <r>
    <s v="Regular"/>
    <x v="1"/>
    <x v="3"/>
    <x v="0"/>
    <x v="0"/>
    <x v="1"/>
    <x v="0"/>
    <x v="2"/>
    <x v="8"/>
    <n v="0"/>
    <n v="0"/>
    <n v="664.03300000000002"/>
    <n v="319.95319841823999"/>
    <n v="0"/>
    <n v="0"/>
    <n v="0"/>
    <x v="1"/>
    <n v="0"/>
    <n v="0"/>
    <n v="20"/>
    <n v="0"/>
    <n v="0"/>
    <n v="1564.59"/>
    <n v="0"/>
    <m/>
    <n v="1922.323293423678"/>
    <m/>
    <n v="0"/>
    <n v="500595.5747131941"/>
    <n v="0"/>
    <n v="0"/>
    <n v="615053.48612479062"/>
    <n v="0"/>
  </r>
  <r>
    <s v="Regular"/>
    <x v="1"/>
    <x v="3"/>
    <x v="0"/>
    <x v="0"/>
    <x v="1"/>
    <x v="0"/>
    <x v="2"/>
    <x v="9"/>
    <n v="0"/>
    <n v="0"/>
    <n v="801.87300000000005"/>
    <n v="386.74991523987001"/>
    <n v="0"/>
    <n v="0"/>
    <n v="0"/>
    <x v="1"/>
    <n v="0"/>
    <n v="0"/>
    <n v="20"/>
    <n v="0"/>
    <n v="0"/>
    <n v="1564.59"/>
    <n v="0"/>
    <m/>
    <n v="1922.323293423678"/>
    <m/>
    <n v="0"/>
    <n v="605105.04988514818"/>
    <n v="0"/>
    <n v="0"/>
    <n v="743458.37079523527"/>
    <n v="0"/>
  </r>
  <r>
    <s v="Regular"/>
    <x v="1"/>
    <x v="3"/>
    <x v="0"/>
    <x v="0"/>
    <x v="1"/>
    <x v="0"/>
    <x v="2"/>
    <x v="10"/>
    <n v="0"/>
    <n v="0"/>
    <n v="728.64200000000005"/>
    <n v="350.08695667073999"/>
    <n v="0"/>
    <n v="0"/>
    <n v="0"/>
    <x v="1"/>
    <n v="0"/>
    <n v="0"/>
    <n v="20"/>
    <n v="0"/>
    <n v="0"/>
    <n v="1564.59"/>
    <n v="0"/>
    <m/>
    <n v="1922.323293423678"/>
    <m/>
    <n v="0"/>
    <n v="547742.5515374731"/>
    <n v="0"/>
    <n v="0"/>
    <n v="672980.31153196935"/>
    <n v="0"/>
  </r>
  <r>
    <s v="PROJETADO"/>
    <x v="1"/>
    <x v="3"/>
    <x v="0"/>
    <x v="0"/>
    <x v="1"/>
    <x v="0"/>
    <x v="2"/>
    <x v="11"/>
    <n v="0"/>
    <n v="0"/>
    <n v="728.64200000000005"/>
    <n v="350.08695667073999"/>
    <n v="0"/>
    <n v="0"/>
    <n v="0"/>
    <x v="1"/>
    <n v="0"/>
    <n v="0"/>
    <n v="20"/>
    <n v="0"/>
    <n v="0"/>
    <n v="1564.59"/>
    <n v="0"/>
    <m/>
    <n v="1922.323293423678"/>
    <m/>
    <n v="0"/>
    <n v="547742.5515374731"/>
    <n v="0"/>
    <n v="0"/>
    <n v="672980.31153196935"/>
    <n v="0"/>
  </r>
  <r>
    <s v="Regular"/>
    <x v="1"/>
    <x v="3"/>
    <x v="0"/>
    <x v="0"/>
    <x v="2"/>
    <x v="0"/>
    <x v="1"/>
    <x v="0"/>
    <n v="0"/>
    <n v="0"/>
    <n v="7952.6130000000003"/>
    <n v="7952.6130000000003"/>
    <n v="7952.6130000000003"/>
    <n v="7952.6130000000003"/>
    <n v="0"/>
    <x v="2"/>
    <n v="0"/>
    <n v="0"/>
    <n v="21"/>
    <n v="89"/>
    <n v="0"/>
    <n v="51.27"/>
    <n v="222.31"/>
    <m/>
    <n v="66.787442987613147"/>
    <n v="236.64237028527376"/>
    <n v="0"/>
    <n v="407730.46851000004"/>
    <n v="1767945.3960300002"/>
    <n v="0"/>
    <n v="531134.68734005117"/>
    <n v="1881925.1902814819"/>
  </r>
  <r>
    <s v="Sistema de Compensação"/>
    <x v="1"/>
    <x v="3"/>
    <x v="0"/>
    <x v="0"/>
    <x v="2"/>
    <x v="0"/>
    <x v="1"/>
    <x v="0"/>
    <n v="0"/>
    <n v="0"/>
    <n v="112.02"/>
    <n v="112.02"/>
    <n v="112.02"/>
    <n v="112.02"/>
    <n v="0"/>
    <x v="2"/>
    <n v="0"/>
    <n v="0"/>
    <n v="21"/>
    <n v="89"/>
    <n v="0"/>
    <n v="51.27"/>
    <n v="222.31"/>
    <m/>
    <n v="66.787442987613147"/>
    <n v="236.64237028527376"/>
    <n v="0"/>
    <n v="5743.2654000000002"/>
    <n v="24903.1662"/>
    <n v="0"/>
    <n v="7481.5293634724248"/>
    <n v="26508.678319356364"/>
  </r>
  <r>
    <s v="Regular"/>
    <x v="1"/>
    <x v="3"/>
    <x v="0"/>
    <x v="0"/>
    <x v="2"/>
    <x v="0"/>
    <x v="1"/>
    <x v="1"/>
    <n v="0"/>
    <n v="0"/>
    <n v="7551.2939999999999"/>
    <n v="7551.2939999999999"/>
    <n v="7551.2939999999999"/>
    <n v="7551.2939999999999"/>
    <n v="0"/>
    <x v="2"/>
    <n v="0"/>
    <n v="0"/>
    <n v="21"/>
    <n v="89"/>
    <n v="0"/>
    <n v="51.27"/>
    <n v="222.31"/>
    <m/>
    <n v="66.787442987613147"/>
    <n v="236.64237028527376"/>
    <n v="0"/>
    <n v="387154.84338000003"/>
    <n v="1678728.1691399999"/>
    <n v="0"/>
    <n v="504331.61750770523"/>
    <n v="1786956.1108809661"/>
  </r>
  <r>
    <s v="Sistema de Compensação"/>
    <x v="1"/>
    <x v="3"/>
    <x v="0"/>
    <x v="0"/>
    <x v="2"/>
    <x v="0"/>
    <x v="1"/>
    <x v="1"/>
    <n v="0"/>
    <n v="0"/>
    <n v="129.71199999999999"/>
    <n v="129.71199999999999"/>
    <n v="129.71199999999999"/>
    <n v="129.71199999999999"/>
    <n v="0"/>
    <x v="2"/>
    <n v="0"/>
    <n v="0"/>
    <n v="21"/>
    <n v="89"/>
    <n v="0"/>
    <n v="51.27"/>
    <n v="222.31"/>
    <m/>
    <n v="66.787442987613147"/>
    <n v="236.64237028527376"/>
    <n v="0"/>
    <n v="6650.3342400000001"/>
    <n v="28836.274719999998"/>
    <n v="0"/>
    <n v="8663.1328048092764"/>
    <n v="30695.355134443427"/>
  </r>
  <r>
    <s v="Sistema de Compensação"/>
    <x v="1"/>
    <x v="3"/>
    <x v="0"/>
    <x v="0"/>
    <x v="2"/>
    <x v="0"/>
    <x v="1"/>
    <x v="1"/>
    <n v="0"/>
    <n v="0"/>
    <n v="-29.4"/>
    <n v="-29.4"/>
    <n v="-29.4"/>
    <n v="-29.4"/>
    <n v="0"/>
    <x v="2"/>
    <n v="0"/>
    <n v="0"/>
    <n v="21"/>
    <n v="89"/>
    <n v="0"/>
    <n v="51.27"/>
    <n v="222.31"/>
    <m/>
    <n v="66.787442987613147"/>
    <n v="236.64237028527376"/>
    <n v="0"/>
    <n v="-1507.338"/>
    <n v="-6535.9139999999998"/>
    <n v="0"/>
    <n v="-1963.5508238358263"/>
    <n v="-6957.2856863870484"/>
  </r>
  <r>
    <s v="Regular"/>
    <x v="1"/>
    <x v="3"/>
    <x v="0"/>
    <x v="0"/>
    <x v="2"/>
    <x v="0"/>
    <x v="1"/>
    <x v="2"/>
    <n v="0"/>
    <n v="0"/>
    <n v="7172.6390000000001"/>
    <n v="7172.6390000000001"/>
    <n v="7172.6390000000001"/>
    <n v="7172.6390000000001"/>
    <n v="0"/>
    <x v="2"/>
    <n v="0"/>
    <n v="0"/>
    <n v="21"/>
    <n v="89"/>
    <n v="0"/>
    <n v="51.27"/>
    <n v="222.31"/>
    <m/>
    <n v="66.787442987613147"/>
    <n v="236.64237028527376"/>
    <n v="0"/>
    <n v="367741.20153000002"/>
    <n v="1594549.3760900002"/>
    <n v="0"/>
    <n v="479042.21828323061"/>
    <n v="1697350.2941605956"/>
  </r>
  <r>
    <s v="Sistema de Compensação"/>
    <x v="1"/>
    <x v="3"/>
    <x v="0"/>
    <x v="0"/>
    <x v="2"/>
    <x v="0"/>
    <x v="1"/>
    <x v="2"/>
    <n v="0"/>
    <n v="0"/>
    <n v="152.55799999999999"/>
    <n v="152.55799999999999"/>
    <n v="152.55799999999999"/>
    <n v="152.55799999999999"/>
    <n v="0"/>
    <x v="2"/>
    <n v="0"/>
    <n v="0"/>
    <n v="21"/>
    <n v="89"/>
    <n v="0"/>
    <n v="51.27"/>
    <n v="222.31"/>
    <m/>
    <n v="66.787442987613147"/>
    <n v="236.64237028527376"/>
    <n v="0"/>
    <n v="7821.6486599999998"/>
    <n v="33915.168980000002"/>
    <n v="0"/>
    <n v="10188.958727304285"/>
    <n v="36101.686725980791"/>
  </r>
  <r>
    <s v="Regular"/>
    <x v="1"/>
    <x v="3"/>
    <x v="0"/>
    <x v="0"/>
    <x v="2"/>
    <x v="0"/>
    <x v="1"/>
    <x v="3"/>
    <n v="0"/>
    <n v="0"/>
    <n v="7062.6909999999998"/>
    <n v="7062.6909999999998"/>
    <n v="7062.6909999999998"/>
    <n v="7062.6909999999998"/>
    <n v="0"/>
    <x v="2"/>
    <n v="0"/>
    <n v="0"/>
    <n v="21"/>
    <n v="89"/>
    <n v="0"/>
    <n v="51.27"/>
    <n v="222.31"/>
    <m/>
    <n v="66.787442987613147"/>
    <n v="236.64237028527376"/>
    <n v="0"/>
    <n v="362104.16756999999"/>
    <n v="1570106.8362099999"/>
    <n v="0"/>
    <n v="471699.07250162849"/>
    <n v="1671331.9388324704"/>
  </r>
  <r>
    <s v="Sistema de Compensação"/>
    <x v="1"/>
    <x v="3"/>
    <x v="0"/>
    <x v="0"/>
    <x v="2"/>
    <x v="0"/>
    <x v="1"/>
    <x v="3"/>
    <n v="0"/>
    <n v="0"/>
    <n v="121.824"/>
    <n v="121.824"/>
    <n v="121.824"/>
    <n v="121.824"/>
    <n v="0"/>
    <x v="2"/>
    <n v="0"/>
    <n v="0"/>
    <n v="21"/>
    <n v="89"/>
    <n v="0"/>
    <n v="51.27"/>
    <n v="222.31"/>
    <m/>
    <n v="66.787442987613147"/>
    <n v="236.64237028527376"/>
    <n v="0"/>
    <n v="6245.9164799999999"/>
    <n v="27082.693439999999"/>
    <n v="0"/>
    <n v="8136.3134545229841"/>
    <n v="28828.720117633191"/>
  </r>
  <r>
    <s v="Regular"/>
    <x v="1"/>
    <x v="3"/>
    <x v="0"/>
    <x v="0"/>
    <x v="2"/>
    <x v="0"/>
    <x v="1"/>
    <x v="4"/>
    <n v="0"/>
    <n v="0"/>
    <n v="7334.3069999999998"/>
    <n v="7334.3069999999998"/>
    <n v="7334.3069999999998"/>
    <n v="7334.3069999999998"/>
    <n v="0"/>
    <x v="2"/>
    <n v="0"/>
    <n v="0"/>
    <n v="21"/>
    <n v="89"/>
    <n v="0"/>
    <n v="51.27"/>
    <n v="222.31"/>
    <m/>
    <n v="66.787442987613147"/>
    <n v="236.64237028527376"/>
    <n v="0"/>
    <n v="376029.91989000002"/>
    <n v="1630489.78917"/>
    <n v="0"/>
    <n v="489839.610616152"/>
    <n v="1735607.7928798753"/>
  </r>
  <r>
    <s v="Sistema de Compensação"/>
    <x v="1"/>
    <x v="3"/>
    <x v="0"/>
    <x v="0"/>
    <x v="2"/>
    <x v="0"/>
    <x v="1"/>
    <x v="4"/>
    <n v="0"/>
    <n v="0"/>
    <n v="186.30799999999999"/>
    <n v="186.30799999999999"/>
    <n v="186.30799999999999"/>
    <n v="186.30799999999999"/>
    <n v="0"/>
    <x v="2"/>
    <n v="0"/>
    <n v="0"/>
    <n v="21"/>
    <n v="89"/>
    <n v="0"/>
    <n v="51.27"/>
    <n v="222.31"/>
    <m/>
    <n v="66.787442987613147"/>
    <n v="236.64237028527376"/>
    <n v="0"/>
    <n v="9552.01116"/>
    <n v="41418.131479999996"/>
    <n v="0"/>
    <n v="12443.034928136231"/>
    <n v="44088.366723108782"/>
  </r>
  <r>
    <s v="Regular"/>
    <x v="1"/>
    <x v="3"/>
    <x v="0"/>
    <x v="0"/>
    <x v="2"/>
    <x v="0"/>
    <x v="1"/>
    <x v="4"/>
    <n v="0"/>
    <n v="0"/>
    <n v="111.39"/>
    <n v="111.39"/>
    <n v="0"/>
    <n v="0"/>
    <n v="0"/>
    <x v="1"/>
    <n v="0"/>
    <n v="0"/>
    <n v="21"/>
    <n v="0"/>
    <n v="0"/>
    <n v="51.27"/>
    <n v="0"/>
    <m/>
    <n v="66.787442987613147"/>
    <m/>
    <n v="0"/>
    <n v="5710.9653000000008"/>
    <n v="0"/>
    <n v="0"/>
    <n v="7439.4532743902282"/>
    <n v="0"/>
  </r>
  <r>
    <s v="Regular"/>
    <x v="1"/>
    <x v="3"/>
    <x v="0"/>
    <x v="0"/>
    <x v="2"/>
    <x v="0"/>
    <x v="1"/>
    <x v="5"/>
    <n v="0"/>
    <n v="0"/>
    <n v="6950.3249999999998"/>
    <n v="6950.3249999999998"/>
    <n v="6950.3249999999998"/>
    <n v="6950.3249999999998"/>
    <n v="0"/>
    <x v="2"/>
    <n v="0"/>
    <n v="0"/>
    <n v="21"/>
    <n v="89"/>
    <n v="0"/>
    <n v="51.27"/>
    <n v="222.31"/>
    <m/>
    <n v="66.787442987613147"/>
    <n v="236.64237028527376"/>
    <n v="0"/>
    <n v="356343.16275000002"/>
    <n v="1545126.7507499999"/>
    <n v="0"/>
    <n v="464194.43468288233"/>
    <n v="1644741.3822529954"/>
  </r>
  <r>
    <s v="Sistema de Compensação"/>
    <x v="1"/>
    <x v="3"/>
    <x v="0"/>
    <x v="0"/>
    <x v="2"/>
    <x v="0"/>
    <x v="1"/>
    <x v="5"/>
    <n v="0"/>
    <n v="0"/>
    <n v="150.80199999999999"/>
    <n v="150.80199999999999"/>
    <n v="150.80199999999999"/>
    <n v="150.80199999999999"/>
    <n v="0"/>
    <x v="2"/>
    <n v="0"/>
    <n v="0"/>
    <n v="21"/>
    <n v="89"/>
    <n v="0"/>
    <n v="51.27"/>
    <n v="222.31"/>
    <m/>
    <n v="66.787442987613147"/>
    <n v="236.64237028527376"/>
    <n v="0"/>
    <n v="7731.6185400000004"/>
    <n v="33524.79262"/>
    <n v="0"/>
    <n v="10071.679977418038"/>
    <n v="35686.142723759855"/>
  </r>
  <r>
    <s v="Regular"/>
    <x v="1"/>
    <x v="3"/>
    <x v="0"/>
    <x v="0"/>
    <x v="2"/>
    <x v="0"/>
    <x v="1"/>
    <x v="6"/>
    <n v="0"/>
    <n v="0"/>
    <n v="7144.5649999999996"/>
    <n v="7144.5649999999996"/>
    <n v="7144.5649999999996"/>
    <n v="7144.5649999999996"/>
    <n v="0"/>
    <x v="2"/>
    <n v="0"/>
    <n v="0"/>
    <n v="21"/>
    <n v="89"/>
    <n v="0"/>
    <n v="51.27"/>
    <n v="222.31"/>
    <m/>
    <n v="66.787442987613147"/>
    <n v="236.64237028527376"/>
    <n v="0"/>
    <n v="366301.84755000001"/>
    <n v="1588308.2451499999"/>
    <n v="0"/>
    <n v="477167.22760879633"/>
    <n v="1690706.7962572067"/>
  </r>
  <r>
    <s v="Sistema de Compensação"/>
    <x v="1"/>
    <x v="3"/>
    <x v="0"/>
    <x v="0"/>
    <x v="2"/>
    <x v="0"/>
    <x v="1"/>
    <x v="6"/>
    <n v="0"/>
    <n v="0"/>
    <n v="158.21700000000001"/>
    <n v="158.21700000000001"/>
    <n v="158.21700000000001"/>
    <n v="158.21700000000001"/>
    <n v="0"/>
    <x v="2"/>
    <n v="0"/>
    <n v="0"/>
    <n v="21"/>
    <n v="89"/>
    <n v="0"/>
    <n v="51.27"/>
    <n v="222.31"/>
    <m/>
    <n v="66.787442987613147"/>
    <n v="236.64237028527376"/>
    <n v="0"/>
    <n v="8111.7855900000013"/>
    <n v="35173.221270000002"/>
    <n v="0"/>
    <n v="10566.908867171191"/>
    <n v="37440.845899425163"/>
  </r>
  <r>
    <s v="Regular"/>
    <x v="1"/>
    <x v="3"/>
    <x v="0"/>
    <x v="0"/>
    <x v="2"/>
    <x v="0"/>
    <x v="1"/>
    <x v="7"/>
    <n v="0"/>
    <n v="0"/>
    <n v="6933.7039999999997"/>
    <n v="6933.7039999999997"/>
    <n v="6933.7039999999997"/>
    <n v="6933.7039999999997"/>
    <n v="0"/>
    <x v="2"/>
    <n v="0"/>
    <n v="0"/>
    <n v="21"/>
    <n v="89"/>
    <n v="0"/>
    <n v="51.27"/>
    <n v="222.31"/>
    <m/>
    <n v="66.787442987613147"/>
    <n v="236.64237028527376"/>
    <n v="0"/>
    <n v="355491.00407999998"/>
    <n v="1541431.73624"/>
    <n v="0"/>
    <n v="463084.36059298523"/>
    <n v="1640808.1494164837"/>
  </r>
  <r>
    <s v="Sistema de Compensação"/>
    <x v="1"/>
    <x v="3"/>
    <x v="0"/>
    <x v="0"/>
    <x v="2"/>
    <x v="0"/>
    <x v="1"/>
    <x v="7"/>
    <n v="0"/>
    <n v="0"/>
    <n v="148.167"/>
    <n v="148.167"/>
    <n v="148.167"/>
    <n v="148.167"/>
    <n v="0"/>
    <x v="2"/>
    <n v="0"/>
    <n v="0"/>
    <n v="21"/>
    <n v="89"/>
    <n v="0"/>
    <n v="51.27"/>
    <n v="222.31"/>
    <m/>
    <n v="66.787442987613147"/>
    <n v="236.64237028527376"/>
    <n v="0"/>
    <n v="7596.5220900000004"/>
    <n v="32939.005770000003"/>
    <n v="0"/>
    <n v="9895.6950651456773"/>
    <n v="35062.590078058158"/>
  </r>
  <r>
    <s v="Regular"/>
    <x v="1"/>
    <x v="3"/>
    <x v="0"/>
    <x v="0"/>
    <x v="2"/>
    <x v="0"/>
    <x v="1"/>
    <x v="8"/>
    <n v="0"/>
    <n v="0"/>
    <n v="6839.9769999999999"/>
    <n v="6839.9769999999999"/>
    <n v="6839.9769999999999"/>
    <n v="6839.9769999999999"/>
    <n v="0"/>
    <x v="2"/>
    <n v="0"/>
    <n v="0"/>
    <n v="21"/>
    <n v="89"/>
    <n v="0"/>
    <n v="51.27"/>
    <n v="222.31"/>
    <m/>
    <n v="66.787442987613147"/>
    <n v="236.64237028527376"/>
    <n v="0"/>
    <n v="350685.62079000002"/>
    <n v="1520595.28687"/>
    <n v="0"/>
    <n v="456824.57392408518"/>
    <n v="1618628.3699767559"/>
  </r>
  <r>
    <s v="Refaturamento - Regular"/>
    <x v="1"/>
    <x v="3"/>
    <x v="0"/>
    <x v="0"/>
    <x v="2"/>
    <x v="0"/>
    <x v="1"/>
    <x v="8"/>
    <n v="0"/>
    <n v="0"/>
    <n v="-8.5340000000000007"/>
    <n v="-8.5340000000000007"/>
    <n v="-8.5340000000000007"/>
    <n v="-8.5340000000000007"/>
    <n v="0"/>
    <x v="2"/>
    <n v="0"/>
    <n v="0"/>
    <n v="21"/>
    <n v="89"/>
    <n v="0"/>
    <n v="51.27"/>
    <n v="222.31"/>
    <m/>
    <n v="66.787442987613147"/>
    <n v="236.64237028527376"/>
    <n v="0"/>
    <n v="-437.53818000000007"/>
    <n v="-1897.1935400000002"/>
    <n v="0"/>
    <n v="-569.96403845629061"/>
    <n v="-2019.5059880145263"/>
  </r>
  <r>
    <s v="Sistema de Compensação"/>
    <x v="1"/>
    <x v="3"/>
    <x v="0"/>
    <x v="0"/>
    <x v="2"/>
    <x v="0"/>
    <x v="1"/>
    <x v="8"/>
    <n v="0"/>
    <n v="0"/>
    <n v="148.61099999999999"/>
    <n v="148.61099999999999"/>
    <n v="148.61099999999999"/>
    <n v="148.61099999999999"/>
    <n v="0"/>
    <x v="2"/>
    <n v="0"/>
    <n v="0"/>
    <n v="21"/>
    <n v="89"/>
    <n v="0"/>
    <n v="51.27"/>
    <n v="222.31"/>
    <m/>
    <n v="66.787442987613147"/>
    <n v="236.64237028527376"/>
    <n v="0"/>
    <n v="7619.2859699999999"/>
    <n v="33037.711409999996"/>
    <n v="0"/>
    <n v="9925.3486898321771"/>
    <n v="35167.659290464813"/>
  </r>
  <r>
    <s v="Regular"/>
    <x v="1"/>
    <x v="3"/>
    <x v="0"/>
    <x v="0"/>
    <x v="2"/>
    <x v="0"/>
    <x v="1"/>
    <x v="9"/>
    <n v="0"/>
    <n v="0"/>
    <n v="7023.2920000000004"/>
    <n v="7023.2920000000004"/>
    <n v="7023.2920000000004"/>
    <n v="7023.2920000000004"/>
    <n v="0"/>
    <x v="2"/>
    <n v="0"/>
    <n v="0"/>
    <n v="21"/>
    <n v="89"/>
    <n v="0"/>
    <n v="51.27"/>
    <n v="222.31"/>
    <m/>
    <n v="66.787442987613147"/>
    <n v="236.64237028527376"/>
    <n v="0"/>
    <n v="360084.18084000004"/>
    <n v="1561348.04452"/>
    <n v="0"/>
    <n v="469067.71403535956"/>
    <n v="1662008.4660856009"/>
  </r>
  <r>
    <s v="Refaturamento - Regular"/>
    <x v="1"/>
    <x v="3"/>
    <x v="0"/>
    <x v="0"/>
    <x v="2"/>
    <x v="0"/>
    <x v="1"/>
    <x v="9"/>
    <n v="0"/>
    <n v="0"/>
    <n v="6.4000000000000001E-2"/>
    <n v="6.4000000000000001E-2"/>
    <n v="6.4000000000000001E-2"/>
    <n v="6.4000000000000001E-2"/>
    <n v="0"/>
    <x v="2"/>
    <n v="0"/>
    <n v="0"/>
    <n v="21"/>
    <n v="89"/>
    <n v="0"/>
    <n v="51.27"/>
    <n v="222.31"/>
    <m/>
    <n v="66.787442987613147"/>
    <n v="236.64237028527376"/>
    <n v="0"/>
    <n v="3.2812800000000002"/>
    <n v="14.22784"/>
    <n v="0"/>
    <n v="4.2743963512072414"/>
    <n v="15.145111698257521"/>
  </r>
  <r>
    <s v="Sistema de Compensação"/>
    <x v="1"/>
    <x v="3"/>
    <x v="0"/>
    <x v="0"/>
    <x v="2"/>
    <x v="0"/>
    <x v="1"/>
    <x v="9"/>
    <n v="0"/>
    <n v="0"/>
    <n v="112.259"/>
    <n v="112.259"/>
    <n v="112.259"/>
    <n v="112.259"/>
    <n v="0"/>
    <x v="2"/>
    <n v="0"/>
    <n v="0"/>
    <n v="21"/>
    <n v="89"/>
    <n v="0"/>
    <n v="51.27"/>
    <n v="222.31"/>
    <m/>
    <n v="66.787442987613147"/>
    <n v="236.64237028527376"/>
    <n v="0"/>
    <n v="5755.5189300000002"/>
    <n v="24956.298289999999"/>
    <n v="0"/>
    <n v="7497.491562346464"/>
    <n v="26565.235845854546"/>
  </r>
  <r>
    <s v="Regular"/>
    <x v="1"/>
    <x v="3"/>
    <x v="0"/>
    <x v="0"/>
    <x v="2"/>
    <x v="0"/>
    <x v="1"/>
    <x v="10"/>
    <n v="0"/>
    <n v="0"/>
    <n v="6454.723"/>
    <n v="6454.723"/>
    <n v="6454.723"/>
    <n v="6454.723"/>
    <n v="0"/>
    <x v="2"/>
    <n v="0"/>
    <n v="0"/>
    <n v="21"/>
    <n v="89"/>
    <n v="0"/>
    <n v="51.27"/>
    <n v="222.31"/>
    <m/>
    <n v="66.787442987613147"/>
    <n v="236.64237028527376"/>
    <n v="0"/>
    <n v="330933.64821000001"/>
    <n v="1434949.47013"/>
    <n v="0"/>
    <n v="431094.44436333532"/>
    <n v="1527460.9502548731"/>
  </r>
  <r>
    <s v="Refaturamento - Regular"/>
    <x v="1"/>
    <x v="3"/>
    <x v="0"/>
    <x v="0"/>
    <x v="2"/>
    <x v="0"/>
    <x v="1"/>
    <x v="10"/>
    <n v="0"/>
    <n v="0"/>
    <n v="0.376"/>
    <n v="0.376"/>
    <n v="0.376"/>
    <n v="0.376"/>
    <n v="0"/>
    <x v="2"/>
    <n v="0"/>
    <n v="0"/>
    <n v="21"/>
    <n v="89"/>
    <n v="0"/>
    <n v="51.27"/>
    <n v="222.31"/>
    <m/>
    <n v="66.787442987613147"/>
    <n v="236.64237028527376"/>
    <n v="0"/>
    <n v="19.277520000000003"/>
    <n v="83.588560000000001"/>
    <n v="0"/>
    <n v="25.112078563342543"/>
    <n v="88.977531227262929"/>
  </r>
  <r>
    <s v="Sistema de Compensação"/>
    <x v="1"/>
    <x v="3"/>
    <x v="0"/>
    <x v="0"/>
    <x v="2"/>
    <x v="0"/>
    <x v="1"/>
    <x v="10"/>
    <n v="0"/>
    <n v="0"/>
    <n v="114.619"/>
    <n v="114.619"/>
    <n v="114.619"/>
    <n v="114.619"/>
    <n v="0"/>
    <x v="2"/>
    <n v="0"/>
    <n v="0"/>
    <n v="21"/>
    <n v="89"/>
    <n v="0"/>
    <n v="51.27"/>
    <n v="222.31"/>
    <m/>
    <n v="66.787442987613147"/>
    <n v="236.64237028527376"/>
    <n v="0"/>
    <n v="5876.51613"/>
    <n v="25480.94989"/>
    <n v="0"/>
    <n v="7655.1099277972316"/>
    <n v="27123.711839727792"/>
  </r>
  <r>
    <s v="PROJETADO"/>
    <x v="1"/>
    <x v="3"/>
    <x v="0"/>
    <x v="0"/>
    <x v="2"/>
    <x v="0"/>
    <x v="1"/>
    <x v="11"/>
    <n v="0"/>
    <n v="0"/>
    <n v="6454.723"/>
    <n v="6454.723"/>
    <n v="6454.723"/>
    <n v="6454.723"/>
    <n v="0"/>
    <x v="2"/>
    <n v="0"/>
    <n v="0"/>
    <n v="21"/>
    <n v="89"/>
    <n v="0"/>
    <n v="51.27"/>
    <n v="222.31"/>
    <m/>
    <n v="66.787442987613147"/>
    <n v="236.64237028527376"/>
    <n v="0"/>
    <n v="330933.64821000001"/>
    <n v="1434949.47013"/>
    <n v="0"/>
    <n v="431094.44436333532"/>
    <n v="1527460.9502548731"/>
  </r>
  <r>
    <s v="PROJETADO"/>
    <x v="1"/>
    <x v="3"/>
    <x v="0"/>
    <x v="0"/>
    <x v="2"/>
    <x v="0"/>
    <x v="1"/>
    <x v="11"/>
    <n v="0"/>
    <n v="0"/>
    <n v="0.376"/>
    <n v="0.376"/>
    <n v="0.376"/>
    <n v="0.376"/>
    <n v="0"/>
    <x v="2"/>
    <n v="0"/>
    <n v="0"/>
    <n v="21"/>
    <n v="89"/>
    <n v="0"/>
    <n v="51.27"/>
    <n v="222.31"/>
    <m/>
    <n v="66.787442987613147"/>
    <n v="236.64237028527376"/>
    <n v="0"/>
    <n v="19.277520000000003"/>
    <n v="83.588560000000001"/>
    <n v="0"/>
    <n v="25.112078563342543"/>
    <n v="88.977531227262929"/>
  </r>
  <r>
    <s v="PROJETADO"/>
    <x v="1"/>
    <x v="3"/>
    <x v="0"/>
    <x v="0"/>
    <x v="2"/>
    <x v="0"/>
    <x v="1"/>
    <x v="11"/>
    <n v="0"/>
    <n v="0"/>
    <n v="114.619"/>
    <n v="114.619"/>
    <n v="114.619"/>
    <n v="114.619"/>
    <n v="0"/>
    <x v="2"/>
    <n v="0"/>
    <n v="0"/>
    <n v="21"/>
    <n v="89"/>
    <n v="0"/>
    <n v="51.27"/>
    <n v="222.31"/>
    <m/>
    <n v="66.787442987613147"/>
    <n v="236.64237028527376"/>
    <n v="0"/>
    <n v="5876.51613"/>
    <n v="25480.94989"/>
    <n v="0"/>
    <n v="7655.1099277972316"/>
    <n v="27123.711839727792"/>
  </r>
  <r>
    <s v="Regular"/>
    <x v="1"/>
    <x v="3"/>
    <x v="0"/>
    <x v="0"/>
    <x v="2"/>
    <x v="0"/>
    <x v="0"/>
    <x v="0"/>
    <n v="40150"/>
    <n v="40150"/>
    <n v="0"/>
    <n v="0"/>
    <n v="0"/>
    <n v="0"/>
    <n v="211"/>
    <x v="2"/>
    <n v="0"/>
    <n v="44"/>
    <n v="0"/>
    <n v="0"/>
    <n v="24.31"/>
    <n v="0"/>
    <n v="0"/>
    <n v="27.784726797371405"/>
    <m/>
    <m/>
    <n v="976046.5"/>
    <n v="0"/>
    <n v="0"/>
    <n v="1115556.7809144619"/>
    <n v="0"/>
    <n v="0"/>
  </r>
  <r>
    <s v="Sistema de Compensação"/>
    <x v="1"/>
    <x v="3"/>
    <x v="0"/>
    <x v="0"/>
    <x v="2"/>
    <x v="0"/>
    <x v="0"/>
    <x v="0"/>
    <n v="635"/>
    <n v="635"/>
    <n v="0"/>
    <n v="0"/>
    <n v="0"/>
    <n v="0"/>
    <n v="3"/>
    <x v="2"/>
    <n v="0"/>
    <n v="44"/>
    <n v="0"/>
    <n v="0"/>
    <n v="24.31"/>
    <n v="0"/>
    <n v="0"/>
    <n v="27.784726797371405"/>
    <m/>
    <m/>
    <n v="15436.849999999999"/>
    <n v="0"/>
    <n v="0"/>
    <n v="17643.301516330841"/>
    <n v="0"/>
    <n v="0"/>
  </r>
  <r>
    <s v="Regular"/>
    <x v="1"/>
    <x v="3"/>
    <x v="0"/>
    <x v="0"/>
    <x v="2"/>
    <x v="0"/>
    <x v="0"/>
    <x v="1"/>
    <n v="37710"/>
    <n v="37710"/>
    <n v="0"/>
    <n v="0"/>
    <n v="0"/>
    <n v="0"/>
    <n v="206"/>
    <x v="2"/>
    <n v="0"/>
    <n v="44"/>
    <n v="0"/>
    <n v="0"/>
    <n v="24.31"/>
    <n v="0"/>
    <n v="0"/>
    <n v="27.784726797371405"/>
    <m/>
    <m/>
    <n v="916730.1"/>
    <n v="0"/>
    <n v="0"/>
    <n v="1047762.0475288756"/>
    <n v="0"/>
    <n v="0"/>
  </r>
  <r>
    <s v="Sistema de Compensação"/>
    <x v="1"/>
    <x v="3"/>
    <x v="0"/>
    <x v="0"/>
    <x v="2"/>
    <x v="0"/>
    <x v="0"/>
    <x v="1"/>
    <n v="1356"/>
    <n v="1356"/>
    <n v="0"/>
    <n v="0"/>
    <n v="0"/>
    <n v="0"/>
    <n v="4"/>
    <x v="2"/>
    <n v="0"/>
    <n v="44"/>
    <n v="0"/>
    <n v="0"/>
    <n v="24.31"/>
    <n v="0"/>
    <n v="0"/>
    <n v="27.784726797371405"/>
    <m/>
    <m/>
    <n v="32964.36"/>
    <n v="0"/>
    <n v="0"/>
    <n v="37676.089537235624"/>
    <n v="0"/>
    <n v="0"/>
  </r>
  <r>
    <s v="Regular"/>
    <x v="1"/>
    <x v="3"/>
    <x v="0"/>
    <x v="0"/>
    <x v="2"/>
    <x v="0"/>
    <x v="0"/>
    <x v="2"/>
    <n v="35827"/>
    <n v="35827"/>
    <n v="0"/>
    <n v="0"/>
    <n v="0"/>
    <n v="0"/>
    <n v="203"/>
    <x v="2"/>
    <n v="0"/>
    <n v="44"/>
    <n v="0"/>
    <n v="0"/>
    <n v="24.31"/>
    <n v="0"/>
    <n v="0"/>
    <n v="27.784726797371405"/>
    <m/>
    <m/>
    <n v="870954.37"/>
    <n v="0"/>
    <n v="0"/>
    <n v="995443.40696942538"/>
    <n v="0"/>
    <n v="0"/>
  </r>
  <r>
    <s v="Sistema de Compensação"/>
    <x v="1"/>
    <x v="3"/>
    <x v="0"/>
    <x v="0"/>
    <x v="2"/>
    <x v="0"/>
    <x v="0"/>
    <x v="2"/>
    <n v="1376"/>
    <n v="1376"/>
    <n v="0"/>
    <n v="0"/>
    <n v="0"/>
    <n v="0"/>
    <n v="4"/>
    <x v="2"/>
    <n v="0"/>
    <n v="44"/>
    <n v="0"/>
    <n v="0"/>
    <n v="24.31"/>
    <n v="0"/>
    <n v="0"/>
    <n v="27.784726797371405"/>
    <m/>
    <m/>
    <n v="33450.559999999998"/>
    <n v="0"/>
    <n v="0"/>
    <n v="38231.784073183051"/>
    <n v="0"/>
    <n v="0"/>
  </r>
  <r>
    <s v="Regular"/>
    <x v="1"/>
    <x v="3"/>
    <x v="0"/>
    <x v="0"/>
    <x v="2"/>
    <x v="0"/>
    <x v="0"/>
    <x v="3"/>
    <n v="35181"/>
    <n v="35181"/>
    <n v="0"/>
    <n v="0"/>
    <n v="0"/>
    <n v="0"/>
    <n v="199"/>
    <x v="2"/>
    <n v="0"/>
    <n v="44"/>
    <n v="0"/>
    <n v="0"/>
    <n v="24.31"/>
    <n v="0"/>
    <n v="0"/>
    <n v="27.784726797371405"/>
    <m/>
    <m/>
    <n v="855250.11"/>
    <n v="0"/>
    <n v="0"/>
    <n v="977494.47345832339"/>
    <n v="0"/>
    <n v="0"/>
  </r>
  <r>
    <s v="Sistema de Compensação"/>
    <x v="1"/>
    <x v="3"/>
    <x v="0"/>
    <x v="0"/>
    <x v="2"/>
    <x v="0"/>
    <x v="0"/>
    <x v="3"/>
    <n v="1366"/>
    <n v="1366"/>
    <n v="0"/>
    <n v="0"/>
    <n v="0"/>
    <n v="0"/>
    <n v="4"/>
    <x v="2"/>
    <n v="0"/>
    <n v="44"/>
    <n v="0"/>
    <n v="0"/>
    <n v="24.31"/>
    <n v="0"/>
    <n v="0"/>
    <n v="27.784726797371405"/>
    <m/>
    <m/>
    <n v="33207.46"/>
    <n v="0"/>
    <n v="0"/>
    <n v="37953.936805209341"/>
    <n v="0"/>
    <n v="0"/>
  </r>
  <r>
    <s v="Regular"/>
    <x v="1"/>
    <x v="3"/>
    <x v="0"/>
    <x v="0"/>
    <x v="2"/>
    <x v="0"/>
    <x v="0"/>
    <x v="4"/>
    <n v="33861"/>
    <n v="33861"/>
    <n v="0"/>
    <n v="0"/>
    <n v="0"/>
    <n v="0"/>
    <n v="198"/>
    <x v="2"/>
    <n v="0"/>
    <n v="44"/>
    <n v="0"/>
    <n v="0"/>
    <n v="24.31"/>
    <n v="0"/>
    <n v="0"/>
    <n v="27.784726797371405"/>
    <m/>
    <m/>
    <n v="823160.90999999992"/>
    <n v="0"/>
    <n v="0"/>
    <n v="940818.63408579316"/>
    <n v="0"/>
    <n v="0"/>
  </r>
  <r>
    <s v="Sistema de Compensação"/>
    <x v="1"/>
    <x v="3"/>
    <x v="0"/>
    <x v="0"/>
    <x v="2"/>
    <x v="0"/>
    <x v="0"/>
    <x v="4"/>
    <n v="1643"/>
    <n v="1643"/>
    <n v="0"/>
    <n v="0"/>
    <n v="0"/>
    <n v="0"/>
    <n v="5"/>
    <x v="2"/>
    <n v="0"/>
    <n v="44"/>
    <n v="0"/>
    <n v="0"/>
    <n v="24.31"/>
    <n v="0"/>
    <n v="0"/>
    <n v="27.784726797371405"/>
    <m/>
    <m/>
    <n v="39941.329999999994"/>
    <n v="0"/>
    <n v="0"/>
    <n v="45650.306128081218"/>
    <n v="0"/>
    <n v="0"/>
  </r>
  <r>
    <s v="Regular"/>
    <x v="1"/>
    <x v="3"/>
    <x v="0"/>
    <x v="0"/>
    <x v="2"/>
    <x v="0"/>
    <x v="0"/>
    <x v="4"/>
    <n v="719"/>
    <n v="719"/>
    <n v="0"/>
    <n v="0"/>
    <n v="0"/>
    <n v="0"/>
    <n v="1"/>
    <x v="1"/>
    <n v="0"/>
    <n v="44"/>
    <n v="0"/>
    <n v="0"/>
    <n v="24.31"/>
    <n v="0"/>
    <n v="0"/>
    <n v="27.784726797371405"/>
    <m/>
    <m/>
    <n v="17478.89"/>
    <n v="0"/>
    <n v="0"/>
    <n v="19977.218567310039"/>
    <n v="0"/>
    <n v="0"/>
  </r>
  <r>
    <s v="Regular"/>
    <x v="1"/>
    <x v="3"/>
    <x v="0"/>
    <x v="0"/>
    <x v="2"/>
    <x v="0"/>
    <x v="0"/>
    <x v="5"/>
    <n v="33643"/>
    <n v="33643"/>
    <n v="0"/>
    <n v="0"/>
    <n v="0"/>
    <n v="0"/>
    <n v="197"/>
    <x v="2"/>
    <n v="0"/>
    <n v="44"/>
    <n v="0"/>
    <n v="0"/>
    <n v="24.31"/>
    <n v="0"/>
    <n v="0"/>
    <n v="27.784726797371405"/>
    <m/>
    <m/>
    <n v="817861.33"/>
    <n v="0"/>
    <n v="0"/>
    <n v="934761.56364396622"/>
    <n v="0"/>
    <n v="0"/>
  </r>
  <r>
    <s v="Sistema de Compensação"/>
    <x v="1"/>
    <x v="3"/>
    <x v="0"/>
    <x v="0"/>
    <x v="2"/>
    <x v="0"/>
    <x v="0"/>
    <x v="5"/>
    <n v="1737"/>
    <n v="1737"/>
    <n v="0"/>
    <n v="0"/>
    <n v="0"/>
    <n v="0"/>
    <n v="6"/>
    <x v="2"/>
    <n v="0"/>
    <n v="44"/>
    <n v="0"/>
    <n v="0"/>
    <n v="24.31"/>
    <n v="0"/>
    <n v="0"/>
    <n v="27.784726797371405"/>
    <m/>
    <m/>
    <n v="42226.47"/>
    <n v="0"/>
    <n v="0"/>
    <n v="48262.07044703413"/>
    <n v="0"/>
    <n v="0"/>
  </r>
  <r>
    <s v="Regular"/>
    <x v="1"/>
    <x v="3"/>
    <x v="0"/>
    <x v="0"/>
    <x v="2"/>
    <x v="0"/>
    <x v="0"/>
    <x v="6"/>
    <n v="33559"/>
    <n v="33559"/>
    <n v="0"/>
    <n v="0"/>
    <n v="0"/>
    <n v="0"/>
    <n v="197"/>
    <x v="2"/>
    <n v="0"/>
    <n v="44"/>
    <n v="0"/>
    <n v="0"/>
    <n v="24.31"/>
    <n v="0"/>
    <n v="0"/>
    <n v="27.784726797371405"/>
    <m/>
    <m/>
    <n v="815819.28999999992"/>
    <n v="0"/>
    <n v="0"/>
    <n v="932427.646592987"/>
    <n v="0"/>
    <n v="0"/>
  </r>
  <r>
    <s v="Sistema de Compensação"/>
    <x v="1"/>
    <x v="3"/>
    <x v="0"/>
    <x v="0"/>
    <x v="2"/>
    <x v="0"/>
    <x v="0"/>
    <x v="6"/>
    <n v="1805"/>
    <n v="1805"/>
    <n v="0"/>
    <n v="0"/>
    <n v="0"/>
    <n v="0"/>
    <n v="7"/>
    <x v="2"/>
    <n v="0"/>
    <n v="44"/>
    <n v="0"/>
    <n v="0"/>
    <n v="24.31"/>
    <n v="0"/>
    <n v="0"/>
    <n v="27.784726797371405"/>
    <m/>
    <m/>
    <n v="43879.549999999996"/>
    <n v="0"/>
    <n v="0"/>
    <n v="50151.431869255386"/>
    <n v="0"/>
    <n v="0"/>
  </r>
  <r>
    <s v="Regular"/>
    <x v="1"/>
    <x v="3"/>
    <x v="0"/>
    <x v="0"/>
    <x v="2"/>
    <x v="0"/>
    <x v="0"/>
    <x v="7"/>
    <n v="33780"/>
    <n v="33780"/>
    <n v="0"/>
    <n v="0"/>
    <n v="0"/>
    <n v="0"/>
    <n v="197"/>
    <x v="2"/>
    <n v="0"/>
    <n v="44"/>
    <n v="0"/>
    <n v="0"/>
    <n v="24.31"/>
    <n v="0"/>
    <n v="0"/>
    <n v="27.784726797371405"/>
    <m/>
    <m/>
    <n v="821191.79999999993"/>
    <n v="0"/>
    <n v="0"/>
    <n v="938568.07121520606"/>
    <n v="0"/>
    <n v="0"/>
  </r>
  <r>
    <s v="Sistema de Compensação"/>
    <x v="1"/>
    <x v="3"/>
    <x v="0"/>
    <x v="0"/>
    <x v="2"/>
    <x v="0"/>
    <x v="0"/>
    <x v="7"/>
    <n v="1801"/>
    <n v="1801"/>
    <n v="0"/>
    <n v="0"/>
    <n v="0"/>
    <n v="0"/>
    <n v="7"/>
    <x v="2"/>
    <n v="0"/>
    <n v="44"/>
    <n v="0"/>
    <n v="0"/>
    <n v="24.31"/>
    <n v="0"/>
    <n v="0"/>
    <n v="27.784726797371405"/>
    <m/>
    <m/>
    <n v="43782.31"/>
    <n v="0"/>
    <n v="0"/>
    <n v="50040.292962065898"/>
    <n v="0"/>
    <n v="0"/>
  </r>
  <r>
    <s v="Regular"/>
    <x v="1"/>
    <x v="3"/>
    <x v="0"/>
    <x v="0"/>
    <x v="2"/>
    <x v="0"/>
    <x v="0"/>
    <x v="8"/>
    <n v="33262"/>
    <n v="33262"/>
    <n v="0"/>
    <n v="0"/>
    <n v="0"/>
    <n v="0"/>
    <n v="191"/>
    <x v="2"/>
    <n v="0"/>
    <n v="44"/>
    <n v="0"/>
    <n v="0"/>
    <n v="24.31"/>
    <n v="0"/>
    <n v="0"/>
    <n v="27.784726797371405"/>
    <m/>
    <m/>
    <n v="808599.22"/>
    <n v="0"/>
    <n v="0"/>
    <n v="924175.58273416769"/>
    <n v="0"/>
    <n v="0"/>
  </r>
  <r>
    <s v="Sistema de Compensação"/>
    <x v="1"/>
    <x v="3"/>
    <x v="0"/>
    <x v="0"/>
    <x v="2"/>
    <x v="0"/>
    <x v="0"/>
    <x v="8"/>
    <n v="1857"/>
    <n v="1857"/>
    <n v="0"/>
    <n v="0"/>
    <n v="0"/>
    <n v="0"/>
    <n v="7"/>
    <x v="2"/>
    <n v="0"/>
    <n v="44"/>
    <n v="0"/>
    <n v="0"/>
    <n v="24.31"/>
    <n v="0"/>
    <n v="0"/>
    <n v="27.784726797371405"/>
    <m/>
    <m/>
    <n v="45143.67"/>
    <n v="0"/>
    <n v="0"/>
    <n v="51596.237662718697"/>
    <n v="0"/>
    <n v="0"/>
  </r>
  <r>
    <s v="Regular"/>
    <x v="1"/>
    <x v="3"/>
    <x v="0"/>
    <x v="0"/>
    <x v="2"/>
    <x v="0"/>
    <x v="0"/>
    <x v="9"/>
    <n v="33117"/>
    <n v="33117"/>
    <n v="0"/>
    <n v="0"/>
    <n v="0"/>
    <n v="0"/>
    <n v="191"/>
    <x v="2"/>
    <n v="0"/>
    <n v="44"/>
    <n v="0"/>
    <n v="0"/>
    <n v="24.31"/>
    <n v="0"/>
    <n v="0"/>
    <n v="27.784726797371405"/>
    <m/>
    <m/>
    <n v="805074.2699999999"/>
    <n v="0"/>
    <n v="0"/>
    <n v="920146.79734854877"/>
    <n v="0"/>
    <n v="0"/>
  </r>
  <r>
    <s v="Sistema de Compensação"/>
    <x v="1"/>
    <x v="3"/>
    <x v="0"/>
    <x v="0"/>
    <x v="2"/>
    <x v="0"/>
    <x v="0"/>
    <x v="9"/>
    <n v="1761"/>
    <n v="1761"/>
    <n v="0"/>
    <n v="0"/>
    <n v="0"/>
    <n v="0"/>
    <n v="7"/>
    <x v="2"/>
    <n v="0"/>
    <n v="44"/>
    <n v="0"/>
    <n v="0"/>
    <n v="24.31"/>
    <n v="0"/>
    <n v="0"/>
    <n v="27.784726797371405"/>
    <m/>
    <m/>
    <n v="42809.909999999996"/>
    <n v="0"/>
    <n v="0"/>
    <n v="48928.903890171045"/>
    <n v="0"/>
    <n v="0"/>
  </r>
  <r>
    <s v="Regular"/>
    <x v="1"/>
    <x v="3"/>
    <x v="0"/>
    <x v="0"/>
    <x v="2"/>
    <x v="0"/>
    <x v="0"/>
    <x v="10"/>
    <n v="33184"/>
    <n v="33184"/>
    <n v="0"/>
    <n v="0"/>
    <n v="0"/>
    <n v="0"/>
    <n v="191"/>
    <x v="2"/>
    <n v="0"/>
    <n v="44"/>
    <n v="0"/>
    <n v="0"/>
    <n v="24.31"/>
    <n v="0"/>
    <n v="0"/>
    <n v="27.784726797371405"/>
    <m/>
    <m/>
    <n v="806703.03999999992"/>
    <n v="0"/>
    <n v="0"/>
    <n v="922008.3740439727"/>
    <n v="0"/>
    <n v="0"/>
  </r>
  <r>
    <s v="Refaturamento - Regular"/>
    <x v="1"/>
    <x v="3"/>
    <x v="0"/>
    <x v="0"/>
    <x v="2"/>
    <x v="0"/>
    <x v="0"/>
    <x v="10"/>
    <n v="-430"/>
    <n v="-430"/>
    <n v="0"/>
    <n v="0"/>
    <n v="0"/>
    <n v="0"/>
    <n v="0"/>
    <x v="2"/>
    <n v="0"/>
    <n v="44"/>
    <n v="0"/>
    <n v="0"/>
    <n v="24.31"/>
    <n v="0"/>
    <n v="0"/>
    <n v="27.784726797371405"/>
    <m/>
    <m/>
    <n v="-10453.299999999999"/>
    <n v="0"/>
    <n v="0"/>
    <n v="-11947.432522869703"/>
    <n v="0"/>
    <n v="0"/>
  </r>
  <r>
    <s v="Sistema de Compensação"/>
    <x v="1"/>
    <x v="3"/>
    <x v="0"/>
    <x v="0"/>
    <x v="2"/>
    <x v="0"/>
    <x v="0"/>
    <x v="10"/>
    <n v="1782"/>
    <n v="1782"/>
    <n v="0"/>
    <n v="0"/>
    <n v="0"/>
    <n v="0"/>
    <n v="7"/>
    <x v="2"/>
    <n v="0"/>
    <n v="44"/>
    <n v="0"/>
    <n v="0"/>
    <n v="24.31"/>
    <n v="0"/>
    <n v="0"/>
    <n v="27.784726797371405"/>
    <m/>
    <m/>
    <n v="43320.42"/>
    <n v="0"/>
    <n v="0"/>
    <n v="49512.383152915841"/>
    <n v="0"/>
    <n v="0"/>
  </r>
  <r>
    <s v="PROJETADO"/>
    <x v="1"/>
    <x v="3"/>
    <x v="0"/>
    <x v="0"/>
    <x v="2"/>
    <x v="0"/>
    <x v="0"/>
    <x v="11"/>
    <n v="33184"/>
    <n v="33184"/>
    <n v="0"/>
    <n v="0"/>
    <n v="0"/>
    <n v="0"/>
    <n v="191"/>
    <x v="2"/>
    <n v="0"/>
    <n v="44"/>
    <n v="0"/>
    <n v="0"/>
    <n v="24.31"/>
    <n v="0"/>
    <n v="0"/>
    <n v="27.784726797371405"/>
    <m/>
    <m/>
    <n v="806703.03999999992"/>
    <n v="0"/>
    <n v="0"/>
    <n v="922008.3740439727"/>
    <n v="0"/>
    <n v="0"/>
  </r>
  <r>
    <s v="PROJETADO"/>
    <x v="1"/>
    <x v="3"/>
    <x v="0"/>
    <x v="0"/>
    <x v="2"/>
    <x v="0"/>
    <x v="0"/>
    <x v="11"/>
    <n v="-430"/>
    <n v="-430"/>
    <n v="0"/>
    <n v="0"/>
    <n v="0"/>
    <n v="0"/>
    <n v="0"/>
    <x v="2"/>
    <n v="0"/>
    <n v="44"/>
    <n v="0"/>
    <n v="0"/>
    <n v="24.31"/>
    <n v="0"/>
    <n v="0"/>
    <n v="27.784726797371405"/>
    <m/>
    <m/>
    <n v="-10453.299999999999"/>
    <n v="0"/>
    <n v="0"/>
    <n v="-11947.432522869703"/>
    <n v="0"/>
    <n v="0"/>
  </r>
  <r>
    <s v="PROJETADO"/>
    <x v="1"/>
    <x v="3"/>
    <x v="0"/>
    <x v="0"/>
    <x v="2"/>
    <x v="0"/>
    <x v="0"/>
    <x v="11"/>
    <n v="1782"/>
    <n v="1782"/>
    <n v="0"/>
    <n v="0"/>
    <n v="0"/>
    <n v="0"/>
    <n v="7"/>
    <x v="2"/>
    <n v="0"/>
    <n v="44"/>
    <n v="0"/>
    <n v="0"/>
    <n v="24.31"/>
    <n v="0"/>
    <n v="0"/>
    <n v="27.784726797371405"/>
    <m/>
    <m/>
    <n v="43320.42"/>
    <n v="0"/>
    <n v="0"/>
    <n v="49512.383152915841"/>
    <n v="0"/>
    <n v="0"/>
  </r>
  <r>
    <s v="Regular"/>
    <x v="1"/>
    <x v="3"/>
    <x v="0"/>
    <x v="0"/>
    <x v="2"/>
    <x v="0"/>
    <x v="2"/>
    <x v="0"/>
    <n v="0"/>
    <n v="0"/>
    <n v="386.47"/>
    <n v="386.47"/>
    <n v="386.47"/>
    <n v="386.47"/>
    <n v="0"/>
    <x v="2"/>
    <n v="0"/>
    <n v="0"/>
    <n v="20"/>
    <n v="88"/>
    <n v="0"/>
    <n v="1564.59"/>
    <n v="365.5"/>
    <m/>
    <n v="1922.323293423678"/>
    <n v="382.75425465660959"/>
    <n v="0"/>
    <n v="604667.09730000002"/>
    <n v="141254.785"/>
    <n v="0"/>
    <n v="742920.28320944891"/>
    <n v="147923.03679713991"/>
  </r>
  <r>
    <s v="Sistema de Compensação"/>
    <x v="1"/>
    <x v="3"/>
    <x v="0"/>
    <x v="0"/>
    <x v="2"/>
    <x v="0"/>
    <x v="2"/>
    <x v="0"/>
    <n v="0"/>
    <n v="0"/>
    <n v="0.84"/>
    <n v="0.84"/>
    <n v="0.84"/>
    <n v="0.84"/>
    <n v="0"/>
    <x v="2"/>
    <n v="0"/>
    <n v="0"/>
    <n v="20"/>
    <n v="88"/>
    <n v="0"/>
    <n v="1564.59"/>
    <n v="365.5"/>
    <m/>
    <n v="1922.323293423678"/>
    <n v="382.75425465660959"/>
    <n v="0"/>
    <n v="1314.2556"/>
    <n v="307.02"/>
    <n v="0"/>
    <n v="1614.7515664758894"/>
    <n v="321.51357391155204"/>
  </r>
  <r>
    <s v="Regular"/>
    <x v="1"/>
    <x v="3"/>
    <x v="0"/>
    <x v="0"/>
    <x v="2"/>
    <x v="0"/>
    <x v="2"/>
    <x v="1"/>
    <n v="0"/>
    <n v="0"/>
    <n v="398.78699999999998"/>
    <n v="398.78699999999998"/>
    <n v="398.78699999999998"/>
    <n v="398.78699999999998"/>
    <n v="0"/>
    <x v="2"/>
    <n v="0"/>
    <n v="0"/>
    <n v="20"/>
    <n v="88"/>
    <n v="0"/>
    <n v="1564.59"/>
    <n v="365.5"/>
    <m/>
    <n v="1922.323293423678"/>
    <n v="382.75425465660959"/>
    <n v="0"/>
    <n v="623938.15232999995"/>
    <n v="145756.64849999998"/>
    <n v="0"/>
    <n v="766597.53921454819"/>
    <n v="152637.42095174536"/>
  </r>
  <r>
    <s v="Sistema de Compensação"/>
    <x v="1"/>
    <x v="3"/>
    <x v="0"/>
    <x v="0"/>
    <x v="2"/>
    <x v="0"/>
    <x v="2"/>
    <x v="1"/>
    <n v="0"/>
    <n v="0"/>
    <n v="2.38"/>
    <n v="2.38"/>
    <n v="2.38"/>
    <n v="2.38"/>
    <n v="0"/>
    <x v="2"/>
    <n v="0"/>
    <n v="0"/>
    <n v="20"/>
    <n v="88"/>
    <n v="0"/>
    <n v="1564.59"/>
    <n v="365.5"/>
    <m/>
    <n v="1922.323293423678"/>
    <n v="382.75425465660959"/>
    <n v="0"/>
    <n v="3723.7241999999997"/>
    <n v="869.89"/>
    <n v="0"/>
    <n v="4575.1294383483537"/>
    <n v="910.95512608273077"/>
  </r>
  <r>
    <s v="Sistema de Compensação"/>
    <x v="1"/>
    <x v="3"/>
    <x v="0"/>
    <x v="0"/>
    <x v="2"/>
    <x v="0"/>
    <x v="2"/>
    <x v="1"/>
    <n v="0"/>
    <n v="0"/>
    <n v="-0.42"/>
    <n v="-0.42"/>
    <n v="-0.42"/>
    <n v="-0.42"/>
    <n v="0"/>
    <x v="2"/>
    <n v="0"/>
    <n v="0"/>
    <n v="20"/>
    <n v="88"/>
    <n v="0"/>
    <n v="1564.59"/>
    <n v="365.5"/>
    <m/>
    <n v="1922.323293423678"/>
    <n v="382.75425465660959"/>
    <n v="0"/>
    <n v="-657.12779999999998"/>
    <n v="-153.51"/>
    <n v="0"/>
    <n v="-807.37578323794469"/>
    <n v="-160.75678695577602"/>
  </r>
  <r>
    <s v="Regular"/>
    <x v="1"/>
    <x v="3"/>
    <x v="0"/>
    <x v="0"/>
    <x v="2"/>
    <x v="0"/>
    <x v="2"/>
    <x v="2"/>
    <n v="0"/>
    <n v="0"/>
    <n v="368.85899999999998"/>
    <n v="368.85899999999998"/>
    <n v="368.85899999999998"/>
    <n v="368.85899999999998"/>
    <n v="0"/>
    <x v="2"/>
    <n v="0"/>
    <n v="0"/>
    <n v="20"/>
    <n v="88"/>
    <n v="0"/>
    <n v="1564.59"/>
    <n v="365.5"/>
    <m/>
    <n v="1922.323293423678"/>
    <n v="382.75425465660959"/>
    <n v="0"/>
    <n v="577113.10280999995"/>
    <n v="134817.9645"/>
    <n v="0"/>
    <n v="709066.24768896436"/>
    <n v="141182.35161838235"/>
  </r>
  <r>
    <s v="Sistema de Compensação"/>
    <x v="1"/>
    <x v="3"/>
    <x v="0"/>
    <x v="0"/>
    <x v="2"/>
    <x v="0"/>
    <x v="2"/>
    <x v="2"/>
    <n v="0"/>
    <n v="0"/>
    <n v="4.12"/>
    <n v="4.12"/>
    <n v="4.12"/>
    <n v="4.12"/>
    <n v="0"/>
    <x v="2"/>
    <n v="0"/>
    <n v="0"/>
    <n v="20"/>
    <n v="88"/>
    <n v="0"/>
    <n v="1564.59"/>
    <n v="365.5"/>
    <m/>
    <n v="1922.323293423678"/>
    <n v="382.75425465660959"/>
    <n v="0"/>
    <n v="6446.1107999999995"/>
    <n v="1505.8600000000001"/>
    <n v="0"/>
    <n v="7919.9719689055537"/>
    <n v="1576.9475291852316"/>
  </r>
  <r>
    <s v="Regular"/>
    <x v="1"/>
    <x v="3"/>
    <x v="0"/>
    <x v="0"/>
    <x v="2"/>
    <x v="0"/>
    <x v="2"/>
    <x v="3"/>
    <n v="0"/>
    <n v="0"/>
    <n v="380.488"/>
    <n v="380.488"/>
    <n v="380.488"/>
    <n v="380.488"/>
    <n v="0"/>
    <x v="2"/>
    <n v="0"/>
    <n v="0"/>
    <n v="20"/>
    <n v="88"/>
    <n v="0"/>
    <n v="1564.59"/>
    <n v="365.5"/>
    <m/>
    <n v="1922.323293423678"/>
    <n v="382.75425465660959"/>
    <n v="0"/>
    <n v="595307.71991999994"/>
    <n v="139068.364"/>
    <n v="0"/>
    <n v="731420.94526818837"/>
    <n v="145633.40084578408"/>
  </r>
  <r>
    <s v="Sistema de Compensação"/>
    <x v="1"/>
    <x v="3"/>
    <x v="0"/>
    <x v="0"/>
    <x v="2"/>
    <x v="0"/>
    <x v="2"/>
    <x v="3"/>
    <n v="0"/>
    <n v="0"/>
    <n v="5.7519999999999998"/>
    <n v="5.7519999999999998"/>
    <n v="5.7519999999999998"/>
    <n v="5.7519999999999998"/>
    <n v="0"/>
    <x v="2"/>
    <n v="0"/>
    <n v="0"/>
    <n v="20"/>
    <n v="88"/>
    <n v="0"/>
    <n v="1564.59"/>
    <n v="365.5"/>
    <m/>
    <n v="1922.323293423678"/>
    <n v="382.75425465660959"/>
    <n v="0"/>
    <n v="8999.5216799999998"/>
    <n v="2102.3559999999998"/>
    <n v="0"/>
    <n v="11057.203583772996"/>
    <n v="2201.6024727848185"/>
  </r>
  <r>
    <s v="Regular"/>
    <x v="1"/>
    <x v="3"/>
    <x v="0"/>
    <x v="0"/>
    <x v="2"/>
    <x v="0"/>
    <x v="2"/>
    <x v="4"/>
    <n v="0"/>
    <n v="0"/>
    <n v="375.94799999999998"/>
    <n v="375.94799999999998"/>
    <n v="375.94799999999998"/>
    <n v="375.94799999999998"/>
    <n v="0"/>
    <x v="2"/>
    <n v="0"/>
    <n v="0"/>
    <n v="20"/>
    <n v="88"/>
    <n v="0"/>
    <n v="1564.59"/>
    <n v="365.5"/>
    <m/>
    <n v="1922.323293423678"/>
    <n v="382.75425465660959"/>
    <n v="0"/>
    <n v="588204.4813199999"/>
    <n v="137408.99400000001"/>
    <n v="0"/>
    <n v="722693.59751604486"/>
    <n v="143895.69652964306"/>
  </r>
  <r>
    <s v="Sistema de Compensação"/>
    <x v="1"/>
    <x v="3"/>
    <x v="0"/>
    <x v="0"/>
    <x v="2"/>
    <x v="0"/>
    <x v="2"/>
    <x v="4"/>
    <n v="0"/>
    <n v="0"/>
    <n v="7.14"/>
    <n v="7.14"/>
    <n v="7.14"/>
    <n v="7.14"/>
    <n v="0"/>
    <x v="2"/>
    <n v="0"/>
    <n v="0"/>
    <n v="20"/>
    <n v="88"/>
    <n v="0"/>
    <n v="1564.59"/>
    <n v="365.5"/>
    <m/>
    <n v="1922.323293423678"/>
    <n v="382.75425465660959"/>
    <n v="0"/>
    <n v="11171.172599999998"/>
    <n v="2609.67"/>
    <n v="0"/>
    <n v="13725.38831504506"/>
    <n v="2732.8653782481924"/>
  </r>
  <r>
    <s v="Regular"/>
    <x v="1"/>
    <x v="3"/>
    <x v="0"/>
    <x v="0"/>
    <x v="2"/>
    <x v="0"/>
    <x v="2"/>
    <x v="4"/>
    <n v="0"/>
    <n v="0"/>
    <n v="2.38"/>
    <n v="2.38"/>
    <n v="0"/>
    <n v="0"/>
    <n v="0"/>
    <x v="1"/>
    <n v="0"/>
    <n v="0"/>
    <n v="20"/>
    <n v="0"/>
    <n v="0"/>
    <n v="1564.59"/>
    <n v="0"/>
    <m/>
    <n v="1922.323293423678"/>
    <m/>
    <n v="0"/>
    <n v="3723.7241999999997"/>
    <n v="0"/>
    <n v="0"/>
    <n v="4575.1294383483537"/>
    <n v="0"/>
  </r>
  <r>
    <s v="Regular"/>
    <x v="1"/>
    <x v="3"/>
    <x v="0"/>
    <x v="0"/>
    <x v="2"/>
    <x v="0"/>
    <x v="2"/>
    <x v="5"/>
    <n v="0"/>
    <n v="0"/>
    <n v="345.60300000000001"/>
    <n v="345.60300000000001"/>
    <n v="345.60300000000001"/>
    <n v="345.60300000000001"/>
    <n v="0"/>
    <x v="2"/>
    <n v="0"/>
    <n v="0"/>
    <n v="20"/>
    <n v="88"/>
    <n v="0"/>
    <n v="1564.59"/>
    <n v="365.5"/>
    <m/>
    <n v="1922.323293423678"/>
    <n v="382.75425465660959"/>
    <n v="0"/>
    <n v="540726.99777000002"/>
    <n v="126317.8965"/>
    <n v="0"/>
    <n v="664360.69717710337"/>
    <n v="132281.01867208825"/>
  </r>
  <r>
    <s v="Sistema de Compensação"/>
    <x v="1"/>
    <x v="3"/>
    <x v="0"/>
    <x v="0"/>
    <x v="2"/>
    <x v="0"/>
    <x v="2"/>
    <x v="5"/>
    <n v="0"/>
    <n v="0"/>
    <n v="10.256"/>
    <n v="10.256"/>
    <n v="10.256"/>
    <n v="10.256"/>
    <n v="0"/>
    <x v="2"/>
    <n v="0"/>
    <n v="0"/>
    <n v="20"/>
    <n v="88"/>
    <n v="0"/>
    <n v="1564.59"/>
    <n v="365.5"/>
    <m/>
    <n v="1922.323293423678"/>
    <n v="382.75425465660959"/>
    <n v="0"/>
    <n v="16046.43504"/>
    <n v="3748.5680000000002"/>
    <n v="0"/>
    <n v="19715.347697353242"/>
    <n v="3925.5276357581879"/>
  </r>
  <r>
    <s v="Regular"/>
    <x v="1"/>
    <x v="3"/>
    <x v="0"/>
    <x v="0"/>
    <x v="2"/>
    <x v="0"/>
    <x v="2"/>
    <x v="6"/>
    <n v="0"/>
    <n v="0"/>
    <n v="350.12299999999999"/>
    <n v="350.12299999999999"/>
    <n v="350.12299999999999"/>
    <n v="350.12299999999999"/>
    <n v="0"/>
    <x v="2"/>
    <n v="0"/>
    <n v="0"/>
    <n v="20"/>
    <n v="88"/>
    <n v="0"/>
    <n v="1564.59"/>
    <n v="365.5"/>
    <m/>
    <n v="1922.323293423678"/>
    <n v="382.75425465660959"/>
    <n v="0"/>
    <n v="547798.94456999993"/>
    <n v="127969.9565"/>
    <n v="0"/>
    <n v="673049.59846337838"/>
    <n v="134011.06790313611"/>
  </r>
  <r>
    <s v="Sistema de Compensação"/>
    <x v="1"/>
    <x v="3"/>
    <x v="0"/>
    <x v="0"/>
    <x v="2"/>
    <x v="0"/>
    <x v="2"/>
    <x v="6"/>
    <n v="0"/>
    <n v="0"/>
    <n v="13.84"/>
    <n v="13.84"/>
    <n v="13.84"/>
    <n v="13.84"/>
    <n v="0"/>
    <x v="2"/>
    <n v="0"/>
    <n v="0"/>
    <n v="20"/>
    <n v="88"/>
    <n v="0"/>
    <n v="1564.59"/>
    <n v="365.5"/>
    <m/>
    <n v="1922.323293423678"/>
    <n v="382.75425465660959"/>
    <n v="0"/>
    <n v="21653.925599999999"/>
    <n v="5058.5199999999995"/>
    <n v="0"/>
    <n v="26604.954380983705"/>
    <n v="5297.3188844474771"/>
  </r>
  <r>
    <s v="Regular"/>
    <x v="1"/>
    <x v="3"/>
    <x v="0"/>
    <x v="0"/>
    <x v="2"/>
    <x v="0"/>
    <x v="2"/>
    <x v="7"/>
    <n v="0"/>
    <n v="0"/>
    <n v="326.995"/>
    <n v="326.995"/>
    <n v="326.995"/>
    <n v="326.995"/>
    <n v="0"/>
    <x v="2"/>
    <n v="0"/>
    <n v="0"/>
    <n v="20"/>
    <n v="88"/>
    <n v="0"/>
    <n v="1564.59"/>
    <n v="365.5"/>
    <m/>
    <n v="1922.323293423678"/>
    <n v="382.75425465660959"/>
    <n v="0"/>
    <n v="511613.10704999999"/>
    <n v="119516.6725"/>
    <n v="0"/>
    <n v="628590.10533307563"/>
    <n v="125158.72750143806"/>
  </r>
  <r>
    <s v="Sistema de Compensação"/>
    <x v="1"/>
    <x v="3"/>
    <x v="0"/>
    <x v="0"/>
    <x v="2"/>
    <x v="0"/>
    <x v="2"/>
    <x v="7"/>
    <n v="0"/>
    <n v="0"/>
    <n v="9.9710000000000001"/>
    <n v="9.9710000000000001"/>
    <n v="9.9710000000000001"/>
    <n v="9.9710000000000001"/>
    <n v="0"/>
    <x v="2"/>
    <n v="0"/>
    <n v="0"/>
    <n v="20"/>
    <n v="88"/>
    <n v="0"/>
    <n v="1564.59"/>
    <n v="365.5"/>
    <m/>
    <n v="1922.323293423678"/>
    <n v="382.75425465660959"/>
    <n v="0"/>
    <n v="15600.526889999999"/>
    <n v="3644.4005000000002"/>
    <n v="0"/>
    <n v="19167.485558727494"/>
    <n v="3816.442673181054"/>
  </r>
  <r>
    <s v="Regular"/>
    <x v="1"/>
    <x v="3"/>
    <x v="0"/>
    <x v="0"/>
    <x v="2"/>
    <x v="0"/>
    <x v="2"/>
    <x v="8"/>
    <n v="0"/>
    <n v="0"/>
    <n v="347.07600000000002"/>
    <n v="347.07600000000002"/>
    <n v="347.07600000000002"/>
    <n v="347.07600000000002"/>
    <n v="0"/>
    <x v="2"/>
    <n v="0"/>
    <n v="0"/>
    <n v="20"/>
    <n v="88"/>
    <n v="0"/>
    <n v="1564.59"/>
    <n v="365.5"/>
    <m/>
    <n v="1922.323293423678"/>
    <n v="382.75425465660959"/>
    <n v="0"/>
    <n v="543031.63884000003"/>
    <n v="126856.27800000001"/>
    <n v="0"/>
    <n v="667192.27938831656"/>
    <n v="132844.81568919745"/>
  </r>
  <r>
    <s v="Refaturamento - Regular"/>
    <x v="1"/>
    <x v="3"/>
    <x v="0"/>
    <x v="0"/>
    <x v="2"/>
    <x v="0"/>
    <x v="2"/>
    <x v="8"/>
    <n v="0"/>
    <n v="0"/>
    <n v="-0.126"/>
    <n v="-0.126"/>
    <n v="-0.126"/>
    <n v="-0.126"/>
    <n v="0"/>
    <x v="2"/>
    <n v="0"/>
    <n v="0"/>
    <n v="20"/>
    <n v="88"/>
    <n v="0"/>
    <n v="1564.59"/>
    <n v="365.5"/>
    <m/>
    <n v="1922.323293423678"/>
    <n v="382.75425465660959"/>
    <n v="0"/>
    <n v="-197.13834"/>
    <n v="-46.052999999999997"/>
    <n v="0"/>
    <n v="-242.21273497138344"/>
    <n v="-48.227036086732809"/>
  </r>
  <r>
    <s v="Sistema de Compensação"/>
    <x v="1"/>
    <x v="3"/>
    <x v="0"/>
    <x v="0"/>
    <x v="2"/>
    <x v="0"/>
    <x v="2"/>
    <x v="8"/>
    <n v="0"/>
    <n v="0"/>
    <n v="4.3869999999999996"/>
    <n v="4.3869999999999996"/>
    <n v="4.3869999999999996"/>
    <n v="4.3869999999999996"/>
    <n v="0"/>
    <x v="2"/>
    <n v="0"/>
    <n v="0"/>
    <n v="20"/>
    <n v="88"/>
    <n v="0"/>
    <n v="1564.59"/>
    <n v="365.5"/>
    <m/>
    <n v="1922.323293423678"/>
    <n v="382.75425465660959"/>
    <n v="0"/>
    <n v="6863.8563299999987"/>
    <n v="1603.4484999999997"/>
    <n v="0"/>
    <n v="8433.2322882496755"/>
    <n v="1679.142915178546"/>
  </r>
  <r>
    <s v="Regular"/>
    <x v="1"/>
    <x v="3"/>
    <x v="0"/>
    <x v="0"/>
    <x v="2"/>
    <x v="0"/>
    <x v="2"/>
    <x v="9"/>
    <n v="0"/>
    <n v="0"/>
    <n v="381.39"/>
    <n v="381.39"/>
    <n v="381.39"/>
    <n v="381.39"/>
    <n v="0"/>
    <x v="2"/>
    <n v="0"/>
    <n v="0"/>
    <n v="20"/>
    <n v="88"/>
    <n v="0"/>
    <n v="1564.59"/>
    <n v="365.5"/>
    <m/>
    <n v="1922.323293423678"/>
    <n v="382.75425465660959"/>
    <n v="0"/>
    <n v="596718.98009999993"/>
    <n v="139398.04499999998"/>
    <n v="0"/>
    <n v="733154.88087885652"/>
    <n v="145978.64518348433"/>
  </r>
  <r>
    <s v="Refaturamento - Regular"/>
    <x v="1"/>
    <x v="3"/>
    <x v="0"/>
    <x v="0"/>
    <x v="2"/>
    <x v="0"/>
    <x v="2"/>
    <x v="9"/>
    <n v="0"/>
    <n v="0"/>
    <n v="5.3999999999999999E-2"/>
    <n v="5.3999999999999999E-2"/>
    <n v="5.3999999999999999E-2"/>
    <n v="5.3999999999999999E-2"/>
    <n v="0"/>
    <x v="2"/>
    <n v="0"/>
    <n v="0"/>
    <n v="20"/>
    <n v="88"/>
    <n v="0"/>
    <n v="1564.59"/>
    <n v="365.5"/>
    <m/>
    <n v="1922.323293423678"/>
    <n v="382.75425465660959"/>
    <n v="0"/>
    <n v="84.487859999999998"/>
    <n v="19.736999999999998"/>
    <n v="0"/>
    <n v="103.80545784487862"/>
    <n v="20.668729751456919"/>
  </r>
  <r>
    <s v="Sistema de Compensação"/>
    <x v="1"/>
    <x v="3"/>
    <x v="0"/>
    <x v="0"/>
    <x v="2"/>
    <x v="0"/>
    <x v="2"/>
    <x v="9"/>
    <n v="0"/>
    <n v="0"/>
    <n v="2.4369999999999998"/>
    <n v="2.4369999999999998"/>
    <n v="2.4369999999999998"/>
    <n v="2.4369999999999998"/>
    <n v="0"/>
    <x v="2"/>
    <n v="0"/>
    <n v="0"/>
    <n v="20"/>
    <n v="88"/>
    <n v="0"/>
    <n v="1564.59"/>
    <n v="365.5"/>
    <m/>
    <n v="1922.323293423678"/>
    <n v="382.75425465660959"/>
    <n v="0"/>
    <n v="3812.9058299999997"/>
    <n v="890.72349999999994"/>
    <n v="0"/>
    <n v="4684.701866073503"/>
    <n v="932.77211859815748"/>
  </r>
  <r>
    <s v="Regular"/>
    <x v="1"/>
    <x v="3"/>
    <x v="0"/>
    <x v="0"/>
    <x v="2"/>
    <x v="0"/>
    <x v="2"/>
    <x v="10"/>
    <n v="0"/>
    <n v="0"/>
    <n v="299.76799999999997"/>
    <n v="299.76799999999997"/>
    <n v="299.76799999999997"/>
    <n v="299.76799999999997"/>
    <n v="0"/>
    <x v="2"/>
    <n v="0"/>
    <n v="0"/>
    <n v="20"/>
    <n v="88"/>
    <n v="0"/>
    <n v="1564.59"/>
    <n v="365.5"/>
    <m/>
    <n v="1922.323293423678"/>
    <n v="382.75425465660959"/>
    <n v="0"/>
    <n v="469014.01511999994"/>
    <n v="109565.20399999998"/>
    <n v="0"/>
    <n v="576251.00902302901"/>
    <n v="114737.47740990254"/>
  </r>
  <r>
    <s v="Refaturamento - Regular"/>
    <x v="1"/>
    <x v="3"/>
    <x v="0"/>
    <x v="0"/>
    <x v="2"/>
    <x v="0"/>
    <x v="2"/>
    <x v="10"/>
    <n v="0"/>
    <n v="0"/>
    <n v="-1.3839999999999999"/>
    <n v="-1.3839999999999999"/>
    <n v="-1.3839999999999999"/>
    <n v="-1.3839999999999999"/>
    <n v="0"/>
    <x v="2"/>
    <n v="0"/>
    <n v="0"/>
    <n v="20"/>
    <n v="88"/>
    <n v="0"/>
    <n v="1564.59"/>
    <n v="365.5"/>
    <m/>
    <n v="1922.323293423678"/>
    <n v="382.75425465660959"/>
    <n v="0"/>
    <n v="-2165.3925599999998"/>
    <n v="-505.85199999999998"/>
    <n v="0"/>
    <n v="-2660.4954380983704"/>
    <n v="-529.7318884447476"/>
  </r>
  <r>
    <s v="Sistema de Compensação"/>
    <x v="1"/>
    <x v="3"/>
    <x v="0"/>
    <x v="0"/>
    <x v="2"/>
    <x v="0"/>
    <x v="2"/>
    <x v="10"/>
    <n v="0"/>
    <n v="0"/>
    <n v="5.367"/>
    <n v="5.367"/>
    <n v="5.367"/>
    <n v="5.367"/>
    <n v="0"/>
    <x v="2"/>
    <n v="0"/>
    <n v="0"/>
    <n v="20"/>
    <n v="88"/>
    <n v="0"/>
    <n v="1564.59"/>
    <n v="365.5"/>
    <m/>
    <n v="1922.323293423678"/>
    <n v="382.75425465660959"/>
    <n v="0"/>
    <n v="8397.1545299999998"/>
    <n v="1961.6385"/>
    <n v="0"/>
    <n v="10317.10911580488"/>
    <n v="2054.2420847420235"/>
  </r>
  <r>
    <s v="PROJETADO"/>
    <x v="1"/>
    <x v="3"/>
    <x v="0"/>
    <x v="0"/>
    <x v="2"/>
    <x v="0"/>
    <x v="2"/>
    <x v="11"/>
    <n v="0"/>
    <n v="0"/>
    <n v="299.76799999999997"/>
    <n v="299.76799999999997"/>
    <n v="299.76799999999997"/>
    <n v="299.76799999999997"/>
    <n v="0"/>
    <x v="2"/>
    <n v="0"/>
    <n v="0"/>
    <n v="20"/>
    <n v="88"/>
    <n v="0"/>
    <n v="1564.59"/>
    <n v="365.5"/>
    <m/>
    <n v="1922.323293423678"/>
    <n v="382.75425465660959"/>
    <n v="0"/>
    <n v="469014.01511999994"/>
    <n v="109565.20399999998"/>
    <n v="0"/>
    <n v="576251.00902302901"/>
    <n v="114737.47740990254"/>
  </r>
  <r>
    <s v="PROJETADO"/>
    <x v="1"/>
    <x v="3"/>
    <x v="0"/>
    <x v="0"/>
    <x v="2"/>
    <x v="0"/>
    <x v="2"/>
    <x v="11"/>
    <n v="0"/>
    <n v="0"/>
    <n v="-1.3839999999999999"/>
    <n v="-1.3839999999999999"/>
    <n v="-1.3839999999999999"/>
    <n v="-1.3839999999999999"/>
    <n v="0"/>
    <x v="2"/>
    <n v="0"/>
    <n v="0"/>
    <n v="20"/>
    <n v="88"/>
    <n v="0"/>
    <n v="1564.59"/>
    <n v="365.5"/>
    <m/>
    <n v="1922.323293423678"/>
    <n v="382.75425465660959"/>
    <n v="0"/>
    <n v="-2165.3925599999998"/>
    <n v="-505.85199999999998"/>
    <n v="0"/>
    <n v="-2660.4954380983704"/>
    <n v="-529.7318884447476"/>
  </r>
  <r>
    <s v="PROJETADO"/>
    <x v="1"/>
    <x v="3"/>
    <x v="0"/>
    <x v="0"/>
    <x v="2"/>
    <x v="0"/>
    <x v="2"/>
    <x v="11"/>
    <n v="0"/>
    <n v="0"/>
    <n v="5.367"/>
    <n v="5.367"/>
    <n v="5.367"/>
    <n v="5.367"/>
    <n v="0"/>
    <x v="2"/>
    <n v="0"/>
    <n v="0"/>
    <n v="20"/>
    <n v="88"/>
    <n v="0"/>
    <n v="1564.59"/>
    <n v="365.5"/>
    <m/>
    <n v="1922.323293423678"/>
    <n v="382.75425465660959"/>
    <n v="0"/>
    <n v="8397.1545299999998"/>
    <n v="1961.6385"/>
    <n v="0"/>
    <n v="10317.10911580488"/>
    <n v="2054.2420847420235"/>
  </r>
  <r>
    <s v="Regular"/>
    <x v="1"/>
    <x v="3"/>
    <x v="1"/>
    <x v="0"/>
    <x v="2"/>
    <x v="0"/>
    <x v="1"/>
    <x v="0"/>
    <n v="0"/>
    <n v="0"/>
    <n v="3678.45"/>
    <n v="3678.45"/>
    <n v="3678.45"/>
    <n v="3678.45"/>
    <n v="0"/>
    <x v="2"/>
    <n v="0"/>
    <n v="0"/>
    <n v="21"/>
    <n v="89"/>
    <n v="0"/>
    <n v="51.27"/>
    <n v="222.31"/>
    <m/>
    <n v="66.787442987613147"/>
    <n v="236.64237028527376"/>
    <n v="0"/>
    <n v="188594.13149999999"/>
    <n v="817756.21950000001"/>
    <n v="0"/>
    <n v="245674.26965778557"/>
    <n v="870477.12697586522"/>
  </r>
  <r>
    <s v="Sistema de Compensação"/>
    <x v="1"/>
    <x v="3"/>
    <x v="1"/>
    <x v="0"/>
    <x v="2"/>
    <x v="0"/>
    <x v="1"/>
    <x v="0"/>
    <n v="0"/>
    <n v="0"/>
    <n v="330.58699999999999"/>
    <n v="330.58699999999999"/>
    <n v="330.58699999999999"/>
    <n v="330.58699999999999"/>
    <n v="0"/>
    <x v="2"/>
    <n v="0"/>
    <n v="0"/>
    <n v="21"/>
    <n v="89"/>
    <n v="0"/>
    <n v="51.27"/>
    <n v="222.31"/>
    <m/>
    <n v="66.787442987613147"/>
    <n v="236.64237028527376"/>
    <n v="0"/>
    <n v="16949.195490000002"/>
    <n v="73492.795969999992"/>
    <n v="0"/>
    <n v="22079.060414946067"/>
    <n v="78230.89126549779"/>
  </r>
  <r>
    <s v="Regular"/>
    <x v="1"/>
    <x v="3"/>
    <x v="1"/>
    <x v="0"/>
    <x v="2"/>
    <x v="0"/>
    <x v="1"/>
    <x v="1"/>
    <n v="0"/>
    <n v="0"/>
    <n v="3330.223"/>
    <n v="3330.223"/>
    <n v="3330.223"/>
    <n v="3330.223"/>
    <n v="0"/>
    <x v="2"/>
    <n v="0"/>
    <n v="0"/>
    <n v="21"/>
    <n v="89"/>
    <n v="0"/>
    <n v="51.27"/>
    <n v="222.31"/>
    <m/>
    <n v="66.787442987613147"/>
    <n v="236.64237028527376"/>
    <n v="0"/>
    <n v="170740.53320999999"/>
    <n v="740341.87512999994"/>
    <n v="0"/>
    <n v="222417.07874853801"/>
    <n v="788071.86429853516"/>
  </r>
  <r>
    <s v="Sistema de Compensação"/>
    <x v="1"/>
    <x v="3"/>
    <x v="1"/>
    <x v="0"/>
    <x v="2"/>
    <x v="0"/>
    <x v="1"/>
    <x v="1"/>
    <n v="0"/>
    <n v="0"/>
    <n v="364.75200000000001"/>
    <n v="364.75200000000001"/>
    <n v="364.75200000000001"/>
    <n v="364.75200000000001"/>
    <n v="0"/>
    <x v="2"/>
    <n v="0"/>
    <n v="0"/>
    <n v="21"/>
    <n v="89"/>
    <n v="0"/>
    <n v="51.27"/>
    <n v="222.31"/>
    <m/>
    <n v="66.787442987613147"/>
    <n v="236.64237028527376"/>
    <n v="0"/>
    <n v="18700.835040000002"/>
    <n v="81088.017120000004"/>
    <n v="0"/>
    <n v="24360.853404617872"/>
    <n v="86315.777846294179"/>
  </r>
  <r>
    <s v="Regular"/>
    <x v="1"/>
    <x v="3"/>
    <x v="1"/>
    <x v="0"/>
    <x v="2"/>
    <x v="0"/>
    <x v="1"/>
    <x v="2"/>
    <n v="0"/>
    <n v="0"/>
    <n v="2968.3420000000001"/>
    <n v="2968.3420000000001"/>
    <n v="2968.3420000000001"/>
    <n v="2968.3420000000001"/>
    <n v="0"/>
    <x v="2"/>
    <n v="0"/>
    <n v="0"/>
    <n v="21"/>
    <n v="89"/>
    <n v="0"/>
    <n v="51.27"/>
    <n v="222.31"/>
    <m/>
    <n v="66.787442987613147"/>
    <n v="236.64237028527376"/>
    <n v="0"/>
    <n v="152186.89434000003"/>
    <n v="659892.11002000002"/>
    <n v="0"/>
    <n v="198247.97209273759"/>
    <n v="702435.48669733014"/>
  </r>
  <r>
    <s v="Sistema de Compensação"/>
    <x v="1"/>
    <x v="3"/>
    <x v="1"/>
    <x v="0"/>
    <x v="2"/>
    <x v="0"/>
    <x v="1"/>
    <x v="2"/>
    <n v="0"/>
    <n v="0"/>
    <n v="352.01799999999997"/>
    <n v="352.01799999999997"/>
    <n v="352.01799999999997"/>
    <n v="352.01799999999997"/>
    <n v="0"/>
    <x v="2"/>
    <n v="0"/>
    <n v="0"/>
    <n v="21"/>
    <n v="89"/>
    <n v="0"/>
    <n v="51.27"/>
    <n v="222.31"/>
    <m/>
    <n v="66.787442987613147"/>
    <n v="236.64237028527376"/>
    <n v="0"/>
    <n v="18047.96286"/>
    <n v="78257.121579999992"/>
    <n v="0"/>
    <n v="23510.382105613604"/>
    <n v="83302.37390308149"/>
  </r>
  <r>
    <s v="Regular"/>
    <x v="1"/>
    <x v="3"/>
    <x v="1"/>
    <x v="0"/>
    <x v="2"/>
    <x v="0"/>
    <x v="1"/>
    <x v="3"/>
    <n v="0"/>
    <n v="0"/>
    <n v="2896"/>
    <n v="2896"/>
    <n v="2896"/>
    <n v="2896"/>
    <n v="0"/>
    <x v="2"/>
    <n v="0"/>
    <n v="0"/>
    <n v="21"/>
    <n v="89"/>
    <n v="0"/>
    <n v="51.27"/>
    <n v="222.31"/>
    <m/>
    <n v="66.787442987613147"/>
    <n v="236.64237028527376"/>
    <n v="0"/>
    <n v="148477.92000000001"/>
    <n v="643809.76"/>
    <n v="0"/>
    <n v="193416.43489212767"/>
    <n v="685316.30434615281"/>
  </r>
  <r>
    <s v="Sistema de Compensação"/>
    <x v="1"/>
    <x v="3"/>
    <x v="1"/>
    <x v="0"/>
    <x v="2"/>
    <x v="0"/>
    <x v="1"/>
    <x v="3"/>
    <n v="0"/>
    <n v="0"/>
    <n v="354.58600000000001"/>
    <n v="354.58600000000001"/>
    <n v="354.58600000000001"/>
    <n v="354.58600000000001"/>
    <n v="0"/>
    <x v="2"/>
    <n v="0"/>
    <n v="0"/>
    <n v="21"/>
    <n v="89"/>
    <n v="0"/>
    <n v="51.27"/>
    <n v="222.31"/>
    <m/>
    <n v="66.787442987613147"/>
    <n v="236.64237028527376"/>
    <n v="0"/>
    <n v="18179.624220000002"/>
    <n v="78828.013659999997"/>
    <n v="0"/>
    <n v="23681.892259205797"/>
    <n v="83910.071509974077"/>
  </r>
  <r>
    <s v="Regular"/>
    <x v="1"/>
    <x v="3"/>
    <x v="1"/>
    <x v="0"/>
    <x v="2"/>
    <x v="0"/>
    <x v="1"/>
    <x v="4"/>
    <n v="0"/>
    <n v="0"/>
    <n v="3114.625"/>
    <n v="3114.625"/>
    <n v="3114.625"/>
    <n v="3114.625"/>
    <n v="0"/>
    <x v="2"/>
    <n v="0"/>
    <n v="0"/>
    <n v="21"/>
    <n v="89"/>
    <n v="0"/>
    <n v="51.27"/>
    <n v="222.31"/>
    <m/>
    <n v="66.787442987613147"/>
    <n v="236.64237028527376"/>
    <n v="0"/>
    <n v="159686.82375000001"/>
    <n v="692412.28375000006"/>
    <n v="0"/>
    <n v="208017.83961529459"/>
    <n v="737052.24254977074"/>
  </r>
  <r>
    <s v="Sistema de Compensação"/>
    <x v="1"/>
    <x v="3"/>
    <x v="1"/>
    <x v="0"/>
    <x v="2"/>
    <x v="0"/>
    <x v="1"/>
    <x v="4"/>
    <n v="0"/>
    <n v="0"/>
    <n v="347.67899999999997"/>
    <n v="347.67899999999997"/>
    <n v="347.67899999999997"/>
    <n v="347.67899999999997"/>
    <n v="0"/>
    <x v="2"/>
    <n v="0"/>
    <n v="0"/>
    <n v="21"/>
    <n v="89"/>
    <n v="0"/>
    <n v="51.27"/>
    <n v="222.31"/>
    <m/>
    <n v="66.787442987613147"/>
    <n v="236.64237028527376"/>
    <n v="0"/>
    <n v="17825.502329999999"/>
    <n v="77292.518489999988"/>
    <n v="0"/>
    <n v="23220.59139049035"/>
    <n v="82275.582658413681"/>
  </r>
  <r>
    <s v="Sistema de Compensação"/>
    <x v="1"/>
    <x v="3"/>
    <x v="1"/>
    <x v="0"/>
    <x v="2"/>
    <x v="0"/>
    <x v="1"/>
    <x v="4"/>
    <n v="0"/>
    <n v="0"/>
    <n v="0.17399999999999999"/>
    <n v="0.17399999999999999"/>
    <n v="0.17399999999999999"/>
    <n v="0.17399999999999999"/>
    <n v="0"/>
    <x v="2"/>
    <n v="0"/>
    <n v="0"/>
    <n v="21"/>
    <n v="89"/>
    <n v="0"/>
    <n v="51.27"/>
    <n v="222.31"/>
    <m/>
    <n v="66.787442987613147"/>
    <n v="236.64237028527376"/>
    <n v="0"/>
    <n v="8.9209800000000001"/>
    <n v="38.681939999999997"/>
    <n v="0"/>
    <n v="11.621015079844687"/>
    <n v="41.175772429637632"/>
  </r>
  <r>
    <s v="Regular"/>
    <x v="1"/>
    <x v="3"/>
    <x v="1"/>
    <x v="0"/>
    <x v="2"/>
    <x v="0"/>
    <x v="1"/>
    <x v="5"/>
    <n v="0"/>
    <n v="0"/>
    <n v="3371.067"/>
    <n v="3371.067"/>
    <n v="3371.067"/>
    <n v="3371.067"/>
    <n v="0"/>
    <x v="2"/>
    <n v="0"/>
    <n v="0"/>
    <n v="21"/>
    <n v="89"/>
    <n v="0"/>
    <n v="51.27"/>
    <n v="222.31"/>
    <m/>
    <n v="66.787442987613147"/>
    <n v="236.64237028527376"/>
    <n v="0"/>
    <n v="172834.60509"/>
    <n v="749421.90477000002"/>
    <n v="0"/>
    <n v="225144.94506992408"/>
    <n v="797737.28527046693"/>
  </r>
  <r>
    <s v="Sistema de Compensação"/>
    <x v="1"/>
    <x v="3"/>
    <x v="1"/>
    <x v="0"/>
    <x v="2"/>
    <x v="0"/>
    <x v="1"/>
    <x v="5"/>
    <n v="0"/>
    <n v="0"/>
    <n v="393.62799999999999"/>
    <n v="393.62799999999999"/>
    <n v="393.62799999999999"/>
    <n v="393.62799999999999"/>
    <n v="0"/>
    <x v="2"/>
    <n v="0"/>
    <n v="0"/>
    <n v="21"/>
    <n v="89"/>
    <n v="0"/>
    <n v="51.27"/>
    <n v="222.31"/>
    <m/>
    <n v="66.787442987613147"/>
    <n v="236.64237028527376"/>
    <n v="0"/>
    <n v="20181.307560000001"/>
    <n v="87507.44068"/>
    <n v="0"/>
    <n v="26289.407608328187"/>
    <n v="93149.062930651737"/>
  </r>
  <r>
    <s v="Regular"/>
    <x v="1"/>
    <x v="3"/>
    <x v="1"/>
    <x v="0"/>
    <x v="2"/>
    <x v="0"/>
    <x v="1"/>
    <x v="6"/>
    <n v="0"/>
    <n v="0"/>
    <n v="3891.2249999999999"/>
    <n v="3891.2249999999999"/>
    <n v="3891.2249999999999"/>
    <n v="3891.2249999999999"/>
    <n v="0"/>
    <x v="2"/>
    <n v="0"/>
    <n v="0"/>
    <n v="21"/>
    <n v="89"/>
    <n v="0"/>
    <n v="51.27"/>
    <n v="222.31"/>
    <m/>
    <n v="66.787442987613147"/>
    <n v="236.64237028527376"/>
    <n v="0"/>
    <n v="199503.10575000002"/>
    <n v="865058.22974999994"/>
    <n v="0"/>
    <n v="259884.96783947496"/>
    <n v="920828.70731331431"/>
  </r>
  <r>
    <s v="Sistema de Compensação"/>
    <x v="1"/>
    <x v="3"/>
    <x v="1"/>
    <x v="0"/>
    <x v="2"/>
    <x v="0"/>
    <x v="1"/>
    <x v="6"/>
    <n v="0"/>
    <n v="0"/>
    <n v="452.12"/>
    <n v="452.12"/>
    <n v="452.12"/>
    <n v="452.12"/>
    <n v="0"/>
    <x v="2"/>
    <n v="0"/>
    <n v="0"/>
    <n v="21"/>
    <n v="89"/>
    <n v="0"/>
    <n v="51.27"/>
    <n v="222.31"/>
    <m/>
    <n v="66.787442987613147"/>
    <n v="236.64237028527376"/>
    <n v="0"/>
    <n v="23180.1924"/>
    <n v="100510.7972"/>
    <n v="0"/>
    <n v="30195.938723559655"/>
    <n v="106990.74845337798"/>
  </r>
  <r>
    <s v="Regular"/>
    <x v="1"/>
    <x v="3"/>
    <x v="1"/>
    <x v="0"/>
    <x v="2"/>
    <x v="0"/>
    <x v="1"/>
    <x v="7"/>
    <n v="0"/>
    <n v="0"/>
    <n v="4237.3530000000001"/>
    <n v="4237.3530000000001"/>
    <n v="4237.3530000000001"/>
    <n v="4237.3530000000001"/>
    <n v="0"/>
    <x v="2"/>
    <n v="0"/>
    <n v="0"/>
    <n v="21"/>
    <n v="89"/>
    <n v="0"/>
    <n v="51.27"/>
    <n v="222.31"/>
    <m/>
    <n v="66.787442987613147"/>
    <n v="236.64237028527376"/>
    <n v="0"/>
    <n v="217249.08831000002"/>
    <n v="942005.94543000008"/>
    <n v="0"/>
    <n v="283001.97190589155"/>
    <n v="1002737.2576554156"/>
  </r>
  <r>
    <s v="Sistema de Compensação"/>
    <x v="1"/>
    <x v="3"/>
    <x v="1"/>
    <x v="0"/>
    <x v="2"/>
    <x v="0"/>
    <x v="1"/>
    <x v="7"/>
    <n v="0"/>
    <n v="0"/>
    <n v="473.48099999999999"/>
    <n v="473.48099999999999"/>
    <n v="473.48099999999999"/>
    <n v="473.48099999999999"/>
    <n v="0"/>
    <x v="2"/>
    <n v="0"/>
    <n v="0"/>
    <n v="21"/>
    <n v="89"/>
    <n v="0"/>
    <n v="51.27"/>
    <n v="222.31"/>
    <m/>
    <n v="66.787442987613147"/>
    <n v="236.64237028527376"/>
    <n v="0"/>
    <n v="24275.370870000002"/>
    <n v="105259.56111"/>
    <n v="0"/>
    <n v="31622.585293218061"/>
    <n v="112045.66612504171"/>
  </r>
  <r>
    <s v="Regular"/>
    <x v="1"/>
    <x v="3"/>
    <x v="1"/>
    <x v="0"/>
    <x v="2"/>
    <x v="0"/>
    <x v="1"/>
    <x v="8"/>
    <n v="0"/>
    <n v="0"/>
    <n v="4234.7969999999996"/>
    <n v="4234.7969999999996"/>
    <n v="4234.7969999999996"/>
    <n v="4234.7969999999996"/>
    <n v="0"/>
    <x v="2"/>
    <n v="0"/>
    <n v="0"/>
    <n v="21"/>
    <n v="89"/>
    <n v="0"/>
    <n v="51.27"/>
    <n v="222.31"/>
    <m/>
    <n v="66.787442987613147"/>
    <n v="236.64237028527376"/>
    <n v="0"/>
    <n v="217118.04218999998"/>
    <n v="941437.72106999997"/>
    <n v="0"/>
    <n v="282831.26320161519"/>
    <n v="1002132.3997569664"/>
  </r>
  <r>
    <s v="Sistema de Compensação"/>
    <x v="1"/>
    <x v="3"/>
    <x v="1"/>
    <x v="0"/>
    <x v="2"/>
    <x v="0"/>
    <x v="1"/>
    <x v="8"/>
    <n v="0"/>
    <n v="0"/>
    <n v="499.49400000000003"/>
    <n v="499.49400000000003"/>
    <n v="499.49400000000003"/>
    <n v="499.49400000000003"/>
    <n v="0"/>
    <x v="2"/>
    <n v="0"/>
    <n v="0"/>
    <n v="21"/>
    <n v="89"/>
    <n v="0"/>
    <n v="51.27"/>
    <n v="222.31"/>
    <m/>
    <n v="66.787442987613147"/>
    <n v="236.64237028527376"/>
    <n v="0"/>
    <n v="25609.057380000002"/>
    <n v="111042.51114"/>
    <n v="0"/>
    <n v="33359.927047654841"/>
    <n v="118201.44410327253"/>
  </r>
  <r>
    <s v="Sistema de Compensação"/>
    <x v="1"/>
    <x v="3"/>
    <x v="1"/>
    <x v="0"/>
    <x v="2"/>
    <x v="0"/>
    <x v="1"/>
    <x v="8"/>
    <n v="0"/>
    <n v="0"/>
    <n v="-6.16"/>
    <n v="-6.16"/>
    <n v="-6.16"/>
    <n v="-6.16"/>
    <n v="0"/>
    <x v="2"/>
    <n v="0"/>
    <n v="0"/>
    <n v="21"/>
    <n v="89"/>
    <n v="0"/>
    <n v="51.27"/>
    <n v="222.31"/>
    <m/>
    <n v="66.787442987613147"/>
    <n v="236.64237028527376"/>
    <n v="0"/>
    <n v="-315.82320000000004"/>
    <n v="-1369.4295999999999"/>
    <n v="0"/>
    <n v="-411.41064880369697"/>
    <n v="-1457.7170009572865"/>
  </r>
  <r>
    <s v="Regular"/>
    <x v="1"/>
    <x v="3"/>
    <x v="1"/>
    <x v="0"/>
    <x v="2"/>
    <x v="0"/>
    <x v="1"/>
    <x v="9"/>
    <n v="0"/>
    <n v="0"/>
    <n v="4524.2740000000003"/>
    <n v="4524.2740000000003"/>
    <n v="4524.2740000000003"/>
    <n v="4524.2740000000003"/>
    <n v="0"/>
    <x v="2"/>
    <n v="0"/>
    <n v="0"/>
    <n v="21"/>
    <n v="89"/>
    <n v="0"/>
    <n v="51.27"/>
    <n v="222.31"/>
    <m/>
    <n v="66.787442987613147"/>
    <n v="236.64237028527376"/>
    <n v="0"/>
    <n v="231959.52798000004"/>
    <n v="1005791.3529400001"/>
    <n v="0"/>
    <n v="302164.69183534052"/>
    <n v="1070634.9231800367"/>
  </r>
  <r>
    <s v="Refaturamento - Regular"/>
    <x v="1"/>
    <x v="3"/>
    <x v="1"/>
    <x v="0"/>
    <x v="2"/>
    <x v="0"/>
    <x v="1"/>
    <x v="9"/>
    <n v="0"/>
    <n v="0"/>
    <n v="0.371"/>
    <n v="0.371"/>
    <n v="0.371"/>
    <n v="0.371"/>
    <n v="0"/>
    <x v="2"/>
    <n v="0"/>
    <n v="0"/>
    <n v="21"/>
    <n v="89"/>
    <n v="0"/>
    <n v="51.27"/>
    <n v="222.31"/>
    <m/>
    <n v="66.787442987613147"/>
    <n v="236.64237028527376"/>
    <n v="0"/>
    <n v="19.021170000000001"/>
    <n v="82.477010000000007"/>
    <n v="0"/>
    <n v="24.778141348404478"/>
    <n v="87.794319375836565"/>
  </r>
  <r>
    <s v="Sistema de Compensação"/>
    <x v="1"/>
    <x v="3"/>
    <x v="1"/>
    <x v="0"/>
    <x v="2"/>
    <x v="0"/>
    <x v="1"/>
    <x v="9"/>
    <n v="0"/>
    <n v="0"/>
    <n v="490.7"/>
    <n v="490.7"/>
    <n v="490.7"/>
    <n v="490.7"/>
    <n v="0"/>
    <x v="2"/>
    <n v="0"/>
    <n v="0"/>
    <n v="21"/>
    <n v="89"/>
    <n v="0"/>
    <n v="51.27"/>
    <n v="222.31"/>
    <m/>
    <n v="66.787442987613147"/>
    <n v="236.64237028527376"/>
    <n v="0"/>
    <n v="25158.189000000002"/>
    <n v="109087.51699999999"/>
    <n v="0"/>
    <n v="32772.598274021773"/>
    <n v="116120.41109898382"/>
  </r>
  <r>
    <s v="Regular"/>
    <x v="1"/>
    <x v="3"/>
    <x v="1"/>
    <x v="0"/>
    <x v="2"/>
    <x v="0"/>
    <x v="1"/>
    <x v="10"/>
    <n v="0"/>
    <n v="0"/>
    <n v="4166.7240000000002"/>
    <n v="4166.7240000000002"/>
    <n v="4166.7240000000002"/>
    <n v="4166.7240000000002"/>
    <n v="0"/>
    <x v="2"/>
    <n v="0"/>
    <n v="0"/>
    <n v="21"/>
    <n v="89"/>
    <n v="0"/>
    <n v="51.27"/>
    <n v="222.31"/>
    <m/>
    <n v="66.787442987613147"/>
    <n v="236.64237028527376"/>
    <n v="0"/>
    <n v="213627.93948000003"/>
    <n v="926304.4124400001"/>
    <n v="0"/>
    <n v="278284.84159511939"/>
    <n v="986023.44368453708"/>
  </r>
  <r>
    <s v="Refaturamento - Regular"/>
    <x v="1"/>
    <x v="3"/>
    <x v="1"/>
    <x v="0"/>
    <x v="2"/>
    <x v="0"/>
    <x v="1"/>
    <x v="10"/>
    <n v="0"/>
    <n v="0"/>
    <n v="-330.14499999999998"/>
    <n v="-330.14499999999998"/>
    <n v="-330.14499999999998"/>
    <n v="-330.14499999999998"/>
    <n v="0"/>
    <x v="2"/>
    <n v="0"/>
    <n v="0"/>
    <n v="21"/>
    <n v="89"/>
    <n v="0"/>
    <n v="51.27"/>
    <n v="222.31"/>
    <m/>
    <n v="66.787442987613147"/>
    <n v="236.64237028527376"/>
    <n v="0"/>
    <n v="-16926.534149999999"/>
    <n v="-73394.534950000001"/>
    <n v="0"/>
    <n v="-22049.540365145542"/>
    <n v="-78126.295337831703"/>
  </r>
  <r>
    <s v="Sistema de Compensação"/>
    <x v="1"/>
    <x v="3"/>
    <x v="1"/>
    <x v="0"/>
    <x v="2"/>
    <x v="0"/>
    <x v="1"/>
    <x v="10"/>
    <n v="0"/>
    <n v="0"/>
    <n v="487.536"/>
    <n v="487.536"/>
    <n v="487.536"/>
    <n v="487.536"/>
    <n v="0"/>
    <x v="2"/>
    <n v="0"/>
    <n v="0"/>
    <n v="21"/>
    <n v="89"/>
    <n v="0"/>
    <n v="51.27"/>
    <n v="222.31"/>
    <m/>
    <n v="66.787442987613147"/>
    <n v="236.64237028527376"/>
    <n v="0"/>
    <n v="24995.970720000001"/>
    <n v="108384.12816000001"/>
    <n v="0"/>
    <n v="32561.282804408962"/>
    <n v="115371.67463940123"/>
  </r>
  <r>
    <s v="PROJETADO"/>
    <x v="1"/>
    <x v="3"/>
    <x v="1"/>
    <x v="0"/>
    <x v="2"/>
    <x v="0"/>
    <x v="1"/>
    <x v="11"/>
    <n v="0"/>
    <n v="0"/>
    <n v="4166.7240000000002"/>
    <n v="4166.7240000000002"/>
    <n v="4166.7240000000002"/>
    <n v="4166.7240000000002"/>
    <n v="0"/>
    <x v="2"/>
    <n v="0"/>
    <n v="0"/>
    <n v="21"/>
    <n v="89"/>
    <n v="0"/>
    <n v="51.27"/>
    <n v="222.31"/>
    <m/>
    <n v="66.787442987613147"/>
    <n v="236.64237028527376"/>
    <n v="0"/>
    <n v="213627.93948000003"/>
    <n v="926304.4124400001"/>
    <n v="0"/>
    <n v="278284.84159511939"/>
    <n v="986023.44368453708"/>
  </r>
  <r>
    <s v="PROJETADO"/>
    <x v="1"/>
    <x v="3"/>
    <x v="1"/>
    <x v="0"/>
    <x v="2"/>
    <x v="0"/>
    <x v="1"/>
    <x v="11"/>
    <n v="0"/>
    <n v="0"/>
    <n v="-330.14499999999998"/>
    <n v="-330.14499999999998"/>
    <n v="-330.14499999999998"/>
    <n v="-330.14499999999998"/>
    <n v="0"/>
    <x v="2"/>
    <n v="0"/>
    <n v="0"/>
    <n v="21"/>
    <n v="89"/>
    <n v="0"/>
    <n v="51.27"/>
    <n v="222.31"/>
    <m/>
    <n v="66.787442987613147"/>
    <n v="236.64237028527376"/>
    <n v="0"/>
    <n v="-16926.534149999999"/>
    <n v="-73394.534950000001"/>
    <n v="0"/>
    <n v="-22049.540365145542"/>
    <n v="-78126.295337831703"/>
  </r>
  <r>
    <s v="PROJETADO"/>
    <x v="1"/>
    <x v="3"/>
    <x v="1"/>
    <x v="0"/>
    <x v="2"/>
    <x v="0"/>
    <x v="1"/>
    <x v="11"/>
    <n v="0"/>
    <n v="0"/>
    <n v="487.536"/>
    <n v="487.536"/>
    <n v="487.536"/>
    <n v="487.536"/>
    <n v="0"/>
    <x v="2"/>
    <n v="0"/>
    <n v="0"/>
    <n v="21"/>
    <n v="89"/>
    <n v="0"/>
    <n v="51.27"/>
    <n v="222.31"/>
    <m/>
    <n v="66.787442987613147"/>
    <n v="236.64237028527376"/>
    <n v="0"/>
    <n v="24995.970720000001"/>
    <n v="108384.12816000001"/>
    <n v="0"/>
    <n v="32561.282804408962"/>
    <n v="115371.67463940123"/>
  </r>
  <r>
    <s v="Regular"/>
    <x v="1"/>
    <x v="3"/>
    <x v="1"/>
    <x v="0"/>
    <x v="2"/>
    <x v="0"/>
    <x v="0"/>
    <x v="0"/>
    <n v="30704"/>
    <n v="30704"/>
    <n v="0"/>
    <n v="0"/>
    <n v="0"/>
    <n v="0"/>
    <n v="235"/>
    <x v="2"/>
    <n v="0"/>
    <n v="44"/>
    <n v="0"/>
    <n v="0"/>
    <n v="24.31"/>
    <n v="0"/>
    <n v="0"/>
    <n v="27.784726797371405"/>
    <m/>
    <m/>
    <n v="746414.24"/>
    <n v="0"/>
    <n v="0"/>
    <n v="853102.25158649159"/>
    <n v="0"/>
    <n v="0"/>
  </r>
  <r>
    <s v="Sistema de Compensação"/>
    <x v="1"/>
    <x v="3"/>
    <x v="1"/>
    <x v="0"/>
    <x v="2"/>
    <x v="0"/>
    <x v="0"/>
    <x v="0"/>
    <n v="1510"/>
    <n v="1510"/>
    <n v="0"/>
    <n v="0"/>
    <n v="0"/>
    <n v="0"/>
    <n v="3"/>
    <x v="2"/>
    <n v="0"/>
    <n v="44"/>
    <n v="0"/>
    <n v="0"/>
    <n v="24.31"/>
    <n v="0"/>
    <n v="0"/>
    <n v="27.784726797371405"/>
    <m/>
    <m/>
    <n v="36708.1"/>
    <n v="0"/>
    <n v="0"/>
    <n v="41954.937464030823"/>
    <n v="0"/>
    <n v="0"/>
  </r>
  <r>
    <s v="Regular"/>
    <x v="1"/>
    <x v="3"/>
    <x v="1"/>
    <x v="0"/>
    <x v="2"/>
    <x v="0"/>
    <x v="0"/>
    <x v="1"/>
    <n v="29744"/>
    <n v="29744"/>
    <n v="0"/>
    <n v="0"/>
    <n v="0"/>
    <n v="0"/>
    <n v="233"/>
    <x v="2"/>
    <n v="0"/>
    <n v="44"/>
    <n v="0"/>
    <n v="0"/>
    <n v="24.31"/>
    <n v="0"/>
    <n v="0"/>
    <n v="27.784726797371405"/>
    <m/>
    <m/>
    <n v="723076.64"/>
    <n v="0"/>
    <n v="0"/>
    <n v="826428.91386101511"/>
    <n v="0"/>
    <n v="0"/>
  </r>
  <r>
    <s v="Refaturamento - Regular"/>
    <x v="1"/>
    <x v="3"/>
    <x v="1"/>
    <x v="0"/>
    <x v="2"/>
    <x v="0"/>
    <x v="0"/>
    <x v="1"/>
    <n v="-70"/>
    <n v="-70"/>
    <n v="0"/>
    <n v="0"/>
    <n v="0"/>
    <n v="0"/>
    <n v="0"/>
    <x v="2"/>
    <n v="0"/>
    <n v="44"/>
    <n v="0"/>
    <n v="0"/>
    <n v="24.31"/>
    <n v="0"/>
    <n v="0"/>
    <n v="27.784726797371405"/>
    <m/>
    <m/>
    <n v="-1701.6999999999998"/>
    <n v="0"/>
    <n v="0"/>
    <n v="-1944.9308758159984"/>
    <n v="0"/>
    <n v="0"/>
  </r>
  <r>
    <s v="Sistema de Compensação"/>
    <x v="1"/>
    <x v="3"/>
    <x v="1"/>
    <x v="0"/>
    <x v="2"/>
    <x v="0"/>
    <x v="0"/>
    <x v="1"/>
    <n v="2390"/>
    <n v="2390"/>
    <n v="0"/>
    <n v="0"/>
    <n v="0"/>
    <n v="0"/>
    <n v="6"/>
    <x v="2"/>
    <n v="0"/>
    <n v="44"/>
    <n v="0"/>
    <n v="0"/>
    <n v="24.31"/>
    <n v="0"/>
    <n v="0"/>
    <n v="27.784726797371405"/>
    <m/>
    <m/>
    <n v="58100.899999999994"/>
    <n v="0"/>
    <n v="0"/>
    <n v="66405.497045717653"/>
    <n v="0"/>
    <n v="0"/>
  </r>
  <r>
    <s v="Regular"/>
    <x v="1"/>
    <x v="3"/>
    <x v="1"/>
    <x v="0"/>
    <x v="2"/>
    <x v="0"/>
    <x v="0"/>
    <x v="2"/>
    <n v="29407"/>
    <n v="29407"/>
    <n v="0"/>
    <n v="0"/>
    <n v="0"/>
    <n v="0"/>
    <n v="232"/>
    <x v="2"/>
    <n v="0"/>
    <n v="44"/>
    <n v="0"/>
    <n v="0"/>
    <n v="24.31"/>
    <n v="0"/>
    <n v="0"/>
    <n v="27.784726797371405"/>
    <m/>
    <m/>
    <n v="714884.16999999993"/>
    <n v="0"/>
    <n v="0"/>
    <n v="817065.46093030088"/>
    <n v="0"/>
    <n v="0"/>
  </r>
  <r>
    <s v="Sistema de Compensação"/>
    <x v="1"/>
    <x v="3"/>
    <x v="1"/>
    <x v="0"/>
    <x v="2"/>
    <x v="0"/>
    <x v="0"/>
    <x v="2"/>
    <n v="2640"/>
    <n v="2640"/>
    <n v="0"/>
    <n v="0"/>
    <n v="0"/>
    <n v="0"/>
    <n v="7"/>
    <x v="2"/>
    <n v="0"/>
    <n v="44"/>
    <n v="0"/>
    <n v="0"/>
    <n v="24.31"/>
    <n v="0"/>
    <n v="0"/>
    <n v="27.784726797371405"/>
    <m/>
    <m/>
    <n v="64178.399999999994"/>
    <n v="0"/>
    <n v="0"/>
    <n v="73351.678745060504"/>
    <n v="0"/>
    <n v="0"/>
  </r>
  <r>
    <s v="Regular"/>
    <x v="1"/>
    <x v="3"/>
    <x v="1"/>
    <x v="0"/>
    <x v="2"/>
    <x v="0"/>
    <x v="0"/>
    <x v="3"/>
    <n v="29599"/>
    <n v="29599"/>
    <n v="0"/>
    <n v="0"/>
    <n v="0"/>
    <n v="0"/>
    <n v="233"/>
    <x v="2"/>
    <n v="0"/>
    <n v="44"/>
    <n v="0"/>
    <n v="0"/>
    <n v="24.31"/>
    <n v="0"/>
    <n v="0"/>
    <n v="27.784726797371405"/>
    <m/>
    <m/>
    <n v="719551.69"/>
    <n v="0"/>
    <n v="0"/>
    <n v="822400.1284753962"/>
    <n v="0"/>
    <n v="0"/>
  </r>
  <r>
    <s v="Sistema de Compensação"/>
    <x v="1"/>
    <x v="3"/>
    <x v="1"/>
    <x v="0"/>
    <x v="2"/>
    <x v="0"/>
    <x v="0"/>
    <x v="3"/>
    <n v="2640"/>
    <n v="2640"/>
    <n v="0"/>
    <n v="0"/>
    <n v="0"/>
    <n v="0"/>
    <n v="7"/>
    <x v="2"/>
    <n v="0"/>
    <n v="44"/>
    <n v="0"/>
    <n v="0"/>
    <n v="24.31"/>
    <n v="0"/>
    <n v="0"/>
    <n v="27.784726797371405"/>
    <m/>
    <m/>
    <n v="64178.399999999994"/>
    <n v="0"/>
    <n v="0"/>
    <n v="73351.678745060504"/>
    <n v="0"/>
    <n v="0"/>
  </r>
  <r>
    <s v="Regular"/>
    <x v="1"/>
    <x v="3"/>
    <x v="1"/>
    <x v="0"/>
    <x v="2"/>
    <x v="0"/>
    <x v="0"/>
    <x v="4"/>
    <n v="29574"/>
    <n v="29574"/>
    <n v="0"/>
    <n v="0"/>
    <n v="0"/>
    <n v="0"/>
    <n v="232"/>
    <x v="2"/>
    <n v="0"/>
    <n v="44"/>
    <n v="0"/>
    <n v="0"/>
    <n v="24.31"/>
    <n v="0"/>
    <n v="0"/>
    <n v="27.784726797371405"/>
    <m/>
    <m/>
    <n v="718943.94"/>
    <n v="0"/>
    <n v="0"/>
    <n v="821705.51030546194"/>
    <n v="0"/>
    <n v="0"/>
  </r>
  <r>
    <s v="Sistema de Compensação"/>
    <x v="1"/>
    <x v="3"/>
    <x v="1"/>
    <x v="0"/>
    <x v="2"/>
    <x v="0"/>
    <x v="0"/>
    <x v="4"/>
    <n v="2640"/>
    <n v="2640"/>
    <n v="0"/>
    <n v="0"/>
    <n v="0"/>
    <n v="0"/>
    <n v="8"/>
    <x v="2"/>
    <n v="0"/>
    <n v="44"/>
    <n v="0"/>
    <n v="0"/>
    <n v="24.31"/>
    <n v="0"/>
    <n v="0"/>
    <n v="27.784726797371405"/>
    <m/>
    <m/>
    <n v="64178.399999999994"/>
    <n v="0"/>
    <n v="0"/>
    <n v="73351.678745060504"/>
    <n v="0"/>
    <n v="0"/>
  </r>
  <r>
    <s v="Sistema de Compensação"/>
    <x v="1"/>
    <x v="3"/>
    <x v="1"/>
    <x v="0"/>
    <x v="2"/>
    <x v="0"/>
    <x v="0"/>
    <x v="4"/>
    <n v="-400"/>
    <n v="-400"/>
    <n v="0"/>
    <n v="0"/>
    <n v="0"/>
    <n v="0"/>
    <n v="0"/>
    <x v="2"/>
    <n v="0"/>
    <n v="44"/>
    <n v="0"/>
    <n v="0"/>
    <n v="24.31"/>
    <n v="0"/>
    <n v="0"/>
    <n v="27.784726797371405"/>
    <m/>
    <m/>
    <n v="-9724"/>
    <n v="0"/>
    <n v="0"/>
    <n v="-11113.890718948562"/>
    <n v="0"/>
    <n v="0"/>
  </r>
  <r>
    <s v="Regular"/>
    <x v="1"/>
    <x v="3"/>
    <x v="1"/>
    <x v="0"/>
    <x v="2"/>
    <x v="0"/>
    <x v="0"/>
    <x v="5"/>
    <n v="29648"/>
    <n v="29648"/>
    <n v="0"/>
    <n v="0"/>
    <n v="0"/>
    <n v="0"/>
    <n v="232"/>
    <x v="2"/>
    <n v="0"/>
    <n v="44"/>
    <n v="0"/>
    <n v="0"/>
    <n v="24.31"/>
    <n v="0"/>
    <n v="0"/>
    <n v="27.784726797371405"/>
    <m/>
    <m/>
    <n v="720742.88"/>
    <n v="0"/>
    <n v="0"/>
    <n v="823761.58008846745"/>
    <n v="0"/>
    <n v="0"/>
  </r>
  <r>
    <s v="Sistema de Compensação"/>
    <x v="1"/>
    <x v="3"/>
    <x v="1"/>
    <x v="0"/>
    <x v="2"/>
    <x v="0"/>
    <x v="0"/>
    <x v="5"/>
    <n v="2640"/>
    <n v="2640"/>
    <n v="0"/>
    <n v="0"/>
    <n v="0"/>
    <n v="0"/>
    <n v="8"/>
    <x v="2"/>
    <n v="0"/>
    <n v="44"/>
    <n v="0"/>
    <n v="0"/>
    <n v="24.31"/>
    <n v="0"/>
    <n v="0"/>
    <n v="27.784726797371405"/>
    <m/>
    <m/>
    <n v="64178.399999999994"/>
    <n v="0"/>
    <n v="0"/>
    <n v="73351.678745060504"/>
    <n v="0"/>
    <n v="0"/>
  </r>
  <r>
    <s v="Regular"/>
    <x v="1"/>
    <x v="3"/>
    <x v="1"/>
    <x v="0"/>
    <x v="2"/>
    <x v="0"/>
    <x v="0"/>
    <x v="6"/>
    <n v="29797"/>
    <n v="29797"/>
    <n v="0"/>
    <n v="0"/>
    <n v="0"/>
    <n v="0"/>
    <n v="233"/>
    <x v="2"/>
    <n v="0"/>
    <n v="44"/>
    <n v="0"/>
    <n v="0"/>
    <n v="24.31"/>
    <n v="0"/>
    <n v="0"/>
    <n v="27.784726797371405"/>
    <m/>
    <m/>
    <n v="724365.07"/>
    <n v="0"/>
    <n v="0"/>
    <n v="827901.50438127574"/>
    <n v="0"/>
    <n v="0"/>
  </r>
  <r>
    <s v="Sistema de Compensação"/>
    <x v="1"/>
    <x v="3"/>
    <x v="1"/>
    <x v="0"/>
    <x v="2"/>
    <x v="0"/>
    <x v="0"/>
    <x v="6"/>
    <n v="2535"/>
    <n v="2535"/>
    <n v="0"/>
    <n v="0"/>
    <n v="0"/>
    <n v="0"/>
    <n v="8"/>
    <x v="2"/>
    <n v="0"/>
    <n v="44"/>
    <n v="0"/>
    <n v="0"/>
    <n v="24.31"/>
    <n v="0"/>
    <n v="0"/>
    <n v="27.784726797371405"/>
    <m/>
    <m/>
    <n v="61625.85"/>
    <n v="0"/>
    <n v="0"/>
    <n v="70434.282431336513"/>
    <n v="0"/>
    <n v="0"/>
  </r>
  <r>
    <s v="Regular"/>
    <x v="1"/>
    <x v="3"/>
    <x v="1"/>
    <x v="0"/>
    <x v="2"/>
    <x v="0"/>
    <x v="0"/>
    <x v="7"/>
    <n v="29908"/>
    <n v="29908"/>
    <n v="0"/>
    <n v="0"/>
    <n v="0"/>
    <n v="0"/>
    <n v="232"/>
    <x v="2"/>
    <n v="0"/>
    <n v="44"/>
    <n v="0"/>
    <n v="0"/>
    <n v="24.31"/>
    <n v="0"/>
    <n v="0"/>
    <n v="27.784726797371405"/>
    <m/>
    <m/>
    <n v="727063.48"/>
    <n v="0"/>
    <n v="0"/>
    <n v="830985.60905578395"/>
    <n v="0"/>
    <n v="0"/>
  </r>
  <r>
    <s v="Sistema de Compensação"/>
    <x v="1"/>
    <x v="3"/>
    <x v="1"/>
    <x v="0"/>
    <x v="2"/>
    <x v="0"/>
    <x v="0"/>
    <x v="7"/>
    <n v="2625"/>
    <n v="2625"/>
    <n v="0"/>
    <n v="0"/>
    <n v="0"/>
    <n v="0"/>
    <n v="9"/>
    <x v="2"/>
    <n v="0"/>
    <n v="44"/>
    <n v="0"/>
    <n v="0"/>
    <n v="24.31"/>
    <n v="0"/>
    <n v="0"/>
    <n v="27.784726797371405"/>
    <m/>
    <m/>
    <n v="63813.75"/>
    <n v="0"/>
    <n v="0"/>
    <n v="72934.907843099936"/>
    <n v="0"/>
    <n v="0"/>
  </r>
  <r>
    <s v="Regular"/>
    <x v="1"/>
    <x v="3"/>
    <x v="1"/>
    <x v="0"/>
    <x v="2"/>
    <x v="0"/>
    <x v="0"/>
    <x v="8"/>
    <n v="29855"/>
    <n v="29855"/>
    <n v="0"/>
    <n v="0"/>
    <n v="0"/>
    <n v="0"/>
    <n v="232"/>
    <x v="2"/>
    <n v="0"/>
    <n v="44"/>
    <n v="0"/>
    <n v="0"/>
    <n v="24.31"/>
    <n v="0"/>
    <n v="0"/>
    <n v="27.784726797371405"/>
    <m/>
    <m/>
    <n v="725775.04999999993"/>
    <n v="0"/>
    <n v="0"/>
    <n v="829513.01853552333"/>
    <n v="0"/>
    <n v="0"/>
  </r>
  <r>
    <s v="Sistema de Compensação"/>
    <x v="1"/>
    <x v="3"/>
    <x v="1"/>
    <x v="0"/>
    <x v="2"/>
    <x v="0"/>
    <x v="0"/>
    <x v="8"/>
    <n v="2780"/>
    <n v="2780"/>
    <n v="0"/>
    <n v="0"/>
    <n v="0"/>
    <n v="0"/>
    <n v="11"/>
    <x v="2"/>
    <n v="0"/>
    <n v="44"/>
    <n v="0"/>
    <n v="0"/>
    <n v="24.31"/>
    <n v="0"/>
    <n v="0"/>
    <n v="27.784726797371405"/>
    <m/>
    <m/>
    <n v="67581.8"/>
    <n v="0"/>
    <n v="0"/>
    <n v="77241.540496692513"/>
    <n v="0"/>
    <n v="0"/>
  </r>
  <r>
    <s v="Regular"/>
    <x v="1"/>
    <x v="3"/>
    <x v="1"/>
    <x v="0"/>
    <x v="2"/>
    <x v="0"/>
    <x v="0"/>
    <x v="9"/>
    <n v="31488"/>
    <n v="31488"/>
    <n v="0"/>
    <n v="0"/>
    <n v="0"/>
    <n v="0"/>
    <n v="232"/>
    <x v="2"/>
    <n v="0"/>
    <n v="44"/>
    <n v="0"/>
    <n v="0"/>
    <n v="24.31"/>
    <n v="0"/>
    <n v="0"/>
    <n v="27.784726797371405"/>
    <m/>
    <m/>
    <n v="765473.27999999991"/>
    <n v="0"/>
    <n v="0"/>
    <n v="874885.47739563079"/>
    <n v="0"/>
    <n v="0"/>
  </r>
  <r>
    <s v="Refaturamento - Regular"/>
    <x v="1"/>
    <x v="3"/>
    <x v="1"/>
    <x v="0"/>
    <x v="2"/>
    <x v="0"/>
    <x v="0"/>
    <x v="9"/>
    <n v="-180"/>
    <n v="-180"/>
    <n v="0"/>
    <n v="0"/>
    <n v="0"/>
    <n v="0"/>
    <n v="1"/>
    <x v="2"/>
    <n v="0"/>
    <n v="44"/>
    <n v="0"/>
    <n v="0"/>
    <n v="24.31"/>
    <n v="0"/>
    <n v="0"/>
    <n v="27.784726797371405"/>
    <m/>
    <m/>
    <n v="-4375.8"/>
    <n v="0"/>
    <n v="0"/>
    <n v="-5001.2508235268533"/>
    <n v="0"/>
    <n v="0"/>
  </r>
  <r>
    <s v="Sistema de Compensação"/>
    <x v="1"/>
    <x v="3"/>
    <x v="1"/>
    <x v="0"/>
    <x v="2"/>
    <x v="0"/>
    <x v="0"/>
    <x v="9"/>
    <n v="2831"/>
    <n v="2831"/>
    <n v="0"/>
    <n v="0"/>
    <n v="0"/>
    <n v="0"/>
    <n v="12"/>
    <x v="2"/>
    <n v="0"/>
    <n v="44"/>
    <n v="0"/>
    <n v="0"/>
    <n v="24.31"/>
    <n v="0"/>
    <n v="0"/>
    <n v="27.784726797371405"/>
    <m/>
    <m/>
    <n v="68821.61"/>
    <n v="0"/>
    <n v="0"/>
    <n v="78658.561563358453"/>
    <n v="0"/>
    <n v="0"/>
  </r>
  <r>
    <s v="Regular"/>
    <x v="1"/>
    <x v="3"/>
    <x v="1"/>
    <x v="0"/>
    <x v="2"/>
    <x v="0"/>
    <x v="0"/>
    <x v="10"/>
    <n v="29952"/>
    <n v="29952"/>
    <n v="0"/>
    <n v="0"/>
    <n v="0"/>
    <n v="0"/>
    <n v="235"/>
    <x v="2"/>
    <n v="0"/>
    <n v="44"/>
    <n v="0"/>
    <n v="0"/>
    <n v="24.31"/>
    <n v="0"/>
    <n v="0"/>
    <n v="27.784726797371405"/>
    <m/>
    <m/>
    <n v="728133.12"/>
    <n v="0"/>
    <n v="0"/>
    <n v="832208.13703486836"/>
    <n v="0"/>
    <n v="0"/>
  </r>
  <r>
    <s v="Refaturamento - Regular"/>
    <x v="1"/>
    <x v="3"/>
    <x v="1"/>
    <x v="0"/>
    <x v="2"/>
    <x v="0"/>
    <x v="0"/>
    <x v="10"/>
    <n v="-1990"/>
    <n v="-1990"/>
    <n v="0"/>
    <n v="0"/>
    <n v="0"/>
    <n v="0"/>
    <n v="1"/>
    <x v="2"/>
    <n v="0"/>
    <n v="44"/>
    <n v="0"/>
    <n v="0"/>
    <n v="24.31"/>
    <n v="0"/>
    <n v="0"/>
    <n v="27.784726797371405"/>
    <m/>
    <m/>
    <n v="-48376.899999999994"/>
    <n v="0"/>
    <n v="0"/>
    <n v="-55291.606326769099"/>
    <n v="0"/>
    <n v="0"/>
  </r>
  <r>
    <s v="Sistema de Compensação"/>
    <x v="1"/>
    <x v="3"/>
    <x v="1"/>
    <x v="0"/>
    <x v="2"/>
    <x v="0"/>
    <x v="0"/>
    <x v="10"/>
    <n v="2810"/>
    <n v="2810"/>
    <n v="0"/>
    <n v="0"/>
    <n v="0"/>
    <n v="0"/>
    <n v="12"/>
    <x v="2"/>
    <n v="0"/>
    <n v="44"/>
    <n v="0"/>
    <n v="0"/>
    <n v="24.31"/>
    <n v="0"/>
    <n v="0"/>
    <n v="27.784726797371405"/>
    <m/>
    <m/>
    <n v="68311.099999999991"/>
    <n v="0"/>
    <n v="0"/>
    <n v="78075.082300613649"/>
    <n v="0"/>
    <n v="0"/>
  </r>
  <r>
    <s v="PROJETADO"/>
    <x v="1"/>
    <x v="3"/>
    <x v="1"/>
    <x v="0"/>
    <x v="2"/>
    <x v="0"/>
    <x v="0"/>
    <x v="11"/>
    <n v="29952"/>
    <n v="29952"/>
    <n v="0"/>
    <n v="0"/>
    <n v="0"/>
    <n v="0"/>
    <n v="235"/>
    <x v="2"/>
    <n v="0"/>
    <n v="44"/>
    <n v="0"/>
    <n v="0"/>
    <n v="24.31"/>
    <n v="0"/>
    <n v="0"/>
    <n v="27.784726797371405"/>
    <m/>
    <m/>
    <n v="728133.12"/>
    <n v="0"/>
    <n v="0"/>
    <n v="832208.13703486836"/>
    <n v="0"/>
    <n v="0"/>
  </r>
  <r>
    <s v="PROJETADO"/>
    <x v="1"/>
    <x v="3"/>
    <x v="1"/>
    <x v="0"/>
    <x v="2"/>
    <x v="0"/>
    <x v="0"/>
    <x v="11"/>
    <n v="-1990"/>
    <n v="-1990"/>
    <n v="0"/>
    <n v="0"/>
    <n v="0"/>
    <n v="0"/>
    <n v="1"/>
    <x v="2"/>
    <n v="0"/>
    <n v="44"/>
    <n v="0"/>
    <n v="0"/>
    <n v="24.31"/>
    <n v="0"/>
    <n v="0"/>
    <n v="27.784726797371405"/>
    <m/>
    <m/>
    <n v="-48376.899999999994"/>
    <n v="0"/>
    <n v="0"/>
    <n v="-55291.606326769099"/>
    <n v="0"/>
    <n v="0"/>
  </r>
  <r>
    <s v="PROJETADO"/>
    <x v="1"/>
    <x v="3"/>
    <x v="1"/>
    <x v="0"/>
    <x v="2"/>
    <x v="0"/>
    <x v="0"/>
    <x v="11"/>
    <n v="2810"/>
    <n v="2810"/>
    <n v="0"/>
    <n v="0"/>
    <n v="0"/>
    <n v="0"/>
    <n v="12"/>
    <x v="2"/>
    <n v="0"/>
    <n v="44"/>
    <n v="0"/>
    <n v="0"/>
    <n v="24.31"/>
    <n v="0"/>
    <n v="0"/>
    <n v="27.784726797371405"/>
    <m/>
    <m/>
    <n v="68311.099999999991"/>
    <n v="0"/>
    <n v="0"/>
    <n v="78075.082300613649"/>
    <n v="0"/>
    <n v="0"/>
  </r>
  <r>
    <s v="Regular"/>
    <x v="1"/>
    <x v="3"/>
    <x v="1"/>
    <x v="0"/>
    <x v="2"/>
    <x v="0"/>
    <x v="2"/>
    <x v="0"/>
    <n v="0"/>
    <n v="0"/>
    <n v="284.88600000000002"/>
    <n v="284.88600000000002"/>
    <n v="284.88600000000002"/>
    <n v="284.88600000000002"/>
    <n v="0"/>
    <x v="2"/>
    <n v="0"/>
    <n v="0"/>
    <n v="20"/>
    <n v="88"/>
    <n v="0"/>
    <n v="1564.59"/>
    <n v="365.5"/>
    <m/>
    <n v="1922.323293423678"/>
    <n v="382.75425465660959"/>
    <n v="0"/>
    <n v="445729.78674000001"/>
    <n v="104125.83300000001"/>
    <n v="0"/>
    <n v="547642.99377029797"/>
    <n v="109041.32859210289"/>
  </r>
  <r>
    <s v="Sistema de Compensação"/>
    <x v="1"/>
    <x v="3"/>
    <x v="1"/>
    <x v="0"/>
    <x v="2"/>
    <x v="0"/>
    <x v="2"/>
    <x v="0"/>
    <n v="0"/>
    <n v="0"/>
    <n v="30.649000000000001"/>
    <n v="30.649000000000001"/>
    <n v="30.649000000000001"/>
    <n v="30.649000000000001"/>
    <n v="0"/>
    <x v="2"/>
    <n v="0"/>
    <n v="0"/>
    <n v="20"/>
    <n v="88"/>
    <n v="0"/>
    <n v="1564.59"/>
    <n v="365.5"/>
    <m/>
    <n v="1922.323293423678"/>
    <n v="382.75425465660959"/>
    <n v="0"/>
    <n v="47953.118909999997"/>
    <n v="11202.209500000001"/>
    <n v="0"/>
    <n v="58917.286620142309"/>
    <n v="11731.035150970427"/>
  </r>
  <r>
    <s v="Regular"/>
    <x v="1"/>
    <x v="3"/>
    <x v="1"/>
    <x v="0"/>
    <x v="2"/>
    <x v="0"/>
    <x v="2"/>
    <x v="1"/>
    <n v="0"/>
    <n v="0"/>
    <n v="262.16000000000003"/>
    <n v="262.16000000000003"/>
    <n v="262.16000000000003"/>
    <n v="262.16000000000003"/>
    <n v="0"/>
    <x v="2"/>
    <n v="0"/>
    <n v="0"/>
    <n v="20"/>
    <n v="88"/>
    <n v="0"/>
    <n v="1564.59"/>
    <n v="365.5"/>
    <m/>
    <n v="1922.323293423678"/>
    <n v="382.75425465660959"/>
    <n v="0"/>
    <n v="410172.91440000001"/>
    <n v="95819.48000000001"/>
    <n v="0"/>
    <n v="503956.27460395149"/>
    <n v="100342.85540077678"/>
  </r>
  <r>
    <s v="Sistema de Compensação"/>
    <x v="1"/>
    <x v="3"/>
    <x v="1"/>
    <x v="0"/>
    <x v="2"/>
    <x v="0"/>
    <x v="2"/>
    <x v="1"/>
    <n v="0"/>
    <n v="0"/>
    <n v="33.372"/>
    <n v="33.372"/>
    <n v="33.372"/>
    <n v="33.372"/>
    <n v="0"/>
    <x v="2"/>
    <n v="0"/>
    <n v="0"/>
    <n v="20"/>
    <n v="88"/>
    <n v="0"/>
    <n v="1564.59"/>
    <n v="365.5"/>
    <m/>
    <n v="1922.323293423678"/>
    <n v="382.75425465660959"/>
    <n v="0"/>
    <n v="52213.497479999998"/>
    <n v="12197.466"/>
    <n v="0"/>
    <n v="64151.772948134982"/>
    <n v="12773.274986400374"/>
  </r>
  <r>
    <s v="Regular"/>
    <x v="1"/>
    <x v="3"/>
    <x v="1"/>
    <x v="0"/>
    <x v="2"/>
    <x v="0"/>
    <x v="2"/>
    <x v="2"/>
    <n v="0"/>
    <n v="0"/>
    <n v="247.381"/>
    <n v="247.381"/>
    <n v="247.381"/>
    <n v="247.381"/>
    <n v="0"/>
    <x v="2"/>
    <n v="0"/>
    <n v="0"/>
    <n v="20"/>
    <n v="88"/>
    <n v="0"/>
    <n v="1564.59"/>
    <n v="365.5"/>
    <m/>
    <n v="1922.323293423678"/>
    <n v="382.75425465660959"/>
    <n v="0"/>
    <n v="387049.83879000001"/>
    <n v="90417.755499999999"/>
    <n v="0"/>
    <n v="475546.25865044288"/>
    <n v="94686.130271206741"/>
  </r>
  <r>
    <s v="Sistema de Compensação"/>
    <x v="1"/>
    <x v="3"/>
    <x v="1"/>
    <x v="0"/>
    <x v="2"/>
    <x v="0"/>
    <x v="2"/>
    <x v="2"/>
    <n v="0"/>
    <n v="0"/>
    <n v="34.637"/>
    <n v="34.637"/>
    <n v="34.637"/>
    <n v="34.637"/>
    <n v="0"/>
    <x v="2"/>
    <n v="0"/>
    <n v="0"/>
    <n v="20"/>
    <n v="88"/>
    <n v="0"/>
    <n v="1564.59"/>
    <n v="365.5"/>
    <m/>
    <n v="1922.323293423678"/>
    <n v="382.75425465660959"/>
    <n v="0"/>
    <n v="54192.703829999999"/>
    <n v="12659.8235"/>
    <n v="0"/>
    <n v="66583.511914315939"/>
    <n v="13257.459118540986"/>
  </r>
  <r>
    <s v="Regular"/>
    <x v="1"/>
    <x v="3"/>
    <x v="1"/>
    <x v="0"/>
    <x v="2"/>
    <x v="0"/>
    <x v="2"/>
    <x v="3"/>
    <n v="0"/>
    <n v="0"/>
    <n v="242.22"/>
    <n v="242.22"/>
    <n v="242.22"/>
    <n v="242.22"/>
    <n v="0"/>
    <x v="2"/>
    <n v="0"/>
    <n v="0"/>
    <n v="20"/>
    <n v="88"/>
    <n v="0"/>
    <n v="1564.59"/>
    <n v="365.5"/>
    <m/>
    <n v="1922.323293423678"/>
    <n v="382.75425465660959"/>
    <n v="0"/>
    <n v="378974.98979999998"/>
    <n v="88531.41"/>
    <n v="0"/>
    <n v="465625.1481330833"/>
    <n v="92710.735562923976"/>
  </r>
  <r>
    <s v="Sistema de Compensação"/>
    <x v="1"/>
    <x v="3"/>
    <x v="1"/>
    <x v="0"/>
    <x v="2"/>
    <x v="0"/>
    <x v="2"/>
    <x v="3"/>
    <n v="0"/>
    <n v="0"/>
    <n v="34.957999999999998"/>
    <n v="34.957999999999998"/>
    <n v="34.957999999999998"/>
    <n v="34.957999999999998"/>
    <n v="0"/>
    <x v="2"/>
    <n v="0"/>
    <n v="0"/>
    <n v="20"/>
    <n v="88"/>
    <n v="0"/>
    <n v="1564.59"/>
    <n v="365.5"/>
    <m/>
    <n v="1922.323293423678"/>
    <n v="382.75425465660959"/>
    <n v="0"/>
    <n v="54694.937219999993"/>
    <n v="12777.148999999999"/>
    <n v="0"/>
    <n v="67200.577691504936"/>
    <n v="13380.323234285757"/>
  </r>
  <r>
    <s v="Regular"/>
    <x v="1"/>
    <x v="3"/>
    <x v="1"/>
    <x v="0"/>
    <x v="2"/>
    <x v="0"/>
    <x v="2"/>
    <x v="4"/>
    <n v="0"/>
    <n v="0"/>
    <n v="253.83799999999999"/>
    <n v="253.83799999999999"/>
    <n v="253.83799999999999"/>
    <n v="253.83799999999999"/>
    <n v="0"/>
    <x v="2"/>
    <n v="0"/>
    <n v="0"/>
    <n v="20"/>
    <n v="88"/>
    <n v="0"/>
    <n v="1564.59"/>
    <n v="365.5"/>
    <m/>
    <n v="1922.323293423678"/>
    <n v="382.75425465660959"/>
    <n v="0"/>
    <n v="397152.39641999995"/>
    <n v="92777.789000000004"/>
    <n v="0"/>
    <n v="487958.70015607955"/>
    <n v="97157.574493524458"/>
  </r>
  <r>
    <s v="Sistema de Compensação"/>
    <x v="1"/>
    <x v="3"/>
    <x v="1"/>
    <x v="0"/>
    <x v="2"/>
    <x v="0"/>
    <x v="2"/>
    <x v="4"/>
    <n v="0"/>
    <n v="0"/>
    <n v="35.442999999999998"/>
    <n v="35.442999999999998"/>
    <n v="35.442999999999998"/>
    <n v="35.442999999999998"/>
    <n v="0"/>
    <x v="2"/>
    <n v="0"/>
    <n v="0"/>
    <n v="20"/>
    <n v="88"/>
    <n v="0"/>
    <n v="1564.59"/>
    <n v="365.5"/>
    <m/>
    <n v="1922.323293423678"/>
    <n v="382.75425465660959"/>
    <n v="0"/>
    <n v="55453.763369999993"/>
    <n v="12954.416499999999"/>
    <n v="0"/>
    <n v="68132.904488815417"/>
    <n v="13565.959047794213"/>
  </r>
  <r>
    <s v="Regular"/>
    <x v="1"/>
    <x v="3"/>
    <x v="1"/>
    <x v="0"/>
    <x v="2"/>
    <x v="0"/>
    <x v="2"/>
    <x v="5"/>
    <n v="0"/>
    <n v="0"/>
    <n v="262.44099999999997"/>
    <n v="262.44099999999997"/>
    <n v="262.44099999999997"/>
    <n v="262.44099999999997"/>
    <n v="0"/>
    <x v="2"/>
    <n v="0"/>
    <n v="0"/>
    <n v="20"/>
    <n v="88"/>
    <n v="0"/>
    <n v="1564.59"/>
    <n v="365.5"/>
    <m/>
    <n v="1922.323293423678"/>
    <n v="382.75425465660959"/>
    <n v="0"/>
    <n v="410612.56418999995"/>
    <n v="95922.185499999992"/>
    <n v="0"/>
    <n v="504496.44744940341"/>
    <n v="100450.40934633526"/>
  </r>
  <r>
    <s v="Sistema de Compensação"/>
    <x v="1"/>
    <x v="3"/>
    <x v="1"/>
    <x v="0"/>
    <x v="2"/>
    <x v="0"/>
    <x v="2"/>
    <x v="5"/>
    <n v="0"/>
    <n v="0"/>
    <n v="37.533999999999999"/>
    <n v="37.533999999999999"/>
    <n v="37.533999999999999"/>
    <n v="37.533999999999999"/>
    <n v="0"/>
    <x v="2"/>
    <n v="0"/>
    <n v="0"/>
    <n v="20"/>
    <n v="88"/>
    <n v="0"/>
    <n v="1564.59"/>
    <n v="365.5"/>
    <m/>
    <n v="1922.323293423678"/>
    <n v="382.75425465660959"/>
    <n v="0"/>
    <n v="58725.321059999995"/>
    <n v="13718.677"/>
    <n v="0"/>
    <n v="72152.482495364326"/>
    <n v="14366.298194281184"/>
  </r>
  <r>
    <s v="Regular"/>
    <x v="1"/>
    <x v="3"/>
    <x v="1"/>
    <x v="0"/>
    <x v="2"/>
    <x v="0"/>
    <x v="2"/>
    <x v="6"/>
    <n v="0"/>
    <n v="0"/>
    <n v="278.59199999999998"/>
    <n v="278.59199999999998"/>
    <n v="278.59199999999998"/>
    <n v="278.59199999999998"/>
    <n v="0"/>
    <x v="2"/>
    <n v="0"/>
    <n v="0"/>
    <n v="20"/>
    <n v="88"/>
    <n v="0"/>
    <n v="1564.59"/>
    <n v="365.5"/>
    <m/>
    <n v="1922.323293423678"/>
    <n v="382.75425465660959"/>
    <n v="0"/>
    <n v="435882.25727999996"/>
    <n v="101825.37599999999"/>
    <n v="0"/>
    <n v="535543.89096148929"/>
    <n v="106632.27331329418"/>
  </r>
  <r>
    <s v="Sistema de Compensação"/>
    <x v="1"/>
    <x v="3"/>
    <x v="1"/>
    <x v="0"/>
    <x v="2"/>
    <x v="0"/>
    <x v="2"/>
    <x v="6"/>
    <n v="0"/>
    <n v="0"/>
    <n v="39.609000000000002"/>
    <n v="39.609000000000002"/>
    <n v="39.609000000000002"/>
    <n v="39.609000000000002"/>
    <n v="0"/>
    <x v="2"/>
    <n v="0"/>
    <n v="0"/>
    <n v="20"/>
    <n v="88"/>
    <n v="0"/>
    <n v="1564.59"/>
    <n v="365.5"/>
    <m/>
    <n v="1922.323293423678"/>
    <n v="382.75425465660959"/>
    <n v="0"/>
    <n v="61971.845309999997"/>
    <n v="14477.0895"/>
    <n v="0"/>
    <n v="76141.30332921847"/>
    <n v="15160.51327269365"/>
  </r>
  <r>
    <s v="Regular"/>
    <x v="1"/>
    <x v="3"/>
    <x v="1"/>
    <x v="0"/>
    <x v="2"/>
    <x v="0"/>
    <x v="2"/>
    <x v="7"/>
    <n v="0"/>
    <n v="0"/>
    <n v="312.45400000000001"/>
    <n v="312.45400000000001"/>
    <n v="312.45400000000001"/>
    <n v="312.45400000000001"/>
    <n v="0"/>
    <x v="2"/>
    <n v="0"/>
    <n v="0"/>
    <n v="20"/>
    <n v="88"/>
    <n v="0"/>
    <n v="1564.59"/>
    <n v="365.5"/>
    <m/>
    <n v="1922.323293423678"/>
    <n v="382.75425465660959"/>
    <n v="0"/>
    <n v="488862.40385999996"/>
    <n v="114201.93700000001"/>
    <n v="0"/>
    <n v="600637.60232340195"/>
    <n v="119593.0978844763"/>
  </r>
  <r>
    <s v="Sistema de Compensação"/>
    <x v="1"/>
    <x v="3"/>
    <x v="1"/>
    <x v="0"/>
    <x v="2"/>
    <x v="0"/>
    <x v="2"/>
    <x v="7"/>
    <n v="0"/>
    <n v="0"/>
    <n v="41.402000000000001"/>
    <n v="41.402000000000001"/>
    <n v="41.402000000000001"/>
    <n v="41.402000000000001"/>
    <n v="0"/>
    <x v="2"/>
    <n v="0"/>
    <n v="0"/>
    <n v="20"/>
    <n v="88"/>
    <n v="0"/>
    <n v="1564.59"/>
    <n v="365.5"/>
    <m/>
    <n v="1922.323293423678"/>
    <n v="382.75425465660959"/>
    <n v="0"/>
    <n v="64777.155180000002"/>
    <n v="15132.431"/>
    <n v="0"/>
    <n v="79588.02899432712"/>
    <n v="15846.791651292951"/>
  </r>
  <r>
    <s v="Regular"/>
    <x v="1"/>
    <x v="3"/>
    <x v="1"/>
    <x v="0"/>
    <x v="2"/>
    <x v="0"/>
    <x v="2"/>
    <x v="8"/>
    <n v="0"/>
    <n v="0"/>
    <n v="338.34800000000001"/>
    <n v="338.34800000000001"/>
    <n v="338.34800000000001"/>
    <n v="338.34800000000001"/>
    <n v="0"/>
    <x v="2"/>
    <n v="0"/>
    <n v="0"/>
    <n v="20"/>
    <n v="88"/>
    <n v="0"/>
    <n v="1564.59"/>
    <n v="365.5"/>
    <m/>
    <n v="1922.323293423678"/>
    <n v="382.75425465660959"/>
    <n v="0"/>
    <n v="529375.89731999999"/>
    <n v="123666.194"/>
    <n v="0"/>
    <n v="650414.24168331467"/>
    <n v="129504.13655455454"/>
  </r>
  <r>
    <s v="Sistema de Compensação"/>
    <x v="1"/>
    <x v="3"/>
    <x v="1"/>
    <x v="0"/>
    <x v="2"/>
    <x v="0"/>
    <x v="2"/>
    <x v="8"/>
    <n v="0"/>
    <n v="0"/>
    <n v="48.518999999999998"/>
    <n v="48.518999999999998"/>
    <n v="48.518999999999998"/>
    <n v="48.518999999999998"/>
    <n v="0"/>
    <x v="2"/>
    <n v="0"/>
    <n v="0"/>
    <n v="20"/>
    <n v="88"/>
    <n v="0"/>
    <n v="1564.59"/>
    <n v="365.5"/>
    <m/>
    <n v="1922.323293423678"/>
    <n v="382.75425465660959"/>
    <n v="0"/>
    <n v="75912.342209999988"/>
    <n v="17733.694499999998"/>
    <n v="0"/>
    <n v="93269.203873623424"/>
    <n v="18570.853681684039"/>
  </r>
  <r>
    <s v="Regular"/>
    <x v="1"/>
    <x v="3"/>
    <x v="1"/>
    <x v="0"/>
    <x v="2"/>
    <x v="0"/>
    <x v="2"/>
    <x v="9"/>
    <n v="0"/>
    <n v="0"/>
    <n v="303.62200000000001"/>
    <n v="303.62200000000001"/>
    <n v="303.62200000000001"/>
    <n v="303.62200000000001"/>
    <n v="0"/>
    <x v="2"/>
    <n v="0"/>
    <n v="0"/>
    <n v="20"/>
    <n v="88"/>
    <n v="0"/>
    <n v="1564.59"/>
    <n v="365.5"/>
    <m/>
    <n v="1922.323293423678"/>
    <n v="382.75425465660959"/>
    <n v="0"/>
    <n v="475043.94497999997"/>
    <n v="110973.841"/>
    <n v="0"/>
    <n v="583659.64299588394"/>
    <n v="116212.61230734912"/>
  </r>
  <r>
    <s v="Refaturamento - Regular"/>
    <x v="1"/>
    <x v="3"/>
    <x v="1"/>
    <x v="0"/>
    <x v="2"/>
    <x v="0"/>
    <x v="2"/>
    <x v="9"/>
    <n v="0"/>
    <n v="0"/>
    <n v="3.6999999999999998E-2"/>
    <n v="3.6999999999999998E-2"/>
    <n v="3.6999999999999998E-2"/>
    <n v="3.6999999999999998E-2"/>
    <n v="0"/>
    <x v="2"/>
    <n v="0"/>
    <n v="0"/>
    <n v="20"/>
    <n v="88"/>
    <n v="0"/>
    <n v="1564.59"/>
    <n v="365.5"/>
    <m/>
    <n v="1922.323293423678"/>
    <n v="382.75425465660959"/>
    <n v="0"/>
    <n v="57.889829999999996"/>
    <n v="13.523499999999999"/>
    <n v="0"/>
    <n v="71.125961856676085"/>
    <n v="14.161907422294554"/>
  </r>
  <r>
    <s v="Sistema de Compensação"/>
    <x v="1"/>
    <x v="3"/>
    <x v="1"/>
    <x v="0"/>
    <x v="2"/>
    <x v="0"/>
    <x v="2"/>
    <x v="9"/>
    <n v="0"/>
    <n v="0"/>
    <n v="45.499000000000002"/>
    <n v="45.499000000000002"/>
    <n v="45.499000000000002"/>
    <n v="45.499000000000002"/>
    <n v="0"/>
    <x v="2"/>
    <n v="0"/>
    <n v="0"/>
    <n v="20"/>
    <n v="88"/>
    <n v="0"/>
    <n v="1564.59"/>
    <n v="365.5"/>
    <m/>
    <n v="1922.323293423678"/>
    <n v="382.75425465660959"/>
    <n v="0"/>
    <n v="71187.280410000007"/>
    <n v="16629.8845"/>
    <n v="0"/>
    <n v="87463.787527483932"/>
    <n v="17414.935832621082"/>
  </r>
  <r>
    <s v="Regular"/>
    <x v="1"/>
    <x v="3"/>
    <x v="1"/>
    <x v="0"/>
    <x v="2"/>
    <x v="0"/>
    <x v="2"/>
    <x v="10"/>
    <n v="0"/>
    <n v="0"/>
    <n v="307.774"/>
    <n v="307.774"/>
    <n v="307.774"/>
    <n v="307.774"/>
    <n v="0"/>
    <x v="2"/>
    <n v="0"/>
    <n v="0"/>
    <n v="20"/>
    <n v="88"/>
    <n v="0"/>
    <n v="1564.59"/>
    <n v="365.5"/>
    <m/>
    <n v="1922.323293423678"/>
    <n v="382.75425465660959"/>
    <n v="0"/>
    <n v="481540.12265999999"/>
    <n v="112491.397"/>
    <n v="0"/>
    <n v="591641.12931017904"/>
    <n v="117801.80797268335"/>
  </r>
  <r>
    <s v="Refaturamento - Regular"/>
    <x v="1"/>
    <x v="3"/>
    <x v="1"/>
    <x v="0"/>
    <x v="2"/>
    <x v="0"/>
    <x v="2"/>
    <x v="10"/>
    <n v="0"/>
    <n v="0"/>
    <n v="11.238"/>
    <n v="11.238"/>
    <n v="11.238"/>
    <n v="11.238"/>
    <n v="0"/>
    <x v="2"/>
    <n v="0"/>
    <n v="0"/>
    <n v="20"/>
    <n v="88"/>
    <n v="0"/>
    <n v="1564.59"/>
    <n v="365.5"/>
    <m/>
    <n v="1922.323293423678"/>
    <n v="382.75425465660959"/>
    <n v="0"/>
    <n v="17582.862419999998"/>
    <n v="4107.4889999999996"/>
    <n v="0"/>
    <n v="21603.069171495292"/>
    <n v="4301.3923138309783"/>
  </r>
  <r>
    <s v="Sistema de Compensação"/>
    <x v="1"/>
    <x v="3"/>
    <x v="1"/>
    <x v="0"/>
    <x v="2"/>
    <x v="0"/>
    <x v="2"/>
    <x v="10"/>
    <n v="0"/>
    <n v="0"/>
    <n v="45.445"/>
    <n v="45.445"/>
    <n v="45.445"/>
    <n v="45.445"/>
    <n v="0"/>
    <x v="2"/>
    <n v="0"/>
    <n v="0"/>
    <n v="20"/>
    <n v="88"/>
    <n v="0"/>
    <n v="1564.59"/>
    <n v="365.5"/>
    <m/>
    <n v="1922.323293423678"/>
    <n v="382.75425465660959"/>
    <n v="0"/>
    <n v="71102.792549999998"/>
    <n v="16610.147499999999"/>
    <n v="0"/>
    <n v="87359.982069639052"/>
    <n v="17394.267102869624"/>
  </r>
  <r>
    <s v="PROJETADO"/>
    <x v="1"/>
    <x v="3"/>
    <x v="1"/>
    <x v="0"/>
    <x v="2"/>
    <x v="0"/>
    <x v="2"/>
    <x v="11"/>
    <n v="0"/>
    <n v="0"/>
    <n v="307.774"/>
    <n v="307.774"/>
    <n v="307.774"/>
    <n v="307.774"/>
    <n v="0"/>
    <x v="2"/>
    <n v="0"/>
    <n v="0"/>
    <n v="20"/>
    <n v="88"/>
    <n v="0"/>
    <n v="1564.59"/>
    <n v="365.5"/>
    <m/>
    <n v="1922.323293423678"/>
    <n v="382.75425465660959"/>
    <n v="0"/>
    <n v="481540.12265999999"/>
    <n v="112491.397"/>
    <n v="0"/>
    <n v="591641.12931017904"/>
    <n v="117801.80797268335"/>
  </r>
  <r>
    <s v="PROJETADO"/>
    <x v="1"/>
    <x v="3"/>
    <x v="1"/>
    <x v="0"/>
    <x v="2"/>
    <x v="0"/>
    <x v="2"/>
    <x v="11"/>
    <n v="0"/>
    <n v="0"/>
    <n v="11.238"/>
    <n v="11.238"/>
    <n v="11.238"/>
    <n v="11.238"/>
    <n v="0"/>
    <x v="2"/>
    <n v="0"/>
    <n v="0"/>
    <n v="20"/>
    <n v="88"/>
    <n v="0"/>
    <n v="1564.59"/>
    <n v="365.5"/>
    <m/>
    <n v="1922.323293423678"/>
    <n v="382.75425465660959"/>
    <n v="0"/>
    <n v="17582.862419999998"/>
    <n v="4107.4889999999996"/>
    <n v="0"/>
    <n v="21603.069171495292"/>
    <n v="4301.3923138309783"/>
  </r>
  <r>
    <s v="PROJETADO"/>
    <x v="1"/>
    <x v="3"/>
    <x v="1"/>
    <x v="0"/>
    <x v="2"/>
    <x v="0"/>
    <x v="2"/>
    <x v="11"/>
    <n v="0"/>
    <n v="0"/>
    <n v="45.445"/>
    <n v="45.445"/>
    <n v="45.445"/>
    <n v="45.445"/>
    <n v="0"/>
    <x v="2"/>
    <n v="0"/>
    <n v="0"/>
    <n v="20"/>
    <n v="88"/>
    <n v="0"/>
    <n v="1564.59"/>
    <n v="365.5"/>
    <m/>
    <n v="1922.323293423678"/>
    <n v="382.75425465660959"/>
    <n v="0"/>
    <n v="71102.792549999998"/>
    <n v="16610.147499999999"/>
    <n v="0"/>
    <n v="87359.982069639052"/>
    <n v="17394.267102869624"/>
  </r>
  <r>
    <s v="Regular"/>
    <x v="1"/>
    <x v="3"/>
    <x v="2"/>
    <x v="1"/>
    <x v="3"/>
    <x v="0"/>
    <x v="1"/>
    <x v="0"/>
    <n v="0"/>
    <n v="0"/>
    <n v="962.79499999999996"/>
    <n v="96.279499999999999"/>
    <n v="962.79499999999996"/>
    <n v="96.279499999999999"/>
    <n v="0"/>
    <x v="2"/>
    <n v="0"/>
    <n v="0"/>
    <n v="21"/>
    <n v="89"/>
    <n v="0"/>
    <n v="51.27"/>
    <n v="222.31"/>
    <m/>
    <n v="66.787442987613147"/>
    <n v="236.64237028527376"/>
    <n v="0"/>
    <n v="4936.249965"/>
    <n v="21403.895645000001"/>
    <n v="0"/>
    <n v="6430.2616171258996"/>
    <n v="22783.809089881015"/>
  </r>
  <r>
    <s v="Regular"/>
    <x v="1"/>
    <x v="3"/>
    <x v="2"/>
    <x v="1"/>
    <x v="3"/>
    <x v="0"/>
    <x v="1"/>
    <x v="1"/>
    <n v="0"/>
    <n v="0"/>
    <n v="333.96199999999999"/>
    <n v="33.3962"/>
    <n v="333.96199999999999"/>
    <n v="33.3962"/>
    <n v="0"/>
    <x v="2"/>
    <n v="0"/>
    <n v="0"/>
    <n v="21"/>
    <n v="89"/>
    <n v="0"/>
    <n v="51.27"/>
    <n v="222.31"/>
    <m/>
    <n v="66.787442987613147"/>
    <n v="236.64237028527376"/>
    <n v="0"/>
    <n v="1712.2231740000002"/>
    <n v="7424.3092219999999"/>
    <n v="0"/>
    <n v="2230.4468035029263"/>
    <n v="7902.9559265210592"/>
  </r>
  <r>
    <s v="Sistema de Compensação"/>
    <x v="1"/>
    <x v="3"/>
    <x v="2"/>
    <x v="1"/>
    <x v="3"/>
    <x v="0"/>
    <x v="1"/>
    <x v="1"/>
    <n v="0"/>
    <n v="0"/>
    <n v="8.2000000000000003E-2"/>
    <n v="8.2000000000000007E-3"/>
    <n v="8.2000000000000003E-2"/>
    <n v="8.2000000000000007E-3"/>
    <n v="0"/>
    <x v="2"/>
    <n v="0"/>
    <n v="0"/>
    <n v="21"/>
    <n v="89"/>
    <n v="0"/>
    <n v="51.27"/>
    <n v="222.31"/>
    <m/>
    <n v="66.787442987613147"/>
    <n v="236.64237028527376"/>
    <n v="0"/>
    <n v="0.42041400000000007"/>
    <n v="1.8229420000000001"/>
    <n v="0"/>
    <n v="0.5476570324984279"/>
    <n v="1.9404674363392449"/>
  </r>
  <r>
    <s v="Regular"/>
    <x v="1"/>
    <x v="3"/>
    <x v="2"/>
    <x v="1"/>
    <x v="3"/>
    <x v="0"/>
    <x v="1"/>
    <x v="2"/>
    <n v="0"/>
    <n v="0"/>
    <n v="324.93599999999998"/>
    <n v="32.493600000000001"/>
    <n v="324.93599999999998"/>
    <n v="32.493600000000001"/>
    <n v="0"/>
    <x v="2"/>
    <n v="0"/>
    <n v="0"/>
    <n v="21"/>
    <n v="89"/>
    <n v="0"/>
    <n v="51.27"/>
    <n v="222.31"/>
    <m/>
    <n v="66.787442987613147"/>
    <n v="236.64237028527376"/>
    <n v="0"/>
    <n v="1665.9468720000002"/>
    <n v="7223.6522160000004"/>
    <n v="0"/>
    <n v="2170.1644574623065"/>
    <n v="7689.3625231015712"/>
  </r>
  <r>
    <s v="Sistema de Compensação"/>
    <x v="1"/>
    <x v="3"/>
    <x v="2"/>
    <x v="1"/>
    <x v="3"/>
    <x v="0"/>
    <x v="1"/>
    <x v="2"/>
    <n v="0"/>
    <n v="0"/>
    <n v="4.1000000000000002E-2"/>
    <n v="4.1000000000000003E-3"/>
    <n v="4.1000000000000002E-2"/>
    <n v="4.1000000000000003E-3"/>
    <n v="0"/>
    <x v="2"/>
    <n v="0"/>
    <n v="0"/>
    <n v="21"/>
    <n v="89"/>
    <n v="0"/>
    <n v="51.27"/>
    <n v="222.31"/>
    <m/>
    <n v="66.787442987613147"/>
    <n v="236.64237028527376"/>
    <n v="0"/>
    <n v="0.21020700000000003"/>
    <n v="0.91147100000000003"/>
    <n v="0"/>
    <n v="0.27382851624921395"/>
    <n v="0.97023371816962245"/>
  </r>
  <r>
    <s v="Regular"/>
    <x v="1"/>
    <x v="3"/>
    <x v="2"/>
    <x v="1"/>
    <x v="3"/>
    <x v="0"/>
    <x v="1"/>
    <x v="3"/>
    <n v="0"/>
    <n v="0"/>
    <n v="354.49200000000002"/>
    <n v="35.449199999999998"/>
    <n v="354.49200000000002"/>
    <n v="35.449199999999998"/>
    <n v="0"/>
    <x v="2"/>
    <n v="0"/>
    <n v="0"/>
    <n v="21"/>
    <n v="89"/>
    <n v="0"/>
    <n v="51.27"/>
    <n v="222.31"/>
    <m/>
    <n v="66.787442987613147"/>
    <n v="236.64237028527376"/>
    <n v="0"/>
    <n v="1817.4804839999999"/>
    <n v="7880.711652"/>
    <n v="0"/>
    <n v="2367.5614239564957"/>
    <n v="8388.7827127167257"/>
  </r>
  <r>
    <s v="Sistema de Compensação"/>
    <x v="1"/>
    <x v="3"/>
    <x v="2"/>
    <x v="1"/>
    <x v="3"/>
    <x v="0"/>
    <x v="1"/>
    <x v="3"/>
    <n v="0"/>
    <n v="0"/>
    <n v="8.2000000000000003E-2"/>
    <n v="8.2000000000000007E-3"/>
    <n v="8.2000000000000003E-2"/>
    <n v="8.2000000000000007E-3"/>
    <n v="0"/>
    <x v="2"/>
    <n v="0"/>
    <n v="0"/>
    <n v="21"/>
    <n v="89"/>
    <n v="0"/>
    <n v="51.27"/>
    <n v="222.31"/>
    <m/>
    <n v="66.787442987613147"/>
    <n v="236.64237028527376"/>
    <n v="0"/>
    <n v="0.42041400000000007"/>
    <n v="1.8229420000000001"/>
    <n v="0"/>
    <n v="0.5476570324984279"/>
    <n v="1.9404674363392449"/>
  </r>
  <r>
    <s v="Regular"/>
    <x v="1"/>
    <x v="3"/>
    <x v="2"/>
    <x v="1"/>
    <x v="3"/>
    <x v="0"/>
    <x v="1"/>
    <x v="4"/>
    <n v="0"/>
    <n v="0"/>
    <n v="599.25599999999997"/>
    <n v="59.925600000000003"/>
    <n v="599.25599999999997"/>
    <n v="59.925600000000003"/>
    <n v="0"/>
    <x v="2"/>
    <n v="0"/>
    <n v="0"/>
    <n v="21"/>
    <n v="89"/>
    <n v="0"/>
    <n v="51.27"/>
    <n v="222.31"/>
    <m/>
    <n v="66.787442987613147"/>
    <n v="236.64237028527376"/>
    <n v="0"/>
    <n v="3072.3855120000003"/>
    <n v="13322.060136"/>
    <n v="0"/>
    <n v="4002.2775934985107"/>
    <n v="14180.936024767201"/>
  </r>
  <r>
    <s v="Sistema de Compensação"/>
    <x v="1"/>
    <x v="3"/>
    <x v="2"/>
    <x v="1"/>
    <x v="3"/>
    <x v="0"/>
    <x v="1"/>
    <x v="4"/>
    <n v="0"/>
    <n v="0"/>
    <n v="8.2000000000000003E-2"/>
    <n v="8.2000000000000007E-3"/>
    <n v="8.2000000000000003E-2"/>
    <n v="8.2000000000000007E-3"/>
    <n v="0"/>
    <x v="2"/>
    <n v="0"/>
    <n v="0"/>
    <n v="21"/>
    <n v="89"/>
    <n v="0"/>
    <n v="51.27"/>
    <n v="222.31"/>
    <m/>
    <n v="66.787442987613147"/>
    <n v="236.64237028527376"/>
    <n v="0"/>
    <n v="0.42041400000000007"/>
    <n v="1.8229420000000001"/>
    <n v="0"/>
    <n v="0.5476570324984279"/>
    <n v="1.9404674363392449"/>
  </r>
  <r>
    <s v="Regular"/>
    <x v="1"/>
    <x v="3"/>
    <x v="2"/>
    <x v="1"/>
    <x v="3"/>
    <x v="0"/>
    <x v="1"/>
    <x v="5"/>
    <n v="0"/>
    <n v="0"/>
    <n v="891.18"/>
    <n v="89.117999999999995"/>
    <n v="891.18"/>
    <n v="89.117999999999995"/>
    <n v="0"/>
    <x v="2"/>
    <n v="0"/>
    <n v="0"/>
    <n v="21"/>
    <n v="89"/>
    <n v="0"/>
    <n v="51.27"/>
    <n v="222.31"/>
    <m/>
    <n v="66.787442987613147"/>
    <n v="236.64237028527376"/>
    <n v="0"/>
    <n v="4569.0798599999998"/>
    <n v="19811.82258"/>
    <n v="0"/>
    <n v="5951.963344170108"/>
    <n v="21089.094755083024"/>
  </r>
  <r>
    <s v="Sistema de Compensação"/>
    <x v="1"/>
    <x v="3"/>
    <x v="2"/>
    <x v="1"/>
    <x v="3"/>
    <x v="0"/>
    <x v="1"/>
    <x v="5"/>
    <n v="0"/>
    <n v="0"/>
    <n v="2.6240000000000001"/>
    <n v="0.26240000000000002"/>
    <n v="2.6240000000000001"/>
    <n v="0.26240000000000002"/>
    <n v="0"/>
    <x v="2"/>
    <n v="0"/>
    <n v="0"/>
    <n v="21"/>
    <n v="89"/>
    <n v="0"/>
    <n v="51.27"/>
    <n v="222.31"/>
    <m/>
    <n v="66.787442987613147"/>
    <n v="236.64237028527376"/>
    <n v="0"/>
    <n v="13.453248000000002"/>
    <n v="58.334144000000002"/>
    <n v="0"/>
    <n v="17.525025039949693"/>
    <n v="62.094957962855837"/>
  </r>
  <r>
    <s v="Regular"/>
    <x v="1"/>
    <x v="3"/>
    <x v="2"/>
    <x v="1"/>
    <x v="3"/>
    <x v="0"/>
    <x v="1"/>
    <x v="6"/>
    <n v="0"/>
    <n v="0"/>
    <n v="1351.895"/>
    <n v="135.18950000000001"/>
    <n v="1351.895"/>
    <n v="135.18950000000001"/>
    <n v="0"/>
    <x v="2"/>
    <n v="0"/>
    <n v="0"/>
    <n v="21"/>
    <n v="89"/>
    <n v="0"/>
    <n v="51.27"/>
    <n v="222.31"/>
    <m/>
    <n v="66.787442987613147"/>
    <n v="236.64237028527376"/>
    <n v="0"/>
    <n v="6931.1656650000014"/>
    <n v="30053.977745000004"/>
    <n v="0"/>
    <n v="9028.9610237739289"/>
    <n v="31991.56371768102"/>
  </r>
  <r>
    <s v="Sistema de Compensação"/>
    <x v="1"/>
    <x v="3"/>
    <x v="2"/>
    <x v="1"/>
    <x v="3"/>
    <x v="0"/>
    <x v="1"/>
    <x v="6"/>
    <n v="0"/>
    <n v="0"/>
    <n v="8.8970000000000002"/>
    <n v="0.88970000000000005"/>
    <n v="8.8970000000000002"/>
    <n v="0.88970000000000005"/>
    <n v="0"/>
    <x v="2"/>
    <n v="0"/>
    <n v="0"/>
    <n v="21"/>
    <n v="89"/>
    <n v="0"/>
    <n v="51.27"/>
    <n v="222.31"/>
    <m/>
    <n v="66.787442987613147"/>
    <n v="236.64237028527376"/>
    <n v="0"/>
    <n v="45.614919000000008"/>
    <n v="197.789207"/>
    <n v="0"/>
    <n v="59.420788026079421"/>
    <n v="210.54071684280808"/>
  </r>
  <r>
    <s v="Regular"/>
    <x v="1"/>
    <x v="3"/>
    <x v="2"/>
    <x v="1"/>
    <x v="3"/>
    <x v="0"/>
    <x v="1"/>
    <x v="7"/>
    <n v="0"/>
    <n v="0"/>
    <n v="1290.3910000000001"/>
    <n v="129.03909999999999"/>
    <n v="1290.3910000000001"/>
    <n v="129.03909999999999"/>
    <n v="0"/>
    <x v="2"/>
    <n v="0"/>
    <n v="0"/>
    <n v="21"/>
    <n v="89"/>
    <n v="0"/>
    <n v="51.27"/>
    <n v="222.31"/>
    <m/>
    <n v="66.787442987613147"/>
    <n v="236.64237028527376"/>
    <n v="0"/>
    <n v="6615.8346570000003"/>
    <n v="28686.682320999997"/>
    <n v="0"/>
    <n v="8618.191534422911"/>
    <n v="30536.118483478465"/>
  </r>
  <r>
    <s v="Sistema de Compensação"/>
    <x v="1"/>
    <x v="3"/>
    <x v="2"/>
    <x v="1"/>
    <x v="3"/>
    <x v="0"/>
    <x v="1"/>
    <x v="7"/>
    <n v="0"/>
    <n v="0"/>
    <n v="9.2249999999999996"/>
    <n v="0.92249999999999999"/>
    <n v="9.2249999999999996"/>
    <n v="0.92249999999999999"/>
    <n v="0"/>
    <x v="2"/>
    <n v="0"/>
    <n v="0"/>
    <n v="21"/>
    <n v="89"/>
    <n v="0"/>
    <n v="51.27"/>
    <n v="222.31"/>
    <m/>
    <n v="66.787442987613147"/>
    <n v="236.64237028527376"/>
    <n v="0"/>
    <n v="47.296575000000004"/>
    <n v="205.080975"/>
    <n v="0"/>
    <n v="61.611416156073126"/>
    <n v="218.30258658816504"/>
  </r>
  <r>
    <s v="Regular"/>
    <x v="1"/>
    <x v="3"/>
    <x v="2"/>
    <x v="1"/>
    <x v="3"/>
    <x v="0"/>
    <x v="1"/>
    <x v="8"/>
    <n v="0"/>
    <n v="0"/>
    <n v="920.84900000000005"/>
    <n v="92.084900000000005"/>
    <n v="920.84900000000005"/>
    <n v="92.084900000000005"/>
    <n v="0"/>
    <x v="2"/>
    <n v="0"/>
    <n v="0"/>
    <n v="21"/>
    <n v="89"/>
    <n v="0"/>
    <n v="51.27"/>
    <n v="222.31"/>
    <m/>
    <n v="66.787442987613147"/>
    <n v="236.64237028527376"/>
    <n v="0"/>
    <n v="4721.1928230000003"/>
    <n v="20471.394119000001"/>
    <n v="0"/>
    <n v="6150.115008770058"/>
    <n v="21791.189003482406"/>
  </r>
  <r>
    <s v="Sistema de Compensação"/>
    <x v="1"/>
    <x v="3"/>
    <x v="2"/>
    <x v="1"/>
    <x v="3"/>
    <x v="0"/>
    <x v="1"/>
    <x v="8"/>
    <n v="0"/>
    <n v="0"/>
    <n v="9.2249999999999996"/>
    <n v="0.92249999999999999"/>
    <n v="9.2249999999999996"/>
    <n v="0.92249999999999999"/>
    <n v="0"/>
    <x v="2"/>
    <n v="0"/>
    <n v="0"/>
    <n v="21"/>
    <n v="89"/>
    <n v="0"/>
    <n v="51.27"/>
    <n v="222.31"/>
    <m/>
    <n v="66.787442987613147"/>
    <n v="236.64237028527376"/>
    <n v="0"/>
    <n v="47.296575000000004"/>
    <n v="205.080975"/>
    <n v="0"/>
    <n v="61.611416156073126"/>
    <n v="218.30258658816504"/>
  </r>
  <r>
    <s v="Regular"/>
    <x v="1"/>
    <x v="3"/>
    <x v="2"/>
    <x v="1"/>
    <x v="3"/>
    <x v="0"/>
    <x v="1"/>
    <x v="9"/>
    <n v="0"/>
    <n v="0"/>
    <n v="805.755"/>
    <n v="80.575500000000005"/>
    <n v="805.755"/>
    <n v="80.575500000000005"/>
    <n v="0"/>
    <x v="2"/>
    <n v="0"/>
    <n v="0"/>
    <n v="21"/>
    <n v="89"/>
    <n v="0"/>
    <n v="51.27"/>
    <n v="222.31"/>
    <m/>
    <n v="66.787442987613147"/>
    <n v="236.64237028527376"/>
    <n v="0"/>
    <n v="4131.1058850000009"/>
    <n v="17912.739405"/>
    <n v="0"/>
    <n v="5381.4316124484239"/>
    <n v="19067.577306921077"/>
  </r>
  <r>
    <s v="Refaturamento - Regular"/>
    <x v="1"/>
    <x v="3"/>
    <x v="2"/>
    <x v="1"/>
    <x v="3"/>
    <x v="0"/>
    <x v="1"/>
    <x v="9"/>
    <n v="0"/>
    <n v="0"/>
    <n v="136.136"/>
    <n v="13.6136"/>
    <n v="136.136"/>
    <n v="13.6136"/>
    <n v="0"/>
    <x v="2"/>
    <n v="0"/>
    <n v="0"/>
    <n v="21"/>
    <n v="89"/>
    <n v="0"/>
    <n v="51.27"/>
    <n v="222.31"/>
    <m/>
    <n v="66.787442987613147"/>
    <n v="236.64237028527376"/>
    <n v="0"/>
    <n v="697.96927200000005"/>
    <n v="3026.4394160000002"/>
    <n v="0"/>
    <n v="909.21753385617035"/>
    <n v="3221.5545721156027"/>
  </r>
  <r>
    <s v="Sistema de Compensação"/>
    <x v="1"/>
    <x v="3"/>
    <x v="2"/>
    <x v="1"/>
    <x v="3"/>
    <x v="0"/>
    <x v="1"/>
    <x v="9"/>
    <n v="0"/>
    <n v="0"/>
    <n v="11.468"/>
    <n v="1.1468"/>
    <n v="11.468"/>
    <n v="1.1468"/>
    <n v="0"/>
    <x v="2"/>
    <n v="0"/>
    <n v="0"/>
    <n v="21"/>
    <n v="89"/>
    <n v="0"/>
    <n v="51.27"/>
    <n v="222.31"/>
    <m/>
    <n v="66.787442987613147"/>
    <n v="236.64237028527376"/>
    <n v="0"/>
    <n v="58.796436000000007"/>
    <n v="254.945108"/>
    <n v="0"/>
    <n v="76.591839618194754"/>
    <n v="271.38147024315197"/>
  </r>
  <r>
    <s v="Regular"/>
    <x v="1"/>
    <x v="3"/>
    <x v="2"/>
    <x v="1"/>
    <x v="3"/>
    <x v="0"/>
    <x v="1"/>
    <x v="10"/>
    <n v="0"/>
    <n v="0"/>
    <n v="1792.2349999999999"/>
    <n v="179.2235"/>
    <n v="1792.2349999999999"/>
    <n v="179.2235"/>
    <n v="0"/>
    <x v="2"/>
    <n v="0"/>
    <n v="0"/>
    <n v="21"/>
    <n v="89"/>
    <n v="0"/>
    <n v="51.27"/>
    <n v="222.31"/>
    <m/>
    <n v="66.787442987613147"/>
    <n v="236.64237028527376"/>
    <n v="0"/>
    <n v="9188.7888450000009"/>
    <n v="39843.176285000001"/>
    <n v="0"/>
    <n v="11969.879288290485"/>
    <n v="42411.873850822762"/>
  </r>
  <r>
    <s v="Sistema de Compensação"/>
    <x v="1"/>
    <x v="3"/>
    <x v="2"/>
    <x v="1"/>
    <x v="3"/>
    <x v="0"/>
    <x v="1"/>
    <x v="10"/>
    <n v="0"/>
    <n v="0"/>
    <n v="12.901"/>
    <n v="1.2901"/>
    <n v="12.901"/>
    <n v="1.2901"/>
    <n v="0"/>
    <x v="2"/>
    <n v="0"/>
    <n v="0"/>
    <n v="21"/>
    <n v="89"/>
    <n v="0"/>
    <n v="51.27"/>
    <n v="222.31"/>
    <m/>
    <n v="66.787442987613147"/>
    <n v="236.64237028527376"/>
    <n v="0"/>
    <n v="66.143427000000003"/>
    <n v="286.80213100000003"/>
    <n v="0"/>
    <n v="86.162480198319727"/>
    <n v="305.29232190503166"/>
  </r>
  <r>
    <s v="PROJETADO"/>
    <x v="1"/>
    <x v="3"/>
    <x v="2"/>
    <x v="1"/>
    <x v="3"/>
    <x v="0"/>
    <x v="1"/>
    <x v="11"/>
    <n v="0"/>
    <n v="0"/>
    <n v="1792.2349999999999"/>
    <n v="179.2235"/>
    <n v="1792.2349999999999"/>
    <n v="179.2235"/>
    <n v="0"/>
    <x v="2"/>
    <n v="0"/>
    <n v="0"/>
    <n v="21"/>
    <n v="89"/>
    <n v="0"/>
    <n v="51.27"/>
    <n v="222.31"/>
    <m/>
    <n v="66.787442987613147"/>
    <n v="236.64237028527376"/>
    <n v="0"/>
    <n v="9188.7888450000009"/>
    <n v="39843.176285000001"/>
    <n v="0"/>
    <n v="11969.879288290485"/>
    <n v="42411.873850822762"/>
  </r>
  <r>
    <s v="PROJETADO"/>
    <x v="1"/>
    <x v="3"/>
    <x v="2"/>
    <x v="1"/>
    <x v="3"/>
    <x v="0"/>
    <x v="1"/>
    <x v="11"/>
    <n v="0"/>
    <n v="0"/>
    <n v="12.901"/>
    <n v="1.2901"/>
    <n v="12.901"/>
    <n v="1.2901"/>
    <n v="0"/>
    <x v="2"/>
    <n v="0"/>
    <n v="0"/>
    <n v="21"/>
    <n v="89"/>
    <n v="0"/>
    <n v="51.27"/>
    <n v="222.31"/>
    <m/>
    <n v="66.787442987613147"/>
    <n v="236.64237028527376"/>
    <n v="0"/>
    <n v="66.143427000000003"/>
    <n v="286.80213100000003"/>
    <n v="0"/>
    <n v="86.162480198319727"/>
    <n v="305.29232190503166"/>
  </r>
  <r>
    <s v="Regular"/>
    <x v="1"/>
    <x v="3"/>
    <x v="2"/>
    <x v="1"/>
    <x v="2"/>
    <x v="0"/>
    <x v="1"/>
    <x v="0"/>
    <n v="0"/>
    <n v="0"/>
    <n v="1096.0350000000001"/>
    <n v="1052.1936000000001"/>
    <n v="1096.0350000000001"/>
    <n v="1052.1936000000001"/>
    <n v="0"/>
    <x v="2"/>
    <n v="0"/>
    <n v="0"/>
    <n v="21"/>
    <n v="89"/>
    <n v="0"/>
    <n v="51.27"/>
    <n v="222.31"/>
    <m/>
    <n v="66.787442987613147"/>
    <n v="236.64237028527376"/>
    <n v="0"/>
    <n v="53945.965872000008"/>
    <n v="233913.15921600003"/>
    <n v="0"/>
    <n v="70273.320071931434"/>
    <n v="248993.58750299524"/>
  </r>
  <r>
    <s v="Regular"/>
    <x v="1"/>
    <x v="3"/>
    <x v="2"/>
    <x v="1"/>
    <x v="2"/>
    <x v="0"/>
    <x v="1"/>
    <x v="1"/>
    <n v="0"/>
    <n v="0"/>
    <n v="427.09"/>
    <n v="410.00639999999999"/>
    <n v="427.09"/>
    <n v="410.00639999999999"/>
    <n v="0"/>
    <x v="2"/>
    <n v="0"/>
    <n v="0"/>
    <n v="21"/>
    <n v="89"/>
    <n v="0"/>
    <n v="51.27"/>
    <n v="222.31"/>
    <m/>
    <n v="66.787442987613147"/>
    <n v="236.64237028527376"/>
    <n v="0"/>
    <n v="21021.028128000002"/>
    <n v="91148.522784000001"/>
    <n v="0"/>
    <n v="27383.279064556511"/>
    <n v="97024.886328132066"/>
  </r>
  <r>
    <s v="Regular"/>
    <x v="1"/>
    <x v="3"/>
    <x v="2"/>
    <x v="1"/>
    <x v="2"/>
    <x v="0"/>
    <x v="1"/>
    <x v="2"/>
    <n v="0"/>
    <n v="0"/>
    <n v="450.166"/>
    <n v="432.15935999999999"/>
    <n v="450.166"/>
    <n v="432.15935999999999"/>
    <n v="0"/>
    <x v="2"/>
    <n v="0"/>
    <n v="0"/>
    <n v="21"/>
    <n v="89"/>
    <n v="0"/>
    <n v="51.27"/>
    <n v="222.31"/>
    <m/>
    <n v="66.787442987613147"/>
    <n v="236.64237028527376"/>
    <n v="0"/>
    <n v="22156.810387199999"/>
    <n v="96073.347321599998"/>
    <n v="0"/>
    <n v="28862.818617563385"/>
    <n v="102267.21529136693"/>
  </r>
  <r>
    <s v="Regular"/>
    <x v="1"/>
    <x v="3"/>
    <x v="2"/>
    <x v="1"/>
    <x v="2"/>
    <x v="0"/>
    <x v="1"/>
    <x v="3"/>
    <n v="0"/>
    <n v="0"/>
    <n v="491.87799999999999"/>
    <n v="472.20287999999999"/>
    <n v="491.87799999999999"/>
    <n v="472.20287999999999"/>
    <n v="0"/>
    <x v="2"/>
    <n v="0"/>
    <n v="0"/>
    <n v="21"/>
    <n v="89"/>
    <n v="0"/>
    <n v="51.27"/>
    <n v="222.31"/>
    <m/>
    <n v="66.787442987613147"/>
    <n v="236.64237028527376"/>
    <n v="0"/>
    <n v="24209.841657600002"/>
    <n v="104975.4222528"/>
    <n v="0"/>
    <n v="31537.222926586732"/>
    <n v="111743.20877873269"/>
  </r>
  <r>
    <s v="Regular"/>
    <x v="1"/>
    <x v="3"/>
    <x v="2"/>
    <x v="1"/>
    <x v="2"/>
    <x v="0"/>
    <x v="1"/>
    <x v="4"/>
    <n v="0"/>
    <n v="0"/>
    <n v="727.86099999999999"/>
    <n v="698.74655999999993"/>
    <n v="727.86099999999999"/>
    <n v="698.74655999999993"/>
    <n v="0"/>
    <x v="2"/>
    <n v="0"/>
    <n v="0"/>
    <n v="21"/>
    <n v="89"/>
    <n v="0"/>
    <n v="51.27"/>
    <n v="222.31"/>
    <m/>
    <n v="66.787442987613147"/>
    <n v="236.64237028527376"/>
    <n v="0"/>
    <n v="35824.736131199999"/>
    <n v="155338.34775359998"/>
    <n v="0"/>
    <n v="46667.496038790807"/>
    <n v="165353.04218708124"/>
  </r>
  <r>
    <s v="Regular"/>
    <x v="1"/>
    <x v="3"/>
    <x v="2"/>
    <x v="1"/>
    <x v="2"/>
    <x v="0"/>
    <x v="1"/>
    <x v="5"/>
    <n v="0"/>
    <n v="0"/>
    <n v="1022.833"/>
    <n v="981.91967999999997"/>
    <n v="1022.833"/>
    <n v="981.91967999999997"/>
    <n v="0"/>
    <x v="2"/>
    <n v="0"/>
    <n v="0"/>
    <n v="21"/>
    <n v="89"/>
    <n v="0"/>
    <n v="51.27"/>
    <n v="222.31"/>
    <m/>
    <n v="66.787442987613147"/>
    <n v="236.64237028527376"/>
    <n v="0"/>
    <n v="50343.021993599999"/>
    <n v="218290.56406080001"/>
    <n v="0"/>
    <n v="65579.904646415351"/>
    <n v="232363.8005049575"/>
  </r>
  <r>
    <s v="Regular"/>
    <x v="1"/>
    <x v="3"/>
    <x v="2"/>
    <x v="1"/>
    <x v="2"/>
    <x v="0"/>
    <x v="1"/>
    <x v="6"/>
    <n v="0"/>
    <n v="0"/>
    <n v="1571.626"/>
    <n v="1508.7609600000001"/>
    <n v="1571.626"/>
    <n v="1508.7609600000001"/>
    <n v="0"/>
    <x v="2"/>
    <n v="0"/>
    <n v="0"/>
    <n v="21"/>
    <n v="89"/>
    <n v="0"/>
    <n v="51.27"/>
    <n v="222.31"/>
    <m/>
    <n v="66.787442987613147"/>
    <n v="236.64237028527376"/>
    <n v="0"/>
    <n v="77354.174419200004"/>
    <n v="335412.64901759999"/>
    <n v="0"/>
    <n v="100766.28659793649"/>
    <n v="357036.7697682851"/>
  </r>
  <r>
    <s v="Regular"/>
    <x v="1"/>
    <x v="3"/>
    <x v="2"/>
    <x v="1"/>
    <x v="2"/>
    <x v="0"/>
    <x v="1"/>
    <x v="7"/>
    <n v="0"/>
    <n v="0"/>
    <n v="1609.27"/>
    <n v="1544.8991999999998"/>
    <n v="1609.27"/>
    <n v="1544.8991999999998"/>
    <n v="0"/>
    <x v="2"/>
    <n v="0"/>
    <n v="0"/>
    <n v="21"/>
    <n v="89"/>
    <n v="0"/>
    <n v="51.27"/>
    <n v="222.31"/>
    <m/>
    <n v="66.787442987613147"/>
    <n v="236.64237028527376"/>
    <n v="0"/>
    <n v="79206.981983999998"/>
    <n v="343446.54115199996"/>
    <n v="0"/>
    <n v="103179.86724160914"/>
    <n v="365588.60853982315"/>
  </r>
  <r>
    <s v="Regular"/>
    <x v="1"/>
    <x v="3"/>
    <x v="2"/>
    <x v="1"/>
    <x v="2"/>
    <x v="0"/>
    <x v="1"/>
    <x v="8"/>
    <n v="0"/>
    <n v="0"/>
    <n v="1207.7719999999999"/>
    <n v="1159.4611199999999"/>
    <n v="1207.7719999999999"/>
    <n v="1159.4611199999999"/>
    <n v="0"/>
    <x v="2"/>
    <n v="0"/>
    <n v="0"/>
    <n v="21"/>
    <n v="89"/>
    <n v="0"/>
    <n v="51.27"/>
    <n v="222.31"/>
    <m/>
    <n v="66.787442987613147"/>
    <n v="236.64237028527376"/>
    <n v="0"/>
    <n v="59445.571622399999"/>
    <n v="257759.8015872"/>
    <n v="0"/>
    <n v="77437.443448354083"/>
    <n v="274377.62769041822"/>
  </r>
  <r>
    <s v="Regular"/>
    <x v="1"/>
    <x v="3"/>
    <x v="2"/>
    <x v="1"/>
    <x v="2"/>
    <x v="0"/>
    <x v="1"/>
    <x v="9"/>
    <n v="0"/>
    <n v="0"/>
    <n v="1060.73"/>
    <n v="1018.3008"/>
    <n v="1060.73"/>
    <n v="1018.3008"/>
    <n v="0"/>
    <x v="2"/>
    <n v="0"/>
    <n v="0"/>
    <n v="21"/>
    <n v="89"/>
    <n v="0"/>
    <n v="51.27"/>
    <n v="222.31"/>
    <m/>
    <n v="66.787442987613147"/>
    <n v="236.64237028527376"/>
    <n v="0"/>
    <n v="52208.282016000005"/>
    <n v="226378.45084800001"/>
    <n v="0"/>
    <n v="68009.706624240862"/>
    <n v="240973.11497539049"/>
  </r>
  <r>
    <s v="Refaturamento - Regular"/>
    <x v="1"/>
    <x v="3"/>
    <x v="2"/>
    <x v="1"/>
    <x v="2"/>
    <x v="0"/>
    <x v="1"/>
    <x v="9"/>
    <n v="0"/>
    <n v="0"/>
    <n v="85.790999999999997"/>
    <n v="82.359359999999995"/>
    <n v="85.790999999999997"/>
    <n v="82.359359999999995"/>
    <n v="0"/>
    <x v="2"/>
    <n v="0"/>
    <n v="0"/>
    <n v="21"/>
    <n v="89"/>
    <n v="0"/>
    <n v="51.27"/>
    <n v="222.31"/>
    <m/>
    <n v="66.787442987613147"/>
    <n v="236.64237028527376"/>
    <n v="0"/>
    <n v="4222.5643872000001"/>
    <n v="18309.309321599998"/>
    <n v="0"/>
    <n v="5500.571060496306"/>
    <n v="19489.714165578163"/>
  </r>
  <r>
    <s v="Sistema de Compensação"/>
    <x v="1"/>
    <x v="3"/>
    <x v="2"/>
    <x v="1"/>
    <x v="2"/>
    <x v="0"/>
    <x v="1"/>
    <x v="9"/>
    <n v="0"/>
    <n v="0"/>
    <n v="5.7910000000000004"/>
    <n v="5.5593599999999999"/>
    <n v="5.7910000000000004"/>
    <n v="5.5593599999999999"/>
    <n v="0"/>
    <x v="2"/>
    <n v="0"/>
    <n v="0"/>
    <n v="21"/>
    <n v="89"/>
    <n v="0"/>
    <n v="51.27"/>
    <n v="222.31"/>
    <m/>
    <n v="66.787442987613147"/>
    <n v="236.64237028527376"/>
    <n v="0"/>
    <n v="285.0283872"/>
    <n v="1235.9013216000001"/>
    <n v="0"/>
    <n v="371.29543904761704"/>
    <n v="1315.5801276691395"/>
  </r>
  <r>
    <s v="Regular"/>
    <x v="1"/>
    <x v="3"/>
    <x v="2"/>
    <x v="1"/>
    <x v="2"/>
    <x v="0"/>
    <x v="1"/>
    <x v="10"/>
    <n v="0"/>
    <n v="0"/>
    <n v="1647.443"/>
    <n v="1581.54528"/>
    <n v="1647.443"/>
    <n v="1581.54528"/>
    <n v="0"/>
    <x v="2"/>
    <n v="0"/>
    <n v="0"/>
    <n v="21"/>
    <n v="89"/>
    <n v="0"/>
    <n v="51.27"/>
    <n v="222.31"/>
    <m/>
    <n v="66.787442987613147"/>
    <n v="236.64237028527376"/>
    <n v="0"/>
    <n v="81085.826505600009"/>
    <n v="351593.33119679999"/>
    <n v="0"/>
    <n v="105627.36522032868"/>
    <n v="374260.62377268699"/>
  </r>
  <r>
    <s v="Refaturamento - Regular"/>
    <x v="1"/>
    <x v="3"/>
    <x v="2"/>
    <x v="1"/>
    <x v="2"/>
    <x v="0"/>
    <x v="1"/>
    <x v="10"/>
    <n v="0"/>
    <n v="0"/>
    <n v="8.2000000000000003E-2"/>
    <n v="7.8719999999999998E-2"/>
    <n v="8.2000000000000003E-2"/>
    <n v="7.8719999999999998E-2"/>
    <n v="0"/>
    <x v="2"/>
    <n v="0"/>
    <n v="0"/>
    <n v="21"/>
    <n v="89"/>
    <n v="0"/>
    <n v="51.27"/>
    <n v="222.31"/>
    <m/>
    <n v="66.787442987613147"/>
    <n v="236.64237028527376"/>
    <n v="0"/>
    <n v="4.0359743999999997"/>
    <n v="17.5002432"/>
    <n v="0"/>
    <n v="5.2575075119849064"/>
    <n v="18.628487388856751"/>
  </r>
  <r>
    <s v="Sistema de Compensação"/>
    <x v="1"/>
    <x v="3"/>
    <x v="2"/>
    <x v="1"/>
    <x v="2"/>
    <x v="0"/>
    <x v="1"/>
    <x v="10"/>
    <n v="0"/>
    <n v="0"/>
    <n v="5.101"/>
    <n v="4.89696"/>
    <n v="5.101"/>
    <n v="4.89696"/>
    <n v="0"/>
    <x v="2"/>
    <n v="0"/>
    <n v="0"/>
    <n v="21"/>
    <n v="89"/>
    <n v="0"/>
    <n v="51.27"/>
    <n v="222.31"/>
    <m/>
    <n v="66.787442987613147"/>
    <n v="236.64237028527376"/>
    <n v="0"/>
    <n v="251.06713920000001"/>
    <n v="1088.6431775999999"/>
    <n v="0"/>
    <n v="327.05543681262208"/>
    <n v="1158.8282215921743"/>
  </r>
  <r>
    <s v="PROJETADO"/>
    <x v="1"/>
    <x v="3"/>
    <x v="2"/>
    <x v="1"/>
    <x v="2"/>
    <x v="0"/>
    <x v="1"/>
    <x v="11"/>
    <n v="0"/>
    <n v="0"/>
    <n v="1647.443"/>
    <n v="1581.54528"/>
    <n v="1647.443"/>
    <n v="1581.54528"/>
    <n v="0"/>
    <x v="2"/>
    <n v="0"/>
    <n v="0"/>
    <n v="21"/>
    <n v="89"/>
    <n v="0"/>
    <n v="51.27"/>
    <n v="222.31"/>
    <m/>
    <n v="66.787442987613147"/>
    <n v="236.64237028527376"/>
    <n v="0"/>
    <n v="81085.826505600009"/>
    <n v="351593.33119679999"/>
    <n v="0"/>
    <n v="105627.36522032868"/>
    <n v="374260.62377268699"/>
  </r>
  <r>
    <s v="PROJETADO"/>
    <x v="1"/>
    <x v="3"/>
    <x v="2"/>
    <x v="1"/>
    <x v="2"/>
    <x v="0"/>
    <x v="1"/>
    <x v="11"/>
    <n v="0"/>
    <n v="0"/>
    <n v="8.2000000000000003E-2"/>
    <n v="7.8719999999999998E-2"/>
    <n v="8.2000000000000003E-2"/>
    <n v="7.8719999999999998E-2"/>
    <n v="0"/>
    <x v="2"/>
    <n v="0"/>
    <n v="0"/>
    <n v="21"/>
    <n v="89"/>
    <n v="0"/>
    <n v="51.27"/>
    <n v="222.31"/>
    <m/>
    <n v="66.787442987613147"/>
    <n v="236.64237028527376"/>
    <n v="0"/>
    <n v="4.0359743999999997"/>
    <n v="17.5002432"/>
    <n v="0"/>
    <n v="5.2575075119849064"/>
    <n v="18.628487388856751"/>
  </r>
  <r>
    <s v="PROJETADO"/>
    <x v="1"/>
    <x v="3"/>
    <x v="2"/>
    <x v="1"/>
    <x v="2"/>
    <x v="0"/>
    <x v="1"/>
    <x v="11"/>
    <n v="0"/>
    <n v="0"/>
    <n v="5.101"/>
    <n v="4.89696"/>
    <n v="5.101"/>
    <n v="4.89696"/>
    <n v="0"/>
    <x v="2"/>
    <n v="0"/>
    <n v="0"/>
    <n v="21"/>
    <n v="89"/>
    <n v="0"/>
    <n v="51.27"/>
    <n v="222.31"/>
    <m/>
    <n v="66.787442987613147"/>
    <n v="236.64237028527376"/>
    <n v="0"/>
    <n v="251.06713920000001"/>
    <n v="1088.6431775999999"/>
    <n v="0"/>
    <n v="327.05543681262208"/>
    <n v="1158.8282215921743"/>
  </r>
  <r>
    <s v="Regular"/>
    <x v="1"/>
    <x v="3"/>
    <x v="2"/>
    <x v="1"/>
    <x v="2"/>
    <x v="0"/>
    <x v="0"/>
    <x v="0"/>
    <n v="8254"/>
    <n v="7923.84"/>
    <n v="0"/>
    <n v="0"/>
    <n v="0"/>
    <n v="0"/>
    <n v="44"/>
    <x v="2"/>
    <n v="0"/>
    <n v="44"/>
    <n v="0"/>
    <n v="0"/>
    <n v="24.31"/>
    <n v="0"/>
    <n v="0"/>
    <n v="27.784726797371405"/>
    <m/>
    <m/>
    <n v="192628.55040000001"/>
    <n v="0"/>
    <n v="0"/>
    <n v="220161.72958608344"/>
    <n v="0"/>
    <n v="0"/>
  </r>
  <r>
    <s v="Regular"/>
    <x v="1"/>
    <x v="3"/>
    <x v="2"/>
    <x v="1"/>
    <x v="2"/>
    <x v="0"/>
    <x v="0"/>
    <x v="1"/>
    <n v="6368"/>
    <n v="6113.28"/>
    <n v="0"/>
    <n v="0"/>
    <n v="0"/>
    <n v="0"/>
    <n v="43"/>
    <x v="2"/>
    <n v="0"/>
    <n v="44"/>
    <n v="0"/>
    <n v="0"/>
    <n v="24.31"/>
    <n v="0"/>
    <n v="0"/>
    <n v="27.784726797371405"/>
    <m/>
    <m/>
    <n v="148613.83679999999"/>
    <n v="0"/>
    <n v="0"/>
    <n v="169855.81463583466"/>
    <n v="0"/>
    <n v="0"/>
  </r>
  <r>
    <s v="Sistema de Compensação"/>
    <x v="1"/>
    <x v="3"/>
    <x v="2"/>
    <x v="1"/>
    <x v="2"/>
    <x v="0"/>
    <x v="0"/>
    <x v="1"/>
    <n v="15"/>
    <n v="14.399999999999999"/>
    <n v="0"/>
    <n v="0"/>
    <n v="0"/>
    <n v="0"/>
    <n v="1"/>
    <x v="2"/>
    <n v="0"/>
    <n v="44"/>
    <n v="0"/>
    <n v="0"/>
    <n v="24.31"/>
    <n v="0"/>
    <n v="0"/>
    <n v="27.784726797371405"/>
    <m/>
    <m/>
    <n v="350.06399999999996"/>
    <n v="0"/>
    <n v="0"/>
    <n v="400.10006588214821"/>
    <n v="0"/>
    <n v="0"/>
  </r>
  <r>
    <s v="Regular"/>
    <x v="1"/>
    <x v="3"/>
    <x v="2"/>
    <x v="1"/>
    <x v="2"/>
    <x v="0"/>
    <x v="0"/>
    <x v="2"/>
    <n v="6070"/>
    <n v="5827.2"/>
    <n v="0"/>
    <n v="0"/>
    <n v="0"/>
    <n v="0"/>
    <n v="38"/>
    <x v="2"/>
    <n v="0"/>
    <n v="44"/>
    <n v="0"/>
    <n v="0"/>
    <n v="24.31"/>
    <n v="0"/>
    <n v="0"/>
    <n v="27.784726797371405"/>
    <m/>
    <m/>
    <n v="141659.23199999999"/>
    <n v="0"/>
    <n v="0"/>
    <n v="161907.15999364265"/>
    <n v="0"/>
    <n v="0"/>
  </r>
  <r>
    <s v="Sistema de Compensação"/>
    <x v="1"/>
    <x v="3"/>
    <x v="2"/>
    <x v="1"/>
    <x v="2"/>
    <x v="0"/>
    <x v="0"/>
    <x v="2"/>
    <n v="23"/>
    <n v="22.08"/>
    <n v="0"/>
    <n v="0"/>
    <n v="0"/>
    <n v="0"/>
    <n v="1"/>
    <x v="2"/>
    <n v="0"/>
    <n v="44"/>
    <n v="0"/>
    <n v="0"/>
    <n v="24.31"/>
    <n v="0"/>
    <n v="0"/>
    <n v="27.784726797371405"/>
    <m/>
    <m/>
    <n v="536.76479999999992"/>
    <n v="0"/>
    <n v="0"/>
    <n v="613.48676768596056"/>
    <n v="0"/>
    <n v="0"/>
  </r>
  <r>
    <s v="Regular"/>
    <x v="1"/>
    <x v="3"/>
    <x v="2"/>
    <x v="1"/>
    <x v="2"/>
    <x v="0"/>
    <x v="0"/>
    <x v="3"/>
    <n v="5878"/>
    <n v="5642.88"/>
    <n v="0"/>
    <n v="0"/>
    <n v="0"/>
    <n v="0"/>
    <n v="38"/>
    <x v="2"/>
    <n v="0"/>
    <n v="44"/>
    <n v="0"/>
    <n v="0"/>
    <n v="24.31"/>
    <n v="0"/>
    <n v="0"/>
    <n v="27.784726797371405"/>
    <m/>
    <m/>
    <n v="137178.41279999999"/>
    <n v="0"/>
    <n v="0"/>
    <n v="156785.87915035116"/>
    <n v="0"/>
    <n v="0"/>
  </r>
  <r>
    <s v="Sistema de Compensação"/>
    <x v="1"/>
    <x v="3"/>
    <x v="2"/>
    <x v="1"/>
    <x v="2"/>
    <x v="0"/>
    <x v="0"/>
    <x v="3"/>
    <n v="17"/>
    <n v="16.32"/>
    <n v="0"/>
    <n v="0"/>
    <n v="0"/>
    <n v="0"/>
    <n v="1"/>
    <x v="2"/>
    <n v="0"/>
    <n v="44"/>
    <n v="0"/>
    <n v="0"/>
    <n v="24.31"/>
    <n v="0"/>
    <n v="0"/>
    <n v="27.784726797371405"/>
    <m/>
    <m/>
    <n v="396.73919999999998"/>
    <n v="0"/>
    <n v="0"/>
    <n v="453.44674133310133"/>
    <n v="0"/>
    <n v="0"/>
  </r>
  <r>
    <s v="Regular"/>
    <x v="1"/>
    <x v="3"/>
    <x v="2"/>
    <x v="1"/>
    <x v="2"/>
    <x v="0"/>
    <x v="0"/>
    <x v="4"/>
    <n v="5723"/>
    <n v="5494.08"/>
    <n v="0"/>
    <n v="0"/>
    <n v="0"/>
    <n v="0"/>
    <n v="35"/>
    <x v="2"/>
    <n v="0"/>
    <n v="44"/>
    <n v="0"/>
    <n v="0"/>
    <n v="24.31"/>
    <n v="0"/>
    <n v="0"/>
    <n v="27.784726797371405"/>
    <m/>
    <m/>
    <n v="133561.08479999998"/>
    <n v="0"/>
    <n v="0"/>
    <n v="152651.5118029023"/>
    <n v="0"/>
    <n v="0"/>
  </r>
  <r>
    <s v="Sistema de Compensação"/>
    <x v="1"/>
    <x v="3"/>
    <x v="2"/>
    <x v="1"/>
    <x v="2"/>
    <x v="0"/>
    <x v="0"/>
    <x v="4"/>
    <n v="21"/>
    <n v="20.16"/>
    <n v="0"/>
    <n v="0"/>
    <n v="0"/>
    <n v="0"/>
    <n v="1"/>
    <x v="2"/>
    <n v="0"/>
    <n v="44"/>
    <n v="0"/>
    <n v="0"/>
    <n v="24.31"/>
    <n v="0"/>
    <n v="0"/>
    <n v="27.784726797371405"/>
    <m/>
    <m/>
    <n v="490.08959999999996"/>
    <n v="0"/>
    <n v="0"/>
    <n v="560.1400922350075"/>
    <n v="0"/>
    <n v="0"/>
  </r>
  <r>
    <s v="Regular"/>
    <x v="1"/>
    <x v="3"/>
    <x v="2"/>
    <x v="1"/>
    <x v="2"/>
    <x v="0"/>
    <x v="0"/>
    <x v="5"/>
    <n v="7080"/>
    <n v="6796.8"/>
    <n v="0"/>
    <n v="0"/>
    <n v="0"/>
    <n v="0"/>
    <n v="39"/>
    <x v="2"/>
    <n v="0"/>
    <n v="44"/>
    <n v="0"/>
    <n v="0"/>
    <n v="24.31"/>
    <n v="0"/>
    <n v="0"/>
    <n v="27.784726797371405"/>
    <m/>
    <m/>
    <n v="165230.20799999998"/>
    <n v="0"/>
    <n v="0"/>
    <n v="188847.23109637399"/>
    <n v="0"/>
    <n v="0"/>
  </r>
  <r>
    <s v="Sistema de Compensação"/>
    <x v="1"/>
    <x v="3"/>
    <x v="2"/>
    <x v="1"/>
    <x v="2"/>
    <x v="0"/>
    <x v="0"/>
    <x v="5"/>
    <n v="44"/>
    <n v="42.239999999999995"/>
    <n v="0"/>
    <n v="0"/>
    <n v="0"/>
    <n v="0"/>
    <n v="1"/>
    <x v="2"/>
    <n v="0"/>
    <n v="44"/>
    <n v="0"/>
    <n v="0"/>
    <n v="24.31"/>
    <n v="0"/>
    <n v="0"/>
    <n v="27.784726797371405"/>
    <m/>
    <m/>
    <n v="1026.8543999999997"/>
    <n v="0"/>
    <n v="0"/>
    <n v="1173.6268599209679"/>
    <n v="0"/>
    <n v="0"/>
  </r>
  <r>
    <s v="Regular"/>
    <x v="1"/>
    <x v="3"/>
    <x v="2"/>
    <x v="1"/>
    <x v="2"/>
    <x v="0"/>
    <x v="0"/>
    <x v="6"/>
    <n v="8127"/>
    <n v="7801.92"/>
    <n v="0"/>
    <n v="0"/>
    <n v="0"/>
    <n v="0"/>
    <n v="44"/>
    <x v="2"/>
    <n v="0"/>
    <n v="44"/>
    <n v="0"/>
    <n v="0"/>
    <n v="24.31"/>
    <n v="0"/>
    <n v="0"/>
    <n v="27.784726797371405"/>
    <m/>
    <m/>
    <n v="189664.6752"/>
    <n v="0"/>
    <n v="0"/>
    <n v="216774.21569494792"/>
    <n v="0"/>
    <n v="0"/>
  </r>
  <r>
    <s v="Sistema de Compensação"/>
    <x v="1"/>
    <x v="3"/>
    <x v="2"/>
    <x v="1"/>
    <x v="2"/>
    <x v="0"/>
    <x v="0"/>
    <x v="6"/>
    <n v="47"/>
    <n v="45.12"/>
    <n v="0"/>
    <n v="0"/>
    <n v="0"/>
    <n v="0"/>
    <n v="1"/>
    <x v="2"/>
    <n v="0"/>
    <n v="44"/>
    <n v="0"/>
    <n v="0"/>
    <n v="24.31"/>
    <n v="0"/>
    <n v="0"/>
    <n v="27.784726797371405"/>
    <m/>
    <m/>
    <n v="1096.8671999999999"/>
    <n v="0"/>
    <n v="0"/>
    <n v="1253.6468730973977"/>
    <n v="0"/>
    <n v="0"/>
  </r>
  <r>
    <s v="Regular"/>
    <x v="1"/>
    <x v="3"/>
    <x v="2"/>
    <x v="1"/>
    <x v="2"/>
    <x v="0"/>
    <x v="0"/>
    <x v="7"/>
    <n v="8205"/>
    <n v="7876.7999999999993"/>
    <n v="0"/>
    <n v="0"/>
    <n v="0"/>
    <n v="0"/>
    <n v="45"/>
    <x v="2"/>
    <n v="0"/>
    <n v="44"/>
    <n v="0"/>
    <n v="0"/>
    <n v="24.31"/>
    <n v="0"/>
    <n v="0"/>
    <n v="27.784726797371405"/>
    <m/>
    <m/>
    <n v="191485.00799999997"/>
    <n v="0"/>
    <n v="0"/>
    <n v="218854.73603753507"/>
    <n v="0"/>
    <n v="0"/>
  </r>
  <r>
    <s v="Sistema de Compensação"/>
    <x v="1"/>
    <x v="3"/>
    <x v="2"/>
    <x v="1"/>
    <x v="2"/>
    <x v="0"/>
    <x v="0"/>
    <x v="7"/>
    <n v="63"/>
    <n v="60.48"/>
    <n v="0"/>
    <n v="0"/>
    <n v="0"/>
    <n v="0"/>
    <n v="1"/>
    <x v="2"/>
    <n v="0"/>
    <n v="44"/>
    <n v="0"/>
    <n v="0"/>
    <n v="24.31"/>
    <n v="0"/>
    <n v="0"/>
    <n v="27.784726797371405"/>
    <m/>
    <m/>
    <n v="1470.2687999999998"/>
    <n v="0"/>
    <n v="0"/>
    <n v="1680.4202767050226"/>
    <n v="0"/>
    <n v="0"/>
  </r>
  <r>
    <s v="Regular"/>
    <x v="1"/>
    <x v="3"/>
    <x v="2"/>
    <x v="1"/>
    <x v="2"/>
    <x v="0"/>
    <x v="0"/>
    <x v="8"/>
    <n v="8108"/>
    <n v="7783.6799999999994"/>
    <n v="0"/>
    <n v="0"/>
    <n v="0"/>
    <n v="0"/>
    <n v="48"/>
    <x v="2"/>
    <n v="0"/>
    <n v="44"/>
    <n v="0"/>
    <n v="0"/>
    <n v="24.31"/>
    <n v="0"/>
    <n v="0"/>
    <n v="27.784726797371405"/>
    <m/>
    <m/>
    <n v="189221.26079999999"/>
    <n v="0"/>
    <n v="0"/>
    <n v="216267.42227816384"/>
    <n v="0"/>
    <n v="0"/>
  </r>
  <r>
    <s v="Sistema de Compensação"/>
    <x v="1"/>
    <x v="3"/>
    <x v="2"/>
    <x v="1"/>
    <x v="2"/>
    <x v="0"/>
    <x v="0"/>
    <x v="8"/>
    <n v="61"/>
    <n v="58.559999999999995"/>
    <n v="0"/>
    <n v="0"/>
    <n v="0"/>
    <n v="0"/>
    <n v="1"/>
    <x v="2"/>
    <n v="0"/>
    <n v="44"/>
    <n v="0"/>
    <n v="0"/>
    <n v="24.31"/>
    <n v="0"/>
    <n v="0"/>
    <n v="27.784726797371405"/>
    <m/>
    <m/>
    <n v="1423.5935999999997"/>
    <n v="0"/>
    <n v="0"/>
    <n v="1627.0736012540694"/>
    <n v="0"/>
    <n v="0"/>
  </r>
  <r>
    <s v="Regular"/>
    <x v="1"/>
    <x v="3"/>
    <x v="2"/>
    <x v="1"/>
    <x v="2"/>
    <x v="0"/>
    <x v="0"/>
    <x v="9"/>
    <n v="6058"/>
    <n v="5815.6799999999994"/>
    <n v="0"/>
    <n v="0"/>
    <n v="0"/>
    <n v="0"/>
    <n v="49"/>
    <x v="2"/>
    <n v="0"/>
    <n v="44"/>
    <n v="0"/>
    <n v="0"/>
    <n v="24.31"/>
    <n v="0"/>
    <n v="0"/>
    <n v="27.784726797371405"/>
    <m/>
    <m/>
    <n v="141379.18079999997"/>
    <n v="0"/>
    <n v="0"/>
    <n v="161587.07994093691"/>
    <n v="0"/>
    <n v="0"/>
  </r>
  <r>
    <s v="Refaturamento - Regular"/>
    <x v="1"/>
    <x v="3"/>
    <x v="2"/>
    <x v="1"/>
    <x v="2"/>
    <x v="0"/>
    <x v="0"/>
    <x v="9"/>
    <n v="611"/>
    <n v="586.55999999999995"/>
    <n v="0"/>
    <n v="0"/>
    <n v="0"/>
    <n v="0"/>
    <n v="3"/>
    <x v="2"/>
    <n v="0"/>
    <n v="44"/>
    <n v="0"/>
    <n v="0"/>
    <n v="24.31"/>
    <n v="0"/>
    <n v="0"/>
    <n v="27.784726797371405"/>
    <m/>
    <m/>
    <n v="14259.273599999999"/>
    <n v="0"/>
    <n v="0"/>
    <n v="16297.409350266171"/>
    <n v="0"/>
    <n v="0"/>
  </r>
  <r>
    <s v="Sistema de Compensação"/>
    <x v="1"/>
    <x v="3"/>
    <x v="2"/>
    <x v="1"/>
    <x v="2"/>
    <x v="0"/>
    <x v="0"/>
    <x v="9"/>
    <n v="61"/>
    <n v="58.559999999999995"/>
    <n v="0"/>
    <n v="0"/>
    <n v="0"/>
    <n v="0"/>
    <n v="1"/>
    <x v="2"/>
    <n v="0"/>
    <n v="44"/>
    <n v="0"/>
    <n v="0"/>
    <n v="24.31"/>
    <n v="0"/>
    <n v="0"/>
    <n v="27.784726797371405"/>
    <m/>
    <m/>
    <n v="1423.5935999999997"/>
    <n v="0"/>
    <n v="0"/>
    <n v="1627.0736012540694"/>
    <n v="0"/>
    <n v="0"/>
  </r>
  <r>
    <s v="Regular"/>
    <x v="1"/>
    <x v="3"/>
    <x v="2"/>
    <x v="1"/>
    <x v="2"/>
    <x v="0"/>
    <x v="0"/>
    <x v="10"/>
    <n v="8919"/>
    <n v="8562.24"/>
    <n v="0"/>
    <n v="0"/>
    <n v="0"/>
    <n v="0"/>
    <n v="52"/>
    <x v="2"/>
    <n v="0"/>
    <n v="44"/>
    <n v="0"/>
    <n v="0"/>
    <n v="24.31"/>
    <n v="0"/>
    <n v="0"/>
    <n v="27.784726797371405"/>
    <m/>
    <m/>
    <n v="208148.05439999999"/>
    <n v="0"/>
    <n v="0"/>
    <n v="237899.49917352534"/>
    <n v="0"/>
    <n v="0"/>
  </r>
  <r>
    <s v="Refaturamento - Regular"/>
    <x v="1"/>
    <x v="3"/>
    <x v="2"/>
    <x v="1"/>
    <x v="2"/>
    <x v="0"/>
    <x v="0"/>
    <x v="10"/>
    <n v="37"/>
    <n v="35.519999999999996"/>
    <n v="0"/>
    <n v="0"/>
    <n v="0"/>
    <n v="0"/>
    <n v="0"/>
    <x v="2"/>
    <n v="0"/>
    <n v="44"/>
    <n v="0"/>
    <n v="0"/>
    <n v="24.31"/>
    <n v="0"/>
    <n v="0"/>
    <n v="27.784726797371405"/>
    <m/>
    <m/>
    <n v="863.49119999999982"/>
    <n v="0"/>
    <n v="0"/>
    <n v="986.91349584263219"/>
    <n v="0"/>
    <n v="0"/>
  </r>
  <r>
    <s v="Sistema de Compensação"/>
    <x v="1"/>
    <x v="3"/>
    <x v="2"/>
    <x v="1"/>
    <x v="2"/>
    <x v="0"/>
    <x v="0"/>
    <x v="10"/>
    <n v="59"/>
    <n v="56.64"/>
    <n v="0"/>
    <n v="0"/>
    <n v="0"/>
    <n v="0"/>
    <n v="1"/>
    <x v="2"/>
    <n v="0"/>
    <n v="44"/>
    <n v="0"/>
    <n v="0"/>
    <n v="24.31"/>
    <n v="0"/>
    <n v="0"/>
    <n v="27.784726797371405"/>
    <m/>
    <m/>
    <n v="1376.9184"/>
    <n v="0"/>
    <n v="0"/>
    <n v="1573.7269258031165"/>
    <n v="0"/>
    <n v="0"/>
  </r>
  <r>
    <s v="PROJETADO"/>
    <x v="1"/>
    <x v="3"/>
    <x v="2"/>
    <x v="1"/>
    <x v="2"/>
    <x v="0"/>
    <x v="0"/>
    <x v="11"/>
    <n v="8919"/>
    <n v="8562.24"/>
    <n v="0"/>
    <n v="0"/>
    <n v="0"/>
    <n v="0"/>
    <n v="52"/>
    <x v="2"/>
    <n v="0"/>
    <n v="44"/>
    <n v="0"/>
    <n v="0"/>
    <n v="24.31"/>
    <n v="0"/>
    <n v="0"/>
    <n v="27.784726797371405"/>
    <m/>
    <m/>
    <n v="208148.05439999999"/>
    <n v="0"/>
    <n v="0"/>
    <n v="237899.49917352534"/>
    <n v="0"/>
    <n v="0"/>
  </r>
  <r>
    <s v="PROJETADO"/>
    <x v="1"/>
    <x v="3"/>
    <x v="2"/>
    <x v="1"/>
    <x v="2"/>
    <x v="0"/>
    <x v="0"/>
    <x v="11"/>
    <n v="37"/>
    <n v="35.519999999999996"/>
    <n v="0"/>
    <n v="0"/>
    <n v="0"/>
    <n v="0"/>
    <n v="0"/>
    <x v="2"/>
    <n v="0"/>
    <n v="44"/>
    <n v="0"/>
    <n v="0"/>
    <n v="24.31"/>
    <n v="0"/>
    <n v="0"/>
    <n v="27.784726797371405"/>
    <m/>
    <m/>
    <n v="863.49119999999982"/>
    <n v="0"/>
    <n v="0"/>
    <n v="986.91349584263219"/>
    <n v="0"/>
    <n v="0"/>
  </r>
  <r>
    <s v="PROJETADO"/>
    <x v="1"/>
    <x v="3"/>
    <x v="2"/>
    <x v="1"/>
    <x v="2"/>
    <x v="0"/>
    <x v="0"/>
    <x v="11"/>
    <n v="59"/>
    <n v="56.64"/>
    <n v="0"/>
    <n v="0"/>
    <n v="0"/>
    <n v="0"/>
    <n v="1"/>
    <x v="2"/>
    <n v="0"/>
    <n v="44"/>
    <n v="0"/>
    <n v="0"/>
    <n v="24.31"/>
    <n v="0"/>
    <n v="0"/>
    <n v="27.784726797371405"/>
    <m/>
    <m/>
    <n v="1376.9184"/>
    <n v="0"/>
    <n v="0"/>
    <n v="1573.7269258031165"/>
    <n v="0"/>
    <n v="0"/>
  </r>
  <r>
    <s v="Regular"/>
    <x v="1"/>
    <x v="3"/>
    <x v="2"/>
    <x v="1"/>
    <x v="2"/>
    <x v="0"/>
    <x v="2"/>
    <x v="0"/>
    <n v="0"/>
    <n v="0"/>
    <n v="14.07"/>
    <n v="13.507199999999999"/>
    <n v="14.07"/>
    <n v="13.507199999999999"/>
    <n v="0"/>
    <x v="2"/>
    <n v="0"/>
    <n v="0"/>
    <n v="20"/>
    <n v="88"/>
    <n v="0"/>
    <n v="1564.59"/>
    <n v="365.5"/>
    <m/>
    <n v="1922.323293423678"/>
    <n v="382.75425465660959"/>
    <n v="0"/>
    <n v="21133.230047999998"/>
    <n v="4936.8815999999997"/>
    <n v="0"/>
    <n v="25965.205188932301"/>
    <n v="5169.9382684977563"/>
  </r>
  <r>
    <s v="Regular"/>
    <x v="1"/>
    <x v="3"/>
    <x v="2"/>
    <x v="1"/>
    <x v="2"/>
    <x v="0"/>
    <x v="2"/>
    <x v="1"/>
    <n v="0"/>
    <n v="0"/>
    <n v="9.2910000000000004"/>
    <n v="8.9193599999999993"/>
    <n v="9.2910000000000004"/>
    <n v="8.9193599999999993"/>
    <n v="0"/>
    <x v="2"/>
    <n v="0"/>
    <n v="0"/>
    <n v="20"/>
    <n v="88"/>
    <n v="0"/>
    <n v="1564.59"/>
    <n v="365.5"/>
    <m/>
    <n v="1922.323293423678"/>
    <n v="382.75425465660959"/>
    <n v="0"/>
    <n v="13955.141462399999"/>
    <n v="3260.0260799999996"/>
    <n v="0"/>
    <n v="17145.893490431416"/>
    <n v="3413.9229888139771"/>
  </r>
  <r>
    <s v="Regular"/>
    <x v="1"/>
    <x v="3"/>
    <x v="2"/>
    <x v="1"/>
    <x v="2"/>
    <x v="0"/>
    <x v="2"/>
    <x v="2"/>
    <n v="0"/>
    <n v="0"/>
    <n v="8.5730000000000004"/>
    <n v="8.2300799999999992"/>
    <n v="8.5730000000000004"/>
    <n v="8.2300799999999992"/>
    <n v="0"/>
    <x v="2"/>
    <n v="0"/>
    <n v="0"/>
    <n v="20"/>
    <n v="88"/>
    <n v="0"/>
    <n v="1564.59"/>
    <n v="365.5"/>
    <m/>
    <n v="1922.323293423678"/>
    <n v="382.75425465660959"/>
    <n v="0"/>
    <n v="12876.700867199997"/>
    <n v="3008.0942399999999"/>
    <n v="0"/>
    <n v="15820.874490740342"/>
    <n v="3150.0981361642689"/>
  </r>
  <r>
    <s v="Regular"/>
    <x v="1"/>
    <x v="3"/>
    <x v="2"/>
    <x v="1"/>
    <x v="2"/>
    <x v="0"/>
    <x v="2"/>
    <x v="3"/>
    <n v="0"/>
    <n v="0"/>
    <n v="7.2220000000000004"/>
    <n v="6.9331199999999997"/>
    <n v="7.2220000000000004"/>
    <n v="6.9331199999999997"/>
    <n v="0"/>
    <x v="2"/>
    <n v="0"/>
    <n v="0"/>
    <n v="20"/>
    <n v="88"/>
    <n v="0"/>
    <n v="1564.59"/>
    <n v="365.5"/>
    <m/>
    <n v="1922.323293423678"/>
    <n v="382.75425465660959"/>
    <n v="0"/>
    <n v="10847.490220799998"/>
    <n v="2534.0553599999998"/>
    <n v="0"/>
    <n v="13327.69807210157"/>
    <n v="2653.6811780448329"/>
  </r>
  <r>
    <s v="Regular"/>
    <x v="1"/>
    <x v="3"/>
    <x v="2"/>
    <x v="1"/>
    <x v="2"/>
    <x v="0"/>
    <x v="2"/>
    <x v="4"/>
    <n v="0"/>
    <n v="0"/>
    <n v="8.3740000000000006"/>
    <n v="8.03904"/>
    <n v="8.3740000000000006"/>
    <n v="8.03904"/>
    <n v="0"/>
    <x v="2"/>
    <n v="0"/>
    <n v="0"/>
    <n v="20"/>
    <n v="88"/>
    <n v="0"/>
    <n v="1564.59"/>
    <n v="365.5"/>
    <m/>
    <n v="1922.323293423678"/>
    <n v="382.75425465660959"/>
    <n v="0"/>
    <n v="12577.801593599999"/>
    <n v="2938.2691199999999"/>
    <n v="0"/>
    <n v="15453.633848764684"/>
    <n v="3076.9767633546708"/>
  </r>
  <r>
    <s v="Regular"/>
    <x v="1"/>
    <x v="3"/>
    <x v="2"/>
    <x v="1"/>
    <x v="2"/>
    <x v="0"/>
    <x v="2"/>
    <x v="5"/>
    <n v="0"/>
    <n v="0"/>
    <n v="14.097"/>
    <n v="13.53312"/>
    <n v="14.097"/>
    <n v="13.53312"/>
    <n v="0"/>
    <x v="2"/>
    <n v="0"/>
    <n v="0"/>
    <n v="20"/>
    <n v="88"/>
    <n v="0"/>
    <n v="1564.59"/>
    <n v="365.5"/>
    <m/>
    <n v="1922.323293423678"/>
    <n v="382.75425465660959"/>
    <n v="0"/>
    <n v="21173.7842208"/>
    <n v="4946.3553600000005"/>
    <n v="0"/>
    <n v="26015.031808697848"/>
    <n v="5179.859258778456"/>
  </r>
  <r>
    <s v="Refaturamento - Regular"/>
    <x v="1"/>
    <x v="3"/>
    <x v="2"/>
    <x v="1"/>
    <x v="2"/>
    <x v="0"/>
    <x v="2"/>
    <x v="5"/>
    <n v="0"/>
    <n v="0"/>
    <n v="0.94599999999999995"/>
    <n v="0.90815999999999997"/>
    <n v="0.94599999999999995"/>
    <n v="0.90815999999999997"/>
    <n v="0"/>
    <x v="2"/>
    <n v="0"/>
    <n v="0"/>
    <n v="20"/>
    <n v="88"/>
    <n v="0"/>
    <n v="1564.59"/>
    <n v="365.5"/>
    <m/>
    <n v="1922.323293423678"/>
    <n v="382.75425465660959"/>
    <n v="0"/>
    <n v="1420.8980543999999"/>
    <n v="331.93248"/>
    <n v="0"/>
    <n v="1745.7771221556475"/>
    <n v="347.60210390894656"/>
  </r>
  <r>
    <s v="Regular"/>
    <x v="1"/>
    <x v="3"/>
    <x v="2"/>
    <x v="1"/>
    <x v="2"/>
    <x v="0"/>
    <x v="2"/>
    <x v="6"/>
    <n v="0"/>
    <n v="0"/>
    <n v="14.898"/>
    <n v="14.30208"/>
    <n v="14.898"/>
    <n v="14.30208"/>
    <n v="0"/>
    <x v="2"/>
    <n v="0"/>
    <n v="0"/>
    <n v="20"/>
    <n v="88"/>
    <n v="0"/>
    <n v="1564.59"/>
    <n v="365.5"/>
    <m/>
    <n v="1922.323293423678"/>
    <n v="382.75425465660959"/>
    <n v="0"/>
    <n v="22376.891347199999"/>
    <n v="5227.4102400000002"/>
    <n v="0"/>
    <n v="27493.221528408918"/>
    <n v="5474.1819704392028"/>
  </r>
  <r>
    <s v="Regular"/>
    <x v="1"/>
    <x v="3"/>
    <x v="2"/>
    <x v="1"/>
    <x v="2"/>
    <x v="0"/>
    <x v="2"/>
    <x v="7"/>
    <n v="0"/>
    <n v="0"/>
    <n v="17.111999999999998"/>
    <n v="16.427519999999998"/>
    <n v="17.111999999999998"/>
    <n v="16.427519999999998"/>
    <n v="0"/>
    <x v="2"/>
    <n v="0"/>
    <n v="0"/>
    <n v="20"/>
    <n v="88"/>
    <n v="0"/>
    <n v="1564.59"/>
    <n v="365.5"/>
    <m/>
    <n v="1922.323293423678"/>
    <n v="382.75425465660959"/>
    <n v="0"/>
    <n v="25702.333516799994"/>
    <n v="6004.2585599999993"/>
    <n v="0"/>
    <n v="31579.004349183335"/>
    <n v="6287.7031734565462"/>
  </r>
  <r>
    <s v="Regular"/>
    <x v="1"/>
    <x v="3"/>
    <x v="2"/>
    <x v="1"/>
    <x v="2"/>
    <x v="0"/>
    <x v="2"/>
    <x v="8"/>
    <n v="0"/>
    <n v="0"/>
    <n v="16.388999999999999"/>
    <n v="15.733439999999998"/>
    <n v="16.388999999999999"/>
    <n v="15.733439999999998"/>
    <n v="0"/>
    <x v="2"/>
    <n v="0"/>
    <n v="0"/>
    <n v="20"/>
    <n v="88"/>
    <n v="0"/>
    <n v="1564.59"/>
    <n v="365.5"/>
    <m/>
    <n v="1922.323293423678"/>
    <n v="382.75425465660959"/>
    <n v="0"/>
    <n v="24616.382889599994"/>
    <n v="5750.5723199999993"/>
    <n v="0"/>
    <n v="30244.75819768383"/>
    <n v="6022.0411003844865"/>
  </r>
  <r>
    <s v="Regular"/>
    <x v="1"/>
    <x v="3"/>
    <x v="2"/>
    <x v="1"/>
    <x v="2"/>
    <x v="0"/>
    <x v="2"/>
    <x v="9"/>
    <n v="0"/>
    <n v="0"/>
    <n v="18.425999999999998"/>
    <n v="17.688959999999998"/>
    <n v="18.425999999999998"/>
    <n v="17.688959999999998"/>
    <n v="0"/>
    <x v="2"/>
    <n v="0"/>
    <n v="0"/>
    <n v="20"/>
    <n v="88"/>
    <n v="0"/>
    <n v="1564.59"/>
    <n v="365.5"/>
    <m/>
    <n v="1922.323293423678"/>
    <n v="382.75425465660959"/>
    <n v="0"/>
    <n v="27675.969926399994"/>
    <n v="6465.314879999999"/>
    <n v="0"/>
    <n v="34003.8998444397"/>
    <n v="6770.52470045058"/>
  </r>
  <r>
    <s v="Refaturamento - Regular"/>
    <x v="1"/>
    <x v="3"/>
    <x v="2"/>
    <x v="1"/>
    <x v="2"/>
    <x v="0"/>
    <x v="2"/>
    <x v="9"/>
    <n v="0"/>
    <n v="0"/>
    <n v="0.2"/>
    <n v="0.192"/>
    <n v="0.2"/>
    <n v="0.192"/>
    <n v="0"/>
    <x v="2"/>
    <n v="0"/>
    <n v="0"/>
    <n v="20"/>
    <n v="88"/>
    <n v="0"/>
    <n v="1564.59"/>
    <n v="365.5"/>
    <m/>
    <n v="1922.323293423678"/>
    <n v="382.75425465660959"/>
    <n v="0"/>
    <n v="300.40127999999999"/>
    <n v="70.176000000000002"/>
    <n v="0"/>
    <n v="369.0860723373462"/>
    <n v="73.488816894069046"/>
  </r>
  <r>
    <s v="Sistema de Compensação"/>
    <x v="1"/>
    <x v="3"/>
    <x v="2"/>
    <x v="1"/>
    <x v="2"/>
    <x v="0"/>
    <x v="2"/>
    <x v="9"/>
    <n v="0"/>
    <n v="0"/>
    <n v="0.25700000000000001"/>
    <n v="0.24671999999999999"/>
    <n v="0.25700000000000001"/>
    <n v="0.24671999999999999"/>
    <n v="0"/>
    <x v="2"/>
    <n v="0"/>
    <n v="0"/>
    <n v="20"/>
    <n v="88"/>
    <n v="0"/>
    <n v="1564.59"/>
    <n v="365.5"/>
    <m/>
    <n v="1922.323293423678"/>
    <n v="382.75425465660959"/>
    <n v="0"/>
    <n v="386.01564479999996"/>
    <n v="90.176159999999996"/>
    <n v="0"/>
    <n v="474.27560295348985"/>
    <n v="94.43312970887871"/>
  </r>
  <r>
    <s v="Regular"/>
    <x v="1"/>
    <x v="3"/>
    <x v="2"/>
    <x v="1"/>
    <x v="2"/>
    <x v="0"/>
    <x v="2"/>
    <x v="10"/>
    <n v="0"/>
    <n v="0"/>
    <n v="16.137"/>
    <n v="15.49152"/>
    <n v="16.137"/>
    <n v="15.49152"/>
    <n v="0"/>
    <x v="2"/>
    <n v="0"/>
    <n v="0"/>
    <n v="20"/>
    <n v="88"/>
    <n v="0"/>
    <n v="1564.59"/>
    <n v="365.5"/>
    <m/>
    <n v="1922.323293423678"/>
    <n v="382.75425465660959"/>
    <n v="0"/>
    <n v="24237.877276799998"/>
    <n v="5662.15056"/>
    <n v="0"/>
    <n v="29779.709746538774"/>
    <n v="5929.4451910979606"/>
  </r>
  <r>
    <s v="Refaturamento - Regular"/>
    <x v="1"/>
    <x v="3"/>
    <x v="2"/>
    <x v="1"/>
    <x v="2"/>
    <x v="0"/>
    <x v="2"/>
    <x v="10"/>
    <n v="0"/>
    <n v="0"/>
    <n v="8.2000000000000003E-2"/>
    <n v="7.8719999999999998E-2"/>
    <n v="8.2000000000000003E-2"/>
    <n v="7.8719999999999998E-2"/>
    <n v="0"/>
    <x v="2"/>
    <n v="0"/>
    <n v="0"/>
    <n v="20"/>
    <n v="88"/>
    <n v="0"/>
    <n v="1564.59"/>
    <n v="365.5"/>
    <m/>
    <n v="1922.323293423678"/>
    <n v="382.75425465660959"/>
    <n v="0"/>
    <n v="123.1645248"/>
    <n v="28.77216"/>
    <n v="0"/>
    <n v="151.32528965831193"/>
    <n v="30.130414926568307"/>
  </r>
  <r>
    <s v="Sistema de Compensação"/>
    <x v="1"/>
    <x v="3"/>
    <x v="2"/>
    <x v="1"/>
    <x v="2"/>
    <x v="0"/>
    <x v="2"/>
    <x v="10"/>
    <n v="0"/>
    <n v="0"/>
    <n v="0.38"/>
    <n v="0.36480000000000001"/>
    <n v="0.38"/>
    <n v="0.36480000000000001"/>
    <n v="0"/>
    <x v="2"/>
    <n v="0"/>
    <n v="0"/>
    <n v="20"/>
    <n v="88"/>
    <n v="0"/>
    <n v="1564.59"/>
    <n v="365.5"/>
    <m/>
    <n v="1922.323293423678"/>
    <n v="382.75425465660959"/>
    <n v="0"/>
    <n v="570.76243199999999"/>
    <n v="133.33440000000002"/>
    <n v="0"/>
    <n v="701.26353744095775"/>
    <n v="139.62875209873118"/>
  </r>
  <r>
    <s v="PROJETADO"/>
    <x v="1"/>
    <x v="3"/>
    <x v="2"/>
    <x v="1"/>
    <x v="2"/>
    <x v="0"/>
    <x v="2"/>
    <x v="11"/>
    <n v="0"/>
    <n v="0"/>
    <n v="16.137"/>
    <n v="15.49152"/>
    <n v="16.137"/>
    <n v="15.49152"/>
    <n v="0"/>
    <x v="2"/>
    <n v="0"/>
    <n v="0"/>
    <n v="20"/>
    <n v="88"/>
    <n v="0"/>
    <n v="1564.59"/>
    <n v="365.5"/>
    <m/>
    <n v="1922.323293423678"/>
    <n v="382.75425465660959"/>
    <n v="0"/>
    <n v="24237.877276799998"/>
    <n v="5662.15056"/>
    <n v="0"/>
    <n v="29779.709746538774"/>
    <n v="5929.4451910979606"/>
  </r>
  <r>
    <s v="PROJETADO"/>
    <x v="1"/>
    <x v="3"/>
    <x v="2"/>
    <x v="1"/>
    <x v="2"/>
    <x v="0"/>
    <x v="2"/>
    <x v="11"/>
    <n v="0"/>
    <n v="0"/>
    <n v="8.2000000000000003E-2"/>
    <n v="7.8719999999999998E-2"/>
    <n v="8.2000000000000003E-2"/>
    <n v="7.8719999999999998E-2"/>
    <n v="0"/>
    <x v="2"/>
    <n v="0"/>
    <n v="0"/>
    <n v="20"/>
    <n v="88"/>
    <n v="0"/>
    <n v="1564.59"/>
    <n v="365.5"/>
    <m/>
    <n v="1922.323293423678"/>
    <n v="382.75425465660959"/>
    <n v="0"/>
    <n v="123.1645248"/>
    <n v="28.77216"/>
    <n v="0"/>
    <n v="151.32528965831193"/>
    <n v="30.130414926568307"/>
  </r>
  <r>
    <s v="PROJETADO"/>
    <x v="1"/>
    <x v="3"/>
    <x v="2"/>
    <x v="1"/>
    <x v="2"/>
    <x v="0"/>
    <x v="2"/>
    <x v="11"/>
    <n v="0"/>
    <n v="0"/>
    <n v="0.38"/>
    <n v="0.36480000000000001"/>
    <n v="0.38"/>
    <n v="0.36480000000000001"/>
    <n v="0"/>
    <x v="2"/>
    <n v="0"/>
    <n v="0"/>
    <n v="20"/>
    <n v="88"/>
    <n v="0"/>
    <n v="1564.59"/>
    <n v="365.5"/>
    <m/>
    <n v="1922.323293423678"/>
    <n v="382.75425465660959"/>
    <n v="0"/>
    <n v="570.76243199999999"/>
    <n v="133.33440000000002"/>
    <n v="0"/>
    <n v="701.26353744095775"/>
    <n v="139.62875209873118"/>
  </r>
  <r>
    <s v="Regular"/>
    <x v="1"/>
    <x v="3"/>
    <x v="2"/>
    <x v="0"/>
    <x v="2"/>
    <x v="0"/>
    <x v="1"/>
    <x v="0"/>
    <n v="0"/>
    <n v="0"/>
    <n v="1374.3910000000001"/>
    <n v="1319.41536"/>
    <n v="1374.3910000000001"/>
    <n v="1319.41536"/>
    <n v="0"/>
    <x v="2"/>
    <n v="0"/>
    <n v="0"/>
    <n v="21"/>
    <n v="89"/>
    <n v="0"/>
    <n v="51.27"/>
    <n v="222.31"/>
    <m/>
    <n v="66.787442987613147"/>
    <n v="236.64237028527376"/>
    <n v="0"/>
    <n v="67646.425507200009"/>
    <n v="293319.22868160001"/>
    <n v="0"/>
    <n v="88120.378132981074"/>
    <n v="312229.57818119775"/>
  </r>
  <r>
    <s v="Regular"/>
    <x v="1"/>
    <x v="3"/>
    <x v="2"/>
    <x v="0"/>
    <x v="2"/>
    <x v="0"/>
    <x v="1"/>
    <x v="1"/>
    <n v="0"/>
    <n v="0"/>
    <n v="782.78499999999997"/>
    <n v="751.47360000000003"/>
    <n v="782.78499999999997"/>
    <n v="751.47360000000003"/>
    <n v="0"/>
    <x v="2"/>
    <n v="0"/>
    <n v="0"/>
    <n v="21"/>
    <n v="89"/>
    <n v="0"/>
    <n v="51.27"/>
    <n v="222.31"/>
    <m/>
    <n v="66.787442987613147"/>
    <n v="236.64237028527376"/>
    <n v="0"/>
    <n v="38528.051472000006"/>
    <n v="167060.096016"/>
    <n v="0"/>
    <n v="50189.000216696411"/>
    <n v="177830.49391080771"/>
  </r>
  <r>
    <s v="Refaturamento - Regular"/>
    <x v="1"/>
    <x v="3"/>
    <x v="2"/>
    <x v="0"/>
    <x v="2"/>
    <x v="0"/>
    <x v="1"/>
    <x v="1"/>
    <n v="0"/>
    <n v="0"/>
    <n v="0.96"/>
    <n v="0.92159999999999997"/>
    <n v="0.96"/>
    <n v="0.92159999999999997"/>
    <n v="0"/>
    <x v="2"/>
    <n v="0"/>
    <n v="0"/>
    <n v="21"/>
    <n v="89"/>
    <n v="0"/>
    <n v="51.27"/>
    <n v="222.31"/>
    <m/>
    <n v="66.787442987613147"/>
    <n v="236.64237028527376"/>
    <n v="0"/>
    <n v="47.250432000000004"/>
    <n v="204.88089600000001"/>
    <n v="0"/>
    <n v="61.551307457384276"/>
    <n v="218.0896084549083"/>
  </r>
  <r>
    <s v="Sistema de Compensação"/>
    <x v="1"/>
    <x v="3"/>
    <x v="2"/>
    <x v="0"/>
    <x v="2"/>
    <x v="0"/>
    <x v="1"/>
    <x v="1"/>
    <n v="0"/>
    <n v="0"/>
    <n v="19.867999999999999"/>
    <n v="19.07328"/>
    <n v="19.867999999999999"/>
    <n v="19.07328"/>
    <n v="0"/>
    <x v="2"/>
    <n v="0"/>
    <n v="0"/>
    <n v="21"/>
    <n v="89"/>
    <n v="0"/>
    <n v="51.27"/>
    <n v="222.31"/>
    <m/>
    <n v="66.787442987613147"/>
    <n v="236.64237028527376"/>
    <n v="0"/>
    <n v="977.88706560000003"/>
    <n v="4240.1808768000001"/>
    <n v="0"/>
    <n v="1273.8556005867822"/>
    <n v="4513.5461883147063"/>
  </r>
  <r>
    <s v="Regular"/>
    <x v="1"/>
    <x v="3"/>
    <x v="2"/>
    <x v="0"/>
    <x v="2"/>
    <x v="0"/>
    <x v="1"/>
    <x v="2"/>
    <n v="0"/>
    <n v="0"/>
    <n v="797.85900000000004"/>
    <n v="765.94464000000005"/>
    <n v="797.85900000000004"/>
    <n v="765.94464000000005"/>
    <n v="0"/>
    <x v="2"/>
    <n v="0"/>
    <n v="0"/>
    <n v="21"/>
    <n v="89"/>
    <n v="0"/>
    <n v="51.27"/>
    <n v="222.31"/>
    <m/>
    <n v="66.787442987613147"/>
    <n v="236.64237028527376"/>
    <n v="0"/>
    <n v="39269.981692800007"/>
    <n v="170277.15291840001"/>
    <n v="0"/>
    <n v="51155.483975667878"/>
    <n v="181254.9551169007"/>
  </r>
  <r>
    <s v="Sistema de Compensação"/>
    <x v="1"/>
    <x v="3"/>
    <x v="2"/>
    <x v="0"/>
    <x v="2"/>
    <x v="0"/>
    <x v="1"/>
    <x v="2"/>
    <n v="0"/>
    <n v="0"/>
    <n v="18.321000000000002"/>
    <n v="17.588159999999998"/>
    <n v="18.321000000000002"/>
    <n v="17.588159999999998"/>
    <n v="0"/>
    <x v="2"/>
    <n v="0"/>
    <n v="0"/>
    <n v="21"/>
    <n v="89"/>
    <n v="0"/>
    <n v="51.27"/>
    <n v="222.31"/>
    <m/>
    <n v="66.787442987613147"/>
    <n v="236.64237028527376"/>
    <n v="0"/>
    <n v="901.74496320000003"/>
    <n v="3910.0238495999997"/>
    <n v="0"/>
    <n v="1174.6682332570178"/>
    <n v="4162.1038713566404"/>
  </r>
  <r>
    <s v="Regular"/>
    <x v="1"/>
    <x v="3"/>
    <x v="2"/>
    <x v="0"/>
    <x v="2"/>
    <x v="0"/>
    <x v="1"/>
    <x v="3"/>
    <n v="0"/>
    <n v="0"/>
    <n v="859.16200000000003"/>
    <n v="824.79552000000001"/>
    <n v="859.16200000000003"/>
    <n v="824.79552000000001"/>
    <n v="0"/>
    <x v="2"/>
    <n v="0"/>
    <n v="0"/>
    <n v="21"/>
    <n v="89"/>
    <n v="0"/>
    <n v="51.27"/>
    <n v="222.31"/>
    <m/>
    <n v="66.787442987613147"/>
    <n v="236.64237028527376"/>
    <n v="0"/>
    <n v="42287.266310400002"/>
    <n v="183360.2920512"/>
    <n v="0"/>
    <n v="55085.983768438738"/>
    <n v="195181.56685347491"/>
  </r>
  <r>
    <s v="Refaturamento - Regular"/>
    <x v="1"/>
    <x v="3"/>
    <x v="2"/>
    <x v="0"/>
    <x v="2"/>
    <x v="0"/>
    <x v="1"/>
    <x v="3"/>
    <n v="0"/>
    <n v="0"/>
    <n v="-0.316"/>
    <n v="-0.30336000000000002"/>
    <n v="-0.316"/>
    <n v="-0.30336000000000002"/>
    <n v="0"/>
    <x v="2"/>
    <n v="0"/>
    <n v="0"/>
    <n v="21"/>
    <n v="89"/>
    <n v="0"/>
    <n v="51.27"/>
    <n v="222.31"/>
    <m/>
    <n v="66.787442987613147"/>
    <n v="236.64237028527376"/>
    <n v="0"/>
    <n v="-15.553267200000002"/>
    <n v="-67.439961600000004"/>
    <n v="0"/>
    <n v="-20.260638704722325"/>
    <n v="-71.787829449740656"/>
  </r>
  <r>
    <s v="Sistema de Compensação"/>
    <x v="1"/>
    <x v="3"/>
    <x v="2"/>
    <x v="0"/>
    <x v="2"/>
    <x v="0"/>
    <x v="1"/>
    <x v="3"/>
    <n v="0"/>
    <n v="0"/>
    <n v="9.6159999999999997"/>
    <n v="9.2313600000000005"/>
    <n v="9.6159999999999997"/>
    <n v="9.2313600000000005"/>
    <n v="0"/>
    <x v="2"/>
    <n v="0"/>
    <n v="0"/>
    <n v="21"/>
    <n v="89"/>
    <n v="0"/>
    <n v="51.27"/>
    <n v="222.31"/>
    <m/>
    <n v="66.787442987613147"/>
    <n v="236.64237028527376"/>
    <n v="0"/>
    <n v="473.29182720000006"/>
    <n v="2052.2236416000001"/>
    <n v="0"/>
    <n v="616.53892969813251"/>
    <n v="2184.530911356665"/>
  </r>
  <r>
    <s v="Regular"/>
    <x v="1"/>
    <x v="3"/>
    <x v="2"/>
    <x v="0"/>
    <x v="2"/>
    <x v="0"/>
    <x v="1"/>
    <x v="4"/>
    <n v="0"/>
    <n v="0"/>
    <n v="1255.989"/>
    <n v="1205.74944"/>
    <n v="1255.989"/>
    <n v="1205.74944"/>
    <n v="0"/>
    <x v="2"/>
    <n v="0"/>
    <n v="0"/>
    <n v="21"/>
    <n v="89"/>
    <n v="0"/>
    <n v="51.27"/>
    <n v="222.31"/>
    <m/>
    <n v="66.787442987613147"/>
    <n v="236.64237028527376"/>
    <n v="0"/>
    <n v="61818.773788800005"/>
    <n v="268050.15800639999"/>
    <n v="0"/>
    <n v="80528.921981346488"/>
    <n v="285331.40545174148"/>
  </r>
  <r>
    <s v="Refaturamento - Regular"/>
    <x v="1"/>
    <x v="3"/>
    <x v="2"/>
    <x v="0"/>
    <x v="2"/>
    <x v="0"/>
    <x v="1"/>
    <x v="4"/>
    <n v="0"/>
    <n v="0"/>
    <n v="-0.4"/>
    <n v="-0.38400000000000001"/>
    <n v="-0.4"/>
    <n v="-0.38400000000000001"/>
    <n v="0"/>
    <x v="2"/>
    <n v="0"/>
    <n v="0"/>
    <n v="21"/>
    <n v="89"/>
    <n v="0"/>
    <n v="51.27"/>
    <n v="222.31"/>
    <m/>
    <n v="66.787442987613147"/>
    <n v="236.64237028527376"/>
    <n v="0"/>
    <n v="-19.68768"/>
    <n v="-85.367040000000003"/>
    <n v="0"/>
    <n v="-25.64637810724345"/>
    <n v="-90.870670189545123"/>
  </r>
  <r>
    <s v="Sistema de Compensação"/>
    <x v="1"/>
    <x v="3"/>
    <x v="2"/>
    <x v="0"/>
    <x v="2"/>
    <x v="0"/>
    <x v="1"/>
    <x v="4"/>
    <n v="0"/>
    <n v="0"/>
    <n v="13.866"/>
    <n v="13.311360000000001"/>
    <n v="13.866"/>
    <n v="13.311360000000001"/>
    <n v="0"/>
    <x v="2"/>
    <n v="0"/>
    <n v="0"/>
    <n v="21"/>
    <n v="89"/>
    <n v="0"/>
    <n v="51.27"/>
    <n v="222.31"/>
    <m/>
    <n v="66.787442987613147"/>
    <n v="236.64237028527376"/>
    <n v="0"/>
    <n v="682.47342720000006"/>
    <n v="2959.2484416000002"/>
    <n v="0"/>
    <n v="889.03169708759413"/>
    <n v="3150.0317821205817"/>
  </r>
  <r>
    <s v="Regular"/>
    <x v="1"/>
    <x v="3"/>
    <x v="2"/>
    <x v="0"/>
    <x v="2"/>
    <x v="0"/>
    <x v="1"/>
    <x v="5"/>
    <n v="0"/>
    <n v="0"/>
    <n v="1824.4749999999999"/>
    <n v="1751.4960000000001"/>
    <n v="1824.4749999999999"/>
    <n v="1751.4960000000001"/>
    <n v="0"/>
    <x v="2"/>
    <n v="0"/>
    <n v="0"/>
    <n v="21"/>
    <n v="89"/>
    <n v="0"/>
    <n v="51.27"/>
    <n v="222.31"/>
    <m/>
    <n v="66.787442987613147"/>
    <n v="236.64237028527376"/>
    <n v="0"/>
    <n v="89799.199920000014"/>
    <n v="389375.07576000004"/>
    <n v="0"/>
    <n v="116977.93924303248"/>
    <n v="414478.16498517588"/>
  </r>
  <r>
    <s v="Sistema de Compensação"/>
    <x v="1"/>
    <x v="3"/>
    <x v="2"/>
    <x v="0"/>
    <x v="2"/>
    <x v="0"/>
    <x v="1"/>
    <x v="5"/>
    <n v="0"/>
    <n v="0"/>
    <n v="5.452"/>
    <n v="5.2339200000000003"/>
    <n v="5.452"/>
    <n v="5.2339200000000003"/>
    <n v="0"/>
    <x v="2"/>
    <n v="0"/>
    <n v="0"/>
    <n v="21"/>
    <n v="89"/>
    <n v="0"/>
    <n v="51.27"/>
    <n v="222.31"/>
    <m/>
    <n v="66.787442987613147"/>
    <n v="236.64237028527376"/>
    <n v="0"/>
    <n v="268.34307840000002"/>
    <n v="1163.5527552000001"/>
    <n v="0"/>
    <n v="349.56013360172824"/>
    <n v="1238.5672346835001"/>
  </r>
  <r>
    <s v="Regular"/>
    <x v="1"/>
    <x v="3"/>
    <x v="2"/>
    <x v="0"/>
    <x v="2"/>
    <x v="0"/>
    <x v="1"/>
    <x v="6"/>
    <n v="0"/>
    <n v="0"/>
    <n v="2460.4290000000001"/>
    <n v="2362.0118400000001"/>
    <n v="2460.4290000000001"/>
    <n v="2362.0118400000001"/>
    <n v="0"/>
    <x v="2"/>
    <n v="0"/>
    <n v="0"/>
    <n v="21"/>
    <n v="89"/>
    <n v="0"/>
    <n v="51.27"/>
    <n v="222.31"/>
    <m/>
    <n v="66.787442987613147"/>
    <n v="236.64237028527376"/>
    <n v="0"/>
    <n v="121100.34703680001"/>
    <n v="525098.85215040005"/>
    <n v="0"/>
    <n v="157752.73110006723"/>
    <n v="558952.08045948087"/>
  </r>
  <r>
    <s v="Sistema de Compensação"/>
    <x v="1"/>
    <x v="3"/>
    <x v="2"/>
    <x v="0"/>
    <x v="2"/>
    <x v="0"/>
    <x v="1"/>
    <x v="6"/>
    <n v="0"/>
    <n v="0"/>
    <n v="18.899999999999999"/>
    <n v="18.143999999999998"/>
    <n v="18.899999999999999"/>
    <n v="18.143999999999998"/>
    <n v="0"/>
    <x v="2"/>
    <n v="0"/>
    <n v="0"/>
    <n v="21"/>
    <n v="89"/>
    <n v="0"/>
    <n v="51.27"/>
    <n v="222.31"/>
    <m/>
    <n v="66.787442987613147"/>
    <n v="236.64237028527376"/>
    <n v="0"/>
    <n v="930.24288000000001"/>
    <n v="4033.5926399999998"/>
    <n v="0"/>
    <n v="1211.7913655672528"/>
    <n v="4293.6391664560069"/>
  </r>
  <r>
    <s v="Sistema de Compensação"/>
    <x v="1"/>
    <x v="3"/>
    <x v="2"/>
    <x v="0"/>
    <x v="2"/>
    <x v="0"/>
    <x v="1"/>
    <x v="6"/>
    <n v="0"/>
    <n v="0"/>
    <n v="-18.718"/>
    <n v="-17.969279999999998"/>
    <n v="-18.718"/>
    <n v="-17.969279999999998"/>
    <n v="0"/>
    <x v="2"/>
    <n v="0"/>
    <n v="0"/>
    <n v="21"/>
    <n v="89"/>
    <n v="0"/>
    <n v="51.27"/>
    <n v="222.31"/>
    <m/>
    <n v="66.787442987613147"/>
    <n v="236.64237028527376"/>
    <n v="0"/>
    <n v="-921.28498559999991"/>
    <n v="-3994.7506367999995"/>
    <n v="0"/>
    <n v="-1200.1222635284571"/>
    <n v="-4252.2930115197632"/>
  </r>
  <r>
    <s v="Regular"/>
    <x v="1"/>
    <x v="3"/>
    <x v="2"/>
    <x v="0"/>
    <x v="2"/>
    <x v="0"/>
    <x v="1"/>
    <x v="7"/>
    <n v="0"/>
    <n v="0"/>
    <n v="2212.509"/>
    <n v="2124.00864"/>
    <n v="2212.509"/>
    <n v="2124.00864"/>
    <n v="0"/>
    <x v="2"/>
    <n v="0"/>
    <n v="0"/>
    <n v="21"/>
    <n v="89"/>
    <n v="0"/>
    <n v="51.27"/>
    <n v="222.31"/>
    <m/>
    <n v="66.787442987613147"/>
    <n v="236.64237028527376"/>
    <n v="0"/>
    <n v="108897.92297280001"/>
    <n v="472188.3607584"/>
    <n v="0"/>
    <n v="141857.10594919775"/>
    <n v="502630.43907600071"/>
  </r>
  <r>
    <s v="Sistema de Compensação"/>
    <x v="1"/>
    <x v="3"/>
    <x v="2"/>
    <x v="0"/>
    <x v="2"/>
    <x v="0"/>
    <x v="1"/>
    <x v="7"/>
    <n v="0"/>
    <n v="0"/>
    <n v="15.975"/>
    <n v="15.336"/>
    <n v="15.975"/>
    <n v="15.336"/>
    <n v="0"/>
    <x v="2"/>
    <n v="0"/>
    <n v="0"/>
    <n v="21"/>
    <n v="89"/>
    <n v="0"/>
    <n v="51.27"/>
    <n v="222.31"/>
    <m/>
    <n v="66.787442987613147"/>
    <n v="236.64237028527376"/>
    <n v="0"/>
    <n v="786.27672000000007"/>
    <n v="3409.3461600000001"/>
    <n v="0"/>
    <n v="1024.2522256580353"/>
    <n v="3629.1473906949582"/>
  </r>
  <r>
    <s v="Regular"/>
    <x v="1"/>
    <x v="3"/>
    <x v="2"/>
    <x v="0"/>
    <x v="2"/>
    <x v="0"/>
    <x v="1"/>
    <x v="8"/>
    <n v="0"/>
    <n v="0"/>
    <n v="1852.6690000000001"/>
    <n v="1778.56224"/>
    <n v="1852.6690000000001"/>
    <n v="1778.56224"/>
    <n v="0"/>
    <x v="2"/>
    <n v="0"/>
    <n v="0"/>
    <n v="21"/>
    <n v="89"/>
    <n v="0"/>
    <n v="51.27"/>
    <n v="222.31"/>
    <m/>
    <n v="66.787442987613147"/>
    <n v="236.64237028527376"/>
    <n v="0"/>
    <n v="91186.886044800005"/>
    <n v="395392.17157439998"/>
    <n v="0"/>
    <n v="118785.62420392153"/>
    <n v="420883.1841734859"/>
  </r>
  <r>
    <s v="Refaturamento - Regular"/>
    <x v="1"/>
    <x v="3"/>
    <x v="2"/>
    <x v="0"/>
    <x v="2"/>
    <x v="0"/>
    <x v="1"/>
    <x v="8"/>
    <n v="0"/>
    <n v="0"/>
    <n v="-0.24"/>
    <n v="-0.23039999999999999"/>
    <n v="-0.24"/>
    <n v="-0.23039999999999999"/>
    <n v="0"/>
    <x v="2"/>
    <n v="0"/>
    <n v="0"/>
    <n v="21"/>
    <n v="89"/>
    <n v="0"/>
    <n v="51.27"/>
    <n v="222.31"/>
    <m/>
    <n v="66.787442987613147"/>
    <n v="236.64237028527376"/>
    <n v="0"/>
    <n v="-11.812608000000001"/>
    <n v="-51.220224000000002"/>
    <n v="0"/>
    <n v="-15.387826864346069"/>
    <n v="-54.522402113727075"/>
  </r>
  <r>
    <s v="Sistema de Compensação"/>
    <x v="1"/>
    <x v="3"/>
    <x v="2"/>
    <x v="0"/>
    <x v="2"/>
    <x v="0"/>
    <x v="1"/>
    <x v="8"/>
    <n v="0"/>
    <n v="0"/>
    <n v="2.2200000000000002"/>
    <n v="2.1312000000000002"/>
    <n v="2.2200000000000002"/>
    <n v="2.1312000000000002"/>
    <n v="0"/>
    <x v="2"/>
    <n v="0"/>
    <n v="0"/>
    <n v="21"/>
    <n v="89"/>
    <n v="0"/>
    <n v="51.27"/>
    <n v="222.31"/>
    <m/>
    <n v="66.787442987613147"/>
    <n v="236.64237028527376"/>
    <n v="0"/>
    <n v="109.26662400000002"/>
    <n v="473.78707200000002"/>
    <n v="0"/>
    <n v="142.33739849520114"/>
    <n v="504.33221955197547"/>
  </r>
  <r>
    <s v="Regular"/>
    <x v="1"/>
    <x v="3"/>
    <x v="2"/>
    <x v="0"/>
    <x v="2"/>
    <x v="0"/>
    <x v="1"/>
    <x v="9"/>
    <n v="0"/>
    <n v="0"/>
    <n v="2020.7329999999999"/>
    <n v="1939.9036799999999"/>
    <n v="2020.7329999999999"/>
    <n v="1939.9036799999999"/>
    <n v="0"/>
    <x v="2"/>
    <n v="0"/>
    <n v="0"/>
    <n v="21"/>
    <n v="89"/>
    <n v="0"/>
    <n v="51.27"/>
    <n v="222.31"/>
    <m/>
    <n v="66.787442987613147"/>
    <n v="236.64237028527376"/>
    <n v="0"/>
    <n v="99458.861673599997"/>
    <n v="431259.98710079998"/>
    <n v="0"/>
    <n v="129561.20642946093"/>
    <n v="459063.40496032516"/>
  </r>
  <r>
    <s v="Refaturamento - Regular"/>
    <x v="1"/>
    <x v="3"/>
    <x v="2"/>
    <x v="0"/>
    <x v="2"/>
    <x v="0"/>
    <x v="1"/>
    <x v="9"/>
    <n v="0"/>
    <n v="0"/>
    <n v="-164.447"/>
    <n v="-157.86912000000001"/>
    <n v="-164.447"/>
    <n v="-157.86912000000001"/>
    <n v="0"/>
    <x v="2"/>
    <n v="0"/>
    <n v="0"/>
    <n v="21"/>
    <n v="89"/>
    <n v="0"/>
    <n v="51.27"/>
    <n v="222.31"/>
    <m/>
    <n v="66.787442987613147"/>
    <n v="236.64237028527376"/>
    <n v="0"/>
    <n v="-8093.9497824000009"/>
    <n v="-35095.884067200001"/>
    <n v="0"/>
    <n v="-10543.674851504658"/>
    <n v="-37358.522751650322"/>
  </r>
  <r>
    <s v="Sistema de Compensação"/>
    <x v="1"/>
    <x v="3"/>
    <x v="2"/>
    <x v="0"/>
    <x v="2"/>
    <x v="0"/>
    <x v="1"/>
    <x v="9"/>
    <n v="0"/>
    <n v="0"/>
    <n v="12.698"/>
    <n v="12.19008"/>
    <n v="12.698"/>
    <n v="12.19008"/>
    <n v="0"/>
    <x v="2"/>
    <n v="0"/>
    <n v="0"/>
    <n v="21"/>
    <n v="89"/>
    <n v="0"/>
    <n v="51.27"/>
    <n v="222.31"/>
    <m/>
    <n v="66.787442987613147"/>
    <n v="236.64237028527376"/>
    <n v="0"/>
    <n v="624.98540160000005"/>
    <n v="2709.9766847999999"/>
    <n v="0"/>
    <n v="814.14427301444323"/>
    <n v="2884.6894251671101"/>
  </r>
  <r>
    <s v="Regular"/>
    <x v="1"/>
    <x v="3"/>
    <x v="2"/>
    <x v="0"/>
    <x v="2"/>
    <x v="0"/>
    <x v="1"/>
    <x v="10"/>
    <n v="0"/>
    <n v="0"/>
    <n v="1885.9590000000001"/>
    <n v="1810.52064"/>
    <n v="1885.9590000000001"/>
    <n v="1810.52064"/>
    <n v="0"/>
    <x v="2"/>
    <n v="0"/>
    <n v="0"/>
    <n v="21"/>
    <n v="89"/>
    <n v="0"/>
    <n v="51.27"/>
    <n v="222.31"/>
    <m/>
    <n v="66.787442987613147"/>
    <n v="236.64237028527376"/>
    <n v="0"/>
    <n v="92825.393212800001"/>
    <n v="402496.84347839997"/>
    <n v="0"/>
    <n v="120920.04402189686"/>
    <n v="428445.89570001082"/>
  </r>
  <r>
    <s v="Refaturamento - Regular"/>
    <x v="1"/>
    <x v="3"/>
    <x v="2"/>
    <x v="0"/>
    <x v="2"/>
    <x v="0"/>
    <x v="1"/>
    <x v="10"/>
    <n v="0"/>
    <n v="0"/>
    <n v="432.71899999999999"/>
    <n v="415.41023999999999"/>
    <n v="432.71899999999999"/>
    <n v="415.41023999999999"/>
    <n v="0"/>
    <x v="2"/>
    <n v="0"/>
    <n v="0"/>
    <n v="21"/>
    <n v="89"/>
    <n v="0"/>
    <n v="51.27"/>
    <n v="222.31"/>
    <m/>
    <n v="66.787442987613147"/>
    <n v="236.64237028527376"/>
    <n v="0"/>
    <n v="21298.083004799999"/>
    <n v="92349.850454400002"/>
    <n v="0"/>
    <n v="27744.187720470694"/>
    <n v="98303.663834374442"/>
  </r>
  <r>
    <s v="Sistema de Compensação"/>
    <x v="1"/>
    <x v="3"/>
    <x v="2"/>
    <x v="0"/>
    <x v="2"/>
    <x v="0"/>
    <x v="1"/>
    <x v="10"/>
    <n v="0"/>
    <n v="0"/>
    <n v="40.326000000000001"/>
    <n v="38.712960000000002"/>
    <n v="40.326000000000001"/>
    <n v="38.712960000000002"/>
    <n v="0"/>
    <x v="2"/>
    <n v="0"/>
    <n v="0"/>
    <n v="21"/>
    <n v="89"/>
    <n v="0"/>
    <n v="51.27"/>
    <n v="222.31"/>
    <m/>
    <n v="66.787442987613147"/>
    <n v="236.64237028527376"/>
    <n v="0"/>
    <n v="1984.8134592000004"/>
    <n v="8606.2781376000003"/>
    <n v="0"/>
    <n v="2585.5396088817483"/>
    <n v="9161.1266151589916"/>
  </r>
  <r>
    <s v="PROJETADO"/>
    <x v="1"/>
    <x v="3"/>
    <x v="2"/>
    <x v="0"/>
    <x v="2"/>
    <x v="0"/>
    <x v="1"/>
    <x v="11"/>
    <n v="0"/>
    <n v="0"/>
    <n v="1885.9590000000001"/>
    <n v="1810.52064"/>
    <n v="1885.9590000000001"/>
    <n v="1810.52064"/>
    <n v="0"/>
    <x v="2"/>
    <n v="0"/>
    <n v="0"/>
    <n v="21"/>
    <n v="89"/>
    <n v="0"/>
    <n v="51.27"/>
    <n v="222.31"/>
    <m/>
    <n v="66.787442987613147"/>
    <n v="236.64237028527376"/>
    <n v="0"/>
    <n v="92825.393212800001"/>
    <n v="402496.84347839997"/>
    <n v="0"/>
    <n v="120920.04402189686"/>
    <n v="428445.89570001082"/>
  </r>
  <r>
    <s v="PROJETADO"/>
    <x v="1"/>
    <x v="3"/>
    <x v="2"/>
    <x v="0"/>
    <x v="2"/>
    <x v="0"/>
    <x v="1"/>
    <x v="11"/>
    <n v="0"/>
    <n v="0"/>
    <n v="432.71899999999999"/>
    <n v="415.41023999999999"/>
    <n v="432.71899999999999"/>
    <n v="415.41023999999999"/>
    <n v="0"/>
    <x v="2"/>
    <n v="0"/>
    <n v="0"/>
    <n v="21"/>
    <n v="89"/>
    <n v="0"/>
    <n v="51.27"/>
    <n v="222.31"/>
    <m/>
    <n v="66.787442987613147"/>
    <n v="236.64237028527376"/>
    <n v="0"/>
    <n v="21298.083004799999"/>
    <n v="92349.850454400002"/>
    <n v="0"/>
    <n v="27744.187720470694"/>
    <n v="98303.663834374442"/>
  </r>
  <r>
    <s v="PROJETADO"/>
    <x v="1"/>
    <x v="3"/>
    <x v="2"/>
    <x v="0"/>
    <x v="2"/>
    <x v="0"/>
    <x v="1"/>
    <x v="11"/>
    <n v="0"/>
    <n v="0"/>
    <n v="40.326000000000001"/>
    <n v="38.712960000000002"/>
    <n v="40.326000000000001"/>
    <n v="38.712960000000002"/>
    <n v="0"/>
    <x v="2"/>
    <n v="0"/>
    <n v="0"/>
    <n v="21"/>
    <n v="89"/>
    <n v="0"/>
    <n v="51.27"/>
    <n v="222.31"/>
    <m/>
    <n v="66.787442987613147"/>
    <n v="236.64237028527376"/>
    <n v="0"/>
    <n v="1984.8134592000004"/>
    <n v="8606.2781376000003"/>
    <n v="0"/>
    <n v="2585.5396088817483"/>
    <n v="9161.1266151589916"/>
  </r>
  <r>
    <s v="Regular"/>
    <x v="1"/>
    <x v="3"/>
    <x v="2"/>
    <x v="0"/>
    <x v="2"/>
    <x v="0"/>
    <x v="0"/>
    <x v="0"/>
    <n v="8807"/>
    <n v="8454.7199999999993"/>
    <n v="0"/>
    <n v="0"/>
    <n v="0"/>
    <n v="0"/>
    <n v="52"/>
    <x v="2"/>
    <n v="0"/>
    <n v="44"/>
    <n v="0"/>
    <n v="0"/>
    <n v="24.31"/>
    <n v="0"/>
    <n v="0"/>
    <n v="27.784726797371405"/>
    <m/>
    <m/>
    <n v="205534.24319999997"/>
    <n v="0"/>
    <n v="0"/>
    <n v="234912.08534827194"/>
    <n v="0"/>
    <n v="0"/>
  </r>
  <r>
    <s v="Regular"/>
    <x v="1"/>
    <x v="3"/>
    <x v="2"/>
    <x v="0"/>
    <x v="2"/>
    <x v="0"/>
    <x v="0"/>
    <x v="1"/>
    <n v="6338"/>
    <n v="6084.48"/>
    <n v="0"/>
    <n v="0"/>
    <n v="0"/>
    <n v="0"/>
    <n v="55"/>
    <x v="2"/>
    <n v="0"/>
    <n v="44"/>
    <n v="0"/>
    <n v="0"/>
    <n v="24.31"/>
    <n v="0"/>
    <n v="0"/>
    <n v="27.784726797371405"/>
    <m/>
    <m/>
    <n v="147913.70879999999"/>
    <n v="0"/>
    <n v="0"/>
    <n v="169055.61450407037"/>
    <n v="0"/>
    <n v="0"/>
  </r>
  <r>
    <s v="Refaturamento - Regular"/>
    <x v="1"/>
    <x v="3"/>
    <x v="2"/>
    <x v="0"/>
    <x v="2"/>
    <x v="0"/>
    <x v="0"/>
    <x v="1"/>
    <n v="1"/>
    <n v="0.96"/>
    <n v="0"/>
    <n v="0"/>
    <n v="0"/>
    <n v="0"/>
    <n v="1"/>
    <x v="2"/>
    <n v="0"/>
    <n v="44"/>
    <n v="0"/>
    <n v="0"/>
    <n v="24.31"/>
    <n v="0"/>
    <n v="0"/>
    <n v="27.784726797371405"/>
    <m/>
    <m/>
    <n v="23.337599999999998"/>
    <n v="0"/>
    <n v="0"/>
    <n v="26.673337725476546"/>
    <n v="0"/>
    <n v="0"/>
  </r>
  <r>
    <s v="Sistema de Compensação"/>
    <x v="1"/>
    <x v="3"/>
    <x v="2"/>
    <x v="0"/>
    <x v="2"/>
    <x v="0"/>
    <x v="0"/>
    <x v="1"/>
    <n v="231"/>
    <n v="221.76"/>
    <n v="0"/>
    <n v="0"/>
    <n v="0"/>
    <n v="0"/>
    <n v="1"/>
    <x v="2"/>
    <n v="0"/>
    <n v="44"/>
    <n v="0"/>
    <n v="0"/>
    <n v="24.31"/>
    <n v="0"/>
    <n v="0"/>
    <n v="27.784726797371405"/>
    <m/>
    <m/>
    <n v="5390.9855999999991"/>
    <n v="0"/>
    <n v="0"/>
    <n v="6161.5410145850828"/>
    <n v="0"/>
    <n v="0"/>
  </r>
  <r>
    <s v="Regular"/>
    <x v="1"/>
    <x v="3"/>
    <x v="2"/>
    <x v="0"/>
    <x v="2"/>
    <x v="0"/>
    <x v="0"/>
    <x v="2"/>
    <n v="6919"/>
    <n v="6642.24"/>
    <n v="0"/>
    <n v="0"/>
    <n v="0"/>
    <n v="0"/>
    <n v="58"/>
    <x v="2"/>
    <n v="0"/>
    <n v="44"/>
    <n v="0"/>
    <n v="0"/>
    <n v="24.31"/>
    <n v="0"/>
    <n v="0"/>
    <n v="27.784726797371405"/>
    <m/>
    <m/>
    <n v="161472.85439999998"/>
    <n v="0"/>
    <n v="0"/>
    <n v="184552.82372257224"/>
    <n v="0"/>
    <n v="0"/>
  </r>
  <r>
    <s v="Sistema de Compensação"/>
    <x v="1"/>
    <x v="3"/>
    <x v="2"/>
    <x v="0"/>
    <x v="2"/>
    <x v="0"/>
    <x v="0"/>
    <x v="2"/>
    <n v="238"/>
    <n v="228.48"/>
    <n v="0"/>
    <n v="0"/>
    <n v="0"/>
    <n v="0"/>
    <n v="1"/>
    <x v="2"/>
    <n v="0"/>
    <n v="44"/>
    <n v="0"/>
    <n v="0"/>
    <n v="24.31"/>
    <n v="0"/>
    <n v="0"/>
    <n v="27.784726797371405"/>
    <m/>
    <m/>
    <n v="5554.3487999999998"/>
    <n v="0"/>
    <n v="0"/>
    <n v="6348.2543786634187"/>
    <n v="0"/>
    <n v="0"/>
  </r>
  <r>
    <s v="Regular"/>
    <x v="1"/>
    <x v="3"/>
    <x v="2"/>
    <x v="0"/>
    <x v="2"/>
    <x v="0"/>
    <x v="0"/>
    <x v="3"/>
    <n v="5884"/>
    <n v="5648.64"/>
    <n v="0"/>
    <n v="0"/>
    <n v="0"/>
    <n v="0"/>
    <n v="59"/>
    <x v="2"/>
    <n v="0"/>
    <n v="44"/>
    <n v="0"/>
    <n v="0"/>
    <n v="24.31"/>
    <n v="0"/>
    <n v="0"/>
    <n v="27.784726797371405"/>
    <m/>
    <m/>
    <n v="137318.43840000001"/>
    <n v="0"/>
    <n v="0"/>
    <n v="156945.91917670402"/>
    <n v="0"/>
    <n v="0"/>
  </r>
  <r>
    <s v="Refaturamento - Regular"/>
    <x v="1"/>
    <x v="3"/>
    <x v="2"/>
    <x v="0"/>
    <x v="2"/>
    <x v="0"/>
    <x v="0"/>
    <x v="3"/>
    <n v="3"/>
    <n v="2.88"/>
    <n v="0"/>
    <n v="0"/>
    <n v="0"/>
    <n v="0"/>
    <n v="0"/>
    <x v="2"/>
    <n v="0"/>
    <n v="44"/>
    <n v="0"/>
    <n v="0"/>
    <n v="24.31"/>
    <n v="0"/>
    <n v="0"/>
    <n v="27.784726797371405"/>
    <m/>
    <m/>
    <n v="70.012799999999999"/>
    <n v="0"/>
    <n v="0"/>
    <n v="80.020013176429643"/>
    <n v="0"/>
    <n v="0"/>
  </r>
  <r>
    <s v="Sistema de Compensação"/>
    <x v="1"/>
    <x v="3"/>
    <x v="2"/>
    <x v="0"/>
    <x v="2"/>
    <x v="0"/>
    <x v="0"/>
    <x v="3"/>
    <n v="206"/>
    <n v="197.76"/>
    <n v="0"/>
    <n v="0"/>
    <n v="0"/>
    <n v="0"/>
    <n v="1"/>
    <x v="2"/>
    <n v="0"/>
    <n v="44"/>
    <n v="0"/>
    <n v="0"/>
    <n v="24.31"/>
    <n v="0"/>
    <n v="0"/>
    <n v="27.784726797371405"/>
    <m/>
    <m/>
    <n v="4807.5455999999995"/>
    <n v="0"/>
    <n v="0"/>
    <n v="5494.7075714481689"/>
    <n v="0"/>
    <n v="0"/>
  </r>
  <r>
    <s v="Regular"/>
    <x v="1"/>
    <x v="3"/>
    <x v="2"/>
    <x v="0"/>
    <x v="2"/>
    <x v="0"/>
    <x v="0"/>
    <x v="4"/>
    <n v="7219"/>
    <n v="6930.24"/>
    <n v="0"/>
    <n v="0"/>
    <n v="0"/>
    <n v="0"/>
    <n v="64"/>
    <x v="2"/>
    <n v="0"/>
    <n v="44"/>
    <n v="0"/>
    <n v="0"/>
    <n v="24.31"/>
    <n v="0"/>
    <n v="0"/>
    <n v="27.784726797371405"/>
    <m/>
    <m/>
    <n v="168474.13439999998"/>
    <n v="0"/>
    <n v="0"/>
    <n v="192554.82504021519"/>
    <n v="0"/>
    <n v="0"/>
  </r>
  <r>
    <s v="Refaturamento - Regular"/>
    <x v="1"/>
    <x v="3"/>
    <x v="2"/>
    <x v="0"/>
    <x v="2"/>
    <x v="0"/>
    <x v="0"/>
    <x v="4"/>
    <n v="2"/>
    <n v="1.92"/>
    <n v="0"/>
    <n v="0"/>
    <n v="0"/>
    <n v="0"/>
    <n v="-2"/>
    <x v="2"/>
    <n v="0"/>
    <n v="44"/>
    <n v="0"/>
    <n v="0"/>
    <n v="24.31"/>
    <n v="0"/>
    <n v="0"/>
    <n v="27.784726797371405"/>
    <m/>
    <m/>
    <n v="46.675199999999997"/>
    <n v="0"/>
    <n v="0"/>
    <n v="53.346675450953093"/>
    <n v="0"/>
    <n v="0"/>
  </r>
  <r>
    <s v="Sistema de Compensação"/>
    <x v="1"/>
    <x v="3"/>
    <x v="2"/>
    <x v="0"/>
    <x v="2"/>
    <x v="0"/>
    <x v="0"/>
    <x v="4"/>
    <n v="203"/>
    <n v="194.88"/>
    <n v="0"/>
    <n v="0"/>
    <n v="0"/>
    <n v="0"/>
    <n v="1"/>
    <x v="2"/>
    <n v="0"/>
    <n v="44"/>
    <n v="0"/>
    <n v="0"/>
    <n v="24.31"/>
    <n v="0"/>
    <n v="0"/>
    <n v="27.784726797371405"/>
    <m/>
    <m/>
    <n v="4737.5328"/>
    <n v="0"/>
    <n v="0"/>
    <n v="5414.6875582717394"/>
    <n v="0"/>
    <n v="0"/>
  </r>
  <r>
    <s v="Regular"/>
    <x v="1"/>
    <x v="3"/>
    <x v="2"/>
    <x v="0"/>
    <x v="2"/>
    <x v="0"/>
    <x v="0"/>
    <x v="5"/>
    <n v="8743"/>
    <n v="8393.2800000000007"/>
    <n v="0"/>
    <n v="0"/>
    <n v="0"/>
    <n v="0"/>
    <n v="55"/>
    <x v="2"/>
    <n v="0"/>
    <n v="44"/>
    <n v="0"/>
    <n v="0"/>
    <n v="24.31"/>
    <n v="0"/>
    <n v="0"/>
    <n v="27.784726797371405"/>
    <m/>
    <m/>
    <n v="204040.63680000001"/>
    <n v="0"/>
    <n v="0"/>
    <n v="233204.99173384148"/>
    <n v="0"/>
    <n v="0"/>
  </r>
  <r>
    <s v="Sistema de Compensação"/>
    <x v="1"/>
    <x v="3"/>
    <x v="2"/>
    <x v="0"/>
    <x v="2"/>
    <x v="0"/>
    <x v="0"/>
    <x v="5"/>
    <n v="171"/>
    <n v="164.16"/>
    <n v="0"/>
    <n v="0"/>
    <n v="0"/>
    <n v="0"/>
    <n v="1"/>
    <x v="2"/>
    <n v="0"/>
    <n v="44"/>
    <n v="0"/>
    <n v="0"/>
    <n v="24.31"/>
    <n v="0"/>
    <n v="0"/>
    <n v="27.784726797371405"/>
    <m/>
    <m/>
    <n v="3990.7295999999997"/>
    <n v="0"/>
    <n v="0"/>
    <n v="4561.1407510564895"/>
    <n v="0"/>
    <n v="0"/>
  </r>
  <r>
    <s v="Regular"/>
    <x v="1"/>
    <x v="3"/>
    <x v="2"/>
    <x v="0"/>
    <x v="2"/>
    <x v="0"/>
    <x v="0"/>
    <x v="6"/>
    <n v="9526"/>
    <n v="9144.9599999999991"/>
    <n v="0"/>
    <n v="0"/>
    <n v="0"/>
    <n v="0"/>
    <n v="51"/>
    <x v="2"/>
    <n v="0"/>
    <n v="44"/>
    <n v="0"/>
    <n v="0"/>
    <n v="24.31"/>
    <n v="0"/>
    <n v="0"/>
    <n v="27.784726797371405"/>
    <m/>
    <m/>
    <n v="222313.97759999995"/>
    <n v="0"/>
    <n v="0"/>
    <n v="254090.21517288958"/>
    <n v="0"/>
    <n v="0"/>
  </r>
  <r>
    <s v="Sistema de Compensação"/>
    <x v="1"/>
    <x v="3"/>
    <x v="2"/>
    <x v="0"/>
    <x v="2"/>
    <x v="0"/>
    <x v="0"/>
    <x v="6"/>
    <n v="234"/>
    <n v="224.64"/>
    <n v="0"/>
    <n v="0"/>
    <n v="0"/>
    <n v="0"/>
    <n v="1"/>
    <x v="2"/>
    <n v="0"/>
    <n v="44"/>
    <n v="0"/>
    <n v="0"/>
    <n v="24.31"/>
    <n v="0"/>
    <n v="0"/>
    <n v="27.784726797371405"/>
    <m/>
    <m/>
    <n v="5460.9983999999995"/>
    <n v="0"/>
    <n v="0"/>
    <n v="6241.5610277615124"/>
    <n v="0"/>
    <n v="0"/>
  </r>
  <r>
    <s v="Regular"/>
    <x v="1"/>
    <x v="3"/>
    <x v="2"/>
    <x v="0"/>
    <x v="2"/>
    <x v="0"/>
    <x v="0"/>
    <x v="7"/>
    <n v="9001"/>
    <n v="8640.9599999999991"/>
    <n v="0"/>
    <n v="0"/>
    <n v="0"/>
    <n v="0"/>
    <n v="51"/>
    <x v="2"/>
    <n v="0"/>
    <n v="44"/>
    <n v="0"/>
    <n v="0"/>
    <n v="24.31"/>
    <n v="0"/>
    <n v="0"/>
    <n v="27.784726797371405"/>
    <m/>
    <m/>
    <n v="210061.73759999996"/>
    <n v="0"/>
    <n v="0"/>
    <n v="240086.7128670144"/>
    <n v="0"/>
    <n v="0"/>
  </r>
  <r>
    <s v="Sistema de Compensação"/>
    <x v="1"/>
    <x v="3"/>
    <x v="2"/>
    <x v="0"/>
    <x v="2"/>
    <x v="0"/>
    <x v="0"/>
    <x v="7"/>
    <n v="227"/>
    <n v="217.92"/>
    <n v="0"/>
    <n v="0"/>
    <n v="0"/>
    <n v="0"/>
    <n v="1"/>
    <x v="2"/>
    <n v="0"/>
    <n v="44"/>
    <n v="0"/>
    <n v="0"/>
    <n v="24.31"/>
    <n v="0"/>
    <n v="0"/>
    <n v="27.784726797371405"/>
    <m/>
    <m/>
    <n v="5297.6351999999997"/>
    <n v="0"/>
    <n v="0"/>
    <n v="6054.8476636831765"/>
    <n v="0"/>
    <n v="0"/>
  </r>
  <r>
    <s v="Regular"/>
    <x v="1"/>
    <x v="3"/>
    <x v="2"/>
    <x v="0"/>
    <x v="2"/>
    <x v="0"/>
    <x v="0"/>
    <x v="8"/>
    <n v="7799"/>
    <n v="7487.04"/>
    <n v="0"/>
    <n v="0"/>
    <n v="0"/>
    <n v="0"/>
    <n v="47"/>
    <x v="2"/>
    <n v="0"/>
    <n v="44"/>
    <n v="0"/>
    <n v="0"/>
    <n v="24.31"/>
    <n v="0"/>
    <n v="0"/>
    <n v="27.784726797371405"/>
    <m/>
    <m/>
    <n v="182009.9424"/>
    <n v="0"/>
    <n v="0"/>
    <n v="208025.3609209916"/>
    <n v="0"/>
    <n v="0"/>
  </r>
  <r>
    <s v="Sistema de Compensação"/>
    <x v="1"/>
    <x v="3"/>
    <x v="2"/>
    <x v="0"/>
    <x v="2"/>
    <x v="0"/>
    <x v="0"/>
    <x v="8"/>
    <n v="206"/>
    <n v="197.76"/>
    <n v="0"/>
    <n v="0"/>
    <n v="0"/>
    <n v="0"/>
    <n v="1"/>
    <x v="2"/>
    <n v="0"/>
    <n v="44"/>
    <n v="0"/>
    <n v="0"/>
    <n v="24.31"/>
    <n v="0"/>
    <n v="0"/>
    <n v="27.784726797371405"/>
    <m/>
    <m/>
    <n v="4807.5455999999995"/>
    <n v="0"/>
    <n v="0"/>
    <n v="5494.7075714481689"/>
    <n v="0"/>
    <n v="0"/>
  </r>
  <r>
    <s v="Regular"/>
    <x v="1"/>
    <x v="3"/>
    <x v="2"/>
    <x v="0"/>
    <x v="2"/>
    <x v="0"/>
    <x v="0"/>
    <x v="9"/>
    <n v="8140"/>
    <n v="7814.4"/>
    <n v="0"/>
    <n v="0"/>
    <n v="0"/>
    <n v="0"/>
    <n v="44"/>
    <x v="2"/>
    <n v="0"/>
    <n v="44"/>
    <n v="0"/>
    <n v="0"/>
    <n v="24.31"/>
    <n v="0"/>
    <n v="0"/>
    <n v="27.784726797371405"/>
    <m/>
    <m/>
    <n v="189968.06399999998"/>
    <n v="0"/>
    <n v="0"/>
    <n v="217120.9690853791"/>
    <n v="0"/>
    <n v="0"/>
  </r>
  <r>
    <s v="Refaturamento - Regular"/>
    <x v="1"/>
    <x v="3"/>
    <x v="2"/>
    <x v="0"/>
    <x v="2"/>
    <x v="0"/>
    <x v="0"/>
    <x v="9"/>
    <n v="-414"/>
    <n v="-397.44"/>
    <n v="0"/>
    <n v="0"/>
    <n v="0"/>
    <n v="0"/>
    <n v="-4"/>
    <x v="2"/>
    <n v="0"/>
    <n v="44"/>
    <n v="0"/>
    <n v="0"/>
    <n v="24.31"/>
    <n v="0"/>
    <n v="0"/>
    <n v="27.784726797371405"/>
    <m/>
    <m/>
    <n v="-9661.7663999999986"/>
    <n v="0"/>
    <n v="0"/>
    <n v="-11042.761818347291"/>
    <n v="0"/>
    <n v="0"/>
  </r>
  <r>
    <s v="Sistema de Compensação"/>
    <x v="1"/>
    <x v="3"/>
    <x v="2"/>
    <x v="0"/>
    <x v="2"/>
    <x v="0"/>
    <x v="0"/>
    <x v="9"/>
    <n v="179"/>
    <n v="171.84"/>
    <n v="0"/>
    <n v="0"/>
    <n v="0"/>
    <n v="0"/>
    <n v="1"/>
    <x v="2"/>
    <n v="0"/>
    <n v="44"/>
    <n v="0"/>
    <n v="0"/>
    <n v="24.31"/>
    <n v="0"/>
    <n v="0"/>
    <n v="27.784726797371405"/>
    <m/>
    <m/>
    <n v="4177.4304000000002"/>
    <n v="0"/>
    <n v="0"/>
    <n v="4774.5274528603022"/>
    <n v="0"/>
    <n v="0"/>
  </r>
  <r>
    <s v="Regular"/>
    <x v="1"/>
    <x v="3"/>
    <x v="2"/>
    <x v="0"/>
    <x v="2"/>
    <x v="0"/>
    <x v="0"/>
    <x v="10"/>
    <n v="8638"/>
    <n v="8292.48"/>
    <n v="0"/>
    <n v="0"/>
    <n v="0"/>
    <n v="0"/>
    <n v="43"/>
    <x v="2"/>
    <n v="0"/>
    <n v="44"/>
    <n v="0"/>
    <n v="0"/>
    <n v="24.31"/>
    <n v="0"/>
    <n v="0"/>
    <n v="27.784726797371405"/>
    <m/>
    <m/>
    <n v="201590.18879999997"/>
    <n v="0"/>
    <n v="0"/>
    <n v="230404.29127266642"/>
    <n v="0"/>
    <n v="0"/>
  </r>
  <r>
    <s v="Refaturamento - Regular"/>
    <x v="1"/>
    <x v="3"/>
    <x v="2"/>
    <x v="0"/>
    <x v="2"/>
    <x v="0"/>
    <x v="0"/>
    <x v="10"/>
    <n v="14"/>
    <n v="13.44"/>
    <n v="0"/>
    <n v="0"/>
    <n v="0"/>
    <n v="0"/>
    <n v="1"/>
    <x v="2"/>
    <n v="0"/>
    <n v="44"/>
    <n v="0"/>
    <n v="0"/>
    <n v="24.31"/>
    <n v="0"/>
    <n v="0"/>
    <n v="27.784726797371405"/>
    <m/>
    <m/>
    <n v="326.72639999999996"/>
    <n v="0"/>
    <n v="0"/>
    <n v="373.42672815667169"/>
    <n v="0"/>
    <n v="0"/>
  </r>
  <r>
    <s v="Sistema de Compensação"/>
    <x v="1"/>
    <x v="3"/>
    <x v="2"/>
    <x v="0"/>
    <x v="2"/>
    <x v="0"/>
    <x v="0"/>
    <x v="10"/>
    <n v="270"/>
    <n v="259.2"/>
    <n v="0"/>
    <n v="0"/>
    <n v="0"/>
    <n v="0"/>
    <n v="2"/>
    <x v="2"/>
    <n v="0"/>
    <n v="44"/>
    <n v="0"/>
    <n v="0"/>
    <n v="24.31"/>
    <n v="0"/>
    <n v="0"/>
    <n v="27.784726797371405"/>
    <m/>
    <m/>
    <n v="6301.1519999999991"/>
    <n v="0"/>
    <n v="0"/>
    <n v="7201.8011858786676"/>
    <n v="0"/>
    <n v="0"/>
  </r>
  <r>
    <s v="PROJETADO"/>
    <x v="1"/>
    <x v="3"/>
    <x v="2"/>
    <x v="0"/>
    <x v="2"/>
    <x v="0"/>
    <x v="0"/>
    <x v="11"/>
    <n v="8638"/>
    <n v="8292.48"/>
    <n v="0"/>
    <n v="0"/>
    <n v="0"/>
    <n v="0"/>
    <n v="43"/>
    <x v="2"/>
    <n v="0"/>
    <n v="44"/>
    <n v="0"/>
    <n v="0"/>
    <n v="24.31"/>
    <n v="0"/>
    <n v="0"/>
    <n v="27.784726797371405"/>
    <m/>
    <m/>
    <n v="201590.18879999997"/>
    <n v="0"/>
    <n v="0"/>
    <n v="230404.29127266642"/>
    <n v="0"/>
    <n v="0"/>
  </r>
  <r>
    <s v="PROJETADO"/>
    <x v="1"/>
    <x v="3"/>
    <x v="2"/>
    <x v="0"/>
    <x v="2"/>
    <x v="0"/>
    <x v="0"/>
    <x v="11"/>
    <n v="14"/>
    <n v="13.44"/>
    <n v="0"/>
    <n v="0"/>
    <n v="0"/>
    <n v="0"/>
    <n v="1"/>
    <x v="2"/>
    <n v="0"/>
    <n v="44"/>
    <n v="0"/>
    <n v="0"/>
    <n v="24.31"/>
    <n v="0"/>
    <n v="0"/>
    <n v="27.784726797371405"/>
    <m/>
    <m/>
    <n v="326.72639999999996"/>
    <n v="0"/>
    <n v="0"/>
    <n v="373.42672815667169"/>
    <n v="0"/>
    <n v="0"/>
  </r>
  <r>
    <s v="PROJETADO"/>
    <x v="1"/>
    <x v="3"/>
    <x v="2"/>
    <x v="0"/>
    <x v="2"/>
    <x v="0"/>
    <x v="0"/>
    <x v="11"/>
    <n v="270"/>
    <n v="259.2"/>
    <n v="0"/>
    <n v="0"/>
    <n v="0"/>
    <n v="0"/>
    <n v="2"/>
    <x v="2"/>
    <n v="0"/>
    <n v="44"/>
    <n v="0"/>
    <n v="0"/>
    <n v="24.31"/>
    <n v="0"/>
    <n v="0"/>
    <n v="27.784726797371405"/>
    <m/>
    <m/>
    <n v="6301.1519999999991"/>
    <n v="0"/>
    <n v="0"/>
    <n v="7201.8011858786676"/>
    <n v="0"/>
    <n v="0"/>
  </r>
  <r>
    <s v="Regular"/>
    <x v="1"/>
    <x v="3"/>
    <x v="2"/>
    <x v="0"/>
    <x v="2"/>
    <x v="0"/>
    <x v="2"/>
    <x v="0"/>
    <n v="0"/>
    <n v="0"/>
    <n v="30.745999999999999"/>
    <n v="29.516159999999999"/>
    <n v="30.745999999999999"/>
    <n v="29.516159999999999"/>
    <n v="0"/>
    <x v="2"/>
    <n v="0"/>
    <n v="0"/>
    <n v="20"/>
    <n v="88"/>
    <n v="0"/>
    <n v="1564.59"/>
    <n v="365.5"/>
    <m/>
    <n v="1922.323293423678"/>
    <n v="382.75425465660959"/>
    <n v="0"/>
    <n v="46180.688774399998"/>
    <n v="10788.15648"/>
    <n v="0"/>
    <n v="56739.601900420224"/>
    <n v="11297.435821125233"/>
  </r>
  <r>
    <s v="Regular"/>
    <x v="1"/>
    <x v="3"/>
    <x v="2"/>
    <x v="0"/>
    <x v="2"/>
    <x v="0"/>
    <x v="2"/>
    <x v="1"/>
    <n v="0"/>
    <n v="0"/>
    <n v="260.08"/>
    <n v="249.67679999999999"/>
    <n v="260.08"/>
    <n v="249.67679999999999"/>
    <n v="0"/>
    <x v="2"/>
    <n v="0"/>
    <n v="0"/>
    <n v="20"/>
    <n v="88"/>
    <n v="0"/>
    <n v="1564.59"/>
    <n v="365.5"/>
    <m/>
    <n v="1922.323293423678"/>
    <n v="382.75425465660959"/>
    <n v="0"/>
    <n v="390641.82451199996"/>
    <n v="91256.8704"/>
    <n v="0"/>
    <n v="479959.52846748492"/>
    <n v="95564.857489047383"/>
  </r>
  <r>
    <s v="Refaturamento - Regular"/>
    <x v="1"/>
    <x v="3"/>
    <x v="2"/>
    <x v="0"/>
    <x v="2"/>
    <x v="0"/>
    <x v="2"/>
    <x v="1"/>
    <n v="0"/>
    <n v="0"/>
    <n v="0.08"/>
    <n v="7.6799999999999993E-2"/>
    <n v="0.08"/>
    <n v="7.6799999999999993E-2"/>
    <n v="0"/>
    <x v="2"/>
    <n v="0"/>
    <n v="0"/>
    <n v="20"/>
    <n v="88"/>
    <n v="0"/>
    <n v="1564.59"/>
    <n v="365.5"/>
    <m/>
    <n v="1922.323293423678"/>
    <n v="382.75425465660959"/>
    <n v="0"/>
    <n v="120.16051199999998"/>
    <n v="28.070399999999996"/>
    <n v="0"/>
    <n v="147.63442893493846"/>
    <n v="29.395526757627614"/>
  </r>
  <r>
    <s v="Regular"/>
    <x v="1"/>
    <x v="3"/>
    <x v="2"/>
    <x v="0"/>
    <x v="2"/>
    <x v="0"/>
    <x v="2"/>
    <x v="2"/>
    <n v="0"/>
    <n v="0"/>
    <n v="24.515999999999998"/>
    <n v="23.535360000000001"/>
    <n v="24.515999999999998"/>
    <n v="23.535360000000001"/>
    <n v="0"/>
    <x v="2"/>
    <n v="0"/>
    <n v="0"/>
    <n v="20"/>
    <n v="88"/>
    <n v="0"/>
    <n v="1564.59"/>
    <n v="365.5"/>
    <m/>
    <n v="1922.323293423678"/>
    <n v="382.75425465660959"/>
    <n v="0"/>
    <n v="36823.188902399997"/>
    <n v="8602.1740800000007"/>
    <n v="0"/>
    <n v="45242.570747111895"/>
    <n v="9008.2591748749837"/>
  </r>
  <r>
    <s v="Regular"/>
    <x v="1"/>
    <x v="3"/>
    <x v="2"/>
    <x v="0"/>
    <x v="2"/>
    <x v="0"/>
    <x v="2"/>
    <x v="3"/>
    <n v="0"/>
    <n v="0"/>
    <n v="27.988"/>
    <n v="26.868480000000002"/>
    <n v="27.988"/>
    <n v="26.868480000000002"/>
    <n v="0"/>
    <x v="2"/>
    <n v="0"/>
    <n v="0"/>
    <n v="20"/>
    <n v="88"/>
    <n v="0"/>
    <n v="1564.59"/>
    <n v="365.5"/>
    <m/>
    <n v="1922.323293423678"/>
    <n v="382.75425465660959"/>
    <n v="0"/>
    <n v="42038.155123199998"/>
    <n v="9820.4294399999999"/>
    <n v="0"/>
    <n v="51649.904962888228"/>
    <n v="10284.025036156023"/>
  </r>
  <r>
    <s v="Refaturamento - Regular"/>
    <x v="1"/>
    <x v="3"/>
    <x v="2"/>
    <x v="0"/>
    <x v="2"/>
    <x v="0"/>
    <x v="2"/>
    <x v="3"/>
    <n v="0"/>
    <n v="0"/>
    <n v="8.2000000000000003E-2"/>
    <n v="7.8719999999999998E-2"/>
    <n v="8.2000000000000003E-2"/>
    <n v="7.8719999999999998E-2"/>
    <n v="0"/>
    <x v="2"/>
    <n v="0"/>
    <n v="0"/>
    <n v="20"/>
    <n v="88"/>
    <n v="0"/>
    <n v="1564.59"/>
    <n v="365.5"/>
    <m/>
    <n v="1922.323293423678"/>
    <n v="382.75425465660959"/>
    <n v="0"/>
    <n v="123.1645248"/>
    <n v="28.77216"/>
    <n v="0"/>
    <n v="151.32528965831193"/>
    <n v="30.130414926568307"/>
  </r>
  <r>
    <s v="Sistema de Compensação"/>
    <x v="1"/>
    <x v="3"/>
    <x v="2"/>
    <x v="0"/>
    <x v="2"/>
    <x v="0"/>
    <x v="2"/>
    <x v="3"/>
    <n v="0"/>
    <n v="0"/>
    <n v="0.35"/>
    <n v="0.33600000000000002"/>
    <n v="0.35"/>
    <n v="0.33600000000000002"/>
    <n v="0"/>
    <x v="2"/>
    <n v="0"/>
    <n v="0"/>
    <n v="20"/>
    <n v="88"/>
    <n v="0"/>
    <n v="1564.59"/>
    <n v="365.5"/>
    <m/>
    <n v="1922.323293423678"/>
    <n v="382.75425465660959"/>
    <n v="0"/>
    <n v="525.70223999999996"/>
    <n v="122.80800000000001"/>
    <n v="0"/>
    <n v="645.90062659035584"/>
    <n v="128.60542956462083"/>
  </r>
  <r>
    <s v="Regular"/>
    <x v="1"/>
    <x v="3"/>
    <x v="2"/>
    <x v="0"/>
    <x v="2"/>
    <x v="0"/>
    <x v="2"/>
    <x v="4"/>
    <n v="0"/>
    <n v="0"/>
    <n v="24.655999999999999"/>
    <n v="23.66976"/>
    <n v="24.655999999999999"/>
    <n v="23.66976"/>
    <n v="0"/>
    <x v="2"/>
    <n v="0"/>
    <n v="0"/>
    <n v="20"/>
    <n v="88"/>
    <n v="0"/>
    <n v="1564.59"/>
    <n v="365.5"/>
    <m/>
    <n v="1922.323293423678"/>
    <n v="382.75425465660959"/>
    <n v="0"/>
    <n v="37033.469798400001"/>
    <n v="8651.2972800000007"/>
    <n v="0"/>
    <n v="45500.930997748037"/>
    <n v="9059.701346700831"/>
  </r>
  <r>
    <s v="Refaturamento - Regular"/>
    <x v="1"/>
    <x v="3"/>
    <x v="2"/>
    <x v="0"/>
    <x v="2"/>
    <x v="0"/>
    <x v="2"/>
    <x v="4"/>
    <n v="0"/>
    <n v="0"/>
    <n v="-233.1"/>
    <n v="-223.77600000000001"/>
    <n v="-233.1"/>
    <n v="-223.77600000000001"/>
    <n v="0"/>
    <x v="2"/>
    <n v="0"/>
    <n v="0"/>
    <n v="20"/>
    <n v="88"/>
    <n v="0"/>
    <n v="1564.59"/>
    <n v="365.5"/>
    <m/>
    <n v="1922.323293423678"/>
    <n v="382.75425465660959"/>
    <n v="0"/>
    <n v="-350117.69183999998"/>
    <n v="-81790.127999999997"/>
    <n v="0"/>
    <n v="-430169.81730917701"/>
    <n v="-85651.216090037473"/>
  </r>
  <r>
    <s v="Regular"/>
    <x v="1"/>
    <x v="3"/>
    <x v="2"/>
    <x v="0"/>
    <x v="2"/>
    <x v="0"/>
    <x v="2"/>
    <x v="5"/>
    <n v="0"/>
    <n v="0"/>
    <n v="29.007000000000001"/>
    <n v="27.846720000000001"/>
    <n v="29.007000000000001"/>
    <n v="27.846720000000001"/>
    <n v="0"/>
    <x v="2"/>
    <n v="0"/>
    <n v="0"/>
    <n v="20"/>
    <n v="88"/>
    <n v="0"/>
    <n v="1564.59"/>
    <n v="365.5"/>
    <m/>
    <n v="1922.323293423678"/>
    <n v="382.75425465660959"/>
    <n v="0"/>
    <n v="43568.699644799999"/>
    <n v="10177.97616"/>
    <n v="0"/>
    <n v="53530.398501447009"/>
    <n v="10658.450558231303"/>
  </r>
  <r>
    <s v="Sistema de Compensação"/>
    <x v="1"/>
    <x v="3"/>
    <x v="2"/>
    <x v="0"/>
    <x v="2"/>
    <x v="0"/>
    <x v="2"/>
    <x v="5"/>
    <n v="0"/>
    <n v="0"/>
    <n v="0.35"/>
    <n v="0.33600000000000002"/>
    <n v="0.35"/>
    <n v="0.33600000000000002"/>
    <n v="0"/>
    <x v="2"/>
    <n v="0"/>
    <n v="0"/>
    <n v="20"/>
    <n v="88"/>
    <n v="0"/>
    <n v="1564.59"/>
    <n v="365.5"/>
    <m/>
    <n v="1922.323293423678"/>
    <n v="382.75425465660959"/>
    <n v="0"/>
    <n v="525.70223999999996"/>
    <n v="122.80800000000001"/>
    <n v="0"/>
    <n v="645.90062659035584"/>
    <n v="128.60542956462083"/>
  </r>
  <r>
    <s v="Regular"/>
    <x v="1"/>
    <x v="3"/>
    <x v="2"/>
    <x v="0"/>
    <x v="2"/>
    <x v="0"/>
    <x v="2"/>
    <x v="6"/>
    <n v="0"/>
    <n v="0"/>
    <n v="35.317999999999998"/>
    <n v="33.905279999999998"/>
    <n v="35.317999999999998"/>
    <n v="33.905279999999998"/>
    <n v="0"/>
    <x v="2"/>
    <n v="0"/>
    <n v="0"/>
    <n v="20"/>
    <n v="88"/>
    <n v="0"/>
    <n v="1564.59"/>
    <n v="365.5"/>
    <m/>
    <n v="1922.323293423678"/>
    <n v="382.75425465660959"/>
    <n v="0"/>
    <n v="53047.862035199993"/>
    <n v="12392.37984"/>
    <n v="0"/>
    <n v="65176.909514051957"/>
    <n v="12977.390175323651"/>
  </r>
  <r>
    <s v="Regular"/>
    <x v="1"/>
    <x v="3"/>
    <x v="2"/>
    <x v="0"/>
    <x v="2"/>
    <x v="0"/>
    <x v="2"/>
    <x v="7"/>
    <n v="0"/>
    <n v="0"/>
    <n v="46.494"/>
    <n v="44.634239999999998"/>
    <n v="46.494"/>
    <n v="44.634239999999998"/>
    <n v="0"/>
    <x v="2"/>
    <n v="0"/>
    <n v="0"/>
    <n v="20"/>
    <n v="88"/>
    <n v="0"/>
    <n v="1564.59"/>
    <n v="365.5"/>
    <m/>
    <n v="1922.323293423678"/>
    <n v="382.75425465660959"/>
    <n v="0"/>
    <n v="69834.285561599987"/>
    <n v="16313.81472"/>
    <n v="0"/>
    <n v="85801.439236262857"/>
    <n v="17083.945263364229"/>
  </r>
  <r>
    <s v="Regular"/>
    <x v="1"/>
    <x v="3"/>
    <x v="2"/>
    <x v="0"/>
    <x v="2"/>
    <x v="0"/>
    <x v="2"/>
    <x v="8"/>
    <n v="0"/>
    <n v="0"/>
    <n v="36.526000000000003"/>
    <n v="35.064959999999999"/>
    <n v="36.526000000000003"/>
    <n v="35.064959999999999"/>
    <n v="0"/>
    <x v="2"/>
    <n v="0"/>
    <n v="0"/>
    <n v="20"/>
    <n v="88"/>
    <n v="0"/>
    <n v="1564.59"/>
    <n v="365.5"/>
    <m/>
    <n v="1922.323293423678"/>
    <n v="382.75425465660959"/>
    <n v="0"/>
    <n v="54862.285766399997"/>
    <n v="12816.24288"/>
    <n v="0"/>
    <n v="67406.189390969535"/>
    <n v="13421.26262936383"/>
  </r>
  <r>
    <s v="Sistema de Compensação"/>
    <x v="1"/>
    <x v="3"/>
    <x v="2"/>
    <x v="0"/>
    <x v="2"/>
    <x v="0"/>
    <x v="2"/>
    <x v="8"/>
    <n v="0"/>
    <n v="0"/>
    <n v="0.35"/>
    <n v="0.33600000000000002"/>
    <n v="0.35"/>
    <n v="0.33600000000000002"/>
    <n v="0"/>
    <x v="2"/>
    <n v="0"/>
    <n v="0"/>
    <n v="20"/>
    <n v="88"/>
    <n v="0"/>
    <n v="1564.59"/>
    <n v="365.5"/>
    <m/>
    <n v="1922.323293423678"/>
    <n v="382.75425465660959"/>
    <n v="0"/>
    <n v="525.70223999999996"/>
    <n v="122.80800000000001"/>
    <n v="0"/>
    <n v="645.90062659035584"/>
    <n v="128.60542956462083"/>
  </r>
  <r>
    <s v="Regular"/>
    <x v="1"/>
    <x v="3"/>
    <x v="2"/>
    <x v="0"/>
    <x v="2"/>
    <x v="0"/>
    <x v="2"/>
    <x v="9"/>
    <n v="0"/>
    <n v="0"/>
    <n v="29.971"/>
    <n v="28.77216"/>
    <n v="29.971"/>
    <n v="28.77216"/>
    <n v="0"/>
    <x v="2"/>
    <n v="0"/>
    <n v="0"/>
    <n v="20"/>
    <n v="88"/>
    <n v="0"/>
    <n v="1564.59"/>
    <n v="365.5"/>
    <m/>
    <n v="1922.323293423678"/>
    <n v="382.75425465660959"/>
    <n v="0"/>
    <n v="45016.633814399996"/>
    <n v="10516.224479999999"/>
    <n v="0"/>
    <n v="55309.393370113008"/>
    <n v="11012.666655660716"/>
  </r>
  <r>
    <s v="Refaturamento - Regular"/>
    <x v="1"/>
    <x v="3"/>
    <x v="2"/>
    <x v="0"/>
    <x v="2"/>
    <x v="0"/>
    <x v="2"/>
    <x v="9"/>
    <n v="0"/>
    <n v="0"/>
    <n v="-0.20100000000000001"/>
    <n v="-0.19295999999999999"/>
    <n v="-0.20100000000000001"/>
    <n v="-0.19295999999999999"/>
    <n v="0"/>
    <x v="2"/>
    <n v="0"/>
    <n v="0"/>
    <n v="20"/>
    <n v="88"/>
    <n v="0"/>
    <n v="1564.59"/>
    <n v="365.5"/>
    <m/>
    <n v="1922.323293423678"/>
    <n v="382.75425465660959"/>
    <n v="0"/>
    <n v="-301.90328639999996"/>
    <n v="-70.526879999999991"/>
    <n v="0"/>
    <n v="-370.93150269903288"/>
    <n v="-73.856260978539382"/>
  </r>
  <r>
    <s v="Sistema de Compensação"/>
    <x v="1"/>
    <x v="3"/>
    <x v="2"/>
    <x v="0"/>
    <x v="2"/>
    <x v="0"/>
    <x v="2"/>
    <x v="9"/>
    <n v="0"/>
    <n v="0"/>
    <n v="4.4999999999999998E-2"/>
    <n v="4.3200000000000002E-2"/>
    <n v="4.4999999999999998E-2"/>
    <n v="4.3200000000000002E-2"/>
    <n v="0"/>
    <x v="2"/>
    <n v="0"/>
    <n v="0"/>
    <n v="20"/>
    <n v="88"/>
    <n v="0"/>
    <n v="1564.59"/>
    <n v="365.5"/>
    <m/>
    <n v="1922.323293423678"/>
    <n v="382.75425465660959"/>
    <n v="0"/>
    <n v="67.590288000000001"/>
    <n v="15.7896"/>
    <n v="0"/>
    <n v="83.044366275902888"/>
    <n v="16.534983801165534"/>
  </r>
  <r>
    <s v="Regular"/>
    <x v="1"/>
    <x v="3"/>
    <x v="2"/>
    <x v="0"/>
    <x v="2"/>
    <x v="0"/>
    <x v="2"/>
    <x v="10"/>
    <n v="0"/>
    <n v="0"/>
    <n v="25.776"/>
    <n v="24.744959999999999"/>
    <n v="25.776"/>
    <n v="24.744959999999999"/>
    <n v="0"/>
    <x v="2"/>
    <n v="0"/>
    <n v="0"/>
    <n v="20"/>
    <n v="88"/>
    <n v="0"/>
    <n v="1564.59"/>
    <n v="365.5"/>
    <m/>
    <n v="1922.323293423678"/>
    <n v="382.75425465660959"/>
    <n v="0"/>
    <n v="38715.716966399996"/>
    <n v="9044.2828799999988"/>
    <n v="0"/>
    <n v="47567.813002837174"/>
    <n v="9471.2387213076181"/>
  </r>
  <r>
    <s v="Refaturamento - Regular"/>
    <x v="1"/>
    <x v="3"/>
    <x v="2"/>
    <x v="0"/>
    <x v="2"/>
    <x v="0"/>
    <x v="2"/>
    <x v="10"/>
    <n v="0"/>
    <n v="0"/>
    <n v="7.0000000000000001E-3"/>
    <n v="6.7200000000000003E-3"/>
    <n v="7.0000000000000001E-3"/>
    <n v="6.7200000000000003E-3"/>
    <n v="0"/>
    <x v="2"/>
    <n v="0"/>
    <n v="0"/>
    <n v="20"/>
    <n v="88"/>
    <n v="0"/>
    <n v="1564.59"/>
    <n v="365.5"/>
    <m/>
    <n v="1922.323293423678"/>
    <n v="382.75425465660959"/>
    <n v="0"/>
    <n v="10.514044800000001"/>
    <n v="2.4561600000000001"/>
    <n v="0"/>
    <n v="12.918012531807117"/>
    <n v="2.5721085912924164"/>
  </r>
  <r>
    <s v="Sistema de Compensação"/>
    <x v="1"/>
    <x v="3"/>
    <x v="2"/>
    <x v="0"/>
    <x v="2"/>
    <x v="0"/>
    <x v="2"/>
    <x v="10"/>
    <n v="0"/>
    <n v="0"/>
    <n v="4.4029999999999996"/>
    <n v="4.2268800000000004"/>
    <n v="4.4029999999999996"/>
    <n v="4.2268800000000004"/>
    <n v="0"/>
    <x v="2"/>
    <n v="0"/>
    <n v="0"/>
    <n v="20"/>
    <n v="88"/>
    <n v="0"/>
    <n v="1564.59"/>
    <n v="365.5"/>
    <m/>
    <n v="1922.323293423678"/>
    <n v="382.75425465660959"/>
    <n v="0"/>
    <n v="6613.3341792000001"/>
    <n v="1544.9246400000002"/>
    <n v="0"/>
    <n v="8125.4298825066771"/>
    <n v="1617.85630392293"/>
  </r>
  <r>
    <s v="PROJETADO"/>
    <x v="1"/>
    <x v="3"/>
    <x v="2"/>
    <x v="0"/>
    <x v="2"/>
    <x v="0"/>
    <x v="2"/>
    <x v="11"/>
    <n v="0"/>
    <n v="0"/>
    <n v="25.776"/>
    <n v="24.744959999999999"/>
    <n v="25.776"/>
    <n v="24.744959999999999"/>
    <n v="0"/>
    <x v="2"/>
    <n v="0"/>
    <n v="0"/>
    <n v="20"/>
    <n v="88"/>
    <n v="0"/>
    <n v="1564.59"/>
    <n v="365.5"/>
    <m/>
    <n v="1922.323293423678"/>
    <n v="382.75425465660959"/>
    <n v="0"/>
    <n v="38715.716966399996"/>
    <n v="9044.2828799999988"/>
    <n v="0"/>
    <n v="47567.813002837174"/>
    <n v="9471.2387213076181"/>
  </r>
  <r>
    <s v="PROJETADO"/>
    <x v="1"/>
    <x v="3"/>
    <x v="2"/>
    <x v="0"/>
    <x v="2"/>
    <x v="0"/>
    <x v="2"/>
    <x v="11"/>
    <n v="0"/>
    <n v="0"/>
    <n v="7.0000000000000001E-3"/>
    <n v="6.7200000000000003E-3"/>
    <n v="7.0000000000000001E-3"/>
    <n v="6.7200000000000003E-3"/>
    <n v="0"/>
    <x v="2"/>
    <n v="0"/>
    <n v="0"/>
    <n v="20"/>
    <n v="88"/>
    <n v="0"/>
    <n v="1564.59"/>
    <n v="365.5"/>
    <m/>
    <n v="1922.323293423678"/>
    <n v="382.75425465660959"/>
    <n v="0"/>
    <n v="10.514044800000001"/>
    <n v="2.4561600000000001"/>
    <n v="0"/>
    <n v="12.918012531807117"/>
    <n v="2.5721085912924164"/>
  </r>
  <r>
    <s v="PROJETADO"/>
    <x v="1"/>
    <x v="3"/>
    <x v="2"/>
    <x v="0"/>
    <x v="2"/>
    <x v="0"/>
    <x v="2"/>
    <x v="11"/>
    <n v="0"/>
    <n v="0"/>
    <n v="4.4029999999999996"/>
    <n v="4.2268800000000004"/>
    <n v="4.4029999999999996"/>
    <n v="4.2268800000000004"/>
    <n v="0"/>
    <x v="2"/>
    <n v="0"/>
    <n v="0"/>
    <n v="20"/>
    <n v="88"/>
    <n v="0"/>
    <n v="1564.59"/>
    <n v="365.5"/>
    <m/>
    <n v="1922.323293423678"/>
    <n v="382.75425465660959"/>
    <n v="0"/>
    <n v="6613.3341792000001"/>
    <n v="1544.9246400000002"/>
    <n v="0"/>
    <n v="8125.4298825066771"/>
    <n v="1617.85630392293"/>
  </r>
  <r>
    <s v="Regular"/>
    <x v="1"/>
    <x v="3"/>
    <x v="3"/>
    <x v="2"/>
    <x v="2"/>
    <x v="0"/>
    <x v="1"/>
    <x v="0"/>
    <n v="0"/>
    <n v="0"/>
    <n v="6324.3580000000002"/>
    <n v="5944.8965200000002"/>
    <n v="6324.3580000000002"/>
    <n v="5944.8965200000002"/>
    <n v="0"/>
    <x v="2"/>
    <n v="0"/>
    <n v="0"/>
    <n v="21"/>
    <n v="89"/>
    <n v="0"/>
    <n v="51.27"/>
    <n v="222.31"/>
    <m/>
    <n v="66.787442987613147"/>
    <n v="236.64237028527376"/>
    <n v="0"/>
    <n v="304794.84458040004"/>
    <n v="1321609.9453612"/>
    <n v="0"/>
    <n v="397044.43739675981"/>
    <n v="1406814.4035934755"/>
  </r>
  <r>
    <s v="Regular"/>
    <x v="1"/>
    <x v="3"/>
    <x v="3"/>
    <x v="2"/>
    <x v="2"/>
    <x v="0"/>
    <x v="1"/>
    <x v="1"/>
    <n v="0"/>
    <n v="0"/>
    <n v="6309.06"/>
    <n v="5930.5164000000004"/>
    <n v="6309.06"/>
    <n v="5930.5164000000004"/>
    <n v="0"/>
    <x v="2"/>
    <n v="0"/>
    <n v="0"/>
    <n v="21"/>
    <n v="89"/>
    <n v="0"/>
    <n v="51.27"/>
    <n v="222.31"/>
    <m/>
    <n v="66.787442987613147"/>
    <n v="236.64237028527376"/>
    <n v="0"/>
    <n v="304057.57582800003"/>
    <n v="1318413.1008840001"/>
    <n v="0"/>
    <n v="396084.02595210477"/>
    <n v="1403411.4579116888"/>
  </r>
  <r>
    <s v="Regular"/>
    <x v="1"/>
    <x v="3"/>
    <x v="3"/>
    <x v="2"/>
    <x v="2"/>
    <x v="0"/>
    <x v="1"/>
    <x v="2"/>
    <n v="0"/>
    <n v="0"/>
    <n v="4076.402"/>
    <n v="3831.8178800000001"/>
    <n v="4076.402"/>
    <n v="3831.8178800000001"/>
    <n v="0"/>
    <x v="2"/>
    <n v="0"/>
    <n v="0"/>
    <n v="21"/>
    <n v="89"/>
    <n v="0"/>
    <n v="51.27"/>
    <n v="222.31"/>
    <m/>
    <n v="66.787442987613147"/>
    <n v="236.64237028527376"/>
    <n v="0"/>
    <n v="196457.30270760003"/>
    <n v="851851.43290280004"/>
    <n v="0"/>
    <n v="255917.31819941668"/>
    <n v="906770.46562469273"/>
  </r>
  <r>
    <s v="Regular"/>
    <x v="1"/>
    <x v="3"/>
    <x v="3"/>
    <x v="2"/>
    <x v="2"/>
    <x v="0"/>
    <x v="1"/>
    <x v="3"/>
    <n v="0"/>
    <n v="0"/>
    <n v="4288.4340000000002"/>
    <n v="4031.1279599999998"/>
    <n v="4288.4340000000002"/>
    <n v="4031.1279599999998"/>
    <n v="0"/>
    <x v="2"/>
    <n v="0"/>
    <n v="0"/>
    <n v="21"/>
    <n v="89"/>
    <n v="0"/>
    <n v="51.27"/>
    <n v="222.31"/>
    <m/>
    <n v="66.787442987613147"/>
    <n v="236.64237028527376"/>
    <n v="0"/>
    <n v="206675.9305092"/>
    <n v="896160.05678759993"/>
    <n v="0"/>
    <n v="269228.7288042733"/>
    <n v="953935.67537764017"/>
  </r>
  <r>
    <s v="Refaturamento - Regular"/>
    <x v="1"/>
    <x v="3"/>
    <x v="3"/>
    <x v="2"/>
    <x v="2"/>
    <x v="0"/>
    <x v="1"/>
    <x v="3"/>
    <n v="0"/>
    <n v="0"/>
    <n v="-5.7969999999999997"/>
    <n v="-5.4491800000000001"/>
    <n v="-5.7969999999999997"/>
    <n v="-5.4491800000000001"/>
    <n v="0"/>
    <x v="2"/>
    <n v="0"/>
    <n v="0"/>
    <n v="21"/>
    <n v="89"/>
    <n v="0"/>
    <n v="51.27"/>
    <n v="222.31"/>
    <m/>
    <n v="66.787442987613147"/>
    <n v="236.64237028527376"/>
    <n v="0"/>
    <n v="-279.37945860000002"/>
    <n v="-1211.4072057999999"/>
    <n v="0"/>
    <n v="-363.93679857924184"/>
    <n v="-1289.5068713111082"/>
  </r>
  <r>
    <s v="Regular"/>
    <x v="1"/>
    <x v="3"/>
    <x v="3"/>
    <x v="2"/>
    <x v="2"/>
    <x v="0"/>
    <x v="1"/>
    <x v="4"/>
    <n v="0"/>
    <n v="0"/>
    <n v="3834.7689999999998"/>
    <n v="3604.6828599999999"/>
    <n v="3834.7689999999998"/>
    <n v="3604.6828599999999"/>
    <n v="0"/>
    <x v="2"/>
    <n v="0"/>
    <n v="0"/>
    <n v="21"/>
    <n v="89"/>
    <n v="0"/>
    <n v="51.27"/>
    <n v="222.31"/>
    <m/>
    <n v="66.787442987613147"/>
    <n v="236.64237028527376"/>
    <n v="0"/>
    <n v="184812.09023220002"/>
    <n v="801357.04660659994"/>
    <n v="0"/>
    <n v="240747.55100067629"/>
    <n v="853020.69611709961"/>
  </r>
  <r>
    <s v="Regular"/>
    <x v="1"/>
    <x v="3"/>
    <x v="3"/>
    <x v="2"/>
    <x v="2"/>
    <x v="0"/>
    <x v="1"/>
    <x v="5"/>
    <n v="0"/>
    <n v="0"/>
    <n v="3731.7869999999998"/>
    <n v="3507.8797800000002"/>
    <n v="3731.7869999999998"/>
    <n v="3507.8797800000002"/>
    <n v="0"/>
    <x v="2"/>
    <n v="0"/>
    <n v="0"/>
    <n v="21"/>
    <n v="89"/>
    <n v="0"/>
    <n v="51.27"/>
    <n v="222.31"/>
    <m/>
    <n v="66.787442987613147"/>
    <n v="236.64237028527376"/>
    <n v="0"/>
    <n v="179848.99632060001"/>
    <n v="779836.75389180006"/>
    <n v="0"/>
    <n v="234282.32081415097"/>
    <n v="830112.98581498466"/>
  </r>
  <r>
    <s v="Regular"/>
    <x v="1"/>
    <x v="3"/>
    <x v="3"/>
    <x v="2"/>
    <x v="2"/>
    <x v="0"/>
    <x v="1"/>
    <x v="6"/>
    <n v="0"/>
    <n v="0"/>
    <n v="3771.1889999999999"/>
    <n v="3544.9176600000001"/>
    <n v="3771.1889999999999"/>
    <n v="3544.9176600000001"/>
    <n v="0"/>
    <x v="2"/>
    <n v="0"/>
    <n v="0"/>
    <n v="21"/>
    <n v="89"/>
    <n v="0"/>
    <n v="51.27"/>
    <n v="222.31"/>
    <m/>
    <n v="66.787442987613147"/>
    <n v="236.64237028527376"/>
    <n v="0"/>
    <n v="181747.92842820002"/>
    <n v="788070.64499459998"/>
    <n v="0"/>
    <n v="236755.98611303302"/>
    <n v="838877.71752852621"/>
  </r>
  <r>
    <s v="Regular"/>
    <x v="1"/>
    <x v="3"/>
    <x v="3"/>
    <x v="2"/>
    <x v="2"/>
    <x v="0"/>
    <x v="1"/>
    <x v="7"/>
    <n v="0"/>
    <n v="0"/>
    <n v="3388.88"/>
    <n v="3185.5472"/>
    <n v="3388.88"/>
    <n v="3185.5472"/>
    <n v="0"/>
    <x v="2"/>
    <n v="0"/>
    <n v="0"/>
    <n v="21"/>
    <n v="89"/>
    <n v="0"/>
    <n v="51.27"/>
    <n v="222.31"/>
    <m/>
    <n v="66.787442987613147"/>
    <n v="236.64237028527376"/>
    <n v="0"/>
    <n v="163323.00494400001"/>
    <n v="708178.99803200003"/>
    <n v="0"/>
    <n v="212754.5520043507"/>
    <n v="753835.44006361696"/>
  </r>
  <r>
    <s v="Regular"/>
    <x v="1"/>
    <x v="3"/>
    <x v="3"/>
    <x v="2"/>
    <x v="2"/>
    <x v="0"/>
    <x v="1"/>
    <x v="8"/>
    <n v="0"/>
    <n v="0"/>
    <n v="3739.8969999999999"/>
    <n v="3515.5031800000002"/>
    <n v="3739.8969999999999"/>
    <n v="3515.5031800000002"/>
    <n v="0"/>
    <x v="2"/>
    <n v="0"/>
    <n v="0"/>
    <n v="21"/>
    <n v="89"/>
    <n v="0"/>
    <n v="51.27"/>
    <n v="222.31"/>
    <m/>
    <n v="66.787442987613147"/>
    <n v="236.64237028527376"/>
    <n v="0"/>
    <n v="180239.84803860003"/>
    <n v="781531.51194580004"/>
    <n v="0"/>
    <n v="234791.46820702273"/>
    <n v="831917.00526061747"/>
  </r>
  <r>
    <s v="Regular"/>
    <x v="1"/>
    <x v="3"/>
    <x v="3"/>
    <x v="2"/>
    <x v="2"/>
    <x v="0"/>
    <x v="1"/>
    <x v="9"/>
    <n v="0"/>
    <n v="0"/>
    <n v="3930.538"/>
    <n v="3694.7057199999999"/>
    <n v="3930.538"/>
    <n v="3694.7057199999999"/>
    <n v="0"/>
    <x v="2"/>
    <n v="0"/>
    <n v="0"/>
    <n v="21"/>
    <n v="89"/>
    <n v="0"/>
    <n v="51.27"/>
    <n v="222.31"/>
    <m/>
    <n v="66.787442987613147"/>
    <n v="236.64237028527376"/>
    <n v="0"/>
    <n v="189427.56226440001"/>
    <n v="821370.02861319995"/>
    <n v="0"/>
    <n v="246759.94763050819"/>
    <n v="874323.91908735898"/>
  </r>
  <r>
    <s v="Regular"/>
    <x v="1"/>
    <x v="3"/>
    <x v="3"/>
    <x v="2"/>
    <x v="2"/>
    <x v="0"/>
    <x v="1"/>
    <x v="10"/>
    <n v="0"/>
    <n v="0"/>
    <n v="3564.7330000000002"/>
    <n v="3350.8490200000001"/>
    <n v="3564.7330000000002"/>
    <n v="3350.8490200000001"/>
    <n v="0"/>
    <x v="2"/>
    <n v="0"/>
    <n v="0"/>
    <n v="21"/>
    <n v="89"/>
    <n v="0"/>
    <n v="51.27"/>
    <n v="222.31"/>
    <m/>
    <n v="66.787442987613147"/>
    <n v="236.64237028527376"/>
    <n v="0"/>
    <n v="171798.0292554"/>
    <n v="744927.24563620007"/>
    <n v="0"/>
    <n v="223794.63788334938"/>
    <n v="792952.85456088674"/>
  </r>
  <r>
    <s v="PROJETADO"/>
    <x v="1"/>
    <x v="3"/>
    <x v="3"/>
    <x v="2"/>
    <x v="2"/>
    <x v="0"/>
    <x v="1"/>
    <x v="11"/>
    <n v="0"/>
    <n v="0"/>
    <n v="3564.7330000000002"/>
    <n v="3350.8490200000001"/>
    <n v="3564.7330000000002"/>
    <n v="3350.8490200000001"/>
    <n v="0"/>
    <x v="2"/>
    <n v="0"/>
    <n v="0"/>
    <n v="21"/>
    <n v="89"/>
    <n v="0"/>
    <n v="51.27"/>
    <n v="222.31"/>
    <m/>
    <n v="66.787442987613147"/>
    <n v="236.64237028527376"/>
    <n v="0"/>
    <n v="171798.0292554"/>
    <n v="744927.24563620007"/>
    <n v="0"/>
    <n v="223794.63788334938"/>
    <n v="792952.85456088674"/>
  </r>
  <r>
    <s v="Regular"/>
    <x v="1"/>
    <x v="3"/>
    <x v="3"/>
    <x v="2"/>
    <x v="2"/>
    <x v="0"/>
    <x v="0"/>
    <x v="0"/>
    <n v="14195"/>
    <n v="12065.75"/>
    <n v="0"/>
    <n v="0"/>
    <n v="0"/>
    <n v="0"/>
    <n v="58"/>
    <x v="2"/>
    <n v="0"/>
    <n v="44"/>
    <n v="0"/>
    <n v="0"/>
    <n v="24.31"/>
    <n v="0"/>
    <n v="0"/>
    <n v="27.784726797371405"/>
    <m/>
    <m/>
    <n v="293318.38250000001"/>
    <n v="0"/>
    <n v="0"/>
    <n v="335243.56735538406"/>
    <n v="0"/>
    <n v="0"/>
  </r>
  <r>
    <s v="Regular"/>
    <x v="1"/>
    <x v="3"/>
    <x v="3"/>
    <x v="2"/>
    <x v="2"/>
    <x v="0"/>
    <x v="0"/>
    <x v="1"/>
    <n v="14252"/>
    <n v="12114.199999999999"/>
    <n v="0"/>
    <n v="0"/>
    <n v="0"/>
    <n v="0"/>
    <n v="58"/>
    <x v="2"/>
    <n v="0"/>
    <n v="44"/>
    <n v="0"/>
    <n v="0"/>
    <n v="24.31"/>
    <n v="0"/>
    <n v="0"/>
    <n v="27.784726797371405"/>
    <m/>
    <m/>
    <n v="294496.20199999993"/>
    <n v="0"/>
    <n v="0"/>
    <n v="336589.73736871663"/>
    <n v="0"/>
    <n v="0"/>
  </r>
  <r>
    <s v="Regular"/>
    <x v="1"/>
    <x v="3"/>
    <x v="3"/>
    <x v="2"/>
    <x v="2"/>
    <x v="0"/>
    <x v="0"/>
    <x v="2"/>
    <n v="9983"/>
    <n v="8485.5499999999993"/>
    <n v="0"/>
    <n v="0"/>
    <n v="0"/>
    <n v="0"/>
    <n v="53"/>
    <x v="2"/>
    <n v="0"/>
    <n v="44"/>
    <n v="0"/>
    <n v="0"/>
    <n v="24.31"/>
    <n v="0"/>
    <n v="0"/>
    <n v="27.784726797371405"/>
    <m/>
    <m/>
    <n v="206283.72049999997"/>
    <n v="0"/>
    <n v="0"/>
    <n v="235768.6884754349"/>
    <n v="0"/>
    <n v="0"/>
  </r>
  <r>
    <s v="Regular"/>
    <x v="1"/>
    <x v="3"/>
    <x v="3"/>
    <x v="2"/>
    <x v="2"/>
    <x v="0"/>
    <x v="0"/>
    <x v="3"/>
    <n v="9891"/>
    <n v="8407.35"/>
    <n v="0"/>
    <n v="0"/>
    <n v="0"/>
    <n v="0"/>
    <n v="51"/>
    <x v="2"/>
    <n v="0"/>
    <n v="44"/>
    <n v="0"/>
    <n v="0"/>
    <n v="24.31"/>
    <n v="0"/>
    <n v="0"/>
    <n v="27.784726797371405"/>
    <m/>
    <m/>
    <n v="204382.67850000001"/>
    <n v="0"/>
    <n v="0"/>
    <n v="233595.92283988048"/>
    <n v="0"/>
    <n v="0"/>
  </r>
  <r>
    <s v="Regular"/>
    <x v="1"/>
    <x v="3"/>
    <x v="3"/>
    <x v="2"/>
    <x v="2"/>
    <x v="0"/>
    <x v="0"/>
    <x v="4"/>
    <n v="8790"/>
    <n v="7471.5"/>
    <n v="0"/>
    <n v="0"/>
    <n v="0"/>
    <n v="0"/>
    <n v="50"/>
    <x v="2"/>
    <n v="0"/>
    <n v="44"/>
    <n v="0"/>
    <n v="0"/>
    <n v="24.31"/>
    <n v="0"/>
    <n v="0"/>
    <n v="27.784726797371405"/>
    <m/>
    <m/>
    <n v="181632.16499999998"/>
    <n v="0"/>
    <n v="0"/>
    <n v="207593.58626656045"/>
    <n v="0"/>
    <n v="0"/>
  </r>
  <r>
    <s v="Regular"/>
    <x v="1"/>
    <x v="3"/>
    <x v="3"/>
    <x v="2"/>
    <x v="2"/>
    <x v="0"/>
    <x v="0"/>
    <x v="5"/>
    <n v="8837"/>
    <n v="7511.45"/>
    <n v="0"/>
    <n v="0"/>
    <n v="0"/>
    <n v="0"/>
    <n v="50"/>
    <x v="2"/>
    <n v="0"/>
    <n v="44"/>
    <n v="0"/>
    <n v="0"/>
    <n v="24.31"/>
    <n v="0"/>
    <n v="0"/>
    <n v="27.784726797371405"/>
    <m/>
    <m/>
    <n v="182603.34949999998"/>
    <n v="0"/>
    <n v="0"/>
    <n v="208703.58610211543"/>
    <n v="0"/>
    <n v="0"/>
  </r>
  <r>
    <s v="Regular"/>
    <x v="1"/>
    <x v="3"/>
    <x v="3"/>
    <x v="2"/>
    <x v="2"/>
    <x v="0"/>
    <x v="0"/>
    <x v="6"/>
    <n v="8702"/>
    <n v="7396.7"/>
    <n v="0"/>
    <n v="0"/>
    <n v="0"/>
    <n v="0"/>
    <n v="50"/>
    <x v="2"/>
    <n v="0"/>
    <n v="44"/>
    <n v="0"/>
    <n v="0"/>
    <n v="24.31"/>
    <n v="0"/>
    <n v="0"/>
    <n v="27.784726797371405"/>
    <m/>
    <m/>
    <n v="179813.77699999997"/>
    <n v="0"/>
    <n v="0"/>
    <n v="205515.28870211708"/>
    <n v="0"/>
    <n v="0"/>
  </r>
  <r>
    <s v="Regular"/>
    <x v="1"/>
    <x v="3"/>
    <x v="3"/>
    <x v="2"/>
    <x v="2"/>
    <x v="0"/>
    <x v="0"/>
    <x v="7"/>
    <n v="8809"/>
    <n v="7487.65"/>
    <n v="0"/>
    <n v="0"/>
    <n v="0"/>
    <n v="0"/>
    <n v="51"/>
    <x v="2"/>
    <n v="0"/>
    <n v="44"/>
    <n v="0"/>
    <n v="0"/>
    <n v="24.31"/>
    <n v="0"/>
    <n v="0"/>
    <n v="27.784726797371405"/>
    <m/>
    <m/>
    <n v="182024.77149999997"/>
    <n v="0"/>
    <n v="0"/>
    <n v="208042.30960433799"/>
    <n v="0"/>
    <n v="0"/>
  </r>
  <r>
    <s v="Regular"/>
    <x v="1"/>
    <x v="3"/>
    <x v="3"/>
    <x v="2"/>
    <x v="2"/>
    <x v="0"/>
    <x v="0"/>
    <x v="8"/>
    <n v="8757"/>
    <n v="7443.45"/>
    <n v="0"/>
    <n v="0"/>
    <n v="0"/>
    <n v="0"/>
    <n v="49"/>
    <x v="2"/>
    <n v="0"/>
    <n v="44"/>
    <n v="0"/>
    <n v="0"/>
    <n v="24.31"/>
    <n v="0"/>
    <n v="0"/>
    <n v="27.784726797371405"/>
    <m/>
    <m/>
    <n v="180950.26949999999"/>
    <n v="0"/>
    <n v="0"/>
    <n v="206814.22467989419"/>
    <n v="0"/>
    <n v="0"/>
  </r>
  <r>
    <s v="Regular"/>
    <x v="1"/>
    <x v="3"/>
    <x v="3"/>
    <x v="2"/>
    <x v="2"/>
    <x v="0"/>
    <x v="0"/>
    <x v="9"/>
    <n v="8848"/>
    <n v="7520.8"/>
    <n v="0"/>
    <n v="0"/>
    <n v="0"/>
    <n v="0"/>
    <n v="50"/>
    <x v="2"/>
    <n v="0"/>
    <n v="44"/>
    <n v="0"/>
    <n v="0"/>
    <n v="24.31"/>
    <n v="0"/>
    <n v="0"/>
    <n v="27.784726797371405"/>
    <m/>
    <m/>
    <n v="182830.64799999999"/>
    <n v="0"/>
    <n v="0"/>
    <n v="208963.37329767086"/>
    <n v="0"/>
    <n v="0"/>
  </r>
  <r>
    <s v="Regular"/>
    <x v="1"/>
    <x v="3"/>
    <x v="3"/>
    <x v="2"/>
    <x v="2"/>
    <x v="0"/>
    <x v="0"/>
    <x v="10"/>
    <n v="8890"/>
    <n v="7556.5"/>
    <n v="0"/>
    <n v="0"/>
    <n v="0"/>
    <n v="0"/>
    <n v="51"/>
    <x v="2"/>
    <n v="0"/>
    <n v="44"/>
    <n v="0"/>
    <n v="0"/>
    <n v="24.31"/>
    <n v="0"/>
    <n v="0"/>
    <n v="27.784726797371405"/>
    <m/>
    <m/>
    <n v="183698.51499999998"/>
    <n v="0"/>
    <n v="0"/>
    <n v="209955.28804433704"/>
    <n v="0"/>
    <n v="0"/>
  </r>
  <r>
    <s v="Refaturamento - Regular"/>
    <x v="1"/>
    <x v="3"/>
    <x v="3"/>
    <x v="2"/>
    <x v="2"/>
    <x v="0"/>
    <x v="0"/>
    <x v="10"/>
    <n v="30"/>
    <n v="25.5"/>
    <n v="0"/>
    <n v="0"/>
    <n v="0"/>
    <n v="0"/>
    <n v="0"/>
    <x v="2"/>
    <n v="0"/>
    <n v="44"/>
    <n v="0"/>
    <n v="0"/>
    <n v="24.31"/>
    <n v="0"/>
    <n v="0"/>
    <n v="27.784726797371405"/>
    <m/>
    <m/>
    <n v="619.90499999999997"/>
    <n v="0"/>
    <n v="0"/>
    <n v="708.51053333297079"/>
    <n v="0"/>
    <n v="0"/>
  </r>
  <r>
    <s v="PROJETADO"/>
    <x v="1"/>
    <x v="3"/>
    <x v="3"/>
    <x v="2"/>
    <x v="2"/>
    <x v="0"/>
    <x v="0"/>
    <x v="11"/>
    <n v="8890"/>
    <n v="7556.5"/>
    <n v="0"/>
    <n v="0"/>
    <n v="0"/>
    <n v="0"/>
    <n v="51"/>
    <x v="2"/>
    <n v="0"/>
    <n v="44"/>
    <n v="0"/>
    <n v="0"/>
    <n v="24.31"/>
    <n v="0"/>
    <n v="0"/>
    <n v="27.784726797371405"/>
    <m/>
    <m/>
    <n v="183698.51499999998"/>
    <n v="0"/>
    <n v="0"/>
    <n v="209955.28804433704"/>
    <n v="0"/>
    <n v="0"/>
  </r>
  <r>
    <s v="PROJETADO"/>
    <x v="1"/>
    <x v="3"/>
    <x v="3"/>
    <x v="2"/>
    <x v="2"/>
    <x v="0"/>
    <x v="0"/>
    <x v="11"/>
    <n v="30"/>
    <n v="25.5"/>
    <n v="0"/>
    <n v="0"/>
    <n v="0"/>
    <n v="0"/>
    <n v="0"/>
    <x v="2"/>
    <n v="0"/>
    <n v="44"/>
    <n v="0"/>
    <n v="0"/>
    <n v="24.31"/>
    <n v="0"/>
    <n v="0"/>
    <n v="27.784726797371405"/>
    <m/>
    <m/>
    <n v="619.90499999999997"/>
    <n v="0"/>
    <n v="0"/>
    <n v="708.51053333297079"/>
    <n v="0"/>
    <n v="0"/>
  </r>
  <r>
    <s v="Regular"/>
    <x v="1"/>
    <x v="3"/>
    <x v="3"/>
    <x v="2"/>
    <x v="2"/>
    <x v="0"/>
    <x v="2"/>
    <x v="0"/>
    <n v="0"/>
    <n v="0"/>
    <n v="517"/>
    <n v="485.98"/>
    <n v="517"/>
    <n v="485.98"/>
    <n v="0"/>
    <x v="2"/>
    <n v="0"/>
    <n v="0"/>
    <n v="20"/>
    <n v="88"/>
    <n v="0"/>
    <n v="1564.59"/>
    <n v="365.5"/>
    <m/>
    <n v="1922.323293423678"/>
    <n v="382.75425465660959"/>
    <n v="0"/>
    <n v="760359.44819999998"/>
    <n v="177625.69"/>
    <n v="0"/>
    <n v="934210.67413803912"/>
    <n v="186010.91267801914"/>
  </r>
  <r>
    <s v="Regular"/>
    <x v="1"/>
    <x v="3"/>
    <x v="3"/>
    <x v="2"/>
    <x v="2"/>
    <x v="0"/>
    <x v="2"/>
    <x v="1"/>
    <n v="0"/>
    <n v="0"/>
    <n v="467.923"/>
    <n v="439.84762000000001"/>
    <n v="467.923"/>
    <n v="439.84762000000001"/>
    <n v="0"/>
    <x v="2"/>
    <n v="0"/>
    <n v="0"/>
    <n v="20"/>
    <n v="88"/>
    <n v="0"/>
    <n v="1564.59"/>
    <n v="365.5"/>
    <m/>
    <n v="1922.323293423678"/>
    <n v="382.75425465660959"/>
    <n v="0"/>
    <n v="688181.1877758"/>
    <n v="160764.30511000002"/>
    <n v="0"/>
    <n v="845529.32548296649"/>
    <n v="168353.54795558364"/>
  </r>
  <r>
    <s v="Regular"/>
    <x v="1"/>
    <x v="3"/>
    <x v="3"/>
    <x v="2"/>
    <x v="2"/>
    <x v="0"/>
    <x v="2"/>
    <x v="2"/>
    <n v="0"/>
    <n v="0"/>
    <n v="309.91500000000002"/>
    <n v="291.32010000000002"/>
    <n v="309.91500000000002"/>
    <n v="291.32010000000002"/>
    <n v="0"/>
    <x v="2"/>
    <n v="0"/>
    <n v="0"/>
    <n v="20"/>
    <n v="88"/>
    <n v="0"/>
    <n v="1564.59"/>
    <n v="365.5"/>
    <m/>
    <n v="1922.323293423678"/>
    <n v="382.75425465660959"/>
    <n v="0"/>
    <n v="455796.51525900001"/>
    <n v="106477.49655000001"/>
    <n v="0"/>
    <n v="560011.41407251533"/>
    <n v="111504.00774198899"/>
  </r>
  <r>
    <s v="Regular"/>
    <x v="1"/>
    <x v="3"/>
    <x v="3"/>
    <x v="2"/>
    <x v="2"/>
    <x v="0"/>
    <x v="2"/>
    <x v="3"/>
    <n v="0"/>
    <n v="0"/>
    <n v="338.399"/>
    <n v="318.09505999999999"/>
    <n v="338.399"/>
    <n v="318.09505999999999"/>
    <n v="0"/>
    <x v="2"/>
    <n v="0"/>
    <n v="0"/>
    <n v="20"/>
    <n v="88"/>
    <n v="0"/>
    <n v="1564.59"/>
    <n v="365.5"/>
    <m/>
    <n v="1922.323293423678"/>
    <n v="382.75425465660959"/>
    <n v="0"/>
    <n v="497688.34992539993"/>
    <n v="116263.74442999999"/>
    <n v="0"/>
    <n v="611481.54336100246"/>
    <n v="121752.2376002495"/>
  </r>
  <r>
    <s v="Refaturamento - Regular"/>
    <x v="1"/>
    <x v="3"/>
    <x v="3"/>
    <x v="2"/>
    <x v="2"/>
    <x v="0"/>
    <x v="2"/>
    <x v="3"/>
    <n v="0"/>
    <n v="0"/>
    <n v="-1.6579999999999999"/>
    <n v="-1.5585199999999999"/>
    <n v="-1.6579999999999999"/>
    <n v="-1.5585199999999999"/>
    <n v="0"/>
    <x v="2"/>
    <n v="0"/>
    <n v="0"/>
    <n v="20"/>
    <n v="88"/>
    <n v="0"/>
    <n v="1564.59"/>
    <n v="365.5"/>
    <m/>
    <n v="1922.323293423678"/>
    <n v="382.75425465660959"/>
    <n v="0"/>
    <n v="-2438.4448067999997"/>
    <n v="-569.63905999999997"/>
    <n v="0"/>
    <n v="-2995.9792992666703"/>
    <n v="-596.53016096741919"/>
  </r>
  <r>
    <s v="Regular"/>
    <x v="1"/>
    <x v="3"/>
    <x v="3"/>
    <x v="2"/>
    <x v="2"/>
    <x v="0"/>
    <x v="2"/>
    <x v="4"/>
    <n v="0"/>
    <n v="0"/>
    <n v="343.34199999999998"/>
    <n v="322.74148000000002"/>
    <n v="343.34199999999998"/>
    <n v="322.74148000000002"/>
    <n v="0"/>
    <x v="2"/>
    <n v="0"/>
    <n v="0"/>
    <n v="20"/>
    <n v="88"/>
    <n v="0"/>
    <n v="1564.59"/>
    <n v="365.5"/>
    <m/>
    <n v="1922.323293423678"/>
    <n v="382.75425465660959"/>
    <n v="0"/>
    <n v="504958.09219320002"/>
    <n v="117962.01094000001"/>
    <n v="0"/>
    <n v="620413.46475803212"/>
    <n v="123530.67462417108"/>
  </r>
  <r>
    <s v="Regular"/>
    <x v="1"/>
    <x v="3"/>
    <x v="3"/>
    <x v="2"/>
    <x v="2"/>
    <x v="0"/>
    <x v="2"/>
    <x v="5"/>
    <n v="0"/>
    <n v="0"/>
    <n v="255.63300000000001"/>
    <n v="240.29501999999999"/>
    <n v="255.63300000000001"/>
    <n v="240.29501999999999"/>
    <n v="0"/>
    <x v="2"/>
    <n v="0"/>
    <n v="0"/>
    <n v="20"/>
    <n v="88"/>
    <n v="0"/>
    <n v="1564.59"/>
    <n v="365.5"/>
    <m/>
    <n v="1922.323293423678"/>
    <n v="382.75425465660959"/>
    <n v="0"/>
    <n v="375963.18534179998"/>
    <n v="87827.829809999996"/>
    <n v="0"/>
    <n v="461924.71423970856"/>
    <n v="91973.941277795093"/>
  </r>
  <r>
    <s v="Regular"/>
    <x v="1"/>
    <x v="3"/>
    <x v="3"/>
    <x v="2"/>
    <x v="2"/>
    <x v="0"/>
    <x v="2"/>
    <x v="6"/>
    <n v="0"/>
    <n v="0"/>
    <n v="254.77699999999999"/>
    <n v="239.49037999999999"/>
    <n v="254.77699999999999"/>
    <n v="239.49037999999999"/>
    <n v="0"/>
    <x v="2"/>
    <n v="0"/>
    <n v="0"/>
    <n v="20"/>
    <n v="88"/>
    <n v="0"/>
    <n v="1564.59"/>
    <n v="365.5"/>
    <m/>
    <n v="1922.323293423678"/>
    <n v="382.75425465660959"/>
    <n v="0"/>
    <n v="374704.25364419998"/>
    <n v="87533.733889999989"/>
    <n v="0"/>
    <n v="460377.93602488813"/>
    <n v="91665.961894328197"/>
  </r>
  <r>
    <s v="Regular"/>
    <x v="1"/>
    <x v="3"/>
    <x v="3"/>
    <x v="2"/>
    <x v="2"/>
    <x v="0"/>
    <x v="2"/>
    <x v="7"/>
    <n v="0"/>
    <n v="0"/>
    <n v="263.03699999999998"/>
    <n v="247.25478000000001"/>
    <n v="263.03699999999998"/>
    <n v="247.25478000000001"/>
    <n v="0"/>
    <x v="2"/>
    <n v="0"/>
    <n v="0"/>
    <n v="20"/>
    <n v="88"/>
    <n v="0"/>
    <n v="1564.59"/>
    <n v="365.5"/>
    <m/>
    <n v="1922.323293423678"/>
    <n v="382.75425465660959"/>
    <n v="0"/>
    <n v="386852.3562402"/>
    <n v="90371.622090000004"/>
    <n v="0"/>
    <n v="475303.62300434697"/>
    <n v="94637.819029183986"/>
  </r>
  <r>
    <s v="Regular"/>
    <x v="1"/>
    <x v="3"/>
    <x v="3"/>
    <x v="2"/>
    <x v="2"/>
    <x v="0"/>
    <x v="2"/>
    <x v="8"/>
    <n v="0"/>
    <n v="0"/>
    <n v="296.10899999999998"/>
    <n v="278.34246000000002"/>
    <n v="296.10899999999998"/>
    <n v="278.34246000000002"/>
    <n v="0"/>
    <x v="2"/>
    <n v="0"/>
    <n v="0"/>
    <n v="20"/>
    <n v="88"/>
    <n v="0"/>
    <n v="1564.59"/>
    <n v="365.5"/>
    <m/>
    <n v="1922.323293423678"/>
    <n v="382.75425465660959"/>
    <n v="0"/>
    <n v="435491.82949139999"/>
    <n v="101734.16913000001"/>
    <n v="0"/>
    <n v="535064.1944068484"/>
    <n v="106536.76081658718"/>
  </r>
  <r>
    <s v="Regular"/>
    <x v="1"/>
    <x v="3"/>
    <x v="3"/>
    <x v="2"/>
    <x v="2"/>
    <x v="0"/>
    <x v="2"/>
    <x v="9"/>
    <n v="0"/>
    <n v="0"/>
    <n v="283.55799999999999"/>
    <n v="266.54451999999998"/>
    <n v="283.55799999999999"/>
    <n v="266.54451999999998"/>
    <n v="0"/>
    <x v="2"/>
    <n v="0"/>
    <n v="0"/>
    <n v="20"/>
    <n v="88"/>
    <n v="0"/>
    <n v="1564.59"/>
    <n v="365.5"/>
    <m/>
    <n v="1922.323293423678"/>
    <n v="382.75425465660959"/>
    <n v="0"/>
    <n v="417032.89054679993"/>
    <n v="97422.022059999988"/>
    <n v="0"/>
    <n v="512384.73953043338"/>
    <n v="102021.04908540376"/>
  </r>
  <r>
    <s v="Regular"/>
    <x v="1"/>
    <x v="3"/>
    <x v="3"/>
    <x v="2"/>
    <x v="2"/>
    <x v="0"/>
    <x v="2"/>
    <x v="10"/>
    <n v="0"/>
    <n v="0"/>
    <n v="267.255"/>
    <n v="251.21969999999999"/>
    <n v="267.255"/>
    <n v="251.21969999999999"/>
    <n v="0"/>
    <x v="2"/>
    <n v="0"/>
    <n v="0"/>
    <n v="20"/>
    <n v="88"/>
    <n v="0"/>
    <n v="1564.59"/>
    <n v="365.5"/>
    <m/>
    <n v="1922.323293423678"/>
    <n v="382.75425465660959"/>
    <n v="0"/>
    <n v="393055.83042299998"/>
    <n v="91820.80034999999"/>
    <n v="0"/>
    <n v="482925.48107690836"/>
    <n v="96155.409028557056"/>
  </r>
  <r>
    <s v="PROJETADO"/>
    <x v="1"/>
    <x v="3"/>
    <x v="3"/>
    <x v="2"/>
    <x v="2"/>
    <x v="0"/>
    <x v="2"/>
    <x v="11"/>
    <n v="0"/>
    <n v="0"/>
    <n v="267.255"/>
    <n v="251.21969999999999"/>
    <n v="267.255"/>
    <n v="251.21969999999999"/>
    <n v="0"/>
    <x v="2"/>
    <n v="0"/>
    <n v="0"/>
    <n v="20"/>
    <n v="88"/>
    <n v="0"/>
    <n v="1564.59"/>
    <n v="365.5"/>
    <m/>
    <n v="1922.323293423678"/>
    <n v="382.75425465660959"/>
    <n v="0"/>
    <n v="393055.83042299998"/>
    <n v="91820.80034999999"/>
    <n v="0"/>
    <n v="482925.48107690836"/>
    <n v="96155.409028557056"/>
  </r>
  <r>
    <s v="Regular"/>
    <x v="2"/>
    <x v="4"/>
    <x v="7"/>
    <x v="3"/>
    <x v="2"/>
    <x v="0"/>
    <x v="1"/>
    <x v="0"/>
    <n v="0"/>
    <n v="0"/>
    <n v="126.31399999999999"/>
    <n v="126.31399999999999"/>
    <n v="126.31399999999999"/>
    <n v="126.31399999999999"/>
    <n v="0"/>
    <x v="2"/>
    <n v="0"/>
    <n v="0"/>
    <n v="47"/>
    <n v="64"/>
    <n v="0"/>
    <n v="236.61"/>
    <n v="222.31"/>
    <m/>
    <n v="294.24516015584999"/>
    <n v="236.64237028527376"/>
    <n v="0"/>
    <n v="29887.15554"/>
    <n v="28080.86534"/>
    <n v="0"/>
    <n v="37167.283159926032"/>
    <n v="29891.244360214067"/>
  </r>
  <r>
    <s v="Sistema de Compensação"/>
    <x v="2"/>
    <x v="4"/>
    <x v="7"/>
    <x v="3"/>
    <x v="2"/>
    <x v="0"/>
    <x v="1"/>
    <x v="0"/>
    <n v="0"/>
    <n v="0"/>
    <n v="1.649"/>
    <n v="1.649"/>
    <n v="1.649"/>
    <n v="1.649"/>
    <n v="0"/>
    <x v="2"/>
    <n v="0"/>
    <n v="0"/>
    <n v="47"/>
    <n v="64"/>
    <n v="0"/>
    <n v="236.61"/>
    <n v="222.31"/>
    <m/>
    <n v="294.24516015584999"/>
    <n v="236.64237028527376"/>
    <n v="0"/>
    <n v="390.16989000000001"/>
    <n v="366.58919000000003"/>
    <n v="0"/>
    <n v="485.21026909699663"/>
    <n v="390.22326860041642"/>
  </r>
  <r>
    <s v="Regular"/>
    <x v="2"/>
    <x v="4"/>
    <x v="7"/>
    <x v="3"/>
    <x v="2"/>
    <x v="0"/>
    <x v="1"/>
    <x v="1"/>
    <n v="0"/>
    <n v="0"/>
    <n v="108.97499999999999"/>
    <n v="108.97499999999999"/>
    <n v="108.97499999999999"/>
    <n v="108.97499999999999"/>
    <n v="0"/>
    <x v="2"/>
    <n v="0"/>
    <n v="0"/>
    <n v="47"/>
    <n v="64"/>
    <n v="0"/>
    <n v="236.61"/>
    <n v="222.31"/>
    <m/>
    <n v="294.24516015584999"/>
    <n v="236.64237028527376"/>
    <n v="0"/>
    <n v="25784.57475"/>
    <n v="24226.232249999997"/>
    <n v="0"/>
    <n v="32065.366327983749"/>
    <n v="25788.102301837705"/>
  </r>
  <r>
    <s v="Sistema de Compensação"/>
    <x v="2"/>
    <x v="4"/>
    <x v="7"/>
    <x v="3"/>
    <x v="2"/>
    <x v="0"/>
    <x v="1"/>
    <x v="1"/>
    <n v="0"/>
    <n v="0"/>
    <n v="1.0229999999999999"/>
    <n v="1.0229999999999999"/>
    <n v="1.0229999999999999"/>
    <n v="1.0229999999999999"/>
    <n v="0"/>
    <x v="2"/>
    <n v="0"/>
    <n v="0"/>
    <n v="47"/>
    <n v="64"/>
    <n v="0"/>
    <n v="236.61"/>
    <n v="222.31"/>
    <m/>
    <n v="294.24516015584999"/>
    <n v="236.64237028527376"/>
    <n v="0"/>
    <n v="242.05203"/>
    <n v="227.42312999999999"/>
    <n v="0"/>
    <n v="301.01279883943454"/>
    <n v="242.08514480183504"/>
  </r>
  <r>
    <s v="Regular"/>
    <x v="2"/>
    <x v="4"/>
    <x v="7"/>
    <x v="3"/>
    <x v="2"/>
    <x v="0"/>
    <x v="1"/>
    <x v="2"/>
    <n v="0"/>
    <n v="0"/>
    <n v="102.21"/>
    <n v="102.21"/>
    <n v="102.21"/>
    <n v="102.21"/>
    <n v="0"/>
    <x v="2"/>
    <n v="0"/>
    <n v="0"/>
    <n v="47"/>
    <n v="64"/>
    <n v="0"/>
    <n v="236.61"/>
    <n v="222.31"/>
    <m/>
    <n v="294.24516015584999"/>
    <n v="236.64237028527376"/>
    <n v="0"/>
    <n v="24183.908100000001"/>
    <n v="22722.305099999998"/>
    <n v="0"/>
    <n v="30074.797819529424"/>
    <n v="24187.216666857828"/>
  </r>
  <r>
    <s v="Sistema de Compensação"/>
    <x v="2"/>
    <x v="4"/>
    <x v="7"/>
    <x v="3"/>
    <x v="2"/>
    <x v="0"/>
    <x v="1"/>
    <x v="2"/>
    <n v="0"/>
    <n v="0"/>
    <n v="0.625"/>
    <n v="0.625"/>
    <n v="0.625"/>
    <n v="0.625"/>
    <n v="0"/>
    <x v="2"/>
    <n v="0"/>
    <n v="0"/>
    <n v="47"/>
    <n v="64"/>
    <n v="0"/>
    <n v="236.61"/>
    <n v="222.31"/>
    <m/>
    <n v="294.24516015584999"/>
    <n v="236.64237028527376"/>
    <n v="0"/>
    <n v="147.88125000000002"/>
    <n v="138.94374999999999"/>
    <n v="0"/>
    <n v="183.90322509740625"/>
    <n v="147.90148142829611"/>
  </r>
  <r>
    <s v="Regular"/>
    <x v="2"/>
    <x v="4"/>
    <x v="7"/>
    <x v="3"/>
    <x v="2"/>
    <x v="0"/>
    <x v="1"/>
    <x v="3"/>
    <n v="0"/>
    <n v="0"/>
    <n v="93.563000000000002"/>
    <n v="93.563000000000002"/>
    <n v="93.563000000000002"/>
    <n v="93.563000000000002"/>
    <n v="0"/>
    <x v="2"/>
    <n v="0"/>
    <n v="0"/>
    <n v="47"/>
    <n v="64"/>
    <n v="0"/>
    <n v="236.61"/>
    <n v="222.31"/>
    <m/>
    <n v="294.24516015584999"/>
    <n v="236.64237028527376"/>
    <n v="0"/>
    <n v="22137.941430000003"/>
    <n v="20799.990529999999"/>
    <n v="0"/>
    <n v="27530.459919661793"/>
    <n v="22140.970091001069"/>
  </r>
  <r>
    <s v="Sistema de Compensação"/>
    <x v="2"/>
    <x v="4"/>
    <x v="7"/>
    <x v="3"/>
    <x v="2"/>
    <x v="0"/>
    <x v="1"/>
    <x v="3"/>
    <n v="0"/>
    <n v="0"/>
    <n v="0.59299999999999997"/>
    <n v="0.59299999999999997"/>
    <n v="0.59299999999999997"/>
    <n v="0.59299999999999997"/>
    <n v="0"/>
    <x v="2"/>
    <n v="0"/>
    <n v="0"/>
    <n v="47"/>
    <n v="64"/>
    <n v="0"/>
    <n v="236.61"/>
    <n v="222.31"/>
    <m/>
    <n v="294.24516015584999"/>
    <n v="236.64237028527376"/>
    <n v="0"/>
    <n v="140.30973"/>
    <n v="131.82982999999999"/>
    <n v="0"/>
    <n v="174.48737997241903"/>
    <n v="140.32892557916733"/>
  </r>
  <r>
    <s v="Regular"/>
    <x v="2"/>
    <x v="4"/>
    <x v="7"/>
    <x v="3"/>
    <x v="2"/>
    <x v="0"/>
    <x v="1"/>
    <x v="4"/>
    <n v="0"/>
    <n v="0"/>
    <n v="91.730999999999995"/>
    <n v="91.730999999999995"/>
    <n v="91.730999999999995"/>
    <n v="91.730999999999995"/>
    <n v="0"/>
    <x v="2"/>
    <n v="0"/>
    <n v="0"/>
    <n v="47"/>
    <n v="64"/>
    <n v="0"/>
    <n v="236.61"/>
    <n v="222.31"/>
    <m/>
    <n v="294.24516015584999"/>
    <n v="236.64237028527376"/>
    <n v="0"/>
    <n v="21704.47191"/>
    <n v="20392.71861"/>
    <n v="0"/>
    <n v="26991.402786256273"/>
    <n v="21707.441268638446"/>
  </r>
  <r>
    <s v="Sistema de Compensação"/>
    <x v="2"/>
    <x v="4"/>
    <x v="7"/>
    <x v="3"/>
    <x v="2"/>
    <x v="0"/>
    <x v="1"/>
    <x v="4"/>
    <n v="0"/>
    <n v="0"/>
    <n v="0.84299999999999997"/>
    <n v="0.84299999999999997"/>
    <n v="0.84299999999999997"/>
    <n v="0.84299999999999997"/>
    <n v="0"/>
    <x v="2"/>
    <n v="0"/>
    <n v="0"/>
    <n v="47"/>
    <n v="64"/>
    <n v="0"/>
    <n v="236.61"/>
    <n v="222.31"/>
    <m/>
    <n v="294.24516015584999"/>
    <n v="236.64237028527376"/>
    <n v="0"/>
    <n v="199.46223000000001"/>
    <n v="187.40733"/>
    <n v="0"/>
    <n v="248.04867001138152"/>
    <n v="199.48951815048576"/>
  </r>
  <r>
    <s v="Regular"/>
    <x v="2"/>
    <x v="4"/>
    <x v="7"/>
    <x v="3"/>
    <x v="2"/>
    <x v="0"/>
    <x v="1"/>
    <x v="5"/>
    <n v="0"/>
    <n v="0"/>
    <n v="102.303"/>
    <n v="102.303"/>
    <n v="102.303"/>
    <n v="102.303"/>
    <n v="0"/>
    <x v="2"/>
    <n v="0"/>
    <n v="0"/>
    <n v="47"/>
    <n v="64"/>
    <n v="0"/>
    <n v="236.61"/>
    <n v="222.31"/>
    <m/>
    <n v="294.24516015584999"/>
    <n v="236.64237028527376"/>
    <n v="0"/>
    <n v="24205.912830000001"/>
    <n v="22742.979930000001"/>
    <n v="0"/>
    <n v="30102.162619423922"/>
    <n v="24209.224407294361"/>
  </r>
  <r>
    <s v="Refaturamento - Regular"/>
    <x v="2"/>
    <x v="4"/>
    <x v="7"/>
    <x v="3"/>
    <x v="2"/>
    <x v="0"/>
    <x v="1"/>
    <x v="5"/>
    <n v="0"/>
    <n v="0"/>
    <n v="-0.33100000000000002"/>
    <n v="-0.33100000000000002"/>
    <n v="-0.33100000000000002"/>
    <n v="-0.33100000000000002"/>
    <n v="0"/>
    <x v="2"/>
    <n v="0"/>
    <n v="0"/>
    <n v="47"/>
    <n v="64"/>
    <n v="0"/>
    <n v="236.61"/>
    <n v="222.31"/>
    <m/>
    <n v="294.24516015584999"/>
    <n v="236.64237028527376"/>
    <n v="0"/>
    <n v="-78.317910000000012"/>
    <n v="-73.584609999999998"/>
    <n v="0"/>
    <n v="-97.395148011586357"/>
    <n v="-78.328624564425624"/>
  </r>
  <r>
    <s v="Sistema de Compensação"/>
    <x v="2"/>
    <x v="4"/>
    <x v="7"/>
    <x v="3"/>
    <x v="2"/>
    <x v="0"/>
    <x v="1"/>
    <x v="5"/>
    <n v="0"/>
    <n v="0"/>
    <n v="0.80800000000000005"/>
    <n v="0.80800000000000005"/>
    <n v="0.80800000000000005"/>
    <n v="0.80800000000000005"/>
    <n v="0"/>
    <x v="2"/>
    <n v="0"/>
    <n v="0"/>
    <n v="47"/>
    <n v="64"/>
    <n v="0"/>
    <n v="236.61"/>
    <n v="222.31"/>
    <m/>
    <n v="294.24516015584999"/>
    <n v="236.64237028527376"/>
    <n v="0"/>
    <n v="191.18088000000003"/>
    <n v="179.62648000000002"/>
    <n v="0"/>
    <n v="237.75008940592681"/>
    <n v="191.20703519050122"/>
  </r>
  <r>
    <s v="Regular"/>
    <x v="2"/>
    <x v="4"/>
    <x v="7"/>
    <x v="3"/>
    <x v="2"/>
    <x v="0"/>
    <x v="1"/>
    <x v="6"/>
    <n v="0"/>
    <n v="0"/>
    <n v="210.53399999999999"/>
    <n v="210.53399999999999"/>
    <n v="210.53399999999999"/>
    <n v="210.53399999999999"/>
    <n v="0"/>
    <x v="2"/>
    <n v="0"/>
    <n v="0"/>
    <n v="47"/>
    <n v="64"/>
    <n v="0"/>
    <n v="236.61"/>
    <n v="222.31"/>
    <m/>
    <n v="294.24516015584999"/>
    <n v="236.64237028527376"/>
    <n v="0"/>
    <n v="49814.449740000004"/>
    <n v="46803.813539999996"/>
    <n v="0"/>
    <n v="61948.610548251716"/>
    <n v="49821.264785639825"/>
  </r>
  <r>
    <s v="Sistema de Compensação"/>
    <x v="2"/>
    <x v="4"/>
    <x v="7"/>
    <x v="3"/>
    <x v="2"/>
    <x v="0"/>
    <x v="1"/>
    <x v="6"/>
    <n v="0"/>
    <n v="0"/>
    <n v="1.4079999999999999"/>
    <n v="1.4079999999999999"/>
    <n v="1.4079999999999999"/>
    <n v="1.4079999999999999"/>
    <n v="0"/>
    <x v="2"/>
    <n v="0"/>
    <n v="0"/>
    <n v="47"/>
    <n v="64"/>
    <n v="0"/>
    <n v="236.61"/>
    <n v="222.31"/>
    <m/>
    <n v="294.24516015584999"/>
    <n v="236.64237028527376"/>
    <n v="0"/>
    <n v="333.14688000000001"/>
    <n v="313.01247999999998"/>
    <n v="0"/>
    <n v="414.29718549943675"/>
    <n v="333.19245736166545"/>
  </r>
  <r>
    <s v="Regular"/>
    <x v="2"/>
    <x v="4"/>
    <x v="7"/>
    <x v="3"/>
    <x v="2"/>
    <x v="0"/>
    <x v="1"/>
    <x v="7"/>
    <n v="0"/>
    <n v="0"/>
    <n v="113.337"/>
    <n v="113.337"/>
    <n v="113.337"/>
    <n v="113.337"/>
    <n v="0"/>
    <x v="2"/>
    <n v="0"/>
    <n v="0"/>
    <n v="47"/>
    <n v="64"/>
    <n v="0"/>
    <n v="236.61"/>
    <n v="222.31"/>
    <m/>
    <n v="294.24516015584999"/>
    <n v="236.64237028527376"/>
    <n v="0"/>
    <n v="26816.667570000001"/>
    <n v="25195.948469999999"/>
    <n v="0"/>
    <n v="33348.863716583568"/>
    <n v="26820.336321022074"/>
  </r>
  <r>
    <s v="Refaturamento - Regular"/>
    <x v="2"/>
    <x v="4"/>
    <x v="7"/>
    <x v="3"/>
    <x v="2"/>
    <x v="0"/>
    <x v="1"/>
    <x v="7"/>
    <n v="0"/>
    <n v="0"/>
    <n v="-98.995000000000005"/>
    <n v="-98.995000000000005"/>
    <n v="-98.995000000000005"/>
    <n v="-98.995000000000005"/>
    <n v="0"/>
    <x v="2"/>
    <n v="0"/>
    <n v="0"/>
    <n v="47"/>
    <n v="64"/>
    <n v="0"/>
    <n v="236.61"/>
    <n v="222.31"/>
    <m/>
    <n v="294.24516015584999"/>
    <n v="236.64237028527376"/>
    <n v="0"/>
    <n v="-23423.206950000003"/>
    <n v="-22007.578450000001"/>
    <n v="0"/>
    <n v="-29128.799629628371"/>
    <n v="-23426.411446390677"/>
  </r>
  <r>
    <s v="Sistema de Compensação"/>
    <x v="2"/>
    <x v="4"/>
    <x v="7"/>
    <x v="3"/>
    <x v="2"/>
    <x v="0"/>
    <x v="1"/>
    <x v="7"/>
    <n v="0"/>
    <n v="0"/>
    <n v="2.802"/>
    <n v="2.802"/>
    <n v="2.802"/>
    <n v="2.802"/>
    <n v="0"/>
    <x v="2"/>
    <n v="0"/>
    <n v="0"/>
    <n v="47"/>
    <n v="64"/>
    <n v="0"/>
    <n v="236.61"/>
    <n v="222.31"/>
    <m/>
    <n v="294.24516015584999"/>
    <n v="236.64237028527376"/>
    <n v="0"/>
    <n v="662.98122000000001"/>
    <n v="622.91262000000006"/>
    <n v="0"/>
    <n v="824.4749387566917"/>
    <n v="663.07192153933704"/>
  </r>
  <r>
    <s v="Regular"/>
    <x v="2"/>
    <x v="4"/>
    <x v="7"/>
    <x v="3"/>
    <x v="2"/>
    <x v="0"/>
    <x v="1"/>
    <x v="8"/>
    <n v="0"/>
    <n v="0"/>
    <n v="118.518"/>
    <n v="118.518"/>
    <n v="118.518"/>
    <n v="118.518"/>
    <n v="0"/>
    <x v="2"/>
    <n v="0"/>
    <n v="0"/>
    <n v="47"/>
    <n v="64"/>
    <n v="0"/>
    <n v="236.61"/>
    <n v="222.31"/>
    <m/>
    <n v="294.24516015584999"/>
    <n v="236.64237028527376"/>
    <n v="0"/>
    <n v="28042.543980000002"/>
    <n v="26347.736580000001"/>
    <n v="0"/>
    <n v="34873.347891351026"/>
    <n v="28046.380441470075"/>
  </r>
  <r>
    <s v="Refaturamento - Regular"/>
    <x v="2"/>
    <x v="4"/>
    <x v="7"/>
    <x v="3"/>
    <x v="2"/>
    <x v="0"/>
    <x v="1"/>
    <x v="8"/>
    <n v="0"/>
    <n v="0"/>
    <n v="0.52900000000000003"/>
    <n v="0.52900000000000003"/>
    <n v="0.52900000000000003"/>
    <n v="0.52900000000000003"/>
    <n v="0"/>
    <x v="2"/>
    <n v="0"/>
    <n v="0"/>
    <n v="47"/>
    <n v="64"/>
    <n v="0"/>
    <n v="236.61"/>
    <n v="222.31"/>
    <m/>
    <n v="294.24516015584999"/>
    <n v="236.64237028527376"/>
    <n v="0"/>
    <n v="125.16669000000002"/>
    <n v="117.60199"/>
    <n v="0"/>
    <n v="155.65568972244466"/>
    <n v="125.18381388090982"/>
  </r>
  <r>
    <s v="Sistema de Compensação"/>
    <x v="2"/>
    <x v="4"/>
    <x v="7"/>
    <x v="3"/>
    <x v="2"/>
    <x v="0"/>
    <x v="1"/>
    <x v="8"/>
    <n v="0"/>
    <n v="0"/>
    <n v="2.5430000000000001"/>
    <n v="2.5430000000000001"/>
    <n v="2.5430000000000001"/>
    <n v="2.5430000000000001"/>
    <n v="0"/>
    <x v="2"/>
    <n v="0"/>
    <n v="0"/>
    <n v="47"/>
    <n v="64"/>
    <n v="0"/>
    <n v="236.61"/>
    <n v="222.31"/>
    <m/>
    <n v="294.24516015584999"/>
    <n v="236.64237028527376"/>
    <n v="0"/>
    <n v="601.69923000000006"/>
    <n v="565.33433000000002"/>
    <n v="0"/>
    <n v="748.26544227632655"/>
    <n v="601.78154763545115"/>
  </r>
  <r>
    <s v="Regular"/>
    <x v="2"/>
    <x v="4"/>
    <x v="7"/>
    <x v="3"/>
    <x v="2"/>
    <x v="0"/>
    <x v="1"/>
    <x v="9"/>
    <n v="0"/>
    <n v="0"/>
    <n v="120.30800000000001"/>
    <n v="120.30800000000001"/>
    <n v="120.30800000000001"/>
    <n v="120.30800000000001"/>
    <n v="0"/>
    <x v="2"/>
    <n v="0"/>
    <n v="0"/>
    <n v="47"/>
    <n v="64"/>
    <n v="0"/>
    <n v="236.61"/>
    <n v="222.31"/>
    <m/>
    <n v="294.24516015584999"/>
    <n v="236.64237028527376"/>
    <n v="0"/>
    <n v="28466.075880000004"/>
    <n v="26745.671480000001"/>
    <n v="0"/>
    <n v="35400.04672803"/>
    <n v="28469.970284280716"/>
  </r>
  <r>
    <s v="Sistema de Compensação"/>
    <x v="2"/>
    <x v="4"/>
    <x v="7"/>
    <x v="3"/>
    <x v="2"/>
    <x v="0"/>
    <x v="1"/>
    <x v="9"/>
    <n v="0"/>
    <n v="0"/>
    <n v="1.855"/>
    <n v="1.855"/>
    <n v="1.855"/>
    <n v="1.855"/>
    <n v="0"/>
    <x v="2"/>
    <n v="0"/>
    <n v="0"/>
    <n v="47"/>
    <n v="64"/>
    <n v="0"/>
    <n v="236.61"/>
    <n v="222.31"/>
    <m/>
    <n v="294.24516015584999"/>
    <n v="236.64237028527376"/>
    <n v="0"/>
    <n v="438.91155000000003"/>
    <n v="412.38504999999998"/>
    <n v="0"/>
    <n v="545.82477208910177"/>
    <n v="438.97159687918281"/>
  </r>
  <r>
    <s v="Regular"/>
    <x v="2"/>
    <x v="4"/>
    <x v="7"/>
    <x v="3"/>
    <x v="2"/>
    <x v="0"/>
    <x v="1"/>
    <x v="10"/>
    <n v="0"/>
    <n v="0"/>
    <n v="125.955"/>
    <n v="125.955"/>
    <n v="125.955"/>
    <n v="125.955"/>
    <n v="0"/>
    <x v="2"/>
    <n v="0"/>
    <n v="0"/>
    <n v="47"/>
    <n v="64"/>
    <n v="0"/>
    <n v="236.61"/>
    <n v="222.31"/>
    <m/>
    <n v="294.24516015584999"/>
    <n v="236.64237028527376"/>
    <n v="0"/>
    <n v="29802.21255"/>
    <n v="28001.056049999999"/>
    <n v="0"/>
    <n v="37061.649147430086"/>
    <n v="29806.289749281656"/>
  </r>
  <r>
    <s v="Sistema de Compensação"/>
    <x v="2"/>
    <x v="4"/>
    <x v="7"/>
    <x v="3"/>
    <x v="2"/>
    <x v="0"/>
    <x v="1"/>
    <x v="10"/>
    <n v="0"/>
    <n v="0"/>
    <n v="0.83699999999999997"/>
    <n v="0.83699999999999997"/>
    <n v="0.83699999999999997"/>
    <n v="0.83699999999999997"/>
    <n v="0"/>
    <x v="2"/>
    <n v="0"/>
    <n v="0"/>
    <n v="47"/>
    <n v="64"/>
    <n v="0"/>
    <n v="236.61"/>
    <n v="222.31"/>
    <m/>
    <n v="294.24516015584999"/>
    <n v="236.64237028527376"/>
    <n v="0"/>
    <n v="198.04257000000001"/>
    <n v="186.07346999999999"/>
    <n v="0"/>
    <n v="246.28319905044643"/>
    <n v="198.06966392877413"/>
  </r>
  <r>
    <s v="Sistema de Compensação"/>
    <x v="2"/>
    <x v="4"/>
    <x v="7"/>
    <x v="3"/>
    <x v="2"/>
    <x v="0"/>
    <x v="1"/>
    <x v="10"/>
    <n v="0"/>
    <n v="0"/>
    <n v="-1.506"/>
    <n v="-1.506"/>
    <n v="-1.506"/>
    <n v="-1.506"/>
    <n v="0"/>
    <x v="2"/>
    <n v="0"/>
    <n v="0"/>
    <n v="47"/>
    <n v="64"/>
    <n v="0"/>
    <n v="236.61"/>
    <n v="222.31"/>
    <m/>
    <n v="294.24516015584999"/>
    <n v="236.64237028527376"/>
    <n v="0"/>
    <n v="-356.33466000000004"/>
    <n v="-334.79885999999999"/>
    <n v="0"/>
    <n v="-443.1332111947101"/>
    <n v="-356.38340964962225"/>
  </r>
  <r>
    <s v="PROJETADO"/>
    <x v="2"/>
    <x v="4"/>
    <x v="7"/>
    <x v="3"/>
    <x v="2"/>
    <x v="0"/>
    <x v="1"/>
    <x v="11"/>
    <n v="0"/>
    <n v="0"/>
    <n v="125.955"/>
    <n v="125.955"/>
    <n v="125.955"/>
    <n v="125.955"/>
    <n v="0"/>
    <x v="2"/>
    <n v="0"/>
    <n v="0"/>
    <n v="47"/>
    <n v="64"/>
    <n v="0"/>
    <n v="236.61"/>
    <n v="222.31"/>
    <m/>
    <n v="294.24516015584999"/>
    <n v="236.64237028527376"/>
    <n v="0"/>
    <n v="29802.21255"/>
    <n v="28001.056049999999"/>
    <n v="0"/>
    <n v="37061.649147430086"/>
    <n v="29806.289749281656"/>
  </r>
  <r>
    <s v="PROJETADO"/>
    <x v="2"/>
    <x v="4"/>
    <x v="7"/>
    <x v="3"/>
    <x v="2"/>
    <x v="0"/>
    <x v="1"/>
    <x v="11"/>
    <n v="0"/>
    <n v="0"/>
    <n v="0.83699999999999997"/>
    <n v="0.83699999999999997"/>
    <n v="0.83699999999999997"/>
    <n v="0.83699999999999997"/>
    <n v="0"/>
    <x v="2"/>
    <n v="0"/>
    <n v="0"/>
    <n v="47"/>
    <n v="64"/>
    <n v="0"/>
    <n v="236.61"/>
    <n v="222.31"/>
    <m/>
    <n v="294.24516015584999"/>
    <n v="236.64237028527376"/>
    <n v="0"/>
    <n v="198.04257000000001"/>
    <n v="186.07346999999999"/>
    <n v="0"/>
    <n v="246.28319905044643"/>
    <n v="198.06966392877413"/>
  </r>
  <r>
    <s v="PROJETADO"/>
    <x v="2"/>
    <x v="4"/>
    <x v="7"/>
    <x v="3"/>
    <x v="2"/>
    <x v="0"/>
    <x v="1"/>
    <x v="11"/>
    <n v="0"/>
    <n v="0"/>
    <n v="-1.506"/>
    <n v="-1.506"/>
    <n v="-1.506"/>
    <n v="-1.506"/>
    <n v="0"/>
    <x v="2"/>
    <n v="0"/>
    <n v="0"/>
    <n v="47"/>
    <n v="64"/>
    <n v="0"/>
    <n v="236.61"/>
    <n v="222.31"/>
    <m/>
    <n v="294.24516015584999"/>
    <n v="236.64237028527376"/>
    <n v="0"/>
    <n v="-356.33466000000004"/>
    <n v="-334.79885999999999"/>
    <n v="0"/>
    <n v="-443.1332111947101"/>
    <n v="-356.38340964962225"/>
  </r>
  <r>
    <s v="Regular"/>
    <x v="2"/>
    <x v="4"/>
    <x v="7"/>
    <x v="3"/>
    <x v="2"/>
    <x v="0"/>
    <x v="3"/>
    <x v="0"/>
    <n v="0"/>
    <n v="0"/>
    <n v="6.7119999999999997"/>
    <n v="6.7119999999999997"/>
    <n v="6.7119999999999997"/>
    <n v="6.7119999999999997"/>
    <n v="0"/>
    <x v="2"/>
    <n v="0"/>
    <n v="0"/>
    <n v="25"/>
    <n v="63"/>
    <n v="0"/>
    <n v="565.36"/>
    <n v="222.31"/>
    <m/>
    <n v="698.29045569083348"/>
    <n v="236.64237028527376"/>
    <n v="0"/>
    <n v="3794.69632"/>
    <n v="1492.14472"/>
    <n v="0"/>
    <n v="4686.9255385968745"/>
    <n v="1588.3435893547573"/>
  </r>
  <r>
    <s v="Sistema de Compensação"/>
    <x v="2"/>
    <x v="4"/>
    <x v="7"/>
    <x v="3"/>
    <x v="2"/>
    <x v="0"/>
    <x v="3"/>
    <x v="0"/>
    <n v="0"/>
    <n v="0"/>
    <n v="0.13200000000000001"/>
    <n v="0.13200000000000001"/>
    <n v="0.13200000000000001"/>
    <n v="0.13200000000000001"/>
    <n v="0"/>
    <x v="2"/>
    <n v="0"/>
    <n v="0"/>
    <n v="25"/>
    <n v="63"/>
    <n v="0"/>
    <n v="565.36"/>
    <n v="222.31"/>
    <m/>
    <n v="698.29045569083348"/>
    <n v="236.64237028527376"/>
    <n v="0"/>
    <n v="74.627520000000004"/>
    <n v="29.344920000000002"/>
    <n v="0"/>
    <n v="92.174340151190023"/>
    <n v="31.236792877656136"/>
  </r>
  <r>
    <s v="Regular"/>
    <x v="2"/>
    <x v="4"/>
    <x v="7"/>
    <x v="3"/>
    <x v="2"/>
    <x v="0"/>
    <x v="3"/>
    <x v="1"/>
    <n v="0"/>
    <n v="0"/>
    <n v="6.2249999999999996"/>
    <n v="6.2249999999999996"/>
    <n v="6.2249999999999996"/>
    <n v="6.2249999999999996"/>
    <n v="0"/>
    <x v="2"/>
    <n v="0"/>
    <n v="0"/>
    <n v="25"/>
    <n v="63"/>
    <n v="0"/>
    <n v="565.36"/>
    <n v="222.31"/>
    <m/>
    <n v="698.29045569083348"/>
    <n v="236.64237028527376"/>
    <n v="0"/>
    <n v="3519.366"/>
    <n v="1383.8797499999998"/>
    <n v="0"/>
    <n v="4346.8580866754382"/>
    <n v="1473.098755025829"/>
  </r>
  <r>
    <s v="Sistema de Compensação"/>
    <x v="2"/>
    <x v="4"/>
    <x v="7"/>
    <x v="3"/>
    <x v="2"/>
    <x v="0"/>
    <x v="3"/>
    <x v="1"/>
    <n v="0"/>
    <n v="0"/>
    <n v="4.8000000000000001E-2"/>
    <n v="4.8000000000000001E-2"/>
    <n v="4.8000000000000001E-2"/>
    <n v="4.8000000000000001E-2"/>
    <n v="0"/>
    <x v="2"/>
    <n v="0"/>
    <n v="0"/>
    <n v="25"/>
    <n v="63"/>
    <n v="0"/>
    <n v="565.36"/>
    <n v="222.31"/>
    <m/>
    <n v="698.29045569083348"/>
    <n v="236.64237028527376"/>
    <n v="0"/>
    <n v="27.137280000000001"/>
    <n v="10.67088"/>
    <n v="0"/>
    <n v="33.517941873160005"/>
    <n v="11.35883377369314"/>
  </r>
  <r>
    <s v="Regular"/>
    <x v="2"/>
    <x v="4"/>
    <x v="7"/>
    <x v="3"/>
    <x v="2"/>
    <x v="0"/>
    <x v="3"/>
    <x v="2"/>
    <n v="0"/>
    <n v="0"/>
    <n v="6.5419999999999998"/>
    <n v="6.5419999999999998"/>
    <n v="6.5419999999999998"/>
    <n v="6.5419999999999998"/>
    <n v="0"/>
    <x v="2"/>
    <n v="0"/>
    <n v="0"/>
    <n v="25"/>
    <n v="63"/>
    <n v="0"/>
    <n v="565.36"/>
    <n v="222.31"/>
    <m/>
    <n v="698.29045569083348"/>
    <n v="236.64237028527376"/>
    <n v="0"/>
    <n v="3698.5851200000002"/>
    <n v="1454.35202"/>
    <n v="0"/>
    <n v="4568.2161611294323"/>
    <n v="1548.1143864062608"/>
  </r>
  <r>
    <s v="Sistema de Compensação"/>
    <x v="2"/>
    <x v="4"/>
    <x v="7"/>
    <x v="3"/>
    <x v="2"/>
    <x v="0"/>
    <x v="3"/>
    <x v="2"/>
    <n v="0"/>
    <n v="0"/>
    <n v="6.3E-2"/>
    <n v="6.3E-2"/>
    <n v="6.3E-2"/>
    <n v="6.3E-2"/>
    <n v="0"/>
    <x v="2"/>
    <n v="0"/>
    <n v="0"/>
    <n v="25"/>
    <n v="63"/>
    <n v="0"/>
    <n v="565.36"/>
    <n v="222.31"/>
    <m/>
    <n v="698.29045569083348"/>
    <n v="236.64237028527376"/>
    <n v="0"/>
    <n v="35.61768"/>
    <n v="14.00553"/>
    <n v="0"/>
    <n v="43.992298708522512"/>
    <n v="14.908469327972247"/>
  </r>
  <r>
    <s v="Regular"/>
    <x v="2"/>
    <x v="4"/>
    <x v="7"/>
    <x v="3"/>
    <x v="2"/>
    <x v="0"/>
    <x v="3"/>
    <x v="3"/>
    <n v="0"/>
    <n v="0"/>
    <n v="5.8940000000000001"/>
    <n v="5.8940000000000001"/>
    <n v="5.8940000000000001"/>
    <n v="5.8940000000000001"/>
    <n v="0"/>
    <x v="2"/>
    <n v="0"/>
    <n v="0"/>
    <n v="25"/>
    <n v="63"/>
    <n v="0"/>
    <n v="565.36"/>
    <n v="222.31"/>
    <m/>
    <n v="698.29045569083348"/>
    <n v="236.64237028527376"/>
    <n v="0"/>
    <n v="3332.2318400000004"/>
    <n v="1310.2951399999999"/>
    <n v="0"/>
    <n v="4115.7239458417725"/>
    <n v="1394.7701304614036"/>
  </r>
  <r>
    <s v="Sistema de Compensação"/>
    <x v="2"/>
    <x v="4"/>
    <x v="7"/>
    <x v="3"/>
    <x v="2"/>
    <x v="0"/>
    <x v="3"/>
    <x v="3"/>
    <n v="0"/>
    <n v="0"/>
    <n v="4.7E-2"/>
    <n v="4.7E-2"/>
    <n v="4.7E-2"/>
    <n v="4.7E-2"/>
    <n v="0"/>
    <x v="2"/>
    <n v="0"/>
    <n v="0"/>
    <n v="25"/>
    <n v="63"/>
    <n v="0"/>
    <n v="565.36"/>
    <n v="222.31"/>
    <m/>
    <n v="698.29045569083348"/>
    <n v="236.64237028527376"/>
    <n v="0"/>
    <n v="26.571920000000002"/>
    <n v="10.44857"/>
    <n v="0"/>
    <n v="32.819651417469174"/>
    <n v="11.122191403407866"/>
  </r>
  <r>
    <s v="Regular"/>
    <x v="2"/>
    <x v="4"/>
    <x v="7"/>
    <x v="3"/>
    <x v="2"/>
    <x v="0"/>
    <x v="3"/>
    <x v="4"/>
    <n v="0"/>
    <n v="0"/>
    <n v="5.8639999999999999"/>
    <n v="5.8639999999999999"/>
    <n v="5.8639999999999999"/>
    <n v="5.8639999999999999"/>
    <n v="0"/>
    <x v="2"/>
    <n v="0"/>
    <n v="0"/>
    <n v="25"/>
    <n v="63"/>
    <n v="0"/>
    <n v="565.36"/>
    <n v="222.31"/>
    <m/>
    <n v="698.29045569083348"/>
    <n v="236.64237028527376"/>
    <n v="0"/>
    <n v="3315.2710400000001"/>
    <n v="1303.6258399999999"/>
    <n v="0"/>
    <n v="4094.7752321710473"/>
    <n v="1387.6708593528454"/>
  </r>
  <r>
    <s v="Sistema de Compensação"/>
    <x v="2"/>
    <x v="4"/>
    <x v="7"/>
    <x v="3"/>
    <x v="2"/>
    <x v="0"/>
    <x v="3"/>
    <x v="4"/>
    <n v="0"/>
    <n v="0"/>
    <n v="4.3999999999999997E-2"/>
    <n v="4.3999999999999997E-2"/>
    <n v="4.3999999999999997E-2"/>
    <n v="4.3999999999999997E-2"/>
    <n v="0"/>
    <x v="2"/>
    <n v="0"/>
    <n v="0"/>
    <n v="25"/>
    <n v="63"/>
    <n v="0"/>
    <n v="565.36"/>
    <n v="222.31"/>
    <m/>
    <n v="698.29045569083348"/>
    <n v="236.64237028527376"/>
    <n v="0"/>
    <n v="24.87584"/>
    <n v="9.7816399999999994"/>
    <n v="0"/>
    <n v="30.724780050396671"/>
    <n v="10.412264292552045"/>
  </r>
  <r>
    <s v="Regular"/>
    <x v="2"/>
    <x v="4"/>
    <x v="7"/>
    <x v="3"/>
    <x v="2"/>
    <x v="0"/>
    <x v="3"/>
    <x v="5"/>
    <n v="0"/>
    <n v="0"/>
    <n v="5.6269999999999998"/>
    <n v="5.6269999999999998"/>
    <n v="5.6269999999999998"/>
    <n v="5.6269999999999998"/>
    <n v="0"/>
    <x v="2"/>
    <n v="0"/>
    <n v="0"/>
    <n v="25"/>
    <n v="63"/>
    <n v="0"/>
    <n v="565.36"/>
    <n v="222.31"/>
    <m/>
    <n v="698.29045569083348"/>
    <n v="236.64237028527376"/>
    <n v="0"/>
    <n v="3181.2807199999997"/>
    <n v="1250.9383700000001"/>
    <n v="0"/>
    <n v="3929.28039417232"/>
    <n v="1331.5866175952353"/>
  </r>
  <r>
    <s v="Refaturamento - Regular"/>
    <x v="2"/>
    <x v="4"/>
    <x v="7"/>
    <x v="3"/>
    <x v="2"/>
    <x v="0"/>
    <x v="3"/>
    <x v="5"/>
    <n v="0"/>
    <n v="0"/>
    <n v="-2.3E-2"/>
    <n v="-2.3E-2"/>
    <n v="-2.3E-2"/>
    <n v="-2.3E-2"/>
    <n v="0"/>
    <x v="2"/>
    <n v="0"/>
    <n v="0"/>
    <n v="25"/>
    <n v="63"/>
    <n v="0"/>
    <n v="565.36"/>
    <n v="222.31"/>
    <m/>
    <n v="698.29045569083348"/>
    <n v="236.64237028527376"/>
    <n v="0"/>
    <n v="-13.00328"/>
    <n v="-5.11313"/>
    <n v="0"/>
    <n v="-16.060680480889168"/>
    <n v="-5.442774516561296"/>
  </r>
  <r>
    <s v="Sistema de Compensação"/>
    <x v="2"/>
    <x v="4"/>
    <x v="7"/>
    <x v="3"/>
    <x v="2"/>
    <x v="0"/>
    <x v="3"/>
    <x v="5"/>
    <n v="0"/>
    <n v="0"/>
    <n v="5.0999999999999997E-2"/>
    <n v="5.0999999999999997E-2"/>
    <n v="5.0999999999999997E-2"/>
    <n v="5.0999999999999997E-2"/>
    <n v="0"/>
    <x v="2"/>
    <n v="0"/>
    <n v="0"/>
    <n v="25"/>
    <n v="63"/>
    <n v="0"/>
    <n v="565.36"/>
    <n v="222.31"/>
    <m/>
    <n v="698.29045569083348"/>
    <n v="236.64237028527376"/>
    <n v="0"/>
    <n v="28.833359999999999"/>
    <n v="11.337809999999999"/>
    <n v="0"/>
    <n v="35.612813240232505"/>
    <n v="12.068760884548961"/>
  </r>
  <r>
    <s v="Regular"/>
    <x v="2"/>
    <x v="4"/>
    <x v="7"/>
    <x v="3"/>
    <x v="2"/>
    <x v="0"/>
    <x v="3"/>
    <x v="6"/>
    <n v="0"/>
    <n v="0"/>
    <n v="6.2569999999999997"/>
    <n v="6.2569999999999997"/>
    <n v="6.2569999999999997"/>
    <n v="6.2569999999999997"/>
    <n v="0"/>
    <x v="2"/>
    <n v="0"/>
    <n v="0"/>
    <n v="25"/>
    <n v="63"/>
    <n v="0"/>
    <n v="565.36"/>
    <n v="222.31"/>
    <m/>
    <n v="698.29045569083348"/>
    <n v="236.64237028527376"/>
    <n v="0"/>
    <n v="3537.4575199999999"/>
    <n v="1390.9936699999998"/>
    <n v="0"/>
    <n v="4369.2033812575446"/>
    <n v="1480.6713108749577"/>
  </r>
  <r>
    <s v="Sistema de Compensação"/>
    <x v="2"/>
    <x v="4"/>
    <x v="7"/>
    <x v="3"/>
    <x v="2"/>
    <x v="0"/>
    <x v="3"/>
    <x v="6"/>
    <n v="0"/>
    <n v="0"/>
    <n v="8.5000000000000006E-2"/>
    <n v="8.5000000000000006E-2"/>
    <n v="8.5000000000000006E-2"/>
    <n v="8.5000000000000006E-2"/>
    <n v="0"/>
    <x v="2"/>
    <n v="0"/>
    <n v="0"/>
    <n v="25"/>
    <n v="63"/>
    <n v="0"/>
    <n v="565.36"/>
    <n v="222.31"/>
    <m/>
    <n v="698.29045569083348"/>
    <n v="236.64237028527376"/>
    <n v="0"/>
    <n v="48.055600000000005"/>
    <n v="18.896350000000002"/>
    <n v="0"/>
    <n v="59.354688733720849"/>
    <n v="20.114601474248271"/>
  </r>
  <r>
    <s v="Regular"/>
    <x v="2"/>
    <x v="4"/>
    <x v="7"/>
    <x v="3"/>
    <x v="2"/>
    <x v="0"/>
    <x v="3"/>
    <x v="7"/>
    <n v="0"/>
    <n v="0"/>
    <n v="5.7450000000000001"/>
    <n v="5.7450000000000001"/>
    <n v="5.7450000000000001"/>
    <n v="5.7450000000000001"/>
    <n v="0"/>
    <x v="2"/>
    <n v="0"/>
    <n v="0"/>
    <n v="25"/>
    <n v="63"/>
    <n v="0"/>
    <n v="565.36"/>
    <n v="222.31"/>
    <m/>
    <n v="698.29045569083348"/>
    <n v="236.64237028527376"/>
    <n v="0"/>
    <n v="3247.9932000000003"/>
    <n v="1277.1709499999999"/>
    <n v="0"/>
    <n v="4011.6786679438383"/>
    <n v="1359.5104172888978"/>
  </r>
  <r>
    <s v="Sistema de Compensação"/>
    <x v="2"/>
    <x v="4"/>
    <x v="7"/>
    <x v="3"/>
    <x v="2"/>
    <x v="0"/>
    <x v="3"/>
    <x v="7"/>
    <n v="0"/>
    <n v="0"/>
    <n v="0.156"/>
    <n v="0.156"/>
    <n v="0.156"/>
    <n v="0.156"/>
    <n v="0"/>
    <x v="2"/>
    <n v="0"/>
    <n v="0"/>
    <n v="25"/>
    <n v="63"/>
    <n v="0"/>
    <n v="565.36"/>
    <n v="222.31"/>
    <m/>
    <n v="698.29045569083348"/>
    <n v="236.64237028527376"/>
    <n v="0"/>
    <n v="88.196160000000006"/>
    <n v="34.68036"/>
    <n v="0"/>
    <n v="108.93331108777002"/>
    <n v="36.916209764502703"/>
  </r>
  <r>
    <s v="Regular"/>
    <x v="2"/>
    <x v="4"/>
    <x v="7"/>
    <x v="3"/>
    <x v="2"/>
    <x v="0"/>
    <x v="3"/>
    <x v="8"/>
    <n v="0"/>
    <n v="0"/>
    <n v="6.2869999999999999"/>
    <n v="6.2869999999999999"/>
    <n v="6.2869999999999999"/>
    <n v="6.2869999999999999"/>
    <n v="0"/>
    <x v="2"/>
    <n v="0"/>
    <n v="0"/>
    <n v="25"/>
    <n v="63"/>
    <n v="0"/>
    <n v="565.36"/>
    <n v="222.31"/>
    <m/>
    <n v="698.29045569083348"/>
    <n v="236.64237028527376"/>
    <n v="0"/>
    <n v="3554.4183200000002"/>
    <n v="1397.6629700000001"/>
    <n v="0"/>
    <n v="4390.1520949282703"/>
    <n v="1487.7705819835162"/>
  </r>
  <r>
    <s v="Refaturamento - Regular"/>
    <x v="2"/>
    <x v="4"/>
    <x v="7"/>
    <x v="3"/>
    <x v="2"/>
    <x v="0"/>
    <x v="3"/>
    <x v="8"/>
    <n v="0"/>
    <n v="0"/>
    <n v="1E-3"/>
    <n v="1E-3"/>
    <n v="1E-3"/>
    <n v="1E-3"/>
    <n v="0"/>
    <x v="2"/>
    <n v="0"/>
    <n v="0"/>
    <n v="25"/>
    <n v="63"/>
    <n v="0"/>
    <n v="565.36"/>
    <n v="222.31"/>
    <m/>
    <n v="698.29045569083348"/>
    <n v="236.64237028527376"/>
    <n v="0"/>
    <n v="0.56535999999999997"/>
    <n v="0.22231000000000001"/>
    <n v="0"/>
    <n v="0.69829045569083348"/>
    <n v="0.23664237028527377"/>
  </r>
  <r>
    <s v="Sistema de Compensação"/>
    <x v="2"/>
    <x v="4"/>
    <x v="7"/>
    <x v="3"/>
    <x v="2"/>
    <x v="0"/>
    <x v="3"/>
    <x v="8"/>
    <n v="0"/>
    <n v="0"/>
    <n v="0.16400000000000001"/>
    <n v="0.16400000000000001"/>
    <n v="0.16400000000000001"/>
    <n v="0.16400000000000001"/>
    <n v="0"/>
    <x v="2"/>
    <n v="0"/>
    <n v="0"/>
    <n v="25"/>
    <n v="63"/>
    <n v="0"/>
    <n v="565.36"/>
    <n v="222.31"/>
    <m/>
    <n v="698.29045569083348"/>
    <n v="236.64237028527376"/>
    <n v="0"/>
    <n v="92.719040000000007"/>
    <n v="36.458840000000002"/>
    <n v="0"/>
    <n v="114.5196347332967"/>
    <n v="38.809348726784897"/>
  </r>
  <r>
    <s v="Regular"/>
    <x v="2"/>
    <x v="4"/>
    <x v="7"/>
    <x v="3"/>
    <x v="2"/>
    <x v="0"/>
    <x v="3"/>
    <x v="9"/>
    <n v="0"/>
    <n v="0"/>
    <n v="6.6689999999999996"/>
    <n v="6.6689999999999996"/>
    <n v="6.6689999999999996"/>
    <n v="6.6689999999999996"/>
    <n v="0"/>
    <x v="2"/>
    <n v="0"/>
    <n v="0"/>
    <n v="25"/>
    <n v="63"/>
    <n v="0"/>
    <n v="565.36"/>
    <n v="222.31"/>
    <m/>
    <n v="698.29045569083348"/>
    <n v="236.64237028527376"/>
    <n v="0"/>
    <n v="3770.3858399999999"/>
    <n v="1482.58539"/>
    <n v="0"/>
    <n v="4656.8990490021679"/>
    <n v="1578.1679674324905"/>
  </r>
  <r>
    <s v="Sistema de Compensação"/>
    <x v="2"/>
    <x v="4"/>
    <x v="7"/>
    <x v="3"/>
    <x v="2"/>
    <x v="0"/>
    <x v="3"/>
    <x v="9"/>
    <n v="0"/>
    <n v="0"/>
    <n v="0.17"/>
    <n v="0.17"/>
    <n v="0.17"/>
    <n v="0.17"/>
    <n v="0"/>
    <x v="2"/>
    <n v="0"/>
    <n v="0"/>
    <n v="25"/>
    <n v="63"/>
    <n v="0"/>
    <n v="565.36"/>
    <n v="222.31"/>
    <m/>
    <n v="698.29045569083348"/>
    <n v="236.64237028527376"/>
    <n v="0"/>
    <n v="96.111200000000011"/>
    <n v="37.792700000000004"/>
    <n v="0"/>
    <n v="118.7093774674417"/>
    <n v="40.229202948496543"/>
  </r>
  <r>
    <s v="Regular"/>
    <x v="2"/>
    <x v="4"/>
    <x v="7"/>
    <x v="3"/>
    <x v="2"/>
    <x v="0"/>
    <x v="3"/>
    <x v="10"/>
    <n v="0"/>
    <n v="0"/>
    <n v="6.8369999999999997"/>
    <n v="6.8369999999999997"/>
    <n v="6.8369999999999997"/>
    <n v="6.8369999999999997"/>
    <n v="0"/>
    <x v="2"/>
    <n v="0"/>
    <n v="0"/>
    <n v="25"/>
    <n v="63"/>
    <n v="0"/>
    <n v="565.36"/>
    <n v="222.31"/>
    <m/>
    <n v="698.29045569083348"/>
    <n v="236.64237028527376"/>
    <n v="0"/>
    <n v="3865.3663200000001"/>
    <n v="1519.9334699999999"/>
    <n v="0"/>
    <n v="4774.2118455582286"/>
    <n v="1617.9238856404165"/>
  </r>
  <r>
    <s v="Refaturamento - Regular"/>
    <x v="2"/>
    <x v="4"/>
    <x v="7"/>
    <x v="3"/>
    <x v="2"/>
    <x v="0"/>
    <x v="3"/>
    <x v="10"/>
    <n v="0"/>
    <n v="0"/>
    <n v="-2.5000000000000001E-2"/>
    <n v="-2.5000000000000001E-2"/>
    <n v="-2.5000000000000001E-2"/>
    <n v="-2.5000000000000001E-2"/>
    <n v="0"/>
    <x v="2"/>
    <n v="0"/>
    <n v="0"/>
    <n v="25"/>
    <n v="63"/>
    <n v="0"/>
    <n v="565.36"/>
    <n v="222.31"/>
    <m/>
    <n v="698.29045569083348"/>
    <n v="236.64237028527376"/>
    <n v="0"/>
    <n v="-14.134"/>
    <n v="-5.5577500000000004"/>
    <n v="0"/>
    <n v="-17.457261392270837"/>
    <n v="-5.9160592571318444"/>
  </r>
  <r>
    <s v="Sistema de Compensação"/>
    <x v="2"/>
    <x v="4"/>
    <x v="7"/>
    <x v="3"/>
    <x v="2"/>
    <x v="0"/>
    <x v="3"/>
    <x v="10"/>
    <n v="0"/>
    <n v="0"/>
    <n v="7.6999999999999999E-2"/>
    <n v="7.6999999999999999E-2"/>
    <n v="7.6999999999999999E-2"/>
    <n v="7.6999999999999999E-2"/>
    <n v="0"/>
    <x v="2"/>
    <n v="0"/>
    <n v="0"/>
    <n v="25"/>
    <n v="63"/>
    <n v="0"/>
    <n v="565.36"/>
    <n v="222.31"/>
    <m/>
    <n v="698.29045569083348"/>
    <n v="236.64237028527376"/>
    <n v="0"/>
    <n v="43.532719999999998"/>
    <n v="17.11787"/>
    <n v="0"/>
    <n v="53.76836508819418"/>
    <n v="18.221462511966077"/>
  </r>
  <r>
    <s v="Sistema de Compensação"/>
    <x v="2"/>
    <x v="4"/>
    <x v="7"/>
    <x v="3"/>
    <x v="2"/>
    <x v="0"/>
    <x v="3"/>
    <x v="10"/>
    <n v="0"/>
    <n v="0"/>
    <n v="-9.6000000000000002E-2"/>
    <n v="-9.6000000000000002E-2"/>
    <n v="-9.6000000000000002E-2"/>
    <n v="-9.6000000000000002E-2"/>
    <n v="0"/>
    <x v="2"/>
    <n v="0"/>
    <n v="0"/>
    <n v="25"/>
    <n v="63"/>
    <n v="0"/>
    <n v="565.36"/>
    <n v="222.31"/>
    <m/>
    <n v="698.29045569083348"/>
    <n v="236.64237028527376"/>
    <n v="0"/>
    <n v="-54.274560000000001"/>
    <n v="-21.341760000000001"/>
    <n v="0"/>
    <n v="-67.03588374632001"/>
    <n v="-22.717667547386281"/>
  </r>
  <r>
    <s v="PROJETADO"/>
    <x v="2"/>
    <x v="4"/>
    <x v="7"/>
    <x v="3"/>
    <x v="2"/>
    <x v="0"/>
    <x v="3"/>
    <x v="11"/>
    <n v="0"/>
    <n v="0"/>
    <n v="6.8369999999999997"/>
    <n v="6.8369999999999997"/>
    <n v="6.8369999999999997"/>
    <n v="6.8369999999999997"/>
    <n v="0"/>
    <x v="2"/>
    <n v="0"/>
    <n v="0"/>
    <n v="25"/>
    <n v="63"/>
    <n v="0"/>
    <n v="565.36"/>
    <n v="222.31"/>
    <m/>
    <n v="698.29045569083348"/>
    <n v="236.64237028527376"/>
    <n v="0"/>
    <n v="3865.3663200000001"/>
    <n v="1519.9334699999999"/>
    <n v="0"/>
    <n v="4774.2118455582286"/>
    <n v="1617.9238856404165"/>
  </r>
  <r>
    <s v="PROJETADO"/>
    <x v="2"/>
    <x v="4"/>
    <x v="7"/>
    <x v="3"/>
    <x v="2"/>
    <x v="0"/>
    <x v="3"/>
    <x v="11"/>
    <n v="0"/>
    <n v="0"/>
    <n v="-2.5000000000000001E-2"/>
    <n v="-2.5000000000000001E-2"/>
    <n v="-2.5000000000000001E-2"/>
    <n v="-2.5000000000000001E-2"/>
    <n v="0"/>
    <x v="2"/>
    <n v="0"/>
    <n v="0"/>
    <n v="25"/>
    <n v="63"/>
    <n v="0"/>
    <n v="565.36"/>
    <n v="222.31"/>
    <m/>
    <n v="698.29045569083348"/>
    <n v="236.64237028527376"/>
    <n v="0"/>
    <n v="-14.134"/>
    <n v="-5.5577500000000004"/>
    <n v="0"/>
    <n v="-17.457261392270837"/>
    <n v="-5.9160592571318444"/>
  </r>
  <r>
    <s v="PROJETADO"/>
    <x v="2"/>
    <x v="4"/>
    <x v="7"/>
    <x v="3"/>
    <x v="2"/>
    <x v="0"/>
    <x v="3"/>
    <x v="11"/>
    <n v="0"/>
    <n v="0"/>
    <n v="7.6999999999999999E-2"/>
    <n v="7.6999999999999999E-2"/>
    <n v="7.6999999999999999E-2"/>
    <n v="7.6999999999999999E-2"/>
    <n v="0"/>
    <x v="2"/>
    <n v="0"/>
    <n v="0"/>
    <n v="25"/>
    <n v="63"/>
    <n v="0"/>
    <n v="565.36"/>
    <n v="222.31"/>
    <m/>
    <n v="698.29045569083348"/>
    <n v="236.64237028527376"/>
    <n v="0"/>
    <n v="43.532719999999998"/>
    <n v="17.11787"/>
    <n v="0"/>
    <n v="53.76836508819418"/>
    <n v="18.221462511966077"/>
  </r>
  <r>
    <s v="PROJETADO"/>
    <x v="2"/>
    <x v="4"/>
    <x v="7"/>
    <x v="3"/>
    <x v="2"/>
    <x v="0"/>
    <x v="3"/>
    <x v="11"/>
    <n v="0"/>
    <n v="0"/>
    <n v="-9.6000000000000002E-2"/>
    <n v="-9.6000000000000002E-2"/>
    <n v="-9.6000000000000002E-2"/>
    <n v="-9.6000000000000002E-2"/>
    <n v="0"/>
    <x v="2"/>
    <n v="0"/>
    <n v="0"/>
    <n v="25"/>
    <n v="63"/>
    <n v="0"/>
    <n v="565.36"/>
    <n v="222.31"/>
    <m/>
    <n v="698.29045569083348"/>
    <n v="236.64237028527376"/>
    <n v="0"/>
    <n v="-54.274560000000001"/>
    <n v="-21.341760000000001"/>
    <n v="0"/>
    <n v="-67.03588374632001"/>
    <n v="-22.717667547386281"/>
  </r>
  <r>
    <s v="Regular"/>
    <x v="2"/>
    <x v="4"/>
    <x v="7"/>
    <x v="3"/>
    <x v="2"/>
    <x v="0"/>
    <x v="2"/>
    <x v="0"/>
    <n v="0"/>
    <n v="0"/>
    <n v="9.1419999999999995"/>
    <n v="9.1419999999999995"/>
    <n v="9.1419999999999995"/>
    <n v="9.1419999999999995"/>
    <n v="0"/>
    <x v="2"/>
    <n v="0"/>
    <n v="0"/>
    <n v="24"/>
    <n v="98"/>
    <n v="0"/>
    <n v="894.12"/>
    <n v="365.5"/>
    <m/>
    <n v="1102.3352796166942"/>
    <n v="382.75425465660959"/>
    <n v="0"/>
    <n v="8174.04504"/>
    <n v="3341.4009999999998"/>
    <n v="0"/>
    <n v="10077.549126255817"/>
    <n v="3499.1393960707246"/>
  </r>
  <r>
    <s v="Sistema de Compensação"/>
    <x v="2"/>
    <x v="4"/>
    <x v="7"/>
    <x v="3"/>
    <x v="2"/>
    <x v="0"/>
    <x v="2"/>
    <x v="0"/>
    <n v="0"/>
    <n v="0"/>
    <n v="0.183"/>
    <n v="0.183"/>
    <n v="0.183"/>
    <n v="0.183"/>
    <n v="0"/>
    <x v="2"/>
    <n v="0"/>
    <n v="0"/>
    <n v="24"/>
    <n v="98"/>
    <n v="0"/>
    <n v="894.12"/>
    <n v="365.5"/>
    <m/>
    <n v="1102.3352796166942"/>
    <n v="382.75425465660959"/>
    <n v="0"/>
    <n v="163.62396000000001"/>
    <n v="66.886499999999998"/>
    <n v="0"/>
    <n v="201.72735616985503"/>
    <n v="70.044028602159557"/>
  </r>
  <r>
    <s v="Regular"/>
    <x v="2"/>
    <x v="4"/>
    <x v="7"/>
    <x v="3"/>
    <x v="2"/>
    <x v="0"/>
    <x v="2"/>
    <x v="1"/>
    <n v="0"/>
    <n v="0"/>
    <n v="8.7949999999999999"/>
    <n v="8.7949999999999999"/>
    <n v="8.7949999999999999"/>
    <n v="8.7949999999999999"/>
    <n v="0"/>
    <x v="2"/>
    <n v="0"/>
    <n v="0"/>
    <n v="24"/>
    <n v="98"/>
    <n v="0"/>
    <n v="894.12"/>
    <n v="365.5"/>
    <m/>
    <n v="1102.3352796166942"/>
    <n v="382.75425465660959"/>
    <n v="0"/>
    <n v="7863.7853999999998"/>
    <n v="3214.5724999999998"/>
    <n v="0"/>
    <n v="9695.0387842288255"/>
    <n v="3366.3236697048815"/>
  </r>
  <r>
    <s v="Sistema de Compensação"/>
    <x v="2"/>
    <x v="4"/>
    <x v="7"/>
    <x v="3"/>
    <x v="2"/>
    <x v="0"/>
    <x v="2"/>
    <x v="1"/>
    <n v="0"/>
    <n v="0"/>
    <n v="0.06"/>
    <n v="0.06"/>
    <n v="0.06"/>
    <n v="0.06"/>
    <n v="0"/>
    <x v="2"/>
    <n v="0"/>
    <n v="0"/>
    <n v="24"/>
    <n v="98"/>
    <n v="0"/>
    <n v="894.12"/>
    <n v="365.5"/>
    <m/>
    <n v="1102.3352796166942"/>
    <n v="382.75425465660959"/>
    <n v="0"/>
    <n v="53.647199999999998"/>
    <n v="21.93"/>
    <n v="0"/>
    <n v="66.140116777001651"/>
    <n v="22.965255279396576"/>
  </r>
  <r>
    <s v="Regular"/>
    <x v="2"/>
    <x v="4"/>
    <x v="7"/>
    <x v="3"/>
    <x v="2"/>
    <x v="0"/>
    <x v="2"/>
    <x v="2"/>
    <n v="0"/>
    <n v="0"/>
    <n v="9.17"/>
    <n v="9.17"/>
    <n v="9.17"/>
    <n v="9.17"/>
    <n v="0"/>
    <x v="2"/>
    <n v="0"/>
    <n v="0"/>
    <n v="24"/>
    <n v="98"/>
    <n v="0"/>
    <n v="894.12"/>
    <n v="365.5"/>
    <m/>
    <n v="1102.3352796166942"/>
    <n v="382.75425465660959"/>
    <n v="0"/>
    <n v="8199.0804000000007"/>
    <n v="3351.6349999999998"/>
    <n v="0"/>
    <n v="10108.414514085085"/>
    <n v="3509.8565152011097"/>
  </r>
  <r>
    <s v="Sistema de Compensação"/>
    <x v="2"/>
    <x v="4"/>
    <x v="7"/>
    <x v="3"/>
    <x v="2"/>
    <x v="0"/>
    <x v="2"/>
    <x v="2"/>
    <n v="0"/>
    <n v="0"/>
    <n v="0.1"/>
    <n v="0.1"/>
    <n v="0.1"/>
    <n v="0.1"/>
    <n v="0"/>
    <x v="2"/>
    <n v="0"/>
    <n v="0"/>
    <n v="24"/>
    <n v="98"/>
    <n v="0"/>
    <n v="894.12"/>
    <n v="365.5"/>
    <m/>
    <n v="1102.3352796166942"/>
    <n v="382.75425465660959"/>
    <n v="0"/>
    <n v="89.412000000000006"/>
    <n v="36.550000000000004"/>
    <n v="0"/>
    <n v="110.23352796166942"/>
    <n v="38.275425465660959"/>
  </r>
  <r>
    <s v="Regular"/>
    <x v="2"/>
    <x v="4"/>
    <x v="7"/>
    <x v="3"/>
    <x v="2"/>
    <x v="0"/>
    <x v="2"/>
    <x v="3"/>
    <n v="0"/>
    <n v="0"/>
    <n v="8.8780000000000001"/>
    <n v="8.8780000000000001"/>
    <n v="8.8780000000000001"/>
    <n v="8.8780000000000001"/>
    <n v="0"/>
    <x v="2"/>
    <n v="0"/>
    <n v="0"/>
    <n v="24"/>
    <n v="98"/>
    <n v="0"/>
    <n v="894.12"/>
    <n v="365.5"/>
    <m/>
    <n v="1102.3352796166942"/>
    <n v="382.75425465660959"/>
    <n v="0"/>
    <n v="7937.9973600000003"/>
    <n v="3244.9090000000001"/>
    <n v="0"/>
    <n v="9786.5326124370113"/>
    <n v="3398.0922728413798"/>
  </r>
  <r>
    <s v="Sistema de Compensação"/>
    <x v="2"/>
    <x v="4"/>
    <x v="7"/>
    <x v="3"/>
    <x v="2"/>
    <x v="0"/>
    <x v="2"/>
    <x v="3"/>
    <n v="0"/>
    <n v="0"/>
    <n v="6.0999999999999999E-2"/>
    <n v="6.0999999999999999E-2"/>
    <n v="6.0999999999999999E-2"/>
    <n v="6.0999999999999999E-2"/>
    <n v="0"/>
    <x v="2"/>
    <n v="0"/>
    <n v="0"/>
    <n v="24"/>
    <n v="98"/>
    <n v="0"/>
    <n v="894.12"/>
    <n v="365.5"/>
    <m/>
    <n v="1102.3352796166942"/>
    <n v="382.75425465660959"/>
    <n v="0"/>
    <n v="54.541319999999999"/>
    <n v="22.295500000000001"/>
    <n v="0"/>
    <n v="67.242452056618347"/>
    <n v="23.348009534053183"/>
  </r>
  <r>
    <s v="Regular"/>
    <x v="2"/>
    <x v="4"/>
    <x v="7"/>
    <x v="3"/>
    <x v="2"/>
    <x v="0"/>
    <x v="2"/>
    <x v="4"/>
    <n v="0"/>
    <n v="0"/>
    <n v="8.5839999999999996"/>
    <n v="8.5839999999999996"/>
    <n v="8.5839999999999996"/>
    <n v="8.5839999999999996"/>
    <n v="0"/>
    <x v="2"/>
    <n v="0"/>
    <n v="0"/>
    <n v="24"/>
    <n v="98"/>
    <n v="0"/>
    <n v="894.12"/>
    <n v="365.5"/>
    <m/>
    <n v="1102.3352796166942"/>
    <n v="382.75425465660959"/>
    <n v="0"/>
    <n v="7675.12608"/>
    <n v="3137.4519999999998"/>
    <n v="0"/>
    <n v="9462.4460402297027"/>
    <n v="3285.5625219723365"/>
  </r>
  <r>
    <s v="Sistema de Compensação"/>
    <x v="2"/>
    <x v="4"/>
    <x v="7"/>
    <x v="3"/>
    <x v="2"/>
    <x v="0"/>
    <x v="2"/>
    <x v="4"/>
    <n v="0"/>
    <n v="0"/>
    <n v="6.2E-2"/>
    <n v="6.2E-2"/>
    <n v="6.2E-2"/>
    <n v="6.2E-2"/>
    <n v="0"/>
    <x v="2"/>
    <n v="0"/>
    <n v="0"/>
    <n v="24"/>
    <n v="98"/>
    <n v="0"/>
    <n v="894.12"/>
    <n v="365.5"/>
    <m/>
    <n v="1102.3352796166942"/>
    <n v="382.75425465660959"/>
    <n v="0"/>
    <n v="55.43544"/>
    <n v="22.661000000000001"/>
    <n v="0"/>
    <n v="68.344787336235044"/>
    <n v="23.730763788709794"/>
  </r>
  <r>
    <s v="Regular"/>
    <x v="2"/>
    <x v="4"/>
    <x v="7"/>
    <x v="3"/>
    <x v="2"/>
    <x v="0"/>
    <x v="2"/>
    <x v="5"/>
    <n v="0"/>
    <n v="0"/>
    <n v="8.6370000000000005"/>
    <n v="8.6370000000000005"/>
    <n v="8.6370000000000005"/>
    <n v="8.6370000000000005"/>
    <n v="0"/>
    <x v="2"/>
    <n v="0"/>
    <n v="0"/>
    <n v="24"/>
    <n v="98"/>
    <n v="0"/>
    <n v="894.12"/>
    <n v="365.5"/>
    <m/>
    <n v="1102.3352796166942"/>
    <n v="382.75425465660959"/>
    <n v="0"/>
    <n v="7722.5144400000008"/>
    <n v="3156.8235"/>
    <n v="0"/>
    <n v="9520.8698100493875"/>
    <n v="3305.8484974691373"/>
  </r>
  <r>
    <s v="Refaturamento - Regular"/>
    <x v="2"/>
    <x v="4"/>
    <x v="7"/>
    <x v="3"/>
    <x v="2"/>
    <x v="0"/>
    <x v="2"/>
    <x v="5"/>
    <n v="0"/>
    <n v="0"/>
    <n v="-2.9000000000000001E-2"/>
    <n v="-2.9000000000000001E-2"/>
    <n v="-2.9000000000000001E-2"/>
    <n v="-2.9000000000000001E-2"/>
    <n v="0"/>
    <x v="2"/>
    <n v="0"/>
    <n v="0"/>
    <n v="24"/>
    <n v="98"/>
    <n v="0"/>
    <n v="894.12"/>
    <n v="365.5"/>
    <m/>
    <n v="1102.3352796166942"/>
    <n v="382.75425465660959"/>
    <n v="0"/>
    <n v="-25.929480000000002"/>
    <n v="-10.599500000000001"/>
    <n v="0"/>
    <n v="-31.967723108884133"/>
    <n v="-11.099873385041679"/>
  </r>
  <r>
    <s v="Sistema de Compensação"/>
    <x v="2"/>
    <x v="4"/>
    <x v="7"/>
    <x v="3"/>
    <x v="2"/>
    <x v="0"/>
    <x v="2"/>
    <x v="5"/>
    <n v="0"/>
    <n v="0"/>
    <n v="6.6000000000000003E-2"/>
    <n v="6.6000000000000003E-2"/>
    <n v="6.6000000000000003E-2"/>
    <n v="6.6000000000000003E-2"/>
    <n v="0"/>
    <x v="2"/>
    <n v="0"/>
    <n v="0"/>
    <n v="24"/>
    <n v="98"/>
    <n v="0"/>
    <n v="894.12"/>
    <n v="365.5"/>
    <m/>
    <n v="1102.3352796166942"/>
    <n v="382.75425465660959"/>
    <n v="0"/>
    <n v="59.011920000000003"/>
    <n v="24.123000000000001"/>
    <n v="0"/>
    <n v="72.754128454701814"/>
    <n v="25.261780807336233"/>
  </r>
  <r>
    <s v="Regular"/>
    <x v="2"/>
    <x v="4"/>
    <x v="7"/>
    <x v="3"/>
    <x v="2"/>
    <x v="0"/>
    <x v="2"/>
    <x v="6"/>
    <n v="0"/>
    <n v="0"/>
    <n v="8.3379999999999992"/>
    <n v="8.3379999999999992"/>
    <n v="8.3379999999999992"/>
    <n v="8.3379999999999992"/>
    <n v="0"/>
    <x v="2"/>
    <n v="0"/>
    <n v="0"/>
    <n v="24"/>
    <n v="98"/>
    <n v="0"/>
    <n v="894.12"/>
    <n v="365.5"/>
    <m/>
    <n v="1102.3352796166942"/>
    <n v="382.75425465660959"/>
    <n v="0"/>
    <n v="7455.1725599999991"/>
    <n v="3047.5389999999998"/>
    <n v="0"/>
    <n v="9191.2715614439949"/>
    <n v="3191.4049753268105"/>
  </r>
  <r>
    <s v="Sistema de Compensação"/>
    <x v="2"/>
    <x v="4"/>
    <x v="7"/>
    <x v="3"/>
    <x v="2"/>
    <x v="0"/>
    <x v="2"/>
    <x v="6"/>
    <n v="0"/>
    <n v="0"/>
    <n v="0.121"/>
    <n v="0.121"/>
    <n v="0.121"/>
    <n v="0.121"/>
    <n v="0"/>
    <x v="2"/>
    <n v="0"/>
    <n v="0"/>
    <n v="24"/>
    <n v="98"/>
    <n v="0"/>
    <n v="894.12"/>
    <n v="365.5"/>
    <m/>
    <n v="1102.3352796166942"/>
    <n v="382.75425465660959"/>
    <n v="0"/>
    <n v="108.18852"/>
    <n v="44.225499999999997"/>
    <n v="0"/>
    <n v="133.38256883361998"/>
    <n v="46.313264813449756"/>
  </r>
  <r>
    <s v="Regular"/>
    <x v="2"/>
    <x v="4"/>
    <x v="7"/>
    <x v="3"/>
    <x v="2"/>
    <x v="0"/>
    <x v="2"/>
    <x v="7"/>
    <n v="0"/>
    <n v="0"/>
    <n v="7.7969999999999997"/>
    <n v="7.7969999999999997"/>
    <n v="7.7969999999999997"/>
    <n v="7.7969999999999997"/>
    <n v="0"/>
    <x v="2"/>
    <n v="0"/>
    <n v="0"/>
    <n v="24"/>
    <n v="98"/>
    <n v="0"/>
    <n v="894.12"/>
    <n v="365.5"/>
    <m/>
    <n v="1102.3352796166942"/>
    <n v="382.75425465660959"/>
    <n v="0"/>
    <n v="6971.4536399999997"/>
    <n v="2849.8035"/>
    <n v="0"/>
    <n v="8594.9081751713638"/>
    <n v="2984.3349235575847"/>
  </r>
  <r>
    <s v="Sistema de Compensação"/>
    <x v="2"/>
    <x v="4"/>
    <x v="7"/>
    <x v="3"/>
    <x v="2"/>
    <x v="0"/>
    <x v="2"/>
    <x v="7"/>
    <n v="0"/>
    <n v="0"/>
    <n v="0.22800000000000001"/>
    <n v="0.22800000000000001"/>
    <n v="0.22800000000000001"/>
    <n v="0.22800000000000001"/>
    <n v="0"/>
    <x v="2"/>
    <n v="0"/>
    <n v="0"/>
    <n v="24"/>
    <n v="98"/>
    <n v="0"/>
    <n v="894.12"/>
    <n v="365.5"/>
    <m/>
    <n v="1102.3352796166942"/>
    <n v="382.75425465660959"/>
    <n v="0"/>
    <n v="203.85936000000001"/>
    <n v="83.334000000000003"/>
    <n v="0"/>
    <n v="251.33244375260628"/>
    <n v="87.26797006170699"/>
  </r>
  <r>
    <s v="Regular"/>
    <x v="2"/>
    <x v="4"/>
    <x v="7"/>
    <x v="3"/>
    <x v="2"/>
    <x v="0"/>
    <x v="2"/>
    <x v="8"/>
    <n v="0"/>
    <n v="0"/>
    <n v="10.634"/>
    <n v="10.634"/>
    <n v="10.634"/>
    <n v="10.634"/>
    <n v="0"/>
    <x v="2"/>
    <n v="0"/>
    <n v="0"/>
    <n v="24"/>
    <n v="98"/>
    <n v="0"/>
    <n v="894.12"/>
    <n v="365.5"/>
    <m/>
    <n v="1102.3352796166942"/>
    <n v="382.75425465660959"/>
    <n v="0"/>
    <n v="9508.0720799999999"/>
    <n v="3886.7270000000003"/>
    <n v="0"/>
    <n v="11722.233363443926"/>
    <n v="4070.2087440183864"/>
  </r>
  <r>
    <s v="Refaturamento - Regular"/>
    <x v="2"/>
    <x v="4"/>
    <x v="7"/>
    <x v="3"/>
    <x v="2"/>
    <x v="0"/>
    <x v="2"/>
    <x v="8"/>
    <n v="0"/>
    <n v="0"/>
    <n v="2E-3"/>
    <n v="2E-3"/>
    <n v="2E-3"/>
    <n v="2E-3"/>
    <n v="0"/>
    <x v="2"/>
    <n v="0"/>
    <n v="0"/>
    <n v="24"/>
    <n v="98"/>
    <n v="0"/>
    <n v="894.12"/>
    <n v="365.5"/>
    <m/>
    <n v="1102.3352796166942"/>
    <n v="382.75425465660959"/>
    <n v="0"/>
    <n v="1.7882400000000001"/>
    <n v="0.73099999999999998"/>
    <n v="0"/>
    <n v="2.2046705592333882"/>
    <n v="0.76550850931321923"/>
  </r>
  <r>
    <s v="Sistema de Compensação"/>
    <x v="2"/>
    <x v="4"/>
    <x v="7"/>
    <x v="3"/>
    <x v="2"/>
    <x v="0"/>
    <x v="2"/>
    <x v="8"/>
    <n v="0"/>
    <n v="0"/>
    <n v="0.23699999999999999"/>
    <n v="0.23699999999999999"/>
    <n v="0.23699999999999999"/>
    <n v="0.23699999999999999"/>
    <n v="0"/>
    <x v="2"/>
    <n v="0"/>
    <n v="0"/>
    <n v="24"/>
    <n v="98"/>
    <n v="0"/>
    <n v="894.12"/>
    <n v="365.5"/>
    <m/>
    <n v="1102.3352796166942"/>
    <n v="382.75425465660959"/>
    <n v="0"/>
    <n v="211.90644"/>
    <n v="86.623499999999993"/>
    <n v="0"/>
    <n v="261.2534612691565"/>
    <n v="90.712758353616465"/>
  </r>
  <r>
    <s v="Regular"/>
    <x v="2"/>
    <x v="4"/>
    <x v="7"/>
    <x v="3"/>
    <x v="2"/>
    <x v="0"/>
    <x v="2"/>
    <x v="9"/>
    <n v="0"/>
    <n v="0"/>
    <n v="15.317"/>
    <n v="15.317"/>
    <n v="15.317"/>
    <n v="15.317"/>
    <n v="0"/>
    <x v="2"/>
    <n v="0"/>
    <n v="0"/>
    <n v="24"/>
    <n v="98"/>
    <n v="0"/>
    <n v="894.12"/>
    <n v="365.5"/>
    <m/>
    <n v="1102.3352796166942"/>
    <n v="382.75425465660959"/>
    <n v="0"/>
    <n v="13695.23604"/>
    <n v="5598.3635000000004"/>
    <n v="0"/>
    <n v="16884.469477888906"/>
    <n v="5862.6469185752894"/>
  </r>
  <r>
    <s v="Sistema de Compensação"/>
    <x v="2"/>
    <x v="4"/>
    <x v="7"/>
    <x v="3"/>
    <x v="2"/>
    <x v="0"/>
    <x v="2"/>
    <x v="9"/>
    <n v="0"/>
    <n v="0"/>
    <n v="0.217"/>
    <n v="0.217"/>
    <n v="0.217"/>
    <n v="0.217"/>
    <n v="0"/>
    <x v="2"/>
    <n v="0"/>
    <n v="0"/>
    <n v="24"/>
    <n v="98"/>
    <n v="0"/>
    <n v="894.12"/>
    <n v="365.5"/>
    <m/>
    <n v="1102.3352796166942"/>
    <n v="382.75425465660959"/>
    <n v="0"/>
    <n v="194.02404000000001"/>
    <n v="79.313500000000005"/>
    <n v="0"/>
    <n v="239.20675567682264"/>
    <n v="83.057673260484279"/>
  </r>
  <r>
    <s v="Regular"/>
    <x v="2"/>
    <x v="4"/>
    <x v="7"/>
    <x v="3"/>
    <x v="2"/>
    <x v="0"/>
    <x v="2"/>
    <x v="10"/>
    <n v="0"/>
    <n v="0"/>
    <n v="12.66"/>
    <n v="12.66"/>
    <n v="12.66"/>
    <n v="12.66"/>
    <n v="0"/>
    <x v="2"/>
    <n v="0"/>
    <n v="0"/>
    <n v="24"/>
    <n v="98"/>
    <n v="0"/>
    <n v="894.12"/>
    <n v="365.5"/>
    <m/>
    <n v="1102.3352796166942"/>
    <n v="382.75425465660959"/>
    <n v="0"/>
    <n v="11319.5592"/>
    <n v="4627.2300000000005"/>
    <n v="0"/>
    <n v="13955.564639947348"/>
    <n v="4845.6688639526774"/>
  </r>
  <r>
    <s v="Refaturamento - Regular"/>
    <x v="2"/>
    <x v="4"/>
    <x v="7"/>
    <x v="3"/>
    <x v="2"/>
    <x v="0"/>
    <x v="2"/>
    <x v="10"/>
    <n v="0"/>
    <n v="0"/>
    <n v="-1.6830000000000001"/>
    <n v="-1.6830000000000001"/>
    <n v="-1.6830000000000001"/>
    <n v="-1.6830000000000001"/>
    <n v="0"/>
    <x v="2"/>
    <n v="0"/>
    <n v="0"/>
    <n v="24"/>
    <n v="98"/>
    <n v="0"/>
    <n v="894.12"/>
    <n v="365.5"/>
    <m/>
    <n v="1102.3352796166942"/>
    <n v="382.75425465660959"/>
    <n v="0"/>
    <n v="-1504.80396"/>
    <n v="-615.13650000000007"/>
    <n v="0"/>
    <n v="-1855.2302755948963"/>
    <n v="-644.175410587074"/>
  </r>
  <r>
    <s v="Sistema de Compensação"/>
    <x v="2"/>
    <x v="4"/>
    <x v="7"/>
    <x v="3"/>
    <x v="2"/>
    <x v="0"/>
    <x v="2"/>
    <x v="10"/>
    <n v="0"/>
    <n v="0"/>
    <n v="7.0000000000000007E-2"/>
    <n v="7.0000000000000007E-2"/>
    <n v="7.0000000000000007E-2"/>
    <n v="7.0000000000000007E-2"/>
    <n v="0"/>
    <x v="2"/>
    <n v="0"/>
    <n v="0"/>
    <n v="24"/>
    <n v="98"/>
    <n v="0"/>
    <n v="894.12"/>
    <n v="365.5"/>
    <m/>
    <n v="1102.3352796166942"/>
    <n v="382.75425465660959"/>
    <n v="0"/>
    <n v="62.588400000000007"/>
    <n v="25.585000000000001"/>
    <n v="0"/>
    <n v="77.163469573168598"/>
    <n v="26.792797825962673"/>
  </r>
  <r>
    <s v="Sistema de Compensação"/>
    <x v="2"/>
    <x v="4"/>
    <x v="7"/>
    <x v="3"/>
    <x v="2"/>
    <x v="0"/>
    <x v="2"/>
    <x v="10"/>
    <n v="0"/>
    <n v="0"/>
    <n v="-0.13800000000000001"/>
    <n v="-0.13800000000000001"/>
    <n v="-0.13800000000000001"/>
    <n v="-0.13800000000000001"/>
    <n v="0"/>
    <x v="2"/>
    <n v="0"/>
    <n v="0"/>
    <n v="24"/>
    <n v="98"/>
    <n v="0"/>
    <n v="894.12"/>
    <n v="365.5"/>
    <m/>
    <n v="1102.3352796166942"/>
    <n v="382.75425465660959"/>
    <n v="0"/>
    <n v="-123.38856000000001"/>
    <n v="-50.439000000000007"/>
    <n v="0"/>
    <n v="-152.1222685871038"/>
    <n v="-52.820087142612131"/>
  </r>
  <r>
    <s v="PROJETADO"/>
    <x v="2"/>
    <x v="4"/>
    <x v="7"/>
    <x v="3"/>
    <x v="2"/>
    <x v="0"/>
    <x v="2"/>
    <x v="11"/>
    <n v="0"/>
    <n v="0"/>
    <n v="12.66"/>
    <n v="12.66"/>
    <n v="12.66"/>
    <n v="12.66"/>
    <n v="0"/>
    <x v="2"/>
    <n v="0"/>
    <n v="0"/>
    <n v="24"/>
    <n v="98"/>
    <n v="0"/>
    <n v="894.12"/>
    <n v="365.5"/>
    <m/>
    <n v="1102.3352796166942"/>
    <n v="382.75425465660959"/>
    <n v="0"/>
    <n v="11319.5592"/>
    <n v="4627.2300000000005"/>
    <n v="0"/>
    <n v="13955.564639947348"/>
    <n v="4845.6688639526774"/>
  </r>
  <r>
    <s v="PROJETADO"/>
    <x v="2"/>
    <x v="4"/>
    <x v="7"/>
    <x v="3"/>
    <x v="2"/>
    <x v="0"/>
    <x v="2"/>
    <x v="11"/>
    <n v="0"/>
    <n v="0"/>
    <n v="-1.6830000000000001"/>
    <n v="-1.6830000000000001"/>
    <n v="-1.6830000000000001"/>
    <n v="-1.6830000000000001"/>
    <n v="0"/>
    <x v="2"/>
    <n v="0"/>
    <n v="0"/>
    <n v="24"/>
    <n v="98"/>
    <n v="0"/>
    <n v="894.12"/>
    <n v="365.5"/>
    <m/>
    <n v="1102.3352796166942"/>
    <n v="382.75425465660959"/>
    <n v="0"/>
    <n v="-1504.80396"/>
    <n v="-615.13650000000007"/>
    <n v="0"/>
    <n v="-1855.2302755948963"/>
    <n v="-644.175410587074"/>
  </r>
  <r>
    <s v="PROJETADO"/>
    <x v="2"/>
    <x v="4"/>
    <x v="7"/>
    <x v="3"/>
    <x v="2"/>
    <x v="0"/>
    <x v="2"/>
    <x v="11"/>
    <n v="0"/>
    <n v="0"/>
    <n v="7.0000000000000007E-2"/>
    <n v="7.0000000000000007E-2"/>
    <n v="7.0000000000000007E-2"/>
    <n v="7.0000000000000007E-2"/>
    <n v="0"/>
    <x v="2"/>
    <n v="0"/>
    <n v="0"/>
    <n v="24"/>
    <n v="98"/>
    <n v="0"/>
    <n v="894.12"/>
    <n v="365.5"/>
    <m/>
    <n v="1102.3352796166942"/>
    <n v="382.75425465660959"/>
    <n v="0"/>
    <n v="62.588400000000007"/>
    <n v="25.585000000000001"/>
    <n v="0"/>
    <n v="77.163469573168598"/>
    <n v="26.792797825962673"/>
  </r>
  <r>
    <s v="PROJETADO"/>
    <x v="2"/>
    <x v="4"/>
    <x v="7"/>
    <x v="3"/>
    <x v="2"/>
    <x v="0"/>
    <x v="2"/>
    <x v="11"/>
    <n v="0"/>
    <n v="0"/>
    <n v="-0.13800000000000001"/>
    <n v="-0.13800000000000001"/>
    <n v="-0.13800000000000001"/>
    <n v="-0.13800000000000001"/>
    <n v="0"/>
    <x v="2"/>
    <n v="0"/>
    <n v="0"/>
    <n v="24"/>
    <n v="98"/>
    <n v="0"/>
    <n v="894.12"/>
    <n v="365.5"/>
    <m/>
    <n v="1102.3352796166942"/>
    <n v="382.75425465660959"/>
    <n v="0"/>
    <n v="-123.38856000000001"/>
    <n v="-50.439000000000007"/>
    <n v="0"/>
    <n v="-152.1222685871038"/>
    <n v="-52.820087142612131"/>
  </r>
  <r>
    <s v="Regular"/>
    <x v="2"/>
    <x v="5"/>
    <x v="7"/>
    <x v="3"/>
    <x v="2"/>
    <x v="0"/>
    <x v="0"/>
    <x v="0"/>
    <n v="0"/>
    <n v="0"/>
    <n v="83240.540999999997"/>
    <n v="83240.540999999997"/>
    <n v="83240.540999999997"/>
    <n v="83240.540999999997"/>
    <n v="503995"/>
    <x v="2"/>
    <n v="0"/>
    <n v="0"/>
    <n v="48"/>
    <n v="65"/>
    <n v="0"/>
    <n v="346.2"/>
    <n v="234.24"/>
    <m/>
    <n v="428.92696349888774"/>
    <n v="248.81836064955178"/>
    <n v="0"/>
    <n v="28817875.294199999"/>
    <n v="19498264.32384"/>
    <n v="0"/>
    <n v="35704112.491134666"/>
    <n v="20711774.9512018"/>
  </r>
  <r>
    <s v="Refaturamento - Regular"/>
    <x v="2"/>
    <x v="5"/>
    <x v="7"/>
    <x v="3"/>
    <x v="2"/>
    <x v="0"/>
    <x v="0"/>
    <x v="0"/>
    <n v="0"/>
    <n v="0"/>
    <n v="-218.554"/>
    <n v="-218.554"/>
    <n v="-218.554"/>
    <n v="-218.554"/>
    <n v="-132"/>
    <x v="2"/>
    <n v="0"/>
    <n v="0"/>
    <n v="48"/>
    <n v="65"/>
    <n v="0"/>
    <n v="346.2"/>
    <n v="234.24"/>
    <m/>
    <n v="428.92696349888774"/>
    <n v="248.81836064955178"/>
    <n v="0"/>
    <n v="-75663.394799999995"/>
    <n v="-51194.088960000001"/>
    <n v="0"/>
    <n v="-93743.703580535919"/>
    <n v="-54380.247993402139"/>
  </r>
  <r>
    <s v="Sistema de Compensação"/>
    <x v="2"/>
    <x v="5"/>
    <x v="7"/>
    <x v="3"/>
    <x v="2"/>
    <x v="0"/>
    <x v="0"/>
    <x v="0"/>
    <n v="0"/>
    <n v="0"/>
    <n v="731.52499999999998"/>
    <n v="731.52499999999998"/>
    <n v="731.52499999999998"/>
    <n v="731.52499999999998"/>
    <n v="3345"/>
    <x v="2"/>
    <n v="0"/>
    <n v="0"/>
    <n v="48"/>
    <n v="65"/>
    <n v="0"/>
    <n v="346.2"/>
    <n v="234.24"/>
    <m/>
    <n v="428.92696349888774"/>
    <n v="248.81836064955178"/>
    <n v="0"/>
    <n v="253253.95499999999"/>
    <n v="171352.416"/>
    <n v="0"/>
    <n v="313770.79697352386"/>
    <n v="182016.85127416335"/>
  </r>
  <r>
    <s v="Sistema de Compensação"/>
    <x v="2"/>
    <x v="5"/>
    <x v="7"/>
    <x v="3"/>
    <x v="2"/>
    <x v="0"/>
    <x v="0"/>
    <x v="0"/>
    <n v="0"/>
    <n v="0"/>
    <n v="-1.508"/>
    <n v="-1.508"/>
    <n v="-1.508"/>
    <n v="-1.508"/>
    <n v="0"/>
    <x v="2"/>
    <n v="0"/>
    <n v="0"/>
    <n v="48"/>
    <n v="65"/>
    <n v="0"/>
    <n v="346.2"/>
    <n v="234.24"/>
    <m/>
    <n v="428.92696349888774"/>
    <n v="248.81836064955178"/>
    <n v="0"/>
    <n v="-522.06960000000004"/>
    <n v="-353.23392000000001"/>
    <n v="0"/>
    <n v="-646.82186095632267"/>
    <n v="-375.21808785952408"/>
  </r>
  <r>
    <s v="Regular"/>
    <x v="2"/>
    <x v="5"/>
    <x v="7"/>
    <x v="3"/>
    <x v="2"/>
    <x v="0"/>
    <x v="0"/>
    <x v="1"/>
    <n v="0"/>
    <n v="0"/>
    <n v="75372.801000000007"/>
    <n v="75372.801000000007"/>
    <n v="75372.801000000007"/>
    <n v="75372.801000000007"/>
    <n v="504725"/>
    <x v="2"/>
    <n v="0"/>
    <n v="0"/>
    <n v="48"/>
    <n v="65"/>
    <n v="0"/>
    <n v="346.2"/>
    <n v="234.24"/>
    <m/>
    <n v="428.92696349888774"/>
    <n v="248.81836064955178"/>
    <n v="0"/>
    <n v="26094063.7062"/>
    <n v="17655324.906240001"/>
    <n v="0"/>
    <n v="32329426.663335934"/>
    <n v="18754136.782384899"/>
  </r>
  <r>
    <s v="Refaturamento - Regular"/>
    <x v="2"/>
    <x v="5"/>
    <x v="7"/>
    <x v="3"/>
    <x v="2"/>
    <x v="0"/>
    <x v="0"/>
    <x v="1"/>
    <n v="0"/>
    <n v="0"/>
    <n v="-134.25399999999999"/>
    <n v="-134.25399999999999"/>
    <n v="-134.25399999999999"/>
    <n v="-134.25399999999999"/>
    <n v="-152"/>
    <x v="2"/>
    <n v="0"/>
    <n v="0"/>
    <n v="48"/>
    <n v="65"/>
    <n v="0"/>
    <n v="346.2"/>
    <n v="234.24"/>
    <m/>
    <n v="428.92696349888774"/>
    <n v="248.81836064955178"/>
    <n v="0"/>
    <n v="-46478.734799999998"/>
    <n v="-31447.65696"/>
    <n v="0"/>
    <n v="-57585.160557579671"/>
    <n v="-33404.860190644918"/>
  </r>
  <r>
    <s v="Sistema de Compensação"/>
    <x v="2"/>
    <x v="5"/>
    <x v="7"/>
    <x v="3"/>
    <x v="2"/>
    <x v="0"/>
    <x v="0"/>
    <x v="1"/>
    <n v="0"/>
    <n v="0"/>
    <n v="751.9"/>
    <n v="751.9"/>
    <n v="751.9"/>
    <n v="751.9"/>
    <n v="3552"/>
    <x v="2"/>
    <n v="0"/>
    <n v="0"/>
    <n v="48"/>
    <n v="65"/>
    <n v="0"/>
    <n v="346.2"/>
    <n v="234.24"/>
    <m/>
    <n v="428.92696349888774"/>
    <n v="248.81836064955178"/>
    <n v="0"/>
    <n v="260307.77999999997"/>
    <n v="176125.05600000001"/>
    <n v="0"/>
    <n v="322510.18385481369"/>
    <n v="187086.52537239797"/>
  </r>
  <r>
    <s v="Sistema de Compensação"/>
    <x v="2"/>
    <x v="5"/>
    <x v="7"/>
    <x v="3"/>
    <x v="2"/>
    <x v="0"/>
    <x v="0"/>
    <x v="1"/>
    <n v="0"/>
    <n v="0"/>
    <n v="-0.86899999999999999"/>
    <n v="-0.86899999999999999"/>
    <n v="-0.86899999999999999"/>
    <n v="-0.86899999999999999"/>
    <n v="0"/>
    <x v="2"/>
    <n v="0"/>
    <n v="0"/>
    <n v="48"/>
    <n v="65"/>
    <n v="0"/>
    <n v="346.2"/>
    <n v="234.24"/>
    <m/>
    <n v="428.92696349888774"/>
    <n v="248.81836064955178"/>
    <n v="0"/>
    <n v="-300.84780000000001"/>
    <n v="-203.55456000000001"/>
    <n v="0"/>
    <n v="-372.73753128053346"/>
    <n v="-216.2231554044605"/>
  </r>
  <r>
    <s v="Regular"/>
    <x v="2"/>
    <x v="5"/>
    <x v="7"/>
    <x v="3"/>
    <x v="2"/>
    <x v="0"/>
    <x v="0"/>
    <x v="2"/>
    <n v="0"/>
    <n v="0"/>
    <n v="73533.183000000005"/>
    <n v="73533.183000000005"/>
    <n v="73533.183000000005"/>
    <n v="73533.183000000005"/>
    <n v="506719"/>
    <x v="2"/>
    <n v="0"/>
    <n v="0"/>
    <n v="48"/>
    <n v="65"/>
    <n v="0"/>
    <n v="346.2"/>
    <n v="234.24"/>
    <m/>
    <n v="428.92696349888774"/>
    <n v="248.81836064955178"/>
    <n v="0"/>
    <n v="25457187.954599999"/>
    <n v="17224412.785920002"/>
    <n v="0"/>
    <n v="31540364.900598034"/>
    <n v="18296406.047403492"/>
  </r>
  <r>
    <s v="Refaturamento - Regular"/>
    <x v="2"/>
    <x v="5"/>
    <x v="7"/>
    <x v="3"/>
    <x v="2"/>
    <x v="0"/>
    <x v="0"/>
    <x v="2"/>
    <n v="0"/>
    <n v="0"/>
    <n v="-305.64100000000002"/>
    <n v="-305.64100000000002"/>
    <n v="-305.64100000000002"/>
    <n v="-305.64100000000002"/>
    <n v="-110"/>
    <x v="2"/>
    <n v="0"/>
    <n v="0"/>
    <n v="48"/>
    <n v="65"/>
    <n v="0"/>
    <n v="346.2"/>
    <n v="234.24"/>
    <m/>
    <n v="428.92696349888774"/>
    <n v="248.81836064955178"/>
    <n v="0"/>
    <n v="-105812.9142"/>
    <n v="-71593.347840000002"/>
    <n v="0"/>
    <n v="-131097.66605076357"/>
    <n v="-76049.092567289656"/>
  </r>
  <r>
    <s v="Sistema de Compensação"/>
    <x v="2"/>
    <x v="5"/>
    <x v="7"/>
    <x v="3"/>
    <x v="2"/>
    <x v="0"/>
    <x v="0"/>
    <x v="2"/>
    <n v="0"/>
    <n v="0"/>
    <n v="736.95399999999995"/>
    <n v="736.95399999999995"/>
    <n v="736.95399999999995"/>
    <n v="736.95399999999995"/>
    <n v="3680"/>
    <x v="2"/>
    <n v="0"/>
    <n v="0"/>
    <n v="48"/>
    <n v="65"/>
    <n v="0"/>
    <n v="346.2"/>
    <n v="234.24"/>
    <m/>
    <n v="428.92696349888774"/>
    <n v="248.81836064955178"/>
    <n v="0"/>
    <n v="255133.47479999997"/>
    <n v="172624.10496"/>
    <n v="0"/>
    <n v="316099.4414583593"/>
    <n v="183367.68615412977"/>
  </r>
  <r>
    <s v="Sistema de Compensação"/>
    <x v="2"/>
    <x v="5"/>
    <x v="7"/>
    <x v="3"/>
    <x v="2"/>
    <x v="0"/>
    <x v="0"/>
    <x v="2"/>
    <n v="0"/>
    <n v="0"/>
    <n v="9.4E-2"/>
    <n v="9.4E-2"/>
    <n v="9.4E-2"/>
    <n v="9.4E-2"/>
    <n v="0"/>
    <x v="2"/>
    <n v="0"/>
    <n v="0"/>
    <n v="48"/>
    <n v="65"/>
    <n v="0"/>
    <n v="346.2"/>
    <n v="234.24"/>
    <m/>
    <n v="428.92696349888774"/>
    <n v="248.81836064955178"/>
    <n v="0"/>
    <n v="32.5428"/>
    <n v="22.018560000000001"/>
    <n v="0"/>
    <n v="40.31913456889545"/>
    <n v="23.388925901057867"/>
  </r>
  <r>
    <s v="Regular"/>
    <x v="2"/>
    <x v="5"/>
    <x v="7"/>
    <x v="3"/>
    <x v="2"/>
    <x v="0"/>
    <x v="0"/>
    <x v="3"/>
    <n v="0"/>
    <n v="0"/>
    <n v="71677"/>
    <n v="71677"/>
    <n v="71677"/>
    <n v="71677"/>
    <n v="507235"/>
    <x v="2"/>
    <n v="0"/>
    <n v="0"/>
    <n v="48"/>
    <n v="65"/>
    <n v="0"/>
    <n v="346.2"/>
    <n v="234.24"/>
    <m/>
    <n v="428.92696349888774"/>
    <n v="248.81836064955178"/>
    <n v="0"/>
    <n v="24814577.399999999"/>
    <n v="16789620.48"/>
    <n v="0"/>
    <n v="30744197.962709777"/>
    <n v="17834553.636277921"/>
  </r>
  <r>
    <s v="Refaturamento - Regular"/>
    <x v="2"/>
    <x v="5"/>
    <x v="7"/>
    <x v="3"/>
    <x v="2"/>
    <x v="0"/>
    <x v="0"/>
    <x v="3"/>
    <n v="0"/>
    <n v="0"/>
    <n v="-1009.7619999999999"/>
    <n v="-1009.7619999999999"/>
    <n v="-1009.7619999999999"/>
    <n v="-1009.7619999999999"/>
    <n v="-511"/>
    <x v="2"/>
    <n v="0"/>
    <n v="0"/>
    <n v="48"/>
    <n v="65"/>
    <n v="0"/>
    <n v="346.2"/>
    <n v="234.24"/>
    <m/>
    <n v="428.92696349888774"/>
    <n v="248.81836064955178"/>
    <n v="0"/>
    <n v="-349579.60439999995"/>
    <n v="-236526.65088"/>
    <n v="0"/>
    <n v="-433114.14851656387"/>
    <n v="-251247.32548621268"/>
  </r>
  <r>
    <s v="Sistema de Compensação"/>
    <x v="2"/>
    <x v="5"/>
    <x v="7"/>
    <x v="3"/>
    <x v="2"/>
    <x v="0"/>
    <x v="0"/>
    <x v="3"/>
    <n v="0"/>
    <n v="0"/>
    <n v="715.673"/>
    <n v="715.673"/>
    <n v="715.673"/>
    <n v="715.673"/>
    <n v="3834"/>
    <x v="2"/>
    <n v="0"/>
    <n v="0"/>
    <n v="48"/>
    <n v="65"/>
    <n v="0"/>
    <n v="346.2"/>
    <n v="234.24"/>
    <m/>
    <n v="428.92696349888774"/>
    <n v="248.81836064955178"/>
    <n v="0"/>
    <n v="247765.9926"/>
    <n v="167639.24352000002"/>
    <n v="0"/>
    <n v="306971.44674813951"/>
    <n v="178072.58262114666"/>
  </r>
  <r>
    <s v="Sistema de Compensação"/>
    <x v="2"/>
    <x v="5"/>
    <x v="7"/>
    <x v="3"/>
    <x v="2"/>
    <x v="0"/>
    <x v="0"/>
    <x v="3"/>
    <n v="0"/>
    <n v="0"/>
    <n v="-4.7E-2"/>
    <n v="-4.7E-2"/>
    <n v="-4.7E-2"/>
    <n v="-4.7E-2"/>
    <n v="0"/>
    <x v="2"/>
    <n v="0"/>
    <n v="0"/>
    <n v="48"/>
    <n v="65"/>
    <n v="0"/>
    <n v="346.2"/>
    <n v="234.24"/>
    <m/>
    <n v="428.92696349888774"/>
    <n v="248.81836064955178"/>
    <n v="0"/>
    <n v="-16.2714"/>
    <n v="-11.00928"/>
    <n v="0"/>
    <n v="-20.159567284447725"/>
    <n v="-11.694462950528933"/>
  </r>
  <r>
    <s v="Regular"/>
    <x v="2"/>
    <x v="5"/>
    <x v="7"/>
    <x v="3"/>
    <x v="2"/>
    <x v="0"/>
    <x v="0"/>
    <x v="4"/>
    <n v="0"/>
    <n v="0"/>
    <n v="68285.770999999993"/>
    <n v="68285.770999999993"/>
    <n v="68285.770999999993"/>
    <n v="68285.770999999993"/>
    <n v="507048"/>
    <x v="2"/>
    <n v="0"/>
    <n v="0"/>
    <n v="48"/>
    <n v="65"/>
    <n v="0"/>
    <n v="346.2"/>
    <n v="234.24"/>
    <m/>
    <n v="428.92696349888774"/>
    <n v="248.81836064955178"/>
    <n v="0"/>
    <n v="23640533.920199998"/>
    <n v="15995258.999039998"/>
    <n v="0"/>
    <n v="29289608.405210406"/>
    <n v="16990753.595910702"/>
  </r>
  <r>
    <s v="Refaturamento - Regular"/>
    <x v="2"/>
    <x v="5"/>
    <x v="7"/>
    <x v="3"/>
    <x v="2"/>
    <x v="0"/>
    <x v="0"/>
    <x v="4"/>
    <n v="0"/>
    <n v="0"/>
    <n v="-323.86099999999999"/>
    <n v="-323.86099999999999"/>
    <n v="-323.86099999999999"/>
    <n v="-323.86099999999999"/>
    <n v="-174"/>
    <x v="2"/>
    <n v="0"/>
    <n v="0"/>
    <n v="48"/>
    <n v="65"/>
    <n v="0"/>
    <n v="346.2"/>
    <n v="234.24"/>
    <m/>
    <n v="428.92696349888774"/>
    <n v="248.81836064955178"/>
    <n v="0"/>
    <n v="-112120.67819999999"/>
    <n v="-75861.200639999995"/>
    <n v="0"/>
    <n v="-138912.71532571327"/>
    <n v="-80582.563098324492"/>
  </r>
  <r>
    <s v="Sistema de Compensação"/>
    <x v="2"/>
    <x v="5"/>
    <x v="7"/>
    <x v="3"/>
    <x v="2"/>
    <x v="0"/>
    <x v="0"/>
    <x v="4"/>
    <n v="0"/>
    <n v="0"/>
    <n v="642.66"/>
    <n v="642.66"/>
    <n v="642.66"/>
    <n v="642.66"/>
    <n v="4026"/>
    <x v="2"/>
    <n v="0"/>
    <n v="0"/>
    <n v="48"/>
    <n v="65"/>
    <n v="0"/>
    <n v="346.2"/>
    <n v="234.24"/>
    <m/>
    <n v="428.92696349888774"/>
    <n v="248.81836064955178"/>
    <n v="0"/>
    <n v="222488.89199999999"/>
    <n v="150536.6784"/>
    <n v="0"/>
    <n v="275654.20236219518"/>
    <n v="159905.60765504095"/>
  </r>
  <r>
    <s v="Sistema de Compensação"/>
    <x v="2"/>
    <x v="5"/>
    <x v="7"/>
    <x v="3"/>
    <x v="2"/>
    <x v="0"/>
    <x v="0"/>
    <x v="4"/>
    <n v="0"/>
    <n v="0"/>
    <n v="-8.2370000000000001"/>
    <n v="-8.2370000000000001"/>
    <n v="-8.2370000000000001"/>
    <n v="-8.2370000000000001"/>
    <n v="0"/>
    <x v="2"/>
    <n v="0"/>
    <n v="0"/>
    <n v="48"/>
    <n v="65"/>
    <n v="0"/>
    <n v="346.2"/>
    <n v="234.24"/>
    <m/>
    <n v="428.92696349888774"/>
    <n v="248.81836064955178"/>
    <n v="0"/>
    <n v="-2851.6493999999998"/>
    <n v="-1929.43488"/>
    <n v="0"/>
    <n v="-3533.0713983403384"/>
    <n v="-2049.5168366703579"/>
  </r>
  <r>
    <s v="Regular"/>
    <x v="2"/>
    <x v="5"/>
    <x v="7"/>
    <x v="3"/>
    <x v="2"/>
    <x v="0"/>
    <x v="0"/>
    <x v="5"/>
    <n v="0"/>
    <n v="0"/>
    <n v="68394.902000000002"/>
    <n v="68394.902000000002"/>
    <n v="68394.902000000002"/>
    <n v="68394.902000000002"/>
    <n v="509182"/>
    <x v="2"/>
    <n v="0"/>
    <n v="0"/>
    <n v="48"/>
    <n v="65"/>
    <n v="0"/>
    <n v="346.2"/>
    <n v="234.24"/>
    <m/>
    <n v="428.92696349888774"/>
    <n v="248.81836064955178"/>
    <n v="0"/>
    <n v="23678315.0724"/>
    <n v="16020821.84448"/>
    <n v="0"/>
    <n v="29336417.633664005"/>
    <n v="17017907.392426752"/>
  </r>
  <r>
    <s v="Refaturamento - Regular"/>
    <x v="2"/>
    <x v="5"/>
    <x v="7"/>
    <x v="3"/>
    <x v="2"/>
    <x v="0"/>
    <x v="0"/>
    <x v="5"/>
    <n v="0"/>
    <n v="0"/>
    <n v="-168.74199999999999"/>
    <n v="-168.74199999999999"/>
    <n v="-168.74199999999999"/>
    <n v="-168.74199999999999"/>
    <n v="-53"/>
    <x v="2"/>
    <n v="0"/>
    <n v="0"/>
    <n v="48"/>
    <n v="65"/>
    <n v="0"/>
    <n v="346.2"/>
    <n v="234.24"/>
    <m/>
    <n v="428.92696349888774"/>
    <n v="248.81836064955178"/>
    <n v="0"/>
    <n v="-58418.480399999993"/>
    <n v="-39526.126080000002"/>
    <n v="0"/>
    <n v="-72377.99367472931"/>
    <n v="-41986.107812726666"/>
  </r>
  <r>
    <s v="Sistema de Compensação"/>
    <x v="2"/>
    <x v="5"/>
    <x v="7"/>
    <x v="3"/>
    <x v="2"/>
    <x v="0"/>
    <x v="0"/>
    <x v="5"/>
    <n v="0"/>
    <n v="0"/>
    <n v="656.721"/>
    <n v="656.721"/>
    <n v="656.721"/>
    <n v="656.721"/>
    <n v="4221"/>
    <x v="2"/>
    <n v="0"/>
    <n v="0"/>
    <n v="48"/>
    <n v="65"/>
    <n v="0"/>
    <n v="346.2"/>
    <n v="234.24"/>
    <m/>
    <n v="428.92696349888774"/>
    <n v="248.81836064955178"/>
    <n v="0"/>
    <n v="227356.81020000001"/>
    <n v="153830.32704"/>
    <n v="0"/>
    <n v="281685.34439595306"/>
    <n v="163404.24262413429"/>
  </r>
  <r>
    <s v="Sistema de Compensação"/>
    <x v="2"/>
    <x v="5"/>
    <x v="7"/>
    <x v="3"/>
    <x v="2"/>
    <x v="0"/>
    <x v="0"/>
    <x v="5"/>
    <n v="0"/>
    <n v="0"/>
    <n v="-10.647"/>
    <n v="-10.647"/>
    <n v="-10.647"/>
    <n v="-10.647"/>
    <n v="0"/>
    <x v="2"/>
    <n v="0"/>
    <n v="0"/>
    <n v="48"/>
    <n v="65"/>
    <n v="0"/>
    <n v="346.2"/>
    <n v="234.24"/>
    <m/>
    <n v="428.92696349888774"/>
    <n v="248.81836064955178"/>
    <n v="0"/>
    <n v="-3685.9913999999999"/>
    <n v="-2493.9532800000002"/>
    <n v="0"/>
    <n v="-4566.7853803726575"/>
    <n v="-2649.1690858357779"/>
  </r>
  <r>
    <s v="Regular"/>
    <x v="2"/>
    <x v="5"/>
    <x v="7"/>
    <x v="3"/>
    <x v="2"/>
    <x v="0"/>
    <x v="0"/>
    <x v="6"/>
    <n v="0"/>
    <n v="0"/>
    <n v="70450.296000000002"/>
    <n v="70450.296000000002"/>
    <n v="70450.296000000002"/>
    <n v="70450.296000000002"/>
    <n v="506902"/>
    <x v="2"/>
    <n v="0"/>
    <n v="0"/>
    <n v="48"/>
    <n v="65"/>
    <n v="0"/>
    <n v="346.2"/>
    <n v="234.24"/>
    <m/>
    <n v="428.92696349888774"/>
    <n v="248.81836064955178"/>
    <n v="0"/>
    <n v="24389892.475200001"/>
    <n v="16502277.335040001"/>
    <n v="0"/>
    <n v="30218031.540877838"/>
    <n v="17529327.157995675"/>
  </r>
  <r>
    <s v="Refaturamento - Regular"/>
    <x v="2"/>
    <x v="5"/>
    <x v="7"/>
    <x v="3"/>
    <x v="2"/>
    <x v="0"/>
    <x v="0"/>
    <x v="6"/>
    <n v="0"/>
    <n v="0"/>
    <n v="-134.63999999999999"/>
    <n v="-134.63999999999999"/>
    <n v="-134.63999999999999"/>
    <n v="-134.63999999999999"/>
    <n v="-83"/>
    <x v="2"/>
    <n v="0"/>
    <n v="0"/>
    <n v="48"/>
    <n v="65"/>
    <n v="0"/>
    <n v="346.2"/>
    <n v="234.24"/>
    <m/>
    <n v="428.92696349888774"/>
    <n v="248.81836064955178"/>
    <n v="0"/>
    <n v="-46612.367999999995"/>
    <n v="-31538.0736"/>
    <n v="0"/>
    <n v="-57750.726365490242"/>
    <n v="-33500.904077855645"/>
  </r>
  <r>
    <s v="Sistema de Compensação"/>
    <x v="2"/>
    <x v="5"/>
    <x v="7"/>
    <x v="3"/>
    <x v="2"/>
    <x v="0"/>
    <x v="0"/>
    <x v="6"/>
    <n v="0"/>
    <n v="0"/>
    <n v="711.72400000000005"/>
    <n v="711.72400000000005"/>
    <n v="711.72400000000005"/>
    <n v="711.72400000000005"/>
    <n v="4444"/>
    <x v="2"/>
    <n v="0"/>
    <n v="0"/>
    <n v="48"/>
    <n v="65"/>
    <n v="0"/>
    <n v="346.2"/>
    <n v="234.24"/>
    <m/>
    <n v="428.92696349888774"/>
    <n v="248.81836064955178"/>
    <n v="0"/>
    <n v="246398.84880000001"/>
    <n v="166714.22976000002"/>
    <n v="0"/>
    <n v="305277.61416928237"/>
    <n v="177089.99891494159"/>
  </r>
  <r>
    <s v="Sistema de Compensação"/>
    <x v="2"/>
    <x v="5"/>
    <x v="7"/>
    <x v="3"/>
    <x v="2"/>
    <x v="0"/>
    <x v="0"/>
    <x v="6"/>
    <n v="0"/>
    <n v="0"/>
    <n v="-8.2000000000000003E-2"/>
    <n v="-8.2000000000000003E-2"/>
    <n v="-8.2000000000000003E-2"/>
    <n v="-8.2000000000000003E-2"/>
    <n v="0"/>
    <x v="2"/>
    <n v="0"/>
    <n v="0"/>
    <n v="48"/>
    <n v="65"/>
    <n v="0"/>
    <n v="346.2"/>
    <n v="234.24"/>
    <m/>
    <n v="428.92696349888774"/>
    <n v="248.81836064955178"/>
    <n v="0"/>
    <n v="-28.388400000000001"/>
    <n v="-19.20768"/>
    <n v="0"/>
    <n v="-35.172011006908797"/>
    <n v="-20.403105573263247"/>
  </r>
  <r>
    <s v="Regular"/>
    <x v="2"/>
    <x v="5"/>
    <x v="7"/>
    <x v="3"/>
    <x v="2"/>
    <x v="0"/>
    <x v="0"/>
    <x v="7"/>
    <n v="0"/>
    <n v="0"/>
    <n v="71859.870999999999"/>
    <n v="71859.870999999999"/>
    <n v="71859.870999999999"/>
    <n v="71859.870999999999"/>
    <n v="506049"/>
    <x v="2"/>
    <n v="0"/>
    <n v="0"/>
    <n v="48"/>
    <n v="65"/>
    <n v="0"/>
    <n v="346.2"/>
    <n v="234.24"/>
    <m/>
    <n v="428.92696349888774"/>
    <n v="248.81836064955178"/>
    <n v="0"/>
    <n v="24877887.3402"/>
    <n v="16832456.18304"/>
    <n v="0"/>
    <n v="30822636.265451781"/>
    <n v="17880055.298708268"/>
  </r>
  <r>
    <s v="Refaturamento - Regular"/>
    <x v="2"/>
    <x v="5"/>
    <x v="7"/>
    <x v="3"/>
    <x v="2"/>
    <x v="0"/>
    <x v="0"/>
    <x v="7"/>
    <n v="0"/>
    <n v="0"/>
    <n v="-181.607"/>
    <n v="-181.607"/>
    <n v="-181.607"/>
    <n v="-181.607"/>
    <n v="-78"/>
    <x v="2"/>
    <n v="0"/>
    <n v="0"/>
    <n v="48"/>
    <n v="65"/>
    <n v="0"/>
    <n v="346.2"/>
    <n v="234.24"/>
    <m/>
    <n v="428.92696349888774"/>
    <n v="248.81836064955178"/>
    <n v="0"/>
    <n v="-62872.343399999998"/>
    <n v="-42539.623680000004"/>
    <n v="0"/>
    <n v="-77896.139060142508"/>
    <n v="-45187.156022483148"/>
  </r>
  <r>
    <s v="Sistema de Compensação"/>
    <x v="2"/>
    <x v="5"/>
    <x v="7"/>
    <x v="3"/>
    <x v="2"/>
    <x v="0"/>
    <x v="0"/>
    <x v="7"/>
    <n v="0"/>
    <n v="0"/>
    <n v="763.39599999999996"/>
    <n v="763.39599999999996"/>
    <n v="763.39599999999996"/>
    <n v="763.39599999999996"/>
    <n v="4602"/>
    <x v="2"/>
    <n v="0"/>
    <n v="0"/>
    <n v="48"/>
    <n v="65"/>
    <n v="0"/>
    <n v="346.2"/>
    <n v="234.24"/>
    <m/>
    <n v="428.92696349888774"/>
    <n v="248.81836064955178"/>
    <n v="0"/>
    <n v="264287.69519999996"/>
    <n v="178817.87904"/>
    <n v="0"/>
    <n v="327441.12822719687"/>
    <n v="189946.94124642521"/>
  </r>
  <r>
    <s v="Sistema de Compensação"/>
    <x v="2"/>
    <x v="5"/>
    <x v="7"/>
    <x v="3"/>
    <x v="2"/>
    <x v="0"/>
    <x v="0"/>
    <x v="7"/>
    <n v="0"/>
    <n v="0"/>
    <n v="-2.137"/>
    <n v="-2.137"/>
    <n v="-2.137"/>
    <n v="-2.137"/>
    <n v="0"/>
    <x v="2"/>
    <n v="0"/>
    <n v="0"/>
    <n v="48"/>
    <n v="65"/>
    <n v="0"/>
    <n v="346.2"/>
    <n v="234.24"/>
    <m/>
    <n v="428.92696349888774"/>
    <n v="248.81836064955178"/>
    <n v="0"/>
    <n v="-739.82939999999996"/>
    <n v="-500.57088000000005"/>
    <n v="0"/>
    <n v="-916.61692099712309"/>
    <n v="-531.7248367080922"/>
  </r>
  <r>
    <s v="Regular"/>
    <x v="2"/>
    <x v="5"/>
    <x v="7"/>
    <x v="3"/>
    <x v="2"/>
    <x v="0"/>
    <x v="0"/>
    <x v="8"/>
    <n v="0"/>
    <n v="0"/>
    <n v="84990.285000000003"/>
    <n v="84990.285000000003"/>
    <n v="84990.285000000003"/>
    <n v="84990.285000000003"/>
    <n v="510702"/>
    <x v="2"/>
    <n v="0"/>
    <n v="0"/>
    <n v="48"/>
    <n v="65"/>
    <n v="0"/>
    <n v="346.2"/>
    <n v="234.24"/>
    <m/>
    <n v="428.92696349888774"/>
    <n v="248.81836064955178"/>
    <n v="0"/>
    <n v="29423636.666999999"/>
    <n v="19908124.358400002"/>
    <n v="0"/>
    <n v="36454624.871955067"/>
    <n v="21147143.38483819"/>
  </r>
  <r>
    <s v="Refaturamento - Regular"/>
    <x v="2"/>
    <x v="5"/>
    <x v="7"/>
    <x v="3"/>
    <x v="2"/>
    <x v="0"/>
    <x v="0"/>
    <x v="8"/>
    <n v="0"/>
    <n v="0"/>
    <n v="-6370.0129999999999"/>
    <n v="-6370.0129999999999"/>
    <n v="-6370.0129999999999"/>
    <n v="-6370.0129999999999"/>
    <n v="-2618"/>
    <x v="2"/>
    <n v="0"/>
    <n v="0"/>
    <n v="48"/>
    <n v="65"/>
    <n v="0"/>
    <n v="346.2"/>
    <n v="234.24"/>
    <m/>
    <n v="428.92696349888774"/>
    <n v="248.81836064955178"/>
    <n v="0"/>
    <n v="-2205298.5005999999"/>
    <n v="-1492111.84512"/>
    <n v="0"/>
    <n v="-2732270.3335384405"/>
    <n v="-1584976.1919763333"/>
  </r>
  <r>
    <s v="Sistema de Compensação"/>
    <x v="2"/>
    <x v="5"/>
    <x v="7"/>
    <x v="3"/>
    <x v="2"/>
    <x v="0"/>
    <x v="0"/>
    <x v="8"/>
    <n v="0"/>
    <n v="0"/>
    <n v="910.65499999999997"/>
    <n v="910.65499999999997"/>
    <n v="910.65499999999997"/>
    <n v="910.65499999999997"/>
    <n v="4900"/>
    <x v="2"/>
    <n v="0"/>
    <n v="0"/>
    <n v="48"/>
    <n v="65"/>
    <n v="0"/>
    <n v="346.2"/>
    <n v="234.24"/>
    <m/>
    <n v="428.92696349888774"/>
    <n v="248.81836064955178"/>
    <n v="0"/>
    <n v="315268.761"/>
    <n v="213311.8272"/>
    <n v="0"/>
    <n v="390604.48394507961"/>
    <n v="226587.68421731755"/>
  </r>
  <r>
    <s v="Sistema de Compensação"/>
    <x v="2"/>
    <x v="5"/>
    <x v="7"/>
    <x v="3"/>
    <x v="2"/>
    <x v="0"/>
    <x v="0"/>
    <x v="8"/>
    <n v="0"/>
    <n v="0"/>
    <n v="-0.92400000000000004"/>
    <n v="-0.92400000000000004"/>
    <n v="-0.92400000000000004"/>
    <n v="-0.92400000000000004"/>
    <n v="0"/>
    <x v="2"/>
    <n v="0"/>
    <n v="0"/>
    <n v="48"/>
    <n v="65"/>
    <n v="0"/>
    <n v="346.2"/>
    <n v="234.24"/>
    <m/>
    <n v="428.92696349888774"/>
    <n v="248.81836064955178"/>
    <n v="0"/>
    <n v="-319.8888"/>
    <n v="-216.43776000000003"/>
    <n v="0"/>
    <n v="-396.32851427297231"/>
    <n v="-229.90816524018587"/>
  </r>
  <r>
    <s v="Regular"/>
    <x v="2"/>
    <x v="5"/>
    <x v="7"/>
    <x v="3"/>
    <x v="2"/>
    <x v="0"/>
    <x v="0"/>
    <x v="9"/>
    <n v="0"/>
    <n v="0"/>
    <n v="77405.504000000001"/>
    <n v="77405.504000000001"/>
    <n v="77405.504000000001"/>
    <n v="77405.504000000001"/>
    <n v="506602"/>
    <x v="2"/>
    <n v="0"/>
    <n v="0"/>
    <n v="48"/>
    <n v="65"/>
    <n v="0"/>
    <n v="346.2"/>
    <n v="234.24"/>
    <m/>
    <n v="428.92696349888774"/>
    <n v="248.81836064955178"/>
    <n v="0"/>
    <n v="26797785.4848"/>
    <n v="18131465.256960001"/>
    <n v="0"/>
    <n v="33201307.788821008"/>
    <n v="19259910.610532325"/>
  </r>
  <r>
    <s v="Refaturamento - Regular"/>
    <x v="2"/>
    <x v="5"/>
    <x v="7"/>
    <x v="3"/>
    <x v="2"/>
    <x v="0"/>
    <x v="0"/>
    <x v="9"/>
    <n v="0"/>
    <n v="0"/>
    <n v="-138.76300000000001"/>
    <n v="-138.76300000000001"/>
    <n v="-138.76300000000001"/>
    <n v="-138.76300000000001"/>
    <n v="-36"/>
    <x v="2"/>
    <n v="0"/>
    <n v="0"/>
    <n v="48"/>
    <n v="65"/>
    <n v="0"/>
    <n v="346.2"/>
    <n v="234.24"/>
    <m/>
    <n v="428.92696349888774"/>
    <n v="248.81836064955178"/>
    <n v="0"/>
    <n v="-48039.750599999999"/>
    <n v="-32503.845120000002"/>
    <n v="0"/>
    <n v="-59519.192235996161"/>
    <n v="-34526.782178813752"/>
  </r>
  <r>
    <s v="Sistema de Compensação"/>
    <x v="2"/>
    <x v="5"/>
    <x v="7"/>
    <x v="3"/>
    <x v="2"/>
    <x v="0"/>
    <x v="0"/>
    <x v="9"/>
    <n v="0"/>
    <n v="0"/>
    <n v="1001.061"/>
    <n v="1001.061"/>
    <n v="1001.061"/>
    <n v="1001.061"/>
    <n v="5168"/>
    <x v="2"/>
    <n v="0"/>
    <n v="0"/>
    <n v="48"/>
    <n v="65"/>
    <n v="0"/>
    <n v="346.2"/>
    <n v="234.24"/>
    <m/>
    <n v="428.92696349888774"/>
    <n v="248.81836064955178"/>
    <n v="0"/>
    <n v="346567.31819999998"/>
    <n v="234488.52864"/>
    <n v="0"/>
    <n v="429382.05500716006"/>
    <n v="249082.35693020097"/>
  </r>
  <r>
    <s v="Sistema de Compensação"/>
    <x v="2"/>
    <x v="5"/>
    <x v="7"/>
    <x v="3"/>
    <x v="2"/>
    <x v="0"/>
    <x v="0"/>
    <x v="9"/>
    <n v="0"/>
    <n v="0"/>
    <n v="-2.3050000000000002"/>
    <n v="-2.3050000000000002"/>
    <n v="-2.3050000000000002"/>
    <n v="-2.3050000000000002"/>
    <n v="0"/>
    <x v="2"/>
    <n v="0"/>
    <n v="0"/>
    <n v="48"/>
    <n v="65"/>
    <n v="0"/>
    <n v="346.2"/>
    <n v="234.24"/>
    <m/>
    <n v="428.92696349888774"/>
    <n v="248.81836064955178"/>
    <n v="0"/>
    <n v="-797.99099999999999"/>
    <n v="-539.92320000000007"/>
    <n v="0"/>
    <n v="-988.67665086493628"/>
    <n v="-573.5263212972169"/>
  </r>
  <r>
    <s v="Regular"/>
    <x v="2"/>
    <x v="5"/>
    <x v="7"/>
    <x v="3"/>
    <x v="2"/>
    <x v="0"/>
    <x v="0"/>
    <x v="10"/>
    <n v="0"/>
    <n v="0"/>
    <n v="78459.588000000003"/>
    <n v="78459.588000000003"/>
    <n v="78459.588000000003"/>
    <n v="78459.588000000003"/>
    <n v="500160"/>
    <x v="2"/>
    <n v="0"/>
    <n v="0"/>
    <n v="48"/>
    <n v="65"/>
    <n v="0"/>
    <n v="346.2"/>
    <n v="234.24"/>
    <m/>
    <n v="428.92696349888774"/>
    <n v="248.81836064955178"/>
    <n v="0"/>
    <n v="27162709.365600001"/>
    <n v="18378373.893120002"/>
    <n v="0"/>
    <n v="33653432.838213772"/>
    <n v="19522186.063399244"/>
  </r>
  <r>
    <s v="Refaturamento - Regular"/>
    <x v="2"/>
    <x v="5"/>
    <x v="7"/>
    <x v="3"/>
    <x v="2"/>
    <x v="0"/>
    <x v="0"/>
    <x v="10"/>
    <n v="0"/>
    <n v="0"/>
    <n v="-211.90600000000001"/>
    <n v="-211.90600000000001"/>
    <n v="-211.90600000000001"/>
    <n v="-211.90600000000001"/>
    <n v="-104"/>
    <x v="2"/>
    <n v="0"/>
    <n v="0"/>
    <n v="48"/>
    <n v="65"/>
    <n v="0"/>
    <n v="346.2"/>
    <n v="234.24"/>
    <m/>
    <n v="428.92696349888774"/>
    <n v="248.81836064955178"/>
    <n v="0"/>
    <n v="-73361.857199999999"/>
    <n v="-49636.861440000001"/>
    <n v="0"/>
    <n v="-90892.197127195308"/>
    <n v="-52726.103531803921"/>
  </r>
  <r>
    <s v="Sistema de Compensação"/>
    <x v="2"/>
    <x v="5"/>
    <x v="7"/>
    <x v="3"/>
    <x v="2"/>
    <x v="0"/>
    <x v="0"/>
    <x v="10"/>
    <n v="0"/>
    <n v="0"/>
    <n v="1004.958"/>
    <n v="1004.958"/>
    <n v="1004.958"/>
    <n v="1004.958"/>
    <n v="5365"/>
    <x v="2"/>
    <n v="0"/>
    <n v="0"/>
    <n v="48"/>
    <n v="65"/>
    <n v="0"/>
    <n v="346.2"/>
    <n v="234.24"/>
    <m/>
    <n v="428.92696349888774"/>
    <n v="248.81836064955178"/>
    <n v="0"/>
    <n v="347916.4596"/>
    <n v="235401.36192"/>
    <n v="0"/>
    <n v="431053.58338391519"/>
    <n v="250052.00208165226"/>
  </r>
  <r>
    <s v="Sistema de Compensação"/>
    <x v="2"/>
    <x v="5"/>
    <x v="7"/>
    <x v="3"/>
    <x v="2"/>
    <x v="0"/>
    <x v="0"/>
    <x v="10"/>
    <n v="0"/>
    <n v="0"/>
    <n v="-10.169"/>
    <n v="-10.169"/>
    <n v="-10.169"/>
    <n v="-10.169"/>
    <n v="0"/>
    <x v="2"/>
    <n v="0"/>
    <n v="0"/>
    <n v="48"/>
    <n v="65"/>
    <n v="0"/>
    <n v="346.2"/>
    <n v="234.24"/>
    <m/>
    <n v="428.92696349888774"/>
    <n v="248.81836064955178"/>
    <n v="0"/>
    <n v="-3520.5077999999999"/>
    <n v="-2381.9865600000003"/>
    <n v="0"/>
    <n v="-4361.7582918201897"/>
    <n v="-2530.2339094452923"/>
  </r>
  <r>
    <s v="PROJETADO"/>
    <x v="2"/>
    <x v="5"/>
    <x v="7"/>
    <x v="3"/>
    <x v="2"/>
    <x v="0"/>
    <x v="0"/>
    <x v="11"/>
    <n v="0"/>
    <n v="0"/>
    <n v="78459.588000000003"/>
    <n v="78459.588000000003"/>
    <n v="78459.588000000003"/>
    <n v="78459.588000000003"/>
    <n v="500160"/>
    <x v="2"/>
    <n v="0"/>
    <n v="0"/>
    <n v="48"/>
    <n v="65"/>
    <n v="0"/>
    <n v="346.2"/>
    <n v="234.24"/>
    <m/>
    <n v="428.92696349888774"/>
    <n v="248.81836064955178"/>
    <n v="0"/>
    <n v="27162709.365600001"/>
    <n v="18378373.893120002"/>
    <n v="0"/>
    <n v="33653432.838213772"/>
    <n v="19522186.063399244"/>
  </r>
  <r>
    <s v="PROJETADO"/>
    <x v="2"/>
    <x v="5"/>
    <x v="7"/>
    <x v="3"/>
    <x v="2"/>
    <x v="0"/>
    <x v="0"/>
    <x v="11"/>
    <n v="0"/>
    <n v="0"/>
    <n v="-211.90600000000001"/>
    <n v="-211.90600000000001"/>
    <n v="-211.90600000000001"/>
    <n v="-211.90600000000001"/>
    <n v="-104"/>
    <x v="2"/>
    <n v="0"/>
    <n v="0"/>
    <n v="48"/>
    <n v="65"/>
    <n v="0"/>
    <n v="346.2"/>
    <n v="234.24"/>
    <m/>
    <n v="428.92696349888774"/>
    <n v="248.81836064955178"/>
    <n v="0"/>
    <n v="-73361.857199999999"/>
    <n v="-49636.861440000001"/>
    <n v="0"/>
    <n v="-90892.197127195308"/>
    <n v="-52726.103531803921"/>
  </r>
  <r>
    <s v="PROJETADO"/>
    <x v="2"/>
    <x v="5"/>
    <x v="7"/>
    <x v="3"/>
    <x v="2"/>
    <x v="0"/>
    <x v="0"/>
    <x v="11"/>
    <n v="0"/>
    <n v="0"/>
    <n v="1004.958"/>
    <n v="1004.958"/>
    <n v="1004.958"/>
    <n v="1004.958"/>
    <n v="5365"/>
    <x v="2"/>
    <n v="0"/>
    <n v="0"/>
    <n v="48"/>
    <n v="65"/>
    <n v="0"/>
    <n v="346.2"/>
    <n v="234.24"/>
    <m/>
    <n v="428.92696349888774"/>
    <n v="248.81836064955178"/>
    <n v="0"/>
    <n v="347916.4596"/>
    <n v="235401.36192"/>
    <n v="0"/>
    <n v="431053.58338391519"/>
    <n v="250052.00208165226"/>
  </r>
  <r>
    <s v="PROJETADO"/>
    <x v="2"/>
    <x v="5"/>
    <x v="7"/>
    <x v="3"/>
    <x v="2"/>
    <x v="0"/>
    <x v="0"/>
    <x v="11"/>
    <n v="0"/>
    <n v="0"/>
    <n v="-10.169"/>
    <n v="-10.169"/>
    <n v="-10.169"/>
    <n v="-10.169"/>
    <n v="0"/>
    <x v="2"/>
    <n v="0"/>
    <n v="0"/>
    <n v="48"/>
    <n v="65"/>
    <n v="0"/>
    <n v="346.2"/>
    <n v="234.24"/>
    <m/>
    <n v="428.92696349888774"/>
    <n v="248.81836064955178"/>
    <n v="0"/>
    <n v="-3520.5077999999999"/>
    <n v="-2381.9865600000003"/>
    <n v="0"/>
    <n v="-4361.7582918201897"/>
    <n v="-2530.2339094452923"/>
  </r>
  <r>
    <s v="Regular"/>
    <x v="2"/>
    <x v="5"/>
    <x v="7"/>
    <x v="4"/>
    <x v="2"/>
    <x v="0"/>
    <x v="0"/>
    <x v="0"/>
    <n v="0"/>
    <n v="0"/>
    <n v="6850.3620000000001"/>
    <n v="6850.3620000000001"/>
    <n v="6850.3620000000001"/>
    <n v="6850.3620000000001"/>
    <n v="20281"/>
    <x v="2"/>
    <n v="0"/>
    <n v="0"/>
    <n v="26"/>
    <n v="99"/>
    <n v="0"/>
    <n v="107.74"/>
    <n v="81.98"/>
    <m/>
    <n v="130.71853199091476"/>
    <n v="87.086426227343111"/>
    <n v="0"/>
    <n v="738058.00188"/>
    <n v="561592.67676000006"/>
    <n v="0"/>
    <n v="895469.26424634678"/>
    <n v="596573.54494359461"/>
  </r>
  <r>
    <s v="Refaturamento - Regular"/>
    <x v="2"/>
    <x v="5"/>
    <x v="7"/>
    <x v="4"/>
    <x v="2"/>
    <x v="0"/>
    <x v="0"/>
    <x v="0"/>
    <n v="0"/>
    <n v="0"/>
    <n v="-1.675"/>
    <n v="-1.675"/>
    <n v="-1.675"/>
    <n v="-1.675"/>
    <n v="-38"/>
    <x v="2"/>
    <n v="0"/>
    <n v="0"/>
    <n v="26"/>
    <n v="99"/>
    <n v="0"/>
    <n v="107.74"/>
    <n v="81.98"/>
    <m/>
    <n v="130.71853199091476"/>
    <n v="87.086426227343111"/>
    <n v="0"/>
    <n v="-180.46449999999999"/>
    <n v="-137.31650000000002"/>
    <n v="0"/>
    <n v="-218.95354108478222"/>
    <n v="-145.86976393079971"/>
  </r>
  <r>
    <s v="Sistema de Compensação"/>
    <x v="2"/>
    <x v="5"/>
    <x v="7"/>
    <x v="4"/>
    <x v="2"/>
    <x v="0"/>
    <x v="0"/>
    <x v="0"/>
    <n v="0"/>
    <n v="0"/>
    <n v="1.32"/>
    <n v="1.32"/>
    <n v="1.32"/>
    <n v="1.32"/>
    <n v="7"/>
    <x v="2"/>
    <n v="0"/>
    <n v="0"/>
    <n v="26"/>
    <n v="99"/>
    <n v="0"/>
    <n v="107.74"/>
    <n v="81.98"/>
    <m/>
    <n v="130.71853199091476"/>
    <n v="87.086426227343111"/>
    <n v="0"/>
    <n v="142.21680000000001"/>
    <n v="108.21360000000001"/>
    <n v="0"/>
    <n v="172.54846222800748"/>
    <n v="114.95408262009292"/>
  </r>
  <r>
    <s v="Regular"/>
    <x v="2"/>
    <x v="5"/>
    <x v="7"/>
    <x v="4"/>
    <x v="2"/>
    <x v="0"/>
    <x v="0"/>
    <x v="1"/>
    <n v="0"/>
    <n v="0"/>
    <n v="6865.0609999999997"/>
    <n v="6865.0609999999997"/>
    <n v="6865.0609999999997"/>
    <n v="6865.0609999999997"/>
    <n v="21755"/>
    <x v="2"/>
    <n v="0"/>
    <n v="0"/>
    <n v="26"/>
    <n v="99"/>
    <n v="0"/>
    <n v="107.74"/>
    <n v="81.98"/>
    <m/>
    <n v="130.71853199091476"/>
    <n v="87.086426227343111"/>
    <n v="0"/>
    <n v="739641.67213999992"/>
    <n v="562797.70077999996"/>
    <n v="0"/>
    <n v="897390.69594808121"/>
    <n v="597853.62832271028"/>
  </r>
  <r>
    <s v="Refaturamento - Regular"/>
    <x v="2"/>
    <x v="5"/>
    <x v="7"/>
    <x v="4"/>
    <x v="2"/>
    <x v="0"/>
    <x v="0"/>
    <x v="1"/>
    <n v="0"/>
    <n v="0"/>
    <n v="-0.16"/>
    <n v="-0.16"/>
    <n v="-0.16"/>
    <n v="-0.16"/>
    <n v="-60"/>
    <x v="2"/>
    <n v="0"/>
    <n v="0"/>
    <n v="26"/>
    <n v="99"/>
    <n v="0"/>
    <n v="107.74"/>
    <n v="81.98"/>
    <m/>
    <n v="130.71853199091476"/>
    <n v="87.086426227343111"/>
    <n v="0"/>
    <n v="-17.238399999999999"/>
    <n v="-13.116800000000001"/>
    <n v="0"/>
    <n v="-20.914965118546363"/>
    <n v="-13.933828196374899"/>
  </r>
  <r>
    <s v="Sistema de Compensação"/>
    <x v="2"/>
    <x v="5"/>
    <x v="7"/>
    <x v="4"/>
    <x v="2"/>
    <x v="0"/>
    <x v="0"/>
    <x v="1"/>
    <n v="0"/>
    <n v="0"/>
    <n v="1.47"/>
    <n v="1.47"/>
    <n v="1.47"/>
    <n v="1.47"/>
    <n v="6"/>
    <x v="2"/>
    <n v="0"/>
    <n v="0"/>
    <n v="26"/>
    <n v="99"/>
    <n v="0"/>
    <n v="107.74"/>
    <n v="81.98"/>
    <m/>
    <n v="130.71853199091476"/>
    <n v="87.086426227343111"/>
    <n v="0"/>
    <n v="158.37779999999998"/>
    <n v="120.5106"/>
    <n v="0"/>
    <n v="192.15624202664469"/>
    <n v="128.01704655419437"/>
  </r>
  <r>
    <s v="Regular"/>
    <x v="2"/>
    <x v="5"/>
    <x v="7"/>
    <x v="4"/>
    <x v="2"/>
    <x v="0"/>
    <x v="0"/>
    <x v="2"/>
    <n v="0"/>
    <n v="0"/>
    <n v="6886.57"/>
    <n v="6886.57"/>
    <n v="6886.57"/>
    <n v="6886.57"/>
    <n v="22419"/>
    <x v="2"/>
    <n v="0"/>
    <n v="0"/>
    <n v="26"/>
    <n v="99"/>
    <n v="0"/>
    <n v="107.74"/>
    <n v="81.98"/>
    <m/>
    <n v="130.71853199091476"/>
    <n v="87.086426227343111"/>
    <n v="0"/>
    <n v="741959.0517999999"/>
    <n v="564561.00860000006"/>
    <n v="0"/>
    <n v="900202.32085267385"/>
    <n v="599726.77026443428"/>
  </r>
  <r>
    <s v="Refaturamento - Regular"/>
    <x v="2"/>
    <x v="5"/>
    <x v="7"/>
    <x v="4"/>
    <x v="2"/>
    <x v="0"/>
    <x v="0"/>
    <x v="2"/>
    <n v="0"/>
    <n v="0"/>
    <n v="-0.126"/>
    <n v="-0.126"/>
    <n v="-0.126"/>
    <n v="-0.126"/>
    <n v="-6"/>
    <x v="2"/>
    <n v="0"/>
    <n v="0"/>
    <n v="26"/>
    <n v="99"/>
    <n v="0"/>
    <n v="107.74"/>
    <n v="81.98"/>
    <m/>
    <n v="130.71853199091476"/>
    <n v="87.086426227343111"/>
    <n v="0"/>
    <n v="-13.575239999999999"/>
    <n v="-10.32948"/>
    <n v="0"/>
    <n v="-16.47053503085526"/>
    <n v="-10.972889704645231"/>
  </r>
  <r>
    <s v="Sistema de Compensação"/>
    <x v="2"/>
    <x v="5"/>
    <x v="7"/>
    <x v="4"/>
    <x v="2"/>
    <x v="0"/>
    <x v="0"/>
    <x v="2"/>
    <n v="0"/>
    <n v="0"/>
    <n v="1.53"/>
    <n v="1.53"/>
    <n v="1.53"/>
    <n v="1.53"/>
    <n v="5"/>
    <x v="2"/>
    <n v="0"/>
    <n v="0"/>
    <n v="26"/>
    <n v="99"/>
    <n v="0"/>
    <n v="107.74"/>
    <n v="81.98"/>
    <m/>
    <n v="130.71853199091476"/>
    <n v="87.086426227343111"/>
    <n v="0"/>
    <n v="164.84219999999999"/>
    <n v="125.42940000000002"/>
    <n v="0"/>
    <n v="199.99935394609957"/>
    <n v="133.24223212783497"/>
  </r>
  <r>
    <s v="Regular"/>
    <x v="2"/>
    <x v="5"/>
    <x v="7"/>
    <x v="4"/>
    <x v="2"/>
    <x v="0"/>
    <x v="0"/>
    <x v="3"/>
    <n v="0"/>
    <n v="0"/>
    <n v="6931.933"/>
    <n v="6931.933"/>
    <n v="6931.933"/>
    <n v="6931.933"/>
    <n v="23087"/>
    <x v="2"/>
    <n v="0"/>
    <n v="0"/>
    <n v="26"/>
    <n v="99"/>
    <n v="0"/>
    <n v="107.74"/>
    <n v="81.98"/>
    <m/>
    <n v="130.71853199091476"/>
    <n v="87.086426227343111"/>
    <n v="0"/>
    <n v="746846.46141999995"/>
    <n v="568279.86734"/>
    <n v="0"/>
    <n v="906132.10561937769"/>
    <n v="603677.27181738522"/>
  </r>
  <r>
    <s v="Refaturamento - Regular"/>
    <x v="2"/>
    <x v="5"/>
    <x v="7"/>
    <x v="4"/>
    <x v="2"/>
    <x v="0"/>
    <x v="0"/>
    <x v="3"/>
    <n v="0"/>
    <n v="0"/>
    <n v="1.5189999999999999"/>
    <n v="1.5189999999999999"/>
    <n v="1.5189999999999999"/>
    <n v="1.5189999999999999"/>
    <n v="14"/>
    <x v="2"/>
    <n v="0"/>
    <n v="0"/>
    <n v="26"/>
    <n v="99"/>
    <n v="0"/>
    <n v="107.74"/>
    <n v="81.98"/>
    <m/>
    <n v="130.71853199091476"/>
    <n v="87.086426227343111"/>
    <n v="0"/>
    <n v="163.65705999999997"/>
    <n v="124.52762"/>
    <n v="0"/>
    <n v="198.5614500941995"/>
    <n v="132.28428143933417"/>
  </r>
  <r>
    <s v="Sistema de Compensação"/>
    <x v="2"/>
    <x v="5"/>
    <x v="7"/>
    <x v="4"/>
    <x v="2"/>
    <x v="0"/>
    <x v="0"/>
    <x v="3"/>
    <n v="0"/>
    <n v="0"/>
    <n v="1.71"/>
    <n v="1.71"/>
    <n v="1.71"/>
    <n v="1.71"/>
    <n v="4"/>
    <x v="2"/>
    <n v="0"/>
    <n v="0"/>
    <n v="26"/>
    <n v="99"/>
    <n v="0"/>
    <n v="107.74"/>
    <n v="81.98"/>
    <m/>
    <n v="130.71853199091476"/>
    <n v="87.086426227343111"/>
    <n v="0"/>
    <n v="184.2354"/>
    <n v="140.1858"/>
    <n v="0"/>
    <n v="223.52868970446423"/>
    <n v="148.91778884875671"/>
  </r>
  <r>
    <s v="Regular"/>
    <x v="2"/>
    <x v="5"/>
    <x v="7"/>
    <x v="4"/>
    <x v="2"/>
    <x v="0"/>
    <x v="0"/>
    <x v="4"/>
    <n v="0"/>
    <n v="0"/>
    <n v="6971.5640000000003"/>
    <n v="6971.5640000000003"/>
    <n v="6971.5640000000003"/>
    <n v="6971.5640000000003"/>
    <n v="24466"/>
    <x v="2"/>
    <n v="0"/>
    <n v="0"/>
    <n v="26"/>
    <n v="99"/>
    <n v="0"/>
    <n v="107.74"/>
    <n v="81.98"/>
    <m/>
    <n v="130.71853199091476"/>
    <n v="87.086426227343111"/>
    <n v="0"/>
    <n v="751116.30536"/>
    <n v="571528.81672"/>
    <n v="0"/>
    <n v="911312.61176070967"/>
    <n v="607128.59397520102"/>
  </r>
  <r>
    <s v="Refaturamento - Regular"/>
    <x v="2"/>
    <x v="5"/>
    <x v="7"/>
    <x v="4"/>
    <x v="2"/>
    <x v="0"/>
    <x v="0"/>
    <x v="4"/>
    <n v="0"/>
    <n v="0"/>
    <n v="3.0750000000000002"/>
    <n v="3.0750000000000002"/>
    <n v="3.0750000000000002"/>
    <n v="3.0750000000000002"/>
    <n v="13"/>
    <x v="2"/>
    <n v="0"/>
    <n v="0"/>
    <n v="26"/>
    <n v="99"/>
    <n v="0"/>
    <n v="107.74"/>
    <n v="81.98"/>
    <m/>
    <n v="130.71853199091476"/>
    <n v="87.086426227343111"/>
    <n v="0"/>
    <n v="331.3005"/>
    <n v="252.08850000000004"/>
    <n v="0"/>
    <n v="401.95948587206288"/>
    <n v="267.79076064908008"/>
  </r>
  <r>
    <s v="Sistema de Compensação"/>
    <x v="2"/>
    <x v="5"/>
    <x v="7"/>
    <x v="4"/>
    <x v="2"/>
    <x v="0"/>
    <x v="0"/>
    <x v="4"/>
    <n v="0"/>
    <n v="0"/>
    <n v="1.8"/>
    <n v="1.8"/>
    <n v="1.8"/>
    <n v="1.8"/>
    <n v="3"/>
    <x v="2"/>
    <n v="0"/>
    <n v="0"/>
    <n v="26"/>
    <n v="99"/>
    <n v="0"/>
    <n v="107.74"/>
    <n v="81.98"/>
    <m/>
    <n v="130.71853199091476"/>
    <n v="87.086426227343111"/>
    <n v="0"/>
    <n v="193.93199999999999"/>
    <n v="147.56400000000002"/>
    <n v="0"/>
    <n v="235.29335758364655"/>
    <n v="156.75556720921762"/>
  </r>
  <r>
    <s v="Regular"/>
    <x v="2"/>
    <x v="5"/>
    <x v="7"/>
    <x v="4"/>
    <x v="2"/>
    <x v="0"/>
    <x v="0"/>
    <x v="5"/>
    <n v="0"/>
    <n v="0"/>
    <n v="6875.5219999999999"/>
    <n v="6875.5219999999999"/>
    <n v="6875.5219999999999"/>
    <n v="6875.5219999999999"/>
    <n v="23075"/>
    <x v="2"/>
    <n v="0"/>
    <n v="0"/>
    <n v="26"/>
    <n v="99"/>
    <n v="0"/>
    <n v="107.74"/>
    <n v="81.98"/>
    <m/>
    <n v="130.71853199091476"/>
    <n v="87.086426227343111"/>
    <n v="0"/>
    <n v="740768.74027999991"/>
    <n v="563655.29356000002"/>
    <n v="0"/>
    <n v="898758.14251123823"/>
    <n v="598764.63942747458"/>
  </r>
  <r>
    <s v="Refaturamento - Regular"/>
    <x v="2"/>
    <x v="5"/>
    <x v="7"/>
    <x v="4"/>
    <x v="2"/>
    <x v="0"/>
    <x v="0"/>
    <x v="5"/>
    <n v="0"/>
    <n v="0"/>
    <n v="7.2610000000000001"/>
    <n v="7.2610000000000001"/>
    <n v="7.2610000000000001"/>
    <n v="7.2610000000000001"/>
    <n v="19"/>
    <x v="2"/>
    <n v="0"/>
    <n v="0"/>
    <n v="26"/>
    <n v="99"/>
    <n v="0"/>
    <n v="107.74"/>
    <n v="81.98"/>
    <m/>
    <n v="130.71853199091476"/>
    <n v="87.086426227343111"/>
    <n v="0"/>
    <n v="782.30013999999994"/>
    <n v="595.25678000000005"/>
    <n v="0"/>
    <n v="949.14726078603201"/>
    <n v="632.33454083673837"/>
  </r>
  <r>
    <s v="Sistema de Compensação"/>
    <x v="2"/>
    <x v="5"/>
    <x v="7"/>
    <x v="4"/>
    <x v="2"/>
    <x v="0"/>
    <x v="0"/>
    <x v="5"/>
    <n v="0"/>
    <n v="0"/>
    <n v="1.86"/>
    <n v="1.86"/>
    <n v="1.86"/>
    <n v="1.86"/>
    <n v="3"/>
    <x v="2"/>
    <n v="0"/>
    <n v="0"/>
    <n v="26"/>
    <n v="99"/>
    <n v="0"/>
    <n v="107.74"/>
    <n v="81.98"/>
    <m/>
    <n v="130.71853199091476"/>
    <n v="87.086426227343111"/>
    <n v="0"/>
    <n v="200.3964"/>
    <n v="152.48280000000003"/>
    <n v="0"/>
    <n v="243.13646950310147"/>
    <n v="161.98075278285819"/>
  </r>
  <r>
    <s v="Regular"/>
    <x v="2"/>
    <x v="5"/>
    <x v="7"/>
    <x v="4"/>
    <x v="2"/>
    <x v="0"/>
    <x v="0"/>
    <x v="6"/>
    <n v="0"/>
    <n v="0"/>
    <n v="6927.3630000000003"/>
    <n v="6927.3630000000003"/>
    <n v="6927.3630000000003"/>
    <n v="6927.3630000000003"/>
    <n v="21996"/>
    <x v="2"/>
    <n v="0"/>
    <n v="0"/>
    <n v="26"/>
    <n v="99"/>
    <n v="0"/>
    <n v="107.74"/>
    <n v="81.98"/>
    <m/>
    <n v="130.71853199091476"/>
    <n v="87.086426227343111"/>
    <n v="0"/>
    <n v="746354.08961999998"/>
    <n v="567905.21874000004"/>
    <n v="0"/>
    <n v="905534.72192817926"/>
    <n v="603279.28684952622"/>
  </r>
  <r>
    <s v="Refaturamento - Regular"/>
    <x v="2"/>
    <x v="5"/>
    <x v="7"/>
    <x v="4"/>
    <x v="2"/>
    <x v="0"/>
    <x v="0"/>
    <x v="6"/>
    <n v="0"/>
    <n v="0"/>
    <n v="1.2250000000000001"/>
    <n v="1.2250000000000001"/>
    <n v="1.2250000000000001"/>
    <n v="1.2250000000000001"/>
    <n v="17"/>
    <x v="2"/>
    <n v="0"/>
    <n v="0"/>
    <n v="26"/>
    <n v="99"/>
    <n v="0"/>
    <n v="107.74"/>
    <n v="81.98"/>
    <m/>
    <n v="130.71853199091476"/>
    <n v="87.086426227343111"/>
    <n v="0"/>
    <n v="131.98150000000001"/>
    <n v="100.42550000000001"/>
    <n v="0"/>
    <n v="160.13020168887059"/>
    <n v="106.68087212849532"/>
  </r>
  <r>
    <s v="Sistema de Compensação"/>
    <x v="2"/>
    <x v="5"/>
    <x v="7"/>
    <x v="4"/>
    <x v="2"/>
    <x v="0"/>
    <x v="0"/>
    <x v="6"/>
    <n v="0"/>
    <n v="0"/>
    <n v="1.95"/>
    <n v="1.95"/>
    <n v="1.95"/>
    <n v="1.95"/>
    <n v="5"/>
    <x v="2"/>
    <n v="0"/>
    <n v="0"/>
    <n v="26"/>
    <n v="99"/>
    <n v="0"/>
    <n v="107.74"/>
    <n v="81.98"/>
    <m/>
    <n v="130.71853199091476"/>
    <n v="87.086426227343111"/>
    <n v="0"/>
    <n v="210.09299999999999"/>
    <n v="159.86099999999999"/>
    <n v="0"/>
    <n v="254.90113738228376"/>
    <n v="169.81853114331906"/>
  </r>
  <r>
    <s v="Regular"/>
    <x v="2"/>
    <x v="5"/>
    <x v="7"/>
    <x v="4"/>
    <x v="2"/>
    <x v="0"/>
    <x v="0"/>
    <x v="7"/>
    <n v="0"/>
    <n v="0"/>
    <n v="6944.7920000000004"/>
    <n v="6944.7920000000004"/>
    <n v="6944.7920000000004"/>
    <n v="6944.7920000000004"/>
    <n v="21899"/>
    <x v="2"/>
    <n v="0"/>
    <n v="0"/>
    <n v="26"/>
    <n v="99"/>
    <n v="0"/>
    <n v="107.74"/>
    <n v="81.98"/>
    <m/>
    <n v="130.71853199091476"/>
    <n v="87.086426227343111"/>
    <n v="0"/>
    <n v="748231.89008000004"/>
    <n v="569334.04816000001"/>
    <n v="0"/>
    <n v="907813.01522224897"/>
    <n v="604797.11617224268"/>
  </r>
  <r>
    <s v="Refaturamento - Regular"/>
    <x v="2"/>
    <x v="5"/>
    <x v="7"/>
    <x v="4"/>
    <x v="2"/>
    <x v="0"/>
    <x v="0"/>
    <x v="7"/>
    <n v="0"/>
    <n v="0"/>
    <n v="1.409"/>
    <n v="1.409"/>
    <n v="1.409"/>
    <n v="1.409"/>
    <n v="-1"/>
    <x v="2"/>
    <n v="0"/>
    <n v="0"/>
    <n v="26"/>
    <n v="99"/>
    <n v="0"/>
    <n v="107.74"/>
    <n v="81.98"/>
    <m/>
    <n v="130.71853199091476"/>
    <n v="87.086426227343111"/>
    <n v="0"/>
    <n v="151.80565999999999"/>
    <n v="115.50982"/>
    <n v="0"/>
    <n v="184.1824115751989"/>
    <n v="122.70477455432645"/>
  </r>
  <r>
    <s v="Sistema de Compensação"/>
    <x v="2"/>
    <x v="5"/>
    <x v="7"/>
    <x v="4"/>
    <x v="2"/>
    <x v="0"/>
    <x v="0"/>
    <x v="7"/>
    <n v="0"/>
    <n v="0"/>
    <n v="2.0099999999999998"/>
    <n v="2.0099999999999998"/>
    <n v="2.0099999999999998"/>
    <n v="2.0099999999999998"/>
    <n v="3"/>
    <x v="2"/>
    <n v="0"/>
    <n v="0"/>
    <n v="26"/>
    <n v="99"/>
    <n v="0"/>
    <n v="107.74"/>
    <n v="81.98"/>
    <m/>
    <n v="130.71853199091476"/>
    <n v="87.086426227343111"/>
    <n v="0"/>
    <n v="216.55739999999997"/>
    <n v="164.77979999999999"/>
    <n v="0"/>
    <n v="262.74424930173865"/>
    <n v="175.04371671695964"/>
  </r>
  <r>
    <s v="Regular"/>
    <x v="2"/>
    <x v="5"/>
    <x v="7"/>
    <x v="4"/>
    <x v="2"/>
    <x v="0"/>
    <x v="0"/>
    <x v="8"/>
    <n v="0"/>
    <n v="0"/>
    <n v="6935.1530000000002"/>
    <n v="6935.1530000000002"/>
    <n v="6935.1530000000002"/>
    <n v="6935.1530000000002"/>
    <n v="20869"/>
    <x v="2"/>
    <n v="0"/>
    <n v="0"/>
    <n v="26"/>
    <n v="99"/>
    <n v="0"/>
    <n v="107.74"/>
    <n v="81.98"/>
    <m/>
    <n v="130.71853199091476"/>
    <n v="87.086426227343111"/>
    <n v="0"/>
    <n v="747193.38422000001"/>
    <n v="568543.84294"/>
    <n v="0"/>
    <n v="906553.01929238846"/>
    <n v="603957.69010983733"/>
  </r>
  <r>
    <s v="Refaturamento - Regular"/>
    <x v="2"/>
    <x v="5"/>
    <x v="7"/>
    <x v="4"/>
    <x v="2"/>
    <x v="0"/>
    <x v="0"/>
    <x v="8"/>
    <n v="0"/>
    <n v="0"/>
    <n v="3.1930000000000001"/>
    <n v="3.1930000000000001"/>
    <n v="3.1930000000000001"/>
    <n v="3.1930000000000001"/>
    <n v="38"/>
    <x v="2"/>
    <n v="0"/>
    <n v="0"/>
    <n v="26"/>
    <n v="99"/>
    <n v="0"/>
    <n v="107.74"/>
    <n v="81.98"/>
    <m/>
    <n v="130.71853199091476"/>
    <n v="87.086426227343111"/>
    <n v="0"/>
    <n v="344.01382000000001"/>
    <n v="261.76214000000004"/>
    <n v="0"/>
    <n v="417.38427264699084"/>
    <n v="278.06695894390657"/>
  </r>
  <r>
    <s v="Sistema de Compensação"/>
    <x v="2"/>
    <x v="5"/>
    <x v="7"/>
    <x v="4"/>
    <x v="2"/>
    <x v="0"/>
    <x v="0"/>
    <x v="8"/>
    <n v="0"/>
    <n v="0"/>
    <n v="2.13"/>
    <n v="2.13"/>
    <n v="2.13"/>
    <n v="2.13"/>
    <n v="4"/>
    <x v="2"/>
    <n v="0"/>
    <n v="0"/>
    <n v="26"/>
    <n v="99"/>
    <n v="0"/>
    <n v="107.74"/>
    <n v="81.98"/>
    <m/>
    <n v="130.71853199091476"/>
    <n v="87.086426227343111"/>
    <n v="0"/>
    <n v="229.48619999999997"/>
    <n v="174.6174"/>
    <n v="0"/>
    <n v="278.43047314064842"/>
    <n v="185.49408786424081"/>
  </r>
  <r>
    <s v="Regular"/>
    <x v="2"/>
    <x v="5"/>
    <x v="7"/>
    <x v="4"/>
    <x v="2"/>
    <x v="0"/>
    <x v="0"/>
    <x v="9"/>
    <n v="0"/>
    <n v="0"/>
    <n v="6954.357"/>
    <n v="6954.357"/>
    <n v="6954.357"/>
    <n v="6954.357"/>
    <n v="19774"/>
    <x v="2"/>
    <n v="0"/>
    <n v="0"/>
    <n v="26"/>
    <n v="99"/>
    <n v="0"/>
    <n v="107.74"/>
    <n v="81.98"/>
    <m/>
    <n v="130.71853199091476"/>
    <n v="87.086426227343111"/>
    <n v="0"/>
    <n v="749262.42317999993"/>
    <n v="570118.18686000002"/>
    <n v="0"/>
    <n v="909063.33798074198"/>
    <n v="605630.09783910715"/>
  </r>
  <r>
    <s v="Refaturamento - Regular"/>
    <x v="2"/>
    <x v="5"/>
    <x v="7"/>
    <x v="4"/>
    <x v="2"/>
    <x v="0"/>
    <x v="0"/>
    <x v="9"/>
    <n v="0"/>
    <n v="0"/>
    <n v="0.28299999999999997"/>
    <n v="0.28299999999999997"/>
    <n v="0.28299999999999997"/>
    <n v="0.28299999999999997"/>
    <n v="1"/>
    <x v="2"/>
    <n v="0"/>
    <n v="0"/>
    <n v="26"/>
    <n v="99"/>
    <n v="0"/>
    <n v="107.74"/>
    <n v="81.98"/>
    <m/>
    <n v="130.71853199091476"/>
    <n v="87.086426227343111"/>
    <n v="0"/>
    <n v="30.490419999999997"/>
    <n v="23.200340000000001"/>
    <n v="0"/>
    <n v="36.993344553428869"/>
    <n v="24.645458622338097"/>
  </r>
  <r>
    <s v="Sistema de Compensação"/>
    <x v="2"/>
    <x v="5"/>
    <x v="7"/>
    <x v="4"/>
    <x v="2"/>
    <x v="0"/>
    <x v="0"/>
    <x v="9"/>
    <n v="0"/>
    <n v="0"/>
    <n v="2.34"/>
    <n v="2.34"/>
    <n v="2.34"/>
    <n v="2.34"/>
    <n v="7"/>
    <x v="2"/>
    <n v="0"/>
    <n v="0"/>
    <n v="26"/>
    <n v="99"/>
    <n v="0"/>
    <n v="107.74"/>
    <n v="81.98"/>
    <m/>
    <n v="130.71853199091476"/>
    <n v="87.086426227343111"/>
    <n v="0"/>
    <n v="252.11159999999998"/>
    <n v="191.83320000000001"/>
    <n v="0"/>
    <n v="305.88136485874048"/>
    <n v="203.78223737198286"/>
  </r>
  <r>
    <s v="Regular"/>
    <x v="2"/>
    <x v="5"/>
    <x v="7"/>
    <x v="4"/>
    <x v="2"/>
    <x v="0"/>
    <x v="0"/>
    <x v="10"/>
    <n v="0"/>
    <n v="0"/>
    <n v="7246.22"/>
    <n v="7246.22"/>
    <n v="7246.22"/>
    <n v="7246.22"/>
    <n v="20972"/>
    <x v="2"/>
    <n v="0"/>
    <n v="0"/>
    <n v="26"/>
    <n v="99"/>
    <n v="0"/>
    <n v="107.74"/>
    <n v="81.98"/>
    <m/>
    <n v="130.71853199091476"/>
    <n v="87.086426227343111"/>
    <n v="0"/>
    <n v="780707.74280000001"/>
    <n v="594045.11560000002"/>
    <n v="0"/>
    <n v="947215.24088320637"/>
    <n v="631047.40345709817"/>
  </r>
  <r>
    <s v="Refaturamento - Regular"/>
    <x v="2"/>
    <x v="5"/>
    <x v="7"/>
    <x v="4"/>
    <x v="2"/>
    <x v="0"/>
    <x v="0"/>
    <x v="10"/>
    <n v="0"/>
    <n v="0"/>
    <n v="1.155"/>
    <n v="1.155"/>
    <n v="1.155"/>
    <n v="1.155"/>
    <n v="8"/>
    <x v="2"/>
    <n v="0"/>
    <n v="0"/>
    <n v="26"/>
    <n v="99"/>
    <n v="0"/>
    <n v="107.74"/>
    <n v="81.98"/>
    <m/>
    <n v="130.71853199091476"/>
    <n v="87.086426227343111"/>
    <n v="0"/>
    <n v="124.4397"/>
    <n v="94.686900000000009"/>
    <n v="0"/>
    <n v="150.97990444950653"/>
    <n v="100.58482229258129"/>
  </r>
  <r>
    <s v="Sistema de Compensação"/>
    <x v="2"/>
    <x v="5"/>
    <x v="7"/>
    <x v="4"/>
    <x v="2"/>
    <x v="0"/>
    <x v="0"/>
    <x v="10"/>
    <n v="0"/>
    <n v="0"/>
    <n v="2.4300000000000002"/>
    <n v="2.4300000000000002"/>
    <n v="2.4300000000000002"/>
    <n v="2.4300000000000002"/>
    <n v="7"/>
    <x v="2"/>
    <n v="0"/>
    <n v="0"/>
    <n v="26"/>
    <n v="99"/>
    <n v="0"/>
    <n v="107.74"/>
    <n v="81.98"/>
    <m/>
    <n v="130.71853199091476"/>
    <n v="87.086426227343111"/>
    <n v="0"/>
    <n v="261.8082"/>
    <n v="199.21140000000003"/>
    <n v="0"/>
    <n v="317.64603273792289"/>
    <n v="211.62001573244376"/>
  </r>
  <r>
    <s v="PROJETADO"/>
    <x v="2"/>
    <x v="5"/>
    <x v="7"/>
    <x v="4"/>
    <x v="2"/>
    <x v="0"/>
    <x v="0"/>
    <x v="11"/>
    <n v="0"/>
    <n v="0"/>
    <n v="7246.22"/>
    <n v="7246.22"/>
    <n v="7246.22"/>
    <n v="7246.22"/>
    <n v="20972"/>
    <x v="2"/>
    <n v="0"/>
    <n v="0"/>
    <n v="26"/>
    <n v="99"/>
    <n v="0"/>
    <n v="107.74"/>
    <n v="81.98"/>
    <m/>
    <n v="130.71853199091476"/>
    <n v="87.086426227343111"/>
    <n v="0"/>
    <n v="780707.74280000001"/>
    <n v="594045.11560000002"/>
    <n v="0"/>
    <n v="947215.24088320637"/>
    <n v="631047.40345709817"/>
  </r>
  <r>
    <s v="PROJETADO"/>
    <x v="2"/>
    <x v="5"/>
    <x v="7"/>
    <x v="4"/>
    <x v="2"/>
    <x v="0"/>
    <x v="0"/>
    <x v="11"/>
    <n v="0"/>
    <n v="0"/>
    <n v="1.155"/>
    <n v="1.155"/>
    <n v="1.155"/>
    <n v="1.155"/>
    <n v="8"/>
    <x v="2"/>
    <n v="0"/>
    <n v="0"/>
    <n v="26"/>
    <n v="99"/>
    <n v="0"/>
    <n v="107.74"/>
    <n v="81.98"/>
    <m/>
    <n v="130.71853199091476"/>
    <n v="87.086426227343111"/>
    <n v="0"/>
    <n v="124.4397"/>
    <n v="94.686900000000009"/>
    <n v="0"/>
    <n v="150.97990444950653"/>
    <n v="100.58482229258129"/>
  </r>
  <r>
    <s v="PROJETADO"/>
    <x v="2"/>
    <x v="5"/>
    <x v="7"/>
    <x v="4"/>
    <x v="2"/>
    <x v="0"/>
    <x v="0"/>
    <x v="11"/>
    <n v="0"/>
    <n v="0"/>
    <n v="2.4300000000000002"/>
    <n v="2.4300000000000002"/>
    <n v="2.4300000000000002"/>
    <n v="2.4300000000000002"/>
    <n v="7"/>
    <x v="2"/>
    <n v="0"/>
    <n v="0"/>
    <n v="26"/>
    <n v="99"/>
    <n v="0"/>
    <n v="107.74"/>
    <n v="81.98"/>
    <m/>
    <n v="130.71853199091476"/>
    <n v="87.086426227343111"/>
    <n v="0"/>
    <n v="261.8082"/>
    <n v="199.21140000000003"/>
    <n v="0"/>
    <n v="317.64603273792289"/>
    <n v="211.62001573244376"/>
  </r>
  <r>
    <s v="Regular"/>
    <x v="2"/>
    <x v="5"/>
    <x v="7"/>
    <x v="5"/>
    <x v="2"/>
    <x v="0"/>
    <x v="0"/>
    <x v="0"/>
    <n v="0"/>
    <n v="0"/>
    <n v="11784.513999999999"/>
    <n v="11784.513999999999"/>
    <n v="11784.513999999999"/>
    <n v="11784.513999999999"/>
    <n v="98290"/>
    <x v="2"/>
    <n v="0"/>
    <n v="0"/>
    <n v="27"/>
    <n v="100"/>
    <n v="0"/>
    <n v="184.7"/>
    <n v="140.54"/>
    <m/>
    <n v="224.08891198442532"/>
    <n v="149.29101638973106"/>
    <n v="0"/>
    <n v="2176599.7357999999"/>
    <n v="1656195.5975599999"/>
    <n v="0"/>
    <n v="2640778.9205252277"/>
    <n v="1759322.0727190149"/>
  </r>
  <r>
    <s v="Refaturamento - Regular"/>
    <x v="2"/>
    <x v="5"/>
    <x v="7"/>
    <x v="5"/>
    <x v="2"/>
    <x v="0"/>
    <x v="0"/>
    <x v="0"/>
    <n v="0"/>
    <n v="0"/>
    <n v="-2.8889999999999998"/>
    <n v="-2.8889999999999998"/>
    <n v="-2.8889999999999998"/>
    <n v="-2.8889999999999998"/>
    <n v="-34"/>
    <x v="2"/>
    <n v="0"/>
    <n v="0"/>
    <n v="27"/>
    <n v="100"/>
    <n v="0"/>
    <n v="184.7"/>
    <n v="140.54"/>
    <m/>
    <n v="224.08891198442532"/>
    <n v="149.29101638973106"/>
    <n v="0"/>
    <n v="-533.59829999999988"/>
    <n v="-406.02005999999994"/>
    <n v="0"/>
    <n v="-647.39286672300466"/>
    <n v="-431.30174634993301"/>
  </r>
  <r>
    <s v="Sistema de Compensação"/>
    <x v="2"/>
    <x v="5"/>
    <x v="7"/>
    <x v="5"/>
    <x v="2"/>
    <x v="0"/>
    <x v="0"/>
    <x v="0"/>
    <n v="0"/>
    <n v="0"/>
    <n v="1.8560000000000001"/>
    <n v="1.8560000000000001"/>
    <n v="1.8560000000000001"/>
    <n v="1.8560000000000001"/>
    <n v="5"/>
    <x v="2"/>
    <n v="0"/>
    <n v="0"/>
    <n v="27"/>
    <n v="100"/>
    <n v="0"/>
    <n v="184.7"/>
    <n v="140.54"/>
    <m/>
    <n v="224.08891198442532"/>
    <n v="149.29101638973106"/>
    <n v="0"/>
    <n v="342.8032"/>
    <n v="260.84224"/>
    <n v="0"/>
    <n v="415.90902064309341"/>
    <n v="277.08412641934086"/>
  </r>
  <r>
    <s v="Regular"/>
    <x v="2"/>
    <x v="5"/>
    <x v="7"/>
    <x v="5"/>
    <x v="2"/>
    <x v="0"/>
    <x v="0"/>
    <x v="1"/>
    <n v="0"/>
    <n v="0"/>
    <n v="10989.485000000001"/>
    <n v="10989.485000000001"/>
    <n v="10989.485000000001"/>
    <n v="10989.485000000001"/>
    <n v="114625"/>
    <x v="2"/>
    <n v="0"/>
    <n v="0"/>
    <n v="27"/>
    <n v="100"/>
    <n v="0"/>
    <n v="184.7"/>
    <n v="140.54"/>
    <m/>
    <n v="224.08891198442532"/>
    <n v="149.29101638973106"/>
    <n v="0"/>
    <n v="2029757.8795"/>
    <n v="1544462.2219"/>
    <n v="0"/>
    <n v="2462621.7369191623"/>
    <n v="1640631.3852497037"/>
  </r>
  <r>
    <s v="Refaturamento - Regular"/>
    <x v="2"/>
    <x v="5"/>
    <x v="7"/>
    <x v="5"/>
    <x v="2"/>
    <x v="0"/>
    <x v="0"/>
    <x v="1"/>
    <n v="0"/>
    <n v="0"/>
    <n v="-0.79100000000000004"/>
    <n v="-0.79100000000000004"/>
    <n v="-0.79100000000000004"/>
    <n v="-0.79100000000000004"/>
    <n v="-3"/>
    <x v="2"/>
    <n v="0"/>
    <n v="0"/>
    <n v="27"/>
    <n v="100"/>
    <n v="0"/>
    <n v="184.7"/>
    <n v="140.54"/>
    <m/>
    <n v="224.08891198442532"/>
    <n v="149.29101638973106"/>
    <n v="0"/>
    <n v="-146.0977"/>
    <n v="-111.16714"/>
    <n v="0"/>
    <n v="-177.25432937968043"/>
    <n v="-118.08919396427727"/>
  </r>
  <r>
    <s v="Sistema de Compensação"/>
    <x v="2"/>
    <x v="5"/>
    <x v="7"/>
    <x v="5"/>
    <x v="2"/>
    <x v="0"/>
    <x v="0"/>
    <x v="1"/>
    <n v="0"/>
    <n v="0"/>
    <n v="2.222"/>
    <n v="2.222"/>
    <n v="2.222"/>
    <n v="2.222"/>
    <n v="6"/>
    <x v="2"/>
    <n v="0"/>
    <n v="0"/>
    <n v="27"/>
    <n v="100"/>
    <n v="0"/>
    <n v="184.7"/>
    <n v="140.54"/>
    <m/>
    <n v="224.08891198442532"/>
    <n v="149.29101638973106"/>
    <n v="0"/>
    <n v="410.40339999999998"/>
    <n v="312.27987999999999"/>
    <n v="0"/>
    <n v="497.92556242939304"/>
    <n v="331.72463841798242"/>
  </r>
  <r>
    <s v="Regular"/>
    <x v="2"/>
    <x v="5"/>
    <x v="7"/>
    <x v="5"/>
    <x v="2"/>
    <x v="0"/>
    <x v="0"/>
    <x v="2"/>
    <n v="0"/>
    <n v="0"/>
    <n v="10714.004999999999"/>
    <n v="10714.004999999999"/>
    <n v="10714.004999999999"/>
    <n v="10714.004999999999"/>
    <n v="120776"/>
    <x v="2"/>
    <n v="0"/>
    <n v="0"/>
    <n v="27"/>
    <n v="100"/>
    <n v="0"/>
    <n v="184.7"/>
    <n v="140.54"/>
    <m/>
    <n v="224.08891198442532"/>
    <n v="149.29101638973106"/>
    <n v="0"/>
    <n v="1978876.7234999996"/>
    <n v="1505746.2626999998"/>
    <n v="0"/>
    <n v="2400889.7234456926"/>
    <n v="1599504.6960546602"/>
  </r>
  <r>
    <s v="Refaturamento - Regular"/>
    <x v="2"/>
    <x v="5"/>
    <x v="7"/>
    <x v="5"/>
    <x v="2"/>
    <x v="0"/>
    <x v="0"/>
    <x v="2"/>
    <n v="0"/>
    <n v="0"/>
    <n v="-1.67"/>
    <n v="-1.67"/>
    <n v="-1.67"/>
    <n v="-1.67"/>
    <n v="-10"/>
    <x v="2"/>
    <n v="0"/>
    <n v="0"/>
    <n v="27"/>
    <n v="100"/>
    <n v="0"/>
    <n v="184.7"/>
    <n v="140.54"/>
    <m/>
    <n v="224.08891198442532"/>
    <n v="149.29101638973106"/>
    <n v="0"/>
    <n v="-308.44899999999996"/>
    <n v="-234.70179999999996"/>
    <n v="0"/>
    <n v="-374.22848301399029"/>
    <n v="-249.31599737085085"/>
  </r>
  <r>
    <s v="Sistema de Compensação"/>
    <x v="2"/>
    <x v="5"/>
    <x v="7"/>
    <x v="5"/>
    <x v="2"/>
    <x v="0"/>
    <x v="0"/>
    <x v="2"/>
    <n v="0"/>
    <n v="0"/>
    <n v="2.242"/>
    <n v="2.242"/>
    <n v="2.242"/>
    <n v="2.242"/>
    <n v="6"/>
    <x v="2"/>
    <n v="0"/>
    <n v="0"/>
    <n v="27"/>
    <n v="100"/>
    <n v="0"/>
    <n v="184.7"/>
    <n v="140.54"/>
    <m/>
    <n v="224.08891198442532"/>
    <n v="149.29101638973106"/>
    <n v="0"/>
    <n v="414.09739999999999"/>
    <n v="315.09067999999996"/>
    <n v="0"/>
    <n v="502.40734066908158"/>
    <n v="334.71045874577703"/>
  </r>
  <r>
    <s v="Regular"/>
    <x v="2"/>
    <x v="5"/>
    <x v="7"/>
    <x v="5"/>
    <x v="2"/>
    <x v="0"/>
    <x v="0"/>
    <x v="3"/>
    <n v="0"/>
    <n v="0"/>
    <n v="10670.163"/>
    <n v="10670.163"/>
    <n v="10670.163"/>
    <n v="10670.163"/>
    <n v="123431"/>
    <x v="2"/>
    <n v="0"/>
    <n v="0"/>
    <n v="27"/>
    <n v="100"/>
    <n v="0"/>
    <n v="184.7"/>
    <n v="140.54"/>
    <m/>
    <n v="224.08891198442532"/>
    <n v="149.29101638973106"/>
    <n v="0"/>
    <n v="1970779.1061"/>
    <n v="1499584.70802"/>
    <n v="0"/>
    <n v="2391065.2173664719"/>
    <n v="1592959.4793141019"/>
  </r>
  <r>
    <s v="Refaturamento - Regular"/>
    <x v="2"/>
    <x v="5"/>
    <x v="7"/>
    <x v="5"/>
    <x v="2"/>
    <x v="0"/>
    <x v="0"/>
    <x v="3"/>
    <n v="0"/>
    <n v="0"/>
    <n v="-1.9139999999999999"/>
    <n v="-1.9139999999999999"/>
    <n v="-1.9139999999999999"/>
    <n v="-1.9139999999999999"/>
    <n v="-24"/>
    <x v="2"/>
    <n v="0"/>
    <n v="0"/>
    <n v="27"/>
    <n v="100"/>
    <n v="0"/>
    <n v="184.7"/>
    <n v="140.54"/>
    <m/>
    <n v="224.08891198442532"/>
    <n v="149.29101638973106"/>
    <n v="0"/>
    <n v="-353.51579999999996"/>
    <n v="-268.99356"/>
    <n v="0"/>
    <n v="-428.90617753819004"/>
    <n v="-285.74300536994525"/>
  </r>
  <r>
    <s v="Sistema de Compensação"/>
    <x v="2"/>
    <x v="5"/>
    <x v="7"/>
    <x v="5"/>
    <x v="2"/>
    <x v="0"/>
    <x v="0"/>
    <x v="3"/>
    <n v="0"/>
    <n v="0"/>
    <n v="2.36"/>
    <n v="2.36"/>
    <n v="2.36"/>
    <n v="2.36"/>
    <n v="10"/>
    <x v="2"/>
    <n v="0"/>
    <n v="0"/>
    <n v="27"/>
    <n v="100"/>
    <n v="0"/>
    <n v="184.7"/>
    <n v="140.54"/>
    <m/>
    <n v="224.08891198442532"/>
    <n v="149.29101638973106"/>
    <n v="0"/>
    <n v="435.89199999999994"/>
    <n v="331.67439999999999"/>
    <n v="0"/>
    <n v="528.8498322832437"/>
    <n v="352.32679867976526"/>
  </r>
  <r>
    <s v="Regular"/>
    <x v="2"/>
    <x v="5"/>
    <x v="7"/>
    <x v="5"/>
    <x v="2"/>
    <x v="0"/>
    <x v="0"/>
    <x v="4"/>
    <n v="0"/>
    <n v="0"/>
    <n v="10254.171"/>
    <n v="10254.171"/>
    <n v="10254.171"/>
    <n v="10254.171"/>
    <n v="131714"/>
    <x v="2"/>
    <n v="0"/>
    <n v="0"/>
    <n v="27"/>
    <n v="100"/>
    <n v="0"/>
    <n v="184.7"/>
    <n v="140.54"/>
    <m/>
    <n v="224.08891198442532"/>
    <n v="149.29101638973106"/>
    <n v="0"/>
    <n v="1893945.3836999999"/>
    <n v="1441121.1923400001"/>
    <n v="0"/>
    <n v="2297846.0226922468"/>
    <n v="1530855.6108241049"/>
  </r>
  <r>
    <s v="Refaturamento - Regular"/>
    <x v="2"/>
    <x v="5"/>
    <x v="7"/>
    <x v="5"/>
    <x v="2"/>
    <x v="0"/>
    <x v="0"/>
    <x v="4"/>
    <n v="0"/>
    <n v="0"/>
    <n v="-1.6839999999999999"/>
    <n v="-1.6839999999999999"/>
    <n v="-1.6839999999999999"/>
    <n v="-1.6839999999999999"/>
    <n v="-17"/>
    <x v="2"/>
    <n v="0"/>
    <n v="0"/>
    <n v="27"/>
    <n v="100"/>
    <n v="0"/>
    <n v="184.7"/>
    <n v="140.54"/>
    <m/>
    <n v="224.08891198442532"/>
    <n v="149.29101638973106"/>
    <n v="0"/>
    <n v="-311.03479999999996"/>
    <n v="-236.66935999999998"/>
    <n v="0"/>
    <n v="-377.36572778177225"/>
    <n v="-251.40607160030709"/>
  </r>
  <r>
    <s v="Sistema de Compensação"/>
    <x v="2"/>
    <x v="5"/>
    <x v="7"/>
    <x v="5"/>
    <x v="2"/>
    <x v="0"/>
    <x v="0"/>
    <x v="4"/>
    <n v="0"/>
    <n v="0"/>
    <n v="2.266"/>
    <n v="2.266"/>
    <n v="2.266"/>
    <n v="2.266"/>
    <n v="11"/>
    <x v="2"/>
    <n v="0"/>
    <n v="0"/>
    <n v="27"/>
    <n v="100"/>
    <n v="0"/>
    <n v="184.7"/>
    <n v="140.54"/>
    <m/>
    <n v="224.08891198442532"/>
    <n v="149.29101638973106"/>
    <n v="0"/>
    <n v="418.53019999999998"/>
    <n v="318.46364"/>
    <n v="0"/>
    <n v="507.78547455670781"/>
    <n v="338.29344313913055"/>
  </r>
  <r>
    <s v="Regular"/>
    <x v="2"/>
    <x v="5"/>
    <x v="7"/>
    <x v="5"/>
    <x v="2"/>
    <x v="0"/>
    <x v="0"/>
    <x v="5"/>
    <n v="0"/>
    <n v="0"/>
    <n v="10326.647999999999"/>
    <n v="10326.647999999999"/>
    <n v="10326.647999999999"/>
    <n v="10326.647999999999"/>
    <n v="128109"/>
    <x v="2"/>
    <n v="0"/>
    <n v="0"/>
    <n v="27"/>
    <n v="100"/>
    <n v="0"/>
    <n v="184.7"/>
    <n v="140.54"/>
    <m/>
    <n v="224.08891198442532"/>
    <n v="149.29101638973106"/>
    <n v="0"/>
    <n v="1907331.8855999997"/>
    <n v="1451307.1099199997"/>
    <n v="0"/>
    <n v="2314087.3147661416"/>
    <n v="1541675.7758189833"/>
  </r>
  <r>
    <s v="Refaturamento - Regular"/>
    <x v="2"/>
    <x v="5"/>
    <x v="7"/>
    <x v="5"/>
    <x v="2"/>
    <x v="0"/>
    <x v="0"/>
    <x v="5"/>
    <n v="0"/>
    <n v="0"/>
    <n v="-2.097"/>
    <n v="-2.097"/>
    <n v="-2.097"/>
    <n v="-2.097"/>
    <n v="-17"/>
    <x v="2"/>
    <n v="0"/>
    <n v="0"/>
    <n v="27"/>
    <n v="100"/>
    <n v="0"/>
    <n v="184.7"/>
    <n v="140.54"/>
    <m/>
    <n v="224.08891198442532"/>
    <n v="149.29101638973106"/>
    <n v="0"/>
    <n v="-387.3159"/>
    <n v="-294.71238"/>
    <n v="0"/>
    <n v="-469.91444843133991"/>
    <n v="-313.063261369266"/>
  </r>
  <r>
    <s v="Sistema de Compensação"/>
    <x v="2"/>
    <x v="5"/>
    <x v="7"/>
    <x v="5"/>
    <x v="2"/>
    <x v="0"/>
    <x v="0"/>
    <x v="5"/>
    <n v="0"/>
    <n v="0"/>
    <n v="2.266"/>
    <n v="2.266"/>
    <n v="2.266"/>
    <n v="2.266"/>
    <n v="11"/>
    <x v="2"/>
    <n v="0"/>
    <n v="0"/>
    <n v="27"/>
    <n v="100"/>
    <n v="0"/>
    <n v="184.7"/>
    <n v="140.54"/>
    <m/>
    <n v="224.08891198442532"/>
    <n v="149.29101638973106"/>
    <n v="0"/>
    <n v="418.53019999999998"/>
    <n v="318.46364"/>
    <n v="0"/>
    <n v="507.78547455670781"/>
    <n v="338.29344313913055"/>
  </r>
  <r>
    <s v="Regular"/>
    <x v="2"/>
    <x v="5"/>
    <x v="7"/>
    <x v="5"/>
    <x v="2"/>
    <x v="0"/>
    <x v="0"/>
    <x v="6"/>
    <n v="0"/>
    <n v="0"/>
    <n v="10969.75"/>
    <n v="10969.75"/>
    <n v="10969.75"/>
    <n v="10969.75"/>
    <n v="120014"/>
    <x v="2"/>
    <n v="0"/>
    <n v="0"/>
    <n v="27"/>
    <n v="100"/>
    <n v="0"/>
    <n v="184.7"/>
    <n v="140.54"/>
    <m/>
    <n v="224.08891198442532"/>
    <n v="149.29101638973106"/>
    <n v="0"/>
    <n v="2026112.825"/>
    <n v="1541688.6649999998"/>
    <n v="0"/>
    <n v="2458199.3422411499"/>
    <n v="1637685.1270412523"/>
  </r>
  <r>
    <s v="Refaturamento - Regular"/>
    <x v="2"/>
    <x v="5"/>
    <x v="7"/>
    <x v="5"/>
    <x v="2"/>
    <x v="0"/>
    <x v="0"/>
    <x v="6"/>
    <n v="0"/>
    <n v="0"/>
    <n v="-2.4649999999999999"/>
    <n v="-2.4649999999999999"/>
    <n v="-2.4649999999999999"/>
    <n v="-2.4649999999999999"/>
    <n v="-13"/>
    <x v="2"/>
    <n v="0"/>
    <n v="0"/>
    <n v="27"/>
    <n v="100"/>
    <n v="0"/>
    <n v="184.7"/>
    <n v="140.54"/>
    <m/>
    <n v="224.08891198442532"/>
    <n v="149.29101638973106"/>
    <n v="0"/>
    <n v="-455.28549999999996"/>
    <n v="-346.43109999999996"/>
    <n v="0"/>
    <n v="-552.37916804160841"/>
    <n v="-368.00235540068701"/>
  </r>
  <r>
    <s v="Sistema de Compensação"/>
    <x v="2"/>
    <x v="5"/>
    <x v="7"/>
    <x v="5"/>
    <x v="2"/>
    <x v="0"/>
    <x v="0"/>
    <x v="6"/>
    <n v="0"/>
    <n v="0"/>
    <n v="2.5099999999999998"/>
    <n v="2.5099999999999998"/>
    <n v="2.5099999999999998"/>
    <n v="2.5099999999999998"/>
    <n v="11"/>
    <x v="2"/>
    <n v="0"/>
    <n v="0"/>
    <n v="27"/>
    <n v="100"/>
    <n v="0"/>
    <n v="184.7"/>
    <n v="140.54"/>
    <m/>
    <n v="224.08891198442532"/>
    <n v="149.29101638973106"/>
    <n v="0"/>
    <n v="463.59699999999992"/>
    <n v="352.75539999999995"/>
    <n v="0"/>
    <n v="562.46316908090751"/>
    <n v="374.72045113822492"/>
  </r>
  <r>
    <s v="Regular"/>
    <x v="2"/>
    <x v="5"/>
    <x v="7"/>
    <x v="5"/>
    <x v="2"/>
    <x v="0"/>
    <x v="0"/>
    <x v="7"/>
    <n v="0"/>
    <n v="0"/>
    <n v="11186.839"/>
    <n v="11186.839"/>
    <n v="11186.839"/>
    <n v="11186.839"/>
    <n v="116155"/>
    <x v="2"/>
    <n v="0"/>
    <n v="0"/>
    <n v="27"/>
    <n v="100"/>
    <n v="0"/>
    <n v="184.7"/>
    <n v="140.54"/>
    <m/>
    <n v="224.08891198442532"/>
    <n v="149.29101638973106"/>
    <n v="0"/>
    <n v="2066209.1632999999"/>
    <n v="1572198.3530599999"/>
    <n v="0"/>
    <n v="2506846.5800549365"/>
    <n v="1670094.5644982825"/>
  </r>
  <r>
    <s v="Refaturamento - Regular"/>
    <x v="2"/>
    <x v="5"/>
    <x v="7"/>
    <x v="5"/>
    <x v="2"/>
    <x v="0"/>
    <x v="0"/>
    <x v="7"/>
    <n v="0"/>
    <n v="0"/>
    <n v="-2.331"/>
    <n v="-2.331"/>
    <n v="-2.331"/>
    <n v="-2.331"/>
    <n v="-13"/>
    <x v="2"/>
    <n v="0"/>
    <n v="0"/>
    <n v="27"/>
    <n v="100"/>
    <n v="0"/>
    <n v="184.7"/>
    <n v="140.54"/>
    <m/>
    <n v="224.08891198442532"/>
    <n v="149.29101638973106"/>
    <n v="0"/>
    <n v="-430.53569999999996"/>
    <n v="-327.59873999999996"/>
    <n v="0"/>
    <n v="-522.35125383569539"/>
    <n v="-347.99735920446307"/>
  </r>
  <r>
    <s v="Sistema de Compensação"/>
    <x v="2"/>
    <x v="5"/>
    <x v="7"/>
    <x v="5"/>
    <x v="2"/>
    <x v="0"/>
    <x v="0"/>
    <x v="7"/>
    <n v="0"/>
    <n v="0"/>
    <n v="2.714"/>
    <n v="2.714"/>
    <n v="2.714"/>
    <n v="2.714"/>
    <n v="13"/>
    <x v="2"/>
    <n v="0"/>
    <n v="0"/>
    <n v="27"/>
    <n v="100"/>
    <n v="0"/>
    <n v="184.7"/>
    <n v="140.54"/>
    <m/>
    <n v="224.08891198442532"/>
    <n v="149.29101638973106"/>
    <n v="0"/>
    <n v="501.27579999999995"/>
    <n v="381.42555999999996"/>
    <n v="0"/>
    <n v="608.17730712573029"/>
    <n v="405.17581848173006"/>
  </r>
  <r>
    <s v="Regular"/>
    <x v="2"/>
    <x v="5"/>
    <x v="7"/>
    <x v="5"/>
    <x v="2"/>
    <x v="0"/>
    <x v="0"/>
    <x v="8"/>
    <n v="0"/>
    <n v="0"/>
    <n v="11445.136"/>
    <n v="11445.136"/>
    <n v="11445.136"/>
    <n v="11445.136"/>
    <n v="111590"/>
    <x v="2"/>
    <n v="0"/>
    <n v="0"/>
    <n v="27"/>
    <n v="100"/>
    <n v="0"/>
    <n v="184.7"/>
    <n v="140.54"/>
    <m/>
    <n v="224.08891198442532"/>
    <n v="149.29101638973106"/>
    <n v="0"/>
    <n v="2113916.6192000001"/>
    <n v="1608499.41344"/>
    <n v="0"/>
    <n v="2564728.0737537779"/>
    <n v="1708655.9861587009"/>
  </r>
  <r>
    <s v="Refaturamento - Regular"/>
    <x v="2"/>
    <x v="5"/>
    <x v="7"/>
    <x v="5"/>
    <x v="2"/>
    <x v="0"/>
    <x v="0"/>
    <x v="8"/>
    <n v="0"/>
    <n v="0"/>
    <n v="-2.0310000000000001"/>
    <n v="-2.0310000000000001"/>
    <n v="-2.0310000000000001"/>
    <n v="-2.0310000000000001"/>
    <n v="-30"/>
    <x v="2"/>
    <n v="0"/>
    <n v="0"/>
    <n v="27"/>
    <n v="100"/>
    <n v="0"/>
    <n v="184.7"/>
    <n v="140.54"/>
    <m/>
    <n v="224.08891198442532"/>
    <n v="149.29101638973106"/>
    <n v="0"/>
    <n v="-375.12569999999999"/>
    <n v="-285.43673999999999"/>
    <n v="0"/>
    <n v="-455.12458024036783"/>
    <n v="-303.21005428754381"/>
  </r>
  <r>
    <s v="Sistema de Compensação"/>
    <x v="2"/>
    <x v="5"/>
    <x v="7"/>
    <x v="5"/>
    <x v="2"/>
    <x v="0"/>
    <x v="0"/>
    <x v="8"/>
    <n v="0"/>
    <n v="0"/>
    <n v="2.9689999999999999"/>
    <n v="2.9689999999999999"/>
    <n v="2.9689999999999999"/>
    <n v="2.9689999999999999"/>
    <n v="11"/>
    <x v="2"/>
    <n v="0"/>
    <n v="0"/>
    <n v="27"/>
    <n v="100"/>
    <n v="0"/>
    <n v="184.7"/>
    <n v="140.54"/>
    <m/>
    <n v="224.08891198442532"/>
    <n v="149.29101638973106"/>
    <n v="0"/>
    <n v="548.37429999999995"/>
    <n v="417.26325999999995"/>
    <n v="0"/>
    <n v="665.31997968175881"/>
    <n v="443.24502766111146"/>
  </r>
  <r>
    <s v="Regular"/>
    <x v="2"/>
    <x v="5"/>
    <x v="7"/>
    <x v="5"/>
    <x v="2"/>
    <x v="0"/>
    <x v="0"/>
    <x v="9"/>
    <n v="0"/>
    <n v="0"/>
    <n v="11832.243"/>
    <n v="11832.243"/>
    <n v="11832.243"/>
    <n v="11832.243"/>
    <n v="104732"/>
    <x v="2"/>
    <n v="0"/>
    <n v="0"/>
    <n v="27"/>
    <n v="100"/>
    <n v="0"/>
    <n v="184.7"/>
    <n v="140.54"/>
    <m/>
    <n v="224.08891198442532"/>
    <n v="149.29101638973106"/>
    <n v="0"/>
    <n v="2185415.2821"/>
    <n v="1662903.4312199999"/>
    <n v="0"/>
    <n v="2651474.4602053328"/>
    <n v="1766447.5836402806"/>
  </r>
  <r>
    <s v="Refaturamento - Regular"/>
    <x v="2"/>
    <x v="5"/>
    <x v="7"/>
    <x v="5"/>
    <x v="2"/>
    <x v="0"/>
    <x v="0"/>
    <x v="9"/>
    <n v="0"/>
    <n v="0"/>
    <n v="-0.53900000000000003"/>
    <n v="-0.53900000000000003"/>
    <n v="-0.53900000000000003"/>
    <n v="-0.53900000000000003"/>
    <n v="-6"/>
    <x v="2"/>
    <n v="0"/>
    <n v="0"/>
    <n v="27"/>
    <n v="100"/>
    <n v="0"/>
    <n v="184.7"/>
    <n v="140.54"/>
    <m/>
    <n v="224.08891198442532"/>
    <n v="149.29101638973106"/>
    <n v="0"/>
    <n v="-99.553300000000007"/>
    <n v="-75.751059999999995"/>
    <n v="0"/>
    <n v="-120.78392355960526"/>
    <n v="-80.467857834065043"/>
  </r>
  <r>
    <s v="Sistema de Compensação"/>
    <x v="2"/>
    <x v="5"/>
    <x v="7"/>
    <x v="5"/>
    <x v="2"/>
    <x v="0"/>
    <x v="0"/>
    <x v="9"/>
    <n v="0"/>
    <n v="0"/>
    <n v="3.4470000000000001"/>
    <n v="3.4470000000000001"/>
    <n v="3.4470000000000001"/>
    <n v="3.4470000000000001"/>
    <n v="11"/>
    <x v="2"/>
    <n v="0"/>
    <n v="0"/>
    <n v="27"/>
    <n v="100"/>
    <n v="0"/>
    <n v="184.7"/>
    <n v="140.54"/>
    <m/>
    <n v="224.08891198442532"/>
    <n v="149.29101638973106"/>
    <n v="0"/>
    <n v="636.66089999999997"/>
    <n v="484.44137999999998"/>
    <n v="0"/>
    <n v="772.43447961031416"/>
    <n v="514.6061334954029"/>
  </r>
  <r>
    <s v="Regular"/>
    <x v="2"/>
    <x v="5"/>
    <x v="7"/>
    <x v="5"/>
    <x v="2"/>
    <x v="0"/>
    <x v="0"/>
    <x v="10"/>
    <n v="0"/>
    <n v="0"/>
    <n v="12139.191000000001"/>
    <n v="12139.191000000001"/>
    <n v="12139.191000000001"/>
    <n v="12139.191000000001"/>
    <n v="112859"/>
    <x v="2"/>
    <n v="0"/>
    <n v="0"/>
    <n v="27"/>
    <n v="100"/>
    <n v="0"/>
    <n v="184.7"/>
    <n v="140.54"/>
    <m/>
    <n v="224.08891198442532"/>
    <n v="149.29101638973106"/>
    <n v="0"/>
    <n v="2242108.5776999998"/>
    <n v="1706041.9031400001"/>
    <n v="0"/>
    <n v="2720258.103561128"/>
    <n v="1812272.1625390758"/>
  </r>
  <r>
    <s v="Refaturamento - Regular"/>
    <x v="2"/>
    <x v="5"/>
    <x v="7"/>
    <x v="5"/>
    <x v="2"/>
    <x v="0"/>
    <x v="0"/>
    <x v="10"/>
    <n v="0"/>
    <n v="0"/>
    <n v="-0.7"/>
    <n v="-0.7"/>
    <n v="-0.7"/>
    <n v="-0.7"/>
    <n v="0"/>
    <x v="2"/>
    <n v="0"/>
    <n v="0"/>
    <n v="27"/>
    <n v="100"/>
    <n v="0"/>
    <n v="184.7"/>
    <n v="140.54"/>
    <m/>
    <n v="224.08891198442532"/>
    <n v="149.29101638973106"/>
    <n v="0"/>
    <n v="-129.29"/>
    <n v="-98.377999999999986"/>
    <n v="0"/>
    <n v="-156.86223838909771"/>
    <n v="-104.50371147281173"/>
  </r>
  <r>
    <s v="Sistema de Compensação"/>
    <x v="2"/>
    <x v="5"/>
    <x v="7"/>
    <x v="5"/>
    <x v="2"/>
    <x v="0"/>
    <x v="0"/>
    <x v="10"/>
    <n v="0"/>
    <n v="0"/>
    <n v="3.7210000000000001"/>
    <n v="3.7210000000000001"/>
    <n v="3.7210000000000001"/>
    <n v="3.7210000000000001"/>
    <n v="10"/>
    <x v="2"/>
    <n v="0"/>
    <n v="0"/>
    <n v="27"/>
    <n v="100"/>
    <n v="0"/>
    <n v="184.7"/>
    <n v="140.54"/>
    <m/>
    <n v="224.08891198442532"/>
    <n v="149.29101638973106"/>
    <n v="0"/>
    <n v="687.26869999999997"/>
    <n v="522.94934000000001"/>
    <n v="0"/>
    <n v="833.8348414940466"/>
    <n v="555.51187198618925"/>
  </r>
  <r>
    <s v="PROJETADO"/>
    <x v="2"/>
    <x v="5"/>
    <x v="7"/>
    <x v="5"/>
    <x v="2"/>
    <x v="0"/>
    <x v="0"/>
    <x v="11"/>
    <n v="0"/>
    <n v="0"/>
    <n v="12139.191000000001"/>
    <n v="12139.191000000001"/>
    <n v="12139.191000000001"/>
    <n v="12139.191000000001"/>
    <n v="112859"/>
    <x v="2"/>
    <n v="0"/>
    <n v="0"/>
    <n v="27"/>
    <n v="100"/>
    <n v="0"/>
    <n v="184.7"/>
    <n v="140.54"/>
    <m/>
    <n v="224.08891198442532"/>
    <n v="149.29101638973106"/>
    <n v="0"/>
    <n v="2242108.5776999998"/>
    <n v="1706041.9031400001"/>
    <n v="0"/>
    <n v="2720258.103561128"/>
    <n v="1812272.1625390758"/>
  </r>
  <r>
    <s v="PROJETADO"/>
    <x v="2"/>
    <x v="5"/>
    <x v="7"/>
    <x v="5"/>
    <x v="2"/>
    <x v="0"/>
    <x v="0"/>
    <x v="11"/>
    <n v="0"/>
    <n v="0"/>
    <n v="-0.7"/>
    <n v="-0.7"/>
    <n v="-0.7"/>
    <n v="-0.7"/>
    <n v="0"/>
    <x v="2"/>
    <n v="0"/>
    <n v="0"/>
    <n v="27"/>
    <n v="100"/>
    <n v="0"/>
    <n v="184.7"/>
    <n v="140.54"/>
    <m/>
    <n v="224.08891198442532"/>
    <n v="149.29101638973106"/>
    <n v="0"/>
    <n v="-129.29"/>
    <n v="-98.377999999999986"/>
    <n v="0"/>
    <n v="-156.86223838909771"/>
    <n v="-104.50371147281173"/>
  </r>
  <r>
    <s v="PROJETADO"/>
    <x v="2"/>
    <x v="5"/>
    <x v="7"/>
    <x v="5"/>
    <x v="2"/>
    <x v="0"/>
    <x v="0"/>
    <x v="11"/>
    <n v="0"/>
    <n v="0"/>
    <n v="3.7210000000000001"/>
    <n v="3.7210000000000001"/>
    <n v="3.7210000000000001"/>
    <n v="3.7210000000000001"/>
    <n v="10"/>
    <x v="2"/>
    <n v="0"/>
    <n v="0"/>
    <n v="27"/>
    <n v="100"/>
    <n v="0"/>
    <n v="184.7"/>
    <n v="140.54"/>
    <m/>
    <n v="224.08891198442532"/>
    <n v="149.29101638973106"/>
    <n v="0"/>
    <n v="687.26869999999997"/>
    <n v="522.94934000000001"/>
    <n v="0"/>
    <n v="833.8348414940466"/>
    <n v="555.51187198618925"/>
  </r>
  <r>
    <s v="Regular"/>
    <x v="2"/>
    <x v="5"/>
    <x v="7"/>
    <x v="6"/>
    <x v="2"/>
    <x v="0"/>
    <x v="0"/>
    <x v="0"/>
    <n v="0"/>
    <n v="0"/>
    <n v="6124.4390000000003"/>
    <n v="6124.4390000000003"/>
    <n v="6124.4390000000003"/>
    <n v="6124.4390000000003"/>
    <n v="92729"/>
    <x v="2"/>
    <n v="0"/>
    <n v="0"/>
    <n v="28"/>
    <n v="101"/>
    <n v="0"/>
    <n v="277.05"/>
    <n v="210.82"/>
    <m/>
    <n v="336.133367976638"/>
    <n v="223.93652458459661"/>
    <n v="0"/>
    <n v="1696775.82495"/>
    <n v="1291154.2299800001"/>
    <n v="0"/>
    <n v="2058628.3080374729"/>
    <n v="1371485.5846903624"/>
  </r>
  <r>
    <s v="Refaturamento - Regular"/>
    <x v="2"/>
    <x v="5"/>
    <x v="7"/>
    <x v="6"/>
    <x v="2"/>
    <x v="0"/>
    <x v="0"/>
    <x v="0"/>
    <n v="0"/>
    <n v="0"/>
    <n v="-0.98899999999999999"/>
    <n v="-0.98899999999999999"/>
    <n v="-0.98899999999999999"/>
    <n v="-0.98899999999999999"/>
    <n v="-15"/>
    <x v="2"/>
    <n v="0"/>
    <n v="0"/>
    <n v="28"/>
    <n v="101"/>
    <n v="0"/>
    <n v="277.05"/>
    <n v="210.82"/>
    <m/>
    <n v="336.133367976638"/>
    <n v="223.93652458459661"/>
    <n v="0"/>
    <n v="-274.00245000000001"/>
    <n v="-208.50098"/>
    <n v="0"/>
    <n v="-332.43590092889497"/>
    <n v="-221.47322281416604"/>
  </r>
  <r>
    <s v="Sistema de Compensação"/>
    <x v="2"/>
    <x v="5"/>
    <x v="7"/>
    <x v="6"/>
    <x v="2"/>
    <x v="0"/>
    <x v="0"/>
    <x v="0"/>
    <n v="0"/>
    <n v="0"/>
    <n v="0.89400000000000002"/>
    <n v="0.89400000000000002"/>
    <n v="0.89400000000000002"/>
    <n v="0.89400000000000002"/>
    <n v="9"/>
    <x v="2"/>
    <n v="0"/>
    <n v="0"/>
    <n v="28"/>
    <n v="101"/>
    <n v="0"/>
    <n v="277.05"/>
    <n v="210.82"/>
    <m/>
    <n v="336.133367976638"/>
    <n v="223.93652458459661"/>
    <n v="0"/>
    <n v="247.68270000000001"/>
    <n v="188.47308000000001"/>
    <n v="0"/>
    <n v="300.50323097111436"/>
    <n v="200.19925297862937"/>
  </r>
  <r>
    <s v="Regular"/>
    <x v="2"/>
    <x v="5"/>
    <x v="7"/>
    <x v="6"/>
    <x v="2"/>
    <x v="0"/>
    <x v="0"/>
    <x v="1"/>
    <n v="0"/>
    <n v="0"/>
    <n v="4778.491"/>
    <n v="4778.491"/>
    <n v="4778.491"/>
    <n v="4778.491"/>
    <n v="80621"/>
    <x v="2"/>
    <n v="0"/>
    <n v="0"/>
    <n v="28"/>
    <n v="101"/>
    <n v="0"/>
    <n v="277.05"/>
    <n v="210.82"/>
    <m/>
    <n v="336.133367976638"/>
    <n v="223.93652458459661"/>
    <n v="0"/>
    <n v="1323880.9315500001"/>
    <n v="1007401.47262"/>
    <n v="0"/>
    <n v="1606210.2736760529"/>
    <n v="1070078.6672987735"/>
  </r>
  <r>
    <s v="Refaturamento - Regular"/>
    <x v="2"/>
    <x v="5"/>
    <x v="7"/>
    <x v="6"/>
    <x v="2"/>
    <x v="0"/>
    <x v="0"/>
    <x v="1"/>
    <n v="0"/>
    <n v="0"/>
    <n v="-0.498"/>
    <n v="-0.498"/>
    <n v="-0.498"/>
    <n v="-0.498"/>
    <n v="-8"/>
    <x v="2"/>
    <n v="0"/>
    <n v="0"/>
    <n v="28"/>
    <n v="101"/>
    <n v="0"/>
    <n v="277.05"/>
    <n v="210.82"/>
    <m/>
    <n v="336.133367976638"/>
    <n v="223.93652458459661"/>
    <n v="0"/>
    <n v="-137.9709"/>
    <n v="-104.98836"/>
    <n v="0"/>
    <n v="-167.39441725236571"/>
    <n v="-111.52038924312912"/>
  </r>
  <r>
    <s v="Sistema de Compensação"/>
    <x v="2"/>
    <x v="5"/>
    <x v="7"/>
    <x v="6"/>
    <x v="2"/>
    <x v="0"/>
    <x v="0"/>
    <x v="1"/>
    <n v="0"/>
    <n v="0"/>
    <n v="1.2569999999999999"/>
    <n v="1.2569999999999999"/>
    <n v="1.2569999999999999"/>
    <n v="1.2569999999999999"/>
    <n v="14"/>
    <x v="2"/>
    <n v="0"/>
    <n v="0"/>
    <n v="28"/>
    <n v="101"/>
    <n v="0"/>
    <n v="277.05"/>
    <n v="210.82"/>
    <m/>
    <n v="336.133367976638"/>
    <n v="223.93652458459661"/>
    <n v="0"/>
    <n v="348.25184999999999"/>
    <n v="265.00073999999995"/>
    <n v="0"/>
    <n v="422.51964354663392"/>
    <n v="281.48821140283792"/>
  </r>
  <r>
    <s v="Regular"/>
    <x v="2"/>
    <x v="5"/>
    <x v="7"/>
    <x v="6"/>
    <x v="2"/>
    <x v="0"/>
    <x v="0"/>
    <x v="2"/>
    <n v="0"/>
    <n v="0"/>
    <n v="4336.3"/>
    <n v="4336.3"/>
    <n v="4336.3"/>
    <n v="4336.3"/>
    <n v="76065"/>
    <x v="2"/>
    <n v="0"/>
    <n v="0"/>
    <n v="28"/>
    <n v="101"/>
    <n v="0"/>
    <n v="277.05"/>
    <n v="210.82"/>
    <m/>
    <n v="336.133367976638"/>
    <n v="223.93652458459661"/>
    <n v="0"/>
    <n v="1201371.915"/>
    <n v="914178.76600000006"/>
    <n v="0"/>
    <n v="1457575.1235570954"/>
    <n v="971055.95155618631"/>
  </r>
  <r>
    <s v="Refaturamento - Regular"/>
    <x v="2"/>
    <x v="5"/>
    <x v="7"/>
    <x v="6"/>
    <x v="2"/>
    <x v="0"/>
    <x v="0"/>
    <x v="2"/>
    <n v="0"/>
    <n v="0"/>
    <n v="-13.119"/>
    <n v="-13.119"/>
    <n v="-13.119"/>
    <n v="-13.119"/>
    <n v="-17"/>
    <x v="2"/>
    <n v="0"/>
    <n v="0"/>
    <n v="28"/>
    <n v="101"/>
    <n v="0"/>
    <n v="277.05"/>
    <n v="210.82"/>
    <m/>
    <n v="336.133367976638"/>
    <n v="223.93652458459661"/>
    <n v="0"/>
    <n v="-3634.61895"/>
    <n v="-2765.7475799999997"/>
    <n v="0"/>
    <n v="-4409.7336544855134"/>
    <n v="-2937.8232660253229"/>
  </r>
  <r>
    <s v="Sistema de Compensação"/>
    <x v="2"/>
    <x v="5"/>
    <x v="7"/>
    <x v="6"/>
    <x v="2"/>
    <x v="0"/>
    <x v="0"/>
    <x v="2"/>
    <n v="0"/>
    <n v="0"/>
    <n v="1.196"/>
    <n v="1.196"/>
    <n v="1.196"/>
    <n v="1.196"/>
    <n v="21"/>
    <x v="2"/>
    <n v="0"/>
    <n v="0"/>
    <n v="28"/>
    <n v="101"/>
    <n v="0"/>
    <n v="277.05"/>
    <n v="210.82"/>
    <m/>
    <n v="336.133367976638"/>
    <n v="223.93652458459661"/>
    <n v="0"/>
    <n v="331.35180000000003"/>
    <n v="252.14071999999999"/>
    <n v="0"/>
    <n v="402.01550810005904"/>
    <n v="267.82808340317752"/>
  </r>
  <r>
    <s v="Regular"/>
    <x v="2"/>
    <x v="5"/>
    <x v="7"/>
    <x v="6"/>
    <x v="2"/>
    <x v="0"/>
    <x v="0"/>
    <x v="3"/>
    <n v="0"/>
    <n v="0"/>
    <n v="4159.99"/>
    <n v="4159.99"/>
    <n v="4159.99"/>
    <n v="4159.99"/>
    <n v="75018"/>
    <x v="2"/>
    <n v="0"/>
    <n v="0"/>
    <n v="28"/>
    <n v="101"/>
    <n v="0"/>
    <n v="277.05"/>
    <n v="210.82"/>
    <m/>
    <n v="336.133367976638"/>
    <n v="223.93652458459661"/>
    <n v="0"/>
    <n v="1152525.2294999999"/>
    <n v="877009.09179999994"/>
    <n v="0"/>
    <n v="1398311.4494491343"/>
    <n v="931573.70290667599"/>
  </r>
  <r>
    <s v="Refaturamento - Regular"/>
    <x v="2"/>
    <x v="5"/>
    <x v="7"/>
    <x v="6"/>
    <x v="2"/>
    <x v="0"/>
    <x v="0"/>
    <x v="3"/>
    <n v="0"/>
    <n v="0"/>
    <n v="-2.1030000000000002"/>
    <n v="-2.1030000000000002"/>
    <n v="-2.1030000000000002"/>
    <n v="-2.1030000000000002"/>
    <n v="-3"/>
    <x v="2"/>
    <n v="0"/>
    <n v="0"/>
    <n v="28"/>
    <n v="101"/>
    <n v="0"/>
    <n v="277.05"/>
    <n v="210.82"/>
    <m/>
    <n v="336.133367976638"/>
    <n v="223.93652458459661"/>
    <n v="0"/>
    <n v="-582.63615000000004"/>
    <n v="-443.35446000000002"/>
    <n v="0"/>
    <n v="-706.88847285486975"/>
    <n v="-470.9385112014067"/>
  </r>
  <r>
    <s v="Sistema de Compensação"/>
    <x v="2"/>
    <x v="5"/>
    <x v="7"/>
    <x v="6"/>
    <x v="2"/>
    <x v="0"/>
    <x v="0"/>
    <x v="3"/>
    <n v="0"/>
    <n v="0"/>
    <n v="1.7070000000000001"/>
    <n v="1.7070000000000001"/>
    <n v="1.7070000000000001"/>
    <n v="1.7070000000000001"/>
    <n v="23"/>
    <x v="2"/>
    <n v="0"/>
    <n v="0"/>
    <n v="28"/>
    <n v="101"/>
    <n v="0"/>
    <n v="277.05"/>
    <n v="210.82"/>
    <m/>
    <n v="336.133367976638"/>
    <n v="223.93652458459661"/>
    <n v="0"/>
    <n v="472.92435000000006"/>
    <n v="359.86973999999998"/>
    <n v="0"/>
    <n v="573.77965913612104"/>
    <n v="382.25964746590643"/>
  </r>
  <r>
    <s v="Regular"/>
    <x v="2"/>
    <x v="5"/>
    <x v="7"/>
    <x v="6"/>
    <x v="2"/>
    <x v="0"/>
    <x v="0"/>
    <x v="4"/>
    <n v="0"/>
    <n v="0"/>
    <n v="3609.5309999999999"/>
    <n v="3609.5309999999999"/>
    <n v="3609.5309999999999"/>
    <n v="3609.5309999999999"/>
    <n v="68251"/>
    <x v="2"/>
    <n v="0"/>
    <n v="0"/>
    <n v="28"/>
    <n v="101"/>
    <n v="0"/>
    <n v="277.05"/>
    <n v="210.82"/>
    <m/>
    <n v="336.133367976638"/>
    <n v="223.93652458459661"/>
    <n v="0"/>
    <n v="1000020.5635500001"/>
    <n v="760961.32542000001"/>
    <n v="0"/>
    <n v="1213283.8118460821"/>
    <n v="808305.82752036361"/>
  </r>
  <r>
    <s v="Refaturamento - Regular"/>
    <x v="2"/>
    <x v="5"/>
    <x v="7"/>
    <x v="6"/>
    <x v="2"/>
    <x v="0"/>
    <x v="0"/>
    <x v="4"/>
    <n v="0"/>
    <n v="0"/>
    <n v="-1.468"/>
    <n v="-1.468"/>
    <n v="-1.468"/>
    <n v="-1.468"/>
    <n v="-8"/>
    <x v="2"/>
    <n v="0"/>
    <n v="0"/>
    <n v="28"/>
    <n v="101"/>
    <n v="0"/>
    <n v="277.05"/>
    <n v="210.82"/>
    <m/>
    <n v="336.133367976638"/>
    <n v="223.93652458459661"/>
    <n v="0"/>
    <n v="-406.70940000000002"/>
    <n v="-309.48375999999996"/>
    <n v="0"/>
    <n v="-493.44378418970456"/>
    <n v="-328.73881809018781"/>
  </r>
  <r>
    <s v="Sistema de Compensação"/>
    <x v="2"/>
    <x v="5"/>
    <x v="7"/>
    <x v="6"/>
    <x v="2"/>
    <x v="0"/>
    <x v="0"/>
    <x v="4"/>
    <n v="0"/>
    <n v="0"/>
    <n v="1.56"/>
    <n v="1.56"/>
    <n v="1.56"/>
    <n v="1.56"/>
    <n v="26"/>
    <x v="2"/>
    <n v="0"/>
    <n v="0"/>
    <n v="28"/>
    <n v="101"/>
    <n v="0"/>
    <n v="277.05"/>
    <n v="210.82"/>
    <m/>
    <n v="336.133367976638"/>
    <n v="223.93652458459661"/>
    <n v="0"/>
    <n v="432.19800000000004"/>
    <n v="328.87920000000003"/>
    <n v="0"/>
    <n v="524.36805404355528"/>
    <n v="349.3409783519707"/>
  </r>
  <r>
    <s v="Regular"/>
    <x v="2"/>
    <x v="5"/>
    <x v="7"/>
    <x v="6"/>
    <x v="2"/>
    <x v="0"/>
    <x v="0"/>
    <x v="5"/>
    <n v="0"/>
    <n v="0"/>
    <n v="3733.4540000000002"/>
    <n v="3733.4540000000002"/>
    <n v="3733.4540000000002"/>
    <n v="3733.4540000000002"/>
    <n v="69672"/>
    <x v="2"/>
    <n v="0"/>
    <n v="0"/>
    <n v="28"/>
    <n v="101"/>
    <n v="0"/>
    <n v="277.05"/>
    <n v="210.82"/>
    <m/>
    <n v="336.133367976638"/>
    <n v="223.93652458459661"/>
    <n v="0"/>
    <n v="1034353.4307000001"/>
    <n v="787086.77228000003"/>
    <n v="0"/>
    <n v="1254938.4672058511"/>
    <n v="836056.71345646062"/>
  </r>
  <r>
    <s v="Refaturamento - Regular"/>
    <x v="2"/>
    <x v="5"/>
    <x v="7"/>
    <x v="6"/>
    <x v="2"/>
    <x v="0"/>
    <x v="0"/>
    <x v="5"/>
    <n v="0"/>
    <n v="0"/>
    <n v="-2.117"/>
    <n v="-2.117"/>
    <n v="-2.117"/>
    <n v="-2.117"/>
    <n v="-10"/>
    <x v="2"/>
    <n v="0"/>
    <n v="0"/>
    <n v="28"/>
    <n v="101"/>
    <n v="0"/>
    <n v="277.05"/>
    <n v="210.82"/>
    <m/>
    <n v="336.133367976638"/>
    <n v="223.93652458459661"/>
    <n v="0"/>
    <n v="-586.51485000000002"/>
    <n v="-446.30593999999996"/>
    <n v="0"/>
    <n v="-711.59434000654267"/>
    <n v="-474.07362254559104"/>
  </r>
  <r>
    <s v="Sistema de Compensação"/>
    <x v="2"/>
    <x v="5"/>
    <x v="7"/>
    <x v="6"/>
    <x v="2"/>
    <x v="0"/>
    <x v="0"/>
    <x v="5"/>
    <n v="0"/>
    <n v="0"/>
    <n v="1.6120000000000001"/>
    <n v="1.6120000000000001"/>
    <n v="1.6120000000000001"/>
    <n v="1.6120000000000001"/>
    <n v="23"/>
    <x v="2"/>
    <n v="0"/>
    <n v="0"/>
    <n v="28"/>
    <n v="101"/>
    <n v="0"/>
    <n v="277.05"/>
    <n v="210.82"/>
    <m/>
    <n v="336.133367976638"/>
    <n v="223.93652458459661"/>
    <n v="0"/>
    <n v="446.60460000000006"/>
    <n v="339.84183999999999"/>
    <n v="0"/>
    <n v="541.84698917834044"/>
    <n v="360.98567763036976"/>
  </r>
  <r>
    <s v="Regular"/>
    <x v="2"/>
    <x v="5"/>
    <x v="7"/>
    <x v="6"/>
    <x v="2"/>
    <x v="0"/>
    <x v="0"/>
    <x v="6"/>
    <n v="0"/>
    <n v="0"/>
    <n v="4422.8530000000001"/>
    <n v="4422.8530000000001"/>
    <n v="4422.8530000000001"/>
    <n v="4422.8530000000001"/>
    <n v="78395"/>
    <x v="2"/>
    <n v="0"/>
    <n v="0"/>
    <n v="28"/>
    <n v="101"/>
    <n v="0"/>
    <n v="277.05"/>
    <n v="210.82"/>
    <m/>
    <n v="336.133367976638"/>
    <n v="223.93652458459661"/>
    <n v="0"/>
    <n v="1225351.42365"/>
    <n v="932425.86945999996"/>
    <n v="0"/>
    <n v="1486668.4749555774"/>
    <n v="990438.32956855686"/>
  </r>
  <r>
    <s v="Refaturamento - Regular"/>
    <x v="2"/>
    <x v="5"/>
    <x v="7"/>
    <x v="6"/>
    <x v="2"/>
    <x v="0"/>
    <x v="0"/>
    <x v="6"/>
    <n v="0"/>
    <n v="0"/>
    <n v="-1.7949999999999999"/>
    <n v="-1.7949999999999999"/>
    <n v="-1.7949999999999999"/>
    <n v="-1.7949999999999999"/>
    <n v="-18"/>
    <x v="2"/>
    <n v="0"/>
    <n v="0"/>
    <n v="28"/>
    <n v="101"/>
    <n v="0"/>
    <n v="277.05"/>
    <n v="210.82"/>
    <m/>
    <n v="336.133367976638"/>
    <n v="223.93652458459661"/>
    <n v="0"/>
    <n v="-497.30475000000001"/>
    <n v="-378.42189999999999"/>
    <n v="0"/>
    <n v="-603.35939551806518"/>
    <n v="-401.96606162935092"/>
  </r>
  <r>
    <s v="Sistema de Compensação"/>
    <x v="2"/>
    <x v="5"/>
    <x v="7"/>
    <x v="6"/>
    <x v="2"/>
    <x v="0"/>
    <x v="0"/>
    <x v="6"/>
    <n v="0"/>
    <n v="0"/>
    <n v="1.9690000000000001"/>
    <n v="1.9690000000000001"/>
    <n v="1.9690000000000001"/>
    <n v="1.9690000000000001"/>
    <n v="24"/>
    <x v="2"/>
    <n v="0"/>
    <n v="0"/>
    <n v="28"/>
    <n v="101"/>
    <n v="0"/>
    <n v="277.05"/>
    <n v="210.82"/>
    <m/>
    <n v="336.133367976638"/>
    <n v="223.93652458459661"/>
    <n v="0"/>
    <n v="545.51145000000008"/>
    <n v="415.10458"/>
    <n v="0"/>
    <n v="661.84660154600022"/>
    <n v="440.93101690707073"/>
  </r>
  <r>
    <s v="Regular"/>
    <x v="2"/>
    <x v="5"/>
    <x v="7"/>
    <x v="6"/>
    <x v="2"/>
    <x v="0"/>
    <x v="0"/>
    <x v="7"/>
    <n v="0"/>
    <n v="0"/>
    <n v="4714.8689999999997"/>
    <n v="4714.8689999999997"/>
    <n v="4714.8689999999997"/>
    <n v="4714.8689999999997"/>
    <n v="81912"/>
    <x v="2"/>
    <n v="0"/>
    <n v="0"/>
    <n v="28"/>
    <n v="101"/>
    <n v="0"/>
    <n v="277.05"/>
    <n v="210.82"/>
    <m/>
    <n v="336.133367976638"/>
    <n v="223.93652458459661"/>
    <n v="0"/>
    <n v="1306254.4564499999"/>
    <n v="993988.68257999991"/>
    <n v="0"/>
    <n v="1584824.7965386431"/>
    <n v="1055831.3777316525"/>
  </r>
  <r>
    <s v="Refaturamento - Regular"/>
    <x v="2"/>
    <x v="5"/>
    <x v="7"/>
    <x v="6"/>
    <x v="2"/>
    <x v="0"/>
    <x v="0"/>
    <x v="7"/>
    <n v="0"/>
    <n v="0"/>
    <n v="-2.2469999999999999"/>
    <n v="-2.2469999999999999"/>
    <n v="-2.2469999999999999"/>
    <n v="-2.2469999999999999"/>
    <n v="-9"/>
    <x v="2"/>
    <n v="0"/>
    <n v="0"/>
    <n v="28"/>
    <n v="101"/>
    <n v="0"/>
    <n v="277.05"/>
    <n v="210.82"/>
    <m/>
    <n v="336.133367976638"/>
    <n v="223.93652458459661"/>
    <n v="0"/>
    <n v="-622.53134999999997"/>
    <n v="-473.71253999999993"/>
    <n v="0"/>
    <n v="-755.29167784350557"/>
    <n v="-503.18537074158854"/>
  </r>
  <r>
    <s v="Sistema de Compensação"/>
    <x v="2"/>
    <x v="5"/>
    <x v="7"/>
    <x v="6"/>
    <x v="2"/>
    <x v="0"/>
    <x v="0"/>
    <x v="7"/>
    <n v="0"/>
    <n v="0"/>
    <n v="1.698"/>
    <n v="1.698"/>
    <n v="1.698"/>
    <n v="1.698"/>
    <n v="21"/>
    <x v="2"/>
    <n v="0"/>
    <n v="0"/>
    <n v="28"/>
    <n v="101"/>
    <n v="0"/>
    <n v="277.05"/>
    <n v="210.82"/>
    <m/>
    <n v="336.133367976638"/>
    <n v="223.93652458459661"/>
    <n v="0"/>
    <n v="470.43090000000001"/>
    <n v="357.97235999999998"/>
    <n v="0"/>
    <n v="570.75445882433132"/>
    <n v="380.24421874464502"/>
  </r>
  <r>
    <s v="Regular"/>
    <x v="2"/>
    <x v="5"/>
    <x v="7"/>
    <x v="6"/>
    <x v="2"/>
    <x v="0"/>
    <x v="0"/>
    <x v="8"/>
    <n v="0"/>
    <n v="0"/>
    <n v="5086.26"/>
    <n v="5086.26"/>
    <n v="5086.26"/>
    <n v="5086.26"/>
    <n v="85812"/>
    <x v="2"/>
    <n v="0"/>
    <n v="0"/>
    <n v="28"/>
    <n v="101"/>
    <n v="0"/>
    <n v="277.05"/>
    <n v="210.82"/>
    <m/>
    <n v="336.133367976638"/>
    <n v="223.93652458459661"/>
    <n v="0"/>
    <n v="1409148.3330000001"/>
    <n v="1072285.3332"/>
    <n v="0"/>
    <n v="1709661.7042048548"/>
    <n v="1138999.3875336505"/>
  </r>
  <r>
    <s v="Refaturamento - Regular"/>
    <x v="2"/>
    <x v="5"/>
    <x v="7"/>
    <x v="6"/>
    <x v="2"/>
    <x v="0"/>
    <x v="0"/>
    <x v="8"/>
    <n v="0"/>
    <n v="0"/>
    <n v="-0.73099999999999998"/>
    <n v="-0.73099999999999998"/>
    <n v="-0.73099999999999998"/>
    <n v="-0.73099999999999998"/>
    <n v="-6"/>
    <x v="2"/>
    <n v="0"/>
    <n v="0"/>
    <n v="28"/>
    <n v="101"/>
    <n v="0"/>
    <n v="277.05"/>
    <n v="210.82"/>
    <m/>
    <n v="336.133367976638"/>
    <n v="223.93652458459661"/>
    <n v="0"/>
    <n v="-202.52355"/>
    <n v="-154.10942"/>
    <n v="0"/>
    <n v="-245.71349199092236"/>
    <n v="-163.69759947134011"/>
  </r>
  <r>
    <s v="Sistema de Compensação"/>
    <x v="2"/>
    <x v="5"/>
    <x v="7"/>
    <x v="6"/>
    <x v="2"/>
    <x v="0"/>
    <x v="0"/>
    <x v="8"/>
    <n v="0"/>
    <n v="0"/>
    <n v="2.2170000000000001"/>
    <n v="2.2170000000000001"/>
    <n v="2.2170000000000001"/>
    <n v="2.2170000000000001"/>
    <n v="19"/>
    <x v="2"/>
    <n v="0"/>
    <n v="0"/>
    <n v="28"/>
    <n v="101"/>
    <n v="0"/>
    <n v="277.05"/>
    <n v="210.82"/>
    <m/>
    <n v="336.133367976638"/>
    <n v="223.93652458459661"/>
    <n v="0"/>
    <n v="614.21985000000006"/>
    <n v="467.38794000000001"/>
    <n v="0"/>
    <n v="745.20767680420647"/>
    <n v="496.46727500405069"/>
  </r>
  <r>
    <s v="Regular"/>
    <x v="2"/>
    <x v="5"/>
    <x v="7"/>
    <x v="6"/>
    <x v="2"/>
    <x v="0"/>
    <x v="0"/>
    <x v="9"/>
    <n v="0"/>
    <n v="0"/>
    <n v="5801.4319999999998"/>
    <n v="5801.4319999999998"/>
    <n v="5801.4319999999998"/>
    <n v="5801.4319999999998"/>
    <n v="91780"/>
    <x v="2"/>
    <n v="0"/>
    <n v="0"/>
    <n v="28"/>
    <n v="101"/>
    <n v="0"/>
    <n v="277.05"/>
    <n v="210.82"/>
    <m/>
    <n v="336.133367976638"/>
    <n v="223.93652458459661"/>
    <n v="0"/>
    <n v="1607286.7356"/>
    <n v="1223057.8942399998"/>
    <n v="0"/>
    <n v="1950054.877247443"/>
    <n v="1299152.5196938654"/>
  </r>
  <r>
    <s v="Refaturamento - Regular"/>
    <x v="2"/>
    <x v="5"/>
    <x v="7"/>
    <x v="6"/>
    <x v="2"/>
    <x v="0"/>
    <x v="0"/>
    <x v="9"/>
    <n v="0"/>
    <n v="0"/>
    <n v="-0.48499999999999999"/>
    <n v="-0.48499999999999999"/>
    <n v="-0.48499999999999999"/>
    <n v="-0.48499999999999999"/>
    <n v="-1"/>
    <x v="2"/>
    <n v="0"/>
    <n v="0"/>
    <n v="28"/>
    <n v="101"/>
    <n v="0"/>
    <n v="277.05"/>
    <n v="210.82"/>
    <m/>
    <n v="336.133367976638"/>
    <n v="223.93652458459661"/>
    <n v="0"/>
    <n v="-134.36924999999999"/>
    <n v="-102.24769999999999"/>
    <n v="0"/>
    <n v="-163.02468346866942"/>
    <n v="-108.60921442352935"/>
  </r>
  <r>
    <s v="Sistema de Compensação"/>
    <x v="2"/>
    <x v="5"/>
    <x v="7"/>
    <x v="6"/>
    <x v="2"/>
    <x v="0"/>
    <x v="0"/>
    <x v="9"/>
    <n v="0"/>
    <n v="0"/>
    <n v="2.5019999999999998"/>
    <n v="2.5019999999999998"/>
    <n v="2.5019999999999998"/>
    <n v="2.5019999999999998"/>
    <n v="18"/>
    <x v="2"/>
    <n v="0"/>
    <n v="0"/>
    <n v="28"/>
    <n v="101"/>
    <n v="0"/>
    <n v="277.05"/>
    <n v="210.82"/>
    <m/>
    <n v="336.133367976638"/>
    <n v="223.93652458459661"/>
    <n v="0"/>
    <n v="693.17909999999995"/>
    <n v="527.47163999999998"/>
    <n v="0"/>
    <n v="841.00568667754817"/>
    <n v="560.28918451066068"/>
  </r>
  <r>
    <s v="Regular"/>
    <x v="2"/>
    <x v="5"/>
    <x v="7"/>
    <x v="6"/>
    <x v="2"/>
    <x v="0"/>
    <x v="0"/>
    <x v="10"/>
    <n v="0"/>
    <n v="0"/>
    <n v="5685.732"/>
    <n v="5685.732"/>
    <n v="5685.732"/>
    <n v="5685.732"/>
    <n v="92791"/>
    <x v="2"/>
    <n v="0"/>
    <n v="0"/>
    <n v="28"/>
    <n v="101"/>
    <n v="0"/>
    <n v="277.05"/>
    <n v="210.82"/>
    <m/>
    <n v="336.133367976638"/>
    <n v="223.93652458459661"/>
    <n v="0"/>
    <n v="1575232.0506"/>
    <n v="1198666.02024"/>
    <n v="0"/>
    <n v="1911164.246572546"/>
    <n v="1273243.0637994276"/>
  </r>
  <r>
    <s v="Refaturamento - Regular"/>
    <x v="2"/>
    <x v="5"/>
    <x v="7"/>
    <x v="6"/>
    <x v="2"/>
    <x v="0"/>
    <x v="0"/>
    <x v="10"/>
    <n v="0"/>
    <n v="0"/>
    <n v="-0.94499999999999995"/>
    <n v="-0.94499999999999995"/>
    <n v="-0.94499999999999995"/>
    <n v="-0.94499999999999995"/>
    <n v="-5"/>
    <x v="2"/>
    <n v="0"/>
    <n v="0"/>
    <n v="28"/>
    <n v="101"/>
    <n v="0"/>
    <n v="277.05"/>
    <n v="210.82"/>
    <m/>
    <n v="336.133367976638"/>
    <n v="223.93652458459661"/>
    <n v="0"/>
    <n v="-261.81225000000001"/>
    <n v="-199.22489999999999"/>
    <n v="0"/>
    <n v="-317.64603273792289"/>
    <n v="-211.62001573244379"/>
  </r>
  <r>
    <s v="Sistema de Compensação"/>
    <x v="2"/>
    <x v="5"/>
    <x v="7"/>
    <x v="6"/>
    <x v="2"/>
    <x v="0"/>
    <x v="0"/>
    <x v="10"/>
    <n v="0"/>
    <n v="0"/>
    <n v="2.363"/>
    <n v="2.363"/>
    <n v="2.363"/>
    <n v="2.363"/>
    <n v="17"/>
    <x v="2"/>
    <n v="0"/>
    <n v="0"/>
    <n v="28"/>
    <n v="101"/>
    <n v="0"/>
    <n v="277.05"/>
    <n v="210.82"/>
    <m/>
    <n v="336.133367976638"/>
    <n v="223.93652458459661"/>
    <n v="0"/>
    <n v="654.66915000000006"/>
    <n v="498.16765999999996"/>
    <n v="0"/>
    <n v="794.28314852879555"/>
    <n v="529.16200759340177"/>
  </r>
  <r>
    <s v="PROJETADO"/>
    <x v="2"/>
    <x v="5"/>
    <x v="7"/>
    <x v="6"/>
    <x v="2"/>
    <x v="0"/>
    <x v="0"/>
    <x v="11"/>
    <n v="0"/>
    <n v="0"/>
    <n v="5685.732"/>
    <n v="5685.732"/>
    <n v="5685.732"/>
    <n v="5685.732"/>
    <n v="92791"/>
    <x v="2"/>
    <n v="0"/>
    <n v="0"/>
    <n v="28"/>
    <n v="101"/>
    <n v="0"/>
    <n v="277.05"/>
    <n v="210.82"/>
    <m/>
    <n v="336.133367976638"/>
    <n v="223.93652458459661"/>
    <n v="0"/>
    <n v="1575232.0506"/>
    <n v="1198666.02024"/>
    <n v="0"/>
    <n v="1911164.246572546"/>
    <n v="1273243.0637994276"/>
  </r>
  <r>
    <s v="PROJETADO"/>
    <x v="2"/>
    <x v="5"/>
    <x v="7"/>
    <x v="6"/>
    <x v="2"/>
    <x v="0"/>
    <x v="0"/>
    <x v="11"/>
    <n v="0"/>
    <n v="0"/>
    <n v="-0.94499999999999995"/>
    <n v="-0.94499999999999995"/>
    <n v="-0.94499999999999995"/>
    <n v="-0.94499999999999995"/>
    <n v="-5"/>
    <x v="2"/>
    <n v="0"/>
    <n v="0"/>
    <n v="28"/>
    <n v="101"/>
    <n v="0"/>
    <n v="277.05"/>
    <n v="210.82"/>
    <m/>
    <n v="336.133367976638"/>
    <n v="223.93652458459661"/>
    <n v="0"/>
    <n v="-261.81225000000001"/>
    <n v="-199.22489999999999"/>
    <n v="0"/>
    <n v="-317.64603273792289"/>
    <n v="-211.62001573244379"/>
  </r>
  <r>
    <s v="PROJETADO"/>
    <x v="2"/>
    <x v="5"/>
    <x v="7"/>
    <x v="6"/>
    <x v="2"/>
    <x v="0"/>
    <x v="0"/>
    <x v="11"/>
    <n v="0"/>
    <n v="0"/>
    <n v="2.363"/>
    <n v="2.363"/>
    <n v="2.363"/>
    <n v="2.363"/>
    <n v="17"/>
    <x v="2"/>
    <n v="0"/>
    <n v="0"/>
    <n v="28"/>
    <n v="101"/>
    <n v="0"/>
    <n v="277.05"/>
    <n v="210.82"/>
    <m/>
    <n v="336.133367976638"/>
    <n v="223.93652458459661"/>
    <n v="0"/>
    <n v="654.66915000000006"/>
    <n v="498.16765999999996"/>
    <n v="0"/>
    <n v="794.28314852879555"/>
    <n v="529.16200759340177"/>
  </r>
  <r>
    <s v="Regular"/>
    <x v="2"/>
    <x v="5"/>
    <x v="7"/>
    <x v="7"/>
    <x v="2"/>
    <x v="0"/>
    <x v="0"/>
    <x v="0"/>
    <n v="0"/>
    <n v="0"/>
    <n v="1840.585"/>
    <n v="1840.585"/>
    <n v="1840.585"/>
    <n v="1840.585"/>
    <n v="18521"/>
    <x v="2"/>
    <n v="0"/>
    <n v="0"/>
    <n v="29"/>
    <n v="66"/>
    <n v="0"/>
    <n v="307.83999999999997"/>
    <n v="234.24"/>
    <m/>
    <n v="373.48151997404221"/>
    <n v="248.81836064955178"/>
    <n v="0"/>
    <n v="566605.68640000001"/>
    <n v="431138.63040000002"/>
    <n v="0"/>
    <n v="687424.48344142246"/>
    <n v="457971.34233615524"/>
  </r>
  <r>
    <s v="Refaturamento - Regular"/>
    <x v="2"/>
    <x v="5"/>
    <x v="7"/>
    <x v="7"/>
    <x v="2"/>
    <x v="0"/>
    <x v="0"/>
    <x v="0"/>
    <n v="0"/>
    <n v="0"/>
    <n v="-6.4489999999999998"/>
    <n v="-6.4489999999999998"/>
    <n v="-6.4489999999999998"/>
    <n v="-6.4489999999999998"/>
    <n v="-4"/>
    <x v="2"/>
    <n v="0"/>
    <n v="0"/>
    <n v="29"/>
    <n v="66"/>
    <n v="0"/>
    <n v="307.83999999999997"/>
    <n v="234.24"/>
    <m/>
    <n v="373.48151997404221"/>
    <n v="248.81836064955178"/>
    <n v="0"/>
    <n v="-1985.2601599999998"/>
    <n v="-1510.61376"/>
    <n v="0"/>
    <n v="-2408.5823223125981"/>
    <n v="-1604.6296078289595"/>
  </r>
  <r>
    <s v="Sistema de Compensação"/>
    <x v="2"/>
    <x v="5"/>
    <x v="7"/>
    <x v="7"/>
    <x v="2"/>
    <x v="0"/>
    <x v="0"/>
    <x v="0"/>
    <n v="0"/>
    <n v="0"/>
    <n v="2.9940000000000002"/>
    <n v="2.9940000000000002"/>
    <n v="2.9940000000000002"/>
    <n v="2.9940000000000002"/>
    <n v="23"/>
    <x v="2"/>
    <n v="0"/>
    <n v="0"/>
    <n v="29"/>
    <n v="66"/>
    <n v="0"/>
    <n v="307.83999999999997"/>
    <n v="234.24"/>
    <m/>
    <n v="373.48151997404221"/>
    <n v="248.81836064955178"/>
    <n v="0"/>
    <n v="921.67295999999999"/>
    <n v="701.31456000000003"/>
    <n v="0"/>
    <n v="1118.2036708022824"/>
    <n v="744.96217178475808"/>
  </r>
  <r>
    <s v="Regular"/>
    <x v="2"/>
    <x v="5"/>
    <x v="7"/>
    <x v="7"/>
    <x v="2"/>
    <x v="0"/>
    <x v="0"/>
    <x v="1"/>
    <n v="0"/>
    <n v="0"/>
    <n v="1271.867"/>
    <n v="1271.867"/>
    <n v="1271.867"/>
    <n v="1271.867"/>
    <n v="13296"/>
    <x v="2"/>
    <n v="0"/>
    <n v="0"/>
    <n v="29"/>
    <n v="66"/>
    <n v="0"/>
    <n v="307.83999999999997"/>
    <n v="234.24"/>
    <m/>
    <n v="373.48151997404221"/>
    <n v="248.81836064955178"/>
    <n v="0"/>
    <n v="391531.53727999993"/>
    <n v="297922.12608000002"/>
    <n v="0"/>
    <n v="475018.82036482514"/>
    <n v="316463.86190426344"/>
  </r>
  <r>
    <s v="Refaturamento - Regular"/>
    <x v="2"/>
    <x v="5"/>
    <x v="7"/>
    <x v="7"/>
    <x v="2"/>
    <x v="0"/>
    <x v="0"/>
    <x v="1"/>
    <n v="0"/>
    <n v="0"/>
    <n v="-9.8000000000000004E-2"/>
    <n v="-9.8000000000000004E-2"/>
    <n v="-9.8000000000000004E-2"/>
    <n v="-9.8000000000000004E-2"/>
    <n v="-2"/>
    <x v="2"/>
    <n v="0"/>
    <n v="0"/>
    <n v="29"/>
    <n v="66"/>
    <n v="0"/>
    <n v="307.83999999999997"/>
    <n v="234.24"/>
    <m/>
    <n v="373.48151997404221"/>
    <n v="248.81836064955178"/>
    <n v="0"/>
    <n v="-30.168319999999998"/>
    <n v="-22.955520000000003"/>
    <n v="0"/>
    <n v="-36.601188957456138"/>
    <n v="-24.384199343656075"/>
  </r>
  <r>
    <s v="Sistema de Compensação"/>
    <x v="2"/>
    <x v="5"/>
    <x v="7"/>
    <x v="7"/>
    <x v="2"/>
    <x v="0"/>
    <x v="0"/>
    <x v="1"/>
    <n v="0"/>
    <n v="0"/>
    <n v="2.5760000000000001"/>
    <n v="2.5760000000000001"/>
    <n v="2.5760000000000001"/>
    <n v="2.5760000000000001"/>
    <n v="23"/>
    <x v="2"/>
    <n v="0"/>
    <n v="0"/>
    <n v="29"/>
    <n v="66"/>
    <n v="0"/>
    <n v="307.83999999999997"/>
    <n v="234.24"/>
    <m/>
    <n v="373.48151997404221"/>
    <n v="248.81836064955178"/>
    <n v="0"/>
    <n v="792.99583999999993"/>
    <n v="603.40224000000001"/>
    <n v="0"/>
    <n v="962.08839545313276"/>
    <n v="640.95609703324544"/>
  </r>
  <r>
    <s v="Regular"/>
    <x v="2"/>
    <x v="5"/>
    <x v="7"/>
    <x v="7"/>
    <x v="2"/>
    <x v="0"/>
    <x v="0"/>
    <x v="2"/>
    <n v="0"/>
    <n v="0"/>
    <n v="1126.193"/>
    <n v="1126.193"/>
    <n v="1126.193"/>
    <n v="1126.193"/>
    <n v="11760"/>
    <x v="2"/>
    <n v="0"/>
    <n v="0"/>
    <n v="29"/>
    <n v="66"/>
    <n v="0"/>
    <n v="307.83999999999997"/>
    <n v="234.24"/>
    <m/>
    <n v="373.48151997404221"/>
    <n v="248.81836064955178"/>
    <n v="0"/>
    <n v="346687.25311999995"/>
    <n v="263799.44832000002"/>
    <n v="0"/>
    <n v="420612.2734241265"/>
    <n v="280217.49603500066"/>
  </r>
  <r>
    <s v="Refaturamento - Regular"/>
    <x v="2"/>
    <x v="5"/>
    <x v="7"/>
    <x v="7"/>
    <x v="2"/>
    <x v="0"/>
    <x v="0"/>
    <x v="2"/>
    <n v="0"/>
    <n v="0"/>
    <n v="-0.02"/>
    <n v="-0.02"/>
    <n v="-0.02"/>
    <n v="-0.02"/>
    <n v="-1"/>
    <x v="2"/>
    <n v="0"/>
    <n v="0"/>
    <n v="29"/>
    <n v="66"/>
    <n v="0"/>
    <n v="307.83999999999997"/>
    <n v="234.24"/>
    <m/>
    <n v="373.48151997404221"/>
    <n v="248.81836064955178"/>
    <n v="0"/>
    <n v="-6.1567999999999996"/>
    <n v="-4.6848000000000001"/>
    <n v="0"/>
    <n v="-7.4696303994808444"/>
    <n v="-4.9763672129910352"/>
  </r>
  <r>
    <s v="Sistema de Compensação"/>
    <x v="2"/>
    <x v="5"/>
    <x v="7"/>
    <x v="7"/>
    <x v="2"/>
    <x v="0"/>
    <x v="0"/>
    <x v="2"/>
    <n v="0"/>
    <n v="0"/>
    <n v="1.595"/>
    <n v="1.595"/>
    <n v="1.595"/>
    <n v="1.595"/>
    <n v="19"/>
    <x v="2"/>
    <n v="0"/>
    <n v="0"/>
    <n v="29"/>
    <n v="66"/>
    <n v="0"/>
    <n v="307.83999999999997"/>
    <n v="234.24"/>
    <m/>
    <n v="373.48151997404221"/>
    <n v="248.81836064955178"/>
    <n v="0"/>
    <n v="491.00479999999993"/>
    <n v="373.61279999999999"/>
    <n v="0"/>
    <n v="595.7030243585973"/>
    <n v="396.86528523603511"/>
  </r>
  <r>
    <s v="Regular"/>
    <x v="2"/>
    <x v="5"/>
    <x v="7"/>
    <x v="7"/>
    <x v="2"/>
    <x v="0"/>
    <x v="0"/>
    <x v="3"/>
    <n v="0"/>
    <n v="0"/>
    <n v="1052.328"/>
    <n v="1052.328"/>
    <n v="1052.328"/>
    <n v="1052.328"/>
    <n v="11008"/>
    <x v="2"/>
    <n v="0"/>
    <n v="0"/>
    <n v="29"/>
    <n v="66"/>
    <n v="0"/>
    <n v="307.83999999999997"/>
    <n v="234.24"/>
    <m/>
    <n v="373.48151997404221"/>
    <n v="248.81836064955178"/>
    <n v="0"/>
    <n v="323948.65151999996"/>
    <n v="246497.31072000001"/>
    <n v="0"/>
    <n v="393025.06095124391"/>
    <n v="261838.52782562151"/>
  </r>
  <r>
    <s v="Refaturamento - Regular"/>
    <x v="2"/>
    <x v="5"/>
    <x v="7"/>
    <x v="7"/>
    <x v="2"/>
    <x v="0"/>
    <x v="0"/>
    <x v="3"/>
    <n v="0"/>
    <n v="0"/>
    <n v="-17.094000000000001"/>
    <n v="-17.094000000000001"/>
    <n v="-17.094000000000001"/>
    <n v="-17.094000000000001"/>
    <n v="-16"/>
    <x v="2"/>
    <n v="0"/>
    <n v="0"/>
    <n v="29"/>
    <n v="66"/>
    <n v="0"/>
    <n v="307.83999999999997"/>
    <n v="234.24"/>
    <m/>
    <n v="373.48151997404221"/>
    <n v="248.81836064955178"/>
    <n v="0"/>
    <n v="-5262.2169599999997"/>
    <n v="-4004.0985600000004"/>
    <n v="0"/>
    <n v="-6384.2931024362779"/>
    <n v="-4253.3010569434382"/>
  </r>
  <r>
    <s v="Sistema de Compensação"/>
    <x v="2"/>
    <x v="5"/>
    <x v="7"/>
    <x v="7"/>
    <x v="2"/>
    <x v="0"/>
    <x v="0"/>
    <x v="3"/>
    <n v="0"/>
    <n v="0"/>
    <n v="1.3480000000000001"/>
    <n v="1.3480000000000001"/>
    <n v="1.3480000000000001"/>
    <n v="1.3480000000000001"/>
    <n v="20"/>
    <x v="2"/>
    <n v="0"/>
    <n v="0"/>
    <n v="29"/>
    <n v="66"/>
    <n v="0"/>
    <n v="307.83999999999997"/>
    <n v="234.24"/>
    <m/>
    <n v="373.48151997404221"/>
    <n v="248.81836064955178"/>
    <n v="0"/>
    <n v="414.96832000000001"/>
    <n v="315.75552000000005"/>
    <n v="0"/>
    <n v="503.45308892500896"/>
    <n v="335.40715015559584"/>
  </r>
  <r>
    <s v="Regular"/>
    <x v="2"/>
    <x v="5"/>
    <x v="7"/>
    <x v="7"/>
    <x v="2"/>
    <x v="0"/>
    <x v="0"/>
    <x v="4"/>
    <n v="0"/>
    <n v="0"/>
    <n v="915.596"/>
    <n v="915.596"/>
    <n v="915.596"/>
    <n v="915.596"/>
    <n v="9367"/>
    <x v="2"/>
    <n v="0"/>
    <n v="0"/>
    <n v="29"/>
    <n v="66"/>
    <n v="0"/>
    <n v="307.83999999999997"/>
    <n v="234.24"/>
    <m/>
    <n v="373.48151997404221"/>
    <n v="248.81836064955178"/>
    <n v="0"/>
    <n v="281857.07263999997"/>
    <n v="214469.20704000001"/>
    <n v="0"/>
    <n v="341958.18576215318"/>
    <n v="227817.09573728702"/>
  </r>
  <r>
    <s v="Refaturamento - Regular"/>
    <x v="2"/>
    <x v="5"/>
    <x v="7"/>
    <x v="7"/>
    <x v="2"/>
    <x v="0"/>
    <x v="0"/>
    <x v="4"/>
    <n v="0"/>
    <n v="0"/>
    <n v="-10.167"/>
    <n v="-10.167"/>
    <n v="-10.167"/>
    <n v="-10.167"/>
    <n v="-10"/>
    <x v="2"/>
    <n v="0"/>
    <n v="0"/>
    <n v="29"/>
    <n v="66"/>
    <n v="0"/>
    <n v="307.83999999999997"/>
    <n v="234.24"/>
    <m/>
    <n v="373.48151997404221"/>
    <n v="248.81836064955178"/>
    <n v="0"/>
    <n v="-3129.8092799999995"/>
    <n v="-2381.5180799999998"/>
    <n v="0"/>
    <n v="-3797.186613576087"/>
    <n v="-2529.7362727239929"/>
  </r>
  <r>
    <s v="Sistema de Compensação"/>
    <x v="2"/>
    <x v="5"/>
    <x v="7"/>
    <x v="7"/>
    <x v="2"/>
    <x v="0"/>
    <x v="0"/>
    <x v="4"/>
    <n v="0"/>
    <n v="0"/>
    <n v="1.4430000000000001"/>
    <n v="1.4430000000000001"/>
    <n v="1.4430000000000001"/>
    <n v="1.4430000000000001"/>
    <n v="20"/>
    <x v="2"/>
    <n v="0"/>
    <n v="0"/>
    <n v="29"/>
    <n v="66"/>
    <n v="0"/>
    <n v="307.83999999999997"/>
    <n v="234.24"/>
    <m/>
    <n v="373.48151997404221"/>
    <n v="248.81836064955178"/>
    <n v="0"/>
    <n v="444.21312"/>
    <n v="338.00832000000003"/>
    <n v="0"/>
    <n v="538.93383332254291"/>
    <n v="359.04489441730323"/>
  </r>
  <r>
    <s v="Regular"/>
    <x v="2"/>
    <x v="5"/>
    <x v="7"/>
    <x v="7"/>
    <x v="2"/>
    <x v="0"/>
    <x v="0"/>
    <x v="5"/>
    <n v="0"/>
    <n v="0"/>
    <n v="968.34100000000001"/>
    <n v="968.34100000000001"/>
    <n v="968.34100000000001"/>
    <n v="968.34100000000001"/>
    <n v="9801"/>
    <x v="2"/>
    <n v="0"/>
    <n v="0"/>
    <n v="29"/>
    <n v="66"/>
    <n v="0"/>
    <n v="307.83999999999997"/>
    <n v="234.24"/>
    <m/>
    <n v="373.48151997404221"/>
    <n v="248.81836064955178"/>
    <n v="0"/>
    <n v="298094.09343999997"/>
    <n v="226824.19584"/>
    <n v="0"/>
    <n v="361657.46853318403"/>
    <n v="240941.02016974762"/>
  </r>
  <r>
    <s v="Refaturamento - Regular"/>
    <x v="2"/>
    <x v="5"/>
    <x v="7"/>
    <x v="7"/>
    <x v="2"/>
    <x v="0"/>
    <x v="0"/>
    <x v="5"/>
    <n v="0"/>
    <n v="0"/>
    <n v="-2.8090000000000002"/>
    <n v="-2.8090000000000002"/>
    <n v="-2.8090000000000002"/>
    <n v="-2.8090000000000002"/>
    <n v="-11"/>
    <x v="2"/>
    <n v="0"/>
    <n v="0"/>
    <n v="29"/>
    <n v="66"/>
    <n v="0"/>
    <n v="307.83999999999997"/>
    <n v="234.24"/>
    <m/>
    <n v="373.48151997404221"/>
    <n v="248.81836064955178"/>
    <n v="0"/>
    <n v="-864.72255999999993"/>
    <n v="-657.98016000000007"/>
    <n v="0"/>
    <n v="-1049.1095896070847"/>
    <n v="-698.93077506459099"/>
  </r>
  <r>
    <s v="Sistema de Compensação"/>
    <x v="2"/>
    <x v="5"/>
    <x v="7"/>
    <x v="7"/>
    <x v="2"/>
    <x v="0"/>
    <x v="0"/>
    <x v="5"/>
    <n v="0"/>
    <n v="0"/>
    <n v="2.2029999999999998"/>
    <n v="2.2029999999999998"/>
    <n v="2.2029999999999998"/>
    <n v="2.2029999999999998"/>
    <n v="25"/>
    <x v="2"/>
    <n v="0"/>
    <n v="0"/>
    <n v="29"/>
    <n v="66"/>
    <n v="0"/>
    <n v="307.83999999999997"/>
    <n v="234.24"/>
    <m/>
    <n v="373.48151997404221"/>
    <n v="248.81836064955178"/>
    <n v="0"/>
    <n v="678.17151999999987"/>
    <n v="516.03071999999997"/>
    <n v="0"/>
    <n v="822.77978850281499"/>
    <n v="548.14684851096251"/>
  </r>
  <r>
    <s v="Regular"/>
    <x v="2"/>
    <x v="5"/>
    <x v="7"/>
    <x v="7"/>
    <x v="2"/>
    <x v="0"/>
    <x v="0"/>
    <x v="6"/>
    <n v="0"/>
    <n v="0"/>
    <n v="1199.5029999999999"/>
    <n v="1199.5029999999999"/>
    <n v="1199.5029999999999"/>
    <n v="1199.5029999999999"/>
    <n v="11981"/>
    <x v="2"/>
    <n v="0"/>
    <n v="0"/>
    <n v="29"/>
    <n v="66"/>
    <n v="0"/>
    <n v="307.83999999999997"/>
    <n v="234.24"/>
    <m/>
    <n v="373.48151997404221"/>
    <n v="248.81836064955178"/>
    <n v="0"/>
    <n v="369255.00351999997"/>
    <n v="280971.58272000001"/>
    <n v="0"/>
    <n v="447992.20365342352"/>
    <n v="298458.37005421927"/>
  </r>
  <r>
    <s v="Refaturamento - Regular"/>
    <x v="2"/>
    <x v="5"/>
    <x v="7"/>
    <x v="7"/>
    <x v="2"/>
    <x v="0"/>
    <x v="0"/>
    <x v="6"/>
    <n v="0"/>
    <n v="0"/>
    <n v="-6.9909999999999997"/>
    <n v="-6.9909999999999997"/>
    <n v="-6.9909999999999997"/>
    <n v="-6.9909999999999997"/>
    <n v="-9"/>
    <x v="2"/>
    <n v="0"/>
    <n v="0"/>
    <n v="29"/>
    <n v="66"/>
    <n v="0"/>
    <n v="307.83999999999997"/>
    <n v="234.24"/>
    <m/>
    <n v="373.48151997404221"/>
    <n v="248.81836064955178"/>
    <n v="0"/>
    <n v="-2152.1094399999997"/>
    <n v="-1637.5718400000001"/>
    <n v="0"/>
    <n v="-2611.0093061385292"/>
    <n v="-1739.4891593010163"/>
  </r>
  <r>
    <s v="Sistema de Compensação"/>
    <x v="2"/>
    <x v="5"/>
    <x v="7"/>
    <x v="7"/>
    <x v="2"/>
    <x v="0"/>
    <x v="0"/>
    <x v="6"/>
    <n v="0"/>
    <n v="0"/>
    <n v="2.5920000000000001"/>
    <n v="2.5920000000000001"/>
    <n v="2.5920000000000001"/>
    <n v="2.5920000000000001"/>
    <n v="25"/>
    <x v="2"/>
    <n v="0"/>
    <n v="0"/>
    <n v="29"/>
    <n v="66"/>
    <n v="0"/>
    <n v="307.83999999999997"/>
    <n v="234.24"/>
    <m/>
    <n v="373.48151997404221"/>
    <n v="248.81836064955178"/>
    <n v="0"/>
    <n v="797.92127999999991"/>
    <n v="607.15008"/>
    <n v="0"/>
    <n v="968.06409977271744"/>
    <n v="644.93719080363826"/>
  </r>
  <r>
    <s v="Regular"/>
    <x v="2"/>
    <x v="5"/>
    <x v="7"/>
    <x v="7"/>
    <x v="2"/>
    <x v="0"/>
    <x v="0"/>
    <x v="7"/>
    <n v="0"/>
    <n v="0"/>
    <n v="1299.3150000000001"/>
    <n v="1299.3150000000001"/>
    <n v="1299.3150000000001"/>
    <n v="1299.3150000000001"/>
    <n v="12988"/>
    <x v="2"/>
    <n v="0"/>
    <n v="0"/>
    <n v="29"/>
    <n v="66"/>
    <n v="0"/>
    <n v="307.83999999999997"/>
    <n v="234.24"/>
    <m/>
    <n v="373.48151997404221"/>
    <n v="248.81836064955178"/>
    <n v="0"/>
    <n v="399981.12959999999"/>
    <n v="304351.54560000001"/>
    <n v="0"/>
    <n v="485270.14112507267"/>
    <n v="323293.42826737236"/>
  </r>
  <r>
    <s v="Refaturamento - Regular"/>
    <x v="2"/>
    <x v="5"/>
    <x v="7"/>
    <x v="7"/>
    <x v="2"/>
    <x v="0"/>
    <x v="0"/>
    <x v="7"/>
    <n v="0"/>
    <n v="0"/>
    <n v="-3.6970000000000001"/>
    <n v="-3.6970000000000001"/>
    <n v="-3.6970000000000001"/>
    <n v="-3.6970000000000001"/>
    <n v="-5"/>
    <x v="2"/>
    <n v="0"/>
    <n v="0"/>
    <n v="29"/>
    <n v="66"/>
    <n v="0"/>
    <n v="307.83999999999997"/>
    <n v="234.24"/>
    <m/>
    <n v="373.48151997404221"/>
    <n v="248.81836064955178"/>
    <n v="0"/>
    <n v="-1138.08448"/>
    <n v="-865.9852800000001"/>
    <n v="0"/>
    <n v="-1380.7611793440342"/>
    <n v="-919.88147932139293"/>
  </r>
  <r>
    <s v="Sistema de Compensação"/>
    <x v="2"/>
    <x v="5"/>
    <x v="7"/>
    <x v="7"/>
    <x v="2"/>
    <x v="0"/>
    <x v="0"/>
    <x v="7"/>
    <n v="0"/>
    <n v="0"/>
    <n v="3.089"/>
    <n v="3.089"/>
    <n v="3.089"/>
    <n v="3.089"/>
    <n v="30"/>
    <x v="2"/>
    <n v="0"/>
    <n v="0"/>
    <n v="29"/>
    <n v="66"/>
    <n v="0"/>
    <n v="307.83999999999997"/>
    <n v="234.24"/>
    <m/>
    <n v="373.48151997404221"/>
    <n v="248.81836064955178"/>
    <n v="0"/>
    <n v="950.91775999999993"/>
    <n v="723.56736000000001"/>
    <n v="0"/>
    <n v="1153.6844151998164"/>
    <n v="768.59991604646541"/>
  </r>
  <r>
    <s v="Regular"/>
    <x v="2"/>
    <x v="5"/>
    <x v="7"/>
    <x v="7"/>
    <x v="2"/>
    <x v="0"/>
    <x v="0"/>
    <x v="8"/>
    <n v="0"/>
    <n v="0"/>
    <n v="1451.0260000000001"/>
    <n v="1451.0260000000001"/>
    <n v="1451.0260000000001"/>
    <n v="1451.0260000000001"/>
    <n v="14328"/>
    <x v="2"/>
    <n v="0"/>
    <n v="0"/>
    <n v="29"/>
    <n v="66"/>
    <n v="0"/>
    <n v="307.83999999999997"/>
    <n v="234.24"/>
    <m/>
    <n v="373.48151997404221"/>
    <n v="248.81836064955178"/>
    <n v="0"/>
    <n v="446683.84383999999"/>
    <n v="339888.33024000004"/>
    <n v="0"/>
    <n v="541931.39600185456"/>
    <n v="361041.91057987651"/>
  </r>
  <r>
    <s v="Refaturamento - Regular"/>
    <x v="2"/>
    <x v="5"/>
    <x v="7"/>
    <x v="7"/>
    <x v="2"/>
    <x v="0"/>
    <x v="0"/>
    <x v="8"/>
    <n v="0"/>
    <n v="0"/>
    <n v="-7.14"/>
    <n v="-7.14"/>
    <n v="-7.14"/>
    <n v="-7.14"/>
    <n v="-4"/>
    <x v="2"/>
    <n v="0"/>
    <n v="0"/>
    <n v="29"/>
    <n v="66"/>
    <n v="0"/>
    <n v="307.83999999999997"/>
    <n v="234.24"/>
    <m/>
    <n v="373.48151997404221"/>
    <n v="248.81836064955178"/>
    <n v="0"/>
    <n v="-2197.9775999999997"/>
    <n v="-1672.4736"/>
    <n v="0"/>
    <n v="-2666.6580526146613"/>
    <n v="-1776.5630950377997"/>
  </r>
  <r>
    <s v="Sistema de Compensação"/>
    <x v="2"/>
    <x v="5"/>
    <x v="7"/>
    <x v="7"/>
    <x v="2"/>
    <x v="0"/>
    <x v="0"/>
    <x v="8"/>
    <n v="0"/>
    <n v="0"/>
    <n v="4.8970000000000002"/>
    <n v="4.8970000000000002"/>
    <n v="4.8970000000000002"/>
    <n v="4.8970000000000002"/>
    <n v="37"/>
    <x v="2"/>
    <n v="0"/>
    <n v="0"/>
    <n v="29"/>
    <n v="66"/>
    <n v="0"/>
    <n v="307.83999999999997"/>
    <n v="234.24"/>
    <m/>
    <n v="373.48151997404221"/>
    <n v="248.81836064955178"/>
    <n v="0"/>
    <n v="1507.4924799999999"/>
    <n v="1147.0732800000001"/>
    <n v="0"/>
    <n v="1828.9390033128848"/>
    <n v="1218.463512100855"/>
  </r>
  <r>
    <s v="Regular"/>
    <x v="2"/>
    <x v="5"/>
    <x v="7"/>
    <x v="7"/>
    <x v="2"/>
    <x v="0"/>
    <x v="0"/>
    <x v="9"/>
    <n v="0"/>
    <n v="0"/>
    <n v="1663.5"/>
    <n v="1663.5"/>
    <n v="1663.5"/>
    <n v="1663.5"/>
    <n v="16919"/>
    <x v="2"/>
    <n v="0"/>
    <n v="0"/>
    <n v="29"/>
    <n v="66"/>
    <n v="0"/>
    <n v="307.83999999999997"/>
    <n v="234.24"/>
    <m/>
    <n v="373.48151997404221"/>
    <n v="248.81836064955178"/>
    <n v="0"/>
    <n v="512091.83999999997"/>
    <n v="389658.24"/>
    <n v="0"/>
    <n v="621286.50847681926"/>
    <n v="413909.3429405294"/>
  </r>
  <r>
    <s v="Refaturamento - Regular"/>
    <x v="2"/>
    <x v="5"/>
    <x v="7"/>
    <x v="7"/>
    <x v="2"/>
    <x v="0"/>
    <x v="0"/>
    <x v="9"/>
    <n v="0"/>
    <n v="0"/>
    <n v="-1.9239999999999999"/>
    <n v="-1.9239999999999999"/>
    <n v="-1.9239999999999999"/>
    <n v="-1.9239999999999999"/>
    <n v="-7"/>
    <x v="2"/>
    <n v="0"/>
    <n v="0"/>
    <n v="29"/>
    <n v="66"/>
    <n v="0"/>
    <n v="307.83999999999997"/>
    <n v="234.24"/>
    <m/>
    <n v="373.48151997404221"/>
    <n v="248.81836064955178"/>
    <n v="0"/>
    <n v="-592.28415999999993"/>
    <n v="-450.67775999999998"/>
    <n v="0"/>
    <n v="-718.57844443005717"/>
    <n v="-478.72652588973762"/>
  </r>
  <r>
    <s v="Sistema de Compensação"/>
    <x v="2"/>
    <x v="5"/>
    <x v="7"/>
    <x v="7"/>
    <x v="2"/>
    <x v="0"/>
    <x v="0"/>
    <x v="9"/>
    <n v="0"/>
    <n v="0"/>
    <n v="5.907"/>
    <n v="5.907"/>
    <n v="5.907"/>
    <n v="5.907"/>
    <n v="42"/>
    <x v="2"/>
    <n v="0"/>
    <n v="0"/>
    <n v="29"/>
    <n v="66"/>
    <n v="0"/>
    <n v="307.83999999999997"/>
    <n v="234.24"/>
    <m/>
    <n v="373.48151997404221"/>
    <n v="248.81836064955178"/>
    <n v="0"/>
    <n v="1818.4108799999999"/>
    <n v="1383.6556800000001"/>
    <n v="0"/>
    <n v="2206.1553384866675"/>
    <n v="1469.7700563569024"/>
  </r>
  <r>
    <s v="Regular"/>
    <x v="2"/>
    <x v="5"/>
    <x v="7"/>
    <x v="7"/>
    <x v="2"/>
    <x v="0"/>
    <x v="0"/>
    <x v="10"/>
    <n v="0"/>
    <n v="0"/>
    <n v="1648.4870000000001"/>
    <n v="1648.4870000000001"/>
    <n v="1648.4870000000001"/>
    <n v="1648.4870000000001"/>
    <n v="16331"/>
    <x v="2"/>
    <n v="0"/>
    <n v="0"/>
    <n v="29"/>
    <n v="66"/>
    <n v="0"/>
    <n v="307.83999999999997"/>
    <n v="234.24"/>
    <m/>
    <n v="373.48151997404221"/>
    <n v="248.81836064955178"/>
    <n v="0"/>
    <n v="507470.23807999998"/>
    <n v="386141.59488000005"/>
    <n v="0"/>
    <n v="615679.43041744898"/>
    <n v="410173.83289209771"/>
  </r>
  <r>
    <s v="Refaturamento - Regular"/>
    <x v="2"/>
    <x v="5"/>
    <x v="7"/>
    <x v="7"/>
    <x v="2"/>
    <x v="0"/>
    <x v="0"/>
    <x v="10"/>
    <n v="0"/>
    <n v="0"/>
    <n v="-1.3140000000000001"/>
    <n v="-1.3140000000000001"/>
    <n v="-1.3140000000000001"/>
    <n v="-1.3140000000000001"/>
    <n v="-5"/>
    <x v="2"/>
    <n v="0"/>
    <n v="0"/>
    <n v="29"/>
    <n v="66"/>
    <n v="0"/>
    <n v="307.83999999999997"/>
    <n v="234.24"/>
    <m/>
    <n v="373.48151997404221"/>
    <n v="248.81836064955178"/>
    <n v="0"/>
    <n v="-404.50175999999999"/>
    <n v="-307.79136"/>
    <n v="0"/>
    <n v="-490.75471724589147"/>
    <n v="-326.94732589351105"/>
  </r>
  <r>
    <s v="Sistema de Compensação"/>
    <x v="2"/>
    <x v="5"/>
    <x v="7"/>
    <x v="7"/>
    <x v="2"/>
    <x v="0"/>
    <x v="0"/>
    <x v="10"/>
    <n v="0"/>
    <n v="0"/>
    <n v="4.5259999999999998"/>
    <n v="4.5259999999999998"/>
    <n v="4.5259999999999998"/>
    <n v="4.5259999999999998"/>
    <n v="47"/>
    <x v="2"/>
    <n v="0"/>
    <n v="0"/>
    <n v="29"/>
    <n v="66"/>
    <n v="0"/>
    <n v="307.83999999999997"/>
    <n v="234.24"/>
    <m/>
    <n v="373.48151997404221"/>
    <n v="248.81836064955178"/>
    <n v="0"/>
    <n v="1393.2838399999998"/>
    <n v="1060.1702399999999"/>
    <n v="0"/>
    <n v="1690.3773594025149"/>
    <n v="1126.1519002998714"/>
  </r>
  <r>
    <s v="PROJETADO"/>
    <x v="2"/>
    <x v="5"/>
    <x v="7"/>
    <x v="7"/>
    <x v="2"/>
    <x v="0"/>
    <x v="0"/>
    <x v="11"/>
    <n v="0"/>
    <n v="0"/>
    <n v="1648.4870000000001"/>
    <n v="1648.4870000000001"/>
    <n v="1648.4870000000001"/>
    <n v="1648.4870000000001"/>
    <n v="16331"/>
    <x v="2"/>
    <n v="0"/>
    <n v="0"/>
    <n v="29"/>
    <n v="66"/>
    <n v="0"/>
    <n v="307.83999999999997"/>
    <n v="234.24"/>
    <m/>
    <n v="373.48151997404221"/>
    <n v="248.81836064955178"/>
    <n v="0"/>
    <n v="507470.23807999998"/>
    <n v="386141.59488000005"/>
    <n v="0"/>
    <n v="615679.43041744898"/>
    <n v="410173.83289209771"/>
  </r>
  <r>
    <s v="PROJETADO"/>
    <x v="2"/>
    <x v="5"/>
    <x v="7"/>
    <x v="7"/>
    <x v="2"/>
    <x v="0"/>
    <x v="0"/>
    <x v="11"/>
    <n v="0"/>
    <n v="0"/>
    <n v="-1.3140000000000001"/>
    <n v="-1.3140000000000001"/>
    <n v="-1.3140000000000001"/>
    <n v="-1.3140000000000001"/>
    <n v="-5"/>
    <x v="2"/>
    <n v="0"/>
    <n v="0"/>
    <n v="29"/>
    <n v="66"/>
    <n v="0"/>
    <n v="307.83999999999997"/>
    <n v="234.24"/>
    <m/>
    <n v="373.48151997404221"/>
    <n v="248.81836064955178"/>
    <n v="0"/>
    <n v="-404.50175999999999"/>
    <n v="-307.79136"/>
    <n v="0"/>
    <n v="-490.75471724589147"/>
    <n v="-326.94732589351105"/>
  </r>
  <r>
    <s v="PROJETADO"/>
    <x v="2"/>
    <x v="5"/>
    <x v="7"/>
    <x v="7"/>
    <x v="2"/>
    <x v="0"/>
    <x v="0"/>
    <x v="11"/>
    <n v="0"/>
    <n v="0"/>
    <n v="4.5259999999999998"/>
    <n v="4.5259999999999998"/>
    <n v="4.5259999999999998"/>
    <n v="4.5259999999999998"/>
    <n v="47"/>
    <x v="2"/>
    <n v="0"/>
    <n v="0"/>
    <n v="29"/>
    <n v="66"/>
    <n v="0"/>
    <n v="307.83999999999997"/>
    <n v="234.24"/>
    <m/>
    <n v="373.48151997404221"/>
    <n v="248.81836064955178"/>
    <n v="0"/>
    <n v="1393.2838399999998"/>
    <n v="1060.1702399999999"/>
    <n v="0"/>
    <n v="1690.3773594025149"/>
    <n v="1126.1519002998714"/>
  </r>
  <r>
    <s v="Regular"/>
    <x v="3"/>
    <x v="4"/>
    <x v="2"/>
    <x v="1"/>
    <x v="6"/>
    <x v="0"/>
    <x v="1"/>
    <x v="6"/>
    <n v="0"/>
    <n v="0"/>
    <n v="4.3259999999999996"/>
    <n v="4.3259999999999996"/>
    <n v="4.3259999999999996"/>
    <n v="4.3259999999999996"/>
    <n v="0"/>
    <x v="2"/>
    <n v="0"/>
    <n v="0"/>
    <n v="33"/>
    <n v="71"/>
    <n v="0"/>
    <n v="208.22"/>
    <n v="195.63"/>
    <m/>
    <n v="276.59045054649897"/>
    <n v="222.44382806815733"/>
    <n v="0"/>
    <n v="900.7597199999999"/>
    <n v="846.29537999999991"/>
    <n v="0"/>
    <n v="1196.5302890641544"/>
    <n v="962.29200022284851"/>
  </r>
  <r>
    <s v="Regular"/>
    <x v="3"/>
    <x v="4"/>
    <x v="2"/>
    <x v="1"/>
    <x v="6"/>
    <x v="0"/>
    <x v="1"/>
    <x v="7"/>
    <n v="0"/>
    <n v="0"/>
    <n v="4.3259999999999996"/>
    <n v="4.3259999999999996"/>
    <n v="4.3259999999999996"/>
    <n v="4.3259999999999996"/>
    <n v="0"/>
    <x v="2"/>
    <n v="0"/>
    <n v="0"/>
    <n v="33"/>
    <n v="71"/>
    <n v="0"/>
    <n v="208.22"/>
    <n v="195.63"/>
    <m/>
    <n v="276.59045054649897"/>
    <n v="222.44382806815733"/>
    <n v="0"/>
    <n v="900.7597199999999"/>
    <n v="846.29537999999991"/>
    <n v="0"/>
    <n v="1196.5302890641544"/>
    <n v="962.29200022284851"/>
  </r>
  <r>
    <s v="Regular"/>
    <x v="3"/>
    <x v="4"/>
    <x v="2"/>
    <x v="1"/>
    <x v="6"/>
    <x v="0"/>
    <x v="1"/>
    <x v="8"/>
    <n v="0"/>
    <n v="0"/>
    <n v="40.625999999999998"/>
    <n v="40.625999999999998"/>
    <n v="40.625999999999998"/>
    <n v="40.625999999999998"/>
    <n v="0"/>
    <x v="2"/>
    <n v="0"/>
    <n v="0"/>
    <n v="33"/>
    <n v="71"/>
    <n v="0"/>
    <n v="208.22"/>
    <n v="195.63"/>
    <m/>
    <n v="276.59045054649897"/>
    <n v="222.44382806815733"/>
    <n v="0"/>
    <n v="8459.1457199999986"/>
    <n v="7947.6643799999993"/>
    <n v="0"/>
    <n v="11236.763643902066"/>
    <n v="9037.0029590969589"/>
  </r>
  <r>
    <s v="Regular"/>
    <x v="3"/>
    <x v="4"/>
    <x v="2"/>
    <x v="1"/>
    <x v="6"/>
    <x v="0"/>
    <x v="1"/>
    <x v="9"/>
    <n v="0"/>
    <n v="0"/>
    <n v="36.36"/>
    <n v="36.36"/>
    <n v="36.36"/>
    <n v="36.36"/>
    <n v="0"/>
    <x v="2"/>
    <n v="0"/>
    <n v="0"/>
    <n v="33"/>
    <n v="71"/>
    <n v="0"/>
    <n v="208.22"/>
    <n v="195.63"/>
    <m/>
    <n v="276.59045054649897"/>
    <n v="222.44382806815733"/>
    <n v="0"/>
    <n v="7570.8791999999994"/>
    <n v="7113.1067999999996"/>
    <n v="0"/>
    <n v="10056.828781870703"/>
    <n v="8088.0575885582002"/>
  </r>
  <r>
    <s v="Refaturamento - Regular"/>
    <x v="3"/>
    <x v="4"/>
    <x v="2"/>
    <x v="1"/>
    <x v="6"/>
    <x v="0"/>
    <x v="1"/>
    <x v="10"/>
    <n v="0"/>
    <n v="0"/>
    <n v="-36.64"/>
    <n v="-36.64"/>
    <n v="-36.64"/>
    <n v="-36.64"/>
    <n v="0"/>
    <x v="2"/>
    <n v="0"/>
    <n v="0"/>
    <n v="33"/>
    <n v="71"/>
    <n v="0"/>
    <n v="208.22"/>
    <n v="195.63"/>
    <m/>
    <n v="276.59045054649897"/>
    <n v="222.44382806815733"/>
    <n v="0"/>
    <n v="-7629.1808000000001"/>
    <n v="-7167.8832000000002"/>
    <n v="0"/>
    <n v="-10134.274108023723"/>
    <n v="-8150.3418604172848"/>
  </r>
  <r>
    <s v="PROJETADO"/>
    <x v="3"/>
    <x v="4"/>
    <x v="2"/>
    <x v="1"/>
    <x v="6"/>
    <x v="0"/>
    <x v="1"/>
    <x v="11"/>
    <n v="0"/>
    <n v="0"/>
    <n v="-36.64"/>
    <n v="-36.64"/>
    <n v="-36.64"/>
    <n v="-36.64"/>
    <n v="0"/>
    <x v="2"/>
    <n v="0"/>
    <n v="0"/>
    <n v="33"/>
    <n v="71"/>
    <n v="0"/>
    <n v="208.22"/>
    <n v="195.63"/>
    <m/>
    <n v="276.59045054649897"/>
    <n v="222.44382806815733"/>
    <n v="0"/>
    <n v="-7629.1808000000001"/>
    <n v="-7167.8832000000002"/>
    <n v="0"/>
    <n v="-10134.274108023723"/>
    <n v="-8150.3418604172848"/>
  </r>
  <r>
    <s v="Regular"/>
    <x v="3"/>
    <x v="4"/>
    <x v="2"/>
    <x v="1"/>
    <x v="6"/>
    <x v="0"/>
    <x v="3"/>
    <x v="6"/>
    <n v="0"/>
    <n v="0"/>
    <n v="7.4999999999999997E-2"/>
    <n v="7.4999999999999997E-2"/>
    <n v="7.4999999999999997E-2"/>
    <n v="7.4999999999999997E-2"/>
    <n v="0"/>
    <x v="2"/>
    <n v="0"/>
    <n v="0"/>
    <n v="52"/>
    <n v="70"/>
    <n v="0"/>
    <n v="497.52"/>
    <n v="195.63"/>
    <m/>
    <n v="656.39302834938348"/>
    <n v="222.44382806815733"/>
    <n v="0"/>
    <n v="37.314"/>
    <n v="14.672249999999998"/>
    <n v="0"/>
    <n v="49.229477126203761"/>
    <n v="16.683287105111798"/>
  </r>
  <r>
    <s v="Regular"/>
    <x v="3"/>
    <x v="4"/>
    <x v="2"/>
    <x v="1"/>
    <x v="6"/>
    <x v="0"/>
    <x v="3"/>
    <x v="7"/>
    <n v="0"/>
    <n v="0"/>
    <n v="7.4999999999999997E-2"/>
    <n v="7.4999999999999997E-2"/>
    <n v="7.4999999999999997E-2"/>
    <n v="7.4999999999999997E-2"/>
    <n v="0"/>
    <x v="2"/>
    <n v="0"/>
    <n v="0"/>
    <n v="52"/>
    <n v="70"/>
    <n v="0"/>
    <n v="497.52"/>
    <n v="195.63"/>
    <m/>
    <n v="656.39302834938348"/>
    <n v="222.44382806815733"/>
    <n v="0"/>
    <n v="37.314"/>
    <n v="14.672249999999998"/>
    <n v="0"/>
    <n v="49.229477126203761"/>
    <n v="16.683287105111798"/>
  </r>
  <r>
    <s v="Regular"/>
    <x v="3"/>
    <x v="4"/>
    <x v="2"/>
    <x v="1"/>
    <x v="6"/>
    <x v="0"/>
    <x v="3"/>
    <x v="8"/>
    <n v="0"/>
    <n v="0"/>
    <n v="0.17499999999999999"/>
    <n v="0.17499999999999999"/>
    <n v="0.17499999999999999"/>
    <n v="0.17499999999999999"/>
    <n v="0"/>
    <x v="2"/>
    <n v="0"/>
    <n v="0"/>
    <n v="52"/>
    <n v="70"/>
    <n v="0"/>
    <n v="497.52"/>
    <n v="195.63"/>
    <m/>
    <n v="656.39302834938348"/>
    <n v="222.44382806815733"/>
    <n v="0"/>
    <n v="87.065999999999988"/>
    <n v="34.235249999999994"/>
    <n v="0"/>
    <n v="114.8687799611421"/>
    <n v="38.927669911927531"/>
  </r>
  <r>
    <s v="Regular"/>
    <x v="3"/>
    <x v="4"/>
    <x v="2"/>
    <x v="1"/>
    <x v="6"/>
    <x v="0"/>
    <x v="3"/>
    <x v="9"/>
    <n v="0"/>
    <n v="0"/>
    <n v="0.02"/>
    <n v="0.02"/>
    <n v="0.02"/>
    <n v="0.02"/>
    <n v="0"/>
    <x v="2"/>
    <n v="0"/>
    <n v="0"/>
    <n v="52"/>
    <n v="70"/>
    <n v="0"/>
    <n v="497.52"/>
    <n v="195.63"/>
    <m/>
    <n v="656.39302834938348"/>
    <n v="222.44382806815733"/>
    <n v="0"/>
    <n v="9.9504000000000001"/>
    <n v="3.9125999999999999"/>
    <n v="0"/>
    <n v="13.127860566987669"/>
    <n v="4.4488765613631465"/>
  </r>
  <r>
    <s v="Regular"/>
    <x v="3"/>
    <x v="4"/>
    <x v="2"/>
    <x v="1"/>
    <x v="6"/>
    <x v="0"/>
    <x v="2"/>
    <x v="8"/>
    <n v="0"/>
    <n v="0"/>
    <n v="0.04"/>
    <n v="0.04"/>
    <n v="0.04"/>
    <n v="0.04"/>
    <n v="0"/>
    <x v="2"/>
    <n v="0"/>
    <n v="0"/>
    <n v="51"/>
    <n v="69"/>
    <n v="0"/>
    <n v="786.82"/>
    <n v="321.64"/>
    <m/>
    <n v="1036.1951628396926"/>
    <n v="359.78899937721297"/>
    <n v="0"/>
    <n v="31.472800000000003"/>
    <n v="12.865600000000001"/>
    <n v="0"/>
    <n v="41.4478065135877"/>
    <n v="14.391559975088519"/>
  </r>
  <r>
    <s v="Regular"/>
    <x v="3"/>
    <x v="4"/>
    <x v="2"/>
    <x v="1"/>
    <x v="6"/>
    <x v="0"/>
    <x v="2"/>
    <x v="9"/>
    <n v="0"/>
    <n v="0"/>
    <n v="0.04"/>
    <n v="0.04"/>
    <n v="0.04"/>
    <n v="0.04"/>
    <n v="0"/>
    <x v="2"/>
    <n v="0"/>
    <n v="0"/>
    <n v="51"/>
    <n v="69"/>
    <n v="0"/>
    <n v="786.82"/>
    <n v="321.64"/>
    <m/>
    <n v="1036.1951628396926"/>
    <n v="359.78899937721297"/>
    <n v="0"/>
    <n v="31.472800000000003"/>
    <n v="12.865600000000001"/>
    <n v="0"/>
    <n v="41.4478065135877"/>
    <n v="14.391559975088519"/>
  </r>
  <r>
    <s v="Regular"/>
    <x v="3"/>
    <x v="4"/>
    <x v="2"/>
    <x v="1"/>
    <x v="3"/>
    <x v="0"/>
    <x v="1"/>
    <x v="10"/>
    <n v="0"/>
    <n v="0"/>
    <n v="42.04"/>
    <n v="4.2039999999999997"/>
    <n v="42.04"/>
    <n v="4.2039999999999997"/>
    <n v="0"/>
    <x v="2"/>
    <n v="0"/>
    <n v="0"/>
    <n v="33"/>
    <n v="71"/>
    <n v="0"/>
    <n v="208.22"/>
    <n v="195.63"/>
    <m/>
    <n v="276.59045054649897"/>
    <n v="222.44382806815733"/>
    <n v="0"/>
    <n v="875.35687999999993"/>
    <n v="822.42851999999993"/>
    <n v="0"/>
    <n v="1162.7862540974816"/>
    <n v="935.1538531985334"/>
  </r>
  <r>
    <s v="Refaturamento - Regular"/>
    <x v="3"/>
    <x v="4"/>
    <x v="2"/>
    <x v="1"/>
    <x v="3"/>
    <x v="0"/>
    <x v="1"/>
    <x v="10"/>
    <n v="0"/>
    <n v="0"/>
    <n v="36.64"/>
    <n v="36.64"/>
    <n v="36.64"/>
    <n v="36.64"/>
    <n v="0"/>
    <x v="2"/>
    <n v="0"/>
    <n v="0"/>
    <n v="33"/>
    <n v="71"/>
    <n v="0"/>
    <n v="208.22"/>
    <n v="195.63"/>
    <m/>
    <n v="276.59045054649897"/>
    <n v="222.44382806815733"/>
    <n v="0"/>
    <n v="7629.1808000000001"/>
    <n v="7167.8832000000002"/>
    <n v="0"/>
    <n v="10134.274108023723"/>
    <n v="8150.3418604172848"/>
  </r>
  <r>
    <s v="PROJETADO"/>
    <x v="3"/>
    <x v="4"/>
    <x v="2"/>
    <x v="1"/>
    <x v="3"/>
    <x v="0"/>
    <x v="1"/>
    <x v="11"/>
    <n v="0"/>
    <n v="0"/>
    <n v="42.04"/>
    <n v="4.2039999999999997"/>
    <n v="42.04"/>
    <n v="4.2039999999999997"/>
    <n v="0"/>
    <x v="2"/>
    <n v="0"/>
    <n v="0"/>
    <n v="33"/>
    <n v="71"/>
    <n v="0"/>
    <n v="208.22"/>
    <n v="195.63"/>
    <m/>
    <n v="276.59045054649897"/>
    <n v="222.44382806815733"/>
    <n v="0"/>
    <n v="875.35687999999993"/>
    <n v="822.42851999999993"/>
    <n v="0"/>
    <n v="1162.7862540974816"/>
    <n v="935.1538531985334"/>
  </r>
  <r>
    <s v="PROJETADO"/>
    <x v="3"/>
    <x v="4"/>
    <x v="2"/>
    <x v="1"/>
    <x v="3"/>
    <x v="0"/>
    <x v="1"/>
    <x v="11"/>
    <n v="0"/>
    <n v="0"/>
    <n v="36.64"/>
    <n v="36.64"/>
    <n v="36.64"/>
    <n v="36.64"/>
    <n v="0"/>
    <x v="2"/>
    <n v="0"/>
    <n v="0"/>
    <n v="33"/>
    <n v="71"/>
    <n v="0"/>
    <n v="208.22"/>
    <n v="195.63"/>
    <m/>
    <n v="276.59045054649897"/>
    <n v="222.44382806815733"/>
    <n v="0"/>
    <n v="7629.1808000000001"/>
    <n v="7167.8832000000002"/>
    <n v="0"/>
    <n v="10134.274108023723"/>
    <n v="8150.3418604172848"/>
  </r>
  <r>
    <s v="Regular"/>
    <x v="3"/>
    <x v="4"/>
    <x v="2"/>
    <x v="0"/>
    <x v="2"/>
    <x v="0"/>
    <x v="1"/>
    <x v="0"/>
    <n v="0"/>
    <n v="0"/>
    <n v="1.82"/>
    <n v="1.82"/>
    <n v="1.82"/>
    <n v="1.82"/>
    <n v="0"/>
    <x v="2"/>
    <n v="0"/>
    <n v="0"/>
    <n v="33"/>
    <n v="71"/>
    <n v="0"/>
    <n v="208.22"/>
    <n v="195.63"/>
    <m/>
    <n v="276.59045054649897"/>
    <n v="222.44382806815733"/>
    <n v="0"/>
    <n v="378.96039999999999"/>
    <n v="356.04660000000001"/>
    <n v="0"/>
    <n v="503.39461999462816"/>
    <n v="404.84776708404638"/>
  </r>
  <r>
    <s v="Regular"/>
    <x v="3"/>
    <x v="4"/>
    <x v="2"/>
    <x v="0"/>
    <x v="2"/>
    <x v="0"/>
    <x v="1"/>
    <x v="1"/>
    <n v="0"/>
    <n v="0"/>
    <n v="0.80300000000000005"/>
    <n v="0.80300000000000005"/>
    <n v="0.80300000000000005"/>
    <n v="0.80300000000000005"/>
    <n v="0"/>
    <x v="2"/>
    <n v="0"/>
    <n v="0"/>
    <n v="33"/>
    <n v="71"/>
    <n v="0"/>
    <n v="208.22"/>
    <n v="195.63"/>
    <m/>
    <n v="276.59045054649897"/>
    <n v="222.44382806815733"/>
    <n v="0"/>
    <n v="167.20066"/>
    <n v="157.09089"/>
    <n v="0"/>
    <n v="222.10213178883868"/>
    <n v="178.62239393873034"/>
  </r>
  <r>
    <s v="Regular"/>
    <x v="3"/>
    <x v="4"/>
    <x v="2"/>
    <x v="0"/>
    <x v="2"/>
    <x v="0"/>
    <x v="1"/>
    <x v="2"/>
    <n v="0"/>
    <n v="0"/>
    <n v="0.92800000000000005"/>
    <n v="0.92800000000000005"/>
    <n v="0.92800000000000005"/>
    <n v="0.92800000000000005"/>
    <n v="0"/>
    <x v="2"/>
    <n v="0"/>
    <n v="0"/>
    <n v="33"/>
    <n v="71"/>
    <n v="0"/>
    <n v="208.22"/>
    <n v="195.63"/>
    <m/>
    <n v="276.59045054649897"/>
    <n v="222.44382806815733"/>
    <n v="0"/>
    <n v="193.22816"/>
    <n v="181.54464000000002"/>
    <n v="0"/>
    <n v="256.67593810715107"/>
    <n v="206.42787244725002"/>
  </r>
  <r>
    <s v="Regular"/>
    <x v="3"/>
    <x v="4"/>
    <x v="2"/>
    <x v="0"/>
    <x v="2"/>
    <x v="0"/>
    <x v="1"/>
    <x v="3"/>
    <n v="0"/>
    <n v="0"/>
    <n v="0.55600000000000005"/>
    <n v="0.55600000000000005"/>
    <n v="0.55600000000000005"/>
    <n v="0.55600000000000005"/>
    <n v="0"/>
    <x v="2"/>
    <n v="0"/>
    <n v="0"/>
    <n v="33"/>
    <n v="71"/>
    <n v="0"/>
    <n v="208.22"/>
    <n v="195.63"/>
    <m/>
    <n v="276.59045054649897"/>
    <n v="222.44382806815733"/>
    <n v="0"/>
    <n v="115.77032000000001"/>
    <n v="108.77028000000001"/>
    <n v="0"/>
    <n v="153.78429050385344"/>
    <n v="123.67876840589548"/>
  </r>
  <r>
    <s v="Regular"/>
    <x v="3"/>
    <x v="4"/>
    <x v="2"/>
    <x v="0"/>
    <x v="2"/>
    <x v="0"/>
    <x v="1"/>
    <x v="4"/>
    <n v="0"/>
    <n v="0"/>
    <n v="0.75900000000000001"/>
    <n v="0.75900000000000001"/>
    <n v="0.75900000000000001"/>
    <n v="0.75900000000000001"/>
    <n v="0"/>
    <x v="2"/>
    <n v="0"/>
    <n v="0"/>
    <n v="33"/>
    <n v="71"/>
    <n v="0"/>
    <n v="208.22"/>
    <n v="195.63"/>
    <m/>
    <n v="276.59045054649897"/>
    <n v="222.44382806815733"/>
    <n v="0"/>
    <n v="158.03898000000001"/>
    <n v="148.48317"/>
    <n v="0"/>
    <n v="209.93215196479272"/>
    <n v="168.83486550373141"/>
  </r>
  <r>
    <s v="Regular"/>
    <x v="3"/>
    <x v="4"/>
    <x v="2"/>
    <x v="0"/>
    <x v="2"/>
    <x v="0"/>
    <x v="1"/>
    <x v="5"/>
    <n v="0"/>
    <n v="0"/>
    <n v="1.877"/>
    <n v="1.877"/>
    <n v="1.877"/>
    <n v="1.877"/>
    <n v="0"/>
    <x v="2"/>
    <n v="0"/>
    <n v="0"/>
    <n v="33"/>
    <n v="71"/>
    <n v="0"/>
    <n v="208.22"/>
    <n v="195.63"/>
    <m/>
    <n v="276.59045054649897"/>
    <n v="222.44382806815733"/>
    <n v="0"/>
    <n v="390.82893999999999"/>
    <n v="367.19750999999997"/>
    <n v="0"/>
    <n v="519.16027567577862"/>
    <n v="417.52706528393134"/>
  </r>
  <r>
    <s v="Regular"/>
    <x v="3"/>
    <x v="4"/>
    <x v="2"/>
    <x v="0"/>
    <x v="2"/>
    <x v="0"/>
    <x v="1"/>
    <x v="6"/>
    <n v="0"/>
    <n v="0"/>
    <n v="2.1579999999999999"/>
    <n v="2.1579999999999999"/>
    <n v="2.1579999999999999"/>
    <n v="2.1579999999999999"/>
    <n v="0"/>
    <x v="2"/>
    <n v="0"/>
    <n v="0"/>
    <n v="33"/>
    <n v="71"/>
    <n v="0"/>
    <n v="208.22"/>
    <n v="195.63"/>
    <m/>
    <n v="276.59045054649897"/>
    <n v="222.44382806815733"/>
    <n v="0"/>
    <n v="449.33875999999998"/>
    <n v="422.16953999999998"/>
    <n v="0"/>
    <n v="596.88219227934474"/>
    <n v="480.0337809710835"/>
  </r>
  <r>
    <s v="Regular"/>
    <x v="3"/>
    <x v="4"/>
    <x v="2"/>
    <x v="0"/>
    <x v="2"/>
    <x v="0"/>
    <x v="1"/>
    <x v="7"/>
    <n v="0"/>
    <n v="0"/>
    <n v="1.6240000000000001"/>
    <n v="1.6240000000000001"/>
    <n v="1.6240000000000001"/>
    <n v="1.6240000000000001"/>
    <n v="0"/>
    <x v="2"/>
    <n v="0"/>
    <n v="0"/>
    <n v="33"/>
    <n v="71"/>
    <n v="0"/>
    <n v="208.22"/>
    <n v="195.63"/>
    <m/>
    <n v="276.59045054649897"/>
    <n v="222.44382806815733"/>
    <n v="0"/>
    <n v="338.14928000000003"/>
    <n v="317.70312000000001"/>
    <n v="0"/>
    <n v="449.18289168751437"/>
    <n v="361.24877678268751"/>
  </r>
  <r>
    <s v="Regular"/>
    <x v="3"/>
    <x v="4"/>
    <x v="2"/>
    <x v="0"/>
    <x v="2"/>
    <x v="0"/>
    <x v="1"/>
    <x v="8"/>
    <n v="0"/>
    <n v="0"/>
    <n v="1.0289999999999999"/>
    <n v="1.0289999999999999"/>
    <n v="1.0289999999999999"/>
    <n v="1.0289999999999999"/>
    <n v="0"/>
    <x v="2"/>
    <n v="0"/>
    <n v="0"/>
    <n v="33"/>
    <n v="71"/>
    <n v="0"/>
    <n v="208.22"/>
    <n v="195.63"/>
    <m/>
    <n v="276.59045054649897"/>
    <n v="222.44382806815733"/>
    <n v="0"/>
    <n v="214.25837999999999"/>
    <n v="201.30326999999997"/>
    <n v="0"/>
    <n v="284.6115736123474"/>
    <n v="228.89469908213388"/>
  </r>
  <r>
    <s v="Regular"/>
    <x v="3"/>
    <x v="4"/>
    <x v="2"/>
    <x v="0"/>
    <x v="2"/>
    <x v="0"/>
    <x v="1"/>
    <x v="9"/>
    <n v="0"/>
    <n v="0"/>
    <n v="1.0189999999999999"/>
    <n v="1.0189999999999999"/>
    <n v="1.0189999999999999"/>
    <n v="1.0189999999999999"/>
    <n v="0"/>
    <x v="2"/>
    <n v="0"/>
    <n v="0"/>
    <n v="33"/>
    <n v="71"/>
    <n v="0"/>
    <n v="208.22"/>
    <n v="195.63"/>
    <m/>
    <n v="276.59045054649897"/>
    <n v="222.44382806815733"/>
    <n v="0"/>
    <n v="212.17617999999999"/>
    <n v="199.34696999999997"/>
    <n v="0"/>
    <n v="281.84566910688244"/>
    <n v="226.67026080145229"/>
  </r>
  <r>
    <s v="Regular"/>
    <x v="3"/>
    <x v="4"/>
    <x v="2"/>
    <x v="0"/>
    <x v="2"/>
    <x v="0"/>
    <x v="1"/>
    <x v="10"/>
    <n v="0"/>
    <n v="0"/>
    <n v="1.262"/>
    <n v="1.262"/>
    <n v="1.262"/>
    <n v="1.262"/>
    <n v="0"/>
    <x v="2"/>
    <n v="0"/>
    <n v="0"/>
    <n v="33"/>
    <n v="71"/>
    <n v="0"/>
    <n v="208.22"/>
    <n v="195.63"/>
    <m/>
    <n v="276.59045054649897"/>
    <n v="222.44382806815733"/>
    <n v="0"/>
    <n v="262.77364"/>
    <n v="246.88506000000001"/>
    <n v="0"/>
    <n v="349.05714858968173"/>
    <n v="280.72411102201454"/>
  </r>
  <r>
    <s v="PROJETADO"/>
    <x v="3"/>
    <x v="4"/>
    <x v="2"/>
    <x v="0"/>
    <x v="2"/>
    <x v="0"/>
    <x v="1"/>
    <x v="11"/>
    <n v="0"/>
    <n v="0"/>
    <n v="1.262"/>
    <n v="1.262"/>
    <n v="1.262"/>
    <n v="1.262"/>
    <n v="0"/>
    <x v="2"/>
    <n v="0"/>
    <n v="0"/>
    <n v="33"/>
    <n v="71"/>
    <n v="0"/>
    <n v="208.22"/>
    <n v="195.63"/>
    <m/>
    <n v="276.59045054649897"/>
    <n v="222.44382806815733"/>
    <n v="0"/>
    <n v="262.77364"/>
    <n v="246.88506000000001"/>
    <n v="0"/>
    <n v="349.05714858968173"/>
    <n v="280.72411102201454"/>
  </r>
  <r>
    <s v="Regular"/>
    <x v="3"/>
    <x v="4"/>
    <x v="2"/>
    <x v="0"/>
    <x v="2"/>
    <x v="0"/>
    <x v="3"/>
    <x v="0"/>
    <n v="0"/>
    <n v="0"/>
    <n v="9.2999999999999999E-2"/>
    <n v="9.2999999999999999E-2"/>
    <n v="9.2999999999999999E-2"/>
    <n v="9.2999999999999999E-2"/>
    <n v="0"/>
    <x v="2"/>
    <n v="0"/>
    <n v="0"/>
    <n v="52"/>
    <n v="70"/>
    <n v="0"/>
    <n v="497.52"/>
    <n v="195.63"/>
    <m/>
    <n v="656.39302834938348"/>
    <n v="222.44382806815733"/>
    <n v="0"/>
    <n v="46.269359999999999"/>
    <n v="18.19359"/>
    <n v="0"/>
    <n v="61.044551636492663"/>
    <n v="20.687276010338632"/>
  </r>
  <r>
    <s v="Regular"/>
    <x v="3"/>
    <x v="4"/>
    <x v="2"/>
    <x v="0"/>
    <x v="2"/>
    <x v="0"/>
    <x v="3"/>
    <x v="1"/>
    <n v="0"/>
    <n v="0"/>
    <n v="3.7999999999999999E-2"/>
    <n v="3.7999999999999999E-2"/>
    <n v="3.7999999999999999E-2"/>
    <n v="3.7999999999999999E-2"/>
    <n v="0"/>
    <x v="2"/>
    <n v="0"/>
    <n v="0"/>
    <n v="52"/>
    <n v="70"/>
    <n v="0"/>
    <n v="497.52"/>
    <n v="195.63"/>
    <m/>
    <n v="656.39302834938348"/>
    <n v="222.44382806815733"/>
    <n v="0"/>
    <n v="18.905759999999997"/>
    <n v="7.4339399999999998"/>
    <n v="0"/>
    <n v="24.942935077276573"/>
    <n v="8.4528654665899783"/>
  </r>
  <r>
    <s v="Regular"/>
    <x v="3"/>
    <x v="4"/>
    <x v="2"/>
    <x v="0"/>
    <x v="2"/>
    <x v="0"/>
    <x v="3"/>
    <x v="2"/>
    <n v="0"/>
    <n v="0"/>
    <n v="3.1E-2"/>
    <n v="3.1E-2"/>
    <n v="3.1E-2"/>
    <n v="3.1E-2"/>
    <n v="0"/>
    <x v="2"/>
    <n v="0"/>
    <n v="0"/>
    <n v="52"/>
    <n v="70"/>
    <n v="0"/>
    <n v="497.52"/>
    <n v="195.63"/>
    <m/>
    <n v="656.39302834938348"/>
    <n v="222.44382806815733"/>
    <n v="0"/>
    <n v="15.423119999999999"/>
    <n v="6.0645299999999995"/>
    <n v="0"/>
    <n v="20.348183878830888"/>
    <n v="6.895758670112877"/>
  </r>
  <r>
    <s v="Regular"/>
    <x v="3"/>
    <x v="4"/>
    <x v="2"/>
    <x v="0"/>
    <x v="2"/>
    <x v="0"/>
    <x v="3"/>
    <x v="3"/>
    <n v="0"/>
    <n v="0"/>
    <n v="3.4000000000000002E-2"/>
    <n v="3.4000000000000002E-2"/>
    <n v="3.4000000000000002E-2"/>
    <n v="3.4000000000000002E-2"/>
    <n v="0"/>
    <x v="2"/>
    <n v="0"/>
    <n v="0"/>
    <n v="52"/>
    <n v="70"/>
    <n v="0"/>
    <n v="497.52"/>
    <n v="195.63"/>
    <m/>
    <n v="656.39302834938348"/>
    <n v="222.44382806815733"/>
    <n v="0"/>
    <n v="16.915680000000002"/>
    <n v="6.6514199999999999"/>
    <n v="0"/>
    <n v="22.317362963879042"/>
    <n v="7.5630901543173499"/>
  </r>
  <r>
    <s v="Regular"/>
    <x v="3"/>
    <x v="4"/>
    <x v="2"/>
    <x v="0"/>
    <x v="2"/>
    <x v="0"/>
    <x v="3"/>
    <x v="4"/>
    <n v="0"/>
    <n v="0"/>
    <n v="3.2000000000000001E-2"/>
    <n v="3.2000000000000001E-2"/>
    <n v="3.2000000000000001E-2"/>
    <n v="3.2000000000000001E-2"/>
    <n v="0"/>
    <x v="2"/>
    <n v="0"/>
    <n v="0"/>
    <n v="52"/>
    <n v="70"/>
    <n v="0"/>
    <n v="497.52"/>
    <n v="195.63"/>
    <m/>
    <n v="656.39302834938348"/>
    <n v="222.44382806815733"/>
    <n v="0"/>
    <n v="15.920640000000001"/>
    <n v="6.2601599999999999"/>
    <n v="0"/>
    <n v="21.004576907180272"/>
    <n v="7.1182024981810343"/>
  </r>
  <r>
    <s v="Regular"/>
    <x v="3"/>
    <x v="4"/>
    <x v="2"/>
    <x v="0"/>
    <x v="2"/>
    <x v="0"/>
    <x v="3"/>
    <x v="5"/>
    <n v="0"/>
    <n v="0"/>
    <n v="0.04"/>
    <n v="0.04"/>
    <n v="0.04"/>
    <n v="0.04"/>
    <n v="0"/>
    <x v="2"/>
    <n v="0"/>
    <n v="0"/>
    <n v="52"/>
    <n v="70"/>
    <n v="0"/>
    <n v="497.52"/>
    <n v="195.63"/>
    <m/>
    <n v="656.39302834938348"/>
    <n v="222.44382806815733"/>
    <n v="0"/>
    <n v="19.9008"/>
    <n v="7.8251999999999997"/>
    <n v="0"/>
    <n v="26.255721133975339"/>
    <n v="8.8977531227262929"/>
  </r>
  <r>
    <s v="Regular"/>
    <x v="3"/>
    <x v="4"/>
    <x v="2"/>
    <x v="0"/>
    <x v="2"/>
    <x v="0"/>
    <x v="3"/>
    <x v="6"/>
    <n v="0"/>
    <n v="0"/>
    <n v="3.6999999999999998E-2"/>
    <n v="3.6999999999999998E-2"/>
    <n v="3.6999999999999998E-2"/>
    <n v="3.6999999999999998E-2"/>
    <n v="0"/>
    <x v="2"/>
    <n v="0"/>
    <n v="0"/>
    <n v="52"/>
    <n v="70"/>
    <n v="0"/>
    <n v="497.52"/>
    <n v="195.63"/>
    <m/>
    <n v="656.39302834938348"/>
    <n v="222.44382806815733"/>
    <n v="0"/>
    <n v="18.408239999999999"/>
    <n v="7.2383099999999994"/>
    <n v="0"/>
    <n v="24.286542048927188"/>
    <n v="8.2304216385218201"/>
  </r>
  <r>
    <s v="Regular"/>
    <x v="3"/>
    <x v="4"/>
    <x v="2"/>
    <x v="0"/>
    <x v="2"/>
    <x v="0"/>
    <x v="3"/>
    <x v="7"/>
    <n v="0"/>
    <n v="0"/>
    <n v="3.1E-2"/>
    <n v="3.1E-2"/>
    <n v="3.1E-2"/>
    <n v="3.1E-2"/>
    <n v="0"/>
    <x v="2"/>
    <n v="0"/>
    <n v="0"/>
    <n v="52"/>
    <n v="70"/>
    <n v="0"/>
    <n v="497.52"/>
    <n v="195.63"/>
    <m/>
    <n v="656.39302834938348"/>
    <n v="222.44382806815733"/>
    <n v="0"/>
    <n v="15.423119999999999"/>
    <n v="6.0645299999999995"/>
    <n v="0"/>
    <n v="20.348183878830888"/>
    <n v="6.895758670112877"/>
  </r>
  <r>
    <s v="Regular"/>
    <x v="3"/>
    <x v="4"/>
    <x v="2"/>
    <x v="0"/>
    <x v="2"/>
    <x v="0"/>
    <x v="3"/>
    <x v="8"/>
    <n v="0"/>
    <n v="0"/>
    <n v="0.03"/>
    <n v="0.03"/>
    <n v="0.03"/>
    <n v="0.03"/>
    <n v="0"/>
    <x v="2"/>
    <n v="0"/>
    <n v="0"/>
    <n v="52"/>
    <n v="70"/>
    <n v="0"/>
    <n v="497.52"/>
    <n v="195.63"/>
    <m/>
    <n v="656.39302834938348"/>
    <n v="222.44382806815733"/>
    <n v="0"/>
    <n v="14.925599999999999"/>
    <n v="5.8689"/>
    <n v="0"/>
    <n v="19.691790850481503"/>
    <n v="6.6733148420447197"/>
  </r>
  <r>
    <s v="Regular"/>
    <x v="3"/>
    <x v="4"/>
    <x v="2"/>
    <x v="0"/>
    <x v="2"/>
    <x v="0"/>
    <x v="3"/>
    <x v="9"/>
    <n v="0"/>
    <n v="0"/>
    <n v="3.7999999999999999E-2"/>
    <n v="3.7999999999999999E-2"/>
    <n v="3.7999999999999999E-2"/>
    <n v="3.7999999999999999E-2"/>
    <n v="0"/>
    <x v="2"/>
    <n v="0"/>
    <n v="0"/>
    <n v="52"/>
    <n v="70"/>
    <n v="0"/>
    <n v="497.52"/>
    <n v="195.63"/>
    <m/>
    <n v="656.39302834938348"/>
    <n v="222.44382806815733"/>
    <n v="0"/>
    <n v="18.905759999999997"/>
    <n v="7.4339399999999998"/>
    <n v="0"/>
    <n v="24.942935077276573"/>
    <n v="8.4528654665899783"/>
  </r>
  <r>
    <s v="Regular"/>
    <x v="3"/>
    <x v="4"/>
    <x v="2"/>
    <x v="0"/>
    <x v="2"/>
    <x v="0"/>
    <x v="3"/>
    <x v="10"/>
    <n v="0"/>
    <n v="0"/>
    <n v="3.1E-2"/>
    <n v="3.1E-2"/>
    <n v="3.1E-2"/>
    <n v="3.1E-2"/>
    <n v="0"/>
    <x v="2"/>
    <n v="0"/>
    <n v="0"/>
    <n v="52"/>
    <n v="70"/>
    <n v="0"/>
    <n v="497.52"/>
    <n v="195.63"/>
    <m/>
    <n v="656.39302834938348"/>
    <n v="222.44382806815733"/>
    <n v="0"/>
    <n v="15.423119999999999"/>
    <n v="6.0645299999999995"/>
    <n v="0"/>
    <n v="20.348183878830888"/>
    <n v="6.895758670112877"/>
  </r>
  <r>
    <s v="PROJETADO"/>
    <x v="3"/>
    <x v="4"/>
    <x v="2"/>
    <x v="0"/>
    <x v="2"/>
    <x v="0"/>
    <x v="3"/>
    <x v="11"/>
    <n v="0"/>
    <n v="0"/>
    <n v="3.1E-2"/>
    <n v="3.1E-2"/>
    <n v="3.1E-2"/>
    <n v="3.1E-2"/>
    <n v="0"/>
    <x v="2"/>
    <n v="0"/>
    <n v="0"/>
    <n v="52"/>
    <n v="70"/>
    <n v="0"/>
    <n v="497.52"/>
    <n v="195.63"/>
    <m/>
    <n v="656.39302834938348"/>
    <n v="222.44382806815733"/>
    <n v="0"/>
    <n v="15.423119999999999"/>
    <n v="6.0645299999999995"/>
    <n v="0"/>
    <n v="20.348183878830888"/>
    <n v="6.895758670112877"/>
  </r>
  <r>
    <s v="Regular"/>
    <x v="3"/>
    <x v="4"/>
    <x v="2"/>
    <x v="0"/>
    <x v="2"/>
    <x v="0"/>
    <x v="2"/>
    <x v="0"/>
    <n v="0"/>
    <n v="0"/>
    <n v="6.0999999999999999E-2"/>
    <n v="6.0999999999999999E-2"/>
    <n v="6.0999999999999999E-2"/>
    <n v="6.0999999999999999E-2"/>
    <n v="0"/>
    <x v="2"/>
    <n v="0"/>
    <n v="0"/>
    <n v="51"/>
    <n v="69"/>
    <n v="0"/>
    <n v="786.82"/>
    <n v="321.64"/>
    <m/>
    <n v="1036.1951628396926"/>
    <n v="359.78899937721297"/>
    <n v="0"/>
    <n v="47.996020000000001"/>
    <n v="19.620039999999999"/>
    <n v="0"/>
    <n v="63.207904933221243"/>
    <n v="21.947128962009991"/>
  </r>
  <r>
    <s v="Regular"/>
    <x v="3"/>
    <x v="4"/>
    <x v="2"/>
    <x v="0"/>
    <x v="2"/>
    <x v="0"/>
    <x v="2"/>
    <x v="1"/>
    <n v="0"/>
    <n v="0"/>
    <n v="5.8000000000000003E-2"/>
    <n v="5.8000000000000003E-2"/>
    <n v="5.8000000000000003E-2"/>
    <n v="5.8000000000000003E-2"/>
    <n v="0"/>
    <x v="2"/>
    <n v="0"/>
    <n v="0"/>
    <n v="51"/>
    <n v="69"/>
    <n v="0"/>
    <n v="786.82"/>
    <n v="321.64"/>
    <m/>
    <n v="1036.1951628396926"/>
    <n v="359.78899937721297"/>
    <n v="0"/>
    <n v="45.635560000000005"/>
    <n v="18.65512"/>
    <n v="0"/>
    <n v="60.099319444702168"/>
    <n v="20.867761963878355"/>
  </r>
  <r>
    <s v="Regular"/>
    <x v="3"/>
    <x v="4"/>
    <x v="2"/>
    <x v="0"/>
    <x v="2"/>
    <x v="0"/>
    <x v="2"/>
    <x v="2"/>
    <n v="0"/>
    <n v="0"/>
    <n v="5.3999999999999999E-2"/>
    <n v="5.3999999999999999E-2"/>
    <n v="5.3999999999999999E-2"/>
    <n v="5.3999999999999999E-2"/>
    <n v="0"/>
    <x v="2"/>
    <n v="0"/>
    <n v="0"/>
    <n v="51"/>
    <n v="69"/>
    <n v="0"/>
    <n v="786.82"/>
    <n v="321.64"/>
    <m/>
    <n v="1036.1951628396926"/>
    <n v="359.78899937721297"/>
    <n v="0"/>
    <n v="42.488280000000003"/>
    <n v="17.368559999999999"/>
    <n v="0"/>
    <n v="55.954538793343396"/>
    <n v="19.428605966369499"/>
  </r>
  <r>
    <s v="Regular"/>
    <x v="3"/>
    <x v="4"/>
    <x v="2"/>
    <x v="0"/>
    <x v="2"/>
    <x v="0"/>
    <x v="2"/>
    <x v="3"/>
    <n v="0"/>
    <n v="0"/>
    <n v="6.3E-2"/>
    <n v="6.3E-2"/>
    <n v="6.3E-2"/>
    <n v="6.3E-2"/>
    <n v="0"/>
    <x v="2"/>
    <n v="0"/>
    <n v="0"/>
    <n v="51"/>
    <n v="69"/>
    <n v="0"/>
    <n v="786.82"/>
    <n v="321.64"/>
    <m/>
    <n v="1036.1951628396926"/>
    <n v="359.78899937721297"/>
    <n v="0"/>
    <n v="49.569660000000006"/>
    <n v="20.26332"/>
    <n v="0"/>
    <n v="65.280295258900637"/>
    <n v="22.666706960764419"/>
  </r>
  <r>
    <s v="Regular"/>
    <x v="3"/>
    <x v="4"/>
    <x v="2"/>
    <x v="0"/>
    <x v="2"/>
    <x v="0"/>
    <x v="2"/>
    <x v="4"/>
    <n v="0"/>
    <n v="0"/>
    <n v="5.8000000000000003E-2"/>
    <n v="5.8000000000000003E-2"/>
    <n v="5.8000000000000003E-2"/>
    <n v="5.8000000000000003E-2"/>
    <n v="0"/>
    <x v="2"/>
    <n v="0"/>
    <n v="0"/>
    <n v="51"/>
    <n v="69"/>
    <n v="0"/>
    <n v="786.82"/>
    <n v="321.64"/>
    <m/>
    <n v="1036.1951628396926"/>
    <n v="359.78899937721297"/>
    <n v="0"/>
    <n v="45.635560000000005"/>
    <n v="18.65512"/>
    <n v="0"/>
    <n v="60.099319444702168"/>
    <n v="20.867761963878355"/>
  </r>
  <r>
    <s v="Regular"/>
    <x v="3"/>
    <x v="4"/>
    <x v="2"/>
    <x v="0"/>
    <x v="2"/>
    <x v="0"/>
    <x v="2"/>
    <x v="5"/>
    <n v="0"/>
    <n v="0"/>
    <n v="5.8000000000000003E-2"/>
    <n v="5.8000000000000003E-2"/>
    <n v="5.8000000000000003E-2"/>
    <n v="5.8000000000000003E-2"/>
    <n v="0"/>
    <x v="2"/>
    <n v="0"/>
    <n v="0"/>
    <n v="51"/>
    <n v="69"/>
    <n v="0"/>
    <n v="786.82"/>
    <n v="321.64"/>
    <m/>
    <n v="1036.1951628396926"/>
    <n v="359.78899937721297"/>
    <n v="0"/>
    <n v="45.635560000000005"/>
    <n v="18.65512"/>
    <n v="0"/>
    <n v="60.099319444702168"/>
    <n v="20.867761963878355"/>
  </r>
  <r>
    <s v="Regular"/>
    <x v="3"/>
    <x v="4"/>
    <x v="2"/>
    <x v="0"/>
    <x v="2"/>
    <x v="0"/>
    <x v="2"/>
    <x v="6"/>
    <n v="0"/>
    <n v="0"/>
    <n v="5.1999999999999998E-2"/>
    <n v="5.1999999999999998E-2"/>
    <n v="5.1999999999999998E-2"/>
    <n v="5.1999999999999998E-2"/>
    <n v="0"/>
    <x v="2"/>
    <n v="0"/>
    <n v="0"/>
    <n v="51"/>
    <n v="69"/>
    <n v="0"/>
    <n v="786.82"/>
    <n v="321.64"/>
    <m/>
    <n v="1036.1951628396926"/>
    <n v="359.78899937721297"/>
    <n v="0"/>
    <n v="40.914639999999999"/>
    <n v="16.725279999999998"/>
    <n v="0"/>
    <n v="53.88214846766401"/>
    <n v="18.709027967615075"/>
  </r>
  <r>
    <s v="Regular"/>
    <x v="3"/>
    <x v="4"/>
    <x v="2"/>
    <x v="0"/>
    <x v="2"/>
    <x v="0"/>
    <x v="2"/>
    <x v="7"/>
    <n v="0"/>
    <n v="0"/>
    <n v="4.7E-2"/>
    <n v="4.7E-2"/>
    <n v="4.7E-2"/>
    <n v="4.7E-2"/>
    <n v="0"/>
    <x v="2"/>
    <n v="0"/>
    <n v="0"/>
    <n v="51"/>
    <n v="69"/>
    <n v="0"/>
    <n v="786.82"/>
    <n v="321.64"/>
    <m/>
    <n v="1036.1951628396926"/>
    <n v="359.78899937721297"/>
    <n v="0"/>
    <n v="36.980540000000005"/>
    <n v="15.11708"/>
    <n v="0"/>
    <n v="48.701172653465548"/>
    <n v="16.910082970729011"/>
  </r>
  <r>
    <s v="Regular"/>
    <x v="3"/>
    <x v="4"/>
    <x v="2"/>
    <x v="0"/>
    <x v="2"/>
    <x v="0"/>
    <x v="2"/>
    <x v="8"/>
    <n v="0"/>
    <n v="0"/>
    <n v="2.1999999999999999E-2"/>
    <n v="2.1999999999999999E-2"/>
    <n v="2.1999999999999999E-2"/>
    <n v="2.1999999999999999E-2"/>
    <n v="0"/>
    <x v="2"/>
    <n v="0"/>
    <n v="0"/>
    <n v="51"/>
    <n v="69"/>
    <n v="0"/>
    <n v="786.82"/>
    <n v="321.64"/>
    <m/>
    <n v="1036.1951628396926"/>
    <n v="359.78899937721297"/>
    <n v="0"/>
    <n v="17.310040000000001"/>
    <n v="7.0760799999999993"/>
    <n v="0"/>
    <n v="22.796293582473236"/>
    <n v="7.9153579862986847"/>
  </r>
  <r>
    <s v="Regular"/>
    <x v="3"/>
    <x v="4"/>
    <x v="2"/>
    <x v="0"/>
    <x v="2"/>
    <x v="0"/>
    <x v="2"/>
    <x v="9"/>
    <n v="0"/>
    <n v="0"/>
    <n v="2.1999999999999999E-2"/>
    <n v="2.1999999999999999E-2"/>
    <n v="2.1999999999999999E-2"/>
    <n v="2.1999999999999999E-2"/>
    <n v="0"/>
    <x v="2"/>
    <n v="0"/>
    <n v="0"/>
    <n v="51"/>
    <n v="69"/>
    <n v="0"/>
    <n v="786.82"/>
    <n v="321.64"/>
    <m/>
    <n v="1036.1951628396926"/>
    <n v="359.78899937721297"/>
    <n v="0"/>
    <n v="17.310040000000001"/>
    <n v="7.0760799999999993"/>
    <n v="0"/>
    <n v="22.796293582473236"/>
    <n v="7.9153579862986847"/>
  </r>
  <r>
    <s v="Regular"/>
    <x v="3"/>
    <x v="4"/>
    <x v="2"/>
    <x v="0"/>
    <x v="2"/>
    <x v="0"/>
    <x v="2"/>
    <x v="10"/>
    <n v="0"/>
    <n v="0"/>
    <n v="1.7999999999999999E-2"/>
    <n v="1.7999999999999999E-2"/>
    <n v="1.7999999999999999E-2"/>
    <n v="1.7999999999999999E-2"/>
    <n v="0"/>
    <x v="2"/>
    <n v="0"/>
    <n v="0"/>
    <n v="51"/>
    <n v="69"/>
    <n v="0"/>
    <n v="786.82"/>
    <n v="321.64"/>
    <m/>
    <n v="1036.1951628396926"/>
    <n v="359.78899937721297"/>
    <n v="0"/>
    <n v="14.16276"/>
    <n v="5.7895199999999996"/>
    <n v="0"/>
    <n v="18.651512931114464"/>
    <n v="6.4762019887898328"/>
  </r>
  <r>
    <s v="PROJETADO"/>
    <x v="3"/>
    <x v="4"/>
    <x v="2"/>
    <x v="0"/>
    <x v="2"/>
    <x v="0"/>
    <x v="2"/>
    <x v="11"/>
    <n v="0"/>
    <n v="0"/>
    <n v="1.7999999999999999E-2"/>
    <n v="1.7999999999999999E-2"/>
    <n v="1.7999999999999999E-2"/>
    <n v="1.7999999999999999E-2"/>
    <n v="0"/>
    <x v="2"/>
    <n v="0"/>
    <n v="0"/>
    <n v="51"/>
    <n v="69"/>
    <n v="0"/>
    <n v="786.82"/>
    <n v="321.64"/>
    <m/>
    <n v="1036.1951628396926"/>
    <n v="359.78899937721297"/>
    <n v="0"/>
    <n v="14.16276"/>
    <n v="5.7895199999999996"/>
    <n v="0"/>
    <n v="18.651512931114464"/>
    <n v="6.4762019887898328"/>
  </r>
  <r>
    <s v="Regular"/>
    <x v="3"/>
    <x v="5"/>
    <x v="2"/>
    <x v="1"/>
    <x v="6"/>
    <x v="0"/>
    <x v="0"/>
    <x v="0"/>
    <n v="0"/>
    <n v="0"/>
    <n v="345.04199999999997"/>
    <n v="345.04199999999997"/>
    <n v="345.04199999999997"/>
    <n v="345.04199999999997"/>
    <n v="0"/>
    <x v="2"/>
    <n v="0"/>
    <n v="0"/>
    <n v="34"/>
    <n v="53"/>
    <n v="0"/>
    <n v="304.64999999999998"/>
    <n v="206.13"/>
    <m/>
    <n v="403.19134568895447"/>
    <n v="233.88925901057866"/>
    <n v="0"/>
    <n v="105117.04529999998"/>
    <n v="71123.507459999993"/>
    <n v="0"/>
    <n v="139117.94829920822"/>
    <n v="80701.617707528072"/>
  </r>
  <r>
    <s v="Refaturamento - Regular"/>
    <x v="3"/>
    <x v="5"/>
    <x v="2"/>
    <x v="1"/>
    <x v="6"/>
    <x v="0"/>
    <x v="0"/>
    <x v="0"/>
    <n v="0"/>
    <n v="0"/>
    <n v="-6.665"/>
    <n v="-6.665"/>
    <n v="-6.665"/>
    <n v="-6.665"/>
    <n v="0"/>
    <x v="2"/>
    <n v="0"/>
    <n v="0"/>
    <n v="34"/>
    <n v="53"/>
    <n v="0"/>
    <n v="304.64999999999998"/>
    <n v="206.13"/>
    <m/>
    <n v="403.19134568895447"/>
    <n v="233.88925901057866"/>
    <n v="0"/>
    <n v="-2030.4922499999998"/>
    <n v="-1373.85645"/>
    <n v="0"/>
    <n v="-2687.2703190168818"/>
    <n v="-1558.8719113055067"/>
  </r>
  <r>
    <s v="Sistema de Compensação"/>
    <x v="3"/>
    <x v="5"/>
    <x v="2"/>
    <x v="1"/>
    <x v="6"/>
    <x v="0"/>
    <x v="0"/>
    <x v="0"/>
    <n v="0"/>
    <n v="0"/>
    <n v="1.4039999999999999"/>
    <n v="1.4039999999999999"/>
    <n v="1.4039999999999999"/>
    <n v="1.4039999999999999"/>
    <n v="0"/>
    <x v="2"/>
    <n v="0"/>
    <n v="0"/>
    <n v="34"/>
    <n v="53"/>
    <n v="0"/>
    <n v="304.64999999999998"/>
    <n v="206.13"/>
    <m/>
    <n v="403.19134568895447"/>
    <n v="233.88925901057866"/>
    <n v="0"/>
    <n v="427.72859999999991"/>
    <n v="289.40652"/>
    <n v="0"/>
    <n v="566.08064934729202"/>
    <n v="328.38051965085242"/>
  </r>
  <r>
    <s v="Regular"/>
    <x v="3"/>
    <x v="5"/>
    <x v="2"/>
    <x v="1"/>
    <x v="6"/>
    <x v="0"/>
    <x v="0"/>
    <x v="1"/>
    <n v="0"/>
    <n v="0"/>
    <n v="128.46299999999999"/>
    <n v="128.46299999999999"/>
    <n v="128.46299999999999"/>
    <n v="128.46299999999999"/>
    <n v="0"/>
    <x v="2"/>
    <n v="0"/>
    <n v="0"/>
    <n v="34"/>
    <n v="53"/>
    <n v="0"/>
    <n v="304.64999999999998"/>
    <n v="206.13"/>
    <m/>
    <n v="403.19134568895447"/>
    <n v="233.88925901057866"/>
    <n v="0"/>
    <n v="39136.252949999995"/>
    <n v="26480.078189999997"/>
    <n v="0"/>
    <n v="51795.169841240153"/>
    <n v="30046.115880275964"/>
  </r>
  <r>
    <s v="Refaturamento - Regular"/>
    <x v="3"/>
    <x v="5"/>
    <x v="2"/>
    <x v="1"/>
    <x v="6"/>
    <x v="0"/>
    <x v="0"/>
    <x v="1"/>
    <n v="0"/>
    <n v="0"/>
    <n v="-235.178"/>
    <n v="-235.178"/>
    <n v="-235.178"/>
    <n v="-235.178"/>
    <n v="0"/>
    <x v="2"/>
    <n v="0"/>
    <n v="0"/>
    <n v="34"/>
    <n v="53"/>
    <n v="0"/>
    <n v="304.64999999999998"/>
    <n v="206.13"/>
    <m/>
    <n v="403.19134568895447"/>
    <n v="233.88925901057866"/>
    <n v="0"/>
    <n v="-71646.977699999989"/>
    <n v="-48477.241139999998"/>
    <n v="0"/>
    <n v="-94821.734296436931"/>
    <n v="-55005.608155589864"/>
  </r>
  <r>
    <s v="Sistema de Compensação"/>
    <x v="3"/>
    <x v="5"/>
    <x v="2"/>
    <x v="1"/>
    <x v="6"/>
    <x v="0"/>
    <x v="0"/>
    <x v="1"/>
    <n v="0"/>
    <n v="0"/>
    <n v="0.92800000000000005"/>
    <n v="0.92800000000000005"/>
    <n v="0.92800000000000005"/>
    <n v="0.92800000000000005"/>
    <n v="0"/>
    <x v="2"/>
    <n v="0"/>
    <n v="0"/>
    <n v="34"/>
    <n v="53"/>
    <n v="0"/>
    <n v="304.64999999999998"/>
    <n v="206.13"/>
    <m/>
    <n v="403.19134568895447"/>
    <n v="233.88925901057866"/>
    <n v="0"/>
    <n v="282.71519999999998"/>
    <n v="191.28864000000002"/>
    <n v="0"/>
    <n v="374.16156879934977"/>
    <n v="217.04923236181699"/>
  </r>
  <r>
    <s v="Regular"/>
    <x v="3"/>
    <x v="5"/>
    <x v="2"/>
    <x v="1"/>
    <x v="6"/>
    <x v="0"/>
    <x v="0"/>
    <x v="2"/>
    <n v="0"/>
    <n v="0"/>
    <n v="127.322"/>
    <n v="127.322"/>
    <n v="127.322"/>
    <n v="127.322"/>
    <n v="0"/>
    <x v="2"/>
    <n v="0"/>
    <n v="0"/>
    <n v="34"/>
    <n v="53"/>
    <n v="0"/>
    <n v="304.64999999999998"/>
    <n v="206.13"/>
    <m/>
    <n v="403.19134568895447"/>
    <n v="233.88925901057866"/>
    <n v="0"/>
    <n v="38788.647299999997"/>
    <n v="26244.883860000002"/>
    <n v="0"/>
    <n v="51335.128515809061"/>
    <n v="29779.248235744897"/>
  </r>
  <r>
    <s v="Refaturamento - Regular"/>
    <x v="3"/>
    <x v="5"/>
    <x v="2"/>
    <x v="1"/>
    <x v="6"/>
    <x v="0"/>
    <x v="0"/>
    <x v="2"/>
    <n v="0"/>
    <n v="0"/>
    <n v="0.63300000000000001"/>
    <n v="0.63300000000000001"/>
    <n v="0.63300000000000001"/>
    <n v="0.63300000000000001"/>
    <n v="0"/>
    <x v="2"/>
    <n v="0"/>
    <n v="0"/>
    <n v="34"/>
    <n v="53"/>
    <n v="0"/>
    <n v="304.64999999999998"/>
    <n v="206.13"/>
    <m/>
    <n v="403.19134568895447"/>
    <n v="233.88925901057866"/>
    <n v="0"/>
    <n v="192.84344999999999"/>
    <n v="130.48029"/>
    <n v="0"/>
    <n v="255.22012182110819"/>
    <n v="148.0519009536963"/>
  </r>
  <r>
    <s v="Sistema de Compensação"/>
    <x v="3"/>
    <x v="5"/>
    <x v="2"/>
    <x v="1"/>
    <x v="6"/>
    <x v="0"/>
    <x v="0"/>
    <x v="2"/>
    <n v="0"/>
    <n v="0"/>
    <n v="0.49199999999999999"/>
    <n v="0.49199999999999999"/>
    <n v="0.49199999999999999"/>
    <n v="0.49199999999999999"/>
    <n v="0"/>
    <x v="2"/>
    <n v="0"/>
    <n v="0"/>
    <n v="34"/>
    <n v="53"/>
    <n v="0"/>
    <n v="304.64999999999998"/>
    <n v="206.13"/>
    <m/>
    <n v="403.19134568895447"/>
    <n v="233.88925901057866"/>
    <n v="0"/>
    <n v="149.8878"/>
    <n v="101.41596"/>
    <n v="0"/>
    <n v="198.37014207896559"/>
    <n v="115.07351543320469"/>
  </r>
  <r>
    <s v="Regular"/>
    <x v="3"/>
    <x v="5"/>
    <x v="2"/>
    <x v="1"/>
    <x v="6"/>
    <x v="0"/>
    <x v="0"/>
    <x v="3"/>
    <n v="0"/>
    <n v="0"/>
    <n v="108.435"/>
    <n v="108.435"/>
    <n v="108.435"/>
    <n v="108.435"/>
    <n v="0"/>
    <x v="2"/>
    <n v="0"/>
    <n v="0"/>
    <n v="34"/>
    <n v="53"/>
    <n v="0"/>
    <n v="304.64999999999998"/>
    <n v="206.13"/>
    <m/>
    <n v="403.19134568895447"/>
    <n v="233.88925901057866"/>
    <n v="0"/>
    <n v="33034.722750000001"/>
    <n v="22351.706549999999"/>
    <n v="0"/>
    <n v="43720.053569781776"/>
    <n v="25361.781800812096"/>
  </r>
  <r>
    <s v="Refaturamento - Regular"/>
    <x v="3"/>
    <x v="5"/>
    <x v="2"/>
    <x v="1"/>
    <x v="6"/>
    <x v="0"/>
    <x v="0"/>
    <x v="3"/>
    <n v="0"/>
    <n v="0"/>
    <n v="-1.014"/>
    <n v="-1.014"/>
    <n v="-1.014"/>
    <n v="-1.014"/>
    <n v="0"/>
    <x v="2"/>
    <n v="0"/>
    <n v="0"/>
    <n v="34"/>
    <n v="53"/>
    <n v="0"/>
    <n v="304.64999999999998"/>
    <n v="206.13"/>
    <m/>
    <n v="403.19134568895447"/>
    <n v="233.88925901057866"/>
    <n v="0"/>
    <n v="-308.9151"/>
    <n v="-209.01581999999999"/>
    <n v="0"/>
    <n v="-408.83602452859986"/>
    <n v="-237.16370863672677"/>
  </r>
  <r>
    <s v="Sistema de Compensação"/>
    <x v="3"/>
    <x v="5"/>
    <x v="2"/>
    <x v="1"/>
    <x v="6"/>
    <x v="0"/>
    <x v="0"/>
    <x v="3"/>
    <n v="0"/>
    <n v="0"/>
    <n v="0.625"/>
    <n v="0.625"/>
    <n v="0.625"/>
    <n v="0.625"/>
    <n v="0"/>
    <x v="2"/>
    <n v="0"/>
    <n v="0"/>
    <n v="34"/>
    <n v="53"/>
    <n v="0"/>
    <n v="304.64999999999998"/>
    <n v="206.13"/>
    <m/>
    <n v="403.19134568895447"/>
    <n v="233.88925901057866"/>
    <n v="0"/>
    <n v="190.40625"/>
    <n v="128.83125000000001"/>
    <n v="0"/>
    <n v="251.99459105559654"/>
    <n v="146.18078688161165"/>
  </r>
  <r>
    <s v="Regular"/>
    <x v="3"/>
    <x v="5"/>
    <x v="2"/>
    <x v="1"/>
    <x v="6"/>
    <x v="0"/>
    <x v="0"/>
    <x v="4"/>
    <n v="0"/>
    <n v="0"/>
    <n v="109.678"/>
    <n v="109.678"/>
    <n v="109.678"/>
    <n v="109.678"/>
    <n v="0"/>
    <x v="2"/>
    <n v="0"/>
    <n v="0"/>
    <n v="34"/>
    <n v="53"/>
    <n v="0"/>
    <n v="304.64999999999998"/>
    <n v="206.13"/>
    <m/>
    <n v="403.19134568895447"/>
    <n v="233.88925901057866"/>
    <n v="0"/>
    <n v="33413.402699999999"/>
    <n v="22607.92614"/>
    <n v="0"/>
    <n v="44221.220412473151"/>
    <n v="25652.506149762245"/>
  </r>
  <r>
    <s v="Refaturamento - Regular"/>
    <x v="3"/>
    <x v="5"/>
    <x v="2"/>
    <x v="1"/>
    <x v="6"/>
    <x v="0"/>
    <x v="0"/>
    <x v="4"/>
    <n v="0"/>
    <n v="0"/>
    <n v="-5.5410000000000004"/>
    <n v="-5.5410000000000004"/>
    <n v="-5.5410000000000004"/>
    <n v="-5.5410000000000004"/>
    <n v="0"/>
    <x v="2"/>
    <n v="0"/>
    <n v="0"/>
    <n v="34"/>
    <n v="53"/>
    <n v="0"/>
    <n v="304.64999999999998"/>
    <n v="206.13"/>
    <m/>
    <n v="403.19134568895447"/>
    <n v="233.88925901057866"/>
    <n v="0"/>
    <n v="-1688.06565"/>
    <n v="-1142.16633"/>
    <n v="0"/>
    <n v="-2234.0832464624968"/>
    <n v="-1295.9803841776163"/>
  </r>
  <r>
    <s v="Sistema de Compensação"/>
    <x v="3"/>
    <x v="5"/>
    <x v="2"/>
    <x v="1"/>
    <x v="6"/>
    <x v="0"/>
    <x v="0"/>
    <x v="4"/>
    <n v="0"/>
    <n v="0"/>
    <n v="0.66200000000000003"/>
    <n v="0.66200000000000003"/>
    <n v="0.66200000000000003"/>
    <n v="0.66200000000000003"/>
    <n v="0"/>
    <x v="2"/>
    <n v="0"/>
    <n v="0"/>
    <n v="34"/>
    <n v="53"/>
    <n v="0"/>
    <n v="304.64999999999998"/>
    <n v="206.13"/>
    <m/>
    <n v="403.19134568895447"/>
    <n v="233.88925901057866"/>
    <n v="0"/>
    <n v="201.67830000000001"/>
    <n v="136.45806000000002"/>
    <n v="0"/>
    <n v="266.91267084608785"/>
    <n v="154.83468946500307"/>
  </r>
  <r>
    <s v="Regular"/>
    <x v="3"/>
    <x v="5"/>
    <x v="2"/>
    <x v="1"/>
    <x v="6"/>
    <x v="0"/>
    <x v="0"/>
    <x v="5"/>
    <n v="0"/>
    <n v="0"/>
    <n v="194.71899999999999"/>
    <n v="194.71899999999999"/>
    <n v="194.71899999999999"/>
    <n v="194.71899999999999"/>
    <n v="0"/>
    <x v="2"/>
    <n v="0"/>
    <n v="0"/>
    <n v="34"/>
    <n v="53"/>
    <n v="0"/>
    <n v="304.64999999999998"/>
    <n v="206.13"/>
    <m/>
    <n v="403.19134568895447"/>
    <n v="233.88925901057866"/>
    <n v="0"/>
    <n v="59321.143349999991"/>
    <n v="40137.427469999995"/>
    <n v="0"/>
    <n v="78509.01564120753"/>
    <n v="45542.682625280861"/>
  </r>
  <r>
    <s v="Refaturamento - Regular"/>
    <x v="3"/>
    <x v="5"/>
    <x v="2"/>
    <x v="1"/>
    <x v="6"/>
    <x v="0"/>
    <x v="0"/>
    <x v="5"/>
    <n v="0"/>
    <n v="0"/>
    <n v="-16.681000000000001"/>
    <n v="-16.681000000000001"/>
    <n v="-16.681000000000001"/>
    <n v="-16.681000000000001"/>
    <n v="0"/>
    <x v="2"/>
    <n v="0"/>
    <n v="0"/>
    <n v="34"/>
    <n v="53"/>
    <n v="0"/>
    <n v="304.64999999999998"/>
    <n v="206.13"/>
    <m/>
    <n v="403.19134568895447"/>
    <n v="233.88925901057866"/>
    <n v="0"/>
    <n v="-5081.8666499999999"/>
    <n v="-3438.45453"/>
    <n v="0"/>
    <n v="-6725.6348374374502"/>
    <n v="-3901.5067295554627"/>
  </r>
  <r>
    <s v="Sistema de Compensação"/>
    <x v="3"/>
    <x v="5"/>
    <x v="2"/>
    <x v="1"/>
    <x v="6"/>
    <x v="0"/>
    <x v="0"/>
    <x v="5"/>
    <n v="0"/>
    <n v="0"/>
    <n v="1.1639999999999999"/>
    <n v="1.1639999999999999"/>
    <n v="1.1639999999999999"/>
    <n v="1.1639999999999999"/>
    <n v="0"/>
    <x v="2"/>
    <n v="0"/>
    <n v="0"/>
    <n v="34"/>
    <n v="53"/>
    <n v="0"/>
    <n v="304.64999999999998"/>
    <n v="206.13"/>
    <m/>
    <n v="403.19134568895447"/>
    <n v="233.88925901057866"/>
    <n v="0"/>
    <n v="354.61259999999993"/>
    <n v="239.93531999999999"/>
    <n v="0"/>
    <n v="469.31472638194299"/>
    <n v="272.24709748831356"/>
  </r>
  <r>
    <s v="Regular"/>
    <x v="3"/>
    <x v="5"/>
    <x v="2"/>
    <x v="1"/>
    <x v="6"/>
    <x v="0"/>
    <x v="0"/>
    <x v="6"/>
    <n v="0"/>
    <n v="0"/>
    <n v="328.14800000000002"/>
    <n v="328.14800000000002"/>
    <n v="328.14800000000002"/>
    <n v="328.14800000000002"/>
    <n v="0"/>
    <x v="2"/>
    <n v="0"/>
    <n v="0"/>
    <n v="34"/>
    <n v="53"/>
    <n v="0"/>
    <n v="304.64999999999998"/>
    <n v="206.13"/>
    <m/>
    <n v="403.19134568895447"/>
    <n v="233.88925901057866"/>
    <n v="0"/>
    <n v="99970.288199999995"/>
    <n v="67641.147240000006"/>
    <n v="0"/>
    <n v="132306.43370513903"/>
    <n v="76750.292565803364"/>
  </r>
  <r>
    <s v="Refaturamento - Regular"/>
    <x v="3"/>
    <x v="5"/>
    <x v="2"/>
    <x v="1"/>
    <x v="6"/>
    <x v="0"/>
    <x v="0"/>
    <x v="6"/>
    <n v="0"/>
    <n v="0"/>
    <n v="-1.736"/>
    <n v="-1.736"/>
    <n v="-1.736"/>
    <n v="-1.736"/>
    <n v="0"/>
    <x v="2"/>
    <n v="0"/>
    <n v="0"/>
    <n v="34"/>
    <n v="53"/>
    <n v="0"/>
    <n v="304.64999999999998"/>
    <n v="206.13"/>
    <m/>
    <n v="403.19134568895447"/>
    <n v="233.88925901057866"/>
    <n v="0"/>
    <n v="-528.87239999999997"/>
    <n v="-357.84168"/>
    <n v="0"/>
    <n v="-699.94017611602499"/>
    <n v="-406.03175364236455"/>
  </r>
  <r>
    <s v="Sistema de Compensação"/>
    <x v="3"/>
    <x v="5"/>
    <x v="2"/>
    <x v="1"/>
    <x v="6"/>
    <x v="0"/>
    <x v="0"/>
    <x v="6"/>
    <n v="0"/>
    <n v="0"/>
    <n v="2.2109999999999999"/>
    <n v="2.2109999999999999"/>
    <n v="2.2109999999999999"/>
    <n v="2.2109999999999999"/>
    <n v="0"/>
    <x v="2"/>
    <n v="0"/>
    <n v="0"/>
    <n v="34"/>
    <n v="53"/>
    <n v="0"/>
    <n v="304.64999999999998"/>
    <n v="206.13"/>
    <m/>
    <n v="403.19134568895447"/>
    <n v="233.88925901057866"/>
    <n v="0"/>
    <n v="673.58114999999987"/>
    <n v="455.75342999999998"/>
    <n v="0"/>
    <n v="891.45606531827832"/>
    <n v="517.12915167238941"/>
  </r>
  <r>
    <s v="Regular"/>
    <x v="3"/>
    <x v="5"/>
    <x v="2"/>
    <x v="1"/>
    <x v="6"/>
    <x v="0"/>
    <x v="0"/>
    <x v="7"/>
    <n v="0"/>
    <n v="0"/>
    <n v="306.173"/>
    <n v="306.173"/>
    <n v="306.173"/>
    <n v="306.173"/>
    <n v="0"/>
    <x v="2"/>
    <n v="0"/>
    <n v="0"/>
    <n v="34"/>
    <n v="53"/>
    <n v="0"/>
    <n v="304.64999999999998"/>
    <n v="206.13"/>
    <m/>
    <n v="403.19134568895447"/>
    <n v="233.88925901057866"/>
    <n v="0"/>
    <n v="93275.604449999999"/>
    <n v="63111.440490000001"/>
    <n v="0"/>
    <n v="123446.30388362426"/>
    <n v="71610.576099045895"/>
  </r>
  <r>
    <s v="Refaturamento - Regular"/>
    <x v="3"/>
    <x v="5"/>
    <x v="2"/>
    <x v="1"/>
    <x v="6"/>
    <x v="0"/>
    <x v="0"/>
    <x v="7"/>
    <n v="0"/>
    <n v="0"/>
    <n v="-14.065"/>
    <n v="-14.065"/>
    <n v="-14.065"/>
    <n v="-14.065"/>
    <n v="0"/>
    <x v="2"/>
    <n v="0"/>
    <n v="0"/>
    <n v="34"/>
    <n v="53"/>
    <n v="0"/>
    <n v="304.64999999999998"/>
    <n v="206.13"/>
    <m/>
    <n v="403.19134568895447"/>
    <n v="233.88925901057866"/>
    <n v="0"/>
    <n v="-4284.9022499999992"/>
    <n v="-2899.2184499999998"/>
    <n v="0"/>
    <n v="-5670.8862771151444"/>
    <n v="-3289.6524279837886"/>
  </r>
  <r>
    <s v="Sistema de Compensação"/>
    <x v="3"/>
    <x v="5"/>
    <x v="2"/>
    <x v="1"/>
    <x v="6"/>
    <x v="0"/>
    <x v="0"/>
    <x v="7"/>
    <n v="0"/>
    <n v="0"/>
    <n v="2.3330000000000002"/>
    <n v="2.3330000000000002"/>
    <n v="2.3330000000000002"/>
    <n v="2.3330000000000002"/>
    <n v="0"/>
    <x v="2"/>
    <n v="0"/>
    <n v="0"/>
    <n v="34"/>
    <n v="53"/>
    <n v="0"/>
    <n v="304.64999999999998"/>
    <n v="206.13"/>
    <m/>
    <n v="403.19134568895447"/>
    <n v="233.88925901057866"/>
    <n v="0"/>
    <n v="710.74845000000005"/>
    <n v="480.90129000000002"/>
    <n v="0"/>
    <n v="940.64540949233083"/>
    <n v="545.66364127168004"/>
  </r>
  <r>
    <s v="Regular"/>
    <x v="3"/>
    <x v="5"/>
    <x v="2"/>
    <x v="1"/>
    <x v="6"/>
    <x v="0"/>
    <x v="0"/>
    <x v="8"/>
    <n v="0"/>
    <n v="0"/>
    <n v="268.79700000000003"/>
    <n v="268.79700000000003"/>
    <n v="268.79700000000003"/>
    <n v="268.79700000000003"/>
    <n v="0"/>
    <x v="2"/>
    <n v="0"/>
    <n v="0"/>
    <n v="34"/>
    <n v="53"/>
    <n v="0"/>
    <n v="304.64999999999998"/>
    <n v="206.13"/>
    <m/>
    <n v="403.19134568895447"/>
    <n v="233.88925901057866"/>
    <n v="0"/>
    <n v="81889.006049999996"/>
    <n v="55407.125610000003"/>
    <n v="0"/>
    <n v="108376.62414715391"/>
    <n v="62868.731154266519"/>
  </r>
  <r>
    <s v="Refaturamento - Regular"/>
    <x v="3"/>
    <x v="5"/>
    <x v="2"/>
    <x v="1"/>
    <x v="6"/>
    <x v="0"/>
    <x v="0"/>
    <x v="8"/>
    <n v="0"/>
    <n v="0"/>
    <n v="-15.727"/>
    <n v="-15.727"/>
    <n v="-15.727"/>
    <n v="-15.727"/>
    <n v="0"/>
    <x v="2"/>
    <n v="0"/>
    <n v="0"/>
    <n v="34"/>
    <n v="53"/>
    <n v="0"/>
    <n v="304.64999999999998"/>
    <n v="206.13"/>
    <m/>
    <n v="403.19134568895447"/>
    <n v="233.88925901057866"/>
    <n v="0"/>
    <n v="-4791.2305499999993"/>
    <n v="-3241.8065099999999"/>
    <n v="0"/>
    <n v="-6340.9902936501867"/>
    <n v="-3678.3763764593705"/>
  </r>
  <r>
    <s v="Sistema de Compensação"/>
    <x v="3"/>
    <x v="5"/>
    <x v="2"/>
    <x v="1"/>
    <x v="6"/>
    <x v="0"/>
    <x v="0"/>
    <x v="8"/>
    <n v="0"/>
    <n v="0"/>
    <n v="2.2290000000000001"/>
    <n v="2.2290000000000001"/>
    <n v="2.2290000000000001"/>
    <n v="2.2290000000000001"/>
    <n v="0"/>
    <x v="2"/>
    <n v="0"/>
    <n v="0"/>
    <n v="34"/>
    <n v="53"/>
    <n v="0"/>
    <n v="304.64999999999998"/>
    <n v="206.13"/>
    <m/>
    <n v="403.19134568895447"/>
    <n v="233.88925901057866"/>
    <n v="0"/>
    <n v="679.06484999999998"/>
    <n v="459.46377000000001"/>
    <n v="0"/>
    <n v="898.71350954067952"/>
    <n v="521.33915833457979"/>
  </r>
  <r>
    <s v="Regular"/>
    <x v="3"/>
    <x v="5"/>
    <x v="2"/>
    <x v="1"/>
    <x v="6"/>
    <x v="0"/>
    <x v="0"/>
    <x v="9"/>
    <n v="0"/>
    <n v="0"/>
    <n v="247.02600000000001"/>
    <n v="247.02600000000001"/>
    <n v="247.02600000000001"/>
    <n v="247.02600000000001"/>
    <n v="0"/>
    <x v="2"/>
    <n v="0"/>
    <n v="0"/>
    <n v="34"/>
    <n v="53"/>
    <n v="0"/>
    <n v="304.64999999999998"/>
    <n v="206.13"/>
    <m/>
    <n v="403.19134568895447"/>
    <n v="233.88925901057866"/>
    <n v="0"/>
    <n v="75256.4709"/>
    <n v="50919.469380000002"/>
    <n v="0"/>
    <n v="99598.745360159664"/>
    <n v="57776.728096347208"/>
  </r>
  <r>
    <s v="Sistema de Compensação"/>
    <x v="3"/>
    <x v="5"/>
    <x v="2"/>
    <x v="1"/>
    <x v="6"/>
    <x v="0"/>
    <x v="0"/>
    <x v="9"/>
    <n v="0"/>
    <n v="0"/>
    <n v="1.9119999999999999"/>
    <n v="1.9119999999999999"/>
    <n v="1.9119999999999999"/>
    <n v="1.9119999999999999"/>
    <n v="0"/>
    <x v="2"/>
    <n v="0"/>
    <n v="0"/>
    <n v="34"/>
    <n v="53"/>
    <n v="0"/>
    <n v="304.64999999999998"/>
    <n v="206.13"/>
    <m/>
    <n v="403.19134568895447"/>
    <n v="233.88925901057866"/>
    <n v="0"/>
    <n v="582.49079999999992"/>
    <n v="394.12055999999995"/>
    <n v="0"/>
    <n v="770.90185295728088"/>
    <n v="447.19626322822637"/>
  </r>
  <r>
    <s v="Regular"/>
    <x v="3"/>
    <x v="5"/>
    <x v="2"/>
    <x v="1"/>
    <x v="6"/>
    <x v="0"/>
    <x v="0"/>
    <x v="10"/>
    <n v="0"/>
    <n v="0"/>
    <n v="254.04"/>
    <n v="254.04"/>
    <n v="254.04"/>
    <n v="254.04"/>
    <n v="0"/>
    <x v="2"/>
    <n v="0"/>
    <n v="0"/>
    <n v="34"/>
    <n v="53"/>
    <n v="0"/>
    <n v="304.64999999999998"/>
    <n v="206.13"/>
    <m/>
    <n v="403.19134568895447"/>
    <n v="233.88925901057866"/>
    <n v="0"/>
    <n v="77393.285999999993"/>
    <n v="52365.265199999994"/>
    <n v="0"/>
    <n v="102426.729458822"/>
    <n v="59417.2273590474"/>
  </r>
  <r>
    <s v="Sistema de Compensação"/>
    <x v="3"/>
    <x v="5"/>
    <x v="2"/>
    <x v="1"/>
    <x v="6"/>
    <x v="0"/>
    <x v="0"/>
    <x v="10"/>
    <n v="0"/>
    <n v="0"/>
    <n v="2.0529999999999999"/>
    <n v="2.0529999999999999"/>
    <n v="2.0529999999999999"/>
    <n v="2.0529999999999999"/>
    <n v="0"/>
    <x v="2"/>
    <n v="0"/>
    <n v="0"/>
    <n v="34"/>
    <n v="53"/>
    <n v="0"/>
    <n v="304.64999999999998"/>
    <n v="206.13"/>
    <m/>
    <n v="403.19134568895447"/>
    <n v="233.88925901057866"/>
    <n v="0"/>
    <n v="625.44644999999991"/>
    <n v="423.18489"/>
    <n v="0"/>
    <n v="827.75183269942352"/>
    <n v="480.17464874871797"/>
  </r>
  <r>
    <s v="PROJETADO"/>
    <x v="3"/>
    <x v="5"/>
    <x v="2"/>
    <x v="1"/>
    <x v="6"/>
    <x v="0"/>
    <x v="0"/>
    <x v="11"/>
    <n v="0"/>
    <n v="0"/>
    <n v="254.04"/>
    <n v="254.04"/>
    <n v="254.04"/>
    <n v="254.04"/>
    <n v="0"/>
    <x v="2"/>
    <n v="0"/>
    <n v="0"/>
    <n v="34"/>
    <n v="53"/>
    <n v="0"/>
    <n v="304.64999999999998"/>
    <n v="206.13"/>
    <m/>
    <n v="403.19134568895447"/>
    <n v="233.88925901057866"/>
    <n v="0"/>
    <n v="77393.285999999993"/>
    <n v="52365.265199999994"/>
    <n v="0"/>
    <n v="102426.729458822"/>
    <n v="59417.2273590474"/>
  </r>
  <r>
    <s v="PROJETADO"/>
    <x v="3"/>
    <x v="5"/>
    <x v="2"/>
    <x v="1"/>
    <x v="6"/>
    <x v="0"/>
    <x v="0"/>
    <x v="11"/>
    <n v="0"/>
    <n v="0"/>
    <n v="2.0529999999999999"/>
    <n v="2.0529999999999999"/>
    <n v="2.0529999999999999"/>
    <n v="2.0529999999999999"/>
    <n v="0"/>
    <x v="2"/>
    <n v="0"/>
    <n v="0"/>
    <n v="34"/>
    <n v="53"/>
    <n v="0"/>
    <n v="304.64999999999998"/>
    <n v="206.13"/>
    <m/>
    <n v="403.19134568895447"/>
    <n v="233.88925901057866"/>
    <n v="0"/>
    <n v="625.44644999999991"/>
    <n v="423.18489"/>
    <n v="0"/>
    <n v="827.75183269942352"/>
    <n v="480.17464874871797"/>
  </r>
  <r>
    <s v="Regular"/>
    <x v="3"/>
    <x v="5"/>
    <x v="2"/>
    <x v="1"/>
    <x v="3"/>
    <x v="0"/>
    <x v="0"/>
    <x v="0"/>
    <n v="0"/>
    <n v="0"/>
    <n v="328.82900000000001"/>
    <n v="88.783829999999995"/>
    <n v="328.82900000000001"/>
    <n v="88.783829999999995"/>
    <n v="0"/>
    <x v="2"/>
    <n v="0"/>
    <n v="0"/>
    <n v="34"/>
    <n v="53"/>
    <n v="0"/>
    <n v="304.64999999999998"/>
    <n v="206.13"/>
    <m/>
    <n v="403.19134568895447"/>
    <n v="233.88925901057866"/>
    <n v="0"/>
    <n v="27047.993809499996"/>
    <n v="18301.0108779"/>
    <n v="0"/>
    <n v="35796.871893119365"/>
    <n v="20765.584210821184"/>
  </r>
  <r>
    <s v="Refaturamento - Regular"/>
    <x v="3"/>
    <x v="5"/>
    <x v="2"/>
    <x v="1"/>
    <x v="3"/>
    <x v="0"/>
    <x v="0"/>
    <x v="0"/>
    <n v="0"/>
    <n v="0"/>
    <n v="-6.5629999999999997"/>
    <n v="-1.7720100000000001"/>
    <n v="-6.5629999999999997"/>
    <n v="-1.7720100000000001"/>
    <n v="0"/>
    <x v="2"/>
    <n v="0"/>
    <n v="0"/>
    <n v="34"/>
    <n v="53"/>
    <n v="0"/>
    <n v="304.64999999999998"/>
    <n v="206.13"/>
    <m/>
    <n v="403.19134568895447"/>
    <n v="233.88925901057866"/>
    <n v="0"/>
    <n v="-539.84284649999995"/>
    <n v="-365.26442130000004"/>
    <n v="0"/>
    <n v="-714.45909647428425"/>
    <n v="-414.45410585933553"/>
  </r>
  <r>
    <s v="Sistema de Compensação"/>
    <x v="3"/>
    <x v="5"/>
    <x v="2"/>
    <x v="1"/>
    <x v="3"/>
    <x v="0"/>
    <x v="0"/>
    <x v="0"/>
    <n v="0"/>
    <n v="0"/>
    <n v="1.4239999999999999"/>
    <n v="0.38447999999999999"/>
    <n v="1.4239999999999999"/>
    <n v="0.38447999999999999"/>
    <n v="0"/>
    <x v="2"/>
    <n v="0"/>
    <n v="0"/>
    <n v="34"/>
    <n v="53"/>
    <n v="0"/>
    <n v="304.64999999999998"/>
    <n v="206.13"/>
    <m/>
    <n v="403.19134568895447"/>
    <n v="233.88925901057866"/>
    <n v="0"/>
    <n v="117.13183199999999"/>
    <n v="79.252862399999998"/>
    <n v="0"/>
    <n v="155.01900859048922"/>
    <n v="89.925742304387285"/>
  </r>
  <r>
    <s v="Regular"/>
    <x v="3"/>
    <x v="5"/>
    <x v="2"/>
    <x v="1"/>
    <x v="3"/>
    <x v="0"/>
    <x v="0"/>
    <x v="1"/>
    <n v="0"/>
    <n v="0"/>
    <n v="120.88200000000001"/>
    <n v="32.63814"/>
    <n v="120.88200000000001"/>
    <n v="32.63814"/>
    <n v="0"/>
    <x v="2"/>
    <n v="0"/>
    <n v="0"/>
    <n v="34"/>
    <n v="53"/>
    <n v="0"/>
    <n v="304.64999999999998"/>
    <n v="206.13"/>
    <m/>
    <n v="403.19134568895447"/>
    <n v="233.88925901057866"/>
    <n v="0"/>
    <n v="9943.2093509999995"/>
    <n v="6727.6997982000003"/>
    <n v="0"/>
    <n v="13159.415587384492"/>
    <n v="7633.7103800835275"/>
  </r>
  <r>
    <s v="Refaturamento - Regular"/>
    <x v="3"/>
    <x v="5"/>
    <x v="2"/>
    <x v="1"/>
    <x v="3"/>
    <x v="0"/>
    <x v="0"/>
    <x v="1"/>
    <n v="0"/>
    <n v="0"/>
    <n v="-1.8"/>
    <n v="-0.48599999999999999"/>
    <n v="-1.8"/>
    <n v="-0.48599999999999999"/>
    <n v="0"/>
    <x v="2"/>
    <n v="0"/>
    <n v="0"/>
    <n v="34"/>
    <n v="53"/>
    <n v="0"/>
    <n v="304.64999999999998"/>
    <n v="206.13"/>
    <m/>
    <n v="403.19134568895447"/>
    <n v="233.88925901057866"/>
    <n v="0"/>
    <n v="-148.0599"/>
    <n v="-100.17917999999999"/>
    <n v="0"/>
    <n v="-195.95099400483187"/>
    <n v="-113.67017987914123"/>
  </r>
  <r>
    <s v="Sistema de Compensação"/>
    <x v="3"/>
    <x v="5"/>
    <x v="2"/>
    <x v="1"/>
    <x v="3"/>
    <x v="0"/>
    <x v="0"/>
    <x v="1"/>
    <n v="0"/>
    <n v="0"/>
    <n v="0.38500000000000001"/>
    <n v="0.10395"/>
    <n v="0.38500000000000001"/>
    <n v="0.10395"/>
    <n v="0"/>
    <x v="2"/>
    <n v="0"/>
    <n v="0"/>
    <n v="34"/>
    <n v="53"/>
    <n v="0"/>
    <n v="304.64999999999998"/>
    <n v="206.13"/>
    <m/>
    <n v="403.19134568895447"/>
    <n v="233.88925901057866"/>
    <n v="0"/>
    <n v="31.668367499999999"/>
    <n v="21.427213500000001"/>
    <n v="0"/>
    <n v="41.911740384366816"/>
    <n v="24.312788474149652"/>
  </r>
  <r>
    <s v="Regular"/>
    <x v="3"/>
    <x v="5"/>
    <x v="2"/>
    <x v="1"/>
    <x v="3"/>
    <x v="0"/>
    <x v="0"/>
    <x v="2"/>
    <n v="0"/>
    <n v="0"/>
    <n v="109.247"/>
    <n v="29.496690000000001"/>
    <n v="109.247"/>
    <n v="29.496690000000001"/>
    <n v="0"/>
    <x v="2"/>
    <n v="0"/>
    <n v="0"/>
    <n v="34"/>
    <n v="53"/>
    <n v="0"/>
    <n v="304.64999999999998"/>
    <n v="206.13"/>
    <m/>
    <n v="403.19134568895447"/>
    <n v="233.88925901057866"/>
    <n v="0"/>
    <n v="8986.1666084999997"/>
    <n v="6080.1527096999998"/>
    <n v="0"/>
    <n v="11892.810134469926"/>
    <n v="6898.9589673647451"/>
  </r>
  <r>
    <s v="Refaturamento - Regular"/>
    <x v="3"/>
    <x v="5"/>
    <x v="2"/>
    <x v="1"/>
    <x v="3"/>
    <x v="0"/>
    <x v="0"/>
    <x v="2"/>
    <n v="0"/>
    <n v="0"/>
    <n v="-0.35899999999999999"/>
    <n v="-9.6930000000000002E-2"/>
    <n v="-0.35899999999999999"/>
    <n v="-9.6930000000000002E-2"/>
    <n v="0"/>
    <x v="2"/>
    <n v="0"/>
    <n v="0"/>
    <n v="34"/>
    <n v="53"/>
    <n v="0"/>
    <n v="304.64999999999998"/>
    <n v="206.13"/>
    <m/>
    <n v="403.19134568895447"/>
    <n v="233.88925901057866"/>
    <n v="0"/>
    <n v="-29.529724499999997"/>
    <n v="-19.980180900000001"/>
    <n v="0"/>
    <n v="-39.081337137630356"/>
    <n v="-22.67088587589539"/>
  </r>
  <r>
    <s v="Sistema de Compensação"/>
    <x v="3"/>
    <x v="5"/>
    <x v="2"/>
    <x v="1"/>
    <x v="3"/>
    <x v="0"/>
    <x v="0"/>
    <x v="2"/>
    <n v="0"/>
    <n v="0"/>
    <n v="9.4E-2"/>
    <n v="2.538E-2"/>
    <n v="9.4E-2"/>
    <n v="2.538E-2"/>
    <n v="0"/>
    <x v="2"/>
    <n v="0"/>
    <n v="0"/>
    <n v="34"/>
    <n v="53"/>
    <n v="0"/>
    <n v="304.64999999999998"/>
    <n v="206.13"/>
    <m/>
    <n v="403.19134568895447"/>
    <n v="233.88925901057866"/>
    <n v="0"/>
    <n v="7.732016999999999"/>
    <n v="5.2315794000000002"/>
    <n v="0"/>
    <n v="10.232996353585664"/>
    <n v="5.9361093936884863"/>
  </r>
  <r>
    <s v="Regular"/>
    <x v="3"/>
    <x v="5"/>
    <x v="2"/>
    <x v="1"/>
    <x v="3"/>
    <x v="0"/>
    <x v="0"/>
    <x v="3"/>
    <n v="0"/>
    <n v="0"/>
    <n v="90.728999999999999"/>
    <n v="24.496829999999999"/>
    <n v="90.728999999999999"/>
    <n v="24.496829999999999"/>
    <n v="0"/>
    <x v="2"/>
    <n v="0"/>
    <n v="0"/>
    <n v="34"/>
    <n v="53"/>
    <n v="0"/>
    <n v="304.64999999999998"/>
    <n v="206.13"/>
    <m/>
    <n v="403.19134568895447"/>
    <n v="233.88925901057866"/>
    <n v="0"/>
    <n v="7462.9592594999995"/>
    <n v="5049.5315678999996"/>
    <n v="0"/>
    <n v="9876.909852813551"/>
    <n v="5729.5454168081133"/>
  </r>
  <r>
    <s v="Refaturamento - Regular"/>
    <x v="3"/>
    <x v="5"/>
    <x v="2"/>
    <x v="1"/>
    <x v="3"/>
    <x v="0"/>
    <x v="0"/>
    <x v="3"/>
    <n v="0"/>
    <n v="0"/>
    <n v="-0.32200000000000001"/>
    <n v="-8.6940000000000003E-2"/>
    <n v="-0.32200000000000001"/>
    <n v="-8.6940000000000003E-2"/>
    <n v="0"/>
    <x v="2"/>
    <n v="0"/>
    <n v="0"/>
    <n v="34"/>
    <n v="53"/>
    <n v="0"/>
    <n v="304.64999999999998"/>
    <n v="206.13"/>
    <m/>
    <n v="403.19134568895447"/>
    <n v="233.88925901057866"/>
    <n v="0"/>
    <n v="-26.486270999999999"/>
    <n v="-17.920942199999999"/>
    <n v="0"/>
    <n v="-35.0534555941977"/>
    <n v="-20.334332178379711"/>
  </r>
  <r>
    <s v="Sistema de Compensação"/>
    <x v="3"/>
    <x v="5"/>
    <x v="2"/>
    <x v="1"/>
    <x v="3"/>
    <x v="0"/>
    <x v="0"/>
    <x v="3"/>
    <n v="0"/>
    <n v="0"/>
    <n v="0.38900000000000001"/>
    <n v="0.10503"/>
    <n v="0.38900000000000001"/>
    <n v="0.10503"/>
    <n v="0"/>
    <x v="2"/>
    <n v="0"/>
    <n v="0"/>
    <n v="34"/>
    <n v="53"/>
    <n v="0"/>
    <n v="304.64999999999998"/>
    <n v="206.13"/>
    <m/>
    <n v="403.19134568895447"/>
    <n v="233.88925901057866"/>
    <n v="0"/>
    <n v="31.997389499999997"/>
    <n v="21.649833900000001"/>
    <n v="0"/>
    <n v="42.347187037710889"/>
    <n v="24.565388873881076"/>
  </r>
  <r>
    <s v="Regular"/>
    <x v="3"/>
    <x v="5"/>
    <x v="2"/>
    <x v="1"/>
    <x v="3"/>
    <x v="0"/>
    <x v="0"/>
    <x v="4"/>
    <n v="0"/>
    <n v="0"/>
    <n v="96.778000000000006"/>
    <n v="26.13006"/>
    <n v="96.778000000000006"/>
    <n v="26.13006"/>
    <n v="0"/>
    <x v="2"/>
    <n v="0"/>
    <n v="0"/>
    <n v="34"/>
    <n v="53"/>
    <n v="0"/>
    <n v="304.64999999999998"/>
    <n v="206.13"/>
    <m/>
    <n v="403.19134568895447"/>
    <n v="233.88925901057866"/>
    <n v="0"/>
    <n v="7960.5227789999999"/>
    <n v="5386.1892678000004"/>
    <n v="0"/>
    <n v="10535.414054333121"/>
    <n v="6111.5403713019614"/>
  </r>
  <r>
    <s v="Refaturamento - Regular"/>
    <x v="3"/>
    <x v="5"/>
    <x v="2"/>
    <x v="1"/>
    <x v="3"/>
    <x v="0"/>
    <x v="0"/>
    <x v="4"/>
    <n v="0"/>
    <n v="0"/>
    <n v="-0.51700000000000002"/>
    <n v="-0.13958999999999999"/>
    <n v="-0.51700000000000002"/>
    <n v="-0.13958999999999999"/>
    <n v="0"/>
    <x v="2"/>
    <n v="0"/>
    <n v="0"/>
    <n v="34"/>
    <n v="53"/>
    <n v="0"/>
    <n v="304.64999999999998"/>
    <n v="206.13"/>
    <m/>
    <n v="403.19134568895447"/>
    <n v="233.88925901057866"/>
    <n v="0"/>
    <n v="-42.526093499999995"/>
    <n v="-28.773686699999999"/>
    <n v="0"/>
    <n v="-56.281479944721148"/>
    <n v="-32.64860166528667"/>
  </r>
  <r>
    <s v="Sistema de Compensação"/>
    <x v="3"/>
    <x v="5"/>
    <x v="2"/>
    <x v="1"/>
    <x v="3"/>
    <x v="0"/>
    <x v="0"/>
    <x v="4"/>
    <n v="0"/>
    <n v="0"/>
    <n v="0.185"/>
    <n v="4.9950000000000001E-2"/>
    <n v="0.185"/>
    <n v="4.9950000000000001E-2"/>
    <n v="0"/>
    <x v="2"/>
    <n v="0"/>
    <n v="0"/>
    <n v="34"/>
    <n v="53"/>
    <n v="0"/>
    <n v="304.64999999999998"/>
    <n v="206.13"/>
    <m/>
    <n v="403.19134568895447"/>
    <n v="233.88925901057866"/>
    <n v="0"/>
    <n v="15.217267499999998"/>
    <n v="10.296193499999999"/>
    <n v="0"/>
    <n v="20.139407717163277"/>
    <n v="11.682768487578404"/>
  </r>
  <r>
    <s v="Regular"/>
    <x v="3"/>
    <x v="5"/>
    <x v="2"/>
    <x v="1"/>
    <x v="3"/>
    <x v="0"/>
    <x v="0"/>
    <x v="5"/>
    <n v="0"/>
    <n v="0"/>
    <n v="227.708"/>
    <n v="61.481160000000003"/>
    <n v="227.708"/>
    <n v="61.481160000000003"/>
    <n v="0"/>
    <x v="2"/>
    <n v="0"/>
    <n v="0"/>
    <n v="34"/>
    <n v="53"/>
    <n v="0"/>
    <n v="304.64999999999998"/>
    <n v="206.13"/>
    <m/>
    <n v="403.19134568895447"/>
    <n v="233.88925901057866"/>
    <n v="0"/>
    <n v="18730.235393999999"/>
    <n v="12673.111510799999"/>
    <n v="0"/>
    <n v="24788.671634917922"/>
    <n v="14379.782955510829"/>
  </r>
  <r>
    <s v="Refaturamento - Regular"/>
    <x v="3"/>
    <x v="5"/>
    <x v="2"/>
    <x v="1"/>
    <x v="3"/>
    <x v="0"/>
    <x v="0"/>
    <x v="5"/>
    <n v="0"/>
    <n v="0"/>
    <n v="-5.0880000000000001"/>
    <n v="-1.3737600000000001"/>
    <n v="-5.0880000000000001"/>
    <n v="-1.3737600000000001"/>
    <n v="0"/>
    <x v="2"/>
    <n v="0"/>
    <n v="0"/>
    <n v="34"/>
    <n v="53"/>
    <n v="0"/>
    <n v="304.64999999999998"/>
    <n v="206.13"/>
    <m/>
    <n v="403.19134568895447"/>
    <n v="233.88925901057866"/>
    <n v="0"/>
    <n v="-418.515984"/>
    <n v="-283.17314880000004"/>
    <n v="0"/>
    <n v="-553.88814305365815"/>
    <n v="-321.30770845837253"/>
  </r>
  <r>
    <s v="Sistema de Compensação"/>
    <x v="3"/>
    <x v="5"/>
    <x v="2"/>
    <x v="1"/>
    <x v="3"/>
    <x v="0"/>
    <x v="0"/>
    <x v="5"/>
    <n v="0"/>
    <n v="0"/>
    <n v="0.40799999999999997"/>
    <n v="0.11015999999999999"/>
    <n v="0.40799999999999997"/>
    <n v="0.11015999999999999"/>
    <n v="0"/>
    <x v="2"/>
    <n v="0"/>
    <n v="0"/>
    <n v="34"/>
    <n v="53"/>
    <n v="0"/>
    <n v="304.64999999999998"/>
    <n v="206.13"/>
    <m/>
    <n v="403.19134568895447"/>
    <n v="233.88925901057866"/>
    <n v="0"/>
    <n v="33.560243999999997"/>
    <n v="22.707280799999999"/>
    <n v="0"/>
    <n v="44.415558641095224"/>
    <n v="25.765240772605342"/>
  </r>
  <r>
    <s v="Regular"/>
    <x v="3"/>
    <x v="5"/>
    <x v="2"/>
    <x v="1"/>
    <x v="3"/>
    <x v="0"/>
    <x v="0"/>
    <x v="6"/>
    <n v="0"/>
    <n v="0"/>
    <n v="387.99700000000001"/>
    <n v="104.75919"/>
    <n v="387.99700000000001"/>
    <n v="104.75919"/>
    <n v="0"/>
    <x v="2"/>
    <n v="0"/>
    <n v="0"/>
    <n v="34"/>
    <n v="53"/>
    <n v="0"/>
    <n v="304.64999999999998"/>
    <n v="206.13"/>
    <m/>
    <n v="403.19134568895447"/>
    <n v="233.88925901057866"/>
    <n v="0"/>
    <n v="31914.887233499998"/>
    <n v="21594.011834699999"/>
    <n v="0"/>
    <n v="42237.998789384867"/>
    <n v="24502.049323648422"/>
  </r>
  <r>
    <s v="Refaturamento - Regular"/>
    <x v="3"/>
    <x v="5"/>
    <x v="2"/>
    <x v="1"/>
    <x v="3"/>
    <x v="0"/>
    <x v="0"/>
    <x v="6"/>
    <n v="0"/>
    <n v="0"/>
    <n v="2.5510000000000002"/>
    <n v="0.68876999999999999"/>
    <n v="2.5510000000000002"/>
    <n v="0.68876999999999999"/>
    <n v="0"/>
    <x v="2"/>
    <n v="0"/>
    <n v="0"/>
    <n v="34"/>
    <n v="53"/>
    <n v="0"/>
    <n v="304.64999999999998"/>
    <n v="206.13"/>
    <m/>
    <n v="403.19134568895447"/>
    <n v="233.88925901057866"/>
    <n v="0"/>
    <n v="209.83378049999999"/>
    <n v="141.97616009999999"/>
    <n v="0"/>
    <n v="277.70610317018117"/>
    <n v="161.09590492871627"/>
  </r>
  <r>
    <s v="Sistema de Compensação"/>
    <x v="3"/>
    <x v="5"/>
    <x v="2"/>
    <x v="1"/>
    <x v="3"/>
    <x v="0"/>
    <x v="0"/>
    <x v="6"/>
    <n v="0"/>
    <n v="0"/>
    <n v="1.5389999999999999"/>
    <n v="0.41553000000000001"/>
    <n v="1.5389999999999999"/>
    <n v="0.41553000000000001"/>
    <n v="0"/>
    <x v="2"/>
    <n v="0"/>
    <n v="0"/>
    <n v="34"/>
    <n v="53"/>
    <n v="0"/>
    <n v="304.64999999999998"/>
    <n v="206.13"/>
    <m/>
    <n v="403.19134568895447"/>
    <n v="233.88925901057866"/>
    <n v="0"/>
    <n v="126.59121449999999"/>
    <n v="85.653198900000007"/>
    <n v="0"/>
    <n v="167.53809987413126"/>
    <n v="97.188003796665754"/>
  </r>
  <r>
    <s v="Regular"/>
    <x v="3"/>
    <x v="5"/>
    <x v="2"/>
    <x v="1"/>
    <x v="3"/>
    <x v="0"/>
    <x v="0"/>
    <x v="7"/>
    <n v="0"/>
    <n v="0"/>
    <n v="388.52300000000002"/>
    <n v="104.90121000000001"/>
    <n v="388.52300000000002"/>
    <n v="104.90121000000001"/>
    <n v="0"/>
    <x v="2"/>
    <n v="0"/>
    <n v="0"/>
    <n v="34"/>
    <n v="53"/>
    <n v="0"/>
    <n v="304.64999999999998"/>
    <n v="206.13"/>
    <m/>
    <n v="403.19134568895447"/>
    <n v="233.88925901057866"/>
    <n v="0"/>
    <n v="31958.1536265"/>
    <n v="21623.286417300002"/>
    <n v="0"/>
    <n v="42295.260024299612"/>
    <n v="24535.266276213104"/>
  </r>
  <r>
    <s v="Refaturamento - Regular"/>
    <x v="3"/>
    <x v="5"/>
    <x v="2"/>
    <x v="1"/>
    <x v="3"/>
    <x v="0"/>
    <x v="0"/>
    <x v="7"/>
    <n v="0"/>
    <n v="0"/>
    <n v="-8.1"/>
    <n v="-2.1869999999999998"/>
    <n v="-8.1"/>
    <n v="-2.1869999999999998"/>
    <n v="0"/>
    <x v="2"/>
    <n v="0"/>
    <n v="0"/>
    <n v="34"/>
    <n v="53"/>
    <n v="0"/>
    <n v="304.64999999999998"/>
    <n v="206.13"/>
    <m/>
    <n v="403.19134568895447"/>
    <n v="233.88925901057866"/>
    <n v="0"/>
    <n v="-666.26954999999987"/>
    <n v="-450.80630999999994"/>
    <n v="0"/>
    <n v="-881.77947302174334"/>
    <n v="-511.51580945613546"/>
  </r>
  <r>
    <s v="Sistema de Compensação"/>
    <x v="3"/>
    <x v="5"/>
    <x v="2"/>
    <x v="1"/>
    <x v="3"/>
    <x v="0"/>
    <x v="0"/>
    <x v="7"/>
    <n v="0"/>
    <n v="0"/>
    <n v="1.032"/>
    <n v="0.27864"/>
    <n v="1.032"/>
    <n v="0.27864"/>
    <n v="0"/>
    <x v="2"/>
    <n v="0"/>
    <n v="0"/>
    <n v="34"/>
    <n v="53"/>
    <n v="0"/>
    <n v="304.64999999999998"/>
    <n v="206.13"/>
    <m/>
    <n v="403.19134568895447"/>
    <n v="233.88925901057866"/>
    <n v="0"/>
    <n v="84.887675999999999"/>
    <n v="57.4360632"/>
    <n v="0"/>
    <n v="112.34523656277027"/>
    <n v="65.170903130707643"/>
  </r>
  <r>
    <s v="Regular"/>
    <x v="3"/>
    <x v="5"/>
    <x v="2"/>
    <x v="1"/>
    <x v="3"/>
    <x v="0"/>
    <x v="0"/>
    <x v="8"/>
    <n v="0"/>
    <n v="0"/>
    <n v="360.911"/>
    <n v="97.445970000000003"/>
    <n v="360.911"/>
    <n v="97.445970000000003"/>
    <n v="0"/>
    <x v="2"/>
    <n v="0"/>
    <n v="0"/>
    <n v="34"/>
    <n v="53"/>
    <n v="0"/>
    <n v="304.64999999999998"/>
    <n v="206.13"/>
    <m/>
    <n v="403.19134568895447"/>
    <n v="233.88925901057866"/>
    <n v="0"/>
    <n v="29686.9147605"/>
    <n v="20086.537796100001"/>
    <n v="0"/>
    <n v="39289.371776265485"/>
    <n v="22791.565716867077"/>
  </r>
  <r>
    <s v="Refaturamento - Regular"/>
    <x v="3"/>
    <x v="5"/>
    <x v="2"/>
    <x v="1"/>
    <x v="3"/>
    <x v="0"/>
    <x v="0"/>
    <x v="8"/>
    <n v="0"/>
    <n v="0"/>
    <n v="-6.673"/>
    <n v="-1.8017099999999999"/>
    <n v="-6.673"/>
    <n v="-1.8017099999999999"/>
    <n v="0"/>
    <x v="2"/>
    <n v="0"/>
    <n v="0"/>
    <n v="34"/>
    <n v="53"/>
    <n v="0"/>
    <n v="304.64999999999998"/>
    <n v="206.13"/>
    <m/>
    <n v="403.19134568895447"/>
    <n v="233.88925901057866"/>
    <n v="0"/>
    <n v="-548.89095149999991"/>
    <n v="-371.38648229999995"/>
    <n v="0"/>
    <n v="-726.43387944124618"/>
    <n v="-421.40061685194968"/>
  </r>
  <r>
    <s v="Sistema de Compensação"/>
    <x v="3"/>
    <x v="5"/>
    <x v="2"/>
    <x v="1"/>
    <x v="3"/>
    <x v="0"/>
    <x v="0"/>
    <x v="8"/>
    <n v="0"/>
    <n v="0"/>
    <n v="0.97099999999999997"/>
    <n v="0.26217000000000001"/>
    <n v="0.97099999999999997"/>
    <n v="0.26217000000000001"/>
    <n v="0"/>
    <x v="2"/>
    <n v="0"/>
    <n v="0"/>
    <n v="34"/>
    <n v="53"/>
    <n v="0"/>
    <n v="304.64999999999998"/>
    <n v="206.13"/>
    <m/>
    <n v="403.19134568895447"/>
    <n v="233.88925901057866"/>
    <n v="0"/>
    <n v="79.870090500000003"/>
    <n v="54.041102100000003"/>
    <n v="0"/>
    <n v="105.7046750992732"/>
    <n v="61.318747034803408"/>
  </r>
  <r>
    <s v="Regular"/>
    <x v="3"/>
    <x v="5"/>
    <x v="2"/>
    <x v="1"/>
    <x v="3"/>
    <x v="0"/>
    <x v="0"/>
    <x v="9"/>
    <n v="0"/>
    <n v="0"/>
    <n v="321.29599999999999"/>
    <n v="86.749920000000003"/>
    <n v="321.29599999999999"/>
    <n v="86.749920000000003"/>
    <n v="0"/>
    <x v="2"/>
    <n v="0"/>
    <n v="0"/>
    <n v="34"/>
    <n v="53"/>
    <n v="0"/>
    <n v="304.64999999999998"/>
    <n v="206.13"/>
    <m/>
    <n v="403.19134568895447"/>
    <n v="233.88925901057866"/>
    <n v="0"/>
    <n v="26428.363127999997"/>
    <n v="17881.761009599999"/>
    <n v="0"/>
    <n v="34976.816983209144"/>
    <n v="20289.874508026976"/>
  </r>
  <r>
    <s v="Sistema de Compensação"/>
    <x v="3"/>
    <x v="5"/>
    <x v="2"/>
    <x v="1"/>
    <x v="3"/>
    <x v="0"/>
    <x v="0"/>
    <x v="9"/>
    <n v="0"/>
    <n v="0"/>
    <n v="1.0580000000000001"/>
    <n v="0.28566000000000003"/>
    <n v="1.0580000000000001"/>
    <n v="0.28566000000000003"/>
    <n v="0"/>
    <x v="2"/>
    <n v="0"/>
    <n v="0"/>
    <n v="34"/>
    <n v="53"/>
    <n v="0"/>
    <n v="304.64999999999998"/>
    <n v="206.13"/>
    <m/>
    <n v="403.19134568895447"/>
    <n v="233.88925901057866"/>
    <n v="0"/>
    <n v="87.026319000000001"/>
    <n v="58.883095800000007"/>
    <n v="0"/>
    <n v="115.17563980950675"/>
    <n v="66.812805728961905"/>
  </r>
  <r>
    <s v="Regular"/>
    <x v="3"/>
    <x v="5"/>
    <x v="2"/>
    <x v="1"/>
    <x v="3"/>
    <x v="0"/>
    <x v="0"/>
    <x v="10"/>
    <n v="0"/>
    <n v="0"/>
    <n v="475.80099999999999"/>
    <n v="128.46627000000001"/>
    <n v="475.80099999999999"/>
    <n v="128.46627000000001"/>
    <n v="0"/>
    <x v="2"/>
    <n v="0"/>
    <n v="0"/>
    <n v="34"/>
    <n v="53"/>
    <n v="0"/>
    <n v="304.64999999999998"/>
    <n v="206.13"/>
    <m/>
    <n v="403.19134568895447"/>
    <n v="233.88925901057866"/>
    <n v="0"/>
    <n v="39137.249155500002"/>
    <n v="26480.752235100001"/>
    <n v="0"/>
    <n v="51796.488276940567"/>
    <n v="30046.880698152934"/>
  </r>
  <r>
    <s v="Sistema de Compensação"/>
    <x v="3"/>
    <x v="5"/>
    <x v="2"/>
    <x v="1"/>
    <x v="3"/>
    <x v="0"/>
    <x v="0"/>
    <x v="10"/>
    <n v="0"/>
    <n v="0"/>
    <n v="1.107"/>
    <n v="0.29888999999999999"/>
    <n v="1.107"/>
    <n v="0.29888999999999999"/>
    <n v="0"/>
    <x v="2"/>
    <n v="0"/>
    <n v="0"/>
    <n v="34"/>
    <n v="53"/>
    <n v="0"/>
    <n v="304.64999999999998"/>
    <n v="206.13"/>
    <m/>
    <n v="403.19134568895447"/>
    <n v="233.88925901057866"/>
    <n v="0"/>
    <n v="91.056838499999984"/>
    <n v="61.610195699999998"/>
    <n v="0"/>
    <n v="120.50986131297159"/>
    <n v="69.90716062567185"/>
  </r>
  <r>
    <s v="PROJETADO"/>
    <x v="3"/>
    <x v="5"/>
    <x v="2"/>
    <x v="1"/>
    <x v="3"/>
    <x v="0"/>
    <x v="0"/>
    <x v="11"/>
    <n v="0"/>
    <n v="0"/>
    <n v="475.80099999999999"/>
    <n v="128.46627000000001"/>
    <n v="475.80099999999999"/>
    <n v="128.46627000000001"/>
    <n v="0"/>
    <x v="2"/>
    <n v="0"/>
    <n v="0"/>
    <n v="34"/>
    <n v="53"/>
    <n v="0"/>
    <n v="304.64999999999998"/>
    <n v="206.13"/>
    <m/>
    <n v="403.19134568895447"/>
    <n v="233.88925901057866"/>
    <n v="0"/>
    <n v="39137.249155500002"/>
    <n v="26480.752235100001"/>
    <n v="0"/>
    <n v="51796.488276940567"/>
    <n v="30046.880698152934"/>
  </r>
  <r>
    <s v="PROJETADO"/>
    <x v="3"/>
    <x v="5"/>
    <x v="2"/>
    <x v="1"/>
    <x v="3"/>
    <x v="0"/>
    <x v="0"/>
    <x v="11"/>
    <n v="0"/>
    <n v="0"/>
    <n v="1.107"/>
    <n v="0.29888999999999999"/>
    <n v="1.107"/>
    <n v="0.29888999999999999"/>
    <n v="0"/>
    <x v="2"/>
    <n v="0"/>
    <n v="0"/>
    <n v="34"/>
    <n v="53"/>
    <n v="0"/>
    <n v="304.64999999999998"/>
    <n v="206.13"/>
    <m/>
    <n v="403.19134568895447"/>
    <n v="233.88925901057866"/>
    <n v="0"/>
    <n v="91.056838499999984"/>
    <n v="61.610195699999998"/>
    <n v="0"/>
    <n v="120.50986131297159"/>
    <n v="69.90716062567185"/>
  </r>
  <r>
    <s v="Regular"/>
    <x v="3"/>
    <x v="5"/>
    <x v="2"/>
    <x v="0"/>
    <x v="2"/>
    <x v="0"/>
    <x v="0"/>
    <x v="0"/>
    <n v="0"/>
    <n v="0"/>
    <n v="5373.0360000000001"/>
    <n v="5373.0360000000001"/>
    <n v="5373.0360000000001"/>
    <n v="5373.0360000000001"/>
    <n v="22764"/>
    <x v="2"/>
    <n v="0"/>
    <n v="0"/>
    <n v="34"/>
    <n v="53"/>
    <n v="0"/>
    <n v="304.64999999999998"/>
    <n v="206.13"/>
    <m/>
    <n v="403.19134568895447"/>
    <n v="233.88925901057866"/>
    <n v="0"/>
    <n v="1636895.4173999999"/>
    <n v="1107543.91068"/>
    <n v="0"/>
    <n v="2166361.6152751972"/>
    <n v="1256695.4086771635"/>
  </r>
  <r>
    <s v="Refaturamento - Regular"/>
    <x v="3"/>
    <x v="5"/>
    <x v="2"/>
    <x v="0"/>
    <x v="2"/>
    <x v="0"/>
    <x v="0"/>
    <x v="0"/>
    <n v="0"/>
    <n v="0"/>
    <n v="-0.26"/>
    <n v="-0.26"/>
    <n v="-0.26"/>
    <n v="-0.26"/>
    <n v="-2"/>
    <x v="2"/>
    <n v="0"/>
    <n v="0"/>
    <n v="34"/>
    <n v="53"/>
    <n v="0"/>
    <n v="304.64999999999998"/>
    <n v="206.13"/>
    <m/>
    <n v="403.19134568895447"/>
    <n v="233.88925901057866"/>
    <n v="0"/>
    <n v="-79.209000000000003"/>
    <n v="-53.593800000000002"/>
    <n v="0"/>
    <n v="-104.82974987912817"/>
    <n v="-60.81120734275045"/>
  </r>
  <r>
    <s v="Sistema de Compensação"/>
    <x v="3"/>
    <x v="5"/>
    <x v="2"/>
    <x v="0"/>
    <x v="2"/>
    <x v="0"/>
    <x v="0"/>
    <x v="0"/>
    <n v="0"/>
    <n v="0"/>
    <n v="83.564999999999998"/>
    <n v="83.564999999999998"/>
    <n v="83.564999999999998"/>
    <n v="83.564999999999998"/>
    <n v="152"/>
    <x v="2"/>
    <n v="0"/>
    <n v="0"/>
    <n v="34"/>
    <n v="53"/>
    <n v="0"/>
    <n v="304.64999999999998"/>
    <n v="206.13"/>
    <m/>
    <n v="403.19134568895447"/>
    <n v="233.88925901057866"/>
    <n v="0"/>
    <n v="25458.077249999998"/>
    <n v="17225.25345"/>
    <n v="0"/>
    <n v="33692.684802497482"/>
    <n v="19544.955929219006"/>
  </r>
  <r>
    <s v="Regular"/>
    <x v="3"/>
    <x v="5"/>
    <x v="2"/>
    <x v="0"/>
    <x v="2"/>
    <x v="0"/>
    <x v="0"/>
    <x v="1"/>
    <n v="0"/>
    <n v="0"/>
    <n v="4323.9170000000004"/>
    <n v="4323.9170000000004"/>
    <n v="4323.9170000000004"/>
    <n v="4323.9170000000004"/>
    <n v="22763"/>
    <x v="2"/>
    <n v="0"/>
    <n v="0"/>
    <n v="34"/>
    <n v="53"/>
    <n v="0"/>
    <n v="304.64999999999998"/>
    <n v="206.13"/>
    <m/>
    <n v="403.19134568895447"/>
    <n v="233.88925901057866"/>
    <n v="0"/>
    <n v="1317281.3140499999"/>
    <n v="891289.01121000003"/>
    <n v="0"/>
    <n v="1743365.913877347"/>
    <n v="1011317.7431532443"/>
  </r>
  <r>
    <s v="Refaturamento - Regular"/>
    <x v="3"/>
    <x v="5"/>
    <x v="2"/>
    <x v="0"/>
    <x v="2"/>
    <x v="0"/>
    <x v="0"/>
    <x v="1"/>
    <n v="0"/>
    <n v="0"/>
    <n v="-7.1609999999999996"/>
    <n v="-7.1609999999999996"/>
    <n v="-7.1609999999999996"/>
    <n v="-7.1609999999999996"/>
    <n v="-3"/>
    <x v="2"/>
    <n v="0"/>
    <n v="0"/>
    <n v="34"/>
    <n v="53"/>
    <n v="0"/>
    <n v="304.64999999999998"/>
    <n v="206.13"/>
    <m/>
    <n v="403.19134568895447"/>
    <n v="233.88925901057866"/>
    <n v="0"/>
    <n v="-2181.5986499999999"/>
    <n v="-1476.0969299999999"/>
    <n v="0"/>
    <n v="-2887.2532264786028"/>
    <n v="-1674.8809837747538"/>
  </r>
  <r>
    <s v="Sistema de Compensação"/>
    <x v="3"/>
    <x v="5"/>
    <x v="2"/>
    <x v="0"/>
    <x v="2"/>
    <x v="0"/>
    <x v="0"/>
    <x v="1"/>
    <n v="0"/>
    <n v="0"/>
    <n v="60.284999999999997"/>
    <n v="60.284999999999997"/>
    <n v="60.284999999999997"/>
    <n v="60.284999999999997"/>
    <n v="160"/>
    <x v="2"/>
    <n v="0"/>
    <n v="0"/>
    <n v="34"/>
    <n v="53"/>
    <n v="0"/>
    <n v="304.64999999999998"/>
    <n v="206.13"/>
    <m/>
    <n v="403.19134568895447"/>
    <n v="233.88925901057866"/>
    <n v="0"/>
    <n v="18365.825249999998"/>
    <n v="12426.547049999999"/>
    <n v="0"/>
    <n v="24306.390274858619"/>
    <n v="14100.013979452733"/>
  </r>
  <r>
    <s v="Regular"/>
    <x v="3"/>
    <x v="5"/>
    <x v="2"/>
    <x v="0"/>
    <x v="2"/>
    <x v="0"/>
    <x v="0"/>
    <x v="2"/>
    <n v="0"/>
    <n v="0"/>
    <n v="3880.1350000000002"/>
    <n v="3880.1350000000002"/>
    <n v="3880.1350000000002"/>
    <n v="3880.1350000000002"/>
    <n v="22750"/>
    <x v="2"/>
    <n v="0"/>
    <n v="0"/>
    <n v="34"/>
    <n v="53"/>
    <n v="0"/>
    <n v="304.64999999999998"/>
    <n v="206.13"/>
    <m/>
    <n v="403.19134568895447"/>
    <n v="233.88925901057866"/>
    <n v="0"/>
    <n v="1182083.12775"/>
    <n v="799812.22755000007"/>
    <n v="0"/>
    <n v="1564436.8521048115"/>
    <n v="907521.90001101163"/>
  </r>
  <r>
    <s v="Refaturamento - Regular"/>
    <x v="3"/>
    <x v="5"/>
    <x v="2"/>
    <x v="0"/>
    <x v="2"/>
    <x v="0"/>
    <x v="0"/>
    <x v="2"/>
    <n v="0"/>
    <n v="0"/>
    <n v="-72.650999999999996"/>
    <n v="-72.650999999999996"/>
    <n v="-72.650999999999996"/>
    <n v="-72.650999999999996"/>
    <n v="-4"/>
    <x v="2"/>
    <n v="0"/>
    <n v="0"/>
    <n v="34"/>
    <n v="53"/>
    <n v="0"/>
    <n v="304.64999999999998"/>
    <n v="206.13"/>
    <m/>
    <n v="403.19134568895447"/>
    <n v="233.88925901057866"/>
    <n v="0"/>
    <n v="-22133.127149999997"/>
    <n v="-14975.55063"/>
    <n v="0"/>
    <n v="-29292.254455648228"/>
    <n v="-16992.288556377549"/>
  </r>
  <r>
    <s v="Sistema de Compensação"/>
    <x v="3"/>
    <x v="5"/>
    <x v="2"/>
    <x v="0"/>
    <x v="2"/>
    <x v="0"/>
    <x v="0"/>
    <x v="2"/>
    <n v="0"/>
    <n v="0"/>
    <n v="83.388999999999996"/>
    <n v="83.388999999999996"/>
    <n v="83.388999999999996"/>
    <n v="83.388999999999996"/>
    <n v="169"/>
    <x v="2"/>
    <n v="0"/>
    <n v="0"/>
    <n v="34"/>
    <n v="53"/>
    <n v="0"/>
    <n v="304.64999999999998"/>
    <n v="206.13"/>
    <m/>
    <n v="403.19134568895447"/>
    <n v="233.88925901057866"/>
    <n v="0"/>
    <n v="25404.458849999995"/>
    <n v="17188.974569999998"/>
    <n v="0"/>
    <n v="33621.723125656223"/>
    <n v="19503.791419633144"/>
  </r>
  <r>
    <s v="Sistema de Compensação"/>
    <x v="3"/>
    <x v="5"/>
    <x v="2"/>
    <x v="0"/>
    <x v="2"/>
    <x v="0"/>
    <x v="0"/>
    <x v="2"/>
    <n v="0"/>
    <n v="0"/>
    <n v="-0.57999999999999996"/>
    <n v="-0.57999999999999996"/>
    <n v="-0.57999999999999996"/>
    <n v="-0.57999999999999996"/>
    <n v="0"/>
    <x v="2"/>
    <n v="0"/>
    <n v="0"/>
    <n v="34"/>
    <n v="53"/>
    <n v="0"/>
    <n v="304.64999999999998"/>
    <n v="206.13"/>
    <m/>
    <n v="403.19134568895447"/>
    <n v="233.88925901057866"/>
    <n v="0"/>
    <n v="-176.69699999999997"/>
    <n v="-119.55539999999999"/>
    <n v="0"/>
    <n v="-233.85098049959359"/>
    <n v="-135.65577022613562"/>
  </r>
  <r>
    <s v="Regular"/>
    <x v="3"/>
    <x v="5"/>
    <x v="2"/>
    <x v="0"/>
    <x v="2"/>
    <x v="0"/>
    <x v="0"/>
    <x v="3"/>
    <n v="0"/>
    <n v="0"/>
    <n v="3885.18"/>
    <n v="3885.18"/>
    <n v="3885.18"/>
    <n v="3885.18"/>
    <n v="22755"/>
    <x v="2"/>
    <n v="0"/>
    <n v="0"/>
    <n v="34"/>
    <n v="53"/>
    <n v="0"/>
    <n v="304.64999999999998"/>
    <n v="206.13"/>
    <m/>
    <n v="403.19134568895447"/>
    <n v="233.88925901057866"/>
    <n v="0"/>
    <n v="1183620.0869999998"/>
    <n v="800852.15339999995"/>
    <n v="0"/>
    <n v="1566470.952443812"/>
    <n v="908701.87132271996"/>
  </r>
  <r>
    <s v="Refaturamento - Regular"/>
    <x v="3"/>
    <x v="5"/>
    <x v="2"/>
    <x v="0"/>
    <x v="2"/>
    <x v="0"/>
    <x v="0"/>
    <x v="3"/>
    <n v="0"/>
    <n v="0"/>
    <n v="-35.954000000000001"/>
    <n v="-35.954000000000001"/>
    <n v="-35.954000000000001"/>
    <n v="-35.954000000000001"/>
    <n v="-21"/>
    <x v="2"/>
    <n v="0"/>
    <n v="0"/>
    <n v="34"/>
    <n v="53"/>
    <n v="0"/>
    <n v="304.64999999999998"/>
    <n v="206.13"/>
    <m/>
    <n v="403.19134568895447"/>
    <n v="233.88925901057866"/>
    <n v="0"/>
    <n v="-10953.3861"/>
    <n v="-7411.1980199999998"/>
    <n v="0"/>
    <n v="-14496.341642900668"/>
    <n v="-8409.2544184663457"/>
  </r>
  <r>
    <s v="Sistema de Compensação"/>
    <x v="3"/>
    <x v="5"/>
    <x v="2"/>
    <x v="0"/>
    <x v="2"/>
    <x v="0"/>
    <x v="0"/>
    <x v="3"/>
    <n v="0"/>
    <n v="0"/>
    <n v="104.20399999999999"/>
    <n v="104.20399999999999"/>
    <n v="104.20399999999999"/>
    <n v="104.20399999999999"/>
    <n v="176"/>
    <x v="2"/>
    <n v="0"/>
    <n v="0"/>
    <n v="34"/>
    <n v="53"/>
    <n v="0"/>
    <n v="304.64999999999998"/>
    <n v="206.13"/>
    <m/>
    <n v="403.19134568895447"/>
    <n v="233.88925901057866"/>
    <n v="0"/>
    <n v="31745.748599999995"/>
    <n v="21479.570519999997"/>
    <n v="0"/>
    <n v="42014.150986171808"/>
    <n v="24372.196345938337"/>
  </r>
  <r>
    <s v="Regular"/>
    <x v="3"/>
    <x v="5"/>
    <x v="2"/>
    <x v="0"/>
    <x v="2"/>
    <x v="0"/>
    <x v="0"/>
    <x v="4"/>
    <n v="0"/>
    <n v="0"/>
    <n v="3766.8429999999998"/>
    <n v="3766.8429999999998"/>
    <n v="3766.8429999999998"/>
    <n v="3766.8429999999998"/>
    <n v="22745"/>
    <x v="2"/>
    <n v="0"/>
    <n v="0"/>
    <n v="34"/>
    <n v="53"/>
    <n v="0"/>
    <n v="304.64999999999998"/>
    <n v="206.13"/>
    <m/>
    <n v="403.19134568895447"/>
    <n v="233.88925901057866"/>
    <n v="0"/>
    <n v="1147568.7199499998"/>
    <n v="776459.3475899999"/>
    <n v="0"/>
    <n v="1518758.4981690182"/>
    <n v="881024.11807918514"/>
  </r>
  <r>
    <s v="Refaturamento - Regular"/>
    <x v="3"/>
    <x v="5"/>
    <x v="2"/>
    <x v="0"/>
    <x v="2"/>
    <x v="0"/>
    <x v="0"/>
    <x v="4"/>
    <n v="0"/>
    <n v="0"/>
    <n v="-22.149000000000001"/>
    <n v="-22.149000000000001"/>
    <n v="-22.149000000000001"/>
    <n v="-22.149000000000001"/>
    <n v="-4"/>
    <x v="2"/>
    <n v="0"/>
    <n v="0"/>
    <n v="34"/>
    <n v="53"/>
    <n v="0"/>
    <n v="304.64999999999998"/>
    <n v="206.13"/>
    <m/>
    <n v="403.19134568895447"/>
    <n v="233.88925901057866"/>
    <n v="0"/>
    <n v="-6747.6928499999995"/>
    <n v="-4565.5733700000001"/>
    <n v="0"/>
    <n v="-8930.285115664652"/>
    <n v="-5180.4131978253072"/>
  </r>
  <r>
    <s v="Sistema de Compensação"/>
    <x v="3"/>
    <x v="5"/>
    <x v="2"/>
    <x v="0"/>
    <x v="2"/>
    <x v="0"/>
    <x v="0"/>
    <x v="4"/>
    <n v="0"/>
    <n v="0"/>
    <n v="94.795000000000002"/>
    <n v="94.795000000000002"/>
    <n v="94.795000000000002"/>
    <n v="94.795000000000002"/>
    <n v="192"/>
    <x v="2"/>
    <n v="0"/>
    <n v="0"/>
    <n v="34"/>
    <n v="53"/>
    <n v="0"/>
    <n v="304.64999999999998"/>
    <n v="206.13"/>
    <m/>
    <n v="403.19134568895447"/>
    <n v="233.88925901057866"/>
    <n v="0"/>
    <n v="28879.296749999998"/>
    <n v="19540.093349999999"/>
    <n v="0"/>
    <n v="38220.523614584439"/>
    <n v="22171.532307907804"/>
  </r>
  <r>
    <s v="Sistema de Compensação"/>
    <x v="3"/>
    <x v="5"/>
    <x v="2"/>
    <x v="0"/>
    <x v="2"/>
    <x v="0"/>
    <x v="0"/>
    <x v="4"/>
    <n v="0"/>
    <n v="0"/>
    <n v="-0.97799999999999998"/>
    <n v="-0.97799999999999998"/>
    <n v="-0.97799999999999998"/>
    <n v="-0.97799999999999998"/>
    <n v="0"/>
    <x v="2"/>
    <n v="0"/>
    <n v="0"/>
    <n v="34"/>
    <n v="53"/>
    <n v="0"/>
    <n v="304.64999999999998"/>
    <n v="206.13"/>
    <m/>
    <n v="403.19134568895447"/>
    <n v="233.88925901057866"/>
    <n v="0"/>
    <n v="-297.9477"/>
    <n v="-201.59513999999999"/>
    <n v="0"/>
    <n v="-394.32113608379746"/>
    <n v="-228.74369531234592"/>
  </r>
  <r>
    <s v="Regular"/>
    <x v="3"/>
    <x v="5"/>
    <x v="2"/>
    <x v="0"/>
    <x v="2"/>
    <x v="0"/>
    <x v="0"/>
    <x v="5"/>
    <n v="0"/>
    <n v="0"/>
    <n v="4080.922"/>
    <n v="4080.922"/>
    <n v="4080.922"/>
    <n v="4080.922"/>
    <n v="22652"/>
    <x v="2"/>
    <n v="0"/>
    <n v="0"/>
    <n v="34"/>
    <n v="53"/>
    <n v="0"/>
    <n v="304.64999999999998"/>
    <n v="206.13"/>
    <m/>
    <n v="403.19134568895447"/>
    <n v="233.88925901057866"/>
    <n v="0"/>
    <n v="1243252.8872999998"/>
    <n v="841200.45186000003"/>
    <n v="0"/>
    <n v="1645392.4328316594"/>
    <n v="954483.82265996863"/>
  </r>
  <r>
    <s v="Refaturamento - Regular"/>
    <x v="3"/>
    <x v="5"/>
    <x v="2"/>
    <x v="0"/>
    <x v="2"/>
    <x v="0"/>
    <x v="0"/>
    <x v="5"/>
    <n v="0"/>
    <n v="0"/>
    <n v="0.61199999999999999"/>
    <n v="0.61199999999999999"/>
    <n v="0.61199999999999999"/>
    <n v="0.61199999999999999"/>
    <n v="0"/>
    <x v="2"/>
    <n v="0"/>
    <n v="0"/>
    <n v="34"/>
    <n v="53"/>
    <n v="0"/>
    <n v="304.64999999999998"/>
    <n v="206.13"/>
    <m/>
    <n v="403.19134568895447"/>
    <n v="233.88925901057866"/>
    <n v="0"/>
    <n v="186.44579999999999"/>
    <n v="126.15155999999999"/>
    <n v="0"/>
    <n v="246.75310356164013"/>
    <n v="143.14022651447414"/>
  </r>
  <r>
    <s v="Sistema de Compensação"/>
    <x v="3"/>
    <x v="5"/>
    <x v="2"/>
    <x v="0"/>
    <x v="2"/>
    <x v="0"/>
    <x v="0"/>
    <x v="5"/>
    <n v="0"/>
    <n v="0"/>
    <n v="84.361999999999995"/>
    <n v="84.361999999999995"/>
    <n v="84.361999999999995"/>
    <n v="84.361999999999995"/>
    <n v="205"/>
    <x v="2"/>
    <n v="0"/>
    <n v="0"/>
    <n v="34"/>
    <n v="53"/>
    <n v="0"/>
    <n v="304.64999999999998"/>
    <n v="206.13"/>
    <m/>
    <n v="403.19134568895447"/>
    <n v="233.88925901057866"/>
    <n v="0"/>
    <n v="25700.883299999998"/>
    <n v="17389.539059999999"/>
    <n v="0"/>
    <n v="34014.028305011576"/>
    <n v="19731.365668650436"/>
  </r>
  <r>
    <s v="Regular"/>
    <x v="3"/>
    <x v="5"/>
    <x v="2"/>
    <x v="0"/>
    <x v="2"/>
    <x v="0"/>
    <x v="0"/>
    <x v="6"/>
    <n v="0"/>
    <n v="0"/>
    <n v="4730.3190000000004"/>
    <n v="4730.3190000000004"/>
    <n v="4730.3190000000004"/>
    <n v="4730.3190000000004"/>
    <n v="22467"/>
    <x v="2"/>
    <n v="0"/>
    <n v="0"/>
    <n v="34"/>
    <n v="53"/>
    <n v="0"/>
    <n v="304.64999999999998"/>
    <n v="206.13"/>
    <m/>
    <n v="403.19134568895447"/>
    <n v="233.88925901057866"/>
    <n v="0"/>
    <n v="1441091.6833500001"/>
    <n v="975060.65547000011"/>
    <n v="0"/>
    <n v="1907223.6831480295"/>
    <n v="1106370.8057936616"/>
  </r>
  <r>
    <s v="Refaturamento - Regular"/>
    <x v="3"/>
    <x v="5"/>
    <x v="2"/>
    <x v="0"/>
    <x v="2"/>
    <x v="0"/>
    <x v="0"/>
    <x v="6"/>
    <n v="0"/>
    <n v="0"/>
    <n v="-71.680000000000007"/>
    <n v="-71.680000000000007"/>
    <n v="-71.680000000000007"/>
    <n v="-71.680000000000007"/>
    <n v="-3"/>
    <x v="2"/>
    <n v="0"/>
    <n v="0"/>
    <n v="34"/>
    <n v="53"/>
    <n v="0"/>
    <n v="304.64999999999998"/>
    <n v="206.13"/>
    <m/>
    <n v="403.19134568895447"/>
    <n v="233.88925901057866"/>
    <n v="0"/>
    <n v="-21837.312000000002"/>
    <n v="-14775.398400000002"/>
    <n v="0"/>
    <n v="-28900.755658984261"/>
    <n v="-16765.182085878281"/>
  </r>
  <r>
    <s v="Sistema de Compensação"/>
    <x v="3"/>
    <x v="5"/>
    <x v="2"/>
    <x v="0"/>
    <x v="2"/>
    <x v="0"/>
    <x v="0"/>
    <x v="6"/>
    <n v="0"/>
    <n v="0"/>
    <n v="64.623000000000005"/>
    <n v="64.623000000000005"/>
    <n v="64.623000000000005"/>
    <n v="64.623000000000005"/>
    <n v="217"/>
    <x v="2"/>
    <n v="0"/>
    <n v="0"/>
    <n v="34"/>
    <n v="53"/>
    <n v="0"/>
    <n v="304.64999999999998"/>
    <n v="206.13"/>
    <m/>
    <n v="403.19134568895447"/>
    <n v="233.88925901057866"/>
    <n v="0"/>
    <n v="19687.396949999998"/>
    <n v="13320.73899"/>
    <n v="0"/>
    <n v="26055.434332457306"/>
    <n v="15114.625585040625"/>
  </r>
  <r>
    <s v="Regular"/>
    <x v="3"/>
    <x v="5"/>
    <x v="2"/>
    <x v="0"/>
    <x v="2"/>
    <x v="0"/>
    <x v="0"/>
    <x v="7"/>
    <n v="0"/>
    <n v="0"/>
    <n v="4794.9560000000001"/>
    <n v="4794.9560000000001"/>
    <n v="4794.9560000000001"/>
    <n v="4794.9560000000001"/>
    <n v="22387"/>
    <x v="2"/>
    <n v="0"/>
    <n v="0"/>
    <n v="34"/>
    <n v="53"/>
    <n v="0"/>
    <n v="304.64999999999998"/>
    <n v="206.13"/>
    <m/>
    <n v="403.19134568895447"/>
    <n v="233.88925901057866"/>
    <n v="0"/>
    <n v="1460783.3454"/>
    <n v="988384.28027999995"/>
    <n v="0"/>
    <n v="1933284.7621593263"/>
    <n v="1121488.7058283282"/>
  </r>
  <r>
    <s v="Refaturamento - Regular"/>
    <x v="3"/>
    <x v="5"/>
    <x v="2"/>
    <x v="0"/>
    <x v="2"/>
    <x v="0"/>
    <x v="0"/>
    <x v="7"/>
    <n v="0"/>
    <n v="0"/>
    <n v="-39.015999999999998"/>
    <n v="-39.015999999999998"/>
    <n v="-39.015999999999998"/>
    <n v="-39.015999999999998"/>
    <n v="-2"/>
    <x v="2"/>
    <n v="0"/>
    <n v="0"/>
    <n v="34"/>
    <n v="53"/>
    <n v="0"/>
    <n v="304.64999999999998"/>
    <n v="206.13"/>
    <m/>
    <n v="403.19134568895447"/>
    <n v="233.88925901057866"/>
    <n v="0"/>
    <n v="-11886.224399999999"/>
    <n v="-8042.3680799999993"/>
    <n v="0"/>
    <n v="-15730.913543400247"/>
    <n v="-9125.4233295567356"/>
  </r>
  <r>
    <s v="Sistema de Compensação"/>
    <x v="3"/>
    <x v="5"/>
    <x v="2"/>
    <x v="0"/>
    <x v="2"/>
    <x v="0"/>
    <x v="0"/>
    <x v="7"/>
    <n v="0"/>
    <n v="0"/>
    <n v="151.994"/>
    <n v="151.994"/>
    <n v="151.994"/>
    <n v="151.994"/>
    <n v="224"/>
    <x v="2"/>
    <n v="0"/>
    <n v="0"/>
    <n v="34"/>
    <n v="53"/>
    <n v="0"/>
    <n v="304.64999999999998"/>
    <n v="206.13"/>
    <m/>
    <n v="403.19134568895447"/>
    <n v="233.88925901057866"/>
    <n v="0"/>
    <n v="46304.972099999999"/>
    <n v="31330.523219999999"/>
    <n v="0"/>
    <n v="61282.665396646946"/>
    <n v="35549.764034053893"/>
  </r>
  <r>
    <s v="Regular"/>
    <x v="3"/>
    <x v="5"/>
    <x v="2"/>
    <x v="0"/>
    <x v="2"/>
    <x v="0"/>
    <x v="0"/>
    <x v="8"/>
    <n v="0"/>
    <n v="0"/>
    <n v="5064.9989999999998"/>
    <n v="5064.9989999999998"/>
    <n v="5064.9989999999998"/>
    <n v="5064.9989999999998"/>
    <n v="22501"/>
    <x v="2"/>
    <n v="0"/>
    <n v="0"/>
    <n v="34"/>
    <n v="53"/>
    <n v="0"/>
    <n v="304.64999999999998"/>
    <n v="206.13"/>
    <m/>
    <n v="403.19134568895447"/>
    <n v="233.88925901057866"/>
    <n v="0"/>
    <n v="1543051.9453499999"/>
    <n v="1044048.2438699999"/>
    <n v="0"/>
    <n v="2042163.7627232086"/>
    <n v="1184648.8629993219"/>
  </r>
  <r>
    <s v="Refaturamento - Regular"/>
    <x v="3"/>
    <x v="5"/>
    <x v="2"/>
    <x v="0"/>
    <x v="2"/>
    <x v="0"/>
    <x v="0"/>
    <x v="8"/>
    <n v="0"/>
    <n v="0"/>
    <n v="-314.42899999999997"/>
    <n v="-314.42899999999997"/>
    <n v="-314.42899999999997"/>
    <n v="-314.42899999999997"/>
    <n v="-55"/>
    <x v="2"/>
    <n v="0"/>
    <n v="0"/>
    <n v="34"/>
    <n v="53"/>
    <n v="0"/>
    <n v="304.64999999999998"/>
    <n v="206.13"/>
    <m/>
    <n v="403.19134568895447"/>
    <n v="233.88925901057866"/>
    <n v="0"/>
    <n v="-95790.794849999991"/>
    <n v="-64813.249769999995"/>
    <n v="0"/>
    <n v="-126775.05163363226"/>
    <n v="-73541.565821437223"/>
  </r>
  <r>
    <s v="Sistema de Compensação"/>
    <x v="3"/>
    <x v="5"/>
    <x v="2"/>
    <x v="0"/>
    <x v="2"/>
    <x v="0"/>
    <x v="0"/>
    <x v="8"/>
    <n v="0"/>
    <n v="0"/>
    <n v="153.38999999999999"/>
    <n v="153.38999999999999"/>
    <n v="153.38999999999999"/>
    <n v="153.38999999999999"/>
    <n v="233"/>
    <x v="2"/>
    <n v="0"/>
    <n v="0"/>
    <n v="34"/>
    <n v="53"/>
    <n v="0"/>
    <n v="304.64999999999998"/>
    <n v="206.13"/>
    <m/>
    <n v="403.19134568895447"/>
    <n v="233.88925901057866"/>
    <n v="0"/>
    <n v="46730.263499999994"/>
    <n v="31618.280699999996"/>
    <n v="0"/>
    <n v="61845.520515228724"/>
    <n v="35876.273439632656"/>
  </r>
  <r>
    <s v="Regular"/>
    <x v="3"/>
    <x v="5"/>
    <x v="2"/>
    <x v="0"/>
    <x v="2"/>
    <x v="0"/>
    <x v="0"/>
    <x v="9"/>
    <n v="0"/>
    <n v="0"/>
    <n v="4767.04"/>
    <n v="4767.04"/>
    <n v="4767.04"/>
    <n v="4767.04"/>
    <n v="22420"/>
    <x v="2"/>
    <n v="0"/>
    <n v="0"/>
    <n v="34"/>
    <n v="53"/>
    <n v="0"/>
    <n v="304.64999999999998"/>
    <n v="206.13"/>
    <m/>
    <n v="403.19134568895447"/>
    <n v="233.88925901057866"/>
    <n v="0"/>
    <n v="1452278.7359999998"/>
    <n v="982629.95519999997"/>
    <n v="0"/>
    <n v="1922029.2725530735"/>
    <n v="1114959.4532737888"/>
  </r>
  <r>
    <s v="Refaturamento - Regular"/>
    <x v="3"/>
    <x v="5"/>
    <x v="2"/>
    <x v="0"/>
    <x v="2"/>
    <x v="0"/>
    <x v="0"/>
    <x v="9"/>
    <n v="0"/>
    <n v="0"/>
    <n v="-41.344999999999999"/>
    <n v="-41.344999999999999"/>
    <n v="-41.344999999999999"/>
    <n v="-41.344999999999999"/>
    <n v="-3"/>
    <x v="2"/>
    <n v="0"/>
    <n v="0"/>
    <n v="34"/>
    <n v="53"/>
    <n v="0"/>
    <n v="304.64999999999998"/>
    <n v="206.13"/>
    <m/>
    <n v="403.19134568895447"/>
    <n v="233.88925901057866"/>
    <n v="0"/>
    <n v="-12595.754249999998"/>
    <n v="-8522.4448499999999"/>
    <n v="0"/>
    <n v="-16669.94618750982"/>
    <n v="-9670.151413792375"/>
  </r>
  <r>
    <s v="Sistema de Compensação"/>
    <x v="3"/>
    <x v="5"/>
    <x v="2"/>
    <x v="0"/>
    <x v="2"/>
    <x v="0"/>
    <x v="0"/>
    <x v="9"/>
    <n v="0"/>
    <n v="0"/>
    <n v="146.203"/>
    <n v="146.203"/>
    <n v="146.203"/>
    <n v="146.203"/>
    <n v="246"/>
    <x v="2"/>
    <n v="0"/>
    <n v="0"/>
    <n v="34"/>
    <n v="53"/>
    <n v="0"/>
    <n v="304.64999999999998"/>
    <n v="206.13"/>
    <m/>
    <n v="403.19134568895447"/>
    <n v="233.88925901057866"/>
    <n v="0"/>
    <n v="44540.743949999996"/>
    <n v="30136.824390000002"/>
    <n v="0"/>
    <n v="58947.784313762211"/>
    <n v="34195.311335123632"/>
  </r>
  <r>
    <s v="Regular"/>
    <x v="3"/>
    <x v="5"/>
    <x v="2"/>
    <x v="0"/>
    <x v="2"/>
    <x v="0"/>
    <x v="0"/>
    <x v="10"/>
    <n v="0"/>
    <n v="0"/>
    <n v="4899.8429999999998"/>
    <n v="4899.8429999999998"/>
    <n v="4899.8429999999998"/>
    <n v="4899.8429999999998"/>
    <n v="21300"/>
    <x v="2"/>
    <n v="0"/>
    <n v="0"/>
    <n v="34"/>
    <n v="53"/>
    <n v="0"/>
    <n v="304.64999999999998"/>
    <n v="206.13"/>
    <m/>
    <n v="403.19134568895447"/>
    <n v="233.88925901057866"/>
    <n v="0"/>
    <n v="1492737.1699499998"/>
    <n v="1010004.6375899999"/>
    <n v="0"/>
    <n v="1975574.2928346037"/>
    <n v="1146020.6485381706"/>
  </r>
  <r>
    <s v="Refaturamento - Regular"/>
    <x v="3"/>
    <x v="5"/>
    <x v="2"/>
    <x v="0"/>
    <x v="2"/>
    <x v="0"/>
    <x v="0"/>
    <x v="10"/>
    <n v="0"/>
    <n v="0"/>
    <n v="-4.2949999999999999"/>
    <n v="-4.2949999999999999"/>
    <n v="-4.2949999999999999"/>
    <n v="-4.2949999999999999"/>
    <n v="-5"/>
    <x v="2"/>
    <n v="0"/>
    <n v="0"/>
    <n v="34"/>
    <n v="53"/>
    <n v="0"/>
    <n v="304.64999999999998"/>
    <n v="206.13"/>
    <m/>
    <n v="403.19134568895447"/>
    <n v="233.88925901057866"/>
    <n v="0"/>
    <n v="-1308.4717499999999"/>
    <n v="-885.32835"/>
    <n v="0"/>
    <n v="-1731.7068297340595"/>
    <n v="-1004.5543674504353"/>
  </r>
  <r>
    <s v="Sistema de Compensação"/>
    <x v="3"/>
    <x v="5"/>
    <x v="2"/>
    <x v="0"/>
    <x v="2"/>
    <x v="0"/>
    <x v="0"/>
    <x v="10"/>
    <n v="0"/>
    <n v="0"/>
    <n v="157.54300000000001"/>
    <n v="157.54300000000001"/>
    <n v="157.54300000000001"/>
    <n v="157.54300000000001"/>
    <n v="257"/>
    <x v="2"/>
    <n v="0"/>
    <n v="0"/>
    <n v="34"/>
    <n v="53"/>
    <n v="0"/>
    <n v="304.64999999999998"/>
    <n v="206.13"/>
    <m/>
    <n v="403.19134568895447"/>
    <n v="233.88925901057866"/>
    <n v="0"/>
    <n v="47995.474949999996"/>
    <n v="32474.338589999999"/>
    <n v="0"/>
    <n v="63519.974173874958"/>
    <n v="36847.615532303593"/>
  </r>
  <r>
    <s v="PROJETADO"/>
    <x v="3"/>
    <x v="5"/>
    <x v="2"/>
    <x v="0"/>
    <x v="2"/>
    <x v="0"/>
    <x v="0"/>
    <x v="11"/>
    <n v="0"/>
    <n v="0"/>
    <n v="4899.8429999999998"/>
    <n v="4899.8429999999998"/>
    <n v="4899.8429999999998"/>
    <n v="4899.8429999999998"/>
    <n v="21300"/>
    <x v="2"/>
    <n v="0"/>
    <n v="0"/>
    <n v="34"/>
    <n v="53"/>
    <n v="0"/>
    <n v="304.64999999999998"/>
    <n v="206.13"/>
    <m/>
    <n v="403.19134568895447"/>
    <n v="233.88925901057866"/>
    <n v="0"/>
    <n v="1492737.1699499998"/>
    <n v="1010004.6375899999"/>
    <n v="0"/>
    <n v="1975574.2928346037"/>
    <n v="1146020.6485381706"/>
  </r>
  <r>
    <s v="PROJETADO"/>
    <x v="3"/>
    <x v="5"/>
    <x v="2"/>
    <x v="0"/>
    <x v="2"/>
    <x v="0"/>
    <x v="0"/>
    <x v="11"/>
    <n v="0"/>
    <n v="0"/>
    <n v="-4.2949999999999999"/>
    <n v="-4.2949999999999999"/>
    <n v="-4.2949999999999999"/>
    <n v="-4.2949999999999999"/>
    <n v="-5"/>
    <x v="2"/>
    <n v="0"/>
    <n v="0"/>
    <n v="34"/>
    <n v="53"/>
    <n v="0"/>
    <n v="304.64999999999998"/>
    <n v="206.13"/>
    <m/>
    <n v="403.19134568895447"/>
    <n v="233.88925901057866"/>
    <n v="0"/>
    <n v="-1308.4717499999999"/>
    <n v="-885.32835"/>
    <n v="0"/>
    <n v="-1731.7068297340595"/>
    <n v="-1004.5543674504353"/>
  </r>
  <r>
    <s v="PROJETADO"/>
    <x v="3"/>
    <x v="5"/>
    <x v="2"/>
    <x v="0"/>
    <x v="2"/>
    <x v="0"/>
    <x v="0"/>
    <x v="11"/>
    <n v="0"/>
    <n v="0"/>
    <n v="157.54300000000001"/>
    <n v="157.54300000000001"/>
    <n v="157.54300000000001"/>
    <n v="157.54300000000001"/>
    <n v="257"/>
    <x v="2"/>
    <n v="0"/>
    <n v="0"/>
    <n v="34"/>
    <n v="53"/>
    <n v="0"/>
    <n v="304.64999999999998"/>
    <n v="206.13"/>
    <m/>
    <n v="403.19134568895447"/>
    <n v="233.88925901057866"/>
    <n v="0"/>
    <n v="47995.474949999996"/>
    <n v="32474.338589999999"/>
    <n v="0"/>
    <n v="63519.974173874958"/>
    <n v="36847.615532303593"/>
  </r>
  <r>
    <s v="Regular"/>
    <x v="4"/>
    <x v="4"/>
    <x v="5"/>
    <x v="0"/>
    <x v="2"/>
    <x v="0"/>
    <x v="1"/>
    <x v="0"/>
    <n v="0"/>
    <n v="0"/>
    <n v="97.596999999999994"/>
    <n v="97.596999999999994"/>
    <n v="97.596999999999994"/>
    <n v="97.596999999999994"/>
    <n v="0"/>
    <x v="2"/>
    <n v="0"/>
    <n v="0"/>
    <n v="83"/>
    <n v="61"/>
    <n v="0"/>
    <n v="250.31"/>
    <n v="222.31"/>
    <m/>
    <n v="311.08040364641334"/>
    <n v="236.64237028527376"/>
    <n v="0"/>
    <n v="24429.505069999999"/>
    <n v="21696.789069999999"/>
    <n v="0"/>
    <n v="30360.514154679"/>
    <n v="23095.58541273186"/>
  </r>
  <r>
    <s v="Regular"/>
    <x v="4"/>
    <x v="4"/>
    <x v="5"/>
    <x v="0"/>
    <x v="2"/>
    <x v="0"/>
    <x v="1"/>
    <x v="1"/>
    <n v="0"/>
    <n v="0"/>
    <n v="95.65"/>
    <n v="95.65"/>
    <n v="95.65"/>
    <n v="95.65"/>
    <n v="0"/>
    <x v="2"/>
    <n v="0"/>
    <n v="0"/>
    <n v="83"/>
    <n v="61"/>
    <n v="0"/>
    <n v="250.31"/>
    <n v="222.31"/>
    <m/>
    <n v="311.08040364641334"/>
    <n v="236.64237028527376"/>
    <n v="0"/>
    <n v="23942.1515"/>
    <n v="21263.951500000003"/>
    <n v="0"/>
    <n v="29754.840608779439"/>
    <n v="22634.842717786436"/>
  </r>
  <r>
    <s v="Regular"/>
    <x v="4"/>
    <x v="4"/>
    <x v="5"/>
    <x v="0"/>
    <x v="2"/>
    <x v="0"/>
    <x v="1"/>
    <x v="2"/>
    <n v="0"/>
    <n v="0"/>
    <n v="92.948999999999998"/>
    <n v="92.948999999999998"/>
    <n v="92.948999999999998"/>
    <n v="92.948999999999998"/>
    <n v="0"/>
    <x v="2"/>
    <n v="0"/>
    <n v="0"/>
    <n v="83"/>
    <n v="61"/>
    <n v="0"/>
    <n v="250.31"/>
    <n v="222.31"/>
    <m/>
    <n v="311.08040364641334"/>
    <n v="236.64237028527376"/>
    <n v="0"/>
    <n v="23266.064190000001"/>
    <n v="20663.492190000001"/>
    <n v="0"/>
    <n v="28914.612438530472"/>
    <n v="21995.67167564591"/>
  </r>
  <r>
    <s v="Regular"/>
    <x v="4"/>
    <x v="4"/>
    <x v="5"/>
    <x v="0"/>
    <x v="2"/>
    <x v="0"/>
    <x v="1"/>
    <x v="3"/>
    <n v="0"/>
    <n v="0"/>
    <n v="95.912999999999997"/>
    <n v="95.912999999999997"/>
    <n v="95.912999999999997"/>
    <n v="95.912999999999997"/>
    <n v="0"/>
    <x v="2"/>
    <n v="0"/>
    <n v="0"/>
    <n v="83"/>
    <n v="61"/>
    <n v="0"/>
    <n v="250.31"/>
    <n v="222.31"/>
    <m/>
    <n v="311.08040364641334"/>
    <n v="236.64237028527376"/>
    <n v="0"/>
    <n v="24007.983029999999"/>
    <n v="21322.419030000001"/>
    <n v="0"/>
    <n v="29836.654754938441"/>
    <n v="22697.079661171461"/>
  </r>
  <r>
    <s v="Regular"/>
    <x v="4"/>
    <x v="4"/>
    <x v="5"/>
    <x v="0"/>
    <x v="2"/>
    <x v="0"/>
    <x v="1"/>
    <x v="4"/>
    <n v="0"/>
    <n v="0"/>
    <n v="96.564999999999998"/>
    <n v="96.564999999999998"/>
    <n v="96.564999999999998"/>
    <n v="96.564999999999998"/>
    <n v="0"/>
    <x v="2"/>
    <n v="0"/>
    <n v="0"/>
    <n v="83"/>
    <n v="61"/>
    <n v="0"/>
    <n v="250.31"/>
    <n v="222.31"/>
    <m/>
    <n v="311.08040364641334"/>
    <n v="236.64237028527376"/>
    <n v="0"/>
    <n v="24171.185150000001"/>
    <n v="21467.365150000001"/>
    <n v="0"/>
    <n v="30039.479178115904"/>
    <n v="22851.370486597461"/>
  </r>
  <r>
    <s v="Regular"/>
    <x v="4"/>
    <x v="4"/>
    <x v="5"/>
    <x v="0"/>
    <x v="2"/>
    <x v="0"/>
    <x v="1"/>
    <x v="5"/>
    <n v="0"/>
    <n v="0"/>
    <n v="101.881"/>
    <n v="101.881"/>
    <n v="101.881"/>
    <n v="101.881"/>
    <n v="0"/>
    <x v="2"/>
    <n v="0"/>
    <n v="0"/>
    <n v="83"/>
    <n v="61"/>
    <n v="0"/>
    <n v="250.31"/>
    <n v="222.31"/>
    <m/>
    <n v="311.08040364641334"/>
    <n v="236.64237028527376"/>
    <n v="0"/>
    <n v="25501.83311"/>
    <n v="22649.165110000002"/>
    <n v="0"/>
    <n v="31693.182603900237"/>
    <n v="24109.361327033977"/>
  </r>
  <r>
    <s v="Regular"/>
    <x v="4"/>
    <x v="4"/>
    <x v="5"/>
    <x v="0"/>
    <x v="2"/>
    <x v="0"/>
    <x v="1"/>
    <x v="6"/>
    <n v="0"/>
    <n v="0"/>
    <n v="117.217"/>
    <n v="117.217"/>
    <n v="117.217"/>
    <n v="117.217"/>
    <n v="0"/>
    <x v="2"/>
    <n v="0"/>
    <n v="0"/>
    <n v="83"/>
    <n v="61"/>
    <n v="0"/>
    <n v="250.31"/>
    <n v="222.31"/>
    <m/>
    <n v="311.08040364641334"/>
    <n v="236.64237028527376"/>
    <n v="0"/>
    <n v="29340.58727"/>
    <n v="26058.511269999999"/>
    <n v="0"/>
    <n v="36463.911674221636"/>
    <n v="27738.508717728935"/>
  </r>
  <r>
    <s v="Sistema de Compensação"/>
    <x v="4"/>
    <x v="4"/>
    <x v="5"/>
    <x v="0"/>
    <x v="2"/>
    <x v="0"/>
    <x v="1"/>
    <x v="6"/>
    <n v="0"/>
    <n v="0"/>
    <n v="0.78300000000000003"/>
    <n v="0.78300000000000003"/>
    <n v="0.78300000000000003"/>
    <n v="0.78300000000000003"/>
    <n v="0"/>
    <x v="2"/>
    <n v="0"/>
    <n v="0"/>
    <n v="83"/>
    <n v="61"/>
    <n v="0"/>
    <n v="250.31"/>
    <n v="222.31"/>
    <m/>
    <n v="311.08040364641334"/>
    <n v="236.64237028527376"/>
    <n v="0"/>
    <n v="195.99273000000002"/>
    <n v="174.06873000000002"/>
    <n v="0"/>
    <n v="243.57595605514166"/>
    <n v="185.29097593336937"/>
  </r>
  <r>
    <s v="Regular"/>
    <x v="4"/>
    <x v="4"/>
    <x v="5"/>
    <x v="0"/>
    <x v="2"/>
    <x v="0"/>
    <x v="1"/>
    <x v="7"/>
    <n v="0"/>
    <n v="0"/>
    <n v="118.175"/>
    <n v="118.175"/>
    <n v="118.175"/>
    <n v="118.175"/>
    <n v="0"/>
    <x v="2"/>
    <n v="0"/>
    <n v="0"/>
    <n v="83"/>
    <n v="61"/>
    <n v="0"/>
    <n v="250.31"/>
    <n v="222.31"/>
    <m/>
    <n v="311.08040364641334"/>
    <n v="236.64237028527376"/>
    <n v="0"/>
    <n v="29580.384249999999"/>
    <n v="26271.484250000001"/>
    <n v="0"/>
    <n v="36761.926700914897"/>
    <n v="27965.212108462227"/>
  </r>
  <r>
    <s v="Regular"/>
    <x v="4"/>
    <x v="4"/>
    <x v="5"/>
    <x v="0"/>
    <x v="2"/>
    <x v="0"/>
    <x v="1"/>
    <x v="8"/>
    <n v="0"/>
    <n v="0"/>
    <n v="127.02500000000001"/>
    <n v="127.02500000000001"/>
    <n v="127.02500000000001"/>
    <n v="127.02500000000001"/>
    <n v="0"/>
    <x v="2"/>
    <n v="0"/>
    <n v="0"/>
    <n v="83"/>
    <n v="61"/>
    <n v="0"/>
    <n v="250.31"/>
    <n v="222.31"/>
    <m/>
    <n v="311.08040364641334"/>
    <n v="236.64237028527376"/>
    <n v="0"/>
    <n v="31795.627750000003"/>
    <n v="28238.927750000003"/>
    <n v="0"/>
    <n v="39514.988273185656"/>
    <n v="30059.497085486899"/>
  </r>
  <r>
    <s v="Regular"/>
    <x v="4"/>
    <x v="4"/>
    <x v="5"/>
    <x v="0"/>
    <x v="2"/>
    <x v="0"/>
    <x v="1"/>
    <x v="9"/>
    <n v="0"/>
    <n v="0"/>
    <n v="123.901"/>
    <n v="123.901"/>
    <n v="123.901"/>
    <n v="123.901"/>
    <n v="0"/>
    <x v="2"/>
    <n v="0"/>
    <n v="0"/>
    <n v="83"/>
    <n v="61"/>
    <n v="0"/>
    <n v="250.31"/>
    <n v="222.31"/>
    <m/>
    <n v="311.08040364641334"/>
    <n v="236.64237028527376"/>
    <n v="0"/>
    <n v="31013.659309999999"/>
    <n v="27544.43131"/>
    <n v="0"/>
    <n v="38543.173092194258"/>
    <n v="29320.226320715701"/>
  </r>
  <r>
    <s v="Sistema de Compensação"/>
    <x v="4"/>
    <x v="4"/>
    <x v="5"/>
    <x v="0"/>
    <x v="2"/>
    <x v="0"/>
    <x v="1"/>
    <x v="9"/>
    <n v="0"/>
    <n v="0"/>
    <n v="1.1459999999999999"/>
    <n v="1.1459999999999999"/>
    <n v="1.1459999999999999"/>
    <n v="1.1459999999999999"/>
    <n v="0"/>
    <x v="2"/>
    <n v="0"/>
    <n v="0"/>
    <n v="83"/>
    <n v="61"/>
    <n v="0"/>
    <n v="250.31"/>
    <n v="222.31"/>
    <m/>
    <n v="311.08040364641334"/>
    <n v="236.64237028527376"/>
    <n v="0"/>
    <n v="286.85525999999999"/>
    <n v="254.76725999999999"/>
    <n v="0"/>
    <n v="356.49814257878967"/>
    <n v="271.1921563469237"/>
  </r>
  <r>
    <s v="Regular"/>
    <x v="4"/>
    <x v="4"/>
    <x v="5"/>
    <x v="0"/>
    <x v="2"/>
    <x v="0"/>
    <x v="1"/>
    <x v="10"/>
    <n v="0"/>
    <n v="0"/>
    <n v="116.524"/>
    <n v="116.524"/>
    <n v="116.524"/>
    <n v="116.524"/>
    <n v="0"/>
    <x v="2"/>
    <n v="0"/>
    <n v="0"/>
    <n v="83"/>
    <n v="61"/>
    <n v="0"/>
    <n v="250.31"/>
    <n v="222.31"/>
    <m/>
    <n v="311.08040364641334"/>
    <n v="236.64237028527376"/>
    <n v="0"/>
    <n v="29167.122439999999"/>
    <n v="25904.450440000001"/>
    <n v="0"/>
    <n v="36248.332954494668"/>
    <n v="27574.515555121241"/>
  </r>
  <r>
    <s v="PROJETADO"/>
    <x v="4"/>
    <x v="4"/>
    <x v="5"/>
    <x v="0"/>
    <x v="2"/>
    <x v="0"/>
    <x v="1"/>
    <x v="11"/>
    <n v="0"/>
    <n v="0"/>
    <n v="116.524"/>
    <n v="116.524"/>
    <n v="116.524"/>
    <n v="116.524"/>
    <n v="0"/>
    <x v="2"/>
    <n v="0"/>
    <n v="0"/>
    <n v="83"/>
    <n v="61"/>
    <n v="0"/>
    <n v="250.31"/>
    <n v="222.31"/>
    <m/>
    <n v="311.08040364641334"/>
    <n v="236.64237028527376"/>
    <n v="0"/>
    <n v="29167.122439999999"/>
    <n v="25904.450440000001"/>
    <n v="0"/>
    <n v="36248.332954494668"/>
    <n v="27574.515555121241"/>
  </r>
  <r>
    <s v="Regular"/>
    <x v="4"/>
    <x v="4"/>
    <x v="5"/>
    <x v="0"/>
    <x v="2"/>
    <x v="0"/>
    <x v="3"/>
    <x v="0"/>
    <n v="0"/>
    <n v="0"/>
    <n v="5.09"/>
    <n v="5.09"/>
    <n v="5.09"/>
    <n v="5.09"/>
    <n v="0"/>
    <x v="2"/>
    <n v="0"/>
    <n v="0"/>
    <n v="82"/>
    <n v="60"/>
    <n v="0"/>
    <n v="606.46"/>
    <n v="222.31"/>
    <m/>
    <n v="748.79598076565946"/>
    <n v="236.64237028527376"/>
    <n v="0"/>
    <n v="3086.8814000000002"/>
    <n v="1131.5579"/>
    <n v="0"/>
    <n v="3811.3715420972067"/>
    <n v="1204.5096647520434"/>
  </r>
  <r>
    <s v="Regular"/>
    <x v="4"/>
    <x v="4"/>
    <x v="5"/>
    <x v="0"/>
    <x v="2"/>
    <x v="0"/>
    <x v="3"/>
    <x v="1"/>
    <n v="0"/>
    <n v="0"/>
    <n v="4.9470000000000001"/>
    <n v="4.9470000000000001"/>
    <n v="4.9470000000000001"/>
    <n v="4.9470000000000001"/>
    <n v="0"/>
    <x v="2"/>
    <n v="0"/>
    <n v="0"/>
    <n v="82"/>
    <n v="60"/>
    <n v="0"/>
    <n v="606.46"/>
    <n v="222.31"/>
    <m/>
    <n v="748.79598076565946"/>
    <n v="236.64237028527376"/>
    <n v="0"/>
    <n v="3000.1576200000004"/>
    <n v="1099.76757"/>
    <n v="0"/>
    <n v="3704.2937168477174"/>
    <n v="1170.6698058012494"/>
  </r>
  <r>
    <s v="Regular"/>
    <x v="4"/>
    <x v="4"/>
    <x v="5"/>
    <x v="0"/>
    <x v="2"/>
    <x v="0"/>
    <x v="3"/>
    <x v="2"/>
    <n v="0"/>
    <n v="0"/>
    <n v="4.702"/>
    <n v="4.702"/>
    <n v="4.702"/>
    <n v="4.702"/>
    <n v="0"/>
    <x v="2"/>
    <n v="0"/>
    <n v="0"/>
    <n v="82"/>
    <n v="60"/>
    <n v="0"/>
    <n v="606.46"/>
    <n v="222.31"/>
    <m/>
    <n v="748.79598076565946"/>
    <n v="236.64237028527376"/>
    <n v="0"/>
    <n v="2851.57492"/>
    <n v="1045.30162"/>
    <n v="0"/>
    <n v="3520.8387015601306"/>
    <n v="1112.6924250813572"/>
  </r>
  <r>
    <s v="Regular"/>
    <x v="4"/>
    <x v="4"/>
    <x v="5"/>
    <x v="0"/>
    <x v="2"/>
    <x v="0"/>
    <x v="3"/>
    <x v="3"/>
    <n v="0"/>
    <n v="0"/>
    <n v="5.1050000000000004"/>
    <n v="5.1050000000000004"/>
    <n v="5.1050000000000004"/>
    <n v="5.1050000000000004"/>
    <n v="0"/>
    <x v="2"/>
    <n v="0"/>
    <n v="0"/>
    <n v="82"/>
    <n v="60"/>
    <n v="0"/>
    <n v="606.46"/>
    <n v="222.31"/>
    <m/>
    <n v="748.79598076565946"/>
    <n v="236.64237028527376"/>
    <n v="0"/>
    <n v="3095.9783000000002"/>
    <n v="1134.89255"/>
    <n v="0"/>
    <n v="3822.6034818086919"/>
    <n v="1208.0593003063227"/>
  </r>
  <r>
    <s v="Regular"/>
    <x v="4"/>
    <x v="4"/>
    <x v="5"/>
    <x v="0"/>
    <x v="2"/>
    <x v="0"/>
    <x v="3"/>
    <x v="4"/>
    <n v="0"/>
    <n v="0"/>
    <n v="5.3280000000000003"/>
    <n v="5.3280000000000003"/>
    <n v="5.3280000000000003"/>
    <n v="5.3280000000000003"/>
    <n v="0"/>
    <x v="2"/>
    <n v="0"/>
    <n v="0"/>
    <n v="82"/>
    <n v="60"/>
    <n v="0"/>
    <n v="606.46"/>
    <n v="222.31"/>
    <m/>
    <n v="748.79598076565946"/>
    <n v="236.64237028527376"/>
    <n v="0"/>
    <n v="3231.2188800000004"/>
    <n v="1184.46768"/>
    <n v="0"/>
    <n v="3989.5849855194338"/>
    <n v="1260.8305488799385"/>
  </r>
  <r>
    <s v="Regular"/>
    <x v="4"/>
    <x v="4"/>
    <x v="5"/>
    <x v="0"/>
    <x v="2"/>
    <x v="0"/>
    <x v="3"/>
    <x v="5"/>
    <n v="0"/>
    <n v="0"/>
    <n v="5.383"/>
    <n v="5.383"/>
    <n v="5.383"/>
    <n v="5.383"/>
    <n v="0"/>
    <x v="2"/>
    <n v="0"/>
    <n v="0"/>
    <n v="82"/>
    <n v="60"/>
    <n v="0"/>
    <n v="606.46"/>
    <n v="222.31"/>
    <m/>
    <n v="748.79598076565946"/>
    <n v="236.64237028527376"/>
    <n v="0"/>
    <n v="3264.5741800000001"/>
    <n v="1196.6947299999999"/>
    <n v="0"/>
    <n v="4030.7687644615448"/>
    <n v="1273.8458792456286"/>
  </r>
  <r>
    <s v="Regular"/>
    <x v="4"/>
    <x v="4"/>
    <x v="5"/>
    <x v="0"/>
    <x v="2"/>
    <x v="0"/>
    <x v="3"/>
    <x v="6"/>
    <n v="0"/>
    <n v="0"/>
    <n v="6.2469999999999999"/>
    <n v="6.2469999999999999"/>
    <n v="6.2469999999999999"/>
    <n v="6.2469999999999999"/>
    <n v="0"/>
    <x v="2"/>
    <n v="0"/>
    <n v="0"/>
    <n v="82"/>
    <n v="60"/>
    <n v="0"/>
    <n v="606.46"/>
    <n v="222.31"/>
    <m/>
    <n v="748.79598076565946"/>
    <n v="236.64237028527376"/>
    <n v="0"/>
    <n v="3788.5556200000001"/>
    <n v="1388.7705699999999"/>
    <n v="0"/>
    <n v="4677.7284918430742"/>
    <n v="1478.3048871721051"/>
  </r>
  <r>
    <s v="Sistema de Compensação"/>
    <x v="4"/>
    <x v="4"/>
    <x v="5"/>
    <x v="0"/>
    <x v="2"/>
    <x v="0"/>
    <x v="3"/>
    <x v="6"/>
    <n v="0"/>
    <n v="0"/>
    <n v="2.8000000000000001E-2"/>
    <n v="2.8000000000000001E-2"/>
    <n v="2.8000000000000001E-2"/>
    <n v="2.8000000000000001E-2"/>
    <n v="0"/>
    <x v="2"/>
    <n v="0"/>
    <n v="0"/>
    <n v="82"/>
    <n v="60"/>
    <n v="0"/>
    <n v="606.46"/>
    <n v="222.31"/>
    <m/>
    <n v="748.79598076565946"/>
    <n v="236.64237028527376"/>
    <n v="0"/>
    <n v="16.980880000000003"/>
    <n v="6.2246800000000002"/>
    <n v="0"/>
    <n v="20.966287461438466"/>
    <n v="6.6259863679876654"/>
  </r>
  <r>
    <s v="Regular"/>
    <x v="4"/>
    <x v="4"/>
    <x v="5"/>
    <x v="0"/>
    <x v="2"/>
    <x v="0"/>
    <x v="3"/>
    <x v="7"/>
    <n v="0"/>
    <n v="0"/>
    <n v="5.9210000000000003"/>
    <n v="5.9210000000000003"/>
    <n v="5.9210000000000003"/>
    <n v="5.9210000000000003"/>
    <n v="0"/>
    <x v="2"/>
    <n v="0"/>
    <n v="0"/>
    <n v="82"/>
    <n v="60"/>
    <n v="0"/>
    <n v="606.46"/>
    <n v="222.31"/>
    <m/>
    <n v="748.79598076565946"/>
    <n v="236.64237028527376"/>
    <n v="0"/>
    <n v="3590.8496600000003"/>
    <n v="1316.2975100000001"/>
    <n v="0"/>
    <n v="4433.6210021134702"/>
    <n v="1401.1594744591059"/>
  </r>
  <r>
    <s v="Regular"/>
    <x v="4"/>
    <x v="4"/>
    <x v="5"/>
    <x v="0"/>
    <x v="2"/>
    <x v="0"/>
    <x v="3"/>
    <x v="8"/>
    <n v="0"/>
    <n v="0"/>
    <n v="6.5469999999999997"/>
    <n v="6.5469999999999997"/>
    <n v="6.5469999999999997"/>
    <n v="6.5469999999999997"/>
    <n v="0"/>
    <x v="2"/>
    <n v="0"/>
    <n v="0"/>
    <n v="82"/>
    <n v="60"/>
    <n v="0"/>
    <n v="606.46"/>
    <n v="222.31"/>
    <m/>
    <n v="748.79598076565946"/>
    <n v="236.64237028527376"/>
    <n v="0"/>
    <n v="3970.4936200000002"/>
    <n v="1455.4635699999999"/>
    <n v="0"/>
    <n v="4902.367286072772"/>
    <n v="1549.2975982576872"/>
  </r>
  <r>
    <s v="Regular"/>
    <x v="4"/>
    <x v="4"/>
    <x v="5"/>
    <x v="0"/>
    <x v="2"/>
    <x v="0"/>
    <x v="3"/>
    <x v="9"/>
    <n v="0"/>
    <n v="0"/>
    <n v="6.1669999999999998"/>
    <n v="6.1669999999999998"/>
    <n v="6.1669999999999998"/>
    <n v="6.1669999999999998"/>
    <n v="0"/>
    <x v="2"/>
    <n v="0"/>
    <n v="0"/>
    <n v="82"/>
    <n v="60"/>
    <n v="0"/>
    <n v="606.46"/>
    <n v="222.31"/>
    <m/>
    <n v="748.79598076565946"/>
    <n v="236.64237028527376"/>
    <n v="0"/>
    <n v="3740.0388200000002"/>
    <n v="1370.98577"/>
    <n v="0"/>
    <n v="4617.8248133818215"/>
    <n v="1459.3734975492832"/>
  </r>
  <r>
    <s v="Sistema de Compensação"/>
    <x v="4"/>
    <x v="4"/>
    <x v="5"/>
    <x v="0"/>
    <x v="2"/>
    <x v="0"/>
    <x v="3"/>
    <x v="9"/>
    <n v="0"/>
    <n v="0"/>
    <n v="7.1999999999999995E-2"/>
    <n v="7.1999999999999995E-2"/>
    <n v="7.1999999999999995E-2"/>
    <n v="7.1999999999999995E-2"/>
    <n v="0"/>
    <x v="2"/>
    <n v="0"/>
    <n v="0"/>
    <n v="82"/>
    <n v="60"/>
    <n v="0"/>
    <n v="606.46"/>
    <n v="222.31"/>
    <m/>
    <n v="748.79598076565946"/>
    <n v="236.64237028527376"/>
    <n v="0"/>
    <n v="43.665120000000002"/>
    <n v="16.006319999999999"/>
    <n v="0"/>
    <n v="53.913310615127479"/>
    <n v="17.03825066053971"/>
  </r>
  <r>
    <s v="Regular"/>
    <x v="4"/>
    <x v="4"/>
    <x v="5"/>
    <x v="0"/>
    <x v="2"/>
    <x v="0"/>
    <x v="3"/>
    <x v="10"/>
    <n v="0"/>
    <n v="0"/>
    <n v="6.37"/>
    <n v="6.37"/>
    <n v="6.37"/>
    <n v="6.37"/>
    <n v="0"/>
    <x v="2"/>
    <n v="0"/>
    <n v="0"/>
    <n v="82"/>
    <n v="60"/>
    <n v="0"/>
    <n v="606.46"/>
    <n v="222.31"/>
    <m/>
    <n v="748.79598076565946"/>
    <n v="236.64237028527376"/>
    <n v="0"/>
    <n v="3863.1502000000005"/>
    <n v="1416.1147000000001"/>
    <n v="0"/>
    <n v="4769.8303974772507"/>
    <n v="1507.4118987171939"/>
  </r>
  <r>
    <s v="PROJETADO"/>
    <x v="4"/>
    <x v="4"/>
    <x v="5"/>
    <x v="0"/>
    <x v="2"/>
    <x v="0"/>
    <x v="3"/>
    <x v="11"/>
    <n v="0"/>
    <n v="0"/>
    <n v="6.37"/>
    <n v="6.37"/>
    <n v="6.37"/>
    <n v="6.37"/>
    <n v="0"/>
    <x v="2"/>
    <n v="0"/>
    <n v="0"/>
    <n v="82"/>
    <n v="60"/>
    <n v="0"/>
    <n v="606.46"/>
    <n v="222.31"/>
    <m/>
    <n v="748.79598076565946"/>
    <n v="236.64237028527376"/>
    <n v="0"/>
    <n v="3863.1502000000005"/>
    <n v="1416.1147000000001"/>
    <n v="0"/>
    <n v="4769.8303974772507"/>
    <n v="1507.4118987171939"/>
  </r>
  <r>
    <s v="Regular"/>
    <x v="4"/>
    <x v="4"/>
    <x v="5"/>
    <x v="0"/>
    <x v="2"/>
    <x v="0"/>
    <x v="2"/>
    <x v="0"/>
    <n v="0"/>
    <n v="0"/>
    <n v="7.1260000000000003"/>
    <n v="7.1260000000000003"/>
    <n v="7.1260000000000003"/>
    <n v="7.1260000000000003"/>
    <n v="0"/>
    <x v="2"/>
    <n v="0"/>
    <n v="0"/>
    <n v="42"/>
    <n v="59"/>
    <n v="0"/>
    <n v="962.61"/>
    <n v="365.5"/>
    <m/>
    <n v="1186.5115578849059"/>
    <n v="382.75425465660959"/>
    <n v="0"/>
    <n v="6859.5588600000001"/>
    <n v="2604.5530000000003"/>
    <n v="0"/>
    <n v="8455.0813614878389"/>
    <n v="2727.5068186829999"/>
  </r>
  <r>
    <s v="Regular"/>
    <x v="4"/>
    <x v="4"/>
    <x v="5"/>
    <x v="0"/>
    <x v="2"/>
    <x v="0"/>
    <x v="2"/>
    <x v="1"/>
    <n v="0"/>
    <n v="0"/>
    <n v="6.9219999999999997"/>
    <n v="6.9219999999999997"/>
    <n v="6.9219999999999997"/>
    <n v="6.9219999999999997"/>
    <n v="0"/>
    <x v="2"/>
    <n v="0"/>
    <n v="0"/>
    <n v="42"/>
    <n v="59"/>
    <n v="0"/>
    <n v="962.61"/>
    <n v="365.5"/>
    <m/>
    <n v="1186.5115578849059"/>
    <n v="382.75425465660959"/>
    <n v="0"/>
    <n v="6663.18642"/>
    <n v="2529.991"/>
    <n v="0"/>
    <n v="8213.0330036793184"/>
    <n v="2649.4249507330514"/>
  </r>
  <r>
    <s v="Regular"/>
    <x v="4"/>
    <x v="4"/>
    <x v="5"/>
    <x v="0"/>
    <x v="2"/>
    <x v="0"/>
    <x v="2"/>
    <x v="2"/>
    <n v="0"/>
    <n v="0"/>
    <n v="7.1859999999999999"/>
    <n v="7.1859999999999999"/>
    <n v="7.1859999999999999"/>
    <n v="7.1859999999999999"/>
    <n v="0"/>
    <x v="2"/>
    <n v="0"/>
    <n v="0"/>
    <n v="42"/>
    <n v="59"/>
    <n v="0"/>
    <n v="962.61"/>
    <n v="365.5"/>
    <m/>
    <n v="1186.5115578849059"/>
    <n v="382.75425465660959"/>
    <n v="0"/>
    <n v="6917.3154599999998"/>
    <n v="2626.4830000000002"/>
    <n v="0"/>
    <n v="8526.272054960933"/>
    <n v="2750.4720739623963"/>
  </r>
  <r>
    <s v="Regular"/>
    <x v="4"/>
    <x v="4"/>
    <x v="5"/>
    <x v="0"/>
    <x v="2"/>
    <x v="0"/>
    <x v="2"/>
    <x v="3"/>
    <n v="0"/>
    <n v="0"/>
    <n v="7.8330000000000002"/>
    <n v="7.8330000000000002"/>
    <n v="7.8330000000000002"/>
    <n v="7.8330000000000002"/>
    <n v="0"/>
    <x v="2"/>
    <n v="0"/>
    <n v="0"/>
    <n v="42"/>
    <n v="59"/>
    <n v="0"/>
    <n v="962.61"/>
    <n v="365.5"/>
    <m/>
    <n v="1186.5115578849059"/>
    <n v="382.75425465660959"/>
    <n v="0"/>
    <n v="7540.1241300000002"/>
    <n v="2862.9614999999999"/>
    <n v="0"/>
    <n v="9293.9450329124684"/>
    <n v="2998.1140767252232"/>
  </r>
  <r>
    <s v="Regular"/>
    <x v="4"/>
    <x v="4"/>
    <x v="5"/>
    <x v="0"/>
    <x v="2"/>
    <x v="0"/>
    <x v="2"/>
    <x v="4"/>
    <n v="0"/>
    <n v="0"/>
    <n v="8.5350000000000001"/>
    <n v="8.5350000000000001"/>
    <n v="8.5350000000000001"/>
    <n v="8.5350000000000001"/>
    <n v="0"/>
    <x v="2"/>
    <n v="0"/>
    <n v="0"/>
    <n v="42"/>
    <n v="59"/>
    <n v="0"/>
    <n v="962.61"/>
    <n v="365.5"/>
    <m/>
    <n v="1186.5115578849059"/>
    <n v="382.75425465660959"/>
    <n v="0"/>
    <n v="8215.8763500000005"/>
    <n v="3119.5425"/>
    <n v="0"/>
    <n v="10126.876146547671"/>
    <n v="3266.8075634941629"/>
  </r>
  <r>
    <s v="Regular"/>
    <x v="4"/>
    <x v="4"/>
    <x v="5"/>
    <x v="0"/>
    <x v="2"/>
    <x v="0"/>
    <x v="2"/>
    <x v="5"/>
    <n v="0"/>
    <n v="0"/>
    <n v="8.9109999999999996"/>
    <n v="8.9109999999999996"/>
    <n v="8.9109999999999996"/>
    <n v="8.9109999999999996"/>
    <n v="0"/>
    <x v="2"/>
    <n v="0"/>
    <n v="0"/>
    <n v="42"/>
    <n v="59"/>
    <n v="0"/>
    <n v="962.61"/>
    <n v="365.5"/>
    <m/>
    <n v="1186.5115578849059"/>
    <n v="382.75425465660959"/>
    <n v="0"/>
    <n v="8577.8177099999994"/>
    <n v="3256.9704999999999"/>
    <n v="0"/>
    <n v="10573.004492312395"/>
    <n v="3410.723163245048"/>
  </r>
  <r>
    <s v="Regular"/>
    <x v="4"/>
    <x v="4"/>
    <x v="5"/>
    <x v="0"/>
    <x v="2"/>
    <x v="0"/>
    <x v="2"/>
    <x v="6"/>
    <n v="0"/>
    <n v="0"/>
    <n v="9.76"/>
    <n v="9.76"/>
    <n v="9.76"/>
    <n v="9.76"/>
    <n v="0"/>
    <x v="2"/>
    <n v="0"/>
    <n v="0"/>
    <n v="42"/>
    <n v="59"/>
    <n v="0"/>
    <n v="962.61"/>
    <n v="365.5"/>
    <m/>
    <n v="1186.5115578849059"/>
    <n v="382.75425465660959"/>
    <n v="0"/>
    <n v="9395.0735999999997"/>
    <n v="3567.2799999999997"/>
    <n v="0"/>
    <n v="11580.352804956681"/>
    <n v="3735.6815254485095"/>
  </r>
  <r>
    <s v="Sistema de Compensação"/>
    <x v="4"/>
    <x v="4"/>
    <x v="5"/>
    <x v="0"/>
    <x v="2"/>
    <x v="0"/>
    <x v="2"/>
    <x v="6"/>
    <n v="0"/>
    <n v="0"/>
    <n v="2.5999999999999999E-2"/>
    <n v="2.5999999999999999E-2"/>
    <n v="2.5999999999999999E-2"/>
    <n v="2.5999999999999999E-2"/>
    <n v="0"/>
    <x v="2"/>
    <n v="0"/>
    <n v="0"/>
    <n v="42"/>
    <n v="59"/>
    <n v="0"/>
    <n v="962.61"/>
    <n v="365.5"/>
    <m/>
    <n v="1186.5115578849059"/>
    <n v="382.75425465660959"/>
    <n v="0"/>
    <n v="25.02786"/>
    <n v="9.5030000000000001"/>
    <n v="0"/>
    <n v="30.849300505007552"/>
    <n v="9.9516106210718487"/>
  </r>
  <r>
    <s v="Regular"/>
    <x v="4"/>
    <x v="4"/>
    <x v="5"/>
    <x v="0"/>
    <x v="2"/>
    <x v="0"/>
    <x v="2"/>
    <x v="7"/>
    <n v="0"/>
    <n v="0"/>
    <n v="8.2430000000000003"/>
    <n v="8.2430000000000003"/>
    <n v="8.2430000000000003"/>
    <n v="8.2430000000000003"/>
    <n v="0"/>
    <x v="2"/>
    <n v="0"/>
    <n v="0"/>
    <n v="42"/>
    <n v="59"/>
    <n v="0"/>
    <n v="962.61"/>
    <n v="365.5"/>
    <m/>
    <n v="1186.5115578849059"/>
    <n v="382.75425465660959"/>
    <n v="0"/>
    <n v="7934.7942300000004"/>
    <n v="3012.8164999999999"/>
    <n v="0"/>
    <n v="9780.414771645279"/>
    <n v="3155.043321134433"/>
  </r>
  <r>
    <s v="Regular"/>
    <x v="4"/>
    <x v="4"/>
    <x v="5"/>
    <x v="0"/>
    <x v="2"/>
    <x v="0"/>
    <x v="2"/>
    <x v="8"/>
    <n v="0"/>
    <n v="0"/>
    <n v="9.0890000000000004"/>
    <n v="9.0890000000000004"/>
    <n v="9.0890000000000004"/>
    <n v="9.0890000000000004"/>
    <n v="0"/>
    <x v="2"/>
    <n v="0"/>
    <n v="0"/>
    <n v="42"/>
    <n v="59"/>
    <n v="0"/>
    <n v="962.61"/>
    <n v="365.5"/>
    <m/>
    <n v="1186.5115578849059"/>
    <n v="382.75425465660959"/>
    <n v="0"/>
    <n v="8749.1622900000002"/>
    <n v="3322.0295000000001"/>
    <n v="0"/>
    <n v="10784.20354961591"/>
    <n v="3478.8534205739247"/>
  </r>
  <r>
    <s v="Regular"/>
    <x v="4"/>
    <x v="4"/>
    <x v="5"/>
    <x v="0"/>
    <x v="2"/>
    <x v="0"/>
    <x v="2"/>
    <x v="9"/>
    <n v="0"/>
    <n v="0"/>
    <n v="9.5449999999999999"/>
    <n v="9.5449999999999999"/>
    <n v="9.5449999999999999"/>
    <n v="9.5449999999999999"/>
    <n v="0"/>
    <x v="2"/>
    <n v="0"/>
    <n v="0"/>
    <n v="42"/>
    <n v="59"/>
    <n v="0"/>
    <n v="962.61"/>
    <n v="365.5"/>
    <m/>
    <n v="1186.5115578849059"/>
    <n v="382.75425465660959"/>
    <n v="0"/>
    <n v="9188.1124500000005"/>
    <n v="3488.6974999999998"/>
    <n v="0"/>
    <n v="11325.252820011427"/>
    <n v="3653.3893606973384"/>
  </r>
  <r>
    <s v="Sistema de Compensação"/>
    <x v="4"/>
    <x v="4"/>
    <x v="5"/>
    <x v="0"/>
    <x v="2"/>
    <x v="0"/>
    <x v="2"/>
    <x v="9"/>
    <n v="0"/>
    <n v="0"/>
    <n v="7.1999999999999995E-2"/>
    <n v="7.1999999999999995E-2"/>
    <n v="7.1999999999999995E-2"/>
    <n v="7.1999999999999995E-2"/>
    <n v="0"/>
    <x v="2"/>
    <n v="0"/>
    <n v="0"/>
    <n v="42"/>
    <n v="59"/>
    <n v="0"/>
    <n v="962.61"/>
    <n v="365.5"/>
    <m/>
    <n v="1186.5115578849059"/>
    <n v="382.75425465660959"/>
    <n v="0"/>
    <n v="69.307919999999996"/>
    <n v="26.315999999999999"/>
    <n v="0"/>
    <n v="85.42883216771321"/>
    <n v="27.558306335275887"/>
  </r>
  <r>
    <s v="Regular"/>
    <x v="4"/>
    <x v="4"/>
    <x v="5"/>
    <x v="0"/>
    <x v="2"/>
    <x v="0"/>
    <x v="2"/>
    <x v="10"/>
    <n v="0"/>
    <n v="0"/>
    <n v="8.7550000000000008"/>
    <n v="8.7550000000000008"/>
    <n v="8.7550000000000008"/>
    <n v="8.7550000000000008"/>
    <n v="0"/>
    <x v="2"/>
    <n v="0"/>
    <n v="0"/>
    <n v="42"/>
    <n v="59"/>
    <n v="0"/>
    <n v="962.61"/>
    <n v="365.5"/>
    <m/>
    <n v="1186.5115578849059"/>
    <n v="382.75425465660959"/>
    <n v="0"/>
    <n v="8427.6505500000003"/>
    <n v="3199.9525000000003"/>
    <n v="0"/>
    <n v="10387.908689282352"/>
    <n v="3351.0134995186172"/>
  </r>
  <r>
    <s v="PROJETADO"/>
    <x v="4"/>
    <x v="4"/>
    <x v="5"/>
    <x v="0"/>
    <x v="2"/>
    <x v="0"/>
    <x v="2"/>
    <x v="11"/>
    <n v="0"/>
    <n v="0"/>
    <n v="8.7550000000000008"/>
    <n v="8.7550000000000008"/>
    <n v="8.7550000000000008"/>
    <n v="8.7550000000000008"/>
    <n v="0"/>
    <x v="2"/>
    <n v="0"/>
    <n v="0"/>
    <n v="42"/>
    <n v="59"/>
    <n v="0"/>
    <n v="962.61"/>
    <n v="365.5"/>
    <m/>
    <n v="1186.5115578849059"/>
    <n v="382.75425465660959"/>
    <n v="0"/>
    <n v="8427.6505500000003"/>
    <n v="3199.9525000000003"/>
    <n v="0"/>
    <n v="10387.908689282352"/>
    <n v="3351.0134995186172"/>
  </r>
  <r>
    <s v="Regular"/>
    <x v="4"/>
    <x v="4"/>
    <x v="0"/>
    <x v="0"/>
    <x v="2"/>
    <x v="0"/>
    <x v="1"/>
    <x v="0"/>
    <n v="0"/>
    <n v="0"/>
    <n v="9.4700000000000006"/>
    <n v="9.4700000000000006"/>
    <n v="9.4700000000000006"/>
    <n v="9.4700000000000006"/>
    <n v="0"/>
    <x v="2"/>
    <n v="0"/>
    <n v="0"/>
    <n v="83"/>
    <n v="61"/>
    <n v="0"/>
    <n v="250.31"/>
    <n v="222.31"/>
    <m/>
    <n v="311.08040364641334"/>
    <n v="236.64237028527376"/>
    <n v="0"/>
    <n v="2370.4357"/>
    <n v="2105.2757000000001"/>
    <n v="0"/>
    <n v="2945.9314225315347"/>
    <n v="2241.0032466015427"/>
  </r>
  <r>
    <s v="Regular"/>
    <x v="4"/>
    <x v="4"/>
    <x v="0"/>
    <x v="0"/>
    <x v="2"/>
    <x v="0"/>
    <x v="1"/>
    <x v="1"/>
    <n v="0"/>
    <n v="0"/>
    <n v="9.3260000000000005"/>
    <n v="9.3260000000000005"/>
    <n v="9.3260000000000005"/>
    <n v="9.3260000000000005"/>
    <n v="0"/>
    <x v="2"/>
    <n v="0"/>
    <n v="0"/>
    <n v="83"/>
    <n v="61"/>
    <n v="0"/>
    <n v="250.31"/>
    <n v="222.31"/>
    <m/>
    <n v="311.08040364641334"/>
    <n v="236.64237028527376"/>
    <n v="0"/>
    <n v="2334.3910599999999"/>
    <n v="2073.2630600000002"/>
    <n v="0"/>
    <n v="2901.1358444064508"/>
    <n v="2206.9267452804634"/>
  </r>
  <r>
    <s v="Regular"/>
    <x v="4"/>
    <x v="4"/>
    <x v="0"/>
    <x v="0"/>
    <x v="2"/>
    <x v="0"/>
    <x v="1"/>
    <x v="2"/>
    <n v="0"/>
    <n v="0"/>
    <n v="9.3239999999999998"/>
    <n v="9.3239999999999998"/>
    <n v="9.3239999999999998"/>
    <n v="9.3239999999999998"/>
    <n v="0"/>
    <x v="2"/>
    <n v="0"/>
    <n v="0"/>
    <n v="83"/>
    <n v="61"/>
    <n v="0"/>
    <n v="250.31"/>
    <n v="222.31"/>
    <m/>
    <n v="311.08040364641334"/>
    <n v="236.64237028527376"/>
    <n v="0"/>
    <n v="2333.8904400000001"/>
    <n v="2072.81844"/>
    <n v="0"/>
    <n v="2900.513683599158"/>
    <n v="2206.4534605398926"/>
  </r>
  <r>
    <s v="Regular"/>
    <x v="4"/>
    <x v="4"/>
    <x v="0"/>
    <x v="0"/>
    <x v="2"/>
    <x v="0"/>
    <x v="1"/>
    <x v="3"/>
    <n v="0"/>
    <n v="0"/>
    <n v="0.71099999999999997"/>
    <n v="0.71099999999999997"/>
    <n v="0.71099999999999997"/>
    <n v="0.71099999999999997"/>
    <n v="0"/>
    <x v="2"/>
    <n v="0"/>
    <n v="0"/>
    <n v="83"/>
    <n v="61"/>
    <n v="0"/>
    <n v="250.31"/>
    <n v="222.31"/>
    <m/>
    <n v="311.08040364641334"/>
    <n v="236.64237028527376"/>
    <n v="0"/>
    <n v="177.97040999999999"/>
    <n v="158.06241"/>
    <n v="0"/>
    <n v="221.17816699259987"/>
    <n v="168.25272527282962"/>
  </r>
  <r>
    <s v="Regular"/>
    <x v="4"/>
    <x v="4"/>
    <x v="0"/>
    <x v="0"/>
    <x v="2"/>
    <x v="0"/>
    <x v="1"/>
    <x v="4"/>
    <n v="0"/>
    <n v="0"/>
    <n v="0.67200000000000004"/>
    <n v="0.67200000000000004"/>
    <n v="0.67200000000000004"/>
    <n v="0.67200000000000004"/>
    <n v="0"/>
    <x v="2"/>
    <n v="0"/>
    <n v="0"/>
    <n v="83"/>
    <n v="61"/>
    <n v="0"/>
    <n v="250.31"/>
    <n v="222.31"/>
    <m/>
    <n v="311.08040364641334"/>
    <n v="236.64237028527376"/>
    <n v="0"/>
    <n v="168.20832000000001"/>
    <n v="149.39232000000001"/>
    <n v="0"/>
    <n v="209.04603125038977"/>
    <n v="159.02367283170398"/>
  </r>
  <r>
    <s v="Regular"/>
    <x v="4"/>
    <x v="4"/>
    <x v="0"/>
    <x v="0"/>
    <x v="2"/>
    <x v="0"/>
    <x v="1"/>
    <x v="5"/>
    <n v="0"/>
    <n v="0"/>
    <n v="7.6740000000000004"/>
    <n v="7.6740000000000004"/>
    <n v="7.6740000000000004"/>
    <n v="7.6740000000000004"/>
    <n v="0"/>
    <x v="2"/>
    <n v="0"/>
    <n v="0"/>
    <n v="83"/>
    <n v="61"/>
    <n v="0"/>
    <n v="250.31"/>
    <n v="222.31"/>
    <m/>
    <n v="311.08040364641334"/>
    <n v="236.64237028527376"/>
    <n v="0"/>
    <n v="1920.8789400000001"/>
    <n v="1706.0069400000002"/>
    <n v="0"/>
    <n v="2387.231017582576"/>
    <n v="1815.9935495691909"/>
  </r>
  <r>
    <s v="Regular"/>
    <x v="4"/>
    <x v="4"/>
    <x v="0"/>
    <x v="0"/>
    <x v="2"/>
    <x v="0"/>
    <x v="1"/>
    <x v="6"/>
    <n v="0"/>
    <n v="0"/>
    <n v="4.8280000000000003"/>
    <n v="4.8280000000000003"/>
    <n v="4.8280000000000003"/>
    <n v="4.8280000000000003"/>
    <n v="0"/>
    <x v="2"/>
    <n v="0"/>
    <n v="0"/>
    <n v="83"/>
    <n v="61"/>
    <n v="0"/>
    <n v="250.31"/>
    <n v="222.31"/>
    <m/>
    <n v="311.08040364641334"/>
    <n v="236.64237028527376"/>
    <n v="0"/>
    <n v="1208.4966800000002"/>
    <n v="1073.31268"/>
    <n v="0"/>
    <n v="1501.8961888048836"/>
    <n v="1142.5093637373018"/>
  </r>
  <r>
    <s v="Regular"/>
    <x v="4"/>
    <x v="4"/>
    <x v="0"/>
    <x v="0"/>
    <x v="2"/>
    <x v="0"/>
    <x v="1"/>
    <x v="7"/>
    <n v="0"/>
    <n v="0"/>
    <n v="10.782999999999999"/>
    <n v="10.782999999999999"/>
    <n v="10.782999999999999"/>
    <n v="10.782999999999999"/>
    <n v="0"/>
    <x v="2"/>
    <n v="0"/>
    <n v="0"/>
    <n v="83"/>
    <n v="61"/>
    <n v="0"/>
    <n v="250.31"/>
    <n v="222.31"/>
    <m/>
    <n v="311.08040364641334"/>
    <n v="236.64237028527376"/>
    <n v="0"/>
    <n v="2699.0927299999998"/>
    <n v="2397.1687299999999"/>
    <n v="0"/>
    <n v="3354.3799925192748"/>
    <n v="2551.714678786107"/>
  </r>
  <r>
    <s v="Regular"/>
    <x v="4"/>
    <x v="4"/>
    <x v="0"/>
    <x v="0"/>
    <x v="2"/>
    <x v="0"/>
    <x v="1"/>
    <x v="8"/>
    <n v="0"/>
    <n v="0"/>
    <n v="11.68"/>
    <n v="11.68"/>
    <n v="11.68"/>
    <n v="11.68"/>
    <n v="0"/>
    <x v="2"/>
    <n v="0"/>
    <n v="0"/>
    <n v="83"/>
    <n v="61"/>
    <n v="0"/>
    <n v="250.31"/>
    <n v="222.31"/>
    <m/>
    <n v="311.08040364641334"/>
    <n v="236.64237028527376"/>
    <n v="0"/>
    <n v="2923.6208000000001"/>
    <n v="2596.5808000000002"/>
    <n v="0"/>
    <n v="3633.4191145901077"/>
    <n v="2763.9828849319974"/>
  </r>
  <r>
    <s v="Regular"/>
    <x v="4"/>
    <x v="4"/>
    <x v="0"/>
    <x v="0"/>
    <x v="2"/>
    <x v="0"/>
    <x v="1"/>
    <x v="9"/>
    <n v="0"/>
    <n v="0"/>
    <n v="11.061999999999999"/>
    <n v="11.061999999999999"/>
    <n v="11.061999999999999"/>
    <n v="11.061999999999999"/>
    <n v="0"/>
    <x v="2"/>
    <n v="0"/>
    <n v="0"/>
    <n v="83"/>
    <n v="61"/>
    <n v="0"/>
    <n v="250.31"/>
    <n v="222.31"/>
    <m/>
    <n v="311.08040364641334"/>
    <n v="236.64237028527376"/>
    <n v="0"/>
    <n v="2768.92922"/>
    <n v="2459.1932200000001"/>
    <n v="0"/>
    <n v="3441.1714251366243"/>
    <n v="2617.737900095698"/>
  </r>
  <r>
    <s v="Regular"/>
    <x v="4"/>
    <x v="4"/>
    <x v="0"/>
    <x v="0"/>
    <x v="2"/>
    <x v="0"/>
    <x v="1"/>
    <x v="10"/>
    <n v="0"/>
    <n v="0"/>
    <n v="12.076000000000001"/>
    <n v="12.076000000000001"/>
    <n v="12.076000000000001"/>
    <n v="12.076000000000001"/>
    <n v="0"/>
    <x v="2"/>
    <n v="0"/>
    <n v="0"/>
    <n v="83"/>
    <n v="61"/>
    <n v="0"/>
    <n v="250.31"/>
    <n v="222.31"/>
    <m/>
    <n v="311.08040364641334"/>
    <n v="236.64237028527376"/>
    <n v="0"/>
    <n v="3022.7435600000003"/>
    <n v="2684.6155600000002"/>
    <n v="0"/>
    <n v="3756.6069544340876"/>
    <n v="2857.6932635649659"/>
  </r>
  <r>
    <s v="PROJETADO"/>
    <x v="4"/>
    <x v="4"/>
    <x v="0"/>
    <x v="0"/>
    <x v="2"/>
    <x v="0"/>
    <x v="1"/>
    <x v="11"/>
    <n v="0"/>
    <n v="0"/>
    <n v="12.076000000000001"/>
    <n v="12.076000000000001"/>
    <n v="12.076000000000001"/>
    <n v="12.076000000000001"/>
    <n v="0"/>
    <x v="2"/>
    <n v="0"/>
    <n v="0"/>
    <n v="83"/>
    <n v="61"/>
    <n v="0"/>
    <n v="250.31"/>
    <n v="222.31"/>
    <m/>
    <n v="311.08040364641334"/>
    <n v="236.64237028527376"/>
    <n v="0"/>
    <n v="3022.7435600000003"/>
    <n v="2684.6155600000002"/>
    <n v="0"/>
    <n v="3756.6069544340876"/>
    <n v="2857.6932635649659"/>
  </r>
  <r>
    <s v="Regular"/>
    <x v="4"/>
    <x v="4"/>
    <x v="0"/>
    <x v="0"/>
    <x v="2"/>
    <x v="0"/>
    <x v="3"/>
    <x v="0"/>
    <n v="0"/>
    <n v="0"/>
    <n v="0.443"/>
    <n v="0.443"/>
    <n v="0.443"/>
    <n v="0.443"/>
    <n v="0"/>
    <x v="2"/>
    <n v="0"/>
    <n v="0"/>
    <n v="82"/>
    <n v="60"/>
    <n v="0"/>
    <n v="606.46"/>
    <n v="222.31"/>
    <m/>
    <n v="748.79598076565946"/>
    <n v="236.64237028527376"/>
    <n v="0"/>
    <n v="268.66178000000002"/>
    <n v="98.483329999999995"/>
    <n v="0"/>
    <n v="331.71661947918716"/>
    <n v="104.83257003637628"/>
  </r>
  <r>
    <s v="Regular"/>
    <x v="4"/>
    <x v="4"/>
    <x v="0"/>
    <x v="0"/>
    <x v="2"/>
    <x v="0"/>
    <x v="3"/>
    <x v="1"/>
    <n v="0"/>
    <n v="0"/>
    <n v="0.42799999999999999"/>
    <n v="0.42799999999999999"/>
    <n v="0.42799999999999999"/>
    <n v="0.42799999999999999"/>
    <n v="0"/>
    <x v="2"/>
    <n v="0"/>
    <n v="0"/>
    <n v="82"/>
    <n v="60"/>
    <n v="0"/>
    <n v="606.46"/>
    <n v="222.31"/>
    <m/>
    <n v="748.79598076565946"/>
    <n v="236.64237028527376"/>
    <n v="0"/>
    <n v="259.56488000000002"/>
    <n v="95.148679999999999"/>
    <n v="0"/>
    <n v="320.48467976770223"/>
    <n v="101.28293448209716"/>
  </r>
  <r>
    <s v="Regular"/>
    <x v="4"/>
    <x v="4"/>
    <x v="0"/>
    <x v="0"/>
    <x v="2"/>
    <x v="0"/>
    <x v="3"/>
    <x v="2"/>
    <n v="0"/>
    <n v="0"/>
    <n v="0.42899999999999999"/>
    <n v="0.42899999999999999"/>
    <n v="0.42899999999999999"/>
    <n v="0.42899999999999999"/>
    <n v="0"/>
    <x v="2"/>
    <n v="0"/>
    <n v="0"/>
    <n v="82"/>
    <n v="60"/>
    <n v="0"/>
    <n v="606.46"/>
    <n v="222.31"/>
    <m/>
    <n v="748.79598076565946"/>
    <n v="236.64237028527376"/>
    <n v="0"/>
    <n v="260.17133999999999"/>
    <n v="95.370990000000006"/>
    <n v="0"/>
    <n v="321.23347574846792"/>
    <n v="101.51957685238244"/>
  </r>
  <r>
    <s v="Regular"/>
    <x v="4"/>
    <x v="4"/>
    <x v="0"/>
    <x v="0"/>
    <x v="2"/>
    <x v="0"/>
    <x v="3"/>
    <x v="3"/>
    <n v="0"/>
    <n v="0"/>
    <n v="7.6999999999999999E-2"/>
    <n v="7.6999999999999999E-2"/>
    <n v="7.6999999999999999E-2"/>
    <n v="7.6999999999999999E-2"/>
    <n v="0"/>
    <x v="2"/>
    <n v="0"/>
    <n v="0"/>
    <n v="82"/>
    <n v="60"/>
    <n v="0"/>
    <n v="606.46"/>
    <n v="222.31"/>
    <m/>
    <n v="748.79598076565946"/>
    <n v="236.64237028527376"/>
    <n v="0"/>
    <n v="46.697420000000001"/>
    <n v="17.11787"/>
    <n v="0"/>
    <n v="57.657290518955776"/>
    <n v="18.221462511966077"/>
  </r>
  <r>
    <s v="Regular"/>
    <x v="4"/>
    <x v="4"/>
    <x v="0"/>
    <x v="0"/>
    <x v="2"/>
    <x v="0"/>
    <x v="3"/>
    <x v="4"/>
    <n v="0"/>
    <n v="0"/>
    <n v="0.08"/>
    <n v="0.08"/>
    <n v="0.08"/>
    <n v="0.08"/>
    <n v="0"/>
    <x v="2"/>
    <n v="0"/>
    <n v="0"/>
    <n v="82"/>
    <n v="60"/>
    <n v="0"/>
    <n v="606.46"/>
    <n v="222.31"/>
    <m/>
    <n v="748.79598076565946"/>
    <n v="236.64237028527376"/>
    <n v="0"/>
    <n v="48.516800000000003"/>
    <n v="17.784800000000001"/>
    <n v="0"/>
    <n v="59.90367846125276"/>
    <n v="18.9313896228219"/>
  </r>
  <r>
    <s v="Regular"/>
    <x v="4"/>
    <x v="4"/>
    <x v="0"/>
    <x v="0"/>
    <x v="2"/>
    <x v="0"/>
    <x v="3"/>
    <x v="5"/>
    <n v="0"/>
    <n v="0"/>
    <n v="0.35499999999999998"/>
    <n v="0.35499999999999998"/>
    <n v="0.35499999999999998"/>
    <n v="0.35499999999999998"/>
    <n v="0"/>
    <x v="2"/>
    <n v="0"/>
    <n v="0"/>
    <n v="82"/>
    <n v="60"/>
    <n v="0"/>
    <n v="606.46"/>
    <n v="222.31"/>
    <m/>
    <n v="748.79598076565946"/>
    <n v="236.64237028527376"/>
    <n v="0"/>
    <n v="215.29330000000002"/>
    <n v="78.920050000000003"/>
    <n v="0"/>
    <n v="265.8225731718091"/>
    <n v="84.008041451272177"/>
  </r>
  <r>
    <s v="Regular"/>
    <x v="4"/>
    <x v="4"/>
    <x v="0"/>
    <x v="0"/>
    <x v="2"/>
    <x v="0"/>
    <x v="3"/>
    <x v="6"/>
    <n v="0"/>
    <n v="0"/>
    <n v="0.23699999999999999"/>
    <n v="0.23699999999999999"/>
    <n v="0.23699999999999999"/>
    <n v="0.23699999999999999"/>
    <n v="0"/>
    <x v="2"/>
    <n v="0"/>
    <n v="0"/>
    <n v="82"/>
    <n v="60"/>
    <n v="0"/>
    <n v="606.46"/>
    <n v="222.31"/>
    <m/>
    <n v="748.79598076565946"/>
    <n v="236.64237028527376"/>
    <n v="0"/>
    <n v="143.73102"/>
    <n v="52.687469999999998"/>
    <n v="0"/>
    <n v="177.4646474414613"/>
    <n v="56.084241757609874"/>
  </r>
  <r>
    <s v="Regular"/>
    <x v="4"/>
    <x v="4"/>
    <x v="0"/>
    <x v="0"/>
    <x v="2"/>
    <x v="0"/>
    <x v="3"/>
    <x v="7"/>
    <n v="0"/>
    <n v="0"/>
    <n v="0.44"/>
    <n v="0.44"/>
    <n v="0.44"/>
    <n v="0.44"/>
    <n v="0"/>
    <x v="2"/>
    <n v="0"/>
    <n v="0"/>
    <n v="82"/>
    <n v="60"/>
    <n v="0"/>
    <n v="606.46"/>
    <n v="222.31"/>
    <m/>
    <n v="748.79598076565946"/>
    <n v="236.64237028527376"/>
    <n v="0"/>
    <n v="266.8424"/>
    <n v="97.816400000000002"/>
    <n v="0"/>
    <n v="329.47023153689014"/>
    <n v="104.12264292552045"/>
  </r>
  <r>
    <s v="Regular"/>
    <x v="4"/>
    <x v="4"/>
    <x v="0"/>
    <x v="0"/>
    <x v="2"/>
    <x v="0"/>
    <x v="3"/>
    <x v="8"/>
    <n v="0"/>
    <n v="0"/>
    <n v="0.41899999999999998"/>
    <n v="0.41899999999999998"/>
    <n v="0.41899999999999998"/>
    <n v="0.41899999999999998"/>
    <n v="0"/>
    <x v="2"/>
    <n v="0"/>
    <n v="0"/>
    <n v="82"/>
    <n v="60"/>
    <n v="0"/>
    <n v="606.46"/>
    <n v="222.31"/>
    <m/>
    <n v="748.79598076565946"/>
    <n v="236.64237028527376"/>
    <n v="0"/>
    <n v="254.10674"/>
    <n v="93.147890000000004"/>
    <n v="0"/>
    <n v="313.74551594081129"/>
    <n v="99.1531531495297"/>
  </r>
  <r>
    <s v="Regular"/>
    <x v="4"/>
    <x v="4"/>
    <x v="0"/>
    <x v="0"/>
    <x v="2"/>
    <x v="0"/>
    <x v="3"/>
    <x v="9"/>
    <n v="0"/>
    <n v="0"/>
    <n v="0.442"/>
    <n v="0.442"/>
    <n v="0.442"/>
    <n v="0.442"/>
    <n v="0"/>
    <x v="2"/>
    <n v="0"/>
    <n v="0"/>
    <n v="82"/>
    <n v="60"/>
    <n v="0"/>
    <n v="606.46"/>
    <n v="222.31"/>
    <m/>
    <n v="748.79598076565946"/>
    <n v="236.64237028527376"/>
    <n v="0"/>
    <n v="268.05531999999999"/>
    <n v="98.261020000000002"/>
    <n v="0"/>
    <n v="330.96782349842147"/>
    <n v="104.595927666091"/>
  </r>
  <r>
    <s v="Regular"/>
    <x v="4"/>
    <x v="4"/>
    <x v="0"/>
    <x v="0"/>
    <x v="2"/>
    <x v="0"/>
    <x v="3"/>
    <x v="10"/>
    <n v="0"/>
    <n v="0"/>
    <n v="0.48199999999999998"/>
    <n v="0.48199999999999998"/>
    <n v="0.48199999999999998"/>
    <n v="0.48199999999999998"/>
    <n v="0"/>
    <x v="2"/>
    <n v="0"/>
    <n v="0"/>
    <n v="82"/>
    <n v="60"/>
    <n v="0"/>
    <n v="606.46"/>
    <n v="222.31"/>
    <m/>
    <n v="748.79598076565946"/>
    <n v="236.64237028527376"/>
    <n v="0"/>
    <n v="292.31371999999999"/>
    <n v="107.15342"/>
    <n v="0"/>
    <n v="360.91966272904784"/>
    <n v="114.06162247750194"/>
  </r>
  <r>
    <s v="PROJETADO"/>
    <x v="4"/>
    <x v="4"/>
    <x v="0"/>
    <x v="0"/>
    <x v="2"/>
    <x v="0"/>
    <x v="3"/>
    <x v="11"/>
    <n v="0"/>
    <n v="0"/>
    <n v="0.48199999999999998"/>
    <n v="0.48199999999999998"/>
    <n v="0.48199999999999998"/>
    <n v="0.48199999999999998"/>
    <n v="0"/>
    <x v="2"/>
    <n v="0"/>
    <n v="0"/>
    <n v="82"/>
    <n v="60"/>
    <n v="0"/>
    <n v="606.46"/>
    <n v="222.31"/>
    <m/>
    <n v="748.79598076565946"/>
    <n v="236.64237028527376"/>
    <n v="0"/>
    <n v="292.31371999999999"/>
    <n v="107.15342"/>
    <n v="0"/>
    <n v="360.91966272904784"/>
    <n v="114.06162247750194"/>
  </r>
  <r>
    <s v="Regular"/>
    <x v="4"/>
    <x v="4"/>
    <x v="0"/>
    <x v="0"/>
    <x v="2"/>
    <x v="0"/>
    <x v="2"/>
    <x v="0"/>
    <n v="0"/>
    <n v="0"/>
    <n v="0.11"/>
    <n v="0.11"/>
    <n v="0.11"/>
    <n v="0.11"/>
    <n v="0"/>
    <x v="2"/>
    <n v="0"/>
    <n v="0"/>
    <n v="42"/>
    <n v="59"/>
    <n v="0"/>
    <n v="962.61"/>
    <n v="365.5"/>
    <m/>
    <n v="1186.5115578849059"/>
    <n v="382.75425465660959"/>
    <n v="0"/>
    <n v="105.8871"/>
    <n v="40.204999999999998"/>
    <n v="0"/>
    <n v="130.51627136733964"/>
    <n v="42.102968012227052"/>
  </r>
  <r>
    <s v="Regular"/>
    <x v="4"/>
    <x v="4"/>
    <x v="0"/>
    <x v="0"/>
    <x v="2"/>
    <x v="0"/>
    <x v="2"/>
    <x v="1"/>
    <n v="0"/>
    <n v="0"/>
    <n v="0.10199999999999999"/>
    <n v="0.10199999999999999"/>
    <n v="0.10199999999999999"/>
    <n v="0.10199999999999999"/>
    <n v="0"/>
    <x v="2"/>
    <n v="0"/>
    <n v="0"/>
    <n v="42"/>
    <n v="59"/>
    <n v="0"/>
    <n v="962.61"/>
    <n v="365.5"/>
    <m/>
    <n v="1186.5115578849059"/>
    <n v="382.75425465660959"/>
    <n v="0"/>
    <n v="98.186219999999992"/>
    <n v="37.280999999999999"/>
    <n v="0"/>
    <n v="121.0241789042604"/>
    <n v="39.040933974974173"/>
  </r>
  <r>
    <s v="Regular"/>
    <x v="4"/>
    <x v="4"/>
    <x v="0"/>
    <x v="0"/>
    <x v="2"/>
    <x v="0"/>
    <x v="2"/>
    <x v="2"/>
    <n v="0"/>
    <n v="0"/>
    <n v="9.5000000000000001E-2"/>
    <n v="9.5000000000000001E-2"/>
    <n v="9.5000000000000001E-2"/>
    <n v="9.5000000000000001E-2"/>
    <n v="0"/>
    <x v="2"/>
    <n v="0"/>
    <n v="0"/>
    <n v="42"/>
    <n v="59"/>
    <n v="0"/>
    <n v="962.61"/>
    <n v="365.5"/>
    <m/>
    <n v="1186.5115578849059"/>
    <n v="382.75425465660959"/>
    <n v="0"/>
    <n v="91.447950000000006"/>
    <n v="34.722500000000004"/>
    <n v="0"/>
    <n v="112.71859799906606"/>
    <n v="36.361654192377912"/>
  </r>
  <r>
    <s v="Regular"/>
    <x v="4"/>
    <x v="4"/>
    <x v="0"/>
    <x v="0"/>
    <x v="2"/>
    <x v="0"/>
    <x v="2"/>
    <x v="3"/>
    <n v="0"/>
    <n v="0"/>
    <n v="8.6999999999999994E-2"/>
    <n v="8.6999999999999994E-2"/>
    <n v="8.6999999999999994E-2"/>
    <n v="8.6999999999999994E-2"/>
    <n v="0"/>
    <x v="2"/>
    <n v="0"/>
    <n v="0"/>
    <n v="42"/>
    <n v="59"/>
    <n v="0"/>
    <n v="962.61"/>
    <n v="365.5"/>
    <m/>
    <n v="1186.5115578849059"/>
    <n v="382.75425465660959"/>
    <n v="0"/>
    <n v="83.747069999999994"/>
    <n v="31.798499999999997"/>
    <n v="0"/>
    <n v="103.2265055359868"/>
    <n v="33.299620155125034"/>
  </r>
  <r>
    <s v="Regular"/>
    <x v="4"/>
    <x v="4"/>
    <x v="0"/>
    <x v="0"/>
    <x v="2"/>
    <x v="0"/>
    <x v="2"/>
    <x v="4"/>
    <n v="0"/>
    <n v="0"/>
    <n v="9.6000000000000002E-2"/>
    <n v="9.6000000000000002E-2"/>
    <n v="9.6000000000000002E-2"/>
    <n v="9.6000000000000002E-2"/>
    <n v="0"/>
    <x v="2"/>
    <n v="0"/>
    <n v="0"/>
    <n v="42"/>
    <n v="59"/>
    <n v="0"/>
    <n v="962.61"/>
    <n v="365.5"/>
    <m/>
    <n v="1186.5115578849059"/>
    <n v="382.75425465660959"/>
    <n v="0"/>
    <n v="92.410560000000004"/>
    <n v="35.088000000000001"/>
    <n v="0"/>
    <n v="113.90510955695096"/>
    <n v="36.744408447034523"/>
  </r>
  <r>
    <s v="Regular"/>
    <x v="4"/>
    <x v="4"/>
    <x v="0"/>
    <x v="0"/>
    <x v="2"/>
    <x v="0"/>
    <x v="2"/>
    <x v="5"/>
    <n v="0"/>
    <n v="0"/>
    <n v="9.0999999999999998E-2"/>
    <n v="9.0999999999999998E-2"/>
    <n v="9.0999999999999998E-2"/>
    <n v="9.0999999999999998E-2"/>
    <n v="0"/>
    <x v="2"/>
    <n v="0"/>
    <n v="0"/>
    <n v="42"/>
    <n v="59"/>
    <n v="0"/>
    <n v="962.61"/>
    <n v="365.5"/>
    <m/>
    <n v="1186.5115578849059"/>
    <n v="382.75425465660959"/>
    <n v="0"/>
    <n v="87.59751"/>
    <n v="33.2605"/>
    <n v="0"/>
    <n v="107.97255176752643"/>
    <n v="34.83063717375147"/>
  </r>
  <r>
    <s v="Regular"/>
    <x v="4"/>
    <x v="4"/>
    <x v="0"/>
    <x v="0"/>
    <x v="2"/>
    <x v="0"/>
    <x v="2"/>
    <x v="6"/>
    <n v="0"/>
    <n v="0"/>
    <n v="0.105"/>
    <n v="0.105"/>
    <n v="0.105"/>
    <n v="0.105"/>
    <n v="0"/>
    <x v="2"/>
    <n v="0"/>
    <n v="0"/>
    <n v="42"/>
    <n v="59"/>
    <n v="0"/>
    <n v="962.61"/>
    <n v="365.5"/>
    <m/>
    <n v="1186.5115578849059"/>
    <n v="382.75425465660959"/>
    <n v="0"/>
    <n v="101.07405"/>
    <n v="38.377499999999998"/>
    <n v="0"/>
    <n v="124.58371357791511"/>
    <n v="40.189196738944005"/>
  </r>
  <r>
    <s v="Regular"/>
    <x v="4"/>
    <x v="4"/>
    <x v="0"/>
    <x v="0"/>
    <x v="2"/>
    <x v="0"/>
    <x v="2"/>
    <x v="7"/>
    <n v="0"/>
    <n v="0"/>
    <n v="0.10299999999999999"/>
    <n v="0.10299999999999999"/>
    <n v="0.10299999999999999"/>
    <n v="0.10299999999999999"/>
    <n v="0"/>
    <x v="2"/>
    <n v="0"/>
    <n v="0"/>
    <n v="42"/>
    <n v="59"/>
    <n v="0"/>
    <n v="962.61"/>
    <n v="365.5"/>
    <m/>
    <n v="1186.5115578849059"/>
    <n v="382.75425465660959"/>
    <n v="0"/>
    <n v="99.14882999999999"/>
    <n v="37.646499999999996"/>
    <n v="0"/>
    <n v="122.21069046214529"/>
    <n v="39.423688229630784"/>
  </r>
  <r>
    <s v="Regular"/>
    <x v="4"/>
    <x v="4"/>
    <x v="0"/>
    <x v="0"/>
    <x v="2"/>
    <x v="0"/>
    <x v="2"/>
    <x v="8"/>
    <n v="0"/>
    <n v="0"/>
    <n v="0.11"/>
    <n v="0.11"/>
    <n v="0.11"/>
    <n v="0.11"/>
    <n v="0"/>
    <x v="2"/>
    <n v="0"/>
    <n v="0"/>
    <n v="42"/>
    <n v="59"/>
    <n v="0"/>
    <n v="962.61"/>
    <n v="365.5"/>
    <m/>
    <n v="1186.5115578849059"/>
    <n v="382.75425465660959"/>
    <n v="0"/>
    <n v="105.8871"/>
    <n v="40.204999999999998"/>
    <n v="0"/>
    <n v="130.51627136733964"/>
    <n v="42.102968012227052"/>
  </r>
  <r>
    <s v="Regular"/>
    <x v="4"/>
    <x v="4"/>
    <x v="0"/>
    <x v="0"/>
    <x v="2"/>
    <x v="0"/>
    <x v="2"/>
    <x v="9"/>
    <n v="0"/>
    <n v="0"/>
    <n v="0.107"/>
    <n v="0.107"/>
    <n v="0.107"/>
    <n v="0.107"/>
    <n v="0"/>
    <x v="2"/>
    <n v="0"/>
    <n v="0"/>
    <n v="42"/>
    <n v="59"/>
    <n v="0"/>
    <n v="962.61"/>
    <n v="365.5"/>
    <m/>
    <n v="1186.5115578849059"/>
    <n v="382.75425465660959"/>
    <n v="0"/>
    <n v="102.99927"/>
    <n v="39.108499999999999"/>
    <n v="0"/>
    <n v="126.95673669368493"/>
    <n v="40.954705248257227"/>
  </r>
  <r>
    <s v="Regular"/>
    <x v="4"/>
    <x v="4"/>
    <x v="0"/>
    <x v="0"/>
    <x v="2"/>
    <x v="0"/>
    <x v="2"/>
    <x v="10"/>
    <n v="0"/>
    <n v="0"/>
    <n v="0.13400000000000001"/>
    <n v="0.13400000000000001"/>
    <n v="0.13400000000000001"/>
    <n v="0.13400000000000001"/>
    <n v="0"/>
    <x v="2"/>
    <n v="0"/>
    <n v="0"/>
    <n v="42"/>
    <n v="59"/>
    <n v="0"/>
    <n v="962.61"/>
    <n v="365.5"/>
    <m/>
    <n v="1186.5115578849059"/>
    <n v="382.75425465660959"/>
    <n v="0"/>
    <n v="128.98974000000001"/>
    <n v="48.977000000000004"/>
    <n v="0"/>
    <n v="158.99254875657741"/>
    <n v="51.289070123985688"/>
  </r>
  <r>
    <s v="PROJETADO"/>
    <x v="4"/>
    <x v="4"/>
    <x v="0"/>
    <x v="0"/>
    <x v="2"/>
    <x v="0"/>
    <x v="2"/>
    <x v="11"/>
    <n v="0"/>
    <n v="0"/>
    <n v="0.13400000000000001"/>
    <n v="0.13400000000000001"/>
    <n v="0.13400000000000001"/>
    <n v="0.13400000000000001"/>
    <n v="0"/>
    <x v="2"/>
    <n v="0"/>
    <n v="0"/>
    <n v="42"/>
    <n v="59"/>
    <n v="0"/>
    <n v="962.61"/>
    <n v="365.5"/>
    <m/>
    <n v="1186.5115578849059"/>
    <n v="382.75425465660959"/>
    <n v="0"/>
    <n v="128.98974000000001"/>
    <n v="48.977000000000004"/>
    <n v="0"/>
    <n v="158.99254875657741"/>
    <n v="51.289070123985688"/>
  </r>
  <r>
    <s v="Regular"/>
    <x v="4"/>
    <x v="5"/>
    <x v="5"/>
    <x v="0"/>
    <x v="2"/>
    <x v="0"/>
    <x v="0"/>
    <x v="0"/>
    <n v="0"/>
    <n v="0"/>
    <n v="21437.172999999999"/>
    <n v="21437.172999999999"/>
    <n v="21437.172999999999"/>
    <n v="21437.172999999999"/>
    <n v="43343"/>
    <x v="2"/>
    <n v="0"/>
    <n v="0"/>
    <n v="84"/>
    <n v="7"/>
    <n v="0"/>
    <n v="346.2"/>
    <n v="234.24"/>
    <m/>
    <n v="428.92696349888774"/>
    <n v="248.81836064955178"/>
    <n v="0"/>
    <n v="7421549.2925999993"/>
    <n v="5021443.4035200002"/>
    <n v="0"/>
    <n v="9194981.5208903421"/>
    <n v="5333962.2428208338"/>
  </r>
  <r>
    <s v="Refaturamento - Regular"/>
    <x v="4"/>
    <x v="5"/>
    <x v="5"/>
    <x v="0"/>
    <x v="2"/>
    <x v="0"/>
    <x v="0"/>
    <x v="0"/>
    <n v="0"/>
    <n v="0"/>
    <n v="-108.08199999999999"/>
    <n v="-108.08199999999999"/>
    <n v="-108.08199999999999"/>
    <n v="-108.08199999999999"/>
    <n v="-18"/>
    <x v="2"/>
    <n v="0"/>
    <n v="0"/>
    <n v="84"/>
    <n v="7"/>
    <n v="0"/>
    <n v="346.2"/>
    <n v="234.24"/>
    <m/>
    <n v="428.92696349888774"/>
    <n v="248.81836064955178"/>
    <n v="0"/>
    <n v="-37417.988399999995"/>
    <n v="-25317.127679999998"/>
    <n v="0"/>
    <n v="-46359.28406888678"/>
    <n v="-26892.786055724853"/>
  </r>
  <r>
    <s v="Sistema de Compensação"/>
    <x v="4"/>
    <x v="5"/>
    <x v="5"/>
    <x v="0"/>
    <x v="2"/>
    <x v="0"/>
    <x v="0"/>
    <x v="0"/>
    <n v="0"/>
    <n v="0"/>
    <n v="1304.846"/>
    <n v="1304.846"/>
    <n v="1304.846"/>
    <n v="1304.846"/>
    <n v="1593"/>
    <x v="2"/>
    <n v="0"/>
    <n v="0"/>
    <n v="84"/>
    <n v="7"/>
    <n v="0"/>
    <n v="346.2"/>
    <n v="234.24"/>
    <m/>
    <n v="428.92696349888774"/>
    <n v="248.81836064955178"/>
    <n v="0"/>
    <n v="451737.68520000001"/>
    <n v="305647.12703999999"/>
    <n v="0"/>
    <n v="559683.63261366973"/>
    <n v="324669.64262012503"/>
  </r>
  <r>
    <s v="Sistema de Compensação"/>
    <x v="4"/>
    <x v="5"/>
    <x v="5"/>
    <x v="0"/>
    <x v="2"/>
    <x v="0"/>
    <x v="0"/>
    <x v="0"/>
    <n v="0"/>
    <n v="0"/>
    <n v="-1.081"/>
    <n v="-1.081"/>
    <n v="-1.081"/>
    <n v="-1.081"/>
    <n v="0"/>
    <x v="2"/>
    <n v="0"/>
    <n v="0"/>
    <n v="84"/>
    <n v="7"/>
    <n v="0"/>
    <n v="346.2"/>
    <n v="234.24"/>
    <m/>
    <n v="428.92696349888774"/>
    <n v="248.81836064955178"/>
    <n v="0"/>
    <n v="-374.24219999999997"/>
    <n v="-253.21343999999999"/>
    <n v="0"/>
    <n v="-463.67004754229765"/>
    <n v="-268.97264786216545"/>
  </r>
  <r>
    <s v="Regular"/>
    <x v="4"/>
    <x v="5"/>
    <x v="5"/>
    <x v="0"/>
    <x v="2"/>
    <x v="0"/>
    <x v="0"/>
    <x v="1"/>
    <n v="0"/>
    <n v="0"/>
    <n v="19891.690999999999"/>
    <n v="19891.690999999999"/>
    <n v="19891.690999999999"/>
    <n v="19891.690999999999"/>
    <n v="43279"/>
    <x v="2"/>
    <n v="0"/>
    <n v="0"/>
    <n v="84"/>
    <n v="7"/>
    <n v="0"/>
    <n v="346.2"/>
    <n v="234.24"/>
    <m/>
    <n v="428.92696349888774"/>
    <n v="248.81836064955178"/>
    <n v="0"/>
    <n v="6886503.4241999993"/>
    <n v="4659429.6998399999"/>
    <n v="0"/>
    <n v="8532082.6194881536"/>
    <n v="4949417.9451674428"/>
  </r>
  <r>
    <s v="Refaturamento - Regular"/>
    <x v="4"/>
    <x v="5"/>
    <x v="5"/>
    <x v="0"/>
    <x v="2"/>
    <x v="0"/>
    <x v="0"/>
    <x v="1"/>
    <n v="0"/>
    <n v="0"/>
    <n v="-135.714"/>
    <n v="-135.714"/>
    <n v="-135.714"/>
    <n v="-135.714"/>
    <n v="-10"/>
    <x v="2"/>
    <n v="0"/>
    <n v="0"/>
    <n v="84"/>
    <n v="7"/>
    <n v="0"/>
    <n v="346.2"/>
    <n v="234.24"/>
    <m/>
    <n v="428.92696349888774"/>
    <n v="248.81836064955178"/>
    <n v="0"/>
    <n v="-46984.186799999996"/>
    <n v="-31789.647360000003"/>
    <n v="0"/>
    <n v="-58211.393924288051"/>
    <n v="-33768.134997193272"/>
  </r>
  <r>
    <s v="Sistema de Compensação"/>
    <x v="4"/>
    <x v="5"/>
    <x v="5"/>
    <x v="0"/>
    <x v="2"/>
    <x v="0"/>
    <x v="0"/>
    <x v="1"/>
    <n v="0"/>
    <n v="0"/>
    <n v="1190.616"/>
    <n v="1190.616"/>
    <n v="1190.616"/>
    <n v="1190.616"/>
    <n v="1632"/>
    <x v="2"/>
    <n v="0"/>
    <n v="0"/>
    <n v="84"/>
    <n v="7"/>
    <n v="0"/>
    <n v="346.2"/>
    <n v="234.24"/>
    <m/>
    <n v="428.92696349888774"/>
    <n v="248.81836064955178"/>
    <n v="0"/>
    <n v="412191.25919999997"/>
    <n v="278889.89184"/>
    <n v="0"/>
    <n v="510687.30557319173"/>
    <n v="296247.12128312676"/>
  </r>
  <r>
    <s v="Regular"/>
    <x v="4"/>
    <x v="5"/>
    <x v="5"/>
    <x v="0"/>
    <x v="2"/>
    <x v="0"/>
    <x v="0"/>
    <x v="2"/>
    <n v="0"/>
    <n v="0"/>
    <n v="19684.055"/>
    <n v="19684.055"/>
    <n v="19684.055"/>
    <n v="19684.055"/>
    <n v="43297"/>
    <x v="2"/>
    <n v="0"/>
    <n v="0"/>
    <n v="84"/>
    <n v="7"/>
    <n v="0"/>
    <n v="346.2"/>
    <n v="234.24"/>
    <m/>
    <n v="428.92696349888774"/>
    <n v="248.81836064955178"/>
    <n v="0"/>
    <n v="6814619.841"/>
    <n v="4610793.0432000002"/>
    <n v="0"/>
    <n v="8443021.940495098"/>
    <n v="4897754.2960356129"/>
  </r>
  <r>
    <s v="Refaturamento - Regular"/>
    <x v="4"/>
    <x v="5"/>
    <x v="5"/>
    <x v="0"/>
    <x v="2"/>
    <x v="0"/>
    <x v="0"/>
    <x v="2"/>
    <n v="0"/>
    <n v="0"/>
    <n v="-125.229"/>
    <n v="-125.229"/>
    <n v="-125.229"/>
    <n v="-125.229"/>
    <n v="-12"/>
    <x v="2"/>
    <n v="0"/>
    <n v="0"/>
    <n v="84"/>
    <n v="7"/>
    <n v="0"/>
    <n v="346.2"/>
    <n v="234.24"/>
    <m/>
    <n v="428.92696349888774"/>
    <n v="248.81836064955178"/>
    <n v="0"/>
    <n v="-43354.279799999997"/>
    <n v="-29333.640960000001"/>
    <n v="0"/>
    <n v="-53714.09471200221"/>
    <n v="-31159.27448578272"/>
  </r>
  <r>
    <s v="Sistema de Compensação"/>
    <x v="4"/>
    <x v="5"/>
    <x v="5"/>
    <x v="0"/>
    <x v="2"/>
    <x v="0"/>
    <x v="0"/>
    <x v="2"/>
    <n v="0"/>
    <n v="0"/>
    <n v="1159.0909999999999"/>
    <n v="1159.0909999999999"/>
    <n v="1159.0909999999999"/>
    <n v="1159.0909999999999"/>
    <n v="1680"/>
    <x v="2"/>
    <n v="0"/>
    <n v="0"/>
    <n v="84"/>
    <n v="7"/>
    <n v="0"/>
    <n v="346.2"/>
    <n v="234.24"/>
    <m/>
    <n v="428.92696349888774"/>
    <n v="248.81836064955178"/>
    <n v="0"/>
    <n v="401277.30419999996"/>
    <n v="271505.47583999997"/>
    <n v="0"/>
    <n v="497165.38304888923"/>
    <n v="288403.1224636496"/>
  </r>
  <r>
    <s v="Sistema de Compensação"/>
    <x v="4"/>
    <x v="5"/>
    <x v="5"/>
    <x v="0"/>
    <x v="2"/>
    <x v="0"/>
    <x v="0"/>
    <x v="2"/>
    <n v="0"/>
    <n v="0"/>
    <n v="-1.337"/>
    <n v="-1.337"/>
    <n v="-1.337"/>
    <n v="-1.337"/>
    <n v="0"/>
    <x v="2"/>
    <n v="0"/>
    <n v="0"/>
    <n v="84"/>
    <n v="7"/>
    <n v="0"/>
    <n v="346.2"/>
    <n v="234.24"/>
    <m/>
    <n v="428.92696349888774"/>
    <n v="248.81836064955178"/>
    <n v="0"/>
    <n v="-462.86939999999998"/>
    <n v="-313.17887999999999"/>
    <n v="0"/>
    <n v="-573.47535019801285"/>
    <n v="-332.6701481884507"/>
  </r>
  <r>
    <s v="Regular"/>
    <x v="4"/>
    <x v="5"/>
    <x v="5"/>
    <x v="0"/>
    <x v="2"/>
    <x v="0"/>
    <x v="0"/>
    <x v="3"/>
    <n v="0"/>
    <n v="0"/>
    <n v="19330.27"/>
    <n v="19330.27"/>
    <n v="19330.27"/>
    <n v="19330.27"/>
    <n v="43276"/>
    <x v="2"/>
    <n v="0"/>
    <n v="0"/>
    <n v="84"/>
    <n v="7"/>
    <n v="0"/>
    <n v="346.2"/>
    <n v="234.24"/>
    <m/>
    <n v="428.92696349888774"/>
    <n v="248.81836064955178"/>
    <n v="0"/>
    <n v="6692139.4740000004"/>
    <n v="4527922.4448000006"/>
    <n v="0"/>
    <n v="8291274.014713645"/>
    <n v="4809726.0923132114"/>
  </r>
  <r>
    <s v="Refaturamento - Regular"/>
    <x v="4"/>
    <x v="5"/>
    <x v="5"/>
    <x v="0"/>
    <x v="2"/>
    <x v="0"/>
    <x v="0"/>
    <x v="3"/>
    <n v="0"/>
    <n v="0"/>
    <n v="-6.5590000000000002"/>
    <n v="-6.5590000000000002"/>
    <n v="-6.5590000000000002"/>
    <n v="-6.5590000000000002"/>
    <n v="-16"/>
    <x v="2"/>
    <n v="0"/>
    <n v="0"/>
    <n v="84"/>
    <n v="7"/>
    <n v="0"/>
    <n v="346.2"/>
    <n v="234.24"/>
    <m/>
    <n v="428.92696349888774"/>
    <n v="248.81836064955178"/>
    <n v="0"/>
    <n v="-2270.7258000000002"/>
    <n v="-1536.3801600000002"/>
    <n v="0"/>
    <n v="-2813.3319535892047"/>
    <n v="-1631.99962750041"/>
  </r>
  <r>
    <s v="Sistema de Compensação"/>
    <x v="4"/>
    <x v="5"/>
    <x v="5"/>
    <x v="0"/>
    <x v="2"/>
    <x v="0"/>
    <x v="0"/>
    <x v="3"/>
    <n v="0"/>
    <n v="0"/>
    <n v="1196.0029999999999"/>
    <n v="1196.0029999999999"/>
    <n v="1196.0029999999999"/>
    <n v="1196.0029999999999"/>
    <n v="1714"/>
    <x v="2"/>
    <n v="0"/>
    <n v="0"/>
    <n v="84"/>
    <n v="7"/>
    <n v="0"/>
    <n v="346.2"/>
    <n v="234.24"/>
    <m/>
    <n v="428.92696349888774"/>
    <n v="248.81836064955178"/>
    <n v="0"/>
    <n v="414056.23859999998"/>
    <n v="280151.74271999998"/>
    <n v="0"/>
    <n v="512997.93512556021"/>
    <n v="297587.50579194585"/>
  </r>
  <r>
    <s v="Sistema de Compensação"/>
    <x v="4"/>
    <x v="5"/>
    <x v="5"/>
    <x v="0"/>
    <x v="2"/>
    <x v="0"/>
    <x v="0"/>
    <x v="3"/>
    <n v="0"/>
    <n v="0"/>
    <n v="-21.298999999999999"/>
    <n v="-21.298999999999999"/>
    <n v="-21.298999999999999"/>
    <n v="-21.298999999999999"/>
    <n v="0"/>
    <x v="2"/>
    <n v="0"/>
    <n v="0"/>
    <n v="84"/>
    <n v="7"/>
    <n v="0"/>
    <n v="346.2"/>
    <n v="234.24"/>
    <m/>
    <n v="428.92696349888774"/>
    <n v="248.81836064955178"/>
    <n v="0"/>
    <n v="-7373.7137999999995"/>
    <n v="-4989.0777600000001"/>
    <n v="0"/>
    <n v="-9135.7153955628091"/>
    <n v="-5299.5822634748029"/>
  </r>
  <r>
    <s v="Regular"/>
    <x v="4"/>
    <x v="5"/>
    <x v="5"/>
    <x v="0"/>
    <x v="2"/>
    <x v="0"/>
    <x v="0"/>
    <x v="4"/>
    <n v="0"/>
    <n v="0"/>
    <n v="19158.03"/>
    <n v="19158.03"/>
    <n v="19158.03"/>
    <n v="19158.03"/>
    <n v="43244"/>
    <x v="2"/>
    <n v="0"/>
    <n v="0"/>
    <n v="84"/>
    <n v="7"/>
    <n v="0"/>
    <n v="346.2"/>
    <n v="234.24"/>
    <m/>
    <n v="428.92696349888774"/>
    <n v="248.81836064955178"/>
    <n v="0"/>
    <n v="6632509.9859999996"/>
    <n v="4487576.9472000003"/>
    <n v="0"/>
    <n v="8217395.6345205959"/>
    <n v="4766869.6178749325"/>
  </r>
  <r>
    <s v="Refaturamento - Regular"/>
    <x v="4"/>
    <x v="5"/>
    <x v="5"/>
    <x v="0"/>
    <x v="2"/>
    <x v="0"/>
    <x v="0"/>
    <x v="4"/>
    <n v="0"/>
    <n v="0"/>
    <n v="-193.30199999999999"/>
    <n v="-193.30199999999999"/>
    <n v="-193.30199999999999"/>
    <n v="-193.30199999999999"/>
    <n v="-123"/>
    <x v="2"/>
    <n v="0"/>
    <n v="0"/>
    <n v="84"/>
    <n v="7"/>
    <n v="0"/>
    <n v="346.2"/>
    <n v="234.24"/>
    <m/>
    <n v="428.92696349888774"/>
    <n v="248.81836064955178"/>
    <n v="0"/>
    <n v="-66921.152399999992"/>
    <n v="-45279.06048"/>
    <n v="0"/>
    <n v="-82912.43989826199"/>
    <n v="-48097.086750279654"/>
  </r>
  <r>
    <s v="Sistema de Compensação"/>
    <x v="4"/>
    <x v="5"/>
    <x v="5"/>
    <x v="0"/>
    <x v="2"/>
    <x v="0"/>
    <x v="0"/>
    <x v="4"/>
    <n v="0"/>
    <n v="0"/>
    <n v="1098.7"/>
    <n v="1098.7"/>
    <n v="1098.7"/>
    <n v="1098.7"/>
    <n v="1764"/>
    <x v="2"/>
    <n v="0"/>
    <n v="0"/>
    <n v="84"/>
    <n v="7"/>
    <n v="0"/>
    <n v="346.2"/>
    <n v="234.24"/>
    <m/>
    <n v="428.92696349888774"/>
    <n v="248.81836064955178"/>
    <n v="0"/>
    <n v="380369.94"/>
    <n v="257359.48800000001"/>
    <n v="0"/>
    <n v="471262.05479622801"/>
    <n v="273376.73284566257"/>
  </r>
  <r>
    <s v="Sistema de Compensação"/>
    <x v="4"/>
    <x v="5"/>
    <x v="5"/>
    <x v="0"/>
    <x v="2"/>
    <x v="0"/>
    <x v="0"/>
    <x v="4"/>
    <n v="0"/>
    <n v="0"/>
    <n v="-8.3520000000000003"/>
    <n v="-8.3520000000000003"/>
    <n v="-8.3520000000000003"/>
    <n v="-8.3520000000000003"/>
    <n v="0"/>
    <x v="2"/>
    <n v="0"/>
    <n v="0"/>
    <n v="84"/>
    <n v="7"/>
    <n v="0"/>
    <n v="346.2"/>
    <n v="234.24"/>
    <m/>
    <n v="428.92696349888774"/>
    <n v="248.81836064955178"/>
    <n v="0"/>
    <n v="-2891.4623999999999"/>
    <n v="-1956.3724800000002"/>
    <n v="0"/>
    <n v="-3582.3979991427104"/>
    <n v="-2078.1309481450567"/>
  </r>
  <r>
    <s v="Regular"/>
    <x v="4"/>
    <x v="5"/>
    <x v="5"/>
    <x v="0"/>
    <x v="2"/>
    <x v="0"/>
    <x v="0"/>
    <x v="5"/>
    <n v="0"/>
    <n v="0"/>
    <n v="19831.866999999998"/>
    <n v="19831.866999999998"/>
    <n v="19831.866999999998"/>
    <n v="19831.866999999998"/>
    <n v="43164"/>
    <x v="2"/>
    <n v="0"/>
    <n v="0"/>
    <n v="84"/>
    <n v="7"/>
    <n v="0"/>
    <n v="346.2"/>
    <n v="234.24"/>
    <m/>
    <n v="428.92696349888774"/>
    <n v="248.81836064955178"/>
    <n v="0"/>
    <n v="6865792.3553999988"/>
    <n v="4645416.5260800002"/>
    <n v="0"/>
    <n v="8506422.4928237963"/>
    <n v="4934532.6355599444"/>
  </r>
  <r>
    <s v="Refaturamento - Regular"/>
    <x v="4"/>
    <x v="5"/>
    <x v="5"/>
    <x v="0"/>
    <x v="2"/>
    <x v="0"/>
    <x v="0"/>
    <x v="5"/>
    <n v="0"/>
    <n v="0"/>
    <n v="-142.93299999999999"/>
    <n v="-142.93299999999999"/>
    <n v="-142.93299999999999"/>
    <n v="-142.93299999999999"/>
    <n v="-29"/>
    <x v="2"/>
    <n v="0"/>
    <n v="0"/>
    <n v="84"/>
    <n v="7"/>
    <n v="0"/>
    <n v="346.2"/>
    <n v="234.24"/>
    <m/>
    <n v="428.92696349888774"/>
    <n v="248.81836064955178"/>
    <n v="0"/>
    <n v="-49483.404599999994"/>
    <n v="-33480.625919999999"/>
    <n v="0"/>
    <n v="-61307.817673786521"/>
    <n v="-35564.354742722382"/>
  </r>
  <r>
    <s v="Sistema de Compensação"/>
    <x v="4"/>
    <x v="5"/>
    <x v="5"/>
    <x v="0"/>
    <x v="2"/>
    <x v="0"/>
    <x v="0"/>
    <x v="5"/>
    <n v="0"/>
    <n v="0"/>
    <n v="1344.6369999999999"/>
    <n v="1344.6369999999999"/>
    <n v="1344.6369999999999"/>
    <n v="1344.6369999999999"/>
    <n v="1816"/>
    <x v="2"/>
    <n v="0"/>
    <n v="0"/>
    <n v="84"/>
    <n v="7"/>
    <n v="0"/>
    <n v="346.2"/>
    <n v="234.24"/>
    <m/>
    <n v="428.92696349888774"/>
    <n v="248.81836064955178"/>
    <n v="0"/>
    <n v="465513.32939999999"/>
    <n v="314967.77088000003"/>
    <n v="0"/>
    <n v="576751.06541825389"/>
    <n v="334570.37400873133"/>
  </r>
  <r>
    <s v="Sistema de Compensação"/>
    <x v="4"/>
    <x v="5"/>
    <x v="5"/>
    <x v="0"/>
    <x v="2"/>
    <x v="0"/>
    <x v="0"/>
    <x v="5"/>
    <n v="0"/>
    <n v="0"/>
    <n v="-9.9879999999999995"/>
    <n v="-9.9879999999999995"/>
    <n v="-9.9879999999999995"/>
    <n v="-9.9879999999999995"/>
    <n v="0"/>
    <x v="2"/>
    <n v="0"/>
    <n v="0"/>
    <n v="84"/>
    <n v="7"/>
    <n v="0"/>
    <n v="346.2"/>
    <n v="234.24"/>
    <m/>
    <n v="428.92696349888774"/>
    <n v="248.81836064955178"/>
    <n v="0"/>
    <n v="-3457.8455999999996"/>
    <n v="-2339.5891200000001"/>
    <n v="0"/>
    <n v="-4284.1225114268909"/>
    <n v="-2485.1977861677228"/>
  </r>
  <r>
    <s v="Regular"/>
    <x v="4"/>
    <x v="5"/>
    <x v="5"/>
    <x v="0"/>
    <x v="2"/>
    <x v="0"/>
    <x v="0"/>
    <x v="6"/>
    <n v="0"/>
    <n v="0"/>
    <n v="20951.933000000001"/>
    <n v="20951.933000000001"/>
    <n v="20951.933000000001"/>
    <n v="20951.933000000001"/>
    <n v="43016"/>
    <x v="2"/>
    <n v="0"/>
    <n v="0"/>
    <n v="84"/>
    <n v="7"/>
    <n v="0"/>
    <n v="346.2"/>
    <n v="234.24"/>
    <m/>
    <n v="428.92696349888774"/>
    <n v="248.81836064955178"/>
    <n v="0"/>
    <n v="7253559.2045999998"/>
    <n v="4907780.7859200006"/>
    <n v="0"/>
    <n v="8986849.0011221413"/>
    <n v="5213225.621499246"/>
  </r>
  <r>
    <s v="Refaturamento - Regular"/>
    <x v="4"/>
    <x v="5"/>
    <x v="5"/>
    <x v="0"/>
    <x v="2"/>
    <x v="0"/>
    <x v="0"/>
    <x v="6"/>
    <n v="0"/>
    <n v="0"/>
    <n v="-96.35"/>
    <n v="-96.35"/>
    <n v="-96.35"/>
    <n v="-96.35"/>
    <n v="-29"/>
    <x v="2"/>
    <n v="0"/>
    <n v="0"/>
    <n v="84"/>
    <n v="7"/>
    <n v="0"/>
    <n v="346.2"/>
    <n v="234.24"/>
    <m/>
    <n v="428.92696349888774"/>
    <n v="248.81836064955178"/>
    <n v="0"/>
    <n v="-33356.369999999995"/>
    <n v="-22569.024000000001"/>
    <n v="0"/>
    <n v="-41327.112933117831"/>
    <n v="-23973.649048584313"/>
  </r>
  <r>
    <s v="Sistema de Compensação"/>
    <x v="4"/>
    <x v="5"/>
    <x v="5"/>
    <x v="0"/>
    <x v="2"/>
    <x v="0"/>
    <x v="0"/>
    <x v="6"/>
    <n v="0"/>
    <n v="0"/>
    <n v="1619.181"/>
    <n v="1619.181"/>
    <n v="1619.181"/>
    <n v="1619.181"/>
    <n v="1905"/>
    <x v="2"/>
    <n v="0"/>
    <n v="0"/>
    <n v="84"/>
    <n v="7"/>
    <n v="0"/>
    <n v="346.2"/>
    <n v="234.24"/>
    <m/>
    <n v="428.92696349888774"/>
    <n v="248.81836064955178"/>
    <n v="0"/>
    <n v="560560.46219999995"/>
    <n v="379276.95744000003"/>
    <n v="0"/>
    <n v="694510.38968509261"/>
    <n v="402881.96201490192"/>
  </r>
  <r>
    <s v="Sistema de Compensação"/>
    <x v="4"/>
    <x v="5"/>
    <x v="5"/>
    <x v="0"/>
    <x v="2"/>
    <x v="0"/>
    <x v="0"/>
    <x v="6"/>
    <n v="0"/>
    <n v="0"/>
    <n v="-16.686"/>
    <n v="-16.686"/>
    <n v="-16.686"/>
    <n v="-16.686"/>
    <n v="0"/>
    <x v="2"/>
    <n v="0"/>
    <n v="0"/>
    <n v="84"/>
    <n v="7"/>
    <n v="0"/>
    <n v="346.2"/>
    <n v="234.24"/>
    <m/>
    <n v="428.92696349888774"/>
    <n v="248.81836064955178"/>
    <n v="0"/>
    <n v="-5776.6931999999997"/>
    <n v="-3908.52864"/>
    <n v="0"/>
    <n v="-7157.0753129424411"/>
    <n v="-4151.7831657984207"/>
  </r>
  <r>
    <s v="Regular"/>
    <x v="4"/>
    <x v="5"/>
    <x v="5"/>
    <x v="0"/>
    <x v="2"/>
    <x v="0"/>
    <x v="0"/>
    <x v="7"/>
    <n v="0"/>
    <n v="0"/>
    <n v="21163.519"/>
    <n v="21163.519"/>
    <n v="21163.519"/>
    <n v="21163.519"/>
    <n v="42986"/>
    <x v="2"/>
    <n v="0"/>
    <n v="0"/>
    <n v="84"/>
    <n v="7"/>
    <n v="0"/>
    <n v="346.2"/>
    <n v="234.24"/>
    <m/>
    <n v="428.92696349888774"/>
    <n v="248.81836064955178"/>
    <n v="0"/>
    <n v="7326810.2778000003"/>
    <n v="4957342.69056"/>
    <n v="0"/>
    <n v="9077603.9416210167"/>
    <n v="5265872.1031556418"/>
  </r>
  <r>
    <s v="Refaturamento - Regular"/>
    <x v="4"/>
    <x v="5"/>
    <x v="5"/>
    <x v="0"/>
    <x v="2"/>
    <x v="0"/>
    <x v="0"/>
    <x v="7"/>
    <n v="0"/>
    <n v="0"/>
    <n v="-11.526"/>
    <n v="-11.526"/>
    <n v="-11.526"/>
    <n v="-11.526"/>
    <n v="-21"/>
    <x v="2"/>
    <n v="0"/>
    <n v="0"/>
    <n v="84"/>
    <n v="7"/>
    <n v="0"/>
    <n v="346.2"/>
    <n v="234.24"/>
    <m/>
    <n v="428.92696349888774"/>
    <n v="248.81836064955178"/>
    <n v="0"/>
    <n v="-3990.3011999999999"/>
    <n v="-2699.8502400000002"/>
    <n v="0"/>
    <n v="-4943.81218128818"/>
    <n v="-2867.8804248467336"/>
  </r>
  <r>
    <s v="Sistema de Compensação"/>
    <x v="4"/>
    <x v="5"/>
    <x v="5"/>
    <x v="0"/>
    <x v="2"/>
    <x v="0"/>
    <x v="0"/>
    <x v="7"/>
    <n v="0"/>
    <n v="0"/>
    <n v="1660.3520000000001"/>
    <n v="1660.3520000000001"/>
    <n v="1660.3520000000001"/>
    <n v="1660.3520000000001"/>
    <n v="1948"/>
    <x v="2"/>
    <n v="0"/>
    <n v="0"/>
    <n v="84"/>
    <n v="7"/>
    <n v="0"/>
    <n v="346.2"/>
    <n v="234.24"/>
    <m/>
    <n v="428.92696349888774"/>
    <n v="248.81836064955178"/>
    <n v="0"/>
    <n v="574813.86239999998"/>
    <n v="388920.85248000006"/>
    <n v="0"/>
    <n v="712169.74169930525"/>
    <n v="413126.06274120463"/>
  </r>
  <r>
    <s v="Sistema de Compensação"/>
    <x v="4"/>
    <x v="5"/>
    <x v="5"/>
    <x v="0"/>
    <x v="2"/>
    <x v="0"/>
    <x v="0"/>
    <x v="7"/>
    <n v="0"/>
    <n v="0"/>
    <n v="-6.2990000000000004"/>
    <n v="-6.2990000000000004"/>
    <n v="-6.2990000000000004"/>
    <n v="-6.2990000000000004"/>
    <n v="0"/>
    <x v="2"/>
    <n v="0"/>
    <n v="0"/>
    <n v="84"/>
    <n v="7"/>
    <n v="0"/>
    <n v="346.2"/>
    <n v="234.24"/>
    <m/>
    <n v="428.92696349888774"/>
    <n v="248.81836064955178"/>
    <n v="0"/>
    <n v="-2180.7138"/>
    <n v="-1475.4777600000002"/>
    <n v="0"/>
    <n v="-2701.8109430794939"/>
    <n v="-1567.3068537315266"/>
  </r>
  <r>
    <s v="Regular"/>
    <x v="4"/>
    <x v="5"/>
    <x v="5"/>
    <x v="0"/>
    <x v="2"/>
    <x v="0"/>
    <x v="0"/>
    <x v="8"/>
    <n v="0"/>
    <n v="0"/>
    <n v="22505.344000000001"/>
    <n v="22505.344000000001"/>
    <n v="22505.344000000001"/>
    <n v="22505.344000000001"/>
    <n v="43045"/>
    <x v="2"/>
    <n v="0"/>
    <n v="0"/>
    <n v="84"/>
    <n v="7"/>
    <n v="0"/>
    <n v="346.2"/>
    <n v="234.24"/>
    <m/>
    <n v="428.92696349888774"/>
    <n v="248.81836064955178"/>
    <n v="0"/>
    <n v="7791350.0927999998"/>
    <n v="5271651.7785600005"/>
    <n v="0"/>
    <n v="9653148.8644179124"/>
    <n v="5599742.7999342261"/>
  </r>
  <r>
    <s v="Refaturamento - Regular"/>
    <x v="4"/>
    <x v="5"/>
    <x v="5"/>
    <x v="0"/>
    <x v="2"/>
    <x v="0"/>
    <x v="0"/>
    <x v="8"/>
    <n v="0"/>
    <n v="0"/>
    <n v="-413.149"/>
    <n v="-413.149"/>
    <n v="-413.149"/>
    <n v="-413.149"/>
    <n v="-72"/>
    <x v="2"/>
    <n v="0"/>
    <n v="0"/>
    <n v="84"/>
    <n v="7"/>
    <n v="0"/>
    <n v="346.2"/>
    <n v="234.24"/>
    <m/>
    <n v="428.92696349888774"/>
    <n v="248.81836064955178"/>
    <n v="0"/>
    <n v="-143032.1838"/>
    <n v="-96776.021760000003"/>
    <n v="0"/>
    <n v="-177210.74604260197"/>
    <n v="-102799.05688400166"/>
  </r>
  <r>
    <s v="Sistema de Compensação"/>
    <x v="4"/>
    <x v="5"/>
    <x v="5"/>
    <x v="0"/>
    <x v="2"/>
    <x v="0"/>
    <x v="0"/>
    <x v="8"/>
    <n v="0"/>
    <n v="0"/>
    <n v="1875.0419999999999"/>
    <n v="1875.0419999999999"/>
    <n v="1875.0419999999999"/>
    <n v="1875.0419999999999"/>
    <n v="2035"/>
    <x v="2"/>
    <n v="0"/>
    <n v="0"/>
    <n v="84"/>
    <n v="7"/>
    <n v="0"/>
    <n v="346.2"/>
    <n v="234.24"/>
    <m/>
    <n v="428.92696349888774"/>
    <n v="248.81836064955178"/>
    <n v="0"/>
    <n v="649139.54039999994"/>
    <n v="439209.83808000002"/>
    <n v="0"/>
    <n v="804256.0714928814"/>
    <n v="466544.87658905686"/>
  </r>
  <r>
    <s v="Sistema de Compensação"/>
    <x v="4"/>
    <x v="5"/>
    <x v="5"/>
    <x v="0"/>
    <x v="2"/>
    <x v="0"/>
    <x v="0"/>
    <x v="8"/>
    <n v="0"/>
    <n v="0"/>
    <n v="-4.4870000000000001"/>
    <n v="-4.4870000000000001"/>
    <n v="-4.4870000000000001"/>
    <n v="-4.4870000000000001"/>
    <n v="0"/>
    <x v="2"/>
    <n v="0"/>
    <n v="0"/>
    <n v="84"/>
    <n v="7"/>
    <n v="0"/>
    <n v="346.2"/>
    <n v="234.24"/>
    <m/>
    <n v="428.92696349888774"/>
    <n v="248.81836064955178"/>
    <n v="0"/>
    <n v="-1553.3994"/>
    <n v="-1051.0348800000002"/>
    <n v="0"/>
    <n v="-1924.5952852195094"/>
    <n v="-1116.4479842345388"/>
  </r>
  <r>
    <s v="Regular"/>
    <x v="4"/>
    <x v="5"/>
    <x v="5"/>
    <x v="0"/>
    <x v="2"/>
    <x v="0"/>
    <x v="0"/>
    <x v="9"/>
    <n v="0"/>
    <n v="0"/>
    <n v="21653.513999999999"/>
    <n v="21653.513999999999"/>
    <n v="21653.513999999999"/>
    <n v="21653.513999999999"/>
    <n v="42814"/>
    <x v="2"/>
    <n v="0"/>
    <n v="0"/>
    <n v="84"/>
    <n v="7"/>
    <n v="0"/>
    <n v="346.2"/>
    <n v="234.24"/>
    <m/>
    <n v="428.92696349888774"/>
    <n v="248.81836064955178"/>
    <n v="0"/>
    <n v="7496446.5467999997"/>
    <n v="5072119.1193599999"/>
    <n v="0"/>
    <n v="9287776.0091006551"/>
    <n v="5387791.8557821186"/>
  </r>
  <r>
    <s v="Refaturamento - Regular"/>
    <x v="4"/>
    <x v="5"/>
    <x v="5"/>
    <x v="0"/>
    <x v="2"/>
    <x v="0"/>
    <x v="0"/>
    <x v="9"/>
    <n v="0"/>
    <n v="0"/>
    <n v="-46.255000000000003"/>
    <n v="-46.255000000000003"/>
    <n v="-46.255000000000003"/>
    <n v="-46.255000000000003"/>
    <n v="-7"/>
    <x v="2"/>
    <n v="0"/>
    <n v="0"/>
    <n v="84"/>
    <n v="7"/>
    <n v="0"/>
    <n v="346.2"/>
    <n v="234.24"/>
    <m/>
    <n v="428.92696349888774"/>
    <n v="248.81836064955178"/>
    <n v="0"/>
    <n v="-16013.481"/>
    <n v="-10834.771200000001"/>
    <n v="0"/>
    <n v="-19840.016696641054"/>
    <n v="-11509.093271845019"/>
  </r>
  <r>
    <s v="Sistema de Compensação"/>
    <x v="4"/>
    <x v="5"/>
    <x v="5"/>
    <x v="0"/>
    <x v="2"/>
    <x v="0"/>
    <x v="0"/>
    <x v="9"/>
    <n v="0"/>
    <n v="0"/>
    <n v="2000.874"/>
    <n v="2000.874"/>
    <n v="2000.874"/>
    <n v="2000.874"/>
    <n v="2149"/>
    <x v="2"/>
    <n v="0"/>
    <n v="0"/>
    <n v="84"/>
    <n v="7"/>
    <n v="0"/>
    <n v="346.2"/>
    <n v="234.24"/>
    <m/>
    <n v="428.92696349888774"/>
    <n v="248.81836064955178"/>
    <n v="0"/>
    <n v="692702.57880000002"/>
    <n v="468684.72576"/>
    <n v="0"/>
    <n v="858228.80916387355"/>
    <n v="497854.18854631128"/>
  </r>
  <r>
    <s v="Sistema de Compensação"/>
    <x v="4"/>
    <x v="5"/>
    <x v="5"/>
    <x v="0"/>
    <x v="2"/>
    <x v="0"/>
    <x v="0"/>
    <x v="9"/>
    <n v="0"/>
    <n v="0"/>
    <n v="-3.49"/>
    <n v="-3.49"/>
    <n v="-3.49"/>
    <n v="-3.49"/>
    <n v="0"/>
    <x v="2"/>
    <n v="0"/>
    <n v="0"/>
    <n v="84"/>
    <n v="7"/>
    <n v="0"/>
    <n v="346.2"/>
    <n v="234.24"/>
    <m/>
    <n v="428.92696349888774"/>
    <n v="248.81836064955178"/>
    <n v="0"/>
    <n v="-1208.2380000000001"/>
    <n v="-817.49760000000003"/>
    <n v="0"/>
    <n v="-1496.9551026111183"/>
    <n v="-868.37607866693577"/>
  </r>
  <r>
    <s v="Regular"/>
    <x v="4"/>
    <x v="5"/>
    <x v="5"/>
    <x v="0"/>
    <x v="2"/>
    <x v="0"/>
    <x v="0"/>
    <x v="10"/>
    <n v="0"/>
    <n v="0"/>
    <n v="21829.773000000001"/>
    <n v="21829.773000000001"/>
    <n v="21829.773000000001"/>
    <n v="21829.773000000001"/>
    <n v="42696"/>
    <x v="2"/>
    <n v="0"/>
    <n v="0"/>
    <n v="84"/>
    <n v="7"/>
    <n v="0"/>
    <n v="346.2"/>
    <n v="234.24"/>
    <m/>
    <n v="428.92696349888774"/>
    <n v="248.81836064955178"/>
    <n v="0"/>
    <n v="7557467.4126000004"/>
    <n v="5113406.02752"/>
    <n v="0"/>
    <n v="9363378.2467600051"/>
    <n v="5431648.3312118482"/>
  </r>
  <r>
    <s v="Refaturamento - Regular"/>
    <x v="4"/>
    <x v="5"/>
    <x v="5"/>
    <x v="0"/>
    <x v="2"/>
    <x v="0"/>
    <x v="0"/>
    <x v="10"/>
    <n v="0"/>
    <n v="0"/>
    <n v="-1.9750000000000001"/>
    <n v="-1.9750000000000001"/>
    <n v="-1.9750000000000001"/>
    <n v="-1.9750000000000001"/>
    <n v="-3"/>
    <x v="2"/>
    <n v="0"/>
    <n v="0"/>
    <n v="84"/>
    <n v="7"/>
    <n v="0"/>
    <n v="346.2"/>
    <n v="234.24"/>
    <m/>
    <n v="428.92696349888774"/>
    <n v="248.81836064955178"/>
    <n v="0"/>
    <n v="-683.745"/>
    <n v="-462.62400000000002"/>
    <n v="0"/>
    <n v="-847.13075291030339"/>
    <n v="-491.41626228286481"/>
  </r>
  <r>
    <s v="Sistema de Compensação"/>
    <x v="4"/>
    <x v="5"/>
    <x v="5"/>
    <x v="0"/>
    <x v="2"/>
    <x v="0"/>
    <x v="0"/>
    <x v="10"/>
    <n v="0"/>
    <n v="0"/>
    <n v="1941.952"/>
    <n v="1941.952"/>
    <n v="1941.952"/>
    <n v="1941.952"/>
    <n v="2252"/>
    <x v="2"/>
    <n v="0"/>
    <n v="0"/>
    <n v="84"/>
    <n v="7"/>
    <n v="0"/>
    <n v="346.2"/>
    <n v="234.24"/>
    <m/>
    <n v="428.92696349888774"/>
    <n v="248.81836064955178"/>
    <n v="0"/>
    <n v="672303.78240000003"/>
    <n v="454882.83648"/>
    <n v="0"/>
    <n v="832955.57462059206"/>
    <n v="483193.31310011836"/>
  </r>
  <r>
    <s v="Sistema de Compensação"/>
    <x v="4"/>
    <x v="5"/>
    <x v="5"/>
    <x v="0"/>
    <x v="2"/>
    <x v="0"/>
    <x v="0"/>
    <x v="10"/>
    <n v="0"/>
    <n v="0"/>
    <n v="-0.58199999999999996"/>
    <n v="-0.58199999999999996"/>
    <n v="-0.58199999999999996"/>
    <n v="-0.58199999999999996"/>
    <n v="0"/>
    <x v="2"/>
    <n v="0"/>
    <n v="0"/>
    <n v="84"/>
    <n v="7"/>
    <n v="0"/>
    <n v="346.2"/>
    <n v="234.24"/>
    <m/>
    <n v="428.92696349888774"/>
    <n v="248.81836064955178"/>
    <n v="0"/>
    <n v="-201.48839999999998"/>
    <n v="-136.32767999999999"/>
    <n v="0"/>
    <n v="-249.63549275635265"/>
    <n v="-144.81228589803914"/>
  </r>
  <r>
    <s v="PROJETADO"/>
    <x v="4"/>
    <x v="5"/>
    <x v="5"/>
    <x v="0"/>
    <x v="2"/>
    <x v="0"/>
    <x v="0"/>
    <x v="11"/>
    <n v="0"/>
    <n v="0"/>
    <n v="21829.773000000001"/>
    <n v="21829.773000000001"/>
    <n v="21829.773000000001"/>
    <n v="21829.773000000001"/>
    <n v="42696"/>
    <x v="2"/>
    <n v="0"/>
    <n v="0"/>
    <n v="84"/>
    <n v="7"/>
    <n v="0"/>
    <n v="346.2"/>
    <n v="234.24"/>
    <m/>
    <n v="428.92696349888774"/>
    <n v="248.81836064955178"/>
    <n v="0"/>
    <n v="7557467.4126000004"/>
    <n v="5113406.02752"/>
    <n v="0"/>
    <n v="9363378.2467600051"/>
    <n v="5431648.3312118482"/>
  </r>
  <r>
    <s v="PROJETADO"/>
    <x v="4"/>
    <x v="5"/>
    <x v="5"/>
    <x v="0"/>
    <x v="2"/>
    <x v="0"/>
    <x v="0"/>
    <x v="11"/>
    <n v="0"/>
    <n v="0"/>
    <n v="-1.9750000000000001"/>
    <n v="-1.9750000000000001"/>
    <n v="-1.9750000000000001"/>
    <n v="-1.9750000000000001"/>
    <n v="-3"/>
    <x v="2"/>
    <n v="0"/>
    <n v="0"/>
    <n v="84"/>
    <n v="7"/>
    <n v="0"/>
    <n v="346.2"/>
    <n v="234.24"/>
    <m/>
    <n v="428.92696349888774"/>
    <n v="248.81836064955178"/>
    <n v="0"/>
    <n v="-683.745"/>
    <n v="-462.62400000000002"/>
    <n v="0"/>
    <n v="-847.13075291030339"/>
    <n v="-491.41626228286481"/>
  </r>
  <r>
    <s v="PROJETADO"/>
    <x v="4"/>
    <x v="5"/>
    <x v="5"/>
    <x v="0"/>
    <x v="2"/>
    <x v="0"/>
    <x v="0"/>
    <x v="11"/>
    <n v="0"/>
    <n v="0"/>
    <n v="1941.952"/>
    <n v="1941.952"/>
    <n v="1941.952"/>
    <n v="1941.952"/>
    <n v="2252"/>
    <x v="2"/>
    <n v="0"/>
    <n v="0"/>
    <n v="84"/>
    <n v="7"/>
    <n v="0"/>
    <n v="346.2"/>
    <n v="234.24"/>
    <m/>
    <n v="428.92696349888774"/>
    <n v="248.81836064955178"/>
    <n v="0"/>
    <n v="672303.78240000003"/>
    <n v="454882.83648"/>
    <n v="0"/>
    <n v="832955.57462059206"/>
    <n v="483193.31310011836"/>
  </r>
  <r>
    <s v="PROJETADO"/>
    <x v="4"/>
    <x v="5"/>
    <x v="5"/>
    <x v="0"/>
    <x v="2"/>
    <x v="0"/>
    <x v="0"/>
    <x v="11"/>
    <n v="0"/>
    <n v="0"/>
    <n v="-0.58199999999999996"/>
    <n v="-0.58199999999999996"/>
    <n v="-0.58199999999999996"/>
    <n v="-0.58199999999999996"/>
    <n v="0"/>
    <x v="2"/>
    <n v="0"/>
    <n v="0"/>
    <n v="84"/>
    <n v="7"/>
    <n v="0"/>
    <n v="346.2"/>
    <n v="234.24"/>
    <m/>
    <n v="428.92696349888774"/>
    <n v="248.81836064955178"/>
    <n v="0"/>
    <n v="-201.48839999999998"/>
    <n v="-136.32767999999999"/>
    <n v="0"/>
    <n v="-249.63549275635265"/>
    <n v="-144.81228589803914"/>
  </r>
  <r>
    <s v="Regular"/>
    <x v="4"/>
    <x v="5"/>
    <x v="6"/>
    <x v="0"/>
    <x v="2"/>
    <x v="0"/>
    <x v="0"/>
    <x v="0"/>
    <n v="0"/>
    <n v="0"/>
    <n v="135.946"/>
    <n v="135.946"/>
    <n v="135.946"/>
    <n v="135.946"/>
    <n v="124"/>
    <x v="2"/>
    <n v="0"/>
    <n v="0"/>
    <n v="84"/>
    <n v="7"/>
    <n v="0"/>
    <n v="346.2"/>
    <n v="234.24"/>
    <m/>
    <n v="428.92696349888774"/>
    <n v="248.81836064955178"/>
    <n v="0"/>
    <n v="47064.5052"/>
    <n v="31843.991040000001"/>
    <n v="0"/>
    <n v="58310.904979819796"/>
    <n v="33825.860856863968"/>
  </r>
  <r>
    <s v="Regular"/>
    <x v="4"/>
    <x v="5"/>
    <x v="6"/>
    <x v="0"/>
    <x v="2"/>
    <x v="0"/>
    <x v="0"/>
    <x v="1"/>
    <n v="0"/>
    <n v="0"/>
    <n v="116.85299999999999"/>
    <n v="116.85299999999999"/>
    <n v="116.85299999999999"/>
    <n v="116.85299999999999"/>
    <n v="126"/>
    <x v="2"/>
    <n v="0"/>
    <n v="0"/>
    <n v="84"/>
    <n v="7"/>
    <n v="0"/>
    <n v="346.2"/>
    <n v="234.24"/>
    <m/>
    <n v="428.92696349888774"/>
    <n v="248.81836064955178"/>
    <n v="0"/>
    <n v="40454.508599999994"/>
    <n v="27371.646720000001"/>
    <n v="0"/>
    <n v="50121.402465735526"/>
    <n v="29075.171896982072"/>
  </r>
  <r>
    <s v="Regular"/>
    <x v="4"/>
    <x v="5"/>
    <x v="6"/>
    <x v="0"/>
    <x v="2"/>
    <x v="0"/>
    <x v="0"/>
    <x v="2"/>
    <n v="0"/>
    <n v="0"/>
    <n v="110.857"/>
    <n v="110.857"/>
    <n v="110.857"/>
    <n v="110.857"/>
    <n v="122"/>
    <x v="2"/>
    <n v="0"/>
    <n v="0"/>
    <n v="84"/>
    <n v="7"/>
    <n v="0"/>
    <n v="346.2"/>
    <n v="234.24"/>
    <m/>
    <n v="428.92696349888774"/>
    <n v="248.81836064955178"/>
    <n v="0"/>
    <n v="38378.693399999996"/>
    <n v="25967.143680000001"/>
    <n v="0"/>
    <n v="47549.556392596198"/>
    <n v="27583.257006527361"/>
  </r>
  <r>
    <s v="Refaturamento - Regular"/>
    <x v="4"/>
    <x v="5"/>
    <x v="6"/>
    <x v="0"/>
    <x v="2"/>
    <x v="0"/>
    <x v="0"/>
    <x v="2"/>
    <n v="0"/>
    <n v="0"/>
    <n v="0.1"/>
    <n v="0.1"/>
    <n v="0.1"/>
    <n v="0.1"/>
    <n v="2"/>
    <x v="2"/>
    <n v="0"/>
    <n v="0"/>
    <n v="84"/>
    <n v="7"/>
    <n v="0"/>
    <n v="346.2"/>
    <n v="234.24"/>
    <m/>
    <n v="428.92696349888774"/>
    <n v="248.81836064955178"/>
    <n v="0"/>
    <n v="34.619999999999997"/>
    <n v="23.424000000000003"/>
    <n v="0"/>
    <n v="42.89269634988878"/>
    <n v="24.881836064955181"/>
  </r>
  <r>
    <s v="Regular"/>
    <x v="4"/>
    <x v="5"/>
    <x v="6"/>
    <x v="0"/>
    <x v="2"/>
    <x v="0"/>
    <x v="0"/>
    <x v="3"/>
    <n v="0"/>
    <n v="0"/>
    <n v="110.09099999999999"/>
    <n v="110.09099999999999"/>
    <n v="110.09099999999999"/>
    <n v="110.09099999999999"/>
    <n v="124"/>
    <x v="2"/>
    <n v="0"/>
    <n v="0"/>
    <n v="84"/>
    <n v="7"/>
    <n v="0"/>
    <n v="346.2"/>
    <n v="234.24"/>
    <m/>
    <n v="428.92696349888774"/>
    <n v="248.81836064955178"/>
    <n v="0"/>
    <n v="38113.504199999996"/>
    <n v="25787.715840000001"/>
    <n v="0"/>
    <n v="47220.998338556048"/>
    <n v="27392.662142269804"/>
  </r>
  <r>
    <s v="Regular"/>
    <x v="4"/>
    <x v="5"/>
    <x v="6"/>
    <x v="0"/>
    <x v="2"/>
    <x v="0"/>
    <x v="0"/>
    <x v="4"/>
    <n v="0"/>
    <n v="0"/>
    <n v="107.078"/>
    <n v="107.078"/>
    <n v="107.078"/>
    <n v="107.078"/>
    <n v="124"/>
    <x v="2"/>
    <n v="0"/>
    <n v="0"/>
    <n v="84"/>
    <n v="7"/>
    <n v="0"/>
    <n v="346.2"/>
    <n v="234.24"/>
    <m/>
    <n v="428.92696349888774"/>
    <n v="248.81836064955178"/>
    <n v="0"/>
    <n v="37070.403599999998"/>
    <n v="25081.950720000001"/>
    <n v="0"/>
    <n v="45928.641397533902"/>
    <n v="26642.972421632705"/>
  </r>
  <r>
    <s v="Regular"/>
    <x v="4"/>
    <x v="5"/>
    <x v="6"/>
    <x v="0"/>
    <x v="2"/>
    <x v="0"/>
    <x v="0"/>
    <x v="5"/>
    <n v="0"/>
    <n v="0"/>
    <n v="112.01900000000001"/>
    <n v="112.01900000000001"/>
    <n v="112.01900000000001"/>
    <n v="112.01900000000001"/>
    <n v="115"/>
    <x v="2"/>
    <n v="0"/>
    <n v="0"/>
    <n v="84"/>
    <n v="7"/>
    <n v="0"/>
    <n v="346.2"/>
    <n v="234.24"/>
    <m/>
    <n v="428.92696349888774"/>
    <n v="248.81836064955178"/>
    <n v="0"/>
    <n v="38780.977800000001"/>
    <n v="26239.330560000002"/>
    <n v="0"/>
    <n v="48047.969524181906"/>
    <n v="27872.383941602144"/>
  </r>
  <r>
    <s v="Regular"/>
    <x v="4"/>
    <x v="5"/>
    <x v="6"/>
    <x v="0"/>
    <x v="2"/>
    <x v="0"/>
    <x v="0"/>
    <x v="6"/>
    <n v="0"/>
    <n v="0"/>
    <n v="125.72799999999999"/>
    <n v="125.72799999999999"/>
    <n v="125.72799999999999"/>
    <n v="125.72799999999999"/>
    <n v="114"/>
    <x v="2"/>
    <n v="0"/>
    <n v="0"/>
    <n v="84"/>
    <n v="7"/>
    <n v="0"/>
    <n v="346.2"/>
    <n v="234.24"/>
    <m/>
    <n v="428.92696349888774"/>
    <n v="248.81836064955178"/>
    <n v="0"/>
    <n v="43527.033599999995"/>
    <n v="29450.526719999998"/>
    <n v="0"/>
    <n v="53928.129266788157"/>
    <n v="31283.434847746845"/>
  </r>
  <r>
    <s v="Regular"/>
    <x v="4"/>
    <x v="5"/>
    <x v="6"/>
    <x v="0"/>
    <x v="2"/>
    <x v="0"/>
    <x v="0"/>
    <x v="7"/>
    <n v="0"/>
    <n v="0"/>
    <n v="131.577"/>
    <n v="131.577"/>
    <n v="131.577"/>
    <n v="131.577"/>
    <n v="122"/>
    <x v="2"/>
    <n v="0"/>
    <n v="0"/>
    <n v="84"/>
    <n v="7"/>
    <n v="0"/>
    <n v="346.2"/>
    <n v="234.24"/>
    <m/>
    <n v="428.92696349888774"/>
    <n v="248.81836064955178"/>
    <n v="0"/>
    <n v="45551.957399999999"/>
    <n v="30820.59648"/>
    <n v="0"/>
    <n v="56436.923076293155"/>
    <n v="32738.773439186072"/>
  </r>
  <r>
    <s v="Regular"/>
    <x v="4"/>
    <x v="5"/>
    <x v="6"/>
    <x v="0"/>
    <x v="2"/>
    <x v="0"/>
    <x v="0"/>
    <x v="8"/>
    <n v="0"/>
    <n v="0"/>
    <n v="144.143"/>
    <n v="144.143"/>
    <n v="144.143"/>
    <n v="144.143"/>
    <n v="114"/>
    <x v="2"/>
    <n v="0"/>
    <n v="0"/>
    <n v="84"/>
    <n v="7"/>
    <n v="0"/>
    <n v="346.2"/>
    <n v="234.24"/>
    <m/>
    <n v="428.92696349888774"/>
    <n v="248.81836064955178"/>
    <n v="0"/>
    <n v="49902.306599999996"/>
    <n v="33764.056320000003"/>
    <n v="0"/>
    <n v="61826.819299620176"/>
    <n v="35865.424959108343"/>
  </r>
  <r>
    <s v="Regular"/>
    <x v="4"/>
    <x v="5"/>
    <x v="6"/>
    <x v="0"/>
    <x v="2"/>
    <x v="0"/>
    <x v="0"/>
    <x v="9"/>
    <n v="0"/>
    <n v="0"/>
    <n v="138.63300000000001"/>
    <n v="138.63300000000001"/>
    <n v="138.63300000000001"/>
    <n v="138.63300000000001"/>
    <n v="105"/>
    <x v="2"/>
    <n v="0"/>
    <n v="0"/>
    <n v="84"/>
    <n v="7"/>
    <n v="0"/>
    <n v="346.2"/>
    <n v="234.24"/>
    <m/>
    <n v="428.92696349888774"/>
    <n v="248.81836064955178"/>
    <n v="0"/>
    <n v="47994.744600000005"/>
    <n v="32473.393920000002"/>
    <n v="0"/>
    <n v="59463.431730741308"/>
    <n v="34494.435791929311"/>
  </r>
  <r>
    <s v="Regular"/>
    <x v="4"/>
    <x v="5"/>
    <x v="6"/>
    <x v="0"/>
    <x v="2"/>
    <x v="0"/>
    <x v="0"/>
    <x v="10"/>
    <n v="0"/>
    <n v="0"/>
    <n v="139.43199999999999"/>
    <n v="139.43199999999999"/>
    <n v="139.43199999999999"/>
    <n v="139.43199999999999"/>
    <n v="109"/>
    <x v="2"/>
    <n v="0"/>
    <n v="0"/>
    <n v="84"/>
    <n v="7"/>
    <n v="0"/>
    <n v="346.2"/>
    <n v="234.24"/>
    <m/>
    <n v="428.92696349888774"/>
    <n v="248.81836064955178"/>
    <n v="0"/>
    <n v="48271.358399999997"/>
    <n v="32660.551679999997"/>
    <n v="0"/>
    <n v="59806.144374576914"/>
    <n v="34693.241662088301"/>
  </r>
  <r>
    <s v="PROJETADO"/>
    <x v="4"/>
    <x v="5"/>
    <x v="6"/>
    <x v="0"/>
    <x v="2"/>
    <x v="0"/>
    <x v="0"/>
    <x v="11"/>
    <n v="0"/>
    <n v="0"/>
    <n v="139.43199999999999"/>
    <n v="139.43199999999999"/>
    <n v="139.43199999999999"/>
    <n v="139.43199999999999"/>
    <n v="109"/>
    <x v="2"/>
    <n v="0"/>
    <n v="0"/>
    <n v="84"/>
    <n v="7"/>
    <n v="0"/>
    <n v="346.2"/>
    <n v="234.24"/>
    <m/>
    <n v="428.92696349888774"/>
    <n v="248.81836064955178"/>
    <n v="0"/>
    <n v="48271.358399999997"/>
    <n v="32660.551679999997"/>
    <n v="0"/>
    <n v="59806.144374576914"/>
    <n v="34693.241662088301"/>
  </r>
  <r>
    <s v="Regular"/>
    <x v="4"/>
    <x v="5"/>
    <x v="0"/>
    <x v="0"/>
    <x v="2"/>
    <x v="0"/>
    <x v="0"/>
    <x v="0"/>
    <n v="0"/>
    <n v="0"/>
    <n v="1293.548"/>
    <n v="1293.548"/>
    <n v="1293.548"/>
    <n v="1293.548"/>
    <n v="683"/>
    <x v="2"/>
    <n v="0"/>
    <n v="0"/>
    <n v="84"/>
    <n v="7"/>
    <n v="0"/>
    <n v="346.2"/>
    <n v="234.24"/>
    <m/>
    <n v="428.92696349888774"/>
    <n v="248.81836064955178"/>
    <n v="0"/>
    <n v="447826.31760000001"/>
    <n v="303000.68352000002"/>
    <n v="0"/>
    <n v="554837.61578005925"/>
    <n v="321858.49278150639"/>
  </r>
  <r>
    <s v="Refaturamento - Regular"/>
    <x v="4"/>
    <x v="5"/>
    <x v="0"/>
    <x v="0"/>
    <x v="2"/>
    <x v="0"/>
    <x v="0"/>
    <x v="0"/>
    <n v="0"/>
    <n v="0"/>
    <n v="-0.186"/>
    <n v="-0.186"/>
    <n v="-0.186"/>
    <n v="-0.186"/>
    <n v="0"/>
    <x v="2"/>
    <n v="0"/>
    <n v="0"/>
    <n v="84"/>
    <n v="7"/>
    <n v="0"/>
    <n v="346.2"/>
    <n v="234.24"/>
    <m/>
    <n v="428.92696349888774"/>
    <n v="248.81836064955178"/>
    <n v="0"/>
    <n v="-64.393199999999993"/>
    <n v="-43.568640000000002"/>
    <n v="0"/>
    <n v="-79.780415210793123"/>
    <n v="-46.280215080816632"/>
  </r>
  <r>
    <s v="Sistema de Compensação"/>
    <x v="4"/>
    <x v="5"/>
    <x v="0"/>
    <x v="0"/>
    <x v="2"/>
    <x v="0"/>
    <x v="0"/>
    <x v="0"/>
    <n v="0"/>
    <n v="0"/>
    <n v="42.223999999999997"/>
    <n v="42.223999999999997"/>
    <n v="42.223999999999997"/>
    <n v="42.223999999999997"/>
    <n v="45"/>
    <x v="2"/>
    <n v="0"/>
    <n v="0"/>
    <n v="84"/>
    <n v="7"/>
    <n v="0"/>
    <n v="346.2"/>
    <n v="234.24"/>
    <m/>
    <n v="428.92696349888774"/>
    <n v="248.81836064955178"/>
    <n v="0"/>
    <n v="14617.948799999998"/>
    <n v="9890.5497599999999"/>
    <n v="0"/>
    <n v="18111.012106777034"/>
    <n v="10506.106460066674"/>
  </r>
  <r>
    <s v="Regular"/>
    <x v="4"/>
    <x v="5"/>
    <x v="0"/>
    <x v="0"/>
    <x v="2"/>
    <x v="0"/>
    <x v="0"/>
    <x v="1"/>
    <n v="0"/>
    <n v="0"/>
    <n v="1185.8820000000001"/>
    <n v="1185.8820000000001"/>
    <n v="1185.8820000000001"/>
    <n v="1185.8820000000001"/>
    <n v="680"/>
    <x v="2"/>
    <n v="0"/>
    <n v="0"/>
    <n v="84"/>
    <n v="7"/>
    <n v="0"/>
    <n v="346.2"/>
    <n v="234.24"/>
    <m/>
    <n v="428.92696349888774"/>
    <n v="248.81836064955178"/>
    <n v="0"/>
    <n v="410552.34840000002"/>
    <n v="277780.99968000001"/>
    <n v="0"/>
    <n v="508656.76532798802"/>
    <n v="295069.21516381175"/>
  </r>
  <r>
    <s v="Refaturamento - Regular"/>
    <x v="4"/>
    <x v="5"/>
    <x v="0"/>
    <x v="0"/>
    <x v="2"/>
    <x v="0"/>
    <x v="0"/>
    <x v="1"/>
    <n v="0"/>
    <n v="0"/>
    <n v="-1.38"/>
    <n v="-1.38"/>
    <n v="-1.38"/>
    <n v="-1.38"/>
    <n v="-9"/>
    <x v="2"/>
    <n v="0"/>
    <n v="0"/>
    <n v="84"/>
    <n v="7"/>
    <n v="0"/>
    <n v="346.2"/>
    <n v="234.24"/>
    <m/>
    <n v="428.92696349888774"/>
    <n v="248.81836064955178"/>
    <n v="0"/>
    <n v="-477.75599999999997"/>
    <n v="-323.25119999999998"/>
    <n v="0"/>
    <n v="-591.91920962846507"/>
    <n v="-343.36933769638142"/>
  </r>
  <r>
    <s v="Sistema de Compensação"/>
    <x v="4"/>
    <x v="5"/>
    <x v="0"/>
    <x v="0"/>
    <x v="2"/>
    <x v="0"/>
    <x v="0"/>
    <x v="1"/>
    <n v="0"/>
    <n v="0"/>
    <n v="49.832999999999998"/>
    <n v="49.832999999999998"/>
    <n v="49.832999999999998"/>
    <n v="49.832999999999998"/>
    <n v="49"/>
    <x v="2"/>
    <n v="0"/>
    <n v="0"/>
    <n v="84"/>
    <n v="7"/>
    <n v="0"/>
    <n v="346.2"/>
    <n v="234.24"/>
    <m/>
    <n v="428.92696349888774"/>
    <n v="248.81836064955178"/>
    <n v="0"/>
    <n v="17252.184600000001"/>
    <n v="11672.88192"/>
    <n v="0"/>
    <n v="21374.717372040071"/>
    <n v="12399.365366249114"/>
  </r>
  <r>
    <s v="Regular"/>
    <x v="4"/>
    <x v="5"/>
    <x v="0"/>
    <x v="0"/>
    <x v="2"/>
    <x v="0"/>
    <x v="0"/>
    <x v="2"/>
    <n v="0"/>
    <n v="0"/>
    <n v="1231.912"/>
    <n v="1231.912"/>
    <n v="1231.912"/>
    <n v="1231.912"/>
    <n v="680"/>
    <x v="2"/>
    <n v="0"/>
    <n v="0"/>
    <n v="84"/>
    <n v="7"/>
    <n v="0"/>
    <n v="346.2"/>
    <n v="234.24"/>
    <m/>
    <n v="428.92696349888774"/>
    <n v="248.81836064955178"/>
    <n v="0"/>
    <n v="426487.93439999997"/>
    <n v="288563.06688"/>
    <n v="0"/>
    <n v="528400.27345784183"/>
    <n v="306522.32430451066"/>
  </r>
  <r>
    <s v="Refaturamento - Regular"/>
    <x v="4"/>
    <x v="5"/>
    <x v="0"/>
    <x v="0"/>
    <x v="2"/>
    <x v="0"/>
    <x v="0"/>
    <x v="2"/>
    <n v="0"/>
    <n v="0"/>
    <n v="-5.8999999999999997E-2"/>
    <n v="-5.8999999999999997E-2"/>
    <n v="-5.8999999999999997E-2"/>
    <n v="-5.8999999999999997E-2"/>
    <n v="0"/>
    <x v="2"/>
    <n v="0"/>
    <n v="0"/>
    <n v="84"/>
    <n v="7"/>
    <n v="0"/>
    <n v="346.2"/>
    <n v="234.24"/>
    <m/>
    <n v="428.92696349888774"/>
    <n v="248.81836064955178"/>
    <n v="0"/>
    <n v="-20.425799999999999"/>
    <n v="-13.82016"/>
    <n v="0"/>
    <n v="-25.306690846434375"/>
    <n v="-14.680283278323554"/>
  </r>
  <r>
    <s v="Sistema de Compensação"/>
    <x v="4"/>
    <x v="5"/>
    <x v="0"/>
    <x v="0"/>
    <x v="2"/>
    <x v="0"/>
    <x v="0"/>
    <x v="2"/>
    <n v="0"/>
    <n v="0"/>
    <n v="55.109000000000002"/>
    <n v="55.109000000000002"/>
    <n v="55.109000000000002"/>
    <n v="55.109000000000002"/>
    <n v="49"/>
    <x v="2"/>
    <n v="0"/>
    <n v="0"/>
    <n v="84"/>
    <n v="7"/>
    <n v="0"/>
    <n v="346.2"/>
    <n v="234.24"/>
    <m/>
    <n v="428.92696349888774"/>
    <n v="248.81836064955178"/>
    <n v="0"/>
    <n v="19078.735799999999"/>
    <n v="12908.732160000001"/>
    <n v="0"/>
    <n v="23637.736031460205"/>
    <n v="13712.13103703615"/>
  </r>
  <r>
    <s v="Regular"/>
    <x v="4"/>
    <x v="5"/>
    <x v="0"/>
    <x v="0"/>
    <x v="2"/>
    <x v="0"/>
    <x v="0"/>
    <x v="3"/>
    <n v="0"/>
    <n v="0"/>
    <n v="1177.837"/>
    <n v="1177.837"/>
    <n v="1177.837"/>
    <n v="1177.837"/>
    <n v="680"/>
    <x v="2"/>
    <n v="0"/>
    <n v="0"/>
    <n v="84"/>
    <n v="7"/>
    <n v="0"/>
    <n v="346.2"/>
    <n v="234.24"/>
    <m/>
    <n v="428.92696349888774"/>
    <n v="248.81836064955178"/>
    <n v="0"/>
    <n v="407767.16939999996"/>
    <n v="275896.53888000001"/>
    <n v="0"/>
    <n v="505206.04790663946"/>
    <n v="293067.47145238612"/>
  </r>
  <r>
    <s v="Sistema de Compensação"/>
    <x v="4"/>
    <x v="5"/>
    <x v="0"/>
    <x v="0"/>
    <x v="2"/>
    <x v="0"/>
    <x v="0"/>
    <x v="3"/>
    <n v="0"/>
    <n v="0"/>
    <n v="65.125"/>
    <n v="65.125"/>
    <n v="65.125"/>
    <n v="65.125"/>
    <n v="53"/>
    <x v="2"/>
    <n v="0"/>
    <n v="0"/>
    <n v="84"/>
    <n v="7"/>
    <n v="0"/>
    <n v="346.2"/>
    <n v="234.24"/>
    <m/>
    <n v="428.92696349888774"/>
    <n v="248.81836064955178"/>
    <n v="0"/>
    <n v="22546.274999999998"/>
    <n v="15254.880000000001"/>
    <n v="0"/>
    <n v="27933.868497865064"/>
    <n v="16204.29573730206"/>
  </r>
  <r>
    <s v="Regular"/>
    <x v="4"/>
    <x v="5"/>
    <x v="0"/>
    <x v="0"/>
    <x v="2"/>
    <x v="0"/>
    <x v="0"/>
    <x v="4"/>
    <n v="0"/>
    <n v="0"/>
    <n v="1243.7929999999999"/>
    <n v="1243.7929999999999"/>
    <n v="1243.7929999999999"/>
    <n v="1243.7929999999999"/>
    <n v="678"/>
    <x v="2"/>
    <n v="0"/>
    <n v="0"/>
    <n v="84"/>
    <n v="7"/>
    <n v="0"/>
    <n v="346.2"/>
    <n v="234.24"/>
    <m/>
    <n v="428.92696349888774"/>
    <n v="248.81836064955178"/>
    <n v="0"/>
    <n v="430601.13659999997"/>
    <n v="291346.07231999998"/>
    <n v="0"/>
    <n v="533496.35471117205"/>
    <n v="309478.53524738795"/>
  </r>
  <r>
    <s v="Sistema de Compensação"/>
    <x v="4"/>
    <x v="5"/>
    <x v="0"/>
    <x v="0"/>
    <x v="2"/>
    <x v="0"/>
    <x v="0"/>
    <x v="4"/>
    <n v="0"/>
    <n v="0"/>
    <n v="56.365000000000002"/>
    <n v="56.365000000000002"/>
    <n v="56.365000000000002"/>
    <n v="56.365000000000002"/>
    <n v="54"/>
    <x v="2"/>
    <n v="0"/>
    <n v="0"/>
    <n v="84"/>
    <n v="7"/>
    <n v="0"/>
    <n v="346.2"/>
    <n v="234.24"/>
    <m/>
    <n v="428.92696349888774"/>
    <n v="248.81836064955178"/>
    <n v="0"/>
    <n v="19513.562999999998"/>
    <n v="13202.937600000001"/>
    <n v="0"/>
    <n v="24176.468297614807"/>
    <n v="14024.646898011986"/>
  </r>
  <r>
    <s v="Regular"/>
    <x v="4"/>
    <x v="5"/>
    <x v="0"/>
    <x v="0"/>
    <x v="2"/>
    <x v="0"/>
    <x v="0"/>
    <x v="5"/>
    <n v="0"/>
    <n v="0"/>
    <n v="1239.357"/>
    <n v="1239.357"/>
    <n v="1239.357"/>
    <n v="1239.357"/>
    <n v="676"/>
    <x v="2"/>
    <n v="0"/>
    <n v="0"/>
    <n v="84"/>
    <n v="7"/>
    <n v="0"/>
    <n v="346.2"/>
    <n v="234.24"/>
    <m/>
    <n v="428.92696349888774"/>
    <n v="248.81836064955178"/>
    <n v="0"/>
    <n v="429065.3934"/>
    <n v="290306.98368"/>
    <n v="0"/>
    <n v="531593.63470109098"/>
    <n v="308374.77699954656"/>
  </r>
  <r>
    <s v="Sistema de Compensação"/>
    <x v="4"/>
    <x v="5"/>
    <x v="0"/>
    <x v="0"/>
    <x v="2"/>
    <x v="0"/>
    <x v="0"/>
    <x v="5"/>
    <n v="0"/>
    <n v="0"/>
    <n v="54.372"/>
    <n v="54.372"/>
    <n v="54.372"/>
    <n v="54.372"/>
    <n v="58"/>
    <x v="2"/>
    <n v="0"/>
    <n v="0"/>
    <n v="84"/>
    <n v="7"/>
    <n v="0"/>
    <n v="346.2"/>
    <n v="234.24"/>
    <m/>
    <n v="428.92696349888774"/>
    <n v="248.81836064955178"/>
    <n v="0"/>
    <n v="18823.5864"/>
    <n v="12736.09728"/>
    <n v="0"/>
    <n v="23321.616859361526"/>
    <n v="13528.75190523743"/>
  </r>
  <r>
    <s v="Regular"/>
    <x v="4"/>
    <x v="5"/>
    <x v="0"/>
    <x v="0"/>
    <x v="2"/>
    <x v="0"/>
    <x v="0"/>
    <x v="6"/>
    <n v="0"/>
    <n v="0"/>
    <n v="1250.835"/>
    <n v="1250.835"/>
    <n v="1250.835"/>
    <n v="1250.835"/>
    <n v="675"/>
    <x v="2"/>
    <n v="0"/>
    <n v="0"/>
    <n v="84"/>
    <n v="7"/>
    <n v="0"/>
    <n v="346.2"/>
    <n v="234.24"/>
    <m/>
    <n v="428.92696349888774"/>
    <n v="248.81836064955178"/>
    <n v="0"/>
    <n v="433039.07699999999"/>
    <n v="292995.59040000004"/>
    <n v="0"/>
    <n v="536516.85838813125"/>
    <n v="311230.71414308209"/>
  </r>
  <r>
    <s v="Refaturamento - Regular"/>
    <x v="4"/>
    <x v="5"/>
    <x v="0"/>
    <x v="0"/>
    <x v="2"/>
    <x v="0"/>
    <x v="0"/>
    <x v="6"/>
    <n v="0"/>
    <n v="0"/>
    <n v="-1.1259999999999999"/>
    <n v="-1.1259999999999999"/>
    <n v="-1.1259999999999999"/>
    <n v="-1.1259999999999999"/>
    <n v="-5"/>
    <x v="2"/>
    <n v="0"/>
    <n v="0"/>
    <n v="84"/>
    <n v="7"/>
    <n v="0"/>
    <n v="346.2"/>
    <n v="234.24"/>
    <m/>
    <n v="428.92696349888774"/>
    <n v="248.81836064955178"/>
    <n v="0"/>
    <n v="-389.82119999999998"/>
    <n v="-263.75423999999998"/>
    <n v="0"/>
    <n v="-482.97176089974755"/>
    <n v="-280.16947409139527"/>
  </r>
  <r>
    <s v="Sistema de Compensação"/>
    <x v="4"/>
    <x v="5"/>
    <x v="0"/>
    <x v="0"/>
    <x v="2"/>
    <x v="0"/>
    <x v="0"/>
    <x v="6"/>
    <n v="0"/>
    <n v="0"/>
    <n v="53.360999999999997"/>
    <n v="53.360999999999997"/>
    <n v="53.360999999999997"/>
    <n v="53.360999999999997"/>
    <n v="60"/>
    <x v="2"/>
    <n v="0"/>
    <n v="0"/>
    <n v="84"/>
    <n v="7"/>
    <n v="0"/>
    <n v="346.2"/>
    <n v="234.24"/>
    <m/>
    <n v="428.92696349888774"/>
    <n v="248.81836064955178"/>
    <n v="0"/>
    <n v="18473.5782"/>
    <n v="12499.280639999999"/>
    <n v="0"/>
    <n v="22887.971699264148"/>
    <n v="13277.196542620732"/>
  </r>
  <r>
    <s v="Regular"/>
    <x v="4"/>
    <x v="5"/>
    <x v="0"/>
    <x v="0"/>
    <x v="2"/>
    <x v="0"/>
    <x v="0"/>
    <x v="7"/>
    <n v="0"/>
    <n v="0"/>
    <n v="1244.596"/>
    <n v="1244.596"/>
    <n v="1244.596"/>
    <n v="1244.596"/>
    <n v="678"/>
    <x v="2"/>
    <n v="0"/>
    <n v="0"/>
    <n v="84"/>
    <n v="7"/>
    <n v="0"/>
    <n v="346.2"/>
    <n v="234.24"/>
    <m/>
    <n v="428.92696349888774"/>
    <n v="248.81836064955178"/>
    <n v="0"/>
    <n v="430879.13519999996"/>
    <n v="291534.16704000003"/>
    <n v="0"/>
    <n v="533840.78306286165"/>
    <n v="309678.33639098954"/>
  </r>
  <r>
    <s v="Sistema de Compensação"/>
    <x v="4"/>
    <x v="5"/>
    <x v="0"/>
    <x v="0"/>
    <x v="2"/>
    <x v="0"/>
    <x v="0"/>
    <x v="7"/>
    <n v="0"/>
    <n v="0"/>
    <n v="54.143000000000001"/>
    <n v="54.143000000000001"/>
    <n v="54.143000000000001"/>
    <n v="54.143000000000001"/>
    <n v="61"/>
    <x v="2"/>
    <n v="0"/>
    <n v="0"/>
    <n v="84"/>
    <n v="7"/>
    <n v="0"/>
    <n v="346.2"/>
    <n v="234.24"/>
    <m/>
    <n v="428.92696349888774"/>
    <n v="248.81836064955178"/>
    <n v="0"/>
    <n v="18744.3066"/>
    <n v="12682.456320000001"/>
    <n v="0"/>
    <n v="23223.392584720281"/>
    <n v="13471.772500648682"/>
  </r>
  <r>
    <s v="Regular"/>
    <x v="4"/>
    <x v="5"/>
    <x v="0"/>
    <x v="0"/>
    <x v="2"/>
    <x v="0"/>
    <x v="0"/>
    <x v="8"/>
    <n v="0"/>
    <n v="0"/>
    <n v="1341.25"/>
    <n v="1341.25"/>
    <n v="1341.25"/>
    <n v="1341.25"/>
    <n v="689"/>
    <x v="2"/>
    <n v="0"/>
    <n v="0"/>
    <n v="84"/>
    <n v="7"/>
    <n v="0"/>
    <n v="346.2"/>
    <n v="234.24"/>
    <m/>
    <n v="428.92696349888774"/>
    <n v="248.81836064955178"/>
    <n v="0"/>
    <n v="464340.75"/>
    <n v="314174.40000000002"/>
    <n v="0"/>
    <n v="575298.28979288321"/>
    <n v="333727.62622121134"/>
  </r>
  <r>
    <s v="Refaturamento - Regular"/>
    <x v="4"/>
    <x v="5"/>
    <x v="0"/>
    <x v="0"/>
    <x v="2"/>
    <x v="0"/>
    <x v="0"/>
    <x v="8"/>
    <n v="0"/>
    <n v="0"/>
    <n v="-3"/>
    <n v="-3"/>
    <n v="-3"/>
    <n v="-3"/>
    <n v="-2"/>
    <x v="2"/>
    <n v="0"/>
    <n v="0"/>
    <n v="84"/>
    <n v="7"/>
    <n v="0"/>
    <n v="346.2"/>
    <n v="234.24"/>
    <m/>
    <n v="428.92696349888774"/>
    <n v="248.81836064955178"/>
    <n v="0"/>
    <n v="-1038.5999999999999"/>
    <n v="-702.72"/>
    <n v="0"/>
    <n v="-1286.7808904966632"/>
    <n v="-746.45508194865533"/>
  </r>
  <r>
    <s v="Sistema de Compensação"/>
    <x v="4"/>
    <x v="5"/>
    <x v="0"/>
    <x v="0"/>
    <x v="2"/>
    <x v="0"/>
    <x v="0"/>
    <x v="8"/>
    <n v="0"/>
    <n v="0"/>
    <n v="70.896000000000001"/>
    <n v="70.896000000000001"/>
    <n v="70.896000000000001"/>
    <n v="70.896000000000001"/>
    <n v="63"/>
    <x v="2"/>
    <n v="0"/>
    <n v="0"/>
    <n v="84"/>
    <n v="7"/>
    <n v="0"/>
    <n v="346.2"/>
    <n v="234.24"/>
    <m/>
    <n v="428.92696349888774"/>
    <n v="248.81836064955178"/>
    <n v="0"/>
    <n v="24544.195199999998"/>
    <n v="16606.679039999999"/>
    <n v="0"/>
    <n v="30409.206004217147"/>
    <n v="17640.226496610623"/>
  </r>
  <r>
    <s v="Regular"/>
    <x v="4"/>
    <x v="5"/>
    <x v="0"/>
    <x v="0"/>
    <x v="2"/>
    <x v="0"/>
    <x v="0"/>
    <x v="9"/>
    <n v="0"/>
    <n v="0"/>
    <n v="1320.1410000000001"/>
    <n v="1320.1410000000001"/>
    <n v="1320.1410000000001"/>
    <n v="1320.1410000000001"/>
    <n v="689"/>
    <x v="2"/>
    <n v="0"/>
    <n v="0"/>
    <n v="84"/>
    <n v="7"/>
    <n v="0"/>
    <n v="346.2"/>
    <n v="234.24"/>
    <m/>
    <n v="428.92696349888774"/>
    <n v="248.81836064955178"/>
    <n v="0"/>
    <n v="457032.81420000002"/>
    <n v="309229.82784000004"/>
    <n v="0"/>
    <n v="566244.07052038517"/>
    <n v="328475.31944625993"/>
  </r>
  <r>
    <s v="Sistema de Compensação"/>
    <x v="4"/>
    <x v="5"/>
    <x v="0"/>
    <x v="0"/>
    <x v="2"/>
    <x v="0"/>
    <x v="0"/>
    <x v="9"/>
    <n v="0"/>
    <n v="0"/>
    <n v="71.986000000000004"/>
    <n v="71.986000000000004"/>
    <n v="71.986000000000004"/>
    <n v="71.986000000000004"/>
    <n v="64"/>
    <x v="2"/>
    <n v="0"/>
    <n v="0"/>
    <n v="84"/>
    <n v="7"/>
    <n v="0"/>
    <n v="346.2"/>
    <n v="234.24"/>
    <m/>
    <n v="428.92696349888774"/>
    <n v="248.81836064955178"/>
    <n v="0"/>
    <n v="24921.553200000002"/>
    <n v="16862.000640000002"/>
    <n v="0"/>
    <n v="30876.736394430936"/>
    <n v="17911.438509718635"/>
  </r>
  <r>
    <s v="Sistema de Compensação"/>
    <x v="4"/>
    <x v="5"/>
    <x v="0"/>
    <x v="0"/>
    <x v="2"/>
    <x v="0"/>
    <x v="0"/>
    <x v="9"/>
    <n v="0"/>
    <n v="0"/>
    <n v="0.10299999999999999"/>
    <n v="0.10299999999999999"/>
    <n v="0.10299999999999999"/>
    <n v="0.10299999999999999"/>
    <n v="0"/>
    <x v="2"/>
    <n v="0"/>
    <n v="0"/>
    <n v="84"/>
    <n v="7"/>
    <n v="0"/>
    <n v="346.2"/>
    <n v="234.24"/>
    <m/>
    <n v="428.92696349888774"/>
    <n v="248.81836064955178"/>
    <n v="0"/>
    <n v="35.6586"/>
    <n v="24.126719999999999"/>
    <n v="0"/>
    <n v="44.179477240385438"/>
    <n v="25.62829114690383"/>
  </r>
  <r>
    <s v="Regular"/>
    <x v="4"/>
    <x v="5"/>
    <x v="0"/>
    <x v="0"/>
    <x v="2"/>
    <x v="0"/>
    <x v="0"/>
    <x v="10"/>
    <n v="0"/>
    <n v="0"/>
    <n v="1197.2909999999999"/>
    <n v="1197.2909999999999"/>
    <n v="1197.2909999999999"/>
    <n v="1197.2909999999999"/>
    <n v="674"/>
    <x v="2"/>
    <n v="0"/>
    <n v="0"/>
    <n v="84"/>
    <n v="7"/>
    <n v="0"/>
    <n v="346.2"/>
    <n v="234.24"/>
    <m/>
    <n v="428.92696349888774"/>
    <n v="248.81836064955178"/>
    <n v="0"/>
    <n v="414502.14419999998"/>
    <n v="280453.44384000002"/>
    <n v="0"/>
    <n v="513550.39305454679"/>
    <n v="297907.98384046246"/>
  </r>
  <r>
    <s v="Refaturamento - Regular"/>
    <x v="4"/>
    <x v="5"/>
    <x v="0"/>
    <x v="0"/>
    <x v="2"/>
    <x v="0"/>
    <x v="0"/>
    <x v="10"/>
    <n v="0"/>
    <n v="0"/>
    <n v="-1.044"/>
    <n v="-1.044"/>
    <n v="-1.044"/>
    <n v="-1.044"/>
    <n v="0"/>
    <x v="2"/>
    <n v="0"/>
    <n v="0"/>
    <n v="84"/>
    <n v="7"/>
    <n v="0"/>
    <n v="346.2"/>
    <n v="234.24"/>
    <m/>
    <n v="428.92696349888774"/>
    <n v="248.81836064955178"/>
    <n v="0"/>
    <n v="-361.43279999999999"/>
    <n v="-244.54656000000003"/>
    <n v="0"/>
    <n v="-447.7997498928388"/>
    <n v="-259.76636851813208"/>
  </r>
  <r>
    <s v="Sistema de Compensação"/>
    <x v="4"/>
    <x v="5"/>
    <x v="0"/>
    <x v="0"/>
    <x v="2"/>
    <x v="0"/>
    <x v="0"/>
    <x v="10"/>
    <n v="0"/>
    <n v="0"/>
    <n v="81.245000000000005"/>
    <n v="81.245000000000005"/>
    <n v="81.245000000000005"/>
    <n v="81.245000000000005"/>
    <n v="66"/>
    <x v="2"/>
    <n v="0"/>
    <n v="0"/>
    <n v="84"/>
    <n v="7"/>
    <n v="0"/>
    <n v="346.2"/>
    <n v="234.24"/>
    <m/>
    <n v="428.92696349888774"/>
    <n v="248.81836064955178"/>
    <n v="0"/>
    <n v="28127.019"/>
    <n v="19030.828800000003"/>
    <n v="0"/>
    <n v="34848.17114946714"/>
    <n v="20215.247710972835"/>
  </r>
  <r>
    <s v="Sistema de Compensação"/>
    <x v="4"/>
    <x v="5"/>
    <x v="0"/>
    <x v="0"/>
    <x v="2"/>
    <x v="0"/>
    <x v="0"/>
    <x v="10"/>
    <n v="0"/>
    <n v="0"/>
    <n v="-0.1"/>
    <n v="-0.1"/>
    <n v="-0.1"/>
    <n v="-0.1"/>
    <n v="-1"/>
    <x v="2"/>
    <n v="0"/>
    <n v="0"/>
    <n v="84"/>
    <n v="7"/>
    <n v="0"/>
    <n v="346.2"/>
    <n v="234.24"/>
    <m/>
    <n v="428.92696349888774"/>
    <n v="248.81836064955178"/>
    <n v="0"/>
    <n v="-34.619999999999997"/>
    <n v="-23.424000000000003"/>
    <n v="0"/>
    <n v="-42.89269634988878"/>
    <n v="-24.881836064955181"/>
  </r>
  <r>
    <s v="PROJETADO"/>
    <x v="4"/>
    <x v="5"/>
    <x v="0"/>
    <x v="0"/>
    <x v="2"/>
    <x v="0"/>
    <x v="0"/>
    <x v="11"/>
    <n v="0"/>
    <n v="0"/>
    <n v="1197.2909999999999"/>
    <n v="1197.2909999999999"/>
    <n v="1197.2909999999999"/>
    <n v="1197.2909999999999"/>
    <n v="674"/>
    <x v="2"/>
    <n v="0"/>
    <n v="0"/>
    <n v="84"/>
    <n v="7"/>
    <n v="0"/>
    <n v="346.2"/>
    <n v="234.24"/>
    <m/>
    <n v="428.92696349888774"/>
    <n v="248.81836064955178"/>
    <n v="0"/>
    <n v="414502.14419999998"/>
    <n v="280453.44384000002"/>
    <n v="0"/>
    <n v="513550.39305454679"/>
    <n v="297907.98384046246"/>
  </r>
  <r>
    <s v="PROJETADO"/>
    <x v="4"/>
    <x v="5"/>
    <x v="0"/>
    <x v="0"/>
    <x v="2"/>
    <x v="0"/>
    <x v="0"/>
    <x v="11"/>
    <n v="0"/>
    <n v="0"/>
    <n v="-1.044"/>
    <n v="-1.044"/>
    <n v="-1.044"/>
    <n v="-1.044"/>
    <n v="0"/>
    <x v="2"/>
    <n v="0"/>
    <n v="0"/>
    <n v="84"/>
    <n v="7"/>
    <n v="0"/>
    <n v="346.2"/>
    <n v="234.24"/>
    <m/>
    <n v="428.92696349888774"/>
    <n v="248.81836064955178"/>
    <n v="0"/>
    <n v="-361.43279999999999"/>
    <n v="-244.54656000000003"/>
    <n v="0"/>
    <n v="-447.7997498928388"/>
    <n v="-259.76636851813208"/>
  </r>
  <r>
    <s v="PROJETADO"/>
    <x v="4"/>
    <x v="5"/>
    <x v="0"/>
    <x v="0"/>
    <x v="2"/>
    <x v="0"/>
    <x v="0"/>
    <x v="11"/>
    <n v="0"/>
    <n v="0"/>
    <n v="81.245000000000005"/>
    <n v="81.245000000000005"/>
    <n v="81.245000000000005"/>
    <n v="81.245000000000005"/>
    <n v="66"/>
    <x v="2"/>
    <n v="0"/>
    <n v="0"/>
    <n v="84"/>
    <n v="7"/>
    <n v="0"/>
    <n v="346.2"/>
    <n v="234.24"/>
    <m/>
    <n v="428.92696349888774"/>
    <n v="248.81836064955178"/>
    <n v="0"/>
    <n v="28127.019"/>
    <n v="19030.828800000003"/>
    <n v="0"/>
    <n v="34848.17114946714"/>
    <n v="20215.247710972835"/>
  </r>
  <r>
    <s v="PROJETADO"/>
    <x v="4"/>
    <x v="5"/>
    <x v="0"/>
    <x v="0"/>
    <x v="2"/>
    <x v="0"/>
    <x v="0"/>
    <x v="11"/>
    <n v="0"/>
    <n v="0"/>
    <n v="-0.1"/>
    <n v="-0.1"/>
    <n v="-0.1"/>
    <n v="-0.1"/>
    <n v="-1"/>
    <x v="2"/>
    <n v="0"/>
    <n v="0"/>
    <n v="84"/>
    <n v="7"/>
    <n v="0"/>
    <n v="346.2"/>
    <n v="234.24"/>
    <m/>
    <n v="428.92696349888774"/>
    <n v="248.81836064955178"/>
    <n v="0"/>
    <n v="-34.619999999999997"/>
    <n v="-23.424000000000003"/>
    <n v="0"/>
    <n v="-42.89269634988878"/>
    <n v="-24.881836064955181"/>
  </r>
  <r>
    <s v="Regular"/>
    <x v="4"/>
    <x v="5"/>
    <x v="1"/>
    <x v="0"/>
    <x v="2"/>
    <x v="0"/>
    <x v="0"/>
    <x v="0"/>
    <n v="0"/>
    <n v="0"/>
    <n v="3815.0790000000002"/>
    <n v="3815.0790000000002"/>
    <n v="3815.0790000000002"/>
    <n v="3815.0790000000002"/>
    <n v="5238"/>
    <x v="2"/>
    <n v="0"/>
    <n v="0"/>
    <n v="84"/>
    <n v="7"/>
    <n v="0"/>
    <n v="346.2"/>
    <n v="234.24"/>
    <m/>
    <n v="428.92696349888774"/>
    <n v="248.81836064955178"/>
    <n v="0"/>
    <n v="1320780.3498"/>
    <n v="893644.10496000003"/>
    <n v="0"/>
    <n v="1636390.2509783732"/>
    <n v="949261.70252853143"/>
  </r>
  <r>
    <s v="Refaturamento - Regular"/>
    <x v="4"/>
    <x v="5"/>
    <x v="1"/>
    <x v="0"/>
    <x v="2"/>
    <x v="0"/>
    <x v="0"/>
    <x v="0"/>
    <n v="0"/>
    <n v="0"/>
    <n v="-4.5730000000000004"/>
    <n v="-4.5730000000000004"/>
    <n v="-4.5730000000000004"/>
    <n v="-4.5730000000000004"/>
    <n v="-2"/>
    <x v="2"/>
    <n v="0"/>
    <n v="0"/>
    <n v="84"/>
    <n v="7"/>
    <n v="0"/>
    <n v="346.2"/>
    <n v="234.24"/>
    <m/>
    <n v="428.92696349888774"/>
    <n v="248.81836064955178"/>
    <n v="0"/>
    <n v="-1583.1726000000001"/>
    <n v="-1071.1795200000001"/>
    <n v="0"/>
    <n v="-1961.4830040804138"/>
    <n v="-1137.8463632504004"/>
  </r>
  <r>
    <s v="Sistema de Compensação"/>
    <x v="4"/>
    <x v="5"/>
    <x v="1"/>
    <x v="0"/>
    <x v="2"/>
    <x v="0"/>
    <x v="0"/>
    <x v="0"/>
    <n v="0"/>
    <n v="0"/>
    <n v="4.4059999999999997"/>
    <n v="4.4059999999999997"/>
    <n v="4.4059999999999997"/>
    <n v="4.4059999999999997"/>
    <n v="13"/>
    <x v="2"/>
    <n v="0"/>
    <n v="0"/>
    <n v="84"/>
    <n v="7"/>
    <n v="0"/>
    <n v="346.2"/>
    <n v="234.24"/>
    <m/>
    <n v="428.92696349888774"/>
    <n v="248.81836064955178"/>
    <n v="0"/>
    <n v="1525.3571999999999"/>
    <n v="1032.0614399999999"/>
    <n v="0"/>
    <n v="1889.8522011760992"/>
    <n v="1096.293697021925"/>
  </r>
  <r>
    <s v="Regular"/>
    <x v="4"/>
    <x v="5"/>
    <x v="1"/>
    <x v="0"/>
    <x v="2"/>
    <x v="0"/>
    <x v="0"/>
    <x v="1"/>
    <n v="0"/>
    <n v="0"/>
    <n v="3428.962"/>
    <n v="3428.962"/>
    <n v="3428.962"/>
    <n v="3428.962"/>
    <n v="5237"/>
    <x v="2"/>
    <n v="0"/>
    <n v="0"/>
    <n v="84"/>
    <n v="7"/>
    <n v="0"/>
    <n v="346.2"/>
    <n v="234.24"/>
    <m/>
    <n v="428.92696349888774"/>
    <n v="248.81836064955178"/>
    <n v="0"/>
    <n v="1187106.6443999999"/>
    <n v="803200.05888000003"/>
    <n v="0"/>
    <n v="1470774.258613073"/>
    <n v="853188.70356960839"/>
  </r>
  <r>
    <s v="Refaturamento - Regular"/>
    <x v="4"/>
    <x v="5"/>
    <x v="1"/>
    <x v="0"/>
    <x v="2"/>
    <x v="0"/>
    <x v="0"/>
    <x v="1"/>
    <n v="0"/>
    <n v="0"/>
    <n v="0.1"/>
    <n v="0.1"/>
    <n v="0.1"/>
    <n v="0.1"/>
    <n v="1"/>
    <x v="2"/>
    <n v="0"/>
    <n v="0"/>
    <n v="84"/>
    <n v="7"/>
    <n v="0"/>
    <n v="346.2"/>
    <n v="234.24"/>
    <m/>
    <n v="428.92696349888774"/>
    <n v="248.81836064955178"/>
    <n v="0"/>
    <n v="34.619999999999997"/>
    <n v="23.424000000000003"/>
    <n v="0"/>
    <n v="42.89269634988878"/>
    <n v="24.881836064955181"/>
  </r>
  <r>
    <s v="Sistema de Compensação"/>
    <x v="4"/>
    <x v="5"/>
    <x v="1"/>
    <x v="0"/>
    <x v="2"/>
    <x v="0"/>
    <x v="0"/>
    <x v="1"/>
    <n v="0"/>
    <n v="0"/>
    <n v="4.5410000000000004"/>
    <n v="4.5410000000000004"/>
    <n v="4.5410000000000004"/>
    <n v="4.5410000000000004"/>
    <n v="13"/>
    <x v="2"/>
    <n v="0"/>
    <n v="0"/>
    <n v="84"/>
    <n v="7"/>
    <n v="0"/>
    <n v="346.2"/>
    <n v="234.24"/>
    <m/>
    <n v="428.92696349888774"/>
    <n v="248.81836064955178"/>
    <n v="0"/>
    <n v="1572.0942"/>
    <n v="1063.6838400000001"/>
    <n v="0"/>
    <n v="1947.7573412484494"/>
    <n v="1129.8841757096147"/>
  </r>
  <r>
    <s v="Regular"/>
    <x v="4"/>
    <x v="5"/>
    <x v="1"/>
    <x v="0"/>
    <x v="2"/>
    <x v="0"/>
    <x v="0"/>
    <x v="2"/>
    <n v="0"/>
    <n v="0"/>
    <n v="3281.2719999999999"/>
    <n v="3281.2719999999999"/>
    <n v="3281.2719999999999"/>
    <n v="3281.2719999999999"/>
    <n v="5236"/>
    <x v="2"/>
    <n v="0"/>
    <n v="0"/>
    <n v="84"/>
    <n v="7"/>
    <n v="0"/>
    <n v="346.2"/>
    <n v="234.24"/>
    <m/>
    <n v="428.92696349888774"/>
    <n v="248.81836064955178"/>
    <n v="0"/>
    <n v="1135976.3663999999"/>
    <n v="768605.15327999997"/>
    <n v="0"/>
    <n v="1407426.0353739224"/>
    <n v="816440.71988527605"/>
  </r>
  <r>
    <s v="Refaturamento - Regular"/>
    <x v="4"/>
    <x v="5"/>
    <x v="1"/>
    <x v="0"/>
    <x v="2"/>
    <x v="0"/>
    <x v="0"/>
    <x v="2"/>
    <n v="0"/>
    <n v="0"/>
    <n v="-258.16399999999999"/>
    <n v="-258.16399999999999"/>
    <n v="-258.16399999999999"/>
    <n v="-258.16399999999999"/>
    <n v="-7"/>
    <x v="2"/>
    <n v="0"/>
    <n v="0"/>
    <n v="84"/>
    <n v="7"/>
    <n v="0"/>
    <n v="346.2"/>
    <n v="234.24"/>
    <m/>
    <n v="428.92696349888774"/>
    <n v="248.81836064955178"/>
    <n v="0"/>
    <n v="-89376.376799999998"/>
    <n v="-60472.335359999997"/>
    <n v="0"/>
    <n v="-110733.50060472685"/>
    <n v="-64235.943258730884"/>
  </r>
  <r>
    <s v="Sistema de Compensação"/>
    <x v="4"/>
    <x v="5"/>
    <x v="1"/>
    <x v="0"/>
    <x v="2"/>
    <x v="0"/>
    <x v="0"/>
    <x v="2"/>
    <n v="0"/>
    <n v="0"/>
    <n v="4.5250000000000004"/>
    <n v="4.5250000000000004"/>
    <n v="4.5250000000000004"/>
    <n v="4.5250000000000004"/>
    <n v="13"/>
    <x v="2"/>
    <n v="0"/>
    <n v="0"/>
    <n v="84"/>
    <n v="7"/>
    <n v="0"/>
    <n v="346.2"/>
    <n v="234.24"/>
    <m/>
    <n v="428.92696349888774"/>
    <n v="248.81836064955178"/>
    <n v="0"/>
    <n v="1566.5550000000001"/>
    <n v="1059.9360000000001"/>
    <n v="0"/>
    <n v="1940.8945098324673"/>
    <n v="1125.9030819392219"/>
  </r>
  <r>
    <s v="Regular"/>
    <x v="4"/>
    <x v="5"/>
    <x v="1"/>
    <x v="0"/>
    <x v="2"/>
    <x v="0"/>
    <x v="0"/>
    <x v="3"/>
    <n v="0"/>
    <n v="0"/>
    <n v="3089.5680000000002"/>
    <n v="3089.5680000000002"/>
    <n v="3089.5680000000002"/>
    <n v="3089.5680000000002"/>
    <n v="5220"/>
    <x v="2"/>
    <n v="0"/>
    <n v="0"/>
    <n v="84"/>
    <n v="7"/>
    <n v="0"/>
    <n v="346.2"/>
    <n v="234.24"/>
    <m/>
    <n v="428.92696349888774"/>
    <n v="248.81836064955178"/>
    <n v="0"/>
    <n v="1069608.4416"/>
    <n v="723700.40832000005"/>
    <n v="0"/>
    <n v="1325199.0207633318"/>
    <n v="768741.24487531441"/>
  </r>
  <r>
    <s v="Refaturamento - Regular"/>
    <x v="4"/>
    <x v="5"/>
    <x v="1"/>
    <x v="0"/>
    <x v="2"/>
    <x v="0"/>
    <x v="0"/>
    <x v="3"/>
    <n v="0"/>
    <n v="0"/>
    <n v="-114.49299999999999"/>
    <n v="-114.49299999999999"/>
    <n v="-114.49299999999999"/>
    <n v="-114.49299999999999"/>
    <n v="-10"/>
    <x v="2"/>
    <n v="0"/>
    <n v="0"/>
    <n v="84"/>
    <n v="7"/>
    <n v="0"/>
    <n v="346.2"/>
    <n v="234.24"/>
    <m/>
    <n v="428.92696349888774"/>
    <n v="248.81836064955178"/>
    <n v="0"/>
    <n v="-39637.476599999995"/>
    <n v="-26818.840319999999"/>
    <n v="0"/>
    <n v="-49109.134831878153"/>
    <n v="-28487.960565849131"/>
  </r>
  <r>
    <s v="Sistema de Compensação"/>
    <x v="4"/>
    <x v="5"/>
    <x v="1"/>
    <x v="0"/>
    <x v="2"/>
    <x v="0"/>
    <x v="0"/>
    <x v="3"/>
    <n v="0"/>
    <n v="0"/>
    <n v="3.0529999999999999"/>
    <n v="3.0529999999999999"/>
    <n v="3.0529999999999999"/>
    <n v="3.0529999999999999"/>
    <n v="13"/>
    <x v="2"/>
    <n v="0"/>
    <n v="0"/>
    <n v="84"/>
    <n v="7"/>
    <n v="0"/>
    <n v="346.2"/>
    <n v="234.24"/>
    <m/>
    <n v="428.92696349888774"/>
    <n v="248.81836064955178"/>
    <n v="0"/>
    <n v="1056.9485999999999"/>
    <n v="715.13472000000002"/>
    <n v="0"/>
    <n v="1309.5140195621043"/>
    <n v="759.64245506308157"/>
  </r>
  <r>
    <s v="Regular"/>
    <x v="4"/>
    <x v="5"/>
    <x v="1"/>
    <x v="0"/>
    <x v="2"/>
    <x v="0"/>
    <x v="0"/>
    <x v="4"/>
    <n v="0"/>
    <n v="0"/>
    <n v="3215.0770000000002"/>
    <n v="3215.0770000000002"/>
    <n v="3215.0770000000002"/>
    <n v="3215.0770000000002"/>
    <n v="5226"/>
    <x v="2"/>
    <n v="0"/>
    <n v="0"/>
    <n v="84"/>
    <n v="7"/>
    <n v="0"/>
    <n v="346.2"/>
    <n v="234.24"/>
    <m/>
    <n v="428.92696349888774"/>
    <n v="248.81836064955178"/>
    <n v="0"/>
    <n v="1113059.6574000001"/>
    <n v="753099.6364800001"/>
    <n v="0"/>
    <n v="1379033.2150251137"/>
    <n v="799970.18850207899"/>
  </r>
  <r>
    <s v="Refaturamento - Regular"/>
    <x v="4"/>
    <x v="5"/>
    <x v="1"/>
    <x v="0"/>
    <x v="2"/>
    <x v="0"/>
    <x v="0"/>
    <x v="4"/>
    <n v="0"/>
    <n v="0"/>
    <n v="-157.59399999999999"/>
    <n v="-157.59399999999999"/>
    <n v="-157.59399999999999"/>
    <n v="-157.59399999999999"/>
    <n v="-17"/>
    <x v="2"/>
    <n v="0"/>
    <n v="0"/>
    <n v="84"/>
    <n v="7"/>
    <n v="0"/>
    <n v="346.2"/>
    <n v="234.24"/>
    <m/>
    <n v="428.92696349888774"/>
    <n v="248.81836064955178"/>
    <n v="0"/>
    <n v="-54559.042799999996"/>
    <n v="-36914.81856"/>
    <n v="0"/>
    <n v="-67596.315885643708"/>
    <n v="-39212.280728205464"/>
  </r>
  <r>
    <s v="Sistema de Compensação"/>
    <x v="4"/>
    <x v="5"/>
    <x v="1"/>
    <x v="0"/>
    <x v="2"/>
    <x v="0"/>
    <x v="0"/>
    <x v="4"/>
    <n v="0"/>
    <n v="0"/>
    <n v="4.55"/>
    <n v="4.55"/>
    <n v="4.55"/>
    <n v="4.55"/>
    <n v="14"/>
    <x v="2"/>
    <n v="0"/>
    <n v="0"/>
    <n v="84"/>
    <n v="7"/>
    <n v="0"/>
    <n v="346.2"/>
    <n v="234.24"/>
    <m/>
    <n v="428.92696349888774"/>
    <n v="248.81836064955178"/>
    <n v="0"/>
    <n v="1575.2099999999998"/>
    <n v="1065.7919999999999"/>
    <n v="0"/>
    <n v="1951.6176839199391"/>
    <n v="1132.1235409554606"/>
  </r>
  <r>
    <s v="Regular"/>
    <x v="4"/>
    <x v="5"/>
    <x v="1"/>
    <x v="0"/>
    <x v="2"/>
    <x v="0"/>
    <x v="0"/>
    <x v="5"/>
    <n v="0"/>
    <n v="0"/>
    <n v="3355.174"/>
    <n v="3355.174"/>
    <n v="3355.174"/>
    <n v="3355.174"/>
    <n v="5223"/>
    <x v="2"/>
    <n v="0"/>
    <n v="0"/>
    <n v="84"/>
    <n v="7"/>
    <n v="0"/>
    <n v="346.2"/>
    <n v="234.24"/>
    <m/>
    <n v="428.92696349888774"/>
    <n v="248.81836064955178"/>
    <n v="0"/>
    <n v="1161561.2387999999"/>
    <n v="785915.95776000002"/>
    <n v="0"/>
    <n v="1439124.5958304172"/>
    <n v="834828.89437399921"/>
  </r>
  <r>
    <s v="Sistema de Compensação"/>
    <x v="4"/>
    <x v="5"/>
    <x v="1"/>
    <x v="0"/>
    <x v="2"/>
    <x v="0"/>
    <x v="0"/>
    <x v="5"/>
    <n v="0"/>
    <n v="0"/>
    <n v="4.6550000000000002"/>
    <n v="4.6550000000000002"/>
    <n v="4.6550000000000002"/>
    <n v="4.6550000000000002"/>
    <n v="15"/>
    <x v="2"/>
    <n v="0"/>
    <n v="0"/>
    <n v="84"/>
    <n v="7"/>
    <n v="0"/>
    <n v="346.2"/>
    <n v="234.24"/>
    <m/>
    <n v="428.92696349888774"/>
    <n v="248.81836064955178"/>
    <n v="0"/>
    <n v="1611.5609999999999"/>
    <n v="1090.3872000000001"/>
    <n v="0"/>
    <n v="1996.6550150873225"/>
    <n v="1158.2494688236636"/>
  </r>
  <r>
    <s v="Regular"/>
    <x v="4"/>
    <x v="5"/>
    <x v="1"/>
    <x v="0"/>
    <x v="2"/>
    <x v="0"/>
    <x v="0"/>
    <x v="6"/>
    <n v="0"/>
    <n v="0"/>
    <n v="3832.8040000000001"/>
    <n v="3832.8040000000001"/>
    <n v="3832.8040000000001"/>
    <n v="3832.8040000000001"/>
    <n v="5195"/>
    <x v="2"/>
    <n v="0"/>
    <n v="0"/>
    <n v="84"/>
    <n v="7"/>
    <n v="0"/>
    <n v="346.2"/>
    <n v="234.24"/>
    <m/>
    <n v="428.92696349888774"/>
    <n v="248.81836064955178"/>
    <n v="0"/>
    <n v="1326916.7448"/>
    <n v="897796.00896000001"/>
    <n v="0"/>
    <n v="1643992.9814063909"/>
    <n v="953672.00797104463"/>
  </r>
  <r>
    <s v="Sistema de Compensação"/>
    <x v="4"/>
    <x v="5"/>
    <x v="1"/>
    <x v="0"/>
    <x v="2"/>
    <x v="0"/>
    <x v="0"/>
    <x v="6"/>
    <n v="0"/>
    <n v="0"/>
    <n v="4.8730000000000002"/>
    <n v="4.8730000000000002"/>
    <n v="4.8730000000000002"/>
    <n v="4.8730000000000002"/>
    <n v="15"/>
    <x v="2"/>
    <n v="0"/>
    <n v="0"/>
    <n v="84"/>
    <n v="7"/>
    <n v="0"/>
    <n v="346.2"/>
    <n v="234.24"/>
    <m/>
    <n v="428.92696349888774"/>
    <n v="248.81836064955178"/>
    <n v="0"/>
    <n v="1687.0326"/>
    <n v="1141.4515200000001"/>
    <n v="0"/>
    <n v="2090.1610931300802"/>
    <n v="1212.4918714452658"/>
  </r>
  <r>
    <s v="Regular"/>
    <x v="4"/>
    <x v="5"/>
    <x v="1"/>
    <x v="0"/>
    <x v="2"/>
    <x v="0"/>
    <x v="0"/>
    <x v="7"/>
    <n v="0"/>
    <n v="0"/>
    <n v="3970.9969999999998"/>
    <n v="3970.9969999999998"/>
    <n v="3970.9969999999998"/>
    <n v="3970.9969999999998"/>
    <n v="5077"/>
    <x v="2"/>
    <n v="0"/>
    <n v="0"/>
    <n v="84"/>
    <n v="7"/>
    <n v="0"/>
    <n v="346.2"/>
    <n v="234.24"/>
    <m/>
    <n v="428.92696349888774"/>
    <n v="248.81836064955178"/>
    <n v="0"/>
    <n v="1374759.1613999999"/>
    <n v="930166.33727999998"/>
    <n v="0"/>
    <n v="1703267.6852731926"/>
    <n v="988056.96368428809"/>
  </r>
  <r>
    <s v="Sistema de Compensação"/>
    <x v="4"/>
    <x v="5"/>
    <x v="1"/>
    <x v="0"/>
    <x v="2"/>
    <x v="0"/>
    <x v="0"/>
    <x v="7"/>
    <n v="0"/>
    <n v="0"/>
    <n v="5.6479999999999997"/>
    <n v="5.6479999999999997"/>
    <n v="5.6479999999999997"/>
    <n v="5.6479999999999997"/>
    <n v="15"/>
    <x v="2"/>
    <n v="0"/>
    <n v="0"/>
    <n v="84"/>
    <n v="7"/>
    <n v="0"/>
    <n v="346.2"/>
    <n v="234.24"/>
    <m/>
    <n v="428.92696349888774"/>
    <n v="248.81836064955178"/>
    <n v="0"/>
    <n v="1955.3375999999998"/>
    <n v="1322.9875199999999"/>
    <n v="0"/>
    <n v="2422.579489841718"/>
    <n v="1405.3261009486685"/>
  </r>
  <r>
    <s v="Regular"/>
    <x v="4"/>
    <x v="5"/>
    <x v="1"/>
    <x v="0"/>
    <x v="2"/>
    <x v="0"/>
    <x v="0"/>
    <x v="8"/>
    <n v="0"/>
    <n v="0"/>
    <n v="4347.5320000000002"/>
    <n v="4347.5320000000002"/>
    <n v="4347.5320000000002"/>
    <n v="4347.5320000000002"/>
    <n v="4965"/>
    <x v="2"/>
    <n v="0"/>
    <n v="0"/>
    <n v="84"/>
    <n v="7"/>
    <n v="0"/>
    <n v="346.2"/>
    <n v="234.24"/>
    <m/>
    <n v="428.92696349888774"/>
    <n v="248.81836064955178"/>
    <n v="0"/>
    <n v="1505115.5784"/>
    <n v="1018365.8956800001"/>
    <n v="0"/>
    <n v="1864773.6994742465"/>
    <n v="1081745.7851114671"/>
  </r>
  <r>
    <s v="Refaturamento - Regular"/>
    <x v="4"/>
    <x v="5"/>
    <x v="1"/>
    <x v="0"/>
    <x v="2"/>
    <x v="0"/>
    <x v="0"/>
    <x v="8"/>
    <n v="0"/>
    <n v="0"/>
    <n v="-64.213999999999999"/>
    <n v="-64.213999999999999"/>
    <n v="-64.213999999999999"/>
    <n v="-64.213999999999999"/>
    <n v="-5"/>
    <x v="2"/>
    <n v="0"/>
    <n v="0"/>
    <n v="84"/>
    <n v="7"/>
    <n v="0"/>
    <n v="346.2"/>
    <n v="234.24"/>
    <m/>
    <n v="428.92696349888774"/>
    <n v="248.81836064955178"/>
    <n v="0"/>
    <n v="-22230.8868"/>
    <n v="-15041.487360000001"/>
    <n v="0"/>
    <n v="-27543.116034117578"/>
    <n v="-15977.622210750318"/>
  </r>
  <r>
    <s v="Sistema de Compensação"/>
    <x v="4"/>
    <x v="5"/>
    <x v="1"/>
    <x v="0"/>
    <x v="2"/>
    <x v="0"/>
    <x v="0"/>
    <x v="8"/>
    <n v="0"/>
    <n v="0"/>
    <n v="5.9720000000000004"/>
    <n v="5.9720000000000004"/>
    <n v="5.9720000000000004"/>
    <n v="5.9720000000000004"/>
    <n v="15"/>
    <x v="2"/>
    <n v="0"/>
    <n v="0"/>
    <n v="84"/>
    <n v="7"/>
    <n v="0"/>
    <n v="346.2"/>
    <n v="234.24"/>
    <m/>
    <n v="428.92696349888774"/>
    <n v="248.81836064955178"/>
    <n v="0"/>
    <n v="2067.5064000000002"/>
    <n v="1398.8812800000001"/>
    <n v="0"/>
    <n v="2561.5518260153576"/>
    <n v="1485.9432497991234"/>
  </r>
  <r>
    <s v="Regular"/>
    <x v="4"/>
    <x v="5"/>
    <x v="1"/>
    <x v="0"/>
    <x v="2"/>
    <x v="0"/>
    <x v="0"/>
    <x v="9"/>
    <n v="0"/>
    <n v="0"/>
    <n v="3783.2919999999999"/>
    <n v="3783.2919999999999"/>
    <n v="3783.2919999999999"/>
    <n v="3783.2919999999999"/>
    <n v="4948"/>
    <x v="2"/>
    <n v="0"/>
    <n v="0"/>
    <n v="84"/>
    <n v="7"/>
    <n v="0"/>
    <n v="346.2"/>
    <n v="234.24"/>
    <m/>
    <n v="428.92696349888774"/>
    <n v="248.81836064955178"/>
    <n v="0"/>
    <n v="1309775.6904"/>
    <n v="886198.31808"/>
    <n v="0"/>
    <n v="1622755.9495896341"/>
    <n v="941352.51329856401"/>
  </r>
  <r>
    <s v="Refaturamento - Regular"/>
    <x v="4"/>
    <x v="5"/>
    <x v="1"/>
    <x v="0"/>
    <x v="2"/>
    <x v="0"/>
    <x v="0"/>
    <x v="9"/>
    <n v="0"/>
    <n v="0"/>
    <n v="-9.09"/>
    <n v="-9.09"/>
    <n v="-9.09"/>
    <n v="-9.09"/>
    <n v="-7"/>
    <x v="2"/>
    <n v="0"/>
    <n v="0"/>
    <n v="84"/>
    <n v="7"/>
    <n v="0"/>
    <n v="346.2"/>
    <n v="234.24"/>
    <m/>
    <n v="428.92696349888774"/>
    <n v="248.81836064955178"/>
    <n v="0"/>
    <n v="-3146.9579999999996"/>
    <n v="-2129.2415999999998"/>
    <n v="0"/>
    <n v="-3898.9460982048895"/>
    <n v="-2261.7588983044257"/>
  </r>
  <r>
    <s v="Sistema de Compensação"/>
    <x v="4"/>
    <x v="5"/>
    <x v="1"/>
    <x v="0"/>
    <x v="2"/>
    <x v="0"/>
    <x v="0"/>
    <x v="9"/>
    <n v="0"/>
    <n v="0"/>
    <n v="5.0510000000000002"/>
    <n v="5.0510000000000002"/>
    <n v="5.0510000000000002"/>
    <n v="5.0510000000000002"/>
    <n v="15"/>
    <x v="2"/>
    <n v="0"/>
    <n v="0"/>
    <n v="84"/>
    <n v="7"/>
    <n v="0"/>
    <n v="346.2"/>
    <n v="234.24"/>
    <m/>
    <n v="428.92696349888774"/>
    <n v="248.81836064955178"/>
    <n v="0"/>
    <n v="1748.6561999999999"/>
    <n v="1183.14624"/>
    <n v="0"/>
    <n v="2166.5100926328819"/>
    <n v="1256.781539640886"/>
  </r>
  <r>
    <s v="Regular"/>
    <x v="4"/>
    <x v="5"/>
    <x v="1"/>
    <x v="0"/>
    <x v="2"/>
    <x v="0"/>
    <x v="0"/>
    <x v="10"/>
    <n v="0"/>
    <n v="0"/>
    <n v="3837.9850000000001"/>
    <n v="3837.9850000000001"/>
    <n v="3837.9850000000001"/>
    <n v="3837.9850000000001"/>
    <n v="4930"/>
    <x v="2"/>
    <n v="0"/>
    <n v="0"/>
    <n v="84"/>
    <n v="7"/>
    <n v="0"/>
    <n v="346.2"/>
    <n v="234.24"/>
    <m/>
    <n v="428.92696349888774"/>
    <n v="248.81836064955178"/>
    <n v="0"/>
    <n v="1328710.4069999999"/>
    <n v="899009.60640000005"/>
    <n v="0"/>
    <n v="1646215.2520042788"/>
    <n v="954961.13589757006"/>
  </r>
  <r>
    <s v="Sistema de Compensação"/>
    <x v="4"/>
    <x v="5"/>
    <x v="1"/>
    <x v="0"/>
    <x v="2"/>
    <x v="0"/>
    <x v="0"/>
    <x v="10"/>
    <n v="0"/>
    <n v="0"/>
    <n v="6.5780000000000003"/>
    <n v="6.5780000000000003"/>
    <n v="6.5780000000000003"/>
    <n v="6.5780000000000003"/>
    <n v="16"/>
    <x v="2"/>
    <n v="0"/>
    <n v="0"/>
    <n v="84"/>
    <n v="7"/>
    <n v="0"/>
    <n v="346.2"/>
    <n v="234.24"/>
    <m/>
    <n v="428.92696349888774"/>
    <n v="248.81836064955178"/>
    <n v="0"/>
    <n v="2277.3036000000002"/>
    <n v="1540.8307200000002"/>
    <n v="0"/>
    <n v="2821.4815658956836"/>
    <n v="1636.7271763527517"/>
  </r>
  <r>
    <s v="PROJETADO"/>
    <x v="4"/>
    <x v="5"/>
    <x v="1"/>
    <x v="0"/>
    <x v="2"/>
    <x v="0"/>
    <x v="0"/>
    <x v="11"/>
    <n v="0"/>
    <n v="0"/>
    <n v="3837.9850000000001"/>
    <n v="3837.9850000000001"/>
    <n v="3837.9850000000001"/>
    <n v="3837.9850000000001"/>
    <n v="4930"/>
    <x v="2"/>
    <n v="0"/>
    <n v="0"/>
    <n v="84"/>
    <n v="7"/>
    <n v="0"/>
    <n v="346.2"/>
    <n v="234.24"/>
    <m/>
    <n v="428.92696349888774"/>
    <n v="248.81836064955178"/>
    <n v="0"/>
    <n v="1328710.4069999999"/>
    <n v="899009.60640000005"/>
    <n v="0"/>
    <n v="1646215.2520042788"/>
    <n v="954961.13589757006"/>
  </r>
  <r>
    <s v="PROJETADO"/>
    <x v="4"/>
    <x v="5"/>
    <x v="1"/>
    <x v="0"/>
    <x v="2"/>
    <x v="0"/>
    <x v="0"/>
    <x v="11"/>
    <n v="0"/>
    <n v="0"/>
    <n v="6.5780000000000003"/>
    <n v="6.5780000000000003"/>
    <n v="6.5780000000000003"/>
    <n v="6.5780000000000003"/>
    <n v="16"/>
    <x v="2"/>
    <n v="0"/>
    <n v="0"/>
    <n v="84"/>
    <n v="7"/>
    <n v="0"/>
    <n v="346.2"/>
    <n v="234.24"/>
    <m/>
    <n v="428.92696349888774"/>
    <n v="248.81836064955178"/>
    <n v="0"/>
    <n v="2277.3036000000002"/>
    <n v="1540.8307200000002"/>
    <n v="0"/>
    <n v="2821.4815658956836"/>
    <n v="1636.7271763527517"/>
  </r>
  <r>
    <s v="Regular"/>
    <x v="4"/>
    <x v="5"/>
    <x v="3"/>
    <x v="2"/>
    <x v="2"/>
    <x v="0"/>
    <x v="0"/>
    <x v="0"/>
    <n v="0"/>
    <n v="0"/>
    <n v="2222.6619999999998"/>
    <n v="2089.3022799999999"/>
    <n v="2222.6619999999998"/>
    <n v="2089.3022799999999"/>
    <n v="1381"/>
    <x v="2"/>
    <n v="0"/>
    <n v="0"/>
    <n v="84"/>
    <n v="7"/>
    <n v="0"/>
    <n v="346.2"/>
    <n v="234.24"/>
    <m/>
    <n v="428.92696349888774"/>
    <n v="248.81836064955178"/>
    <n v="0"/>
    <n v="723316.4493359999"/>
    <n v="489398.16606720001"/>
    <n v="0"/>
    <n v="896158.08279170294"/>
    <n v="519856.7682109708"/>
  </r>
  <r>
    <s v="Regular"/>
    <x v="4"/>
    <x v="5"/>
    <x v="3"/>
    <x v="2"/>
    <x v="2"/>
    <x v="0"/>
    <x v="0"/>
    <x v="1"/>
    <n v="0"/>
    <n v="0"/>
    <n v="2071.386"/>
    <n v="1947.10284"/>
    <n v="2071.386"/>
    <n v="1947.10284"/>
    <n v="1384"/>
    <x v="2"/>
    <n v="0"/>
    <n v="0"/>
    <n v="84"/>
    <n v="7"/>
    <n v="0"/>
    <n v="346.2"/>
    <n v="234.24"/>
    <m/>
    <n v="428.92696349888774"/>
    <n v="248.81836064955178"/>
    <n v="0"/>
    <n v="674087.00320799998"/>
    <n v="456089.36924160004"/>
    <n v="0"/>
    <n v="835164.90878126072"/>
    <n v="484474.93666488654"/>
  </r>
  <r>
    <s v="Regular"/>
    <x v="4"/>
    <x v="5"/>
    <x v="3"/>
    <x v="2"/>
    <x v="2"/>
    <x v="0"/>
    <x v="0"/>
    <x v="2"/>
    <n v="0"/>
    <n v="0"/>
    <n v="2112.0059999999999"/>
    <n v="1985.2856400000001"/>
    <n v="2112.0059999999999"/>
    <n v="1985.2856400000001"/>
    <n v="1387"/>
    <x v="2"/>
    <n v="0"/>
    <n v="0"/>
    <n v="84"/>
    <n v="7"/>
    <n v="0"/>
    <n v="346.2"/>
    <n v="234.24"/>
    <m/>
    <n v="428.92696349888774"/>
    <n v="248.81836064955178"/>
    <n v="0"/>
    <n v="687305.88856800005"/>
    <n v="465033.30831360002"/>
    <n v="0"/>
    <n v="851542.54124314606"/>
    <n v="493975.51836589625"/>
  </r>
  <r>
    <s v="Regular"/>
    <x v="4"/>
    <x v="5"/>
    <x v="3"/>
    <x v="2"/>
    <x v="2"/>
    <x v="0"/>
    <x v="0"/>
    <x v="3"/>
    <n v="0"/>
    <n v="0"/>
    <n v="2159.7820000000002"/>
    <n v="2030.19508"/>
    <n v="2159.7820000000002"/>
    <n v="2030.19508"/>
    <n v="1394"/>
    <x v="2"/>
    <n v="0"/>
    <n v="0"/>
    <n v="84"/>
    <n v="7"/>
    <n v="0"/>
    <n v="346.2"/>
    <n v="234.24"/>
    <m/>
    <n v="428.92696349888774"/>
    <n v="248.81836064955178"/>
    <n v="0"/>
    <n v="702853.53669599991"/>
    <n v="475552.89553919999"/>
    <n v="0"/>
    <n v="870805.41097478149"/>
    <n v="505149.81160438561"/>
  </r>
  <r>
    <s v="Regular"/>
    <x v="4"/>
    <x v="5"/>
    <x v="3"/>
    <x v="2"/>
    <x v="2"/>
    <x v="0"/>
    <x v="0"/>
    <x v="4"/>
    <n v="0"/>
    <n v="0"/>
    <n v="2083.1799999999998"/>
    <n v="1958.1892"/>
    <n v="2083.1799999999998"/>
    <n v="1958.1892"/>
    <n v="1399"/>
    <x v="2"/>
    <n v="0"/>
    <n v="0"/>
    <n v="84"/>
    <n v="7"/>
    <n v="0"/>
    <n v="346.2"/>
    <n v="234.24"/>
    <m/>
    <n v="428.92696349888774"/>
    <n v="248.81836064955178"/>
    <n v="0"/>
    <n v="677925.10103999998"/>
    <n v="458686.23820800002"/>
    <n v="0"/>
    <n v="839920.14751231624"/>
    <n v="487233.42658565729"/>
  </r>
  <r>
    <s v="Refaturamento - Regular"/>
    <x v="4"/>
    <x v="5"/>
    <x v="3"/>
    <x v="2"/>
    <x v="2"/>
    <x v="0"/>
    <x v="0"/>
    <x v="4"/>
    <n v="0"/>
    <n v="0"/>
    <n v="0.95099999999999996"/>
    <n v="0.89393999999999996"/>
    <n v="0.95099999999999996"/>
    <n v="0.89393999999999996"/>
    <n v="2"/>
    <x v="2"/>
    <n v="0"/>
    <n v="0"/>
    <n v="84"/>
    <n v="7"/>
    <n v="0"/>
    <n v="346.2"/>
    <n v="234.24"/>
    <m/>
    <n v="428.92696349888774"/>
    <n v="248.81836064955178"/>
    <n v="0"/>
    <n v="309.48202799999996"/>
    <n v="209.39650560000001"/>
    <n v="0"/>
    <n v="383.43496975019571"/>
    <n v="222.42868531906029"/>
  </r>
  <r>
    <s v="Regular"/>
    <x v="4"/>
    <x v="5"/>
    <x v="3"/>
    <x v="2"/>
    <x v="2"/>
    <x v="0"/>
    <x v="0"/>
    <x v="5"/>
    <n v="0"/>
    <n v="0"/>
    <n v="2109.3609999999999"/>
    <n v="1982.79934"/>
    <n v="2109.3609999999999"/>
    <n v="1982.79934"/>
    <n v="1402"/>
    <x v="2"/>
    <n v="0"/>
    <n v="0"/>
    <n v="84"/>
    <n v="7"/>
    <n v="0"/>
    <n v="346.2"/>
    <n v="234.24"/>
    <m/>
    <n v="428.92696349888774"/>
    <n v="248.81836064955178"/>
    <n v="0"/>
    <n v="686445.13150799996"/>
    <n v="464450.91740160005"/>
    <n v="0"/>
    <n v="850476.10013379867"/>
    <n v="493356.88127581327"/>
  </r>
  <r>
    <s v="Regular"/>
    <x v="4"/>
    <x v="5"/>
    <x v="3"/>
    <x v="2"/>
    <x v="2"/>
    <x v="0"/>
    <x v="0"/>
    <x v="6"/>
    <n v="0"/>
    <n v="0"/>
    <n v="2180.8290000000002"/>
    <n v="2049.9792600000001"/>
    <n v="2180.8290000000002"/>
    <n v="2049.9792600000001"/>
    <n v="1408"/>
    <x v="2"/>
    <n v="0"/>
    <n v="0"/>
    <n v="84"/>
    <n v="7"/>
    <n v="0"/>
    <n v="346.2"/>
    <n v="234.24"/>
    <m/>
    <n v="428.92696349888774"/>
    <n v="248.81836064955178"/>
    <n v="0"/>
    <n v="709702.81981200003"/>
    <n v="480187.14186240005"/>
    <n v="0"/>
    <n v="879291.37922749692"/>
    <n v="510072.4788387813"/>
  </r>
  <r>
    <s v="Refaturamento - Regular"/>
    <x v="4"/>
    <x v="5"/>
    <x v="3"/>
    <x v="2"/>
    <x v="2"/>
    <x v="0"/>
    <x v="0"/>
    <x v="6"/>
    <n v="0"/>
    <n v="0"/>
    <n v="0.2"/>
    <n v="0.188"/>
    <n v="0.2"/>
    <n v="0.188"/>
    <n v="2"/>
    <x v="2"/>
    <n v="0"/>
    <n v="0"/>
    <n v="84"/>
    <n v="7"/>
    <n v="0"/>
    <n v="346.2"/>
    <n v="234.24"/>
    <m/>
    <n v="428.92696349888774"/>
    <n v="248.81836064955178"/>
    <n v="0"/>
    <n v="65.085599999999999"/>
    <n v="44.037120000000002"/>
    <n v="0"/>
    <n v="80.6382691377909"/>
    <n v="46.777851802115734"/>
  </r>
  <r>
    <s v="Regular"/>
    <x v="4"/>
    <x v="5"/>
    <x v="3"/>
    <x v="2"/>
    <x v="2"/>
    <x v="0"/>
    <x v="0"/>
    <x v="7"/>
    <n v="0"/>
    <n v="0"/>
    <n v="2149.145"/>
    <n v="2020.1963000000001"/>
    <n v="2149.145"/>
    <n v="2020.1963000000001"/>
    <n v="1438"/>
    <x v="2"/>
    <n v="0"/>
    <n v="0"/>
    <n v="84"/>
    <n v="7"/>
    <n v="0"/>
    <n v="346.2"/>
    <n v="234.24"/>
    <m/>
    <n v="428.92696349888774"/>
    <n v="248.81836064955178"/>
    <n v="0"/>
    <n v="699391.95906000002"/>
    <n v="473210.78131200001"/>
    <n v="0"/>
    <n v="866516.66463068814"/>
    <n v="502661.93155629013"/>
  </r>
  <r>
    <s v="Refaturamento - Regular"/>
    <x v="4"/>
    <x v="5"/>
    <x v="3"/>
    <x v="2"/>
    <x v="2"/>
    <x v="0"/>
    <x v="0"/>
    <x v="7"/>
    <n v="0"/>
    <n v="0"/>
    <n v="-3.7999999999999999E-2"/>
    <n v="-3.5720000000000002E-2"/>
    <n v="-3.7999999999999999E-2"/>
    <n v="-3.5720000000000002E-2"/>
    <n v="0"/>
    <x v="2"/>
    <n v="0"/>
    <n v="0"/>
    <n v="84"/>
    <n v="7"/>
    <n v="0"/>
    <n v="346.2"/>
    <n v="234.24"/>
    <m/>
    <n v="428.92696349888774"/>
    <n v="248.81836064955178"/>
    <n v="0"/>
    <n v="-12.366264000000001"/>
    <n v="-8.3670528000000015"/>
    <n v="0"/>
    <n v="-15.321271136180272"/>
    <n v="-8.8877918424019899"/>
  </r>
  <r>
    <s v="Regular"/>
    <x v="4"/>
    <x v="5"/>
    <x v="3"/>
    <x v="2"/>
    <x v="2"/>
    <x v="0"/>
    <x v="0"/>
    <x v="8"/>
    <n v="0"/>
    <n v="0"/>
    <n v="2166.1439999999998"/>
    <n v="2036.17536"/>
    <n v="2166.1439999999998"/>
    <n v="2036.17536"/>
    <n v="1465"/>
    <x v="2"/>
    <n v="0"/>
    <n v="0"/>
    <n v="84"/>
    <n v="7"/>
    <n v="0"/>
    <n v="346.2"/>
    <n v="234.24"/>
    <m/>
    <n v="428.92696349888774"/>
    <n v="248.81836064955178"/>
    <n v="0"/>
    <n v="704923.90963199991"/>
    <n v="476953.7163264"/>
    <n v="0"/>
    <n v="873370.51431605464"/>
    <n v="506637.8150702109"/>
  </r>
  <r>
    <s v="Regular"/>
    <x v="4"/>
    <x v="5"/>
    <x v="3"/>
    <x v="2"/>
    <x v="2"/>
    <x v="0"/>
    <x v="0"/>
    <x v="9"/>
    <n v="0"/>
    <n v="0"/>
    <n v="2216.3130000000001"/>
    <n v="2083.3342200000002"/>
    <n v="2216.3130000000001"/>
    <n v="2083.3342200000002"/>
    <n v="1475"/>
    <x v="2"/>
    <n v="0"/>
    <n v="0"/>
    <n v="84"/>
    <n v="7"/>
    <n v="0"/>
    <n v="346.2"/>
    <n v="234.24"/>
    <m/>
    <n v="428.92696349888774"/>
    <n v="248.81836064955178"/>
    <n v="0"/>
    <n v="721250.30696399999"/>
    <n v="488000.20769280009"/>
    <n v="0"/>
    <n v="893598.22093792388"/>
    <n v="518371.80530551268"/>
  </r>
  <r>
    <s v="Regular"/>
    <x v="4"/>
    <x v="5"/>
    <x v="3"/>
    <x v="2"/>
    <x v="2"/>
    <x v="0"/>
    <x v="0"/>
    <x v="10"/>
    <n v="0"/>
    <n v="0"/>
    <n v="2141.5509999999999"/>
    <n v="2013.0579399999999"/>
    <n v="2141.5509999999999"/>
    <n v="2013.0579399999999"/>
    <n v="1482"/>
    <x v="2"/>
    <n v="0"/>
    <n v="0"/>
    <n v="84"/>
    <n v="7"/>
    <n v="0"/>
    <n v="346.2"/>
    <n v="234.24"/>
    <m/>
    <n v="428.92696349888774"/>
    <n v="248.81836064955178"/>
    <n v="0"/>
    <n v="696920.65882799996"/>
    <n v="471538.69186560001"/>
    <n v="0"/>
    <n v="863454.82955152611"/>
    <n v="500885.77652336372"/>
  </r>
  <r>
    <s v="PROJETADO"/>
    <x v="4"/>
    <x v="5"/>
    <x v="3"/>
    <x v="2"/>
    <x v="2"/>
    <x v="0"/>
    <x v="0"/>
    <x v="11"/>
    <n v="0"/>
    <n v="0"/>
    <n v="2141.5509999999999"/>
    <n v="2013.0579399999999"/>
    <n v="2141.5509999999999"/>
    <n v="2013.0579399999999"/>
    <n v="1482"/>
    <x v="2"/>
    <n v="0"/>
    <n v="0"/>
    <n v="84"/>
    <n v="7"/>
    <n v="0"/>
    <n v="346.2"/>
    <n v="234.24"/>
    <m/>
    <n v="428.92696349888774"/>
    <n v="248.81836064955178"/>
    <n v="0"/>
    <n v="696920.65882799996"/>
    <n v="471538.69186560001"/>
    <n v="0"/>
    <n v="863454.82955152611"/>
    <n v="500885.77652336372"/>
  </r>
  <r>
    <s v="Regular"/>
    <x v="5"/>
    <x v="5"/>
    <x v="8"/>
    <x v="8"/>
    <x v="2"/>
    <x v="0"/>
    <x v="0"/>
    <x v="0"/>
    <n v="0"/>
    <n v="0"/>
    <n v="16798.395"/>
    <n v="16798.395"/>
    <n v="16798.395"/>
    <n v="16798.395"/>
    <n v="932"/>
    <x v="2"/>
    <n v="0"/>
    <n v="0"/>
    <n v="92"/>
    <n v="9"/>
    <n v="0"/>
    <n v="190.41"/>
    <n v="128.83000000000001"/>
    <m/>
    <n v="235.90982992438825"/>
    <n v="136.85009835725347"/>
    <n v="0"/>
    <n v="3198582.3919500001"/>
    <n v="2164137.2278500004"/>
    <n v="0"/>
    <n v="3962906.5074526942"/>
    <n v="2298862.0079939952"/>
  </r>
  <r>
    <s v="Refaturamento - Regular"/>
    <x v="5"/>
    <x v="5"/>
    <x v="8"/>
    <x v="8"/>
    <x v="2"/>
    <x v="0"/>
    <x v="0"/>
    <x v="0"/>
    <n v="0"/>
    <n v="0"/>
    <n v="35.203000000000003"/>
    <n v="35.203000000000003"/>
    <n v="35.203000000000003"/>
    <n v="35.203000000000003"/>
    <n v="2"/>
    <x v="2"/>
    <n v="0"/>
    <n v="0"/>
    <n v="92"/>
    <n v="9"/>
    <n v="0"/>
    <n v="190.41"/>
    <n v="128.83000000000001"/>
    <m/>
    <n v="235.90982992438825"/>
    <n v="136.85009835725347"/>
    <n v="0"/>
    <n v="6703.0032300000003"/>
    <n v="4535.2024900000006"/>
    <n v="0"/>
    <n v="8304.7337428282408"/>
    <n v="4817.5340124703944"/>
  </r>
  <r>
    <s v="Regular"/>
    <x v="5"/>
    <x v="5"/>
    <x v="8"/>
    <x v="8"/>
    <x v="2"/>
    <x v="0"/>
    <x v="0"/>
    <x v="1"/>
    <n v="0"/>
    <n v="0"/>
    <n v="17108.749"/>
    <n v="17108.749"/>
    <n v="17108.749"/>
    <n v="17108.749"/>
    <n v="936"/>
    <x v="2"/>
    <n v="0"/>
    <n v="0"/>
    <n v="92"/>
    <n v="9"/>
    <n v="0"/>
    <n v="190.41"/>
    <n v="128.83000000000001"/>
    <m/>
    <n v="235.90982992438825"/>
    <n v="136.85009835725347"/>
    <n v="0"/>
    <n v="3257676.8970900001"/>
    <n v="2204120.1336700004"/>
    <n v="0"/>
    <n v="4036122.0668090475"/>
    <n v="2341333.9834195618"/>
  </r>
  <r>
    <s v="Refaturamento - Regular"/>
    <x v="5"/>
    <x v="5"/>
    <x v="8"/>
    <x v="8"/>
    <x v="2"/>
    <x v="0"/>
    <x v="0"/>
    <x v="1"/>
    <n v="0"/>
    <n v="0"/>
    <n v="-64.414000000000001"/>
    <n v="-64.414000000000001"/>
    <n v="-64.414000000000001"/>
    <n v="-64.414000000000001"/>
    <n v="-2"/>
    <x v="2"/>
    <n v="0"/>
    <n v="0"/>
    <n v="92"/>
    <n v="9"/>
    <n v="0"/>
    <n v="190.41"/>
    <n v="128.83000000000001"/>
    <m/>
    <n v="235.90982992438825"/>
    <n v="136.85009835725347"/>
    <n v="0"/>
    <n v="-12265.069740000001"/>
    <n v="-8298.4556200000006"/>
    <n v="0"/>
    <n v="-15195.895784749546"/>
    <n v="-8815.062235584126"/>
  </r>
  <r>
    <s v="Regular"/>
    <x v="5"/>
    <x v="5"/>
    <x v="8"/>
    <x v="8"/>
    <x v="2"/>
    <x v="0"/>
    <x v="0"/>
    <x v="2"/>
    <n v="0"/>
    <n v="0"/>
    <n v="16346.535"/>
    <n v="16346.535"/>
    <n v="16346.535"/>
    <n v="16346.535"/>
    <n v="937"/>
    <x v="2"/>
    <n v="0"/>
    <n v="0"/>
    <n v="92"/>
    <n v="9"/>
    <n v="0"/>
    <n v="190.41"/>
    <n v="128.83000000000001"/>
    <m/>
    <n v="235.90982992438825"/>
    <n v="136.85009835725347"/>
    <n v="0"/>
    <n v="3112543.7293499997"/>
    <n v="2105924.1040500002"/>
    <n v="0"/>
    <n v="3856308.2917030598"/>
    <n v="2237024.9225502862"/>
  </r>
  <r>
    <s v="Refaturamento - Regular"/>
    <x v="5"/>
    <x v="5"/>
    <x v="8"/>
    <x v="8"/>
    <x v="2"/>
    <x v="0"/>
    <x v="0"/>
    <x v="2"/>
    <n v="0"/>
    <n v="0"/>
    <n v="55.063000000000002"/>
    <n v="55.063000000000002"/>
    <n v="55.063000000000002"/>
    <n v="55.063000000000002"/>
    <n v="0"/>
    <x v="2"/>
    <n v="0"/>
    <n v="0"/>
    <n v="92"/>
    <n v="9"/>
    <n v="0"/>
    <n v="190.41"/>
    <n v="128.83000000000001"/>
    <m/>
    <n v="235.90982992438825"/>
    <n v="136.85009835725347"/>
    <n v="0"/>
    <n v="10484.545830000001"/>
    <n v="7093.7662900000014"/>
    <n v="0"/>
    <n v="12989.90296512659"/>
    <n v="7535.3769658454485"/>
  </r>
  <r>
    <s v="Regular"/>
    <x v="5"/>
    <x v="5"/>
    <x v="8"/>
    <x v="8"/>
    <x v="2"/>
    <x v="0"/>
    <x v="0"/>
    <x v="3"/>
    <n v="0"/>
    <n v="0"/>
    <n v="16810.743999999999"/>
    <n v="16810.743999999999"/>
    <n v="16810.743999999999"/>
    <n v="16810.743999999999"/>
    <n v="969"/>
    <x v="2"/>
    <n v="0"/>
    <n v="0"/>
    <n v="92"/>
    <n v="9"/>
    <n v="0"/>
    <n v="190.41"/>
    <n v="128.83000000000001"/>
    <m/>
    <n v="235.90982992438825"/>
    <n v="136.85009835725347"/>
    <n v="0"/>
    <n v="3200933.7650399995"/>
    <n v="2165728.14952"/>
    <n v="0"/>
    <n v="3965819.7579424297"/>
    <n v="2300551.9698586087"/>
  </r>
  <r>
    <s v="Refaturamento - Regular"/>
    <x v="5"/>
    <x v="5"/>
    <x v="8"/>
    <x v="8"/>
    <x v="2"/>
    <x v="0"/>
    <x v="0"/>
    <x v="3"/>
    <n v="0"/>
    <n v="0"/>
    <n v="30.231000000000002"/>
    <n v="30.231000000000002"/>
    <n v="30.231000000000002"/>
    <n v="30.231000000000002"/>
    <n v="-1"/>
    <x v="2"/>
    <n v="0"/>
    <n v="0"/>
    <n v="92"/>
    <n v="9"/>
    <n v="0"/>
    <n v="190.41"/>
    <n v="128.83000000000001"/>
    <m/>
    <n v="235.90982992438825"/>
    <n v="136.85009835725347"/>
    <n v="0"/>
    <n v="5756.2847099999999"/>
    <n v="3894.6597300000008"/>
    <n v="0"/>
    <n v="7131.7900684441811"/>
    <n v="4137.11532343813"/>
  </r>
  <r>
    <s v="Regular"/>
    <x v="5"/>
    <x v="5"/>
    <x v="8"/>
    <x v="8"/>
    <x v="2"/>
    <x v="0"/>
    <x v="0"/>
    <x v="4"/>
    <n v="0"/>
    <n v="0"/>
    <n v="17011.956999999999"/>
    <n v="17011.956999999999"/>
    <n v="17011.956999999999"/>
    <n v="17011.956999999999"/>
    <n v="988"/>
    <x v="2"/>
    <n v="0"/>
    <n v="0"/>
    <n v="92"/>
    <n v="9"/>
    <n v="0"/>
    <n v="190.41"/>
    <n v="128.83000000000001"/>
    <m/>
    <n v="235.90982992438825"/>
    <n v="136.85009835725347"/>
    <n v="0"/>
    <n v="3239246.7323699999"/>
    <n v="2191650.42031"/>
    <n v="0"/>
    <n v="4013287.8825510056"/>
    <n v="2328087.9886993663"/>
  </r>
  <r>
    <s v="Refaturamento - Regular"/>
    <x v="5"/>
    <x v="5"/>
    <x v="8"/>
    <x v="8"/>
    <x v="2"/>
    <x v="0"/>
    <x v="0"/>
    <x v="4"/>
    <n v="0"/>
    <n v="0"/>
    <n v="36.17"/>
    <n v="36.17"/>
    <n v="36.17"/>
    <n v="36.17"/>
    <n v="7"/>
    <x v="2"/>
    <n v="0"/>
    <n v="0"/>
    <n v="92"/>
    <n v="9"/>
    <n v="0"/>
    <n v="190.41"/>
    <n v="128.83000000000001"/>
    <m/>
    <n v="235.90982992438825"/>
    <n v="136.85009835725347"/>
    <n v="0"/>
    <n v="6887.1297000000004"/>
    <n v="4659.7811000000011"/>
    <n v="0"/>
    <n v="8532.8585483651241"/>
    <n v="4949.868057581858"/>
  </r>
  <r>
    <s v="Regular"/>
    <x v="5"/>
    <x v="5"/>
    <x v="8"/>
    <x v="8"/>
    <x v="2"/>
    <x v="0"/>
    <x v="0"/>
    <x v="5"/>
    <n v="0"/>
    <n v="0"/>
    <n v="17258.758000000002"/>
    <n v="17258.758000000002"/>
    <n v="17258.758000000002"/>
    <n v="17258.758000000002"/>
    <n v="1030"/>
    <x v="2"/>
    <n v="0"/>
    <n v="0"/>
    <n v="92"/>
    <n v="9"/>
    <n v="0"/>
    <n v="190.41"/>
    <n v="128.83000000000001"/>
    <m/>
    <n v="235.90982992438825"/>
    <n v="136.85009835725347"/>
    <n v="0"/>
    <n v="3286240.1107800002"/>
    <n v="2223445.7931400002"/>
    <n v="0"/>
    <n v="4071510.6644861754"/>
    <n v="2361862.7298240354"/>
  </r>
  <r>
    <s v="Refaturamento - Regular"/>
    <x v="5"/>
    <x v="5"/>
    <x v="8"/>
    <x v="8"/>
    <x v="2"/>
    <x v="0"/>
    <x v="0"/>
    <x v="5"/>
    <n v="0"/>
    <n v="0"/>
    <n v="5.7240000000000002"/>
    <n v="5.7240000000000002"/>
    <n v="5.7240000000000002"/>
    <n v="5.7240000000000002"/>
    <n v="0"/>
    <x v="2"/>
    <n v="0"/>
    <n v="0"/>
    <n v="92"/>
    <n v="9"/>
    <n v="0"/>
    <n v="190.41"/>
    <n v="128.83000000000001"/>
    <m/>
    <n v="235.90982992438825"/>
    <n v="136.85009835725347"/>
    <n v="0"/>
    <n v="1089.9068400000001"/>
    <n v="737.42292000000009"/>
    <n v="0"/>
    <n v="1350.3478664871984"/>
    <n v="783.32996299691888"/>
  </r>
  <r>
    <s v="Regular"/>
    <x v="5"/>
    <x v="5"/>
    <x v="8"/>
    <x v="8"/>
    <x v="2"/>
    <x v="0"/>
    <x v="0"/>
    <x v="6"/>
    <n v="0"/>
    <n v="0"/>
    <n v="16963.59"/>
    <n v="16963.59"/>
    <n v="16963.59"/>
    <n v="16963.59"/>
    <n v="1025"/>
    <x v="2"/>
    <n v="0"/>
    <n v="0"/>
    <n v="92"/>
    <n v="9"/>
    <n v="0"/>
    <n v="190.41"/>
    <n v="128.83000000000001"/>
    <m/>
    <n v="235.90982992438825"/>
    <n v="136.85009835725347"/>
    <n v="0"/>
    <n v="3230037.1719"/>
    <n v="2185419.2997000003"/>
    <n v="0"/>
    <n v="4001877.6318070535"/>
    <n v="2321468.9599921214"/>
  </r>
  <r>
    <s v="Refaturamento - Regular"/>
    <x v="5"/>
    <x v="5"/>
    <x v="8"/>
    <x v="8"/>
    <x v="2"/>
    <x v="0"/>
    <x v="0"/>
    <x v="6"/>
    <n v="0"/>
    <n v="0"/>
    <n v="-92.608999999999995"/>
    <n v="-92.608999999999995"/>
    <n v="-92.608999999999995"/>
    <n v="-92.608999999999995"/>
    <n v="-2"/>
    <x v="2"/>
    <n v="0"/>
    <n v="0"/>
    <n v="92"/>
    <n v="9"/>
    <n v="0"/>
    <n v="190.41"/>
    <n v="128.83000000000001"/>
    <m/>
    <n v="235.90982992438825"/>
    <n v="136.85009835725347"/>
    <n v="0"/>
    <n v="-17633.679689999997"/>
    <n v="-11930.81747"/>
    <n v="0"/>
    <n v="-21847.373439467669"/>
    <n v="-12673.550758766885"/>
  </r>
  <r>
    <s v="Regular"/>
    <x v="5"/>
    <x v="5"/>
    <x v="8"/>
    <x v="8"/>
    <x v="2"/>
    <x v="0"/>
    <x v="0"/>
    <x v="7"/>
    <n v="0"/>
    <n v="0"/>
    <n v="16131.279"/>
    <n v="16131.279"/>
    <n v="16131.279"/>
    <n v="16131.279"/>
    <n v="1112"/>
    <x v="2"/>
    <n v="0"/>
    <n v="0"/>
    <n v="92"/>
    <n v="9"/>
    <n v="0"/>
    <n v="190.41"/>
    <n v="128.83000000000001"/>
    <m/>
    <n v="235.90982992438825"/>
    <n v="136.85009835725347"/>
    <n v="0"/>
    <n v="3071556.83439"/>
    <n v="2078192.6735700003"/>
    <n v="0"/>
    <n v="3805527.2853528559"/>
    <n v="2207567.1177782975"/>
  </r>
  <r>
    <s v="Refaturamento - Regular"/>
    <x v="5"/>
    <x v="5"/>
    <x v="8"/>
    <x v="8"/>
    <x v="2"/>
    <x v="0"/>
    <x v="0"/>
    <x v="7"/>
    <n v="0"/>
    <n v="0"/>
    <n v="-139.97800000000001"/>
    <n v="-139.97800000000001"/>
    <n v="-139.97800000000001"/>
    <n v="-139.97800000000001"/>
    <n v="0"/>
    <x v="2"/>
    <n v="0"/>
    <n v="0"/>
    <n v="92"/>
    <n v="9"/>
    <n v="0"/>
    <n v="190.41"/>
    <n v="128.83000000000001"/>
    <m/>
    <n v="235.90982992438825"/>
    <n v="136.85009835725347"/>
    <n v="0"/>
    <n v="-26653.21098"/>
    <n v="-18033.365740000001"/>
    <n v="0"/>
    <n v="-33022.18617315602"/>
    <n v="-19156.003067851627"/>
  </r>
  <r>
    <s v="Regular"/>
    <x v="5"/>
    <x v="5"/>
    <x v="8"/>
    <x v="8"/>
    <x v="2"/>
    <x v="0"/>
    <x v="0"/>
    <x v="8"/>
    <n v="0"/>
    <n v="0"/>
    <n v="16690.679"/>
    <n v="16690.679"/>
    <n v="16690.679"/>
    <n v="16690.679"/>
    <n v="1198"/>
    <x v="2"/>
    <n v="0"/>
    <n v="0"/>
    <n v="92"/>
    <n v="9"/>
    <n v="0"/>
    <n v="190.41"/>
    <n v="128.83000000000001"/>
    <m/>
    <n v="235.90982992438825"/>
    <n v="136.85009835725347"/>
    <n v="0"/>
    <n v="3178072.1883899998"/>
    <n v="2150260.1755700004"/>
    <n v="0"/>
    <n v="3937495.2442125585"/>
    <n v="2284121.0627993452"/>
  </r>
  <r>
    <s v="Refaturamento - Regular"/>
    <x v="5"/>
    <x v="5"/>
    <x v="8"/>
    <x v="8"/>
    <x v="2"/>
    <x v="0"/>
    <x v="0"/>
    <x v="8"/>
    <n v="0"/>
    <n v="0"/>
    <n v="-43.968000000000004"/>
    <n v="-43.968000000000004"/>
    <n v="-43.968000000000004"/>
    <n v="-43.968000000000004"/>
    <n v="-1"/>
    <x v="2"/>
    <n v="0"/>
    <n v="0"/>
    <n v="92"/>
    <n v="9"/>
    <n v="0"/>
    <n v="190.41"/>
    <n v="128.83000000000001"/>
    <m/>
    <n v="235.90982992438825"/>
    <n v="136.85009835725347"/>
    <n v="0"/>
    <n v="-8371.9468800000013"/>
    <n v="-5664.3974400000006"/>
    <n v="0"/>
    <n v="-10372.483402115504"/>
    <n v="-6017.0251245717209"/>
  </r>
  <r>
    <s v="Regular"/>
    <x v="5"/>
    <x v="5"/>
    <x v="8"/>
    <x v="8"/>
    <x v="2"/>
    <x v="0"/>
    <x v="0"/>
    <x v="9"/>
    <n v="0"/>
    <n v="0"/>
    <n v="16553.510999999999"/>
    <n v="16553.510999999999"/>
    <n v="16553.510999999999"/>
    <n v="16553.510999999999"/>
    <n v="1206"/>
    <x v="2"/>
    <n v="0"/>
    <n v="0"/>
    <n v="92"/>
    <n v="9"/>
    <n v="0"/>
    <n v="190.41"/>
    <n v="128.83000000000001"/>
    <m/>
    <n v="235.90982992438825"/>
    <n v="136.85009835725347"/>
    <n v="0"/>
    <n v="3151954.0295099998"/>
    <n v="2132588.8221300002"/>
    <n v="0"/>
    <n v="3905135.9646614897"/>
    <n v="2265349.6085078772"/>
  </r>
  <r>
    <s v="Refaturamento - Regular"/>
    <x v="5"/>
    <x v="5"/>
    <x v="8"/>
    <x v="8"/>
    <x v="2"/>
    <x v="0"/>
    <x v="0"/>
    <x v="9"/>
    <n v="0"/>
    <n v="0"/>
    <n v="9.09"/>
    <n v="9.09"/>
    <n v="9.09"/>
    <n v="9.09"/>
    <n v="7"/>
    <x v="2"/>
    <n v="0"/>
    <n v="0"/>
    <n v="92"/>
    <n v="9"/>
    <n v="0"/>
    <n v="190.41"/>
    <n v="128.83000000000001"/>
    <m/>
    <n v="235.90982992438825"/>
    <n v="136.85009835725347"/>
    <n v="0"/>
    <n v="1730.8269"/>
    <n v="1171.0647000000001"/>
    <n v="0"/>
    <n v="2144.4203540126891"/>
    <n v="1243.967394067434"/>
  </r>
  <r>
    <s v="Regular"/>
    <x v="5"/>
    <x v="5"/>
    <x v="8"/>
    <x v="8"/>
    <x v="2"/>
    <x v="0"/>
    <x v="0"/>
    <x v="10"/>
    <n v="0"/>
    <n v="0"/>
    <n v="15015.512000000001"/>
    <n v="15015.512000000001"/>
    <n v="15015.512000000001"/>
    <n v="15015.512000000001"/>
    <n v="1217"/>
    <x v="2"/>
    <n v="0"/>
    <n v="0"/>
    <n v="92"/>
    <n v="9"/>
    <n v="0"/>
    <n v="190.41"/>
    <n v="128.83000000000001"/>
    <m/>
    <n v="235.90982992438825"/>
    <n v="136.85009835725347"/>
    <n v="0"/>
    <n v="2859103.63992"/>
    <n v="1934448.4109600002"/>
    <n v="0"/>
    <n v="3542306.8821476111"/>
    <n v="2054874.2940845198"/>
  </r>
  <r>
    <s v="PROJETADO"/>
    <x v="5"/>
    <x v="5"/>
    <x v="8"/>
    <x v="8"/>
    <x v="2"/>
    <x v="0"/>
    <x v="0"/>
    <x v="11"/>
    <n v="0"/>
    <n v="0"/>
    <n v="15015.512000000001"/>
    <n v="15015.512000000001"/>
    <n v="15015.512000000001"/>
    <n v="15015.512000000001"/>
    <n v="1217"/>
    <x v="2"/>
    <n v="0"/>
    <n v="0"/>
    <n v="92"/>
    <n v="9"/>
    <n v="0"/>
    <n v="190.41"/>
    <n v="128.83000000000001"/>
    <m/>
    <n v="235.90982992438825"/>
    <n v="136.85009835725347"/>
    <n v="0"/>
    <n v="2859103.63992"/>
    <n v="1934448.4109600002"/>
    <n v="0"/>
    <n v="3542306.8821476111"/>
    <n v="2054874.2940845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5">
  <r>
    <s v="Regular"/>
    <x v="0"/>
    <x v="0"/>
    <x v="0"/>
    <x v="0"/>
    <x v="0"/>
    <x v="0"/>
    <x v="0"/>
    <x v="0"/>
    <n v="1500"/>
    <n v="752.88340500000004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659.0813360499997"/>
    <n v="0"/>
    <n v="8517.0133564483567"/>
    <n v="0"/>
    <x v="0"/>
  </r>
  <r>
    <s v="Regular"/>
    <x v="0"/>
    <x v="0"/>
    <x v="0"/>
    <x v="0"/>
    <x v="0"/>
    <x v="0"/>
    <x v="0"/>
    <x v="1"/>
    <n v="1500"/>
    <n v="754.02548999999999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645.8445709000007"/>
    <n v="0"/>
    <n v="8503.9937645074242"/>
    <n v="0"/>
    <x v="0"/>
  </r>
  <r>
    <s v="Regular"/>
    <x v="0"/>
    <x v="0"/>
    <x v="0"/>
    <x v="0"/>
    <x v="0"/>
    <x v="0"/>
    <x v="0"/>
    <x v="2"/>
    <n v="1500"/>
    <n v="750.61864500000001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685.32990445"/>
    <n v="0"/>
    <n v="8542.8312693393837"/>
    <n v="0"/>
    <x v="0"/>
  </r>
  <r>
    <s v="Regular"/>
    <x v="0"/>
    <x v="0"/>
    <x v="0"/>
    <x v="0"/>
    <x v="0"/>
    <x v="0"/>
    <x v="0"/>
    <x v="3"/>
    <n v="1500"/>
    <n v="784.87662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288.2799742000007"/>
    <n v="0"/>
    <n v="8152.2956654021245"/>
    <n v="0"/>
    <x v="0"/>
  </r>
  <r>
    <s v="Regular"/>
    <x v="0"/>
    <x v="0"/>
    <x v="0"/>
    <x v="0"/>
    <x v="0"/>
    <x v="0"/>
    <x v="0"/>
    <x v="4"/>
    <n v="1500"/>
    <n v="749.76273000000003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695.2499592999993"/>
    <n v="0"/>
    <n v="8552.5885676456601"/>
    <n v="0"/>
    <x v="0"/>
  </r>
  <r>
    <s v="Regular"/>
    <x v="0"/>
    <x v="0"/>
    <x v="0"/>
    <x v="0"/>
    <x v="0"/>
    <x v="0"/>
    <x v="0"/>
    <x v="5"/>
    <n v="11100"/>
    <n v="5550.6575640000001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64316.87883324"/>
    <n v="0"/>
    <n v="63261.643447924835"/>
    <n v="0"/>
    <x v="0"/>
  </r>
  <r>
    <s v="Regular"/>
    <x v="0"/>
    <x v="0"/>
    <x v="0"/>
    <x v="0"/>
    <x v="0"/>
    <x v="0"/>
    <x v="0"/>
    <x v="6"/>
    <n v="11100"/>
    <n v="5551.2183359999999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64310.379485760001"/>
    <n v="0"/>
    <n v="63255.250734062123"/>
    <n v="0"/>
    <x v="0"/>
  </r>
  <r>
    <s v="Regular"/>
    <x v="0"/>
    <x v="0"/>
    <x v="0"/>
    <x v="0"/>
    <x v="0"/>
    <x v="0"/>
    <x v="0"/>
    <x v="7"/>
    <n v="16522"/>
    <n v="14758.487485940001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20439.110037955394"/>
    <n v="0"/>
    <n v="20103.769260422916"/>
    <n v="0"/>
    <x v="0"/>
  </r>
  <r>
    <s v="Regular"/>
    <x v="0"/>
    <x v="0"/>
    <x v="0"/>
    <x v="0"/>
    <x v="0"/>
    <x v="0"/>
    <x v="0"/>
    <x v="8"/>
    <n v="16610"/>
    <n v="14474.657599599999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24748.618420636009"/>
    <n v="0"/>
    <n v="24342.572319381157"/>
    <n v="0"/>
    <x v="0"/>
  </r>
  <r>
    <s v="Regular"/>
    <x v="0"/>
    <x v="0"/>
    <x v="0"/>
    <x v="0"/>
    <x v="0"/>
    <x v="0"/>
    <x v="0"/>
    <x v="9"/>
    <n v="11100"/>
    <n v="10350.295122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8689.0795360200045"/>
    <n v="0"/>
    <n v="8546.5193813831575"/>
    <n v="0"/>
    <x v="0"/>
  </r>
  <r>
    <s v="Regular"/>
    <x v="0"/>
    <x v="0"/>
    <x v="0"/>
    <x v="0"/>
    <x v="0"/>
    <x v="0"/>
    <x v="0"/>
    <x v="10"/>
    <n v="16543"/>
    <n v="14361.89908338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25278.9596236258"/>
    <n v="0"/>
    <n v="24864.212310281098"/>
    <n v="0"/>
    <x v="0"/>
  </r>
  <r>
    <s v="PROJETADO"/>
    <x v="0"/>
    <x v="0"/>
    <x v="0"/>
    <x v="0"/>
    <x v="0"/>
    <x v="0"/>
    <x v="0"/>
    <x v="11"/>
    <n v="16543"/>
    <n v="14361.89908338"/>
    <n v="0"/>
    <n v="0"/>
    <n v="0"/>
    <n v="0"/>
    <n v="0"/>
    <s v="LIVRE"/>
    <n v="0"/>
    <n v="5"/>
    <n v="0"/>
    <n v="0"/>
    <n v="11.59"/>
    <n v="0"/>
    <n v="0"/>
    <n v="11.399844968573289"/>
    <n v="47.127470273950593"/>
    <m/>
    <n v="25278.9596236258"/>
    <n v="0"/>
    <n v="24864.212310281098"/>
    <n v="0"/>
    <x v="0"/>
  </r>
  <r>
    <s v="Regular"/>
    <x v="0"/>
    <x v="0"/>
    <x v="0"/>
    <x v="0"/>
    <x v="0"/>
    <x v="0"/>
    <x v="1"/>
    <x v="0"/>
    <n v="0"/>
    <n v="0"/>
    <n v="370.19499999999999"/>
    <n v="370.19499999999999"/>
    <n v="0"/>
    <n v="0"/>
    <n v="1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324.17899999999997"/>
    <n v="324.17899999999997"/>
    <n v="0"/>
    <n v="0"/>
    <n v="1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327.90800000000002"/>
    <n v="327.90800000000002"/>
    <n v="0"/>
    <n v="0"/>
    <n v="1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364.52300000000002"/>
    <n v="364.52300000000002"/>
    <n v="0"/>
    <n v="0"/>
    <n v="1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414.50400000000002"/>
    <n v="414.50400000000002"/>
    <n v="0"/>
    <n v="0"/>
    <n v="1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6877.1030000000001"/>
    <n v="6877.1030000000001"/>
    <n v="0"/>
    <n v="0"/>
    <n v="2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6822.4920000000002"/>
    <n v="6822.4920000000002"/>
    <n v="0"/>
    <n v="0"/>
    <n v="2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10120.803"/>
    <n v="10120.803"/>
    <n v="0"/>
    <n v="0"/>
    <n v="3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10300.243"/>
    <n v="10300.243"/>
    <n v="0"/>
    <n v="0"/>
    <n v="3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7118.0290000000005"/>
    <n v="7118.0290000000005"/>
    <n v="0"/>
    <n v="0"/>
    <n v="2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10378.311"/>
    <n v="10378.311"/>
    <n v="0"/>
    <n v="0"/>
    <n v="3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faturamento - Regular"/>
    <x v="0"/>
    <x v="0"/>
    <x v="0"/>
    <x v="0"/>
    <x v="0"/>
    <x v="0"/>
    <x v="1"/>
    <x v="10"/>
    <n v="0"/>
    <n v="0"/>
    <n v="-2009.1769999999999"/>
    <n v="-2009.1769999999999"/>
    <n v="0"/>
    <n v="0"/>
    <n v="0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10378.311"/>
    <n v="10378.311"/>
    <n v="0"/>
    <n v="0"/>
    <n v="3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-2009.1769999999999"/>
    <n v="-2009.1769999999999"/>
    <n v="0"/>
    <n v="0"/>
    <n v="0"/>
    <s v="LIVRE"/>
    <n v="0"/>
    <n v="0"/>
    <n v="6"/>
    <n v="0"/>
    <n v="0"/>
    <n v="35.86"/>
    <n v="0"/>
    <m/>
    <n v="47.127470273950593"/>
    <m/>
    <n v="0"/>
    <n v="0"/>
    <n v="0"/>
    <n v="0"/>
    <x v="0"/>
  </r>
  <r>
    <s v="Regular"/>
    <x v="0"/>
    <x v="0"/>
    <x v="0"/>
    <x v="0"/>
    <x v="0"/>
    <x v="0"/>
    <x v="2"/>
    <x v="0"/>
    <n v="1210"/>
    <n v="607.32558370000004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7079.792957941998"/>
    <n v="0"/>
    <n v="19727.808067129972"/>
    <n v="0"/>
    <x v="0"/>
  </r>
  <r>
    <s v="Regular"/>
    <x v="0"/>
    <x v="0"/>
    <x v="0"/>
    <x v="0"/>
    <x v="0"/>
    <x v="0"/>
    <x v="2"/>
    <x v="1"/>
    <n v="1210"/>
    <n v="608.3789855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7049.939550930001"/>
    <n v="0"/>
    <n v="19693.326250802758"/>
    <n v="0"/>
    <x v="0"/>
  </r>
  <r>
    <s v="Regular"/>
    <x v="0"/>
    <x v="0"/>
    <x v="0"/>
    <x v="0"/>
    <x v="0"/>
    <x v="0"/>
    <x v="2"/>
    <x v="2"/>
    <n v="1210"/>
    <n v="605.55787050000004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7129.889950029999"/>
    <n v="0"/>
    <n v="19785.671991305531"/>
    <n v="0"/>
    <x v="0"/>
  </r>
  <r>
    <s v="Regular"/>
    <x v="0"/>
    <x v="0"/>
    <x v="0"/>
    <x v="0"/>
    <x v="0"/>
    <x v="0"/>
    <x v="2"/>
    <x v="3"/>
    <n v="1210"/>
    <n v="635.23677469999996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6288.789805002001"/>
    <n v="0"/>
    <n v="18814.169452181843"/>
    <n v="0"/>
    <x v="0"/>
  </r>
  <r>
    <s v="Regular"/>
    <x v="0"/>
    <x v="0"/>
    <x v="0"/>
    <x v="0"/>
    <x v="0"/>
    <x v="0"/>
    <x v="2"/>
    <x v="4"/>
    <n v="1210"/>
    <n v="604.80840860000001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7151.129700276"/>
    <n v="0"/>
    <n v="19810.204707672685"/>
    <n v="0"/>
    <x v="0"/>
  </r>
  <r>
    <s v="Regular"/>
    <x v="0"/>
    <x v="0"/>
    <x v="0"/>
    <x v="0"/>
    <x v="0"/>
    <x v="0"/>
    <x v="2"/>
    <x v="5"/>
    <n v="4910"/>
    <n v="2455.5318020999998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69559.628728486001"/>
    <n v="0"/>
    <n v="80344.006988580033"/>
    <n v="0"/>
    <x v="0"/>
  </r>
  <r>
    <s v="Regular"/>
    <x v="0"/>
    <x v="0"/>
    <x v="0"/>
    <x v="0"/>
    <x v="0"/>
    <x v="0"/>
    <x v="2"/>
    <x v="6"/>
    <n v="4910"/>
    <n v="2455.9827365000001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69546.849247589998"/>
    <n v="0"/>
    <n v="80329.246203895178"/>
    <n v="0"/>
    <x v="0"/>
  </r>
  <r>
    <s v="Regular"/>
    <x v="0"/>
    <x v="0"/>
    <x v="0"/>
    <x v="0"/>
    <x v="0"/>
    <x v="0"/>
    <x v="2"/>
    <x v="7"/>
    <n v="8848"/>
    <n v="7471.7574825600004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39002.712944249586"/>
    <n v="0"/>
    <n v="45049.61137153233"/>
    <n v="0"/>
    <x v="0"/>
  </r>
  <r>
    <s v="Regular"/>
    <x v="0"/>
    <x v="0"/>
    <x v="0"/>
    <x v="0"/>
    <x v="0"/>
    <x v="0"/>
    <x v="2"/>
    <x v="8"/>
    <n v="9134"/>
    <n v="7379.7821435799997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49714.534050942806"/>
    <n v="0"/>
    <n v="57422.170650362037"/>
    <n v="0"/>
    <x v="0"/>
  </r>
  <r>
    <s v="Regular"/>
    <x v="0"/>
    <x v="0"/>
    <x v="0"/>
    <x v="0"/>
    <x v="0"/>
    <x v="0"/>
    <x v="2"/>
    <x v="9"/>
    <n v="4960"/>
    <n v="4349.5840096000002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17299.189167935994"/>
    <n v="0"/>
    <n v="19981.219003203685"/>
    <n v="0"/>
    <x v="0"/>
  </r>
  <r>
    <s v="Regular"/>
    <x v="0"/>
    <x v="0"/>
    <x v="0"/>
    <x v="0"/>
    <x v="0"/>
    <x v="0"/>
    <x v="2"/>
    <x v="10"/>
    <n v="8824"/>
    <n v="7312.3944441599997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42838.901452505612"/>
    <n v="0"/>
    <n v="49480.554462386004"/>
    <n v="0"/>
    <x v="0"/>
  </r>
  <r>
    <s v="PROJETADO"/>
    <x v="0"/>
    <x v="0"/>
    <x v="0"/>
    <x v="0"/>
    <x v="0"/>
    <x v="0"/>
    <x v="2"/>
    <x v="11"/>
    <n v="8824"/>
    <n v="7312.3944441599997"/>
    <n v="0"/>
    <n v="0"/>
    <n v="0"/>
    <n v="0"/>
    <n v="0"/>
    <s v="LIVRE"/>
    <n v="0"/>
    <n v="4"/>
    <n v="0"/>
    <n v="0"/>
    <n v="28.34"/>
    <n v="0"/>
    <n v="0"/>
    <n v="32.733773881169434"/>
    <n v="47.127470273950593"/>
    <m/>
    <n v="42838.901452505612"/>
    <n v="0"/>
    <n v="49480.554462386004"/>
    <n v="0"/>
    <x v="0"/>
  </r>
  <r>
    <s v="Regular"/>
    <x v="0"/>
    <x v="0"/>
    <x v="1"/>
    <x v="1"/>
    <x v="1"/>
    <x v="0"/>
    <x v="0"/>
    <x v="0"/>
    <n v="0"/>
    <n v="0"/>
    <n v="514.35"/>
    <n v="51.435000000000002"/>
    <n v="514.35"/>
    <n v="51.435000000000002"/>
    <n v="0"/>
    <s v="CATIVO"/>
    <n v="0"/>
    <n v="0"/>
    <n v="6"/>
    <n v="87"/>
    <n v="0"/>
    <n v="35.86"/>
    <n v="222.31"/>
    <n v="11.399844968573289"/>
    <n v="47.127470273950593"/>
    <n v="236.64237028527376"/>
    <n v="0"/>
    <n v="119510.76555000001"/>
    <n v="0"/>
    <n v="131361.31574247335"/>
    <x v="1"/>
  </r>
  <r>
    <s v="Regular"/>
    <x v="0"/>
    <x v="0"/>
    <x v="1"/>
    <x v="1"/>
    <x v="1"/>
    <x v="0"/>
    <x v="0"/>
    <x v="1"/>
    <n v="0"/>
    <n v="0"/>
    <n v="134.13"/>
    <n v="13.413"/>
    <n v="134.13"/>
    <n v="13.413"/>
    <n v="0"/>
    <s v="CATIVO"/>
    <n v="0"/>
    <n v="0"/>
    <n v="6"/>
    <n v="87"/>
    <n v="0"/>
    <n v="35.86"/>
    <n v="222.31"/>
    <n v="11.399844968573289"/>
    <n v="47.127470273950593"/>
    <n v="236.64237028527376"/>
    <n v="0"/>
    <n v="31165.507889999997"/>
    <n v="0"/>
    <n v="34255.843842787886"/>
    <x v="1"/>
  </r>
  <r>
    <s v="Regular"/>
    <x v="0"/>
    <x v="0"/>
    <x v="1"/>
    <x v="1"/>
    <x v="1"/>
    <x v="0"/>
    <x v="0"/>
    <x v="2"/>
    <n v="0"/>
    <n v="0"/>
    <n v="122.04"/>
    <n v="12.204000000000001"/>
    <n v="122.04"/>
    <n v="12.204000000000001"/>
    <n v="0"/>
    <s v="CATIVO"/>
    <n v="0"/>
    <n v="0"/>
    <n v="6"/>
    <n v="87"/>
    <n v="0"/>
    <n v="35.86"/>
    <n v="222.31"/>
    <n v="11.399844968573289"/>
    <n v="47.127470273950593"/>
    <n v="236.64237028527376"/>
    <n v="0"/>
    <n v="28356.360120000005"/>
    <n v="0"/>
    <n v="31168.144207662968"/>
    <x v="1"/>
  </r>
  <r>
    <s v="Regular"/>
    <x v="0"/>
    <x v="0"/>
    <x v="1"/>
    <x v="1"/>
    <x v="1"/>
    <x v="0"/>
    <x v="0"/>
    <x v="3"/>
    <n v="0"/>
    <n v="0"/>
    <n v="100.842"/>
    <n v="10.084199999999999"/>
    <n v="100.842"/>
    <n v="10.084199999999999"/>
    <n v="0"/>
    <s v="CATIVO"/>
    <n v="0"/>
    <n v="0"/>
    <n v="6"/>
    <n v="87"/>
    <n v="0"/>
    <n v="35.86"/>
    <n v="222.31"/>
    <n v="11.399844968573289"/>
    <n v="47.127470273950593"/>
    <n v="236.64237028527376"/>
    <n v="0"/>
    <n v="23430.941226000003"/>
    <n v="0"/>
    <n v="25754.326435505973"/>
    <x v="1"/>
  </r>
  <r>
    <s v="Regular"/>
    <x v="0"/>
    <x v="0"/>
    <x v="1"/>
    <x v="1"/>
    <x v="1"/>
    <x v="0"/>
    <x v="0"/>
    <x v="4"/>
    <n v="0"/>
    <n v="0"/>
    <n v="111.054"/>
    <n v="11.105399999999999"/>
    <n v="111.054"/>
    <n v="11.105399999999999"/>
    <n v="0"/>
    <s v="CATIVO"/>
    <n v="0"/>
    <n v="0"/>
    <n v="6"/>
    <n v="87"/>
    <n v="0"/>
    <n v="35.86"/>
    <n v="222.31"/>
    <n v="11.399844968573289"/>
    <n v="47.127470273950593"/>
    <n v="236.64237028527376"/>
    <n v="0"/>
    <n v="25803.730061999999"/>
    <n v="0"/>
    <n v="28362.398286117692"/>
    <x v="1"/>
  </r>
  <r>
    <s v="Regular"/>
    <x v="0"/>
    <x v="0"/>
    <x v="1"/>
    <x v="1"/>
    <x v="1"/>
    <x v="0"/>
    <x v="0"/>
    <x v="5"/>
    <n v="0"/>
    <n v="0"/>
    <n v="440.58600000000001"/>
    <n v="44.058599999999998"/>
    <n v="440.58600000000001"/>
    <n v="44.058599999999998"/>
    <n v="0"/>
    <s v="CATIVO"/>
    <n v="0"/>
    <n v="0"/>
    <n v="6"/>
    <n v="87"/>
    <n v="0"/>
    <n v="35.86"/>
    <n v="222.31"/>
    <n v="11.399844968573289"/>
    <n v="47.127470273950593"/>
    <n v="236.64237028527376"/>
    <n v="0"/>
    <n v="102371.478858"/>
    <n v="0"/>
    <n v="112522.51707536378"/>
    <x v="1"/>
  </r>
  <r>
    <s v="Regular"/>
    <x v="0"/>
    <x v="0"/>
    <x v="1"/>
    <x v="1"/>
    <x v="1"/>
    <x v="0"/>
    <x v="0"/>
    <x v="6"/>
    <n v="0"/>
    <n v="0"/>
    <n v="884.274"/>
    <n v="88.427400000000006"/>
    <n v="884.274"/>
    <n v="88.427400000000006"/>
    <n v="0"/>
    <s v="CATIVO"/>
    <n v="0"/>
    <n v="0"/>
    <n v="6"/>
    <n v="87"/>
    <n v="0"/>
    <n v="35.86"/>
    <n v="222.31"/>
    <n v="11.399844968573289"/>
    <n v="47.127470273950593"/>
    <n v="236.64237028527376"/>
    <n v="0"/>
    <n v="205463.71672200001"/>
    <n v="0"/>
    <n v="225837.26279160078"/>
    <x v="1"/>
  </r>
  <r>
    <s v="Regular"/>
    <x v="0"/>
    <x v="0"/>
    <x v="1"/>
    <x v="1"/>
    <x v="1"/>
    <x v="0"/>
    <x v="0"/>
    <x v="7"/>
    <n v="0"/>
    <n v="0"/>
    <n v="960.69"/>
    <n v="96.069000000000003"/>
    <n v="960.69"/>
    <n v="96.069000000000003"/>
    <n v="0"/>
    <s v="CATIVO"/>
    <n v="0"/>
    <n v="0"/>
    <n v="6"/>
    <n v="87"/>
    <n v="0"/>
    <n v="35.86"/>
    <n v="222.31"/>
    <n v="11.399844968573289"/>
    <n v="47.127470273950593"/>
    <n v="236.64237028527376"/>
    <n v="0"/>
    <n v="223219.20357000001"/>
    <n v="0"/>
    <n v="245353.36331415715"/>
    <x v="1"/>
  </r>
  <r>
    <s v="Regular"/>
    <x v="0"/>
    <x v="0"/>
    <x v="1"/>
    <x v="1"/>
    <x v="1"/>
    <x v="0"/>
    <x v="0"/>
    <x v="8"/>
    <n v="0"/>
    <n v="0"/>
    <n v="745.42200000000003"/>
    <n v="74.542199999999994"/>
    <n v="745.42200000000003"/>
    <n v="74.542199999999994"/>
    <n v="0"/>
    <s v="CATIVO"/>
    <n v="0"/>
    <n v="0"/>
    <n v="6"/>
    <n v="87"/>
    <n v="0"/>
    <n v="35.86"/>
    <n v="222.31"/>
    <n v="11.399844968573289"/>
    <n v="47.127470273950593"/>
    <n v="236.64237028527376"/>
    <n v="0"/>
    <n v="173201.037966"/>
    <n v="0"/>
    <n v="190375.45388040436"/>
    <x v="1"/>
  </r>
  <r>
    <s v="Regular"/>
    <x v="0"/>
    <x v="0"/>
    <x v="1"/>
    <x v="1"/>
    <x v="1"/>
    <x v="0"/>
    <x v="0"/>
    <x v="9"/>
    <n v="0"/>
    <n v="0"/>
    <n v="593.84"/>
    <n v="59.384"/>
    <n v="593.84"/>
    <n v="59.384"/>
    <n v="0"/>
    <s v="CATIVO"/>
    <n v="0"/>
    <n v="0"/>
    <n v="6"/>
    <n v="87"/>
    <n v="0"/>
    <n v="35.86"/>
    <n v="222.31"/>
    <n v="11.399844968573289"/>
    <n v="47.127470273950593"/>
    <n v="236.64237028527376"/>
    <n v="0"/>
    <n v="137980.50552000001"/>
    <n v="0"/>
    <n v="151662.4939059208"/>
    <x v="1"/>
  </r>
  <r>
    <s v="Regular"/>
    <x v="0"/>
    <x v="0"/>
    <x v="1"/>
    <x v="1"/>
    <x v="1"/>
    <x v="0"/>
    <x v="0"/>
    <x v="10"/>
    <n v="0"/>
    <n v="0"/>
    <n v="1122.606"/>
    <n v="112.2606"/>
    <n v="1122.606"/>
    <n v="112.2606"/>
    <n v="0"/>
    <s v="CATIVO"/>
    <n v="0"/>
    <n v="0"/>
    <n v="6"/>
    <n v="87"/>
    <n v="0"/>
    <n v="35.86"/>
    <n v="222.31"/>
    <n v="11.399844968573289"/>
    <n v="47.127470273950593"/>
    <n v="236.64237028527376"/>
    <n v="0"/>
    <n v="260840.87191799999"/>
    <n v="0"/>
    <n v="286705.55306774576"/>
    <x v="1"/>
  </r>
  <r>
    <s v="PROJETADO"/>
    <x v="0"/>
    <x v="0"/>
    <x v="1"/>
    <x v="1"/>
    <x v="1"/>
    <x v="0"/>
    <x v="0"/>
    <x v="11"/>
    <n v="0"/>
    <n v="0"/>
    <n v="1122.606"/>
    <n v="112.2606"/>
    <n v="1122.606"/>
    <n v="112.2606"/>
    <n v="0"/>
    <s v="CATIVO"/>
    <n v="0"/>
    <n v="0"/>
    <n v="6"/>
    <n v="87"/>
    <n v="0"/>
    <n v="35.86"/>
    <n v="222.31"/>
    <n v="11.399844968573289"/>
    <n v="47.127470273950593"/>
    <n v="236.64237028527376"/>
    <n v="0"/>
    <n v="260840.87191799999"/>
    <n v="0"/>
    <n v="286705.55306774576"/>
    <x v="1"/>
  </r>
  <r>
    <s v="Regular"/>
    <x v="0"/>
    <x v="0"/>
    <x v="1"/>
    <x v="1"/>
    <x v="2"/>
    <x v="0"/>
    <x v="0"/>
    <x v="0"/>
    <n v="3768"/>
    <n v="3617.2799999999997"/>
    <n v="434.34"/>
    <n v="416.96639999999996"/>
    <n v="434.34"/>
    <n v="416.96639999999996"/>
    <n v="0"/>
    <s v="CATIVO"/>
    <n v="0"/>
    <n v="5"/>
    <n v="6"/>
    <n v="87"/>
    <n v="11.59"/>
    <n v="35.86"/>
    <n v="222.31"/>
    <n v="11.399844968573289"/>
    <n v="47.127470273950593"/>
    <n v="236.64237028527376"/>
    <n v="1746.844800000003"/>
    <n v="4485.3423120000025"/>
    <n v="1718.1846336633689"/>
    <n v="4930.1037019397436"/>
    <x v="2"/>
  </r>
  <r>
    <s v="Regular"/>
    <x v="0"/>
    <x v="0"/>
    <x v="1"/>
    <x v="1"/>
    <x v="2"/>
    <x v="0"/>
    <x v="0"/>
    <x v="1"/>
    <n v="1056"/>
    <n v="1013.76"/>
    <n v="10.164"/>
    <n v="9.757439999999999"/>
    <n v="10.164"/>
    <n v="9.757439999999999"/>
    <n v="0"/>
    <s v="CATIVO"/>
    <n v="0"/>
    <n v="5"/>
    <n v="6"/>
    <n v="87"/>
    <n v="11.59"/>
    <n v="35.86"/>
    <n v="222.31"/>
    <n v="11.399844968573289"/>
    <n v="47.127470273950593"/>
    <n v="236.64237028527376"/>
    <n v="489.56160000000011"/>
    <n v="104.96159520000018"/>
    <n v="481.52945147253581"/>
    <n v="115.36946637775844"/>
    <x v="2"/>
  </r>
  <r>
    <s v="Regular"/>
    <x v="0"/>
    <x v="0"/>
    <x v="1"/>
    <x v="1"/>
    <x v="2"/>
    <x v="0"/>
    <x v="0"/>
    <x v="2"/>
    <n v="1032"/>
    <n v="990.71999999999991"/>
    <n v="8.5500000000000007"/>
    <n v="8.2080000000000002"/>
    <n v="8.5500000000000007"/>
    <n v="8.2080000000000002"/>
    <n v="0"/>
    <s v="CATIVO"/>
    <n v="0"/>
    <n v="5"/>
    <n v="6"/>
    <n v="87"/>
    <n v="11.59"/>
    <n v="35.86"/>
    <n v="222.31"/>
    <n v="11.399844968573289"/>
    <n v="47.127470273950593"/>
    <n v="236.64237028527376"/>
    <n v="478.43520000000098"/>
    <n v="88.294140000000141"/>
    <n v="470.58560030270638"/>
    <n v="97.049285471254876"/>
    <x v="2"/>
  </r>
  <r>
    <s v="Regular"/>
    <x v="0"/>
    <x v="0"/>
    <x v="1"/>
    <x v="1"/>
    <x v="2"/>
    <x v="0"/>
    <x v="0"/>
    <x v="3"/>
    <n v="1056"/>
    <n v="1013.76"/>
    <n v="8.8260000000000005"/>
    <n v="8.4729600000000005"/>
    <n v="8.8260000000000005"/>
    <n v="8.4729600000000005"/>
    <n v="0"/>
    <s v="CATIVO"/>
    <n v="0"/>
    <n v="5"/>
    <n v="6"/>
    <n v="87"/>
    <n v="11.59"/>
    <n v="35.86"/>
    <n v="222.31"/>
    <n v="11.399844968573289"/>
    <n v="47.127470273950593"/>
    <n v="236.64237028527376"/>
    <n v="489.56160000000011"/>
    <n v="91.144336800000005"/>
    <n v="481.52945147253581"/>
    <n v="100.18210451102857"/>
    <x v="2"/>
  </r>
  <r>
    <s v="Regular"/>
    <x v="0"/>
    <x v="0"/>
    <x v="1"/>
    <x v="1"/>
    <x v="2"/>
    <x v="0"/>
    <x v="0"/>
    <x v="4"/>
    <n v="1056"/>
    <n v="1013.76"/>
    <n v="8.34"/>
    <n v="8.0063999999999993"/>
    <n v="8.34"/>
    <n v="8.0063999999999993"/>
    <n v="0"/>
    <s v="CATIVO"/>
    <n v="0"/>
    <n v="5"/>
    <n v="6"/>
    <n v="87"/>
    <n v="11.59"/>
    <n v="35.86"/>
    <n v="222.31"/>
    <n v="11.399844968573289"/>
    <n v="47.127470273950593"/>
    <n v="236.64237028527376"/>
    <n v="489.56160000000011"/>
    <n v="86.125512000000143"/>
    <n v="481.52945147253581"/>
    <n v="94.665618810557405"/>
    <x v="2"/>
  </r>
  <r>
    <s v="Regular"/>
    <x v="0"/>
    <x v="0"/>
    <x v="1"/>
    <x v="1"/>
    <x v="2"/>
    <x v="0"/>
    <x v="0"/>
    <x v="5"/>
    <n v="3000"/>
    <n v="2880"/>
    <n v="296.262"/>
    <n v="284.41152"/>
    <n v="296.262"/>
    <n v="284.41152"/>
    <n v="0"/>
    <s v="CATIVO"/>
    <n v="0"/>
    <n v="5"/>
    <n v="6"/>
    <n v="87"/>
    <n v="11.59"/>
    <n v="35.86"/>
    <n v="222.31"/>
    <n v="11.399844968573289"/>
    <n v="47.127470273950593"/>
    <n v="236.64237028527376"/>
    <n v="1390.8"/>
    <n v="3059.4384216000012"/>
    <n v="1367.9813962287947"/>
    <n v="3362.8088201502778"/>
    <x v="2"/>
  </r>
  <r>
    <s v="Regular"/>
    <x v="0"/>
    <x v="0"/>
    <x v="1"/>
    <x v="1"/>
    <x v="2"/>
    <x v="0"/>
    <x v="0"/>
    <x v="6"/>
    <n v="3792"/>
    <n v="3640.32"/>
    <n v="887.95799999999997"/>
    <n v="852.43967999999995"/>
    <n v="887.95799999999997"/>
    <n v="852.43967999999995"/>
    <n v="0"/>
    <s v="CATIVO"/>
    <n v="0"/>
    <n v="5"/>
    <n v="6"/>
    <n v="87"/>
    <n v="11.59"/>
    <n v="35.86"/>
    <n v="222.31"/>
    <n v="11.399844968573289"/>
    <n v="47.127470273950593"/>
    <n v="236.64237028527376"/>
    <n v="1757.9711999999981"/>
    <n v="9169.7646744000049"/>
    <n v="1729.1284848331945"/>
    <n v="10079.028003331514"/>
    <x v="2"/>
  </r>
  <r>
    <s v="Regular"/>
    <x v="0"/>
    <x v="0"/>
    <x v="1"/>
    <x v="1"/>
    <x v="2"/>
    <x v="0"/>
    <x v="0"/>
    <x v="7"/>
    <n v="4536"/>
    <n v="4354.5599999999995"/>
    <n v="1033.596"/>
    <n v="992.25216"/>
    <n v="1033.596"/>
    <n v="992.25216"/>
    <n v="0"/>
    <s v="CATIVO"/>
    <n v="0"/>
    <n v="5"/>
    <n v="6"/>
    <n v="87"/>
    <n v="11.59"/>
    <n v="35.86"/>
    <n v="222.31"/>
    <n v="11.399844968573289"/>
    <n v="47.127470273950593"/>
    <n v="236.64237028527376"/>
    <n v="2102.8896000000059"/>
    <n v="10673.7391728"/>
    <n v="2068.3878710979434"/>
    <n v="11732.134884906081"/>
    <x v="2"/>
  </r>
  <r>
    <s v="Regular"/>
    <x v="0"/>
    <x v="0"/>
    <x v="1"/>
    <x v="1"/>
    <x v="2"/>
    <x v="0"/>
    <x v="0"/>
    <x v="8"/>
    <n v="4560"/>
    <n v="4377.5999999999995"/>
    <n v="696.81"/>
    <n v="668.93759999999997"/>
    <n v="696.81"/>
    <n v="668.93759999999997"/>
    <n v="0"/>
    <s v="CATIVO"/>
    <n v="0"/>
    <n v="5"/>
    <n v="6"/>
    <n v="87"/>
    <n v="11.59"/>
    <n v="35.86"/>
    <n v="222.31"/>
    <n v="11.399844968573289"/>
    <n v="47.127470273950593"/>
    <n v="236.64237028527376"/>
    <n v="2114.0160000000064"/>
    <n v="7195.8175079999928"/>
    <n v="2079.3317222677742"/>
    <n v="7909.3465040029168"/>
    <x v="2"/>
  </r>
  <r>
    <s v="Regular"/>
    <x v="0"/>
    <x v="0"/>
    <x v="1"/>
    <x v="1"/>
    <x v="2"/>
    <x v="0"/>
    <x v="0"/>
    <x v="9"/>
    <n v="453"/>
    <n v="434.88"/>
    <n v="518.57899999999995"/>
    <n v="497.83583999999996"/>
    <n v="518.57899999999995"/>
    <n v="497.83583999999996"/>
    <n v="0"/>
    <s v="CATIVO"/>
    <n v="0"/>
    <n v="5"/>
    <n v="6"/>
    <n v="87"/>
    <n v="11.59"/>
    <n v="35.86"/>
    <n v="222.31"/>
    <n v="11.399844968573289"/>
    <n v="47.127470273950593"/>
    <n v="236.64237028527376"/>
    <n v="210.01080000000005"/>
    <n v="5355.261617199998"/>
    <n v="206.56519083054806"/>
    <n v="5886.2832058944778"/>
    <x v="2"/>
  </r>
  <r>
    <s v="Regular"/>
    <x v="0"/>
    <x v="0"/>
    <x v="1"/>
    <x v="1"/>
    <x v="2"/>
    <x v="0"/>
    <x v="0"/>
    <x v="10"/>
    <n v="3816"/>
    <n v="3663.36"/>
    <n v="1235.4000000000001"/>
    <n v="1185.9839999999999"/>
    <n v="1235.4000000000001"/>
    <n v="1185.9839999999999"/>
    <n v="0"/>
    <s v="CATIVO"/>
    <n v="0"/>
    <n v="5"/>
    <n v="6"/>
    <n v="87"/>
    <n v="11.59"/>
    <n v="35.86"/>
    <n v="222.31"/>
    <n v="11.399844968573289"/>
    <n v="47.127470273950593"/>
    <n v="236.64237028527376"/>
    <n v="1769.0975999999985"/>
    <n v="12757.728720000043"/>
    <n v="1740.0723360030254"/>
    <n v="14022.770441074677"/>
    <x v="2"/>
  </r>
  <r>
    <s v="PROJETADO"/>
    <x v="0"/>
    <x v="0"/>
    <x v="1"/>
    <x v="1"/>
    <x v="2"/>
    <x v="0"/>
    <x v="0"/>
    <x v="11"/>
    <n v="3816"/>
    <n v="3663.36"/>
    <n v="1235.4000000000001"/>
    <n v="1185.9839999999999"/>
    <n v="1235.4000000000001"/>
    <n v="1185.9839999999999"/>
    <n v="0"/>
    <s v="CATIVO"/>
    <n v="0"/>
    <n v="5"/>
    <n v="6"/>
    <n v="87"/>
    <n v="11.59"/>
    <n v="35.86"/>
    <n v="222.31"/>
    <n v="11.399844968573289"/>
    <n v="47.127470273950593"/>
    <n v="236.64237028527376"/>
    <n v="1769.0975999999985"/>
    <n v="12757.728720000043"/>
    <n v="1740.0723360030254"/>
    <n v="14022.770441074677"/>
    <x v="2"/>
  </r>
  <r>
    <s v="Regular"/>
    <x v="0"/>
    <x v="0"/>
    <x v="1"/>
    <x v="1"/>
    <x v="2"/>
    <x v="0"/>
    <x v="2"/>
    <x v="0"/>
    <n v="24"/>
    <n v="23.04"/>
    <n v="1.1160000000000001"/>
    <n v="1.0713600000000001"/>
    <n v="1.1160000000000001"/>
    <n v="1.0713600000000001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7.916710400000007"/>
    <n v="31.424422925922684"/>
    <n v="19.189920200900211"/>
    <x v="2"/>
  </r>
  <r>
    <s v="Regular"/>
    <x v="0"/>
    <x v="0"/>
    <x v="1"/>
    <x v="1"/>
    <x v="2"/>
    <x v="0"/>
    <x v="2"/>
    <x v="1"/>
    <n v="24"/>
    <n v="23.04"/>
    <n v="1.0920000000000001"/>
    <n v="1.0483200000000001"/>
    <n v="1.0920000000000001"/>
    <n v="1.0483200000000001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7.531404799999976"/>
    <n v="31.424422925922684"/>
    <n v="18.777233744966843"/>
    <x v="2"/>
  </r>
  <r>
    <s v="Regular"/>
    <x v="0"/>
    <x v="0"/>
    <x v="1"/>
    <x v="1"/>
    <x v="2"/>
    <x v="0"/>
    <x v="2"/>
    <x v="2"/>
    <n v="24"/>
    <n v="23.04"/>
    <n v="1.08"/>
    <n v="1.0367999999999999"/>
    <n v="1.08"/>
    <n v="1.0367999999999999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7.338752000000049"/>
    <n v="31.424422925922684"/>
    <n v="18.570890517000255"/>
    <x v="2"/>
  </r>
  <r>
    <s v="Regular"/>
    <x v="0"/>
    <x v="0"/>
    <x v="1"/>
    <x v="1"/>
    <x v="2"/>
    <x v="0"/>
    <x v="2"/>
    <x v="3"/>
    <n v="24"/>
    <n v="23.04"/>
    <n v="1.1759999999999999"/>
    <n v="1.12896"/>
    <n v="1.1759999999999999"/>
    <n v="1.12896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8.879974399999988"/>
    <n v="31.424422925922684"/>
    <n v="20.221636340733539"/>
    <x v="2"/>
  </r>
  <r>
    <s v="Regular"/>
    <x v="0"/>
    <x v="0"/>
    <x v="1"/>
    <x v="1"/>
    <x v="2"/>
    <x v="0"/>
    <x v="2"/>
    <x v="4"/>
    <n v="24"/>
    <n v="23.04"/>
    <n v="1.17"/>
    <n v="1.1232"/>
    <n v="1.17"/>
    <n v="1.1232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8.783647999999978"/>
    <n v="31.424422925922684"/>
    <n v="20.118464726750197"/>
    <x v="2"/>
  </r>
  <r>
    <s v="Regular"/>
    <x v="0"/>
    <x v="0"/>
    <x v="1"/>
    <x v="1"/>
    <x v="2"/>
    <x v="0"/>
    <x v="2"/>
    <x v="5"/>
    <n v="24"/>
    <n v="23.04"/>
    <n v="1.1519999999999999"/>
    <n v="1.10592"/>
    <n v="1.1519999999999999"/>
    <n v="1.10592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8.494668799999957"/>
    <n v="31.424422925922684"/>
    <n v="19.808949884800167"/>
    <x v="2"/>
  </r>
  <r>
    <s v="Regular"/>
    <x v="0"/>
    <x v="0"/>
    <x v="1"/>
    <x v="1"/>
    <x v="2"/>
    <x v="0"/>
    <x v="2"/>
    <x v="6"/>
    <n v="24"/>
    <n v="23.04"/>
    <n v="1.08"/>
    <n v="1.0367999999999999"/>
    <n v="1.08"/>
    <n v="1.0367999999999999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7.338752000000049"/>
    <n v="31.424422925922684"/>
    <n v="18.570890517000255"/>
    <x v="2"/>
  </r>
  <r>
    <s v="Regular"/>
    <x v="0"/>
    <x v="0"/>
    <x v="1"/>
    <x v="1"/>
    <x v="2"/>
    <x v="0"/>
    <x v="2"/>
    <x v="7"/>
    <n v="24"/>
    <n v="23.04"/>
    <n v="1.0740000000000001"/>
    <n v="1.03104"/>
    <n v="1.0740000000000001"/>
    <n v="1.03104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7.242425600000043"/>
    <n v="31.424422925922684"/>
    <n v="18.467718903016912"/>
    <x v="2"/>
  </r>
  <r>
    <s v="Regular"/>
    <x v="0"/>
    <x v="0"/>
    <x v="1"/>
    <x v="1"/>
    <x v="2"/>
    <x v="0"/>
    <x v="2"/>
    <x v="8"/>
    <n v="24"/>
    <n v="23.04"/>
    <n v="1.23"/>
    <n v="1.1807999999999998"/>
    <n v="1.23"/>
    <n v="1.1807999999999998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9.746912000000052"/>
    <n v="31.424422925922684"/>
    <n v="21.150180866583618"/>
    <x v="2"/>
  </r>
  <r>
    <s v="Regular"/>
    <x v="0"/>
    <x v="0"/>
    <x v="1"/>
    <x v="1"/>
    <x v="2"/>
    <x v="0"/>
    <x v="2"/>
    <x v="9"/>
    <n v="2"/>
    <n v="1.92"/>
    <n v="1.153"/>
    <n v="1.1068800000000001"/>
    <n v="1.153"/>
    <n v="1.1068800000000001"/>
    <n v="0"/>
    <s v="CATIVO"/>
    <n v="0"/>
    <n v="4"/>
    <n v="6"/>
    <n v="86"/>
    <n v="28.34"/>
    <n v="35.86"/>
    <n v="365.5"/>
    <n v="32.733773881169434"/>
    <n v="47.127470273950593"/>
    <n v="382.75425465660959"/>
    <n v="2.2672000000000021"/>
    <n v="18.510723199999973"/>
    <n v="2.6187019104935572"/>
    <n v="19.826145153797412"/>
    <x v="2"/>
  </r>
  <r>
    <s v="Regular"/>
    <x v="0"/>
    <x v="0"/>
    <x v="1"/>
    <x v="1"/>
    <x v="2"/>
    <x v="0"/>
    <x v="2"/>
    <x v="10"/>
    <n v="24"/>
    <n v="23.04"/>
    <n v="10.164"/>
    <n v="9.7574400000000008"/>
    <n v="10.164"/>
    <n v="9.7574400000000008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63.17692159999956"/>
    <n v="31.424422925922684"/>
    <n v="174.77271408776809"/>
    <x v="2"/>
  </r>
  <r>
    <s v="PROJETADO"/>
    <x v="0"/>
    <x v="0"/>
    <x v="1"/>
    <x v="1"/>
    <x v="2"/>
    <x v="0"/>
    <x v="2"/>
    <x v="11"/>
    <n v="24"/>
    <n v="23.04"/>
    <n v="10.164"/>
    <n v="9.7574400000000008"/>
    <n v="10.164"/>
    <n v="9.7574400000000008"/>
    <n v="0"/>
    <s v="CATIVO"/>
    <n v="0"/>
    <n v="4"/>
    <n v="6"/>
    <n v="86"/>
    <n v="28.34"/>
    <n v="35.86"/>
    <n v="365.5"/>
    <n v="32.733773881169434"/>
    <n v="47.127470273950593"/>
    <n v="382.75425465660959"/>
    <n v="27.206400000000023"/>
    <n v="163.17692159999956"/>
    <n v="31.424422925922684"/>
    <n v="174.77271408776809"/>
    <x v="2"/>
  </r>
  <r>
    <s v="Regular"/>
    <x v="0"/>
    <x v="0"/>
    <x v="2"/>
    <x v="2"/>
    <x v="2"/>
    <x v="0"/>
    <x v="0"/>
    <x v="0"/>
    <n v="9600"/>
    <n v="8160"/>
    <n v="6170.4849999999997"/>
    <n v="5800.2559000000001"/>
    <n v="6170.4849999999997"/>
    <n v="5800.2559000000001"/>
    <n v="0"/>
    <s v="CATIVO"/>
    <n v="0"/>
    <n v="5"/>
    <n v="6"/>
    <n v="87"/>
    <n v="11.59"/>
    <n v="35.86"/>
    <n v="222.31"/>
    <n v="11.399844968573289"/>
    <n v="47.127470273950593"/>
    <n v="236.64237028527376"/>
    <n v="16689.599999999999"/>
    <n v="95582.046746999884"/>
    <n v="16415.776754745537"/>
    <n v="105059.852677385"/>
    <x v="3"/>
  </r>
  <r>
    <s v="Regular"/>
    <x v="0"/>
    <x v="0"/>
    <x v="2"/>
    <x v="2"/>
    <x v="2"/>
    <x v="0"/>
    <x v="0"/>
    <x v="1"/>
    <n v="9600"/>
    <n v="8160"/>
    <n v="6371.0889999999999"/>
    <n v="5988.82366"/>
    <n v="6371.0889999999999"/>
    <n v="5988.82366"/>
    <n v="0"/>
    <s v="CATIVO"/>
    <n v="0"/>
    <n v="5"/>
    <n v="6"/>
    <n v="87"/>
    <n v="11.59"/>
    <n v="35.86"/>
    <n v="222.31"/>
    <n v="11.399844968573289"/>
    <n v="47.127470273950593"/>
    <n v="236.64237028527376"/>
    <n v="16689.599999999999"/>
    <n v="98689.442827799983"/>
    <n v="16415.776754745537"/>
    <n v="108475.37458311766"/>
    <x v="3"/>
  </r>
  <r>
    <s v="Regular"/>
    <x v="0"/>
    <x v="0"/>
    <x v="2"/>
    <x v="2"/>
    <x v="2"/>
    <x v="0"/>
    <x v="0"/>
    <x v="2"/>
    <n v="9600"/>
    <n v="8160"/>
    <n v="5900.6350000000002"/>
    <n v="5546.5968999999996"/>
    <n v="5900.6350000000002"/>
    <n v="5546.5968999999996"/>
    <n v="0"/>
    <s v="CATIVO"/>
    <n v="0"/>
    <n v="5"/>
    <n v="6"/>
    <n v="87"/>
    <n v="11.59"/>
    <n v="35.86"/>
    <n v="222.31"/>
    <n v="11.399844968573289"/>
    <n v="47.127470273950593"/>
    <n v="236.64237028527376"/>
    <n v="16689.599999999999"/>
    <n v="91402.016277000177"/>
    <n v="16415.776754745537"/>
    <n v="100465.33518889091"/>
    <x v="3"/>
  </r>
  <r>
    <s v="Regular"/>
    <x v="0"/>
    <x v="0"/>
    <x v="2"/>
    <x v="2"/>
    <x v="2"/>
    <x v="0"/>
    <x v="0"/>
    <x v="3"/>
    <n v="9600"/>
    <n v="8160"/>
    <n v="6235.5010000000002"/>
    <n v="5861.3709399999998"/>
    <n v="6235.5010000000002"/>
    <n v="5861.3709399999998"/>
    <n v="0"/>
    <s v="CATIVO"/>
    <n v="0"/>
    <n v="5"/>
    <n v="6"/>
    <n v="87"/>
    <n v="11.59"/>
    <n v="35.86"/>
    <n v="222.31"/>
    <n v="11.399844968573289"/>
    <n v="47.127470273950593"/>
    <n v="236.64237028527376"/>
    <n v="16689.599999999999"/>
    <n v="96589.157590200106"/>
    <n v="16415.776754745537"/>
    <n v="106166.82747461316"/>
    <x v="3"/>
  </r>
  <r>
    <s v="Regular"/>
    <x v="0"/>
    <x v="0"/>
    <x v="2"/>
    <x v="2"/>
    <x v="2"/>
    <x v="0"/>
    <x v="2"/>
    <x v="0"/>
    <n v="3763"/>
    <n v="3198.5499999999997"/>
    <n v="218.589"/>
    <n v="205.47366"/>
    <n v="218.589"/>
    <n v="205.47366"/>
    <n v="0"/>
    <s v="CATIVO"/>
    <n v="0"/>
    <n v="4"/>
    <n v="6"/>
    <n v="86"/>
    <n v="28.34"/>
    <n v="35.86"/>
    <n v="365.5"/>
    <n v="32.733773881169434"/>
    <n v="47.127470273950593"/>
    <n v="382.75425465660959"/>
    <n v="15996.513000000008"/>
    <n v="5263.9728624000018"/>
    <n v="18476.578667226095"/>
    <n v="5638.0449822507744"/>
    <x v="3"/>
  </r>
  <r>
    <s v="Regular"/>
    <x v="0"/>
    <x v="0"/>
    <x v="2"/>
    <x v="2"/>
    <x v="2"/>
    <x v="0"/>
    <x v="2"/>
    <x v="1"/>
    <n v="3700"/>
    <n v="3145"/>
    <n v="229.916"/>
    <n v="216.12103999999999"/>
    <n v="229.916"/>
    <n v="216.12103999999999"/>
    <n v="0"/>
    <s v="CATIVO"/>
    <n v="0"/>
    <n v="4"/>
    <n v="6"/>
    <n v="86"/>
    <n v="28.34"/>
    <n v="35.86"/>
    <n v="365.5"/>
    <n v="32.733773881169434"/>
    <n v="47.127470273950593"/>
    <n v="382.75425465660959"/>
    <n v="15728.7"/>
    <n v="5536.7451456000017"/>
    <n v="18167.244504049035"/>
    <n v="5930.2012001480816"/>
    <x v="3"/>
  </r>
  <r>
    <s v="Regular"/>
    <x v="0"/>
    <x v="0"/>
    <x v="2"/>
    <x v="2"/>
    <x v="2"/>
    <x v="0"/>
    <x v="2"/>
    <x v="2"/>
    <n v="3700"/>
    <n v="3145"/>
    <n v="229.82"/>
    <n v="216.0308"/>
    <n v="229.82"/>
    <n v="216.0308"/>
    <n v="0"/>
    <s v="CATIVO"/>
    <n v="0"/>
    <n v="4"/>
    <n v="6"/>
    <n v="86"/>
    <n v="28.34"/>
    <n v="35.86"/>
    <n v="365.5"/>
    <n v="32.733773881169434"/>
    <n v="47.127470273950593"/>
    <n v="382.75425465660959"/>
    <n v="15728.7"/>
    <n v="5534.4333119999974"/>
    <n v="18167.244504049035"/>
    <n v="5927.7250814124782"/>
    <x v="3"/>
  </r>
  <r>
    <s v="Regular"/>
    <x v="0"/>
    <x v="0"/>
    <x v="2"/>
    <x v="2"/>
    <x v="2"/>
    <x v="0"/>
    <x v="2"/>
    <x v="3"/>
    <n v="3746"/>
    <n v="3184.1"/>
    <n v="241.227"/>
    <n v="226.75337999999999"/>
    <n v="241.227"/>
    <n v="226.75337999999999"/>
    <n v="0"/>
    <s v="CATIVO"/>
    <n v="0"/>
    <n v="4"/>
    <n v="6"/>
    <n v="86"/>
    <n v="28.34"/>
    <n v="35.86"/>
    <n v="365.5"/>
    <n v="32.733773881169434"/>
    <n v="47.127470273950593"/>
    <n v="382.75425465660959"/>
    <n v="15924.246000000003"/>
    <n v="5809.1321232000046"/>
    <n v="18393.107543829108"/>
    <n v="6221.9447315894595"/>
    <x v="3"/>
  </r>
  <r>
    <s v="Regular"/>
    <x v="0"/>
    <x v="1"/>
    <x v="3"/>
    <x v="0"/>
    <x v="3"/>
    <x v="1"/>
    <x v="1"/>
    <x v="0"/>
    <n v="0"/>
    <n v="0"/>
    <n v="0"/>
    <n v="0"/>
    <n v="31409.545999999998"/>
    <n v="31409.545999999998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1"/>
    <n v="0"/>
    <n v="0"/>
    <n v="0"/>
    <n v="0"/>
    <n v="28670.883999999998"/>
    <n v="28670.883999999998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2"/>
    <n v="0"/>
    <n v="0"/>
    <n v="0"/>
    <n v="0"/>
    <n v="27604.213"/>
    <n v="27604.213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3"/>
    <n v="0"/>
    <n v="0"/>
    <n v="0"/>
    <n v="0"/>
    <n v="26724.085999999999"/>
    <n v="26724.085999999999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4"/>
    <n v="0"/>
    <n v="0"/>
    <n v="0"/>
    <n v="0"/>
    <n v="26608.66"/>
    <n v="26608.66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5"/>
    <n v="0"/>
    <n v="0"/>
    <n v="0"/>
    <n v="0"/>
    <n v="26590.552"/>
    <n v="26590.552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6"/>
    <n v="0"/>
    <n v="0"/>
    <n v="0"/>
    <n v="0"/>
    <n v="27481.698"/>
    <n v="27481.698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7"/>
    <n v="0"/>
    <n v="0"/>
    <n v="0"/>
    <n v="0"/>
    <n v="30223.920999999998"/>
    <n v="30223.920999999998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8"/>
    <n v="0"/>
    <n v="0"/>
    <n v="0"/>
    <n v="0"/>
    <n v="29399.271000000001"/>
    <n v="29399.271000000001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1"/>
    <x v="3"/>
    <x v="0"/>
    <x v="3"/>
    <x v="1"/>
    <x v="1"/>
    <x v="9"/>
    <n v="0"/>
    <n v="0"/>
    <n v="0"/>
    <n v="0"/>
    <n v="31222.739000000001"/>
    <n v="31222.739000000001"/>
    <n v="0"/>
    <s v="SUPRIMENTO"/>
    <n v="46"/>
    <n v="0"/>
    <n v="0"/>
    <n v="90"/>
    <n v="0"/>
    <n v="0"/>
    <n v="230.1"/>
    <n v="36.211271580834378"/>
    <n v="4.6233666364282548"/>
    <n v="254.96176887194758"/>
    <n v="0"/>
    <n v="0"/>
    <n v="0"/>
    <n v="0"/>
    <x v="4"/>
  </r>
  <r>
    <s v="Regular"/>
    <x v="0"/>
    <x v="2"/>
    <x v="3"/>
    <x v="0"/>
    <x v="4"/>
    <x v="2"/>
    <x v="1"/>
    <x v="0"/>
    <n v="4496"/>
    <n v="2248"/>
    <n v="0"/>
    <n v="0"/>
    <n v="0"/>
    <n v="0"/>
    <n v="0"/>
    <s v="GERAÇÃO"/>
    <n v="29152"/>
    <n v="10"/>
    <n v="0"/>
    <n v="0"/>
    <n v="10.55"/>
    <n v="0"/>
    <n v="0"/>
    <n v="13.562660039999955"/>
    <m/>
    <m/>
    <n v="23716.400000000001"/>
    <n v="0"/>
    <n v="30488.859769919898"/>
    <n v="0"/>
    <x v="5"/>
  </r>
  <r>
    <s v="Regular"/>
    <x v="0"/>
    <x v="2"/>
    <x v="3"/>
    <x v="0"/>
    <x v="4"/>
    <x v="3"/>
    <x v="1"/>
    <x v="0"/>
    <n v="10000"/>
    <n v="5000"/>
    <n v="0"/>
    <n v="0"/>
    <n v="0"/>
    <n v="0"/>
    <n v="0"/>
    <s v="GERAÇÃO"/>
    <n v="29685"/>
    <n v="10"/>
    <n v="0"/>
    <n v="0"/>
    <n v="10.55"/>
    <n v="0"/>
    <n v="0"/>
    <n v="13.562660039999955"/>
    <m/>
    <m/>
    <n v="52750"/>
    <n v="0"/>
    <n v="67813.30019999978"/>
    <n v="0"/>
    <x v="5"/>
  </r>
  <r>
    <s v="Regular"/>
    <x v="0"/>
    <x v="2"/>
    <x v="3"/>
    <x v="0"/>
    <x v="4"/>
    <x v="4"/>
    <x v="1"/>
    <x v="0"/>
    <n v="13000"/>
    <n v="6500"/>
    <n v="0"/>
    <n v="0"/>
    <n v="0"/>
    <n v="0"/>
    <n v="0"/>
    <s v="GERAÇÃO"/>
    <n v="30396"/>
    <n v="10"/>
    <n v="0"/>
    <n v="0"/>
    <n v="10.55"/>
    <n v="0"/>
    <n v="0"/>
    <n v="13.562660039999955"/>
    <m/>
    <m/>
    <n v="68575"/>
    <n v="0"/>
    <n v="88157.290259999703"/>
    <n v="0"/>
    <x v="5"/>
  </r>
  <r>
    <s v="Regular"/>
    <x v="0"/>
    <x v="2"/>
    <x v="3"/>
    <x v="0"/>
    <x v="4"/>
    <x v="2"/>
    <x v="1"/>
    <x v="1"/>
    <n v="4572"/>
    <n v="2286"/>
    <n v="0"/>
    <n v="0"/>
    <n v="0"/>
    <n v="0"/>
    <n v="0"/>
    <s v="GERAÇÃO"/>
    <n v="29152"/>
    <n v="10"/>
    <n v="0"/>
    <n v="0"/>
    <n v="10.55"/>
    <n v="0"/>
    <n v="0"/>
    <n v="13.562660039999955"/>
    <m/>
    <m/>
    <n v="24117.300000000003"/>
    <n v="0"/>
    <n v="31004.240851439896"/>
    <n v="0"/>
    <x v="5"/>
  </r>
  <r>
    <s v="Regular"/>
    <x v="0"/>
    <x v="2"/>
    <x v="3"/>
    <x v="0"/>
    <x v="4"/>
    <x v="3"/>
    <x v="1"/>
    <x v="1"/>
    <n v="10000"/>
    <n v="5000"/>
    <n v="0"/>
    <n v="0"/>
    <n v="0"/>
    <n v="0"/>
    <n v="0"/>
    <s v="GERAÇÃO"/>
    <n v="29685"/>
    <n v="10"/>
    <n v="0"/>
    <n v="0"/>
    <n v="10.55"/>
    <n v="0"/>
    <n v="0"/>
    <n v="13.562660039999955"/>
    <m/>
    <m/>
    <n v="52750"/>
    <n v="0"/>
    <n v="67813.30019999978"/>
    <n v="0"/>
    <x v="5"/>
  </r>
  <r>
    <s v="Regular"/>
    <x v="0"/>
    <x v="2"/>
    <x v="3"/>
    <x v="0"/>
    <x v="4"/>
    <x v="4"/>
    <x v="1"/>
    <x v="1"/>
    <n v="13000"/>
    <n v="6500"/>
    <n v="0"/>
    <n v="0"/>
    <n v="0"/>
    <n v="0"/>
    <n v="0"/>
    <s v="GERAÇÃO"/>
    <n v="30396"/>
    <n v="10"/>
    <n v="0"/>
    <n v="0"/>
    <n v="10.55"/>
    <n v="0"/>
    <n v="0"/>
    <n v="13.562660039999955"/>
    <m/>
    <m/>
    <n v="68575"/>
    <n v="0"/>
    <n v="88157.290259999703"/>
    <n v="0"/>
    <x v="5"/>
  </r>
  <r>
    <s v="Regular"/>
    <x v="0"/>
    <x v="2"/>
    <x v="3"/>
    <x v="0"/>
    <x v="4"/>
    <x v="2"/>
    <x v="1"/>
    <x v="2"/>
    <n v="4940"/>
    <n v="2470"/>
    <n v="0"/>
    <n v="0"/>
    <n v="0"/>
    <n v="0"/>
    <n v="0"/>
    <s v="GERAÇÃO"/>
    <n v="29152"/>
    <n v="10"/>
    <n v="0"/>
    <n v="0"/>
    <n v="10.55"/>
    <n v="0"/>
    <n v="0"/>
    <n v="13.562660039999955"/>
    <m/>
    <m/>
    <n v="26058.5"/>
    <n v="0"/>
    <n v="33499.770298799885"/>
    <n v="0"/>
    <x v="5"/>
  </r>
  <r>
    <s v="Regular"/>
    <x v="0"/>
    <x v="2"/>
    <x v="3"/>
    <x v="0"/>
    <x v="4"/>
    <x v="3"/>
    <x v="1"/>
    <x v="2"/>
    <n v="10000"/>
    <n v="5000"/>
    <n v="0"/>
    <n v="0"/>
    <n v="0"/>
    <n v="0"/>
    <n v="0"/>
    <s v="GERAÇÃO"/>
    <n v="29685"/>
    <n v="10"/>
    <n v="0"/>
    <n v="0"/>
    <n v="10.55"/>
    <n v="0"/>
    <n v="0"/>
    <n v="13.562660039999955"/>
    <m/>
    <m/>
    <n v="52750"/>
    <n v="0"/>
    <n v="67813.30019999978"/>
    <n v="0"/>
    <x v="5"/>
  </r>
  <r>
    <s v="Regular"/>
    <x v="0"/>
    <x v="2"/>
    <x v="3"/>
    <x v="0"/>
    <x v="4"/>
    <x v="4"/>
    <x v="1"/>
    <x v="2"/>
    <n v="13000"/>
    <n v="6500"/>
    <n v="0"/>
    <n v="0"/>
    <n v="0"/>
    <n v="0"/>
    <n v="0"/>
    <s v="GERAÇÃO"/>
    <n v="30396"/>
    <n v="10"/>
    <n v="0"/>
    <n v="0"/>
    <n v="10.55"/>
    <n v="0"/>
    <n v="0"/>
    <n v="13.562660039999955"/>
    <m/>
    <m/>
    <n v="68575"/>
    <n v="0"/>
    <n v="88157.290259999703"/>
    <n v="0"/>
    <x v="5"/>
  </r>
  <r>
    <s v="Regular"/>
    <x v="0"/>
    <x v="2"/>
    <x v="3"/>
    <x v="0"/>
    <x v="4"/>
    <x v="2"/>
    <x v="1"/>
    <x v="3"/>
    <n v="4939"/>
    <n v="2469.5"/>
    <n v="0"/>
    <n v="0"/>
    <n v="0"/>
    <n v="0"/>
    <n v="0"/>
    <s v="GERAÇÃO"/>
    <n v="29152"/>
    <n v="10"/>
    <n v="0"/>
    <n v="0"/>
    <n v="10.55"/>
    <n v="0"/>
    <n v="0"/>
    <n v="13.562660039999955"/>
    <m/>
    <m/>
    <n v="26053.225000000002"/>
    <n v="0"/>
    <n v="33492.988968779886"/>
    <n v="0"/>
    <x v="5"/>
  </r>
  <r>
    <s v="Regular"/>
    <x v="0"/>
    <x v="2"/>
    <x v="3"/>
    <x v="0"/>
    <x v="4"/>
    <x v="3"/>
    <x v="1"/>
    <x v="3"/>
    <n v="10000"/>
    <n v="5000"/>
    <n v="0"/>
    <n v="0"/>
    <n v="0"/>
    <n v="0"/>
    <n v="0"/>
    <s v="GERAÇÃO"/>
    <n v="29685"/>
    <n v="10"/>
    <n v="0"/>
    <n v="0"/>
    <n v="10.55"/>
    <n v="0"/>
    <n v="0"/>
    <n v="13.562660039999955"/>
    <m/>
    <m/>
    <n v="52750"/>
    <n v="0"/>
    <n v="67813.30019999978"/>
    <n v="0"/>
    <x v="5"/>
  </r>
  <r>
    <s v="Regular"/>
    <x v="0"/>
    <x v="2"/>
    <x v="3"/>
    <x v="0"/>
    <x v="4"/>
    <x v="4"/>
    <x v="1"/>
    <x v="3"/>
    <n v="13000"/>
    <n v="6500"/>
    <n v="0"/>
    <n v="0"/>
    <n v="0"/>
    <n v="0"/>
    <n v="0"/>
    <s v="GERAÇÃO"/>
    <n v="30396"/>
    <n v="10"/>
    <n v="0"/>
    <n v="0"/>
    <n v="10.55"/>
    <n v="0"/>
    <n v="0"/>
    <n v="13.562660039999955"/>
    <m/>
    <m/>
    <n v="68575"/>
    <n v="0"/>
    <n v="88157.290259999703"/>
    <n v="0"/>
    <x v="5"/>
  </r>
  <r>
    <s v="Regular"/>
    <x v="0"/>
    <x v="2"/>
    <x v="3"/>
    <x v="0"/>
    <x v="4"/>
    <x v="2"/>
    <x v="1"/>
    <x v="4"/>
    <n v="4939"/>
    <n v="2469.5"/>
    <n v="0"/>
    <n v="0"/>
    <n v="0"/>
    <n v="0"/>
    <n v="0"/>
    <s v="GERAÇÃO"/>
    <n v="29152"/>
    <n v="10"/>
    <n v="0"/>
    <n v="0"/>
    <n v="10.55"/>
    <n v="0"/>
    <n v="0"/>
    <n v="13.562660039999955"/>
    <m/>
    <m/>
    <n v="26053.225000000002"/>
    <n v="0"/>
    <n v="33492.988968779886"/>
    <n v="0"/>
    <x v="5"/>
  </r>
  <r>
    <s v="Regular"/>
    <x v="0"/>
    <x v="2"/>
    <x v="3"/>
    <x v="0"/>
    <x v="4"/>
    <x v="3"/>
    <x v="1"/>
    <x v="4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4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4"/>
    <x v="2"/>
    <x v="1"/>
    <x v="5"/>
    <n v="4942"/>
    <n v="2471"/>
    <n v="0"/>
    <n v="0"/>
    <n v="0"/>
    <n v="0"/>
    <n v="0"/>
    <s v="GERAÇÃO"/>
    <n v="29152"/>
    <n v="10"/>
    <n v="0"/>
    <n v="0"/>
    <n v="10.55"/>
    <n v="0"/>
    <n v="0"/>
    <n v="13.562660039999955"/>
    <m/>
    <m/>
    <n v="26069.050000000003"/>
    <n v="0"/>
    <n v="33513.332958839885"/>
    <n v="0"/>
    <x v="5"/>
  </r>
  <r>
    <s v="Regular"/>
    <x v="0"/>
    <x v="2"/>
    <x v="3"/>
    <x v="0"/>
    <x v="4"/>
    <x v="3"/>
    <x v="1"/>
    <x v="5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5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4"/>
    <x v="2"/>
    <x v="1"/>
    <x v="6"/>
    <n v="4452"/>
    <n v="2226"/>
    <n v="0"/>
    <n v="0"/>
    <n v="0"/>
    <n v="0"/>
    <n v="0"/>
    <s v="GERAÇÃO"/>
    <n v="29152"/>
    <n v="10"/>
    <n v="0"/>
    <n v="0"/>
    <n v="10.55"/>
    <n v="0"/>
    <n v="0"/>
    <n v="13.562660039999955"/>
    <m/>
    <m/>
    <n v="23484.300000000003"/>
    <n v="0"/>
    <n v="30190.481249039898"/>
    <n v="0"/>
    <x v="5"/>
  </r>
  <r>
    <s v="Regular"/>
    <x v="0"/>
    <x v="2"/>
    <x v="3"/>
    <x v="0"/>
    <x v="4"/>
    <x v="3"/>
    <x v="1"/>
    <x v="6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6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4"/>
    <x v="2"/>
    <x v="1"/>
    <x v="7"/>
    <n v="4472"/>
    <n v="2236"/>
    <n v="0"/>
    <n v="0"/>
    <n v="0"/>
    <n v="0"/>
    <n v="0"/>
    <s v="GERAÇÃO"/>
    <n v="29152"/>
    <n v="10"/>
    <n v="0"/>
    <n v="0"/>
    <n v="10.55"/>
    <n v="0"/>
    <n v="0"/>
    <n v="13.562660039999955"/>
    <m/>
    <m/>
    <n v="23589.800000000003"/>
    <n v="0"/>
    <n v="30326.107849439897"/>
    <n v="0"/>
    <x v="5"/>
  </r>
  <r>
    <s v="Regular"/>
    <x v="0"/>
    <x v="2"/>
    <x v="3"/>
    <x v="0"/>
    <x v="4"/>
    <x v="3"/>
    <x v="1"/>
    <x v="7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7"/>
    <n v="10044"/>
    <n v="5022"/>
    <n v="0"/>
    <n v="0"/>
    <n v="0"/>
    <n v="0"/>
    <n v="0"/>
    <s v="GERAÇÃO"/>
    <n v="30396"/>
    <n v="10"/>
    <n v="0"/>
    <n v="0"/>
    <n v="10.55"/>
    <n v="0"/>
    <n v="0"/>
    <n v="13.562660039999955"/>
    <m/>
    <m/>
    <n v="52982.100000000006"/>
    <n v="0"/>
    <n v="68111.678720879776"/>
    <n v="0"/>
    <x v="5"/>
  </r>
  <r>
    <s v="Regular"/>
    <x v="0"/>
    <x v="2"/>
    <x v="3"/>
    <x v="0"/>
    <x v="4"/>
    <x v="2"/>
    <x v="1"/>
    <x v="8"/>
    <n v="4448"/>
    <n v="2224"/>
    <n v="0"/>
    <n v="0"/>
    <n v="0"/>
    <n v="0"/>
    <n v="0"/>
    <s v="GERAÇÃO"/>
    <n v="29152"/>
    <n v="10"/>
    <n v="0"/>
    <n v="0"/>
    <n v="10.55"/>
    <n v="0"/>
    <n v="0"/>
    <n v="13.562660039999955"/>
    <m/>
    <m/>
    <n v="23463.200000000001"/>
    <n v="0"/>
    <n v="30163.3559289599"/>
    <n v="0"/>
    <x v="5"/>
  </r>
  <r>
    <s v="Regular"/>
    <x v="0"/>
    <x v="2"/>
    <x v="3"/>
    <x v="0"/>
    <x v="4"/>
    <x v="3"/>
    <x v="1"/>
    <x v="8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8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4"/>
    <x v="2"/>
    <x v="1"/>
    <x v="9"/>
    <n v="4384"/>
    <n v="2192"/>
    <n v="0"/>
    <n v="0"/>
    <n v="0"/>
    <n v="0"/>
    <n v="0"/>
    <s v="GERAÇÃO"/>
    <n v="29152"/>
    <n v="10"/>
    <n v="0"/>
    <n v="0"/>
    <n v="10.55"/>
    <n v="0"/>
    <n v="0"/>
    <n v="13.562660039999955"/>
    <m/>
    <m/>
    <n v="23125.600000000002"/>
    <n v="0"/>
    <n v="29729.350807679901"/>
    <n v="0"/>
    <x v="5"/>
  </r>
  <r>
    <s v="Regular"/>
    <x v="0"/>
    <x v="2"/>
    <x v="3"/>
    <x v="0"/>
    <x v="4"/>
    <x v="3"/>
    <x v="1"/>
    <x v="9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9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4"/>
    <x v="2"/>
    <x v="1"/>
    <x v="10"/>
    <n v="4412"/>
    <n v="2206"/>
    <n v="0"/>
    <n v="0"/>
    <n v="0"/>
    <n v="0"/>
    <n v="0"/>
    <s v="GERAÇÃO"/>
    <n v="29152"/>
    <n v="10"/>
    <n v="0"/>
    <n v="0"/>
    <n v="10.55"/>
    <n v="0"/>
    <n v="0"/>
    <n v="13.562660039999955"/>
    <m/>
    <m/>
    <n v="23273.300000000003"/>
    <n v="0"/>
    <n v="29919.2280482399"/>
    <n v="0"/>
    <x v="5"/>
  </r>
  <r>
    <s v="Regular"/>
    <x v="0"/>
    <x v="2"/>
    <x v="3"/>
    <x v="0"/>
    <x v="4"/>
    <x v="3"/>
    <x v="1"/>
    <x v="10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Regular"/>
    <x v="0"/>
    <x v="2"/>
    <x v="3"/>
    <x v="0"/>
    <x v="4"/>
    <x v="4"/>
    <x v="1"/>
    <x v="10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PROJETADO"/>
    <x v="0"/>
    <x v="2"/>
    <x v="3"/>
    <x v="0"/>
    <x v="4"/>
    <x v="2"/>
    <x v="1"/>
    <x v="11"/>
    <n v="4412"/>
    <n v="2206"/>
    <n v="0"/>
    <n v="0"/>
    <n v="0"/>
    <n v="0"/>
    <n v="0"/>
    <s v="GERAÇÃO"/>
    <n v="29152"/>
    <n v="10"/>
    <n v="0"/>
    <n v="0"/>
    <n v="10.55"/>
    <n v="0"/>
    <n v="0"/>
    <n v="13.562660039999955"/>
    <m/>
    <m/>
    <n v="23273.300000000003"/>
    <n v="0"/>
    <n v="29919.2280482399"/>
    <n v="0"/>
    <x v="5"/>
  </r>
  <r>
    <s v="PROJETADO"/>
    <x v="0"/>
    <x v="2"/>
    <x v="3"/>
    <x v="0"/>
    <x v="4"/>
    <x v="3"/>
    <x v="1"/>
    <x v="11"/>
    <n v="8200"/>
    <n v="4100"/>
    <n v="0"/>
    <n v="0"/>
    <n v="0"/>
    <n v="0"/>
    <n v="0"/>
    <s v="GERAÇÃO"/>
    <n v="29685"/>
    <n v="10"/>
    <n v="0"/>
    <n v="0"/>
    <n v="10.55"/>
    <n v="0"/>
    <n v="0"/>
    <n v="13.562660039999955"/>
    <m/>
    <m/>
    <n v="43255"/>
    <n v="0"/>
    <n v="55606.906163999811"/>
    <n v="0"/>
    <x v="5"/>
  </r>
  <r>
    <s v="PROJETADO"/>
    <x v="0"/>
    <x v="2"/>
    <x v="3"/>
    <x v="0"/>
    <x v="4"/>
    <x v="4"/>
    <x v="1"/>
    <x v="11"/>
    <n v="12400"/>
    <n v="6200"/>
    <n v="0"/>
    <n v="0"/>
    <n v="0"/>
    <n v="0"/>
    <n v="0"/>
    <s v="GERAÇÃO"/>
    <n v="30396"/>
    <n v="10"/>
    <n v="0"/>
    <n v="0"/>
    <n v="10.55"/>
    <n v="0"/>
    <n v="0"/>
    <n v="13.562660039999955"/>
    <m/>
    <m/>
    <n v="65410.000000000007"/>
    <n v="0"/>
    <n v="84088.492247999719"/>
    <n v="0"/>
    <x v="5"/>
  </r>
  <r>
    <s v="Regular"/>
    <x v="0"/>
    <x v="2"/>
    <x v="3"/>
    <x v="0"/>
    <x v="2"/>
    <x v="5"/>
    <x v="1"/>
    <x v="0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1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2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3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4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5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6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7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8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9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0"/>
    <x v="2"/>
    <x v="3"/>
    <x v="0"/>
    <x v="2"/>
    <x v="5"/>
    <x v="1"/>
    <x v="10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PROJETADO"/>
    <x v="0"/>
    <x v="2"/>
    <x v="3"/>
    <x v="0"/>
    <x v="2"/>
    <x v="5"/>
    <x v="1"/>
    <x v="11"/>
    <n v="30000"/>
    <n v="15000"/>
    <n v="0"/>
    <n v="0"/>
    <n v="0"/>
    <n v="0"/>
    <n v="0"/>
    <s v="GERAÇÃO"/>
    <n v="30296"/>
    <n v="10"/>
    <n v="0"/>
    <n v="0"/>
    <n v="10.55"/>
    <n v="0"/>
    <n v="0"/>
    <n v="13.562660039999955"/>
    <m/>
    <m/>
    <n v="158250"/>
    <n v="0"/>
    <n v="203439.90059999932"/>
    <n v="0"/>
    <x v="5"/>
  </r>
  <r>
    <s v="Regular"/>
    <x v="1"/>
    <x v="0"/>
    <x v="0"/>
    <x v="0"/>
    <x v="0"/>
    <x v="0"/>
    <x v="0"/>
    <x v="0"/>
    <n v="25789"/>
    <n v="13282.53083593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304032.26537854166"/>
    <n v="0"/>
    <n v="347488.82892343489"/>
    <n v="0"/>
    <x v="0"/>
  </r>
  <r>
    <s v="Regular"/>
    <x v="1"/>
    <x v="0"/>
    <x v="0"/>
    <x v="0"/>
    <x v="0"/>
    <x v="0"/>
    <x v="0"/>
    <x v="1"/>
    <n v="25686"/>
    <n v="13354.910421299999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299768.78765819699"/>
    <n v="0"/>
    <n v="342615.95505809318"/>
    <n v="0"/>
    <x v="0"/>
  </r>
  <r>
    <s v="Regular"/>
    <x v="1"/>
    <x v="0"/>
    <x v="0"/>
    <x v="0"/>
    <x v="0"/>
    <x v="0"/>
    <x v="0"/>
    <x v="2"/>
    <n v="27204"/>
    <n v="14085.476016959999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318911.31802770239"/>
    <n v="0"/>
    <n v="364494.60485353094"/>
    <n v="0"/>
    <x v="0"/>
  </r>
  <r>
    <s v="Regular"/>
    <x v="1"/>
    <x v="0"/>
    <x v="0"/>
    <x v="0"/>
    <x v="0"/>
    <x v="0"/>
    <x v="0"/>
    <x v="3"/>
    <n v="27052"/>
    <n v="13257.480495399999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335344.76915682602"/>
    <n v="0"/>
    <n v="383276.95573632215"/>
    <n v="0"/>
    <x v="0"/>
  </r>
  <r>
    <s v="Regular"/>
    <x v="1"/>
    <x v="0"/>
    <x v="0"/>
    <x v="0"/>
    <x v="0"/>
    <x v="0"/>
    <x v="0"/>
    <x v="4"/>
    <n v="26095"/>
    <n v="12713.1844294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325311.93652128597"/>
    <n v="0"/>
    <n v="371810.08968193171"/>
    <n v="0"/>
    <x v="0"/>
  </r>
  <r>
    <s v="Regular"/>
    <x v="1"/>
    <x v="0"/>
    <x v="0"/>
    <x v="0"/>
    <x v="0"/>
    <x v="0"/>
    <x v="0"/>
    <x v="5"/>
    <n v="33633"/>
    <n v="16272.3651462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22037.03329587803"/>
    <n v="0"/>
    <n v="482360.4964417569"/>
    <n v="0"/>
    <x v="0"/>
  </r>
  <r>
    <s v="Regular"/>
    <x v="1"/>
    <x v="0"/>
    <x v="0"/>
    <x v="0"/>
    <x v="0"/>
    <x v="0"/>
    <x v="0"/>
    <x v="6"/>
    <n v="34601"/>
    <n v="16801.641120529999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32702.41435991571"/>
    <n v="0"/>
    <n v="494550.32363444078"/>
    <n v="0"/>
    <x v="0"/>
  </r>
  <r>
    <s v="Regular"/>
    <x v="1"/>
    <x v="0"/>
    <x v="0"/>
    <x v="0"/>
    <x v="0"/>
    <x v="0"/>
    <x v="0"/>
    <x v="7"/>
    <n v="34803"/>
    <n v="17489.772937080001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20884.54989958514"/>
    <n v="0"/>
    <n v="481043.28392408916"/>
    <n v="0"/>
    <x v="0"/>
  </r>
  <r>
    <s v="Refaturamento - Regular"/>
    <x v="1"/>
    <x v="0"/>
    <x v="0"/>
    <x v="0"/>
    <x v="0"/>
    <x v="0"/>
    <x v="0"/>
    <x v="7"/>
    <n v="-376"/>
    <n v="-376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0"/>
    <n v="0"/>
    <n v="0"/>
    <n v="0"/>
    <x v="0"/>
  </r>
  <r>
    <s v="Regular"/>
    <x v="1"/>
    <x v="0"/>
    <x v="0"/>
    <x v="0"/>
    <x v="0"/>
    <x v="0"/>
    <x v="0"/>
    <x v="8"/>
    <n v="36518"/>
    <n v="18580.92881116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36050.20060070039"/>
    <n v="0"/>
    <n v="498376.62252692133"/>
    <n v="0"/>
    <x v="0"/>
  </r>
  <r>
    <s v="Regular"/>
    <x v="1"/>
    <x v="0"/>
    <x v="0"/>
    <x v="0"/>
    <x v="0"/>
    <x v="0"/>
    <x v="0"/>
    <x v="9"/>
    <n v="37776"/>
    <n v="18892.51536528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59057.51147004316"/>
    <n v="0"/>
    <n v="524672.46155805595"/>
    <n v="0"/>
    <x v="0"/>
  </r>
  <r>
    <s v="Regular"/>
    <x v="1"/>
    <x v="0"/>
    <x v="0"/>
    <x v="0"/>
    <x v="0"/>
    <x v="0"/>
    <x v="0"/>
    <x v="10"/>
    <n v="37986"/>
    <n v="19186.316072040001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57020.31628870755"/>
    <n v="0"/>
    <n v="522344.08181530272"/>
    <n v="0"/>
    <x v="0"/>
  </r>
  <r>
    <s v="PROJETADO"/>
    <x v="1"/>
    <x v="0"/>
    <x v="0"/>
    <x v="0"/>
    <x v="0"/>
    <x v="0"/>
    <x v="0"/>
    <x v="11"/>
    <n v="37986"/>
    <n v="19186.316072040001"/>
    <n v="0"/>
    <n v="0"/>
    <n v="0"/>
    <n v="0"/>
    <n v="0"/>
    <s v="LIVRE"/>
    <n v="0"/>
    <n v="12"/>
    <n v="0"/>
    <n v="0"/>
    <n v="24.31"/>
    <n v="0"/>
    <n v="0"/>
    <n v="27.784726797371405"/>
    <n v="66.787442987613147"/>
    <m/>
    <n v="457020.31628870755"/>
    <n v="0"/>
    <n v="522344.08181530272"/>
    <n v="0"/>
    <x v="0"/>
  </r>
  <r>
    <s v="Regular"/>
    <x v="1"/>
    <x v="0"/>
    <x v="0"/>
    <x v="0"/>
    <x v="0"/>
    <x v="0"/>
    <x v="1"/>
    <x v="0"/>
    <n v="0"/>
    <n v="0"/>
    <n v="12317.14"/>
    <n v="12317.14"/>
    <n v="0"/>
    <n v="0"/>
    <n v="49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1"/>
    <n v="0"/>
    <n v="0"/>
    <n v="10867.904"/>
    <n v="10867.904"/>
    <n v="0"/>
    <n v="0"/>
    <n v="49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2"/>
    <n v="0"/>
    <n v="0"/>
    <n v="12202.246999999999"/>
    <n v="12202.246999999999"/>
    <n v="0"/>
    <n v="0"/>
    <n v="5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3"/>
    <n v="0"/>
    <n v="0"/>
    <n v="11663.785"/>
    <n v="11663.785"/>
    <n v="0"/>
    <n v="0"/>
    <n v="5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4"/>
    <n v="0"/>
    <n v="0"/>
    <n v="11597.929"/>
    <n v="11597.929"/>
    <n v="0"/>
    <n v="0"/>
    <n v="5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5"/>
    <n v="0"/>
    <n v="0"/>
    <n v="16524.562000000002"/>
    <n v="16524.562000000002"/>
    <n v="0"/>
    <n v="0"/>
    <n v="58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6"/>
    <n v="0"/>
    <n v="0"/>
    <n v="16363.849"/>
    <n v="16363.849"/>
    <n v="0"/>
    <n v="0"/>
    <n v="6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7"/>
    <n v="0"/>
    <n v="0"/>
    <n v="17576.155999999999"/>
    <n v="17576.155999999999"/>
    <n v="0"/>
    <n v="0"/>
    <n v="6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8"/>
    <n v="0"/>
    <n v="0"/>
    <n v="17139.843000000001"/>
    <n v="17139.843000000001"/>
    <n v="0"/>
    <n v="0"/>
    <n v="60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9"/>
    <n v="0"/>
    <n v="0"/>
    <n v="17477.350999999999"/>
    <n v="17477.350999999999"/>
    <n v="0"/>
    <n v="0"/>
    <n v="62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1"/>
    <x v="10"/>
    <n v="0"/>
    <n v="0"/>
    <n v="17975.597000000002"/>
    <n v="17975.597000000002"/>
    <n v="0"/>
    <n v="0"/>
    <n v="63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PROJETADO"/>
    <x v="1"/>
    <x v="0"/>
    <x v="0"/>
    <x v="0"/>
    <x v="0"/>
    <x v="0"/>
    <x v="1"/>
    <x v="11"/>
    <n v="0"/>
    <n v="0"/>
    <n v="17975.597000000002"/>
    <n v="17975.597000000002"/>
    <n v="0"/>
    <n v="0"/>
    <n v="63"/>
    <s v="LIVRE"/>
    <n v="0"/>
    <n v="0"/>
    <n v="110"/>
    <n v="0"/>
    <n v="0"/>
    <n v="51.27"/>
    <n v="0"/>
    <m/>
    <n v="66.787442987613147"/>
    <m/>
    <n v="0"/>
    <n v="0"/>
    <n v="0"/>
    <n v="0"/>
    <x v="0"/>
  </r>
  <r>
    <s v="Regular"/>
    <x v="1"/>
    <x v="0"/>
    <x v="0"/>
    <x v="0"/>
    <x v="0"/>
    <x v="0"/>
    <x v="2"/>
    <x v="0"/>
    <n v="22915"/>
    <n v="11822.50913945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690285.70625202649"/>
    <n v="0"/>
    <n v="847759.96284622245"/>
    <n v="0"/>
    <x v="0"/>
  </r>
  <r>
    <s v="Regular"/>
    <x v="1"/>
    <x v="0"/>
    <x v="0"/>
    <x v="0"/>
    <x v="0"/>
    <x v="0"/>
    <x v="2"/>
    <x v="1"/>
    <n v="22822"/>
    <n v="11905.543611200001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679331.08107502398"/>
    <n v="0"/>
    <n v="834306.2688917669"/>
    <n v="0"/>
    <x v="0"/>
  </r>
  <r>
    <s v="Regular"/>
    <x v="1"/>
    <x v="0"/>
    <x v="0"/>
    <x v="0"/>
    <x v="0"/>
    <x v="0"/>
    <x v="2"/>
    <x v="2"/>
    <n v="24187"/>
    <n v="12578.29334385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722409.81521221448"/>
    <n v="0"/>
    <n v="887212.51585709688"/>
    <n v="0"/>
    <x v="0"/>
  </r>
  <r>
    <s v="Regular"/>
    <x v="1"/>
    <x v="0"/>
    <x v="0"/>
    <x v="0"/>
    <x v="0"/>
    <x v="0"/>
    <x v="2"/>
    <x v="3"/>
    <n v="24070"/>
    <n v="11799.099558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763618.13450565992"/>
    <n v="0"/>
    <n v="937821.65192460769"/>
    <n v="0"/>
    <x v="0"/>
  </r>
  <r>
    <s v="Regular"/>
    <x v="1"/>
    <x v="0"/>
    <x v="0"/>
    <x v="0"/>
    <x v="0"/>
    <x v="0"/>
    <x v="2"/>
    <x v="4"/>
    <n v="23199"/>
    <n v="11312.310067410001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739708.71450507559"/>
    <n v="0"/>
    <n v="908457.79746871139"/>
    <n v="0"/>
    <x v="0"/>
  </r>
  <r>
    <s v="Regular"/>
    <x v="1"/>
    <x v="0"/>
    <x v="0"/>
    <x v="0"/>
    <x v="0"/>
    <x v="0"/>
    <x v="2"/>
    <x v="5"/>
    <n v="30615"/>
    <n v="14824.761455399999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982626.544630458"/>
    <n v="0"/>
    <n v="1206792.2534433668"/>
    <n v="0"/>
    <x v="0"/>
  </r>
  <r>
    <s v="Regular"/>
    <x v="1"/>
    <x v="0"/>
    <x v="0"/>
    <x v="0"/>
    <x v="0"/>
    <x v="0"/>
    <x v="2"/>
    <x v="6"/>
    <n v="31804"/>
    <n v="15383.977402119999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1021818.0062660724"/>
    <n v="0"/>
    <n v="1254924.4279316606"/>
    <n v="0"/>
    <x v="0"/>
  </r>
  <r>
    <s v="Regular"/>
    <x v="1"/>
    <x v="0"/>
    <x v="0"/>
    <x v="0"/>
    <x v="0"/>
    <x v="0"/>
    <x v="2"/>
    <x v="7"/>
    <n v="32053"/>
    <n v="16162.476518719999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988867.2762400544"/>
    <n v="0"/>
    <n v="1214456.6775355455"/>
    <n v="0"/>
    <x v="0"/>
  </r>
  <r>
    <s v="Refaturamento - Regular"/>
    <x v="1"/>
    <x v="0"/>
    <x v="0"/>
    <x v="0"/>
    <x v="0"/>
    <x v="0"/>
    <x v="2"/>
    <x v="7"/>
    <n v="-448"/>
    <n v="-448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0"/>
    <n v="0"/>
    <n v="0"/>
    <n v="0"/>
    <x v="0"/>
  </r>
  <r>
    <s v="Regular"/>
    <x v="1"/>
    <x v="0"/>
    <x v="0"/>
    <x v="0"/>
    <x v="0"/>
    <x v="0"/>
    <x v="2"/>
    <x v="8"/>
    <n v="33112"/>
    <n v="16982.84083184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1003717.5750345967"/>
    <n v="0"/>
    <n v="1232694.761622021"/>
    <n v="0"/>
    <x v="0"/>
  </r>
  <r>
    <s v="Regular"/>
    <x v="1"/>
    <x v="0"/>
    <x v="0"/>
    <x v="0"/>
    <x v="0"/>
    <x v="0"/>
    <x v="2"/>
    <x v="9"/>
    <n v="35029"/>
    <n v="17537.04571527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1088524.3151387479"/>
    <n v="0"/>
    <n v="1336848.38698125"/>
    <n v="0"/>
    <x v="0"/>
  </r>
  <r>
    <s v="Regular"/>
    <x v="1"/>
    <x v="0"/>
    <x v="0"/>
    <x v="0"/>
    <x v="0"/>
    <x v="0"/>
    <x v="2"/>
    <x v="10"/>
    <n v="34681"/>
    <n v="17472.87703019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1070861.4924112763"/>
    <n v="0"/>
    <n v="1315156.1604095851"/>
    <n v="0"/>
    <x v="0"/>
  </r>
  <r>
    <s v="PROJETADO"/>
    <x v="1"/>
    <x v="0"/>
    <x v="0"/>
    <x v="0"/>
    <x v="0"/>
    <x v="0"/>
    <x v="2"/>
    <x v="11"/>
    <n v="34681"/>
    <n v="17472.87703019"/>
    <n v="0"/>
    <n v="0"/>
    <n v="0"/>
    <n v="0"/>
    <n v="0"/>
    <s v="LIVRE"/>
    <n v="0"/>
    <n v="11"/>
    <n v="0"/>
    <n v="0"/>
    <n v="62.23"/>
    <n v="0"/>
    <n v="0"/>
    <n v="76.426473864517376"/>
    <n v="66.787442987613147"/>
    <m/>
    <n v="1070861.4924112763"/>
    <n v="0"/>
    <n v="1315156.1604095851"/>
    <n v="0"/>
    <x v="0"/>
  </r>
  <r>
    <s v="Regular"/>
    <x v="1"/>
    <x v="0"/>
    <x v="1"/>
    <x v="0"/>
    <x v="2"/>
    <x v="0"/>
    <x v="0"/>
    <x v="0"/>
    <n v="910"/>
    <n v="873.6"/>
    <n v="325.13099999999997"/>
    <n v="312.12576000000001"/>
    <n v="325.13099999999997"/>
    <n v="312.12576000000001"/>
    <n v="0"/>
    <s v="CATIVO"/>
    <n v="0"/>
    <n v="12"/>
    <n v="110"/>
    <n v="89"/>
    <n v="24.31"/>
    <n v="51.27"/>
    <n v="222.31"/>
    <n v="27.784726797371405"/>
    <n v="66.787442987613147"/>
    <n v="236.64237028527376"/>
    <n v="884.88399999999945"/>
    <n v="3557.9735591999888"/>
    <n v="1011.3640554243185"/>
    <n v="3946.177544769067"/>
    <x v="2"/>
  </r>
  <r>
    <s v="Regular"/>
    <x v="1"/>
    <x v="0"/>
    <x v="1"/>
    <x v="0"/>
    <x v="2"/>
    <x v="0"/>
    <x v="0"/>
    <x v="1"/>
    <n v="866"/>
    <n v="831.36"/>
    <n v="329.81200000000001"/>
    <n v="316.61952000000002"/>
    <n v="329.81200000000001"/>
    <n v="316.61952000000002"/>
    <n v="0"/>
    <s v="CATIVO"/>
    <n v="0"/>
    <n v="12"/>
    <n v="110"/>
    <n v="89"/>
    <n v="24.31"/>
    <n v="51.27"/>
    <n v="222.31"/>
    <n v="27.784726797371405"/>
    <n v="66.787442987613147"/>
    <n v="236.64237028527376"/>
    <n v="842.09839999999963"/>
    <n v="3609.1986783999969"/>
    <n v="962.46293626094507"/>
    <n v="4002.9917430062915"/>
    <x v="2"/>
  </r>
  <r>
    <s v="Regular"/>
    <x v="1"/>
    <x v="0"/>
    <x v="1"/>
    <x v="0"/>
    <x v="2"/>
    <x v="0"/>
    <x v="0"/>
    <x v="2"/>
    <n v="841"/>
    <n v="807.36"/>
    <n v="321.48399999999998"/>
    <n v="308.62464"/>
    <n v="321.48399999999998"/>
    <n v="308.62464"/>
    <n v="0"/>
    <s v="CATIVO"/>
    <n v="0"/>
    <n v="12"/>
    <n v="110"/>
    <n v="89"/>
    <n v="24.31"/>
    <n v="51.27"/>
    <n v="222.31"/>
    <n v="27.784726797371405"/>
    <n v="66.787442987613147"/>
    <n v="236.64237028527376"/>
    <n v="817.78839999999957"/>
    <n v="3518.0637087999949"/>
    <n v="934.67820946357369"/>
    <n v="3901.9132036088249"/>
    <x v="2"/>
  </r>
  <r>
    <s v="Regular"/>
    <x v="1"/>
    <x v="0"/>
    <x v="1"/>
    <x v="0"/>
    <x v="2"/>
    <x v="0"/>
    <x v="0"/>
    <x v="3"/>
    <n v="873"/>
    <n v="838.08"/>
    <n v="313.298"/>
    <n v="300.76607999999999"/>
    <n v="313.298"/>
    <n v="300.76607999999999"/>
    <n v="0"/>
    <s v="CATIVO"/>
    <n v="0"/>
    <n v="12"/>
    <n v="110"/>
    <n v="89"/>
    <n v="24.31"/>
    <n v="51.27"/>
    <n v="222.31"/>
    <n v="27.784726797371405"/>
    <n v="66.787442987613147"/>
    <n v="236.64237028527376"/>
    <n v="848.90519999999901"/>
    <n v="3428.4826736000041"/>
    <n v="970.24265976420838"/>
    <n v="3802.5581455507609"/>
    <x v="2"/>
  </r>
  <r>
    <s v="Regular"/>
    <x v="1"/>
    <x v="0"/>
    <x v="1"/>
    <x v="0"/>
    <x v="2"/>
    <x v="0"/>
    <x v="0"/>
    <x v="4"/>
    <n v="908"/>
    <n v="871.68"/>
    <n v="378.125"/>
    <n v="363"/>
    <n v="378.125"/>
    <n v="363"/>
    <n v="0"/>
    <s v="CATIVO"/>
    <n v="0"/>
    <n v="12"/>
    <n v="110"/>
    <n v="89"/>
    <n v="24.31"/>
    <n v="51.27"/>
    <n v="222.31"/>
    <n v="27.784726797371405"/>
    <n v="66.787442987613147"/>
    <n v="236.64237028527376"/>
    <n v="882.93920000000116"/>
    <n v="4137.8975"/>
    <n v="1009.1412772805309"/>
    <n v="4589.3759257524143"/>
    <x v="2"/>
  </r>
  <r>
    <s v="Regular"/>
    <x v="1"/>
    <x v="0"/>
    <x v="1"/>
    <x v="0"/>
    <x v="2"/>
    <x v="0"/>
    <x v="0"/>
    <x v="5"/>
    <n v="930"/>
    <n v="892.8"/>
    <n v="414.2"/>
    <n v="397.63200000000001"/>
    <n v="414.2"/>
    <n v="397.63200000000001"/>
    <n v="0"/>
    <s v="CATIVO"/>
    <n v="0"/>
    <n v="12"/>
    <n v="110"/>
    <n v="89"/>
    <n v="24.31"/>
    <n v="51.27"/>
    <n v="222.31"/>
    <n v="27.784726797371405"/>
    <n v="66.787442987613147"/>
    <n v="236.64237028527376"/>
    <n v="904.33200000000102"/>
    <n v="4532.6734399999959"/>
    <n v="1033.5918368622176"/>
    <n v="5027.2251463051853"/>
    <x v="2"/>
  </r>
  <r>
    <s v="Regular"/>
    <x v="1"/>
    <x v="0"/>
    <x v="1"/>
    <x v="0"/>
    <x v="2"/>
    <x v="0"/>
    <x v="0"/>
    <x v="6"/>
    <n v="960"/>
    <n v="921.6"/>
    <n v="381.40600000000001"/>
    <n v="366.14976000000001"/>
    <n v="381.40600000000001"/>
    <n v="366.14976000000001"/>
    <n v="0"/>
    <s v="CATIVO"/>
    <n v="0"/>
    <n v="12"/>
    <n v="110"/>
    <n v="89"/>
    <n v="24.31"/>
    <n v="51.27"/>
    <n v="222.31"/>
    <n v="27.784726797371405"/>
    <n v="66.787442987613147"/>
    <n v="236.64237028527376"/>
    <n v="933.50399999999945"/>
    <n v="4173.8021391999973"/>
    <n v="1066.9335090190614"/>
    <n v="4629.1980544463459"/>
    <x v="2"/>
  </r>
  <r>
    <s v="Regular"/>
    <x v="1"/>
    <x v="0"/>
    <x v="1"/>
    <x v="0"/>
    <x v="2"/>
    <x v="0"/>
    <x v="0"/>
    <x v="7"/>
    <n v="966"/>
    <n v="927.36"/>
    <n v="365.46499999999997"/>
    <n v="350.84640000000002"/>
    <n v="365.46499999999997"/>
    <n v="350.84640000000002"/>
    <n v="0"/>
    <s v="CATIVO"/>
    <n v="0"/>
    <n v="12"/>
    <n v="110"/>
    <n v="89"/>
    <n v="24.31"/>
    <n v="51.27"/>
    <n v="222.31"/>
    <n v="27.784726797371405"/>
    <n v="66.787442987613147"/>
    <n v="236.64237028527376"/>
    <n v="939.33839999999964"/>
    <n v="3999.3565879999887"/>
    <n v="1073.6018434504308"/>
    <n v="4435.7190683110111"/>
    <x v="2"/>
  </r>
  <r>
    <s v="Regular"/>
    <x v="1"/>
    <x v="0"/>
    <x v="1"/>
    <x v="0"/>
    <x v="2"/>
    <x v="0"/>
    <x v="0"/>
    <x v="8"/>
    <n v="894"/>
    <n v="858.24"/>
    <n v="399.55"/>
    <n v="383.56799999999998"/>
    <n v="399.55"/>
    <n v="383.56799999999998"/>
    <n v="0"/>
    <s v="CATIVO"/>
    <n v="0"/>
    <n v="12"/>
    <n v="110"/>
    <n v="89"/>
    <n v="24.31"/>
    <n v="51.27"/>
    <n v="222.31"/>
    <n v="27.784726797371405"/>
    <n v="66.787442987613147"/>
    <n v="236.64237028527376"/>
    <n v="869.32559999999978"/>
    <n v="4372.3555600000082"/>
    <n v="993.58183027400116"/>
    <n v="4849.4152757272868"/>
    <x v="2"/>
  </r>
  <r>
    <s v="Regular"/>
    <x v="1"/>
    <x v="0"/>
    <x v="1"/>
    <x v="0"/>
    <x v="2"/>
    <x v="0"/>
    <x v="0"/>
    <x v="9"/>
    <n v="936"/>
    <n v="898.56"/>
    <n v="353.71300000000002"/>
    <n v="339.56448"/>
    <n v="353.71300000000002"/>
    <n v="339.56448"/>
    <n v="0"/>
    <s v="CATIVO"/>
    <n v="0"/>
    <n v="12"/>
    <n v="110"/>
    <n v="89"/>
    <n v="24.31"/>
    <n v="51.27"/>
    <n v="222.31"/>
    <n v="27.784726797371405"/>
    <n v="66.787442987613147"/>
    <n v="236.64237028527376"/>
    <n v="910.16640000000132"/>
    <n v="3870.7521016000055"/>
    <n v="1040.2601712935868"/>
    <n v="4293.0827816877118"/>
    <x v="2"/>
  </r>
  <r>
    <s v="Regular"/>
    <x v="1"/>
    <x v="0"/>
    <x v="1"/>
    <x v="0"/>
    <x v="2"/>
    <x v="0"/>
    <x v="0"/>
    <x v="10"/>
    <n v="934"/>
    <n v="896.64"/>
    <n v="356.20699999999999"/>
    <n v="341.95872000000003"/>
    <n v="356.20699999999999"/>
    <n v="341.95872000000003"/>
    <n v="0"/>
    <s v="CATIVO"/>
    <n v="0"/>
    <n v="12"/>
    <n v="110"/>
    <n v="89"/>
    <n v="24.31"/>
    <n v="51.27"/>
    <n v="222.31"/>
    <n v="27.784726797371405"/>
    <n v="66.787442987613147"/>
    <n v="236.64237028527376"/>
    <n v="908.22160000000031"/>
    <n v="3898.0444423999907"/>
    <n v="1038.0373931497961"/>
    <n v="4323.3529398597984"/>
    <x v="2"/>
  </r>
  <r>
    <s v="PROJETADO"/>
    <x v="1"/>
    <x v="0"/>
    <x v="1"/>
    <x v="0"/>
    <x v="2"/>
    <x v="0"/>
    <x v="0"/>
    <x v="11"/>
    <n v="934"/>
    <n v="896.64"/>
    <n v="356.20699999999999"/>
    <n v="341.95872000000003"/>
    <n v="356.20699999999999"/>
    <n v="341.95872000000003"/>
    <n v="0"/>
    <s v="CATIVO"/>
    <n v="0"/>
    <n v="12"/>
    <n v="110"/>
    <n v="89"/>
    <n v="24.31"/>
    <n v="51.27"/>
    <n v="222.31"/>
    <n v="27.784726797371405"/>
    <n v="66.787442987613147"/>
    <n v="236.64237028527376"/>
    <n v="908.22160000000031"/>
    <n v="3898.0444423999907"/>
    <n v="1038.0373931497961"/>
    <n v="4323.3529398597984"/>
    <x v="2"/>
  </r>
  <r>
    <s v="Regular"/>
    <x v="1"/>
    <x v="0"/>
    <x v="1"/>
    <x v="0"/>
    <x v="2"/>
    <x v="0"/>
    <x v="2"/>
    <x v="0"/>
    <n v="422"/>
    <n v="405.12"/>
    <n v="14.534000000000001"/>
    <n v="13.952640000000001"/>
    <n v="14.534000000000001"/>
    <n v="13.952640000000001"/>
    <n v="0"/>
    <s v="CATIVO"/>
    <n v="0"/>
    <n v="11"/>
    <n v="110"/>
    <n v="88"/>
    <n v="62.23"/>
    <n v="51.27"/>
    <n v="365.5"/>
    <n v="76.426473864517376"/>
    <n v="66.787442987613147"/>
    <n v="382.75425465660959"/>
    <n v="1050.4423999999997"/>
    <n v="242.29340720000005"/>
    <n v="1290.0788788330531"/>
    <n v="261.34556134244536"/>
    <x v="2"/>
  </r>
  <r>
    <s v="Regular"/>
    <x v="1"/>
    <x v="0"/>
    <x v="1"/>
    <x v="0"/>
    <x v="2"/>
    <x v="0"/>
    <x v="2"/>
    <x v="1"/>
    <n v="363"/>
    <n v="348.48"/>
    <n v="14.506"/>
    <n v="13.92576"/>
    <n v="14.506"/>
    <n v="13.92576"/>
    <n v="0"/>
    <s v="CATIVO"/>
    <n v="0"/>
    <n v="11"/>
    <n v="110"/>
    <n v="88"/>
    <n v="62.23"/>
    <n v="51.27"/>
    <n v="365.5"/>
    <n v="76.426473864517376"/>
    <n v="66.787442987613147"/>
    <n v="382.75425465660959"/>
    <n v="903.57959999999878"/>
    <n v="241.82662479999993"/>
    <n v="1109.712400512791"/>
    <n v="260.84207464108374"/>
    <x v="2"/>
  </r>
  <r>
    <s v="Regular"/>
    <x v="1"/>
    <x v="0"/>
    <x v="1"/>
    <x v="0"/>
    <x v="2"/>
    <x v="0"/>
    <x v="2"/>
    <x v="2"/>
    <n v="449"/>
    <n v="431.04"/>
    <n v="14.18"/>
    <n v="13.6128"/>
    <n v="14.18"/>
    <n v="13.6128"/>
    <n v="0"/>
    <s v="CATIVO"/>
    <n v="0"/>
    <n v="11"/>
    <n v="110"/>
    <n v="88"/>
    <n v="62.23"/>
    <n v="51.27"/>
    <n v="365.5"/>
    <n v="76.426473864517376"/>
    <n v="66.787442987613147"/>
    <n v="382.75425465660959"/>
    <n v="1117.6507999999988"/>
    <n v="236.39194399999988"/>
    <n v="1372.6194706067306"/>
    <n v="254.980050903803"/>
    <x v="2"/>
  </r>
  <r>
    <s v="Regular"/>
    <x v="1"/>
    <x v="0"/>
    <x v="1"/>
    <x v="0"/>
    <x v="2"/>
    <x v="0"/>
    <x v="2"/>
    <x v="3"/>
    <n v="490"/>
    <n v="470.4"/>
    <n v="15.058999999999999"/>
    <n v="14.45664"/>
    <n v="15.058999999999999"/>
    <n v="14.45664"/>
    <n v="0"/>
    <s v="CATIVO"/>
    <n v="0"/>
    <n v="11"/>
    <n v="110"/>
    <n v="88"/>
    <n v="62.23"/>
    <n v="51.27"/>
    <n v="365.5"/>
    <n v="76.426473864517376"/>
    <n v="66.787442987613147"/>
    <n v="382.75425465660959"/>
    <n v="1219.7080000000014"/>
    <n v="251.04557719999963"/>
    <n v="1497.9588877445424"/>
    <n v="270.78593699297357"/>
    <x v="2"/>
  </r>
  <r>
    <s v="Regular"/>
    <x v="1"/>
    <x v="0"/>
    <x v="1"/>
    <x v="0"/>
    <x v="2"/>
    <x v="0"/>
    <x v="2"/>
    <x v="4"/>
    <n v="573"/>
    <n v="550.08000000000004"/>
    <n v="18.038"/>
    <n v="17.316479999999999"/>
    <n v="18.038"/>
    <n v="17.316479999999999"/>
    <n v="0"/>
    <s v="CATIVO"/>
    <n v="0"/>
    <n v="11"/>
    <n v="110"/>
    <n v="88"/>
    <n v="62.23"/>
    <n v="51.27"/>
    <n v="365.5"/>
    <n v="76.426473864517376"/>
    <n v="66.787442987613147"/>
    <n v="382.75425465660959"/>
    <n v="1426.3115999999973"/>
    <n v="300.70789040000068"/>
    <n v="1751.6947809747351"/>
    <n v="324.35332568426037"/>
    <x v="2"/>
  </r>
  <r>
    <s v="Regular"/>
    <x v="1"/>
    <x v="0"/>
    <x v="1"/>
    <x v="0"/>
    <x v="2"/>
    <x v="0"/>
    <x v="2"/>
    <x v="5"/>
    <n v="464"/>
    <n v="445.44"/>
    <n v="17.111999999999998"/>
    <n v="16.427520000000001"/>
    <n v="17.111999999999998"/>
    <n v="16.427520000000001"/>
    <n v="0"/>
    <s v="CATIVO"/>
    <n v="0"/>
    <n v="11"/>
    <n v="110"/>
    <n v="88"/>
    <n v="62.23"/>
    <n v="51.27"/>
    <n v="365.5"/>
    <n v="76.426473864517376"/>
    <n v="66.787442987613147"/>
    <n v="382.75425465660959"/>
    <n v="1154.9888000000001"/>
    <n v="285.27072959999879"/>
    <n v="1418.4753549254426"/>
    <n v="307.70230120351624"/>
    <x v="2"/>
  </r>
  <r>
    <s v="Regular"/>
    <x v="1"/>
    <x v="0"/>
    <x v="1"/>
    <x v="0"/>
    <x v="2"/>
    <x v="0"/>
    <x v="2"/>
    <x v="6"/>
    <n v="454"/>
    <n v="435.84"/>
    <n v="17.024999999999999"/>
    <n v="16.344000000000001"/>
    <n v="17.024999999999999"/>
    <n v="16.344000000000001"/>
    <n v="0"/>
    <s v="CATIVO"/>
    <n v="0"/>
    <n v="11"/>
    <n v="110"/>
    <n v="88"/>
    <n v="62.23"/>
    <n v="51.27"/>
    <n v="365.5"/>
    <n v="76.426473864517376"/>
    <n v="66.787442987613147"/>
    <n v="382.75425465660959"/>
    <n v="1130.0968000000014"/>
    <n v="283.82036999999889"/>
    <n v="1387.9047653796374"/>
    <n v="306.13789609571455"/>
    <x v="2"/>
  </r>
  <r>
    <s v="Regular"/>
    <x v="1"/>
    <x v="0"/>
    <x v="1"/>
    <x v="0"/>
    <x v="2"/>
    <x v="0"/>
    <x v="2"/>
    <x v="7"/>
    <n v="619"/>
    <n v="594.24"/>
    <n v="17.184999999999999"/>
    <n v="16.497599999999998"/>
    <n v="17.184999999999999"/>
    <n v="16.497599999999998"/>
    <n v="0"/>
    <s v="CATIVO"/>
    <n v="0"/>
    <n v="11"/>
    <n v="110"/>
    <n v="88"/>
    <n v="62.23"/>
    <n v="51.27"/>
    <n v="365.5"/>
    <n v="76.426473864517376"/>
    <n v="66.787442987613147"/>
    <n v="382.75425465660959"/>
    <n v="1540.8147999999994"/>
    <n v="286.48769800000008"/>
    <n v="1892.3194928854496"/>
    <n v="309.0149629606388"/>
    <x v="2"/>
  </r>
  <r>
    <s v="Regular"/>
    <x v="1"/>
    <x v="0"/>
    <x v="1"/>
    <x v="0"/>
    <x v="2"/>
    <x v="0"/>
    <x v="2"/>
    <x v="8"/>
    <n v="690"/>
    <n v="662.4"/>
    <n v="24.850999999999999"/>
    <n v="23.856960000000001"/>
    <n v="24.850999999999999"/>
    <n v="23.856960000000001"/>
    <n v="0"/>
    <s v="CATIVO"/>
    <n v="0"/>
    <n v="11"/>
    <n v="110"/>
    <n v="88"/>
    <n v="62.23"/>
    <n v="51.27"/>
    <n v="365.5"/>
    <n v="76.426473864517376"/>
    <n v="66.787442987613147"/>
    <n v="382.75425465660959"/>
    <n v="1717.5480000000014"/>
    <n v="414.28605079999932"/>
    <n v="2109.3706786606813"/>
    <n v="446.86242912626244"/>
    <x v="2"/>
  </r>
  <r>
    <s v="Regular"/>
    <x v="1"/>
    <x v="0"/>
    <x v="1"/>
    <x v="0"/>
    <x v="2"/>
    <x v="0"/>
    <x v="2"/>
    <x v="9"/>
    <n v="766"/>
    <n v="735.36"/>
    <n v="19.818999999999999"/>
    <n v="19.026240000000001"/>
    <n v="19.818999999999999"/>
    <n v="19.026240000000001"/>
    <n v="0"/>
    <s v="CATIVO"/>
    <n v="0"/>
    <n v="11"/>
    <n v="110"/>
    <n v="88"/>
    <n v="62.23"/>
    <n v="51.27"/>
    <n v="365.5"/>
    <n v="76.426473864517376"/>
    <n v="66.787442987613147"/>
    <n v="382.75425465660959"/>
    <n v="1906.7271999999991"/>
    <n v="330.39858519999905"/>
    <n v="2341.7071592088114"/>
    <n v="356.37867622443298"/>
    <x v="2"/>
  </r>
  <r>
    <s v="Regular"/>
    <x v="1"/>
    <x v="0"/>
    <x v="1"/>
    <x v="0"/>
    <x v="2"/>
    <x v="0"/>
    <x v="2"/>
    <x v="10"/>
    <n v="737"/>
    <n v="707.52"/>
    <n v="23.018000000000001"/>
    <n v="22.097280000000001"/>
    <n v="23.018000000000001"/>
    <n v="22.097280000000001"/>
    <n v="0"/>
    <s v="CATIVO"/>
    <n v="0"/>
    <n v="11"/>
    <n v="110"/>
    <n v="88"/>
    <n v="62.23"/>
    <n v="51.27"/>
    <n v="365.5"/>
    <n v="76.426473864517376"/>
    <n v="66.787442987613147"/>
    <n v="382.75425465660959"/>
    <n v="1834.540400000001"/>
    <n v="383.7284743999997"/>
    <n v="2253.0524495259738"/>
    <n v="413.90203185498848"/>
    <x v="2"/>
  </r>
  <r>
    <s v="PROJETADO"/>
    <x v="1"/>
    <x v="0"/>
    <x v="1"/>
    <x v="0"/>
    <x v="2"/>
    <x v="0"/>
    <x v="2"/>
    <x v="11"/>
    <n v="737"/>
    <n v="707.52"/>
    <n v="23.018000000000001"/>
    <n v="22.097280000000001"/>
    <n v="23.018000000000001"/>
    <n v="22.097280000000001"/>
    <n v="0"/>
    <s v="CATIVO"/>
    <n v="0"/>
    <n v="11"/>
    <n v="110"/>
    <n v="88"/>
    <n v="62.23"/>
    <n v="51.27"/>
    <n v="365.5"/>
    <n v="76.426473864517376"/>
    <n v="66.787442987613147"/>
    <n v="382.75425465660959"/>
    <n v="1834.540400000001"/>
    <n v="383.7284743999997"/>
    <n v="2253.0524495259738"/>
    <n v="413.90203185498848"/>
    <x v="2"/>
  </r>
  <r>
    <s v="Regular"/>
    <x v="1"/>
    <x v="0"/>
    <x v="2"/>
    <x v="2"/>
    <x v="2"/>
    <x v="0"/>
    <x v="0"/>
    <x v="0"/>
    <n v="7026"/>
    <n v="5972.0999999999995"/>
    <n v="3424.1260000000002"/>
    <n v="3218.6784400000001"/>
    <n v="3424.1260000000002"/>
    <n v="3218.6784400000001"/>
    <n v="0"/>
    <s v="CATIVO"/>
    <n v="0"/>
    <n v="12"/>
    <n v="110"/>
    <n v="89"/>
    <n v="24.31"/>
    <n v="51.27"/>
    <n v="222.31"/>
    <n v="27.784726797371405"/>
    <n v="66.787442987613147"/>
    <n v="236.64237028527376"/>
    <n v="25620.309000000012"/>
    <n v="56206.343464800026"/>
    <n v="29282.323571749741"/>
    <n v="62338.914768170245"/>
    <x v="3"/>
  </r>
  <r>
    <s v="Regular"/>
    <x v="1"/>
    <x v="0"/>
    <x v="2"/>
    <x v="2"/>
    <x v="2"/>
    <x v="0"/>
    <x v="0"/>
    <x v="1"/>
    <n v="7064"/>
    <n v="6004.4"/>
    <n v="3484.2539999999999"/>
    <n v="3275.1987600000002"/>
    <n v="3484.2539999999999"/>
    <n v="3275.1987600000002"/>
    <n v="0"/>
    <s v="CATIVO"/>
    <n v="0"/>
    <n v="12"/>
    <n v="110"/>
    <n v="89"/>
    <n v="24.31"/>
    <n v="51.27"/>
    <n v="222.31"/>
    <n v="27.784726797371405"/>
    <n v="66.787442987613147"/>
    <n v="236.64237028527376"/>
    <n v="25758.876000000007"/>
    <n v="57193.332559199916"/>
    <n v="29440.69651449475"/>
    <n v="63433.592436918465"/>
    <x v="3"/>
  </r>
  <r>
    <s v="Regular"/>
    <x v="1"/>
    <x v="0"/>
    <x v="2"/>
    <x v="2"/>
    <x v="2"/>
    <x v="0"/>
    <x v="0"/>
    <x v="2"/>
    <n v="11333"/>
    <n v="9633.0499999999993"/>
    <n v="5526.6139999999996"/>
    <n v="5195.0171600000003"/>
    <n v="5526.6139999999996"/>
    <n v="5195.0171600000003"/>
    <n v="0"/>
    <s v="CATIVO"/>
    <n v="0"/>
    <n v="12"/>
    <n v="110"/>
    <n v="89"/>
    <n v="24.31"/>
    <n v="51.27"/>
    <n v="222.31"/>
    <n v="27.784726797371405"/>
    <n v="66.787442987613147"/>
    <n v="236.64237028527376"/>
    <n v="41325.784500000016"/>
    <n v="90718.263487199787"/>
    <n v="47232.646319191539"/>
    <n v="100616.36724307912"/>
    <x v="3"/>
  </r>
  <r>
    <s v="Regular"/>
    <x v="1"/>
    <x v="0"/>
    <x v="2"/>
    <x v="2"/>
    <x v="2"/>
    <x v="0"/>
    <x v="0"/>
    <x v="3"/>
    <n v="11554"/>
    <n v="9820.9"/>
    <n v="5620.0230000000001"/>
    <n v="5282.8216199999997"/>
    <n v="5620.0230000000001"/>
    <n v="5282.8216199999997"/>
    <n v="0"/>
    <s v="CATIVO"/>
    <n v="0"/>
    <n v="12"/>
    <n v="110"/>
    <n v="89"/>
    <n v="24.31"/>
    <n v="51.27"/>
    <n v="222.31"/>
    <n v="27.784726797371405"/>
    <n v="66.787442987613147"/>
    <n v="236.64237028527376"/>
    <n v="42131.661000000007"/>
    <n v="92251.553540400128"/>
    <n v="48153.710012524396"/>
    <n v="102316.95176875991"/>
    <x v="3"/>
  </r>
  <r>
    <s v="Refaturamento - Regular"/>
    <x v="1"/>
    <x v="0"/>
    <x v="2"/>
    <x v="2"/>
    <x v="2"/>
    <x v="0"/>
    <x v="0"/>
    <x v="3"/>
    <n v="-8"/>
    <n v="-6.8"/>
    <n v="-28"/>
    <n v="-26.32"/>
    <n v="-28"/>
    <n v="-26.32"/>
    <n v="0"/>
    <s v="CATIVO"/>
    <n v="0"/>
    <n v="12"/>
    <n v="110"/>
    <n v="89"/>
    <n v="24.31"/>
    <n v="51.27"/>
    <n v="222.31"/>
    <n v="27.784726797371405"/>
    <n v="66.787442987613147"/>
    <n v="236.64237028527376"/>
    <n v="-29.172000000000004"/>
    <n v="-459.61439999999993"/>
    <n v="-33.341672156845689"/>
    <n v="-509.76208629844996"/>
    <x v="3"/>
  </r>
  <r>
    <s v="Regular"/>
    <x v="1"/>
    <x v="0"/>
    <x v="2"/>
    <x v="2"/>
    <x v="2"/>
    <x v="0"/>
    <x v="0"/>
    <x v="4"/>
    <n v="5382"/>
    <n v="4574.7"/>
    <n v="2391.4760000000001"/>
    <n v="2247.9874399999999"/>
    <n v="2391.4760000000001"/>
    <n v="2247.9874399999999"/>
    <n v="0"/>
    <s v="CATIVO"/>
    <n v="0"/>
    <n v="12"/>
    <n v="110"/>
    <n v="89"/>
    <n v="24.31"/>
    <n v="51.27"/>
    <n v="222.31"/>
    <n v="27.784726797371405"/>
    <n v="66.787442987613147"/>
    <n v="236.64237028527376"/>
    <n v="19625.463000000003"/>
    <n v="39255.600244800065"/>
    <n v="22430.609943517942"/>
    <n v="43538.706967595499"/>
    <x v="3"/>
  </r>
  <r>
    <s v="Regular"/>
    <x v="1"/>
    <x v="0"/>
    <x v="2"/>
    <x v="2"/>
    <x v="2"/>
    <x v="0"/>
    <x v="0"/>
    <x v="5"/>
    <n v="5325"/>
    <n v="4526.25"/>
    <n v="2351.6170000000002"/>
    <n v="2210.51998"/>
    <n v="2351.6170000000002"/>
    <n v="2210.51998"/>
    <n v="0"/>
    <s v="CATIVO"/>
    <n v="0"/>
    <n v="12"/>
    <n v="110"/>
    <n v="89"/>
    <n v="24.31"/>
    <n v="51.27"/>
    <n v="222.31"/>
    <n v="27.784726797371405"/>
    <n v="66.787442987613147"/>
    <n v="236.64237028527376"/>
    <n v="19417.612499999999"/>
    <n v="38601.322731600041"/>
    <n v="22193.050529400411"/>
    <n v="42813.042431960843"/>
    <x v="3"/>
  </r>
  <r>
    <s v="Regular"/>
    <x v="1"/>
    <x v="0"/>
    <x v="2"/>
    <x v="2"/>
    <x v="2"/>
    <x v="0"/>
    <x v="0"/>
    <x v="6"/>
    <n v="5380"/>
    <n v="4573"/>
    <n v="2387.5569999999998"/>
    <n v="2244.3035799999998"/>
    <n v="2387.5569999999998"/>
    <n v="2244.3035799999998"/>
    <n v="0"/>
    <s v="CATIVO"/>
    <n v="0"/>
    <n v="12"/>
    <n v="110"/>
    <n v="89"/>
    <n v="24.31"/>
    <n v="51.27"/>
    <n v="222.31"/>
    <n v="27.784726797371405"/>
    <n v="66.787442987613147"/>
    <n v="236.64237028527376"/>
    <n v="19618.169999999998"/>
    <n v="39191.270643600001"/>
    <n v="22422.274525478722"/>
    <n v="43467.35848130245"/>
    <x v="3"/>
  </r>
  <r>
    <s v="Regular"/>
    <x v="1"/>
    <x v="0"/>
    <x v="2"/>
    <x v="2"/>
    <x v="2"/>
    <x v="0"/>
    <x v="0"/>
    <x v="7"/>
    <n v="5360"/>
    <n v="4556"/>
    <n v="2342.62"/>
    <n v="2202.0628000000002"/>
    <n v="2342.62"/>
    <n v="2202.0628000000002"/>
    <n v="0"/>
    <s v="CATIVO"/>
    <n v="0"/>
    <n v="12"/>
    <n v="110"/>
    <n v="89"/>
    <n v="24.31"/>
    <n v="51.27"/>
    <n v="222.31"/>
    <n v="27.784726797371405"/>
    <n v="66.787442987613147"/>
    <n v="236.64237028527376"/>
    <n v="19545.239999999998"/>
    <n v="38453.638775999934"/>
    <n v="22338.920345086612"/>
    <n v="42649.244950159737"/>
    <x v="3"/>
  </r>
  <r>
    <s v="Regular"/>
    <x v="1"/>
    <x v="0"/>
    <x v="2"/>
    <x v="2"/>
    <x v="2"/>
    <x v="0"/>
    <x v="0"/>
    <x v="8"/>
    <n v="5291"/>
    <n v="4497.3499999999995"/>
    <n v="2365.7759999999998"/>
    <n v="2223.82944"/>
    <n v="2365.7759999999998"/>
    <n v="2223.82944"/>
    <n v="0"/>
    <s v="CATIVO"/>
    <n v="0"/>
    <n v="12"/>
    <n v="110"/>
    <n v="89"/>
    <n v="24.31"/>
    <n v="51.27"/>
    <n v="222.31"/>
    <n v="27.784726797371405"/>
    <n v="66.787442987613147"/>
    <n v="236.64237028527376"/>
    <n v="19293.631500000014"/>
    <n v="38833.739884799965"/>
    <n v="22051.34842273383"/>
    <n v="43070.818195528598"/>
    <x v="3"/>
  </r>
  <r>
    <s v="Regular"/>
    <x v="1"/>
    <x v="0"/>
    <x v="2"/>
    <x v="2"/>
    <x v="2"/>
    <x v="0"/>
    <x v="0"/>
    <x v="9"/>
    <n v="5396"/>
    <n v="4586.5999999999995"/>
    <n v="2486.547"/>
    <n v="2337.3541799999998"/>
    <n v="2486.547"/>
    <n v="2337.3541799999998"/>
    <n v="0"/>
    <s v="CATIVO"/>
    <n v="0"/>
    <n v="12"/>
    <n v="110"/>
    <n v="89"/>
    <n v="24.31"/>
    <n v="51.27"/>
    <n v="222.31"/>
    <n v="27.784726797371405"/>
    <n v="66.787442987613147"/>
    <n v="236.64237028527376"/>
    <n v="19676.514000000014"/>
    <n v="40816.171695600053"/>
    <n v="22488.95786979243"/>
    <n v="45269.549514255486"/>
    <x v="3"/>
  </r>
  <r>
    <s v="Regular"/>
    <x v="1"/>
    <x v="0"/>
    <x v="2"/>
    <x v="2"/>
    <x v="2"/>
    <x v="0"/>
    <x v="0"/>
    <x v="10"/>
    <n v="5460"/>
    <n v="4641"/>
    <n v="2275.4929999999999"/>
    <n v="2138.96342"/>
    <n v="2275.4929999999999"/>
    <n v="2138.96342"/>
    <n v="0"/>
    <s v="CATIVO"/>
    <n v="0"/>
    <n v="12"/>
    <n v="110"/>
    <n v="89"/>
    <n v="24.31"/>
    <n v="51.27"/>
    <n v="222.31"/>
    <n v="27.784726797371405"/>
    <n v="66.787442987613147"/>
    <n v="236.64237028527376"/>
    <n v="19909.89"/>
    <n v="37351.76249639997"/>
    <n v="22755.69124704718"/>
    <n v="41427.144965625645"/>
    <x v="3"/>
  </r>
  <r>
    <s v="PROJETADO"/>
    <x v="1"/>
    <x v="0"/>
    <x v="2"/>
    <x v="2"/>
    <x v="2"/>
    <x v="0"/>
    <x v="0"/>
    <x v="11"/>
    <n v="5460"/>
    <n v="4641"/>
    <n v="2275.4929999999999"/>
    <n v="2138.96342"/>
    <n v="2275.4929999999999"/>
    <n v="2138.96342"/>
    <n v="0"/>
    <s v="CATIVO"/>
    <n v="0"/>
    <n v="12"/>
    <n v="110"/>
    <n v="89"/>
    <n v="24.31"/>
    <n v="51.27"/>
    <n v="222.31"/>
    <n v="27.784726797371405"/>
    <n v="66.787442987613147"/>
    <n v="236.64237028527376"/>
    <n v="19909.89"/>
    <n v="37351.76249639997"/>
    <n v="22755.69124704718"/>
    <n v="41427.144965625645"/>
    <x v="3"/>
  </r>
  <r>
    <s v="Regular"/>
    <x v="1"/>
    <x v="0"/>
    <x v="2"/>
    <x v="2"/>
    <x v="2"/>
    <x v="0"/>
    <x v="2"/>
    <x v="0"/>
    <n v="6658"/>
    <n v="5659.3"/>
    <n v="302.95299999999997"/>
    <n v="284.77582000000001"/>
    <n v="302.95299999999997"/>
    <n v="284.77582000000001"/>
    <n v="0"/>
    <s v="CATIVO"/>
    <n v="0"/>
    <n v="11"/>
    <n v="110"/>
    <n v="88"/>
    <n v="62.23"/>
    <n v="51.27"/>
    <n v="365.5"/>
    <n v="76.426473864517376"/>
    <n v="66.787442987613147"/>
    <n v="382.75425465660959"/>
    <n v="62149.100999999988"/>
    <n v="7575.7033085999856"/>
    <n v="76327.119448493497"/>
    <n v="8171.4003555845975"/>
    <x v="3"/>
  </r>
  <r>
    <s v="Regular"/>
    <x v="1"/>
    <x v="0"/>
    <x v="2"/>
    <x v="2"/>
    <x v="2"/>
    <x v="0"/>
    <x v="2"/>
    <x v="1"/>
    <n v="6490"/>
    <n v="5516.5"/>
    <n v="303.73899999999998"/>
    <n v="285.51465999999999"/>
    <n v="303.73899999999998"/>
    <n v="285.51465999999999"/>
    <n v="0"/>
    <s v="CATIVO"/>
    <n v="0"/>
    <n v="11"/>
    <n v="110"/>
    <n v="88"/>
    <n v="62.23"/>
    <n v="51.27"/>
    <n v="365.5"/>
    <n v="76.426473864517376"/>
    <n v="66.787442987613147"/>
    <n v="382.75425465660959"/>
    <n v="60580.904999999999"/>
    <n v="7595.358181799993"/>
    <n v="74401.17230710767"/>
    <n v="8192.6007420455062"/>
    <x v="3"/>
  </r>
  <r>
    <s v="Regular"/>
    <x v="1"/>
    <x v="0"/>
    <x v="2"/>
    <x v="2"/>
    <x v="2"/>
    <x v="0"/>
    <x v="2"/>
    <x v="2"/>
    <n v="10444"/>
    <n v="8877.4"/>
    <n v="505.92099999999999"/>
    <n v="475.56574000000001"/>
    <n v="505.92099999999999"/>
    <n v="475.56574000000001"/>
    <n v="0"/>
    <s v="CATIVO"/>
    <n v="0"/>
    <n v="11"/>
    <n v="110"/>
    <n v="88"/>
    <n v="62.23"/>
    <n v="51.27"/>
    <n v="365.5"/>
    <n v="76.426473864517376"/>
    <n v="66.787442987613147"/>
    <n v="382.75425465660959"/>
    <n v="97489.518000000011"/>
    <n v="12651.161710199995"/>
    <n v="119729.71395615295"/>
    <n v="13645.955112831763"/>
    <x v="3"/>
  </r>
  <r>
    <s v="Regular"/>
    <x v="1"/>
    <x v="0"/>
    <x v="2"/>
    <x v="2"/>
    <x v="2"/>
    <x v="0"/>
    <x v="2"/>
    <x v="3"/>
    <n v="10507"/>
    <n v="8930.9499999999989"/>
    <n v="541.37699999999995"/>
    <n v="508.89438000000001"/>
    <n v="541.37699999999995"/>
    <n v="508.89438000000001"/>
    <n v="0"/>
    <s v="CATIVO"/>
    <n v="0"/>
    <n v="11"/>
    <n v="110"/>
    <n v="88"/>
    <n v="62.23"/>
    <n v="51.27"/>
    <n v="365.5"/>
    <n v="76.426473864517376"/>
    <n v="66.787442987613147"/>
    <n v="382.75425465660959"/>
    <n v="98077.591500000068"/>
    <n v="13537.781537399975"/>
    <n v="120451.94413417269"/>
    <n v="14602.292138732155"/>
    <x v="3"/>
  </r>
  <r>
    <s v="Refaturamento - Regular"/>
    <x v="1"/>
    <x v="0"/>
    <x v="2"/>
    <x v="2"/>
    <x v="2"/>
    <x v="0"/>
    <x v="2"/>
    <x v="3"/>
    <n v="14"/>
    <n v="11.9"/>
    <n v="1.4"/>
    <n v="1.3160000000000001"/>
    <n v="1.4"/>
    <n v="1.3160000000000001"/>
    <n v="0"/>
    <s v="CATIVO"/>
    <n v="0"/>
    <n v="11"/>
    <n v="110"/>
    <n v="88"/>
    <n v="62.23"/>
    <n v="51.27"/>
    <n v="365.5"/>
    <n v="76.426473864517376"/>
    <n v="66.787442987613147"/>
    <n v="382.75425465660959"/>
    <n v="130.68299999999996"/>
    <n v="35.008679999999941"/>
    <n v="160.49559511548645"/>
    <n v="37.761502602114646"/>
    <x v="3"/>
  </r>
  <r>
    <s v="Regular"/>
    <x v="1"/>
    <x v="0"/>
    <x v="2"/>
    <x v="2"/>
    <x v="2"/>
    <x v="0"/>
    <x v="2"/>
    <x v="4"/>
    <n v="4805"/>
    <n v="4084.25"/>
    <n v="226.577"/>
    <n v="212.98238000000001"/>
    <n v="226.577"/>
    <n v="212.98238000000001"/>
    <n v="0"/>
    <s v="CATIVO"/>
    <n v="0"/>
    <n v="11"/>
    <n v="110"/>
    <n v="88"/>
    <n v="62.23"/>
    <n v="51.27"/>
    <n v="365.5"/>
    <n v="76.426473864517376"/>
    <n v="66.787442987613147"/>
    <n v="382.75425465660959"/>
    <n v="44852.272499999999"/>
    <n v="5665.8297773999966"/>
    <n v="55084.381037850901"/>
    <n v="6111.3485536280996"/>
    <x v="3"/>
  </r>
  <r>
    <s v="Regular"/>
    <x v="1"/>
    <x v="0"/>
    <x v="2"/>
    <x v="2"/>
    <x v="2"/>
    <x v="0"/>
    <x v="2"/>
    <x v="5"/>
    <n v="4858"/>
    <n v="4129.3"/>
    <n v="219.75200000000001"/>
    <n v="206.56688"/>
    <n v="219.75200000000001"/>
    <n v="206.56688"/>
    <n v="0"/>
    <s v="CATIVO"/>
    <n v="0"/>
    <n v="11"/>
    <n v="110"/>
    <n v="88"/>
    <n v="62.23"/>
    <n v="51.27"/>
    <n v="365.5"/>
    <n v="76.426473864517376"/>
    <n v="66.787442987613147"/>
    <n v="382.75425465660959"/>
    <n v="45347.000999999989"/>
    <n v="5495.1624624000051"/>
    <n v="55691.971505073801"/>
    <n v="5927.2612284427996"/>
    <x v="3"/>
  </r>
  <r>
    <s v="Regular"/>
    <x v="1"/>
    <x v="0"/>
    <x v="2"/>
    <x v="2"/>
    <x v="2"/>
    <x v="0"/>
    <x v="2"/>
    <x v="6"/>
    <n v="4804"/>
    <n v="4083.4"/>
    <n v="213.417"/>
    <n v="200.61197999999999"/>
    <n v="213.417"/>
    <n v="200.61197999999999"/>
    <n v="0"/>
    <s v="CATIVO"/>
    <n v="0"/>
    <n v="11"/>
    <n v="110"/>
    <n v="88"/>
    <n v="62.23"/>
    <n v="51.27"/>
    <n v="365.5"/>
    <n v="76.426473864517376"/>
    <n v="66.787442987613147"/>
    <n v="382.75425465660959"/>
    <n v="44842.937999999995"/>
    <n v="5336.7481854000052"/>
    <n v="55072.917066771217"/>
    <n v="5756.3904291682302"/>
    <x v="3"/>
  </r>
  <r>
    <s v="Regular"/>
    <x v="1"/>
    <x v="0"/>
    <x v="2"/>
    <x v="2"/>
    <x v="2"/>
    <x v="0"/>
    <x v="2"/>
    <x v="7"/>
    <n v="5045"/>
    <n v="4288.25"/>
    <n v="213.58600000000001"/>
    <n v="200.77083999999999"/>
    <n v="213.58600000000001"/>
    <n v="200.77083999999999"/>
    <n v="0"/>
    <s v="CATIVO"/>
    <n v="0"/>
    <n v="11"/>
    <n v="110"/>
    <n v="88"/>
    <n v="62.23"/>
    <n v="51.27"/>
    <n v="365.5"/>
    <n v="76.426473864517376"/>
    <n v="66.787442987613147"/>
    <n v="382.75425465660959"/>
    <n v="47092.552499999998"/>
    <n v="5340.9742332000087"/>
    <n v="57835.734096973523"/>
    <n v="5760.9487819823471"/>
    <x v="3"/>
  </r>
  <r>
    <s v="Regular"/>
    <x v="1"/>
    <x v="0"/>
    <x v="2"/>
    <x v="2"/>
    <x v="2"/>
    <x v="0"/>
    <x v="2"/>
    <x v="8"/>
    <n v="4821"/>
    <n v="4097.8499999999995"/>
    <n v="220.51300000000001"/>
    <n v="207.28222"/>
    <n v="220.51300000000001"/>
    <n v="207.28222"/>
    <n v="0"/>
    <s v="CATIVO"/>
    <n v="0"/>
    <n v="11"/>
    <n v="110"/>
    <n v="88"/>
    <n v="62.23"/>
    <n v="51.27"/>
    <n v="365.5"/>
    <n v="76.426473864517376"/>
    <n v="66.787442987613147"/>
    <n v="382.75425465660959"/>
    <n v="45001.624500000034"/>
    <n v="5514.1921806000046"/>
    <n v="55267.804575125781"/>
    <n v="5947.7873023572338"/>
    <x v="3"/>
  </r>
  <r>
    <s v="Regular"/>
    <x v="1"/>
    <x v="0"/>
    <x v="2"/>
    <x v="2"/>
    <x v="2"/>
    <x v="0"/>
    <x v="2"/>
    <x v="9"/>
    <n v="4984"/>
    <n v="4236.3999999999996"/>
    <n v="225.96"/>
    <n v="212.4024"/>
    <n v="225.96"/>
    <n v="212.4024"/>
    <n v="0"/>
    <s v="CATIVO"/>
    <n v="0"/>
    <n v="11"/>
    <n v="110"/>
    <n v="88"/>
    <n v="62.23"/>
    <n v="51.27"/>
    <n v="365.5"/>
    <n v="76.426473864517376"/>
    <n v="66.787442987613147"/>
    <n v="382.75425465660959"/>
    <n v="46523.148000000023"/>
    <n v="5650.4009520000036"/>
    <n v="57136.431861113218"/>
    <n v="6094.7065199813178"/>
    <x v="3"/>
  </r>
  <r>
    <s v="Regular"/>
    <x v="1"/>
    <x v="0"/>
    <x v="2"/>
    <x v="2"/>
    <x v="2"/>
    <x v="0"/>
    <x v="2"/>
    <x v="10"/>
    <n v="4945"/>
    <n v="4203.25"/>
    <n v="208.08"/>
    <n v="195.59520000000001"/>
    <n v="208.08"/>
    <n v="195.59520000000001"/>
    <n v="0"/>
    <s v="CATIVO"/>
    <n v="0"/>
    <n v="11"/>
    <n v="110"/>
    <n v="88"/>
    <n v="62.23"/>
    <n v="51.27"/>
    <n v="365.5"/>
    <n v="76.426473864517376"/>
    <n v="66.787442987613147"/>
    <n v="382.75425465660959"/>
    <n v="46159.102500000001"/>
    <n v="5203.2900960000024"/>
    <n v="56689.336989005766"/>
    <n v="5612.4381867485954"/>
    <x v="3"/>
  </r>
  <r>
    <s v="PROJETADO"/>
    <x v="1"/>
    <x v="0"/>
    <x v="2"/>
    <x v="2"/>
    <x v="2"/>
    <x v="0"/>
    <x v="2"/>
    <x v="11"/>
    <n v="4945"/>
    <n v="4203.25"/>
    <n v="208.08"/>
    <n v="195.59520000000001"/>
    <n v="208.08"/>
    <n v="195.59520000000001"/>
    <n v="0"/>
    <s v="CATIVO"/>
    <n v="0"/>
    <n v="11"/>
    <n v="110"/>
    <n v="88"/>
    <n v="62.23"/>
    <n v="51.27"/>
    <n v="365.5"/>
    <n v="76.426473864517376"/>
    <n v="66.787442987613147"/>
    <n v="382.75425465660959"/>
    <n v="46159.102500000001"/>
    <n v="5203.2900960000024"/>
    <n v="56689.336989005766"/>
    <n v="5612.4381867485954"/>
    <x v="3"/>
  </r>
  <r>
    <s v="Regular"/>
    <x v="1"/>
    <x v="1"/>
    <x v="3"/>
    <x v="0"/>
    <x v="3"/>
    <x v="6"/>
    <x v="0"/>
    <x v="0"/>
    <n v="1995"/>
    <n v="1278.7950000000001"/>
    <n v="997.26800000000003"/>
    <n v="639.24878799999999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786.047299999998"/>
    <n v="3454.8853958000004"/>
    <n v="11804.348021767"/>
    <n v="3992.2525898142048"/>
    <x v="4"/>
  </r>
  <r>
    <s v="Regular"/>
    <x v="1"/>
    <x v="1"/>
    <x v="3"/>
    <x v="0"/>
    <x v="3"/>
    <x v="6"/>
    <x v="0"/>
    <x v="1"/>
    <n v="2016"/>
    <n v="1292.2560000000001"/>
    <n v="928.58900000000006"/>
    <n v="595.225549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899.584639999999"/>
    <n v="3216.9573021500005"/>
    <n v="11928.604316732968"/>
    <n v="3717.3175516741567"/>
    <x v="4"/>
  </r>
  <r>
    <s v="Regular"/>
    <x v="1"/>
    <x v="1"/>
    <x v="3"/>
    <x v="0"/>
    <x v="3"/>
    <x v="6"/>
    <x v="0"/>
    <x v="2"/>
    <n v="1935"/>
    <n v="1240.335"/>
    <n v="903.06299999999999"/>
    <n v="578.863383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461.6549"/>
    <n v="3128.5263040499999"/>
    <n v="11449.330036149948"/>
    <n v="3615.1321415260336"/>
    <x v="4"/>
  </r>
  <r>
    <s v="Regular"/>
    <x v="1"/>
    <x v="1"/>
    <x v="3"/>
    <x v="0"/>
    <x v="3"/>
    <x v="6"/>
    <x v="0"/>
    <x v="3"/>
    <n v="1938"/>
    <n v="1242.258"/>
    <n v="870.15300000000002"/>
    <n v="557.76807300000007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477.874519999999"/>
    <n v="3014.5145455499996"/>
    <n v="11467.0809354308"/>
    <n v="3483.3871815646335"/>
    <x v="4"/>
  </r>
  <r>
    <s v="Regular"/>
    <x v="1"/>
    <x v="1"/>
    <x v="3"/>
    <x v="0"/>
    <x v="3"/>
    <x v="6"/>
    <x v="0"/>
    <x v="4"/>
    <n v="1915"/>
    <n v="1227.5150000000001"/>
    <n v="835.46100000000001"/>
    <n v="535.53050100000007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353.524099999999"/>
    <n v="2894.3293153499994"/>
    <n v="11330.99070761093"/>
    <n v="3344.5085382653051"/>
    <x v="4"/>
  </r>
  <r>
    <s v="Regular"/>
    <x v="1"/>
    <x v="1"/>
    <x v="3"/>
    <x v="0"/>
    <x v="3"/>
    <x v="6"/>
    <x v="0"/>
    <x v="5"/>
    <n v="1963"/>
    <n v="1258.2830000000001"/>
    <n v="864.78300000000002"/>
    <n v="554.32590300000004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613.038019999998"/>
    <n v="2995.9109860499998"/>
    <n v="11615.005096104571"/>
    <n v="3461.8900550075773"/>
    <x v="4"/>
  </r>
  <r>
    <s v="Regular"/>
    <x v="1"/>
    <x v="1"/>
    <x v="3"/>
    <x v="0"/>
    <x v="3"/>
    <x v="6"/>
    <x v="0"/>
    <x v="6"/>
    <n v="2009"/>
    <n v="1287.769"/>
    <n v="890.678"/>
    <n v="570.92459800000006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861.738859999999"/>
    <n v="3085.6203292999994"/>
    <n v="11887.185551744315"/>
    <n v="3565.5526420085025"/>
    <x v="4"/>
  </r>
  <r>
    <s v="Regular"/>
    <x v="1"/>
    <x v="1"/>
    <x v="3"/>
    <x v="0"/>
    <x v="3"/>
    <x v="6"/>
    <x v="0"/>
    <x v="7"/>
    <n v="2042"/>
    <n v="1308.922"/>
    <n v="1001.43"/>
    <n v="641.91662999999994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1040.15468"/>
    <n v="3469.3040205000002"/>
    <n v="12082.445443833692"/>
    <n v="4008.9138636932489"/>
    <x v="4"/>
  </r>
  <r>
    <s v="Regular"/>
    <x v="1"/>
    <x v="1"/>
    <x v="3"/>
    <x v="0"/>
    <x v="3"/>
    <x v="6"/>
    <x v="0"/>
    <x v="8"/>
    <n v="2010"/>
    <n v="1288.4100000000001"/>
    <n v="976.822"/>
    <n v="626.14290200000005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0867.145399999999"/>
    <n v="3384.0532956999996"/>
    <n v="11893.102518171263"/>
    <n v="3910.4033813252709"/>
    <x v="4"/>
  </r>
  <r>
    <s v="Regular"/>
    <x v="1"/>
    <x v="1"/>
    <x v="3"/>
    <x v="0"/>
    <x v="3"/>
    <x v="6"/>
    <x v="0"/>
    <x v="9"/>
    <n v="2037"/>
    <n v="1305.7170000000001"/>
    <n v="999.56700000000001"/>
    <n v="640.72244699999999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1013.121979999998"/>
    <n v="3462.8499364500003"/>
    <n v="12052.860611698938"/>
    <n v="4001.4559220217784"/>
    <x v="4"/>
  </r>
  <r>
    <s v="Regular"/>
    <x v="1"/>
    <x v="1"/>
    <x v="3"/>
    <x v="0"/>
    <x v="3"/>
    <x v="6"/>
    <x v="0"/>
    <x v="10"/>
    <n v="2093"/>
    <n v="1341.6130000000001"/>
    <n v="1038.175"/>
    <n v="665.47017500000004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1315.888219999999"/>
    <n v="3596.6015612499991"/>
    <n v="12384.210731608187"/>
    <n v="4156.0110546316146"/>
    <x v="4"/>
  </r>
  <r>
    <s v="PROJETADO"/>
    <x v="1"/>
    <x v="1"/>
    <x v="3"/>
    <x v="0"/>
    <x v="3"/>
    <x v="6"/>
    <x v="0"/>
    <x v="11"/>
    <n v="2093"/>
    <n v="1341.6130000000001"/>
    <n v="1038.175"/>
    <n v="665.47017500000004"/>
    <n v="0"/>
    <n v="0"/>
    <n v="0"/>
    <s v="SUPRIMENTO"/>
    <n v="5377"/>
    <n v="14"/>
    <n v="15"/>
    <n v="0"/>
    <n v="15.06"/>
    <n v="9.65"/>
    <n v="0"/>
    <n v="16.481800632175148"/>
    <n v="11.150945133676805"/>
    <n v="254.96176887194758"/>
    <n v="11315.888219999999"/>
    <n v="3596.6015612499991"/>
    <n v="12384.210731608187"/>
    <n v="4156.0110546316146"/>
    <x v="4"/>
  </r>
  <r>
    <s v="Regular"/>
    <x v="1"/>
    <x v="1"/>
    <x v="3"/>
    <x v="0"/>
    <x v="3"/>
    <x v="6"/>
    <x v="1"/>
    <x v="0"/>
    <n v="0"/>
    <n v="0"/>
    <n v="0"/>
    <n v="0"/>
    <n v="1109.271"/>
    <n v="314.47832849999998"/>
    <n v="0"/>
    <s v="SUPRIMENTO"/>
    <n v="5377"/>
    <n v="0"/>
    <n v="0"/>
    <n v="94"/>
    <n v="0"/>
    <n v="0"/>
    <n v="230.1"/>
    <n v="42.583563671169571"/>
    <n v="11.150945133676805"/>
    <n v="254.96176887194758"/>
    <n v="0"/>
    <n v="182881.79371214999"/>
    <n v="0"/>
    <n v="202641.74541210075"/>
    <x v="4"/>
  </r>
  <r>
    <s v="Regular"/>
    <x v="1"/>
    <x v="1"/>
    <x v="3"/>
    <x v="0"/>
    <x v="3"/>
    <x v="6"/>
    <x v="1"/>
    <x v="1"/>
    <n v="0"/>
    <n v="0"/>
    <n v="0"/>
    <n v="0"/>
    <n v="1022.86"/>
    <n v="289.98080999999996"/>
    <n v="0"/>
    <s v="SUPRIMENTO"/>
    <n v="5377"/>
    <n v="0"/>
    <n v="0"/>
    <n v="94"/>
    <n v="0"/>
    <n v="0"/>
    <n v="230.1"/>
    <n v="42.583563671169571"/>
    <n v="11.150945133676805"/>
    <n v="254.96176887194758"/>
    <n v="0"/>
    <n v="168635.50161900002"/>
    <n v="0"/>
    <n v="186856.17465184018"/>
    <x v="4"/>
  </r>
  <r>
    <s v="Regular"/>
    <x v="1"/>
    <x v="1"/>
    <x v="3"/>
    <x v="0"/>
    <x v="3"/>
    <x v="6"/>
    <x v="1"/>
    <x v="2"/>
    <n v="0"/>
    <n v="0"/>
    <n v="0"/>
    <n v="0"/>
    <n v="1003.768"/>
    <n v="284.56822799999998"/>
    <n v="0"/>
    <s v="SUPRIMENTO"/>
    <n v="5377"/>
    <n v="0"/>
    <n v="0"/>
    <n v="94"/>
    <n v="0"/>
    <n v="0"/>
    <n v="230.1"/>
    <n v="42.583563671169571"/>
    <n v="11.150945133676805"/>
    <n v="254.96176887194758"/>
    <n v="0"/>
    <n v="165487.86753720001"/>
    <n v="0"/>
    <n v="183368.44604142141"/>
    <x v="4"/>
  </r>
  <r>
    <s v="Regular"/>
    <x v="1"/>
    <x v="1"/>
    <x v="3"/>
    <x v="0"/>
    <x v="3"/>
    <x v="6"/>
    <x v="1"/>
    <x v="3"/>
    <n v="0"/>
    <n v="0"/>
    <n v="0"/>
    <n v="0"/>
    <n v="971.34299999999996"/>
    <n v="275.37574049999995"/>
    <n v="0"/>
    <s v="SUPRIMENTO"/>
    <n v="5377"/>
    <n v="0"/>
    <n v="0"/>
    <n v="94"/>
    <n v="0"/>
    <n v="0"/>
    <n v="230.1"/>
    <n v="42.583563671169571"/>
    <n v="11.150945133676805"/>
    <n v="254.96176887194758"/>
    <n v="0"/>
    <n v="160142.06641094998"/>
    <n v="0"/>
    <n v="177445.04355908177"/>
    <x v="4"/>
  </r>
  <r>
    <s v="Regular"/>
    <x v="1"/>
    <x v="1"/>
    <x v="3"/>
    <x v="0"/>
    <x v="3"/>
    <x v="6"/>
    <x v="1"/>
    <x v="4"/>
    <n v="0"/>
    <n v="0"/>
    <n v="0"/>
    <n v="0"/>
    <n v="940.20299999999997"/>
    <n v="266.54755049999994"/>
    <n v="0"/>
    <s v="SUPRIMENTO"/>
    <n v="5377"/>
    <n v="0"/>
    <n v="0"/>
    <n v="94"/>
    <n v="0"/>
    <n v="0"/>
    <n v="230.1"/>
    <n v="42.583563671169571"/>
    <n v="11.150945133676805"/>
    <n v="254.96176887194758"/>
    <n v="0"/>
    <n v="155008.11892995"/>
    <n v="0"/>
    <n v="171756.38501474698"/>
    <x v="4"/>
  </r>
  <r>
    <s v="Regular"/>
    <x v="1"/>
    <x v="1"/>
    <x v="3"/>
    <x v="0"/>
    <x v="3"/>
    <x v="6"/>
    <x v="1"/>
    <x v="5"/>
    <n v="0"/>
    <n v="0"/>
    <n v="0"/>
    <n v="0"/>
    <n v="971.20899999999995"/>
    <n v="275.33775149999997"/>
    <n v="0"/>
    <s v="SUPRIMENTO"/>
    <n v="5377"/>
    <n v="0"/>
    <n v="0"/>
    <n v="94"/>
    <n v="0"/>
    <n v="0"/>
    <n v="230.1"/>
    <n v="42.583563671169571"/>
    <n v="11.150945133676805"/>
    <n v="254.96176887194758"/>
    <n v="0"/>
    <n v="160119.97427984999"/>
    <n v="0"/>
    <n v="177420.56442469059"/>
    <x v="4"/>
  </r>
  <r>
    <s v="Regular"/>
    <x v="1"/>
    <x v="1"/>
    <x v="3"/>
    <x v="0"/>
    <x v="3"/>
    <x v="6"/>
    <x v="1"/>
    <x v="6"/>
    <n v="0"/>
    <n v="0"/>
    <n v="0"/>
    <n v="0"/>
    <n v="992.65"/>
    <n v="281.41627499999998"/>
    <n v="0"/>
    <s v="SUPRIMENTO"/>
    <n v="5377"/>
    <n v="0"/>
    <n v="0"/>
    <n v="94"/>
    <n v="0"/>
    <n v="0"/>
    <n v="230.1"/>
    <n v="42.583563671169571"/>
    <n v="11.150945133676805"/>
    <n v="254.96176887194758"/>
    <n v="0"/>
    <n v="163654.88012250001"/>
    <n v="0"/>
    <n v="181337.40860738434"/>
    <x v="4"/>
  </r>
  <r>
    <s v="Regular"/>
    <x v="1"/>
    <x v="1"/>
    <x v="3"/>
    <x v="0"/>
    <x v="3"/>
    <x v="6"/>
    <x v="1"/>
    <x v="7"/>
    <n v="0"/>
    <n v="0"/>
    <n v="0"/>
    <n v="0"/>
    <n v="1101.4580000000001"/>
    <n v="312.26334300000002"/>
    <n v="0"/>
    <s v="SUPRIMENTO"/>
    <n v="5377"/>
    <n v="0"/>
    <n v="0"/>
    <n v="94"/>
    <n v="0"/>
    <n v="0"/>
    <n v="230.1"/>
    <n v="42.583563671169571"/>
    <n v="11.150945133676805"/>
    <n v="254.96176887194758"/>
    <n v="0"/>
    <n v="181593.69057569999"/>
    <n v="0"/>
    <n v="201214.46573300994"/>
    <x v="4"/>
  </r>
  <r>
    <s v="Regular"/>
    <x v="1"/>
    <x v="1"/>
    <x v="3"/>
    <x v="0"/>
    <x v="3"/>
    <x v="6"/>
    <x v="1"/>
    <x v="8"/>
    <n v="0"/>
    <n v="0"/>
    <n v="0"/>
    <n v="0"/>
    <n v="1078.0350000000001"/>
    <n v="305.62292250000002"/>
    <n v="0"/>
    <s v="SUPRIMENTO"/>
    <n v="5377"/>
    <n v="0"/>
    <n v="0"/>
    <n v="94"/>
    <n v="0"/>
    <n v="0"/>
    <n v="230.1"/>
    <n v="42.583563671169571"/>
    <n v="11.150945133676805"/>
    <n v="254.96176887194758"/>
    <n v="0"/>
    <n v="177732.01903275002"/>
    <n v="0"/>
    <n v="196935.54957745591"/>
    <x v="4"/>
  </r>
  <r>
    <s v="Regular"/>
    <x v="1"/>
    <x v="1"/>
    <x v="3"/>
    <x v="0"/>
    <x v="3"/>
    <x v="6"/>
    <x v="1"/>
    <x v="9"/>
    <n v="0"/>
    <n v="0"/>
    <n v="0"/>
    <n v="0"/>
    <n v="1117.4259999999999"/>
    <n v="316.79027099999996"/>
    <n v="0"/>
    <s v="SUPRIMENTO"/>
    <n v="5377"/>
    <n v="0"/>
    <n v="0"/>
    <n v="94"/>
    <n v="0"/>
    <n v="0"/>
    <n v="230.1"/>
    <n v="42.583563671169571"/>
    <n v="11.150945133676805"/>
    <n v="254.96176887194758"/>
    <n v="0"/>
    <n v="184226.28124289998"/>
    <n v="0"/>
    <n v="204131.50168792126"/>
    <x v="4"/>
  </r>
  <r>
    <s v="Refaturamento - Regular"/>
    <x v="1"/>
    <x v="1"/>
    <x v="3"/>
    <x v="0"/>
    <x v="3"/>
    <x v="1"/>
    <x v="1"/>
    <x v="10"/>
    <n v="0"/>
    <n v="0"/>
    <n v="0"/>
    <n v="0"/>
    <n v="-471.37"/>
    <n v="-471.37"/>
    <n v="0"/>
    <s v="SUPRIMENTO"/>
    <n v="46"/>
    <n v="0"/>
    <n v="0"/>
    <n v="90"/>
    <n v="0"/>
    <n v="0"/>
    <n v="230.1"/>
    <n v="42.583563671169571"/>
    <n v="11.150945133676805"/>
    <n v="254.96176887194758"/>
    <n v="0"/>
    <n v="0"/>
    <n v="0"/>
    <n v="0"/>
    <x v="4"/>
  </r>
  <r>
    <s v="Regular"/>
    <x v="1"/>
    <x v="1"/>
    <x v="3"/>
    <x v="0"/>
    <x v="3"/>
    <x v="6"/>
    <x v="1"/>
    <x v="10"/>
    <n v="0"/>
    <n v="0"/>
    <n v="0"/>
    <n v="0"/>
    <n v="1144.837"/>
    <n v="324.56128949999999"/>
    <n v="0"/>
    <s v="SUPRIMENTO"/>
    <n v="5377"/>
    <n v="0"/>
    <n v="0"/>
    <n v="94"/>
    <n v="0"/>
    <n v="0"/>
    <n v="230.1"/>
    <n v="42.583563671169571"/>
    <n v="11.150945133676805"/>
    <n v="254.96176887194758"/>
    <n v="0"/>
    <n v="188745.44098605"/>
    <n v="0"/>
    <n v="209138.94611177361"/>
    <x v="4"/>
  </r>
  <r>
    <s v="PROJETADO"/>
    <x v="1"/>
    <x v="1"/>
    <x v="3"/>
    <x v="0"/>
    <x v="3"/>
    <x v="1"/>
    <x v="1"/>
    <x v="11"/>
    <n v="0"/>
    <n v="0"/>
    <n v="0"/>
    <n v="0"/>
    <n v="-471.37"/>
    <n v="-471.37"/>
    <n v="0"/>
    <s v="SUPRIMENTO"/>
    <n v="46"/>
    <n v="0"/>
    <n v="0"/>
    <n v="90"/>
    <n v="0"/>
    <n v="0"/>
    <n v="230.1"/>
    <n v="42.583563671169571"/>
    <n v="11.150945133676805"/>
    <n v="254.96176887194758"/>
    <n v="0"/>
    <n v="0"/>
    <n v="0"/>
    <n v="0"/>
    <x v="4"/>
  </r>
  <r>
    <s v="PROJETADO"/>
    <x v="1"/>
    <x v="1"/>
    <x v="3"/>
    <x v="0"/>
    <x v="3"/>
    <x v="6"/>
    <x v="1"/>
    <x v="11"/>
    <n v="0"/>
    <n v="0"/>
    <n v="0"/>
    <n v="0"/>
    <n v="1144.837"/>
    <n v="324.56128949999999"/>
    <n v="0"/>
    <s v="SUPRIMENTO"/>
    <n v="5377"/>
    <n v="0"/>
    <n v="0"/>
    <n v="94"/>
    <n v="0"/>
    <n v="0"/>
    <n v="230.1"/>
    <n v="42.583563671169571"/>
    <n v="11.150945133676805"/>
    <n v="254.96176887194758"/>
    <n v="0"/>
    <n v="188745.44098605"/>
    <n v="0"/>
    <n v="209138.94611177361"/>
    <x v="4"/>
  </r>
  <r>
    <s v="Regular"/>
    <x v="1"/>
    <x v="1"/>
    <x v="3"/>
    <x v="0"/>
    <x v="3"/>
    <x v="6"/>
    <x v="2"/>
    <x v="0"/>
    <n v="2088"/>
    <n v="1338.4080000000001"/>
    <n v="124.779"/>
    <n v="79.983339000000001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405.304879999996"/>
    <n v="432.27812864999999"/>
    <n v="27174.545499897093"/>
    <n v="499.51395803778576"/>
    <x v="4"/>
  </r>
  <r>
    <s v="Regular"/>
    <x v="1"/>
    <x v="1"/>
    <x v="3"/>
    <x v="0"/>
    <x v="3"/>
    <x v="6"/>
    <x v="2"/>
    <x v="1"/>
    <n v="1990"/>
    <n v="1275.5899999999999"/>
    <n v="108.497"/>
    <n v="69.546576999999999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1353.714900000003"/>
    <n v="375.87158195000001"/>
    <n v="25899.111850955571"/>
    <n v="434.33402980650311"/>
    <x v="4"/>
  </r>
  <r>
    <s v="Regular"/>
    <x v="1"/>
    <x v="1"/>
    <x v="3"/>
    <x v="0"/>
    <x v="3"/>
    <x v="6"/>
    <x v="2"/>
    <x v="2"/>
    <n v="2049"/>
    <n v="1313.4090000000001"/>
    <n v="114.601"/>
    <n v="73.459241000000006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1986.814989999999"/>
    <n v="397.01797434999997"/>
    <n v="26666.974966134647"/>
    <n v="458.76949731195384"/>
    <x v="4"/>
  </r>
  <r>
    <s v="Regular"/>
    <x v="1"/>
    <x v="1"/>
    <x v="3"/>
    <x v="0"/>
    <x v="3"/>
    <x v="6"/>
    <x v="2"/>
    <x v="3"/>
    <n v="1994"/>
    <n v="1278.154"/>
    <n v="115.446"/>
    <n v="74.000885999999994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1396.63694"/>
    <n v="399.94535010000004"/>
    <n v="25951.170367238894"/>
    <n v="462.15219227298047"/>
    <x v="4"/>
  </r>
  <r>
    <s v="Regular"/>
    <x v="1"/>
    <x v="1"/>
    <x v="3"/>
    <x v="0"/>
    <x v="3"/>
    <x v="6"/>
    <x v="2"/>
    <x v="4"/>
    <n v="2004"/>
    <n v="1284.5640000000001"/>
    <n v="119.52800000000001"/>
    <n v="76.61744800000001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1503.942039999998"/>
    <n v="414.08682679999998"/>
    <n v="26081.316657947213"/>
    <n v="478.49321100778542"/>
    <x v="4"/>
  </r>
  <r>
    <s v="Regular"/>
    <x v="1"/>
    <x v="1"/>
    <x v="3"/>
    <x v="0"/>
    <x v="3"/>
    <x v="6"/>
    <x v="2"/>
    <x v="5"/>
    <n v="2038"/>
    <n v="1306.3579999999999"/>
    <n v="121.212"/>
    <n v="77.696892000000005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1868.779380000004"/>
    <n v="419.92079219999999"/>
    <n v="26523.814046355503"/>
    <n v="485.23458179402058"/>
    <x v="4"/>
  </r>
  <r>
    <s v="Regular"/>
    <x v="1"/>
    <x v="1"/>
    <x v="3"/>
    <x v="0"/>
    <x v="3"/>
    <x v="6"/>
    <x v="2"/>
    <x v="6"/>
    <n v="2058"/>
    <n v="1319.1780000000001"/>
    <n v="117.648"/>
    <n v="75.412368000000001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083.389579999995"/>
    <n v="407.57384879999995"/>
    <n v="26784.106627772137"/>
    <n v="470.96721511816429"/>
    <x v="4"/>
  </r>
  <r>
    <s v="Regular"/>
    <x v="1"/>
    <x v="1"/>
    <x v="3"/>
    <x v="0"/>
    <x v="3"/>
    <x v="6"/>
    <x v="2"/>
    <x v="7"/>
    <n v="2051"/>
    <n v="1314.691"/>
    <n v="115.67400000000001"/>
    <n v="74.147034000000005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008.276009999998"/>
    <n v="400.73522190000006"/>
    <n v="26693.004224276316"/>
    <n v="463.06491943406212"/>
    <x v="4"/>
  </r>
  <r>
    <s v="Regular"/>
    <x v="1"/>
    <x v="1"/>
    <x v="3"/>
    <x v="0"/>
    <x v="3"/>
    <x v="6"/>
    <x v="2"/>
    <x v="8"/>
    <n v="2068"/>
    <n v="1325.588"/>
    <n v="115.57899999999999"/>
    <n v="74.086139000000003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190.694680000001"/>
    <n v="400.40610864999991"/>
    <n v="26914.252918480459"/>
    <n v="462.68461645027799"/>
    <x v="4"/>
  </r>
  <r>
    <s v="Regular"/>
    <x v="1"/>
    <x v="1"/>
    <x v="3"/>
    <x v="0"/>
    <x v="3"/>
    <x v="6"/>
    <x v="2"/>
    <x v="9"/>
    <n v="2155"/>
    <n v="1381.355"/>
    <n v="130.245"/>
    <n v="83.487045000000009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3124.249049999999"/>
    <n v="451.21426574999998"/>
    <n v="28046.525647642837"/>
    <n v="521.39539076792903"/>
    <x v="4"/>
  </r>
  <r>
    <s v="Regular"/>
    <x v="1"/>
    <x v="1"/>
    <x v="3"/>
    <x v="0"/>
    <x v="3"/>
    <x v="6"/>
    <x v="2"/>
    <x v="10"/>
    <n v="2130"/>
    <n v="1365.33"/>
    <n v="119.048"/>
    <n v="76.309768000000005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855.986300000004"/>
    <n v="412.42393879999997"/>
    <n v="27721.159920872044"/>
    <n v="476.57168014235026"/>
    <x v="4"/>
  </r>
  <r>
    <s v="PROJETADO"/>
    <x v="1"/>
    <x v="1"/>
    <x v="3"/>
    <x v="0"/>
    <x v="3"/>
    <x v="6"/>
    <x v="2"/>
    <x v="11"/>
    <n v="2130"/>
    <n v="1365.33"/>
    <n v="119.048"/>
    <n v="76.309768000000005"/>
    <n v="0"/>
    <n v="0"/>
    <n v="0"/>
    <s v="SUPRIMENTO"/>
    <n v="5377"/>
    <n v="13"/>
    <n v="15"/>
    <n v="0"/>
    <n v="29.89"/>
    <n v="9.65"/>
    <n v="0"/>
    <n v="36.252448665270038"/>
    <n v="11.150945133676805"/>
    <n v="254.96176887194758"/>
    <n v="22855.986300000004"/>
    <n v="412.42393879999997"/>
    <n v="27721.159920872044"/>
    <n v="476.57168014235026"/>
    <x v="4"/>
  </r>
  <r>
    <s v="Regular"/>
    <x v="1"/>
    <x v="2"/>
    <x v="3"/>
    <x v="0"/>
    <x v="4"/>
    <x v="7"/>
    <x v="1"/>
    <x v="0"/>
    <n v="2196"/>
    <n v="1098"/>
    <n v="0"/>
    <n v="0"/>
    <n v="0"/>
    <n v="0"/>
    <n v="0"/>
    <s v="GERAÇÃO"/>
    <n v="30677"/>
    <n v="43"/>
    <n v="0"/>
    <n v="0"/>
    <n v="11.74"/>
    <n v="0"/>
    <n v="0"/>
    <n v="14.992961250682045"/>
    <m/>
    <m/>
    <n v="12890.52"/>
    <n v="0"/>
    <n v="16462.271453248886"/>
    <n v="0"/>
    <x v="5"/>
  </r>
  <r>
    <s v="Regular"/>
    <x v="1"/>
    <x v="2"/>
    <x v="3"/>
    <x v="0"/>
    <x v="4"/>
    <x v="7"/>
    <x v="1"/>
    <x v="1"/>
    <n v="2252"/>
    <n v="1126"/>
    <n v="0"/>
    <n v="0"/>
    <n v="0"/>
    <n v="0"/>
    <n v="0"/>
    <s v="GERAÇÃO"/>
    <n v="30677"/>
    <n v="43"/>
    <n v="0"/>
    <n v="0"/>
    <n v="11.74"/>
    <n v="0"/>
    <n v="0"/>
    <n v="14.992961250682045"/>
    <m/>
    <m/>
    <n v="13219.24"/>
    <n v="0"/>
    <n v="16882.074368267982"/>
    <n v="0"/>
    <x v="5"/>
  </r>
  <r>
    <s v="Regular"/>
    <x v="1"/>
    <x v="2"/>
    <x v="3"/>
    <x v="0"/>
    <x v="4"/>
    <x v="7"/>
    <x v="1"/>
    <x v="2"/>
    <n v="1000"/>
    <n v="500"/>
    <n v="0"/>
    <n v="0"/>
    <n v="0"/>
    <n v="0"/>
    <n v="0"/>
    <s v="GERAÇÃO"/>
    <n v="30677"/>
    <n v="43"/>
    <n v="0"/>
    <n v="0"/>
    <n v="11.74"/>
    <n v="0"/>
    <n v="0"/>
    <n v="14.992961250682045"/>
    <m/>
    <m/>
    <n v="5870"/>
    <n v="0"/>
    <n v="7496.4806253410225"/>
    <n v="0"/>
    <x v="5"/>
  </r>
  <r>
    <s v="Regular"/>
    <x v="1"/>
    <x v="2"/>
    <x v="3"/>
    <x v="0"/>
    <x v="4"/>
    <x v="7"/>
    <x v="1"/>
    <x v="3"/>
    <n v="1000"/>
    <n v="500"/>
    <n v="0"/>
    <n v="0"/>
    <n v="0"/>
    <n v="0"/>
    <n v="0"/>
    <s v="GERAÇÃO"/>
    <n v="30677"/>
    <n v="43"/>
    <n v="0"/>
    <n v="0"/>
    <n v="11.74"/>
    <n v="0"/>
    <n v="0"/>
    <n v="14.992961250682045"/>
    <m/>
    <m/>
    <n v="5870"/>
    <n v="0"/>
    <n v="7496.4806253410225"/>
    <n v="0"/>
    <x v="5"/>
  </r>
  <r>
    <s v="Regular"/>
    <x v="1"/>
    <x v="2"/>
    <x v="3"/>
    <x v="0"/>
    <x v="4"/>
    <x v="7"/>
    <x v="1"/>
    <x v="4"/>
    <n v="600"/>
    <n v="300"/>
    <n v="0"/>
    <n v="0"/>
    <n v="0"/>
    <n v="0"/>
    <n v="0"/>
    <s v="GERAÇÃO"/>
    <n v="30677"/>
    <n v="43"/>
    <n v="0"/>
    <n v="0"/>
    <n v="11.74"/>
    <n v="0"/>
    <n v="0"/>
    <n v="14.992961250682045"/>
    <m/>
    <m/>
    <n v="3522"/>
    <n v="0"/>
    <n v="4497.8883752046131"/>
    <n v="0"/>
    <x v="5"/>
  </r>
  <r>
    <s v="Regular"/>
    <x v="1"/>
    <x v="2"/>
    <x v="3"/>
    <x v="0"/>
    <x v="4"/>
    <x v="7"/>
    <x v="1"/>
    <x v="7"/>
    <n v="92"/>
    <n v="46"/>
    <n v="0"/>
    <n v="0"/>
    <n v="0"/>
    <n v="0"/>
    <n v="0"/>
    <s v="GERAÇÃO"/>
    <n v="30677"/>
    <n v="43"/>
    <n v="0"/>
    <n v="0"/>
    <n v="11.74"/>
    <n v="0"/>
    <n v="0"/>
    <n v="14.992961250682045"/>
    <m/>
    <m/>
    <n v="540.04"/>
    <n v="0"/>
    <n v="689.67621753137405"/>
    <n v="0"/>
    <x v="5"/>
  </r>
  <r>
    <s v="Regular"/>
    <x v="1"/>
    <x v="3"/>
    <x v="0"/>
    <x v="0"/>
    <x v="0"/>
    <x v="0"/>
    <x v="0"/>
    <x v="0"/>
    <n v="0"/>
    <n v="0"/>
    <n v="6159.0150000000003"/>
    <n v="6159.0150000000003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1"/>
    <n v="0"/>
    <n v="0"/>
    <n v="5798.2060000000001"/>
    <n v="5798.2060000000001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2"/>
    <n v="0"/>
    <n v="0"/>
    <n v="5700.5879999999997"/>
    <n v="5700.5879999999997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3"/>
    <n v="0"/>
    <n v="0"/>
    <n v="5409.0119999999997"/>
    <n v="5409.0119999999997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4"/>
    <n v="0"/>
    <n v="0"/>
    <n v="5621.5079999999998"/>
    <n v="5621.5079999999998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5"/>
    <n v="0"/>
    <n v="0"/>
    <n v="7134.8580000000002"/>
    <n v="7134.8580000000002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6"/>
    <n v="0"/>
    <n v="0"/>
    <n v="7308.808"/>
    <n v="7308.808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7"/>
    <n v="0"/>
    <n v="0"/>
    <n v="8182.6310000000003"/>
    <n v="8182.6310000000003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8"/>
    <n v="0"/>
    <n v="0"/>
    <n v="7914.6170000000002"/>
    <n v="7914.6170000000002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9"/>
    <n v="0"/>
    <n v="0"/>
    <n v="8449.2540000000008"/>
    <n v="8449.2540000000008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0"/>
    <x v="10"/>
    <n v="0"/>
    <n v="0"/>
    <n v="8613.9060000000009"/>
    <n v="8613.9060000000009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PROJETADO"/>
    <x v="1"/>
    <x v="3"/>
    <x v="0"/>
    <x v="0"/>
    <x v="0"/>
    <x v="0"/>
    <x v="0"/>
    <x v="11"/>
    <n v="0"/>
    <n v="0"/>
    <n v="8613.9060000000009"/>
    <n v="8613.9060000000009"/>
    <n v="0"/>
    <n v="0"/>
    <n v="0"/>
    <s v="LIVRE"/>
    <n v="0"/>
    <n v="0"/>
    <n v="21"/>
    <n v="0"/>
    <n v="0"/>
    <n v="51.27"/>
    <n v="0"/>
    <m/>
    <n v="66.787442987613147"/>
    <m/>
    <n v="0"/>
    <n v="0"/>
    <n v="0"/>
    <n v="0"/>
    <x v="0"/>
  </r>
  <r>
    <s v="Regular"/>
    <x v="1"/>
    <x v="3"/>
    <x v="0"/>
    <x v="0"/>
    <x v="0"/>
    <x v="0"/>
    <x v="1"/>
    <x v="0"/>
    <n v="23269"/>
    <n v="10642.111355429999"/>
    <n v="0"/>
    <n v="0"/>
    <n v="0"/>
    <n v="0"/>
    <n v="42"/>
    <s v="LIVRE"/>
    <n v="0"/>
    <n v="44"/>
    <n v="0"/>
    <n v="0"/>
    <n v="24.31"/>
    <n v="0"/>
    <n v="0"/>
    <n v="27.784726797371405"/>
    <m/>
    <m/>
    <n v="306959.66294949671"/>
    <n v="0"/>
    <n v="350834.6512902088"/>
    <n v="0"/>
    <x v="0"/>
  </r>
  <r>
    <s v="Regular"/>
    <x v="1"/>
    <x v="3"/>
    <x v="0"/>
    <x v="0"/>
    <x v="0"/>
    <x v="0"/>
    <x v="1"/>
    <x v="1"/>
    <n v="23235"/>
    <n v="12628.432544400001"/>
    <n v="0"/>
    <n v="0"/>
    <n v="0"/>
    <n v="0"/>
    <n v="43"/>
    <s v="LIVRE"/>
    <n v="0"/>
    <n v="44"/>
    <n v="0"/>
    <n v="0"/>
    <n v="24.31"/>
    <n v="0"/>
    <n v="0"/>
    <n v="27.784726797371405"/>
    <m/>
    <m/>
    <n v="257845.65484563596"/>
    <n v="0"/>
    <n v="294700.57901173673"/>
    <n v="0"/>
    <x v="0"/>
  </r>
  <r>
    <s v="Regular"/>
    <x v="1"/>
    <x v="3"/>
    <x v="0"/>
    <x v="0"/>
    <x v="0"/>
    <x v="0"/>
    <x v="1"/>
    <x v="2"/>
    <n v="24006"/>
    <n v="12884.823440759999"/>
    <n v="0"/>
    <n v="0"/>
    <n v="0"/>
    <n v="0"/>
    <n v="45"/>
    <s v="LIVRE"/>
    <n v="0"/>
    <n v="44"/>
    <n v="0"/>
    <n v="0"/>
    <n v="24.31"/>
    <n v="0"/>
    <n v="0"/>
    <n v="27.784726797371405"/>
    <m/>
    <m/>
    <n v="270355.80215512437"/>
    <n v="0"/>
    <n v="308998.85236381437"/>
    <n v="0"/>
    <x v="0"/>
  </r>
  <r>
    <s v="Regular"/>
    <x v="1"/>
    <x v="3"/>
    <x v="0"/>
    <x v="0"/>
    <x v="0"/>
    <x v="0"/>
    <x v="1"/>
    <x v="3"/>
    <n v="24430"/>
    <n v="11263.2457994"/>
    <n v="0"/>
    <n v="0"/>
    <n v="0"/>
    <n v="0"/>
    <n v="48"/>
    <s v="LIVRE"/>
    <n v="0"/>
    <n v="44"/>
    <n v="0"/>
    <n v="0"/>
    <n v="24.31"/>
    <n v="0"/>
    <n v="0"/>
    <n v="27.784726797371405"/>
    <m/>
    <m/>
    <n v="320083.794616586"/>
    <n v="0"/>
    <n v="365834.66827181337"/>
    <n v="0"/>
    <x v="0"/>
  </r>
  <r>
    <s v="Regular"/>
    <x v="1"/>
    <x v="3"/>
    <x v="0"/>
    <x v="0"/>
    <x v="0"/>
    <x v="0"/>
    <x v="1"/>
    <x v="4"/>
    <n v="22743"/>
    <n v="10533.04655508"/>
    <n v="0"/>
    <n v="0"/>
    <n v="0"/>
    <n v="0"/>
    <n v="45"/>
    <s v="LIVRE"/>
    <n v="0"/>
    <n v="44"/>
    <n v="0"/>
    <n v="0"/>
    <n v="24.31"/>
    <n v="0"/>
    <n v="0"/>
    <n v="27.784726797371405"/>
    <m/>
    <m/>
    <n v="296823.96824600518"/>
    <n v="0"/>
    <n v="339250.22067572601"/>
    <n v="0"/>
    <x v="0"/>
  </r>
  <r>
    <s v="Regular"/>
    <x v="1"/>
    <x v="3"/>
    <x v="0"/>
    <x v="0"/>
    <x v="0"/>
    <x v="0"/>
    <x v="1"/>
    <x v="5"/>
    <n v="26726"/>
    <n v="12047.426013"/>
    <n v="0"/>
    <n v="0"/>
    <n v="0"/>
    <n v="0"/>
    <n v="51"/>
    <s v="LIVRE"/>
    <n v="0"/>
    <n v="44"/>
    <n v="0"/>
    <n v="0"/>
    <n v="24.31"/>
    <n v="0"/>
    <n v="0"/>
    <n v="27.784726797371405"/>
    <m/>
    <m/>
    <n v="356836.13362396997"/>
    <n v="0"/>
    <n v="407840.16800379771"/>
    <n v="0"/>
    <x v="0"/>
  </r>
  <r>
    <s v="Regular"/>
    <x v="1"/>
    <x v="3"/>
    <x v="0"/>
    <x v="0"/>
    <x v="0"/>
    <x v="0"/>
    <x v="1"/>
    <x v="6"/>
    <n v="27408"/>
    <n v="12046.95233568"/>
    <n v="0"/>
    <n v="0"/>
    <n v="0"/>
    <n v="0"/>
    <n v="52"/>
    <s v="LIVRE"/>
    <n v="0"/>
    <n v="44"/>
    <n v="0"/>
    <n v="0"/>
    <n v="24.31"/>
    <n v="0"/>
    <n v="0"/>
    <n v="27.784726797371405"/>
    <m/>
    <m/>
    <n v="373427.06871961919"/>
    <n v="0"/>
    <n v="426802.51267453132"/>
    <n v="0"/>
    <x v="0"/>
  </r>
  <r>
    <s v="Regular"/>
    <x v="1"/>
    <x v="3"/>
    <x v="0"/>
    <x v="0"/>
    <x v="0"/>
    <x v="0"/>
    <x v="1"/>
    <x v="7"/>
    <n v="28700"/>
    <n v="13059.603228"/>
    <n v="0"/>
    <n v="0"/>
    <n v="0"/>
    <n v="0"/>
    <n v="54"/>
    <s v="LIVRE"/>
    <n v="0"/>
    <n v="44"/>
    <n v="0"/>
    <n v="0"/>
    <n v="24.31"/>
    <n v="0"/>
    <n v="0"/>
    <n v="27.784726797371405"/>
    <m/>
    <m/>
    <n v="380218.04552732001"/>
    <n v="0"/>
    <n v="434564.15131250961"/>
    <n v="0"/>
    <x v="0"/>
  </r>
  <r>
    <s v="Regular"/>
    <x v="1"/>
    <x v="3"/>
    <x v="0"/>
    <x v="0"/>
    <x v="0"/>
    <x v="0"/>
    <x v="1"/>
    <x v="8"/>
    <n v="28741"/>
    <n v="13238.41529021"/>
    <n v="0"/>
    <n v="0"/>
    <n v="0"/>
    <n v="0"/>
    <n v="54"/>
    <s v="LIVRE"/>
    <n v="0"/>
    <n v="44"/>
    <n v="0"/>
    <n v="0"/>
    <n v="24.31"/>
    <n v="0"/>
    <n v="0"/>
    <n v="27.784726797371405"/>
    <m/>
    <m/>
    <n v="376867.83429499489"/>
    <n v="0"/>
    <n v="430735.08081462246"/>
    <n v="0"/>
    <x v="0"/>
  </r>
  <r>
    <s v="Regular"/>
    <x v="1"/>
    <x v="3"/>
    <x v="0"/>
    <x v="0"/>
    <x v="0"/>
    <x v="0"/>
    <x v="1"/>
    <x v="9"/>
    <n v="30936"/>
    <n v="14142.4681932"/>
    <n v="0"/>
    <n v="0"/>
    <n v="0"/>
    <n v="0"/>
    <n v="61"/>
    <s v="LIVRE"/>
    <n v="0"/>
    <n v="44"/>
    <n v="0"/>
    <n v="0"/>
    <n v="24.31"/>
    <n v="0"/>
    <n v="0"/>
    <n v="27.784726797371405"/>
    <m/>
    <m/>
    <n v="408250.7582233079"/>
    <n v="0"/>
    <n v="466603.69321490492"/>
    <n v="0"/>
    <x v="0"/>
  </r>
  <r>
    <s v="Regular"/>
    <x v="1"/>
    <x v="3"/>
    <x v="0"/>
    <x v="0"/>
    <x v="0"/>
    <x v="0"/>
    <x v="1"/>
    <x v="10"/>
    <n v="31779"/>
    <n v="14638.08270375"/>
    <n v="0"/>
    <n v="0"/>
    <n v="0"/>
    <n v="0"/>
    <n v="69"/>
    <s v="LIVRE"/>
    <n v="0"/>
    <n v="44"/>
    <n v="0"/>
    <n v="0"/>
    <n v="24.31"/>
    <n v="0"/>
    <n v="0"/>
    <n v="27.784726797371405"/>
    <m/>
    <m/>
    <n v="416695.69947183749"/>
    <n v="0"/>
    <n v="476255.70413264446"/>
    <n v="0"/>
    <x v="0"/>
  </r>
  <r>
    <s v="PROJETADO"/>
    <x v="1"/>
    <x v="3"/>
    <x v="0"/>
    <x v="0"/>
    <x v="0"/>
    <x v="0"/>
    <x v="1"/>
    <x v="11"/>
    <n v="31779"/>
    <n v="14638.08270375"/>
    <n v="0"/>
    <n v="0"/>
    <n v="0"/>
    <n v="0"/>
    <n v="69"/>
    <s v="LIVRE"/>
    <n v="0"/>
    <n v="44"/>
    <n v="0"/>
    <n v="0"/>
    <n v="24.31"/>
    <n v="0"/>
    <n v="0"/>
    <n v="27.784726797371405"/>
    <m/>
    <m/>
    <n v="416695.69947183749"/>
    <n v="0"/>
    <n v="476255.70413264446"/>
    <n v="0"/>
    <x v="0"/>
  </r>
  <r>
    <s v="Regular"/>
    <x v="1"/>
    <x v="3"/>
    <x v="0"/>
    <x v="0"/>
    <x v="0"/>
    <x v="0"/>
    <x v="2"/>
    <x v="0"/>
    <n v="0"/>
    <n v="0"/>
    <n v="580.53499999999997"/>
    <n v="285.9499915408"/>
    <n v="0"/>
    <n v="0"/>
    <n v="0"/>
    <s v="LIVRE"/>
    <n v="0"/>
    <n v="0"/>
    <n v="20"/>
    <n v="0"/>
    <n v="0"/>
    <n v="1564.59"/>
    <n v="0"/>
    <m/>
    <n v="1922.323293423678"/>
    <m/>
    <n v="0"/>
    <n v="460904.75838517968"/>
    <n v="0"/>
    <n v="566287.62365453131"/>
    <x v="0"/>
  </r>
  <r>
    <s v="Regular"/>
    <x v="1"/>
    <x v="3"/>
    <x v="0"/>
    <x v="0"/>
    <x v="0"/>
    <x v="0"/>
    <x v="2"/>
    <x v="1"/>
    <n v="0"/>
    <n v="0"/>
    <n v="489.67399999999998"/>
    <n v="254.90256246135999"/>
    <n v="0"/>
    <n v="0"/>
    <n v="0"/>
    <s v="LIVRE"/>
    <n v="0"/>
    <n v="0"/>
    <n v="20"/>
    <n v="0"/>
    <n v="0"/>
    <n v="1564.59"/>
    <n v="0"/>
    <m/>
    <n v="1922.323293423678"/>
    <m/>
    <n v="0"/>
    <n v="367321.04345858074"/>
    <n v="0"/>
    <n v="451306.60301108973"/>
    <x v="0"/>
  </r>
  <r>
    <s v="Regular"/>
    <x v="1"/>
    <x v="3"/>
    <x v="0"/>
    <x v="0"/>
    <x v="0"/>
    <x v="0"/>
    <x v="2"/>
    <x v="2"/>
    <n v="0"/>
    <n v="0"/>
    <n v="470.584"/>
    <n v="230.80871329112"/>
    <n v="0"/>
    <n v="0"/>
    <n v="0"/>
    <s v="LIVRE"/>
    <n v="0"/>
    <n v="0"/>
    <n v="20"/>
    <n v="0"/>
    <n v="0"/>
    <n v="1564.59"/>
    <n v="0"/>
    <m/>
    <n v="1922.323293423678"/>
    <m/>
    <n v="0"/>
    <n v="375150.01583184657"/>
    <n v="0"/>
    <n v="460925.61882782087"/>
    <x v="0"/>
  </r>
  <r>
    <s v="Regular"/>
    <x v="1"/>
    <x v="3"/>
    <x v="0"/>
    <x v="0"/>
    <x v="0"/>
    <x v="0"/>
    <x v="2"/>
    <x v="3"/>
    <n v="0"/>
    <n v="0"/>
    <n v="489.572"/>
    <n v="232.17391540060001"/>
    <n v="0"/>
    <n v="0"/>
    <n v="0"/>
    <s v="LIVRE"/>
    <n v="0"/>
    <n v="0"/>
    <n v="20"/>
    <n v="0"/>
    <n v="0"/>
    <n v="1564.59"/>
    <n v="0"/>
    <m/>
    <n v="1922.323293423678"/>
    <m/>
    <n v="0"/>
    <n v="402722.46918337524"/>
    <n v="0"/>
    <n v="494802.33370806515"/>
    <x v="0"/>
  </r>
  <r>
    <s v="Regular"/>
    <x v="1"/>
    <x v="3"/>
    <x v="0"/>
    <x v="0"/>
    <x v="0"/>
    <x v="0"/>
    <x v="2"/>
    <x v="4"/>
    <n v="0"/>
    <n v="0"/>
    <n v="543.85400000000004"/>
    <n v="262.91474641913999"/>
    <n v="0"/>
    <n v="0"/>
    <n v="0"/>
    <s v="LIVRE"/>
    <n v="0"/>
    <n v="0"/>
    <n v="20"/>
    <n v="0"/>
    <n v="0"/>
    <n v="1564.59"/>
    <n v="0"/>
    <m/>
    <n v="1922.323293423678"/>
    <m/>
    <n v="0"/>
    <n v="439554.74676007783"/>
    <n v="0"/>
    <n v="540056.07119554875"/>
    <x v="0"/>
  </r>
  <r>
    <s v="Regular"/>
    <x v="1"/>
    <x v="3"/>
    <x v="0"/>
    <x v="0"/>
    <x v="0"/>
    <x v="0"/>
    <x v="2"/>
    <x v="5"/>
    <n v="0"/>
    <n v="0"/>
    <n v="632.55899999999997"/>
    <n v="305.00095405322998"/>
    <n v="0"/>
    <n v="0"/>
    <n v="0"/>
    <s v="LIVRE"/>
    <n v="0"/>
    <n v="0"/>
    <n v="20"/>
    <n v="0"/>
    <n v="0"/>
    <n v="1564.59"/>
    <n v="0"/>
    <m/>
    <n v="1922.323293423678"/>
    <m/>
    <n v="0"/>
    <n v="512494.04310785682"/>
    <n v="0"/>
    <n v="629672.46167181933"/>
    <x v="0"/>
  </r>
  <r>
    <s v="Regular"/>
    <x v="1"/>
    <x v="3"/>
    <x v="0"/>
    <x v="0"/>
    <x v="0"/>
    <x v="0"/>
    <x v="2"/>
    <x v="6"/>
    <n v="0"/>
    <n v="0"/>
    <n v="622.37099999999998"/>
    <n v="294.65512708128"/>
    <n v="0"/>
    <n v="0"/>
    <n v="0"/>
    <s v="LIVRE"/>
    <n v="0"/>
    <n v="0"/>
    <n v="20"/>
    <n v="0"/>
    <n v="0"/>
    <n v="1564.59"/>
    <n v="0"/>
    <m/>
    <n v="1922.323293423678"/>
    <m/>
    <n v="0"/>
    <n v="512740.97760990006"/>
    <n v="0"/>
    <n v="629975.85613632936"/>
    <x v="0"/>
  </r>
  <r>
    <s v="Regular"/>
    <x v="1"/>
    <x v="3"/>
    <x v="0"/>
    <x v="0"/>
    <x v="0"/>
    <x v="0"/>
    <x v="2"/>
    <x v="7"/>
    <n v="0"/>
    <n v="0"/>
    <n v="630.06799999999998"/>
    <n v="301.98059141272"/>
    <n v="0"/>
    <n v="0"/>
    <n v="0"/>
    <s v="LIVRE"/>
    <n v="0"/>
    <n v="0"/>
    <n v="20"/>
    <n v="0"/>
    <n v="0"/>
    <n v="1564.59"/>
    <n v="0"/>
    <m/>
    <n v="1922.323293423678"/>
    <m/>
    <n v="0"/>
    <n v="513322.27860157238"/>
    <n v="0"/>
    <n v="630690.06780633994"/>
    <x v="0"/>
  </r>
  <r>
    <s v="Regular"/>
    <x v="1"/>
    <x v="3"/>
    <x v="0"/>
    <x v="0"/>
    <x v="0"/>
    <x v="0"/>
    <x v="2"/>
    <x v="8"/>
    <n v="0"/>
    <n v="0"/>
    <n v="664.03300000000002"/>
    <n v="319.95319841823999"/>
    <n v="0"/>
    <n v="0"/>
    <n v="0"/>
    <s v="LIVRE"/>
    <n v="0"/>
    <n v="0"/>
    <n v="20"/>
    <n v="0"/>
    <n v="0"/>
    <n v="1564.59"/>
    <n v="0"/>
    <m/>
    <n v="1922.323293423678"/>
    <m/>
    <n v="0"/>
    <n v="538343.81675680587"/>
    <n v="0"/>
    <n v="661432.6173772146"/>
    <x v="0"/>
  </r>
  <r>
    <s v="Regular"/>
    <x v="1"/>
    <x v="3"/>
    <x v="0"/>
    <x v="0"/>
    <x v="0"/>
    <x v="0"/>
    <x v="2"/>
    <x v="9"/>
    <n v="0"/>
    <n v="0"/>
    <n v="801.87300000000005"/>
    <n v="386.74991523987001"/>
    <n v="0"/>
    <n v="0"/>
    <n v="0"/>
    <s v="LIVRE"/>
    <n v="0"/>
    <n v="0"/>
    <n v="20"/>
    <n v="0"/>
    <n v="0"/>
    <n v="1564.59"/>
    <n v="0"/>
    <m/>
    <n v="1922.323293423678"/>
    <m/>
    <n v="0"/>
    <n v="649497.42718485184"/>
    <n v="0"/>
    <n v="798000.77547228977"/>
    <x v="0"/>
  </r>
  <r>
    <s v="Regular"/>
    <x v="1"/>
    <x v="3"/>
    <x v="0"/>
    <x v="0"/>
    <x v="0"/>
    <x v="0"/>
    <x v="2"/>
    <x v="10"/>
    <n v="0"/>
    <n v="0"/>
    <n v="728.64200000000005"/>
    <n v="350.08695667073999"/>
    <n v="0"/>
    <n v="0"/>
    <n v="0"/>
    <s v="LIVRE"/>
    <n v="0"/>
    <n v="0"/>
    <n v="20"/>
    <n v="0"/>
    <n v="0"/>
    <n v="1564.59"/>
    <n v="0"/>
    <m/>
    <n v="1922.323293423678"/>
    <m/>
    <n v="0"/>
    <n v="592283.43524252693"/>
    <n v="0"/>
    <n v="727705.1776348463"/>
    <x v="0"/>
  </r>
  <r>
    <s v="PROJETADO"/>
    <x v="1"/>
    <x v="3"/>
    <x v="0"/>
    <x v="0"/>
    <x v="0"/>
    <x v="0"/>
    <x v="2"/>
    <x v="11"/>
    <n v="0"/>
    <n v="0"/>
    <n v="728.64200000000005"/>
    <n v="350.08695667073999"/>
    <n v="0"/>
    <n v="0"/>
    <n v="0"/>
    <s v="LIVRE"/>
    <n v="0"/>
    <n v="0"/>
    <n v="20"/>
    <n v="0"/>
    <n v="0"/>
    <n v="1564.59"/>
    <n v="0"/>
    <m/>
    <n v="1922.323293423678"/>
    <m/>
    <n v="0"/>
    <n v="592283.43524252693"/>
    <n v="0"/>
    <n v="727705.1776348463"/>
    <x v="0"/>
  </r>
  <r>
    <s v="Regular"/>
    <x v="1"/>
    <x v="3"/>
    <x v="1"/>
    <x v="1"/>
    <x v="1"/>
    <x v="0"/>
    <x v="0"/>
    <x v="0"/>
    <n v="0"/>
    <n v="0"/>
    <n v="962.79499999999996"/>
    <n v="96.279499999999999"/>
    <n v="962.79499999999996"/>
    <n v="96.279499999999999"/>
    <n v="0"/>
    <s v="CATIVO"/>
    <n v="0"/>
    <n v="0"/>
    <n v="21"/>
    <n v="89"/>
    <n v="0"/>
    <n v="51.27"/>
    <n v="222.31"/>
    <m/>
    <n v="66.787442987613147"/>
    <n v="236.64237028527376"/>
    <n v="0"/>
    <n v="237061.31049"/>
    <n v="0"/>
    <n v="262926.63636306225"/>
    <x v="1"/>
  </r>
  <r>
    <s v="Regular"/>
    <x v="1"/>
    <x v="3"/>
    <x v="1"/>
    <x v="1"/>
    <x v="1"/>
    <x v="0"/>
    <x v="0"/>
    <x v="1"/>
    <n v="0"/>
    <n v="0"/>
    <n v="333.96199999999999"/>
    <n v="33.3962"/>
    <n v="333.96199999999999"/>
    <n v="33.3962"/>
    <n v="0"/>
    <s v="CATIVO"/>
    <n v="0"/>
    <n v="0"/>
    <n v="21"/>
    <n v="89"/>
    <n v="0"/>
    <n v="51.27"/>
    <n v="222.31"/>
    <m/>
    <n v="66.787442987613147"/>
    <n v="236.64237028527376"/>
    <n v="0"/>
    <n v="82228.791563999999"/>
    <n v="0"/>
    <n v="91200.624570215863"/>
    <x v="1"/>
  </r>
  <r>
    <s v="Sistema de Compensação"/>
    <x v="1"/>
    <x v="3"/>
    <x v="1"/>
    <x v="1"/>
    <x v="1"/>
    <x v="0"/>
    <x v="0"/>
    <x v="1"/>
    <n v="0"/>
    <n v="0"/>
    <n v="8.2000000000000003E-2"/>
    <n v="8.2000000000000007E-3"/>
    <n v="8.2000000000000003E-2"/>
    <n v="8.2000000000000007E-3"/>
    <n v="0"/>
    <s v="CATIVO"/>
    <n v="0"/>
    <n v="0"/>
    <n v="21"/>
    <n v="89"/>
    <n v="0"/>
    <n v="51.27"/>
    <n v="222.31"/>
    <m/>
    <n v="66.787442987613147"/>
    <n v="236.64237028527376"/>
    <n v="0"/>
    <n v="20.190204000000001"/>
    <n v="0"/>
    <n v="22.393120219539057"/>
    <x v="1"/>
  </r>
  <r>
    <s v="Regular"/>
    <x v="1"/>
    <x v="3"/>
    <x v="1"/>
    <x v="1"/>
    <x v="1"/>
    <x v="0"/>
    <x v="0"/>
    <x v="2"/>
    <n v="0"/>
    <n v="0"/>
    <n v="324.93599999999998"/>
    <n v="32.493600000000001"/>
    <n v="324.93599999999998"/>
    <n v="32.493600000000001"/>
    <n v="0"/>
    <s v="CATIVO"/>
    <n v="0"/>
    <n v="0"/>
    <n v="21"/>
    <n v="89"/>
    <n v="0"/>
    <n v="51.27"/>
    <n v="222.31"/>
    <m/>
    <n v="66.787442987613147"/>
    <n v="236.64237028527376"/>
    <n v="0"/>
    <n v="80006.391791999995"/>
    <n v="0"/>
    <n v="88735.742825074893"/>
    <x v="1"/>
  </r>
  <r>
    <s v="Sistema de Compensação"/>
    <x v="1"/>
    <x v="3"/>
    <x v="1"/>
    <x v="1"/>
    <x v="1"/>
    <x v="0"/>
    <x v="0"/>
    <x v="2"/>
    <n v="0"/>
    <n v="0"/>
    <n v="4.1000000000000002E-2"/>
    <n v="4.1000000000000003E-3"/>
    <n v="4.1000000000000002E-2"/>
    <n v="4.1000000000000003E-3"/>
    <n v="0"/>
    <s v="CATIVO"/>
    <n v="0"/>
    <n v="0"/>
    <n v="21"/>
    <n v="89"/>
    <n v="0"/>
    <n v="51.27"/>
    <n v="222.31"/>
    <m/>
    <n v="66.787442987613147"/>
    <n v="236.64237028527376"/>
    <n v="0"/>
    <n v="10.095102000000001"/>
    <n v="0"/>
    <n v="11.196560109769528"/>
    <x v="1"/>
  </r>
  <r>
    <s v="Regular"/>
    <x v="1"/>
    <x v="3"/>
    <x v="1"/>
    <x v="1"/>
    <x v="1"/>
    <x v="0"/>
    <x v="0"/>
    <x v="3"/>
    <n v="0"/>
    <n v="0"/>
    <n v="354.49200000000002"/>
    <n v="35.449199999999998"/>
    <n v="354.49200000000002"/>
    <n v="35.449199999999998"/>
    <n v="0"/>
    <s v="CATIVO"/>
    <n v="0"/>
    <n v="0"/>
    <n v="21"/>
    <n v="89"/>
    <n v="0"/>
    <n v="51.27"/>
    <n v="222.31"/>
    <m/>
    <n v="66.787442987613147"/>
    <n v="236.64237028527376"/>
    <n v="0"/>
    <n v="87283.729223999995"/>
    <n v="0"/>
    <n v="96807.097230058993"/>
    <x v="1"/>
  </r>
  <r>
    <s v="Sistema de Compensação"/>
    <x v="1"/>
    <x v="3"/>
    <x v="1"/>
    <x v="1"/>
    <x v="1"/>
    <x v="0"/>
    <x v="0"/>
    <x v="3"/>
    <n v="0"/>
    <n v="0"/>
    <n v="8.2000000000000003E-2"/>
    <n v="8.2000000000000007E-3"/>
    <n v="8.2000000000000003E-2"/>
    <n v="8.2000000000000007E-3"/>
    <n v="0"/>
    <s v="CATIVO"/>
    <n v="0"/>
    <n v="0"/>
    <n v="21"/>
    <n v="89"/>
    <n v="0"/>
    <n v="51.27"/>
    <n v="222.31"/>
    <m/>
    <n v="66.787442987613147"/>
    <n v="236.64237028527376"/>
    <n v="0"/>
    <n v="20.190204000000001"/>
    <n v="0"/>
    <n v="22.393120219539057"/>
    <x v="1"/>
  </r>
  <r>
    <s v="Regular"/>
    <x v="1"/>
    <x v="3"/>
    <x v="1"/>
    <x v="1"/>
    <x v="1"/>
    <x v="0"/>
    <x v="0"/>
    <x v="4"/>
    <n v="0"/>
    <n v="0"/>
    <n v="599.25599999999997"/>
    <n v="59.925600000000003"/>
    <n v="599.25599999999997"/>
    <n v="59.925600000000003"/>
    <n v="0"/>
    <s v="CATIVO"/>
    <n v="0"/>
    <n v="0"/>
    <n v="21"/>
    <n v="89"/>
    <n v="0"/>
    <n v="51.27"/>
    <n v="222.31"/>
    <m/>
    <n v="66.787442987613147"/>
    <n v="236.64237028527376"/>
    <n v="0"/>
    <n v="147550.010832"/>
    <n v="0"/>
    <n v="163648.9225643914"/>
    <x v="1"/>
  </r>
  <r>
    <s v="Sistema de Compensação"/>
    <x v="1"/>
    <x v="3"/>
    <x v="1"/>
    <x v="1"/>
    <x v="1"/>
    <x v="0"/>
    <x v="0"/>
    <x v="4"/>
    <n v="0"/>
    <n v="0"/>
    <n v="8.2000000000000003E-2"/>
    <n v="8.2000000000000007E-3"/>
    <n v="8.2000000000000003E-2"/>
    <n v="8.2000000000000007E-3"/>
    <n v="0"/>
    <s v="CATIVO"/>
    <n v="0"/>
    <n v="0"/>
    <n v="21"/>
    <n v="89"/>
    <n v="0"/>
    <n v="51.27"/>
    <n v="222.31"/>
    <m/>
    <n v="66.787442987613147"/>
    <n v="236.64237028527376"/>
    <n v="0"/>
    <n v="20.190204000000001"/>
    <n v="0"/>
    <n v="22.393120219539057"/>
    <x v="1"/>
  </r>
  <r>
    <s v="Regular"/>
    <x v="1"/>
    <x v="3"/>
    <x v="1"/>
    <x v="1"/>
    <x v="1"/>
    <x v="0"/>
    <x v="0"/>
    <x v="5"/>
    <n v="0"/>
    <n v="0"/>
    <n v="891.18"/>
    <n v="89.117999999999995"/>
    <n v="891.18"/>
    <n v="89.117999999999995"/>
    <n v="0"/>
    <s v="CATIVO"/>
    <n v="0"/>
    <n v="0"/>
    <n v="21"/>
    <n v="89"/>
    <n v="0"/>
    <n v="51.27"/>
    <n v="222.31"/>
    <m/>
    <n v="66.787442987613147"/>
    <n v="236.64237028527376"/>
    <n v="0"/>
    <n v="219428.12195999996"/>
    <n v="0"/>
    <n v="243369.52289327819"/>
    <x v="1"/>
  </r>
  <r>
    <s v="Sistema de Compensação"/>
    <x v="1"/>
    <x v="3"/>
    <x v="1"/>
    <x v="1"/>
    <x v="1"/>
    <x v="0"/>
    <x v="0"/>
    <x v="5"/>
    <n v="0"/>
    <n v="0"/>
    <n v="2.6240000000000001"/>
    <n v="0.26240000000000002"/>
    <n v="2.6240000000000001"/>
    <n v="0.26240000000000002"/>
    <n v="0"/>
    <s v="CATIVO"/>
    <n v="0"/>
    <n v="0"/>
    <n v="21"/>
    <n v="89"/>
    <n v="0"/>
    <n v="51.27"/>
    <n v="222.31"/>
    <m/>
    <n v="66.787442987613147"/>
    <n v="236.64237028527376"/>
    <n v="0"/>
    <n v="646.08652800000004"/>
    <n v="0"/>
    <n v="716.57984702524982"/>
    <x v="1"/>
  </r>
  <r>
    <s v="Regular"/>
    <x v="1"/>
    <x v="3"/>
    <x v="1"/>
    <x v="1"/>
    <x v="1"/>
    <x v="0"/>
    <x v="0"/>
    <x v="6"/>
    <n v="0"/>
    <n v="0"/>
    <n v="1351.895"/>
    <n v="135.18950000000001"/>
    <n v="1351.895"/>
    <n v="135.18950000000001"/>
    <n v="0"/>
    <s v="CATIVO"/>
    <n v="0"/>
    <n v="0"/>
    <n v="21"/>
    <n v="89"/>
    <n v="0"/>
    <n v="51.27"/>
    <n v="222.31"/>
    <m/>
    <n v="66.787442987613147"/>
    <n v="236.64237028527376"/>
    <n v="0"/>
    <n v="332866.29068999999"/>
    <n v="0"/>
    <n v="369184.72267309448"/>
    <x v="1"/>
  </r>
  <r>
    <s v="Sistema de Compensação"/>
    <x v="1"/>
    <x v="3"/>
    <x v="1"/>
    <x v="1"/>
    <x v="1"/>
    <x v="0"/>
    <x v="0"/>
    <x v="6"/>
    <n v="0"/>
    <n v="0"/>
    <n v="8.8970000000000002"/>
    <n v="0.88970000000000005"/>
    <n v="8.8970000000000002"/>
    <n v="0.88970000000000005"/>
    <n v="0"/>
    <s v="CATIVO"/>
    <n v="0"/>
    <n v="0"/>
    <n v="21"/>
    <n v="89"/>
    <n v="0"/>
    <n v="51.27"/>
    <n v="222.31"/>
    <m/>
    <n v="66.787442987613147"/>
    <n v="236.64237028527376"/>
    <n v="0"/>
    <n v="2190.6371340000005"/>
    <n v="0"/>
    <n v="2429.6535438199876"/>
    <x v="1"/>
  </r>
  <r>
    <s v="Regular"/>
    <x v="1"/>
    <x v="3"/>
    <x v="1"/>
    <x v="1"/>
    <x v="1"/>
    <x v="0"/>
    <x v="0"/>
    <x v="7"/>
    <n v="0"/>
    <n v="0"/>
    <n v="1290.3910000000001"/>
    <n v="129.03909999999999"/>
    <n v="1290.3910000000001"/>
    <n v="129.03909999999999"/>
    <n v="0"/>
    <s v="CATIVO"/>
    <n v="0"/>
    <n v="0"/>
    <n v="21"/>
    <n v="89"/>
    <n v="0"/>
    <n v="51.27"/>
    <n v="222.31"/>
    <m/>
    <n v="66.787442987613147"/>
    <n v="236.64237028527376"/>
    <n v="0"/>
    <n v="317722.65280200006"/>
    <n v="0"/>
    <n v="352388.79016111244"/>
    <x v="1"/>
  </r>
  <r>
    <s v="Sistema de Compensação"/>
    <x v="1"/>
    <x v="3"/>
    <x v="1"/>
    <x v="1"/>
    <x v="1"/>
    <x v="0"/>
    <x v="0"/>
    <x v="7"/>
    <n v="0"/>
    <n v="0"/>
    <n v="9.2249999999999996"/>
    <n v="0.92249999999999999"/>
    <n v="9.2249999999999996"/>
    <n v="0.92249999999999999"/>
    <n v="0"/>
    <s v="CATIVO"/>
    <n v="0"/>
    <n v="0"/>
    <n v="21"/>
    <n v="89"/>
    <n v="0"/>
    <n v="51.27"/>
    <n v="222.31"/>
    <m/>
    <n v="66.787442987613147"/>
    <n v="236.64237028527376"/>
    <n v="0"/>
    <n v="2271.39795"/>
    <n v="0"/>
    <n v="2519.2260246981436"/>
    <x v="1"/>
  </r>
  <r>
    <s v="Regular"/>
    <x v="1"/>
    <x v="3"/>
    <x v="1"/>
    <x v="1"/>
    <x v="1"/>
    <x v="0"/>
    <x v="0"/>
    <x v="8"/>
    <n v="0"/>
    <n v="0"/>
    <n v="920.84900000000005"/>
    <n v="92.084900000000005"/>
    <n v="920.84900000000005"/>
    <n v="92.084900000000005"/>
    <n v="0"/>
    <s v="CATIVO"/>
    <n v="0"/>
    <n v="0"/>
    <n v="21"/>
    <n v="89"/>
    <n v="0"/>
    <n v="51.27"/>
    <n v="222.31"/>
    <m/>
    <n v="66.787442987613147"/>
    <n v="236.64237028527376"/>
    <n v="0"/>
    <n v="226733.28247800004"/>
    <n v="0"/>
    <n v="251471.73611027221"/>
    <x v="1"/>
  </r>
  <r>
    <s v="Sistema de Compensação"/>
    <x v="1"/>
    <x v="3"/>
    <x v="1"/>
    <x v="1"/>
    <x v="1"/>
    <x v="0"/>
    <x v="0"/>
    <x v="8"/>
    <n v="0"/>
    <n v="0"/>
    <n v="9.2249999999999996"/>
    <n v="0.92249999999999999"/>
    <n v="9.2249999999999996"/>
    <n v="0.92249999999999999"/>
    <n v="0"/>
    <s v="CATIVO"/>
    <n v="0"/>
    <n v="0"/>
    <n v="21"/>
    <n v="89"/>
    <n v="0"/>
    <n v="51.27"/>
    <n v="222.31"/>
    <m/>
    <n v="66.787442987613147"/>
    <n v="236.64237028527376"/>
    <n v="0"/>
    <n v="2271.39795"/>
    <n v="0"/>
    <n v="2519.2260246981436"/>
    <x v="1"/>
  </r>
  <r>
    <s v="Regular"/>
    <x v="1"/>
    <x v="3"/>
    <x v="1"/>
    <x v="1"/>
    <x v="1"/>
    <x v="0"/>
    <x v="0"/>
    <x v="9"/>
    <n v="0"/>
    <n v="0"/>
    <n v="805.755"/>
    <n v="80.575500000000005"/>
    <n v="805.755"/>
    <n v="80.575500000000005"/>
    <n v="0"/>
    <s v="CATIVO"/>
    <n v="0"/>
    <n v="0"/>
    <n v="21"/>
    <n v="89"/>
    <n v="0"/>
    <n v="51.27"/>
    <n v="222.31"/>
    <m/>
    <n v="66.787442987613147"/>
    <n v="236.64237028527376"/>
    <n v="0"/>
    <n v="198394.60761000001"/>
    <n v="0"/>
    <n v="220041.08027432548"/>
    <x v="1"/>
  </r>
  <r>
    <s v="Refaturamento - Regular"/>
    <x v="1"/>
    <x v="3"/>
    <x v="1"/>
    <x v="1"/>
    <x v="1"/>
    <x v="0"/>
    <x v="0"/>
    <x v="9"/>
    <n v="0"/>
    <n v="0"/>
    <n v="136.136"/>
    <n v="13.6136"/>
    <n v="136.136"/>
    <n v="13.6136"/>
    <n v="0"/>
    <s v="CATIVO"/>
    <n v="0"/>
    <n v="0"/>
    <n v="21"/>
    <n v="89"/>
    <n v="0"/>
    <n v="51.27"/>
    <n v="222.31"/>
    <m/>
    <n v="66.787442987613147"/>
    <n v="236.64237028527376"/>
    <n v="0"/>
    <n v="33519.678191999999"/>
    <n v="0"/>
    <n v="37176.948953745952"/>
    <x v="1"/>
  </r>
  <r>
    <s v="Sistema de Compensação"/>
    <x v="1"/>
    <x v="3"/>
    <x v="1"/>
    <x v="1"/>
    <x v="1"/>
    <x v="0"/>
    <x v="0"/>
    <x v="9"/>
    <n v="0"/>
    <n v="0"/>
    <n v="11.468"/>
    <n v="1.1468"/>
    <n v="11.468"/>
    <n v="1.1468"/>
    <n v="0"/>
    <s v="CATIVO"/>
    <n v="0"/>
    <n v="0"/>
    <n v="21"/>
    <n v="89"/>
    <n v="0"/>
    <n v="51.27"/>
    <n v="222.31"/>
    <m/>
    <n v="66.787442987613147"/>
    <n v="236.64237028527376"/>
    <n v="0"/>
    <n v="2823.6738959999998"/>
    <n v="0"/>
    <n v="3131.7597887521197"/>
    <x v="1"/>
  </r>
  <r>
    <s v="Regular"/>
    <x v="1"/>
    <x v="3"/>
    <x v="1"/>
    <x v="1"/>
    <x v="1"/>
    <x v="0"/>
    <x v="0"/>
    <x v="10"/>
    <n v="0"/>
    <n v="0"/>
    <n v="1792.2349999999999"/>
    <n v="179.2235"/>
    <n v="1792.2349999999999"/>
    <n v="179.2235"/>
    <n v="0"/>
    <s v="CATIVO"/>
    <n v="0"/>
    <n v="0"/>
    <n v="21"/>
    <n v="89"/>
    <n v="0"/>
    <n v="51.27"/>
    <n v="222.31"/>
    <m/>
    <n v="66.787442987613147"/>
    <n v="236.64237028527376"/>
    <n v="0"/>
    <n v="441287.68616999994"/>
    <n v="0"/>
    <n v="489435.7782520192"/>
    <x v="1"/>
  </r>
  <r>
    <s v="Sistema de Compensação"/>
    <x v="1"/>
    <x v="3"/>
    <x v="1"/>
    <x v="1"/>
    <x v="1"/>
    <x v="0"/>
    <x v="0"/>
    <x v="10"/>
    <n v="0"/>
    <n v="0"/>
    <n v="12.901"/>
    <n v="1.2901"/>
    <n v="12.901"/>
    <n v="1.2901"/>
    <n v="0"/>
    <s v="CATIVO"/>
    <n v="0"/>
    <n v="0"/>
    <n v="21"/>
    <n v="89"/>
    <n v="0"/>
    <n v="51.27"/>
    <n v="222.31"/>
    <m/>
    <n v="66.787442987613147"/>
    <n v="236.64237028527376"/>
    <n v="0"/>
    <n v="3176.5100219999995"/>
    <n v="0"/>
    <n v="3523.0932189301625"/>
    <x v="1"/>
  </r>
  <r>
    <s v="PROJETADO"/>
    <x v="1"/>
    <x v="3"/>
    <x v="1"/>
    <x v="1"/>
    <x v="1"/>
    <x v="0"/>
    <x v="0"/>
    <x v="11"/>
    <n v="0"/>
    <n v="0"/>
    <n v="1792.2349999999999"/>
    <n v="179.2235"/>
    <n v="1792.2349999999999"/>
    <n v="179.2235"/>
    <n v="0"/>
    <s v="CATIVO"/>
    <n v="0"/>
    <n v="0"/>
    <n v="21"/>
    <n v="89"/>
    <n v="0"/>
    <n v="51.27"/>
    <n v="222.31"/>
    <m/>
    <n v="66.787442987613147"/>
    <n v="236.64237028527376"/>
    <n v="0"/>
    <n v="441287.68616999994"/>
    <n v="0"/>
    <n v="489435.7782520192"/>
    <x v="1"/>
  </r>
  <r>
    <s v="PROJETADO"/>
    <x v="1"/>
    <x v="3"/>
    <x v="1"/>
    <x v="1"/>
    <x v="1"/>
    <x v="0"/>
    <x v="0"/>
    <x v="11"/>
    <n v="0"/>
    <n v="0"/>
    <n v="12.901"/>
    <n v="1.2901"/>
    <n v="12.901"/>
    <n v="1.2901"/>
    <n v="0"/>
    <s v="CATIVO"/>
    <n v="0"/>
    <n v="0"/>
    <n v="21"/>
    <n v="89"/>
    <n v="0"/>
    <n v="51.27"/>
    <n v="222.31"/>
    <m/>
    <n v="66.787442987613147"/>
    <n v="236.64237028527376"/>
    <n v="0"/>
    <n v="3176.5100219999995"/>
    <n v="0"/>
    <n v="3523.0932189301625"/>
    <x v="1"/>
  </r>
  <r>
    <s v="Regular"/>
    <x v="1"/>
    <x v="3"/>
    <x v="1"/>
    <x v="1"/>
    <x v="2"/>
    <x v="0"/>
    <x v="0"/>
    <x v="0"/>
    <n v="0"/>
    <n v="0"/>
    <n v="1096.0350000000001"/>
    <n v="1052.1936000000001"/>
    <n v="1096.0350000000001"/>
    <n v="1052.1936000000001"/>
    <n v="0"/>
    <s v="CATIVO"/>
    <n v="0"/>
    <n v="0"/>
    <n v="21"/>
    <n v="89"/>
    <n v="0"/>
    <n v="51.27"/>
    <n v="222.31"/>
    <m/>
    <n v="66.787442987613147"/>
    <n v="236.64237028527376"/>
    <n v="0"/>
    <n v="11994.130212000005"/>
    <n v="0"/>
    <n v="13302.787815621952"/>
    <x v="2"/>
  </r>
  <r>
    <s v="Regular"/>
    <x v="1"/>
    <x v="3"/>
    <x v="1"/>
    <x v="1"/>
    <x v="2"/>
    <x v="0"/>
    <x v="0"/>
    <x v="1"/>
    <n v="0"/>
    <n v="0"/>
    <n v="427.09"/>
    <n v="410.00639999999999"/>
    <n v="427.09"/>
    <n v="410.00639999999999"/>
    <n v="0"/>
    <s v="CATIVO"/>
    <n v="0"/>
    <n v="0"/>
    <n v="21"/>
    <n v="89"/>
    <n v="0"/>
    <n v="51.27"/>
    <n v="222.31"/>
    <m/>
    <n v="66.787442987613147"/>
    <n v="236.64237028527376"/>
    <n v="0"/>
    <n v="4673.7312879999972"/>
    <n v="0"/>
    <n v="5183.6735580286877"/>
    <x v="2"/>
  </r>
  <r>
    <s v="Regular"/>
    <x v="1"/>
    <x v="3"/>
    <x v="1"/>
    <x v="1"/>
    <x v="2"/>
    <x v="0"/>
    <x v="0"/>
    <x v="2"/>
    <n v="0"/>
    <n v="0"/>
    <n v="450.166"/>
    <n v="432.15935999999999"/>
    <n v="450.166"/>
    <n v="432.15935999999999"/>
    <n v="0"/>
    <s v="CATIVO"/>
    <n v="0"/>
    <n v="0"/>
    <n v="21"/>
    <n v="89"/>
    <n v="0"/>
    <n v="51.27"/>
    <n v="222.31"/>
    <m/>
    <n v="66.787442987613147"/>
    <n v="236.64237028527376"/>
    <n v="0"/>
    <n v="4926.2565712000014"/>
    <n v="0"/>
    <n v="5463.7514128720977"/>
    <x v="2"/>
  </r>
  <r>
    <s v="Regular"/>
    <x v="1"/>
    <x v="3"/>
    <x v="1"/>
    <x v="1"/>
    <x v="2"/>
    <x v="0"/>
    <x v="0"/>
    <x v="3"/>
    <n v="0"/>
    <n v="0"/>
    <n v="491.87799999999999"/>
    <n v="472.20287999999999"/>
    <n v="491.87799999999999"/>
    <n v="472.20287999999999"/>
    <n v="0"/>
    <s v="CATIVO"/>
    <n v="0"/>
    <n v="0"/>
    <n v="21"/>
    <n v="89"/>
    <n v="0"/>
    <n v="51.27"/>
    <n v="222.31"/>
    <m/>
    <n v="66.787442987613147"/>
    <n v="236.64237028527376"/>
    <n v="0"/>
    <n v="5382.7193295999978"/>
    <n v="0"/>
    <n v="5970.0179877216406"/>
    <x v="2"/>
  </r>
  <r>
    <s v="Regular"/>
    <x v="1"/>
    <x v="3"/>
    <x v="1"/>
    <x v="1"/>
    <x v="2"/>
    <x v="0"/>
    <x v="0"/>
    <x v="4"/>
    <n v="0"/>
    <n v="0"/>
    <n v="727.86099999999999"/>
    <n v="698.74655999999993"/>
    <n v="727.86099999999999"/>
    <n v="698.74655999999993"/>
    <n v="0"/>
    <s v="CATIVO"/>
    <n v="0"/>
    <n v="0"/>
    <n v="21"/>
    <n v="89"/>
    <n v="0"/>
    <n v="51.27"/>
    <n v="222.31"/>
    <m/>
    <n v="66.787442987613147"/>
    <n v="236.64237028527376"/>
    <n v="0"/>
    <n v="7965.128495200016"/>
    <n v="0"/>
    <n v="8834.1890927446875"/>
    <x v="2"/>
  </r>
  <r>
    <s v="Regular"/>
    <x v="1"/>
    <x v="3"/>
    <x v="1"/>
    <x v="1"/>
    <x v="2"/>
    <x v="0"/>
    <x v="0"/>
    <x v="5"/>
    <n v="0"/>
    <n v="0"/>
    <n v="1022.833"/>
    <n v="981.91967999999997"/>
    <n v="1022.833"/>
    <n v="981.91967999999997"/>
    <n v="0"/>
    <s v="CATIVO"/>
    <n v="0"/>
    <n v="0"/>
    <n v="21"/>
    <n v="89"/>
    <n v="0"/>
    <n v="51.27"/>
    <n v="222.31"/>
    <m/>
    <n v="66.787442987613147"/>
    <n v="236.64237028527376"/>
    <n v="0"/>
    <n v="11193.066085599999"/>
    <n v="0"/>
    <n v="12414.32104797387"/>
    <x v="2"/>
  </r>
  <r>
    <s v="Regular"/>
    <x v="1"/>
    <x v="3"/>
    <x v="1"/>
    <x v="1"/>
    <x v="2"/>
    <x v="0"/>
    <x v="0"/>
    <x v="6"/>
    <n v="0"/>
    <n v="0"/>
    <n v="1571.626"/>
    <n v="1508.7609600000001"/>
    <n v="1571.626"/>
    <n v="1508.7609600000001"/>
    <n v="0"/>
    <s v="CATIVO"/>
    <n v="0"/>
    <n v="0"/>
    <n v="21"/>
    <n v="89"/>
    <n v="0"/>
    <n v="51.27"/>
    <n v="222.31"/>
    <m/>
    <n v="66.787442987613147"/>
    <n v="236.64237028527376"/>
    <n v="0"/>
    <n v="17198.617643199974"/>
    <n v="0"/>
    <n v="19075.127348592541"/>
    <x v="2"/>
  </r>
  <r>
    <s v="Regular"/>
    <x v="1"/>
    <x v="3"/>
    <x v="1"/>
    <x v="1"/>
    <x v="2"/>
    <x v="0"/>
    <x v="0"/>
    <x v="7"/>
    <n v="0"/>
    <n v="0"/>
    <n v="1609.27"/>
    <n v="1544.8991999999998"/>
    <n v="1609.27"/>
    <n v="1544.8991999999998"/>
    <n v="0"/>
    <s v="CATIVO"/>
    <n v="0"/>
    <n v="0"/>
    <n v="21"/>
    <n v="89"/>
    <n v="0"/>
    <n v="51.27"/>
    <n v="222.31"/>
    <m/>
    <n v="66.787442987613147"/>
    <n v="236.64237028527376"/>
    <n v="0"/>
    <n v="17610.563464000039"/>
    <n v="0"/>
    <n v="19532.019824226394"/>
    <x v="2"/>
  </r>
  <r>
    <s v="Regular"/>
    <x v="1"/>
    <x v="3"/>
    <x v="1"/>
    <x v="1"/>
    <x v="2"/>
    <x v="0"/>
    <x v="0"/>
    <x v="8"/>
    <n v="0"/>
    <n v="0"/>
    <n v="1207.7719999999999"/>
    <n v="1159.4611199999999"/>
    <n v="1207.7719999999999"/>
    <n v="1159.4611199999999"/>
    <n v="0"/>
    <s v="CATIVO"/>
    <n v="0"/>
    <n v="0"/>
    <n v="21"/>
    <n v="89"/>
    <n v="0"/>
    <n v="51.27"/>
    <n v="222.31"/>
    <m/>
    <n v="66.787442987613147"/>
    <n v="236.64237028527376"/>
    <n v="0"/>
    <n v="13216.890550399999"/>
    <n v="0"/>
    <n v="14658.961297448845"/>
    <x v="2"/>
  </r>
  <r>
    <s v="Regular"/>
    <x v="1"/>
    <x v="3"/>
    <x v="1"/>
    <x v="1"/>
    <x v="2"/>
    <x v="0"/>
    <x v="0"/>
    <x v="9"/>
    <n v="0"/>
    <n v="0"/>
    <n v="1060.73"/>
    <n v="1018.3008"/>
    <n v="1060.73"/>
    <n v="1018.3008"/>
    <n v="0"/>
    <s v="CATIVO"/>
    <n v="0"/>
    <n v="0"/>
    <n v="21"/>
    <n v="89"/>
    <n v="0"/>
    <n v="51.27"/>
    <n v="222.31"/>
    <m/>
    <n v="66.787442987613147"/>
    <n v="236.64237028527376"/>
    <n v="0"/>
    <n v="11607.780536000011"/>
    <n v="0"/>
    <n v="12874.284233317983"/>
    <x v="2"/>
  </r>
  <r>
    <s v="Refaturamento - Regular"/>
    <x v="1"/>
    <x v="3"/>
    <x v="1"/>
    <x v="1"/>
    <x v="2"/>
    <x v="0"/>
    <x v="0"/>
    <x v="9"/>
    <n v="0"/>
    <n v="0"/>
    <n v="85.790999999999997"/>
    <n v="82.359359999999995"/>
    <n v="85.790999999999997"/>
    <n v="82.359359999999995"/>
    <n v="0"/>
    <s v="CATIVO"/>
    <n v="0"/>
    <n v="0"/>
    <n v="21"/>
    <n v="89"/>
    <n v="0"/>
    <n v="51.27"/>
    <n v="222.31"/>
    <m/>
    <n v="66.787442987613147"/>
    <n v="236.64237028527376"/>
    <n v="0"/>
    <n v="938.82807120000052"/>
    <n v="0"/>
    <n v="1041.26188441977"/>
    <x v="2"/>
  </r>
  <r>
    <s v="Sistema de Compensação"/>
    <x v="1"/>
    <x v="3"/>
    <x v="1"/>
    <x v="1"/>
    <x v="2"/>
    <x v="0"/>
    <x v="0"/>
    <x v="9"/>
    <n v="0"/>
    <n v="0"/>
    <n v="5.7910000000000004"/>
    <n v="5.5593599999999999"/>
    <n v="5.7910000000000004"/>
    <n v="5.5593599999999999"/>
    <n v="0"/>
    <s v="CATIVO"/>
    <n v="0"/>
    <n v="0"/>
    <n v="21"/>
    <n v="89"/>
    <n v="0"/>
    <n v="51.27"/>
    <n v="222.31"/>
    <m/>
    <n v="66.787442987613147"/>
    <n v="236.64237028527376"/>
    <n v="0"/>
    <n v="63.372071200000136"/>
    <n v="0"/>
    <n v="70.28648194653168"/>
    <x v="2"/>
  </r>
  <r>
    <s v="Regular"/>
    <x v="1"/>
    <x v="3"/>
    <x v="1"/>
    <x v="1"/>
    <x v="2"/>
    <x v="0"/>
    <x v="0"/>
    <x v="10"/>
    <n v="0"/>
    <n v="0"/>
    <n v="1647.443"/>
    <n v="1581.54528"/>
    <n v="1647.443"/>
    <n v="1581.54528"/>
    <n v="0"/>
    <s v="CATIVO"/>
    <n v="0"/>
    <n v="0"/>
    <n v="21"/>
    <n v="89"/>
    <n v="0"/>
    <n v="51.27"/>
    <n v="222.31"/>
    <m/>
    <n v="66.787442987613147"/>
    <n v="236.64237028527376"/>
    <n v="0"/>
    <n v="18028.298237599982"/>
    <n v="0"/>
    <n v="19995.332874708965"/>
    <x v="2"/>
  </r>
  <r>
    <s v="Refaturamento - Regular"/>
    <x v="1"/>
    <x v="3"/>
    <x v="1"/>
    <x v="1"/>
    <x v="2"/>
    <x v="0"/>
    <x v="0"/>
    <x v="10"/>
    <n v="0"/>
    <n v="0"/>
    <n v="8.2000000000000003E-2"/>
    <n v="7.8719999999999998E-2"/>
    <n v="8.2000000000000003E-2"/>
    <n v="7.8719999999999998E-2"/>
    <n v="0"/>
    <s v="CATIVO"/>
    <n v="0"/>
    <n v="0"/>
    <n v="21"/>
    <n v="89"/>
    <n v="0"/>
    <n v="51.27"/>
    <n v="222.31"/>
    <m/>
    <n v="66.787442987613147"/>
    <n v="236.64237028527376"/>
    <n v="0"/>
    <n v="0.89734240000000143"/>
    <n v="0"/>
    <n v="0.99524978753507065"/>
    <x v="2"/>
  </r>
  <r>
    <s v="Sistema de Compensação"/>
    <x v="1"/>
    <x v="3"/>
    <x v="1"/>
    <x v="1"/>
    <x v="2"/>
    <x v="0"/>
    <x v="0"/>
    <x v="10"/>
    <n v="0"/>
    <n v="0"/>
    <n v="5.101"/>
    <n v="4.89696"/>
    <n v="5.101"/>
    <n v="4.89696"/>
    <n v="0"/>
    <s v="CATIVO"/>
    <n v="0"/>
    <n v="0"/>
    <n v="21"/>
    <n v="89"/>
    <n v="0"/>
    <n v="51.27"/>
    <n v="222.31"/>
    <m/>
    <n v="66.787442987613147"/>
    <n v="236.64237028527376"/>
    <n v="0"/>
    <n v="55.821263199999997"/>
    <n v="0"/>
    <n v="61.911819100199843"/>
    <x v="2"/>
  </r>
  <r>
    <s v="PROJETADO"/>
    <x v="1"/>
    <x v="3"/>
    <x v="1"/>
    <x v="1"/>
    <x v="2"/>
    <x v="0"/>
    <x v="0"/>
    <x v="11"/>
    <n v="0"/>
    <n v="0"/>
    <n v="1647.443"/>
    <n v="1581.54528"/>
    <n v="1647.443"/>
    <n v="1581.54528"/>
    <n v="0"/>
    <s v="CATIVO"/>
    <n v="0"/>
    <n v="0"/>
    <n v="21"/>
    <n v="89"/>
    <n v="0"/>
    <n v="51.27"/>
    <n v="222.31"/>
    <m/>
    <n v="66.787442987613147"/>
    <n v="236.64237028527376"/>
    <n v="0"/>
    <n v="18028.298237599982"/>
    <n v="0"/>
    <n v="19995.332874708965"/>
    <x v="2"/>
  </r>
  <r>
    <s v="PROJETADO"/>
    <x v="1"/>
    <x v="3"/>
    <x v="1"/>
    <x v="1"/>
    <x v="2"/>
    <x v="0"/>
    <x v="0"/>
    <x v="11"/>
    <n v="0"/>
    <n v="0"/>
    <n v="8.2000000000000003E-2"/>
    <n v="7.8719999999999998E-2"/>
    <n v="8.2000000000000003E-2"/>
    <n v="7.8719999999999998E-2"/>
    <n v="0"/>
    <s v="CATIVO"/>
    <n v="0"/>
    <n v="0"/>
    <n v="21"/>
    <n v="89"/>
    <n v="0"/>
    <n v="51.27"/>
    <n v="222.31"/>
    <m/>
    <n v="66.787442987613147"/>
    <n v="236.64237028527376"/>
    <n v="0"/>
    <n v="0.89734240000000143"/>
    <n v="0"/>
    <n v="0.99524978753507065"/>
    <x v="2"/>
  </r>
  <r>
    <s v="PROJETADO"/>
    <x v="1"/>
    <x v="3"/>
    <x v="1"/>
    <x v="1"/>
    <x v="2"/>
    <x v="0"/>
    <x v="0"/>
    <x v="11"/>
    <n v="0"/>
    <n v="0"/>
    <n v="5.101"/>
    <n v="4.89696"/>
    <n v="5.101"/>
    <n v="4.89696"/>
    <n v="0"/>
    <s v="CATIVO"/>
    <n v="0"/>
    <n v="0"/>
    <n v="21"/>
    <n v="89"/>
    <n v="0"/>
    <n v="51.27"/>
    <n v="222.31"/>
    <m/>
    <n v="66.787442987613147"/>
    <n v="236.64237028527376"/>
    <n v="0"/>
    <n v="55.821263199999997"/>
    <n v="0"/>
    <n v="61.911819100199843"/>
    <x v="2"/>
  </r>
  <r>
    <s v="Regular"/>
    <x v="1"/>
    <x v="3"/>
    <x v="1"/>
    <x v="1"/>
    <x v="2"/>
    <x v="0"/>
    <x v="1"/>
    <x v="0"/>
    <n v="8254"/>
    <n v="7923.84"/>
    <n v="0"/>
    <n v="0"/>
    <n v="0"/>
    <n v="0"/>
    <n v="44"/>
    <s v="CATIVO"/>
    <n v="0"/>
    <n v="44"/>
    <n v="0"/>
    <n v="0"/>
    <n v="24.31"/>
    <n v="0"/>
    <n v="0"/>
    <n v="27.784726797371405"/>
    <m/>
    <m/>
    <n v="8026.1895999999961"/>
    <n v="0"/>
    <n v="9173.4053994201386"/>
    <n v="0"/>
    <x v="2"/>
  </r>
  <r>
    <s v="Regular"/>
    <x v="1"/>
    <x v="3"/>
    <x v="1"/>
    <x v="1"/>
    <x v="2"/>
    <x v="0"/>
    <x v="1"/>
    <x v="1"/>
    <n v="6368"/>
    <n v="6113.28"/>
    <n v="0"/>
    <n v="0"/>
    <n v="0"/>
    <n v="0"/>
    <n v="43"/>
    <s v="CATIVO"/>
    <n v="0"/>
    <n v="44"/>
    <n v="0"/>
    <n v="0"/>
    <n v="24.31"/>
    <n v="0"/>
    <n v="0"/>
    <n v="27.784726797371405"/>
    <m/>
    <m/>
    <n v="6192.2432000000063"/>
    <n v="0"/>
    <n v="7077.325609826451"/>
    <n v="0"/>
    <x v="2"/>
  </r>
  <r>
    <s v="Sistema de Compensação"/>
    <x v="1"/>
    <x v="3"/>
    <x v="1"/>
    <x v="1"/>
    <x v="2"/>
    <x v="0"/>
    <x v="1"/>
    <x v="1"/>
    <n v="15"/>
    <n v="14.399999999999999"/>
    <n v="0"/>
    <n v="0"/>
    <n v="0"/>
    <n v="0"/>
    <n v="1"/>
    <s v="CATIVO"/>
    <n v="0"/>
    <n v="44"/>
    <n v="0"/>
    <n v="0"/>
    <n v="24.31"/>
    <n v="0"/>
    <n v="0"/>
    <n v="27.784726797371405"/>
    <m/>
    <m/>
    <n v="14.586000000000034"/>
    <n v="0"/>
    <n v="16.670836078422884"/>
    <n v="0"/>
    <x v="2"/>
  </r>
  <r>
    <s v="Regular"/>
    <x v="1"/>
    <x v="3"/>
    <x v="1"/>
    <x v="1"/>
    <x v="2"/>
    <x v="0"/>
    <x v="1"/>
    <x v="2"/>
    <n v="6070"/>
    <n v="5827.2"/>
    <n v="0"/>
    <n v="0"/>
    <n v="0"/>
    <n v="0"/>
    <n v="38"/>
    <s v="CATIVO"/>
    <n v="0"/>
    <n v="44"/>
    <n v="0"/>
    <n v="0"/>
    <n v="24.31"/>
    <n v="0"/>
    <n v="0"/>
    <n v="27.784726797371405"/>
    <m/>
    <m/>
    <n v="5902.4680000000044"/>
    <n v="0"/>
    <n v="6746.1316664017822"/>
    <n v="0"/>
    <x v="2"/>
  </r>
  <r>
    <s v="Sistema de Compensação"/>
    <x v="1"/>
    <x v="3"/>
    <x v="1"/>
    <x v="1"/>
    <x v="2"/>
    <x v="0"/>
    <x v="1"/>
    <x v="2"/>
    <n v="23"/>
    <n v="22.08"/>
    <n v="0"/>
    <n v="0"/>
    <n v="0"/>
    <n v="0"/>
    <n v="1"/>
    <s v="CATIVO"/>
    <n v="0"/>
    <n v="44"/>
    <n v="0"/>
    <n v="0"/>
    <n v="24.31"/>
    <n v="0"/>
    <n v="0"/>
    <n v="27.784726797371405"/>
    <m/>
    <m/>
    <n v="22.365200000000041"/>
    <n v="0"/>
    <n v="25.561948653581741"/>
    <n v="0"/>
    <x v="2"/>
  </r>
  <r>
    <s v="Regular"/>
    <x v="1"/>
    <x v="3"/>
    <x v="1"/>
    <x v="1"/>
    <x v="2"/>
    <x v="0"/>
    <x v="1"/>
    <x v="3"/>
    <n v="5878"/>
    <n v="5642.88"/>
    <n v="0"/>
    <n v="0"/>
    <n v="0"/>
    <n v="0"/>
    <n v="38"/>
    <s v="CATIVO"/>
    <n v="0"/>
    <n v="44"/>
    <n v="0"/>
    <n v="0"/>
    <n v="24.31"/>
    <n v="0"/>
    <n v="0"/>
    <n v="27.784726797371405"/>
    <m/>
    <m/>
    <n v="5715.7671999999966"/>
    <n v="0"/>
    <n v="6532.7449645979614"/>
    <n v="0"/>
    <x v="2"/>
  </r>
  <r>
    <s v="Sistema de Compensação"/>
    <x v="1"/>
    <x v="3"/>
    <x v="1"/>
    <x v="1"/>
    <x v="2"/>
    <x v="0"/>
    <x v="1"/>
    <x v="3"/>
    <n v="17"/>
    <n v="16.32"/>
    <n v="0"/>
    <n v="0"/>
    <n v="0"/>
    <n v="0"/>
    <n v="1"/>
    <s v="CATIVO"/>
    <n v="0"/>
    <n v="44"/>
    <n v="0"/>
    <n v="0"/>
    <n v="24.31"/>
    <n v="0"/>
    <n v="0"/>
    <n v="27.784726797371405"/>
    <m/>
    <m/>
    <n v="16.530799999999992"/>
    <n v="0"/>
    <n v="18.893614222212548"/>
    <n v="0"/>
    <x v="2"/>
  </r>
  <r>
    <s v="Regular"/>
    <x v="1"/>
    <x v="3"/>
    <x v="1"/>
    <x v="1"/>
    <x v="2"/>
    <x v="0"/>
    <x v="1"/>
    <x v="4"/>
    <n v="5723"/>
    <n v="5494.08"/>
    <n v="0"/>
    <n v="0"/>
    <n v="0"/>
    <n v="0"/>
    <n v="35"/>
    <s v="CATIVO"/>
    <n v="0"/>
    <n v="44"/>
    <n v="0"/>
    <n v="0"/>
    <n v="24.31"/>
    <n v="0"/>
    <n v="0"/>
    <n v="27.784726797371405"/>
    <m/>
    <m/>
    <n v="5565.0452000000014"/>
    <n v="0"/>
    <n v="6360.4796584542637"/>
    <n v="0"/>
    <x v="2"/>
  </r>
  <r>
    <s v="Sistema de Compensação"/>
    <x v="1"/>
    <x v="3"/>
    <x v="1"/>
    <x v="1"/>
    <x v="2"/>
    <x v="0"/>
    <x v="1"/>
    <x v="4"/>
    <n v="21"/>
    <n v="20.16"/>
    <n v="0"/>
    <n v="0"/>
    <n v="0"/>
    <n v="0"/>
    <n v="1"/>
    <s v="CATIVO"/>
    <n v="0"/>
    <n v="44"/>
    <n v="0"/>
    <n v="0"/>
    <n v="24.31"/>
    <n v="0"/>
    <n v="0"/>
    <n v="27.784726797371405"/>
    <m/>
    <m/>
    <n v="20.420399999999997"/>
    <n v="0"/>
    <n v="23.339170509791977"/>
    <n v="0"/>
    <x v="2"/>
  </r>
  <r>
    <s v="Regular"/>
    <x v="1"/>
    <x v="3"/>
    <x v="1"/>
    <x v="1"/>
    <x v="2"/>
    <x v="0"/>
    <x v="1"/>
    <x v="5"/>
    <n v="7080"/>
    <n v="6796.8"/>
    <n v="0"/>
    <n v="0"/>
    <n v="0"/>
    <n v="0"/>
    <n v="39"/>
    <s v="CATIVO"/>
    <n v="0"/>
    <n v="44"/>
    <n v="0"/>
    <n v="0"/>
    <n v="24.31"/>
    <n v="0"/>
    <n v="0"/>
    <n v="27.784726797371405"/>
    <m/>
    <m/>
    <n v="6884.5919999999951"/>
    <n v="0"/>
    <n v="7868.634629015577"/>
    <n v="0"/>
    <x v="2"/>
  </r>
  <r>
    <s v="Sistema de Compensação"/>
    <x v="1"/>
    <x v="3"/>
    <x v="1"/>
    <x v="1"/>
    <x v="2"/>
    <x v="0"/>
    <x v="1"/>
    <x v="5"/>
    <n v="44"/>
    <n v="42.239999999999995"/>
    <n v="0"/>
    <n v="0"/>
    <n v="0"/>
    <n v="0"/>
    <n v="1"/>
    <s v="CATIVO"/>
    <n v="0"/>
    <n v="44"/>
    <n v="0"/>
    <n v="0"/>
    <n v="24.31"/>
    <n v="0"/>
    <n v="0"/>
    <n v="27.784726797371405"/>
    <m/>
    <m/>
    <n v="42.785600000000123"/>
    <n v="0"/>
    <n v="48.901119163373814"/>
    <n v="0"/>
    <x v="2"/>
  </r>
  <r>
    <s v="Regular"/>
    <x v="1"/>
    <x v="3"/>
    <x v="1"/>
    <x v="1"/>
    <x v="2"/>
    <x v="0"/>
    <x v="1"/>
    <x v="6"/>
    <n v="8127"/>
    <n v="7801.92"/>
    <n v="0"/>
    <n v="0"/>
    <n v="0"/>
    <n v="0"/>
    <n v="44"/>
    <s v="CATIVO"/>
    <n v="0"/>
    <n v="44"/>
    <n v="0"/>
    <n v="0"/>
    <n v="24.31"/>
    <n v="0"/>
    <n v="0"/>
    <n v="27.784726797371405"/>
    <m/>
    <m/>
    <n v="7902.6947999999975"/>
    <n v="0"/>
    <n v="9032.2589872894951"/>
    <n v="0"/>
    <x v="2"/>
  </r>
  <r>
    <s v="Sistema de Compensação"/>
    <x v="1"/>
    <x v="3"/>
    <x v="1"/>
    <x v="1"/>
    <x v="2"/>
    <x v="0"/>
    <x v="1"/>
    <x v="6"/>
    <n v="47"/>
    <n v="45.12"/>
    <n v="0"/>
    <n v="0"/>
    <n v="0"/>
    <n v="0"/>
    <n v="1"/>
    <s v="CATIVO"/>
    <n v="0"/>
    <n v="44"/>
    <n v="0"/>
    <n v="0"/>
    <n v="24.31"/>
    <n v="0"/>
    <n v="0"/>
    <n v="27.784726797371405"/>
    <m/>
    <m/>
    <n v="45.70280000000006"/>
    <n v="0"/>
    <n v="52.235286379058316"/>
    <n v="0"/>
    <x v="2"/>
  </r>
  <r>
    <s v="Regular"/>
    <x v="1"/>
    <x v="3"/>
    <x v="1"/>
    <x v="1"/>
    <x v="2"/>
    <x v="0"/>
    <x v="1"/>
    <x v="7"/>
    <n v="8205"/>
    <n v="7876.7999999999993"/>
    <n v="0"/>
    <n v="0"/>
    <n v="0"/>
    <n v="0"/>
    <n v="45"/>
    <s v="CATIVO"/>
    <n v="0"/>
    <n v="44"/>
    <n v="0"/>
    <n v="0"/>
    <n v="24.31"/>
    <n v="0"/>
    <n v="0"/>
    <n v="27.784726797371405"/>
    <m/>
    <m/>
    <n v="7978.5420000000177"/>
    <n v="0"/>
    <n v="9118.9473348973152"/>
    <n v="0"/>
    <x v="2"/>
  </r>
  <r>
    <s v="Sistema de Compensação"/>
    <x v="1"/>
    <x v="3"/>
    <x v="1"/>
    <x v="1"/>
    <x v="2"/>
    <x v="0"/>
    <x v="1"/>
    <x v="7"/>
    <n v="63"/>
    <n v="60.48"/>
    <n v="0"/>
    <n v="0"/>
    <n v="0"/>
    <n v="0"/>
    <n v="1"/>
    <s v="CATIVO"/>
    <n v="0"/>
    <n v="44"/>
    <n v="0"/>
    <n v="0"/>
    <n v="24.31"/>
    <n v="0"/>
    <n v="0"/>
    <n v="27.784726797371405"/>
    <m/>
    <m/>
    <n v="61.261200000000073"/>
    <n v="0"/>
    <n v="70.017511529376023"/>
    <n v="0"/>
    <x v="2"/>
  </r>
  <r>
    <s v="Regular"/>
    <x v="1"/>
    <x v="3"/>
    <x v="1"/>
    <x v="1"/>
    <x v="2"/>
    <x v="0"/>
    <x v="1"/>
    <x v="8"/>
    <n v="8108"/>
    <n v="7783.6799999999994"/>
    <n v="0"/>
    <n v="0"/>
    <n v="0"/>
    <n v="0"/>
    <n v="48"/>
    <s v="CATIVO"/>
    <n v="0"/>
    <n v="44"/>
    <n v="0"/>
    <n v="0"/>
    <n v="24.31"/>
    <n v="0"/>
    <n v="0"/>
    <n v="27.784726797371405"/>
    <m/>
    <m/>
    <n v="7884.219200000015"/>
    <n v="0"/>
    <n v="9011.1425949235108"/>
    <n v="0"/>
    <x v="2"/>
  </r>
  <r>
    <s v="Sistema de Compensação"/>
    <x v="1"/>
    <x v="3"/>
    <x v="1"/>
    <x v="1"/>
    <x v="2"/>
    <x v="0"/>
    <x v="1"/>
    <x v="8"/>
    <n v="61"/>
    <n v="58.559999999999995"/>
    <n v="0"/>
    <n v="0"/>
    <n v="0"/>
    <n v="0"/>
    <n v="1"/>
    <s v="CATIVO"/>
    <n v="0"/>
    <n v="44"/>
    <n v="0"/>
    <n v="0"/>
    <n v="24.31"/>
    <n v="0"/>
    <n v="0"/>
    <n v="27.784726797371405"/>
    <m/>
    <m/>
    <n v="59.316400000000115"/>
    <n v="0"/>
    <n v="67.794733385586369"/>
    <n v="0"/>
    <x v="2"/>
  </r>
  <r>
    <s v="Regular"/>
    <x v="1"/>
    <x v="3"/>
    <x v="1"/>
    <x v="1"/>
    <x v="2"/>
    <x v="0"/>
    <x v="1"/>
    <x v="9"/>
    <n v="6058"/>
    <n v="5815.6799999999994"/>
    <n v="0"/>
    <n v="0"/>
    <n v="0"/>
    <n v="0"/>
    <n v="49"/>
    <s v="CATIVO"/>
    <n v="0"/>
    <n v="44"/>
    <n v="0"/>
    <n v="0"/>
    <n v="24.31"/>
    <n v="0"/>
    <n v="0"/>
    <n v="27.784726797371405"/>
    <m/>
    <m/>
    <n v="5890.7992000000149"/>
    <n v="0"/>
    <n v="6732.7949975390566"/>
    <n v="0"/>
    <x v="2"/>
  </r>
  <r>
    <s v="Refaturamento - Regular"/>
    <x v="1"/>
    <x v="3"/>
    <x v="1"/>
    <x v="1"/>
    <x v="2"/>
    <x v="0"/>
    <x v="1"/>
    <x v="9"/>
    <n v="611"/>
    <n v="586.55999999999995"/>
    <n v="0"/>
    <n v="0"/>
    <n v="0"/>
    <n v="0"/>
    <n v="3"/>
    <s v="CATIVO"/>
    <n v="0"/>
    <n v="44"/>
    <n v="0"/>
    <n v="0"/>
    <n v="24.31"/>
    <n v="0"/>
    <n v="0"/>
    <n v="27.784726797371405"/>
    <m/>
    <m/>
    <n v="594.13640000000134"/>
    <n v="0"/>
    <n v="679.05872292775871"/>
    <n v="0"/>
    <x v="2"/>
  </r>
  <r>
    <s v="Sistema de Compensação"/>
    <x v="1"/>
    <x v="3"/>
    <x v="1"/>
    <x v="1"/>
    <x v="2"/>
    <x v="0"/>
    <x v="1"/>
    <x v="9"/>
    <n v="61"/>
    <n v="58.559999999999995"/>
    <n v="0"/>
    <n v="0"/>
    <n v="0"/>
    <n v="0"/>
    <n v="1"/>
    <s v="CATIVO"/>
    <n v="0"/>
    <n v="44"/>
    <n v="0"/>
    <n v="0"/>
    <n v="24.31"/>
    <n v="0"/>
    <n v="0"/>
    <n v="27.784726797371405"/>
    <m/>
    <m/>
    <n v="59.316400000000115"/>
    <n v="0"/>
    <n v="67.794733385586369"/>
    <n v="0"/>
    <x v="2"/>
  </r>
  <r>
    <s v="Regular"/>
    <x v="1"/>
    <x v="3"/>
    <x v="1"/>
    <x v="1"/>
    <x v="2"/>
    <x v="0"/>
    <x v="1"/>
    <x v="10"/>
    <n v="8919"/>
    <n v="8562.24"/>
    <n v="0"/>
    <n v="0"/>
    <n v="0"/>
    <n v="0"/>
    <n v="52"/>
    <s v="CATIVO"/>
    <n v="0"/>
    <n v="44"/>
    <n v="0"/>
    <n v="0"/>
    <n v="24.31"/>
    <n v="0"/>
    <n v="0"/>
    <n v="27.784726797371405"/>
    <m/>
    <m/>
    <n v="8672.835600000004"/>
    <n v="0"/>
    <n v="9912.4791322302281"/>
    <n v="0"/>
    <x v="2"/>
  </r>
  <r>
    <s v="Refaturamento - Regular"/>
    <x v="1"/>
    <x v="3"/>
    <x v="1"/>
    <x v="1"/>
    <x v="2"/>
    <x v="0"/>
    <x v="1"/>
    <x v="10"/>
    <n v="37"/>
    <n v="35.519999999999996"/>
    <n v="0"/>
    <n v="0"/>
    <n v="0"/>
    <n v="0"/>
    <n v="0"/>
    <s v="CATIVO"/>
    <n v="0"/>
    <n v="44"/>
    <n v="0"/>
    <n v="0"/>
    <n v="24.31"/>
    <n v="0"/>
    <n v="0"/>
    <n v="27.784726797371405"/>
    <m/>
    <m/>
    <n v="35.978800000000092"/>
    <n v="0"/>
    <n v="41.121395660109791"/>
    <n v="0"/>
    <x v="2"/>
  </r>
  <r>
    <s v="Sistema de Compensação"/>
    <x v="1"/>
    <x v="3"/>
    <x v="1"/>
    <x v="1"/>
    <x v="2"/>
    <x v="0"/>
    <x v="1"/>
    <x v="10"/>
    <n v="59"/>
    <n v="56.64"/>
    <n v="0"/>
    <n v="0"/>
    <n v="0"/>
    <n v="0"/>
    <n v="1"/>
    <s v="CATIVO"/>
    <n v="0"/>
    <n v="44"/>
    <n v="0"/>
    <n v="0"/>
    <n v="24.31"/>
    <n v="0"/>
    <n v="0"/>
    <n v="27.784726797371405"/>
    <m/>
    <m/>
    <n v="57.371599999999987"/>
    <n v="0"/>
    <n v="65.571955241796502"/>
    <n v="0"/>
    <x v="2"/>
  </r>
  <r>
    <s v="PROJETADO"/>
    <x v="1"/>
    <x v="3"/>
    <x v="1"/>
    <x v="1"/>
    <x v="2"/>
    <x v="0"/>
    <x v="1"/>
    <x v="11"/>
    <n v="8919"/>
    <n v="8562.24"/>
    <n v="0"/>
    <n v="0"/>
    <n v="0"/>
    <n v="0"/>
    <n v="52"/>
    <s v="CATIVO"/>
    <n v="0"/>
    <n v="44"/>
    <n v="0"/>
    <n v="0"/>
    <n v="24.31"/>
    <n v="0"/>
    <n v="0"/>
    <n v="27.784726797371405"/>
    <m/>
    <m/>
    <n v="8672.835600000004"/>
    <n v="0"/>
    <n v="9912.4791322302281"/>
    <n v="0"/>
    <x v="2"/>
  </r>
  <r>
    <s v="PROJETADO"/>
    <x v="1"/>
    <x v="3"/>
    <x v="1"/>
    <x v="1"/>
    <x v="2"/>
    <x v="0"/>
    <x v="1"/>
    <x v="11"/>
    <n v="37"/>
    <n v="35.519999999999996"/>
    <n v="0"/>
    <n v="0"/>
    <n v="0"/>
    <n v="0"/>
    <n v="0"/>
    <s v="CATIVO"/>
    <n v="0"/>
    <n v="44"/>
    <n v="0"/>
    <n v="0"/>
    <n v="24.31"/>
    <n v="0"/>
    <n v="0"/>
    <n v="27.784726797371405"/>
    <m/>
    <m/>
    <n v="35.978800000000092"/>
    <n v="0"/>
    <n v="41.121395660109791"/>
    <n v="0"/>
    <x v="2"/>
  </r>
  <r>
    <s v="PROJETADO"/>
    <x v="1"/>
    <x v="3"/>
    <x v="1"/>
    <x v="1"/>
    <x v="2"/>
    <x v="0"/>
    <x v="1"/>
    <x v="11"/>
    <n v="59"/>
    <n v="56.64"/>
    <n v="0"/>
    <n v="0"/>
    <n v="0"/>
    <n v="0"/>
    <n v="1"/>
    <s v="CATIVO"/>
    <n v="0"/>
    <n v="44"/>
    <n v="0"/>
    <n v="0"/>
    <n v="24.31"/>
    <n v="0"/>
    <n v="0"/>
    <n v="27.784726797371405"/>
    <m/>
    <m/>
    <n v="57.371599999999987"/>
    <n v="0"/>
    <n v="65.571955241796502"/>
    <n v="0"/>
    <x v="2"/>
  </r>
  <r>
    <s v="Regular"/>
    <x v="1"/>
    <x v="3"/>
    <x v="1"/>
    <x v="1"/>
    <x v="2"/>
    <x v="0"/>
    <x v="2"/>
    <x v="0"/>
    <n v="0"/>
    <n v="0"/>
    <n v="14.07"/>
    <n v="13.507199999999999"/>
    <n v="14.07"/>
    <n v="13.507199999999999"/>
    <n v="0"/>
    <s v="CATIVO"/>
    <n v="0"/>
    <n v="0"/>
    <n v="20"/>
    <n v="88"/>
    <n v="0"/>
    <n v="1564.59"/>
    <n v="365.5"/>
    <m/>
    <n v="1922.323293423678"/>
    <n v="382.75425465660959"/>
    <n v="0"/>
    <n v="1086.2546520000021"/>
    <n v="0"/>
    <n v="1297.2976440595883"/>
    <x v="2"/>
  </r>
  <r>
    <s v="Regular"/>
    <x v="1"/>
    <x v="3"/>
    <x v="1"/>
    <x v="1"/>
    <x v="2"/>
    <x v="0"/>
    <x v="2"/>
    <x v="1"/>
    <n v="0"/>
    <n v="0"/>
    <n v="9.2910000000000004"/>
    <n v="8.9193599999999993"/>
    <n v="9.2910000000000004"/>
    <n v="8.9193599999999993"/>
    <n v="0"/>
    <s v="CATIVO"/>
    <n v="0"/>
    <n v="0"/>
    <n v="20"/>
    <n v="88"/>
    <n v="0"/>
    <n v="1564.59"/>
    <n v="365.5"/>
    <m/>
    <n v="1922.323293423678"/>
    <n v="382.75425465660959"/>
    <n v="0"/>
    <n v="717.29864760000203"/>
    <n v="0"/>
    <n v="856.65901996856064"/>
    <x v="2"/>
  </r>
  <r>
    <s v="Regular"/>
    <x v="1"/>
    <x v="3"/>
    <x v="1"/>
    <x v="1"/>
    <x v="2"/>
    <x v="0"/>
    <x v="2"/>
    <x v="2"/>
    <n v="0"/>
    <n v="0"/>
    <n v="8.5730000000000004"/>
    <n v="8.2300799999999992"/>
    <n v="8.5730000000000004"/>
    <n v="8.2300799999999992"/>
    <n v="0"/>
    <s v="CATIVO"/>
    <n v="0"/>
    <n v="0"/>
    <n v="20"/>
    <n v="88"/>
    <n v="0"/>
    <n v="1564.59"/>
    <n v="365.5"/>
    <m/>
    <n v="1922.323293423678"/>
    <n v="382.75425465660959"/>
    <n v="0"/>
    <n v="661.86646280000241"/>
    <n v="0"/>
    <n v="790.45719278769502"/>
    <x v="2"/>
  </r>
  <r>
    <s v="Regular"/>
    <x v="1"/>
    <x v="3"/>
    <x v="1"/>
    <x v="1"/>
    <x v="2"/>
    <x v="0"/>
    <x v="2"/>
    <x v="3"/>
    <n v="0"/>
    <n v="0"/>
    <n v="7.2220000000000004"/>
    <n v="6.9331199999999997"/>
    <n v="7.2220000000000004"/>
    <n v="6.9331199999999997"/>
    <n v="0"/>
    <s v="CATIVO"/>
    <n v="0"/>
    <n v="0"/>
    <n v="20"/>
    <n v="88"/>
    <n v="0"/>
    <n v="1564.59"/>
    <n v="365.5"/>
    <m/>
    <n v="1922.323293423678"/>
    <n v="382.75425465660959"/>
    <n v="0"/>
    <n v="557.56439920000128"/>
    <n v="0"/>
    <n v="665.89080208943506"/>
    <x v="2"/>
  </r>
  <r>
    <s v="Regular"/>
    <x v="1"/>
    <x v="3"/>
    <x v="1"/>
    <x v="1"/>
    <x v="2"/>
    <x v="0"/>
    <x v="2"/>
    <x v="4"/>
    <n v="0"/>
    <n v="0"/>
    <n v="8.3740000000000006"/>
    <n v="8.03904"/>
    <n v="8.3740000000000006"/>
    <n v="8.03904"/>
    <n v="0"/>
    <s v="CATIVO"/>
    <n v="0"/>
    <n v="0"/>
    <n v="20"/>
    <n v="88"/>
    <n v="0"/>
    <n v="1564.59"/>
    <n v="365.5"/>
    <m/>
    <n v="1922.323293423678"/>
    <n v="382.75425465660959"/>
    <n v="0"/>
    <n v="646.50294640000106"/>
    <n v="0"/>
    <n v="772.10877550497446"/>
    <x v="2"/>
  </r>
  <r>
    <s v="Regular"/>
    <x v="1"/>
    <x v="3"/>
    <x v="1"/>
    <x v="1"/>
    <x v="2"/>
    <x v="0"/>
    <x v="2"/>
    <x v="5"/>
    <n v="0"/>
    <n v="0"/>
    <n v="14.097"/>
    <n v="13.53312"/>
    <n v="14.097"/>
    <n v="13.53312"/>
    <n v="0"/>
    <s v="CATIVO"/>
    <n v="0"/>
    <n v="0"/>
    <n v="20"/>
    <n v="88"/>
    <n v="0"/>
    <n v="1564.59"/>
    <n v="365.5"/>
    <m/>
    <n v="1922.323293423678"/>
    <n v="382.75425465660959"/>
    <n v="0"/>
    <n v="1088.3391491999985"/>
    <n v="0"/>
    <n v="1299.7871278115108"/>
    <x v="2"/>
  </r>
  <r>
    <s v="Refaturamento - Regular"/>
    <x v="1"/>
    <x v="3"/>
    <x v="1"/>
    <x v="1"/>
    <x v="2"/>
    <x v="0"/>
    <x v="2"/>
    <x v="5"/>
    <n v="0"/>
    <n v="0"/>
    <n v="0.94599999999999995"/>
    <n v="0.90815999999999997"/>
    <n v="0.94599999999999995"/>
    <n v="0.90815999999999997"/>
    <n v="0"/>
    <s v="CATIVO"/>
    <n v="0"/>
    <n v="0"/>
    <n v="20"/>
    <n v="88"/>
    <n v="0"/>
    <n v="1564.59"/>
    <n v="365.5"/>
    <m/>
    <n v="1922.323293423678"/>
    <n v="382.75425465660959"/>
    <n v="0"/>
    <n v="73.034605599999963"/>
    <n v="0"/>
    <n v="87.224134419358052"/>
    <x v="2"/>
  </r>
  <r>
    <s v="Regular"/>
    <x v="1"/>
    <x v="3"/>
    <x v="1"/>
    <x v="1"/>
    <x v="2"/>
    <x v="0"/>
    <x v="2"/>
    <x v="6"/>
    <n v="0"/>
    <n v="0"/>
    <n v="14.898"/>
    <n v="14.30208"/>
    <n v="14.898"/>
    <n v="14.30208"/>
    <n v="0"/>
    <s v="CATIVO"/>
    <n v="0"/>
    <n v="0"/>
    <n v="20"/>
    <n v="88"/>
    <n v="0"/>
    <n v="1564.59"/>
    <n v="365.5"/>
    <m/>
    <n v="1922.323293423678"/>
    <n v="382.75425465660959"/>
    <n v="0"/>
    <n v="1150.179232799999"/>
    <n v="0"/>
    <n v="1373.6418124520042"/>
    <x v="2"/>
  </r>
  <r>
    <s v="Regular"/>
    <x v="1"/>
    <x v="3"/>
    <x v="1"/>
    <x v="1"/>
    <x v="2"/>
    <x v="0"/>
    <x v="2"/>
    <x v="7"/>
    <n v="0"/>
    <n v="0"/>
    <n v="17.111999999999998"/>
    <n v="16.427519999999998"/>
    <n v="17.111999999999998"/>
    <n v="16.427519999999998"/>
    <n v="0"/>
    <s v="CATIVO"/>
    <n v="0"/>
    <n v="0"/>
    <n v="20"/>
    <n v="88"/>
    <n v="0"/>
    <n v="1564.59"/>
    <n v="365.5"/>
    <m/>
    <n v="1922.323293423678"/>
    <n v="382.75425465660959"/>
    <n v="0"/>
    <n v="1321.1080032000011"/>
    <n v="0"/>
    <n v="1577.7794801099967"/>
    <x v="2"/>
  </r>
  <r>
    <s v="Regular"/>
    <x v="1"/>
    <x v="3"/>
    <x v="1"/>
    <x v="1"/>
    <x v="2"/>
    <x v="0"/>
    <x v="2"/>
    <x v="8"/>
    <n v="0"/>
    <n v="0"/>
    <n v="16.388999999999999"/>
    <n v="15.733439999999998"/>
    <n v="16.388999999999999"/>
    <n v="15.733439999999998"/>
    <n v="0"/>
    <s v="CATIVO"/>
    <n v="0"/>
    <n v="0"/>
    <n v="20"/>
    <n v="88"/>
    <n v="0"/>
    <n v="1564.59"/>
    <n v="365.5"/>
    <m/>
    <n v="1922.323293423678"/>
    <n v="382.75425465660959"/>
    <n v="0"/>
    <n v="1265.2898004000024"/>
    <n v="0"/>
    <n v="1511.1166374195161"/>
    <x v="2"/>
  </r>
  <r>
    <s v="Regular"/>
    <x v="1"/>
    <x v="3"/>
    <x v="1"/>
    <x v="1"/>
    <x v="2"/>
    <x v="0"/>
    <x v="2"/>
    <x v="9"/>
    <n v="0"/>
    <n v="0"/>
    <n v="18.425999999999998"/>
    <n v="17.688959999999998"/>
    <n v="18.425999999999998"/>
    <n v="17.688959999999998"/>
    <n v="0"/>
    <s v="CATIVO"/>
    <n v="0"/>
    <n v="0"/>
    <n v="20"/>
    <n v="88"/>
    <n v="0"/>
    <n v="1564.59"/>
    <n v="365.5"/>
    <m/>
    <n v="1922.323293423678"/>
    <n v="382.75425465660959"/>
    <n v="0"/>
    <n v="1422.5535336000005"/>
    <n v="0"/>
    <n v="1698.934356037096"/>
    <x v="2"/>
  </r>
  <r>
    <s v="Refaturamento - Regular"/>
    <x v="1"/>
    <x v="3"/>
    <x v="1"/>
    <x v="1"/>
    <x v="2"/>
    <x v="0"/>
    <x v="2"/>
    <x v="9"/>
    <n v="0"/>
    <n v="0"/>
    <n v="0.2"/>
    <n v="0.192"/>
    <n v="0.2"/>
    <n v="0.192"/>
    <n v="0"/>
    <s v="CATIVO"/>
    <n v="0"/>
    <n v="0"/>
    <n v="20"/>
    <n v="88"/>
    <n v="0"/>
    <n v="1564.59"/>
    <n v="365.5"/>
    <m/>
    <n v="1922.323293423678"/>
    <n v="382.75425465660959"/>
    <n v="0"/>
    <n v="15.440720000000013"/>
    <n v="0"/>
    <n v="18.440620384642319"/>
    <x v="2"/>
  </r>
  <r>
    <s v="Sistema de Compensação"/>
    <x v="1"/>
    <x v="3"/>
    <x v="1"/>
    <x v="1"/>
    <x v="2"/>
    <x v="0"/>
    <x v="2"/>
    <x v="9"/>
    <n v="0"/>
    <n v="0"/>
    <n v="0.25700000000000001"/>
    <n v="0.24671999999999999"/>
    <n v="0.25700000000000001"/>
    <n v="0.24671999999999999"/>
    <n v="0"/>
    <s v="CATIVO"/>
    <n v="0"/>
    <n v="0"/>
    <n v="20"/>
    <n v="88"/>
    <n v="0"/>
    <n v="1564.59"/>
    <n v="365.5"/>
    <m/>
    <n v="1922.323293423678"/>
    <n v="382.75425465660959"/>
    <n v="0"/>
    <n v="19.841325200000021"/>
    <n v="0"/>
    <n v="23.696197194265384"/>
    <x v="2"/>
  </r>
  <r>
    <s v="Regular"/>
    <x v="1"/>
    <x v="3"/>
    <x v="1"/>
    <x v="1"/>
    <x v="2"/>
    <x v="0"/>
    <x v="2"/>
    <x v="10"/>
    <n v="0"/>
    <n v="0"/>
    <n v="16.137"/>
    <n v="15.49152"/>
    <n v="16.137"/>
    <n v="15.49152"/>
    <n v="0"/>
    <s v="CATIVO"/>
    <n v="0"/>
    <n v="0"/>
    <n v="20"/>
    <n v="88"/>
    <n v="0"/>
    <n v="1564.59"/>
    <n v="365.5"/>
    <m/>
    <n v="1922.323293423678"/>
    <n v="382.75425465660959"/>
    <n v="0"/>
    <n v="1245.8344932000018"/>
    <n v="0"/>
    <n v="1487.8814557348662"/>
    <x v="2"/>
  </r>
  <r>
    <s v="Refaturamento - Regular"/>
    <x v="1"/>
    <x v="3"/>
    <x v="1"/>
    <x v="1"/>
    <x v="2"/>
    <x v="0"/>
    <x v="2"/>
    <x v="10"/>
    <n v="0"/>
    <n v="0"/>
    <n v="8.2000000000000003E-2"/>
    <n v="7.8719999999999998E-2"/>
    <n v="8.2000000000000003E-2"/>
    <n v="7.8719999999999998E-2"/>
    <n v="0"/>
    <s v="CATIVO"/>
    <n v="0"/>
    <n v="0"/>
    <n v="20"/>
    <n v="88"/>
    <n v="0"/>
    <n v="1564.59"/>
    <n v="365.5"/>
    <m/>
    <n v="1922.323293423678"/>
    <n v="382.75425465660959"/>
    <n v="0"/>
    <n v="6.3306952000000098"/>
    <n v="0"/>
    <n v="7.5606543577033554"/>
    <x v="2"/>
  </r>
  <r>
    <s v="Sistema de Compensação"/>
    <x v="1"/>
    <x v="3"/>
    <x v="1"/>
    <x v="1"/>
    <x v="2"/>
    <x v="0"/>
    <x v="2"/>
    <x v="10"/>
    <n v="0"/>
    <n v="0"/>
    <n v="0.38"/>
    <n v="0.36480000000000001"/>
    <n v="0.38"/>
    <n v="0.36480000000000001"/>
    <n v="0"/>
    <s v="CATIVO"/>
    <n v="0"/>
    <n v="0"/>
    <n v="20"/>
    <n v="88"/>
    <n v="0"/>
    <n v="1564.59"/>
    <n v="365.5"/>
    <m/>
    <n v="1922.323293423678"/>
    <n v="382.75425465660959"/>
    <n v="0"/>
    <n v="29.337367999999984"/>
    <n v="0"/>
    <n v="35.037178730820351"/>
    <x v="2"/>
  </r>
  <r>
    <s v="PROJETADO"/>
    <x v="1"/>
    <x v="3"/>
    <x v="1"/>
    <x v="1"/>
    <x v="2"/>
    <x v="0"/>
    <x v="2"/>
    <x v="11"/>
    <n v="0"/>
    <n v="0"/>
    <n v="16.137"/>
    <n v="15.49152"/>
    <n v="16.137"/>
    <n v="15.49152"/>
    <n v="0"/>
    <s v="CATIVO"/>
    <n v="0"/>
    <n v="0"/>
    <n v="20"/>
    <n v="88"/>
    <n v="0"/>
    <n v="1564.59"/>
    <n v="365.5"/>
    <m/>
    <n v="1922.323293423678"/>
    <n v="382.75425465660959"/>
    <n v="0"/>
    <n v="1245.8344932000018"/>
    <n v="0"/>
    <n v="1487.8814557348662"/>
    <x v="2"/>
  </r>
  <r>
    <s v="PROJETADO"/>
    <x v="1"/>
    <x v="3"/>
    <x v="1"/>
    <x v="1"/>
    <x v="2"/>
    <x v="0"/>
    <x v="2"/>
    <x v="11"/>
    <n v="0"/>
    <n v="0"/>
    <n v="8.2000000000000003E-2"/>
    <n v="7.8719999999999998E-2"/>
    <n v="8.2000000000000003E-2"/>
    <n v="7.8719999999999998E-2"/>
    <n v="0"/>
    <s v="CATIVO"/>
    <n v="0"/>
    <n v="0"/>
    <n v="20"/>
    <n v="88"/>
    <n v="0"/>
    <n v="1564.59"/>
    <n v="365.5"/>
    <m/>
    <n v="1922.323293423678"/>
    <n v="382.75425465660959"/>
    <n v="0"/>
    <n v="6.3306952000000098"/>
    <n v="0"/>
    <n v="7.5606543577033554"/>
    <x v="2"/>
  </r>
  <r>
    <s v="PROJETADO"/>
    <x v="1"/>
    <x v="3"/>
    <x v="1"/>
    <x v="1"/>
    <x v="2"/>
    <x v="0"/>
    <x v="2"/>
    <x v="11"/>
    <n v="0"/>
    <n v="0"/>
    <n v="0.38"/>
    <n v="0.36480000000000001"/>
    <n v="0.38"/>
    <n v="0.36480000000000001"/>
    <n v="0"/>
    <s v="CATIVO"/>
    <n v="0"/>
    <n v="0"/>
    <n v="20"/>
    <n v="88"/>
    <n v="0"/>
    <n v="1564.59"/>
    <n v="365.5"/>
    <m/>
    <n v="1922.323293423678"/>
    <n v="382.75425465660959"/>
    <n v="0"/>
    <n v="29.337367999999984"/>
    <n v="0"/>
    <n v="35.037178730820351"/>
    <x v="2"/>
  </r>
  <r>
    <s v="Regular"/>
    <x v="1"/>
    <x v="3"/>
    <x v="1"/>
    <x v="0"/>
    <x v="2"/>
    <x v="0"/>
    <x v="0"/>
    <x v="0"/>
    <n v="0"/>
    <n v="0"/>
    <n v="1374.3910000000001"/>
    <n v="1319.41536"/>
    <n v="1374.3910000000001"/>
    <n v="1319.41536"/>
    <n v="0"/>
    <s v="CATIVO"/>
    <n v="0"/>
    <n v="0"/>
    <n v="21"/>
    <n v="89"/>
    <n v="0"/>
    <n v="51.27"/>
    <n v="222.31"/>
    <m/>
    <n v="66.787442987613147"/>
    <n v="236.64237028527376"/>
    <n v="0"/>
    <n v="15040.235591200031"/>
    <n v="0"/>
    <n v="16681.248179757487"/>
    <x v="2"/>
  </r>
  <r>
    <s v="Regular"/>
    <x v="1"/>
    <x v="3"/>
    <x v="1"/>
    <x v="0"/>
    <x v="2"/>
    <x v="0"/>
    <x v="0"/>
    <x v="1"/>
    <n v="0"/>
    <n v="0"/>
    <n v="782.78499999999997"/>
    <n v="751.47360000000003"/>
    <n v="782.78499999999997"/>
    <n v="751.47360000000003"/>
    <n v="0"/>
    <s v="CATIVO"/>
    <n v="0"/>
    <n v="0"/>
    <n v="21"/>
    <n v="89"/>
    <n v="0"/>
    <n v="51.27"/>
    <n v="222.31"/>
    <m/>
    <n v="66.787442987613147"/>
    <n v="236.64237028527376"/>
    <n v="0"/>
    <n v="8566.1728119999825"/>
    <n v="0"/>
    <n v="9500.8122553126504"/>
    <x v="2"/>
  </r>
  <r>
    <s v="Refaturamento - Regular"/>
    <x v="1"/>
    <x v="3"/>
    <x v="1"/>
    <x v="0"/>
    <x v="2"/>
    <x v="0"/>
    <x v="0"/>
    <x v="1"/>
    <n v="0"/>
    <n v="0"/>
    <n v="0.96"/>
    <n v="0.92159999999999997"/>
    <n v="0.96"/>
    <n v="0.92159999999999997"/>
    <n v="0"/>
    <s v="CATIVO"/>
    <n v="0"/>
    <n v="0"/>
    <n v="21"/>
    <n v="89"/>
    <n v="0"/>
    <n v="51.27"/>
    <n v="222.31"/>
    <m/>
    <n v="66.787442987613147"/>
    <n v="236.64237028527376"/>
    <n v="0"/>
    <n v="10.505471999999997"/>
    <n v="0"/>
    <n v="11.651704829678854"/>
    <x v="2"/>
  </r>
  <r>
    <s v="Sistema de Compensação"/>
    <x v="1"/>
    <x v="3"/>
    <x v="1"/>
    <x v="0"/>
    <x v="2"/>
    <x v="0"/>
    <x v="0"/>
    <x v="1"/>
    <n v="0"/>
    <n v="0"/>
    <n v="19.867999999999999"/>
    <n v="19.07328"/>
    <n v="19.867999999999999"/>
    <n v="19.07328"/>
    <n v="0"/>
    <s v="CATIVO"/>
    <n v="0"/>
    <n v="0"/>
    <n v="21"/>
    <n v="89"/>
    <n v="0"/>
    <n v="51.27"/>
    <n v="222.31"/>
    <m/>
    <n v="66.787442987613147"/>
    <n v="236.64237028527376"/>
    <n v="0"/>
    <n v="217.41949759999949"/>
    <n v="0"/>
    <n v="241.14174120422808"/>
    <x v="2"/>
  </r>
  <r>
    <s v="Regular"/>
    <x v="1"/>
    <x v="3"/>
    <x v="1"/>
    <x v="0"/>
    <x v="2"/>
    <x v="0"/>
    <x v="0"/>
    <x v="2"/>
    <n v="0"/>
    <n v="0"/>
    <n v="797.85900000000004"/>
    <n v="765.94464000000005"/>
    <n v="797.85900000000004"/>
    <n v="765.94464000000005"/>
    <n v="0"/>
    <s v="CATIVO"/>
    <n v="0"/>
    <n v="0"/>
    <n v="21"/>
    <n v="89"/>
    <n v="0"/>
    <n v="51.27"/>
    <n v="222.31"/>
    <m/>
    <n v="66.787442987613147"/>
    <n v="236.64237028527376"/>
    <n v="0"/>
    <n v="8731.1306087999965"/>
    <n v="0"/>
    <n v="9683.7682955236869"/>
    <x v="2"/>
  </r>
  <r>
    <s v="Sistema de Compensação"/>
    <x v="1"/>
    <x v="3"/>
    <x v="1"/>
    <x v="0"/>
    <x v="2"/>
    <x v="0"/>
    <x v="0"/>
    <x v="2"/>
    <n v="0"/>
    <n v="0"/>
    <n v="18.321000000000002"/>
    <n v="17.588159999999998"/>
    <n v="18.321000000000002"/>
    <n v="17.588159999999998"/>
    <n v="0"/>
    <s v="CATIVO"/>
    <n v="0"/>
    <n v="0"/>
    <n v="21"/>
    <n v="89"/>
    <n v="0"/>
    <n v="51.27"/>
    <n v="222.31"/>
    <m/>
    <n v="66.787442987613147"/>
    <n v="236.64237028527376"/>
    <n v="0"/>
    <n v="200.49036720000083"/>
    <n v="0"/>
    <n v="222.36550435890337"/>
    <x v="2"/>
  </r>
  <r>
    <s v="Regular"/>
    <x v="1"/>
    <x v="3"/>
    <x v="1"/>
    <x v="0"/>
    <x v="2"/>
    <x v="0"/>
    <x v="0"/>
    <x v="3"/>
    <n v="0"/>
    <n v="0"/>
    <n v="859.16200000000003"/>
    <n v="824.79552000000001"/>
    <n v="859.16200000000003"/>
    <n v="824.79552000000001"/>
    <n v="0"/>
    <s v="CATIVO"/>
    <n v="0"/>
    <n v="0"/>
    <n v="21"/>
    <n v="89"/>
    <n v="0"/>
    <n v="51.27"/>
    <n v="222.31"/>
    <m/>
    <n v="66.787442987613147"/>
    <n v="236.64237028527376"/>
    <n v="0"/>
    <n v="9401.981598400007"/>
    <n v="0"/>
    <n v="10427.81460924641"/>
    <x v="2"/>
  </r>
  <r>
    <s v="Refaturamento - Regular"/>
    <x v="1"/>
    <x v="3"/>
    <x v="1"/>
    <x v="0"/>
    <x v="2"/>
    <x v="0"/>
    <x v="0"/>
    <x v="3"/>
    <n v="0"/>
    <n v="0"/>
    <n v="-0.316"/>
    <n v="-0.30336000000000002"/>
    <n v="-0.316"/>
    <n v="-0.30336000000000002"/>
    <n v="0"/>
    <s v="CATIVO"/>
    <n v="0"/>
    <n v="0"/>
    <n v="21"/>
    <n v="89"/>
    <n v="0"/>
    <n v="51.27"/>
    <n v="222.31"/>
    <m/>
    <n v="66.787442987613147"/>
    <n v="236.64237028527376"/>
    <n v="0"/>
    <n v="-3.4580511999999954"/>
    <n v="0"/>
    <n v="-3.8353528397692855"/>
    <x v="2"/>
  </r>
  <r>
    <s v="Sistema de Compensação"/>
    <x v="1"/>
    <x v="3"/>
    <x v="1"/>
    <x v="0"/>
    <x v="2"/>
    <x v="0"/>
    <x v="0"/>
    <x v="3"/>
    <n v="0"/>
    <n v="0"/>
    <n v="9.6159999999999997"/>
    <n v="9.2313600000000005"/>
    <n v="9.6159999999999997"/>
    <n v="9.2313600000000005"/>
    <n v="0"/>
    <s v="CATIVO"/>
    <n v="0"/>
    <n v="0"/>
    <n v="21"/>
    <n v="89"/>
    <n v="0"/>
    <n v="51.27"/>
    <n v="222.31"/>
    <m/>
    <n v="66.787442987613147"/>
    <n v="236.64237028527376"/>
    <n v="0"/>
    <n v="105.22981119999979"/>
    <n v="0"/>
    <n v="116.71124337728298"/>
    <x v="2"/>
  </r>
  <r>
    <s v="Regular"/>
    <x v="1"/>
    <x v="3"/>
    <x v="1"/>
    <x v="0"/>
    <x v="2"/>
    <x v="0"/>
    <x v="0"/>
    <x v="4"/>
    <n v="0"/>
    <n v="0"/>
    <n v="1255.989"/>
    <n v="1205.74944"/>
    <n v="1255.989"/>
    <n v="1205.74944"/>
    <n v="0"/>
    <s v="CATIVO"/>
    <n v="0"/>
    <n v="0"/>
    <n v="21"/>
    <n v="89"/>
    <n v="0"/>
    <n v="51.27"/>
    <n v="222.31"/>
    <m/>
    <n v="66.787442987613147"/>
    <n v="236.64237028527376"/>
    <n v="0"/>
    <n v="13744.538824799994"/>
    <n v="0"/>
    <n v="15244.180309711992"/>
    <x v="2"/>
  </r>
  <r>
    <s v="Refaturamento - Regular"/>
    <x v="1"/>
    <x v="3"/>
    <x v="1"/>
    <x v="0"/>
    <x v="2"/>
    <x v="0"/>
    <x v="0"/>
    <x v="4"/>
    <n v="0"/>
    <n v="0"/>
    <n v="-0.4"/>
    <n v="-0.38400000000000001"/>
    <n v="-0.4"/>
    <n v="-0.38400000000000001"/>
    <n v="0"/>
    <s v="CATIVO"/>
    <n v="0"/>
    <n v="0"/>
    <n v="21"/>
    <n v="89"/>
    <n v="0"/>
    <n v="51.27"/>
    <n v="222.31"/>
    <m/>
    <n v="66.787442987613147"/>
    <n v="236.64237028527376"/>
    <n v="0"/>
    <n v="-4.3772800000000043"/>
    <n v="0"/>
    <n v="-4.8548770123661944"/>
    <x v="2"/>
  </r>
  <r>
    <s v="Sistema de Compensação"/>
    <x v="1"/>
    <x v="3"/>
    <x v="1"/>
    <x v="0"/>
    <x v="2"/>
    <x v="0"/>
    <x v="0"/>
    <x v="4"/>
    <n v="0"/>
    <n v="0"/>
    <n v="13.866"/>
    <n v="13.311360000000001"/>
    <n v="13.866"/>
    <n v="13.311360000000001"/>
    <n v="0"/>
    <s v="CATIVO"/>
    <n v="0"/>
    <n v="0"/>
    <n v="21"/>
    <n v="89"/>
    <n v="0"/>
    <n v="51.27"/>
    <n v="222.31"/>
    <m/>
    <n v="66.787442987613147"/>
    <n v="236.64237028527376"/>
    <n v="0"/>
    <n v="151.73841119999977"/>
    <n v="0"/>
    <n v="168.29431163367371"/>
    <x v="2"/>
  </r>
  <r>
    <s v="Regular"/>
    <x v="1"/>
    <x v="3"/>
    <x v="1"/>
    <x v="0"/>
    <x v="2"/>
    <x v="0"/>
    <x v="0"/>
    <x v="5"/>
    <n v="0"/>
    <n v="0"/>
    <n v="1824.4749999999999"/>
    <n v="1751.4960000000001"/>
    <n v="1824.4749999999999"/>
    <n v="1751.4960000000001"/>
    <n v="0"/>
    <s v="CATIVO"/>
    <n v="0"/>
    <n v="0"/>
    <n v="21"/>
    <n v="89"/>
    <n v="0"/>
    <n v="51.27"/>
    <n v="222.31"/>
    <m/>
    <n v="66.787442987613147"/>
    <n v="236.64237028527376"/>
    <n v="0"/>
    <n v="19965.594819999951"/>
    <n v="0"/>
    <n v="22144.004342841956"/>
    <x v="2"/>
  </r>
  <r>
    <s v="Sistema de Compensação"/>
    <x v="1"/>
    <x v="3"/>
    <x v="1"/>
    <x v="0"/>
    <x v="2"/>
    <x v="0"/>
    <x v="0"/>
    <x v="5"/>
    <n v="0"/>
    <n v="0"/>
    <n v="5.452"/>
    <n v="5.2339200000000003"/>
    <n v="5.452"/>
    <n v="5.2339200000000003"/>
    <n v="0"/>
    <s v="CATIVO"/>
    <n v="0"/>
    <n v="0"/>
    <n v="21"/>
    <n v="89"/>
    <n v="0"/>
    <n v="51.27"/>
    <n v="222.31"/>
    <m/>
    <n v="66.787442987613147"/>
    <n v="236.64237028527376"/>
    <n v="0"/>
    <n v="59.662326399999898"/>
    <n v="0"/>
    <n v="66.171973678551055"/>
    <x v="2"/>
  </r>
  <r>
    <s v="Regular"/>
    <x v="1"/>
    <x v="3"/>
    <x v="1"/>
    <x v="0"/>
    <x v="2"/>
    <x v="0"/>
    <x v="0"/>
    <x v="6"/>
    <n v="0"/>
    <n v="0"/>
    <n v="2460.4290000000001"/>
    <n v="2362.0118400000001"/>
    <n v="2460.4290000000001"/>
    <n v="2362.0118400000001"/>
    <n v="0"/>
    <s v="CATIVO"/>
    <n v="0"/>
    <n v="0"/>
    <n v="21"/>
    <n v="89"/>
    <n v="0"/>
    <n v="51.27"/>
    <n v="222.31"/>
    <m/>
    <n v="66.787442987613147"/>
    <n v="236.64237028527376"/>
    <n v="0"/>
    <n v="26924.966632799991"/>
    <n v="0"/>
    <n v="29862.700481647826"/>
    <x v="2"/>
  </r>
  <r>
    <s v="Sistema de Compensação"/>
    <x v="1"/>
    <x v="3"/>
    <x v="1"/>
    <x v="0"/>
    <x v="2"/>
    <x v="0"/>
    <x v="0"/>
    <x v="6"/>
    <n v="0"/>
    <n v="0"/>
    <n v="18.899999999999999"/>
    <n v="18.143999999999998"/>
    <n v="18.899999999999999"/>
    <n v="18.143999999999998"/>
    <n v="0"/>
    <s v="CATIVO"/>
    <n v="0"/>
    <n v="0"/>
    <n v="21"/>
    <n v="89"/>
    <n v="0"/>
    <n v="51.27"/>
    <n v="222.31"/>
    <m/>
    <n v="66.787442987613147"/>
    <n v="236.64237028527376"/>
    <n v="0"/>
    <n v="206.82648000000006"/>
    <n v="0"/>
    <n v="229.39293883430258"/>
    <x v="2"/>
  </r>
  <r>
    <s v="Sistema de Compensação"/>
    <x v="1"/>
    <x v="3"/>
    <x v="1"/>
    <x v="0"/>
    <x v="2"/>
    <x v="0"/>
    <x v="0"/>
    <x v="6"/>
    <n v="0"/>
    <n v="0"/>
    <n v="-18.718"/>
    <n v="-17.969279999999998"/>
    <n v="-18.718"/>
    <n v="-17.969279999999998"/>
    <n v="0"/>
    <s v="CATIVO"/>
    <n v="0"/>
    <n v="0"/>
    <n v="21"/>
    <n v="89"/>
    <n v="0"/>
    <n v="51.27"/>
    <n v="222.31"/>
    <m/>
    <n v="66.787442987613147"/>
    <n v="236.64237028527376"/>
    <n v="0"/>
    <n v="-204.83481760000063"/>
    <n v="0"/>
    <n v="-227.18396979367657"/>
    <x v="2"/>
  </r>
  <r>
    <s v="Regular"/>
    <x v="1"/>
    <x v="3"/>
    <x v="1"/>
    <x v="0"/>
    <x v="2"/>
    <x v="0"/>
    <x v="0"/>
    <x v="7"/>
    <n v="0"/>
    <n v="0"/>
    <n v="2212.509"/>
    <n v="2124.00864"/>
    <n v="2212.509"/>
    <n v="2124.00864"/>
    <n v="0"/>
    <s v="CATIVO"/>
    <n v="0"/>
    <n v="0"/>
    <n v="21"/>
    <n v="89"/>
    <n v="0"/>
    <n v="51.27"/>
    <n v="222.31"/>
    <m/>
    <n v="66.787442987613147"/>
    <n v="236.64237028527376"/>
    <n v="0"/>
    <n v="24211.9284888"/>
    <n v="0"/>
    <n v="26853.647709383273"/>
    <x v="2"/>
  </r>
  <r>
    <s v="Sistema de Compensação"/>
    <x v="1"/>
    <x v="3"/>
    <x v="1"/>
    <x v="0"/>
    <x v="2"/>
    <x v="0"/>
    <x v="0"/>
    <x v="7"/>
    <n v="0"/>
    <n v="0"/>
    <n v="15.975"/>
    <n v="15.336"/>
    <n v="15.975"/>
    <n v="15.336"/>
    <n v="0"/>
    <s v="CATIVO"/>
    <n v="0"/>
    <n v="0"/>
    <n v="21"/>
    <n v="89"/>
    <n v="0"/>
    <n v="51.27"/>
    <n v="222.31"/>
    <m/>
    <n v="66.787442987613147"/>
    <n v="236.64237028527376"/>
    <n v="0"/>
    <n v="174.81761999999983"/>
    <n v="0"/>
    <n v="193.89165068137453"/>
    <x v="2"/>
  </r>
  <r>
    <s v="Regular"/>
    <x v="1"/>
    <x v="3"/>
    <x v="1"/>
    <x v="0"/>
    <x v="2"/>
    <x v="0"/>
    <x v="0"/>
    <x v="8"/>
    <n v="0"/>
    <n v="0"/>
    <n v="1852.6690000000001"/>
    <n v="1778.56224"/>
    <n v="1852.6690000000001"/>
    <n v="1778.56224"/>
    <n v="0"/>
    <s v="CATIVO"/>
    <n v="0"/>
    <n v="0"/>
    <n v="21"/>
    <n v="89"/>
    <n v="0"/>
    <n v="51.27"/>
    <n v="222.31"/>
    <m/>
    <n v="66.787442987613147"/>
    <n v="236.64237028527376"/>
    <n v="0"/>
    <n v="20274.127400800033"/>
    <n v="0"/>
    <n v="22486.200349058679"/>
    <x v="2"/>
  </r>
  <r>
    <s v="Refaturamento - Regular"/>
    <x v="1"/>
    <x v="3"/>
    <x v="1"/>
    <x v="0"/>
    <x v="2"/>
    <x v="0"/>
    <x v="0"/>
    <x v="8"/>
    <n v="0"/>
    <n v="0"/>
    <n v="-0.24"/>
    <n v="-0.23039999999999999"/>
    <n v="-0.24"/>
    <n v="-0.23039999999999999"/>
    <n v="0"/>
    <s v="CATIVO"/>
    <n v="0"/>
    <n v="0"/>
    <n v="21"/>
    <n v="89"/>
    <n v="0"/>
    <n v="51.27"/>
    <n v="222.31"/>
    <m/>
    <n v="66.787442987613147"/>
    <n v="236.64237028527376"/>
    <n v="0"/>
    <n v="-2.6263679999999994"/>
    <n v="0"/>
    <n v="-2.9129262074197135"/>
    <x v="2"/>
  </r>
  <r>
    <s v="Sistema de Compensação"/>
    <x v="1"/>
    <x v="3"/>
    <x v="1"/>
    <x v="0"/>
    <x v="2"/>
    <x v="0"/>
    <x v="0"/>
    <x v="8"/>
    <n v="0"/>
    <n v="0"/>
    <n v="2.2200000000000002"/>
    <n v="2.1312000000000002"/>
    <n v="2.2200000000000002"/>
    <n v="2.1312000000000002"/>
    <n v="0"/>
    <s v="CATIVO"/>
    <n v="0"/>
    <n v="0"/>
    <n v="21"/>
    <n v="89"/>
    <n v="0"/>
    <n v="51.27"/>
    <n v="222.31"/>
    <m/>
    <n v="66.787442987613147"/>
    <n v="236.64237028527376"/>
    <n v="0"/>
    <n v="24.293903999999998"/>
    <n v="0"/>
    <n v="26.944567418632353"/>
    <x v="2"/>
  </r>
  <r>
    <s v="Regular"/>
    <x v="1"/>
    <x v="3"/>
    <x v="1"/>
    <x v="0"/>
    <x v="2"/>
    <x v="0"/>
    <x v="0"/>
    <x v="9"/>
    <n v="0"/>
    <n v="0"/>
    <n v="2020.7329999999999"/>
    <n v="1939.9036799999999"/>
    <n v="2020.7329999999999"/>
    <n v="1939.9036799999999"/>
    <n v="0"/>
    <s v="CATIVO"/>
    <n v="0"/>
    <n v="0"/>
    <n v="21"/>
    <n v="89"/>
    <n v="0"/>
    <n v="51.27"/>
    <n v="222.31"/>
    <m/>
    <n v="66.787442987613147"/>
    <n v="236.64237028527376"/>
    <n v="0"/>
    <n v="22113.285365600015"/>
    <n v="0"/>
    <n v="24526.025474574439"/>
    <x v="2"/>
  </r>
  <r>
    <s v="Refaturamento - Regular"/>
    <x v="1"/>
    <x v="3"/>
    <x v="1"/>
    <x v="0"/>
    <x v="2"/>
    <x v="0"/>
    <x v="0"/>
    <x v="9"/>
    <n v="0"/>
    <n v="0"/>
    <n v="-164.447"/>
    <n v="-157.86912000000001"/>
    <n v="-164.447"/>
    <n v="-157.86912000000001"/>
    <n v="0"/>
    <s v="CATIVO"/>
    <n v="0"/>
    <n v="0"/>
    <n v="21"/>
    <n v="89"/>
    <n v="0"/>
    <n v="51.27"/>
    <n v="222.31"/>
    <m/>
    <n v="66.787442987613147"/>
    <n v="236.64237028527376"/>
    <n v="0"/>
    <n v="-1799.5764103999982"/>
    <n v="0"/>
    <n v="-1995.9249001314552"/>
    <x v="2"/>
  </r>
  <r>
    <s v="Sistema de Compensação"/>
    <x v="1"/>
    <x v="3"/>
    <x v="1"/>
    <x v="0"/>
    <x v="2"/>
    <x v="0"/>
    <x v="0"/>
    <x v="9"/>
    <n v="0"/>
    <n v="0"/>
    <n v="12.698"/>
    <n v="12.19008"/>
    <n v="12.698"/>
    <n v="12.19008"/>
    <n v="0"/>
    <s v="CATIVO"/>
    <n v="0"/>
    <n v="0"/>
    <n v="21"/>
    <n v="89"/>
    <n v="0"/>
    <n v="51.27"/>
    <n v="222.31"/>
    <m/>
    <n v="66.787442987613147"/>
    <n v="236.64237028527376"/>
    <n v="0"/>
    <n v="138.9567536000001"/>
    <n v="0"/>
    <n v="154.11807075756482"/>
    <x v="2"/>
  </r>
  <r>
    <s v="Regular"/>
    <x v="1"/>
    <x v="3"/>
    <x v="1"/>
    <x v="0"/>
    <x v="2"/>
    <x v="0"/>
    <x v="0"/>
    <x v="10"/>
    <n v="0"/>
    <n v="0"/>
    <n v="1885.9590000000001"/>
    <n v="1810.52064"/>
    <n v="1885.9590000000001"/>
    <n v="1810.52064"/>
    <n v="0"/>
    <s v="CATIVO"/>
    <n v="0"/>
    <n v="0"/>
    <n v="21"/>
    <n v="89"/>
    <n v="0"/>
    <n v="51.27"/>
    <n v="222.31"/>
    <m/>
    <n v="66.787442987613147"/>
    <n v="236.64237028527376"/>
    <n v="0"/>
    <n v="20638.426528800028"/>
    <n v="0"/>
    <n v="22890.247488412853"/>
    <x v="2"/>
  </r>
  <r>
    <s v="Refaturamento - Regular"/>
    <x v="1"/>
    <x v="3"/>
    <x v="1"/>
    <x v="0"/>
    <x v="2"/>
    <x v="0"/>
    <x v="0"/>
    <x v="10"/>
    <n v="0"/>
    <n v="0"/>
    <n v="432.71899999999999"/>
    <n v="415.41023999999999"/>
    <n v="432.71899999999999"/>
    <n v="415.41023999999999"/>
    <n v="0"/>
    <s v="CATIVO"/>
    <n v="0"/>
    <n v="0"/>
    <n v="21"/>
    <n v="89"/>
    <n v="0"/>
    <n v="51.27"/>
    <n v="222.31"/>
    <m/>
    <n v="66.787442987613147"/>
    <n v="236.64237028527376"/>
    <n v="0"/>
    <n v="4735.3305608000019"/>
    <n v="0"/>
    <n v="5251.9938147852154"/>
    <x v="2"/>
  </r>
  <r>
    <s v="Sistema de Compensação"/>
    <x v="1"/>
    <x v="3"/>
    <x v="1"/>
    <x v="0"/>
    <x v="2"/>
    <x v="0"/>
    <x v="0"/>
    <x v="10"/>
    <n v="0"/>
    <n v="0"/>
    <n v="40.326000000000001"/>
    <n v="38.712960000000002"/>
    <n v="40.326000000000001"/>
    <n v="38.712960000000002"/>
    <n v="0"/>
    <s v="CATIVO"/>
    <n v="0"/>
    <n v="0"/>
    <n v="21"/>
    <n v="89"/>
    <n v="0"/>
    <n v="51.27"/>
    <n v="222.31"/>
    <m/>
    <n v="66.787442987613147"/>
    <n v="236.64237028527376"/>
    <n v="0"/>
    <n v="441.29548319999947"/>
    <n v="0"/>
    <n v="489.44442600169691"/>
    <x v="2"/>
  </r>
  <r>
    <s v="PROJETADO"/>
    <x v="1"/>
    <x v="3"/>
    <x v="1"/>
    <x v="0"/>
    <x v="2"/>
    <x v="0"/>
    <x v="0"/>
    <x v="11"/>
    <n v="0"/>
    <n v="0"/>
    <n v="1885.9590000000001"/>
    <n v="1810.52064"/>
    <n v="1885.9590000000001"/>
    <n v="1810.52064"/>
    <n v="0"/>
    <s v="CATIVO"/>
    <n v="0"/>
    <n v="0"/>
    <n v="21"/>
    <n v="89"/>
    <n v="0"/>
    <n v="51.27"/>
    <n v="222.31"/>
    <m/>
    <n v="66.787442987613147"/>
    <n v="236.64237028527376"/>
    <n v="0"/>
    <n v="20638.426528800028"/>
    <n v="0"/>
    <n v="22890.247488412853"/>
    <x v="2"/>
  </r>
  <r>
    <s v="PROJETADO"/>
    <x v="1"/>
    <x v="3"/>
    <x v="1"/>
    <x v="0"/>
    <x v="2"/>
    <x v="0"/>
    <x v="0"/>
    <x v="11"/>
    <n v="0"/>
    <n v="0"/>
    <n v="432.71899999999999"/>
    <n v="415.41023999999999"/>
    <n v="432.71899999999999"/>
    <n v="415.41023999999999"/>
    <n v="0"/>
    <s v="CATIVO"/>
    <n v="0"/>
    <n v="0"/>
    <n v="21"/>
    <n v="89"/>
    <n v="0"/>
    <n v="51.27"/>
    <n v="222.31"/>
    <m/>
    <n v="66.787442987613147"/>
    <n v="236.64237028527376"/>
    <n v="0"/>
    <n v="4735.3305608000019"/>
    <n v="0"/>
    <n v="5251.9938147852154"/>
    <x v="2"/>
  </r>
  <r>
    <s v="PROJETADO"/>
    <x v="1"/>
    <x v="3"/>
    <x v="1"/>
    <x v="0"/>
    <x v="2"/>
    <x v="0"/>
    <x v="0"/>
    <x v="11"/>
    <n v="0"/>
    <n v="0"/>
    <n v="40.326000000000001"/>
    <n v="38.712960000000002"/>
    <n v="40.326000000000001"/>
    <n v="38.712960000000002"/>
    <n v="0"/>
    <s v="CATIVO"/>
    <n v="0"/>
    <n v="0"/>
    <n v="21"/>
    <n v="89"/>
    <n v="0"/>
    <n v="51.27"/>
    <n v="222.31"/>
    <m/>
    <n v="66.787442987613147"/>
    <n v="236.64237028527376"/>
    <n v="0"/>
    <n v="441.29548319999947"/>
    <n v="0"/>
    <n v="489.44442600169691"/>
    <x v="2"/>
  </r>
  <r>
    <s v="Regular"/>
    <x v="1"/>
    <x v="3"/>
    <x v="1"/>
    <x v="0"/>
    <x v="2"/>
    <x v="0"/>
    <x v="1"/>
    <x v="0"/>
    <n v="8807"/>
    <n v="8454.7199999999993"/>
    <n v="0"/>
    <n v="0"/>
    <n v="0"/>
    <n v="0"/>
    <n v="52"/>
    <s v="CATIVO"/>
    <n v="0"/>
    <n v="44"/>
    <n v="0"/>
    <n v="0"/>
    <n v="24.31"/>
    <n v="0"/>
    <n v="0"/>
    <n v="27.784726797371405"/>
    <m/>
    <m/>
    <n v="8563.9268000000156"/>
    <n v="0"/>
    <n v="9788.0035561780169"/>
    <n v="0"/>
    <x v="2"/>
  </r>
  <r>
    <s v="Regular"/>
    <x v="1"/>
    <x v="3"/>
    <x v="1"/>
    <x v="0"/>
    <x v="2"/>
    <x v="0"/>
    <x v="1"/>
    <x v="1"/>
    <n v="6338"/>
    <n v="6084.48"/>
    <n v="0"/>
    <n v="0"/>
    <n v="0"/>
    <n v="0"/>
    <n v="55"/>
    <s v="CATIVO"/>
    <n v="0"/>
    <n v="44"/>
    <n v="0"/>
    <n v="0"/>
    <n v="24.31"/>
    <n v="0"/>
    <n v="0"/>
    <n v="27.784726797371405"/>
    <m/>
    <m/>
    <n v="6163.0712000000103"/>
    <n v="0"/>
    <n v="7043.9839376696109"/>
    <n v="0"/>
    <x v="2"/>
  </r>
  <r>
    <s v="Refaturamento - Regular"/>
    <x v="1"/>
    <x v="3"/>
    <x v="1"/>
    <x v="0"/>
    <x v="2"/>
    <x v="0"/>
    <x v="1"/>
    <x v="1"/>
    <n v="1"/>
    <n v="0.96"/>
    <n v="0"/>
    <n v="0"/>
    <n v="0"/>
    <n v="0"/>
    <n v="1"/>
    <s v="CATIVO"/>
    <n v="0"/>
    <n v="44"/>
    <n v="0"/>
    <n v="0"/>
    <n v="24.31"/>
    <n v="0"/>
    <n v="0"/>
    <n v="27.784726797371405"/>
    <m/>
    <m/>
    <n v="0.97240000000000082"/>
    <n v="0"/>
    <n v="1.1113890718948571"/>
    <n v="0"/>
    <x v="2"/>
  </r>
  <r>
    <s v="Sistema de Compensação"/>
    <x v="1"/>
    <x v="3"/>
    <x v="1"/>
    <x v="0"/>
    <x v="2"/>
    <x v="0"/>
    <x v="1"/>
    <x v="1"/>
    <n v="231"/>
    <n v="221.76"/>
    <n v="0"/>
    <n v="0"/>
    <n v="0"/>
    <n v="0"/>
    <n v="1"/>
    <s v="CATIVO"/>
    <n v="0"/>
    <n v="44"/>
    <n v="0"/>
    <n v="0"/>
    <n v="24.31"/>
    <n v="0"/>
    <n v="0"/>
    <n v="27.784726797371405"/>
    <m/>
    <m/>
    <n v="224.62440000000021"/>
    <n v="0"/>
    <n v="256.73087560771205"/>
    <n v="0"/>
    <x v="2"/>
  </r>
  <r>
    <s v="Regular"/>
    <x v="1"/>
    <x v="3"/>
    <x v="1"/>
    <x v="0"/>
    <x v="2"/>
    <x v="0"/>
    <x v="1"/>
    <x v="2"/>
    <n v="6919"/>
    <n v="6642.24"/>
    <n v="0"/>
    <n v="0"/>
    <n v="0"/>
    <n v="0"/>
    <n v="58"/>
    <s v="CATIVO"/>
    <n v="0"/>
    <n v="44"/>
    <n v="0"/>
    <n v="0"/>
    <n v="24.31"/>
    <n v="0"/>
    <n v="0"/>
    <n v="27.784726797371405"/>
    <m/>
    <m/>
    <n v="6728.0356000000047"/>
    <n v="0"/>
    <n v="7689.7009884405161"/>
    <n v="0"/>
    <x v="2"/>
  </r>
  <r>
    <s v="Sistema de Compensação"/>
    <x v="1"/>
    <x v="3"/>
    <x v="1"/>
    <x v="0"/>
    <x v="2"/>
    <x v="0"/>
    <x v="1"/>
    <x v="2"/>
    <n v="238"/>
    <n v="228.48"/>
    <n v="0"/>
    <n v="0"/>
    <n v="0"/>
    <n v="0"/>
    <n v="1"/>
    <s v="CATIVO"/>
    <n v="0"/>
    <n v="44"/>
    <n v="0"/>
    <n v="0"/>
    <n v="24.31"/>
    <n v="0"/>
    <n v="0"/>
    <n v="27.784726797371405"/>
    <m/>
    <m/>
    <n v="231.43120000000025"/>
    <n v="0"/>
    <n v="264.51059911097605"/>
    <n v="0"/>
    <x v="2"/>
  </r>
  <r>
    <s v="Regular"/>
    <x v="1"/>
    <x v="3"/>
    <x v="1"/>
    <x v="0"/>
    <x v="2"/>
    <x v="0"/>
    <x v="1"/>
    <x v="3"/>
    <n v="5884"/>
    <n v="5648.64"/>
    <n v="0"/>
    <n v="0"/>
    <n v="0"/>
    <n v="0"/>
    <n v="59"/>
    <s v="CATIVO"/>
    <n v="0"/>
    <n v="44"/>
    <n v="0"/>
    <n v="0"/>
    <n v="24.31"/>
    <n v="0"/>
    <n v="0"/>
    <n v="27.784726797371405"/>
    <m/>
    <m/>
    <n v="5721.6015999999918"/>
    <n v="0"/>
    <n v="6539.4132990293247"/>
    <n v="0"/>
    <x v="2"/>
  </r>
  <r>
    <s v="Refaturamento - Regular"/>
    <x v="1"/>
    <x v="3"/>
    <x v="1"/>
    <x v="0"/>
    <x v="2"/>
    <x v="0"/>
    <x v="1"/>
    <x v="3"/>
    <n v="3"/>
    <n v="2.88"/>
    <n v="0"/>
    <n v="0"/>
    <n v="0"/>
    <n v="0"/>
    <n v="0"/>
    <s v="CATIVO"/>
    <n v="0"/>
    <n v="44"/>
    <n v="0"/>
    <n v="0"/>
    <n v="24.31"/>
    <n v="0"/>
    <n v="0"/>
    <n v="27.784726797371405"/>
    <m/>
    <m/>
    <n v="2.9172000000000025"/>
    <n v="0"/>
    <n v="3.3341672156845714"/>
    <n v="0"/>
    <x v="2"/>
  </r>
  <r>
    <s v="Sistema de Compensação"/>
    <x v="1"/>
    <x v="3"/>
    <x v="1"/>
    <x v="0"/>
    <x v="2"/>
    <x v="0"/>
    <x v="1"/>
    <x v="3"/>
    <n v="206"/>
    <n v="197.76"/>
    <n v="0"/>
    <n v="0"/>
    <n v="0"/>
    <n v="0"/>
    <n v="1"/>
    <s v="CATIVO"/>
    <n v="0"/>
    <n v="44"/>
    <n v="0"/>
    <n v="0"/>
    <n v="24.31"/>
    <n v="0"/>
    <n v="0"/>
    <n v="27.784726797371405"/>
    <m/>
    <m/>
    <n v="200.31440000000021"/>
    <n v="0"/>
    <n v="228.94614881034065"/>
    <n v="0"/>
    <x v="2"/>
  </r>
  <r>
    <s v="Regular"/>
    <x v="1"/>
    <x v="3"/>
    <x v="1"/>
    <x v="0"/>
    <x v="2"/>
    <x v="0"/>
    <x v="1"/>
    <x v="4"/>
    <n v="7219"/>
    <n v="6930.24"/>
    <n v="0"/>
    <n v="0"/>
    <n v="0"/>
    <n v="0"/>
    <n v="64"/>
    <s v="CATIVO"/>
    <n v="0"/>
    <n v="44"/>
    <n v="0"/>
    <n v="0"/>
    <n v="24.31"/>
    <n v="0"/>
    <n v="0"/>
    <n v="27.784726797371405"/>
    <m/>
    <m/>
    <n v="7019.755600000005"/>
    <n v="0"/>
    <n v="8023.1177100089735"/>
    <n v="0"/>
    <x v="2"/>
  </r>
  <r>
    <s v="Refaturamento - Regular"/>
    <x v="1"/>
    <x v="3"/>
    <x v="1"/>
    <x v="0"/>
    <x v="2"/>
    <x v="0"/>
    <x v="1"/>
    <x v="4"/>
    <n v="2"/>
    <n v="1.92"/>
    <n v="0"/>
    <n v="0"/>
    <n v="0"/>
    <n v="0"/>
    <n v="-2"/>
    <s v="CATIVO"/>
    <n v="0"/>
    <n v="44"/>
    <n v="0"/>
    <n v="0"/>
    <n v="24.31"/>
    <n v="0"/>
    <n v="0"/>
    <n v="27.784726797371405"/>
    <m/>
    <m/>
    <n v="1.9448000000000016"/>
    <n v="0"/>
    <n v="2.2227781437897143"/>
    <n v="0"/>
    <x v="2"/>
  </r>
  <r>
    <s v="Sistema de Compensação"/>
    <x v="1"/>
    <x v="3"/>
    <x v="1"/>
    <x v="0"/>
    <x v="2"/>
    <x v="0"/>
    <x v="1"/>
    <x v="4"/>
    <n v="203"/>
    <n v="194.88"/>
    <n v="0"/>
    <n v="0"/>
    <n v="0"/>
    <n v="0"/>
    <n v="1"/>
    <s v="CATIVO"/>
    <n v="0"/>
    <n v="44"/>
    <n v="0"/>
    <n v="0"/>
    <n v="24.31"/>
    <n v="0"/>
    <n v="0"/>
    <n v="27.784726797371405"/>
    <m/>
    <m/>
    <n v="197.39720000000011"/>
    <n v="0"/>
    <n v="225.61198159465593"/>
    <n v="0"/>
    <x v="2"/>
  </r>
  <r>
    <s v="Regular"/>
    <x v="1"/>
    <x v="3"/>
    <x v="1"/>
    <x v="0"/>
    <x v="2"/>
    <x v="0"/>
    <x v="1"/>
    <x v="5"/>
    <n v="8743"/>
    <n v="8393.2800000000007"/>
    <n v="0"/>
    <n v="0"/>
    <n v="0"/>
    <n v="0"/>
    <n v="55"/>
    <s v="CATIVO"/>
    <n v="0"/>
    <n v="44"/>
    <n v="0"/>
    <n v="0"/>
    <n v="24.31"/>
    <n v="0"/>
    <n v="0"/>
    <n v="27.784726797371405"/>
    <m/>
    <m/>
    <n v="8501.6931999999833"/>
    <n v="0"/>
    <n v="9716.8746555767102"/>
    <n v="0"/>
    <x v="2"/>
  </r>
  <r>
    <s v="Sistema de Compensação"/>
    <x v="1"/>
    <x v="3"/>
    <x v="1"/>
    <x v="0"/>
    <x v="2"/>
    <x v="0"/>
    <x v="1"/>
    <x v="5"/>
    <n v="171"/>
    <n v="164.16"/>
    <n v="0"/>
    <n v="0"/>
    <n v="0"/>
    <n v="0"/>
    <n v="1"/>
    <s v="CATIVO"/>
    <n v="0"/>
    <n v="44"/>
    <n v="0"/>
    <n v="0"/>
    <n v="24.31"/>
    <n v="0"/>
    <n v="0"/>
    <n v="27.784726797371405"/>
    <m/>
    <m/>
    <n v="166.28040000000007"/>
    <n v="0"/>
    <n v="190.0475312940205"/>
    <n v="0"/>
    <x v="2"/>
  </r>
  <r>
    <s v="Regular"/>
    <x v="1"/>
    <x v="3"/>
    <x v="1"/>
    <x v="0"/>
    <x v="2"/>
    <x v="0"/>
    <x v="1"/>
    <x v="6"/>
    <n v="9526"/>
    <n v="9144.9599999999991"/>
    <n v="0"/>
    <n v="0"/>
    <n v="0"/>
    <n v="0"/>
    <n v="51"/>
    <s v="CATIVO"/>
    <n v="0"/>
    <n v="44"/>
    <n v="0"/>
    <n v="0"/>
    <n v="24.31"/>
    <n v="0"/>
    <n v="0"/>
    <n v="27.784726797371405"/>
    <m/>
    <m/>
    <n v="9263.0824000000212"/>
    <n v="0"/>
    <n v="10587.092298870424"/>
    <n v="0"/>
    <x v="2"/>
  </r>
  <r>
    <s v="Sistema de Compensação"/>
    <x v="1"/>
    <x v="3"/>
    <x v="1"/>
    <x v="0"/>
    <x v="2"/>
    <x v="0"/>
    <x v="1"/>
    <x v="6"/>
    <n v="234"/>
    <n v="224.64"/>
    <n v="0"/>
    <n v="0"/>
    <n v="0"/>
    <n v="0"/>
    <n v="1"/>
    <s v="CATIVO"/>
    <n v="0"/>
    <n v="44"/>
    <n v="0"/>
    <n v="0"/>
    <n v="24.31"/>
    <n v="0"/>
    <n v="0"/>
    <n v="27.784726797371405"/>
    <m/>
    <m/>
    <n v="227.54160000000033"/>
    <n v="0"/>
    <n v="260.06504282339671"/>
    <n v="0"/>
    <x v="2"/>
  </r>
  <r>
    <s v="Regular"/>
    <x v="1"/>
    <x v="3"/>
    <x v="1"/>
    <x v="0"/>
    <x v="2"/>
    <x v="0"/>
    <x v="1"/>
    <x v="7"/>
    <n v="9001"/>
    <n v="8640.9599999999991"/>
    <n v="0"/>
    <n v="0"/>
    <n v="0"/>
    <n v="0"/>
    <n v="51"/>
    <s v="CATIVO"/>
    <n v="0"/>
    <n v="44"/>
    <n v="0"/>
    <n v="0"/>
    <n v="24.31"/>
    <n v="0"/>
    <n v="0"/>
    <n v="27.784726797371405"/>
    <m/>
    <m/>
    <n v="8752.5724000000209"/>
    <n v="0"/>
    <n v="10003.613036125626"/>
    <n v="0"/>
    <x v="2"/>
  </r>
  <r>
    <s v="Sistema de Compensação"/>
    <x v="1"/>
    <x v="3"/>
    <x v="1"/>
    <x v="0"/>
    <x v="2"/>
    <x v="0"/>
    <x v="1"/>
    <x v="7"/>
    <n v="227"/>
    <n v="217.92"/>
    <n v="0"/>
    <n v="0"/>
    <n v="0"/>
    <n v="0"/>
    <n v="1"/>
    <s v="CATIVO"/>
    <n v="0"/>
    <n v="44"/>
    <n v="0"/>
    <n v="0"/>
    <n v="24.31"/>
    <n v="0"/>
    <n v="0"/>
    <n v="27.784726797371405"/>
    <m/>
    <m/>
    <n v="220.73480000000029"/>
    <n v="0"/>
    <n v="252.28531932013271"/>
    <n v="0"/>
    <x v="2"/>
  </r>
  <r>
    <s v="Regular"/>
    <x v="1"/>
    <x v="3"/>
    <x v="1"/>
    <x v="0"/>
    <x v="2"/>
    <x v="0"/>
    <x v="1"/>
    <x v="8"/>
    <n v="7799"/>
    <n v="7487.04"/>
    <n v="0"/>
    <n v="0"/>
    <n v="0"/>
    <n v="0"/>
    <n v="47"/>
    <s v="CATIVO"/>
    <n v="0"/>
    <n v="44"/>
    <n v="0"/>
    <n v="0"/>
    <n v="24.31"/>
    <n v="0"/>
    <n v="0"/>
    <n v="27.784726797371405"/>
    <m/>
    <m/>
    <n v="7583.7476000000006"/>
    <n v="0"/>
    <n v="8667.7233717079853"/>
    <n v="0"/>
    <x v="2"/>
  </r>
  <r>
    <s v="Sistema de Compensação"/>
    <x v="1"/>
    <x v="3"/>
    <x v="1"/>
    <x v="0"/>
    <x v="2"/>
    <x v="0"/>
    <x v="1"/>
    <x v="8"/>
    <n v="206"/>
    <n v="197.76"/>
    <n v="0"/>
    <n v="0"/>
    <n v="0"/>
    <n v="0"/>
    <n v="1"/>
    <s v="CATIVO"/>
    <n v="0"/>
    <n v="44"/>
    <n v="0"/>
    <n v="0"/>
    <n v="24.31"/>
    <n v="0"/>
    <n v="0"/>
    <n v="27.784726797371405"/>
    <m/>
    <m/>
    <n v="200.31440000000021"/>
    <n v="0"/>
    <n v="228.94614881034065"/>
    <n v="0"/>
    <x v="2"/>
  </r>
  <r>
    <s v="Regular"/>
    <x v="1"/>
    <x v="3"/>
    <x v="1"/>
    <x v="0"/>
    <x v="2"/>
    <x v="0"/>
    <x v="1"/>
    <x v="9"/>
    <n v="8140"/>
    <n v="7814.4"/>
    <n v="0"/>
    <n v="0"/>
    <n v="0"/>
    <n v="0"/>
    <n v="44"/>
    <s v="CATIVO"/>
    <n v="0"/>
    <n v="44"/>
    <n v="0"/>
    <n v="0"/>
    <n v="24.31"/>
    <n v="0"/>
    <n v="0"/>
    <n v="27.784726797371405"/>
    <m/>
    <m/>
    <n v="7915.3360000000084"/>
    <n v="0"/>
    <n v="9046.7070452241405"/>
    <n v="0"/>
    <x v="2"/>
  </r>
  <r>
    <s v="Refaturamento - Regular"/>
    <x v="1"/>
    <x v="3"/>
    <x v="1"/>
    <x v="0"/>
    <x v="2"/>
    <x v="0"/>
    <x v="1"/>
    <x v="9"/>
    <n v="-414"/>
    <n v="-397.44"/>
    <n v="0"/>
    <n v="0"/>
    <n v="0"/>
    <n v="0"/>
    <n v="-4"/>
    <s v="CATIVO"/>
    <n v="0"/>
    <n v="44"/>
    <n v="0"/>
    <n v="0"/>
    <n v="24.31"/>
    <n v="0"/>
    <n v="0"/>
    <n v="27.784726797371405"/>
    <m/>
    <m/>
    <n v="-402.57360000000006"/>
    <n v="0"/>
    <n v="-460.11507576447053"/>
    <n v="0"/>
    <x v="2"/>
  </r>
  <r>
    <s v="Sistema de Compensação"/>
    <x v="1"/>
    <x v="3"/>
    <x v="1"/>
    <x v="0"/>
    <x v="2"/>
    <x v="0"/>
    <x v="1"/>
    <x v="9"/>
    <n v="179"/>
    <n v="171.84"/>
    <n v="0"/>
    <n v="0"/>
    <n v="0"/>
    <n v="0"/>
    <n v="1"/>
    <s v="CATIVO"/>
    <n v="0"/>
    <n v="44"/>
    <n v="0"/>
    <n v="0"/>
    <n v="24.31"/>
    <n v="0"/>
    <n v="0"/>
    <n v="27.784726797371405"/>
    <m/>
    <m/>
    <n v="174.0595999999999"/>
    <n v="0"/>
    <n v="198.93864386917917"/>
    <n v="0"/>
    <x v="2"/>
  </r>
  <r>
    <s v="Regular"/>
    <x v="1"/>
    <x v="3"/>
    <x v="1"/>
    <x v="0"/>
    <x v="2"/>
    <x v="0"/>
    <x v="1"/>
    <x v="10"/>
    <n v="8638"/>
    <n v="8292.48"/>
    <n v="0"/>
    <n v="0"/>
    <n v="0"/>
    <n v="0"/>
    <n v="43"/>
    <s v="CATIVO"/>
    <n v="0"/>
    <n v="44"/>
    <n v="0"/>
    <n v="0"/>
    <n v="24.31"/>
    <n v="0"/>
    <n v="0"/>
    <n v="27.784726797371405"/>
    <m/>
    <m/>
    <n v="8399.5912000000098"/>
    <n v="0"/>
    <n v="9600.1788030277803"/>
    <n v="0"/>
    <x v="2"/>
  </r>
  <r>
    <s v="Refaturamento - Regular"/>
    <x v="1"/>
    <x v="3"/>
    <x v="1"/>
    <x v="0"/>
    <x v="2"/>
    <x v="0"/>
    <x v="1"/>
    <x v="10"/>
    <n v="14"/>
    <n v="13.44"/>
    <n v="0"/>
    <n v="0"/>
    <n v="0"/>
    <n v="0"/>
    <n v="1"/>
    <s v="CATIVO"/>
    <n v="0"/>
    <n v="44"/>
    <n v="0"/>
    <n v="0"/>
    <n v="24.31"/>
    <n v="0"/>
    <n v="0"/>
    <n v="27.784726797371405"/>
    <m/>
    <m/>
    <n v="13.613600000000011"/>
    <n v="0"/>
    <n v="15.559447006528"/>
    <n v="0"/>
    <x v="2"/>
  </r>
  <r>
    <s v="Sistema de Compensação"/>
    <x v="1"/>
    <x v="3"/>
    <x v="1"/>
    <x v="0"/>
    <x v="2"/>
    <x v="0"/>
    <x v="1"/>
    <x v="10"/>
    <n v="270"/>
    <n v="259.2"/>
    <n v="0"/>
    <n v="0"/>
    <n v="0"/>
    <n v="0"/>
    <n v="2"/>
    <s v="CATIVO"/>
    <n v="0"/>
    <n v="44"/>
    <n v="0"/>
    <n v="0"/>
    <n v="24.31"/>
    <n v="0"/>
    <n v="0"/>
    <n v="27.784726797371405"/>
    <m/>
    <m/>
    <n v="262.54800000000029"/>
    <n v="0"/>
    <n v="300.07504941161147"/>
    <n v="0"/>
    <x v="2"/>
  </r>
  <r>
    <s v="PROJETADO"/>
    <x v="1"/>
    <x v="3"/>
    <x v="1"/>
    <x v="0"/>
    <x v="2"/>
    <x v="0"/>
    <x v="1"/>
    <x v="11"/>
    <n v="8638"/>
    <n v="8292.48"/>
    <n v="0"/>
    <n v="0"/>
    <n v="0"/>
    <n v="0"/>
    <n v="43"/>
    <s v="CATIVO"/>
    <n v="0"/>
    <n v="44"/>
    <n v="0"/>
    <n v="0"/>
    <n v="24.31"/>
    <n v="0"/>
    <n v="0"/>
    <n v="27.784726797371405"/>
    <m/>
    <m/>
    <n v="8399.5912000000098"/>
    <n v="0"/>
    <n v="9600.1788030277803"/>
    <n v="0"/>
    <x v="2"/>
  </r>
  <r>
    <s v="PROJETADO"/>
    <x v="1"/>
    <x v="3"/>
    <x v="1"/>
    <x v="0"/>
    <x v="2"/>
    <x v="0"/>
    <x v="1"/>
    <x v="11"/>
    <n v="14"/>
    <n v="13.44"/>
    <n v="0"/>
    <n v="0"/>
    <n v="0"/>
    <n v="0"/>
    <n v="1"/>
    <s v="CATIVO"/>
    <n v="0"/>
    <n v="44"/>
    <n v="0"/>
    <n v="0"/>
    <n v="24.31"/>
    <n v="0"/>
    <n v="0"/>
    <n v="27.784726797371405"/>
    <m/>
    <m/>
    <n v="13.613600000000011"/>
    <n v="0"/>
    <n v="15.559447006528"/>
    <n v="0"/>
    <x v="2"/>
  </r>
  <r>
    <s v="PROJETADO"/>
    <x v="1"/>
    <x v="3"/>
    <x v="1"/>
    <x v="0"/>
    <x v="2"/>
    <x v="0"/>
    <x v="1"/>
    <x v="11"/>
    <n v="270"/>
    <n v="259.2"/>
    <n v="0"/>
    <n v="0"/>
    <n v="0"/>
    <n v="0"/>
    <n v="2"/>
    <s v="CATIVO"/>
    <n v="0"/>
    <n v="44"/>
    <n v="0"/>
    <n v="0"/>
    <n v="24.31"/>
    <n v="0"/>
    <n v="0"/>
    <n v="27.784726797371405"/>
    <m/>
    <m/>
    <n v="262.54800000000029"/>
    <n v="0"/>
    <n v="300.07504941161147"/>
    <n v="0"/>
    <x v="2"/>
  </r>
  <r>
    <s v="Regular"/>
    <x v="1"/>
    <x v="3"/>
    <x v="1"/>
    <x v="0"/>
    <x v="2"/>
    <x v="0"/>
    <x v="2"/>
    <x v="0"/>
    <n v="0"/>
    <n v="0"/>
    <n v="30.745999999999999"/>
    <n v="29.516159999999999"/>
    <n v="30.745999999999999"/>
    <n v="29.516159999999999"/>
    <n v="0"/>
    <s v="CATIVO"/>
    <n v="0"/>
    <n v="0"/>
    <n v="20"/>
    <n v="88"/>
    <n v="0"/>
    <n v="1564.59"/>
    <n v="365.5"/>
    <m/>
    <n v="1922.323293423678"/>
    <n v="382.75425465660959"/>
    <n v="0"/>
    <n v="2373.7018855999986"/>
    <n v="0"/>
    <n v="2834.8765717310594"/>
    <x v="2"/>
  </r>
  <r>
    <s v="Regular"/>
    <x v="1"/>
    <x v="3"/>
    <x v="1"/>
    <x v="0"/>
    <x v="2"/>
    <x v="0"/>
    <x v="2"/>
    <x v="1"/>
    <n v="0"/>
    <n v="0"/>
    <n v="260.08"/>
    <n v="249.67679999999999"/>
    <n v="260.08"/>
    <n v="249.67679999999999"/>
    <n v="0"/>
    <s v="CATIVO"/>
    <n v="0"/>
    <n v="0"/>
    <n v="20"/>
    <n v="88"/>
    <n v="0"/>
    <n v="1564.59"/>
    <n v="365.5"/>
    <m/>
    <n v="1922.323293423678"/>
    <n v="382.75425465660959"/>
    <n v="0"/>
    <n v="20079.112287999997"/>
    <n v="0"/>
    <n v="23980.182748188843"/>
    <x v="2"/>
  </r>
  <r>
    <s v="Refaturamento - Regular"/>
    <x v="1"/>
    <x v="3"/>
    <x v="1"/>
    <x v="0"/>
    <x v="2"/>
    <x v="0"/>
    <x v="2"/>
    <x v="1"/>
    <n v="0"/>
    <n v="0"/>
    <n v="0.08"/>
    <n v="7.6799999999999993E-2"/>
    <n v="0.08"/>
    <n v="7.6799999999999993E-2"/>
    <n v="0"/>
    <s v="CATIVO"/>
    <n v="0"/>
    <n v="0"/>
    <n v="20"/>
    <n v="88"/>
    <n v="0"/>
    <n v="1564.59"/>
    <n v="365.5"/>
    <m/>
    <n v="1922.323293423678"/>
    <n v="382.75425465660959"/>
    <n v="0"/>
    <n v="6.1762880000000155"/>
    <n v="0"/>
    <n v="7.37624815385694"/>
    <x v="2"/>
  </r>
  <r>
    <s v="Regular"/>
    <x v="1"/>
    <x v="3"/>
    <x v="1"/>
    <x v="0"/>
    <x v="2"/>
    <x v="0"/>
    <x v="2"/>
    <x v="2"/>
    <n v="0"/>
    <n v="0"/>
    <n v="24.515999999999998"/>
    <n v="23.535360000000001"/>
    <n v="24.515999999999998"/>
    <n v="23.535360000000001"/>
    <n v="0"/>
    <s v="CATIVO"/>
    <n v="0"/>
    <n v="0"/>
    <n v="20"/>
    <n v="88"/>
    <n v="0"/>
    <n v="1564.59"/>
    <n v="365.5"/>
    <m/>
    <n v="1922.323293423678"/>
    <n v="382.75425465660959"/>
    <n v="0"/>
    <n v="1892.7234575999951"/>
    <n v="0"/>
    <n v="2260.4512467494478"/>
    <x v="2"/>
  </r>
  <r>
    <s v="Regular"/>
    <x v="1"/>
    <x v="3"/>
    <x v="1"/>
    <x v="0"/>
    <x v="2"/>
    <x v="0"/>
    <x v="2"/>
    <x v="3"/>
    <n v="0"/>
    <n v="0"/>
    <n v="27.988"/>
    <n v="26.868480000000002"/>
    <n v="27.988"/>
    <n v="26.868480000000002"/>
    <n v="0"/>
    <s v="CATIVO"/>
    <n v="0"/>
    <n v="0"/>
    <n v="20"/>
    <n v="88"/>
    <n v="0"/>
    <n v="1564.59"/>
    <n v="365.5"/>
    <m/>
    <n v="1922.323293423678"/>
    <n v="382.75425465660959"/>
    <n v="0"/>
    <n v="2160.774356799996"/>
    <n v="0"/>
    <n v="2580.5804166268385"/>
    <x v="2"/>
  </r>
  <r>
    <s v="Refaturamento - Regular"/>
    <x v="1"/>
    <x v="3"/>
    <x v="1"/>
    <x v="0"/>
    <x v="2"/>
    <x v="0"/>
    <x v="2"/>
    <x v="3"/>
    <n v="0"/>
    <n v="0"/>
    <n v="8.2000000000000003E-2"/>
    <n v="7.8719999999999998E-2"/>
    <n v="8.2000000000000003E-2"/>
    <n v="7.8719999999999998E-2"/>
    <n v="0"/>
    <s v="CATIVO"/>
    <n v="0"/>
    <n v="0"/>
    <n v="20"/>
    <n v="88"/>
    <n v="0"/>
    <n v="1564.59"/>
    <n v="365.5"/>
    <m/>
    <n v="1922.323293423678"/>
    <n v="382.75425465660959"/>
    <n v="0"/>
    <n v="6.3306952000000098"/>
    <n v="0"/>
    <n v="7.5606543577033554"/>
    <x v="2"/>
  </r>
  <r>
    <s v="Sistema de Compensação"/>
    <x v="1"/>
    <x v="3"/>
    <x v="1"/>
    <x v="0"/>
    <x v="2"/>
    <x v="0"/>
    <x v="2"/>
    <x v="3"/>
    <n v="0"/>
    <n v="0"/>
    <n v="0.35"/>
    <n v="0.33600000000000002"/>
    <n v="0.35"/>
    <n v="0.33600000000000002"/>
    <n v="0"/>
    <s v="CATIVO"/>
    <n v="0"/>
    <n v="0"/>
    <n v="20"/>
    <n v="88"/>
    <n v="0"/>
    <n v="1564.59"/>
    <n v="365.5"/>
    <m/>
    <n v="1922.323293423678"/>
    <n v="382.75425465660959"/>
    <n v="0"/>
    <n v="27.021259999999916"/>
    <n v="0"/>
    <n v="32.271085673123928"/>
    <x v="2"/>
  </r>
  <r>
    <s v="Regular"/>
    <x v="1"/>
    <x v="3"/>
    <x v="1"/>
    <x v="0"/>
    <x v="2"/>
    <x v="0"/>
    <x v="2"/>
    <x v="4"/>
    <n v="0"/>
    <n v="0"/>
    <n v="24.655999999999999"/>
    <n v="23.66976"/>
    <n v="24.655999999999999"/>
    <n v="23.66976"/>
    <n v="0"/>
    <s v="CATIVO"/>
    <n v="0"/>
    <n v="0"/>
    <n v="20"/>
    <n v="88"/>
    <n v="0"/>
    <n v="1564.59"/>
    <n v="365.5"/>
    <m/>
    <n v="1922.323293423678"/>
    <n v="382.75425465660959"/>
    <n v="0"/>
    <n v="1903.5319615999974"/>
    <n v="0"/>
    <n v="2273.3596810187"/>
    <x v="2"/>
  </r>
  <r>
    <s v="Refaturamento - Regular"/>
    <x v="1"/>
    <x v="3"/>
    <x v="1"/>
    <x v="0"/>
    <x v="2"/>
    <x v="0"/>
    <x v="2"/>
    <x v="4"/>
    <n v="0"/>
    <n v="0"/>
    <n v="-233.1"/>
    <n v="-223.77600000000001"/>
    <n v="-233.1"/>
    <n v="-223.77600000000001"/>
    <n v="0"/>
    <s v="CATIVO"/>
    <n v="0"/>
    <n v="0"/>
    <n v="20"/>
    <n v="88"/>
    <n v="0"/>
    <n v="1564.59"/>
    <n v="365.5"/>
    <m/>
    <n v="1922.323293423678"/>
    <n v="382.75425465660959"/>
    <n v="0"/>
    <n v="-17996.159159999967"/>
    <n v="0"/>
    <n v="-21492.543058300565"/>
    <x v="2"/>
  </r>
  <r>
    <s v="Regular"/>
    <x v="1"/>
    <x v="3"/>
    <x v="1"/>
    <x v="0"/>
    <x v="2"/>
    <x v="0"/>
    <x v="2"/>
    <x v="5"/>
    <n v="0"/>
    <n v="0"/>
    <n v="29.007000000000001"/>
    <n v="27.846720000000001"/>
    <n v="29.007000000000001"/>
    <n v="27.846720000000001"/>
    <n v="0"/>
    <s v="CATIVO"/>
    <n v="0"/>
    <n v="0"/>
    <n v="20"/>
    <n v="88"/>
    <n v="0"/>
    <n v="1564.59"/>
    <n v="365.5"/>
    <m/>
    <n v="1922.323293423678"/>
    <n v="382.75425465660959"/>
    <n v="0"/>
    <n v="2239.4448252000002"/>
    <n v="0"/>
    <n v="2674.5353774865962"/>
    <x v="2"/>
  </r>
  <r>
    <s v="Sistema de Compensação"/>
    <x v="1"/>
    <x v="3"/>
    <x v="1"/>
    <x v="0"/>
    <x v="2"/>
    <x v="0"/>
    <x v="2"/>
    <x v="5"/>
    <n v="0"/>
    <n v="0"/>
    <n v="0.35"/>
    <n v="0.33600000000000002"/>
    <n v="0.35"/>
    <n v="0.33600000000000002"/>
    <n v="0"/>
    <s v="CATIVO"/>
    <n v="0"/>
    <n v="0"/>
    <n v="20"/>
    <n v="88"/>
    <n v="0"/>
    <n v="1564.59"/>
    <n v="365.5"/>
    <m/>
    <n v="1922.323293423678"/>
    <n v="382.75425465660959"/>
    <n v="0"/>
    <n v="27.021259999999916"/>
    <n v="0"/>
    <n v="32.271085673123928"/>
    <x v="2"/>
  </r>
  <r>
    <s v="Regular"/>
    <x v="1"/>
    <x v="3"/>
    <x v="1"/>
    <x v="0"/>
    <x v="2"/>
    <x v="0"/>
    <x v="2"/>
    <x v="6"/>
    <n v="0"/>
    <n v="0"/>
    <n v="35.317999999999998"/>
    <n v="33.905279999999998"/>
    <n v="35.317999999999998"/>
    <n v="33.905279999999998"/>
    <n v="0"/>
    <s v="CATIVO"/>
    <n v="0"/>
    <n v="0"/>
    <n v="20"/>
    <n v="88"/>
    <n v="0"/>
    <n v="1564.59"/>
    <n v="365.5"/>
    <m/>
    <n v="1922.323293423678"/>
    <n v="382.75425465660959"/>
    <n v="0"/>
    <n v="2726.6767448000005"/>
    <n v="0"/>
    <n v="3256.4291537239842"/>
    <x v="2"/>
  </r>
  <r>
    <s v="Regular"/>
    <x v="1"/>
    <x v="3"/>
    <x v="1"/>
    <x v="0"/>
    <x v="2"/>
    <x v="0"/>
    <x v="2"/>
    <x v="7"/>
    <n v="0"/>
    <n v="0"/>
    <n v="46.494"/>
    <n v="44.634239999999998"/>
    <n v="46.494"/>
    <n v="44.634239999999998"/>
    <n v="0"/>
    <s v="CATIVO"/>
    <n v="0"/>
    <n v="0"/>
    <n v="20"/>
    <n v="88"/>
    <n v="0"/>
    <n v="1564.59"/>
    <n v="365.5"/>
    <m/>
    <n v="1922.323293423678"/>
    <n v="382.75425465660959"/>
    <n v="0"/>
    <n v="3589.5041784000023"/>
    <n v="0"/>
    <n v="4286.8910208177986"/>
    <x v="2"/>
  </r>
  <r>
    <s v="Regular"/>
    <x v="1"/>
    <x v="3"/>
    <x v="1"/>
    <x v="0"/>
    <x v="2"/>
    <x v="0"/>
    <x v="2"/>
    <x v="8"/>
    <n v="0"/>
    <n v="0"/>
    <n v="36.526000000000003"/>
    <n v="35.064959999999999"/>
    <n v="36.526000000000003"/>
    <n v="35.064959999999999"/>
    <n v="0"/>
    <s v="CATIVO"/>
    <n v="0"/>
    <n v="0"/>
    <n v="20"/>
    <n v="88"/>
    <n v="0"/>
    <n v="1564.59"/>
    <n v="365.5"/>
    <m/>
    <n v="1922.323293423678"/>
    <n v="382.75425465660959"/>
    <n v="0"/>
    <n v="2819.9386936000083"/>
    <n v="0"/>
    <n v="3367.810500847233"/>
    <x v="2"/>
  </r>
  <r>
    <s v="Sistema de Compensação"/>
    <x v="1"/>
    <x v="3"/>
    <x v="1"/>
    <x v="0"/>
    <x v="2"/>
    <x v="0"/>
    <x v="2"/>
    <x v="8"/>
    <n v="0"/>
    <n v="0"/>
    <n v="0.35"/>
    <n v="0.33600000000000002"/>
    <n v="0.35"/>
    <n v="0.33600000000000002"/>
    <n v="0"/>
    <s v="CATIVO"/>
    <n v="0"/>
    <n v="0"/>
    <n v="20"/>
    <n v="88"/>
    <n v="0"/>
    <n v="1564.59"/>
    <n v="365.5"/>
    <m/>
    <n v="1922.323293423678"/>
    <n v="382.75425465660959"/>
    <n v="0"/>
    <n v="27.021259999999916"/>
    <n v="0"/>
    <n v="32.271085673123928"/>
    <x v="2"/>
  </r>
  <r>
    <s v="Regular"/>
    <x v="1"/>
    <x v="3"/>
    <x v="1"/>
    <x v="0"/>
    <x v="2"/>
    <x v="0"/>
    <x v="2"/>
    <x v="9"/>
    <n v="0"/>
    <n v="0"/>
    <n v="29.971"/>
    <n v="28.77216"/>
    <n v="29.971"/>
    <n v="28.77216"/>
    <n v="0"/>
    <s v="CATIVO"/>
    <n v="0"/>
    <n v="0"/>
    <n v="20"/>
    <n v="88"/>
    <n v="0"/>
    <n v="1564.59"/>
    <n v="365.5"/>
    <m/>
    <n v="1922.323293423678"/>
    <n v="382.75425465660959"/>
    <n v="0"/>
    <n v="2313.8690956000009"/>
    <n v="0"/>
    <n v="2763.4191677405734"/>
    <x v="2"/>
  </r>
  <r>
    <s v="Refaturamento - Regular"/>
    <x v="1"/>
    <x v="3"/>
    <x v="1"/>
    <x v="0"/>
    <x v="2"/>
    <x v="0"/>
    <x v="2"/>
    <x v="9"/>
    <n v="0"/>
    <n v="0"/>
    <n v="-0.20100000000000001"/>
    <n v="-0.19295999999999999"/>
    <n v="-0.20100000000000001"/>
    <n v="-0.19295999999999999"/>
    <n v="0"/>
    <s v="CATIVO"/>
    <n v="0"/>
    <n v="0"/>
    <n v="20"/>
    <n v="88"/>
    <n v="0"/>
    <n v="1564.59"/>
    <n v="365.5"/>
    <m/>
    <n v="1922.323293423678"/>
    <n v="382.75425465660959"/>
    <n v="0"/>
    <n v="-15.517923600000037"/>
    <n v="0"/>
    <n v="-18.532823486565555"/>
    <x v="2"/>
  </r>
  <r>
    <s v="Sistema de Compensação"/>
    <x v="1"/>
    <x v="3"/>
    <x v="1"/>
    <x v="0"/>
    <x v="2"/>
    <x v="0"/>
    <x v="2"/>
    <x v="9"/>
    <n v="0"/>
    <n v="0"/>
    <n v="4.4999999999999998E-2"/>
    <n v="4.3200000000000002E-2"/>
    <n v="4.4999999999999998E-2"/>
    <n v="4.3200000000000002E-2"/>
    <n v="0"/>
    <s v="CATIVO"/>
    <n v="0"/>
    <n v="0"/>
    <n v="20"/>
    <n v="88"/>
    <n v="0"/>
    <n v="1564.59"/>
    <n v="365.5"/>
    <m/>
    <n v="1922.323293423678"/>
    <n v="382.75425465660959"/>
    <n v="0"/>
    <n v="3.4741619999999926"/>
    <n v="0"/>
    <n v="4.1491395865445089"/>
    <x v="2"/>
  </r>
  <r>
    <s v="Regular"/>
    <x v="1"/>
    <x v="3"/>
    <x v="1"/>
    <x v="0"/>
    <x v="2"/>
    <x v="0"/>
    <x v="2"/>
    <x v="10"/>
    <n v="0"/>
    <n v="0"/>
    <n v="25.776"/>
    <n v="24.744959999999999"/>
    <n v="25.776"/>
    <n v="24.744959999999999"/>
    <n v="0"/>
    <s v="CATIVO"/>
    <n v="0"/>
    <n v="0"/>
    <n v="20"/>
    <n v="88"/>
    <n v="0"/>
    <n v="1564.59"/>
    <n v="365.5"/>
    <m/>
    <n v="1922.323293423678"/>
    <n v="382.75425465660959"/>
    <n v="0"/>
    <n v="1989.9999936000017"/>
    <n v="0"/>
    <n v="2376.6271551727018"/>
    <x v="2"/>
  </r>
  <r>
    <s v="Refaturamento - Regular"/>
    <x v="1"/>
    <x v="3"/>
    <x v="1"/>
    <x v="0"/>
    <x v="2"/>
    <x v="0"/>
    <x v="2"/>
    <x v="10"/>
    <n v="0"/>
    <n v="0"/>
    <n v="7.0000000000000001E-3"/>
    <n v="6.7200000000000003E-3"/>
    <n v="7.0000000000000001E-3"/>
    <n v="6.7200000000000003E-3"/>
    <n v="0"/>
    <s v="CATIVO"/>
    <n v="0"/>
    <n v="0"/>
    <n v="20"/>
    <n v="88"/>
    <n v="0"/>
    <n v="1564.59"/>
    <n v="365.5"/>
    <m/>
    <n v="1922.323293423678"/>
    <n v="382.75425465660959"/>
    <n v="0"/>
    <n v="0.54042519999999972"/>
    <n v="0"/>
    <n v="0.64542171346248023"/>
    <x v="2"/>
  </r>
  <r>
    <s v="Sistema de Compensação"/>
    <x v="1"/>
    <x v="3"/>
    <x v="1"/>
    <x v="0"/>
    <x v="2"/>
    <x v="0"/>
    <x v="2"/>
    <x v="10"/>
    <n v="0"/>
    <n v="0"/>
    <n v="4.4029999999999996"/>
    <n v="4.2268800000000004"/>
    <n v="4.4029999999999996"/>
    <n v="4.2268800000000004"/>
    <n v="0"/>
    <s v="CATIVO"/>
    <n v="0"/>
    <n v="0"/>
    <n v="20"/>
    <n v="88"/>
    <n v="0"/>
    <n v="1564.59"/>
    <n v="365.5"/>
    <m/>
    <n v="1922.323293423678"/>
    <n v="382.75425465660959"/>
    <n v="0"/>
    <n v="339.92745079999838"/>
    <n v="0"/>
    <n v="405.97025776789832"/>
    <x v="2"/>
  </r>
  <r>
    <s v="PROJETADO"/>
    <x v="1"/>
    <x v="3"/>
    <x v="1"/>
    <x v="0"/>
    <x v="2"/>
    <x v="0"/>
    <x v="2"/>
    <x v="11"/>
    <n v="0"/>
    <n v="0"/>
    <n v="25.776"/>
    <n v="24.744959999999999"/>
    <n v="25.776"/>
    <n v="24.744959999999999"/>
    <n v="0"/>
    <s v="CATIVO"/>
    <n v="0"/>
    <n v="0"/>
    <n v="20"/>
    <n v="88"/>
    <n v="0"/>
    <n v="1564.59"/>
    <n v="365.5"/>
    <m/>
    <n v="1922.323293423678"/>
    <n v="382.75425465660959"/>
    <n v="0"/>
    <n v="1989.9999936000017"/>
    <n v="0"/>
    <n v="2376.6271551727018"/>
    <x v="2"/>
  </r>
  <r>
    <s v="PROJETADO"/>
    <x v="1"/>
    <x v="3"/>
    <x v="1"/>
    <x v="0"/>
    <x v="2"/>
    <x v="0"/>
    <x v="2"/>
    <x v="11"/>
    <n v="0"/>
    <n v="0"/>
    <n v="7.0000000000000001E-3"/>
    <n v="6.7200000000000003E-3"/>
    <n v="7.0000000000000001E-3"/>
    <n v="6.7200000000000003E-3"/>
    <n v="0"/>
    <s v="CATIVO"/>
    <n v="0"/>
    <n v="0"/>
    <n v="20"/>
    <n v="88"/>
    <n v="0"/>
    <n v="1564.59"/>
    <n v="365.5"/>
    <m/>
    <n v="1922.323293423678"/>
    <n v="382.75425465660959"/>
    <n v="0"/>
    <n v="0.54042519999999972"/>
    <n v="0"/>
    <n v="0.64542171346248023"/>
    <x v="2"/>
  </r>
  <r>
    <s v="PROJETADO"/>
    <x v="1"/>
    <x v="3"/>
    <x v="1"/>
    <x v="0"/>
    <x v="2"/>
    <x v="0"/>
    <x v="2"/>
    <x v="11"/>
    <n v="0"/>
    <n v="0"/>
    <n v="4.4029999999999996"/>
    <n v="4.2268800000000004"/>
    <n v="4.4029999999999996"/>
    <n v="4.2268800000000004"/>
    <n v="0"/>
    <s v="CATIVO"/>
    <n v="0"/>
    <n v="0"/>
    <n v="20"/>
    <n v="88"/>
    <n v="0"/>
    <n v="1564.59"/>
    <n v="365.5"/>
    <m/>
    <n v="1922.323293423678"/>
    <n v="382.75425465660959"/>
    <n v="0"/>
    <n v="339.92745079999838"/>
    <n v="0"/>
    <n v="405.97025776789832"/>
    <x v="2"/>
  </r>
  <r>
    <s v="Regular"/>
    <x v="1"/>
    <x v="3"/>
    <x v="2"/>
    <x v="2"/>
    <x v="2"/>
    <x v="0"/>
    <x v="0"/>
    <x v="0"/>
    <n v="0"/>
    <n v="0"/>
    <n v="6324.3580000000002"/>
    <n v="5944.8965200000002"/>
    <n v="6324.3580000000002"/>
    <n v="5944.8965200000002"/>
    <n v="0"/>
    <s v="CATIVO"/>
    <n v="0"/>
    <n v="0"/>
    <n v="21"/>
    <n v="89"/>
    <n v="0"/>
    <n v="51.27"/>
    <n v="222.31"/>
    <m/>
    <n v="66.787442987613147"/>
    <n v="236.64237028527376"/>
    <n v="0"/>
    <n v="103813.07169839999"/>
    <n v="0"/>
    <n v="115139.92602065329"/>
    <x v="3"/>
  </r>
  <r>
    <s v="Regular"/>
    <x v="1"/>
    <x v="3"/>
    <x v="2"/>
    <x v="2"/>
    <x v="2"/>
    <x v="0"/>
    <x v="0"/>
    <x v="1"/>
    <n v="0"/>
    <n v="0"/>
    <n v="6309.06"/>
    <n v="5930.5164000000004"/>
    <n v="6309.06"/>
    <n v="5930.5164000000004"/>
    <n v="0"/>
    <s v="CATIVO"/>
    <n v="0"/>
    <n v="0"/>
    <n v="21"/>
    <n v="89"/>
    <n v="0"/>
    <n v="51.27"/>
    <n v="222.31"/>
    <m/>
    <n v="66.787442987613147"/>
    <n v="236.64237028527376"/>
    <n v="0"/>
    <n v="103561.958088"/>
    <n v="0"/>
    <n v="114861.41386364638"/>
    <x v="3"/>
  </r>
  <r>
    <s v="Regular"/>
    <x v="1"/>
    <x v="3"/>
    <x v="2"/>
    <x v="2"/>
    <x v="2"/>
    <x v="0"/>
    <x v="0"/>
    <x v="2"/>
    <n v="0"/>
    <n v="0"/>
    <n v="4076.402"/>
    <n v="3831.8178800000001"/>
    <n v="4076.402"/>
    <n v="3831.8178800000001"/>
    <n v="0"/>
    <s v="CATIVO"/>
    <n v="0"/>
    <n v="0"/>
    <n v="21"/>
    <n v="89"/>
    <n v="0"/>
    <n v="51.27"/>
    <n v="222.31"/>
    <m/>
    <n v="66.787442987613147"/>
    <n v="236.64237028527376"/>
    <n v="0"/>
    <n v="66913.323549599998"/>
    <n v="0"/>
    <n v="74214.11386111335"/>
    <x v="3"/>
  </r>
  <r>
    <s v="Regular"/>
    <x v="1"/>
    <x v="3"/>
    <x v="2"/>
    <x v="2"/>
    <x v="2"/>
    <x v="0"/>
    <x v="0"/>
    <x v="3"/>
    <n v="0"/>
    <n v="0"/>
    <n v="4288.4340000000002"/>
    <n v="4031.1279599999998"/>
    <n v="4288.4340000000002"/>
    <n v="4031.1279599999998"/>
    <n v="0"/>
    <s v="CATIVO"/>
    <n v="0"/>
    <n v="0"/>
    <n v="21"/>
    <n v="89"/>
    <n v="0"/>
    <n v="51.27"/>
    <n v="222.31"/>
    <m/>
    <n v="66.787442987613147"/>
    <n v="236.64237028527376"/>
    <n v="0"/>
    <n v="70393.786423200101"/>
    <n v="0"/>
    <n v="78074.323671186081"/>
    <x v="3"/>
  </r>
  <r>
    <s v="Refaturamento - Regular"/>
    <x v="1"/>
    <x v="3"/>
    <x v="2"/>
    <x v="2"/>
    <x v="2"/>
    <x v="0"/>
    <x v="0"/>
    <x v="3"/>
    <n v="0"/>
    <n v="0"/>
    <n v="-5.7969999999999997"/>
    <n v="-5.4491800000000001"/>
    <n v="-5.7969999999999997"/>
    <n v="-5.4491800000000001"/>
    <n v="0"/>
    <s v="CATIVO"/>
    <n v="0"/>
    <n v="0"/>
    <n v="21"/>
    <n v="89"/>
    <n v="0"/>
    <n v="51.27"/>
    <n v="222.31"/>
    <m/>
    <n v="66.787442987613147"/>
    <n v="236.64237028527376"/>
    <n v="0"/>
    <n v="-95.156595599999889"/>
    <n v="0"/>
    <n v="-105.53895765257539"/>
    <x v="3"/>
  </r>
  <r>
    <s v="Regular"/>
    <x v="1"/>
    <x v="3"/>
    <x v="2"/>
    <x v="2"/>
    <x v="2"/>
    <x v="0"/>
    <x v="0"/>
    <x v="4"/>
    <n v="0"/>
    <n v="0"/>
    <n v="3834.7689999999998"/>
    <n v="3604.6828599999999"/>
    <n v="3834.7689999999998"/>
    <n v="3604.6828599999999"/>
    <n v="0"/>
    <s v="CATIVO"/>
    <n v="0"/>
    <n v="0"/>
    <n v="21"/>
    <n v="89"/>
    <n v="0"/>
    <n v="51.27"/>
    <n v="222.31"/>
    <m/>
    <n v="66.787442987613147"/>
    <n v="236.64237028527376"/>
    <n v="0"/>
    <n v="62946.966181199969"/>
    <n v="0"/>
    <n v="69814.994496879284"/>
    <x v="3"/>
  </r>
  <r>
    <s v="Regular"/>
    <x v="1"/>
    <x v="3"/>
    <x v="2"/>
    <x v="2"/>
    <x v="2"/>
    <x v="0"/>
    <x v="0"/>
    <x v="5"/>
    <n v="0"/>
    <n v="0"/>
    <n v="3731.7869999999998"/>
    <n v="3507.8797800000002"/>
    <n v="3731.7869999999998"/>
    <n v="3507.8797800000002"/>
    <n v="0"/>
    <s v="CATIVO"/>
    <n v="0"/>
    <n v="0"/>
    <n v="21"/>
    <n v="89"/>
    <n v="0"/>
    <n v="51.27"/>
    <n v="222.31"/>
    <m/>
    <n v="66.787442987613147"/>
    <n v="236.64237028527376"/>
    <n v="0"/>
    <n v="61256.537247599888"/>
    <n v="0"/>
    <n v="67940.125955051088"/>
    <x v="3"/>
  </r>
  <r>
    <s v="Regular"/>
    <x v="1"/>
    <x v="3"/>
    <x v="2"/>
    <x v="2"/>
    <x v="2"/>
    <x v="0"/>
    <x v="0"/>
    <x v="6"/>
    <n v="0"/>
    <n v="0"/>
    <n v="3771.1889999999999"/>
    <n v="3544.9176600000001"/>
    <n v="3771.1889999999999"/>
    <n v="3544.9176600000001"/>
    <n v="0"/>
    <s v="CATIVO"/>
    <n v="0"/>
    <n v="0"/>
    <n v="21"/>
    <n v="89"/>
    <n v="0"/>
    <n v="51.27"/>
    <n v="222.31"/>
    <m/>
    <n v="66.787442987613147"/>
    <n v="236.64237028527376"/>
    <n v="0"/>
    <n v="61903.313197199939"/>
    <n v="0"/>
    <n v="68657.470445205836"/>
    <x v="3"/>
  </r>
  <r>
    <s v="Regular"/>
    <x v="1"/>
    <x v="3"/>
    <x v="2"/>
    <x v="2"/>
    <x v="2"/>
    <x v="0"/>
    <x v="0"/>
    <x v="7"/>
    <n v="0"/>
    <n v="0"/>
    <n v="3388.88"/>
    <n v="3185.5472"/>
    <n v="3388.88"/>
    <n v="3185.5472"/>
    <n v="0"/>
    <s v="CATIVO"/>
    <n v="0"/>
    <n v="0"/>
    <n v="21"/>
    <n v="89"/>
    <n v="0"/>
    <n v="51.27"/>
    <n v="222.31"/>
    <m/>
    <n v="66.787442987613147"/>
    <n v="236.64237028527376"/>
    <n v="0"/>
    <n v="55627.787424000038"/>
    <n v="0"/>
    <n v="61697.233536253298"/>
    <x v="3"/>
  </r>
  <r>
    <s v="Regular"/>
    <x v="1"/>
    <x v="3"/>
    <x v="2"/>
    <x v="2"/>
    <x v="2"/>
    <x v="0"/>
    <x v="0"/>
    <x v="8"/>
    <n v="0"/>
    <n v="0"/>
    <n v="3739.8969999999999"/>
    <n v="3515.5031800000002"/>
    <n v="3739.8969999999999"/>
    <n v="3515.5031800000002"/>
    <n v="0"/>
    <s v="CATIVO"/>
    <n v="0"/>
    <n v="0"/>
    <n v="21"/>
    <n v="89"/>
    <n v="0"/>
    <n v="51.27"/>
    <n v="222.31"/>
    <m/>
    <n v="66.787442987613147"/>
    <n v="236.64237028527376"/>
    <n v="0"/>
    <n v="61389.661275599945"/>
    <n v="0"/>
    <n v="68087.774902189733"/>
    <x v="3"/>
  </r>
  <r>
    <s v="Regular"/>
    <x v="1"/>
    <x v="3"/>
    <x v="2"/>
    <x v="2"/>
    <x v="2"/>
    <x v="0"/>
    <x v="0"/>
    <x v="9"/>
    <n v="0"/>
    <n v="0"/>
    <n v="3930.538"/>
    <n v="3694.7057199999999"/>
    <n v="3930.538"/>
    <n v="3694.7057199999999"/>
    <n v="0"/>
    <s v="CATIVO"/>
    <n v="0"/>
    <n v="0"/>
    <n v="21"/>
    <n v="89"/>
    <n v="0"/>
    <n v="51.27"/>
    <n v="222.31"/>
    <m/>
    <n v="66.787442987613147"/>
    <n v="236.64237028527376"/>
    <n v="0"/>
    <n v="64518.995162400024"/>
    <n v="0"/>
    <n v="71558.544684119202"/>
    <x v="3"/>
  </r>
  <r>
    <s v="Regular"/>
    <x v="1"/>
    <x v="3"/>
    <x v="2"/>
    <x v="2"/>
    <x v="2"/>
    <x v="0"/>
    <x v="0"/>
    <x v="10"/>
    <n v="0"/>
    <n v="0"/>
    <n v="3564.7330000000002"/>
    <n v="3350.8490200000001"/>
    <n v="3564.7330000000002"/>
    <n v="3350.8490200000001"/>
    <n v="0"/>
    <s v="CATIVO"/>
    <n v="0"/>
    <n v="0"/>
    <n v="21"/>
    <n v="89"/>
    <n v="0"/>
    <n v="51.27"/>
    <n v="222.31"/>
    <m/>
    <n v="66.787442987613147"/>
    <n v="236.64237028527376"/>
    <n v="0"/>
    <n v="58514.379248400022"/>
    <n v="0"/>
    <n v="64898.7761134619"/>
    <x v="3"/>
  </r>
  <r>
    <s v="PROJETADO"/>
    <x v="1"/>
    <x v="3"/>
    <x v="2"/>
    <x v="2"/>
    <x v="2"/>
    <x v="0"/>
    <x v="0"/>
    <x v="11"/>
    <n v="0"/>
    <n v="0"/>
    <n v="3564.7330000000002"/>
    <n v="3350.8490200000001"/>
    <n v="3564.7330000000002"/>
    <n v="3350.8490200000001"/>
    <n v="0"/>
    <s v="CATIVO"/>
    <n v="0"/>
    <n v="0"/>
    <n v="21"/>
    <n v="89"/>
    <n v="0"/>
    <n v="51.27"/>
    <n v="222.31"/>
    <m/>
    <n v="66.787442987613147"/>
    <n v="236.64237028527376"/>
    <n v="0"/>
    <n v="58514.379248400022"/>
    <n v="0"/>
    <n v="64898.7761134619"/>
    <x v="3"/>
  </r>
  <r>
    <s v="Regular"/>
    <x v="1"/>
    <x v="3"/>
    <x v="2"/>
    <x v="2"/>
    <x v="2"/>
    <x v="0"/>
    <x v="1"/>
    <x v="0"/>
    <n v="14195"/>
    <n v="12065.75"/>
    <n v="0"/>
    <n v="0"/>
    <n v="0"/>
    <n v="0"/>
    <n v="58"/>
    <s v="CATIVO"/>
    <n v="0"/>
    <n v="44"/>
    <n v="0"/>
    <n v="0"/>
    <n v="24.31"/>
    <n v="0"/>
    <n v="0"/>
    <n v="27.784726797371405"/>
    <m/>
    <m/>
    <n v="51762.067499999997"/>
    <n v="0"/>
    <n v="59160.629533303065"/>
    <n v="0"/>
    <x v="3"/>
  </r>
  <r>
    <s v="Regular"/>
    <x v="1"/>
    <x v="3"/>
    <x v="2"/>
    <x v="2"/>
    <x v="2"/>
    <x v="0"/>
    <x v="1"/>
    <x v="1"/>
    <n v="14252"/>
    <n v="12114.199999999999"/>
    <n v="0"/>
    <n v="0"/>
    <n v="0"/>
    <n v="0"/>
    <n v="58"/>
    <s v="CATIVO"/>
    <n v="0"/>
    <n v="44"/>
    <n v="0"/>
    <n v="0"/>
    <n v="24.31"/>
    <n v="0"/>
    <n v="0"/>
    <n v="27.784726797371405"/>
    <m/>
    <m/>
    <n v="51969.918000000027"/>
    <n v="0"/>
    <n v="59398.188947420618"/>
    <n v="0"/>
    <x v="3"/>
  </r>
  <r>
    <s v="Regular"/>
    <x v="1"/>
    <x v="3"/>
    <x v="2"/>
    <x v="2"/>
    <x v="2"/>
    <x v="0"/>
    <x v="1"/>
    <x v="2"/>
    <n v="9983"/>
    <n v="8485.5499999999993"/>
    <n v="0"/>
    <n v="0"/>
    <n v="0"/>
    <n v="0"/>
    <n v="53"/>
    <s v="CATIVO"/>
    <n v="0"/>
    <n v="44"/>
    <n v="0"/>
    <n v="0"/>
    <n v="24.31"/>
    <n v="0"/>
    <n v="0"/>
    <n v="27.784726797371405"/>
    <m/>
    <m/>
    <n v="36403.009500000015"/>
    <n v="0"/>
    <n v="41606.239142723833"/>
    <n v="0"/>
    <x v="3"/>
  </r>
  <r>
    <s v="Regular"/>
    <x v="1"/>
    <x v="3"/>
    <x v="2"/>
    <x v="2"/>
    <x v="2"/>
    <x v="0"/>
    <x v="1"/>
    <x v="3"/>
    <n v="9891"/>
    <n v="8407.35"/>
    <n v="0"/>
    <n v="0"/>
    <n v="0"/>
    <n v="0"/>
    <n v="51"/>
    <s v="CATIVO"/>
    <n v="0"/>
    <n v="44"/>
    <n v="0"/>
    <n v="0"/>
    <n v="24.31"/>
    <n v="0"/>
    <n v="0"/>
    <n v="27.784726797371405"/>
    <m/>
    <m/>
    <n v="36067.53149999999"/>
    <n v="0"/>
    <n v="41222.809912920078"/>
    <n v="0"/>
    <x v="3"/>
  </r>
  <r>
    <s v="Regular"/>
    <x v="1"/>
    <x v="3"/>
    <x v="2"/>
    <x v="2"/>
    <x v="2"/>
    <x v="0"/>
    <x v="1"/>
    <x v="4"/>
    <n v="8790"/>
    <n v="7471.5"/>
    <n v="0"/>
    <n v="0"/>
    <n v="0"/>
    <n v="0"/>
    <n v="50"/>
    <s v="CATIVO"/>
    <n v="0"/>
    <n v="44"/>
    <n v="0"/>
    <n v="0"/>
    <n v="24.31"/>
    <n v="0"/>
    <n v="0"/>
    <n v="27.784726797371405"/>
    <m/>
    <m/>
    <n v="32052.734999999997"/>
    <n v="0"/>
    <n v="36634.162282334197"/>
    <n v="0"/>
    <x v="3"/>
  </r>
  <r>
    <s v="Regular"/>
    <x v="1"/>
    <x v="3"/>
    <x v="2"/>
    <x v="2"/>
    <x v="2"/>
    <x v="0"/>
    <x v="1"/>
    <x v="5"/>
    <n v="8837"/>
    <n v="7511.45"/>
    <n v="0"/>
    <n v="0"/>
    <n v="0"/>
    <n v="0"/>
    <n v="50"/>
    <s v="CATIVO"/>
    <n v="0"/>
    <n v="44"/>
    <n v="0"/>
    <n v="0"/>
    <n v="24.31"/>
    <n v="0"/>
    <n v="0"/>
    <n v="27.784726797371405"/>
    <m/>
    <m/>
    <n v="32224.120500000005"/>
    <n v="0"/>
    <n v="36830.044606255673"/>
    <n v="0"/>
    <x v="3"/>
  </r>
  <r>
    <s v="Regular"/>
    <x v="1"/>
    <x v="3"/>
    <x v="2"/>
    <x v="2"/>
    <x v="2"/>
    <x v="0"/>
    <x v="1"/>
    <x v="6"/>
    <n v="8702"/>
    <n v="7396.7"/>
    <n v="0"/>
    <n v="0"/>
    <n v="0"/>
    <n v="0"/>
    <n v="50"/>
    <s v="CATIVO"/>
    <n v="0"/>
    <n v="44"/>
    <n v="0"/>
    <n v="0"/>
    <n v="24.31"/>
    <n v="0"/>
    <n v="0"/>
    <n v="27.784726797371405"/>
    <m/>
    <m/>
    <n v="31731.843000000004"/>
    <n v="0"/>
    <n v="36267.403888608904"/>
    <n v="0"/>
    <x v="3"/>
  </r>
  <r>
    <s v="Regular"/>
    <x v="1"/>
    <x v="3"/>
    <x v="2"/>
    <x v="2"/>
    <x v="2"/>
    <x v="0"/>
    <x v="1"/>
    <x v="7"/>
    <n v="8809"/>
    <n v="7487.65"/>
    <n v="0"/>
    <n v="0"/>
    <n v="0"/>
    <n v="0"/>
    <n v="51"/>
    <s v="CATIVO"/>
    <n v="0"/>
    <n v="44"/>
    <n v="0"/>
    <n v="0"/>
    <n v="24.31"/>
    <n v="0"/>
    <n v="0"/>
    <n v="27.784726797371405"/>
    <m/>
    <m/>
    <n v="32122.018500000006"/>
    <n v="0"/>
    <n v="36713.348753706719"/>
    <n v="0"/>
    <x v="3"/>
  </r>
  <r>
    <s v="Regular"/>
    <x v="1"/>
    <x v="3"/>
    <x v="2"/>
    <x v="2"/>
    <x v="2"/>
    <x v="0"/>
    <x v="1"/>
    <x v="8"/>
    <n v="8757"/>
    <n v="7443.45"/>
    <n v="0"/>
    <n v="0"/>
    <n v="0"/>
    <n v="0"/>
    <n v="49"/>
    <s v="CATIVO"/>
    <n v="0"/>
    <n v="44"/>
    <n v="0"/>
    <n v="0"/>
    <n v="24.31"/>
    <n v="0"/>
    <n v="0"/>
    <n v="27.784726797371405"/>
    <m/>
    <m/>
    <n v="31932.400500000003"/>
    <n v="0"/>
    <n v="36496.627884687216"/>
    <n v="0"/>
    <x v="3"/>
  </r>
  <r>
    <s v="Regular"/>
    <x v="1"/>
    <x v="3"/>
    <x v="2"/>
    <x v="2"/>
    <x v="2"/>
    <x v="0"/>
    <x v="1"/>
    <x v="9"/>
    <n v="8848"/>
    <n v="7520.8"/>
    <n v="0"/>
    <n v="0"/>
    <n v="0"/>
    <n v="0"/>
    <n v="50"/>
    <s v="CATIVO"/>
    <n v="0"/>
    <n v="44"/>
    <n v="0"/>
    <n v="0"/>
    <n v="24.31"/>
    <n v="0"/>
    <n v="0"/>
    <n v="27.784726797371405"/>
    <m/>
    <m/>
    <n v="32264.231999999993"/>
    <n v="0"/>
    <n v="36875.889405471324"/>
    <n v="0"/>
    <x v="3"/>
  </r>
  <r>
    <s v="Regular"/>
    <x v="1"/>
    <x v="3"/>
    <x v="2"/>
    <x v="2"/>
    <x v="2"/>
    <x v="0"/>
    <x v="1"/>
    <x v="10"/>
    <n v="8890"/>
    <n v="7556.5"/>
    <n v="0"/>
    <n v="0"/>
    <n v="0"/>
    <n v="0"/>
    <n v="51"/>
    <s v="CATIVO"/>
    <n v="0"/>
    <n v="44"/>
    <n v="0"/>
    <n v="0"/>
    <n v="24.31"/>
    <n v="0"/>
    <n v="0"/>
    <n v="27.784726797371405"/>
    <m/>
    <m/>
    <n v="32417.384999999998"/>
    <n v="0"/>
    <n v="37050.933184294772"/>
    <n v="0"/>
    <x v="3"/>
  </r>
  <r>
    <s v="Refaturamento - Regular"/>
    <x v="1"/>
    <x v="3"/>
    <x v="2"/>
    <x v="2"/>
    <x v="2"/>
    <x v="0"/>
    <x v="1"/>
    <x v="10"/>
    <n v="30"/>
    <n v="25.5"/>
    <n v="0"/>
    <n v="0"/>
    <n v="0"/>
    <n v="0"/>
    <n v="0"/>
    <s v="CATIVO"/>
    <n v="0"/>
    <n v="44"/>
    <n v="0"/>
    <n v="0"/>
    <n v="24.31"/>
    <n v="0"/>
    <n v="0"/>
    <n v="27.784726797371405"/>
    <m/>
    <m/>
    <n v="109.395"/>
    <n v="0"/>
    <n v="125.03127058817132"/>
    <n v="0"/>
    <x v="3"/>
  </r>
  <r>
    <s v="PROJETADO"/>
    <x v="1"/>
    <x v="3"/>
    <x v="2"/>
    <x v="2"/>
    <x v="2"/>
    <x v="0"/>
    <x v="1"/>
    <x v="11"/>
    <n v="8890"/>
    <n v="7556.5"/>
    <n v="0"/>
    <n v="0"/>
    <n v="0"/>
    <n v="0"/>
    <n v="51"/>
    <s v="CATIVO"/>
    <n v="0"/>
    <n v="44"/>
    <n v="0"/>
    <n v="0"/>
    <n v="24.31"/>
    <n v="0"/>
    <n v="0"/>
    <n v="27.784726797371405"/>
    <m/>
    <m/>
    <n v="32417.384999999998"/>
    <n v="0"/>
    <n v="37050.933184294772"/>
    <n v="0"/>
    <x v="3"/>
  </r>
  <r>
    <s v="PROJETADO"/>
    <x v="1"/>
    <x v="3"/>
    <x v="2"/>
    <x v="2"/>
    <x v="2"/>
    <x v="0"/>
    <x v="1"/>
    <x v="11"/>
    <n v="30"/>
    <n v="25.5"/>
    <n v="0"/>
    <n v="0"/>
    <n v="0"/>
    <n v="0"/>
    <n v="0"/>
    <s v="CATIVO"/>
    <n v="0"/>
    <n v="44"/>
    <n v="0"/>
    <n v="0"/>
    <n v="24.31"/>
    <n v="0"/>
    <n v="0"/>
    <n v="27.784726797371405"/>
    <m/>
    <m/>
    <n v="109.395"/>
    <n v="0"/>
    <n v="125.03127058817132"/>
    <n v="0"/>
    <x v="3"/>
  </r>
  <r>
    <s v="Regular"/>
    <x v="1"/>
    <x v="3"/>
    <x v="2"/>
    <x v="2"/>
    <x v="2"/>
    <x v="0"/>
    <x v="2"/>
    <x v="0"/>
    <n v="0"/>
    <n v="0"/>
    <n v="517"/>
    <n v="485.98"/>
    <n v="517"/>
    <n v="485.98"/>
    <n v="0"/>
    <s v="CATIVO"/>
    <n v="0"/>
    <n v="0"/>
    <n v="20"/>
    <n v="88"/>
    <n v="0"/>
    <n v="1564.59"/>
    <n v="365.5"/>
    <m/>
    <n v="1922.323293423678"/>
    <n v="382.75425465660959"/>
    <n v="0"/>
    <n v="59871.391799999968"/>
    <n v="0"/>
    <n v="71503.505541450475"/>
    <x v="3"/>
  </r>
  <r>
    <s v="Regular"/>
    <x v="1"/>
    <x v="3"/>
    <x v="2"/>
    <x v="2"/>
    <x v="2"/>
    <x v="0"/>
    <x v="2"/>
    <x v="1"/>
    <n v="0"/>
    <n v="0"/>
    <n v="467.923"/>
    <n v="439.84762000000001"/>
    <n v="467.923"/>
    <n v="439.84762000000001"/>
    <n v="0"/>
    <s v="CATIVO"/>
    <n v="0"/>
    <n v="0"/>
    <n v="20"/>
    <n v="88"/>
    <n v="0"/>
    <n v="1564.59"/>
    <n v="365.5"/>
    <m/>
    <n v="1922.323293423678"/>
    <n v="382.75425465660959"/>
    <n v="0"/>
    <n v="54188.010184199993"/>
    <n v="0"/>
    <n v="64715.928091822338"/>
    <x v="3"/>
  </r>
  <r>
    <s v="Regular"/>
    <x v="1"/>
    <x v="3"/>
    <x v="2"/>
    <x v="2"/>
    <x v="2"/>
    <x v="0"/>
    <x v="2"/>
    <x v="2"/>
    <n v="0"/>
    <n v="0"/>
    <n v="309.91500000000002"/>
    <n v="291.32010000000002"/>
    <n v="309.91500000000002"/>
    <n v="291.32010000000002"/>
    <n v="0"/>
    <s v="CATIVO"/>
    <n v="0"/>
    <n v="0"/>
    <n v="20"/>
    <n v="88"/>
    <n v="0"/>
    <n v="1564.59"/>
    <n v="365.5"/>
    <m/>
    <n v="1922.323293423678"/>
    <n v="382.75425465660959"/>
    <n v="0"/>
    <n v="35889.830540999988"/>
    <n v="0"/>
    <n v="42862.686498798132"/>
    <x v="3"/>
  </r>
  <r>
    <s v="Regular"/>
    <x v="1"/>
    <x v="3"/>
    <x v="2"/>
    <x v="2"/>
    <x v="2"/>
    <x v="0"/>
    <x v="2"/>
    <x v="3"/>
    <n v="0"/>
    <n v="0"/>
    <n v="338.399"/>
    <n v="318.09505999999999"/>
    <n v="338.399"/>
    <n v="318.09505999999999"/>
    <n v="0"/>
    <s v="CATIVO"/>
    <n v="0"/>
    <n v="0"/>
    <n v="20"/>
    <n v="88"/>
    <n v="0"/>
    <n v="1564.59"/>
    <n v="365.5"/>
    <m/>
    <n v="1922.323293423678"/>
    <n v="382.75425465660959"/>
    <n v="0"/>
    <n v="39188.431554600022"/>
    <n v="0"/>
    <n v="46802.156231569301"/>
    <x v="3"/>
  </r>
  <r>
    <s v="Refaturamento - Regular"/>
    <x v="1"/>
    <x v="3"/>
    <x v="2"/>
    <x v="2"/>
    <x v="2"/>
    <x v="0"/>
    <x v="2"/>
    <x v="3"/>
    <n v="0"/>
    <n v="0"/>
    <n v="-1.6579999999999999"/>
    <n v="-1.5585199999999999"/>
    <n v="-1.6579999999999999"/>
    <n v="-1.5585199999999999"/>
    <n v="0"/>
    <s v="CATIVO"/>
    <n v="0"/>
    <n v="0"/>
    <n v="20"/>
    <n v="88"/>
    <n v="0"/>
    <n v="1564.59"/>
    <n v="365.5"/>
    <m/>
    <n v="1922.323293423678"/>
    <n v="382.75425465660959"/>
    <n v="0"/>
    <n v="-192.0053532"/>
    <n v="0"/>
    <n v="-229.30911448302703"/>
    <x v="3"/>
  </r>
  <r>
    <s v="Regular"/>
    <x v="1"/>
    <x v="3"/>
    <x v="2"/>
    <x v="2"/>
    <x v="2"/>
    <x v="0"/>
    <x v="2"/>
    <x v="4"/>
    <n v="0"/>
    <n v="0"/>
    <n v="343.34199999999998"/>
    <n v="322.74148000000002"/>
    <n v="343.34199999999998"/>
    <n v="322.74148000000002"/>
    <n v="0"/>
    <s v="CATIVO"/>
    <n v="0"/>
    <n v="0"/>
    <n v="20"/>
    <n v="88"/>
    <n v="0"/>
    <n v="1564.59"/>
    <n v="365.5"/>
    <m/>
    <n v="1922.323293423678"/>
    <n v="382.75425465660959"/>
    <n v="0"/>
    <n v="39760.857646799923"/>
    <n v="0"/>
    <n v="47485.796130778836"/>
    <x v="3"/>
  </r>
  <r>
    <s v="Regular"/>
    <x v="1"/>
    <x v="3"/>
    <x v="2"/>
    <x v="2"/>
    <x v="2"/>
    <x v="0"/>
    <x v="2"/>
    <x v="5"/>
    <n v="0"/>
    <n v="0"/>
    <n v="255.63300000000001"/>
    <n v="240.29501999999999"/>
    <n v="255.63300000000001"/>
    <n v="240.29501999999999"/>
    <n v="0"/>
    <s v="CATIVO"/>
    <n v="0"/>
    <n v="0"/>
    <n v="20"/>
    <n v="88"/>
    <n v="0"/>
    <n v="1564.59"/>
    <n v="365.5"/>
    <m/>
    <n v="1922.323293423678"/>
    <n v="382.75425465660959"/>
    <n v="0"/>
    <n v="29603.681818200032"/>
    <n v="0"/>
    <n v="35355.233330904528"/>
    <x v="3"/>
  </r>
  <r>
    <s v="Regular"/>
    <x v="1"/>
    <x v="3"/>
    <x v="2"/>
    <x v="2"/>
    <x v="2"/>
    <x v="0"/>
    <x v="2"/>
    <x v="6"/>
    <n v="0"/>
    <n v="0"/>
    <n v="254.77699999999999"/>
    <n v="239.49037999999999"/>
    <n v="254.77699999999999"/>
    <n v="239.49037999999999"/>
    <n v="0"/>
    <s v="CATIVO"/>
    <n v="0"/>
    <n v="0"/>
    <n v="20"/>
    <n v="88"/>
    <n v="0"/>
    <n v="1564.59"/>
    <n v="365.5"/>
    <m/>
    <n v="1922.323293423678"/>
    <n v="382.75425465660959"/>
    <n v="0"/>
    <n v="29504.552395799998"/>
    <n v="0"/>
    <n v="35236.844548035086"/>
    <x v="3"/>
  </r>
  <r>
    <s v="Regular"/>
    <x v="1"/>
    <x v="3"/>
    <x v="2"/>
    <x v="2"/>
    <x v="2"/>
    <x v="0"/>
    <x v="2"/>
    <x v="7"/>
    <n v="0"/>
    <n v="0"/>
    <n v="263.03699999999998"/>
    <n v="247.25478000000001"/>
    <n v="263.03699999999998"/>
    <n v="247.25478000000001"/>
    <n v="0"/>
    <s v="CATIVO"/>
    <n v="0"/>
    <n v="0"/>
    <n v="20"/>
    <n v="88"/>
    <n v="0"/>
    <n v="1564.59"/>
    <n v="365.5"/>
    <m/>
    <n v="1922.323293423678"/>
    <n v="382.75425465660959"/>
    <n v="0"/>
    <n v="30461.104999799936"/>
    <n v="0"/>
    <n v="36379.2409808636"/>
    <x v="3"/>
  </r>
  <r>
    <s v="Regular"/>
    <x v="1"/>
    <x v="3"/>
    <x v="2"/>
    <x v="2"/>
    <x v="2"/>
    <x v="0"/>
    <x v="2"/>
    <x v="8"/>
    <n v="0"/>
    <n v="0"/>
    <n v="296.10899999999998"/>
    <n v="278.34246000000002"/>
    <n v="296.10899999999998"/>
    <n v="278.34246000000002"/>
    <n v="0"/>
    <s v="CATIVO"/>
    <n v="0"/>
    <n v="0"/>
    <n v="20"/>
    <n v="88"/>
    <n v="0"/>
    <n v="1564.59"/>
    <n v="365.5"/>
    <m/>
    <n v="1922.323293423678"/>
    <n v="382.75425465660959"/>
    <n v="0"/>
    <n v="34291.021188599931"/>
    <n v="0"/>
    <n v="40953.252461070268"/>
    <x v="3"/>
  </r>
  <r>
    <s v="Regular"/>
    <x v="1"/>
    <x v="3"/>
    <x v="2"/>
    <x v="2"/>
    <x v="2"/>
    <x v="0"/>
    <x v="2"/>
    <x v="9"/>
    <n v="0"/>
    <n v="0"/>
    <n v="283.55799999999999"/>
    <n v="266.54451999999998"/>
    <n v="283.55799999999999"/>
    <n v="266.54451999999998"/>
    <n v="0"/>
    <s v="CATIVO"/>
    <n v="0"/>
    <n v="0"/>
    <n v="20"/>
    <n v="88"/>
    <n v="0"/>
    <n v="1564.59"/>
    <n v="365.5"/>
    <m/>
    <n v="1922.323293423678"/>
    <n v="382.75425465660959"/>
    <n v="0"/>
    <n v="32837.547613200033"/>
    <n v="0"/>
    <n v="39217.390762713047"/>
    <x v="3"/>
  </r>
  <r>
    <s v="Regular"/>
    <x v="1"/>
    <x v="3"/>
    <x v="2"/>
    <x v="2"/>
    <x v="2"/>
    <x v="0"/>
    <x v="2"/>
    <x v="10"/>
    <n v="0"/>
    <n v="0"/>
    <n v="267.255"/>
    <n v="251.21969999999999"/>
    <n v="267.255"/>
    <n v="251.21969999999999"/>
    <n v="0"/>
    <s v="CATIVO"/>
    <n v="0"/>
    <n v="0"/>
    <n v="20"/>
    <n v="88"/>
    <n v="0"/>
    <n v="1564.59"/>
    <n v="365.5"/>
    <m/>
    <n v="1922.323293423678"/>
    <n v="382.75425465660959"/>
    <n v="0"/>
    <n v="30949.572177000009"/>
    <n v="0"/>
    <n v="36962.610006731848"/>
    <x v="3"/>
  </r>
  <r>
    <s v="PROJETADO"/>
    <x v="1"/>
    <x v="3"/>
    <x v="2"/>
    <x v="2"/>
    <x v="2"/>
    <x v="0"/>
    <x v="2"/>
    <x v="11"/>
    <n v="0"/>
    <n v="0"/>
    <n v="267.255"/>
    <n v="251.21969999999999"/>
    <n v="267.255"/>
    <n v="251.21969999999999"/>
    <n v="0"/>
    <s v="CATIVO"/>
    <n v="0"/>
    <n v="0"/>
    <n v="20"/>
    <n v="88"/>
    <n v="0"/>
    <n v="1564.59"/>
    <n v="365.5"/>
    <m/>
    <n v="1922.323293423678"/>
    <n v="382.75425465660959"/>
    <n v="0"/>
    <n v="30949.572177000009"/>
    <n v="0"/>
    <n v="36962.610006731848"/>
    <x v="3"/>
  </r>
  <r>
    <s v="Regular"/>
    <x v="2"/>
    <x v="4"/>
    <x v="4"/>
    <x v="3"/>
    <x v="2"/>
    <x v="0"/>
    <x v="1"/>
    <x v="0"/>
    <n v="0"/>
    <n v="0"/>
    <n v="83240.540999999997"/>
    <n v="83240.540999999997"/>
    <n v="83240.540999999997"/>
    <n v="83240.540999999997"/>
    <n v="503995"/>
    <s v="CATIVO"/>
    <n v="0"/>
    <n v="0"/>
    <n v="48"/>
    <n v="65"/>
    <n v="0"/>
    <n v="346.2"/>
    <n v="234.24"/>
    <m/>
    <n v="428.92696349888774"/>
    <n v="248.81836064955178"/>
    <n v="0"/>
    <n v="0"/>
    <n v="0"/>
    <n v="0"/>
    <x v="6"/>
  </r>
  <r>
    <s v="Regular"/>
    <x v="2"/>
    <x v="4"/>
    <x v="4"/>
    <x v="4"/>
    <x v="2"/>
    <x v="0"/>
    <x v="1"/>
    <x v="0"/>
    <n v="0"/>
    <n v="0"/>
    <n v="6850.3620000000001"/>
    <n v="6850.3620000000001"/>
    <n v="6850.3620000000001"/>
    <n v="6850.3620000000001"/>
    <n v="20281"/>
    <s v="CATIVO"/>
    <n v="0"/>
    <n v="0"/>
    <n v="26"/>
    <n v="99"/>
    <n v="0"/>
    <n v="107.74"/>
    <n v="81.98"/>
    <m/>
    <n v="130.71853199091476"/>
    <n v="87.086426227343111"/>
    <n v="0"/>
    <n v="2413793.5543199992"/>
    <n v="0"/>
    <n v="2770936.6456384626"/>
    <x v="7"/>
  </r>
  <r>
    <s v="Refaturamento - Regular"/>
    <x v="2"/>
    <x v="4"/>
    <x v="4"/>
    <x v="4"/>
    <x v="2"/>
    <x v="0"/>
    <x v="1"/>
    <x v="0"/>
    <n v="0"/>
    <n v="0"/>
    <n v="-1.675"/>
    <n v="-1.675"/>
    <n v="-1.675"/>
    <n v="-1.675"/>
    <n v="-38"/>
    <s v="CATIVO"/>
    <n v="0"/>
    <n v="0"/>
    <n v="26"/>
    <n v="99"/>
    <n v="0"/>
    <n v="107.74"/>
    <n v="81.98"/>
    <m/>
    <n v="130.71853199091476"/>
    <n v="87.086426227343111"/>
    <n v="0"/>
    <n v="-590.20299999999986"/>
    <n v="0"/>
    <n v="-677.52899502893797"/>
    <x v="7"/>
  </r>
  <r>
    <s v="Sistema de Compensação"/>
    <x v="2"/>
    <x v="4"/>
    <x v="4"/>
    <x v="4"/>
    <x v="2"/>
    <x v="0"/>
    <x v="1"/>
    <x v="0"/>
    <n v="0"/>
    <n v="0"/>
    <n v="1.32"/>
    <n v="1.32"/>
    <n v="1.32"/>
    <n v="1.32"/>
    <n v="7"/>
    <s v="CATIVO"/>
    <n v="0"/>
    <n v="0"/>
    <n v="26"/>
    <n v="99"/>
    <n v="0"/>
    <n v="107.74"/>
    <n v="81.98"/>
    <m/>
    <n v="130.71853199091476"/>
    <n v="87.086426227343111"/>
    <n v="0"/>
    <n v="465.1151999999999"/>
    <n v="0"/>
    <n v="533.93329757504364"/>
    <x v="7"/>
  </r>
  <r>
    <s v="Regular"/>
    <x v="2"/>
    <x v="4"/>
    <x v="4"/>
    <x v="4"/>
    <x v="2"/>
    <x v="0"/>
    <x v="1"/>
    <x v="1"/>
    <n v="0"/>
    <n v="0"/>
    <n v="6865.0609999999997"/>
    <n v="6865.0609999999997"/>
    <n v="6865.0609999999997"/>
    <n v="6865.0609999999997"/>
    <n v="21755"/>
    <s v="CATIVO"/>
    <n v="0"/>
    <n v="0"/>
    <n v="26"/>
    <n v="99"/>
    <n v="0"/>
    <n v="107.74"/>
    <n v="81.98"/>
    <m/>
    <n v="130.71853199091476"/>
    <n v="87.086426227343111"/>
    <n v="0"/>
    <n v="2418972.8939599991"/>
    <n v="0"/>
    <n v="2776882.3165028989"/>
    <x v="7"/>
  </r>
  <r>
    <s v="Refaturamento - Regular"/>
    <x v="2"/>
    <x v="4"/>
    <x v="4"/>
    <x v="4"/>
    <x v="2"/>
    <x v="0"/>
    <x v="1"/>
    <x v="1"/>
    <n v="0"/>
    <n v="0"/>
    <n v="-0.16"/>
    <n v="-0.16"/>
    <n v="-0.16"/>
    <n v="-0.16"/>
    <n v="-60"/>
    <s v="CATIVO"/>
    <n v="0"/>
    <n v="0"/>
    <n v="26"/>
    <n v="99"/>
    <n v="0"/>
    <n v="107.74"/>
    <n v="81.98"/>
    <m/>
    <n v="130.71853199091476"/>
    <n v="87.086426227343111"/>
    <n v="0"/>
    <n v="-56.377599999999987"/>
    <n v="0"/>
    <n v="-64.719187584853771"/>
    <x v="7"/>
  </r>
  <r>
    <s v="Sistema de Compensação"/>
    <x v="2"/>
    <x v="4"/>
    <x v="4"/>
    <x v="4"/>
    <x v="2"/>
    <x v="0"/>
    <x v="1"/>
    <x v="1"/>
    <n v="0"/>
    <n v="0"/>
    <n v="1.47"/>
    <n v="1.47"/>
    <n v="1.47"/>
    <n v="1.47"/>
    <n v="6"/>
    <s v="CATIVO"/>
    <n v="0"/>
    <n v="0"/>
    <n v="26"/>
    <n v="99"/>
    <n v="0"/>
    <n v="107.74"/>
    <n v="81.98"/>
    <m/>
    <n v="130.71853199091476"/>
    <n v="87.086426227343111"/>
    <n v="0"/>
    <n v="517.96919999999989"/>
    <n v="0"/>
    <n v="594.607535935844"/>
    <x v="7"/>
  </r>
  <r>
    <s v="Regular"/>
    <x v="2"/>
    <x v="4"/>
    <x v="4"/>
    <x v="4"/>
    <x v="2"/>
    <x v="0"/>
    <x v="1"/>
    <x v="2"/>
    <n v="0"/>
    <n v="0"/>
    <n v="6886.57"/>
    <n v="6886.57"/>
    <n v="6886.57"/>
    <n v="6886.57"/>
    <n v="22419"/>
    <s v="CATIVO"/>
    <n v="0"/>
    <n v="0"/>
    <n v="26"/>
    <n v="99"/>
    <n v="0"/>
    <n v="107.74"/>
    <n v="81.98"/>
    <m/>
    <n v="130.71853199091476"/>
    <n v="87.086426227343111"/>
    <n v="0"/>
    <n v="2426551.8051999994"/>
    <n v="0"/>
    <n v="2785582.597788915"/>
    <x v="7"/>
  </r>
  <r>
    <s v="Refaturamento - Regular"/>
    <x v="2"/>
    <x v="4"/>
    <x v="4"/>
    <x v="4"/>
    <x v="2"/>
    <x v="0"/>
    <x v="1"/>
    <x v="2"/>
    <n v="0"/>
    <n v="0"/>
    <n v="-0.126"/>
    <n v="-0.126"/>
    <n v="-0.126"/>
    <n v="-0.126"/>
    <n v="-6"/>
    <s v="CATIVO"/>
    <n v="0"/>
    <n v="0"/>
    <n v="26"/>
    <n v="99"/>
    <n v="0"/>
    <n v="107.74"/>
    <n v="81.98"/>
    <m/>
    <n v="130.71853199091476"/>
    <n v="87.086426227343111"/>
    <n v="0"/>
    <n v="-44.397359999999985"/>
    <n v="0"/>
    <n v="-50.966360223072343"/>
    <x v="7"/>
  </r>
  <r>
    <s v="Sistema de Compensação"/>
    <x v="2"/>
    <x v="4"/>
    <x v="4"/>
    <x v="4"/>
    <x v="2"/>
    <x v="0"/>
    <x v="1"/>
    <x v="2"/>
    <n v="0"/>
    <n v="0"/>
    <n v="1.53"/>
    <n v="1.53"/>
    <n v="1.53"/>
    <n v="1.53"/>
    <n v="5"/>
    <s v="CATIVO"/>
    <n v="0"/>
    <n v="0"/>
    <n v="26"/>
    <n v="99"/>
    <n v="0"/>
    <n v="107.74"/>
    <n v="81.98"/>
    <m/>
    <n v="130.71853199091476"/>
    <n v="87.086426227343111"/>
    <n v="0"/>
    <n v="539.11079999999981"/>
    <n v="0"/>
    <n v="618.87723128016421"/>
    <x v="7"/>
  </r>
  <r>
    <s v="Regular"/>
    <x v="2"/>
    <x v="4"/>
    <x v="4"/>
    <x v="4"/>
    <x v="2"/>
    <x v="0"/>
    <x v="1"/>
    <x v="3"/>
    <n v="0"/>
    <n v="0"/>
    <n v="6931.933"/>
    <n v="6931.933"/>
    <n v="6931.933"/>
    <n v="6931.933"/>
    <n v="23087"/>
    <s v="CATIVO"/>
    <n v="0"/>
    <n v="0"/>
    <n v="26"/>
    <n v="99"/>
    <n v="0"/>
    <n v="107.74"/>
    <n v="81.98"/>
    <m/>
    <n v="130.71853199091476"/>
    <n v="87.086426227343111"/>
    <n v="0"/>
    <n v="2442535.9118799991"/>
    <n v="0"/>
    <n v="2803931.7009539884"/>
    <x v="7"/>
  </r>
  <r>
    <s v="Refaturamento - Regular"/>
    <x v="2"/>
    <x v="4"/>
    <x v="4"/>
    <x v="4"/>
    <x v="2"/>
    <x v="0"/>
    <x v="1"/>
    <x v="3"/>
    <n v="0"/>
    <n v="0"/>
    <n v="1.5189999999999999"/>
    <n v="1.5189999999999999"/>
    <n v="1.5189999999999999"/>
    <n v="1.5189999999999999"/>
    <n v="14"/>
    <s v="CATIVO"/>
    <n v="0"/>
    <n v="0"/>
    <n v="26"/>
    <n v="99"/>
    <n v="0"/>
    <n v="107.74"/>
    <n v="81.98"/>
    <m/>
    <n v="130.71853199091476"/>
    <n v="87.086426227343111"/>
    <n v="0"/>
    <n v="535.23483999999985"/>
    <n v="0"/>
    <n v="614.42778713370546"/>
    <x v="7"/>
  </r>
  <r>
    <s v="Sistema de Compensação"/>
    <x v="2"/>
    <x v="4"/>
    <x v="4"/>
    <x v="4"/>
    <x v="2"/>
    <x v="0"/>
    <x v="1"/>
    <x v="3"/>
    <n v="0"/>
    <n v="0"/>
    <n v="1.71"/>
    <n v="1.71"/>
    <n v="1.71"/>
    <n v="1.71"/>
    <n v="4"/>
    <s v="CATIVO"/>
    <n v="0"/>
    <n v="0"/>
    <n v="26"/>
    <n v="99"/>
    <n v="0"/>
    <n v="107.74"/>
    <n v="81.98"/>
    <m/>
    <n v="130.71853199091476"/>
    <n v="87.086426227343111"/>
    <n v="0"/>
    <n v="602.53559999999982"/>
    <n v="0"/>
    <n v="691.68631731312462"/>
    <x v="7"/>
  </r>
  <r>
    <s v="Regular"/>
    <x v="2"/>
    <x v="4"/>
    <x v="4"/>
    <x v="4"/>
    <x v="2"/>
    <x v="0"/>
    <x v="1"/>
    <x v="4"/>
    <n v="0"/>
    <n v="0"/>
    <n v="6971.5640000000003"/>
    <n v="6971.5640000000003"/>
    <n v="6971.5640000000003"/>
    <n v="6971.5640000000003"/>
    <n v="24466"/>
    <s v="CATIVO"/>
    <n v="0"/>
    <n v="0"/>
    <n v="26"/>
    <n v="99"/>
    <n v="0"/>
    <n v="107.74"/>
    <n v="81.98"/>
    <m/>
    <n v="130.71853199091476"/>
    <n v="87.086426227343111"/>
    <n v="0"/>
    <n v="2456500.2910399996"/>
    <n v="0"/>
    <n v="2819962.2392238346"/>
    <x v="7"/>
  </r>
  <r>
    <s v="Refaturamento - Regular"/>
    <x v="2"/>
    <x v="4"/>
    <x v="4"/>
    <x v="4"/>
    <x v="2"/>
    <x v="0"/>
    <x v="1"/>
    <x v="4"/>
    <n v="0"/>
    <n v="0"/>
    <n v="3.0750000000000002"/>
    <n v="3.0750000000000002"/>
    <n v="3.0750000000000002"/>
    <n v="3.0750000000000002"/>
    <n v="13"/>
    <s v="CATIVO"/>
    <n v="0"/>
    <n v="0"/>
    <n v="26"/>
    <n v="99"/>
    <n v="0"/>
    <n v="107.74"/>
    <n v="81.98"/>
    <m/>
    <n v="130.71853199091476"/>
    <n v="87.086426227343111"/>
    <n v="0"/>
    <n v="1083.5069999999998"/>
    <n v="0"/>
    <n v="1243.8218863964084"/>
    <x v="7"/>
  </r>
  <r>
    <s v="Sistema de Compensação"/>
    <x v="2"/>
    <x v="4"/>
    <x v="4"/>
    <x v="4"/>
    <x v="2"/>
    <x v="0"/>
    <x v="1"/>
    <x v="4"/>
    <n v="0"/>
    <n v="0"/>
    <n v="1.8"/>
    <n v="1.8"/>
    <n v="1.8"/>
    <n v="1.8"/>
    <n v="3"/>
    <s v="CATIVO"/>
    <n v="0"/>
    <n v="0"/>
    <n v="26"/>
    <n v="99"/>
    <n v="0"/>
    <n v="107.74"/>
    <n v="81.98"/>
    <m/>
    <n v="130.71853199091476"/>
    <n v="87.086426227343111"/>
    <n v="0"/>
    <n v="634.24799999999982"/>
    <n v="0"/>
    <n v="728.09086032960499"/>
    <x v="7"/>
  </r>
  <r>
    <s v="Regular"/>
    <x v="2"/>
    <x v="4"/>
    <x v="4"/>
    <x v="4"/>
    <x v="2"/>
    <x v="0"/>
    <x v="1"/>
    <x v="5"/>
    <n v="0"/>
    <n v="0"/>
    <n v="6875.5219999999999"/>
    <n v="6875.5219999999999"/>
    <n v="6875.5219999999999"/>
    <n v="6875.5219999999999"/>
    <n v="23075"/>
    <s v="CATIVO"/>
    <n v="0"/>
    <n v="0"/>
    <n v="26"/>
    <n v="99"/>
    <n v="0"/>
    <n v="107.74"/>
    <n v="81.98"/>
    <m/>
    <n v="130.71853199091476"/>
    <n v="87.086426227343111"/>
    <n v="0"/>
    <n v="2422658.9319199994"/>
    <n v="0"/>
    <n v="2781113.7378861811"/>
    <x v="7"/>
  </r>
  <r>
    <s v="Refaturamento - Regular"/>
    <x v="2"/>
    <x v="4"/>
    <x v="4"/>
    <x v="4"/>
    <x v="2"/>
    <x v="0"/>
    <x v="1"/>
    <x v="5"/>
    <n v="0"/>
    <n v="0"/>
    <n v="7.2610000000000001"/>
    <n v="7.2610000000000001"/>
    <n v="7.2610000000000001"/>
    <n v="7.2610000000000001"/>
    <n v="19"/>
    <s v="CATIVO"/>
    <n v="0"/>
    <n v="0"/>
    <n v="26"/>
    <n v="99"/>
    <n v="0"/>
    <n v="107.74"/>
    <n v="81.98"/>
    <m/>
    <n v="130.71853199091476"/>
    <n v="87.086426227343111"/>
    <n v="0"/>
    <n v="2558.4859599999995"/>
    <n v="0"/>
    <n v="2937.0376315851454"/>
    <x v="7"/>
  </r>
  <r>
    <s v="Sistema de Compensação"/>
    <x v="2"/>
    <x v="4"/>
    <x v="4"/>
    <x v="4"/>
    <x v="2"/>
    <x v="0"/>
    <x v="1"/>
    <x v="5"/>
    <n v="0"/>
    <n v="0"/>
    <n v="1.86"/>
    <n v="1.86"/>
    <n v="1.86"/>
    <n v="1.86"/>
    <n v="3"/>
    <s v="CATIVO"/>
    <n v="0"/>
    <n v="0"/>
    <n v="26"/>
    <n v="99"/>
    <n v="0"/>
    <n v="107.74"/>
    <n v="81.98"/>
    <m/>
    <n v="130.71853199091476"/>
    <n v="87.086426227343111"/>
    <n v="0"/>
    <n v="655.38959999999986"/>
    <n v="0"/>
    <n v="752.36055567392509"/>
    <x v="7"/>
  </r>
  <r>
    <s v="Regular"/>
    <x v="2"/>
    <x v="4"/>
    <x v="4"/>
    <x v="4"/>
    <x v="2"/>
    <x v="0"/>
    <x v="1"/>
    <x v="6"/>
    <n v="0"/>
    <n v="0"/>
    <n v="6927.3630000000003"/>
    <n v="6927.3630000000003"/>
    <n v="6927.3630000000003"/>
    <n v="6927.3630000000003"/>
    <n v="21996"/>
    <s v="CATIVO"/>
    <n v="0"/>
    <n v="0"/>
    <n v="26"/>
    <n v="99"/>
    <n v="0"/>
    <n v="107.74"/>
    <n v="81.98"/>
    <m/>
    <n v="130.71853199091476"/>
    <n v="87.086426227343111"/>
    <n v="0"/>
    <n v="2440925.6266799993"/>
    <n v="0"/>
    <n v="2802083.1591585963"/>
    <x v="7"/>
  </r>
  <r>
    <s v="Refaturamento - Regular"/>
    <x v="2"/>
    <x v="4"/>
    <x v="4"/>
    <x v="4"/>
    <x v="2"/>
    <x v="0"/>
    <x v="1"/>
    <x v="6"/>
    <n v="0"/>
    <n v="0"/>
    <n v="1.2250000000000001"/>
    <n v="1.2250000000000001"/>
    <n v="1.2250000000000001"/>
    <n v="1.2250000000000001"/>
    <n v="17"/>
    <s v="CATIVO"/>
    <n v="0"/>
    <n v="0"/>
    <n v="26"/>
    <n v="99"/>
    <n v="0"/>
    <n v="107.74"/>
    <n v="81.98"/>
    <m/>
    <n v="130.71853199091476"/>
    <n v="87.086426227343111"/>
    <n v="0"/>
    <n v="431.64099999999991"/>
    <n v="0"/>
    <n v="495.50627994653672"/>
    <x v="7"/>
  </r>
  <r>
    <s v="Sistema de Compensação"/>
    <x v="2"/>
    <x v="4"/>
    <x v="4"/>
    <x v="4"/>
    <x v="2"/>
    <x v="0"/>
    <x v="1"/>
    <x v="6"/>
    <n v="0"/>
    <n v="0"/>
    <n v="1.95"/>
    <n v="1.95"/>
    <n v="1.95"/>
    <n v="1.95"/>
    <n v="5"/>
    <s v="CATIVO"/>
    <n v="0"/>
    <n v="0"/>
    <n v="26"/>
    <n v="99"/>
    <n v="0"/>
    <n v="107.74"/>
    <n v="81.98"/>
    <m/>
    <n v="130.71853199091476"/>
    <n v="87.086426227343111"/>
    <n v="0"/>
    <n v="687.10199999999975"/>
    <n v="0"/>
    <n v="788.76509869040535"/>
    <x v="7"/>
  </r>
  <r>
    <s v="Regular"/>
    <x v="2"/>
    <x v="4"/>
    <x v="4"/>
    <x v="4"/>
    <x v="2"/>
    <x v="0"/>
    <x v="1"/>
    <x v="7"/>
    <n v="0"/>
    <n v="0"/>
    <n v="6944.7920000000004"/>
    <n v="6944.7920000000004"/>
    <n v="6944.7920000000004"/>
    <n v="6944.7920000000004"/>
    <n v="21899"/>
    <s v="CATIVO"/>
    <n v="0"/>
    <n v="0"/>
    <n v="26"/>
    <n v="99"/>
    <n v="0"/>
    <n v="107.74"/>
    <n v="81.98"/>
    <m/>
    <n v="130.71853199091476"/>
    <n v="87.086426227343111"/>
    <n v="0"/>
    <n v="2447066.9091199995"/>
    <n v="0"/>
    <n v="2809133.1011611987"/>
    <x v="7"/>
  </r>
  <r>
    <s v="Refaturamento - Regular"/>
    <x v="2"/>
    <x v="4"/>
    <x v="4"/>
    <x v="4"/>
    <x v="2"/>
    <x v="0"/>
    <x v="1"/>
    <x v="7"/>
    <n v="0"/>
    <n v="0"/>
    <n v="1.409"/>
    <n v="1.409"/>
    <n v="1.409"/>
    <n v="1.409"/>
    <n v="-1"/>
    <s v="CATIVO"/>
    <n v="0"/>
    <n v="0"/>
    <n v="26"/>
    <n v="99"/>
    <n v="0"/>
    <n v="107.74"/>
    <n v="81.98"/>
    <m/>
    <n v="130.71853199091476"/>
    <n v="87.086426227343111"/>
    <n v="0"/>
    <n v="496.47523999999987"/>
    <n v="0"/>
    <n v="569.93334566911858"/>
    <x v="7"/>
  </r>
  <r>
    <s v="Sistema de Compensação"/>
    <x v="2"/>
    <x v="4"/>
    <x v="4"/>
    <x v="4"/>
    <x v="2"/>
    <x v="0"/>
    <x v="1"/>
    <x v="7"/>
    <n v="0"/>
    <n v="0"/>
    <n v="2.0099999999999998"/>
    <n v="2.0099999999999998"/>
    <n v="2.0099999999999998"/>
    <n v="2.0099999999999998"/>
    <n v="3"/>
    <s v="CATIVO"/>
    <n v="0"/>
    <n v="0"/>
    <n v="26"/>
    <n v="99"/>
    <n v="0"/>
    <n v="107.74"/>
    <n v="81.98"/>
    <m/>
    <n v="130.71853199091476"/>
    <n v="87.086426227343111"/>
    <n v="0"/>
    <n v="708.24359999999967"/>
    <n v="0"/>
    <n v="813.03479403472545"/>
    <x v="7"/>
  </r>
  <r>
    <s v="Regular"/>
    <x v="2"/>
    <x v="4"/>
    <x v="4"/>
    <x v="4"/>
    <x v="2"/>
    <x v="0"/>
    <x v="1"/>
    <x v="8"/>
    <n v="0"/>
    <n v="0"/>
    <n v="6935.1530000000002"/>
    <n v="6935.1530000000002"/>
    <n v="6935.1530000000002"/>
    <n v="6935.1530000000002"/>
    <n v="20869"/>
    <s v="CATIVO"/>
    <n v="0"/>
    <n v="0"/>
    <n v="26"/>
    <n v="99"/>
    <n v="0"/>
    <n v="107.74"/>
    <n v="81.98"/>
    <m/>
    <n v="130.71853199091476"/>
    <n v="87.086426227343111"/>
    <n v="0"/>
    <n v="2443670.5110799996"/>
    <n v="0"/>
    <n v="2805234.1746041337"/>
    <x v="7"/>
  </r>
  <r>
    <s v="Refaturamento - Regular"/>
    <x v="2"/>
    <x v="4"/>
    <x v="4"/>
    <x v="4"/>
    <x v="2"/>
    <x v="0"/>
    <x v="1"/>
    <x v="8"/>
    <n v="0"/>
    <n v="0"/>
    <n v="3.1930000000000001"/>
    <n v="3.1930000000000001"/>
    <n v="3.1930000000000001"/>
    <n v="3.1930000000000001"/>
    <n v="38"/>
    <s v="CATIVO"/>
    <n v="0"/>
    <n v="0"/>
    <n v="26"/>
    <n v="99"/>
    <n v="0"/>
    <n v="107.74"/>
    <n v="81.98"/>
    <m/>
    <n v="130.71853199091476"/>
    <n v="87.086426227343111"/>
    <n v="0"/>
    <n v="1125.0854799999997"/>
    <n v="0"/>
    <n v="1291.552287240238"/>
    <x v="7"/>
  </r>
  <r>
    <s v="Sistema de Compensação"/>
    <x v="2"/>
    <x v="4"/>
    <x v="4"/>
    <x v="4"/>
    <x v="2"/>
    <x v="0"/>
    <x v="1"/>
    <x v="8"/>
    <n v="0"/>
    <n v="0"/>
    <n v="2.13"/>
    <n v="2.13"/>
    <n v="2.13"/>
    <n v="2.13"/>
    <n v="4"/>
    <s v="CATIVO"/>
    <n v="0"/>
    <n v="0"/>
    <n v="26"/>
    <n v="99"/>
    <n v="0"/>
    <n v="107.74"/>
    <n v="81.98"/>
    <m/>
    <n v="130.71853199091476"/>
    <n v="87.086426227343111"/>
    <n v="0"/>
    <n v="750.52679999999975"/>
    <n v="0"/>
    <n v="861.57418472336576"/>
    <x v="7"/>
  </r>
  <r>
    <s v="Regular"/>
    <x v="2"/>
    <x v="4"/>
    <x v="4"/>
    <x v="4"/>
    <x v="2"/>
    <x v="0"/>
    <x v="1"/>
    <x v="9"/>
    <n v="0"/>
    <n v="0"/>
    <n v="6954.357"/>
    <n v="6954.357"/>
    <n v="6954.357"/>
    <n v="6954.357"/>
    <n v="19774"/>
    <s v="CATIVO"/>
    <n v="0"/>
    <n v="0"/>
    <n v="26"/>
    <n v="99"/>
    <n v="0"/>
    <n v="107.74"/>
    <n v="81.98"/>
    <m/>
    <n v="130.71853199091476"/>
    <n v="87.086426227343111"/>
    <n v="0"/>
    <n v="2450437.2325199991"/>
    <n v="0"/>
    <n v="2813002.0950940056"/>
    <x v="7"/>
  </r>
  <r>
    <s v="Refaturamento - Regular"/>
    <x v="2"/>
    <x v="4"/>
    <x v="4"/>
    <x v="4"/>
    <x v="2"/>
    <x v="0"/>
    <x v="1"/>
    <x v="9"/>
    <n v="0"/>
    <n v="0"/>
    <n v="0.28299999999999997"/>
    <n v="0.28299999999999997"/>
    <n v="0.28299999999999997"/>
    <n v="0.28299999999999997"/>
    <n v="1"/>
    <s v="CATIVO"/>
    <n v="0"/>
    <n v="0"/>
    <n v="26"/>
    <n v="99"/>
    <n v="0"/>
    <n v="107.74"/>
    <n v="81.98"/>
    <m/>
    <n v="130.71853199091476"/>
    <n v="87.086426227343111"/>
    <n v="0"/>
    <n v="99.717879999999965"/>
    <n v="0"/>
    <n v="114.4720630407101"/>
    <x v="7"/>
  </r>
  <r>
    <s v="Sistema de Compensação"/>
    <x v="2"/>
    <x v="4"/>
    <x v="4"/>
    <x v="4"/>
    <x v="2"/>
    <x v="0"/>
    <x v="1"/>
    <x v="9"/>
    <n v="0"/>
    <n v="0"/>
    <n v="2.34"/>
    <n v="2.34"/>
    <n v="2.34"/>
    <n v="2.34"/>
    <n v="7"/>
    <s v="CATIVO"/>
    <n v="0"/>
    <n v="0"/>
    <n v="26"/>
    <n v="99"/>
    <n v="0"/>
    <n v="107.74"/>
    <n v="81.98"/>
    <m/>
    <n v="130.71853199091476"/>
    <n v="87.086426227343111"/>
    <n v="0"/>
    <n v="824.52239999999972"/>
    <n v="0"/>
    <n v="946.51811842848633"/>
    <x v="7"/>
  </r>
  <r>
    <s v="Regular"/>
    <x v="2"/>
    <x v="4"/>
    <x v="4"/>
    <x v="4"/>
    <x v="2"/>
    <x v="0"/>
    <x v="1"/>
    <x v="10"/>
    <n v="0"/>
    <n v="0"/>
    <n v="7246.22"/>
    <n v="7246.22"/>
    <n v="7246.22"/>
    <n v="7246.22"/>
    <n v="20972"/>
    <s v="CATIVO"/>
    <n v="0"/>
    <n v="0"/>
    <n v="26"/>
    <n v="99"/>
    <n v="0"/>
    <n v="107.74"/>
    <n v="81.98"/>
    <m/>
    <n v="130.71853199091476"/>
    <n v="87.086426227343111"/>
    <n v="0"/>
    <n v="2553278.0791999996"/>
    <n v="0"/>
    <n v="2931059.1966319946"/>
    <x v="7"/>
  </r>
  <r>
    <s v="Refaturamento - Regular"/>
    <x v="2"/>
    <x v="4"/>
    <x v="4"/>
    <x v="4"/>
    <x v="2"/>
    <x v="0"/>
    <x v="1"/>
    <x v="10"/>
    <n v="0"/>
    <n v="0"/>
    <n v="1.155"/>
    <n v="1.155"/>
    <n v="1.155"/>
    <n v="1.155"/>
    <n v="8"/>
    <s v="CATIVO"/>
    <n v="0"/>
    <n v="0"/>
    <n v="26"/>
    <n v="99"/>
    <n v="0"/>
    <n v="107.74"/>
    <n v="81.98"/>
    <m/>
    <n v="130.71853199091476"/>
    <n v="87.086426227343111"/>
    <n v="0"/>
    <n v="406.97579999999988"/>
    <n v="0"/>
    <n v="467.1916353781632"/>
    <x v="7"/>
  </r>
  <r>
    <s v="Sistema de Compensação"/>
    <x v="2"/>
    <x v="4"/>
    <x v="4"/>
    <x v="4"/>
    <x v="2"/>
    <x v="0"/>
    <x v="1"/>
    <x v="10"/>
    <n v="0"/>
    <n v="0"/>
    <n v="2.4300000000000002"/>
    <n v="2.4300000000000002"/>
    <n v="2.4300000000000002"/>
    <n v="2.4300000000000002"/>
    <n v="7"/>
    <s v="CATIVO"/>
    <n v="0"/>
    <n v="0"/>
    <n v="26"/>
    <n v="99"/>
    <n v="0"/>
    <n v="107.74"/>
    <n v="81.98"/>
    <m/>
    <n v="130.71853199091476"/>
    <n v="87.086426227343111"/>
    <n v="0"/>
    <n v="856.23479999999984"/>
    <n v="0"/>
    <n v="982.92266144496671"/>
    <x v="7"/>
  </r>
  <r>
    <s v="PROJETADO"/>
    <x v="2"/>
    <x v="4"/>
    <x v="4"/>
    <x v="4"/>
    <x v="2"/>
    <x v="0"/>
    <x v="1"/>
    <x v="11"/>
    <n v="0"/>
    <n v="0"/>
    <n v="7246.22"/>
    <n v="7246.22"/>
    <n v="7246.22"/>
    <n v="7246.22"/>
    <n v="20972"/>
    <s v="CATIVO"/>
    <n v="0"/>
    <n v="0"/>
    <n v="26"/>
    <n v="99"/>
    <n v="0"/>
    <n v="107.74"/>
    <n v="81.98"/>
    <m/>
    <n v="130.71853199091476"/>
    <n v="87.086426227343111"/>
    <n v="0"/>
    <n v="2553278.0791999996"/>
    <n v="0"/>
    <n v="2931059.1966319946"/>
    <x v="7"/>
  </r>
  <r>
    <s v="PROJETADO"/>
    <x v="2"/>
    <x v="4"/>
    <x v="4"/>
    <x v="4"/>
    <x v="2"/>
    <x v="0"/>
    <x v="1"/>
    <x v="11"/>
    <n v="0"/>
    <n v="0"/>
    <n v="1.155"/>
    <n v="1.155"/>
    <n v="1.155"/>
    <n v="1.155"/>
    <n v="8"/>
    <s v="CATIVO"/>
    <n v="0"/>
    <n v="0"/>
    <n v="26"/>
    <n v="99"/>
    <n v="0"/>
    <n v="107.74"/>
    <n v="81.98"/>
    <m/>
    <n v="130.71853199091476"/>
    <n v="87.086426227343111"/>
    <n v="0"/>
    <n v="406.97579999999988"/>
    <n v="0"/>
    <n v="467.1916353781632"/>
    <x v="7"/>
  </r>
  <r>
    <s v="PROJETADO"/>
    <x v="2"/>
    <x v="4"/>
    <x v="4"/>
    <x v="4"/>
    <x v="2"/>
    <x v="0"/>
    <x v="1"/>
    <x v="11"/>
    <n v="0"/>
    <n v="0"/>
    <n v="2.4300000000000002"/>
    <n v="2.4300000000000002"/>
    <n v="2.4300000000000002"/>
    <n v="2.4300000000000002"/>
    <n v="7"/>
    <s v="CATIVO"/>
    <n v="0"/>
    <n v="0"/>
    <n v="26"/>
    <n v="99"/>
    <n v="0"/>
    <n v="107.74"/>
    <n v="81.98"/>
    <m/>
    <n v="130.71853199091476"/>
    <n v="87.086426227343111"/>
    <n v="0"/>
    <n v="856.23479999999984"/>
    <n v="0"/>
    <n v="982.92266144496671"/>
    <x v="7"/>
  </r>
  <r>
    <s v="Regular"/>
    <x v="2"/>
    <x v="4"/>
    <x v="4"/>
    <x v="5"/>
    <x v="2"/>
    <x v="0"/>
    <x v="1"/>
    <x v="0"/>
    <n v="0"/>
    <n v="0"/>
    <n v="11784.513999999999"/>
    <n v="11784.513999999999"/>
    <n v="11784.513999999999"/>
    <n v="11784.513999999999"/>
    <n v="98290"/>
    <s v="CATIVO"/>
    <n v="0"/>
    <n v="0"/>
    <n v="27"/>
    <n v="100"/>
    <n v="0"/>
    <n v="184.7"/>
    <n v="140.54"/>
    <m/>
    <n v="224.08891198442532"/>
    <n v="149.29101638973106"/>
    <n v="0"/>
    <n v="2555354.0157599994"/>
    <n v="0"/>
    <n v="2933400.6621628287"/>
    <x v="7"/>
  </r>
  <r>
    <s v="Refaturamento - Regular"/>
    <x v="2"/>
    <x v="4"/>
    <x v="4"/>
    <x v="5"/>
    <x v="2"/>
    <x v="0"/>
    <x v="1"/>
    <x v="0"/>
    <n v="0"/>
    <n v="0"/>
    <n v="-2.8889999999999998"/>
    <n v="-2.8889999999999998"/>
    <n v="-2.8889999999999998"/>
    <n v="-2.8889999999999998"/>
    <n v="-34"/>
    <s v="CATIVO"/>
    <n v="0"/>
    <n v="0"/>
    <n v="27"/>
    <n v="100"/>
    <n v="0"/>
    <n v="184.7"/>
    <n v="140.54"/>
    <m/>
    <n v="224.08891198442532"/>
    <n v="149.29101638973106"/>
    <n v="0"/>
    <n v="-626.45075999999983"/>
    <n v="0"/>
    <n v="-719.12974204862508"/>
    <x v="7"/>
  </r>
  <r>
    <s v="Sistema de Compensação"/>
    <x v="2"/>
    <x v="4"/>
    <x v="4"/>
    <x v="5"/>
    <x v="2"/>
    <x v="0"/>
    <x v="1"/>
    <x v="0"/>
    <n v="0"/>
    <n v="0"/>
    <n v="1.8560000000000001"/>
    <n v="1.8560000000000001"/>
    <n v="1.8560000000000001"/>
    <n v="1.8560000000000001"/>
    <n v="5"/>
    <s v="CATIVO"/>
    <n v="0"/>
    <n v="0"/>
    <n v="27"/>
    <n v="100"/>
    <n v="0"/>
    <n v="184.7"/>
    <n v="140.54"/>
    <m/>
    <n v="224.08891198442532"/>
    <n v="149.29101638973106"/>
    <n v="0"/>
    <n v="402.45503999999994"/>
    <n v="0"/>
    <n v="461.99543137495618"/>
    <x v="7"/>
  </r>
  <r>
    <s v="Regular"/>
    <x v="2"/>
    <x v="4"/>
    <x v="4"/>
    <x v="5"/>
    <x v="2"/>
    <x v="0"/>
    <x v="1"/>
    <x v="1"/>
    <n v="0"/>
    <n v="0"/>
    <n v="10989.485000000001"/>
    <n v="10989.485000000001"/>
    <n v="10989.485000000001"/>
    <n v="10989.485000000001"/>
    <n v="114625"/>
    <s v="CATIVO"/>
    <n v="0"/>
    <n v="0"/>
    <n v="27"/>
    <n v="100"/>
    <n v="0"/>
    <n v="184.7"/>
    <n v="140.54"/>
    <m/>
    <n v="224.08891198442532"/>
    <n v="149.29101638973106"/>
    <n v="0"/>
    <n v="2382959.9273999995"/>
    <n v="0"/>
    <n v="2735502.081445911"/>
    <x v="7"/>
  </r>
  <r>
    <s v="Refaturamento - Regular"/>
    <x v="2"/>
    <x v="4"/>
    <x v="4"/>
    <x v="5"/>
    <x v="2"/>
    <x v="0"/>
    <x v="1"/>
    <x v="1"/>
    <n v="0"/>
    <n v="0"/>
    <n v="-0.79100000000000004"/>
    <n v="-0.79100000000000004"/>
    <n v="-0.79100000000000004"/>
    <n v="-0.79100000000000004"/>
    <n v="-3"/>
    <s v="CATIVO"/>
    <n v="0"/>
    <n v="0"/>
    <n v="27"/>
    <n v="100"/>
    <n v="0"/>
    <n v="184.7"/>
    <n v="140.54"/>
    <m/>
    <n v="224.08891198442532"/>
    <n v="149.29101638973106"/>
    <n v="0"/>
    <n v="-171.52043999999998"/>
    <n v="0"/>
    <n v="-196.89568222930515"/>
    <x v="7"/>
  </r>
  <r>
    <s v="Sistema de Compensação"/>
    <x v="2"/>
    <x v="4"/>
    <x v="4"/>
    <x v="5"/>
    <x v="2"/>
    <x v="0"/>
    <x v="1"/>
    <x v="1"/>
    <n v="0"/>
    <n v="0"/>
    <n v="2.222"/>
    <n v="2.222"/>
    <n v="2.222"/>
    <n v="2.222"/>
    <n v="6"/>
    <s v="CATIVO"/>
    <n v="0"/>
    <n v="0"/>
    <n v="27"/>
    <n v="100"/>
    <n v="0"/>
    <n v="184.7"/>
    <n v="140.54"/>
    <m/>
    <n v="224.08891198442532"/>
    <n v="149.29101638973106"/>
    <n v="0"/>
    <n v="481.81847999999985"/>
    <n v="0"/>
    <n v="553.10013389825031"/>
    <x v="7"/>
  </r>
  <r>
    <s v="Regular"/>
    <x v="2"/>
    <x v="4"/>
    <x v="4"/>
    <x v="5"/>
    <x v="2"/>
    <x v="0"/>
    <x v="1"/>
    <x v="2"/>
    <n v="0"/>
    <n v="0"/>
    <n v="10714.004999999999"/>
    <n v="10714.004999999999"/>
    <n v="10714.004999999999"/>
    <n v="10714.004999999999"/>
    <n v="120776"/>
    <s v="CATIVO"/>
    <n v="0"/>
    <n v="0"/>
    <n v="27"/>
    <n v="100"/>
    <n v="0"/>
    <n v="184.7"/>
    <n v="140.54"/>
    <m/>
    <n v="224.08891198442532"/>
    <n v="149.29101638973106"/>
    <n v="0"/>
    <n v="2323224.8441999992"/>
    <n v="0"/>
    <n v="2666929.6130002355"/>
    <x v="7"/>
  </r>
  <r>
    <s v="Refaturamento - Regular"/>
    <x v="2"/>
    <x v="4"/>
    <x v="4"/>
    <x v="5"/>
    <x v="2"/>
    <x v="0"/>
    <x v="1"/>
    <x v="2"/>
    <n v="0"/>
    <n v="0"/>
    <n v="-1.67"/>
    <n v="-1.67"/>
    <n v="-1.67"/>
    <n v="-1.67"/>
    <n v="-10"/>
    <s v="CATIVO"/>
    <n v="0"/>
    <n v="0"/>
    <n v="27"/>
    <n v="100"/>
    <n v="0"/>
    <n v="184.7"/>
    <n v="140.54"/>
    <m/>
    <n v="224.08891198442532"/>
    <n v="149.29101638973106"/>
    <n v="0"/>
    <n v="-362.12279999999987"/>
    <n v="0"/>
    <n v="-415.69632025656074"/>
    <x v="7"/>
  </r>
  <r>
    <s v="Sistema de Compensação"/>
    <x v="2"/>
    <x v="4"/>
    <x v="4"/>
    <x v="5"/>
    <x v="2"/>
    <x v="0"/>
    <x v="1"/>
    <x v="2"/>
    <n v="0"/>
    <n v="0"/>
    <n v="2.242"/>
    <n v="2.242"/>
    <n v="2.242"/>
    <n v="2.242"/>
    <n v="6"/>
    <s v="CATIVO"/>
    <n v="0"/>
    <n v="0"/>
    <n v="27"/>
    <n v="100"/>
    <n v="0"/>
    <n v="184.7"/>
    <n v="140.54"/>
    <m/>
    <n v="224.08891198442532"/>
    <n v="149.29101638973106"/>
    <n v="0"/>
    <n v="486.15527999999989"/>
    <n v="0"/>
    <n v="558.07853294323911"/>
    <x v="7"/>
  </r>
  <r>
    <s v="Regular"/>
    <x v="2"/>
    <x v="4"/>
    <x v="4"/>
    <x v="5"/>
    <x v="2"/>
    <x v="0"/>
    <x v="1"/>
    <x v="3"/>
    <n v="0"/>
    <n v="0"/>
    <n v="10670.163"/>
    <n v="10670.163"/>
    <n v="10670.163"/>
    <n v="10670.163"/>
    <n v="123431"/>
    <s v="CATIVO"/>
    <n v="0"/>
    <n v="0"/>
    <n v="27"/>
    <n v="100"/>
    <n v="0"/>
    <n v="184.7"/>
    <n v="140.54"/>
    <m/>
    <n v="224.08891198442532"/>
    <n v="149.29101638973106"/>
    <n v="0"/>
    <n v="2313718.1449199994"/>
    <n v="0"/>
    <n v="2656016.4644537158"/>
    <x v="7"/>
  </r>
  <r>
    <s v="Refaturamento - Regular"/>
    <x v="2"/>
    <x v="4"/>
    <x v="4"/>
    <x v="5"/>
    <x v="2"/>
    <x v="0"/>
    <x v="1"/>
    <x v="3"/>
    <n v="0"/>
    <n v="0"/>
    <n v="-1.9139999999999999"/>
    <n v="-1.9139999999999999"/>
    <n v="-1.9139999999999999"/>
    <n v="-1.9139999999999999"/>
    <n v="-24"/>
    <s v="CATIVO"/>
    <n v="0"/>
    <n v="0"/>
    <n v="27"/>
    <n v="100"/>
    <n v="0"/>
    <n v="184.7"/>
    <n v="140.54"/>
    <m/>
    <n v="224.08891198442532"/>
    <n v="149.29101638973106"/>
    <n v="0"/>
    <n v="-415.03175999999991"/>
    <n v="0"/>
    <n v="-476.43278860542353"/>
    <x v="7"/>
  </r>
  <r>
    <s v="Sistema de Compensação"/>
    <x v="2"/>
    <x v="4"/>
    <x v="4"/>
    <x v="5"/>
    <x v="2"/>
    <x v="0"/>
    <x v="1"/>
    <x v="3"/>
    <n v="0"/>
    <n v="0"/>
    <n v="2.36"/>
    <n v="2.36"/>
    <n v="2.36"/>
    <n v="2.36"/>
    <n v="10"/>
    <s v="CATIVO"/>
    <n v="0"/>
    <n v="0"/>
    <n v="27"/>
    <n v="100"/>
    <n v="0"/>
    <n v="184.7"/>
    <n v="140.54"/>
    <m/>
    <n v="224.08891198442532"/>
    <n v="149.29101638973106"/>
    <n v="0"/>
    <n v="511.74239999999986"/>
    <n v="0"/>
    <n v="587.45108730867264"/>
    <x v="7"/>
  </r>
  <r>
    <s v="Regular"/>
    <x v="2"/>
    <x v="4"/>
    <x v="4"/>
    <x v="5"/>
    <x v="2"/>
    <x v="0"/>
    <x v="1"/>
    <x v="4"/>
    <n v="0"/>
    <n v="0"/>
    <n v="10254.171"/>
    <n v="10254.171"/>
    <n v="10254.171"/>
    <n v="10254.171"/>
    <n v="131714"/>
    <s v="CATIVO"/>
    <n v="0"/>
    <n v="0"/>
    <n v="27"/>
    <n v="100"/>
    <n v="0"/>
    <n v="184.7"/>
    <n v="140.54"/>
    <m/>
    <n v="224.08891198442532"/>
    <n v="149.29101638973106"/>
    <n v="0"/>
    <n v="2223514.4396399995"/>
    <n v="0"/>
    <n v="2552467.7556775678"/>
    <x v="7"/>
  </r>
  <r>
    <s v="Refaturamento - Regular"/>
    <x v="2"/>
    <x v="4"/>
    <x v="4"/>
    <x v="5"/>
    <x v="2"/>
    <x v="0"/>
    <x v="1"/>
    <x v="4"/>
    <n v="0"/>
    <n v="0"/>
    <n v="-1.6839999999999999"/>
    <n v="-1.6839999999999999"/>
    <n v="-1.6839999999999999"/>
    <n v="-1.6839999999999999"/>
    <n v="-17"/>
    <s v="CATIVO"/>
    <n v="0"/>
    <n v="0"/>
    <n v="27"/>
    <n v="100"/>
    <n v="0"/>
    <n v="184.7"/>
    <n v="140.54"/>
    <m/>
    <n v="224.08891198442532"/>
    <n v="149.29101638973106"/>
    <n v="0"/>
    <n v="-365.15855999999991"/>
    <n v="0"/>
    <n v="-419.18119958805289"/>
    <x v="7"/>
  </r>
  <r>
    <s v="Sistema de Compensação"/>
    <x v="2"/>
    <x v="4"/>
    <x v="4"/>
    <x v="5"/>
    <x v="2"/>
    <x v="0"/>
    <x v="1"/>
    <x v="4"/>
    <n v="0"/>
    <n v="0"/>
    <n v="2.266"/>
    <n v="2.266"/>
    <n v="2.266"/>
    <n v="2.266"/>
    <n v="11"/>
    <s v="CATIVO"/>
    <n v="0"/>
    <n v="0"/>
    <n v="27"/>
    <n v="100"/>
    <n v="0"/>
    <n v="184.7"/>
    <n v="140.54"/>
    <m/>
    <n v="224.08891198442532"/>
    <n v="149.29101638973106"/>
    <n v="0"/>
    <n v="491.35943999999989"/>
    <n v="0"/>
    <n v="564.05261179722561"/>
    <x v="7"/>
  </r>
  <r>
    <s v="Regular"/>
    <x v="2"/>
    <x v="4"/>
    <x v="4"/>
    <x v="5"/>
    <x v="2"/>
    <x v="0"/>
    <x v="1"/>
    <x v="5"/>
    <n v="0"/>
    <n v="0"/>
    <n v="10326.647999999999"/>
    <n v="10326.647999999999"/>
    <n v="10326.647999999999"/>
    <n v="10326.647999999999"/>
    <n v="128109"/>
    <s v="CATIVO"/>
    <n v="0"/>
    <n v="0"/>
    <n v="27"/>
    <n v="100"/>
    <n v="0"/>
    <n v="184.7"/>
    <n v="140.54"/>
    <m/>
    <n v="224.08891198442532"/>
    <n v="149.29101638973106"/>
    <n v="0"/>
    <n v="2239230.3523199991"/>
    <n v="0"/>
    <n v="2570508.7270567501"/>
    <x v="7"/>
  </r>
  <r>
    <s v="Refaturamento - Regular"/>
    <x v="2"/>
    <x v="4"/>
    <x v="4"/>
    <x v="5"/>
    <x v="2"/>
    <x v="0"/>
    <x v="1"/>
    <x v="5"/>
    <n v="0"/>
    <n v="0"/>
    <n v="-2.097"/>
    <n v="-2.097"/>
    <n v="-2.097"/>
    <n v="-2.097"/>
    <n v="-17"/>
    <s v="CATIVO"/>
    <n v="0"/>
    <n v="0"/>
    <n v="27"/>
    <n v="100"/>
    <n v="0"/>
    <n v="184.7"/>
    <n v="140.54"/>
    <m/>
    <n v="224.08891198442532"/>
    <n v="149.29101638973106"/>
    <n v="0"/>
    <n v="-454.71347999999989"/>
    <n v="0"/>
    <n v="-521.98513986707064"/>
    <x v="7"/>
  </r>
  <r>
    <s v="Sistema de Compensação"/>
    <x v="2"/>
    <x v="4"/>
    <x v="4"/>
    <x v="5"/>
    <x v="2"/>
    <x v="0"/>
    <x v="1"/>
    <x v="5"/>
    <n v="0"/>
    <n v="0"/>
    <n v="2.266"/>
    <n v="2.266"/>
    <n v="2.266"/>
    <n v="2.266"/>
    <n v="11"/>
    <s v="CATIVO"/>
    <n v="0"/>
    <n v="0"/>
    <n v="27"/>
    <n v="100"/>
    <n v="0"/>
    <n v="184.7"/>
    <n v="140.54"/>
    <m/>
    <n v="224.08891198442532"/>
    <n v="149.29101638973106"/>
    <n v="0"/>
    <n v="491.35943999999989"/>
    <n v="0"/>
    <n v="564.05261179722561"/>
    <x v="7"/>
  </r>
  <r>
    <s v="Regular"/>
    <x v="2"/>
    <x v="4"/>
    <x v="4"/>
    <x v="5"/>
    <x v="2"/>
    <x v="0"/>
    <x v="1"/>
    <x v="6"/>
    <n v="0"/>
    <n v="0"/>
    <n v="10969.75"/>
    <n v="10969.75"/>
    <n v="10969.75"/>
    <n v="10969.75"/>
    <n v="120014"/>
    <s v="CATIVO"/>
    <n v="0"/>
    <n v="0"/>
    <n v="27"/>
    <n v="100"/>
    <n v="0"/>
    <n v="184.7"/>
    <n v="140.54"/>
    <m/>
    <n v="224.08891198442532"/>
    <n v="149.29101638973106"/>
    <n v="0"/>
    <n v="2378680.5899999994"/>
    <n v="0"/>
    <n v="2730589.646188268"/>
    <x v="7"/>
  </r>
  <r>
    <s v="Refaturamento - Regular"/>
    <x v="2"/>
    <x v="4"/>
    <x v="4"/>
    <x v="5"/>
    <x v="2"/>
    <x v="0"/>
    <x v="1"/>
    <x v="6"/>
    <n v="0"/>
    <n v="0"/>
    <n v="-2.4649999999999999"/>
    <n v="-2.4649999999999999"/>
    <n v="-2.4649999999999999"/>
    <n v="-2.4649999999999999"/>
    <n v="-13"/>
    <s v="CATIVO"/>
    <n v="0"/>
    <n v="0"/>
    <n v="27"/>
    <n v="100"/>
    <n v="0"/>
    <n v="184.7"/>
    <n v="140.54"/>
    <m/>
    <n v="224.08891198442532"/>
    <n v="149.29101638973106"/>
    <n v="0"/>
    <n v="-534.51059999999984"/>
    <n v="0"/>
    <n v="-613.58768229486361"/>
    <x v="7"/>
  </r>
  <r>
    <s v="Sistema de Compensação"/>
    <x v="2"/>
    <x v="4"/>
    <x v="4"/>
    <x v="5"/>
    <x v="2"/>
    <x v="0"/>
    <x v="1"/>
    <x v="6"/>
    <n v="0"/>
    <n v="0"/>
    <n v="2.5099999999999998"/>
    <n v="2.5099999999999998"/>
    <n v="2.5099999999999998"/>
    <n v="2.5099999999999998"/>
    <n v="11"/>
    <s v="CATIVO"/>
    <n v="0"/>
    <n v="0"/>
    <n v="27"/>
    <n v="100"/>
    <n v="0"/>
    <n v="184.7"/>
    <n v="140.54"/>
    <m/>
    <n v="224.08891198442532"/>
    <n v="149.29101638973106"/>
    <n v="0"/>
    <n v="544.26839999999982"/>
    <n v="0"/>
    <n v="624.78908014608828"/>
    <x v="7"/>
  </r>
  <r>
    <s v="Regular"/>
    <x v="2"/>
    <x v="4"/>
    <x v="4"/>
    <x v="5"/>
    <x v="2"/>
    <x v="0"/>
    <x v="1"/>
    <x v="7"/>
    <n v="0"/>
    <n v="0"/>
    <n v="11186.839"/>
    <n v="11186.839"/>
    <n v="11186.839"/>
    <n v="11186.839"/>
    <n v="116155"/>
    <s v="CATIVO"/>
    <n v="0"/>
    <n v="0"/>
    <n v="27"/>
    <n v="100"/>
    <n v="0"/>
    <n v="184.7"/>
    <n v="140.54"/>
    <m/>
    <n v="224.08891198442532"/>
    <n v="149.29101638973106"/>
    <n v="0"/>
    <n v="2425754.1687599993"/>
    <n v="0"/>
    <n v="2784627.429702146"/>
    <x v="7"/>
  </r>
  <r>
    <s v="Refaturamento - Regular"/>
    <x v="2"/>
    <x v="4"/>
    <x v="4"/>
    <x v="5"/>
    <x v="2"/>
    <x v="0"/>
    <x v="1"/>
    <x v="7"/>
    <n v="0"/>
    <n v="0"/>
    <n v="-2.331"/>
    <n v="-2.331"/>
    <n v="-2.331"/>
    <n v="-2.331"/>
    <n v="-13"/>
    <s v="CATIVO"/>
    <n v="0"/>
    <n v="0"/>
    <n v="27"/>
    <n v="100"/>
    <n v="0"/>
    <n v="184.7"/>
    <n v="140.54"/>
    <m/>
    <n v="224.08891198442532"/>
    <n v="149.29101638973106"/>
    <n v="0"/>
    <n v="-505.45403999999985"/>
    <n v="0"/>
    <n v="-580.23240869343897"/>
    <x v="7"/>
  </r>
  <r>
    <s v="Sistema de Compensação"/>
    <x v="2"/>
    <x v="4"/>
    <x v="4"/>
    <x v="5"/>
    <x v="2"/>
    <x v="0"/>
    <x v="1"/>
    <x v="7"/>
    <n v="0"/>
    <n v="0"/>
    <n v="2.714"/>
    <n v="2.714"/>
    <n v="2.714"/>
    <n v="2.714"/>
    <n v="13"/>
    <s v="CATIVO"/>
    <n v="0"/>
    <n v="0"/>
    <n v="27"/>
    <n v="100"/>
    <n v="0"/>
    <n v="184.7"/>
    <n v="140.54"/>
    <m/>
    <n v="224.08891198442532"/>
    <n v="149.29101638973106"/>
    <n v="0"/>
    <n v="588.50375999999983"/>
    <n v="0"/>
    <n v="675.56875040497357"/>
    <x v="7"/>
  </r>
  <r>
    <s v="Regular"/>
    <x v="2"/>
    <x v="4"/>
    <x v="4"/>
    <x v="5"/>
    <x v="2"/>
    <x v="0"/>
    <x v="1"/>
    <x v="8"/>
    <n v="0"/>
    <n v="0"/>
    <n v="11445.136"/>
    <n v="11445.136"/>
    <n v="11445.136"/>
    <n v="11445.136"/>
    <n v="111590"/>
    <s v="CATIVO"/>
    <n v="0"/>
    <n v="0"/>
    <n v="27"/>
    <n v="100"/>
    <n v="0"/>
    <n v="184.7"/>
    <n v="140.54"/>
    <m/>
    <n v="224.08891198442532"/>
    <n v="149.29101638973106"/>
    <n v="0"/>
    <n v="2481763.2902399995"/>
    <n v="0"/>
    <n v="2848922.7066083192"/>
    <x v="7"/>
  </r>
  <r>
    <s v="Refaturamento - Regular"/>
    <x v="2"/>
    <x v="4"/>
    <x v="4"/>
    <x v="5"/>
    <x v="2"/>
    <x v="0"/>
    <x v="1"/>
    <x v="8"/>
    <n v="0"/>
    <n v="0"/>
    <n v="-2.0310000000000001"/>
    <n v="-2.0310000000000001"/>
    <n v="-2.0310000000000001"/>
    <n v="-2.0310000000000001"/>
    <n v="-30"/>
    <s v="CATIVO"/>
    <n v="0"/>
    <n v="0"/>
    <n v="27"/>
    <n v="100"/>
    <n v="0"/>
    <n v="184.7"/>
    <n v="140.54"/>
    <m/>
    <n v="224.08891198442532"/>
    <n v="149.29101638973106"/>
    <n v="0"/>
    <n v="-440.40203999999994"/>
    <n v="0"/>
    <n v="-505.55642301860775"/>
    <x v="7"/>
  </r>
  <r>
    <s v="Sistema de Compensação"/>
    <x v="2"/>
    <x v="4"/>
    <x v="4"/>
    <x v="5"/>
    <x v="2"/>
    <x v="0"/>
    <x v="1"/>
    <x v="8"/>
    <n v="0"/>
    <n v="0"/>
    <n v="2.9689999999999999"/>
    <n v="2.9689999999999999"/>
    <n v="2.9689999999999999"/>
    <n v="2.9689999999999999"/>
    <n v="11"/>
    <s v="CATIVO"/>
    <n v="0"/>
    <n v="0"/>
    <n v="27"/>
    <n v="100"/>
    <n v="0"/>
    <n v="184.7"/>
    <n v="140.54"/>
    <m/>
    <n v="224.08891198442532"/>
    <n v="149.29101638973106"/>
    <n v="0"/>
    <n v="643.79795999999976"/>
    <n v="0"/>
    <n v="739.04333822858018"/>
    <x v="7"/>
  </r>
  <r>
    <s v="Regular"/>
    <x v="2"/>
    <x v="4"/>
    <x v="4"/>
    <x v="5"/>
    <x v="2"/>
    <x v="0"/>
    <x v="1"/>
    <x v="9"/>
    <n v="0"/>
    <n v="0"/>
    <n v="11832.243"/>
    <n v="11832.243"/>
    <n v="11832.243"/>
    <n v="11832.243"/>
    <n v="104732"/>
    <s v="CATIVO"/>
    <n v="0"/>
    <n v="0"/>
    <n v="27"/>
    <n v="100"/>
    <n v="0"/>
    <n v="184.7"/>
    <n v="140.54"/>
    <m/>
    <n v="224.08891198442532"/>
    <n v="149.29101638973106"/>
    <n v="0"/>
    <n v="2565703.5721199997"/>
    <n v="0"/>
    <n v="2945281.3625637423"/>
    <x v="7"/>
  </r>
  <r>
    <s v="Refaturamento - Regular"/>
    <x v="2"/>
    <x v="4"/>
    <x v="4"/>
    <x v="5"/>
    <x v="2"/>
    <x v="0"/>
    <x v="1"/>
    <x v="9"/>
    <n v="0"/>
    <n v="0"/>
    <n v="-0.53900000000000003"/>
    <n v="-0.53900000000000003"/>
    <n v="-0.53900000000000003"/>
    <n v="-0.53900000000000003"/>
    <n v="-6"/>
    <s v="CATIVO"/>
    <n v="0"/>
    <n v="0"/>
    <n v="27"/>
    <n v="100"/>
    <n v="0"/>
    <n v="184.7"/>
    <n v="140.54"/>
    <m/>
    <n v="224.08891198442532"/>
    <n v="149.29101638973106"/>
    <n v="0"/>
    <n v="-116.87675999999998"/>
    <n v="0"/>
    <n v="-134.16785426244687"/>
    <x v="7"/>
  </r>
  <r>
    <s v="Sistema de Compensação"/>
    <x v="2"/>
    <x v="4"/>
    <x v="4"/>
    <x v="5"/>
    <x v="2"/>
    <x v="0"/>
    <x v="1"/>
    <x v="9"/>
    <n v="0"/>
    <n v="0"/>
    <n v="3.4470000000000001"/>
    <n v="3.4470000000000001"/>
    <n v="3.4470000000000001"/>
    <n v="3.4470000000000001"/>
    <n v="11"/>
    <s v="CATIVO"/>
    <n v="0"/>
    <n v="0"/>
    <n v="27"/>
    <n v="100"/>
    <n v="0"/>
    <n v="184.7"/>
    <n v="140.54"/>
    <m/>
    <n v="224.08891198442532"/>
    <n v="149.29101638973106"/>
    <n v="0"/>
    <n v="747.44747999999981"/>
    <n v="0"/>
    <n v="858.02707540381141"/>
    <x v="7"/>
  </r>
  <r>
    <s v="Regular"/>
    <x v="2"/>
    <x v="4"/>
    <x v="4"/>
    <x v="5"/>
    <x v="2"/>
    <x v="0"/>
    <x v="1"/>
    <x v="10"/>
    <n v="0"/>
    <n v="0"/>
    <n v="12139.191000000001"/>
    <n v="12139.191000000001"/>
    <n v="12139.191000000001"/>
    <n v="12139.191000000001"/>
    <n v="112859"/>
    <s v="CATIVO"/>
    <n v="0"/>
    <n v="0"/>
    <n v="27"/>
    <n v="100"/>
    <n v="0"/>
    <n v="184.7"/>
    <n v="140.54"/>
    <m/>
    <n v="224.08891198442532"/>
    <n v="149.29101638973106"/>
    <n v="0"/>
    <n v="2632262.1764399996"/>
    <n v="0"/>
    <n v="3021686.8440668029"/>
    <x v="7"/>
  </r>
  <r>
    <s v="Refaturamento - Regular"/>
    <x v="2"/>
    <x v="4"/>
    <x v="4"/>
    <x v="5"/>
    <x v="2"/>
    <x v="0"/>
    <x v="1"/>
    <x v="10"/>
    <n v="0"/>
    <n v="0"/>
    <n v="-0.7"/>
    <n v="-0.7"/>
    <n v="-0.7"/>
    <n v="-0.7"/>
    <n v="0"/>
    <s v="CATIVO"/>
    <n v="0"/>
    <n v="0"/>
    <n v="27"/>
    <n v="100"/>
    <n v="0"/>
    <n v="184.7"/>
    <n v="140.54"/>
    <m/>
    <n v="224.08891198442532"/>
    <n v="149.29101638973106"/>
    <n v="0"/>
    <n v="-151.78799999999995"/>
    <n v="0"/>
    <n v="-174.2439665746063"/>
    <x v="7"/>
  </r>
  <r>
    <s v="Sistema de Compensação"/>
    <x v="2"/>
    <x v="4"/>
    <x v="4"/>
    <x v="5"/>
    <x v="2"/>
    <x v="0"/>
    <x v="1"/>
    <x v="10"/>
    <n v="0"/>
    <n v="0"/>
    <n v="3.7210000000000001"/>
    <n v="3.7210000000000001"/>
    <n v="3.7210000000000001"/>
    <n v="3.7210000000000001"/>
    <n v="10"/>
    <s v="CATIVO"/>
    <n v="0"/>
    <n v="0"/>
    <n v="27"/>
    <n v="100"/>
    <n v="0"/>
    <n v="184.7"/>
    <n v="140.54"/>
    <m/>
    <n v="224.08891198442532"/>
    <n v="149.29101638973106"/>
    <n v="0"/>
    <n v="806.86163999999985"/>
    <n v="0"/>
    <n v="926.23114232015723"/>
    <x v="7"/>
  </r>
  <r>
    <s v="PROJETADO"/>
    <x v="2"/>
    <x v="4"/>
    <x v="4"/>
    <x v="5"/>
    <x v="2"/>
    <x v="0"/>
    <x v="1"/>
    <x v="11"/>
    <n v="0"/>
    <n v="0"/>
    <n v="12139.191000000001"/>
    <n v="12139.191000000001"/>
    <n v="12139.191000000001"/>
    <n v="12139.191000000001"/>
    <n v="112859"/>
    <s v="CATIVO"/>
    <n v="0"/>
    <n v="0"/>
    <n v="27"/>
    <n v="100"/>
    <n v="0"/>
    <n v="184.7"/>
    <n v="140.54"/>
    <m/>
    <n v="224.08891198442532"/>
    <n v="149.29101638973106"/>
    <n v="0"/>
    <n v="2632262.1764399996"/>
    <n v="0"/>
    <n v="3021686.8440668029"/>
    <x v="7"/>
  </r>
  <r>
    <s v="PROJETADO"/>
    <x v="2"/>
    <x v="4"/>
    <x v="4"/>
    <x v="5"/>
    <x v="2"/>
    <x v="0"/>
    <x v="1"/>
    <x v="11"/>
    <n v="0"/>
    <n v="0"/>
    <n v="-0.7"/>
    <n v="-0.7"/>
    <n v="-0.7"/>
    <n v="-0.7"/>
    <n v="0"/>
    <s v="CATIVO"/>
    <n v="0"/>
    <n v="0"/>
    <n v="27"/>
    <n v="100"/>
    <n v="0"/>
    <n v="184.7"/>
    <n v="140.54"/>
    <m/>
    <n v="224.08891198442532"/>
    <n v="149.29101638973106"/>
    <n v="0"/>
    <n v="-151.78799999999995"/>
    <n v="0"/>
    <n v="-174.2439665746063"/>
    <x v="7"/>
  </r>
  <r>
    <s v="PROJETADO"/>
    <x v="2"/>
    <x v="4"/>
    <x v="4"/>
    <x v="5"/>
    <x v="2"/>
    <x v="0"/>
    <x v="1"/>
    <x v="11"/>
    <n v="0"/>
    <n v="0"/>
    <n v="3.7210000000000001"/>
    <n v="3.7210000000000001"/>
    <n v="3.7210000000000001"/>
    <n v="3.7210000000000001"/>
    <n v="10"/>
    <s v="CATIVO"/>
    <n v="0"/>
    <n v="0"/>
    <n v="27"/>
    <n v="100"/>
    <n v="0"/>
    <n v="184.7"/>
    <n v="140.54"/>
    <m/>
    <n v="224.08891198442532"/>
    <n v="149.29101638973106"/>
    <n v="0"/>
    <n v="806.86163999999985"/>
    <n v="0"/>
    <n v="926.23114232015723"/>
    <x v="7"/>
  </r>
  <r>
    <s v="Regular"/>
    <x v="2"/>
    <x v="4"/>
    <x v="4"/>
    <x v="6"/>
    <x v="2"/>
    <x v="0"/>
    <x v="1"/>
    <x v="0"/>
    <n v="0"/>
    <n v="0"/>
    <n v="6124.4390000000003"/>
    <n v="6124.4390000000003"/>
    <n v="6124.4390000000003"/>
    <n v="6124.4390000000003"/>
    <n v="92729"/>
    <s v="CATIVO"/>
    <n v="0"/>
    <n v="0"/>
    <n v="28"/>
    <n v="101"/>
    <n v="0"/>
    <n v="277.05"/>
    <n v="210.82"/>
    <m/>
    <n v="336.133367976638"/>
    <n v="223.93652458459661"/>
    <n v="0"/>
    <n v="332005.83818999951"/>
    <n v="0"/>
    <n v="381123.76585864788"/>
    <x v="7"/>
  </r>
  <r>
    <s v="Refaturamento - Regular"/>
    <x v="2"/>
    <x v="4"/>
    <x v="4"/>
    <x v="6"/>
    <x v="2"/>
    <x v="0"/>
    <x v="1"/>
    <x v="0"/>
    <n v="0"/>
    <n v="0"/>
    <n v="-0.98899999999999999"/>
    <n v="-0.98899999999999999"/>
    <n v="-0.98899999999999999"/>
    <n v="-0.98899999999999999"/>
    <n v="-15"/>
    <s v="CATIVO"/>
    <n v="0"/>
    <n v="0"/>
    <n v="28"/>
    <n v="101"/>
    <n v="0"/>
    <n v="277.05"/>
    <n v="210.82"/>
    <m/>
    <n v="336.133367976638"/>
    <n v="223.93652458459661"/>
    <n v="0"/>
    <n v="-53.61368999999992"/>
    <n v="0"/>
    <n v="-61.545458193673369"/>
    <x v="7"/>
  </r>
  <r>
    <s v="Sistema de Compensação"/>
    <x v="2"/>
    <x v="4"/>
    <x v="4"/>
    <x v="6"/>
    <x v="2"/>
    <x v="0"/>
    <x v="1"/>
    <x v="0"/>
    <n v="0"/>
    <n v="0"/>
    <n v="0.89400000000000002"/>
    <n v="0.89400000000000002"/>
    <n v="0.89400000000000002"/>
    <n v="0.89400000000000002"/>
    <n v="9"/>
    <s v="CATIVO"/>
    <n v="0"/>
    <n v="0"/>
    <n v="28"/>
    <n v="101"/>
    <n v="0"/>
    <n v="277.05"/>
    <n v="210.82"/>
    <m/>
    <n v="336.133367976638"/>
    <n v="223.93652458459661"/>
    <n v="0"/>
    <n v="48.46373999999993"/>
    <n v="0"/>
    <n v="55.633609327749241"/>
    <x v="7"/>
  </r>
  <r>
    <s v="Regular"/>
    <x v="2"/>
    <x v="4"/>
    <x v="4"/>
    <x v="6"/>
    <x v="2"/>
    <x v="0"/>
    <x v="1"/>
    <x v="1"/>
    <n v="0"/>
    <n v="0"/>
    <n v="4778.491"/>
    <n v="4778.491"/>
    <n v="4778.491"/>
    <n v="4778.491"/>
    <n v="80621"/>
    <s v="CATIVO"/>
    <n v="0"/>
    <n v="0"/>
    <n v="28"/>
    <n v="101"/>
    <n v="0"/>
    <n v="277.05"/>
    <n v="210.82"/>
    <m/>
    <n v="336.133367976638"/>
    <n v="223.93652458459661"/>
    <n v="0"/>
    <n v="259041.99710999962"/>
    <n v="0"/>
    <n v="297365.43788609147"/>
    <x v="7"/>
  </r>
  <r>
    <s v="Refaturamento - Regular"/>
    <x v="2"/>
    <x v="4"/>
    <x v="4"/>
    <x v="6"/>
    <x v="2"/>
    <x v="0"/>
    <x v="1"/>
    <x v="1"/>
    <n v="0"/>
    <n v="0"/>
    <n v="-0.498"/>
    <n v="-0.498"/>
    <n v="-0.498"/>
    <n v="-0.498"/>
    <n v="-8"/>
    <s v="CATIVO"/>
    <n v="0"/>
    <n v="0"/>
    <n v="28"/>
    <n v="101"/>
    <n v="0"/>
    <n v="277.05"/>
    <n v="210.82"/>
    <m/>
    <n v="336.133367976638"/>
    <n v="223.93652458459661"/>
    <n v="0"/>
    <n v="-26.996579999999962"/>
    <n v="0"/>
    <n v="-30.990534055054944"/>
    <x v="7"/>
  </r>
  <r>
    <s v="Sistema de Compensação"/>
    <x v="2"/>
    <x v="4"/>
    <x v="4"/>
    <x v="6"/>
    <x v="2"/>
    <x v="0"/>
    <x v="1"/>
    <x v="1"/>
    <n v="0"/>
    <n v="0"/>
    <n v="1.2569999999999999"/>
    <n v="1.2569999999999999"/>
    <n v="1.2569999999999999"/>
    <n v="1.2569999999999999"/>
    <n v="14"/>
    <s v="CATIVO"/>
    <n v="0"/>
    <n v="0"/>
    <n v="28"/>
    <n v="101"/>
    <n v="0"/>
    <n v="277.05"/>
    <n v="210.82"/>
    <m/>
    <n v="336.133367976638"/>
    <n v="223.93652458459661"/>
    <n v="0"/>
    <n v="68.141969999999901"/>
    <n v="0"/>
    <n v="78.223094994385661"/>
    <x v="7"/>
  </r>
  <r>
    <s v="Regular"/>
    <x v="2"/>
    <x v="4"/>
    <x v="4"/>
    <x v="6"/>
    <x v="2"/>
    <x v="0"/>
    <x v="1"/>
    <x v="2"/>
    <n v="0"/>
    <n v="0"/>
    <n v="4336.3"/>
    <n v="4336.3"/>
    <n v="4336.3"/>
    <n v="4336.3"/>
    <n v="76065"/>
    <s v="CATIVO"/>
    <n v="0"/>
    <n v="0"/>
    <n v="28"/>
    <n v="101"/>
    <n v="0"/>
    <n v="277.05"/>
    <n v="210.82"/>
    <m/>
    <n v="336.133367976638"/>
    <n v="223.93652458459661"/>
    <n v="0"/>
    <n v="235070.82299999968"/>
    <n v="0"/>
    <n v="269847.89723480877"/>
    <x v="7"/>
  </r>
  <r>
    <s v="Refaturamento - Regular"/>
    <x v="2"/>
    <x v="4"/>
    <x v="4"/>
    <x v="6"/>
    <x v="2"/>
    <x v="0"/>
    <x v="1"/>
    <x v="2"/>
    <n v="0"/>
    <n v="0"/>
    <n v="-13.119"/>
    <n v="-13.119"/>
    <n v="-13.119"/>
    <n v="-13.119"/>
    <n v="-17"/>
    <s v="CATIVO"/>
    <n v="0"/>
    <n v="0"/>
    <n v="28"/>
    <n v="101"/>
    <n v="0"/>
    <n v="277.05"/>
    <n v="210.82"/>
    <m/>
    <n v="336.133367976638"/>
    <n v="223.93652458459661"/>
    <n v="0"/>
    <n v="-711.18098999999893"/>
    <n v="0"/>
    <n v="-816.39521339009195"/>
    <x v="7"/>
  </r>
  <r>
    <s v="Sistema de Compensação"/>
    <x v="2"/>
    <x v="4"/>
    <x v="4"/>
    <x v="6"/>
    <x v="2"/>
    <x v="0"/>
    <x v="1"/>
    <x v="2"/>
    <n v="0"/>
    <n v="0"/>
    <n v="1.196"/>
    <n v="1.196"/>
    <n v="1.196"/>
    <n v="1.196"/>
    <n v="21"/>
    <s v="CATIVO"/>
    <n v="0"/>
    <n v="0"/>
    <n v="28"/>
    <n v="101"/>
    <n v="0"/>
    <n v="277.05"/>
    <n v="210.82"/>
    <m/>
    <n v="336.133367976638"/>
    <n v="223.93652458459661"/>
    <n v="0"/>
    <n v="64.835159999999902"/>
    <n v="0"/>
    <n v="74.427065722581744"/>
    <x v="7"/>
  </r>
  <r>
    <s v="Regular"/>
    <x v="2"/>
    <x v="4"/>
    <x v="4"/>
    <x v="6"/>
    <x v="2"/>
    <x v="0"/>
    <x v="1"/>
    <x v="3"/>
    <n v="0"/>
    <n v="0"/>
    <n v="4159.99"/>
    <n v="4159.99"/>
    <n v="4159.99"/>
    <n v="4159.99"/>
    <n v="75018"/>
    <s v="CATIVO"/>
    <n v="0"/>
    <n v="0"/>
    <n v="28"/>
    <n v="101"/>
    <n v="0"/>
    <n v="277.05"/>
    <n v="210.82"/>
    <m/>
    <n v="336.133367976638"/>
    <n v="223.93652458459661"/>
    <n v="0"/>
    <n v="225513.05789999967"/>
    <n v="0"/>
    <n v="258876.12803953415"/>
    <x v="7"/>
  </r>
  <r>
    <s v="Refaturamento - Regular"/>
    <x v="2"/>
    <x v="4"/>
    <x v="4"/>
    <x v="6"/>
    <x v="2"/>
    <x v="0"/>
    <x v="1"/>
    <x v="3"/>
    <n v="0"/>
    <n v="0"/>
    <n v="-2.1030000000000002"/>
    <n v="-2.1030000000000002"/>
    <n v="-2.1030000000000002"/>
    <n v="-2.1030000000000002"/>
    <n v="-3"/>
    <s v="CATIVO"/>
    <n v="0"/>
    <n v="0"/>
    <n v="28"/>
    <n v="101"/>
    <n v="0"/>
    <n v="277.05"/>
    <n v="210.82"/>
    <m/>
    <n v="336.133367976638"/>
    <n v="223.93652458459661"/>
    <n v="0"/>
    <n v="-114.00362999999984"/>
    <n v="0"/>
    <n v="-130.86966489514168"/>
    <x v="7"/>
  </r>
  <r>
    <s v="Sistema de Compensação"/>
    <x v="2"/>
    <x v="4"/>
    <x v="4"/>
    <x v="6"/>
    <x v="2"/>
    <x v="0"/>
    <x v="1"/>
    <x v="3"/>
    <n v="0"/>
    <n v="0"/>
    <n v="1.7070000000000001"/>
    <n v="1.7070000000000001"/>
    <n v="1.7070000000000001"/>
    <n v="1.7070000000000001"/>
    <n v="23"/>
    <s v="CATIVO"/>
    <n v="0"/>
    <n v="0"/>
    <n v="28"/>
    <n v="101"/>
    <n v="0"/>
    <n v="277.05"/>
    <n v="210.82"/>
    <m/>
    <n v="336.133367976638"/>
    <n v="223.93652458459661"/>
    <n v="0"/>
    <n v="92.536469999999866"/>
    <n v="0"/>
    <n v="106.22658962244738"/>
    <x v="7"/>
  </r>
  <r>
    <s v="Regular"/>
    <x v="2"/>
    <x v="4"/>
    <x v="4"/>
    <x v="6"/>
    <x v="2"/>
    <x v="0"/>
    <x v="1"/>
    <x v="4"/>
    <n v="0"/>
    <n v="0"/>
    <n v="3609.5309999999999"/>
    <n v="3609.5309999999999"/>
    <n v="3609.5309999999999"/>
    <n v="3609.5309999999999"/>
    <n v="68251"/>
    <s v="CATIVO"/>
    <n v="0"/>
    <n v="0"/>
    <n v="28"/>
    <n v="101"/>
    <n v="0"/>
    <n v="277.05"/>
    <n v="210.82"/>
    <m/>
    <n v="336.133367976638"/>
    <n v="223.93652458459661"/>
    <n v="0"/>
    <n v="195672.67550999971"/>
    <n v="0"/>
    <n v="224621.07104071591"/>
    <x v="7"/>
  </r>
  <r>
    <s v="Refaturamento - Regular"/>
    <x v="2"/>
    <x v="4"/>
    <x v="4"/>
    <x v="6"/>
    <x v="2"/>
    <x v="0"/>
    <x v="1"/>
    <x v="4"/>
    <n v="0"/>
    <n v="0"/>
    <n v="-1.468"/>
    <n v="-1.468"/>
    <n v="-1.468"/>
    <n v="-1.468"/>
    <n v="-8"/>
    <s v="CATIVO"/>
    <n v="0"/>
    <n v="0"/>
    <n v="28"/>
    <n v="101"/>
    <n v="0"/>
    <n v="277.05"/>
    <n v="210.82"/>
    <m/>
    <n v="336.133367976638"/>
    <n v="223.93652458459661"/>
    <n v="0"/>
    <n v="-79.580279999999888"/>
    <n v="0"/>
    <n v="-91.353622475543489"/>
    <x v="7"/>
  </r>
  <r>
    <s v="Sistema de Compensação"/>
    <x v="2"/>
    <x v="4"/>
    <x v="4"/>
    <x v="6"/>
    <x v="2"/>
    <x v="0"/>
    <x v="1"/>
    <x v="4"/>
    <n v="0"/>
    <n v="0"/>
    <n v="1.56"/>
    <n v="1.56"/>
    <n v="1.56"/>
    <n v="1.56"/>
    <n v="26"/>
    <s v="CATIVO"/>
    <n v="0"/>
    <n v="0"/>
    <n v="28"/>
    <n v="101"/>
    <n v="0"/>
    <n v="277.05"/>
    <n v="210.82"/>
    <m/>
    <n v="336.133367976638"/>
    <n v="223.93652458459661"/>
    <n v="0"/>
    <n v="84.567599999999885"/>
    <n v="0"/>
    <n v="97.078781377280549"/>
    <x v="7"/>
  </r>
  <r>
    <s v="Regular"/>
    <x v="2"/>
    <x v="4"/>
    <x v="4"/>
    <x v="6"/>
    <x v="2"/>
    <x v="0"/>
    <x v="1"/>
    <x v="5"/>
    <n v="0"/>
    <n v="0"/>
    <n v="3733.4540000000002"/>
    <n v="3733.4540000000002"/>
    <n v="3733.4540000000002"/>
    <n v="3733.4540000000002"/>
    <n v="69672"/>
    <s v="CATIVO"/>
    <n v="0"/>
    <n v="0"/>
    <n v="28"/>
    <n v="101"/>
    <n v="0"/>
    <n v="277.05"/>
    <n v="210.82"/>
    <m/>
    <n v="336.133367976638"/>
    <n v="223.93652458459661"/>
    <n v="0"/>
    <n v="202390.54133999973"/>
    <n v="0"/>
    <n v="232332.79785136768"/>
    <x v="7"/>
  </r>
  <r>
    <s v="Refaturamento - Regular"/>
    <x v="2"/>
    <x v="4"/>
    <x v="4"/>
    <x v="6"/>
    <x v="2"/>
    <x v="0"/>
    <x v="1"/>
    <x v="5"/>
    <n v="0"/>
    <n v="0"/>
    <n v="-2.117"/>
    <n v="-2.117"/>
    <n v="-2.117"/>
    <n v="-2.117"/>
    <n v="-10"/>
    <s v="CATIVO"/>
    <n v="0"/>
    <n v="0"/>
    <n v="28"/>
    <n v="101"/>
    <n v="0"/>
    <n v="277.05"/>
    <n v="210.82"/>
    <m/>
    <n v="336.133367976638"/>
    <n v="223.93652458459661"/>
    <n v="0"/>
    <n v="-114.76256999999984"/>
    <n v="0"/>
    <n v="-131.74088472801469"/>
    <x v="7"/>
  </r>
  <r>
    <s v="Sistema de Compensação"/>
    <x v="2"/>
    <x v="4"/>
    <x v="4"/>
    <x v="6"/>
    <x v="2"/>
    <x v="0"/>
    <x v="1"/>
    <x v="5"/>
    <n v="0"/>
    <n v="0"/>
    <n v="1.6120000000000001"/>
    <n v="1.6120000000000001"/>
    <n v="1.6120000000000001"/>
    <n v="1.6120000000000001"/>
    <n v="23"/>
    <s v="CATIVO"/>
    <n v="0"/>
    <n v="0"/>
    <n v="28"/>
    <n v="101"/>
    <n v="0"/>
    <n v="277.05"/>
    <n v="210.82"/>
    <m/>
    <n v="336.133367976638"/>
    <n v="223.93652458459661"/>
    <n v="0"/>
    <n v="87.386519999999877"/>
    <n v="0"/>
    <n v="100.31474075652324"/>
    <x v="7"/>
  </r>
  <r>
    <s v="Regular"/>
    <x v="2"/>
    <x v="4"/>
    <x v="4"/>
    <x v="6"/>
    <x v="2"/>
    <x v="0"/>
    <x v="1"/>
    <x v="6"/>
    <n v="0"/>
    <n v="0"/>
    <n v="4422.8530000000001"/>
    <n v="4422.8530000000001"/>
    <n v="4422.8530000000001"/>
    <n v="4422.8530000000001"/>
    <n v="78395"/>
    <s v="CATIVO"/>
    <n v="0"/>
    <n v="0"/>
    <n v="28"/>
    <n v="101"/>
    <n v="0"/>
    <n v="277.05"/>
    <n v="210.82"/>
    <m/>
    <n v="336.133367976638"/>
    <n v="223.93652458459661"/>
    <n v="0"/>
    <n v="239762.86112999966"/>
    <n v="0"/>
    <n v="275234.08939157013"/>
    <x v="7"/>
  </r>
  <r>
    <s v="Refaturamento - Regular"/>
    <x v="2"/>
    <x v="4"/>
    <x v="4"/>
    <x v="6"/>
    <x v="2"/>
    <x v="0"/>
    <x v="1"/>
    <x v="6"/>
    <n v="0"/>
    <n v="0"/>
    <n v="-1.7949999999999999"/>
    <n v="-1.7949999999999999"/>
    <n v="-1.7949999999999999"/>
    <n v="-1.7949999999999999"/>
    <n v="-18"/>
    <s v="CATIVO"/>
    <n v="0"/>
    <n v="0"/>
    <n v="28"/>
    <n v="101"/>
    <n v="0"/>
    <n v="277.05"/>
    <n v="210.82"/>
    <m/>
    <n v="336.133367976638"/>
    <n v="223.93652458459661"/>
    <n v="0"/>
    <n v="-97.306949999999858"/>
    <n v="0"/>
    <n v="-111.70282857193499"/>
    <x v="7"/>
  </r>
  <r>
    <s v="Sistema de Compensação"/>
    <x v="2"/>
    <x v="4"/>
    <x v="4"/>
    <x v="6"/>
    <x v="2"/>
    <x v="0"/>
    <x v="1"/>
    <x v="6"/>
    <n v="0"/>
    <n v="0"/>
    <n v="1.9690000000000001"/>
    <n v="1.9690000000000001"/>
    <n v="1.9690000000000001"/>
    <n v="1.9690000000000001"/>
    <n v="24"/>
    <s v="CATIVO"/>
    <n v="0"/>
    <n v="0"/>
    <n v="28"/>
    <n v="101"/>
    <n v="0"/>
    <n v="277.05"/>
    <n v="210.82"/>
    <m/>
    <n v="336.133367976638"/>
    <n v="223.93652458459661"/>
    <n v="0"/>
    <n v="106.73948999999985"/>
    <n v="0"/>
    <n v="122.53084649478552"/>
    <x v="7"/>
  </r>
  <r>
    <s v="Regular"/>
    <x v="2"/>
    <x v="4"/>
    <x v="4"/>
    <x v="6"/>
    <x v="2"/>
    <x v="0"/>
    <x v="1"/>
    <x v="7"/>
    <n v="0"/>
    <n v="0"/>
    <n v="4714.8689999999997"/>
    <n v="4714.8689999999997"/>
    <n v="4714.8689999999997"/>
    <n v="4714.8689999999997"/>
    <n v="81912"/>
    <s v="CATIVO"/>
    <n v="0"/>
    <n v="0"/>
    <n v="28"/>
    <n v="101"/>
    <n v="0"/>
    <n v="277.05"/>
    <n v="210.82"/>
    <m/>
    <n v="336.133367976638"/>
    <n v="223.93652458459661"/>
    <n v="0"/>
    <n v="255593.04848999961"/>
    <n v="0"/>
    <n v="293406.24158558802"/>
    <x v="7"/>
  </r>
  <r>
    <s v="Refaturamento - Regular"/>
    <x v="2"/>
    <x v="4"/>
    <x v="4"/>
    <x v="6"/>
    <x v="2"/>
    <x v="0"/>
    <x v="1"/>
    <x v="7"/>
    <n v="0"/>
    <n v="0"/>
    <n v="-2.2469999999999999"/>
    <n v="-2.2469999999999999"/>
    <n v="-2.2469999999999999"/>
    <n v="-2.2469999999999999"/>
    <n v="-9"/>
    <s v="CATIVO"/>
    <n v="0"/>
    <n v="0"/>
    <n v="28"/>
    <n v="101"/>
    <n v="0"/>
    <n v="277.05"/>
    <n v="210.82"/>
    <m/>
    <n v="336.133367976638"/>
    <n v="223.93652458459661"/>
    <n v="0"/>
    <n v="-121.80986999999982"/>
    <n v="0"/>
    <n v="-139.8307831761214"/>
    <x v="7"/>
  </r>
  <r>
    <s v="Sistema de Compensação"/>
    <x v="2"/>
    <x v="4"/>
    <x v="4"/>
    <x v="6"/>
    <x v="2"/>
    <x v="0"/>
    <x v="1"/>
    <x v="7"/>
    <n v="0"/>
    <n v="0"/>
    <n v="1.698"/>
    <n v="1.698"/>
    <n v="1.698"/>
    <n v="1.698"/>
    <n v="21"/>
    <s v="CATIVO"/>
    <n v="0"/>
    <n v="0"/>
    <n v="28"/>
    <n v="101"/>
    <n v="0"/>
    <n v="277.05"/>
    <n v="210.82"/>
    <m/>
    <n v="336.133367976638"/>
    <n v="223.93652458459661"/>
    <n v="0"/>
    <n v="92.048579999999873"/>
    <n v="0"/>
    <n v="105.66651972988613"/>
    <x v="7"/>
  </r>
  <r>
    <s v="Regular"/>
    <x v="2"/>
    <x v="4"/>
    <x v="4"/>
    <x v="6"/>
    <x v="2"/>
    <x v="0"/>
    <x v="1"/>
    <x v="8"/>
    <n v="0"/>
    <n v="0"/>
    <n v="5086.26"/>
    <n v="5086.26"/>
    <n v="5086.26"/>
    <n v="5086.26"/>
    <n v="85812"/>
    <s v="CATIVO"/>
    <n v="0"/>
    <n v="0"/>
    <n v="28"/>
    <n v="101"/>
    <n v="0"/>
    <n v="277.05"/>
    <n v="210.82"/>
    <m/>
    <n v="336.133367976638"/>
    <n v="223.93652458459661"/>
    <n v="0"/>
    <n v="275726.1545999996"/>
    <n v="0"/>
    <n v="316517.89908205578"/>
    <x v="7"/>
  </r>
  <r>
    <s v="Refaturamento - Regular"/>
    <x v="2"/>
    <x v="4"/>
    <x v="4"/>
    <x v="6"/>
    <x v="2"/>
    <x v="0"/>
    <x v="1"/>
    <x v="8"/>
    <n v="0"/>
    <n v="0"/>
    <n v="-0.73099999999999998"/>
    <n v="-0.73099999999999998"/>
    <n v="-0.73099999999999998"/>
    <n v="-0.73099999999999998"/>
    <n v="-6"/>
    <s v="CATIVO"/>
    <n v="0"/>
    <n v="0"/>
    <n v="28"/>
    <n v="101"/>
    <n v="0"/>
    <n v="277.05"/>
    <n v="210.82"/>
    <m/>
    <n v="336.133367976638"/>
    <n v="223.93652458459661"/>
    <n v="0"/>
    <n v="-39.627509999999944"/>
    <n v="0"/>
    <n v="-45.490121273584663"/>
    <x v="7"/>
  </r>
  <r>
    <s v="Sistema de Compensação"/>
    <x v="2"/>
    <x v="4"/>
    <x v="4"/>
    <x v="6"/>
    <x v="2"/>
    <x v="0"/>
    <x v="1"/>
    <x v="8"/>
    <n v="0"/>
    <n v="0"/>
    <n v="2.2170000000000001"/>
    <n v="2.2170000000000001"/>
    <n v="2.2170000000000001"/>
    <n v="2.2170000000000001"/>
    <n v="19"/>
    <s v="CATIVO"/>
    <n v="0"/>
    <n v="0"/>
    <n v="28"/>
    <n v="101"/>
    <n v="0"/>
    <n v="277.05"/>
    <n v="210.82"/>
    <m/>
    <n v="336.133367976638"/>
    <n v="223.93652458459661"/>
    <n v="0"/>
    <n v="120.18356999999983"/>
    <n v="0"/>
    <n v="137.96388353425064"/>
    <x v="7"/>
  </r>
  <r>
    <s v="Regular"/>
    <x v="2"/>
    <x v="4"/>
    <x v="4"/>
    <x v="6"/>
    <x v="2"/>
    <x v="0"/>
    <x v="1"/>
    <x v="9"/>
    <n v="0"/>
    <n v="0"/>
    <n v="5801.4319999999998"/>
    <n v="5801.4319999999998"/>
    <n v="5801.4319999999998"/>
    <n v="5801.4319999999998"/>
    <n v="91780"/>
    <s v="CATIVO"/>
    <n v="0"/>
    <n v="0"/>
    <n v="28"/>
    <n v="101"/>
    <n v="0"/>
    <n v="277.05"/>
    <n v="210.82"/>
    <m/>
    <n v="336.133367976638"/>
    <n v="223.93652458459661"/>
    <n v="0"/>
    <n v="314495.62871999951"/>
    <n v="0"/>
    <n v="361023.04410458938"/>
    <x v="7"/>
  </r>
  <r>
    <s v="Refaturamento - Regular"/>
    <x v="2"/>
    <x v="4"/>
    <x v="4"/>
    <x v="6"/>
    <x v="2"/>
    <x v="0"/>
    <x v="1"/>
    <x v="9"/>
    <n v="0"/>
    <n v="0"/>
    <n v="-0.48499999999999999"/>
    <n v="-0.48499999999999999"/>
    <n v="-0.48499999999999999"/>
    <n v="-0.48499999999999999"/>
    <n v="-1"/>
    <s v="CATIVO"/>
    <n v="0"/>
    <n v="0"/>
    <n v="28"/>
    <n v="101"/>
    <n v="0"/>
    <n v="277.05"/>
    <n v="210.82"/>
    <m/>
    <n v="336.133367976638"/>
    <n v="223.93652458459661"/>
    <n v="0"/>
    <n v="-26.291849999999961"/>
    <n v="0"/>
    <n v="-30.181544210244272"/>
    <x v="7"/>
  </r>
  <r>
    <s v="Sistema de Compensação"/>
    <x v="2"/>
    <x v="4"/>
    <x v="4"/>
    <x v="6"/>
    <x v="2"/>
    <x v="0"/>
    <x v="1"/>
    <x v="9"/>
    <n v="0"/>
    <n v="0"/>
    <n v="2.5019999999999998"/>
    <n v="2.5019999999999998"/>
    <n v="2.5019999999999998"/>
    <n v="2.5019999999999998"/>
    <n v="18"/>
    <s v="CATIVO"/>
    <n v="0"/>
    <n v="0"/>
    <n v="28"/>
    <n v="101"/>
    <n v="0"/>
    <n v="277.05"/>
    <n v="210.82"/>
    <m/>
    <n v="336.133367976638"/>
    <n v="223.93652458459661"/>
    <n v="0"/>
    <n v="135.6334199999998"/>
    <n v="0"/>
    <n v="155.69943013202302"/>
    <x v="7"/>
  </r>
  <r>
    <s v="Regular"/>
    <x v="2"/>
    <x v="4"/>
    <x v="4"/>
    <x v="6"/>
    <x v="2"/>
    <x v="0"/>
    <x v="1"/>
    <x v="10"/>
    <n v="0"/>
    <n v="0"/>
    <n v="5685.732"/>
    <n v="5685.732"/>
    <n v="5685.732"/>
    <n v="5685.732"/>
    <n v="92791"/>
    <s v="CATIVO"/>
    <n v="0"/>
    <n v="0"/>
    <n v="28"/>
    <n v="101"/>
    <n v="0"/>
    <n v="277.05"/>
    <n v="210.82"/>
    <m/>
    <n v="336.133367976638"/>
    <n v="223.93652458459661"/>
    <n v="0"/>
    <n v="308223.53171999956"/>
    <n v="0"/>
    <n v="353823.03448577441"/>
    <x v="7"/>
  </r>
  <r>
    <s v="Refaturamento - Regular"/>
    <x v="2"/>
    <x v="4"/>
    <x v="4"/>
    <x v="6"/>
    <x v="2"/>
    <x v="0"/>
    <x v="1"/>
    <x v="10"/>
    <n v="0"/>
    <n v="0"/>
    <n v="-0.94499999999999995"/>
    <n v="-0.94499999999999995"/>
    <n v="-0.94499999999999995"/>
    <n v="-0.94499999999999995"/>
    <n v="-5"/>
    <s v="CATIVO"/>
    <n v="0"/>
    <n v="0"/>
    <n v="28"/>
    <n v="101"/>
    <n v="0"/>
    <n v="277.05"/>
    <n v="210.82"/>
    <m/>
    <n v="336.133367976638"/>
    <n v="223.93652458459661"/>
    <n v="0"/>
    <n v="-51.228449999999924"/>
    <n v="0"/>
    <n v="-58.807338718929557"/>
    <x v="7"/>
  </r>
  <r>
    <s v="Sistema de Compensação"/>
    <x v="2"/>
    <x v="4"/>
    <x v="4"/>
    <x v="6"/>
    <x v="2"/>
    <x v="0"/>
    <x v="1"/>
    <x v="10"/>
    <n v="0"/>
    <n v="0"/>
    <n v="2.363"/>
    <n v="2.363"/>
    <n v="2.363"/>
    <n v="2.363"/>
    <n v="17"/>
    <s v="CATIVO"/>
    <n v="0"/>
    <n v="0"/>
    <n v="28"/>
    <n v="101"/>
    <n v="0"/>
    <n v="277.05"/>
    <n v="210.82"/>
    <m/>
    <n v="336.133367976638"/>
    <n v="223.93652458459661"/>
    <n v="0"/>
    <n v="128.09822999999983"/>
    <n v="0"/>
    <n v="147.04946179135507"/>
    <x v="7"/>
  </r>
  <r>
    <s v="PROJETADO"/>
    <x v="2"/>
    <x v="4"/>
    <x v="4"/>
    <x v="6"/>
    <x v="2"/>
    <x v="0"/>
    <x v="1"/>
    <x v="11"/>
    <n v="0"/>
    <n v="0"/>
    <n v="5685.732"/>
    <n v="5685.732"/>
    <n v="5685.732"/>
    <n v="5685.732"/>
    <n v="92791"/>
    <s v="CATIVO"/>
    <n v="0"/>
    <n v="0"/>
    <n v="28"/>
    <n v="101"/>
    <n v="0"/>
    <n v="277.05"/>
    <n v="210.82"/>
    <m/>
    <n v="336.133367976638"/>
    <n v="223.93652458459661"/>
    <n v="0"/>
    <n v="308223.53171999956"/>
    <n v="0"/>
    <n v="353823.03448577441"/>
    <x v="7"/>
  </r>
  <r>
    <s v="PROJETADO"/>
    <x v="2"/>
    <x v="4"/>
    <x v="4"/>
    <x v="6"/>
    <x v="2"/>
    <x v="0"/>
    <x v="1"/>
    <x v="11"/>
    <n v="0"/>
    <n v="0"/>
    <n v="-0.94499999999999995"/>
    <n v="-0.94499999999999995"/>
    <n v="-0.94499999999999995"/>
    <n v="-0.94499999999999995"/>
    <n v="-5"/>
    <s v="CATIVO"/>
    <n v="0"/>
    <n v="0"/>
    <n v="28"/>
    <n v="101"/>
    <n v="0"/>
    <n v="277.05"/>
    <n v="210.82"/>
    <m/>
    <n v="336.133367976638"/>
    <n v="223.93652458459661"/>
    <n v="0"/>
    <n v="-51.228449999999924"/>
    <n v="0"/>
    <n v="-58.807338718929557"/>
    <x v="7"/>
  </r>
  <r>
    <s v="PROJETADO"/>
    <x v="2"/>
    <x v="4"/>
    <x v="4"/>
    <x v="6"/>
    <x v="2"/>
    <x v="0"/>
    <x v="1"/>
    <x v="11"/>
    <n v="0"/>
    <n v="0"/>
    <n v="2.363"/>
    <n v="2.363"/>
    <n v="2.363"/>
    <n v="2.363"/>
    <n v="17"/>
    <s v="CATIVO"/>
    <n v="0"/>
    <n v="0"/>
    <n v="28"/>
    <n v="101"/>
    <n v="0"/>
    <n v="277.05"/>
    <n v="210.82"/>
    <m/>
    <n v="336.133367976638"/>
    <n v="223.93652458459661"/>
    <n v="0"/>
    <n v="128.09822999999983"/>
    <n v="0"/>
    <n v="147.04946179135507"/>
    <x v="7"/>
  </r>
  <r>
    <s v="Regular"/>
    <x v="2"/>
    <x v="4"/>
    <x v="4"/>
    <x v="7"/>
    <x v="2"/>
    <x v="0"/>
    <x v="1"/>
    <x v="0"/>
    <n v="0"/>
    <n v="0"/>
    <n v="1840.585"/>
    <n v="1840.585"/>
    <n v="1840.585"/>
    <n v="1840.585"/>
    <n v="18521"/>
    <s v="CATIVO"/>
    <n v="0"/>
    <n v="0"/>
    <n v="29"/>
    <n v="66"/>
    <n v="0"/>
    <n v="307.83999999999997"/>
    <n v="234.24"/>
    <m/>
    <n v="373.48151997404221"/>
    <n v="248.81836064955178"/>
    <n v="0"/>
    <n v="-1.0462514410392032E-10"/>
    <n v="0"/>
    <n v="-1.0462514410392032E-10"/>
    <x v="7"/>
  </r>
  <r>
    <s v="Refaturamento - Regular"/>
    <x v="2"/>
    <x v="4"/>
    <x v="4"/>
    <x v="7"/>
    <x v="2"/>
    <x v="0"/>
    <x v="1"/>
    <x v="0"/>
    <n v="0"/>
    <n v="0"/>
    <n v="-6.4489999999999998"/>
    <n v="-6.4489999999999998"/>
    <n v="-6.4489999999999998"/>
    <n v="-6.4489999999999998"/>
    <n v="-4"/>
    <s v="CATIVO"/>
    <n v="0"/>
    <n v="0"/>
    <n v="29"/>
    <n v="66"/>
    <n v="0"/>
    <n v="307.83999999999997"/>
    <n v="234.24"/>
    <m/>
    <n v="373.48151997404221"/>
    <n v="248.81836064955178"/>
    <n v="0"/>
    <n v="3.6658320823335088E-13"/>
    <n v="0"/>
    <n v="3.6658320823335088E-13"/>
    <x v="7"/>
  </r>
  <r>
    <s v="Sistema de Compensação"/>
    <x v="2"/>
    <x v="4"/>
    <x v="4"/>
    <x v="7"/>
    <x v="2"/>
    <x v="0"/>
    <x v="1"/>
    <x v="0"/>
    <n v="0"/>
    <n v="0"/>
    <n v="2.9940000000000002"/>
    <n v="2.9940000000000002"/>
    <n v="2.9940000000000002"/>
    <n v="2.9940000000000002"/>
    <n v="23"/>
    <s v="CATIVO"/>
    <n v="0"/>
    <n v="0"/>
    <n v="29"/>
    <n v="66"/>
    <n v="0"/>
    <n v="307.83999999999997"/>
    <n v="234.24"/>
    <m/>
    <n v="373.48151997404221"/>
    <n v="248.81836064955178"/>
    <n v="0"/>
    <n v="-1.7018919606925921E-13"/>
    <n v="0"/>
    <n v="-1.7018919606925921E-13"/>
    <x v="7"/>
  </r>
  <r>
    <s v="Regular"/>
    <x v="2"/>
    <x v="4"/>
    <x v="4"/>
    <x v="7"/>
    <x v="2"/>
    <x v="0"/>
    <x v="1"/>
    <x v="1"/>
    <n v="0"/>
    <n v="0"/>
    <n v="1271.867"/>
    <n v="1271.867"/>
    <n v="1271.867"/>
    <n v="1271.867"/>
    <n v="13296"/>
    <s v="CATIVO"/>
    <n v="0"/>
    <n v="0"/>
    <n v="29"/>
    <n v="66"/>
    <n v="0"/>
    <n v="307.83999999999997"/>
    <n v="234.24"/>
    <m/>
    <n v="373.48151997404221"/>
    <n v="248.81836064955178"/>
    <n v="0"/>
    <n v="-7.2297268616239305E-11"/>
    <n v="0"/>
    <n v="-7.2297268616239305E-11"/>
    <x v="7"/>
  </r>
  <r>
    <s v="Refaturamento - Regular"/>
    <x v="2"/>
    <x v="4"/>
    <x v="4"/>
    <x v="7"/>
    <x v="2"/>
    <x v="0"/>
    <x v="1"/>
    <x v="1"/>
    <n v="0"/>
    <n v="0"/>
    <n v="-9.8000000000000004E-2"/>
    <n v="-9.8000000000000004E-2"/>
    <n v="-9.8000000000000004E-2"/>
    <n v="-9.8000000000000004E-2"/>
    <n v="-2"/>
    <s v="CATIVO"/>
    <n v="0"/>
    <n v="0"/>
    <n v="29"/>
    <n v="66"/>
    <n v="0"/>
    <n v="307.83999999999997"/>
    <n v="234.24"/>
    <m/>
    <n v="373.48151997404221"/>
    <n v="248.81836064955178"/>
    <n v="0"/>
    <n v="5.5706550483591857E-15"/>
    <n v="0"/>
    <n v="5.5706550483591857E-15"/>
    <x v="7"/>
  </r>
  <r>
    <s v="Sistema de Compensação"/>
    <x v="2"/>
    <x v="4"/>
    <x v="4"/>
    <x v="7"/>
    <x v="2"/>
    <x v="0"/>
    <x v="1"/>
    <x v="1"/>
    <n v="0"/>
    <n v="0"/>
    <n v="2.5760000000000001"/>
    <n v="2.5760000000000001"/>
    <n v="2.5760000000000001"/>
    <n v="2.5760000000000001"/>
    <n v="23"/>
    <s v="CATIVO"/>
    <n v="0"/>
    <n v="0"/>
    <n v="29"/>
    <n v="66"/>
    <n v="0"/>
    <n v="307.83999999999997"/>
    <n v="234.24"/>
    <m/>
    <n v="373.48151997404221"/>
    <n v="248.81836064955178"/>
    <n v="0"/>
    <n v="-1.4642864698544145E-13"/>
    <n v="0"/>
    <n v="-1.4642864698544145E-13"/>
    <x v="7"/>
  </r>
  <r>
    <s v="Regular"/>
    <x v="2"/>
    <x v="4"/>
    <x v="4"/>
    <x v="7"/>
    <x v="2"/>
    <x v="0"/>
    <x v="1"/>
    <x v="2"/>
    <n v="0"/>
    <n v="0"/>
    <n v="1126.193"/>
    <n v="1126.193"/>
    <n v="1126.193"/>
    <n v="1126.193"/>
    <n v="11760"/>
    <s v="CATIVO"/>
    <n v="0"/>
    <n v="0"/>
    <n v="29"/>
    <n v="66"/>
    <n v="0"/>
    <n v="307.83999999999997"/>
    <n v="234.24"/>
    <m/>
    <n v="373.48151997404221"/>
    <n v="248.81836064955178"/>
    <n v="0"/>
    <n v="-6.401666041710996E-11"/>
    <n v="0"/>
    <n v="-6.401666041710996E-11"/>
    <x v="7"/>
  </r>
  <r>
    <s v="Refaturamento - Regular"/>
    <x v="2"/>
    <x v="4"/>
    <x v="4"/>
    <x v="7"/>
    <x v="2"/>
    <x v="0"/>
    <x v="1"/>
    <x v="2"/>
    <n v="0"/>
    <n v="0"/>
    <n v="-0.02"/>
    <n v="-0.02"/>
    <n v="-0.02"/>
    <n v="-0.02"/>
    <n v="-1"/>
    <s v="CATIVO"/>
    <n v="0"/>
    <n v="0"/>
    <n v="29"/>
    <n v="66"/>
    <n v="0"/>
    <n v="307.83999999999997"/>
    <n v="234.24"/>
    <m/>
    <n v="373.48151997404221"/>
    <n v="248.81836064955178"/>
    <n v="0"/>
    <n v="1.1368683772161603E-15"/>
    <n v="0"/>
    <n v="1.1368683772161603E-15"/>
    <x v="7"/>
  </r>
  <r>
    <s v="Sistema de Compensação"/>
    <x v="2"/>
    <x v="4"/>
    <x v="4"/>
    <x v="7"/>
    <x v="2"/>
    <x v="0"/>
    <x v="1"/>
    <x v="2"/>
    <n v="0"/>
    <n v="0"/>
    <n v="1.595"/>
    <n v="1.595"/>
    <n v="1.595"/>
    <n v="1.595"/>
    <n v="19"/>
    <s v="CATIVO"/>
    <n v="0"/>
    <n v="0"/>
    <n v="29"/>
    <n v="66"/>
    <n v="0"/>
    <n v="307.83999999999997"/>
    <n v="234.24"/>
    <m/>
    <n v="373.48151997404221"/>
    <n v="248.81836064955178"/>
    <n v="0"/>
    <n v="-9.0665253082988782E-14"/>
    <n v="0"/>
    <n v="-9.0665253082988782E-14"/>
    <x v="7"/>
  </r>
  <r>
    <s v="Regular"/>
    <x v="2"/>
    <x v="4"/>
    <x v="4"/>
    <x v="7"/>
    <x v="2"/>
    <x v="0"/>
    <x v="1"/>
    <x v="3"/>
    <n v="0"/>
    <n v="0"/>
    <n v="1052.328"/>
    <n v="1052.328"/>
    <n v="1052.328"/>
    <n v="1052.328"/>
    <n v="11008"/>
    <s v="CATIVO"/>
    <n v="0"/>
    <n v="0"/>
    <n v="29"/>
    <n v="66"/>
    <n v="0"/>
    <n v="307.83999999999997"/>
    <n v="234.24"/>
    <m/>
    <n v="373.48151997404221"/>
    <n v="248.81836064955178"/>
    <n v="0"/>
    <n v="-5.9817921282956375E-11"/>
    <n v="0"/>
    <n v="-5.9817921282956375E-11"/>
    <x v="7"/>
  </r>
  <r>
    <s v="Refaturamento - Regular"/>
    <x v="2"/>
    <x v="4"/>
    <x v="4"/>
    <x v="7"/>
    <x v="2"/>
    <x v="0"/>
    <x v="1"/>
    <x v="3"/>
    <n v="0"/>
    <n v="0"/>
    <n v="-17.094000000000001"/>
    <n v="-17.094000000000001"/>
    <n v="-17.094000000000001"/>
    <n v="-17.094000000000001"/>
    <n v="-16"/>
    <s v="CATIVO"/>
    <n v="0"/>
    <n v="0"/>
    <n v="29"/>
    <n v="66"/>
    <n v="0"/>
    <n v="307.83999999999997"/>
    <n v="234.24"/>
    <m/>
    <n v="373.48151997404221"/>
    <n v="248.81836064955178"/>
    <n v="0"/>
    <n v="9.7168140200665227E-13"/>
    <n v="0"/>
    <n v="9.7168140200665227E-13"/>
    <x v="7"/>
  </r>
  <r>
    <s v="Sistema de Compensação"/>
    <x v="2"/>
    <x v="4"/>
    <x v="4"/>
    <x v="7"/>
    <x v="2"/>
    <x v="0"/>
    <x v="1"/>
    <x v="3"/>
    <n v="0"/>
    <n v="0"/>
    <n v="1.3480000000000001"/>
    <n v="1.3480000000000001"/>
    <n v="1.3480000000000001"/>
    <n v="1.3480000000000001"/>
    <n v="20"/>
    <s v="CATIVO"/>
    <n v="0"/>
    <n v="0"/>
    <n v="29"/>
    <n v="66"/>
    <n v="0"/>
    <n v="307.83999999999997"/>
    <n v="234.24"/>
    <m/>
    <n v="373.48151997404221"/>
    <n v="248.81836064955178"/>
    <n v="0"/>
    <n v="-7.6624928624369209E-14"/>
    <n v="0"/>
    <n v="-7.6624928624369209E-14"/>
    <x v="7"/>
  </r>
  <r>
    <s v="Regular"/>
    <x v="2"/>
    <x v="4"/>
    <x v="4"/>
    <x v="7"/>
    <x v="2"/>
    <x v="0"/>
    <x v="1"/>
    <x v="4"/>
    <n v="0"/>
    <n v="0"/>
    <n v="915.596"/>
    <n v="915.596"/>
    <n v="915.596"/>
    <n v="915.596"/>
    <n v="9367"/>
    <s v="CATIVO"/>
    <n v="0"/>
    <n v="0"/>
    <n v="29"/>
    <n v="66"/>
    <n v="0"/>
    <n v="307.83999999999997"/>
    <n v="234.24"/>
    <m/>
    <n v="373.48151997404221"/>
    <n v="248.81836064955178"/>
    <n v="0"/>
    <n v="-5.2045606935280375E-11"/>
    <n v="0"/>
    <n v="-5.2045606935280375E-11"/>
    <x v="7"/>
  </r>
  <r>
    <s v="Refaturamento - Regular"/>
    <x v="2"/>
    <x v="4"/>
    <x v="4"/>
    <x v="7"/>
    <x v="2"/>
    <x v="0"/>
    <x v="1"/>
    <x v="4"/>
    <n v="0"/>
    <n v="0"/>
    <n v="-10.167"/>
    <n v="-10.167"/>
    <n v="-10.167"/>
    <n v="-10.167"/>
    <n v="-10"/>
    <s v="CATIVO"/>
    <n v="0"/>
    <n v="0"/>
    <n v="29"/>
    <n v="66"/>
    <n v="0"/>
    <n v="307.83999999999997"/>
    <n v="234.24"/>
    <m/>
    <n v="373.48151997404221"/>
    <n v="248.81836064955178"/>
    <n v="0"/>
    <n v="5.7792703955783508E-13"/>
    <n v="0"/>
    <n v="5.7792703955783508E-13"/>
    <x v="7"/>
  </r>
  <r>
    <s v="Sistema de Compensação"/>
    <x v="2"/>
    <x v="4"/>
    <x v="4"/>
    <x v="7"/>
    <x v="2"/>
    <x v="0"/>
    <x v="1"/>
    <x v="4"/>
    <n v="0"/>
    <n v="0"/>
    <n v="1.4430000000000001"/>
    <n v="1.4430000000000001"/>
    <n v="1.4430000000000001"/>
    <n v="1.4430000000000001"/>
    <n v="20"/>
    <s v="CATIVO"/>
    <n v="0"/>
    <n v="0"/>
    <n v="29"/>
    <n v="66"/>
    <n v="0"/>
    <n v="307.83999999999997"/>
    <n v="234.24"/>
    <m/>
    <n v="373.48151997404221"/>
    <n v="248.81836064955178"/>
    <n v="0"/>
    <n v="-8.2025053416145969E-14"/>
    <n v="0"/>
    <n v="-8.2025053416145969E-14"/>
    <x v="7"/>
  </r>
  <r>
    <s v="Regular"/>
    <x v="2"/>
    <x v="4"/>
    <x v="4"/>
    <x v="7"/>
    <x v="2"/>
    <x v="0"/>
    <x v="1"/>
    <x v="5"/>
    <n v="0"/>
    <n v="0"/>
    <n v="968.34100000000001"/>
    <n v="968.34100000000001"/>
    <n v="968.34100000000001"/>
    <n v="968.34100000000001"/>
    <n v="9801"/>
    <s v="CATIVO"/>
    <n v="0"/>
    <n v="0"/>
    <n v="29"/>
    <n v="66"/>
    <n v="0"/>
    <n v="307.83999999999997"/>
    <n v="234.24"/>
    <m/>
    <n v="373.48151997404221"/>
    <n v="248.81836064955178"/>
    <n v="0"/>
    <n v="-5.5043813063093694E-11"/>
    <n v="0"/>
    <n v="-5.5043813063093694E-11"/>
    <x v="7"/>
  </r>
  <r>
    <s v="Refaturamento - Regular"/>
    <x v="2"/>
    <x v="4"/>
    <x v="4"/>
    <x v="7"/>
    <x v="2"/>
    <x v="0"/>
    <x v="1"/>
    <x v="5"/>
    <n v="0"/>
    <n v="0"/>
    <n v="-2.8090000000000002"/>
    <n v="-2.8090000000000002"/>
    <n v="-2.8090000000000002"/>
    <n v="-2.8090000000000002"/>
    <n v="-11"/>
    <s v="CATIVO"/>
    <n v="0"/>
    <n v="0"/>
    <n v="29"/>
    <n v="66"/>
    <n v="0"/>
    <n v="307.83999999999997"/>
    <n v="234.24"/>
    <m/>
    <n v="373.48151997404221"/>
    <n v="248.81836064955178"/>
    <n v="0"/>
    <n v="1.5967316358000972E-13"/>
    <n v="0"/>
    <n v="1.5967316358000972E-13"/>
    <x v="7"/>
  </r>
  <r>
    <s v="Sistema de Compensação"/>
    <x v="2"/>
    <x v="4"/>
    <x v="4"/>
    <x v="7"/>
    <x v="2"/>
    <x v="0"/>
    <x v="1"/>
    <x v="5"/>
    <n v="0"/>
    <n v="0"/>
    <n v="2.2029999999999998"/>
    <n v="2.2029999999999998"/>
    <n v="2.2029999999999998"/>
    <n v="2.2029999999999998"/>
    <n v="25"/>
    <s v="CATIVO"/>
    <n v="0"/>
    <n v="0"/>
    <n v="29"/>
    <n v="66"/>
    <n v="0"/>
    <n v="307.83999999999997"/>
    <n v="234.24"/>
    <m/>
    <n v="373.48151997404221"/>
    <n v="248.81836064955178"/>
    <n v="0"/>
    <n v="-1.2522605175036005E-13"/>
    <n v="0"/>
    <n v="-1.2522605175036005E-13"/>
    <x v="7"/>
  </r>
  <r>
    <s v="Regular"/>
    <x v="2"/>
    <x v="4"/>
    <x v="4"/>
    <x v="7"/>
    <x v="2"/>
    <x v="0"/>
    <x v="1"/>
    <x v="6"/>
    <n v="0"/>
    <n v="0"/>
    <n v="1199.5029999999999"/>
    <n v="1199.5029999999999"/>
    <n v="1199.5029999999999"/>
    <n v="1199.5029999999999"/>
    <n v="11981"/>
    <s v="CATIVO"/>
    <n v="0"/>
    <n v="0"/>
    <n v="29"/>
    <n v="66"/>
    <n v="0"/>
    <n v="307.83999999999997"/>
    <n v="234.24"/>
    <m/>
    <n v="373.48151997404221"/>
    <n v="248.81836064955178"/>
    <n v="0"/>
    <n v="-6.8183851453795792E-11"/>
    <n v="0"/>
    <n v="-6.8183851453795792E-11"/>
    <x v="7"/>
  </r>
  <r>
    <s v="Refaturamento - Regular"/>
    <x v="2"/>
    <x v="4"/>
    <x v="4"/>
    <x v="7"/>
    <x v="2"/>
    <x v="0"/>
    <x v="1"/>
    <x v="6"/>
    <n v="0"/>
    <n v="0"/>
    <n v="-6.9909999999999997"/>
    <n v="-6.9909999999999997"/>
    <n v="-6.9909999999999997"/>
    <n v="-6.9909999999999997"/>
    <n v="-9"/>
    <s v="CATIVO"/>
    <n v="0"/>
    <n v="0"/>
    <n v="29"/>
    <n v="66"/>
    <n v="0"/>
    <n v="307.83999999999997"/>
    <n v="234.24"/>
    <m/>
    <n v="373.48151997404221"/>
    <n v="248.81836064955178"/>
    <n v="0"/>
    <n v="3.9739234125590881E-13"/>
    <n v="0"/>
    <n v="3.9739234125590881E-13"/>
    <x v="7"/>
  </r>
  <r>
    <s v="Sistema de Compensação"/>
    <x v="2"/>
    <x v="4"/>
    <x v="4"/>
    <x v="7"/>
    <x v="2"/>
    <x v="0"/>
    <x v="1"/>
    <x v="6"/>
    <n v="0"/>
    <n v="0"/>
    <n v="2.5920000000000001"/>
    <n v="2.5920000000000001"/>
    <n v="2.5920000000000001"/>
    <n v="2.5920000000000001"/>
    <n v="25"/>
    <s v="CATIVO"/>
    <n v="0"/>
    <n v="0"/>
    <n v="29"/>
    <n v="66"/>
    <n v="0"/>
    <n v="307.83999999999997"/>
    <n v="234.24"/>
    <m/>
    <n v="373.48151997404221"/>
    <n v="248.81836064955178"/>
    <n v="0"/>
    <n v="-1.4733814168721438E-13"/>
    <n v="0"/>
    <n v="-1.4733814168721438E-13"/>
    <x v="7"/>
  </r>
  <r>
    <s v="Regular"/>
    <x v="2"/>
    <x v="4"/>
    <x v="4"/>
    <x v="7"/>
    <x v="2"/>
    <x v="0"/>
    <x v="1"/>
    <x v="7"/>
    <n v="0"/>
    <n v="0"/>
    <n v="1299.3150000000001"/>
    <n v="1299.3150000000001"/>
    <n v="1299.3150000000001"/>
    <n v="1299.3150000000001"/>
    <n v="12988"/>
    <s v="CATIVO"/>
    <n v="0"/>
    <n v="0"/>
    <n v="29"/>
    <n v="66"/>
    <n v="0"/>
    <n v="307.83999999999997"/>
    <n v="234.24"/>
    <m/>
    <n v="373.48151997404221"/>
    <n v="248.81836064955178"/>
    <n v="0"/>
    <n v="-7.3857506777130769E-11"/>
    <n v="0"/>
    <n v="-7.3857506777130769E-11"/>
    <x v="7"/>
  </r>
  <r>
    <s v="Refaturamento - Regular"/>
    <x v="2"/>
    <x v="4"/>
    <x v="4"/>
    <x v="7"/>
    <x v="2"/>
    <x v="0"/>
    <x v="1"/>
    <x v="7"/>
    <n v="0"/>
    <n v="0"/>
    <n v="-3.6970000000000001"/>
    <n v="-3.6970000000000001"/>
    <n v="-3.6970000000000001"/>
    <n v="-3.6970000000000001"/>
    <n v="-5"/>
    <s v="CATIVO"/>
    <n v="0"/>
    <n v="0"/>
    <n v="29"/>
    <n v="66"/>
    <n v="0"/>
    <n v="307.83999999999997"/>
    <n v="234.24"/>
    <m/>
    <n v="373.48151997404221"/>
    <n v="248.81836064955178"/>
    <n v="0"/>
    <n v="2.1015011952840723E-13"/>
    <n v="0"/>
    <n v="2.1015011952840723E-13"/>
    <x v="7"/>
  </r>
  <r>
    <s v="Sistema de Compensação"/>
    <x v="2"/>
    <x v="4"/>
    <x v="4"/>
    <x v="7"/>
    <x v="2"/>
    <x v="0"/>
    <x v="1"/>
    <x v="7"/>
    <n v="0"/>
    <n v="0"/>
    <n v="3.089"/>
    <n v="3.089"/>
    <n v="3.089"/>
    <n v="3.089"/>
    <n v="30"/>
    <s v="CATIVO"/>
    <n v="0"/>
    <n v="0"/>
    <n v="29"/>
    <n v="66"/>
    <n v="0"/>
    <n v="307.83999999999997"/>
    <n v="234.24"/>
    <m/>
    <n v="373.48151997404221"/>
    <n v="248.81836064955178"/>
    <n v="0"/>
    <n v="-1.7558932086103596E-13"/>
    <n v="0"/>
    <n v="-1.7558932086103596E-13"/>
    <x v="7"/>
  </r>
  <r>
    <s v="Regular"/>
    <x v="2"/>
    <x v="4"/>
    <x v="4"/>
    <x v="7"/>
    <x v="2"/>
    <x v="0"/>
    <x v="1"/>
    <x v="8"/>
    <n v="0"/>
    <n v="0"/>
    <n v="1451.0260000000001"/>
    <n v="1451.0260000000001"/>
    <n v="1451.0260000000001"/>
    <n v="1451.0260000000001"/>
    <n v="14328"/>
    <s v="CATIVO"/>
    <n v="0"/>
    <n v="0"/>
    <n v="29"/>
    <n v="66"/>
    <n v="0"/>
    <n v="307.83999999999997"/>
    <n v="234.24"/>
    <m/>
    <n v="373.48151997404221"/>
    <n v="248.81836064955178"/>
    <n v="0"/>
    <n v="-8.2481278695922814E-11"/>
    <n v="0"/>
    <n v="-8.2481278695922814E-11"/>
    <x v="7"/>
  </r>
  <r>
    <s v="Refaturamento - Regular"/>
    <x v="2"/>
    <x v="4"/>
    <x v="4"/>
    <x v="7"/>
    <x v="2"/>
    <x v="0"/>
    <x v="1"/>
    <x v="8"/>
    <n v="0"/>
    <n v="0"/>
    <n v="-7.14"/>
    <n v="-7.14"/>
    <n v="-7.14"/>
    <n v="-7.14"/>
    <n v="-4"/>
    <s v="CATIVO"/>
    <n v="0"/>
    <n v="0"/>
    <n v="29"/>
    <n v="66"/>
    <n v="0"/>
    <n v="307.83999999999997"/>
    <n v="234.24"/>
    <m/>
    <n v="373.48151997404221"/>
    <n v="248.81836064955178"/>
    <n v="0"/>
    <n v="4.0586201066616921E-13"/>
    <n v="0"/>
    <n v="4.0586201066616921E-13"/>
    <x v="7"/>
  </r>
  <r>
    <s v="Sistema de Compensação"/>
    <x v="2"/>
    <x v="4"/>
    <x v="4"/>
    <x v="7"/>
    <x v="2"/>
    <x v="0"/>
    <x v="1"/>
    <x v="8"/>
    <n v="0"/>
    <n v="0"/>
    <n v="4.8970000000000002"/>
    <n v="4.8970000000000002"/>
    <n v="4.8970000000000002"/>
    <n v="4.8970000000000002"/>
    <n v="37"/>
    <s v="CATIVO"/>
    <n v="0"/>
    <n v="0"/>
    <n v="29"/>
    <n v="66"/>
    <n v="0"/>
    <n v="307.83999999999997"/>
    <n v="234.24"/>
    <m/>
    <n v="373.48151997404221"/>
    <n v="248.81836064955178"/>
    <n v="0"/>
    <n v="-2.7836222216137686E-13"/>
    <n v="0"/>
    <n v="-2.7836222216137686E-13"/>
    <x v="7"/>
  </r>
  <r>
    <s v="Regular"/>
    <x v="2"/>
    <x v="4"/>
    <x v="4"/>
    <x v="7"/>
    <x v="2"/>
    <x v="0"/>
    <x v="1"/>
    <x v="9"/>
    <n v="0"/>
    <n v="0"/>
    <n v="1663.5"/>
    <n v="1663.5"/>
    <n v="1663.5"/>
    <n v="1663.5"/>
    <n v="16919"/>
    <s v="CATIVO"/>
    <n v="0"/>
    <n v="0"/>
    <n v="29"/>
    <n v="66"/>
    <n v="0"/>
    <n v="307.83999999999997"/>
    <n v="234.24"/>
    <m/>
    <n v="373.48151997404221"/>
    <n v="248.81836064955178"/>
    <n v="0"/>
    <n v="-9.4559027274954133E-11"/>
    <n v="0"/>
    <n v="-9.4559027274954133E-11"/>
    <x v="7"/>
  </r>
  <r>
    <s v="Refaturamento - Regular"/>
    <x v="2"/>
    <x v="4"/>
    <x v="4"/>
    <x v="7"/>
    <x v="2"/>
    <x v="0"/>
    <x v="1"/>
    <x v="9"/>
    <n v="0"/>
    <n v="0"/>
    <n v="-1.9239999999999999"/>
    <n v="-1.9239999999999999"/>
    <n v="-1.9239999999999999"/>
    <n v="-1.9239999999999999"/>
    <n v="-7"/>
    <s v="CATIVO"/>
    <n v="0"/>
    <n v="0"/>
    <n v="29"/>
    <n v="66"/>
    <n v="0"/>
    <n v="307.83999999999997"/>
    <n v="234.24"/>
    <m/>
    <n v="373.48151997404221"/>
    <n v="248.81836064955178"/>
    <n v="0"/>
    <n v="1.0936673788819462E-13"/>
    <n v="0"/>
    <n v="1.0936673788819462E-13"/>
    <x v="7"/>
  </r>
  <r>
    <s v="Sistema de Compensação"/>
    <x v="2"/>
    <x v="4"/>
    <x v="4"/>
    <x v="7"/>
    <x v="2"/>
    <x v="0"/>
    <x v="1"/>
    <x v="9"/>
    <n v="0"/>
    <n v="0"/>
    <n v="5.907"/>
    <n v="5.907"/>
    <n v="5.907"/>
    <n v="5.907"/>
    <n v="42"/>
    <s v="CATIVO"/>
    <n v="0"/>
    <n v="0"/>
    <n v="29"/>
    <n v="66"/>
    <n v="0"/>
    <n v="307.83999999999997"/>
    <n v="234.24"/>
    <m/>
    <n v="373.48151997404221"/>
    <n v="248.81836064955178"/>
    <n v="0"/>
    <n v="-3.3577407521079295E-13"/>
    <n v="0"/>
    <n v="-3.3577407521079295E-13"/>
    <x v="7"/>
  </r>
  <r>
    <s v="Regular"/>
    <x v="2"/>
    <x v="4"/>
    <x v="4"/>
    <x v="7"/>
    <x v="2"/>
    <x v="0"/>
    <x v="1"/>
    <x v="10"/>
    <n v="0"/>
    <n v="0"/>
    <n v="1648.4870000000001"/>
    <n v="1648.4870000000001"/>
    <n v="1648.4870000000001"/>
    <n v="1648.4870000000001"/>
    <n v="16331"/>
    <s v="CATIVO"/>
    <n v="0"/>
    <n v="0"/>
    <n v="29"/>
    <n v="66"/>
    <n v="0"/>
    <n v="307.83999999999997"/>
    <n v="234.24"/>
    <m/>
    <n v="373.48151997404221"/>
    <n v="248.81836064955178"/>
    <n v="0"/>
    <n v="-9.3705637027596827E-11"/>
    <n v="0"/>
    <n v="-9.3705637027596827E-11"/>
    <x v="7"/>
  </r>
  <r>
    <s v="Refaturamento - Regular"/>
    <x v="2"/>
    <x v="4"/>
    <x v="4"/>
    <x v="7"/>
    <x v="2"/>
    <x v="0"/>
    <x v="1"/>
    <x v="10"/>
    <n v="0"/>
    <n v="0"/>
    <n v="-1.3140000000000001"/>
    <n v="-1.3140000000000001"/>
    <n v="-1.3140000000000001"/>
    <n v="-1.3140000000000001"/>
    <n v="-5"/>
    <s v="CATIVO"/>
    <n v="0"/>
    <n v="0"/>
    <n v="29"/>
    <n v="66"/>
    <n v="0"/>
    <n v="307.83999999999997"/>
    <n v="234.24"/>
    <m/>
    <n v="373.48151997404221"/>
    <n v="248.81836064955178"/>
    <n v="0"/>
    <n v="7.4692252383101735E-14"/>
    <n v="0"/>
    <n v="7.4692252383101735E-14"/>
    <x v="7"/>
  </r>
  <r>
    <s v="Sistema de Compensação"/>
    <x v="2"/>
    <x v="4"/>
    <x v="4"/>
    <x v="7"/>
    <x v="2"/>
    <x v="0"/>
    <x v="1"/>
    <x v="10"/>
    <n v="0"/>
    <n v="0"/>
    <n v="4.5259999999999998"/>
    <n v="4.5259999999999998"/>
    <n v="4.5259999999999998"/>
    <n v="4.5259999999999998"/>
    <n v="47"/>
    <s v="CATIVO"/>
    <n v="0"/>
    <n v="0"/>
    <n v="29"/>
    <n v="66"/>
    <n v="0"/>
    <n v="307.83999999999997"/>
    <n v="234.24"/>
    <m/>
    <n v="373.48151997404221"/>
    <n v="248.81836064955178"/>
    <n v="0"/>
    <n v="-2.5727331376401706E-13"/>
    <n v="0"/>
    <n v="-2.5727331376401706E-13"/>
    <x v="7"/>
  </r>
  <r>
    <s v="PROJETADO"/>
    <x v="2"/>
    <x v="4"/>
    <x v="4"/>
    <x v="7"/>
    <x v="2"/>
    <x v="0"/>
    <x v="1"/>
    <x v="11"/>
    <n v="0"/>
    <n v="0"/>
    <n v="1648.4870000000001"/>
    <n v="1648.4870000000001"/>
    <n v="1648.4870000000001"/>
    <n v="1648.4870000000001"/>
    <n v="16331"/>
    <s v="CATIVO"/>
    <n v="0"/>
    <n v="0"/>
    <n v="29"/>
    <n v="66"/>
    <n v="0"/>
    <n v="307.83999999999997"/>
    <n v="234.24"/>
    <m/>
    <n v="373.48151997404221"/>
    <n v="248.81836064955178"/>
    <n v="0"/>
    <n v="-9.3705637027596827E-11"/>
    <n v="0"/>
    <n v="-9.3705637027596827E-11"/>
    <x v="7"/>
  </r>
  <r>
    <s v="PROJETADO"/>
    <x v="2"/>
    <x v="4"/>
    <x v="4"/>
    <x v="7"/>
    <x v="2"/>
    <x v="0"/>
    <x v="1"/>
    <x v="11"/>
    <n v="0"/>
    <n v="0"/>
    <n v="-1.3140000000000001"/>
    <n v="-1.3140000000000001"/>
    <n v="-1.3140000000000001"/>
    <n v="-1.3140000000000001"/>
    <n v="-5"/>
    <s v="CATIVO"/>
    <n v="0"/>
    <n v="0"/>
    <n v="29"/>
    <n v="66"/>
    <n v="0"/>
    <n v="307.83999999999997"/>
    <n v="234.24"/>
    <m/>
    <n v="373.48151997404221"/>
    <n v="248.81836064955178"/>
    <n v="0"/>
    <n v="7.4692252383101735E-14"/>
    <n v="0"/>
    <n v="7.4692252383101735E-14"/>
    <x v="7"/>
  </r>
  <r>
    <s v="PROJETADO"/>
    <x v="2"/>
    <x v="4"/>
    <x v="4"/>
    <x v="7"/>
    <x v="2"/>
    <x v="0"/>
    <x v="1"/>
    <x v="11"/>
    <n v="0"/>
    <n v="0"/>
    <n v="4.5259999999999998"/>
    <n v="4.5259999999999998"/>
    <n v="4.5259999999999998"/>
    <n v="4.5259999999999998"/>
    <n v="47"/>
    <s v="CATIVO"/>
    <n v="0"/>
    <n v="0"/>
    <n v="29"/>
    <n v="66"/>
    <n v="0"/>
    <n v="307.83999999999997"/>
    <n v="234.24"/>
    <m/>
    <n v="373.48151997404221"/>
    <n v="248.81836064955178"/>
    <n v="0"/>
    <n v="-2.5727331376401706E-13"/>
    <n v="0"/>
    <n v="-2.5727331376401706E-13"/>
    <x v="7"/>
  </r>
  <r>
    <s v="Regular"/>
    <x v="3"/>
    <x v="5"/>
    <x v="1"/>
    <x v="1"/>
    <x v="5"/>
    <x v="0"/>
    <x v="0"/>
    <x v="6"/>
    <n v="0"/>
    <n v="0"/>
    <n v="4.3259999999999996"/>
    <n v="4.3259999999999996"/>
    <n v="4.3259999999999996"/>
    <n v="4.3259999999999996"/>
    <n v="0"/>
    <s v="CATIVO"/>
    <n v="0"/>
    <n v="0"/>
    <n v="33"/>
    <n v="71"/>
    <n v="0"/>
    <n v="208.22"/>
    <n v="195.63"/>
    <m/>
    <n v="276.59045054649897"/>
    <n v="222.44382806815733"/>
    <n v="0"/>
    <n v="111.51415531914893"/>
    <n v="0"/>
    <n v="137.79716740129808"/>
    <x v="2"/>
  </r>
  <r>
    <s v="Regular"/>
    <x v="3"/>
    <x v="5"/>
    <x v="1"/>
    <x v="1"/>
    <x v="5"/>
    <x v="0"/>
    <x v="0"/>
    <x v="7"/>
    <n v="0"/>
    <n v="0"/>
    <n v="4.3259999999999996"/>
    <n v="4.3259999999999996"/>
    <n v="4.3259999999999996"/>
    <n v="4.3259999999999996"/>
    <n v="0"/>
    <s v="CATIVO"/>
    <n v="0"/>
    <n v="0"/>
    <n v="33"/>
    <n v="71"/>
    <n v="0"/>
    <n v="208.22"/>
    <n v="195.63"/>
    <m/>
    <n v="276.59045054649897"/>
    <n v="222.44382806815733"/>
    <n v="0"/>
    <n v="111.51415531914893"/>
    <n v="0"/>
    <n v="137.79716740129808"/>
    <x v="2"/>
  </r>
  <r>
    <s v="Regular"/>
    <x v="3"/>
    <x v="5"/>
    <x v="1"/>
    <x v="1"/>
    <x v="5"/>
    <x v="0"/>
    <x v="0"/>
    <x v="8"/>
    <n v="0"/>
    <n v="0"/>
    <n v="40.625999999999998"/>
    <n v="40.625999999999998"/>
    <n v="40.625999999999998"/>
    <n v="40.625999999999998"/>
    <n v="0"/>
    <s v="CATIVO"/>
    <n v="0"/>
    <n v="0"/>
    <n v="33"/>
    <n v="71"/>
    <n v="0"/>
    <n v="208.22"/>
    <n v="195.63"/>
    <m/>
    <n v="276.59045054649897"/>
    <n v="222.44382806815733"/>
    <n v="0"/>
    <n v="1047.2431978723403"/>
    <n v="0"/>
    <n v="1294.0702087020654"/>
    <x v="2"/>
  </r>
  <r>
    <s v="Regular"/>
    <x v="3"/>
    <x v="5"/>
    <x v="1"/>
    <x v="1"/>
    <x v="5"/>
    <x v="0"/>
    <x v="0"/>
    <x v="9"/>
    <n v="0"/>
    <n v="0"/>
    <n v="36.36"/>
    <n v="36.36"/>
    <n v="36.36"/>
    <n v="36.36"/>
    <n v="0"/>
    <s v="CATIVO"/>
    <n v="0"/>
    <n v="0"/>
    <n v="33"/>
    <n v="71"/>
    <n v="0"/>
    <n v="208.22"/>
    <n v="195.63"/>
    <m/>
    <n v="276.59045054649897"/>
    <n v="222.44382806815733"/>
    <n v="0"/>
    <n v="937.27570212765954"/>
    <n v="0"/>
    <n v="1158.1842364103557"/>
    <x v="2"/>
  </r>
  <r>
    <s v="Refaturamento - Regular"/>
    <x v="3"/>
    <x v="5"/>
    <x v="1"/>
    <x v="1"/>
    <x v="5"/>
    <x v="0"/>
    <x v="0"/>
    <x v="10"/>
    <n v="0"/>
    <n v="0"/>
    <n v="-36.64"/>
    <n v="-36.64"/>
    <n v="-36.64"/>
    <n v="-36.64"/>
    <n v="0"/>
    <s v="CATIVO"/>
    <n v="0"/>
    <n v="0"/>
    <n v="33"/>
    <n v="71"/>
    <n v="0"/>
    <n v="208.22"/>
    <n v="195.63"/>
    <m/>
    <n v="276.59045054649897"/>
    <n v="222.44382806815733"/>
    <n v="0"/>
    <n v="-944.49344680851073"/>
    <n v="0"/>
    <n v="-1167.1031469217664"/>
    <x v="2"/>
  </r>
  <r>
    <s v="PROJETADO"/>
    <x v="3"/>
    <x v="5"/>
    <x v="1"/>
    <x v="1"/>
    <x v="5"/>
    <x v="0"/>
    <x v="0"/>
    <x v="11"/>
    <n v="0"/>
    <n v="0"/>
    <n v="-36.64"/>
    <n v="-36.64"/>
    <n v="-36.64"/>
    <n v="-36.64"/>
    <n v="0"/>
    <s v="CATIVO"/>
    <n v="0"/>
    <n v="0"/>
    <n v="33"/>
    <n v="71"/>
    <n v="0"/>
    <n v="208.22"/>
    <n v="195.63"/>
    <m/>
    <n v="276.59045054649897"/>
    <n v="222.44382806815733"/>
    <n v="0"/>
    <n v="-944.49344680851073"/>
    <n v="0"/>
    <n v="-1167.1031469217664"/>
    <x v="2"/>
  </r>
  <r>
    <s v="Regular"/>
    <x v="3"/>
    <x v="5"/>
    <x v="1"/>
    <x v="1"/>
    <x v="5"/>
    <x v="0"/>
    <x v="3"/>
    <x v="6"/>
    <n v="0"/>
    <n v="0"/>
    <n v="7.4999999999999997E-2"/>
    <n v="7.4999999999999997E-2"/>
    <n v="7.4999999999999997E-2"/>
    <n v="7.4999999999999997E-2"/>
    <n v="0"/>
    <s v="CATIVO"/>
    <n v="0"/>
    <n v="0"/>
    <n v="52"/>
    <n v="70"/>
    <n v="0"/>
    <n v="497.52"/>
    <n v="195.63"/>
    <m/>
    <n v="656.39302834938348"/>
    <n v="222.44382806815733"/>
    <n v="0"/>
    <n v="3.3182712765957443"/>
    <n v="0"/>
    <n v="4.2071977168924821"/>
    <x v="2"/>
  </r>
  <r>
    <s v="Regular"/>
    <x v="3"/>
    <x v="5"/>
    <x v="1"/>
    <x v="1"/>
    <x v="5"/>
    <x v="0"/>
    <x v="3"/>
    <x v="7"/>
    <n v="0"/>
    <n v="0"/>
    <n v="7.4999999999999997E-2"/>
    <n v="7.4999999999999997E-2"/>
    <n v="7.4999999999999997E-2"/>
    <n v="7.4999999999999997E-2"/>
    <n v="0"/>
    <s v="CATIVO"/>
    <n v="0"/>
    <n v="0"/>
    <n v="52"/>
    <n v="70"/>
    <n v="0"/>
    <n v="497.52"/>
    <n v="195.63"/>
    <m/>
    <n v="656.39302834938348"/>
    <n v="222.44382806815733"/>
    <n v="0"/>
    <n v="3.3182712765957443"/>
    <n v="0"/>
    <n v="4.2071977168924821"/>
    <x v="2"/>
  </r>
  <r>
    <s v="Regular"/>
    <x v="3"/>
    <x v="5"/>
    <x v="1"/>
    <x v="1"/>
    <x v="5"/>
    <x v="0"/>
    <x v="3"/>
    <x v="8"/>
    <n v="0"/>
    <n v="0"/>
    <n v="0.17499999999999999"/>
    <n v="0.17499999999999999"/>
    <n v="0.17499999999999999"/>
    <n v="0.17499999999999999"/>
    <n v="0"/>
    <s v="CATIVO"/>
    <n v="0"/>
    <n v="0"/>
    <n v="52"/>
    <n v="70"/>
    <n v="0"/>
    <n v="497.52"/>
    <n v="195.63"/>
    <m/>
    <n v="656.39302834938348"/>
    <n v="222.44382806815733"/>
    <n v="0"/>
    <n v="7.7426329787234032"/>
    <n v="0"/>
    <n v="9.8167946727491255"/>
    <x v="2"/>
  </r>
  <r>
    <s v="Regular"/>
    <x v="3"/>
    <x v="5"/>
    <x v="1"/>
    <x v="1"/>
    <x v="5"/>
    <x v="0"/>
    <x v="3"/>
    <x v="9"/>
    <n v="0"/>
    <n v="0"/>
    <n v="0.02"/>
    <n v="0.02"/>
    <n v="0.02"/>
    <n v="0.02"/>
    <n v="0"/>
    <s v="CATIVO"/>
    <n v="0"/>
    <n v="0"/>
    <n v="52"/>
    <n v="70"/>
    <n v="0"/>
    <n v="497.52"/>
    <n v="195.63"/>
    <m/>
    <n v="656.39302834938348"/>
    <n v="222.44382806815733"/>
    <n v="0"/>
    <n v="0.88487234042553187"/>
    <n v="0"/>
    <n v="1.1219193911713286"/>
    <x v="2"/>
  </r>
  <r>
    <s v="Regular"/>
    <x v="3"/>
    <x v="5"/>
    <x v="1"/>
    <x v="1"/>
    <x v="5"/>
    <x v="0"/>
    <x v="2"/>
    <x v="8"/>
    <n v="0"/>
    <n v="0"/>
    <n v="0.04"/>
    <n v="0.04"/>
    <n v="0.04"/>
    <n v="0.04"/>
    <n v="0"/>
    <s v="CATIVO"/>
    <n v="0"/>
    <n v="0"/>
    <n v="51"/>
    <n v="69"/>
    <n v="0"/>
    <n v="786.82"/>
    <n v="321.64"/>
    <m/>
    <n v="1036.1951628396926"/>
    <n v="359.78899937721297"/>
    <n v="0"/>
    <n v="2.8301106382978727"/>
    <n v="0"/>
    <n v="3.564214882255929"/>
    <x v="2"/>
  </r>
  <r>
    <s v="Regular"/>
    <x v="3"/>
    <x v="5"/>
    <x v="1"/>
    <x v="1"/>
    <x v="5"/>
    <x v="0"/>
    <x v="2"/>
    <x v="9"/>
    <n v="0"/>
    <n v="0"/>
    <n v="0.04"/>
    <n v="0.04"/>
    <n v="0.04"/>
    <n v="0.04"/>
    <n v="0"/>
    <s v="CATIVO"/>
    <n v="0"/>
    <n v="0"/>
    <n v="51"/>
    <n v="69"/>
    <n v="0"/>
    <n v="786.82"/>
    <n v="321.64"/>
    <m/>
    <n v="1036.1951628396926"/>
    <n v="359.78899937721297"/>
    <n v="0"/>
    <n v="2.8301106382978727"/>
    <n v="0"/>
    <n v="3.564214882255929"/>
    <x v="2"/>
  </r>
  <r>
    <s v="Regular"/>
    <x v="3"/>
    <x v="5"/>
    <x v="1"/>
    <x v="1"/>
    <x v="1"/>
    <x v="0"/>
    <x v="0"/>
    <x v="10"/>
    <n v="0"/>
    <n v="0"/>
    <n v="42.04"/>
    <n v="4.2039999999999997"/>
    <n v="42.04"/>
    <n v="4.2039999999999997"/>
    <n v="0"/>
    <s v="CATIVO"/>
    <n v="0"/>
    <n v="0"/>
    <n v="33"/>
    <n v="71"/>
    <n v="0"/>
    <n v="208.22"/>
    <n v="195.63"/>
    <m/>
    <n v="276.59045054649897"/>
    <n v="222.44382806815733"/>
    <n v="0"/>
    <n v="15891.302471489362"/>
    <n v="0"/>
    <n v="20220.571672448823"/>
    <x v="1"/>
  </r>
  <r>
    <s v="Refaturamento - Regular"/>
    <x v="3"/>
    <x v="5"/>
    <x v="1"/>
    <x v="1"/>
    <x v="1"/>
    <x v="0"/>
    <x v="0"/>
    <x v="10"/>
    <n v="0"/>
    <n v="0"/>
    <n v="36.64"/>
    <n v="36.64"/>
    <n v="36.64"/>
    <n v="36.64"/>
    <n v="0"/>
    <s v="CATIVO"/>
    <n v="0"/>
    <n v="0"/>
    <n v="33"/>
    <n v="71"/>
    <n v="0"/>
    <n v="208.22"/>
    <n v="195.63"/>
    <m/>
    <n v="276.59045054649897"/>
    <n v="222.44382806815733"/>
    <n v="0"/>
    <n v="944.49344680851073"/>
    <n v="0"/>
    <n v="1167.1031469217664"/>
    <x v="2"/>
  </r>
  <r>
    <s v="PROJETADO"/>
    <x v="3"/>
    <x v="5"/>
    <x v="1"/>
    <x v="1"/>
    <x v="1"/>
    <x v="0"/>
    <x v="0"/>
    <x v="11"/>
    <n v="0"/>
    <n v="0"/>
    <n v="42.04"/>
    <n v="4.2039999999999997"/>
    <n v="42.04"/>
    <n v="4.2039999999999997"/>
    <n v="0"/>
    <s v="CATIVO"/>
    <n v="0"/>
    <n v="0"/>
    <n v="33"/>
    <n v="71"/>
    <n v="0"/>
    <n v="208.22"/>
    <n v="195.63"/>
    <m/>
    <n v="276.59045054649897"/>
    <n v="222.44382806815733"/>
    <n v="0"/>
    <n v="15891.302471489362"/>
    <n v="0"/>
    <n v="20220.571672448823"/>
    <x v="1"/>
  </r>
  <r>
    <s v="PROJETADO"/>
    <x v="3"/>
    <x v="5"/>
    <x v="1"/>
    <x v="1"/>
    <x v="1"/>
    <x v="0"/>
    <x v="0"/>
    <x v="11"/>
    <n v="0"/>
    <n v="0"/>
    <n v="36.64"/>
    <n v="36.64"/>
    <n v="36.64"/>
    <n v="36.64"/>
    <n v="0"/>
    <s v="CATIVO"/>
    <n v="0"/>
    <n v="0"/>
    <n v="33"/>
    <n v="71"/>
    <n v="0"/>
    <n v="208.22"/>
    <n v="195.63"/>
    <m/>
    <n v="276.59045054649897"/>
    <n v="222.44382806815733"/>
    <n v="0"/>
    <n v="944.49344680851073"/>
    <n v="0"/>
    <n v="1167.1031469217664"/>
    <x v="2"/>
  </r>
  <r>
    <s v="Regular"/>
    <x v="3"/>
    <x v="5"/>
    <x v="1"/>
    <x v="0"/>
    <x v="2"/>
    <x v="0"/>
    <x v="0"/>
    <x v="0"/>
    <n v="0"/>
    <n v="0"/>
    <n v="1.82"/>
    <n v="1.82"/>
    <n v="1.82"/>
    <n v="1.82"/>
    <n v="0"/>
    <s v="CATIVO"/>
    <n v="0"/>
    <n v="0"/>
    <n v="33"/>
    <n v="71"/>
    <n v="0"/>
    <n v="208.22"/>
    <n v="195.63"/>
    <m/>
    <n v="276.59045054649897"/>
    <n v="222.44382806815733"/>
    <n v="0"/>
    <n v="46.915340425531923"/>
    <n v="0"/>
    <n v="57.972918324170713"/>
    <x v="2"/>
  </r>
  <r>
    <s v="Regular"/>
    <x v="3"/>
    <x v="5"/>
    <x v="1"/>
    <x v="0"/>
    <x v="2"/>
    <x v="0"/>
    <x v="0"/>
    <x v="1"/>
    <n v="0"/>
    <n v="0"/>
    <n v="0.80300000000000005"/>
    <n v="0.80300000000000005"/>
    <n v="0.80300000000000005"/>
    <n v="0.80300000000000005"/>
    <n v="0"/>
    <s v="CATIVO"/>
    <n v="0"/>
    <n v="0"/>
    <n v="33"/>
    <n v="71"/>
    <n v="0"/>
    <n v="208.22"/>
    <n v="195.63"/>
    <m/>
    <n v="276.59045054649897"/>
    <n v="222.44382806815733"/>
    <n v="0"/>
    <n v="20.699460638297875"/>
    <n v="0"/>
    <n v="25.578161216653342"/>
    <x v="2"/>
  </r>
  <r>
    <s v="Regular"/>
    <x v="3"/>
    <x v="5"/>
    <x v="1"/>
    <x v="0"/>
    <x v="2"/>
    <x v="0"/>
    <x v="0"/>
    <x v="2"/>
    <n v="0"/>
    <n v="0"/>
    <n v="0.92800000000000005"/>
    <n v="0.92800000000000005"/>
    <n v="0.92800000000000005"/>
    <n v="0.92800000000000005"/>
    <n v="0"/>
    <s v="CATIVO"/>
    <n v="0"/>
    <n v="0"/>
    <n v="33"/>
    <n v="71"/>
    <n v="0"/>
    <n v="208.22"/>
    <n v="195.63"/>
    <m/>
    <n v="276.59045054649897"/>
    <n v="222.44382806815733"/>
    <n v="0"/>
    <n v="23.921668085106386"/>
    <n v="0"/>
    <n v="29.559817694961772"/>
    <x v="2"/>
  </r>
  <r>
    <s v="Regular"/>
    <x v="3"/>
    <x v="5"/>
    <x v="1"/>
    <x v="0"/>
    <x v="2"/>
    <x v="0"/>
    <x v="0"/>
    <x v="3"/>
    <n v="0"/>
    <n v="0"/>
    <n v="0.55600000000000005"/>
    <n v="0.55600000000000005"/>
    <n v="0.55600000000000005"/>
    <n v="0.55600000000000005"/>
    <n v="0"/>
    <s v="CATIVO"/>
    <n v="0"/>
    <n v="0"/>
    <n v="33"/>
    <n v="71"/>
    <n v="0"/>
    <n v="208.22"/>
    <n v="195.63"/>
    <m/>
    <n v="276.59045054649897"/>
    <n v="222.44382806815733"/>
    <n v="0"/>
    <n v="14.332378723404258"/>
    <n v="0"/>
    <n v="17.710408015515892"/>
    <x v="2"/>
  </r>
  <r>
    <s v="Regular"/>
    <x v="3"/>
    <x v="5"/>
    <x v="1"/>
    <x v="0"/>
    <x v="2"/>
    <x v="0"/>
    <x v="0"/>
    <x v="4"/>
    <n v="0"/>
    <n v="0"/>
    <n v="0.75900000000000001"/>
    <n v="0.75900000000000001"/>
    <n v="0.75900000000000001"/>
    <n v="0.75900000000000001"/>
    <n v="0"/>
    <s v="CATIVO"/>
    <n v="0"/>
    <n v="0"/>
    <n v="33"/>
    <n v="71"/>
    <n v="0"/>
    <n v="208.22"/>
    <n v="195.63"/>
    <m/>
    <n v="276.59045054649897"/>
    <n v="222.44382806815733"/>
    <n v="0"/>
    <n v="19.565243617021277"/>
    <n v="0"/>
    <n v="24.176618136288777"/>
    <x v="2"/>
  </r>
  <r>
    <s v="Regular"/>
    <x v="3"/>
    <x v="5"/>
    <x v="1"/>
    <x v="0"/>
    <x v="2"/>
    <x v="0"/>
    <x v="0"/>
    <x v="5"/>
    <n v="0"/>
    <n v="0"/>
    <n v="1.877"/>
    <n v="1.877"/>
    <n v="1.877"/>
    <n v="1.877"/>
    <n v="0"/>
    <s v="CATIVO"/>
    <n v="0"/>
    <n v="0"/>
    <n v="33"/>
    <n v="71"/>
    <n v="0"/>
    <n v="208.22"/>
    <n v="195.63"/>
    <m/>
    <n v="276.59045054649897"/>
    <n v="222.44382806815733"/>
    <n v="0"/>
    <n v="48.384667021276591"/>
    <n v="0"/>
    <n v="59.788553678279357"/>
    <x v="2"/>
  </r>
  <r>
    <s v="Regular"/>
    <x v="3"/>
    <x v="5"/>
    <x v="1"/>
    <x v="0"/>
    <x v="2"/>
    <x v="0"/>
    <x v="0"/>
    <x v="6"/>
    <n v="0"/>
    <n v="0"/>
    <n v="2.1579999999999999"/>
    <n v="2.1579999999999999"/>
    <n v="2.1579999999999999"/>
    <n v="2.1579999999999999"/>
    <n v="0"/>
    <s v="CATIVO"/>
    <n v="0"/>
    <n v="0"/>
    <n v="33"/>
    <n v="71"/>
    <n v="0"/>
    <n v="208.22"/>
    <n v="195.63"/>
    <m/>
    <n v="276.59045054649897"/>
    <n v="222.44382806815733"/>
    <n v="0"/>
    <n v="55.628189361702127"/>
    <n v="0"/>
    <n v="68.73931744151669"/>
    <x v="2"/>
  </r>
  <r>
    <s v="Regular"/>
    <x v="3"/>
    <x v="5"/>
    <x v="1"/>
    <x v="0"/>
    <x v="2"/>
    <x v="0"/>
    <x v="0"/>
    <x v="7"/>
    <n v="0"/>
    <n v="0"/>
    <n v="1.6240000000000001"/>
    <n v="1.6240000000000001"/>
    <n v="1.6240000000000001"/>
    <n v="1.6240000000000001"/>
    <n v="0"/>
    <s v="CATIVO"/>
    <n v="0"/>
    <n v="0"/>
    <n v="33"/>
    <n v="71"/>
    <n v="0"/>
    <n v="208.22"/>
    <n v="195.63"/>
    <m/>
    <n v="276.59045054649897"/>
    <n v="222.44382806815733"/>
    <n v="0"/>
    <n v="41.862919148936165"/>
    <n v="0"/>
    <n v="51.729680966183103"/>
    <x v="2"/>
  </r>
  <r>
    <s v="Regular"/>
    <x v="3"/>
    <x v="5"/>
    <x v="1"/>
    <x v="0"/>
    <x v="2"/>
    <x v="0"/>
    <x v="0"/>
    <x v="8"/>
    <n v="0"/>
    <n v="0"/>
    <n v="1.0289999999999999"/>
    <n v="1.0289999999999999"/>
    <n v="1.0289999999999999"/>
    <n v="1.0289999999999999"/>
    <n v="0"/>
    <s v="CATIVO"/>
    <n v="0"/>
    <n v="0"/>
    <n v="33"/>
    <n v="71"/>
    <n v="0"/>
    <n v="208.22"/>
    <n v="195.63"/>
    <m/>
    <n v="276.59045054649897"/>
    <n v="222.44382806815733"/>
    <n v="0"/>
    <n v="26.52521170212766"/>
    <n v="0"/>
    <n v="32.776996129434977"/>
    <x v="2"/>
  </r>
  <r>
    <s v="Regular"/>
    <x v="3"/>
    <x v="5"/>
    <x v="1"/>
    <x v="0"/>
    <x v="2"/>
    <x v="0"/>
    <x v="0"/>
    <x v="9"/>
    <n v="0"/>
    <n v="0"/>
    <n v="1.0189999999999999"/>
    <n v="1.0189999999999999"/>
    <n v="1.0189999999999999"/>
    <n v="1.0189999999999999"/>
    <n v="0"/>
    <s v="CATIVO"/>
    <n v="0"/>
    <n v="0"/>
    <n v="33"/>
    <n v="71"/>
    <n v="0"/>
    <n v="208.22"/>
    <n v="195.63"/>
    <m/>
    <n v="276.59045054649897"/>
    <n v="222.44382806815733"/>
    <n v="0"/>
    <n v="26.26743510638298"/>
    <n v="0"/>
    <n v="32.458463611170302"/>
    <x v="2"/>
  </r>
  <r>
    <s v="Regular"/>
    <x v="3"/>
    <x v="5"/>
    <x v="1"/>
    <x v="0"/>
    <x v="2"/>
    <x v="0"/>
    <x v="0"/>
    <x v="10"/>
    <n v="0"/>
    <n v="0"/>
    <n v="1.262"/>
    <n v="1.262"/>
    <n v="1.262"/>
    <n v="1.262"/>
    <n v="0"/>
    <s v="CATIVO"/>
    <n v="0"/>
    <n v="0"/>
    <n v="33"/>
    <n v="71"/>
    <n v="0"/>
    <n v="208.22"/>
    <n v="195.63"/>
    <m/>
    <n v="276.59045054649897"/>
    <n v="222.44382806815733"/>
    <n v="0"/>
    <n v="32.53140638297873"/>
    <n v="0"/>
    <n v="40.198803805001887"/>
    <x v="2"/>
  </r>
  <r>
    <s v="PROJETADO"/>
    <x v="3"/>
    <x v="5"/>
    <x v="1"/>
    <x v="0"/>
    <x v="2"/>
    <x v="0"/>
    <x v="0"/>
    <x v="11"/>
    <n v="0"/>
    <n v="0"/>
    <n v="1.262"/>
    <n v="1.262"/>
    <n v="1.262"/>
    <n v="1.262"/>
    <n v="0"/>
    <s v="CATIVO"/>
    <n v="0"/>
    <n v="0"/>
    <n v="33"/>
    <n v="71"/>
    <n v="0"/>
    <n v="208.22"/>
    <n v="195.63"/>
    <m/>
    <n v="276.59045054649897"/>
    <n v="222.44382806815733"/>
    <n v="0"/>
    <n v="32.53140638297873"/>
    <n v="0"/>
    <n v="40.198803805001887"/>
    <x v="2"/>
  </r>
  <r>
    <s v="Regular"/>
    <x v="3"/>
    <x v="5"/>
    <x v="1"/>
    <x v="0"/>
    <x v="2"/>
    <x v="0"/>
    <x v="3"/>
    <x v="0"/>
    <n v="0"/>
    <n v="0"/>
    <n v="9.2999999999999999E-2"/>
    <n v="9.2999999999999999E-2"/>
    <n v="9.2999999999999999E-2"/>
    <n v="9.2999999999999999E-2"/>
    <n v="0"/>
    <s v="CATIVO"/>
    <n v="0"/>
    <n v="0"/>
    <n v="52"/>
    <n v="70"/>
    <n v="0"/>
    <n v="497.52"/>
    <n v="195.63"/>
    <m/>
    <n v="656.39302834938348"/>
    <n v="222.44382806815733"/>
    <n v="0"/>
    <n v="4.1146563829787235"/>
    <n v="0"/>
    <n v="5.2169251689466787"/>
    <x v="2"/>
  </r>
  <r>
    <s v="Regular"/>
    <x v="3"/>
    <x v="5"/>
    <x v="1"/>
    <x v="0"/>
    <x v="2"/>
    <x v="0"/>
    <x v="3"/>
    <x v="1"/>
    <n v="0"/>
    <n v="0"/>
    <n v="3.7999999999999999E-2"/>
    <n v="3.7999999999999999E-2"/>
    <n v="3.7999999999999999E-2"/>
    <n v="3.7999999999999999E-2"/>
    <n v="0"/>
    <s v="CATIVO"/>
    <n v="0"/>
    <n v="0"/>
    <n v="52"/>
    <n v="70"/>
    <n v="0"/>
    <n v="497.52"/>
    <n v="195.63"/>
    <m/>
    <n v="656.39302834938348"/>
    <n v="222.44382806815733"/>
    <n v="0"/>
    <n v="1.6812574468085104"/>
    <n v="0"/>
    <n v="2.1316468432255244"/>
    <x v="2"/>
  </r>
  <r>
    <s v="Regular"/>
    <x v="3"/>
    <x v="5"/>
    <x v="1"/>
    <x v="0"/>
    <x v="2"/>
    <x v="0"/>
    <x v="3"/>
    <x v="2"/>
    <n v="0"/>
    <n v="0"/>
    <n v="3.1E-2"/>
    <n v="3.1E-2"/>
    <n v="3.1E-2"/>
    <n v="3.1E-2"/>
    <n v="0"/>
    <s v="CATIVO"/>
    <n v="0"/>
    <n v="0"/>
    <n v="52"/>
    <n v="70"/>
    <n v="0"/>
    <n v="497.52"/>
    <n v="195.63"/>
    <m/>
    <n v="656.39302834938348"/>
    <n v="222.44382806815733"/>
    <n v="0"/>
    <n v="1.3715521276595743"/>
    <n v="0"/>
    <n v="1.7389750563155595"/>
    <x v="2"/>
  </r>
  <r>
    <s v="Regular"/>
    <x v="3"/>
    <x v="5"/>
    <x v="1"/>
    <x v="0"/>
    <x v="2"/>
    <x v="0"/>
    <x v="3"/>
    <x v="3"/>
    <n v="0"/>
    <n v="0"/>
    <n v="3.4000000000000002E-2"/>
    <n v="3.4000000000000002E-2"/>
    <n v="3.4000000000000002E-2"/>
    <n v="3.4000000000000002E-2"/>
    <n v="0"/>
    <s v="CATIVO"/>
    <n v="0"/>
    <n v="0"/>
    <n v="52"/>
    <n v="70"/>
    <n v="0"/>
    <n v="497.52"/>
    <n v="195.63"/>
    <m/>
    <n v="656.39302834938348"/>
    <n v="222.44382806815733"/>
    <n v="0"/>
    <n v="1.5042829787234044"/>
    <n v="0"/>
    <n v="1.9072629649912591"/>
    <x v="2"/>
  </r>
  <r>
    <s v="Regular"/>
    <x v="3"/>
    <x v="5"/>
    <x v="1"/>
    <x v="0"/>
    <x v="2"/>
    <x v="0"/>
    <x v="3"/>
    <x v="4"/>
    <n v="0"/>
    <n v="0"/>
    <n v="3.2000000000000001E-2"/>
    <n v="3.2000000000000001E-2"/>
    <n v="3.2000000000000001E-2"/>
    <n v="3.2000000000000001E-2"/>
    <n v="0"/>
    <s v="CATIVO"/>
    <n v="0"/>
    <n v="0"/>
    <n v="52"/>
    <n v="70"/>
    <n v="0"/>
    <n v="497.52"/>
    <n v="195.63"/>
    <m/>
    <n v="656.39302834938348"/>
    <n v="222.44382806815733"/>
    <n v="0"/>
    <n v="1.4157957446808511"/>
    <n v="0"/>
    <n v="1.7950710258741258"/>
    <x v="2"/>
  </r>
  <r>
    <s v="Regular"/>
    <x v="3"/>
    <x v="5"/>
    <x v="1"/>
    <x v="0"/>
    <x v="2"/>
    <x v="0"/>
    <x v="3"/>
    <x v="5"/>
    <n v="0"/>
    <n v="0"/>
    <n v="0.04"/>
    <n v="0.04"/>
    <n v="0.04"/>
    <n v="0.04"/>
    <n v="0"/>
    <s v="CATIVO"/>
    <n v="0"/>
    <n v="0"/>
    <n v="52"/>
    <n v="70"/>
    <n v="0"/>
    <n v="497.52"/>
    <n v="195.63"/>
    <m/>
    <n v="656.39302834938348"/>
    <n v="222.44382806815733"/>
    <n v="0"/>
    <n v="1.7697446808510637"/>
    <n v="0"/>
    <n v="2.2438387823426571"/>
    <x v="2"/>
  </r>
  <r>
    <s v="Regular"/>
    <x v="3"/>
    <x v="5"/>
    <x v="1"/>
    <x v="0"/>
    <x v="2"/>
    <x v="0"/>
    <x v="3"/>
    <x v="6"/>
    <n v="0"/>
    <n v="0"/>
    <n v="3.6999999999999998E-2"/>
    <n v="3.6999999999999998E-2"/>
    <n v="3.6999999999999998E-2"/>
    <n v="3.6999999999999998E-2"/>
    <n v="0"/>
    <s v="CATIVO"/>
    <n v="0"/>
    <n v="0"/>
    <n v="52"/>
    <n v="70"/>
    <n v="0"/>
    <n v="497.52"/>
    <n v="195.63"/>
    <m/>
    <n v="656.39302834938348"/>
    <n v="222.44382806815733"/>
    <n v="0"/>
    <n v="1.6370138297872339"/>
    <n v="0"/>
    <n v="2.0755508736669581"/>
    <x v="2"/>
  </r>
  <r>
    <s v="Regular"/>
    <x v="3"/>
    <x v="5"/>
    <x v="1"/>
    <x v="0"/>
    <x v="2"/>
    <x v="0"/>
    <x v="3"/>
    <x v="7"/>
    <n v="0"/>
    <n v="0"/>
    <n v="3.1E-2"/>
    <n v="3.1E-2"/>
    <n v="3.1E-2"/>
    <n v="3.1E-2"/>
    <n v="0"/>
    <s v="CATIVO"/>
    <n v="0"/>
    <n v="0"/>
    <n v="52"/>
    <n v="70"/>
    <n v="0"/>
    <n v="497.52"/>
    <n v="195.63"/>
    <m/>
    <n v="656.39302834938348"/>
    <n v="222.44382806815733"/>
    <n v="0"/>
    <n v="1.3715521276595743"/>
    <n v="0"/>
    <n v="1.7389750563155595"/>
    <x v="2"/>
  </r>
  <r>
    <s v="Regular"/>
    <x v="3"/>
    <x v="5"/>
    <x v="1"/>
    <x v="0"/>
    <x v="2"/>
    <x v="0"/>
    <x v="3"/>
    <x v="8"/>
    <n v="0"/>
    <n v="0"/>
    <n v="0.03"/>
    <n v="0.03"/>
    <n v="0.03"/>
    <n v="0.03"/>
    <n v="0"/>
    <s v="CATIVO"/>
    <n v="0"/>
    <n v="0"/>
    <n v="52"/>
    <n v="70"/>
    <n v="0"/>
    <n v="497.52"/>
    <n v="195.63"/>
    <m/>
    <n v="656.39302834938348"/>
    <n v="222.44382806815733"/>
    <n v="0"/>
    <n v="1.3273085106382978"/>
    <n v="0"/>
    <n v="1.6828790867569929"/>
    <x v="2"/>
  </r>
  <r>
    <s v="Regular"/>
    <x v="3"/>
    <x v="5"/>
    <x v="1"/>
    <x v="0"/>
    <x v="2"/>
    <x v="0"/>
    <x v="3"/>
    <x v="9"/>
    <n v="0"/>
    <n v="0"/>
    <n v="3.7999999999999999E-2"/>
    <n v="3.7999999999999999E-2"/>
    <n v="3.7999999999999999E-2"/>
    <n v="3.7999999999999999E-2"/>
    <n v="0"/>
    <s v="CATIVO"/>
    <n v="0"/>
    <n v="0"/>
    <n v="52"/>
    <n v="70"/>
    <n v="0"/>
    <n v="497.52"/>
    <n v="195.63"/>
    <m/>
    <n v="656.39302834938348"/>
    <n v="222.44382806815733"/>
    <n v="0"/>
    <n v="1.6812574468085104"/>
    <n v="0"/>
    <n v="2.1316468432255244"/>
    <x v="2"/>
  </r>
  <r>
    <s v="Regular"/>
    <x v="3"/>
    <x v="5"/>
    <x v="1"/>
    <x v="0"/>
    <x v="2"/>
    <x v="0"/>
    <x v="3"/>
    <x v="10"/>
    <n v="0"/>
    <n v="0"/>
    <n v="3.1E-2"/>
    <n v="3.1E-2"/>
    <n v="3.1E-2"/>
    <n v="3.1E-2"/>
    <n v="0"/>
    <s v="CATIVO"/>
    <n v="0"/>
    <n v="0"/>
    <n v="52"/>
    <n v="70"/>
    <n v="0"/>
    <n v="497.52"/>
    <n v="195.63"/>
    <m/>
    <n v="656.39302834938348"/>
    <n v="222.44382806815733"/>
    <n v="0"/>
    <n v="1.3715521276595743"/>
    <n v="0"/>
    <n v="1.7389750563155595"/>
    <x v="2"/>
  </r>
  <r>
    <s v="PROJETADO"/>
    <x v="3"/>
    <x v="5"/>
    <x v="1"/>
    <x v="0"/>
    <x v="2"/>
    <x v="0"/>
    <x v="3"/>
    <x v="11"/>
    <n v="0"/>
    <n v="0"/>
    <n v="3.1E-2"/>
    <n v="3.1E-2"/>
    <n v="3.1E-2"/>
    <n v="3.1E-2"/>
    <n v="0"/>
    <s v="CATIVO"/>
    <n v="0"/>
    <n v="0"/>
    <n v="52"/>
    <n v="70"/>
    <n v="0"/>
    <n v="497.52"/>
    <n v="195.63"/>
    <m/>
    <n v="656.39302834938348"/>
    <n v="222.44382806815733"/>
    <n v="0"/>
    <n v="1.3715521276595743"/>
    <n v="0"/>
    <n v="1.7389750563155595"/>
    <x v="2"/>
  </r>
  <r>
    <s v="Regular"/>
    <x v="3"/>
    <x v="5"/>
    <x v="1"/>
    <x v="0"/>
    <x v="2"/>
    <x v="0"/>
    <x v="2"/>
    <x v="0"/>
    <n v="0"/>
    <n v="0"/>
    <n v="6.0999999999999999E-2"/>
    <n v="6.0999999999999999E-2"/>
    <n v="6.0999999999999999E-2"/>
    <n v="6.0999999999999999E-2"/>
    <n v="0"/>
    <s v="CATIVO"/>
    <n v="0"/>
    <n v="0"/>
    <n v="51"/>
    <n v="69"/>
    <n v="0"/>
    <n v="786.82"/>
    <n v="321.64"/>
    <m/>
    <n v="1036.1951628396926"/>
    <n v="359.78899937721297"/>
    <n v="0"/>
    <n v="4.3159187234042564"/>
    <n v="0"/>
    <n v="5.4354276954402918"/>
    <x v="2"/>
  </r>
  <r>
    <s v="Regular"/>
    <x v="3"/>
    <x v="5"/>
    <x v="1"/>
    <x v="0"/>
    <x v="2"/>
    <x v="0"/>
    <x v="2"/>
    <x v="1"/>
    <n v="0"/>
    <n v="0"/>
    <n v="5.8000000000000003E-2"/>
    <n v="5.8000000000000003E-2"/>
    <n v="5.8000000000000003E-2"/>
    <n v="5.8000000000000003E-2"/>
    <n v="0"/>
    <s v="CATIVO"/>
    <n v="0"/>
    <n v="0"/>
    <n v="51"/>
    <n v="69"/>
    <n v="0"/>
    <n v="786.82"/>
    <n v="321.64"/>
    <m/>
    <n v="1036.1951628396926"/>
    <n v="359.78899937721297"/>
    <n v="0"/>
    <n v="4.1036604255319151"/>
    <n v="0"/>
    <n v="5.1681115792710974"/>
    <x v="2"/>
  </r>
  <r>
    <s v="Regular"/>
    <x v="3"/>
    <x v="5"/>
    <x v="1"/>
    <x v="0"/>
    <x v="2"/>
    <x v="0"/>
    <x v="2"/>
    <x v="2"/>
    <n v="0"/>
    <n v="0"/>
    <n v="5.3999999999999999E-2"/>
    <n v="5.3999999999999999E-2"/>
    <n v="5.3999999999999999E-2"/>
    <n v="5.3999999999999999E-2"/>
    <n v="0"/>
    <s v="CATIVO"/>
    <n v="0"/>
    <n v="0"/>
    <n v="51"/>
    <n v="69"/>
    <n v="0"/>
    <n v="786.82"/>
    <n v="321.64"/>
    <m/>
    <n v="1036.1951628396926"/>
    <n v="359.78899937721297"/>
    <n v="0"/>
    <n v="3.8206493617021282"/>
    <n v="0"/>
    <n v="4.811690091045504"/>
    <x v="2"/>
  </r>
  <r>
    <s v="Regular"/>
    <x v="3"/>
    <x v="5"/>
    <x v="1"/>
    <x v="0"/>
    <x v="2"/>
    <x v="0"/>
    <x v="2"/>
    <x v="3"/>
    <n v="0"/>
    <n v="0"/>
    <n v="6.3E-2"/>
    <n v="6.3E-2"/>
    <n v="6.3E-2"/>
    <n v="6.3E-2"/>
    <n v="0"/>
    <s v="CATIVO"/>
    <n v="0"/>
    <n v="0"/>
    <n v="51"/>
    <n v="69"/>
    <n v="0"/>
    <n v="786.82"/>
    <n v="321.64"/>
    <m/>
    <n v="1036.1951628396926"/>
    <n v="359.78899937721297"/>
    <n v="0"/>
    <n v="4.4574242553191494"/>
    <n v="0"/>
    <n v="5.6136384395530889"/>
    <x v="2"/>
  </r>
  <r>
    <s v="Regular"/>
    <x v="3"/>
    <x v="5"/>
    <x v="1"/>
    <x v="0"/>
    <x v="2"/>
    <x v="0"/>
    <x v="2"/>
    <x v="4"/>
    <n v="0"/>
    <n v="0"/>
    <n v="5.8000000000000003E-2"/>
    <n v="5.8000000000000003E-2"/>
    <n v="5.8000000000000003E-2"/>
    <n v="5.8000000000000003E-2"/>
    <n v="0"/>
    <s v="CATIVO"/>
    <n v="0"/>
    <n v="0"/>
    <n v="51"/>
    <n v="69"/>
    <n v="0"/>
    <n v="786.82"/>
    <n v="321.64"/>
    <m/>
    <n v="1036.1951628396926"/>
    <n v="359.78899937721297"/>
    <n v="0"/>
    <n v="4.1036604255319151"/>
    <n v="0"/>
    <n v="5.1681115792710974"/>
    <x v="2"/>
  </r>
  <r>
    <s v="Regular"/>
    <x v="3"/>
    <x v="5"/>
    <x v="1"/>
    <x v="0"/>
    <x v="2"/>
    <x v="0"/>
    <x v="2"/>
    <x v="5"/>
    <n v="0"/>
    <n v="0"/>
    <n v="5.8000000000000003E-2"/>
    <n v="5.8000000000000003E-2"/>
    <n v="5.8000000000000003E-2"/>
    <n v="5.8000000000000003E-2"/>
    <n v="0"/>
    <s v="CATIVO"/>
    <n v="0"/>
    <n v="0"/>
    <n v="51"/>
    <n v="69"/>
    <n v="0"/>
    <n v="786.82"/>
    <n v="321.64"/>
    <m/>
    <n v="1036.1951628396926"/>
    <n v="359.78899937721297"/>
    <n v="0"/>
    <n v="4.1036604255319151"/>
    <n v="0"/>
    <n v="5.1681115792710974"/>
    <x v="2"/>
  </r>
  <r>
    <s v="Regular"/>
    <x v="3"/>
    <x v="5"/>
    <x v="1"/>
    <x v="0"/>
    <x v="2"/>
    <x v="0"/>
    <x v="2"/>
    <x v="6"/>
    <n v="0"/>
    <n v="0"/>
    <n v="5.1999999999999998E-2"/>
    <n v="5.1999999999999998E-2"/>
    <n v="5.1999999999999998E-2"/>
    <n v="5.1999999999999998E-2"/>
    <n v="0"/>
    <s v="CATIVO"/>
    <n v="0"/>
    <n v="0"/>
    <n v="51"/>
    <n v="69"/>
    <n v="0"/>
    <n v="786.82"/>
    <n v="321.64"/>
    <m/>
    <n v="1036.1951628396926"/>
    <n v="359.78899937721297"/>
    <n v="0"/>
    <n v="3.6791438297872339"/>
    <n v="0"/>
    <n v="4.6334793469327078"/>
    <x v="2"/>
  </r>
  <r>
    <s v="Regular"/>
    <x v="3"/>
    <x v="5"/>
    <x v="1"/>
    <x v="0"/>
    <x v="2"/>
    <x v="0"/>
    <x v="2"/>
    <x v="7"/>
    <n v="0"/>
    <n v="0"/>
    <n v="4.7E-2"/>
    <n v="4.7E-2"/>
    <n v="4.7E-2"/>
    <n v="4.7E-2"/>
    <n v="0"/>
    <s v="CATIVO"/>
    <n v="0"/>
    <n v="0"/>
    <n v="51"/>
    <n v="69"/>
    <n v="0"/>
    <n v="786.82"/>
    <n v="321.64"/>
    <m/>
    <n v="1036.1951628396926"/>
    <n v="359.78899937721297"/>
    <n v="0"/>
    <n v="3.3253800000000004"/>
    <n v="0"/>
    <n v="4.1879524866507163"/>
    <x v="2"/>
  </r>
  <r>
    <s v="Regular"/>
    <x v="3"/>
    <x v="5"/>
    <x v="1"/>
    <x v="0"/>
    <x v="2"/>
    <x v="0"/>
    <x v="2"/>
    <x v="8"/>
    <n v="0"/>
    <n v="0"/>
    <n v="2.1999999999999999E-2"/>
    <n v="2.1999999999999999E-2"/>
    <n v="2.1999999999999999E-2"/>
    <n v="2.1999999999999999E-2"/>
    <n v="0"/>
    <s v="CATIVO"/>
    <n v="0"/>
    <n v="0"/>
    <n v="51"/>
    <n v="69"/>
    <n v="0"/>
    <n v="786.82"/>
    <n v="321.64"/>
    <m/>
    <n v="1036.1951628396926"/>
    <n v="359.78899937721297"/>
    <n v="0"/>
    <n v="1.5565608510638298"/>
    <n v="0"/>
    <n v="1.9603181852407612"/>
    <x v="2"/>
  </r>
  <r>
    <s v="Regular"/>
    <x v="3"/>
    <x v="5"/>
    <x v="1"/>
    <x v="0"/>
    <x v="2"/>
    <x v="0"/>
    <x v="2"/>
    <x v="9"/>
    <n v="0"/>
    <n v="0"/>
    <n v="2.1999999999999999E-2"/>
    <n v="2.1999999999999999E-2"/>
    <n v="2.1999999999999999E-2"/>
    <n v="2.1999999999999999E-2"/>
    <n v="0"/>
    <s v="CATIVO"/>
    <n v="0"/>
    <n v="0"/>
    <n v="51"/>
    <n v="69"/>
    <n v="0"/>
    <n v="786.82"/>
    <n v="321.64"/>
    <m/>
    <n v="1036.1951628396926"/>
    <n v="359.78899937721297"/>
    <n v="0"/>
    <n v="1.5565608510638298"/>
    <n v="0"/>
    <n v="1.9603181852407612"/>
    <x v="2"/>
  </r>
  <r>
    <s v="Regular"/>
    <x v="3"/>
    <x v="5"/>
    <x v="1"/>
    <x v="0"/>
    <x v="2"/>
    <x v="0"/>
    <x v="2"/>
    <x v="10"/>
    <n v="0"/>
    <n v="0"/>
    <n v="1.7999999999999999E-2"/>
    <n v="1.7999999999999999E-2"/>
    <n v="1.7999999999999999E-2"/>
    <n v="1.7999999999999999E-2"/>
    <n v="0"/>
    <s v="CATIVO"/>
    <n v="0"/>
    <n v="0"/>
    <n v="51"/>
    <n v="69"/>
    <n v="0"/>
    <n v="786.82"/>
    <n v="321.64"/>
    <m/>
    <n v="1036.1951628396926"/>
    <n v="359.78899937721297"/>
    <n v="0"/>
    <n v="1.2735497872340427"/>
    <n v="0"/>
    <n v="1.6038966970151678"/>
    <x v="2"/>
  </r>
  <r>
    <s v="PROJETADO"/>
    <x v="3"/>
    <x v="5"/>
    <x v="1"/>
    <x v="0"/>
    <x v="2"/>
    <x v="0"/>
    <x v="2"/>
    <x v="11"/>
    <n v="0"/>
    <n v="0"/>
    <n v="1.7999999999999999E-2"/>
    <n v="1.7999999999999999E-2"/>
    <n v="1.7999999999999999E-2"/>
    <n v="1.7999999999999999E-2"/>
    <n v="0"/>
    <s v="CATIVO"/>
    <n v="0"/>
    <n v="0"/>
    <n v="51"/>
    <n v="69"/>
    <n v="0"/>
    <n v="786.82"/>
    <n v="321.64"/>
    <m/>
    <n v="1036.1951628396926"/>
    <n v="359.78899937721297"/>
    <n v="0"/>
    <n v="1.2735497872340427"/>
    <n v="0"/>
    <n v="1.6038966970151678"/>
    <x v="2"/>
  </r>
  <r>
    <s v="Regular"/>
    <x v="3"/>
    <x v="4"/>
    <x v="1"/>
    <x v="1"/>
    <x v="5"/>
    <x v="0"/>
    <x v="1"/>
    <x v="0"/>
    <n v="0"/>
    <n v="0"/>
    <n v="345.04199999999997"/>
    <n v="345.04199999999997"/>
    <n v="345.04199999999997"/>
    <n v="345.04199999999997"/>
    <n v="0"/>
    <s v="CATIVO"/>
    <n v="0"/>
    <n v="0"/>
    <n v="34"/>
    <n v="53"/>
    <n v="0"/>
    <n v="304.64999999999998"/>
    <n v="206.13"/>
    <m/>
    <n v="403.19134568895447"/>
    <n v="233.88925901057866"/>
    <n v="0"/>
    <n v="24035.625720000025"/>
    <n v="0"/>
    <n v="14031.036128089559"/>
    <x v="2"/>
  </r>
  <r>
    <s v="Refaturamento - Regular"/>
    <x v="3"/>
    <x v="4"/>
    <x v="1"/>
    <x v="1"/>
    <x v="5"/>
    <x v="0"/>
    <x v="1"/>
    <x v="0"/>
    <n v="0"/>
    <n v="0"/>
    <n v="-6.665"/>
    <n v="-6.665"/>
    <n v="-6.665"/>
    <n v="-6.665"/>
    <n v="0"/>
    <s v="CATIVO"/>
    <n v="0"/>
    <n v="0"/>
    <n v="34"/>
    <n v="53"/>
    <n v="0"/>
    <n v="304.64999999999998"/>
    <n v="206.13"/>
    <m/>
    <n v="403.19134568895447"/>
    <n v="233.88925901057866"/>
    <n v="0"/>
    <n v="-464.28390000000053"/>
    <n v="0"/>
    <n v="-271.03035512696113"/>
    <x v="2"/>
  </r>
  <r>
    <s v="Sistema de Compensação"/>
    <x v="3"/>
    <x v="4"/>
    <x v="1"/>
    <x v="1"/>
    <x v="5"/>
    <x v="0"/>
    <x v="1"/>
    <x v="0"/>
    <n v="0"/>
    <n v="0"/>
    <n v="1.4039999999999999"/>
    <n v="1.4039999999999999"/>
    <n v="1.4039999999999999"/>
    <n v="1.4039999999999999"/>
    <n v="0"/>
    <s v="CATIVO"/>
    <n v="0"/>
    <n v="0"/>
    <n v="34"/>
    <n v="53"/>
    <n v="0"/>
    <n v="304.64999999999998"/>
    <n v="206.13"/>
    <m/>
    <n v="403.19134568895447"/>
    <n v="233.88925901057866"/>
    <n v="0"/>
    <n v="97.80264000000011"/>
    <n v="0"/>
    <n v="57.093266106264579"/>
    <x v="2"/>
  </r>
  <r>
    <s v="Regular"/>
    <x v="3"/>
    <x v="4"/>
    <x v="1"/>
    <x v="1"/>
    <x v="5"/>
    <x v="0"/>
    <x v="1"/>
    <x v="1"/>
    <n v="0"/>
    <n v="0"/>
    <n v="128.46299999999999"/>
    <n v="128.46299999999999"/>
    <n v="128.46299999999999"/>
    <n v="128.46299999999999"/>
    <n v="0"/>
    <s v="CATIVO"/>
    <n v="0"/>
    <n v="0"/>
    <n v="34"/>
    <n v="53"/>
    <n v="0"/>
    <n v="304.64999999999998"/>
    <n v="206.13"/>
    <m/>
    <n v="403.19134568895447"/>
    <n v="233.88925901057866"/>
    <n v="0"/>
    <n v="8948.7325800000108"/>
    <n v="0"/>
    <n v="5223.9118545648626"/>
    <x v="2"/>
  </r>
  <r>
    <s v="Refaturamento - Regular"/>
    <x v="3"/>
    <x v="4"/>
    <x v="1"/>
    <x v="1"/>
    <x v="5"/>
    <x v="0"/>
    <x v="1"/>
    <x v="1"/>
    <n v="0"/>
    <n v="0"/>
    <n v="-235.178"/>
    <n v="-235.178"/>
    <n v="-235.178"/>
    <n v="-235.178"/>
    <n v="0"/>
    <s v="CATIVO"/>
    <n v="0"/>
    <n v="0"/>
    <n v="34"/>
    <n v="53"/>
    <n v="0"/>
    <n v="304.64999999999998"/>
    <n v="206.13"/>
    <m/>
    <n v="403.19134568895447"/>
    <n v="233.88925901057866"/>
    <n v="0"/>
    <n v="-16382.499480000019"/>
    <n v="0"/>
    <n v="-9563.4473905549075"/>
    <x v="2"/>
  </r>
  <r>
    <s v="Sistema de Compensação"/>
    <x v="3"/>
    <x v="4"/>
    <x v="1"/>
    <x v="1"/>
    <x v="5"/>
    <x v="0"/>
    <x v="1"/>
    <x v="1"/>
    <n v="0"/>
    <n v="0"/>
    <n v="0.92800000000000005"/>
    <n v="0.92800000000000005"/>
    <n v="0.92800000000000005"/>
    <n v="0.92800000000000005"/>
    <n v="0"/>
    <s v="CATIVO"/>
    <n v="0"/>
    <n v="0"/>
    <n v="34"/>
    <n v="53"/>
    <n v="0"/>
    <n v="304.64999999999998"/>
    <n v="206.13"/>
    <m/>
    <n v="403.19134568895447"/>
    <n v="233.88925901057866"/>
    <n v="0"/>
    <n v="64.644480000000073"/>
    <n v="0"/>
    <n v="37.736859648585138"/>
    <x v="2"/>
  </r>
  <r>
    <s v="Regular"/>
    <x v="3"/>
    <x v="4"/>
    <x v="1"/>
    <x v="1"/>
    <x v="5"/>
    <x v="0"/>
    <x v="1"/>
    <x v="2"/>
    <n v="0"/>
    <n v="0"/>
    <n v="127.322"/>
    <n v="127.322"/>
    <n v="127.322"/>
    <n v="127.322"/>
    <n v="0"/>
    <s v="CATIVO"/>
    <n v="0"/>
    <n v="0"/>
    <n v="34"/>
    <n v="53"/>
    <n v="0"/>
    <n v="304.64999999999998"/>
    <n v="206.13"/>
    <m/>
    <n v="403.19134568895447"/>
    <n v="233.88925901057866"/>
    <n v="0"/>
    <n v="8869.2505200000105"/>
    <n v="0"/>
    <n v="5177.5134096736601"/>
    <x v="2"/>
  </r>
  <r>
    <s v="Refaturamento - Regular"/>
    <x v="3"/>
    <x v="4"/>
    <x v="1"/>
    <x v="1"/>
    <x v="5"/>
    <x v="0"/>
    <x v="1"/>
    <x v="2"/>
    <n v="0"/>
    <n v="0"/>
    <n v="0.63300000000000001"/>
    <n v="0.63300000000000001"/>
    <n v="0.63300000000000001"/>
    <n v="0.63300000000000001"/>
    <n v="0"/>
    <s v="CATIVO"/>
    <n v="0"/>
    <n v="0"/>
    <n v="34"/>
    <n v="53"/>
    <n v="0"/>
    <n v="304.64999999999998"/>
    <n v="206.13"/>
    <m/>
    <n v="403.19134568895447"/>
    <n v="233.88925901057866"/>
    <n v="0"/>
    <n v="44.09478000000005"/>
    <n v="0"/>
    <n v="25.740767411157748"/>
    <x v="2"/>
  </r>
  <r>
    <s v="Sistema de Compensação"/>
    <x v="3"/>
    <x v="4"/>
    <x v="1"/>
    <x v="1"/>
    <x v="5"/>
    <x v="0"/>
    <x v="1"/>
    <x v="2"/>
    <n v="0"/>
    <n v="0"/>
    <n v="0.49199999999999999"/>
    <n v="0.49199999999999999"/>
    <n v="0.49199999999999999"/>
    <n v="0.49199999999999999"/>
    <n v="0"/>
    <s v="CATIVO"/>
    <n v="0"/>
    <n v="0"/>
    <n v="34"/>
    <n v="53"/>
    <n v="0"/>
    <n v="304.64999999999998"/>
    <n v="206.13"/>
    <m/>
    <n v="403.19134568895447"/>
    <n v="233.88925901057866"/>
    <n v="0"/>
    <n v="34.272720000000042"/>
    <n v="0"/>
    <n v="20.007041968861948"/>
    <x v="2"/>
  </r>
  <r>
    <s v="Regular"/>
    <x v="3"/>
    <x v="4"/>
    <x v="1"/>
    <x v="1"/>
    <x v="5"/>
    <x v="0"/>
    <x v="1"/>
    <x v="3"/>
    <n v="0"/>
    <n v="0"/>
    <n v="108.435"/>
    <n v="108.435"/>
    <n v="108.435"/>
    <n v="108.435"/>
    <n v="0"/>
    <s v="CATIVO"/>
    <n v="0"/>
    <n v="0"/>
    <n v="34"/>
    <n v="53"/>
    <n v="0"/>
    <n v="304.64999999999998"/>
    <n v="206.13"/>
    <m/>
    <n v="403.19134568895447"/>
    <n v="233.88925901057866"/>
    <n v="0"/>
    <n v="7553.5821000000087"/>
    <n v="0"/>
    <n v="4409.478853442165"/>
    <x v="2"/>
  </r>
  <r>
    <s v="Refaturamento - Regular"/>
    <x v="3"/>
    <x v="4"/>
    <x v="1"/>
    <x v="1"/>
    <x v="5"/>
    <x v="0"/>
    <x v="1"/>
    <x v="3"/>
    <n v="0"/>
    <n v="0"/>
    <n v="-1.014"/>
    <n v="-1.014"/>
    <n v="-1.014"/>
    <n v="-1.014"/>
    <n v="0"/>
    <s v="CATIVO"/>
    <n v="0"/>
    <n v="0"/>
    <n v="34"/>
    <n v="53"/>
    <n v="0"/>
    <n v="304.64999999999998"/>
    <n v="206.13"/>
    <m/>
    <n v="403.19134568895447"/>
    <n v="233.88925901057866"/>
    <n v="0"/>
    <n v="-70.635240000000081"/>
    <n v="0"/>
    <n v="-41.234025521191086"/>
    <x v="2"/>
  </r>
  <r>
    <s v="Sistema de Compensação"/>
    <x v="3"/>
    <x v="4"/>
    <x v="1"/>
    <x v="1"/>
    <x v="5"/>
    <x v="0"/>
    <x v="1"/>
    <x v="3"/>
    <n v="0"/>
    <n v="0"/>
    <n v="0.625"/>
    <n v="0.625"/>
    <n v="0.625"/>
    <n v="0.625"/>
    <n v="0"/>
    <s v="CATIVO"/>
    <n v="0"/>
    <n v="0"/>
    <n v="34"/>
    <n v="53"/>
    <n v="0"/>
    <n v="304.64999999999998"/>
    <n v="206.13"/>
    <m/>
    <n v="403.19134568895447"/>
    <n v="233.88925901057866"/>
    <n v="0"/>
    <n v="43.537500000000051"/>
    <n v="0"/>
    <n v="25.415449655566498"/>
    <x v="2"/>
  </r>
  <r>
    <s v="Regular"/>
    <x v="3"/>
    <x v="4"/>
    <x v="1"/>
    <x v="1"/>
    <x v="5"/>
    <x v="0"/>
    <x v="1"/>
    <x v="4"/>
    <n v="0"/>
    <n v="0"/>
    <n v="109.678"/>
    <n v="109.678"/>
    <n v="109.678"/>
    <n v="109.678"/>
    <n v="0"/>
    <s v="CATIVO"/>
    <n v="0"/>
    <n v="0"/>
    <n v="34"/>
    <n v="53"/>
    <n v="0"/>
    <n v="304.64999999999998"/>
    <n v="206.13"/>
    <m/>
    <n v="403.19134568895447"/>
    <n v="233.88925901057866"/>
    <n v="0"/>
    <n v="7640.1694800000087"/>
    <n v="0"/>
    <n v="4460.0250997171552"/>
    <x v="2"/>
  </r>
  <r>
    <s v="Refaturamento - Regular"/>
    <x v="3"/>
    <x v="4"/>
    <x v="1"/>
    <x v="1"/>
    <x v="5"/>
    <x v="0"/>
    <x v="1"/>
    <x v="4"/>
    <n v="0"/>
    <n v="0"/>
    <n v="-5.5410000000000004"/>
    <n v="-5.5410000000000004"/>
    <n v="-5.5410000000000004"/>
    <n v="-5.5410000000000004"/>
    <n v="0"/>
    <s v="CATIVO"/>
    <n v="0"/>
    <n v="0"/>
    <n v="34"/>
    <n v="53"/>
    <n v="0"/>
    <n v="304.64999999999998"/>
    <n v="206.13"/>
    <m/>
    <n v="403.19134568895447"/>
    <n v="233.88925901057866"/>
    <n v="0"/>
    <n v="-385.98606000000046"/>
    <n v="0"/>
    <n v="-225.32321046639035"/>
    <x v="2"/>
  </r>
  <r>
    <s v="Sistema de Compensação"/>
    <x v="3"/>
    <x v="4"/>
    <x v="1"/>
    <x v="1"/>
    <x v="5"/>
    <x v="0"/>
    <x v="1"/>
    <x v="4"/>
    <n v="0"/>
    <n v="0"/>
    <n v="0.66200000000000003"/>
    <n v="0.66200000000000003"/>
    <n v="0.66200000000000003"/>
    <n v="0.66200000000000003"/>
    <n v="0"/>
    <s v="CATIVO"/>
    <n v="0"/>
    <n v="0"/>
    <n v="34"/>
    <n v="53"/>
    <n v="0"/>
    <n v="304.64999999999998"/>
    <n v="206.13"/>
    <m/>
    <n v="403.19134568895447"/>
    <n v="233.88925901057866"/>
    <n v="0"/>
    <n v="46.114920000000055"/>
    <n v="0"/>
    <n v="26.920044275176036"/>
    <x v="2"/>
  </r>
  <r>
    <s v="Regular"/>
    <x v="3"/>
    <x v="4"/>
    <x v="1"/>
    <x v="1"/>
    <x v="5"/>
    <x v="0"/>
    <x v="1"/>
    <x v="5"/>
    <n v="0"/>
    <n v="0"/>
    <n v="194.71899999999999"/>
    <n v="194.71899999999999"/>
    <n v="194.71899999999999"/>
    <n v="194.71899999999999"/>
    <n v="0"/>
    <s v="CATIVO"/>
    <n v="0"/>
    <n v="0"/>
    <n v="34"/>
    <n v="53"/>
    <n v="0"/>
    <n v="304.64999999999998"/>
    <n v="206.13"/>
    <m/>
    <n v="403.19134568895447"/>
    <n v="233.88925901057866"/>
    <n v="0"/>
    <n v="13564.125540000015"/>
    <n v="0"/>
    <n v="7918.1935063716046"/>
    <x v="2"/>
  </r>
  <r>
    <s v="Refaturamento - Regular"/>
    <x v="3"/>
    <x v="4"/>
    <x v="1"/>
    <x v="1"/>
    <x v="5"/>
    <x v="0"/>
    <x v="1"/>
    <x v="5"/>
    <n v="0"/>
    <n v="0"/>
    <n v="-16.681000000000001"/>
    <n v="-16.681000000000001"/>
    <n v="-16.681000000000001"/>
    <n v="-16.681000000000001"/>
    <n v="0"/>
    <s v="CATIVO"/>
    <n v="0"/>
    <n v="0"/>
    <n v="34"/>
    <n v="53"/>
    <n v="0"/>
    <n v="304.64999999999998"/>
    <n v="206.13"/>
    <m/>
    <n v="403.19134568895447"/>
    <n v="233.88925901057866"/>
    <n v="0"/>
    <n v="-1161.9984600000014"/>
    <n v="0"/>
    <n v="-678.32818512720769"/>
    <x v="2"/>
  </r>
  <r>
    <s v="Sistema de Compensação"/>
    <x v="3"/>
    <x v="4"/>
    <x v="1"/>
    <x v="1"/>
    <x v="5"/>
    <x v="0"/>
    <x v="1"/>
    <x v="5"/>
    <n v="0"/>
    <n v="0"/>
    <n v="1.1639999999999999"/>
    <n v="1.1639999999999999"/>
    <n v="1.1639999999999999"/>
    <n v="1.1639999999999999"/>
    <n v="0"/>
    <s v="CATIVO"/>
    <n v="0"/>
    <n v="0"/>
    <n v="34"/>
    <n v="53"/>
    <n v="0"/>
    <n v="304.64999999999998"/>
    <n v="206.13"/>
    <m/>
    <n v="403.19134568895447"/>
    <n v="233.88925901057866"/>
    <n v="0"/>
    <n v="81.084240000000094"/>
    <n v="0"/>
    <n v="47.333733438527041"/>
    <x v="2"/>
  </r>
  <r>
    <s v="Regular"/>
    <x v="3"/>
    <x v="4"/>
    <x v="1"/>
    <x v="1"/>
    <x v="5"/>
    <x v="0"/>
    <x v="1"/>
    <x v="6"/>
    <n v="0"/>
    <n v="0"/>
    <n v="328.14800000000002"/>
    <n v="328.14800000000002"/>
    <n v="328.14800000000002"/>
    <n v="328.14800000000002"/>
    <n v="0"/>
    <s v="CATIVO"/>
    <n v="0"/>
    <n v="0"/>
    <n v="34"/>
    <n v="53"/>
    <n v="0"/>
    <n v="304.64999999999998"/>
    <n v="206.13"/>
    <m/>
    <n v="403.19134568895447"/>
    <n v="233.88925901057866"/>
    <n v="0"/>
    <n v="22858.789680000027"/>
    <n v="0"/>
    <n v="13344.046357719737"/>
    <x v="2"/>
  </r>
  <r>
    <s v="Refaturamento - Regular"/>
    <x v="3"/>
    <x v="4"/>
    <x v="1"/>
    <x v="1"/>
    <x v="5"/>
    <x v="0"/>
    <x v="1"/>
    <x v="6"/>
    <n v="0"/>
    <n v="0"/>
    <n v="-1.736"/>
    <n v="-1.736"/>
    <n v="-1.736"/>
    <n v="-1.736"/>
    <n v="0"/>
    <s v="CATIVO"/>
    <n v="0"/>
    <n v="0"/>
    <n v="34"/>
    <n v="53"/>
    <n v="0"/>
    <n v="304.64999999999998"/>
    <n v="206.13"/>
    <m/>
    <n v="403.19134568895447"/>
    <n v="233.88925901057866"/>
    <n v="0"/>
    <n v="-120.92976000000014"/>
    <n v="0"/>
    <n v="-70.593952963301504"/>
    <x v="2"/>
  </r>
  <r>
    <s v="Sistema de Compensação"/>
    <x v="3"/>
    <x v="4"/>
    <x v="1"/>
    <x v="1"/>
    <x v="5"/>
    <x v="0"/>
    <x v="1"/>
    <x v="6"/>
    <n v="0"/>
    <n v="0"/>
    <n v="2.2109999999999999"/>
    <n v="2.2109999999999999"/>
    <n v="2.2109999999999999"/>
    <n v="2.2109999999999999"/>
    <n v="0"/>
    <s v="CATIVO"/>
    <n v="0"/>
    <n v="0"/>
    <n v="34"/>
    <n v="53"/>
    <n v="0"/>
    <n v="304.64999999999998"/>
    <n v="206.13"/>
    <m/>
    <n v="403.19134568895447"/>
    <n v="233.88925901057866"/>
    <n v="0"/>
    <n v="154.01826000000017"/>
    <n v="0"/>
    <n v="89.909694701532032"/>
    <x v="2"/>
  </r>
  <r>
    <s v="Regular"/>
    <x v="3"/>
    <x v="4"/>
    <x v="1"/>
    <x v="1"/>
    <x v="5"/>
    <x v="0"/>
    <x v="1"/>
    <x v="7"/>
    <n v="0"/>
    <n v="0"/>
    <n v="306.173"/>
    <n v="306.173"/>
    <n v="306.173"/>
    <n v="306.173"/>
    <n v="0"/>
    <s v="CATIVO"/>
    <n v="0"/>
    <n v="0"/>
    <n v="34"/>
    <n v="53"/>
    <n v="0"/>
    <n v="304.64999999999998"/>
    <n v="206.13"/>
    <m/>
    <n v="403.19134568895447"/>
    <n v="233.88925901057866"/>
    <n v="0"/>
    <n v="21328.011180000027"/>
    <n v="0"/>
    <n v="12450.439147830019"/>
    <x v="2"/>
  </r>
  <r>
    <s v="Refaturamento - Regular"/>
    <x v="3"/>
    <x v="4"/>
    <x v="1"/>
    <x v="1"/>
    <x v="5"/>
    <x v="0"/>
    <x v="1"/>
    <x v="7"/>
    <n v="0"/>
    <n v="0"/>
    <n v="-14.065"/>
    <n v="-14.065"/>
    <n v="-14.065"/>
    <n v="-14.065"/>
    <n v="0"/>
    <s v="CATIVO"/>
    <n v="0"/>
    <n v="0"/>
    <n v="34"/>
    <n v="53"/>
    <n v="0"/>
    <n v="304.64999999999998"/>
    <n v="206.13"/>
    <m/>
    <n v="403.19134568895447"/>
    <n v="233.88925901057866"/>
    <n v="0"/>
    <n v="-979.76790000000108"/>
    <n v="0"/>
    <n v="-571.94927904886845"/>
    <x v="2"/>
  </r>
  <r>
    <s v="Sistema de Compensação"/>
    <x v="3"/>
    <x v="4"/>
    <x v="1"/>
    <x v="1"/>
    <x v="5"/>
    <x v="0"/>
    <x v="1"/>
    <x v="7"/>
    <n v="0"/>
    <n v="0"/>
    <n v="2.3330000000000002"/>
    <n v="2.3330000000000002"/>
    <n v="2.3330000000000002"/>
    <n v="2.3330000000000002"/>
    <n v="0"/>
    <s v="CATIVO"/>
    <n v="0"/>
    <n v="0"/>
    <n v="34"/>
    <n v="53"/>
    <n v="0"/>
    <n v="304.64999999999998"/>
    <n v="206.13"/>
    <m/>
    <n v="403.19134568895447"/>
    <n v="233.88925901057866"/>
    <n v="0"/>
    <n v="162.51678000000021"/>
    <n v="0"/>
    <n v="94.87079047429863"/>
    <x v="2"/>
  </r>
  <r>
    <s v="Regular"/>
    <x v="3"/>
    <x v="4"/>
    <x v="1"/>
    <x v="1"/>
    <x v="5"/>
    <x v="0"/>
    <x v="1"/>
    <x v="8"/>
    <n v="0"/>
    <n v="0"/>
    <n v="268.79700000000003"/>
    <n v="268.79700000000003"/>
    <n v="268.79700000000003"/>
    <n v="268.79700000000003"/>
    <n v="0"/>
    <s v="CATIVO"/>
    <n v="0"/>
    <n v="0"/>
    <n v="34"/>
    <n v="53"/>
    <n v="0"/>
    <n v="304.64999999999998"/>
    <n v="206.13"/>
    <m/>
    <n v="403.19134568895447"/>
    <n v="233.88925901057866"/>
    <n v="0"/>
    <n v="18724.399020000023"/>
    <n v="0"/>
    <n v="10930.554593707693"/>
    <x v="2"/>
  </r>
  <r>
    <s v="Refaturamento - Regular"/>
    <x v="3"/>
    <x v="4"/>
    <x v="1"/>
    <x v="1"/>
    <x v="5"/>
    <x v="0"/>
    <x v="1"/>
    <x v="8"/>
    <n v="0"/>
    <n v="0"/>
    <n v="-15.727"/>
    <n v="-15.727"/>
    <n v="-15.727"/>
    <n v="-15.727"/>
    <n v="0"/>
    <s v="CATIVO"/>
    <n v="0"/>
    <n v="0"/>
    <n v="34"/>
    <n v="53"/>
    <n v="0"/>
    <n v="304.64999999999998"/>
    <n v="206.13"/>
    <m/>
    <n v="403.19134568895447"/>
    <n v="233.88925901057866"/>
    <n v="0"/>
    <n v="-1095.5428200000013"/>
    <n v="0"/>
    <n v="-639.5340427729509"/>
    <x v="2"/>
  </r>
  <r>
    <s v="Sistema de Compensação"/>
    <x v="3"/>
    <x v="4"/>
    <x v="1"/>
    <x v="1"/>
    <x v="5"/>
    <x v="0"/>
    <x v="1"/>
    <x v="8"/>
    <n v="0"/>
    <n v="0"/>
    <n v="2.2290000000000001"/>
    <n v="2.2290000000000001"/>
    <n v="2.2290000000000001"/>
    <n v="2.2290000000000001"/>
    <n v="0"/>
    <s v="CATIVO"/>
    <n v="0"/>
    <n v="0"/>
    <n v="34"/>
    <n v="53"/>
    <n v="0"/>
    <n v="304.64999999999998"/>
    <n v="206.13"/>
    <m/>
    <n v="403.19134568895447"/>
    <n v="233.88925901057866"/>
    <n v="0"/>
    <n v="155.27214000000018"/>
    <n v="0"/>
    <n v="90.641659651612358"/>
    <x v="2"/>
  </r>
  <r>
    <s v="Regular"/>
    <x v="3"/>
    <x v="4"/>
    <x v="1"/>
    <x v="1"/>
    <x v="5"/>
    <x v="0"/>
    <x v="1"/>
    <x v="9"/>
    <n v="0"/>
    <n v="0"/>
    <n v="247.02600000000001"/>
    <n v="247.02600000000001"/>
    <n v="247.02600000000001"/>
    <n v="247.02600000000001"/>
    <n v="0"/>
    <s v="CATIVO"/>
    <n v="0"/>
    <n v="0"/>
    <n v="34"/>
    <n v="53"/>
    <n v="0"/>
    <n v="304.64999999999998"/>
    <n v="206.13"/>
    <m/>
    <n v="403.19134568895447"/>
    <n v="233.88925901057866"/>
    <n v="0"/>
    <n v="17207.83116000002"/>
    <n v="0"/>
    <n v="10045.242986585552"/>
    <x v="2"/>
  </r>
  <r>
    <s v="Sistema de Compensação"/>
    <x v="3"/>
    <x v="4"/>
    <x v="1"/>
    <x v="1"/>
    <x v="5"/>
    <x v="0"/>
    <x v="1"/>
    <x v="9"/>
    <n v="0"/>
    <n v="0"/>
    <n v="1.9119999999999999"/>
    <n v="1.9119999999999999"/>
    <n v="1.9119999999999999"/>
    <n v="1.9119999999999999"/>
    <n v="0"/>
    <s v="CATIVO"/>
    <n v="0"/>
    <n v="0"/>
    <n v="34"/>
    <n v="53"/>
    <n v="0"/>
    <n v="304.64999999999998"/>
    <n v="206.13"/>
    <m/>
    <n v="403.19134568895447"/>
    <n v="233.88925901057866"/>
    <n v="0"/>
    <n v="133.18992000000014"/>
    <n v="0"/>
    <n v="77.75094358630902"/>
    <x v="2"/>
  </r>
  <r>
    <s v="Regular"/>
    <x v="3"/>
    <x v="4"/>
    <x v="1"/>
    <x v="1"/>
    <x v="5"/>
    <x v="0"/>
    <x v="1"/>
    <x v="10"/>
    <n v="0"/>
    <n v="0"/>
    <n v="254.04"/>
    <n v="254.04"/>
    <n v="254.04"/>
    <n v="254.04"/>
    <n v="0"/>
    <s v="CATIVO"/>
    <n v="0"/>
    <n v="0"/>
    <n v="34"/>
    <n v="53"/>
    <n v="0"/>
    <n v="304.64999999999998"/>
    <n v="206.13"/>
    <m/>
    <n v="403.19134568895447"/>
    <n v="233.88925901057866"/>
    <n v="0"/>
    <n v="17696.426400000018"/>
    <n v="0"/>
    <n v="10330.465328800181"/>
    <x v="2"/>
  </r>
  <r>
    <s v="Sistema de Compensação"/>
    <x v="3"/>
    <x v="4"/>
    <x v="1"/>
    <x v="1"/>
    <x v="5"/>
    <x v="0"/>
    <x v="1"/>
    <x v="10"/>
    <n v="0"/>
    <n v="0"/>
    <n v="2.0529999999999999"/>
    <n v="2.0529999999999999"/>
    <n v="2.0529999999999999"/>
    <n v="2.0529999999999999"/>
    <n v="0"/>
    <s v="CATIVO"/>
    <n v="0"/>
    <n v="0"/>
    <n v="34"/>
    <n v="53"/>
    <n v="0"/>
    <n v="304.64999999999998"/>
    <n v="206.13"/>
    <m/>
    <n v="403.19134568895447"/>
    <n v="233.88925901057866"/>
    <n v="0"/>
    <n v="143.01198000000016"/>
    <n v="0"/>
    <n v="83.484669028604827"/>
    <x v="2"/>
  </r>
  <r>
    <s v="PROJETADO"/>
    <x v="3"/>
    <x v="4"/>
    <x v="1"/>
    <x v="1"/>
    <x v="5"/>
    <x v="0"/>
    <x v="1"/>
    <x v="11"/>
    <n v="0"/>
    <n v="0"/>
    <n v="254.04"/>
    <n v="254.04"/>
    <n v="254.04"/>
    <n v="254.04"/>
    <n v="0"/>
    <s v="CATIVO"/>
    <n v="0"/>
    <n v="0"/>
    <n v="34"/>
    <n v="53"/>
    <n v="0"/>
    <n v="304.64999999999998"/>
    <n v="206.13"/>
    <m/>
    <n v="403.19134568895447"/>
    <n v="233.88925901057866"/>
    <n v="0"/>
    <n v="17696.426400000018"/>
    <n v="0"/>
    <n v="10330.465328800181"/>
    <x v="2"/>
  </r>
  <r>
    <s v="PROJETADO"/>
    <x v="3"/>
    <x v="4"/>
    <x v="1"/>
    <x v="1"/>
    <x v="5"/>
    <x v="0"/>
    <x v="1"/>
    <x v="11"/>
    <n v="0"/>
    <n v="0"/>
    <n v="2.0529999999999999"/>
    <n v="2.0529999999999999"/>
    <n v="2.0529999999999999"/>
    <n v="2.0529999999999999"/>
    <n v="0"/>
    <s v="CATIVO"/>
    <n v="0"/>
    <n v="0"/>
    <n v="34"/>
    <n v="53"/>
    <n v="0"/>
    <n v="304.64999999999998"/>
    <n v="206.13"/>
    <m/>
    <n v="403.19134568895447"/>
    <n v="233.88925901057866"/>
    <n v="0"/>
    <n v="143.01198000000016"/>
    <n v="0"/>
    <n v="83.484669028604827"/>
    <x v="2"/>
  </r>
  <r>
    <s v="Regular"/>
    <x v="3"/>
    <x v="4"/>
    <x v="1"/>
    <x v="1"/>
    <x v="1"/>
    <x v="0"/>
    <x v="1"/>
    <x v="0"/>
    <n v="0"/>
    <n v="0"/>
    <n v="328.82900000000001"/>
    <n v="88.783829999999995"/>
    <n v="328.82900000000001"/>
    <n v="88.783829999999995"/>
    <n v="0"/>
    <s v="CATIVO"/>
    <n v="0"/>
    <n v="0"/>
    <n v="34"/>
    <n v="53"/>
    <n v="0"/>
    <n v="304.64999999999998"/>
    <n v="206.13"/>
    <m/>
    <n v="403.19134568895447"/>
    <n v="233.88925901057866"/>
    <n v="0"/>
    <n v="145516.50007260003"/>
    <n v="0"/>
    <n v="166299.86109046667"/>
    <x v="1"/>
  </r>
  <r>
    <s v="Refaturamento - Regular"/>
    <x v="3"/>
    <x v="4"/>
    <x v="1"/>
    <x v="1"/>
    <x v="1"/>
    <x v="0"/>
    <x v="1"/>
    <x v="0"/>
    <n v="0"/>
    <n v="0"/>
    <n v="-6.5629999999999997"/>
    <n v="-1.7720100000000001"/>
    <n v="-6.5629999999999997"/>
    <n v="-1.7720100000000001"/>
    <n v="0"/>
    <s v="CATIVO"/>
    <n v="0"/>
    <n v="0"/>
    <n v="34"/>
    <n v="53"/>
    <n v="0"/>
    <n v="304.64999999999998"/>
    <n v="206.13"/>
    <m/>
    <n v="403.19134568895447"/>
    <n v="233.88925901057866"/>
    <n v="0"/>
    <n v="-2904.3204522000005"/>
    <n v="0"/>
    <n v="-3319.1293600525883"/>
    <x v="1"/>
  </r>
  <r>
    <s v="Sistema de Compensação"/>
    <x v="3"/>
    <x v="4"/>
    <x v="1"/>
    <x v="1"/>
    <x v="1"/>
    <x v="0"/>
    <x v="1"/>
    <x v="0"/>
    <n v="0"/>
    <n v="0"/>
    <n v="1.4239999999999999"/>
    <n v="0.38447999999999999"/>
    <n v="1.4239999999999999"/>
    <n v="0.38447999999999999"/>
    <n v="0"/>
    <s v="CATIVO"/>
    <n v="0"/>
    <n v="0"/>
    <n v="34"/>
    <n v="53"/>
    <n v="0"/>
    <n v="304.64999999999998"/>
    <n v="206.13"/>
    <m/>
    <n v="403.19134568895447"/>
    <n v="233.88925901057866"/>
    <n v="0"/>
    <n v="630.16186560000006"/>
    <n v="0"/>
    <n v="720.16459069250129"/>
    <x v="1"/>
  </r>
  <r>
    <s v="Regular"/>
    <x v="3"/>
    <x v="4"/>
    <x v="1"/>
    <x v="1"/>
    <x v="1"/>
    <x v="0"/>
    <x v="1"/>
    <x v="1"/>
    <n v="0"/>
    <n v="0"/>
    <n v="120.88200000000001"/>
    <n v="32.63814"/>
    <n v="120.88200000000001"/>
    <n v="32.63814"/>
    <n v="0"/>
    <s v="CATIVO"/>
    <n v="0"/>
    <n v="0"/>
    <n v="34"/>
    <n v="53"/>
    <n v="0"/>
    <n v="304.64999999999998"/>
    <n v="206.13"/>
    <m/>
    <n v="403.19134568895447"/>
    <n v="233.88925901057866"/>
    <n v="0"/>
    <n v="53493.838930800011"/>
    <n v="0"/>
    <n v="61134.084306243647"/>
    <x v="1"/>
  </r>
  <r>
    <s v="Refaturamento - Regular"/>
    <x v="3"/>
    <x v="4"/>
    <x v="1"/>
    <x v="1"/>
    <x v="1"/>
    <x v="0"/>
    <x v="1"/>
    <x v="1"/>
    <n v="0"/>
    <n v="0"/>
    <n v="-1.8"/>
    <n v="-0.48599999999999999"/>
    <n v="-1.8"/>
    <n v="-0.48599999999999999"/>
    <n v="0"/>
    <s v="CATIVO"/>
    <n v="0"/>
    <n v="0"/>
    <n v="34"/>
    <n v="53"/>
    <n v="0"/>
    <n v="304.64999999999998"/>
    <n v="206.13"/>
    <m/>
    <n v="403.19134568895447"/>
    <n v="233.88925901057866"/>
    <n v="0"/>
    <n v="-796.55292000000009"/>
    <n v="0"/>
    <n v="-910.32040958321807"/>
    <x v="1"/>
  </r>
  <r>
    <s v="Sistema de Compensação"/>
    <x v="3"/>
    <x v="4"/>
    <x v="1"/>
    <x v="1"/>
    <x v="1"/>
    <x v="0"/>
    <x v="1"/>
    <x v="1"/>
    <n v="0"/>
    <n v="0"/>
    <n v="0.38500000000000001"/>
    <n v="0.10395"/>
    <n v="0.38500000000000001"/>
    <n v="0.10395"/>
    <n v="0"/>
    <s v="CATIVO"/>
    <n v="0"/>
    <n v="0"/>
    <n v="34"/>
    <n v="53"/>
    <n v="0"/>
    <n v="304.64999999999998"/>
    <n v="206.13"/>
    <m/>
    <n v="403.19134568895447"/>
    <n v="233.88925901057866"/>
    <n v="0"/>
    <n v="170.37381900000003"/>
    <n v="0"/>
    <n v="194.70742093863274"/>
    <x v="1"/>
  </r>
  <r>
    <s v="Regular"/>
    <x v="3"/>
    <x v="4"/>
    <x v="1"/>
    <x v="1"/>
    <x v="1"/>
    <x v="0"/>
    <x v="1"/>
    <x v="2"/>
    <n v="0"/>
    <n v="0"/>
    <n v="109.247"/>
    <n v="29.496690000000001"/>
    <n v="109.247"/>
    <n v="29.496690000000001"/>
    <n v="0"/>
    <s v="CATIVO"/>
    <n v="0"/>
    <n v="0"/>
    <n v="34"/>
    <n v="53"/>
    <n v="0"/>
    <n v="304.64999999999998"/>
    <n v="206.13"/>
    <m/>
    <n v="403.19134568895447"/>
    <n v="233.88925901057866"/>
    <n v="0"/>
    <n v="48345.009361800003"/>
    <n v="0"/>
    <n v="55249.874325409895"/>
    <x v="1"/>
  </r>
  <r>
    <s v="Refaturamento - Regular"/>
    <x v="3"/>
    <x v="4"/>
    <x v="1"/>
    <x v="1"/>
    <x v="1"/>
    <x v="0"/>
    <x v="1"/>
    <x v="2"/>
    <n v="0"/>
    <n v="0"/>
    <n v="-0.35899999999999999"/>
    <n v="-9.6930000000000002E-2"/>
    <n v="-0.35899999999999999"/>
    <n v="-9.6930000000000002E-2"/>
    <n v="0"/>
    <s v="CATIVO"/>
    <n v="0"/>
    <n v="0"/>
    <n v="34"/>
    <n v="53"/>
    <n v="0"/>
    <n v="304.64999999999998"/>
    <n v="206.13"/>
    <m/>
    <n v="403.19134568895447"/>
    <n v="233.88925901057866"/>
    <n v="0"/>
    <n v="-158.86805459999999"/>
    <n v="0"/>
    <n v="-181.55834835576402"/>
    <x v="1"/>
  </r>
  <r>
    <s v="Sistema de Compensação"/>
    <x v="3"/>
    <x v="4"/>
    <x v="1"/>
    <x v="1"/>
    <x v="1"/>
    <x v="0"/>
    <x v="1"/>
    <x v="2"/>
    <n v="0"/>
    <n v="0"/>
    <n v="9.4E-2"/>
    <n v="2.538E-2"/>
    <n v="9.4E-2"/>
    <n v="2.538E-2"/>
    <n v="0"/>
    <s v="CATIVO"/>
    <n v="0"/>
    <n v="0"/>
    <n v="34"/>
    <n v="53"/>
    <n v="0"/>
    <n v="304.64999999999998"/>
    <n v="206.13"/>
    <m/>
    <n v="403.19134568895447"/>
    <n v="233.88925901057866"/>
    <n v="0"/>
    <n v="41.597763600000008"/>
    <n v="0"/>
    <n v="47.538954722679165"/>
    <x v="1"/>
  </r>
  <r>
    <s v="Regular"/>
    <x v="3"/>
    <x v="4"/>
    <x v="1"/>
    <x v="1"/>
    <x v="1"/>
    <x v="0"/>
    <x v="1"/>
    <x v="3"/>
    <n v="0"/>
    <n v="0"/>
    <n v="90.728999999999999"/>
    <n v="24.496829999999999"/>
    <n v="90.728999999999999"/>
    <n v="24.496829999999999"/>
    <n v="0"/>
    <s v="CATIVO"/>
    <n v="0"/>
    <n v="0"/>
    <n v="34"/>
    <n v="53"/>
    <n v="0"/>
    <n v="304.64999999999998"/>
    <n v="206.13"/>
    <m/>
    <n v="403.19134568895447"/>
    <n v="233.88925901057866"/>
    <n v="0"/>
    <n v="40150.249932600003"/>
    <n v="0"/>
    <n v="45884.700245042099"/>
    <x v="1"/>
  </r>
  <r>
    <s v="Refaturamento - Regular"/>
    <x v="3"/>
    <x v="4"/>
    <x v="1"/>
    <x v="1"/>
    <x v="1"/>
    <x v="0"/>
    <x v="1"/>
    <x v="3"/>
    <n v="0"/>
    <n v="0"/>
    <n v="-0.32200000000000001"/>
    <n v="-8.6940000000000003E-2"/>
    <n v="-0.32200000000000001"/>
    <n v="-8.6940000000000003E-2"/>
    <n v="0"/>
    <s v="CATIVO"/>
    <n v="0"/>
    <n v="0"/>
    <n v="34"/>
    <n v="53"/>
    <n v="0"/>
    <n v="304.64999999999998"/>
    <n v="206.13"/>
    <m/>
    <n v="403.19134568895447"/>
    <n v="233.88925901057866"/>
    <n v="0"/>
    <n v="-142.4944668"/>
    <n v="0"/>
    <n v="-162.84620660322008"/>
    <x v="1"/>
  </r>
  <r>
    <s v="Sistema de Compensação"/>
    <x v="3"/>
    <x v="4"/>
    <x v="1"/>
    <x v="1"/>
    <x v="1"/>
    <x v="0"/>
    <x v="1"/>
    <x v="3"/>
    <n v="0"/>
    <n v="0"/>
    <n v="0.38900000000000001"/>
    <n v="0.10503"/>
    <n v="0.38900000000000001"/>
    <n v="0.10503"/>
    <n v="0"/>
    <s v="CATIVO"/>
    <n v="0"/>
    <n v="0"/>
    <n v="34"/>
    <n v="53"/>
    <n v="0"/>
    <n v="304.64999999999998"/>
    <n v="206.13"/>
    <m/>
    <n v="403.19134568895447"/>
    <n v="233.88925901057866"/>
    <n v="0"/>
    <n v="172.14393660000005"/>
    <n v="0"/>
    <n v="196.73035518215099"/>
    <x v="1"/>
  </r>
  <r>
    <s v="Regular"/>
    <x v="3"/>
    <x v="4"/>
    <x v="1"/>
    <x v="1"/>
    <x v="1"/>
    <x v="0"/>
    <x v="1"/>
    <x v="4"/>
    <n v="0"/>
    <n v="0"/>
    <n v="96.778000000000006"/>
    <n v="26.13006"/>
    <n v="96.778000000000006"/>
    <n v="26.13006"/>
    <n v="0"/>
    <s v="CATIVO"/>
    <n v="0"/>
    <n v="0"/>
    <n v="34"/>
    <n v="53"/>
    <n v="0"/>
    <n v="304.64999999999998"/>
    <n v="206.13"/>
    <m/>
    <n v="403.19134568895447"/>
    <n v="233.88925901057866"/>
    <n v="0"/>
    <n v="42827.110273200014"/>
    <n v="0"/>
    <n v="48943.8825548026"/>
    <x v="1"/>
  </r>
  <r>
    <s v="Refaturamento - Regular"/>
    <x v="3"/>
    <x v="4"/>
    <x v="1"/>
    <x v="1"/>
    <x v="1"/>
    <x v="0"/>
    <x v="1"/>
    <x v="4"/>
    <n v="0"/>
    <n v="0"/>
    <n v="-0.51700000000000002"/>
    <n v="-0.13958999999999999"/>
    <n v="-0.51700000000000002"/>
    <n v="-0.13958999999999999"/>
    <n v="0"/>
    <s v="CATIVO"/>
    <n v="0"/>
    <n v="0"/>
    <n v="34"/>
    <n v="53"/>
    <n v="0"/>
    <n v="304.64999999999998"/>
    <n v="206.13"/>
    <m/>
    <n v="403.19134568895447"/>
    <n v="233.88925901057866"/>
    <n v="0"/>
    <n v="-228.78769980000004"/>
    <n v="0"/>
    <n v="-261.46425097473536"/>
    <x v="1"/>
  </r>
  <r>
    <s v="Sistema de Compensação"/>
    <x v="3"/>
    <x v="4"/>
    <x v="1"/>
    <x v="1"/>
    <x v="1"/>
    <x v="0"/>
    <x v="1"/>
    <x v="4"/>
    <n v="0"/>
    <n v="0"/>
    <n v="0.185"/>
    <n v="4.9950000000000001E-2"/>
    <n v="0.185"/>
    <n v="4.9950000000000001E-2"/>
    <n v="0"/>
    <s v="CATIVO"/>
    <n v="0"/>
    <n v="0"/>
    <n v="34"/>
    <n v="53"/>
    <n v="0"/>
    <n v="304.64999999999998"/>
    <n v="206.13"/>
    <m/>
    <n v="403.19134568895447"/>
    <n v="233.88925901057866"/>
    <n v="0"/>
    <n v="81.867939000000021"/>
    <n v="0"/>
    <n v="93.560708762719628"/>
    <x v="1"/>
  </r>
  <r>
    <s v="Regular"/>
    <x v="3"/>
    <x v="4"/>
    <x v="1"/>
    <x v="1"/>
    <x v="1"/>
    <x v="0"/>
    <x v="1"/>
    <x v="5"/>
    <n v="0"/>
    <n v="0"/>
    <n v="227.708"/>
    <n v="61.481160000000003"/>
    <n v="227.708"/>
    <n v="61.481160000000003"/>
    <n v="0"/>
    <s v="CATIVO"/>
    <n v="0"/>
    <n v="0"/>
    <n v="34"/>
    <n v="53"/>
    <n v="0"/>
    <n v="304.64999999999998"/>
    <n v="206.13"/>
    <m/>
    <n v="403.19134568895447"/>
    <n v="233.88925901057866"/>
    <n v="0"/>
    <n v="100767.48461520001"/>
    <n v="0"/>
    <n v="115159.57768076409"/>
    <x v="1"/>
  </r>
  <r>
    <s v="Refaturamento - Regular"/>
    <x v="3"/>
    <x v="4"/>
    <x v="1"/>
    <x v="1"/>
    <x v="1"/>
    <x v="0"/>
    <x v="1"/>
    <x v="5"/>
    <n v="0"/>
    <n v="0"/>
    <n v="-5.0880000000000001"/>
    <n v="-1.3737600000000001"/>
    <n v="-5.0880000000000001"/>
    <n v="-1.3737600000000001"/>
    <n v="0"/>
    <s v="CATIVO"/>
    <n v="0"/>
    <n v="0"/>
    <n v="34"/>
    <n v="53"/>
    <n v="0"/>
    <n v="304.64999999999998"/>
    <n v="206.13"/>
    <m/>
    <n v="403.19134568895447"/>
    <n v="233.88925901057866"/>
    <n v="0"/>
    <n v="-2251.5895872000006"/>
    <n v="0"/>
    <n v="-2573.1723577552298"/>
    <x v="1"/>
  </r>
  <r>
    <s v="Sistema de Compensação"/>
    <x v="3"/>
    <x v="4"/>
    <x v="1"/>
    <x v="1"/>
    <x v="1"/>
    <x v="0"/>
    <x v="1"/>
    <x v="5"/>
    <n v="0"/>
    <n v="0"/>
    <n v="0.40799999999999997"/>
    <n v="0.11015999999999999"/>
    <n v="0.40799999999999997"/>
    <n v="0.11015999999999999"/>
    <n v="0"/>
    <s v="CATIVO"/>
    <n v="0"/>
    <n v="0"/>
    <n v="34"/>
    <n v="53"/>
    <n v="0"/>
    <n v="304.64999999999998"/>
    <n v="206.13"/>
    <m/>
    <n v="403.19134568895447"/>
    <n v="233.88925901057866"/>
    <n v="0"/>
    <n v="180.55199520000002"/>
    <n v="0"/>
    <n v="206.33929283886275"/>
    <x v="1"/>
  </r>
  <r>
    <s v="Regular"/>
    <x v="3"/>
    <x v="4"/>
    <x v="1"/>
    <x v="1"/>
    <x v="1"/>
    <x v="0"/>
    <x v="1"/>
    <x v="6"/>
    <n v="0"/>
    <n v="0"/>
    <n v="387.99700000000001"/>
    <n v="104.75919"/>
    <n v="387.99700000000001"/>
    <n v="104.75919"/>
    <n v="0"/>
    <s v="CATIVO"/>
    <n v="0"/>
    <n v="0"/>
    <n v="34"/>
    <n v="53"/>
    <n v="0"/>
    <n v="304.64999999999998"/>
    <n v="206.13"/>
    <m/>
    <n v="403.19134568895447"/>
    <n v="233.88925901057866"/>
    <n v="0"/>
    <n v="171700.07961180003"/>
    <n v="0"/>
    <n v="196223.10442058879"/>
    <x v="1"/>
  </r>
  <r>
    <s v="Refaturamento - Regular"/>
    <x v="3"/>
    <x v="4"/>
    <x v="1"/>
    <x v="1"/>
    <x v="1"/>
    <x v="0"/>
    <x v="1"/>
    <x v="6"/>
    <n v="0"/>
    <n v="0"/>
    <n v="2.5510000000000002"/>
    <n v="0.68876999999999999"/>
    <n v="2.5510000000000002"/>
    <n v="0.68876999999999999"/>
    <n v="0"/>
    <s v="CATIVO"/>
    <n v="0"/>
    <n v="0"/>
    <n v="34"/>
    <n v="53"/>
    <n v="0"/>
    <n v="304.64999999999998"/>
    <n v="206.13"/>
    <m/>
    <n v="403.19134568895447"/>
    <n v="233.88925901057866"/>
    <n v="0"/>
    <n v="1128.8924994000004"/>
    <n v="0"/>
    <n v="1290.1263138037718"/>
    <x v="1"/>
  </r>
  <r>
    <s v="Sistema de Compensação"/>
    <x v="3"/>
    <x v="4"/>
    <x v="1"/>
    <x v="1"/>
    <x v="1"/>
    <x v="0"/>
    <x v="1"/>
    <x v="6"/>
    <n v="0"/>
    <n v="0"/>
    <n v="1.5389999999999999"/>
    <n v="0.41553000000000001"/>
    <n v="1.5389999999999999"/>
    <n v="0.41553000000000001"/>
    <n v="0"/>
    <s v="CATIVO"/>
    <n v="0"/>
    <n v="0"/>
    <n v="34"/>
    <n v="53"/>
    <n v="0"/>
    <n v="304.64999999999998"/>
    <n v="206.13"/>
    <m/>
    <n v="403.19134568895447"/>
    <n v="233.88925901057866"/>
    <n v="0"/>
    <n v="681.05274660000009"/>
    <n v="0"/>
    <n v="778.3239501936514"/>
    <x v="1"/>
  </r>
  <r>
    <s v="Regular"/>
    <x v="3"/>
    <x v="4"/>
    <x v="1"/>
    <x v="1"/>
    <x v="1"/>
    <x v="0"/>
    <x v="1"/>
    <x v="7"/>
    <n v="0"/>
    <n v="0"/>
    <n v="388.52300000000002"/>
    <n v="104.90121000000001"/>
    <n v="388.52300000000002"/>
    <n v="104.90121000000001"/>
    <n v="0"/>
    <s v="CATIVO"/>
    <n v="0"/>
    <n v="0"/>
    <n v="34"/>
    <n v="53"/>
    <n v="0"/>
    <n v="304.64999999999998"/>
    <n v="206.13"/>
    <m/>
    <n v="403.19134568895447"/>
    <n v="233.88925901057866"/>
    <n v="0"/>
    <n v="171932.85007620003"/>
    <n v="0"/>
    <n v="196489.12027361145"/>
    <x v="1"/>
  </r>
  <r>
    <s v="Refaturamento - Regular"/>
    <x v="3"/>
    <x v="4"/>
    <x v="1"/>
    <x v="1"/>
    <x v="1"/>
    <x v="0"/>
    <x v="1"/>
    <x v="7"/>
    <n v="0"/>
    <n v="0"/>
    <n v="-8.1"/>
    <n v="-2.1869999999999998"/>
    <n v="-8.1"/>
    <n v="-2.1869999999999998"/>
    <n v="0"/>
    <s v="CATIVO"/>
    <n v="0"/>
    <n v="0"/>
    <n v="34"/>
    <n v="53"/>
    <n v="0"/>
    <n v="304.64999999999998"/>
    <n v="206.13"/>
    <m/>
    <n v="403.19134568895447"/>
    <n v="233.88925901057866"/>
    <n v="0"/>
    <n v="-3584.4881400000004"/>
    <n v="0"/>
    <n v="-4096.4418431244812"/>
    <x v="1"/>
  </r>
  <r>
    <s v="Sistema de Compensação"/>
    <x v="3"/>
    <x v="4"/>
    <x v="1"/>
    <x v="1"/>
    <x v="1"/>
    <x v="0"/>
    <x v="1"/>
    <x v="7"/>
    <n v="0"/>
    <n v="0"/>
    <n v="1.032"/>
    <n v="0.27864"/>
    <n v="1.032"/>
    <n v="0.27864"/>
    <n v="0"/>
    <s v="CATIVO"/>
    <n v="0"/>
    <n v="0"/>
    <n v="34"/>
    <n v="53"/>
    <n v="0"/>
    <n v="304.64999999999998"/>
    <n v="206.13"/>
    <m/>
    <n v="403.19134568895447"/>
    <n v="233.88925901057866"/>
    <n v="0"/>
    <n v="456.69034080000011"/>
    <n v="0"/>
    <n v="521.91703482771163"/>
    <x v="1"/>
  </r>
  <r>
    <s v="Regular"/>
    <x v="3"/>
    <x v="4"/>
    <x v="1"/>
    <x v="1"/>
    <x v="1"/>
    <x v="0"/>
    <x v="1"/>
    <x v="8"/>
    <n v="0"/>
    <n v="0"/>
    <n v="360.911"/>
    <n v="97.445970000000003"/>
    <n v="360.911"/>
    <n v="97.445970000000003"/>
    <n v="0"/>
    <s v="CATIVO"/>
    <n v="0"/>
    <n v="0"/>
    <n v="34"/>
    <n v="53"/>
    <n v="0"/>
    <n v="304.64999999999998"/>
    <n v="206.13"/>
    <m/>
    <n v="403.19134568895447"/>
    <n v="233.88925901057866"/>
    <n v="0"/>
    <n v="159713.72828340004"/>
    <n v="0"/>
    <n v="182524.80519060488"/>
    <x v="1"/>
  </r>
  <r>
    <s v="Refaturamento - Regular"/>
    <x v="3"/>
    <x v="4"/>
    <x v="1"/>
    <x v="1"/>
    <x v="1"/>
    <x v="0"/>
    <x v="1"/>
    <x v="8"/>
    <n v="0"/>
    <n v="0"/>
    <n v="-6.673"/>
    <n v="-1.8017099999999999"/>
    <n v="-6.673"/>
    <n v="-1.8017099999999999"/>
    <n v="0"/>
    <s v="CATIVO"/>
    <n v="0"/>
    <n v="0"/>
    <n v="34"/>
    <n v="53"/>
    <n v="0"/>
    <n v="304.64999999999998"/>
    <n v="206.13"/>
    <m/>
    <n v="403.19134568895447"/>
    <n v="233.88925901057866"/>
    <n v="0"/>
    <n v="-2952.9986862000005"/>
    <n v="0"/>
    <n v="-3374.7600517493411"/>
    <x v="1"/>
  </r>
  <r>
    <s v="Sistema de Compensação"/>
    <x v="3"/>
    <x v="4"/>
    <x v="1"/>
    <x v="1"/>
    <x v="1"/>
    <x v="0"/>
    <x v="1"/>
    <x v="8"/>
    <n v="0"/>
    <n v="0"/>
    <n v="0.97099999999999997"/>
    <n v="0.26217000000000001"/>
    <n v="0.97099999999999997"/>
    <n v="0.26217000000000001"/>
    <n v="0"/>
    <s v="CATIVO"/>
    <n v="0"/>
    <n v="0"/>
    <n v="34"/>
    <n v="53"/>
    <n v="0"/>
    <n v="304.64999999999998"/>
    <n v="206.13"/>
    <m/>
    <n v="403.19134568895447"/>
    <n v="233.88925901057866"/>
    <n v="0"/>
    <n v="429.6960474"/>
    <n v="0"/>
    <n v="491.0672876140581"/>
    <x v="1"/>
  </r>
  <r>
    <s v="Regular"/>
    <x v="3"/>
    <x v="4"/>
    <x v="1"/>
    <x v="1"/>
    <x v="1"/>
    <x v="0"/>
    <x v="1"/>
    <x v="9"/>
    <n v="0"/>
    <n v="0"/>
    <n v="321.29599999999999"/>
    <n v="86.749920000000003"/>
    <n v="321.29599999999999"/>
    <n v="86.749920000000003"/>
    <n v="0"/>
    <s v="CATIVO"/>
    <n v="0"/>
    <n v="0"/>
    <n v="34"/>
    <n v="53"/>
    <n v="0"/>
    <n v="304.64999999999998"/>
    <n v="206.13"/>
    <m/>
    <n v="403.19134568895447"/>
    <n v="233.88925901057866"/>
    <n v="0"/>
    <n v="142182.9261024"/>
    <n v="0"/>
    <n v="162490.17017636087"/>
    <x v="1"/>
  </r>
  <r>
    <s v="Sistema de Compensação"/>
    <x v="3"/>
    <x v="4"/>
    <x v="1"/>
    <x v="1"/>
    <x v="1"/>
    <x v="0"/>
    <x v="1"/>
    <x v="9"/>
    <n v="0"/>
    <n v="0"/>
    <n v="1.0580000000000001"/>
    <n v="0.28566000000000003"/>
    <n v="1.0580000000000001"/>
    <n v="0.28566000000000003"/>
    <n v="0"/>
    <s v="CATIVO"/>
    <n v="0"/>
    <n v="0"/>
    <n v="34"/>
    <n v="53"/>
    <n v="0"/>
    <n v="304.64999999999998"/>
    <n v="206.13"/>
    <m/>
    <n v="403.19134568895447"/>
    <n v="233.88925901057866"/>
    <n v="0"/>
    <n v="468.19610520000009"/>
    <n v="0"/>
    <n v="535.06610741058034"/>
    <x v="1"/>
  </r>
  <r>
    <s v="Regular"/>
    <x v="3"/>
    <x v="4"/>
    <x v="1"/>
    <x v="1"/>
    <x v="1"/>
    <x v="0"/>
    <x v="1"/>
    <x v="10"/>
    <n v="0"/>
    <n v="0"/>
    <n v="475.80099999999999"/>
    <n v="128.46627000000001"/>
    <n v="475.80099999999999"/>
    <n v="128.46627000000001"/>
    <n v="0"/>
    <s v="CATIVO"/>
    <n v="0"/>
    <n v="0"/>
    <n v="34"/>
    <n v="53"/>
    <n v="0"/>
    <n v="304.64999999999998"/>
    <n v="206.13"/>
    <m/>
    <n v="403.19134568895447"/>
    <n v="233.88925901057866"/>
    <n v="0"/>
    <n v="210555.93104940001"/>
    <n v="0"/>
    <n v="240628.53400005816"/>
    <x v="1"/>
  </r>
  <r>
    <s v="Sistema de Compensação"/>
    <x v="3"/>
    <x v="4"/>
    <x v="1"/>
    <x v="1"/>
    <x v="1"/>
    <x v="0"/>
    <x v="1"/>
    <x v="10"/>
    <n v="0"/>
    <n v="0"/>
    <n v="1.107"/>
    <n v="0.29888999999999999"/>
    <n v="1.107"/>
    <n v="0.29888999999999999"/>
    <n v="0"/>
    <s v="CATIVO"/>
    <n v="0"/>
    <n v="0"/>
    <n v="34"/>
    <n v="53"/>
    <n v="0"/>
    <n v="304.64999999999998"/>
    <n v="206.13"/>
    <m/>
    <n v="403.19134568895447"/>
    <n v="233.88925901057866"/>
    <n v="0"/>
    <n v="489.88004580000006"/>
    <n v="0"/>
    <n v="559.84705189367912"/>
    <x v="1"/>
  </r>
  <r>
    <s v="PROJETADO"/>
    <x v="3"/>
    <x v="4"/>
    <x v="1"/>
    <x v="1"/>
    <x v="1"/>
    <x v="0"/>
    <x v="1"/>
    <x v="11"/>
    <n v="0"/>
    <n v="0"/>
    <n v="475.80099999999999"/>
    <n v="128.46627000000001"/>
    <n v="475.80099999999999"/>
    <n v="128.46627000000001"/>
    <n v="0"/>
    <s v="CATIVO"/>
    <n v="0"/>
    <n v="0"/>
    <n v="34"/>
    <n v="53"/>
    <n v="0"/>
    <n v="304.64999999999998"/>
    <n v="206.13"/>
    <m/>
    <n v="403.19134568895447"/>
    <n v="233.88925901057866"/>
    <n v="0"/>
    <n v="210555.93104940001"/>
    <n v="0"/>
    <n v="240628.53400005816"/>
    <x v="1"/>
  </r>
  <r>
    <s v="PROJETADO"/>
    <x v="3"/>
    <x v="4"/>
    <x v="1"/>
    <x v="1"/>
    <x v="1"/>
    <x v="0"/>
    <x v="1"/>
    <x v="11"/>
    <n v="0"/>
    <n v="0"/>
    <n v="1.107"/>
    <n v="0.29888999999999999"/>
    <n v="1.107"/>
    <n v="0.29888999999999999"/>
    <n v="0"/>
    <s v="CATIVO"/>
    <n v="0"/>
    <n v="0"/>
    <n v="34"/>
    <n v="53"/>
    <n v="0"/>
    <n v="304.64999999999998"/>
    <n v="206.13"/>
    <m/>
    <n v="403.19134568895447"/>
    <n v="233.88925901057866"/>
    <n v="0"/>
    <n v="489.88004580000006"/>
    <n v="0"/>
    <n v="559.84705189367912"/>
    <x v="1"/>
  </r>
  <r>
    <s v="Regular"/>
    <x v="3"/>
    <x v="4"/>
    <x v="1"/>
    <x v="0"/>
    <x v="2"/>
    <x v="0"/>
    <x v="1"/>
    <x v="0"/>
    <n v="0"/>
    <n v="0"/>
    <n v="5373.0360000000001"/>
    <n v="5373.0360000000001"/>
    <n v="5373.0360000000001"/>
    <n v="5373.0360000000001"/>
    <n v="22764"/>
    <s v="CATIVO"/>
    <n v="0"/>
    <n v="0"/>
    <n v="34"/>
    <n v="53"/>
    <n v="0"/>
    <n v="304.64999999999998"/>
    <n v="206.13"/>
    <m/>
    <n v="403.19134568895447"/>
    <n v="233.88925901057866"/>
    <n v="0"/>
    <n v="374285.68776000047"/>
    <n v="0"/>
    <n v="218493.00152887424"/>
    <x v="2"/>
  </r>
  <r>
    <s v="Refaturamento - Regular"/>
    <x v="3"/>
    <x v="4"/>
    <x v="1"/>
    <x v="0"/>
    <x v="2"/>
    <x v="0"/>
    <x v="1"/>
    <x v="0"/>
    <n v="0"/>
    <n v="0"/>
    <n v="-0.26"/>
    <n v="-0.26"/>
    <n v="-0.26"/>
    <n v="-0.26"/>
    <n v="-2"/>
    <s v="CATIVO"/>
    <n v="0"/>
    <n v="0"/>
    <n v="34"/>
    <n v="53"/>
    <n v="0"/>
    <n v="304.64999999999998"/>
    <n v="206.13"/>
    <m/>
    <n v="403.19134568895447"/>
    <n v="233.88925901057866"/>
    <n v="0"/>
    <n v="-18.111600000000021"/>
    <n v="0"/>
    <n v="-10.572827056715663"/>
    <x v="2"/>
  </r>
  <r>
    <s v="Sistema de Compensação"/>
    <x v="3"/>
    <x v="4"/>
    <x v="1"/>
    <x v="0"/>
    <x v="2"/>
    <x v="0"/>
    <x v="1"/>
    <x v="0"/>
    <n v="0"/>
    <n v="0"/>
    <n v="83.564999999999998"/>
    <n v="83.564999999999998"/>
    <n v="83.564999999999998"/>
    <n v="83.564999999999998"/>
    <n v="152"/>
    <s v="CATIVO"/>
    <n v="0"/>
    <n v="0"/>
    <n v="34"/>
    <n v="53"/>
    <n v="0"/>
    <n v="304.64999999999998"/>
    <n v="206.13"/>
    <m/>
    <n v="403.19134568895447"/>
    <n v="233.88925901057866"/>
    <n v="0"/>
    <n v="5821.137900000007"/>
    <n v="0"/>
    <n v="3398.1472807478631"/>
    <x v="2"/>
  </r>
  <r>
    <s v="Regular"/>
    <x v="3"/>
    <x v="4"/>
    <x v="1"/>
    <x v="0"/>
    <x v="2"/>
    <x v="0"/>
    <x v="1"/>
    <x v="1"/>
    <n v="0"/>
    <n v="0"/>
    <n v="4323.9170000000004"/>
    <n v="4323.9170000000004"/>
    <n v="4323.9170000000004"/>
    <n v="4323.9170000000004"/>
    <n v="22763"/>
    <s v="CATIVO"/>
    <n v="0"/>
    <n v="0"/>
    <n v="34"/>
    <n v="53"/>
    <n v="0"/>
    <n v="304.64999999999998"/>
    <n v="206.13"/>
    <m/>
    <n v="403.19134568895447"/>
    <n v="233.88925901057866"/>
    <n v="0"/>
    <n v="301204.05822000036"/>
    <n v="0"/>
    <n v="175830.87172535702"/>
    <x v="2"/>
  </r>
  <r>
    <s v="Refaturamento - Regular"/>
    <x v="3"/>
    <x v="4"/>
    <x v="1"/>
    <x v="0"/>
    <x v="2"/>
    <x v="0"/>
    <x v="1"/>
    <x v="1"/>
    <n v="0"/>
    <n v="0"/>
    <n v="-7.1609999999999996"/>
    <n v="-7.1609999999999996"/>
    <n v="-7.1609999999999996"/>
    <n v="-7.1609999999999996"/>
    <n v="-3"/>
    <s v="CATIVO"/>
    <n v="0"/>
    <n v="0"/>
    <n v="34"/>
    <n v="53"/>
    <n v="0"/>
    <n v="304.64999999999998"/>
    <n v="206.13"/>
    <m/>
    <n v="403.19134568895447"/>
    <n v="233.88925901057866"/>
    <n v="0"/>
    <n v="-498.83526000000057"/>
    <n v="0"/>
    <n v="-291.2000559736187"/>
    <x v="2"/>
  </r>
  <r>
    <s v="Sistema de Compensação"/>
    <x v="3"/>
    <x v="4"/>
    <x v="1"/>
    <x v="0"/>
    <x v="2"/>
    <x v="0"/>
    <x v="1"/>
    <x v="1"/>
    <n v="0"/>
    <n v="0"/>
    <n v="60.284999999999997"/>
    <n v="60.284999999999997"/>
    <n v="60.284999999999997"/>
    <n v="60.284999999999997"/>
    <n v="160"/>
    <s v="CATIVO"/>
    <n v="0"/>
    <n v="0"/>
    <n v="34"/>
    <n v="53"/>
    <n v="0"/>
    <n v="304.64999999999998"/>
    <n v="206.13"/>
    <m/>
    <n v="403.19134568895447"/>
    <n v="233.88925901057866"/>
    <n v="0"/>
    <n v="4199.4531000000043"/>
    <n v="0"/>
    <n v="2451.4726119773218"/>
    <x v="2"/>
  </r>
  <r>
    <s v="Regular"/>
    <x v="3"/>
    <x v="4"/>
    <x v="1"/>
    <x v="0"/>
    <x v="2"/>
    <x v="0"/>
    <x v="1"/>
    <x v="2"/>
    <n v="0"/>
    <n v="0"/>
    <n v="3880.1350000000002"/>
    <n v="3880.1350000000002"/>
    <n v="3880.1350000000002"/>
    <n v="3880.1350000000002"/>
    <n v="22750"/>
    <s v="CATIVO"/>
    <n v="0"/>
    <n v="0"/>
    <n v="34"/>
    <n v="53"/>
    <n v="0"/>
    <n v="304.64999999999998"/>
    <n v="206.13"/>
    <m/>
    <n v="403.19134568895447"/>
    <n v="233.88925901057866"/>
    <n v="0"/>
    <n v="270290.20410000032"/>
    <n v="0"/>
    <n v="157784.60119888242"/>
    <x v="2"/>
  </r>
  <r>
    <s v="Refaturamento - Regular"/>
    <x v="3"/>
    <x v="4"/>
    <x v="1"/>
    <x v="0"/>
    <x v="2"/>
    <x v="0"/>
    <x v="1"/>
    <x v="2"/>
    <n v="0"/>
    <n v="0"/>
    <n v="-72.650999999999996"/>
    <n v="-72.650999999999996"/>
    <n v="-72.650999999999996"/>
    <n v="-72.650999999999996"/>
    <n v="-4"/>
    <s v="CATIVO"/>
    <n v="0"/>
    <n v="0"/>
    <n v="34"/>
    <n v="53"/>
    <n v="0"/>
    <n v="304.64999999999998"/>
    <n v="206.13"/>
    <m/>
    <n v="403.19134568895447"/>
    <n v="233.88925901057866"/>
    <n v="0"/>
    <n v="-5060.8686600000055"/>
    <n v="0"/>
    <n v="-2954.3325326824984"/>
    <x v="2"/>
  </r>
  <r>
    <s v="Sistema de Compensação"/>
    <x v="3"/>
    <x v="4"/>
    <x v="1"/>
    <x v="0"/>
    <x v="2"/>
    <x v="0"/>
    <x v="1"/>
    <x v="2"/>
    <n v="0"/>
    <n v="0"/>
    <n v="83.388999999999996"/>
    <n v="83.388999999999996"/>
    <n v="83.388999999999996"/>
    <n v="83.388999999999996"/>
    <n v="169"/>
    <s v="CATIVO"/>
    <n v="0"/>
    <n v="0"/>
    <n v="34"/>
    <n v="53"/>
    <n v="0"/>
    <n v="304.64999999999998"/>
    <n v="206.13"/>
    <m/>
    <n v="403.19134568895447"/>
    <n v="233.88925901057866"/>
    <n v="0"/>
    <n v="5808.8777400000063"/>
    <n v="0"/>
    <n v="3390.9902901248552"/>
    <x v="2"/>
  </r>
  <r>
    <s v="Sistema de Compensação"/>
    <x v="3"/>
    <x v="4"/>
    <x v="1"/>
    <x v="0"/>
    <x v="2"/>
    <x v="0"/>
    <x v="1"/>
    <x v="2"/>
    <n v="0"/>
    <n v="0"/>
    <n v="-0.57999999999999996"/>
    <n v="-0.57999999999999996"/>
    <n v="-0.57999999999999996"/>
    <n v="-0.57999999999999996"/>
    <n v="0"/>
    <s v="CATIVO"/>
    <n v="0"/>
    <n v="0"/>
    <n v="34"/>
    <n v="53"/>
    <n v="0"/>
    <n v="304.64999999999998"/>
    <n v="206.13"/>
    <m/>
    <n v="403.19134568895447"/>
    <n v="233.88925901057866"/>
    <n v="0"/>
    <n v="-40.402800000000042"/>
    <n v="0"/>
    <n v="-23.58553728036571"/>
    <x v="2"/>
  </r>
  <r>
    <s v="Regular"/>
    <x v="3"/>
    <x v="4"/>
    <x v="1"/>
    <x v="0"/>
    <x v="2"/>
    <x v="0"/>
    <x v="1"/>
    <x v="3"/>
    <n v="0"/>
    <n v="0"/>
    <n v="3885.18"/>
    <n v="3885.18"/>
    <n v="3885.18"/>
    <n v="3885.18"/>
    <n v="22755"/>
    <s v="CATIVO"/>
    <n v="0"/>
    <n v="0"/>
    <n v="34"/>
    <n v="53"/>
    <n v="0"/>
    <n v="304.64999999999998"/>
    <n v="206.13"/>
    <m/>
    <n v="403.19134568895447"/>
    <n v="233.88925901057866"/>
    <n v="0"/>
    <n v="270641.63880000031"/>
    <n v="0"/>
    <n v="157989.75470850215"/>
    <x v="2"/>
  </r>
  <r>
    <s v="Refaturamento - Regular"/>
    <x v="3"/>
    <x v="4"/>
    <x v="1"/>
    <x v="0"/>
    <x v="2"/>
    <x v="0"/>
    <x v="1"/>
    <x v="3"/>
    <n v="0"/>
    <n v="0"/>
    <n v="-35.954000000000001"/>
    <n v="-35.954000000000001"/>
    <n v="-35.954000000000001"/>
    <n v="-35.954000000000001"/>
    <n v="-21"/>
    <s v="CATIVO"/>
    <n v="0"/>
    <n v="0"/>
    <n v="34"/>
    <n v="53"/>
    <n v="0"/>
    <n v="304.64999999999998"/>
    <n v="206.13"/>
    <m/>
    <n v="403.19134568895447"/>
    <n v="233.88925901057866"/>
    <n v="0"/>
    <n v="-2504.5556400000028"/>
    <n v="0"/>
    <n v="-1462.0593230659806"/>
    <x v="2"/>
  </r>
  <r>
    <s v="Sistema de Compensação"/>
    <x v="3"/>
    <x v="4"/>
    <x v="1"/>
    <x v="0"/>
    <x v="2"/>
    <x v="0"/>
    <x v="1"/>
    <x v="3"/>
    <n v="0"/>
    <n v="0"/>
    <n v="104.20399999999999"/>
    <n v="104.20399999999999"/>
    <n v="104.20399999999999"/>
    <n v="104.20399999999999"/>
    <n v="176"/>
    <s v="CATIVO"/>
    <n v="0"/>
    <n v="0"/>
    <n v="34"/>
    <n v="53"/>
    <n v="0"/>
    <n v="304.64999999999998"/>
    <n v="206.13"/>
    <m/>
    <n v="403.19134568895447"/>
    <n v="233.88925901057866"/>
    <n v="0"/>
    <n v="7258.8506400000078"/>
    <n v="0"/>
    <n v="4237.4264254538421"/>
    <x v="2"/>
  </r>
  <r>
    <s v="Regular"/>
    <x v="3"/>
    <x v="4"/>
    <x v="1"/>
    <x v="0"/>
    <x v="2"/>
    <x v="0"/>
    <x v="1"/>
    <x v="4"/>
    <n v="0"/>
    <n v="0"/>
    <n v="3766.8429999999998"/>
    <n v="3766.8429999999998"/>
    <n v="3766.8429999999998"/>
    <n v="3766.8429999999998"/>
    <n v="22745"/>
    <s v="CATIVO"/>
    <n v="0"/>
    <n v="0"/>
    <n v="34"/>
    <n v="53"/>
    <n v="0"/>
    <n v="304.64999999999998"/>
    <n v="206.13"/>
    <m/>
    <n v="403.19134568895447"/>
    <n v="233.88925901057866"/>
    <n v="0"/>
    <n v="262398.28338000027"/>
    <n v="0"/>
    <n v="153177.61380307691"/>
    <x v="2"/>
  </r>
  <r>
    <s v="Refaturamento - Regular"/>
    <x v="3"/>
    <x v="4"/>
    <x v="1"/>
    <x v="0"/>
    <x v="2"/>
    <x v="0"/>
    <x v="1"/>
    <x v="4"/>
    <n v="0"/>
    <n v="0"/>
    <n v="-22.149000000000001"/>
    <n v="-22.149000000000001"/>
    <n v="-22.149000000000001"/>
    <n v="-22.149000000000001"/>
    <n v="-4"/>
    <s v="CATIVO"/>
    <n v="0"/>
    <n v="0"/>
    <n v="34"/>
    <n v="53"/>
    <n v="0"/>
    <n v="304.64999999999998"/>
    <n v="206.13"/>
    <m/>
    <n v="403.19134568895447"/>
    <n v="233.88925901057866"/>
    <n v="0"/>
    <n v="-1542.899340000002"/>
    <n v="0"/>
    <n v="-900.68287107382776"/>
    <x v="2"/>
  </r>
  <r>
    <s v="Sistema de Compensação"/>
    <x v="3"/>
    <x v="4"/>
    <x v="1"/>
    <x v="0"/>
    <x v="2"/>
    <x v="0"/>
    <x v="1"/>
    <x v="4"/>
    <n v="0"/>
    <n v="0"/>
    <n v="94.795000000000002"/>
    <n v="94.795000000000002"/>
    <n v="94.795000000000002"/>
    <n v="94.795000000000002"/>
    <n v="192"/>
    <s v="CATIVO"/>
    <n v="0"/>
    <n v="0"/>
    <n v="34"/>
    <n v="53"/>
    <n v="0"/>
    <n v="304.64999999999998"/>
    <n v="206.13"/>
    <m/>
    <n v="403.19134568895447"/>
    <n v="233.88925901057866"/>
    <n v="0"/>
    <n v="6603.4197000000077"/>
    <n v="0"/>
    <n v="3854.8120801590817"/>
    <x v="2"/>
  </r>
  <r>
    <s v="Sistema de Compensação"/>
    <x v="3"/>
    <x v="4"/>
    <x v="1"/>
    <x v="0"/>
    <x v="2"/>
    <x v="0"/>
    <x v="1"/>
    <x v="4"/>
    <n v="0"/>
    <n v="0"/>
    <n v="-0.97799999999999998"/>
    <n v="-0.97799999999999998"/>
    <n v="-0.97799999999999998"/>
    <n v="-0.97799999999999998"/>
    <n v="0"/>
    <s v="CATIVO"/>
    <n v="0"/>
    <n v="0"/>
    <n v="34"/>
    <n v="53"/>
    <n v="0"/>
    <n v="304.64999999999998"/>
    <n v="206.13"/>
    <m/>
    <n v="403.19134568895447"/>
    <n v="233.88925901057866"/>
    <n v="0"/>
    <n v="-68.127480000000077"/>
    <n v="0"/>
    <n v="-39.770095621030457"/>
    <x v="2"/>
  </r>
  <r>
    <s v="Regular"/>
    <x v="3"/>
    <x v="4"/>
    <x v="1"/>
    <x v="0"/>
    <x v="2"/>
    <x v="0"/>
    <x v="1"/>
    <x v="5"/>
    <n v="0"/>
    <n v="0"/>
    <n v="4080.922"/>
    <n v="4080.922"/>
    <n v="4080.922"/>
    <n v="4080.922"/>
    <n v="22652"/>
    <s v="CATIVO"/>
    <n v="0"/>
    <n v="0"/>
    <n v="34"/>
    <n v="53"/>
    <n v="0"/>
    <n v="304.64999999999998"/>
    <n v="206.13"/>
    <m/>
    <n v="403.19134568895447"/>
    <n v="233.88925901057866"/>
    <n v="0"/>
    <n v="284277.02652000036"/>
    <n v="0"/>
    <n v="165949.54822286998"/>
    <x v="2"/>
  </r>
  <r>
    <s v="Refaturamento - Regular"/>
    <x v="3"/>
    <x v="4"/>
    <x v="1"/>
    <x v="0"/>
    <x v="2"/>
    <x v="0"/>
    <x v="1"/>
    <x v="5"/>
    <n v="0"/>
    <n v="0"/>
    <n v="0.61199999999999999"/>
    <n v="0.61199999999999999"/>
    <n v="0.61199999999999999"/>
    <n v="0.61199999999999999"/>
    <n v="0"/>
    <s v="CATIVO"/>
    <n v="0"/>
    <n v="0"/>
    <n v="34"/>
    <n v="53"/>
    <n v="0"/>
    <n v="304.64999999999998"/>
    <n v="206.13"/>
    <m/>
    <n v="403.19134568895447"/>
    <n v="233.88925901057866"/>
    <n v="0"/>
    <n v="42.631920000000051"/>
    <n v="0"/>
    <n v="24.886808302730714"/>
    <x v="2"/>
  </r>
  <r>
    <s v="Sistema de Compensação"/>
    <x v="3"/>
    <x v="4"/>
    <x v="1"/>
    <x v="0"/>
    <x v="2"/>
    <x v="0"/>
    <x v="1"/>
    <x v="5"/>
    <n v="0"/>
    <n v="0"/>
    <n v="84.361999999999995"/>
    <n v="84.361999999999995"/>
    <n v="84.361999999999995"/>
    <n v="84.361999999999995"/>
    <n v="205"/>
    <s v="CATIVO"/>
    <n v="0"/>
    <n v="0"/>
    <n v="34"/>
    <n v="53"/>
    <n v="0"/>
    <n v="304.64999999999998"/>
    <n v="206.13"/>
    <m/>
    <n v="403.19134568895447"/>
    <n v="233.88925901057866"/>
    <n v="0"/>
    <n v="5876.6569200000067"/>
    <n v="0"/>
    <n v="3430.5570621486413"/>
    <x v="2"/>
  </r>
  <r>
    <s v="Regular"/>
    <x v="3"/>
    <x v="4"/>
    <x v="1"/>
    <x v="0"/>
    <x v="2"/>
    <x v="0"/>
    <x v="1"/>
    <x v="6"/>
    <n v="0"/>
    <n v="0"/>
    <n v="4730.3190000000004"/>
    <n v="4730.3190000000004"/>
    <n v="4730.3190000000004"/>
    <n v="4730.3190000000004"/>
    <n v="22467"/>
    <s v="CATIVO"/>
    <n v="0"/>
    <n v="0"/>
    <n v="34"/>
    <n v="53"/>
    <n v="0"/>
    <n v="304.64999999999998"/>
    <n v="206.13"/>
    <m/>
    <n v="403.19134568895447"/>
    <n v="233.88925901057866"/>
    <n v="0"/>
    <n v="329514.02154000039"/>
    <n v="0"/>
    <n v="192357.09503883147"/>
    <x v="2"/>
  </r>
  <r>
    <s v="Refaturamento - Regular"/>
    <x v="3"/>
    <x v="4"/>
    <x v="1"/>
    <x v="0"/>
    <x v="2"/>
    <x v="0"/>
    <x v="1"/>
    <x v="6"/>
    <n v="0"/>
    <n v="0"/>
    <n v="-71.680000000000007"/>
    <n v="-71.680000000000007"/>
    <n v="-71.680000000000007"/>
    <n v="-71.680000000000007"/>
    <n v="-3"/>
    <s v="CATIVO"/>
    <n v="0"/>
    <n v="0"/>
    <n v="34"/>
    <n v="53"/>
    <n v="0"/>
    <n v="304.64999999999998"/>
    <n v="206.13"/>
    <m/>
    <n v="403.19134568895447"/>
    <n v="233.88925901057866"/>
    <n v="0"/>
    <n v="-4993.2288000000062"/>
    <n v="0"/>
    <n v="-2914.8470900976108"/>
    <x v="2"/>
  </r>
  <r>
    <s v="Sistema de Compensação"/>
    <x v="3"/>
    <x v="4"/>
    <x v="1"/>
    <x v="0"/>
    <x v="2"/>
    <x v="0"/>
    <x v="1"/>
    <x v="6"/>
    <n v="0"/>
    <n v="0"/>
    <n v="64.623000000000005"/>
    <n v="64.623000000000005"/>
    <n v="64.623000000000005"/>
    <n v="64.623000000000005"/>
    <n v="217"/>
    <s v="CATIVO"/>
    <n v="0"/>
    <n v="0"/>
    <n v="34"/>
    <n v="53"/>
    <n v="0"/>
    <n v="304.64999999999998"/>
    <n v="206.13"/>
    <m/>
    <n v="403.19134568895447"/>
    <n v="233.88925901057866"/>
    <n v="0"/>
    <n v="4501.6381800000054"/>
    <n v="0"/>
    <n v="2627.8761649466783"/>
    <x v="2"/>
  </r>
  <r>
    <s v="Regular"/>
    <x v="3"/>
    <x v="4"/>
    <x v="1"/>
    <x v="0"/>
    <x v="2"/>
    <x v="0"/>
    <x v="1"/>
    <x v="7"/>
    <n v="0"/>
    <n v="0"/>
    <n v="4794.9560000000001"/>
    <n v="4794.9560000000001"/>
    <n v="4794.9560000000001"/>
    <n v="4794.9560000000001"/>
    <n v="22387"/>
    <s v="CATIVO"/>
    <n v="0"/>
    <n v="0"/>
    <n v="34"/>
    <n v="53"/>
    <n v="0"/>
    <n v="304.64999999999998"/>
    <n v="206.13"/>
    <m/>
    <n v="403.19134568895447"/>
    <n v="233.88925901057866"/>
    <n v="0"/>
    <n v="334016.6349600004"/>
    <n v="0"/>
    <n v="194985.54050985043"/>
    <x v="2"/>
  </r>
  <r>
    <s v="Refaturamento - Regular"/>
    <x v="3"/>
    <x v="4"/>
    <x v="1"/>
    <x v="0"/>
    <x v="2"/>
    <x v="0"/>
    <x v="1"/>
    <x v="7"/>
    <n v="0"/>
    <n v="0"/>
    <n v="-39.015999999999998"/>
    <n v="-39.015999999999998"/>
    <n v="-39.015999999999998"/>
    <n v="-39.015999999999998"/>
    <n v="-2"/>
    <s v="CATIVO"/>
    <n v="0"/>
    <n v="0"/>
    <n v="34"/>
    <n v="53"/>
    <n v="0"/>
    <n v="304.64999999999998"/>
    <n v="206.13"/>
    <m/>
    <n v="403.19134568895447"/>
    <n v="233.88925901057866"/>
    <n v="0"/>
    <n v="-2717.8545600000029"/>
    <n v="0"/>
    <n v="-1586.574694018532"/>
    <x v="2"/>
  </r>
  <r>
    <s v="Sistema de Compensação"/>
    <x v="3"/>
    <x v="4"/>
    <x v="1"/>
    <x v="0"/>
    <x v="2"/>
    <x v="0"/>
    <x v="1"/>
    <x v="7"/>
    <n v="0"/>
    <n v="0"/>
    <n v="151.994"/>
    <n v="151.994"/>
    <n v="151.994"/>
    <n v="151.994"/>
    <n v="224"/>
    <s v="CATIVO"/>
    <n v="0"/>
    <n v="0"/>
    <n v="34"/>
    <n v="53"/>
    <n v="0"/>
    <n v="304.64999999999998"/>
    <n v="206.13"/>
    <m/>
    <n v="403.19134568895447"/>
    <n v="233.88925901057866"/>
    <n v="0"/>
    <n v="10587.902040000012"/>
    <n v="0"/>
    <n v="6180.7933679170792"/>
    <x v="2"/>
  </r>
  <r>
    <s v="Regular"/>
    <x v="3"/>
    <x v="4"/>
    <x v="1"/>
    <x v="0"/>
    <x v="2"/>
    <x v="0"/>
    <x v="1"/>
    <x v="8"/>
    <n v="0"/>
    <n v="0"/>
    <n v="5064.9989999999998"/>
    <n v="5064.9989999999998"/>
    <n v="5064.9989999999998"/>
    <n v="5064.9989999999998"/>
    <n v="22501"/>
    <s v="CATIVO"/>
    <n v="0"/>
    <n v="0"/>
    <n v="34"/>
    <n v="53"/>
    <n v="0"/>
    <n v="304.64999999999998"/>
    <n v="206.13"/>
    <m/>
    <n v="403.19134568895447"/>
    <n v="233.88925901057866"/>
    <n v="0"/>
    <n v="352827.83034000039"/>
    <n v="0"/>
    <n v="205966.76334399145"/>
    <x v="2"/>
  </r>
  <r>
    <s v="Refaturamento - Regular"/>
    <x v="3"/>
    <x v="4"/>
    <x v="1"/>
    <x v="0"/>
    <x v="2"/>
    <x v="0"/>
    <x v="1"/>
    <x v="8"/>
    <n v="0"/>
    <n v="0"/>
    <n v="-314.42899999999997"/>
    <n v="-314.42899999999997"/>
    <n v="-314.42899999999997"/>
    <n v="-314.42899999999997"/>
    <n v="-55"/>
    <s v="CATIVO"/>
    <n v="0"/>
    <n v="0"/>
    <n v="34"/>
    <n v="53"/>
    <n v="0"/>
    <n v="304.64999999999998"/>
    <n v="206.13"/>
    <m/>
    <n v="403.19134568895447"/>
    <n v="233.88925901057866"/>
    <n v="0"/>
    <n v="-21903.124140000025"/>
    <n v="0"/>
    <n v="-12786.167071600188"/>
    <x v="2"/>
  </r>
  <r>
    <s v="Sistema de Compensação"/>
    <x v="3"/>
    <x v="4"/>
    <x v="1"/>
    <x v="0"/>
    <x v="2"/>
    <x v="0"/>
    <x v="1"/>
    <x v="8"/>
    <n v="0"/>
    <n v="0"/>
    <n v="153.38999999999999"/>
    <n v="153.38999999999999"/>
    <n v="153.38999999999999"/>
    <n v="153.38999999999999"/>
    <n v="233"/>
    <s v="CATIVO"/>
    <n v="0"/>
    <n v="0"/>
    <n v="34"/>
    <n v="53"/>
    <n v="0"/>
    <n v="304.64999999999998"/>
    <n v="206.13"/>
    <m/>
    <n v="403.19134568895447"/>
    <n v="233.88925901057866"/>
    <n v="0"/>
    <n v="10685.147400000011"/>
    <n v="0"/>
    <n v="6237.5613162677519"/>
    <x v="2"/>
  </r>
  <r>
    <s v="Regular"/>
    <x v="3"/>
    <x v="4"/>
    <x v="1"/>
    <x v="0"/>
    <x v="2"/>
    <x v="0"/>
    <x v="1"/>
    <x v="9"/>
    <n v="0"/>
    <n v="0"/>
    <n v="4767.04"/>
    <n v="4767.04"/>
    <n v="4767.04"/>
    <n v="4767.04"/>
    <n v="22420"/>
    <s v="CATIVO"/>
    <n v="0"/>
    <n v="0"/>
    <n v="34"/>
    <n v="53"/>
    <n v="0"/>
    <n v="304.64999999999998"/>
    <n v="206.13"/>
    <m/>
    <n v="403.19134568895447"/>
    <n v="233.88925901057866"/>
    <n v="0"/>
    <n v="332072.00640000036"/>
    <n v="0"/>
    <n v="193850.34420171473"/>
    <x v="2"/>
  </r>
  <r>
    <s v="Refaturamento - Regular"/>
    <x v="3"/>
    <x v="4"/>
    <x v="1"/>
    <x v="0"/>
    <x v="2"/>
    <x v="0"/>
    <x v="1"/>
    <x v="9"/>
    <n v="0"/>
    <n v="0"/>
    <n v="-41.344999999999999"/>
    <n v="-41.344999999999999"/>
    <n v="-41.344999999999999"/>
    <n v="-41.344999999999999"/>
    <n v="-3"/>
    <s v="CATIVO"/>
    <n v="0"/>
    <n v="0"/>
    <n v="34"/>
    <n v="53"/>
    <n v="0"/>
    <n v="304.64999999999998"/>
    <n v="206.13"/>
    <m/>
    <n v="403.19134568895447"/>
    <n v="233.88925901057866"/>
    <n v="0"/>
    <n v="-2880.0927000000033"/>
    <n v="0"/>
    <n v="-1681.2828256150349"/>
    <x v="2"/>
  </r>
  <r>
    <s v="Sistema de Compensação"/>
    <x v="3"/>
    <x v="4"/>
    <x v="1"/>
    <x v="0"/>
    <x v="2"/>
    <x v="0"/>
    <x v="1"/>
    <x v="9"/>
    <n v="0"/>
    <n v="0"/>
    <n v="146.203"/>
    <n v="146.203"/>
    <n v="146.203"/>
    <n v="146.203"/>
    <n v="246"/>
    <s v="CATIVO"/>
    <n v="0"/>
    <n v="0"/>
    <n v="34"/>
    <n v="53"/>
    <n v="0"/>
    <n v="304.64999999999998"/>
    <n v="206.13"/>
    <m/>
    <n v="403.19134568895447"/>
    <n v="233.88925901057866"/>
    <n v="0"/>
    <n v="10184.500980000012"/>
    <n v="0"/>
    <n v="5945.3039775884617"/>
    <x v="2"/>
  </r>
  <r>
    <s v="Regular"/>
    <x v="3"/>
    <x v="4"/>
    <x v="1"/>
    <x v="0"/>
    <x v="2"/>
    <x v="0"/>
    <x v="1"/>
    <x v="10"/>
    <n v="0"/>
    <n v="0"/>
    <n v="4899.8429999999998"/>
    <n v="4899.8429999999998"/>
    <n v="4899.8429999999998"/>
    <n v="4899.8429999999998"/>
    <n v="21300"/>
    <s v="CATIVO"/>
    <n v="0"/>
    <n v="0"/>
    <n v="34"/>
    <n v="53"/>
    <n v="0"/>
    <n v="304.64999999999998"/>
    <n v="206.13"/>
    <m/>
    <n v="403.19134568895447"/>
    <n v="233.88925901057866"/>
    <n v="0"/>
    <n v="341323.06338000041"/>
    <n v="0"/>
    <n v="199250.74093868787"/>
    <x v="2"/>
  </r>
  <r>
    <s v="Refaturamento - Regular"/>
    <x v="3"/>
    <x v="4"/>
    <x v="1"/>
    <x v="0"/>
    <x v="2"/>
    <x v="0"/>
    <x v="1"/>
    <x v="10"/>
    <n v="0"/>
    <n v="0"/>
    <n v="-4.2949999999999999"/>
    <n v="-4.2949999999999999"/>
    <n v="-4.2949999999999999"/>
    <n v="-4.2949999999999999"/>
    <n v="-5"/>
    <s v="CATIVO"/>
    <n v="0"/>
    <n v="0"/>
    <n v="34"/>
    <n v="53"/>
    <n v="0"/>
    <n v="304.64999999999998"/>
    <n v="206.13"/>
    <m/>
    <n v="403.19134568895447"/>
    <n v="233.88925901057866"/>
    <n v="0"/>
    <n v="-299.18970000000036"/>
    <n v="0"/>
    <n v="-174.65497003305296"/>
    <x v="2"/>
  </r>
  <r>
    <s v="Sistema de Compensação"/>
    <x v="3"/>
    <x v="4"/>
    <x v="1"/>
    <x v="0"/>
    <x v="2"/>
    <x v="0"/>
    <x v="1"/>
    <x v="10"/>
    <n v="0"/>
    <n v="0"/>
    <n v="157.54300000000001"/>
    <n v="157.54300000000001"/>
    <n v="157.54300000000001"/>
    <n v="157.54300000000001"/>
    <n v="257"/>
    <s v="CATIVO"/>
    <n v="0"/>
    <n v="0"/>
    <n v="34"/>
    <n v="53"/>
    <n v="0"/>
    <n v="304.64999999999998"/>
    <n v="206.13"/>
    <m/>
    <n v="403.19134568895447"/>
    <n v="233.88925901057866"/>
    <n v="0"/>
    <n v="10974.445380000014"/>
    <n v="0"/>
    <n v="6406.4418961390611"/>
    <x v="2"/>
  </r>
  <r>
    <s v="PROJETADO"/>
    <x v="3"/>
    <x v="4"/>
    <x v="1"/>
    <x v="0"/>
    <x v="2"/>
    <x v="0"/>
    <x v="1"/>
    <x v="11"/>
    <n v="0"/>
    <n v="0"/>
    <n v="4899.8429999999998"/>
    <n v="4899.8429999999998"/>
    <n v="4899.8429999999998"/>
    <n v="4899.8429999999998"/>
    <n v="21300"/>
    <s v="CATIVO"/>
    <n v="0"/>
    <n v="0"/>
    <n v="34"/>
    <n v="53"/>
    <n v="0"/>
    <n v="304.64999999999998"/>
    <n v="206.13"/>
    <m/>
    <n v="403.19134568895447"/>
    <n v="233.88925901057866"/>
    <n v="0"/>
    <n v="341323.06338000041"/>
    <n v="0"/>
    <n v="199250.74093868787"/>
    <x v="2"/>
  </r>
  <r>
    <s v="PROJETADO"/>
    <x v="3"/>
    <x v="4"/>
    <x v="1"/>
    <x v="0"/>
    <x v="2"/>
    <x v="0"/>
    <x v="1"/>
    <x v="11"/>
    <n v="0"/>
    <n v="0"/>
    <n v="-4.2949999999999999"/>
    <n v="-4.2949999999999999"/>
    <n v="-4.2949999999999999"/>
    <n v="-4.2949999999999999"/>
    <n v="-5"/>
    <s v="CATIVO"/>
    <n v="0"/>
    <n v="0"/>
    <n v="34"/>
    <n v="53"/>
    <n v="0"/>
    <n v="304.64999999999998"/>
    <n v="206.13"/>
    <m/>
    <n v="403.19134568895447"/>
    <n v="233.88925901057866"/>
    <n v="0"/>
    <n v="-299.18970000000036"/>
    <n v="0"/>
    <n v="-174.65497003305296"/>
    <x v="2"/>
  </r>
  <r>
    <s v="PROJETADO"/>
    <x v="3"/>
    <x v="4"/>
    <x v="1"/>
    <x v="0"/>
    <x v="2"/>
    <x v="0"/>
    <x v="1"/>
    <x v="11"/>
    <n v="0"/>
    <n v="0"/>
    <n v="157.54300000000001"/>
    <n v="157.54300000000001"/>
    <n v="157.54300000000001"/>
    <n v="157.54300000000001"/>
    <n v="257"/>
    <s v="CATIVO"/>
    <n v="0"/>
    <n v="0"/>
    <n v="34"/>
    <n v="53"/>
    <n v="0"/>
    <n v="304.64999999999998"/>
    <n v="206.13"/>
    <m/>
    <n v="403.19134568895447"/>
    <n v="233.88925901057866"/>
    <n v="0"/>
    <n v="10974.445380000014"/>
    <n v="0"/>
    <n v="6406.4418961390611"/>
    <x v="2"/>
  </r>
  <r>
    <s v="Regular"/>
    <x v="4"/>
    <x v="4"/>
    <x v="2"/>
    <x v="2"/>
    <x v="2"/>
    <x v="0"/>
    <x v="1"/>
    <x v="0"/>
    <n v="0"/>
    <n v="0"/>
    <n v="2222.6619999999998"/>
    <n v="2089.3022799999999"/>
    <n v="2222.6619999999998"/>
    <n v="2089.3022799999999"/>
    <n v="1381"/>
    <s v="CATIVO"/>
    <n v="0"/>
    <n v="0"/>
    <n v="84"/>
    <n v="7"/>
    <n v="0"/>
    <n v="346.2"/>
    <n v="234.24"/>
    <m/>
    <n v="428.92696349888774"/>
    <n v="248.81836064955178"/>
    <n v="0"/>
    <n v="77407.315876799956"/>
    <n v="0"/>
    <n v="90383.926659745077"/>
    <x v="3"/>
  </r>
  <r>
    <s v="Regular"/>
    <x v="4"/>
    <x v="4"/>
    <x v="2"/>
    <x v="2"/>
    <x v="2"/>
    <x v="0"/>
    <x v="1"/>
    <x v="1"/>
    <n v="0"/>
    <n v="0"/>
    <n v="2071.386"/>
    <n v="1947.10284"/>
    <n v="2071.386"/>
    <n v="1947.10284"/>
    <n v="1384"/>
    <s v="CATIVO"/>
    <n v="0"/>
    <n v="0"/>
    <n v="84"/>
    <n v="7"/>
    <n v="0"/>
    <n v="346.2"/>
    <n v="234.24"/>
    <m/>
    <n v="428.92696349888774"/>
    <n v="248.81836064955178"/>
    <n v="0"/>
    <n v="72138.917390399976"/>
    <n v="0"/>
    <n v="84232.330560392351"/>
    <x v="3"/>
  </r>
  <r>
    <s v="Regular"/>
    <x v="4"/>
    <x v="4"/>
    <x v="2"/>
    <x v="2"/>
    <x v="2"/>
    <x v="0"/>
    <x v="1"/>
    <x v="2"/>
    <n v="0"/>
    <n v="0"/>
    <n v="2112.0059999999999"/>
    <n v="1985.2856400000001"/>
    <n v="2112.0059999999999"/>
    <n v="1985.2856400000001"/>
    <n v="1387"/>
    <s v="CATIVO"/>
    <n v="0"/>
    <n v="0"/>
    <n v="84"/>
    <n v="7"/>
    <n v="0"/>
    <n v="346.2"/>
    <n v="234.24"/>
    <m/>
    <n v="428.92696349888774"/>
    <n v="248.81836064955178"/>
    <n v="0"/>
    <n v="73553.565758399884"/>
    <n v="0"/>
    <n v="85884.131464406819"/>
    <x v="3"/>
  </r>
  <r>
    <s v="Regular"/>
    <x v="4"/>
    <x v="4"/>
    <x v="2"/>
    <x v="2"/>
    <x v="2"/>
    <x v="0"/>
    <x v="1"/>
    <x v="3"/>
    <n v="0"/>
    <n v="0"/>
    <n v="2159.7820000000002"/>
    <n v="2030.19508"/>
    <n v="2159.7820000000002"/>
    <n v="2030.19508"/>
    <n v="1394"/>
    <s v="CATIVO"/>
    <n v="0"/>
    <n v="0"/>
    <n v="84"/>
    <n v="7"/>
    <n v="0"/>
    <n v="346.2"/>
    <n v="234.24"/>
    <m/>
    <n v="428.92696349888774"/>
    <n v="248.81836064955178"/>
    <n v="0"/>
    <n v="75217.431844800114"/>
    <n v="0"/>
    <n v="87826.929100798036"/>
    <x v="3"/>
  </r>
  <r>
    <s v="Regular"/>
    <x v="4"/>
    <x v="4"/>
    <x v="2"/>
    <x v="2"/>
    <x v="2"/>
    <x v="0"/>
    <x v="1"/>
    <x v="4"/>
    <n v="0"/>
    <n v="0"/>
    <n v="2083.1799999999998"/>
    <n v="1958.1892"/>
    <n v="2083.1799999999998"/>
    <n v="1958.1892"/>
    <n v="1399"/>
    <s v="CATIVO"/>
    <n v="0"/>
    <n v="0"/>
    <n v="84"/>
    <n v="7"/>
    <n v="0"/>
    <n v="346.2"/>
    <n v="234.24"/>
    <m/>
    <n v="428.92696349888774"/>
    <n v="248.81836064955178"/>
    <n v="0"/>
    <n v="72549.659951999885"/>
    <n v="0"/>
    <n v="84711.930261572648"/>
    <x v="3"/>
  </r>
  <r>
    <s v="Refaturamento - Regular"/>
    <x v="4"/>
    <x v="4"/>
    <x v="2"/>
    <x v="2"/>
    <x v="2"/>
    <x v="0"/>
    <x v="1"/>
    <x v="4"/>
    <n v="0"/>
    <n v="0"/>
    <n v="0.95099999999999996"/>
    <n v="0.89393999999999996"/>
    <n v="0.95099999999999996"/>
    <n v="0.89393999999999996"/>
    <n v="2"/>
    <s v="CATIVO"/>
    <n v="0"/>
    <n v="0"/>
    <n v="84"/>
    <n v="7"/>
    <n v="0"/>
    <n v="346.2"/>
    <n v="234.24"/>
    <m/>
    <n v="428.92696349888774"/>
    <n v="248.81836064955178"/>
    <n v="0"/>
    <n v="33.119906400000005"/>
    <n v="0"/>
    <n v="38.672148195909955"/>
    <x v="3"/>
  </r>
  <r>
    <s v="Regular"/>
    <x v="4"/>
    <x v="4"/>
    <x v="2"/>
    <x v="2"/>
    <x v="2"/>
    <x v="0"/>
    <x v="1"/>
    <x v="5"/>
    <n v="0"/>
    <n v="0"/>
    <n v="2109.3609999999999"/>
    <n v="1982.79934"/>
    <n v="2109.3609999999999"/>
    <n v="1982.79934"/>
    <n v="1402"/>
    <s v="CATIVO"/>
    <n v="0"/>
    <n v="0"/>
    <n v="84"/>
    <n v="7"/>
    <n v="0"/>
    <n v="346.2"/>
    <n v="234.24"/>
    <m/>
    <n v="428.92696349888774"/>
    <n v="248.81836064955178"/>
    <n v="0"/>
    <n v="73461.449930399918"/>
    <n v="0"/>
    <n v="85776.573281464487"/>
    <x v="3"/>
  </r>
  <r>
    <s v="Regular"/>
    <x v="4"/>
    <x v="4"/>
    <x v="2"/>
    <x v="2"/>
    <x v="2"/>
    <x v="0"/>
    <x v="1"/>
    <x v="6"/>
    <n v="0"/>
    <n v="0"/>
    <n v="2180.8290000000002"/>
    <n v="2049.9792600000001"/>
    <n v="2180.8290000000002"/>
    <n v="2049.9792600000001"/>
    <n v="1408"/>
    <s v="CATIVO"/>
    <n v="0"/>
    <n v="0"/>
    <n v="84"/>
    <n v="7"/>
    <n v="0"/>
    <n v="346.2"/>
    <n v="234.24"/>
    <m/>
    <n v="428.92696349888774"/>
    <n v="248.81836064955178"/>
    <n v="0"/>
    <n v="75950.423085600065"/>
    <n v="0"/>
    <n v="88682.799451039115"/>
    <x v="3"/>
  </r>
  <r>
    <s v="Refaturamento - Regular"/>
    <x v="4"/>
    <x v="4"/>
    <x v="2"/>
    <x v="2"/>
    <x v="2"/>
    <x v="0"/>
    <x v="1"/>
    <x v="6"/>
    <n v="0"/>
    <n v="0"/>
    <n v="0.2"/>
    <n v="0.188"/>
    <n v="0.2"/>
    <n v="0.188"/>
    <n v="2"/>
    <s v="CATIVO"/>
    <n v="0"/>
    <n v="0"/>
    <n v="84"/>
    <n v="7"/>
    <n v="0"/>
    <n v="346.2"/>
    <n v="234.24"/>
    <m/>
    <n v="428.92696349888774"/>
    <n v="248.81836064955178"/>
    <n v="0"/>
    <n v="6.9652800000000061"/>
    <n v="0"/>
    <n v="8.1329438897812807"/>
    <x v="3"/>
  </r>
  <r>
    <s v="Regular"/>
    <x v="4"/>
    <x v="4"/>
    <x v="2"/>
    <x v="2"/>
    <x v="2"/>
    <x v="0"/>
    <x v="1"/>
    <x v="7"/>
    <n v="0"/>
    <n v="0"/>
    <n v="2149.145"/>
    <n v="2020.1963000000001"/>
    <n v="2149.145"/>
    <n v="2020.1963000000001"/>
    <n v="1438"/>
    <s v="CATIVO"/>
    <n v="0"/>
    <n v="0"/>
    <n v="84"/>
    <n v="7"/>
    <n v="0"/>
    <n v="346.2"/>
    <n v="234.24"/>
    <m/>
    <n v="428.92696349888774"/>
    <n v="248.81836064955178"/>
    <n v="0"/>
    <n v="74846.983427999949"/>
    <n v="0"/>
    <n v="87394.378480019834"/>
    <x v="3"/>
  </r>
  <r>
    <s v="Refaturamento - Regular"/>
    <x v="4"/>
    <x v="4"/>
    <x v="2"/>
    <x v="2"/>
    <x v="2"/>
    <x v="0"/>
    <x v="1"/>
    <x v="7"/>
    <n v="0"/>
    <n v="0"/>
    <n v="-3.7999999999999999E-2"/>
    <n v="-3.5720000000000002E-2"/>
    <n v="-3.7999999999999999E-2"/>
    <n v="-3.5720000000000002E-2"/>
    <n v="0"/>
    <s v="CATIVO"/>
    <n v="0"/>
    <n v="0"/>
    <n v="84"/>
    <n v="7"/>
    <n v="0"/>
    <n v="346.2"/>
    <n v="234.24"/>
    <m/>
    <n v="428.92696349888774"/>
    <n v="248.81836064955178"/>
    <n v="0"/>
    <n v="-1.3234031999999984"/>
    <n v="0"/>
    <n v="-1.5452593390584402"/>
    <x v="3"/>
  </r>
  <r>
    <s v="Regular"/>
    <x v="4"/>
    <x v="4"/>
    <x v="2"/>
    <x v="2"/>
    <x v="2"/>
    <x v="0"/>
    <x v="1"/>
    <x v="8"/>
    <n v="0"/>
    <n v="0"/>
    <n v="2166.1439999999998"/>
    <n v="2036.17536"/>
    <n v="2166.1439999999998"/>
    <n v="2036.17536"/>
    <n v="1465"/>
    <s v="CATIVO"/>
    <n v="0"/>
    <n v="0"/>
    <n v="84"/>
    <n v="7"/>
    <n v="0"/>
    <n v="346.2"/>
    <n v="234.24"/>
    <m/>
    <n v="428.92696349888774"/>
    <n v="248.81836064955178"/>
    <n v="0"/>
    <n v="75438.997401599889"/>
    <n v="0"/>
    <n v="88085.63804593173"/>
    <x v="3"/>
  </r>
  <r>
    <s v="Regular"/>
    <x v="4"/>
    <x v="4"/>
    <x v="2"/>
    <x v="2"/>
    <x v="2"/>
    <x v="0"/>
    <x v="1"/>
    <x v="9"/>
    <n v="0"/>
    <n v="0"/>
    <n v="2216.3130000000001"/>
    <n v="2083.3342200000002"/>
    <n v="2216.3130000000001"/>
    <n v="2083.3342200000002"/>
    <n v="1475"/>
    <s v="CATIVO"/>
    <n v="0"/>
    <n v="0"/>
    <n v="84"/>
    <n v="7"/>
    <n v="0"/>
    <n v="346.2"/>
    <n v="234.24"/>
    <m/>
    <n v="428.92696349888774"/>
    <n v="248.81836064955178"/>
    <n v="0"/>
    <n v="77186.203063199951"/>
    <n v="0"/>
    <n v="90125.746355963973"/>
    <x v="3"/>
  </r>
  <r>
    <s v="Regular"/>
    <x v="4"/>
    <x v="4"/>
    <x v="2"/>
    <x v="2"/>
    <x v="2"/>
    <x v="0"/>
    <x v="1"/>
    <x v="10"/>
    <n v="0"/>
    <n v="0"/>
    <n v="2141.5509999999999"/>
    <n v="2013.0579399999999"/>
    <n v="2141.5509999999999"/>
    <n v="2013.0579399999999"/>
    <n v="1482"/>
    <s v="CATIVO"/>
    <n v="0"/>
    <n v="0"/>
    <n v="84"/>
    <n v="7"/>
    <n v="0"/>
    <n v="346.2"/>
    <n v="234.24"/>
    <m/>
    <n v="428.92696349888774"/>
    <n v="248.81836064955178"/>
    <n v="0"/>
    <n v="74582.511746400007"/>
    <n v="0"/>
    <n v="87085.570600524894"/>
    <x v="3"/>
  </r>
  <r>
    <s v="PROJETADO"/>
    <x v="4"/>
    <x v="4"/>
    <x v="2"/>
    <x v="2"/>
    <x v="2"/>
    <x v="0"/>
    <x v="1"/>
    <x v="11"/>
    <n v="0"/>
    <n v="0"/>
    <n v="2141.5509999999999"/>
    <n v="2013.0579399999999"/>
    <n v="2141.5509999999999"/>
    <n v="2013.0579399999999"/>
    <n v="1482"/>
    <s v="CATIVO"/>
    <n v="0"/>
    <n v="0"/>
    <n v="84"/>
    <n v="7"/>
    <n v="0"/>
    <n v="346.2"/>
    <n v="234.24"/>
    <m/>
    <n v="428.92696349888774"/>
    <n v="248.81836064955178"/>
    <n v="0"/>
    <n v="74582.511746400007"/>
    <n v="0"/>
    <n v="87085.57060052489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A5196-CCF7-48DF-B749-051EBB06C44F}" name="Efeito Resumo" cacheId="6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1521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4"/>
        <item x="5"/>
        <item x="1"/>
        <item x="2"/>
        <item x="3"/>
        <item t="default"/>
      </items>
    </pivotField>
    <pivotField axis="axisRow" showAll="0">
      <items count="10">
        <item x="5"/>
        <item x="6"/>
        <item x="8"/>
        <item x="0"/>
        <item x="4"/>
        <item x="1"/>
        <item x="7"/>
        <item x="2"/>
        <item x="3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8">
        <item x="4"/>
        <item x="0"/>
        <item x="5"/>
        <item x="1"/>
        <item x="6"/>
        <item x="3"/>
        <item x="2"/>
        <item t="default"/>
      </items>
    </pivotField>
    <pivotField axis="axisRow" showAll="0">
      <items count="11">
        <item x="5"/>
        <item x="4"/>
        <item x="7"/>
        <item x="6"/>
        <item x="8"/>
        <item x="2"/>
        <item x="0"/>
        <item x="3"/>
        <item x="1"/>
        <item x="9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7">
        <item x="2"/>
        <item x="5"/>
        <item x="4"/>
        <item x="1"/>
        <item x="0"/>
        <item x="3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520">
    <i>
      <x/>
    </i>
    <i r="1">
      <x/>
    </i>
    <i r="2">
      <x/>
    </i>
    <i r="3">
      <x v="3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3">
      <x v="7"/>
    </i>
    <i r="4">
      <x/>
    </i>
    <i r="5">
      <x v="5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7">
      <x v="3"/>
    </i>
    <i r="8">
      <x/>
    </i>
    <i r="8">
      <x v="1"/>
    </i>
    <i r="8">
      <x v="2"/>
    </i>
    <i r="8">
      <x v="3"/>
    </i>
    <i r="1">
      <x v="1"/>
    </i>
    <i r="2">
      <x/>
    </i>
    <i r="3">
      <x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5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4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/>
    </i>
    <i r="5">
      <x v="4"/>
    </i>
    <i r="6">
      <x v="6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7">
      <x v="3"/>
    </i>
    <i r="8">
      <x v="8"/>
    </i>
    <i r="8">
      <x v="9"/>
    </i>
    <i r="5">
      <x v="5"/>
    </i>
    <i r="6">
      <x v="6"/>
    </i>
    <i r="7">
      <x/>
    </i>
    <i r="8">
      <x v="10"/>
    </i>
    <i r="8">
      <x v="11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4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5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2"/>
    </i>
    <i r="5">
      <x v="6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3"/>
    </i>
    <i r="3">
      <x v="4"/>
    </i>
    <i r="4">
      <x v="3"/>
    </i>
    <i r="5">
      <x v="6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4"/>
    </i>
    <i r="3">
      <x v="4"/>
    </i>
    <i r="4">
      <x v="3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4"/>
    </i>
    <i r="4">
      <x v="3"/>
    </i>
    <i r="5">
      <x v="2"/>
    </i>
    <i r="6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7"/>
    </i>
    <i>
      <x v="3"/>
    </i>
    <i r="1">
      <x/>
    </i>
    <i r="2">
      <x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2">
      <x v="5"/>
    </i>
    <i r="3">
      <x/>
    </i>
    <i r="4">
      <x v="3"/>
    </i>
    <i r="5">
      <x v="6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6"/>
    </i>
    <i r="6">
      <x v="6"/>
    </i>
    <i r="7">
      <x/>
    </i>
    <i r="8">
      <x v="4"/>
    </i>
    <i r="7">
      <x v="2"/>
    </i>
    <i r="8">
      <x v="4"/>
    </i>
    <i r="7">
      <x v="3"/>
    </i>
    <i r="8">
      <x v="4"/>
    </i>
    <i>
      <x v="4"/>
    </i>
    <i r="1">
      <x/>
    </i>
    <i r="2">
      <x/>
    </i>
    <i r="3">
      <x v="3"/>
    </i>
    <i r="4">
      <x v="3"/>
    </i>
    <i r="5">
      <x v="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 v="3"/>
    </i>
    <i r="3">
      <x v="4"/>
    </i>
    <i r="4">
      <x v="3"/>
    </i>
    <i r="5">
      <x/>
    </i>
    <i r="6">
      <x v="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1">
      <x v="1"/>
    </i>
    <i r="2">
      <x v="3"/>
    </i>
    <i r="3">
      <x v="4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2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688">
    <format dxfId="130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30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0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30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304">
      <pivotArea type="all" dataOnly="0" outline="0" fieldPosition="0"/>
    </format>
    <format dxfId="1303">
      <pivotArea outline="0" collapsedLevelsAreSubtotals="1" fieldPosition="0"/>
    </format>
    <format dxfId="1302">
      <pivotArea field="16" type="button" dataOnly="0" labelOnly="1" outline="0" axis="axisRow" fieldPosition="0"/>
    </format>
    <format dxfId="1301">
      <pivotArea dataOnly="0" labelOnly="1" fieldPosition="0">
        <references count="1">
          <reference field="16" count="0"/>
        </references>
      </pivotArea>
    </format>
    <format dxfId="130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299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129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129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1296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129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5"/>
          </reference>
        </references>
      </pivotArea>
    </format>
    <format dxfId="129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129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9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9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9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8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288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287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86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85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28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8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128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5"/>
          </reference>
        </references>
      </pivotArea>
    </format>
    <format dxfId="128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5"/>
          </reference>
        </references>
      </pivotArea>
    </format>
    <format dxfId="128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7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78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7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7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7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7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127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27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27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26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6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6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6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65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126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126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5"/>
          </reference>
        </references>
      </pivotArea>
    </format>
    <format dxfId="1262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5"/>
          </reference>
        </references>
      </pivotArea>
    </format>
    <format dxfId="126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6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125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5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5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24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4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24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24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24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3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123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123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23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23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3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2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2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2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122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5"/>
          </reference>
        </references>
      </pivotArea>
    </format>
    <format dxfId="122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5"/>
          </reference>
        </references>
      </pivotArea>
    </format>
    <format dxfId="122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2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5"/>
            <x v="6"/>
          </reference>
          <reference field="16" count="1" selected="0">
            <x v="0"/>
          </reference>
        </references>
      </pivotArea>
    </format>
    <format dxfId="122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2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1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5"/>
            <x v="6"/>
          </reference>
          <reference field="16" count="1" selected="0">
            <x v="0"/>
          </reference>
        </references>
      </pivotArea>
    </format>
    <format dxfId="121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12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2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11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1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119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1"/>
          </reference>
        </references>
      </pivotArea>
    </format>
    <format dxfId="118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2"/>
            <x v="6"/>
          </reference>
          <reference field="16" count="1" selected="0">
            <x v="2"/>
          </reference>
        </references>
      </pivotArea>
    </format>
    <format dxfId="118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2"/>
          </reference>
        </references>
      </pivotArea>
    </format>
    <format dxfId="118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118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118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3"/>
          </reference>
        </references>
      </pivotArea>
    </format>
    <format dxfId="118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118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4"/>
          </reference>
        </references>
      </pivotArea>
    </format>
    <format dxfId="11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5"/>
          </reference>
        </references>
      </pivotArea>
    </format>
    <format dxfId="118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5"/>
          </reference>
        </references>
      </pivotArea>
    </format>
    <format dxfId="118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7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6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5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14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2">
            <x v="2"/>
            <x v="4"/>
          </reference>
          <reference field="16" count="1" selected="0">
            <x v="1"/>
          </reference>
        </references>
      </pivotArea>
    </format>
    <format dxfId="114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3">
            <x v="1"/>
            <x v="5"/>
            <x v="7"/>
          </reference>
          <reference field="16" count="1" selected="0">
            <x v="2"/>
          </reference>
        </references>
      </pivotArea>
    </format>
    <format dxfId="114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113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9"/>
          </reference>
          <reference field="16" count="1" selected="0">
            <x v="2"/>
          </reference>
        </references>
      </pivotArea>
    </format>
    <format dxfId="113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13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4"/>
          </reference>
        </references>
      </pivotArea>
    </format>
    <format dxfId="113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8"/>
          </reference>
          <reference field="16" count="1" selected="0">
            <x v="5"/>
          </reference>
        </references>
      </pivotArea>
    </format>
    <format dxfId="112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2">
            <x v="3"/>
            <x v="8"/>
          </reference>
          <reference field="16" count="1" selected="0">
            <x v="5"/>
          </reference>
        </references>
      </pivotArea>
    </format>
    <format dxfId="112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12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8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11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1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9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9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8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8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8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8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7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78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7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7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4"/>
          </reference>
        </references>
      </pivotArea>
    </format>
    <format dxfId="107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5"/>
          </reference>
        </references>
      </pivotArea>
    </format>
    <format dxfId="107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5"/>
          </reference>
        </references>
      </pivotArea>
    </format>
    <format dxfId="107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5"/>
          </reference>
        </references>
      </pivotArea>
    </format>
    <format dxfId="10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9">
            <x v="0"/>
            <x v="1"/>
            <x v="2"/>
            <x v="3"/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0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9">
            <x v="0"/>
            <x v="1"/>
            <x v="2"/>
            <x v="3"/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0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6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4">
            <x v="0"/>
            <x v="1"/>
            <x v="2"/>
            <x v="3"/>
          </reference>
          <reference field="16" count="1" selected="0">
            <x v="0"/>
          </reference>
        </references>
      </pivotArea>
    </format>
    <format dxfId="10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4">
            <x v="0"/>
            <x v="1"/>
            <x v="2"/>
            <x v="3"/>
          </reference>
          <reference field="16" count="1" selected="0">
            <x v="0"/>
          </reference>
        </references>
      </pivotArea>
    </format>
    <format dxfId="10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5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4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4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4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2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2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1"/>
          </reference>
          <reference field="8" count="4"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102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2">
            <x v="8"/>
            <x v="9"/>
          </reference>
          <reference field="16" count="1" selected="0">
            <x v="0"/>
          </reference>
        </references>
      </pivotArea>
    </format>
    <format dxfId="102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101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1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1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0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100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9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9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9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9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9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9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9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9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7"/>
          </reference>
          <reference field="16" count="1" selected="0">
            <x v="2"/>
          </reference>
        </references>
      </pivotArea>
    </format>
    <format dxfId="99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8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8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8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8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8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8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98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97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97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7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7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7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7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7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7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97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97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9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9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5"/>
          </reference>
        </references>
      </pivotArea>
    </format>
    <format dxfId="96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5"/>
          </reference>
        </references>
      </pivotArea>
    </format>
    <format dxfId="96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5"/>
          </reference>
        </references>
      </pivotArea>
    </format>
    <format dxfId="9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5"/>
          </reference>
        </references>
      </pivotArea>
    </format>
    <format dxfId="96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2">
            <x v="10"/>
            <x v="11"/>
          </reference>
          <reference field="16" count="1" selected="0">
            <x v="5"/>
          </reference>
        </references>
      </pivotArea>
    </format>
    <format dxfId="96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62">
      <pivotArea type="all" dataOnly="0" outline="0" fieldPosition="0"/>
    </format>
    <format dxfId="961">
      <pivotArea outline="0" collapsedLevelsAreSubtotals="1" fieldPosition="0"/>
    </format>
    <format dxfId="960">
      <pivotArea field="16" type="button" dataOnly="0" labelOnly="1" outline="0" axis="axisRow" fieldPosition="0"/>
    </format>
    <format dxfId="959">
      <pivotArea dataOnly="0" labelOnly="1" fieldPosition="0">
        <references count="1">
          <reference field="16" count="0"/>
        </references>
      </pivotArea>
    </format>
    <format dxfId="95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957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956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95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954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953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5"/>
          </reference>
        </references>
      </pivotArea>
    </format>
    <format dxfId="95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95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50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49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48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47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4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45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44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4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94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94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94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5"/>
          </reference>
        </references>
      </pivotArea>
    </format>
    <format dxfId="93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5"/>
          </reference>
        </references>
      </pivotArea>
    </format>
    <format dxfId="93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3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36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3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3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3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27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92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92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92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923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92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92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5"/>
          </reference>
        </references>
      </pivotArea>
    </format>
    <format dxfId="92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5"/>
          </reference>
        </references>
      </pivotArea>
    </format>
    <format dxfId="91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89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89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88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8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8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8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8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88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5"/>
          </reference>
        </references>
      </pivotArea>
    </format>
    <format dxfId="88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5"/>
          </reference>
        </references>
      </pivotArea>
    </format>
    <format dxfId="88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5"/>
            <x v="6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5"/>
            <x v="6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6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1"/>
          </reference>
        </references>
      </pivotArea>
    </format>
    <format dxfId="84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2"/>
            <x v="6"/>
          </reference>
          <reference field="16" count="1" selected="0">
            <x v="2"/>
          </reference>
        </references>
      </pivotArea>
    </format>
    <format dxfId="84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2"/>
          </reference>
        </references>
      </pivotArea>
    </format>
    <format dxfId="84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84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84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6"/>
          </reference>
          <reference field="16" count="1" selected="0">
            <x v="3"/>
          </reference>
        </references>
      </pivotArea>
    </format>
    <format dxfId="84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3"/>
            <x v="6"/>
          </reference>
          <reference field="16" count="1" selected="0">
            <x v="3"/>
          </reference>
        </references>
      </pivotArea>
    </format>
    <format dxfId="84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4"/>
          </reference>
        </references>
      </pivotArea>
    </format>
    <format dxfId="84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5"/>
          </reference>
        </references>
      </pivotArea>
    </format>
    <format dxfId="83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5"/>
          </reference>
        </references>
      </pivotArea>
    </format>
    <format dxfId="83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2">
            <x v="2"/>
            <x v="4"/>
          </reference>
          <reference field="16" count="1" selected="0">
            <x v="1"/>
          </reference>
        </references>
      </pivotArea>
    </format>
    <format dxfId="799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3">
            <x v="1"/>
            <x v="5"/>
            <x v="7"/>
          </reference>
          <reference field="16" count="1" selected="0">
            <x v="2"/>
          </reference>
        </references>
      </pivotArea>
    </format>
    <format dxfId="79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79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9"/>
          </reference>
          <reference field="16" count="1" selected="0">
            <x v="2"/>
          </reference>
        </references>
      </pivotArea>
    </format>
    <format dxfId="79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9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78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4"/>
          </reference>
        </references>
      </pivotArea>
    </format>
    <format dxfId="78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8"/>
          </reference>
          <reference field="16" count="1" selected="0">
            <x v="5"/>
          </reference>
        </references>
      </pivotArea>
    </format>
    <format dxfId="78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2">
            <x v="3"/>
            <x v="8"/>
          </reference>
          <reference field="16" count="1" selected="0">
            <x v="5"/>
          </reference>
        </references>
      </pivotArea>
    </format>
    <format dxfId="78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4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4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4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4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4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4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4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4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3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4"/>
          </reference>
        </references>
      </pivotArea>
    </format>
    <format dxfId="73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5"/>
          </reference>
        </references>
      </pivotArea>
    </format>
    <format dxfId="73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5"/>
          </reference>
        </references>
      </pivotArea>
    </format>
    <format dxfId="73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5"/>
          </reference>
        </references>
      </pivotArea>
    </format>
    <format dxfId="7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9">
            <x v="0"/>
            <x v="1"/>
            <x v="2"/>
            <x v="3"/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9">
            <x v="0"/>
            <x v="1"/>
            <x v="2"/>
            <x v="3"/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4">
            <x v="0"/>
            <x v="1"/>
            <x v="2"/>
            <x v="3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4">
            <x v="0"/>
            <x v="1"/>
            <x v="2"/>
            <x v="3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0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0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0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0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0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0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8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1"/>
          </reference>
          <reference field="8" count="4"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2">
            <x v="8"/>
            <x v="9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5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5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5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5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5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5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7"/>
          </reference>
          <reference field="16" count="1" selected="0">
            <x v="2"/>
          </reference>
        </references>
      </pivotArea>
    </format>
    <format dxfId="64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4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4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64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4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4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64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4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4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6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63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6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6">
            <x v="0"/>
            <x v="1"/>
            <x v="2"/>
            <x v="3"/>
            <x v="4"/>
            <x v="5"/>
          </reference>
          <reference field="16" count="1" selected="0">
            <x v="3"/>
          </reference>
        </references>
      </pivotArea>
    </format>
    <format dxfId="6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3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63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3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3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63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0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62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62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6"/>
          </reference>
          <reference field="7" count="1" selected="0">
            <x v="3"/>
          </reference>
          <reference field="8" count="1">
            <x v="4"/>
          </reference>
          <reference field="16" count="1" selected="0">
            <x v="3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6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5"/>
          </reference>
        </references>
      </pivotArea>
    </format>
    <format dxfId="62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5"/>
          </reference>
        </references>
      </pivotArea>
    </format>
    <format dxfId="62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5"/>
          </reference>
        </references>
      </pivotArea>
    </format>
    <format dxfId="62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5"/>
          </reference>
        </references>
      </pivotArea>
    </format>
    <format dxfId="62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2">
            <x v="10"/>
            <x v="11"/>
          </reference>
          <reference field="16" count="1" selected="0">
            <x v="5"/>
          </reference>
        </references>
      </pivotArea>
    </format>
    <format dxfId="62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73C51-165B-41BF-BDB2-06CE5447A91C}" name="Subsidio Resumo" cacheId="6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787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7">
        <item x="0"/>
        <item x="5"/>
        <item x="4"/>
        <item x="1"/>
        <item x="2"/>
        <item x="3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9">
        <item x="1"/>
        <item x="2"/>
        <item x="0"/>
        <item x="3"/>
        <item x="4"/>
        <item x="5"/>
        <item x="6"/>
        <item x="7"/>
        <item t="default"/>
      </items>
    </pivotField>
    <pivotField axis="axisRow" showAll="0">
      <items count="7">
        <item x="3"/>
        <item x="4"/>
        <item x="0"/>
        <item x="5"/>
        <item x="1"/>
        <item x="2"/>
        <item t="default"/>
      </items>
    </pivotField>
    <pivotField axis="axisRow" showAll="0">
      <items count="9">
        <item x="5"/>
        <item x="4"/>
        <item x="6"/>
        <item x="2"/>
        <item x="0"/>
        <item x="3"/>
        <item x="1"/>
        <item x="7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9">
        <item x="3"/>
        <item x="7"/>
        <item x="0"/>
        <item x="4"/>
        <item x="5"/>
        <item x="1"/>
        <item x="2"/>
        <item x="6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786">
    <i>
      <x/>
    </i>
    <i r="1">
      <x/>
    </i>
    <i r="2">
      <x/>
    </i>
    <i r="3">
      <x v="4"/>
    </i>
    <i r="4">
      <x v="1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7">
      <x v="3"/>
    </i>
    <i r="8">
      <x/>
    </i>
    <i r="8">
      <x v="1"/>
    </i>
    <i r="8">
      <x v="2"/>
    </i>
    <i r="8">
      <x v="3"/>
    </i>
    <i r="1">
      <x v="1"/>
    </i>
    <i r="2">
      <x/>
    </i>
    <i r="3">
      <x v="4"/>
    </i>
    <i r="4">
      <x v="1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4"/>
    </i>
    <i r="4">
      <x v="1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4"/>
    </i>
    <i r="4">
      <x v="1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2"/>
    </i>
    <i r="3">
      <x v="2"/>
    </i>
    <i r="4">
      <x v="4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 v="2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2"/>
    </i>
    <i r="5">
      <x v="2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2"/>
    </i>
    <i r="5">
      <x v="2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2"/>
    </i>
    <i r="5">
      <x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1">
      <x v="1"/>
    </i>
    <i r="2">
      <x v="3"/>
    </i>
    <i r="3">
      <x v="1"/>
    </i>
    <i r="4">
      <x v="2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 v="10"/>
    </i>
    <i r="8">
      <x v="11"/>
    </i>
    <i>
      <x v="4"/>
    </i>
    <i r="1">
      <x/>
    </i>
    <i r="2">
      <x v="4"/>
    </i>
    <i r="3">
      <x v="1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5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1"/>
    </i>
    <i r="4">
      <x v="2"/>
    </i>
    <i r="5">
      <x v="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7"/>
    </i>
    <i>
      <x v="5"/>
    </i>
    <i r="1">
      <x/>
    </i>
    <i r="2">
      <x/>
    </i>
    <i r="3">
      <x v="3"/>
    </i>
    <i r="4">
      <x/>
    </i>
    <i r="5">
      <x v="4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5"/>
    </i>
    <i r="3">
      <x v="3"/>
    </i>
    <i r="4">
      <x/>
    </i>
    <i r="5">
      <x v="4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4"/>
    </i>
    <i r="6">
      <x v="4"/>
    </i>
    <i r="7">
      <x/>
    </i>
    <i r="8">
      <x v="10"/>
    </i>
    <i r="8">
      <x v="11"/>
    </i>
    <i r="2">
      <x v="2"/>
    </i>
    <i r="3">
      <x v="3"/>
    </i>
    <i r="4">
      <x/>
    </i>
    <i r="5">
      <x v="4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/>
    </i>
    <i r="2">
      <x/>
    </i>
    <i r="3">
      <x v="3"/>
    </i>
    <i r="4">
      <x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2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3"/>
    </i>
    <i r="6">
      <x v="4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7">
      <x v="3"/>
    </i>
    <i r="8">
      <x v="8"/>
    </i>
    <i r="8">
      <x v="9"/>
    </i>
    <i r="5">
      <x v="4"/>
    </i>
    <i r="6">
      <x v="4"/>
    </i>
    <i r="7">
      <x/>
    </i>
    <i r="8">
      <x v="10"/>
    </i>
    <i r="8">
      <x v="11"/>
    </i>
    <i r="4">
      <x v="2"/>
    </i>
    <i r="5">
      <x v="5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3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5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7"/>
    </i>
    <i r="1">
      <x v="2"/>
    </i>
    <i r="2">
      <x v="2"/>
    </i>
    <i r="3">
      <x v="2"/>
    </i>
    <i r="4">
      <x v="3"/>
    </i>
    <i r="5">
      <x v="5"/>
    </i>
    <i r="6">
      <x v="4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442">
    <format dxfId="620">
      <pivotArea outline="0" collapsedLevelsAreSubtotals="1" fieldPosition="0"/>
    </format>
    <format dxfId="61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18">
      <pivotArea type="all" dataOnly="0" outline="0" fieldPosition="0"/>
    </format>
    <format dxfId="617">
      <pivotArea outline="0" collapsedLevelsAreSubtotals="1" fieldPosition="0"/>
    </format>
    <format dxfId="616">
      <pivotArea field="31" type="button" dataOnly="0" labelOnly="1" outline="0" axis="axisRow" fieldPosition="0"/>
    </format>
    <format dxfId="615">
      <pivotArea dataOnly="0" labelOnly="1" fieldPosition="0">
        <references count="1">
          <reference field="31" count="0"/>
        </references>
      </pivotArea>
    </format>
    <format dxfId="614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613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612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611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610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4"/>
          </reference>
        </references>
      </pivotArea>
    </format>
    <format dxfId="609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608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607">
      <pivotArea dataOnly="0" labelOnly="1" fieldPosition="0">
        <references count="2">
          <reference field="1" count="1">
            <x v="2"/>
          </reference>
          <reference field="31" count="1" selected="0">
            <x v="7"/>
          </reference>
        </references>
      </pivotArea>
    </format>
    <format dxfId="60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60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0"/>
          </reference>
        </references>
      </pivotArea>
    </format>
    <format dxfId="60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60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60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60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2"/>
          </reference>
        </references>
      </pivotArea>
    </format>
    <format dxfId="60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9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98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597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59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595">
      <pivotArea dataOnly="0" labelOnly="1" fieldPosition="0">
        <references count="3">
          <reference field="1" count="1" selected="0">
            <x v="1"/>
          </reference>
          <reference field="2" count="1">
            <x v="5"/>
          </reference>
          <reference field="31" count="1" selected="0">
            <x v="5"/>
          </reference>
        </references>
      </pivotArea>
    </format>
    <format dxfId="594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59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6"/>
          </reference>
        </references>
      </pivotArea>
    </format>
    <format dxfId="59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6"/>
          </reference>
        </references>
      </pivotArea>
    </format>
    <format dxfId="59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6"/>
          </reference>
        </references>
      </pivotArea>
    </format>
    <format dxfId="590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7"/>
          </reference>
        </references>
      </pivotArea>
    </format>
    <format dxfId="58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8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87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86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8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8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8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82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8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8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7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57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57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76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7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7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57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571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57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56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56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7"/>
          </reference>
        </references>
      </pivotArea>
    </format>
    <format dxfId="56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56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56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56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55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55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55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55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55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554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55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55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55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6"/>
          </reference>
        </references>
      </pivotArea>
    </format>
    <format dxfId="55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6"/>
          </reference>
        </references>
      </pivotArea>
    </format>
    <format dxfId="54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54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54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54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7"/>
          </reference>
        </references>
      </pivotArea>
    </format>
    <format dxfId="54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54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54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54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54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54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53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53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53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53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53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53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53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53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1"/>
            <x v="5"/>
          </reference>
          <reference field="31" count="1" selected="0">
            <x v="4"/>
          </reference>
        </references>
      </pivotArea>
    </format>
    <format dxfId="53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53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52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52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52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52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2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2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2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2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3"/>
            <x v="4"/>
          </reference>
          <reference field="31" count="1" selected="0">
            <x v="6"/>
          </reference>
        </references>
      </pivotArea>
    </format>
    <format dxfId="52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2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51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51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5"/>
          </reference>
          <reference field="31" count="1" selected="0">
            <x v="7"/>
          </reference>
        </references>
      </pivotArea>
    </format>
    <format dxfId="51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51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51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51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51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51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5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51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50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50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50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50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3"/>
          </reference>
        </references>
      </pivotArea>
    </format>
    <format dxfId="50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2">
            <x v="2"/>
            <x v="6"/>
          </reference>
          <reference field="31" count="1" selected="0">
            <x v="3"/>
          </reference>
        </references>
      </pivotArea>
    </format>
    <format dxfId="50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3">
            <x v="1"/>
            <x v="3"/>
            <x v="5"/>
          </reference>
          <reference field="31" count="1" selected="0">
            <x v="4"/>
          </reference>
        </references>
      </pivotArea>
    </format>
    <format dxfId="50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50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7"/>
          </reference>
          <reference field="31" count="1" selected="0">
            <x v="4"/>
          </reference>
        </references>
      </pivotArea>
    </format>
    <format dxfId="50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50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49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49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49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9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8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48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7"/>
          </reference>
        </references>
      </pivotArea>
    </format>
    <format dxfId="48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8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8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8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8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8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8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8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7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7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7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47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7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7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7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7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6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6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46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46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46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6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6"/>
          </reference>
        </references>
      </pivotArea>
    </format>
    <format dxfId="46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6"/>
          </reference>
        </references>
      </pivotArea>
    </format>
    <format dxfId="46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6"/>
          </reference>
        </references>
      </pivotArea>
    </format>
    <format dxfId="46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6"/>
          </reference>
        </references>
      </pivotArea>
    </format>
    <format dxfId="46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45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6"/>
          </reference>
        </references>
      </pivotArea>
    </format>
    <format dxfId="45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45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5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5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7"/>
          </reference>
        </references>
      </pivotArea>
    </format>
    <format dxfId="4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4">
            <x v="0"/>
            <x v="1"/>
            <x v="2"/>
            <x v="3"/>
          </reference>
          <reference field="31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4">
            <x v="0"/>
            <x v="1"/>
            <x v="2"/>
            <x v="3"/>
          </reference>
          <reference field="31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4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4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4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4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4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4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3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3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31" count="1" selected="0">
            <x v="3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2">
            <x v="10"/>
            <x v="11"/>
          </reference>
          <reference field="31" count="1" selected="0">
            <x v="3"/>
          </reference>
        </references>
      </pivotArea>
    </format>
    <format dxfId="42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7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7"/>
          </reference>
          <reference field="31" count="1" selected="0">
            <x v="4"/>
          </reference>
        </references>
      </pivotArea>
    </format>
    <format dxfId="4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2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42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41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41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41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41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41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41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4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6"/>
          </reference>
        </references>
      </pivotArea>
    </format>
    <format dxfId="4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4">
            <x v="6"/>
            <x v="7"/>
            <x v="8"/>
            <x v="9"/>
          </reference>
          <reference field="31" count="1" selected="0">
            <x v="6"/>
          </reference>
        </references>
      </pivotArea>
    </format>
    <format dxfId="4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3"/>
          </reference>
          <reference field="8" count="2">
            <x v="8"/>
            <x v="9"/>
          </reference>
          <reference field="31" count="1" selected="0">
            <x v="6"/>
          </reference>
        </references>
      </pivotArea>
    </format>
    <format dxfId="40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6"/>
          </reference>
        </references>
      </pivotArea>
    </format>
    <format dxfId="40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40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6"/>
          </reference>
        </references>
      </pivotArea>
    </format>
    <format dxfId="40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40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40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40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7"/>
          </reference>
        </references>
      </pivotArea>
    </format>
    <format dxfId="39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31" type="button" dataOnly="0" labelOnly="1" outline="0" axis="axisRow" fieldPosition="0"/>
    </format>
    <format dxfId="395">
      <pivotArea dataOnly="0" labelOnly="1" fieldPosition="0">
        <references count="1">
          <reference field="31" count="0"/>
        </references>
      </pivotArea>
    </format>
    <format dxfId="394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393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92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391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390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4"/>
          </reference>
        </references>
      </pivotArea>
    </format>
    <format dxfId="389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88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387">
      <pivotArea dataOnly="0" labelOnly="1" fieldPosition="0">
        <references count="2">
          <reference field="1" count="1">
            <x v="2"/>
          </reference>
          <reference field="31" count="1" selected="0">
            <x v="7"/>
          </reference>
        </references>
      </pivotArea>
    </format>
    <format dxfId="38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8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0"/>
          </reference>
        </references>
      </pivotArea>
    </format>
    <format dxfId="38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8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8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8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2"/>
          </reference>
        </references>
      </pivotArea>
    </format>
    <format dxfId="38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7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78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77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7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3">
          <reference field="1" count="1" selected="0">
            <x v="1"/>
          </reference>
          <reference field="2" count="1">
            <x v="5"/>
          </reference>
          <reference field="31" count="1" selected="0">
            <x v="5"/>
          </reference>
        </references>
      </pivotArea>
    </format>
    <format dxfId="374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7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6"/>
          </reference>
        </references>
      </pivotArea>
    </format>
    <format dxfId="37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31" count="1" selected="0">
            <x v="6"/>
          </reference>
        </references>
      </pivotArea>
    </format>
    <format dxfId="37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6"/>
          </reference>
        </references>
      </pivotArea>
    </format>
    <format dxfId="370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7"/>
          </reference>
        </references>
      </pivotArea>
    </format>
    <format dxfId="36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7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6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6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6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62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6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6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5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35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35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351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35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34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6"/>
          </reference>
        </references>
      </pivotArea>
    </format>
    <format dxfId="34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7"/>
          </reference>
        </references>
      </pivotArea>
    </format>
    <format dxfId="34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4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4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3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3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3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3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334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33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6"/>
          </reference>
        </references>
      </pivotArea>
    </format>
    <format dxfId="33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6"/>
          </reference>
        </references>
      </pivotArea>
    </format>
    <format dxfId="32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32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32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6"/>
          </reference>
        </references>
      </pivotArea>
    </format>
    <format dxfId="32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7"/>
          </reference>
        </references>
      </pivotArea>
    </format>
    <format dxfId="32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32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32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5"/>
          </reference>
          <reference field="31" count="1" selected="0">
            <x v="0"/>
          </reference>
        </references>
      </pivotArea>
    </format>
    <format dxfId="32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5"/>
          </reference>
          <reference field="31" count="1" selected="0">
            <x v="1"/>
          </reference>
        </references>
      </pivotArea>
    </format>
    <format dxfId="31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31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31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31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31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31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1"/>
            <x v="5"/>
          </reference>
          <reference field="31" count="1" selected="0">
            <x v="4"/>
          </reference>
        </references>
      </pivotArea>
    </format>
    <format dxfId="31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1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30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30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30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30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3"/>
            <x v="4"/>
          </reference>
          <reference field="31" count="1" selected="0">
            <x v="6"/>
          </reference>
        </references>
      </pivotArea>
    </format>
    <format dxfId="3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3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5"/>
          </reference>
          <reference field="31" count="1" selected="0">
            <x v="6"/>
          </reference>
        </references>
      </pivotArea>
    </format>
    <format dxfId="29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5"/>
          </reference>
          <reference field="31" count="1" selected="0">
            <x v="7"/>
          </reference>
        </references>
      </pivotArea>
    </format>
    <format dxfId="29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0"/>
          </reference>
        </references>
      </pivotArea>
    </format>
    <format dxfId="29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1"/>
          </reference>
        </references>
      </pivotArea>
    </format>
    <format dxfId="28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28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  <reference field="31" count="1" selected="0">
            <x v="2"/>
          </reference>
        </references>
      </pivotArea>
    </format>
    <format dxfId="28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3"/>
          </reference>
        </references>
      </pivotArea>
    </format>
    <format dxfId="28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2">
            <x v="2"/>
            <x v="6"/>
          </reference>
          <reference field="31" count="1" selected="0">
            <x v="3"/>
          </reference>
        </references>
      </pivotArea>
    </format>
    <format dxfId="28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3">
            <x v="1"/>
            <x v="3"/>
            <x v="5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28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7"/>
          </reference>
          <reference field="31" count="1" selected="0">
            <x v="4"/>
          </reference>
        </references>
      </pivotArea>
    </format>
    <format dxfId="28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27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27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5"/>
          </reference>
        </references>
      </pivotArea>
    </format>
    <format dxfId="2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7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6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6"/>
          </reference>
        </references>
      </pivotArea>
    </format>
    <format dxfId="26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4"/>
          </reference>
          <reference field="31" count="1" selected="0">
            <x v="7"/>
          </reference>
        </references>
      </pivotArea>
    </format>
    <format dxfId="26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6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6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6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6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6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6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6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5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5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5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5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5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5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5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5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5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5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4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4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24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24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24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4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6"/>
          </reference>
        </references>
      </pivotArea>
    </format>
    <format dxfId="24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2">
            <x v="0"/>
            <x v="3"/>
          </reference>
          <reference field="31" count="1" selected="0">
            <x v="6"/>
          </reference>
        </references>
      </pivotArea>
    </format>
    <format dxfId="24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6"/>
          </reference>
        </references>
      </pivotArea>
    </format>
    <format dxfId="24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2"/>
            <x v="3"/>
          </reference>
          <reference field="31" count="1" selected="0">
            <x v="6"/>
          </reference>
        </references>
      </pivotArea>
    </format>
    <format dxfId="24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23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31" count="1" selected="0">
            <x v="6"/>
          </reference>
        </references>
      </pivotArea>
    </format>
    <format dxfId="23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3">
            <x v="0"/>
            <x v="1"/>
            <x v="3"/>
          </reference>
          <reference field="31" count="1" selected="0">
            <x v="6"/>
          </reference>
        </references>
      </pivotArea>
    </format>
    <format dxfId="2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23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23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7"/>
          </reference>
        </references>
      </pivotArea>
    </format>
    <format dxfId="2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4">
            <x v="0"/>
            <x v="1"/>
            <x v="2"/>
            <x v="3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4">
            <x v="0"/>
            <x v="1"/>
            <x v="2"/>
            <x v="3"/>
          </reference>
          <reference field="31" count="1" selected="0">
            <x v="0"/>
          </reference>
        </references>
      </pivotArea>
    </format>
    <format dxfId="2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3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2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2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2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2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2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2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2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2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2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2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1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1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1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31" count="1" selected="0">
            <x v="3"/>
          </reference>
        </references>
      </pivotArea>
    </format>
    <format dxfId="21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1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1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20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2">
            <x v="10"/>
            <x v="11"/>
          </reference>
          <reference field="31" count="1" selected="0">
            <x v="3"/>
          </reference>
        </references>
      </pivotArea>
    </format>
    <format dxfId="20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0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0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0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7"/>
          </reference>
          <reference field="7" count="1" selected="0">
            <x v="2"/>
          </reference>
          <reference field="8" count="6">
            <x v="0"/>
            <x v="1"/>
            <x v="2"/>
            <x v="3"/>
            <x v="4"/>
            <x v="7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0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0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9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19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19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19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19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19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19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19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19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19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18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6"/>
          </reference>
        </references>
      </pivotArea>
    </format>
    <format dxfId="18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4">
            <x v="6"/>
            <x v="7"/>
            <x v="8"/>
            <x v="9"/>
          </reference>
          <reference field="31" count="1" selected="0">
            <x v="6"/>
          </reference>
        </references>
      </pivotArea>
    </format>
    <format dxfId="18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3"/>
          </reference>
          <reference field="8" count="2">
            <x v="8"/>
            <x v="9"/>
          </reference>
          <reference field="31" count="1" selected="0">
            <x v="6"/>
          </reference>
        </references>
      </pivotArea>
    </format>
    <format dxfId="18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6"/>
          </reference>
        </references>
      </pivotArea>
    </format>
    <format dxfId="18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31" count="1" selected="0">
            <x v="6"/>
          </reference>
        </references>
      </pivotArea>
    </format>
    <format dxfId="18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6"/>
          </reference>
        </references>
      </pivotArea>
    </format>
    <format dxfId="18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3"/>
          </reference>
          <reference field="8" count="0"/>
          <reference field="31" count="1" selected="0">
            <x v="6"/>
          </reference>
        </references>
      </pivotArea>
    </format>
    <format dxfId="18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18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6"/>
          </reference>
        </references>
      </pivotArea>
    </format>
    <format dxfId="1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7"/>
          </reference>
        </references>
      </pivotArea>
    </format>
    <format dxfId="17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FEFA337-7354-49CC-B8E7-5B6130EDCF0E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569CA91-E50A-419F-8C1F-0AF02EDD59ED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2A04616B-7DD1-4E5D-B253-049E7CEFF06F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B1D930-1CE1-4138-B192-3031E2A7C46E}" name="Efeito" displayName="Efeito" ref="A1:AG1866" totalsRowShown="0" headerRowDxfId="1377" dataDxfId="1376">
  <autoFilter ref="A1:AG1866" xr:uid="{E0B1D930-1CE1-4138-B192-3031E2A7C46E}"/>
  <tableColumns count="33">
    <tableColumn id="1" xr3:uid="{C9CDF5B4-F0C7-4298-808A-6B2DDBA5DBEB}" name="TipoMercado" dataDxfId="1375"/>
    <tableColumn id="2" xr3:uid="{01977D6E-28B6-4157-87F5-E9402845D7D7}" name="Subgrupo" dataDxfId="1374"/>
    <tableColumn id="3" xr3:uid="{E63DB978-8CB7-4E7E-97CC-0402F6C392A0}" name="Modalidade" dataDxfId="1373"/>
    <tableColumn id="4" xr3:uid="{4EA8D42F-DA7C-4D82-9B64-C094B2EE94FF}" name="Classe" dataDxfId="1372"/>
    <tableColumn id="5" xr3:uid="{0F600233-E761-4040-BF1C-310C43236D4F}" name="Subclasse" dataDxfId="1371"/>
    <tableColumn id="6" xr3:uid="{5E3E8377-C26D-4A7F-8A9F-5D4E0CF62C43}" name="Detalhe" dataDxfId="1370"/>
    <tableColumn id="7" xr3:uid="{390111C6-0F4B-4470-A9E7-AD585A9AC955}" name="Agente" dataDxfId="1369"/>
    <tableColumn id="8" xr3:uid="{8D3F975B-1336-458A-926D-0985E325809E}" name="Posto" dataDxfId="1368"/>
    <tableColumn id="9" xr3:uid="{3F196564-8DE6-4099-83B6-DFB4347F74B1}" name="AnoMes" dataDxfId="1367"/>
    <tableColumn id="10" xr3:uid="{8DFC8D67-13FE-4E3D-9026-FDEE667764E5}" name="D" dataDxfId="1366"/>
    <tableColumn id="11" xr3:uid="{DA38B897-3E8B-4F3F-9C62-2E03E3672617}" name="Daj" dataDxfId="1365"/>
    <tableColumn id="12" xr3:uid="{93F26765-789C-4BE6-82CC-1A1A9622B4C0}" name="TUSD_E" dataDxfId="1364"/>
    <tableColumn id="13" xr3:uid="{A0BBBBF3-223F-4E48-9E2E-23C44B3B06F3}" name="TUSD_Eaj" dataDxfId="1363"/>
    <tableColumn id="14" xr3:uid="{16EE6383-FA6C-43CC-ACF8-C0466D177ADE}" name="TE_E" dataDxfId="1362"/>
    <tableColumn id="15" xr3:uid="{A8DE4968-71B9-4B1F-B4E9-F1A90167BB6D}" name="TE_Eaj" dataDxfId="1361"/>
    <tableColumn id="16" xr3:uid="{5D767626-1A93-45CC-887B-2C1D65113095}" name="UC" dataDxfId="1360"/>
    <tableColumn id="17" xr3:uid="{1FC7EA18-08D8-4365-9916-DAB6CFF063C3}" name="OPÇÃO" dataDxfId="1359"/>
    <tableColumn id="18" xr3:uid="{C5E4D9B9-4B07-4B0B-AF8E-F1F4D7ABF991}" name="CóD. AUX." dataDxfId="1358"/>
    <tableColumn id="19" xr3:uid="{2F471D27-45C7-4040-9020-69302BB0D44D}" name="CóD. AUX. TUSD R$/kW" dataDxfId="1357"/>
    <tableColumn id="20" xr3:uid="{3867B9F4-79FD-4632-9A1D-56D91B4FBE64}" name="CóD. AUX. TUSD R$/MWh" dataDxfId="1356"/>
    <tableColumn id="21" xr3:uid="{B52CCCDA-C637-475B-9F1C-595667C41BD0}" name="CóD. AUX. TE R$/MWh" dataDxfId="1355"/>
    <tableColumn id="22" xr3:uid="{8BF39C93-C2D7-48F4-B94B-07E369A20988}" name="TUSD (R$/kW)" dataDxfId="1354"/>
    <tableColumn id="23" xr3:uid="{0AC74DA1-76D5-4155-A54A-C4F5EBCD4498}" name="TUSD (R$/MWh)" dataDxfId="1353"/>
    <tableColumn id="24" xr3:uid="{978E40FE-7A8B-4120-958F-D8B8811B443F}" name="TE (R$/MWh)" dataDxfId="1352"/>
    <tableColumn id="25" xr3:uid="{325400C7-D88B-4318-A94C-007571DC335F}" name="TUSD (R$/kW) NOVA" dataDxfId="1351"/>
    <tableColumn id="26" xr3:uid="{3E0A5F7C-8494-47FA-9757-DA8698A8F38B}" name="TUSD (R$/MWh) NOVA" dataDxfId="1350">
      <calculatedColumnFormula>('TUSD BE'!$AM$70+'TUSD BF'!$AM$70+'TUSD CVA'!$AM$70)*1</calculatedColumnFormula>
    </tableColumn>
    <tableColumn id="27" xr3:uid="{7A0542A2-0061-4C00-9DE0-2FED630DB2AC}" name="TE (R$/MWh) NOVA" dataDxfId="1349">
      <calculatedColumnFormula>('TE BE'!$AA$49+'TE BF'!$AA$49+'TE CVA'!$AA$49)*1</calculatedColumnFormula>
    </tableColumn>
    <tableColumn id="28" xr3:uid="{AE9F576B-B524-41B9-8077-2A786E0444D9}" name="RA0 ou RV - TUSD (kW)" dataDxfId="1348"/>
    <tableColumn id="29" xr3:uid="{F0D86A74-5103-4049-BD2C-82107BE8396F}" name="RA0 ou RV - TUSD (MWh)" dataDxfId="1347"/>
    <tableColumn id="30" xr3:uid="{9E925382-B124-49D1-A4D1-ACBF530C12CE}" name="RA0 ou RV - TE (MWh)" dataDxfId="1346"/>
    <tableColumn id="31" xr3:uid="{F07182F9-88A6-4ADE-B3DE-D44A09B3840E}" name="RA1 ou RRD - TUSD (kW)" dataDxfId="1345"/>
    <tableColumn id="32" xr3:uid="{ADB924EC-F918-4B5D-9FFD-F487F62D5D7E}" name="RA1 ou RRD - TUSD (MWh)" dataDxfId="1344"/>
    <tableColumn id="33" xr3:uid="{A18FC81A-4230-44E4-9168-72CACB479725}" name="RA1 ou RRD - TE (MWh)" dataDxfId="13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E3CEB-9B09-4254-B134-55DD5EB8FA34}" name="Subsidio" displayName="Subsidio" ref="A1:AF836" totalsRowShown="0" headerRowDxfId="1342" dataDxfId="1341">
  <autoFilter ref="A1:AF836" xr:uid="{995E3CEB-9B09-4254-B134-55DD5EB8FA34}"/>
  <tableColumns count="32">
    <tableColumn id="1" xr3:uid="{AAD11C46-03F4-4281-A039-79D6896EDE07}" name="TipoMercado" dataDxfId="1340"/>
    <tableColumn id="2" xr3:uid="{B5429481-41FB-46DA-94AF-27693CAC8183}" name="Subgrupo" dataDxfId="1339"/>
    <tableColumn id="3" xr3:uid="{A621B28D-F261-4949-820C-201F2AABADE2}" name="Modalidade" dataDxfId="1338"/>
    <tableColumn id="4" xr3:uid="{F15D3201-57DD-4058-9F9C-61973BC0B424}" name="Classe" dataDxfId="1337"/>
    <tableColumn id="5" xr3:uid="{D730309D-3952-4363-851E-BA5ADD9A4B2A}" name="Subclasse" dataDxfId="1336"/>
    <tableColumn id="6" xr3:uid="{0F7D71C3-5AC1-45B4-99AB-46D71690C073}" name="Detalhe" dataDxfId="1335"/>
    <tableColumn id="7" xr3:uid="{62FB4665-C62A-41BF-9413-50F007BE2E07}" name="Agente" dataDxfId="1334"/>
    <tableColumn id="8" xr3:uid="{E1D1298E-DD5B-4892-A22F-2BDF1051FCDD}" name="Posto" dataDxfId="1333"/>
    <tableColumn id="9" xr3:uid="{897AFF67-63FF-4E12-90D2-386CC0184E85}" name="AnoMes" dataDxfId="1332"/>
    <tableColumn id="10" xr3:uid="{9C75BE86-78AF-4990-9965-7AA6FF048049}" name="D" dataDxfId="1331"/>
    <tableColumn id="11" xr3:uid="{CBACA99B-C5AA-4BD0-94D2-1FF830C2FA38}" name="Daj" dataDxfId="1330"/>
    <tableColumn id="12" xr3:uid="{F35C449A-1F7E-42F1-8F66-E8A031E18BA8}" name="TUSD_E" dataDxfId="1329"/>
    <tableColumn id="13" xr3:uid="{89DEF87C-ACEE-4704-859B-D100DA109C70}" name="TUSD_Eaj" dataDxfId="1328"/>
    <tableColumn id="14" xr3:uid="{9331EB54-D36D-43F4-95D9-324ECADDDED9}" name="TE_E" dataDxfId="1327"/>
    <tableColumn id="15" xr3:uid="{D6EC8583-1D7B-4763-BF1E-AF197B0BB70F}" name="TE_Eaj" dataDxfId="1326"/>
    <tableColumn id="16" xr3:uid="{449C2B96-6353-468C-A114-48D696D9EEAF}" name="UC" dataDxfId="1325"/>
    <tableColumn id="17" xr3:uid="{CCD818A9-9750-4F98-B328-AD856269FEDB}" name="OPÇÃO" dataDxfId="1324"/>
    <tableColumn id="18" xr3:uid="{79B9C16D-7188-4BCD-8D88-55952E74E4F2}" name="CóD. AUX." dataDxfId="1323"/>
    <tableColumn id="19" xr3:uid="{C07700F9-2907-4CDD-9DF7-6C06FA36DEAD}" name="CóD. AUX. TUSD R$/kW" dataDxfId="1322"/>
    <tableColumn id="20" xr3:uid="{ABEA8BB9-6F30-4276-9221-38E97AC5B008}" name="CóD. AUX. TUSD R$/MWh" dataDxfId="1321"/>
    <tableColumn id="21" xr3:uid="{80F99B18-F0AA-4E85-953A-F2F4B3F66976}" name="CóD. AUX. TE R$/MWh" dataDxfId="1320"/>
    <tableColumn id="22" xr3:uid="{86B8A03D-AF1E-4E73-A304-11F30CCE6D31}" name="TUSD (R$/kW)" dataDxfId="1319"/>
    <tableColumn id="23" xr3:uid="{54AB3D82-144D-433B-9DA1-99187AC56A22}" name="TUSD (R$/MWh)" dataDxfId="1318"/>
    <tableColumn id="24" xr3:uid="{B7E9F79A-6FE4-4AF1-AC66-EC146063CA9E}" name="TE (R$/MWh)" dataDxfId="1317"/>
    <tableColumn id="25" xr3:uid="{416BC2D0-3A0E-4174-913E-42AEA5E6929C}" name="TUSD (R$/kW) NOVA" dataDxfId="1316"/>
    <tableColumn id="26" xr3:uid="{DDBC0BB4-314D-43E6-A6DA-84ECC2489D6C}" name="TUSD (R$/MWh) NOVA" dataDxfId="1315">
      <calculatedColumnFormula>('TUSD BE'!$AM$68+'TUSD BF'!$AM$68+'TUSD CVA'!$AM$68)*1</calculatedColumnFormula>
    </tableColumn>
    <tableColumn id="27" xr3:uid="{B275B13F-E3B9-466E-8CCD-E4B6C144E8B8}" name="TE (R$/MWh) NOVA" dataDxfId="1314">
      <calculatedColumnFormula>('TE BE'!$AA$47+'TE BF'!$AA$47+'TE CVA'!$AA$47)*1</calculatedColumnFormula>
    </tableColumn>
    <tableColumn id="28" xr3:uid="{6D575728-9EBB-43F5-84E6-286FB0A120E3}" name="SUBSIDIO kW - TV" dataDxfId="1313">
      <calculatedColumnFormula>(J2-K2)*V2</calculatedColumnFormula>
    </tableColumn>
    <tableColumn id="29" xr3:uid="{C1594931-EE7B-4C71-AFE5-C30A5704A322}" name="SUBSIDIO MWh - TV" dataDxfId="1312">
      <calculatedColumnFormula>(L2-M2)*W2+(N2-O2)*X2</calculatedColumnFormula>
    </tableColumn>
    <tableColumn id="30" xr3:uid="{46CFAC38-6DAE-4E09-895D-827D6E7505F2}" name="SUBSIDIO kW - TN" dataDxfId="1311">
      <calculatedColumnFormula>(J2-K2)*Y2</calculatedColumnFormula>
    </tableColumn>
    <tableColumn id="31" xr3:uid="{28E5ABA7-083D-4DE4-B418-5905A8BD522A}" name="SUBSIDIO MWh - TN" dataDxfId="1310">
      <calculatedColumnFormula>(L2-M2)*Z2+(N2-O2)*AA2</calculatedColumnFormula>
    </tableColumn>
    <tableColumn id="32" xr3:uid="{B6B85036-47C2-4834-AFC3-E393A14E9380}" name="TIPO" dataDxfId="13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8FCA83-B54E-4AF8-A7E6-60F4EC5A01D8}" name="Efeito7" displayName="Efeito7" ref="A1:AG1866" totalsRowShown="0" headerRowDxfId="178" dataDxfId="177">
  <autoFilter ref="A1:AG1866" xr:uid="{CC8FCA83-B54E-4AF8-A7E6-60F4EC5A01D8}"/>
  <tableColumns count="33">
    <tableColumn id="1" xr3:uid="{63448C2A-ED81-4E6A-9C5E-AA21ABD4593C}" name="TipoMercado" dataDxfId="176"/>
    <tableColumn id="2" xr3:uid="{24021C01-1F3E-4BEA-A0DA-A5EF7F594276}" name="Subgrupo" dataDxfId="175"/>
    <tableColumn id="3" xr3:uid="{CF875AC8-B8FE-4CA8-A24F-7646B89601DC}" name="Modalidade" dataDxfId="174"/>
    <tableColumn id="4" xr3:uid="{4C30E23E-EBE3-4243-B083-817C35026606}" name="Classe" dataDxfId="173"/>
    <tableColumn id="5" xr3:uid="{EFC9A12A-952B-4EA8-A227-D73102EF302D}" name="Subclasse" dataDxfId="172"/>
    <tableColumn id="6" xr3:uid="{8F6F9099-5CDA-478E-A3CE-27CC9601FA9E}" name="Detalhe" dataDxfId="171"/>
    <tableColumn id="7" xr3:uid="{028D0E2E-A258-441A-A34C-2874DC58F701}" name="Agente" dataDxfId="170"/>
    <tableColumn id="8" xr3:uid="{FC8E1C50-A795-4643-A0F5-C86ABA6E8B5D}" name="Posto" dataDxfId="169"/>
    <tableColumn id="9" xr3:uid="{408C0AE8-431F-4086-AAAD-F0CBF3EE338E}" name="AnoMes" dataDxfId="168"/>
    <tableColumn id="10" xr3:uid="{3E9C1BA5-3A53-4660-A8D4-892D94BC1094}" name="D" dataDxfId="167"/>
    <tableColumn id="11" xr3:uid="{91D2E201-5312-4DCB-AE92-A2E5B380AA30}" name="Daj" dataDxfId="166"/>
    <tableColumn id="12" xr3:uid="{8DA53642-43CC-4A70-B019-A944D8C099D2}" name="TUSD_E" dataDxfId="165"/>
    <tableColumn id="13" xr3:uid="{C5EB06E7-B59A-4A2C-B511-8D91A3EF8E05}" name="TUSD_Eaj" dataDxfId="164"/>
    <tableColumn id="14" xr3:uid="{BB2620B7-E731-4FAA-B02C-7085DB603FF3}" name="TE_E" dataDxfId="163"/>
    <tableColumn id="15" xr3:uid="{49F79963-3604-4891-82E1-43B7AE9651E3}" name="TE_Eaj" dataDxfId="162"/>
    <tableColumn id="16" xr3:uid="{7B5BE487-00CE-4720-8A29-3B3C08832869}" name="UC" dataDxfId="161"/>
    <tableColumn id="17" xr3:uid="{F16D9AA1-573C-4593-AF0D-18E202808675}" name="OPÇÃO" dataDxfId="160"/>
    <tableColumn id="18" xr3:uid="{54C88FA9-42E1-4C98-890C-F8FC5096DC3A}" name="CóD. AUX." dataDxfId="159"/>
    <tableColumn id="19" xr3:uid="{5F8EDD92-A0D8-4A4A-9055-34F7F668C2CF}" name="CóD. AUX. TUSD R$/kW" dataDxfId="158"/>
    <tableColumn id="20" xr3:uid="{901CB3EE-0BEA-4F39-A4EC-049F7C44786C}" name="CóD. AUX. TUSD R$/MWh" dataDxfId="157"/>
    <tableColumn id="21" xr3:uid="{652A4FE1-69F6-46BF-AB0D-ECDCE05EF248}" name="CóD. AUX. TE R$/MWh" dataDxfId="156"/>
    <tableColumn id="22" xr3:uid="{67BBB843-B524-4481-BCD3-B760716F6DA2}" name="TUSD (R$/kW)" dataDxfId="155"/>
    <tableColumn id="23" xr3:uid="{85018138-F521-464A-BA0B-70096141710D}" name="TUSD (R$/MWh)" dataDxfId="154"/>
    <tableColumn id="24" xr3:uid="{86434F77-411E-4AB8-A1D0-F8984FC78E93}" name="TE (R$/MWh)" dataDxfId="153"/>
    <tableColumn id="25" xr3:uid="{63E9154A-1D34-4727-A96C-A6E7BD5D0093}" name="TUSD (R$/kW) NOVA" dataDxfId="152"/>
    <tableColumn id="26" xr3:uid="{B686C500-8BC1-4816-BE88-0CA06172A576}" name="TUSD (R$/MWh) NOVA" dataDxfId="151"/>
    <tableColumn id="27" xr3:uid="{698B1A96-5ADF-47F9-BBA3-FDDF021B1467}" name="TE (R$/MWh) NOVA" dataDxfId="150"/>
    <tableColumn id="28" xr3:uid="{312945DD-7208-42CE-BDED-C12A2DA376C7}" name="RA0 ou RV - TUSD (kW)" dataDxfId="149"/>
    <tableColumn id="29" xr3:uid="{651ACBB3-E289-45BC-8899-8C9ABE0E1FC1}" name="RA0 ou RV - TUSD (MWh)" dataDxfId="148"/>
    <tableColumn id="30" xr3:uid="{E166A98A-7474-4F22-89AD-CD10B0F195B3}" name="RA0 ou RV - TE (MWh)" dataDxfId="147"/>
    <tableColumn id="31" xr3:uid="{47198722-7084-4BF6-8CFF-4D37CE2C3A01}" name="RA1 ou RRD - TUSD (kW)" dataDxfId="146"/>
    <tableColumn id="32" xr3:uid="{7A1DCCB7-FADC-4EB3-B772-807ABED3740D}" name="RA1 ou RRD - TUSD (MWh)" dataDxfId="145"/>
    <tableColumn id="33" xr3:uid="{2FBA707F-FE8E-457E-998A-FDC40FA3C6D6}" name="RA1 ou RRD - TE (MWh)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532779-1F24-4EF8-9CBE-092E079A9AF4}" name="TabelaFin" displayName="TabelaFin" ref="B3:AR74" tableType="queryTable" totalsRowShown="0" headerRowDxfId="97" dataDxfId="96" headerRowBorderDxfId="142" tableBorderDxfId="143" totalsRowBorderDxfId="141">
  <autoFilter ref="B3:AR74" xr:uid="{9E532779-1F24-4EF8-9CBE-092E079A9AF4}"/>
  <sortState xmlns:xlrd2="http://schemas.microsoft.com/office/spreadsheetml/2017/richdata2" ref="B4:AR74">
    <sortCondition ref="B4:B74"/>
    <sortCondition ref="C4:C74"/>
    <sortCondition ref="D4:D74"/>
    <sortCondition ref="E4:E74"/>
    <sortCondition ref="F4:F74"/>
    <sortCondition descending="1" ref="G4:G74"/>
    <sortCondition descending="1" ref="H4:H74"/>
    <sortCondition ref="I4:I74"/>
  </sortState>
  <tableColumns count="43">
    <tableColumn id="44" xr3:uid="{7E191D52-9E7E-423B-816B-CDBA415815A5}" uniqueName="44" name="SUBGRUPO" queryTableFieldId="1" dataDxfId="140"/>
    <tableColumn id="45" xr3:uid="{884C236B-8216-4704-8FDC-DDE2A05D5E05}" uniqueName="45" name="MODALIDADE" queryTableFieldId="2" dataDxfId="139"/>
    <tableColumn id="46" xr3:uid="{3CBC05F4-E3D5-40B0-BE60-E7D8C5BF7003}" uniqueName="46" name="CLASSE" queryTableFieldId="3" dataDxfId="138"/>
    <tableColumn id="47" xr3:uid="{092A706D-9CBD-4206-9406-61291A3C177A}" uniqueName="47" name="SUBCLASSE" queryTableFieldId="4" dataDxfId="137"/>
    <tableColumn id="48" xr3:uid="{931040B9-E82A-4354-8B91-1A91F793E69C}" uniqueName="48" name="DETALHE" queryTableFieldId="5" dataDxfId="136"/>
    <tableColumn id="49" xr3:uid="{975AFC0D-E5EB-4E5B-BC92-EC8B682CB780}" uniqueName="49" name="POSTO" queryTableFieldId="6" dataDxfId="135"/>
    <tableColumn id="50" xr3:uid="{A31B268C-6F4E-46E3-9BE7-3CB940E18FD7}" uniqueName="50" name="UNIDADE" queryTableFieldId="7" dataDxfId="134"/>
    <tableColumn id="51" xr3:uid="{0D70C5DE-645A-420C-A713-6F7C8CF57E70}" uniqueName="51" name="ACESSANTE" queryTableFieldId="8" dataDxfId="133"/>
    <tableColumn id="52" xr3:uid="{92B83D94-8563-4BD8-8339-DF31605FFD03}" uniqueName="52" name="Total TUSD" queryTableFieldId="9" dataDxfId="132"/>
    <tableColumn id="53" xr3:uid="{07F4467F-447F-4C1D-954A-83E467047BB4}" uniqueName="53" name="Total TE" queryTableFieldId="10" dataDxfId="131"/>
    <tableColumn id="54" xr3:uid="{8DA2B962-7A25-4F70-9779-8E28133BB1C5}" uniqueName="54" name="TUSD_CDE_COVID" queryTableFieldId="11" dataDxfId="130"/>
    <tableColumn id="55" xr3:uid="{2CF9CFD1-CCB3-42DB-9A51-89C8E428F176}" uniqueName="55" name="TUSD_TFSEE" queryTableFieldId="12" dataDxfId="129"/>
    <tableColumn id="56" xr3:uid="{FE5F1BA9-69EB-4C2C-895B-D0C868A6F33A}" uniqueName="56" name="TUSD_PeD" queryTableFieldId="13" dataDxfId="128"/>
    <tableColumn id="57" xr3:uid="{EA4D4A80-3B6C-4670-BCC6-2412E2235C19}" uniqueName="57" name="TUSD_ONS" queryTableFieldId="14" dataDxfId="127"/>
    <tableColumn id="58" xr3:uid="{0FB28335-1F93-435A-A82A-9D3B3B5C0603}" uniqueName="58" name="TUSD_CCC" queryTableFieldId="15" dataDxfId="126"/>
    <tableColumn id="59" xr3:uid="{530295E2-E18F-4E71-ACDF-724B0A10F128}" uniqueName="59" name="TUSD_CDE" queryTableFieldId="16" dataDxfId="125"/>
    <tableColumn id="60" xr3:uid="{33AFBBDB-0B2E-42E3-AC55-323511DEF347}" uniqueName="60" name="TUSD_PROINFA" queryTableFieldId="17" dataDxfId="124"/>
    <tableColumn id="61" xr3:uid="{1628A98C-D597-451B-A7E4-8159D92413C6}" uniqueName="61" name="Liminar1" queryTableFieldId="18" dataDxfId="123"/>
    <tableColumn id="62" xr3:uid="{59AF83BA-797B-4FEC-8D9C-B47A3CF8C78B}" uniqueName="62" name="TUSD_RB" queryTableFieldId="19" dataDxfId="122"/>
    <tableColumn id="63" xr3:uid="{E2C0F482-78B9-4D9A-A7A4-094FB21A44CA}" uniqueName="63" name="TUSD_FR" queryTableFieldId="20" dataDxfId="121"/>
    <tableColumn id="64" xr3:uid="{46586AF7-A1F4-4F91-A13A-05003A8AA55B}" uniqueName="64" name="TUSD_CCT" queryTableFieldId="21" dataDxfId="120"/>
    <tableColumn id="65" xr3:uid="{81359432-1232-44FB-98D9-9CBBADDA45C9}" uniqueName="65" name="TUSD_CCD" queryTableFieldId="22" dataDxfId="119"/>
    <tableColumn id="66" xr3:uid="{DDFA3025-9F88-4246-983E-2D4631BA4B83}" uniqueName="66" name="TUSD_CUSD" queryTableFieldId="23" dataDxfId="118"/>
    <tableColumn id="67" xr3:uid="{99251D55-C640-4BEA-B4FC-5125F8023948}" uniqueName="67" name="TUSDG_T" queryTableFieldId="24" dataDxfId="117"/>
    <tableColumn id="68" xr3:uid="{D9F2D3DC-AF26-4E25-9029-F40E6D3BDCFF}" uniqueName="68" name="TUSDG_ONS" queryTableFieldId="25" dataDxfId="116"/>
    <tableColumn id="69" xr3:uid="{EA028F7E-08E1-4A9B-B3A8-E62DCABD8289}" uniqueName="69" name="TUSD_FioB" queryTableFieldId="26" dataDxfId="115"/>
    <tableColumn id="70" xr3:uid="{F8FEAD7A-714B-4E76-8E3B-FF5770943739}" uniqueName="70" name="TUSD Subsidio" queryTableFieldId="27" dataDxfId="114"/>
    <tableColumn id="71" xr3:uid="{D027A9AA-9345-425D-9C72-5A791F5D3791}" uniqueName="71" name="TUSD Outros" queryTableFieldId="28" dataDxfId="113"/>
    <tableColumn id="72" xr3:uid="{34761D6D-F4E0-4279-91C5-E24552181E06}" uniqueName="72" name="TUSD_PT" queryTableFieldId="29" dataDxfId="112"/>
    <tableColumn id="73" xr3:uid="{800DFAD0-4B58-461B-8D38-2C91A9FD580B}" uniqueName="73" name="TUSD_Per_RB_D" queryTableFieldId="30" dataDxfId="111"/>
    <tableColumn id="74" xr3:uid="{6277EC6F-CCFD-489B-9139-467DF8BDD670}" uniqueName="74" name="TUSD_PNT" queryTableFieldId="31" dataDxfId="110"/>
    <tableColumn id="75" xr3:uid="{502B896A-787D-4CDB-8EF4-7DE1227CC4D8}" uniqueName="75" name="TUSD_RI" queryTableFieldId="32" dataDxfId="109"/>
    <tableColumn id="76" xr3:uid="{8C0DA48A-FC80-4A58-A948-C3CFFA6DE065}" uniqueName="76" name="TE_CDE_COVID" queryTableFieldId="33" dataDxfId="108"/>
    <tableColumn id="77" xr3:uid="{86BC1AFC-09D6-4380-872A-FCEB90B07D7C}" uniqueName="77" name="TE_CDE_ELET" queryTableFieldId="34" dataDxfId="107"/>
    <tableColumn id="78" xr3:uid="{9844D546-3B97-44FF-A703-BC8BC37CF892}" uniqueName="78" name="TE_PeD" queryTableFieldId="35" dataDxfId="106"/>
    <tableColumn id="79" xr3:uid="{E39A20D6-E5C7-454E-8C30-A3214D26EC7E}" uniqueName="79" name="TE_ESSERR" queryTableFieldId="36" dataDxfId="105"/>
    <tableColumn id="80" xr3:uid="{5F5115E0-E1E6-4024-B239-F2B09CDD0E6B}" uniqueName="80" name="TE_CFURH" queryTableFieldId="37" dataDxfId="104"/>
    <tableColumn id="81" xr3:uid="{665B67D0-F518-4361-9C36-98FA6FCF52A9}" uniqueName="81" name="TE_ENERGIA" queryTableFieldId="38" dataDxfId="103"/>
    <tableColumn id="82" xr3:uid="{66579E02-C414-4FD4-955F-013867A67A80}" uniqueName="82" name="TE_TRANSPORTE_ITAIPU" queryTableFieldId="39" dataDxfId="102"/>
    <tableColumn id="83" xr3:uid="{B5DAD616-5F07-4EB6-83D0-BBA6A2036F02}" uniqueName="83" name="TE_TUST_ITAIPU" queryTableFieldId="40" dataDxfId="101"/>
    <tableColumn id="84" xr3:uid="{1807AF5D-69C2-41DB-8256-D30399F3E6BB}" uniqueName="84" name="TE_TUST_CI" queryTableFieldId="41" dataDxfId="100"/>
    <tableColumn id="85" xr3:uid="{0C2B2EAE-7EE9-49E2-B7E9-4533AB709BF2}" uniqueName="85" name="TE Subsidio" queryTableFieldId="42" dataDxfId="99"/>
    <tableColumn id="86" xr3:uid="{AA6791F9-1B3B-4BDE-92FE-3EA77A52190D}" uniqueName="86" name="TE_Per_RB" queryTableFieldId="43" dataDxfId="9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76315C-3A4D-419B-9BE3-210F3B328DC0}" name="TabelaEc" displayName="TabelaEc" ref="B3:AR74" tableType="queryTable" totalsRowShown="0" headerRowDxfId="49" dataDxfId="48" headerRowBorderDxfId="94" tableBorderDxfId="95" totalsRowBorderDxfId="93">
  <autoFilter ref="B3:AR74" xr:uid="{FF76315C-3A4D-419B-9BE3-210F3B328DC0}"/>
  <sortState xmlns:xlrd2="http://schemas.microsoft.com/office/spreadsheetml/2017/richdata2" ref="B4:AR74">
    <sortCondition ref="B4:B74"/>
    <sortCondition ref="C4:C74"/>
    <sortCondition ref="D4:D74"/>
    <sortCondition ref="E4:E74"/>
    <sortCondition ref="F4:F74"/>
    <sortCondition descending="1" ref="G4:G74"/>
    <sortCondition descending="1" ref="H4:H74"/>
    <sortCondition ref="I4:I74"/>
  </sortState>
  <tableColumns count="43">
    <tableColumn id="44" xr3:uid="{63957E93-A573-4A8B-BC12-351B7FEC1DC4}" uniqueName="44" name="SUBGRUPO" queryTableFieldId="1" dataDxfId="92"/>
    <tableColumn id="45" xr3:uid="{03660DC2-C563-4ACF-BA7E-DA03BBCA3929}" uniqueName="45" name="MODALIDADE" queryTableFieldId="2" dataDxfId="91"/>
    <tableColumn id="46" xr3:uid="{55FB9854-FBBC-4EC2-8134-365BFF29EE2B}" uniqueName="46" name="CLASSE" queryTableFieldId="3" dataDxfId="90"/>
    <tableColumn id="47" xr3:uid="{79AA59EB-63AE-473C-8B70-8D8AD002E799}" uniqueName="47" name="SUBCLASSE" queryTableFieldId="4" dataDxfId="89"/>
    <tableColumn id="48" xr3:uid="{66EA2306-7CE1-4DB3-A6B0-37ABCF896D11}" uniqueName="48" name="DETALHE" queryTableFieldId="5" dataDxfId="88"/>
    <tableColumn id="49" xr3:uid="{937DE3E9-479E-4ED2-9A91-5B4A13D0B19E}" uniqueName="49" name="POSTO" queryTableFieldId="6" dataDxfId="87"/>
    <tableColumn id="50" xr3:uid="{E6ECF570-9290-4421-A9CF-8332998086A5}" uniqueName="50" name="UNIDADE" queryTableFieldId="7" dataDxfId="86"/>
    <tableColumn id="51" xr3:uid="{E3929D4C-7ABA-4F79-95DB-008476C53DA2}" uniqueName="51" name="ACESSANTE" queryTableFieldId="8" dataDxfId="85"/>
    <tableColumn id="52" xr3:uid="{BE12494E-D514-4871-8F75-3D5F66A55817}" uniqueName="52" name="Total TUSD" queryTableFieldId="9" dataDxfId="84"/>
    <tableColumn id="53" xr3:uid="{98AF9EBE-EC59-4E4E-A671-90D71DF5EE70}" uniqueName="53" name="Total TE" queryTableFieldId="10" dataDxfId="83"/>
    <tableColumn id="54" xr3:uid="{5AD527E8-2A58-4003-8965-47B61C313D84}" uniqueName="54" name="TUSD_CDE_COVID" queryTableFieldId="11" dataDxfId="82"/>
    <tableColumn id="55" xr3:uid="{6E3C3ABB-85FF-4A90-BD37-3B1EA17A5ECB}" uniqueName="55" name="TUSD_TFSEE" queryTableFieldId="12" dataDxfId="81"/>
    <tableColumn id="56" xr3:uid="{0CA148E6-7C12-4F31-9A6A-F39CD3A15263}" uniqueName="56" name="TUSD_PeD" queryTableFieldId="13" dataDxfId="80"/>
    <tableColumn id="57" xr3:uid="{0146D915-C14E-4EC4-BA35-BF80E4AC3CF6}" uniqueName="57" name="TUSD_ONS" queryTableFieldId="14" dataDxfId="79"/>
    <tableColumn id="58" xr3:uid="{AA58A667-0EB7-4860-AA21-014A63D5A060}" uniqueName="58" name="TUSD_CCC" queryTableFieldId="15" dataDxfId="78"/>
    <tableColumn id="59" xr3:uid="{F3143F92-401C-4963-B8FF-30435A1905BC}" uniqueName="59" name="TUSD_CDE" queryTableFieldId="16" dataDxfId="77"/>
    <tableColumn id="60" xr3:uid="{2D9ABBF3-DE3C-49B0-B592-A5F6874E97DC}" uniqueName="60" name="TUSD_PROINFA" queryTableFieldId="17" dataDxfId="76"/>
    <tableColumn id="61" xr3:uid="{9D00610C-9A6A-4A66-8C88-1F4125724686}" uniqueName="61" name="Liminar1" queryTableFieldId="18" dataDxfId="75"/>
    <tableColumn id="62" xr3:uid="{3A66FF2E-E22E-4172-A922-DE03EBE66C25}" uniqueName="62" name="TUSD_RB" queryTableFieldId="19" dataDxfId="74"/>
    <tableColumn id="63" xr3:uid="{E249B693-575C-4471-A2E8-BF41D6519688}" uniqueName="63" name="TUSD_FR" queryTableFieldId="20" dataDxfId="73"/>
    <tableColumn id="64" xr3:uid="{5EF3AB05-9895-4EE1-A088-9A65C1CC579E}" uniqueName="64" name="TUSD_CCT" queryTableFieldId="21" dataDxfId="72"/>
    <tableColumn id="65" xr3:uid="{459C7933-98FC-41E8-8916-43628650D6DF}" uniqueName="65" name="TUSD_CCD" queryTableFieldId="22" dataDxfId="71"/>
    <tableColumn id="66" xr3:uid="{5390D6F1-1E6E-49F7-9FC1-B21BCAAEF26B}" uniqueName="66" name="TUSD_CUSD" queryTableFieldId="23" dataDxfId="70"/>
    <tableColumn id="67" xr3:uid="{CD9CE3E0-B864-4058-8EAE-B5B7FCEDE496}" uniqueName="67" name="TUSDG_T" queryTableFieldId="24" dataDxfId="69"/>
    <tableColumn id="68" xr3:uid="{43F9C936-6A13-4A1E-9B30-5AFDCC7DF7A4}" uniqueName="68" name="TUSDG_ONS" queryTableFieldId="25" dataDxfId="68"/>
    <tableColumn id="69" xr3:uid="{D1B863D3-E786-4F17-80E6-798B64F5A0AE}" uniqueName="69" name="TUSD_FioB" queryTableFieldId="26" dataDxfId="67"/>
    <tableColumn id="70" xr3:uid="{9D8BB36F-4DAC-414C-9B79-16EA3C6979CB}" uniqueName="70" name="TUSD Subsidio" queryTableFieldId="27" dataDxfId="66"/>
    <tableColumn id="71" xr3:uid="{461D33C4-C710-47D2-B787-F19A1DAAB5DA}" uniqueName="71" name="TUSD Outros" queryTableFieldId="28" dataDxfId="65"/>
    <tableColumn id="72" xr3:uid="{AB146823-E940-4DFC-9DB8-7E8AB6A6DA79}" uniqueName="72" name="TUSD_PT" queryTableFieldId="29" dataDxfId="64"/>
    <tableColumn id="73" xr3:uid="{59F87AC0-D2CA-43F5-9950-4BD1E0661E0A}" uniqueName="73" name="TUSD_Per_RB_D" queryTableFieldId="30" dataDxfId="63"/>
    <tableColumn id="74" xr3:uid="{6145AF32-81A5-45EB-881C-9BA190DD2AA7}" uniqueName="74" name="TUSD_PNT" queryTableFieldId="31" dataDxfId="62"/>
    <tableColumn id="75" xr3:uid="{515E15DD-DA34-496B-A63F-528E66964873}" uniqueName="75" name="TUSD_RI" queryTableFieldId="32" dataDxfId="61"/>
    <tableColumn id="76" xr3:uid="{4BC24990-F6F7-4711-8AB2-E7FAA53B7093}" uniqueName="76" name="TE_CDE_COVID" queryTableFieldId="33" dataDxfId="60"/>
    <tableColumn id="77" xr3:uid="{3ABA37B3-3CA8-41E1-ABCA-68D690BBFBAE}" uniqueName="77" name="TE_CDE_ELET" queryTableFieldId="34" dataDxfId="59"/>
    <tableColumn id="78" xr3:uid="{28E50752-FBBB-4DCB-B932-B64B4CFC25F5}" uniqueName="78" name="TE_PeD" queryTableFieldId="35" dataDxfId="58"/>
    <tableColumn id="79" xr3:uid="{B22E957E-2F2E-4A65-945D-3E11AB5B29A4}" uniqueName="79" name="TE_ESSERR" queryTableFieldId="36" dataDxfId="57"/>
    <tableColumn id="80" xr3:uid="{F14BD00F-BE1E-4410-9E5D-A3291FE32051}" uniqueName="80" name="TE_CFURH" queryTableFieldId="37" dataDxfId="56"/>
    <tableColumn id="81" xr3:uid="{844917E8-7949-418E-937D-ED4136C130FF}" uniqueName="81" name="TE_ENERGIA" queryTableFieldId="38" dataDxfId="55"/>
    <tableColumn id="82" xr3:uid="{9F74F66A-83D9-402D-8773-A252DD1F2FE2}" uniqueName="82" name="TE_TRANSPORTE_ITAIPU" queryTableFieldId="39" dataDxfId="54"/>
    <tableColumn id="83" xr3:uid="{B54E64A3-9CCB-416C-93EB-2815469DFC80}" uniqueName="83" name="TE_TUST_ITAIPU" queryTableFieldId="40" dataDxfId="53"/>
    <tableColumn id="84" xr3:uid="{801200AD-26E9-446B-A763-C4D4D7B9835D}" uniqueName="84" name="TE_TUST_CI" queryTableFieldId="41" dataDxfId="52"/>
    <tableColumn id="85" xr3:uid="{EEE1CA1D-88B1-4159-B6F1-3849B1B17935}" uniqueName="85" name="TE Subsidio" queryTableFieldId="42" dataDxfId="51"/>
    <tableColumn id="86" xr3:uid="{983C8662-0F8B-43F0-8BE2-EE3476C3BEBD}" uniqueName="86" name="TE_Per_RB" queryTableFieldId="43" dataDxfId="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856851-D14D-4998-8938-83CA0B1C78F3}" name="TabelaCVA" displayName="TabelaCVA" ref="B3:AR74" tableType="queryTable" totalsRowShown="0" headerRowDxfId="1" dataDxfId="0" headerRowBorderDxfId="46" tableBorderDxfId="47" totalsRowBorderDxfId="45">
  <autoFilter ref="B3:AR74" xr:uid="{AE856851-D14D-4998-8938-83CA0B1C78F3}"/>
  <sortState xmlns:xlrd2="http://schemas.microsoft.com/office/spreadsheetml/2017/richdata2" ref="B4:AR74">
    <sortCondition ref="B4:B74"/>
    <sortCondition ref="C4:C74"/>
    <sortCondition ref="D4:D74"/>
    <sortCondition ref="E4:E74"/>
    <sortCondition ref="F4:F74"/>
    <sortCondition descending="1" ref="G4:G74"/>
    <sortCondition descending="1" ref="H4:H74"/>
    <sortCondition ref="I4:I74"/>
  </sortState>
  <tableColumns count="43">
    <tableColumn id="44" xr3:uid="{78BF3B0D-2A21-469B-B180-EB566807645A}" uniqueName="44" name="SUBGRUPO" queryTableFieldId="1" dataDxfId="44"/>
    <tableColumn id="45" xr3:uid="{EE521FA7-2252-48EE-ACC7-BABDF955378F}" uniqueName="45" name="MODALIDADE" queryTableFieldId="2" dataDxfId="43"/>
    <tableColumn id="46" xr3:uid="{CDB44934-3C4A-441B-B3CF-C2DF0303B98F}" uniqueName="46" name="CLASSE" queryTableFieldId="3" dataDxfId="42"/>
    <tableColumn id="47" xr3:uid="{C124BDDB-93A9-4AE9-81A7-4A8C0623E787}" uniqueName="47" name="SUBCLASSE" queryTableFieldId="4" dataDxfId="41"/>
    <tableColumn id="48" xr3:uid="{E538A572-D228-4DDC-B92B-B173D11E6F03}" uniqueName="48" name="DETALHE" queryTableFieldId="5" dataDxfId="40"/>
    <tableColumn id="49" xr3:uid="{0E0A5A84-8CC1-4DB7-8205-DCA0796E735D}" uniqueName="49" name="POSTO" queryTableFieldId="6" dataDxfId="39"/>
    <tableColumn id="50" xr3:uid="{9F3100AE-CF92-435F-9DD8-DCA4E6BEE4AF}" uniqueName="50" name="UNIDADE" queryTableFieldId="7" dataDxfId="38"/>
    <tableColumn id="51" xr3:uid="{C0F1A43E-046D-4C33-B7D2-04407045D86D}" uniqueName="51" name="ACESSANTE" queryTableFieldId="8" dataDxfId="37"/>
    <tableColumn id="52" xr3:uid="{A3C1EF70-B4FB-47F7-AB08-AEEC0EECBD77}" uniqueName="52" name="Total TUSD" queryTableFieldId="9" dataDxfId="36"/>
    <tableColumn id="53" xr3:uid="{B1CE9D6B-947D-4789-ABA3-DAA36A0C7E44}" uniqueName="53" name="Total TE" queryTableFieldId="10" dataDxfId="35"/>
    <tableColumn id="54" xr3:uid="{BB3CCF4E-F40E-4E9F-9C66-AA5A4AD67553}" uniqueName="54" name="TUSD_CDE_COVID" queryTableFieldId="11" dataDxfId="34"/>
    <tableColumn id="55" xr3:uid="{BB2BF916-634E-43C1-89B4-E33D61343F6C}" uniqueName="55" name="TUSD_TFSEE" queryTableFieldId="12" dataDxfId="33"/>
    <tableColumn id="56" xr3:uid="{C4582668-558F-42A3-951F-8AEDE2D6ECFC}" uniqueName="56" name="TUSD_PeD" queryTableFieldId="13" dataDxfId="32"/>
    <tableColumn id="57" xr3:uid="{3F577F79-19B3-4D44-8810-F4CE8044B646}" uniqueName="57" name="TUSD_ONS" queryTableFieldId="14" dataDxfId="31"/>
    <tableColumn id="58" xr3:uid="{450CD39A-86A8-4A80-9BAC-0CC2EF061458}" uniqueName="58" name="TUSD_CCC" queryTableFieldId="15" dataDxfId="30"/>
    <tableColumn id="59" xr3:uid="{FE597014-3E71-4666-933B-67E4897F3885}" uniqueName="59" name="TUSD_CDE" queryTableFieldId="16" dataDxfId="29"/>
    <tableColumn id="60" xr3:uid="{07BF4EC1-746B-4F0A-877D-DE15F5A7D9E9}" uniqueName="60" name="TUSD_PROINFA" queryTableFieldId="17" dataDxfId="28"/>
    <tableColumn id="61" xr3:uid="{43D9A9CD-F37B-47E2-BD3E-9B484B529EF0}" uniqueName="61" name="Liminar1" queryTableFieldId="18" dataDxfId="27"/>
    <tableColumn id="62" xr3:uid="{76A83CAF-9D2D-40D4-8661-E3BBAB97A37D}" uniqueName="62" name="TUSD_RB" queryTableFieldId="19" dataDxfId="26"/>
    <tableColumn id="63" xr3:uid="{27835BD4-CA63-49ED-A273-73D3980EBB02}" uniqueName="63" name="TUSD_FR" queryTableFieldId="20" dataDxfId="25"/>
    <tableColumn id="64" xr3:uid="{05EC722F-5086-467A-BAAC-5E2188B21D52}" uniqueName="64" name="TUSD_CCT" queryTableFieldId="21" dataDxfId="24"/>
    <tableColumn id="65" xr3:uid="{4BE7933F-FC89-4E6B-AC91-F98DBF2706E5}" uniqueName="65" name="TUSD_CCD" queryTableFieldId="22" dataDxfId="23"/>
    <tableColumn id="66" xr3:uid="{AF1D95B7-1027-4957-AD81-8CC005A66CA0}" uniqueName="66" name="TUSD_CUSD" queryTableFieldId="23" dataDxfId="22"/>
    <tableColumn id="67" xr3:uid="{61F3207B-D9C3-4C71-B79D-459B41B2943D}" uniqueName="67" name="TUSDG_T" queryTableFieldId="24" dataDxfId="21"/>
    <tableColumn id="68" xr3:uid="{8B82E9A9-9EBB-418E-99B2-0D44D6B6023E}" uniqueName="68" name="TUSDG_ONS" queryTableFieldId="25" dataDxfId="20"/>
    <tableColumn id="69" xr3:uid="{0786148D-D8E1-4B1C-BBEC-5DF2910CA0D8}" uniqueName="69" name="TUSD_FioB" queryTableFieldId="26" dataDxfId="19"/>
    <tableColumn id="70" xr3:uid="{19694878-69E0-46CC-A317-E7F87BBA343E}" uniqueName="70" name="TUSD Subsidio" queryTableFieldId="27" dataDxfId="18"/>
    <tableColumn id="71" xr3:uid="{2416A55F-4DDC-4EB9-A02D-A2B3DD272FF4}" uniqueName="71" name="TUSD Outros" queryTableFieldId="28" dataDxfId="17"/>
    <tableColumn id="72" xr3:uid="{D40F6E80-F769-437B-96C5-4ABB08B2C039}" uniqueName="72" name="TUSD_PT" queryTableFieldId="29" dataDxfId="16"/>
    <tableColumn id="73" xr3:uid="{0521CDFD-7DA1-4192-9B0D-8818A15FCD80}" uniqueName="73" name="TUSD_Per_RB_D" queryTableFieldId="30" dataDxfId="15"/>
    <tableColumn id="74" xr3:uid="{1DA968AE-77F4-43FE-97C9-7767D1814260}" uniqueName="74" name="TUSD_PNT" queryTableFieldId="31" dataDxfId="14"/>
    <tableColumn id="75" xr3:uid="{D986C545-0C63-4A3D-80AE-F4D64BD1C8DF}" uniqueName="75" name="TUSD_RI" queryTableFieldId="32" dataDxfId="13"/>
    <tableColumn id="76" xr3:uid="{7D180721-D3BF-486C-A2AA-7F6FC156DDDE}" uniqueName="76" name="TE_CDE_COVID" queryTableFieldId="33" dataDxfId="12"/>
    <tableColumn id="77" xr3:uid="{E70C9EFD-5CCD-40D5-AC6D-B65D62B7F689}" uniqueName="77" name="TE_CDE_ELET" queryTableFieldId="34" dataDxfId="11"/>
    <tableColumn id="78" xr3:uid="{ECD7238A-4B48-4E28-B45D-97416115F2BE}" uniqueName="78" name="TE_PeD" queryTableFieldId="35" dataDxfId="10"/>
    <tableColumn id="79" xr3:uid="{28532D46-0264-4E30-8751-B182C7374EC7}" uniqueName="79" name="TE_ESSERR" queryTableFieldId="36" dataDxfId="9"/>
    <tableColumn id="80" xr3:uid="{2A91CCB9-4B57-451F-B765-1C8B26895A69}" uniqueName="80" name="TE_CFURH" queryTableFieldId="37" dataDxfId="8"/>
    <tableColumn id="81" xr3:uid="{48DFD1C4-7A7D-4E59-97E9-311E30008CAF}" uniqueName="81" name="TE_ENERGIA" queryTableFieldId="38" dataDxfId="7"/>
    <tableColumn id="82" xr3:uid="{3586BAF2-C9D1-4FB9-9E43-F3E5C8744B38}" uniqueName="82" name="TE_TRANSPORTE_ITAIPU" queryTableFieldId="39" dataDxfId="6"/>
    <tableColumn id="83" xr3:uid="{E2740F3A-6F39-443E-AABC-1042EBFBC7D7}" uniqueName="83" name="TE_TUST_ITAIPU" queryTableFieldId="40" dataDxfId="5"/>
    <tableColumn id="84" xr3:uid="{7D09F58E-6F4C-45E0-96FB-2C9293141E92}" uniqueName="84" name="TE_TUST_CI" queryTableFieldId="41" dataDxfId="4"/>
    <tableColumn id="85" xr3:uid="{332A9C46-0C0B-478F-B12A-E4ED9111F30F}" uniqueName="85" name="TE Subsidio" queryTableFieldId="42" dataDxfId="3"/>
    <tableColumn id="86" xr3:uid="{38651518-AF7A-4940-A9AD-5FD82CB287CD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0B54A-486C-441F-A803-58ED012377CF}">
  <dimension ref="A1:W1866"/>
  <sheetViews>
    <sheetView showGridLines="0" topLeftCell="H1828" workbookViewId="0">
      <selection activeCell="T1867" sqref="T1867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15.5703125" style="3" bestFit="1" customWidth="1"/>
    <col min="8" max="8" width="10.28515625" style="3" bestFit="1" customWidth="1"/>
    <col min="9" max="9" width="8.7109375" style="6" bestFit="1" customWidth="1"/>
    <col min="10" max="11" width="7.85546875" style="4" bestFit="1" customWidth="1"/>
    <col min="12" max="13" width="8.42578125" style="4" bestFit="1" customWidth="1"/>
    <col min="14" max="15" width="7.85546875" style="4" bestFit="1" customWidth="1"/>
    <col min="16" max="16" width="8.7109375" style="4" bestFit="1" customWidth="1"/>
    <col min="17" max="17" width="11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113</v>
      </c>
      <c r="T1" s="1" t="s">
        <v>576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27</v>
      </c>
      <c r="B2" s="3" t="s">
        <v>39</v>
      </c>
      <c r="C2" s="3" t="s">
        <v>40</v>
      </c>
      <c r="D2" s="3" t="s">
        <v>38</v>
      </c>
      <c r="E2" s="3" t="s">
        <v>25</v>
      </c>
      <c r="F2" s="3" t="s">
        <v>58</v>
      </c>
      <c r="G2" s="3" t="s">
        <v>25</v>
      </c>
      <c r="H2" s="3" t="s">
        <v>25</v>
      </c>
      <c r="I2" s="6">
        <v>44287</v>
      </c>
      <c r="J2" s="4">
        <v>0</v>
      </c>
      <c r="K2" s="4">
        <v>0</v>
      </c>
      <c r="L2" s="4">
        <v>8611.0249999999996</v>
      </c>
      <c r="M2" s="4">
        <v>8611.0249999999996</v>
      </c>
      <c r="N2" s="4">
        <v>0</v>
      </c>
      <c r="O2" s="4">
        <v>0</v>
      </c>
      <c r="P2" s="4">
        <v>0</v>
      </c>
      <c r="Q2" s="3" t="s">
        <v>59</v>
      </c>
      <c r="R2" s="3">
        <v>0</v>
      </c>
      <c r="S2" s="3" t="s">
        <v>114</v>
      </c>
      <c r="U2" s="3">
        <v>0</v>
      </c>
      <c r="V2" s="3">
        <v>1</v>
      </c>
      <c r="W2" s="3">
        <v>0</v>
      </c>
    </row>
    <row r="3" spans="1:23" ht="11.25" customHeight="1" x14ac:dyDescent="0.25">
      <c r="A3" s="3" t="s">
        <v>27</v>
      </c>
      <c r="B3" s="3" t="s">
        <v>39</v>
      </c>
      <c r="C3" s="3" t="s">
        <v>40</v>
      </c>
      <c r="D3" s="3" t="s">
        <v>38</v>
      </c>
      <c r="E3" s="3" t="s">
        <v>25</v>
      </c>
      <c r="F3" s="3" t="s">
        <v>58</v>
      </c>
      <c r="G3" s="3" t="s">
        <v>25</v>
      </c>
      <c r="H3" s="3" t="s">
        <v>25</v>
      </c>
      <c r="I3" s="6">
        <v>44317</v>
      </c>
      <c r="J3" s="4">
        <v>0</v>
      </c>
      <c r="K3" s="4">
        <v>0</v>
      </c>
      <c r="L3" s="4">
        <v>9286.5879999999997</v>
      </c>
      <c r="M3" s="4">
        <v>9286.5879999999997</v>
      </c>
      <c r="N3" s="4">
        <v>0</v>
      </c>
      <c r="O3" s="4">
        <v>0</v>
      </c>
      <c r="P3" s="4">
        <v>0</v>
      </c>
      <c r="Q3" s="3" t="s">
        <v>59</v>
      </c>
      <c r="R3" s="3">
        <v>0</v>
      </c>
      <c r="S3" s="3" t="s">
        <v>115</v>
      </c>
      <c r="U3" s="3">
        <v>0</v>
      </c>
      <c r="V3" s="3">
        <v>1</v>
      </c>
      <c r="W3" s="3">
        <v>0</v>
      </c>
    </row>
    <row r="4" spans="1:23" ht="11.25" customHeight="1" x14ac:dyDescent="0.25">
      <c r="A4" s="3" t="s">
        <v>27</v>
      </c>
      <c r="B4" s="3" t="s">
        <v>39</v>
      </c>
      <c r="C4" s="3" t="s">
        <v>40</v>
      </c>
      <c r="D4" s="3" t="s">
        <v>38</v>
      </c>
      <c r="E4" s="3" t="s">
        <v>25</v>
      </c>
      <c r="F4" s="3" t="s">
        <v>58</v>
      </c>
      <c r="G4" s="3" t="s">
        <v>25</v>
      </c>
      <c r="H4" s="3" t="s">
        <v>25</v>
      </c>
      <c r="I4" s="6">
        <v>44348</v>
      </c>
      <c r="J4" s="4">
        <v>0</v>
      </c>
      <c r="K4" s="4">
        <v>0</v>
      </c>
      <c r="L4" s="4">
        <v>8567.4310000000005</v>
      </c>
      <c r="M4" s="4">
        <v>8567.4310000000005</v>
      </c>
      <c r="N4" s="4">
        <v>0</v>
      </c>
      <c r="O4" s="4">
        <v>0</v>
      </c>
      <c r="P4" s="4">
        <v>0</v>
      </c>
      <c r="Q4" s="3" t="s">
        <v>59</v>
      </c>
      <c r="R4" s="3">
        <v>0</v>
      </c>
      <c r="S4" s="3" t="s">
        <v>116</v>
      </c>
      <c r="U4" s="3">
        <v>0</v>
      </c>
      <c r="V4" s="3">
        <v>1</v>
      </c>
      <c r="W4" s="3">
        <v>0</v>
      </c>
    </row>
    <row r="5" spans="1:23" ht="11.25" customHeight="1" x14ac:dyDescent="0.25">
      <c r="A5" s="3" t="s">
        <v>27</v>
      </c>
      <c r="B5" s="3" t="s">
        <v>39</v>
      </c>
      <c r="C5" s="3" t="s">
        <v>40</v>
      </c>
      <c r="D5" s="3" t="s">
        <v>38</v>
      </c>
      <c r="E5" s="3" t="s">
        <v>25</v>
      </c>
      <c r="F5" s="3" t="s">
        <v>58</v>
      </c>
      <c r="G5" s="3" t="s">
        <v>25</v>
      </c>
      <c r="H5" s="3" t="s">
        <v>25</v>
      </c>
      <c r="I5" s="6">
        <v>44378</v>
      </c>
      <c r="J5" s="4">
        <v>0</v>
      </c>
      <c r="K5" s="4">
        <v>0</v>
      </c>
      <c r="L5" s="4">
        <v>8502.1830000000009</v>
      </c>
      <c r="M5" s="4">
        <v>8502.1830000000009</v>
      </c>
      <c r="N5" s="4">
        <v>0</v>
      </c>
      <c r="O5" s="4">
        <v>0</v>
      </c>
      <c r="P5" s="4">
        <v>0</v>
      </c>
      <c r="Q5" s="3" t="s">
        <v>59</v>
      </c>
      <c r="R5" s="3">
        <v>0</v>
      </c>
      <c r="S5" s="3" t="s">
        <v>117</v>
      </c>
      <c r="U5" s="3">
        <v>0</v>
      </c>
      <c r="V5" s="3">
        <v>1</v>
      </c>
      <c r="W5" s="3">
        <v>0</v>
      </c>
    </row>
    <row r="6" spans="1:23" ht="11.25" customHeight="1" x14ac:dyDescent="0.25">
      <c r="A6" s="3" t="s">
        <v>27</v>
      </c>
      <c r="B6" s="3" t="s">
        <v>39</v>
      </c>
      <c r="C6" s="3" t="s">
        <v>40</v>
      </c>
      <c r="D6" s="3" t="s">
        <v>38</v>
      </c>
      <c r="E6" s="3" t="s">
        <v>25</v>
      </c>
      <c r="F6" s="3" t="s">
        <v>58</v>
      </c>
      <c r="G6" s="3" t="s">
        <v>25</v>
      </c>
      <c r="H6" s="3" t="s">
        <v>25</v>
      </c>
      <c r="I6" s="6">
        <v>44409</v>
      </c>
      <c r="J6" s="4">
        <v>0</v>
      </c>
      <c r="K6" s="4">
        <v>0</v>
      </c>
      <c r="L6" s="4">
        <v>8514.0499999999993</v>
      </c>
      <c r="M6" s="4">
        <v>8514.0499999999993</v>
      </c>
      <c r="N6" s="4">
        <v>0</v>
      </c>
      <c r="O6" s="4">
        <v>0</v>
      </c>
      <c r="P6" s="4">
        <v>0</v>
      </c>
      <c r="Q6" s="3" t="s">
        <v>59</v>
      </c>
      <c r="R6" s="3">
        <v>0</v>
      </c>
      <c r="S6" s="3" t="s">
        <v>118</v>
      </c>
      <c r="U6" s="3">
        <v>0</v>
      </c>
      <c r="V6" s="3">
        <v>1</v>
      </c>
      <c r="W6" s="3">
        <v>0</v>
      </c>
    </row>
    <row r="7" spans="1:23" ht="11.25" customHeight="1" x14ac:dyDescent="0.25">
      <c r="A7" s="3" t="s">
        <v>27</v>
      </c>
      <c r="B7" s="3" t="s">
        <v>39</v>
      </c>
      <c r="C7" s="3" t="s">
        <v>40</v>
      </c>
      <c r="D7" s="3" t="s">
        <v>38</v>
      </c>
      <c r="E7" s="3" t="s">
        <v>25</v>
      </c>
      <c r="F7" s="3" t="s">
        <v>58</v>
      </c>
      <c r="G7" s="3" t="s">
        <v>25</v>
      </c>
      <c r="H7" s="3" t="s">
        <v>25</v>
      </c>
      <c r="I7" s="6">
        <v>44440</v>
      </c>
      <c r="J7" s="4">
        <v>0</v>
      </c>
      <c r="K7" s="4">
        <v>0</v>
      </c>
      <c r="L7" s="4">
        <v>8410.0169999999998</v>
      </c>
      <c r="M7" s="4">
        <v>8410.0169999999998</v>
      </c>
      <c r="N7" s="4">
        <v>0</v>
      </c>
      <c r="O7" s="4">
        <v>0</v>
      </c>
      <c r="P7" s="4">
        <v>0</v>
      </c>
      <c r="Q7" s="3" t="s">
        <v>59</v>
      </c>
      <c r="R7" s="3">
        <v>0</v>
      </c>
      <c r="S7" s="3" t="s">
        <v>119</v>
      </c>
      <c r="U7" s="3">
        <v>0</v>
      </c>
      <c r="V7" s="3">
        <v>1</v>
      </c>
      <c r="W7" s="3">
        <v>0</v>
      </c>
    </row>
    <row r="8" spans="1:23" ht="11.25" customHeight="1" x14ac:dyDescent="0.25">
      <c r="A8" s="3" t="s">
        <v>27</v>
      </c>
      <c r="B8" s="3" t="s">
        <v>39</v>
      </c>
      <c r="C8" s="3" t="s">
        <v>40</v>
      </c>
      <c r="D8" s="3" t="s">
        <v>38</v>
      </c>
      <c r="E8" s="3" t="s">
        <v>25</v>
      </c>
      <c r="F8" s="3" t="s">
        <v>58</v>
      </c>
      <c r="G8" s="3" t="s">
        <v>25</v>
      </c>
      <c r="H8" s="3" t="s">
        <v>25</v>
      </c>
      <c r="I8" s="6">
        <v>44470</v>
      </c>
      <c r="J8" s="4">
        <v>0</v>
      </c>
      <c r="K8" s="4">
        <v>0</v>
      </c>
      <c r="L8" s="4">
        <v>10005.154</v>
      </c>
      <c r="M8" s="4">
        <v>10005.154</v>
      </c>
      <c r="N8" s="4">
        <v>0</v>
      </c>
      <c r="O8" s="4">
        <v>0</v>
      </c>
      <c r="P8" s="4">
        <v>0</v>
      </c>
      <c r="Q8" s="3" t="s">
        <v>59</v>
      </c>
      <c r="R8" s="3">
        <v>0</v>
      </c>
      <c r="S8" s="3" t="s">
        <v>120</v>
      </c>
      <c r="U8" s="3">
        <v>0</v>
      </c>
      <c r="V8" s="3">
        <v>1</v>
      </c>
      <c r="W8" s="3">
        <v>0</v>
      </c>
    </row>
    <row r="9" spans="1:23" ht="11.25" customHeight="1" x14ac:dyDescent="0.25">
      <c r="A9" s="3" t="s">
        <v>27</v>
      </c>
      <c r="B9" s="3" t="s">
        <v>39</v>
      </c>
      <c r="C9" s="3" t="s">
        <v>40</v>
      </c>
      <c r="D9" s="3" t="s">
        <v>38</v>
      </c>
      <c r="E9" s="3" t="s">
        <v>25</v>
      </c>
      <c r="F9" s="3" t="s">
        <v>58</v>
      </c>
      <c r="G9" s="3" t="s">
        <v>25</v>
      </c>
      <c r="H9" s="3" t="s">
        <v>25</v>
      </c>
      <c r="I9" s="6">
        <v>44501</v>
      </c>
      <c r="J9" s="4">
        <v>0</v>
      </c>
      <c r="K9" s="4">
        <v>0</v>
      </c>
      <c r="L9" s="4">
        <v>10221.031000000001</v>
      </c>
      <c r="M9" s="4">
        <v>10221.031000000001</v>
      </c>
      <c r="N9" s="4">
        <v>0</v>
      </c>
      <c r="O9" s="4">
        <v>0</v>
      </c>
      <c r="P9" s="4">
        <v>0</v>
      </c>
      <c r="Q9" s="3" t="s">
        <v>59</v>
      </c>
      <c r="R9" s="3">
        <v>0</v>
      </c>
      <c r="S9" s="3" t="s">
        <v>121</v>
      </c>
      <c r="U9" s="3">
        <v>0</v>
      </c>
      <c r="V9" s="3">
        <v>1</v>
      </c>
      <c r="W9" s="3">
        <v>0</v>
      </c>
    </row>
    <row r="10" spans="1:23" ht="11.25" customHeight="1" x14ac:dyDescent="0.25">
      <c r="A10" s="3" t="s">
        <v>27</v>
      </c>
      <c r="B10" s="3" t="s">
        <v>39</v>
      </c>
      <c r="C10" s="3" t="s">
        <v>40</v>
      </c>
      <c r="D10" s="3" t="s">
        <v>38</v>
      </c>
      <c r="E10" s="3" t="s">
        <v>25</v>
      </c>
      <c r="F10" s="3" t="s">
        <v>58</v>
      </c>
      <c r="G10" s="3" t="s">
        <v>25</v>
      </c>
      <c r="H10" s="3" t="s">
        <v>25</v>
      </c>
      <c r="I10" s="6">
        <v>44531</v>
      </c>
      <c r="J10" s="4">
        <v>0</v>
      </c>
      <c r="K10" s="4">
        <v>0</v>
      </c>
      <c r="L10" s="4">
        <v>8846.6949999999997</v>
      </c>
      <c r="M10" s="4">
        <v>8846.6949999999997</v>
      </c>
      <c r="N10" s="4">
        <v>0</v>
      </c>
      <c r="O10" s="4">
        <v>0</v>
      </c>
      <c r="P10" s="4">
        <v>0</v>
      </c>
      <c r="Q10" s="3" t="s">
        <v>59</v>
      </c>
      <c r="R10" s="3">
        <v>0</v>
      </c>
      <c r="S10" s="3" t="s">
        <v>122</v>
      </c>
      <c r="U10" s="3">
        <v>0</v>
      </c>
      <c r="V10" s="3">
        <v>1</v>
      </c>
      <c r="W10" s="3">
        <v>0</v>
      </c>
    </row>
    <row r="11" spans="1:23" ht="11.25" customHeight="1" x14ac:dyDescent="0.25">
      <c r="A11" s="3" t="s">
        <v>27</v>
      </c>
      <c r="B11" s="3" t="s">
        <v>39</v>
      </c>
      <c r="C11" s="3" t="s">
        <v>40</v>
      </c>
      <c r="D11" s="3" t="s">
        <v>38</v>
      </c>
      <c r="E11" s="3" t="s">
        <v>25</v>
      </c>
      <c r="F11" s="3" t="s">
        <v>58</v>
      </c>
      <c r="G11" s="3" t="s">
        <v>25</v>
      </c>
      <c r="H11" s="3" t="s">
        <v>25</v>
      </c>
      <c r="I11" s="6">
        <v>44562</v>
      </c>
      <c r="J11" s="4">
        <v>0</v>
      </c>
      <c r="K11" s="4">
        <v>0</v>
      </c>
      <c r="L11" s="4">
        <v>10539.724</v>
      </c>
      <c r="M11" s="4">
        <v>10539.724</v>
      </c>
      <c r="N11" s="4">
        <v>0</v>
      </c>
      <c r="O11" s="4">
        <v>0</v>
      </c>
      <c r="P11" s="4">
        <v>0</v>
      </c>
      <c r="Q11" s="3" t="s">
        <v>59</v>
      </c>
      <c r="R11" s="3">
        <v>0</v>
      </c>
      <c r="S11" s="3" t="s">
        <v>123</v>
      </c>
      <c r="U11" s="3">
        <v>0</v>
      </c>
      <c r="V11" s="3">
        <v>1</v>
      </c>
      <c r="W11" s="3">
        <v>0</v>
      </c>
    </row>
    <row r="12" spans="1:23" ht="11.25" customHeight="1" x14ac:dyDescent="0.25">
      <c r="A12" s="3" t="s">
        <v>27</v>
      </c>
      <c r="B12" s="3" t="s">
        <v>39</v>
      </c>
      <c r="C12" s="3" t="s">
        <v>40</v>
      </c>
      <c r="D12" s="3" t="s">
        <v>38</v>
      </c>
      <c r="E12" s="3" t="s">
        <v>25</v>
      </c>
      <c r="F12" s="3" t="s">
        <v>58</v>
      </c>
      <c r="G12" s="3" t="s">
        <v>25</v>
      </c>
      <c r="H12" s="3" t="s">
        <v>25</v>
      </c>
      <c r="I12" s="6">
        <v>44593</v>
      </c>
      <c r="J12" s="4">
        <v>0</v>
      </c>
      <c r="K12" s="4">
        <v>0</v>
      </c>
      <c r="L12" s="4">
        <v>11106.028</v>
      </c>
      <c r="M12" s="4">
        <v>11106.028</v>
      </c>
      <c r="N12" s="4">
        <v>0</v>
      </c>
      <c r="O12" s="4">
        <v>0</v>
      </c>
      <c r="P12" s="4">
        <v>0</v>
      </c>
      <c r="Q12" s="3" t="s">
        <v>59</v>
      </c>
      <c r="R12" s="3">
        <v>0</v>
      </c>
      <c r="S12" s="3" t="s">
        <v>124</v>
      </c>
      <c r="U12" s="3">
        <v>0</v>
      </c>
      <c r="V12" s="3">
        <v>1</v>
      </c>
      <c r="W12" s="3">
        <v>0</v>
      </c>
    </row>
    <row r="13" spans="1:23" ht="11.25" customHeight="1" x14ac:dyDescent="0.25">
      <c r="A13" s="3" t="s">
        <v>56</v>
      </c>
      <c r="B13" s="3" t="s">
        <v>39</v>
      </c>
      <c r="C13" s="3" t="s">
        <v>40</v>
      </c>
      <c r="D13" s="3" t="s">
        <v>38</v>
      </c>
      <c r="E13" s="3" t="s">
        <v>25</v>
      </c>
      <c r="F13" s="3" t="s">
        <v>58</v>
      </c>
      <c r="G13" s="3" t="s">
        <v>25</v>
      </c>
      <c r="H13" s="3" t="s">
        <v>25</v>
      </c>
      <c r="I13" s="6">
        <v>44621</v>
      </c>
      <c r="J13" s="4">
        <v>0</v>
      </c>
      <c r="K13" s="4">
        <v>0</v>
      </c>
      <c r="L13" s="4">
        <v>11106.028</v>
      </c>
      <c r="M13" s="4">
        <v>11106.028</v>
      </c>
      <c r="N13" s="4">
        <v>0</v>
      </c>
      <c r="O13" s="4">
        <v>0</v>
      </c>
      <c r="P13" s="4">
        <v>0</v>
      </c>
      <c r="Q13" s="3" t="s">
        <v>59</v>
      </c>
      <c r="R13" s="3">
        <v>0</v>
      </c>
      <c r="S13" s="3" t="s">
        <v>125</v>
      </c>
      <c r="U13" s="3">
        <v>0</v>
      </c>
      <c r="V13" s="3">
        <v>1</v>
      </c>
      <c r="W13" s="3">
        <v>0</v>
      </c>
    </row>
    <row r="14" spans="1:23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60</v>
      </c>
      <c r="G14" s="3" t="s">
        <v>25</v>
      </c>
      <c r="H14" s="3" t="s">
        <v>35</v>
      </c>
      <c r="I14" s="6">
        <v>44287</v>
      </c>
      <c r="J14" s="4">
        <v>1500</v>
      </c>
      <c r="K14" s="4">
        <v>752.88340500000004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57</v>
      </c>
      <c r="R14" s="3">
        <v>0</v>
      </c>
      <c r="S14" s="3" t="s">
        <v>126</v>
      </c>
      <c r="U14" s="3">
        <v>5</v>
      </c>
      <c r="V14" s="3">
        <v>0</v>
      </c>
      <c r="W14" s="3">
        <v>0</v>
      </c>
    </row>
    <row r="15" spans="1:23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60</v>
      </c>
      <c r="G15" s="3" t="s">
        <v>25</v>
      </c>
      <c r="H15" s="3" t="s">
        <v>35</v>
      </c>
      <c r="I15" s="6">
        <v>44317</v>
      </c>
      <c r="J15" s="4">
        <v>1500</v>
      </c>
      <c r="K15" s="4">
        <v>754.02548999999999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57</v>
      </c>
      <c r="R15" s="3">
        <v>0</v>
      </c>
      <c r="S15" s="3" t="s">
        <v>127</v>
      </c>
      <c r="U15" s="3">
        <v>5</v>
      </c>
      <c r="V15" s="3">
        <v>0</v>
      </c>
      <c r="W15" s="3">
        <v>0</v>
      </c>
    </row>
    <row r="16" spans="1:23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60</v>
      </c>
      <c r="G16" s="3" t="s">
        <v>25</v>
      </c>
      <c r="H16" s="3" t="s">
        <v>35</v>
      </c>
      <c r="I16" s="6">
        <v>44348</v>
      </c>
      <c r="J16" s="4">
        <v>1500</v>
      </c>
      <c r="K16" s="4">
        <v>750.61864500000001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57</v>
      </c>
      <c r="R16" s="3">
        <v>0</v>
      </c>
      <c r="S16" s="3" t="s">
        <v>128</v>
      </c>
      <c r="U16" s="3">
        <v>5</v>
      </c>
      <c r="V16" s="3">
        <v>0</v>
      </c>
      <c r="W16" s="3">
        <v>0</v>
      </c>
    </row>
    <row r="17" spans="1:23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60</v>
      </c>
      <c r="G17" s="3" t="s">
        <v>25</v>
      </c>
      <c r="H17" s="3" t="s">
        <v>35</v>
      </c>
      <c r="I17" s="6">
        <v>44378</v>
      </c>
      <c r="J17" s="4">
        <v>1500</v>
      </c>
      <c r="K17" s="4">
        <v>784.87662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57</v>
      </c>
      <c r="R17" s="3">
        <v>0</v>
      </c>
      <c r="S17" s="3" t="s">
        <v>129</v>
      </c>
      <c r="U17" s="3">
        <v>5</v>
      </c>
      <c r="V17" s="3">
        <v>0</v>
      </c>
      <c r="W17" s="3">
        <v>0</v>
      </c>
    </row>
    <row r="18" spans="1:23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60</v>
      </c>
      <c r="G18" s="3" t="s">
        <v>25</v>
      </c>
      <c r="H18" s="3" t="s">
        <v>35</v>
      </c>
      <c r="I18" s="6">
        <v>44409</v>
      </c>
      <c r="J18" s="4">
        <v>1500</v>
      </c>
      <c r="K18" s="4">
        <v>749.76273000000003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57</v>
      </c>
      <c r="R18" s="3">
        <v>0</v>
      </c>
      <c r="S18" s="3" t="s">
        <v>130</v>
      </c>
      <c r="U18" s="3">
        <v>5</v>
      </c>
      <c r="V18" s="3">
        <v>0</v>
      </c>
      <c r="W18" s="3">
        <v>0</v>
      </c>
    </row>
    <row r="19" spans="1:23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60</v>
      </c>
      <c r="G19" s="3" t="s">
        <v>25</v>
      </c>
      <c r="H19" s="3" t="s">
        <v>35</v>
      </c>
      <c r="I19" s="6">
        <v>44440</v>
      </c>
      <c r="J19" s="4">
        <v>11100</v>
      </c>
      <c r="K19" s="4">
        <v>5550.6575640000001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57</v>
      </c>
      <c r="R19" s="3">
        <v>0</v>
      </c>
      <c r="S19" s="3" t="s">
        <v>131</v>
      </c>
      <c r="U19" s="3">
        <v>5</v>
      </c>
      <c r="V19" s="3">
        <v>0</v>
      </c>
      <c r="W19" s="3">
        <v>0</v>
      </c>
    </row>
    <row r="20" spans="1:23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60</v>
      </c>
      <c r="G20" s="3" t="s">
        <v>25</v>
      </c>
      <c r="H20" s="3" t="s">
        <v>35</v>
      </c>
      <c r="I20" s="6">
        <v>44470</v>
      </c>
      <c r="J20" s="4">
        <v>11100</v>
      </c>
      <c r="K20" s="4">
        <v>5551.2183359999999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57</v>
      </c>
      <c r="R20" s="3">
        <v>0</v>
      </c>
      <c r="S20" s="3" t="s">
        <v>132</v>
      </c>
      <c r="U20" s="3">
        <v>5</v>
      </c>
      <c r="V20" s="3">
        <v>0</v>
      </c>
      <c r="W20" s="3">
        <v>0</v>
      </c>
    </row>
    <row r="21" spans="1:23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60</v>
      </c>
      <c r="G21" s="3" t="s">
        <v>25</v>
      </c>
      <c r="H21" s="3" t="s">
        <v>35</v>
      </c>
      <c r="I21" s="6">
        <v>44501</v>
      </c>
      <c r="J21" s="4">
        <v>16522</v>
      </c>
      <c r="K21" s="4">
        <v>14758.487485940001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57</v>
      </c>
      <c r="R21" s="3">
        <v>0</v>
      </c>
      <c r="S21" s="3" t="s">
        <v>133</v>
      </c>
      <c r="U21" s="3">
        <v>5</v>
      </c>
      <c r="V21" s="3">
        <v>0</v>
      </c>
      <c r="W21" s="3">
        <v>0</v>
      </c>
    </row>
    <row r="22" spans="1:23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60</v>
      </c>
      <c r="G22" s="3" t="s">
        <v>25</v>
      </c>
      <c r="H22" s="3" t="s">
        <v>35</v>
      </c>
      <c r="I22" s="6">
        <v>44531</v>
      </c>
      <c r="J22" s="4">
        <v>16610</v>
      </c>
      <c r="K22" s="4">
        <v>14474.657599599999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57</v>
      </c>
      <c r="R22" s="3">
        <v>0</v>
      </c>
      <c r="S22" s="3" t="s">
        <v>134</v>
      </c>
      <c r="U22" s="3">
        <v>5</v>
      </c>
      <c r="V22" s="3">
        <v>0</v>
      </c>
      <c r="W22" s="3">
        <v>0</v>
      </c>
    </row>
    <row r="23" spans="1:23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60</v>
      </c>
      <c r="G23" s="3" t="s">
        <v>25</v>
      </c>
      <c r="H23" s="3" t="s">
        <v>35</v>
      </c>
      <c r="I23" s="6">
        <v>44562</v>
      </c>
      <c r="J23" s="4">
        <v>11100</v>
      </c>
      <c r="K23" s="4">
        <v>10350.295122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57</v>
      </c>
      <c r="R23" s="3">
        <v>0</v>
      </c>
      <c r="S23" s="3" t="s">
        <v>135</v>
      </c>
      <c r="U23" s="3">
        <v>5</v>
      </c>
      <c r="V23" s="3">
        <v>0</v>
      </c>
      <c r="W23" s="3">
        <v>0</v>
      </c>
    </row>
    <row r="24" spans="1:23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60</v>
      </c>
      <c r="G24" s="3" t="s">
        <v>25</v>
      </c>
      <c r="H24" s="3" t="s">
        <v>35</v>
      </c>
      <c r="I24" s="6">
        <v>44593</v>
      </c>
      <c r="J24" s="4">
        <v>16543</v>
      </c>
      <c r="K24" s="4">
        <v>14361.89908338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57</v>
      </c>
      <c r="R24" s="3">
        <v>0</v>
      </c>
      <c r="S24" s="3" t="s">
        <v>136</v>
      </c>
      <c r="U24" s="3">
        <v>5</v>
      </c>
      <c r="V24" s="3">
        <v>0</v>
      </c>
      <c r="W24" s="3">
        <v>0</v>
      </c>
    </row>
    <row r="25" spans="1:23" ht="11.25" customHeight="1" x14ac:dyDescent="0.25">
      <c r="A25" s="3" t="s">
        <v>56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60</v>
      </c>
      <c r="G25" s="3" t="s">
        <v>25</v>
      </c>
      <c r="H25" s="3" t="s">
        <v>35</v>
      </c>
      <c r="I25" s="6">
        <v>44621</v>
      </c>
      <c r="J25" s="4">
        <v>16543</v>
      </c>
      <c r="K25" s="4">
        <v>14361.89908338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57</v>
      </c>
      <c r="R25" s="3">
        <v>0</v>
      </c>
      <c r="S25" s="3" t="s">
        <v>137</v>
      </c>
      <c r="U25" s="3">
        <v>5</v>
      </c>
      <c r="V25" s="3">
        <v>0</v>
      </c>
      <c r="W25" s="3">
        <v>0</v>
      </c>
    </row>
    <row r="26" spans="1:23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60</v>
      </c>
      <c r="G26" s="3" t="s">
        <v>25</v>
      </c>
      <c r="H26" s="3" t="s">
        <v>25</v>
      </c>
      <c r="I26" s="6">
        <v>44287</v>
      </c>
      <c r="J26" s="4">
        <v>0</v>
      </c>
      <c r="K26" s="4">
        <v>0</v>
      </c>
      <c r="L26" s="4">
        <v>370.19499999999999</v>
      </c>
      <c r="M26" s="4">
        <v>370.19499999999999</v>
      </c>
      <c r="N26" s="4">
        <v>0</v>
      </c>
      <c r="O26" s="4">
        <v>0</v>
      </c>
      <c r="P26" s="4">
        <v>1</v>
      </c>
      <c r="Q26" s="3" t="s">
        <v>57</v>
      </c>
      <c r="R26" s="3">
        <v>0</v>
      </c>
      <c r="S26" s="3" t="s">
        <v>138</v>
      </c>
      <c r="U26" s="3">
        <v>0</v>
      </c>
      <c r="V26" s="3">
        <v>6</v>
      </c>
      <c r="W26" s="3">
        <v>0</v>
      </c>
    </row>
    <row r="27" spans="1:23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60</v>
      </c>
      <c r="G27" s="3" t="s">
        <v>25</v>
      </c>
      <c r="H27" s="3" t="s">
        <v>25</v>
      </c>
      <c r="I27" s="6">
        <v>44317</v>
      </c>
      <c r="J27" s="4">
        <v>0</v>
      </c>
      <c r="K27" s="4">
        <v>0</v>
      </c>
      <c r="L27" s="4">
        <v>324.17899999999997</v>
      </c>
      <c r="M27" s="4">
        <v>324.17899999999997</v>
      </c>
      <c r="N27" s="4">
        <v>0</v>
      </c>
      <c r="O27" s="4">
        <v>0</v>
      </c>
      <c r="P27" s="4">
        <v>1</v>
      </c>
      <c r="Q27" s="3" t="s">
        <v>57</v>
      </c>
      <c r="R27" s="3">
        <v>0</v>
      </c>
      <c r="S27" s="3" t="s">
        <v>139</v>
      </c>
      <c r="U27" s="3">
        <v>0</v>
      </c>
      <c r="V27" s="3">
        <v>6</v>
      </c>
      <c r="W27" s="3">
        <v>0</v>
      </c>
    </row>
    <row r="28" spans="1:23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60</v>
      </c>
      <c r="G28" s="3" t="s">
        <v>25</v>
      </c>
      <c r="H28" s="3" t="s">
        <v>25</v>
      </c>
      <c r="I28" s="6">
        <v>44348</v>
      </c>
      <c r="J28" s="4">
        <v>0</v>
      </c>
      <c r="K28" s="4">
        <v>0</v>
      </c>
      <c r="L28" s="4">
        <v>327.90800000000002</v>
      </c>
      <c r="M28" s="4">
        <v>327.90800000000002</v>
      </c>
      <c r="N28" s="4">
        <v>0</v>
      </c>
      <c r="O28" s="4">
        <v>0</v>
      </c>
      <c r="P28" s="4">
        <v>1</v>
      </c>
      <c r="Q28" s="3" t="s">
        <v>57</v>
      </c>
      <c r="R28" s="3">
        <v>0</v>
      </c>
      <c r="S28" s="3" t="s">
        <v>140</v>
      </c>
      <c r="U28" s="3">
        <v>0</v>
      </c>
      <c r="V28" s="3">
        <v>6</v>
      </c>
      <c r="W28" s="3">
        <v>0</v>
      </c>
    </row>
    <row r="29" spans="1:23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60</v>
      </c>
      <c r="G29" s="3" t="s">
        <v>25</v>
      </c>
      <c r="H29" s="3" t="s">
        <v>25</v>
      </c>
      <c r="I29" s="6">
        <v>44378</v>
      </c>
      <c r="J29" s="4">
        <v>0</v>
      </c>
      <c r="K29" s="4">
        <v>0</v>
      </c>
      <c r="L29" s="4">
        <v>364.52300000000002</v>
      </c>
      <c r="M29" s="4">
        <v>364.52300000000002</v>
      </c>
      <c r="N29" s="4">
        <v>0</v>
      </c>
      <c r="O29" s="4">
        <v>0</v>
      </c>
      <c r="P29" s="4">
        <v>1</v>
      </c>
      <c r="Q29" s="3" t="s">
        <v>57</v>
      </c>
      <c r="R29" s="3">
        <v>0</v>
      </c>
      <c r="S29" s="3" t="s">
        <v>141</v>
      </c>
      <c r="U29" s="3">
        <v>0</v>
      </c>
      <c r="V29" s="3">
        <v>6</v>
      </c>
      <c r="W29" s="3">
        <v>0</v>
      </c>
    </row>
    <row r="30" spans="1:23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60</v>
      </c>
      <c r="G30" s="3" t="s">
        <v>25</v>
      </c>
      <c r="H30" s="3" t="s">
        <v>25</v>
      </c>
      <c r="I30" s="6">
        <v>44409</v>
      </c>
      <c r="J30" s="4">
        <v>0</v>
      </c>
      <c r="K30" s="4">
        <v>0</v>
      </c>
      <c r="L30" s="4">
        <v>414.50400000000002</v>
      </c>
      <c r="M30" s="4">
        <v>414.50400000000002</v>
      </c>
      <c r="N30" s="4">
        <v>0</v>
      </c>
      <c r="O30" s="4">
        <v>0</v>
      </c>
      <c r="P30" s="4">
        <v>1</v>
      </c>
      <c r="Q30" s="3" t="s">
        <v>57</v>
      </c>
      <c r="R30" s="3">
        <v>0</v>
      </c>
      <c r="S30" s="3" t="s">
        <v>142</v>
      </c>
      <c r="U30" s="3">
        <v>0</v>
      </c>
      <c r="V30" s="3">
        <v>6</v>
      </c>
      <c r="W30" s="3">
        <v>0</v>
      </c>
    </row>
    <row r="31" spans="1:23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60</v>
      </c>
      <c r="G31" s="3" t="s">
        <v>25</v>
      </c>
      <c r="H31" s="3" t="s">
        <v>25</v>
      </c>
      <c r="I31" s="6">
        <v>44440</v>
      </c>
      <c r="J31" s="4">
        <v>0</v>
      </c>
      <c r="K31" s="4">
        <v>0</v>
      </c>
      <c r="L31" s="4">
        <v>6877.1030000000001</v>
      </c>
      <c r="M31" s="4">
        <v>6877.1030000000001</v>
      </c>
      <c r="N31" s="4">
        <v>0</v>
      </c>
      <c r="O31" s="4">
        <v>0</v>
      </c>
      <c r="P31" s="4">
        <v>2</v>
      </c>
      <c r="Q31" s="3" t="s">
        <v>57</v>
      </c>
      <c r="R31" s="3">
        <v>0</v>
      </c>
      <c r="S31" s="3" t="s">
        <v>143</v>
      </c>
      <c r="U31" s="3">
        <v>0</v>
      </c>
      <c r="V31" s="3">
        <v>6</v>
      </c>
      <c r="W31" s="3">
        <v>0</v>
      </c>
    </row>
    <row r="32" spans="1:23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60</v>
      </c>
      <c r="G32" s="3" t="s">
        <v>25</v>
      </c>
      <c r="H32" s="3" t="s">
        <v>25</v>
      </c>
      <c r="I32" s="6">
        <v>44470</v>
      </c>
      <c r="J32" s="4">
        <v>0</v>
      </c>
      <c r="K32" s="4">
        <v>0</v>
      </c>
      <c r="L32" s="4">
        <v>6822.4920000000002</v>
      </c>
      <c r="M32" s="4">
        <v>6822.4920000000002</v>
      </c>
      <c r="N32" s="4">
        <v>0</v>
      </c>
      <c r="O32" s="4">
        <v>0</v>
      </c>
      <c r="P32" s="4">
        <v>2</v>
      </c>
      <c r="Q32" s="3" t="s">
        <v>57</v>
      </c>
      <c r="R32" s="3">
        <v>0</v>
      </c>
      <c r="S32" s="3" t="s">
        <v>144</v>
      </c>
      <c r="U32" s="3">
        <v>0</v>
      </c>
      <c r="V32" s="3">
        <v>6</v>
      </c>
      <c r="W32" s="3">
        <v>0</v>
      </c>
    </row>
    <row r="33" spans="1:23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60</v>
      </c>
      <c r="G33" s="3" t="s">
        <v>25</v>
      </c>
      <c r="H33" s="3" t="s">
        <v>25</v>
      </c>
      <c r="I33" s="6">
        <v>44501</v>
      </c>
      <c r="J33" s="4">
        <v>0</v>
      </c>
      <c r="K33" s="4">
        <v>0</v>
      </c>
      <c r="L33" s="4">
        <v>10120.803</v>
      </c>
      <c r="M33" s="4">
        <v>10120.803</v>
      </c>
      <c r="N33" s="4">
        <v>0</v>
      </c>
      <c r="O33" s="4">
        <v>0</v>
      </c>
      <c r="P33" s="4">
        <v>3</v>
      </c>
      <c r="Q33" s="3" t="s">
        <v>57</v>
      </c>
      <c r="R33" s="3">
        <v>0</v>
      </c>
      <c r="S33" s="3" t="s">
        <v>145</v>
      </c>
      <c r="U33" s="3">
        <v>0</v>
      </c>
      <c r="V33" s="3">
        <v>6</v>
      </c>
      <c r="W33" s="3">
        <v>0</v>
      </c>
    </row>
    <row r="34" spans="1:23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60</v>
      </c>
      <c r="G34" s="3" t="s">
        <v>25</v>
      </c>
      <c r="H34" s="3" t="s">
        <v>25</v>
      </c>
      <c r="I34" s="6">
        <v>44531</v>
      </c>
      <c r="J34" s="4">
        <v>0</v>
      </c>
      <c r="K34" s="4">
        <v>0</v>
      </c>
      <c r="L34" s="4">
        <v>10300.243</v>
      </c>
      <c r="M34" s="4">
        <v>10300.243</v>
      </c>
      <c r="N34" s="4">
        <v>0</v>
      </c>
      <c r="O34" s="4">
        <v>0</v>
      </c>
      <c r="P34" s="4">
        <v>3</v>
      </c>
      <c r="Q34" s="3" t="s">
        <v>57</v>
      </c>
      <c r="R34" s="3">
        <v>0</v>
      </c>
      <c r="S34" s="3" t="s">
        <v>146</v>
      </c>
      <c r="U34" s="3">
        <v>0</v>
      </c>
      <c r="V34" s="3">
        <v>6</v>
      </c>
      <c r="W34" s="3">
        <v>0</v>
      </c>
    </row>
    <row r="35" spans="1:23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60</v>
      </c>
      <c r="G35" s="3" t="s">
        <v>25</v>
      </c>
      <c r="H35" s="3" t="s">
        <v>25</v>
      </c>
      <c r="I35" s="6">
        <v>44562</v>
      </c>
      <c r="J35" s="4">
        <v>0</v>
      </c>
      <c r="K35" s="4">
        <v>0</v>
      </c>
      <c r="L35" s="4">
        <v>7118.0290000000005</v>
      </c>
      <c r="M35" s="4">
        <v>7118.0290000000005</v>
      </c>
      <c r="N35" s="4">
        <v>0</v>
      </c>
      <c r="O35" s="4">
        <v>0</v>
      </c>
      <c r="P35" s="4">
        <v>2</v>
      </c>
      <c r="Q35" s="3" t="s">
        <v>57</v>
      </c>
      <c r="R35" s="3">
        <v>0</v>
      </c>
      <c r="S35" s="3" t="s">
        <v>147</v>
      </c>
      <c r="U35" s="3">
        <v>0</v>
      </c>
      <c r="V35" s="3">
        <v>6</v>
      </c>
      <c r="W35" s="3">
        <v>0</v>
      </c>
    </row>
    <row r="36" spans="1:23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60</v>
      </c>
      <c r="G36" s="3" t="s">
        <v>25</v>
      </c>
      <c r="H36" s="3" t="s">
        <v>25</v>
      </c>
      <c r="I36" s="6">
        <v>44593</v>
      </c>
      <c r="J36" s="4">
        <v>0</v>
      </c>
      <c r="K36" s="4">
        <v>0</v>
      </c>
      <c r="L36" s="4">
        <v>10378.311</v>
      </c>
      <c r="M36" s="4">
        <v>10378.311</v>
      </c>
      <c r="N36" s="4">
        <v>0</v>
      </c>
      <c r="O36" s="4">
        <v>0</v>
      </c>
      <c r="P36" s="4">
        <v>3</v>
      </c>
      <c r="Q36" s="3" t="s">
        <v>57</v>
      </c>
      <c r="R36" s="3">
        <v>0</v>
      </c>
      <c r="S36" s="3" t="s">
        <v>148</v>
      </c>
      <c r="U36" s="3">
        <v>0</v>
      </c>
      <c r="V36" s="3">
        <v>6</v>
      </c>
      <c r="W36" s="3">
        <v>0</v>
      </c>
    </row>
    <row r="37" spans="1:23" ht="11.25" customHeight="1" x14ac:dyDescent="0.25">
      <c r="A37" s="3" t="s">
        <v>27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60</v>
      </c>
      <c r="G37" s="3" t="s">
        <v>25</v>
      </c>
      <c r="H37" s="3" t="s">
        <v>25</v>
      </c>
      <c r="I37" s="6">
        <v>44593</v>
      </c>
      <c r="J37" s="4">
        <v>0</v>
      </c>
      <c r="K37" s="4">
        <v>0</v>
      </c>
      <c r="L37" s="4">
        <v>-2009.1769999999999</v>
      </c>
      <c r="M37" s="4">
        <v>-2009.1769999999999</v>
      </c>
      <c r="N37" s="4">
        <v>0</v>
      </c>
      <c r="O37" s="4">
        <v>0</v>
      </c>
      <c r="P37" s="4">
        <v>0</v>
      </c>
      <c r="Q37" s="3" t="s">
        <v>57</v>
      </c>
      <c r="R37" s="3">
        <v>0</v>
      </c>
      <c r="S37" s="3" t="s">
        <v>148</v>
      </c>
      <c r="U37" s="3">
        <v>0</v>
      </c>
      <c r="V37" s="3">
        <v>6</v>
      </c>
      <c r="W37" s="3">
        <v>0</v>
      </c>
    </row>
    <row r="38" spans="1:23" ht="11.25" customHeight="1" x14ac:dyDescent="0.25">
      <c r="A38" s="3" t="s">
        <v>56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60</v>
      </c>
      <c r="G38" s="3" t="s">
        <v>25</v>
      </c>
      <c r="H38" s="3" t="s">
        <v>25</v>
      </c>
      <c r="I38" s="6">
        <v>44621</v>
      </c>
      <c r="J38" s="4">
        <v>0</v>
      </c>
      <c r="K38" s="4">
        <v>0</v>
      </c>
      <c r="L38" s="4">
        <v>10378.311</v>
      </c>
      <c r="M38" s="4">
        <v>10378.311</v>
      </c>
      <c r="N38" s="4">
        <v>0</v>
      </c>
      <c r="O38" s="4">
        <v>0</v>
      </c>
      <c r="P38" s="4">
        <v>3</v>
      </c>
      <c r="Q38" s="3" t="s">
        <v>57</v>
      </c>
      <c r="R38" s="3">
        <v>0</v>
      </c>
      <c r="S38" s="3" t="s">
        <v>149</v>
      </c>
      <c r="U38" s="3">
        <v>0</v>
      </c>
      <c r="V38" s="3">
        <v>6</v>
      </c>
      <c r="W38" s="3">
        <v>0</v>
      </c>
    </row>
    <row r="39" spans="1:23" ht="11.25" customHeight="1" x14ac:dyDescent="0.25">
      <c r="A39" s="3" t="s">
        <v>56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60</v>
      </c>
      <c r="G39" s="3" t="s">
        <v>25</v>
      </c>
      <c r="H39" s="3" t="s">
        <v>25</v>
      </c>
      <c r="I39" s="6">
        <v>44621</v>
      </c>
      <c r="J39" s="4">
        <v>0</v>
      </c>
      <c r="K39" s="4">
        <v>0</v>
      </c>
      <c r="L39" s="4">
        <v>-2009.1769999999999</v>
      </c>
      <c r="M39" s="4">
        <v>-2009.1769999999999</v>
      </c>
      <c r="N39" s="4">
        <v>0</v>
      </c>
      <c r="O39" s="4">
        <v>0</v>
      </c>
      <c r="P39" s="4">
        <v>0</v>
      </c>
      <c r="Q39" s="3" t="s">
        <v>57</v>
      </c>
      <c r="R39" s="3">
        <v>0</v>
      </c>
      <c r="S39" s="3" t="s">
        <v>149</v>
      </c>
      <c r="U39" s="3">
        <v>0</v>
      </c>
      <c r="V39" s="3">
        <v>6</v>
      </c>
      <c r="W39" s="3">
        <v>0</v>
      </c>
    </row>
    <row r="40" spans="1:23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60</v>
      </c>
      <c r="G40" s="3" t="s">
        <v>25</v>
      </c>
      <c r="H40" s="3" t="s">
        <v>34</v>
      </c>
      <c r="I40" s="6">
        <v>44287</v>
      </c>
      <c r="J40" s="4">
        <v>1210</v>
      </c>
      <c r="K40" s="4">
        <v>607.32558370000004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57</v>
      </c>
      <c r="R40" s="3">
        <v>0</v>
      </c>
      <c r="S40" s="3" t="s">
        <v>150</v>
      </c>
      <c r="U40" s="3">
        <v>4</v>
      </c>
      <c r="V40" s="3">
        <v>0</v>
      </c>
      <c r="W40" s="3">
        <v>0</v>
      </c>
    </row>
    <row r="41" spans="1:23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60</v>
      </c>
      <c r="G41" s="3" t="s">
        <v>25</v>
      </c>
      <c r="H41" s="3" t="s">
        <v>34</v>
      </c>
      <c r="I41" s="6">
        <v>44317</v>
      </c>
      <c r="J41" s="4">
        <v>1210</v>
      </c>
      <c r="K41" s="4">
        <v>608.3789855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57</v>
      </c>
      <c r="R41" s="3">
        <v>0</v>
      </c>
      <c r="S41" s="3" t="s">
        <v>151</v>
      </c>
      <c r="U41" s="3">
        <v>4</v>
      </c>
      <c r="V41" s="3">
        <v>0</v>
      </c>
      <c r="W41" s="3">
        <v>0</v>
      </c>
    </row>
    <row r="42" spans="1:23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60</v>
      </c>
      <c r="G42" s="3" t="s">
        <v>25</v>
      </c>
      <c r="H42" s="3" t="s">
        <v>34</v>
      </c>
      <c r="I42" s="6">
        <v>44348</v>
      </c>
      <c r="J42" s="4">
        <v>1210</v>
      </c>
      <c r="K42" s="4">
        <v>605.55787050000004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57</v>
      </c>
      <c r="R42" s="3">
        <v>0</v>
      </c>
      <c r="S42" s="3" t="s">
        <v>152</v>
      </c>
      <c r="U42" s="3">
        <v>4</v>
      </c>
      <c r="V42" s="3">
        <v>0</v>
      </c>
      <c r="W42" s="3">
        <v>0</v>
      </c>
    </row>
    <row r="43" spans="1:23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60</v>
      </c>
      <c r="G43" s="3" t="s">
        <v>25</v>
      </c>
      <c r="H43" s="3" t="s">
        <v>34</v>
      </c>
      <c r="I43" s="6">
        <v>44378</v>
      </c>
      <c r="J43" s="4">
        <v>1210</v>
      </c>
      <c r="K43" s="4">
        <v>635.23677469999996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0</v>
      </c>
      <c r="S43" s="3" t="s">
        <v>153</v>
      </c>
      <c r="U43" s="3">
        <v>4</v>
      </c>
      <c r="V43" s="3">
        <v>0</v>
      </c>
      <c r="W43" s="3">
        <v>0</v>
      </c>
    </row>
    <row r="44" spans="1:23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60</v>
      </c>
      <c r="G44" s="3" t="s">
        <v>25</v>
      </c>
      <c r="H44" s="3" t="s">
        <v>34</v>
      </c>
      <c r="I44" s="6">
        <v>44409</v>
      </c>
      <c r="J44" s="4">
        <v>1210</v>
      </c>
      <c r="K44" s="4">
        <v>604.80840860000001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57</v>
      </c>
      <c r="R44" s="3">
        <v>0</v>
      </c>
      <c r="S44" s="3" t="s">
        <v>154</v>
      </c>
      <c r="U44" s="3">
        <v>4</v>
      </c>
      <c r="V44" s="3">
        <v>0</v>
      </c>
      <c r="W44" s="3">
        <v>0</v>
      </c>
    </row>
    <row r="45" spans="1:23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60</v>
      </c>
      <c r="G45" s="3" t="s">
        <v>25</v>
      </c>
      <c r="H45" s="3" t="s">
        <v>34</v>
      </c>
      <c r="I45" s="6">
        <v>44440</v>
      </c>
      <c r="J45" s="4">
        <v>4910</v>
      </c>
      <c r="K45" s="4">
        <v>2455.5318020999998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57</v>
      </c>
      <c r="R45" s="3">
        <v>0</v>
      </c>
      <c r="S45" s="3" t="s">
        <v>155</v>
      </c>
      <c r="U45" s="3">
        <v>4</v>
      </c>
      <c r="V45" s="3">
        <v>0</v>
      </c>
      <c r="W45" s="3">
        <v>0</v>
      </c>
    </row>
    <row r="46" spans="1:23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60</v>
      </c>
      <c r="G46" s="3" t="s">
        <v>25</v>
      </c>
      <c r="H46" s="3" t="s">
        <v>34</v>
      </c>
      <c r="I46" s="6">
        <v>44470</v>
      </c>
      <c r="J46" s="4">
        <v>4910</v>
      </c>
      <c r="K46" s="4">
        <v>2455.9827365000001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0</v>
      </c>
      <c r="S46" s="3" t="s">
        <v>156</v>
      </c>
      <c r="U46" s="3">
        <v>4</v>
      </c>
      <c r="V46" s="3">
        <v>0</v>
      </c>
      <c r="W46" s="3">
        <v>0</v>
      </c>
    </row>
    <row r="47" spans="1:23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60</v>
      </c>
      <c r="G47" s="3" t="s">
        <v>25</v>
      </c>
      <c r="H47" s="3" t="s">
        <v>34</v>
      </c>
      <c r="I47" s="6">
        <v>44501</v>
      </c>
      <c r="J47" s="4">
        <v>8848</v>
      </c>
      <c r="K47" s="4">
        <v>7471.7574825600004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57</v>
      </c>
      <c r="R47" s="3">
        <v>0</v>
      </c>
      <c r="S47" s="3" t="s">
        <v>157</v>
      </c>
      <c r="U47" s="3">
        <v>4</v>
      </c>
      <c r="V47" s="3">
        <v>0</v>
      </c>
      <c r="W47" s="3">
        <v>0</v>
      </c>
    </row>
    <row r="48" spans="1:23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60</v>
      </c>
      <c r="G48" s="3" t="s">
        <v>25</v>
      </c>
      <c r="H48" s="3" t="s">
        <v>34</v>
      </c>
      <c r="I48" s="6">
        <v>44531</v>
      </c>
      <c r="J48" s="4">
        <v>9134</v>
      </c>
      <c r="K48" s="4">
        <v>7379.7821435799997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57</v>
      </c>
      <c r="R48" s="3">
        <v>0</v>
      </c>
      <c r="S48" s="3" t="s">
        <v>158</v>
      </c>
      <c r="U48" s="3">
        <v>4</v>
      </c>
      <c r="V48" s="3">
        <v>0</v>
      </c>
      <c r="W48" s="3">
        <v>0</v>
      </c>
    </row>
    <row r="49" spans="1:23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60</v>
      </c>
      <c r="G49" s="3" t="s">
        <v>25</v>
      </c>
      <c r="H49" s="3" t="s">
        <v>34</v>
      </c>
      <c r="I49" s="6">
        <v>44562</v>
      </c>
      <c r="J49" s="4">
        <v>4960</v>
      </c>
      <c r="K49" s="4">
        <v>4349.5840096000002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0</v>
      </c>
      <c r="S49" s="3" t="s">
        <v>159</v>
      </c>
      <c r="U49" s="3">
        <v>4</v>
      </c>
      <c r="V49" s="3">
        <v>0</v>
      </c>
      <c r="W49" s="3">
        <v>0</v>
      </c>
    </row>
    <row r="50" spans="1:2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60</v>
      </c>
      <c r="G50" s="3" t="s">
        <v>25</v>
      </c>
      <c r="H50" s="3" t="s">
        <v>34</v>
      </c>
      <c r="I50" s="6">
        <v>44593</v>
      </c>
      <c r="J50" s="4">
        <v>8824</v>
      </c>
      <c r="K50" s="4">
        <v>7312.3944441599997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0</v>
      </c>
      <c r="S50" s="3" t="s">
        <v>160</v>
      </c>
      <c r="U50" s="3">
        <v>4</v>
      </c>
      <c r="V50" s="3">
        <v>0</v>
      </c>
      <c r="W50" s="3">
        <v>0</v>
      </c>
    </row>
    <row r="51" spans="1:23" ht="11.25" customHeight="1" x14ac:dyDescent="0.25">
      <c r="A51" s="3" t="s">
        <v>56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60</v>
      </c>
      <c r="G51" s="3" t="s">
        <v>25</v>
      </c>
      <c r="H51" s="3" t="s">
        <v>34</v>
      </c>
      <c r="I51" s="6">
        <v>44621</v>
      </c>
      <c r="J51" s="4">
        <v>8824</v>
      </c>
      <c r="K51" s="4">
        <v>7312.3944441599997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0</v>
      </c>
      <c r="S51" s="3" t="s">
        <v>161</v>
      </c>
      <c r="U51" s="3">
        <v>4</v>
      </c>
      <c r="V51" s="3">
        <v>0</v>
      </c>
      <c r="W51" s="3">
        <v>0</v>
      </c>
    </row>
    <row r="52" spans="1:2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44287</v>
      </c>
      <c r="J52" s="4">
        <v>10839</v>
      </c>
      <c r="K52" s="4">
        <v>10839</v>
      </c>
      <c r="L52" s="4">
        <v>3980.9520000000002</v>
      </c>
      <c r="M52" s="4">
        <v>3980.9520000000002</v>
      </c>
      <c r="N52" s="4">
        <v>3980.9520000000002</v>
      </c>
      <c r="O52" s="4">
        <v>3980.9520000000002</v>
      </c>
      <c r="P52" s="4">
        <v>0</v>
      </c>
      <c r="Q52" s="3" t="s">
        <v>26</v>
      </c>
      <c r="R52" s="3">
        <v>0</v>
      </c>
      <c r="S52" s="3" t="s">
        <v>126</v>
      </c>
      <c r="T52" s="3" t="s">
        <v>577</v>
      </c>
      <c r="U52" s="3">
        <v>5</v>
      </c>
      <c r="V52" s="3">
        <v>6</v>
      </c>
      <c r="W52" s="3">
        <v>87</v>
      </c>
    </row>
    <row r="53" spans="1:2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44287</v>
      </c>
      <c r="J53" s="4">
        <v>34410</v>
      </c>
      <c r="K53" s="4">
        <v>34410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0</v>
      </c>
      <c r="S53" s="3" t="s">
        <v>126</v>
      </c>
      <c r="U53" s="3">
        <v>5</v>
      </c>
      <c r="V53" s="3">
        <v>0</v>
      </c>
      <c r="W53" s="3">
        <v>0</v>
      </c>
    </row>
    <row r="54" spans="1:2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44317</v>
      </c>
      <c r="J54" s="4">
        <v>10942</v>
      </c>
      <c r="K54" s="4">
        <v>10942</v>
      </c>
      <c r="L54" s="4">
        <v>4029.835</v>
      </c>
      <c r="M54" s="4">
        <v>4029.835</v>
      </c>
      <c r="N54" s="4">
        <v>4029.835</v>
      </c>
      <c r="O54" s="4">
        <v>4029.835</v>
      </c>
      <c r="P54" s="4">
        <v>0</v>
      </c>
      <c r="Q54" s="3" t="s">
        <v>26</v>
      </c>
      <c r="R54" s="3">
        <v>0</v>
      </c>
      <c r="S54" s="3" t="s">
        <v>127</v>
      </c>
      <c r="T54" s="3" t="s">
        <v>578</v>
      </c>
      <c r="U54" s="3">
        <v>5</v>
      </c>
      <c r="V54" s="3">
        <v>6</v>
      </c>
      <c r="W54" s="3">
        <v>87</v>
      </c>
    </row>
    <row r="55" spans="1:2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44317</v>
      </c>
      <c r="J55" s="4">
        <v>34444</v>
      </c>
      <c r="K55" s="4">
        <v>34444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0</v>
      </c>
      <c r="S55" s="3" t="s">
        <v>127</v>
      </c>
      <c r="U55" s="3">
        <v>5</v>
      </c>
      <c r="V55" s="3">
        <v>0</v>
      </c>
      <c r="W55" s="3">
        <v>0</v>
      </c>
    </row>
    <row r="56" spans="1:2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44348</v>
      </c>
      <c r="J56" s="4">
        <v>10325</v>
      </c>
      <c r="K56" s="4">
        <v>10325</v>
      </c>
      <c r="L56" s="4">
        <v>3862.712</v>
      </c>
      <c r="M56" s="4">
        <v>3862.712</v>
      </c>
      <c r="N56" s="4">
        <v>3862.712</v>
      </c>
      <c r="O56" s="4">
        <v>3862.712</v>
      </c>
      <c r="P56" s="4">
        <v>0</v>
      </c>
      <c r="Q56" s="3" t="s">
        <v>26</v>
      </c>
      <c r="R56" s="3">
        <v>0</v>
      </c>
      <c r="S56" s="3" t="s">
        <v>128</v>
      </c>
      <c r="T56" s="3" t="s">
        <v>579</v>
      </c>
      <c r="U56" s="3">
        <v>5</v>
      </c>
      <c r="V56" s="3">
        <v>6</v>
      </c>
      <c r="W56" s="3">
        <v>87</v>
      </c>
    </row>
    <row r="57" spans="1:2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44348</v>
      </c>
      <c r="J57" s="4">
        <v>34262</v>
      </c>
      <c r="K57" s="4">
        <v>34262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0</v>
      </c>
      <c r="S57" s="3" t="s">
        <v>128</v>
      </c>
      <c r="U57" s="3">
        <v>5</v>
      </c>
      <c r="V57" s="3">
        <v>0</v>
      </c>
      <c r="W57" s="3">
        <v>0</v>
      </c>
    </row>
    <row r="58" spans="1:2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44378</v>
      </c>
      <c r="J58" s="4">
        <v>10465</v>
      </c>
      <c r="K58" s="4">
        <v>10465</v>
      </c>
      <c r="L58" s="4">
        <v>3960.0239999999999</v>
      </c>
      <c r="M58" s="4">
        <v>3960.0239999999999</v>
      </c>
      <c r="N58" s="4">
        <v>3960.0239999999999</v>
      </c>
      <c r="O58" s="4">
        <v>3960.0239999999999</v>
      </c>
      <c r="P58" s="4">
        <v>0</v>
      </c>
      <c r="Q58" s="3" t="s">
        <v>26</v>
      </c>
      <c r="R58" s="3">
        <v>0</v>
      </c>
      <c r="S58" s="3" t="s">
        <v>129</v>
      </c>
      <c r="T58" s="3" t="s">
        <v>580</v>
      </c>
      <c r="U58" s="3">
        <v>5</v>
      </c>
      <c r="V58" s="3">
        <v>6</v>
      </c>
      <c r="W58" s="3">
        <v>87</v>
      </c>
    </row>
    <row r="59" spans="1:2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44378</v>
      </c>
      <c r="J59" s="4">
        <v>34325</v>
      </c>
      <c r="K59" s="4">
        <v>34325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0</v>
      </c>
      <c r="S59" s="3" t="s">
        <v>129</v>
      </c>
      <c r="U59" s="3">
        <v>5</v>
      </c>
      <c r="V59" s="3">
        <v>0</v>
      </c>
      <c r="W59" s="3">
        <v>0</v>
      </c>
    </row>
    <row r="60" spans="1:2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44409</v>
      </c>
      <c r="J60" s="4">
        <v>10675</v>
      </c>
      <c r="K60" s="4">
        <v>10675</v>
      </c>
      <c r="L60" s="4">
        <v>3964.2350000000001</v>
      </c>
      <c r="M60" s="4">
        <v>3964.2350000000001</v>
      </c>
      <c r="N60" s="4">
        <v>3964.2350000000001</v>
      </c>
      <c r="O60" s="4">
        <v>3964.2350000000001</v>
      </c>
      <c r="P60" s="4">
        <v>0</v>
      </c>
      <c r="Q60" s="3" t="s">
        <v>26</v>
      </c>
      <c r="R60" s="3">
        <v>0</v>
      </c>
      <c r="S60" s="3" t="s">
        <v>130</v>
      </c>
      <c r="T60" s="3" t="s">
        <v>581</v>
      </c>
      <c r="U60" s="3">
        <v>5</v>
      </c>
      <c r="V60" s="3">
        <v>6</v>
      </c>
      <c r="W60" s="3">
        <v>87</v>
      </c>
    </row>
    <row r="61" spans="1:2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44409</v>
      </c>
      <c r="J61" s="4">
        <v>34324</v>
      </c>
      <c r="K61" s="4">
        <v>34324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0</v>
      </c>
      <c r="S61" s="3" t="s">
        <v>130</v>
      </c>
      <c r="U61" s="3">
        <v>5</v>
      </c>
      <c r="V61" s="3">
        <v>0</v>
      </c>
      <c r="W61" s="3">
        <v>0</v>
      </c>
    </row>
    <row r="62" spans="1:23" ht="11.25" customHeight="1" x14ac:dyDescent="0.25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44440</v>
      </c>
      <c r="J62" s="4">
        <v>10672</v>
      </c>
      <c r="K62" s="4">
        <v>10672</v>
      </c>
      <c r="L62" s="4">
        <v>3601.9229999999998</v>
      </c>
      <c r="M62" s="4">
        <v>3601.9229999999998</v>
      </c>
      <c r="N62" s="4">
        <v>3601.9229999999998</v>
      </c>
      <c r="O62" s="4">
        <v>3601.9229999999998</v>
      </c>
      <c r="P62" s="4">
        <v>0</v>
      </c>
      <c r="Q62" s="3" t="s">
        <v>26</v>
      </c>
      <c r="R62" s="3">
        <v>0</v>
      </c>
      <c r="S62" s="3" t="s">
        <v>131</v>
      </c>
      <c r="T62" s="3" t="s">
        <v>582</v>
      </c>
      <c r="U62" s="3">
        <v>5</v>
      </c>
      <c r="V62" s="3">
        <v>6</v>
      </c>
      <c r="W62" s="3">
        <v>87</v>
      </c>
    </row>
    <row r="63" spans="1:2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44440</v>
      </c>
      <c r="J63" s="4">
        <v>34304</v>
      </c>
      <c r="K63" s="4">
        <v>34304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0</v>
      </c>
      <c r="S63" s="3" t="s">
        <v>131</v>
      </c>
      <c r="U63" s="3">
        <v>5</v>
      </c>
      <c r="V63" s="3">
        <v>0</v>
      </c>
      <c r="W63" s="3">
        <v>0</v>
      </c>
    </row>
    <row r="64" spans="1:23" ht="11.25" customHeight="1" x14ac:dyDescent="0.25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44470</v>
      </c>
      <c r="J64" s="4">
        <v>11408</v>
      </c>
      <c r="K64" s="4">
        <v>11408</v>
      </c>
      <c r="L64" s="4">
        <v>3525.7629999999999</v>
      </c>
      <c r="M64" s="4">
        <v>3525.7629999999999</v>
      </c>
      <c r="N64" s="4">
        <v>3525.7629999999999</v>
      </c>
      <c r="O64" s="4">
        <v>3525.7629999999999</v>
      </c>
      <c r="P64" s="4">
        <v>0</v>
      </c>
      <c r="Q64" s="3" t="s">
        <v>26</v>
      </c>
      <c r="R64" s="3">
        <v>0</v>
      </c>
      <c r="S64" s="3" t="s">
        <v>132</v>
      </c>
      <c r="T64" s="3" t="s">
        <v>583</v>
      </c>
      <c r="U64" s="3">
        <v>5</v>
      </c>
      <c r="V64" s="3">
        <v>6</v>
      </c>
      <c r="W64" s="3">
        <v>87</v>
      </c>
    </row>
    <row r="65" spans="1:2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44470</v>
      </c>
      <c r="J65" s="4">
        <v>34372</v>
      </c>
      <c r="K65" s="4">
        <v>34372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0</v>
      </c>
      <c r="S65" s="3" t="s">
        <v>132</v>
      </c>
      <c r="U65" s="3">
        <v>5</v>
      </c>
      <c r="V65" s="3">
        <v>0</v>
      </c>
      <c r="W65" s="3">
        <v>0</v>
      </c>
    </row>
    <row r="66" spans="1:2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35</v>
      </c>
      <c r="I66" s="6">
        <v>44501</v>
      </c>
      <c r="J66" s="4">
        <v>13314</v>
      </c>
      <c r="K66" s="4">
        <v>13314</v>
      </c>
      <c r="L66" s="4">
        <v>3538.7069999999999</v>
      </c>
      <c r="M66" s="4">
        <v>3538.7069999999999</v>
      </c>
      <c r="N66" s="4">
        <v>3538.7069999999999</v>
      </c>
      <c r="O66" s="4">
        <v>3538.7069999999999</v>
      </c>
      <c r="P66" s="4">
        <v>0</v>
      </c>
      <c r="Q66" s="3" t="s">
        <v>26</v>
      </c>
      <c r="R66" s="3">
        <v>0</v>
      </c>
      <c r="S66" s="3" t="s">
        <v>133</v>
      </c>
      <c r="T66" s="3" t="s">
        <v>584</v>
      </c>
      <c r="U66" s="3">
        <v>5</v>
      </c>
      <c r="V66" s="3">
        <v>6</v>
      </c>
      <c r="W66" s="3">
        <v>87</v>
      </c>
    </row>
    <row r="67" spans="1:2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35</v>
      </c>
      <c r="I67" s="6">
        <v>44501</v>
      </c>
      <c r="J67" s="4">
        <v>29000</v>
      </c>
      <c r="K67" s="4">
        <v>29000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0</v>
      </c>
      <c r="S67" s="3" t="s">
        <v>133</v>
      </c>
      <c r="U67" s="3">
        <v>5</v>
      </c>
      <c r="V67" s="3">
        <v>0</v>
      </c>
      <c r="W67" s="3">
        <v>0</v>
      </c>
    </row>
    <row r="68" spans="1:2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35</v>
      </c>
      <c r="I68" s="6">
        <v>44531</v>
      </c>
      <c r="J68" s="4">
        <v>10912</v>
      </c>
      <c r="K68" s="4">
        <v>10912</v>
      </c>
      <c r="L68" s="4">
        <v>3660.768</v>
      </c>
      <c r="M68" s="4">
        <v>3660.768</v>
      </c>
      <c r="N68" s="4">
        <v>3660.768</v>
      </c>
      <c r="O68" s="4">
        <v>3660.768</v>
      </c>
      <c r="P68" s="4">
        <v>0</v>
      </c>
      <c r="Q68" s="3" t="s">
        <v>26</v>
      </c>
      <c r="R68" s="3">
        <v>0</v>
      </c>
      <c r="S68" s="3" t="s">
        <v>134</v>
      </c>
      <c r="T68" s="3" t="s">
        <v>585</v>
      </c>
      <c r="U68" s="3">
        <v>5</v>
      </c>
      <c r="V68" s="3">
        <v>6</v>
      </c>
      <c r="W68" s="3">
        <v>87</v>
      </c>
    </row>
    <row r="69" spans="1:2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35</v>
      </c>
      <c r="I69" s="6">
        <v>44531</v>
      </c>
      <c r="J69" s="4">
        <v>29000</v>
      </c>
      <c r="K69" s="4">
        <v>29000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R69" s="3">
        <v>0</v>
      </c>
      <c r="S69" s="3" t="s">
        <v>134</v>
      </c>
      <c r="U69" s="3">
        <v>5</v>
      </c>
      <c r="V69" s="3">
        <v>0</v>
      </c>
      <c r="W69" s="3">
        <v>0</v>
      </c>
    </row>
    <row r="70" spans="1:2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35</v>
      </c>
      <c r="I70" s="6">
        <v>44562</v>
      </c>
      <c r="J70" s="4">
        <v>10869</v>
      </c>
      <c r="K70" s="4">
        <v>10869</v>
      </c>
      <c r="L70" s="4">
        <v>3110.2190000000001</v>
      </c>
      <c r="M70" s="4">
        <v>3110.2190000000001</v>
      </c>
      <c r="N70" s="4">
        <v>3110.2190000000001</v>
      </c>
      <c r="O70" s="4">
        <v>3110.2190000000001</v>
      </c>
      <c r="P70" s="4">
        <v>0</v>
      </c>
      <c r="Q70" s="3" t="s">
        <v>26</v>
      </c>
      <c r="R70" s="3">
        <v>0</v>
      </c>
      <c r="S70" s="3" t="s">
        <v>135</v>
      </c>
      <c r="T70" s="3" t="s">
        <v>586</v>
      </c>
      <c r="U70" s="3">
        <v>5</v>
      </c>
      <c r="V70" s="3">
        <v>6</v>
      </c>
      <c r="W70" s="3">
        <v>87</v>
      </c>
    </row>
    <row r="71" spans="1:23" ht="11.25" customHeight="1" x14ac:dyDescent="0.25">
      <c r="A71" s="3" t="s">
        <v>27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35</v>
      </c>
      <c r="I71" s="6">
        <v>44562</v>
      </c>
      <c r="J71" s="4">
        <v>0</v>
      </c>
      <c r="K71" s="4">
        <v>0</v>
      </c>
      <c r="L71" s="4">
        <v>56</v>
      </c>
      <c r="M71" s="4">
        <v>56</v>
      </c>
      <c r="N71" s="4">
        <v>56</v>
      </c>
      <c r="O71" s="4">
        <v>56</v>
      </c>
      <c r="P71" s="4">
        <v>0</v>
      </c>
      <c r="Q71" s="3" t="s">
        <v>26</v>
      </c>
      <c r="R71" s="3">
        <v>0</v>
      </c>
      <c r="S71" s="3" t="s">
        <v>135</v>
      </c>
      <c r="T71" s="3" t="s">
        <v>586</v>
      </c>
      <c r="U71" s="3">
        <v>0</v>
      </c>
      <c r="V71" s="3">
        <v>6</v>
      </c>
      <c r="W71" s="3">
        <v>87</v>
      </c>
    </row>
    <row r="72" spans="1:2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35</v>
      </c>
      <c r="I72" s="6">
        <v>44562</v>
      </c>
      <c r="J72" s="4">
        <v>34485</v>
      </c>
      <c r="K72" s="4">
        <v>34485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R72" s="3">
        <v>0</v>
      </c>
      <c r="S72" s="3" t="s">
        <v>135</v>
      </c>
      <c r="U72" s="3">
        <v>5</v>
      </c>
      <c r="V72" s="3">
        <v>0</v>
      </c>
      <c r="W72" s="3">
        <v>0</v>
      </c>
    </row>
    <row r="73" spans="1:2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35</v>
      </c>
      <c r="I73" s="6">
        <v>44593</v>
      </c>
      <c r="J73" s="4">
        <v>10836</v>
      </c>
      <c r="K73" s="4">
        <v>10836</v>
      </c>
      <c r="L73" s="4">
        <v>3208.0810000000001</v>
      </c>
      <c r="M73" s="4">
        <v>3208.0810000000001</v>
      </c>
      <c r="N73" s="4">
        <v>3208.0810000000001</v>
      </c>
      <c r="O73" s="4">
        <v>3208.0810000000001</v>
      </c>
      <c r="P73" s="4">
        <v>0</v>
      </c>
      <c r="Q73" s="3" t="s">
        <v>26</v>
      </c>
      <c r="R73" s="3">
        <v>0</v>
      </c>
      <c r="S73" s="3" t="s">
        <v>136</v>
      </c>
      <c r="T73" s="3" t="s">
        <v>587</v>
      </c>
      <c r="U73" s="3">
        <v>5</v>
      </c>
      <c r="V73" s="3">
        <v>6</v>
      </c>
      <c r="W73" s="3">
        <v>87</v>
      </c>
    </row>
    <row r="74" spans="1:23" ht="11.25" customHeight="1" x14ac:dyDescent="0.25">
      <c r="A74" s="3" t="s">
        <v>21</v>
      </c>
      <c r="B74" s="3" t="s">
        <v>39</v>
      </c>
      <c r="C74" s="3" t="s">
        <v>40</v>
      </c>
      <c r="D74" s="3" t="s">
        <v>38</v>
      </c>
      <c r="E74" s="3" t="s">
        <v>25</v>
      </c>
      <c r="F74" s="3" t="s">
        <v>25</v>
      </c>
      <c r="G74" s="3" t="s">
        <v>25</v>
      </c>
      <c r="H74" s="3" t="s">
        <v>35</v>
      </c>
      <c r="I74" s="6">
        <v>44593</v>
      </c>
      <c r="J74" s="4">
        <v>29000</v>
      </c>
      <c r="K74" s="4">
        <v>29000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R74" s="3">
        <v>0</v>
      </c>
      <c r="S74" s="3" t="s">
        <v>136</v>
      </c>
      <c r="U74" s="3">
        <v>5</v>
      </c>
      <c r="V74" s="3">
        <v>0</v>
      </c>
      <c r="W74" s="3">
        <v>0</v>
      </c>
    </row>
    <row r="75" spans="1:23" ht="11.25" customHeight="1" x14ac:dyDescent="0.25">
      <c r="A75" s="3" t="s">
        <v>56</v>
      </c>
      <c r="B75" s="3" t="s">
        <v>39</v>
      </c>
      <c r="C75" s="3" t="s">
        <v>40</v>
      </c>
      <c r="D75" s="3" t="s">
        <v>38</v>
      </c>
      <c r="E75" s="3" t="s">
        <v>25</v>
      </c>
      <c r="F75" s="3" t="s">
        <v>25</v>
      </c>
      <c r="G75" s="3" t="s">
        <v>25</v>
      </c>
      <c r="H75" s="3" t="s">
        <v>35</v>
      </c>
      <c r="I75" s="6">
        <v>44621</v>
      </c>
      <c r="J75" s="4">
        <v>10836</v>
      </c>
      <c r="K75" s="4">
        <v>10836</v>
      </c>
      <c r="L75" s="4">
        <v>3208.0810000000001</v>
      </c>
      <c r="M75" s="4">
        <v>3208.0810000000001</v>
      </c>
      <c r="N75" s="4">
        <v>3208.0810000000001</v>
      </c>
      <c r="O75" s="4">
        <v>3208.0810000000001</v>
      </c>
      <c r="P75" s="4">
        <v>0</v>
      </c>
      <c r="Q75" s="3" t="s">
        <v>26</v>
      </c>
      <c r="R75" s="3">
        <v>0</v>
      </c>
      <c r="S75" s="3" t="s">
        <v>137</v>
      </c>
      <c r="T75" s="3" t="s">
        <v>588</v>
      </c>
      <c r="U75" s="3">
        <v>5</v>
      </c>
      <c r="V75" s="3">
        <v>6</v>
      </c>
      <c r="W75" s="3">
        <v>87</v>
      </c>
    </row>
    <row r="76" spans="1:23" ht="11.25" customHeight="1" x14ac:dyDescent="0.25">
      <c r="A76" s="3" t="s">
        <v>56</v>
      </c>
      <c r="B76" s="3" t="s">
        <v>39</v>
      </c>
      <c r="C76" s="3" t="s">
        <v>40</v>
      </c>
      <c r="D76" s="3" t="s">
        <v>38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44621</v>
      </c>
      <c r="J76" s="4">
        <v>29000</v>
      </c>
      <c r="K76" s="4">
        <v>29000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R76" s="3">
        <v>0</v>
      </c>
      <c r="S76" s="3" t="s">
        <v>137</v>
      </c>
      <c r="U76" s="3">
        <v>5</v>
      </c>
      <c r="V76" s="3">
        <v>0</v>
      </c>
      <c r="W76" s="3">
        <v>0</v>
      </c>
    </row>
    <row r="77" spans="1:23" ht="11.25" customHeight="1" x14ac:dyDescent="0.25">
      <c r="A77" s="3" t="s">
        <v>21</v>
      </c>
      <c r="B77" s="3" t="s">
        <v>39</v>
      </c>
      <c r="C77" s="3" t="s">
        <v>40</v>
      </c>
      <c r="D77" s="3" t="s">
        <v>38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44287</v>
      </c>
      <c r="J77" s="4">
        <v>0</v>
      </c>
      <c r="K77" s="4">
        <v>0</v>
      </c>
      <c r="L77" s="4">
        <v>17535.516</v>
      </c>
      <c r="M77" s="4">
        <v>17535.516</v>
      </c>
      <c r="N77" s="4">
        <v>0</v>
      </c>
      <c r="O77" s="4">
        <v>0</v>
      </c>
      <c r="P77" s="4">
        <v>5</v>
      </c>
      <c r="Q77" s="3" t="s">
        <v>57</v>
      </c>
      <c r="R77" s="3">
        <v>0</v>
      </c>
      <c r="S77" s="3" t="s">
        <v>138</v>
      </c>
      <c r="U77" s="3">
        <v>0</v>
      </c>
      <c r="V77" s="3">
        <v>6</v>
      </c>
      <c r="W77" s="3">
        <v>0</v>
      </c>
    </row>
    <row r="78" spans="1:23" ht="11.25" customHeight="1" x14ac:dyDescent="0.25">
      <c r="A78" s="3" t="s">
        <v>27</v>
      </c>
      <c r="B78" s="3" t="s">
        <v>39</v>
      </c>
      <c r="C78" s="3" t="s">
        <v>40</v>
      </c>
      <c r="D78" s="3" t="s">
        <v>38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44287</v>
      </c>
      <c r="J78" s="4">
        <v>0</v>
      </c>
      <c r="K78" s="4">
        <v>0</v>
      </c>
      <c r="L78" s="4">
        <v>-8611.0249999999996</v>
      </c>
      <c r="M78" s="4">
        <v>-8611.0249999999996</v>
      </c>
      <c r="N78" s="4">
        <v>0</v>
      </c>
      <c r="O78" s="4">
        <v>0</v>
      </c>
      <c r="P78" s="4">
        <v>0</v>
      </c>
      <c r="Q78" s="3" t="s">
        <v>57</v>
      </c>
      <c r="R78" s="3">
        <v>0</v>
      </c>
      <c r="S78" s="3" t="s">
        <v>138</v>
      </c>
      <c r="U78" s="3">
        <v>0</v>
      </c>
      <c r="V78" s="3">
        <v>6</v>
      </c>
      <c r="W78" s="3">
        <v>0</v>
      </c>
    </row>
    <row r="79" spans="1:23" ht="11.25" customHeight="1" x14ac:dyDescent="0.25">
      <c r="A79" s="3" t="s">
        <v>21</v>
      </c>
      <c r="B79" s="3" t="s">
        <v>39</v>
      </c>
      <c r="C79" s="3" t="s">
        <v>40</v>
      </c>
      <c r="D79" s="3" t="s">
        <v>38</v>
      </c>
      <c r="E79" s="3" t="s">
        <v>25</v>
      </c>
      <c r="F79" s="3" t="s">
        <v>25</v>
      </c>
      <c r="G79" s="3" t="s">
        <v>25</v>
      </c>
      <c r="H79" s="3" t="s">
        <v>25</v>
      </c>
      <c r="I79" s="6">
        <v>44317</v>
      </c>
      <c r="J79" s="4">
        <v>0</v>
      </c>
      <c r="K79" s="4">
        <v>0</v>
      </c>
      <c r="L79" s="4">
        <v>16297.62</v>
      </c>
      <c r="M79" s="4">
        <v>16297.62</v>
      </c>
      <c r="N79" s="4">
        <v>0</v>
      </c>
      <c r="O79" s="4">
        <v>0</v>
      </c>
      <c r="P79" s="4">
        <v>5</v>
      </c>
      <c r="Q79" s="3" t="s">
        <v>57</v>
      </c>
      <c r="R79" s="3">
        <v>0</v>
      </c>
      <c r="S79" s="3" t="s">
        <v>139</v>
      </c>
      <c r="U79" s="3">
        <v>0</v>
      </c>
      <c r="V79" s="3">
        <v>6</v>
      </c>
      <c r="W79" s="3">
        <v>0</v>
      </c>
    </row>
    <row r="80" spans="1:23" ht="11.25" customHeight="1" x14ac:dyDescent="0.25">
      <c r="A80" s="3" t="s">
        <v>27</v>
      </c>
      <c r="B80" s="3" t="s">
        <v>39</v>
      </c>
      <c r="C80" s="3" t="s">
        <v>40</v>
      </c>
      <c r="D80" s="3" t="s">
        <v>38</v>
      </c>
      <c r="E80" s="3" t="s">
        <v>25</v>
      </c>
      <c r="F80" s="3" t="s">
        <v>25</v>
      </c>
      <c r="G80" s="3" t="s">
        <v>25</v>
      </c>
      <c r="H80" s="3" t="s">
        <v>25</v>
      </c>
      <c r="I80" s="6">
        <v>44317</v>
      </c>
      <c r="J80" s="4">
        <v>0</v>
      </c>
      <c r="K80" s="4">
        <v>0</v>
      </c>
      <c r="L80" s="4">
        <v>-9286.5879999999997</v>
      </c>
      <c r="M80" s="4">
        <v>-9286.5879999999997</v>
      </c>
      <c r="N80" s="4">
        <v>0</v>
      </c>
      <c r="O80" s="4">
        <v>0</v>
      </c>
      <c r="P80" s="4">
        <v>0</v>
      </c>
      <c r="Q80" s="3" t="s">
        <v>57</v>
      </c>
      <c r="R80" s="3">
        <v>0</v>
      </c>
      <c r="S80" s="3" t="s">
        <v>139</v>
      </c>
      <c r="U80" s="3">
        <v>0</v>
      </c>
      <c r="V80" s="3">
        <v>6</v>
      </c>
      <c r="W80" s="3">
        <v>0</v>
      </c>
    </row>
    <row r="81" spans="1:23" ht="11.25" customHeight="1" x14ac:dyDescent="0.25">
      <c r="A81" s="3" t="s">
        <v>21</v>
      </c>
      <c r="B81" s="3" t="s">
        <v>39</v>
      </c>
      <c r="C81" s="3" t="s">
        <v>40</v>
      </c>
      <c r="D81" s="3" t="s">
        <v>38</v>
      </c>
      <c r="E81" s="3" t="s">
        <v>25</v>
      </c>
      <c r="F81" s="3" t="s">
        <v>25</v>
      </c>
      <c r="G81" s="3" t="s">
        <v>25</v>
      </c>
      <c r="H81" s="3" t="s">
        <v>25</v>
      </c>
      <c r="I81" s="6">
        <v>44348</v>
      </c>
      <c r="J81" s="4">
        <v>0</v>
      </c>
      <c r="K81" s="4">
        <v>0</v>
      </c>
      <c r="L81" s="4">
        <v>16579.490000000002</v>
      </c>
      <c r="M81" s="4">
        <v>16579.490000000002</v>
      </c>
      <c r="N81" s="4">
        <v>0</v>
      </c>
      <c r="O81" s="4">
        <v>0</v>
      </c>
      <c r="P81" s="4">
        <v>5</v>
      </c>
      <c r="Q81" s="3" t="s">
        <v>57</v>
      </c>
      <c r="R81" s="3">
        <v>0</v>
      </c>
      <c r="S81" s="3" t="s">
        <v>140</v>
      </c>
      <c r="U81" s="3">
        <v>0</v>
      </c>
      <c r="V81" s="3">
        <v>6</v>
      </c>
      <c r="W81" s="3">
        <v>0</v>
      </c>
    </row>
    <row r="82" spans="1:23" ht="11.25" customHeight="1" x14ac:dyDescent="0.25">
      <c r="A82" s="3" t="s">
        <v>27</v>
      </c>
      <c r="B82" s="3" t="s">
        <v>39</v>
      </c>
      <c r="C82" s="3" t="s">
        <v>40</v>
      </c>
      <c r="D82" s="3" t="s">
        <v>38</v>
      </c>
      <c r="E82" s="3" t="s">
        <v>25</v>
      </c>
      <c r="F82" s="3" t="s">
        <v>25</v>
      </c>
      <c r="G82" s="3" t="s">
        <v>25</v>
      </c>
      <c r="H82" s="3" t="s">
        <v>25</v>
      </c>
      <c r="I82" s="6">
        <v>44348</v>
      </c>
      <c r="J82" s="4">
        <v>0</v>
      </c>
      <c r="K82" s="4">
        <v>0</v>
      </c>
      <c r="L82" s="4">
        <v>-8567.4310000000005</v>
      </c>
      <c r="M82" s="4">
        <v>-8567.4310000000005</v>
      </c>
      <c r="N82" s="4">
        <v>0</v>
      </c>
      <c r="O82" s="4">
        <v>0</v>
      </c>
      <c r="P82" s="4">
        <v>0</v>
      </c>
      <c r="Q82" s="3" t="s">
        <v>57</v>
      </c>
      <c r="R82" s="3">
        <v>0</v>
      </c>
      <c r="S82" s="3" t="s">
        <v>140</v>
      </c>
      <c r="U82" s="3">
        <v>0</v>
      </c>
      <c r="V82" s="3">
        <v>6</v>
      </c>
      <c r="W82" s="3">
        <v>0</v>
      </c>
    </row>
    <row r="83" spans="1:23" ht="11.25" customHeight="1" x14ac:dyDescent="0.25">
      <c r="A83" s="3" t="s">
        <v>21</v>
      </c>
      <c r="B83" s="3" t="s">
        <v>39</v>
      </c>
      <c r="C83" s="3" t="s">
        <v>40</v>
      </c>
      <c r="D83" s="3" t="s">
        <v>38</v>
      </c>
      <c r="E83" s="3" t="s">
        <v>25</v>
      </c>
      <c r="F83" s="3" t="s">
        <v>25</v>
      </c>
      <c r="G83" s="3" t="s">
        <v>25</v>
      </c>
      <c r="H83" s="3" t="s">
        <v>25</v>
      </c>
      <c r="I83" s="6">
        <v>44378</v>
      </c>
      <c r="J83" s="4">
        <v>0</v>
      </c>
      <c r="K83" s="4">
        <v>0</v>
      </c>
      <c r="L83" s="4">
        <v>16228.864</v>
      </c>
      <c r="M83" s="4">
        <v>16228.864</v>
      </c>
      <c r="N83" s="4">
        <v>0</v>
      </c>
      <c r="O83" s="4">
        <v>0</v>
      </c>
      <c r="P83" s="4">
        <v>5</v>
      </c>
      <c r="Q83" s="3" t="s">
        <v>57</v>
      </c>
      <c r="R83" s="3">
        <v>0</v>
      </c>
      <c r="S83" s="3" t="s">
        <v>141</v>
      </c>
      <c r="U83" s="3">
        <v>0</v>
      </c>
      <c r="V83" s="3">
        <v>6</v>
      </c>
      <c r="W83" s="3">
        <v>0</v>
      </c>
    </row>
    <row r="84" spans="1:23" ht="11.25" customHeight="1" x14ac:dyDescent="0.25">
      <c r="A84" s="3" t="s">
        <v>27</v>
      </c>
      <c r="B84" s="3" t="s">
        <v>39</v>
      </c>
      <c r="C84" s="3" t="s">
        <v>40</v>
      </c>
      <c r="D84" s="3" t="s">
        <v>38</v>
      </c>
      <c r="E84" s="3" t="s">
        <v>25</v>
      </c>
      <c r="F84" s="3" t="s">
        <v>25</v>
      </c>
      <c r="G84" s="3" t="s">
        <v>25</v>
      </c>
      <c r="H84" s="3" t="s">
        <v>25</v>
      </c>
      <c r="I84" s="6">
        <v>44378</v>
      </c>
      <c r="J84" s="4">
        <v>0</v>
      </c>
      <c r="K84" s="4">
        <v>0</v>
      </c>
      <c r="L84" s="4">
        <v>-8502.1830000000009</v>
      </c>
      <c r="M84" s="4">
        <v>-8502.1830000000009</v>
      </c>
      <c r="N84" s="4">
        <v>0</v>
      </c>
      <c r="O84" s="4">
        <v>0</v>
      </c>
      <c r="P84" s="4">
        <v>0</v>
      </c>
      <c r="Q84" s="3" t="s">
        <v>57</v>
      </c>
      <c r="R84" s="3">
        <v>0</v>
      </c>
      <c r="S84" s="3" t="s">
        <v>141</v>
      </c>
      <c r="U84" s="3">
        <v>0</v>
      </c>
      <c r="V84" s="3">
        <v>6</v>
      </c>
      <c r="W84" s="3">
        <v>0</v>
      </c>
    </row>
    <row r="85" spans="1:23" ht="11.25" customHeight="1" x14ac:dyDescent="0.25">
      <c r="A85" s="3" t="s">
        <v>21</v>
      </c>
      <c r="B85" s="3" t="s">
        <v>39</v>
      </c>
      <c r="C85" s="3" t="s">
        <v>40</v>
      </c>
      <c r="D85" s="3" t="s">
        <v>38</v>
      </c>
      <c r="E85" s="3" t="s">
        <v>25</v>
      </c>
      <c r="F85" s="3" t="s">
        <v>25</v>
      </c>
      <c r="G85" s="3" t="s">
        <v>25</v>
      </c>
      <c r="H85" s="3" t="s">
        <v>25</v>
      </c>
      <c r="I85" s="6">
        <v>44409</v>
      </c>
      <c r="J85" s="4">
        <v>0</v>
      </c>
      <c r="K85" s="4">
        <v>0</v>
      </c>
      <c r="L85" s="4">
        <v>16190.949000000001</v>
      </c>
      <c r="M85" s="4">
        <v>16190.949000000001</v>
      </c>
      <c r="N85" s="4">
        <v>0</v>
      </c>
      <c r="O85" s="4">
        <v>0</v>
      </c>
      <c r="P85" s="4">
        <v>5</v>
      </c>
      <c r="Q85" s="3" t="s">
        <v>57</v>
      </c>
      <c r="R85" s="3">
        <v>0</v>
      </c>
      <c r="S85" s="3" t="s">
        <v>142</v>
      </c>
      <c r="U85" s="3">
        <v>0</v>
      </c>
      <c r="V85" s="3">
        <v>6</v>
      </c>
      <c r="W85" s="3">
        <v>0</v>
      </c>
    </row>
    <row r="86" spans="1:23" ht="11.25" customHeight="1" x14ac:dyDescent="0.25">
      <c r="A86" s="3" t="s">
        <v>27</v>
      </c>
      <c r="B86" s="3" t="s">
        <v>39</v>
      </c>
      <c r="C86" s="3" t="s">
        <v>40</v>
      </c>
      <c r="D86" s="3" t="s">
        <v>38</v>
      </c>
      <c r="E86" s="3" t="s">
        <v>25</v>
      </c>
      <c r="F86" s="3" t="s">
        <v>25</v>
      </c>
      <c r="G86" s="3" t="s">
        <v>25</v>
      </c>
      <c r="H86" s="3" t="s">
        <v>25</v>
      </c>
      <c r="I86" s="6">
        <v>44409</v>
      </c>
      <c r="J86" s="4">
        <v>0</v>
      </c>
      <c r="K86" s="4">
        <v>0</v>
      </c>
      <c r="L86" s="4">
        <v>-8514.0499999999993</v>
      </c>
      <c r="M86" s="4">
        <v>-8514.0499999999993</v>
      </c>
      <c r="N86" s="4">
        <v>0</v>
      </c>
      <c r="O86" s="4">
        <v>0</v>
      </c>
      <c r="P86" s="4">
        <v>0</v>
      </c>
      <c r="Q86" s="3" t="s">
        <v>57</v>
      </c>
      <c r="R86" s="3">
        <v>0</v>
      </c>
      <c r="S86" s="3" t="s">
        <v>142</v>
      </c>
      <c r="U86" s="3">
        <v>0</v>
      </c>
      <c r="V86" s="3">
        <v>6</v>
      </c>
      <c r="W86" s="3">
        <v>0</v>
      </c>
    </row>
    <row r="87" spans="1:23" ht="11.25" customHeight="1" x14ac:dyDescent="0.25">
      <c r="A87" s="3" t="s">
        <v>21</v>
      </c>
      <c r="B87" s="3" t="s">
        <v>39</v>
      </c>
      <c r="C87" s="3" t="s">
        <v>40</v>
      </c>
      <c r="D87" s="3" t="s">
        <v>38</v>
      </c>
      <c r="E87" s="3" t="s">
        <v>25</v>
      </c>
      <c r="F87" s="3" t="s">
        <v>25</v>
      </c>
      <c r="G87" s="3" t="s">
        <v>25</v>
      </c>
      <c r="H87" s="3" t="s">
        <v>25</v>
      </c>
      <c r="I87" s="6">
        <v>44440</v>
      </c>
      <c r="J87" s="4">
        <v>0</v>
      </c>
      <c r="K87" s="4">
        <v>0</v>
      </c>
      <c r="L87" s="4">
        <v>16741.626</v>
      </c>
      <c r="M87" s="4">
        <v>16741.626</v>
      </c>
      <c r="N87" s="4">
        <v>0</v>
      </c>
      <c r="O87" s="4">
        <v>0</v>
      </c>
      <c r="P87" s="4">
        <v>5</v>
      </c>
      <c r="Q87" s="3" t="s">
        <v>57</v>
      </c>
      <c r="R87" s="3">
        <v>0</v>
      </c>
      <c r="S87" s="3" t="s">
        <v>143</v>
      </c>
      <c r="U87" s="3">
        <v>0</v>
      </c>
      <c r="V87" s="3">
        <v>6</v>
      </c>
      <c r="W87" s="3">
        <v>0</v>
      </c>
    </row>
    <row r="88" spans="1:23" ht="11.25" customHeight="1" x14ac:dyDescent="0.25">
      <c r="A88" s="3" t="s">
        <v>27</v>
      </c>
      <c r="B88" s="3" t="s">
        <v>39</v>
      </c>
      <c r="C88" s="3" t="s">
        <v>40</v>
      </c>
      <c r="D88" s="3" t="s">
        <v>38</v>
      </c>
      <c r="E88" s="3" t="s">
        <v>25</v>
      </c>
      <c r="F88" s="3" t="s">
        <v>25</v>
      </c>
      <c r="G88" s="3" t="s">
        <v>25</v>
      </c>
      <c r="H88" s="3" t="s">
        <v>25</v>
      </c>
      <c r="I88" s="6">
        <v>44440</v>
      </c>
      <c r="J88" s="4">
        <v>0</v>
      </c>
      <c r="K88" s="4">
        <v>0</v>
      </c>
      <c r="L88" s="4">
        <v>-8410.0169999999998</v>
      </c>
      <c r="M88" s="4">
        <v>-8410.0169999999998</v>
      </c>
      <c r="N88" s="4">
        <v>0</v>
      </c>
      <c r="O88" s="4">
        <v>0</v>
      </c>
      <c r="P88" s="4">
        <v>0</v>
      </c>
      <c r="Q88" s="3" t="s">
        <v>57</v>
      </c>
      <c r="R88" s="3">
        <v>0</v>
      </c>
      <c r="S88" s="3" t="s">
        <v>143</v>
      </c>
      <c r="U88" s="3">
        <v>0</v>
      </c>
      <c r="V88" s="3">
        <v>6</v>
      </c>
      <c r="W88" s="3">
        <v>0</v>
      </c>
    </row>
    <row r="89" spans="1:23" ht="11.25" customHeight="1" x14ac:dyDescent="0.25">
      <c r="A89" s="3" t="s">
        <v>21</v>
      </c>
      <c r="B89" s="3" t="s">
        <v>39</v>
      </c>
      <c r="C89" s="3" t="s">
        <v>40</v>
      </c>
      <c r="D89" s="3" t="s">
        <v>38</v>
      </c>
      <c r="E89" s="3" t="s">
        <v>25</v>
      </c>
      <c r="F89" s="3" t="s">
        <v>25</v>
      </c>
      <c r="G89" s="3" t="s">
        <v>25</v>
      </c>
      <c r="H89" s="3" t="s">
        <v>25</v>
      </c>
      <c r="I89" s="6">
        <v>44470</v>
      </c>
      <c r="J89" s="4">
        <v>0</v>
      </c>
      <c r="K89" s="4">
        <v>0</v>
      </c>
      <c r="L89" s="4">
        <v>16446.648000000001</v>
      </c>
      <c r="M89" s="4">
        <v>16446.648000000001</v>
      </c>
      <c r="N89" s="4">
        <v>0</v>
      </c>
      <c r="O89" s="4">
        <v>0</v>
      </c>
      <c r="P89" s="4">
        <v>5</v>
      </c>
      <c r="Q89" s="3" t="s">
        <v>57</v>
      </c>
      <c r="R89" s="3">
        <v>0</v>
      </c>
      <c r="S89" s="3" t="s">
        <v>144</v>
      </c>
      <c r="U89" s="3">
        <v>0</v>
      </c>
      <c r="V89" s="3">
        <v>6</v>
      </c>
      <c r="W89" s="3">
        <v>0</v>
      </c>
    </row>
    <row r="90" spans="1:23" ht="11.25" customHeight="1" x14ac:dyDescent="0.25">
      <c r="A90" s="3" t="s">
        <v>27</v>
      </c>
      <c r="B90" s="3" t="s">
        <v>39</v>
      </c>
      <c r="C90" s="3" t="s">
        <v>40</v>
      </c>
      <c r="D90" s="3" t="s">
        <v>38</v>
      </c>
      <c r="E90" s="3" t="s">
        <v>25</v>
      </c>
      <c r="F90" s="3" t="s">
        <v>25</v>
      </c>
      <c r="G90" s="3" t="s">
        <v>25</v>
      </c>
      <c r="H90" s="3" t="s">
        <v>25</v>
      </c>
      <c r="I90" s="6">
        <v>44470</v>
      </c>
      <c r="J90" s="4">
        <v>0</v>
      </c>
      <c r="K90" s="4">
        <v>0</v>
      </c>
      <c r="L90" s="4">
        <v>-10005.154</v>
      </c>
      <c r="M90" s="4">
        <v>-10005.154</v>
      </c>
      <c r="N90" s="4">
        <v>0</v>
      </c>
      <c r="O90" s="4">
        <v>0</v>
      </c>
      <c r="P90" s="4">
        <v>0</v>
      </c>
      <c r="Q90" s="3" t="s">
        <v>57</v>
      </c>
      <c r="R90" s="3">
        <v>0</v>
      </c>
      <c r="S90" s="3" t="s">
        <v>144</v>
      </c>
      <c r="U90" s="3">
        <v>0</v>
      </c>
      <c r="V90" s="3">
        <v>6</v>
      </c>
      <c r="W90" s="3">
        <v>0</v>
      </c>
    </row>
    <row r="91" spans="1:23" ht="11.25" customHeight="1" x14ac:dyDescent="0.25">
      <c r="A91" s="3" t="s">
        <v>21</v>
      </c>
      <c r="B91" s="3" t="s">
        <v>39</v>
      </c>
      <c r="C91" s="3" t="s">
        <v>40</v>
      </c>
      <c r="D91" s="3" t="s">
        <v>38</v>
      </c>
      <c r="E91" s="3" t="s">
        <v>25</v>
      </c>
      <c r="F91" s="3" t="s">
        <v>25</v>
      </c>
      <c r="G91" s="3" t="s">
        <v>25</v>
      </c>
      <c r="H91" s="3" t="s">
        <v>25</v>
      </c>
      <c r="I91" s="6">
        <v>44501</v>
      </c>
      <c r="J91" s="4">
        <v>0</v>
      </c>
      <c r="K91" s="4">
        <v>0</v>
      </c>
      <c r="L91" s="4">
        <v>13548.636</v>
      </c>
      <c r="M91" s="4">
        <v>13548.636</v>
      </c>
      <c r="N91" s="4">
        <v>0</v>
      </c>
      <c r="O91" s="4">
        <v>0</v>
      </c>
      <c r="P91" s="4">
        <v>4</v>
      </c>
      <c r="Q91" s="3" t="s">
        <v>57</v>
      </c>
      <c r="R91" s="3">
        <v>0</v>
      </c>
      <c r="S91" s="3" t="s">
        <v>145</v>
      </c>
      <c r="U91" s="3">
        <v>0</v>
      </c>
      <c r="V91" s="3">
        <v>6</v>
      </c>
      <c r="W91" s="3">
        <v>0</v>
      </c>
    </row>
    <row r="92" spans="1:23" ht="11.25" customHeight="1" x14ac:dyDescent="0.25">
      <c r="A92" s="3" t="s">
        <v>27</v>
      </c>
      <c r="B92" s="3" t="s">
        <v>39</v>
      </c>
      <c r="C92" s="3" t="s">
        <v>40</v>
      </c>
      <c r="D92" s="3" t="s">
        <v>38</v>
      </c>
      <c r="E92" s="3" t="s">
        <v>25</v>
      </c>
      <c r="F92" s="3" t="s">
        <v>25</v>
      </c>
      <c r="G92" s="3" t="s">
        <v>25</v>
      </c>
      <c r="H92" s="3" t="s">
        <v>25</v>
      </c>
      <c r="I92" s="6">
        <v>44501</v>
      </c>
      <c r="J92" s="4">
        <v>0</v>
      </c>
      <c r="K92" s="4">
        <v>0</v>
      </c>
      <c r="L92" s="4">
        <v>-10221.031000000001</v>
      </c>
      <c r="M92" s="4">
        <v>-10221.031000000001</v>
      </c>
      <c r="N92" s="4">
        <v>0</v>
      </c>
      <c r="O92" s="4">
        <v>0</v>
      </c>
      <c r="P92" s="4">
        <v>0</v>
      </c>
      <c r="Q92" s="3" t="s">
        <v>57</v>
      </c>
      <c r="R92" s="3">
        <v>0</v>
      </c>
      <c r="S92" s="3" t="s">
        <v>145</v>
      </c>
      <c r="U92" s="3">
        <v>0</v>
      </c>
      <c r="V92" s="3">
        <v>6</v>
      </c>
      <c r="W92" s="3">
        <v>0</v>
      </c>
    </row>
    <row r="93" spans="1:23" ht="11.25" customHeight="1" x14ac:dyDescent="0.25">
      <c r="A93" s="3" t="s">
        <v>21</v>
      </c>
      <c r="B93" s="3" t="s">
        <v>39</v>
      </c>
      <c r="C93" s="3" t="s">
        <v>40</v>
      </c>
      <c r="D93" s="3" t="s">
        <v>38</v>
      </c>
      <c r="E93" s="3" t="s">
        <v>25</v>
      </c>
      <c r="F93" s="3" t="s">
        <v>25</v>
      </c>
      <c r="G93" s="3" t="s">
        <v>25</v>
      </c>
      <c r="H93" s="3" t="s">
        <v>25</v>
      </c>
      <c r="I93" s="6">
        <v>44531</v>
      </c>
      <c r="J93" s="4">
        <v>0</v>
      </c>
      <c r="K93" s="4">
        <v>0</v>
      </c>
      <c r="L93" s="4">
        <v>13127.984</v>
      </c>
      <c r="M93" s="4">
        <v>13127.984</v>
      </c>
      <c r="N93" s="4">
        <v>0</v>
      </c>
      <c r="O93" s="4">
        <v>0</v>
      </c>
      <c r="P93" s="4">
        <v>4</v>
      </c>
      <c r="Q93" s="3" t="s">
        <v>57</v>
      </c>
      <c r="R93" s="3">
        <v>0</v>
      </c>
      <c r="S93" s="3" t="s">
        <v>146</v>
      </c>
      <c r="U93" s="3">
        <v>0</v>
      </c>
      <c r="V93" s="3">
        <v>6</v>
      </c>
      <c r="W93" s="3">
        <v>0</v>
      </c>
    </row>
    <row r="94" spans="1:23" ht="11.25" customHeight="1" x14ac:dyDescent="0.25">
      <c r="A94" s="3" t="s">
        <v>27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25</v>
      </c>
      <c r="G94" s="3" t="s">
        <v>25</v>
      </c>
      <c r="H94" s="3" t="s">
        <v>25</v>
      </c>
      <c r="I94" s="6">
        <v>44531</v>
      </c>
      <c r="J94" s="4">
        <v>0</v>
      </c>
      <c r="K94" s="4">
        <v>0</v>
      </c>
      <c r="L94" s="4">
        <v>-8846.6949999999997</v>
      </c>
      <c r="M94" s="4">
        <v>-8846.6949999999997</v>
      </c>
      <c r="N94" s="4">
        <v>0</v>
      </c>
      <c r="O94" s="4">
        <v>0</v>
      </c>
      <c r="P94" s="4">
        <v>0</v>
      </c>
      <c r="Q94" s="3" t="s">
        <v>57</v>
      </c>
      <c r="R94" s="3">
        <v>0</v>
      </c>
      <c r="S94" s="3" t="s">
        <v>146</v>
      </c>
      <c r="U94" s="3">
        <v>0</v>
      </c>
      <c r="V94" s="3">
        <v>6</v>
      </c>
      <c r="W94" s="3">
        <v>0</v>
      </c>
    </row>
    <row r="95" spans="1:23" ht="11.25" customHeight="1" x14ac:dyDescent="0.25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25</v>
      </c>
      <c r="G95" s="3" t="s">
        <v>25</v>
      </c>
      <c r="H95" s="3" t="s">
        <v>25</v>
      </c>
      <c r="I95" s="6">
        <v>44562</v>
      </c>
      <c r="J95" s="4">
        <v>0</v>
      </c>
      <c r="K95" s="4">
        <v>0</v>
      </c>
      <c r="L95" s="4">
        <v>16015.737999999999</v>
      </c>
      <c r="M95" s="4">
        <v>16015.737999999999</v>
      </c>
      <c r="N95" s="4">
        <v>0</v>
      </c>
      <c r="O95" s="4">
        <v>0</v>
      </c>
      <c r="P95" s="4">
        <v>5</v>
      </c>
      <c r="Q95" s="3" t="s">
        <v>57</v>
      </c>
      <c r="R95" s="3">
        <v>0</v>
      </c>
      <c r="S95" s="3" t="s">
        <v>147</v>
      </c>
      <c r="U95" s="3">
        <v>0</v>
      </c>
      <c r="V95" s="3">
        <v>6</v>
      </c>
      <c r="W95" s="3">
        <v>0</v>
      </c>
    </row>
    <row r="96" spans="1:23" ht="11.25" customHeight="1" x14ac:dyDescent="0.25">
      <c r="A96" s="3" t="s">
        <v>27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25</v>
      </c>
      <c r="G96" s="3" t="s">
        <v>25</v>
      </c>
      <c r="H96" s="3" t="s">
        <v>25</v>
      </c>
      <c r="I96" s="6">
        <v>44562</v>
      </c>
      <c r="J96" s="4">
        <v>0</v>
      </c>
      <c r="K96" s="4">
        <v>0</v>
      </c>
      <c r="L96" s="4">
        <v>-10539.724</v>
      </c>
      <c r="M96" s="4">
        <v>-10539.724</v>
      </c>
      <c r="N96" s="4">
        <v>0</v>
      </c>
      <c r="O96" s="4">
        <v>0</v>
      </c>
      <c r="P96" s="4">
        <v>0</v>
      </c>
      <c r="Q96" s="3" t="s">
        <v>57</v>
      </c>
      <c r="R96" s="3">
        <v>0</v>
      </c>
      <c r="S96" s="3" t="s">
        <v>147</v>
      </c>
      <c r="U96" s="3">
        <v>0</v>
      </c>
      <c r="V96" s="3">
        <v>6</v>
      </c>
      <c r="W96" s="3">
        <v>0</v>
      </c>
    </row>
    <row r="97" spans="1:23" ht="11.25" customHeight="1" x14ac:dyDescent="0.25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25</v>
      </c>
      <c r="G97" s="3" t="s">
        <v>25</v>
      </c>
      <c r="H97" s="3" t="s">
        <v>25</v>
      </c>
      <c r="I97" s="6">
        <v>44593</v>
      </c>
      <c r="J97" s="4">
        <v>0</v>
      </c>
      <c r="K97" s="4">
        <v>0</v>
      </c>
      <c r="L97" s="4">
        <v>12271.759</v>
      </c>
      <c r="M97" s="4">
        <v>12271.759</v>
      </c>
      <c r="N97" s="4">
        <v>0</v>
      </c>
      <c r="O97" s="4">
        <v>0</v>
      </c>
      <c r="P97" s="4">
        <v>4</v>
      </c>
      <c r="Q97" s="3" t="s">
        <v>57</v>
      </c>
      <c r="R97" s="3">
        <v>0</v>
      </c>
      <c r="S97" s="3" t="s">
        <v>148</v>
      </c>
      <c r="U97" s="3">
        <v>0</v>
      </c>
      <c r="V97" s="3">
        <v>6</v>
      </c>
      <c r="W97" s="3">
        <v>0</v>
      </c>
    </row>
    <row r="98" spans="1:23" ht="11.25" customHeight="1" x14ac:dyDescent="0.25">
      <c r="A98" s="3" t="s">
        <v>27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25</v>
      </c>
      <c r="G98" s="3" t="s">
        <v>25</v>
      </c>
      <c r="H98" s="3" t="s">
        <v>25</v>
      </c>
      <c r="I98" s="6">
        <v>44593</v>
      </c>
      <c r="J98" s="4">
        <v>0</v>
      </c>
      <c r="K98" s="4">
        <v>0</v>
      </c>
      <c r="L98" s="4">
        <v>-9096.8510000000006</v>
      </c>
      <c r="M98" s="4">
        <v>-9096.8510000000006</v>
      </c>
      <c r="N98" s="4">
        <v>0</v>
      </c>
      <c r="O98" s="4">
        <v>0</v>
      </c>
      <c r="P98" s="4">
        <v>0</v>
      </c>
      <c r="Q98" s="3" t="s">
        <v>57</v>
      </c>
      <c r="R98" s="3">
        <v>0</v>
      </c>
      <c r="S98" s="3" t="s">
        <v>148</v>
      </c>
      <c r="U98" s="3">
        <v>0</v>
      </c>
      <c r="V98" s="3">
        <v>6</v>
      </c>
      <c r="W98" s="3">
        <v>0</v>
      </c>
    </row>
    <row r="99" spans="1:23" ht="11.25" customHeight="1" x14ac:dyDescent="0.25">
      <c r="A99" s="3" t="s">
        <v>56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25</v>
      </c>
      <c r="G99" s="3" t="s">
        <v>25</v>
      </c>
      <c r="H99" s="3" t="s">
        <v>25</v>
      </c>
      <c r="I99" s="6">
        <v>44621</v>
      </c>
      <c r="J99" s="4">
        <v>0</v>
      </c>
      <c r="K99" s="4">
        <v>0</v>
      </c>
      <c r="L99" s="4">
        <v>12271.759</v>
      </c>
      <c r="M99" s="4">
        <v>12271.759</v>
      </c>
      <c r="N99" s="4">
        <v>0</v>
      </c>
      <c r="O99" s="4">
        <v>0</v>
      </c>
      <c r="P99" s="4">
        <v>4</v>
      </c>
      <c r="Q99" s="3" t="s">
        <v>57</v>
      </c>
      <c r="R99" s="3">
        <v>0</v>
      </c>
      <c r="S99" s="3" t="s">
        <v>149</v>
      </c>
      <c r="U99" s="3">
        <v>0</v>
      </c>
      <c r="V99" s="3">
        <v>6</v>
      </c>
      <c r="W99" s="3">
        <v>0</v>
      </c>
    </row>
    <row r="100" spans="1:23" ht="11.25" customHeight="1" x14ac:dyDescent="0.25">
      <c r="A100" s="3" t="s">
        <v>56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25</v>
      </c>
      <c r="G100" s="3" t="s">
        <v>25</v>
      </c>
      <c r="H100" s="3" t="s">
        <v>25</v>
      </c>
      <c r="I100" s="6">
        <v>44621</v>
      </c>
      <c r="J100" s="4">
        <v>0</v>
      </c>
      <c r="K100" s="4">
        <v>0</v>
      </c>
      <c r="L100" s="4">
        <v>-9096.8510000000006</v>
      </c>
      <c r="M100" s="4">
        <v>-9096.8510000000006</v>
      </c>
      <c r="N100" s="4">
        <v>0</v>
      </c>
      <c r="O100" s="4">
        <v>0</v>
      </c>
      <c r="P100" s="4">
        <v>0</v>
      </c>
      <c r="Q100" s="3" t="s">
        <v>57</v>
      </c>
      <c r="R100" s="3">
        <v>0</v>
      </c>
      <c r="S100" s="3" t="s">
        <v>149</v>
      </c>
      <c r="U100" s="3">
        <v>0</v>
      </c>
      <c r="V100" s="3">
        <v>6</v>
      </c>
      <c r="W100" s="3">
        <v>0</v>
      </c>
    </row>
    <row r="101" spans="1:23" ht="11.25" customHeight="1" x14ac:dyDescent="0.25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44287</v>
      </c>
      <c r="J101" s="4">
        <v>6274</v>
      </c>
      <c r="K101" s="4">
        <v>6274</v>
      </c>
      <c r="L101" s="4">
        <v>293.60500000000002</v>
      </c>
      <c r="M101" s="4">
        <v>293.60500000000002</v>
      </c>
      <c r="N101" s="4">
        <v>293.60500000000002</v>
      </c>
      <c r="O101" s="4">
        <v>293.60500000000002</v>
      </c>
      <c r="P101" s="4">
        <v>0</v>
      </c>
      <c r="Q101" s="3" t="s">
        <v>26</v>
      </c>
      <c r="R101" s="3">
        <v>0</v>
      </c>
      <c r="S101" s="3" t="s">
        <v>150</v>
      </c>
      <c r="T101" s="3" t="s">
        <v>589</v>
      </c>
      <c r="U101" s="3">
        <v>4</v>
      </c>
      <c r="V101" s="3">
        <v>6</v>
      </c>
      <c r="W101" s="3">
        <v>86</v>
      </c>
    </row>
    <row r="102" spans="1:23" ht="11.25" customHeight="1" x14ac:dyDescent="0.25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44287</v>
      </c>
      <c r="J102" s="4">
        <v>32410</v>
      </c>
      <c r="K102" s="4">
        <v>32410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R102" s="3">
        <v>0</v>
      </c>
      <c r="S102" s="3" t="s">
        <v>150</v>
      </c>
      <c r="U102" s="3">
        <v>4</v>
      </c>
      <c r="V102" s="3">
        <v>0</v>
      </c>
      <c r="W102" s="3">
        <v>0</v>
      </c>
    </row>
    <row r="103" spans="1:23" ht="11.25" customHeight="1" x14ac:dyDescent="0.25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44317</v>
      </c>
      <c r="J103" s="4">
        <v>6455</v>
      </c>
      <c r="K103" s="4">
        <v>6455</v>
      </c>
      <c r="L103" s="4">
        <v>309.166</v>
      </c>
      <c r="M103" s="4">
        <v>309.166</v>
      </c>
      <c r="N103" s="4">
        <v>309.166</v>
      </c>
      <c r="O103" s="4">
        <v>309.166</v>
      </c>
      <c r="P103" s="4">
        <v>0</v>
      </c>
      <c r="Q103" s="3" t="s">
        <v>26</v>
      </c>
      <c r="R103" s="3">
        <v>0</v>
      </c>
      <c r="S103" s="3" t="s">
        <v>151</v>
      </c>
      <c r="T103" s="3" t="s">
        <v>590</v>
      </c>
      <c r="U103" s="3">
        <v>4</v>
      </c>
      <c r="V103" s="3">
        <v>6</v>
      </c>
      <c r="W103" s="3">
        <v>86</v>
      </c>
    </row>
    <row r="104" spans="1:23" ht="11.25" customHeight="1" x14ac:dyDescent="0.25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44317</v>
      </c>
      <c r="J104" s="4">
        <v>31136</v>
      </c>
      <c r="K104" s="4">
        <v>31136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0</v>
      </c>
      <c r="S104" s="3" t="s">
        <v>151</v>
      </c>
      <c r="U104" s="3">
        <v>4</v>
      </c>
      <c r="V104" s="3">
        <v>0</v>
      </c>
      <c r="W104" s="3">
        <v>0</v>
      </c>
    </row>
    <row r="105" spans="1:23" ht="11.25" customHeight="1" x14ac:dyDescent="0.25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44348</v>
      </c>
      <c r="J105" s="4">
        <v>6320</v>
      </c>
      <c r="K105" s="4">
        <v>6320</v>
      </c>
      <c r="L105" s="4">
        <v>309.36700000000002</v>
      </c>
      <c r="M105" s="4">
        <v>309.36700000000002</v>
      </c>
      <c r="N105" s="4">
        <v>309.36700000000002</v>
      </c>
      <c r="O105" s="4">
        <v>309.36700000000002</v>
      </c>
      <c r="P105" s="4">
        <v>0</v>
      </c>
      <c r="Q105" s="3" t="s">
        <v>26</v>
      </c>
      <c r="R105" s="3">
        <v>0</v>
      </c>
      <c r="S105" s="3" t="s">
        <v>152</v>
      </c>
      <c r="T105" s="3" t="s">
        <v>591</v>
      </c>
      <c r="U105" s="3">
        <v>4</v>
      </c>
      <c r="V105" s="3">
        <v>6</v>
      </c>
      <c r="W105" s="3">
        <v>86</v>
      </c>
    </row>
    <row r="106" spans="1:23" ht="11.25" customHeight="1" x14ac:dyDescent="0.25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44348</v>
      </c>
      <c r="J106" s="4">
        <v>31168</v>
      </c>
      <c r="K106" s="4">
        <v>31168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0</v>
      </c>
      <c r="S106" s="3" t="s">
        <v>152</v>
      </c>
      <c r="U106" s="3">
        <v>4</v>
      </c>
      <c r="V106" s="3">
        <v>0</v>
      </c>
      <c r="W106" s="3">
        <v>0</v>
      </c>
    </row>
    <row r="107" spans="1:23" ht="11.25" customHeight="1" x14ac:dyDescent="0.25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44378</v>
      </c>
      <c r="J107" s="4">
        <v>6300</v>
      </c>
      <c r="K107" s="4">
        <v>6300</v>
      </c>
      <c r="L107" s="4">
        <v>302.17500000000001</v>
      </c>
      <c r="M107" s="4">
        <v>302.17500000000001</v>
      </c>
      <c r="N107" s="4">
        <v>302.17500000000001</v>
      </c>
      <c r="O107" s="4">
        <v>302.17500000000001</v>
      </c>
      <c r="P107" s="4">
        <v>0</v>
      </c>
      <c r="Q107" s="3" t="s">
        <v>26</v>
      </c>
      <c r="R107" s="3">
        <v>0</v>
      </c>
      <c r="S107" s="3" t="s">
        <v>153</v>
      </c>
      <c r="T107" s="3" t="s">
        <v>592</v>
      </c>
      <c r="U107" s="3">
        <v>4</v>
      </c>
      <c r="V107" s="3">
        <v>6</v>
      </c>
      <c r="W107" s="3">
        <v>86</v>
      </c>
    </row>
    <row r="108" spans="1:23" ht="11.25" customHeight="1" x14ac:dyDescent="0.25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44378</v>
      </c>
      <c r="J108" s="4">
        <v>31096</v>
      </c>
      <c r="K108" s="4">
        <v>31096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0</v>
      </c>
      <c r="S108" s="3" t="s">
        <v>153</v>
      </c>
      <c r="U108" s="3">
        <v>4</v>
      </c>
      <c r="V108" s="3">
        <v>0</v>
      </c>
      <c r="W108" s="3">
        <v>0</v>
      </c>
    </row>
    <row r="109" spans="1:23" ht="11.25" customHeight="1" x14ac:dyDescent="0.25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44409</v>
      </c>
      <c r="J109" s="4">
        <v>6720</v>
      </c>
      <c r="K109" s="4">
        <v>6720</v>
      </c>
      <c r="L109" s="4">
        <v>314.81799999999998</v>
      </c>
      <c r="M109" s="4">
        <v>314.81799999999998</v>
      </c>
      <c r="N109" s="4">
        <v>314.81799999999998</v>
      </c>
      <c r="O109" s="4">
        <v>314.81799999999998</v>
      </c>
      <c r="P109" s="4">
        <v>0</v>
      </c>
      <c r="Q109" s="3" t="s">
        <v>26</v>
      </c>
      <c r="R109" s="3">
        <v>0</v>
      </c>
      <c r="S109" s="3" t="s">
        <v>154</v>
      </c>
      <c r="T109" s="3" t="s">
        <v>593</v>
      </c>
      <c r="U109" s="3">
        <v>4</v>
      </c>
      <c r="V109" s="3">
        <v>6</v>
      </c>
      <c r="W109" s="3">
        <v>86</v>
      </c>
    </row>
    <row r="110" spans="1:23" ht="11.25" customHeight="1" x14ac:dyDescent="0.25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25</v>
      </c>
      <c r="G110" s="3" t="s">
        <v>25</v>
      </c>
      <c r="H110" s="3" t="s">
        <v>34</v>
      </c>
      <c r="I110" s="6">
        <v>44409</v>
      </c>
      <c r="J110" s="4">
        <v>31080</v>
      </c>
      <c r="K110" s="4">
        <v>31080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0</v>
      </c>
      <c r="S110" s="3" t="s">
        <v>154</v>
      </c>
      <c r="U110" s="3">
        <v>4</v>
      </c>
      <c r="V110" s="3">
        <v>0</v>
      </c>
      <c r="W110" s="3">
        <v>0</v>
      </c>
    </row>
    <row r="111" spans="1:23" ht="11.25" customHeight="1" x14ac:dyDescent="0.25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25</v>
      </c>
      <c r="G111" s="3" t="s">
        <v>25</v>
      </c>
      <c r="H111" s="3" t="s">
        <v>34</v>
      </c>
      <c r="I111" s="6">
        <v>44440</v>
      </c>
      <c r="J111" s="4">
        <v>6359</v>
      </c>
      <c r="K111" s="4">
        <v>6359</v>
      </c>
      <c r="L111" s="4">
        <v>284.125</v>
      </c>
      <c r="M111" s="4">
        <v>284.125</v>
      </c>
      <c r="N111" s="4">
        <v>284.125</v>
      </c>
      <c r="O111" s="4">
        <v>284.125</v>
      </c>
      <c r="P111" s="4">
        <v>0</v>
      </c>
      <c r="Q111" s="3" t="s">
        <v>26</v>
      </c>
      <c r="R111" s="3">
        <v>0</v>
      </c>
      <c r="S111" s="3" t="s">
        <v>155</v>
      </c>
      <c r="T111" s="3" t="s">
        <v>594</v>
      </c>
      <c r="U111" s="3">
        <v>4</v>
      </c>
      <c r="V111" s="3">
        <v>6</v>
      </c>
      <c r="W111" s="3">
        <v>86</v>
      </c>
    </row>
    <row r="112" spans="1:23" ht="11.25" customHeight="1" x14ac:dyDescent="0.25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25</v>
      </c>
      <c r="G112" s="3" t="s">
        <v>25</v>
      </c>
      <c r="H112" s="3" t="s">
        <v>34</v>
      </c>
      <c r="I112" s="6">
        <v>44440</v>
      </c>
      <c r="J112" s="4">
        <v>31120</v>
      </c>
      <c r="K112" s="4">
        <v>31120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0</v>
      </c>
      <c r="S112" s="3" t="s">
        <v>155</v>
      </c>
      <c r="U112" s="3">
        <v>4</v>
      </c>
      <c r="V112" s="3">
        <v>0</v>
      </c>
      <c r="W112" s="3">
        <v>0</v>
      </c>
    </row>
    <row r="113" spans="1:23" ht="11.25" customHeight="1" x14ac:dyDescent="0.25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25</v>
      </c>
      <c r="G113" s="3" t="s">
        <v>25</v>
      </c>
      <c r="H113" s="3" t="s">
        <v>34</v>
      </c>
      <c r="I113" s="6">
        <v>44470</v>
      </c>
      <c r="J113" s="4">
        <v>6431</v>
      </c>
      <c r="K113" s="4">
        <v>6431</v>
      </c>
      <c r="L113" s="4">
        <v>281.93299999999999</v>
      </c>
      <c r="M113" s="4">
        <v>281.93299999999999</v>
      </c>
      <c r="N113" s="4">
        <v>281.93299999999999</v>
      </c>
      <c r="O113" s="4">
        <v>281.93299999999999</v>
      </c>
      <c r="P113" s="4">
        <v>0</v>
      </c>
      <c r="Q113" s="3" t="s">
        <v>26</v>
      </c>
      <c r="R113" s="3">
        <v>0</v>
      </c>
      <c r="S113" s="3" t="s">
        <v>156</v>
      </c>
      <c r="T113" s="3" t="s">
        <v>595</v>
      </c>
      <c r="U113" s="3">
        <v>4</v>
      </c>
      <c r="V113" s="3">
        <v>6</v>
      </c>
      <c r="W113" s="3">
        <v>86</v>
      </c>
    </row>
    <row r="114" spans="1:23" ht="11.25" customHeight="1" x14ac:dyDescent="0.25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25</v>
      </c>
      <c r="G114" s="3" t="s">
        <v>25</v>
      </c>
      <c r="H114" s="3" t="s">
        <v>34</v>
      </c>
      <c r="I114" s="6">
        <v>44470</v>
      </c>
      <c r="J114" s="4">
        <v>31092</v>
      </c>
      <c r="K114" s="4">
        <v>31092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0</v>
      </c>
      <c r="S114" s="3" t="s">
        <v>156</v>
      </c>
      <c r="U114" s="3">
        <v>4</v>
      </c>
      <c r="V114" s="3">
        <v>0</v>
      </c>
      <c r="W114" s="3">
        <v>0</v>
      </c>
    </row>
    <row r="115" spans="1:23" ht="11.25" customHeight="1" x14ac:dyDescent="0.25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25</v>
      </c>
      <c r="G115" s="3" t="s">
        <v>25</v>
      </c>
      <c r="H115" s="3" t="s">
        <v>34</v>
      </c>
      <c r="I115" s="6">
        <v>44501</v>
      </c>
      <c r="J115" s="4">
        <v>6518</v>
      </c>
      <c r="K115" s="4">
        <v>6518</v>
      </c>
      <c r="L115" s="4">
        <v>262.976</v>
      </c>
      <c r="M115" s="4">
        <v>262.976</v>
      </c>
      <c r="N115" s="4">
        <v>262.976</v>
      </c>
      <c r="O115" s="4">
        <v>262.976</v>
      </c>
      <c r="P115" s="4">
        <v>0</v>
      </c>
      <c r="Q115" s="3" t="s">
        <v>26</v>
      </c>
      <c r="R115" s="3">
        <v>0</v>
      </c>
      <c r="S115" s="3" t="s">
        <v>157</v>
      </c>
      <c r="T115" s="3" t="s">
        <v>596</v>
      </c>
      <c r="U115" s="3">
        <v>4</v>
      </c>
      <c r="V115" s="3">
        <v>6</v>
      </c>
      <c r="W115" s="3">
        <v>86</v>
      </c>
    </row>
    <row r="116" spans="1:23" ht="11.25" customHeight="1" x14ac:dyDescent="0.25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25</v>
      </c>
      <c r="G116" s="3" t="s">
        <v>25</v>
      </c>
      <c r="H116" s="3" t="s">
        <v>34</v>
      </c>
      <c r="I116" s="6">
        <v>44501</v>
      </c>
      <c r="J116" s="4">
        <v>27208</v>
      </c>
      <c r="K116" s="4">
        <v>27208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R116" s="3">
        <v>0</v>
      </c>
      <c r="S116" s="3" t="s">
        <v>157</v>
      </c>
      <c r="U116" s="3">
        <v>4</v>
      </c>
      <c r="V116" s="3">
        <v>0</v>
      </c>
      <c r="W116" s="3">
        <v>0</v>
      </c>
    </row>
    <row r="117" spans="1:23" ht="11.25" customHeight="1" x14ac:dyDescent="0.25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25</v>
      </c>
      <c r="G117" s="3" t="s">
        <v>25</v>
      </c>
      <c r="H117" s="3" t="s">
        <v>34</v>
      </c>
      <c r="I117" s="6">
        <v>44531</v>
      </c>
      <c r="J117" s="4">
        <v>6547</v>
      </c>
      <c r="K117" s="4">
        <v>6547</v>
      </c>
      <c r="L117" s="4">
        <v>276.64299999999997</v>
      </c>
      <c r="M117" s="4">
        <v>276.64299999999997</v>
      </c>
      <c r="N117" s="4">
        <v>276.64299999999997</v>
      </c>
      <c r="O117" s="4">
        <v>276.64299999999997</v>
      </c>
      <c r="P117" s="4">
        <v>0</v>
      </c>
      <c r="Q117" s="3" t="s">
        <v>26</v>
      </c>
      <c r="R117" s="3">
        <v>0</v>
      </c>
      <c r="S117" s="3" t="s">
        <v>158</v>
      </c>
      <c r="T117" s="3" t="s">
        <v>597</v>
      </c>
      <c r="U117" s="3">
        <v>4</v>
      </c>
      <c r="V117" s="3">
        <v>6</v>
      </c>
      <c r="W117" s="3">
        <v>86</v>
      </c>
    </row>
    <row r="118" spans="1:23" ht="11.25" customHeight="1" x14ac:dyDescent="0.25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44531</v>
      </c>
      <c r="J118" s="4">
        <v>27200</v>
      </c>
      <c r="K118" s="4">
        <v>27200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R118" s="3">
        <v>0</v>
      </c>
      <c r="S118" s="3" t="s">
        <v>158</v>
      </c>
      <c r="U118" s="3">
        <v>4</v>
      </c>
      <c r="V118" s="3">
        <v>0</v>
      </c>
      <c r="W118" s="3">
        <v>0</v>
      </c>
    </row>
    <row r="119" spans="1:23" ht="11.25" customHeight="1" x14ac:dyDescent="0.25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44562</v>
      </c>
      <c r="J119" s="4">
        <v>6448</v>
      </c>
      <c r="K119" s="4">
        <v>6448</v>
      </c>
      <c r="L119" s="4">
        <v>264.197</v>
      </c>
      <c r="M119" s="4">
        <v>264.197</v>
      </c>
      <c r="N119" s="4">
        <v>264.197</v>
      </c>
      <c r="O119" s="4">
        <v>264.197</v>
      </c>
      <c r="P119" s="4">
        <v>0</v>
      </c>
      <c r="Q119" s="3" t="s">
        <v>26</v>
      </c>
      <c r="R119" s="3">
        <v>0</v>
      </c>
      <c r="S119" s="3" t="s">
        <v>159</v>
      </c>
      <c r="T119" s="3" t="s">
        <v>598</v>
      </c>
      <c r="U119" s="3">
        <v>4</v>
      </c>
      <c r="V119" s="3">
        <v>6</v>
      </c>
      <c r="W119" s="3">
        <v>86</v>
      </c>
    </row>
    <row r="120" spans="1:23" ht="11.25" customHeight="1" x14ac:dyDescent="0.25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44562</v>
      </c>
      <c r="J120" s="4">
        <v>31099</v>
      </c>
      <c r="K120" s="4">
        <v>31099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0</v>
      </c>
      <c r="S120" s="3" t="s">
        <v>159</v>
      </c>
      <c r="U120" s="3">
        <v>4</v>
      </c>
      <c r="V120" s="3">
        <v>0</v>
      </c>
      <c r="W120" s="3">
        <v>0</v>
      </c>
    </row>
    <row r="121" spans="1:23" ht="11.25" customHeight="1" x14ac:dyDescent="0.25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44593</v>
      </c>
      <c r="J121" s="4">
        <v>6230</v>
      </c>
      <c r="K121" s="4">
        <v>6230</v>
      </c>
      <c r="L121" s="4">
        <v>255.58500000000001</v>
      </c>
      <c r="M121" s="4">
        <v>255.58500000000001</v>
      </c>
      <c r="N121" s="4">
        <v>255.58500000000001</v>
      </c>
      <c r="O121" s="4">
        <v>255.58500000000001</v>
      </c>
      <c r="P121" s="4">
        <v>0</v>
      </c>
      <c r="Q121" s="3" t="s">
        <v>26</v>
      </c>
      <c r="R121" s="3">
        <v>0</v>
      </c>
      <c r="S121" s="3" t="s">
        <v>160</v>
      </c>
      <c r="T121" s="3" t="s">
        <v>599</v>
      </c>
      <c r="U121" s="3">
        <v>4</v>
      </c>
      <c r="V121" s="3">
        <v>6</v>
      </c>
      <c r="W121" s="3">
        <v>86</v>
      </c>
    </row>
    <row r="122" spans="1:23" ht="11.25" customHeight="1" x14ac:dyDescent="0.25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25</v>
      </c>
      <c r="G122" s="3" t="s">
        <v>25</v>
      </c>
      <c r="H122" s="3" t="s">
        <v>34</v>
      </c>
      <c r="I122" s="6">
        <v>44593</v>
      </c>
      <c r="J122" s="4">
        <v>27200</v>
      </c>
      <c r="K122" s="4">
        <v>27200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R122" s="3">
        <v>0</v>
      </c>
      <c r="S122" s="3" t="s">
        <v>160</v>
      </c>
      <c r="U122" s="3">
        <v>4</v>
      </c>
      <c r="V122" s="3">
        <v>0</v>
      </c>
      <c r="W122" s="3">
        <v>0</v>
      </c>
    </row>
    <row r="123" spans="1:23" ht="11.25" customHeight="1" x14ac:dyDescent="0.25">
      <c r="A123" s="3" t="s">
        <v>56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25</v>
      </c>
      <c r="G123" s="3" t="s">
        <v>25</v>
      </c>
      <c r="H123" s="3" t="s">
        <v>34</v>
      </c>
      <c r="I123" s="6">
        <v>44621</v>
      </c>
      <c r="J123" s="4">
        <v>6230</v>
      </c>
      <c r="K123" s="4">
        <v>6230</v>
      </c>
      <c r="L123" s="4">
        <v>255.58500000000001</v>
      </c>
      <c r="M123" s="4">
        <v>255.58500000000001</v>
      </c>
      <c r="N123" s="4">
        <v>255.58500000000001</v>
      </c>
      <c r="O123" s="4">
        <v>255.58500000000001</v>
      </c>
      <c r="P123" s="4">
        <v>0</v>
      </c>
      <c r="Q123" s="3" t="s">
        <v>26</v>
      </c>
      <c r="R123" s="3">
        <v>0</v>
      </c>
      <c r="S123" s="3" t="s">
        <v>161</v>
      </c>
      <c r="T123" s="3" t="s">
        <v>600</v>
      </c>
      <c r="U123" s="3">
        <v>4</v>
      </c>
      <c r="V123" s="3">
        <v>6</v>
      </c>
      <c r="W123" s="3">
        <v>86</v>
      </c>
    </row>
    <row r="124" spans="1:23" ht="11.25" customHeight="1" x14ac:dyDescent="0.25">
      <c r="A124" s="3" t="s">
        <v>56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25</v>
      </c>
      <c r="G124" s="3" t="s">
        <v>25</v>
      </c>
      <c r="H124" s="3" t="s">
        <v>34</v>
      </c>
      <c r="I124" s="6">
        <v>44621</v>
      </c>
      <c r="J124" s="4">
        <v>27200</v>
      </c>
      <c r="K124" s="4">
        <v>27200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R124" s="3">
        <v>0</v>
      </c>
      <c r="S124" s="3" t="s">
        <v>161</v>
      </c>
      <c r="U124" s="3">
        <v>4</v>
      </c>
      <c r="V124" s="3">
        <v>0</v>
      </c>
      <c r="W124" s="3">
        <v>0</v>
      </c>
    </row>
    <row r="125" spans="1:23" ht="11.25" customHeight="1" x14ac:dyDescent="0.25">
      <c r="A125" s="3" t="s">
        <v>21</v>
      </c>
      <c r="B125" s="3" t="s">
        <v>39</v>
      </c>
      <c r="C125" s="3" t="s">
        <v>40</v>
      </c>
      <c r="D125" s="3" t="s">
        <v>46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44287</v>
      </c>
      <c r="J125" s="4">
        <v>3550</v>
      </c>
      <c r="K125" s="4">
        <v>3550</v>
      </c>
      <c r="L125" s="4">
        <v>448</v>
      </c>
      <c r="M125" s="4">
        <v>448</v>
      </c>
      <c r="N125" s="4">
        <v>448</v>
      </c>
      <c r="O125" s="4">
        <v>448</v>
      </c>
      <c r="P125" s="4">
        <v>0</v>
      </c>
      <c r="Q125" s="3" t="s">
        <v>26</v>
      </c>
      <c r="R125" s="3">
        <v>0</v>
      </c>
      <c r="S125" s="3" t="s">
        <v>126</v>
      </c>
      <c r="T125" s="3" t="s">
        <v>577</v>
      </c>
      <c r="U125" s="3">
        <v>5</v>
      </c>
      <c r="V125" s="3">
        <v>6</v>
      </c>
      <c r="W125" s="3">
        <v>87</v>
      </c>
    </row>
    <row r="126" spans="1:23" ht="11.25" customHeight="1" x14ac:dyDescent="0.25">
      <c r="A126" s="3" t="s">
        <v>21</v>
      </c>
      <c r="B126" s="3" t="s">
        <v>39</v>
      </c>
      <c r="C126" s="3" t="s">
        <v>40</v>
      </c>
      <c r="D126" s="3" t="s">
        <v>46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44317</v>
      </c>
      <c r="J126" s="4">
        <v>3550</v>
      </c>
      <c r="K126" s="4">
        <v>3550</v>
      </c>
      <c r="L126" s="4">
        <v>423.5</v>
      </c>
      <c r="M126" s="4">
        <v>423.5</v>
      </c>
      <c r="N126" s="4">
        <v>423.5</v>
      </c>
      <c r="O126" s="4">
        <v>423.5</v>
      </c>
      <c r="P126" s="4">
        <v>0</v>
      </c>
      <c r="Q126" s="3" t="s">
        <v>26</v>
      </c>
      <c r="R126" s="3">
        <v>0</v>
      </c>
      <c r="S126" s="3" t="s">
        <v>127</v>
      </c>
      <c r="T126" s="3" t="s">
        <v>578</v>
      </c>
      <c r="U126" s="3">
        <v>5</v>
      </c>
      <c r="V126" s="3">
        <v>6</v>
      </c>
      <c r="W126" s="3">
        <v>87</v>
      </c>
    </row>
    <row r="127" spans="1:23" ht="11.25" customHeight="1" x14ac:dyDescent="0.25">
      <c r="A127" s="3" t="s">
        <v>21</v>
      </c>
      <c r="B127" s="3" t="s">
        <v>39</v>
      </c>
      <c r="C127" s="3" t="s">
        <v>40</v>
      </c>
      <c r="D127" s="3" t="s">
        <v>46</v>
      </c>
      <c r="E127" s="3" t="s">
        <v>25</v>
      </c>
      <c r="F127" s="3" t="s">
        <v>25</v>
      </c>
      <c r="G127" s="3" t="s">
        <v>25</v>
      </c>
      <c r="H127" s="3" t="s">
        <v>35</v>
      </c>
      <c r="I127" s="6">
        <v>44348</v>
      </c>
      <c r="J127" s="4">
        <v>3550</v>
      </c>
      <c r="K127" s="4">
        <v>3550</v>
      </c>
      <c r="L127" s="4">
        <v>402.5</v>
      </c>
      <c r="M127" s="4">
        <v>402.5</v>
      </c>
      <c r="N127" s="4">
        <v>402.5</v>
      </c>
      <c r="O127" s="4">
        <v>402.5</v>
      </c>
      <c r="P127" s="4">
        <v>0</v>
      </c>
      <c r="Q127" s="3" t="s">
        <v>26</v>
      </c>
      <c r="R127" s="3">
        <v>0</v>
      </c>
      <c r="S127" s="3" t="s">
        <v>128</v>
      </c>
      <c r="T127" s="3" t="s">
        <v>579</v>
      </c>
      <c r="U127" s="3">
        <v>5</v>
      </c>
      <c r="V127" s="3">
        <v>6</v>
      </c>
      <c r="W127" s="3">
        <v>87</v>
      </c>
    </row>
    <row r="128" spans="1:23" ht="11.25" customHeight="1" x14ac:dyDescent="0.25">
      <c r="A128" s="3" t="s">
        <v>21</v>
      </c>
      <c r="B128" s="3" t="s">
        <v>39</v>
      </c>
      <c r="C128" s="3" t="s">
        <v>40</v>
      </c>
      <c r="D128" s="3" t="s">
        <v>46</v>
      </c>
      <c r="E128" s="3" t="s">
        <v>25</v>
      </c>
      <c r="F128" s="3" t="s">
        <v>25</v>
      </c>
      <c r="G128" s="3" t="s">
        <v>25</v>
      </c>
      <c r="H128" s="3" t="s">
        <v>35</v>
      </c>
      <c r="I128" s="6">
        <v>44378</v>
      </c>
      <c r="J128" s="4">
        <v>3550</v>
      </c>
      <c r="K128" s="4">
        <v>3550</v>
      </c>
      <c r="L128" s="4">
        <v>395.5</v>
      </c>
      <c r="M128" s="4">
        <v>395.5</v>
      </c>
      <c r="N128" s="4">
        <v>395.5</v>
      </c>
      <c r="O128" s="4">
        <v>395.5</v>
      </c>
      <c r="P128" s="4">
        <v>0</v>
      </c>
      <c r="Q128" s="3" t="s">
        <v>26</v>
      </c>
      <c r="R128" s="3">
        <v>0</v>
      </c>
      <c r="S128" s="3" t="s">
        <v>129</v>
      </c>
      <c r="T128" s="3" t="s">
        <v>580</v>
      </c>
      <c r="U128" s="3">
        <v>5</v>
      </c>
      <c r="V128" s="3">
        <v>6</v>
      </c>
      <c r="W128" s="3">
        <v>87</v>
      </c>
    </row>
    <row r="129" spans="1:23" ht="11.25" customHeight="1" x14ac:dyDescent="0.25">
      <c r="A129" s="3" t="s">
        <v>21</v>
      </c>
      <c r="B129" s="3" t="s">
        <v>39</v>
      </c>
      <c r="C129" s="3" t="s">
        <v>40</v>
      </c>
      <c r="D129" s="3" t="s">
        <v>46</v>
      </c>
      <c r="E129" s="3" t="s">
        <v>25</v>
      </c>
      <c r="F129" s="3" t="s">
        <v>25</v>
      </c>
      <c r="G129" s="3" t="s">
        <v>25</v>
      </c>
      <c r="H129" s="3" t="s">
        <v>35</v>
      </c>
      <c r="I129" s="6">
        <v>44409</v>
      </c>
      <c r="J129" s="4">
        <v>3550</v>
      </c>
      <c r="K129" s="4">
        <v>3550</v>
      </c>
      <c r="L129" s="4">
        <v>402.5</v>
      </c>
      <c r="M129" s="4">
        <v>402.5</v>
      </c>
      <c r="N129" s="4">
        <v>402.5</v>
      </c>
      <c r="O129" s="4">
        <v>402.5</v>
      </c>
      <c r="P129" s="4">
        <v>0</v>
      </c>
      <c r="Q129" s="3" t="s">
        <v>26</v>
      </c>
      <c r="R129" s="3">
        <v>0</v>
      </c>
      <c r="S129" s="3" t="s">
        <v>130</v>
      </c>
      <c r="T129" s="3" t="s">
        <v>581</v>
      </c>
      <c r="U129" s="3">
        <v>5</v>
      </c>
      <c r="V129" s="3">
        <v>6</v>
      </c>
      <c r="W129" s="3">
        <v>87</v>
      </c>
    </row>
    <row r="130" spans="1:23" ht="11.25" customHeight="1" x14ac:dyDescent="0.25">
      <c r="A130" s="3" t="s">
        <v>21</v>
      </c>
      <c r="B130" s="3" t="s">
        <v>39</v>
      </c>
      <c r="C130" s="3" t="s">
        <v>40</v>
      </c>
      <c r="D130" s="3" t="s">
        <v>46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44440</v>
      </c>
      <c r="J130" s="4">
        <v>3550</v>
      </c>
      <c r="K130" s="4">
        <v>3550</v>
      </c>
      <c r="L130" s="4">
        <v>409.5</v>
      </c>
      <c r="M130" s="4">
        <v>409.5</v>
      </c>
      <c r="N130" s="4">
        <v>409.5</v>
      </c>
      <c r="O130" s="4">
        <v>409.5</v>
      </c>
      <c r="P130" s="4">
        <v>0</v>
      </c>
      <c r="Q130" s="3" t="s">
        <v>26</v>
      </c>
      <c r="R130" s="3">
        <v>0</v>
      </c>
      <c r="S130" s="3" t="s">
        <v>131</v>
      </c>
      <c r="T130" s="3" t="s">
        <v>582</v>
      </c>
      <c r="U130" s="3">
        <v>5</v>
      </c>
      <c r="V130" s="3">
        <v>6</v>
      </c>
      <c r="W130" s="3">
        <v>87</v>
      </c>
    </row>
    <row r="131" spans="1:23" ht="11.25" customHeight="1" x14ac:dyDescent="0.25">
      <c r="A131" s="3" t="s">
        <v>21</v>
      </c>
      <c r="B131" s="3" t="s">
        <v>39</v>
      </c>
      <c r="C131" s="3" t="s">
        <v>40</v>
      </c>
      <c r="D131" s="3" t="s">
        <v>46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44470</v>
      </c>
      <c r="J131" s="4">
        <v>3550</v>
      </c>
      <c r="K131" s="4">
        <v>3550</v>
      </c>
      <c r="L131" s="4">
        <v>511</v>
      </c>
      <c r="M131" s="4">
        <v>511</v>
      </c>
      <c r="N131" s="4">
        <v>511</v>
      </c>
      <c r="O131" s="4">
        <v>511</v>
      </c>
      <c r="P131" s="4">
        <v>0</v>
      </c>
      <c r="Q131" s="3" t="s">
        <v>26</v>
      </c>
      <c r="R131" s="3">
        <v>0</v>
      </c>
      <c r="S131" s="3" t="s">
        <v>132</v>
      </c>
      <c r="T131" s="3" t="s">
        <v>583</v>
      </c>
      <c r="U131" s="3">
        <v>5</v>
      </c>
      <c r="V131" s="3">
        <v>6</v>
      </c>
      <c r="W131" s="3">
        <v>87</v>
      </c>
    </row>
    <row r="132" spans="1:23" ht="11.25" customHeight="1" x14ac:dyDescent="0.25">
      <c r="A132" s="3" t="s">
        <v>21</v>
      </c>
      <c r="B132" s="3" t="s">
        <v>39</v>
      </c>
      <c r="C132" s="3" t="s">
        <v>40</v>
      </c>
      <c r="D132" s="3" t="s">
        <v>46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44501</v>
      </c>
      <c r="J132" s="4">
        <v>3550</v>
      </c>
      <c r="K132" s="4">
        <v>3550</v>
      </c>
      <c r="L132" s="4">
        <v>542.5</v>
      </c>
      <c r="M132" s="4">
        <v>542.5</v>
      </c>
      <c r="N132" s="4">
        <v>542.5</v>
      </c>
      <c r="O132" s="4">
        <v>542.5</v>
      </c>
      <c r="P132" s="4">
        <v>0</v>
      </c>
      <c r="Q132" s="3" t="s">
        <v>26</v>
      </c>
      <c r="R132" s="3">
        <v>0</v>
      </c>
      <c r="S132" s="3" t="s">
        <v>133</v>
      </c>
      <c r="T132" s="3" t="s">
        <v>584</v>
      </c>
      <c r="U132" s="3">
        <v>5</v>
      </c>
      <c r="V132" s="3">
        <v>6</v>
      </c>
      <c r="W132" s="3">
        <v>87</v>
      </c>
    </row>
    <row r="133" spans="1:23" ht="11.25" customHeight="1" x14ac:dyDescent="0.25">
      <c r="A133" s="3" t="s">
        <v>21</v>
      </c>
      <c r="B133" s="3" t="s">
        <v>39</v>
      </c>
      <c r="C133" s="3" t="s">
        <v>40</v>
      </c>
      <c r="D133" s="3" t="s">
        <v>46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44531</v>
      </c>
      <c r="J133" s="4">
        <v>3550</v>
      </c>
      <c r="K133" s="4">
        <v>3550</v>
      </c>
      <c r="L133" s="4">
        <v>500.5</v>
      </c>
      <c r="M133" s="4">
        <v>500.5</v>
      </c>
      <c r="N133" s="4">
        <v>500.5</v>
      </c>
      <c r="O133" s="4">
        <v>500.5</v>
      </c>
      <c r="P133" s="4">
        <v>0</v>
      </c>
      <c r="Q133" s="3" t="s">
        <v>26</v>
      </c>
      <c r="R133" s="3">
        <v>0</v>
      </c>
      <c r="S133" s="3" t="s">
        <v>134</v>
      </c>
      <c r="T133" s="3" t="s">
        <v>585</v>
      </c>
      <c r="U133" s="3">
        <v>5</v>
      </c>
      <c r="V133" s="3">
        <v>6</v>
      </c>
      <c r="W133" s="3">
        <v>87</v>
      </c>
    </row>
    <row r="134" spans="1:23" ht="11.25" customHeight="1" x14ac:dyDescent="0.25">
      <c r="A134" s="3" t="s">
        <v>21</v>
      </c>
      <c r="B134" s="3" t="s">
        <v>39</v>
      </c>
      <c r="C134" s="3" t="s">
        <v>40</v>
      </c>
      <c r="D134" s="3" t="s">
        <v>46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44287</v>
      </c>
      <c r="J134" s="4">
        <v>2950</v>
      </c>
      <c r="K134" s="4">
        <v>2950</v>
      </c>
      <c r="L134" s="4">
        <v>49</v>
      </c>
      <c r="M134" s="4">
        <v>49</v>
      </c>
      <c r="N134" s="4">
        <v>49</v>
      </c>
      <c r="O134" s="4">
        <v>49</v>
      </c>
      <c r="P134" s="4">
        <v>0</v>
      </c>
      <c r="Q134" s="3" t="s">
        <v>26</v>
      </c>
      <c r="R134" s="3">
        <v>0</v>
      </c>
      <c r="S134" s="3" t="s">
        <v>150</v>
      </c>
      <c r="T134" s="3" t="s">
        <v>589</v>
      </c>
      <c r="U134" s="3">
        <v>4</v>
      </c>
      <c r="V134" s="3">
        <v>6</v>
      </c>
      <c r="W134" s="3">
        <v>86</v>
      </c>
    </row>
    <row r="135" spans="1:23" ht="11.25" customHeight="1" x14ac:dyDescent="0.25">
      <c r="A135" s="3" t="s">
        <v>21</v>
      </c>
      <c r="B135" s="3" t="s">
        <v>39</v>
      </c>
      <c r="C135" s="3" t="s">
        <v>40</v>
      </c>
      <c r="D135" s="3" t="s">
        <v>46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44317</v>
      </c>
      <c r="J135" s="4">
        <v>2950</v>
      </c>
      <c r="K135" s="4">
        <v>2950</v>
      </c>
      <c r="L135" s="4">
        <v>52.5</v>
      </c>
      <c r="M135" s="4">
        <v>52.5</v>
      </c>
      <c r="N135" s="4">
        <v>52.5</v>
      </c>
      <c r="O135" s="4">
        <v>52.5</v>
      </c>
      <c r="P135" s="4">
        <v>0</v>
      </c>
      <c r="Q135" s="3" t="s">
        <v>26</v>
      </c>
      <c r="R135" s="3">
        <v>0</v>
      </c>
      <c r="S135" s="3" t="s">
        <v>151</v>
      </c>
      <c r="T135" s="3" t="s">
        <v>590</v>
      </c>
      <c r="U135" s="3">
        <v>4</v>
      </c>
      <c r="V135" s="3">
        <v>6</v>
      </c>
      <c r="W135" s="3">
        <v>86</v>
      </c>
    </row>
    <row r="136" spans="1:23" ht="11.25" customHeight="1" x14ac:dyDescent="0.25">
      <c r="A136" s="3" t="s">
        <v>21</v>
      </c>
      <c r="B136" s="3" t="s">
        <v>39</v>
      </c>
      <c r="C136" s="3" t="s">
        <v>40</v>
      </c>
      <c r="D136" s="3" t="s">
        <v>46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44348</v>
      </c>
      <c r="J136" s="4">
        <v>2950</v>
      </c>
      <c r="K136" s="4">
        <v>2950</v>
      </c>
      <c r="L136" s="4">
        <v>52.5</v>
      </c>
      <c r="M136" s="4">
        <v>52.5</v>
      </c>
      <c r="N136" s="4">
        <v>52.5</v>
      </c>
      <c r="O136" s="4">
        <v>52.5</v>
      </c>
      <c r="P136" s="4">
        <v>0</v>
      </c>
      <c r="Q136" s="3" t="s">
        <v>26</v>
      </c>
      <c r="R136" s="3">
        <v>0</v>
      </c>
      <c r="S136" s="3" t="s">
        <v>152</v>
      </c>
      <c r="T136" s="3" t="s">
        <v>591</v>
      </c>
      <c r="U136" s="3">
        <v>4</v>
      </c>
      <c r="V136" s="3">
        <v>6</v>
      </c>
      <c r="W136" s="3">
        <v>86</v>
      </c>
    </row>
    <row r="137" spans="1:23" ht="11.25" customHeight="1" x14ac:dyDescent="0.25">
      <c r="A137" s="3" t="s">
        <v>21</v>
      </c>
      <c r="B137" s="3" t="s">
        <v>39</v>
      </c>
      <c r="C137" s="3" t="s">
        <v>40</v>
      </c>
      <c r="D137" s="3" t="s">
        <v>46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44378</v>
      </c>
      <c r="J137" s="4">
        <v>2950</v>
      </c>
      <c r="K137" s="4">
        <v>2950</v>
      </c>
      <c r="L137" s="4">
        <v>49</v>
      </c>
      <c r="M137" s="4">
        <v>49</v>
      </c>
      <c r="N137" s="4">
        <v>49</v>
      </c>
      <c r="O137" s="4">
        <v>49</v>
      </c>
      <c r="P137" s="4">
        <v>0</v>
      </c>
      <c r="Q137" s="3" t="s">
        <v>26</v>
      </c>
      <c r="R137" s="3">
        <v>0</v>
      </c>
      <c r="S137" s="3" t="s">
        <v>153</v>
      </c>
      <c r="T137" s="3" t="s">
        <v>592</v>
      </c>
      <c r="U137" s="3">
        <v>4</v>
      </c>
      <c r="V137" s="3">
        <v>6</v>
      </c>
      <c r="W137" s="3">
        <v>86</v>
      </c>
    </row>
    <row r="138" spans="1:23" ht="11.25" customHeight="1" x14ac:dyDescent="0.25">
      <c r="A138" s="3" t="s">
        <v>21</v>
      </c>
      <c r="B138" s="3" t="s">
        <v>39</v>
      </c>
      <c r="C138" s="3" t="s">
        <v>40</v>
      </c>
      <c r="D138" s="3" t="s">
        <v>46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44409</v>
      </c>
      <c r="J138" s="4">
        <v>2950</v>
      </c>
      <c r="K138" s="4">
        <v>2950</v>
      </c>
      <c r="L138" s="4">
        <v>45.5</v>
      </c>
      <c r="M138" s="4">
        <v>45.5</v>
      </c>
      <c r="N138" s="4">
        <v>45.5</v>
      </c>
      <c r="O138" s="4">
        <v>45.5</v>
      </c>
      <c r="P138" s="4">
        <v>0</v>
      </c>
      <c r="Q138" s="3" t="s">
        <v>26</v>
      </c>
      <c r="R138" s="3">
        <v>0</v>
      </c>
      <c r="S138" s="3" t="s">
        <v>154</v>
      </c>
      <c r="T138" s="3" t="s">
        <v>593</v>
      </c>
      <c r="U138" s="3">
        <v>4</v>
      </c>
      <c r="V138" s="3">
        <v>6</v>
      </c>
      <c r="W138" s="3">
        <v>86</v>
      </c>
    </row>
    <row r="139" spans="1:23" ht="11.25" customHeight="1" x14ac:dyDescent="0.25">
      <c r="A139" s="3" t="s">
        <v>21</v>
      </c>
      <c r="B139" s="3" t="s">
        <v>39</v>
      </c>
      <c r="C139" s="3" t="s">
        <v>40</v>
      </c>
      <c r="D139" s="3" t="s">
        <v>46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44440</v>
      </c>
      <c r="J139" s="4">
        <v>2950</v>
      </c>
      <c r="K139" s="4">
        <v>2950</v>
      </c>
      <c r="L139" s="4">
        <v>52.5</v>
      </c>
      <c r="M139" s="4">
        <v>52.5</v>
      </c>
      <c r="N139" s="4">
        <v>52.5</v>
      </c>
      <c r="O139" s="4">
        <v>52.5</v>
      </c>
      <c r="P139" s="4">
        <v>0</v>
      </c>
      <c r="Q139" s="3" t="s">
        <v>26</v>
      </c>
      <c r="R139" s="3">
        <v>0</v>
      </c>
      <c r="S139" s="3" t="s">
        <v>155</v>
      </c>
      <c r="T139" s="3" t="s">
        <v>594</v>
      </c>
      <c r="U139" s="3">
        <v>4</v>
      </c>
      <c r="V139" s="3">
        <v>6</v>
      </c>
      <c r="W139" s="3">
        <v>86</v>
      </c>
    </row>
    <row r="140" spans="1:23" ht="11.25" customHeight="1" x14ac:dyDescent="0.25">
      <c r="A140" s="3" t="s">
        <v>21</v>
      </c>
      <c r="B140" s="3" t="s">
        <v>39</v>
      </c>
      <c r="C140" s="3" t="s">
        <v>40</v>
      </c>
      <c r="D140" s="3" t="s">
        <v>46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44470</v>
      </c>
      <c r="J140" s="4">
        <v>2950</v>
      </c>
      <c r="K140" s="4">
        <v>2950</v>
      </c>
      <c r="L140" s="4">
        <v>52.5</v>
      </c>
      <c r="M140" s="4">
        <v>52.5</v>
      </c>
      <c r="N140" s="4">
        <v>52.5</v>
      </c>
      <c r="O140" s="4">
        <v>52.5</v>
      </c>
      <c r="P140" s="4">
        <v>0</v>
      </c>
      <c r="Q140" s="3" t="s">
        <v>26</v>
      </c>
      <c r="R140" s="3">
        <v>0</v>
      </c>
      <c r="S140" s="3" t="s">
        <v>156</v>
      </c>
      <c r="T140" s="3" t="s">
        <v>595</v>
      </c>
      <c r="U140" s="3">
        <v>4</v>
      </c>
      <c r="V140" s="3">
        <v>6</v>
      </c>
      <c r="W140" s="3">
        <v>86</v>
      </c>
    </row>
    <row r="141" spans="1:23" ht="11.25" customHeight="1" x14ac:dyDescent="0.25">
      <c r="A141" s="3" t="s">
        <v>21</v>
      </c>
      <c r="B141" s="3" t="s">
        <v>39</v>
      </c>
      <c r="C141" s="3" t="s">
        <v>40</v>
      </c>
      <c r="D141" s="3" t="s">
        <v>46</v>
      </c>
      <c r="E141" s="3" t="s">
        <v>25</v>
      </c>
      <c r="F141" s="3" t="s">
        <v>25</v>
      </c>
      <c r="G141" s="3" t="s">
        <v>25</v>
      </c>
      <c r="H141" s="3" t="s">
        <v>34</v>
      </c>
      <c r="I141" s="6">
        <v>44501</v>
      </c>
      <c r="J141" s="4">
        <v>2950</v>
      </c>
      <c r="K141" s="4">
        <v>2950</v>
      </c>
      <c r="L141" s="4">
        <v>52.5</v>
      </c>
      <c r="M141" s="4">
        <v>52.5</v>
      </c>
      <c r="N141" s="4">
        <v>52.5</v>
      </c>
      <c r="O141" s="4">
        <v>52.5</v>
      </c>
      <c r="P141" s="4">
        <v>0</v>
      </c>
      <c r="Q141" s="3" t="s">
        <v>26</v>
      </c>
      <c r="R141" s="3">
        <v>0</v>
      </c>
      <c r="S141" s="3" t="s">
        <v>157</v>
      </c>
      <c r="T141" s="3" t="s">
        <v>596</v>
      </c>
      <c r="U141" s="3">
        <v>4</v>
      </c>
      <c r="V141" s="3">
        <v>6</v>
      </c>
      <c r="W141" s="3">
        <v>86</v>
      </c>
    </row>
    <row r="142" spans="1:23" ht="11.25" customHeight="1" x14ac:dyDescent="0.25">
      <c r="A142" s="3" t="s">
        <v>21</v>
      </c>
      <c r="B142" s="3" t="s">
        <v>39</v>
      </c>
      <c r="C142" s="3" t="s">
        <v>40</v>
      </c>
      <c r="D142" s="3" t="s">
        <v>46</v>
      </c>
      <c r="E142" s="3" t="s">
        <v>25</v>
      </c>
      <c r="F142" s="3" t="s">
        <v>25</v>
      </c>
      <c r="G142" s="3" t="s">
        <v>25</v>
      </c>
      <c r="H142" s="3" t="s">
        <v>34</v>
      </c>
      <c r="I142" s="6">
        <v>44531</v>
      </c>
      <c r="J142" s="4">
        <v>2950</v>
      </c>
      <c r="K142" s="4">
        <v>2950</v>
      </c>
      <c r="L142" s="4">
        <v>59.5</v>
      </c>
      <c r="M142" s="4">
        <v>59.5</v>
      </c>
      <c r="N142" s="4">
        <v>59.5</v>
      </c>
      <c r="O142" s="4">
        <v>59.5</v>
      </c>
      <c r="P142" s="4">
        <v>0</v>
      </c>
      <c r="Q142" s="3" t="s">
        <v>26</v>
      </c>
      <c r="R142" s="3">
        <v>0</v>
      </c>
      <c r="S142" s="3" t="s">
        <v>158</v>
      </c>
      <c r="T142" s="3" t="s">
        <v>597</v>
      </c>
      <c r="U142" s="3">
        <v>4</v>
      </c>
      <c r="V142" s="3">
        <v>6</v>
      </c>
      <c r="W142" s="3">
        <v>86</v>
      </c>
    </row>
    <row r="143" spans="1:23" ht="11.25" customHeight="1" x14ac:dyDescent="0.25">
      <c r="A143" s="3" t="s">
        <v>21</v>
      </c>
      <c r="B143" s="3" t="s">
        <v>39</v>
      </c>
      <c r="C143" s="3" t="s">
        <v>40</v>
      </c>
      <c r="D143" s="3" t="s">
        <v>45</v>
      </c>
      <c r="E143" s="3" t="s">
        <v>53</v>
      </c>
      <c r="F143" s="3" t="s">
        <v>55</v>
      </c>
      <c r="G143" s="3" t="s">
        <v>25</v>
      </c>
      <c r="H143" s="3" t="s">
        <v>35</v>
      </c>
      <c r="I143" s="6">
        <v>44287</v>
      </c>
      <c r="J143" s="4">
        <v>0</v>
      </c>
      <c r="K143" s="4">
        <v>0</v>
      </c>
      <c r="L143" s="4">
        <v>514.35</v>
      </c>
      <c r="M143" s="4">
        <v>51.435000000000002</v>
      </c>
      <c r="N143" s="4">
        <v>514.35</v>
      </c>
      <c r="O143" s="4">
        <v>51.435000000000002</v>
      </c>
      <c r="P143" s="4">
        <v>0</v>
      </c>
      <c r="Q143" s="3" t="s">
        <v>26</v>
      </c>
      <c r="R143" s="3">
        <v>0</v>
      </c>
      <c r="S143" s="3" t="s">
        <v>126</v>
      </c>
      <c r="T143" s="3" t="s">
        <v>577</v>
      </c>
      <c r="U143" s="3">
        <v>0</v>
      </c>
      <c r="V143" s="3">
        <v>6</v>
      </c>
      <c r="W143" s="3">
        <v>87</v>
      </c>
    </row>
    <row r="144" spans="1:23" ht="11.25" customHeight="1" x14ac:dyDescent="0.25">
      <c r="A144" s="3" t="s">
        <v>21</v>
      </c>
      <c r="B144" s="3" t="s">
        <v>39</v>
      </c>
      <c r="C144" s="3" t="s">
        <v>40</v>
      </c>
      <c r="D144" s="3" t="s">
        <v>45</v>
      </c>
      <c r="E144" s="3" t="s">
        <v>53</v>
      </c>
      <c r="F144" s="3" t="s">
        <v>55</v>
      </c>
      <c r="G144" s="3" t="s">
        <v>25</v>
      </c>
      <c r="H144" s="3" t="s">
        <v>35</v>
      </c>
      <c r="I144" s="6">
        <v>44317</v>
      </c>
      <c r="J144" s="4">
        <v>0</v>
      </c>
      <c r="K144" s="4">
        <v>0</v>
      </c>
      <c r="L144" s="4">
        <v>134.13</v>
      </c>
      <c r="M144" s="4">
        <v>13.413</v>
      </c>
      <c r="N144" s="4">
        <v>134.13</v>
      </c>
      <c r="O144" s="4">
        <v>13.413</v>
      </c>
      <c r="P144" s="4">
        <v>0</v>
      </c>
      <c r="Q144" s="3" t="s">
        <v>26</v>
      </c>
      <c r="R144" s="3">
        <v>0</v>
      </c>
      <c r="S144" s="3" t="s">
        <v>127</v>
      </c>
      <c r="T144" s="3" t="s">
        <v>578</v>
      </c>
      <c r="U144" s="3">
        <v>0</v>
      </c>
      <c r="V144" s="3">
        <v>6</v>
      </c>
      <c r="W144" s="3">
        <v>87</v>
      </c>
    </row>
    <row r="145" spans="1:23" ht="11.25" customHeight="1" x14ac:dyDescent="0.25">
      <c r="A145" s="3" t="s">
        <v>21</v>
      </c>
      <c r="B145" s="3" t="s">
        <v>39</v>
      </c>
      <c r="C145" s="3" t="s">
        <v>40</v>
      </c>
      <c r="D145" s="3" t="s">
        <v>45</v>
      </c>
      <c r="E145" s="3" t="s">
        <v>53</v>
      </c>
      <c r="F145" s="3" t="s">
        <v>55</v>
      </c>
      <c r="G145" s="3" t="s">
        <v>25</v>
      </c>
      <c r="H145" s="3" t="s">
        <v>35</v>
      </c>
      <c r="I145" s="6">
        <v>44348</v>
      </c>
      <c r="J145" s="4">
        <v>0</v>
      </c>
      <c r="K145" s="4">
        <v>0</v>
      </c>
      <c r="L145" s="4">
        <v>122.04</v>
      </c>
      <c r="M145" s="4">
        <v>12.204000000000001</v>
      </c>
      <c r="N145" s="4">
        <v>122.04</v>
      </c>
      <c r="O145" s="4">
        <v>12.204000000000001</v>
      </c>
      <c r="P145" s="4">
        <v>0</v>
      </c>
      <c r="Q145" s="3" t="s">
        <v>26</v>
      </c>
      <c r="R145" s="3">
        <v>0</v>
      </c>
      <c r="S145" s="3" t="s">
        <v>128</v>
      </c>
      <c r="T145" s="3" t="s">
        <v>579</v>
      </c>
      <c r="U145" s="3">
        <v>0</v>
      </c>
      <c r="V145" s="3">
        <v>6</v>
      </c>
      <c r="W145" s="3">
        <v>87</v>
      </c>
    </row>
    <row r="146" spans="1:23" ht="11.25" customHeight="1" x14ac:dyDescent="0.25">
      <c r="A146" s="3" t="s">
        <v>21</v>
      </c>
      <c r="B146" s="3" t="s">
        <v>39</v>
      </c>
      <c r="C146" s="3" t="s">
        <v>40</v>
      </c>
      <c r="D146" s="3" t="s">
        <v>45</v>
      </c>
      <c r="E146" s="3" t="s">
        <v>53</v>
      </c>
      <c r="F146" s="3" t="s">
        <v>55</v>
      </c>
      <c r="G146" s="3" t="s">
        <v>25</v>
      </c>
      <c r="H146" s="3" t="s">
        <v>35</v>
      </c>
      <c r="I146" s="6">
        <v>44378</v>
      </c>
      <c r="J146" s="4">
        <v>0</v>
      </c>
      <c r="K146" s="4">
        <v>0</v>
      </c>
      <c r="L146" s="4">
        <v>100.842</v>
      </c>
      <c r="M146" s="4">
        <v>10.084199999999999</v>
      </c>
      <c r="N146" s="4">
        <v>100.842</v>
      </c>
      <c r="O146" s="4">
        <v>10.084199999999999</v>
      </c>
      <c r="P146" s="4">
        <v>0</v>
      </c>
      <c r="Q146" s="3" t="s">
        <v>26</v>
      </c>
      <c r="R146" s="3">
        <v>0</v>
      </c>
      <c r="S146" s="3" t="s">
        <v>129</v>
      </c>
      <c r="T146" s="3" t="s">
        <v>580</v>
      </c>
      <c r="U146" s="3">
        <v>0</v>
      </c>
      <c r="V146" s="3">
        <v>6</v>
      </c>
      <c r="W146" s="3">
        <v>87</v>
      </c>
    </row>
    <row r="147" spans="1:23" ht="11.25" customHeight="1" x14ac:dyDescent="0.25">
      <c r="A147" s="3" t="s">
        <v>21</v>
      </c>
      <c r="B147" s="3" t="s">
        <v>39</v>
      </c>
      <c r="C147" s="3" t="s">
        <v>40</v>
      </c>
      <c r="D147" s="3" t="s">
        <v>45</v>
      </c>
      <c r="E147" s="3" t="s">
        <v>53</v>
      </c>
      <c r="F147" s="3" t="s">
        <v>55</v>
      </c>
      <c r="G147" s="3" t="s">
        <v>25</v>
      </c>
      <c r="H147" s="3" t="s">
        <v>35</v>
      </c>
      <c r="I147" s="6">
        <v>44409</v>
      </c>
      <c r="J147" s="4">
        <v>0</v>
      </c>
      <c r="K147" s="4">
        <v>0</v>
      </c>
      <c r="L147" s="4">
        <v>111.054</v>
      </c>
      <c r="M147" s="4">
        <v>11.105399999999999</v>
      </c>
      <c r="N147" s="4">
        <v>111.054</v>
      </c>
      <c r="O147" s="4">
        <v>11.105399999999999</v>
      </c>
      <c r="P147" s="4">
        <v>0</v>
      </c>
      <c r="Q147" s="3" t="s">
        <v>26</v>
      </c>
      <c r="R147" s="3">
        <v>0</v>
      </c>
      <c r="S147" s="3" t="s">
        <v>130</v>
      </c>
      <c r="T147" s="3" t="s">
        <v>581</v>
      </c>
      <c r="U147" s="3">
        <v>0</v>
      </c>
      <c r="V147" s="3">
        <v>6</v>
      </c>
      <c r="W147" s="3">
        <v>87</v>
      </c>
    </row>
    <row r="148" spans="1:23" ht="11.25" customHeight="1" x14ac:dyDescent="0.25">
      <c r="A148" s="3" t="s">
        <v>21</v>
      </c>
      <c r="B148" s="3" t="s">
        <v>39</v>
      </c>
      <c r="C148" s="3" t="s">
        <v>40</v>
      </c>
      <c r="D148" s="3" t="s">
        <v>45</v>
      </c>
      <c r="E148" s="3" t="s">
        <v>53</v>
      </c>
      <c r="F148" s="3" t="s">
        <v>55</v>
      </c>
      <c r="G148" s="3" t="s">
        <v>25</v>
      </c>
      <c r="H148" s="3" t="s">
        <v>35</v>
      </c>
      <c r="I148" s="6">
        <v>44440</v>
      </c>
      <c r="J148" s="4">
        <v>0</v>
      </c>
      <c r="K148" s="4">
        <v>0</v>
      </c>
      <c r="L148" s="4">
        <v>440.58600000000001</v>
      </c>
      <c r="M148" s="4">
        <v>44.058599999999998</v>
      </c>
      <c r="N148" s="4">
        <v>440.58600000000001</v>
      </c>
      <c r="O148" s="4">
        <v>44.058599999999998</v>
      </c>
      <c r="P148" s="4">
        <v>0</v>
      </c>
      <c r="Q148" s="3" t="s">
        <v>26</v>
      </c>
      <c r="R148" s="3">
        <v>0</v>
      </c>
      <c r="S148" s="3" t="s">
        <v>131</v>
      </c>
      <c r="T148" s="3" t="s">
        <v>582</v>
      </c>
      <c r="U148" s="3">
        <v>0</v>
      </c>
      <c r="V148" s="3">
        <v>6</v>
      </c>
      <c r="W148" s="3">
        <v>87</v>
      </c>
    </row>
    <row r="149" spans="1:23" ht="11.25" customHeight="1" x14ac:dyDescent="0.25">
      <c r="A149" s="3" t="s">
        <v>21</v>
      </c>
      <c r="B149" s="3" t="s">
        <v>39</v>
      </c>
      <c r="C149" s="3" t="s">
        <v>40</v>
      </c>
      <c r="D149" s="3" t="s">
        <v>45</v>
      </c>
      <c r="E149" s="3" t="s">
        <v>53</v>
      </c>
      <c r="F149" s="3" t="s">
        <v>55</v>
      </c>
      <c r="G149" s="3" t="s">
        <v>25</v>
      </c>
      <c r="H149" s="3" t="s">
        <v>35</v>
      </c>
      <c r="I149" s="6">
        <v>44470</v>
      </c>
      <c r="J149" s="4">
        <v>0</v>
      </c>
      <c r="K149" s="4">
        <v>0</v>
      </c>
      <c r="L149" s="4">
        <v>884.274</v>
      </c>
      <c r="M149" s="4">
        <v>88.427400000000006</v>
      </c>
      <c r="N149" s="4">
        <v>884.274</v>
      </c>
      <c r="O149" s="4">
        <v>88.427400000000006</v>
      </c>
      <c r="P149" s="4">
        <v>0</v>
      </c>
      <c r="Q149" s="3" t="s">
        <v>26</v>
      </c>
      <c r="R149" s="3">
        <v>0</v>
      </c>
      <c r="S149" s="3" t="s">
        <v>132</v>
      </c>
      <c r="T149" s="3" t="s">
        <v>583</v>
      </c>
      <c r="U149" s="3">
        <v>0</v>
      </c>
      <c r="V149" s="3">
        <v>6</v>
      </c>
      <c r="W149" s="3">
        <v>87</v>
      </c>
    </row>
    <row r="150" spans="1:23" ht="11.25" customHeight="1" x14ac:dyDescent="0.25">
      <c r="A150" s="3" t="s">
        <v>21</v>
      </c>
      <c r="B150" s="3" t="s">
        <v>39</v>
      </c>
      <c r="C150" s="3" t="s">
        <v>40</v>
      </c>
      <c r="D150" s="3" t="s">
        <v>45</v>
      </c>
      <c r="E150" s="3" t="s">
        <v>53</v>
      </c>
      <c r="F150" s="3" t="s">
        <v>55</v>
      </c>
      <c r="G150" s="3" t="s">
        <v>25</v>
      </c>
      <c r="H150" s="3" t="s">
        <v>35</v>
      </c>
      <c r="I150" s="6">
        <v>44501</v>
      </c>
      <c r="J150" s="4">
        <v>0</v>
      </c>
      <c r="K150" s="4">
        <v>0</v>
      </c>
      <c r="L150" s="4">
        <v>960.69</v>
      </c>
      <c r="M150" s="4">
        <v>96.069000000000003</v>
      </c>
      <c r="N150" s="4">
        <v>960.69</v>
      </c>
      <c r="O150" s="4">
        <v>96.069000000000003</v>
      </c>
      <c r="P150" s="4">
        <v>0</v>
      </c>
      <c r="Q150" s="3" t="s">
        <v>26</v>
      </c>
      <c r="R150" s="3">
        <v>0</v>
      </c>
      <c r="S150" s="3" t="s">
        <v>133</v>
      </c>
      <c r="T150" s="3" t="s">
        <v>584</v>
      </c>
      <c r="U150" s="3">
        <v>0</v>
      </c>
      <c r="V150" s="3">
        <v>6</v>
      </c>
      <c r="W150" s="3">
        <v>87</v>
      </c>
    </row>
    <row r="151" spans="1:23" ht="11.25" customHeight="1" x14ac:dyDescent="0.25">
      <c r="A151" s="3" t="s">
        <v>21</v>
      </c>
      <c r="B151" s="3" t="s">
        <v>39</v>
      </c>
      <c r="C151" s="3" t="s">
        <v>40</v>
      </c>
      <c r="D151" s="3" t="s">
        <v>45</v>
      </c>
      <c r="E151" s="3" t="s">
        <v>53</v>
      </c>
      <c r="F151" s="3" t="s">
        <v>55</v>
      </c>
      <c r="G151" s="3" t="s">
        <v>25</v>
      </c>
      <c r="H151" s="3" t="s">
        <v>35</v>
      </c>
      <c r="I151" s="6">
        <v>44531</v>
      </c>
      <c r="J151" s="4">
        <v>0</v>
      </c>
      <c r="K151" s="4">
        <v>0</v>
      </c>
      <c r="L151" s="4">
        <v>745.42200000000003</v>
      </c>
      <c r="M151" s="4">
        <v>74.542199999999994</v>
      </c>
      <c r="N151" s="4">
        <v>745.42200000000003</v>
      </c>
      <c r="O151" s="4">
        <v>74.542199999999994</v>
      </c>
      <c r="P151" s="4">
        <v>0</v>
      </c>
      <c r="Q151" s="3" t="s">
        <v>26</v>
      </c>
      <c r="R151" s="3">
        <v>0</v>
      </c>
      <c r="S151" s="3" t="s">
        <v>134</v>
      </c>
      <c r="T151" s="3" t="s">
        <v>585</v>
      </c>
      <c r="U151" s="3">
        <v>0</v>
      </c>
      <c r="V151" s="3">
        <v>6</v>
      </c>
      <c r="W151" s="3">
        <v>87</v>
      </c>
    </row>
    <row r="152" spans="1:23" ht="11.25" customHeight="1" x14ac:dyDescent="0.25">
      <c r="A152" s="3" t="s">
        <v>21</v>
      </c>
      <c r="B152" s="3" t="s">
        <v>39</v>
      </c>
      <c r="C152" s="3" t="s">
        <v>40</v>
      </c>
      <c r="D152" s="3" t="s">
        <v>45</v>
      </c>
      <c r="E152" s="3" t="s">
        <v>53</v>
      </c>
      <c r="F152" s="3" t="s">
        <v>55</v>
      </c>
      <c r="G152" s="3" t="s">
        <v>25</v>
      </c>
      <c r="H152" s="3" t="s">
        <v>35</v>
      </c>
      <c r="I152" s="6">
        <v>44562</v>
      </c>
      <c r="J152" s="4">
        <v>0</v>
      </c>
      <c r="K152" s="4">
        <v>0</v>
      </c>
      <c r="L152" s="4">
        <v>593.84</v>
      </c>
      <c r="M152" s="4">
        <v>59.384</v>
      </c>
      <c r="N152" s="4">
        <v>593.84</v>
      </c>
      <c r="O152" s="4">
        <v>59.384</v>
      </c>
      <c r="P152" s="4">
        <v>0</v>
      </c>
      <c r="Q152" s="3" t="s">
        <v>26</v>
      </c>
      <c r="R152" s="3">
        <v>0</v>
      </c>
      <c r="S152" s="3" t="s">
        <v>135</v>
      </c>
      <c r="T152" s="3" t="s">
        <v>586</v>
      </c>
      <c r="U152" s="3">
        <v>0</v>
      </c>
      <c r="V152" s="3">
        <v>6</v>
      </c>
      <c r="W152" s="3">
        <v>87</v>
      </c>
    </row>
    <row r="153" spans="1:23" ht="11.25" customHeight="1" x14ac:dyDescent="0.25">
      <c r="A153" s="3" t="s">
        <v>21</v>
      </c>
      <c r="B153" s="3" t="s">
        <v>39</v>
      </c>
      <c r="C153" s="3" t="s">
        <v>40</v>
      </c>
      <c r="D153" s="3" t="s">
        <v>45</v>
      </c>
      <c r="E153" s="3" t="s">
        <v>53</v>
      </c>
      <c r="F153" s="3" t="s">
        <v>55</v>
      </c>
      <c r="G153" s="3" t="s">
        <v>25</v>
      </c>
      <c r="H153" s="3" t="s">
        <v>35</v>
      </c>
      <c r="I153" s="6">
        <v>44593</v>
      </c>
      <c r="J153" s="4">
        <v>0</v>
      </c>
      <c r="K153" s="4">
        <v>0</v>
      </c>
      <c r="L153" s="4">
        <v>1122.606</v>
      </c>
      <c r="M153" s="4">
        <v>112.2606</v>
      </c>
      <c r="N153" s="4">
        <v>1122.606</v>
      </c>
      <c r="O153" s="4">
        <v>112.2606</v>
      </c>
      <c r="P153" s="4">
        <v>0</v>
      </c>
      <c r="Q153" s="3" t="s">
        <v>26</v>
      </c>
      <c r="R153" s="3">
        <v>0</v>
      </c>
      <c r="S153" s="3" t="s">
        <v>136</v>
      </c>
      <c r="T153" s="3" t="s">
        <v>587</v>
      </c>
      <c r="U153" s="3">
        <v>0</v>
      </c>
      <c r="V153" s="3">
        <v>6</v>
      </c>
      <c r="W153" s="3">
        <v>87</v>
      </c>
    </row>
    <row r="154" spans="1:23" ht="11.25" customHeight="1" x14ac:dyDescent="0.25">
      <c r="A154" s="3" t="s">
        <v>56</v>
      </c>
      <c r="B154" s="3" t="s">
        <v>39</v>
      </c>
      <c r="C154" s="3" t="s">
        <v>40</v>
      </c>
      <c r="D154" s="3" t="s">
        <v>45</v>
      </c>
      <c r="E154" s="3" t="s">
        <v>53</v>
      </c>
      <c r="F154" s="3" t="s">
        <v>55</v>
      </c>
      <c r="G154" s="3" t="s">
        <v>25</v>
      </c>
      <c r="H154" s="3" t="s">
        <v>35</v>
      </c>
      <c r="I154" s="6">
        <v>44621</v>
      </c>
      <c r="J154" s="4">
        <v>0</v>
      </c>
      <c r="K154" s="4">
        <v>0</v>
      </c>
      <c r="L154" s="4">
        <v>1122.606</v>
      </c>
      <c r="M154" s="4">
        <v>112.2606</v>
      </c>
      <c r="N154" s="4">
        <v>1122.606</v>
      </c>
      <c r="O154" s="4">
        <v>112.2606</v>
      </c>
      <c r="P154" s="4">
        <v>0</v>
      </c>
      <c r="Q154" s="3" t="s">
        <v>26</v>
      </c>
      <c r="R154" s="3">
        <v>0</v>
      </c>
      <c r="S154" s="3" t="s">
        <v>137</v>
      </c>
      <c r="T154" s="3" t="s">
        <v>588</v>
      </c>
      <c r="U154" s="3">
        <v>0</v>
      </c>
      <c r="V154" s="3">
        <v>6</v>
      </c>
      <c r="W154" s="3">
        <v>87</v>
      </c>
    </row>
    <row r="155" spans="1:23" ht="11.25" customHeight="1" x14ac:dyDescent="0.25">
      <c r="A155" s="3" t="s">
        <v>21</v>
      </c>
      <c r="B155" s="3" t="s">
        <v>39</v>
      </c>
      <c r="C155" s="3" t="s">
        <v>40</v>
      </c>
      <c r="D155" s="3" t="s">
        <v>45</v>
      </c>
      <c r="E155" s="3" t="s">
        <v>53</v>
      </c>
      <c r="F155" s="3" t="s">
        <v>25</v>
      </c>
      <c r="G155" s="3" t="s">
        <v>25</v>
      </c>
      <c r="H155" s="3" t="s">
        <v>35</v>
      </c>
      <c r="I155" s="6">
        <v>44287</v>
      </c>
      <c r="J155" s="4">
        <v>3768</v>
      </c>
      <c r="K155" s="4">
        <v>3617.2799999999997</v>
      </c>
      <c r="L155" s="4">
        <v>434.34</v>
      </c>
      <c r="M155" s="4">
        <v>416.96639999999996</v>
      </c>
      <c r="N155" s="4">
        <v>434.34</v>
      </c>
      <c r="O155" s="4">
        <v>416.96639999999996</v>
      </c>
      <c r="P155" s="4">
        <v>0</v>
      </c>
      <c r="Q155" s="3" t="s">
        <v>26</v>
      </c>
      <c r="R155" s="3">
        <v>0</v>
      </c>
      <c r="S155" s="3" t="s">
        <v>126</v>
      </c>
      <c r="T155" s="3" t="s">
        <v>577</v>
      </c>
      <c r="U155" s="3">
        <v>5</v>
      </c>
      <c r="V155" s="3">
        <v>6</v>
      </c>
      <c r="W155" s="3">
        <v>87</v>
      </c>
    </row>
    <row r="156" spans="1:23" ht="11.25" customHeight="1" x14ac:dyDescent="0.25">
      <c r="A156" s="3" t="s">
        <v>21</v>
      </c>
      <c r="B156" s="3" t="s">
        <v>39</v>
      </c>
      <c r="C156" s="3" t="s">
        <v>40</v>
      </c>
      <c r="D156" s="3" t="s">
        <v>45</v>
      </c>
      <c r="E156" s="3" t="s">
        <v>53</v>
      </c>
      <c r="F156" s="3" t="s">
        <v>25</v>
      </c>
      <c r="G156" s="3" t="s">
        <v>25</v>
      </c>
      <c r="H156" s="3" t="s">
        <v>35</v>
      </c>
      <c r="I156" s="6">
        <v>44317</v>
      </c>
      <c r="J156" s="4">
        <v>1056</v>
      </c>
      <c r="K156" s="4">
        <v>1013.76</v>
      </c>
      <c r="L156" s="4">
        <v>10.164</v>
      </c>
      <c r="M156" s="4">
        <v>9.757439999999999</v>
      </c>
      <c r="N156" s="4">
        <v>10.164</v>
      </c>
      <c r="O156" s="4">
        <v>9.757439999999999</v>
      </c>
      <c r="P156" s="4">
        <v>0</v>
      </c>
      <c r="Q156" s="3" t="s">
        <v>26</v>
      </c>
      <c r="R156" s="3">
        <v>0</v>
      </c>
      <c r="S156" s="3" t="s">
        <v>127</v>
      </c>
      <c r="T156" s="3" t="s">
        <v>578</v>
      </c>
      <c r="U156" s="3">
        <v>5</v>
      </c>
      <c r="V156" s="3">
        <v>6</v>
      </c>
      <c r="W156" s="3">
        <v>87</v>
      </c>
    </row>
    <row r="157" spans="1:23" ht="11.25" customHeight="1" x14ac:dyDescent="0.25">
      <c r="A157" s="3" t="s">
        <v>21</v>
      </c>
      <c r="B157" s="3" t="s">
        <v>39</v>
      </c>
      <c r="C157" s="3" t="s">
        <v>40</v>
      </c>
      <c r="D157" s="3" t="s">
        <v>45</v>
      </c>
      <c r="E157" s="3" t="s">
        <v>53</v>
      </c>
      <c r="F157" s="3" t="s">
        <v>25</v>
      </c>
      <c r="G157" s="3" t="s">
        <v>25</v>
      </c>
      <c r="H157" s="3" t="s">
        <v>35</v>
      </c>
      <c r="I157" s="6">
        <v>44348</v>
      </c>
      <c r="J157" s="4">
        <v>1032</v>
      </c>
      <c r="K157" s="4">
        <v>990.71999999999991</v>
      </c>
      <c r="L157" s="4">
        <v>8.5500000000000007</v>
      </c>
      <c r="M157" s="4">
        <v>8.2080000000000002</v>
      </c>
      <c r="N157" s="4">
        <v>8.5500000000000007</v>
      </c>
      <c r="O157" s="4">
        <v>8.2080000000000002</v>
      </c>
      <c r="P157" s="4">
        <v>0</v>
      </c>
      <c r="Q157" s="3" t="s">
        <v>26</v>
      </c>
      <c r="R157" s="3">
        <v>0</v>
      </c>
      <c r="S157" s="3" t="s">
        <v>128</v>
      </c>
      <c r="T157" s="3" t="s">
        <v>579</v>
      </c>
      <c r="U157" s="3">
        <v>5</v>
      </c>
      <c r="V157" s="3">
        <v>6</v>
      </c>
      <c r="W157" s="3">
        <v>87</v>
      </c>
    </row>
    <row r="158" spans="1:23" ht="11.25" customHeight="1" x14ac:dyDescent="0.25">
      <c r="A158" s="3" t="s">
        <v>21</v>
      </c>
      <c r="B158" s="3" t="s">
        <v>39</v>
      </c>
      <c r="C158" s="3" t="s">
        <v>40</v>
      </c>
      <c r="D158" s="3" t="s">
        <v>45</v>
      </c>
      <c r="E158" s="3" t="s">
        <v>53</v>
      </c>
      <c r="F158" s="3" t="s">
        <v>25</v>
      </c>
      <c r="G158" s="3" t="s">
        <v>25</v>
      </c>
      <c r="H158" s="3" t="s">
        <v>35</v>
      </c>
      <c r="I158" s="6">
        <v>44378</v>
      </c>
      <c r="J158" s="4">
        <v>1056</v>
      </c>
      <c r="K158" s="4">
        <v>1013.76</v>
      </c>
      <c r="L158" s="4">
        <v>8.8260000000000005</v>
      </c>
      <c r="M158" s="4">
        <v>8.4729600000000005</v>
      </c>
      <c r="N158" s="4">
        <v>8.8260000000000005</v>
      </c>
      <c r="O158" s="4">
        <v>8.4729600000000005</v>
      </c>
      <c r="P158" s="4">
        <v>0</v>
      </c>
      <c r="Q158" s="3" t="s">
        <v>26</v>
      </c>
      <c r="R158" s="3">
        <v>0</v>
      </c>
      <c r="S158" s="3" t="s">
        <v>129</v>
      </c>
      <c r="T158" s="3" t="s">
        <v>580</v>
      </c>
      <c r="U158" s="3">
        <v>5</v>
      </c>
      <c r="V158" s="3">
        <v>6</v>
      </c>
      <c r="W158" s="3">
        <v>87</v>
      </c>
    </row>
    <row r="159" spans="1:23" ht="11.25" customHeight="1" x14ac:dyDescent="0.25">
      <c r="A159" s="3" t="s">
        <v>21</v>
      </c>
      <c r="B159" s="3" t="s">
        <v>39</v>
      </c>
      <c r="C159" s="3" t="s">
        <v>40</v>
      </c>
      <c r="D159" s="3" t="s">
        <v>45</v>
      </c>
      <c r="E159" s="3" t="s">
        <v>53</v>
      </c>
      <c r="F159" s="3" t="s">
        <v>25</v>
      </c>
      <c r="G159" s="3" t="s">
        <v>25</v>
      </c>
      <c r="H159" s="3" t="s">
        <v>35</v>
      </c>
      <c r="I159" s="6">
        <v>44409</v>
      </c>
      <c r="J159" s="4">
        <v>1056</v>
      </c>
      <c r="K159" s="4">
        <v>1013.76</v>
      </c>
      <c r="L159" s="4">
        <v>8.34</v>
      </c>
      <c r="M159" s="4">
        <v>8.0063999999999993</v>
      </c>
      <c r="N159" s="4">
        <v>8.34</v>
      </c>
      <c r="O159" s="4">
        <v>8.0063999999999993</v>
      </c>
      <c r="P159" s="4">
        <v>0</v>
      </c>
      <c r="Q159" s="3" t="s">
        <v>26</v>
      </c>
      <c r="R159" s="3">
        <v>0</v>
      </c>
      <c r="S159" s="3" t="s">
        <v>130</v>
      </c>
      <c r="T159" s="3" t="s">
        <v>581</v>
      </c>
      <c r="U159" s="3">
        <v>5</v>
      </c>
      <c r="V159" s="3">
        <v>6</v>
      </c>
      <c r="W159" s="3">
        <v>87</v>
      </c>
    </row>
    <row r="160" spans="1:23" ht="11.25" customHeight="1" x14ac:dyDescent="0.25">
      <c r="A160" s="3" t="s">
        <v>21</v>
      </c>
      <c r="B160" s="3" t="s">
        <v>39</v>
      </c>
      <c r="C160" s="3" t="s">
        <v>40</v>
      </c>
      <c r="D160" s="3" t="s">
        <v>45</v>
      </c>
      <c r="E160" s="3" t="s">
        <v>53</v>
      </c>
      <c r="F160" s="3" t="s">
        <v>25</v>
      </c>
      <c r="G160" s="3" t="s">
        <v>25</v>
      </c>
      <c r="H160" s="3" t="s">
        <v>35</v>
      </c>
      <c r="I160" s="6">
        <v>44440</v>
      </c>
      <c r="J160" s="4">
        <v>3000</v>
      </c>
      <c r="K160" s="4">
        <v>2880</v>
      </c>
      <c r="L160" s="4">
        <v>296.262</v>
      </c>
      <c r="M160" s="4">
        <v>284.41152</v>
      </c>
      <c r="N160" s="4">
        <v>296.262</v>
      </c>
      <c r="O160" s="4">
        <v>284.41152</v>
      </c>
      <c r="P160" s="4">
        <v>0</v>
      </c>
      <c r="Q160" s="3" t="s">
        <v>26</v>
      </c>
      <c r="R160" s="3">
        <v>0</v>
      </c>
      <c r="S160" s="3" t="s">
        <v>131</v>
      </c>
      <c r="T160" s="3" t="s">
        <v>582</v>
      </c>
      <c r="U160" s="3">
        <v>5</v>
      </c>
      <c r="V160" s="3">
        <v>6</v>
      </c>
      <c r="W160" s="3">
        <v>87</v>
      </c>
    </row>
    <row r="161" spans="1:23" ht="11.25" customHeight="1" x14ac:dyDescent="0.25">
      <c r="A161" s="3" t="s">
        <v>21</v>
      </c>
      <c r="B161" s="3" t="s">
        <v>39</v>
      </c>
      <c r="C161" s="3" t="s">
        <v>40</v>
      </c>
      <c r="D161" s="3" t="s">
        <v>45</v>
      </c>
      <c r="E161" s="3" t="s">
        <v>53</v>
      </c>
      <c r="F161" s="3" t="s">
        <v>25</v>
      </c>
      <c r="G161" s="3" t="s">
        <v>25</v>
      </c>
      <c r="H161" s="3" t="s">
        <v>35</v>
      </c>
      <c r="I161" s="6">
        <v>44470</v>
      </c>
      <c r="J161" s="4">
        <v>3792</v>
      </c>
      <c r="K161" s="4">
        <v>3640.32</v>
      </c>
      <c r="L161" s="4">
        <v>887.95799999999997</v>
      </c>
      <c r="M161" s="4">
        <v>852.43967999999995</v>
      </c>
      <c r="N161" s="4">
        <v>887.95799999999997</v>
      </c>
      <c r="O161" s="4">
        <v>852.43967999999995</v>
      </c>
      <c r="P161" s="4">
        <v>0</v>
      </c>
      <c r="Q161" s="3" t="s">
        <v>26</v>
      </c>
      <c r="R161" s="3">
        <v>0</v>
      </c>
      <c r="S161" s="3" t="s">
        <v>132</v>
      </c>
      <c r="T161" s="3" t="s">
        <v>583</v>
      </c>
      <c r="U161" s="3">
        <v>5</v>
      </c>
      <c r="V161" s="3">
        <v>6</v>
      </c>
      <c r="W161" s="3">
        <v>87</v>
      </c>
    </row>
    <row r="162" spans="1:23" ht="11.25" customHeight="1" x14ac:dyDescent="0.25">
      <c r="A162" s="3" t="s">
        <v>21</v>
      </c>
      <c r="B162" s="3" t="s">
        <v>39</v>
      </c>
      <c r="C162" s="3" t="s">
        <v>40</v>
      </c>
      <c r="D162" s="3" t="s">
        <v>45</v>
      </c>
      <c r="E162" s="3" t="s">
        <v>53</v>
      </c>
      <c r="F162" s="3" t="s">
        <v>25</v>
      </c>
      <c r="G162" s="3" t="s">
        <v>25</v>
      </c>
      <c r="H162" s="3" t="s">
        <v>35</v>
      </c>
      <c r="I162" s="6">
        <v>44501</v>
      </c>
      <c r="J162" s="4">
        <v>4536</v>
      </c>
      <c r="K162" s="4">
        <v>4354.5599999999995</v>
      </c>
      <c r="L162" s="4">
        <v>1033.596</v>
      </c>
      <c r="M162" s="4">
        <v>992.25216</v>
      </c>
      <c r="N162" s="4">
        <v>1033.596</v>
      </c>
      <c r="O162" s="4">
        <v>992.25216</v>
      </c>
      <c r="P162" s="4">
        <v>0</v>
      </c>
      <c r="Q162" s="3" t="s">
        <v>26</v>
      </c>
      <c r="R162" s="3">
        <v>0</v>
      </c>
      <c r="S162" s="3" t="s">
        <v>133</v>
      </c>
      <c r="T162" s="3" t="s">
        <v>584</v>
      </c>
      <c r="U162" s="3">
        <v>5</v>
      </c>
      <c r="V162" s="3">
        <v>6</v>
      </c>
      <c r="W162" s="3">
        <v>87</v>
      </c>
    </row>
    <row r="163" spans="1:23" ht="11.25" customHeight="1" x14ac:dyDescent="0.25">
      <c r="A163" s="3" t="s">
        <v>21</v>
      </c>
      <c r="B163" s="3" t="s">
        <v>39</v>
      </c>
      <c r="C163" s="3" t="s">
        <v>40</v>
      </c>
      <c r="D163" s="3" t="s">
        <v>45</v>
      </c>
      <c r="E163" s="3" t="s">
        <v>53</v>
      </c>
      <c r="F163" s="3" t="s">
        <v>25</v>
      </c>
      <c r="G163" s="3" t="s">
        <v>25</v>
      </c>
      <c r="H163" s="3" t="s">
        <v>35</v>
      </c>
      <c r="I163" s="6">
        <v>44531</v>
      </c>
      <c r="J163" s="4">
        <v>4560</v>
      </c>
      <c r="K163" s="4">
        <v>4377.5999999999995</v>
      </c>
      <c r="L163" s="4">
        <v>696.81</v>
      </c>
      <c r="M163" s="4">
        <v>668.93759999999997</v>
      </c>
      <c r="N163" s="4">
        <v>696.81</v>
      </c>
      <c r="O163" s="4">
        <v>668.93759999999997</v>
      </c>
      <c r="P163" s="4">
        <v>0</v>
      </c>
      <c r="Q163" s="3" t="s">
        <v>26</v>
      </c>
      <c r="R163" s="3">
        <v>0</v>
      </c>
      <c r="S163" s="3" t="s">
        <v>134</v>
      </c>
      <c r="T163" s="3" t="s">
        <v>585</v>
      </c>
      <c r="U163" s="3">
        <v>5</v>
      </c>
      <c r="V163" s="3">
        <v>6</v>
      </c>
      <c r="W163" s="3">
        <v>87</v>
      </c>
    </row>
    <row r="164" spans="1:23" ht="11.25" customHeight="1" x14ac:dyDescent="0.25">
      <c r="A164" s="3" t="s">
        <v>21</v>
      </c>
      <c r="B164" s="3" t="s">
        <v>39</v>
      </c>
      <c r="C164" s="3" t="s">
        <v>40</v>
      </c>
      <c r="D164" s="3" t="s">
        <v>45</v>
      </c>
      <c r="E164" s="3" t="s">
        <v>53</v>
      </c>
      <c r="F164" s="3" t="s">
        <v>25</v>
      </c>
      <c r="G164" s="3" t="s">
        <v>25</v>
      </c>
      <c r="H164" s="3" t="s">
        <v>35</v>
      </c>
      <c r="I164" s="6">
        <v>44562</v>
      </c>
      <c r="J164" s="4">
        <v>453</v>
      </c>
      <c r="K164" s="4">
        <v>434.88</v>
      </c>
      <c r="L164" s="4">
        <v>518.57899999999995</v>
      </c>
      <c r="M164" s="4">
        <v>497.83583999999996</v>
      </c>
      <c r="N164" s="4">
        <v>518.57899999999995</v>
      </c>
      <c r="O164" s="4">
        <v>497.83583999999996</v>
      </c>
      <c r="P164" s="4">
        <v>0</v>
      </c>
      <c r="Q164" s="3" t="s">
        <v>26</v>
      </c>
      <c r="R164" s="3">
        <v>0</v>
      </c>
      <c r="S164" s="3" t="s">
        <v>135</v>
      </c>
      <c r="T164" s="3" t="s">
        <v>586</v>
      </c>
      <c r="U164" s="3">
        <v>5</v>
      </c>
      <c r="V164" s="3">
        <v>6</v>
      </c>
      <c r="W164" s="3">
        <v>87</v>
      </c>
    </row>
    <row r="165" spans="1:23" ht="11.25" customHeight="1" x14ac:dyDescent="0.25">
      <c r="A165" s="3" t="s">
        <v>21</v>
      </c>
      <c r="B165" s="3" t="s">
        <v>39</v>
      </c>
      <c r="C165" s="3" t="s">
        <v>40</v>
      </c>
      <c r="D165" s="3" t="s">
        <v>45</v>
      </c>
      <c r="E165" s="3" t="s">
        <v>53</v>
      </c>
      <c r="F165" s="3" t="s">
        <v>25</v>
      </c>
      <c r="G165" s="3" t="s">
        <v>25</v>
      </c>
      <c r="H165" s="3" t="s">
        <v>35</v>
      </c>
      <c r="I165" s="6">
        <v>44593</v>
      </c>
      <c r="J165" s="4">
        <v>3816</v>
      </c>
      <c r="K165" s="4">
        <v>3663.36</v>
      </c>
      <c r="L165" s="4">
        <v>1235.4000000000001</v>
      </c>
      <c r="M165" s="4">
        <v>1185.9839999999999</v>
      </c>
      <c r="N165" s="4">
        <v>1235.4000000000001</v>
      </c>
      <c r="O165" s="4">
        <v>1185.9839999999999</v>
      </c>
      <c r="P165" s="4">
        <v>0</v>
      </c>
      <c r="Q165" s="3" t="s">
        <v>26</v>
      </c>
      <c r="R165" s="3">
        <v>0</v>
      </c>
      <c r="S165" s="3" t="s">
        <v>136</v>
      </c>
      <c r="T165" s="3" t="s">
        <v>587</v>
      </c>
      <c r="U165" s="3">
        <v>5</v>
      </c>
      <c r="V165" s="3">
        <v>6</v>
      </c>
      <c r="W165" s="3">
        <v>87</v>
      </c>
    </row>
    <row r="166" spans="1:23" ht="11.25" customHeight="1" x14ac:dyDescent="0.25">
      <c r="A166" s="3" t="s">
        <v>56</v>
      </c>
      <c r="B166" s="3" t="s">
        <v>39</v>
      </c>
      <c r="C166" s="3" t="s">
        <v>40</v>
      </c>
      <c r="D166" s="3" t="s">
        <v>45</v>
      </c>
      <c r="E166" s="3" t="s">
        <v>53</v>
      </c>
      <c r="F166" s="3" t="s">
        <v>25</v>
      </c>
      <c r="G166" s="3" t="s">
        <v>25</v>
      </c>
      <c r="H166" s="3" t="s">
        <v>35</v>
      </c>
      <c r="I166" s="6">
        <v>44621</v>
      </c>
      <c r="J166" s="4">
        <v>3816</v>
      </c>
      <c r="K166" s="4">
        <v>3663.36</v>
      </c>
      <c r="L166" s="4">
        <v>1235.4000000000001</v>
      </c>
      <c r="M166" s="4">
        <v>1185.9839999999999</v>
      </c>
      <c r="N166" s="4">
        <v>1235.4000000000001</v>
      </c>
      <c r="O166" s="4">
        <v>1185.9839999999999</v>
      </c>
      <c r="P166" s="4">
        <v>0</v>
      </c>
      <c r="Q166" s="3" t="s">
        <v>26</v>
      </c>
      <c r="R166" s="3">
        <v>0</v>
      </c>
      <c r="S166" s="3" t="s">
        <v>137</v>
      </c>
      <c r="T166" s="3" t="s">
        <v>588</v>
      </c>
      <c r="U166" s="3">
        <v>5</v>
      </c>
      <c r="V166" s="3">
        <v>6</v>
      </c>
      <c r="W166" s="3">
        <v>87</v>
      </c>
    </row>
    <row r="167" spans="1:23" ht="11.25" customHeight="1" x14ac:dyDescent="0.25">
      <c r="A167" s="3" t="s">
        <v>21</v>
      </c>
      <c r="B167" s="3" t="s">
        <v>39</v>
      </c>
      <c r="C167" s="3" t="s">
        <v>40</v>
      </c>
      <c r="D167" s="3" t="s">
        <v>45</v>
      </c>
      <c r="E167" s="3" t="s">
        <v>53</v>
      </c>
      <c r="F167" s="3" t="s">
        <v>25</v>
      </c>
      <c r="G167" s="3" t="s">
        <v>25</v>
      </c>
      <c r="H167" s="3" t="s">
        <v>34</v>
      </c>
      <c r="I167" s="6">
        <v>44287</v>
      </c>
      <c r="J167" s="4">
        <v>24</v>
      </c>
      <c r="K167" s="4">
        <v>23.04</v>
      </c>
      <c r="L167" s="4">
        <v>1.1160000000000001</v>
      </c>
      <c r="M167" s="4">
        <v>1.0713600000000001</v>
      </c>
      <c r="N167" s="4">
        <v>1.1160000000000001</v>
      </c>
      <c r="O167" s="4">
        <v>1.0713600000000001</v>
      </c>
      <c r="P167" s="4">
        <v>0</v>
      </c>
      <c r="Q167" s="3" t="s">
        <v>26</v>
      </c>
      <c r="R167" s="3">
        <v>0</v>
      </c>
      <c r="S167" s="3" t="s">
        <v>150</v>
      </c>
      <c r="T167" s="3" t="s">
        <v>589</v>
      </c>
      <c r="U167" s="3">
        <v>4</v>
      </c>
      <c r="V167" s="3">
        <v>6</v>
      </c>
      <c r="W167" s="3">
        <v>86</v>
      </c>
    </row>
    <row r="168" spans="1:23" ht="11.25" customHeight="1" x14ac:dyDescent="0.25">
      <c r="A168" s="3" t="s">
        <v>21</v>
      </c>
      <c r="B168" s="3" t="s">
        <v>39</v>
      </c>
      <c r="C168" s="3" t="s">
        <v>40</v>
      </c>
      <c r="D168" s="3" t="s">
        <v>45</v>
      </c>
      <c r="E168" s="3" t="s">
        <v>53</v>
      </c>
      <c r="F168" s="3" t="s">
        <v>25</v>
      </c>
      <c r="G168" s="3" t="s">
        <v>25</v>
      </c>
      <c r="H168" s="3" t="s">
        <v>34</v>
      </c>
      <c r="I168" s="6">
        <v>44317</v>
      </c>
      <c r="J168" s="4">
        <v>24</v>
      </c>
      <c r="K168" s="4">
        <v>23.04</v>
      </c>
      <c r="L168" s="4">
        <v>1.0920000000000001</v>
      </c>
      <c r="M168" s="4">
        <v>1.0483200000000001</v>
      </c>
      <c r="N168" s="4">
        <v>1.0920000000000001</v>
      </c>
      <c r="O168" s="4">
        <v>1.0483200000000001</v>
      </c>
      <c r="P168" s="4">
        <v>0</v>
      </c>
      <c r="Q168" s="3" t="s">
        <v>26</v>
      </c>
      <c r="R168" s="3">
        <v>0</v>
      </c>
      <c r="S168" s="3" t="s">
        <v>151</v>
      </c>
      <c r="T168" s="3" t="s">
        <v>590</v>
      </c>
      <c r="U168" s="3">
        <v>4</v>
      </c>
      <c r="V168" s="3">
        <v>6</v>
      </c>
      <c r="W168" s="3">
        <v>86</v>
      </c>
    </row>
    <row r="169" spans="1:23" ht="11.25" customHeight="1" x14ac:dyDescent="0.25">
      <c r="A169" s="3" t="s">
        <v>21</v>
      </c>
      <c r="B169" s="3" t="s">
        <v>39</v>
      </c>
      <c r="C169" s="3" t="s">
        <v>40</v>
      </c>
      <c r="D169" s="3" t="s">
        <v>45</v>
      </c>
      <c r="E169" s="3" t="s">
        <v>53</v>
      </c>
      <c r="F169" s="3" t="s">
        <v>25</v>
      </c>
      <c r="G169" s="3" t="s">
        <v>25</v>
      </c>
      <c r="H169" s="3" t="s">
        <v>34</v>
      </c>
      <c r="I169" s="6">
        <v>44348</v>
      </c>
      <c r="J169" s="4">
        <v>24</v>
      </c>
      <c r="K169" s="4">
        <v>23.04</v>
      </c>
      <c r="L169" s="4">
        <v>1.08</v>
      </c>
      <c r="M169" s="4">
        <v>1.0367999999999999</v>
      </c>
      <c r="N169" s="4">
        <v>1.08</v>
      </c>
      <c r="O169" s="4">
        <v>1.0367999999999999</v>
      </c>
      <c r="P169" s="4">
        <v>0</v>
      </c>
      <c r="Q169" s="3" t="s">
        <v>26</v>
      </c>
      <c r="R169" s="3">
        <v>0</v>
      </c>
      <c r="S169" s="3" t="s">
        <v>152</v>
      </c>
      <c r="T169" s="3" t="s">
        <v>591</v>
      </c>
      <c r="U169" s="3">
        <v>4</v>
      </c>
      <c r="V169" s="3">
        <v>6</v>
      </c>
      <c r="W169" s="3">
        <v>86</v>
      </c>
    </row>
    <row r="170" spans="1:23" ht="11.25" customHeight="1" x14ac:dyDescent="0.25">
      <c r="A170" s="3" t="s">
        <v>21</v>
      </c>
      <c r="B170" s="3" t="s">
        <v>39</v>
      </c>
      <c r="C170" s="3" t="s">
        <v>40</v>
      </c>
      <c r="D170" s="3" t="s">
        <v>45</v>
      </c>
      <c r="E170" s="3" t="s">
        <v>53</v>
      </c>
      <c r="F170" s="3" t="s">
        <v>25</v>
      </c>
      <c r="G170" s="3" t="s">
        <v>25</v>
      </c>
      <c r="H170" s="3" t="s">
        <v>34</v>
      </c>
      <c r="I170" s="6">
        <v>44378</v>
      </c>
      <c r="J170" s="4">
        <v>24</v>
      </c>
      <c r="K170" s="4">
        <v>23.04</v>
      </c>
      <c r="L170" s="4">
        <v>1.1759999999999999</v>
      </c>
      <c r="M170" s="4">
        <v>1.12896</v>
      </c>
      <c r="N170" s="4">
        <v>1.1759999999999999</v>
      </c>
      <c r="O170" s="4">
        <v>1.12896</v>
      </c>
      <c r="P170" s="4">
        <v>0</v>
      </c>
      <c r="Q170" s="3" t="s">
        <v>26</v>
      </c>
      <c r="R170" s="3">
        <v>0</v>
      </c>
      <c r="S170" s="3" t="s">
        <v>153</v>
      </c>
      <c r="T170" s="3" t="s">
        <v>592</v>
      </c>
      <c r="U170" s="3">
        <v>4</v>
      </c>
      <c r="V170" s="3">
        <v>6</v>
      </c>
      <c r="W170" s="3">
        <v>86</v>
      </c>
    </row>
    <row r="171" spans="1:23" ht="11.25" customHeight="1" x14ac:dyDescent="0.25">
      <c r="A171" s="3" t="s">
        <v>21</v>
      </c>
      <c r="B171" s="3" t="s">
        <v>39</v>
      </c>
      <c r="C171" s="3" t="s">
        <v>40</v>
      </c>
      <c r="D171" s="3" t="s">
        <v>45</v>
      </c>
      <c r="E171" s="3" t="s">
        <v>53</v>
      </c>
      <c r="F171" s="3" t="s">
        <v>25</v>
      </c>
      <c r="G171" s="3" t="s">
        <v>25</v>
      </c>
      <c r="H171" s="3" t="s">
        <v>34</v>
      </c>
      <c r="I171" s="6">
        <v>44409</v>
      </c>
      <c r="J171" s="4">
        <v>24</v>
      </c>
      <c r="K171" s="4">
        <v>23.04</v>
      </c>
      <c r="L171" s="4">
        <v>1.17</v>
      </c>
      <c r="M171" s="4">
        <v>1.1232</v>
      </c>
      <c r="N171" s="4">
        <v>1.17</v>
      </c>
      <c r="O171" s="4">
        <v>1.1232</v>
      </c>
      <c r="P171" s="4">
        <v>0</v>
      </c>
      <c r="Q171" s="3" t="s">
        <v>26</v>
      </c>
      <c r="R171" s="3">
        <v>0</v>
      </c>
      <c r="S171" s="3" t="s">
        <v>154</v>
      </c>
      <c r="T171" s="3" t="s">
        <v>593</v>
      </c>
      <c r="U171" s="3">
        <v>4</v>
      </c>
      <c r="V171" s="3">
        <v>6</v>
      </c>
      <c r="W171" s="3">
        <v>86</v>
      </c>
    </row>
    <row r="172" spans="1:23" ht="11.25" customHeight="1" x14ac:dyDescent="0.25">
      <c r="A172" s="3" t="s">
        <v>21</v>
      </c>
      <c r="B172" s="3" t="s">
        <v>39</v>
      </c>
      <c r="C172" s="3" t="s">
        <v>40</v>
      </c>
      <c r="D172" s="3" t="s">
        <v>45</v>
      </c>
      <c r="E172" s="3" t="s">
        <v>53</v>
      </c>
      <c r="F172" s="3" t="s">
        <v>25</v>
      </c>
      <c r="G172" s="3" t="s">
        <v>25</v>
      </c>
      <c r="H172" s="3" t="s">
        <v>34</v>
      </c>
      <c r="I172" s="6">
        <v>44440</v>
      </c>
      <c r="J172" s="4">
        <v>24</v>
      </c>
      <c r="K172" s="4">
        <v>23.04</v>
      </c>
      <c r="L172" s="4">
        <v>1.1519999999999999</v>
      </c>
      <c r="M172" s="4">
        <v>1.10592</v>
      </c>
      <c r="N172" s="4">
        <v>1.1519999999999999</v>
      </c>
      <c r="O172" s="4">
        <v>1.10592</v>
      </c>
      <c r="P172" s="4">
        <v>0</v>
      </c>
      <c r="Q172" s="3" t="s">
        <v>26</v>
      </c>
      <c r="R172" s="3">
        <v>0</v>
      </c>
      <c r="S172" s="3" t="s">
        <v>155</v>
      </c>
      <c r="T172" s="3" t="s">
        <v>594</v>
      </c>
      <c r="U172" s="3">
        <v>4</v>
      </c>
      <c r="V172" s="3">
        <v>6</v>
      </c>
      <c r="W172" s="3">
        <v>86</v>
      </c>
    </row>
    <row r="173" spans="1:23" ht="11.25" customHeight="1" x14ac:dyDescent="0.25">
      <c r="A173" s="3" t="s">
        <v>21</v>
      </c>
      <c r="B173" s="3" t="s">
        <v>39</v>
      </c>
      <c r="C173" s="3" t="s">
        <v>40</v>
      </c>
      <c r="D173" s="3" t="s">
        <v>45</v>
      </c>
      <c r="E173" s="3" t="s">
        <v>53</v>
      </c>
      <c r="F173" s="3" t="s">
        <v>25</v>
      </c>
      <c r="G173" s="3" t="s">
        <v>25</v>
      </c>
      <c r="H173" s="3" t="s">
        <v>34</v>
      </c>
      <c r="I173" s="6">
        <v>44470</v>
      </c>
      <c r="J173" s="4">
        <v>24</v>
      </c>
      <c r="K173" s="4">
        <v>23.04</v>
      </c>
      <c r="L173" s="4">
        <v>1.08</v>
      </c>
      <c r="M173" s="4">
        <v>1.0367999999999999</v>
      </c>
      <c r="N173" s="4">
        <v>1.08</v>
      </c>
      <c r="O173" s="4">
        <v>1.0367999999999999</v>
      </c>
      <c r="P173" s="4">
        <v>0</v>
      </c>
      <c r="Q173" s="3" t="s">
        <v>26</v>
      </c>
      <c r="R173" s="3">
        <v>0</v>
      </c>
      <c r="S173" s="3" t="s">
        <v>156</v>
      </c>
      <c r="T173" s="3" t="s">
        <v>595</v>
      </c>
      <c r="U173" s="3">
        <v>4</v>
      </c>
      <c r="V173" s="3">
        <v>6</v>
      </c>
      <c r="W173" s="3">
        <v>86</v>
      </c>
    </row>
    <row r="174" spans="1:23" ht="11.25" customHeight="1" x14ac:dyDescent="0.25">
      <c r="A174" s="3" t="s">
        <v>21</v>
      </c>
      <c r="B174" s="3" t="s">
        <v>39</v>
      </c>
      <c r="C174" s="3" t="s">
        <v>40</v>
      </c>
      <c r="D174" s="3" t="s">
        <v>45</v>
      </c>
      <c r="E174" s="3" t="s">
        <v>53</v>
      </c>
      <c r="F174" s="3" t="s">
        <v>25</v>
      </c>
      <c r="G174" s="3" t="s">
        <v>25</v>
      </c>
      <c r="H174" s="3" t="s">
        <v>34</v>
      </c>
      <c r="I174" s="6">
        <v>44501</v>
      </c>
      <c r="J174" s="4">
        <v>24</v>
      </c>
      <c r="K174" s="4">
        <v>23.04</v>
      </c>
      <c r="L174" s="4">
        <v>1.0740000000000001</v>
      </c>
      <c r="M174" s="4">
        <v>1.03104</v>
      </c>
      <c r="N174" s="4">
        <v>1.0740000000000001</v>
      </c>
      <c r="O174" s="4">
        <v>1.03104</v>
      </c>
      <c r="P174" s="4">
        <v>0</v>
      </c>
      <c r="Q174" s="3" t="s">
        <v>26</v>
      </c>
      <c r="R174" s="3">
        <v>0</v>
      </c>
      <c r="S174" s="3" t="s">
        <v>157</v>
      </c>
      <c r="T174" s="3" t="s">
        <v>596</v>
      </c>
      <c r="U174" s="3">
        <v>4</v>
      </c>
      <c r="V174" s="3">
        <v>6</v>
      </c>
      <c r="W174" s="3">
        <v>86</v>
      </c>
    </row>
    <row r="175" spans="1:23" ht="11.25" customHeight="1" x14ac:dyDescent="0.25">
      <c r="A175" s="3" t="s">
        <v>21</v>
      </c>
      <c r="B175" s="3" t="s">
        <v>39</v>
      </c>
      <c r="C175" s="3" t="s">
        <v>40</v>
      </c>
      <c r="D175" s="3" t="s">
        <v>45</v>
      </c>
      <c r="E175" s="3" t="s">
        <v>53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24</v>
      </c>
      <c r="K175" s="4">
        <v>23.04</v>
      </c>
      <c r="L175" s="4">
        <v>1.23</v>
      </c>
      <c r="M175" s="4">
        <v>1.1807999999999998</v>
      </c>
      <c r="N175" s="4">
        <v>1.23</v>
      </c>
      <c r="O175" s="4">
        <v>1.1807999999999998</v>
      </c>
      <c r="P175" s="4">
        <v>0</v>
      </c>
      <c r="Q175" s="3" t="s">
        <v>26</v>
      </c>
      <c r="R175" s="3">
        <v>0</v>
      </c>
      <c r="S175" s="3" t="s">
        <v>158</v>
      </c>
      <c r="T175" s="3" t="s">
        <v>597</v>
      </c>
      <c r="U175" s="3">
        <v>4</v>
      </c>
      <c r="V175" s="3">
        <v>6</v>
      </c>
      <c r="W175" s="3">
        <v>86</v>
      </c>
    </row>
    <row r="176" spans="1:23" ht="11.25" customHeight="1" x14ac:dyDescent="0.25">
      <c r="A176" s="3" t="s">
        <v>21</v>
      </c>
      <c r="B176" s="3" t="s">
        <v>39</v>
      </c>
      <c r="C176" s="3" t="s">
        <v>40</v>
      </c>
      <c r="D176" s="3" t="s">
        <v>45</v>
      </c>
      <c r="E176" s="3" t="s">
        <v>53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2</v>
      </c>
      <c r="K176" s="4">
        <v>1.92</v>
      </c>
      <c r="L176" s="4">
        <v>1.153</v>
      </c>
      <c r="M176" s="4">
        <v>1.1068800000000001</v>
      </c>
      <c r="N176" s="4">
        <v>1.153</v>
      </c>
      <c r="O176" s="4">
        <v>1.1068800000000001</v>
      </c>
      <c r="P176" s="4">
        <v>0</v>
      </c>
      <c r="Q176" s="3" t="s">
        <v>26</v>
      </c>
      <c r="R176" s="3">
        <v>0</v>
      </c>
      <c r="S176" s="3" t="s">
        <v>159</v>
      </c>
      <c r="T176" s="3" t="s">
        <v>598</v>
      </c>
      <c r="U176" s="3">
        <v>4</v>
      </c>
      <c r="V176" s="3">
        <v>6</v>
      </c>
      <c r="W176" s="3">
        <v>86</v>
      </c>
    </row>
    <row r="177" spans="1:23" ht="11.25" customHeight="1" x14ac:dyDescent="0.25">
      <c r="A177" s="3" t="s">
        <v>21</v>
      </c>
      <c r="B177" s="3" t="s">
        <v>39</v>
      </c>
      <c r="C177" s="3" t="s">
        <v>40</v>
      </c>
      <c r="D177" s="3" t="s">
        <v>45</v>
      </c>
      <c r="E177" s="3" t="s">
        <v>53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24</v>
      </c>
      <c r="K177" s="4">
        <v>23.04</v>
      </c>
      <c r="L177" s="4">
        <v>10.164</v>
      </c>
      <c r="M177" s="4">
        <v>9.7574400000000008</v>
      </c>
      <c r="N177" s="4">
        <v>10.164</v>
      </c>
      <c r="O177" s="4">
        <v>9.7574400000000008</v>
      </c>
      <c r="P177" s="4">
        <v>0</v>
      </c>
      <c r="Q177" s="3" t="s">
        <v>26</v>
      </c>
      <c r="R177" s="3">
        <v>0</v>
      </c>
      <c r="S177" s="3" t="s">
        <v>160</v>
      </c>
      <c r="T177" s="3" t="s">
        <v>599</v>
      </c>
      <c r="U177" s="3">
        <v>4</v>
      </c>
      <c r="V177" s="3">
        <v>6</v>
      </c>
      <c r="W177" s="3">
        <v>86</v>
      </c>
    </row>
    <row r="178" spans="1:23" ht="11.25" customHeight="1" x14ac:dyDescent="0.25">
      <c r="A178" s="3" t="s">
        <v>56</v>
      </c>
      <c r="B178" s="3" t="s">
        <v>39</v>
      </c>
      <c r="C178" s="3" t="s">
        <v>40</v>
      </c>
      <c r="D178" s="3" t="s">
        <v>45</v>
      </c>
      <c r="E178" s="3" t="s">
        <v>53</v>
      </c>
      <c r="F178" s="3" t="s">
        <v>25</v>
      </c>
      <c r="G178" s="3" t="s">
        <v>25</v>
      </c>
      <c r="H178" s="3" t="s">
        <v>34</v>
      </c>
      <c r="I178" s="6">
        <v>44621</v>
      </c>
      <c r="J178" s="4">
        <v>24</v>
      </c>
      <c r="K178" s="4">
        <v>23.04</v>
      </c>
      <c r="L178" s="4">
        <v>10.164</v>
      </c>
      <c r="M178" s="4">
        <v>9.7574400000000008</v>
      </c>
      <c r="N178" s="4">
        <v>10.164</v>
      </c>
      <c r="O178" s="4">
        <v>9.7574400000000008</v>
      </c>
      <c r="P178" s="4">
        <v>0</v>
      </c>
      <c r="Q178" s="3" t="s">
        <v>26</v>
      </c>
      <c r="R178" s="3">
        <v>0</v>
      </c>
      <c r="S178" s="3" t="s">
        <v>161</v>
      </c>
      <c r="T178" s="3" t="s">
        <v>600</v>
      </c>
      <c r="U178" s="3">
        <v>4</v>
      </c>
      <c r="V178" s="3">
        <v>6</v>
      </c>
      <c r="W178" s="3">
        <v>86</v>
      </c>
    </row>
    <row r="179" spans="1:23" ht="11.25" customHeight="1" x14ac:dyDescent="0.25">
      <c r="A179" s="3" t="s">
        <v>21</v>
      </c>
      <c r="B179" s="3" t="s">
        <v>39</v>
      </c>
      <c r="C179" s="3" t="s">
        <v>40</v>
      </c>
      <c r="D179" s="3" t="s">
        <v>50</v>
      </c>
      <c r="E179" s="3" t="s">
        <v>51</v>
      </c>
      <c r="F179" s="3" t="s">
        <v>25</v>
      </c>
      <c r="G179" s="3" t="s">
        <v>25</v>
      </c>
      <c r="H179" s="3" t="s">
        <v>35</v>
      </c>
      <c r="I179" s="6">
        <v>44287</v>
      </c>
      <c r="J179" s="4">
        <v>9600</v>
      </c>
      <c r="K179" s="4">
        <v>9024</v>
      </c>
      <c r="L179" s="4">
        <v>6170.4849999999997</v>
      </c>
      <c r="M179" s="4">
        <v>5800.2559000000001</v>
      </c>
      <c r="N179" s="4">
        <v>6170.4849999999997</v>
      </c>
      <c r="O179" s="4">
        <v>5800.2559000000001</v>
      </c>
      <c r="P179" s="4">
        <v>0</v>
      </c>
      <c r="Q179" s="3" t="s">
        <v>26</v>
      </c>
      <c r="R179" s="3">
        <v>0</v>
      </c>
      <c r="S179" s="3" t="s">
        <v>126</v>
      </c>
      <c r="T179" s="3" t="s">
        <v>577</v>
      </c>
      <c r="U179" s="3">
        <v>5</v>
      </c>
      <c r="V179" s="3">
        <v>6</v>
      </c>
      <c r="W179" s="3">
        <v>87</v>
      </c>
    </row>
    <row r="180" spans="1:23" ht="11.25" customHeight="1" x14ac:dyDescent="0.25">
      <c r="A180" s="3" t="s">
        <v>21</v>
      </c>
      <c r="B180" s="3" t="s">
        <v>39</v>
      </c>
      <c r="C180" s="3" t="s">
        <v>40</v>
      </c>
      <c r="D180" s="3" t="s">
        <v>50</v>
      </c>
      <c r="E180" s="3" t="s">
        <v>51</v>
      </c>
      <c r="F180" s="3" t="s">
        <v>25</v>
      </c>
      <c r="G180" s="3" t="s">
        <v>25</v>
      </c>
      <c r="H180" s="3" t="s">
        <v>35</v>
      </c>
      <c r="I180" s="6">
        <v>44317</v>
      </c>
      <c r="J180" s="4">
        <v>9600</v>
      </c>
      <c r="K180" s="4">
        <v>9024</v>
      </c>
      <c r="L180" s="4">
        <v>6371.0889999999999</v>
      </c>
      <c r="M180" s="4">
        <v>5988.82366</v>
      </c>
      <c r="N180" s="4">
        <v>6371.0889999999999</v>
      </c>
      <c r="O180" s="4">
        <v>5988.82366</v>
      </c>
      <c r="P180" s="4">
        <v>0</v>
      </c>
      <c r="Q180" s="3" t="s">
        <v>26</v>
      </c>
      <c r="R180" s="3">
        <v>0</v>
      </c>
      <c r="S180" s="3" t="s">
        <v>127</v>
      </c>
      <c r="T180" s="3" t="s">
        <v>578</v>
      </c>
      <c r="U180" s="3">
        <v>5</v>
      </c>
      <c r="V180" s="3">
        <v>6</v>
      </c>
      <c r="W180" s="3">
        <v>87</v>
      </c>
    </row>
    <row r="181" spans="1:23" ht="11.25" customHeight="1" x14ac:dyDescent="0.25">
      <c r="A181" s="3" t="s">
        <v>21</v>
      </c>
      <c r="B181" s="3" t="s">
        <v>39</v>
      </c>
      <c r="C181" s="3" t="s">
        <v>40</v>
      </c>
      <c r="D181" s="3" t="s">
        <v>50</v>
      </c>
      <c r="E181" s="3" t="s">
        <v>51</v>
      </c>
      <c r="F181" s="3" t="s">
        <v>25</v>
      </c>
      <c r="G181" s="3" t="s">
        <v>25</v>
      </c>
      <c r="H181" s="3" t="s">
        <v>35</v>
      </c>
      <c r="I181" s="6">
        <v>44348</v>
      </c>
      <c r="J181" s="4">
        <v>9600</v>
      </c>
      <c r="K181" s="4">
        <v>9024</v>
      </c>
      <c r="L181" s="4">
        <v>5900.6350000000002</v>
      </c>
      <c r="M181" s="4">
        <v>5546.5968999999996</v>
      </c>
      <c r="N181" s="4">
        <v>5900.6350000000002</v>
      </c>
      <c r="O181" s="4">
        <v>5546.5968999999996</v>
      </c>
      <c r="P181" s="4">
        <v>0</v>
      </c>
      <c r="Q181" s="3" t="s">
        <v>26</v>
      </c>
      <c r="R181" s="3">
        <v>0</v>
      </c>
      <c r="S181" s="3" t="s">
        <v>128</v>
      </c>
      <c r="T181" s="3" t="s">
        <v>579</v>
      </c>
      <c r="U181" s="3">
        <v>5</v>
      </c>
      <c r="V181" s="3">
        <v>6</v>
      </c>
      <c r="W181" s="3">
        <v>87</v>
      </c>
    </row>
    <row r="182" spans="1:23" ht="11.25" customHeight="1" x14ac:dyDescent="0.25">
      <c r="A182" s="3" t="s">
        <v>21</v>
      </c>
      <c r="B182" s="3" t="s">
        <v>39</v>
      </c>
      <c r="C182" s="3" t="s">
        <v>40</v>
      </c>
      <c r="D182" s="3" t="s">
        <v>50</v>
      </c>
      <c r="E182" s="3" t="s">
        <v>51</v>
      </c>
      <c r="F182" s="3" t="s">
        <v>25</v>
      </c>
      <c r="G182" s="3" t="s">
        <v>25</v>
      </c>
      <c r="H182" s="3" t="s">
        <v>35</v>
      </c>
      <c r="I182" s="6">
        <v>44378</v>
      </c>
      <c r="J182" s="4">
        <v>9600</v>
      </c>
      <c r="K182" s="4">
        <v>9024</v>
      </c>
      <c r="L182" s="4">
        <v>6235.5010000000002</v>
      </c>
      <c r="M182" s="4">
        <v>5861.3709399999998</v>
      </c>
      <c r="N182" s="4">
        <v>6235.5010000000002</v>
      </c>
      <c r="O182" s="4">
        <v>5861.3709399999998</v>
      </c>
      <c r="P182" s="4">
        <v>0</v>
      </c>
      <c r="Q182" s="3" t="s">
        <v>26</v>
      </c>
      <c r="R182" s="3">
        <v>0</v>
      </c>
      <c r="S182" s="3" t="s">
        <v>129</v>
      </c>
      <c r="T182" s="3" t="s">
        <v>580</v>
      </c>
      <c r="U182" s="3">
        <v>5</v>
      </c>
      <c r="V182" s="3">
        <v>6</v>
      </c>
      <c r="W182" s="3">
        <v>87</v>
      </c>
    </row>
    <row r="183" spans="1:23" ht="11.25" customHeight="1" x14ac:dyDescent="0.25">
      <c r="A183" s="3" t="s">
        <v>21</v>
      </c>
      <c r="B183" s="3" t="s">
        <v>39</v>
      </c>
      <c r="C183" s="3" t="s">
        <v>40</v>
      </c>
      <c r="D183" s="3" t="s">
        <v>50</v>
      </c>
      <c r="E183" s="3" t="s">
        <v>51</v>
      </c>
      <c r="F183" s="3" t="s">
        <v>25</v>
      </c>
      <c r="G183" s="3" t="s">
        <v>25</v>
      </c>
      <c r="H183" s="3" t="s">
        <v>34</v>
      </c>
      <c r="I183" s="6">
        <v>44287</v>
      </c>
      <c r="J183" s="4">
        <v>3763</v>
      </c>
      <c r="K183" s="4">
        <v>3537.22</v>
      </c>
      <c r="L183" s="4">
        <v>218.589</v>
      </c>
      <c r="M183" s="4">
        <v>205.47366</v>
      </c>
      <c r="N183" s="4">
        <v>218.589</v>
      </c>
      <c r="O183" s="4">
        <v>205.47366</v>
      </c>
      <c r="P183" s="4">
        <v>0</v>
      </c>
      <c r="Q183" s="3" t="s">
        <v>26</v>
      </c>
      <c r="R183" s="3">
        <v>0</v>
      </c>
      <c r="S183" s="3" t="s">
        <v>150</v>
      </c>
      <c r="T183" s="3" t="s">
        <v>589</v>
      </c>
      <c r="U183" s="3">
        <v>4</v>
      </c>
      <c r="V183" s="3">
        <v>6</v>
      </c>
      <c r="W183" s="3">
        <v>86</v>
      </c>
    </row>
    <row r="184" spans="1:23" ht="11.25" customHeight="1" x14ac:dyDescent="0.25">
      <c r="A184" s="3" t="s">
        <v>21</v>
      </c>
      <c r="B184" s="3" t="s">
        <v>39</v>
      </c>
      <c r="C184" s="3" t="s">
        <v>40</v>
      </c>
      <c r="D184" s="3" t="s">
        <v>50</v>
      </c>
      <c r="E184" s="3" t="s">
        <v>51</v>
      </c>
      <c r="F184" s="3" t="s">
        <v>25</v>
      </c>
      <c r="G184" s="3" t="s">
        <v>25</v>
      </c>
      <c r="H184" s="3" t="s">
        <v>34</v>
      </c>
      <c r="I184" s="6">
        <v>44317</v>
      </c>
      <c r="J184" s="4">
        <v>3700</v>
      </c>
      <c r="K184" s="4">
        <v>3478</v>
      </c>
      <c r="L184" s="4">
        <v>229.916</v>
      </c>
      <c r="M184" s="4">
        <v>216.12103999999999</v>
      </c>
      <c r="N184" s="4">
        <v>229.916</v>
      </c>
      <c r="O184" s="4">
        <v>216.12103999999999</v>
      </c>
      <c r="P184" s="4">
        <v>0</v>
      </c>
      <c r="Q184" s="3" t="s">
        <v>26</v>
      </c>
      <c r="R184" s="3">
        <v>0</v>
      </c>
      <c r="S184" s="3" t="s">
        <v>151</v>
      </c>
      <c r="T184" s="3" t="s">
        <v>590</v>
      </c>
      <c r="U184" s="3">
        <v>4</v>
      </c>
      <c r="V184" s="3">
        <v>6</v>
      </c>
      <c r="W184" s="3">
        <v>86</v>
      </c>
    </row>
    <row r="185" spans="1:23" ht="11.25" customHeight="1" x14ac:dyDescent="0.25">
      <c r="A185" s="3" t="s">
        <v>21</v>
      </c>
      <c r="B185" s="3" t="s">
        <v>39</v>
      </c>
      <c r="C185" s="3" t="s">
        <v>40</v>
      </c>
      <c r="D185" s="3" t="s">
        <v>50</v>
      </c>
      <c r="E185" s="3" t="s">
        <v>51</v>
      </c>
      <c r="F185" s="3" t="s">
        <v>25</v>
      </c>
      <c r="G185" s="3" t="s">
        <v>25</v>
      </c>
      <c r="H185" s="3" t="s">
        <v>34</v>
      </c>
      <c r="I185" s="6">
        <v>44348</v>
      </c>
      <c r="J185" s="4">
        <v>3700</v>
      </c>
      <c r="K185" s="4">
        <v>3478</v>
      </c>
      <c r="L185" s="4">
        <v>229.82</v>
      </c>
      <c r="M185" s="4">
        <v>216.0308</v>
      </c>
      <c r="N185" s="4">
        <v>229.82</v>
      </c>
      <c r="O185" s="4">
        <v>216.0308</v>
      </c>
      <c r="P185" s="4">
        <v>0</v>
      </c>
      <c r="Q185" s="3" t="s">
        <v>26</v>
      </c>
      <c r="R185" s="3">
        <v>0</v>
      </c>
      <c r="S185" s="3" t="s">
        <v>152</v>
      </c>
      <c r="T185" s="3" t="s">
        <v>591</v>
      </c>
      <c r="U185" s="3">
        <v>4</v>
      </c>
      <c r="V185" s="3">
        <v>6</v>
      </c>
      <c r="W185" s="3">
        <v>86</v>
      </c>
    </row>
    <row r="186" spans="1:23" ht="11.25" customHeight="1" x14ac:dyDescent="0.25">
      <c r="A186" s="3" t="s">
        <v>21</v>
      </c>
      <c r="B186" s="3" t="s">
        <v>39</v>
      </c>
      <c r="C186" s="3" t="s">
        <v>40</v>
      </c>
      <c r="D186" s="3" t="s">
        <v>50</v>
      </c>
      <c r="E186" s="3" t="s">
        <v>51</v>
      </c>
      <c r="F186" s="3" t="s">
        <v>25</v>
      </c>
      <c r="G186" s="3" t="s">
        <v>25</v>
      </c>
      <c r="H186" s="3" t="s">
        <v>34</v>
      </c>
      <c r="I186" s="6">
        <v>44378</v>
      </c>
      <c r="J186" s="4">
        <v>3746</v>
      </c>
      <c r="K186" s="4">
        <v>3521.24</v>
      </c>
      <c r="L186" s="4">
        <v>241.227</v>
      </c>
      <c r="M186" s="4">
        <v>226.75337999999999</v>
      </c>
      <c r="N186" s="4">
        <v>241.227</v>
      </c>
      <c r="O186" s="4">
        <v>226.75337999999999</v>
      </c>
      <c r="P186" s="4">
        <v>0</v>
      </c>
      <c r="Q186" s="3" t="s">
        <v>26</v>
      </c>
      <c r="R186" s="3">
        <v>0</v>
      </c>
      <c r="S186" s="3" t="s">
        <v>153</v>
      </c>
      <c r="T186" s="3" t="s">
        <v>592</v>
      </c>
      <c r="U186" s="3">
        <v>4</v>
      </c>
      <c r="V186" s="3">
        <v>6</v>
      </c>
      <c r="W186" s="3">
        <v>86</v>
      </c>
    </row>
    <row r="187" spans="1:23" ht="11.25" customHeight="1" x14ac:dyDescent="0.25">
      <c r="A187" s="3" t="s">
        <v>21</v>
      </c>
      <c r="B187" s="3" t="s">
        <v>39</v>
      </c>
      <c r="C187" s="3" t="s">
        <v>61</v>
      </c>
      <c r="D187" s="3" t="s">
        <v>25</v>
      </c>
      <c r="E187" s="3" t="s">
        <v>25</v>
      </c>
      <c r="F187" s="3" t="s">
        <v>64</v>
      </c>
      <c r="G187" s="3" t="s">
        <v>65</v>
      </c>
      <c r="H187" s="3" t="s">
        <v>25</v>
      </c>
      <c r="I187" s="6">
        <v>44287</v>
      </c>
      <c r="J187" s="4">
        <v>0</v>
      </c>
      <c r="K187" s="4">
        <v>0</v>
      </c>
      <c r="L187" s="4">
        <v>0</v>
      </c>
      <c r="M187" s="4">
        <v>0</v>
      </c>
      <c r="N187" s="4">
        <v>31409.545999999998</v>
      </c>
      <c r="O187" s="4">
        <v>31409.545999999998</v>
      </c>
      <c r="P187" s="4">
        <v>0</v>
      </c>
      <c r="Q187" s="3" t="s">
        <v>66</v>
      </c>
      <c r="R187" s="3">
        <v>46</v>
      </c>
      <c r="S187" s="3" t="s">
        <v>162</v>
      </c>
      <c r="T187" s="3" t="s">
        <v>601</v>
      </c>
      <c r="U187" s="3">
        <v>0</v>
      </c>
      <c r="V187" s="3">
        <v>0</v>
      </c>
      <c r="W187" s="3">
        <v>90</v>
      </c>
    </row>
    <row r="188" spans="1:23" ht="11.25" customHeight="1" x14ac:dyDescent="0.25">
      <c r="A188" s="3" t="s">
        <v>21</v>
      </c>
      <c r="B188" s="3" t="s">
        <v>39</v>
      </c>
      <c r="C188" s="3" t="s">
        <v>61</v>
      </c>
      <c r="D188" s="3" t="s">
        <v>25</v>
      </c>
      <c r="E188" s="3" t="s">
        <v>25</v>
      </c>
      <c r="F188" s="3" t="s">
        <v>64</v>
      </c>
      <c r="G188" s="3" t="s">
        <v>65</v>
      </c>
      <c r="H188" s="3" t="s">
        <v>25</v>
      </c>
      <c r="I188" s="6">
        <v>44317</v>
      </c>
      <c r="J188" s="4">
        <v>0</v>
      </c>
      <c r="K188" s="4">
        <v>0</v>
      </c>
      <c r="L188" s="4">
        <v>0</v>
      </c>
      <c r="M188" s="4">
        <v>0</v>
      </c>
      <c r="N188" s="4">
        <v>28670.883999999998</v>
      </c>
      <c r="O188" s="4">
        <v>28670.883999999998</v>
      </c>
      <c r="P188" s="4">
        <v>0</v>
      </c>
      <c r="Q188" s="3" t="s">
        <v>66</v>
      </c>
      <c r="R188" s="3">
        <v>46</v>
      </c>
      <c r="S188" s="3" t="s">
        <v>163</v>
      </c>
      <c r="T188" s="3" t="s">
        <v>602</v>
      </c>
      <c r="U188" s="3">
        <v>0</v>
      </c>
      <c r="V188" s="3">
        <v>0</v>
      </c>
      <c r="W188" s="3">
        <v>90</v>
      </c>
    </row>
    <row r="189" spans="1:23" ht="11.25" customHeight="1" x14ac:dyDescent="0.25">
      <c r="A189" s="3" t="s">
        <v>21</v>
      </c>
      <c r="B189" s="3" t="s">
        <v>39</v>
      </c>
      <c r="C189" s="3" t="s">
        <v>61</v>
      </c>
      <c r="D189" s="3" t="s">
        <v>25</v>
      </c>
      <c r="E189" s="3" t="s">
        <v>25</v>
      </c>
      <c r="F189" s="3" t="s">
        <v>64</v>
      </c>
      <c r="G189" s="3" t="s">
        <v>65</v>
      </c>
      <c r="H189" s="3" t="s">
        <v>25</v>
      </c>
      <c r="I189" s="6">
        <v>44348</v>
      </c>
      <c r="J189" s="4">
        <v>0</v>
      </c>
      <c r="K189" s="4">
        <v>0</v>
      </c>
      <c r="L189" s="4">
        <v>0</v>
      </c>
      <c r="M189" s="4">
        <v>0</v>
      </c>
      <c r="N189" s="4">
        <v>27604.213</v>
      </c>
      <c r="O189" s="4">
        <v>27604.213</v>
      </c>
      <c r="P189" s="4">
        <v>0</v>
      </c>
      <c r="Q189" s="3" t="s">
        <v>66</v>
      </c>
      <c r="R189" s="3">
        <v>46</v>
      </c>
      <c r="S189" s="3" t="s">
        <v>164</v>
      </c>
      <c r="T189" s="3" t="s">
        <v>603</v>
      </c>
      <c r="U189" s="3">
        <v>0</v>
      </c>
      <c r="V189" s="3">
        <v>0</v>
      </c>
      <c r="W189" s="3">
        <v>90</v>
      </c>
    </row>
    <row r="190" spans="1:23" ht="11.25" customHeight="1" x14ac:dyDescent="0.25">
      <c r="A190" s="3" t="s">
        <v>21</v>
      </c>
      <c r="B190" s="3" t="s">
        <v>39</v>
      </c>
      <c r="C190" s="3" t="s">
        <v>61</v>
      </c>
      <c r="D190" s="3" t="s">
        <v>25</v>
      </c>
      <c r="E190" s="3" t="s">
        <v>25</v>
      </c>
      <c r="F190" s="3" t="s">
        <v>64</v>
      </c>
      <c r="G190" s="3" t="s">
        <v>65</v>
      </c>
      <c r="H190" s="3" t="s">
        <v>25</v>
      </c>
      <c r="I190" s="6">
        <v>44378</v>
      </c>
      <c r="J190" s="4">
        <v>0</v>
      </c>
      <c r="K190" s="4">
        <v>0</v>
      </c>
      <c r="L190" s="4">
        <v>0</v>
      </c>
      <c r="M190" s="4">
        <v>0</v>
      </c>
      <c r="N190" s="4">
        <v>26724.085999999999</v>
      </c>
      <c r="O190" s="4">
        <v>26724.085999999999</v>
      </c>
      <c r="P190" s="4">
        <v>0</v>
      </c>
      <c r="Q190" s="3" t="s">
        <v>66</v>
      </c>
      <c r="R190" s="3">
        <v>46</v>
      </c>
      <c r="S190" s="3" t="s">
        <v>165</v>
      </c>
      <c r="T190" s="3" t="s">
        <v>604</v>
      </c>
      <c r="U190" s="3">
        <v>0</v>
      </c>
      <c r="V190" s="3">
        <v>0</v>
      </c>
      <c r="W190" s="3">
        <v>90</v>
      </c>
    </row>
    <row r="191" spans="1:23" ht="11.25" customHeight="1" x14ac:dyDescent="0.25">
      <c r="A191" s="3" t="s">
        <v>21</v>
      </c>
      <c r="B191" s="3" t="s">
        <v>39</v>
      </c>
      <c r="C191" s="3" t="s">
        <v>61</v>
      </c>
      <c r="D191" s="3" t="s">
        <v>25</v>
      </c>
      <c r="E191" s="3" t="s">
        <v>25</v>
      </c>
      <c r="F191" s="3" t="s">
        <v>64</v>
      </c>
      <c r="G191" s="3" t="s">
        <v>65</v>
      </c>
      <c r="H191" s="3" t="s">
        <v>25</v>
      </c>
      <c r="I191" s="6">
        <v>44409</v>
      </c>
      <c r="J191" s="4">
        <v>0</v>
      </c>
      <c r="K191" s="4">
        <v>0</v>
      </c>
      <c r="L191" s="4">
        <v>0</v>
      </c>
      <c r="M191" s="4">
        <v>0</v>
      </c>
      <c r="N191" s="4">
        <v>26608.66</v>
      </c>
      <c r="O191" s="4">
        <v>26608.66</v>
      </c>
      <c r="P191" s="4">
        <v>0</v>
      </c>
      <c r="Q191" s="3" t="s">
        <v>66</v>
      </c>
      <c r="R191" s="3">
        <v>46</v>
      </c>
      <c r="S191" s="3" t="s">
        <v>166</v>
      </c>
      <c r="T191" s="3" t="s">
        <v>605</v>
      </c>
      <c r="U191" s="3">
        <v>0</v>
      </c>
      <c r="V191" s="3">
        <v>0</v>
      </c>
      <c r="W191" s="3">
        <v>90</v>
      </c>
    </row>
    <row r="192" spans="1:23" ht="11.25" customHeight="1" x14ac:dyDescent="0.25">
      <c r="A192" s="3" t="s">
        <v>21</v>
      </c>
      <c r="B192" s="3" t="s">
        <v>39</v>
      </c>
      <c r="C192" s="3" t="s">
        <v>61</v>
      </c>
      <c r="D192" s="3" t="s">
        <v>25</v>
      </c>
      <c r="E192" s="3" t="s">
        <v>25</v>
      </c>
      <c r="F192" s="3" t="s">
        <v>64</v>
      </c>
      <c r="G192" s="3" t="s">
        <v>65</v>
      </c>
      <c r="H192" s="3" t="s">
        <v>25</v>
      </c>
      <c r="I192" s="6">
        <v>44440</v>
      </c>
      <c r="J192" s="4">
        <v>0</v>
      </c>
      <c r="K192" s="4">
        <v>0</v>
      </c>
      <c r="L192" s="4">
        <v>0</v>
      </c>
      <c r="M192" s="4">
        <v>0</v>
      </c>
      <c r="N192" s="4">
        <v>26590.552</v>
      </c>
      <c r="O192" s="4">
        <v>26590.552</v>
      </c>
      <c r="P192" s="4">
        <v>0</v>
      </c>
      <c r="Q192" s="3" t="s">
        <v>66</v>
      </c>
      <c r="R192" s="3">
        <v>46</v>
      </c>
      <c r="S192" s="3" t="s">
        <v>167</v>
      </c>
      <c r="T192" s="3" t="s">
        <v>606</v>
      </c>
      <c r="U192" s="3">
        <v>0</v>
      </c>
      <c r="V192" s="3">
        <v>0</v>
      </c>
      <c r="W192" s="3">
        <v>90</v>
      </c>
    </row>
    <row r="193" spans="1:23" ht="11.25" customHeight="1" x14ac:dyDescent="0.25">
      <c r="A193" s="3" t="s">
        <v>21</v>
      </c>
      <c r="B193" s="3" t="s">
        <v>39</v>
      </c>
      <c r="C193" s="3" t="s">
        <v>61</v>
      </c>
      <c r="D193" s="3" t="s">
        <v>25</v>
      </c>
      <c r="E193" s="3" t="s">
        <v>25</v>
      </c>
      <c r="F193" s="3" t="s">
        <v>64</v>
      </c>
      <c r="G193" s="3" t="s">
        <v>65</v>
      </c>
      <c r="H193" s="3" t="s">
        <v>25</v>
      </c>
      <c r="I193" s="6">
        <v>44470</v>
      </c>
      <c r="J193" s="4">
        <v>0</v>
      </c>
      <c r="K193" s="4">
        <v>0</v>
      </c>
      <c r="L193" s="4">
        <v>0</v>
      </c>
      <c r="M193" s="4">
        <v>0</v>
      </c>
      <c r="N193" s="4">
        <v>27481.698</v>
      </c>
      <c r="O193" s="4">
        <v>27481.698</v>
      </c>
      <c r="P193" s="4">
        <v>0</v>
      </c>
      <c r="Q193" s="3" t="s">
        <v>66</v>
      </c>
      <c r="R193" s="3">
        <v>46</v>
      </c>
      <c r="S193" s="3" t="s">
        <v>168</v>
      </c>
      <c r="T193" s="3" t="s">
        <v>607</v>
      </c>
      <c r="U193" s="3">
        <v>0</v>
      </c>
      <c r="V193" s="3">
        <v>0</v>
      </c>
      <c r="W193" s="3">
        <v>90</v>
      </c>
    </row>
    <row r="194" spans="1:23" ht="11.25" customHeight="1" x14ac:dyDescent="0.25">
      <c r="A194" s="3" t="s">
        <v>21</v>
      </c>
      <c r="B194" s="3" t="s">
        <v>39</v>
      </c>
      <c r="C194" s="3" t="s">
        <v>61</v>
      </c>
      <c r="D194" s="3" t="s">
        <v>25</v>
      </c>
      <c r="E194" s="3" t="s">
        <v>25</v>
      </c>
      <c r="F194" s="3" t="s">
        <v>64</v>
      </c>
      <c r="G194" s="3" t="s">
        <v>65</v>
      </c>
      <c r="H194" s="3" t="s">
        <v>25</v>
      </c>
      <c r="I194" s="6">
        <v>44501</v>
      </c>
      <c r="J194" s="4">
        <v>0</v>
      </c>
      <c r="K194" s="4">
        <v>0</v>
      </c>
      <c r="L194" s="4">
        <v>0</v>
      </c>
      <c r="M194" s="4">
        <v>0</v>
      </c>
      <c r="N194" s="4">
        <v>30223.920999999998</v>
      </c>
      <c r="O194" s="4">
        <v>30223.920999999998</v>
      </c>
      <c r="P194" s="4">
        <v>0</v>
      </c>
      <c r="Q194" s="3" t="s">
        <v>66</v>
      </c>
      <c r="R194" s="3">
        <v>46</v>
      </c>
      <c r="S194" s="3" t="s">
        <v>169</v>
      </c>
      <c r="T194" s="3" t="s">
        <v>608</v>
      </c>
      <c r="U194" s="3">
        <v>0</v>
      </c>
      <c r="V194" s="3">
        <v>0</v>
      </c>
      <c r="W194" s="3">
        <v>90</v>
      </c>
    </row>
    <row r="195" spans="1:23" ht="11.25" customHeight="1" x14ac:dyDescent="0.25">
      <c r="A195" s="3" t="s">
        <v>21</v>
      </c>
      <c r="B195" s="3" t="s">
        <v>39</v>
      </c>
      <c r="C195" s="3" t="s">
        <v>61</v>
      </c>
      <c r="D195" s="3" t="s">
        <v>25</v>
      </c>
      <c r="E195" s="3" t="s">
        <v>25</v>
      </c>
      <c r="F195" s="3" t="s">
        <v>64</v>
      </c>
      <c r="G195" s="3" t="s">
        <v>65</v>
      </c>
      <c r="H195" s="3" t="s">
        <v>25</v>
      </c>
      <c r="I195" s="6">
        <v>44531</v>
      </c>
      <c r="J195" s="4">
        <v>0</v>
      </c>
      <c r="K195" s="4">
        <v>0</v>
      </c>
      <c r="L195" s="4">
        <v>0</v>
      </c>
      <c r="M195" s="4">
        <v>0</v>
      </c>
      <c r="N195" s="4">
        <v>29399.271000000001</v>
      </c>
      <c r="O195" s="4">
        <v>29399.271000000001</v>
      </c>
      <c r="P195" s="4">
        <v>0</v>
      </c>
      <c r="Q195" s="3" t="s">
        <v>66</v>
      </c>
      <c r="R195" s="3">
        <v>46</v>
      </c>
      <c r="S195" s="3" t="s">
        <v>170</v>
      </c>
      <c r="T195" s="3" t="s">
        <v>609</v>
      </c>
      <c r="U195" s="3">
        <v>0</v>
      </c>
      <c r="V195" s="3">
        <v>0</v>
      </c>
      <c r="W195" s="3">
        <v>90</v>
      </c>
    </row>
    <row r="196" spans="1:23" ht="11.25" customHeight="1" x14ac:dyDescent="0.25">
      <c r="A196" s="3" t="s">
        <v>21</v>
      </c>
      <c r="B196" s="3" t="s">
        <v>39</v>
      </c>
      <c r="C196" s="3" t="s">
        <v>61</v>
      </c>
      <c r="D196" s="3" t="s">
        <v>25</v>
      </c>
      <c r="E196" s="3" t="s">
        <v>25</v>
      </c>
      <c r="F196" s="3" t="s">
        <v>64</v>
      </c>
      <c r="G196" s="3" t="s">
        <v>65</v>
      </c>
      <c r="H196" s="3" t="s">
        <v>25</v>
      </c>
      <c r="I196" s="6">
        <v>44562</v>
      </c>
      <c r="J196" s="4">
        <v>0</v>
      </c>
      <c r="K196" s="4">
        <v>0</v>
      </c>
      <c r="L196" s="4">
        <v>0</v>
      </c>
      <c r="M196" s="4">
        <v>0</v>
      </c>
      <c r="N196" s="4">
        <v>31222.739000000001</v>
      </c>
      <c r="O196" s="4">
        <v>31222.739000000001</v>
      </c>
      <c r="P196" s="4">
        <v>0</v>
      </c>
      <c r="Q196" s="3" t="s">
        <v>66</v>
      </c>
      <c r="R196" s="3">
        <v>46</v>
      </c>
      <c r="S196" s="3" t="s">
        <v>171</v>
      </c>
      <c r="T196" s="3" t="s">
        <v>610</v>
      </c>
      <c r="U196" s="3">
        <v>0</v>
      </c>
      <c r="V196" s="3">
        <v>0</v>
      </c>
      <c r="W196" s="3">
        <v>90</v>
      </c>
    </row>
    <row r="197" spans="1:23" ht="11.25" customHeight="1" x14ac:dyDescent="0.25">
      <c r="A197" s="3" t="s">
        <v>21</v>
      </c>
      <c r="B197" s="3" t="s">
        <v>39</v>
      </c>
      <c r="C197" s="3" t="s">
        <v>69</v>
      </c>
      <c r="D197" s="3" t="s">
        <v>25</v>
      </c>
      <c r="E197" s="3" t="s">
        <v>25</v>
      </c>
      <c r="F197" s="3" t="s">
        <v>70</v>
      </c>
      <c r="G197" s="3" t="s">
        <v>71</v>
      </c>
      <c r="H197" s="3" t="s">
        <v>25</v>
      </c>
      <c r="I197" s="6">
        <v>44287</v>
      </c>
      <c r="J197" s="4">
        <v>4496</v>
      </c>
      <c r="K197" s="4">
        <v>2248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3" t="s">
        <v>72</v>
      </c>
      <c r="R197" s="3">
        <v>29152</v>
      </c>
      <c r="S197" s="3" t="s">
        <v>172</v>
      </c>
      <c r="U197" s="3">
        <v>10</v>
      </c>
      <c r="V197" s="3">
        <v>0</v>
      </c>
      <c r="W197" s="3">
        <v>0</v>
      </c>
    </row>
    <row r="198" spans="1:23" ht="11.25" customHeight="1" x14ac:dyDescent="0.25">
      <c r="A198" s="3" t="s">
        <v>21</v>
      </c>
      <c r="B198" s="3" t="s">
        <v>39</v>
      </c>
      <c r="C198" s="3" t="s">
        <v>69</v>
      </c>
      <c r="D198" s="3" t="s">
        <v>25</v>
      </c>
      <c r="E198" s="3" t="s">
        <v>25</v>
      </c>
      <c r="F198" s="3" t="s">
        <v>70</v>
      </c>
      <c r="G198" s="3" t="s">
        <v>73</v>
      </c>
      <c r="H198" s="3" t="s">
        <v>25</v>
      </c>
      <c r="I198" s="6">
        <v>44287</v>
      </c>
      <c r="J198" s="4">
        <v>10000</v>
      </c>
      <c r="K198" s="4">
        <v>5000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72</v>
      </c>
      <c r="R198" s="3">
        <v>29685</v>
      </c>
      <c r="S198" s="3" t="s">
        <v>172</v>
      </c>
      <c r="U198" s="3">
        <v>10</v>
      </c>
      <c r="V198" s="3">
        <v>0</v>
      </c>
      <c r="W198" s="3">
        <v>0</v>
      </c>
    </row>
    <row r="199" spans="1:23" ht="11.25" customHeight="1" x14ac:dyDescent="0.25">
      <c r="A199" s="3" t="s">
        <v>21</v>
      </c>
      <c r="B199" s="3" t="s">
        <v>39</v>
      </c>
      <c r="C199" s="3" t="s">
        <v>69</v>
      </c>
      <c r="D199" s="3" t="s">
        <v>25</v>
      </c>
      <c r="E199" s="3" t="s">
        <v>25</v>
      </c>
      <c r="F199" s="3" t="s">
        <v>70</v>
      </c>
      <c r="G199" s="3" t="s">
        <v>75</v>
      </c>
      <c r="H199" s="3" t="s">
        <v>25</v>
      </c>
      <c r="I199" s="6">
        <v>44287</v>
      </c>
      <c r="J199" s="4">
        <v>13000</v>
      </c>
      <c r="K199" s="4">
        <v>6500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3" t="s">
        <v>72</v>
      </c>
      <c r="R199" s="3">
        <v>30396</v>
      </c>
      <c r="S199" s="3" t="s">
        <v>172</v>
      </c>
      <c r="U199" s="3">
        <v>10</v>
      </c>
      <c r="V199" s="3">
        <v>0</v>
      </c>
      <c r="W199" s="3">
        <v>0</v>
      </c>
    </row>
    <row r="200" spans="1:23" ht="11.25" customHeight="1" x14ac:dyDescent="0.25">
      <c r="A200" s="3" t="s">
        <v>21</v>
      </c>
      <c r="B200" s="3" t="s">
        <v>39</v>
      </c>
      <c r="C200" s="3" t="s">
        <v>69</v>
      </c>
      <c r="D200" s="3" t="s">
        <v>25</v>
      </c>
      <c r="E200" s="3" t="s">
        <v>25</v>
      </c>
      <c r="F200" s="3" t="s">
        <v>70</v>
      </c>
      <c r="G200" s="3" t="s">
        <v>71</v>
      </c>
      <c r="H200" s="3" t="s">
        <v>25</v>
      </c>
      <c r="I200" s="6">
        <v>44317</v>
      </c>
      <c r="J200" s="4">
        <v>4572</v>
      </c>
      <c r="K200" s="4">
        <v>2286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72</v>
      </c>
      <c r="R200" s="3">
        <v>29152</v>
      </c>
      <c r="S200" s="3" t="s">
        <v>173</v>
      </c>
      <c r="U200" s="3">
        <v>10</v>
      </c>
      <c r="V200" s="3">
        <v>0</v>
      </c>
      <c r="W200" s="3">
        <v>0</v>
      </c>
    </row>
    <row r="201" spans="1:23" ht="11.25" customHeight="1" x14ac:dyDescent="0.25">
      <c r="A201" s="3" t="s">
        <v>21</v>
      </c>
      <c r="B201" s="3" t="s">
        <v>39</v>
      </c>
      <c r="C201" s="3" t="s">
        <v>69</v>
      </c>
      <c r="D201" s="3" t="s">
        <v>25</v>
      </c>
      <c r="E201" s="3" t="s">
        <v>25</v>
      </c>
      <c r="F201" s="3" t="s">
        <v>70</v>
      </c>
      <c r="G201" s="3" t="s">
        <v>73</v>
      </c>
      <c r="H201" s="3" t="s">
        <v>25</v>
      </c>
      <c r="I201" s="6">
        <v>44317</v>
      </c>
      <c r="J201" s="4">
        <v>10000</v>
      </c>
      <c r="K201" s="4">
        <v>5000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72</v>
      </c>
      <c r="R201" s="3">
        <v>29685</v>
      </c>
      <c r="S201" s="3" t="s">
        <v>173</v>
      </c>
      <c r="U201" s="3">
        <v>10</v>
      </c>
      <c r="V201" s="3">
        <v>0</v>
      </c>
      <c r="W201" s="3">
        <v>0</v>
      </c>
    </row>
    <row r="202" spans="1:23" ht="11.25" customHeight="1" x14ac:dyDescent="0.25">
      <c r="A202" s="3" t="s">
        <v>21</v>
      </c>
      <c r="B202" s="3" t="s">
        <v>39</v>
      </c>
      <c r="C202" s="3" t="s">
        <v>69</v>
      </c>
      <c r="D202" s="3" t="s">
        <v>25</v>
      </c>
      <c r="E202" s="3" t="s">
        <v>25</v>
      </c>
      <c r="F202" s="3" t="s">
        <v>70</v>
      </c>
      <c r="G202" s="3" t="s">
        <v>75</v>
      </c>
      <c r="H202" s="3" t="s">
        <v>25</v>
      </c>
      <c r="I202" s="6">
        <v>44317</v>
      </c>
      <c r="J202" s="4">
        <v>13000</v>
      </c>
      <c r="K202" s="4">
        <v>6500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3" t="s">
        <v>72</v>
      </c>
      <c r="R202" s="3">
        <v>30396</v>
      </c>
      <c r="S202" s="3" t="s">
        <v>173</v>
      </c>
      <c r="U202" s="3">
        <v>10</v>
      </c>
      <c r="V202" s="3">
        <v>0</v>
      </c>
      <c r="W202" s="3">
        <v>0</v>
      </c>
    </row>
    <row r="203" spans="1:23" ht="11.25" customHeight="1" x14ac:dyDescent="0.25">
      <c r="A203" s="3" t="s">
        <v>21</v>
      </c>
      <c r="B203" s="3" t="s">
        <v>39</v>
      </c>
      <c r="C203" s="3" t="s">
        <v>69</v>
      </c>
      <c r="D203" s="3" t="s">
        <v>25</v>
      </c>
      <c r="E203" s="3" t="s">
        <v>25</v>
      </c>
      <c r="F203" s="3" t="s">
        <v>70</v>
      </c>
      <c r="G203" s="3" t="s">
        <v>71</v>
      </c>
      <c r="H203" s="3" t="s">
        <v>25</v>
      </c>
      <c r="I203" s="6">
        <v>44348</v>
      </c>
      <c r="J203" s="4">
        <v>4940</v>
      </c>
      <c r="K203" s="4">
        <v>2470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 t="s">
        <v>72</v>
      </c>
      <c r="R203" s="3">
        <v>29152</v>
      </c>
      <c r="S203" s="3" t="s">
        <v>174</v>
      </c>
      <c r="U203" s="3">
        <v>10</v>
      </c>
      <c r="V203" s="3">
        <v>0</v>
      </c>
      <c r="W203" s="3">
        <v>0</v>
      </c>
    </row>
    <row r="204" spans="1:23" ht="11.25" customHeight="1" x14ac:dyDescent="0.25">
      <c r="A204" s="3" t="s">
        <v>21</v>
      </c>
      <c r="B204" s="3" t="s">
        <v>39</v>
      </c>
      <c r="C204" s="3" t="s">
        <v>69</v>
      </c>
      <c r="D204" s="3" t="s">
        <v>25</v>
      </c>
      <c r="E204" s="3" t="s">
        <v>25</v>
      </c>
      <c r="F204" s="3" t="s">
        <v>70</v>
      </c>
      <c r="G204" s="3" t="s">
        <v>73</v>
      </c>
      <c r="H204" s="3" t="s">
        <v>25</v>
      </c>
      <c r="I204" s="6">
        <v>44348</v>
      </c>
      <c r="J204" s="4">
        <v>10000</v>
      </c>
      <c r="K204" s="4">
        <v>5000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 t="s">
        <v>72</v>
      </c>
      <c r="R204" s="3">
        <v>29685</v>
      </c>
      <c r="S204" s="3" t="s">
        <v>174</v>
      </c>
      <c r="U204" s="3">
        <v>10</v>
      </c>
      <c r="V204" s="3">
        <v>0</v>
      </c>
      <c r="W204" s="3">
        <v>0</v>
      </c>
    </row>
    <row r="205" spans="1:23" ht="11.25" customHeight="1" x14ac:dyDescent="0.25">
      <c r="A205" s="3" t="s">
        <v>21</v>
      </c>
      <c r="B205" s="3" t="s">
        <v>39</v>
      </c>
      <c r="C205" s="3" t="s">
        <v>69</v>
      </c>
      <c r="D205" s="3" t="s">
        <v>25</v>
      </c>
      <c r="E205" s="3" t="s">
        <v>25</v>
      </c>
      <c r="F205" s="3" t="s">
        <v>70</v>
      </c>
      <c r="G205" s="3" t="s">
        <v>75</v>
      </c>
      <c r="H205" s="3" t="s">
        <v>25</v>
      </c>
      <c r="I205" s="6">
        <v>44348</v>
      </c>
      <c r="J205" s="4">
        <v>13000</v>
      </c>
      <c r="K205" s="4">
        <v>6500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3" t="s">
        <v>72</v>
      </c>
      <c r="R205" s="3">
        <v>30396</v>
      </c>
      <c r="S205" s="3" t="s">
        <v>174</v>
      </c>
      <c r="U205" s="3">
        <v>10</v>
      </c>
      <c r="V205" s="3">
        <v>0</v>
      </c>
      <c r="W205" s="3">
        <v>0</v>
      </c>
    </row>
    <row r="206" spans="1:23" ht="11.25" customHeight="1" x14ac:dyDescent="0.25">
      <c r="A206" s="3" t="s">
        <v>21</v>
      </c>
      <c r="B206" s="3" t="s">
        <v>39</v>
      </c>
      <c r="C206" s="3" t="s">
        <v>69</v>
      </c>
      <c r="D206" s="3" t="s">
        <v>25</v>
      </c>
      <c r="E206" s="3" t="s">
        <v>25</v>
      </c>
      <c r="F206" s="3" t="s">
        <v>70</v>
      </c>
      <c r="G206" s="3" t="s">
        <v>71</v>
      </c>
      <c r="H206" s="3" t="s">
        <v>25</v>
      </c>
      <c r="I206" s="6">
        <v>44378</v>
      </c>
      <c r="J206" s="4">
        <v>4939</v>
      </c>
      <c r="K206" s="4">
        <v>2469.5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3" t="s">
        <v>72</v>
      </c>
      <c r="R206" s="3">
        <v>29152</v>
      </c>
      <c r="S206" s="3" t="s">
        <v>175</v>
      </c>
      <c r="U206" s="3">
        <v>10</v>
      </c>
      <c r="V206" s="3">
        <v>0</v>
      </c>
      <c r="W206" s="3">
        <v>0</v>
      </c>
    </row>
    <row r="207" spans="1:23" ht="11.25" customHeight="1" x14ac:dyDescent="0.25">
      <c r="A207" s="3" t="s">
        <v>21</v>
      </c>
      <c r="B207" s="3" t="s">
        <v>39</v>
      </c>
      <c r="C207" s="3" t="s">
        <v>69</v>
      </c>
      <c r="D207" s="3" t="s">
        <v>25</v>
      </c>
      <c r="E207" s="3" t="s">
        <v>25</v>
      </c>
      <c r="F207" s="3" t="s">
        <v>70</v>
      </c>
      <c r="G207" s="3" t="s">
        <v>73</v>
      </c>
      <c r="H207" s="3" t="s">
        <v>25</v>
      </c>
      <c r="I207" s="6">
        <v>44378</v>
      </c>
      <c r="J207" s="4">
        <v>10000</v>
      </c>
      <c r="K207" s="4">
        <v>5000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3" t="s">
        <v>72</v>
      </c>
      <c r="R207" s="3">
        <v>29685</v>
      </c>
      <c r="S207" s="3" t="s">
        <v>175</v>
      </c>
      <c r="U207" s="3">
        <v>10</v>
      </c>
      <c r="V207" s="3">
        <v>0</v>
      </c>
      <c r="W207" s="3">
        <v>0</v>
      </c>
    </row>
    <row r="208" spans="1:23" ht="11.25" customHeight="1" x14ac:dyDescent="0.25">
      <c r="A208" s="3" t="s">
        <v>21</v>
      </c>
      <c r="B208" s="3" t="s">
        <v>39</v>
      </c>
      <c r="C208" s="3" t="s">
        <v>69</v>
      </c>
      <c r="D208" s="3" t="s">
        <v>25</v>
      </c>
      <c r="E208" s="3" t="s">
        <v>25</v>
      </c>
      <c r="F208" s="3" t="s">
        <v>70</v>
      </c>
      <c r="G208" s="3" t="s">
        <v>75</v>
      </c>
      <c r="H208" s="3" t="s">
        <v>25</v>
      </c>
      <c r="I208" s="6">
        <v>44378</v>
      </c>
      <c r="J208" s="4">
        <v>13000</v>
      </c>
      <c r="K208" s="4">
        <v>6500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3" t="s">
        <v>72</v>
      </c>
      <c r="R208" s="3">
        <v>30396</v>
      </c>
      <c r="S208" s="3" t="s">
        <v>175</v>
      </c>
      <c r="U208" s="3">
        <v>10</v>
      </c>
      <c r="V208" s="3">
        <v>0</v>
      </c>
      <c r="W208" s="3">
        <v>0</v>
      </c>
    </row>
    <row r="209" spans="1:23" ht="11.25" customHeight="1" x14ac:dyDescent="0.25">
      <c r="A209" s="3" t="s">
        <v>21</v>
      </c>
      <c r="B209" s="3" t="s">
        <v>39</v>
      </c>
      <c r="C209" s="3" t="s">
        <v>69</v>
      </c>
      <c r="D209" s="3" t="s">
        <v>25</v>
      </c>
      <c r="E209" s="3" t="s">
        <v>25</v>
      </c>
      <c r="F209" s="3" t="s">
        <v>70</v>
      </c>
      <c r="G209" s="3" t="s">
        <v>71</v>
      </c>
      <c r="H209" s="3" t="s">
        <v>25</v>
      </c>
      <c r="I209" s="6">
        <v>44409</v>
      </c>
      <c r="J209" s="4">
        <v>4939</v>
      </c>
      <c r="K209" s="4">
        <v>2469.5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3" t="s">
        <v>72</v>
      </c>
      <c r="R209" s="3">
        <v>29152</v>
      </c>
      <c r="S209" s="3" t="s">
        <v>176</v>
      </c>
      <c r="U209" s="3">
        <v>10</v>
      </c>
      <c r="V209" s="3">
        <v>0</v>
      </c>
      <c r="W209" s="3">
        <v>0</v>
      </c>
    </row>
    <row r="210" spans="1:23" ht="11.25" customHeight="1" x14ac:dyDescent="0.25">
      <c r="A210" s="3" t="s">
        <v>21</v>
      </c>
      <c r="B210" s="3" t="s">
        <v>39</v>
      </c>
      <c r="C210" s="3" t="s">
        <v>69</v>
      </c>
      <c r="D210" s="3" t="s">
        <v>25</v>
      </c>
      <c r="E210" s="3" t="s">
        <v>25</v>
      </c>
      <c r="F210" s="3" t="s">
        <v>70</v>
      </c>
      <c r="G210" s="3" t="s">
        <v>73</v>
      </c>
      <c r="H210" s="3" t="s">
        <v>25</v>
      </c>
      <c r="I210" s="6">
        <v>44409</v>
      </c>
      <c r="J210" s="4">
        <v>8200</v>
      </c>
      <c r="K210" s="4">
        <v>4100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3" t="s">
        <v>72</v>
      </c>
      <c r="R210" s="3">
        <v>29685</v>
      </c>
      <c r="S210" s="3" t="s">
        <v>176</v>
      </c>
      <c r="U210" s="3">
        <v>10</v>
      </c>
      <c r="V210" s="3">
        <v>0</v>
      </c>
      <c r="W210" s="3">
        <v>0</v>
      </c>
    </row>
    <row r="211" spans="1:23" ht="11.25" customHeight="1" x14ac:dyDescent="0.25">
      <c r="A211" s="3" t="s">
        <v>21</v>
      </c>
      <c r="B211" s="3" t="s">
        <v>39</v>
      </c>
      <c r="C211" s="3" t="s">
        <v>69</v>
      </c>
      <c r="D211" s="3" t="s">
        <v>25</v>
      </c>
      <c r="E211" s="3" t="s">
        <v>25</v>
      </c>
      <c r="F211" s="3" t="s">
        <v>70</v>
      </c>
      <c r="G211" s="3" t="s">
        <v>75</v>
      </c>
      <c r="H211" s="3" t="s">
        <v>25</v>
      </c>
      <c r="I211" s="6">
        <v>44409</v>
      </c>
      <c r="J211" s="4">
        <v>12400</v>
      </c>
      <c r="K211" s="4">
        <v>6200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3" t="s">
        <v>72</v>
      </c>
      <c r="R211" s="3">
        <v>30396</v>
      </c>
      <c r="S211" s="3" t="s">
        <v>176</v>
      </c>
      <c r="U211" s="3">
        <v>10</v>
      </c>
      <c r="V211" s="3">
        <v>0</v>
      </c>
      <c r="W211" s="3">
        <v>0</v>
      </c>
    </row>
    <row r="212" spans="1:23" ht="11.25" customHeight="1" x14ac:dyDescent="0.25">
      <c r="A212" s="3" t="s">
        <v>21</v>
      </c>
      <c r="B212" s="3" t="s">
        <v>39</v>
      </c>
      <c r="C212" s="3" t="s">
        <v>69</v>
      </c>
      <c r="D212" s="3" t="s">
        <v>25</v>
      </c>
      <c r="E212" s="3" t="s">
        <v>25</v>
      </c>
      <c r="F212" s="3" t="s">
        <v>70</v>
      </c>
      <c r="G212" s="3" t="s">
        <v>71</v>
      </c>
      <c r="H212" s="3" t="s">
        <v>25</v>
      </c>
      <c r="I212" s="6">
        <v>44440</v>
      </c>
      <c r="J212" s="4">
        <v>4942</v>
      </c>
      <c r="K212" s="4">
        <v>2471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3" t="s">
        <v>72</v>
      </c>
      <c r="R212" s="3">
        <v>29152</v>
      </c>
      <c r="S212" s="3" t="s">
        <v>177</v>
      </c>
      <c r="U212" s="3">
        <v>10</v>
      </c>
      <c r="V212" s="3">
        <v>0</v>
      </c>
      <c r="W212" s="3">
        <v>0</v>
      </c>
    </row>
    <row r="213" spans="1:23" ht="11.25" customHeight="1" x14ac:dyDescent="0.25">
      <c r="A213" s="3" t="s">
        <v>21</v>
      </c>
      <c r="B213" s="3" t="s">
        <v>39</v>
      </c>
      <c r="C213" s="3" t="s">
        <v>69</v>
      </c>
      <c r="D213" s="3" t="s">
        <v>25</v>
      </c>
      <c r="E213" s="3" t="s">
        <v>25</v>
      </c>
      <c r="F213" s="3" t="s">
        <v>70</v>
      </c>
      <c r="G213" s="3" t="s">
        <v>73</v>
      </c>
      <c r="H213" s="3" t="s">
        <v>25</v>
      </c>
      <c r="I213" s="6">
        <v>44440</v>
      </c>
      <c r="J213" s="4">
        <v>8200</v>
      </c>
      <c r="K213" s="4">
        <v>4100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3" t="s">
        <v>72</v>
      </c>
      <c r="R213" s="3">
        <v>29685</v>
      </c>
      <c r="S213" s="3" t="s">
        <v>177</v>
      </c>
      <c r="U213" s="3">
        <v>10</v>
      </c>
      <c r="V213" s="3">
        <v>0</v>
      </c>
      <c r="W213" s="3">
        <v>0</v>
      </c>
    </row>
    <row r="214" spans="1:23" ht="11.25" customHeight="1" x14ac:dyDescent="0.25">
      <c r="A214" s="3" t="s">
        <v>21</v>
      </c>
      <c r="B214" s="3" t="s">
        <v>39</v>
      </c>
      <c r="C214" s="3" t="s">
        <v>69</v>
      </c>
      <c r="D214" s="3" t="s">
        <v>25</v>
      </c>
      <c r="E214" s="3" t="s">
        <v>25</v>
      </c>
      <c r="F214" s="3" t="s">
        <v>70</v>
      </c>
      <c r="G214" s="3" t="s">
        <v>75</v>
      </c>
      <c r="H214" s="3" t="s">
        <v>25</v>
      </c>
      <c r="I214" s="6">
        <v>44440</v>
      </c>
      <c r="J214" s="4">
        <v>12400</v>
      </c>
      <c r="K214" s="4">
        <v>6200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3" t="s">
        <v>72</v>
      </c>
      <c r="R214" s="3">
        <v>30396</v>
      </c>
      <c r="S214" s="3" t="s">
        <v>177</v>
      </c>
      <c r="U214" s="3">
        <v>10</v>
      </c>
      <c r="V214" s="3">
        <v>0</v>
      </c>
      <c r="W214" s="3">
        <v>0</v>
      </c>
    </row>
    <row r="215" spans="1:23" ht="11.25" customHeight="1" x14ac:dyDescent="0.25">
      <c r="A215" s="3" t="s">
        <v>21</v>
      </c>
      <c r="B215" s="3" t="s">
        <v>39</v>
      </c>
      <c r="C215" s="3" t="s">
        <v>69</v>
      </c>
      <c r="D215" s="3" t="s">
        <v>25</v>
      </c>
      <c r="E215" s="3" t="s">
        <v>25</v>
      </c>
      <c r="F215" s="3" t="s">
        <v>70</v>
      </c>
      <c r="G215" s="3" t="s">
        <v>71</v>
      </c>
      <c r="H215" s="3" t="s">
        <v>25</v>
      </c>
      <c r="I215" s="6">
        <v>44470</v>
      </c>
      <c r="J215" s="4">
        <v>4452</v>
      </c>
      <c r="K215" s="4">
        <v>2226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3" t="s">
        <v>72</v>
      </c>
      <c r="R215" s="3">
        <v>29152</v>
      </c>
      <c r="S215" s="3" t="s">
        <v>178</v>
      </c>
      <c r="U215" s="3">
        <v>10</v>
      </c>
      <c r="V215" s="3">
        <v>0</v>
      </c>
      <c r="W215" s="3">
        <v>0</v>
      </c>
    </row>
    <row r="216" spans="1:23" ht="11.25" customHeight="1" x14ac:dyDescent="0.25">
      <c r="A216" s="3" t="s">
        <v>21</v>
      </c>
      <c r="B216" s="3" t="s">
        <v>39</v>
      </c>
      <c r="C216" s="3" t="s">
        <v>69</v>
      </c>
      <c r="D216" s="3" t="s">
        <v>25</v>
      </c>
      <c r="E216" s="3" t="s">
        <v>25</v>
      </c>
      <c r="F216" s="3" t="s">
        <v>70</v>
      </c>
      <c r="G216" s="3" t="s">
        <v>73</v>
      </c>
      <c r="H216" s="3" t="s">
        <v>25</v>
      </c>
      <c r="I216" s="6">
        <v>44470</v>
      </c>
      <c r="J216" s="4">
        <v>8200</v>
      </c>
      <c r="K216" s="4">
        <v>4100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3" t="s">
        <v>72</v>
      </c>
      <c r="R216" s="3">
        <v>29685</v>
      </c>
      <c r="S216" s="3" t="s">
        <v>178</v>
      </c>
      <c r="U216" s="3">
        <v>10</v>
      </c>
      <c r="V216" s="3">
        <v>0</v>
      </c>
      <c r="W216" s="3">
        <v>0</v>
      </c>
    </row>
    <row r="217" spans="1:23" ht="11.25" customHeight="1" x14ac:dyDescent="0.25">
      <c r="A217" s="3" t="s">
        <v>21</v>
      </c>
      <c r="B217" s="3" t="s">
        <v>39</v>
      </c>
      <c r="C217" s="3" t="s">
        <v>69</v>
      </c>
      <c r="D217" s="3" t="s">
        <v>25</v>
      </c>
      <c r="E217" s="3" t="s">
        <v>25</v>
      </c>
      <c r="F217" s="3" t="s">
        <v>70</v>
      </c>
      <c r="G217" s="3" t="s">
        <v>75</v>
      </c>
      <c r="H217" s="3" t="s">
        <v>25</v>
      </c>
      <c r="I217" s="6">
        <v>44470</v>
      </c>
      <c r="J217" s="4">
        <v>12400</v>
      </c>
      <c r="K217" s="4">
        <v>6200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3" t="s">
        <v>72</v>
      </c>
      <c r="R217" s="3">
        <v>30396</v>
      </c>
      <c r="S217" s="3" t="s">
        <v>178</v>
      </c>
      <c r="U217" s="3">
        <v>10</v>
      </c>
      <c r="V217" s="3">
        <v>0</v>
      </c>
      <c r="W217" s="3">
        <v>0</v>
      </c>
    </row>
    <row r="218" spans="1:23" ht="11.25" customHeight="1" x14ac:dyDescent="0.25">
      <c r="A218" s="3" t="s">
        <v>21</v>
      </c>
      <c r="B218" s="3" t="s">
        <v>39</v>
      </c>
      <c r="C218" s="3" t="s">
        <v>69</v>
      </c>
      <c r="D218" s="3" t="s">
        <v>25</v>
      </c>
      <c r="E218" s="3" t="s">
        <v>25</v>
      </c>
      <c r="F218" s="3" t="s">
        <v>70</v>
      </c>
      <c r="G218" s="3" t="s">
        <v>71</v>
      </c>
      <c r="H218" s="3" t="s">
        <v>25</v>
      </c>
      <c r="I218" s="6">
        <v>44501</v>
      </c>
      <c r="J218" s="4">
        <v>4472</v>
      </c>
      <c r="K218" s="4">
        <v>2236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3" t="s">
        <v>72</v>
      </c>
      <c r="R218" s="3">
        <v>29152</v>
      </c>
      <c r="S218" s="3" t="s">
        <v>179</v>
      </c>
      <c r="U218" s="3">
        <v>10</v>
      </c>
      <c r="V218" s="3">
        <v>0</v>
      </c>
      <c r="W218" s="3">
        <v>0</v>
      </c>
    </row>
    <row r="219" spans="1:23" ht="11.25" customHeight="1" x14ac:dyDescent="0.25">
      <c r="A219" s="3" t="s">
        <v>21</v>
      </c>
      <c r="B219" s="3" t="s">
        <v>39</v>
      </c>
      <c r="C219" s="3" t="s">
        <v>69</v>
      </c>
      <c r="D219" s="3" t="s">
        <v>25</v>
      </c>
      <c r="E219" s="3" t="s">
        <v>25</v>
      </c>
      <c r="F219" s="3" t="s">
        <v>70</v>
      </c>
      <c r="G219" s="3" t="s">
        <v>73</v>
      </c>
      <c r="H219" s="3" t="s">
        <v>25</v>
      </c>
      <c r="I219" s="6">
        <v>44501</v>
      </c>
      <c r="J219" s="4">
        <v>8200</v>
      </c>
      <c r="K219" s="4">
        <v>4100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3" t="s">
        <v>72</v>
      </c>
      <c r="R219" s="3">
        <v>29685</v>
      </c>
      <c r="S219" s="3" t="s">
        <v>179</v>
      </c>
      <c r="U219" s="3">
        <v>10</v>
      </c>
      <c r="V219" s="3">
        <v>0</v>
      </c>
      <c r="W219" s="3">
        <v>0</v>
      </c>
    </row>
    <row r="220" spans="1:23" ht="11.25" customHeight="1" x14ac:dyDescent="0.25">
      <c r="A220" s="3" t="s">
        <v>21</v>
      </c>
      <c r="B220" s="3" t="s">
        <v>39</v>
      </c>
      <c r="C220" s="3" t="s">
        <v>69</v>
      </c>
      <c r="D220" s="3" t="s">
        <v>25</v>
      </c>
      <c r="E220" s="3" t="s">
        <v>25</v>
      </c>
      <c r="F220" s="3" t="s">
        <v>70</v>
      </c>
      <c r="G220" s="3" t="s">
        <v>75</v>
      </c>
      <c r="H220" s="3" t="s">
        <v>25</v>
      </c>
      <c r="I220" s="6">
        <v>44501</v>
      </c>
      <c r="J220" s="4">
        <v>10044</v>
      </c>
      <c r="K220" s="4">
        <v>5022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3" t="s">
        <v>72</v>
      </c>
      <c r="R220" s="3">
        <v>30396</v>
      </c>
      <c r="S220" s="3" t="s">
        <v>179</v>
      </c>
      <c r="U220" s="3">
        <v>10</v>
      </c>
      <c r="V220" s="3">
        <v>0</v>
      </c>
      <c r="W220" s="3">
        <v>0</v>
      </c>
    </row>
    <row r="221" spans="1:23" ht="11.25" customHeight="1" x14ac:dyDescent="0.25">
      <c r="A221" s="3" t="s">
        <v>21</v>
      </c>
      <c r="B221" s="3" t="s">
        <v>39</v>
      </c>
      <c r="C221" s="3" t="s">
        <v>69</v>
      </c>
      <c r="D221" s="3" t="s">
        <v>25</v>
      </c>
      <c r="E221" s="3" t="s">
        <v>25</v>
      </c>
      <c r="F221" s="3" t="s">
        <v>70</v>
      </c>
      <c r="G221" s="3" t="s">
        <v>71</v>
      </c>
      <c r="H221" s="3" t="s">
        <v>25</v>
      </c>
      <c r="I221" s="6">
        <v>44531</v>
      </c>
      <c r="J221" s="4">
        <v>4448</v>
      </c>
      <c r="K221" s="4">
        <v>2224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3" t="s">
        <v>72</v>
      </c>
      <c r="R221" s="3">
        <v>29152</v>
      </c>
      <c r="S221" s="3" t="s">
        <v>180</v>
      </c>
      <c r="U221" s="3">
        <v>10</v>
      </c>
      <c r="V221" s="3">
        <v>0</v>
      </c>
      <c r="W221" s="3">
        <v>0</v>
      </c>
    </row>
    <row r="222" spans="1:23" ht="11.25" customHeight="1" x14ac:dyDescent="0.25">
      <c r="A222" s="3" t="s">
        <v>21</v>
      </c>
      <c r="B222" s="3" t="s">
        <v>39</v>
      </c>
      <c r="C222" s="3" t="s">
        <v>69</v>
      </c>
      <c r="D222" s="3" t="s">
        <v>25</v>
      </c>
      <c r="E222" s="3" t="s">
        <v>25</v>
      </c>
      <c r="F222" s="3" t="s">
        <v>70</v>
      </c>
      <c r="G222" s="3" t="s">
        <v>73</v>
      </c>
      <c r="H222" s="3" t="s">
        <v>25</v>
      </c>
      <c r="I222" s="6">
        <v>44531</v>
      </c>
      <c r="J222" s="4">
        <v>8200</v>
      </c>
      <c r="K222" s="4">
        <v>4100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3" t="s">
        <v>72</v>
      </c>
      <c r="R222" s="3">
        <v>29685</v>
      </c>
      <c r="S222" s="3" t="s">
        <v>180</v>
      </c>
      <c r="U222" s="3">
        <v>10</v>
      </c>
      <c r="V222" s="3">
        <v>0</v>
      </c>
      <c r="W222" s="3">
        <v>0</v>
      </c>
    </row>
    <row r="223" spans="1:23" ht="11.25" customHeight="1" x14ac:dyDescent="0.25">
      <c r="A223" s="3" t="s">
        <v>21</v>
      </c>
      <c r="B223" s="3" t="s">
        <v>39</v>
      </c>
      <c r="C223" s="3" t="s">
        <v>69</v>
      </c>
      <c r="D223" s="3" t="s">
        <v>25</v>
      </c>
      <c r="E223" s="3" t="s">
        <v>25</v>
      </c>
      <c r="F223" s="3" t="s">
        <v>70</v>
      </c>
      <c r="G223" s="3" t="s">
        <v>75</v>
      </c>
      <c r="H223" s="3" t="s">
        <v>25</v>
      </c>
      <c r="I223" s="6">
        <v>44531</v>
      </c>
      <c r="J223" s="4">
        <v>12400</v>
      </c>
      <c r="K223" s="4">
        <v>6200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3" t="s">
        <v>72</v>
      </c>
      <c r="R223" s="3">
        <v>30396</v>
      </c>
      <c r="S223" s="3" t="s">
        <v>180</v>
      </c>
      <c r="U223" s="3">
        <v>10</v>
      </c>
      <c r="V223" s="3">
        <v>0</v>
      </c>
      <c r="W223" s="3">
        <v>0</v>
      </c>
    </row>
    <row r="224" spans="1:23" ht="11.25" customHeight="1" x14ac:dyDescent="0.25">
      <c r="A224" s="3" t="s">
        <v>21</v>
      </c>
      <c r="B224" s="3" t="s">
        <v>39</v>
      </c>
      <c r="C224" s="3" t="s">
        <v>69</v>
      </c>
      <c r="D224" s="3" t="s">
        <v>25</v>
      </c>
      <c r="E224" s="3" t="s">
        <v>25</v>
      </c>
      <c r="F224" s="3" t="s">
        <v>70</v>
      </c>
      <c r="G224" s="3" t="s">
        <v>71</v>
      </c>
      <c r="H224" s="3" t="s">
        <v>25</v>
      </c>
      <c r="I224" s="6">
        <v>44562</v>
      </c>
      <c r="J224" s="4">
        <v>4384</v>
      </c>
      <c r="K224" s="4">
        <v>2192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3" t="s">
        <v>72</v>
      </c>
      <c r="R224" s="3">
        <v>29152</v>
      </c>
      <c r="S224" s="3" t="s">
        <v>181</v>
      </c>
      <c r="U224" s="3">
        <v>10</v>
      </c>
      <c r="V224" s="3">
        <v>0</v>
      </c>
      <c r="W224" s="3">
        <v>0</v>
      </c>
    </row>
    <row r="225" spans="1:23" ht="11.25" customHeight="1" x14ac:dyDescent="0.25">
      <c r="A225" s="3" t="s">
        <v>21</v>
      </c>
      <c r="B225" s="3" t="s">
        <v>39</v>
      </c>
      <c r="C225" s="3" t="s">
        <v>69</v>
      </c>
      <c r="D225" s="3" t="s">
        <v>25</v>
      </c>
      <c r="E225" s="3" t="s">
        <v>25</v>
      </c>
      <c r="F225" s="3" t="s">
        <v>70</v>
      </c>
      <c r="G225" s="3" t="s">
        <v>73</v>
      </c>
      <c r="H225" s="3" t="s">
        <v>25</v>
      </c>
      <c r="I225" s="6">
        <v>44562</v>
      </c>
      <c r="J225" s="4">
        <v>8200</v>
      </c>
      <c r="K225" s="4">
        <v>4100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3" t="s">
        <v>72</v>
      </c>
      <c r="R225" s="3">
        <v>29685</v>
      </c>
      <c r="S225" s="3" t="s">
        <v>181</v>
      </c>
      <c r="U225" s="3">
        <v>10</v>
      </c>
      <c r="V225" s="3">
        <v>0</v>
      </c>
      <c r="W225" s="3">
        <v>0</v>
      </c>
    </row>
    <row r="226" spans="1:23" ht="11.25" customHeight="1" x14ac:dyDescent="0.25">
      <c r="A226" s="3" t="s">
        <v>21</v>
      </c>
      <c r="B226" s="3" t="s">
        <v>39</v>
      </c>
      <c r="C226" s="3" t="s">
        <v>69</v>
      </c>
      <c r="D226" s="3" t="s">
        <v>25</v>
      </c>
      <c r="E226" s="3" t="s">
        <v>25</v>
      </c>
      <c r="F226" s="3" t="s">
        <v>70</v>
      </c>
      <c r="G226" s="3" t="s">
        <v>75</v>
      </c>
      <c r="H226" s="3" t="s">
        <v>25</v>
      </c>
      <c r="I226" s="6">
        <v>44562</v>
      </c>
      <c r="J226" s="4">
        <v>12400</v>
      </c>
      <c r="K226" s="4">
        <v>6200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3" t="s">
        <v>72</v>
      </c>
      <c r="R226" s="3">
        <v>30396</v>
      </c>
      <c r="S226" s="3" t="s">
        <v>181</v>
      </c>
      <c r="U226" s="3">
        <v>10</v>
      </c>
      <c r="V226" s="3">
        <v>0</v>
      </c>
      <c r="W226" s="3">
        <v>0</v>
      </c>
    </row>
    <row r="227" spans="1:23" ht="11.25" customHeight="1" x14ac:dyDescent="0.25">
      <c r="A227" s="3" t="s">
        <v>21</v>
      </c>
      <c r="B227" s="3" t="s">
        <v>39</v>
      </c>
      <c r="C227" s="3" t="s">
        <v>69</v>
      </c>
      <c r="D227" s="3" t="s">
        <v>25</v>
      </c>
      <c r="E227" s="3" t="s">
        <v>25</v>
      </c>
      <c r="F227" s="3" t="s">
        <v>70</v>
      </c>
      <c r="G227" s="3" t="s">
        <v>71</v>
      </c>
      <c r="H227" s="3" t="s">
        <v>25</v>
      </c>
      <c r="I227" s="6">
        <v>44593</v>
      </c>
      <c r="J227" s="4">
        <v>4412</v>
      </c>
      <c r="K227" s="4">
        <v>2206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3" t="s">
        <v>72</v>
      </c>
      <c r="R227" s="3">
        <v>29152</v>
      </c>
      <c r="S227" s="3" t="s">
        <v>182</v>
      </c>
      <c r="U227" s="3">
        <v>10</v>
      </c>
      <c r="V227" s="3">
        <v>0</v>
      </c>
      <c r="W227" s="3">
        <v>0</v>
      </c>
    </row>
    <row r="228" spans="1:23" ht="11.25" customHeight="1" x14ac:dyDescent="0.25">
      <c r="A228" s="3" t="s">
        <v>21</v>
      </c>
      <c r="B228" s="3" t="s">
        <v>39</v>
      </c>
      <c r="C228" s="3" t="s">
        <v>69</v>
      </c>
      <c r="D228" s="3" t="s">
        <v>25</v>
      </c>
      <c r="E228" s="3" t="s">
        <v>25</v>
      </c>
      <c r="F228" s="3" t="s">
        <v>70</v>
      </c>
      <c r="G228" s="3" t="s">
        <v>73</v>
      </c>
      <c r="H228" s="3" t="s">
        <v>25</v>
      </c>
      <c r="I228" s="6">
        <v>44593</v>
      </c>
      <c r="J228" s="4">
        <v>8200</v>
      </c>
      <c r="K228" s="4">
        <v>4100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3" t="s">
        <v>72</v>
      </c>
      <c r="R228" s="3">
        <v>29685</v>
      </c>
      <c r="S228" s="3" t="s">
        <v>182</v>
      </c>
      <c r="U228" s="3">
        <v>10</v>
      </c>
      <c r="V228" s="3">
        <v>0</v>
      </c>
      <c r="W228" s="3">
        <v>0</v>
      </c>
    </row>
    <row r="229" spans="1:23" ht="11.25" customHeight="1" x14ac:dyDescent="0.25">
      <c r="A229" s="3" t="s">
        <v>21</v>
      </c>
      <c r="B229" s="3" t="s">
        <v>39</v>
      </c>
      <c r="C229" s="3" t="s">
        <v>69</v>
      </c>
      <c r="D229" s="3" t="s">
        <v>25</v>
      </c>
      <c r="E229" s="3" t="s">
        <v>25</v>
      </c>
      <c r="F229" s="3" t="s">
        <v>70</v>
      </c>
      <c r="G229" s="3" t="s">
        <v>75</v>
      </c>
      <c r="H229" s="3" t="s">
        <v>25</v>
      </c>
      <c r="I229" s="6">
        <v>44593</v>
      </c>
      <c r="J229" s="4">
        <v>12400</v>
      </c>
      <c r="K229" s="4">
        <v>6200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72</v>
      </c>
      <c r="R229" s="3">
        <v>30396</v>
      </c>
      <c r="S229" s="3" t="s">
        <v>182</v>
      </c>
      <c r="U229" s="3">
        <v>10</v>
      </c>
      <c r="V229" s="3">
        <v>0</v>
      </c>
      <c r="W229" s="3">
        <v>0</v>
      </c>
    </row>
    <row r="230" spans="1:23" ht="11.25" customHeight="1" x14ac:dyDescent="0.25">
      <c r="A230" s="3" t="s">
        <v>56</v>
      </c>
      <c r="B230" s="3" t="s">
        <v>39</v>
      </c>
      <c r="C230" s="3" t="s">
        <v>69</v>
      </c>
      <c r="D230" s="3" t="s">
        <v>25</v>
      </c>
      <c r="E230" s="3" t="s">
        <v>25</v>
      </c>
      <c r="F230" s="3" t="s">
        <v>70</v>
      </c>
      <c r="G230" s="3" t="s">
        <v>71</v>
      </c>
      <c r="H230" s="3" t="s">
        <v>25</v>
      </c>
      <c r="I230" s="6">
        <v>44621</v>
      </c>
      <c r="J230" s="4">
        <v>4412</v>
      </c>
      <c r="K230" s="4">
        <v>2206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 t="s">
        <v>72</v>
      </c>
      <c r="R230" s="3">
        <v>29152</v>
      </c>
      <c r="S230" s="3" t="s">
        <v>183</v>
      </c>
      <c r="U230" s="3">
        <v>10</v>
      </c>
      <c r="V230" s="3">
        <v>0</v>
      </c>
      <c r="W230" s="3">
        <v>0</v>
      </c>
    </row>
    <row r="231" spans="1:23" ht="11.25" customHeight="1" x14ac:dyDescent="0.25">
      <c r="A231" s="3" t="s">
        <v>56</v>
      </c>
      <c r="B231" s="3" t="s">
        <v>39</v>
      </c>
      <c r="C231" s="3" t="s">
        <v>69</v>
      </c>
      <c r="D231" s="3" t="s">
        <v>25</v>
      </c>
      <c r="E231" s="3" t="s">
        <v>25</v>
      </c>
      <c r="F231" s="3" t="s">
        <v>70</v>
      </c>
      <c r="G231" s="3" t="s">
        <v>73</v>
      </c>
      <c r="H231" s="3" t="s">
        <v>25</v>
      </c>
      <c r="I231" s="6">
        <v>44621</v>
      </c>
      <c r="J231" s="4">
        <v>8200</v>
      </c>
      <c r="K231" s="4">
        <v>4100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3" t="s">
        <v>72</v>
      </c>
      <c r="R231" s="3">
        <v>29685</v>
      </c>
      <c r="S231" s="3" t="s">
        <v>183</v>
      </c>
      <c r="U231" s="3">
        <v>10</v>
      </c>
      <c r="V231" s="3">
        <v>0</v>
      </c>
      <c r="W231" s="3">
        <v>0</v>
      </c>
    </row>
    <row r="232" spans="1:23" ht="11.25" customHeight="1" x14ac:dyDescent="0.25">
      <c r="A232" s="3" t="s">
        <v>56</v>
      </c>
      <c r="B232" s="3" t="s">
        <v>39</v>
      </c>
      <c r="C232" s="3" t="s">
        <v>69</v>
      </c>
      <c r="D232" s="3" t="s">
        <v>25</v>
      </c>
      <c r="E232" s="3" t="s">
        <v>25</v>
      </c>
      <c r="F232" s="3" t="s">
        <v>70</v>
      </c>
      <c r="G232" s="3" t="s">
        <v>75</v>
      </c>
      <c r="H232" s="3" t="s">
        <v>25</v>
      </c>
      <c r="I232" s="6">
        <v>44621</v>
      </c>
      <c r="J232" s="4">
        <v>12400</v>
      </c>
      <c r="K232" s="4">
        <v>6200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3" t="s">
        <v>72</v>
      </c>
      <c r="R232" s="3">
        <v>30396</v>
      </c>
      <c r="S232" s="3" t="s">
        <v>183</v>
      </c>
      <c r="U232" s="3">
        <v>10</v>
      </c>
      <c r="V232" s="3">
        <v>0</v>
      </c>
      <c r="W232" s="3">
        <v>0</v>
      </c>
    </row>
    <row r="233" spans="1:23" ht="11.25" customHeight="1" x14ac:dyDescent="0.25">
      <c r="A233" s="3" t="s">
        <v>21</v>
      </c>
      <c r="B233" s="3" t="s">
        <v>39</v>
      </c>
      <c r="C233" s="3" t="s">
        <v>69</v>
      </c>
      <c r="D233" s="3" t="s">
        <v>25</v>
      </c>
      <c r="E233" s="3" t="s">
        <v>25</v>
      </c>
      <c r="F233" s="3" t="s">
        <v>25</v>
      </c>
      <c r="G233" s="3" t="s">
        <v>74</v>
      </c>
      <c r="H233" s="3" t="s">
        <v>25</v>
      </c>
      <c r="I233" s="6">
        <v>44287</v>
      </c>
      <c r="J233" s="4">
        <v>30000</v>
      </c>
      <c r="K233" s="4">
        <v>15000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3" t="s">
        <v>72</v>
      </c>
      <c r="R233" s="3">
        <v>30296</v>
      </c>
      <c r="S233" s="3" t="s">
        <v>172</v>
      </c>
      <c r="U233" s="3">
        <v>10</v>
      </c>
      <c r="V233" s="3">
        <v>0</v>
      </c>
      <c r="W233" s="3">
        <v>0</v>
      </c>
    </row>
    <row r="234" spans="1:23" ht="11.25" customHeight="1" x14ac:dyDescent="0.25">
      <c r="A234" s="3" t="s">
        <v>21</v>
      </c>
      <c r="B234" s="3" t="s">
        <v>39</v>
      </c>
      <c r="C234" s="3" t="s">
        <v>69</v>
      </c>
      <c r="D234" s="3" t="s">
        <v>25</v>
      </c>
      <c r="E234" s="3" t="s">
        <v>25</v>
      </c>
      <c r="F234" s="3" t="s">
        <v>25</v>
      </c>
      <c r="G234" s="3" t="s">
        <v>74</v>
      </c>
      <c r="H234" s="3" t="s">
        <v>25</v>
      </c>
      <c r="I234" s="6">
        <v>44317</v>
      </c>
      <c r="J234" s="4">
        <v>30000</v>
      </c>
      <c r="K234" s="4">
        <v>15000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3" t="s">
        <v>72</v>
      </c>
      <c r="R234" s="3">
        <v>30296</v>
      </c>
      <c r="S234" s="3" t="s">
        <v>173</v>
      </c>
      <c r="U234" s="3">
        <v>10</v>
      </c>
      <c r="V234" s="3">
        <v>0</v>
      </c>
      <c r="W234" s="3">
        <v>0</v>
      </c>
    </row>
    <row r="235" spans="1:23" ht="11.25" customHeight="1" x14ac:dyDescent="0.25">
      <c r="A235" s="3" t="s">
        <v>21</v>
      </c>
      <c r="B235" s="3" t="s">
        <v>39</v>
      </c>
      <c r="C235" s="3" t="s">
        <v>69</v>
      </c>
      <c r="D235" s="3" t="s">
        <v>25</v>
      </c>
      <c r="E235" s="3" t="s">
        <v>25</v>
      </c>
      <c r="F235" s="3" t="s">
        <v>25</v>
      </c>
      <c r="G235" s="3" t="s">
        <v>74</v>
      </c>
      <c r="H235" s="3" t="s">
        <v>25</v>
      </c>
      <c r="I235" s="6">
        <v>44348</v>
      </c>
      <c r="J235" s="4">
        <v>30000</v>
      </c>
      <c r="K235" s="4">
        <v>15000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3" t="s">
        <v>72</v>
      </c>
      <c r="R235" s="3">
        <v>30296</v>
      </c>
      <c r="S235" s="3" t="s">
        <v>174</v>
      </c>
      <c r="U235" s="3">
        <v>10</v>
      </c>
      <c r="V235" s="3">
        <v>0</v>
      </c>
      <c r="W235" s="3">
        <v>0</v>
      </c>
    </row>
    <row r="236" spans="1:23" ht="11.25" customHeight="1" x14ac:dyDescent="0.25">
      <c r="A236" s="3" t="s">
        <v>21</v>
      </c>
      <c r="B236" s="3" t="s">
        <v>39</v>
      </c>
      <c r="C236" s="3" t="s">
        <v>69</v>
      </c>
      <c r="D236" s="3" t="s">
        <v>25</v>
      </c>
      <c r="E236" s="3" t="s">
        <v>25</v>
      </c>
      <c r="F236" s="3" t="s">
        <v>25</v>
      </c>
      <c r="G236" s="3" t="s">
        <v>74</v>
      </c>
      <c r="H236" s="3" t="s">
        <v>25</v>
      </c>
      <c r="I236" s="6">
        <v>44378</v>
      </c>
      <c r="J236" s="4">
        <v>30000</v>
      </c>
      <c r="K236" s="4">
        <v>15000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3" t="s">
        <v>72</v>
      </c>
      <c r="R236" s="3">
        <v>30296</v>
      </c>
      <c r="S236" s="3" t="s">
        <v>175</v>
      </c>
      <c r="U236" s="3">
        <v>10</v>
      </c>
      <c r="V236" s="3">
        <v>0</v>
      </c>
      <c r="W236" s="3">
        <v>0</v>
      </c>
    </row>
    <row r="237" spans="1:23" ht="11.25" customHeight="1" x14ac:dyDescent="0.25">
      <c r="A237" s="3" t="s">
        <v>21</v>
      </c>
      <c r="B237" s="3" t="s">
        <v>39</v>
      </c>
      <c r="C237" s="3" t="s">
        <v>69</v>
      </c>
      <c r="D237" s="3" t="s">
        <v>25</v>
      </c>
      <c r="E237" s="3" t="s">
        <v>25</v>
      </c>
      <c r="F237" s="3" t="s">
        <v>25</v>
      </c>
      <c r="G237" s="3" t="s">
        <v>74</v>
      </c>
      <c r="H237" s="3" t="s">
        <v>25</v>
      </c>
      <c r="I237" s="6">
        <v>44409</v>
      </c>
      <c r="J237" s="4">
        <v>30000</v>
      </c>
      <c r="K237" s="4">
        <v>15000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72</v>
      </c>
      <c r="R237" s="3">
        <v>30296</v>
      </c>
      <c r="S237" s="3" t="s">
        <v>176</v>
      </c>
      <c r="U237" s="3">
        <v>10</v>
      </c>
      <c r="V237" s="3">
        <v>0</v>
      </c>
      <c r="W237" s="3">
        <v>0</v>
      </c>
    </row>
    <row r="238" spans="1:23" ht="11.25" customHeight="1" x14ac:dyDescent="0.25">
      <c r="A238" s="3" t="s">
        <v>21</v>
      </c>
      <c r="B238" s="3" t="s">
        <v>39</v>
      </c>
      <c r="C238" s="3" t="s">
        <v>69</v>
      </c>
      <c r="D238" s="3" t="s">
        <v>25</v>
      </c>
      <c r="E238" s="3" t="s">
        <v>25</v>
      </c>
      <c r="F238" s="3" t="s">
        <v>25</v>
      </c>
      <c r="G238" s="3" t="s">
        <v>74</v>
      </c>
      <c r="H238" s="3" t="s">
        <v>25</v>
      </c>
      <c r="I238" s="6">
        <v>44440</v>
      </c>
      <c r="J238" s="4">
        <v>30000</v>
      </c>
      <c r="K238" s="4">
        <v>15000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3" t="s">
        <v>72</v>
      </c>
      <c r="R238" s="3">
        <v>30296</v>
      </c>
      <c r="S238" s="3" t="s">
        <v>177</v>
      </c>
      <c r="U238" s="3">
        <v>10</v>
      </c>
      <c r="V238" s="3">
        <v>0</v>
      </c>
      <c r="W238" s="3">
        <v>0</v>
      </c>
    </row>
    <row r="239" spans="1:23" ht="11.25" customHeight="1" x14ac:dyDescent="0.25">
      <c r="A239" s="3" t="s">
        <v>21</v>
      </c>
      <c r="B239" s="3" t="s">
        <v>39</v>
      </c>
      <c r="C239" s="3" t="s">
        <v>69</v>
      </c>
      <c r="D239" s="3" t="s">
        <v>25</v>
      </c>
      <c r="E239" s="3" t="s">
        <v>25</v>
      </c>
      <c r="F239" s="3" t="s">
        <v>25</v>
      </c>
      <c r="G239" s="3" t="s">
        <v>74</v>
      </c>
      <c r="H239" s="3" t="s">
        <v>25</v>
      </c>
      <c r="I239" s="6">
        <v>44470</v>
      </c>
      <c r="J239" s="4">
        <v>30000</v>
      </c>
      <c r="K239" s="4">
        <v>15000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3" t="s">
        <v>72</v>
      </c>
      <c r="R239" s="3">
        <v>30296</v>
      </c>
      <c r="S239" s="3" t="s">
        <v>178</v>
      </c>
      <c r="U239" s="3">
        <v>10</v>
      </c>
      <c r="V239" s="3">
        <v>0</v>
      </c>
      <c r="W239" s="3">
        <v>0</v>
      </c>
    </row>
    <row r="240" spans="1:23" ht="11.25" customHeight="1" x14ac:dyDescent="0.25">
      <c r="A240" s="3" t="s">
        <v>21</v>
      </c>
      <c r="B240" s="3" t="s">
        <v>39</v>
      </c>
      <c r="C240" s="3" t="s">
        <v>69</v>
      </c>
      <c r="D240" s="3" t="s">
        <v>25</v>
      </c>
      <c r="E240" s="3" t="s">
        <v>25</v>
      </c>
      <c r="F240" s="3" t="s">
        <v>25</v>
      </c>
      <c r="G240" s="3" t="s">
        <v>74</v>
      </c>
      <c r="H240" s="3" t="s">
        <v>25</v>
      </c>
      <c r="I240" s="6">
        <v>44501</v>
      </c>
      <c r="J240" s="4">
        <v>30000</v>
      </c>
      <c r="K240" s="4">
        <v>15000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3" t="s">
        <v>72</v>
      </c>
      <c r="R240" s="3">
        <v>30296</v>
      </c>
      <c r="S240" s="3" t="s">
        <v>179</v>
      </c>
      <c r="U240" s="3">
        <v>10</v>
      </c>
      <c r="V240" s="3">
        <v>0</v>
      </c>
      <c r="W240" s="3">
        <v>0</v>
      </c>
    </row>
    <row r="241" spans="1:23" ht="11.25" customHeight="1" x14ac:dyDescent="0.25">
      <c r="A241" s="3" t="s">
        <v>21</v>
      </c>
      <c r="B241" s="3" t="s">
        <v>39</v>
      </c>
      <c r="C241" s="3" t="s">
        <v>69</v>
      </c>
      <c r="D241" s="3" t="s">
        <v>25</v>
      </c>
      <c r="E241" s="3" t="s">
        <v>25</v>
      </c>
      <c r="F241" s="3" t="s">
        <v>25</v>
      </c>
      <c r="G241" s="3" t="s">
        <v>74</v>
      </c>
      <c r="H241" s="3" t="s">
        <v>25</v>
      </c>
      <c r="I241" s="6">
        <v>44531</v>
      </c>
      <c r="J241" s="4">
        <v>30000</v>
      </c>
      <c r="K241" s="4">
        <v>15000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72</v>
      </c>
      <c r="R241" s="3">
        <v>30296</v>
      </c>
      <c r="S241" s="3" t="s">
        <v>180</v>
      </c>
      <c r="U241" s="3">
        <v>10</v>
      </c>
      <c r="V241" s="3">
        <v>0</v>
      </c>
      <c r="W241" s="3">
        <v>0</v>
      </c>
    </row>
    <row r="242" spans="1:23" ht="11.25" customHeight="1" x14ac:dyDescent="0.25">
      <c r="A242" s="3" t="s">
        <v>21</v>
      </c>
      <c r="B242" s="3" t="s">
        <v>39</v>
      </c>
      <c r="C242" s="3" t="s">
        <v>69</v>
      </c>
      <c r="D242" s="3" t="s">
        <v>25</v>
      </c>
      <c r="E242" s="3" t="s">
        <v>25</v>
      </c>
      <c r="F242" s="3" t="s">
        <v>25</v>
      </c>
      <c r="G242" s="3" t="s">
        <v>74</v>
      </c>
      <c r="H242" s="3" t="s">
        <v>25</v>
      </c>
      <c r="I242" s="6">
        <v>44562</v>
      </c>
      <c r="J242" s="4">
        <v>30000</v>
      </c>
      <c r="K242" s="4">
        <v>15000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3" t="s">
        <v>72</v>
      </c>
      <c r="R242" s="3">
        <v>30296</v>
      </c>
      <c r="S242" s="3" t="s">
        <v>181</v>
      </c>
      <c r="U242" s="3">
        <v>10</v>
      </c>
      <c r="V242" s="3">
        <v>0</v>
      </c>
      <c r="W242" s="3">
        <v>0</v>
      </c>
    </row>
    <row r="243" spans="1:23" ht="11.25" customHeight="1" x14ac:dyDescent="0.25">
      <c r="A243" s="3" t="s">
        <v>21</v>
      </c>
      <c r="B243" s="3" t="s">
        <v>39</v>
      </c>
      <c r="C243" s="3" t="s">
        <v>69</v>
      </c>
      <c r="D243" s="3" t="s">
        <v>25</v>
      </c>
      <c r="E243" s="3" t="s">
        <v>25</v>
      </c>
      <c r="F243" s="3" t="s">
        <v>25</v>
      </c>
      <c r="G243" s="3" t="s">
        <v>74</v>
      </c>
      <c r="H243" s="3" t="s">
        <v>25</v>
      </c>
      <c r="I243" s="6">
        <v>44593</v>
      </c>
      <c r="J243" s="4">
        <v>30000</v>
      </c>
      <c r="K243" s="4">
        <v>15000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 t="s">
        <v>72</v>
      </c>
      <c r="R243" s="3">
        <v>30296</v>
      </c>
      <c r="S243" s="3" t="s">
        <v>182</v>
      </c>
      <c r="U243" s="3">
        <v>10</v>
      </c>
      <c r="V243" s="3">
        <v>0</v>
      </c>
      <c r="W243" s="3">
        <v>0</v>
      </c>
    </row>
    <row r="244" spans="1:23" ht="11.25" customHeight="1" x14ac:dyDescent="0.25">
      <c r="A244" s="3" t="s">
        <v>56</v>
      </c>
      <c r="B244" s="3" t="s">
        <v>39</v>
      </c>
      <c r="C244" s="3" t="s">
        <v>69</v>
      </c>
      <c r="D244" s="3" t="s">
        <v>25</v>
      </c>
      <c r="E244" s="3" t="s">
        <v>25</v>
      </c>
      <c r="F244" s="3" t="s">
        <v>25</v>
      </c>
      <c r="G244" s="3" t="s">
        <v>74</v>
      </c>
      <c r="H244" s="3" t="s">
        <v>25</v>
      </c>
      <c r="I244" s="6">
        <v>44621</v>
      </c>
      <c r="J244" s="4">
        <v>30000</v>
      </c>
      <c r="K244" s="4">
        <v>15000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3" t="s">
        <v>72</v>
      </c>
      <c r="R244" s="3">
        <v>30296</v>
      </c>
      <c r="S244" s="3" t="s">
        <v>183</v>
      </c>
      <c r="U244" s="3">
        <v>10</v>
      </c>
      <c r="V244" s="3">
        <v>0</v>
      </c>
      <c r="W244" s="3">
        <v>0</v>
      </c>
    </row>
    <row r="245" spans="1:23" ht="11.25" customHeight="1" x14ac:dyDescent="0.25">
      <c r="A245" s="3" t="s">
        <v>21</v>
      </c>
      <c r="B245" s="3" t="s">
        <v>41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35</v>
      </c>
      <c r="I245" s="6">
        <v>44287</v>
      </c>
      <c r="J245" s="4">
        <v>8153</v>
      </c>
      <c r="K245" s="4">
        <v>8153</v>
      </c>
      <c r="L245" s="4">
        <v>2542.1590000000001</v>
      </c>
      <c r="M245" s="4">
        <v>2542.1590000000001</v>
      </c>
      <c r="N245" s="4">
        <v>2542.1590000000001</v>
      </c>
      <c r="O245" s="4">
        <v>2542.1590000000001</v>
      </c>
      <c r="P245" s="4">
        <v>0</v>
      </c>
      <c r="Q245" s="3" t="s">
        <v>26</v>
      </c>
      <c r="R245" s="3">
        <v>0</v>
      </c>
      <c r="S245" s="3" t="s">
        <v>184</v>
      </c>
      <c r="T245" s="3" t="s">
        <v>611</v>
      </c>
      <c r="U245" s="3">
        <v>12</v>
      </c>
      <c r="V245" s="3">
        <v>110</v>
      </c>
      <c r="W245" s="3">
        <v>89</v>
      </c>
    </row>
    <row r="246" spans="1:23" ht="11.25" customHeight="1" x14ac:dyDescent="0.25">
      <c r="A246" s="3" t="s">
        <v>28</v>
      </c>
      <c r="B246" s="3" t="s">
        <v>41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35</v>
      </c>
      <c r="I246" s="6">
        <v>44287</v>
      </c>
      <c r="J246" s="4">
        <v>300</v>
      </c>
      <c r="K246" s="4">
        <v>300</v>
      </c>
      <c r="L246" s="4">
        <v>70.069999999999993</v>
      </c>
      <c r="M246" s="4">
        <v>70.069999999999993</v>
      </c>
      <c r="N246" s="4">
        <v>70.069999999999993</v>
      </c>
      <c r="O246" s="4">
        <v>70.069999999999993</v>
      </c>
      <c r="P246" s="4">
        <v>0</v>
      </c>
      <c r="Q246" s="3" t="s">
        <v>26</v>
      </c>
      <c r="R246" s="3">
        <v>0</v>
      </c>
      <c r="S246" s="3" t="s">
        <v>184</v>
      </c>
      <c r="T246" s="3" t="s">
        <v>611</v>
      </c>
      <c r="U246" s="3">
        <v>12</v>
      </c>
      <c r="V246" s="3">
        <v>110</v>
      </c>
      <c r="W246" s="3">
        <v>89</v>
      </c>
    </row>
    <row r="247" spans="1:23" ht="11.25" customHeight="1" x14ac:dyDescent="0.25">
      <c r="A247" s="3" t="s">
        <v>21</v>
      </c>
      <c r="B247" s="3" t="s">
        <v>41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35</v>
      </c>
      <c r="I247" s="6">
        <v>44317</v>
      </c>
      <c r="J247" s="4">
        <v>8480</v>
      </c>
      <c r="K247" s="4">
        <v>8480</v>
      </c>
      <c r="L247" s="4">
        <v>2543.1790000000001</v>
      </c>
      <c r="M247" s="4">
        <v>2543.1790000000001</v>
      </c>
      <c r="N247" s="4">
        <v>2543.1790000000001</v>
      </c>
      <c r="O247" s="4">
        <v>2543.1790000000001</v>
      </c>
      <c r="P247" s="4">
        <v>0</v>
      </c>
      <c r="Q247" s="3" t="s">
        <v>26</v>
      </c>
      <c r="R247" s="3">
        <v>0</v>
      </c>
      <c r="S247" s="3" t="s">
        <v>185</v>
      </c>
      <c r="T247" s="3" t="s">
        <v>612</v>
      </c>
      <c r="U247" s="3">
        <v>12</v>
      </c>
      <c r="V247" s="3">
        <v>110</v>
      </c>
      <c r="W247" s="3">
        <v>89</v>
      </c>
    </row>
    <row r="248" spans="1:23" ht="11.25" customHeight="1" x14ac:dyDescent="0.25">
      <c r="A248" s="3" t="s">
        <v>28</v>
      </c>
      <c r="B248" s="3" t="s">
        <v>41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35</v>
      </c>
      <c r="I248" s="6">
        <v>44317</v>
      </c>
      <c r="J248" s="4">
        <v>300</v>
      </c>
      <c r="K248" s="4">
        <v>300</v>
      </c>
      <c r="L248" s="4">
        <v>69.510000000000005</v>
      </c>
      <c r="M248" s="4">
        <v>69.510000000000005</v>
      </c>
      <c r="N248" s="4">
        <v>69.510000000000005</v>
      </c>
      <c r="O248" s="4">
        <v>69.510000000000005</v>
      </c>
      <c r="P248" s="4">
        <v>0</v>
      </c>
      <c r="Q248" s="3" t="s">
        <v>26</v>
      </c>
      <c r="R248" s="3">
        <v>0</v>
      </c>
      <c r="S248" s="3" t="s">
        <v>185</v>
      </c>
      <c r="T248" s="3" t="s">
        <v>612</v>
      </c>
      <c r="U248" s="3">
        <v>12</v>
      </c>
      <c r="V248" s="3">
        <v>110</v>
      </c>
      <c r="W248" s="3">
        <v>89</v>
      </c>
    </row>
    <row r="249" spans="1:23" ht="11.25" customHeight="1" x14ac:dyDescent="0.25">
      <c r="A249" s="3" t="s">
        <v>21</v>
      </c>
      <c r="B249" s="3" t="s">
        <v>41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35</v>
      </c>
      <c r="I249" s="6">
        <v>44348</v>
      </c>
      <c r="J249" s="4">
        <v>8678</v>
      </c>
      <c r="K249" s="4">
        <v>8678</v>
      </c>
      <c r="L249" s="4">
        <v>2229.0329999999999</v>
      </c>
      <c r="M249" s="4">
        <v>2229.0329999999999</v>
      </c>
      <c r="N249" s="4">
        <v>2229.0329999999999</v>
      </c>
      <c r="O249" s="4">
        <v>2229.0329999999999</v>
      </c>
      <c r="P249" s="4">
        <v>0</v>
      </c>
      <c r="Q249" s="3" t="s">
        <v>26</v>
      </c>
      <c r="R249" s="3">
        <v>0</v>
      </c>
      <c r="S249" s="3" t="s">
        <v>186</v>
      </c>
      <c r="T249" s="3" t="s">
        <v>613</v>
      </c>
      <c r="U249" s="3">
        <v>12</v>
      </c>
      <c r="V249" s="3">
        <v>110</v>
      </c>
      <c r="W249" s="3">
        <v>89</v>
      </c>
    </row>
    <row r="250" spans="1:23" ht="11.25" customHeight="1" x14ac:dyDescent="0.25">
      <c r="A250" s="3" t="s">
        <v>28</v>
      </c>
      <c r="B250" s="3" t="s">
        <v>41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35</v>
      </c>
      <c r="I250" s="6">
        <v>44348</v>
      </c>
      <c r="J250" s="4">
        <v>270</v>
      </c>
      <c r="K250" s="4">
        <v>270</v>
      </c>
      <c r="L250" s="4">
        <v>60.48</v>
      </c>
      <c r="M250" s="4">
        <v>60.48</v>
      </c>
      <c r="N250" s="4">
        <v>60.48</v>
      </c>
      <c r="O250" s="4">
        <v>60.48</v>
      </c>
      <c r="P250" s="4">
        <v>0</v>
      </c>
      <c r="Q250" s="3" t="s">
        <v>26</v>
      </c>
      <c r="R250" s="3">
        <v>0</v>
      </c>
      <c r="S250" s="3" t="s">
        <v>186</v>
      </c>
      <c r="T250" s="3" t="s">
        <v>613</v>
      </c>
      <c r="U250" s="3">
        <v>12</v>
      </c>
      <c r="V250" s="3">
        <v>110</v>
      </c>
      <c r="W250" s="3">
        <v>89</v>
      </c>
    </row>
    <row r="251" spans="1:23" ht="11.25" customHeight="1" x14ac:dyDescent="0.25">
      <c r="A251" s="3" t="s">
        <v>21</v>
      </c>
      <c r="B251" s="3" t="s">
        <v>41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35</v>
      </c>
      <c r="I251" s="6">
        <v>44378</v>
      </c>
      <c r="J251" s="4">
        <v>8020</v>
      </c>
      <c r="K251" s="4">
        <v>8020</v>
      </c>
      <c r="L251" s="4">
        <v>2193.9050000000002</v>
      </c>
      <c r="M251" s="4">
        <v>2193.9050000000002</v>
      </c>
      <c r="N251" s="4">
        <v>2193.9050000000002</v>
      </c>
      <c r="O251" s="4">
        <v>2193.9050000000002</v>
      </c>
      <c r="P251" s="4">
        <v>0</v>
      </c>
      <c r="Q251" s="3" t="s">
        <v>26</v>
      </c>
      <c r="R251" s="3">
        <v>0</v>
      </c>
      <c r="S251" s="3" t="s">
        <v>187</v>
      </c>
      <c r="T251" s="3" t="s">
        <v>614</v>
      </c>
      <c r="U251" s="3">
        <v>12</v>
      </c>
      <c r="V251" s="3">
        <v>110</v>
      </c>
      <c r="W251" s="3">
        <v>89</v>
      </c>
    </row>
    <row r="252" spans="1:23" ht="11.25" customHeight="1" x14ac:dyDescent="0.25">
      <c r="A252" s="3" t="s">
        <v>27</v>
      </c>
      <c r="B252" s="3" t="s">
        <v>41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35</v>
      </c>
      <c r="I252" s="6">
        <v>44378</v>
      </c>
      <c r="J252" s="4">
        <v>-209</v>
      </c>
      <c r="K252" s="4">
        <v>-209</v>
      </c>
      <c r="L252" s="4">
        <v>75.561999999999998</v>
      </c>
      <c r="M252" s="4">
        <v>75.561999999999998</v>
      </c>
      <c r="N252" s="4">
        <v>75.561999999999998</v>
      </c>
      <c r="O252" s="4">
        <v>75.561999999999998</v>
      </c>
      <c r="P252" s="4">
        <v>0</v>
      </c>
      <c r="Q252" s="3" t="s">
        <v>26</v>
      </c>
      <c r="R252" s="3">
        <v>0</v>
      </c>
      <c r="S252" s="3" t="s">
        <v>187</v>
      </c>
      <c r="T252" s="3" t="s">
        <v>614</v>
      </c>
      <c r="U252" s="3">
        <v>12</v>
      </c>
      <c r="V252" s="3">
        <v>110</v>
      </c>
      <c r="W252" s="3">
        <v>89</v>
      </c>
    </row>
    <row r="253" spans="1:23" ht="11.25" customHeight="1" x14ac:dyDescent="0.25">
      <c r="A253" s="3" t="s">
        <v>28</v>
      </c>
      <c r="B253" s="3" t="s">
        <v>41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35</v>
      </c>
      <c r="I253" s="6">
        <v>44378</v>
      </c>
      <c r="J253" s="4">
        <v>270</v>
      </c>
      <c r="K253" s="4">
        <v>270</v>
      </c>
      <c r="L253" s="4">
        <v>62.58</v>
      </c>
      <c r="M253" s="4">
        <v>62.58</v>
      </c>
      <c r="N253" s="4">
        <v>62.58</v>
      </c>
      <c r="O253" s="4">
        <v>62.58</v>
      </c>
      <c r="P253" s="4">
        <v>0</v>
      </c>
      <c r="Q253" s="3" t="s">
        <v>26</v>
      </c>
      <c r="R253" s="3">
        <v>0</v>
      </c>
      <c r="S253" s="3" t="s">
        <v>187</v>
      </c>
      <c r="T253" s="3" t="s">
        <v>614</v>
      </c>
      <c r="U253" s="3">
        <v>12</v>
      </c>
      <c r="V253" s="3">
        <v>110</v>
      </c>
      <c r="W253" s="3">
        <v>89</v>
      </c>
    </row>
    <row r="254" spans="1:23" ht="11.25" customHeight="1" x14ac:dyDescent="0.25">
      <c r="A254" s="3" t="s">
        <v>21</v>
      </c>
      <c r="B254" s="3" t="s">
        <v>41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35</v>
      </c>
      <c r="I254" s="6">
        <v>44409</v>
      </c>
      <c r="J254" s="4">
        <v>7796</v>
      </c>
      <c r="K254" s="4">
        <v>7796</v>
      </c>
      <c r="L254" s="4">
        <v>2182.826</v>
      </c>
      <c r="M254" s="4">
        <v>2182.826</v>
      </c>
      <c r="N254" s="4">
        <v>2182.826</v>
      </c>
      <c r="O254" s="4">
        <v>2182.826</v>
      </c>
      <c r="P254" s="4">
        <v>0</v>
      </c>
      <c r="Q254" s="3" t="s">
        <v>26</v>
      </c>
      <c r="R254" s="3">
        <v>0</v>
      </c>
      <c r="S254" s="3" t="s">
        <v>188</v>
      </c>
      <c r="T254" s="3" t="s">
        <v>615</v>
      </c>
      <c r="U254" s="3">
        <v>12</v>
      </c>
      <c r="V254" s="3">
        <v>110</v>
      </c>
      <c r="W254" s="3">
        <v>89</v>
      </c>
    </row>
    <row r="255" spans="1:23" ht="11.25" customHeight="1" x14ac:dyDescent="0.25">
      <c r="A255" s="3" t="s">
        <v>27</v>
      </c>
      <c r="B255" s="3" t="s">
        <v>41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35</v>
      </c>
      <c r="I255" s="6">
        <v>44409</v>
      </c>
      <c r="J255" s="4">
        <v>0</v>
      </c>
      <c r="K255" s="4">
        <v>0</v>
      </c>
      <c r="L255" s="4">
        <v>-5.0519999999999996</v>
      </c>
      <c r="M255" s="4">
        <v>-5.0519999999999996</v>
      </c>
      <c r="N255" s="4">
        <v>-5.0519999999999996</v>
      </c>
      <c r="O255" s="4">
        <v>-5.0519999999999996</v>
      </c>
      <c r="P255" s="4">
        <v>0</v>
      </c>
      <c r="Q255" s="3" t="s">
        <v>26</v>
      </c>
      <c r="R255" s="3">
        <v>0</v>
      </c>
      <c r="S255" s="3" t="s">
        <v>188</v>
      </c>
      <c r="T255" s="3" t="s">
        <v>615</v>
      </c>
      <c r="U255" s="3">
        <v>0</v>
      </c>
      <c r="V255" s="3">
        <v>110</v>
      </c>
      <c r="W255" s="3">
        <v>89</v>
      </c>
    </row>
    <row r="256" spans="1:23" ht="11.25" customHeight="1" x14ac:dyDescent="0.25">
      <c r="A256" s="3" t="s">
        <v>28</v>
      </c>
      <c r="B256" s="3" t="s">
        <v>41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35</v>
      </c>
      <c r="I256" s="6">
        <v>44409</v>
      </c>
      <c r="J256" s="4">
        <v>270</v>
      </c>
      <c r="K256" s="4">
        <v>270</v>
      </c>
      <c r="L256" s="4">
        <v>56.28</v>
      </c>
      <c r="M256" s="4">
        <v>56.28</v>
      </c>
      <c r="N256" s="4">
        <v>56.28</v>
      </c>
      <c r="O256" s="4">
        <v>56.28</v>
      </c>
      <c r="P256" s="4">
        <v>0</v>
      </c>
      <c r="Q256" s="3" t="s">
        <v>26</v>
      </c>
      <c r="R256" s="3">
        <v>0</v>
      </c>
      <c r="S256" s="3" t="s">
        <v>188</v>
      </c>
      <c r="T256" s="3" t="s">
        <v>615</v>
      </c>
      <c r="U256" s="3">
        <v>12</v>
      </c>
      <c r="V256" s="3">
        <v>110</v>
      </c>
      <c r="W256" s="3">
        <v>89</v>
      </c>
    </row>
    <row r="257" spans="1:23" ht="11.25" customHeight="1" x14ac:dyDescent="0.25">
      <c r="A257" s="3" t="s">
        <v>21</v>
      </c>
      <c r="B257" s="3" t="s">
        <v>41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35</v>
      </c>
      <c r="I257" s="6">
        <v>44440</v>
      </c>
      <c r="J257" s="4">
        <v>7852</v>
      </c>
      <c r="K257" s="4">
        <v>7852</v>
      </c>
      <c r="L257" s="4">
        <v>2239.308</v>
      </c>
      <c r="M257" s="4">
        <v>2239.308</v>
      </c>
      <c r="N257" s="4">
        <v>2239.308</v>
      </c>
      <c r="O257" s="4">
        <v>2239.308</v>
      </c>
      <c r="P257" s="4">
        <v>0</v>
      </c>
      <c r="Q257" s="3" t="s">
        <v>26</v>
      </c>
      <c r="R257" s="3">
        <v>0</v>
      </c>
      <c r="S257" s="3" t="s">
        <v>189</v>
      </c>
      <c r="T257" s="3" t="s">
        <v>616</v>
      </c>
      <c r="U257" s="3">
        <v>12</v>
      </c>
      <c r="V257" s="3">
        <v>110</v>
      </c>
      <c r="W257" s="3">
        <v>89</v>
      </c>
    </row>
    <row r="258" spans="1:23" ht="11.25" customHeight="1" x14ac:dyDescent="0.25">
      <c r="A258" s="3" t="s">
        <v>28</v>
      </c>
      <c r="B258" s="3" t="s">
        <v>41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35</v>
      </c>
      <c r="I258" s="6">
        <v>44440</v>
      </c>
      <c r="J258" s="4">
        <v>270</v>
      </c>
      <c r="K258" s="4">
        <v>270</v>
      </c>
      <c r="L258" s="4">
        <v>59.01</v>
      </c>
      <c r="M258" s="4">
        <v>59.01</v>
      </c>
      <c r="N258" s="4">
        <v>59.01</v>
      </c>
      <c r="O258" s="4">
        <v>59.01</v>
      </c>
      <c r="P258" s="4">
        <v>0</v>
      </c>
      <c r="Q258" s="3" t="s">
        <v>26</v>
      </c>
      <c r="R258" s="3">
        <v>0</v>
      </c>
      <c r="S258" s="3" t="s">
        <v>189</v>
      </c>
      <c r="T258" s="3" t="s">
        <v>616</v>
      </c>
      <c r="U258" s="3">
        <v>12</v>
      </c>
      <c r="V258" s="3">
        <v>110</v>
      </c>
      <c r="W258" s="3">
        <v>89</v>
      </c>
    </row>
    <row r="259" spans="1:23" ht="11.25" customHeight="1" x14ac:dyDescent="0.25">
      <c r="A259" s="3" t="s">
        <v>21</v>
      </c>
      <c r="B259" s="3" t="s">
        <v>41</v>
      </c>
      <c r="C259" s="3" t="s">
        <v>40</v>
      </c>
      <c r="D259" s="3" t="s">
        <v>43</v>
      </c>
      <c r="E259" s="3" t="s">
        <v>25</v>
      </c>
      <c r="F259" s="3" t="s">
        <v>25</v>
      </c>
      <c r="G259" s="3" t="s">
        <v>25</v>
      </c>
      <c r="H259" s="3" t="s">
        <v>35</v>
      </c>
      <c r="I259" s="6">
        <v>44470</v>
      </c>
      <c r="J259" s="4">
        <v>8176</v>
      </c>
      <c r="K259" s="4">
        <v>8176</v>
      </c>
      <c r="L259" s="4">
        <v>2561.413</v>
      </c>
      <c r="M259" s="4">
        <v>2561.413</v>
      </c>
      <c r="N259" s="4">
        <v>2561.413</v>
      </c>
      <c r="O259" s="4">
        <v>2561.413</v>
      </c>
      <c r="P259" s="4">
        <v>0</v>
      </c>
      <c r="Q259" s="3" t="s">
        <v>26</v>
      </c>
      <c r="R259" s="3">
        <v>0</v>
      </c>
      <c r="S259" s="3" t="s">
        <v>190</v>
      </c>
      <c r="T259" s="3" t="s">
        <v>617</v>
      </c>
      <c r="U259" s="3">
        <v>12</v>
      </c>
      <c r="V259" s="3">
        <v>110</v>
      </c>
      <c r="W259" s="3">
        <v>89</v>
      </c>
    </row>
    <row r="260" spans="1:23" ht="11.25" customHeight="1" x14ac:dyDescent="0.25">
      <c r="A260" s="3" t="s">
        <v>28</v>
      </c>
      <c r="B260" s="3" t="s">
        <v>41</v>
      </c>
      <c r="C260" s="3" t="s">
        <v>40</v>
      </c>
      <c r="D260" s="3" t="s">
        <v>43</v>
      </c>
      <c r="E260" s="3" t="s">
        <v>25</v>
      </c>
      <c r="F260" s="3" t="s">
        <v>25</v>
      </c>
      <c r="G260" s="3" t="s">
        <v>25</v>
      </c>
      <c r="H260" s="3" t="s">
        <v>35</v>
      </c>
      <c r="I260" s="6">
        <v>44470</v>
      </c>
      <c r="J260" s="4">
        <v>270</v>
      </c>
      <c r="K260" s="4">
        <v>270</v>
      </c>
      <c r="L260" s="4">
        <v>64.47</v>
      </c>
      <c r="M260" s="4">
        <v>64.47</v>
      </c>
      <c r="N260" s="4">
        <v>64.47</v>
      </c>
      <c r="O260" s="4">
        <v>64.47</v>
      </c>
      <c r="P260" s="4">
        <v>0</v>
      </c>
      <c r="Q260" s="3" t="s">
        <v>26</v>
      </c>
      <c r="R260" s="3">
        <v>0</v>
      </c>
      <c r="S260" s="3" t="s">
        <v>190</v>
      </c>
      <c r="T260" s="3" t="s">
        <v>617</v>
      </c>
      <c r="U260" s="3">
        <v>12</v>
      </c>
      <c r="V260" s="3">
        <v>110</v>
      </c>
      <c r="W260" s="3">
        <v>89</v>
      </c>
    </row>
    <row r="261" spans="1:23" ht="11.25" customHeight="1" x14ac:dyDescent="0.25">
      <c r="A261" s="3" t="s">
        <v>21</v>
      </c>
      <c r="B261" s="3" t="s">
        <v>41</v>
      </c>
      <c r="C261" s="3" t="s">
        <v>40</v>
      </c>
      <c r="D261" s="3" t="s">
        <v>43</v>
      </c>
      <c r="E261" s="3" t="s">
        <v>25</v>
      </c>
      <c r="F261" s="3" t="s">
        <v>25</v>
      </c>
      <c r="G261" s="3" t="s">
        <v>25</v>
      </c>
      <c r="H261" s="3" t="s">
        <v>35</v>
      </c>
      <c r="I261" s="6">
        <v>44501</v>
      </c>
      <c r="J261" s="4">
        <v>8111</v>
      </c>
      <c r="K261" s="4">
        <v>8111</v>
      </c>
      <c r="L261" s="4">
        <v>2519.7860000000001</v>
      </c>
      <c r="M261" s="4">
        <v>2519.7860000000001</v>
      </c>
      <c r="N261" s="4">
        <v>2519.7860000000001</v>
      </c>
      <c r="O261" s="4">
        <v>2519.7860000000001</v>
      </c>
      <c r="P261" s="4">
        <v>0</v>
      </c>
      <c r="Q261" s="3" t="s">
        <v>26</v>
      </c>
      <c r="R261" s="3">
        <v>0</v>
      </c>
      <c r="S261" s="3" t="s">
        <v>191</v>
      </c>
      <c r="T261" s="3" t="s">
        <v>618</v>
      </c>
      <c r="U261" s="3">
        <v>12</v>
      </c>
      <c r="V261" s="3">
        <v>110</v>
      </c>
      <c r="W261" s="3">
        <v>89</v>
      </c>
    </row>
    <row r="262" spans="1:23" ht="11.25" customHeight="1" x14ac:dyDescent="0.25">
      <c r="A262" s="3" t="s">
        <v>21</v>
      </c>
      <c r="B262" s="3" t="s">
        <v>41</v>
      </c>
      <c r="C262" s="3" t="s">
        <v>40</v>
      </c>
      <c r="D262" s="3" t="s">
        <v>43</v>
      </c>
      <c r="E262" s="3" t="s">
        <v>25</v>
      </c>
      <c r="F262" s="3" t="s">
        <v>25</v>
      </c>
      <c r="G262" s="3" t="s">
        <v>25</v>
      </c>
      <c r="H262" s="3" t="s">
        <v>35</v>
      </c>
      <c r="I262" s="6">
        <v>44531</v>
      </c>
      <c r="J262" s="4">
        <v>8119</v>
      </c>
      <c r="K262" s="4">
        <v>8119</v>
      </c>
      <c r="L262" s="4">
        <v>2619.7379999999998</v>
      </c>
      <c r="M262" s="4">
        <v>2619.7379999999998</v>
      </c>
      <c r="N262" s="4">
        <v>2619.7379999999998</v>
      </c>
      <c r="O262" s="4">
        <v>2619.7379999999998</v>
      </c>
      <c r="P262" s="4">
        <v>0</v>
      </c>
      <c r="Q262" s="3" t="s">
        <v>26</v>
      </c>
      <c r="R262" s="3">
        <v>0</v>
      </c>
      <c r="S262" s="3" t="s">
        <v>192</v>
      </c>
      <c r="T262" s="3" t="s">
        <v>619</v>
      </c>
      <c r="U262" s="3">
        <v>12</v>
      </c>
      <c r="V262" s="3">
        <v>110</v>
      </c>
      <c r="W262" s="3">
        <v>89</v>
      </c>
    </row>
    <row r="263" spans="1:23" ht="11.25" customHeight="1" x14ac:dyDescent="0.25">
      <c r="A263" s="3" t="s">
        <v>21</v>
      </c>
      <c r="B263" s="3" t="s">
        <v>41</v>
      </c>
      <c r="C263" s="3" t="s">
        <v>40</v>
      </c>
      <c r="D263" s="3" t="s">
        <v>43</v>
      </c>
      <c r="E263" s="3" t="s">
        <v>25</v>
      </c>
      <c r="F263" s="3" t="s">
        <v>25</v>
      </c>
      <c r="G263" s="3" t="s">
        <v>25</v>
      </c>
      <c r="H263" s="3" t="s">
        <v>35</v>
      </c>
      <c r="I263" s="6">
        <v>44562</v>
      </c>
      <c r="J263" s="4">
        <v>8084</v>
      </c>
      <c r="K263" s="4">
        <v>8084</v>
      </c>
      <c r="L263" s="4">
        <v>2640.25</v>
      </c>
      <c r="M263" s="4">
        <v>2640.25</v>
      </c>
      <c r="N263" s="4">
        <v>2640.25</v>
      </c>
      <c r="O263" s="4">
        <v>2640.25</v>
      </c>
      <c r="P263" s="4">
        <v>0</v>
      </c>
      <c r="Q263" s="3" t="s">
        <v>26</v>
      </c>
      <c r="R263" s="3">
        <v>0</v>
      </c>
      <c r="S263" s="3" t="s">
        <v>193</v>
      </c>
      <c r="T263" s="3" t="s">
        <v>620</v>
      </c>
      <c r="U263" s="3">
        <v>12</v>
      </c>
      <c r="V263" s="3">
        <v>110</v>
      </c>
      <c r="W263" s="3">
        <v>89</v>
      </c>
    </row>
    <row r="264" spans="1:23" ht="11.25" customHeight="1" x14ac:dyDescent="0.25">
      <c r="A264" s="3" t="s">
        <v>28</v>
      </c>
      <c r="B264" s="3" t="s">
        <v>41</v>
      </c>
      <c r="C264" s="3" t="s">
        <v>40</v>
      </c>
      <c r="D264" s="3" t="s">
        <v>43</v>
      </c>
      <c r="E264" s="3" t="s">
        <v>25</v>
      </c>
      <c r="F264" s="3" t="s">
        <v>25</v>
      </c>
      <c r="G264" s="3" t="s">
        <v>25</v>
      </c>
      <c r="H264" s="3" t="s">
        <v>35</v>
      </c>
      <c r="I264" s="6">
        <v>44562</v>
      </c>
      <c r="J264" s="4">
        <v>85</v>
      </c>
      <c r="K264" s="4">
        <v>85</v>
      </c>
      <c r="L264" s="4">
        <v>12.071999999999999</v>
      </c>
      <c r="M264" s="4">
        <v>12.071999999999999</v>
      </c>
      <c r="N264" s="4">
        <v>12.071999999999999</v>
      </c>
      <c r="O264" s="4">
        <v>12.071999999999999</v>
      </c>
      <c r="P264" s="4">
        <v>0</v>
      </c>
      <c r="Q264" s="3" t="s">
        <v>26</v>
      </c>
      <c r="R264" s="3">
        <v>0</v>
      </c>
      <c r="S264" s="3" t="s">
        <v>193</v>
      </c>
      <c r="T264" s="3" t="s">
        <v>620</v>
      </c>
      <c r="U264" s="3">
        <v>12</v>
      </c>
      <c r="V264" s="3">
        <v>110</v>
      </c>
      <c r="W264" s="3">
        <v>89</v>
      </c>
    </row>
    <row r="265" spans="1:23" ht="11.25" customHeight="1" x14ac:dyDescent="0.25">
      <c r="A265" s="3" t="s">
        <v>28</v>
      </c>
      <c r="B265" s="3" t="s">
        <v>41</v>
      </c>
      <c r="C265" s="3" t="s">
        <v>40</v>
      </c>
      <c r="D265" s="3" t="s">
        <v>43</v>
      </c>
      <c r="E265" s="3" t="s">
        <v>25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-0.72</v>
      </c>
      <c r="M265" s="4">
        <v>-0.72</v>
      </c>
      <c r="N265" s="4">
        <v>-0.72</v>
      </c>
      <c r="O265" s="4">
        <v>-0.72</v>
      </c>
      <c r="P265" s="4">
        <v>0</v>
      </c>
      <c r="Q265" s="3" t="s">
        <v>26</v>
      </c>
      <c r="R265" s="3">
        <v>0</v>
      </c>
      <c r="S265" s="3" t="s">
        <v>193</v>
      </c>
      <c r="T265" s="3" t="s">
        <v>620</v>
      </c>
      <c r="U265" s="3">
        <v>0</v>
      </c>
      <c r="V265" s="3">
        <v>110</v>
      </c>
      <c r="W265" s="3">
        <v>89</v>
      </c>
    </row>
    <row r="266" spans="1:23" ht="11.25" customHeight="1" x14ac:dyDescent="0.25">
      <c r="A266" s="3" t="s">
        <v>21</v>
      </c>
      <c r="B266" s="3" t="s">
        <v>41</v>
      </c>
      <c r="C266" s="3" t="s">
        <v>40</v>
      </c>
      <c r="D266" s="3" t="s">
        <v>43</v>
      </c>
      <c r="E266" s="3" t="s">
        <v>25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8250</v>
      </c>
      <c r="K266" s="4">
        <v>8250</v>
      </c>
      <c r="L266" s="4">
        <v>2522.1080000000002</v>
      </c>
      <c r="M266" s="4">
        <v>2522.1080000000002</v>
      </c>
      <c r="N266" s="4">
        <v>2522.1080000000002</v>
      </c>
      <c r="O266" s="4">
        <v>2522.1080000000002</v>
      </c>
      <c r="P266" s="4">
        <v>0</v>
      </c>
      <c r="Q266" s="3" t="s">
        <v>26</v>
      </c>
      <c r="R266" s="3">
        <v>0</v>
      </c>
      <c r="S266" s="3" t="s">
        <v>194</v>
      </c>
      <c r="T266" s="3" t="s">
        <v>621</v>
      </c>
      <c r="U266" s="3">
        <v>12</v>
      </c>
      <c r="V266" s="3">
        <v>110</v>
      </c>
      <c r="W266" s="3">
        <v>89</v>
      </c>
    </row>
    <row r="267" spans="1:23" ht="11.25" customHeight="1" x14ac:dyDescent="0.25">
      <c r="A267" s="3" t="s">
        <v>27</v>
      </c>
      <c r="B267" s="3" t="s">
        <v>41</v>
      </c>
      <c r="C267" s="3" t="s">
        <v>40</v>
      </c>
      <c r="D267" s="3" t="s">
        <v>43</v>
      </c>
      <c r="E267" s="3" t="s">
        <v>25</v>
      </c>
      <c r="F267" s="3" t="s">
        <v>25</v>
      </c>
      <c r="G267" s="3" t="s">
        <v>25</v>
      </c>
      <c r="H267" s="3" t="s">
        <v>35</v>
      </c>
      <c r="I267" s="6">
        <v>44593</v>
      </c>
      <c r="J267" s="4">
        <v>91</v>
      </c>
      <c r="K267" s="4">
        <v>91</v>
      </c>
      <c r="L267" s="4">
        <v>33.411999999999999</v>
      </c>
      <c r="M267" s="4">
        <v>33.411999999999999</v>
      </c>
      <c r="N267" s="4">
        <v>33.411999999999999</v>
      </c>
      <c r="O267" s="4">
        <v>33.411999999999999</v>
      </c>
      <c r="P267" s="4">
        <v>0</v>
      </c>
      <c r="Q267" s="3" t="s">
        <v>26</v>
      </c>
      <c r="R267" s="3">
        <v>0</v>
      </c>
      <c r="S267" s="3" t="s">
        <v>194</v>
      </c>
      <c r="T267" s="3" t="s">
        <v>621</v>
      </c>
      <c r="U267" s="3">
        <v>12</v>
      </c>
      <c r="V267" s="3">
        <v>110</v>
      </c>
      <c r="W267" s="3">
        <v>89</v>
      </c>
    </row>
    <row r="268" spans="1:23" ht="11.25" customHeight="1" x14ac:dyDescent="0.25">
      <c r="A268" s="3" t="s">
        <v>56</v>
      </c>
      <c r="B268" s="3" t="s">
        <v>41</v>
      </c>
      <c r="C268" s="3" t="s">
        <v>40</v>
      </c>
      <c r="D268" s="3" t="s">
        <v>43</v>
      </c>
      <c r="E268" s="3" t="s">
        <v>25</v>
      </c>
      <c r="F268" s="3" t="s">
        <v>25</v>
      </c>
      <c r="G268" s="3" t="s">
        <v>25</v>
      </c>
      <c r="H268" s="3" t="s">
        <v>35</v>
      </c>
      <c r="I268" s="6">
        <v>44621</v>
      </c>
      <c r="J268" s="4">
        <v>8250</v>
      </c>
      <c r="K268" s="4">
        <v>8250</v>
      </c>
      <c r="L268" s="4">
        <v>2522.1080000000002</v>
      </c>
      <c r="M268" s="4">
        <v>2522.1080000000002</v>
      </c>
      <c r="N268" s="4">
        <v>2522.1080000000002</v>
      </c>
      <c r="O268" s="4">
        <v>2522.1080000000002</v>
      </c>
      <c r="P268" s="4">
        <v>0</v>
      </c>
      <c r="Q268" s="3" t="s">
        <v>26</v>
      </c>
      <c r="R268" s="3">
        <v>0</v>
      </c>
      <c r="S268" s="3" t="s">
        <v>195</v>
      </c>
      <c r="T268" s="3" t="s">
        <v>622</v>
      </c>
      <c r="U268" s="3">
        <v>12</v>
      </c>
      <c r="V268" s="3">
        <v>110</v>
      </c>
      <c r="W268" s="3">
        <v>89</v>
      </c>
    </row>
    <row r="269" spans="1:23" ht="11.25" customHeight="1" x14ac:dyDescent="0.25">
      <c r="A269" s="3" t="s">
        <v>56</v>
      </c>
      <c r="B269" s="3" t="s">
        <v>41</v>
      </c>
      <c r="C269" s="3" t="s">
        <v>40</v>
      </c>
      <c r="D269" s="3" t="s">
        <v>43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44621</v>
      </c>
      <c r="J269" s="4">
        <v>91</v>
      </c>
      <c r="K269" s="4">
        <v>91</v>
      </c>
      <c r="L269" s="4">
        <v>33.411999999999999</v>
      </c>
      <c r="M269" s="4">
        <v>33.411999999999999</v>
      </c>
      <c r="N269" s="4">
        <v>33.411999999999999</v>
      </c>
      <c r="O269" s="4">
        <v>33.411999999999999</v>
      </c>
      <c r="P269" s="4">
        <v>0</v>
      </c>
      <c r="Q269" s="3" t="s">
        <v>26</v>
      </c>
      <c r="R269" s="3">
        <v>0</v>
      </c>
      <c r="S269" s="3" t="s">
        <v>195</v>
      </c>
      <c r="T269" s="3" t="s">
        <v>622</v>
      </c>
      <c r="U269" s="3">
        <v>12</v>
      </c>
      <c r="V269" s="3">
        <v>110</v>
      </c>
      <c r="W269" s="3">
        <v>89</v>
      </c>
    </row>
    <row r="270" spans="1:23" ht="11.25" customHeight="1" x14ac:dyDescent="0.25">
      <c r="A270" s="3" t="s">
        <v>21</v>
      </c>
      <c r="B270" s="3" t="s">
        <v>41</v>
      </c>
      <c r="C270" s="3" t="s">
        <v>40</v>
      </c>
      <c r="D270" s="3" t="s">
        <v>43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44287</v>
      </c>
      <c r="J270" s="4">
        <v>7124</v>
      </c>
      <c r="K270" s="4">
        <v>7124</v>
      </c>
      <c r="L270" s="4">
        <v>246.08099999999999</v>
      </c>
      <c r="M270" s="4">
        <v>246.08099999999999</v>
      </c>
      <c r="N270" s="4">
        <v>246.08099999999999</v>
      </c>
      <c r="O270" s="4">
        <v>246.08099999999999</v>
      </c>
      <c r="P270" s="4">
        <v>0</v>
      </c>
      <c r="Q270" s="3" t="s">
        <v>26</v>
      </c>
      <c r="R270" s="3">
        <v>0</v>
      </c>
      <c r="S270" s="3" t="s">
        <v>196</v>
      </c>
      <c r="T270" s="3" t="s">
        <v>623</v>
      </c>
      <c r="U270" s="3">
        <v>11</v>
      </c>
      <c r="V270" s="3">
        <v>110</v>
      </c>
      <c r="W270" s="3">
        <v>88</v>
      </c>
    </row>
    <row r="271" spans="1:23" ht="11.25" customHeight="1" x14ac:dyDescent="0.25">
      <c r="A271" s="3" t="s">
        <v>28</v>
      </c>
      <c r="B271" s="3" t="s">
        <v>41</v>
      </c>
      <c r="C271" s="3" t="s">
        <v>40</v>
      </c>
      <c r="D271" s="3" t="s">
        <v>43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44287</v>
      </c>
      <c r="J271" s="4">
        <v>273</v>
      </c>
      <c r="K271" s="4">
        <v>273</v>
      </c>
      <c r="L271" s="4">
        <v>10.85</v>
      </c>
      <c r="M271" s="4">
        <v>10.85</v>
      </c>
      <c r="N271" s="4">
        <v>10.85</v>
      </c>
      <c r="O271" s="4">
        <v>10.85</v>
      </c>
      <c r="P271" s="4">
        <v>0</v>
      </c>
      <c r="Q271" s="3" t="s">
        <v>26</v>
      </c>
      <c r="R271" s="3">
        <v>0</v>
      </c>
      <c r="S271" s="3" t="s">
        <v>196</v>
      </c>
      <c r="T271" s="3" t="s">
        <v>623</v>
      </c>
      <c r="U271" s="3">
        <v>11</v>
      </c>
      <c r="V271" s="3">
        <v>110</v>
      </c>
      <c r="W271" s="3">
        <v>88</v>
      </c>
    </row>
    <row r="272" spans="1:23" ht="11.25" customHeight="1" x14ac:dyDescent="0.25">
      <c r="A272" s="3" t="s">
        <v>21</v>
      </c>
      <c r="B272" s="3" t="s">
        <v>41</v>
      </c>
      <c r="C272" s="3" t="s">
        <v>40</v>
      </c>
      <c r="D272" s="3" t="s">
        <v>43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44317</v>
      </c>
      <c r="J272" s="4">
        <v>7408</v>
      </c>
      <c r="K272" s="4">
        <v>7408</v>
      </c>
      <c r="L272" s="4">
        <v>251.47200000000001</v>
      </c>
      <c r="M272" s="4">
        <v>251.47200000000001</v>
      </c>
      <c r="N272" s="4">
        <v>251.47200000000001</v>
      </c>
      <c r="O272" s="4">
        <v>251.47200000000001</v>
      </c>
      <c r="P272" s="4">
        <v>0</v>
      </c>
      <c r="Q272" s="3" t="s">
        <v>26</v>
      </c>
      <c r="R272" s="3">
        <v>0</v>
      </c>
      <c r="S272" s="3" t="s">
        <v>197</v>
      </c>
      <c r="T272" s="3" t="s">
        <v>624</v>
      </c>
      <c r="U272" s="3">
        <v>11</v>
      </c>
      <c r="V272" s="3">
        <v>110</v>
      </c>
      <c r="W272" s="3">
        <v>88</v>
      </c>
    </row>
    <row r="273" spans="1:23" ht="11.25" customHeight="1" x14ac:dyDescent="0.25">
      <c r="A273" s="3" t="s">
        <v>28</v>
      </c>
      <c r="B273" s="3" t="s">
        <v>41</v>
      </c>
      <c r="C273" s="3" t="s">
        <v>40</v>
      </c>
      <c r="D273" s="3" t="s">
        <v>43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44317</v>
      </c>
      <c r="J273" s="4">
        <v>273</v>
      </c>
      <c r="K273" s="4">
        <v>273</v>
      </c>
      <c r="L273" s="4">
        <v>10.99</v>
      </c>
      <c r="M273" s="4">
        <v>10.99</v>
      </c>
      <c r="N273" s="4">
        <v>10.99</v>
      </c>
      <c r="O273" s="4">
        <v>10.99</v>
      </c>
      <c r="P273" s="4">
        <v>0</v>
      </c>
      <c r="Q273" s="3" t="s">
        <v>26</v>
      </c>
      <c r="R273" s="3">
        <v>0</v>
      </c>
      <c r="S273" s="3" t="s">
        <v>197</v>
      </c>
      <c r="T273" s="3" t="s">
        <v>624</v>
      </c>
      <c r="U273" s="3">
        <v>11</v>
      </c>
      <c r="V273" s="3">
        <v>110</v>
      </c>
      <c r="W273" s="3">
        <v>88</v>
      </c>
    </row>
    <row r="274" spans="1:23" ht="11.25" customHeight="1" x14ac:dyDescent="0.25">
      <c r="A274" s="3" t="s">
        <v>21</v>
      </c>
      <c r="B274" s="3" t="s">
        <v>41</v>
      </c>
      <c r="C274" s="3" t="s">
        <v>40</v>
      </c>
      <c r="D274" s="3" t="s">
        <v>43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44348</v>
      </c>
      <c r="J274" s="4">
        <v>7275</v>
      </c>
      <c r="K274" s="4">
        <v>7275</v>
      </c>
      <c r="L274" s="4">
        <v>232.554</v>
      </c>
      <c r="M274" s="4">
        <v>232.554</v>
      </c>
      <c r="N274" s="4">
        <v>232.554</v>
      </c>
      <c r="O274" s="4">
        <v>232.554</v>
      </c>
      <c r="P274" s="4">
        <v>0</v>
      </c>
      <c r="Q274" s="3" t="s">
        <v>26</v>
      </c>
      <c r="R274" s="3">
        <v>0</v>
      </c>
      <c r="S274" s="3" t="s">
        <v>198</v>
      </c>
      <c r="T274" s="3" t="s">
        <v>625</v>
      </c>
      <c r="U274" s="3">
        <v>11</v>
      </c>
      <c r="V274" s="3">
        <v>110</v>
      </c>
      <c r="W274" s="3">
        <v>88</v>
      </c>
    </row>
    <row r="275" spans="1:23" ht="11.25" customHeight="1" x14ac:dyDescent="0.25">
      <c r="A275" s="3" t="s">
        <v>28</v>
      </c>
      <c r="B275" s="3" t="s">
        <v>41</v>
      </c>
      <c r="C275" s="3" t="s">
        <v>40</v>
      </c>
      <c r="D275" s="3" t="s">
        <v>43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44348</v>
      </c>
      <c r="J275" s="4">
        <v>250</v>
      </c>
      <c r="K275" s="4">
        <v>250</v>
      </c>
      <c r="L275" s="4">
        <v>9.8699999999999992</v>
      </c>
      <c r="M275" s="4">
        <v>9.8699999999999992</v>
      </c>
      <c r="N275" s="4">
        <v>9.8699999999999992</v>
      </c>
      <c r="O275" s="4">
        <v>9.8699999999999992</v>
      </c>
      <c r="P275" s="4">
        <v>0</v>
      </c>
      <c r="Q275" s="3" t="s">
        <v>26</v>
      </c>
      <c r="R275" s="3">
        <v>0</v>
      </c>
      <c r="S275" s="3" t="s">
        <v>198</v>
      </c>
      <c r="T275" s="3" t="s">
        <v>625</v>
      </c>
      <c r="U275" s="3">
        <v>11</v>
      </c>
      <c r="V275" s="3">
        <v>110</v>
      </c>
      <c r="W275" s="3">
        <v>88</v>
      </c>
    </row>
    <row r="276" spans="1:23" ht="11.25" customHeight="1" x14ac:dyDescent="0.25">
      <c r="A276" s="3" t="s">
        <v>21</v>
      </c>
      <c r="B276" s="3" t="s">
        <v>41</v>
      </c>
      <c r="C276" s="3" t="s">
        <v>40</v>
      </c>
      <c r="D276" s="3" t="s">
        <v>43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44378</v>
      </c>
      <c r="J276" s="4">
        <v>6717</v>
      </c>
      <c r="K276" s="4">
        <v>6717</v>
      </c>
      <c r="L276" s="4">
        <v>227.59299999999999</v>
      </c>
      <c r="M276" s="4">
        <v>227.59299999999999</v>
      </c>
      <c r="N276" s="4">
        <v>227.59299999999999</v>
      </c>
      <c r="O276" s="4">
        <v>227.59299999999999</v>
      </c>
      <c r="P276" s="4">
        <v>0</v>
      </c>
      <c r="Q276" s="3" t="s">
        <v>26</v>
      </c>
      <c r="R276" s="3">
        <v>0</v>
      </c>
      <c r="S276" s="3" t="s">
        <v>199</v>
      </c>
      <c r="T276" s="3" t="s">
        <v>626</v>
      </c>
      <c r="U276" s="3">
        <v>11</v>
      </c>
      <c r="V276" s="3">
        <v>110</v>
      </c>
      <c r="W276" s="3">
        <v>88</v>
      </c>
    </row>
    <row r="277" spans="1:23" ht="11.25" customHeight="1" x14ac:dyDescent="0.25">
      <c r="A277" s="3" t="s">
        <v>27</v>
      </c>
      <c r="B277" s="3" t="s">
        <v>41</v>
      </c>
      <c r="C277" s="3" t="s">
        <v>40</v>
      </c>
      <c r="D277" s="3" t="s">
        <v>43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44378</v>
      </c>
      <c r="J277" s="4">
        <v>-41</v>
      </c>
      <c r="K277" s="4">
        <v>-41</v>
      </c>
      <c r="L277" s="4">
        <v>10.605</v>
      </c>
      <c r="M277" s="4">
        <v>10.605</v>
      </c>
      <c r="N277" s="4">
        <v>10.605</v>
      </c>
      <c r="O277" s="4">
        <v>10.605</v>
      </c>
      <c r="P277" s="4">
        <v>0</v>
      </c>
      <c r="Q277" s="3" t="s">
        <v>26</v>
      </c>
      <c r="R277" s="3">
        <v>0</v>
      </c>
      <c r="S277" s="3" t="s">
        <v>199</v>
      </c>
      <c r="T277" s="3" t="s">
        <v>626</v>
      </c>
      <c r="U277" s="3">
        <v>11</v>
      </c>
      <c r="V277" s="3">
        <v>110</v>
      </c>
      <c r="W277" s="3">
        <v>88</v>
      </c>
    </row>
    <row r="278" spans="1:23" ht="11.25" customHeight="1" x14ac:dyDescent="0.25">
      <c r="A278" s="3" t="s">
        <v>28</v>
      </c>
      <c r="B278" s="3" t="s">
        <v>41</v>
      </c>
      <c r="C278" s="3" t="s">
        <v>40</v>
      </c>
      <c r="D278" s="3" t="s">
        <v>43</v>
      </c>
      <c r="E278" s="3" t="s">
        <v>25</v>
      </c>
      <c r="F278" s="3" t="s">
        <v>25</v>
      </c>
      <c r="G278" s="3" t="s">
        <v>25</v>
      </c>
      <c r="H278" s="3" t="s">
        <v>34</v>
      </c>
      <c r="I278" s="6">
        <v>44378</v>
      </c>
      <c r="J278" s="4">
        <v>250</v>
      </c>
      <c r="K278" s="4">
        <v>250</v>
      </c>
      <c r="L278" s="4">
        <v>10.29</v>
      </c>
      <c r="M278" s="4">
        <v>10.29</v>
      </c>
      <c r="N278" s="4">
        <v>10.29</v>
      </c>
      <c r="O278" s="4">
        <v>10.29</v>
      </c>
      <c r="P278" s="4">
        <v>0</v>
      </c>
      <c r="Q278" s="3" t="s">
        <v>26</v>
      </c>
      <c r="R278" s="3">
        <v>0</v>
      </c>
      <c r="S278" s="3" t="s">
        <v>199</v>
      </c>
      <c r="T278" s="3" t="s">
        <v>626</v>
      </c>
      <c r="U278" s="3">
        <v>11</v>
      </c>
      <c r="V278" s="3">
        <v>110</v>
      </c>
      <c r="W278" s="3">
        <v>88</v>
      </c>
    </row>
    <row r="279" spans="1:23" ht="11.25" customHeight="1" x14ac:dyDescent="0.25">
      <c r="A279" s="3" t="s">
        <v>21</v>
      </c>
      <c r="B279" s="3" t="s">
        <v>41</v>
      </c>
      <c r="C279" s="3" t="s">
        <v>40</v>
      </c>
      <c r="D279" s="3" t="s">
        <v>43</v>
      </c>
      <c r="E279" s="3" t="s">
        <v>25</v>
      </c>
      <c r="F279" s="3" t="s">
        <v>25</v>
      </c>
      <c r="G279" s="3" t="s">
        <v>25</v>
      </c>
      <c r="H279" s="3" t="s">
        <v>34</v>
      </c>
      <c r="I279" s="6">
        <v>44409</v>
      </c>
      <c r="J279" s="4">
        <v>6720</v>
      </c>
      <c r="K279" s="4">
        <v>6720</v>
      </c>
      <c r="L279" s="4">
        <v>235.00700000000001</v>
      </c>
      <c r="M279" s="4">
        <v>235.00700000000001</v>
      </c>
      <c r="N279" s="4">
        <v>235.00700000000001</v>
      </c>
      <c r="O279" s="4">
        <v>235.00700000000001</v>
      </c>
      <c r="P279" s="4">
        <v>0</v>
      </c>
      <c r="Q279" s="3" t="s">
        <v>26</v>
      </c>
      <c r="R279" s="3">
        <v>0</v>
      </c>
      <c r="S279" s="3" t="s">
        <v>200</v>
      </c>
      <c r="T279" s="3" t="s">
        <v>627</v>
      </c>
      <c r="U279" s="3">
        <v>11</v>
      </c>
      <c r="V279" s="3">
        <v>110</v>
      </c>
      <c r="W279" s="3">
        <v>88</v>
      </c>
    </row>
    <row r="280" spans="1:23" ht="11.25" customHeight="1" x14ac:dyDescent="0.25">
      <c r="A280" s="3" t="s">
        <v>27</v>
      </c>
      <c r="B280" s="3" t="s">
        <v>41</v>
      </c>
      <c r="C280" s="3" t="s">
        <v>40</v>
      </c>
      <c r="D280" s="3" t="s">
        <v>43</v>
      </c>
      <c r="E280" s="3" t="s">
        <v>25</v>
      </c>
      <c r="F280" s="3" t="s">
        <v>25</v>
      </c>
      <c r="G280" s="3" t="s">
        <v>25</v>
      </c>
      <c r="H280" s="3" t="s">
        <v>34</v>
      </c>
      <c r="I280" s="6">
        <v>44409</v>
      </c>
      <c r="J280" s="4">
        <v>0</v>
      </c>
      <c r="K280" s="4">
        <v>0</v>
      </c>
      <c r="L280" s="4">
        <v>-0.309</v>
      </c>
      <c r="M280" s="4">
        <v>-0.309</v>
      </c>
      <c r="N280" s="4">
        <v>-0.309</v>
      </c>
      <c r="O280" s="4">
        <v>-0.309</v>
      </c>
      <c r="P280" s="4">
        <v>0</v>
      </c>
      <c r="Q280" s="3" t="s">
        <v>26</v>
      </c>
      <c r="R280" s="3">
        <v>0</v>
      </c>
      <c r="S280" s="3" t="s">
        <v>200</v>
      </c>
      <c r="T280" s="3" t="s">
        <v>627</v>
      </c>
      <c r="U280" s="3">
        <v>0</v>
      </c>
      <c r="V280" s="3">
        <v>110</v>
      </c>
      <c r="W280" s="3">
        <v>88</v>
      </c>
    </row>
    <row r="281" spans="1:23" ht="11.25" customHeight="1" x14ac:dyDescent="0.25">
      <c r="A281" s="3" t="s">
        <v>28</v>
      </c>
      <c r="B281" s="3" t="s">
        <v>41</v>
      </c>
      <c r="C281" s="3" t="s">
        <v>40</v>
      </c>
      <c r="D281" s="3" t="s">
        <v>43</v>
      </c>
      <c r="E281" s="3" t="s">
        <v>25</v>
      </c>
      <c r="F281" s="3" t="s">
        <v>25</v>
      </c>
      <c r="G281" s="3" t="s">
        <v>25</v>
      </c>
      <c r="H281" s="3" t="s">
        <v>34</v>
      </c>
      <c r="I281" s="6">
        <v>44409</v>
      </c>
      <c r="J281" s="4">
        <v>250</v>
      </c>
      <c r="K281" s="4">
        <v>250</v>
      </c>
      <c r="L281" s="4">
        <v>10.5</v>
      </c>
      <c r="M281" s="4">
        <v>10.5</v>
      </c>
      <c r="N281" s="4">
        <v>10.5</v>
      </c>
      <c r="O281" s="4">
        <v>10.5</v>
      </c>
      <c r="P281" s="4">
        <v>0</v>
      </c>
      <c r="Q281" s="3" t="s">
        <v>26</v>
      </c>
      <c r="R281" s="3">
        <v>0</v>
      </c>
      <c r="S281" s="3" t="s">
        <v>200</v>
      </c>
      <c r="T281" s="3" t="s">
        <v>627</v>
      </c>
      <c r="U281" s="3">
        <v>11</v>
      </c>
      <c r="V281" s="3">
        <v>110</v>
      </c>
      <c r="W281" s="3">
        <v>88</v>
      </c>
    </row>
    <row r="282" spans="1:23" ht="11.25" customHeight="1" x14ac:dyDescent="0.25">
      <c r="A282" s="3" t="s">
        <v>21</v>
      </c>
      <c r="B282" s="3" t="s">
        <v>41</v>
      </c>
      <c r="C282" s="3" t="s">
        <v>40</v>
      </c>
      <c r="D282" s="3" t="s">
        <v>43</v>
      </c>
      <c r="E282" s="3" t="s">
        <v>25</v>
      </c>
      <c r="F282" s="3" t="s">
        <v>25</v>
      </c>
      <c r="G282" s="3" t="s">
        <v>25</v>
      </c>
      <c r="H282" s="3" t="s">
        <v>34</v>
      </c>
      <c r="I282" s="6">
        <v>44440</v>
      </c>
      <c r="J282" s="4">
        <v>6749</v>
      </c>
      <c r="K282" s="4">
        <v>6749</v>
      </c>
      <c r="L282" s="4">
        <v>238.81299999999999</v>
      </c>
      <c r="M282" s="4">
        <v>238.81299999999999</v>
      </c>
      <c r="N282" s="4">
        <v>238.81299999999999</v>
      </c>
      <c r="O282" s="4">
        <v>238.81299999999999</v>
      </c>
      <c r="P282" s="4">
        <v>0</v>
      </c>
      <c r="Q282" s="3" t="s">
        <v>26</v>
      </c>
      <c r="R282" s="3">
        <v>0</v>
      </c>
      <c r="S282" s="3" t="s">
        <v>201</v>
      </c>
      <c r="T282" s="3" t="s">
        <v>628</v>
      </c>
      <c r="U282" s="3">
        <v>11</v>
      </c>
      <c r="V282" s="3">
        <v>110</v>
      </c>
      <c r="W282" s="3">
        <v>88</v>
      </c>
    </row>
    <row r="283" spans="1:23" ht="11.25" customHeight="1" x14ac:dyDescent="0.25">
      <c r="A283" s="3" t="s">
        <v>28</v>
      </c>
      <c r="B283" s="3" t="s">
        <v>41</v>
      </c>
      <c r="C283" s="3" t="s">
        <v>40</v>
      </c>
      <c r="D283" s="3" t="s">
        <v>43</v>
      </c>
      <c r="E283" s="3" t="s">
        <v>25</v>
      </c>
      <c r="F283" s="3" t="s">
        <v>25</v>
      </c>
      <c r="G283" s="3" t="s">
        <v>25</v>
      </c>
      <c r="H283" s="3" t="s">
        <v>34</v>
      </c>
      <c r="I283" s="6">
        <v>44440</v>
      </c>
      <c r="J283" s="4">
        <v>250</v>
      </c>
      <c r="K283" s="4">
        <v>250</v>
      </c>
      <c r="L283" s="4">
        <v>10.5</v>
      </c>
      <c r="M283" s="4">
        <v>10.5</v>
      </c>
      <c r="N283" s="4">
        <v>10.5</v>
      </c>
      <c r="O283" s="4">
        <v>10.5</v>
      </c>
      <c r="P283" s="4">
        <v>0</v>
      </c>
      <c r="Q283" s="3" t="s">
        <v>26</v>
      </c>
      <c r="R283" s="3">
        <v>0</v>
      </c>
      <c r="S283" s="3" t="s">
        <v>201</v>
      </c>
      <c r="T283" s="3" t="s">
        <v>628</v>
      </c>
      <c r="U283" s="3">
        <v>11</v>
      </c>
      <c r="V283" s="3">
        <v>110</v>
      </c>
      <c r="W283" s="3">
        <v>88</v>
      </c>
    </row>
    <row r="284" spans="1:23" ht="11.25" customHeight="1" x14ac:dyDescent="0.25">
      <c r="A284" s="3" t="s">
        <v>21</v>
      </c>
      <c r="B284" s="3" t="s">
        <v>41</v>
      </c>
      <c r="C284" s="3" t="s">
        <v>40</v>
      </c>
      <c r="D284" s="3" t="s">
        <v>43</v>
      </c>
      <c r="E284" s="3" t="s">
        <v>25</v>
      </c>
      <c r="F284" s="3" t="s">
        <v>25</v>
      </c>
      <c r="G284" s="3" t="s">
        <v>25</v>
      </c>
      <c r="H284" s="3" t="s">
        <v>34</v>
      </c>
      <c r="I284" s="6">
        <v>44470</v>
      </c>
      <c r="J284" s="4">
        <v>7064</v>
      </c>
      <c r="K284" s="4">
        <v>7064</v>
      </c>
      <c r="L284" s="4">
        <v>247.87299999999999</v>
      </c>
      <c r="M284" s="4">
        <v>247.87299999999999</v>
      </c>
      <c r="N284" s="4">
        <v>247.87299999999999</v>
      </c>
      <c r="O284" s="4">
        <v>247.87299999999999</v>
      </c>
      <c r="P284" s="4">
        <v>0</v>
      </c>
      <c r="Q284" s="3" t="s">
        <v>26</v>
      </c>
      <c r="R284" s="3">
        <v>0</v>
      </c>
      <c r="S284" s="3" t="s">
        <v>202</v>
      </c>
      <c r="T284" s="3" t="s">
        <v>629</v>
      </c>
      <c r="U284" s="3">
        <v>11</v>
      </c>
      <c r="V284" s="3">
        <v>110</v>
      </c>
      <c r="W284" s="3">
        <v>88</v>
      </c>
    </row>
    <row r="285" spans="1:23" ht="11.25" customHeight="1" x14ac:dyDescent="0.25">
      <c r="A285" s="3" t="s">
        <v>28</v>
      </c>
      <c r="B285" s="3" t="s">
        <v>41</v>
      </c>
      <c r="C285" s="3" t="s">
        <v>40</v>
      </c>
      <c r="D285" s="3" t="s">
        <v>43</v>
      </c>
      <c r="E285" s="3" t="s">
        <v>25</v>
      </c>
      <c r="F285" s="3" t="s">
        <v>25</v>
      </c>
      <c r="G285" s="3" t="s">
        <v>25</v>
      </c>
      <c r="H285" s="3" t="s">
        <v>34</v>
      </c>
      <c r="I285" s="6">
        <v>44470</v>
      </c>
      <c r="J285" s="4">
        <v>250</v>
      </c>
      <c r="K285" s="4">
        <v>250</v>
      </c>
      <c r="L285" s="4">
        <v>10.71</v>
      </c>
      <c r="M285" s="4">
        <v>10.71</v>
      </c>
      <c r="N285" s="4">
        <v>10.71</v>
      </c>
      <c r="O285" s="4">
        <v>10.71</v>
      </c>
      <c r="P285" s="4">
        <v>0</v>
      </c>
      <c r="Q285" s="3" t="s">
        <v>26</v>
      </c>
      <c r="R285" s="3">
        <v>0</v>
      </c>
      <c r="S285" s="3" t="s">
        <v>202</v>
      </c>
      <c r="T285" s="3" t="s">
        <v>629</v>
      </c>
      <c r="U285" s="3">
        <v>11</v>
      </c>
      <c r="V285" s="3">
        <v>110</v>
      </c>
      <c r="W285" s="3">
        <v>88</v>
      </c>
    </row>
    <row r="286" spans="1:23" ht="11.25" customHeight="1" x14ac:dyDescent="0.25">
      <c r="A286" s="3" t="s">
        <v>21</v>
      </c>
      <c r="B286" s="3" t="s">
        <v>41</v>
      </c>
      <c r="C286" s="3" t="s">
        <v>40</v>
      </c>
      <c r="D286" s="3" t="s">
        <v>43</v>
      </c>
      <c r="E286" s="3" t="s">
        <v>25</v>
      </c>
      <c r="F286" s="3" t="s">
        <v>25</v>
      </c>
      <c r="G286" s="3" t="s">
        <v>25</v>
      </c>
      <c r="H286" s="3" t="s">
        <v>34</v>
      </c>
      <c r="I286" s="6">
        <v>44501</v>
      </c>
      <c r="J286" s="4">
        <v>7049</v>
      </c>
      <c r="K286" s="4">
        <v>7049</v>
      </c>
      <c r="L286" s="4">
        <v>251.01900000000001</v>
      </c>
      <c r="M286" s="4">
        <v>251.01900000000001</v>
      </c>
      <c r="N286" s="4">
        <v>251.01900000000001</v>
      </c>
      <c r="O286" s="4">
        <v>251.01900000000001</v>
      </c>
      <c r="P286" s="4">
        <v>0</v>
      </c>
      <c r="Q286" s="3" t="s">
        <v>26</v>
      </c>
      <c r="R286" s="3">
        <v>0</v>
      </c>
      <c r="S286" s="3" t="s">
        <v>203</v>
      </c>
      <c r="T286" s="3" t="s">
        <v>630</v>
      </c>
      <c r="U286" s="3">
        <v>11</v>
      </c>
      <c r="V286" s="3">
        <v>110</v>
      </c>
      <c r="W286" s="3">
        <v>88</v>
      </c>
    </row>
    <row r="287" spans="1:23" ht="11.25" customHeight="1" x14ac:dyDescent="0.25">
      <c r="A287" s="3" t="s">
        <v>21</v>
      </c>
      <c r="B287" s="3" t="s">
        <v>41</v>
      </c>
      <c r="C287" s="3" t="s">
        <v>40</v>
      </c>
      <c r="D287" s="3" t="s">
        <v>43</v>
      </c>
      <c r="E287" s="3" t="s">
        <v>25</v>
      </c>
      <c r="F287" s="3" t="s">
        <v>25</v>
      </c>
      <c r="G287" s="3" t="s">
        <v>25</v>
      </c>
      <c r="H287" s="3" t="s">
        <v>34</v>
      </c>
      <c r="I287" s="6">
        <v>44531</v>
      </c>
      <c r="J287" s="4">
        <v>7020</v>
      </c>
      <c r="K287" s="4">
        <v>7020</v>
      </c>
      <c r="L287" s="4">
        <v>285.47399999999999</v>
      </c>
      <c r="M287" s="4">
        <v>285.47399999999999</v>
      </c>
      <c r="N287" s="4">
        <v>285.47399999999999</v>
      </c>
      <c r="O287" s="4">
        <v>285.47399999999999</v>
      </c>
      <c r="P287" s="4">
        <v>0</v>
      </c>
      <c r="Q287" s="3" t="s">
        <v>26</v>
      </c>
      <c r="R287" s="3">
        <v>0</v>
      </c>
      <c r="S287" s="3" t="s">
        <v>204</v>
      </c>
      <c r="T287" s="3" t="s">
        <v>631</v>
      </c>
      <c r="U287" s="3">
        <v>11</v>
      </c>
      <c r="V287" s="3">
        <v>110</v>
      </c>
      <c r="W287" s="3">
        <v>88</v>
      </c>
    </row>
    <row r="288" spans="1:23" ht="11.25" customHeight="1" x14ac:dyDescent="0.25">
      <c r="A288" s="3" t="s">
        <v>21</v>
      </c>
      <c r="B288" s="3" t="s">
        <v>41</v>
      </c>
      <c r="C288" s="3" t="s">
        <v>40</v>
      </c>
      <c r="D288" s="3" t="s">
        <v>43</v>
      </c>
      <c r="E288" s="3" t="s">
        <v>25</v>
      </c>
      <c r="F288" s="3" t="s">
        <v>25</v>
      </c>
      <c r="G288" s="3" t="s">
        <v>25</v>
      </c>
      <c r="H288" s="3" t="s">
        <v>34</v>
      </c>
      <c r="I288" s="6">
        <v>44562</v>
      </c>
      <c r="J288" s="4">
        <v>6939</v>
      </c>
      <c r="K288" s="4">
        <v>6939</v>
      </c>
      <c r="L288" s="4">
        <v>274.18099999999998</v>
      </c>
      <c r="M288" s="4">
        <v>274.18099999999998</v>
      </c>
      <c r="N288" s="4">
        <v>274.18099999999998</v>
      </c>
      <c r="O288" s="4">
        <v>274.18099999999998</v>
      </c>
      <c r="P288" s="4">
        <v>0</v>
      </c>
      <c r="Q288" s="3" t="s">
        <v>26</v>
      </c>
      <c r="R288" s="3">
        <v>0</v>
      </c>
      <c r="S288" s="3" t="s">
        <v>205</v>
      </c>
      <c r="T288" s="3" t="s">
        <v>632</v>
      </c>
      <c r="U288" s="3">
        <v>11</v>
      </c>
      <c r="V288" s="3">
        <v>110</v>
      </c>
      <c r="W288" s="3">
        <v>88</v>
      </c>
    </row>
    <row r="289" spans="1:23" ht="11.25" customHeight="1" x14ac:dyDescent="0.25">
      <c r="A289" s="3" t="s">
        <v>28</v>
      </c>
      <c r="B289" s="3" t="s">
        <v>41</v>
      </c>
      <c r="C289" s="3" t="s">
        <v>40</v>
      </c>
      <c r="D289" s="3" t="s">
        <v>43</v>
      </c>
      <c r="E289" s="3" t="s">
        <v>25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75</v>
      </c>
      <c r="K289" s="4">
        <v>75</v>
      </c>
      <c r="L289" s="4">
        <v>2.786</v>
      </c>
      <c r="M289" s="4">
        <v>2.786</v>
      </c>
      <c r="N289" s="4">
        <v>2.786</v>
      </c>
      <c r="O289" s="4">
        <v>2.786</v>
      </c>
      <c r="P289" s="4">
        <v>0</v>
      </c>
      <c r="Q289" s="3" t="s">
        <v>26</v>
      </c>
      <c r="R289" s="3">
        <v>0</v>
      </c>
      <c r="S289" s="3" t="s">
        <v>205</v>
      </c>
      <c r="T289" s="3" t="s">
        <v>632</v>
      </c>
      <c r="U289" s="3">
        <v>11</v>
      </c>
      <c r="V289" s="3">
        <v>110</v>
      </c>
      <c r="W289" s="3">
        <v>88</v>
      </c>
    </row>
    <row r="290" spans="1:23" ht="11.25" customHeight="1" x14ac:dyDescent="0.25">
      <c r="A290" s="3" t="s">
        <v>21</v>
      </c>
      <c r="B290" s="3" t="s">
        <v>41</v>
      </c>
      <c r="C290" s="3" t="s">
        <v>40</v>
      </c>
      <c r="D290" s="3" t="s">
        <v>43</v>
      </c>
      <c r="E290" s="3" t="s">
        <v>25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7064</v>
      </c>
      <c r="K290" s="4">
        <v>7064</v>
      </c>
      <c r="L290" s="4">
        <v>267.75</v>
      </c>
      <c r="M290" s="4">
        <v>267.75</v>
      </c>
      <c r="N290" s="4">
        <v>267.75</v>
      </c>
      <c r="O290" s="4">
        <v>267.75</v>
      </c>
      <c r="P290" s="4">
        <v>0</v>
      </c>
      <c r="Q290" s="3" t="s">
        <v>26</v>
      </c>
      <c r="R290" s="3">
        <v>0</v>
      </c>
      <c r="S290" s="3" t="s">
        <v>206</v>
      </c>
      <c r="T290" s="3" t="s">
        <v>633</v>
      </c>
      <c r="U290" s="3">
        <v>11</v>
      </c>
      <c r="V290" s="3">
        <v>110</v>
      </c>
      <c r="W290" s="3">
        <v>88</v>
      </c>
    </row>
    <row r="291" spans="1:23" ht="11.25" customHeight="1" x14ac:dyDescent="0.25">
      <c r="A291" s="3" t="s">
        <v>27</v>
      </c>
      <c r="B291" s="3" t="s">
        <v>41</v>
      </c>
      <c r="C291" s="3" t="s">
        <v>40</v>
      </c>
      <c r="D291" s="3" t="s">
        <v>43</v>
      </c>
      <c r="E291" s="3" t="s">
        <v>25</v>
      </c>
      <c r="F291" s="3" t="s">
        <v>25</v>
      </c>
      <c r="G291" s="3" t="s">
        <v>25</v>
      </c>
      <c r="H291" s="3" t="s">
        <v>34</v>
      </c>
      <c r="I291" s="6">
        <v>44593</v>
      </c>
      <c r="J291" s="4">
        <v>80</v>
      </c>
      <c r="K291" s="4">
        <v>80</v>
      </c>
      <c r="L291" s="4">
        <v>4.4420000000000002</v>
      </c>
      <c r="M291" s="4">
        <v>4.4420000000000002</v>
      </c>
      <c r="N291" s="4">
        <v>4.4420000000000002</v>
      </c>
      <c r="O291" s="4">
        <v>4.4420000000000002</v>
      </c>
      <c r="P291" s="4">
        <v>0</v>
      </c>
      <c r="Q291" s="3" t="s">
        <v>26</v>
      </c>
      <c r="R291" s="3">
        <v>0</v>
      </c>
      <c r="S291" s="3" t="s">
        <v>206</v>
      </c>
      <c r="T291" s="3" t="s">
        <v>633</v>
      </c>
      <c r="U291" s="3">
        <v>11</v>
      </c>
      <c r="V291" s="3">
        <v>110</v>
      </c>
      <c r="W291" s="3">
        <v>88</v>
      </c>
    </row>
    <row r="292" spans="1:23" ht="11.25" customHeight="1" x14ac:dyDescent="0.25">
      <c r="A292" s="3" t="s">
        <v>56</v>
      </c>
      <c r="B292" s="3" t="s">
        <v>41</v>
      </c>
      <c r="C292" s="3" t="s">
        <v>40</v>
      </c>
      <c r="D292" s="3" t="s">
        <v>43</v>
      </c>
      <c r="E292" s="3" t="s">
        <v>25</v>
      </c>
      <c r="F292" s="3" t="s">
        <v>25</v>
      </c>
      <c r="G292" s="3" t="s">
        <v>25</v>
      </c>
      <c r="H292" s="3" t="s">
        <v>34</v>
      </c>
      <c r="I292" s="6">
        <v>44621</v>
      </c>
      <c r="J292" s="4">
        <v>7064</v>
      </c>
      <c r="K292" s="4">
        <v>7064</v>
      </c>
      <c r="L292" s="4">
        <v>267.75</v>
      </c>
      <c r="M292" s="4">
        <v>267.75</v>
      </c>
      <c r="N292" s="4">
        <v>267.75</v>
      </c>
      <c r="O292" s="4">
        <v>267.75</v>
      </c>
      <c r="P292" s="4">
        <v>0</v>
      </c>
      <c r="Q292" s="3" t="s">
        <v>26</v>
      </c>
      <c r="R292" s="3">
        <v>0</v>
      </c>
      <c r="S292" s="3" t="s">
        <v>207</v>
      </c>
      <c r="T292" s="3" t="s">
        <v>634</v>
      </c>
      <c r="U292" s="3">
        <v>11</v>
      </c>
      <c r="V292" s="3">
        <v>110</v>
      </c>
      <c r="W292" s="3">
        <v>88</v>
      </c>
    </row>
    <row r="293" spans="1:23" ht="11.25" customHeight="1" x14ac:dyDescent="0.25">
      <c r="A293" s="3" t="s">
        <v>56</v>
      </c>
      <c r="B293" s="3" t="s">
        <v>41</v>
      </c>
      <c r="C293" s="3" t="s">
        <v>40</v>
      </c>
      <c r="D293" s="3" t="s">
        <v>43</v>
      </c>
      <c r="E293" s="3" t="s">
        <v>25</v>
      </c>
      <c r="F293" s="3" t="s">
        <v>25</v>
      </c>
      <c r="G293" s="3" t="s">
        <v>25</v>
      </c>
      <c r="H293" s="3" t="s">
        <v>34</v>
      </c>
      <c r="I293" s="6">
        <v>44621</v>
      </c>
      <c r="J293" s="4">
        <v>80</v>
      </c>
      <c r="K293" s="4">
        <v>80</v>
      </c>
      <c r="L293" s="4">
        <v>4.4420000000000002</v>
      </c>
      <c r="M293" s="4">
        <v>4.4420000000000002</v>
      </c>
      <c r="N293" s="4">
        <v>4.4420000000000002</v>
      </c>
      <c r="O293" s="4">
        <v>4.4420000000000002</v>
      </c>
      <c r="P293" s="4">
        <v>0</v>
      </c>
      <c r="Q293" s="3" t="s">
        <v>26</v>
      </c>
      <c r="R293" s="3">
        <v>0</v>
      </c>
      <c r="S293" s="3" t="s">
        <v>207</v>
      </c>
      <c r="T293" s="3" t="s">
        <v>634</v>
      </c>
      <c r="U293" s="3">
        <v>11</v>
      </c>
      <c r="V293" s="3">
        <v>110</v>
      </c>
      <c r="W293" s="3">
        <v>88</v>
      </c>
    </row>
    <row r="294" spans="1:23" ht="11.25" customHeight="1" x14ac:dyDescent="0.25">
      <c r="A294" s="3" t="s">
        <v>21</v>
      </c>
      <c r="B294" s="3" t="s">
        <v>41</v>
      </c>
      <c r="C294" s="3" t="s">
        <v>40</v>
      </c>
      <c r="D294" s="3" t="s">
        <v>38</v>
      </c>
      <c r="E294" s="3" t="s">
        <v>25</v>
      </c>
      <c r="F294" s="3" t="s">
        <v>60</v>
      </c>
      <c r="G294" s="3" t="s">
        <v>25</v>
      </c>
      <c r="H294" s="3" t="s">
        <v>35</v>
      </c>
      <c r="I294" s="6">
        <v>44287</v>
      </c>
      <c r="J294" s="4">
        <v>25789</v>
      </c>
      <c r="K294" s="4">
        <v>13282.53083593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3" t="s">
        <v>57</v>
      </c>
      <c r="R294" s="3">
        <v>0</v>
      </c>
      <c r="S294" s="3" t="s">
        <v>184</v>
      </c>
      <c r="U294" s="3">
        <v>12</v>
      </c>
      <c r="V294" s="3">
        <v>0</v>
      </c>
      <c r="W294" s="3">
        <v>0</v>
      </c>
    </row>
    <row r="295" spans="1:23" ht="11.25" customHeight="1" x14ac:dyDescent="0.25">
      <c r="A295" s="3" t="s">
        <v>21</v>
      </c>
      <c r="B295" s="3" t="s">
        <v>41</v>
      </c>
      <c r="C295" s="3" t="s">
        <v>40</v>
      </c>
      <c r="D295" s="3" t="s">
        <v>38</v>
      </c>
      <c r="E295" s="3" t="s">
        <v>25</v>
      </c>
      <c r="F295" s="3" t="s">
        <v>60</v>
      </c>
      <c r="G295" s="3" t="s">
        <v>25</v>
      </c>
      <c r="H295" s="3" t="s">
        <v>35</v>
      </c>
      <c r="I295" s="6">
        <v>44317</v>
      </c>
      <c r="J295" s="4">
        <v>25686</v>
      </c>
      <c r="K295" s="4">
        <v>13354.910421299999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3" t="s">
        <v>57</v>
      </c>
      <c r="R295" s="3">
        <v>0</v>
      </c>
      <c r="S295" s="3" t="s">
        <v>185</v>
      </c>
      <c r="U295" s="3">
        <v>12</v>
      </c>
      <c r="V295" s="3">
        <v>0</v>
      </c>
      <c r="W295" s="3">
        <v>0</v>
      </c>
    </row>
    <row r="296" spans="1:23" ht="11.25" customHeight="1" x14ac:dyDescent="0.25">
      <c r="A296" s="3" t="s">
        <v>21</v>
      </c>
      <c r="B296" s="3" t="s">
        <v>41</v>
      </c>
      <c r="C296" s="3" t="s">
        <v>40</v>
      </c>
      <c r="D296" s="3" t="s">
        <v>38</v>
      </c>
      <c r="E296" s="3" t="s">
        <v>25</v>
      </c>
      <c r="F296" s="3" t="s">
        <v>60</v>
      </c>
      <c r="G296" s="3" t="s">
        <v>25</v>
      </c>
      <c r="H296" s="3" t="s">
        <v>35</v>
      </c>
      <c r="I296" s="6">
        <v>44348</v>
      </c>
      <c r="J296" s="4">
        <v>27204</v>
      </c>
      <c r="K296" s="4">
        <v>14085.476016959999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3" t="s">
        <v>57</v>
      </c>
      <c r="R296" s="3">
        <v>0</v>
      </c>
      <c r="S296" s="3" t="s">
        <v>186</v>
      </c>
      <c r="U296" s="3">
        <v>12</v>
      </c>
      <c r="V296" s="3">
        <v>0</v>
      </c>
      <c r="W296" s="3">
        <v>0</v>
      </c>
    </row>
    <row r="297" spans="1:23" ht="11.25" customHeight="1" x14ac:dyDescent="0.25">
      <c r="A297" s="3" t="s">
        <v>21</v>
      </c>
      <c r="B297" s="3" t="s">
        <v>41</v>
      </c>
      <c r="C297" s="3" t="s">
        <v>40</v>
      </c>
      <c r="D297" s="3" t="s">
        <v>38</v>
      </c>
      <c r="E297" s="3" t="s">
        <v>25</v>
      </c>
      <c r="F297" s="3" t="s">
        <v>60</v>
      </c>
      <c r="G297" s="3" t="s">
        <v>25</v>
      </c>
      <c r="H297" s="3" t="s">
        <v>35</v>
      </c>
      <c r="I297" s="6">
        <v>44378</v>
      </c>
      <c r="J297" s="4">
        <v>27052</v>
      </c>
      <c r="K297" s="4">
        <v>13257.480495399999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3" t="s">
        <v>57</v>
      </c>
      <c r="R297" s="3">
        <v>0</v>
      </c>
      <c r="S297" s="3" t="s">
        <v>187</v>
      </c>
      <c r="U297" s="3">
        <v>12</v>
      </c>
      <c r="V297" s="3">
        <v>0</v>
      </c>
      <c r="W297" s="3">
        <v>0</v>
      </c>
    </row>
    <row r="298" spans="1:23" ht="11.25" customHeight="1" x14ac:dyDescent="0.25">
      <c r="A298" s="3" t="s">
        <v>21</v>
      </c>
      <c r="B298" s="3" t="s">
        <v>41</v>
      </c>
      <c r="C298" s="3" t="s">
        <v>40</v>
      </c>
      <c r="D298" s="3" t="s">
        <v>38</v>
      </c>
      <c r="E298" s="3" t="s">
        <v>25</v>
      </c>
      <c r="F298" s="3" t="s">
        <v>60</v>
      </c>
      <c r="G298" s="3" t="s">
        <v>25</v>
      </c>
      <c r="H298" s="3" t="s">
        <v>35</v>
      </c>
      <c r="I298" s="6">
        <v>44409</v>
      </c>
      <c r="J298" s="4">
        <v>26095</v>
      </c>
      <c r="K298" s="4">
        <v>12713.1844294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3" t="s">
        <v>57</v>
      </c>
      <c r="R298" s="3">
        <v>0</v>
      </c>
      <c r="S298" s="3" t="s">
        <v>188</v>
      </c>
      <c r="U298" s="3">
        <v>12</v>
      </c>
      <c r="V298" s="3">
        <v>0</v>
      </c>
      <c r="W298" s="3">
        <v>0</v>
      </c>
    </row>
    <row r="299" spans="1:23" ht="11.25" customHeight="1" x14ac:dyDescent="0.25">
      <c r="A299" s="3" t="s">
        <v>21</v>
      </c>
      <c r="B299" s="3" t="s">
        <v>41</v>
      </c>
      <c r="C299" s="3" t="s">
        <v>40</v>
      </c>
      <c r="D299" s="3" t="s">
        <v>38</v>
      </c>
      <c r="E299" s="3" t="s">
        <v>25</v>
      </c>
      <c r="F299" s="3" t="s">
        <v>60</v>
      </c>
      <c r="G299" s="3" t="s">
        <v>25</v>
      </c>
      <c r="H299" s="3" t="s">
        <v>35</v>
      </c>
      <c r="I299" s="6">
        <v>44440</v>
      </c>
      <c r="J299" s="4">
        <v>33633</v>
      </c>
      <c r="K299" s="4">
        <v>16272.3651462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3" t="s">
        <v>57</v>
      </c>
      <c r="R299" s="3">
        <v>0</v>
      </c>
      <c r="S299" s="3" t="s">
        <v>189</v>
      </c>
      <c r="U299" s="3">
        <v>12</v>
      </c>
      <c r="V299" s="3">
        <v>0</v>
      </c>
      <c r="W299" s="3">
        <v>0</v>
      </c>
    </row>
    <row r="300" spans="1:23" ht="11.25" customHeight="1" x14ac:dyDescent="0.25">
      <c r="A300" s="3" t="s">
        <v>21</v>
      </c>
      <c r="B300" s="3" t="s">
        <v>41</v>
      </c>
      <c r="C300" s="3" t="s">
        <v>40</v>
      </c>
      <c r="D300" s="3" t="s">
        <v>38</v>
      </c>
      <c r="E300" s="3" t="s">
        <v>25</v>
      </c>
      <c r="F300" s="3" t="s">
        <v>60</v>
      </c>
      <c r="G300" s="3" t="s">
        <v>25</v>
      </c>
      <c r="H300" s="3" t="s">
        <v>35</v>
      </c>
      <c r="I300" s="6">
        <v>44470</v>
      </c>
      <c r="J300" s="4">
        <v>34601</v>
      </c>
      <c r="K300" s="4">
        <v>16801.641120529999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 t="s">
        <v>57</v>
      </c>
      <c r="R300" s="3">
        <v>0</v>
      </c>
      <c r="S300" s="3" t="s">
        <v>190</v>
      </c>
      <c r="U300" s="3">
        <v>12</v>
      </c>
      <c r="V300" s="3">
        <v>0</v>
      </c>
      <c r="W300" s="3">
        <v>0</v>
      </c>
    </row>
    <row r="301" spans="1:23" ht="11.25" customHeight="1" x14ac:dyDescent="0.25">
      <c r="A301" s="3" t="s">
        <v>21</v>
      </c>
      <c r="B301" s="3" t="s">
        <v>41</v>
      </c>
      <c r="C301" s="3" t="s">
        <v>40</v>
      </c>
      <c r="D301" s="3" t="s">
        <v>38</v>
      </c>
      <c r="E301" s="3" t="s">
        <v>25</v>
      </c>
      <c r="F301" s="3" t="s">
        <v>60</v>
      </c>
      <c r="G301" s="3" t="s">
        <v>25</v>
      </c>
      <c r="H301" s="3" t="s">
        <v>35</v>
      </c>
      <c r="I301" s="6">
        <v>44501</v>
      </c>
      <c r="J301" s="4">
        <v>34803</v>
      </c>
      <c r="K301" s="4">
        <v>17489.772937080001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3" t="s">
        <v>57</v>
      </c>
      <c r="R301" s="3">
        <v>0</v>
      </c>
      <c r="S301" s="3" t="s">
        <v>191</v>
      </c>
      <c r="U301" s="3">
        <v>12</v>
      </c>
      <c r="V301" s="3">
        <v>0</v>
      </c>
      <c r="W301" s="3">
        <v>0</v>
      </c>
    </row>
    <row r="302" spans="1:23" ht="11.25" customHeight="1" x14ac:dyDescent="0.25">
      <c r="A302" s="3" t="s">
        <v>27</v>
      </c>
      <c r="B302" s="3" t="s">
        <v>41</v>
      </c>
      <c r="C302" s="3" t="s">
        <v>40</v>
      </c>
      <c r="D302" s="3" t="s">
        <v>38</v>
      </c>
      <c r="E302" s="3" t="s">
        <v>25</v>
      </c>
      <c r="F302" s="3" t="s">
        <v>60</v>
      </c>
      <c r="G302" s="3" t="s">
        <v>25</v>
      </c>
      <c r="H302" s="3" t="s">
        <v>35</v>
      </c>
      <c r="I302" s="6">
        <v>44501</v>
      </c>
      <c r="J302" s="4">
        <v>-376</v>
      </c>
      <c r="K302" s="4">
        <v>-376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3" t="s">
        <v>57</v>
      </c>
      <c r="R302" s="3">
        <v>0</v>
      </c>
      <c r="S302" s="3" t="s">
        <v>191</v>
      </c>
      <c r="U302" s="3">
        <v>12</v>
      </c>
      <c r="V302" s="3">
        <v>0</v>
      </c>
      <c r="W302" s="3">
        <v>0</v>
      </c>
    </row>
    <row r="303" spans="1:23" ht="11.25" customHeight="1" x14ac:dyDescent="0.25">
      <c r="A303" s="3" t="s">
        <v>21</v>
      </c>
      <c r="B303" s="3" t="s">
        <v>41</v>
      </c>
      <c r="C303" s="3" t="s">
        <v>40</v>
      </c>
      <c r="D303" s="3" t="s">
        <v>38</v>
      </c>
      <c r="E303" s="3" t="s">
        <v>25</v>
      </c>
      <c r="F303" s="3" t="s">
        <v>60</v>
      </c>
      <c r="G303" s="3" t="s">
        <v>25</v>
      </c>
      <c r="H303" s="3" t="s">
        <v>35</v>
      </c>
      <c r="I303" s="6">
        <v>44531</v>
      </c>
      <c r="J303" s="4">
        <v>36518</v>
      </c>
      <c r="K303" s="4">
        <v>18580.92881116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3" t="s">
        <v>57</v>
      </c>
      <c r="R303" s="3">
        <v>0</v>
      </c>
      <c r="S303" s="3" t="s">
        <v>192</v>
      </c>
      <c r="U303" s="3">
        <v>12</v>
      </c>
      <c r="V303" s="3">
        <v>0</v>
      </c>
      <c r="W303" s="3">
        <v>0</v>
      </c>
    </row>
    <row r="304" spans="1:23" ht="11.25" customHeight="1" x14ac:dyDescent="0.25">
      <c r="A304" s="3" t="s">
        <v>21</v>
      </c>
      <c r="B304" s="3" t="s">
        <v>41</v>
      </c>
      <c r="C304" s="3" t="s">
        <v>40</v>
      </c>
      <c r="D304" s="3" t="s">
        <v>38</v>
      </c>
      <c r="E304" s="3" t="s">
        <v>25</v>
      </c>
      <c r="F304" s="3" t="s">
        <v>60</v>
      </c>
      <c r="G304" s="3" t="s">
        <v>25</v>
      </c>
      <c r="H304" s="3" t="s">
        <v>35</v>
      </c>
      <c r="I304" s="6">
        <v>44562</v>
      </c>
      <c r="J304" s="4">
        <v>37776</v>
      </c>
      <c r="K304" s="4">
        <v>18892.51536528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3" t="s">
        <v>57</v>
      </c>
      <c r="R304" s="3">
        <v>0</v>
      </c>
      <c r="S304" s="3" t="s">
        <v>193</v>
      </c>
      <c r="U304" s="3">
        <v>12</v>
      </c>
      <c r="V304" s="3">
        <v>0</v>
      </c>
      <c r="W304" s="3">
        <v>0</v>
      </c>
    </row>
    <row r="305" spans="1:23" ht="11.25" customHeight="1" x14ac:dyDescent="0.25">
      <c r="A305" s="3" t="s">
        <v>21</v>
      </c>
      <c r="B305" s="3" t="s">
        <v>41</v>
      </c>
      <c r="C305" s="3" t="s">
        <v>40</v>
      </c>
      <c r="D305" s="3" t="s">
        <v>38</v>
      </c>
      <c r="E305" s="3" t="s">
        <v>25</v>
      </c>
      <c r="F305" s="3" t="s">
        <v>60</v>
      </c>
      <c r="G305" s="3" t="s">
        <v>25</v>
      </c>
      <c r="H305" s="3" t="s">
        <v>35</v>
      </c>
      <c r="I305" s="6">
        <v>44593</v>
      </c>
      <c r="J305" s="4">
        <v>37986</v>
      </c>
      <c r="K305" s="4">
        <v>19186.316072040001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 t="s">
        <v>57</v>
      </c>
      <c r="R305" s="3">
        <v>0</v>
      </c>
      <c r="S305" s="3" t="s">
        <v>194</v>
      </c>
      <c r="U305" s="3">
        <v>12</v>
      </c>
      <c r="V305" s="3">
        <v>0</v>
      </c>
      <c r="W305" s="3">
        <v>0</v>
      </c>
    </row>
    <row r="306" spans="1:23" ht="11.25" customHeight="1" x14ac:dyDescent="0.25">
      <c r="A306" s="3" t="s">
        <v>56</v>
      </c>
      <c r="B306" s="3" t="s">
        <v>41</v>
      </c>
      <c r="C306" s="3" t="s">
        <v>40</v>
      </c>
      <c r="D306" s="3" t="s">
        <v>38</v>
      </c>
      <c r="E306" s="3" t="s">
        <v>25</v>
      </c>
      <c r="F306" s="3" t="s">
        <v>60</v>
      </c>
      <c r="G306" s="3" t="s">
        <v>25</v>
      </c>
      <c r="H306" s="3" t="s">
        <v>35</v>
      </c>
      <c r="I306" s="6">
        <v>44621</v>
      </c>
      <c r="J306" s="4">
        <v>37986</v>
      </c>
      <c r="K306" s="4">
        <v>19186.316072040001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3" t="s">
        <v>57</v>
      </c>
      <c r="R306" s="3">
        <v>0</v>
      </c>
      <c r="S306" s="3" t="s">
        <v>195</v>
      </c>
      <c r="U306" s="3">
        <v>12</v>
      </c>
      <c r="V306" s="3">
        <v>0</v>
      </c>
      <c r="W306" s="3">
        <v>0</v>
      </c>
    </row>
    <row r="307" spans="1:23" ht="11.25" customHeight="1" x14ac:dyDescent="0.25">
      <c r="A307" s="3" t="s">
        <v>21</v>
      </c>
      <c r="B307" s="3" t="s">
        <v>41</v>
      </c>
      <c r="C307" s="3" t="s">
        <v>40</v>
      </c>
      <c r="D307" s="3" t="s">
        <v>38</v>
      </c>
      <c r="E307" s="3" t="s">
        <v>25</v>
      </c>
      <c r="F307" s="3" t="s">
        <v>60</v>
      </c>
      <c r="G307" s="3" t="s">
        <v>25</v>
      </c>
      <c r="H307" s="3" t="s">
        <v>25</v>
      </c>
      <c r="I307" s="6">
        <v>44287</v>
      </c>
      <c r="J307" s="4">
        <v>0</v>
      </c>
      <c r="K307" s="4">
        <v>0</v>
      </c>
      <c r="L307" s="4">
        <v>12317.14</v>
      </c>
      <c r="M307" s="4">
        <v>12317.14</v>
      </c>
      <c r="N307" s="4">
        <v>0</v>
      </c>
      <c r="O307" s="4">
        <v>0</v>
      </c>
      <c r="P307" s="4">
        <v>49</v>
      </c>
      <c r="Q307" s="3" t="s">
        <v>57</v>
      </c>
      <c r="R307" s="3">
        <v>0</v>
      </c>
      <c r="S307" s="3" t="s">
        <v>208</v>
      </c>
      <c r="U307" s="3">
        <v>0</v>
      </c>
      <c r="V307" s="3">
        <v>110</v>
      </c>
      <c r="W307" s="3">
        <v>0</v>
      </c>
    </row>
    <row r="308" spans="1:23" ht="11.25" customHeight="1" x14ac:dyDescent="0.25">
      <c r="A308" s="3" t="s">
        <v>21</v>
      </c>
      <c r="B308" s="3" t="s">
        <v>41</v>
      </c>
      <c r="C308" s="3" t="s">
        <v>40</v>
      </c>
      <c r="D308" s="3" t="s">
        <v>38</v>
      </c>
      <c r="E308" s="3" t="s">
        <v>25</v>
      </c>
      <c r="F308" s="3" t="s">
        <v>60</v>
      </c>
      <c r="G308" s="3" t="s">
        <v>25</v>
      </c>
      <c r="H308" s="3" t="s">
        <v>25</v>
      </c>
      <c r="I308" s="6">
        <v>44317</v>
      </c>
      <c r="J308" s="4">
        <v>0</v>
      </c>
      <c r="K308" s="4">
        <v>0</v>
      </c>
      <c r="L308" s="4">
        <v>10867.904</v>
      </c>
      <c r="M308" s="4">
        <v>10867.904</v>
      </c>
      <c r="N308" s="4">
        <v>0</v>
      </c>
      <c r="O308" s="4">
        <v>0</v>
      </c>
      <c r="P308" s="4">
        <v>49</v>
      </c>
      <c r="Q308" s="3" t="s">
        <v>57</v>
      </c>
      <c r="R308" s="3">
        <v>0</v>
      </c>
      <c r="S308" s="3" t="s">
        <v>209</v>
      </c>
      <c r="U308" s="3">
        <v>0</v>
      </c>
      <c r="V308" s="3">
        <v>110</v>
      </c>
      <c r="W308" s="3">
        <v>0</v>
      </c>
    </row>
    <row r="309" spans="1:23" ht="11.25" customHeight="1" x14ac:dyDescent="0.25">
      <c r="A309" s="3" t="s">
        <v>21</v>
      </c>
      <c r="B309" s="3" t="s">
        <v>41</v>
      </c>
      <c r="C309" s="3" t="s">
        <v>40</v>
      </c>
      <c r="D309" s="3" t="s">
        <v>38</v>
      </c>
      <c r="E309" s="3" t="s">
        <v>25</v>
      </c>
      <c r="F309" s="3" t="s">
        <v>60</v>
      </c>
      <c r="G309" s="3" t="s">
        <v>25</v>
      </c>
      <c r="H309" s="3" t="s">
        <v>25</v>
      </c>
      <c r="I309" s="6">
        <v>44348</v>
      </c>
      <c r="J309" s="4">
        <v>0</v>
      </c>
      <c r="K309" s="4">
        <v>0</v>
      </c>
      <c r="L309" s="4">
        <v>12202.246999999999</v>
      </c>
      <c r="M309" s="4">
        <v>12202.246999999999</v>
      </c>
      <c r="N309" s="4">
        <v>0</v>
      </c>
      <c r="O309" s="4">
        <v>0</v>
      </c>
      <c r="P309" s="4">
        <v>50</v>
      </c>
      <c r="Q309" s="3" t="s">
        <v>57</v>
      </c>
      <c r="R309" s="3">
        <v>0</v>
      </c>
      <c r="S309" s="3" t="s">
        <v>210</v>
      </c>
      <c r="U309" s="3">
        <v>0</v>
      </c>
      <c r="V309" s="3">
        <v>110</v>
      </c>
      <c r="W309" s="3">
        <v>0</v>
      </c>
    </row>
    <row r="310" spans="1:23" ht="11.25" customHeight="1" x14ac:dyDescent="0.25">
      <c r="A310" s="3" t="s">
        <v>21</v>
      </c>
      <c r="B310" s="3" t="s">
        <v>41</v>
      </c>
      <c r="C310" s="3" t="s">
        <v>40</v>
      </c>
      <c r="D310" s="3" t="s">
        <v>38</v>
      </c>
      <c r="E310" s="3" t="s">
        <v>25</v>
      </c>
      <c r="F310" s="3" t="s">
        <v>60</v>
      </c>
      <c r="G310" s="3" t="s">
        <v>25</v>
      </c>
      <c r="H310" s="3" t="s">
        <v>25</v>
      </c>
      <c r="I310" s="6">
        <v>44378</v>
      </c>
      <c r="J310" s="4">
        <v>0</v>
      </c>
      <c r="K310" s="4">
        <v>0</v>
      </c>
      <c r="L310" s="4">
        <v>11663.785</v>
      </c>
      <c r="M310" s="4">
        <v>11663.785</v>
      </c>
      <c r="N310" s="4">
        <v>0</v>
      </c>
      <c r="O310" s="4">
        <v>0</v>
      </c>
      <c r="P310" s="4">
        <v>50</v>
      </c>
      <c r="Q310" s="3" t="s">
        <v>57</v>
      </c>
      <c r="R310" s="3">
        <v>0</v>
      </c>
      <c r="S310" s="3" t="s">
        <v>211</v>
      </c>
      <c r="U310" s="3">
        <v>0</v>
      </c>
      <c r="V310" s="3">
        <v>110</v>
      </c>
      <c r="W310" s="3">
        <v>0</v>
      </c>
    </row>
    <row r="311" spans="1:23" ht="11.25" customHeight="1" x14ac:dyDescent="0.25">
      <c r="A311" s="3" t="s">
        <v>21</v>
      </c>
      <c r="B311" s="3" t="s">
        <v>41</v>
      </c>
      <c r="C311" s="3" t="s">
        <v>40</v>
      </c>
      <c r="D311" s="3" t="s">
        <v>38</v>
      </c>
      <c r="E311" s="3" t="s">
        <v>25</v>
      </c>
      <c r="F311" s="3" t="s">
        <v>60</v>
      </c>
      <c r="G311" s="3" t="s">
        <v>25</v>
      </c>
      <c r="H311" s="3" t="s">
        <v>25</v>
      </c>
      <c r="I311" s="6">
        <v>44409</v>
      </c>
      <c r="J311" s="4">
        <v>0</v>
      </c>
      <c r="K311" s="4">
        <v>0</v>
      </c>
      <c r="L311" s="4">
        <v>11597.929</v>
      </c>
      <c r="M311" s="4">
        <v>11597.929</v>
      </c>
      <c r="N311" s="4">
        <v>0</v>
      </c>
      <c r="O311" s="4">
        <v>0</v>
      </c>
      <c r="P311" s="4">
        <v>50</v>
      </c>
      <c r="Q311" s="3" t="s">
        <v>57</v>
      </c>
      <c r="R311" s="3">
        <v>0</v>
      </c>
      <c r="S311" s="3" t="s">
        <v>212</v>
      </c>
      <c r="U311" s="3">
        <v>0</v>
      </c>
      <c r="V311" s="3">
        <v>110</v>
      </c>
      <c r="W311" s="3">
        <v>0</v>
      </c>
    </row>
    <row r="312" spans="1:23" ht="11.25" customHeight="1" x14ac:dyDescent="0.25">
      <c r="A312" s="3" t="s">
        <v>21</v>
      </c>
      <c r="B312" s="3" t="s">
        <v>41</v>
      </c>
      <c r="C312" s="3" t="s">
        <v>40</v>
      </c>
      <c r="D312" s="3" t="s">
        <v>38</v>
      </c>
      <c r="E312" s="3" t="s">
        <v>25</v>
      </c>
      <c r="F312" s="3" t="s">
        <v>60</v>
      </c>
      <c r="G312" s="3" t="s">
        <v>25</v>
      </c>
      <c r="H312" s="3" t="s">
        <v>25</v>
      </c>
      <c r="I312" s="6">
        <v>44440</v>
      </c>
      <c r="J312" s="4">
        <v>0</v>
      </c>
      <c r="K312" s="4">
        <v>0</v>
      </c>
      <c r="L312" s="4">
        <v>16524.562000000002</v>
      </c>
      <c r="M312" s="4">
        <v>16524.562000000002</v>
      </c>
      <c r="N312" s="4">
        <v>0</v>
      </c>
      <c r="O312" s="4">
        <v>0</v>
      </c>
      <c r="P312" s="4">
        <v>58</v>
      </c>
      <c r="Q312" s="3" t="s">
        <v>57</v>
      </c>
      <c r="R312" s="3">
        <v>0</v>
      </c>
      <c r="S312" s="3" t="s">
        <v>213</v>
      </c>
      <c r="U312" s="3">
        <v>0</v>
      </c>
      <c r="V312" s="3">
        <v>110</v>
      </c>
      <c r="W312" s="3">
        <v>0</v>
      </c>
    </row>
    <row r="313" spans="1:23" ht="11.25" customHeight="1" x14ac:dyDescent="0.25">
      <c r="A313" s="3" t="s">
        <v>21</v>
      </c>
      <c r="B313" s="3" t="s">
        <v>41</v>
      </c>
      <c r="C313" s="3" t="s">
        <v>40</v>
      </c>
      <c r="D313" s="3" t="s">
        <v>38</v>
      </c>
      <c r="E313" s="3" t="s">
        <v>25</v>
      </c>
      <c r="F313" s="3" t="s">
        <v>60</v>
      </c>
      <c r="G313" s="3" t="s">
        <v>25</v>
      </c>
      <c r="H313" s="3" t="s">
        <v>25</v>
      </c>
      <c r="I313" s="6">
        <v>44470</v>
      </c>
      <c r="J313" s="4">
        <v>0</v>
      </c>
      <c r="K313" s="4">
        <v>0</v>
      </c>
      <c r="L313" s="4">
        <v>16363.849</v>
      </c>
      <c r="M313" s="4">
        <v>16363.849</v>
      </c>
      <c r="N313" s="4">
        <v>0</v>
      </c>
      <c r="O313" s="4">
        <v>0</v>
      </c>
      <c r="P313" s="4">
        <v>60</v>
      </c>
      <c r="Q313" s="3" t="s">
        <v>57</v>
      </c>
      <c r="R313" s="3">
        <v>0</v>
      </c>
      <c r="S313" s="3" t="s">
        <v>214</v>
      </c>
      <c r="U313" s="3">
        <v>0</v>
      </c>
      <c r="V313" s="3">
        <v>110</v>
      </c>
      <c r="W313" s="3">
        <v>0</v>
      </c>
    </row>
    <row r="314" spans="1:23" ht="11.25" customHeight="1" x14ac:dyDescent="0.25">
      <c r="A314" s="3" t="s">
        <v>21</v>
      </c>
      <c r="B314" s="3" t="s">
        <v>41</v>
      </c>
      <c r="C314" s="3" t="s">
        <v>40</v>
      </c>
      <c r="D314" s="3" t="s">
        <v>38</v>
      </c>
      <c r="E314" s="3" t="s">
        <v>25</v>
      </c>
      <c r="F314" s="3" t="s">
        <v>60</v>
      </c>
      <c r="G314" s="3" t="s">
        <v>25</v>
      </c>
      <c r="H314" s="3" t="s">
        <v>25</v>
      </c>
      <c r="I314" s="6">
        <v>44501</v>
      </c>
      <c r="J314" s="4">
        <v>0</v>
      </c>
      <c r="K314" s="4">
        <v>0</v>
      </c>
      <c r="L314" s="4">
        <v>17576.155999999999</v>
      </c>
      <c r="M314" s="4">
        <v>17576.155999999999</v>
      </c>
      <c r="N314" s="4">
        <v>0</v>
      </c>
      <c r="O314" s="4">
        <v>0</v>
      </c>
      <c r="P314" s="4">
        <v>60</v>
      </c>
      <c r="Q314" s="3" t="s">
        <v>57</v>
      </c>
      <c r="R314" s="3">
        <v>0</v>
      </c>
      <c r="S314" s="3" t="s">
        <v>215</v>
      </c>
      <c r="U314" s="3">
        <v>0</v>
      </c>
      <c r="V314" s="3">
        <v>110</v>
      </c>
      <c r="W314" s="3">
        <v>0</v>
      </c>
    </row>
    <row r="315" spans="1:23" ht="11.25" customHeight="1" x14ac:dyDescent="0.25">
      <c r="A315" s="3" t="s">
        <v>21</v>
      </c>
      <c r="B315" s="3" t="s">
        <v>41</v>
      </c>
      <c r="C315" s="3" t="s">
        <v>40</v>
      </c>
      <c r="D315" s="3" t="s">
        <v>38</v>
      </c>
      <c r="E315" s="3" t="s">
        <v>25</v>
      </c>
      <c r="F315" s="3" t="s">
        <v>60</v>
      </c>
      <c r="G315" s="3" t="s">
        <v>25</v>
      </c>
      <c r="H315" s="3" t="s">
        <v>25</v>
      </c>
      <c r="I315" s="6">
        <v>44531</v>
      </c>
      <c r="J315" s="4">
        <v>0</v>
      </c>
      <c r="K315" s="4">
        <v>0</v>
      </c>
      <c r="L315" s="4">
        <v>17139.843000000001</v>
      </c>
      <c r="M315" s="4">
        <v>17139.843000000001</v>
      </c>
      <c r="N315" s="4">
        <v>0</v>
      </c>
      <c r="O315" s="4">
        <v>0</v>
      </c>
      <c r="P315" s="4">
        <v>60</v>
      </c>
      <c r="Q315" s="3" t="s">
        <v>57</v>
      </c>
      <c r="R315" s="3">
        <v>0</v>
      </c>
      <c r="S315" s="3" t="s">
        <v>216</v>
      </c>
      <c r="U315" s="3">
        <v>0</v>
      </c>
      <c r="V315" s="3">
        <v>110</v>
      </c>
      <c r="W315" s="3">
        <v>0</v>
      </c>
    </row>
    <row r="316" spans="1:23" ht="11.25" customHeight="1" x14ac:dyDescent="0.25">
      <c r="A316" s="3" t="s">
        <v>21</v>
      </c>
      <c r="B316" s="3" t="s">
        <v>41</v>
      </c>
      <c r="C316" s="3" t="s">
        <v>40</v>
      </c>
      <c r="D316" s="3" t="s">
        <v>38</v>
      </c>
      <c r="E316" s="3" t="s">
        <v>25</v>
      </c>
      <c r="F316" s="3" t="s">
        <v>60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17477.350999999999</v>
      </c>
      <c r="M316" s="4">
        <v>17477.350999999999</v>
      </c>
      <c r="N316" s="4">
        <v>0</v>
      </c>
      <c r="O316" s="4">
        <v>0</v>
      </c>
      <c r="P316" s="4">
        <v>62</v>
      </c>
      <c r="Q316" s="3" t="s">
        <v>57</v>
      </c>
      <c r="R316" s="3">
        <v>0</v>
      </c>
      <c r="S316" s="3" t="s">
        <v>217</v>
      </c>
      <c r="U316" s="3">
        <v>0</v>
      </c>
      <c r="V316" s="3">
        <v>110</v>
      </c>
      <c r="W316" s="3">
        <v>0</v>
      </c>
    </row>
    <row r="317" spans="1:23" ht="11.25" customHeight="1" x14ac:dyDescent="0.25">
      <c r="A317" s="3" t="s">
        <v>21</v>
      </c>
      <c r="B317" s="3" t="s">
        <v>41</v>
      </c>
      <c r="C317" s="3" t="s">
        <v>40</v>
      </c>
      <c r="D317" s="3" t="s">
        <v>38</v>
      </c>
      <c r="E317" s="3" t="s">
        <v>25</v>
      </c>
      <c r="F317" s="3" t="s">
        <v>60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17975.597000000002</v>
      </c>
      <c r="M317" s="4">
        <v>17975.597000000002</v>
      </c>
      <c r="N317" s="4">
        <v>0</v>
      </c>
      <c r="O317" s="4">
        <v>0</v>
      </c>
      <c r="P317" s="4">
        <v>63</v>
      </c>
      <c r="Q317" s="3" t="s">
        <v>57</v>
      </c>
      <c r="R317" s="3">
        <v>0</v>
      </c>
      <c r="S317" s="3" t="s">
        <v>218</v>
      </c>
      <c r="U317" s="3">
        <v>0</v>
      </c>
      <c r="V317" s="3">
        <v>110</v>
      </c>
      <c r="W317" s="3">
        <v>0</v>
      </c>
    </row>
    <row r="318" spans="1:23" ht="11.25" customHeight="1" x14ac:dyDescent="0.25">
      <c r="A318" s="3" t="s">
        <v>56</v>
      </c>
      <c r="B318" s="3" t="s">
        <v>41</v>
      </c>
      <c r="C318" s="3" t="s">
        <v>40</v>
      </c>
      <c r="D318" s="3" t="s">
        <v>38</v>
      </c>
      <c r="E318" s="3" t="s">
        <v>25</v>
      </c>
      <c r="F318" s="3" t="s">
        <v>60</v>
      </c>
      <c r="G318" s="3" t="s">
        <v>25</v>
      </c>
      <c r="H318" s="3" t="s">
        <v>25</v>
      </c>
      <c r="I318" s="6">
        <v>44621</v>
      </c>
      <c r="J318" s="4">
        <v>0</v>
      </c>
      <c r="K318" s="4">
        <v>0</v>
      </c>
      <c r="L318" s="4">
        <v>17975.597000000002</v>
      </c>
      <c r="M318" s="4">
        <v>17975.597000000002</v>
      </c>
      <c r="N318" s="4">
        <v>0</v>
      </c>
      <c r="O318" s="4">
        <v>0</v>
      </c>
      <c r="P318" s="4">
        <v>63</v>
      </c>
      <c r="Q318" s="3" t="s">
        <v>57</v>
      </c>
      <c r="R318" s="3">
        <v>0</v>
      </c>
      <c r="S318" s="3" t="s">
        <v>219</v>
      </c>
      <c r="U318" s="3">
        <v>0</v>
      </c>
      <c r="V318" s="3">
        <v>110</v>
      </c>
      <c r="W318" s="3">
        <v>0</v>
      </c>
    </row>
    <row r="319" spans="1:23" ht="11.25" customHeight="1" x14ac:dyDescent="0.25">
      <c r="A319" s="3" t="s">
        <v>21</v>
      </c>
      <c r="B319" s="3" t="s">
        <v>41</v>
      </c>
      <c r="C319" s="3" t="s">
        <v>40</v>
      </c>
      <c r="D319" s="3" t="s">
        <v>38</v>
      </c>
      <c r="E319" s="3" t="s">
        <v>25</v>
      </c>
      <c r="F319" s="3" t="s">
        <v>60</v>
      </c>
      <c r="G319" s="3" t="s">
        <v>25</v>
      </c>
      <c r="H319" s="3" t="s">
        <v>34</v>
      </c>
      <c r="I319" s="6">
        <v>44287</v>
      </c>
      <c r="J319" s="4">
        <v>22915</v>
      </c>
      <c r="K319" s="4">
        <v>11822.50913945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3" t="s">
        <v>57</v>
      </c>
      <c r="R319" s="3">
        <v>0</v>
      </c>
      <c r="S319" s="3" t="s">
        <v>196</v>
      </c>
      <c r="U319" s="3">
        <v>11</v>
      </c>
      <c r="V319" s="3">
        <v>0</v>
      </c>
      <c r="W319" s="3">
        <v>0</v>
      </c>
    </row>
    <row r="320" spans="1:23" ht="11.25" customHeight="1" x14ac:dyDescent="0.25">
      <c r="A320" s="3" t="s">
        <v>21</v>
      </c>
      <c r="B320" s="3" t="s">
        <v>41</v>
      </c>
      <c r="C320" s="3" t="s">
        <v>40</v>
      </c>
      <c r="D320" s="3" t="s">
        <v>38</v>
      </c>
      <c r="E320" s="3" t="s">
        <v>25</v>
      </c>
      <c r="F320" s="3" t="s">
        <v>60</v>
      </c>
      <c r="G320" s="3" t="s">
        <v>25</v>
      </c>
      <c r="H320" s="3" t="s">
        <v>34</v>
      </c>
      <c r="I320" s="6">
        <v>44317</v>
      </c>
      <c r="J320" s="4">
        <v>22822</v>
      </c>
      <c r="K320" s="4">
        <v>11905.543611200001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3" t="s">
        <v>57</v>
      </c>
      <c r="R320" s="3">
        <v>0</v>
      </c>
      <c r="S320" s="3" t="s">
        <v>197</v>
      </c>
      <c r="U320" s="3">
        <v>11</v>
      </c>
      <c r="V320" s="3">
        <v>0</v>
      </c>
      <c r="W320" s="3">
        <v>0</v>
      </c>
    </row>
    <row r="321" spans="1:23" ht="11.25" customHeight="1" x14ac:dyDescent="0.25">
      <c r="A321" s="3" t="s">
        <v>21</v>
      </c>
      <c r="B321" s="3" t="s">
        <v>41</v>
      </c>
      <c r="C321" s="3" t="s">
        <v>40</v>
      </c>
      <c r="D321" s="3" t="s">
        <v>38</v>
      </c>
      <c r="E321" s="3" t="s">
        <v>25</v>
      </c>
      <c r="F321" s="3" t="s">
        <v>60</v>
      </c>
      <c r="G321" s="3" t="s">
        <v>25</v>
      </c>
      <c r="H321" s="3" t="s">
        <v>34</v>
      </c>
      <c r="I321" s="6">
        <v>44348</v>
      </c>
      <c r="J321" s="4">
        <v>24187</v>
      </c>
      <c r="K321" s="4">
        <v>12578.29334385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3" t="s">
        <v>57</v>
      </c>
      <c r="R321" s="3">
        <v>0</v>
      </c>
      <c r="S321" s="3" t="s">
        <v>198</v>
      </c>
      <c r="U321" s="3">
        <v>11</v>
      </c>
      <c r="V321" s="3">
        <v>0</v>
      </c>
      <c r="W321" s="3">
        <v>0</v>
      </c>
    </row>
    <row r="322" spans="1:23" ht="11.25" customHeight="1" x14ac:dyDescent="0.25">
      <c r="A322" s="3" t="s">
        <v>21</v>
      </c>
      <c r="B322" s="3" t="s">
        <v>41</v>
      </c>
      <c r="C322" s="3" t="s">
        <v>40</v>
      </c>
      <c r="D322" s="3" t="s">
        <v>38</v>
      </c>
      <c r="E322" s="3" t="s">
        <v>25</v>
      </c>
      <c r="F322" s="3" t="s">
        <v>60</v>
      </c>
      <c r="G322" s="3" t="s">
        <v>25</v>
      </c>
      <c r="H322" s="3" t="s">
        <v>34</v>
      </c>
      <c r="I322" s="6">
        <v>44378</v>
      </c>
      <c r="J322" s="4">
        <v>24070</v>
      </c>
      <c r="K322" s="4">
        <v>11799.099558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3" t="s">
        <v>57</v>
      </c>
      <c r="R322" s="3">
        <v>0</v>
      </c>
      <c r="S322" s="3" t="s">
        <v>199</v>
      </c>
      <c r="U322" s="3">
        <v>11</v>
      </c>
      <c r="V322" s="3">
        <v>0</v>
      </c>
      <c r="W322" s="3">
        <v>0</v>
      </c>
    </row>
    <row r="323" spans="1:23" ht="11.25" customHeight="1" x14ac:dyDescent="0.25">
      <c r="A323" s="3" t="s">
        <v>21</v>
      </c>
      <c r="B323" s="3" t="s">
        <v>41</v>
      </c>
      <c r="C323" s="3" t="s">
        <v>40</v>
      </c>
      <c r="D323" s="3" t="s">
        <v>38</v>
      </c>
      <c r="E323" s="3" t="s">
        <v>25</v>
      </c>
      <c r="F323" s="3" t="s">
        <v>60</v>
      </c>
      <c r="G323" s="3" t="s">
        <v>25</v>
      </c>
      <c r="H323" s="3" t="s">
        <v>34</v>
      </c>
      <c r="I323" s="6">
        <v>44409</v>
      </c>
      <c r="J323" s="4">
        <v>23199</v>
      </c>
      <c r="K323" s="4">
        <v>11312.310067410001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3" t="s">
        <v>57</v>
      </c>
      <c r="R323" s="3">
        <v>0</v>
      </c>
      <c r="S323" s="3" t="s">
        <v>200</v>
      </c>
      <c r="U323" s="3">
        <v>11</v>
      </c>
      <c r="V323" s="3">
        <v>0</v>
      </c>
      <c r="W323" s="3">
        <v>0</v>
      </c>
    </row>
    <row r="324" spans="1:23" ht="11.25" customHeight="1" x14ac:dyDescent="0.25">
      <c r="A324" s="3" t="s">
        <v>21</v>
      </c>
      <c r="B324" s="3" t="s">
        <v>41</v>
      </c>
      <c r="C324" s="3" t="s">
        <v>40</v>
      </c>
      <c r="D324" s="3" t="s">
        <v>38</v>
      </c>
      <c r="E324" s="3" t="s">
        <v>25</v>
      </c>
      <c r="F324" s="3" t="s">
        <v>60</v>
      </c>
      <c r="G324" s="3" t="s">
        <v>25</v>
      </c>
      <c r="H324" s="3" t="s">
        <v>34</v>
      </c>
      <c r="I324" s="6">
        <v>44440</v>
      </c>
      <c r="J324" s="4">
        <v>30615</v>
      </c>
      <c r="K324" s="4">
        <v>14824.761455399999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3" t="s">
        <v>57</v>
      </c>
      <c r="R324" s="3">
        <v>0</v>
      </c>
      <c r="S324" s="3" t="s">
        <v>201</v>
      </c>
      <c r="U324" s="3">
        <v>11</v>
      </c>
      <c r="V324" s="3">
        <v>0</v>
      </c>
      <c r="W324" s="3">
        <v>0</v>
      </c>
    </row>
    <row r="325" spans="1:23" ht="11.25" customHeight="1" x14ac:dyDescent="0.25">
      <c r="A325" s="3" t="s">
        <v>21</v>
      </c>
      <c r="B325" s="3" t="s">
        <v>41</v>
      </c>
      <c r="C325" s="3" t="s">
        <v>40</v>
      </c>
      <c r="D325" s="3" t="s">
        <v>38</v>
      </c>
      <c r="E325" s="3" t="s">
        <v>25</v>
      </c>
      <c r="F325" s="3" t="s">
        <v>60</v>
      </c>
      <c r="G325" s="3" t="s">
        <v>25</v>
      </c>
      <c r="H325" s="3" t="s">
        <v>34</v>
      </c>
      <c r="I325" s="6">
        <v>44470</v>
      </c>
      <c r="J325" s="4">
        <v>31804</v>
      </c>
      <c r="K325" s="4">
        <v>15383.977402119999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3" t="s">
        <v>57</v>
      </c>
      <c r="R325" s="3">
        <v>0</v>
      </c>
      <c r="S325" s="3" t="s">
        <v>202</v>
      </c>
      <c r="U325" s="3">
        <v>11</v>
      </c>
      <c r="V325" s="3">
        <v>0</v>
      </c>
      <c r="W325" s="3">
        <v>0</v>
      </c>
    </row>
    <row r="326" spans="1:23" ht="11.25" customHeight="1" x14ac:dyDescent="0.25">
      <c r="A326" s="3" t="s">
        <v>21</v>
      </c>
      <c r="B326" s="3" t="s">
        <v>41</v>
      </c>
      <c r="C326" s="3" t="s">
        <v>40</v>
      </c>
      <c r="D326" s="3" t="s">
        <v>38</v>
      </c>
      <c r="E326" s="3" t="s">
        <v>25</v>
      </c>
      <c r="F326" s="3" t="s">
        <v>60</v>
      </c>
      <c r="G326" s="3" t="s">
        <v>25</v>
      </c>
      <c r="H326" s="3" t="s">
        <v>34</v>
      </c>
      <c r="I326" s="6">
        <v>44501</v>
      </c>
      <c r="J326" s="4">
        <v>32053</v>
      </c>
      <c r="K326" s="4">
        <v>16162.476518719999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3" t="s">
        <v>57</v>
      </c>
      <c r="R326" s="3">
        <v>0</v>
      </c>
      <c r="S326" s="3" t="s">
        <v>203</v>
      </c>
      <c r="U326" s="3">
        <v>11</v>
      </c>
      <c r="V326" s="3">
        <v>0</v>
      </c>
      <c r="W326" s="3">
        <v>0</v>
      </c>
    </row>
    <row r="327" spans="1:23" ht="11.25" customHeight="1" x14ac:dyDescent="0.25">
      <c r="A327" s="3" t="s">
        <v>27</v>
      </c>
      <c r="B327" s="3" t="s">
        <v>41</v>
      </c>
      <c r="C327" s="3" t="s">
        <v>40</v>
      </c>
      <c r="D327" s="3" t="s">
        <v>38</v>
      </c>
      <c r="E327" s="3" t="s">
        <v>25</v>
      </c>
      <c r="F327" s="3" t="s">
        <v>60</v>
      </c>
      <c r="G327" s="3" t="s">
        <v>25</v>
      </c>
      <c r="H327" s="3" t="s">
        <v>34</v>
      </c>
      <c r="I327" s="6">
        <v>44501</v>
      </c>
      <c r="J327" s="4">
        <v>-448</v>
      </c>
      <c r="K327" s="4">
        <v>-448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3" t="s">
        <v>57</v>
      </c>
      <c r="R327" s="3">
        <v>0</v>
      </c>
      <c r="S327" s="3" t="s">
        <v>203</v>
      </c>
      <c r="U327" s="3">
        <v>11</v>
      </c>
      <c r="V327" s="3">
        <v>0</v>
      </c>
      <c r="W327" s="3">
        <v>0</v>
      </c>
    </row>
    <row r="328" spans="1:23" ht="11.25" customHeight="1" x14ac:dyDescent="0.25">
      <c r="A328" s="3" t="s">
        <v>21</v>
      </c>
      <c r="B328" s="3" t="s">
        <v>41</v>
      </c>
      <c r="C328" s="3" t="s">
        <v>40</v>
      </c>
      <c r="D328" s="3" t="s">
        <v>38</v>
      </c>
      <c r="E328" s="3" t="s">
        <v>25</v>
      </c>
      <c r="F328" s="3" t="s">
        <v>60</v>
      </c>
      <c r="G328" s="3" t="s">
        <v>25</v>
      </c>
      <c r="H328" s="3" t="s">
        <v>34</v>
      </c>
      <c r="I328" s="6">
        <v>44531</v>
      </c>
      <c r="J328" s="4">
        <v>33112</v>
      </c>
      <c r="K328" s="4">
        <v>16982.84083184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3" t="s">
        <v>57</v>
      </c>
      <c r="R328" s="3">
        <v>0</v>
      </c>
      <c r="S328" s="3" t="s">
        <v>204</v>
      </c>
      <c r="U328" s="3">
        <v>11</v>
      </c>
      <c r="V328" s="3">
        <v>0</v>
      </c>
      <c r="W328" s="3">
        <v>0</v>
      </c>
    </row>
    <row r="329" spans="1:23" ht="11.25" customHeight="1" x14ac:dyDescent="0.25">
      <c r="A329" s="3" t="s">
        <v>21</v>
      </c>
      <c r="B329" s="3" t="s">
        <v>41</v>
      </c>
      <c r="C329" s="3" t="s">
        <v>40</v>
      </c>
      <c r="D329" s="3" t="s">
        <v>38</v>
      </c>
      <c r="E329" s="3" t="s">
        <v>25</v>
      </c>
      <c r="F329" s="3" t="s">
        <v>60</v>
      </c>
      <c r="G329" s="3" t="s">
        <v>25</v>
      </c>
      <c r="H329" s="3" t="s">
        <v>34</v>
      </c>
      <c r="I329" s="6">
        <v>44562</v>
      </c>
      <c r="J329" s="4">
        <v>35029</v>
      </c>
      <c r="K329" s="4">
        <v>17537.04571527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3" t="s">
        <v>57</v>
      </c>
      <c r="R329" s="3">
        <v>0</v>
      </c>
      <c r="S329" s="3" t="s">
        <v>205</v>
      </c>
      <c r="U329" s="3">
        <v>11</v>
      </c>
      <c r="V329" s="3">
        <v>0</v>
      </c>
      <c r="W329" s="3">
        <v>0</v>
      </c>
    </row>
    <row r="330" spans="1:23" ht="11.25" customHeight="1" x14ac:dyDescent="0.25">
      <c r="A330" s="3" t="s">
        <v>21</v>
      </c>
      <c r="B330" s="3" t="s">
        <v>41</v>
      </c>
      <c r="C330" s="3" t="s">
        <v>40</v>
      </c>
      <c r="D330" s="3" t="s">
        <v>38</v>
      </c>
      <c r="E330" s="3" t="s">
        <v>25</v>
      </c>
      <c r="F330" s="3" t="s">
        <v>60</v>
      </c>
      <c r="G330" s="3" t="s">
        <v>25</v>
      </c>
      <c r="H330" s="3" t="s">
        <v>34</v>
      </c>
      <c r="I330" s="6">
        <v>44593</v>
      </c>
      <c r="J330" s="4">
        <v>34681</v>
      </c>
      <c r="K330" s="4">
        <v>17472.87703019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3" t="s">
        <v>57</v>
      </c>
      <c r="R330" s="3">
        <v>0</v>
      </c>
      <c r="S330" s="3" t="s">
        <v>206</v>
      </c>
      <c r="U330" s="3">
        <v>11</v>
      </c>
      <c r="V330" s="3">
        <v>0</v>
      </c>
      <c r="W330" s="3">
        <v>0</v>
      </c>
    </row>
    <row r="331" spans="1:23" ht="11.25" customHeight="1" x14ac:dyDescent="0.25">
      <c r="A331" s="3" t="s">
        <v>56</v>
      </c>
      <c r="B331" s="3" t="s">
        <v>41</v>
      </c>
      <c r="C331" s="3" t="s">
        <v>40</v>
      </c>
      <c r="D331" s="3" t="s">
        <v>38</v>
      </c>
      <c r="E331" s="3" t="s">
        <v>25</v>
      </c>
      <c r="F331" s="3" t="s">
        <v>60</v>
      </c>
      <c r="G331" s="3" t="s">
        <v>25</v>
      </c>
      <c r="H331" s="3" t="s">
        <v>34</v>
      </c>
      <c r="I331" s="6">
        <v>44621</v>
      </c>
      <c r="J331" s="4">
        <v>34681</v>
      </c>
      <c r="K331" s="4">
        <v>17472.87703019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3" t="s">
        <v>57</v>
      </c>
      <c r="R331" s="3">
        <v>0</v>
      </c>
      <c r="S331" s="3" t="s">
        <v>207</v>
      </c>
      <c r="U331" s="3">
        <v>11</v>
      </c>
      <c r="V331" s="3">
        <v>0</v>
      </c>
      <c r="W331" s="3">
        <v>0</v>
      </c>
    </row>
    <row r="332" spans="1:23" ht="11.25" customHeight="1" x14ac:dyDescent="0.25">
      <c r="A332" s="3" t="s">
        <v>21</v>
      </c>
      <c r="B332" s="3" t="s">
        <v>41</v>
      </c>
      <c r="C332" s="3" t="s">
        <v>40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35</v>
      </c>
      <c r="I332" s="6">
        <v>44287</v>
      </c>
      <c r="J332" s="4">
        <v>6188</v>
      </c>
      <c r="K332" s="4">
        <v>6188</v>
      </c>
      <c r="L332" s="4">
        <v>1009.17</v>
      </c>
      <c r="M332" s="4">
        <v>1009.17</v>
      </c>
      <c r="N332" s="4">
        <v>1009.17</v>
      </c>
      <c r="O332" s="4">
        <v>1009.17</v>
      </c>
      <c r="P332" s="4">
        <v>0</v>
      </c>
      <c r="Q332" s="3" t="s">
        <v>26</v>
      </c>
      <c r="R332" s="3">
        <v>0</v>
      </c>
      <c r="S332" s="3" t="s">
        <v>184</v>
      </c>
      <c r="T332" s="3" t="s">
        <v>611</v>
      </c>
      <c r="U332" s="3">
        <v>12</v>
      </c>
      <c r="V332" s="3">
        <v>110</v>
      </c>
      <c r="W332" s="3">
        <v>89</v>
      </c>
    </row>
    <row r="333" spans="1:23" ht="11.25" customHeight="1" x14ac:dyDescent="0.25">
      <c r="A333" s="3" t="s">
        <v>28</v>
      </c>
      <c r="B333" s="3" t="s">
        <v>41</v>
      </c>
      <c r="C333" s="3" t="s">
        <v>40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35</v>
      </c>
      <c r="I333" s="6">
        <v>44287</v>
      </c>
      <c r="J333" s="4">
        <v>143</v>
      </c>
      <c r="K333" s="4">
        <v>143</v>
      </c>
      <c r="L333" s="4">
        <v>19.515999999999998</v>
      </c>
      <c r="M333" s="4">
        <v>19.515999999999998</v>
      </c>
      <c r="N333" s="4">
        <v>19.515999999999998</v>
      </c>
      <c r="O333" s="4">
        <v>19.515999999999998</v>
      </c>
      <c r="P333" s="4">
        <v>0</v>
      </c>
      <c r="Q333" s="3" t="s">
        <v>26</v>
      </c>
      <c r="R333" s="3">
        <v>0</v>
      </c>
      <c r="S333" s="3" t="s">
        <v>184</v>
      </c>
      <c r="T333" s="3" t="s">
        <v>611</v>
      </c>
      <c r="U333" s="3">
        <v>12</v>
      </c>
      <c r="V333" s="3">
        <v>110</v>
      </c>
      <c r="W333" s="3">
        <v>89</v>
      </c>
    </row>
    <row r="334" spans="1:23" ht="11.25" customHeight="1" x14ac:dyDescent="0.25">
      <c r="A334" s="3" t="s">
        <v>21</v>
      </c>
      <c r="B334" s="3" t="s">
        <v>41</v>
      </c>
      <c r="C334" s="3" t="s">
        <v>40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35</v>
      </c>
      <c r="I334" s="6">
        <v>44287</v>
      </c>
      <c r="J334" s="4">
        <v>30</v>
      </c>
      <c r="K334" s="4">
        <v>30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3" t="s">
        <v>57</v>
      </c>
      <c r="R334" s="3">
        <v>0</v>
      </c>
      <c r="S334" s="3" t="s">
        <v>184</v>
      </c>
      <c r="U334" s="3">
        <v>12</v>
      </c>
      <c r="V334" s="3">
        <v>0</v>
      </c>
      <c r="W334" s="3">
        <v>0</v>
      </c>
    </row>
    <row r="335" spans="1:23" ht="11.25" customHeight="1" x14ac:dyDescent="0.25">
      <c r="A335" s="3" t="s">
        <v>21</v>
      </c>
      <c r="B335" s="3" t="s">
        <v>41</v>
      </c>
      <c r="C335" s="3" t="s">
        <v>40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35</v>
      </c>
      <c r="I335" s="6">
        <v>44317</v>
      </c>
      <c r="J335" s="4">
        <v>6353</v>
      </c>
      <c r="K335" s="4">
        <v>6353</v>
      </c>
      <c r="L335" s="4">
        <v>1184.0029999999999</v>
      </c>
      <c r="M335" s="4">
        <v>1184.0029999999999</v>
      </c>
      <c r="N335" s="4">
        <v>1184.0029999999999</v>
      </c>
      <c r="O335" s="4">
        <v>1184.0029999999999</v>
      </c>
      <c r="P335" s="4">
        <v>0</v>
      </c>
      <c r="Q335" s="3" t="s">
        <v>26</v>
      </c>
      <c r="R335" s="3">
        <v>0</v>
      </c>
      <c r="S335" s="3" t="s">
        <v>185</v>
      </c>
      <c r="T335" s="3" t="s">
        <v>612</v>
      </c>
      <c r="U335" s="3">
        <v>12</v>
      </c>
      <c r="V335" s="3">
        <v>110</v>
      </c>
      <c r="W335" s="3">
        <v>89</v>
      </c>
    </row>
    <row r="336" spans="1:23" ht="11.25" customHeight="1" x14ac:dyDescent="0.25">
      <c r="A336" s="3" t="s">
        <v>28</v>
      </c>
      <c r="B336" s="3" t="s">
        <v>41</v>
      </c>
      <c r="C336" s="3" t="s">
        <v>40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35</v>
      </c>
      <c r="I336" s="6">
        <v>44317</v>
      </c>
      <c r="J336" s="4">
        <v>143</v>
      </c>
      <c r="K336" s="4">
        <v>143</v>
      </c>
      <c r="L336" s="4">
        <v>17.712</v>
      </c>
      <c r="M336" s="4">
        <v>17.712</v>
      </c>
      <c r="N336" s="4">
        <v>17.712</v>
      </c>
      <c r="O336" s="4">
        <v>17.712</v>
      </c>
      <c r="P336" s="4">
        <v>0</v>
      </c>
      <c r="Q336" s="3" t="s">
        <v>26</v>
      </c>
      <c r="R336" s="3">
        <v>0</v>
      </c>
      <c r="S336" s="3" t="s">
        <v>185</v>
      </c>
      <c r="T336" s="3" t="s">
        <v>612</v>
      </c>
      <c r="U336" s="3">
        <v>12</v>
      </c>
      <c r="V336" s="3">
        <v>110</v>
      </c>
      <c r="W336" s="3">
        <v>89</v>
      </c>
    </row>
    <row r="337" spans="1:23" ht="11.25" customHeight="1" x14ac:dyDescent="0.25">
      <c r="A337" s="3" t="s">
        <v>21</v>
      </c>
      <c r="B337" s="3" t="s">
        <v>41</v>
      </c>
      <c r="C337" s="3" t="s">
        <v>40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35</v>
      </c>
      <c r="I337" s="6">
        <v>44317</v>
      </c>
      <c r="J337" s="4">
        <v>30</v>
      </c>
      <c r="K337" s="4">
        <v>30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 t="s">
        <v>57</v>
      </c>
      <c r="R337" s="3">
        <v>0</v>
      </c>
      <c r="S337" s="3" t="s">
        <v>185</v>
      </c>
      <c r="U337" s="3">
        <v>12</v>
      </c>
      <c r="V337" s="3">
        <v>0</v>
      </c>
      <c r="W337" s="3">
        <v>0</v>
      </c>
    </row>
    <row r="338" spans="1:23" ht="11.25" customHeight="1" x14ac:dyDescent="0.25">
      <c r="A338" s="3" t="s">
        <v>21</v>
      </c>
      <c r="B338" s="3" t="s">
        <v>41</v>
      </c>
      <c r="C338" s="3" t="s">
        <v>40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35</v>
      </c>
      <c r="I338" s="6">
        <v>44348</v>
      </c>
      <c r="J338" s="4">
        <v>6347</v>
      </c>
      <c r="K338" s="4">
        <v>6347</v>
      </c>
      <c r="L338" s="4">
        <v>1017.986</v>
      </c>
      <c r="M338" s="4">
        <v>1017.986</v>
      </c>
      <c r="N338" s="4">
        <v>1017.986</v>
      </c>
      <c r="O338" s="4">
        <v>1017.986</v>
      </c>
      <c r="P338" s="4">
        <v>0</v>
      </c>
      <c r="Q338" s="3" t="s">
        <v>26</v>
      </c>
      <c r="R338" s="3">
        <v>0</v>
      </c>
      <c r="S338" s="3" t="s">
        <v>186</v>
      </c>
      <c r="T338" s="3" t="s">
        <v>613</v>
      </c>
      <c r="U338" s="3">
        <v>12</v>
      </c>
      <c r="V338" s="3">
        <v>110</v>
      </c>
      <c r="W338" s="3">
        <v>89</v>
      </c>
    </row>
    <row r="339" spans="1:23" ht="11.25" customHeight="1" x14ac:dyDescent="0.25">
      <c r="A339" s="3" t="s">
        <v>27</v>
      </c>
      <c r="B339" s="3" t="s">
        <v>41</v>
      </c>
      <c r="C339" s="3" t="s">
        <v>40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35</v>
      </c>
      <c r="I339" s="6">
        <v>44348</v>
      </c>
      <c r="J339" s="4">
        <v>-15</v>
      </c>
      <c r="K339" s="4">
        <v>-15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 t="s">
        <v>26</v>
      </c>
      <c r="R339" s="3">
        <v>0</v>
      </c>
      <c r="S339" s="3" t="s">
        <v>186</v>
      </c>
      <c r="T339" s="3" t="s">
        <v>613</v>
      </c>
      <c r="U339" s="3">
        <v>12</v>
      </c>
      <c r="V339" s="3">
        <v>0</v>
      </c>
      <c r="W339" s="3">
        <v>0</v>
      </c>
    </row>
    <row r="340" spans="1:23" ht="11.25" customHeight="1" x14ac:dyDescent="0.25">
      <c r="A340" s="3" t="s">
        <v>28</v>
      </c>
      <c r="B340" s="3" t="s">
        <v>41</v>
      </c>
      <c r="C340" s="3" t="s">
        <v>40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35</v>
      </c>
      <c r="I340" s="6">
        <v>44348</v>
      </c>
      <c r="J340" s="4">
        <v>143</v>
      </c>
      <c r="K340" s="4">
        <v>143</v>
      </c>
      <c r="L340" s="4">
        <v>18.777999999999999</v>
      </c>
      <c r="M340" s="4">
        <v>18.777999999999999</v>
      </c>
      <c r="N340" s="4">
        <v>18.777999999999999</v>
      </c>
      <c r="O340" s="4">
        <v>18.777999999999999</v>
      </c>
      <c r="P340" s="4">
        <v>0</v>
      </c>
      <c r="Q340" s="3" t="s">
        <v>26</v>
      </c>
      <c r="R340" s="3">
        <v>0</v>
      </c>
      <c r="S340" s="3" t="s">
        <v>186</v>
      </c>
      <c r="T340" s="3" t="s">
        <v>613</v>
      </c>
      <c r="U340" s="3">
        <v>12</v>
      </c>
      <c r="V340" s="3">
        <v>110</v>
      </c>
      <c r="W340" s="3">
        <v>89</v>
      </c>
    </row>
    <row r="341" spans="1:23" ht="11.25" customHeight="1" x14ac:dyDescent="0.25">
      <c r="A341" s="3" t="s">
        <v>21</v>
      </c>
      <c r="B341" s="3" t="s">
        <v>41</v>
      </c>
      <c r="C341" s="3" t="s">
        <v>40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35</v>
      </c>
      <c r="I341" s="6">
        <v>44348</v>
      </c>
      <c r="J341" s="4">
        <v>30</v>
      </c>
      <c r="K341" s="4">
        <v>30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 t="s">
        <v>57</v>
      </c>
      <c r="R341" s="3">
        <v>0</v>
      </c>
      <c r="S341" s="3" t="s">
        <v>186</v>
      </c>
      <c r="U341" s="3">
        <v>12</v>
      </c>
      <c r="V341" s="3">
        <v>0</v>
      </c>
      <c r="W341" s="3">
        <v>0</v>
      </c>
    </row>
    <row r="342" spans="1:23" ht="11.25" customHeight="1" x14ac:dyDescent="0.25">
      <c r="A342" s="3" t="s">
        <v>21</v>
      </c>
      <c r="B342" s="3" t="s">
        <v>41</v>
      </c>
      <c r="C342" s="3" t="s">
        <v>40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35</v>
      </c>
      <c r="I342" s="6">
        <v>44378</v>
      </c>
      <c r="J342" s="4">
        <v>6335</v>
      </c>
      <c r="K342" s="4">
        <v>6335</v>
      </c>
      <c r="L342" s="4">
        <v>925.72699999999998</v>
      </c>
      <c r="M342" s="4">
        <v>925.72699999999998</v>
      </c>
      <c r="N342" s="4">
        <v>925.72699999999998</v>
      </c>
      <c r="O342" s="4">
        <v>925.72699999999998</v>
      </c>
      <c r="P342" s="4">
        <v>0</v>
      </c>
      <c r="Q342" s="3" t="s">
        <v>26</v>
      </c>
      <c r="R342" s="3">
        <v>0</v>
      </c>
      <c r="S342" s="3" t="s">
        <v>187</v>
      </c>
      <c r="T342" s="3" t="s">
        <v>614</v>
      </c>
      <c r="U342" s="3">
        <v>12</v>
      </c>
      <c r="V342" s="3">
        <v>110</v>
      </c>
      <c r="W342" s="3">
        <v>89</v>
      </c>
    </row>
    <row r="343" spans="1:23" ht="11.25" customHeight="1" x14ac:dyDescent="0.25">
      <c r="A343" s="3" t="s">
        <v>28</v>
      </c>
      <c r="B343" s="3" t="s">
        <v>41</v>
      </c>
      <c r="C343" s="3" t="s">
        <v>40</v>
      </c>
      <c r="D343" s="3" t="s">
        <v>38</v>
      </c>
      <c r="E343" s="3" t="s">
        <v>25</v>
      </c>
      <c r="F343" s="3" t="s">
        <v>25</v>
      </c>
      <c r="G343" s="3" t="s">
        <v>25</v>
      </c>
      <c r="H343" s="3" t="s">
        <v>35</v>
      </c>
      <c r="I343" s="6">
        <v>44378</v>
      </c>
      <c r="J343" s="4">
        <v>143</v>
      </c>
      <c r="K343" s="4">
        <v>143</v>
      </c>
      <c r="L343" s="4">
        <v>10.199999999999999</v>
      </c>
      <c r="M343" s="4">
        <v>10.199999999999999</v>
      </c>
      <c r="N343" s="4">
        <v>10.199999999999999</v>
      </c>
      <c r="O343" s="4">
        <v>10.199999999999999</v>
      </c>
      <c r="P343" s="4">
        <v>0</v>
      </c>
      <c r="Q343" s="3" t="s">
        <v>26</v>
      </c>
      <c r="R343" s="3">
        <v>0</v>
      </c>
      <c r="S343" s="3" t="s">
        <v>187</v>
      </c>
      <c r="T343" s="3" t="s">
        <v>614</v>
      </c>
      <c r="U343" s="3">
        <v>12</v>
      </c>
      <c r="V343" s="3">
        <v>110</v>
      </c>
      <c r="W343" s="3">
        <v>89</v>
      </c>
    </row>
    <row r="344" spans="1:23" ht="11.25" customHeight="1" x14ac:dyDescent="0.25">
      <c r="A344" s="3" t="s">
        <v>21</v>
      </c>
      <c r="B344" s="3" t="s">
        <v>41</v>
      </c>
      <c r="C344" s="3" t="s">
        <v>40</v>
      </c>
      <c r="D344" s="3" t="s">
        <v>38</v>
      </c>
      <c r="E344" s="3" t="s">
        <v>25</v>
      </c>
      <c r="F344" s="3" t="s">
        <v>25</v>
      </c>
      <c r="G344" s="3" t="s">
        <v>25</v>
      </c>
      <c r="H344" s="3" t="s">
        <v>35</v>
      </c>
      <c r="I344" s="6">
        <v>44378</v>
      </c>
      <c r="J344" s="4">
        <v>30</v>
      </c>
      <c r="K344" s="4">
        <v>30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3" t="s">
        <v>57</v>
      </c>
      <c r="R344" s="3">
        <v>0</v>
      </c>
      <c r="S344" s="3" t="s">
        <v>187</v>
      </c>
      <c r="U344" s="3">
        <v>12</v>
      </c>
      <c r="V344" s="3">
        <v>0</v>
      </c>
      <c r="W344" s="3">
        <v>0</v>
      </c>
    </row>
    <row r="345" spans="1:23" ht="11.25" customHeight="1" x14ac:dyDescent="0.25">
      <c r="A345" s="3" t="s">
        <v>21</v>
      </c>
      <c r="B345" s="3" t="s">
        <v>41</v>
      </c>
      <c r="C345" s="3" t="s">
        <v>40</v>
      </c>
      <c r="D345" s="3" t="s">
        <v>38</v>
      </c>
      <c r="E345" s="3" t="s">
        <v>25</v>
      </c>
      <c r="F345" s="3" t="s">
        <v>25</v>
      </c>
      <c r="G345" s="3" t="s">
        <v>25</v>
      </c>
      <c r="H345" s="3" t="s">
        <v>35</v>
      </c>
      <c r="I345" s="6">
        <v>44409</v>
      </c>
      <c r="J345" s="4">
        <v>6334</v>
      </c>
      <c r="K345" s="4">
        <v>6334</v>
      </c>
      <c r="L345" s="4">
        <v>1116.7270000000001</v>
      </c>
      <c r="M345" s="4">
        <v>1116.7270000000001</v>
      </c>
      <c r="N345" s="4">
        <v>1116.7270000000001</v>
      </c>
      <c r="O345" s="4">
        <v>1116.7270000000001</v>
      </c>
      <c r="P345" s="4">
        <v>0</v>
      </c>
      <c r="Q345" s="3" t="s">
        <v>26</v>
      </c>
      <c r="R345" s="3">
        <v>0</v>
      </c>
      <c r="S345" s="3" t="s">
        <v>188</v>
      </c>
      <c r="T345" s="3" t="s">
        <v>615</v>
      </c>
      <c r="U345" s="3">
        <v>12</v>
      </c>
      <c r="V345" s="3">
        <v>110</v>
      </c>
      <c r="W345" s="3">
        <v>89</v>
      </c>
    </row>
    <row r="346" spans="1:23" ht="11.25" customHeight="1" x14ac:dyDescent="0.25">
      <c r="A346" s="3" t="s">
        <v>28</v>
      </c>
      <c r="B346" s="3" t="s">
        <v>41</v>
      </c>
      <c r="C346" s="3" t="s">
        <v>40</v>
      </c>
      <c r="D346" s="3" t="s">
        <v>38</v>
      </c>
      <c r="E346" s="3" t="s">
        <v>25</v>
      </c>
      <c r="F346" s="3" t="s">
        <v>25</v>
      </c>
      <c r="G346" s="3" t="s">
        <v>25</v>
      </c>
      <c r="H346" s="3" t="s">
        <v>35</v>
      </c>
      <c r="I346" s="6">
        <v>44409</v>
      </c>
      <c r="J346" s="4">
        <v>143</v>
      </c>
      <c r="K346" s="4">
        <v>143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3" t="s">
        <v>26</v>
      </c>
      <c r="R346" s="3">
        <v>0</v>
      </c>
      <c r="S346" s="3" t="s">
        <v>188</v>
      </c>
      <c r="T346" s="3" t="s">
        <v>615</v>
      </c>
      <c r="U346" s="3">
        <v>12</v>
      </c>
      <c r="V346" s="3">
        <v>0</v>
      </c>
      <c r="W346" s="3">
        <v>0</v>
      </c>
    </row>
    <row r="347" spans="1:23" ht="11.25" customHeight="1" x14ac:dyDescent="0.25">
      <c r="A347" s="3" t="s">
        <v>21</v>
      </c>
      <c r="B347" s="3" t="s">
        <v>41</v>
      </c>
      <c r="C347" s="3" t="s">
        <v>40</v>
      </c>
      <c r="D347" s="3" t="s">
        <v>38</v>
      </c>
      <c r="E347" s="3" t="s">
        <v>25</v>
      </c>
      <c r="F347" s="3" t="s">
        <v>25</v>
      </c>
      <c r="G347" s="3" t="s">
        <v>25</v>
      </c>
      <c r="H347" s="3" t="s">
        <v>35</v>
      </c>
      <c r="I347" s="6">
        <v>44409</v>
      </c>
      <c r="J347" s="4">
        <v>1548</v>
      </c>
      <c r="K347" s="4">
        <v>1548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3" t="s">
        <v>57</v>
      </c>
      <c r="R347" s="3">
        <v>0</v>
      </c>
      <c r="S347" s="3" t="s">
        <v>188</v>
      </c>
      <c r="U347" s="3">
        <v>12</v>
      </c>
      <c r="V347" s="3">
        <v>0</v>
      </c>
      <c r="W347" s="3">
        <v>0</v>
      </c>
    </row>
    <row r="348" spans="1:23" ht="11.25" customHeight="1" x14ac:dyDescent="0.25">
      <c r="A348" s="3" t="s">
        <v>21</v>
      </c>
      <c r="B348" s="3" t="s">
        <v>41</v>
      </c>
      <c r="C348" s="3" t="s">
        <v>40</v>
      </c>
      <c r="D348" s="3" t="s">
        <v>38</v>
      </c>
      <c r="E348" s="3" t="s">
        <v>25</v>
      </c>
      <c r="F348" s="3" t="s">
        <v>25</v>
      </c>
      <c r="G348" s="3" t="s">
        <v>25</v>
      </c>
      <c r="H348" s="3" t="s">
        <v>35</v>
      </c>
      <c r="I348" s="6">
        <v>44440</v>
      </c>
      <c r="J348" s="4">
        <v>6336</v>
      </c>
      <c r="K348" s="4">
        <v>6336</v>
      </c>
      <c r="L348" s="4">
        <v>1113.941</v>
      </c>
      <c r="M348" s="4">
        <v>1113.941</v>
      </c>
      <c r="N348" s="4">
        <v>1113.941</v>
      </c>
      <c r="O348" s="4">
        <v>1113.941</v>
      </c>
      <c r="P348" s="4">
        <v>0</v>
      </c>
      <c r="Q348" s="3" t="s">
        <v>26</v>
      </c>
      <c r="R348" s="3">
        <v>0</v>
      </c>
      <c r="S348" s="3" t="s">
        <v>189</v>
      </c>
      <c r="T348" s="3" t="s">
        <v>616</v>
      </c>
      <c r="U348" s="3">
        <v>12</v>
      </c>
      <c r="V348" s="3">
        <v>110</v>
      </c>
      <c r="W348" s="3">
        <v>89</v>
      </c>
    </row>
    <row r="349" spans="1:23" ht="11.25" customHeight="1" x14ac:dyDescent="0.25">
      <c r="A349" s="3" t="s">
        <v>28</v>
      </c>
      <c r="B349" s="3" t="s">
        <v>41</v>
      </c>
      <c r="C349" s="3" t="s">
        <v>40</v>
      </c>
      <c r="D349" s="3" t="s">
        <v>38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44440</v>
      </c>
      <c r="J349" s="4">
        <v>143</v>
      </c>
      <c r="K349" s="4">
        <v>143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 t="s">
        <v>26</v>
      </c>
      <c r="R349" s="3">
        <v>0</v>
      </c>
      <c r="S349" s="3" t="s">
        <v>189</v>
      </c>
      <c r="T349" s="3" t="s">
        <v>616</v>
      </c>
      <c r="U349" s="3">
        <v>12</v>
      </c>
      <c r="V349" s="3">
        <v>0</v>
      </c>
      <c r="W349" s="3">
        <v>0</v>
      </c>
    </row>
    <row r="350" spans="1:23" ht="11.25" customHeight="1" x14ac:dyDescent="0.25">
      <c r="A350" s="3" t="s">
        <v>21</v>
      </c>
      <c r="B350" s="3" t="s">
        <v>41</v>
      </c>
      <c r="C350" s="3" t="s">
        <v>40</v>
      </c>
      <c r="D350" s="3" t="s">
        <v>38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44440</v>
      </c>
      <c r="J350" s="4">
        <v>88</v>
      </c>
      <c r="K350" s="4">
        <v>88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3" t="s">
        <v>57</v>
      </c>
      <c r="R350" s="3">
        <v>0</v>
      </c>
      <c r="S350" s="3" t="s">
        <v>189</v>
      </c>
      <c r="U350" s="3">
        <v>12</v>
      </c>
      <c r="V350" s="3">
        <v>0</v>
      </c>
      <c r="W350" s="3">
        <v>0</v>
      </c>
    </row>
    <row r="351" spans="1:23" ht="11.25" customHeight="1" x14ac:dyDescent="0.25">
      <c r="A351" s="3" t="s">
        <v>21</v>
      </c>
      <c r="B351" s="3" t="s">
        <v>41</v>
      </c>
      <c r="C351" s="3" t="s">
        <v>40</v>
      </c>
      <c r="D351" s="3" t="s">
        <v>38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44470</v>
      </c>
      <c r="J351" s="4">
        <v>6439</v>
      </c>
      <c r="K351" s="4">
        <v>6439</v>
      </c>
      <c r="L351" s="4">
        <v>1224.2190000000001</v>
      </c>
      <c r="M351" s="4">
        <v>1224.2190000000001</v>
      </c>
      <c r="N351" s="4">
        <v>1224.2190000000001</v>
      </c>
      <c r="O351" s="4">
        <v>1224.2190000000001</v>
      </c>
      <c r="P351" s="4">
        <v>0</v>
      </c>
      <c r="Q351" s="3" t="s">
        <v>26</v>
      </c>
      <c r="R351" s="3">
        <v>0</v>
      </c>
      <c r="S351" s="3" t="s">
        <v>190</v>
      </c>
      <c r="T351" s="3" t="s">
        <v>617</v>
      </c>
      <c r="U351" s="3">
        <v>12</v>
      </c>
      <c r="V351" s="3">
        <v>110</v>
      </c>
      <c r="W351" s="3">
        <v>89</v>
      </c>
    </row>
    <row r="352" spans="1:23" ht="11.25" customHeight="1" x14ac:dyDescent="0.25">
      <c r="A352" s="3" t="s">
        <v>28</v>
      </c>
      <c r="B352" s="3" t="s">
        <v>41</v>
      </c>
      <c r="C352" s="3" t="s">
        <v>40</v>
      </c>
      <c r="D352" s="3" t="s">
        <v>38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44470</v>
      </c>
      <c r="J352" s="4">
        <v>143</v>
      </c>
      <c r="K352" s="4">
        <v>143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3" t="s">
        <v>26</v>
      </c>
      <c r="R352" s="3">
        <v>0</v>
      </c>
      <c r="S352" s="3" t="s">
        <v>190</v>
      </c>
      <c r="T352" s="3" t="s">
        <v>617</v>
      </c>
      <c r="U352" s="3">
        <v>12</v>
      </c>
      <c r="V352" s="3">
        <v>0</v>
      </c>
      <c r="W352" s="3">
        <v>0</v>
      </c>
    </row>
    <row r="353" spans="1:23" ht="11.25" customHeight="1" x14ac:dyDescent="0.25">
      <c r="A353" s="3" t="s">
        <v>21</v>
      </c>
      <c r="B353" s="3" t="s">
        <v>41</v>
      </c>
      <c r="C353" s="3" t="s">
        <v>40</v>
      </c>
      <c r="D353" s="3" t="s">
        <v>38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44501</v>
      </c>
      <c r="J353" s="4">
        <v>6381</v>
      </c>
      <c r="K353" s="4">
        <v>6381</v>
      </c>
      <c r="L353" s="4">
        <v>1155.873</v>
      </c>
      <c r="M353" s="4">
        <v>1155.873</v>
      </c>
      <c r="N353" s="4">
        <v>1155.873</v>
      </c>
      <c r="O353" s="4">
        <v>1155.873</v>
      </c>
      <c r="P353" s="4">
        <v>0</v>
      </c>
      <c r="Q353" s="3" t="s">
        <v>26</v>
      </c>
      <c r="R353" s="3">
        <v>0</v>
      </c>
      <c r="S353" s="3" t="s">
        <v>191</v>
      </c>
      <c r="T353" s="3" t="s">
        <v>618</v>
      </c>
      <c r="U353" s="3">
        <v>12</v>
      </c>
      <c r="V353" s="3">
        <v>110</v>
      </c>
      <c r="W353" s="3">
        <v>89</v>
      </c>
    </row>
    <row r="354" spans="1:23" ht="11.25" customHeight="1" x14ac:dyDescent="0.25">
      <c r="A354" s="3" t="s">
        <v>28</v>
      </c>
      <c r="B354" s="3" t="s">
        <v>41</v>
      </c>
      <c r="C354" s="3" t="s">
        <v>40</v>
      </c>
      <c r="D354" s="3" t="s">
        <v>38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44501</v>
      </c>
      <c r="J354" s="4">
        <v>358</v>
      </c>
      <c r="K354" s="4">
        <v>358</v>
      </c>
      <c r="L354" s="4">
        <v>10.785</v>
      </c>
      <c r="M354" s="4">
        <v>10.785</v>
      </c>
      <c r="N354" s="4">
        <v>10.785</v>
      </c>
      <c r="O354" s="4">
        <v>10.785</v>
      </c>
      <c r="P354" s="4">
        <v>0</v>
      </c>
      <c r="Q354" s="3" t="s">
        <v>26</v>
      </c>
      <c r="R354" s="3">
        <v>0</v>
      </c>
      <c r="S354" s="3" t="s">
        <v>191</v>
      </c>
      <c r="T354" s="3" t="s">
        <v>618</v>
      </c>
      <c r="U354" s="3">
        <v>12</v>
      </c>
      <c r="V354" s="3">
        <v>110</v>
      </c>
      <c r="W354" s="3">
        <v>89</v>
      </c>
    </row>
    <row r="355" spans="1:23" ht="11.25" customHeight="1" x14ac:dyDescent="0.25">
      <c r="A355" s="3" t="s">
        <v>21</v>
      </c>
      <c r="B355" s="3" t="s">
        <v>41</v>
      </c>
      <c r="C355" s="3" t="s">
        <v>40</v>
      </c>
      <c r="D355" s="3" t="s">
        <v>38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44531</v>
      </c>
      <c r="J355" s="4">
        <v>5594</v>
      </c>
      <c r="K355" s="4">
        <v>5594</v>
      </c>
      <c r="L355" s="4">
        <v>1162.1420000000001</v>
      </c>
      <c r="M355" s="4">
        <v>1162.1420000000001</v>
      </c>
      <c r="N355" s="4">
        <v>1162.1420000000001</v>
      </c>
      <c r="O355" s="4">
        <v>1162.1420000000001</v>
      </c>
      <c r="P355" s="4">
        <v>0</v>
      </c>
      <c r="Q355" s="3" t="s">
        <v>26</v>
      </c>
      <c r="R355" s="3">
        <v>0</v>
      </c>
      <c r="S355" s="3" t="s">
        <v>192</v>
      </c>
      <c r="T355" s="3" t="s">
        <v>619</v>
      </c>
      <c r="U355" s="3">
        <v>12</v>
      </c>
      <c r="V355" s="3">
        <v>110</v>
      </c>
      <c r="W355" s="3">
        <v>89</v>
      </c>
    </row>
    <row r="356" spans="1:23" ht="11.25" customHeight="1" x14ac:dyDescent="0.25">
      <c r="A356" s="3" t="s">
        <v>28</v>
      </c>
      <c r="B356" s="3" t="s">
        <v>41</v>
      </c>
      <c r="C356" s="3" t="s">
        <v>40</v>
      </c>
      <c r="D356" s="3" t="s">
        <v>38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44531</v>
      </c>
      <c r="J356" s="4">
        <v>358</v>
      </c>
      <c r="K356" s="4">
        <v>358</v>
      </c>
      <c r="L356" s="4">
        <v>23.751000000000001</v>
      </c>
      <c r="M356" s="4">
        <v>23.751000000000001</v>
      </c>
      <c r="N356" s="4">
        <v>23.751000000000001</v>
      </c>
      <c r="O356" s="4">
        <v>23.751000000000001</v>
      </c>
      <c r="P356" s="4">
        <v>0</v>
      </c>
      <c r="Q356" s="3" t="s">
        <v>26</v>
      </c>
      <c r="R356" s="3">
        <v>0</v>
      </c>
      <c r="S356" s="3" t="s">
        <v>192</v>
      </c>
      <c r="T356" s="3" t="s">
        <v>619</v>
      </c>
      <c r="U356" s="3">
        <v>12</v>
      </c>
      <c r="V356" s="3">
        <v>110</v>
      </c>
      <c r="W356" s="3">
        <v>89</v>
      </c>
    </row>
    <row r="357" spans="1:23" ht="11.25" customHeight="1" x14ac:dyDescent="0.25">
      <c r="A357" s="3" t="s">
        <v>21</v>
      </c>
      <c r="B357" s="3" t="s">
        <v>41</v>
      </c>
      <c r="C357" s="3" t="s">
        <v>40</v>
      </c>
      <c r="D357" s="3" t="s">
        <v>38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44562</v>
      </c>
      <c r="J357" s="4">
        <v>5578</v>
      </c>
      <c r="K357" s="4">
        <v>5578</v>
      </c>
      <c r="L357" s="4">
        <v>1070.269</v>
      </c>
      <c r="M357" s="4">
        <v>1070.269</v>
      </c>
      <c r="N357" s="4">
        <v>1070.269</v>
      </c>
      <c r="O357" s="4">
        <v>1070.269</v>
      </c>
      <c r="P357" s="4">
        <v>0</v>
      </c>
      <c r="Q357" s="3" t="s">
        <v>26</v>
      </c>
      <c r="R357" s="3">
        <v>0</v>
      </c>
      <c r="S357" s="3" t="s">
        <v>193</v>
      </c>
      <c r="T357" s="3" t="s">
        <v>620</v>
      </c>
      <c r="U357" s="3">
        <v>12</v>
      </c>
      <c r="V357" s="3">
        <v>110</v>
      </c>
      <c r="W357" s="3">
        <v>89</v>
      </c>
    </row>
    <row r="358" spans="1:23" ht="11.25" customHeight="1" x14ac:dyDescent="0.25">
      <c r="A358" s="3" t="s">
        <v>28</v>
      </c>
      <c r="B358" s="3" t="s">
        <v>41</v>
      </c>
      <c r="C358" s="3" t="s">
        <v>40</v>
      </c>
      <c r="D358" s="3" t="s">
        <v>38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44562</v>
      </c>
      <c r="J358" s="4">
        <v>358</v>
      </c>
      <c r="K358" s="4">
        <v>358</v>
      </c>
      <c r="L358" s="4">
        <v>26.701000000000001</v>
      </c>
      <c r="M358" s="4">
        <v>26.701000000000001</v>
      </c>
      <c r="N358" s="4">
        <v>26.701000000000001</v>
      </c>
      <c r="O358" s="4">
        <v>26.701000000000001</v>
      </c>
      <c r="P358" s="4">
        <v>0</v>
      </c>
      <c r="Q358" s="3" t="s">
        <v>26</v>
      </c>
      <c r="R358" s="3">
        <v>0</v>
      </c>
      <c r="S358" s="3" t="s">
        <v>193</v>
      </c>
      <c r="T358" s="3" t="s">
        <v>620</v>
      </c>
      <c r="U358" s="3">
        <v>12</v>
      </c>
      <c r="V358" s="3">
        <v>110</v>
      </c>
      <c r="W358" s="3">
        <v>89</v>
      </c>
    </row>
    <row r="359" spans="1:23" ht="11.25" customHeight="1" x14ac:dyDescent="0.25">
      <c r="A359" s="3" t="s">
        <v>21</v>
      </c>
      <c r="B359" s="3" t="s">
        <v>41</v>
      </c>
      <c r="C359" s="3" t="s">
        <v>40</v>
      </c>
      <c r="D359" s="3" t="s">
        <v>38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44593</v>
      </c>
      <c r="J359" s="4">
        <v>5757</v>
      </c>
      <c r="K359" s="4">
        <v>5757</v>
      </c>
      <c r="L359" s="4">
        <v>1124.3330000000001</v>
      </c>
      <c r="M359" s="4">
        <v>1124.3330000000001</v>
      </c>
      <c r="N359" s="4">
        <v>1124.3330000000001</v>
      </c>
      <c r="O359" s="4">
        <v>1124.3330000000001</v>
      </c>
      <c r="P359" s="4">
        <v>0</v>
      </c>
      <c r="Q359" s="3" t="s">
        <v>26</v>
      </c>
      <c r="R359" s="3">
        <v>0</v>
      </c>
      <c r="S359" s="3" t="s">
        <v>194</v>
      </c>
      <c r="T359" s="3" t="s">
        <v>621</v>
      </c>
      <c r="U359" s="3">
        <v>12</v>
      </c>
      <c r="V359" s="3">
        <v>110</v>
      </c>
      <c r="W359" s="3">
        <v>89</v>
      </c>
    </row>
    <row r="360" spans="1:23" ht="11.25" customHeight="1" x14ac:dyDescent="0.25">
      <c r="A360" s="3" t="s">
        <v>28</v>
      </c>
      <c r="B360" s="3" t="s">
        <v>41</v>
      </c>
      <c r="C360" s="3" t="s">
        <v>40</v>
      </c>
      <c r="D360" s="3" t="s">
        <v>38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44593</v>
      </c>
      <c r="J360" s="4">
        <v>358</v>
      </c>
      <c r="K360" s="4">
        <v>358</v>
      </c>
      <c r="L360" s="4">
        <v>21.856000000000002</v>
      </c>
      <c r="M360" s="4">
        <v>21.856000000000002</v>
      </c>
      <c r="N360" s="4">
        <v>21.856000000000002</v>
      </c>
      <c r="O360" s="4">
        <v>21.856000000000002</v>
      </c>
      <c r="P360" s="4">
        <v>0</v>
      </c>
      <c r="Q360" s="3" t="s">
        <v>26</v>
      </c>
      <c r="R360" s="3">
        <v>0</v>
      </c>
      <c r="S360" s="3" t="s">
        <v>194</v>
      </c>
      <c r="T360" s="3" t="s">
        <v>621</v>
      </c>
      <c r="U360" s="3">
        <v>12</v>
      </c>
      <c r="V360" s="3">
        <v>110</v>
      </c>
      <c r="W360" s="3">
        <v>89</v>
      </c>
    </row>
    <row r="361" spans="1:23" ht="11.25" customHeight="1" x14ac:dyDescent="0.25">
      <c r="A361" s="3" t="s">
        <v>56</v>
      </c>
      <c r="B361" s="3" t="s">
        <v>41</v>
      </c>
      <c r="C361" s="3" t="s">
        <v>40</v>
      </c>
      <c r="D361" s="3" t="s">
        <v>38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44621</v>
      </c>
      <c r="J361" s="4">
        <v>5757</v>
      </c>
      <c r="K361" s="4">
        <v>5757</v>
      </c>
      <c r="L361" s="4">
        <v>1124.3330000000001</v>
      </c>
      <c r="M361" s="4">
        <v>1124.3330000000001</v>
      </c>
      <c r="N361" s="4">
        <v>1124.3330000000001</v>
      </c>
      <c r="O361" s="4">
        <v>1124.3330000000001</v>
      </c>
      <c r="P361" s="4">
        <v>0</v>
      </c>
      <c r="Q361" s="3" t="s">
        <v>26</v>
      </c>
      <c r="R361" s="3">
        <v>0</v>
      </c>
      <c r="S361" s="3" t="s">
        <v>195</v>
      </c>
      <c r="T361" s="3" t="s">
        <v>622</v>
      </c>
      <c r="U361" s="3">
        <v>12</v>
      </c>
      <c r="V361" s="3">
        <v>110</v>
      </c>
      <c r="W361" s="3">
        <v>89</v>
      </c>
    </row>
    <row r="362" spans="1:23" ht="11.25" customHeight="1" x14ac:dyDescent="0.25">
      <c r="A362" s="3" t="s">
        <v>56</v>
      </c>
      <c r="B362" s="3" t="s">
        <v>41</v>
      </c>
      <c r="C362" s="3" t="s">
        <v>40</v>
      </c>
      <c r="D362" s="3" t="s">
        <v>38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44621</v>
      </c>
      <c r="J362" s="4">
        <v>358</v>
      </c>
      <c r="K362" s="4">
        <v>358</v>
      </c>
      <c r="L362" s="4">
        <v>21.856000000000002</v>
      </c>
      <c r="M362" s="4">
        <v>21.856000000000002</v>
      </c>
      <c r="N362" s="4">
        <v>21.856000000000002</v>
      </c>
      <c r="O362" s="4">
        <v>21.856000000000002</v>
      </c>
      <c r="P362" s="4">
        <v>0</v>
      </c>
      <c r="Q362" s="3" t="s">
        <v>26</v>
      </c>
      <c r="R362" s="3">
        <v>0</v>
      </c>
      <c r="S362" s="3" t="s">
        <v>195</v>
      </c>
      <c r="T362" s="3" t="s">
        <v>622</v>
      </c>
      <c r="U362" s="3">
        <v>12</v>
      </c>
      <c r="V362" s="3">
        <v>110</v>
      </c>
      <c r="W362" s="3">
        <v>89</v>
      </c>
    </row>
    <row r="363" spans="1:23" ht="11.25" customHeight="1" x14ac:dyDescent="0.25">
      <c r="A363" s="3" t="s">
        <v>21</v>
      </c>
      <c r="B363" s="3" t="s">
        <v>41</v>
      </c>
      <c r="C363" s="3" t="s">
        <v>40</v>
      </c>
      <c r="D363" s="3" t="s">
        <v>38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44287</v>
      </c>
      <c r="J363" s="4">
        <v>0</v>
      </c>
      <c r="K363" s="4">
        <v>0</v>
      </c>
      <c r="L363" s="4">
        <v>8.8379999999999992</v>
      </c>
      <c r="M363" s="4">
        <v>8.8379999999999992</v>
      </c>
      <c r="N363" s="4">
        <v>0</v>
      </c>
      <c r="O363" s="4">
        <v>0</v>
      </c>
      <c r="P363" s="4">
        <v>1</v>
      </c>
      <c r="Q363" s="3" t="s">
        <v>57</v>
      </c>
      <c r="R363" s="3">
        <v>0</v>
      </c>
      <c r="S363" s="3" t="s">
        <v>208</v>
      </c>
      <c r="U363" s="3">
        <v>0</v>
      </c>
      <c r="V363" s="3">
        <v>110</v>
      </c>
      <c r="W363" s="3">
        <v>0</v>
      </c>
    </row>
    <row r="364" spans="1:23" ht="11.25" customHeight="1" x14ac:dyDescent="0.25">
      <c r="A364" s="3" t="s">
        <v>21</v>
      </c>
      <c r="B364" s="3" t="s">
        <v>41</v>
      </c>
      <c r="C364" s="3" t="s">
        <v>40</v>
      </c>
      <c r="D364" s="3" t="s">
        <v>38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44317</v>
      </c>
      <c r="J364" s="4">
        <v>0</v>
      </c>
      <c r="K364" s="4">
        <v>0</v>
      </c>
      <c r="L364" s="4">
        <v>8.4990000000000006</v>
      </c>
      <c r="M364" s="4">
        <v>8.4990000000000006</v>
      </c>
      <c r="N364" s="4">
        <v>0</v>
      </c>
      <c r="O364" s="4">
        <v>0</v>
      </c>
      <c r="P364" s="4">
        <v>1</v>
      </c>
      <c r="Q364" s="3" t="s">
        <v>57</v>
      </c>
      <c r="R364" s="3">
        <v>0</v>
      </c>
      <c r="S364" s="3" t="s">
        <v>209</v>
      </c>
      <c r="U364" s="3">
        <v>0</v>
      </c>
      <c r="V364" s="3">
        <v>110</v>
      </c>
      <c r="W364" s="3">
        <v>0</v>
      </c>
    </row>
    <row r="365" spans="1:23" ht="11.25" customHeight="1" x14ac:dyDescent="0.25">
      <c r="A365" s="3" t="s">
        <v>21</v>
      </c>
      <c r="B365" s="3" t="s">
        <v>41</v>
      </c>
      <c r="C365" s="3" t="s">
        <v>40</v>
      </c>
      <c r="D365" s="3" t="s">
        <v>38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44348</v>
      </c>
      <c r="J365" s="4">
        <v>0</v>
      </c>
      <c r="K365" s="4">
        <v>0</v>
      </c>
      <c r="L365" s="4">
        <v>9.843</v>
      </c>
      <c r="M365" s="4">
        <v>9.843</v>
      </c>
      <c r="N365" s="4">
        <v>0</v>
      </c>
      <c r="O365" s="4">
        <v>0</v>
      </c>
      <c r="P365" s="4">
        <v>1</v>
      </c>
      <c r="Q365" s="3" t="s">
        <v>57</v>
      </c>
      <c r="R365" s="3">
        <v>0</v>
      </c>
      <c r="S365" s="3" t="s">
        <v>210</v>
      </c>
      <c r="U365" s="3">
        <v>0</v>
      </c>
      <c r="V365" s="3">
        <v>110</v>
      </c>
      <c r="W365" s="3">
        <v>0</v>
      </c>
    </row>
    <row r="366" spans="1:23" ht="11.25" customHeight="1" x14ac:dyDescent="0.25">
      <c r="A366" s="3" t="s">
        <v>21</v>
      </c>
      <c r="B366" s="3" t="s">
        <v>41</v>
      </c>
      <c r="C366" s="3" t="s">
        <v>40</v>
      </c>
      <c r="D366" s="3" t="s">
        <v>38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44378</v>
      </c>
      <c r="J366" s="4">
        <v>0</v>
      </c>
      <c r="K366" s="4">
        <v>0</v>
      </c>
      <c r="L366" s="4">
        <v>10.387</v>
      </c>
      <c r="M366" s="4">
        <v>10.387</v>
      </c>
      <c r="N366" s="4">
        <v>0</v>
      </c>
      <c r="O366" s="4">
        <v>0</v>
      </c>
      <c r="P366" s="4">
        <v>1</v>
      </c>
      <c r="Q366" s="3" t="s">
        <v>57</v>
      </c>
      <c r="R366" s="3">
        <v>0</v>
      </c>
      <c r="S366" s="3" t="s">
        <v>211</v>
      </c>
      <c r="U366" s="3">
        <v>0</v>
      </c>
      <c r="V366" s="3">
        <v>110</v>
      </c>
      <c r="W366" s="3">
        <v>0</v>
      </c>
    </row>
    <row r="367" spans="1:23" ht="11.25" customHeight="1" x14ac:dyDescent="0.25">
      <c r="A367" s="3" t="s">
        <v>21</v>
      </c>
      <c r="B367" s="3" t="s">
        <v>41</v>
      </c>
      <c r="C367" s="3" t="s">
        <v>40</v>
      </c>
      <c r="D367" s="3" t="s">
        <v>38</v>
      </c>
      <c r="E367" s="3" t="s">
        <v>25</v>
      </c>
      <c r="F367" s="3" t="s">
        <v>25</v>
      </c>
      <c r="G367" s="3" t="s">
        <v>25</v>
      </c>
      <c r="H367" s="3" t="s">
        <v>25</v>
      </c>
      <c r="I367" s="6">
        <v>44409</v>
      </c>
      <c r="J367" s="4">
        <v>0</v>
      </c>
      <c r="K367" s="4">
        <v>0</v>
      </c>
      <c r="L367" s="4">
        <v>880.31700000000001</v>
      </c>
      <c r="M367" s="4">
        <v>880.31700000000001</v>
      </c>
      <c r="N367" s="4">
        <v>0</v>
      </c>
      <c r="O367" s="4">
        <v>0</v>
      </c>
      <c r="P367" s="4">
        <v>2</v>
      </c>
      <c r="Q367" s="3" t="s">
        <v>57</v>
      </c>
      <c r="R367" s="3">
        <v>0</v>
      </c>
      <c r="S367" s="3" t="s">
        <v>212</v>
      </c>
      <c r="U367" s="3">
        <v>0</v>
      </c>
      <c r="V367" s="3">
        <v>110</v>
      </c>
      <c r="W367" s="3">
        <v>0</v>
      </c>
    </row>
    <row r="368" spans="1:23" ht="11.25" customHeight="1" x14ac:dyDescent="0.25">
      <c r="A368" s="3" t="s">
        <v>21</v>
      </c>
      <c r="B368" s="3" t="s">
        <v>41</v>
      </c>
      <c r="C368" s="3" t="s">
        <v>40</v>
      </c>
      <c r="D368" s="3" t="s">
        <v>38</v>
      </c>
      <c r="E368" s="3" t="s">
        <v>25</v>
      </c>
      <c r="F368" s="3" t="s">
        <v>25</v>
      </c>
      <c r="G368" s="3" t="s">
        <v>25</v>
      </c>
      <c r="H368" s="3" t="s">
        <v>25</v>
      </c>
      <c r="I368" s="6">
        <v>44440</v>
      </c>
      <c r="J368" s="4">
        <v>0</v>
      </c>
      <c r="K368" s="4">
        <v>0</v>
      </c>
      <c r="L368" s="4">
        <v>13.896000000000001</v>
      </c>
      <c r="M368" s="4">
        <v>13.896000000000001</v>
      </c>
      <c r="N368" s="4">
        <v>0</v>
      </c>
      <c r="O368" s="4">
        <v>0</v>
      </c>
      <c r="P368" s="4">
        <v>1</v>
      </c>
      <c r="Q368" s="3" t="s">
        <v>57</v>
      </c>
      <c r="R368" s="3">
        <v>0</v>
      </c>
      <c r="S368" s="3" t="s">
        <v>213</v>
      </c>
      <c r="U368" s="3">
        <v>0</v>
      </c>
      <c r="V368" s="3">
        <v>110</v>
      </c>
      <c r="W368" s="3">
        <v>0</v>
      </c>
    </row>
    <row r="369" spans="1:23" ht="11.25" customHeight="1" x14ac:dyDescent="0.25">
      <c r="A369" s="3" t="s">
        <v>21</v>
      </c>
      <c r="B369" s="3" t="s">
        <v>41</v>
      </c>
      <c r="C369" s="3" t="s">
        <v>40</v>
      </c>
      <c r="D369" s="3" t="s">
        <v>38</v>
      </c>
      <c r="E369" s="3" t="s">
        <v>25</v>
      </c>
      <c r="F369" s="3" t="s">
        <v>25</v>
      </c>
      <c r="G369" s="3" t="s">
        <v>25</v>
      </c>
      <c r="H369" s="3" t="s">
        <v>34</v>
      </c>
      <c r="I369" s="6">
        <v>44287</v>
      </c>
      <c r="J369" s="4">
        <v>2106</v>
      </c>
      <c r="K369" s="4">
        <v>2106</v>
      </c>
      <c r="L369" s="4">
        <v>65.712999999999994</v>
      </c>
      <c r="M369" s="4">
        <v>65.712999999999994</v>
      </c>
      <c r="N369" s="4">
        <v>65.712999999999994</v>
      </c>
      <c r="O369" s="4">
        <v>65.712999999999994</v>
      </c>
      <c r="P369" s="4">
        <v>0</v>
      </c>
      <c r="Q369" s="3" t="s">
        <v>26</v>
      </c>
      <c r="R369" s="3">
        <v>0</v>
      </c>
      <c r="S369" s="3" t="s">
        <v>196</v>
      </c>
      <c r="T369" s="3" t="s">
        <v>623</v>
      </c>
      <c r="U369" s="3">
        <v>11</v>
      </c>
      <c r="V369" s="3">
        <v>110</v>
      </c>
      <c r="W369" s="3">
        <v>88</v>
      </c>
    </row>
    <row r="370" spans="1:23" ht="11.25" customHeight="1" x14ac:dyDescent="0.25">
      <c r="A370" s="3" t="s">
        <v>28</v>
      </c>
      <c r="B370" s="3" t="s">
        <v>41</v>
      </c>
      <c r="C370" s="3" t="s">
        <v>40</v>
      </c>
      <c r="D370" s="3" t="s">
        <v>38</v>
      </c>
      <c r="E370" s="3" t="s">
        <v>25</v>
      </c>
      <c r="F370" s="3" t="s">
        <v>25</v>
      </c>
      <c r="G370" s="3" t="s">
        <v>25</v>
      </c>
      <c r="H370" s="3" t="s">
        <v>34</v>
      </c>
      <c r="I370" s="6">
        <v>44287</v>
      </c>
      <c r="J370" s="4">
        <v>12</v>
      </c>
      <c r="K370" s="4">
        <v>12</v>
      </c>
      <c r="L370" s="4">
        <v>0.57399999999999995</v>
      </c>
      <c r="M370" s="4">
        <v>0.57399999999999995</v>
      </c>
      <c r="N370" s="4">
        <v>0.57399999999999995</v>
      </c>
      <c r="O370" s="4">
        <v>0.57399999999999995</v>
      </c>
      <c r="P370" s="4">
        <v>0</v>
      </c>
      <c r="Q370" s="3" t="s">
        <v>26</v>
      </c>
      <c r="R370" s="3">
        <v>0</v>
      </c>
      <c r="S370" s="3" t="s">
        <v>196</v>
      </c>
      <c r="T370" s="3" t="s">
        <v>623</v>
      </c>
      <c r="U370" s="3">
        <v>11</v>
      </c>
      <c r="V370" s="3">
        <v>110</v>
      </c>
      <c r="W370" s="3">
        <v>88</v>
      </c>
    </row>
    <row r="371" spans="1:23" ht="11.25" customHeight="1" x14ac:dyDescent="0.25">
      <c r="A371" s="3" t="s">
        <v>21</v>
      </c>
      <c r="B371" s="3" t="s">
        <v>41</v>
      </c>
      <c r="C371" s="3" t="s">
        <v>40</v>
      </c>
      <c r="D371" s="3" t="s">
        <v>38</v>
      </c>
      <c r="E371" s="3" t="s">
        <v>25</v>
      </c>
      <c r="F371" s="3" t="s">
        <v>25</v>
      </c>
      <c r="G371" s="3" t="s">
        <v>25</v>
      </c>
      <c r="H371" s="3" t="s">
        <v>34</v>
      </c>
      <c r="I371" s="6">
        <v>44287</v>
      </c>
      <c r="J371" s="4">
        <v>30</v>
      </c>
      <c r="K371" s="4">
        <v>30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3" t="s">
        <v>57</v>
      </c>
      <c r="R371" s="3">
        <v>0</v>
      </c>
      <c r="S371" s="3" t="s">
        <v>196</v>
      </c>
      <c r="U371" s="3">
        <v>11</v>
      </c>
      <c r="V371" s="3">
        <v>0</v>
      </c>
      <c r="W371" s="3">
        <v>0</v>
      </c>
    </row>
    <row r="372" spans="1:23" ht="11.25" customHeight="1" x14ac:dyDescent="0.25">
      <c r="A372" s="3" t="s">
        <v>21</v>
      </c>
      <c r="B372" s="3" t="s">
        <v>41</v>
      </c>
      <c r="C372" s="3" t="s">
        <v>40</v>
      </c>
      <c r="D372" s="3" t="s">
        <v>38</v>
      </c>
      <c r="E372" s="3" t="s">
        <v>25</v>
      </c>
      <c r="F372" s="3" t="s">
        <v>25</v>
      </c>
      <c r="G372" s="3" t="s">
        <v>25</v>
      </c>
      <c r="H372" s="3" t="s">
        <v>34</v>
      </c>
      <c r="I372" s="6">
        <v>44317</v>
      </c>
      <c r="J372" s="4">
        <v>2225</v>
      </c>
      <c r="K372" s="4">
        <v>2225</v>
      </c>
      <c r="L372" s="4">
        <v>66.191999999999993</v>
      </c>
      <c r="M372" s="4">
        <v>66.191999999999993</v>
      </c>
      <c r="N372" s="4">
        <v>66.191999999999993</v>
      </c>
      <c r="O372" s="4">
        <v>66.191999999999993</v>
      </c>
      <c r="P372" s="4">
        <v>0</v>
      </c>
      <c r="Q372" s="3" t="s">
        <v>26</v>
      </c>
      <c r="R372" s="3">
        <v>0</v>
      </c>
      <c r="S372" s="3" t="s">
        <v>197</v>
      </c>
      <c r="T372" s="3" t="s">
        <v>624</v>
      </c>
      <c r="U372" s="3">
        <v>11</v>
      </c>
      <c r="V372" s="3">
        <v>110</v>
      </c>
      <c r="W372" s="3">
        <v>88</v>
      </c>
    </row>
    <row r="373" spans="1:23" ht="11.25" customHeight="1" x14ac:dyDescent="0.25">
      <c r="A373" s="3" t="s">
        <v>28</v>
      </c>
      <c r="B373" s="3" t="s">
        <v>41</v>
      </c>
      <c r="C373" s="3" t="s">
        <v>40</v>
      </c>
      <c r="D373" s="3" t="s">
        <v>38</v>
      </c>
      <c r="E373" s="3" t="s">
        <v>25</v>
      </c>
      <c r="F373" s="3" t="s">
        <v>25</v>
      </c>
      <c r="G373" s="3" t="s">
        <v>25</v>
      </c>
      <c r="H373" s="3" t="s">
        <v>34</v>
      </c>
      <c r="I373" s="6">
        <v>44317</v>
      </c>
      <c r="J373" s="4">
        <v>12</v>
      </c>
      <c r="K373" s="4">
        <v>12</v>
      </c>
      <c r="L373" s="4">
        <v>0.49199999999999999</v>
      </c>
      <c r="M373" s="4">
        <v>0.49199999999999999</v>
      </c>
      <c r="N373" s="4">
        <v>0.49199999999999999</v>
      </c>
      <c r="O373" s="4">
        <v>0.49199999999999999</v>
      </c>
      <c r="P373" s="4">
        <v>0</v>
      </c>
      <c r="Q373" s="3" t="s">
        <v>26</v>
      </c>
      <c r="R373" s="3">
        <v>0</v>
      </c>
      <c r="S373" s="3" t="s">
        <v>197</v>
      </c>
      <c r="T373" s="3" t="s">
        <v>624</v>
      </c>
      <c r="U373" s="3">
        <v>11</v>
      </c>
      <c r="V373" s="3">
        <v>110</v>
      </c>
      <c r="W373" s="3">
        <v>88</v>
      </c>
    </row>
    <row r="374" spans="1:23" ht="11.25" customHeight="1" x14ac:dyDescent="0.25">
      <c r="A374" s="3" t="s">
        <v>21</v>
      </c>
      <c r="B374" s="3" t="s">
        <v>41</v>
      </c>
      <c r="C374" s="3" t="s">
        <v>40</v>
      </c>
      <c r="D374" s="3" t="s">
        <v>38</v>
      </c>
      <c r="E374" s="3" t="s">
        <v>25</v>
      </c>
      <c r="F374" s="3" t="s">
        <v>25</v>
      </c>
      <c r="G374" s="3" t="s">
        <v>25</v>
      </c>
      <c r="H374" s="3" t="s">
        <v>34</v>
      </c>
      <c r="I374" s="6">
        <v>44317</v>
      </c>
      <c r="J374" s="4">
        <v>30</v>
      </c>
      <c r="K374" s="4">
        <v>30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3" t="s">
        <v>57</v>
      </c>
      <c r="R374" s="3">
        <v>0</v>
      </c>
      <c r="S374" s="3" t="s">
        <v>197</v>
      </c>
      <c r="U374" s="3">
        <v>11</v>
      </c>
      <c r="V374" s="3">
        <v>0</v>
      </c>
      <c r="W374" s="3">
        <v>0</v>
      </c>
    </row>
    <row r="375" spans="1:23" ht="11.25" customHeight="1" x14ac:dyDescent="0.25">
      <c r="A375" s="3" t="s">
        <v>21</v>
      </c>
      <c r="B375" s="3" t="s">
        <v>41</v>
      </c>
      <c r="C375" s="3" t="s">
        <v>40</v>
      </c>
      <c r="D375" s="3" t="s">
        <v>38</v>
      </c>
      <c r="E375" s="3" t="s">
        <v>25</v>
      </c>
      <c r="F375" s="3" t="s">
        <v>25</v>
      </c>
      <c r="G375" s="3" t="s">
        <v>25</v>
      </c>
      <c r="H375" s="3" t="s">
        <v>34</v>
      </c>
      <c r="I375" s="6">
        <v>44348</v>
      </c>
      <c r="J375" s="4">
        <v>2225</v>
      </c>
      <c r="K375" s="4">
        <v>2225</v>
      </c>
      <c r="L375" s="4">
        <v>55.898000000000003</v>
      </c>
      <c r="M375" s="4">
        <v>55.898000000000003</v>
      </c>
      <c r="N375" s="4">
        <v>55.898000000000003</v>
      </c>
      <c r="O375" s="4">
        <v>55.898000000000003</v>
      </c>
      <c r="P375" s="4">
        <v>0</v>
      </c>
      <c r="Q375" s="3" t="s">
        <v>26</v>
      </c>
      <c r="R375" s="3">
        <v>0</v>
      </c>
      <c r="S375" s="3" t="s">
        <v>198</v>
      </c>
      <c r="T375" s="3" t="s">
        <v>625</v>
      </c>
      <c r="U375" s="3">
        <v>11</v>
      </c>
      <c r="V375" s="3">
        <v>110</v>
      </c>
      <c r="W375" s="3">
        <v>88</v>
      </c>
    </row>
    <row r="376" spans="1:23" ht="11.25" customHeight="1" x14ac:dyDescent="0.25">
      <c r="A376" s="3" t="s">
        <v>28</v>
      </c>
      <c r="B376" s="3" t="s">
        <v>41</v>
      </c>
      <c r="C376" s="3" t="s">
        <v>40</v>
      </c>
      <c r="D376" s="3" t="s">
        <v>38</v>
      </c>
      <c r="E376" s="3" t="s">
        <v>25</v>
      </c>
      <c r="F376" s="3" t="s">
        <v>25</v>
      </c>
      <c r="G376" s="3" t="s">
        <v>25</v>
      </c>
      <c r="H376" s="3" t="s">
        <v>34</v>
      </c>
      <c r="I376" s="6">
        <v>44348</v>
      </c>
      <c r="J376" s="4">
        <v>12</v>
      </c>
      <c r="K376" s="4">
        <v>12</v>
      </c>
      <c r="L376" s="4">
        <v>0.57399999999999995</v>
      </c>
      <c r="M376" s="4">
        <v>0.57399999999999995</v>
      </c>
      <c r="N376" s="4">
        <v>0.57399999999999995</v>
      </c>
      <c r="O376" s="4">
        <v>0.57399999999999995</v>
      </c>
      <c r="P376" s="4">
        <v>0</v>
      </c>
      <c r="Q376" s="3" t="s">
        <v>26</v>
      </c>
      <c r="R376" s="3">
        <v>0</v>
      </c>
      <c r="S376" s="3" t="s">
        <v>198</v>
      </c>
      <c r="T376" s="3" t="s">
        <v>625</v>
      </c>
      <c r="U376" s="3">
        <v>11</v>
      </c>
      <c r="V376" s="3">
        <v>110</v>
      </c>
      <c r="W376" s="3">
        <v>88</v>
      </c>
    </row>
    <row r="377" spans="1:23" ht="11.25" customHeight="1" x14ac:dyDescent="0.25">
      <c r="A377" s="3" t="s">
        <v>21</v>
      </c>
      <c r="B377" s="3" t="s">
        <v>41</v>
      </c>
      <c r="C377" s="3" t="s">
        <v>40</v>
      </c>
      <c r="D377" s="3" t="s">
        <v>38</v>
      </c>
      <c r="E377" s="3" t="s">
        <v>25</v>
      </c>
      <c r="F377" s="3" t="s">
        <v>25</v>
      </c>
      <c r="G377" s="3" t="s">
        <v>25</v>
      </c>
      <c r="H377" s="3" t="s">
        <v>34</v>
      </c>
      <c r="I377" s="6">
        <v>44348</v>
      </c>
      <c r="J377" s="4">
        <v>30</v>
      </c>
      <c r="K377" s="4">
        <v>30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 t="s">
        <v>57</v>
      </c>
      <c r="R377" s="3">
        <v>0</v>
      </c>
      <c r="S377" s="3" t="s">
        <v>198</v>
      </c>
      <c r="U377" s="3">
        <v>11</v>
      </c>
      <c r="V377" s="3">
        <v>0</v>
      </c>
      <c r="W377" s="3">
        <v>0</v>
      </c>
    </row>
    <row r="378" spans="1:23" ht="11.25" customHeight="1" x14ac:dyDescent="0.25">
      <c r="A378" s="3" t="s">
        <v>21</v>
      </c>
      <c r="B378" s="3" t="s">
        <v>41</v>
      </c>
      <c r="C378" s="3" t="s">
        <v>40</v>
      </c>
      <c r="D378" s="3" t="s">
        <v>38</v>
      </c>
      <c r="E378" s="3" t="s">
        <v>25</v>
      </c>
      <c r="F378" s="3" t="s">
        <v>25</v>
      </c>
      <c r="G378" s="3" t="s">
        <v>25</v>
      </c>
      <c r="H378" s="3" t="s">
        <v>34</v>
      </c>
      <c r="I378" s="6">
        <v>44378</v>
      </c>
      <c r="J378" s="4">
        <v>2228</v>
      </c>
      <c r="K378" s="4">
        <v>2228</v>
      </c>
      <c r="L378" s="4">
        <v>50.235999999999997</v>
      </c>
      <c r="M378" s="4">
        <v>50.235999999999997</v>
      </c>
      <c r="N378" s="4">
        <v>50.235999999999997</v>
      </c>
      <c r="O378" s="4">
        <v>50.235999999999997</v>
      </c>
      <c r="P378" s="4">
        <v>0</v>
      </c>
      <c r="Q378" s="3" t="s">
        <v>26</v>
      </c>
      <c r="R378" s="3">
        <v>0</v>
      </c>
      <c r="S378" s="3" t="s">
        <v>199</v>
      </c>
      <c r="T378" s="3" t="s">
        <v>626</v>
      </c>
      <c r="U378" s="3">
        <v>11</v>
      </c>
      <c r="V378" s="3">
        <v>110</v>
      </c>
      <c r="W378" s="3">
        <v>88</v>
      </c>
    </row>
    <row r="379" spans="1:23" ht="11.25" customHeight="1" x14ac:dyDescent="0.25">
      <c r="A379" s="3" t="s">
        <v>28</v>
      </c>
      <c r="B379" s="3" t="s">
        <v>41</v>
      </c>
      <c r="C379" s="3" t="s">
        <v>40</v>
      </c>
      <c r="D379" s="3" t="s">
        <v>38</v>
      </c>
      <c r="E379" s="3" t="s">
        <v>25</v>
      </c>
      <c r="F379" s="3" t="s">
        <v>25</v>
      </c>
      <c r="G379" s="3" t="s">
        <v>25</v>
      </c>
      <c r="H379" s="3" t="s">
        <v>34</v>
      </c>
      <c r="I379" s="6">
        <v>44378</v>
      </c>
      <c r="J379" s="4">
        <v>12</v>
      </c>
      <c r="K379" s="4">
        <v>12</v>
      </c>
      <c r="L379" s="4">
        <v>0.57399999999999995</v>
      </c>
      <c r="M379" s="4">
        <v>0.57399999999999995</v>
      </c>
      <c r="N379" s="4">
        <v>0.57399999999999995</v>
      </c>
      <c r="O379" s="4">
        <v>0.57399999999999995</v>
      </c>
      <c r="P379" s="4">
        <v>0</v>
      </c>
      <c r="Q379" s="3" t="s">
        <v>26</v>
      </c>
      <c r="R379" s="3">
        <v>0</v>
      </c>
      <c r="S379" s="3" t="s">
        <v>199</v>
      </c>
      <c r="T379" s="3" t="s">
        <v>626</v>
      </c>
      <c r="U379" s="3">
        <v>11</v>
      </c>
      <c r="V379" s="3">
        <v>110</v>
      </c>
      <c r="W379" s="3">
        <v>88</v>
      </c>
    </row>
    <row r="380" spans="1:23" ht="11.25" customHeight="1" x14ac:dyDescent="0.25">
      <c r="A380" s="3" t="s">
        <v>21</v>
      </c>
      <c r="B380" s="3" t="s">
        <v>41</v>
      </c>
      <c r="C380" s="3" t="s">
        <v>40</v>
      </c>
      <c r="D380" s="3" t="s">
        <v>38</v>
      </c>
      <c r="E380" s="3" t="s">
        <v>25</v>
      </c>
      <c r="F380" s="3" t="s">
        <v>25</v>
      </c>
      <c r="G380" s="3" t="s">
        <v>25</v>
      </c>
      <c r="H380" s="3" t="s">
        <v>34</v>
      </c>
      <c r="I380" s="6">
        <v>44378</v>
      </c>
      <c r="J380" s="4">
        <v>30</v>
      </c>
      <c r="K380" s="4">
        <v>30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3" t="s">
        <v>57</v>
      </c>
      <c r="R380" s="3">
        <v>0</v>
      </c>
      <c r="S380" s="3" t="s">
        <v>199</v>
      </c>
      <c r="U380" s="3">
        <v>11</v>
      </c>
      <c r="V380" s="3">
        <v>0</v>
      </c>
      <c r="W380" s="3">
        <v>0</v>
      </c>
    </row>
    <row r="381" spans="1:23" ht="11.25" customHeight="1" x14ac:dyDescent="0.25">
      <c r="A381" s="3" t="s">
        <v>21</v>
      </c>
      <c r="B381" s="3" t="s">
        <v>41</v>
      </c>
      <c r="C381" s="3" t="s">
        <v>40</v>
      </c>
      <c r="D381" s="3" t="s">
        <v>38</v>
      </c>
      <c r="E381" s="3" t="s">
        <v>25</v>
      </c>
      <c r="F381" s="3" t="s">
        <v>25</v>
      </c>
      <c r="G381" s="3" t="s">
        <v>25</v>
      </c>
      <c r="H381" s="3" t="s">
        <v>34</v>
      </c>
      <c r="I381" s="6">
        <v>44409</v>
      </c>
      <c r="J381" s="4">
        <v>2220</v>
      </c>
      <c r="K381" s="4">
        <v>2220</v>
      </c>
      <c r="L381" s="4">
        <v>54.576000000000001</v>
      </c>
      <c r="M381" s="4">
        <v>54.576000000000001</v>
      </c>
      <c r="N381" s="4">
        <v>54.576000000000001</v>
      </c>
      <c r="O381" s="4">
        <v>54.576000000000001</v>
      </c>
      <c r="P381" s="4">
        <v>0</v>
      </c>
      <c r="Q381" s="3" t="s">
        <v>26</v>
      </c>
      <c r="R381" s="3">
        <v>0</v>
      </c>
      <c r="S381" s="3" t="s">
        <v>200</v>
      </c>
      <c r="T381" s="3" t="s">
        <v>627</v>
      </c>
      <c r="U381" s="3">
        <v>11</v>
      </c>
      <c r="V381" s="3">
        <v>110</v>
      </c>
      <c r="W381" s="3">
        <v>88</v>
      </c>
    </row>
    <row r="382" spans="1:23" ht="11.25" customHeight="1" x14ac:dyDescent="0.25">
      <c r="A382" s="3" t="s">
        <v>28</v>
      </c>
      <c r="B382" s="3" t="s">
        <v>41</v>
      </c>
      <c r="C382" s="3" t="s">
        <v>40</v>
      </c>
      <c r="D382" s="3" t="s">
        <v>38</v>
      </c>
      <c r="E382" s="3" t="s">
        <v>25</v>
      </c>
      <c r="F382" s="3" t="s">
        <v>25</v>
      </c>
      <c r="G382" s="3" t="s">
        <v>25</v>
      </c>
      <c r="H382" s="3" t="s">
        <v>34</v>
      </c>
      <c r="I382" s="6">
        <v>44409</v>
      </c>
      <c r="J382" s="4">
        <v>12</v>
      </c>
      <c r="K382" s="4">
        <v>12</v>
      </c>
      <c r="L382" s="4">
        <v>0.08</v>
      </c>
      <c r="M382" s="4">
        <v>0.08</v>
      </c>
      <c r="N382" s="4">
        <v>0.08</v>
      </c>
      <c r="O382" s="4">
        <v>0.08</v>
      </c>
      <c r="P382" s="4">
        <v>0</v>
      </c>
      <c r="Q382" s="3" t="s">
        <v>26</v>
      </c>
      <c r="R382" s="3">
        <v>0</v>
      </c>
      <c r="S382" s="3" t="s">
        <v>200</v>
      </c>
      <c r="T382" s="3" t="s">
        <v>627</v>
      </c>
      <c r="U382" s="3">
        <v>11</v>
      </c>
      <c r="V382" s="3">
        <v>110</v>
      </c>
      <c r="W382" s="3">
        <v>88</v>
      </c>
    </row>
    <row r="383" spans="1:23" ht="11.25" customHeight="1" x14ac:dyDescent="0.25">
      <c r="A383" s="3" t="s">
        <v>21</v>
      </c>
      <c r="B383" s="3" t="s">
        <v>41</v>
      </c>
      <c r="C383" s="3" t="s">
        <v>40</v>
      </c>
      <c r="D383" s="3" t="s">
        <v>38</v>
      </c>
      <c r="E383" s="3" t="s">
        <v>25</v>
      </c>
      <c r="F383" s="3" t="s">
        <v>25</v>
      </c>
      <c r="G383" s="3" t="s">
        <v>25</v>
      </c>
      <c r="H383" s="3" t="s">
        <v>34</v>
      </c>
      <c r="I383" s="6">
        <v>44409</v>
      </c>
      <c r="J383" s="4">
        <v>1438</v>
      </c>
      <c r="K383" s="4">
        <v>1438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3" t="s">
        <v>57</v>
      </c>
      <c r="R383" s="3">
        <v>0</v>
      </c>
      <c r="S383" s="3" t="s">
        <v>200</v>
      </c>
      <c r="U383" s="3">
        <v>11</v>
      </c>
      <c r="V383" s="3">
        <v>0</v>
      </c>
      <c r="W383" s="3">
        <v>0</v>
      </c>
    </row>
    <row r="384" spans="1:23" ht="11.25" customHeight="1" x14ac:dyDescent="0.25">
      <c r="A384" s="3" t="s">
        <v>21</v>
      </c>
      <c r="B384" s="3" t="s">
        <v>41</v>
      </c>
      <c r="C384" s="3" t="s">
        <v>40</v>
      </c>
      <c r="D384" s="3" t="s">
        <v>38</v>
      </c>
      <c r="E384" s="3" t="s">
        <v>25</v>
      </c>
      <c r="F384" s="3" t="s">
        <v>25</v>
      </c>
      <c r="G384" s="3" t="s">
        <v>25</v>
      </c>
      <c r="H384" s="3" t="s">
        <v>34</v>
      </c>
      <c r="I384" s="6">
        <v>44440</v>
      </c>
      <c r="J384" s="4">
        <v>2237</v>
      </c>
      <c r="K384" s="4">
        <v>2237</v>
      </c>
      <c r="L384" s="4">
        <v>57.249000000000002</v>
      </c>
      <c r="M384" s="4">
        <v>57.249000000000002</v>
      </c>
      <c r="N384" s="4">
        <v>57.249000000000002</v>
      </c>
      <c r="O384" s="4">
        <v>57.249000000000002</v>
      </c>
      <c r="P384" s="4">
        <v>0</v>
      </c>
      <c r="Q384" s="3" t="s">
        <v>26</v>
      </c>
      <c r="R384" s="3">
        <v>0</v>
      </c>
      <c r="S384" s="3" t="s">
        <v>201</v>
      </c>
      <c r="T384" s="3" t="s">
        <v>628</v>
      </c>
      <c r="U384" s="3">
        <v>11</v>
      </c>
      <c r="V384" s="3">
        <v>110</v>
      </c>
      <c r="W384" s="3">
        <v>88</v>
      </c>
    </row>
    <row r="385" spans="1:23" ht="11.25" customHeight="1" x14ac:dyDescent="0.25">
      <c r="A385" s="3" t="s">
        <v>28</v>
      </c>
      <c r="B385" s="3" t="s">
        <v>41</v>
      </c>
      <c r="C385" s="3" t="s">
        <v>40</v>
      </c>
      <c r="D385" s="3" t="s">
        <v>38</v>
      </c>
      <c r="E385" s="3" t="s">
        <v>25</v>
      </c>
      <c r="F385" s="3" t="s">
        <v>25</v>
      </c>
      <c r="G385" s="3" t="s">
        <v>25</v>
      </c>
      <c r="H385" s="3" t="s">
        <v>34</v>
      </c>
      <c r="I385" s="6">
        <v>44440</v>
      </c>
      <c r="J385" s="4">
        <v>12</v>
      </c>
      <c r="K385" s="4">
        <v>12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3" t="s">
        <v>26</v>
      </c>
      <c r="R385" s="3">
        <v>0</v>
      </c>
      <c r="S385" s="3" t="s">
        <v>201</v>
      </c>
      <c r="T385" s="3" t="s">
        <v>628</v>
      </c>
      <c r="U385" s="3">
        <v>11</v>
      </c>
      <c r="V385" s="3">
        <v>0</v>
      </c>
      <c r="W385" s="3">
        <v>0</v>
      </c>
    </row>
    <row r="386" spans="1:23" ht="11.25" customHeight="1" x14ac:dyDescent="0.25">
      <c r="A386" s="3" t="s">
        <v>21</v>
      </c>
      <c r="B386" s="3" t="s">
        <v>41</v>
      </c>
      <c r="C386" s="3" t="s">
        <v>40</v>
      </c>
      <c r="D386" s="3" t="s">
        <v>38</v>
      </c>
      <c r="E386" s="3" t="s">
        <v>25</v>
      </c>
      <c r="F386" s="3" t="s">
        <v>25</v>
      </c>
      <c r="G386" s="3" t="s">
        <v>25</v>
      </c>
      <c r="H386" s="3" t="s">
        <v>34</v>
      </c>
      <c r="I386" s="6">
        <v>44440</v>
      </c>
      <c r="J386" s="4">
        <v>30</v>
      </c>
      <c r="K386" s="4">
        <v>30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3" t="s">
        <v>57</v>
      </c>
      <c r="R386" s="3">
        <v>0</v>
      </c>
      <c r="S386" s="3" t="s">
        <v>201</v>
      </c>
      <c r="U386" s="3">
        <v>11</v>
      </c>
      <c r="V386" s="3">
        <v>0</v>
      </c>
      <c r="W386" s="3">
        <v>0</v>
      </c>
    </row>
    <row r="387" spans="1:23" ht="11.25" customHeight="1" x14ac:dyDescent="0.25">
      <c r="A387" s="3" t="s">
        <v>21</v>
      </c>
      <c r="B387" s="3" t="s">
        <v>41</v>
      </c>
      <c r="C387" s="3" t="s">
        <v>40</v>
      </c>
      <c r="D387" s="3" t="s">
        <v>38</v>
      </c>
      <c r="E387" s="3" t="s">
        <v>25</v>
      </c>
      <c r="F387" s="3" t="s">
        <v>25</v>
      </c>
      <c r="G387" s="3" t="s">
        <v>25</v>
      </c>
      <c r="H387" s="3" t="s">
        <v>34</v>
      </c>
      <c r="I387" s="6">
        <v>44470</v>
      </c>
      <c r="J387" s="4">
        <v>2324</v>
      </c>
      <c r="K387" s="4">
        <v>2324</v>
      </c>
      <c r="L387" s="4">
        <v>59.393000000000001</v>
      </c>
      <c r="M387" s="4">
        <v>59.393000000000001</v>
      </c>
      <c r="N387" s="4">
        <v>59.393000000000001</v>
      </c>
      <c r="O387" s="4">
        <v>59.393000000000001</v>
      </c>
      <c r="P387" s="4">
        <v>0</v>
      </c>
      <c r="Q387" s="3" t="s">
        <v>26</v>
      </c>
      <c r="R387" s="3">
        <v>0</v>
      </c>
      <c r="S387" s="3" t="s">
        <v>202</v>
      </c>
      <c r="T387" s="3" t="s">
        <v>629</v>
      </c>
      <c r="U387" s="3">
        <v>11</v>
      </c>
      <c r="V387" s="3">
        <v>110</v>
      </c>
      <c r="W387" s="3">
        <v>88</v>
      </c>
    </row>
    <row r="388" spans="1:23" ht="11.25" customHeight="1" x14ac:dyDescent="0.25">
      <c r="A388" s="3" t="s">
        <v>28</v>
      </c>
      <c r="B388" s="3" t="s">
        <v>41</v>
      </c>
      <c r="C388" s="3" t="s">
        <v>40</v>
      </c>
      <c r="D388" s="3" t="s">
        <v>38</v>
      </c>
      <c r="E388" s="3" t="s">
        <v>25</v>
      </c>
      <c r="F388" s="3" t="s">
        <v>25</v>
      </c>
      <c r="G388" s="3" t="s">
        <v>25</v>
      </c>
      <c r="H388" s="3" t="s">
        <v>34</v>
      </c>
      <c r="I388" s="6">
        <v>44470</v>
      </c>
      <c r="J388" s="4">
        <v>12</v>
      </c>
      <c r="K388" s="4">
        <v>12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 t="s">
        <v>26</v>
      </c>
      <c r="R388" s="3">
        <v>0</v>
      </c>
      <c r="S388" s="3" t="s">
        <v>202</v>
      </c>
      <c r="T388" s="3" t="s">
        <v>629</v>
      </c>
      <c r="U388" s="3">
        <v>11</v>
      </c>
      <c r="V388" s="3">
        <v>0</v>
      </c>
      <c r="W388" s="3">
        <v>0</v>
      </c>
    </row>
    <row r="389" spans="1:23" ht="11.25" customHeight="1" x14ac:dyDescent="0.25">
      <c r="A389" s="3" t="s">
        <v>21</v>
      </c>
      <c r="B389" s="3" t="s">
        <v>41</v>
      </c>
      <c r="C389" s="3" t="s">
        <v>40</v>
      </c>
      <c r="D389" s="3" t="s">
        <v>38</v>
      </c>
      <c r="E389" s="3" t="s">
        <v>25</v>
      </c>
      <c r="F389" s="3" t="s">
        <v>25</v>
      </c>
      <c r="G389" s="3" t="s">
        <v>25</v>
      </c>
      <c r="H389" s="3" t="s">
        <v>34</v>
      </c>
      <c r="I389" s="6">
        <v>44501</v>
      </c>
      <c r="J389" s="4">
        <v>2357</v>
      </c>
      <c r="K389" s="4">
        <v>2357</v>
      </c>
      <c r="L389" s="4">
        <v>54.738</v>
      </c>
      <c r="M389" s="4">
        <v>54.738</v>
      </c>
      <c r="N389" s="4">
        <v>54.738</v>
      </c>
      <c r="O389" s="4">
        <v>54.738</v>
      </c>
      <c r="P389" s="4">
        <v>0</v>
      </c>
      <c r="Q389" s="3" t="s">
        <v>26</v>
      </c>
      <c r="R389" s="3">
        <v>0</v>
      </c>
      <c r="S389" s="3" t="s">
        <v>203</v>
      </c>
      <c r="T389" s="3" t="s">
        <v>630</v>
      </c>
      <c r="U389" s="3">
        <v>11</v>
      </c>
      <c r="V389" s="3">
        <v>110</v>
      </c>
      <c r="W389" s="3">
        <v>88</v>
      </c>
    </row>
    <row r="390" spans="1:23" ht="11.25" customHeight="1" x14ac:dyDescent="0.25">
      <c r="A390" s="3" t="s">
        <v>28</v>
      </c>
      <c r="B390" s="3" t="s">
        <v>41</v>
      </c>
      <c r="C390" s="3" t="s">
        <v>40</v>
      </c>
      <c r="D390" s="3" t="s">
        <v>38</v>
      </c>
      <c r="E390" s="3" t="s">
        <v>25</v>
      </c>
      <c r="F390" s="3" t="s">
        <v>25</v>
      </c>
      <c r="G390" s="3" t="s">
        <v>25</v>
      </c>
      <c r="H390" s="3" t="s">
        <v>34</v>
      </c>
      <c r="I390" s="6">
        <v>44501</v>
      </c>
      <c r="J390" s="4">
        <v>29</v>
      </c>
      <c r="K390" s="4">
        <v>29</v>
      </c>
      <c r="L390" s="4">
        <v>1.476</v>
      </c>
      <c r="M390" s="4">
        <v>1.476</v>
      </c>
      <c r="N390" s="4">
        <v>1.476</v>
      </c>
      <c r="O390" s="4">
        <v>1.476</v>
      </c>
      <c r="P390" s="4">
        <v>0</v>
      </c>
      <c r="Q390" s="3" t="s">
        <v>26</v>
      </c>
      <c r="R390" s="3">
        <v>0</v>
      </c>
      <c r="S390" s="3" t="s">
        <v>203</v>
      </c>
      <c r="T390" s="3" t="s">
        <v>630</v>
      </c>
      <c r="U390" s="3">
        <v>11</v>
      </c>
      <c r="V390" s="3">
        <v>110</v>
      </c>
      <c r="W390" s="3">
        <v>88</v>
      </c>
    </row>
    <row r="391" spans="1:23" ht="11.25" customHeight="1" x14ac:dyDescent="0.25">
      <c r="A391" s="3" t="s">
        <v>21</v>
      </c>
      <c r="B391" s="3" t="s">
        <v>41</v>
      </c>
      <c r="C391" s="3" t="s">
        <v>40</v>
      </c>
      <c r="D391" s="3" t="s">
        <v>38</v>
      </c>
      <c r="E391" s="3" t="s">
        <v>25</v>
      </c>
      <c r="F391" s="3" t="s">
        <v>25</v>
      </c>
      <c r="G391" s="3" t="s">
        <v>25</v>
      </c>
      <c r="H391" s="3" t="s">
        <v>34</v>
      </c>
      <c r="I391" s="6">
        <v>44531</v>
      </c>
      <c r="J391" s="4">
        <v>1607</v>
      </c>
      <c r="K391" s="4">
        <v>1607</v>
      </c>
      <c r="L391" s="4">
        <v>56.951000000000001</v>
      </c>
      <c r="M391" s="4">
        <v>56.951000000000001</v>
      </c>
      <c r="N391" s="4">
        <v>56.951000000000001</v>
      </c>
      <c r="O391" s="4">
        <v>56.951000000000001</v>
      </c>
      <c r="P391" s="4">
        <v>0</v>
      </c>
      <c r="Q391" s="3" t="s">
        <v>26</v>
      </c>
      <c r="R391" s="3">
        <v>0</v>
      </c>
      <c r="S391" s="3" t="s">
        <v>204</v>
      </c>
      <c r="T391" s="3" t="s">
        <v>631</v>
      </c>
      <c r="U391" s="3">
        <v>11</v>
      </c>
      <c r="V391" s="3">
        <v>110</v>
      </c>
      <c r="W391" s="3">
        <v>88</v>
      </c>
    </row>
    <row r="392" spans="1:23" ht="11.25" customHeight="1" x14ac:dyDescent="0.25">
      <c r="A392" s="3" t="s">
        <v>28</v>
      </c>
      <c r="B392" s="3" t="s">
        <v>41</v>
      </c>
      <c r="C392" s="3" t="s">
        <v>40</v>
      </c>
      <c r="D392" s="3" t="s">
        <v>38</v>
      </c>
      <c r="E392" s="3" t="s">
        <v>25</v>
      </c>
      <c r="F392" s="3" t="s">
        <v>25</v>
      </c>
      <c r="G392" s="3" t="s">
        <v>25</v>
      </c>
      <c r="H392" s="3" t="s">
        <v>34</v>
      </c>
      <c r="I392" s="6">
        <v>44531</v>
      </c>
      <c r="J392" s="4">
        <v>31</v>
      </c>
      <c r="K392" s="4">
        <v>31</v>
      </c>
      <c r="L392" s="4">
        <v>0.90200000000000002</v>
      </c>
      <c r="M392" s="4">
        <v>0.90200000000000002</v>
      </c>
      <c r="N392" s="4">
        <v>0.90200000000000002</v>
      </c>
      <c r="O392" s="4">
        <v>0.90200000000000002</v>
      </c>
      <c r="P392" s="4">
        <v>0</v>
      </c>
      <c r="Q392" s="3" t="s">
        <v>26</v>
      </c>
      <c r="R392" s="3">
        <v>0</v>
      </c>
      <c r="S392" s="3" t="s">
        <v>204</v>
      </c>
      <c r="T392" s="3" t="s">
        <v>631</v>
      </c>
      <c r="U392" s="3">
        <v>11</v>
      </c>
      <c r="V392" s="3">
        <v>110</v>
      </c>
      <c r="W392" s="3">
        <v>88</v>
      </c>
    </row>
    <row r="393" spans="1:23" ht="11.25" customHeight="1" x14ac:dyDescent="0.25">
      <c r="A393" s="3" t="s">
        <v>21</v>
      </c>
      <c r="B393" s="3" t="s">
        <v>41</v>
      </c>
      <c r="C393" s="3" t="s">
        <v>40</v>
      </c>
      <c r="D393" s="3" t="s">
        <v>38</v>
      </c>
      <c r="E393" s="3" t="s">
        <v>25</v>
      </c>
      <c r="F393" s="3" t="s">
        <v>25</v>
      </c>
      <c r="G393" s="3" t="s">
        <v>25</v>
      </c>
      <c r="H393" s="3" t="s">
        <v>34</v>
      </c>
      <c r="I393" s="6">
        <v>44562</v>
      </c>
      <c r="J393" s="4">
        <v>1517</v>
      </c>
      <c r="K393" s="4">
        <v>1517</v>
      </c>
      <c r="L393" s="4">
        <v>51.756999999999998</v>
      </c>
      <c r="M393" s="4">
        <v>51.756999999999998</v>
      </c>
      <c r="N393" s="4">
        <v>51.756999999999998</v>
      </c>
      <c r="O393" s="4">
        <v>51.756999999999998</v>
      </c>
      <c r="P393" s="4">
        <v>0</v>
      </c>
      <c r="Q393" s="3" t="s">
        <v>26</v>
      </c>
      <c r="R393" s="3">
        <v>0</v>
      </c>
      <c r="S393" s="3" t="s">
        <v>205</v>
      </c>
      <c r="T393" s="3" t="s">
        <v>632</v>
      </c>
      <c r="U393" s="3">
        <v>11</v>
      </c>
      <c r="V393" s="3">
        <v>110</v>
      </c>
      <c r="W393" s="3">
        <v>88</v>
      </c>
    </row>
    <row r="394" spans="1:23" ht="11.25" customHeight="1" x14ac:dyDescent="0.25">
      <c r="A394" s="3" t="s">
        <v>28</v>
      </c>
      <c r="B394" s="3" t="s">
        <v>41</v>
      </c>
      <c r="C394" s="3" t="s">
        <v>40</v>
      </c>
      <c r="D394" s="3" t="s">
        <v>38</v>
      </c>
      <c r="E394" s="3" t="s">
        <v>25</v>
      </c>
      <c r="F394" s="3" t="s">
        <v>25</v>
      </c>
      <c r="G394" s="3" t="s">
        <v>25</v>
      </c>
      <c r="H394" s="3" t="s">
        <v>34</v>
      </c>
      <c r="I394" s="6">
        <v>44562</v>
      </c>
      <c r="J394" s="4">
        <v>29</v>
      </c>
      <c r="K394" s="4">
        <v>29</v>
      </c>
      <c r="L394" s="4">
        <v>0.91100000000000003</v>
      </c>
      <c r="M394" s="4">
        <v>0.91100000000000003</v>
      </c>
      <c r="N394" s="4">
        <v>0.91100000000000003</v>
      </c>
      <c r="O394" s="4">
        <v>0.91100000000000003</v>
      </c>
      <c r="P394" s="4">
        <v>0</v>
      </c>
      <c r="Q394" s="3" t="s">
        <v>26</v>
      </c>
      <c r="R394" s="3">
        <v>0</v>
      </c>
      <c r="S394" s="3" t="s">
        <v>205</v>
      </c>
      <c r="T394" s="3" t="s">
        <v>632</v>
      </c>
      <c r="U394" s="3">
        <v>11</v>
      </c>
      <c r="V394" s="3">
        <v>110</v>
      </c>
      <c r="W394" s="3">
        <v>88</v>
      </c>
    </row>
    <row r="395" spans="1:23" ht="11.25" customHeight="1" x14ac:dyDescent="0.25">
      <c r="A395" s="3" t="s">
        <v>21</v>
      </c>
      <c r="B395" s="3" t="s">
        <v>41</v>
      </c>
      <c r="C395" s="3" t="s">
        <v>40</v>
      </c>
      <c r="D395" s="3" t="s">
        <v>38</v>
      </c>
      <c r="E395" s="3" t="s">
        <v>25</v>
      </c>
      <c r="F395" s="3" t="s">
        <v>25</v>
      </c>
      <c r="G395" s="3" t="s">
        <v>25</v>
      </c>
      <c r="H395" s="3" t="s">
        <v>34</v>
      </c>
      <c r="I395" s="6">
        <v>44593</v>
      </c>
      <c r="J395" s="4">
        <v>1635</v>
      </c>
      <c r="K395" s="4">
        <v>1635</v>
      </c>
      <c r="L395" s="4">
        <v>55.417000000000002</v>
      </c>
      <c r="M395" s="4">
        <v>55.417000000000002</v>
      </c>
      <c r="N395" s="4">
        <v>55.417000000000002</v>
      </c>
      <c r="O395" s="4">
        <v>55.417000000000002</v>
      </c>
      <c r="P395" s="4">
        <v>0</v>
      </c>
      <c r="Q395" s="3" t="s">
        <v>26</v>
      </c>
      <c r="R395" s="3">
        <v>0</v>
      </c>
      <c r="S395" s="3" t="s">
        <v>206</v>
      </c>
      <c r="T395" s="3" t="s">
        <v>633</v>
      </c>
      <c r="U395" s="3">
        <v>11</v>
      </c>
      <c r="V395" s="3">
        <v>110</v>
      </c>
      <c r="W395" s="3">
        <v>88</v>
      </c>
    </row>
    <row r="396" spans="1:23" ht="11.25" customHeight="1" x14ac:dyDescent="0.25">
      <c r="A396" s="3" t="s">
        <v>28</v>
      </c>
      <c r="B396" s="3" t="s">
        <v>41</v>
      </c>
      <c r="C396" s="3" t="s">
        <v>40</v>
      </c>
      <c r="D396" s="3" t="s">
        <v>38</v>
      </c>
      <c r="E396" s="3" t="s">
        <v>25</v>
      </c>
      <c r="F396" s="3" t="s">
        <v>25</v>
      </c>
      <c r="G396" s="3" t="s">
        <v>25</v>
      </c>
      <c r="H396" s="3" t="s">
        <v>34</v>
      </c>
      <c r="I396" s="6">
        <v>44593</v>
      </c>
      <c r="J396" s="4">
        <v>30</v>
      </c>
      <c r="K396" s="4">
        <v>30</v>
      </c>
      <c r="L396" s="4">
        <v>0.92</v>
      </c>
      <c r="M396" s="4">
        <v>0.92</v>
      </c>
      <c r="N396" s="4">
        <v>0.92</v>
      </c>
      <c r="O396" s="4">
        <v>0.92</v>
      </c>
      <c r="P396" s="4">
        <v>0</v>
      </c>
      <c r="Q396" s="3" t="s">
        <v>26</v>
      </c>
      <c r="R396" s="3">
        <v>0</v>
      </c>
      <c r="S396" s="3" t="s">
        <v>206</v>
      </c>
      <c r="T396" s="3" t="s">
        <v>633</v>
      </c>
      <c r="U396" s="3">
        <v>11</v>
      </c>
      <c r="V396" s="3">
        <v>110</v>
      </c>
      <c r="W396" s="3">
        <v>88</v>
      </c>
    </row>
    <row r="397" spans="1:23" ht="11.25" customHeight="1" x14ac:dyDescent="0.25">
      <c r="A397" s="3" t="s">
        <v>56</v>
      </c>
      <c r="B397" s="3" t="s">
        <v>41</v>
      </c>
      <c r="C397" s="3" t="s">
        <v>40</v>
      </c>
      <c r="D397" s="3" t="s">
        <v>38</v>
      </c>
      <c r="E397" s="3" t="s">
        <v>25</v>
      </c>
      <c r="F397" s="3" t="s">
        <v>25</v>
      </c>
      <c r="G397" s="3" t="s">
        <v>25</v>
      </c>
      <c r="H397" s="3" t="s">
        <v>34</v>
      </c>
      <c r="I397" s="6">
        <v>44621</v>
      </c>
      <c r="J397" s="4">
        <v>1635</v>
      </c>
      <c r="K397" s="4">
        <v>1635</v>
      </c>
      <c r="L397" s="4">
        <v>55.417000000000002</v>
      </c>
      <c r="M397" s="4">
        <v>55.417000000000002</v>
      </c>
      <c r="N397" s="4">
        <v>55.417000000000002</v>
      </c>
      <c r="O397" s="4">
        <v>55.417000000000002</v>
      </c>
      <c r="P397" s="4">
        <v>0</v>
      </c>
      <c r="Q397" s="3" t="s">
        <v>26</v>
      </c>
      <c r="R397" s="3">
        <v>0</v>
      </c>
      <c r="S397" s="3" t="s">
        <v>207</v>
      </c>
      <c r="T397" s="3" t="s">
        <v>634</v>
      </c>
      <c r="U397" s="3">
        <v>11</v>
      </c>
      <c r="V397" s="3">
        <v>110</v>
      </c>
      <c r="W397" s="3">
        <v>88</v>
      </c>
    </row>
    <row r="398" spans="1:23" ht="11.25" customHeight="1" x14ac:dyDescent="0.25">
      <c r="A398" s="3" t="s">
        <v>56</v>
      </c>
      <c r="B398" s="3" t="s">
        <v>41</v>
      </c>
      <c r="C398" s="3" t="s">
        <v>40</v>
      </c>
      <c r="D398" s="3" t="s">
        <v>38</v>
      </c>
      <c r="E398" s="3" t="s">
        <v>25</v>
      </c>
      <c r="F398" s="3" t="s">
        <v>25</v>
      </c>
      <c r="G398" s="3" t="s">
        <v>25</v>
      </c>
      <c r="H398" s="3" t="s">
        <v>34</v>
      </c>
      <c r="I398" s="6">
        <v>44621</v>
      </c>
      <c r="J398" s="4">
        <v>30</v>
      </c>
      <c r="K398" s="4">
        <v>30</v>
      </c>
      <c r="L398" s="4">
        <v>0.92</v>
      </c>
      <c r="M398" s="4">
        <v>0.92</v>
      </c>
      <c r="N398" s="4">
        <v>0.92</v>
      </c>
      <c r="O398" s="4">
        <v>0.92</v>
      </c>
      <c r="P398" s="4">
        <v>0</v>
      </c>
      <c r="Q398" s="3" t="s">
        <v>26</v>
      </c>
      <c r="R398" s="3">
        <v>0</v>
      </c>
      <c r="S398" s="3" t="s">
        <v>207</v>
      </c>
      <c r="T398" s="3" t="s">
        <v>634</v>
      </c>
      <c r="U398" s="3">
        <v>11</v>
      </c>
      <c r="V398" s="3">
        <v>110</v>
      </c>
      <c r="W398" s="3">
        <v>88</v>
      </c>
    </row>
    <row r="399" spans="1:23" ht="11.25" customHeight="1" x14ac:dyDescent="0.25">
      <c r="A399" s="3" t="s">
        <v>21</v>
      </c>
      <c r="B399" s="3" t="s">
        <v>41</v>
      </c>
      <c r="C399" s="3" t="s">
        <v>40</v>
      </c>
      <c r="D399" s="3" t="s">
        <v>46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44287</v>
      </c>
      <c r="J399" s="4">
        <v>3687</v>
      </c>
      <c r="K399" s="4">
        <v>3687</v>
      </c>
      <c r="L399" s="4">
        <v>1108.0540000000001</v>
      </c>
      <c r="M399" s="4">
        <v>1108.0540000000001</v>
      </c>
      <c r="N399" s="4">
        <v>1108.0540000000001</v>
      </c>
      <c r="O399" s="4">
        <v>1108.0540000000001</v>
      </c>
      <c r="P399" s="4">
        <v>0</v>
      </c>
      <c r="Q399" s="3" t="s">
        <v>26</v>
      </c>
      <c r="R399" s="3">
        <v>0</v>
      </c>
      <c r="S399" s="3" t="s">
        <v>184</v>
      </c>
      <c r="T399" s="3" t="s">
        <v>611</v>
      </c>
      <c r="U399" s="3">
        <v>12</v>
      </c>
      <c r="V399" s="3">
        <v>110</v>
      </c>
      <c r="W399" s="3">
        <v>89</v>
      </c>
    </row>
    <row r="400" spans="1:23" ht="11.25" customHeight="1" x14ac:dyDescent="0.25">
      <c r="A400" s="3" t="s">
        <v>21</v>
      </c>
      <c r="B400" s="3" t="s">
        <v>41</v>
      </c>
      <c r="C400" s="3" t="s">
        <v>40</v>
      </c>
      <c r="D400" s="3" t="s">
        <v>46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44317</v>
      </c>
      <c r="J400" s="4">
        <v>3598</v>
      </c>
      <c r="K400" s="4">
        <v>3598</v>
      </c>
      <c r="L400" s="4">
        <v>1018.43</v>
      </c>
      <c r="M400" s="4">
        <v>1018.43</v>
      </c>
      <c r="N400" s="4">
        <v>1018.43</v>
      </c>
      <c r="O400" s="4">
        <v>1018.43</v>
      </c>
      <c r="P400" s="4">
        <v>0</v>
      </c>
      <c r="Q400" s="3" t="s">
        <v>26</v>
      </c>
      <c r="R400" s="3">
        <v>0</v>
      </c>
      <c r="S400" s="3" t="s">
        <v>185</v>
      </c>
      <c r="T400" s="3" t="s">
        <v>612</v>
      </c>
      <c r="U400" s="3">
        <v>12</v>
      </c>
      <c r="V400" s="3">
        <v>110</v>
      </c>
      <c r="W400" s="3">
        <v>89</v>
      </c>
    </row>
    <row r="401" spans="1:23" ht="11.25" customHeight="1" x14ac:dyDescent="0.25">
      <c r="A401" s="3" t="s">
        <v>21</v>
      </c>
      <c r="B401" s="3" t="s">
        <v>41</v>
      </c>
      <c r="C401" s="3" t="s">
        <v>40</v>
      </c>
      <c r="D401" s="3" t="s">
        <v>46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44348</v>
      </c>
      <c r="J401" s="4">
        <v>3812</v>
      </c>
      <c r="K401" s="4">
        <v>3812</v>
      </c>
      <c r="L401" s="4">
        <v>951.928</v>
      </c>
      <c r="M401" s="4">
        <v>951.928</v>
      </c>
      <c r="N401" s="4">
        <v>951.928</v>
      </c>
      <c r="O401" s="4">
        <v>951.928</v>
      </c>
      <c r="P401" s="4">
        <v>0</v>
      </c>
      <c r="Q401" s="3" t="s">
        <v>26</v>
      </c>
      <c r="R401" s="3">
        <v>0</v>
      </c>
      <c r="S401" s="3" t="s">
        <v>186</v>
      </c>
      <c r="T401" s="3" t="s">
        <v>613</v>
      </c>
      <c r="U401" s="3">
        <v>12</v>
      </c>
      <c r="V401" s="3">
        <v>110</v>
      </c>
      <c r="W401" s="3">
        <v>89</v>
      </c>
    </row>
    <row r="402" spans="1:23" ht="11.25" customHeight="1" x14ac:dyDescent="0.25">
      <c r="A402" s="3" t="s">
        <v>21</v>
      </c>
      <c r="B402" s="3" t="s">
        <v>41</v>
      </c>
      <c r="C402" s="3" t="s">
        <v>40</v>
      </c>
      <c r="D402" s="3" t="s">
        <v>46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44378</v>
      </c>
      <c r="J402" s="4">
        <v>3550</v>
      </c>
      <c r="K402" s="4">
        <v>3550</v>
      </c>
      <c r="L402" s="4">
        <v>899.85199999999998</v>
      </c>
      <c r="M402" s="4">
        <v>899.85199999999998</v>
      </c>
      <c r="N402" s="4">
        <v>899.85199999999998</v>
      </c>
      <c r="O402" s="4">
        <v>899.85199999999998</v>
      </c>
      <c r="P402" s="4">
        <v>0</v>
      </c>
      <c r="Q402" s="3" t="s">
        <v>26</v>
      </c>
      <c r="R402" s="3">
        <v>0</v>
      </c>
      <c r="S402" s="3" t="s">
        <v>187</v>
      </c>
      <c r="T402" s="3" t="s">
        <v>614</v>
      </c>
      <c r="U402" s="3">
        <v>12</v>
      </c>
      <c r="V402" s="3">
        <v>110</v>
      </c>
      <c r="W402" s="3">
        <v>89</v>
      </c>
    </row>
    <row r="403" spans="1:23" ht="11.25" customHeight="1" x14ac:dyDescent="0.25">
      <c r="A403" s="3" t="s">
        <v>27</v>
      </c>
      <c r="B403" s="3" t="s">
        <v>41</v>
      </c>
      <c r="C403" s="3" t="s">
        <v>40</v>
      </c>
      <c r="D403" s="3" t="s">
        <v>46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44378</v>
      </c>
      <c r="J403" s="4">
        <v>-220</v>
      </c>
      <c r="K403" s="4">
        <v>-220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3" t="s">
        <v>26</v>
      </c>
      <c r="R403" s="3">
        <v>0</v>
      </c>
      <c r="S403" s="3" t="s">
        <v>187</v>
      </c>
      <c r="T403" s="3" t="s">
        <v>614</v>
      </c>
      <c r="U403" s="3">
        <v>12</v>
      </c>
      <c r="V403" s="3">
        <v>0</v>
      </c>
      <c r="W403" s="3">
        <v>0</v>
      </c>
    </row>
    <row r="404" spans="1:23" ht="11.25" customHeight="1" x14ac:dyDescent="0.25">
      <c r="A404" s="3" t="s">
        <v>21</v>
      </c>
      <c r="B404" s="3" t="s">
        <v>41</v>
      </c>
      <c r="C404" s="3" t="s">
        <v>40</v>
      </c>
      <c r="D404" s="3" t="s">
        <v>46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44409</v>
      </c>
      <c r="J404" s="4">
        <v>3545</v>
      </c>
      <c r="K404" s="4">
        <v>3545</v>
      </c>
      <c r="L404" s="4">
        <v>920.48500000000001</v>
      </c>
      <c r="M404" s="4">
        <v>920.48500000000001</v>
      </c>
      <c r="N404" s="4">
        <v>920.48500000000001</v>
      </c>
      <c r="O404" s="4">
        <v>920.48500000000001</v>
      </c>
      <c r="P404" s="4">
        <v>0</v>
      </c>
      <c r="Q404" s="3" t="s">
        <v>26</v>
      </c>
      <c r="R404" s="3">
        <v>0</v>
      </c>
      <c r="S404" s="3" t="s">
        <v>188</v>
      </c>
      <c r="T404" s="3" t="s">
        <v>615</v>
      </c>
      <c r="U404" s="3">
        <v>12</v>
      </c>
      <c r="V404" s="3">
        <v>110</v>
      </c>
      <c r="W404" s="3">
        <v>89</v>
      </c>
    </row>
    <row r="405" spans="1:23" ht="11.25" customHeight="1" x14ac:dyDescent="0.25">
      <c r="A405" s="3" t="s">
        <v>21</v>
      </c>
      <c r="B405" s="3" t="s">
        <v>41</v>
      </c>
      <c r="C405" s="3" t="s">
        <v>40</v>
      </c>
      <c r="D405" s="3" t="s">
        <v>46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44440</v>
      </c>
      <c r="J405" s="4">
        <v>3870</v>
      </c>
      <c r="K405" s="4">
        <v>3870</v>
      </c>
      <c r="L405" s="4">
        <v>1019.596</v>
      </c>
      <c r="M405" s="4">
        <v>1019.596</v>
      </c>
      <c r="N405" s="4">
        <v>1019.596</v>
      </c>
      <c r="O405" s="4">
        <v>1019.596</v>
      </c>
      <c r="P405" s="4">
        <v>0</v>
      </c>
      <c r="Q405" s="3" t="s">
        <v>26</v>
      </c>
      <c r="R405" s="3">
        <v>0</v>
      </c>
      <c r="S405" s="3" t="s">
        <v>189</v>
      </c>
      <c r="T405" s="3" t="s">
        <v>616</v>
      </c>
      <c r="U405" s="3">
        <v>12</v>
      </c>
      <c r="V405" s="3">
        <v>110</v>
      </c>
      <c r="W405" s="3">
        <v>89</v>
      </c>
    </row>
    <row r="406" spans="1:23" ht="11.25" customHeight="1" x14ac:dyDescent="0.25">
      <c r="A406" s="3" t="s">
        <v>21</v>
      </c>
      <c r="B406" s="3" t="s">
        <v>41</v>
      </c>
      <c r="C406" s="3" t="s">
        <v>40</v>
      </c>
      <c r="D406" s="3" t="s">
        <v>46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44470</v>
      </c>
      <c r="J406" s="4">
        <v>4058</v>
      </c>
      <c r="K406" s="4">
        <v>4058</v>
      </c>
      <c r="L406" s="4">
        <v>1179.6420000000001</v>
      </c>
      <c r="M406" s="4">
        <v>1179.6420000000001</v>
      </c>
      <c r="N406" s="4">
        <v>1179.6420000000001</v>
      </c>
      <c r="O406" s="4">
        <v>1179.6420000000001</v>
      </c>
      <c r="P406" s="4">
        <v>0</v>
      </c>
      <c r="Q406" s="3" t="s">
        <v>26</v>
      </c>
      <c r="R406" s="3">
        <v>0</v>
      </c>
      <c r="S406" s="3" t="s">
        <v>190</v>
      </c>
      <c r="T406" s="3" t="s">
        <v>617</v>
      </c>
      <c r="U406" s="3">
        <v>12</v>
      </c>
      <c r="V406" s="3">
        <v>110</v>
      </c>
      <c r="W406" s="3">
        <v>89</v>
      </c>
    </row>
    <row r="407" spans="1:23" ht="11.25" customHeight="1" x14ac:dyDescent="0.25">
      <c r="A407" s="3" t="s">
        <v>21</v>
      </c>
      <c r="B407" s="3" t="s">
        <v>41</v>
      </c>
      <c r="C407" s="3" t="s">
        <v>40</v>
      </c>
      <c r="D407" s="3" t="s">
        <v>46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44501</v>
      </c>
      <c r="J407" s="4">
        <v>4120</v>
      </c>
      <c r="K407" s="4">
        <v>4120</v>
      </c>
      <c r="L407" s="4">
        <v>1184.915</v>
      </c>
      <c r="M407" s="4">
        <v>1184.915</v>
      </c>
      <c r="N407" s="4">
        <v>1184.915</v>
      </c>
      <c r="O407" s="4">
        <v>1184.915</v>
      </c>
      <c r="P407" s="4">
        <v>0</v>
      </c>
      <c r="Q407" s="3" t="s">
        <v>26</v>
      </c>
      <c r="R407" s="3">
        <v>0</v>
      </c>
      <c r="S407" s="3" t="s">
        <v>191</v>
      </c>
      <c r="T407" s="3" t="s">
        <v>618</v>
      </c>
      <c r="U407" s="3">
        <v>12</v>
      </c>
      <c r="V407" s="3">
        <v>110</v>
      </c>
      <c r="W407" s="3">
        <v>89</v>
      </c>
    </row>
    <row r="408" spans="1:23" ht="11.25" customHeight="1" x14ac:dyDescent="0.25">
      <c r="A408" s="3" t="s">
        <v>21</v>
      </c>
      <c r="B408" s="3" t="s">
        <v>41</v>
      </c>
      <c r="C408" s="3" t="s">
        <v>40</v>
      </c>
      <c r="D408" s="3" t="s">
        <v>46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44531</v>
      </c>
      <c r="J408" s="4">
        <v>4136</v>
      </c>
      <c r="K408" s="4">
        <v>4136</v>
      </c>
      <c r="L408" s="4">
        <v>1212.8989999999999</v>
      </c>
      <c r="M408" s="4">
        <v>1212.8989999999999</v>
      </c>
      <c r="N408" s="4">
        <v>1212.8989999999999</v>
      </c>
      <c r="O408" s="4">
        <v>1212.8989999999999</v>
      </c>
      <c r="P408" s="4">
        <v>0</v>
      </c>
      <c r="Q408" s="3" t="s">
        <v>26</v>
      </c>
      <c r="R408" s="3">
        <v>0</v>
      </c>
      <c r="S408" s="3" t="s">
        <v>192</v>
      </c>
      <c r="T408" s="3" t="s">
        <v>619</v>
      </c>
      <c r="U408" s="3">
        <v>12</v>
      </c>
      <c r="V408" s="3">
        <v>110</v>
      </c>
      <c r="W408" s="3">
        <v>89</v>
      </c>
    </row>
    <row r="409" spans="1:23" ht="11.25" customHeight="1" x14ac:dyDescent="0.25">
      <c r="A409" s="3" t="s">
        <v>21</v>
      </c>
      <c r="B409" s="3" t="s">
        <v>41</v>
      </c>
      <c r="C409" s="3" t="s">
        <v>40</v>
      </c>
      <c r="D409" s="3" t="s">
        <v>46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44562</v>
      </c>
      <c r="J409" s="4">
        <v>7266</v>
      </c>
      <c r="K409" s="4">
        <v>7266</v>
      </c>
      <c r="L409" s="4">
        <v>1910.9829999999999</v>
      </c>
      <c r="M409" s="4">
        <v>1910.9829999999999</v>
      </c>
      <c r="N409" s="4">
        <v>1910.9829999999999</v>
      </c>
      <c r="O409" s="4">
        <v>1910.9829999999999</v>
      </c>
      <c r="P409" s="4">
        <v>0</v>
      </c>
      <c r="Q409" s="3" t="s">
        <v>26</v>
      </c>
      <c r="R409" s="3">
        <v>0</v>
      </c>
      <c r="S409" s="3" t="s">
        <v>193</v>
      </c>
      <c r="T409" s="3" t="s">
        <v>620</v>
      </c>
      <c r="U409" s="3">
        <v>12</v>
      </c>
      <c r="V409" s="3">
        <v>110</v>
      </c>
      <c r="W409" s="3">
        <v>89</v>
      </c>
    </row>
    <row r="410" spans="1:23" ht="11.25" customHeight="1" x14ac:dyDescent="0.25">
      <c r="A410" s="3" t="s">
        <v>21</v>
      </c>
      <c r="B410" s="3" t="s">
        <v>41</v>
      </c>
      <c r="C410" s="3" t="s">
        <v>40</v>
      </c>
      <c r="D410" s="3" t="s">
        <v>46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44593</v>
      </c>
      <c r="J410" s="4">
        <v>6780</v>
      </c>
      <c r="K410" s="4">
        <v>6780</v>
      </c>
      <c r="L410" s="4">
        <v>1810.422</v>
      </c>
      <c r="M410" s="4">
        <v>1810.422</v>
      </c>
      <c r="N410" s="4">
        <v>1810.422</v>
      </c>
      <c r="O410" s="4">
        <v>1810.422</v>
      </c>
      <c r="P410" s="4">
        <v>0</v>
      </c>
      <c r="Q410" s="3" t="s">
        <v>26</v>
      </c>
      <c r="R410" s="3">
        <v>0</v>
      </c>
      <c r="S410" s="3" t="s">
        <v>194</v>
      </c>
      <c r="T410" s="3" t="s">
        <v>621</v>
      </c>
      <c r="U410" s="3">
        <v>12</v>
      </c>
      <c r="V410" s="3">
        <v>110</v>
      </c>
      <c r="W410" s="3">
        <v>89</v>
      </c>
    </row>
    <row r="411" spans="1:23" ht="11.25" customHeight="1" x14ac:dyDescent="0.25">
      <c r="A411" s="3" t="s">
        <v>27</v>
      </c>
      <c r="B411" s="3" t="s">
        <v>41</v>
      </c>
      <c r="C411" s="3" t="s">
        <v>40</v>
      </c>
      <c r="D411" s="3" t="s">
        <v>46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44593</v>
      </c>
      <c r="J411" s="4">
        <v>-322</v>
      </c>
      <c r="K411" s="4">
        <v>-322</v>
      </c>
      <c r="L411" s="4">
        <v>-95.385000000000005</v>
      </c>
      <c r="M411" s="4">
        <v>-95.385000000000005</v>
      </c>
      <c r="N411" s="4">
        <v>-95.385000000000005</v>
      </c>
      <c r="O411" s="4">
        <v>-95.385000000000005</v>
      </c>
      <c r="P411" s="4">
        <v>0</v>
      </c>
      <c r="Q411" s="3" t="s">
        <v>26</v>
      </c>
      <c r="R411" s="3">
        <v>0</v>
      </c>
      <c r="S411" s="3" t="s">
        <v>194</v>
      </c>
      <c r="T411" s="3" t="s">
        <v>621</v>
      </c>
      <c r="U411" s="3">
        <v>12</v>
      </c>
      <c r="V411" s="3">
        <v>110</v>
      </c>
      <c r="W411" s="3">
        <v>89</v>
      </c>
    </row>
    <row r="412" spans="1:23" ht="11.25" customHeight="1" x14ac:dyDescent="0.25">
      <c r="A412" s="3" t="s">
        <v>56</v>
      </c>
      <c r="B412" s="3" t="s">
        <v>41</v>
      </c>
      <c r="C412" s="3" t="s">
        <v>40</v>
      </c>
      <c r="D412" s="3" t="s">
        <v>46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44621</v>
      </c>
      <c r="J412" s="4">
        <v>6780</v>
      </c>
      <c r="K412" s="4">
        <v>6780</v>
      </c>
      <c r="L412" s="4">
        <v>1810.422</v>
      </c>
      <c r="M412" s="4">
        <v>1810.422</v>
      </c>
      <c r="N412" s="4">
        <v>1810.422</v>
      </c>
      <c r="O412" s="4">
        <v>1810.422</v>
      </c>
      <c r="P412" s="4">
        <v>0</v>
      </c>
      <c r="Q412" s="3" t="s">
        <v>26</v>
      </c>
      <c r="R412" s="3">
        <v>0</v>
      </c>
      <c r="S412" s="3" t="s">
        <v>195</v>
      </c>
      <c r="T412" s="3" t="s">
        <v>622</v>
      </c>
      <c r="U412" s="3">
        <v>12</v>
      </c>
      <c r="V412" s="3">
        <v>110</v>
      </c>
      <c r="W412" s="3">
        <v>89</v>
      </c>
    </row>
    <row r="413" spans="1:23" ht="11.25" customHeight="1" x14ac:dyDescent="0.25">
      <c r="A413" s="3" t="s">
        <v>56</v>
      </c>
      <c r="B413" s="3" t="s">
        <v>41</v>
      </c>
      <c r="C413" s="3" t="s">
        <v>40</v>
      </c>
      <c r="D413" s="3" t="s">
        <v>46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44621</v>
      </c>
      <c r="J413" s="4">
        <v>-322</v>
      </c>
      <c r="K413" s="4">
        <v>-322</v>
      </c>
      <c r="L413" s="4">
        <v>-95.385000000000005</v>
      </c>
      <c r="M413" s="4">
        <v>-95.385000000000005</v>
      </c>
      <c r="N413" s="4">
        <v>-95.385000000000005</v>
      </c>
      <c r="O413" s="4">
        <v>-95.385000000000005</v>
      </c>
      <c r="P413" s="4">
        <v>0</v>
      </c>
      <c r="Q413" s="3" t="s">
        <v>26</v>
      </c>
      <c r="R413" s="3">
        <v>0</v>
      </c>
      <c r="S413" s="3" t="s">
        <v>195</v>
      </c>
      <c r="T413" s="3" t="s">
        <v>622</v>
      </c>
      <c r="U413" s="3">
        <v>12</v>
      </c>
      <c r="V413" s="3">
        <v>110</v>
      </c>
      <c r="W413" s="3">
        <v>89</v>
      </c>
    </row>
    <row r="414" spans="1:23" ht="11.25" customHeight="1" x14ac:dyDescent="0.25">
      <c r="A414" s="3" t="s">
        <v>21</v>
      </c>
      <c r="B414" s="3" t="s">
        <v>41</v>
      </c>
      <c r="C414" s="3" t="s">
        <v>40</v>
      </c>
      <c r="D414" s="3" t="s">
        <v>46</v>
      </c>
      <c r="E414" s="3" t="s">
        <v>25</v>
      </c>
      <c r="F414" s="3" t="s">
        <v>25</v>
      </c>
      <c r="G414" s="3" t="s">
        <v>25</v>
      </c>
      <c r="H414" s="3" t="s">
        <v>34</v>
      </c>
      <c r="I414" s="6">
        <v>44287</v>
      </c>
      <c r="J414" s="4">
        <v>2758</v>
      </c>
      <c r="K414" s="4">
        <v>2758</v>
      </c>
      <c r="L414" s="4">
        <v>104.32899999999999</v>
      </c>
      <c r="M414" s="4">
        <v>104.32899999999999</v>
      </c>
      <c r="N414" s="4">
        <v>104.32899999999999</v>
      </c>
      <c r="O414" s="4">
        <v>104.32899999999999</v>
      </c>
      <c r="P414" s="4">
        <v>0</v>
      </c>
      <c r="Q414" s="3" t="s">
        <v>26</v>
      </c>
      <c r="R414" s="3">
        <v>0</v>
      </c>
      <c r="S414" s="3" t="s">
        <v>196</v>
      </c>
      <c r="T414" s="3" t="s">
        <v>623</v>
      </c>
      <c r="U414" s="3">
        <v>11</v>
      </c>
      <c r="V414" s="3">
        <v>110</v>
      </c>
      <c r="W414" s="3">
        <v>88</v>
      </c>
    </row>
    <row r="415" spans="1:23" ht="11.25" customHeight="1" x14ac:dyDescent="0.25">
      <c r="A415" s="3" t="s">
        <v>21</v>
      </c>
      <c r="B415" s="3" t="s">
        <v>41</v>
      </c>
      <c r="C415" s="3" t="s">
        <v>40</v>
      </c>
      <c r="D415" s="3" t="s">
        <v>46</v>
      </c>
      <c r="E415" s="3" t="s">
        <v>25</v>
      </c>
      <c r="F415" s="3" t="s">
        <v>25</v>
      </c>
      <c r="G415" s="3" t="s">
        <v>25</v>
      </c>
      <c r="H415" s="3" t="s">
        <v>34</v>
      </c>
      <c r="I415" s="6">
        <v>44317</v>
      </c>
      <c r="J415" s="4">
        <v>2690</v>
      </c>
      <c r="K415" s="4">
        <v>2690</v>
      </c>
      <c r="L415" s="4">
        <v>98.05</v>
      </c>
      <c r="M415" s="4">
        <v>98.05</v>
      </c>
      <c r="N415" s="4">
        <v>98.05</v>
      </c>
      <c r="O415" s="4">
        <v>98.05</v>
      </c>
      <c r="P415" s="4">
        <v>0</v>
      </c>
      <c r="Q415" s="3" t="s">
        <v>26</v>
      </c>
      <c r="R415" s="3">
        <v>0</v>
      </c>
      <c r="S415" s="3" t="s">
        <v>197</v>
      </c>
      <c r="T415" s="3" t="s">
        <v>624</v>
      </c>
      <c r="U415" s="3">
        <v>11</v>
      </c>
      <c r="V415" s="3">
        <v>110</v>
      </c>
      <c r="W415" s="3">
        <v>88</v>
      </c>
    </row>
    <row r="416" spans="1:23" ht="11.25" customHeight="1" x14ac:dyDescent="0.25">
      <c r="A416" s="3" t="s">
        <v>21</v>
      </c>
      <c r="B416" s="3" t="s">
        <v>41</v>
      </c>
      <c r="C416" s="3" t="s">
        <v>40</v>
      </c>
      <c r="D416" s="3" t="s">
        <v>46</v>
      </c>
      <c r="E416" s="3" t="s">
        <v>25</v>
      </c>
      <c r="F416" s="3" t="s">
        <v>25</v>
      </c>
      <c r="G416" s="3" t="s">
        <v>25</v>
      </c>
      <c r="H416" s="3" t="s">
        <v>34</v>
      </c>
      <c r="I416" s="6">
        <v>44348</v>
      </c>
      <c r="J416" s="4">
        <v>2816</v>
      </c>
      <c r="K416" s="4">
        <v>2816</v>
      </c>
      <c r="L416" s="4">
        <v>92.218000000000004</v>
      </c>
      <c r="M416" s="4">
        <v>92.218000000000004</v>
      </c>
      <c r="N416" s="4">
        <v>92.218000000000004</v>
      </c>
      <c r="O416" s="4">
        <v>92.218000000000004</v>
      </c>
      <c r="P416" s="4">
        <v>0</v>
      </c>
      <c r="Q416" s="3" t="s">
        <v>26</v>
      </c>
      <c r="R416" s="3">
        <v>0</v>
      </c>
      <c r="S416" s="3" t="s">
        <v>198</v>
      </c>
      <c r="T416" s="3" t="s">
        <v>625</v>
      </c>
      <c r="U416" s="3">
        <v>11</v>
      </c>
      <c r="V416" s="3">
        <v>110</v>
      </c>
      <c r="W416" s="3">
        <v>88</v>
      </c>
    </row>
    <row r="417" spans="1:23" ht="11.25" customHeight="1" x14ac:dyDescent="0.25">
      <c r="A417" s="3" t="s">
        <v>21</v>
      </c>
      <c r="B417" s="3" t="s">
        <v>41</v>
      </c>
      <c r="C417" s="3" t="s">
        <v>40</v>
      </c>
      <c r="D417" s="3" t="s">
        <v>46</v>
      </c>
      <c r="E417" s="3" t="s">
        <v>25</v>
      </c>
      <c r="F417" s="3" t="s">
        <v>25</v>
      </c>
      <c r="G417" s="3" t="s">
        <v>25</v>
      </c>
      <c r="H417" s="3" t="s">
        <v>34</v>
      </c>
      <c r="I417" s="6">
        <v>44378</v>
      </c>
      <c r="J417" s="4">
        <v>2613</v>
      </c>
      <c r="K417" s="4">
        <v>2613</v>
      </c>
      <c r="L417" s="4">
        <v>89.968999999999994</v>
      </c>
      <c r="M417" s="4">
        <v>89.968999999999994</v>
      </c>
      <c r="N417" s="4">
        <v>89.968999999999994</v>
      </c>
      <c r="O417" s="4">
        <v>89.968999999999994</v>
      </c>
      <c r="P417" s="4">
        <v>0</v>
      </c>
      <c r="Q417" s="3" t="s">
        <v>26</v>
      </c>
      <c r="R417" s="3">
        <v>0</v>
      </c>
      <c r="S417" s="3" t="s">
        <v>199</v>
      </c>
      <c r="T417" s="3" t="s">
        <v>626</v>
      </c>
      <c r="U417" s="3">
        <v>11</v>
      </c>
      <c r="V417" s="3">
        <v>110</v>
      </c>
      <c r="W417" s="3">
        <v>88</v>
      </c>
    </row>
    <row r="418" spans="1:23" ht="11.25" customHeight="1" x14ac:dyDescent="0.25">
      <c r="A418" s="3" t="s">
        <v>27</v>
      </c>
      <c r="B418" s="3" t="s">
        <v>41</v>
      </c>
      <c r="C418" s="3" t="s">
        <v>40</v>
      </c>
      <c r="D418" s="3" t="s">
        <v>46</v>
      </c>
      <c r="E418" s="3" t="s">
        <v>25</v>
      </c>
      <c r="F418" s="3" t="s">
        <v>25</v>
      </c>
      <c r="G418" s="3" t="s">
        <v>25</v>
      </c>
      <c r="H418" s="3" t="s">
        <v>34</v>
      </c>
      <c r="I418" s="6">
        <v>44378</v>
      </c>
      <c r="J418" s="4">
        <v>-150</v>
      </c>
      <c r="K418" s="4">
        <v>-150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3" t="s">
        <v>26</v>
      </c>
      <c r="R418" s="3">
        <v>0</v>
      </c>
      <c r="S418" s="3" t="s">
        <v>199</v>
      </c>
      <c r="T418" s="3" t="s">
        <v>626</v>
      </c>
      <c r="U418" s="3">
        <v>11</v>
      </c>
      <c r="V418" s="3">
        <v>0</v>
      </c>
      <c r="W418" s="3">
        <v>0</v>
      </c>
    </row>
    <row r="419" spans="1:23" ht="11.25" customHeight="1" x14ac:dyDescent="0.25">
      <c r="A419" s="3" t="s">
        <v>21</v>
      </c>
      <c r="B419" s="3" t="s">
        <v>41</v>
      </c>
      <c r="C419" s="3" t="s">
        <v>40</v>
      </c>
      <c r="D419" s="3" t="s">
        <v>46</v>
      </c>
      <c r="E419" s="3" t="s">
        <v>25</v>
      </c>
      <c r="F419" s="3" t="s">
        <v>25</v>
      </c>
      <c r="G419" s="3" t="s">
        <v>25</v>
      </c>
      <c r="H419" s="3" t="s">
        <v>34</v>
      </c>
      <c r="I419" s="6">
        <v>44409</v>
      </c>
      <c r="J419" s="4">
        <v>2589</v>
      </c>
      <c r="K419" s="4">
        <v>2589</v>
      </c>
      <c r="L419" s="4">
        <v>91.953999999999994</v>
      </c>
      <c r="M419" s="4">
        <v>91.953999999999994</v>
      </c>
      <c r="N419" s="4">
        <v>91.953999999999994</v>
      </c>
      <c r="O419" s="4">
        <v>91.953999999999994</v>
      </c>
      <c r="P419" s="4">
        <v>0</v>
      </c>
      <c r="Q419" s="3" t="s">
        <v>26</v>
      </c>
      <c r="R419" s="3">
        <v>0</v>
      </c>
      <c r="S419" s="3" t="s">
        <v>200</v>
      </c>
      <c r="T419" s="3" t="s">
        <v>627</v>
      </c>
      <c r="U419" s="3">
        <v>11</v>
      </c>
      <c r="V419" s="3">
        <v>110</v>
      </c>
      <c r="W419" s="3">
        <v>88</v>
      </c>
    </row>
    <row r="420" spans="1:23" ht="11.25" customHeight="1" x14ac:dyDescent="0.25">
      <c r="A420" s="3" t="s">
        <v>21</v>
      </c>
      <c r="B420" s="3" t="s">
        <v>41</v>
      </c>
      <c r="C420" s="3" t="s">
        <v>40</v>
      </c>
      <c r="D420" s="3" t="s">
        <v>46</v>
      </c>
      <c r="E420" s="3" t="s">
        <v>25</v>
      </c>
      <c r="F420" s="3" t="s">
        <v>25</v>
      </c>
      <c r="G420" s="3" t="s">
        <v>25</v>
      </c>
      <c r="H420" s="3" t="s">
        <v>34</v>
      </c>
      <c r="I420" s="6">
        <v>44440</v>
      </c>
      <c r="J420" s="4">
        <v>2870</v>
      </c>
      <c r="K420" s="4">
        <v>2870</v>
      </c>
      <c r="L420" s="4">
        <v>99.352999999999994</v>
      </c>
      <c r="M420" s="4">
        <v>99.352999999999994</v>
      </c>
      <c r="N420" s="4">
        <v>99.352999999999994</v>
      </c>
      <c r="O420" s="4">
        <v>99.352999999999994</v>
      </c>
      <c r="P420" s="4">
        <v>0</v>
      </c>
      <c r="Q420" s="3" t="s">
        <v>26</v>
      </c>
      <c r="R420" s="3">
        <v>0</v>
      </c>
      <c r="S420" s="3" t="s">
        <v>201</v>
      </c>
      <c r="T420" s="3" t="s">
        <v>628</v>
      </c>
      <c r="U420" s="3">
        <v>11</v>
      </c>
      <c r="V420" s="3">
        <v>110</v>
      </c>
      <c r="W420" s="3">
        <v>88</v>
      </c>
    </row>
    <row r="421" spans="1:23" ht="11.25" customHeight="1" x14ac:dyDescent="0.25">
      <c r="A421" s="3" t="s">
        <v>21</v>
      </c>
      <c r="B421" s="3" t="s">
        <v>41</v>
      </c>
      <c r="C421" s="3" t="s">
        <v>40</v>
      </c>
      <c r="D421" s="3" t="s">
        <v>46</v>
      </c>
      <c r="E421" s="3" t="s">
        <v>25</v>
      </c>
      <c r="F421" s="3" t="s">
        <v>25</v>
      </c>
      <c r="G421" s="3" t="s">
        <v>25</v>
      </c>
      <c r="H421" s="3" t="s">
        <v>34</v>
      </c>
      <c r="I421" s="6">
        <v>44470</v>
      </c>
      <c r="J421" s="4">
        <v>2895</v>
      </c>
      <c r="K421" s="4">
        <v>2895</v>
      </c>
      <c r="L421" s="4">
        <v>106.759</v>
      </c>
      <c r="M421" s="4">
        <v>106.759</v>
      </c>
      <c r="N421" s="4">
        <v>106.759</v>
      </c>
      <c r="O421" s="4">
        <v>106.759</v>
      </c>
      <c r="P421" s="4">
        <v>0</v>
      </c>
      <c r="Q421" s="3" t="s">
        <v>26</v>
      </c>
      <c r="R421" s="3">
        <v>0</v>
      </c>
      <c r="S421" s="3" t="s">
        <v>202</v>
      </c>
      <c r="T421" s="3" t="s">
        <v>629</v>
      </c>
      <c r="U421" s="3">
        <v>11</v>
      </c>
      <c r="V421" s="3">
        <v>110</v>
      </c>
      <c r="W421" s="3">
        <v>88</v>
      </c>
    </row>
    <row r="422" spans="1:23" ht="11.25" customHeight="1" x14ac:dyDescent="0.25">
      <c r="A422" s="3" t="s">
        <v>21</v>
      </c>
      <c r="B422" s="3" t="s">
        <v>41</v>
      </c>
      <c r="C422" s="3" t="s">
        <v>40</v>
      </c>
      <c r="D422" s="3" t="s">
        <v>46</v>
      </c>
      <c r="E422" s="3" t="s">
        <v>25</v>
      </c>
      <c r="F422" s="3" t="s">
        <v>25</v>
      </c>
      <c r="G422" s="3" t="s">
        <v>25</v>
      </c>
      <c r="H422" s="3" t="s">
        <v>34</v>
      </c>
      <c r="I422" s="6">
        <v>44501</v>
      </c>
      <c r="J422" s="4">
        <v>2968</v>
      </c>
      <c r="K422" s="4">
        <v>2968</v>
      </c>
      <c r="L422" s="4">
        <v>112.881</v>
      </c>
      <c r="M422" s="4">
        <v>112.881</v>
      </c>
      <c r="N422" s="4">
        <v>112.881</v>
      </c>
      <c r="O422" s="4">
        <v>112.881</v>
      </c>
      <c r="P422" s="4">
        <v>0</v>
      </c>
      <c r="Q422" s="3" t="s">
        <v>26</v>
      </c>
      <c r="R422" s="3">
        <v>0</v>
      </c>
      <c r="S422" s="3" t="s">
        <v>203</v>
      </c>
      <c r="T422" s="3" t="s">
        <v>630</v>
      </c>
      <c r="U422" s="3">
        <v>11</v>
      </c>
      <c r="V422" s="3">
        <v>110</v>
      </c>
      <c r="W422" s="3">
        <v>88</v>
      </c>
    </row>
    <row r="423" spans="1:23" ht="11.25" customHeight="1" x14ac:dyDescent="0.25">
      <c r="A423" s="3" t="s">
        <v>21</v>
      </c>
      <c r="B423" s="3" t="s">
        <v>41</v>
      </c>
      <c r="C423" s="3" t="s">
        <v>40</v>
      </c>
      <c r="D423" s="3" t="s">
        <v>46</v>
      </c>
      <c r="E423" s="3" t="s">
        <v>25</v>
      </c>
      <c r="F423" s="3" t="s">
        <v>25</v>
      </c>
      <c r="G423" s="3" t="s">
        <v>25</v>
      </c>
      <c r="H423" s="3" t="s">
        <v>34</v>
      </c>
      <c r="I423" s="6">
        <v>44531</v>
      </c>
      <c r="J423" s="4">
        <v>2949</v>
      </c>
      <c r="K423" s="4">
        <v>2949</v>
      </c>
      <c r="L423" s="4">
        <v>125.82899999999999</v>
      </c>
      <c r="M423" s="4">
        <v>125.82899999999999</v>
      </c>
      <c r="N423" s="4">
        <v>125.82899999999999</v>
      </c>
      <c r="O423" s="4">
        <v>125.82899999999999</v>
      </c>
      <c r="P423" s="4">
        <v>0</v>
      </c>
      <c r="Q423" s="3" t="s">
        <v>26</v>
      </c>
      <c r="R423" s="3">
        <v>0</v>
      </c>
      <c r="S423" s="3" t="s">
        <v>204</v>
      </c>
      <c r="T423" s="3" t="s">
        <v>631</v>
      </c>
      <c r="U423" s="3">
        <v>11</v>
      </c>
      <c r="V423" s="3">
        <v>110</v>
      </c>
      <c r="W423" s="3">
        <v>88</v>
      </c>
    </row>
    <row r="424" spans="1:23" ht="11.25" customHeight="1" x14ac:dyDescent="0.25">
      <c r="A424" s="3" t="s">
        <v>21</v>
      </c>
      <c r="B424" s="3" t="s">
        <v>41</v>
      </c>
      <c r="C424" s="3" t="s">
        <v>40</v>
      </c>
      <c r="D424" s="3" t="s">
        <v>46</v>
      </c>
      <c r="E424" s="3" t="s">
        <v>25</v>
      </c>
      <c r="F424" s="3" t="s">
        <v>25</v>
      </c>
      <c r="G424" s="3" t="s">
        <v>25</v>
      </c>
      <c r="H424" s="3" t="s">
        <v>34</v>
      </c>
      <c r="I424" s="6">
        <v>44562</v>
      </c>
      <c r="J424" s="4">
        <v>5444</v>
      </c>
      <c r="K424" s="4">
        <v>5444</v>
      </c>
      <c r="L424" s="4">
        <v>189.29400000000001</v>
      </c>
      <c r="M424" s="4">
        <v>189.29400000000001</v>
      </c>
      <c r="N424" s="4">
        <v>189.29400000000001</v>
      </c>
      <c r="O424" s="4">
        <v>189.29400000000001</v>
      </c>
      <c r="P424" s="4">
        <v>0</v>
      </c>
      <c r="Q424" s="3" t="s">
        <v>26</v>
      </c>
      <c r="R424" s="3">
        <v>0</v>
      </c>
      <c r="S424" s="3" t="s">
        <v>205</v>
      </c>
      <c r="T424" s="3" t="s">
        <v>632</v>
      </c>
      <c r="U424" s="3">
        <v>11</v>
      </c>
      <c r="V424" s="3">
        <v>110</v>
      </c>
      <c r="W424" s="3">
        <v>88</v>
      </c>
    </row>
    <row r="425" spans="1:23" ht="11.25" customHeight="1" x14ac:dyDescent="0.25">
      <c r="A425" s="3" t="s">
        <v>21</v>
      </c>
      <c r="B425" s="3" t="s">
        <v>41</v>
      </c>
      <c r="C425" s="3" t="s">
        <v>40</v>
      </c>
      <c r="D425" s="3" t="s">
        <v>46</v>
      </c>
      <c r="E425" s="3" t="s">
        <v>25</v>
      </c>
      <c r="F425" s="3" t="s">
        <v>25</v>
      </c>
      <c r="G425" s="3" t="s">
        <v>25</v>
      </c>
      <c r="H425" s="3" t="s">
        <v>34</v>
      </c>
      <c r="I425" s="6">
        <v>44593</v>
      </c>
      <c r="J425" s="4">
        <v>5147</v>
      </c>
      <c r="K425" s="4">
        <v>5147</v>
      </c>
      <c r="L425" s="4">
        <v>189.32900000000001</v>
      </c>
      <c r="M425" s="4">
        <v>189.32900000000001</v>
      </c>
      <c r="N425" s="4">
        <v>189.32900000000001</v>
      </c>
      <c r="O425" s="4">
        <v>189.32900000000001</v>
      </c>
      <c r="P425" s="4">
        <v>0</v>
      </c>
      <c r="Q425" s="3" t="s">
        <v>26</v>
      </c>
      <c r="R425" s="3">
        <v>0</v>
      </c>
      <c r="S425" s="3" t="s">
        <v>206</v>
      </c>
      <c r="T425" s="3" t="s">
        <v>633</v>
      </c>
      <c r="U425" s="3">
        <v>11</v>
      </c>
      <c r="V425" s="3">
        <v>110</v>
      </c>
      <c r="W425" s="3">
        <v>88</v>
      </c>
    </row>
    <row r="426" spans="1:23" ht="11.25" customHeight="1" x14ac:dyDescent="0.25">
      <c r="A426" s="3" t="s">
        <v>27</v>
      </c>
      <c r="B426" s="3" t="s">
        <v>41</v>
      </c>
      <c r="C426" s="3" t="s">
        <v>40</v>
      </c>
      <c r="D426" s="3" t="s">
        <v>46</v>
      </c>
      <c r="E426" s="3" t="s">
        <v>25</v>
      </c>
      <c r="F426" s="3" t="s">
        <v>25</v>
      </c>
      <c r="G426" s="3" t="s">
        <v>25</v>
      </c>
      <c r="H426" s="3" t="s">
        <v>34</v>
      </c>
      <c r="I426" s="6">
        <v>44593</v>
      </c>
      <c r="J426" s="4">
        <v>-253</v>
      </c>
      <c r="K426" s="4">
        <v>-253</v>
      </c>
      <c r="L426" s="4">
        <v>-11.163</v>
      </c>
      <c r="M426" s="4">
        <v>-11.163</v>
      </c>
      <c r="N426" s="4">
        <v>-11.163</v>
      </c>
      <c r="O426" s="4">
        <v>-11.163</v>
      </c>
      <c r="P426" s="4">
        <v>0</v>
      </c>
      <c r="Q426" s="3" t="s">
        <v>26</v>
      </c>
      <c r="R426" s="3">
        <v>0</v>
      </c>
      <c r="S426" s="3" t="s">
        <v>206</v>
      </c>
      <c r="T426" s="3" t="s">
        <v>633</v>
      </c>
      <c r="U426" s="3">
        <v>11</v>
      </c>
      <c r="V426" s="3">
        <v>110</v>
      </c>
      <c r="W426" s="3">
        <v>88</v>
      </c>
    </row>
    <row r="427" spans="1:23" ht="11.25" customHeight="1" x14ac:dyDescent="0.25">
      <c r="A427" s="3" t="s">
        <v>56</v>
      </c>
      <c r="B427" s="3" t="s">
        <v>41</v>
      </c>
      <c r="C427" s="3" t="s">
        <v>40</v>
      </c>
      <c r="D427" s="3" t="s">
        <v>46</v>
      </c>
      <c r="E427" s="3" t="s">
        <v>25</v>
      </c>
      <c r="F427" s="3" t="s">
        <v>25</v>
      </c>
      <c r="G427" s="3" t="s">
        <v>25</v>
      </c>
      <c r="H427" s="3" t="s">
        <v>34</v>
      </c>
      <c r="I427" s="6">
        <v>44621</v>
      </c>
      <c r="J427" s="4">
        <v>5147</v>
      </c>
      <c r="K427" s="4">
        <v>5147</v>
      </c>
      <c r="L427" s="4">
        <v>189.32900000000001</v>
      </c>
      <c r="M427" s="4">
        <v>189.32900000000001</v>
      </c>
      <c r="N427" s="4">
        <v>189.32900000000001</v>
      </c>
      <c r="O427" s="4">
        <v>189.32900000000001</v>
      </c>
      <c r="P427" s="4">
        <v>0</v>
      </c>
      <c r="Q427" s="3" t="s">
        <v>26</v>
      </c>
      <c r="R427" s="3">
        <v>0</v>
      </c>
      <c r="S427" s="3" t="s">
        <v>207</v>
      </c>
      <c r="T427" s="3" t="s">
        <v>634</v>
      </c>
      <c r="U427" s="3">
        <v>11</v>
      </c>
      <c r="V427" s="3">
        <v>110</v>
      </c>
      <c r="W427" s="3">
        <v>88</v>
      </c>
    </row>
    <row r="428" spans="1:23" ht="11.25" customHeight="1" x14ac:dyDescent="0.25">
      <c r="A428" s="3" t="s">
        <v>56</v>
      </c>
      <c r="B428" s="3" t="s">
        <v>41</v>
      </c>
      <c r="C428" s="3" t="s">
        <v>40</v>
      </c>
      <c r="D428" s="3" t="s">
        <v>46</v>
      </c>
      <c r="E428" s="3" t="s">
        <v>25</v>
      </c>
      <c r="F428" s="3" t="s">
        <v>25</v>
      </c>
      <c r="G428" s="3" t="s">
        <v>25</v>
      </c>
      <c r="H428" s="3" t="s">
        <v>34</v>
      </c>
      <c r="I428" s="6">
        <v>44621</v>
      </c>
      <c r="J428" s="4">
        <v>-253</v>
      </c>
      <c r="K428" s="4">
        <v>-253</v>
      </c>
      <c r="L428" s="4">
        <v>-11.163</v>
      </c>
      <c r="M428" s="4">
        <v>-11.163</v>
      </c>
      <c r="N428" s="4">
        <v>-11.163</v>
      </c>
      <c r="O428" s="4">
        <v>-11.163</v>
      </c>
      <c r="P428" s="4">
        <v>0</v>
      </c>
      <c r="Q428" s="3" t="s">
        <v>26</v>
      </c>
      <c r="R428" s="3">
        <v>0</v>
      </c>
      <c r="S428" s="3" t="s">
        <v>207</v>
      </c>
      <c r="T428" s="3" t="s">
        <v>634</v>
      </c>
      <c r="U428" s="3">
        <v>11</v>
      </c>
      <c r="V428" s="3">
        <v>110</v>
      </c>
      <c r="W428" s="3">
        <v>88</v>
      </c>
    </row>
    <row r="429" spans="1:23" ht="11.25" customHeight="1" x14ac:dyDescent="0.25">
      <c r="A429" s="3" t="s">
        <v>21</v>
      </c>
      <c r="B429" s="3" t="s">
        <v>41</v>
      </c>
      <c r="C429" s="3" t="s">
        <v>40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44287</v>
      </c>
      <c r="J429" s="4">
        <v>910</v>
      </c>
      <c r="K429" s="4">
        <v>873.6</v>
      </c>
      <c r="L429" s="4">
        <v>325.13099999999997</v>
      </c>
      <c r="M429" s="4">
        <v>312.12576000000001</v>
      </c>
      <c r="N429" s="4">
        <v>325.13099999999997</v>
      </c>
      <c r="O429" s="4">
        <v>312.12576000000001</v>
      </c>
      <c r="P429" s="4">
        <v>0</v>
      </c>
      <c r="Q429" s="3" t="s">
        <v>26</v>
      </c>
      <c r="R429" s="3">
        <v>0</v>
      </c>
      <c r="S429" s="3" t="s">
        <v>184</v>
      </c>
      <c r="T429" s="3" t="s">
        <v>611</v>
      </c>
      <c r="U429" s="3">
        <v>12</v>
      </c>
      <c r="V429" s="3">
        <v>110</v>
      </c>
      <c r="W429" s="3">
        <v>89</v>
      </c>
    </row>
    <row r="430" spans="1:23" ht="11.25" customHeight="1" x14ac:dyDescent="0.25">
      <c r="A430" s="3" t="s">
        <v>21</v>
      </c>
      <c r="B430" s="3" t="s">
        <v>41</v>
      </c>
      <c r="C430" s="3" t="s">
        <v>40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44317</v>
      </c>
      <c r="J430" s="4">
        <v>866</v>
      </c>
      <c r="K430" s="4">
        <v>831.36</v>
      </c>
      <c r="L430" s="4">
        <v>329.81200000000001</v>
      </c>
      <c r="M430" s="4">
        <v>316.61952000000002</v>
      </c>
      <c r="N430" s="4">
        <v>329.81200000000001</v>
      </c>
      <c r="O430" s="4">
        <v>316.61952000000002</v>
      </c>
      <c r="P430" s="4">
        <v>0</v>
      </c>
      <c r="Q430" s="3" t="s">
        <v>26</v>
      </c>
      <c r="R430" s="3">
        <v>0</v>
      </c>
      <c r="S430" s="3" t="s">
        <v>185</v>
      </c>
      <c r="T430" s="3" t="s">
        <v>612</v>
      </c>
      <c r="U430" s="3">
        <v>12</v>
      </c>
      <c r="V430" s="3">
        <v>110</v>
      </c>
      <c r="W430" s="3">
        <v>89</v>
      </c>
    </row>
    <row r="431" spans="1:23" ht="11.25" customHeight="1" x14ac:dyDescent="0.25">
      <c r="A431" s="3" t="s">
        <v>21</v>
      </c>
      <c r="B431" s="3" t="s">
        <v>41</v>
      </c>
      <c r="C431" s="3" t="s">
        <v>40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44348</v>
      </c>
      <c r="J431" s="4">
        <v>841</v>
      </c>
      <c r="K431" s="4">
        <v>807.36</v>
      </c>
      <c r="L431" s="4">
        <v>321.48399999999998</v>
      </c>
      <c r="M431" s="4">
        <v>308.62464</v>
      </c>
      <c r="N431" s="4">
        <v>321.48399999999998</v>
      </c>
      <c r="O431" s="4">
        <v>308.62464</v>
      </c>
      <c r="P431" s="4">
        <v>0</v>
      </c>
      <c r="Q431" s="3" t="s">
        <v>26</v>
      </c>
      <c r="R431" s="3">
        <v>0</v>
      </c>
      <c r="S431" s="3" t="s">
        <v>186</v>
      </c>
      <c r="T431" s="3" t="s">
        <v>613</v>
      </c>
      <c r="U431" s="3">
        <v>12</v>
      </c>
      <c r="V431" s="3">
        <v>110</v>
      </c>
      <c r="W431" s="3">
        <v>89</v>
      </c>
    </row>
    <row r="432" spans="1:23" ht="11.25" customHeight="1" x14ac:dyDescent="0.25">
      <c r="A432" s="3" t="s">
        <v>21</v>
      </c>
      <c r="B432" s="3" t="s">
        <v>41</v>
      </c>
      <c r="C432" s="3" t="s">
        <v>40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44378</v>
      </c>
      <c r="J432" s="4">
        <v>873</v>
      </c>
      <c r="K432" s="4">
        <v>838.08</v>
      </c>
      <c r="L432" s="4">
        <v>313.298</v>
      </c>
      <c r="M432" s="4">
        <v>300.76607999999999</v>
      </c>
      <c r="N432" s="4">
        <v>313.298</v>
      </c>
      <c r="O432" s="4">
        <v>300.76607999999999</v>
      </c>
      <c r="P432" s="4">
        <v>0</v>
      </c>
      <c r="Q432" s="3" t="s">
        <v>26</v>
      </c>
      <c r="R432" s="3">
        <v>0</v>
      </c>
      <c r="S432" s="3" t="s">
        <v>187</v>
      </c>
      <c r="T432" s="3" t="s">
        <v>614</v>
      </c>
      <c r="U432" s="3">
        <v>12</v>
      </c>
      <c r="V432" s="3">
        <v>110</v>
      </c>
      <c r="W432" s="3">
        <v>89</v>
      </c>
    </row>
    <row r="433" spans="1:23" ht="11.25" customHeight="1" x14ac:dyDescent="0.25">
      <c r="A433" s="3" t="s">
        <v>21</v>
      </c>
      <c r="B433" s="3" t="s">
        <v>41</v>
      </c>
      <c r="C433" s="3" t="s">
        <v>40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44409</v>
      </c>
      <c r="J433" s="4">
        <v>908</v>
      </c>
      <c r="K433" s="4">
        <v>871.68</v>
      </c>
      <c r="L433" s="4">
        <v>378.125</v>
      </c>
      <c r="M433" s="4">
        <v>363</v>
      </c>
      <c r="N433" s="4">
        <v>378.125</v>
      </c>
      <c r="O433" s="4">
        <v>363</v>
      </c>
      <c r="P433" s="4">
        <v>0</v>
      </c>
      <c r="Q433" s="3" t="s">
        <v>26</v>
      </c>
      <c r="R433" s="3">
        <v>0</v>
      </c>
      <c r="S433" s="3" t="s">
        <v>188</v>
      </c>
      <c r="T433" s="3" t="s">
        <v>615</v>
      </c>
      <c r="U433" s="3">
        <v>12</v>
      </c>
      <c r="V433" s="3">
        <v>110</v>
      </c>
      <c r="W433" s="3">
        <v>89</v>
      </c>
    </row>
    <row r="434" spans="1:23" ht="11.25" customHeight="1" x14ac:dyDescent="0.25">
      <c r="A434" s="3" t="s">
        <v>21</v>
      </c>
      <c r="B434" s="3" t="s">
        <v>41</v>
      </c>
      <c r="C434" s="3" t="s">
        <v>40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44440</v>
      </c>
      <c r="J434" s="4">
        <v>930</v>
      </c>
      <c r="K434" s="4">
        <v>892.8</v>
      </c>
      <c r="L434" s="4">
        <v>414.2</v>
      </c>
      <c r="M434" s="4">
        <v>397.63200000000001</v>
      </c>
      <c r="N434" s="4">
        <v>414.2</v>
      </c>
      <c r="O434" s="4">
        <v>397.63200000000001</v>
      </c>
      <c r="P434" s="4">
        <v>0</v>
      </c>
      <c r="Q434" s="3" t="s">
        <v>26</v>
      </c>
      <c r="R434" s="3">
        <v>0</v>
      </c>
      <c r="S434" s="3" t="s">
        <v>189</v>
      </c>
      <c r="T434" s="3" t="s">
        <v>616</v>
      </c>
      <c r="U434" s="3">
        <v>12</v>
      </c>
      <c r="V434" s="3">
        <v>110</v>
      </c>
      <c r="W434" s="3">
        <v>89</v>
      </c>
    </row>
    <row r="435" spans="1:23" ht="11.25" customHeight="1" x14ac:dyDescent="0.25">
      <c r="A435" s="3" t="s">
        <v>21</v>
      </c>
      <c r="B435" s="3" t="s">
        <v>41</v>
      </c>
      <c r="C435" s="3" t="s">
        <v>40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44470</v>
      </c>
      <c r="J435" s="4">
        <v>960</v>
      </c>
      <c r="K435" s="4">
        <v>921.6</v>
      </c>
      <c r="L435" s="4">
        <v>381.40600000000001</v>
      </c>
      <c r="M435" s="4">
        <v>366.14976000000001</v>
      </c>
      <c r="N435" s="4">
        <v>381.40600000000001</v>
      </c>
      <c r="O435" s="4">
        <v>366.14976000000001</v>
      </c>
      <c r="P435" s="4">
        <v>0</v>
      </c>
      <c r="Q435" s="3" t="s">
        <v>26</v>
      </c>
      <c r="R435" s="3">
        <v>0</v>
      </c>
      <c r="S435" s="3" t="s">
        <v>190</v>
      </c>
      <c r="T435" s="3" t="s">
        <v>617</v>
      </c>
      <c r="U435" s="3">
        <v>12</v>
      </c>
      <c r="V435" s="3">
        <v>110</v>
      </c>
      <c r="W435" s="3">
        <v>89</v>
      </c>
    </row>
    <row r="436" spans="1:23" ht="11.25" customHeight="1" x14ac:dyDescent="0.25">
      <c r="A436" s="3" t="s">
        <v>21</v>
      </c>
      <c r="B436" s="3" t="s">
        <v>41</v>
      </c>
      <c r="C436" s="3" t="s">
        <v>40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44501</v>
      </c>
      <c r="J436" s="4">
        <v>966</v>
      </c>
      <c r="K436" s="4">
        <v>927.36</v>
      </c>
      <c r="L436" s="4">
        <v>365.46499999999997</v>
      </c>
      <c r="M436" s="4">
        <v>350.84640000000002</v>
      </c>
      <c r="N436" s="4">
        <v>365.46499999999997</v>
      </c>
      <c r="O436" s="4">
        <v>350.84640000000002</v>
      </c>
      <c r="P436" s="4">
        <v>0</v>
      </c>
      <c r="Q436" s="3" t="s">
        <v>26</v>
      </c>
      <c r="R436" s="3">
        <v>0</v>
      </c>
      <c r="S436" s="3" t="s">
        <v>191</v>
      </c>
      <c r="T436" s="3" t="s">
        <v>618</v>
      </c>
      <c r="U436" s="3">
        <v>12</v>
      </c>
      <c r="V436" s="3">
        <v>110</v>
      </c>
      <c r="W436" s="3">
        <v>89</v>
      </c>
    </row>
    <row r="437" spans="1:23" ht="11.25" customHeight="1" x14ac:dyDescent="0.25">
      <c r="A437" s="3" t="s">
        <v>21</v>
      </c>
      <c r="B437" s="3" t="s">
        <v>41</v>
      </c>
      <c r="C437" s="3" t="s">
        <v>40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44531</v>
      </c>
      <c r="J437" s="4">
        <v>894</v>
      </c>
      <c r="K437" s="4">
        <v>858.24</v>
      </c>
      <c r="L437" s="4">
        <v>399.55</v>
      </c>
      <c r="M437" s="4">
        <v>383.56799999999998</v>
      </c>
      <c r="N437" s="4">
        <v>399.55</v>
      </c>
      <c r="O437" s="4">
        <v>383.56799999999998</v>
      </c>
      <c r="P437" s="4">
        <v>0</v>
      </c>
      <c r="Q437" s="3" t="s">
        <v>26</v>
      </c>
      <c r="R437" s="3">
        <v>0</v>
      </c>
      <c r="S437" s="3" t="s">
        <v>192</v>
      </c>
      <c r="T437" s="3" t="s">
        <v>619</v>
      </c>
      <c r="U437" s="3">
        <v>12</v>
      </c>
      <c r="V437" s="3">
        <v>110</v>
      </c>
      <c r="W437" s="3">
        <v>89</v>
      </c>
    </row>
    <row r="438" spans="1:23" ht="11.25" customHeight="1" x14ac:dyDescent="0.25">
      <c r="A438" s="3" t="s">
        <v>21</v>
      </c>
      <c r="B438" s="3" t="s">
        <v>41</v>
      </c>
      <c r="C438" s="3" t="s">
        <v>40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44562</v>
      </c>
      <c r="J438" s="4">
        <v>936</v>
      </c>
      <c r="K438" s="4">
        <v>898.56</v>
      </c>
      <c r="L438" s="4">
        <v>353.71300000000002</v>
      </c>
      <c r="M438" s="4">
        <v>339.56448</v>
      </c>
      <c r="N438" s="4">
        <v>353.71300000000002</v>
      </c>
      <c r="O438" s="4">
        <v>339.56448</v>
      </c>
      <c r="P438" s="4">
        <v>0</v>
      </c>
      <c r="Q438" s="3" t="s">
        <v>26</v>
      </c>
      <c r="R438" s="3">
        <v>0</v>
      </c>
      <c r="S438" s="3" t="s">
        <v>193</v>
      </c>
      <c r="T438" s="3" t="s">
        <v>620</v>
      </c>
      <c r="U438" s="3">
        <v>12</v>
      </c>
      <c r="V438" s="3">
        <v>110</v>
      </c>
      <c r="W438" s="3">
        <v>89</v>
      </c>
    </row>
    <row r="439" spans="1:23" ht="11.25" customHeight="1" x14ac:dyDescent="0.25">
      <c r="A439" s="3" t="s">
        <v>21</v>
      </c>
      <c r="B439" s="3" t="s">
        <v>41</v>
      </c>
      <c r="C439" s="3" t="s">
        <v>40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44593</v>
      </c>
      <c r="J439" s="4">
        <v>934</v>
      </c>
      <c r="K439" s="4">
        <v>896.64</v>
      </c>
      <c r="L439" s="4">
        <v>356.20699999999999</v>
      </c>
      <c r="M439" s="4">
        <v>341.95872000000003</v>
      </c>
      <c r="N439" s="4">
        <v>356.20699999999999</v>
      </c>
      <c r="O439" s="4">
        <v>341.95872000000003</v>
      </c>
      <c r="P439" s="4">
        <v>0</v>
      </c>
      <c r="Q439" s="3" t="s">
        <v>26</v>
      </c>
      <c r="R439" s="3">
        <v>0</v>
      </c>
      <c r="S439" s="3" t="s">
        <v>194</v>
      </c>
      <c r="T439" s="3" t="s">
        <v>621</v>
      </c>
      <c r="U439" s="3">
        <v>12</v>
      </c>
      <c r="V439" s="3">
        <v>110</v>
      </c>
      <c r="W439" s="3">
        <v>89</v>
      </c>
    </row>
    <row r="440" spans="1:23" ht="11.25" customHeight="1" x14ac:dyDescent="0.25">
      <c r="A440" s="3" t="s">
        <v>56</v>
      </c>
      <c r="B440" s="3" t="s">
        <v>41</v>
      </c>
      <c r="C440" s="3" t="s">
        <v>40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44621</v>
      </c>
      <c r="J440" s="4">
        <v>934</v>
      </c>
      <c r="K440" s="4">
        <v>896.64</v>
      </c>
      <c r="L440" s="4">
        <v>356.20699999999999</v>
      </c>
      <c r="M440" s="4">
        <v>341.95872000000003</v>
      </c>
      <c r="N440" s="4">
        <v>356.20699999999999</v>
      </c>
      <c r="O440" s="4">
        <v>341.95872000000003</v>
      </c>
      <c r="P440" s="4">
        <v>0</v>
      </c>
      <c r="Q440" s="3" t="s">
        <v>26</v>
      </c>
      <c r="R440" s="3">
        <v>0</v>
      </c>
      <c r="S440" s="3" t="s">
        <v>195</v>
      </c>
      <c r="T440" s="3" t="s">
        <v>622</v>
      </c>
      <c r="U440" s="3">
        <v>12</v>
      </c>
      <c r="V440" s="3">
        <v>110</v>
      </c>
      <c r="W440" s="3">
        <v>89</v>
      </c>
    </row>
    <row r="441" spans="1:23" ht="11.25" customHeight="1" x14ac:dyDescent="0.25">
      <c r="A441" s="3" t="s">
        <v>21</v>
      </c>
      <c r="B441" s="3" t="s">
        <v>41</v>
      </c>
      <c r="C441" s="3" t="s">
        <v>40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44287</v>
      </c>
      <c r="J441" s="4">
        <v>422</v>
      </c>
      <c r="K441" s="4">
        <v>405.12</v>
      </c>
      <c r="L441" s="4">
        <v>14.534000000000001</v>
      </c>
      <c r="M441" s="4">
        <v>13.952640000000001</v>
      </c>
      <c r="N441" s="4">
        <v>14.534000000000001</v>
      </c>
      <c r="O441" s="4">
        <v>13.952640000000001</v>
      </c>
      <c r="P441" s="4">
        <v>0</v>
      </c>
      <c r="Q441" s="3" t="s">
        <v>26</v>
      </c>
      <c r="R441" s="3">
        <v>0</v>
      </c>
      <c r="S441" s="3" t="s">
        <v>196</v>
      </c>
      <c r="T441" s="3" t="s">
        <v>623</v>
      </c>
      <c r="U441" s="3">
        <v>11</v>
      </c>
      <c r="V441" s="3">
        <v>110</v>
      </c>
      <c r="W441" s="3">
        <v>88</v>
      </c>
    </row>
    <row r="442" spans="1:23" ht="11.25" customHeight="1" x14ac:dyDescent="0.25">
      <c r="A442" s="3" t="s">
        <v>21</v>
      </c>
      <c r="B442" s="3" t="s">
        <v>41</v>
      </c>
      <c r="C442" s="3" t="s">
        <v>40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44317</v>
      </c>
      <c r="J442" s="4">
        <v>363</v>
      </c>
      <c r="K442" s="4">
        <v>348.48</v>
      </c>
      <c r="L442" s="4">
        <v>14.506</v>
      </c>
      <c r="M442" s="4">
        <v>13.92576</v>
      </c>
      <c r="N442" s="4">
        <v>14.506</v>
      </c>
      <c r="O442" s="4">
        <v>13.92576</v>
      </c>
      <c r="P442" s="4">
        <v>0</v>
      </c>
      <c r="Q442" s="3" t="s">
        <v>26</v>
      </c>
      <c r="R442" s="3">
        <v>0</v>
      </c>
      <c r="S442" s="3" t="s">
        <v>197</v>
      </c>
      <c r="T442" s="3" t="s">
        <v>624</v>
      </c>
      <c r="U442" s="3">
        <v>11</v>
      </c>
      <c r="V442" s="3">
        <v>110</v>
      </c>
      <c r="W442" s="3">
        <v>88</v>
      </c>
    </row>
    <row r="443" spans="1:23" ht="11.25" customHeight="1" x14ac:dyDescent="0.25">
      <c r="A443" s="3" t="s">
        <v>21</v>
      </c>
      <c r="B443" s="3" t="s">
        <v>41</v>
      </c>
      <c r="C443" s="3" t="s">
        <v>40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44348</v>
      </c>
      <c r="J443" s="4">
        <v>449</v>
      </c>
      <c r="K443" s="4">
        <v>431.04</v>
      </c>
      <c r="L443" s="4">
        <v>14.18</v>
      </c>
      <c r="M443" s="4">
        <v>13.6128</v>
      </c>
      <c r="N443" s="4">
        <v>14.18</v>
      </c>
      <c r="O443" s="4">
        <v>13.6128</v>
      </c>
      <c r="P443" s="4">
        <v>0</v>
      </c>
      <c r="Q443" s="3" t="s">
        <v>26</v>
      </c>
      <c r="R443" s="3">
        <v>0</v>
      </c>
      <c r="S443" s="3" t="s">
        <v>198</v>
      </c>
      <c r="T443" s="3" t="s">
        <v>625</v>
      </c>
      <c r="U443" s="3">
        <v>11</v>
      </c>
      <c r="V443" s="3">
        <v>110</v>
      </c>
      <c r="W443" s="3">
        <v>88</v>
      </c>
    </row>
    <row r="444" spans="1:23" ht="11.25" customHeight="1" x14ac:dyDescent="0.25">
      <c r="A444" s="3" t="s">
        <v>21</v>
      </c>
      <c r="B444" s="3" t="s">
        <v>41</v>
      </c>
      <c r="C444" s="3" t="s">
        <v>40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44378</v>
      </c>
      <c r="J444" s="4">
        <v>490</v>
      </c>
      <c r="K444" s="4">
        <v>470.4</v>
      </c>
      <c r="L444" s="4">
        <v>15.058999999999999</v>
      </c>
      <c r="M444" s="4">
        <v>14.45664</v>
      </c>
      <c r="N444" s="4">
        <v>15.058999999999999</v>
      </c>
      <c r="O444" s="4">
        <v>14.45664</v>
      </c>
      <c r="P444" s="4">
        <v>0</v>
      </c>
      <c r="Q444" s="3" t="s">
        <v>26</v>
      </c>
      <c r="R444" s="3">
        <v>0</v>
      </c>
      <c r="S444" s="3" t="s">
        <v>199</v>
      </c>
      <c r="T444" s="3" t="s">
        <v>626</v>
      </c>
      <c r="U444" s="3">
        <v>11</v>
      </c>
      <c r="V444" s="3">
        <v>110</v>
      </c>
      <c r="W444" s="3">
        <v>88</v>
      </c>
    </row>
    <row r="445" spans="1:23" ht="11.25" customHeight="1" x14ac:dyDescent="0.25">
      <c r="A445" s="3" t="s">
        <v>21</v>
      </c>
      <c r="B445" s="3" t="s">
        <v>41</v>
      </c>
      <c r="C445" s="3" t="s">
        <v>40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44409</v>
      </c>
      <c r="J445" s="4">
        <v>573</v>
      </c>
      <c r="K445" s="4">
        <v>550.08000000000004</v>
      </c>
      <c r="L445" s="4">
        <v>18.038</v>
      </c>
      <c r="M445" s="4">
        <v>17.316479999999999</v>
      </c>
      <c r="N445" s="4">
        <v>18.038</v>
      </c>
      <c r="O445" s="4">
        <v>17.316479999999999</v>
      </c>
      <c r="P445" s="4">
        <v>0</v>
      </c>
      <c r="Q445" s="3" t="s">
        <v>26</v>
      </c>
      <c r="R445" s="3">
        <v>0</v>
      </c>
      <c r="S445" s="3" t="s">
        <v>200</v>
      </c>
      <c r="T445" s="3" t="s">
        <v>627</v>
      </c>
      <c r="U445" s="3">
        <v>11</v>
      </c>
      <c r="V445" s="3">
        <v>110</v>
      </c>
      <c r="W445" s="3">
        <v>88</v>
      </c>
    </row>
    <row r="446" spans="1:23" ht="11.25" customHeight="1" x14ac:dyDescent="0.25">
      <c r="A446" s="3" t="s">
        <v>21</v>
      </c>
      <c r="B446" s="3" t="s">
        <v>41</v>
      </c>
      <c r="C446" s="3" t="s">
        <v>40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44440</v>
      </c>
      <c r="J446" s="4">
        <v>464</v>
      </c>
      <c r="K446" s="4">
        <v>445.44</v>
      </c>
      <c r="L446" s="4">
        <v>17.111999999999998</v>
      </c>
      <c r="M446" s="4">
        <v>16.427520000000001</v>
      </c>
      <c r="N446" s="4">
        <v>17.111999999999998</v>
      </c>
      <c r="O446" s="4">
        <v>16.427520000000001</v>
      </c>
      <c r="P446" s="4">
        <v>0</v>
      </c>
      <c r="Q446" s="3" t="s">
        <v>26</v>
      </c>
      <c r="R446" s="3">
        <v>0</v>
      </c>
      <c r="S446" s="3" t="s">
        <v>201</v>
      </c>
      <c r="T446" s="3" t="s">
        <v>628</v>
      </c>
      <c r="U446" s="3">
        <v>11</v>
      </c>
      <c r="V446" s="3">
        <v>110</v>
      </c>
      <c r="W446" s="3">
        <v>88</v>
      </c>
    </row>
    <row r="447" spans="1:23" ht="11.25" customHeight="1" x14ac:dyDescent="0.25">
      <c r="A447" s="3" t="s">
        <v>21</v>
      </c>
      <c r="B447" s="3" t="s">
        <v>41</v>
      </c>
      <c r="C447" s="3" t="s">
        <v>40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44470</v>
      </c>
      <c r="J447" s="4">
        <v>454</v>
      </c>
      <c r="K447" s="4">
        <v>435.84</v>
      </c>
      <c r="L447" s="4">
        <v>17.024999999999999</v>
      </c>
      <c r="M447" s="4">
        <v>16.344000000000001</v>
      </c>
      <c r="N447" s="4">
        <v>17.024999999999999</v>
      </c>
      <c r="O447" s="4">
        <v>16.344000000000001</v>
      </c>
      <c r="P447" s="4">
        <v>0</v>
      </c>
      <c r="Q447" s="3" t="s">
        <v>26</v>
      </c>
      <c r="R447" s="3">
        <v>0</v>
      </c>
      <c r="S447" s="3" t="s">
        <v>202</v>
      </c>
      <c r="T447" s="3" t="s">
        <v>629</v>
      </c>
      <c r="U447" s="3">
        <v>11</v>
      </c>
      <c r="V447" s="3">
        <v>110</v>
      </c>
      <c r="W447" s="3">
        <v>88</v>
      </c>
    </row>
    <row r="448" spans="1:23" ht="11.25" customHeight="1" x14ac:dyDescent="0.25">
      <c r="A448" s="3" t="s">
        <v>21</v>
      </c>
      <c r="B448" s="3" t="s">
        <v>41</v>
      </c>
      <c r="C448" s="3" t="s">
        <v>40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44501</v>
      </c>
      <c r="J448" s="4">
        <v>619</v>
      </c>
      <c r="K448" s="4">
        <v>594.24</v>
      </c>
      <c r="L448" s="4">
        <v>17.184999999999999</v>
      </c>
      <c r="M448" s="4">
        <v>16.497599999999998</v>
      </c>
      <c r="N448" s="4">
        <v>17.184999999999999</v>
      </c>
      <c r="O448" s="4">
        <v>16.497599999999998</v>
      </c>
      <c r="P448" s="4">
        <v>0</v>
      </c>
      <c r="Q448" s="3" t="s">
        <v>26</v>
      </c>
      <c r="R448" s="3">
        <v>0</v>
      </c>
      <c r="S448" s="3" t="s">
        <v>203</v>
      </c>
      <c r="T448" s="3" t="s">
        <v>630</v>
      </c>
      <c r="U448" s="3">
        <v>11</v>
      </c>
      <c r="V448" s="3">
        <v>110</v>
      </c>
      <c r="W448" s="3">
        <v>88</v>
      </c>
    </row>
    <row r="449" spans="1:23" ht="11.25" customHeight="1" x14ac:dyDescent="0.25">
      <c r="A449" s="3" t="s">
        <v>21</v>
      </c>
      <c r="B449" s="3" t="s">
        <v>41</v>
      </c>
      <c r="C449" s="3" t="s">
        <v>40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44531</v>
      </c>
      <c r="J449" s="4">
        <v>690</v>
      </c>
      <c r="K449" s="4">
        <v>662.4</v>
      </c>
      <c r="L449" s="4">
        <v>24.850999999999999</v>
      </c>
      <c r="M449" s="4">
        <v>23.856960000000001</v>
      </c>
      <c r="N449" s="4">
        <v>24.850999999999999</v>
      </c>
      <c r="O449" s="4">
        <v>23.856960000000001</v>
      </c>
      <c r="P449" s="4">
        <v>0</v>
      </c>
      <c r="Q449" s="3" t="s">
        <v>26</v>
      </c>
      <c r="R449" s="3">
        <v>0</v>
      </c>
      <c r="S449" s="3" t="s">
        <v>204</v>
      </c>
      <c r="T449" s="3" t="s">
        <v>631</v>
      </c>
      <c r="U449" s="3">
        <v>11</v>
      </c>
      <c r="V449" s="3">
        <v>110</v>
      </c>
      <c r="W449" s="3">
        <v>88</v>
      </c>
    </row>
    <row r="450" spans="1:23" ht="11.25" customHeight="1" x14ac:dyDescent="0.25">
      <c r="A450" s="3" t="s">
        <v>21</v>
      </c>
      <c r="B450" s="3" t="s">
        <v>41</v>
      </c>
      <c r="C450" s="3" t="s">
        <v>40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44562</v>
      </c>
      <c r="J450" s="4">
        <v>766</v>
      </c>
      <c r="K450" s="4">
        <v>735.36</v>
      </c>
      <c r="L450" s="4">
        <v>19.818999999999999</v>
      </c>
      <c r="M450" s="4">
        <v>19.026240000000001</v>
      </c>
      <c r="N450" s="4">
        <v>19.818999999999999</v>
      </c>
      <c r="O450" s="4">
        <v>19.026240000000001</v>
      </c>
      <c r="P450" s="4">
        <v>0</v>
      </c>
      <c r="Q450" s="3" t="s">
        <v>26</v>
      </c>
      <c r="R450" s="3">
        <v>0</v>
      </c>
      <c r="S450" s="3" t="s">
        <v>205</v>
      </c>
      <c r="T450" s="3" t="s">
        <v>632</v>
      </c>
      <c r="U450" s="3">
        <v>11</v>
      </c>
      <c r="V450" s="3">
        <v>110</v>
      </c>
      <c r="W450" s="3">
        <v>88</v>
      </c>
    </row>
    <row r="451" spans="1:23" ht="11.25" customHeight="1" x14ac:dyDescent="0.25">
      <c r="A451" s="3" t="s">
        <v>21</v>
      </c>
      <c r="B451" s="3" t="s">
        <v>41</v>
      </c>
      <c r="C451" s="3" t="s">
        <v>40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34</v>
      </c>
      <c r="I451" s="6">
        <v>44593</v>
      </c>
      <c r="J451" s="4">
        <v>737</v>
      </c>
      <c r="K451" s="4">
        <v>707.52</v>
      </c>
      <c r="L451" s="4">
        <v>23.018000000000001</v>
      </c>
      <c r="M451" s="4">
        <v>22.097280000000001</v>
      </c>
      <c r="N451" s="4">
        <v>23.018000000000001</v>
      </c>
      <c r="O451" s="4">
        <v>22.097280000000001</v>
      </c>
      <c r="P451" s="4">
        <v>0</v>
      </c>
      <c r="Q451" s="3" t="s">
        <v>26</v>
      </c>
      <c r="R451" s="3">
        <v>0</v>
      </c>
      <c r="S451" s="3" t="s">
        <v>206</v>
      </c>
      <c r="T451" s="3" t="s">
        <v>633</v>
      </c>
      <c r="U451" s="3">
        <v>11</v>
      </c>
      <c r="V451" s="3">
        <v>110</v>
      </c>
      <c r="W451" s="3">
        <v>88</v>
      </c>
    </row>
    <row r="452" spans="1:23" ht="11.25" customHeight="1" x14ac:dyDescent="0.25">
      <c r="A452" s="3" t="s">
        <v>56</v>
      </c>
      <c r="B452" s="3" t="s">
        <v>41</v>
      </c>
      <c r="C452" s="3" t="s">
        <v>40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34</v>
      </c>
      <c r="I452" s="6">
        <v>44621</v>
      </c>
      <c r="J452" s="4">
        <v>737</v>
      </c>
      <c r="K452" s="4">
        <v>707.52</v>
      </c>
      <c r="L452" s="4">
        <v>23.018000000000001</v>
      </c>
      <c r="M452" s="4">
        <v>22.097280000000001</v>
      </c>
      <c r="N452" s="4">
        <v>23.018000000000001</v>
      </c>
      <c r="O452" s="4">
        <v>22.097280000000001</v>
      </c>
      <c r="P452" s="4">
        <v>0</v>
      </c>
      <c r="Q452" s="3" t="s">
        <v>26</v>
      </c>
      <c r="R452" s="3">
        <v>0</v>
      </c>
      <c r="S452" s="3" t="s">
        <v>207</v>
      </c>
      <c r="T452" s="3" t="s">
        <v>634</v>
      </c>
      <c r="U452" s="3">
        <v>11</v>
      </c>
      <c r="V452" s="3">
        <v>110</v>
      </c>
      <c r="W452" s="3">
        <v>88</v>
      </c>
    </row>
    <row r="453" spans="1:23" ht="11.25" customHeight="1" x14ac:dyDescent="0.25">
      <c r="A453" s="3" t="s">
        <v>21</v>
      </c>
      <c r="B453" s="3" t="s">
        <v>41</v>
      </c>
      <c r="C453" s="3" t="s">
        <v>40</v>
      </c>
      <c r="D453" s="3" t="s">
        <v>50</v>
      </c>
      <c r="E453" s="3" t="s">
        <v>51</v>
      </c>
      <c r="F453" s="3" t="s">
        <v>25</v>
      </c>
      <c r="G453" s="3" t="s">
        <v>25</v>
      </c>
      <c r="H453" s="3" t="s">
        <v>35</v>
      </c>
      <c r="I453" s="6">
        <v>44287</v>
      </c>
      <c r="J453" s="4">
        <v>7026</v>
      </c>
      <c r="K453" s="4">
        <v>6604.44</v>
      </c>
      <c r="L453" s="4">
        <v>3424.1260000000002</v>
      </c>
      <c r="M453" s="4">
        <v>3218.6784400000001</v>
      </c>
      <c r="N453" s="4">
        <v>3424.1260000000002</v>
      </c>
      <c r="O453" s="4">
        <v>3218.6784400000001</v>
      </c>
      <c r="P453" s="4">
        <v>0</v>
      </c>
      <c r="Q453" s="3" t="s">
        <v>26</v>
      </c>
      <c r="R453" s="3">
        <v>0</v>
      </c>
      <c r="S453" s="3" t="s">
        <v>184</v>
      </c>
      <c r="T453" s="3" t="s">
        <v>611</v>
      </c>
      <c r="U453" s="3">
        <v>12</v>
      </c>
      <c r="V453" s="3">
        <v>110</v>
      </c>
      <c r="W453" s="3">
        <v>89</v>
      </c>
    </row>
    <row r="454" spans="1:23" ht="11.25" customHeight="1" x14ac:dyDescent="0.25">
      <c r="A454" s="3" t="s">
        <v>21</v>
      </c>
      <c r="B454" s="3" t="s">
        <v>41</v>
      </c>
      <c r="C454" s="3" t="s">
        <v>40</v>
      </c>
      <c r="D454" s="3" t="s">
        <v>50</v>
      </c>
      <c r="E454" s="3" t="s">
        <v>51</v>
      </c>
      <c r="F454" s="3" t="s">
        <v>25</v>
      </c>
      <c r="G454" s="3" t="s">
        <v>25</v>
      </c>
      <c r="H454" s="3" t="s">
        <v>35</v>
      </c>
      <c r="I454" s="6">
        <v>44317</v>
      </c>
      <c r="J454" s="4">
        <v>7064</v>
      </c>
      <c r="K454" s="4">
        <v>6640.16</v>
      </c>
      <c r="L454" s="4">
        <v>3484.2539999999999</v>
      </c>
      <c r="M454" s="4">
        <v>3275.1987600000002</v>
      </c>
      <c r="N454" s="4">
        <v>3484.2539999999999</v>
      </c>
      <c r="O454" s="4">
        <v>3275.1987600000002</v>
      </c>
      <c r="P454" s="4">
        <v>0</v>
      </c>
      <c r="Q454" s="3" t="s">
        <v>26</v>
      </c>
      <c r="R454" s="3">
        <v>0</v>
      </c>
      <c r="S454" s="3" t="s">
        <v>185</v>
      </c>
      <c r="T454" s="3" t="s">
        <v>612</v>
      </c>
      <c r="U454" s="3">
        <v>12</v>
      </c>
      <c r="V454" s="3">
        <v>110</v>
      </c>
      <c r="W454" s="3">
        <v>89</v>
      </c>
    </row>
    <row r="455" spans="1:23" ht="11.25" customHeight="1" x14ac:dyDescent="0.25">
      <c r="A455" s="3" t="s">
        <v>21</v>
      </c>
      <c r="B455" s="3" t="s">
        <v>41</v>
      </c>
      <c r="C455" s="3" t="s">
        <v>40</v>
      </c>
      <c r="D455" s="3" t="s">
        <v>50</v>
      </c>
      <c r="E455" s="3" t="s">
        <v>51</v>
      </c>
      <c r="F455" s="3" t="s">
        <v>25</v>
      </c>
      <c r="G455" s="3" t="s">
        <v>25</v>
      </c>
      <c r="H455" s="3" t="s">
        <v>35</v>
      </c>
      <c r="I455" s="6">
        <v>44348</v>
      </c>
      <c r="J455" s="4">
        <v>11333</v>
      </c>
      <c r="K455" s="4">
        <v>10653.02</v>
      </c>
      <c r="L455" s="4">
        <v>5526.6139999999996</v>
      </c>
      <c r="M455" s="4">
        <v>5195.0171600000003</v>
      </c>
      <c r="N455" s="4">
        <v>5526.6139999999996</v>
      </c>
      <c r="O455" s="4">
        <v>5195.0171600000003</v>
      </c>
      <c r="P455" s="4">
        <v>0</v>
      </c>
      <c r="Q455" s="3" t="s">
        <v>26</v>
      </c>
      <c r="R455" s="3">
        <v>0</v>
      </c>
      <c r="S455" s="3" t="s">
        <v>186</v>
      </c>
      <c r="T455" s="3" t="s">
        <v>613</v>
      </c>
      <c r="U455" s="3">
        <v>12</v>
      </c>
      <c r="V455" s="3">
        <v>110</v>
      </c>
      <c r="W455" s="3">
        <v>89</v>
      </c>
    </row>
    <row r="456" spans="1:23" ht="11.25" customHeight="1" x14ac:dyDescent="0.25">
      <c r="A456" s="3" t="s">
        <v>21</v>
      </c>
      <c r="B456" s="3" t="s">
        <v>41</v>
      </c>
      <c r="C456" s="3" t="s">
        <v>40</v>
      </c>
      <c r="D456" s="3" t="s">
        <v>50</v>
      </c>
      <c r="E456" s="3" t="s">
        <v>51</v>
      </c>
      <c r="F456" s="3" t="s">
        <v>25</v>
      </c>
      <c r="G456" s="3" t="s">
        <v>25</v>
      </c>
      <c r="H456" s="3" t="s">
        <v>35</v>
      </c>
      <c r="I456" s="6">
        <v>44378</v>
      </c>
      <c r="J456" s="4">
        <v>11554</v>
      </c>
      <c r="K456" s="4">
        <v>10860.76</v>
      </c>
      <c r="L456" s="4">
        <v>5620.0230000000001</v>
      </c>
      <c r="M456" s="4">
        <v>5282.8216199999997</v>
      </c>
      <c r="N456" s="4">
        <v>5620.0230000000001</v>
      </c>
      <c r="O456" s="4">
        <v>5282.8216199999997</v>
      </c>
      <c r="P456" s="4">
        <v>0</v>
      </c>
      <c r="Q456" s="3" t="s">
        <v>26</v>
      </c>
      <c r="R456" s="3">
        <v>0</v>
      </c>
      <c r="S456" s="3" t="s">
        <v>187</v>
      </c>
      <c r="T456" s="3" t="s">
        <v>614</v>
      </c>
      <c r="U456" s="3">
        <v>12</v>
      </c>
      <c r="V456" s="3">
        <v>110</v>
      </c>
      <c r="W456" s="3">
        <v>89</v>
      </c>
    </row>
    <row r="457" spans="1:23" ht="11.25" customHeight="1" x14ac:dyDescent="0.25">
      <c r="A457" s="3" t="s">
        <v>27</v>
      </c>
      <c r="B457" s="3" t="s">
        <v>41</v>
      </c>
      <c r="C457" s="3" t="s">
        <v>40</v>
      </c>
      <c r="D457" s="3" t="s">
        <v>50</v>
      </c>
      <c r="E457" s="3" t="s">
        <v>51</v>
      </c>
      <c r="F457" s="3" t="s">
        <v>25</v>
      </c>
      <c r="G457" s="3" t="s">
        <v>25</v>
      </c>
      <c r="H457" s="3" t="s">
        <v>35</v>
      </c>
      <c r="I457" s="6">
        <v>44378</v>
      </c>
      <c r="J457" s="4">
        <v>-8</v>
      </c>
      <c r="K457" s="4">
        <v>-7.52</v>
      </c>
      <c r="L457" s="4">
        <v>-28</v>
      </c>
      <c r="M457" s="4">
        <v>-26.32</v>
      </c>
      <c r="N457" s="4">
        <v>-28</v>
      </c>
      <c r="O457" s="4">
        <v>-26.32</v>
      </c>
      <c r="P457" s="4">
        <v>0</v>
      </c>
      <c r="Q457" s="3" t="s">
        <v>26</v>
      </c>
      <c r="R457" s="3">
        <v>0</v>
      </c>
      <c r="S457" s="3" t="s">
        <v>187</v>
      </c>
      <c r="T457" s="3" t="s">
        <v>614</v>
      </c>
      <c r="U457" s="3">
        <v>12</v>
      </c>
      <c r="V457" s="3">
        <v>110</v>
      </c>
      <c r="W457" s="3">
        <v>89</v>
      </c>
    </row>
    <row r="458" spans="1:23" ht="11.25" customHeight="1" x14ac:dyDescent="0.25">
      <c r="A458" s="3" t="s">
        <v>21</v>
      </c>
      <c r="B458" s="3" t="s">
        <v>41</v>
      </c>
      <c r="C458" s="3" t="s">
        <v>40</v>
      </c>
      <c r="D458" s="3" t="s">
        <v>50</v>
      </c>
      <c r="E458" s="3" t="s">
        <v>51</v>
      </c>
      <c r="F458" s="3" t="s">
        <v>25</v>
      </c>
      <c r="G458" s="3" t="s">
        <v>25</v>
      </c>
      <c r="H458" s="3" t="s">
        <v>35</v>
      </c>
      <c r="I458" s="6">
        <v>44409</v>
      </c>
      <c r="J458" s="4">
        <v>5382</v>
      </c>
      <c r="K458" s="4">
        <v>5059.08</v>
      </c>
      <c r="L458" s="4">
        <v>2391.4760000000001</v>
      </c>
      <c r="M458" s="4">
        <v>2247.9874399999999</v>
      </c>
      <c r="N458" s="4">
        <v>2391.4760000000001</v>
      </c>
      <c r="O458" s="4">
        <v>2247.9874399999999</v>
      </c>
      <c r="P458" s="4">
        <v>0</v>
      </c>
      <c r="Q458" s="3" t="s">
        <v>26</v>
      </c>
      <c r="R458" s="3">
        <v>0</v>
      </c>
      <c r="S458" s="3" t="s">
        <v>188</v>
      </c>
      <c r="T458" s="3" t="s">
        <v>615</v>
      </c>
      <c r="U458" s="3">
        <v>12</v>
      </c>
      <c r="V458" s="3">
        <v>110</v>
      </c>
      <c r="W458" s="3">
        <v>89</v>
      </c>
    </row>
    <row r="459" spans="1:23" ht="11.25" customHeight="1" x14ac:dyDescent="0.25">
      <c r="A459" s="3" t="s">
        <v>21</v>
      </c>
      <c r="B459" s="3" t="s">
        <v>41</v>
      </c>
      <c r="C459" s="3" t="s">
        <v>40</v>
      </c>
      <c r="D459" s="3" t="s">
        <v>50</v>
      </c>
      <c r="E459" s="3" t="s">
        <v>51</v>
      </c>
      <c r="F459" s="3" t="s">
        <v>25</v>
      </c>
      <c r="G459" s="3" t="s">
        <v>25</v>
      </c>
      <c r="H459" s="3" t="s">
        <v>35</v>
      </c>
      <c r="I459" s="6">
        <v>44440</v>
      </c>
      <c r="J459" s="4">
        <v>5325</v>
      </c>
      <c r="K459" s="4">
        <v>5005.5</v>
      </c>
      <c r="L459" s="4">
        <v>2351.6170000000002</v>
      </c>
      <c r="M459" s="4">
        <v>2210.51998</v>
      </c>
      <c r="N459" s="4">
        <v>2351.6170000000002</v>
      </c>
      <c r="O459" s="4">
        <v>2210.51998</v>
      </c>
      <c r="P459" s="4">
        <v>0</v>
      </c>
      <c r="Q459" s="3" t="s">
        <v>26</v>
      </c>
      <c r="R459" s="3">
        <v>0</v>
      </c>
      <c r="S459" s="3" t="s">
        <v>189</v>
      </c>
      <c r="T459" s="3" t="s">
        <v>616</v>
      </c>
      <c r="U459" s="3">
        <v>12</v>
      </c>
      <c r="V459" s="3">
        <v>110</v>
      </c>
      <c r="W459" s="3">
        <v>89</v>
      </c>
    </row>
    <row r="460" spans="1:23" ht="11.25" customHeight="1" x14ac:dyDescent="0.25">
      <c r="A460" s="3" t="s">
        <v>21</v>
      </c>
      <c r="B460" s="3" t="s">
        <v>41</v>
      </c>
      <c r="C460" s="3" t="s">
        <v>40</v>
      </c>
      <c r="D460" s="3" t="s">
        <v>50</v>
      </c>
      <c r="E460" s="3" t="s">
        <v>51</v>
      </c>
      <c r="F460" s="3" t="s">
        <v>25</v>
      </c>
      <c r="G460" s="3" t="s">
        <v>25</v>
      </c>
      <c r="H460" s="3" t="s">
        <v>35</v>
      </c>
      <c r="I460" s="6">
        <v>44470</v>
      </c>
      <c r="J460" s="4">
        <v>5380</v>
      </c>
      <c r="K460" s="4">
        <v>5057.2</v>
      </c>
      <c r="L460" s="4">
        <v>2387.5569999999998</v>
      </c>
      <c r="M460" s="4">
        <v>2244.3035799999998</v>
      </c>
      <c r="N460" s="4">
        <v>2387.5569999999998</v>
      </c>
      <c r="O460" s="4">
        <v>2244.3035799999998</v>
      </c>
      <c r="P460" s="4">
        <v>0</v>
      </c>
      <c r="Q460" s="3" t="s">
        <v>26</v>
      </c>
      <c r="R460" s="3">
        <v>0</v>
      </c>
      <c r="S460" s="3" t="s">
        <v>190</v>
      </c>
      <c r="T460" s="3" t="s">
        <v>617</v>
      </c>
      <c r="U460" s="3">
        <v>12</v>
      </c>
      <c r="V460" s="3">
        <v>110</v>
      </c>
      <c r="W460" s="3">
        <v>89</v>
      </c>
    </row>
    <row r="461" spans="1:23" ht="11.25" customHeight="1" x14ac:dyDescent="0.25">
      <c r="A461" s="3" t="s">
        <v>21</v>
      </c>
      <c r="B461" s="3" t="s">
        <v>41</v>
      </c>
      <c r="C461" s="3" t="s">
        <v>40</v>
      </c>
      <c r="D461" s="3" t="s">
        <v>50</v>
      </c>
      <c r="E461" s="3" t="s">
        <v>51</v>
      </c>
      <c r="F461" s="3" t="s">
        <v>25</v>
      </c>
      <c r="G461" s="3" t="s">
        <v>25</v>
      </c>
      <c r="H461" s="3" t="s">
        <v>35</v>
      </c>
      <c r="I461" s="6">
        <v>44501</v>
      </c>
      <c r="J461" s="4">
        <v>5360</v>
      </c>
      <c r="K461" s="4">
        <v>5038.3999999999996</v>
      </c>
      <c r="L461" s="4">
        <v>2342.62</v>
      </c>
      <c r="M461" s="4">
        <v>2202.0628000000002</v>
      </c>
      <c r="N461" s="4">
        <v>2342.62</v>
      </c>
      <c r="O461" s="4">
        <v>2202.0628000000002</v>
      </c>
      <c r="P461" s="4">
        <v>0</v>
      </c>
      <c r="Q461" s="3" t="s">
        <v>26</v>
      </c>
      <c r="R461" s="3">
        <v>0</v>
      </c>
      <c r="S461" s="3" t="s">
        <v>191</v>
      </c>
      <c r="T461" s="3" t="s">
        <v>618</v>
      </c>
      <c r="U461" s="3">
        <v>12</v>
      </c>
      <c r="V461" s="3">
        <v>110</v>
      </c>
      <c r="W461" s="3">
        <v>89</v>
      </c>
    </row>
    <row r="462" spans="1:23" ht="11.25" customHeight="1" x14ac:dyDescent="0.25">
      <c r="A462" s="3" t="s">
        <v>21</v>
      </c>
      <c r="B462" s="3" t="s">
        <v>41</v>
      </c>
      <c r="C462" s="3" t="s">
        <v>40</v>
      </c>
      <c r="D462" s="3" t="s">
        <v>50</v>
      </c>
      <c r="E462" s="3" t="s">
        <v>51</v>
      </c>
      <c r="F462" s="3" t="s">
        <v>25</v>
      </c>
      <c r="G462" s="3" t="s">
        <v>25</v>
      </c>
      <c r="H462" s="3" t="s">
        <v>35</v>
      </c>
      <c r="I462" s="6">
        <v>44531</v>
      </c>
      <c r="J462" s="4">
        <v>5291</v>
      </c>
      <c r="K462" s="4">
        <v>4973.54</v>
      </c>
      <c r="L462" s="4">
        <v>2365.7759999999998</v>
      </c>
      <c r="M462" s="4">
        <v>2223.82944</v>
      </c>
      <c r="N462" s="4">
        <v>2365.7759999999998</v>
      </c>
      <c r="O462" s="4">
        <v>2223.82944</v>
      </c>
      <c r="P462" s="4">
        <v>0</v>
      </c>
      <c r="Q462" s="3" t="s">
        <v>26</v>
      </c>
      <c r="R462" s="3">
        <v>0</v>
      </c>
      <c r="S462" s="3" t="s">
        <v>192</v>
      </c>
      <c r="T462" s="3" t="s">
        <v>619</v>
      </c>
      <c r="U462" s="3">
        <v>12</v>
      </c>
      <c r="V462" s="3">
        <v>110</v>
      </c>
      <c r="W462" s="3">
        <v>89</v>
      </c>
    </row>
    <row r="463" spans="1:23" ht="11.25" customHeight="1" x14ac:dyDescent="0.25">
      <c r="A463" s="3" t="s">
        <v>21</v>
      </c>
      <c r="B463" s="3" t="s">
        <v>41</v>
      </c>
      <c r="C463" s="3" t="s">
        <v>40</v>
      </c>
      <c r="D463" s="3" t="s">
        <v>50</v>
      </c>
      <c r="E463" s="3" t="s">
        <v>51</v>
      </c>
      <c r="F463" s="3" t="s">
        <v>25</v>
      </c>
      <c r="G463" s="3" t="s">
        <v>25</v>
      </c>
      <c r="H463" s="3" t="s">
        <v>35</v>
      </c>
      <c r="I463" s="6">
        <v>44562</v>
      </c>
      <c r="J463" s="4">
        <v>5396</v>
      </c>
      <c r="K463" s="4">
        <v>5072.24</v>
      </c>
      <c r="L463" s="4">
        <v>2486.547</v>
      </c>
      <c r="M463" s="4">
        <v>2337.3541799999998</v>
      </c>
      <c r="N463" s="4">
        <v>2486.547</v>
      </c>
      <c r="O463" s="4">
        <v>2337.3541799999998</v>
      </c>
      <c r="P463" s="4">
        <v>0</v>
      </c>
      <c r="Q463" s="3" t="s">
        <v>26</v>
      </c>
      <c r="R463" s="3">
        <v>0</v>
      </c>
      <c r="S463" s="3" t="s">
        <v>193</v>
      </c>
      <c r="T463" s="3" t="s">
        <v>620</v>
      </c>
      <c r="U463" s="3">
        <v>12</v>
      </c>
      <c r="V463" s="3">
        <v>110</v>
      </c>
      <c r="W463" s="3">
        <v>89</v>
      </c>
    </row>
    <row r="464" spans="1:23" ht="11.25" customHeight="1" x14ac:dyDescent="0.25">
      <c r="A464" s="3" t="s">
        <v>21</v>
      </c>
      <c r="B464" s="3" t="s">
        <v>41</v>
      </c>
      <c r="C464" s="3" t="s">
        <v>40</v>
      </c>
      <c r="D464" s="3" t="s">
        <v>50</v>
      </c>
      <c r="E464" s="3" t="s">
        <v>51</v>
      </c>
      <c r="F464" s="3" t="s">
        <v>25</v>
      </c>
      <c r="G464" s="3" t="s">
        <v>25</v>
      </c>
      <c r="H464" s="3" t="s">
        <v>35</v>
      </c>
      <c r="I464" s="6">
        <v>44593</v>
      </c>
      <c r="J464" s="4">
        <v>5460</v>
      </c>
      <c r="K464" s="4">
        <v>5132.3999999999996</v>
      </c>
      <c r="L464" s="4">
        <v>2275.4929999999999</v>
      </c>
      <c r="M464" s="4">
        <v>2138.96342</v>
      </c>
      <c r="N464" s="4">
        <v>2275.4929999999999</v>
      </c>
      <c r="O464" s="4">
        <v>2138.96342</v>
      </c>
      <c r="P464" s="4">
        <v>0</v>
      </c>
      <c r="Q464" s="3" t="s">
        <v>26</v>
      </c>
      <c r="R464" s="3">
        <v>0</v>
      </c>
      <c r="S464" s="3" t="s">
        <v>194</v>
      </c>
      <c r="T464" s="3" t="s">
        <v>621</v>
      </c>
      <c r="U464" s="3">
        <v>12</v>
      </c>
      <c r="V464" s="3">
        <v>110</v>
      </c>
      <c r="W464" s="3">
        <v>89</v>
      </c>
    </row>
    <row r="465" spans="1:23" ht="11.25" customHeight="1" x14ac:dyDescent="0.25">
      <c r="A465" s="3" t="s">
        <v>56</v>
      </c>
      <c r="B465" s="3" t="s">
        <v>41</v>
      </c>
      <c r="C465" s="3" t="s">
        <v>40</v>
      </c>
      <c r="D465" s="3" t="s">
        <v>50</v>
      </c>
      <c r="E465" s="3" t="s">
        <v>51</v>
      </c>
      <c r="F465" s="3" t="s">
        <v>25</v>
      </c>
      <c r="G465" s="3" t="s">
        <v>25</v>
      </c>
      <c r="H465" s="3" t="s">
        <v>35</v>
      </c>
      <c r="I465" s="6">
        <v>44621</v>
      </c>
      <c r="J465" s="4">
        <v>5460</v>
      </c>
      <c r="K465" s="4">
        <v>5132.3999999999996</v>
      </c>
      <c r="L465" s="4">
        <v>2275.4929999999999</v>
      </c>
      <c r="M465" s="4">
        <v>2138.96342</v>
      </c>
      <c r="N465" s="4">
        <v>2275.4929999999999</v>
      </c>
      <c r="O465" s="4">
        <v>2138.96342</v>
      </c>
      <c r="P465" s="4">
        <v>0</v>
      </c>
      <c r="Q465" s="3" t="s">
        <v>26</v>
      </c>
      <c r="R465" s="3">
        <v>0</v>
      </c>
      <c r="S465" s="3" t="s">
        <v>195</v>
      </c>
      <c r="T465" s="3" t="s">
        <v>622</v>
      </c>
      <c r="U465" s="3">
        <v>12</v>
      </c>
      <c r="V465" s="3">
        <v>110</v>
      </c>
      <c r="W465" s="3">
        <v>89</v>
      </c>
    </row>
    <row r="466" spans="1:23" ht="11.25" customHeight="1" x14ac:dyDescent="0.25">
      <c r="A466" s="3" t="s">
        <v>21</v>
      </c>
      <c r="B466" s="3" t="s">
        <v>41</v>
      </c>
      <c r="C466" s="3" t="s">
        <v>40</v>
      </c>
      <c r="D466" s="3" t="s">
        <v>50</v>
      </c>
      <c r="E466" s="3" t="s">
        <v>51</v>
      </c>
      <c r="F466" s="3" t="s">
        <v>25</v>
      </c>
      <c r="G466" s="3" t="s">
        <v>25</v>
      </c>
      <c r="H466" s="3" t="s">
        <v>34</v>
      </c>
      <c r="I466" s="6">
        <v>44287</v>
      </c>
      <c r="J466" s="4">
        <v>6658</v>
      </c>
      <c r="K466" s="4">
        <v>6258.52</v>
      </c>
      <c r="L466" s="4">
        <v>302.95299999999997</v>
      </c>
      <c r="M466" s="4">
        <v>284.77582000000001</v>
      </c>
      <c r="N466" s="4">
        <v>302.95299999999997</v>
      </c>
      <c r="O466" s="4">
        <v>284.77582000000001</v>
      </c>
      <c r="P466" s="4">
        <v>0</v>
      </c>
      <c r="Q466" s="3" t="s">
        <v>26</v>
      </c>
      <c r="R466" s="3">
        <v>0</v>
      </c>
      <c r="S466" s="3" t="s">
        <v>196</v>
      </c>
      <c r="T466" s="3" t="s">
        <v>623</v>
      </c>
      <c r="U466" s="3">
        <v>11</v>
      </c>
      <c r="V466" s="3">
        <v>110</v>
      </c>
      <c r="W466" s="3">
        <v>88</v>
      </c>
    </row>
    <row r="467" spans="1:23" ht="11.25" customHeight="1" x14ac:dyDescent="0.25">
      <c r="A467" s="3" t="s">
        <v>21</v>
      </c>
      <c r="B467" s="3" t="s">
        <v>41</v>
      </c>
      <c r="C467" s="3" t="s">
        <v>40</v>
      </c>
      <c r="D467" s="3" t="s">
        <v>50</v>
      </c>
      <c r="E467" s="3" t="s">
        <v>51</v>
      </c>
      <c r="F467" s="3" t="s">
        <v>25</v>
      </c>
      <c r="G467" s="3" t="s">
        <v>25</v>
      </c>
      <c r="H467" s="3" t="s">
        <v>34</v>
      </c>
      <c r="I467" s="6">
        <v>44317</v>
      </c>
      <c r="J467" s="4">
        <v>6490</v>
      </c>
      <c r="K467" s="4">
        <v>6100.6</v>
      </c>
      <c r="L467" s="4">
        <v>303.73899999999998</v>
      </c>
      <c r="M467" s="4">
        <v>285.51465999999999</v>
      </c>
      <c r="N467" s="4">
        <v>303.73899999999998</v>
      </c>
      <c r="O467" s="4">
        <v>285.51465999999999</v>
      </c>
      <c r="P467" s="4">
        <v>0</v>
      </c>
      <c r="Q467" s="3" t="s">
        <v>26</v>
      </c>
      <c r="R467" s="3">
        <v>0</v>
      </c>
      <c r="S467" s="3" t="s">
        <v>197</v>
      </c>
      <c r="T467" s="3" t="s">
        <v>624</v>
      </c>
      <c r="U467" s="3">
        <v>11</v>
      </c>
      <c r="V467" s="3">
        <v>110</v>
      </c>
      <c r="W467" s="3">
        <v>88</v>
      </c>
    </row>
    <row r="468" spans="1:23" ht="11.25" customHeight="1" x14ac:dyDescent="0.25">
      <c r="A468" s="3" t="s">
        <v>21</v>
      </c>
      <c r="B468" s="3" t="s">
        <v>41</v>
      </c>
      <c r="C468" s="3" t="s">
        <v>40</v>
      </c>
      <c r="D468" s="3" t="s">
        <v>50</v>
      </c>
      <c r="E468" s="3" t="s">
        <v>51</v>
      </c>
      <c r="F468" s="3" t="s">
        <v>25</v>
      </c>
      <c r="G468" s="3" t="s">
        <v>25</v>
      </c>
      <c r="H468" s="3" t="s">
        <v>34</v>
      </c>
      <c r="I468" s="6">
        <v>44348</v>
      </c>
      <c r="J468" s="4">
        <v>10444</v>
      </c>
      <c r="K468" s="4">
        <v>9817.36</v>
      </c>
      <c r="L468" s="4">
        <v>505.92099999999999</v>
      </c>
      <c r="M468" s="4">
        <v>475.56574000000001</v>
      </c>
      <c r="N468" s="4">
        <v>505.92099999999999</v>
      </c>
      <c r="O468" s="4">
        <v>475.56574000000001</v>
      </c>
      <c r="P468" s="4">
        <v>0</v>
      </c>
      <c r="Q468" s="3" t="s">
        <v>26</v>
      </c>
      <c r="R468" s="3">
        <v>0</v>
      </c>
      <c r="S468" s="3" t="s">
        <v>198</v>
      </c>
      <c r="T468" s="3" t="s">
        <v>625</v>
      </c>
      <c r="U468" s="3">
        <v>11</v>
      </c>
      <c r="V468" s="3">
        <v>110</v>
      </c>
      <c r="W468" s="3">
        <v>88</v>
      </c>
    </row>
    <row r="469" spans="1:23" ht="11.25" customHeight="1" x14ac:dyDescent="0.25">
      <c r="A469" s="3" t="s">
        <v>21</v>
      </c>
      <c r="B469" s="3" t="s">
        <v>41</v>
      </c>
      <c r="C469" s="3" t="s">
        <v>40</v>
      </c>
      <c r="D469" s="3" t="s">
        <v>50</v>
      </c>
      <c r="E469" s="3" t="s">
        <v>51</v>
      </c>
      <c r="F469" s="3" t="s">
        <v>25</v>
      </c>
      <c r="G469" s="3" t="s">
        <v>25</v>
      </c>
      <c r="H469" s="3" t="s">
        <v>34</v>
      </c>
      <c r="I469" s="6">
        <v>44378</v>
      </c>
      <c r="J469" s="4">
        <v>10507</v>
      </c>
      <c r="K469" s="4">
        <v>9876.58</v>
      </c>
      <c r="L469" s="4">
        <v>541.37699999999995</v>
      </c>
      <c r="M469" s="4">
        <v>508.89438000000001</v>
      </c>
      <c r="N469" s="4">
        <v>541.37699999999995</v>
      </c>
      <c r="O469" s="4">
        <v>508.89438000000001</v>
      </c>
      <c r="P469" s="4">
        <v>0</v>
      </c>
      <c r="Q469" s="3" t="s">
        <v>26</v>
      </c>
      <c r="R469" s="3">
        <v>0</v>
      </c>
      <c r="S469" s="3" t="s">
        <v>199</v>
      </c>
      <c r="T469" s="3" t="s">
        <v>626</v>
      </c>
      <c r="U469" s="3">
        <v>11</v>
      </c>
      <c r="V469" s="3">
        <v>110</v>
      </c>
      <c r="W469" s="3">
        <v>88</v>
      </c>
    </row>
    <row r="470" spans="1:23" ht="11.25" customHeight="1" x14ac:dyDescent="0.25">
      <c r="A470" s="3" t="s">
        <v>27</v>
      </c>
      <c r="B470" s="3" t="s">
        <v>41</v>
      </c>
      <c r="C470" s="3" t="s">
        <v>40</v>
      </c>
      <c r="D470" s="3" t="s">
        <v>50</v>
      </c>
      <c r="E470" s="3" t="s">
        <v>51</v>
      </c>
      <c r="F470" s="3" t="s">
        <v>25</v>
      </c>
      <c r="G470" s="3" t="s">
        <v>25</v>
      </c>
      <c r="H470" s="3" t="s">
        <v>34</v>
      </c>
      <c r="I470" s="6">
        <v>44378</v>
      </c>
      <c r="J470" s="4">
        <v>14</v>
      </c>
      <c r="K470" s="4">
        <v>13.16</v>
      </c>
      <c r="L470" s="4">
        <v>1.4</v>
      </c>
      <c r="M470" s="4">
        <v>1.3160000000000001</v>
      </c>
      <c r="N470" s="4">
        <v>1.4</v>
      </c>
      <c r="O470" s="4">
        <v>1.3160000000000001</v>
      </c>
      <c r="P470" s="4">
        <v>0</v>
      </c>
      <c r="Q470" s="3" t="s">
        <v>26</v>
      </c>
      <c r="R470" s="3">
        <v>0</v>
      </c>
      <c r="S470" s="3" t="s">
        <v>199</v>
      </c>
      <c r="T470" s="3" t="s">
        <v>626</v>
      </c>
      <c r="U470" s="3">
        <v>11</v>
      </c>
      <c r="V470" s="3">
        <v>110</v>
      </c>
      <c r="W470" s="3">
        <v>88</v>
      </c>
    </row>
    <row r="471" spans="1:23" ht="11.25" customHeight="1" x14ac:dyDescent="0.25">
      <c r="A471" s="3" t="s">
        <v>21</v>
      </c>
      <c r="B471" s="3" t="s">
        <v>41</v>
      </c>
      <c r="C471" s="3" t="s">
        <v>40</v>
      </c>
      <c r="D471" s="3" t="s">
        <v>50</v>
      </c>
      <c r="E471" s="3" t="s">
        <v>51</v>
      </c>
      <c r="F471" s="3" t="s">
        <v>25</v>
      </c>
      <c r="G471" s="3" t="s">
        <v>25</v>
      </c>
      <c r="H471" s="3" t="s">
        <v>34</v>
      </c>
      <c r="I471" s="6">
        <v>44409</v>
      </c>
      <c r="J471" s="4">
        <v>4805</v>
      </c>
      <c r="K471" s="4">
        <v>4516.7</v>
      </c>
      <c r="L471" s="4">
        <v>226.577</v>
      </c>
      <c r="M471" s="4">
        <v>212.98238000000001</v>
      </c>
      <c r="N471" s="4">
        <v>226.577</v>
      </c>
      <c r="O471" s="4">
        <v>212.98238000000001</v>
      </c>
      <c r="P471" s="4">
        <v>0</v>
      </c>
      <c r="Q471" s="3" t="s">
        <v>26</v>
      </c>
      <c r="R471" s="3">
        <v>0</v>
      </c>
      <c r="S471" s="3" t="s">
        <v>200</v>
      </c>
      <c r="T471" s="3" t="s">
        <v>627</v>
      </c>
      <c r="U471" s="3">
        <v>11</v>
      </c>
      <c r="V471" s="3">
        <v>110</v>
      </c>
      <c r="W471" s="3">
        <v>88</v>
      </c>
    </row>
    <row r="472" spans="1:23" ht="11.25" customHeight="1" x14ac:dyDescent="0.25">
      <c r="A472" s="3" t="s">
        <v>21</v>
      </c>
      <c r="B472" s="3" t="s">
        <v>41</v>
      </c>
      <c r="C472" s="3" t="s">
        <v>40</v>
      </c>
      <c r="D472" s="3" t="s">
        <v>50</v>
      </c>
      <c r="E472" s="3" t="s">
        <v>51</v>
      </c>
      <c r="F472" s="3" t="s">
        <v>25</v>
      </c>
      <c r="G472" s="3" t="s">
        <v>25</v>
      </c>
      <c r="H472" s="3" t="s">
        <v>34</v>
      </c>
      <c r="I472" s="6">
        <v>44440</v>
      </c>
      <c r="J472" s="4">
        <v>4858</v>
      </c>
      <c r="K472" s="4">
        <v>4566.5200000000004</v>
      </c>
      <c r="L472" s="4">
        <v>219.75200000000001</v>
      </c>
      <c r="M472" s="4">
        <v>206.56688</v>
      </c>
      <c r="N472" s="4">
        <v>219.75200000000001</v>
      </c>
      <c r="O472" s="4">
        <v>206.56688</v>
      </c>
      <c r="P472" s="4">
        <v>0</v>
      </c>
      <c r="Q472" s="3" t="s">
        <v>26</v>
      </c>
      <c r="R472" s="3">
        <v>0</v>
      </c>
      <c r="S472" s="3" t="s">
        <v>201</v>
      </c>
      <c r="T472" s="3" t="s">
        <v>628</v>
      </c>
      <c r="U472" s="3">
        <v>11</v>
      </c>
      <c r="V472" s="3">
        <v>110</v>
      </c>
      <c r="W472" s="3">
        <v>88</v>
      </c>
    </row>
    <row r="473" spans="1:23" ht="11.25" customHeight="1" x14ac:dyDescent="0.25">
      <c r="A473" s="3" t="s">
        <v>21</v>
      </c>
      <c r="B473" s="3" t="s">
        <v>41</v>
      </c>
      <c r="C473" s="3" t="s">
        <v>40</v>
      </c>
      <c r="D473" s="3" t="s">
        <v>50</v>
      </c>
      <c r="E473" s="3" t="s">
        <v>51</v>
      </c>
      <c r="F473" s="3" t="s">
        <v>25</v>
      </c>
      <c r="G473" s="3" t="s">
        <v>25</v>
      </c>
      <c r="H473" s="3" t="s">
        <v>34</v>
      </c>
      <c r="I473" s="6">
        <v>44470</v>
      </c>
      <c r="J473" s="4">
        <v>4804</v>
      </c>
      <c r="K473" s="4">
        <v>4515.76</v>
      </c>
      <c r="L473" s="4">
        <v>213.417</v>
      </c>
      <c r="M473" s="4">
        <v>200.61197999999999</v>
      </c>
      <c r="N473" s="4">
        <v>213.417</v>
      </c>
      <c r="O473" s="4">
        <v>200.61197999999999</v>
      </c>
      <c r="P473" s="4">
        <v>0</v>
      </c>
      <c r="Q473" s="3" t="s">
        <v>26</v>
      </c>
      <c r="R473" s="3">
        <v>0</v>
      </c>
      <c r="S473" s="3" t="s">
        <v>202</v>
      </c>
      <c r="T473" s="3" t="s">
        <v>629</v>
      </c>
      <c r="U473" s="3">
        <v>11</v>
      </c>
      <c r="V473" s="3">
        <v>110</v>
      </c>
      <c r="W473" s="3">
        <v>88</v>
      </c>
    </row>
    <row r="474" spans="1:23" ht="11.25" customHeight="1" x14ac:dyDescent="0.25">
      <c r="A474" s="3" t="s">
        <v>21</v>
      </c>
      <c r="B474" s="3" t="s">
        <v>41</v>
      </c>
      <c r="C474" s="3" t="s">
        <v>40</v>
      </c>
      <c r="D474" s="3" t="s">
        <v>50</v>
      </c>
      <c r="E474" s="3" t="s">
        <v>51</v>
      </c>
      <c r="F474" s="3" t="s">
        <v>25</v>
      </c>
      <c r="G474" s="3" t="s">
        <v>25</v>
      </c>
      <c r="H474" s="3" t="s">
        <v>34</v>
      </c>
      <c r="I474" s="6">
        <v>44501</v>
      </c>
      <c r="J474" s="4">
        <v>5045</v>
      </c>
      <c r="K474" s="4">
        <v>4742.3</v>
      </c>
      <c r="L474" s="4">
        <v>213.58600000000001</v>
      </c>
      <c r="M474" s="4">
        <v>200.77083999999999</v>
      </c>
      <c r="N474" s="4">
        <v>213.58600000000001</v>
      </c>
      <c r="O474" s="4">
        <v>200.77083999999999</v>
      </c>
      <c r="P474" s="4">
        <v>0</v>
      </c>
      <c r="Q474" s="3" t="s">
        <v>26</v>
      </c>
      <c r="R474" s="3">
        <v>0</v>
      </c>
      <c r="S474" s="3" t="s">
        <v>203</v>
      </c>
      <c r="T474" s="3" t="s">
        <v>630</v>
      </c>
      <c r="U474" s="3">
        <v>11</v>
      </c>
      <c r="V474" s="3">
        <v>110</v>
      </c>
      <c r="W474" s="3">
        <v>88</v>
      </c>
    </row>
    <row r="475" spans="1:23" ht="11.25" customHeight="1" x14ac:dyDescent="0.25">
      <c r="A475" s="3" t="s">
        <v>21</v>
      </c>
      <c r="B475" s="3" t="s">
        <v>41</v>
      </c>
      <c r="C475" s="3" t="s">
        <v>40</v>
      </c>
      <c r="D475" s="3" t="s">
        <v>50</v>
      </c>
      <c r="E475" s="3" t="s">
        <v>51</v>
      </c>
      <c r="F475" s="3" t="s">
        <v>25</v>
      </c>
      <c r="G475" s="3" t="s">
        <v>25</v>
      </c>
      <c r="H475" s="3" t="s">
        <v>34</v>
      </c>
      <c r="I475" s="6">
        <v>44531</v>
      </c>
      <c r="J475" s="4">
        <v>4821</v>
      </c>
      <c r="K475" s="4">
        <v>4531.74</v>
      </c>
      <c r="L475" s="4">
        <v>220.51300000000001</v>
      </c>
      <c r="M475" s="4">
        <v>207.28222</v>
      </c>
      <c r="N475" s="4">
        <v>220.51300000000001</v>
      </c>
      <c r="O475" s="4">
        <v>207.28222</v>
      </c>
      <c r="P475" s="4">
        <v>0</v>
      </c>
      <c r="Q475" s="3" t="s">
        <v>26</v>
      </c>
      <c r="R475" s="3">
        <v>0</v>
      </c>
      <c r="S475" s="3" t="s">
        <v>204</v>
      </c>
      <c r="T475" s="3" t="s">
        <v>631</v>
      </c>
      <c r="U475" s="3">
        <v>11</v>
      </c>
      <c r="V475" s="3">
        <v>110</v>
      </c>
      <c r="W475" s="3">
        <v>88</v>
      </c>
    </row>
    <row r="476" spans="1:23" ht="11.25" customHeight="1" x14ac:dyDescent="0.25">
      <c r="A476" s="3" t="s">
        <v>21</v>
      </c>
      <c r="B476" s="3" t="s">
        <v>41</v>
      </c>
      <c r="C476" s="3" t="s">
        <v>40</v>
      </c>
      <c r="D476" s="3" t="s">
        <v>50</v>
      </c>
      <c r="E476" s="3" t="s">
        <v>51</v>
      </c>
      <c r="F476" s="3" t="s">
        <v>25</v>
      </c>
      <c r="G476" s="3" t="s">
        <v>25</v>
      </c>
      <c r="H476" s="3" t="s">
        <v>34</v>
      </c>
      <c r="I476" s="6">
        <v>44562</v>
      </c>
      <c r="J476" s="4">
        <v>4984</v>
      </c>
      <c r="K476" s="4">
        <v>4684.96</v>
      </c>
      <c r="L476" s="4">
        <v>225.96</v>
      </c>
      <c r="M476" s="4">
        <v>212.4024</v>
      </c>
      <c r="N476" s="4">
        <v>225.96</v>
      </c>
      <c r="O476" s="4">
        <v>212.4024</v>
      </c>
      <c r="P476" s="4">
        <v>0</v>
      </c>
      <c r="Q476" s="3" t="s">
        <v>26</v>
      </c>
      <c r="R476" s="3">
        <v>0</v>
      </c>
      <c r="S476" s="3" t="s">
        <v>205</v>
      </c>
      <c r="T476" s="3" t="s">
        <v>632</v>
      </c>
      <c r="U476" s="3">
        <v>11</v>
      </c>
      <c r="V476" s="3">
        <v>110</v>
      </c>
      <c r="W476" s="3">
        <v>88</v>
      </c>
    </row>
    <row r="477" spans="1:23" ht="11.25" customHeight="1" x14ac:dyDescent="0.25">
      <c r="A477" s="3" t="s">
        <v>21</v>
      </c>
      <c r="B477" s="3" t="s">
        <v>41</v>
      </c>
      <c r="C477" s="3" t="s">
        <v>40</v>
      </c>
      <c r="D477" s="3" t="s">
        <v>50</v>
      </c>
      <c r="E477" s="3" t="s">
        <v>51</v>
      </c>
      <c r="F477" s="3" t="s">
        <v>25</v>
      </c>
      <c r="G477" s="3" t="s">
        <v>25</v>
      </c>
      <c r="H477" s="3" t="s">
        <v>34</v>
      </c>
      <c r="I477" s="6">
        <v>44593</v>
      </c>
      <c r="J477" s="4">
        <v>4945</v>
      </c>
      <c r="K477" s="4">
        <v>4648.3</v>
      </c>
      <c r="L477" s="4">
        <v>208.08</v>
      </c>
      <c r="M477" s="4">
        <v>195.59520000000001</v>
      </c>
      <c r="N477" s="4">
        <v>208.08</v>
      </c>
      <c r="O477" s="4">
        <v>195.59520000000001</v>
      </c>
      <c r="P477" s="4">
        <v>0</v>
      </c>
      <c r="Q477" s="3" t="s">
        <v>26</v>
      </c>
      <c r="R477" s="3">
        <v>0</v>
      </c>
      <c r="S477" s="3" t="s">
        <v>206</v>
      </c>
      <c r="T477" s="3" t="s">
        <v>633</v>
      </c>
      <c r="U477" s="3">
        <v>11</v>
      </c>
      <c r="V477" s="3">
        <v>110</v>
      </c>
      <c r="W477" s="3">
        <v>88</v>
      </c>
    </row>
    <row r="478" spans="1:23" ht="11.25" customHeight="1" x14ac:dyDescent="0.25">
      <c r="A478" s="3" t="s">
        <v>56</v>
      </c>
      <c r="B478" s="3" t="s">
        <v>41</v>
      </c>
      <c r="C478" s="3" t="s">
        <v>40</v>
      </c>
      <c r="D478" s="3" t="s">
        <v>50</v>
      </c>
      <c r="E478" s="3" t="s">
        <v>51</v>
      </c>
      <c r="F478" s="3" t="s">
        <v>25</v>
      </c>
      <c r="G478" s="3" t="s">
        <v>25</v>
      </c>
      <c r="H478" s="3" t="s">
        <v>34</v>
      </c>
      <c r="I478" s="6">
        <v>44621</v>
      </c>
      <c r="J478" s="4">
        <v>4945</v>
      </c>
      <c r="K478" s="4">
        <v>4648.3</v>
      </c>
      <c r="L478" s="4">
        <v>208.08</v>
      </c>
      <c r="M478" s="4">
        <v>195.59520000000001</v>
      </c>
      <c r="N478" s="4">
        <v>208.08</v>
      </c>
      <c r="O478" s="4">
        <v>195.59520000000001</v>
      </c>
      <c r="P478" s="4">
        <v>0</v>
      </c>
      <c r="Q478" s="3" t="s">
        <v>26</v>
      </c>
      <c r="R478" s="3">
        <v>0</v>
      </c>
      <c r="S478" s="3" t="s">
        <v>207</v>
      </c>
      <c r="T478" s="3" t="s">
        <v>634</v>
      </c>
      <c r="U478" s="3">
        <v>11</v>
      </c>
      <c r="V478" s="3">
        <v>110</v>
      </c>
      <c r="W478" s="3">
        <v>88</v>
      </c>
    </row>
    <row r="479" spans="1:23" ht="11.25" customHeight="1" x14ac:dyDescent="0.25">
      <c r="A479" s="3" t="s">
        <v>21</v>
      </c>
      <c r="B479" s="3" t="s">
        <v>41</v>
      </c>
      <c r="C479" s="3" t="s">
        <v>61</v>
      </c>
      <c r="D479" s="3" t="s">
        <v>25</v>
      </c>
      <c r="E479" s="3" t="s">
        <v>25</v>
      </c>
      <c r="F479" s="3" t="s">
        <v>64</v>
      </c>
      <c r="G479" s="3" t="s">
        <v>68</v>
      </c>
      <c r="H479" s="3" t="s">
        <v>35</v>
      </c>
      <c r="I479" s="6">
        <v>44287</v>
      </c>
      <c r="J479" s="4">
        <v>1995</v>
      </c>
      <c r="K479" s="4">
        <v>1995</v>
      </c>
      <c r="L479" s="4">
        <v>997.26800000000003</v>
      </c>
      <c r="M479" s="4">
        <v>997.26800000000003</v>
      </c>
      <c r="N479" s="4">
        <v>0</v>
      </c>
      <c r="O479" s="4">
        <v>0</v>
      </c>
      <c r="P479" s="4">
        <v>0</v>
      </c>
      <c r="Q479" s="3" t="s">
        <v>66</v>
      </c>
      <c r="R479" s="3">
        <v>5377</v>
      </c>
      <c r="S479" s="3" t="s">
        <v>220</v>
      </c>
      <c r="T479" s="3" t="s">
        <v>635</v>
      </c>
      <c r="U479" s="3">
        <v>14</v>
      </c>
      <c r="V479" s="3">
        <v>15</v>
      </c>
      <c r="W479" s="3">
        <v>0</v>
      </c>
    </row>
    <row r="480" spans="1:23" ht="11.25" customHeight="1" x14ac:dyDescent="0.25">
      <c r="A480" s="3" t="s">
        <v>21</v>
      </c>
      <c r="B480" s="3" t="s">
        <v>41</v>
      </c>
      <c r="C480" s="3" t="s">
        <v>61</v>
      </c>
      <c r="D480" s="3" t="s">
        <v>25</v>
      </c>
      <c r="E480" s="3" t="s">
        <v>25</v>
      </c>
      <c r="F480" s="3" t="s">
        <v>64</v>
      </c>
      <c r="G480" s="3" t="s">
        <v>68</v>
      </c>
      <c r="H480" s="3" t="s">
        <v>35</v>
      </c>
      <c r="I480" s="6">
        <v>44317</v>
      </c>
      <c r="J480" s="4">
        <v>2016</v>
      </c>
      <c r="K480" s="4">
        <v>2016</v>
      </c>
      <c r="L480" s="4">
        <v>928.58900000000006</v>
      </c>
      <c r="M480" s="4">
        <v>928.58900000000006</v>
      </c>
      <c r="N480" s="4">
        <v>0</v>
      </c>
      <c r="O480" s="4">
        <v>0</v>
      </c>
      <c r="P480" s="4">
        <v>0</v>
      </c>
      <c r="Q480" s="3" t="s">
        <v>66</v>
      </c>
      <c r="R480" s="3">
        <v>5377</v>
      </c>
      <c r="S480" s="3" t="s">
        <v>221</v>
      </c>
      <c r="T480" s="3" t="s">
        <v>636</v>
      </c>
      <c r="U480" s="3">
        <v>14</v>
      </c>
      <c r="V480" s="3">
        <v>15</v>
      </c>
      <c r="W480" s="3">
        <v>0</v>
      </c>
    </row>
    <row r="481" spans="1:23" ht="11.25" customHeight="1" x14ac:dyDescent="0.25">
      <c r="A481" s="3" t="s">
        <v>21</v>
      </c>
      <c r="B481" s="3" t="s">
        <v>41</v>
      </c>
      <c r="C481" s="3" t="s">
        <v>61</v>
      </c>
      <c r="D481" s="3" t="s">
        <v>25</v>
      </c>
      <c r="E481" s="3" t="s">
        <v>25</v>
      </c>
      <c r="F481" s="3" t="s">
        <v>64</v>
      </c>
      <c r="G481" s="3" t="s">
        <v>68</v>
      </c>
      <c r="H481" s="3" t="s">
        <v>35</v>
      </c>
      <c r="I481" s="6">
        <v>44348</v>
      </c>
      <c r="J481" s="4">
        <v>1935</v>
      </c>
      <c r="K481" s="4">
        <v>1935</v>
      </c>
      <c r="L481" s="4">
        <v>903.06299999999999</v>
      </c>
      <c r="M481" s="4">
        <v>903.06299999999999</v>
      </c>
      <c r="N481" s="4">
        <v>0</v>
      </c>
      <c r="O481" s="4">
        <v>0</v>
      </c>
      <c r="P481" s="4">
        <v>0</v>
      </c>
      <c r="Q481" s="3" t="s">
        <v>66</v>
      </c>
      <c r="R481" s="3">
        <v>5377</v>
      </c>
      <c r="S481" s="3" t="s">
        <v>222</v>
      </c>
      <c r="T481" s="3" t="s">
        <v>637</v>
      </c>
      <c r="U481" s="3">
        <v>14</v>
      </c>
      <c r="V481" s="3">
        <v>15</v>
      </c>
      <c r="W481" s="3">
        <v>0</v>
      </c>
    </row>
    <row r="482" spans="1:23" ht="11.25" customHeight="1" x14ac:dyDescent="0.25">
      <c r="A482" s="3" t="s">
        <v>21</v>
      </c>
      <c r="B482" s="3" t="s">
        <v>41</v>
      </c>
      <c r="C482" s="3" t="s">
        <v>61</v>
      </c>
      <c r="D482" s="3" t="s">
        <v>25</v>
      </c>
      <c r="E482" s="3" t="s">
        <v>25</v>
      </c>
      <c r="F482" s="3" t="s">
        <v>64</v>
      </c>
      <c r="G482" s="3" t="s">
        <v>68</v>
      </c>
      <c r="H482" s="3" t="s">
        <v>35</v>
      </c>
      <c r="I482" s="6">
        <v>44378</v>
      </c>
      <c r="J482" s="4">
        <v>1938</v>
      </c>
      <c r="K482" s="4">
        <v>1938</v>
      </c>
      <c r="L482" s="4">
        <v>870.15300000000002</v>
      </c>
      <c r="M482" s="4">
        <v>870.15300000000002</v>
      </c>
      <c r="N482" s="4">
        <v>0</v>
      </c>
      <c r="O482" s="4">
        <v>0</v>
      </c>
      <c r="P482" s="4">
        <v>0</v>
      </c>
      <c r="Q482" s="3" t="s">
        <v>66</v>
      </c>
      <c r="R482" s="3">
        <v>5377</v>
      </c>
      <c r="S482" s="3" t="s">
        <v>223</v>
      </c>
      <c r="T482" s="3" t="s">
        <v>638</v>
      </c>
      <c r="U482" s="3">
        <v>14</v>
      </c>
      <c r="V482" s="3">
        <v>15</v>
      </c>
      <c r="W482" s="3">
        <v>0</v>
      </c>
    </row>
    <row r="483" spans="1:23" ht="11.25" customHeight="1" x14ac:dyDescent="0.25">
      <c r="A483" s="3" t="s">
        <v>21</v>
      </c>
      <c r="B483" s="3" t="s">
        <v>41</v>
      </c>
      <c r="C483" s="3" t="s">
        <v>61</v>
      </c>
      <c r="D483" s="3" t="s">
        <v>25</v>
      </c>
      <c r="E483" s="3" t="s">
        <v>25</v>
      </c>
      <c r="F483" s="3" t="s">
        <v>64</v>
      </c>
      <c r="G483" s="3" t="s">
        <v>68</v>
      </c>
      <c r="H483" s="3" t="s">
        <v>35</v>
      </c>
      <c r="I483" s="6">
        <v>44409</v>
      </c>
      <c r="J483" s="4">
        <v>1915</v>
      </c>
      <c r="K483" s="4">
        <v>1915</v>
      </c>
      <c r="L483" s="4">
        <v>835.46100000000001</v>
      </c>
      <c r="M483" s="4">
        <v>835.46100000000001</v>
      </c>
      <c r="N483" s="4">
        <v>0</v>
      </c>
      <c r="O483" s="4">
        <v>0</v>
      </c>
      <c r="P483" s="4">
        <v>0</v>
      </c>
      <c r="Q483" s="3" t="s">
        <v>66</v>
      </c>
      <c r="R483" s="3">
        <v>5377</v>
      </c>
      <c r="S483" s="3" t="s">
        <v>224</v>
      </c>
      <c r="T483" s="3" t="s">
        <v>639</v>
      </c>
      <c r="U483" s="3">
        <v>14</v>
      </c>
      <c r="V483" s="3">
        <v>15</v>
      </c>
      <c r="W483" s="3">
        <v>0</v>
      </c>
    </row>
    <row r="484" spans="1:23" ht="11.25" customHeight="1" x14ac:dyDescent="0.25">
      <c r="A484" s="3" t="s">
        <v>21</v>
      </c>
      <c r="B484" s="3" t="s">
        <v>41</v>
      </c>
      <c r="C484" s="3" t="s">
        <v>61</v>
      </c>
      <c r="D484" s="3" t="s">
        <v>25</v>
      </c>
      <c r="E484" s="3" t="s">
        <v>25</v>
      </c>
      <c r="F484" s="3" t="s">
        <v>64</v>
      </c>
      <c r="G484" s="3" t="s">
        <v>68</v>
      </c>
      <c r="H484" s="3" t="s">
        <v>35</v>
      </c>
      <c r="I484" s="6">
        <v>44440</v>
      </c>
      <c r="J484" s="4">
        <v>1963</v>
      </c>
      <c r="K484" s="4">
        <v>1963</v>
      </c>
      <c r="L484" s="4">
        <v>864.78300000000002</v>
      </c>
      <c r="M484" s="4">
        <v>864.78300000000002</v>
      </c>
      <c r="N484" s="4">
        <v>0</v>
      </c>
      <c r="O484" s="4">
        <v>0</v>
      </c>
      <c r="P484" s="4">
        <v>0</v>
      </c>
      <c r="Q484" s="3" t="s">
        <v>66</v>
      </c>
      <c r="R484" s="3">
        <v>5377</v>
      </c>
      <c r="S484" s="3" t="s">
        <v>225</v>
      </c>
      <c r="T484" s="3" t="s">
        <v>640</v>
      </c>
      <c r="U484" s="3">
        <v>14</v>
      </c>
      <c r="V484" s="3">
        <v>15</v>
      </c>
      <c r="W484" s="3">
        <v>0</v>
      </c>
    </row>
    <row r="485" spans="1:23" ht="11.25" customHeight="1" x14ac:dyDescent="0.25">
      <c r="A485" s="3" t="s">
        <v>21</v>
      </c>
      <c r="B485" s="3" t="s">
        <v>41</v>
      </c>
      <c r="C485" s="3" t="s">
        <v>61</v>
      </c>
      <c r="D485" s="3" t="s">
        <v>25</v>
      </c>
      <c r="E485" s="3" t="s">
        <v>25</v>
      </c>
      <c r="F485" s="3" t="s">
        <v>64</v>
      </c>
      <c r="G485" s="3" t="s">
        <v>68</v>
      </c>
      <c r="H485" s="3" t="s">
        <v>35</v>
      </c>
      <c r="I485" s="6">
        <v>44470</v>
      </c>
      <c r="J485" s="4">
        <v>2009</v>
      </c>
      <c r="K485" s="4">
        <v>2009</v>
      </c>
      <c r="L485" s="4">
        <v>890.678</v>
      </c>
      <c r="M485" s="4">
        <v>890.678</v>
      </c>
      <c r="N485" s="4">
        <v>0</v>
      </c>
      <c r="O485" s="4">
        <v>0</v>
      </c>
      <c r="P485" s="4">
        <v>0</v>
      </c>
      <c r="Q485" s="3" t="s">
        <v>66</v>
      </c>
      <c r="R485" s="3">
        <v>5377</v>
      </c>
      <c r="S485" s="3" t="s">
        <v>226</v>
      </c>
      <c r="T485" s="3" t="s">
        <v>641</v>
      </c>
      <c r="U485" s="3">
        <v>14</v>
      </c>
      <c r="V485" s="3">
        <v>15</v>
      </c>
      <c r="W485" s="3">
        <v>0</v>
      </c>
    </row>
    <row r="486" spans="1:23" ht="11.25" customHeight="1" x14ac:dyDescent="0.25">
      <c r="A486" s="3" t="s">
        <v>21</v>
      </c>
      <c r="B486" s="3" t="s">
        <v>41</v>
      </c>
      <c r="C486" s="3" t="s">
        <v>61</v>
      </c>
      <c r="D486" s="3" t="s">
        <v>25</v>
      </c>
      <c r="E486" s="3" t="s">
        <v>25</v>
      </c>
      <c r="F486" s="3" t="s">
        <v>64</v>
      </c>
      <c r="G486" s="3" t="s">
        <v>68</v>
      </c>
      <c r="H486" s="3" t="s">
        <v>35</v>
      </c>
      <c r="I486" s="6">
        <v>44501</v>
      </c>
      <c r="J486" s="4">
        <v>2042</v>
      </c>
      <c r="K486" s="4">
        <v>2042</v>
      </c>
      <c r="L486" s="4">
        <v>1001.43</v>
      </c>
      <c r="M486" s="4">
        <v>1001.43</v>
      </c>
      <c r="N486" s="4">
        <v>0</v>
      </c>
      <c r="O486" s="4">
        <v>0</v>
      </c>
      <c r="P486" s="4">
        <v>0</v>
      </c>
      <c r="Q486" s="3" t="s">
        <v>66</v>
      </c>
      <c r="R486" s="3">
        <v>5377</v>
      </c>
      <c r="S486" s="3" t="s">
        <v>227</v>
      </c>
      <c r="T486" s="3" t="s">
        <v>642</v>
      </c>
      <c r="U486" s="3">
        <v>14</v>
      </c>
      <c r="V486" s="3">
        <v>15</v>
      </c>
      <c r="W486" s="3">
        <v>0</v>
      </c>
    </row>
    <row r="487" spans="1:23" ht="11.25" customHeight="1" x14ac:dyDescent="0.25">
      <c r="A487" s="3" t="s">
        <v>21</v>
      </c>
      <c r="B487" s="3" t="s">
        <v>41</v>
      </c>
      <c r="C487" s="3" t="s">
        <v>61</v>
      </c>
      <c r="D487" s="3" t="s">
        <v>25</v>
      </c>
      <c r="E487" s="3" t="s">
        <v>25</v>
      </c>
      <c r="F487" s="3" t="s">
        <v>64</v>
      </c>
      <c r="G487" s="3" t="s">
        <v>68</v>
      </c>
      <c r="H487" s="3" t="s">
        <v>35</v>
      </c>
      <c r="I487" s="6">
        <v>44531</v>
      </c>
      <c r="J487" s="4">
        <v>2010</v>
      </c>
      <c r="K487" s="4">
        <v>2010</v>
      </c>
      <c r="L487" s="4">
        <v>976.822</v>
      </c>
      <c r="M487" s="4">
        <v>976.822</v>
      </c>
      <c r="N487" s="4">
        <v>0</v>
      </c>
      <c r="O487" s="4">
        <v>0</v>
      </c>
      <c r="P487" s="4">
        <v>0</v>
      </c>
      <c r="Q487" s="3" t="s">
        <v>66</v>
      </c>
      <c r="R487" s="3">
        <v>5377</v>
      </c>
      <c r="S487" s="3" t="s">
        <v>228</v>
      </c>
      <c r="T487" s="3" t="s">
        <v>643</v>
      </c>
      <c r="U487" s="3">
        <v>14</v>
      </c>
      <c r="V487" s="3">
        <v>15</v>
      </c>
      <c r="W487" s="3">
        <v>0</v>
      </c>
    </row>
    <row r="488" spans="1:23" ht="11.25" customHeight="1" x14ac:dyDescent="0.25">
      <c r="A488" s="3" t="s">
        <v>21</v>
      </c>
      <c r="B488" s="3" t="s">
        <v>41</v>
      </c>
      <c r="C488" s="3" t="s">
        <v>61</v>
      </c>
      <c r="D488" s="3" t="s">
        <v>25</v>
      </c>
      <c r="E488" s="3" t="s">
        <v>25</v>
      </c>
      <c r="F488" s="3" t="s">
        <v>64</v>
      </c>
      <c r="G488" s="3" t="s">
        <v>68</v>
      </c>
      <c r="H488" s="3" t="s">
        <v>35</v>
      </c>
      <c r="I488" s="6">
        <v>44562</v>
      </c>
      <c r="J488" s="4">
        <v>2037</v>
      </c>
      <c r="K488" s="4">
        <v>2037</v>
      </c>
      <c r="L488" s="4">
        <v>999.56700000000001</v>
      </c>
      <c r="M488" s="4">
        <v>999.56700000000001</v>
      </c>
      <c r="N488" s="4">
        <v>0</v>
      </c>
      <c r="O488" s="4">
        <v>0</v>
      </c>
      <c r="P488" s="4">
        <v>0</v>
      </c>
      <c r="Q488" s="3" t="s">
        <v>66</v>
      </c>
      <c r="R488" s="3">
        <v>5377</v>
      </c>
      <c r="S488" s="3" t="s">
        <v>229</v>
      </c>
      <c r="T488" s="3" t="s">
        <v>644</v>
      </c>
      <c r="U488" s="3">
        <v>14</v>
      </c>
      <c r="V488" s="3">
        <v>15</v>
      </c>
      <c r="W488" s="3">
        <v>0</v>
      </c>
    </row>
    <row r="489" spans="1:23" ht="11.25" customHeight="1" x14ac:dyDescent="0.25">
      <c r="A489" s="3" t="s">
        <v>21</v>
      </c>
      <c r="B489" s="3" t="s">
        <v>41</v>
      </c>
      <c r="C489" s="3" t="s">
        <v>61</v>
      </c>
      <c r="D489" s="3" t="s">
        <v>25</v>
      </c>
      <c r="E489" s="3" t="s">
        <v>25</v>
      </c>
      <c r="F489" s="3" t="s">
        <v>64</v>
      </c>
      <c r="G489" s="3" t="s">
        <v>68</v>
      </c>
      <c r="H489" s="3" t="s">
        <v>35</v>
      </c>
      <c r="I489" s="6">
        <v>44593</v>
      </c>
      <c r="J489" s="4">
        <v>2093</v>
      </c>
      <c r="K489" s="4">
        <v>2093</v>
      </c>
      <c r="L489" s="4">
        <v>1038.175</v>
      </c>
      <c r="M489" s="4">
        <v>1038.175</v>
      </c>
      <c r="N489" s="4">
        <v>0</v>
      </c>
      <c r="O489" s="4">
        <v>0</v>
      </c>
      <c r="P489" s="4">
        <v>0</v>
      </c>
      <c r="Q489" s="3" t="s">
        <v>66</v>
      </c>
      <c r="R489" s="3">
        <v>5377</v>
      </c>
      <c r="S489" s="3" t="s">
        <v>230</v>
      </c>
      <c r="T489" s="3" t="s">
        <v>645</v>
      </c>
      <c r="U489" s="3">
        <v>14</v>
      </c>
      <c r="V489" s="3">
        <v>15</v>
      </c>
      <c r="W489" s="3">
        <v>0</v>
      </c>
    </row>
    <row r="490" spans="1:23" ht="11.25" customHeight="1" x14ac:dyDescent="0.25">
      <c r="A490" s="3" t="s">
        <v>56</v>
      </c>
      <c r="B490" s="3" t="s">
        <v>41</v>
      </c>
      <c r="C490" s="3" t="s">
        <v>61</v>
      </c>
      <c r="D490" s="3" t="s">
        <v>25</v>
      </c>
      <c r="E490" s="3" t="s">
        <v>25</v>
      </c>
      <c r="F490" s="3" t="s">
        <v>64</v>
      </c>
      <c r="G490" s="3" t="s">
        <v>68</v>
      </c>
      <c r="H490" s="3" t="s">
        <v>35</v>
      </c>
      <c r="I490" s="6">
        <v>44621</v>
      </c>
      <c r="J490" s="4">
        <v>2093</v>
      </c>
      <c r="K490" s="4">
        <v>2093</v>
      </c>
      <c r="L490" s="4">
        <v>1038.175</v>
      </c>
      <c r="M490" s="4">
        <v>1038.175</v>
      </c>
      <c r="N490" s="4">
        <v>0</v>
      </c>
      <c r="O490" s="4">
        <v>0</v>
      </c>
      <c r="P490" s="4">
        <v>0</v>
      </c>
      <c r="Q490" s="3" t="s">
        <v>66</v>
      </c>
      <c r="R490" s="3">
        <v>5377</v>
      </c>
      <c r="S490" s="3" t="s">
        <v>231</v>
      </c>
      <c r="T490" s="3" t="s">
        <v>646</v>
      </c>
      <c r="U490" s="3">
        <v>14</v>
      </c>
      <c r="V490" s="3">
        <v>15</v>
      </c>
      <c r="W490" s="3">
        <v>0</v>
      </c>
    </row>
    <row r="491" spans="1:23" ht="11.25" customHeight="1" x14ac:dyDescent="0.25">
      <c r="A491" s="3" t="s">
        <v>21</v>
      </c>
      <c r="B491" s="3" t="s">
        <v>41</v>
      </c>
      <c r="C491" s="3" t="s">
        <v>61</v>
      </c>
      <c r="D491" s="3" t="s">
        <v>25</v>
      </c>
      <c r="E491" s="3" t="s">
        <v>25</v>
      </c>
      <c r="F491" s="3" t="s">
        <v>64</v>
      </c>
      <c r="G491" s="3" t="s">
        <v>68</v>
      </c>
      <c r="H491" s="3" t="s">
        <v>25</v>
      </c>
      <c r="I491" s="6">
        <v>44287</v>
      </c>
      <c r="J491" s="4">
        <v>0</v>
      </c>
      <c r="K491" s="4">
        <v>0</v>
      </c>
      <c r="L491" s="4">
        <v>0</v>
      </c>
      <c r="M491" s="4">
        <v>0</v>
      </c>
      <c r="N491" s="4">
        <v>1109.271</v>
      </c>
      <c r="O491" s="4">
        <v>1109.271</v>
      </c>
      <c r="P491" s="4">
        <v>0</v>
      </c>
      <c r="Q491" s="3" t="s">
        <v>66</v>
      </c>
      <c r="R491" s="3">
        <v>5377</v>
      </c>
      <c r="S491" s="3" t="s">
        <v>232</v>
      </c>
      <c r="T491" s="3" t="s">
        <v>635</v>
      </c>
      <c r="U491" s="3">
        <v>0</v>
      </c>
      <c r="V491" s="3">
        <v>0</v>
      </c>
      <c r="W491" s="3">
        <v>94</v>
      </c>
    </row>
    <row r="492" spans="1:23" ht="11.25" customHeight="1" x14ac:dyDescent="0.25">
      <c r="A492" s="3" t="s">
        <v>21</v>
      </c>
      <c r="B492" s="3" t="s">
        <v>41</v>
      </c>
      <c r="C492" s="3" t="s">
        <v>61</v>
      </c>
      <c r="D492" s="3" t="s">
        <v>25</v>
      </c>
      <c r="E492" s="3" t="s">
        <v>25</v>
      </c>
      <c r="F492" s="3" t="s">
        <v>64</v>
      </c>
      <c r="G492" s="3" t="s">
        <v>68</v>
      </c>
      <c r="H492" s="3" t="s">
        <v>25</v>
      </c>
      <c r="I492" s="6">
        <v>44317</v>
      </c>
      <c r="J492" s="4">
        <v>0</v>
      </c>
      <c r="K492" s="4">
        <v>0</v>
      </c>
      <c r="L492" s="4">
        <v>0</v>
      </c>
      <c r="M492" s="4">
        <v>0</v>
      </c>
      <c r="N492" s="4">
        <v>1022.86</v>
      </c>
      <c r="O492" s="4">
        <v>1022.86</v>
      </c>
      <c r="P492" s="4">
        <v>0</v>
      </c>
      <c r="Q492" s="3" t="s">
        <v>66</v>
      </c>
      <c r="R492" s="3">
        <v>5377</v>
      </c>
      <c r="S492" s="3" t="s">
        <v>233</v>
      </c>
      <c r="T492" s="3" t="s">
        <v>636</v>
      </c>
      <c r="U492" s="3">
        <v>0</v>
      </c>
      <c r="V492" s="3">
        <v>0</v>
      </c>
      <c r="W492" s="3">
        <v>94</v>
      </c>
    </row>
    <row r="493" spans="1:23" ht="11.25" customHeight="1" x14ac:dyDescent="0.25">
      <c r="A493" s="3" t="s">
        <v>21</v>
      </c>
      <c r="B493" s="3" t="s">
        <v>41</v>
      </c>
      <c r="C493" s="3" t="s">
        <v>61</v>
      </c>
      <c r="D493" s="3" t="s">
        <v>25</v>
      </c>
      <c r="E493" s="3" t="s">
        <v>25</v>
      </c>
      <c r="F493" s="3" t="s">
        <v>64</v>
      </c>
      <c r="G493" s="3" t="s">
        <v>68</v>
      </c>
      <c r="H493" s="3" t="s">
        <v>25</v>
      </c>
      <c r="I493" s="6">
        <v>44348</v>
      </c>
      <c r="J493" s="4">
        <v>0</v>
      </c>
      <c r="K493" s="4">
        <v>0</v>
      </c>
      <c r="L493" s="4">
        <v>0</v>
      </c>
      <c r="M493" s="4">
        <v>0</v>
      </c>
      <c r="N493" s="4">
        <v>1003.768</v>
      </c>
      <c r="O493" s="4">
        <v>1003.768</v>
      </c>
      <c r="P493" s="4">
        <v>0</v>
      </c>
      <c r="Q493" s="3" t="s">
        <v>66</v>
      </c>
      <c r="R493" s="3">
        <v>5377</v>
      </c>
      <c r="S493" s="3" t="s">
        <v>234</v>
      </c>
      <c r="T493" s="3" t="s">
        <v>637</v>
      </c>
      <c r="U493" s="3">
        <v>0</v>
      </c>
      <c r="V493" s="3">
        <v>0</v>
      </c>
      <c r="W493" s="3">
        <v>94</v>
      </c>
    </row>
    <row r="494" spans="1:23" ht="11.25" customHeight="1" x14ac:dyDescent="0.25">
      <c r="A494" s="3" t="s">
        <v>21</v>
      </c>
      <c r="B494" s="3" t="s">
        <v>41</v>
      </c>
      <c r="C494" s="3" t="s">
        <v>61</v>
      </c>
      <c r="D494" s="3" t="s">
        <v>25</v>
      </c>
      <c r="E494" s="3" t="s">
        <v>25</v>
      </c>
      <c r="F494" s="3" t="s">
        <v>64</v>
      </c>
      <c r="G494" s="3" t="s">
        <v>68</v>
      </c>
      <c r="H494" s="3" t="s">
        <v>25</v>
      </c>
      <c r="I494" s="6">
        <v>44378</v>
      </c>
      <c r="J494" s="4">
        <v>0</v>
      </c>
      <c r="K494" s="4">
        <v>0</v>
      </c>
      <c r="L494" s="4">
        <v>0</v>
      </c>
      <c r="M494" s="4">
        <v>0</v>
      </c>
      <c r="N494" s="4">
        <v>971.34299999999996</v>
      </c>
      <c r="O494" s="4">
        <v>971.34299999999996</v>
      </c>
      <c r="P494" s="4">
        <v>0</v>
      </c>
      <c r="Q494" s="3" t="s">
        <v>66</v>
      </c>
      <c r="R494" s="3">
        <v>5377</v>
      </c>
      <c r="S494" s="3" t="s">
        <v>235</v>
      </c>
      <c r="T494" s="3" t="s">
        <v>638</v>
      </c>
      <c r="U494" s="3">
        <v>0</v>
      </c>
      <c r="V494" s="3">
        <v>0</v>
      </c>
      <c r="W494" s="3">
        <v>94</v>
      </c>
    </row>
    <row r="495" spans="1:23" ht="11.25" customHeight="1" x14ac:dyDescent="0.25">
      <c r="A495" s="3" t="s">
        <v>21</v>
      </c>
      <c r="B495" s="3" t="s">
        <v>41</v>
      </c>
      <c r="C495" s="3" t="s">
        <v>61</v>
      </c>
      <c r="D495" s="3" t="s">
        <v>25</v>
      </c>
      <c r="E495" s="3" t="s">
        <v>25</v>
      </c>
      <c r="F495" s="3" t="s">
        <v>64</v>
      </c>
      <c r="G495" s="3" t="s">
        <v>68</v>
      </c>
      <c r="H495" s="3" t="s">
        <v>25</v>
      </c>
      <c r="I495" s="6">
        <v>44409</v>
      </c>
      <c r="J495" s="4">
        <v>0</v>
      </c>
      <c r="K495" s="4">
        <v>0</v>
      </c>
      <c r="L495" s="4">
        <v>0</v>
      </c>
      <c r="M495" s="4">
        <v>0</v>
      </c>
      <c r="N495" s="4">
        <v>940.20299999999997</v>
      </c>
      <c r="O495" s="4">
        <v>940.20299999999997</v>
      </c>
      <c r="P495" s="4">
        <v>0</v>
      </c>
      <c r="Q495" s="3" t="s">
        <v>66</v>
      </c>
      <c r="R495" s="3">
        <v>5377</v>
      </c>
      <c r="S495" s="3" t="s">
        <v>236</v>
      </c>
      <c r="T495" s="3" t="s">
        <v>639</v>
      </c>
      <c r="U495" s="3">
        <v>0</v>
      </c>
      <c r="V495" s="3">
        <v>0</v>
      </c>
      <c r="W495" s="3">
        <v>94</v>
      </c>
    </row>
    <row r="496" spans="1:23" ht="11.25" customHeight="1" x14ac:dyDescent="0.25">
      <c r="A496" s="3" t="s">
        <v>21</v>
      </c>
      <c r="B496" s="3" t="s">
        <v>41</v>
      </c>
      <c r="C496" s="3" t="s">
        <v>61</v>
      </c>
      <c r="D496" s="3" t="s">
        <v>25</v>
      </c>
      <c r="E496" s="3" t="s">
        <v>25</v>
      </c>
      <c r="F496" s="3" t="s">
        <v>64</v>
      </c>
      <c r="G496" s="3" t="s">
        <v>68</v>
      </c>
      <c r="H496" s="3" t="s">
        <v>25</v>
      </c>
      <c r="I496" s="6">
        <v>44440</v>
      </c>
      <c r="J496" s="4">
        <v>0</v>
      </c>
      <c r="K496" s="4">
        <v>0</v>
      </c>
      <c r="L496" s="4">
        <v>0</v>
      </c>
      <c r="M496" s="4">
        <v>0</v>
      </c>
      <c r="N496" s="4">
        <v>971.20899999999995</v>
      </c>
      <c r="O496" s="4">
        <v>971.20899999999995</v>
      </c>
      <c r="P496" s="4">
        <v>0</v>
      </c>
      <c r="Q496" s="3" t="s">
        <v>66</v>
      </c>
      <c r="R496" s="3">
        <v>5377</v>
      </c>
      <c r="S496" s="3" t="s">
        <v>237</v>
      </c>
      <c r="T496" s="3" t="s">
        <v>640</v>
      </c>
      <c r="U496" s="3">
        <v>0</v>
      </c>
      <c r="V496" s="3">
        <v>0</v>
      </c>
      <c r="W496" s="3">
        <v>94</v>
      </c>
    </row>
    <row r="497" spans="1:23" ht="11.25" customHeight="1" x14ac:dyDescent="0.25">
      <c r="A497" s="3" t="s">
        <v>21</v>
      </c>
      <c r="B497" s="3" t="s">
        <v>41</v>
      </c>
      <c r="C497" s="3" t="s">
        <v>61</v>
      </c>
      <c r="D497" s="3" t="s">
        <v>25</v>
      </c>
      <c r="E497" s="3" t="s">
        <v>25</v>
      </c>
      <c r="F497" s="3" t="s">
        <v>64</v>
      </c>
      <c r="G497" s="3" t="s">
        <v>68</v>
      </c>
      <c r="H497" s="3" t="s">
        <v>25</v>
      </c>
      <c r="I497" s="6">
        <v>44470</v>
      </c>
      <c r="J497" s="4">
        <v>0</v>
      </c>
      <c r="K497" s="4">
        <v>0</v>
      </c>
      <c r="L497" s="4">
        <v>0</v>
      </c>
      <c r="M497" s="4">
        <v>0</v>
      </c>
      <c r="N497" s="4">
        <v>992.65</v>
      </c>
      <c r="O497" s="4">
        <v>992.65</v>
      </c>
      <c r="P497" s="4">
        <v>0</v>
      </c>
      <c r="Q497" s="3" t="s">
        <v>66</v>
      </c>
      <c r="R497" s="3">
        <v>5377</v>
      </c>
      <c r="S497" s="3" t="s">
        <v>238</v>
      </c>
      <c r="T497" s="3" t="s">
        <v>641</v>
      </c>
      <c r="U497" s="3">
        <v>0</v>
      </c>
      <c r="V497" s="3">
        <v>0</v>
      </c>
      <c r="W497" s="3">
        <v>94</v>
      </c>
    </row>
    <row r="498" spans="1:23" ht="11.25" customHeight="1" x14ac:dyDescent="0.25">
      <c r="A498" s="3" t="s">
        <v>21</v>
      </c>
      <c r="B498" s="3" t="s">
        <v>41</v>
      </c>
      <c r="C498" s="3" t="s">
        <v>61</v>
      </c>
      <c r="D498" s="3" t="s">
        <v>25</v>
      </c>
      <c r="E498" s="3" t="s">
        <v>25</v>
      </c>
      <c r="F498" s="3" t="s">
        <v>64</v>
      </c>
      <c r="G498" s="3" t="s">
        <v>68</v>
      </c>
      <c r="H498" s="3" t="s">
        <v>25</v>
      </c>
      <c r="I498" s="6">
        <v>44501</v>
      </c>
      <c r="J498" s="4">
        <v>0</v>
      </c>
      <c r="K498" s="4">
        <v>0</v>
      </c>
      <c r="L498" s="4">
        <v>0</v>
      </c>
      <c r="M498" s="4">
        <v>0</v>
      </c>
      <c r="N498" s="4">
        <v>1101.4580000000001</v>
      </c>
      <c r="O498" s="4">
        <v>1101.4580000000001</v>
      </c>
      <c r="P498" s="4">
        <v>0</v>
      </c>
      <c r="Q498" s="3" t="s">
        <v>66</v>
      </c>
      <c r="R498" s="3">
        <v>5377</v>
      </c>
      <c r="S498" s="3" t="s">
        <v>239</v>
      </c>
      <c r="T498" s="3" t="s">
        <v>642</v>
      </c>
      <c r="U498" s="3">
        <v>0</v>
      </c>
      <c r="V498" s="3">
        <v>0</v>
      </c>
      <c r="W498" s="3">
        <v>94</v>
      </c>
    </row>
    <row r="499" spans="1:23" ht="11.25" customHeight="1" x14ac:dyDescent="0.25">
      <c r="A499" s="3" t="s">
        <v>21</v>
      </c>
      <c r="B499" s="3" t="s">
        <v>41</v>
      </c>
      <c r="C499" s="3" t="s">
        <v>61</v>
      </c>
      <c r="D499" s="3" t="s">
        <v>25</v>
      </c>
      <c r="E499" s="3" t="s">
        <v>25</v>
      </c>
      <c r="F499" s="3" t="s">
        <v>64</v>
      </c>
      <c r="G499" s="3" t="s">
        <v>68</v>
      </c>
      <c r="H499" s="3" t="s">
        <v>25</v>
      </c>
      <c r="I499" s="6">
        <v>44531</v>
      </c>
      <c r="J499" s="4">
        <v>0</v>
      </c>
      <c r="K499" s="4">
        <v>0</v>
      </c>
      <c r="L499" s="4">
        <v>0</v>
      </c>
      <c r="M499" s="4">
        <v>0</v>
      </c>
      <c r="N499" s="4">
        <v>1078.0350000000001</v>
      </c>
      <c r="O499" s="4">
        <v>1078.0350000000001</v>
      </c>
      <c r="P499" s="4">
        <v>0</v>
      </c>
      <c r="Q499" s="3" t="s">
        <v>66</v>
      </c>
      <c r="R499" s="3">
        <v>5377</v>
      </c>
      <c r="S499" s="3" t="s">
        <v>240</v>
      </c>
      <c r="T499" s="3" t="s">
        <v>643</v>
      </c>
      <c r="U499" s="3">
        <v>0</v>
      </c>
      <c r="V499" s="3">
        <v>0</v>
      </c>
      <c r="W499" s="3">
        <v>94</v>
      </c>
    </row>
    <row r="500" spans="1:23" ht="11.25" customHeight="1" x14ac:dyDescent="0.25">
      <c r="A500" s="3" t="s">
        <v>21</v>
      </c>
      <c r="B500" s="3" t="s">
        <v>41</v>
      </c>
      <c r="C500" s="3" t="s">
        <v>61</v>
      </c>
      <c r="D500" s="3" t="s">
        <v>25</v>
      </c>
      <c r="E500" s="3" t="s">
        <v>25</v>
      </c>
      <c r="F500" s="3" t="s">
        <v>64</v>
      </c>
      <c r="G500" s="3" t="s">
        <v>68</v>
      </c>
      <c r="H500" s="3" t="s">
        <v>25</v>
      </c>
      <c r="I500" s="6">
        <v>44562</v>
      </c>
      <c r="J500" s="4">
        <v>0</v>
      </c>
      <c r="K500" s="4">
        <v>0</v>
      </c>
      <c r="L500" s="4">
        <v>0</v>
      </c>
      <c r="M500" s="4">
        <v>0</v>
      </c>
      <c r="N500" s="4">
        <v>1117.4259999999999</v>
      </c>
      <c r="O500" s="4">
        <v>1117.4259999999999</v>
      </c>
      <c r="P500" s="4">
        <v>0</v>
      </c>
      <c r="Q500" s="3" t="s">
        <v>66</v>
      </c>
      <c r="R500" s="3">
        <v>5377</v>
      </c>
      <c r="S500" s="3" t="s">
        <v>241</v>
      </c>
      <c r="T500" s="3" t="s">
        <v>644</v>
      </c>
      <c r="U500" s="3">
        <v>0</v>
      </c>
      <c r="V500" s="3">
        <v>0</v>
      </c>
      <c r="W500" s="3">
        <v>94</v>
      </c>
    </row>
    <row r="501" spans="1:23" ht="11.25" customHeight="1" x14ac:dyDescent="0.25">
      <c r="A501" s="3" t="s">
        <v>27</v>
      </c>
      <c r="B501" s="3" t="s">
        <v>41</v>
      </c>
      <c r="C501" s="3" t="s">
        <v>61</v>
      </c>
      <c r="D501" s="3" t="s">
        <v>25</v>
      </c>
      <c r="E501" s="3" t="s">
        <v>25</v>
      </c>
      <c r="F501" s="3" t="s">
        <v>64</v>
      </c>
      <c r="G501" s="3" t="s">
        <v>65</v>
      </c>
      <c r="H501" s="3" t="s">
        <v>25</v>
      </c>
      <c r="I501" s="6">
        <v>44593</v>
      </c>
      <c r="J501" s="4">
        <v>0</v>
      </c>
      <c r="K501" s="4">
        <v>0</v>
      </c>
      <c r="L501" s="4">
        <v>0</v>
      </c>
      <c r="M501" s="4">
        <v>0</v>
      </c>
      <c r="N501" s="4">
        <v>-471.37</v>
      </c>
      <c r="O501" s="4">
        <v>-471.37</v>
      </c>
      <c r="P501" s="4">
        <v>0</v>
      </c>
      <c r="Q501" s="3" t="s">
        <v>66</v>
      </c>
      <c r="R501" s="3">
        <v>46</v>
      </c>
      <c r="S501" s="3" t="s">
        <v>242</v>
      </c>
      <c r="T501" s="3" t="s">
        <v>647</v>
      </c>
      <c r="U501" s="3">
        <v>0</v>
      </c>
      <c r="V501" s="3">
        <v>0</v>
      </c>
      <c r="W501" s="3">
        <v>90</v>
      </c>
    </row>
    <row r="502" spans="1:23" ht="11.25" customHeight="1" x14ac:dyDescent="0.25">
      <c r="A502" s="3" t="s">
        <v>21</v>
      </c>
      <c r="B502" s="3" t="s">
        <v>41</v>
      </c>
      <c r="C502" s="3" t="s">
        <v>61</v>
      </c>
      <c r="D502" s="3" t="s">
        <v>25</v>
      </c>
      <c r="E502" s="3" t="s">
        <v>25</v>
      </c>
      <c r="F502" s="3" t="s">
        <v>64</v>
      </c>
      <c r="G502" s="3" t="s">
        <v>68</v>
      </c>
      <c r="H502" s="3" t="s">
        <v>25</v>
      </c>
      <c r="I502" s="6">
        <v>44593</v>
      </c>
      <c r="J502" s="4">
        <v>0</v>
      </c>
      <c r="K502" s="4">
        <v>0</v>
      </c>
      <c r="L502" s="4">
        <v>0</v>
      </c>
      <c r="M502" s="4">
        <v>0</v>
      </c>
      <c r="N502" s="4">
        <v>1144.837</v>
      </c>
      <c r="O502" s="4">
        <v>1144.837</v>
      </c>
      <c r="P502" s="4">
        <v>0</v>
      </c>
      <c r="Q502" s="3" t="s">
        <v>66</v>
      </c>
      <c r="R502" s="3">
        <v>5377</v>
      </c>
      <c r="S502" s="3" t="s">
        <v>243</v>
      </c>
      <c r="T502" s="3" t="s">
        <v>645</v>
      </c>
      <c r="U502" s="3">
        <v>0</v>
      </c>
      <c r="V502" s="3">
        <v>0</v>
      </c>
      <c r="W502" s="3">
        <v>94</v>
      </c>
    </row>
    <row r="503" spans="1:23" ht="11.25" customHeight="1" x14ac:dyDescent="0.25">
      <c r="A503" s="3" t="s">
        <v>56</v>
      </c>
      <c r="B503" s="3" t="s">
        <v>41</v>
      </c>
      <c r="C503" s="3" t="s">
        <v>61</v>
      </c>
      <c r="D503" s="3" t="s">
        <v>25</v>
      </c>
      <c r="E503" s="3" t="s">
        <v>25</v>
      </c>
      <c r="F503" s="3" t="s">
        <v>64</v>
      </c>
      <c r="G503" s="3" t="s">
        <v>65</v>
      </c>
      <c r="H503" s="3" t="s">
        <v>25</v>
      </c>
      <c r="I503" s="6">
        <v>44621</v>
      </c>
      <c r="J503" s="4">
        <v>0</v>
      </c>
      <c r="K503" s="4">
        <v>0</v>
      </c>
      <c r="L503" s="4">
        <v>0</v>
      </c>
      <c r="M503" s="4">
        <v>0</v>
      </c>
      <c r="N503" s="4">
        <v>-471.37</v>
      </c>
      <c r="O503" s="4">
        <v>-471.37</v>
      </c>
      <c r="P503" s="4">
        <v>0</v>
      </c>
      <c r="Q503" s="3" t="s">
        <v>66</v>
      </c>
      <c r="R503" s="3">
        <v>46</v>
      </c>
      <c r="S503" s="3" t="s">
        <v>244</v>
      </c>
      <c r="T503" s="3" t="s">
        <v>648</v>
      </c>
      <c r="U503" s="3">
        <v>0</v>
      </c>
      <c r="V503" s="3">
        <v>0</v>
      </c>
      <c r="W503" s="3">
        <v>90</v>
      </c>
    </row>
    <row r="504" spans="1:23" ht="11.25" customHeight="1" x14ac:dyDescent="0.25">
      <c r="A504" s="3" t="s">
        <v>56</v>
      </c>
      <c r="B504" s="3" t="s">
        <v>41</v>
      </c>
      <c r="C504" s="3" t="s">
        <v>61</v>
      </c>
      <c r="D504" s="3" t="s">
        <v>25</v>
      </c>
      <c r="E504" s="3" t="s">
        <v>25</v>
      </c>
      <c r="F504" s="3" t="s">
        <v>64</v>
      </c>
      <c r="G504" s="3" t="s">
        <v>68</v>
      </c>
      <c r="H504" s="3" t="s">
        <v>25</v>
      </c>
      <c r="I504" s="6">
        <v>44621</v>
      </c>
      <c r="J504" s="4">
        <v>0</v>
      </c>
      <c r="K504" s="4">
        <v>0</v>
      </c>
      <c r="L504" s="4">
        <v>0</v>
      </c>
      <c r="M504" s="4">
        <v>0</v>
      </c>
      <c r="N504" s="4">
        <v>1144.837</v>
      </c>
      <c r="O504" s="4">
        <v>1144.837</v>
      </c>
      <c r="P504" s="4">
        <v>0</v>
      </c>
      <c r="Q504" s="3" t="s">
        <v>66</v>
      </c>
      <c r="R504" s="3">
        <v>5377</v>
      </c>
      <c r="S504" s="3" t="s">
        <v>245</v>
      </c>
      <c r="T504" s="3" t="s">
        <v>646</v>
      </c>
      <c r="U504" s="3">
        <v>0</v>
      </c>
      <c r="V504" s="3">
        <v>0</v>
      </c>
      <c r="W504" s="3">
        <v>94</v>
      </c>
    </row>
    <row r="505" spans="1:23" ht="11.25" customHeight="1" x14ac:dyDescent="0.25">
      <c r="A505" s="3" t="s">
        <v>21</v>
      </c>
      <c r="B505" s="3" t="s">
        <v>41</v>
      </c>
      <c r="C505" s="3" t="s">
        <v>61</v>
      </c>
      <c r="D505" s="3" t="s">
        <v>25</v>
      </c>
      <c r="E505" s="3" t="s">
        <v>25</v>
      </c>
      <c r="F505" s="3" t="s">
        <v>64</v>
      </c>
      <c r="G505" s="3" t="s">
        <v>68</v>
      </c>
      <c r="H505" s="3" t="s">
        <v>34</v>
      </c>
      <c r="I505" s="6">
        <v>44287</v>
      </c>
      <c r="J505" s="4">
        <v>2088</v>
      </c>
      <c r="K505" s="4">
        <v>2088</v>
      </c>
      <c r="L505" s="4">
        <v>124.779</v>
      </c>
      <c r="M505" s="4">
        <v>124.779</v>
      </c>
      <c r="N505" s="4">
        <v>0</v>
      </c>
      <c r="O505" s="4">
        <v>0</v>
      </c>
      <c r="P505" s="4">
        <v>0</v>
      </c>
      <c r="Q505" s="3" t="s">
        <v>66</v>
      </c>
      <c r="R505" s="3">
        <v>5377</v>
      </c>
      <c r="S505" s="3" t="s">
        <v>246</v>
      </c>
      <c r="T505" s="3" t="s">
        <v>635</v>
      </c>
      <c r="U505" s="3">
        <v>13</v>
      </c>
      <c r="V505" s="3">
        <v>15</v>
      </c>
      <c r="W505" s="3">
        <v>0</v>
      </c>
    </row>
    <row r="506" spans="1:23" ht="11.25" customHeight="1" x14ac:dyDescent="0.25">
      <c r="A506" s="3" t="s">
        <v>21</v>
      </c>
      <c r="B506" s="3" t="s">
        <v>41</v>
      </c>
      <c r="C506" s="3" t="s">
        <v>61</v>
      </c>
      <c r="D506" s="3" t="s">
        <v>25</v>
      </c>
      <c r="E506" s="3" t="s">
        <v>25</v>
      </c>
      <c r="F506" s="3" t="s">
        <v>64</v>
      </c>
      <c r="G506" s="3" t="s">
        <v>68</v>
      </c>
      <c r="H506" s="3" t="s">
        <v>34</v>
      </c>
      <c r="I506" s="6">
        <v>44317</v>
      </c>
      <c r="J506" s="4">
        <v>1990</v>
      </c>
      <c r="K506" s="4">
        <v>1990</v>
      </c>
      <c r="L506" s="4">
        <v>108.497</v>
      </c>
      <c r="M506" s="4">
        <v>108.497</v>
      </c>
      <c r="N506" s="4">
        <v>0</v>
      </c>
      <c r="O506" s="4">
        <v>0</v>
      </c>
      <c r="P506" s="4">
        <v>0</v>
      </c>
      <c r="Q506" s="3" t="s">
        <v>66</v>
      </c>
      <c r="R506" s="3">
        <v>5377</v>
      </c>
      <c r="S506" s="3" t="s">
        <v>247</v>
      </c>
      <c r="T506" s="3" t="s">
        <v>636</v>
      </c>
      <c r="U506" s="3">
        <v>13</v>
      </c>
      <c r="V506" s="3">
        <v>15</v>
      </c>
      <c r="W506" s="3">
        <v>0</v>
      </c>
    </row>
    <row r="507" spans="1:23" ht="11.25" customHeight="1" x14ac:dyDescent="0.25">
      <c r="A507" s="3" t="s">
        <v>21</v>
      </c>
      <c r="B507" s="3" t="s">
        <v>41</v>
      </c>
      <c r="C507" s="3" t="s">
        <v>61</v>
      </c>
      <c r="D507" s="3" t="s">
        <v>25</v>
      </c>
      <c r="E507" s="3" t="s">
        <v>25</v>
      </c>
      <c r="F507" s="3" t="s">
        <v>64</v>
      </c>
      <c r="G507" s="3" t="s">
        <v>68</v>
      </c>
      <c r="H507" s="3" t="s">
        <v>34</v>
      </c>
      <c r="I507" s="6">
        <v>44348</v>
      </c>
      <c r="J507" s="4">
        <v>2049</v>
      </c>
      <c r="K507" s="4">
        <v>2049</v>
      </c>
      <c r="L507" s="4">
        <v>114.601</v>
      </c>
      <c r="M507" s="4">
        <v>114.601</v>
      </c>
      <c r="N507" s="4">
        <v>0</v>
      </c>
      <c r="O507" s="4">
        <v>0</v>
      </c>
      <c r="P507" s="4">
        <v>0</v>
      </c>
      <c r="Q507" s="3" t="s">
        <v>66</v>
      </c>
      <c r="R507" s="3">
        <v>5377</v>
      </c>
      <c r="S507" s="3" t="s">
        <v>248</v>
      </c>
      <c r="T507" s="3" t="s">
        <v>637</v>
      </c>
      <c r="U507" s="3">
        <v>13</v>
      </c>
      <c r="V507" s="3">
        <v>15</v>
      </c>
      <c r="W507" s="3">
        <v>0</v>
      </c>
    </row>
    <row r="508" spans="1:23" ht="11.25" customHeight="1" x14ac:dyDescent="0.25">
      <c r="A508" s="3" t="s">
        <v>21</v>
      </c>
      <c r="B508" s="3" t="s">
        <v>41</v>
      </c>
      <c r="C508" s="3" t="s">
        <v>61</v>
      </c>
      <c r="D508" s="3" t="s">
        <v>25</v>
      </c>
      <c r="E508" s="3" t="s">
        <v>25</v>
      </c>
      <c r="F508" s="3" t="s">
        <v>64</v>
      </c>
      <c r="G508" s="3" t="s">
        <v>68</v>
      </c>
      <c r="H508" s="3" t="s">
        <v>34</v>
      </c>
      <c r="I508" s="6">
        <v>44378</v>
      </c>
      <c r="J508" s="4">
        <v>1994</v>
      </c>
      <c r="K508" s="4">
        <v>1994</v>
      </c>
      <c r="L508" s="4">
        <v>115.446</v>
      </c>
      <c r="M508" s="4">
        <v>115.446</v>
      </c>
      <c r="N508" s="4">
        <v>0</v>
      </c>
      <c r="O508" s="4">
        <v>0</v>
      </c>
      <c r="P508" s="4">
        <v>0</v>
      </c>
      <c r="Q508" s="3" t="s">
        <v>66</v>
      </c>
      <c r="R508" s="3">
        <v>5377</v>
      </c>
      <c r="S508" s="3" t="s">
        <v>249</v>
      </c>
      <c r="T508" s="3" t="s">
        <v>638</v>
      </c>
      <c r="U508" s="3">
        <v>13</v>
      </c>
      <c r="V508" s="3">
        <v>15</v>
      </c>
      <c r="W508" s="3">
        <v>0</v>
      </c>
    </row>
    <row r="509" spans="1:23" ht="11.25" customHeight="1" x14ac:dyDescent="0.25">
      <c r="A509" s="3" t="s">
        <v>21</v>
      </c>
      <c r="B509" s="3" t="s">
        <v>41</v>
      </c>
      <c r="C509" s="3" t="s">
        <v>61</v>
      </c>
      <c r="D509" s="3" t="s">
        <v>25</v>
      </c>
      <c r="E509" s="3" t="s">
        <v>25</v>
      </c>
      <c r="F509" s="3" t="s">
        <v>64</v>
      </c>
      <c r="G509" s="3" t="s">
        <v>68</v>
      </c>
      <c r="H509" s="3" t="s">
        <v>34</v>
      </c>
      <c r="I509" s="6">
        <v>44409</v>
      </c>
      <c r="J509" s="4">
        <v>2004</v>
      </c>
      <c r="K509" s="4">
        <v>2004</v>
      </c>
      <c r="L509" s="4">
        <v>119.52800000000001</v>
      </c>
      <c r="M509" s="4">
        <v>119.52800000000001</v>
      </c>
      <c r="N509" s="4">
        <v>0</v>
      </c>
      <c r="O509" s="4">
        <v>0</v>
      </c>
      <c r="P509" s="4">
        <v>0</v>
      </c>
      <c r="Q509" s="3" t="s">
        <v>66</v>
      </c>
      <c r="R509" s="3">
        <v>5377</v>
      </c>
      <c r="S509" s="3" t="s">
        <v>250</v>
      </c>
      <c r="T509" s="3" t="s">
        <v>639</v>
      </c>
      <c r="U509" s="3">
        <v>13</v>
      </c>
      <c r="V509" s="3">
        <v>15</v>
      </c>
      <c r="W509" s="3">
        <v>0</v>
      </c>
    </row>
    <row r="510" spans="1:23" ht="11.25" customHeight="1" x14ac:dyDescent="0.25">
      <c r="A510" s="3" t="s">
        <v>21</v>
      </c>
      <c r="B510" s="3" t="s">
        <v>41</v>
      </c>
      <c r="C510" s="3" t="s">
        <v>61</v>
      </c>
      <c r="D510" s="3" t="s">
        <v>25</v>
      </c>
      <c r="E510" s="3" t="s">
        <v>25</v>
      </c>
      <c r="F510" s="3" t="s">
        <v>64</v>
      </c>
      <c r="G510" s="3" t="s">
        <v>68</v>
      </c>
      <c r="H510" s="3" t="s">
        <v>34</v>
      </c>
      <c r="I510" s="6">
        <v>44440</v>
      </c>
      <c r="J510" s="4">
        <v>2038</v>
      </c>
      <c r="K510" s="4">
        <v>2038</v>
      </c>
      <c r="L510" s="4">
        <v>121.212</v>
      </c>
      <c r="M510" s="4">
        <v>121.212</v>
      </c>
      <c r="N510" s="4">
        <v>0</v>
      </c>
      <c r="O510" s="4">
        <v>0</v>
      </c>
      <c r="P510" s="4">
        <v>0</v>
      </c>
      <c r="Q510" s="3" t="s">
        <v>66</v>
      </c>
      <c r="R510" s="3">
        <v>5377</v>
      </c>
      <c r="S510" s="3" t="s">
        <v>251</v>
      </c>
      <c r="T510" s="3" t="s">
        <v>640</v>
      </c>
      <c r="U510" s="3">
        <v>13</v>
      </c>
      <c r="V510" s="3">
        <v>15</v>
      </c>
      <c r="W510" s="3">
        <v>0</v>
      </c>
    </row>
    <row r="511" spans="1:23" ht="11.25" customHeight="1" x14ac:dyDescent="0.25">
      <c r="A511" s="3" t="s">
        <v>21</v>
      </c>
      <c r="B511" s="3" t="s">
        <v>41</v>
      </c>
      <c r="C511" s="3" t="s">
        <v>61</v>
      </c>
      <c r="D511" s="3" t="s">
        <v>25</v>
      </c>
      <c r="E511" s="3" t="s">
        <v>25</v>
      </c>
      <c r="F511" s="3" t="s">
        <v>64</v>
      </c>
      <c r="G511" s="3" t="s">
        <v>68</v>
      </c>
      <c r="H511" s="3" t="s">
        <v>34</v>
      </c>
      <c r="I511" s="6">
        <v>44470</v>
      </c>
      <c r="J511" s="4">
        <v>2058</v>
      </c>
      <c r="K511" s="4">
        <v>2058</v>
      </c>
      <c r="L511" s="4">
        <v>117.648</v>
      </c>
      <c r="M511" s="4">
        <v>117.648</v>
      </c>
      <c r="N511" s="4">
        <v>0</v>
      </c>
      <c r="O511" s="4">
        <v>0</v>
      </c>
      <c r="P511" s="4">
        <v>0</v>
      </c>
      <c r="Q511" s="3" t="s">
        <v>66</v>
      </c>
      <c r="R511" s="3">
        <v>5377</v>
      </c>
      <c r="S511" s="3" t="s">
        <v>252</v>
      </c>
      <c r="T511" s="3" t="s">
        <v>641</v>
      </c>
      <c r="U511" s="3">
        <v>13</v>
      </c>
      <c r="V511" s="3">
        <v>15</v>
      </c>
      <c r="W511" s="3">
        <v>0</v>
      </c>
    </row>
    <row r="512" spans="1:23" ht="11.25" customHeight="1" x14ac:dyDescent="0.25">
      <c r="A512" s="3" t="s">
        <v>21</v>
      </c>
      <c r="B512" s="3" t="s">
        <v>41</v>
      </c>
      <c r="C512" s="3" t="s">
        <v>61</v>
      </c>
      <c r="D512" s="3" t="s">
        <v>25</v>
      </c>
      <c r="E512" s="3" t="s">
        <v>25</v>
      </c>
      <c r="F512" s="3" t="s">
        <v>64</v>
      </c>
      <c r="G512" s="3" t="s">
        <v>68</v>
      </c>
      <c r="H512" s="3" t="s">
        <v>34</v>
      </c>
      <c r="I512" s="6">
        <v>44501</v>
      </c>
      <c r="J512" s="4">
        <v>2051</v>
      </c>
      <c r="K512" s="4">
        <v>2051</v>
      </c>
      <c r="L512" s="4">
        <v>115.67400000000001</v>
      </c>
      <c r="M512" s="4">
        <v>115.67400000000001</v>
      </c>
      <c r="N512" s="4">
        <v>0</v>
      </c>
      <c r="O512" s="4">
        <v>0</v>
      </c>
      <c r="P512" s="4">
        <v>0</v>
      </c>
      <c r="Q512" s="3" t="s">
        <v>66</v>
      </c>
      <c r="R512" s="3">
        <v>5377</v>
      </c>
      <c r="S512" s="3" t="s">
        <v>253</v>
      </c>
      <c r="T512" s="3" t="s">
        <v>642</v>
      </c>
      <c r="U512" s="3">
        <v>13</v>
      </c>
      <c r="V512" s="3">
        <v>15</v>
      </c>
      <c r="W512" s="3">
        <v>0</v>
      </c>
    </row>
    <row r="513" spans="1:23" ht="11.25" customHeight="1" x14ac:dyDescent="0.25">
      <c r="A513" s="3" t="s">
        <v>21</v>
      </c>
      <c r="B513" s="3" t="s">
        <v>41</v>
      </c>
      <c r="C513" s="3" t="s">
        <v>61</v>
      </c>
      <c r="D513" s="3" t="s">
        <v>25</v>
      </c>
      <c r="E513" s="3" t="s">
        <v>25</v>
      </c>
      <c r="F513" s="3" t="s">
        <v>64</v>
      </c>
      <c r="G513" s="3" t="s">
        <v>68</v>
      </c>
      <c r="H513" s="3" t="s">
        <v>34</v>
      </c>
      <c r="I513" s="6">
        <v>44531</v>
      </c>
      <c r="J513" s="4">
        <v>2068</v>
      </c>
      <c r="K513" s="4">
        <v>2068</v>
      </c>
      <c r="L513" s="4">
        <v>115.57899999999999</v>
      </c>
      <c r="M513" s="4">
        <v>115.57899999999999</v>
      </c>
      <c r="N513" s="4">
        <v>0</v>
      </c>
      <c r="O513" s="4">
        <v>0</v>
      </c>
      <c r="P513" s="4">
        <v>0</v>
      </c>
      <c r="Q513" s="3" t="s">
        <v>66</v>
      </c>
      <c r="R513" s="3">
        <v>5377</v>
      </c>
      <c r="S513" s="3" t="s">
        <v>254</v>
      </c>
      <c r="T513" s="3" t="s">
        <v>643</v>
      </c>
      <c r="U513" s="3">
        <v>13</v>
      </c>
      <c r="V513" s="3">
        <v>15</v>
      </c>
      <c r="W513" s="3">
        <v>0</v>
      </c>
    </row>
    <row r="514" spans="1:23" ht="11.25" customHeight="1" x14ac:dyDescent="0.25">
      <c r="A514" s="3" t="s">
        <v>21</v>
      </c>
      <c r="B514" s="3" t="s">
        <v>41</v>
      </c>
      <c r="C514" s="3" t="s">
        <v>61</v>
      </c>
      <c r="D514" s="3" t="s">
        <v>25</v>
      </c>
      <c r="E514" s="3" t="s">
        <v>25</v>
      </c>
      <c r="F514" s="3" t="s">
        <v>64</v>
      </c>
      <c r="G514" s="3" t="s">
        <v>68</v>
      </c>
      <c r="H514" s="3" t="s">
        <v>34</v>
      </c>
      <c r="I514" s="6">
        <v>44562</v>
      </c>
      <c r="J514" s="4">
        <v>2155</v>
      </c>
      <c r="K514" s="4">
        <v>2155</v>
      </c>
      <c r="L514" s="4">
        <v>130.245</v>
      </c>
      <c r="M514" s="4">
        <v>130.245</v>
      </c>
      <c r="N514" s="4">
        <v>0</v>
      </c>
      <c r="O514" s="4">
        <v>0</v>
      </c>
      <c r="P514" s="4">
        <v>0</v>
      </c>
      <c r="Q514" s="3" t="s">
        <v>66</v>
      </c>
      <c r="R514" s="3">
        <v>5377</v>
      </c>
      <c r="S514" s="3" t="s">
        <v>255</v>
      </c>
      <c r="T514" s="3" t="s">
        <v>644</v>
      </c>
      <c r="U514" s="3">
        <v>13</v>
      </c>
      <c r="V514" s="3">
        <v>15</v>
      </c>
      <c r="W514" s="3">
        <v>0</v>
      </c>
    </row>
    <row r="515" spans="1:23" ht="11.25" customHeight="1" x14ac:dyDescent="0.25">
      <c r="A515" s="3" t="s">
        <v>21</v>
      </c>
      <c r="B515" s="3" t="s">
        <v>41</v>
      </c>
      <c r="C515" s="3" t="s">
        <v>61</v>
      </c>
      <c r="D515" s="3" t="s">
        <v>25</v>
      </c>
      <c r="E515" s="3" t="s">
        <v>25</v>
      </c>
      <c r="F515" s="3" t="s">
        <v>64</v>
      </c>
      <c r="G515" s="3" t="s">
        <v>68</v>
      </c>
      <c r="H515" s="3" t="s">
        <v>34</v>
      </c>
      <c r="I515" s="6">
        <v>44593</v>
      </c>
      <c r="J515" s="4">
        <v>2130</v>
      </c>
      <c r="K515" s="4">
        <v>2130</v>
      </c>
      <c r="L515" s="4">
        <v>119.048</v>
      </c>
      <c r="M515" s="4">
        <v>119.048</v>
      </c>
      <c r="N515" s="4">
        <v>0</v>
      </c>
      <c r="O515" s="4">
        <v>0</v>
      </c>
      <c r="P515" s="4">
        <v>0</v>
      </c>
      <c r="Q515" s="3" t="s">
        <v>66</v>
      </c>
      <c r="R515" s="3">
        <v>5377</v>
      </c>
      <c r="S515" s="3" t="s">
        <v>256</v>
      </c>
      <c r="T515" s="3" t="s">
        <v>645</v>
      </c>
      <c r="U515" s="3">
        <v>13</v>
      </c>
      <c r="V515" s="3">
        <v>15</v>
      </c>
      <c r="W515" s="3">
        <v>0</v>
      </c>
    </row>
    <row r="516" spans="1:23" ht="11.25" customHeight="1" x14ac:dyDescent="0.25">
      <c r="A516" s="3" t="s">
        <v>56</v>
      </c>
      <c r="B516" s="3" t="s">
        <v>41</v>
      </c>
      <c r="C516" s="3" t="s">
        <v>61</v>
      </c>
      <c r="D516" s="3" t="s">
        <v>25</v>
      </c>
      <c r="E516" s="3" t="s">
        <v>25</v>
      </c>
      <c r="F516" s="3" t="s">
        <v>64</v>
      </c>
      <c r="G516" s="3" t="s">
        <v>68</v>
      </c>
      <c r="H516" s="3" t="s">
        <v>34</v>
      </c>
      <c r="I516" s="6">
        <v>44621</v>
      </c>
      <c r="J516" s="4">
        <v>2130</v>
      </c>
      <c r="K516" s="4">
        <v>2130</v>
      </c>
      <c r="L516" s="4">
        <v>119.048</v>
      </c>
      <c r="M516" s="4">
        <v>119.048</v>
      </c>
      <c r="N516" s="4">
        <v>0</v>
      </c>
      <c r="O516" s="4">
        <v>0</v>
      </c>
      <c r="P516" s="4">
        <v>0</v>
      </c>
      <c r="Q516" s="3" t="s">
        <v>66</v>
      </c>
      <c r="R516" s="3">
        <v>5377</v>
      </c>
      <c r="S516" s="3" t="s">
        <v>257</v>
      </c>
      <c r="T516" s="3" t="s">
        <v>646</v>
      </c>
      <c r="U516" s="3">
        <v>13</v>
      </c>
      <c r="V516" s="3">
        <v>15</v>
      </c>
      <c r="W516" s="3">
        <v>0</v>
      </c>
    </row>
    <row r="517" spans="1:23" ht="11.25" customHeight="1" x14ac:dyDescent="0.25">
      <c r="A517" s="3" t="s">
        <v>21</v>
      </c>
      <c r="B517" s="3" t="s">
        <v>41</v>
      </c>
      <c r="C517" s="3" t="s">
        <v>61</v>
      </c>
      <c r="D517" s="3" t="s">
        <v>25</v>
      </c>
      <c r="E517" s="3" t="s">
        <v>25</v>
      </c>
      <c r="F517" s="3" t="s">
        <v>25</v>
      </c>
      <c r="G517" s="3" t="s">
        <v>62</v>
      </c>
      <c r="H517" s="3" t="s">
        <v>35</v>
      </c>
      <c r="I517" s="6">
        <v>44287</v>
      </c>
      <c r="J517" s="4">
        <v>5577</v>
      </c>
      <c r="K517" s="4">
        <v>5577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3" t="s">
        <v>63</v>
      </c>
      <c r="R517" s="3">
        <v>44</v>
      </c>
      <c r="S517" s="3" t="s">
        <v>258</v>
      </c>
      <c r="U517" s="3">
        <v>106</v>
      </c>
      <c r="V517" s="3">
        <v>0</v>
      </c>
      <c r="W517" s="3">
        <v>0</v>
      </c>
    </row>
    <row r="518" spans="1:23" ht="11.25" customHeight="1" x14ac:dyDescent="0.25">
      <c r="A518" s="3" t="s">
        <v>21</v>
      </c>
      <c r="B518" s="3" t="s">
        <v>41</v>
      </c>
      <c r="C518" s="3" t="s">
        <v>61</v>
      </c>
      <c r="D518" s="3" t="s">
        <v>25</v>
      </c>
      <c r="E518" s="3" t="s">
        <v>25</v>
      </c>
      <c r="F518" s="3" t="s">
        <v>25</v>
      </c>
      <c r="G518" s="3" t="s">
        <v>67</v>
      </c>
      <c r="H518" s="3" t="s">
        <v>35</v>
      </c>
      <c r="I518" s="6">
        <v>44287</v>
      </c>
      <c r="J518" s="4">
        <v>6331</v>
      </c>
      <c r="K518" s="4">
        <v>6331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3" t="s">
        <v>63</v>
      </c>
      <c r="R518" s="3">
        <v>47</v>
      </c>
      <c r="S518" s="3" t="s">
        <v>259</v>
      </c>
      <c r="U518" s="3">
        <v>18</v>
      </c>
      <c r="V518" s="3">
        <v>0</v>
      </c>
      <c r="W518" s="3">
        <v>0</v>
      </c>
    </row>
    <row r="519" spans="1:23" ht="11.25" customHeight="1" x14ac:dyDescent="0.25">
      <c r="A519" s="3" t="s">
        <v>21</v>
      </c>
      <c r="B519" s="3" t="s">
        <v>41</v>
      </c>
      <c r="C519" s="3" t="s">
        <v>61</v>
      </c>
      <c r="D519" s="3" t="s">
        <v>25</v>
      </c>
      <c r="E519" s="3" t="s">
        <v>25</v>
      </c>
      <c r="F519" s="3" t="s">
        <v>25</v>
      </c>
      <c r="G519" s="3" t="s">
        <v>62</v>
      </c>
      <c r="H519" s="3" t="s">
        <v>35</v>
      </c>
      <c r="I519" s="6">
        <v>44317</v>
      </c>
      <c r="J519" s="4">
        <v>5577</v>
      </c>
      <c r="K519" s="4">
        <v>5577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3" t="s">
        <v>63</v>
      </c>
      <c r="R519" s="3">
        <v>44</v>
      </c>
      <c r="S519" s="3" t="s">
        <v>260</v>
      </c>
      <c r="U519" s="3">
        <v>106</v>
      </c>
      <c r="V519" s="3">
        <v>0</v>
      </c>
      <c r="W519" s="3">
        <v>0</v>
      </c>
    </row>
    <row r="520" spans="1:23" ht="11.25" customHeight="1" x14ac:dyDescent="0.25">
      <c r="A520" s="3" t="s">
        <v>21</v>
      </c>
      <c r="B520" s="3" t="s">
        <v>41</v>
      </c>
      <c r="C520" s="3" t="s">
        <v>61</v>
      </c>
      <c r="D520" s="3" t="s">
        <v>25</v>
      </c>
      <c r="E520" s="3" t="s">
        <v>25</v>
      </c>
      <c r="F520" s="3" t="s">
        <v>25</v>
      </c>
      <c r="G520" s="3" t="s">
        <v>67</v>
      </c>
      <c r="H520" s="3" t="s">
        <v>35</v>
      </c>
      <c r="I520" s="6">
        <v>44317</v>
      </c>
      <c r="J520" s="4">
        <v>6331</v>
      </c>
      <c r="K520" s="4">
        <v>6331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3" t="s">
        <v>63</v>
      </c>
      <c r="R520" s="3">
        <v>47</v>
      </c>
      <c r="S520" s="3" t="s">
        <v>261</v>
      </c>
      <c r="U520" s="3">
        <v>18</v>
      </c>
      <c r="V520" s="3">
        <v>0</v>
      </c>
      <c r="W520" s="3">
        <v>0</v>
      </c>
    </row>
    <row r="521" spans="1:23" ht="11.25" customHeight="1" x14ac:dyDescent="0.25">
      <c r="A521" s="3" t="s">
        <v>21</v>
      </c>
      <c r="B521" s="3" t="s">
        <v>41</v>
      </c>
      <c r="C521" s="3" t="s">
        <v>61</v>
      </c>
      <c r="D521" s="3" t="s">
        <v>25</v>
      </c>
      <c r="E521" s="3" t="s">
        <v>25</v>
      </c>
      <c r="F521" s="3" t="s">
        <v>25</v>
      </c>
      <c r="G521" s="3" t="s">
        <v>62</v>
      </c>
      <c r="H521" s="3" t="s">
        <v>35</v>
      </c>
      <c r="I521" s="6">
        <v>44348</v>
      </c>
      <c r="J521" s="4">
        <v>5577</v>
      </c>
      <c r="K521" s="4">
        <v>5577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3" t="s">
        <v>63</v>
      </c>
      <c r="R521" s="3">
        <v>44</v>
      </c>
      <c r="S521" s="3" t="s">
        <v>262</v>
      </c>
      <c r="U521" s="3">
        <v>106</v>
      </c>
      <c r="V521" s="3">
        <v>0</v>
      </c>
      <c r="W521" s="3">
        <v>0</v>
      </c>
    </row>
    <row r="522" spans="1:23" ht="11.25" customHeight="1" x14ac:dyDescent="0.25">
      <c r="A522" s="3" t="s">
        <v>21</v>
      </c>
      <c r="B522" s="3" t="s">
        <v>41</v>
      </c>
      <c r="C522" s="3" t="s">
        <v>61</v>
      </c>
      <c r="D522" s="3" t="s">
        <v>25</v>
      </c>
      <c r="E522" s="3" t="s">
        <v>25</v>
      </c>
      <c r="F522" s="3" t="s">
        <v>25</v>
      </c>
      <c r="G522" s="3" t="s">
        <v>67</v>
      </c>
      <c r="H522" s="3" t="s">
        <v>35</v>
      </c>
      <c r="I522" s="6">
        <v>44348</v>
      </c>
      <c r="J522" s="4">
        <v>6331</v>
      </c>
      <c r="K522" s="4">
        <v>6331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3" t="s">
        <v>63</v>
      </c>
      <c r="R522" s="3">
        <v>47</v>
      </c>
      <c r="S522" s="3" t="s">
        <v>263</v>
      </c>
      <c r="U522" s="3">
        <v>18</v>
      </c>
      <c r="V522" s="3">
        <v>0</v>
      </c>
      <c r="W522" s="3">
        <v>0</v>
      </c>
    </row>
    <row r="523" spans="1:23" ht="11.25" customHeight="1" x14ac:dyDescent="0.25">
      <c r="A523" s="3" t="s">
        <v>21</v>
      </c>
      <c r="B523" s="3" t="s">
        <v>41</v>
      </c>
      <c r="C523" s="3" t="s">
        <v>61</v>
      </c>
      <c r="D523" s="3" t="s">
        <v>25</v>
      </c>
      <c r="E523" s="3" t="s">
        <v>25</v>
      </c>
      <c r="F523" s="3" t="s">
        <v>25</v>
      </c>
      <c r="G523" s="3" t="s">
        <v>62</v>
      </c>
      <c r="H523" s="3" t="s">
        <v>35</v>
      </c>
      <c r="I523" s="6">
        <v>44378</v>
      </c>
      <c r="J523" s="4">
        <v>5577</v>
      </c>
      <c r="K523" s="4">
        <v>5577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3" t="s">
        <v>63</v>
      </c>
      <c r="R523" s="3">
        <v>44</v>
      </c>
      <c r="S523" s="3" t="s">
        <v>264</v>
      </c>
      <c r="U523" s="3">
        <v>106</v>
      </c>
      <c r="V523" s="3">
        <v>0</v>
      </c>
      <c r="W523" s="3">
        <v>0</v>
      </c>
    </row>
    <row r="524" spans="1:23" ht="11.25" customHeight="1" x14ac:dyDescent="0.25">
      <c r="A524" s="3" t="s">
        <v>21</v>
      </c>
      <c r="B524" s="3" t="s">
        <v>41</v>
      </c>
      <c r="C524" s="3" t="s">
        <v>61</v>
      </c>
      <c r="D524" s="3" t="s">
        <v>25</v>
      </c>
      <c r="E524" s="3" t="s">
        <v>25</v>
      </c>
      <c r="F524" s="3" t="s">
        <v>25</v>
      </c>
      <c r="G524" s="3" t="s">
        <v>67</v>
      </c>
      <c r="H524" s="3" t="s">
        <v>35</v>
      </c>
      <c r="I524" s="6">
        <v>44378</v>
      </c>
      <c r="J524" s="4">
        <v>6331</v>
      </c>
      <c r="K524" s="4">
        <v>6331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3" t="s">
        <v>63</v>
      </c>
      <c r="R524" s="3">
        <v>47</v>
      </c>
      <c r="S524" s="3" t="s">
        <v>265</v>
      </c>
      <c r="U524" s="3">
        <v>18</v>
      </c>
      <c r="V524" s="3">
        <v>0</v>
      </c>
      <c r="W524" s="3">
        <v>0</v>
      </c>
    </row>
    <row r="525" spans="1:23" ht="11.25" customHeight="1" x14ac:dyDescent="0.25">
      <c r="A525" s="3" t="s">
        <v>21</v>
      </c>
      <c r="B525" s="3" t="s">
        <v>41</v>
      </c>
      <c r="C525" s="3" t="s">
        <v>61</v>
      </c>
      <c r="D525" s="3" t="s">
        <v>25</v>
      </c>
      <c r="E525" s="3" t="s">
        <v>25</v>
      </c>
      <c r="F525" s="3" t="s">
        <v>25</v>
      </c>
      <c r="G525" s="3" t="s">
        <v>62</v>
      </c>
      <c r="H525" s="3" t="s">
        <v>35</v>
      </c>
      <c r="I525" s="6">
        <v>44409</v>
      </c>
      <c r="J525" s="4">
        <v>5577</v>
      </c>
      <c r="K525" s="4">
        <v>5577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3" t="s">
        <v>63</v>
      </c>
      <c r="R525" s="3">
        <v>44</v>
      </c>
      <c r="S525" s="3" t="s">
        <v>266</v>
      </c>
      <c r="U525" s="3">
        <v>106</v>
      </c>
      <c r="V525" s="3">
        <v>0</v>
      </c>
      <c r="W525" s="3">
        <v>0</v>
      </c>
    </row>
    <row r="526" spans="1:23" ht="11.25" customHeight="1" x14ac:dyDescent="0.25">
      <c r="A526" s="3" t="s">
        <v>21</v>
      </c>
      <c r="B526" s="3" t="s">
        <v>41</v>
      </c>
      <c r="C526" s="3" t="s">
        <v>61</v>
      </c>
      <c r="D526" s="3" t="s">
        <v>25</v>
      </c>
      <c r="E526" s="3" t="s">
        <v>25</v>
      </c>
      <c r="F526" s="3" t="s">
        <v>25</v>
      </c>
      <c r="G526" s="3" t="s">
        <v>67</v>
      </c>
      <c r="H526" s="3" t="s">
        <v>35</v>
      </c>
      <c r="I526" s="6">
        <v>44409</v>
      </c>
      <c r="J526" s="4">
        <v>6331</v>
      </c>
      <c r="K526" s="4">
        <v>6331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3" t="s">
        <v>63</v>
      </c>
      <c r="R526" s="3">
        <v>47</v>
      </c>
      <c r="S526" s="3" t="s">
        <v>267</v>
      </c>
      <c r="U526" s="3">
        <v>18</v>
      </c>
      <c r="V526" s="3">
        <v>0</v>
      </c>
      <c r="W526" s="3">
        <v>0</v>
      </c>
    </row>
    <row r="527" spans="1:23" ht="11.25" customHeight="1" x14ac:dyDescent="0.25">
      <c r="A527" s="3" t="s">
        <v>21</v>
      </c>
      <c r="B527" s="3" t="s">
        <v>41</v>
      </c>
      <c r="C527" s="3" t="s">
        <v>61</v>
      </c>
      <c r="D527" s="3" t="s">
        <v>25</v>
      </c>
      <c r="E527" s="3" t="s">
        <v>25</v>
      </c>
      <c r="F527" s="3" t="s">
        <v>25</v>
      </c>
      <c r="G527" s="3" t="s">
        <v>62</v>
      </c>
      <c r="H527" s="3" t="s">
        <v>35</v>
      </c>
      <c r="I527" s="6">
        <v>44440</v>
      </c>
      <c r="J527" s="4">
        <v>5577</v>
      </c>
      <c r="K527" s="4">
        <v>5577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3" t="s">
        <v>63</v>
      </c>
      <c r="R527" s="3">
        <v>44</v>
      </c>
      <c r="S527" s="3" t="s">
        <v>268</v>
      </c>
      <c r="U527" s="3">
        <v>106</v>
      </c>
      <c r="V527" s="3">
        <v>0</v>
      </c>
      <c r="W527" s="3">
        <v>0</v>
      </c>
    </row>
    <row r="528" spans="1:23" ht="11.25" customHeight="1" x14ac:dyDescent="0.25">
      <c r="A528" s="3" t="s">
        <v>21</v>
      </c>
      <c r="B528" s="3" t="s">
        <v>41</v>
      </c>
      <c r="C528" s="3" t="s">
        <v>61</v>
      </c>
      <c r="D528" s="3" t="s">
        <v>25</v>
      </c>
      <c r="E528" s="3" t="s">
        <v>25</v>
      </c>
      <c r="F528" s="3" t="s">
        <v>25</v>
      </c>
      <c r="G528" s="3" t="s">
        <v>67</v>
      </c>
      <c r="H528" s="3" t="s">
        <v>35</v>
      </c>
      <c r="I528" s="6">
        <v>44440</v>
      </c>
      <c r="J528" s="4">
        <v>6331</v>
      </c>
      <c r="K528" s="4">
        <v>6331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3" t="s">
        <v>63</v>
      </c>
      <c r="R528" s="3">
        <v>47</v>
      </c>
      <c r="S528" s="3" t="s">
        <v>269</v>
      </c>
      <c r="U528" s="3">
        <v>18</v>
      </c>
      <c r="V528" s="3">
        <v>0</v>
      </c>
      <c r="W528" s="3">
        <v>0</v>
      </c>
    </row>
    <row r="529" spans="1:23" ht="11.25" customHeight="1" x14ac:dyDescent="0.25">
      <c r="A529" s="3" t="s">
        <v>21</v>
      </c>
      <c r="B529" s="3" t="s">
        <v>41</v>
      </c>
      <c r="C529" s="3" t="s">
        <v>61</v>
      </c>
      <c r="D529" s="3" t="s">
        <v>25</v>
      </c>
      <c r="E529" s="3" t="s">
        <v>25</v>
      </c>
      <c r="F529" s="3" t="s">
        <v>25</v>
      </c>
      <c r="G529" s="3" t="s">
        <v>62</v>
      </c>
      <c r="H529" s="3" t="s">
        <v>35</v>
      </c>
      <c r="I529" s="6">
        <v>44470</v>
      </c>
      <c r="J529" s="4">
        <v>5577</v>
      </c>
      <c r="K529" s="4">
        <v>5577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3" t="s">
        <v>63</v>
      </c>
      <c r="R529" s="3">
        <v>44</v>
      </c>
      <c r="S529" s="3" t="s">
        <v>270</v>
      </c>
      <c r="U529" s="3">
        <v>106</v>
      </c>
      <c r="V529" s="3">
        <v>0</v>
      </c>
      <c r="W529" s="3">
        <v>0</v>
      </c>
    </row>
    <row r="530" spans="1:23" ht="11.25" customHeight="1" x14ac:dyDescent="0.25">
      <c r="A530" s="3" t="s">
        <v>21</v>
      </c>
      <c r="B530" s="3" t="s">
        <v>41</v>
      </c>
      <c r="C530" s="3" t="s">
        <v>61</v>
      </c>
      <c r="D530" s="3" t="s">
        <v>25</v>
      </c>
      <c r="E530" s="3" t="s">
        <v>25</v>
      </c>
      <c r="F530" s="3" t="s">
        <v>25</v>
      </c>
      <c r="G530" s="3" t="s">
        <v>67</v>
      </c>
      <c r="H530" s="3" t="s">
        <v>35</v>
      </c>
      <c r="I530" s="6">
        <v>44470</v>
      </c>
      <c r="J530" s="4">
        <v>6331</v>
      </c>
      <c r="K530" s="4">
        <v>6331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3" t="s">
        <v>63</v>
      </c>
      <c r="R530" s="3">
        <v>47</v>
      </c>
      <c r="S530" s="3" t="s">
        <v>271</v>
      </c>
      <c r="U530" s="3">
        <v>18</v>
      </c>
      <c r="V530" s="3">
        <v>0</v>
      </c>
      <c r="W530" s="3">
        <v>0</v>
      </c>
    </row>
    <row r="531" spans="1:23" ht="11.25" customHeight="1" x14ac:dyDescent="0.25">
      <c r="A531" s="3" t="s">
        <v>21</v>
      </c>
      <c r="B531" s="3" t="s">
        <v>41</v>
      </c>
      <c r="C531" s="3" t="s">
        <v>61</v>
      </c>
      <c r="D531" s="3" t="s">
        <v>25</v>
      </c>
      <c r="E531" s="3" t="s">
        <v>25</v>
      </c>
      <c r="F531" s="3" t="s">
        <v>25</v>
      </c>
      <c r="G531" s="3" t="s">
        <v>62</v>
      </c>
      <c r="H531" s="3" t="s">
        <v>35</v>
      </c>
      <c r="I531" s="6">
        <v>44501</v>
      </c>
      <c r="J531" s="4">
        <v>5577</v>
      </c>
      <c r="K531" s="4">
        <v>5577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3" t="s">
        <v>63</v>
      </c>
      <c r="R531" s="3">
        <v>44</v>
      </c>
      <c r="S531" s="3" t="s">
        <v>272</v>
      </c>
      <c r="U531" s="3">
        <v>106</v>
      </c>
      <c r="V531" s="3">
        <v>0</v>
      </c>
      <c r="W531" s="3">
        <v>0</v>
      </c>
    </row>
    <row r="532" spans="1:23" ht="11.25" customHeight="1" x14ac:dyDescent="0.25">
      <c r="A532" s="3" t="s">
        <v>21</v>
      </c>
      <c r="B532" s="3" t="s">
        <v>41</v>
      </c>
      <c r="C532" s="3" t="s">
        <v>61</v>
      </c>
      <c r="D532" s="3" t="s">
        <v>25</v>
      </c>
      <c r="E532" s="3" t="s">
        <v>25</v>
      </c>
      <c r="F532" s="3" t="s">
        <v>25</v>
      </c>
      <c r="G532" s="3" t="s">
        <v>67</v>
      </c>
      <c r="H532" s="3" t="s">
        <v>35</v>
      </c>
      <c r="I532" s="6">
        <v>44501</v>
      </c>
      <c r="J532" s="4">
        <v>6331</v>
      </c>
      <c r="K532" s="4">
        <v>6331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3" t="s">
        <v>63</v>
      </c>
      <c r="R532" s="3">
        <v>47</v>
      </c>
      <c r="S532" s="3" t="s">
        <v>273</v>
      </c>
      <c r="U532" s="3">
        <v>18</v>
      </c>
      <c r="V532" s="3">
        <v>0</v>
      </c>
      <c r="W532" s="3">
        <v>0</v>
      </c>
    </row>
    <row r="533" spans="1:23" ht="11.25" customHeight="1" x14ac:dyDescent="0.25">
      <c r="A533" s="3" t="s">
        <v>21</v>
      </c>
      <c r="B533" s="3" t="s">
        <v>41</v>
      </c>
      <c r="C533" s="3" t="s">
        <v>61</v>
      </c>
      <c r="D533" s="3" t="s">
        <v>25</v>
      </c>
      <c r="E533" s="3" t="s">
        <v>25</v>
      </c>
      <c r="F533" s="3" t="s">
        <v>25</v>
      </c>
      <c r="G533" s="3" t="s">
        <v>62</v>
      </c>
      <c r="H533" s="3" t="s">
        <v>35</v>
      </c>
      <c r="I533" s="6">
        <v>44531</v>
      </c>
      <c r="J533" s="4">
        <v>5577</v>
      </c>
      <c r="K533" s="4">
        <v>5577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3" t="s">
        <v>63</v>
      </c>
      <c r="R533" s="3">
        <v>44</v>
      </c>
      <c r="S533" s="3" t="s">
        <v>274</v>
      </c>
      <c r="U533" s="3">
        <v>106</v>
      </c>
      <c r="V533" s="3">
        <v>0</v>
      </c>
      <c r="W533" s="3">
        <v>0</v>
      </c>
    </row>
    <row r="534" spans="1:23" ht="11.25" customHeight="1" x14ac:dyDescent="0.25">
      <c r="A534" s="3" t="s">
        <v>21</v>
      </c>
      <c r="B534" s="3" t="s">
        <v>41</v>
      </c>
      <c r="C534" s="3" t="s">
        <v>61</v>
      </c>
      <c r="D534" s="3" t="s">
        <v>25</v>
      </c>
      <c r="E534" s="3" t="s">
        <v>25</v>
      </c>
      <c r="F534" s="3" t="s">
        <v>25</v>
      </c>
      <c r="G534" s="3" t="s">
        <v>67</v>
      </c>
      <c r="H534" s="3" t="s">
        <v>35</v>
      </c>
      <c r="I534" s="6">
        <v>44531</v>
      </c>
      <c r="J534" s="4">
        <v>6478</v>
      </c>
      <c r="K534" s="4">
        <v>6478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3" t="s">
        <v>63</v>
      </c>
      <c r="R534" s="3">
        <v>47</v>
      </c>
      <c r="S534" s="3" t="s">
        <v>275</v>
      </c>
      <c r="U534" s="3">
        <v>18</v>
      </c>
      <c r="V534" s="3">
        <v>0</v>
      </c>
      <c r="W534" s="3">
        <v>0</v>
      </c>
    </row>
    <row r="535" spans="1:23" ht="11.25" customHeight="1" x14ac:dyDescent="0.25">
      <c r="A535" s="3" t="s">
        <v>21</v>
      </c>
      <c r="B535" s="3" t="s">
        <v>41</v>
      </c>
      <c r="C535" s="3" t="s">
        <v>61</v>
      </c>
      <c r="D535" s="3" t="s">
        <v>25</v>
      </c>
      <c r="E535" s="3" t="s">
        <v>25</v>
      </c>
      <c r="F535" s="3" t="s">
        <v>25</v>
      </c>
      <c r="G535" s="3" t="s">
        <v>62</v>
      </c>
      <c r="H535" s="3" t="s">
        <v>35</v>
      </c>
      <c r="I535" s="6">
        <v>44562</v>
      </c>
      <c r="J535" s="4">
        <v>5577</v>
      </c>
      <c r="K535" s="4">
        <v>5577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3" t="s">
        <v>63</v>
      </c>
      <c r="R535" s="3">
        <v>44</v>
      </c>
      <c r="S535" s="3" t="s">
        <v>276</v>
      </c>
      <c r="U535" s="3">
        <v>106</v>
      </c>
      <c r="V535" s="3">
        <v>0</v>
      </c>
      <c r="W535" s="3">
        <v>0</v>
      </c>
    </row>
    <row r="536" spans="1:23" ht="11.25" customHeight="1" x14ac:dyDescent="0.25">
      <c r="A536" s="3" t="s">
        <v>21</v>
      </c>
      <c r="B536" s="3" t="s">
        <v>41</v>
      </c>
      <c r="C536" s="3" t="s">
        <v>61</v>
      </c>
      <c r="D536" s="3" t="s">
        <v>25</v>
      </c>
      <c r="E536" s="3" t="s">
        <v>25</v>
      </c>
      <c r="F536" s="3" t="s">
        <v>25</v>
      </c>
      <c r="G536" s="3" t="s">
        <v>67</v>
      </c>
      <c r="H536" s="3" t="s">
        <v>35</v>
      </c>
      <c r="I536" s="6">
        <v>44562</v>
      </c>
      <c r="J536" s="4">
        <v>6331</v>
      </c>
      <c r="K536" s="4">
        <v>6331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3" t="s">
        <v>63</v>
      </c>
      <c r="R536" s="3">
        <v>47</v>
      </c>
      <c r="S536" s="3" t="s">
        <v>277</v>
      </c>
      <c r="U536" s="3">
        <v>18</v>
      </c>
      <c r="V536" s="3">
        <v>0</v>
      </c>
      <c r="W536" s="3">
        <v>0</v>
      </c>
    </row>
    <row r="537" spans="1:23" ht="11.25" customHeight="1" x14ac:dyDescent="0.25">
      <c r="A537" s="3" t="s">
        <v>21</v>
      </c>
      <c r="B537" s="3" t="s">
        <v>41</v>
      </c>
      <c r="C537" s="3" t="s">
        <v>61</v>
      </c>
      <c r="D537" s="3" t="s">
        <v>25</v>
      </c>
      <c r="E537" s="3" t="s">
        <v>25</v>
      </c>
      <c r="F537" s="3" t="s">
        <v>25</v>
      </c>
      <c r="G537" s="3" t="s">
        <v>62</v>
      </c>
      <c r="H537" s="3" t="s">
        <v>35</v>
      </c>
      <c r="I537" s="6">
        <v>44593</v>
      </c>
      <c r="J537" s="4">
        <v>5577</v>
      </c>
      <c r="K537" s="4">
        <v>5577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3" t="s">
        <v>63</v>
      </c>
      <c r="R537" s="3">
        <v>44</v>
      </c>
      <c r="S537" s="3" t="s">
        <v>278</v>
      </c>
      <c r="U537" s="3">
        <v>106</v>
      </c>
      <c r="V537" s="3">
        <v>0</v>
      </c>
      <c r="W537" s="3">
        <v>0</v>
      </c>
    </row>
    <row r="538" spans="1:23" ht="11.25" customHeight="1" x14ac:dyDescent="0.25">
      <c r="A538" s="3" t="s">
        <v>21</v>
      </c>
      <c r="B538" s="3" t="s">
        <v>41</v>
      </c>
      <c r="C538" s="3" t="s">
        <v>61</v>
      </c>
      <c r="D538" s="3" t="s">
        <v>25</v>
      </c>
      <c r="E538" s="3" t="s">
        <v>25</v>
      </c>
      <c r="F538" s="3" t="s">
        <v>25</v>
      </c>
      <c r="G538" s="3" t="s">
        <v>67</v>
      </c>
      <c r="H538" s="3" t="s">
        <v>35</v>
      </c>
      <c r="I538" s="6">
        <v>44593</v>
      </c>
      <c r="J538" s="4">
        <v>6331</v>
      </c>
      <c r="K538" s="4">
        <v>6331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3" t="s">
        <v>63</v>
      </c>
      <c r="R538" s="3">
        <v>47</v>
      </c>
      <c r="S538" s="3" t="s">
        <v>279</v>
      </c>
      <c r="U538" s="3">
        <v>18</v>
      </c>
      <c r="V538" s="3">
        <v>0</v>
      </c>
      <c r="W538" s="3">
        <v>0</v>
      </c>
    </row>
    <row r="539" spans="1:23" ht="11.25" customHeight="1" x14ac:dyDescent="0.25">
      <c r="A539" s="3" t="s">
        <v>56</v>
      </c>
      <c r="B539" s="3" t="s">
        <v>41</v>
      </c>
      <c r="C539" s="3" t="s">
        <v>61</v>
      </c>
      <c r="D539" s="3" t="s">
        <v>25</v>
      </c>
      <c r="E539" s="3" t="s">
        <v>25</v>
      </c>
      <c r="F539" s="3" t="s">
        <v>25</v>
      </c>
      <c r="G539" s="3" t="s">
        <v>62</v>
      </c>
      <c r="H539" s="3" t="s">
        <v>35</v>
      </c>
      <c r="I539" s="6">
        <v>44621</v>
      </c>
      <c r="J539" s="4">
        <v>5577</v>
      </c>
      <c r="K539" s="4">
        <v>5577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3" t="s">
        <v>63</v>
      </c>
      <c r="R539" s="3">
        <v>44</v>
      </c>
      <c r="S539" s="3" t="s">
        <v>280</v>
      </c>
      <c r="U539" s="3">
        <v>106</v>
      </c>
      <c r="V539" s="3">
        <v>0</v>
      </c>
      <c r="W539" s="3">
        <v>0</v>
      </c>
    </row>
    <row r="540" spans="1:23" ht="11.25" customHeight="1" x14ac:dyDescent="0.25">
      <c r="A540" s="3" t="s">
        <v>56</v>
      </c>
      <c r="B540" s="3" t="s">
        <v>41</v>
      </c>
      <c r="C540" s="3" t="s">
        <v>61</v>
      </c>
      <c r="D540" s="3" t="s">
        <v>25</v>
      </c>
      <c r="E540" s="3" t="s">
        <v>25</v>
      </c>
      <c r="F540" s="3" t="s">
        <v>25</v>
      </c>
      <c r="G540" s="3" t="s">
        <v>67</v>
      </c>
      <c r="H540" s="3" t="s">
        <v>35</v>
      </c>
      <c r="I540" s="6">
        <v>44621</v>
      </c>
      <c r="J540" s="4">
        <v>6331</v>
      </c>
      <c r="K540" s="4">
        <v>6331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3" t="s">
        <v>63</v>
      </c>
      <c r="R540" s="3">
        <v>47</v>
      </c>
      <c r="S540" s="3" t="s">
        <v>281</v>
      </c>
      <c r="U540" s="3">
        <v>18</v>
      </c>
      <c r="V540" s="3">
        <v>0</v>
      </c>
      <c r="W540" s="3">
        <v>0</v>
      </c>
    </row>
    <row r="541" spans="1:23" ht="11.25" customHeight="1" x14ac:dyDescent="0.25">
      <c r="A541" s="3" t="s">
        <v>21</v>
      </c>
      <c r="B541" s="3" t="s">
        <v>41</v>
      </c>
      <c r="C541" s="3" t="s">
        <v>61</v>
      </c>
      <c r="D541" s="3" t="s">
        <v>25</v>
      </c>
      <c r="E541" s="3" t="s">
        <v>25</v>
      </c>
      <c r="F541" s="3" t="s">
        <v>25</v>
      </c>
      <c r="G541" s="3" t="s">
        <v>62</v>
      </c>
      <c r="H541" s="3" t="s">
        <v>25</v>
      </c>
      <c r="I541" s="6">
        <v>44287</v>
      </c>
      <c r="J541" s="4">
        <v>0</v>
      </c>
      <c r="K541" s="4">
        <v>0</v>
      </c>
      <c r="L541" s="4">
        <v>2156.9180000000001</v>
      </c>
      <c r="M541" s="4">
        <v>2156.9180000000001</v>
      </c>
      <c r="N541" s="4">
        <v>0</v>
      </c>
      <c r="O541" s="4">
        <v>0</v>
      </c>
      <c r="P541" s="4">
        <v>0</v>
      </c>
      <c r="Q541" s="3" t="s">
        <v>63</v>
      </c>
      <c r="R541" s="3">
        <v>44</v>
      </c>
      <c r="S541" s="3" t="s">
        <v>282</v>
      </c>
      <c r="U541" s="3">
        <v>0</v>
      </c>
      <c r="V541" s="3">
        <v>16</v>
      </c>
      <c r="W541" s="3">
        <v>0</v>
      </c>
    </row>
    <row r="542" spans="1:23" ht="11.25" customHeight="1" x14ac:dyDescent="0.25">
      <c r="A542" s="3" t="s">
        <v>21</v>
      </c>
      <c r="B542" s="3" t="s">
        <v>41</v>
      </c>
      <c r="C542" s="3" t="s">
        <v>61</v>
      </c>
      <c r="D542" s="3" t="s">
        <v>25</v>
      </c>
      <c r="E542" s="3" t="s">
        <v>25</v>
      </c>
      <c r="F542" s="3" t="s">
        <v>25</v>
      </c>
      <c r="G542" s="3" t="s">
        <v>67</v>
      </c>
      <c r="H542" s="3" t="s">
        <v>25</v>
      </c>
      <c r="I542" s="6">
        <v>44287</v>
      </c>
      <c r="J542" s="4">
        <v>0</v>
      </c>
      <c r="K542" s="4">
        <v>0</v>
      </c>
      <c r="L542" s="4">
        <v>2165.0329999999999</v>
      </c>
      <c r="M542" s="4">
        <v>2165.0329999999999</v>
      </c>
      <c r="N542" s="4">
        <v>0</v>
      </c>
      <c r="O542" s="4">
        <v>0</v>
      </c>
      <c r="P542" s="4">
        <v>0</v>
      </c>
      <c r="Q542" s="3" t="s">
        <v>63</v>
      </c>
      <c r="R542" s="3">
        <v>47</v>
      </c>
      <c r="S542" s="3" t="s">
        <v>283</v>
      </c>
      <c r="U542" s="3">
        <v>0</v>
      </c>
      <c r="V542" s="3">
        <v>19</v>
      </c>
      <c r="W542" s="3">
        <v>0</v>
      </c>
    </row>
    <row r="543" spans="1:23" ht="11.25" customHeight="1" x14ac:dyDescent="0.25">
      <c r="A543" s="3" t="s">
        <v>21</v>
      </c>
      <c r="B543" s="3" t="s">
        <v>41</v>
      </c>
      <c r="C543" s="3" t="s">
        <v>61</v>
      </c>
      <c r="D543" s="3" t="s">
        <v>25</v>
      </c>
      <c r="E543" s="3" t="s">
        <v>25</v>
      </c>
      <c r="F543" s="3" t="s">
        <v>25</v>
      </c>
      <c r="G543" s="3" t="s">
        <v>62</v>
      </c>
      <c r="H543" s="3" t="s">
        <v>25</v>
      </c>
      <c r="I543" s="6">
        <v>44317</v>
      </c>
      <c r="J543" s="4">
        <v>0</v>
      </c>
      <c r="K543" s="4">
        <v>0</v>
      </c>
      <c r="L543" s="4">
        <v>1952.4269999999999</v>
      </c>
      <c r="M543" s="4">
        <v>1952.4269999999999</v>
      </c>
      <c r="N543" s="4">
        <v>0</v>
      </c>
      <c r="O543" s="4">
        <v>0</v>
      </c>
      <c r="P543" s="4">
        <v>0</v>
      </c>
      <c r="Q543" s="3" t="s">
        <v>63</v>
      </c>
      <c r="R543" s="3">
        <v>44</v>
      </c>
      <c r="S543" s="3" t="s">
        <v>284</v>
      </c>
      <c r="U543" s="3">
        <v>0</v>
      </c>
      <c r="V543" s="3">
        <v>16</v>
      </c>
      <c r="W543" s="3">
        <v>0</v>
      </c>
    </row>
    <row r="544" spans="1:23" ht="11.25" customHeight="1" x14ac:dyDescent="0.25">
      <c r="A544" s="3" t="s">
        <v>21</v>
      </c>
      <c r="B544" s="3" t="s">
        <v>41</v>
      </c>
      <c r="C544" s="3" t="s">
        <v>61</v>
      </c>
      <c r="D544" s="3" t="s">
        <v>25</v>
      </c>
      <c r="E544" s="3" t="s">
        <v>25</v>
      </c>
      <c r="F544" s="3" t="s">
        <v>25</v>
      </c>
      <c r="G544" s="3" t="s">
        <v>67</v>
      </c>
      <c r="H544" s="3" t="s">
        <v>25</v>
      </c>
      <c r="I544" s="6">
        <v>44317</v>
      </c>
      <c r="J544" s="4">
        <v>0</v>
      </c>
      <c r="K544" s="4">
        <v>0</v>
      </c>
      <c r="L544" s="4">
        <v>2015.944</v>
      </c>
      <c r="M544" s="4">
        <v>2015.944</v>
      </c>
      <c r="N544" s="4">
        <v>0</v>
      </c>
      <c r="O544" s="4">
        <v>0</v>
      </c>
      <c r="P544" s="4">
        <v>0</v>
      </c>
      <c r="Q544" s="3" t="s">
        <v>63</v>
      </c>
      <c r="R544" s="3">
        <v>47</v>
      </c>
      <c r="S544" s="3" t="s">
        <v>285</v>
      </c>
      <c r="U544" s="3">
        <v>0</v>
      </c>
      <c r="V544" s="3">
        <v>19</v>
      </c>
      <c r="W544" s="3">
        <v>0</v>
      </c>
    </row>
    <row r="545" spans="1:23" ht="11.25" customHeight="1" x14ac:dyDescent="0.25">
      <c r="A545" s="3" t="s">
        <v>21</v>
      </c>
      <c r="B545" s="3" t="s">
        <v>41</v>
      </c>
      <c r="C545" s="3" t="s">
        <v>61</v>
      </c>
      <c r="D545" s="3" t="s">
        <v>25</v>
      </c>
      <c r="E545" s="3" t="s">
        <v>25</v>
      </c>
      <c r="F545" s="3" t="s">
        <v>25</v>
      </c>
      <c r="G545" s="3" t="s">
        <v>62</v>
      </c>
      <c r="H545" s="3" t="s">
        <v>25</v>
      </c>
      <c r="I545" s="6">
        <v>44348</v>
      </c>
      <c r="J545" s="4">
        <v>0</v>
      </c>
      <c r="K545" s="4">
        <v>0</v>
      </c>
      <c r="L545" s="4">
        <v>1707.413</v>
      </c>
      <c r="M545" s="4">
        <v>1707.413</v>
      </c>
      <c r="N545" s="4">
        <v>0</v>
      </c>
      <c r="O545" s="4">
        <v>0</v>
      </c>
      <c r="P545" s="4">
        <v>0</v>
      </c>
      <c r="Q545" s="3" t="s">
        <v>63</v>
      </c>
      <c r="R545" s="3">
        <v>44</v>
      </c>
      <c r="S545" s="3" t="s">
        <v>286</v>
      </c>
      <c r="U545" s="3">
        <v>0</v>
      </c>
      <c r="V545" s="3">
        <v>16</v>
      </c>
      <c r="W545" s="3">
        <v>0</v>
      </c>
    </row>
    <row r="546" spans="1:23" ht="11.25" customHeight="1" x14ac:dyDescent="0.25">
      <c r="A546" s="3" t="s">
        <v>21</v>
      </c>
      <c r="B546" s="3" t="s">
        <v>41</v>
      </c>
      <c r="C546" s="3" t="s">
        <v>61</v>
      </c>
      <c r="D546" s="3" t="s">
        <v>25</v>
      </c>
      <c r="E546" s="3" t="s">
        <v>25</v>
      </c>
      <c r="F546" s="3" t="s">
        <v>25</v>
      </c>
      <c r="G546" s="3" t="s">
        <v>67</v>
      </c>
      <c r="H546" s="3" t="s">
        <v>25</v>
      </c>
      <c r="I546" s="6">
        <v>44348</v>
      </c>
      <c r="J546" s="4">
        <v>0</v>
      </c>
      <c r="K546" s="4">
        <v>0</v>
      </c>
      <c r="L546" s="4">
        <v>1925.34</v>
      </c>
      <c r="M546" s="4">
        <v>1925.34</v>
      </c>
      <c r="N546" s="4">
        <v>0</v>
      </c>
      <c r="O546" s="4">
        <v>0</v>
      </c>
      <c r="P546" s="4">
        <v>0</v>
      </c>
      <c r="Q546" s="3" t="s">
        <v>63</v>
      </c>
      <c r="R546" s="3">
        <v>47</v>
      </c>
      <c r="S546" s="3" t="s">
        <v>287</v>
      </c>
      <c r="U546" s="3">
        <v>0</v>
      </c>
      <c r="V546" s="3">
        <v>19</v>
      </c>
      <c r="W546" s="3">
        <v>0</v>
      </c>
    </row>
    <row r="547" spans="1:23" ht="11.25" customHeight="1" x14ac:dyDescent="0.25">
      <c r="A547" s="3" t="s">
        <v>21</v>
      </c>
      <c r="B547" s="3" t="s">
        <v>41</v>
      </c>
      <c r="C547" s="3" t="s">
        <v>61</v>
      </c>
      <c r="D547" s="3" t="s">
        <v>25</v>
      </c>
      <c r="E547" s="3" t="s">
        <v>25</v>
      </c>
      <c r="F547" s="3" t="s">
        <v>25</v>
      </c>
      <c r="G547" s="3" t="s">
        <v>62</v>
      </c>
      <c r="H547" s="3" t="s">
        <v>25</v>
      </c>
      <c r="I547" s="6">
        <v>44378</v>
      </c>
      <c r="J547" s="4">
        <v>0</v>
      </c>
      <c r="K547" s="4">
        <v>0</v>
      </c>
      <c r="L547" s="4">
        <v>1596.17</v>
      </c>
      <c r="M547" s="4">
        <v>1596.17</v>
      </c>
      <c r="N547" s="4">
        <v>0</v>
      </c>
      <c r="O547" s="4">
        <v>0</v>
      </c>
      <c r="P547" s="4">
        <v>0</v>
      </c>
      <c r="Q547" s="3" t="s">
        <v>63</v>
      </c>
      <c r="R547" s="3">
        <v>44</v>
      </c>
      <c r="S547" s="3" t="s">
        <v>288</v>
      </c>
      <c r="U547" s="3">
        <v>0</v>
      </c>
      <c r="V547" s="3">
        <v>16</v>
      </c>
      <c r="W547" s="3">
        <v>0</v>
      </c>
    </row>
    <row r="548" spans="1:23" ht="11.25" customHeight="1" x14ac:dyDescent="0.25">
      <c r="A548" s="3" t="s">
        <v>21</v>
      </c>
      <c r="B548" s="3" t="s">
        <v>41</v>
      </c>
      <c r="C548" s="3" t="s">
        <v>61</v>
      </c>
      <c r="D548" s="3" t="s">
        <v>25</v>
      </c>
      <c r="E548" s="3" t="s">
        <v>25</v>
      </c>
      <c r="F548" s="3" t="s">
        <v>25</v>
      </c>
      <c r="G548" s="3" t="s">
        <v>67</v>
      </c>
      <c r="H548" s="3" t="s">
        <v>25</v>
      </c>
      <c r="I548" s="6">
        <v>44378</v>
      </c>
      <c r="J548" s="4">
        <v>0</v>
      </c>
      <c r="K548" s="4">
        <v>0</v>
      </c>
      <c r="L548" s="4">
        <v>1852.33</v>
      </c>
      <c r="M548" s="4">
        <v>1852.33</v>
      </c>
      <c r="N548" s="4">
        <v>0</v>
      </c>
      <c r="O548" s="4">
        <v>0</v>
      </c>
      <c r="P548" s="4">
        <v>0</v>
      </c>
      <c r="Q548" s="3" t="s">
        <v>63</v>
      </c>
      <c r="R548" s="3">
        <v>47</v>
      </c>
      <c r="S548" s="3" t="s">
        <v>289</v>
      </c>
      <c r="U548" s="3">
        <v>0</v>
      </c>
      <c r="V548" s="3">
        <v>19</v>
      </c>
      <c r="W548" s="3">
        <v>0</v>
      </c>
    </row>
    <row r="549" spans="1:23" ht="11.25" customHeight="1" x14ac:dyDescent="0.25">
      <c r="A549" s="3" t="s">
        <v>21</v>
      </c>
      <c r="B549" s="3" t="s">
        <v>41</v>
      </c>
      <c r="C549" s="3" t="s">
        <v>61</v>
      </c>
      <c r="D549" s="3" t="s">
        <v>25</v>
      </c>
      <c r="E549" s="3" t="s">
        <v>25</v>
      </c>
      <c r="F549" s="3" t="s">
        <v>25</v>
      </c>
      <c r="G549" s="3" t="s">
        <v>62</v>
      </c>
      <c r="H549" s="3" t="s">
        <v>25</v>
      </c>
      <c r="I549" s="6">
        <v>44409</v>
      </c>
      <c r="J549" s="4">
        <v>0</v>
      </c>
      <c r="K549" s="4">
        <v>0</v>
      </c>
      <c r="L549" s="4">
        <v>1625.443</v>
      </c>
      <c r="M549" s="4">
        <v>1625.443</v>
      </c>
      <c r="N549" s="4">
        <v>0</v>
      </c>
      <c r="O549" s="4">
        <v>0</v>
      </c>
      <c r="P549" s="4">
        <v>0</v>
      </c>
      <c r="Q549" s="3" t="s">
        <v>63</v>
      </c>
      <c r="R549" s="3">
        <v>44</v>
      </c>
      <c r="S549" s="3" t="s">
        <v>290</v>
      </c>
      <c r="U549" s="3">
        <v>0</v>
      </c>
      <c r="V549" s="3">
        <v>16</v>
      </c>
      <c r="W549" s="3">
        <v>0</v>
      </c>
    </row>
    <row r="550" spans="1:23" ht="11.25" customHeight="1" x14ac:dyDescent="0.25">
      <c r="A550" s="3" t="s">
        <v>21</v>
      </c>
      <c r="B550" s="3" t="s">
        <v>41</v>
      </c>
      <c r="C550" s="3" t="s">
        <v>61</v>
      </c>
      <c r="D550" s="3" t="s">
        <v>25</v>
      </c>
      <c r="E550" s="3" t="s">
        <v>25</v>
      </c>
      <c r="F550" s="3" t="s">
        <v>25</v>
      </c>
      <c r="G550" s="3" t="s">
        <v>67</v>
      </c>
      <c r="H550" s="3" t="s">
        <v>25</v>
      </c>
      <c r="I550" s="6">
        <v>44409</v>
      </c>
      <c r="J550" s="4">
        <v>0</v>
      </c>
      <c r="K550" s="4">
        <v>0</v>
      </c>
      <c r="L550" s="4">
        <v>1840.6289999999999</v>
      </c>
      <c r="M550" s="4">
        <v>1840.6289999999999</v>
      </c>
      <c r="N550" s="4">
        <v>0</v>
      </c>
      <c r="O550" s="4">
        <v>0</v>
      </c>
      <c r="P550" s="4">
        <v>0</v>
      </c>
      <c r="Q550" s="3" t="s">
        <v>63</v>
      </c>
      <c r="R550" s="3">
        <v>47</v>
      </c>
      <c r="S550" s="3" t="s">
        <v>291</v>
      </c>
      <c r="U550" s="3">
        <v>0</v>
      </c>
      <c r="V550" s="3">
        <v>19</v>
      </c>
      <c r="W550" s="3">
        <v>0</v>
      </c>
    </row>
    <row r="551" spans="1:23" ht="11.25" customHeight="1" x14ac:dyDescent="0.25">
      <c r="A551" s="3" t="s">
        <v>21</v>
      </c>
      <c r="B551" s="3" t="s">
        <v>41</v>
      </c>
      <c r="C551" s="3" t="s">
        <v>61</v>
      </c>
      <c r="D551" s="3" t="s">
        <v>25</v>
      </c>
      <c r="E551" s="3" t="s">
        <v>25</v>
      </c>
      <c r="F551" s="3" t="s">
        <v>25</v>
      </c>
      <c r="G551" s="3" t="s">
        <v>62</v>
      </c>
      <c r="H551" s="3" t="s">
        <v>25</v>
      </c>
      <c r="I551" s="6">
        <v>44440</v>
      </c>
      <c r="J551" s="4">
        <v>0</v>
      </c>
      <c r="K551" s="4">
        <v>0</v>
      </c>
      <c r="L551" s="4">
        <v>1615.0909999999999</v>
      </c>
      <c r="M551" s="4">
        <v>1615.0909999999999</v>
      </c>
      <c r="N551" s="4">
        <v>0</v>
      </c>
      <c r="O551" s="4">
        <v>0</v>
      </c>
      <c r="P551" s="4">
        <v>0</v>
      </c>
      <c r="Q551" s="3" t="s">
        <v>63</v>
      </c>
      <c r="R551" s="3">
        <v>44</v>
      </c>
      <c r="S551" s="3" t="s">
        <v>292</v>
      </c>
      <c r="U551" s="3">
        <v>0</v>
      </c>
      <c r="V551" s="3">
        <v>16</v>
      </c>
      <c r="W551" s="3">
        <v>0</v>
      </c>
    </row>
    <row r="552" spans="1:23" ht="11.25" customHeight="1" x14ac:dyDescent="0.25">
      <c r="A552" s="3" t="s">
        <v>21</v>
      </c>
      <c r="B552" s="3" t="s">
        <v>41</v>
      </c>
      <c r="C552" s="3" t="s">
        <v>61</v>
      </c>
      <c r="D552" s="3" t="s">
        <v>25</v>
      </c>
      <c r="E552" s="3" t="s">
        <v>25</v>
      </c>
      <c r="F552" s="3" t="s">
        <v>25</v>
      </c>
      <c r="G552" s="3" t="s">
        <v>67</v>
      </c>
      <c r="H552" s="3" t="s">
        <v>25</v>
      </c>
      <c r="I552" s="6">
        <v>44440</v>
      </c>
      <c r="J552" s="4">
        <v>0</v>
      </c>
      <c r="K552" s="4">
        <v>0</v>
      </c>
      <c r="L552" s="4">
        <v>1839.097</v>
      </c>
      <c r="M552" s="4">
        <v>1839.097</v>
      </c>
      <c r="N552" s="4">
        <v>0</v>
      </c>
      <c r="O552" s="4">
        <v>0</v>
      </c>
      <c r="P552" s="4">
        <v>0</v>
      </c>
      <c r="Q552" s="3" t="s">
        <v>63</v>
      </c>
      <c r="R552" s="3">
        <v>47</v>
      </c>
      <c r="S552" s="3" t="s">
        <v>293</v>
      </c>
      <c r="U552" s="3">
        <v>0</v>
      </c>
      <c r="V552" s="3">
        <v>19</v>
      </c>
      <c r="W552" s="3">
        <v>0</v>
      </c>
    </row>
    <row r="553" spans="1:23" ht="11.25" customHeight="1" x14ac:dyDescent="0.25">
      <c r="A553" s="3" t="s">
        <v>21</v>
      </c>
      <c r="B553" s="3" t="s">
        <v>41</v>
      </c>
      <c r="C553" s="3" t="s">
        <v>61</v>
      </c>
      <c r="D553" s="3" t="s">
        <v>25</v>
      </c>
      <c r="E553" s="3" t="s">
        <v>25</v>
      </c>
      <c r="F553" s="3" t="s">
        <v>25</v>
      </c>
      <c r="G553" s="3" t="s">
        <v>62</v>
      </c>
      <c r="H553" s="3" t="s">
        <v>25</v>
      </c>
      <c r="I553" s="6">
        <v>44470</v>
      </c>
      <c r="J553" s="4">
        <v>0</v>
      </c>
      <c r="K553" s="4">
        <v>0</v>
      </c>
      <c r="L553" s="4">
        <v>1752.021</v>
      </c>
      <c r="M553" s="4">
        <v>1752.021</v>
      </c>
      <c r="N553" s="4">
        <v>0</v>
      </c>
      <c r="O553" s="4">
        <v>0</v>
      </c>
      <c r="P553" s="4">
        <v>0</v>
      </c>
      <c r="Q553" s="3" t="s">
        <v>63</v>
      </c>
      <c r="R553" s="3">
        <v>44</v>
      </c>
      <c r="S553" s="3" t="s">
        <v>294</v>
      </c>
      <c r="U553" s="3">
        <v>0</v>
      </c>
      <c r="V553" s="3">
        <v>16</v>
      </c>
      <c r="W553" s="3">
        <v>0</v>
      </c>
    </row>
    <row r="554" spans="1:23" ht="11.25" customHeight="1" x14ac:dyDescent="0.25">
      <c r="A554" s="3" t="s">
        <v>21</v>
      </c>
      <c r="B554" s="3" t="s">
        <v>41</v>
      </c>
      <c r="C554" s="3" t="s">
        <v>61</v>
      </c>
      <c r="D554" s="3" t="s">
        <v>25</v>
      </c>
      <c r="E554" s="3" t="s">
        <v>25</v>
      </c>
      <c r="F554" s="3" t="s">
        <v>25</v>
      </c>
      <c r="G554" s="3" t="s">
        <v>67</v>
      </c>
      <c r="H554" s="3" t="s">
        <v>25</v>
      </c>
      <c r="I554" s="6">
        <v>44470</v>
      </c>
      <c r="J554" s="4">
        <v>0</v>
      </c>
      <c r="K554" s="4">
        <v>0</v>
      </c>
      <c r="L554" s="4">
        <v>1905.72</v>
      </c>
      <c r="M554" s="4">
        <v>1905.72</v>
      </c>
      <c r="N554" s="4">
        <v>0</v>
      </c>
      <c r="O554" s="4">
        <v>0</v>
      </c>
      <c r="P554" s="4">
        <v>0</v>
      </c>
      <c r="Q554" s="3" t="s">
        <v>63</v>
      </c>
      <c r="R554" s="3">
        <v>47</v>
      </c>
      <c r="S554" s="3" t="s">
        <v>295</v>
      </c>
      <c r="U554" s="3">
        <v>0</v>
      </c>
      <c r="V554" s="3">
        <v>19</v>
      </c>
      <c r="W554" s="3">
        <v>0</v>
      </c>
    </row>
    <row r="555" spans="1:23" ht="11.25" customHeight="1" x14ac:dyDescent="0.25">
      <c r="A555" s="3" t="s">
        <v>21</v>
      </c>
      <c r="B555" s="3" t="s">
        <v>41</v>
      </c>
      <c r="C555" s="3" t="s">
        <v>61</v>
      </c>
      <c r="D555" s="3" t="s">
        <v>25</v>
      </c>
      <c r="E555" s="3" t="s">
        <v>25</v>
      </c>
      <c r="F555" s="3" t="s">
        <v>25</v>
      </c>
      <c r="G555" s="3" t="s">
        <v>62</v>
      </c>
      <c r="H555" s="3" t="s">
        <v>25</v>
      </c>
      <c r="I555" s="6">
        <v>44501</v>
      </c>
      <c r="J555" s="4">
        <v>0</v>
      </c>
      <c r="K555" s="4">
        <v>0</v>
      </c>
      <c r="L555" s="4">
        <v>2026.8440000000001</v>
      </c>
      <c r="M555" s="4">
        <v>2026.8440000000001</v>
      </c>
      <c r="N555" s="4">
        <v>0</v>
      </c>
      <c r="O555" s="4">
        <v>0</v>
      </c>
      <c r="P555" s="4">
        <v>0</v>
      </c>
      <c r="Q555" s="3" t="s">
        <v>63</v>
      </c>
      <c r="R555" s="3">
        <v>44</v>
      </c>
      <c r="S555" s="3" t="s">
        <v>296</v>
      </c>
      <c r="U555" s="3">
        <v>0</v>
      </c>
      <c r="V555" s="3">
        <v>16</v>
      </c>
      <c r="W555" s="3">
        <v>0</v>
      </c>
    </row>
    <row r="556" spans="1:23" ht="11.25" customHeight="1" x14ac:dyDescent="0.25">
      <c r="A556" s="3" t="s">
        <v>21</v>
      </c>
      <c r="B556" s="3" t="s">
        <v>41</v>
      </c>
      <c r="C556" s="3" t="s">
        <v>61</v>
      </c>
      <c r="D556" s="3" t="s">
        <v>25</v>
      </c>
      <c r="E556" s="3" t="s">
        <v>25</v>
      </c>
      <c r="F556" s="3" t="s">
        <v>25</v>
      </c>
      <c r="G556" s="3" t="s">
        <v>67</v>
      </c>
      <c r="H556" s="3" t="s">
        <v>25</v>
      </c>
      <c r="I556" s="6">
        <v>44501</v>
      </c>
      <c r="J556" s="4">
        <v>0</v>
      </c>
      <c r="K556" s="4">
        <v>0</v>
      </c>
      <c r="L556" s="4">
        <v>2054.6640000000002</v>
      </c>
      <c r="M556" s="4">
        <v>2054.6640000000002</v>
      </c>
      <c r="N556" s="4">
        <v>0</v>
      </c>
      <c r="O556" s="4">
        <v>0</v>
      </c>
      <c r="P556" s="4">
        <v>0</v>
      </c>
      <c r="Q556" s="3" t="s">
        <v>63</v>
      </c>
      <c r="R556" s="3">
        <v>47</v>
      </c>
      <c r="S556" s="3" t="s">
        <v>297</v>
      </c>
      <c r="U556" s="3">
        <v>0</v>
      </c>
      <c r="V556" s="3">
        <v>19</v>
      </c>
      <c r="W556" s="3">
        <v>0</v>
      </c>
    </row>
    <row r="557" spans="1:23" ht="11.25" customHeight="1" x14ac:dyDescent="0.25">
      <c r="A557" s="3" t="s">
        <v>21</v>
      </c>
      <c r="B557" s="3" t="s">
        <v>41</v>
      </c>
      <c r="C557" s="3" t="s">
        <v>61</v>
      </c>
      <c r="D557" s="3" t="s">
        <v>25</v>
      </c>
      <c r="E557" s="3" t="s">
        <v>25</v>
      </c>
      <c r="F557" s="3" t="s">
        <v>25</v>
      </c>
      <c r="G557" s="3" t="s">
        <v>62</v>
      </c>
      <c r="H557" s="3" t="s">
        <v>25</v>
      </c>
      <c r="I557" s="6">
        <v>44531</v>
      </c>
      <c r="J557" s="4">
        <v>0</v>
      </c>
      <c r="K557" s="4">
        <v>0</v>
      </c>
      <c r="L557" s="4">
        <v>2068.3890000000001</v>
      </c>
      <c r="M557" s="4">
        <v>2068.3890000000001</v>
      </c>
      <c r="N557" s="4">
        <v>0</v>
      </c>
      <c r="O557" s="4">
        <v>0</v>
      </c>
      <c r="P557" s="4">
        <v>0</v>
      </c>
      <c r="Q557" s="3" t="s">
        <v>63</v>
      </c>
      <c r="R557" s="3">
        <v>44</v>
      </c>
      <c r="S557" s="3" t="s">
        <v>298</v>
      </c>
      <c r="U557" s="3">
        <v>0</v>
      </c>
      <c r="V557" s="3">
        <v>16</v>
      </c>
      <c r="W557" s="3">
        <v>0</v>
      </c>
    </row>
    <row r="558" spans="1:23" ht="11.25" customHeight="1" x14ac:dyDescent="0.25">
      <c r="A558" s="3" t="s">
        <v>21</v>
      </c>
      <c r="B558" s="3" t="s">
        <v>41</v>
      </c>
      <c r="C558" s="3" t="s">
        <v>61</v>
      </c>
      <c r="D558" s="3" t="s">
        <v>25</v>
      </c>
      <c r="E558" s="3" t="s">
        <v>25</v>
      </c>
      <c r="F558" s="3" t="s">
        <v>25</v>
      </c>
      <c r="G558" s="3" t="s">
        <v>67</v>
      </c>
      <c r="H558" s="3" t="s">
        <v>25</v>
      </c>
      <c r="I558" s="6">
        <v>44531</v>
      </c>
      <c r="J558" s="4">
        <v>0</v>
      </c>
      <c r="K558" s="4">
        <v>0</v>
      </c>
      <c r="L558" s="4">
        <v>2139.694</v>
      </c>
      <c r="M558" s="4">
        <v>2139.694</v>
      </c>
      <c r="N558" s="4">
        <v>0</v>
      </c>
      <c r="O558" s="4">
        <v>0</v>
      </c>
      <c r="P558" s="4">
        <v>0</v>
      </c>
      <c r="Q558" s="3" t="s">
        <v>63</v>
      </c>
      <c r="R558" s="3">
        <v>47</v>
      </c>
      <c r="S558" s="3" t="s">
        <v>299</v>
      </c>
      <c r="U558" s="3">
        <v>0</v>
      </c>
      <c r="V558" s="3">
        <v>19</v>
      </c>
      <c r="W558" s="3">
        <v>0</v>
      </c>
    </row>
    <row r="559" spans="1:23" ht="11.25" customHeight="1" x14ac:dyDescent="0.25">
      <c r="A559" s="3" t="s">
        <v>21</v>
      </c>
      <c r="B559" s="3" t="s">
        <v>41</v>
      </c>
      <c r="C559" s="3" t="s">
        <v>61</v>
      </c>
      <c r="D559" s="3" t="s">
        <v>25</v>
      </c>
      <c r="E559" s="3" t="s">
        <v>25</v>
      </c>
      <c r="F559" s="3" t="s">
        <v>25</v>
      </c>
      <c r="G559" s="3" t="s">
        <v>62</v>
      </c>
      <c r="H559" s="3" t="s">
        <v>25</v>
      </c>
      <c r="I559" s="6">
        <v>44562</v>
      </c>
      <c r="J559" s="4">
        <v>0</v>
      </c>
      <c r="K559" s="4">
        <v>0</v>
      </c>
      <c r="L559" s="4">
        <v>2052.9780000000001</v>
      </c>
      <c r="M559" s="4">
        <v>2052.9780000000001</v>
      </c>
      <c r="N559" s="4">
        <v>0</v>
      </c>
      <c r="O559" s="4">
        <v>0</v>
      </c>
      <c r="P559" s="4">
        <v>0</v>
      </c>
      <c r="Q559" s="3" t="s">
        <v>63</v>
      </c>
      <c r="R559" s="3">
        <v>44</v>
      </c>
      <c r="S559" s="3" t="s">
        <v>300</v>
      </c>
      <c r="U559" s="3">
        <v>0</v>
      </c>
      <c r="V559" s="3">
        <v>16</v>
      </c>
      <c r="W559" s="3">
        <v>0</v>
      </c>
    </row>
    <row r="560" spans="1:23" ht="11.25" customHeight="1" x14ac:dyDescent="0.25">
      <c r="A560" s="3" t="s">
        <v>21</v>
      </c>
      <c r="B560" s="3" t="s">
        <v>41</v>
      </c>
      <c r="C560" s="3" t="s">
        <v>61</v>
      </c>
      <c r="D560" s="3" t="s">
        <v>25</v>
      </c>
      <c r="E560" s="3" t="s">
        <v>25</v>
      </c>
      <c r="F560" s="3" t="s">
        <v>25</v>
      </c>
      <c r="G560" s="3" t="s">
        <v>67</v>
      </c>
      <c r="H560" s="3" t="s">
        <v>25</v>
      </c>
      <c r="I560" s="6">
        <v>44562</v>
      </c>
      <c r="J560" s="4">
        <v>0</v>
      </c>
      <c r="K560" s="4">
        <v>0</v>
      </c>
      <c r="L560" s="4">
        <v>2035.79</v>
      </c>
      <c r="M560" s="4">
        <v>2035.79</v>
      </c>
      <c r="N560" s="4">
        <v>0</v>
      </c>
      <c r="O560" s="4">
        <v>0</v>
      </c>
      <c r="P560" s="4">
        <v>0</v>
      </c>
      <c r="Q560" s="3" t="s">
        <v>63</v>
      </c>
      <c r="R560" s="3">
        <v>47</v>
      </c>
      <c r="S560" s="3" t="s">
        <v>301</v>
      </c>
      <c r="U560" s="3">
        <v>0</v>
      </c>
      <c r="V560" s="3">
        <v>19</v>
      </c>
      <c r="W560" s="3">
        <v>0</v>
      </c>
    </row>
    <row r="561" spans="1:23" ht="11.25" customHeight="1" x14ac:dyDescent="0.25">
      <c r="A561" s="3" t="s">
        <v>21</v>
      </c>
      <c r="B561" s="3" t="s">
        <v>41</v>
      </c>
      <c r="C561" s="3" t="s">
        <v>61</v>
      </c>
      <c r="D561" s="3" t="s">
        <v>25</v>
      </c>
      <c r="E561" s="3" t="s">
        <v>25</v>
      </c>
      <c r="F561" s="3" t="s">
        <v>25</v>
      </c>
      <c r="G561" s="3" t="s">
        <v>62</v>
      </c>
      <c r="H561" s="3" t="s">
        <v>25</v>
      </c>
      <c r="I561" s="6">
        <v>44593</v>
      </c>
      <c r="J561" s="4">
        <v>0</v>
      </c>
      <c r="K561" s="4">
        <v>0</v>
      </c>
      <c r="L561" s="4">
        <v>2104.1329999999998</v>
      </c>
      <c r="M561" s="4">
        <v>2104.1329999999998</v>
      </c>
      <c r="N561" s="4">
        <v>0</v>
      </c>
      <c r="O561" s="4">
        <v>0</v>
      </c>
      <c r="P561" s="4">
        <v>0</v>
      </c>
      <c r="Q561" s="3" t="s">
        <v>63</v>
      </c>
      <c r="R561" s="3">
        <v>44</v>
      </c>
      <c r="S561" s="3" t="s">
        <v>302</v>
      </c>
      <c r="U561" s="3">
        <v>0</v>
      </c>
      <c r="V561" s="3">
        <v>16</v>
      </c>
      <c r="W561" s="3">
        <v>0</v>
      </c>
    </row>
    <row r="562" spans="1:23" ht="11.25" customHeight="1" x14ac:dyDescent="0.25">
      <c r="A562" s="3" t="s">
        <v>21</v>
      </c>
      <c r="B562" s="3" t="s">
        <v>41</v>
      </c>
      <c r="C562" s="3" t="s">
        <v>61</v>
      </c>
      <c r="D562" s="3" t="s">
        <v>25</v>
      </c>
      <c r="E562" s="3" t="s">
        <v>25</v>
      </c>
      <c r="F562" s="3" t="s">
        <v>25</v>
      </c>
      <c r="G562" s="3" t="s">
        <v>67</v>
      </c>
      <c r="H562" s="3" t="s">
        <v>25</v>
      </c>
      <c r="I562" s="6">
        <v>44593</v>
      </c>
      <c r="J562" s="4">
        <v>0</v>
      </c>
      <c r="K562" s="4">
        <v>0</v>
      </c>
      <c r="L562" s="4">
        <v>2067.6849999999999</v>
      </c>
      <c r="M562" s="4">
        <v>2067.6849999999999</v>
      </c>
      <c r="N562" s="4">
        <v>0</v>
      </c>
      <c r="O562" s="4">
        <v>0</v>
      </c>
      <c r="P562" s="4">
        <v>0</v>
      </c>
      <c r="Q562" s="3" t="s">
        <v>63</v>
      </c>
      <c r="R562" s="3">
        <v>47</v>
      </c>
      <c r="S562" s="3" t="s">
        <v>303</v>
      </c>
      <c r="U562" s="3">
        <v>0</v>
      </c>
      <c r="V562" s="3">
        <v>19</v>
      </c>
      <c r="W562" s="3">
        <v>0</v>
      </c>
    </row>
    <row r="563" spans="1:23" ht="11.25" customHeight="1" x14ac:dyDescent="0.25">
      <c r="A563" s="3" t="s">
        <v>56</v>
      </c>
      <c r="B563" s="3" t="s">
        <v>41</v>
      </c>
      <c r="C563" s="3" t="s">
        <v>61</v>
      </c>
      <c r="D563" s="3" t="s">
        <v>25</v>
      </c>
      <c r="E563" s="3" t="s">
        <v>25</v>
      </c>
      <c r="F563" s="3" t="s">
        <v>25</v>
      </c>
      <c r="G563" s="3" t="s">
        <v>62</v>
      </c>
      <c r="H563" s="3" t="s">
        <v>25</v>
      </c>
      <c r="I563" s="6">
        <v>44621</v>
      </c>
      <c r="J563" s="4">
        <v>0</v>
      </c>
      <c r="K563" s="4">
        <v>0</v>
      </c>
      <c r="L563" s="4">
        <v>2104.1329999999998</v>
      </c>
      <c r="M563" s="4">
        <v>2104.1329999999998</v>
      </c>
      <c r="N563" s="4">
        <v>0</v>
      </c>
      <c r="O563" s="4">
        <v>0</v>
      </c>
      <c r="P563" s="4">
        <v>0</v>
      </c>
      <c r="Q563" s="3" t="s">
        <v>63</v>
      </c>
      <c r="R563" s="3">
        <v>44</v>
      </c>
      <c r="S563" s="3" t="s">
        <v>304</v>
      </c>
      <c r="U563" s="3">
        <v>0</v>
      </c>
      <c r="V563" s="3">
        <v>16</v>
      </c>
      <c r="W563" s="3">
        <v>0</v>
      </c>
    </row>
    <row r="564" spans="1:23" ht="11.25" customHeight="1" x14ac:dyDescent="0.25">
      <c r="A564" s="3" t="s">
        <v>56</v>
      </c>
      <c r="B564" s="3" t="s">
        <v>41</v>
      </c>
      <c r="C564" s="3" t="s">
        <v>61</v>
      </c>
      <c r="D564" s="3" t="s">
        <v>25</v>
      </c>
      <c r="E564" s="3" t="s">
        <v>25</v>
      </c>
      <c r="F564" s="3" t="s">
        <v>25</v>
      </c>
      <c r="G564" s="3" t="s">
        <v>67</v>
      </c>
      <c r="H564" s="3" t="s">
        <v>25</v>
      </c>
      <c r="I564" s="6">
        <v>44621</v>
      </c>
      <c r="J564" s="4">
        <v>0</v>
      </c>
      <c r="K564" s="4">
        <v>0</v>
      </c>
      <c r="L564" s="4">
        <v>2067.6849999999999</v>
      </c>
      <c r="M564" s="4">
        <v>2067.6849999999999</v>
      </c>
      <c r="N564" s="4">
        <v>0</v>
      </c>
      <c r="O564" s="4">
        <v>0</v>
      </c>
      <c r="P564" s="4">
        <v>0</v>
      </c>
      <c r="Q564" s="3" t="s">
        <v>63</v>
      </c>
      <c r="R564" s="3">
        <v>47</v>
      </c>
      <c r="S564" s="3" t="s">
        <v>305</v>
      </c>
      <c r="U564" s="3">
        <v>0</v>
      </c>
      <c r="V564" s="3">
        <v>19</v>
      </c>
      <c r="W564" s="3">
        <v>0</v>
      </c>
    </row>
    <row r="565" spans="1:23" ht="11.25" customHeight="1" x14ac:dyDescent="0.25">
      <c r="A565" s="3" t="s">
        <v>21</v>
      </c>
      <c r="B565" s="3" t="s">
        <v>41</v>
      </c>
      <c r="C565" s="3" t="s">
        <v>61</v>
      </c>
      <c r="D565" s="3" t="s">
        <v>25</v>
      </c>
      <c r="E565" s="3" t="s">
        <v>25</v>
      </c>
      <c r="F565" s="3" t="s">
        <v>25</v>
      </c>
      <c r="G565" s="3" t="s">
        <v>62</v>
      </c>
      <c r="H565" s="3" t="s">
        <v>34</v>
      </c>
      <c r="I565" s="6">
        <v>44287</v>
      </c>
      <c r="J565" s="4">
        <v>4469</v>
      </c>
      <c r="K565" s="4">
        <v>4469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3" t="s">
        <v>63</v>
      </c>
      <c r="R565" s="3">
        <v>44</v>
      </c>
      <c r="S565" s="3" t="s">
        <v>306</v>
      </c>
      <c r="U565" s="3">
        <v>105</v>
      </c>
      <c r="V565" s="3">
        <v>0</v>
      </c>
      <c r="W565" s="3">
        <v>0</v>
      </c>
    </row>
    <row r="566" spans="1:23" ht="11.25" customHeight="1" x14ac:dyDescent="0.25">
      <c r="A566" s="3" t="s">
        <v>21</v>
      </c>
      <c r="B566" s="3" t="s">
        <v>41</v>
      </c>
      <c r="C566" s="3" t="s">
        <v>61</v>
      </c>
      <c r="D566" s="3" t="s">
        <v>25</v>
      </c>
      <c r="E566" s="3" t="s">
        <v>25</v>
      </c>
      <c r="F566" s="3" t="s">
        <v>25</v>
      </c>
      <c r="G566" s="3" t="s">
        <v>67</v>
      </c>
      <c r="H566" s="3" t="s">
        <v>34</v>
      </c>
      <c r="I566" s="6">
        <v>44287</v>
      </c>
      <c r="J566" s="4">
        <v>6417</v>
      </c>
      <c r="K566" s="4">
        <v>6417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3" t="s">
        <v>63</v>
      </c>
      <c r="R566" s="3">
        <v>47</v>
      </c>
      <c r="S566" s="3" t="s">
        <v>307</v>
      </c>
      <c r="U566" s="3">
        <v>17</v>
      </c>
      <c r="V566" s="3">
        <v>0</v>
      </c>
      <c r="W566" s="3">
        <v>0</v>
      </c>
    </row>
    <row r="567" spans="1:23" ht="11.25" customHeight="1" x14ac:dyDescent="0.25">
      <c r="A567" s="3" t="s">
        <v>21</v>
      </c>
      <c r="B567" s="3" t="s">
        <v>41</v>
      </c>
      <c r="C567" s="3" t="s">
        <v>61</v>
      </c>
      <c r="D567" s="3" t="s">
        <v>25</v>
      </c>
      <c r="E567" s="3" t="s">
        <v>25</v>
      </c>
      <c r="F567" s="3" t="s">
        <v>25</v>
      </c>
      <c r="G567" s="3" t="s">
        <v>62</v>
      </c>
      <c r="H567" s="3" t="s">
        <v>34</v>
      </c>
      <c r="I567" s="6">
        <v>44317</v>
      </c>
      <c r="J567" s="4">
        <v>4469</v>
      </c>
      <c r="K567" s="4">
        <v>4469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3" t="s">
        <v>63</v>
      </c>
      <c r="R567" s="3">
        <v>44</v>
      </c>
      <c r="S567" s="3" t="s">
        <v>308</v>
      </c>
      <c r="U567" s="3">
        <v>105</v>
      </c>
      <c r="V567" s="3">
        <v>0</v>
      </c>
      <c r="W567" s="3">
        <v>0</v>
      </c>
    </row>
    <row r="568" spans="1:23" ht="11.25" customHeight="1" x14ac:dyDescent="0.25">
      <c r="A568" s="3" t="s">
        <v>21</v>
      </c>
      <c r="B568" s="3" t="s">
        <v>41</v>
      </c>
      <c r="C568" s="3" t="s">
        <v>61</v>
      </c>
      <c r="D568" s="3" t="s">
        <v>25</v>
      </c>
      <c r="E568" s="3" t="s">
        <v>25</v>
      </c>
      <c r="F568" s="3" t="s">
        <v>25</v>
      </c>
      <c r="G568" s="3" t="s">
        <v>67</v>
      </c>
      <c r="H568" s="3" t="s">
        <v>34</v>
      </c>
      <c r="I568" s="6">
        <v>44317</v>
      </c>
      <c r="J568" s="4">
        <v>6412</v>
      </c>
      <c r="K568" s="4">
        <v>6412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3" t="s">
        <v>63</v>
      </c>
      <c r="R568" s="3">
        <v>47</v>
      </c>
      <c r="S568" s="3" t="s">
        <v>309</v>
      </c>
      <c r="U568" s="3">
        <v>17</v>
      </c>
      <c r="V568" s="3">
        <v>0</v>
      </c>
      <c r="W568" s="3">
        <v>0</v>
      </c>
    </row>
    <row r="569" spans="1:23" ht="11.25" customHeight="1" x14ac:dyDescent="0.25">
      <c r="A569" s="3" t="s">
        <v>21</v>
      </c>
      <c r="B569" s="3" t="s">
        <v>41</v>
      </c>
      <c r="C569" s="3" t="s">
        <v>61</v>
      </c>
      <c r="D569" s="3" t="s">
        <v>25</v>
      </c>
      <c r="E569" s="3" t="s">
        <v>25</v>
      </c>
      <c r="F569" s="3" t="s">
        <v>25</v>
      </c>
      <c r="G569" s="3" t="s">
        <v>62</v>
      </c>
      <c r="H569" s="3" t="s">
        <v>34</v>
      </c>
      <c r="I569" s="6">
        <v>44348</v>
      </c>
      <c r="J569" s="4">
        <v>4469</v>
      </c>
      <c r="K569" s="4">
        <v>4469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3" t="s">
        <v>63</v>
      </c>
      <c r="R569" s="3">
        <v>44</v>
      </c>
      <c r="S569" s="3" t="s">
        <v>310</v>
      </c>
      <c r="U569" s="3">
        <v>105</v>
      </c>
      <c r="V569" s="3">
        <v>0</v>
      </c>
      <c r="W569" s="3">
        <v>0</v>
      </c>
    </row>
    <row r="570" spans="1:23" ht="11.25" customHeight="1" x14ac:dyDescent="0.25">
      <c r="A570" s="3" t="s">
        <v>21</v>
      </c>
      <c r="B570" s="3" t="s">
        <v>41</v>
      </c>
      <c r="C570" s="3" t="s">
        <v>61</v>
      </c>
      <c r="D570" s="3" t="s">
        <v>25</v>
      </c>
      <c r="E570" s="3" t="s">
        <v>25</v>
      </c>
      <c r="F570" s="3" t="s">
        <v>25</v>
      </c>
      <c r="G570" s="3" t="s">
        <v>67</v>
      </c>
      <c r="H570" s="3" t="s">
        <v>34</v>
      </c>
      <c r="I570" s="6">
        <v>44348</v>
      </c>
      <c r="J570" s="4">
        <v>6412</v>
      </c>
      <c r="K570" s="4">
        <v>6412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3" t="s">
        <v>63</v>
      </c>
      <c r="R570" s="3">
        <v>47</v>
      </c>
      <c r="S570" s="3" t="s">
        <v>311</v>
      </c>
      <c r="U570" s="3">
        <v>17</v>
      </c>
      <c r="V570" s="3">
        <v>0</v>
      </c>
      <c r="W570" s="3">
        <v>0</v>
      </c>
    </row>
    <row r="571" spans="1:23" ht="11.25" customHeight="1" x14ac:dyDescent="0.25">
      <c r="A571" s="3" t="s">
        <v>21</v>
      </c>
      <c r="B571" s="3" t="s">
        <v>41</v>
      </c>
      <c r="C571" s="3" t="s">
        <v>61</v>
      </c>
      <c r="D571" s="3" t="s">
        <v>25</v>
      </c>
      <c r="E571" s="3" t="s">
        <v>25</v>
      </c>
      <c r="F571" s="3" t="s">
        <v>25</v>
      </c>
      <c r="G571" s="3" t="s">
        <v>62</v>
      </c>
      <c r="H571" s="3" t="s">
        <v>34</v>
      </c>
      <c r="I571" s="6">
        <v>44378</v>
      </c>
      <c r="J571" s="4">
        <v>4469</v>
      </c>
      <c r="K571" s="4">
        <v>4469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3" t="s">
        <v>63</v>
      </c>
      <c r="R571" s="3">
        <v>44</v>
      </c>
      <c r="S571" s="3" t="s">
        <v>312</v>
      </c>
      <c r="U571" s="3">
        <v>105</v>
      </c>
      <c r="V571" s="3">
        <v>0</v>
      </c>
      <c r="W571" s="3">
        <v>0</v>
      </c>
    </row>
    <row r="572" spans="1:23" ht="11.25" customHeight="1" x14ac:dyDescent="0.25">
      <c r="A572" s="3" t="s">
        <v>21</v>
      </c>
      <c r="B572" s="3" t="s">
        <v>41</v>
      </c>
      <c r="C572" s="3" t="s">
        <v>61</v>
      </c>
      <c r="D572" s="3" t="s">
        <v>25</v>
      </c>
      <c r="E572" s="3" t="s">
        <v>25</v>
      </c>
      <c r="F572" s="3" t="s">
        <v>25</v>
      </c>
      <c r="G572" s="3" t="s">
        <v>67</v>
      </c>
      <c r="H572" s="3" t="s">
        <v>34</v>
      </c>
      <c r="I572" s="6">
        <v>44378</v>
      </c>
      <c r="J572" s="4">
        <v>6412</v>
      </c>
      <c r="K572" s="4">
        <v>6412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3" t="s">
        <v>63</v>
      </c>
      <c r="R572" s="3">
        <v>47</v>
      </c>
      <c r="S572" s="3" t="s">
        <v>313</v>
      </c>
      <c r="U572" s="3">
        <v>17</v>
      </c>
      <c r="V572" s="3">
        <v>0</v>
      </c>
      <c r="W572" s="3">
        <v>0</v>
      </c>
    </row>
    <row r="573" spans="1:23" ht="11.25" customHeight="1" x14ac:dyDescent="0.25">
      <c r="A573" s="3" t="s">
        <v>21</v>
      </c>
      <c r="B573" s="3" t="s">
        <v>41</v>
      </c>
      <c r="C573" s="3" t="s">
        <v>61</v>
      </c>
      <c r="D573" s="3" t="s">
        <v>25</v>
      </c>
      <c r="E573" s="3" t="s">
        <v>25</v>
      </c>
      <c r="F573" s="3" t="s">
        <v>25</v>
      </c>
      <c r="G573" s="3" t="s">
        <v>62</v>
      </c>
      <c r="H573" s="3" t="s">
        <v>34</v>
      </c>
      <c r="I573" s="6">
        <v>44409</v>
      </c>
      <c r="J573" s="4">
        <v>4469</v>
      </c>
      <c r="K573" s="4">
        <v>4469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3" t="s">
        <v>63</v>
      </c>
      <c r="R573" s="3">
        <v>44</v>
      </c>
      <c r="S573" s="3" t="s">
        <v>314</v>
      </c>
      <c r="U573" s="3">
        <v>105</v>
      </c>
      <c r="V573" s="3">
        <v>0</v>
      </c>
      <c r="W573" s="3">
        <v>0</v>
      </c>
    </row>
    <row r="574" spans="1:23" ht="11.25" customHeight="1" x14ac:dyDescent="0.25">
      <c r="A574" s="3" t="s">
        <v>21</v>
      </c>
      <c r="B574" s="3" t="s">
        <v>41</v>
      </c>
      <c r="C574" s="3" t="s">
        <v>61</v>
      </c>
      <c r="D574" s="3" t="s">
        <v>25</v>
      </c>
      <c r="E574" s="3" t="s">
        <v>25</v>
      </c>
      <c r="F574" s="3" t="s">
        <v>25</v>
      </c>
      <c r="G574" s="3" t="s">
        <v>67</v>
      </c>
      <c r="H574" s="3" t="s">
        <v>34</v>
      </c>
      <c r="I574" s="6">
        <v>44409</v>
      </c>
      <c r="J574" s="4">
        <v>6412</v>
      </c>
      <c r="K574" s="4">
        <v>6412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3" t="s">
        <v>63</v>
      </c>
      <c r="R574" s="3">
        <v>47</v>
      </c>
      <c r="S574" s="3" t="s">
        <v>315</v>
      </c>
      <c r="U574" s="3">
        <v>17</v>
      </c>
      <c r="V574" s="3">
        <v>0</v>
      </c>
      <c r="W574" s="3">
        <v>0</v>
      </c>
    </row>
    <row r="575" spans="1:23" ht="11.25" customHeight="1" x14ac:dyDescent="0.25">
      <c r="A575" s="3" t="s">
        <v>21</v>
      </c>
      <c r="B575" s="3" t="s">
        <v>41</v>
      </c>
      <c r="C575" s="3" t="s">
        <v>61</v>
      </c>
      <c r="D575" s="3" t="s">
        <v>25</v>
      </c>
      <c r="E575" s="3" t="s">
        <v>25</v>
      </c>
      <c r="F575" s="3" t="s">
        <v>25</v>
      </c>
      <c r="G575" s="3" t="s">
        <v>62</v>
      </c>
      <c r="H575" s="3" t="s">
        <v>34</v>
      </c>
      <c r="I575" s="6">
        <v>44440</v>
      </c>
      <c r="J575" s="4">
        <v>4469</v>
      </c>
      <c r="K575" s="4">
        <v>4469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3" t="s">
        <v>63</v>
      </c>
      <c r="R575" s="3">
        <v>44</v>
      </c>
      <c r="S575" s="3" t="s">
        <v>316</v>
      </c>
      <c r="U575" s="3">
        <v>105</v>
      </c>
      <c r="V575" s="3">
        <v>0</v>
      </c>
      <c r="W575" s="3">
        <v>0</v>
      </c>
    </row>
    <row r="576" spans="1:23" ht="11.25" customHeight="1" x14ac:dyDescent="0.25">
      <c r="A576" s="3" t="s">
        <v>21</v>
      </c>
      <c r="B576" s="3" t="s">
        <v>41</v>
      </c>
      <c r="C576" s="3" t="s">
        <v>61</v>
      </c>
      <c r="D576" s="3" t="s">
        <v>25</v>
      </c>
      <c r="E576" s="3" t="s">
        <v>25</v>
      </c>
      <c r="F576" s="3" t="s">
        <v>25</v>
      </c>
      <c r="G576" s="3" t="s">
        <v>67</v>
      </c>
      <c r="H576" s="3" t="s">
        <v>34</v>
      </c>
      <c r="I576" s="6">
        <v>44440</v>
      </c>
      <c r="J576" s="4">
        <v>6422</v>
      </c>
      <c r="K576" s="4">
        <v>6422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3" t="s">
        <v>63</v>
      </c>
      <c r="R576" s="3">
        <v>47</v>
      </c>
      <c r="S576" s="3" t="s">
        <v>317</v>
      </c>
      <c r="U576" s="3">
        <v>17</v>
      </c>
      <c r="V576" s="3">
        <v>0</v>
      </c>
      <c r="W576" s="3">
        <v>0</v>
      </c>
    </row>
    <row r="577" spans="1:23" ht="11.25" customHeight="1" x14ac:dyDescent="0.25">
      <c r="A577" s="3" t="s">
        <v>21</v>
      </c>
      <c r="B577" s="3" t="s">
        <v>41</v>
      </c>
      <c r="C577" s="3" t="s">
        <v>61</v>
      </c>
      <c r="D577" s="3" t="s">
        <v>25</v>
      </c>
      <c r="E577" s="3" t="s">
        <v>25</v>
      </c>
      <c r="F577" s="3" t="s">
        <v>25</v>
      </c>
      <c r="G577" s="3" t="s">
        <v>62</v>
      </c>
      <c r="H577" s="3" t="s">
        <v>34</v>
      </c>
      <c r="I577" s="6">
        <v>44470</v>
      </c>
      <c r="J577" s="4">
        <v>4469</v>
      </c>
      <c r="K577" s="4">
        <v>4469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3" t="s">
        <v>63</v>
      </c>
      <c r="R577" s="3">
        <v>44</v>
      </c>
      <c r="S577" s="3" t="s">
        <v>318</v>
      </c>
      <c r="U577" s="3">
        <v>105</v>
      </c>
      <c r="V577" s="3">
        <v>0</v>
      </c>
      <c r="W577" s="3">
        <v>0</v>
      </c>
    </row>
    <row r="578" spans="1:23" ht="11.25" customHeight="1" x14ac:dyDescent="0.25">
      <c r="A578" s="3" t="s">
        <v>21</v>
      </c>
      <c r="B578" s="3" t="s">
        <v>41</v>
      </c>
      <c r="C578" s="3" t="s">
        <v>61</v>
      </c>
      <c r="D578" s="3" t="s">
        <v>25</v>
      </c>
      <c r="E578" s="3" t="s">
        <v>25</v>
      </c>
      <c r="F578" s="3" t="s">
        <v>25</v>
      </c>
      <c r="G578" s="3" t="s">
        <v>67</v>
      </c>
      <c r="H578" s="3" t="s">
        <v>34</v>
      </c>
      <c r="I578" s="6">
        <v>44470</v>
      </c>
      <c r="J578" s="4">
        <v>6427</v>
      </c>
      <c r="K578" s="4">
        <v>6427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3" t="s">
        <v>63</v>
      </c>
      <c r="R578" s="3">
        <v>47</v>
      </c>
      <c r="S578" s="3" t="s">
        <v>319</v>
      </c>
      <c r="U578" s="3">
        <v>17</v>
      </c>
      <c r="V578" s="3">
        <v>0</v>
      </c>
      <c r="W578" s="3">
        <v>0</v>
      </c>
    </row>
    <row r="579" spans="1:23" ht="11.25" customHeight="1" x14ac:dyDescent="0.25">
      <c r="A579" s="3" t="s">
        <v>21</v>
      </c>
      <c r="B579" s="3" t="s">
        <v>41</v>
      </c>
      <c r="C579" s="3" t="s">
        <v>61</v>
      </c>
      <c r="D579" s="3" t="s">
        <v>25</v>
      </c>
      <c r="E579" s="3" t="s">
        <v>25</v>
      </c>
      <c r="F579" s="3" t="s">
        <v>25</v>
      </c>
      <c r="G579" s="3" t="s">
        <v>62</v>
      </c>
      <c r="H579" s="3" t="s">
        <v>34</v>
      </c>
      <c r="I579" s="6">
        <v>44501</v>
      </c>
      <c r="J579" s="4">
        <v>4469</v>
      </c>
      <c r="K579" s="4">
        <v>4469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3" t="s">
        <v>63</v>
      </c>
      <c r="R579" s="3">
        <v>44</v>
      </c>
      <c r="S579" s="3" t="s">
        <v>320</v>
      </c>
      <c r="U579" s="3">
        <v>105</v>
      </c>
      <c r="V579" s="3">
        <v>0</v>
      </c>
      <c r="W579" s="3">
        <v>0</v>
      </c>
    </row>
    <row r="580" spans="1:23" ht="11.25" customHeight="1" x14ac:dyDescent="0.25">
      <c r="A580" s="3" t="s">
        <v>21</v>
      </c>
      <c r="B580" s="3" t="s">
        <v>41</v>
      </c>
      <c r="C580" s="3" t="s">
        <v>61</v>
      </c>
      <c r="D580" s="3" t="s">
        <v>25</v>
      </c>
      <c r="E580" s="3" t="s">
        <v>25</v>
      </c>
      <c r="F580" s="3" t="s">
        <v>25</v>
      </c>
      <c r="G580" s="3" t="s">
        <v>67</v>
      </c>
      <c r="H580" s="3" t="s">
        <v>34</v>
      </c>
      <c r="I580" s="6">
        <v>44501</v>
      </c>
      <c r="J580" s="4">
        <v>6427</v>
      </c>
      <c r="K580" s="4">
        <v>6427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3" t="s">
        <v>63</v>
      </c>
      <c r="R580" s="3">
        <v>47</v>
      </c>
      <c r="S580" s="3" t="s">
        <v>321</v>
      </c>
      <c r="U580" s="3">
        <v>17</v>
      </c>
      <c r="V580" s="3">
        <v>0</v>
      </c>
      <c r="W580" s="3">
        <v>0</v>
      </c>
    </row>
    <row r="581" spans="1:23" ht="11.25" customHeight="1" x14ac:dyDescent="0.25">
      <c r="A581" s="3" t="s">
        <v>21</v>
      </c>
      <c r="B581" s="3" t="s">
        <v>41</v>
      </c>
      <c r="C581" s="3" t="s">
        <v>61</v>
      </c>
      <c r="D581" s="3" t="s">
        <v>25</v>
      </c>
      <c r="E581" s="3" t="s">
        <v>25</v>
      </c>
      <c r="F581" s="3" t="s">
        <v>25</v>
      </c>
      <c r="G581" s="3" t="s">
        <v>62</v>
      </c>
      <c r="H581" s="3" t="s">
        <v>34</v>
      </c>
      <c r="I581" s="6">
        <v>44531</v>
      </c>
      <c r="J581" s="4">
        <v>4469</v>
      </c>
      <c r="K581" s="4">
        <v>4469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3" t="s">
        <v>63</v>
      </c>
      <c r="R581" s="3">
        <v>44</v>
      </c>
      <c r="S581" s="3" t="s">
        <v>322</v>
      </c>
      <c r="U581" s="3">
        <v>105</v>
      </c>
      <c r="V581" s="3">
        <v>0</v>
      </c>
      <c r="W581" s="3">
        <v>0</v>
      </c>
    </row>
    <row r="582" spans="1:23" ht="11.25" customHeight="1" x14ac:dyDescent="0.25">
      <c r="A582" s="3" t="s">
        <v>21</v>
      </c>
      <c r="B582" s="3" t="s">
        <v>41</v>
      </c>
      <c r="C582" s="3" t="s">
        <v>61</v>
      </c>
      <c r="D582" s="3" t="s">
        <v>25</v>
      </c>
      <c r="E582" s="3" t="s">
        <v>25</v>
      </c>
      <c r="F582" s="3" t="s">
        <v>25</v>
      </c>
      <c r="G582" s="3" t="s">
        <v>67</v>
      </c>
      <c r="H582" s="3" t="s">
        <v>34</v>
      </c>
      <c r="I582" s="6">
        <v>44531</v>
      </c>
      <c r="J582" s="4">
        <v>6896</v>
      </c>
      <c r="K582" s="4">
        <v>6896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 t="s">
        <v>63</v>
      </c>
      <c r="R582" s="3">
        <v>47</v>
      </c>
      <c r="S582" s="3" t="s">
        <v>323</v>
      </c>
      <c r="U582" s="3">
        <v>17</v>
      </c>
      <c r="V582" s="3">
        <v>0</v>
      </c>
      <c r="W582" s="3">
        <v>0</v>
      </c>
    </row>
    <row r="583" spans="1:23" ht="11.25" customHeight="1" x14ac:dyDescent="0.25">
      <c r="A583" s="3" t="s">
        <v>21</v>
      </c>
      <c r="B583" s="3" t="s">
        <v>41</v>
      </c>
      <c r="C583" s="3" t="s">
        <v>61</v>
      </c>
      <c r="D583" s="3" t="s">
        <v>25</v>
      </c>
      <c r="E583" s="3" t="s">
        <v>25</v>
      </c>
      <c r="F583" s="3" t="s">
        <v>25</v>
      </c>
      <c r="G583" s="3" t="s">
        <v>62</v>
      </c>
      <c r="H583" s="3" t="s">
        <v>34</v>
      </c>
      <c r="I583" s="6">
        <v>44562</v>
      </c>
      <c r="J583" s="4">
        <v>4469</v>
      </c>
      <c r="K583" s="4">
        <v>4469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 t="s">
        <v>63</v>
      </c>
      <c r="R583" s="3">
        <v>44</v>
      </c>
      <c r="S583" s="3" t="s">
        <v>324</v>
      </c>
      <c r="U583" s="3">
        <v>105</v>
      </c>
      <c r="V583" s="3">
        <v>0</v>
      </c>
      <c r="W583" s="3">
        <v>0</v>
      </c>
    </row>
    <row r="584" spans="1:23" ht="11.25" customHeight="1" x14ac:dyDescent="0.25">
      <c r="A584" s="3" t="s">
        <v>21</v>
      </c>
      <c r="B584" s="3" t="s">
        <v>41</v>
      </c>
      <c r="C584" s="3" t="s">
        <v>61</v>
      </c>
      <c r="D584" s="3" t="s">
        <v>25</v>
      </c>
      <c r="E584" s="3" t="s">
        <v>25</v>
      </c>
      <c r="F584" s="3" t="s">
        <v>25</v>
      </c>
      <c r="G584" s="3" t="s">
        <v>67</v>
      </c>
      <c r="H584" s="3" t="s">
        <v>34</v>
      </c>
      <c r="I584" s="6">
        <v>44562</v>
      </c>
      <c r="J584" s="4">
        <v>6412</v>
      </c>
      <c r="K584" s="4">
        <v>6412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3" t="s">
        <v>63</v>
      </c>
      <c r="R584" s="3">
        <v>47</v>
      </c>
      <c r="S584" s="3" t="s">
        <v>325</v>
      </c>
      <c r="U584" s="3">
        <v>17</v>
      </c>
      <c r="V584" s="3">
        <v>0</v>
      </c>
      <c r="W584" s="3">
        <v>0</v>
      </c>
    </row>
    <row r="585" spans="1:23" ht="11.25" customHeight="1" x14ac:dyDescent="0.25">
      <c r="A585" s="3" t="s">
        <v>21</v>
      </c>
      <c r="B585" s="3" t="s">
        <v>41</v>
      </c>
      <c r="C585" s="3" t="s">
        <v>61</v>
      </c>
      <c r="D585" s="3" t="s">
        <v>25</v>
      </c>
      <c r="E585" s="3" t="s">
        <v>25</v>
      </c>
      <c r="F585" s="3" t="s">
        <v>25</v>
      </c>
      <c r="G585" s="3" t="s">
        <v>62</v>
      </c>
      <c r="H585" s="3" t="s">
        <v>34</v>
      </c>
      <c r="I585" s="6">
        <v>44593</v>
      </c>
      <c r="J585" s="4">
        <v>4469</v>
      </c>
      <c r="K585" s="4">
        <v>4469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3" t="s">
        <v>63</v>
      </c>
      <c r="R585" s="3">
        <v>44</v>
      </c>
      <c r="S585" s="3" t="s">
        <v>326</v>
      </c>
      <c r="U585" s="3">
        <v>105</v>
      </c>
      <c r="V585" s="3">
        <v>0</v>
      </c>
      <c r="W585" s="3">
        <v>0</v>
      </c>
    </row>
    <row r="586" spans="1:23" ht="11.25" customHeight="1" x14ac:dyDescent="0.25">
      <c r="A586" s="3" t="s">
        <v>21</v>
      </c>
      <c r="B586" s="3" t="s">
        <v>41</v>
      </c>
      <c r="C586" s="3" t="s">
        <v>61</v>
      </c>
      <c r="D586" s="3" t="s">
        <v>25</v>
      </c>
      <c r="E586" s="3" t="s">
        <v>25</v>
      </c>
      <c r="F586" s="3" t="s">
        <v>25</v>
      </c>
      <c r="G586" s="3" t="s">
        <v>67</v>
      </c>
      <c r="H586" s="3" t="s">
        <v>34</v>
      </c>
      <c r="I586" s="6">
        <v>44593</v>
      </c>
      <c r="J586" s="4">
        <v>6412</v>
      </c>
      <c r="K586" s="4">
        <v>6412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3" t="s">
        <v>63</v>
      </c>
      <c r="R586" s="3">
        <v>47</v>
      </c>
      <c r="S586" s="3" t="s">
        <v>327</v>
      </c>
      <c r="U586" s="3">
        <v>17</v>
      </c>
      <c r="V586" s="3">
        <v>0</v>
      </c>
      <c r="W586" s="3">
        <v>0</v>
      </c>
    </row>
    <row r="587" spans="1:23" ht="11.25" customHeight="1" x14ac:dyDescent="0.25">
      <c r="A587" s="3" t="s">
        <v>56</v>
      </c>
      <c r="B587" s="3" t="s">
        <v>41</v>
      </c>
      <c r="C587" s="3" t="s">
        <v>61</v>
      </c>
      <c r="D587" s="3" t="s">
        <v>25</v>
      </c>
      <c r="E587" s="3" t="s">
        <v>25</v>
      </c>
      <c r="F587" s="3" t="s">
        <v>25</v>
      </c>
      <c r="G587" s="3" t="s">
        <v>62</v>
      </c>
      <c r="H587" s="3" t="s">
        <v>34</v>
      </c>
      <c r="I587" s="6">
        <v>44621</v>
      </c>
      <c r="J587" s="4">
        <v>4469</v>
      </c>
      <c r="K587" s="4">
        <v>4469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3" t="s">
        <v>63</v>
      </c>
      <c r="R587" s="3">
        <v>44</v>
      </c>
      <c r="S587" s="3" t="s">
        <v>328</v>
      </c>
      <c r="U587" s="3">
        <v>105</v>
      </c>
      <c r="V587" s="3">
        <v>0</v>
      </c>
      <c r="W587" s="3">
        <v>0</v>
      </c>
    </row>
    <row r="588" spans="1:23" ht="11.25" customHeight="1" x14ac:dyDescent="0.25">
      <c r="A588" s="3" t="s">
        <v>56</v>
      </c>
      <c r="B588" s="3" t="s">
        <v>41</v>
      </c>
      <c r="C588" s="3" t="s">
        <v>61</v>
      </c>
      <c r="D588" s="3" t="s">
        <v>25</v>
      </c>
      <c r="E588" s="3" t="s">
        <v>25</v>
      </c>
      <c r="F588" s="3" t="s">
        <v>25</v>
      </c>
      <c r="G588" s="3" t="s">
        <v>67</v>
      </c>
      <c r="H588" s="3" t="s">
        <v>34</v>
      </c>
      <c r="I588" s="6">
        <v>44621</v>
      </c>
      <c r="J588" s="4">
        <v>6412</v>
      </c>
      <c r="K588" s="4">
        <v>6412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3" t="s">
        <v>63</v>
      </c>
      <c r="R588" s="3">
        <v>47</v>
      </c>
      <c r="S588" s="3" t="s">
        <v>329</v>
      </c>
      <c r="U588" s="3">
        <v>17</v>
      </c>
      <c r="V588" s="3">
        <v>0</v>
      </c>
      <c r="W588" s="3">
        <v>0</v>
      </c>
    </row>
    <row r="589" spans="1:23" ht="11.25" customHeight="1" x14ac:dyDescent="0.25">
      <c r="A589" s="3" t="s">
        <v>21</v>
      </c>
      <c r="B589" s="3" t="s">
        <v>41</v>
      </c>
      <c r="C589" s="3" t="s">
        <v>69</v>
      </c>
      <c r="D589" s="3" t="s">
        <v>25</v>
      </c>
      <c r="E589" s="3" t="s">
        <v>25</v>
      </c>
      <c r="F589" s="3" t="s">
        <v>70</v>
      </c>
      <c r="G589" s="3" t="s">
        <v>76</v>
      </c>
      <c r="H589" s="3" t="s">
        <v>25</v>
      </c>
      <c r="I589" s="6">
        <v>44287</v>
      </c>
      <c r="J589" s="4">
        <v>2196</v>
      </c>
      <c r="K589" s="4">
        <v>1098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3" t="s">
        <v>72</v>
      </c>
      <c r="R589" s="3">
        <v>30677</v>
      </c>
      <c r="S589" s="3" t="s">
        <v>330</v>
      </c>
      <c r="U589" s="3">
        <v>43</v>
      </c>
      <c r="V589" s="3">
        <v>0</v>
      </c>
      <c r="W589" s="3">
        <v>0</v>
      </c>
    </row>
    <row r="590" spans="1:23" ht="11.25" customHeight="1" x14ac:dyDescent="0.25">
      <c r="A590" s="3" t="s">
        <v>21</v>
      </c>
      <c r="B590" s="3" t="s">
        <v>41</v>
      </c>
      <c r="C590" s="3" t="s">
        <v>69</v>
      </c>
      <c r="D590" s="3" t="s">
        <v>25</v>
      </c>
      <c r="E590" s="3" t="s">
        <v>25</v>
      </c>
      <c r="F590" s="3" t="s">
        <v>70</v>
      </c>
      <c r="G590" s="3" t="s">
        <v>76</v>
      </c>
      <c r="H590" s="3" t="s">
        <v>25</v>
      </c>
      <c r="I590" s="6">
        <v>44317</v>
      </c>
      <c r="J590" s="4">
        <v>2252</v>
      </c>
      <c r="K590" s="4">
        <v>1126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3" t="s">
        <v>72</v>
      </c>
      <c r="R590" s="3">
        <v>30677</v>
      </c>
      <c r="S590" s="3" t="s">
        <v>331</v>
      </c>
      <c r="U590" s="3">
        <v>43</v>
      </c>
      <c r="V590" s="3">
        <v>0</v>
      </c>
      <c r="W590" s="3">
        <v>0</v>
      </c>
    </row>
    <row r="591" spans="1:23" ht="11.25" customHeight="1" x14ac:dyDescent="0.25">
      <c r="A591" s="3" t="s">
        <v>21</v>
      </c>
      <c r="B591" s="3" t="s">
        <v>41</v>
      </c>
      <c r="C591" s="3" t="s">
        <v>69</v>
      </c>
      <c r="D591" s="3" t="s">
        <v>25</v>
      </c>
      <c r="E591" s="3" t="s">
        <v>25</v>
      </c>
      <c r="F591" s="3" t="s">
        <v>70</v>
      </c>
      <c r="G591" s="3" t="s">
        <v>76</v>
      </c>
      <c r="H591" s="3" t="s">
        <v>25</v>
      </c>
      <c r="I591" s="6">
        <v>44348</v>
      </c>
      <c r="J591" s="4">
        <v>1000</v>
      </c>
      <c r="K591" s="4">
        <v>500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 t="s">
        <v>72</v>
      </c>
      <c r="R591" s="3">
        <v>30677</v>
      </c>
      <c r="S591" s="3" t="s">
        <v>332</v>
      </c>
      <c r="U591" s="3">
        <v>43</v>
      </c>
      <c r="V591" s="3">
        <v>0</v>
      </c>
      <c r="W591" s="3">
        <v>0</v>
      </c>
    </row>
    <row r="592" spans="1:23" ht="11.25" customHeight="1" x14ac:dyDescent="0.25">
      <c r="A592" s="3" t="s">
        <v>21</v>
      </c>
      <c r="B592" s="3" t="s">
        <v>41</v>
      </c>
      <c r="C592" s="3" t="s">
        <v>69</v>
      </c>
      <c r="D592" s="3" t="s">
        <v>25</v>
      </c>
      <c r="E592" s="3" t="s">
        <v>25</v>
      </c>
      <c r="F592" s="3" t="s">
        <v>70</v>
      </c>
      <c r="G592" s="3" t="s">
        <v>76</v>
      </c>
      <c r="H592" s="3" t="s">
        <v>25</v>
      </c>
      <c r="I592" s="6">
        <v>44378</v>
      </c>
      <c r="J592" s="4">
        <v>1000</v>
      </c>
      <c r="K592" s="4">
        <v>500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3" t="s">
        <v>72</v>
      </c>
      <c r="R592" s="3">
        <v>30677</v>
      </c>
      <c r="S592" s="3" t="s">
        <v>333</v>
      </c>
      <c r="U592" s="3">
        <v>43</v>
      </c>
      <c r="V592" s="3">
        <v>0</v>
      </c>
      <c r="W592" s="3">
        <v>0</v>
      </c>
    </row>
    <row r="593" spans="1:23" ht="11.25" customHeight="1" x14ac:dyDescent="0.25">
      <c r="A593" s="3" t="s">
        <v>21</v>
      </c>
      <c r="B593" s="3" t="s">
        <v>41</v>
      </c>
      <c r="C593" s="3" t="s">
        <v>69</v>
      </c>
      <c r="D593" s="3" t="s">
        <v>25</v>
      </c>
      <c r="E593" s="3" t="s">
        <v>25</v>
      </c>
      <c r="F593" s="3" t="s">
        <v>70</v>
      </c>
      <c r="G593" s="3" t="s">
        <v>76</v>
      </c>
      <c r="H593" s="3" t="s">
        <v>25</v>
      </c>
      <c r="I593" s="6">
        <v>44409</v>
      </c>
      <c r="J593" s="4">
        <v>600</v>
      </c>
      <c r="K593" s="4">
        <v>300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3" t="s">
        <v>72</v>
      </c>
      <c r="R593" s="3">
        <v>30677</v>
      </c>
      <c r="S593" s="3" t="s">
        <v>334</v>
      </c>
      <c r="U593" s="3">
        <v>43</v>
      </c>
      <c r="V593" s="3">
        <v>0</v>
      </c>
      <c r="W593" s="3">
        <v>0</v>
      </c>
    </row>
    <row r="594" spans="1:23" ht="11.25" customHeight="1" x14ac:dyDescent="0.25">
      <c r="A594" s="3" t="s">
        <v>21</v>
      </c>
      <c r="B594" s="3" t="s">
        <v>41</v>
      </c>
      <c r="C594" s="3" t="s">
        <v>69</v>
      </c>
      <c r="D594" s="3" t="s">
        <v>25</v>
      </c>
      <c r="E594" s="3" t="s">
        <v>25</v>
      </c>
      <c r="F594" s="3" t="s">
        <v>70</v>
      </c>
      <c r="G594" s="3" t="s">
        <v>76</v>
      </c>
      <c r="H594" s="3" t="s">
        <v>25</v>
      </c>
      <c r="I594" s="6">
        <v>44501</v>
      </c>
      <c r="J594" s="4">
        <v>92</v>
      </c>
      <c r="K594" s="4">
        <v>46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3" t="s">
        <v>72</v>
      </c>
      <c r="R594" s="3">
        <v>30677</v>
      </c>
      <c r="S594" s="3" t="s">
        <v>335</v>
      </c>
      <c r="U594" s="3">
        <v>43</v>
      </c>
      <c r="V594" s="3">
        <v>0</v>
      </c>
      <c r="W594" s="3">
        <v>0</v>
      </c>
    </row>
    <row r="595" spans="1:23" ht="11.25" customHeight="1" x14ac:dyDescent="0.25">
      <c r="A595" s="3" t="s">
        <v>21</v>
      </c>
      <c r="B595" s="3" t="s">
        <v>41</v>
      </c>
      <c r="C595" s="3" t="s">
        <v>42</v>
      </c>
      <c r="D595" s="3" t="s">
        <v>43</v>
      </c>
      <c r="E595" s="3" t="s">
        <v>25</v>
      </c>
      <c r="F595" s="3" t="s">
        <v>25</v>
      </c>
      <c r="G595" s="3" t="s">
        <v>25</v>
      </c>
      <c r="H595" s="3" t="s">
        <v>35</v>
      </c>
      <c r="I595" s="6">
        <v>44287</v>
      </c>
      <c r="J595" s="4">
        <v>0</v>
      </c>
      <c r="K595" s="4">
        <v>0</v>
      </c>
      <c r="L595" s="4">
        <v>9683.9339999999993</v>
      </c>
      <c r="M595" s="4">
        <v>9683.9339999999993</v>
      </c>
      <c r="N595" s="4">
        <v>9683.9339999999993</v>
      </c>
      <c r="O595" s="4">
        <v>9683.9339999999993</v>
      </c>
      <c r="P595" s="4">
        <v>0</v>
      </c>
      <c r="Q595" s="3" t="s">
        <v>26</v>
      </c>
      <c r="R595" s="3">
        <v>0</v>
      </c>
      <c r="S595" s="3" t="s">
        <v>336</v>
      </c>
      <c r="T595" s="3" t="s">
        <v>611</v>
      </c>
      <c r="U595" s="3">
        <v>0</v>
      </c>
      <c r="V595" s="3">
        <v>21</v>
      </c>
      <c r="W595" s="3">
        <v>89</v>
      </c>
    </row>
    <row r="596" spans="1:23" ht="11.25" customHeight="1" x14ac:dyDescent="0.25">
      <c r="A596" s="3" t="s">
        <v>28</v>
      </c>
      <c r="B596" s="3" t="s">
        <v>41</v>
      </c>
      <c r="C596" s="3" t="s">
        <v>42</v>
      </c>
      <c r="D596" s="3" t="s">
        <v>43</v>
      </c>
      <c r="E596" s="3" t="s">
        <v>25</v>
      </c>
      <c r="F596" s="3" t="s">
        <v>25</v>
      </c>
      <c r="G596" s="3" t="s">
        <v>25</v>
      </c>
      <c r="H596" s="3" t="s">
        <v>35</v>
      </c>
      <c r="I596" s="6">
        <v>44287</v>
      </c>
      <c r="J596" s="4">
        <v>0</v>
      </c>
      <c r="K596" s="4">
        <v>0</v>
      </c>
      <c r="L596" s="4">
        <v>348.82799999999997</v>
      </c>
      <c r="M596" s="4">
        <v>348.82799999999997</v>
      </c>
      <c r="N596" s="4">
        <v>348.82799999999997</v>
      </c>
      <c r="O596" s="4">
        <v>348.82799999999997</v>
      </c>
      <c r="P596" s="4">
        <v>0</v>
      </c>
      <c r="Q596" s="3" t="s">
        <v>26</v>
      </c>
      <c r="R596" s="3">
        <v>0</v>
      </c>
      <c r="S596" s="3" t="s">
        <v>336</v>
      </c>
      <c r="T596" s="3" t="s">
        <v>611</v>
      </c>
      <c r="U596" s="3">
        <v>0</v>
      </c>
      <c r="V596" s="3">
        <v>21</v>
      </c>
      <c r="W596" s="3">
        <v>89</v>
      </c>
    </row>
    <row r="597" spans="1:23" ht="11.25" customHeight="1" x14ac:dyDescent="0.25">
      <c r="A597" s="3" t="s">
        <v>21</v>
      </c>
      <c r="B597" s="3" t="s">
        <v>41</v>
      </c>
      <c r="C597" s="3" t="s">
        <v>42</v>
      </c>
      <c r="D597" s="3" t="s">
        <v>43</v>
      </c>
      <c r="E597" s="3" t="s">
        <v>25</v>
      </c>
      <c r="F597" s="3" t="s">
        <v>25</v>
      </c>
      <c r="G597" s="3" t="s">
        <v>25</v>
      </c>
      <c r="H597" s="3" t="s">
        <v>35</v>
      </c>
      <c r="I597" s="6">
        <v>44287</v>
      </c>
      <c r="J597" s="4">
        <v>0</v>
      </c>
      <c r="K597" s="4">
        <v>0</v>
      </c>
      <c r="L597" s="4">
        <v>35.637999999999998</v>
      </c>
      <c r="M597" s="4">
        <v>35.637999999999998</v>
      </c>
      <c r="N597" s="4">
        <v>0</v>
      </c>
      <c r="O597" s="4">
        <v>0</v>
      </c>
      <c r="P597" s="4">
        <v>0</v>
      </c>
      <c r="Q597" s="3" t="s">
        <v>57</v>
      </c>
      <c r="R597" s="3">
        <v>0</v>
      </c>
      <c r="S597" s="3" t="s">
        <v>336</v>
      </c>
      <c r="U597" s="3">
        <v>0</v>
      </c>
      <c r="V597" s="3">
        <v>21</v>
      </c>
      <c r="W597" s="3">
        <v>0</v>
      </c>
    </row>
    <row r="598" spans="1:23" ht="11.25" customHeight="1" x14ac:dyDescent="0.25">
      <c r="A598" s="3" t="s">
        <v>21</v>
      </c>
      <c r="B598" s="3" t="s">
        <v>41</v>
      </c>
      <c r="C598" s="3" t="s">
        <v>42</v>
      </c>
      <c r="D598" s="3" t="s">
        <v>43</v>
      </c>
      <c r="E598" s="3" t="s">
        <v>25</v>
      </c>
      <c r="F598" s="3" t="s">
        <v>25</v>
      </c>
      <c r="G598" s="3" t="s">
        <v>25</v>
      </c>
      <c r="H598" s="3" t="s">
        <v>35</v>
      </c>
      <c r="I598" s="6">
        <v>44317</v>
      </c>
      <c r="J598" s="4">
        <v>0</v>
      </c>
      <c r="K598" s="4">
        <v>0</v>
      </c>
      <c r="L598" s="4">
        <v>8876.3790000000008</v>
      </c>
      <c r="M598" s="4">
        <v>8876.3790000000008</v>
      </c>
      <c r="N598" s="4">
        <v>8876.3790000000008</v>
      </c>
      <c r="O598" s="4">
        <v>8876.3790000000008</v>
      </c>
      <c r="P598" s="4">
        <v>0</v>
      </c>
      <c r="Q598" s="3" t="s">
        <v>26</v>
      </c>
      <c r="R598" s="3">
        <v>0</v>
      </c>
      <c r="S598" s="3" t="s">
        <v>337</v>
      </c>
      <c r="T598" s="3" t="s">
        <v>612</v>
      </c>
      <c r="U598" s="3">
        <v>0</v>
      </c>
      <c r="V598" s="3">
        <v>21</v>
      </c>
      <c r="W598" s="3">
        <v>89</v>
      </c>
    </row>
    <row r="599" spans="1:23" ht="11.25" customHeight="1" x14ac:dyDescent="0.25">
      <c r="A599" s="3" t="s">
        <v>27</v>
      </c>
      <c r="B599" s="3" t="s">
        <v>41</v>
      </c>
      <c r="C599" s="3" t="s">
        <v>42</v>
      </c>
      <c r="D599" s="3" t="s">
        <v>43</v>
      </c>
      <c r="E599" s="3" t="s">
        <v>25</v>
      </c>
      <c r="F599" s="3" t="s">
        <v>25</v>
      </c>
      <c r="G599" s="3" t="s">
        <v>25</v>
      </c>
      <c r="H599" s="3" t="s">
        <v>35</v>
      </c>
      <c r="I599" s="6">
        <v>44317</v>
      </c>
      <c r="J599" s="4">
        <v>0</v>
      </c>
      <c r="K599" s="4">
        <v>0</v>
      </c>
      <c r="L599" s="4">
        <v>-34.24</v>
      </c>
      <c r="M599" s="4">
        <v>-34.24</v>
      </c>
      <c r="N599" s="4">
        <v>-34.24</v>
      </c>
      <c r="O599" s="4">
        <v>-34.24</v>
      </c>
      <c r="P599" s="4">
        <v>0</v>
      </c>
      <c r="Q599" s="3" t="s">
        <v>26</v>
      </c>
      <c r="R599" s="3">
        <v>0</v>
      </c>
      <c r="S599" s="3" t="s">
        <v>337</v>
      </c>
      <c r="T599" s="3" t="s">
        <v>612</v>
      </c>
      <c r="U599" s="3">
        <v>0</v>
      </c>
      <c r="V599" s="3">
        <v>21</v>
      </c>
      <c r="W599" s="3">
        <v>89</v>
      </c>
    </row>
    <row r="600" spans="1:23" ht="11.25" customHeight="1" x14ac:dyDescent="0.25">
      <c r="A600" s="3" t="s">
        <v>28</v>
      </c>
      <c r="B600" s="3" t="s">
        <v>41</v>
      </c>
      <c r="C600" s="3" t="s">
        <v>42</v>
      </c>
      <c r="D600" s="3" t="s">
        <v>43</v>
      </c>
      <c r="E600" s="3" t="s">
        <v>25</v>
      </c>
      <c r="F600" s="3" t="s">
        <v>25</v>
      </c>
      <c r="G600" s="3" t="s">
        <v>25</v>
      </c>
      <c r="H600" s="3" t="s">
        <v>35</v>
      </c>
      <c r="I600" s="6">
        <v>44317</v>
      </c>
      <c r="J600" s="4">
        <v>0</v>
      </c>
      <c r="K600" s="4">
        <v>0</v>
      </c>
      <c r="L600" s="4">
        <v>338.375</v>
      </c>
      <c r="M600" s="4">
        <v>338.375</v>
      </c>
      <c r="N600" s="4">
        <v>338.375</v>
      </c>
      <c r="O600" s="4">
        <v>338.375</v>
      </c>
      <c r="P600" s="4">
        <v>0</v>
      </c>
      <c r="Q600" s="3" t="s">
        <v>26</v>
      </c>
      <c r="R600" s="3">
        <v>0</v>
      </c>
      <c r="S600" s="3" t="s">
        <v>337</v>
      </c>
      <c r="T600" s="3" t="s">
        <v>612</v>
      </c>
      <c r="U600" s="3">
        <v>0</v>
      </c>
      <c r="V600" s="3">
        <v>21</v>
      </c>
      <c r="W600" s="3">
        <v>89</v>
      </c>
    </row>
    <row r="601" spans="1:23" ht="11.25" customHeight="1" x14ac:dyDescent="0.25">
      <c r="A601" s="3" t="s">
        <v>28</v>
      </c>
      <c r="B601" s="3" t="s">
        <v>41</v>
      </c>
      <c r="C601" s="3" t="s">
        <v>42</v>
      </c>
      <c r="D601" s="3" t="s">
        <v>43</v>
      </c>
      <c r="E601" s="3" t="s">
        <v>25</v>
      </c>
      <c r="F601" s="3" t="s">
        <v>25</v>
      </c>
      <c r="G601" s="3" t="s">
        <v>25</v>
      </c>
      <c r="H601" s="3" t="s">
        <v>35</v>
      </c>
      <c r="I601" s="6">
        <v>44317</v>
      </c>
      <c r="J601" s="4">
        <v>0</v>
      </c>
      <c r="K601" s="4">
        <v>0</v>
      </c>
      <c r="L601" s="4">
        <v>-4.3999999999999997E-2</v>
      </c>
      <c r="M601" s="4">
        <v>-4.3999999999999997E-2</v>
      </c>
      <c r="N601" s="4">
        <v>-4.3999999999999997E-2</v>
      </c>
      <c r="O601" s="4">
        <v>-4.3999999999999997E-2</v>
      </c>
      <c r="P601" s="4">
        <v>0</v>
      </c>
      <c r="Q601" s="3" t="s">
        <v>26</v>
      </c>
      <c r="R601" s="3">
        <v>0</v>
      </c>
      <c r="S601" s="3" t="s">
        <v>337</v>
      </c>
      <c r="T601" s="3" t="s">
        <v>612</v>
      </c>
      <c r="U601" s="3">
        <v>0</v>
      </c>
      <c r="V601" s="3">
        <v>21</v>
      </c>
      <c r="W601" s="3">
        <v>89</v>
      </c>
    </row>
    <row r="602" spans="1:23" ht="11.25" customHeight="1" x14ac:dyDescent="0.25">
      <c r="A602" s="3" t="s">
        <v>21</v>
      </c>
      <c r="B602" s="3" t="s">
        <v>41</v>
      </c>
      <c r="C602" s="3" t="s">
        <v>42</v>
      </c>
      <c r="D602" s="3" t="s">
        <v>43</v>
      </c>
      <c r="E602" s="3" t="s">
        <v>25</v>
      </c>
      <c r="F602" s="3" t="s">
        <v>25</v>
      </c>
      <c r="G602" s="3" t="s">
        <v>25</v>
      </c>
      <c r="H602" s="3" t="s">
        <v>35</v>
      </c>
      <c r="I602" s="6">
        <v>44317</v>
      </c>
      <c r="J602" s="4">
        <v>0</v>
      </c>
      <c r="K602" s="4">
        <v>0</v>
      </c>
      <c r="L602" s="4">
        <v>29.349</v>
      </c>
      <c r="M602" s="4">
        <v>29.349</v>
      </c>
      <c r="N602" s="4">
        <v>0</v>
      </c>
      <c r="O602" s="4">
        <v>0</v>
      </c>
      <c r="P602" s="4">
        <v>0</v>
      </c>
      <c r="Q602" s="3" t="s">
        <v>57</v>
      </c>
      <c r="R602" s="3">
        <v>0</v>
      </c>
      <c r="S602" s="3" t="s">
        <v>337</v>
      </c>
      <c r="U602" s="3">
        <v>0</v>
      </c>
      <c r="V602" s="3">
        <v>21</v>
      </c>
      <c r="W602" s="3">
        <v>0</v>
      </c>
    </row>
    <row r="603" spans="1:23" ht="11.25" customHeight="1" x14ac:dyDescent="0.25">
      <c r="A603" s="3" t="s">
        <v>21</v>
      </c>
      <c r="B603" s="3" t="s">
        <v>41</v>
      </c>
      <c r="C603" s="3" t="s">
        <v>42</v>
      </c>
      <c r="D603" s="3" t="s">
        <v>43</v>
      </c>
      <c r="E603" s="3" t="s">
        <v>25</v>
      </c>
      <c r="F603" s="3" t="s">
        <v>25</v>
      </c>
      <c r="G603" s="3" t="s">
        <v>25</v>
      </c>
      <c r="H603" s="3" t="s">
        <v>35</v>
      </c>
      <c r="I603" s="6">
        <v>44348</v>
      </c>
      <c r="J603" s="4">
        <v>0</v>
      </c>
      <c r="K603" s="4">
        <v>0</v>
      </c>
      <c r="L603" s="4">
        <v>8516.3060000000005</v>
      </c>
      <c r="M603" s="4">
        <v>8516.3060000000005</v>
      </c>
      <c r="N603" s="4">
        <v>8516.3060000000005</v>
      </c>
      <c r="O603" s="4">
        <v>8516.3060000000005</v>
      </c>
      <c r="P603" s="4">
        <v>0</v>
      </c>
      <c r="Q603" s="3" t="s">
        <v>26</v>
      </c>
      <c r="R603" s="3">
        <v>0</v>
      </c>
      <c r="S603" s="3" t="s">
        <v>338</v>
      </c>
      <c r="T603" s="3" t="s">
        <v>613</v>
      </c>
      <c r="U603" s="3">
        <v>0</v>
      </c>
      <c r="V603" s="3">
        <v>21</v>
      </c>
      <c r="W603" s="3">
        <v>89</v>
      </c>
    </row>
    <row r="604" spans="1:23" ht="11.25" customHeight="1" x14ac:dyDescent="0.25">
      <c r="A604" s="3" t="s">
        <v>27</v>
      </c>
      <c r="B604" s="3" t="s">
        <v>41</v>
      </c>
      <c r="C604" s="3" t="s">
        <v>42</v>
      </c>
      <c r="D604" s="3" t="s">
        <v>43</v>
      </c>
      <c r="E604" s="3" t="s">
        <v>25</v>
      </c>
      <c r="F604" s="3" t="s">
        <v>25</v>
      </c>
      <c r="G604" s="3" t="s">
        <v>25</v>
      </c>
      <c r="H604" s="3" t="s">
        <v>35</v>
      </c>
      <c r="I604" s="6">
        <v>44348</v>
      </c>
      <c r="J604" s="4">
        <v>0</v>
      </c>
      <c r="K604" s="4">
        <v>0</v>
      </c>
      <c r="L604" s="4">
        <v>-39.581000000000003</v>
      </c>
      <c r="M604" s="4">
        <v>-39.581000000000003</v>
      </c>
      <c r="N604" s="4">
        <v>-39.581000000000003</v>
      </c>
      <c r="O604" s="4">
        <v>-39.581000000000003</v>
      </c>
      <c r="P604" s="4">
        <v>0</v>
      </c>
      <c r="Q604" s="3" t="s">
        <v>26</v>
      </c>
      <c r="R604" s="3">
        <v>0</v>
      </c>
      <c r="S604" s="3" t="s">
        <v>338</v>
      </c>
      <c r="T604" s="3" t="s">
        <v>613</v>
      </c>
      <c r="U604" s="3">
        <v>0</v>
      </c>
      <c r="V604" s="3">
        <v>21</v>
      </c>
      <c r="W604" s="3">
        <v>89</v>
      </c>
    </row>
    <row r="605" spans="1:23" ht="11.25" customHeight="1" x14ac:dyDescent="0.25">
      <c r="A605" s="3" t="s">
        <v>28</v>
      </c>
      <c r="B605" s="3" t="s">
        <v>41</v>
      </c>
      <c r="C605" s="3" t="s">
        <v>42</v>
      </c>
      <c r="D605" s="3" t="s">
        <v>43</v>
      </c>
      <c r="E605" s="3" t="s">
        <v>25</v>
      </c>
      <c r="F605" s="3" t="s">
        <v>25</v>
      </c>
      <c r="G605" s="3" t="s">
        <v>25</v>
      </c>
      <c r="H605" s="3" t="s">
        <v>35</v>
      </c>
      <c r="I605" s="6">
        <v>44348</v>
      </c>
      <c r="J605" s="4">
        <v>0</v>
      </c>
      <c r="K605" s="4">
        <v>0</v>
      </c>
      <c r="L605" s="4">
        <v>290.19900000000001</v>
      </c>
      <c r="M605" s="4">
        <v>290.19900000000001</v>
      </c>
      <c r="N605" s="4">
        <v>290.19900000000001</v>
      </c>
      <c r="O605" s="4">
        <v>290.19900000000001</v>
      </c>
      <c r="P605" s="4">
        <v>0</v>
      </c>
      <c r="Q605" s="3" t="s">
        <v>26</v>
      </c>
      <c r="R605" s="3">
        <v>0</v>
      </c>
      <c r="S605" s="3" t="s">
        <v>338</v>
      </c>
      <c r="T605" s="3" t="s">
        <v>613</v>
      </c>
      <c r="U605" s="3">
        <v>0</v>
      </c>
      <c r="V605" s="3">
        <v>21</v>
      </c>
      <c r="W605" s="3">
        <v>89</v>
      </c>
    </row>
    <row r="606" spans="1:23" ht="11.25" customHeight="1" x14ac:dyDescent="0.25">
      <c r="A606" s="3" t="s">
        <v>21</v>
      </c>
      <c r="B606" s="3" t="s">
        <v>41</v>
      </c>
      <c r="C606" s="3" t="s">
        <v>42</v>
      </c>
      <c r="D606" s="3" t="s">
        <v>43</v>
      </c>
      <c r="E606" s="3" t="s">
        <v>25</v>
      </c>
      <c r="F606" s="3" t="s">
        <v>25</v>
      </c>
      <c r="G606" s="3" t="s">
        <v>25</v>
      </c>
      <c r="H606" s="3" t="s">
        <v>35</v>
      </c>
      <c r="I606" s="6">
        <v>44348</v>
      </c>
      <c r="J606" s="4">
        <v>0</v>
      </c>
      <c r="K606" s="4">
        <v>0</v>
      </c>
      <c r="L606" s="4">
        <v>30.608000000000001</v>
      </c>
      <c r="M606" s="4">
        <v>30.608000000000001</v>
      </c>
      <c r="N606" s="4">
        <v>0</v>
      </c>
      <c r="O606" s="4">
        <v>0</v>
      </c>
      <c r="P606" s="4">
        <v>0</v>
      </c>
      <c r="Q606" s="3" t="s">
        <v>57</v>
      </c>
      <c r="R606" s="3">
        <v>0</v>
      </c>
      <c r="S606" s="3" t="s">
        <v>338</v>
      </c>
      <c r="U606" s="3">
        <v>0</v>
      </c>
      <c r="V606" s="3">
        <v>21</v>
      </c>
      <c r="W606" s="3">
        <v>0</v>
      </c>
    </row>
    <row r="607" spans="1:23" ht="11.25" customHeight="1" x14ac:dyDescent="0.25">
      <c r="A607" s="3" t="s">
        <v>21</v>
      </c>
      <c r="B607" s="3" t="s">
        <v>41</v>
      </c>
      <c r="C607" s="3" t="s">
        <v>42</v>
      </c>
      <c r="D607" s="3" t="s">
        <v>43</v>
      </c>
      <c r="E607" s="3" t="s">
        <v>25</v>
      </c>
      <c r="F607" s="3" t="s">
        <v>25</v>
      </c>
      <c r="G607" s="3" t="s">
        <v>25</v>
      </c>
      <c r="H607" s="3" t="s">
        <v>35</v>
      </c>
      <c r="I607" s="6">
        <v>44378</v>
      </c>
      <c r="J607" s="4">
        <v>0</v>
      </c>
      <c r="K607" s="4">
        <v>0</v>
      </c>
      <c r="L607" s="4">
        <v>8417.9490000000005</v>
      </c>
      <c r="M607" s="4">
        <v>8417.9490000000005</v>
      </c>
      <c r="N607" s="4">
        <v>8417.9490000000005</v>
      </c>
      <c r="O607" s="4">
        <v>8417.9490000000005</v>
      </c>
      <c r="P607" s="4">
        <v>0</v>
      </c>
      <c r="Q607" s="3" t="s">
        <v>26</v>
      </c>
      <c r="R607" s="3">
        <v>0</v>
      </c>
      <c r="S607" s="3" t="s">
        <v>339</v>
      </c>
      <c r="T607" s="3" t="s">
        <v>614</v>
      </c>
      <c r="U607" s="3">
        <v>0</v>
      </c>
      <c r="V607" s="3">
        <v>21</v>
      </c>
      <c r="W607" s="3">
        <v>89</v>
      </c>
    </row>
    <row r="608" spans="1:23" ht="11.25" customHeight="1" x14ac:dyDescent="0.25">
      <c r="A608" s="3" t="s">
        <v>27</v>
      </c>
      <c r="B608" s="3" t="s">
        <v>41</v>
      </c>
      <c r="C608" s="3" t="s">
        <v>42</v>
      </c>
      <c r="D608" s="3" t="s">
        <v>43</v>
      </c>
      <c r="E608" s="3" t="s">
        <v>25</v>
      </c>
      <c r="F608" s="3" t="s">
        <v>25</v>
      </c>
      <c r="G608" s="3" t="s">
        <v>25</v>
      </c>
      <c r="H608" s="3" t="s">
        <v>35</v>
      </c>
      <c r="I608" s="6">
        <v>44378</v>
      </c>
      <c r="J608" s="4">
        <v>0</v>
      </c>
      <c r="K608" s="4">
        <v>0</v>
      </c>
      <c r="L608" s="4">
        <v>15.087999999999999</v>
      </c>
      <c r="M608" s="4">
        <v>15.087999999999999</v>
      </c>
      <c r="N608" s="4">
        <v>15.087999999999999</v>
      </c>
      <c r="O608" s="4">
        <v>15.087999999999999</v>
      </c>
      <c r="P608" s="4">
        <v>0</v>
      </c>
      <c r="Q608" s="3" t="s">
        <v>26</v>
      </c>
      <c r="R608" s="3">
        <v>0</v>
      </c>
      <c r="S608" s="3" t="s">
        <v>339</v>
      </c>
      <c r="T608" s="3" t="s">
        <v>614</v>
      </c>
      <c r="U608" s="3">
        <v>0</v>
      </c>
      <c r="V608" s="3">
        <v>21</v>
      </c>
      <c r="W608" s="3">
        <v>89</v>
      </c>
    </row>
    <row r="609" spans="1:23" ht="11.25" customHeight="1" x14ac:dyDescent="0.25">
      <c r="A609" s="3" t="s">
        <v>28</v>
      </c>
      <c r="B609" s="3" t="s">
        <v>41</v>
      </c>
      <c r="C609" s="3" t="s">
        <v>42</v>
      </c>
      <c r="D609" s="3" t="s">
        <v>43</v>
      </c>
      <c r="E609" s="3" t="s">
        <v>25</v>
      </c>
      <c r="F609" s="3" t="s">
        <v>25</v>
      </c>
      <c r="G609" s="3" t="s">
        <v>25</v>
      </c>
      <c r="H609" s="3" t="s">
        <v>35</v>
      </c>
      <c r="I609" s="6">
        <v>44378</v>
      </c>
      <c r="J609" s="4">
        <v>0</v>
      </c>
      <c r="K609" s="4">
        <v>0</v>
      </c>
      <c r="L609" s="4">
        <v>301.976</v>
      </c>
      <c r="M609" s="4">
        <v>301.976</v>
      </c>
      <c r="N609" s="4">
        <v>301.976</v>
      </c>
      <c r="O609" s="4">
        <v>301.976</v>
      </c>
      <c r="P609" s="4">
        <v>0</v>
      </c>
      <c r="Q609" s="3" t="s">
        <v>26</v>
      </c>
      <c r="R609" s="3">
        <v>0</v>
      </c>
      <c r="S609" s="3" t="s">
        <v>339</v>
      </c>
      <c r="T609" s="3" t="s">
        <v>614</v>
      </c>
      <c r="U609" s="3">
        <v>0</v>
      </c>
      <c r="V609" s="3">
        <v>21</v>
      </c>
      <c r="W609" s="3">
        <v>89</v>
      </c>
    </row>
    <row r="610" spans="1:23" ht="11.25" customHeight="1" x14ac:dyDescent="0.25">
      <c r="A610" s="3" t="s">
        <v>21</v>
      </c>
      <c r="B610" s="3" t="s">
        <v>41</v>
      </c>
      <c r="C610" s="3" t="s">
        <v>42</v>
      </c>
      <c r="D610" s="3" t="s">
        <v>43</v>
      </c>
      <c r="E610" s="3" t="s">
        <v>25</v>
      </c>
      <c r="F610" s="3" t="s">
        <v>25</v>
      </c>
      <c r="G610" s="3" t="s">
        <v>25</v>
      </c>
      <c r="H610" s="3" t="s">
        <v>35</v>
      </c>
      <c r="I610" s="6">
        <v>44378</v>
      </c>
      <c r="J610" s="4">
        <v>0</v>
      </c>
      <c r="K610" s="4">
        <v>0</v>
      </c>
      <c r="L610" s="4">
        <v>221.518</v>
      </c>
      <c r="M610" s="4">
        <v>221.518</v>
      </c>
      <c r="N610" s="4">
        <v>0</v>
      </c>
      <c r="O610" s="4">
        <v>0</v>
      </c>
      <c r="P610" s="4">
        <v>0</v>
      </c>
      <c r="Q610" s="3" t="s">
        <v>57</v>
      </c>
      <c r="R610" s="3">
        <v>0</v>
      </c>
      <c r="S610" s="3" t="s">
        <v>339</v>
      </c>
      <c r="U610" s="3">
        <v>0</v>
      </c>
      <c r="V610" s="3">
        <v>21</v>
      </c>
      <c r="W610" s="3">
        <v>0</v>
      </c>
    </row>
    <row r="611" spans="1:23" ht="11.25" customHeight="1" x14ac:dyDescent="0.25">
      <c r="A611" s="3" t="s">
        <v>21</v>
      </c>
      <c r="B611" s="3" t="s">
        <v>41</v>
      </c>
      <c r="C611" s="3" t="s">
        <v>42</v>
      </c>
      <c r="D611" s="3" t="s">
        <v>43</v>
      </c>
      <c r="E611" s="3" t="s">
        <v>25</v>
      </c>
      <c r="F611" s="3" t="s">
        <v>25</v>
      </c>
      <c r="G611" s="3" t="s">
        <v>25</v>
      </c>
      <c r="H611" s="3" t="s">
        <v>35</v>
      </c>
      <c r="I611" s="6">
        <v>44409</v>
      </c>
      <c r="J611" s="4">
        <v>0</v>
      </c>
      <c r="K611" s="4">
        <v>0</v>
      </c>
      <c r="L611" s="4">
        <v>8871.4429999999993</v>
      </c>
      <c r="M611" s="4">
        <v>8871.4429999999993</v>
      </c>
      <c r="N611" s="4">
        <v>8871.4429999999993</v>
      </c>
      <c r="O611" s="4">
        <v>8871.4429999999993</v>
      </c>
      <c r="P611" s="4">
        <v>0</v>
      </c>
      <c r="Q611" s="3" t="s">
        <v>26</v>
      </c>
      <c r="R611" s="3">
        <v>0</v>
      </c>
      <c r="S611" s="3" t="s">
        <v>340</v>
      </c>
      <c r="T611" s="3" t="s">
        <v>615</v>
      </c>
      <c r="U611" s="3">
        <v>0</v>
      </c>
      <c r="V611" s="3">
        <v>21</v>
      </c>
      <c r="W611" s="3">
        <v>89</v>
      </c>
    </row>
    <row r="612" spans="1:23" ht="11.25" customHeight="1" x14ac:dyDescent="0.25">
      <c r="A612" s="3" t="s">
        <v>28</v>
      </c>
      <c r="B612" s="3" t="s">
        <v>41</v>
      </c>
      <c r="C612" s="3" t="s">
        <v>42</v>
      </c>
      <c r="D612" s="3" t="s">
        <v>43</v>
      </c>
      <c r="E612" s="3" t="s">
        <v>25</v>
      </c>
      <c r="F612" s="3" t="s">
        <v>25</v>
      </c>
      <c r="G612" s="3" t="s">
        <v>25</v>
      </c>
      <c r="H612" s="3" t="s">
        <v>35</v>
      </c>
      <c r="I612" s="6">
        <v>44409</v>
      </c>
      <c r="J612" s="4">
        <v>0</v>
      </c>
      <c r="K612" s="4">
        <v>0</v>
      </c>
      <c r="L612" s="4">
        <v>305.15800000000002</v>
      </c>
      <c r="M612" s="4">
        <v>305.15800000000002</v>
      </c>
      <c r="N612" s="4">
        <v>305.15800000000002</v>
      </c>
      <c r="O612" s="4">
        <v>305.15800000000002</v>
      </c>
      <c r="P612" s="4">
        <v>0</v>
      </c>
      <c r="Q612" s="3" t="s">
        <v>26</v>
      </c>
      <c r="R612" s="3">
        <v>0</v>
      </c>
      <c r="S612" s="3" t="s">
        <v>340</v>
      </c>
      <c r="T612" s="3" t="s">
        <v>615</v>
      </c>
      <c r="U612" s="3">
        <v>0</v>
      </c>
      <c r="V612" s="3">
        <v>21</v>
      </c>
      <c r="W612" s="3">
        <v>89</v>
      </c>
    </row>
    <row r="613" spans="1:23" ht="11.25" customHeight="1" x14ac:dyDescent="0.25">
      <c r="A613" s="3" t="s">
        <v>28</v>
      </c>
      <c r="B613" s="3" t="s">
        <v>41</v>
      </c>
      <c r="C613" s="3" t="s">
        <v>42</v>
      </c>
      <c r="D613" s="3" t="s">
        <v>43</v>
      </c>
      <c r="E613" s="3" t="s">
        <v>25</v>
      </c>
      <c r="F613" s="3" t="s">
        <v>25</v>
      </c>
      <c r="G613" s="3" t="s">
        <v>25</v>
      </c>
      <c r="H613" s="3" t="s">
        <v>35</v>
      </c>
      <c r="I613" s="6">
        <v>44409</v>
      </c>
      <c r="J613" s="4">
        <v>0</v>
      </c>
      <c r="K613" s="4">
        <v>0</v>
      </c>
      <c r="L613" s="4">
        <v>0.38600000000000001</v>
      </c>
      <c r="M613" s="4">
        <v>0.38600000000000001</v>
      </c>
      <c r="N613" s="4">
        <v>0.38600000000000001</v>
      </c>
      <c r="O613" s="4">
        <v>0.38600000000000001</v>
      </c>
      <c r="P613" s="4">
        <v>0</v>
      </c>
      <c r="Q613" s="3" t="s">
        <v>26</v>
      </c>
      <c r="R613" s="3">
        <v>0</v>
      </c>
      <c r="S613" s="3" t="s">
        <v>340</v>
      </c>
      <c r="T613" s="3" t="s">
        <v>615</v>
      </c>
      <c r="U613" s="3">
        <v>0</v>
      </c>
      <c r="V613" s="3">
        <v>21</v>
      </c>
      <c r="W613" s="3">
        <v>89</v>
      </c>
    </row>
    <row r="614" spans="1:23" ht="11.25" customHeight="1" x14ac:dyDescent="0.25">
      <c r="A614" s="3" t="s">
        <v>21</v>
      </c>
      <c r="B614" s="3" t="s">
        <v>41</v>
      </c>
      <c r="C614" s="3" t="s">
        <v>42</v>
      </c>
      <c r="D614" s="3" t="s">
        <v>43</v>
      </c>
      <c r="E614" s="3" t="s">
        <v>25</v>
      </c>
      <c r="F614" s="3" t="s">
        <v>25</v>
      </c>
      <c r="G614" s="3" t="s">
        <v>25</v>
      </c>
      <c r="H614" s="3" t="s">
        <v>35</v>
      </c>
      <c r="I614" s="6">
        <v>44409</v>
      </c>
      <c r="J614" s="4">
        <v>0</v>
      </c>
      <c r="K614" s="4">
        <v>0</v>
      </c>
      <c r="L614" s="4">
        <v>531.10900000000004</v>
      </c>
      <c r="M614" s="4">
        <v>531.10900000000004</v>
      </c>
      <c r="N614" s="4">
        <v>0</v>
      </c>
      <c r="O614" s="4">
        <v>0</v>
      </c>
      <c r="P614" s="4">
        <v>0</v>
      </c>
      <c r="Q614" s="3" t="s">
        <v>57</v>
      </c>
      <c r="R614" s="3">
        <v>0</v>
      </c>
      <c r="S614" s="3" t="s">
        <v>340</v>
      </c>
      <c r="U614" s="3">
        <v>0</v>
      </c>
      <c r="V614" s="3">
        <v>21</v>
      </c>
      <c r="W614" s="3">
        <v>0</v>
      </c>
    </row>
    <row r="615" spans="1:23" ht="11.25" customHeight="1" x14ac:dyDescent="0.25">
      <c r="A615" s="3" t="s">
        <v>21</v>
      </c>
      <c r="B615" s="3" t="s">
        <v>41</v>
      </c>
      <c r="C615" s="3" t="s">
        <v>42</v>
      </c>
      <c r="D615" s="3" t="s">
        <v>43</v>
      </c>
      <c r="E615" s="3" t="s">
        <v>25</v>
      </c>
      <c r="F615" s="3" t="s">
        <v>25</v>
      </c>
      <c r="G615" s="3" t="s">
        <v>25</v>
      </c>
      <c r="H615" s="3" t="s">
        <v>35</v>
      </c>
      <c r="I615" s="6">
        <v>44440</v>
      </c>
      <c r="J615" s="4">
        <v>0</v>
      </c>
      <c r="K615" s="4">
        <v>0</v>
      </c>
      <c r="L615" s="4">
        <v>9213.8379999999997</v>
      </c>
      <c r="M615" s="4">
        <v>9213.8379999999997</v>
      </c>
      <c r="N615" s="4">
        <v>9213.8379999999997</v>
      </c>
      <c r="O615" s="4">
        <v>9213.8379999999997</v>
      </c>
      <c r="P615" s="4">
        <v>0</v>
      </c>
      <c r="Q615" s="3" t="s">
        <v>26</v>
      </c>
      <c r="R615" s="3">
        <v>0</v>
      </c>
      <c r="S615" s="3" t="s">
        <v>341</v>
      </c>
      <c r="T615" s="3" t="s">
        <v>616</v>
      </c>
      <c r="U615" s="3">
        <v>0</v>
      </c>
      <c r="V615" s="3">
        <v>21</v>
      </c>
      <c r="W615" s="3">
        <v>89</v>
      </c>
    </row>
    <row r="616" spans="1:23" ht="11.25" customHeight="1" x14ac:dyDescent="0.25">
      <c r="A616" s="3" t="s">
        <v>28</v>
      </c>
      <c r="B616" s="3" t="s">
        <v>41</v>
      </c>
      <c r="C616" s="3" t="s">
        <v>42</v>
      </c>
      <c r="D616" s="3" t="s">
        <v>43</v>
      </c>
      <c r="E616" s="3" t="s">
        <v>25</v>
      </c>
      <c r="F616" s="3" t="s">
        <v>25</v>
      </c>
      <c r="G616" s="3" t="s">
        <v>25</v>
      </c>
      <c r="H616" s="3" t="s">
        <v>35</v>
      </c>
      <c r="I616" s="6">
        <v>44440</v>
      </c>
      <c r="J616" s="4">
        <v>0</v>
      </c>
      <c r="K616" s="4">
        <v>0</v>
      </c>
      <c r="L616" s="4">
        <v>421.5</v>
      </c>
      <c r="M616" s="4">
        <v>421.5</v>
      </c>
      <c r="N616" s="4">
        <v>421.5</v>
      </c>
      <c r="O616" s="4">
        <v>421.5</v>
      </c>
      <c r="P616" s="4">
        <v>0</v>
      </c>
      <c r="Q616" s="3" t="s">
        <v>26</v>
      </c>
      <c r="R616" s="3">
        <v>0</v>
      </c>
      <c r="S616" s="3" t="s">
        <v>341</v>
      </c>
      <c r="T616" s="3" t="s">
        <v>616</v>
      </c>
      <c r="U616" s="3">
        <v>0</v>
      </c>
      <c r="V616" s="3">
        <v>21</v>
      </c>
      <c r="W616" s="3">
        <v>89</v>
      </c>
    </row>
    <row r="617" spans="1:23" ht="11.25" customHeight="1" x14ac:dyDescent="0.25">
      <c r="A617" s="3" t="s">
        <v>21</v>
      </c>
      <c r="B617" s="3" t="s">
        <v>41</v>
      </c>
      <c r="C617" s="3" t="s">
        <v>42</v>
      </c>
      <c r="D617" s="3" t="s">
        <v>43</v>
      </c>
      <c r="E617" s="3" t="s">
        <v>25</v>
      </c>
      <c r="F617" s="3" t="s">
        <v>25</v>
      </c>
      <c r="G617" s="3" t="s">
        <v>25</v>
      </c>
      <c r="H617" s="3" t="s">
        <v>35</v>
      </c>
      <c r="I617" s="6">
        <v>44440</v>
      </c>
      <c r="J617" s="4">
        <v>0</v>
      </c>
      <c r="K617" s="4">
        <v>0</v>
      </c>
      <c r="L617" s="4">
        <v>261.51400000000001</v>
      </c>
      <c r="M617" s="4">
        <v>261.51400000000001</v>
      </c>
      <c r="N617" s="4">
        <v>0</v>
      </c>
      <c r="O617" s="4">
        <v>0</v>
      </c>
      <c r="P617" s="4">
        <v>0</v>
      </c>
      <c r="Q617" s="3" t="s">
        <v>57</v>
      </c>
      <c r="R617" s="3">
        <v>0</v>
      </c>
      <c r="S617" s="3" t="s">
        <v>341</v>
      </c>
      <c r="U617" s="3">
        <v>0</v>
      </c>
      <c r="V617" s="3">
        <v>21</v>
      </c>
      <c r="W617" s="3">
        <v>0</v>
      </c>
    </row>
    <row r="618" spans="1:23" ht="11.25" customHeight="1" x14ac:dyDescent="0.25">
      <c r="A618" s="3" t="s">
        <v>21</v>
      </c>
      <c r="B618" s="3" t="s">
        <v>41</v>
      </c>
      <c r="C618" s="3" t="s">
        <v>42</v>
      </c>
      <c r="D618" s="3" t="s">
        <v>43</v>
      </c>
      <c r="E618" s="3" t="s">
        <v>25</v>
      </c>
      <c r="F618" s="3" t="s">
        <v>25</v>
      </c>
      <c r="G618" s="3" t="s">
        <v>25</v>
      </c>
      <c r="H618" s="3" t="s">
        <v>35</v>
      </c>
      <c r="I618" s="6">
        <v>44470</v>
      </c>
      <c r="J618" s="4">
        <v>0</v>
      </c>
      <c r="K618" s="4">
        <v>0</v>
      </c>
      <c r="L618" s="4">
        <v>9708.741</v>
      </c>
      <c r="M618" s="4">
        <v>9708.741</v>
      </c>
      <c r="N618" s="4">
        <v>9708.741</v>
      </c>
      <c r="O618" s="4">
        <v>9708.741</v>
      </c>
      <c r="P618" s="4">
        <v>0</v>
      </c>
      <c r="Q618" s="3" t="s">
        <v>26</v>
      </c>
      <c r="R618" s="3">
        <v>0</v>
      </c>
      <c r="S618" s="3" t="s">
        <v>342</v>
      </c>
      <c r="T618" s="3" t="s">
        <v>617</v>
      </c>
      <c r="U618" s="3">
        <v>0</v>
      </c>
      <c r="V618" s="3">
        <v>21</v>
      </c>
      <c r="W618" s="3">
        <v>89</v>
      </c>
    </row>
    <row r="619" spans="1:23" ht="11.25" customHeight="1" x14ac:dyDescent="0.25">
      <c r="A619" s="3" t="s">
        <v>28</v>
      </c>
      <c r="B619" s="3" t="s">
        <v>41</v>
      </c>
      <c r="C619" s="3" t="s">
        <v>42</v>
      </c>
      <c r="D619" s="3" t="s">
        <v>43</v>
      </c>
      <c r="E619" s="3" t="s">
        <v>25</v>
      </c>
      <c r="F619" s="3" t="s">
        <v>25</v>
      </c>
      <c r="G619" s="3" t="s">
        <v>25</v>
      </c>
      <c r="H619" s="3" t="s">
        <v>35</v>
      </c>
      <c r="I619" s="6">
        <v>44470</v>
      </c>
      <c r="J619" s="4">
        <v>0</v>
      </c>
      <c r="K619" s="4">
        <v>0</v>
      </c>
      <c r="L619" s="4">
        <v>429.31799999999998</v>
      </c>
      <c r="M619" s="4">
        <v>429.31799999999998</v>
      </c>
      <c r="N619" s="4">
        <v>429.31799999999998</v>
      </c>
      <c r="O619" s="4">
        <v>429.31799999999998</v>
      </c>
      <c r="P619" s="4">
        <v>0</v>
      </c>
      <c r="Q619" s="3" t="s">
        <v>26</v>
      </c>
      <c r="R619" s="3">
        <v>0</v>
      </c>
      <c r="S619" s="3" t="s">
        <v>342</v>
      </c>
      <c r="T619" s="3" t="s">
        <v>617</v>
      </c>
      <c r="U619" s="3">
        <v>0</v>
      </c>
      <c r="V619" s="3">
        <v>21</v>
      </c>
      <c r="W619" s="3">
        <v>89</v>
      </c>
    </row>
    <row r="620" spans="1:23" ht="11.25" customHeight="1" x14ac:dyDescent="0.25">
      <c r="A620" s="3" t="s">
        <v>21</v>
      </c>
      <c r="B620" s="3" t="s">
        <v>41</v>
      </c>
      <c r="C620" s="3" t="s">
        <v>42</v>
      </c>
      <c r="D620" s="3" t="s">
        <v>43</v>
      </c>
      <c r="E620" s="3" t="s">
        <v>25</v>
      </c>
      <c r="F620" s="3" t="s">
        <v>25</v>
      </c>
      <c r="G620" s="3" t="s">
        <v>25</v>
      </c>
      <c r="H620" s="3" t="s">
        <v>35</v>
      </c>
      <c r="I620" s="6">
        <v>44470</v>
      </c>
      <c r="J620" s="4">
        <v>0</v>
      </c>
      <c r="K620" s="4">
        <v>0</v>
      </c>
      <c r="L620" s="4">
        <v>302.68799999999999</v>
      </c>
      <c r="M620" s="4">
        <v>302.68799999999999</v>
      </c>
      <c r="N620" s="4">
        <v>0</v>
      </c>
      <c r="O620" s="4">
        <v>0</v>
      </c>
      <c r="P620" s="4">
        <v>0</v>
      </c>
      <c r="Q620" s="3" t="s">
        <v>57</v>
      </c>
      <c r="R620" s="3">
        <v>0</v>
      </c>
      <c r="S620" s="3" t="s">
        <v>342</v>
      </c>
      <c r="U620" s="3">
        <v>0</v>
      </c>
      <c r="V620" s="3">
        <v>21</v>
      </c>
      <c r="W620" s="3">
        <v>0</v>
      </c>
    </row>
    <row r="621" spans="1:23" ht="11.25" customHeight="1" x14ac:dyDescent="0.25">
      <c r="A621" s="3" t="s">
        <v>21</v>
      </c>
      <c r="B621" s="3" t="s">
        <v>41</v>
      </c>
      <c r="C621" s="3" t="s">
        <v>42</v>
      </c>
      <c r="D621" s="3" t="s">
        <v>43</v>
      </c>
      <c r="E621" s="3" t="s">
        <v>25</v>
      </c>
      <c r="F621" s="3" t="s">
        <v>25</v>
      </c>
      <c r="G621" s="3" t="s">
        <v>25</v>
      </c>
      <c r="H621" s="3" t="s">
        <v>35</v>
      </c>
      <c r="I621" s="6">
        <v>44501</v>
      </c>
      <c r="J621" s="4">
        <v>0</v>
      </c>
      <c r="K621" s="4">
        <v>0</v>
      </c>
      <c r="L621" s="4">
        <v>10145.656000000001</v>
      </c>
      <c r="M621" s="4">
        <v>10145.656000000001</v>
      </c>
      <c r="N621" s="4">
        <v>10145.656000000001</v>
      </c>
      <c r="O621" s="4">
        <v>10145.656000000001</v>
      </c>
      <c r="P621" s="4">
        <v>0</v>
      </c>
      <c r="Q621" s="3" t="s">
        <v>26</v>
      </c>
      <c r="R621" s="3">
        <v>0</v>
      </c>
      <c r="S621" s="3" t="s">
        <v>343</v>
      </c>
      <c r="T621" s="3" t="s">
        <v>618</v>
      </c>
      <c r="U621" s="3">
        <v>0</v>
      </c>
      <c r="V621" s="3">
        <v>21</v>
      </c>
      <c r="W621" s="3">
        <v>89</v>
      </c>
    </row>
    <row r="622" spans="1:23" ht="11.25" customHeight="1" x14ac:dyDescent="0.25">
      <c r="A622" s="3" t="s">
        <v>28</v>
      </c>
      <c r="B622" s="3" t="s">
        <v>41</v>
      </c>
      <c r="C622" s="3" t="s">
        <v>42</v>
      </c>
      <c r="D622" s="3" t="s">
        <v>43</v>
      </c>
      <c r="E622" s="3" t="s">
        <v>25</v>
      </c>
      <c r="F622" s="3" t="s">
        <v>25</v>
      </c>
      <c r="G622" s="3" t="s">
        <v>25</v>
      </c>
      <c r="H622" s="3" t="s">
        <v>35</v>
      </c>
      <c r="I622" s="6">
        <v>44501</v>
      </c>
      <c r="J622" s="4">
        <v>0</v>
      </c>
      <c r="K622" s="4">
        <v>0</v>
      </c>
      <c r="L622" s="4">
        <v>532.37</v>
      </c>
      <c r="M622" s="4">
        <v>532.37</v>
      </c>
      <c r="N622" s="4">
        <v>532.37</v>
      </c>
      <c r="O622" s="4">
        <v>532.37</v>
      </c>
      <c r="P622" s="4">
        <v>0</v>
      </c>
      <c r="Q622" s="3" t="s">
        <v>26</v>
      </c>
      <c r="R622" s="3">
        <v>0</v>
      </c>
      <c r="S622" s="3" t="s">
        <v>343</v>
      </c>
      <c r="T622" s="3" t="s">
        <v>618</v>
      </c>
      <c r="U622" s="3">
        <v>0</v>
      </c>
      <c r="V622" s="3">
        <v>21</v>
      </c>
      <c r="W622" s="3">
        <v>89</v>
      </c>
    </row>
    <row r="623" spans="1:23" ht="11.25" customHeight="1" x14ac:dyDescent="0.25">
      <c r="A623" s="3" t="s">
        <v>21</v>
      </c>
      <c r="B623" s="3" t="s">
        <v>41</v>
      </c>
      <c r="C623" s="3" t="s">
        <v>42</v>
      </c>
      <c r="D623" s="3" t="s">
        <v>43</v>
      </c>
      <c r="E623" s="3" t="s">
        <v>25</v>
      </c>
      <c r="F623" s="3" t="s">
        <v>25</v>
      </c>
      <c r="G623" s="3" t="s">
        <v>25</v>
      </c>
      <c r="H623" s="3" t="s">
        <v>35</v>
      </c>
      <c r="I623" s="6">
        <v>44501</v>
      </c>
      <c r="J623" s="4">
        <v>0</v>
      </c>
      <c r="K623" s="4">
        <v>0</v>
      </c>
      <c r="L623" s="4">
        <v>321.14800000000002</v>
      </c>
      <c r="M623" s="4">
        <v>321.14800000000002</v>
      </c>
      <c r="N623" s="4">
        <v>0</v>
      </c>
      <c r="O623" s="4">
        <v>0</v>
      </c>
      <c r="P623" s="4">
        <v>0</v>
      </c>
      <c r="Q623" s="3" t="s">
        <v>57</v>
      </c>
      <c r="R623" s="3">
        <v>0</v>
      </c>
      <c r="S623" s="3" t="s">
        <v>343</v>
      </c>
      <c r="U623" s="3">
        <v>0</v>
      </c>
      <c r="V623" s="3">
        <v>21</v>
      </c>
      <c r="W623" s="3">
        <v>0</v>
      </c>
    </row>
    <row r="624" spans="1:23" ht="11.25" customHeight="1" x14ac:dyDescent="0.25">
      <c r="A624" s="3" t="s">
        <v>21</v>
      </c>
      <c r="B624" s="3" t="s">
        <v>41</v>
      </c>
      <c r="C624" s="3" t="s">
        <v>42</v>
      </c>
      <c r="D624" s="3" t="s">
        <v>43</v>
      </c>
      <c r="E624" s="3" t="s">
        <v>25</v>
      </c>
      <c r="F624" s="3" t="s">
        <v>25</v>
      </c>
      <c r="G624" s="3" t="s">
        <v>25</v>
      </c>
      <c r="H624" s="3" t="s">
        <v>35</v>
      </c>
      <c r="I624" s="6">
        <v>44531</v>
      </c>
      <c r="J624" s="4">
        <v>0</v>
      </c>
      <c r="K624" s="4">
        <v>0</v>
      </c>
      <c r="L624" s="4">
        <v>9701.7450000000008</v>
      </c>
      <c r="M624" s="4">
        <v>9701.7450000000008</v>
      </c>
      <c r="N624" s="4">
        <v>9701.7450000000008</v>
      </c>
      <c r="O624" s="4">
        <v>9701.7450000000008</v>
      </c>
      <c r="P624" s="4">
        <v>0</v>
      </c>
      <c r="Q624" s="3" t="s">
        <v>26</v>
      </c>
      <c r="R624" s="3">
        <v>0</v>
      </c>
      <c r="S624" s="3" t="s">
        <v>344</v>
      </c>
      <c r="T624" s="3" t="s">
        <v>619</v>
      </c>
      <c r="U624" s="3">
        <v>0</v>
      </c>
      <c r="V624" s="3">
        <v>21</v>
      </c>
      <c r="W624" s="3">
        <v>89</v>
      </c>
    </row>
    <row r="625" spans="1:23" ht="11.25" customHeight="1" x14ac:dyDescent="0.25">
      <c r="A625" s="3" t="s">
        <v>28</v>
      </c>
      <c r="B625" s="3" t="s">
        <v>41</v>
      </c>
      <c r="C625" s="3" t="s">
        <v>42</v>
      </c>
      <c r="D625" s="3" t="s">
        <v>43</v>
      </c>
      <c r="E625" s="3" t="s">
        <v>25</v>
      </c>
      <c r="F625" s="3" t="s">
        <v>25</v>
      </c>
      <c r="G625" s="3" t="s">
        <v>25</v>
      </c>
      <c r="H625" s="3" t="s">
        <v>35</v>
      </c>
      <c r="I625" s="6">
        <v>44531</v>
      </c>
      <c r="J625" s="4">
        <v>0</v>
      </c>
      <c r="K625" s="4">
        <v>0</v>
      </c>
      <c r="L625" s="4">
        <v>517.86900000000003</v>
      </c>
      <c r="M625" s="4">
        <v>517.86900000000003</v>
      </c>
      <c r="N625" s="4">
        <v>517.86900000000003</v>
      </c>
      <c r="O625" s="4">
        <v>517.86900000000003</v>
      </c>
      <c r="P625" s="4">
        <v>0</v>
      </c>
      <c r="Q625" s="3" t="s">
        <v>26</v>
      </c>
      <c r="R625" s="3">
        <v>0</v>
      </c>
      <c r="S625" s="3" t="s">
        <v>344</v>
      </c>
      <c r="T625" s="3" t="s">
        <v>619</v>
      </c>
      <c r="U625" s="3">
        <v>0</v>
      </c>
      <c r="V625" s="3">
        <v>21</v>
      </c>
      <c r="W625" s="3">
        <v>89</v>
      </c>
    </row>
    <row r="626" spans="1:23" ht="11.25" customHeight="1" x14ac:dyDescent="0.25">
      <c r="A626" s="3" t="s">
        <v>28</v>
      </c>
      <c r="B626" s="3" t="s">
        <v>41</v>
      </c>
      <c r="C626" s="3" t="s">
        <v>42</v>
      </c>
      <c r="D626" s="3" t="s">
        <v>43</v>
      </c>
      <c r="E626" s="3" t="s">
        <v>25</v>
      </c>
      <c r="F626" s="3" t="s">
        <v>25</v>
      </c>
      <c r="G626" s="3" t="s">
        <v>25</v>
      </c>
      <c r="H626" s="3" t="s">
        <v>35</v>
      </c>
      <c r="I626" s="6">
        <v>44531</v>
      </c>
      <c r="J626" s="4">
        <v>0</v>
      </c>
      <c r="K626" s="4">
        <v>0</v>
      </c>
      <c r="L626" s="4">
        <v>-116.643</v>
      </c>
      <c r="M626" s="4">
        <v>-116.643</v>
      </c>
      <c r="N626" s="4">
        <v>-116.643</v>
      </c>
      <c r="O626" s="4">
        <v>-116.643</v>
      </c>
      <c r="P626" s="4">
        <v>0</v>
      </c>
      <c r="Q626" s="3" t="s">
        <v>26</v>
      </c>
      <c r="R626" s="3">
        <v>0</v>
      </c>
      <c r="S626" s="3" t="s">
        <v>344</v>
      </c>
      <c r="T626" s="3" t="s">
        <v>619</v>
      </c>
      <c r="U626" s="3">
        <v>0</v>
      </c>
      <c r="V626" s="3">
        <v>21</v>
      </c>
      <c r="W626" s="3">
        <v>89</v>
      </c>
    </row>
    <row r="627" spans="1:23" ht="11.25" customHeight="1" x14ac:dyDescent="0.25">
      <c r="A627" s="3" t="s">
        <v>21</v>
      </c>
      <c r="B627" s="3" t="s">
        <v>41</v>
      </c>
      <c r="C627" s="3" t="s">
        <v>42</v>
      </c>
      <c r="D627" s="3" t="s">
        <v>43</v>
      </c>
      <c r="E627" s="3" t="s">
        <v>25</v>
      </c>
      <c r="F627" s="3" t="s">
        <v>25</v>
      </c>
      <c r="G627" s="3" t="s">
        <v>25</v>
      </c>
      <c r="H627" s="3" t="s">
        <v>35</v>
      </c>
      <c r="I627" s="6">
        <v>44531</v>
      </c>
      <c r="J627" s="4">
        <v>0</v>
      </c>
      <c r="K627" s="4">
        <v>0</v>
      </c>
      <c r="L627" s="4">
        <v>370.32600000000002</v>
      </c>
      <c r="M627" s="4">
        <v>370.32600000000002</v>
      </c>
      <c r="N627" s="4">
        <v>0</v>
      </c>
      <c r="O627" s="4">
        <v>0</v>
      </c>
      <c r="P627" s="4">
        <v>0</v>
      </c>
      <c r="Q627" s="3" t="s">
        <v>57</v>
      </c>
      <c r="R627" s="3">
        <v>0</v>
      </c>
      <c r="S627" s="3" t="s">
        <v>344</v>
      </c>
      <c r="U627" s="3">
        <v>0</v>
      </c>
      <c r="V627" s="3">
        <v>21</v>
      </c>
      <c r="W627" s="3">
        <v>0</v>
      </c>
    </row>
    <row r="628" spans="1:23" ht="11.25" customHeight="1" x14ac:dyDescent="0.25">
      <c r="A628" s="3" t="s">
        <v>21</v>
      </c>
      <c r="B628" s="3" t="s">
        <v>41</v>
      </c>
      <c r="C628" s="3" t="s">
        <v>42</v>
      </c>
      <c r="D628" s="3" t="s">
        <v>43</v>
      </c>
      <c r="E628" s="3" t="s">
        <v>25</v>
      </c>
      <c r="F628" s="3" t="s">
        <v>25</v>
      </c>
      <c r="G628" s="3" t="s">
        <v>25</v>
      </c>
      <c r="H628" s="3" t="s">
        <v>35</v>
      </c>
      <c r="I628" s="6">
        <v>44562</v>
      </c>
      <c r="J628" s="4">
        <v>0</v>
      </c>
      <c r="K628" s="4">
        <v>0</v>
      </c>
      <c r="L628" s="4">
        <v>9469.4210000000003</v>
      </c>
      <c r="M628" s="4">
        <v>9469.4210000000003</v>
      </c>
      <c r="N628" s="4">
        <v>9469.4210000000003</v>
      </c>
      <c r="O628" s="4">
        <v>9469.4210000000003</v>
      </c>
      <c r="P628" s="4">
        <v>0</v>
      </c>
      <c r="Q628" s="3" t="s">
        <v>26</v>
      </c>
      <c r="R628" s="3">
        <v>0</v>
      </c>
      <c r="S628" s="3" t="s">
        <v>345</v>
      </c>
      <c r="T628" s="3" t="s">
        <v>620</v>
      </c>
      <c r="U628" s="3">
        <v>0</v>
      </c>
      <c r="V628" s="3">
        <v>21</v>
      </c>
      <c r="W628" s="3">
        <v>89</v>
      </c>
    </row>
    <row r="629" spans="1:23" ht="11.25" customHeight="1" x14ac:dyDescent="0.25">
      <c r="A629" s="3" t="s">
        <v>28</v>
      </c>
      <c r="B629" s="3" t="s">
        <v>41</v>
      </c>
      <c r="C629" s="3" t="s">
        <v>42</v>
      </c>
      <c r="D629" s="3" t="s">
        <v>43</v>
      </c>
      <c r="E629" s="3" t="s">
        <v>25</v>
      </c>
      <c r="F629" s="3" t="s">
        <v>25</v>
      </c>
      <c r="G629" s="3" t="s">
        <v>25</v>
      </c>
      <c r="H629" s="3" t="s">
        <v>35</v>
      </c>
      <c r="I629" s="6">
        <v>44562</v>
      </c>
      <c r="J629" s="4">
        <v>0</v>
      </c>
      <c r="K629" s="4">
        <v>0</v>
      </c>
      <c r="L629" s="4">
        <v>603.48699999999997</v>
      </c>
      <c r="M629" s="4">
        <v>603.48699999999997</v>
      </c>
      <c r="N629" s="4">
        <v>603.48699999999997</v>
      </c>
      <c r="O629" s="4">
        <v>603.48699999999997</v>
      </c>
      <c r="P629" s="4">
        <v>0</v>
      </c>
      <c r="Q629" s="3" t="s">
        <v>26</v>
      </c>
      <c r="R629" s="3">
        <v>0</v>
      </c>
      <c r="S629" s="3" t="s">
        <v>345</v>
      </c>
      <c r="T629" s="3" t="s">
        <v>620</v>
      </c>
      <c r="U629" s="3">
        <v>0</v>
      </c>
      <c r="V629" s="3">
        <v>21</v>
      </c>
      <c r="W629" s="3">
        <v>89</v>
      </c>
    </row>
    <row r="630" spans="1:23" ht="11.25" customHeight="1" x14ac:dyDescent="0.25">
      <c r="A630" s="3" t="s">
        <v>28</v>
      </c>
      <c r="B630" s="3" t="s">
        <v>41</v>
      </c>
      <c r="C630" s="3" t="s">
        <v>42</v>
      </c>
      <c r="D630" s="3" t="s">
        <v>43</v>
      </c>
      <c r="E630" s="3" t="s">
        <v>25</v>
      </c>
      <c r="F630" s="3" t="s">
        <v>25</v>
      </c>
      <c r="G630" s="3" t="s">
        <v>25</v>
      </c>
      <c r="H630" s="3" t="s">
        <v>35</v>
      </c>
      <c r="I630" s="6">
        <v>44562</v>
      </c>
      <c r="J630" s="4">
        <v>0</v>
      </c>
      <c r="K630" s="4">
        <v>0</v>
      </c>
      <c r="L630" s="4">
        <v>9.8339999999999996</v>
      </c>
      <c r="M630" s="4">
        <v>9.8339999999999996</v>
      </c>
      <c r="N630" s="4">
        <v>9.8339999999999996</v>
      </c>
      <c r="O630" s="4">
        <v>9.8339999999999996</v>
      </c>
      <c r="P630" s="4">
        <v>0</v>
      </c>
      <c r="Q630" s="3" t="s">
        <v>26</v>
      </c>
      <c r="R630" s="3">
        <v>0</v>
      </c>
      <c r="S630" s="3" t="s">
        <v>345</v>
      </c>
      <c r="T630" s="3" t="s">
        <v>620</v>
      </c>
      <c r="U630" s="3">
        <v>0</v>
      </c>
      <c r="V630" s="3">
        <v>21</v>
      </c>
      <c r="W630" s="3">
        <v>89</v>
      </c>
    </row>
    <row r="631" spans="1:23" ht="11.25" customHeight="1" x14ac:dyDescent="0.25">
      <c r="A631" s="3" t="s">
        <v>21</v>
      </c>
      <c r="B631" s="3" t="s">
        <v>41</v>
      </c>
      <c r="C631" s="3" t="s">
        <v>42</v>
      </c>
      <c r="D631" s="3" t="s">
        <v>43</v>
      </c>
      <c r="E631" s="3" t="s">
        <v>25</v>
      </c>
      <c r="F631" s="3" t="s">
        <v>25</v>
      </c>
      <c r="G631" s="3" t="s">
        <v>25</v>
      </c>
      <c r="H631" s="3" t="s">
        <v>35</v>
      </c>
      <c r="I631" s="6">
        <v>44562</v>
      </c>
      <c r="J631" s="4">
        <v>0</v>
      </c>
      <c r="K631" s="4">
        <v>0</v>
      </c>
      <c r="L631" s="4">
        <v>279.661</v>
      </c>
      <c r="M631" s="4">
        <v>279.661</v>
      </c>
      <c r="N631" s="4">
        <v>0</v>
      </c>
      <c r="O631" s="4">
        <v>0</v>
      </c>
      <c r="P631" s="4">
        <v>0</v>
      </c>
      <c r="Q631" s="3" t="s">
        <v>57</v>
      </c>
      <c r="R631" s="3">
        <v>0</v>
      </c>
      <c r="S631" s="3" t="s">
        <v>345</v>
      </c>
      <c r="U631" s="3">
        <v>0</v>
      </c>
      <c r="V631" s="3">
        <v>21</v>
      </c>
      <c r="W631" s="3">
        <v>0</v>
      </c>
    </row>
    <row r="632" spans="1:23" ht="11.25" customHeight="1" x14ac:dyDescent="0.25">
      <c r="A632" s="3" t="s">
        <v>21</v>
      </c>
      <c r="B632" s="3" t="s">
        <v>41</v>
      </c>
      <c r="C632" s="3" t="s">
        <v>42</v>
      </c>
      <c r="D632" s="3" t="s">
        <v>43</v>
      </c>
      <c r="E632" s="3" t="s">
        <v>25</v>
      </c>
      <c r="F632" s="3" t="s">
        <v>25</v>
      </c>
      <c r="G632" s="3" t="s">
        <v>25</v>
      </c>
      <c r="H632" s="3" t="s">
        <v>35</v>
      </c>
      <c r="I632" s="6">
        <v>44593</v>
      </c>
      <c r="J632" s="4">
        <v>0</v>
      </c>
      <c r="K632" s="4">
        <v>0</v>
      </c>
      <c r="L632" s="4">
        <v>9099.2129999999997</v>
      </c>
      <c r="M632" s="4">
        <v>9099.2129999999997</v>
      </c>
      <c r="N632" s="4">
        <v>9099.2129999999997</v>
      </c>
      <c r="O632" s="4">
        <v>9099.2129999999997</v>
      </c>
      <c r="P632" s="4">
        <v>0</v>
      </c>
      <c r="Q632" s="3" t="s">
        <v>26</v>
      </c>
      <c r="R632" s="3">
        <v>0</v>
      </c>
      <c r="S632" s="3" t="s">
        <v>346</v>
      </c>
      <c r="T632" s="3" t="s">
        <v>621</v>
      </c>
      <c r="U632" s="3">
        <v>0</v>
      </c>
      <c r="V632" s="3">
        <v>21</v>
      </c>
      <c r="W632" s="3">
        <v>89</v>
      </c>
    </row>
    <row r="633" spans="1:23" ht="11.25" customHeight="1" x14ac:dyDescent="0.25">
      <c r="A633" s="3" t="s">
        <v>27</v>
      </c>
      <c r="B633" s="3" t="s">
        <v>41</v>
      </c>
      <c r="C633" s="3" t="s">
        <v>42</v>
      </c>
      <c r="D633" s="3" t="s">
        <v>43</v>
      </c>
      <c r="E633" s="3" t="s">
        <v>25</v>
      </c>
      <c r="F633" s="3" t="s">
        <v>25</v>
      </c>
      <c r="G633" s="3" t="s">
        <v>25</v>
      </c>
      <c r="H633" s="3" t="s">
        <v>35</v>
      </c>
      <c r="I633" s="6">
        <v>44593</v>
      </c>
      <c r="J633" s="4">
        <v>0</v>
      </c>
      <c r="K633" s="4">
        <v>0</v>
      </c>
      <c r="L633" s="4">
        <v>-35.911000000000001</v>
      </c>
      <c r="M633" s="4">
        <v>-35.911000000000001</v>
      </c>
      <c r="N633" s="4">
        <v>-35.911000000000001</v>
      </c>
      <c r="O633" s="4">
        <v>-35.911000000000001</v>
      </c>
      <c r="P633" s="4">
        <v>0</v>
      </c>
      <c r="Q633" s="3" t="s">
        <v>26</v>
      </c>
      <c r="R633" s="3">
        <v>0</v>
      </c>
      <c r="S633" s="3" t="s">
        <v>346</v>
      </c>
      <c r="T633" s="3" t="s">
        <v>621</v>
      </c>
      <c r="U633" s="3">
        <v>0</v>
      </c>
      <c r="V633" s="3">
        <v>21</v>
      </c>
      <c r="W633" s="3">
        <v>89</v>
      </c>
    </row>
    <row r="634" spans="1:23" ht="11.25" customHeight="1" x14ac:dyDescent="0.25">
      <c r="A634" s="3" t="s">
        <v>28</v>
      </c>
      <c r="B634" s="3" t="s">
        <v>41</v>
      </c>
      <c r="C634" s="3" t="s">
        <v>42</v>
      </c>
      <c r="D634" s="3" t="s">
        <v>43</v>
      </c>
      <c r="E634" s="3" t="s">
        <v>25</v>
      </c>
      <c r="F634" s="3" t="s">
        <v>25</v>
      </c>
      <c r="G634" s="3" t="s">
        <v>25</v>
      </c>
      <c r="H634" s="3" t="s">
        <v>35</v>
      </c>
      <c r="I634" s="6">
        <v>44593</v>
      </c>
      <c r="J634" s="4">
        <v>0</v>
      </c>
      <c r="K634" s="4">
        <v>0</v>
      </c>
      <c r="L634" s="4">
        <v>528.70500000000004</v>
      </c>
      <c r="M634" s="4">
        <v>528.70500000000004</v>
      </c>
      <c r="N634" s="4">
        <v>528.70500000000004</v>
      </c>
      <c r="O634" s="4">
        <v>528.70500000000004</v>
      </c>
      <c r="P634" s="4">
        <v>0</v>
      </c>
      <c r="Q634" s="3" t="s">
        <v>26</v>
      </c>
      <c r="R634" s="3">
        <v>0</v>
      </c>
      <c r="S634" s="3" t="s">
        <v>346</v>
      </c>
      <c r="T634" s="3" t="s">
        <v>621</v>
      </c>
      <c r="U634" s="3">
        <v>0</v>
      </c>
      <c r="V634" s="3">
        <v>21</v>
      </c>
      <c r="W634" s="3">
        <v>89</v>
      </c>
    </row>
    <row r="635" spans="1:23" ht="11.25" customHeight="1" x14ac:dyDescent="0.25">
      <c r="A635" s="3" t="s">
        <v>28</v>
      </c>
      <c r="B635" s="3" t="s">
        <v>41</v>
      </c>
      <c r="C635" s="3" t="s">
        <v>42</v>
      </c>
      <c r="D635" s="3" t="s">
        <v>43</v>
      </c>
      <c r="E635" s="3" t="s">
        <v>25</v>
      </c>
      <c r="F635" s="3" t="s">
        <v>25</v>
      </c>
      <c r="G635" s="3" t="s">
        <v>25</v>
      </c>
      <c r="H635" s="3" t="s">
        <v>35</v>
      </c>
      <c r="I635" s="6">
        <v>44593</v>
      </c>
      <c r="J635" s="4">
        <v>0</v>
      </c>
      <c r="K635" s="4">
        <v>0</v>
      </c>
      <c r="L635" s="4">
        <v>8.6560000000000006</v>
      </c>
      <c r="M635" s="4">
        <v>8.6560000000000006</v>
      </c>
      <c r="N635" s="4">
        <v>8.6560000000000006</v>
      </c>
      <c r="O635" s="4">
        <v>8.6560000000000006</v>
      </c>
      <c r="P635" s="4">
        <v>0</v>
      </c>
      <c r="Q635" s="3" t="s">
        <v>26</v>
      </c>
      <c r="R635" s="3">
        <v>0</v>
      </c>
      <c r="S635" s="3" t="s">
        <v>346</v>
      </c>
      <c r="T635" s="3" t="s">
        <v>621</v>
      </c>
      <c r="U635" s="3">
        <v>0</v>
      </c>
      <c r="V635" s="3">
        <v>21</v>
      </c>
      <c r="W635" s="3">
        <v>89</v>
      </c>
    </row>
    <row r="636" spans="1:23" ht="11.25" customHeight="1" x14ac:dyDescent="0.25">
      <c r="A636" s="3" t="s">
        <v>21</v>
      </c>
      <c r="B636" s="3" t="s">
        <v>41</v>
      </c>
      <c r="C636" s="3" t="s">
        <v>42</v>
      </c>
      <c r="D636" s="3" t="s">
        <v>43</v>
      </c>
      <c r="E636" s="3" t="s">
        <v>25</v>
      </c>
      <c r="F636" s="3" t="s">
        <v>25</v>
      </c>
      <c r="G636" s="3" t="s">
        <v>25</v>
      </c>
      <c r="H636" s="3" t="s">
        <v>35</v>
      </c>
      <c r="I636" s="6">
        <v>44593</v>
      </c>
      <c r="J636" s="4">
        <v>0</v>
      </c>
      <c r="K636" s="4">
        <v>0</v>
      </c>
      <c r="L636" s="4">
        <v>296.55700000000002</v>
      </c>
      <c r="M636" s="4">
        <v>296.55700000000002</v>
      </c>
      <c r="N636" s="4">
        <v>0</v>
      </c>
      <c r="O636" s="4">
        <v>0</v>
      </c>
      <c r="P636" s="4">
        <v>0</v>
      </c>
      <c r="Q636" s="3" t="s">
        <v>57</v>
      </c>
      <c r="R636" s="3">
        <v>0</v>
      </c>
      <c r="S636" s="3" t="s">
        <v>346</v>
      </c>
      <c r="U636" s="3">
        <v>0</v>
      </c>
      <c r="V636" s="3">
        <v>21</v>
      </c>
      <c r="W636" s="3">
        <v>0</v>
      </c>
    </row>
    <row r="637" spans="1:23" ht="11.25" customHeight="1" x14ac:dyDescent="0.25">
      <c r="A637" s="3" t="s">
        <v>27</v>
      </c>
      <c r="B637" s="3" t="s">
        <v>41</v>
      </c>
      <c r="C637" s="3" t="s">
        <v>42</v>
      </c>
      <c r="D637" s="3" t="s">
        <v>43</v>
      </c>
      <c r="E637" s="3" t="s">
        <v>25</v>
      </c>
      <c r="F637" s="3" t="s">
        <v>25</v>
      </c>
      <c r="G637" s="3" t="s">
        <v>25</v>
      </c>
      <c r="H637" s="3" t="s">
        <v>35</v>
      </c>
      <c r="I637" s="6">
        <v>44593</v>
      </c>
      <c r="J637" s="4">
        <v>0</v>
      </c>
      <c r="K637" s="4">
        <v>0</v>
      </c>
      <c r="L637" s="4">
        <v>4.5599999999999996</v>
      </c>
      <c r="M637" s="4">
        <v>4.5599999999999996</v>
      </c>
      <c r="N637" s="4">
        <v>0</v>
      </c>
      <c r="O637" s="4">
        <v>0</v>
      </c>
      <c r="P637" s="4">
        <v>0</v>
      </c>
      <c r="Q637" s="3" t="s">
        <v>57</v>
      </c>
      <c r="R637" s="3">
        <v>0</v>
      </c>
      <c r="S637" s="3" t="s">
        <v>346</v>
      </c>
      <c r="U637" s="3">
        <v>0</v>
      </c>
      <c r="V637" s="3">
        <v>21</v>
      </c>
      <c r="W637" s="3">
        <v>0</v>
      </c>
    </row>
    <row r="638" spans="1:23" ht="11.25" customHeight="1" x14ac:dyDescent="0.25">
      <c r="A638" s="3" t="s">
        <v>56</v>
      </c>
      <c r="B638" s="3" t="s">
        <v>41</v>
      </c>
      <c r="C638" s="3" t="s">
        <v>42</v>
      </c>
      <c r="D638" s="3" t="s">
        <v>43</v>
      </c>
      <c r="E638" s="3" t="s">
        <v>25</v>
      </c>
      <c r="F638" s="3" t="s">
        <v>25</v>
      </c>
      <c r="G638" s="3" t="s">
        <v>25</v>
      </c>
      <c r="H638" s="3" t="s">
        <v>35</v>
      </c>
      <c r="I638" s="6">
        <v>44621</v>
      </c>
      <c r="J638" s="4">
        <v>0</v>
      </c>
      <c r="K638" s="4">
        <v>0</v>
      </c>
      <c r="L638" s="4">
        <v>9099.2129999999997</v>
      </c>
      <c r="M638" s="4">
        <v>9099.2129999999997</v>
      </c>
      <c r="N638" s="4">
        <v>9099.2129999999997</v>
      </c>
      <c r="O638" s="4">
        <v>9099.2129999999997</v>
      </c>
      <c r="P638" s="4">
        <v>0</v>
      </c>
      <c r="Q638" s="3" t="s">
        <v>26</v>
      </c>
      <c r="R638" s="3">
        <v>0</v>
      </c>
      <c r="S638" s="3" t="s">
        <v>347</v>
      </c>
      <c r="T638" s="3" t="s">
        <v>622</v>
      </c>
      <c r="U638" s="3">
        <v>0</v>
      </c>
      <c r="V638" s="3">
        <v>21</v>
      </c>
      <c r="W638" s="3">
        <v>89</v>
      </c>
    </row>
    <row r="639" spans="1:23" ht="11.25" customHeight="1" x14ac:dyDescent="0.25">
      <c r="A639" s="3" t="s">
        <v>56</v>
      </c>
      <c r="B639" s="3" t="s">
        <v>41</v>
      </c>
      <c r="C639" s="3" t="s">
        <v>42</v>
      </c>
      <c r="D639" s="3" t="s">
        <v>43</v>
      </c>
      <c r="E639" s="3" t="s">
        <v>25</v>
      </c>
      <c r="F639" s="3" t="s">
        <v>25</v>
      </c>
      <c r="G639" s="3" t="s">
        <v>25</v>
      </c>
      <c r="H639" s="3" t="s">
        <v>35</v>
      </c>
      <c r="I639" s="6">
        <v>44621</v>
      </c>
      <c r="J639" s="4">
        <v>0</v>
      </c>
      <c r="K639" s="4">
        <v>0</v>
      </c>
      <c r="L639" s="4">
        <v>-35.911000000000001</v>
      </c>
      <c r="M639" s="4">
        <v>-35.911000000000001</v>
      </c>
      <c r="N639" s="4">
        <v>-35.911000000000001</v>
      </c>
      <c r="O639" s="4">
        <v>-35.911000000000001</v>
      </c>
      <c r="P639" s="4">
        <v>0</v>
      </c>
      <c r="Q639" s="3" t="s">
        <v>26</v>
      </c>
      <c r="R639" s="3">
        <v>0</v>
      </c>
      <c r="S639" s="3" t="s">
        <v>347</v>
      </c>
      <c r="T639" s="3" t="s">
        <v>622</v>
      </c>
      <c r="U639" s="3">
        <v>0</v>
      </c>
      <c r="V639" s="3">
        <v>21</v>
      </c>
      <c r="W639" s="3">
        <v>89</v>
      </c>
    </row>
    <row r="640" spans="1:23" ht="11.25" customHeight="1" x14ac:dyDescent="0.25">
      <c r="A640" s="3" t="s">
        <v>56</v>
      </c>
      <c r="B640" s="3" t="s">
        <v>41</v>
      </c>
      <c r="C640" s="3" t="s">
        <v>42</v>
      </c>
      <c r="D640" s="3" t="s">
        <v>43</v>
      </c>
      <c r="E640" s="3" t="s">
        <v>25</v>
      </c>
      <c r="F640" s="3" t="s">
        <v>25</v>
      </c>
      <c r="G640" s="3" t="s">
        <v>25</v>
      </c>
      <c r="H640" s="3" t="s">
        <v>35</v>
      </c>
      <c r="I640" s="6">
        <v>44621</v>
      </c>
      <c r="J640" s="4">
        <v>0</v>
      </c>
      <c r="K640" s="4">
        <v>0</v>
      </c>
      <c r="L640" s="4">
        <v>528.70500000000004</v>
      </c>
      <c r="M640" s="4">
        <v>528.70500000000004</v>
      </c>
      <c r="N640" s="4">
        <v>528.70500000000004</v>
      </c>
      <c r="O640" s="4">
        <v>528.70500000000004</v>
      </c>
      <c r="P640" s="4">
        <v>0</v>
      </c>
      <c r="Q640" s="3" t="s">
        <v>26</v>
      </c>
      <c r="R640" s="3">
        <v>0</v>
      </c>
      <c r="S640" s="3" t="s">
        <v>347</v>
      </c>
      <c r="T640" s="3" t="s">
        <v>622</v>
      </c>
      <c r="U640" s="3">
        <v>0</v>
      </c>
      <c r="V640" s="3">
        <v>21</v>
      </c>
      <c r="W640" s="3">
        <v>89</v>
      </c>
    </row>
    <row r="641" spans="1:23" ht="11.25" customHeight="1" x14ac:dyDescent="0.25">
      <c r="A641" s="3" t="s">
        <v>56</v>
      </c>
      <c r="B641" s="3" t="s">
        <v>41</v>
      </c>
      <c r="C641" s="3" t="s">
        <v>42</v>
      </c>
      <c r="D641" s="3" t="s">
        <v>43</v>
      </c>
      <c r="E641" s="3" t="s">
        <v>25</v>
      </c>
      <c r="F641" s="3" t="s">
        <v>25</v>
      </c>
      <c r="G641" s="3" t="s">
        <v>25</v>
      </c>
      <c r="H641" s="3" t="s">
        <v>35</v>
      </c>
      <c r="I641" s="6">
        <v>44621</v>
      </c>
      <c r="J641" s="4">
        <v>0</v>
      </c>
      <c r="K641" s="4">
        <v>0</v>
      </c>
      <c r="L641" s="4">
        <v>8.6560000000000006</v>
      </c>
      <c r="M641" s="4">
        <v>8.6560000000000006</v>
      </c>
      <c r="N641" s="4">
        <v>8.6560000000000006</v>
      </c>
      <c r="O641" s="4">
        <v>8.6560000000000006</v>
      </c>
      <c r="P641" s="4">
        <v>0</v>
      </c>
      <c r="Q641" s="3" t="s">
        <v>26</v>
      </c>
      <c r="R641" s="3">
        <v>0</v>
      </c>
      <c r="S641" s="3" t="s">
        <v>347</v>
      </c>
      <c r="T641" s="3" t="s">
        <v>622</v>
      </c>
      <c r="U641" s="3">
        <v>0</v>
      </c>
      <c r="V641" s="3">
        <v>21</v>
      </c>
      <c r="W641" s="3">
        <v>89</v>
      </c>
    </row>
    <row r="642" spans="1:23" ht="11.25" customHeight="1" x14ac:dyDescent="0.25">
      <c r="A642" s="3" t="s">
        <v>56</v>
      </c>
      <c r="B642" s="3" t="s">
        <v>41</v>
      </c>
      <c r="C642" s="3" t="s">
        <v>42</v>
      </c>
      <c r="D642" s="3" t="s">
        <v>43</v>
      </c>
      <c r="E642" s="3" t="s">
        <v>25</v>
      </c>
      <c r="F642" s="3" t="s">
        <v>25</v>
      </c>
      <c r="G642" s="3" t="s">
        <v>25</v>
      </c>
      <c r="H642" s="3" t="s">
        <v>35</v>
      </c>
      <c r="I642" s="6">
        <v>44621</v>
      </c>
      <c r="J642" s="4">
        <v>0</v>
      </c>
      <c r="K642" s="4">
        <v>0</v>
      </c>
      <c r="L642" s="4">
        <v>296.55700000000002</v>
      </c>
      <c r="M642" s="4">
        <v>296.55700000000002</v>
      </c>
      <c r="N642" s="4">
        <v>0</v>
      </c>
      <c r="O642" s="4">
        <v>0</v>
      </c>
      <c r="P642" s="4">
        <v>0</v>
      </c>
      <c r="Q642" s="3" t="s">
        <v>57</v>
      </c>
      <c r="R642" s="3">
        <v>0</v>
      </c>
      <c r="S642" s="3" t="s">
        <v>347</v>
      </c>
      <c r="U642" s="3">
        <v>0</v>
      </c>
      <c r="V642" s="3">
        <v>21</v>
      </c>
      <c r="W642" s="3">
        <v>0</v>
      </c>
    </row>
    <row r="643" spans="1:23" ht="11.25" customHeight="1" x14ac:dyDescent="0.25">
      <c r="A643" s="3" t="s">
        <v>56</v>
      </c>
      <c r="B643" s="3" t="s">
        <v>41</v>
      </c>
      <c r="C643" s="3" t="s">
        <v>42</v>
      </c>
      <c r="D643" s="3" t="s">
        <v>43</v>
      </c>
      <c r="E643" s="3" t="s">
        <v>25</v>
      </c>
      <c r="F643" s="3" t="s">
        <v>25</v>
      </c>
      <c r="G643" s="3" t="s">
        <v>25</v>
      </c>
      <c r="H643" s="3" t="s">
        <v>35</v>
      </c>
      <c r="I643" s="6">
        <v>44621</v>
      </c>
      <c r="J643" s="4">
        <v>0</v>
      </c>
      <c r="K643" s="4">
        <v>0</v>
      </c>
      <c r="L643" s="4">
        <v>4.5599999999999996</v>
      </c>
      <c r="M643" s="4">
        <v>4.5599999999999996</v>
      </c>
      <c r="N643" s="4">
        <v>0</v>
      </c>
      <c r="O643" s="4">
        <v>0</v>
      </c>
      <c r="P643" s="4">
        <v>0</v>
      </c>
      <c r="Q643" s="3" t="s">
        <v>57</v>
      </c>
      <c r="R643" s="3">
        <v>0</v>
      </c>
      <c r="S643" s="3" t="s">
        <v>347</v>
      </c>
      <c r="U643" s="3">
        <v>0</v>
      </c>
      <c r="V643" s="3">
        <v>21</v>
      </c>
      <c r="W643" s="3">
        <v>0</v>
      </c>
    </row>
    <row r="644" spans="1:23" ht="11.25" customHeight="1" x14ac:dyDescent="0.25">
      <c r="A644" s="3" t="s">
        <v>21</v>
      </c>
      <c r="B644" s="3" t="s">
        <v>41</v>
      </c>
      <c r="C644" s="3" t="s">
        <v>42</v>
      </c>
      <c r="D644" s="3" t="s">
        <v>43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44287</v>
      </c>
      <c r="J644" s="4">
        <v>50593</v>
      </c>
      <c r="K644" s="4">
        <v>50593</v>
      </c>
      <c r="L644" s="4">
        <v>0</v>
      </c>
      <c r="M644" s="4">
        <v>0</v>
      </c>
      <c r="N644" s="4">
        <v>0</v>
      </c>
      <c r="O644" s="4">
        <v>0</v>
      </c>
      <c r="P644" s="4">
        <v>455</v>
      </c>
      <c r="Q644" s="3" t="s">
        <v>26</v>
      </c>
      <c r="R644" s="3">
        <v>0</v>
      </c>
      <c r="S644" s="3" t="s">
        <v>348</v>
      </c>
      <c r="U644" s="3">
        <v>44</v>
      </c>
      <c r="V644" s="3">
        <v>0</v>
      </c>
      <c r="W644" s="3">
        <v>0</v>
      </c>
    </row>
    <row r="645" spans="1:23" ht="11.25" customHeight="1" x14ac:dyDescent="0.25">
      <c r="A645" s="3" t="s">
        <v>27</v>
      </c>
      <c r="B645" s="3" t="s">
        <v>41</v>
      </c>
      <c r="C645" s="3" t="s">
        <v>42</v>
      </c>
      <c r="D645" s="3" t="s">
        <v>43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44287</v>
      </c>
      <c r="J645" s="4">
        <v>-3221</v>
      </c>
      <c r="K645" s="4">
        <v>-3221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3" t="s">
        <v>26</v>
      </c>
      <c r="R645" s="3">
        <v>0</v>
      </c>
      <c r="S645" s="3" t="s">
        <v>348</v>
      </c>
      <c r="U645" s="3">
        <v>44</v>
      </c>
      <c r="V645" s="3">
        <v>0</v>
      </c>
      <c r="W645" s="3">
        <v>0</v>
      </c>
    </row>
    <row r="646" spans="1:23" ht="11.25" customHeight="1" x14ac:dyDescent="0.25">
      <c r="A646" s="3" t="s">
        <v>28</v>
      </c>
      <c r="B646" s="3" t="s">
        <v>41</v>
      </c>
      <c r="C646" s="3" t="s">
        <v>42</v>
      </c>
      <c r="D646" s="3" t="s">
        <v>43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44287</v>
      </c>
      <c r="J646" s="4">
        <v>4609</v>
      </c>
      <c r="K646" s="4">
        <v>4609</v>
      </c>
      <c r="L646" s="4">
        <v>0</v>
      </c>
      <c r="M646" s="4">
        <v>0</v>
      </c>
      <c r="N646" s="4">
        <v>0</v>
      </c>
      <c r="O646" s="4">
        <v>0</v>
      </c>
      <c r="P646" s="4">
        <v>30</v>
      </c>
      <c r="Q646" s="3" t="s">
        <v>26</v>
      </c>
      <c r="R646" s="3">
        <v>0</v>
      </c>
      <c r="S646" s="3" t="s">
        <v>348</v>
      </c>
      <c r="U646" s="3">
        <v>44</v>
      </c>
      <c r="V646" s="3">
        <v>0</v>
      </c>
      <c r="W646" s="3">
        <v>0</v>
      </c>
    </row>
    <row r="647" spans="1:23" ht="11.25" customHeight="1" x14ac:dyDescent="0.25">
      <c r="A647" s="3" t="s">
        <v>21</v>
      </c>
      <c r="B647" s="3" t="s">
        <v>41</v>
      </c>
      <c r="C647" s="3" t="s">
        <v>42</v>
      </c>
      <c r="D647" s="3" t="s">
        <v>43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44287</v>
      </c>
      <c r="J647" s="4">
        <v>239</v>
      </c>
      <c r="K647" s="4">
        <v>239</v>
      </c>
      <c r="L647" s="4">
        <v>0</v>
      </c>
      <c r="M647" s="4">
        <v>0</v>
      </c>
      <c r="N647" s="4">
        <v>0</v>
      </c>
      <c r="O647" s="4">
        <v>0</v>
      </c>
      <c r="P647" s="4">
        <v>1</v>
      </c>
      <c r="Q647" s="3" t="s">
        <v>57</v>
      </c>
      <c r="R647" s="3">
        <v>0</v>
      </c>
      <c r="S647" s="3" t="s">
        <v>348</v>
      </c>
      <c r="U647" s="3">
        <v>44</v>
      </c>
      <c r="V647" s="3">
        <v>0</v>
      </c>
      <c r="W647" s="3">
        <v>0</v>
      </c>
    </row>
    <row r="648" spans="1:23" ht="11.25" customHeight="1" x14ac:dyDescent="0.25">
      <c r="A648" s="3" t="s">
        <v>21</v>
      </c>
      <c r="B648" s="3" t="s">
        <v>41</v>
      </c>
      <c r="C648" s="3" t="s">
        <v>42</v>
      </c>
      <c r="D648" s="3" t="s">
        <v>43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44317</v>
      </c>
      <c r="J648" s="4">
        <v>48763</v>
      </c>
      <c r="K648" s="4">
        <v>48763</v>
      </c>
      <c r="L648" s="4">
        <v>0</v>
      </c>
      <c r="M648" s="4">
        <v>0</v>
      </c>
      <c r="N648" s="4">
        <v>0</v>
      </c>
      <c r="O648" s="4">
        <v>0</v>
      </c>
      <c r="P648" s="4">
        <v>456</v>
      </c>
      <c r="Q648" s="3" t="s">
        <v>26</v>
      </c>
      <c r="R648" s="3">
        <v>0</v>
      </c>
      <c r="S648" s="3" t="s">
        <v>349</v>
      </c>
      <c r="U648" s="3">
        <v>44</v>
      </c>
      <c r="V648" s="3">
        <v>0</v>
      </c>
      <c r="W648" s="3">
        <v>0</v>
      </c>
    </row>
    <row r="649" spans="1:23" ht="11.25" customHeight="1" x14ac:dyDescent="0.25">
      <c r="A649" s="3" t="s">
        <v>27</v>
      </c>
      <c r="B649" s="3" t="s">
        <v>41</v>
      </c>
      <c r="C649" s="3" t="s">
        <v>42</v>
      </c>
      <c r="D649" s="3" t="s">
        <v>43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44317</v>
      </c>
      <c r="J649" s="4">
        <v>-112</v>
      </c>
      <c r="K649" s="4">
        <v>-112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3" t="s">
        <v>26</v>
      </c>
      <c r="R649" s="3">
        <v>0</v>
      </c>
      <c r="S649" s="3" t="s">
        <v>349</v>
      </c>
      <c r="U649" s="3">
        <v>44</v>
      </c>
      <c r="V649" s="3">
        <v>0</v>
      </c>
      <c r="W649" s="3">
        <v>0</v>
      </c>
    </row>
    <row r="650" spans="1:23" ht="11.25" customHeight="1" x14ac:dyDescent="0.25">
      <c r="A650" s="3" t="s">
        <v>28</v>
      </c>
      <c r="B650" s="3" t="s">
        <v>41</v>
      </c>
      <c r="C650" s="3" t="s">
        <v>42</v>
      </c>
      <c r="D650" s="3" t="s">
        <v>43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44317</v>
      </c>
      <c r="J650" s="4">
        <v>4544</v>
      </c>
      <c r="K650" s="4">
        <v>4544</v>
      </c>
      <c r="L650" s="4">
        <v>0</v>
      </c>
      <c r="M650" s="4">
        <v>0</v>
      </c>
      <c r="N650" s="4">
        <v>0</v>
      </c>
      <c r="O650" s="4">
        <v>0</v>
      </c>
      <c r="P650" s="4">
        <v>30</v>
      </c>
      <c r="Q650" s="3" t="s">
        <v>26</v>
      </c>
      <c r="R650" s="3">
        <v>0</v>
      </c>
      <c r="S650" s="3" t="s">
        <v>349</v>
      </c>
      <c r="U650" s="3">
        <v>44</v>
      </c>
      <c r="V650" s="3">
        <v>0</v>
      </c>
      <c r="W650" s="3">
        <v>0</v>
      </c>
    </row>
    <row r="651" spans="1:23" ht="11.25" customHeight="1" x14ac:dyDescent="0.25">
      <c r="A651" s="3" t="s">
        <v>21</v>
      </c>
      <c r="B651" s="3" t="s">
        <v>41</v>
      </c>
      <c r="C651" s="3" t="s">
        <v>42</v>
      </c>
      <c r="D651" s="3" t="s">
        <v>43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44317</v>
      </c>
      <c r="J651" s="4">
        <v>239</v>
      </c>
      <c r="K651" s="4">
        <v>239</v>
      </c>
      <c r="L651" s="4">
        <v>0</v>
      </c>
      <c r="M651" s="4">
        <v>0</v>
      </c>
      <c r="N651" s="4">
        <v>0</v>
      </c>
      <c r="O651" s="4">
        <v>0</v>
      </c>
      <c r="P651" s="4">
        <v>1</v>
      </c>
      <c r="Q651" s="3" t="s">
        <v>57</v>
      </c>
      <c r="R651" s="3">
        <v>0</v>
      </c>
      <c r="S651" s="3" t="s">
        <v>349</v>
      </c>
      <c r="U651" s="3">
        <v>44</v>
      </c>
      <c r="V651" s="3">
        <v>0</v>
      </c>
      <c r="W651" s="3">
        <v>0</v>
      </c>
    </row>
    <row r="652" spans="1:23" ht="11.25" customHeight="1" x14ac:dyDescent="0.25">
      <c r="A652" s="3" t="s">
        <v>21</v>
      </c>
      <c r="B652" s="3" t="s">
        <v>41</v>
      </c>
      <c r="C652" s="3" t="s">
        <v>42</v>
      </c>
      <c r="D652" s="3" t="s">
        <v>43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44348</v>
      </c>
      <c r="J652" s="4">
        <v>48558</v>
      </c>
      <c r="K652" s="4">
        <v>48558</v>
      </c>
      <c r="L652" s="4">
        <v>0</v>
      </c>
      <c r="M652" s="4">
        <v>0</v>
      </c>
      <c r="N652" s="4">
        <v>0</v>
      </c>
      <c r="O652" s="4">
        <v>0</v>
      </c>
      <c r="P652" s="4">
        <v>456</v>
      </c>
      <c r="Q652" s="3" t="s">
        <v>26</v>
      </c>
      <c r="R652" s="3">
        <v>0</v>
      </c>
      <c r="S652" s="3" t="s">
        <v>350</v>
      </c>
      <c r="U652" s="3">
        <v>44</v>
      </c>
      <c r="V652" s="3">
        <v>0</v>
      </c>
      <c r="W652" s="3">
        <v>0</v>
      </c>
    </row>
    <row r="653" spans="1:23" ht="11.25" customHeight="1" x14ac:dyDescent="0.25">
      <c r="A653" s="3" t="s">
        <v>27</v>
      </c>
      <c r="B653" s="3" t="s">
        <v>41</v>
      </c>
      <c r="C653" s="3" t="s">
        <v>42</v>
      </c>
      <c r="D653" s="3" t="s">
        <v>43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44348</v>
      </c>
      <c r="J653" s="4">
        <v>-253</v>
      </c>
      <c r="K653" s="4">
        <v>-253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3" t="s">
        <v>26</v>
      </c>
      <c r="R653" s="3">
        <v>0</v>
      </c>
      <c r="S653" s="3" t="s">
        <v>350</v>
      </c>
      <c r="U653" s="3">
        <v>44</v>
      </c>
      <c r="V653" s="3">
        <v>0</v>
      </c>
      <c r="W653" s="3">
        <v>0</v>
      </c>
    </row>
    <row r="654" spans="1:23" ht="11.25" customHeight="1" x14ac:dyDescent="0.25">
      <c r="A654" s="3" t="s">
        <v>28</v>
      </c>
      <c r="B654" s="3" t="s">
        <v>41</v>
      </c>
      <c r="C654" s="3" t="s">
        <v>42</v>
      </c>
      <c r="D654" s="3" t="s">
        <v>43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44348</v>
      </c>
      <c r="J654" s="4">
        <v>4348</v>
      </c>
      <c r="K654" s="4">
        <v>4348</v>
      </c>
      <c r="L654" s="4">
        <v>0</v>
      </c>
      <c r="M654" s="4">
        <v>0</v>
      </c>
      <c r="N654" s="4">
        <v>0</v>
      </c>
      <c r="O654" s="4">
        <v>0</v>
      </c>
      <c r="P654" s="4">
        <v>27</v>
      </c>
      <c r="Q654" s="3" t="s">
        <v>26</v>
      </c>
      <c r="R654" s="3">
        <v>0</v>
      </c>
      <c r="S654" s="3" t="s">
        <v>350</v>
      </c>
      <c r="U654" s="3">
        <v>44</v>
      </c>
      <c r="V654" s="3">
        <v>0</v>
      </c>
      <c r="W654" s="3">
        <v>0</v>
      </c>
    </row>
    <row r="655" spans="1:23" ht="11.25" customHeight="1" x14ac:dyDescent="0.25">
      <c r="A655" s="3" t="s">
        <v>21</v>
      </c>
      <c r="B655" s="3" t="s">
        <v>41</v>
      </c>
      <c r="C655" s="3" t="s">
        <v>42</v>
      </c>
      <c r="D655" s="3" t="s">
        <v>43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44348</v>
      </c>
      <c r="J655" s="4">
        <v>239</v>
      </c>
      <c r="K655" s="4">
        <v>239</v>
      </c>
      <c r="L655" s="4">
        <v>0</v>
      </c>
      <c r="M655" s="4">
        <v>0</v>
      </c>
      <c r="N655" s="4">
        <v>0</v>
      </c>
      <c r="O655" s="4">
        <v>0</v>
      </c>
      <c r="P655" s="4">
        <v>1</v>
      </c>
      <c r="Q655" s="3" t="s">
        <v>57</v>
      </c>
      <c r="R655" s="3">
        <v>0</v>
      </c>
      <c r="S655" s="3" t="s">
        <v>350</v>
      </c>
      <c r="U655" s="3">
        <v>44</v>
      </c>
      <c r="V655" s="3">
        <v>0</v>
      </c>
      <c r="W655" s="3">
        <v>0</v>
      </c>
    </row>
    <row r="656" spans="1:23" ht="11.25" customHeight="1" x14ac:dyDescent="0.25">
      <c r="A656" s="3" t="s">
        <v>21</v>
      </c>
      <c r="B656" s="3" t="s">
        <v>41</v>
      </c>
      <c r="C656" s="3" t="s">
        <v>42</v>
      </c>
      <c r="D656" s="3" t="s">
        <v>43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44378</v>
      </c>
      <c r="J656" s="4">
        <v>48105</v>
      </c>
      <c r="K656" s="4">
        <v>48105</v>
      </c>
      <c r="L656" s="4">
        <v>0</v>
      </c>
      <c r="M656" s="4">
        <v>0</v>
      </c>
      <c r="N656" s="4">
        <v>0</v>
      </c>
      <c r="O656" s="4">
        <v>0</v>
      </c>
      <c r="P656" s="4">
        <v>453</v>
      </c>
      <c r="Q656" s="3" t="s">
        <v>26</v>
      </c>
      <c r="R656" s="3">
        <v>0</v>
      </c>
      <c r="S656" s="3" t="s">
        <v>351</v>
      </c>
      <c r="U656" s="3">
        <v>44</v>
      </c>
      <c r="V656" s="3">
        <v>0</v>
      </c>
      <c r="W656" s="3">
        <v>0</v>
      </c>
    </row>
    <row r="657" spans="1:23" ht="11.25" customHeight="1" x14ac:dyDescent="0.25">
      <c r="A657" s="3" t="s">
        <v>27</v>
      </c>
      <c r="B657" s="3" t="s">
        <v>41</v>
      </c>
      <c r="C657" s="3" t="s">
        <v>42</v>
      </c>
      <c r="D657" s="3" t="s">
        <v>43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44378</v>
      </c>
      <c r="J657" s="4">
        <v>75</v>
      </c>
      <c r="K657" s="4">
        <v>75</v>
      </c>
      <c r="L657" s="4">
        <v>0</v>
      </c>
      <c r="M657" s="4">
        <v>0</v>
      </c>
      <c r="N657" s="4">
        <v>0</v>
      </c>
      <c r="O657" s="4">
        <v>0</v>
      </c>
      <c r="P657" s="4">
        <v>1</v>
      </c>
      <c r="Q657" s="3" t="s">
        <v>26</v>
      </c>
      <c r="R657" s="3">
        <v>0</v>
      </c>
      <c r="S657" s="3" t="s">
        <v>351</v>
      </c>
      <c r="U657" s="3">
        <v>44</v>
      </c>
      <c r="V657" s="3">
        <v>0</v>
      </c>
      <c r="W657" s="3">
        <v>0</v>
      </c>
    </row>
    <row r="658" spans="1:23" ht="11.25" customHeight="1" x14ac:dyDescent="0.25">
      <c r="A658" s="3" t="s">
        <v>28</v>
      </c>
      <c r="B658" s="3" t="s">
        <v>41</v>
      </c>
      <c r="C658" s="3" t="s">
        <v>42</v>
      </c>
      <c r="D658" s="3" t="s">
        <v>43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44378</v>
      </c>
      <c r="J658" s="4">
        <v>4440</v>
      </c>
      <c r="K658" s="4">
        <v>4440</v>
      </c>
      <c r="L658" s="4">
        <v>0</v>
      </c>
      <c r="M658" s="4">
        <v>0</v>
      </c>
      <c r="N658" s="4">
        <v>0</v>
      </c>
      <c r="O658" s="4">
        <v>0</v>
      </c>
      <c r="P658" s="4">
        <v>26</v>
      </c>
      <c r="Q658" s="3" t="s">
        <v>26</v>
      </c>
      <c r="R658" s="3">
        <v>0</v>
      </c>
      <c r="S658" s="3" t="s">
        <v>351</v>
      </c>
      <c r="U658" s="3">
        <v>44</v>
      </c>
      <c r="V658" s="3">
        <v>0</v>
      </c>
      <c r="W658" s="3">
        <v>0</v>
      </c>
    </row>
    <row r="659" spans="1:23" ht="11.25" customHeight="1" x14ac:dyDescent="0.25">
      <c r="A659" s="3" t="s">
        <v>21</v>
      </c>
      <c r="B659" s="3" t="s">
        <v>41</v>
      </c>
      <c r="C659" s="3" t="s">
        <v>42</v>
      </c>
      <c r="D659" s="3" t="s">
        <v>43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44378</v>
      </c>
      <c r="J659" s="4">
        <v>2239</v>
      </c>
      <c r="K659" s="4">
        <v>2239</v>
      </c>
      <c r="L659" s="4">
        <v>0</v>
      </c>
      <c r="M659" s="4">
        <v>0</v>
      </c>
      <c r="N659" s="4">
        <v>0</v>
      </c>
      <c r="O659" s="4">
        <v>0</v>
      </c>
      <c r="P659" s="4">
        <v>2</v>
      </c>
      <c r="Q659" s="3" t="s">
        <v>57</v>
      </c>
      <c r="R659" s="3">
        <v>0</v>
      </c>
      <c r="S659" s="3" t="s">
        <v>351</v>
      </c>
      <c r="U659" s="3">
        <v>44</v>
      </c>
      <c r="V659" s="3">
        <v>0</v>
      </c>
      <c r="W659" s="3">
        <v>0</v>
      </c>
    </row>
    <row r="660" spans="1:23" ht="11.25" customHeight="1" x14ac:dyDescent="0.25">
      <c r="A660" s="3" t="s">
        <v>21</v>
      </c>
      <c r="B660" s="3" t="s">
        <v>41</v>
      </c>
      <c r="C660" s="3" t="s">
        <v>42</v>
      </c>
      <c r="D660" s="3" t="s">
        <v>43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44409</v>
      </c>
      <c r="J660" s="4">
        <v>48595</v>
      </c>
      <c r="K660" s="4">
        <v>48595</v>
      </c>
      <c r="L660" s="4">
        <v>0</v>
      </c>
      <c r="M660" s="4">
        <v>0</v>
      </c>
      <c r="N660" s="4">
        <v>0</v>
      </c>
      <c r="O660" s="4">
        <v>0</v>
      </c>
      <c r="P660" s="4">
        <v>454</v>
      </c>
      <c r="Q660" s="3" t="s">
        <v>26</v>
      </c>
      <c r="R660" s="3">
        <v>0</v>
      </c>
      <c r="S660" s="3" t="s">
        <v>352</v>
      </c>
      <c r="U660" s="3">
        <v>44</v>
      </c>
      <c r="V660" s="3">
        <v>0</v>
      </c>
      <c r="W660" s="3">
        <v>0</v>
      </c>
    </row>
    <row r="661" spans="1:23" ht="11.25" customHeight="1" x14ac:dyDescent="0.25">
      <c r="A661" s="3" t="s">
        <v>28</v>
      </c>
      <c r="B661" s="3" t="s">
        <v>41</v>
      </c>
      <c r="C661" s="3" t="s">
        <v>42</v>
      </c>
      <c r="D661" s="3" t="s">
        <v>43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44409</v>
      </c>
      <c r="J661" s="4">
        <v>4366</v>
      </c>
      <c r="K661" s="4">
        <v>4366</v>
      </c>
      <c r="L661" s="4">
        <v>0</v>
      </c>
      <c r="M661" s="4">
        <v>0</v>
      </c>
      <c r="N661" s="4">
        <v>0</v>
      </c>
      <c r="O661" s="4">
        <v>0</v>
      </c>
      <c r="P661" s="4">
        <v>26</v>
      </c>
      <c r="Q661" s="3" t="s">
        <v>26</v>
      </c>
      <c r="R661" s="3">
        <v>0</v>
      </c>
      <c r="S661" s="3" t="s">
        <v>352</v>
      </c>
      <c r="U661" s="3">
        <v>44</v>
      </c>
      <c r="V661" s="3">
        <v>0</v>
      </c>
      <c r="W661" s="3">
        <v>0</v>
      </c>
    </row>
    <row r="662" spans="1:23" ht="11.25" customHeight="1" x14ac:dyDescent="0.25">
      <c r="A662" s="3" t="s">
        <v>21</v>
      </c>
      <c r="B662" s="3" t="s">
        <v>41</v>
      </c>
      <c r="C662" s="3" t="s">
        <v>42</v>
      </c>
      <c r="D662" s="3" t="s">
        <v>43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44409</v>
      </c>
      <c r="J662" s="4">
        <v>3319</v>
      </c>
      <c r="K662" s="4">
        <v>3319</v>
      </c>
      <c r="L662" s="4">
        <v>0</v>
      </c>
      <c r="M662" s="4">
        <v>0</v>
      </c>
      <c r="N662" s="4">
        <v>0</v>
      </c>
      <c r="O662" s="4">
        <v>0</v>
      </c>
      <c r="P662" s="4">
        <v>5</v>
      </c>
      <c r="Q662" s="3" t="s">
        <v>57</v>
      </c>
      <c r="R662" s="3">
        <v>0</v>
      </c>
      <c r="S662" s="3" t="s">
        <v>352</v>
      </c>
      <c r="U662" s="3">
        <v>44</v>
      </c>
      <c r="V662" s="3">
        <v>0</v>
      </c>
      <c r="W662" s="3">
        <v>0</v>
      </c>
    </row>
    <row r="663" spans="1:23" ht="11.25" customHeight="1" x14ac:dyDescent="0.25">
      <c r="A663" s="3" t="s">
        <v>21</v>
      </c>
      <c r="B663" s="3" t="s">
        <v>41</v>
      </c>
      <c r="C663" s="3" t="s">
        <v>42</v>
      </c>
      <c r="D663" s="3" t="s">
        <v>43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44440</v>
      </c>
      <c r="J663" s="4">
        <v>49028</v>
      </c>
      <c r="K663" s="4">
        <v>49028</v>
      </c>
      <c r="L663" s="4">
        <v>0</v>
      </c>
      <c r="M663" s="4">
        <v>0</v>
      </c>
      <c r="N663" s="4">
        <v>0</v>
      </c>
      <c r="O663" s="4">
        <v>0</v>
      </c>
      <c r="P663" s="4">
        <v>453</v>
      </c>
      <c r="Q663" s="3" t="s">
        <v>26</v>
      </c>
      <c r="R663" s="3">
        <v>0</v>
      </c>
      <c r="S663" s="3" t="s">
        <v>353</v>
      </c>
      <c r="U663" s="3">
        <v>44</v>
      </c>
      <c r="V663" s="3">
        <v>0</v>
      </c>
      <c r="W663" s="3">
        <v>0</v>
      </c>
    </row>
    <row r="664" spans="1:23" ht="11.25" customHeight="1" x14ac:dyDescent="0.25">
      <c r="A664" s="3" t="s">
        <v>28</v>
      </c>
      <c r="B664" s="3" t="s">
        <v>41</v>
      </c>
      <c r="C664" s="3" t="s">
        <v>42</v>
      </c>
      <c r="D664" s="3" t="s">
        <v>43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44440</v>
      </c>
      <c r="J664" s="4">
        <v>4670</v>
      </c>
      <c r="K664" s="4">
        <v>4670</v>
      </c>
      <c r="L664" s="4">
        <v>0</v>
      </c>
      <c r="M664" s="4">
        <v>0</v>
      </c>
      <c r="N664" s="4">
        <v>0</v>
      </c>
      <c r="O664" s="4">
        <v>0</v>
      </c>
      <c r="P664" s="4">
        <v>30</v>
      </c>
      <c r="Q664" s="3" t="s">
        <v>26</v>
      </c>
      <c r="R664" s="3">
        <v>0</v>
      </c>
      <c r="S664" s="3" t="s">
        <v>353</v>
      </c>
      <c r="U664" s="3">
        <v>44</v>
      </c>
      <c r="V664" s="3">
        <v>0</v>
      </c>
      <c r="W664" s="3">
        <v>0</v>
      </c>
    </row>
    <row r="665" spans="1:23" ht="11.25" customHeight="1" x14ac:dyDescent="0.25">
      <c r="A665" s="3" t="s">
        <v>21</v>
      </c>
      <c r="B665" s="3" t="s">
        <v>41</v>
      </c>
      <c r="C665" s="3" t="s">
        <v>42</v>
      </c>
      <c r="D665" s="3" t="s">
        <v>43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44440</v>
      </c>
      <c r="J665" s="4">
        <v>2239</v>
      </c>
      <c r="K665" s="4">
        <v>2239</v>
      </c>
      <c r="L665" s="4">
        <v>0</v>
      </c>
      <c r="M665" s="4">
        <v>0</v>
      </c>
      <c r="N665" s="4">
        <v>0</v>
      </c>
      <c r="O665" s="4">
        <v>0</v>
      </c>
      <c r="P665" s="4">
        <v>2</v>
      </c>
      <c r="Q665" s="3" t="s">
        <v>57</v>
      </c>
      <c r="R665" s="3">
        <v>0</v>
      </c>
      <c r="S665" s="3" t="s">
        <v>353</v>
      </c>
      <c r="U665" s="3">
        <v>44</v>
      </c>
      <c r="V665" s="3">
        <v>0</v>
      </c>
      <c r="W665" s="3">
        <v>0</v>
      </c>
    </row>
    <row r="666" spans="1:23" ht="11.25" customHeight="1" x14ac:dyDescent="0.25">
      <c r="A666" s="3" t="s">
        <v>21</v>
      </c>
      <c r="B666" s="3" t="s">
        <v>41</v>
      </c>
      <c r="C666" s="3" t="s">
        <v>42</v>
      </c>
      <c r="D666" s="3" t="s">
        <v>43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44470</v>
      </c>
      <c r="J666" s="4">
        <v>48707</v>
      </c>
      <c r="K666" s="4">
        <v>48707</v>
      </c>
      <c r="L666" s="4">
        <v>0</v>
      </c>
      <c r="M666" s="4">
        <v>0</v>
      </c>
      <c r="N666" s="4">
        <v>0</v>
      </c>
      <c r="O666" s="4">
        <v>0</v>
      </c>
      <c r="P666" s="4">
        <v>452</v>
      </c>
      <c r="Q666" s="3" t="s">
        <v>26</v>
      </c>
      <c r="R666" s="3">
        <v>0</v>
      </c>
      <c r="S666" s="3" t="s">
        <v>354</v>
      </c>
      <c r="U666" s="3">
        <v>44</v>
      </c>
      <c r="V666" s="3">
        <v>0</v>
      </c>
      <c r="W666" s="3">
        <v>0</v>
      </c>
    </row>
    <row r="667" spans="1:23" ht="11.25" customHeight="1" x14ac:dyDescent="0.25">
      <c r="A667" s="3" t="s">
        <v>27</v>
      </c>
      <c r="B667" s="3" t="s">
        <v>41</v>
      </c>
      <c r="C667" s="3" t="s">
        <v>42</v>
      </c>
      <c r="D667" s="3" t="s">
        <v>43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44470</v>
      </c>
      <c r="J667" s="4">
        <v>-958</v>
      </c>
      <c r="K667" s="4">
        <v>-958</v>
      </c>
      <c r="L667" s="4">
        <v>0</v>
      </c>
      <c r="M667" s="4">
        <v>0</v>
      </c>
      <c r="N667" s="4">
        <v>0</v>
      </c>
      <c r="O667" s="4">
        <v>0</v>
      </c>
      <c r="P667" s="4">
        <v>-1</v>
      </c>
      <c r="Q667" s="3" t="s">
        <v>26</v>
      </c>
      <c r="R667" s="3">
        <v>0</v>
      </c>
      <c r="S667" s="3" t="s">
        <v>354</v>
      </c>
      <c r="U667" s="3">
        <v>44</v>
      </c>
      <c r="V667" s="3">
        <v>0</v>
      </c>
      <c r="W667" s="3">
        <v>0</v>
      </c>
    </row>
    <row r="668" spans="1:23" ht="11.25" customHeight="1" x14ac:dyDescent="0.25">
      <c r="A668" s="3" t="s">
        <v>28</v>
      </c>
      <c r="B668" s="3" t="s">
        <v>41</v>
      </c>
      <c r="C668" s="3" t="s">
        <v>42</v>
      </c>
      <c r="D668" s="3" t="s">
        <v>43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44470</v>
      </c>
      <c r="J668" s="4">
        <v>4634</v>
      </c>
      <c r="K668" s="4">
        <v>4634</v>
      </c>
      <c r="L668" s="4">
        <v>0</v>
      </c>
      <c r="M668" s="4">
        <v>0</v>
      </c>
      <c r="N668" s="4">
        <v>0</v>
      </c>
      <c r="O668" s="4">
        <v>0</v>
      </c>
      <c r="P668" s="4">
        <v>28</v>
      </c>
      <c r="Q668" s="3" t="s">
        <v>26</v>
      </c>
      <c r="R668" s="3">
        <v>0</v>
      </c>
      <c r="S668" s="3" t="s">
        <v>354</v>
      </c>
      <c r="U668" s="3">
        <v>44</v>
      </c>
      <c r="V668" s="3">
        <v>0</v>
      </c>
      <c r="W668" s="3">
        <v>0</v>
      </c>
    </row>
    <row r="669" spans="1:23" ht="11.25" customHeight="1" x14ac:dyDescent="0.25">
      <c r="A669" s="3" t="s">
        <v>21</v>
      </c>
      <c r="B669" s="3" t="s">
        <v>41</v>
      </c>
      <c r="C669" s="3" t="s">
        <v>42</v>
      </c>
      <c r="D669" s="3" t="s">
        <v>43</v>
      </c>
      <c r="E669" s="3" t="s">
        <v>25</v>
      </c>
      <c r="F669" s="3" t="s">
        <v>25</v>
      </c>
      <c r="G669" s="3" t="s">
        <v>25</v>
      </c>
      <c r="H669" s="3" t="s">
        <v>25</v>
      </c>
      <c r="I669" s="6">
        <v>44470</v>
      </c>
      <c r="J669" s="4">
        <v>2239</v>
      </c>
      <c r="K669" s="4">
        <v>2239</v>
      </c>
      <c r="L669" s="4">
        <v>0</v>
      </c>
      <c r="M669" s="4">
        <v>0</v>
      </c>
      <c r="N669" s="4">
        <v>0</v>
      </c>
      <c r="O669" s="4">
        <v>0</v>
      </c>
      <c r="P669" s="4">
        <v>2</v>
      </c>
      <c r="Q669" s="3" t="s">
        <v>57</v>
      </c>
      <c r="R669" s="3">
        <v>0</v>
      </c>
      <c r="S669" s="3" t="s">
        <v>354</v>
      </c>
      <c r="U669" s="3">
        <v>44</v>
      </c>
      <c r="V669" s="3">
        <v>0</v>
      </c>
      <c r="W669" s="3">
        <v>0</v>
      </c>
    </row>
    <row r="670" spans="1:23" ht="11.25" customHeight="1" x14ac:dyDescent="0.25">
      <c r="A670" s="3" t="s">
        <v>21</v>
      </c>
      <c r="B670" s="3" t="s">
        <v>41</v>
      </c>
      <c r="C670" s="3" t="s">
        <v>42</v>
      </c>
      <c r="D670" s="3" t="s">
        <v>43</v>
      </c>
      <c r="E670" s="3" t="s">
        <v>25</v>
      </c>
      <c r="F670" s="3" t="s">
        <v>25</v>
      </c>
      <c r="G670" s="3" t="s">
        <v>25</v>
      </c>
      <c r="H670" s="3" t="s">
        <v>25</v>
      </c>
      <c r="I670" s="6">
        <v>44501</v>
      </c>
      <c r="J670" s="4">
        <v>49499</v>
      </c>
      <c r="K670" s="4">
        <v>49499</v>
      </c>
      <c r="L670" s="4">
        <v>0</v>
      </c>
      <c r="M670" s="4">
        <v>0</v>
      </c>
      <c r="N670" s="4">
        <v>0</v>
      </c>
      <c r="O670" s="4">
        <v>0</v>
      </c>
      <c r="P670" s="4">
        <v>453</v>
      </c>
      <c r="Q670" s="3" t="s">
        <v>26</v>
      </c>
      <c r="R670" s="3">
        <v>0</v>
      </c>
      <c r="S670" s="3" t="s">
        <v>355</v>
      </c>
      <c r="U670" s="3">
        <v>44</v>
      </c>
      <c r="V670" s="3">
        <v>0</v>
      </c>
      <c r="W670" s="3">
        <v>0</v>
      </c>
    </row>
    <row r="671" spans="1:23" ht="11.25" customHeight="1" x14ac:dyDescent="0.25">
      <c r="A671" s="3" t="s">
        <v>27</v>
      </c>
      <c r="B671" s="3" t="s">
        <v>41</v>
      </c>
      <c r="C671" s="3" t="s">
        <v>42</v>
      </c>
      <c r="D671" s="3" t="s">
        <v>43</v>
      </c>
      <c r="E671" s="3" t="s">
        <v>25</v>
      </c>
      <c r="F671" s="3" t="s">
        <v>25</v>
      </c>
      <c r="G671" s="3" t="s">
        <v>25</v>
      </c>
      <c r="H671" s="3" t="s">
        <v>25</v>
      </c>
      <c r="I671" s="6">
        <v>44501</v>
      </c>
      <c r="J671" s="4">
        <v>340</v>
      </c>
      <c r="K671" s="4">
        <v>340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3" t="s">
        <v>26</v>
      </c>
      <c r="R671" s="3">
        <v>0</v>
      </c>
      <c r="S671" s="3" t="s">
        <v>355</v>
      </c>
      <c r="U671" s="3">
        <v>44</v>
      </c>
      <c r="V671" s="3">
        <v>0</v>
      </c>
      <c r="W671" s="3">
        <v>0</v>
      </c>
    </row>
    <row r="672" spans="1:23" ht="11.25" customHeight="1" x14ac:dyDescent="0.25">
      <c r="A672" s="3" t="s">
        <v>28</v>
      </c>
      <c r="B672" s="3" t="s">
        <v>41</v>
      </c>
      <c r="C672" s="3" t="s">
        <v>42</v>
      </c>
      <c r="D672" s="3" t="s">
        <v>43</v>
      </c>
      <c r="E672" s="3" t="s">
        <v>25</v>
      </c>
      <c r="F672" s="3" t="s">
        <v>25</v>
      </c>
      <c r="G672" s="3" t="s">
        <v>25</v>
      </c>
      <c r="H672" s="3" t="s">
        <v>25</v>
      </c>
      <c r="I672" s="6">
        <v>44501</v>
      </c>
      <c r="J672" s="4">
        <v>5057</v>
      </c>
      <c r="K672" s="4">
        <v>5057</v>
      </c>
      <c r="L672" s="4">
        <v>0</v>
      </c>
      <c r="M672" s="4">
        <v>0</v>
      </c>
      <c r="N672" s="4">
        <v>0</v>
      </c>
      <c r="O672" s="4">
        <v>0</v>
      </c>
      <c r="P672" s="4">
        <v>30</v>
      </c>
      <c r="Q672" s="3" t="s">
        <v>26</v>
      </c>
      <c r="R672" s="3">
        <v>0</v>
      </c>
      <c r="S672" s="3" t="s">
        <v>355</v>
      </c>
      <c r="U672" s="3">
        <v>44</v>
      </c>
      <c r="V672" s="3">
        <v>0</v>
      </c>
      <c r="W672" s="3">
        <v>0</v>
      </c>
    </row>
    <row r="673" spans="1:23" ht="11.25" customHeight="1" x14ac:dyDescent="0.25">
      <c r="A673" s="3" t="s">
        <v>21</v>
      </c>
      <c r="B673" s="3" t="s">
        <v>41</v>
      </c>
      <c r="C673" s="3" t="s">
        <v>42</v>
      </c>
      <c r="D673" s="3" t="s">
        <v>43</v>
      </c>
      <c r="E673" s="3" t="s">
        <v>25</v>
      </c>
      <c r="F673" s="3" t="s">
        <v>25</v>
      </c>
      <c r="G673" s="3" t="s">
        <v>25</v>
      </c>
      <c r="H673" s="3" t="s">
        <v>25</v>
      </c>
      <c r="I673" s="6">
        <v>44501</v>
      </c>
      <c r="J673" s="4">
        <v>2175</v>
      </c>
      <c r="K673" s="4">
        <v>2175</v>
      </c>
      <c r="L673" s="4">
        <v>0</v>
      </c>
      <c r="M673" s="4">
        <v>0</v>
      </c>
      <c r="N673" s="4">
        <v>0</v>
      </c>
      <c r="O673" s="4">
        <v>0</v>
      </c>
      <c r="P673" s="4">
        <v>2</v>
      </c>
      <c r="Q673" s="3" t="s">
        <v>57</v>
      </c>
      <c r="R673" s="3">
        <v>0</v>
      </c>
      <c r="S673" s="3" t="s">
        <v>355</v>
      </c>
      <c r="U673" s="3">
        <v>44</v>
      </c>
      <c r="V673" s="3">
        <v>0</v>
      </c>
      <c r="W673" s="3">
        <v>0</v>
      </c>
    </row>
    <row r="674" spans="1:23" ht="11.25" customHeight="1" x14ac:dyDescent="0.25">
      <c r="A674" s="3" t="s">
        <v>21</v>
      </c>
      <c r="B674" s="3" t="s">
        <v>41</v>
      </c>
      <c r="C674" s="3" t="s">
        <v>42</v>
      </c>
      <c r="D674" s="3" t="s">
        <v>43</v>
      </c>
      <c r="E674" s="3" t="s">
        <v>25</v>
      </c>
      <c r="F674" s="3" t="s">
        <v>25</v>
      </c>
      <c r="G674" s="3" t="s">
        <v>25</v>
      </c>
      <c r="H674" s="3" t="s">
        <v>25</v>
      </c>
      <c r="I674" s="6">
        <v>44531</v>
      </c>
      <c r="J674" s="4">
        <v>49135</v>
      </c>
      <c r="K674" s="4">
        <v>49135</v>
      </c>
      <c r="L674" s="4">
        <v>0</v>
      </c>
      <c r="M674" s="4">
        <v>0</v>
      </c>
      <c r="N674" s="4">
        <v>0</v>
      </c>
      <c r="O674" s="4">
        <v>0</v>
      </c>
      <c r="P674" s="4">
        <v>446</v>
      </c>
      <c r="Q674" s="3" t="s">
        <v>26</v>
      </c>
      <c r="R674" s="3">
        <v>0</v>
      </c>
      <c r="S674" s="3" t="s">
        <v>356</v>
      </c>
      <c r="U674" s="3">
        <v>44</v>
      </c>
      <c r="V674" s="3">
        <v>0</v>
      </c>
      <c r="W674" s="3">
        <v>0</v>
      </c>
    </row>
    <row r="675" spans="1:23" ht="11.25" customHeight="1" x14ac:dyDescent="0.25">
      <c r="A675" s="3" t="s">
        <v>27</v>
      </c>
      <c r="B675" s="3" t="s">
        <v>41</v>
      </c>
      <c r="C675" s="3" t="s">
        <v>42</v>
      </c>
      <c r="D675" s="3" t="s">
        <v>43</v>
      </c>
      <c r="E675" s="3" t="s">
        <v>25</v>
      </c>
      <c r="F675" s="3" t="s">
        <v>25</v>
      </c>
      <c r="G675" s="3" t="s">
        <v>25</v>
      </c>
      <c r="H675" s="3" t="s">
        <v>25</v>
      </c>
      <c r="I675" s="6">
        <v>44531</v>
      </c>
      <c r="J675" s="4">
        <v>323</v>
      </c>
      <c r="K675" s="4">
        <v>323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3" t="s">
        <v>26</v>
      </c>
      <c r="R675" s="3">
        <v>0</v>
      </c>
      <c r="S675" s="3" t="s">
        <v>356</v>
      </c>
      <c r="U675" s="3">
        <v>44</v>
      </c>
      <c r="V675" s="3">
        <v>0</v>
      </c>
      <c r="W675" s="3">
        <v>0</v>
      </c>
    </row>
    <row r="676" spans="1:23" ht="11.25" customHeight="1" x14ac:dyDescent="0.25">
      <c r="A676" s="3" t="s">
        <v>28</v>
      </c>
      <c r="B676" s="3" t="s">
        <v>41</v>
      </c>
      <c r="C676" s="3" t="s">
        <v>42</v>
      </c>
      <c r="D676" s="3" t="s">
        <v>43</v>
      </c>
      <c r="E676" s="3" t="s">
        <v>25</v>
      </c>
      <c r="F676" s="3" t="s">
        <v>25</v>
      </c>
      <c r="G676" s="3" t="s">
        <v>25</v>
      </c>
      <c r="H676" s="3" t="s">
        <v>25</v>
      </c>
      <c r="I676" s="6">
        <v>44531</v>
      </c>
      <c r="J676" s="4">
        <v>5529</v>
      </c>
      <c r="K676" s="4">
        <v>5529</v>
      </c>
      <c r="L676" s="4">
        <v>0</v>
      </c>
      <c r="M676" s="4">
        <v>0</v>
      </c>
      <c r="N676" s="4">
        <v>0</v>
      </c>
      <c r="O676" s="4">
        <v>0</v>
      </c>
      <c r="P676" s="4">
        <v>36</v>
      </c>
      <c r="Q676" s="3" t="s">
        <v>26</v>
      </c>
      <c r="R676" s="3">
        <v>0</v>
      </c>
      <c r="S676" s="3" t="s">
        <v>356</v>
      </c>
      <c r="U676" s="3">
        <v>44</v>
      </c>
      <c r="V676" s="3">
        <v>0</v>
      </c>
      <c r="W676" s="3">
        <v>0</v>
      </c>
    </row>
    <row r="677" spans="1:23" ht="11.25" customHeight="1" x14ac:dyDescent="0.25">
      <c r="A677" s="3" t="s">
        <v>21</v>
      </c>
      <c r="B677" s="3" t="s">
        <v>41</v>
      </c>
      <c r="C677" s="3" t="s">
        <v>42</v>
      </c>
      <c r="D677" s="3" t="s">
        <v>43</v>
      </c>
      <c r="E677" s="3" t="s">
        <v>25</v>
      </c>
      <c r="F677" s="3" t="s">
        <v>25</v>
      </c>
      <c r="G677" s="3" t="s">
        <v>25</v>
      </c>
      <c r="H677" s="3" t="s">
        <v>25</v>
      </c>
      <c r="I677" s="6">
        <v>44531</v>
      </c>
      <c r="J677" s="4">
        <v>2175</v>
      </c>
      <c r="K677" s="4">
        <v>2175</v>
      </c>
      <c r="L677" s="4">
        <v>0</v>
      </c>
      <c r="M677" s="4">
        <v>0</v>
      </c>
      <c r="N677" s="4">
        <v>0</v>
      </c>
      <c r="O677" s="4">
        <v>0</v>
      </c>
      <c r="P677" s="4">
        <v>2</v>
      </c>
      <c r="Q677" s="3" t="s">
        <v>57</v>
      </c>
      <c r="R677" s="3">
        <v>0</v>
      </c>
      <c r="S677" s="3" t="s">
        <v>356</v>
      </c>
      <c r="U677" s="3">
        <v>44</v>
      </c>
      <c r="V677" s="3">
        <v>0</v>
      </c>
      <c r="W677" s="3">
        <v>0</v>
      </c>
    </row>
    <row r="678" spans="1:23" ht="11.25" customHeight="1" x14ac:dyDescent="0.25">
      <c r="A678" s="3" t="s">
        <v>21</v>
      </c>
      <c r="B678" s="3" t="s">
        <v>41</v>
      </c>
      <c r="C678" s="3" t="s">
        <v>42</v>
      </c>
      <c r="D678" s="3" t="s">
        <v>43</v>
      </c>
      <c r="E678" s="3" t="s">
        <v>25</v>
      </c>
      <c r="F678" s="3" t="s">
        <v>25</v>
      </c>
      <c r="G678" s="3" t="s">
        <v>25</v>
      </c>
      <c r="H678" s="3" t="s">
        <v>25</v>
      </c>
      <c r="I678" s="6">
        <v>44562</v>
      </c>
      <c r="J678" s="4">
        <v>47290</v>
      </c>
      <c r="K678" s="4">
        <v>47290</v>
      </c>
      <c r="L678" s="4">
        <v>0</v>
      </c>
      <c r="M678" s="4">
        <v>0</v>
      </c>
      <c r="N678" s="4">
        <v>0</v>
      </c>
      <c r="O678" s="4">
        <v>0</v>
      </c>
      <c r="P678" s="4">
        <v>438</v>
      </c>
      <c r="Q678" s="3" t="s">
        <v>26</v>
      </c>
      <c r="R678" s="3">
        <v>0</v>
      </c>
      <c r="S678" s="3" t="s">
        <v>357</v>
      </c>
      <c r="U678" s="3">
        <v>44</v>
      </c>
      <c r="V678" s="3">
        <v>0</v>
      </c>
      <c r="W678" s="3">
        <v>0</v>
      </c>
    </row>
    <row r="679" spans="1:23" ht="11.25" customHeight="1" x14ac:dyDescent="0.25">
      <c r="A679" s="3" t="s">
        <v>28</v>
      </c>
      <c r="B679" s="3" t="s">
        <v>41</v>
      </c>
      <c r="C679" s="3" t="s">
        <v>42</v>
      </c>
      <c r="D679" s="3" t="s">
        <v>43</v>
      </c>
      <c r="E679" s="3" t="s">
        <v>25</v>
      </c>
      <c r="F679" s="3" t="s">
        <v>25</v>
      </c>
      <c r="G679" s="3" t="s">
        <v>25</v>
      </c>
      <c r="H679" s="3" t="s">
        <v>25</v>
      </c>
      <c r="I679" s="6">
        <v>44562</v>
      </c>
      <c r="J679" s="4">
        <v>5866</v>
      </c>
      <c r="K679" s="4">
        <v>5866</v>
      </c>
      <c r="L679" s="4">
        <v>0</v>
      </c>
      <c r="M679" s="4">
        <v>0</v>
      </c>
      <c r="N679" s="4">
        <v>0</v>
      </c>
      <c r="O679" s="4">
        <v>0</v>
      </c>
      <c r="P679" s="4">
        <v>36</v>
      </c>
      <c r="Q679" s="3" t="s">
        <v>26</v>
      </c>
      <c r="R679" s="3">
        <v>0</v>
      </c>
      <c r="S679" s="3" t="s">
        <v>357</v>
      </c>
      <c r="U679" s="3">
        <v>44</v>
      </c>
      <c r="V679" s="3">
        <v>0</v>
      </c>
      <c r="W679" s="3">
        <v>0</v>
      </c>
    </row>
    <row r="680" spans="1:23" ht="11.25" customHeight="1" x14ac:dyDescent="0.25">
      <c r="A680" s="3" t="s">
        <v>21</v>
      </c>
      <c r="B680" s="3" t="s">
        <v>41</v>
      </c>
      <c r="C680" s="3" t="s">
        <v>42</v>
      </c>
      <c r="D680" s="3" t="s">
        <v>43</v>
      </c>
      <c r="E680" s="3" t="s">
        <v>25</v>
      </c>
      <c r="F680" s="3" t="s">
        <v>25</v>
      </c>
      <c r="G680" s="3" t="s">
        <v>25</v>
      </c>
      <c r="H680" s="3" t="s">
        <v>25</v>
      </c>
      <c r="I680" s="6">
        <v>44562</v>
      </c>
      <c r="J680" s="4">
        <v>2175</v>
      </c>
      <c r="K680" s="4">
        <v>2175</v>
      </c>
      <c r="L680" s="4">
        <v>0</v>
      </c>
      <c r="M680" s="4">
        <v>0</v>
      </c>
      <c r="N680" s="4">
        <v>0</v>
      </c>
      <c r="O680" s="4">
        <v>0</v>
      </c>
      <c r="P680" s="4">
        <v>2</v>
      </c>
      <c r="Q680" s="3" t="s">
        <v>57</v>
      </c>
      <c r="R680" s="3">
        <v>0</v>
      </c>
      <c r="S680" s="3" t="s">
        <v>357</v>
      </c>
      <c r="U680" s="3">
        <v>44</v>
      </c>
      <c r="V680" s="3">
        <v>0</v>
      </c>
      <c r="W680" s="3">
        <v>0</v>
      </c>
    </row>
    <row r="681" spans="1:23" ht="11.25" customHeight="1" x14ac:dyDescent="0.25">
      <c r="A681" s="3" t="s">
        <v>21</v>
      </c>
      <c r="B681" s="3" t="s">
        <v>41</v>
      </c>
      <c r="C681" s="3" t="s">
        <v>42</v>
      </c>
      <c r="D681" s="3" t="s">
        <v>43</v>
      </c>
      <c r="E681" s="3" t="s">
        <v>25</v>
      </c>
      <c r="F681" s="3" t="s">
        <v>25</v>
      </c>
      <c r="G681" s="3" t="s">
        <v>25</v>
      </c>
      <c r="H681" s="3" t="s">
        <v>25</v>
      </c>
      <c r="I681" s="6">
        <v>44593</v>
      </c>
      <c r="J681" s="4">
        <v>47206</v>
      </c>
      <c r="K681" s="4">
        <v>47206</v>
      </c>
      <c r="L681" s="4">
        <v>0</v>
      </c>
      <c r="M681" s="4">
        <v>0</v>
      </c>
      <c r="N681" s="4">
        <v>0</v>
      </c>
      <c r="O681" s="4">
        <v>0</v>
      </c>
      <c r="P681" s="4">
        <v>432</v>
      </c>
      <c r="Q681" s="3" t="s">
        <v>26</v>
      </c>
      <c r="R681" s="3">
        <v>0</v>
      </c>
      <c r="S681" s="3" t="s">
        <v>358</v>
      </c>
      <c r="U681" s="3">
        <v>44</v>
      </c>
      <c r="V681" s="3">
        <v>0</v>
      </c>
      <c r="W681" s="3">
        <v>0</v>
      </c>
    </row>
    <row r="682" spans="1:23" ht="11.25" customHeight="1" x14ac:dyDescent="0.25">
      <c r="A682" s="3" t="s">
        <v>27</v>
      </c>
      <c r="B682" s="3" t="s">
        <v>41</v>
      </c>
      <c r="C682" s="3" t="s">
        <v>42</v>
      </c>
      <c r="D682" s="3" t="s">
        <v>43</v>
      </c>
      <c r="E682" s="3" t="s">
        <v>25</v>
      </c>
      <c r="F682" s="3" t="s">
        <v>25</v>
      </c>
      <c r="G682" s="3" t="s">
        <v>25</v>
      </c>
      <c r="H682" s="3" t="s">
        <v>25</v>
      </c>
      <c r="I682" s="6">
        <v>44593</v>
      </c>
      <c r="J682" s="4">
        <v>8</v>
      </c>
      <c r="K682" s="4">
        <v>8</v>
      </c>
      <c r="L682" s="4">
        <v>0</v>
      </c>
      <c r="M682" s="4">
        <v>0</v>
      </c>
      <c r="N682" s="4">
        <v>0</v>
      </c>
      <c r="O682" s="4">
        <v>0</v>
      </c>
      <c r="P682" s="4">
        <v>-2</v>
      </c>
      <c r="Q682" s="3" t="s">
        <v>26</v>
      </c>
      <c r="R682" s="3">
        <v>0</v>
      </c>
      <c r="S682" s="3" t="s">
        <v>358</v>
      </c>
      <c r="U682" s="3">
        <v>44</v>
      </c>
      <c r="V682" s="3">
        <v>0</v>
      </c>
      <c r="W682" s="3">
        <v>0</v>
      </c>
    </row>
    <row r="683" spans="1:23" ht="11.25" customHeight="1" x14ac:dyDescent="0.25">
      <c r="A683" s="3" t="s">
        <v>28</v>
      </c>
      <c r="B683" s="3" t="s">
        <v>41</v>
      </c>
      <c r="C683" s="3" t="s">
        <v>42</v>
      </c>
      <c r="D683" s="3" t="s">
        <v>43</v>
      </c>
      <c r="E683" s="3" t="s">
        <v>25</v>
      </c>
      <c r="F683" s="3" t="s">
        <v>25</v>
      </c>
      <c r="G683" s="3" t="s">
        <v>25</v>
      </c>
      <c r="H683" s="3" t="s">
        <v>25</v>
      </c>
      <c r="I683" s="6">
        <v>44593</v>
      </c>
      <c r="J683" s="4">
        <v>6779</v>
      </c>
      <c r="K683" s="4">
        <v>6779</v>
      </c>
      <c r="L683" s="4">
        <v>0</v>
      </c>
      <c r="M683" s="4">
        <v>0</v>
      </c>
      <c r="N683" s="4">
        <v>0</v>
      </c>
      <c r="O683" s="4">
        <v>0</v>
      </c>
      <c r="P683" s="4">
        <v>38</v>
      </c>
      <c r="Q683" s="3" t="s">
        <v>26</v>
      </c>
      <c r="R683" s="3">
        <v>0</v>
      </c>
      <c r="S683" s="3" t="s">
        <v>358</v>
      </c>
      <c r="U683" s="3">
        <v>44</v>
      </c>
      <c r="V683" s="3">
        <v>0</v>
      </c>
      <c r="W683" s="3">
        <v>0</v>
      </c>
    </row>
    <row r="684" spans="1:23" ht="11.25" customHeight="1" x14ac:dyDescent="0.25">
      <c r="A684" s="3" t="s">
        <v>21</v>
      </c>
      <c r="B684" s="3" t="s">
        <v>41</v>
      </c>
      <c r="C684" s="3" t="s">
        <v>42</v>
      </c>
      <c r="D684" s="3" t="s">
        <v>43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44593</v>
      </c>
      <c r="J684" s="4">
        <v>2175</v>
      </c>
      <c r="K684" s="4">
        <v>2175</v>
      </c>
      <c r="L684" s="4">
        <v>0</v>
      </c>
      <c r="M684" s="4">
        <v>0</v>
      </c>
      <c r="N684" s="4">
        <v>0</v>
      </c>
      <c r="O684" s="4">
        <v>0</v>
      </c>
      <c r="P684" s="4">
        <v>2</v>
      </c>
      <c r="Q684" s="3" t="s">
        <v>57</v>
      </c>
      <c r="R684" s="3">
        <v>0</v>
      </c>
      <c r="S684" s="3" t="s">
        <v>358</v>
      </c>
      <c r="U684" s="3">
        <v>44</v>
      </c>
      <c r="V684" s="3">
        <v>0</v>
      </c>
      <c r="W684" s="3">
        <v>0</v>
      </c>
    </row>
    <row r="685" spans="1:23" ht="11.25" customHeight="1" x14ac:dyDescent="0.25">
      <c r="A685" s="3" t="s">
        <v>56</v>
      </c>
      <c r="B685" s="3" t="s">
        <v>41</v>
      </c>
      <c r="C685" s="3" t="s">
        <v>42</v>
      </c>
      <c r="D685" s="3" t="s">
        <v>43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44621</v>
      </c>
      <c r="J685" s="4">
        <v>47206</v>
      </c>
      <c r="K685" s="4">
        <v>47206</v>
      </c>
      <c r="L685" s="4">
        <v>0</v>
      </c>
      <c r="M685" s="4">
        <v>0</v>
      </c>
      <c r="N685" s="4">
        <v>0</v>
      </c>
      <c r="O685" s="4">
        <v>0</v>
      </c>
      <c r="P685" s="4">
        <v>432</v>
      </c>
      <c r="Q685" s="3" t="s">
        <v>26</v>
      </c>
      <c r="R685" s="3">
        <v>0</v>
      </c>
      <c r="S685" s="3" t="s">
        <v>359</v>
      </c>
      <c r="U685" s="3">
        <v>44</v>
      </c>
      <c r="V685" s="3">
        <v>0</v>
      </c>
      <c r="W685" s="3">
        <v>0</v>
      </c>
    </row>
    <row r="686" spans="1:23" ht="11.25" customHeight="1" x14ac:dyDescent="0.25">
      <c r="A686" s="3" t="s">
        <v>56</v>
      </c>
      <c r="B686" s="3" t="s">
        <v>41</v>
      </c>
      <c r="C686" s="3" t="s">
        <v>42</v>
      </c>
      <c r="D686" s="3" t="s">
        <v>43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44621</v>
      </c>
      <c r="J686" s="4">
        <v>8</v>
      </c>
      <c r="K686" s="4">
        <v>8</v>
      </c>
      <c r="L686" s="4">
        <v>0</v>
      </c>
      <c r="M686" s="4">
        <v>0</v>
      </c>
      <c r="N686" s="4">
        <v>0</v>
      </c>
      <c r="O686" s="4">
        <v>0</v>
      </c>
      <c r="P686" s="4">
        <v>-2</v>
      </c>
      <c r="Q686" s="3" t="s">
        <v>26</v>
      </c>
      <c r="R686" s="3">
        <v>0</v>
      </c>
      <c r="S686" s="3" t="s">
        <v>359</v>
      </c>
      <c r="U686" s="3">
        <v>44</v>
      </c>
      <c r="V686" s="3">
        <v>0</v>
      </c>
      <c r="W686" s="3">
        <v>0</v>
      </c>
    </row>
    <row r="687" spans="1:23" ht="11.25" customHeight="1" x14ac:dyDescent="0.25">
      <c r="A687" s="3" t="s">
        <v>56</v>
      </c>
      <c r="B687" s="3" t="s">
        <v>41</v>
      </c>
      <c r="C687" s="3" t="s">
        <v>42</v>
      </c>
      <c r="D687" s="3" t="s">
        <v>43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44621</v>
      </c>
      <c r="J687" s="4">
        <v>6779</v>
      </c>
      <c r="K687" s="4">
        <v>6779</v>
      </c>
      <c r="L687" s="4">
        <v>0</v>
      </c>
      <c r="M687" s="4">
        <v>0</v>
      </c>
      <c r="N687" s="4">
        <v>0</v>
      </c>
      <c r="O687" s="4">
        <v>0</v>
      </c>
      <c r="P687" s="4">
        <v>38</v>
      </c>
      <c r="Q687" s="3" t="s">
        <v>26</v>
      </c>
      <c r="R687" s="3">
        <v>0</v>
      </c>
      <c r="S687" s="3" t="s">
        <v>359</v>
      </c>
      <c r="U687" s="3">
        <v>44</v>
      </c>
      <c r="V687" s="3">
        <v>0</v>
      </c>
      <c r="W687" s="3">
        <v>0</v>
      </c>
    </row>
    <row r="688" spans="1:23" ht="11.25" customHeight="1" x14ac:dyDescent="0.25">
      <c r="A688" s="3" t="s">
        <v>56</v>
      </c>
      <c r="B688" s="3" t="s">
        <v>41</v>
      </c>
      <c r="C688" s="3" t="s">
        <v>42</v>
      </c>
      <c r="D688" s="3" t="s">
        <v>43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44621</v>
      </c>
      <c r="J688" s="4">
        <v>2175</v>
      </c>
      <c r="K688" s="4">
        <v>2175</v>
      </c>
      <c r="L688" s="4">
        <v>0</v>
      </c>
      <c r="M688" s="4">
        <v>0</v>
      </c>
      <c r="N688" s="4">
        <v>0</v>
      </c>
      <c r="O688" s="4">
        <v>0</v>
      </c>
      <c r="P688" s="4">
        <v>2</v>
      </c>
      <c r="Q688" s="3" t="s">
        <v>57</v>
      </c>
      <c r="R688" s="3">
        <v>0</v>
      </c>
      <c r="S688" s="3" t="s">
        <v>359</v>
      </c>
      <c r="U688" s="3">
        <v>44</v>
      </c>
      <c r="V688" s="3">
        <v>0</v>
      </c>
      <c r="W688" s="3">
        <v>0</v>
      </c>
    </row>
    <row r="689" spans="1:23" ht="11.25" customHeight="1" x14ac:dyDescent="0.25">
      <c r="A689" s="3" t="s">
        <v>21</v>
      </c>
      <c r="B689" s="3" t="s">
        <v>41</v>
      </c>
      <c r="C689" s="3" t="s">
        <v>42</v>
      </c>
      <c r="D689" s="3" t="s">
        <v>43</v>
      </c>
      <c r="E689" s="3" t="s">
        <v>25</v>
      </c>
      <c r="F689" s="3" t="s">
        <v>25</v>
      </c>
      <c r="G689" s="3" t="s">
        <v>25</v>
      </c>
      <c r="H689" s="3" t="s">
        <v>34</v>
      </c>
      <c r="I689" s="6">
        <v>44287</v>
      </c>
      <c r="J689" s="4">
        <v>0</v>
      </c>
      <c r="K689" s="4">
        <v>0</v>
      </c>
      <c r="L689" s="4">
        <v>678.03399999999999</v>
      </c>
      <c r="M689" s="4">
        <v>678.03399999999999</v>
      </c>
      <c r="N689" s="4">
        <v>678.03399999999999</v>
      </c>
      <c r="O689" s="4">
        <v>678.03399999999999</v>
      </c>
      <c r="P689" s="4">
        <v>0</v>
      </c>
      <c r="Q689" s="3" t="s">
        <v>26</v>
      </c>
      <c r="R689" s="3">
        <v>0</v>
      </c>
      <c r="S689" s="3" t="s">
        <v>360</v>
      </c>
      <c r="T689" s="3" t="s">
        <v>623</v>
      </c>
      <c r="U689" s="3">
        <v>0</v>
      </c>
      <c r="V689" s="3">
        <v>20</v>
      </c>
      <c r="W689" s="3">
        <v>88</v>
      </c>
    </row>
    <row r="690" spans="1:23" ht="11.25" customHeight="1" x14ac:dyDescent="0.25">
      <c r="A690" s="3" t="s">
        <v>28</v>
      </c>
      <c r="B690" s="3" t="s">
        <v>41</v>
      </c>
      <c r="C690" s="3" t="s">
        <v>42</v>
      </c>
      <c r="D690" s="3" t="s">
        <v>43</v>
      </c>
      <c r="E690" s="3" t="s">
        <v>25</v>
      </c>
      <c r="F690" s="3" t="s">
        <v>25</v>
      </c>
      <c r="G690" s="3" t="s">
        <v>25</v>
      </c>
      <c r="H690" s="3" t="s">
        <v>34</v>
      </c>
      <c r="I690" s="6">
        <v>44287</v>
      </c>
      <c r="J690" s="4">
        <v>0</v>
      </c>
      <c r="K690" s="4">
        <v>0</v>
      </c>
      <c r="L690" s="4">
        <v>40.098999999999997</v>
      </c>
      <c r="M690" s="4">
        <v>40.098999999999997</v>
      </c>
      <c r="N690" s="4">
        <v>40.098999999999997</v>
      </c>
      <c r="O690" s="4">
        <v>40.098999999999997</v>
      </c>
      <c r="P690" s="4">
        <v>0</v>
      </c>
      <c r="Q690" s="3" t="s">
        <v>26</v>
      </c>
      <c r="R690" s="3">
        <v>0</v>
      </c>
      <c r="S690" s="3" t="s">
        <v>360</v>
      </c>
      <c r="T690" s="3" t="s">
        <v>623</v>
      </c>
      <c r="U690" s="3">
        <v>0</v>
      </c>
      <c r="V690" s="3">
        <v>20</v>
      </c>
      <c r="W690" s="3">
        <v>88</v>
      </c>
    </row>
    <row r="691" spans="1:23" ht="11.25" customHeight="1" x14ac:dyDescent="0.25">
      <c r="A691" s="3" t="s">
        <v>21</v>
      </c>
      <c r="B691" s="3" t="s">
        <v>41</v>
      </c>
      <c r="C691" s="3" t="s">
        <v>42</v>
      </c>
      <c r="D691" s="3" t="s">
        <v>43</v>
      </c>
      <c r="E691" s="3" t="s">
        <v>25</v>
      </c>
      <c r="F691" s="3" t="s">
        <v>25</v>
      </c>
      <c r="G691" s="3" t="s">
        <v>25</v>
      </c>
      <c r="H691" s="3" t="s">
        <v>34</v>
      </c>
      <c r="I691" s="6">
        <v>44287</v>
      </c>
      <c r="J691" s="4">
        <v>0</v>
      </c>
      <c r="K691" s="4">
        <v>0</v>
      </c>
      <c r="L691" s="4">
        <v>3.9510000000000001</v>
      </c>
      <c r="M691" s="4">
        <v>3.9510000000000001</v>
      </c>
      <c r="N691" s="4">
        <v>0</v>
      </c>
      <c r="O691" s="4">
        <v>0</v>
      </c>
      <c r="P691" s="4">
        <v>0</v>
      </c>
      <c r="Q691" s="3" t="s">
        <v>57</v>
      </c>
      <c r="R691" s="3">
        <v>0</v>
      </c>
      <c r="S691" s="3" t="s">
        <v>360</v>
      </c>
      <c r="U691" s="3">
        <v>0</v>
      </c>
      <c r="V691" s="3">
        <v>20</v>
      </c>
      <c r="W691" s="3">
        <v>0</v>
      </c>
    </row>
    <row r="692" spans="1:23" ht="11.25" customHeight="1" x14ac:dyDescent="0.25">
      <c r="A692" s="3" t="s">
        <v>21</v>
      </c>
      <c r="B692" s="3" t="s">
        <v>41</v>
      </c>
      <c r="C692" s="3" t="s">
        <v>42</v>
      </c>
      <c r="D692" s="3" t="s">
        <v>43</v>
      </c>
      <c r="E692" s="3" t="s">
        <v>25</v>
      </c>
      <c r="F692" s="3" t="s">
        <v>25</v>
      </c>
      <c r="G692" s="3" t="s">
        <v>25</v>
      </c>
      <c r="H692" s="3" t="s">
        <v>34</v>
      </c>
      <c r="I692" s="6">
        <v>44317</v>
      </c>
      <c r="J692" s="4">
        <v>0</v>
      </c>
      <c r="K692" s="4">
        <v>0</v>
      </c>
      <c r="L692" s="4">
        <v>641.56100000000004</v>
      </c>
      <c r="M692" s="4">
        <v>641.56100000000004</v>
      </c>
      <c r="N692" s="4">
        <v>641.56100000000004</v>
      </c>
      <c r="O692" s="4">
        <v>641.56100000000004</v>
      </c>
      <c r="P692" s="4">
        <v>0</v>
      </c>
      <c r="Q692" s="3" t="s">
        <v>26</v>
      </c>
      <c r="R692" s="3">
        <v>0</v>
      </c>
      <c r="S692" s="3" t="s">
        <v>361</v>
      </c>
      <c r="T692" s="3" t="s">
        <v>624</v>
      </c>
      <c r="U692" s="3">
        <v>0</v>
      </c>
      <c r="V692" s="3">
        <v>20</v>
      </c>
      <c r="W692" s="3">
        <v>88</v>
      </c>
    </row>
    <row r="693" spans="1:23" ht="11.25" customHeight="1" x14ac:dyDescent="0.25">
      <c r="A693" s="3" t="s">
        <v>27</v>
      </c>
      <c r="B693" s="3" t="s">
        <v>41</v>
      </c>
      <c r="C693" s="3" t="s">
        <v>42</v>
      </c>
      <c r="D693" s="3" t="s">
        <v>43</v>
      </c>
      <c r="E693" s="3" t="s">
        <v>25</v>
      </c>
      <c r="F693" s="3" t="s">
        <v>25</v>
      </c>
      <c r="G693" s="3" t="s">
        <v>25</v>
      </c>
      <c r="H693" s="3" t="s">
        <v>34</v>
      </c>
      <c r="I693" s="6">
        <v>44317</v>
      </c>
      <c r="J693" s="4">
        <v>0</v>
      </c>
      <c r="K693" s="4">
        <v>0</v>
      </c>
      <c r="L693" s="4">
        <v>-4.3600000000000003</v>
      </c>
      <c r="M693" s="4">
        <v>-4.3600000000000003</v>
      </c>
      <c r="N693" s="4">
        <v>-4.3600000000000003</v>
      </c>
      <c r="O693" s="4">
        <v>-4.3600000000000003</v>
      </c>
      <c r="P693" s="4">
        <v>0</v>
      </c>
      <c r="Q693" s="3" t="s">
        <v>26</v>
      </c>
      <c r="R693" s="3">
        <v>0</v>
      </c>
      <c r="S693" s="3" t="s">
        <v>361</v>
      </c>
      <c r="T693" s="3" t="s">
        <v>624</v>
      </c>
      <c r="U693" s="3">
        <v>0</v>
      </c>
      <c r="V693" s="3">
        <v>20</v>
      </c>
      <c r="W693" s="3">
        <v>88</v>
      </c>
    </row>
    <row r="694" spans="1:23" ht="11.25" customHeight="1" x14ac:dyDescent="0.25">
      <c r="A694" s="3" t="s">
        <v>28</v>
      </c>
      <c r="B694" s="3" t="s">
        <v>41</v>
      </c>
      <c r="C694" s="3" t="s">
        <v>42</v>
      </c>
      <c r="D694" s="3" t="s">
        <v>43</v>
      </c>
      <c r="E694" s="3" t="s">
        <v>25</v>
      </c>
      <c r="F694" s="3" t="s">
        <v>25</v>
      </c>
      <c r="G694" s="3" t="s">
        <v>25</v>
      </c>
      <c r="H694" s="3" t="s">
        <v>34</v>
      </c>
      <c r="I694" s="6">
        <v>44317</v>
      </c>
      <c r="J694" s="4">
        <v>0</v>
      </c>
      <c r="K694" s="4">
        <v>0</v>
      </c>
      <c r="L694" s="4">
        <v>43.762999999999998</v>
      </c>
      <c r="M694" s="4">
        <v>43.762999999999998</v>
      </c>
      <c r="N694" s="4">
        <v>43.762999999999998</v>
      </c>
      <c r="O694" s="4">
        <v>43.762999999999998</v>
      </c>
      <c r="P694" s="4">
        <v>0</v>
      </c>
      <c r="Q694" s="3" t="s">
        <v>26</v>
      </c>
      <c r="R694" s="3">
        <v>0</v>
      </c>
      <c r="S694" s="3" t="s">
        <v>361</v>
      </c>
      <c r="T694" s="3" t="s">
        <v>624</v>
      </c>
      <c r="U694" s="3">
        <v>0</v>
      </c>
      <c r="V694" s="3">
        <v>20</v>
      </c>
      <c r="W694" s="3">
        <v>88</v>
      </c>
    </row>
    <row r="695" spans="1:23" ht="11.25" customHeight="1" x14ac:dyDescent="0.25">
      <c r="A695" s="3" t="s">
        <v>28</v>
      </c>
      <c r="B695" s="3" t="s">
        <v>41</v>
      </c>
      <c r="C695" s="3" t="s">
        <v>42</v>
      </c>
      <c r="D695" s="3" t="s">
        <v>43</v>
      </c>
      <c r="E695" s="3" t="s">
        <v>25</v>
      </c>
      <c r="F695" s="3" t="s">
        <v>25</v>
      </c>
      <c r="G695" s="3" t="s">
        <v>25</v>
      </c>
      <c r="H695" s="3" t="s">
        <v>34</v>
      </c>
      <c r="I695" s="6">
        <v>44317</v>
      </c>
      <c r="J695" s="4">
        <v>0</v>
      </c>
      <c r="K695" s="4">
        <v>0</v>
      </c>
      <c r="L695" s="4">
        <v>-0.06</v>
      </c>
      <c r="M695" s="4">
        <v>-0.06</v>
      </c>
      <c r="N695" s="4">
        <v>-0.06</v>
      </c>
      <c r="O695" s="4">
        <v>-0.06</v>
      </c>
      <c r="P695" s="4">
        <v>0</v>
      </c>
      <c r="Q695" s="3" t="s">
        <v>26</v>
      </c>
      <c r="R695" s="3">
        <v>0</v>
      </c>
      <c r="S695" s="3" t="s">
        <v>361</v>
      </c>
      <c r="T695" s="3" t="s">
        <v>624</v>
      </c>
      <c r="U695" s="3">
        <v>0</v>
      </c>
      <c r="V695" s="3">
        <v>20</v>
      </c>
      <c r="W695" s="3">
        <v>88</v>
      </c>
    </row>
    <row r="696" spans="1:23" ht="11.25" customHeight="1" x14ac:dyDescent="0.25">
      <c r="A696" s="3" t="s">
        <v>21</v>
      </c>
      <c r="B696" s="3" t="s">
        <v>41</v>
      </c>
      <c r="C696" s="3" t="s">
        <v>42</v>
      </c>
      <c r="D696" s="3" t="s">
        <v>43</v>
      </c>
      <c r="E696" s="3" t="s">
        <v>25</v>
      </c>
      <c r="F696" s="3" t="s">
        <v>25</v>
      </c>
      <c r="G696" s="3" t="s">
        <v>25</v>
      </c>
      <c r="H696" s="3" t="s">
        <v>34</v>
      </c>
      <c r="I696" s="6">
        <v>44317</v>
      </c>
      <c r="J696" s="4">
        <v>0</v>
      </c>
      <c r="K696" s="4">
        <v>0</v>
      </c>
      <c r="L696" s="4">
        <v>3.718</v>
      </c>
      <c r="M696" s="4">
        <v>3.718</v>
      </c>
      <c r="N696" s="4">
        <v>0</v>
      </c>
      <c r="O696" s="4">
        <v>0</v>
      </c>
      <c r="P696" s="4">
        <v>0</v>
      </c>
      <c r="Q696" s="3" t="s">
        <v>57</v>
      </c>
      <c r="R696" s="3">
        <v>0</v>
      </c>
      <c r="S696" s="3" t="s">
        <v>361</v>
      </c>
      <c r="U696" s="3">
        <v>0</v>
      </c>
      <c r="V696" s="3">
        <v>20</v>
      </c>
      <c r="W696" s="3">
        <v>0</v>
      </c>
    </row>
    <row r="697" spans="1:23" ht="11.25" customHeight="1" x14ac:dyDescent="0.25">
      <c r="A697" s="3" t="s">
        <v>21</v>
      </c>
      <c r="B697" s="3" t="s">
        <v>41</v>
      </c>
      <c r="C697" s="3" t="s">
        <v>42</v>
      </c>
      <c r="D697" s="3" t="s">
        <v>43</v>
      </c>
      <c r="E697" s="3" t="s">
        <v>25</v>
      </c>
      <c r="F697" s="3" t="s">
        <v>25</v>
      </c>
      <c r="G697" s="3" t="s">
        <v>25</v>
      </c>
      <c r="H697" s="3" t="s">
        <v>34</v>
      </c>
      <c r="I697" s="6">
        <v>44348</v>
      </c>
      <c r="J697" s="4">
        <v>0</v>
      </c>
      <c r="K697" s="4">
        <v>0</v>
      </c>
      <c r="L697" s="4">
        <v>636.63099999999997</v>
      </c>
      <c r="M697" s="4">
        <v>636.63099999999997</v>
      </c>
      <c r="N697" s="4">
        <v>636.63099999999997</v>
      </c>
      <c r="O697" s="4">
        <v>636.63099999999997</v>
      </c>
      <c r="P697" s="4">
        <v>0</v>
      </c>
      <c r="Q697" s="3" t="s">
        <v>26</v>
      </c>
      <c r="R697" s="3">
        <v>0</v>
      </c>
      <c r="S697" s="3" t="s">
        <v>362</v>
      </c>
      <c r="T697" s="3" t="s">
        <v>625</v>
      </c>
      <c r="U697" s="3">
        <v>0</v>
      </c>
      <c r="V697" s="3">
        <v>20</v>
      </c>
      <c r="W697" s="3">
        <v>88</v>
      </c>
    </row>
    <row r="698" spans="1:23" ht="11.25" customHeight="1" x14ac:dyDescent="0.25">
      <c r="A698" s="3" t="s">
        <v>27</v>
      </c>
      <c r="B698" s="3" t="s">
        <v>41</v>
      </c>
      <c r="C698" s="3" t="s">
        <v>42</v>
      </c>
      <c r="D698" s="3" t="s">
        <v>43</v>
      </c>
      <c r="E698" s="3" t="s">
        <v>25</v>
      </c>
      <c r="F698" s="3" t="s">
        <v>25</v>
      </c>
      <c r="G698" s="3" t="s">
        <v>25</v>
      </c>
      <c r="H698" s="3" t="s">
        <v>34</v>
      </c>
      <c r="I698" s="6">
        <v>44348</v>
      </c>
      <c r="J698" s="4">
        <v>0</v>
      </c>
      <c r="K698" s="4">
        <v>0</v>
      </c>
      <c r="L698" s="4">
        <v>-4.4550000000000001</v>
      </c>
      <c r="M698" s="4">
        <v>-4.4550000000000001</v>
      </c>
      <c r="N698" s="4">
        <v>-4.4550000000000001</v>
      </c>
      <c r="O698" s="4">
        <v>-4.4550000000000001</v>
      </c>
      <c r="P698" s="4">
        <v>0</v>
      </c>
      <c r="Q698" s="3" t="s">
        <v>26</v>
      </c>
      <c r="R698" s="3">
        <v>0</v>
      </c>
      <c r="S698" s="3" t="s">
        <v>362</v>
      </c>
      <c r="T698" s="3" t="s">
        <v>625</v>
      </c>
      <c r="U698" s="3">
        <v>0</v>
      </c>
      <c r="V698" s="3">
        <v>20</v>
      </c>
      <c r="W698" s="3">
        <v>88</v>
      </c>
    </row>
    <row r="699" spans="1:23" ht="11.25" customHeight="1" x14ac:dyDescent="0.25">
      <c r="A699" s="3" t="s">
        <v>28</v>
      </c>
      <c r="B699" s="3" t="s">
        <v>41</v>
      </c>
      <c r="C699" s="3" t="s">
        <v>42</v>
      </c>
      <c r="D699" s="3" t="s">
        <v>43</v>
      </c>
      <c r="E699" s="3" t="s">
        <v>25</v>
      </c>
      <c r="F699" s="3" t="s">
        <v>25</v>
      </c>
      <c r="G699" s="3" t="s">
        <v>25</v>
      </c>
      <c r="H699" s="3" t="s">
        <v>34</v>
      </c>
      <c r="I699" s="6">
        <v>44348</v>
      </c>
      <c r="J699" s="4">
        <v>0</v>
      </c>
      <c r="K699" s="4">
        <v>0</v>
      </c>
      <c r="L699" s="4">
        <v>37.39</v>
      </c>
      <c r="M699" s="4">
        <v>37.39</v>
      </c>
      <c r="N699" s="4">
        <v>37.39</v>
      </c>
      <c r="O699" s="4">
        <v>37.39</v>
      </c>
      <c r="P699" s="4">
        <v>0</v>
      </c>
      <c r="Q699" s="3" t="s">
        <v>26</v>
      </c>
      <c r="R699" s="3">
        <v>0</v>
      </c>
      <c r="S699" s="3" t="s">
        <v>362</v>
      </c>
      <c r="T699" s="3" t="s">
        <v>625</v>
      </c>
      <c r="U699" s="3">
        <v>0</v>
      </c>
      <c r="V699" s="3">
        <v>20</v>
      </c>
      <c r="W699" s="3">
        <v>88</v>
      </c>
    </row>
    <row r="700" spans="1:23" ht="11.25" customHeight="1" x14ac:dyDescent="0.25">
      <c r="A700" s="3" t="s">
        <v>21</v>
      </c>
      <c r="B700" s="3" t="s">
        <v>41</v>
      </c>
      <c r="C700" s="3" t="s">
        <v>42</v>
      </c>
      <c r="D700" s="3" t="s">
        <v>43</v>
      </c>
      <c r="E700" s="3" t="s">
        <v>25</v>
      </c>
      <c r="F700" s="3" t="s">
        <v>25</v>
      </c>
      <c r="G700" s="3" t="s">
        <v>25</v>
      </c>
      <c r="H700" s="3" t="s">
        <v>34</v>
      </c>
      <c r="I700" s="6">
        <v>44348</v>
      </c>
      <c r="J700" s="4">
        <v>0</v>
      </c>
      <c r="K700" s="4">
        <v>0</v>
      </c>
      <c r="L700" s="4">
        <v>5.8410000000000002</v>
      </c>
      <c r="M700" s="4">
        <v>5.8410000000000002</v>
      </c>
      <c r="N700" s="4">
        <v>0</v>
      </c>
      <c r="O700" s="4">
        <v>0</v>
      </c>
      <c r="P700" s="4">
        <v>0</v>
      </c>
      <c r="Q700" s="3" t="s">
        <v>57</v>
      </c>
      <c r="R700" s="3">
        <v>0</v>
      </c>
      <c r="S700" s="3" t="s">
        <v>362</v>
      </c>
      <c r="U700" s="3">
        <v>0</v>
      </c>
      <c r="V700" s="3">
        <v>20</v>
      </c>
      <c r="W700" s="3">
        <v>0</v>
      </c>
    </row>
    <row r="701" spans="1:23" ht="11.25" customHeight="1" x14ac:dyDescent="0.25">
      <c r="A701" s="3" t="s">
        <v>21</v>
      </c>
      <c r="B701" s="3" t="s">
        <v>41</v>
      </c>
      <c r="C701" s="3" t="s">
        <v>42</v>
      </c>
      <c r="D701" s="3" t="s">
        <v>43</v>
      </c>
      <c r="E701" s="3" t="s">
        <v>25</v>
      </c>
      <c r="F701" s="3" t="s">
        <v>25</v>
      </c>
      <c r="G701" s="3" t="s">
        <v>25</v>
      </c>
      <c r="H701" s="3" t="s">
        <v>34</v>
      </c>
      <c r="I701" s="6">
        <v>44378</v>
      </c>
      <c r="J701" s="4">
        <v>0</v>
      </c>
      <c r="K701" s="4">
        <v>0</v>
      </c>
      <c r="L701" s="4">
        <v>641.88599999999997</v>
      </c>
      <c r="M701" s="4">
        <v>641.88599999999997</v>
      </c>
      <c r="N701" s="4">
        <v>641.88599999999997</v>
      </c>
      <c r="O701" s="4">
        <v>641.88599999999997</v>
      </c>
      <c r="P701" s="4">
        <v>0</v>
      </c>
      <c r="Q701" s="3" t="s">
        <v>26</v>
      </c>
      <c r="R701" s="3">
        <v>0</v>
      </c>
      <c r="S701" s="3" t="s">
        <v>363</v>
      </c>
      <c r="T701" s="3" t="s">
        <v>626</v>
      </c>
      <c r="U701" s="3">
        <v>0</v>
      </c>
      <c r="V701" s="3">
        <v>20</v>
      </c>
      <c r="W701" s="3">
        <v>88</v>
      </c>
    </row>
    <row r="702" spans="1:23" ht="11.25" customHeight="1" x14ac:dyDescent="0.25">
      <c r="A702" s="3" t="s">
        <v>27</v>
      </c>
      <c r="B702" s="3" t="s">
        <v>41</v>
      </c>
      <c r="C702" s="3" t="s">
        <v>42</v>
      </c>
      <c r="D702" s="3" t="s">
        <v>43</v>
      </c>
      <c r="E702" s="3" t="s">
        <v>25</v>
      </c>
      <c r="F702" s="3" t="s">
        <v>25</v>
      </c>
      <c r="G702" s="3" t="s">
        <v>25</v>
      </c>
      <c r="H702" s="3" t="s">
        <v>34</v>
      </c>
      <c r="I702" s="6">
        <v>44378</v>
      </c>
      <c r="J702" s="4">
        <v>0</v>
      </c>
      <c r="K702" s="4">
        <v>0</v>
      </c>
      <c r="L702" s="4">
        <v>4.2699999999999996</v>
      </c>
      <c r="M702" s="4">
        <v>4.2699999999999996</v>
      </c>
      <c r="N702" s="4">
        <v>4.2699999999999996</v>
      </c>
      <c r="O702" s="4">
        <v>4.2699999999999996</v>
      </c>
      <c r="P702" s="4">
        <v>0</v>
      </c>
      <c r="Q702" s="3" t="s">
        <v>26</v>
      </c>
      <c r="R702" s="3">
        <v>0</v>
      </c>
      <c r="S702" s="3" t="s">
        <v>363</v>
      </c>
      <c r="T702" s="3" t="s">
        <v>626</v>
      </c>
      <c r="U702" s="3">
        <v>0</v>
      </c>
      <c r="V702" s="3">
        <v>20</v>
      </c>
      <c r="W702" s="3">
        <v>88</v>
      </c>
    </row>
    <row r="703" spans="1:23" ht="11.25" customHeight="1" x14ac:dyDescent="0.25">
      <c r="A703" s="3" t="s">
        <v>28</v>
      </c>
      <c r="B703" s="3" t="s">
        <v>41</v>
      </c>
      <c r="C703" s="3" t="s">
        <v>42</v>
      </c>
      <c r="D703" s="3" t="s">
        <v>43</v>
      </c>
      <c r="E703" s="3" t="s">
        <v>25</v>
      </c>
      <c r="F703" s="3" t="s">
        <v>25</v>
      </c>
      <c r="G703" s="3" t="s">
        <v>25</v>
      </c>
      <c r="H703" s="3" t="s">
        <v>34</v>
      </c>
      <c r="I703" s="6">
        <v>44378</v>
      </c>
      <c r="J703" s="4">
        <v>0</v>
      </c>
      <c r="K703" s="4">
        <v>0</v>
      </c>
      <c r="L703" s="4">
        <v>39</v>
      </c>
      <c r="M703" s="4">
        <v>39</v>
      </c>
      <c r="N703" s="4">
        <v>39</v>
      </c>
      <c r="O703" s="4">
        <v>39</v>
      </c>
      <c r="P703" s="4">
        <v>0</v>
      </c>
      <c r="Q703" s="3" t="s">
        <v>26</v>
      </c>
      <c r="R703" s="3">
        <v>0</v>
      </c>
      <c r="S703" s="3" t="s">
        <v>363</v>
      </c>
      <c r="T703" s="3" t="s">
        <v>626</v>
      </c>
      <c r="U703" s="3">
        <v>0</v>
      </c>
      <c r="V703" s="3">
        <v>20</v>
      </c>
      <c r="W703" s="3">
        <v>88</v>
      </c>
    </row>
    <row r="704" spans="1:23" ht="11.25" customHeight="1" x14ac:dyDescent="0.25">
      <c r="A704" s="3" t="s">
        <v>21</v>
      </c>
      <c r="B704" s="3" t="s">
        <v>41</v>
      </c>
      <c r="C704" s="3" t="s">
        <v>42</v>
      </c>
      <c r="D704" s="3" t="s">
        <v>43</v>
      </c>
      <c r="E704" s="3" t="s">
        <v>25</v>
      </c>
      <c r="F704" s="3" t="s">
        <v>25</v>
      </c>
      <c r="G704" s="3" t="s">
        <v>25</v>
      </c>
      <c r="H704" s="3" t="s">
        <v>34</v>
      </c>
      <c r="I704" s="6">
        <v>44378</v>
      </c>
      <c r="J704" s="4">
        <v>0</v>
      </c>
      <c r="K704" s="4">
        <v>0</v>
      </c>
      <c r="L704" s="4">
        <v>26.3</v>
      </c>
      <c r="M704" s="4">
        <v>26.3</v>
      </c>
      <c r="N704" s="4">
        <v>0</v>
      </c>
      <c r="O704" s="4">
        <v>0</v>
      </c>
      <c r="P704" s="4">
        <v>0</v>
      </c>
      <c r="Q704" s="3" t="s">
        <v>57</v>
      </c>
      <c r="R704" s="3">
        <v>0</v>
      </c>
      <c r="S704" s="3" t="s">
        <v>363</v>
      </c>
      <c r="U704" s="3">
        <v>0</v>
      </c>
      <c r="V704" s="3">
        <v>20</v>
      </c>
      <c r="W704" s="3">
        <v>0</v>
      </c>
    </row>
    <row r="705" spans="1:23" ht="11.25" customHeight="1" x14ac:dyDescent="0.25">
      <c r="A705" s="3" t="s">
        <v>21</v>
      </c>
      <c r="B705" s="3" t="s">
        <v>41</v>
      </c>
      <c r="C705" s="3" t="s">
        <v>42</v>
      </c>
      <c r="D705" s="3" t="s">
        <v>43</v>
      </c>
      <c r="E705" s="3" t="s">
        <v>25</v>
      </c>
      <c r="F705" s="3" t="s">
        <v>25</v>
      </c>
      <c r="G705" s="3" t="s">
        <v>25</v>
      </c>
      <c r="H705" s="3" t="s">
        <v>34</v>
      </c>
      <c r="I705" s="6">
        <v>44409</v>
      </c>
      <c r="J705" s="4">
        <v>0</v>
      </c>
      <c r="K705" s="4">
        <v>0</v>
      </c>
      <c r="L705" s="4">
        <v>686.34699999999998</v>
      </c>
      <c r="M705" s="4">
        <v>686.34699999999998</v>
      </c>
      <c r="N705" s="4">
        <v>686.34699999999998</v>
      </c>
      <c r="O705" s="4">
        <v>686.34699999999998</v>
      </c>
      <c r="P705" s="4">
        <v>0</v>
      </c>
      <c r="Q705" s="3" t="s">
        <v>26</v>
      </c>
      <c r="R705" s="3">
        <v>0</v>
      </c>
      <c r="S705" s="3" t="s">
        <v>364</v>
      </c>
      <c r="T705" s="3" t="s">
        <v>627</v>
      </c>
      <c r="U705" s="3">
        <v>0</v>
      </c>
      <c r="V705" s="3">
        <v>20</v>
      </c>
      <c r="W705" s="3">
        <v>88</v>
      </c>
    </row>
    <row r="706" spans="1:23" ht="11.25" customHeight="1" x14ac:dyDescent="0.25">
      <c r="A706" s="3" t="s">
        <v>28</v>
      </c>
      <c r="B706" s="3" t="s">
        <v>41</v>
      </c>
      <c r="C706" s="3" t="s">
        <v>42</v>
      </c>
      <c r="D706" s="3" t="s">
        <v>43</v>
      </c>
      <c r="E706" s="3" t="s">
        <v>25</v>
      </c>
      <c r="F706" s="3" t="s">
        <v>25</v>
      </c>
      <c r="G706" s="3" t="s">
        <v>25</v>
      </c>
      <c r="H706" s="3" t="s">
        <v>34</v>
      </c>
      <c r="I706" s="6">
        <v>44409</v>
      </c>
      <c r="J706" s="4">
        <v>0</v>
      </c>
      <c r="K706" s="4">
        <v>0</v>
      </c>
      <c r="L706" s="4">
        <v>39.442</v>
      </c>
      <c r="M706" s="4">
        <v>39.442</v>
      </c>
      <c r="N706" s="4">
        <v>39.442</v>
      </c>
      <c r="O706" s="4">
        <v>39.442</v>
      </c>
      <c r="P706" s="4">
        <v>0</v>
      </c>
      <c r="Q706" s="3" t="s">
        <v>26</v>
      </c>
      <c r="R706" s="3">
        <v>0</v>
      </c>
      <c r="S706" s="3" t="s">
        <v>364</v>
      </c>
      <c r="T706" s="3" t="s">
        <v>627</v>
      </c>
      <c r="U706" s="3">
        <v>0</v>
      </c>
      <c r="V706" s="3">
        <v>20</v>
      </c>
      <c r="W706" s="3">
        <v>88</v>
      </c>
    </row>
    <row r="707" spans="1:23" ht="11.25" customHeight="1" x14ac:dyDescent="0.25">
      <c r="A707" s="3" t="s">
        <v>21</v>
      </c>
      <c r="B707" s="3" t="s">
        <v>41</v>
      </c>
      <c r="C707" s="3" t="s">
        <v>42</v>
      </c>
      <c r="D707" s="3" t="s">
        <v>43</v>
      </c>
      <c r="E707" s="3" t="s">
        <v>25</v>
      </c>
      <c r="F707" s="3" t="s">
        <v>25</v>
      </c>
      <c r="G707" s="3" t="s">
        <v>25</v>
      </c>
      <c r="H707" s="3" t="s">
        <v>34</v>
      </c>
      <c r="I707" s="6">
        <v>44409</v>
      </c>
      <c r="J707" s="4">
        <v>0</v>
      </c>
      <c r="K707" s="4">
        <v>0</v>
      </c>
      <c r="L707" s="4">
        <v>20.62</v>
      </c>
      <c r="M707" s="4">
        <v>20.62</v>
      </c>
      <c r="N707" s="4">
        <v>0</v>
      </c>
      <c r="O707" s="4">
        <v>0</v>
      </c>
      <c r="P707" s="4">
        <v>0</v>
      </c>
      <c r="Q707" s="3" t="s">
        <v>57</v>
      </c>
      <c r="R707" s="3">
        <v>0</v>
      </c>
      <c r="S707" s="3" t="s">
        <v>364</v>
      </c>
      <c r="U707" s="3">
        <v>0</v>
      </c>
      <c r="V707" s="3">
        <v>20</v>
      </c>
      <c r="W707" s="3">
        <v>0</v>
      </c>
    </row>
    <row r="708" spans="1:23" ht="11.25" customHeight="1" x14ac:dyDescent="0.25">
      <c r="A708" s="3" t="s">
        <v>21</v>
      </c>
      <c r="B708" s="3" t="s">
        <v>41</v>
      </c>
      <c r="C708" s="3" t="s">
        <v>42</v>
      </c>
      <c r="D708" s="3" t="s">
        <v>43</v>
      </c>
      <c r="E708" s="3" t="s">
        <v>25</v>
      </c>
      <c r="F708" s="3" t="s">
        <v>25</v>
      </c>
      <c r="G708" s="3" t="s">
        <v>25</v>
      </c>
      <c r="H708" s="3" t="s">
        <v>34</v>
      </c>
      <c r="I708" s="6">
        <v>44440</v>
      </c>
      <c r="J708" s="4">
        <v>0</v>
      </c>
      <c r="K708" s="4">
        <v>0</v>
      </c>
      <c r="L708" s="4">
        <v>700.45100000000002</v>
      </c>
      <c r="M708" s="4">
        <v>700.45100000000002</v>
      </c>
      <c r="N708" s="4">
        <v>700.45100000000002</v>
      </c>
      <c r="O708" s="4">
        <v>700.45100000000002</v>
      </c>
      <c r="P708" s="4">
        <v>0</v>
      </c>
      <c r="Q708" s="3" t="s">
        <v>26</v>
      </c>
      <c r="R708" s="3">
        <v>0</v>
      </c>
      <c r="S708" s="3" t="s">
        <v>365</v>
      </c>
      <c r="T708" s="3" t="s">
        <v>628</v>
      </c>
      <c r="U708" s="3">
        <v>0</v>
      </c>
      <c r="V708" s="3">
        <v>20</v>
      </c>
      <c r="W708" s="3">
        <v>88</v>
      </c>
    </row>
    <row r="709" spans="1:23" ht="11.25" customHeight="1" x14ac:dyDescent="0.25">
      <c r="A709" s="3" t="s">
        <v>28</v>
      </c>
      <c r="B709" s="3" t="s">
        <v>41</v>
      </c>
      <c r="C709" s="3" t="s">
        <v>42</v>
      </c>
      <c r="D709" s="3" t="s">
        <v>43</v>
      </c>
      <c r="E709" s="3" t="s">
        <v>25</v>
      </c>
      <c r="F709" s="3" t="s">
        <v>25</v>
      </c>
      <c r="G709" s="3" t="s">
        <v>25</v>
      </c>
      <c r="H709" s="3" t="s">
        <v>34</v>
      </c>
      <c r="I709" s="6">
        <v>44440</v>
      </c>
      <c r="J709" s="4">
        <v>0</v>
      </c>
      <c r="K709" s="4">
        <v>0</v>
      </c>
      <c r="L709" s="4">
        <v>50.274000000000001</v>
      </c>
      <c r="M709" s="4">
        <v>50.274000000000001</v>
      </c>
      <c r="N709" s="4">
        <v>50.274000000000001</v>
      </c>
      <c r="O709" s="4">
        <v>50.274000000000001</v>
      </c>
      <c r="P709" s="4">
        <v>0</v>
      </c>
      <c r="Q709" s="3" t="s">
        <v>26</v>
      </c>
      <c r="R709" s="3">
        <v>0</v>
      </c>
      <c r="S709" s="3" t="s">
        <v>365</v>
      </c>
      <c r="T709" s="3" t="s">
        <v>628</v>
      </c>
      <c r="U709" s="3">
        <v>0</v>
      </c>
      <c r="V709" s="3">
        <v>20</v>
      </c>
      <c r="W709" s="3">
        <v>88</v>
      </c>
    </row>
    <row r="710" spans="1:23" ht="11.25" customHeight="1" x14ac:dyDescent="0.25">
      <c r="A710" s="3" t="s">
        <v>21</v>
      </c>
      <c r="B710" s="3" t="s">
        <v>41</v>
      </c>
      <c r="C710" s="3" t="s">
        <v>42</v>
      </c>
      <c r="D710" s="3" t="s">
        <v>43</v>
      </c>
      <c r="E710" s="3" t="s">
        <v>25</v>
      </c>
      <c r="F710" s="3" t="s">
        <v>25</v>
      </c>
      <c r="G710" s="3" t="s">
        <v>25</v>
      </c>
      <c r="H710" s="3" t="s">
        <v>34</v>
      </c>
      <c r="I710" s="6">
        <v>44440</v>
      </c>
      <c r="J710" s="4">
        <v>0</v>
      </c>
      <c r="K710" s="4">
        <v>0</v>
      </c>
      <c r="L710" s="4">
        <v>11.423</v>
      </c>
      <c r="M710" s="4">
        <v>11.423</v>
      </c>
      <c r="N710" s="4">
        <v>0</v>
      </c>
      <c r="O710" s="4">
        <v>0</v>
      </c>
      <c r="P710" s="4">
        <v>0</v>
      </c>
      <c r="Q710" s="3" t="s">
        <v>57</v>
      </c>
      <c r="R710" s="3">
        <v>0</v>
      </c>
      <c r="S710" s="3" t="s">
        <v>365</v>
      </c>
      <c r="U710" s="3">
        <v>0</v>
      </c>
      <c r="V710" s="3">
        <v>20</v>
      </c>
      <c r="W710" s="3">
        <v>0</v>
      </c>
    </row>
    <row r="711" spans="1:23" ht="11.25" customHeight="1" x14ac:dyDescent="0.25">
      <c r="A711" s="3" t="s">
        <v>21</v>
      </c>
      <c r="B711" s="3" t="s">
        <v>41</v>
      </c>
      <c r="C711" s="3" t="s">
        <v>42</v>
      </c>
      <c r="D711" s="3" t="s">
        <v>43</v>
      </c>
      <c r="E711" s="3" t="s">
        <v>25</v>
      </c>
      <c r="F711" s="3" t="s">
        <v>25</v>
      </c>
      <c r="G711" s="3" t="s">
        <v>25</v>
      </c>
      <c r="H711" s="3" t="s">
        <v>34</v>
      </c>
      <c r="I711" s="6">
        <v>44470</v>
      </c>
      <c r="J711" s="4">
        <v>0</v>
      </c>
      <c r="K711" s="4">
        <v>0</v>
      </c>
      <c r="L711" s="4">
        <v>716.50099999999998</v>
      </c>
      <c r="M711" s="4">
        <v>716.50099999999998</v>
      </c>
      <c r="N711" s="4">
        <v>716.50099999999998</v>
      </c>
      <c r="O711" s="4">
        <v>716.50099999999998</v>
      </c>
      <c r="P711" s="4">
        <v>0</v>
      </c>
      <c r="Q711" s="3" t="s">
        <v>26</v>
      </c>
      <c r="R711" s="3">
        <v>0</v>
      </c>
      <c r="S711" s="3" t="s">
        <v>366</v>
      </c>
      <c r="T711" s="3" t="s">
        <v>629</v>
      </c>
      <c r="U711" s="3">
        <v>0</v>
      </c>
      <c r="V711" s="3">
        <v>20</v>
      </c>
      <c r="W711" s="3">
        <v>88</v>
      </c>
    </row>
    <row r="712" spans="1:23" ht="11.25" customHeight="1" x14ac:dyDescent="0.25">
      <c r="A712" s="3" t="s">
        <v>28</v>
      </c>
      <c r="B712" s="3" t="s">
        <v>41</v>
      </c>
      <c r="C712" s="3" t="s">
        <v>42</v>
      </c>
      <c r="D712" s="3" t="s">
        <v>43</v>
      </c>
      <c r="E712" s="3" t="s">
        <v>25</v>
      </c>
      <c r="F712" s="3" t="s">
        <v>25</v>
      </c>
      <c r="G712" s="3" t="s">
        <v>25</v>
      </c>
      <c r="H712" s="3" t="s">
        <v>34</v>
      </c>
      <c r="I712" s="6">
        <v>44470</v>
      </c>
      <c r="J712" s="4">
        <v>0</v>
      </c>
      <c r="K712" s="4">
        <v>0</v>
      </c>
      <c r="L712" s="4">
        <v>53.237000000000002</v>
      </c>
      <c r="M712" s="4">
        <v>53.237000000000002</v>
      </c>
      <c r="N712" s="4">
        <v>53.237000000000002</v>
      </c>
      <c r="O712" s="4">
        <v>53.237000000000002</v>
      </c>
      <c r="P712" s="4">
        <v>0</v>
      </c>
      <c r="Q712" s="3" t="s">
        <v>26</v>
      </c>
      <c r="R712" s="3">
        <v>0</v>
      </c>
      <c r="S712" s="3" t="s">
        <v>366</v>
      </c>
      <c r="T712" s="3" t="s">
        <v>629</v>
      </c>
      <c r="U712" s="3">
        <v>0</v>
      </c>
      <c r="V712" s="3">
        <v>20</v>
      </c>
      <c r="W712" s="3">
        <v>88</v>
      </c>
    </row>
    <row r="713" spans="1:23" ht="11.25" customHeight="1" x14ac:dyDescent="0.25">
      <c r="A713" s="3" t="s">
        <v>21</v>
      </c>
      <c r="B713" s="3" t="s">
        <v>41</v>
      </c>
      <c r="C713" s="3" t="s">
        <v>42</v>
      </c>
      <c r="D713" s="3" t="s">
        <v>43</v>
      </c>
      <c r="E713" s="3" t="s">
        <v>25</v>
      </c>
      <c r="F713" s="3" t="s">
        <v>25</v>
      </c>
      <c r="G713" s="3" t="s">
        <v>25</v>
      </c>
      <c r="H713" s="3" t="s">
        <v>34</v>
      </c>
      <c r="I713" s="6">
        <v>44470</v>
      </c>
      <c r="J713" s="4">
        <v>0</v>
      </c>
      <c r="K713" s="4">
        <v>0</v>
      </c>
      <c r="L713" s="4">
        <v>15.625</v>
      </c>
      <c r="M713" s="4">
        <v>15.625</v>
      </c>
      <c r="N713" s="4">
        <v>0</v>
      </c>
      <c r="O713" s="4">
        <v>0</v>
      </c>
      <c r="P713" s="4">
        <v>0</v>
      </c>
      <c r="Q713" s="3" t="s">
        <v>57</v>
      </c>
      <c r="R713" s="3">
        <v>0</v>
      </c>
      <c r="S713" s="3" t="s">
        <v>366</v>
      </c>
      <c r="U713" s="3">
        <v>0</v>
      </c>
      <c r="V713" s="3">
        <v>20</v>
      </c>
      <c r="W713" s="3">
        <v>0</v>
      </c>
    </row>
    <row r="714" spans="1:23" ht="11.25" customHeight="1" x14ac:dyDescent="0.25">
      <c r="A714" s="3" t="s">
        <v>21</v>
      </c>
      <c r="B714" s="3" t="s">
        <v>41</v>
      </c>
      <c r="C714" s="3" t="s">
        <v>42</v>
      </c>
      <c r="D714" s="3" t="s">
        <v>43</v>
      </c>
      <c r="E714" s="3" t="s">
        <v>25</v>
      </c>
      <c r="F714" s="3" t="s">
        <v>25</v>
      </c>
      <c r="G714" s="3" t="s">
        <v>25</v>
      </c>
      <c r="H714" s="3" t="s">
        <v>34</v>
      </c>
      <c r="I714" s="6">
        <v>44501</v>
      </c>
      <c r="J714" s="4">
        <v>0</v>
      </c>
      <c r="K714" s="4">
        <v>0</v>
      </c>
      <c r="L714" s="4">
        <v>755.91499999999996</v>
      </c>
      <c r="M714" s="4">
        <v>755.91499999999996</v>
      </c>
      <c r="N714" s="4">
        <v>755.91499999999996</v>
      </c>
      <c r="O714" s="4">
        <v>755.91499999999996</v>
      </c>
      <c r="P714" s="4">
        <v>0</v>
      </c>
      <c r="Q714" s="3" t="s">
        <v>26</v>
      </c>
      <c r="R714" s="3">
        <v>0</v>
      </c>
      <c r="S714" s="3" t="s">
        <v>367</v>
      </c>
      <c r="T714" s="3" t="s">
        <v>630</v>
      </c>
      <c r="U714" s="3">
        <v>0</v>
      </c>
      <c r="V714" s="3">
        <v>20</v>
      </c>
      <c r="W714" s="3">
        <v>88</v>
      </c>
    </row>
    <row r="715" spans="1:23" ht="11.25" customHeight="1" x14ac:dyDescent="0.25">
      <c r="A715" s="3" t="s">
        <v>28</v>
      </c>
      <c r="B715" s="3" t="s">
        <v>41</v>
      </c>
      <c r="C715" s="3" t="s">
        <v>42</v>
      </c>
      <c r="D715" s="3" t="s">
        <v>43</v>
      </c>
      <c r="E715" s="3" t="s">
        <v>25</v>
      </c>
      <c r="F715" s="3" t="s">
        <v>25</v>
      </c>
      <c r="G715" s="3" t="s">
        <v>25</v>
      </c>
      <c r="H715" s="3" t="s">
        <v>34</v>
      </c>
      <c r="I715" s="6">
        <v>44501</v>
      </c>
      <c r="J715" s="4">
        <v>0</v>
      </c>
      <c r="K715" s="4">
        <v>0</v>
      </c>
      <c r="L715" s="4">
        <v>63.789000000000001</v>
      </c>
      <c r="M715" s="4">
        <v>63.789000000000001</v>
      </c>
      <c r="N715" s="4">
        <v>63.789000000000001</v>
      </c>
      <c r="O715" s="4">
        <v>63.789000000000001</v>
      </c>
      <c r="P715" s="4">
        <v>0</v>
      </c>
      <c r="Q715" s="3" t="s">
        <v>26</v>
      </c>
      <c r="R715" s="3">
        <v>0</v>
      </c>
      <c r="S715" s="3" t="s">
        <v>367</v>
      </c>
      <c r="T715" s="3" t="s">
        <v>630</v>
      </c>
      <c r="U715" s="3">
        <v>0</v>
      </c>
      <c r="V715" s="3">
        <v>20</v>
      </c>
      <c r="W715" s="3">
        <v>88</v>
      </c>
    </row>
    <row r="716" spans="1:23" ht="11.25" customHeight="1" x14ac:dyDescent="0.25">
      <c r="A716" s="3" t="s">
        <v>21</v>
      </c>
      <c r="B716" s="3" t="s">
        <v>41</v>
      </c>
      <c r="C716" s="3" t="s">
        <v>42</v>
      </c>
      <c r="D716" s="3" t="s">
        <v>43</v>
      </c>
      <c r="E716" s="3" t="s">
        <v>25</v>
      </c>
      <c r="F716" s="3" t="s">
        <v>25</v>
      </c>
      <c r="G716" s="3" t="s">
        <v>25</v>
      </c>
      <c r="H716" s="3" t="s">
        <v>34</v>
      </c>
      <c r="I716" s="6">
        <v>44501</v>
      </c>
      <c r="J716" s="4">
        <v>0</v>
      </c>
      <c r="K716" s="4">
        <v>0</v>
      </c>
      <c r="L716" s="4">
        <v>7.4509999999999996</v>
      </c>
      <c r="M716" s="4">
        <v>7.4509999999999996</v>
      </c>
      <c r="N716" s="4">
        <v>0</v>
      </c>
      <c r="O716" s="4">
        <v>0</v>
      </c>
      <c r="P716" s="4">
        <v>0</v>
      </c>
      <c r="Q716" s="3" t="s">
        <v>57</v>
      </c>
      <c r="R716" s="3">
        <v>0</v>
      </c>
      <c r="S716" s="3" t="s">
        <v>367</v>
      </c>
      <c r="U716" s="3">
        <v>0</v>
      </c>
      <c r="V716" s="3">
        <v>20</v>
      </c>
      <c r="W716" s="3">
        <v>0</v>
      </c>
    </row>
    <row r="717" spans="1:23" ht="11.25" customHeight="1" x14ac:dyDescent="0.25">
      <c r="A717" s="3" t="s">
        <v>21</v>
      </c>
      <c r="B717" s="3" t="s">
        <v>41</v>
      </c>
      <c r="C717" s="3" t="s">
        <v>42</v>
      </c>
      <c r="D717" s="3" t="s">
        <v>43</v>
      </c>
      <c r="E717" s="3" t="s">
        <v>25</v>
      </c>
      <c r="F717" s="3" t="s">
        <v>25</v>
      </c>
      <c r="G717" s="3" t="s">
        <v>25</v>
      </c>
      <c r="H717" s="3" t="s">
        <v>34</v>
      </c>
      <c r="I717" s="6">
        <v>44531</v>
      </c>
      <c r="J717" s="4">
        <v>0</v>
      </c>
      <c r="K717" s="4">
        <v>0</v>
      </c>
      <c r="L717" s="4">
        <v>761.98800000000006</v>
      </c>
      <c r="M717" s="4">
        <v>761.98800000000006</v>
      </c>
      <c r="N717" s="4">
        <v>761.98800000000006</v>
      </c>
      <c r="O717" s="4">
        <v>761.98800000000006</v>
      </c>
      <c r="P717" s="4">
        <v>0</v>
      </c>
      <c r="Q717" s="3" t="s">
        <v>26</v>
      </c>
      <c r="R717" s="3">
        <v>0</v>
      </c>
      <c r="S717" s="3" t="s">
        <v>368</v>
      </c>
      <c r="T717" s="3" t="s">
        <v>631</v>
      </c>
      <c r="U717" s="3">
        <v>0</v>
      </c>
      <c r="V717" s="3">
        <v>20</v>
      </c>
      <c r="W717" s="3">
        <v>88</v>
      </c>
    </row>
    <row r="718" spans="1:23" ht="11.25" customHeight="1" x14ac:dyDescent="0.25">
      <c r="A718" s="3" t="s">
        <v>28</v>
      </c>
      <c r="B718" s="3" t="s">
        <v>41</v>
      </c>
      <c r="C718" s="3" t="s">
        <v>42</v>
      </c>
      <c r="D718" s="3" t="s">
        <v>43</v>
      </c>
      <c r="E718" s="3" t="s">
        <v>25</v>
      </c>
      <c r="F718" s="3" t="s">
        <v>25</v>
      </c>
      <c r="G718" s="3" t="s">
        <v>25</v>
      </c>
      <c r="H718" s="3" t="s">
        <v>34</v>
      </c>
      <c r="I718" s="6">
        <v>44531</v>
      </c>
      <c r="J718" s="4">
        <v>0</v>
      </c>
      <c r="K718" s="4">
        <v>0</v>
      </c>
      <c r="L718" s="4">
        <v>73.396000000000001</v>
      </c>
      <c r="M718" s="4">
        <v>73.396000000000001</v>
      </c>
      <c r="N718" s="4">
        <v>73.396000000000001</v>
      </c>
      <c r="O718" s="4">
        <v>73.396000000000001</v>
      </c>
      <c r="P718" s="4">
        <v>0</v>
      </c>
      <c r="Q718" s="3" t="s">
        <v>26</v>
      </c>
      <c r="R718" s="3">
        <v>0</v>
      </c>
      <c r="S718" s="3" t="s">
        <v>368</v>
      </c>
      <c r="T718" s="3" t="s">
        <v>631</v>
      </c>
      <c r="U718" s="3">
        <v>0</v>
      </c>
      <c r="V718" s="3">
        <v>20</v>
      </c>
      <c r="W718" s="3">
        <v>88</v>
      </c>
    </row>
    <row r="719" spans="1:23" ht="11.25" customHeight="1" x14ac:dyDescent="0.25">
      <c r="A719" s="3" t="s">
        <v>28</v>
      </c>
      <c r="B719" s="3" t="s">
        <v>41</v>
      </c>
      <c r="C719" s="3" t="s">
        <v>42</v>
      </c>
      <c r="D719" s="3" t="s">
        <v>43</v>
      </c>
      <c r="E719" s="3" t="s">
        <v>25</v>
      </c>
      <c r="F719" s="3" t="s">
        <v>25</v>
      </c>
      <c r="G719" s="3" t="s">
        <v>25</v>
      </c>
      <c r="H719" s="3" t="s">
        <v>34</v>
      </c>
      <c r="I719" s="6">
        <v>44531</v>
      </c>
      <c r="J719" s="4">
        <v>0</v>
      </c>
      <c r="K719" s="4">
        <v>0</v>
      </c>
      <c r="L719" s="4">
        <v>-11.34</v>
      </c>
      <c r="M719" s="4">
        <v>-11.34</v>
      </c>
      <c r="N719" s="4">
        <v>-11.34</v>
      </c>
      <c r="O719" s="4">
        <v>-11.34</v>
      </c>
      <c r="P719" s="4">
        <v>0</v>
      </c>
      <c r="Q719" s="3" t="s">
        <v>26</v>
      </c>
      <c r="R719" s="3">
        <v>0</v>
      </c>
      <c r="S719" s="3" t="s">
        <v>368</v>
      </c>
      <c r="T719" s="3" t="s">
        <v>631</v>
      </c>
      <c r="U719" s="3">
        <v>0</v>
      </c>
      <c r="V719" s="3">
        <v>20</v>
      </c>
      <c r="W719" s="3">
        <v>88</v>
      </c>
    </row>
    <row r="720" spans="1:23" ht="11.25" customHeight="1" x14ac:dyDescent="0.25">
      <c r="A720" s="3" t="s">
        <v>21</v>
      </c>
      <c r="B720" s="3" t="s">
        <v>41</v>
      </c>
      <c r="C720" s="3" t="s">
        <v>42</v>
      </c>
      <c r="D720" s="3" t="s">
        <v>43</v>
      </c>
      <c r="E720" s="3" t="s">
        <v>25</v>
      </c>
      <c r="F720" s="3" t="s">
        <v>25</v>
      </c>
      <c r="G720" s="3" t="s">
        <v>25</v>
      </c>
      <c r="H720" s="3" t="s">
        <v>34</v>
      </c>
      <c r="I720" s="6">
        <v>44531</v>
      </c>
      <c r="J720" s="4">
        <v>0</v>
      </c>
      <c r="K720" s="4">
        <v>0</v>
      </c>
      <c r="L720" s="4">
        <v>16.52</v>
      </c>
      <c r="M720" s="4">
        <v>16.52</v>
      </c>
      <c r="N720" s="4">
        <v>0</v>
      </c>
      <c r="O720" s="4">
        <v>0</v>
      </c>
      <c r="P720" s="4">
        <v>0</v>
      </c>
      <c r="Q720" s="3" t="s">
        <v>57</v>
      </c>
      <c r="R720" s="3">
        <v>0</v>
      </c>
      <c r="S720" s="3" t="s">
        <v>368</v>
      </c>
      <c r="U720" s="3">
        <v>0</v>
      </c>
      <c r="V720" s="3">
        <v>20</v>
      </c>
      <c r="W720" s="3">
        <v>0</v>
      </c>
    </row>
    <row r="721" spans="1:23" ht="11.25" customHeight="1" x14ac:dyDescent="0.25">
      <c r="A721" s="3" t="s">
        <v>21</v>
      </c>
      <c r="B721" s="3" t="s">
        <v>41</v>
      </c>
      <c r="C721" s="3" t="s">
        <v>42</v>
      </c>
      <c r="D721" s="3" t="s">
        <v>43</v>
      </c>
      <c r="E721" s="3" t="s">
        <v>25</v>
      </c>
      <c r="F721" s="3" t="s">
        <v>25</v>
      </c>
      <c r="G721" s="3" t="s">
        <v>25</v>
      </c>
      <c r="H721" s="3" t="s">
        <v>34</v>
      </c>
      <c r="I721" s="6">
        <v>44562</v>
      </c>
      <c r="J721" s="4">
        <v>0</v>
      </c>
      <c r="K721" s="4">
        <v>0</v>
      </c>
      <c r="L721" s="4">
        <v>710.97</v>
      </c>
      <c r="M721" s="4">
        <v>710.97</v>
      </c>
      <c r="N721" s="4">
        <v>710.97</v>
      </c>
      <c r="O721" s="4">
        <v>710.97</v>
      </c>
      <c r="P721" s="4">
        <v>0</v>
      </c>
      <c r="Q721" s="3" t="s">
        <v>26</v>
      </c>
      <c r="R721" s="3">
        <v>0</v>
      </c>
      <c r="S721" s="3" t="s">
        <v>369</v>
      </c>
      <c r="T721" s="3" t="s">
        <v>632</v>
      </c>
      <c r="U721" s="3">
        <v>0</v>
      </c>
      <c r="V721" s="3">
        <v>20</v>
      </c>
      <c r="W721" s="3">
        <v>88</v>
      </c>
    </row>
    <row r="722" spans="1:23" ht="11.25" customHeight="1" x14ac:dyDescent="0.25">
      <c r="A722" s="3" t="s">
        <v>28</v>
      </c>
      <c r="B722" s="3" t="s">
        <v>41</v>
      </c>
      <c r="C722" s="3" t="s">
        <v>42</v>
      </c>
      <c r="D722" s="3" t="s">
        <v>43</v>
      </c>
      <c r="E722" s="3" t="s">
        <v>25</v>
      </c>
      <c r="F722" s="3" t="s">
        <v>25</v>
      </c>
      <c r="G722" s="3" t="s">
        <v>25</v>
      </c>
      <c r="H722" s="3" t="s">
        <v>34</v>
      </c>
      <c r="I722" s="6">
        <v>44562</v>
      </c>
      <c r="J722" s="4">
        <v>0</v>
      </c>
      <c r="K722" s="4">
        <v>0</v>
      </c>
      <c r="L722" s="4">
        <v>72.305999999999997</v>
      </c>
      <c r="M722" s="4">
        <v>72.305999999999997</v>
      </c>
      <c r="N722" s="4">
        <v>72.305999999999997</v>
      </c>
      <c r="O722" s="4">
        <v>72.305999999999997</v>
      </c>
      <c r="P722" s="4">
        <v>0</v>
      </c>
      <c r="Q722" s="3" t="s">
        <v>26</v>
      </c>
      <c r="R722" s="3">
        <v>0</v>
      </c>
      <c r="S722" s="3" t="s">
        <v>369</v>
      </c>
      <c r="T722" s="3" t="s">
        <v>632</v>
      </c>
      <c r="U722" s="3">
        <v>0</v>
      </c>
      <c r="V722" s="3">
        <v>20</v>
      </c>
      <c r="W722" s="3">
        <v>88</v>
      </c>
    </row>
    <row r="723" spans="1:23" ht="11.25" customHeight="1" x14ac:dyDescent="0.25">
      <c r="A723" s="3" t="s">
        <v>28</v>
      </c>
      <c r="B723" s="3" t="s">
        <v>41</v>
      </c>
      <c r="C723" s="3" t="s">
        <v>42</v>
      </c>
      <c r="D723" s="3" t="s">
        <v>43</v>
      </c>
      <c r="E723" s="3" t="s">
        <v>25</v>
      </c>
      <c r="F723" s="3" t="s">
        <v>25</v>
      </c>
      <c r="G723" s="3" t="s">
        <v>25</v>
      </c>
      <c r="H723" s="3" t="s">
        <v>34</v>
      </c>
      <c r="I723" s="6">
        <v>44562</v>
      </c>
      <c r="J723" s="4">
        <v>0</v>
      </c>
      <c r="K723" s="4">
        <v>0</v>
      </c>
      <c r="L723" s="4">
        <v>1.4650000000000001</v>
      </c>
      <c r="M723" s="4">
        <v>1.4650000000000001</v>
      </c>
      <c r="N723" s="4">
        <v>1.4650000000000001</v>
      </c>
      <c r="O723" s="4">
        <v>1.4650000000000001</v>
      </c>
      <c r="P723" s="4">
        <v>0</v>
      </c>
      <c r="Q723" s="3" t="s">
        <v>26</v>
      </c>
      <c r="R723" s="3">
        <v>0</v>
      </c>
      <c r="S723" s="3" t="s">
        <v>369</v>
      </c>
      <c r="T723" s="3" t="s">
        <v>632</v>
      </c>
      <c r="U723" s="3">
        <v>0</v>
      </c>
      <c r="V723" s="3">
        <v>20</v>
      </c>
      <c r="W723" s="3">
        <v>88</v>
      </c>
    </row>
    <row r="724" spans="1:23" ht="11.25" customHeight="1" x14ac:dyDescent="0.25">
      <c r="A724" s="3" t="s">
        <v>21</v>
      </c>
      <c r="B724" s="3" t="s">
        <v>41</v>
      </c>
      <c r="C724" s="3" t="s">
        <v>42</v>
      </c>
      <c r="D724" s="3" t="s">
        <v>43</v>
      </c>
      <c r="E724" s="3" t="s">
        <v>25</v>
      </c>
      <c r="F724" s="3" t="s">
        <v>25</v>
      </c>
      <c r="G724" s="3" t="s">
        <v>25</v>
      </c>
      <c r="H724" s="3" t="s">
        <v>34</v>
      </c>
      <c r="I724" s="6">
        <v>44562</v>
      </c>
      <c r="J724" s="4">
        <v>0</v>
      </c>
      <c r="K724" s="4">
        <v>0</v>
      </c>
      <c r="L724" s="4">
        <v>20.579000000000001</v>
      </c>
      <c r="M724" s="4">
        <v>20.579000000000001</v>
      </c>
      <c r="N724" s="4">
        <v>0</v>
      </c>
      <c r="O724" s="4">
        <v>0</v>
      </c>
      <c r="P724" s="4">
        <v>0</v>
      </c>
      <c r="Q724" s="3" t="s">
        <v>57</v>
      </c>
      <c r="R724" s="3">
        <v>0</v>
      </c>
      <c r="S724" s="3" t="s">
        <v>369</v>
      </c>
      <c r="U724" s="3">
        <v>0</v>
      </c>
      <c r="V724" s="3">
        <v>20</v>
      </c>
      <c r="W724" s="3">
        <v>0</v>
      </c>
    </row>
    <row r="725" spans="1:23" ht="11.25" customHeight="1" x14ac:dyDescent="0.25">
      <c r="A725" s="3" t="s">
        <v>21</v>
      </c>
      <c r="B725" s="3" t="s">
        <v>41</v>
      </c>
      <c r="C725" s="3" t="s">
        <v>42</v>
      </c>
      <c r="D725" s="3" t="s">
        <v>43</v>
      </c>
      <c r="E725" s="3" t="s">
        <v>25</v>
      </c>
      <c r="F725" s="3" t="s">
        <v>25</v>
      </c>
      <c r="G725" s="3" t="s">
        <v>25</v>
      </c>
      <c r="H725" s="3" t="s">
        <v>34</v>
      </c>
      <c r="I725" s="6">
        <v>44593</v>
      </c>
      <c r="J725" s="4">
        <v>0</v>
      </c>
      <c r="K725" s="4">
        <v>0</v>
      </c>
      <c r="L725" s="4">
        <v>689.31</v>
      </c>
      <c r="M725" s="4">
        <v>689.31</v>
      </c>
      <c r="N725" s="4">
        <v>689.31</v>
      </c>
      <c r="O725" s="4">
        <v>689.31</v>
      </c>
      <c r="P725" s="4">
        <v>0</v>
      </c>
      <c r="Q725" s="3" t="s">
        <v>26</v>
      </c>
      <c r="R725" s="3">
        <v>0</v>
      </c>
      <c r="S725" s="3" t="s">
        <v>370</v>
      </c>
      <c r="T725" s="3" t="s">
        <v>633</v>
      </c>
      <c r="U725" s="3">
        <v>0</v>
      </c>
      <c r="V725" s="3">
        <v>20</v>
      </c>
      <c r="W725" s="3">
        <v>88</v>
      </c>
    </row>
    <row r="726" spans="1:23" ht="11.25" customHeight="1" x14ac:dyDescent="0.25">
      <c r="A726" s="3" t="s">
        <v>27</v>
      </c>
      <c r="B726" s="3" t="s">
        <v>41</v>
      </c>
      <c r="C726" s="3" t="s">
        <v>42</v>
      </c>
      <c r="D726" s="3" t="s">
        <v>43</v>
      </c>
      <c r="E726" s="3" t="s">
        <v>25</v>
      </c>
      <c r="F726" s="3" t="s">
        <v>25</v>
      </c>
      <c r="G726" s="3" t="s">
        <v>25</v>
      </c>
      <c r="H726" s="3" t="s">
        <v>34</v>
      </c>
      <c r="I726" s="6">
        <v>44593</v>
      </c>
      <c r="J726" s="4">
        <v>0</v>
      </c>
      <c r="K726" s="4">
        <v>0</v>
      </c>
      <c r="L726" s="4">
        <v>-4.6669999999999998</v>
      </c>
      <c r="M726" s="4">
        <v>-4.6669999999999998</v>
      </c>
      <c r="N726" s="4">
        <v>-4.6669999999999998</v>
      </c>
      <c r="O726" s="4">
        <v>-4.6669999999999998</v>
      </c>
      <c r="P726" s="4">
        <v>0</v>
      </c>
      <c r="Q726" s="3" t="s">
        <v>26</v>
      </c>
      <c r="R726" s="3">
        <v>0</v>
      </c>
      <c r="S726" s="3" t="s">
        <v>370</v>
      </c>
      <c r="T726" s="3" t="s">
        <v>633</v>
      </c>
      <c r="U726" s="3">
        <v>0</v>
      </c>
      <c r="V726" s="3">
        <v>20</v>
      </c>
      <c r="W726" s="3">
        <v>88</v>
      </c>
    </row>
    <row r="727" spans="1:23" ht="11.25" customHeight="1" x14ac:dyDescent="0.25">
      <c r="A727" s="3" t="s">
        <v>28</v>
      </c>
      <c r="B727" s="3" t="s">
        <v>41</v>
      </c>
      <c r="C727" s="3" t="s">
        <v>42</v>
      </c>
      <c r="D727" s="3" t="s">
        <v>43</v>
      </c>
      <c r="E727" s="3" t="s">
        <v>25</v>
      </c>
      <c r="F727" s="3" t="s">
        <v>25</v>
      </c>
      <c r="G727" s="3" t="s">
        <v>25</v>
      </c>
      <c r="H727" s="3" t="s">
        <v>34</v>
      </c>
      <c r="I727" s="6">
        <v>44593</v>
      </c>
      <c r="J727" s="4">
        <v>0</v>
      </c>
      <c r="K727" s="4">
        <v>0</v>
      </c>
      <c r="L727" s="4">
        <v>81.218000000000004</v>
      </c>
      <c r="M727" s="4">
        <v>81.218000000000004</v>
      </c>
      <c r="N727" s="4">
        <v>81.218000000000004</v>
      </c>
      <c r="O727" s="4">
        <v>81.218000000000004</v>
      </c>
      <c r="P727" s="4">
        <v>0</v>
      </c>
      <c r="Q727" s="3" t="s">
        <v>26</v>
      </c>
      <c r="R727" s="3">
        <v>0</v>
      </c>
      <c r="S727" s="3" t="s">
        <v>370</v>
      </c>
      <c r="T727" s="3" t="s">
        <v>633</v>
      </c>
      <c r="U727" s="3">
        <v>0</v>
      </c>
      <c r="V727" s="3">
        <v>20</v>
      </c>
      <c r="W727" s="3">
        <v>88</v>
      </c>
    </row>
    <row r="728" spans="1:23" ht="11.25" customHeight="1" x14ac:dyDescent="0.25">
      <c r="A728" s="3" t="s">
        <v>21</v>
      </c>
      <c r="B728" s="3" t="s">
        <v>41</v>
      </c>
      <c r="C728" s="3" t="s">
        <v>42</v>
      </c>
      <c r="D728" s="3" t="s">
        <v>43</v>
      </c>
      <c r="E728" s="3" t="s">
        <v>25</v>
      </c>
      <c r="F728" s="3" t="s">
        <v>25</v>
      </c>
      <c r="G728" s="3" t="s">
        <v>25</v>
      </c>
      <c r="H728" s="3" t="s">
        <v>34</v>
      </c>
      <c r="I728" s="6">
        <v>44593</v>
      </c>
      <c r="J728" s="4">
        <v>0</v>
      </c>
      <c r="K728" s="4">
        <v>0</v>
      </c>
      <c r="L728" s="4">
        <v>13.175000000000001</v>
      </c>
      <c r="M728" s="4">
        <v>13.175000000000001</v>
      </c>
      <c r="N728" s="4">
        <v>0</v>
      </c>
      <c r="O728" s="4">
        <v>0</v>
      </c>
      <c r="P728" s="4">
        <v>0</v>
      </c>
      <c r="Q728" s="3" t="s">
        <v>57</v>
      </c>
      <c r="R728" s="3">
        <v>0</v>
      </c>
      <c r="S728" s="3" t="s">
        <v>370</v>
      </c>
      <c r="U728" s="3">
        <v>0</v>
      </c>
      <c r="V728" s="3">
        <v>20</v>
      </c>
      <c r="W728" s="3">
        <v>0</v>
      </c>
    </row>
    <row r="729" spans="1:23" ht="11.25" customHeight="1" x14ac:dyDescent="0.25">
      <c r="A729" s="3" t="s">
        <v>27</v>
      </c>
      <c r="B729" s="3" t="s">
        <v>41</v>
      </c>
      <c r="C729" s="3" t="s">
        <v>42</v>
      </c>
      <c r="D729" s="3" t="s">
        <v>43</v>
      </c>
      <c r="E729" s="3" t="s">
        <v>25</v>
      </c>
      <c r="F729" s="3" t="s">
        <v>25</v>
      </c>
      <c r="G729" s="3" t="s">
        <v>25</v>
      </c>
      <c r="H729" s="3" t="s">
        <v>34</v>
      </c>
      <c r="I729" s="6">
        <v>44593</v>
      </c>
      <c r="J729" s="4">
        <v>0</v>
      </c>
      <c r="K729" s="4">
        <v>0</v>
      </c>
      <c r="L729" s="4">
        <v>-8.6020000000000003</v>
      </c>
      <c r="M729" s="4">
        <v>-8.6020000000000003</v>
      </c>
      <c r="N729" s="4">
        <v>0</v>
      </c>
      <c r="O729" s="4">
        <v>0</v>
      </c>
      <c r="P729" s="4">
        <v>0</v>
      </c>
      <c r="Q729" s="3" t="s">
        <v>57</v>
      </c>
      <c r="R729" s="3">
        <v>0</v>
      </c>
      <c r="S729" s="3" t="s">
        <v>370</v>
      </c>
      <c r="U729" s="3">
        <v>0</v>
      </c>
      <c r="V729" s="3">
        <v>20</v>
      </c>
      <c r="W729" s="3">
        <v>0</v>
      </c>
    </row>
    <row r="730" spans="1:23" ht="11.25" customHeight="1" x14ac:dyDescent="0.25">
      <c r="A730" s="3" t="s">
        <v>56</v>
      </c>
      <c r="B730" s="3" t="s">
        <v>41</v>
      </c>
      <c r="C730" s="3" t="s">
        <v>42</v>
      </c>
      <c r="D730" s="3" t="s">
        <v>43</v>
      </c>
      <c r="E730" s="3" t="s">
        <v>25</v>
      </c>
      <c r="F730" s="3" t="s">
        <v>25</v>
      </c>
      <c r="G730" s="3" t="s">
        <v>25</v>
      </c>
      <c r="H730" s="3" t="s">
        <v>34</v>
      </c>
      <c r="I730" s="6">
        <v>44621</v>
      </c>
      <c r="J730" s="4">
        <v>0</v>
      </c>
      <c r="K730" s="4">
        <v>0</v>
      </c>
      <c r="L730" s="4">
        <v>689.31</v>
      </c>
      <c r="M730" s="4">
        <v>689.31</v>
      </c>
      <c r="N730" s="4">
        <v>689.31</v>
      </c>
      <c r="O730" s="4">
        <v>689.31</v>
      </c>
      <c r="P730" s="4">
        <v>0</v>
      </c>
      <c r="Q730" s="3" t="s">
        <v>26</v>
      </c>
      <c r="R730" s="3">
        <v>0</v>
      </c>
      <c r="S730" s="3" t="s">
        <v>371</v>
      </c>
      <c r="T730" s="3" t="s">
        <v>634</v>
      </c>
      <c r="U730" s="3">
        <v>0</v>
      </c>
      <c r="V730" s="3">
        <v>20</v>
      </c>
      <c r="W730" s="3">
        <v>88</v>
      </c>
    </row>
    <row r="731" spans="1:23" ht="11.25" customHeight="1" x14ac:dyDescent="0.25">
      <c r="A731" s="3" t="s">
        <v>56</v>
      </c>
      <c r="B731" s="3" t="s">
        <v>41</v>
      </c>
      <c r="C731" s="3" t="s">
        <v>42</v>
      </c>
      <c r="D731" s="3" t="s">
        <v>43</v>
      </c>
      <c r="E731" s="3" t="s">
        <v>25</v>
      </c>
      <c r="F731" s="3" t="s">
        <v>25</v>
      </c>
      <c r="G731" s="3" t="s">
        <v>25</v>
      </c>
      <c r="H731" s="3" t="s">
        <v>34</v>
      </c>
      <c r="I731" s="6">
        <v>44621</v>
      </c>
      <c r="J731" s="4">
        <v>0</v>
      </c>
      <c r="K731" s="4">
        <v>0</v>
      </c>
      <c r="L731" s="4">
        <v>-4.6669999999999998</v>
      </c>
      <c r="M731" s="4">
        <v>-4.6669999999999998</v>
      </c>
      <c r="N731" s="4">
        <v>-4.6669999999999998</v>
      </c>
      <c r="O731" s="4">
        <v>-4.6669999999999998</v>
      </c>
      <c r="P731" s="4">
        <v>0</v>
      </c>
      <c r="Q731" s="3" t="s">
        <v>26</v>
      </c>
      <c r="R731" s="3">
        <v>0</v>
      </c>
      <c r="S731" s="3" t="s">
        <v>371</v>
      </c>
      <c r="T731" s="3" t="s">
        <v>634</v>
      </c>
      <c r="U731" s="3">
        <v>0</v>
      </c>
      <c r="V731" s="3">
        <v>20</v>
      </c>
      <c r="W731" s="3">
        <v>88</v>
      </c>
    </row>
    <row r="732" spans="1:23" ht="11.25" customHeight="1" x14ac:dyDescent="0.25">
      <c r="A732" s="3" t="s">
        <v>56</v>
      </c>
      <c r="B732" s="3" t="s">
        <v>41</v>
      </c>
      <c r="C732" s="3" t="s">
        <v>42</v>
      </c>
      <c r="D732" s="3" t="s">
        <v>43</v>
      </c>
      <c r="E732" s="3" t="s">
        <v>25</v>
      </c>
      <c r="F732" s="3" t="s">
        <v>25</v>
      </c>
      <c r="G732" s="3" t="s">
        <v>25</v>
      </c>
      <c r="H732" s="3" t="s">
        <v>34</v>
      </c>
      <c r="I732" s="6">
        <v>44621</v>
      </c>
      <c r="J732" s="4">
        <v>0</v>
      </c>
      <c r="K732" s="4">
        <v>0</v>
      </c>
      <c r="L732" s="4">
        <v>81.218000000000004</v>
      </c>
      <c r="M732" s="4">
        <v>81.218000000000004</v>
      </c>
      <c r="N732" s="4">
        <v>81.218000000000004</v>
      </c>
      <c r="O732" s="4">
        <v>81.218000000000004</v>
      </c>
      <c r="P732" s="4">
        <v>0</v>
      </c>
      <c r="Q732" s="3" t="s">
        <v>26</v>
      </c>
      <c r="R732" s="3">
        <v>0</v>
      </c>
      <c r="S732" s="3" t="s">
        <v>371</v>
      </c>
      <c r="T732" s="3" t="s">
        <v>634</v>
      </c>
      <c r="U732" s="3">
        <v>0</v>
      </c>
      <c r="V732" s="3">
        <v>20</v>
      </c>
      <c r="W732" s="3">
        <v>88</v>
      </c>
    </row>
    <row r="733" spans="1:23" ht="11.25" customHeight="1" x14ac:dyDescent="0.25">
      <c r="A733" s="3" t="s">
        <v>56</v>
      </c>
      <c r="B733" s="3" t="s">
        <v>41</v>
      </c>
      <c r="C733" s="3" t="s">
        <v>42</v>
      </c>
      <c r="D733" s="3" t="s">
        <v>43</v>
      </c>
      <c r="E733" s="3" t="s">
        <v>25</v>
      </c>
      <c r="F733" s="3" t="s">
        <v>25</v>
      </c>
      <c r="G733" s="3" t="s">
        <v>25</v>
      </c>
      <c r="H733" s="3" t="s">
        <v>34</v>
      </c>
      <c r="I733" s="6">
        <v>44621</v>
      </c>
      <c r="J733" s="4">
        <v>0</v>
      </c>
      <c r="K733" s="4">
        <v>0</v>
      </c>
      <c r="L733" s="4">
        <v>13.175000000000001</v>
      </c>
      <c r="M733" s="4">
        <v>13.175000000000001</v>
      </c>
      <c r="N733" s="4">
        <v>0</v>
      </c>
      <c r="O733" s="4">
        <v>0</v>
      </c>
      <c r="P733" s="4">
        <v>0</v>
      </c>
      <c r="Q733" s="3" t="s">
        <v>57</v>
      </c>
      <c r="R733" s="3">
        <v>0</v>
      </c>
      <c r="S733" s="3" t="s">
        <v>371</v>
      </c>
      <c r="U733" s="3">
        <v>0</v>
      </c>
      <c r="V733" s="3">
        <v>20</v>
      </c>
      <c r="W733" s="3">
        <v>0</v>
      </c>
    </row>
    <row r="734" spans="1:23" ht="11.25" customHeight="1" x14ac:dyDescent="0.25">
      <c r="A734" s="3" t="s">
        <v>56</v>
      </c>
      <c r="B734" s="3" t="s">
        <v>41</v>
      </c>
      <c r="C734" s="3" t="s">
        <v>42</v>
      </c>
      <c r="D734" s="3" t="s">
        <v>43</v>
      </c>
      <c r="E734" s="3" t="s">
        <v>25</v>
      </c>
      <c r="F734" s="3" t="s">
        <v>25</v>
      </c>
      <c r="G734" s="3" t="s">
        <v>25</v>
      </c>
      <c r="H734" s="3" t="s">
        <v>34</v>
      </c>
      <c r="I734" s="6">
        <v>44621</v>
      </c>
      <c r="J734" s="4">
        <v>0</v>
      </c>
      <c r="K734" s="4">
        <v>0</v>
      </c>
      <c r="L734" s="4">
        <v>-8.6020000000000003</v>
      </c>
      <c r="M734" s="4">
        <v>-8.6020000000000003</v>
      </c>
      <c r="N734" s="4">
        <v>0</v>
      </c>
      <c r="O734" s="4">
        <v>0</v>
      </c>
      <c r="P734" s="4">
        <v>0</v>
      </c>
      <c r="Q734" s="3" t="s">
        <v>57</v>
      </c>
      <c r="R734" s="3">
        <v>0</v>
      </c>
      <c r="S734" s="3" t="s">
        <v>371</v>
      </c>
      <c r="U734" s="3">
        <v>0</v>
      </c>
      <c r="V734" s="3">
        <v>20</v>
      </c>
      <c r="W734" s="3">
        <v>0</v>
      </c>
    </row>
    <row r="735" spans="1:23" ht="11.25" customHeight="1" x14ac:dyDescent="0.25">
      <c r="A735" s="3" t="s">
        <v>21</v>
      </c>
      <c r="B735" s="3" t="s">
        <v>41</v>
      </c>
      <c r="C735" s="3" t="s">
        <v>42</v>
      </c>
      <c r="D735" s="3" t="s">
        <v>52</v>
      </c>
      <c r="E735" s="3" t="s">
        <v>25</v>
      </c>
      <c r="F735" s="3" t="s">
        <v>25</v>
      </c>
      <c r="G735" s="3" t="s">
        <v>25</v>
      </c>
      <c r="H735" s="3" t="s">
        <v>35</v>
      </c>
      <c r="I735" s="6">
        <v>44287</v>
      </c>
      <c r="J735" s="4">
        <v>0</v>
      </c>
      <c r="K735" s="4">
        <v>0</v>
      </c>
      <c r="L735" s="4">
        <v>82.25</v>
      </c>
      <c r="M735" s="4">
        <v>82.25</v>
      </c>
      <c r="N735" s="4">
        <v>82.25</v>
      </c>
      <c r="O735" s="4">
        <v>82.25</v>
      </c>
      <c r="P735" s="4">
        <v>0</v>
      </c>
      <c r="Q735" s="3" t="s">
        <v>26</v>
      </c>
      <c r="R735" s="3">
        <v>0</v>
      </c>
      <c r="S735" s="3" t="s">
        <v>336</v>
      </c>
      <c r="T735" s="3" t="s">
        <v>611</v>
      </c>
      <c r="U735" s="3">
        <v>0</v>
      </c>
      <c r="V735" s="3">
        <v>21</v>
      </c>
      <c r="W735" s="3">
        <v>89</v>
      </c>
    </row>
    <row r="736" spans="1:23" ht="11.25" customHeight="1" x14ac:dyDescent="0.25">
      <c r="A736" s="3" t="s">
        <v>21</v>
      </c>
      <c r="B736" s="3" t="s">
        <v>41</v>
      </c>
      <c r="C736" s="3" t="s">
        <v>42</v>
      </c>
      <c r="D736" s="3" t="s">
        <v>52</v>
      </c>
      <c r="E736" s="3" t="s">
        <v>25</v>
      </c>
      <c r="F736" s="3" t="s">
        <v>25</v>
      </c>
      <c r="G736" s="3" t="s">
        <v>25</v>
      </c>
      <c r="H736" s="3" t="s">
        <v>35</v>
      </c>
      <c r="I736" s="6">
        <v>44317</v>
      </c>
      <c r="J736" s="4">
        <v>0</v>
      </c>
      <c r="K736" s="4">
        <v>0</v>
      </c>
      <c r="L736" s="4">
        <v>72.099999999999994</v>
      </c>
      <c r="M736" s="4">
        <v>72.099999999999994</v>
      </c>
      <c r="N736" s="4">
        <v>72.099999999999994</v>
      </c>
      <c r="O736" s="4">
        <v>72.099999999999994</v>
      </c>
      <c r="P736" s="4">
        <v>0</v>
      </c>
      <c r="Q736" s="3" t="s">
        <v>26</v>
      </c>
      <c r="R736" s="3">
        <v>0</v>
      </c>
      <c r="S736" s="3" t="s">
        <v>337</v>
      </c>
      <c r="T736" s="3" t="s">
        <v>612</v>
      </c>
      <c r="U736" s="3">
        <v>0</v>
      </c>
      <c r="V736" s="3">
        <v>21</v>
      </c>
      <c r="W736" s="3">
        <v>89</v>
      </c>
    </row>
    <row r="737" spans="1:23" ht="11.25" customHeight="1" x14ac:dyDescent="0.25">
      <c r="A737" s="3" t="s">
        <v>21</v>
      </c>
      <c r="B737" s="3" t="s">
        <v>41</v>
      </c>
      <c r="C737" s="3" t="s">
        <v>42</v>
      </c>
      <c r="D737" s="3" t="s">
        <v>52</v>
      </c>
      <c r="E737" s="3" t="s">
        <v>25</v>
      </c>
      <c r="F737" s="3" t="s">
        <v>25</v>
      </c>
      <c r="G737" s="3" t="s">
        <v>25</v>
      </c>
      <c r="H737" s="3" t="s">
        <v>35</v>
      </c>
      <c r="I737" s="6">
        <v>44348</v>
      </c>
      <c r="J737" s="4">
        <v>0</v>
      </c>
      <c r="K737" s="4">
        <v>0</v>
      </c>
      <c r="L737" s="4">
        <v>64.05</v>
      </c>
      <c r="M737" s="4">
        <v>64.05</v>
      </c>
      <c r="N737" s="4">
        <v>64.05</v>
      </c>
      <c r="O737" s="4">
        <v>64.05</v>
      </c>
      <c r="P737" s="4">
        <v>0</v>
      </c>
      <c r="Q737" s="3" t="s">
        <v>26</v>
      </c>
      <c r="R737" s="3">
        <v>0</v>
      </c>
      <c r="S737" s="3" t="s">
        <v>338</v>
      </c>
      <c r="T737" s="3" t="s">
        <v>613</v>
      </c>
      <c r="U737" s="3">
        <v>0</v>
      </c>
      <c r="V737" s="3">
        <v>21</v>
      </c>
      <c r="W737" s="3">
        <v>89</v>
      </c>
    </row>
    <row r="738" spans="1:23" ht="11.25" customHeight="1" x14ac:dyDescent="0.25">
      <c r="A738" s="3" t="s">
        <v>21</v>
      </c>
      <c r="B738" s="3" t="s">
        <v>41</v>
      </c>
      <c r="C738" s="3" t="s">
        <v>42</v>
      </c>
      <c r="D738" s="3" t="s">
        <v>52</v>
      </c>
      <c r="E738" s="3" t="s">
        <v>25</v>
      </c>
      <c r="F738" s="3" t="s">
        <v>25</v>
      </c>
      <c r="G738" s="3" t="s">
        <v>25</v>
      </c>
      <c r="H738" s="3" t="s">
        <v>35</v>
      </c>
      <c r="I738" s="6">
        <v>44378</v>
      </c>
      <c r="J738" s="4">
        <v>0</v>
      </c>
      <c r="K738" s="4">
        <v>0</v>
      </c>
      <c r="L738" s="4">
        <v>71.05</v>
      </c>
      <c r="M738" s="4">
        <v>71.05</v>
      </c>
      <c r="N738" s="4">
        <v>71.05</v>
      </c>
      <c r="O738" s="4">
        <v>71.05</v>
      </c>
      <c r="P738" s="4">
        <v>0</v>
      </c>
      <c r="Q738" s="3" t="s">
        <v>26</v>
      </c>
      <c r="R738" s="3">
        <v>0</v>
      </c>
      <c r="S738" s="3" t="s">
        <v>339</v>
      </c>
      <c r="T738" s="3" t="s">
        <v>614</v>
      </c>
      <c r="U738" s="3">
        <v>0</v>
      </c>
      <c r="V738" s="3">
        <v>21</v>
      </c>
      <c r="W738" s="3">
        <v>89</v>
      </c>
    </row>
    <row r="739" spans="1:23" ht="11.25" customHeight="1" x14ac:dyDescent="0.25">
      <c r="A739" s="3" t="s">
        <v>21</v>
      </c>
      <c r="B739" s="3" t="s">
        <v>41</v>
      </c>
      <c r="C739" s="3" t="s">
        <v>42</v>
      </c>
      <c r="D739" s="3" t="s">
        <v>52</v>
      </c>
      <c r="E739" s="3" t="s">
        <v>25</v>
      </c>
      <c r="F739" s="3" t="s">
        <v>25</v>
      </c>
      <c r="G739" s="3" t="s">
        <v>25</v>
      </c>
      <c r="H739" s="3" t="s">
        <v>35</v>
      </c>
      <c r="I739" s="6">
        <v>44409</v>
      </c>
      <c r="J739" s="4">
        <v>0</v>
      </c>
      <c r="K739" s="4">
        <v>0</v>
      </c>
      <c r="L739" s="4">
        <v>74.2</v>
      </c>
      <c r="M739" s="4">
        <v>74.2</v>
      </c>
      <c r="N739" s="4">
        <v>74.2</v>
      </c>
      <c r="O739" s="4">
        <v>74.2</v>
      </c>
      <c r="P739" s="4">
        <v>0</v>
      </c>
      <c r="Q739" s="3" t="s">
        <v>26</v>
      </c>
      <c r="R739" s="3">
        <v>0</v>
      </c>
      <c r="S739" s="3" t="s">
        <v>340</v>
      </c>
      <c r="T739" s="3" t="s">
        <v>615</v>
      </c>
      <c r="U739" s="3">
        <v>0</v>
      </c>
      <c r="V739" s="3">
        <v>21</v>
      </c>
      <c r="W739" s="3">
        <v>89</v>
      </c>
    </row>
    <row r="740" spans="1:23" ht="11.25" customHeight="1" x14ac:dyDescent="0.25">
      <c r="A740" s="3" t="s">
        <v>21</v>
      </c>
      <c r="B740" s="3" t="s">
        <v>41</v>
      </c>
      <c r="C740" s="3" t="s">
        <v>42</v>
      </c>
      <c r="D740" s="3" t="s">
        <v>52</v>
      </c>
      <c r="E740" s="3" t="s">
        <v>25</v>
      </c>
      <c r="F740" s="3" t="s">
        <v>25</v>
      </c>
      <c r="G740" s="3" t="s">
        <v>25</v>
      </c>
      <c r="H740" s="3" t="s">
        <v>35</v>
      </c>
      <c r="I740" s="6">
        <v>44440</v>
      </c>
      <c r="J740" s="4">
        <v>0</v>
      </c>
      <c r="K740" s="4">
        <v>0</v>
      </c>
      <c r="L740" s="4">
        <v>73.5</v>
      </c>
      <c r="M740" s="4">
        <v>73.5</v>
      </c>
      <c r="N740" s="4">
        <v>73.5</v>
      </c>
      <c r="O740" s="4">
        <v>73.5</v>
      </c>
      <c r="P740" s="4">
        <v>0</v>
      </c>
      <c r="Q740" s="3" t="s">
        <v>26</v>
      </c>
      <c r="R740" s="3">
        <v>0</v>
      </c>
      <c r="S740" s="3" t="s">
        <v>341</v>
      </c>
      <c r="T740" s="3" t="s">
        <v>616</v>
      </c>
      <c r="U740" s="3">
        <v>0</v>
      </c>
      <c r="V740" s="3">
        <v>21</v>
      </c>
      <c r="W740" s="3">
        <v>89</v>
      </c>
    </row>
    <row r="741" spans="1:23" ht="11.25" customHeight="1" x14ac:dyDescent="0.25">
      <c r="A741" s="3" t="s">
        <v>21</v>
      </c>
      <c r="B741" s="3" t="s">
        <v>41</v>
      </c>
      <c r="C741" s="3" t="s">
        <v>42</v>
      </c>
      <c r="D741" s="3" t="s">
        <v>52</v>
      </c>
      <c r="E741" s="3" t="s">
        <v>25</v>
      </c>
      <c r="F741" s="3" t="s">
        <v>25</v>
      </c>
      <c r="G741" s="3" t="s">
        <v>25</v>
      </c>
      <c r="H741" s="3" t="s">
        <v>35</v>
      </c>
      <c r="I741" s="6">
        <v>44470</v>
      </c>
      <c r="J741" s="4">
        <v>0</v>
      </c>
      <c r="K741" s="4">
        <v>0</v>
      </c>
      <c r="L741" s="4">
        <v>73.150000000000006</v>
      </c>
      <c r="M741" s="4">
        <v>73.150000000000006</v>
      </c>
      <c r="N741" s="4">
        <v>73.150000000000006</v>
      </c>
      <c r="O741" s="4">
        <v>73.150000000000006</v>
      </c>
      <c r="P741" s="4">
        <v>0</v>
      </c>
      <c r="Q741" s="3" t="s">
        <v>26</v>
      </c>
      <c r="R741" s="3">
        <v>0</v>
      </c>
      <c r="S741" s="3" t="s">
        <v>342</v>
      </c>
      <c r="T741" s="3" t="s">
        <v>617</v>
      </c>
      <c r="U741" s="3">
        <v>0</v>
      </c>
      <c r="V741" s="3">
        <v>21</v>
      </c>
      <c r="W741" s="3">
        <v>89</v>
      </c>
    </row>
    <row r="742" spans="1:23" ht="11.25" customHeight="1" x14ac:dyDescent="0.25">
      <c r="A742" s="3" t="s">
        <v>21</v>
      </c>
      <c r="B742" s="3" t="s">
        <v>41</v>
      </c>
      <c r="C742" s="3" t="s">
        <v>42</v>
      </c>
      <c r="D742" s="3" t="s">
        <v>52</v>
      </c>
      <c r="E742" s="3" t="s">
        <v>25</v>
      </c>
      <c r="F742" s="3" t="s">
        <v>25</v>
      </c>
      <c r="G742" s="3" t="s">
        <v>25</v>
      </c>
      <c r="H742" s="3" t="s">
        <v>35</v>
      </c>
      <c r="I742" s="6">
        <v>44501</v>
      </c>
      <c r="J742" s="4">
        <v>0</v>
      </c>
      <c r="K742" s="4">
        <v>0</v>
      </c>
      <c r="L742" s="4">
        <v>75.25</v>
      </c>
      <c r="M742" s="4">
        <v>75.25</v>
      </c>
      <c r="N742" s="4">
        <v>75.25</v>
      </c>
      <c r="O742" s="4">
        <v>75.25</v>
      </c>
      <c r="P742" s="4">
        <v>0</v>
      </c>
      <c r="Q742" s="3" t="s">
        <v>26</v>
      </c>
      <c r="R742" s="3">
        <v>0</v>
      </c>
      <c r="S742" s="3" t="s">
        <v>343</v>
      </c>
      <c r="T742" s="3" t="s">
        <v>618</v>
      </c>
      <c r="U742" s="3">
        <v>0</v>
      </c>
      <c r="V742" s="3">
        <v>21</v>
      </c>
      <c r="W742" s="3">
        <v>89</v>
      </c>
    </row>
    <row r="743" spans="1:23" ht="11.25" customHeight="1" x14ac:dyDescent="0.25">
      <c r="A743" s="3" t="s">
        <v>21</v>
      </c>
      <c r="B743" s="3" t="s">
        <v>41</v>
      </c>
      <c r="C743" s="3" t="s">
        <v>42</v>
      </c>
      <c r="D743" s="3" t="s">
        <v>52</v>
      </c>
      <c r="E743" s="3" t="s">
        <v>25</v>
      </c>
      <c r="F743" s="3" t="s">
        <v>25</v>
      </c>
      <c r="G743" s="3" t="s">
        <v>25</v>
      </c>
      <c r="H743" s="3" t="s">
        <v>35</v>
      </c>
      <c r="I743" s="6">
        <v>44531</v>
      </c>
      <c r="J743" s="4">
        <v>0</v>
      </c>
      <c r="K743" s="4">
        <v>0</v>
      </c>
      <c r="L743" s="4">
        <v>75.599999999999994</v>
      </c>
      <c r="M743" s="4">
        <v>75.599999999999994</v>
      </c>
      <c r="N743" s="4">
        <v>75.599999999999994</v>
      </c>
      <c r="O743" s="4">
        <v>75.599999999999994</v>
      </c>
      <c r="P743" s="4">
        <v>0</v>
      </c>
      <c r="Q743" s="3" t="s">
        <v>26</v>
      </c>
      <c r="R743" s="3">
        <v>0</v>
      </c>
      <c r="S743" s="3" t="s">
        <v>344</v>
      </c>
      <c r="T743" s="3" t="s">
        <v>619</v>
      </c>
      <c r="U743" s="3">
        <v>0</v>
      </c>
      <c r="V743" s="3">
        <v>21</v>
      </c>
      <c r="W743" s="3">
        <v>89</v>
      </c>
    </row>
    <row r="744" spans="1:23" ht="11.25" customHeight="1" x14ac:dyDescent="0.25">
      <c r="A744" s="3" t="s">
        <v>21</v>
      </c>
      <c r="B744" s="3" t="s">
        <v>41</v>
      </c>
      <c r="C744" s="3" t="s">
        <v>42</v>
      </c>
      <c r="D744" s="3" t="s">
        <v>52</v>
      </c>
      <c r="E744" s="3" t="s">
        <v>25</v>
      </c>
      <c r="F744" s="3" t="s">
        <v>25</v>
      </c>
      <c r="G744" s="3" t="s">
        <v>25</v>
      </c>
      <c r="H744" s="3" t="s">
        <v>35</v>
      </c>
      <c r="I744" s="6">
        <v>44562</v>
      </c>
      <c r="J744" s="4">
        <v>0</v>
      </c>
      <c r="K744" s="4">
        <v>0</v>
      </c>
      <c r="L744" s="4">
        <v>78.706000000000003</v>
      </c>
      <c r="M744" s="4">
        <v>78.706000000000003</v>
      </c>
      <c r="N744" s="4">
        <v>78.706000000000003</v>
      </c>
      <c r="O744" s="4">
        <v>78.706000000000003</v>
      </c>
      <c r="P744" s="4">
        <v>0</v>
      </c>
      <c r="Q744" s="3" t="s">
        <v>26</v>
      </c>
      <c r="R744" s="3">
        <v>0</v>
      </c>
      <c r="S744" s="3" t="s">
        <v>345</v>
      </c>
      <c r="T744" s="3" t="s">
        <v>620</v>
      </c>
      <c r="U744" s="3">
        <v>0</v>
      </c>
      <c r="V744" s="3">
        <v>21</v>
      </c>
      <c r="W744" s="3">
        <v>89</v>
      </c>
    </row>
    <row r="745" spans="1:23" ht="11.25" customHeight="1" x14ac:dyDescent="0.25">
      <c r="A745" s="3" t="s">
        <v>21</v>
      </c>
      <c r="B745" s="3" t="s">
        <v>41</v>
      </c>
      <c r="C745" s="3" t="s">
        <v>42</v>
      </c>
      <c r="D745" s="3" t="s">
        <v>52</v>
      </c>
      <c r="E745" s="3" t="s">
        <v>25</v>
      </c>
      <c r="F745" s="3" t="s">
        <v>25</v>
      </c>
      <c r="G745" s="3" t="s">
        <v>25</v>
      </c>
      <c r="H745" s="3" t="s">
        <v>35</v>
      </c>
      <c r="I745" s="6">
        <v>44593</v>
      </c>
      <c r="J745" s="4">
        <v>0</v>
      </c>
      <c r="K745" s="4">
        <v>0</v>
      </c>
      <c r="L745" s="4">
        <v>77.076999999999998</v>
      </c>
      <c r="M745" s="4">
        <v>77.076999999999998</v>
      </c>
      <c r="N745" s="4">
        <v>77.076999999999998</v>
      </c>
      <c r="O745" s="4">
        <v>77.076999999999998</v>
      </c>
      <c r="P745" s="4">
        <v>0</v>
      </c>
      <c r="Q745" s="3" t="s">
        <v>26</v>
      </c>
      <c r="R745" s="3">
        <v>0</v>
      </c>
      <c r="S745" s="3" t="s">
        <v>346</v>
      </c>
      <c r="T745" s="3" t="s">
        <v>621</v>
      </c>
      <c r="U745" s="3">
        <v>0</v>
      </c>
      <c r="V745" s="3">
        <v>21</v>
      </c>
      <c r="W745" s="3">
        <v>89</v>
      </c>
    </row>
    <row r="746" spans="1:23" ht="11.25" customHeight="1" x14ac:dyDescent="0.25">
      <c r="A746" s="3" t="s">
        <v>56</v>
      </c>
      <c r="B746" s="3" t="s">
        <v>41</v>
      </c>
      <c r="C746" s="3" t="s">
        <v>42</v>
      </c>
      <c r="D746" s="3" t="s">
        <v>52</v>
      </c>
      <c r="E746" s="3" t="s">
        <v>25</v>
      </c>
      <c r="F746" s="3" t="s">
        <v>25</v>
      </c>
      <c r="G746" s="3" t="s">
        <v>25</v>
      </c>
      <c r="H746" s="3" t="s">
        <v>35</v>
      </c>
      <c r="I746" s="6">
        <v>44621</v>
      </c>
      <c r="J746" s="4">
        <v>0</v>
      </c>
      <c r="K746" s="4">
        <v>0</v>
      </c>
      <c r="L746" s="4">
        <v>77.076999999999998</v>
      </c>
      <c r="M746" s="4">
        <v>77.076999999999998</v>
      </c>
      <c r="N746" s="4">
        <v>77.076999999999998</v>
      </c>
      <c r="O746" s="4">
        <v>77.076999999999998</v>
      </c>
      <c r="P746" s="4">
        <v>0</v>
      </c>
      <c r="Q746" s="3" t="s">
        <v>26</v>
      </c>
      <c r="R746" s="3">
        <v>0</v>
      </c>
      <c r="S746" s="3" t="s">
        <v>347</v>
      </c>
      <c r="T746" s="3" t="s">
        <v>622</v>
      </c>
      <c r="U746" s="3">
        <v>0</v>
      </c>
      <c r="V746" s="3">
        <v>21</v>
      </c>
      <c r="W746" s="3">
        <v>89</v>
      </c>
    </row>
    <row r="747" spans="1:23" ht="11.25" customHeight="1" x14ac:dyDescent="0.25">
      <c r="A747" s="3" t="s">
        <v>21</v>
      </c>
      <c r="B747" s="3" t="s">
        <v>41</v>
      </c>
      <c r="C747" s="3" t="s">
        <v>42</v>
      </c>
      <c r="D747" s="3" t="s">
        <v>52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44287</v>
      </c>
      <c r="J747" s="4">
        <v>410</v>
      </c>
      <c r="K747" s="4">
        <v>410</v>
      </c>
      <c r="L747" s="4">
        <v>0</v>
      </c>
      <c r="M747" s="4">
        <v>0</v>
      </c>
      <c r="N747" s="4">
        <v>0</v>
      </c>
      <c r="O747" s="4">
        <v>0</v>
      </c>
      <c r="P747" s="4">
        <v>1</v>
      </c>
      <c r="Q747" s="3" t="s">
        <v>26</v>
      </c>
      <c r="R747" s="3">
        <v>0</v>
      </c>
      <c r="S747" s="3" t="s">
        <v>348</v>
      </c>
      <c r="U747" s="3">
        <v>44</v>
      </c>
      <c r="V747" s="3">
        <v>0</v>
      </c>
      <c r="W747" s="3">
        <v>0</v>
      </c>
    </row>
    <row r="748" spans="1:23" ht="11.25" customHeight="1" x14ac:dyDescent="0.25">
      <c r="A748" s="3" t="s">
        <v>21</v>
      </c>
      <c r="B748" s="3" t="s">
        <v>41</v>
      </c>
      <c r="C748" s="3" t="s">
        <v>42</v>
      </c>
      <c r="D748" s="3" t="s">
        <v>52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44317</v>
      </c>
      <c r="J748" s="4">
        <v>410</v>
      </c>
      <c r="K748" s="4">
        <v>410</v>
      </c>
      <c r="L748" s="4">
        <v>0</v>
      </c>
      <c r="M748" s="4">
        <v>0</v>
      </c>
      <c r="N748" s="4">
        <v>0</v>
      </c>
      <c r="O748" s="4">
        <v>0</v>
      </c>
      <c r="P748" s="4">
        <v>1</v>
      </c>
      <c r="Q748" s="3" t="s">
        <v>26</v>
      </c>
      <c r="R748" s="3">
        <v>0</v>
      </c>
      <c r="S748" s="3" t="s">
        <v>349</v>
      </c>
      <c r="U748" s="3">
        <v>44</v>
      </c>
      <c r="V748" s="3">
        <v>0</v>
      </c>
      <c r="W748" s="3">
        <v>0</v>
      </c>
    </row>
    <row r="749" spans="1:23" ht="11.25" customHeight="1" x14ac:dyDescent="0.25">
      <c r="A749" s="3" t="s">
        <v>21</v>
      </c>
      <c r="B749" s="3" t="s">
        <v>41</v>
      </c>
      <c r="C749" s="3" t="s">
        <v>42</v>
      </c>
      <c r="D749" s="3" t="s">
        <v>52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44348</v>
      </c>
      <c r="J749" s="4">
        <v>410</v>
      </c>
      <c r="K749" s="4">
        <v>410</v>
      </c>
      <c r="L749" s="4">
        <v>0</v>
      </c>
      <c r="M749" s="4">
        <v>0</v>
      </c>
      <c r="N749" s="4">
        <v>0</v>
      </c>
      <c r="O749" s="4">
        <v>0</v>
      </c>
      <c r="P749" s="4">
        <v>1</v>
      </c>
      <c r="Q749" s="3" t="s">
        <v>26</v>
      </c>
      <c r="R749" s="3">
        <v>0</v>
      </c>
      <c r="S749" s="3" t="s">
        <v>350</v>
      </c>
      <c r="U749" s="3">
        <v>44</v>
      </c>
      <c r="V749" s="3">
        <v>0</v>
      </c>
      <c r="W749" s="3">
        <v>0</v>
      </c>
    </row>
    <row r="750" spans="1:23" ht="11.25" customHeight="1" x14ac:dyDescent="0.25">
      <c r="A750" s="3" t="s">
        <v>21</v>
      </c>
      <c r="B750" s="3" t="s">
        <v>41</v>
      </c>
      <c r="C750" s="3" t="s">
        <v>42</v>
      </c>
      <c r="D750" s="3" t="s">
        <v>52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44378</v>
      </c>
      <c r="J750" s="4">
        <v>410</v>
      </c>
      <c r="K750" s="4">
        <v>410</v>
      </c>
      <c r="L750" s="4">
        <v>0</v>
      </c>
      <c r="M750" s="4">
        <v>0</v>
      </c>
      <c r="N750" s="4">
        <v>0</v>
      </c>
      <c r="O750" s="4">
        <v>0</v>
      </c>
      <c r="P750" s="4">
        <v>1</v>
      </c>
      <c r="Q750" s="3" t="s">
        <v>26</v>
      </c>
      <c r="R750" s="3">
        <v>0</v>
      </c>
      <c r="S750" s="3" t="s">
        <v>351</v>
      </c>
      <c r="U750" s="3">
        <v>44</v>
      </c>
      <c r="V750" s="3">
        <v>0</v>
      </c>
      <c r="W750" s="3">
        <v>0</v>
      </c>
    </row>
    <row r="751" spans="1:23" ht="11.25" customHeight="1" x14ac:dyDescent="0.25">
      <c r="A751" s="3" t="s">
        <v>21</v>
      </c>
      <c r="B751" s="3" t="s">
        <v>41</v>
      </c>
      <c r="C751" s="3" t="s">
        <v>42</v>
      </c>
      <c r="D751" s="3" t="s">
        <v>52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44409</v>
      </c>
      <c r="J751" s="4">
        <v>410</v>
      </c>
      <c r="K751" s="4">
        <v>410</v>
      </c>
      <c r="L751" s="4">
        <v>0</v>
      </c>
      <c r="M751" s="4">
        <v>0</v>
      </c>
      <c r="N751" s="4">
        <v>0</v>
      </c>
      <c r="O751" s="4">
        <v>0</v>
      </c>
      <c r="P751" s="4">
        <v>1</v>
      </c>
      <c r="Q751" s="3" t="s">
        <v>26</v>
      </c>
      <c r="R751" s="3">
        <v>0</v>
      </c>
      <c r="S751" s="3" t="s">
        <v>352</v>
      </c>
      <c r="U751" s="3">
        <v>44</v>
      </c>
      <c r="V751" s="3">
        <v>0</v>
      </c>
      <c r="W751" s="3">
        <v>0</v>
      </c>
    </row>
    <row r="752" spans="1:23" ht="11.25" customHeight="1" x14ac:dyDescent="0.25">
      <c r="A752" s="3" t="s">
        <v>21</v>
      </c>
      <c r="B752" s="3" t="s">
        <v>41</v>
      </c>
      <c r="C752" s="3" t="s">
        <v>42</v>
      </c>
      <c r="D752" s="3" t="s">
        <v>52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44440</v>
      </c>
      <c r="J752" s="4">
        <v>410</v>
      </c>
      <c r="K752" s="4">
        <v>410</v>
      </c>
      <c r="L752" s="4">
        <v>0</v>
      </c>
      <c r="M752" s="4">
        <v>0</v>
      </c>
      <c r="N752" s="4">
        <v>0</v>
      </c>
      <c r="O752" s="4">
        <v>0</v>
      </c>
      <c r="P752" s="4">
        <v>1</v>
      </c>
      <c r="Q752" s="3" t="s">
        <v>26</v>
      </c>
      <c r="R752" s="3">
        <v>0</v>
      </c>
      <c r="S752" s="3" t="s">
        <v>353</v>
      </c>
      <c r="U752" s="3">
        <v>44</v>
      </c>
      <c r="V752" s="3">
        <v>0</v>
      </c>
      <c r="W752" s="3">
        <v>0</v>
      </c>
    </row>
    <row r="753" spans="1:23" ht="11.25" customHeight="1" x14ac:dyDescent="0.25">
      <c r="A753" s="3" t="s">
        <v>21</v>
      </c>
      <c r="B753" s="3" t="s">
        <v>41</v>
      </c>
      <c r="C753" s="3" t="s">
        <v>42</v>
      </c>
      <c r="D753" s="3" t="s">
        <v>52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44470</v>
      </c>
      <c r="J753" s="4">
        <v>410</v>
      </c>
      <c r="K753" s="4">
        <v>410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3" t="s">
        <v>26</v>
      </c>
      <c r="R753" s="3">
        <v>0</v>
      </c>
      <c r="S753" s="3" t="s">
        <v>354</v>
      </c>
      <c r="U753" s="3">
        <v>44</v>
      </c>
      <c r="V753" s="3">
        <v>0</v>
      </c>
      <c r="W753" s="3">
        <v>0</v>
      </c>
    </row>
    <row r="754" spans="1:23" ht="11.25" customHeight="1" x14ac:dyDescent="0.25">
      <c r="A754" s="3" t="s">
        <v>21</v>
      </c>
      <c r="B754" s="3" t="s">
        <v>41</v>
      </c>
      <c r="C754" s="3" t="s">
        <v>42</v>
      </c>
      <c r="D754" s="3" t="s">
        <v>52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44501</v>
      </c>
      <c r="J754" s="4">
        <v>410</v>
      </c>
      <c r="K754" s="4">
        <v>410</v>
      </c>
      <c r="L754" s="4">
        <v>0</v>
      </c>
      <c r="M754" s="4">
        <v>0</v>
      </c>
      <c r="N754" s="4">
        <v>0</v>
      </c>
      <c r="O754" s="4">
        <v>0</v>
      </c>
      <c r="P754" s="4">
        <v>1</v>
      </c>
      <c r="Q754" s="3" t="s">
        <v>26</v>
      </c>
      <c r="R754" s="3">
        <v>0</v>
      </c>
      <c r="S754" s="3" t="s">
        <v>355</v>
      </c>
      <c r="U754" s="3">
        <v>44</v>
      </c>
      <c r="V754" s="3">
        <v>0</v>
      </c>
      <c r="W754" s="3">
        <v>0</v>
      </c>
    </row>
    <row r="755" spans="1:23" ht="11.25" customHeight="1" x14ac:dyDescent="0.25">
      <c r="A755" s="3" t="s">
        <v>21</v>
      </c>
      <c r="B755" s="3" t="s">
        <v>41</v>
      </c>
      <c r="C755" s="3" t="s">
        <v>42</v>
      </c>
      <c r="D755" s="3" t="s">
        <v>52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44531</v>
      </c>
      <c r="J755" s="4">
        <v>410</v>
      </c>
      <c r="K755" s="4">
        <v>410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3" t="s">
        <v>26</v>
      </c>
      <c r="R755" s="3">
        <v>0</v>
      </c>
      <c r="S755" s="3" t="s">
        <v>356</v>
      </c>
      <c r="U755" s="3">
        <v>44</v>
      </c>
      <c r="V755" s="3">
        <v>0</v>
      </c>
      <c r="W755" s="3">
        <v>0</v>
      </c>
    </row>
    <row r="756" spans="1:23" ht="11.25" customHeight="1" x14ac:dyDescent="0.25">
      <c r="A756" s="3" t="s">
        <v>21</v>
      </c>
      <c r="B756" s="3" t="s">
        <v>41</v>
      </c>
      <c r="C756" s="3" t="s">
        <v>42</v>
      </c>
      <c r="D756" s="3" t="s">
        <v>52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44562</v>
      </c>
      <c r="J756" s="4">
        <v>410</v>
      </c>
      <c r="K756" s="4">
        <v>410</v>
      </c>
      <c r="L756" s="4">
        <v>0</v>
      </c>
      <c r="M756" s="4">
        <v>0</v>
      </c>
      <c r="N756" s="4">
        <v>0</v>
      </c>
      <c r="O756" s="4">
        <v>0</v>
      </c>
      <c r="P756" s="4">
        <v>1</v>
      </c>
      <c r="Q756" s="3" t="s">
        <v>26</v>
      </c>
      <c r="R756" s="3">
        <v>0</v>
      </c>
      <c r="S756" s="3" t="s">
        <v>357</v>
      </c>
      <c r="U756" s="3">
        <v>44</v>
      </c>
      <c r="V756" s="3">
        <v>0</v>
      </c>
      <c r="W756" s="3">
        <v>0</v>
      </c>
    </row>
    <row r="757" spans="1:23" ht="11.25" customHeight="1" x14ac:dyDescent="0.25">
      <c r="A757" s="3" t="s">
        <v>21</v>
      </c>
      <c r="B757" s="3" t="s">
        <v>41</v>
      </c>
      <c r="C757" s="3" t="s">
        <v>42</v>
      </c>
      <c r="D757" s="3" t="s">
        <v>52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44593</v>
      </c>
      <c r="J757" s="4">
        <v>410</v>
      </c>
      <c r="K757" s="4">
        <v>410</v>
      </c>
      <c r="L757" s="4">
        <v>0</v>
      </c>
      <c r="M757" s="4">
        <v>0</v>
      </c>
      <c r="N757" s="4">
        <v>0</v>
      </c>
      <c r="O757" s="4">
        <v>0</v>
      </c>
      <c r="P757" s="4">
        <v>1</v>
      </c>
      <c r="Q757" s="3" t="s">
        <v>26</v>
      </c>
      <c r="R757" s="3">
        <v>0</v>
      </c>
      <c r="S757" s="3" t="s">
        <v>358</v>
      </c>
      <c r="U757" s="3">
        <v>44</v>
      </c>
      <c r="V757" s="3">
        <v>0</v>
      </c>
      <c r="W757" s="3">
        <v>0</v>
      </c>
    </row>
    <row r="758" spans="1:23" ht="11.25" customHeight="1" x14ac:dyDescent="0.25">
      <c r="A758" s="3" t="s">
        <v>56</v>
      </c>
      <c r="B758" s="3" t="s">
        <v>41</v>
      </c>
      <c r="C758" s="3" t="s">
        <v>42</v>
      </c>
      <c r="D758" s="3" t="s">
        <v>52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44621</v>
      </c>
      <c r="J758" s="4">
        <v>410</v>
      </c>
      <c r="K758" s="4">
        <v>410</v>
      </c>
      <c r="L758" s="4">
        <v>0</v>
      </c>
      <c r="M758" s="4">
        <v>0</v>
      </c>
      <c r="N758" s="4">
        <v>0</v>
      </c>
      <c r="O758" s="4">
        <v>0</v>
      </c>
      <c r="P758" s="4">
        <v>1</v>
      </c>
      <c r="Q758" s="3" t="s">
        <v>26</v>
      </c>
      <c r="R758" s="3">
        <v>0</v>
      </c>
      <c r="S758" s="3" t="s">
        <v>359</v>
      </c>
      <c r="U758" s="3">
        <v>44</v>
      </c>
      <c r="V758" s="3">
        <v>0</v>
      </c>
      <c r="W758" s="3">
        <v>0</v>
      </c>
    </row>
    <row r="759" spans="1:23" ht="11.25" customHeight="1" x14ac:dyDescent="0.25">
      <c r="A759" s="3" t="s">
        <v>21</v>
      </c>
      <c r="B759" s="3" t="s">
        <v>41</v>
      </c>
      <c r="C759" s="3" t="s">
        <v>42</v>
      </c>
      <c r="D759" s="3" t="s">
        <v>52</v>
      </c>
      <c r="E759" s="3" t="s">
        <v>25</v>
      </c>
      <c r="F759" s="3" t="s">
        <v>25</v>
      </c>
      <c r="G759" s="3" t="s">
        <v>25</v>
      </c>
      <c r="H759" s="3" t="s">
        <v>34</v>
      </c>
      <c r="I759" s="6">
        <v>44287</v>
      </c>
      <c r="J759" s="4">
        <v>0</v>
      </c>
      <c r="K759" s="4">
        <v>0</v>
      </c>
      <c r="L759" s="4">
        <v>7.35</v>
      </c>
      <c r="M759" s="4">
        <v>7.35</v>
      </c>
      <c r="N759" s="4">
        <v>7.35</v>
      </c>
      <c r="O759" s="4">
        <v>7.35</v>
      </c>
      <c r="P759" s="4">
        <v>0</v>
      </c>
      <c r="Q759" s="3" t="s">
        <v>26</v>
      </c>
      <c r="R759" s="3">
        <v>0</v>
      </c>
      <c r="S759" s="3" t="s">
        <v>360</v>
      </c>
      <c r="T759" s="3" t="s">
        <v>623</v>
      </c>
      <c r="U759" s="3">
        <v>0</v>
      </c>
      <c r="V759" s="3">
        <v>20</v>
      </c>
      <c r="W759" s="3">
        <v>88</v>
      </c>
    </row>
    <row r="760" spans="1:23" ht="11.25" customHeight="1" x14ac:dyDescent="0.25">
      <c r="A760" s="3" t="s">
        <v>21</v>
      </c>
      <c r="B760" s="3" t="s">
        <v>41</v>
      </c>
      <c r="C760" s="3" t="s">
        <v>42</v>
      </c>
      <c r="D760" s="3" t="s">
        <v>52</v>
      </c>
      <c r="E760" s="3" t="s">
        <v>25</v>
      </c>
      <c r="F760" s="3" t="s">
        <v>25</v>
      </c>
      <c r="G760" s="3" t="s">
        <v>25</v>
      </c>
      <c r="H760" s="3" t="s">
        <v>34</v>
      </c>
      <c r="I760" s="6">
        <v>44317</v>
      </c>
      <c r="J760" s="4">
        <v>0</v>
      </c>
      <c r="K760" s="4">
        <v>0</v>
      </c>
      <c r="L760" s="4">
        <v>6.3</v>
      </c>
      <c r="M760" s="4">
        <v>6.3</v>
      </c>
      <c r="N760" s="4">
        <v>6.3</v>
      </c>
      <c r="O760" s="4">
        <v>6.3</v>
      </c>
      <c r="P760" s="4">
        <v>0</v>
      </c>
      <c r="Q760" s="3" t="s">
        <v>26</v>
      </c>
      <c r="R760" s="3">
        <v>0</v>
      </c>
      <c r="S760" s="3" t="s">
        <v>361</v>
      </c>
      <c r="T760" s="3" t="s">
        <v>624</v>
      </c>
      <c r="U760" s="3">
        <v>0</v>
      </c>
      <c r="V760" s="3">
        <v>20</v>
      </c>
      <c r="W760" s="3">
        <v>88</v>
      </c>
    </row>
    <row r="761" spans="1:23" ht="11.25" customHeight="1" x14ac:dyDescent="0.25">
      <c r="A761" s="3" t="s">
        <v>21</v>
      </c>
      <c r="B761" s="3" t="s">
        <v>41</v>
      </c>
      <c r="C761" s="3" t="s">
        <v>42</v>
      </c>
      <c r="D761" s="3" t="s">
        <v>52</v>
      </c>
      <c r="E761" s="3" t="s">
        <v>25</v>
      </c>
      <c r="F761" s="3" t="s">
        <v>25</v>
      </c>
      <c r="G761" s="3" t="s">
        <v>25</v>
      </c>
      <c r="H761" s="3" t="s">
        <v>34</v>
      </c>
      <c r="I761" s="6">
        <v>44348</v>
      </c>
      <c r="J761" s="4">
        <v>0</v>
      </c>
      <c r="K761" s="4">
        <v>0</v>
      </c>
      <c r="L761" s="4">
        <v>5.95</v>
      </c>
      <c r="M761" s="4">
        <v>5.95</v>
      </c>
      <c r="N761" s="4">
        <v>5.95</v>
      </c>
      <c r="O761" s="4">
        <v>5.95</v>
      </c>
      <c r="P761" s="4">
        <v>0</v>
      </c>
      <c r="Q761" s="3" t="s">
        <v>26</v>
      </c>
      <c r="R761" s="3">
        <v>0</v>
      </c>
      <c r="S761" s="3" t="s">
        <v>362</v>
      </c>
      <c r="T761" s="3" t="s">
        <v>625</v>
      </c>
      <c r="U761" s="3">
        <v>0</v>
      </c>
      <c r="V761" s="3">
        <v>20</v>
      </c>
      <c r="W761" s="3">
        <v>88</v>
      </c>
    </row>
    <row r="762" spans="1:23" ht="11.25" customHeight="1" x14ac:dyDescent="0.25">
      <c r="A762" s="3" t="s">
        <v>21</v>
      </c>
      <c r="B762" s="3" t="s">
        <v>41</v>
      </c>
      <c r="C762" s="3" t="s">
        <v>42</v>
      </c>
      <c r="D762" s="3" t="s">
        <v>52</v>
      </c>
      <c r="E762" s="3" t="s">
        <v>25</v>
      </c>
      <c r="F762" s="3" t="s">
        <v>25</v>
      </c>
      <c r="G762" s="3" t="s">
        <v>25</v>
      </c>
      <c r="H762" s="3" t="s">
        <v>34</v>
      </c>
      <c r="I762" s="6">
        <v>44378</v>
      </c>
      <c r="J762" s="4">
        <v>0</v>
      </c>
      <c r="K762" s="4">
        <v>0</v>
      </c>
      <c r="L762" s="4">
        <v>6.65</v>
      </c>
      <c r="M762" s="4">
        <v>6.65</v>
      </c>
      <c r="N762" s="4">
        <v>6.65</v>
      </c>
      <c r="O762" s="4">
        <v>6.65</v>
      </c>
      <c r="P762" s="4">
        <v>0</v>
      </c>
      <c r="Q762" s="3" t="s">
        <v>26</v>
      </c>
      <c r="R762" s="3">
        <v>0</v>
      </c>
      <c r="S762" s="3" t="s">
        <v>363</v>
      </c>
      <c r="T762" s="3" t="s">
        <v>626</v>
      </c>
      <c r="U762" s="3">
        <v>0</v>
      </c>
      <c r="V762" s="3">
        <v>20</v>
      </c>
      <c r="W762" s="3">
        <v>88</v>
      </c>
    </row>
    <row r="763" spans="1:23" ht="11.25" customHeight="1" x14ac:dyDescent="0.25">
      <c r="A763" s="3" t="s">
        <v>21</v>
      </c>
      <c r="B763" s="3" t="s">
        <v>41</v>
      </c>
      <c r="C763" s="3" t="s">
        <v>42</v>
      </c>
      <c r="D763" s="3" t="s">
        <v>52</v>
      </c>
      <c r="E763" s="3" t="s">
        <v>25</v>
      </c>
      <c r="F763" s="3" t="s">
        <v>25</v>
      </c>
      <c r="G763" s="3" t="s">
        <v>25</v>
      </c>
      <c r="H763" s="3" t="s">
        <v>34</v>
      </c>
      <c r="I763" s="6">
        <v>44409</v>
      </c>
      <c r="J763" s="4">
        <v>0</v>
      </c>
      <c r="K763" s="4">
        <v>0</v>
      </c>
      <c r="L763" s="4">
        <v>6.65</v>
      </c>
      <c r="M763" s="4">
        <v>6.65</v>
      </c>
      <c r="N763" s="4">
        <v>6.65</v>
      </c>
      <c r="O763" s="4">
        <v>6.65</v>
      </c>
      <c r="P763" s="4">
        <v>0</v>
      </c>
      <c r="Q763" s="3" t="s">
        <v>26</v>
      </c>
      <c r="R763" s="3">
        <v>0</v>
      </c>
      <c r="S763" s="3" t="s">
        <v>364</v>
      </c>
      <c r="T763" s="3" t="s">
        <v>627</v>
      </c>
      <c r="U763" s="3">
        <v>0</v>
      </c>
      <c r="V763" s="3">
        <v>20</v>
      </c>
      <c r="W763" s="3">
        <v>88</v>
      </c>
    </row>
    <row r="764" spans="1:23" ht="11.25" customHeight="1" x14ac:dyDescent="0.25">
      <c r="A764" s="3" t="s">
        <v>21</v>
      </c>
      <c r="B764" s="3" t="s">
        <v>41</v>
      </c>
      <c r="C764" s="3" t="s">
        <v>42</v>
      </c>
      <c r="D764" s="3" t="s">
        <v>52</v>
      </c>
      <c r="E764" s="3" t="s">
        <v>25</v>
      </c>
      <c r="F764" s="3" t="s">
        <v>25</v>
      </c>
      <c r="G764" s="3" t="s">
        <v>25</v>
      </c>
      <c r="H764" s="3" t="s">
        <v>34</v>
      </c>
      <c r="I764" s="6">
        <v>44440</v>
      </c>
      <c r="J764" s="4">
        <v>0</v>
      </c>
      <c r="K764" s="4">
        <v>0</v>
      </c>
      <c r="L764" s="4">
        <v>6.65</v>
      </c>
      <c r="M764" s="4">
        <v>6.65</v>
      </c>
      <c r="N764" s="4">
        <v>6.65</v>
      </c>
      <c r="O764" s="4">
        <v>6.65</v>
      </c>
      <c r="P764" s="4">
        <v>0</v>
      </c>
      <c r="Q764" s="3" t="s">
        <v>26</v>
      </c>
      <c r="R764" s="3">
        <v>0</v>
      </c>
      <c r="S764" s="3" t="s">
        <v>365</v>
      </c>
      <c r="T764" s="3" t="s">
        <v>628</v>
      </c>
      <c r="U764" s="3">
        <v>0</v>
      </c>
      <c r="V764" s="3">
        <v>20</v>
      </c>
      <c r="W764" s="3">
        <v>88</v>
      </c>
    </row>
    <row r="765" spans="1:23" ht="11.25" customHeight="1" x14ac:dyDescent="0.25">
      <c r="A765" s="3" t="s">
        <v>21</v>
      </c>
      <c r="B765" s="3" t="s">
        <v>41</v>
      </c>
      <c r="C765" s="3" t="s">
        <v>42</v>
      </c>
      <c r="D765" s="3" t="s">
        <v>52</v>
      </c>
      <c r="E765" s="3" t="s">
        <v>25</v>
      </c>
      <c r="F765" s="3" t="s">
        <v>25</v>
      </c>
      <c r="G765" s="3" t="s">
        <v>25</v>
      </c>
      <c r="H765" s="3" t="s">
        <v>34</v>
      </c>
      <c r="I765" s="6">
        <v>44470</v>
      </c>
      <c r="J765" s="4">
        <v>0</v>
      </c>
      <c r="K765" s="4">
        <v>0</v>
      </c>
      <c r="L765" s="4">
        <v>5.6</v>
      </c>
      <c r="M765" s="4">
        <v>5.6</v>
      </c>
      <c r="N765" s="4">
        <v>5.6</v>
      </c>
      <c r="O765" s="4">
        <v>5.6</v>
      </c>
      <c r="P765" s="4">
        <v>0</v>
      </c>
      <c r="Q765" s="3" t="s">
        <v>26</v>
      </c>
      <c r="R765" s="3">
        <v>0</v>
      </c>
      <c r="S765" s="3" t="s">
        <v>366</v>
      </c>
      <c r="T765" s="3" t="s">
        <v>629</v>
      </c>
      <c r="U765" s="3">
        <v>0</v>
      </c>
      <c r="V765" s="3">
        <v>20</v>
      </c>
      <c r="W765" s="3">
        <v>88</v>
      </c>
    </row>
    <row r="766" spans="1:23" ht="11.25" customHeight="1" x14ac:dyDescent="0.25">
      <c r="A766" s="3" t="s">
        <v>21</v>
      </c>
      <c r="B766" s="3" t="s">
        <v>41</v>
      </c>
      <c r="C766" s="3" t="s">
        <v>42</v>
      </c>
      <c r="D766" s="3" t="s">
        <v>52</v>
      </c>
      <c r="E766" s="3" t="s">
        <v>25</v>
      </c>
      <c r="F766" s="3" t="s">
        <v>25</v>
      </c>
      <c r="G766" s="3" t="s">
        <v>25</v>
      </c>
      <c r="H766" s="3" t="s">
        <v>34</v>
      </c>
      <c r="I766" s="6">
        <v>44501</v>
      </c>
      <c r="J766" s="4">
        <v>0</v>
      </c>
      <c r="K766" s="4">
        <v>0</v>
      </c>
      <c r="L766" s="4">
        <v>6.3</v>
      </c>
      <c r="M766" s="4">
        <v>6.3</v>
      </c>
      <c r="N766" s="4">
        <v>6.3</v>
      </c>
      <c r="O766" s="4">
        <v>6.3</v>
      </c>
      <c r="P766" s="4">
        <v>0</v>
      </c>
      <c r="Q766" s="3" t="s">
        <v>26</v>
      </c>
      <c r="R766" s="3">
        <v>0</v>
      </c>
      <c r="S766" s="3" t="s">
        <v>367</v>
      </c>
      <c r="T766" s="3" t="s">
        <v>630</v>
      </c>
      <c r="U766" s="3">
        <v>0</v>
      </c>
      <c r="V766" s="3">
        <v>20</v>
      </c>
      <c r="W766" s="3">
        <v>88</v>
      </c>
    </row>
    <row r="767" spans="1:23" ht="11.25" customHeight="1" x14ac:dyDescent="0.25">
      <c r="A767" s="3" t="s">
        <v>21</v>
      </c>
      <c r="B767" s="3" t="s">
        <v>41</v>
      </c>
      <c r="C767" s="3" t="s">
        <v>42</v>
      </c>
      <c r="D767" s="3" t="s">
        <v>52</v>
      </c>
      <c r="E767" s="3" t="s">
        <v>25</v>
      </c>
      <c r="F767" s="3" t="s">
        <v>25</v>
      </c>
      <c r="G767" s="3" t="s">
        <v>25</v>
      </c>
      <c r="H767" s="3" t="s">
        <v>34</v>
      </c>
      <c r="I767" s="6">
        <v>44531</v>
      </c>
      <c r="J767" s="4">
        <v>0</v>
      </c>
      <c r="K767" s="4">
        <v>0</v>
      </c>
      <c r="L767" s="4">
        <v>6.3</v>
      </c>
      <c r="M767" s="4">
        <v>6.3</v>
      </c>
      <c r="N767" s="4">
        <v>6.3</v>
      </c>
      <c r="O767" s="4">
        <v>6.3</v>
      </c>
      <c r="P767" s="4">
        <v>0</v>
      </c>
      <c r="Q767" s="3" t="s">
        <v>26</v>
      </c>
      <c r="R767" s="3">
        <v>0</v>
      </c>
      <c r="S767" s="3" t="s">
        <v>368</v>
      </c>
      <c r="T767" s="3" t="s">
        <v>631</v>
      </c>
      <c r="U767" s="3">
        <v>0</v>
      </c>
      <c r="V767" s="3">
        <v>20</v>
      </c>
      <c r="W767" s="3">
        <v>88</v>
      </c>
    </row>
    <row r="768" spans="1:23" ht="11.25" customHeight="1" x14ac:dyDescent="0.25">
      <c r="A768" s="3" t="s">
        <v>21</v>
      </c>
      <c r="B768" s="3" t="s">
        <v>41</v>
      </c>
      <c r="C768" s="3" t="s">
        <v>42</v>
      </c>
      <c r="D768" s="3" t="s">
        <v>52</v>
      </c>
      <c r="E768" s="3" t="s">
        <v>25</v>
      </c>
      <c r="F768" s="3" t="s">
        <v>25</v>
      </c>
      <c r="G768" s="3" t="s">
        <v>25</v>
      </c>
      <c r="H768" s="3" t="s">
        <v>34</v>
      </c>
      <c r="I768" s="6">
        <v>44562</v>
      </c>
      <c r="J768" s="4">
        <v>0</v>
      </c>
      <c r="K768" s="4">
        <v>0</v>
      </c>
      <c r="L768" s="4">
        <v>6.1779999999999999</v>
      </c>
      <c r="M768" s="4">
        <v>6.1779999999999999</v>
      </c>
      <c r="N768" s="4">
        <v>6.1779999999999999</v>
      </c>
      <c r="O768" s="4">
        <v>6.1779999999999999</v>
      </c>
      <c r="P768" s="4">
        <v>0</v>
      </c>
      <c r="Q768" s="3" t="s">
        <v>26</v>
      </c>
      <c r="R768" s="3">
        <v>0</v>
      </c>
      <c r="S768" s="3" t="s">
        <v>369</v>
      </c>
      <c r="T768" s="3" t="s">
        <v>632</v>
      </c>
      <c r="U768" s="3">
        <v>0</v>
      </c>
      <c r="V768" s="3">
        <v>20</v>
      </c>
      <c r="W768" s="3">
        <v>88</v>
      </c>
    </row>
    <row r="769" spans="1:23" ht="11.25" customHeight="1" x14ac:dyDescent="0.25">
      <c r="A769" s="3" t="s">
        <v>21</v>
      </c>
      <c r="B769" s="3" t="s">
        <v>41</v>
      </c>
      <c r="C769" s="3" t="s">
        <v>42</v>
      </c>
      <c r="D769" s="3" t="s">
        <v>52</v>
      </c>
      <c r="E769" s="3" t="s">
        <v>25</v>
      </c>
      <c r="F769" s="3" t="s">
        <v>25</v>
      </c>
      <c r="G769" s="3" t="s">
        <v>25</v>
      </c>
      <c r="H769" s="3" t="s">
        <v>34</v>
      </c>
      <c r="I769" s="6">
        <v>44593</v>
      </c>
      <c r="J769" s="4">
        <v>0</v>
      </c>
      <c r="K769" s="4">
        <v>0</v>
      </c>
      <c r="L769" s="4">
        <v>6.28</v>
      </c>
      <c r="M769" s="4">
        <v>6.28</v>
      </c>
      <c r="N769" s="4">
        <v>6.28</v>
      </c>
      <c r="O769" s="4">
        <v>6.28</v>
      </c>
      <c r="P769" s="4">
        <v>0</v>
      </c>
      <c r="Q769" s="3" t="s">
        <v>26</v>
      </c>
      <c r="R769" s="3">
        <v>0</v>
      </c>
      <c r="S769" s="3" t="s">
        <v>370</v>
      </c>
      <c r="T769" s="3" t="s">
        <v>633</v>
      </c>
      <c r="U769" s="3">
        <v>0</v>
      </c>
      <c r="V769" s="3">
        <v>20</v>
      </c>
      <c r="W769" s="3">
        <v>88</v>
      </c>
    </row>
    <row r="770" spans="1:23" ht="11.25" customHeight="1" x14ac:dyDescent="0.25">
      <c r="A770" s="3" t="s">
        <v>56</v>
      </c>
      <c r="B770" s="3" t="s">
        <v>41</v>
      </c>
      <c r="C770" s="3" t="s">
        <v>42</v>
      </c>
      <c r="D770" s="3" t="s">
        <v>52</v>
      </c>
      <c r="E770" s="3" t="s">
        <v>25</v>
      </c>
      <c r="F770" s="3" t="s">
        <v>25</v>
      </c>
      <c r="G770" s="3" t="s">
        <v>25</v>
      </c>
      <c r="H770" s="3" t="s">
        <v>34</v>
      </c>
      <c r="I770" s="6">
        <v>44621</v>
      </c>
      <c r="J770" s="4">
        <v>0</v>
      </c>
      <c r="K770" s="4">
        <v>0</v>
      </c>
      <c r="L770" s="4">
        <v>6.28</v>
      </c>
      <c r="M770" s="4">
        <v>6.28</v>
      </c>
      <c r="N770" s="4">
        <v>6.28</v>
      </c>
      <c r="O770" s="4">
        <v>6.28</v>
      </c>
      <c r="P770" s="4">
        <v>0</v>
      </c>
      <c r="Q770" s="3" t="s">
        <v>26</v>
      </c>
      <c r="R770" s="3">
        <v>0</v>
      </c>
      <c r="S770" s="3" t="s">
        <v>371</v>
      </c>
      <c r="T770" s="3" t="s">
        <v>634</v>
      </c>
      <c r="U770" s="3">
        <v>0</v>
      </c>
      <c r="V770" s="3">
        <v>20</v>
      </c>
      <c r="W770" s="3">
        <v>88</v>
      </c>
    </row>
    <row r="771" spans="1:23" ht="11.25" customHeight="1" x14ac:dyDescent="0.25">
      <c r="A771" s="3" t="s">
        <v>21</v>
      </c>
      <c r="B771" s="3" t="s">
        <v>41</v>
      </c>
      <c r="C771" s="3" t="s">
        <v>42</v>
      </c>
      <c r="D771" s="3" t="s">
        <v>38</v>
      </c>
      <c r="E771" s="3" t="s">
        <v>25</v>
      </c>
      <c r="F771" s="3" t="s">
        <v>60</v>
      </c>
      <c r="G771" s="3" t="s">
        <v>25</v>
      </c>
      <c r="H771" s="3" t="s">
        <v>35</v>
      </c>
      <c r="I771" s="6">
        <v>44287</v>
      </c>
      <c r="J771" s="4">
        <v>0</v>
      </c>
      <c r="K771" s="4">
        <v>0</v>
      </c>
      <c r="L771" s="4">
        <v>6159.0150000000003</v>
      </c>
      <c r="M771" s="4">
        <v>6159.0150000000003</v>
      </c>
      <c r="N771" s="4">
        <v>0</v>
      </c>
      <c r="O771" s="4">
        <v>0</v>
      </c>
      <c r="P771" s="4">
        <v>0</v>
      </c>
      <c r="Q771" s="3" t="s">
        <v>57</v>
      </c>
      <c r="R771" s="3">
        <v>0</v>
      </c>
      <c r="S771" s="3" t="s">
        <v>336</v>
      </c>
      <c r="U771" s="3">
        <v>0</v>
      </c>
      <c r="V771" s="3">
        <v>21</v>
      </c>
      <c r="W771" s="3">
        <v>0</v>
      </c>
    </row>
    <row r="772" spans="1:23" ht="11.25" customHeight="1" x14ac:dyDescent="0.25">
      <c r="A772" s="3" t="s">
        <v>21</v>
      </c>
      <c r="B772" s="3" t="s">
        <v>41</v>
      </c>
      <c r="C772" s="3" t="s">
        <v>42</v>
      </c>
      <c r="D772" s="3" t="s">
        <v>38</v>
      </c>
      <c r="E772" s="3" t="s">
        <v>25</v>
      </c>
      <c r="F772" s="3" t="s">
        <v>60</v>
      </c>
      <c r="G772" s="3" t="s">
        <v>25</v>
      </c>
      <c r="H772" s="3" t="s">
        <v>35</v>
      </c>
      <c r="I772" s="6">
        <v>44317</v>
      </c>
      <c r="J772" s="4">
        <v>0</v>
      </c>
      <c r="K772" s="4">
        <v>0</v>
      </c>
      <c r="L772" s="4">
        <v>5798.2060000000001</v>
      </c>
      <c r="M772" s="4">
        <v>5798.2060000000001</v>
      </c>
      <c r="N772" s="4">
        <v>0</v>
      </c>
      <c r="O772" s="4">
        <v>0</v>
      </c>
      <c r="P772" s="4">
        <v>0</v>
      </c>
      <c r="Q772" s="3" t="s">
        <v>57</v>
      </c>
      <c r="R772" s="3">
        <v>0</v>
      </c>
      <c r="S772" s="3" t="s">
        <v>337</v>
      </c>
      <c r="U772" s="3">
        <v>0</v>
      </c>
      <c r="V772" s="3">
        <v>21</v>
      </c>
      <c r="W772" s="3">
        <v>0</v>
      </c>
    </row>
    <row r="773" spans="1:23" ht="11.25" customHeight="1" x14ac:dyDescent="0.25">
      <c r="A773" s="3" t="s">
        <v>21</v>
      </c>
      <c r="B773" s="3" t="s">
        <v>41</v>
      </c>
      <c r="C773" s="3" t="s">
        <v>42</v>
      </c>
      <c r="D773" s="3" t="s">
        <v>38</v>
      </c>
      <c r="E773" s="3" t="s">
        <v>25</v>
      </c>
      <c r="F773" s="3" t="s">
        <v>60</v>
      </c>
      <c r="G773" s="3" t="s">
        <v>25</v>
      </c>
      <c r="H773" s="3" t="s">
        <v>35</v>
      </c>
      <c r="I773" s="6">
        <v>44348</v>
      </c>
      <c r="J773" s="4">
        <v>0</v>
      </c>
      <c r="K773" s="4">
        <v>0</v>
      </c>
      <c r="L773" s="4">
        <v>5700.5879999999997</v>
      </c>
      <c r="M773" s="4">
        <v>5700.5879999999997</v>
      </c>
      <c r="N773" s="4">
        <v>0</v>
      </c>
      <c r="O773" s="4">
        <v>0</v>
      </c>
      <c r="P773" s="4">
        <v>0</v>
      </c>
      <c r="Q773" s="3" t="s">
        <v>57</v>
      </c>
      <c r="R773" s="3">
        <v>0</v>
      </c>
      <c r="S773" s="3" t="s">
        <v>338</v>
      </c>
      <c r="U773" s="3">
        <v>0</v>
      </c>
      <c r="V773" s="3">
        <v>21</v>
      </c>
      <c r="W773" s="3">
        <v>0</v>
      </c>
    </row>
    <row r="774" spans="1:23" ht="11.25" customHeight="1" x14ac:dyDescent="0.25">
      <c r="A774" s="3" t="s">
        <v>21</v>
      </c>
      <c r="B774" s="3" t="s">
        <v>41</v>
      </c>
      <c r="C774" s="3" t="s">
        <v>42</v>
      </c>
      <c r="D774" s="3" t="s">
        <v>38</v>
      </c>
      <c r="E774" s="3" t="s">
        <v>25</v>
      </c>
      <c r="F774" s="3" t="s">
        <v>60</v>
      </c>
      <c r="G774" s="3" t="s">
        <v>25</v>
      </c>
      <c r="H774" s="3" t="s">
        <v>35</v>
      </c>
      <c r="I774" s="6">
        <v>44378</v>
      </c>
      <c r="J774" s="4">
        <v>0</v>
      </c>
      <c r="K774" s="4">
        <v>0</v>
      </c>
      <c r="L774" s="4">
        <v>5409.0119999999997</v>
      </c>
      <c r="M774" s="4">
        <v>5409.0119999999997</v>
      </c>
      <c r="N774" s="4">
        <v>0</v>
      </c>
      <c r="O774" s="4">
        <v>0</v>
      </c>
      <c r="P774" s="4">
        <v>0</v>
      </c>
      <c r="Q774" s="3" t="s">
        <v>57</v>
      </c>
      <c r="R774" s="3">
        <v>0</v>
      </c>
      <c r="S774" s="3" t="s">
        <v>339</v>
      </c>
      <c r="U774" s="3">
        <v>0</v>
      </c>
      <c r="V774" s="3">
        <v>21</v>
      </c>
      <c r="W774" s="3">
        <v>0</v>
      </c>
    </row>
    <row r="775" spans="1:23" ht="11.25" customHeight="1" x14ac:dyDescent="0.25">
      <c r="A775" s="3" t="s">
        <v>21</v>
      </c>
      <c r="B775" s="3" t="s">
        <v>41</v>
      </c>
      <c r="C775" s="3" t="s">
        <v>42</v>
      </c>
      <c r="D775" s="3" t="s">
        <v>38</v>
      </c>
      <c r="E775" s="3" t="s">
        <v>25</v>
      </c>
      <c r="F775" s="3" t="s">
        <v>60</v>
      </c>
      <c r="G775" s="3" t="s">
        <v>25</v>
      </c>
      <c r="H775" s="3" t="s">
        <v>35</v>
      </c>
      <c r="I775" s="6">
        <v>44409</v>
      </c>
      <c r="J775" s="4">
        <v>0</v>
      </c>
      <c r="K775" s="4">
        <v>0</v>
      </c>
      <c r="L775" s="4">
        <v>5621.5079999999998</v>
      </c>
      <c r="M775" s="4">
        <v>5621.5079999999998</v>
      </c>
      <c r="N775" s="4">
        <v>0</v>
      </c>
      <c r="O775" s="4">
        <v>0</v>
      </c>
      <c r="P775" s="4">
        <v>0</v>
      </c>
      <c r="Q775" s="3" t="s">
        <v>57</v>
      </c>
      <c r="R775" s="3">
        <v>0</v>
      </c>
      <c r="S775" s="3" t="s">
        <v>340</v>
      </c>
      <c r="U775" s="3">
        <v>0</v>
      </c>
      <c r="V775" s="3">
        <v>21</v>
      </c>
      <c r="W775" s="3">
        <v>0</v>
      </c>
    </row>
    <row r="776" spans="1:23" ht="11.25" customHeight="1" x14ac:dyDescent="0.25">
      <c r="A776" s="3" t="s">
        <v>21</v>
      </c>
      <c r="B776" s="3" t="s">
        <v>41</v>
      </c>
      <c r="C776" s="3" t="s">
        <v>42</v>
      </c>
      <c r="D776" s="3" t="s">
        <v>38</v>
      </c>
      <c r="E776" s="3" t="s">
        <v>25</v>
      </c>
      <c r="F776" s="3" t="s">
        <v>60</v>
      </c>
      <c r="G776" s="3" t="s">
        <v>25</v>
      </c>
      <c r="H776" s="3" t="s">
        <v>35</v>
      </c>
      <c r="I776" s="6">
        <v>44440</v>
      </c>
      <c r="J776" s="4">
        <v>0</v>
      </c>
      <c r="K776" s="4">
        <v>0</v>
      </c>
      <c r="L776" s="4">
        <v>7134.8580000000002</v>
      </c>
      <c r="M776" s="4">
        <v>7134.8580000000002</v>
      </c>
      <c r="N776" s="4">
        <v>0</v>
      </c>
      <c r="O776" s="4">
        <v>0</v>
      </c>
      <c r="P776" s="4">
        <v>0</v>
      </c>
      <c r="Q776" s="3" t="s">
        <v>57</v>
      </c>
      <c r="R776" s="3">
        <v>0</v>
      </c>
      <c r="S776" s="3" t="s">
        <v>341</v>
      </c>
      <c r="U776" s="3">
        <v>0</v>
      </c>
      <c r="V776" s="3">
        <v>21</v>
      </c>
      <c r="W776" s="3">
        <v>0</v>
      </c>
    </row>
    <row r="777" spans="1:23" ht="11.25" customHeight="1" x14ac:dyDescent="0.25">
      <c r="A777" s="3" t="s">
        <v>21</v>
      </c>
      <c r="B777" s="3" t="s">
        <v>41</v>
      </c>
      <c r="C777" s="3" t="s">
        <v>42</v>
      </c>
      <c r="D777" s="3" t="s">
        <v>38</v>
      </c>
      <c r="E777" s="3" t="s">
        <v>25</v>
      </c>
      <c r="F777" s="3" t="s">
        <v>60</v>
      </c>
      <c r="G777" s="3" t="s">
        <v>25</v>
      </c>
      <c r="H777" s="3" t="s">
        <v>35</v>
      </c>
      <c r="I777" s="6">
        <v>44470</v>
      </c>
      <c r="J777" s="4">
        <v>0</v>
      </c>
      <c r="K777" s="4">
        <v>0</v>
      </c>
      <c r="L777" s="4">
        <v>7308.808</v>
      </c>
      <c r="M777" s="4">
        <v>7308.808</v>
      </c>
      <c r="N777" s="4">
        <v>0</v>
      </c>
      <c r="O777" s="4">
        <v>0</v>
      </c>
      <c r="P777" s="4">
        <v>0</v>
      </c>
      <c r="Q777" s="3" t="s">
        <v>57</v>
      </c>
      <c r="R777" s="3">
        <v>0</v>
      </c>
      <c r="S777" s="3" t="s">
        <v>342</v>
      </c>
      <c r="U777" s="3">
        <v>0</v>
      </c>
      <c r="V777" s="3">
        <v>21</v>
      </c>
      <c r="W777" s="3">
        <v>0</v>
      </c>
    </row>
    <row r="778" spans="1:23" ht="11.25" customHeight="1" x14ac:dyDescent="0.25">
      <c r="A778" s="3" t="s">
        <v>21</v>
      </c>
      <c r="B778" s="3" t="s">
        <v>41</v>
      </c>
      <c r="C778" s="3" t="s">
        <v>42</v>
      </c>
      <c r="D778" s="3" t="s">
        <v>38</v>
      </c>
      <c r="E778" s="3" t="s">
        <v>25</v>
      </c>
      <c r="F778" s="3" t="s">
        <v>60</v>
      </c>
      <c r="G778" s="3" t="s">
        <v>25</v>
      </c>
      <c r="H778" s="3" t="s">
        <v>35</v>
      </c>
      <c r="I778" s="6">
        <v>44501</v>
      </c>
      <c r="J778" s="4">
        <v>0</v>
      </c>
      <c r="K778" s="4">
        <v>0</v>
      </c>
      <c r="L778" s="4">
        <v>8182.6310000000003</v>
      </c>
      <c r="M778" s="4">
        <v>8182.6310000000003</v>
      </c>
      <c r="N778" s="4">
        <v>0</v>
      </c>
      <c r="O778" s="4">
        <v>0</v>
      </c>
      <c r="P778" s="4">
        <v>0</v>
      </c>
      <c r="Q778" s="3" t="s">
        <v>57</v>
      </c>
      <c r="R778" s="3">
        <v>0</v>
      </c>
      <c r="S778" s="3" t="s">
        <v>343</v>
      </c>
      <c r="U778" s="3">
        <v>0</v>
      </c>
      <c r="V778" s="3">
        <v>21</v>
      </c>
      <c r="W778" s="3">
        <v>0</v>
      </c>
    </row>
    <row r="779" spans="1:23" ht="11.25" customHeight="1" x14ac:dyDescent="0.25">
      <c r="A779" s="3" t="s">
        <v>21</v>
      </c>
      <c r="B779" s="3" t="s">
        <v>41</v>
      </c>
      <c r="C779" s="3" t="s">
        <v>42</v>
      </c>
      <c r="D779" s="3" t="s">
        <v>38</v>
      </c>
      <c r="E779" s="3" t="s">
        <v>25</v>
      </c>
      <c r="F779" s="3" t="s">
        <v>60</v>
      </c>
      <c r="G779" s="3" t="s">
        <v>25</v>
      </c>
      <c r="H779" s="3" t="s">
        <v>35</v>
      </c>
      <c r="I779" s="6">
        <v>44531</v>
      </c>
      <c r="J779" s="4">
        <v>0</v>
      </c>
      <c r="K779" s="4">
        <v>0</v>
      </c>
      <c r="L779" s="4">
        <v>7914.6170000000002</v>
      </c>
      <c r="M779" s="4">
        <v>7914.6170000000002</v>
      </c>
      <c r="N779" s="4">
        <v>0</v>
      </c>
      <c r="O779" s="4">
        <v>0</v>
      </c>
      <c r="P779" s="4">
        <v>0</v>
      </c>
      <c r="Q779" s="3" t="s">
        <v>57</v>
      </c>
      <c r="R779" s="3">
        <v>0</v>
      </c>
      <c r="S779" s="3" t="s">
        <v>344</v>
      </c>
      <c r="U779" s="3">
        <v>0</v>
      </c>
      <c r="V779" s="3">
        <v>21</v>
      </c>
      <c r="W779" s="3">
        <v>0</v>
      </c>
    </row>
    <row r="780" spans="1:23" ht="11.25" customHeight="1" x14ac:dyDescent="0.25">
      <c r="A780" s="3" t="s">
        <v>21</v>
      </c>
      <c r="B780" s="3" t="s">
        <v>41</v>
      </c>
      <c r="C780" s="3" t="s">
        <v>42</v>
      </c>
      <c r="D780" s="3" t="s">
        <v>38</v>
      </c>
      <c r="E780" s="3" t="s">
        <v>25</v>
      </c>
      <c r="F780" s="3" t="s">
        <v>60</v>
      </c>
      <c r="G780" s="3" t="s">
        <v>25</v>
      </c>
      <c r="H780" s="3" t="s">
        <v>35</v>
      </c>
      <c r="I780" s="6">
        <v>44562</v>
      </c>
      <c r="J780" s="4">
        <v>0</v>
      </c>
      <c r="K780" s="4">
        <v>0</v>
      </c>
      <c r="L780" s="4">
        <v>8449.2540000000008</v>
      </c>
      <c r="M780" s="4">
        <v>8449.2540000000008</v>
      </c>
      <c r="N780" s="4">
        <v>0</v>
      </c>
      <c r="O780" s="4">
        <v>0</v>
      </c>
      <c r="P780" s="4">
        <v>0</v>
      </c>
      <c r="Q780" s="3" t="s">
        <v>57</v>
      </c>
      <c r="R780" s="3">
        <v>0</v>
      </c>
      <c r="S780" s="3" t="s">
        <v>345</v>
      </c>
      <c r="U780" s="3">
        <v>0</v>
      </c>
      <c r="V780" s="3">
        <v>21</v>
      </c>
      <c r="W780" s="3">
        <v>0</v>
      </c>
    </row>
    <row r="781" spans="1:23" ht="11.25" customHeight="1" x14ac:dyDescent="0.25">
      <c r="A781" s="3" t="s">
        <v>21</v>
      </c>
      <c r="B781" s="3" t="s">
        <v>41</v>
      </c>
      <c r="C781" s="3" t="s">
        <v>42</v>
      </c>
      <c r="D781" s="3" t="s">
        <v>38</v>
      </c>
      <c r="E781" s="3" t="s">
        <v>25</v>
      </c>
      <c r="F781" s="3" t="s">
        <v>60</v>
      </c>
      <c r="G781" s="3" t="s">
        <v>25</v>
      </c>
      <c r="H781" s="3" t="s">
        <v>35</v>
      </c>
      <c r="I781" s="6">
        <v>44593</v>
      </c>
      <c r="J781" s="4">
        <v>0</v>
      </c>
      <c r="K781" s="4">
        <v>0</v>
      </c>
      <c r="L781" s="4">
        <v>8613.9060000000009</v>
      </c>
      <c r="M781" s="4">
        <v>8613.9060000000009</v>
      </c>
      <c r="N781" s="4">
        <v>0</v>
      </c>
      <c r="O781" s="4">
        <v>0</v>
      </c>
      <c r="P781" s="4">
        <v>0</v>
      </c>
      <c r="Q781" s="3" t="s">
        <v>57</v>
      </c>
      <c r="R781" s="3">
        <v>0</v>
      </c>
      <c r="S781" s="3" t="s">
        <v>346</v>
      </c>
      <c r="U781" s="3">
        <v>0</v>
      </c>
      <c r="V781" s="3">
        <v>21</v>
      </c>
      <c r="W781" s="3">
        <v>0</v>
      </c>
    </row>
    <row r="782" spans="1:23" ht="11.25" customHeight="1" x14ac:dyDescent="0.25">
      <c r="A782" s="3" t="s">
        <v>56</v>
      </c>
      <c r="B782" s="3" t="s">
        <v>41</v>
      </c>
      <c r="C782" s="3" t="s">
        <v>42</v>
      </c>
      <c r="D782" s="3" t="s">
        <v>38</v>
      </c>
      <c r="E782" s="3" t="s">
        <v>25</v>
      </c>
      <c r="F782" s="3" t="s">
        <v>60</v>
      </c>
      <c r="G782" s="3" t="s">
        <v>25</v>
      </c>
      <c r="H782" s="3" t="s">
        <v>35</v>
      </c>
      <c r="I782" s="6">
        <v>44621</v>
      </c>
      <c r="J782" s="4">
        <v>0</v>
      </c>
      <c r="K782" s="4">
        <v>0</v>
      </c>
      <c r="L782" s="4">
        <v>8613.9060000000009</v>
      </c>
      <c r="M782" s="4">
        <v>8613.9060000000009</v>
      </c>
      <c r="N782" s="4">
        <v>0</v>
      </c>
      <c r="O782" s="4">
        <v>0</v>
      </c>
      <c r="P782" s="4">
        <v>0</v>
      </c>
      <c r="Q782" s="3" t="s">
        <v>57</v>
      </c>
      <c r="R782" s="3">
        <v>0</v>
      </c>
      <c r="S782" s="3" t="s">
        <v>347</v>
      </c>
      <c r="U782" s="3">
        <v>0</v>
      </c>
      <c r="V782" s="3">
        <v>21</v>
      </c>
      <c r="W782" s="3">
        <v>0</v>
      </c>
    </row>
    <row r="783" spans="1:23" ht="11.25" customHeight="1" x14ac:dyDescent="0.25">
      <c r="A783" s="3" t="s">
        <v>21</v>
      </c>
      <c r="B783" s="3" t="s">
        <v>41</v>
      </c>
      <c r="C783" s="3" t="s">
        <v>42</v>
      </c>
      <c r="D783" s="3" t="s">
        <v>38</v>
      </c>
      <c r="E783" s="3" t="s">
        <v>25</v>
      </c>
      <c r="F783" s="3" t="s">
        <v>60</v>
      </c>
      <c r="G783" s="3" t="s">
        <v>25</v>
      </c>
      <c r="H783" s="3" t="s">
        <v>25</v>
      </c>
      <c r="I783" s="6">
        <v>44287</v>
      </c>
      <c r="J783" s="4">
        <v>23269</v>
      </c>
      <c r="K783" s="4">
        <v>10642.111355429999</v>
      </c>
      <c r="L783" s="4">
        <v>0</v>
      </c>
      <c r="M783" s="4">
        <v>0</v>
      </c>
      <c r="N783" s="4">
        <v>0</v>
      </c>
      <c r="O783" s="4">
        <v>0</v>
      </c>
      <c r="P783" s="4">
        <v>42</v>
      </c>
      <c r="Q783" s="3" t="s">
        <v>57</v>
      </c>
      <c r="R783" s="3">
        <v>0</v>
      </c>
      <c r="S783" s="3" t="s">
        <v>348</v>
      </c>
      <c r="U783" s="3">
        <v>44</v>
      </c>
      <c r="V783" s="3">
        <v>0</v>
      </c>
      <c r="W783" s="3">
        <v>0</v>
      </c>
    </row>
    <row r="784" spans="1:23" ht="11.25" customHeight="1" x14ac:dyDescent="0.25">
      <c r="A784" s="3" t="s">
        <v>21</v>
      </c>
      <c r="B784" s="3" t="s">
        <v>41</v>
      </c>
      <c r="C784" s="3" t="s">
        <v>42</v>
      </c>
      <c r="D784" s="3" t="s">
        <v>38</v>
      </c>
      <c r="E784" s="3" t="s">
        <v>25</v>
      </c>
      <c r="F784" s="3" t="s">
        <v>60</v>
      </c>
      <c r="G784" s="3" t="s">
        <v>25</v>
      </c>
      <c r="H784" s="3" t="s">
        <v>25</v>
      </c>
      <c r="I784" s="6">
        <v>44317</v>
      </c>
      <c r="J784" s="4">
        <v>23235</v>
      </c>
      <c r="K784" s="4">
        <v>12628.432544400001</v>
      </c>
      <c r="L784" s="4">
        <v>0</v>
      </c>
      <c r="M784" s="4">
        <v>0</v>
      </c>
      <c r="N784" s="4">
        <v>0</v>
      </c>
      <c r="O784" s="4">
        <v>0</v>
      </c>
      <c r="P784" s="4">
        <v>43</v>
      </c>
      <c r="Q784" s="3" t="s">
        <v>57</v>
      </c>
      <c r="R784" s="3">
        <v>0</v>
      </c>
      <c r="S784" s="3" t="s">
        <v>349</v>
      </c>
      <c r="U784" s="3">
        <v>44</v>
      </c>
      <c r="V784" s="3">
        <v>0</v>
      </c>
      <c r="W784" s="3">
        <v>0</v>
      </c>
    </row>
    <row r="785" spans="1:23" ht="11.25" customHeight="1" x14ac:dyDescent="0.25">
      <c r="A785" s="3" t="s">
        <v>21</v>
      </c>
      <c r="B785" s="3" t="s">
        <v>41</v>
      </c>
      <c r="C785" s="3" t="s">
        <v>42</v>
      </c>
      <c r="D785" s="3" t="s">
        <v>38</v>
      </c>
      <c r="E785" s="3" t="s">
        <v>25</v>
      </c>
      <c r="F785" s="3" t="s">
        <v>60</v>
      </c>
      <c r="G785" s="3" t="s">
        <v>25</v>
      </c>
      <c r="H785" s="3" t="s">
        <v>25</v>
      </c>
      <c r="I785" s="6">
        <v>44348</v>
      </c>
      <c r="J785" s="4">
        <v>24006</v>
      </c>
      <c r="K785" s="4">
        <v>12884.823440759999</v>
      </c>
      <c r="L785" s="4">
        <v>0</v>
      </c>
      <c r="M785" s="4">
        <v>0</v>
      </c>
      <c r="N785" s="4">
        <v>0</v>
      </c>
      <c r="O785" s="4">
        <v>0</v>
      </c>
      <c r="P785" s="4">
        <v>45</v>
      </c>
      <c r="Q785" s="3" t="s">
        <v>57</v>
      </c>
      <c r="R785" s="3">
        <v>0</v>
      </c>
      <c r="S785" s="3" t="s">
        <v>350</v>
      </c>
      <c r="U785" s="3">
        <v>44</v>
      </c>
      <c r="V785" s="3">
        <v>0</v>
      </c>
      <c r="W785" s="3">
        <v>0</v>
      </c>
    </row>
    <row r="786" spans="1:23" ht="11.25" customHeight="1" x14ac:dyDescent="0.25">
      <c r="A786" s="3" t="s">
        <v>21</v>
      </c>
      <c r="B786" s="3" t="s">
        <v>41</v>
      </c>
      <c r="C786" s="3" t="s">
        <v>42</v>
      </c>
      <c r="D786" s="3" t="s">
        <v>38</v>
      </c>
      <c r="E786" s="3" t="s">
        <v>25</v>
      </c>
      <c r="F786" s="3" t="s">
        <v>60</v>
      </c>
      <c r="G786" s="3" t="s">
        <v>25</v>
      </c>
      <c r="H786" s="3" t="s">
        <v>25</v>
      </c>
      <c r="I786" s="6">
        <v>44378</v>
      </c>
      <c r="J786" s="4">
        <v>24430</v>
      </c>
      <c r="K786" s="4">
        <v>11263.2457994</v>
      </c>
      <c r="L786" s="4">
        <v>0</v>
      </c>
      <c r="M786" s="4">
        <v>0</v>
      </c>
      <c r="N786" s="4">
        <v>0</v>
      </c>
      <c r="O786" s="4">
        <v>0</v>
      </c>
      <c r="P786" s="4">
        <v>48</v>
      </c>
      <c r="Q786" s="3" t="s">
        <v>57</v>
      </c>
      <c r="R786" s="3">
        <v>0</v>
      </c>
      <c r="S786" s="3" t="s">
        <v>351</v>
      </c>
      <c r="U786" s="3">
        <v>44</v>
      </c>
      <c r="V786" s="3">
        <v>0</v>
      </c>
      <c r="W786" s="3">
        <v>0</v>
      </c>
    </row>
    <row r="787" spans="1:23" ht="11.25" customHeight="1" x14ac:dyDescent="0.25">
      <c r="A787" s="3" t="s">
        <v>21</v>
      </c>
      <c r="B787" s="3" t="s">
        <v>41</v>
      </c>
      <c r="C787" s="3" t="s">
        <v>42</v>
      </c>
      <c r="D787" s="3" t="s">
        <v>38</v>
      </c>
      <c r="E787" s="3" t="s">
        <v>25</v>
      </c>
      <c r="F787" s="3" t="s">
        <v>60</v>
      </c>
      <c r="G787" s="3" t="s">
        <v>25</v>
      </c>
      <c r="H787" s="3" t="s">
        <v>25</v>
      </c>
      <c r="I787" s="6">
        <v>44409</v>
      </c>
      <c r="J787" s="4">
        <v>22743</v>
      </c>
      <c r="K787" s="4">
        <v>10533.04655508</v>
      </c>
      <c r="L787" s="4">
        <v>0</v>
      </c>
      <c r="M787" s="4">
        <v>0</v>
      </c>
      <c r="N787" s="4">
        <v>0</v>
      </c>
      <c r="O787" s="4">
        <v>0</v>
      </c>
      <c r="P787" s="4">
        <v>45</v>
      </c>
      <c r="Q787" s="3" t="s">
        <v>57</v>
      </c>
      <c r="R787" s="3">
        <v>0</v>
      </c>
      <c r="S787" s="3" t="s">
        <v>352</v>
      </c>
      <c r="U787" s="3">
        <v>44</v>
      </c>
      <c r="V787" s="3">
        <v>0</v>
      </c>
      <c r="W787" s="3">
        <v>0</v>
      </c>
    </row>
    <row r="788" spans="1:23" ht="11.25" customHeight="1" x14ac:dyDescent="0.25">
      <c r="A788" s="3" t="s">
        <v>21</v>
      </c>
      <c r="B788" s="3" t="s">
        <v>41</v>
      </c>
      <c r="C788" s="3" t="s">
        <v>42</v>
      </c>
      <c r="D788" s="3" t="s">
        <v>38</v>
      </c>
      <c r="E788" s="3" t="s">
        <v>25</v>
      </c>
      <c r="F788" s="3" t="s">
        <v>60</v>
      </c>
      <c r="G788" s="3" t="s">
        <v>25</v>
      </c>
      <c r="H788" s="3" t="s">
        <v>25</v>
      </c>
      <c r="I788" s="6">
        <v>44440</v>
      </c>
      <c r="J788" s="4">
        <v>26726</v>
      </c>
      <c r="K788" s="4">
        <v>12047.426013</v>
      </c>
      <c r="L788" s="4">
        <v>0</v>
      </c>
      <c r="M788" s="4">
        <v>0</v>
      </c>
      <c r="N788" s="4">
        <v>0</v>
      </c>
      <c r="O788" s="4">
        <v>0</v>
      </c>
      <c r="P788" s="4">
        <v>51</v>
      </c>
      <c r="Q788" s="3" t="s">
        <v>57</v>
      </c>
      <c r="R788" s="3">
        <v>0</v>
      </c>
      <c r="S788" s="3" t="s">
        <v>353</v>
      </c>
      <c r="U788" s="3">
        <v>44</v>
      </c>
      <c r="V788" s="3">
        <v>0</v>
      </c>
      <c r="W788" s="3">
        <v>0</v>
      </c>
    </row>
    <row r="789" spans="1:23" ht="11.25" customHeight="1" x14ac:dyDescent="0.25">
      <c r="A789" s="3" t="s">
        <v>21</v>
      </c>
      <c r="B789" s="3" t="s">
        <v>41</v>
      </c>
      <c r="C789" s="3" t="s">
        <v>42</v>
      </c>
      <c r="D789" s="3" t="s">
        <v>38</v>
      </c>
      <c r="E789" s="3" t="s">
        <v>25</v>
      </c>
      <c r="F789" s="3" t="s">
        <v>60</v>
      </c>
      <c r="G789" s="3" t="s">
        <v>25</v>
      </c>
      <c r="H789" s="3" t="s">
        <v>25</v>
      </c>
      <c r="I789" s="6">
        <v>44470</v>
      </c>
      <c r="J789" s="4">
        <v>27408</v>
      </c>
      <c r="K789" s="4">
        <v>12046.95233568</v>
      </c>
      <c r="L789" s="4">
        <v>0</v>
      </c>
      <c r="M789" s="4">
        <v>0</v>
      </c>
      <c r="N789" s="4">
        <v>0</v>
      </c>
      <c r="O789" s="4">
        <v>0</v>
      </c>
      <c r="P789" s="4">
        <v>52</v>
      </c>
      <c r="Q789" s="3" t="s">
        <v>57</v>
      </c>
      <c r="R789" s="3">
        <v>0</v>
      </c>
      <c r="S789" s="3" t="s">
        <v>354</v>
      </c>
      <c r="U789" s="3">
        <v>44</v>
      </c>
      <c r="V789" s="3">
        <v>0</v>
      </c>
      <c r="W789" s="3">
        <v>0</v>
      </c>
    </row>
    <row r="790" spans="1:23" ht="11.25" customHeight="1" x14ac:dyDescent="0.25">
      <c r="A790" s="3" t="s">
        <v>21</v>
      </c>
      <c r="B790" s="3" t="s">
        <v>41</v>
      </c>
      <c r="C790" s="3" t="s">
        <v>42</v>
      </c>
      <c r="D790" s="3" t="s">
        <v>38</v>
      </c>
      <c r="E790" s="3" t="s">
        <v>25</v>
      </c>
      <c r="F790" s="3" t="s">
        <v>60</v>
      </c>
      <c r="G790" s="3" t="s">
        <v>25</v>
      </c>
      <c r="H790" s="3" t="s">
        <v>25</v>
      </c>
      <c r="I790" s="6">
        <v>44501</v>
      </c>
      <c r="J790" s="4">
        <v>28700</v>
      </c>
      <c r="K790" s="4">
        <v>13059.603228</v>
      </c>
      <c r="L790" s="4">
        <v>0</v>
      </c>
      <c r="M790" s="4">
        <v>0</v>
      </c>
      <c r="N790" s="4">
        <v>0</v>
      </c>
      <c r="O790" s="4">
        <v>0</v>
      </c>
      <c r="P790" s="4">
        <v>54</v>
      </c>
      <c r="Q790" s="3" t="s">
        <v>57</v>
      </c>
      <c r="R790" s="3">
        <v>0</v>
      </c>
      <c r="S790" s="3" t="s">
        <v>355</v>
      </c>
      <c r="U790" s="3">
        <v>44</v>
      </c>
      <c r="V790" s="3">
        <v>0</v>
      </c>
      <c r="W790" s="3">
        <v>0</v>
      </c>
    </row>
    <row r="791" spans="1:23" ht="11.25" customHeight="1" x14ac:dyDescent="0.25">
      <c r="A791" s="3" t="s">
        <v>21</v>
      </c>
      <c r="B791" s="3" t="s">
        <v>41</v>
      </c>
      <c r="C791" s="3" t="s">
        <v>42</v>
      </c>
      <c r="D791" s="3" t="s">
        <v>38</v>
      </c>
      <c r="E791" s="3" t="s">
        <v>25</v>
      </c>
      <c r="F791" s="3" t="s">
        <v>60</v>
      </c>
      <c r="G791" s="3" t="s">
        <v>25</v>
      </c>
      <c r="H791" s="3" t="s">
        <v>25</v>
      </c>
      <c r="I791" s="6">
        <v>44531</v>
      </c>
      <c r="J791" s="4">
        <v>28741</v>
      </c>
      <c r="K791" s="4">
        <v>13238.41529021</v>
      </c>
      <c r="L791" s="4">
        <v>0</v>
      </c>
      <c r="M791" s="4">
        <v>0</v>
      </c>
      <c r="N791" s="4">
        <v>0</v>
      </c>
      <c r="O791" s="4">
        <v>0</v>
      </c>
      <c r="P791" s="4">
        <v>54</v>
      </c>
      <c r="Q791" s="3" t="s">
        <v>57</v>
      </c>
      <c r="R791" s="3">
        <v>0</v>
      </c>
      <c r="S791" s="3" t="s">
        <v>356</v>
      </c>
      <c r="U791" s="3">
        <v>44</v>
      </c>
      <c r="V791" s="3">
        <v>0</v>
      </c>
      <c r="W791" s="3">
        <v>0</v>
      </c>
    </row>
    <row r="792" spans="1:23" ht="11.25" customHeight="1" x14ac:dyDescent="0.25">
      <c r="A792" s="3" t="s">
        <v>21</v>
      </c>
      <c r="B792" s="3" t="s">
        <v>41</v>
      </c>
      <c r="C792" s="3" t="s">
        <v>42</v>
      </c>
      <c r="D792" s="3" t="s">
        <v>38</v>
      </c>
      <c r="E792" s="3" t="s">
        <v>25</v>
      </c>
      <c r="F792" s="3" t="s">
        <v>60</v>
      </c>
      <c r="G792" s="3" t="s">
        <v>25</v>
      </c>
      <c r="H792" s="3" t="s">
        <v>25</v>
      </c>
      <c r="I792" s="6">
        <v>44562</v>
      </c>
      <c r="J792" s="4">
        <v>30936</v>
      </c>
      <c r="K792" s="4">
        <v>14142.4681932</v>
      </c>
      <c r="L792" s="4">
        <v>0</v>
      </c>
      <c r="M792" s="4">
        <v>0</v>
      </c>
      <c r="N792" s="4">
        <v>0</v>
      </c>
      <c r="O792" s="4">
        <v>0</v>
      </c>
      <c r="P792" s="4">
        <v>61</v>
      </c>
      <c r="Q792" s="3" t="s">
        <v>57</v>
      </c>
      <c r="R792" s="3">
        <v>0</v>
      </c>
      <c r="S792" s="3" t="s">
        <v>357</v>
      </c>
      <c r="U792" s="3">
        <v>44</v>
      </c>
      <c r="V792" s="3">
        <v>0</v>
      </c>
      <c r="W792" s="3">
        <v>0</v>
      </c>
    </row>
    <row r="793" spans="1:23" ht="11.25" customHeight="1" x14ac:dyDescent="0.25">
      <c r="A793" s="3" t="s">
        <v>21</v>
      </c>
      <c r="B793" s="3" t="s">
        <v>41</v>
      </c>
      <c r="C793" s="3" t="s">
        <v>42</v>
      </c>
      <c r="D793" s="3" t="s">
        <v>38</v>
      </c>
      <c r="E793" s="3" t="s">
        <v>25</v>
      </c>
      <c r="F793" s="3" t="s">
        <v>60</v>
      </c>
      <c r="G793" s="3" t="s">
        <v>25</v>
      </c>
      <c r="H793" s="3" t="s">
        <v>25</v>
      </c>
      <c r="I793" s="6">
        <v>44593</v>
      </c>
      <c r="J793" s="4">
        <v>31779</v>
      </c>
      <c r="K793" s="4">
        <v>14638.08270375</v>
      </c>
      <c r="L793" s="4">
        <v>0</v>
      </c>
      <c r="M793" s="4">
        <v>0</v>
      </c>
      <c r="N793" s="4">
        <v>0</v>
      </c>
      <c r="O793" s="4">
        <v>0</v>
      </c>
      <c r="P793" s="4">
        <v>69</v>
      </c>
      <c r="Q793" s="3" t="s">
        <v>57</v>
      </c>
      <c r="R793" s="3">
        <v>0</v>
      </c>
      <c r="S793" s="3" t="s">
        <v>358</v>
      </c>
      <c r="U793" s="3">
        <v>44</v>
      </c>
      <c r="V793" s="3">
        <v>0</v>
      </c>
      <c r="W793" s="3">
        <v>0</v>
      </c>
    </row>
    <row r="794" spans="1:23" ht="11.25" customHeight="1" x14ac:dyDescent="0.25">
      <c r="A794" s="3" t="s">
        <v>56</v>
      </c>
      <c r="B794" s="3" t="s">
        <v>41</v>
      </c>
      <c r="C794" s="3" t="s">
        <v>42</v>
      </c>
      <c r="D794" s="3" t="s">
        <v>38</v>
      </c>
      <c r="E794" s="3" t="s">
        <v>25</v>
      </c>
      <c r="F794" s="3" t="s">
        <v>60</v>
      </c>
      <c r="G794" s="3" t="s">
        <v>25</v>
      </c>
      <c r="H794" s="3" t="s">
        <v>25</v>
      </c>
      <c r="I794" s="6">
        <v>44621</v>
      </c>
      <c r="J794" s="4">
        <v>31779</v>
      </c>
      <c r="K794" s="4">
        <v>14638.08270375</v>
      </c>
      <c r="L794" s="4">
        <v>0</v>
      </c>
      <c r="M794" s="4">
        <v>0</v>
      </c>
      <c r="N794" s="4">
        <v>0</v>
      </c>
      <c r="O794" s="4">
        <v>0</v>
      </c>
      <c r="P794" s="4">
        <v>69</v>
      </c>
      <c r="Q794" s="3" t="s">
        <v>57</v>
      </c>
      <c r="R794" s="3">
        <v>0</v>
      </c>
      <c r="S794" s="3" t="s">
        <v>359</v>
      </c>
      <c r="U794" s="3">
        <v>44</v>
      </c>
      <c r="V794" s="3">
        <v>0</v>
      </c>
      <c r="W794" s="3">
        <v>0</v>
      </c>
    </row>
    <row r="795" spans="1:23" ht="11.25" customHeight="1" x14ac:dyDescent="0.25">
      <c r="A795" s="3" t="s">
        <v>21</v>
      </c>
      <c r="B795" s="3" t="s">
        <v>41</v>
      </c>
      <c r="C795" s="3" t="s">
        <v>42</v>
      </c>
      <c r="D795" s="3" t="s">
        <v>38</v>
      </c>
      <c r="E795" s="3" t="s">
        <v>25</v>
      </c>
      <c r="F795" s="3" t="s">
        <v>60</v>
      </c>
      <c r="G795" s="3" t="s">
        <v>25</v>
      </c>
      <c r="H795" s="3" t="s">
        <v>34</v>
      </c>
      <c r="I795" s="6">
        <v>44287</v>
      </c>
      <c r="J795" s="4">
        <v>0</v>
      </c>
      <c r="K795" s="4">
        <v>0</v>
      </c>
      <c r="L795" s="4">
        <v>580.53499999999997</v>
      </c>
      <c r="M795" s="4">
        <v>285.9499915408</v>
      </c>
      <c r="N795" s="4">
        <v>0</v>
      </c>
      <c r="O795" s="4">
        <v>0</v>
      </c>
      <c r="P795" s="4">
        <v>0</v>
      </c>
      <c r="Q795" s="3" t="s">
        <v>57</v>
      </c>
      <c r="R795" s="3">
        <v>0</v>
      </c>
      <c r="S795" s="3" t="s">
        <v>360</v>
      </c>
      <c r="U795" s="3">
        <v>0</v>
      </c>
      <c r="V795" s="3">
        <v>20</v>
      </c>
      <c r="W795" s="3">
        <v>0</v>
      </c>
    </row>
    <row r="796" spans="1:23" ht="11.25" customHeight="1" x14ac:dyDescent="0.25">
      <c r="A796" s="3" t="s">
        <v>21</v>
      </c>
      <c r="B796" s="3" t="s">
        <v>41</v>
      </c>
      <c r="C796" s="3" t="s">
        <v>42</v>
      </c>
      <c r="D796" s="3" t="s">
        <v>38</v>
      </c>
      <c r="E796" s="3" t="s">
        <v>25</v>
      </c>
      <c r="F796" s="3" t="s">
        <v>60</v>
      </c>
      <c r="G796" s="3" t="s">
        <v>25</v>
      </c>
      <c r="H796" s="3" t="s">
        <v>34</v>
      </c>
      <c r="I796" s="6">
        <v>44317</v>
      </c>
      <c r="J796" s="4">
        <v>0</v>
      </c>
      <c r="K796" s="4">
        <v>0</v>
      </c>
      <c r="L796" s="4">
        <v>489.67399999999998</v>
      </c>
      <c r="M796" s="4">
        <v>254.90256246135999</v>
      </c>
      <c r="N796" s="4">
        <v>0</v>
      </c>
      <c r="O796" s="4">
        <v>0</v>
      </c>
      <c r="P796" s="4">
        <v>0</v>
      </c>
      <c r="Q796" s="3" t="s">
        <v>57</v>
      </c>
      <c r="R796" s="3">
        <v>0</v>
      </c>
      <c r="S796" s="3" t="s">
        <v>361</v>
      </c>
      <c r="U796" s="3">
        <v>0</v>
      </c>
      <c r="V796" s="3">
        <v>20</v>
      </c>
      <c r="W796" s="3">
        <v>0</v>
      </c>
    </row>
    <row r="797" spans="1:23" ht="11.25" customHeight="1" x14ac:dyDescent="0.25">
      <c r="A797" s="3" t="s">
        <v>21</v>
      </c>
      <c r="B797" s="3" t="s">
        <v>41</v>
      </c>
      <c r="C797" s="3" t="s">
        <v>42</v>
      </c>
      <c r="D797" s="3" t="s">
        <v>38</v>
      </c>
      <c r="E797" s="3" t="s">
        <v>25</v>
      </c>
      <c r="F797" s="3" t="s">
        <v>60</v>
      </c>
      <c r="G797" s="3" t="s">
        <v>25</v>
      </c>
      <c r="H797" s="3" t="s">
        <v>34</v>
      </c>
      <c r="I797" s="6">
        <v>44348</v>
      </c>
      <c r="J797" s="4">
        <v>0</v>
      </c>
      <c r="K797" s="4">
        <v>0</v>
      </c>
      <c r="L797" s="4">
        <v>470.584</v>
      </c>
      <c r="M797" s="4">
        <v>230.80871329112</v>
      </c>
      <c r="N797" s="4">
        <v>0</v>
      </c>
      <c r="O797" s="4">
        <v>0</v>
      </c>
      <c r="P797" s="4">
        <v>0</v>
      </c>
      <c r="Q797" s="3" t="s">
        <v>57</v>
      </c>
      <c r="R797" s="3">
        <v>0</v>
      </c>
      <c r="S797" s="3" t="s">
        <v>362</v>
      </c>
      <c r="U797" s="3">
        <v>0</v>
      </c>
      <c r="V797" s="3">
        <v>20</v>
      </c>
      <c r="W797" s="3">
        <v>0</v>
      </c>
    </row>
    <row r="798" spans="1:23" ht="11.25" customHeight="1" x14ac:dyDescent="0.25">
      <c r="A798" s="3" t="s">
        <v>21</v>
      </c>
      <c r="B798" s="3" t="s">
        <v>41</v>
      </c>
      <c r="C798" s="3" t="s">
        <v>42</v>
      </c>
      <c r="D798" s="3" t="s">
        <v>38</v>
      </c>
      <c r="E798" s="3" t="s">
        <v>25</v>
      </c>
      <c r="F798" s="3" t="s">
        <v>60</v>
      </c>
      <c r="G798" s="3" t="s">
        <v>25</v>
      </c>
      <c r="H798" s="3" t="s">
        <v>34</v>
      </c>
      <c r="I798" s="6">
        <v>44378</v>
      </c>
      <c r="J798" s="4">
        <v>0</v>
      </c>
      <c r="K798" s="4">
        <v>0</v>
      </c>
      <c r="L798" s="4">
        <v>489.572</v>
      </c>
      <c r="M798" s="4">
        <v>232.17391540060001</v>
      </c>
      <c r="N798" s="4">
        <v>0</v>
      </c>
      <c r="O798" s="4">
        <v>0</v>
      </c>
      <c r="P798" s="4">
        <v>0</v>
      </c>
      <c r="Q798" s="3" t="s">
        <v>57</v>
      </c>
      <c r="R798" s="3">
        <v>0</v>
      </c>
      <c r="S798" s="3" t="s">
        <v>363</v>
      </c>
      <c r="U798" s="3">
        <v>0</v>
      </c>
      <c r="V798" s="3">
        <v>20</v>
      </c>
      <c r="W798" s="3">
        <v>0</v>
      </c>
    </row>
    <row r="799" spans="1:23" ht="11.25" customHeight="1" x14ac:dyDescent="0.25">
      <c r="A799" s="3" t="s">
        <v>21</v>
      </c>
      <c r="B799" s="3" t="s">
        <v>41</v>
      </c>
      <c r="C799" s="3" t="s">
        <v>42</v>
      </c>
      <c r="D799" s="3" t="s">
        <v>38</v>
      </c>
      <c r="E799" s="3" t="s">
        <v>25</v>
      </c>
      <c r="F799" s="3" t="s">
        <v>60</v>
      </c>
      <c r="G799" s="3" t="s">
        <v>25</v>
      </c>
      <c r="H799" s="3" t="s">
        <v>34</v>
      </c>
      <c r="I799" s="6">
        <v>44409</v>
      </c>
      <c r="J799" s="4">
        <v>0</v>
      </c>
      <c r="K799" s="4">
        <v>0</v>
      </c>
      <c r="L799" s="4">
        <v>543.85400000000004</v>
      </c>
      <c r="M799" s="4">
        <v>262.91474641913999</v>
      </c>
      <c r="N799" s="4">
        <v>0</v>
      </c>
      <c r="O799" s="4">
        <v>0</v>
      </c>
      <c r="P799" s="4">
        <v>0</v>
      </c>
      <c r="Q799" s="3" t="s">
        <v>57</v>
      </c>
      <c r="R799" s="3">
        <v>0</v>
      </c>
      <c r="S799" s="3" t="s">
        <v>364</v>
      </c>
      <c r="U799" s="3">
        <v>0</v>
      </c>
      <c r="V799" s="3">
        <v>20</v>
      </c>
      <c r="W799" s="3">
        <v>0</v>
      </c>
    </row>
    <row r="800" spans="1:23" ht="11.25" customHeight="1" x14ac:dyDescent="0.25">
      <c r="A800" s="3" t="s">
        <v>21</v>
      </c>
      <c r="B800" s="3" t="s">
        <v>41</v>
      </c>
      <c r="C800" s="3" t="s">
        <v>42</v>
      </c>
      <c r="D800" s="3" t="s">
        <v>38</v>
      </c>
      <c r="E800" s="3" t="s">
        <v>25</v>
      </c>
      <c r="F800" s="3" t="s">
        <v>60</v>
      </c>
      <c r="G800" s="3" t="s">
        <v>25</v>
      </c>
      <c r="H800" s="3" t="s">
        <v>34</v>
      </c>
      <c r="I800" s="6">
        <v>44440</v>
      </c>
      <c r="J800" s="4">
        <v>0</v>
      </c>
      <c r="K800" s="4">
        <v>0</v>
      </c>
      <c r="L800" s="4">
        <v>632.55899999999997</v>
      </c>
      <c r="M800" s="4">
        <v>305.00095405322998</v>
      </c>
      <c r="N800" s="4">
        <v>0</v>
      </c>
      <c r="O800" s="4">
        <v>0</v>
      </c>
      <c r="P800" s="4">
        <v>0</v>
      </c>
      <c r="Q800" s="3" t="s">
        <v>57</v>
      </c>
      <c r="R800" s="3">
        <v>0</v>
      </c>
      <c r="S800" s="3" t="s">
        <v>365</v>
      </c>
      <c r="U800" s="3">
        <v>0</v>
      </c>
      <c r="V800" s="3">
        <v>20</v>
      </c>
      <c r="W800" s="3">
        <v>0</v>
      </c>
    </row>
    <row r="801" spans="1:23" ht="11.25" customHeight="1" x14ac:dyDescent="0.25">
      <c r="A801" s="3" t="s">
        <v>21</v>
      </c>
      <c r="B801" s="3" t="s">
        <v>41</v>
      </c>
      <c r="C801" s="3" t="s">
        <v>42</v>
      </c>
      <c r="D801" s="3" t="s">
        <v>38</v>
      </c>
      <c r="E801" s="3" t="s">
        <v>25</v>
      </c>
      <c r="F801" s="3" t="s">
        <v>60</v>
      </c>
      <c r="G801" s="3" t="s">
        <v>25</v>
      </c>
      <c r="H801" s="3" t="s">
        <v>34</v>
      </c>
      <c r="I801" s="6">
        <v>44470</v>
      </c>
      <c r="J801" s="4">
        <v>0</v>
      </c>
      <c r="K801" s="4">
        <v>0</v>
      </c>
      <c r="L801" s="4">
        <v>622.37099999999998</v>
      </c>
      <c r="M801" s="4">
        <v>294.65512708128</v>
      </c>
      <c r="N801" s="4">
        <v>0</v>
      </c>
      <c r="O801" s="4">
        <v>0</v>
      </c>
      <c r="P801" s="4">
        <v>0</v>
      </c>
      <c r="Q801" s="3" t="s">
        <v>57</v>
      </c>
      <c r="R801" s="3">
        <v>0</v>
      </c>
      <c r="S801" s="3" t="s">
        <v>366</v>
      </c>
      <c r="U801" s="3">
        <v>0</v>
      </c>
      <c r="V801" s="3">
        <v>20</v>
      </c>
      <c r="W801" s="3">
        <v>0</v>
      </c>
    </row>
    <row r="802" spans="1:23" ht="11.25" customHeight="1" x14ac:dyDescent="0.25">
      <c r="A802" s="3" t="s">
        <v>21</v>
      </c>
      <c r="B802" s="3" t="s">
        <v>41</v>
      </c>
      <c r="C802" s="3" t="s">
        <v>42</v>
      </c>
      <c r="D802" s="3" t="s">
        <v>38</v>
      </c>
      <c r="E802" s="3" t="s">
        <v>25</v>
      </c>
      <c r="F802" s="3" t="s">
        <v>60</v>
      </c>
      <c r="G802" s="3" t="s">
        <v>25</v>
      </c>
      <c r="H802" s="3" t="s">
        <v>34</v>
      </c>
      <c r="I802" s="6">
        <v>44501</v>
      </c>
      <c r="J802" s="4">
        <v>0</v>
      </c>
      <c r="K802" s="4">
        <v>0</v>
      </c>
      <c r="L802" s="4">
        <v>630.06799999999998</v>
      </c>
      <c r="M802" s="4">
        <v>301.98059141272</v>
      </c>
      <c r="N802" s="4">
        <v>0</v>
      </c>
      <c r="O802" s="4">
        <v>0</v>
      </c>
      <c r="P802" s="4">
        <v>0</v>
      </c>
      <c r="Q802" s="3" t="s">
        <v>57</v>
      </c>
      <c r="R802" s="3">
        <v>0</v>
      </c>
      <c r="S802" s="3" t="s">
        <v>367</v>
      </c>
      <c r="U802" s="3">
        <v>0</v>
      </c>
      <c r="V802" s="3">
        <v>20</v>
      </c>
      <c r="W802" s="3">
        <v>0</v>
      </c>
    </row>
    <row r="803" spans="1:23" ht="11.25" customHeight="1" x14ac:dyDescent="0.25">
      <c r="A803" s="3" t="s">
        <v>21</v>
      </c>
      <c r="B803" s="3" t="s">
        <v>41</v>
      </c>
      <c r="C803" s="3" t="s">
        <v>42</v>
      </c>
      <c r="D803" s="3" t="s">
        <v>38</v>
      </c>
      <c r="E803" s="3" t="s">
        <v>25</v>
      </c>
      <c r="F803" s="3" t="s">
        <v>60</v>
      </c>
      <c r="G803" s="3" t="s">
        <v>25</v>
      </c>
      <c r="H803" s="3" t="s">
        <v>34</v>
      </c>
      <c r="I803" s="6">
        <v>44531</v>
      </c>
      <c r="J803" s="4">
        <v>0</v>
      </c>
      <c r="K803" s="4">
        <v>0</v>
      </c>
      <c r="L803" s="4">
        <v>664.03300000000002</v>
      </c>
      <c r="M803" s="4">
        <v>319.95319841823999</v>
      </c>
      <c r="N803" s="4">
        <v>0</v>
      </c>
      <c r="O803" s="4">
        <v>0</v>
      </c>
      <c r="P803" s="4">
        <v>0</v>
      </c>
      <c r="Q803" s="3" t="s">
        <v>57</v>
      </c>
      <c r="R803" s="3">
        <v>0</v>
      </c>
      <c r="S803" s="3" t="s">
        <v>368</v>
      </c>
      <c r="U803" s="3">
        <v>0</v>
      </c>
      <c r="V803" s="3">
        <v>20</v>
      </c>
      <c r="W803" s="3">
        <v>0</v>
      </c>
    </row>
    <row r="804" spans="1:23" ht="11.25" customHeight="1" x14ac:dyDescent="0.25">
      <c r="A804" s="3" t="s">
        <v>21</v>
      </c>
      <c r="B804" s="3" t="s">
        <v>41</v>
      </c>
      <c r="C804" s="3" t="s">
        <v>42</v>
      </c>
      <c r="D804" s="3" t="s">
        <v>38</v>
      </c>
      <c r="E804" s="3" t="s">
        <v>25</v>
      </c>
      <c r="F804" s="3" t="s">
        <v>60</v>
      </c>
      <c r="G804" s="3" t="s">
        <v>25</v>
      </c>
      <c r="H804" s="3" t="s">
        <v>34</v>
      </c>
      <c r="I804" s="6">
        <v>44562</v>
      </c>
      <c r="J804" s="4">
        <v>0</v>
      </c>
      <c r="K804" s="4">
        <v>0</v>
      </c>
      <c r="L804" s="4">
        <v>801.87300000000005</v>
      </c>
      <c r="M804" s="4">
        <v>386.74991523987001</v>
      </c>
      <c r="N804" s="4">
        <v>0</v>
      </c>
      <c r="O804" s="4">
        <v>0</v>
      </c>
      <c r="P804" s="4">
        <v>0</v>
      </c>
      <c r="Q804" s="3" t="s">
        <v>57</v>
      </c>
      <c r="R804" s="3">
        <v>0</v>
      </c>
      <c r="S804" s="3" t="s">
        <v>369</v>
      </c>
      <c r="U804" s="3">
        <v>0</v>
      </c>
      <c r="V804" s="3">
        <v>20</v>
      </c>
      <c r="W804" s="3">
        <v>0</v>
      </c>
    </row>
    <row r="805" spans="1:23" ht="11.25" customHeight="1" x14ac:dyDescent="0.25">
      <c r="A805" s="3" t="s">
        <v>21</v>
      </c>
      <c r="B805" s="3" t="s">
        <v>41</v>
      </c>
      <c r="C805" s="3" t="s">
        <v>42</v>
      </c>
      <c r="D805" s="3" t="s">
        <v>38</v>
      </c>
      <c r="E805" s="3" t="s">
        <v>25</v>
      </c>
      <c r="F805" s="3" t="s">
        <v>60</v>
      </c>
      <c r="G805" s="3" t="s">
        <v>25</v>
      </c>
      <c r="H805" s="3" t="s">
        <v>34</v>
      </c>
      <c r="I805" s="6">
        <v>44593</v>
      </c>
      <c r="J805" s="4">
        <v>0</v>
      </c>
      <c r="K805" s="4">
        <v>0</v>
      </c>
      <c r="L805" s="4">
        <v>728.64200000000005</v>
      </c>
      <c r="M805" s="4">
        <v>350.08695667073999</v>
      </c>
      <c r="N805" s="4">
        <v>0</v>
      </c>
      <c r="O805" s="4">
        <v>0</v>
      </c>
      <c r="P805" s="4">
        <v>0</v>
      </c>
      <c r="Q805" s="3" t="s">
        <v>57</v>
      </c>
      <c r="R805" s="3">
        <v>0</v>
      </c>
      <c r="S805" s="3" t="s">
        <v>370</v>
      </c>
      <c r="U805" s="3">
        <v>0</v>
      </c>
      <c r="V805" s="3">
        <v>20</v>
      </c>
      <c r="W805" s="3">
        <v>0</v>
      </c>
    </row>
    <row r="806" spans="1:23" ht="11.25" customHeight="1" x14ac:dyDescent="0.25">
      <c r="A806" s="3" t="s">
        <v>56</v>
      </c>
      <c r="B806" s="3" t="s">
        <v>41</v>
      </c>
      <c r="C806" s="3" t="s">
        <v>42</v>
      </c>
      <c r="D806" s="3" t="s">
        <v>38</v>
      </c>
      <c r="E806" s="3" t="s">
        <v>25</v>
      </c>
      <c r="F806" s="3" t="s">
        <v>60</v>
      </c>
      <c r="G806" s="3" t="s">
        <v>25</v>
      </c>
      <c r="H806" s="3" t="s">
        <v>34</v>
      </c>
      <c r="I806" s="6">
        <v>44621</v>
      </c>
      <c r="J806" s="4">
        <v>0</v>
      </c>
      <c r="K806" s="4">
        <v>0</v>
      </c>
      <c r="L806" s="4">
        <v>728.64200000000005</v>
      </c>
      <c r="M806" s="4">
        <v>350.08695667073999</v>
      </c>
      <c r="N806" s="4">
        <v>0</v>
      </c>
      <c r="O806" s="4">
        <v>0</v>
      </c>
      <c r="P806" s="4">
        <v>0</v>
      </c>
      <c r="Q806" s="3" t="s">
        <v>57</v>
      </c>
      <c r="R806" s="3">
        <v>0</v>
      </c>
      <c r="S806" s="3" t="s">
        <v>371</v>
      </c>
      <c r="U806" s="3">
        <v>0</v>
      </c>
      <c r="V806" s="3">
        <v>20</v>
      </c>
      <c r="W806" s="3">
        <v>0</v>
      </c>
    </row>
    <row r="807" spans="1:23" ht="11.25" customHeight="1" x14ac:dyDescent="0.25">
      <c r="A807" s="3" t="s">
        <v>21</v>
      </c>
      <c r="B807" s="3" t="s">
        <v>41</v>
      </c>
      <c r="C807" s="3" t="s">
        <v>42</v>
      </c>
      <c r="D807" s="3" t="s">
        <v>38</v>
      </c>
      <c r="E807" s="3" t="s">
        <v>25</v>
      </c>
      <c r="F807" s="3" t="s">
        <v>25</v>
      </c>
      <c r="G807" s="3" t="s">
        <v>25</v>
      </c>
      <c r="H807" s="3" t="s">
        <v>35</v>
      </c>
      <c r="I807" s="6">
        <v>44287</v>
      </c>
      <c r="J807" s="4">
        <v>0</v>
      </c>
      <c r="K807" s="4">
        <v>0</v>
      </c>
      <c r="L807" s="4">
        <v>7952.6130000000003</v>
      </c>
      <c r="M807" s="4">
        <v>7952.6130000000003</v>
      </c>
      <c r="N807" s="4">
        <v>7952.6130000000003</v>
      </c>
      <c r="O807" s="4">
        <v>7952.6130000000003</v>
      </c>
      <c r="P807" s="4">
        <v>0</v>
      </c>
      <c r="Q807" s="3" t="s">
        <v>26</v>
      </c>
      <c r="R807" s="3">
        <v>0</v>
      </c>
      <c r="S807" s="3" t="s">
        <v>336</v>
      </c>
      <c r="T807" s="3" t="s">
        <v>611</v>
      </c>
      <c r="U807" s="3">
        <v>0</v>
      </c>
      <c r="V807" s="3">
        <v>21</v>
      </c>
      <c r="W807" s="3">
        <v>89</v>
      </c>
    </row>
    <row r="808" spans="1:23" ht="11.25" customHeight="1" x14ac:dyDescent="0.25">
      <c r="A808" s="3" t="s">
        <v>28</v>
      </c>
      <c r="B808" s="3" t="s">
        <v>41</v>
      </c>
      <c r="C808" s="3" t="s">
        <v>42</v>
      </c>
      <c r="D808" s="3" t="s">
        <v>38</v>
      </c>
      <c r="E808" s="3" t="s">
        <v>25</v>
      </c>
      <c r="F808" s="3" t="s">
        <v>25</v>
      </c>
      <c r="G808" s="3" t="s">
        <v>25</v>
      </c>
      <c r="H808" s="3" t="s">
        <v>35</v>
      </c>
      <c r="I808" s="6">
        <v>44287</v>
      </c>
      <c r="J808" s="4">
        <v>0</v>
      </c>
      <c r="K808" s="4">
        <v>0</v>
      </c>
      <c r="L808" s="4">
        <v>112.02</v>
      </c>
      <c r="M808" s="4">
        <v>112.02</v>
      </c>
      <c r="N808" s="4">
        <v>112.02</v>
      </c>
      <c r="O808" s="4">
        <v>112.02</v>
      </c>
      <c r="P808" s="4">
        <v>0</v>
      </c>
      <c r="Q808" s="3" t="s">
        <v>26</v>
      </c>
      <c r="R808" s="3">
        <v>0</v>
      </c>
      <c r="S808" s="3" t="s">
        <v>336</v>
      </c>
      <c r="T808" s="3" t="s">
        <v>611</v>
      </c>
      <c r="U808" s="3">
        <v>0</v>
      </c>
      <c r="V808" s="3">
        <v>21</v>
      </c>
      <c r="W808" s="3">
        <v>89</v>
      </c>
    </row>
    <row r="809" spans="1:23" ht="11.25" customHeight="1" x14ac:dyDescent="0.25">
      <c r="A809" s="3" t="s">
        <v>21</v>
      </c>
      <c r="B809" s="3" t="s">
        <v>41</v>
      </c>
      <c r="C809" s="3" t="s">
        <v>42</v>
      </c>
      <c r="D809" s="3" t="s">
        <v>38</v>
      </c>
      <c r="E809" s="3" t="s">
        <v>25</v>
      </c>
      <c r="F809" s="3" t="s">
        <v>25</v>
      </c>
      <c r="G809" s="3" t="s">
        <v>25</v>
      </c>
      <c r="H809" s="3" t="s">
        <v>35</v>
      </c>
      <c r="I809" s="6">
        <v>44317</v>
      </c>
      <c r="J809" s="4">
        <v>0</v>
      </c>
      <c r="K809" s="4">
        <v>0</v>
      </c>
      <c r="L809" s="4">
        <v>7551.2939999999999</v>
      </c>
      <c r="M809" s="4">
        <v>7551.2939999999999</v>
      </c>
      <c r="N809" s="4">
        <v>7551.2939999999999</v>
      </c>
      <c r="O809" s="4">
        <v>7551.2939999999999</v>
      </c>
      <c r="P809" s="4">
        <v>0</v>
      </c>
      <c r="Q809" s="3" t="s">
        <v>26</v>
      </c>
      <c r="R809" s="3">
        <v>0</v>
      </c>
      <c r="S809" s="3" t="s">
        <v>337</v>
      </c>
      <c r="T809" s="3" t="s">
        <v>612</v>
      </c>
      <c r="U809" s="3">
        <v>0</v>
      </c>
      <c r="V809" s="3">
        <v>21</v>
      </c>
      <c r="W809" s="3">
        <v>89</v>
      </c>
    </row>
    <row r="810" spans="1:23" ht="11.25" customHeight="1" x14ac:dyDescent="0.25">
      <c r="A810" s="3" t="s">
        <v>28</v>
      </c>
      <c r="B810" s="3" t="s">
        <v>41</v>
      </c>
      <c r="C810" s="3" t="s">
        <v>42</v>
      </c>
      <c r="D810" s="3" t="s">
        <v>38</v>
      </c>
      <c r="E810" s="3" t="s">
        <v>25</v>
      </c>
      <c r="F810" s="3" t="s">
        <v>25</v>
      </c>
      <c r="G810" s="3" t="s">
        <v>25</v>
      </c>
      <c r="H810" s="3" t="s">
        <v>35</v>
      </c>
      <c r="I810" s="6">
        <v>44317</v>
      </c>
      <c r="J810" s="4">
        <v>0</v>
      </c>
      <c r="K810" s="4">
        <v>0</v>
      </c>
      <c r="L810" s="4">
        <v>129.71199999999999</v>
      </c>
      <c r="M810" s="4">
        <v>129.71199999999999</v>
      </c>
      <c r="N810" s="4">
        <v>129.71199999999999</v>
      </c>
      <c r="O810" s="4">
        <v>129.71199999999999</v>
      </c>
      <c r="P810" s="4">
        <v>0</v>
      </c>
      <c r="Q810" s="3" t="s">
        <v>26</v>
      </c>
      <c r="R810" s="3">
        <v>0</v>
      </c>
      <c r="S810" s="3" t="s">
        <v>337</v>
      </c>
      <c r="T810" s="3" t="s">
        <v>612</v>
      </c>
      <c r="U810" s="3">
        <v>0</v>
      </c>
      <c r="V810" s="3">
        <v>21</v>
      </c>
      <c r="W810" s="3">
        <v>89</v>
      </c>
    </row>
    <row r="811" spans="1:23" ht="11.25" customHeight="1" x14ac:dyDescent="0.25">
      <c r="A811" s="3" t="s">
        <v>28</v>
      </c>
      <c r="B811" s="3" t="s">
        <v>41</v>
      </c>
      <c r="C811" s="3" t="s">
        <v>42</v>
      </c>
      <c r="D811" s="3" t="s">
        <v>38</v>
      </c>
      <c r="E811" s="3" t="s">
        <v>25</v>
      </c>
      <c r="F811" s="3" t="s">
        <v>25</v>
      </c>
      <c r="G811" s="3" t="s">
        <v>25</v>
      </c>
      <c r="H811" s="3" t="s">
        <v>35</v>
      </c>
      <c r="I811" s="6">
        <v>44317</v>
      </c>
      <c r="J811" s="4">
        <v>0</v>
      </c>
      <c r="K811" s="4">
        <v>0</v>
      </c>
      <c r="L811" s="4">
        <v>-29.4</v>
      </c>
      <c r="M811" s="4">
        <v>-29.4</v>
      </c>
      <c r="N811" s="4">
        <v>-29.4</v>
      </c>
      <c r="O811" s="4">
        <v>-29.4</v>
      </c>
      <c r="P811" s="4">
        <v>0</v>
      </c>
      <c r="Q811" s="3" t="s">
        <v>26</v>
      </c>
      <c r="R811" s="3">
        <v>0</v>
      </c>
      <c r="S811" s="3" t="s">
        <v>337</v>
      </c>
      <c r="T811" s="3" t="s">
        <v>612</v>
      </c>
      <c r="U811" s="3">
        <v>0</v>
      </c>
      <c r="V811" s="3">
        <v>21</v>
      </c>
      <c r="W811" s="3">
        <v>89</v>
      </c>
    </row>
    <row r="812" spans="1:23" ht="11.25" customHeight="1" x14ac:dyDescent="0.25">
      <c r="A812" s="3" t="s">
        <v>21</v>
      </c>
      <c r="B812" s="3" t="s">
        <v>41</v>
      </c>
      <c r="C812" s="3" t="s">
        <v>42</v>
      </c>
      <c r="D812" s="3" t="s">
        <v>38</v>
      </c>
      <c r="E812" s="3" t="s">
        <v>25</v>
      </c>
      <c r="F812" s="3" t="s">
        <v>25</v>
      </c>
      <c r="G812" s="3" t="s">
        <v>25</v>
      </c>
      <c r="H812" s="3" t="s">
        <v>35</v>
      </c>
      <c r="I812" s="6">
        <v>44348</v>
      </c>
      <c r="J812" s="4">
        <v>0</v>
      </c>
      <c r="K812" s="4">
        <v>0</v>
      </c>
      <c r="L812" s="4">
        <v>7172.6390000000001</v>
      </c>
      <c r="M812" s="4">
        <v>7172.6390000000001</v>
      </c>
      <c r="N812" s="4">
        <v>7172.6390000000001</v>
      </c>
      <c r="O812" s="4">
        <v>7172.6390000000001</v>
      </c>
      <c r="P812" s="4">
        <v>0</v>
      </c>
      <c r="Q812" s="3" t="s">
        <v>26</v>
      </c>
      <c r="R812" s="3">
        <v>0</v>
      </c>
      <c r="S812" s="3" t="s">
        <v>338</v>
      </c>
      <c r="T812" s="3" t="s">
        <v>613</v>
      </c>
      <c r="U812" s="3">
        <v>0</v>
      </c>
      <c r="V812" s="3">
        <v>21</v>
      </c>
      <c r="W812" s="3">
        <v>89</v>
      </c>
    </row>
    <row r="813" spans="1:23" ht="11.25" customHeight="1" x14ac:dyDescent="0.25">
      <c r="A813" s="3" t="s">
        <v>28</v>
      </c>
      <c r="B813" s="3" t="s">
        <v>41</v>
      </c>
      <c r="C813" s="3" t="s">
        <v>42</v>
      </c>
      <c r="D813" s="3" t="s">
        <v>38</v>
      </c>
      <c r="E813" s="3" t="s">
        <v>25</v>
      </c>
      <c r="F813" s="3" t="s">
        <v>25</v>
      </c>
      <c r="G813" s="3" t="s">
        <v>25</v>
      </c>
      <c r="H813" s="3" t="s">
        <v>35</v>
      </c>
      <c r="I813" s="6">
        <v>44348</v>
      </c>
      <c r="J813" s="4">
        <v>0</v>
      </c>
      <c r="K813" s="4">
        <v>0</v>
      </c>
      <c r="L813" s="4">
        <v>152.55799999999999</v>
      </c>
      <c r="M813" s="4">
        <v>152.55799999999999</v>
      </c>
      <c r="N813" s="4">
        <v>152.55799999999999</v>
      </c>
      <c r="O813" s="4">
        <v>152.55799999999999</v>
      </c>
      <c r="P813" s="4">
        <v>0</v>
      </c>
      <c r="Q813" s="3" t="s">
        <v>26</v>
      </c>
      <c r="R813" s="3">
        <v>0</v>
      </c>
      <c r="S813" s="3" t="s">
        <v>338</v>
      </c>
      <c r="T813" s="3" t="s">
        <v>613</v>
      </c>
      <c r="U813" s="3">
        <v>0</v>
      </c>
      <c r="V813" s="3">
        <v>21</v>
      </c>
      <c r="W813" s="3">
        <v>89</v>
      </c>
    </row>
    <row r="814" spans="1:23" ht="11.25" customHeight="1" x14ac:dyDescent="0.25">
      <c r="A814" s="3" t="s">
        <v>21</v>
      </c>
      <c r="B814" s="3" t="s">
        <v>41</v>
      </c>
      <c r="C814" s="3" t="s">
        <v>42</v>
      </c>
      <c r="D814" s="3" t="s">
        <v>38</v>
      </c>
      <c r="E814" s="3" t="s">
        <v>25</v>
      </c>
      <c r="F814" s="3" t="s">
        <v>25</v>
      </c>
      <c r="G814" s="3" t="s">
        <v>25</v>
      </c>
      <c r="H814" s="3" t="s">
        <v>35</v>
      </c>
      <c r="I814" s="6">
        <v>44378</v>
      </c>
      <c r="J814" s="4">
        <v>0</v>
      </c>
      <c r="K814" s="4">
        <v>0</v>
      </c>
      <c r="L814" s="4">
        <v>7062.6909999999998</v>
      </c>
      <c r="M814" s="4">
        <v>7062.6909999999998</v>
      </c>
      <c r="N814" s="4">
        <v>7062.6909999999998</v>
      </c>
      <c r="O814" s="4">
        <v>7062.6909999999998</v>
      </c>
      <c r="P814" s="4">
        <v>0</v>
      </c>
      <c r="Q814" s="3" t="s">
        <v>26</v>
      </c>
      <c r="R814" s="3">
        <v>0</v>
      </c>
      <c r="S814" s="3" t="s">
        <v>339</v>
      </c>
      <c r="T814" s="3" t="s">
        <v>614</v>
      </c>
      <c r="U814" s="3">
        <v>0</v>
      </c>
      <c r="V814" s="3">
        <v>21</v>
      </c>
      <c r="W814" s="3">
        <v>89</v>
      </c>
    </row>
    <row r="815" spans="1:23" ht="11.25" customHeight="1" x14ac:dyDescent="0.25">
      <c r="A815" s="3" t="s">
        <v>28</v>
      </c>
      <c r="B815" s="3" t="s">
        <v>41</v>
      </c>
      <c r="C815" s="3" t="s">
        <v>42</v>
      </c>
      <c r="D815" s="3" t="s">
        <v>38</v>
      </c>
      <c r="E815" s="3" t="s">
        <v>25</v>
      </c>
      <c r="F815" s="3" t="s">
        <v>25</v>
      </c>
      <c r="G815" s="3" t="s">
        <v>25</v>
      </c>
      <c r="H815" s="3" t="s">
        <v>35</v>
      </c>
      <c r="I815" s="6">
        <v>44378</v>
      </c>
      <c r="J815" s="4">
        <v>0</v>
      </c>
      <c r="K815" s="4">
        <v>0</v>
      </c>
      <c r="L815" s="4">
        <v>121.824</v>
      </c>
      <c r="M815" s="4">
        <v>121.824</v>
      </c>
      <c r="N815" s="4">
        <v>121.824</v>
      </c>
      <c r="O815" s="4">
        <v>121.824</v>
      </c>
      <c r="P815" s="4">
        <v>0</v>
      </c>
      <c r="Q815" s="3" t="s">
        <v>26</v>
      </c>
      <c r="R815" s="3">
        <v>0</v>
      </c>
      <c r="S815" s="3" t="s">
        <v>339</v>
      </c>
      <c r="T815" s="3" t="s">
        <v>614</v>
      </c>
      <c r="U815" s="3">
        <v>0</v>
      </c>
      <c r="V815" s="3">
        <v>21</v>
      </c>
      <c r="W815" s="3">
        <v>89</v>
      </c>
    </row>
    <row r="816" spans="1:23" ht="11.25" customHeight="1" x14ac:dyDescent="0.25">
      <c r="A816" s="3" t="s">
        <v>21</v>
      </c>
      <c r="B816" s="3" t="s">
        <v>41</v>
      </c>
      <c r="C816" s="3" t="s">
        <v>42</v>
      </c>
      <c r="D816" s="3" t="s">
        <v>38</v>
      </c>
      <c r="E816" s="3" t="s">
        <v>25</v>
      </c>
      <c r="F816" s="3" t="s">
        <v>25</v>
      </c>
      <c r="G816" s="3" t="s">
        <v>25</v>
      </c>
      <c r="H816" s="3" t="s">
        <v>35</v>
      </c>
      <c r="I816" s="6">
        <v>44409</v>
      </c>
      <c r="J816" s="4">
        <v>0</v>
      </c>
      <c r="K816" s="4">
        <v>0</v>
      </c>
      <c r="L816" s="4">
        <v>7334.3069999999998</v>
      </c>
      <c r="M816" s="4">
        <v>7334.3069999999998</v>
      </c>
      <c r="N816" s="4">
        <v>7334.3069999999998</v>
      </c>
      <c r="O816" s="4">
        <v>7334.3069999999998</v>
      </c>
      <c r="P816" s="4">
        <v>0</v>
      </c>
      <c r="Q816" s="3" t="s">
        <v>26</v>
      </c>
      <c r="R816" s="3">
        <v>0</v>
      </c>
      <c r="S816" s="3" t="s">
        <v>340</v>
      </c>
      <c r="T816" s="3" t="s">
        <v>615</v>
      </c>
      <c r="U816" s="3">
        <v>0</v>
      </c>
      <c r="V816" s="3">
        <v>21</v>
      </c>
      <c r="W816" s="3">
        <v>89</v>
      </c>
    </row>
    <row r="817" spans="1:23" ht="11.25" customHeight="1" x14ac:dyDescent="0.25">
      <c r="A817" s="3" t="s">
        <v>28</v>
      </c>
      <c r="B817" s="3" t="s">
        <v>41</v>
      </c>
      <c r="C817" s="3" t="s">
        <v>42</v>
      </c>
      <c r="D817" s="3" t="s">
        <v>38</v>
      </c>
      <c r="E817" s="3" t="s">
        <v>25</v>
      </c>
      <c r="F817" s="3" t="s">
        <v>25</v>
      </c>
      <c r="G817" s="3" t="s">
        <v>25</v>
      </c>
      <c r="H817" s="3" t="s">
        <v>35</v>
      </c>
      <c r="I817" s="6">
        <v>44409</v>
      </c>
      <c r="J817" s="4">
        <v>0</v>
      </c>
      <c r="K817" s="4">
        <v>0</v>
      </c>
      <c r="L817" s="4">
        <v>186.30799999999999</v>
      </c>
      <c r="M817" s="4">
        <v>186.30799999999999</v>
      </c>
      <c r="N817" s="4">
        <v>186.30799999999999</v>
      </c>
      <c r="O817" s="4">
        <v>186.30799999999999</v>
      </c>
      <c r="P817" s="4">
        <v>0</v>
      </c>
      <c r="Q817" s="3" t="s">
        <v>26</v>
      </c>
      <c r="R817" s="3">
        <v>0</v>
      </c>
      <c r="S817" s="3" t="s">
        <v>340</v>
      </c>
      <c r="T817" s="3" t="s">
        <v>615</v>
      </c>
      <c r="U817" s="3">
        <v>0</v>
      </c>
      <c r="V817" s="3">
        <v>21</v>
      </c>
      <c r="W817" s="3">
        <v>89</v>
      </c>
    </row>
    <row r="818" spans="1:23" ht="11.25" customHeight="1" x14ac:dyDescent="0.25">
      <c r="A818" s="3" t="s">
        <v>21</v>
      </c>
      <c r="B818" s="3" t="s">
        <v>41</v>
      </c>
      <c r="C818" s="3" t="s">
        <v>42</v>
      </c>
      <c r="D818" s="3" t="s">
        <v>38</v>
      </c>
      <c r="E818" s="3" t="s">
        <v>25</v>
      </c>
      <c r="F818" s="3" t="s">
        <v>25</v>
      </c>
      <c r="G818" s="3" t="s">
        <v>25</v>
      </c>
      <c r="H818" s="3" t="s">
        <v>35</v>
      </c>
      <c r="I818" s="6">
        <v>44409</v>
      </c>
      <c r="J818" s="4">
        <v>0</v>
      </c>
      <c r="K818" s="4">
        <v>0</v>
      </c>
      <c r="L818" s="4">
        <v>111.39</v>
      </c>
      <c r="M818" s="4">
        <v>111.39</v>
      </c>
      <c r="N818" s="4">
        <v>0</v>
      </c>
      <c r="O818" s="4">
        <v>0</v>
      </c>
      <c r="P818" s="4">
        <v>0</v>
      </c>
      <c r="Q818" s="3" t="s">
        <v>57</v>
      </c>
      <c r="R818" s="3">
        <v>0</v>
      </c>
      <c r="S818" s="3" t="s">
        <v>340</v>
      </c>
      <c r="U818" s="3">
        <v>0</v>
      </c>
      <c r="V818" s="3">
        <v>21</v>
      </c>
      <c r="W818" s="3">
        <v>0</v>
      </c>
    </row>
    <row r="819" spans="1:23" ht="11.25" customHeight="1" x14ac:dyDescent="0.25">
      <c r="A819" s="3" t="s">
        <v>21</v>
      </c>
      <c r="B819" s="3" t="s">
        <v>41</v>
      </c>
      <c r="C819" s="3" t="s">
        <v>42</v>
      </c>
      <c r="D819" s="3" t="s">
        <v>38</v>
      </c>
      <c r="E819" s="3" t="s">
        <v>25</v>
      </c>
      <c r="F819" s="3" t="s">
        <v>25</v>
      </c>
      <c r="G819" s="3" t="s">
        <v>25</v>
      </c>
      <c r="H819" s="3" t="s">
        <v>35</v>
      </c>
      <c r="I819" s="6">
        <v>44440</v>
      </c>
      <c r="J819" s="4">
        <v>0</v>
      </c>
      <c r="K819" s="4">
        <v>0</v>
      </c>
      <c r="L819" s="4">
        <v>6950.3249999999998</v>
      </c>
      <c r="M819" s="4">
        <v>6950.3249999999998</v>
      </c>
      <c r="N819" s="4">
        <v>6950.3249999999998</v>
      </c>
      <c r="O819" s="4">
        <v>6950.3249999999998</v>
      </c>
      <c r="P819" s="4">
        <v>0</v>
      </c>
      <c r="Q819" s="3" t="s">
        <v>26</v>
      </c>
      <c r="R819" s="3">
        <v>0</v>
      </c>
      <c r="S819" s="3" t="s">
        <v>341</v>
      </c>
      <c r="T819" s="3" t="s">
        <v>616</v>
      </c>
      <c r="U819" s="3">
        <v>0</v>
      </c>
      <c r="V819" s="3">
        <v>21</v>
      </c>
      <c r="W819" s="3">
        <v>89</v>
      </c>
    </row>
    <row r="820" spans="1:23" ht="11.25" customHeight="1" x14ac:dyDescent="0.25">
      <c r="A820" s="3" t="s">
        <v>28</v>
      </c>
      <c r="B820" s="3" t="s">
        <v>41</v>
      </c>
      <c r="C820" s="3" t="s">
        <v>42</v>
      </c>
      <c r="D820" s="3" t="s">
        <v>38</v>
      </c>
      <c r="E820" s="3" t="s">
        <v>25</v>
      </c>
      <c r="F820" s="3" t="s">
        <v>25</v>
      </c>
      <c r="G820" s="3" t="s">
        <v>25</v>
      </c>
      <c r="H820" s="3" t="s">
        <v>35</v>
      </c>
      <c r="I820" s="6">
        <v>44440</v>
      </c>
      <c r="J820" s="4">
        <v>0</v>
      </c>
      <c r="K820" s="4">
        <v>0</v>
      </c>
      <c r="L820" s="4">
        <v>150.80199999999999</v>
      </c>
      <c r="M820" s="4">
        <v>150.80199999999999</v>
      </c>
      <c r="N820" s="4">
        <v>150.80199999999999</v>
      </c>
      <c r="O820" s="4">
        <v>150.80199999999999</v>
      </c>
      <c r="P820" s="4">
        <v>0</v>
      </c>
      <c r="Q820" s="3" t="s">
        <v>26</v>
      </c>
      <c r="R820" s="3">
        <v>0</v>
      </c>
      <c r="S820" s="3" t="s">
        <v>341</v>
      </c>
      <c r="T820" s="3" t="s">
        <v>616</v>
      </c>
      <c r="U820" s="3">
        <v>0</v>
      </c>
      <c r="V820" s="3">
        <v>21</v>
      </c>
      <c r="W820" s="3">
        <v>89</v>
      </c>
    </row>
    <row r="821" spans="1:23" ht="11.25" customHeight="1" x14ac:dyDescent="0.25">
      <c r="A821" s="3" t="s">
        <v>21</v>
      </c>
      <c r="B821" s="3" t="s">
        <v>41</v>
      </c>
      <c r="C821" s="3" t="s">
        <v>42</v>
      </c>
      <c r="D821" s="3" t="s">
        <v>38</v>
      </c>
      <c r="E821" s="3" t="s">
        <v>25</v>
      </c>
      <c r="F821" s="3" t="s">
        <v>25</v>
      </c>
      <c r="G821" s="3" t="s">
        <v>25</v>
      </c>
      <c r="H821" s="3" t="s">
        <v>35</v>
      </c>
      <c r="I821" s="6">
        <v>44470</v>
      </c>
      <c r="J821" s="4">
        <v>0</v>
      </c>
      <c r="K821" s="4">
        <v>0</v>
      </c>
      <c r="L821" s="4">
        <v>7144.5649999999996</v>
      </c>
      <c r="M821" s="4">
        <v>7144.5649999999996</v>
      </c>
      <c r="N821" s="4">
        <v>7144.5649999999996</v>
      </c>
      <c r="O821" s="4">
        <v>7144.5649999999996</v>
      </c>
      <c r="P821" s="4">
        <v>0</v>
      </c>
      <c r="Q821" s="3" t="s">
        <v>26</v>
      </c>
      <c r="R821" s="3">
        <v>0</v>
      </c>
      <c r="S821" s="3" t="s">
        <v>342</v>
      </c>
      <c r="T821" s="3" t="s">
        <v>617</v>
      </c>
      <c r="U821" s="3">
        <v>0</v>
      </c>
      <c r="V821" s="3">
        <v>21</v>
      </c>
      <c r="W821" s="3">
        <v>89</v>
      </c>
    </row>
    <row r="822" spans="1:23" ht="11.25" customHeight="1" x14ac:dyDescent="0.25">
      <c r="A822" s="3" t="s">
        <v>28</v>
      </c>
      <c r="B822" s="3" t="s">
        <v>41</v>
      </c>
      <c r="C822" s="3" t="s">
        <v>42</v>
      </c>
      <c r="D822" s="3" t="s">
        <v>38</v>
      </c>
      <c r="E822" s="3" t="s">
        <v>25</v>
      </c>
      <c r="F822" s="3" t="s">
        <v>25</v>
      </c>
      <c r="G822" s="3" t="s">
        <v>25</v>
      </c>
      <c r="H822" s="3" t="s">
        <v>35</v>
      </c>
      <c r="I822" s="6">
        <v>44470</v>
      </c>
      <c r="J822" s="4">
        <v>0</v>
      </c>
      <c r="K822" s="4">
        <v>0</v>
      </c>
      <c r="L822" s="4">
        <v>158.21700000000001</v>
      </c>
      <c r="M822" s="4">
        <v>158.21700000000001</v>
      </c>
      <c r="N822" s="4">
        <v>158.21700000000001</v>
      </c>
      <c r="O822" s="4">
        <v>158.21700000000001</v>
      </c>
      <c r="P822" s="4">
        <v>0</v>
      </c>
      <c r="Q822" s="3" t="s">
        <v>26</v>
      </c>
      <c r="R822" s="3">
        <v>0</v>
      </c>
      <c r="S822" s="3" t="s">
        <v>342</v>
      </c>
      <c r="T822" s="3" t="s">
        <v>617</v>
      </c>
      <c r="U822" s="3">
        <v>0</v>
      </c>
      <c r="V822" s="3">
        <v>21</v>
      </c>
      <c r="W822" s="3">
        <v>89</v>
      </c>
    </row>
    <row r="823" spans="1:23" ht="11.25" customHeight="1" x14ac:dyDescent="0.25">
      <c r="A823" s="3" t="s">
        <v>21</v>
      </c>
      <c r="B823" s="3" t="s">
        <v>41</v>
      </c>
      <c r="C823" s="3" t="s">
        <v>42</v>
      </c>
      <c r="D823" s="3" t="s">
        <v>38</v>
      </c>
      <c r="E823" s="3" t="s">
        <v>25</v>
      </c>
      <c r="F823" s="3" t="s">
        <v>25</v>
      </c>
      <c r="G823" s="3" t="s">
        <v>25</v>
      </c>
      <c r="H823" s="3" t="s">
        <v>35</v>
      </c>
      <c r="I823" s="6">
        <v>44501</v>
      </c>
      <c r="J823" s="4">
        <v>0</v>
      </c>
      <c r="K823" s="4">
        <v>0</v>
      </c>
      <c r="L823" s="4">
        <v>6933.7039999999997</v>
      </c>
      <c r="M823" s="4">
        <v>6933.7039999999997</v>
      </c>
      <c r="N823" s="4">
        <v>6933.7039999999997</v>
      </c>
      <c r="O823" s="4">
        <v>6933.7039999999997</v>
      </c>
      <c r="P823" s="4">
        <v>0</v>
      </c>
      <c r="Q823" s="3" t="s">
        <v>26</v>
      </c>
      <c r="R823" s="3">
        <v>0</v>
      </c>
      <c r="S823" s="3" t="s">
        <v>343</v>
      </c>
      <c r="T823" s="3" t="s">
        <v>618</v>
      </c>
      <c r="U823" s="3">
        <v>0</v>
      </c>
      <c r="V823" s="3">
        <v>21</v>
      </c>
      <c r="W823" s="3">
        <v>89</v>
      </c>
    </row>
    <row r="824" spans="1:23" ht="11.25" customHeight="1" x14ac:dyDescent="0.25">
      <c r="A824" s="3" t="s">
        <v>28</v>
      </c>
      <c r="B824" s="3" t="s">
        <v>41</v>
      </c>
      <c r="C824" s="3" t="s">
        <v>42</v>
      </c>
      <c r="D824" s="3" t="s">
        <v>38</v>
      </c>
      <c r="E824" s="3" t="s">
        <v>25</v>
      </c>
      <c r="F824" s="3" t="s">
        <v>25</v>
      </c>
      <c r="G824" s="3" t="s">
        <v>25</v>
      </c>
      <c r="H824" s="3" t="s">
        <v>35</v>
      </c>
      <c r="I824" s="6">
        <v>44501</v>
      </c>
      <c r="J824" s="4">
        <v>0</v>
      </c>
      <c r="K824" s="4">
        <v>0</v>
      </c>
      <c r="L824" s="4">
        <v>148.167</v>
      </c>
      <c r="M824" s="4">
        <v>148.167</v>
      </c>
      <c r="N824" s="4">
        <v>148.167</v>
      </c>
      <c r="O824" s="4">
        <v>148.167</v>
      </c>
      <c r="P824" s="4">
        <v>0</v>
      </c>
      <c r="Q824" s="3" t="s">
        <v>26</v>
      </c>
      <c r="R824" s="3">
        <v>0</v>
      </c>
      <c r="S824" s="3" t="s">
        <v>343</v>
      </c>
      <c r="T824" s="3" t="s">
        <v>618</v>
      </c>
      <c r="U824" s="3">
        <v>0</v>
      </c>
      <c r="V824" s="3">
        <v>21</v>
      </c>
      <c r="W824" s="3">
        <v>89</v>
      </c>
    </row>
    <row r="825" spans="1:23" ht="11.25" customHeight="1" x14ac:dyDescent="0.25">
      <c r="A825" s="3" t="s">
        <v>21</v>
      </c>
      <c r="B825" s="3" t="s">
        <v>41</v>
      </c>
      <c r="C825" s="3" t="s">
        <v>42</v>
      </c>
      <c r="D825" s="3" t="s">
        <v>38</v>
      </c>
      <c r="E825" s="3" t="s">
        <v>25</v>
      </c>
      <c r="F825" s="3" t="s">
        <v>25</v>
      </c>
      <c r="G825" s="3" t="s">
        <v>25</v>
      </c>
      <c r="H825" s="3" t="s">
        <v>35</v>
      </c>
      <c r="I825" s="6">
        <v>44531</v>
      </c>
      <c r="J825" s="4">
        <v>0</v>
      </c>
      <c r="K825" s="4">
        <v>0</v>
      </c>
      <c r="L825" s="4">
        <v>6839.9769999999999</v>
      </c>
      <c r="M825" s="4">
        <v>6839.9769999999999</v>
      </c>
      <c r="N825" s="4">
        <v>6839.9769999999999</v>
      </c>
      <c r="O825" s="4">
        <v>6839.9769999999999</v>
      </c>
      <c r="P825" s="4">
        <v>0</v>
      </c>
      <c r="Q825" s="3" t="s">
        <v>26</v>
      </c>
      <c r="R825" s="3">
        <v>0</v>
      </c>
      <c r="S825" s="3" t="s">
        <v>344</v>
      </c>
      <c r="T825" s="3" t="s">
        <v>619</v>
      </c>
      <c r="U825" s="3">
        <v>0</v>
      </c>
      <c r="V825" s="3">
        <v>21</v>
      </c>
      <c r="W825" s="3">
        <v>89</v>
      </c>
    </row>
    <row r="826" spans="1:23" ht="11.25" customHeight="1" x14ac:dyDescent="0.25">
      <c r="A826" s="3" t="s">
        <v>27</v>
      </c>
      <c r="B826" s="3" t="s">
        <v>41</v>
      </c>
      <c r="C826" s="3" t="s">
        <v>42</v>
      </c>
      <c r="D826" s="3" t="s">
        <v>38</v>
      </c>
      <c r="E826" s="3" t="s">
        <v>25</v>
      </c>
      <c r="F826" s="3" t="s">
        <v>25</v>
      </c>
      <c r="G826" s="3" t="s">
        <v>25</v>
      </c>
      <c r="H826" s="3" t="s">
        <v>35</v>
      </c>
      <c r="I826" s="6">
        <v>44531</v>
      </c>
      <c r="J826" s="4">
        <v>0</v>
      </c>
      <c r="K826" s="4">
        <v>0</v>
      </c>
      <c r="L826" s="4">
        <v>-8.5340000000000007</v>
      </c>
      <c r="M826" s="4">
        <v>-8.5340000000000007</v>
      </c>
      <c r="N826" s="4">
        <v>-8.5340000000000007</v>
      </c>
      <c r="O826" s="4">
        <v>-8.5340000000000007</v>
      </c>
      <c r="P826" s="4">
        <v>0</v>
      </c>
      <c r="Q826" s="3" t="s">
        <v>26</v>
      </c>
      <c r="R826" s="3">
        <v>0</v>
      </c>
      <c r="S826" s="3" t="s">
        <v>344</v>
      </c>
      <c r="T826" s="3" t="s">
        <v>619</v>
      </c>
      <c r="U826" s="3">
        <v>0</v>
      </c>
      <c r="V826" s="3">
        <v>21</v>
      </c>
      <c r="W826" s="3">
        <v>89</v>
      </c>
    </row>
    <row r="827" spans="1:23" ht="11.25" customHeight="1" x14ac:dyDescent="0.25">
      <c r="A827" s="3" t="s">
        <v>28</v>
      </c>
      <c r="B827" s="3" t="s">
        <v>41</v>
      </c>
      <c r="C827" s="3" t="s">
        <v>42</v>
      </c>
      <c r="D827" s="3" t="s">
        <v>38</v>
      </c>
      <c r="E827" s="3" t="s">
        <v>25</v>
      </c>
      <c r="F827" s="3" t="s">
        <v>25</v>
      </c>
      <c r="G827" s="3" t="s">
        <v>25</v>
      </c>
      <c r="H827" s="3" t="s">
        <v>35</v>
      </c>
      <c r="I827" s="6">
        <v>44531</v>
      </c>
      <c r="J827" s="4">
        <v>0</v>
      </c>
      <c r="K827" s="4">
        <v>0</v>
      </c>
      <c r="L827" s="4">
        <v>148.61099999999999</v>
      </c>
      <c r="M827" s="4">
        <v>148.61099999999999</v>
      </c>
      <c r="N827" s="4">
        <v>148.61099999999999</v>
      </c>
      <c r="O827" s="4">
        <v>148.61099999999999</v>
      </c>
      <c r="P827" s="4">
        <v>0</v>
      </c>
      <c r="Q827" s="3" t="s">
        <v>26</v>
      </c>
      <c r="R827" s="3">
        <v>0</v>
      </c>
      <c r="S827" s="3" t="s">
        <v>344</v>
      </c>
      <c r="T827" s="3" t="s">
        <v>619</v>
      </c>
      <c r="U827" s="3">
        <v>0</v>
      </c>
      <c r="V827" s="3">
        <v>21</v>
      </c>
      <c r="W827" s="3">
        <v>89</v>
      </c>
    </row>
    <row r="828" spans="1:23" ht="11.25" customHeight="1" x14ac:dyDescent="0.25">
      <c r="A828" s="3" t="s">
        <v>21</v>
      </c>
      <c r="B828" s="3" t="s">
        <v>41</v>
      </c>
      <c r="C828" s="3" t="s">
        <v>42</v>
      </c>
      <c r="D828" s="3" t="s">
        <v>38</v>
      </c>
      <c r="E828" s="3" t="s">
        <v>25</v>
      </c>
      <c r="F828" s="3" t="s">
        <v>25</v>
      </c>
      <c r="G828" s="3" t="s">
        <v>25</v>
      </c>
      <c r="H828" s="3" t="s">
        <v>35</v>
      </c>
      <c r="I828" s="6">
        <v>44562</v>
      </c>
      <c r="J828" s="4">
        <v>0</v>
      </c>
      <c r="K828" s="4">
        <v>0</v>
      </c>
      <c r="L828" s="4">
        <v>7023.2920000000004</v>
      </c>
      <c r="M828" s="4">
        <v>7023.2920000000004</v>
      </c>
      <c r="N828" s="4">
        <v>7023.2920000000004</v>
      </c>
      <c r="O828" s="4">
        <v>7023.2920000000004</v>
      </c>
      <c r="P828" s="4">
        <v>0</v>
      </c>
      <c r="Q828" s="3" t="s">
        <v>26</v>
      </c>
      <c r="R828" s="3">
        <v>0</v>
      </c>
      <c r="S828" s="3" t="s">
        <v>345</v>
      </c>
      <c r="T828" s="3" t="s">
        <v>620</v>
      </c>
      <c r="U828" s="3">
        <v>0</v>
      </c>
      <c r="V828" s="3">
        <v>21</v>
      </c>
      <c r="W828" s="3">
        <v>89</v>
      </c>
    </row>
    <row r="829" spans="1:23" ht="11.25" customHeight="1" x14ac:dyDescent="0.25">
      <c r="A829" s="3" t="s">
        <v>27</v>
      </c>
      <c r="B829" s="3" t="s">
        <v>41</v>
      </c>
      <c r="C829" s="3" t="s">
        <v>42</v>
      </c>
      <c r="D829" s="3" t="s">
        <v>38</v>
      </c>
      <c r="E829" s="3" t="s">
        <v>25</v>
      </c>
      <c r="F829" s="3" t="s">
        <v>25</v>
      </c>
      <c r="G829" s="3" t="s">
        <v>25</v>
      </c>
      <c r="H829" s="3" t="s">
        <v>35</v>
      </c>
      <c r="I829" s="6">
        <v>44562</v>
      </c>
      <c r="J829" s="4">
        <v>0</v>
      </c>
      <c r="K829" s="4">
        <v>0</v>
      </c>
      <c r="L829" s="4">
        <v>6.4000000000000001E-2</v>
      </c>
      <c r="M829" s="4">
        <v>6.4000000000000001E-2</v>
      </c>
      <c r="N829" s="4">
        <v>6.4000000000000001E-2</v>
      </c>
      <c r="O829" s="4">
        <v>6.4000000000000001E-2</v>
      </c>
      <c r="P829" s="4">
        <v>0</v>
      </c>
      <c r="Q829" s="3" t="s">
        <v>26</v>
      </c>
      <c r="R829" s="3">
        <v>0</v>
      </c>
      <c r="S829" s="3" t="s">
        <v>345</v>
      </c>
      <c r="T829" s="3" t="s">
        <v>620</v>
      </c>
      <c r="U829" s="3">
        <v>0</v>
      </c>
      <c r="V829" s="3">
        <v>21</v>
      </c>
      <c r="W829" s="3">
        <v>89</v>
      </c>
    </row>
    <row r="830" spans="1:23" ht="11.25" customHeight="1" x14ac:dyDescent="0.25">
      <c r="A830" s="3" t="s">
        <v>28</v>
      </c>
      <c r="B830" s="3" t="s">
        <v>41</v>
      </c>
      <c r="C830" s="3" t="s">
        <v>42</v>
      </c>
      <c r="D830" s="3" t="s">
        <v>38</v>
      </c>
      <c r="E830" s="3" t="s">
        <v>25</v>
      </c>
      <c r="F830" s="3" t="s">
        <v>25</v>
      </c>
      <c r="G830" s="3" t="s">
        <v>25</v>
      </c>
      <c r="H830" s="3" t="s">
        <v>35</v>
      </c>
      <c r="I830" s="6">
        <v>44562</v>
      </c>
      <c r="J830" s="4">
        <v>0</v>
      </c>
      <c r="K830" s="4">
        <v>0</v>
      </c>
      <c r="L830" s="4">
        <v>112.259</v>
      </c>
      <c r="M830" s="4">
        <v>112.259</v>
      </c>
      <c r="N830" s="4">
        <v>112.259</v>
      </c>
      <c r="O830" s="4">
        <v>112.259</v>
      </c>
      <c r="P830" s="4">
        <v>0</v>
      </c>
      <c r="Q830" s="3" t="s">
        <v>26</v>
      </c>
      <c r="R830" s="3">
        <v>0</v>
      </c>
      <c r="S830" s="3" t="s">
        <v>345</v>
      </c>
      <c r="T830" s="3" t="s">
        <v>620</v>
      </c>
      <c r="U830" s="3">
        <v>0</v>
      </c>
      <c r="V830" s="3">
        <v>21</v>
      </c>
      <c r="W830" s="3">
        <v>89</v>
      </c>
    </row>
    <row r="831" spans="1:23" ht="11.25" customHeight="1" x14ac:dyDescent="0.25">
      <c r="A831" s="3" t="s">
        <v>21</v>
      </c>
      <c r="B831" s="3" t="s">
        <v>41</v>
      </c>
      <c r="C831" s="3" t="s">
        <v>42</v>
      </c>
      <c r="D831" s="3" t="s">
        <v>38</v>
      </c>
      <c r="E831" s="3" t="s">
        <v>25</v>
      </c>
      <c r="F831" s="3" t="s">
        <v>25</v>
      </c>
      <c r="G831" s="3" t="s">
        <v>25</v>
      </c>
      <c r="H831" s="3" t="s">
        <v>35</v>
      </c>
      <c r="I831" s="6">
        <v>44593</v>
      </c>
      <c r="J831" s="4">
        <v>0</v>
      </c>
      <c r="K831" s="4">
        <v>0</v>
      </c>
      <c r="L831" s="4">
        <v>6454.723</v>
      </c>
      <c r="M831" s="4">
        <v>6454.723</v>
      </c>
      <c r="N831" s="4">
        <v>6454.723</v>
      </c>
      <c r="O831" s="4">
        <v>6454.723</v>
      </c>
      <c r="P831" s="4">
        <v>0</v>
      </c>
      <c r="Q831" s="3" t="s">
        <v>26</v>
      </c>
      <c r="R831" s="3">
        <v>0</v>
      </c>
      <c r="S831" s="3" t="s">
        <v>346</v>
      </c>
      <c r="T831" s="3" t="s">
        <v>621</v>
      </c>
      <c r="U831" s="3">
        <v>0</v>
      </c>
      <c r="V831" s="3">
        <v>21</v>
      </c>
      <c r="W831" s="3">
        <v>89</v>
      </c>
    </row>
    <row r="832" spans="1:23" ht="11.25" customHeight="1" x14ac:dyDescent="0.25">
      <c r="A832" s="3" t="s">
        <v>27</v>
      </c>
      <c r="B832" s="3" t="s">
        <v>41</v>
      </c>
      <c r="C832" s="3" t="s">
        <v>42</v>
      </c>
      <c r="D832" s="3" t="s">
        <v>38</v>
      </c>
      <c r="E832" s="3" t="s">
        <v>25</v>
      </c>
      <c r="F832" s="3" t="s">
        <v>25</v>
      </c>
      <c r="G832" s="3" t="s">
        <v>25</v>
      </c>
      <c r="H832" s="3" t="s">
        <v>35</v>
      </c>
      <c r="I832" s="6">
        <v>44593</v>
      </c>
      <c r="J832" s="4">
        <v>0</v>
      </c>
      <c r="K832" s="4">
        <v>0</v>
      </c>
      <c r="L832" s="4">
        <v>0.376</v>
      </c>
      <c r="M832" s="4">
        <v>0.376</v>
      </c>
      <c r="N832" s="4">
        <v>0.376</v>
      </c>
      <c r="O832" s="4">
        <v>0.376</v>
      </c>
      <c r="P832" s="4">
        <v>0</v>
      </c>
      <c r="Q832" s="3" t="s">
        <v>26</v>
      </c>
      <c r="R832" s="3">
        <v>0</v>
      </c>
      <c r="S832" s="3" t="s">
        <v>346</v>
      </c>
      <c r="T832" s="3" t="s">
        <v>621</v>
      </c>
      <c r="U832" s="3">
        <v>0</v>
      </c>
      <c r="V832" s="3">
        <v>21</v>
      </c>
      <c r="W832" s="3">
        <v>89</v>
      </c>
    </row>
    <row r="833" spans="1:23" ht="11.25" customHeight="1" x14ac:dyDescent="0.25">
      <c r="A833" s="3" t="s">
        <v>28</v>
      </c>
      <c r="B833" s="3" t="s">
        <v>41</v>
      </c>
      <c r="C833" s="3" t="s">
        <v>42</v>
      </c>
      <c r="D833" s="3" t="s">
        <v>38</v>
      </c>
      <c r="E833" s="3" t="s">
        <v>25</v>
      </c>
      <c r="F833" s="3" t="s">
        <v>25</v>
      </c>
      <c r="G833" s="3" t="s">
        <v>25</v>
      </c>
      <c r="H833" s="3" t="s">
        <v>35</v>
      </c>
      <c r="I833" s="6">
        <v>44593</v>
      </c>
      <c r="J833" s="4">
        <v>0</v>
      </c>
      <c r="K833" s="4">
        <v>0</v>
      </c>
      <c r="L833" s="4">
        <v>114.619</v>
      </c>
      <c r="M833" s="4">
        <v>114.619</v>
      </c>
      <c r="N833" s="4">
        <v>114.619</v>
      </c>
      <c r="O833" s="4">
        <v>114.619</v>
      </c>
      <c r="P833" s="4">
        <v>0</v>
      </c>
      <c r="Q833" s="3" t="s">
        <v>26</v>
      </c>
      <c r="R833" s="3">
        <v>0</v>
      </c>
      <c r="S833" s="3" t="s">
        <v>346</v>
      </c>
      <c r="T833" s="3" t="s">
        <v>621</v>
      </c>
      <c r="U833" s="3">
        <v>0</v>
      </c>
      <c r="V833" s="3">
        <v>21</v>
      </c>
      <c r="W833" s="3">
        <v>89</v>
      </c>
    </row>
    <row r="834" spans="1:23" ht="11.25" customHeight="1" x14ac:dyDescent="0.25">
      <c r="A834" s="3" t="s">
        <v>56</v>
      </c>
      <c r="B834" s="3" t="s">
        <v>41</v>
      </c>
      <c r="C834" s="3" t="s">
        <v>42</v>
      </c>
      <c r="D834" s="3" t="s">
        <v>38</v>
      </c>
      <c r="E834" s="3" t="s">
        <v>25</v>
      </c>
      <c r="F834" s="3" t="s">
        <v>25</v>
      </c>
      <c r="G834" s="3" t="s">
        <v>25</v>
      </c>
      <c r="H834" s="3" t="s">
        <v>35</v>
      </c>
      <c r="I834" s="6">
        <v>44621</v>
      </c>
      <c r="J834" s="4">
        <v>0</v>
      </c>
      <c r="K834" s="4">
        <v>0</v>
      </c>
      <c r="L834" s="4">
        <v>6454.723</v>
      </c>
      <c r="M834" s="4">
        <v>6454.723</v>
      </c>
      <c r="N834" s="4">
        <v>6454.723</v>
      </c>
      <c r="O834" s="4">
        <v>6454.723</v>
      </c>
      <c r="P834" s="4">
        <v>0</v>
      </c>
      <c r="Q834" s="3" t="s">
        <v>26</v>
      </c>
      <c r="R834" s="3">
        <v>0</v>
      </c>
      <c r="S834" s="3" t="s">
        <v>347</v>
      </c>
      <c r="T834" s="3" t="s">
        <v>622</v>
      </c>
      <c r="U834" s="3">
        <v>0</v>
      </c>
      <c r="V834" s="3">
        <v>21</v>
      </c>
      <c r="W834" s="3">
        <v>89</v>
      </c>
    </row>
    <row r="835" spans="1:23" ht="11.25" customHeight="1" x14ac:dyDescent="0.25">
      <c r="A835" s="3" t="s">
        <v>56</v>
      </c>
      <c r="B835" s="3" t="s">
        <v>41</v>
      </c>
      <c r="C835" s="3" t="s">
        <v>42</v>
      </c>
      <c r="D835" s="3" t="s">
        <v>38</v>
      </c>
      <c r="E835" s="3" t="s">
        <v>25</v>
      </c>
      <c r="F835" s="3" t="s">
        <v>25</v>
      </c>
      <c r="G835" s="3" t="s">
        <v>25</v>
      </c>
      <c r="H835" s="3" t="s">
        <v>35</v>
      </c>
      <c r="I835" s="6">
        <v>44621</v>
      </c>
      <c r="J835" s="4">
        <v>0</v>
      </c>
      <c r="K835" s="4">
        <v>0</v>
      </c>
      <c r="L835" s="4">
        <v>0.376</v>
      </c>
      <c r="M835" s="4">
        <v>0.376</v>
      </c>
      <c r="N835" s="4">
        <v>0.376</v>
      </c>
      <c r="O835" s="4">
        <v>0.376</v>
      </c>
      <c r="P835" s="4">
        <v>0</v>
      </c>
      <c r="Q835" s="3" t="s">
        <v>26</v>
      </c>
      <c r="R835" s="3">
        <v>0</v>
      </c>
      <c r="S835" s="3" t="s">
        <v>347</v>
      </c>
      <c r="T835" s="3" t="s">
        <v>622</v>
      </c>
      <c r="U835" s="3">
        <v>0</v>
      </c>
      <c r="V835" s="3">
        <v>21</v>
      </c>
      <c r="W835" s="3">
        <v>89</v>
      </c>
    </row>
    <row r="836" spans="1:23" ht="11.25" customHeight="1" x14ac:dyDescent="0.25">
      <c r="A836" s="3" t="s">
        <v>56</v>
      </c>
      <c r="B836" s="3" t="s">
        <v>41</v>
      </c>
      <c r="C836" s="3" t="s">
        <v>42</v>
      </c>
      <c r="D836" s="3" t="s">
        <v>38</v>
      </c>
      <c r="E836" s="3" t="s">
        <v>25</v>
      </c>
      <c r="F836" s="3" t="s">
        <v>25</v>
      </c>
      <c r="G836" s="3" t="s">
        <v>25</v>
      </c>
      <c r="H836" s="3" t="s">
        <v>35</v>
      </c>
      <c r="I836" s="6">
        <v>44621</v>
      </c>
      <c r="J836" s="4">
        <v>0</v>
      </c>
      <c r="K836" s="4">
        <v>0</v>
      </c>
      <c r="L836" s="4">
        <v>114.619</v>
      </c>
      <c r="M836" s="4">
        <v>114.619</v>
      </c>
      <c r="N836" s="4">
        <v>114.619</v>
      </c>
      <c r="O836" s="4">
        <v>114.619</v>
      </c>
      <c r="P836" s="4">
        <v>0</v>
      </c>
      <c r="Q836" s="3" t="s">
        <v>26</v>
      </c>
      <c r="R836" s="3">
        <v>0</v>
      </c>
      <c r="S836" s="3" t="s">
        <v>347</v>
      </c>
      <c r="T836" s="3" t="s">
        <v>622</v>
      </c>
      <c r="U836" s="3">
        <v>0</v>
      </c>
      <c r="V836" s="3">
        <v>21</v>
      </c>
      <c r="W836" s="3">
        <v>89</v>
      </c>
    </row>
    <row r="837" spans="1:23" ht="11.25" customHeight="1" x14ac:dyDescent="0.25">
      <c r="A837" s="3" t="s">
        <v>21</v>
      </c>
      <c r="B837" s="3" t="s">
        <v>41</v>
      </c>
      <c r="C837" s="3" t="s">
        <v>42</v>
      </c>
      <c r="D837" s="3" t="s">
        <v>38</v>
      </c>
      <c r="E837" s="3" t="s">
        <v>25</v>
      </c>
      <c r="F837" s="3" t="s">
        <v>25</v>
      </c>
      <c r="G837" s="3" t="s">
        <v>25</v>
      </c>
      <c r="H837" s="3" t="s">
        <v>25</v>
      </c>
      <c r="I837" s="6">
        <v>44287</v>
      </c>
      <c r="J837" s="4">
        <v>40150</v>
      </c>
      <c r="K837" s="4">
        <v>40150</v>
      </c>
      <c r="L837" s="4">
        <v>0</v>
      </c>
      <c r="M837" s="4">
        <v>0</v>
      </c>
      <c r="N837" s="4">
        <v>0</v>
      </c>
      <c r="O837" s="4">
        <v>0</v>
      </c>
      <c r="P837" s="4">
        <v>211</v>
      </c>
      <c r="Q837" s="3" t="s">
        <v>26</v>
      </c>
      <c r="R837" s="3">
        <v>0</v>
      </c>
      <c r="S837" s="3" t="s">
        <v>348</v>
      </c>
      <c r="U837" s="3">
        <v>44</v>
      </c>
      <c r="V837" s="3">
        <v>0</v>
      </c>
      <c r="W837" s="3">
        <v>0</v>
      </c>
    </row>
    <row r="838" spans="1:23" ht="11.25" customHeight="1" x14ac:dyDescent="0.25">
      <c r="A838" s="3" t="s">
        <v>28</v>
      </c>
      <c r="B838" s="3" t="s">
        <v>41</v>
      </c>
      <c r="C838" s="3" t="s">
        <v>42</v>
      </c>
      <c r="D838" s="3" t="s">
        <v>38</v>
      </c>
      <c r="E838" s="3" t="s">
        <v>25</v>
      </c>
      <c r="F838" s="3" t="s">
        <v>25</v>
      </c>
      <c r="G838" s="3" t="s">
        <v>25</v>
      </c>
      <c r="H838" s="3" t="s">
        <v>25</v>
      </c>
      <c r="I838" s="6">
        <v>44287</v>
      </c>
      <c r="J838" s="4">
        <v>635</v>
      </c>
      <c r="K838" s="4">
        <v>635</v>
      </c>
      <c r="L838" s="4">
        <v>0</v>
      </c>
      <c r="M838" s="4">
        <v>0</v>
      </c>
      <c r="N838" s="4">
        <v>0</v>
      </c>
      <c r="O838" s="4">
        <v>0</v>
      </c>
      <c r="P838" s="4">
        <v>3</v>
      </c>
      <c r="Q838" s="3" t="s">
        <v>26</v>
      </c>
      <c r="R838" s="3">
        <v>0</v>
      </c>
      <c r="S838" s="3" t="s">
        <v>348</v>
      </c>
      <c r="U838" s="3">
        <v>44</v>
      </c>
      <c r="V838" s="3">
        <v>0</v>
      </c>
      <c r="W838" s="3">
        <v>0</v>
      </c>
    </row>
    <row r="839" spans="1:23" ht="11.25" customHeight="1" x14ac:dyDescent="0.25">
      <c r="A839" s="3" t="s">
        <v>21</v>
      </c>
      <c r="B839" s="3" t="s">
        <v>41</v>
      </c>
      <c r="C839" s="3" t="s">
        <v>42</v>
      </c>
      <c r="D839" s="3" t="s">
        <v>38</v>
      </c>
      <c r="E839" s="3" t="s">
        <v>25</v>
      </c>
      <c r="F839" s="3" t="s">
        <v>25</v>
      </c>
      <c r="G839" s="3" t="s">
        <v>25</v>
      </c>
      <c r="H839" s="3" t="s">
        <v>25</v>
      </c>
      <c r="I839" s="6">
        <v>44317</v>
      </c>
      <c r="J839" s="4">
        <v>37710</v>
      </c>
      <c r="K839" s="4">
        <v>37710</v>
      </c>
      <c r="L839" s="4">
        <v>0</v>
      </c>
      <c r="M839" s="4">
        <v>0</v>
      </c>
      <c r="N839" s="4">
        <v>0</v>
      </c>
      <c r="O839" s="4">
        <v>0</v>
      </c>
      <c r="P839" s="4">
        <v>206</v>
      </c>
      <c r="Q839" s="3" t="s">
        <v>26</v>
      </c>
      <c r="R839" s="3">
        <v>0</v>
      </c>
      <c r="S839" s="3" t="s">
        <v>349</v>
      </c>
      <c r="U839" s="3">
        <v>44</v>
      </c>
      <c r="V839" s="3">
        <v>0</v>
      </c>
      <c r="W839" s="3">
        <v>0</v>
      </c>
    </row>
    <row r="840" spans="1:23" ht="11.25" customHeight="1" x14ac:dyDescent="0.25">
      <c r="A840" s="3" t="s">
        <v>28</v>
      </c>
      <c r="B840" s="3" t="s">
        <v>41</v>
      </c>
      <c r="C840" s="3" t="s">
        <v>42</v>
      </c>
      <c r="D840" s="3" t="s">
        <v>38</v>
      </c>
      <c r="E840" s="3" t="s">
        <v>25</v>
      </c>
      <c r="F840" s="3" t="s">
        <v>25</v>
      </c>
      <c r="G840" s="3" t="s">
        <v>25</v>
      </c>
      <c r="H840" s="3" t="s">
        <v>25</v>
      </c>
      <c r="I840" s="6">
        <v>44317</v>
      </c>
      <c r="J840" s="4">
        <v>1356</v>
      </c>
      <c r="K840" s="4">
        <v>1356</v>
      </c>
      <c r="L840" s="4">
        <v>0</v>
      </c>
      <c r="M840" s="4">
        <v>0</v>
      </c>
      <c r="N840" s="4">
        <v>0</v>
      </c>
      <c r="O840" s="4">
        <v>0</v>
      </c>
      <c r="P840" s="4">
        <v>4</v>
      </c>
      <c r="Q840" s="3" t="s">
        <v>26</v>
      </c>
      <c r="R840" s="3">
        <v>0</v>
      </c>
      <c r="S840" s="3" t="s">
        <v>349</v>
      </c>
      <c r="U840" s="3">
        <v>44</v>
      </c>
      <c r="V840" s="3">
        <v>0</v>
      </c>
      <c r="W840" s="3">
        <v>0</v>
      </c>
    </row>
    <row r="841" spans="1:23" ht="11.25" customHeight="1" x14ac:dyDescent="0.25">
      <c r="A841" s="3" t="s">
        <v>21</v>
      </c>
      <c r="B841" s="3" t="s">
        <v>41</v>
      </c>
      <c r="C841" s="3" t="s">
        <v>42</v>
      </c>
      <c r="D841" s="3" t="s">
        <v>38</v>
      </c>
      <c r="E841" s="3" t="s">
        <v>25</v>
      </c>
      <c r="F841" s="3" t="s">
        <v>25</v>
      </c>
      <c r="G841" s="3" t="s">
        <v>25</v>
      </c>
      <c r="H841" s="3" t="s">
        <v>25</v>
      </c>
      <c r="I841" s="6">
        <v>44348</v>
      </c>
      <c r="J841" s="4">
        <v>35827</v>
      </c>
      <c r="K841" s="4">
        <v>35827</v>
      </c>
      <c r="L841" s="4">
        <v>0</v>
      </c>
      <c r="M841" s="4">
        <v>0</v>
      </c>
      <c r="N841" s="4">
        <v>0</v>
      </c>
      <c r="O841" s="4">
        <v>0</v>
      </c>
      <c r="P841" s="4">
        <v>203</v>
      </c>
      <c r="Q841" s="3" t="s">
        <v>26</v>
      </c>
      <c r="R841" s="3">
        <v>0</v>
      </c>
      <c r="S841" s="3" t="s">
        <v>350</v>
      </c>
      <c r="U841" s="3">
        <v>44</v>
      </c>
      <c r="V841" s="3">
        <v>0</v>
      </c>
      <c r="W841" s="3">
        <v>0</v>
      </c>
    </row>
    <row r="842" spans="1:23" ht="11.25" customHeight="1" x14ac:dyDescent="0.25">
      <c r="A842" s="3" t="s">
        <v>28</v>
      </c>
      <c r="B842" s="3" t="s">
        <v>41</v>
      </c>
      <c r="C842" s="3" t="s">
        <v>42</v>
      </c>
      <c r="D842" s="3" t="s">
        <v>38</v>
      </c>
      <c r="E842" s="3" t="s">
        <v>25</v>
      </c>
      <c r="F842" s="3" t="s">
        <v>25</v>
      </c>
      <c r="G842" s="3" t="s">
        <v>25</v>
      </c>
      <c r="H842" s="3" t="s">
        <v>25</v>
      </c>
      <c r="I842" s="6">
        <v>44348</v>
      </c>
      <c r="J842" s="4">
        <v>1376</v>
      </c>
      <c r="K842" s="4">
        <v>1376</v>
      </c>
      <c r="L842" s="4">
        <v>0</v>
      </c>
      <c r="M842" s="4">
        <v>0</v>
      </c>
      <c r="N842" s="4">
        <v>0</v>
      </c>
      <c r="O842" s="4">
        <v>0</v>
      </c>
      <c r="P842" s="4">
        <v>4</v>
      </c>
      <c r="Q842" s="3" t="s">
        <v>26</v>
      </c>
      <c r="R842" s="3">
        <v>0</v>
      </c>
      <c r="S842" s="3" t="s">
        <v>350</v>
      </c>
      <c r="U842" s="3">
        <v>44</v>
      </c>
      <c r="V842" s="3">
        <v>0</v>
      </c>
      <c r="W842" s="3">
        <v>0</v>
      </c>
    </row>
    <row r="843" spans="1:23" ht="11.25" customHeight="1" x14ac:dyDescent="0.25">
      <c r="A843" s="3" t="s">
        <v>21</v>
      </c>
      <c r="B843" s="3" t="s">
        <v>41</v>
      </c>
      <c r="C843" s="3" t="s">
        <v>42</v>
      </c>
      <c r="D843" s="3" t="s">
        <v>38</v>
      </c>
      <c r="E843" s="3" t="s">
        <v>25</v>
      </c>
      <c r="F843" s="3" t="s">
        <v>25</v>
      </c>
      <c r="G843" s="3" t="s">
        <v>25</v>
      </c>
      <c r="H843" s="3" t="s">
        <v>25</v>
      </c>
      <c r="I843" s="6">
        <v>44378</v>
      </c>
      <c r="J843" s="4">
        <v>35181</v>
      </c>
      <c r="K843" s="4">
        <v>35181</v>
      </c>
      <c r="L843" s="4">
        <v>0</v>
      </c>
      <c r="M843" s="4">
        <v>0</v>
      </c>
      <c r="N843" s="4">
        <v>0</v>
      </c>
      <c r="O843" s="4">
        <v>0</v>
      </c>
      <c r="P843" s="4">
        <v>199</v>
      </c>
      <c r="Q843" s="3" t="s">
        <v>26</v>
      </c>
      <c r="R843" s="3">
        <v>0</v>
      </c>
      <c r="S843" s="3" t="s">
        <v>351</v>
      </c>
      <c r="U843" s="3">
        <v>44</v>
      </c>
      <c r="V843" s="3">
        <v>0</v>
      </c>
      <c r="W843" s="3">
        <v>0</v>
      </c>
    </row>
    <row r="844" spans="1:23" ht="11.25" customHeight="1" x14ac:dyDescent="0.25">
      <c r="A844" s="3" t="s">
        <v>28</v>
      </c>
      <c r="B844" s="3" t="s">
        <v>41</v>
      </c>
      <c r="C844" s="3" t="s">
        <v>42</v>
      </c>
      <c r="D844" s="3" t="s">
        <v>38</v>
      </c>
      <c r="E844" s="3" t="s">
        <v>25</v>
      </c>
      <c r="F844" s="3" t="s">
        <v>25</v>
      </c>
      <c r="G844" s="3" t="s">
        <v>25</v>
      </c>
      <c r="H844" s="3" t="s">
        <v>25</v>
      </c>
      <c r="I844" s="6">
        <v>44378</v>
      </c>
      <c r="J844" s="4">
        <v>1366</v>
      </c>
      <c r="K844" s="4">
        <v>1366</v>
      </c>
      <c r="L844" s="4">
        <v>0</v>
      </c>
      <c r="M844" s="4">
        <v>0</v>
      </c>
      <c r="N844" s="4">
        <v>0</v>
      </c>
      <c r="O844" s="4">
        <v>0</v>
      </c>
      <c r="P844" s="4">
        <v>4</v>
      </c>
      <c r="Q844" s="3" t="s">
        <v>26</v>
      </c>
      <c r="R844" s="3">
        <v>0</v>
      </c>
      <c r="S844" s="3" t="s">
        <v>351</v>
      </c>
      <c r="U844" s="3">
        <v>44</v>
      </c>
      <c r="V844" s="3">
        <v>0</v>
      </c>
      <c r="W844" s="3">
        <v>0</v>
      </c>
    </row>
    <row r="845" spans="1:23" ht="11.25" customHeight="1" x14ac:dyDescent="0.25">
      <c r="A845" s="3" t="s">
        <v>21</v>
      </c>
      <c r="B845" s="3" t="s">
        <v>41</v>
      </c>
      <c r="C845" s="3" t="s">
        <v>42</v>
      </c>
      <c r="D845" s="3" t="s">
        <v>38</v>
      </c>
      <c r="E845" s="3" t="s">
        <v>25</v>
      </c>
      <c r="F845" s="3" t="s">
        <v>25</v>
      </c>
      <c r="G845" s="3" t="s">
        <v>25</v>
      </c>
      <c r="H845" s="3" t="s">
        <v>25</v>
      </c>
      <c r="I845" s="6">
        <v>44409</v>
      </c>
      <c r="J845" s="4">
        <v>33861</v>
      </c>
      <c r="K845" s="4">
        <v>33861</v>
      </c>
      <c r="L845" s="4">
        <v>0</v>
      </c>
      <c r="M845" s="4">
        <v>0</v>
      </c>
      <c r="N845" s="4">
        <v>0</v>
      </c>
      <c r="O845" s="4">
        <v>0</v>
      </c>
      <c r="P845" s="4">
        <v>198</v>
      </c>
      <c r="Q845" s="3" t="s">
        <v>26</v>
      </c>
      <c r="R845" s="3">
        <v>0</v>
      </c>
      <c r="S845" s="3" t="s">
        <v>352</v>
      </c>
      <c r="U845" s="3">
        <v>44</v>
      </c>
      <c r="V845" s="3">
        <v>0</v>
      </c>
      <c r="W845" s="3">
        <v>0</v>
      </c>
    </row>
    <row r="846" spans="1:23" ht="11.25" customHeight="1" x14ac:dyDescent="0.25">
      <c r="A846" s="3" t="s">
        <v>28</v>
      </c>
      <c r="B846" s="3" t="s">
        <v>41</v>
      </c>
      <c r="C846" s="3" t="s">
        <v>42</v>
      </c>
      <c r="D846" s="3" t="s">
        <v>38</v>
      </c>
      <c r="E846" s="3" t="s">
        <v>25</v>
      </c>
      <c r="F846" s="3" t="s">
        <v>25</v>
      </c>
      <c r="G846" s="3" t="s">
        <v>25</v>
      </c>
      <c r="H846" s="3" t="s">
        <v>25</v>
      </c>
      <c r="I846" s="6">
        <v>44409</v>
      </c>
      <c r="J846" s="4">
        <v>1643</v>
      </c>
      <c r="K846" s="4">
        <v>1643</v>
      </c>
      <c r="L846" s="4">
        <v>0</v>
      </c>
      <c r="M846" s="4">
        <v>0</v>
      </c>
      <c r="N846" s="4">
        <v>0</v>
      </c>
      <c r="O846" s="4">
        <v>0</v>
      </c>
      <c r="P846" s="4">
        <v>5</v>
      </c>
      <c r="Q846" s="3" t="s">
        <v>26</v>
      </c>
      <c r="R846" s="3">
        <v>0</v>
      </c>
      <c r="S846" s="3" t="s">
        <v>352</v>
      </c>
      <c r="U846" s="3">
        <v>44</v>
      </c>
      <c r="V846" s="3">
        <v>0</v>
      </c>
      <c r="W846" s="3">
        <v>0</v>
      </c>
    </row>
    <row r="847" spans="1:23" ht="11.25" customHeight="1" x14ac:dyDescent="0.25">
      <c r="A847" s="3" t="s">
        <v>21</v>
      </c>
      <c r="B847" s="3" t="s">
        <v>41</v>
      </c>
      <c r="C847" s="3" t="s">
        <v>42</v>
      </c>
      <c r="D847" s="3" t="s">
        <v>38</v>
      </c>
      <c r="E847" s="3" t="s">
        <v>25</v>
      </c>
      <c r="F847" s="3" t="s">
        <v>25</v>
      </c>
      <c r="G847" s="3" t="s">
        <v>25</v>
      </c>
      <c r="H847" s="3" t="s">
        <v>25</v>
      </c>
      <c r="I847" s="6">
        <v>44409</v>
      </c>
      <c r="J847" s="4">
        <v>719</v>
      </c>
      <c r="K847" s="4">
        <v>719</v>
      </c>
      <c r="L847" s="4">
        <v>0</v>
      </c>
      <c r="M847" s="4">
        <v>0</v>
      </c>
      <c r="N847" s="4">
        <v>0</v>
      </c>
      <c r="O847" s="4">
        <v>0</v>
      </c>
      <c r="P847" s="4">
        <v>1</v>
      </c>
      <c r="Q847" s="3" t="s">
        <v>57</v>
      </c>
      <c r="R847" s="3">
        <v>0</v>
      </c>
      <c r="S847" s="3" t="s">
        <v>352</v>
      </c>
      <c r="U847" s="3">
        <v>44</v>
      </c>
      <c r="V847" s="3">
        <v>0</v>
      </c>
      <c r="W847" s="3">
        <v>0</v>
      </c>
    </row>
    <row r="848" spans="1:23" ht="11.25" customHeight="1" x14ac:dyDescent="0.25">
      <c r="A848" s="3" t="s">
        <v>21</v>
      </c>
      <c r="B848" s="3" t="s">
        <v>41</v>
      </c>
      <c r="C848" s="3" t="s">
        <v>42</v>
      </c>
      <c r="D848" s="3" t="s">
        <v>38</v>
      </c>
      <c r="E848" s="3" t="s">
        <v>25</v>
      </c>
      <c r="F848" s="3" t="s">
        <v>25</v>
      </c>
      <c r="G848" s="3" t="s">
        <v>25</v>
      </c>
      <c r="H848" s="3" t="s">
        <v>25</v>
      </c>
      <c r="I848" s="6">
        <v>44440</v>
      </c>
      <c r="J848" s="4">
        <v>33643</v>
      </c>
      <c r="K848" s="4">
        <v>33643</v>
      </c>
      <c r="L848" s="4">
        <v>0</v>
      </c>
      <c r="M848" s="4">
        <v>0</v>
      </c>
      <c r="N848" s="4">
        <v>0</v>
      </c>
      <c r="O848" s="4">
        <v>0</v>
      </c>
      <c r="P848" s="4">
        <v>197</v>
      </c>
      <c r="Q848" s="3" t="s">
        <v>26</v>
      </c>
      <c r="R848" s="3">
        <v>0</v>
      </c>
      <c r="S848" s="3" t="s">
        <v>353</v>
      </c>
      <c r="U848" s="3">
        <v>44</v>
      </c>
      <c r="V848" s="3">
        <v>0</v>
      </c>
      <c r="W848" s="3">
        <v>0</v>
      </c>
    </row>
    <row r="849" spans="1:23" ht="11.25" customHeight="1" x14ac:dyDescent="0.25">
      <c r="A849" s="3" t="s">
        <v>28</v>
      </c>
      <c r="B849" s="3" t="s">
        <v>41</v>
      </c>
      <c r="C849" s="3" t="s">
        <v>42</v>
      </c>
      <c r="D849" s="3" t="s">
        <v>38</v>
      </c>
      <c r="E849" s="3" t="s">
        <v>25</v>
      </c>
      <c r="F849" s="3" t="s">
        <v>25</v>
      </c>
      <c r="G849" s="3" t="s">
        <v>25</v>
      </c>
      <c r="H849" s="3" t="s">
        <v>25</v>
      </c>
      <c r="I849" s="6">
        <v>44440</v>
      </c>
      <c r="J849" s="4">
        <v>1737</v>
      </c>
      <c r="K849" s="4">
        <v>1737</v>
      </c>
      <c r="L849" s="4">
        <v>0</v>
      </c>
      <c r="M849" s="4">
        <v>0</v>
      </c>
      <c r="N849" s="4">
        <v>0</v>
      </c>
      <c r="O849" s="4">
        <v>0</v>
      </c>
      <c r="P849" s="4">
        <v>6</v>
      </c>
      <c r="Q849" s="3" t="s">
        <v>26</v>
      </c>
      <c r="R849" s="3">
        <v>0</v>
      </c>
      <c r="S849" s="3" t="s">
        <v>353</v>
      </c>
      <c r="U849" s="3">
        <v>44</v>
      </c>
      <c r="V849" s="3">
        <v>0</v>
      </c>
      <c r="W849" s="3">
        <v>0</v>
      </c>
    </row>
    <row r="850" spans="1:23" ht="11.25" customHeight="1" x14ac:dyDescent="0.25">
      <c r="A850" s="3" t="s">
        <v>21</v>
      </c>
      <c r="B850" s="3" t="s">
        <v>41</v>
      </c>
      <c r="C850" s="3" t="s">
        <v>42</v>
      </c>
      <c r="D850" s="3" t="s">
        <v>38</v>
      </c>
      <c r="E850" s="3" t="s">
        <v>25</v>
      </c>
      <c r="F850" s="3" t="s">
        <v>25</v>
      </c>
      <c r="G850" s="3" t="s">
        <v>25</v>
      </c>
      <c r="H850" s="3" t="s">
        <v>25</v>
      </c>
      <c r="I850" s="6">
        <v>44470</v>
      </c>
      <c r="J850" s="4">
        <v>33559</v>
      </c>
      <c r="K850" s="4">
        <v>33559</v>
      </c>
      <c r="L850" s="4">
        <v>0</v>
      </c>
      <c r="M850" s="4">
        <v>0</v>
      </c>
      <c r="N850" s="4">
        <v>0</v>
      </c>
      <c r="O850" s="4">
        <v>0</v>
      </c>
      <c r="P850" s="4">
        <v>197</v>
      </c>
      <c r="Q850" s="3" t="s">
        <v>26</v>
      </c>
      <c r="R850" s="3">
        <v>0</v>
      </c>
      <c r="S850" s="3" t="s">
        <v>354</v>
      </c>
      <c r="U850" s="3">
        <v>44</v>
      </c>
      <c r="V850" s="3">
        <v>0</v>
      </c>
      <c r="W850" s="3">
        <v>0</v>
      </c>
    </row>
    <row r="851" spans="1:23" ht="11.25" customHeight="1" x14ac:dyDescent="0.25">
      <c r="A851" s="3" t="s">
        <v>28</v>
      </c>
      <c r="B851" s="3" t="s">
        <v>41</v>
      </c>
      <c r="C851" s="3" t="s">
        <v>42</v>
      </c>
      <c r="D851" s="3" t="s">
        <v>38</v>
      </c>
      <c r="E851" s="3" t="s">
        <v>25</v>
      </c>
      <c r="F851" s="3" t="s">
        <v>25</v>
      </c>
      <c r="G851" s="3" t="s">
        <v>25</v>
      </c>
      <c r="H851" s="3" t="s">
        <v>25</v>
      </c>
      <c r="I851" s="6">
        <v>44470</v>
      </c>
      <c r="J851" s="4">
        <v>1805</v>
      </c>
      <c r="K851" s="4">
        <v>1805</v>
      </c>
      <c r="L851" s="4">
        <v>0</v>
      </c>
      <c r="M851" s="4">
        <v>0</v>
      </c>
      <c r="N851" s="4">
        <v>0</v>
      </c>
      <c r="O851" s="4">
        <v>0</v>
      </c>
      <c r="P851" s="4">
        <v>7</v>
      </c>
      <c r="Q851" s="3" t="s">
        <v>26</v>
      </c>
      <c r="R851" s="3">
        <v>0</v>
      </c>
      <c r="S851" s="3" t="s">
        <v>354</v>
      </c>
      <c r="U851" s="3">
        <v>44</v>
      </c>
      <c r="V851" s="3">
        <v>0</v>
      </c>
      <c r="W851" s="3">
        <v>0</v>
      </c>
    </row>
    <row r="852" spans="1:23" ht="11.25" customHeight="1" x14ac:dyDescent="0.25">
      <c r="A852" s="3" t="s">
        <v>21</v>
      </c>
      <c r="B852" s="3" t="s">
        <v>41</v>
      </c>
      <c r="C852" s="3" t="s">
        <v>42</v>
      </c>
      <c r="D852" s="3" t="s">
        <v>38</v>
      </c>
      <c r="E852" s="3" t="s">
        <v>25</v>
      </c>
      <c r="F852" s="3" t="s">
        <v>25</v>
      </c>
      <c r="G852" s="3" t="s">
        <v>25</v>
      </c>
      <c r="H852" s="3" t="s">
        <v>25</v>
      </c>
      <c r="I852" s="6">
        <v>44501</v>
      </c>
      <c r="J852" s="4">
        <v>33780</v>
      </c>
      <c r="K852" s="4">
        <v>33780</v>
      </c>
      <c r="L852" s="4">
        <v>0</v>
      </c>
      <c r="M852" s="4">
        <v>0</v>
      </c>
      <c r="N852" s="4">
        <v>0</v>
      </c>
      <c r="O852" s="4">
        <v>0</v>
      </c>
      <c r="P852" s="4">
        <v>197</v>
      </c>
      <c r="Q852" s="3" t="s">
        <v>26</v>
      </c>
      <c r="R852" s="3">
        <v>0</v>
      </c>
      <c r="S852" s="3" t="s">
        <v>355</v>
      </c>
      <c r="U852" s="3">
        <v>44</v>
      </c>
      <c r="V852" s="3">
        <v>0</v>
      </c>
      <c r="W852" s="3">
        <v>0</v>
      </c>
    </row>
    <row r="853" spans="1:23" ht="11.25" customHeight="1" x14ac:dyDescent="0.25">
      <c r="A853" s="3" t="s">
        <v>28</v>
      </c>
      <c r="B853" s="3" t="s">
        <v>41</v>
      </c>
      <c r="C853" s="3" t="s">
        <v>42</v>
      </c>
      <c r="D853" s="3" t="s">
        <v>38</v>
      </c>
      <c r="E853" s="3" t="s">
        <v>25</v>
      </c>
      <c r="F853" s="3" t="s">
        <v>25</v>
      </c>
      <c r="G853" s="3" t="s">
        <v>25</v>
      </c>
      <c r="H853" s="3" t="s">
        <v>25</v>
      </c>
      <c r="I853" s="6">
        <v>44501</v>
      </c>
      <c r="J853" s="4">
        <v>1801</v>
      </c>
      <c r="K853" s="4">
        <v>1801</v>
      </c>
      <c r="L853" s="4">
        <v>0</v>
      </c>
      <c r="M853" s="4">
        <v>0</v>
      </c>
      <c r="N853" s="4">
        <v>0</v>
      </c>
      <c r="O853" s="4">
        <v>0</v>
      </c>
      <c r="P853" s="4">
        <v>7</v>
      </c>
      <c r="Q853" s="3" t="s">
        <v>26</v>
      </c>
      <c r="R853" s="3">
        <v>0</v>
      </c>
      <c r="S853" s="3" t="s">
        <v>355</v>
      </c>
      <c r="U853" s="3">
        <v>44</v>
      </c>
      <c r="V853" s="3">
        <v>0</v>
      </c>
      <c r="W853" s="3">
        <v>0</v>
      </c>
    </row>
    <row r="854" spans="1:23" ht="11.25" customHeight="1" x14ac:dyDescent="0.25">
      <c r="A854" s="3" t="s">
        <v>21</v>
      </c>
      <c r="B854" s="3" t="s">
        <v>41</v>
      </c>
      <c r="C854" s="3" t="s">
        <v>42</v>
      </c>
      <c r="D854" s="3" t="s">
        <v>38</v>
      </c>
      <c r="E854" s="3" t="s">
        <v>25</v>
      </c>
      <c r="F854" s="3" t="s">
        <v>25</v>
      </c>
      <c r="G854" s="3" t="s">
        <v>25</v>
      </c>
      <c r="H854" s="3" t="s">
        <v>25</v>
      </c>
      <c r="I854" s="6">
        <v>44531</v>
      </c>
      <c r="J854" s="4">
        <v>33262</v>
      </c>
      <c r="K854" s="4">
        <v>33262</v>
      </c>
      <c r="L854" s="4">
        <v>0</v>
      </c>
      <c r="M854" s="4">
        <v>0</v>
      </c>
      <c r="N854" s="4">
        <v>0</v>
      </c>
      <c r="O854" s="4">
        <v>0</v>
      </c>
      <c r="P854" s="4">
        <v>191</v>
      </c>
      <c r="Q854" s="3" t="s">
        <v>26</v>
      </c>
      <c r="R854" s="3">
        <v>0</v>
      </c>
      <c r="S854" s="3" t="s">
        <v>356</v>
      </c>
      <c r="U854" s="3">
        <v>44</v>
      </c>
      <c r="V854" s="3">
        <v>0</v>
      </c>
      <c r="W854" s="3">
        <v>0</v>
      </c>
    </row>
    <row r="855" spans="1:23" ht="11.25" customHeight="1" x14ac:dyDescent="0.25">
      <c r="A855" s="3" t="s">
        <v>28</v>
      </c>
      <c r="B855" s="3" t="s">
        <v>41</v>
      </c>
      <c r="C855" s="3" t="s">
        <v>42</v>
      </c>
      <c r="D855" s="3" t="s">
        <v>38</v>
      </c>
      <c r="E855" s="3" t="s">
        <v>25</v>
      </c>
      <c r="F855" s="3" t="s">
        <v>25</v>
      </c>
      <c r="G855" s="3" t="s">
        <v>25</v>
      </c>
      <c r="H855" s="3" t="s">
        <v>25</v>
      </c>
      <c r="I855" s="6">
        <v>44531</v>
      </c>
      <c r="J855" s="4">
        <v>1857</v>
      </c>
      <c r="K855" s="4">
        <v>1857</v>
      </c>
      <c r="L855" s="4">
        <v>0</v>
      </c>
      <c r="M855" s="4">
        <v>0</v>
      </c>
      <c r="N855" s="4">
        <v>0</v>
      </c>
      <c r="O855" s="4">
        <v>0</v>
      </c>
      <c r="P855" s="4">
        <v>7</v>
      </c>
      <c r="Q855" s="3" t="s">
        <v>26</v>
      </c>
      <c r="R855" s="3">
        <v>0</v>
      </c>
      <c r="S855" s="3" t="s">
        <v>356</v>
      </c>
      <c r="U855" s="3">
        <v>44</v>
      </c>
      <c r="V855" s="3">
        <v>0</v>
      </c>
      <c r="W855" s="3">
        <v>0</v>
      </c>
    </row>
    <row r="856" spans="1:23" ht="11.25" customHeight="1" x14ac:dyDescent="0.25">
      <c r="A856" s="3" t="s">
        <v>21</v>
      </c>
      <c r="B856" s="3" t="s">
        <v>41</v>
      </c>
      <c r="C856" s="3" t="s">
        <v>42</v>
      </c>
      <c r="D856" s="3" t="s">
        <v>38</v>
      </c>
      <c r="E856" s="3" t="s">
        <v>25</v>
      </c>
      <c r="F856" s="3" t="s">
        <v>25</v>
      </c>
      <c r="G856" s="3" t="s">
        <v>25</v>
      </c>
      <c r="H856" s="3" t="s">
        <v>25</v>
      </c>
      <c r="I856" s="6">
        <v>44562</v>
      </c>
      <c r="J856" s="4">
        <v>33117</v>
      </c>
      <c r="K856" s="4">
        <v>33117</v>
      </c>
      <c r="L856" s="4">
        <v>0</v>
      </c>
      <c r="M856" s="4">
        <v>0</v>
      </c>
      <c r="N856" s="4">
        <v>0</v>
      </c>
      <c r="O856" s="4">
        <v>0</v>
      </c>
      <c r="P856" s="4">
        <v>191</v>
      </c>
      <c r="Q856" s="3" t="s">
        <v>26</v>
      </c>
      <c r="R856" s="3">
        <v>0</v>
      </c>
      <c r="S856" s="3" t="s">
        <v>357</v>
      </c>
      <c r="U856" s="3">
        <v>44</v>
      </c>
      <c r="V856" s="3">
        <v>0</v>
      </c>
      <c r="W856" s="3">
        <v>0</v>
      </c>
    </row>
    <row r="857" spans="1:23" ht="11.25" customHeight="1" x14ac:dyDescent="0.25">
      <c r="A857" s="3" t="s">
        <v>28</v>
      </c>
      <c r="B857" s="3" t="s">
        <v>41</v>
      </c>
      <c r="C857" s="3" t="s">
        <v>42</v>
      </c>
      <c r="D857" s="3" t="s">
        <v>38</v>
      </c>
      <c r="E857" s="3" t="s">
        <v>25</v>
      </c>
      <c r="F857" s="3" t="s">
        <v>25</v>
      </c>
      <c r="G857" s="3" t="s">
        <v>25</v>
      </c>
      <c r="H857" s="3" t="s">
        <v>25</v>
      </c>
      <c r="I857" s="6">
        <v>44562</v>
      </c>
      <c r="J857" s="4">
        <v>1761</v>
      </c>
      <c r="K857" s="4">
        <v>1761</v>
      </c>
      <c r="L857" s="4">
        <v>0</v>
      </c>
      <c r="M857" s="4">
        <v>0</v>
      </c>
      <c r="N857" s="4">
        <v>0</v>
      </c>
      <c r="O857" s="4">
        <v>0</v>
      </c>
      <c r="P857" s="4">
        <v>7</v>
      </c>
      <c r="Q857" s="3" t="s">
        <v>26</v>
      </c>
      <c r="R857" s="3">
        <v>0</v>
      </c>
      <c r="S857" s="3" t="s">
        <v>357</v>
      </c>
      <c r="U857" s="3">
        <v>44</v>
      </c>
      <c r="V857" s="3">
        <v>0</v>
      </c>
      <c r="W857" s="3">
        <v>0</v>
      </c>
    </row>
    <row r="858" spans="1:23" ht="11.25" customHeight="1" x14ac:dyDescent="0.25">
      <c r="A858" s="3" t="s">
        <v>21</v>
      </c>
      <c r="B858" s="3" t="s">
        <v>41</v>
      </c>
      <c r="C858" s="3" t="s">
        <v>42</v>
      </c>
      <c r="D858" s="3" t="s">
        <v>38</v>
      </c>
      <c r="E858" s="3" t="s">
        <v>25</v>
      </c>
      <c r="F858" s="3" t="s">
        <v>25</v>
      </c>
      <c r="G858" s="3" t="s">
        <v>25</v>
      </c>
      <c r="H858" s="3" t="s">
        <v>25</v>
      </c>
      <c r="I858" s="6">
        <v>44593</v>
      </c>
      <c r="J858" s="4">
        <v>33184</v>
      </c>
      <c r="K858" s="4">
        <v>33184</v>
      </c>
      <c r="L858" s="4">
        <v>0</v>
      </c>
      <c r="M858" s="4">
        <v>0</v>
      </c>
      <c r="N858" s="4">
        <v>0</v>
      </c>
      <c r="O858" s="4">
        <v>0</v>
      </c>
      <c r="P858" s="4">
        <v>191</v>
      </c>
      <c r="Q858" s="3" t="s">
        <v>26</v>
      </c>
      <c r="R858" s="3">
        <v>0</v>
      </c>
      <c r="S858" s="3" t="s">
        <v>358</v>
      </c>
      <c r="U858" s="3">
        <v>44</v>
      </c>
      <c r="V858" s="3">
        <v>0</v>
      </c>
      <c r="W858" s="3">
        <v>0</v>
      </c>
    </row>
    <row r="859" spans="1:23" ht="11.25" customHeight="1" x14ac:dyDescent="0.25">
      <c r="A859" s="3" t="s">
        <v>27</v>
      </c>
      <c r="B859" s="3" t="s">
        <v>41</v>
      </c>
      <c r="C859" s="3" t="s">
        <v>42</v>
      </c>
      <c r="D859" s="3" t="s">
        <v>38</v>
      </c>
      <c r="E859" s="3" t="s">
        <v>25</v>
      </c>
      <c r="F859" s="3" t="s">
        <v>25</v>
      </c>
      <c r="G859" s="3" t="s">
        <v>25</v>
      </c>
      <c r="H859" s="3" t="s">
        <v>25</v>
      </c>
      <c r="I859" s="6">
        <v>44593</v>
      </c>
      <c r="J859" s="4">
        <v>-430</v>
      </c>
      <c r="K859" s="4">
        <v>-430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3" t="s">
        <v>26</v>
      </c>
      <c r="R859" s="3">
        <v>0</v>
      </c>
      <c r="S859" s="3" t="s">
        <v>358</v>
      </c>
      <c r="U859" s="3">
        <v>44</v>
      </c>
      <c r="V859" s="3">
        <v>0</v>
      </c>
      <c r="W859" s="3">
        <v>0</v>
      </c>
    </row>
    <row r="860" spans="1:23" ht="11.25" customHeight="1" x14ac:dyDescent="0.25">
      <c r="A860" s="3" t="s">
        <v>28</v>
      </c>
      <c r="B860" s="3" t="s">
        <v>41</v>
      </c>
      <c r="C860" s="3" t="s">
        <v>42</v>
      </c>
      <c r="D860" s="3" t="s">
        <v>38</v>
      </c>
      <c r="E860" s="3" t="s">
        <v>25</v>
      </c>
      <c r="F860" s="3" t="s">
        <v>25</v>
      </c>
      <c r="G860" s="3" t="s">
        <v>25</v>
      </c>
      <c r="H860" s="3" t="s">
        <v>25</v>
      </c>
      <c r="I860" s="6">
        <v>44593</v>
      </c>
      <c r="J860" s="4">
        <v>1782</v>
      </c>
      <c r="K860" s="4">
        <v>1782</v>
      </c>
      <c r="L860" s="4">
        <v>0</v>
      </c>
      <c r="M860" s="4">
        <v>0</v>
      </c>
      <c r="N860" s="4">
        <v>0</v>
      </c>
      <c r="O860" s="4">
        <v>0</v>
      </c>
      <c r="P860" s="4">
        <v>7</v>
      </c>
      <c r="Q860" s="3" t="s">
        <v>26</v>
      </c>
      <c r="R860" s="3">
        <v>0</v>
      </c>
      <c r="S860" s="3" t="s">
        <v>358</v>
      </c>
      <c r="U860" s="3">
        <v>44</v>
      </c>
      <c r="V860" s="3">
        <v>0</v>
      </c>
      <c r="W860" s="3">
        <v>0</v>
      </c>
    </row>
    <row r="861" spans="1:23" ht="11.25" customHeight="1" x14ac:dyDescent="0.25">
      <c r="A861" s="3" t="s">
        <v>56</v>
      </c>
      <c r="B861" s="3" t="s">
        <v>41</v>
      </c>
      <c r="C861" s="3" t="s">
        <v>42</v>
      </c>
      <c r="D861" s="3" t="s">
        <v>38</v>
      </c>
      <c r="E861" s="3" t="s">
        <v>25</v>
      </c>
      <c r="F861" s="3" t="s">
        <v>25</v>
      </c>
      <c r="G861" s="3" t="s">
        <v>25</v>
      </c>
      <c r="H861" s="3" t="s">
        <v>25</v>
      </c>
      <c r="I861" s="6">
        <v>44621</v>
      </c>
      <c r="J861" s="4">
        <v>33184</v>
      </c>
      <c r="K861" s="4">
        <v>33184</v>
      </c>
      <c r="L861" s="4">
        <v>0</v>
      </c>
      <c r="M861" s="4">
        <v>0</v>
      </c>
      <c r="N861" s="4">
        <v>0</v>
      </c>
      <c r="O861" s="4">
        <v>0</v>
      </c>
      <c r="P861" s="4">
        <v>191</v>
      </c>
      <c r="Q861" s="3" t="s">
        <v>26</v>
      </c>
      <c r="R861" s="3">
        <v>0</v>
      </c>
      <c r="S861" s="3" t="s">
        <v>359</v>
      </c>
      <c r="U861" s="3">
        <v>44</v>
      </c>
      <c r="V861" s="3">
        <v>0</v>
      </c>
      <c r="W861" s="3">
        <v>0</v>
      </c>
    </row>
    <row r="862" spans="1:23" ht="11.25" customHeight="1" x14ac:dyDescent="0.25">
      <c r="A862" s="3" t="s">
        <v>56</v>
      </c>
      <c r="B862" s="3" t="s">
        <v>41</v>
      </c>
      <c r="C862" s="3" t="s">
        <v>42</v>
      </c>
      <c r="D862" s="3" t="s">
        <v>38</v>
      </c>
      <c r="E862" s="3" t="s">
        <v>25</v>
      </c>
      <c r="F862" s="3" t="s">
        <v>25</v>
      </c>
      <c r="G862" s="3" t="s">
        <v>25</v>
      </c>
      <c r="H862" s="3" t="s">
        <v>25</v>
      </c>
      <c r="I862" s="6">
        <v>44621</v>
      </c>
      <c r="J862" s="4">
        <v>-430</v>
      </c>
      <c r="K862" s="4">
        <v>-430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3" t="s">
        <v>26</v>
      </c>
      <c r="R862" s="3">
        <v>0</v>
      </c>
      <c r="S862" s="3" t="s">
        <v>359</v>
      </c>
      <c r="U862" s="3">
        <v>44</v>
      </c>
      <c r="V862" s="3">
        <v>0</v>
      </c>
      <c r="W862" s="3">
        <v>0</v>
      </c>
    </row>
    <row r="863" spans="1:23" ht="11.25" customHeight="1" x14ac:dyDescent="0.25">
      <c r="A863" s="3" t="s">
        <v>56</v>
      </c>
      <c r="B863" s="3" t="s">
        <v>41</v>
      </c>
      <c r="C863" s="3" t="s">
        <v>42</v>
      </c>
      <c r="D863" s="3" t="s">
        <v>38</v>
      </c>
      <c r="E863" s="3" t="s">
        <v>25</v>
      </c>
      <c r="F863" s="3" t="s">
        <v>25</v>
      </c>
      <c r="G863" s="3" t="s">
        <v>25</v>
      </c>
      <c r="H863" s="3" t="s">
        <v>25</v>
      </c>
      <c r="I863" s="6">
        <v>44621</v>
      </c>
      <c r="J863" s="4">
        <v>1782</v>
      </c>
      <c r="K863" s="4">
        <v>1782</v>
      </c>
      <c r="L863" s="4">
        <v>0</v>
      </c>
      <c r="M863" s="4">
        <v>0</v>
      </c>
      <c r="N863" s="4">
        <v>0</v>
      </c>
      <c r="O863" s="4">
        <v>0</v>
      </c>
      <c r="P863" s="4">
        <v>7</v>
      </c>
      <c r="Q863" s="3" t="s">
        <v>26</v>
      </c>
      <c r="R863" s="3">
        <v>0</v>
      </c>
      <c r="S863" s="3" t="s">
        <v>359</v>
      </c>
      <c r="U863" s="3">
        <v>44</v>
      </c>
      <c r="V863" s="3">
        <v>0</v>
      </c>
      <c r="W863" s="3">
        <v>0</v>
      </c>
    </row>
    <row r="864" spans="1:23" ht="11.25" customHeight="1" x14ac:dyDescent="0.25">
      <c r="A864" s="3" t="s">
        <v>21</v>
      </c>
      <c r="B864" s="3" t="s">
        <v>41</v>
      </c>
      <c r="C864" s="3" t="s">
        <v>42</v>
      </c>
      <c r="D864" s="3" t="s">
        <v>38</v>
      </c>
      <c r="E864" s="3" t="s">
        <v>25</v>
      </c>
      <c r="F864" s="3" t="s">
        <v>25</v>
      </c>
      <c r="G864" s="3" t="s">
        <v>25</v>
      </c>
      <c r="H864" s="3" t="s">
        <v>34</v>
      </c>
      <c r="I864" s="6">
        <v>44287</v>
      </c>
      <c r="J864" s="4">
        <v>0</v>
      </c>
      <c r="K864" s="4">
        <v>0</v>
      </c>
      <c r="L864" s="4">
        <v>386.47</v>
      </c>
      <c r="M864" s="4">
        <v>386.47</v>
      </c>
      <c r="N864" s="4">
        <v>386.47</v>
      </c>
      <c r="O864" s="4">
        <v>386.47</v>
      </c>
      <c r="P864" s="4">
        <v>0</v>
      </c>
      <c r="Q864" s="3" t="s">
        <v>26</v>
      </c>
      <c r="R864" s="3">
        <v>0</v>
      </c>
      <c r="S864" s="3" t="s">
        <v>360</v>
      </c>
      <c r="T864" s="3" t="s">
        <v>623</v>
      </c>
      <c r="U864" s="3">
        <v>0</v>
      </c>
      <c r="V864" s="3">
        <v>20</v>
      </c>
      <c r="W864" s="3">
        <v>88</v>
      </c>
    </row>
    <row r="865" spans="1:23" ht="11.25" customHeight="1" x14ac:dyDescent="0.25">
      <c r="A865" s="3" t="s">
        <v>28</v>
      </c>
      <c r="B865" s="3" t="s">
        <v>41</v>
      </c>
      <c r="C865" s="3" t="s">
        <v>42</v>
      </c>
      <c r="D865" s="3" t="s">
        <v>38</v>
      </c>
      <c r="E865" s="3" t="s">
        <v>25</v>
      </c>
      <c r="F865" s="3" t="s">
        <v>25</v>
      </c>
      <c r="G865" s="3" t="s">
        <v>25</v>
      </c>
      <c r="H865" s="3" t="s">
        <v>34</v>
      </c>
      <c r="I865" s="6">
        <v>44287</v>
      </c>
      <c r="J865" s="4">
        <v>0</v>
      </c>
      <c r="K865" s="4">
        <v>0</v>
      </c>
      <c r="L865" s="4">
        <v>0.84</v>
      </c>
      <c r="M865" s="4">
        <v>0.84</v>
      </c>
      <c r="N865" s="4">
        <v>0.84</v>
      </c>
      <c r="O865" s="4">
        <v>0.84</v>
      </c>
      <c r="P865" s="4">
        <v>0</v>
      </c>
      <c r="Q865" s="3" t="s">
        <v>26</v>
      </c>
      <c r="R865" s="3">
        <v>0</v>
      </c>
      <c r="S865" s="3" t="s">
        <v>360</v>
      </c>
      <c r="T865" s="3" t="s">
        <v>623</v>
      </c>
      <c r="U865" s="3">
        <v>0</v>
      </c>
      <c r="V865" s="3">
        <v>20</v>
      </c>
      <c r="W865" s="3">
        <v>88</v>
      </c>
    </row>
    <row r="866" spans="1:23" ht="11.25" customHeight="1" x14ac:dyDescent="0.25">
      <c r="A866" s="3" t="s">
        <v>21</v>
      </c>
      <c r="B866" s="3" t="s">
        <v>41</v>
      </c>
      <c r="C866" s="3" t="s">
        <v>42</v>
      </c>
      <c r="D866" s="3" t="s">
        <v>38</v>
      </c>
      <c r="E866" s="3" t="s">
        <v>25</v>
      </c>
      <c r="F866" s="3" t="s">
        <v>25</v>
      </c>
      <c r="G866" s="3" t="s">
        <v>25</v>
      </c>
      <c r="H866" s="3" t="s">
        <v>34</v>
      </c>
      <c r="I866" s="6">
        <v>44317</v>
      </c>
      <c r="J866" s="4">
        <v>0</v>
      </c>
      <c r="K866" s="4">
        <v>0</v>
      </c>
      <c r="L866" s="4">
        <v>398.78699999999998</v>
      </c>
      <c r="M866" s="4">
        <v>398.78699999999998</v>
      </c>
      <c r="N866" s="4">
        <v>398.78699999999998</v>
      </c>
      <c r="O866" s="4">
        <v>398.78699999999998</v>
      </c>
      <c r="P866" s="4">
        <v>0</v>
      </c>
      <c r="Q866" s="3" t="s">
        <v>26</v>
      </c>
      <c r="R866" s="3">
        <v>0</v>
      </c>
      <c r="S866" s="3" t="s">
        <v>361</v>
      </c>
      <c r="T866" s="3" t="s">
        <v>624</v>
      </c>
      <c r="U866" s="3">
        <v>0</v>
      </c>
      <c r="V866" s="3">
        <v>20</v>
      </c>
      <c r="W866" s="3">
        <v>88</v>
      </c>
    </row>
    <row r="867" spans="1:23" ht="11.25" customHeight="1" x14ac:dyDescent="0.25">
      <c r="A867" s="3" t="s">
        <v>28</v>
      </c>
      <c r="B867" s="3" t="s">
        <v>41</v>
      </c>
      <c r="C867" s="3" t="s">
        <v>42</v>
      </c>
      <c r="D867" s="3" t="s">
        <v>38</v>
      </c>
      <c r="E867" s="3" t="s">
        <v>25</v>
      </c>
      <c r="F867" s="3" t="s">
        <v>25</v>
      </c>
      <c r="G867" s="3" t="s">
        <v>25</v>
      </c>
      <c r="H867" s="3" t="s">
        <v>34</v>
      </c>
      <c r="I867" s="6">
        <v>44317</v>
      </c>
      <c r="J867" s="4">
        <v>0</v>
      </c>
      <c r="K867" s="4">
        <v>0</v>
      </c>
      <c r="L867" s="4">
        <v>2.38</v>
      </c>
      <c r="M867" s="4">
        <v>2.38</v>
      </c>
      <c r="N867" s="4">
        <v>2.38</v>
      </c>
      <c r="O867" s="4">
        <v>2.38</v>
      </c>
      <c r="P867" s="4">
        <v>0</v>
      </c>
      <c r="Q867" s="3" t="s">
        <v>26</v>
      </c>
      <c r="R867" s="3">
        <v>0</v>
      </c>
      <c r="S867" s="3" t="s">
        <v>361</v>
      </c>
      <c r="T867" s="3" t="s">
        <v>624</v>
      </c>
      <c r="U867" s="3">
        <v>0</v>
      </c>
      <c r="V867" s="3">
        <v>20</v>
      </c>
      <c r="W867" s="3">
        <v>88</v>
      </c>
    </row>
    <row r="868" spans="1:23" ht="11.25" customHeight="1" x14ac:dyDescent="0.25">
      <c r="A868" s="3" t="s">
        <v>28</v>
      </c>
      <c r="B868" s="3" t="s">
        <v>41</v>
      </c>
      <c r="C868" s="3" t="s">
        <v>42</v>
      </c>
      <c r="D868" s="3" t="s">
        <v>38</v>
      </c>
      <c r="E868" s="3" t="s">
        <v>25</v>
      </c>
      <c r="F868" s="3" t="s">
        <v>25</v>
      </c>
      <c r="G868" s="3" t="s">
        <v>25</v>
      </c>
      <c r="H868" s="3" t="s">
        <v>34</v>
      </c>
      <c r="I868" s="6">
        <v>44317</v>
      </c>
      <c r="J868" s="4">
        <v>0</v>
      </c>
      <c r="K868" s="4">
        <v>0</v>
      </c>
      <c r="L868" s="4">
        <v>-0.42</v>
      </c>
      <c r="M868" s="4">
        <v>-0.42</v>
      </c>
      <c r="N868" s="4">
        <v>-0.42</v>
      </c>
      <c r="O868" s="4">
        <v>-0.42</v>
      </c>
      <c r="P868" s="4">
        <v>0</v>
      </c>
      <c r="Q868" s="3" t="s">
        <v>26</v>
      </c>
      <c r="R868" s="3">
        <v>0</v>
      </c>
      <c r="S868" s="3" t="s">
        <v>361</v>
      </c>
      <c r="T868" s="3" t="s">
        <v>624</v>
      </c>
      <c r="U868" s="3">
        <v>0</v>
      </c>
      <c r="V868" s="3">
        <v>20</v>
      </c>
      <c r="W868" s="3">
        <v>88</v>
      </c>
    </row>
    <row r="869" spans="1:23" ht="11.25" customHeight="1" x14ac:dyDescent="0.25">
      <c r="A869" s="3" t="s">
        <v>21</v>
      </c>
      <c r="B869" s="3" t="s">
        <v>41</v>
      </c>
      <c r="C869" s="3" t="s">
        <v>42</v>
      </c>
      <c r="D869" s="3" t="s">
        <v>38</v>
      </c>
      <c r="E869" s="3" t="s">
        <v>25</v>
      </c>
      <c r="F869" s="3" t="s">
        <v>25</v>
      </c>
      <c r="G869" s="3" t="s">
        <v>25</v>
      </c>
      <c r="H869" s="3" t="s">
        <v>34</v>
      </c>
      <c r="I869" s="6">
        <v>44348</v>
      </c>
      <c r="J869" s="4">
        <v>0</v>
      </c>
      <c r="K869" s="4">
        <v>0</v>
      </c>
      <c r="L869" s="4">
        <v>368.85899999999998</v>
      </c>
      <c r="M869" s="4">
        <v>368.85899999999998</v>
      </c>
      <c r="N869" s="4">
        <v>368.85899999999998</v>
      </c>
      <c r="O869" s="4">
        <v>368.85899999999998</v>
      </c>
      <c r="P869" s="4">
        <v>0</v>
      </c>
      <c r="Q869" s="3" t="s">
        <v>26</v>
      </c>
      <c r="R869" s="3">
        <v>0</v>
      </c>
      <c r="S869" s="3" t="s">
        <v>362</v>
      </c>
      <c r="T869" s="3" t="s">
        <v>625</v>
      </c>
      <c r="U869" s="3">
        <v>0</v>
      </c>
      <c r="V869" s="3">
        <v>20</v>
      </c>
      <c r="W869" s="3">
        <v>88</v>
      </c>
    </row>
    <row r="870" spans="1:23" ht="11.25" customHeight="1" x14ac:dyDescent="0.25">
      <c r="A870" s="3" t="s">
        <v>28</v>
      </c>
      <c r="B870" s="3" t="s">
        <v>41</v>
      </c>
      <c r="C870" s="3" t="s">
        <v>42</v>
      </c>
      <c r="D870" s="3" t="s">
        <v>38</v>
      </c>
      <c r="E870" s="3" t="s">
        <v>25</v>
      </c>
      <c r="F870" s="3" t="s">
        <v>25</v>
      </c>
      <c r="G870" s="3" t="s">
        <v>25</v>
      </c>
      <c r="H870" s="3" t="s">
        <v>34</v>
      </c>
      <c r="I870" s="6">
        <v>44348</v>
      </c>
      <c r="J870" s="4">
        <v>0</v>
      </c>
      <c r="K870" s="4">
        <v>0</v>
      </c>
      <c r="L870" s="4">
        <v>4.12</v>
      </c>
      <c r="M870" s="4">
        <v>4.12</v>
      </c>
      <c r="N870" s="4">
        <v>4.12</v>
      </c>
      <c r="O870" s="4">
        <v>4.12</v>
      </c>
      <c r="P870" s="4">
        <v>0</v>
      </c>
      <c r="Q870" s="3" t="s">
        <v>26</v>
      </c>
      <c r="R870" s="3">
        <v>0</v>
      </c>
      <c r="S870" s="3" t="s">
        <v>362</v>
      </c>
      <c r="T870" s="3" t="s">
        <v>625</v>
      </c>
      <c r="U870" s="3">
        <v>0</v>
      </c>
      <c r="V870" s="3">
        <v>20</v>
      </c>
      <c r="W870" s="3">
        <v>88</v>
      </c>
    </row>
    <row r="871" spans="1:23" ht="11.25" customHeight="1" x14ac:dyDescent="0.25">
      <c r="A871" s="3" t="s">
        <v>21</v>
      </c>
      <c r="B871" s="3" t="s">
        <v>41</v>
      </c>
      <c r="C871" s="3" t="s">
        <v>42</v>
      </c>
      <c r="D871" s="3" t="s">
        <v>38</v>
      </c>
      <c r="E871" s="3" t="s">
        <v>25</v>
      </c>
      <c r="F871" s="3" t="s">
        <v>25</v>
      </c>
      <c r="G871" s="3" t="s">
        <v>25</v>
      </c>
      <c r="H871" s="3" t="s">
        <v>34</v>
      </c>
      <c r="I871" s="6">
        <v>44378</v>
      </c>
      <c r="J871" s="4">
        <v>0</v>
      </c>
      <c r="K871" s="4">
        <v>0</v>
      </c>
      <c r="L871" s="4">
        <v>380.488</v>
      </c>
      <c r="M871" s="4">
        <v>380.488</v>
      </c>
      <c r="N871" s="4">
        <v>380.488</v>
      </c>
      <c r="O871" s="4">
        <v>380.488</v>
      </c>
      <c r="P871" s="4">
        <v>0</v>
      </c>
      <c r="Q871" s="3" t="s">
        <v>26</v>
      </c>
      <c r="R871" s="3">
        <v>0</v>
      </c>
      <c r="S871" s="3" t="s">
        <v>363</v>
      </c>
      <c r="T871" s="3" t="s">
        <v>626</v>
      </c>
      <c r="U871" s="3">
        <v>0</v>
      </c>
      <c r="V871" s="3">
        <v>20</v>
      </c>
      <c r="W871" s="3">
        <v>88</v>
      </c>
    </row>
    <row r="872" spans="1:23" ht="11.25" customHeight="1" x14ac:dyDescent="0.25">
      <c r="A872" s="3" t="s">
        <v>28</v>
      </c>
      <c r="B872" s="3" t="s">
        <v>41</v>
      </c>
      <c r="C872" s="3" t="s">
        <v>42</v>
      </c>
      <c r="D872" s="3" t="s">
        <v>38</v>
      </c>
      <c r="E872" s="3" t="s">
        <v>25</v>
      </c>
      <c r="F872" s="3" t="s">
        <v>25</v>
      </c>
      <c r="G872" s="3" t="s">
        <v>25</v>
      </c>
      <c r="H872" s="3" t="s">
        <v>34</v>
      </c>
      <c r="I872" s="6">
        <v>44378</v>
      </c>
      <c r="J872" s="4">
        <v>0</v>
      </c>
      <c r="K872" s="4">
        <v>0</v>
      </c>
      <c r="L872" s="4">
        <v>5.7519999999999998</v>
      </c>
      <c r="M872" s="4">
        <v>5.7519999999999998</v>
      </c>
      <c r="N872" s="4">
        <v>5.7519999999999998</v>
      </c>
      <c r="O872" s="4">
        <v>5.7519999999999998</v>
      </c>
      <c r="P872" s="4">
        <v>0</v>
      </c>
      <c r="Q872" s="3" t="s">
        <v>26</v>
      </c>
      <c r="R872" s="3">
        <v>0</v>
      </c>
      <c r="S872" s="3" t="s">
        <v>363</v>
      </c>
      <c r="T872" s="3" t="s">
        <v>626</v>
      </c>
      <c r="U872" s="3">
        <v>0</v>
      </c>
      <c r="V872" s="3">
        <v>20</v>
      </c>
      <c r="W872" s="3">
        <v>88</v>
      </c>
    </row>
    <row r="873" spans="1:23" ht="11.25" customHeight="1" x14ac:dyDescent="0.25">
      <c r="A873" s="3" t="s">
        <v>21</v>
      </c>
      <c r="B873" s="3" t="s">
        <v>41</v>
      </c>
      <c r="C873" s="3" t="s">
        <v>42</v>
      </c>
      <c r="D873" s="3" t="s">
        <v>38</v>
      </c>
      <c r="E873" s="3" t="s">
        <v>25</v>
      </c>
      <c r="F873" s="3" t="s">
        <v>25</v>
      </c>
      <c r="G873" s="3" t="s">
        <v>25</v>
      </c>
      <c r="H873" s="3" t="s">
        <v>34</v>
      </c>
      <c r="I873" s="6">
        <v>44409</v>
      </c>
      <c r="J873" s="4">
        <v>0</v>
      </c>
      <c r="K873" s="4">
        <v>0</v>
      </c>
      <c r="L873" s="4">
        <v>375.94799999999998</v>
      </c>
      <c r="M873" s="4">
        <v>375.94799999999998</v>
      </c>
      <c r="N873" s="4">
        <v>375.94799999999998</v>
      </c>
      <c r="O873" s="4">
        <v>375.94799999999998</v>
      </c>
      <c r="P873" s="4">
        <v>0</v>
      </c>
      <c r="Q873" s="3" t="s">
        <v>26</v>
      </c>
      <c r="R873" s="3">
        <v>0</v>
      </c>
      <c r="S873" s="3" t="s">
        <v>364</v>
      </c>
      <c r="T873" s="3" t="s">
        <v>627</v>
      </c>
      <c r="U873" s="3">
        <v>0</v>
      </c>
      <c r="V873" s="3">
        <v>20</v>
      </c>
      <c r="W873" s="3">
        <v>88</v>
      </c>
    </row>
    <row r="874" spans="1:23" ht="11.25" customHeight="1" x14ac:dyDescent="0.25">
      <c r="A874" s="3" t="s">
        <v>28</v>
      </c>
      <c r="B874" s="3" t="s">
        <v>41</v>
      </c>
      <c r="C874" s="3" t="s">
        <v>42</v>
      </c>
      <c r="D874" s="3" t="s">
        <v>38</v>
      </c>
      <c r="E874" s="3" t="s">
        <v>25</v>
      </c>
      <c r="F874" s="3" t="s">
        <v>25</v>
      </c>
      <c r="G874" s="3" t="s">
        <v>25</v>
      </c>
      <c r="H874" s="3" t="s">
        <v>34</v>
      </c>
      <c r="I874" s="6">
        <v>44409</v>
      </c>
      <c r="J874" s="4">
        <v>0</v>
      </c>
      <c r="K874" s="4">
        <v>0</v>
      </c>
      <c r="L874" s="4">
        <v>7.14</v>
      </c>
      <c r="M874" s="4">
        <v>7.14</v>
      </c>
      <c r="N874" s="4">
        <v>7.14</v>
      </c>
      <c r="O874" s="4">
        <v>7.14</v>
      </c>
      <c r="P874" s="4">
        <v>0</v>
      </c>
      <c r="Q874" s="3" t="s">
        <v>26</v>
      </c>
      <c r="R874" s="3">
        <v>0</v>
      </c>
      <c r="S874" s="3" t="s">
        <v>364</v>
      </c>
      <c r="T874" s="3" t="s">
        <v>627</v>
      </c>
      <c r="U874" s="3">
        <v>0</v>
      </c>
      <c r="V874" s="3">
        <v>20</v>
      </c>
      <c r="W874" s="3">
        <v>88</v>
      </c>
    </row>
    <row r="875" spans="1:23" ht="11.25" customHeight="1" x14ac:dyDescent="0.25">
      <c r="A875" s="3" t="s">
        <v>21</v>
      </c>
      <c r="B875" s="3" t="s">
        <v>41</v>
      </c>
      <c r="C875" s="3" t="s">
        <v>42</v>
      </c>
      <c r="D875" s="3" t="s">
        <v>38</v>
      </c>
      <c r="E875" s="3" t="s">
        <v>25</v>
      </c>
      <c r="F875" s="3" t="s">
        <v>25</v>
      </c>
      <c r="G875" s="3" t="s">
        <v>25</v>
      </c>
      <c r="H875" s="3" t="s">
        <v>34</v>
      </c>
      <c r="I875" s="6">
        <v>44409</v>
      </c>
      <c r="J875" s="4">
        <v>0</v>
      </c>
      <c r="K875" s="4">
        <v>0</v>
      </c>
      <c r="L875" s="4">
        <v>2.38</v>
      </c>
      <c r="M875" s="4">
        <v>2.38</v>
      </c>
      <c r="N875" s="4">
        <v>0</v>
      </c>
      <c r="O875" s="4">
        <v>0</v>
      </c>
      <c r="P875" s="4">
        <v>0</v>
      </c>
      <c r="Q875" s="3" t="s">
        <v>57</v>
      </c>
      <c r="R875" s="3">
        <v>0</v>
      </c>
      <c r="S875" s="3" t="s">
        <v>364</v>
      </c>
      <c r="U875" s="3">
        <v>0</v>
      </c>
      <c r="V875" s="3">
        <v>20</v>
      </c>
      <c r="W875" s="3">
        <v>0</v>
      </c>
    </row>
    <row r="876" spans="1:23" ht="11.25" customHeight="1" x14ac:dyDescent="0.25">
      <c r="A876" s="3" t="s">
        <v>21</v>
      </c>
      <c r="B876" s="3" t="s">
        <v>41</v>
      </c>
      <c r="C876" s="3" t="s">
        <v>42</v>
      </c>
      <c r="D876" s="3" t="s">
        <v>38</v>
      </c>
      <c r="E876" s="3" t="s">
        <v>25</v>
      </c>
      <c r="F876" s="3" t="s">
        <v>25</v>
      </c>
      <c r="G876" s="3" t="s">
        <v>25</v>
      </c>
      <c r="H876" s="3" t="s">
        <v>34</v>
      </c>
      <c r="I876" s="6">
        <v>44440</v>
      </c>
      <c r="J876" s="4">
        <v>0</v>
      </c>
      <c r="K876" s="4">
        <v>0</v>
      </c>
      <c r="L876" s="4">
        <v>345.60300000000001</v>
      </c>
      <c r="M876" s="4">
        <v>345.60300000000001</v>
      </c>
      <c r="N876" s="4">
        <v>345.60300000000001</v>
      </c>
      <c r="O876" s="4">
        <v>345.60300000000001</v>
      </c>
      <c r="P876" s="4">
        <v>0</v>
      </c>
      <c r="Q876" s="3" t="s">
        <v>26</v>
      </c>
      <c r="R876" s="3">
        <v>0</v>
      </c>
      <c r="S876" s="3" t="s">
        <v>365</v>
      </c>
      <c r="T876" s="3" t="s">
        <v>628</v>
      </c>
      <c r="U876" s="3">
        <v>0</v>
      </c>
      <c r="V876" s="3">
        <v>20</v>
      </c>
      <c r="W876" s="3">
        <v>88</v>
      </c>
    </row>
    <row r="877" spans="1:23" ht="11.25" customHeight="1" x14ac:dyDescent="0.25">
      <c r="A877" s="3" t="s">
        <v>28</v>
      </c>
      <c r="B877" s="3" t="s">
        <v>41</v>
      </c>
      <c r="C877" s="3" t="s">
        <v>42</v>
      </c>
      <c r="D877" s="3" t="s">
        <v>38</v>
      </c>
      <c r="E877" s="3" t="s">
        <v>25</v>
      </c>
      <c r="F877" s="3" t="s">
        <v>25</v>
      </c>
      <c r="G877" s="3" t="s">
        <v>25</v>
      </c>
      <c r="H877" s="3" t="s">
        <v>34</v>
      </c>
      <c r="I877" s="6">
        <v>44440</v>
      </c>
      <c r="J877" s="4">
        <v>0</v>
      </c>
      <c r="K877" s="4">
        <v>0</v>
      </c>
      <c r="L877" s="4">
        <v>10.256</v>
      </c>
      <c r="M877" s="4">
        <v>10.256</v>
      </c>
      <c r="N877" s="4">
        <v>10.256</v>
      </c>
      <c r="O877" s="4">
        <v>10.256</v>
      </c>
      <c r="P877" s="4">
        <v>0</v>
      </c>
      <c r="Q877" s="3" t="s">
        <v>26</v>
      </c>
      <c r="R877" s="3">
        <v>0</v>
      </c>
      <c r="S877" s="3" t="s">
        <v>365</v>
      </c>
      <c r="T877" s="3" t="s">
        <v>628</v>
      </c>
      <c r="U877" s="3">
        <v>0</v>
      </c>
      <c r="V877" s="3">
        <v>20</v>
      </c>
      <c r="W877" s="3">
        <v>88</v>
      </c>
    </row>
    <row r="878" spans="1:23" ht="11.25" customHeight="1" x14ac:dyDescent="0.25">
      <c r="A878" s="3" t="s">
        <v>21</v>
      </c>
      <c r="B878" s="3" t="s">
        <v>41</v>
      </c>
      <c r="C878" s="3" t="s">
        <v>42</v>
      </c>
      <c r="D878" s="3" t="s">
        <v>38</v>
      </c>
      <c r="E878" s="3" t="s">
        <v>25</v>
      </c>
      <c r="F878" s="3" t="s">
        <v>25</v>
      </c>
      <c r="G878" s="3" t="s">
        <v>25</v>
      </c>
      <c r="H878" s="3" t="s">
        <v>34</v>
      </c>
      <c r="I878" s="6">
        <v>44470</v>
      </c>
      <c r="J878" s="4">
        <v>0</v>
      </c>
      <c r="K878" s="4">
        <v>0</v>
      </c>
      <c r="L878" s="4">
        <v>350.12299999999999</v>
      </c>
      <c r="M878" s="4">
        <v>350.12299999999999</v>
      </c>
      <c r="N878" s="4">
        <v>350.12299999999999</v>
      </c>
      <c r="O878" s="4">
        <v>350.12299999999999</v>
      </c>
      <c r="P878" s="4">
        <v>0</v>
      </c>
      <c r="Q878" s="3" t="s">
        <v>26</v>
      </c>
      <c r="R878" s="3">
        <v>0</v>
      </c>
      <c r="S878" s="3" t="s">
        <v>366</v>
      </c>
      <c r="T878" s="3" t="s">
        <v>629</v>
      </c>
      <c r="U878" s="3">
        <v>0</v>
      </c>
      <c r="V878" s="3">
        <v>20</v>
      </c>
      <c r="W878" s="3">
        <v>88</v>
      </c>
    </row>
    <row r="879" spans="1:23" ht="11.25" customHeight="1" x14ac:dyDescent="0.25">
      <c r="A879" s="3" t="s">
        <v>28</v>
      </c>
      <c r="B879" s="3" t="s">
        <v>41</v>
      </c>
      <c r="C879" s="3" t="s">
        <v>42</v>
      </c>
      <c r="D879" s="3" t="s">
        <v>38</v>
      </c>
      <c r="E879" s="3" t="s">
        <v>25</v>
      </c>
      <c r="F879" s="3" t="s">
        <v>25</v>
      </c>
      <c r="G879" s="3" t="s">
        <v>25</v>
      </c>
      <c r="H879" s="3" t="s">
        <v>34</v>
      </c>
      <c r="I879" s="6">
        <v>44470</v>
      </c>
      <c r="J879" s="4">
        <v>0</v>
      </c>
      <c r="K879" s="4">
        <v>0</v>
      </c>
      <c r="L879" s="4">
        <v>13.84</v>
      </c>
      <c r="M879" s="4">
        <v>13.84</v>
      </c>
      <c r="N879" s="4">
        <v>13.84</v>
      </c>
      <c r="O879" s="4">
        <v>13.84</v>
      </c>
      <c r="P879" s="4">
        <v>0</v>
      </c>
      <c r="Q879" s="3" t="s">
        <v>26</v>
      </c>
      <c r="R879" s="3">
        <v>0</v>
      </c>
      <c r="S879" s="3" t="s">
        <v>366</v>
      </c>
      <c r="T879" s="3" t="s">
        <v>629</v>
      </c>
      <c r="U879" s="3">
        <v>0</v>
      </c>
      <c r="V879" s="3">
        <v>20</v>
      </c>
      <c r="W879" s="3">
        <v>88</v>
      </c>
    </row>
    <row r="880" spans="1:23" ht="11.25" customHeight="1" x14ac:dyDescent="0.25">
      <c r="A880" s="3" t="s">
        <v>21</v>
      </c>
      <c r="B880" s="3" t="s">
        <v>41</v>
      </c>
      <c r="C880" s="3" t="s">
        <v>42</v>
      </c>
      <c r="D880" s="3" t="s">
        <v>38</v>
      </c>
      <c r="E880" s="3" t="s">
        <v>25</v>
      </c>
      <c r="F880" s="3" t="s">
        <v>25</v>
      </c>
      <c r="G880" s="3" t="s">
        <v>25</v>
      </c>
      <c r="H880" s="3" t="s">
        <v>34</v>
      </c>
      <c r="I880" s="6">
        <v>44501</v>
      </c>
      <c r="J880" s="4">
        <v>0</v>
      </c>
      <c r="K880" s="4">
        <v>0</v>
      </c>
      <c r="L880" s="4">
        <v>326.995</v>
      </c>
      <c r="M880" s="4">
        <v>326.995</v>
      </c>
      <c r="N880" s="4">
        <v>326.995</v>
      </c>
      <c r="O880" s="4">
        <v>326.995</v>
      </c>
      <c r="P880" s="4">
        <v>0</v>
      </c>
      <c r="Q880" s="3" t="s">
        <v>26</v>
      </c>
      <c r="R880" s="3">
        <v>0</v>
      </c>
      <c r="S880" s="3" t="s">
        <v>367</v>
      </c>
      <c r="T880" s="3" t="s">
        <v>630</v>
      </c>
      <c r="U880" s="3">
        <v>0</v>
      </c>
      <c r="V880" s="3">
        <v>20</v>
      </c>
      <c r="W880" s="3">
        <v>88</v>
      </c>
    </row>
    <row r="881" spans="1:23" ht="11.25" customHeight="1" x14ac:dyDescent="0.25">
      <c r="A881" s="3" t="s">
        <v>28</v>
      </c>
      <c r="B881" s="3" t="s">
        <v>41</v>
      </c>
      <c r="C881" s="3" t="s">
        <v>42</v>
      </c>
      <c r="D881" s="3" t="s">
        <v>38</v>
      </c>
      <c r="E881" s="3" t="s">
        <v>25</v>
      </c>
      <c r="F881" s="3" t="s">
        <v>25</v>
      </c>
      <c r="G881" s="3" t="s">
        <v>25</v>
      </c>
      <c r="H881" s="3" t="s">
        <v>34</v>
      </c>
      <c r="I881" s="6">
        <v>44501</v>
      </c>
      <c r="J881" s="4">
        <v>0</v>
      </c>
      <c r="K881" s="4">
        <v>0</v>
      </c>
      <c r="L881" s="4">
        <v>9.9710000000000001</v>
      </c>
      <c r="M881" s="4">
        <v>9.9710000000000001</v>
      </c>
      <c r="N881" s="4">
        <v>9.9710000000000001</v>
      </c>
      <c r="O881" s="4">
        <v>9.9710000000000001</v>
      </c>
      <c r="P881" s="4">
        <v>0</v>
      </c>
      <c r="Q881" s="3" t="s">
        <v>26</v>
      </c>
      <c r="R881" s="3">
        <v>0</v>
      </c>
      <c r="S881" s="3" t="s">
        <v>367</v>
      </c>
      <c r="T881" s="3" t="s">
        <v>630</v>
      </c>
      <c r="U881" s="3">
        <v>0</v>
      </c>
      <c r="V881" s="3">
        <v>20</v>
      </c>
      <c r="W881" s="3">
        <v>88</v>
      </c>
    </row>
    <row r="882" spans="1:23" ht="11.25" customHeight="1" x14ac:dyDescent="0.25">
      <c r="A882" s="3" t="s">
        <v>21</v>
      </c>
      <c r="B882" s="3" t="s">
        <v>41</v>
      </c>
      <c r="C882" s="3" t="s">
        <v>42</v>
      </c>
      <c r="D882" s="3" t="s">
        <v>38</v>
      </c>
      <c r="E882" s="3" t="s">
        <v>25</v>
      </c>
      <c r="F882" s="3" t="s">
        <v>25</v>
      </c>
      <c r="G882" s="3" t="s">
        <v>25</v>
      </c>
      <c r="H882" s="3" t="s">
        <v>34</v>
      </c>
      <c r="I882" s="6">
        <v>44531</v>
      </c>
      <c r="J882" s="4">
        <v>0</v>
      </c>
      <c r="K882" s="4">
        <v>0</v>
      </c>
      <c r="L882" s="4">
        <v>347.07600000000002</v>
      </c>
      <c r="M882" s="4">
        <v>347.07600000000002</v>
      </c>
      <c r="N882" s="4">
        <v>347.07600000000002</v>
      </c>
      <c r="O882" s="4">
        <v>347.07600000000002</v>
      </c>
      <c r="P882" s="4">
        <v>0</v>
      </c>
      <c r="Q882" s="3" t="s">
        <v>26</v>
      </c>
      <c r="R882" s="3">
        <v>0</v>
      </c>
      <c r="S882" s="3" t="s">
        <v>368</v>
      </c>
      <c r="T882" s="3" t="s">
        <v>631</v>
      </c>
      <c r="U882" s="3">
        <v>0</v>
      </c>
      <c r="V882" s="3">
        <v>20</v>
      </c>
      <c r="W882" s="3">
        <v>88</v>
      </c>
    </row>
    <row r="883" spans="1:23" ht="11.25" customHeight="1" x14ac:dyDescent="0.25">
      <c r="A883" s="3" t="s">
        <v>27</v>
      </c>
      <c r="B883" s="3" t="s">
        <v>41</v>
      </c>
      <c r="C883" s="3" t="s">
        <v>42</v>
      </c>
      <c r="D883" s="3" t="s">
        <v>38</v>
      </c>
      <c r="E883" s="3" t="s">
        <v>25</v>
      </c>
      <c r="F883" s="3" t="s">
        <v>25</v>
      </c>
      <c r="G883" s="3" t="s">
        <v>25</v>
      </c>
      <c r="H883" s="3" t="s">
        <v>34</v>
      </c>
      <c r="I883" s="6">
        <v>44531</v>
      </c>
      <c r="J883" s="4">
        <v>0</v>
      </c>
      <c r="K883" s="4">
        <v>0</v>
      </c>
      <c r="L883" s="4">
        <v>-0.126</v>
      </c>
      <c r="M883" s="4">
        <v>-0.126</v>
      </c>
      <c r="N883" s="4">
        <v>-0.126</v>
      </c>
      <c r="O883" s="4">
        <v>-0.126</v>
      </c>
      <c r="P883" s="4">
        <v>0</v>
      </c>
      <c r="Q883" s="3" t="s">
        <v>26</v>
      </c>
      <c r="R883" s="3">
        <v>0</v>
      </c>
      <c r="S883" s="3" t="s">
        <v>368</v>
      </c>
      <c r="T883" s="3" t="s">
        <v>631</v>
      </c>
      <c r="U883" s="3">
        <v>0</v>
      </c>
      <c r="V883" s="3">
        <v>20</v>
      </c>
      <c r="W883" s="3">
        <v>88</v>
      </c>
    </row>
    <row r="884" spans="1:23" ht="11.25" customHeight="1" x14ac:dyDescent="0.25">
      <c r="A884" s="3" t="s">
        <v>28</v>
      </c>
      <c r="B884" s="3" t="s">
        <v>41</v>
      </c>
      <c r="C884" s="3" t="s">
        <v>42</v>
      </c>
      <c r="D884" s="3" t="s">
        <v>38</v>
      </c>
      <c r="E884" s="3" t="s">
        <v>25</v>
      </c>
      <c r="F884" s="3" t="s">
        <v>25</v>
      </c>
      <c r="G884" s="3" t="s">
        <v>25</v>
      </c>
      <c r="H884" s="3" t="s">
        <v>34</v>
      </c>
      <c r="I884" s="6">
        <v>44531</v>
      </c>
      <c r="J884" s="4">
        <v>0</v>
      </c>
      <c r="K884" s="4">
        <v>0</v>
      </c>
      <c r="L884" s="4">
        <v>4.3869999999999996</v>
      </c>
      <c r="M884" s="4">
        <v>4.3869999999999996</v>
      </c>
      <c r="N884" s="4">
        <v>4.3869999999999996</v>
      </c>
      <c r="O884" s="4">
        <v>4.3869999999999996</v>
      </c>
      <c r="P884" s="4">
        <v>0</v>
      </c>
      <c r="Q884" s="3" t="s">
        <v>26</v>
      </c>
      <c r="R884" s="3">
        <v>0</v>
      </c>
      <c r="S884" s="3" t="s">
        <v>368</v>
      </c>
      <c r="T884" s="3" t="s">
        <v>631</v>
      </c>
      <c r="U884" s="3">
        <v>0</v>
      </c>
      <c r="V884" s="3">
        <v>20</v>
      </c>
      <c r="W884" s="3">
        <v>88</v>
      </c>
    </row>
    <row r="885" spans="1:23" ht="11.25" customHeight="1" x14ac:dyDescent="0.25">
      <c r="A885" s="3" t="s">
        <v>21</v>
      </c>
      <c r="B885" s="3" t="s">
        <v>41</v>
      </c>
      <c r="C885" s="3" t="s">
        <v>42</v>
      </c>
      <c r="D885" s="3" t="s">
        <v>38</v>
      </c>
      <c r="E885" s="3" t="s">
        <v>25</v>
      </c>
      <c r="F885" s="3" t="s">
        <v>25</v>
      </c>
      <c r="G885" s="3" t="s">
        <v>25</v>
      </c>
      <c r="H885" s="3" t="s">
        <v>34</v>
      </c>
      <c r="I885" s="6">
        <v>44562</v>
      </c>
      <c r="J885" s="4">
        <v>0</v>
      </c>
      <c r="K885" s="4">
        <v>0</v>
      </c>
      <c r="L885" s="4">
        <v>381.39</v>
      </c>
      <c r="M885" s="4">
        <v>381.39</v>
      </c>
      <c r="N885" s="4">
        <v>381.39</v>
      </c>
      <c r="O885" s="4">
        <v>381.39</v>
      </c>
      <c r="P885" s="4">
        <v>0</v>
      </c>
      <c r="Q885" s="3" t="s">
        <v>26</v>
      </c>
      <c r="R885" s="3">
        <v>0</v>
      </c>
      <c r="S885" s="3" t="s">
        <v>369</v>
      </c>
      <c r="T885" s="3" t="s">
        <v>632</v>
      </c>
      <c r="U885" s="3">
        <v>0</v>
      </c>
      <c r="V885" s="3">
        <v>20</v>
      </c>
      <c r="W885" s="3">
        <v>88</v>
      </c>
    </row>
    <row r="886" spans="1:23" ht="11.25" customHeight="1" x14ac:dyDescent="0.25">
      <c r="A886" s="3" t="s">
        <v>27</v>
      </c>
      <c r="B886" s="3" t="s">
        <v>41</v>
      </c>
      <c r="C886" s="3" t="s">
        <v>42</v>
      </c>
      <c r="D886" s="3" t="s">
        <v>38</v>
      </c>
      <c r="E886" s="3" t="s">
        <v>25</v>
      </c>
      <c r="F886" s="3" t="s">
        <v>25</v>
      </c>
      <c r="G886" s="3" t="s">
        <v>25</v>
      </c>
      <c r="H886" s="3" t="s">
        <v>34</v>
      </c>
      <c r="I886" s="6">
        <v>44562</v>
      </c>
      <c r="J886" s="4">
        <v>0</v>
      </c>
      <c r="K886" s="4">
        <v>0</v>
      </c>
      <c r="L886" s="4">
        <v>5.3999999999999999E-2</v>
      </c>
      <c r="M886" s="4">
        <v>5.3999999999999999E-2</v>
      </c>
      <c r="N886" s="4">
        <v>5.3999999999999999E-2</v>
      </c>
      <c r="O886" s="4">
        <v>5.3999999999999999E-2</v>
      </c>
      <c r="P886" s="4">
        <v>0</v>
      </c>
      <c r="Q886" s="3" t="s">
        <v>26</v>
      </c>
      <c r="R886" s="3">
        <v>0</v>
      </c>
      <c r="S886" s="3" t="s">
        <v>369</v>
      </c>
      <c r="T886" s="3" t="s">
        <v>632</v>
      </c>
      <c r="U886" s="3">
        <v>0</v>
      </c>
      <c r="V886" s="3">
        <v>20</v>
      </c>
      <c r="W886" s="3">
        <v>88</v>
      </c>
    </row>
    <row r="887" spans="1:23" ht="11.25" customHeight="1" x14ac:dyDescent="0.25">
      <c r="A887" s="3" t="s">
        <v>28</v>
      </c>
      <c r="B887" s="3" t="s">
        <v>41</v>
      </c>
      <c r="C887" s="3" t="s">
        <v>42</v>
      </c>
      <c r="D887" s="3" t="s">
        <v>38</v>
      </c>
      <c r="E887" s="3" t="s">
        <v>25</v>
      </c>
      <c r="F887" s="3" t="s">
        <v>25</v>
      </c>
      <c r="G887" s="3" t="s">
        <v>25</v>
      </c>
      <c r="H887" s="3" t="s">
        <v>34</v>
      </c>
      <c r="I887" s="6">
        <v>44562</v>
      </c>
      <c r="J887" s="4">
        <v>0</v>
      </c>
      <c r="K887" s="4">
        <v>0</v>
      </c>
      <c r="L887" s="4">
        <v>2.4369999999999998</v>
      </c>
      <c r="M887" s="4">
        <v>2.4369999999999998</v>
      </c>
      <c r="N887" s="4">
        <v>2.4369999999999998</v>
      </c>
      <c r="O887" s="4">
        <v>2.4369999999999998</v>
      </c>
      <c r="P887" s="4">
        <v>0</v>
      </c>
      <c r="Q887" s="3" t="s">
        <v>26</v>
      </c>
      <c r="R887" s="3">
        <v>0</v>
      </c>
      <c r="S887" s="3" t="s">
        <v>369</v>
      </c>
      <c r="T887" s="3" t="s">
        <v>632</v>
      </c>
      <c r="U887" s="3">
        <v>0</v>
      </c>
      <c r="V887" s="3">
        <v>20</v>
      </c>
      <c r="W887" s="3">
        <v>88</v>
      </c>
    </row>
    <row r="888" spans="1:23" ht="11.25" customHeight="1" x14ac:dyDescent="0.25">
      <c r="A888" s="3" t="s">
        <v>21</v>
      </c>
      <c r="B888" s="3" t="s">
        <v>41</v>
      </c>
      <c r="C888" s="3" t="s">
        <v>42</v>
      </c>
      <c r="D888" s="3" t="s">
        <v>38</v>
      </c>
      <c r="E888" s="3" t="s">
        <v>25</v>
      </c>
      <c r="F888" s="3" t="s">
        <v>25</v>
      </c>
      <c r="G888" s="3" t="s">
        <v>25</v>
      </c>
      <c r="H888" s="3" t="s">
        <v>34</v>
      </c>
      <c r="I888" s="6">
        <v>44593</v>
      </c>
      <c r="J888" s="4">
        <v>0</v>
      </c>
      <c r="K888" s="4">
        <v>0</v>
      </c>
      <c r="L888" s="4">
        <v>299.76799999999997</v>
      </c>
      <c r="M888" s="4">
        <v>299.76799999999997</v>
      </c>
      <c r="N888" s="4">
        <v>299.76799999999997</v>
      </c>
      <c r="O888" s="4">
        <v>299.76799999999997</v>
      </c>
      <c r="P888" s="4">
        <v>0</v>
      </c>
      <c r="Q888" s="3" t="s">
        <v>26</v>
      </c>
      <c r="R888" s="3">
        <v>0</v>
      </c>
      <c r="S888" s="3" t="s">
        <v>370</v>
      </c>
      <c r="T888" s="3" t="s">
        <v>633</v>
      </c>
      <c r="U888" s="3">
        <v>0</v>
      </c>
      <c r="V888" s="3">
        <v>20</v>
      </c>
      <c r="W888" s="3">
        <v>88</v>
      </c>
    </row>
    <row r="889" spans="1:23" ht="11.25" customHeight="1" x14ac:dyDescent="0.25">
      <c r="A889" s="3" t="s">
        <v>27</v>
      </c>
      <c r="B889" s="3" t="s">
        <v>41</v>
      </c>
      <c r="C889" s="3" t="s">
        <v>42</v>
      </c>
      <c r="D889" s="3" t="s">
        <v>38</v>
      </c>
      <c r="E889" s="3" t="s">
        <v>25</v>
      </c>
      <c r="F889" s="3" t="s">
        <v>25</v>
      </c>
      <c r="G889" s="3" t="s">
        <v>25</v>
      </c>
      <c r="H889" s="3" t="s">
        <v>34</v>
      </c>
      <c r="I889" s="6">
        <v>44593</v>
      </c>
      <c r="J889" s="4">
        <v>0</v>
      </c>
      <c r="K889" s="4">
        <v>0</v>
      </c>
      <c r="L889" s="4">
        <v>-1.3839999999999999</v>
      </c>
      <c r="M889" s="4">
        <v>-1.3839999999999999</v>
      </c>
      <c r="N889" s="4">
        <v>-1.3839999999999999</v>
      </c>
      <c r="O889" s="4">
        <v>-1.3839999999999999</v>
      </c>
      <c r="P889" s="4">
        <v>0</v>
      </c>
      <c r="Q889" s="3" t="s">
        <v>26</v>
      </c>
      <c r="R889" s="3">
        <v>0</v>
      </c>
      <c r="S889" s="3" t="s">
        <v>370</v>
      </c>
      <c r="T889" s="3" t="s">
        <v>633</v>
      </c>
      <c r="U889" s="3">
        <v>0</v>
      </c>
      <c r="V889" s="3">
        <v>20</v>
      </c>
      <c r="W889" s="3">
        <v>88</v>
      </c>
    </row>
    <row r="890" spans="1:23" ht="11.25" customHeight="1" x14ac:dyDescent="0.25">
      <c r="A890" s="3" t="s">
        <v>28</v>
      </c>
      <c r="B890" s="3" t="s">
        <v>41</v>
      </c>
      <c r="C890" s="3" t="s">
        <v>42</v>
      </c>
      <c r="D890" s="3" t="s">
        <v>38</v>
      </c>
      <c r="E890" s="3" t="s">
        <v>25</v>
      </c>
      <c r="F890" s="3" t="s">
        <v>25</v>
      </c>
      <c r="G890" s="3" t="s">
        <v>25</v>
      </c>
      <c r="H890" s="3" t="s">
        <v>34</v>
      </c>
      <c r="I890" s="6">
        <v>44593</v>
      </c>
      <c r="J890" s="4">
        <v>0</v>
      </c>
      <c r="K890" s="4">
        <v>0</v>
      </c>
      <c r="L890" s="4">
        <v>5.367</v>
      </c>
      <c r="M890" s="4">
        <v>5.367</v>
      </c>
      <c r="N890" s="4">
        <v>5.367</v>
      </c>
      <c r="O890" s="4">
        <v>5.367</v>
      </c>
      <c r="P890" s="4">
        <v>0</v>
      </c>
      <c r="Q890" s="3" t="s">
        <v>26</v>
      </c>
      <c r="R890" s="3">
        <v>0</v>
      </c>
      <c r="S890" s="3" t="s">
        <v>370</v>
      </c>
      <c r="T890" s="3" t="s">
        <v>633</v>
      </c>
      <c r="U890" s="3">
        <v>0</v>
      </c>
      <c r="V890" s="3">
        <v>20</v>
      </c>
      <c r="W890" s="3">
        <v>88</v>
      </c>
    </row>
    <row r="891" spans="1:23" ht="11.25" customHeight="1" x14ac:dyDescent="0.25">
      <c r="A891" s="3" t="s">
        <v>56</v>
      </c>
      <c r="B891" s="3" t="s">
        <v>41</v>
      </c>
      <c r="C891" s="3" t="s">
        <v>42</v>
      </c>
      <c r="D891" s="3" t="s">
        <v>38</v>
      </c>
      <c r="E891" s="3" t="s">
        <v>25</v>
      </c>
      <c r="F891" s="3" t="s">
        <v>25</v>
      </c>
      <c r="G891" s="3" t="s">
        <v>25</v>
      </c>
      <c r="H891" s="3" t="s">
        <v>34</v>
      </c>
      <c r="I891" s="6">
        <v>44621</v>
      </c>
      <c r="J891" s="4">
        <v>0</v>
      </c>
      <c r="K891" s="4">
        <v>0</v>
      </c>
      <c r="L891" s="4">
        <v>299.76799999999997</v>
      </c>
      <c r="M891" s="4">
        <v>299.76799999999997</v>
      </c>
      <c r="N891" s="4">
        <v>299.76799999999997</v>
      </c>
      <c r="O891" s="4">
        <v>299.76799999999997</v>
      </c>
      <c r="P891" s="4">
        <v>0</v>
      </c>
      <c r="Q891" s="3" t="s">
        <v>26</v>
      </c>
      <c r="R891" s="3">
        <v>0</v>
      </c>
      <c r="S891" s="3" t="s">
        <v>371</v>
      </c>
      <c r="T891" s="3" t="s">
        <v>634</v>
      </c>
      <c r="U891" s="3">
        <v>0</v>
      </c>
      <c r="V891" s="3">
        <v>20</v>
      </c>
      <c r="W891" s="3">
        <v>88</v>
      </c>
    </row>
    <row r="892" spans="1:23" ht="11.25" customHeight="1" x14ac:dyDescent="0.25">
      <c r="A892" s="3" t="s">
        <v>56</v>
      </c>
      <c r="B892" s="3" t="s">
        <v>41</v>
      </c>
      <c r="C892" s="3" t="s">
        <v>42</v>
      </c>
      <c r="D892" s="3" t="s">
        <v>38</v>
      </c>
      <c r="E892" s="3" t="s">
        <v>25</v>
      </c>
      <c r="F892" s="3" t="s">
        <v>25</v>
      </c>
      <c r="G892" s="3" t="s">
        <v>25</v>
      </c>
      <c r="H892" s="3" t="s">
        <v>34</v>
      </c>
      <c r="I892" s="6">
        <v>44621</v>
      </c>
      <c r="J892" s="4">
        <v>0</v>
      </c>
      <c r="K892" s="4">
        <v>0</v>
      </c>
      <c r="L892" s="4">
        <v>-1.3839999999999999</v>
      </c>
      <c r="M892" s="4">
        <v>-1.3839999999999999</v>
      </c>
      <c r="N892" s="4">
        <v>-1.3839999999999999</v>
      </c>
      <c r="O892" s="4">
        <v>-1.3839999999999999</v>
      </c>
      <c r="P892" s="4">
        <v>0</v>
      </c>
      <c r="Q892" s="3" t="s">
        <v>26</v>
      </c>
      <c r="R892" s="3">
        <v>0</v>
      </c>
      <c r="S892" s="3" t="s">
        <v>371</v>
      </c>
      <c r="T892" s="3" t="s">
        <v>634</v>
      </c>
      <c r="U892" s="3">
        <v>0</v>
      </c>
      <c r="V892" s="3">
        <v>20</v>
      </c>
      <c r="W892" s="3">
        <v>88</v>
      </c>
    </row>
    <row r="893" spans="1:23" ht="11.25" customHeight="1" x14ac:dyDescent="0.25">
      <c r="A893" s="3" t="s">
        <v>56</v>
      </c>
      <c r="B893" s="3" t="s">
        <v>41</v>
      </c>
      <c r="C893" s="3" t="s">
        <v>42</v>
      </c>
      <c r="D893" s="3" t="s">
        <v>38</v>
      </c>
      <c r="E893" s="3" t="s">
        <v>25</v>
      </c>
      <c r="F893" s="3" t="s">
        <v>25</v>
      </c>
      <c r="G893" s="3" t="s">
        <v>25</v>
      </c>
      <c r="H893" s="3" t="s">
        <v>34</v>
      </c>
      <c r="I893" s="6">
        <v>44621</v>
      </c>
      <c r="J893" s="4">
        <v>0</v>
      </c>
      <c r="K893" s="4">
        <v>0</v>
      </c>
      <c r="L893" s="4">
        <v>5.367</v>
      </c>
      <c r="M893" s="4">
        <v>5.367</v>
      </c>
      <c r="N893" s="4">
        <v>5.367</v>
      </c>
      <c r="O893" s="4">
        <v>5.367</v>
      </c>
      <c r="P893" s="4">
        <v>0</v>
      </c>
      <c r="Q893" s="3" t="s">
        <v>26</v>
      </c>
      <c r="R893" s="3">
        <v>0</v>
      </c>
      <c r="S893" s="3" t="s">
        <v>371</v>
      </c>
      <c r="T893" s="3" t="s">
        <v>634</v>
      </c>
      <c r="U893" s="3">
        <v>0</v>
      </c>
      <c r="V893" s="3">
        <v>20</v>
      </c>
      <c r="W893" s="3">
        <v>88</v>
      </c>
    </row>
    <row r="894" spans="1:23" ht="11.25" customHeight="1" x14ac:dyDescent="0.25">
      <c r="A894" s="3" t="s">
        <v>21</v>
      </c>
      <c r="B894" s="3" t="s">
        <v>41</v>
      </c>
      <c r="C894" s="3" t="s">
        <v>42</v>
      </c>
      <c r="D894" s="3" t="s">
        <v>46</v>
      </c>
      <c r="E894" s="3" t="s">
        <v>25</v>
      </c>
      <c r="F894" s="3" t="s">
        <v>25</v>
      </c>
      <c r="G894" s="3" t="s">
        <v>25</v>
      </c>
      <c r="H894" s="3" t="s">
        <v>35</v>
      </c>
      <c r="I894" s="6">
        <v>44287</v>
      </c>
      <c r="J894" s="4">
        <v>0</v>
      </c>
      <c r="K894" s="4">
        <v>0</v>
      </c>
      <c r="L894" s="4">
        <v>3678.45</v>
      </c>
      <c r="M894" s="4">
        <v>3678.45</v>
      </c>
      <c r="N894" s="4">
        <v>3678.45</v>
      </c>
      <c r="O894" s="4">
        <v>3678.45</v>
      </c>
      <c r="P894" s="4">
        <v>0</v>
      </c>
      <c r="Q894" s="3" t="s">
        <v>26</v>
      </c>
      <c r="R894" s="3">
        <v>0</v>
      </c>
      <c r="S894" s="3" t="s">
        <v>336</v>
      </c>
      <c r="T894" s="3" t="s">
        <v>611</v>
      </c>
      <c r="U894" s="3">
        <v>0</v>
      </c>
      <c r="V894" s="3">
        <v>21</v>
      </c>
      <c r="W894" s="3">
        <v>89</v>
      </c>
    </row>
    <row r="895" spans="1:23" ht="11.25" customHeight="1" x14ac:dyDescent="0.25">
      <c r="A895" s="3" t="s">
        <v>28</v>
      </c>
      <c r="B895" s="3" t="s">
        <v>41</v>
      </c>
      <c r="C895" s="3" t="s">
        <v>42</v>
      </c>
      <c r="D895" s="3" t="s">
        <v>46</v>
      </c>
      <c r="E895" s="3" t="s">
        <v>25</v>
      </c>
      <c r="F895" s="3" t="s">
        <v>25</v>
      </c>
      <c r="G895" s="3" t="s">
        <v>25</v>
      </c>
      <c r="H895" s="3" t="s">
        <v>35</v>
      </c>
      <c r="I895" s="6">
        <v>44287</v>
      </c>
      <c r="J895" s="4">
        <v>0</v>
      </c>
      <c r="K895" s="4">
        <v>0</v>
      </c>
      <c r="L895" s="4">
        <v>330.58699999999999</v>
      </c>
      <c r="M895" s="4">
        <v>330.58699999999999</v>
      </c>
      <c r="N895" s="4">
        <v>330.58699999999999</v>
      </c>
      <c r="O895" s="4">
        <v>330.58699999999999</v>
      </c>
      <c r="P895" s="4">
        <v>0</v>
      </c>
      <c r="Q895" s="3" t="s">
        <v>26</v>
      </c>
      <c r="R895" s="3">
        <v>0</v>
      </c>
      <c r="S895" s="3" t="s">
        <v>336</v>
      </c>
      <c r="T895" s="3" t="s">
        <v>611</v>
      </c>
      <c r="U895" s="3">
        <v>0</v>
      </c>
      <c r="V895" s="3">
        <v>21</v>
      </c>
      <c r="W895" s="3">
        <v>89</v>
      </c>
    </row>
    <row r="896" spans="1:23" ht="11.25" customHeight="1" x14ac:dyDescent="0.25">
      <c r="A896" s="3" t="s">
        <v>21</v>
      </c>
      <c r="B896" s="3" t="s">
        <v>41</v>
      </c>
      <c r="C896" s="3" t="s">
        <v>42</v>
      </c>
      <c r="D896" s="3" t="s">
        <v>46</v>
      </c>
      <c r="E896" s="3" t="s">
        <v>25</v>
      </c>
      <c r="F896" s="3" t="s">
        <v>25</v>
      </c>
      <c r="G896" s="3" t="s">
        <v>25</v>
      </c>
      <c r="H896" s="3" t="s">
        <v>35</v>
      </c>
      <c r="I896" s="6">
        <v>44317</v>
      </c>
      <c r="J896" s="4">
        <v>0</v>
      </c>
      <c r="K896" s="4">
        <v>0</v>
      </c>
      <c r="L896" s="4">
        <v>3330.223</v>
      </c>
      <c r="M896" s="4">
        <v>3330.223</v>
      </c>
      <c r="N896" s="4">
        <v>3330.223</v>
      </c>
      <c r="O896" s="4">
        <v>3330.223</v>
      </c>
      <c r="P896" s="4">
        <v>0</v>
      </c>
      <c r="Q896" s="3" t="s">
        <v>26</v>
      </c>
      <c r="R896" s="3">
        <v>0</v>
      </c>
      <c r="S896" s="3" t="s">
        <v>337</v>
      </c>
      <c r="T896" s="3" t="s">
        <v>612</v>
      </c>
      <c r="U896" s="3">
        <v>0</v>
      </c>
      <c r="V896" s="3">
        <v>21</v>
      </c>
      <c r="W896" s="3">
        <v>89</v>
      </c>
    </row>
    <row r="897" spans="1:23" ht="11.25" customHeight="1" x14ac:dyDescent="0.25">
      <c r="A897" s="3" t="s">
        <v>28</v>
      </c>
      <c r="B897" s="3" t="s">
        <v>41</v>
      </c>
      <c r="C897" s="3" t="s">
        <v>42</v>
      </c>
      <c r="D897" s="3" t="s">
        <v>46</v>
      </c>
      <c r="E897" s="3" t="s">
        <v>25</v>
      </c>
      <c r="F897" s="3" t="s">
        <v>25</v>
      </c>
      <c r="G897" s="3" t="s">
        <v>25</v>
      </c>
      <c r="H897" s="3" t="s">
        <v>35</v>
      </c>
      <c r="I897" s="6">
        <v>44317</v>
      </c>
      <c r="J897" s="4">
        <v>0</v>
      </c>
      <c r="K897" s="4">
        <v>0</v>
      </c>
      <c r="L897" s="4">
        <v>364.75200000000001</v>
      </c>
      <c r="M897" s="4">
        <v>364.75200000000001</v>
      </c>
      <c r="N897" s="4">
        <v>364.75200000000001</v>
      </c>
      <c r="O897" s="4">
        <v>364.75200000000001</v>
      </c>
      <c r="P897" s="4">
        <v>0</v>
      </c>
      <c r="Q897" s="3" t="s">
        <v>26</v>
      </c>
      <c r="R897" s="3">
        <v>0</v>
      </c>
      <c r="S897" s="3" t="s">
        <v>337</v>
      </c>
      <c r="T897" s="3" t="s">
        <v>612</v>
      </c>
      <c r="U897" s="3">
        <v>0</v>
      </c>
      <c r="V897" s="3">
        <v>21</v>
      </c>
      <c r="W897" s="3">
        <v>89</v>
      </c>
    </row>
    <row r="898" spans="1:23" ht="11.25" customHeight="1" x14ac:dyDescent="0.25">
      <c r="A898" s="3" t="s">
        <v>21</v>
      </c>
      <c r="B898" s="3" t="s">
        <v>41</v>
      </c>
      <c r="C898" s="3" t="s">
        <v>42</v>
      </c>
      <c r="D898" s="3" t="s">
        <v>46</v>
      </c>
      <c r="E898" s="3" t="s">
        <v>25</v>
      </c>
      <c r="F898" s="3" t="s">
        <v>25</v>
      </c>
      <c r="G898" s="3" t="s">
        <v>25</v>
      </c>
      <c r="H898" s="3" t="s">
        <v>35</v>
      </c>
      <c r="I898" s="6">
        <v>44348</v>
      </c>
      <c r="J898" s="4">
        <v>0</v>
      </c>
      <c r="K898" s="4">
        <v>0</v>
      </c>
      <c r="L898" s="4">
        <v>2968.3420000000001</v>
      </c>
      <c r="M898" s="4">
        <v>2968.3420000000001</v>
      </c>
      <c r="N898" s="4">
        <v>2968.3420000000001</v>
      </c>
      <c r="O898" s="4">
        <v>2968.3420000000001</v>
      </c>
      <c r="P898" s="4">
        <v>0</v>
      </c>
      <c r="Q898" s="3" t="s">
        <v>26</v>
      </c>
      <c r="R898" s="3">
        <v>0</v>
      </c>
      <c r="S898" s="3" t="s">
        <v>338</v>
      </c>
      <c r="T898" s="3" t="s">
        <v>613</v>
      </c>
      <c r="U898" s="3">
        <v>0</v>
      </c>
      <c r="V898" s="3">
        <v>21</v>
      </c>
      <c r="W898" s="3">
        <v>89</v>
      </c>
    </row>
    <row r="899" spans="1:23" ht="11.25" customHeight="1" x14ac:dyDescent="0.25">
      <c r="A899" s="3" t="s">
        <v>28</v>
      </c>
      <c r="B899" s="3" t="s">
        <v>41</v>
      </c>
      <c r="C899" s="3" t="s">
        <v>42</v>
      </c>
      <c r="D899" s="3" t="s">
        <v>46</v>
      </c>
      <c r="E899" s="3" t="s">
        <v>25</v>
      </c>
      <c r="F899" s="3" t="s">
        <v>25</v>
      </c>
      <c r="G899" s="3" t="s">
        <v>25</v>
      </c>
      <c r="H899" s="3" t="s">
        <v>35</v>
      </c>
      <c r="I899" s="6">
        <v>44348</v>
      </c>
      <c r="J899" s="4">
        <v>0</v>
      </c>
      <c r="K899" s="4">
        <v>0</v>
      </c>
      <c r="L899" s="4">
        <v>352.01799999999997</v>
      </c>
      <c r="M899" s="4">
        <v>352.01799999999997</v>
      </c>
      <c r="N899" s="4">
        <v>352.01799999999997</v>
      </c>
      <c r="O899" s="4">
        <v>352.01799999999997</v>
      </c>
      <c r="P899" s="4">
        <v>0</v>
      </c>
      <c r="Q899" s="3" t="s">
        <v>26</v>
      </c>
      <c r="R899" s="3">
        <v>0</v>
      </c>
      <c r="S899" s="3" t="s">
        <v>338</v>
      </c>
      <c r="T899" s="3" t="s">
        <v>613</v>
      </c>
      <c r="U899" s="3">
        <v>0</v>
      </c>
      <c r="V899" s="3">
        <v>21</v>
      </c>
      <c r="W899" s="3">
        <v>89</v>
      </c>
    </row>
    <row r="900" spans="1:23" ht="11.25" customHeight="1" x14ac:dyDescent="0.25">
      <c r="A900" s="3" t="s">
        <v>21</v>
      </c>
      <c r="B900" s="3" t="s">
        <v>41</v>
      </c>
      <c r="C900" s="3" t="s">
        <v>42</v>
      </c>
      <c r="D900" s="3" t="s">
        <v>46</v>
      </c>
      <c r="E900" s="3" t="s">
        <v>25</v>
      </c>
      <c r="F900" s="3" t="s">
        <v>25</v>
      </c>
      <c r="G900" s="3" t="s">
        <v>25</v>
      </c>
      <c r="H900" s="3" t="s">
        <v>35</v>
      </c>
      <c r="I900" s="6">
        <v>44378</v>
      </c>
      <c r="J900" s="4">
        <v>0</v>
      </c>
      <c r="K900" s="4">
        <v>0</v>
      </c>
      <c r="L900" s="4">
        <v>2896</v>
      </c>
      <c r="M900" s="4">
        <v>2896</v>
      </c>
      <c r="N900" s="4">
        <v>2896</v>
      </c>
      <c r="O900" s="4">
        <v>2896</v>
      </c>
      <c r="P900" s="4">
        <v>0</v>
      </c>
      <c r="Q900" s="3" t="s">
        <v>26</v>
      </c>
      <c r="R900" s="3">
        <v>0</v>
      </c>
      <c r="S900" s="3" t="s">
        <v>339</v>
      </c>
      <c r="T900" s="3" t="s">
        <v>614</v>
      </c>
      <c r="U900" s="3">
        <v>0</v>
      </c>
      <c r="V900" s="3">
        <v>21</v>
      </c>
      <c r="W900" s="3">
        <v>89</v>
      </c>
    </row>
    <row r="901" spans="1:23" ht="11.25" customHeight="1" x14ac:dyDescent="0.25">
      <c r="A901" s="3" t="s">
        <v>28</v>
      </c>
      <c r="B901" s="3" t="s">
        <v>41</v>
      </c>
      <c r="C901" s="3" t="s">
        <v>42</v>
      </c>
      <c r="D901" s="3" t="s">
        <v>46</v>
      </c>
      <c r="E901" s="3" t="s">
        <v>25</v>
      </c>
      <c r="F901" s="3" t="s">
        <v>25</v>
      </c>
      <c r="G901" s="3" t="s">
        <v>25</v>
      </c>
      <c r="H901" s="3" t="s">
        <v>35</v>
      </c>
      <c r="I901" s="6">
        <v>44378</v>
      </c>
      <c r="J901" s="4">
        <v>0</v>
      </c>
      <c r="K901" s="4">
        <v>0</v>
      </c>
      <c r="L901" s="4">
        <v>354.58600000000001</v>
      </c>
      <c r="M901" s="4">
        <v>354.58600000000001</v>
      </c>
      <c r="N901" s="4">
        <v>354.58600000000001</v>
      </c>
      <c r="O901" s="4">
        <v>354.58600000000001</v>
      </c>
      <c r="P901" s="4">
        <v>0</v>
      </c>
      <c r="Q901" s="3" t="s">
        <v>26</v>
      </c>
      <c r="R901" s="3">
        <v>0</v>
      </c>
      <c r="S901" s="3" t="s">
        <v>339</v>
      </c>
      <c r="T901" s="3" t="s">
        <v>614</v>
      </c>
      <c r="U901" s="3">
        <v>0</v>
      </c>
      <c r="V901" s="3">
        <v>21</v>
      </c>
      <c r="W901" s="3">
        <v>89</v>
      </c>
    </row>
    <row r="902" spans="1:23" ht="11.25" customHeight="1" x14ac:dyDescent="0.25">
      <c r="A902" s="3" t="s">
        <v>21</v>
      </c>
      <c r="B902" s="3" t="s">
        <v>41</v>
      </c>
      <c r="C902" s="3" t="s">
        <v>42</v>
      </c>
      <c r="D902" s="3" t="s">
        <v>46</v>
      </c>
      <c r="E902" s="3" t="s">
        <v>25</v>
      </c>
      <c r="F902" s="3" t="s">
        <v>25</v>
      </c>
      <c r="G902" s="3" t="s">
        <v>25</v>
      </c>
      <c r="H902" s="3" t="s">
        <v>35</v>
      </c>
      <c r="I902" s="6">
        <v>44409</v>
      </c>
      <c r="J902" s="4">
        <v>0</v>
      </c>
      <c r="K902" s="4">
        <v>0</v>
      </c>
      <c r="L902" s="4">
        <v>3114.625</v>
      </c>
      <c r="M902" s="4">
        <v>3114.625</v>
      </c>
      <c r="N902" s="4">
        <v>3114.625</v>
      </c>
      <c r="O902" s="4">
        <v>3114.625</v>
      </c>
      <c r="P902" s="4">
        <v>0</v>
      </c>
      <c r="Q902" s="3" t="s">
        <v>26</v>
      </c>
      <c r="R902" s="3">
        <v>0</v>
      </c>
      <c r="S902" s="3" t="s">
        <v>340</v>
      </c>
      <c r="T902" s="3" t="s">
        <v>615</v>
      </c>
      <c r="U902" s="3">
        <v>0</v>
      </c>
      <c r="V902" s="3">
        <v>21</v>
      </c>
      <c r="W902" s="3">
        <v>89</v>
      </c>
    </row>
    <row r="903" spans="1:23" ht="11.25" customHeight="1" x14ac:dyDescent="0.25">
      <c r="A903" s="3" t="s">
        <v>28</v>
      </c>
      <c r="B903" s="3" t="s">
        <v>41</v>
      </c>
      <c r="C903" s="3" t="s">
        <v>42</v>
      </c>
      <c r="D903" s="3" t="s">
        <v>46</v>
      </c>
      <c r="E903" s="3" t="s">
        <v>25</v>
      </c>
      <c r="F903" s="3" t="s">
        <v>25</v>
      </c>
      <c r="G903" s="3" t="s">
        <v>25</v>
      </c>
      <c r="H903" s="3" t="s">
        <v>35</v>
      </c>
      <c r="I903" s="6">
        <v>44409</v>
      </c>
      <c r="J903" s="4">
        <v>0</v>
      </c>
      <c r="K903" s="4">
        <v>0</v>
      </c>
      <c r="L903" s="4">
        <v>347.67899999999997</v>
      </c>
      <c r="M903" s="4">
        <v>347.67899999999997</v>
      </c>
      <c r="N903" s="4">
        <v>347.67899999999997</v>
      </c>
      <c r="O903" s="4">
        <v>347.67899999999997</v>
      </c>
      <c r="P903" s="4">
        <v>0</v>
      </c>
      <c r="Q903" s="3" t="s">
        <v>26</v>
      </c>
      <c r="R903" s="3">
        <v>0</v>
      </c>
      <c r="S903" s="3" t="s">
        <v>340</v>
      </c>
      <c r="T903" s="3" t="s">
        <v>615</v>
      </c>
      <c r="U903" s="3">
        <v>0</v>
      </c>
      <c r="V903" s="3">
        <v>21</v>
      </c>
      <c r="W903" s="3">
        <v>89</v>
      </c>
    </row>
    <row r="904" spans="1:23" ht="11.25" customHeight="1" x14ac:dyDescent="0.25">
      <c r="A904" s="3" t="s">
        <v>28</v>
      </c>
      <c r="B904" s="3" t="s">
        <v>41</v>
      </c>
      <c r="C904" s="3" t="s">
        <v>42</v>
      </c>
      <c r="D904" s="3" t="s">
        <v>46</v>
      </c>
      <c r="E904" s="3" t="s">
        <v>25</v>
      </c>
      <c r="F904" s="3" t="s">
        <v>25</v>
      </c>
      <c r="G904" s="3" t="s">
        <v>25</v>
      </c>
      <c r="H904" s="3" t="s">
        <v>35</v>
      </c>
      <c r="I904" s="6">
        <v>44409</v>
      </c>
      <c r="J904" s="4">
        <v>0</v>
      </c>
      <c r="K904" s="4">
        <v>0</v>
      </c>
      <c r="L904" s="4">
        <v>0.17399999999999999</v>
      </c>
      <c r="M904" s="4">
        <v>0.17399999999999999</v>
      </c>
      <c r="N904" s="4">
        <v>0.17399999999999999</v>
      </c>
      <c r="O904" s="4">
        <v>0.17399999999999999</v>
      </c>
      <c r="P904" s="4">
        <v>0</v>
      </c>
      <c r="Q904" s="3" t="s">
        <v>26</v>
      </c>
      <c r="R904" s="3">
        <v>0</v>
      </c>
      <c r="S904" s="3" t="s">
        <v>340</v>
      </c>
      <c r="T904" s="3" t="s">
        <v>615</v>
      </c>
      <c r="U904" s="3">
        <v>0</v>
      </c>
      <c r="V904" s="3">
        <v>21</v>
      </c>
      <c r="W904" s="3">
        <v>89</v>
      </c>
    </row>
    <row r="905" spans="1:23" ht="11.25" customHeight="1" x14ac:dyDescent="0.25">
      <c r="A905" s="3" t="s">
        <v>21</v>
      </c>
      <c r="B905" s="3" t="s">
        <v>41</v>
      </c>
      <c r="C905" s="3" t="s">
        <v>42</v>
      </c>
      <c r="D905" s="3" t="s">
        <v>46</v>
      </c>
      <c r="E905" s="3" t="s">
        <v>25</v>
      </c>
      <c r="F905" s="3" t="s">
        <v>25</v>
      </c>
      <c r="G905" s="3" t="s">
        <v>25</v>
      </c>
      <c r="H905" s="3" t="s">
        <v>35</v>
      </c>
      <c r="I905" s="6">
        <v>44440</v>
      </c>
      <c r="J905" s="4">
        <v>0</v>
      </c>
      <c r="K905" s="4">
        <v>0</v>
      </c>
      <c r="L905" s="4">
        <v>3371.067</v>
      </c>
      <c r="M905" s="4">
        <v>3371.067</v>
      </c>
      <c r="N905" s="4">
        <v>3371.067</v>
      </c>
      <c r="O905" s="4">
        <v>3371.067</v>
      </c>
      <c r="P905" s="4">
        <v>0</v>
      </c>
      <c r="Q905" s="3" t="s">
        <v>26</v>
      </c>
      <c r="R905" s="3">
        <v>0</v>
      </c>
      <c r="S905" s="3" t="s">
        <v>341</v>
      </c>
      <c r="T905" s="3" t="s">
        <v>616</v>
      </c>
      <c r="U905" s="3">
        <v>0</v>
      </c>
      <c r="V905" s="3">
        <v>21</v>
      </c>
      <c r="W905" s="3">
        <v>89</v>
      </c>
    </row>
    <row r="906" spans="1:23" ht="11.25" customHeight="1" x14ac:dyDescent="0.25">
      <c r="A906" s="3" t="s">
        <v>28</v>
      </c>
      <c r="B906" s="3" t="s">
        <v>41</v>
      </c>
      <c r="C906" s="3" t="s">
        <v>42</v>
      </c>
      <c r="D906" s="3" t="s">
        <v>46</v>
      </c>
      <c r="E906" s="3" t="s">
        <v>25</v>
      </c>
      <c r="F906" s="3" t="s">
        <v>25</v>
      </c>
      <c r="G906" s="3" t="s">
        <v>25</v>
      </c>
      <c r="H906" s="3" t="s">
        <v>35</v>
      </c>
      <c r="I906" s="6">
        <v>44440</v>
      </c>
      <c r="J906" s="4">
        <v>0</v>
      </c>
      <c r="K906" s="4">
        <v>0</v>
      </c>
      <c r="L906" s="4">
        <v>393.62799999999999</v>
      </c>
      <c r="M906" s="4">
        <v>393.62799999999999</v>
      </c>
      <c r="N906" s="4">
        <v>393.62799999999999</v>
      </c>
      <c r="O906" s="4">
        <v>393.62799999999999</v>
      </c>
      <c r="P906" s="4">
        <v>0</v>
      </c>
      <c r="Q906" s="3" t="s">
        <v>26</v>
      </c>
      <c r="R906" s="3">
        <v>0</v>
      </c>
      <c r="S906" s="3" t="s">
        <v>341</v>
      </c>
      <c r="T906" s="3" t="s">
        <v>616</v>
      </c>
      <c r="U906" s="3">
        <v>0</v>
      </c>
      <c r="V906" s="3">
        <v>21</v>
      </c>
      <c r="W906" s="3">
        <v>89</v>
      </c>
    </row>
    <row r="907" spans="1:23" ht="11.25" customHeight="1" x14ac:dyDescent="0.25">
      <c r="A907" s="3" t="s">
        <v>21</v>
      </c>
      <c r="B907" s="3" t="s">
        <v>41</v>
      </c>
      <c r="C907" s="3" t="s">
        <v>42</v>
      </c>
      <c r="D907" s="3" t="s">
        <v>46</v>
      </c>
      <c r="E907" s="3" t="s">
        <v>25</v>
      </c>
      <c r="F907" s="3" t="s">
        <v>25</v>
      </c>
      <c r="G907" s="3" t="s">
        <v>25</v>
      </c>
      <c r="H907" s="3" t="s">
        <v>35</v>
      </c>
      <c r="I907" s="6">
        <v>44470</v>
      </c>
      <c r="J907" s="4">
        <v>0</v>
      </c>
      <c r="K907" s="4">
        <v>0</v>
      </c>
      <c r="L907" s="4">
        <v>3891.2249999999999</v>
      </c>
      <c r="M907" s="4">
        <v>3891.2249999999999</v>
      </c>
      <c r="N907" s="4">
        <v>3891.2249999999999</v>
      </c>
      <c r="O907" s="4">
        <v>3891.2249999999999</v>
      </c>
      <c r="P907" s="4">
        <v>0</v>
      </c>
      <c r="Q907" s="3" t="s">
        <v>26</v>
      </c>
      <c r="R907" s="3">
        <v>0</v>
      </c>
      <c r="S907" s="3" t="s">
        <v>342</v>
      </c>
      <c r="T907" s="3" t="s">
        <v>617</v>
      </c>
      <c r="U907" s="3">
        <v>0</v>
      </c>
      <c r="V907" s="3">
        <v>21</v>
      </c>
      <c r="W907" s="3">
        <v>89</v>
      </c>
    </row>
    <row r="908" spans="1:23" ht="11.25" customHeight="1" x14ac:dyDescent="0.25">
      <c r="A908" s="3" t="s">
        <v>28</v>
      </c>
      <c r="B908" s="3" t="s">
        <v>41</v>
      </c>
      <c r="C908" s="3" t="s">
        <v>42</v>
      </c>
      <c r="D908" s="3" t="s">
        <v>46</v>
      </c>
      <c r="E908" s="3" t="s">
        <v>25</v>
      </c>
      <c r="F908" s="3" t="s">
        <v>25</v>
      </c>
      <c r="G908" s="3" t="s">
        <v>25</v>
      </c>
      <c r="H908" s="3" t="s">
        <v>35</v>
      </c>
      <c r="I908" s="6">
        <v>44470</v>
      </c>
      <c r="J908" s="4">
        <v>0</v>
      </c>
      <c r="K908" s="4">
        <v>0</v>
      </c>
      <c r="L908" s="4">
        <v>452.12</v>
      </c>
      <c r="M908" s="4">
        <v>452.12</v>
      </c>
      <c r="N908" s="4">
        <v>452.12</v>
      </c>
      <c r="O908" s="4">
        <v>452.12</v>
      </c>
      <c r="P908" s="4">
        <v>0</v>
      </c>
      <c r="Q908" s="3" t="s">
        <v>26</v>
      </c>
      <c r="R908" s="3">
        <v>0</v>
      </c>
      <c r="S908" s="3" t="s">
        <v>342</v>
      </c>
      <c r="T908" s="3" t="s">
        <v>617</v>
      </c>
      <c r="U908" s="3">
        <v>0</v>
      </c>
      <c r="V908" s="3">
        <v>21</v>
      </c>
      <c r="W908" s="3">
        <v>89</v>
      </c>
    </row>
    <row r="909" spans="1:23" ht="11.25" customHeight="1" x14ac:dyDescent="0.25">
      <c r="A909" s="3" t="s">
        <v>21</v>
      </c>
      <c r="B909" s="3" t="s">
        <v>41</v>
      </c>
      <c r="C909" s="3" t="s">
        <v>42</v>
      </c>
      <c r="D909" s="3" t="s">
        <v>46</v>
      </c>
      <c r="E909" s="3" t="s">
        <v>25</v>
      </c>
      <c r="F909" s="3" t="s">
        <v>25</v>
      </c>
      <c r="G909" s="3" t="s">
        <v>25</v>
      </c>
      <c r="H909" s="3" t="s">
        <v>35</v>
      </c>
      <c r="I909" s="6">
        <v>44501</v>
      </c>
      <c r="J909" s="4">
        <v>0</v>
      </c>
      <c r="K909" s="4">
        <v>0</v>
      </c>
      <c r="L909" s="4">
        <v>4237.3530000000001</v>
      </c>
      <c r="M909" s="4">
        <v>4237.3530000000001</v>
      </c>
      <c r="N909" s="4">
        <v>4237.3530000000001</v>
      </c>
      <c r="O909" s="4">
        <v>4237.3530000000001</v>
      </c>
      <c r="P909" s="4">
        <v>0</v>
      </c>
      <c r="Q909" s="3" t="s">
        <v>26</v>
      </c>
      <c r="R909" s="3">
        <v>0</v>
      </c>
      <c r="S909" s="3" t="s">
        <v>343</v>
      </c>
      <c r="T909" s="3" t="s">
        <v>618</v>
      </c>
      <c r="U909" s="3">
        <v>0</v>
      </c>
      <c r="V909" s="3">
        <v>21</v>
      </c>
      <c r="W909" s="3">
        <v>89</v>
      </c>
    </row>
    <row r="910" spans="1:23" ht="11.25" customHeight="1" x14ac:dyDescent="0.25">
      <c r="A910" s="3" t="s">
        <v>28</v>
      </c>
      <c r="B910" s="3" t="s">
        <v>41</v>
      </c>
      <c r="C910" s="3" t="s">
        <v>42</v>
      </c>
      <c r="D910" s="3" t="s">
        <v>46</v>
      </c>
      <c r="E910" s="3" t="s">
        <v>25</v>
      </c>
      <c r="F910" s="3" t="s">
        <v>25</v>
      </c>
      <c r="G910" s="3" t="s">
        <v>25</v>
      </c>
      <c r="H910" s="3" t="s">
        <v>35</v>
      </c>
      <c r="I910" s="6">
        <v>44501</v>
      </c>
      <c r="J910" s="4">
        <v>0</v>
      </c>
      <c r="K910" s="4">
        <v>0</v>
      </c>
      <c r="L910" s="4">
        <v>473.48099999999999</v>
      </c>
      <c r="M910" s="4">
        <v>473.48099999999999</v>
      </c>
      <c r="N910" s="4">
        <v>473.48099999999999</v>
      </c>
      <c r="O910" s="4">
        <v>473.48099999999999</v>
      </c>
      <c r="P910" s="4">
        <v>0</v>
      </c>
      <c r="Q910" s="3" t="s">
        <v>26</v>
      </c>
      <c r="R910" s="3">
        <v>0</v>
      </c>
      <c r="S910" s="3" t="s">
        <v>343</v>
      </c>
      <c r="T910" s="3" t="s">
        <v>618</v>
      </c>
      <c r="U910" s="3">
        <v>0</v>
      </c>
      <c r="V910" s="3">
        <v>21</v>
      </c>
      <c r="W910" s="3">
        <v>89</v>
      </c>
    </row>
    <row r="911" spans="1:23" ht="11.25" customHeight="1" x14ac:dyDescent="0.25">
      <c r="A911" s="3" t="s">
        <v>21</v>
      </c>
      <c r="B911" s="3" t="s">
        <v>41</v>
      </c>
      <c r="C911" s="3" t="s">
        <v>42</v>
      </c>
      <c r="D911" s="3" t="s">
        <v>46</v>
      </c>
      <c r="E911" s="3" t="s">
        <v>25</v>
      </c>
      <c r="F911" s="3" t="s">
        <v>25</v>
      </c>
      <c r="G911" s="3" t="s">
        <v>25</v>
      </c>
      <c r="H911" s="3" t="s">
        <v>35</v>
      </c>
      <c r="I911" s="6">
        <v>44531</v>
      </c>
      <c r="J911" s="4">
        <v>0</v>
      </c>
      <c r="K911" s="4">
        <v>0</v>
      </c>
      <c r="L911" s="4">
        <v>4234.7969999999996</v>
      </c>
      <c r="M911" s="4">
        <v>4234.7969999999996</v>
      </c>
      <c r="N911" s="4">
        <v>4234.7969999999996</v>
      </c>
      <c r="O911" s="4">
        <v>4234.7969999999996</v>
      </c>
      <c r="P911" s="4">
        <v>0</v>
      </c>
      <c r="Q911" s="3" t="s">
        <v>26</v>
      </c>
      <c r="R911" s="3">
        <v>0</v>
      </c>
      <c r="S911" s="3" t="s">
        <v>344</v>
      </c>
      <c r="T911" s="3" t="s">
        <v>619</v>
      </c>
      <c r="U911" s="3">
        <v>0</v>
      </c>
      <c r="V911" s="3">
        <v>21</v>
      </c>
      <c r="W911" s="3">
        <v>89</v>
      </c>
    </row>
    <row r="912" spans="1:23" ht="11.25" customHeight="1" x14ac:dyDescent="0.25">
      <c r="A912" s="3" t="s">
        <v>28</v>
      </c>
      <c r="B912" s="3" t="s">
        <v>41</v>
      </c>
      <c r="C912" s="3" t="s">
        <v>42</v>
      </c>
      <c r="D912" s="3" t="s">
        <v>46</v>
      </c>
      <c r="E912" s="3" t="s">
        <v>25</v>
      </c>
      <c r="F912" s="3" t="s">
        <v>25</v>
      </c>
      <c r="G912" s="3" t="s">
        <v>25</v>
      </c>
      <c r="H912" s="3" t="s">
        <v>35</v>
      </c>
      <c r="I912" s="6">
        <v>44531</v>
      </c>
      <c r="J912" s="4">
        <v>0</v>
      </c>
      <c r="K912" s="4">
        <v>0</v>
      </c>
      <c r="L912" s="4">
        <v>499.49400000000003</v>
      </c>
      <c r="M912" s="4">
        <v>499.49400000000003</v>
      </c>
      <c r="N912" s="4">
        <v>499.49400000000003</v>
      </c>
      <c r="O912" s="4">
        <v>499.49400000000003</v>
      </c>
      <c r="P912" s="4">
        <v>0</v>
      </c>
      <c r="Q912" s="3" t="s">
        <v>26</v>
      </c>
      <c r="R912" s="3">
        <v>0</v>
      </c>
      <c r="S912" s="3" t="s">
        <v>344</v>
      </c>
      <c r="T912" s="3" t="s">
        <v>619</v>
      </c>
      <c r="U912" s="3">
        <v>0</v>
      </c>
      <c r="V912" s="3">
        <v>21</v>
      </c>
      <c r="W912" s="3">
        <v>89</v>
      </c>
    </row>
    <row r="913" spans="1:23" ht="11.25" customHeight="1" x14ac:dyDescent="0.25">
      <c r="A913" s="3" t="s">
        <v>28</v>
      </c>
      <c r="B913" s="3" t="s">
        <v>41</v>
      </c>
      <c r="C913" s="3" t="s">
        <v>42</v>
      </c>
      <c r="D913" s="3" t="s">
        <v>46</v>
      </c>
      <c r="E913" s="3" t="s">
        <v>25</v>
      </c>
      <c r="F913" s="3" t="s">
        <v>25</v>
      </c>
      <c r="G913" s="3" t="s">
        <v>25</v>
      </c>
      <c r="H913" s="3" t="s">
        <v>35</v>
      </c>
      <c r="I913" s="6">
        <v>44531</v>
      </c>
      <c r="J913" s="4">
        <v>0</v>
      </c>
      <c r="K913" s="4">
        <v>0</v>
      </c>
      <c r="L913" s="4">
        <v>-6.16</v>
      </c>
      <c r="M913" s="4">
        <v>-6.16</v>
      </c>
      <c r="N913" s="4">
        <v>-6.16</v>
      </c>
      <c r="O913" s="4">
        <v>-6.16</v>
      </c>
      <c r="P913" s="4">
        <v>0</v>
      </c>
      <c r="Q913" s="3" t="s">
        <v>26</v>
      </c>
      <c r="R913" s="3">
        <v>0</v>
      </c>
      <c r="S913" s="3" t="s">
        <v>344</v>
      </c>
      <c r="T913" s="3" t="s">
        <v>619</v>
      </c>
      <c r="U913" s="3">
        <v>0</v>
      </c>
      <c r="V913" s="3">
        <v>21</v>
      </c>
      <c r="W913" s="3">
        <v>89</v>
      </c>
    </row>
    <row r="914" spans="1:23" ht="11.25" customHeight="1" x14ac:dyDescent="0.25">
      <c r="A914" s="3" t="s">
        <v>21</v>
      </c>
      <c r="B914" s="3" t="s">
        <v>41</v>
      </c>
      <c r="C914" s="3" t="s">
        <v>42</v>
      </c>
      <c r="D914" s="3" t="s">
        <v>46</v>
      </c>
      <c r="E914" s="3" t="s">
        <v>25</v>
      </c>
      <c r="F914" s="3" t="s">
        <v>25</v>
      </c>
      <c r="G914" s="3" t="s">
        <v>25</v>
      </c>
      <c r="H914" s="3" t="s">
        <v>35</v>
      </c>
      <c r="I914" s="6">
        <v>44562</v>
      </c>
      <c r="J914" s="4">
        <v>0</v>
      </c>
      <c r="K914" s="4">
        <v>0</v>
      </c>
      <c r="L914" s="4">
        <v>4524.2740000000003</v>
      </c>
      <c r="M914" s="4">
        <v>4524.2740000000003</v>
      </c>
      <c r="N914" s="4">
        <v>4524.2740000000003</v>
      </c>
      <c r="O914" s="4">
        <v>4524.2740000000003</v>
      </c>
      <c r="P914" s="4">
        <v>0</v>
      </c>
      <c r="Q914" s="3" t="s">
        <v>26</v>
      </c>
      <c r="R914" s="3">
        <v>0</v>
      </c>
      <c r="S914" s="3" t="s">
        <v>345</v>
      </c>
      <c r="T914" s="3" t="s">
        <v>620</v>
      </c>
      <c r="U914" s="3">
        <v>0</v>
      </c>
      <c r="V914" s="3">
        <v>21</v>
      </c>
      <c r="W914" s="3">
        <v>89</v>
      </c>
    </row>
    <row r="915" spans="1:23" ht="11.25" customHeight="1" x14ac:dyDescent="0.25">
      <c r="A915" s="3" t="s">
        <v>27</v>
      </c>
      <c r="B915" s="3" t="s">
        <v>41</v>
      </c>
      <c r="C915" s="3" t="s">
        <v>42</v>
      </c>
      <c r="D915" s="3" t="s">
        <v>46</v>
      </c>
      <c r="E915" s="3" t="s">
        <v>25</v>
      </c>
      <c r="F915" s="3" t="s">
        <v>25</v>
      </c>
      <c r="G915" s="3" t="s">
        <v>25</v>
      </c>
      <c r="H915" s="3" t="s">
        <v>35</v>
      </c>
      <c r="I915" s="6">
        <v>44562</v>
      </c>
      <c r="J915" s="4">
        <v>0</v>
      </c>
      <c r="K915" s="4">
        <v>0</v>
      </c>
      <c r="L915" s="4">
        <v>0.371</v>
      </c>
      <c r="M915" s="4">
        <v>0.371</v>
      </c>
      <c r="N915" s="4">
        <v>0.371</v>
      </c>
      <c r="O915" s="4">
        <v>0.371</v>
      </c>
      <c r="P915" s="4">
        <v>0</v>
      </c>
      <c r="Q915" s="3" t="s">
        <v>26</v>
      </c>
      <c r="R915" s="3">
        <v>0</v>
      </c>
      <c r="S915" s="3" t="s">
        <v>345</v>
      </c>
      <c r="T915" s="3" t="s">
        <v>620</v>
      </c>
      <c r="U915" s="3">
        <v>0</v>
      </c>
      <c r="V915" s="3">
        <v>21</v>
      </c>
      <c r="W915" s="3">
        <v>89</v>
      </c>
    </row>
    <row r="916" spans="1:23" ht="11.25" customHeight="1" x14ac:dyDescent="0.25">
      <c r="A916" s="3" t="s">
        <v>28</v>
      </c>
      <c r="B916" s="3" t="s">
        <v>41</v>
      </c>
      <c r="C916" s="3" t="s">
        <v>42</v>
      </c>
      <c r="D916" s="3" t="s">
        <v>46</v>
      </c>
      <c r="E916" s="3" t="s">
        <v>25</v>
      </c>
      <c r="F916" s="3" t="s">
        <v>25</v>
      </c>
      <c r="G916" s="3" t="s">
        <v>25</v>
      </c>
      <c r="H916" s="3" t="s">
        <v>35</v>
      </c>
      <c r="I916" s="6">
        <v>44562</v>
      </c>
      <c r="J916" s="4">
        <v>0</v>
      </c>
      <c r="K916" s="4">
        <v>0</v>
      </c>
      <c r="L916" s="4">
        <v>490.7</v>
      </c>
      <c r="M916" s="4">
        <v>490.7</v>
      </c>
      <c r="N916" s="4">
        <v>490.7</v>
      </c>
      <c r="O916" s="4">
        <v>490.7</v>
      </c>
      <c r="P916" s="4">
        <v>0</v>
      </c>
      <c r="Q916" s="3" t="s">
        <v>26</v>
      </c>
      <c r="R916" s="3">
        <v>0</v>
      </c>
      <c r="S916" s="3" t="s">
        <v>345</v>
      </c>
      <c r="T916" s="3" t="s">
        <v>620</v>
      </c>
      <c r="U916" s="3">
        <v>0</v>
      </c>
      <c r="V916" s="3">
        <v>21</v>
      </c>
      <c r="W916" s="3">
        <v>89</v>
      </c>
    </row>
    <row r="917" spans="1:23" ht="11.25" customHeight="1" x14ac:dyDescent="0.25">
      <c r="A917" s="3" t="s">
        <v>21</v>
      </c>
      <c r="B917" s="3" t="s">
        <v>41</v>
      </c>
      <c r="C917" s="3" t="s">
        <v>42</v>
      </c>
      <c r="D917" s="3" t="s">
        <v>46</v>
      </c>
      <c r="E917" s="3" t="s">
        <v>25</v>
      </c>
      <c r="F917" s="3" t="s">
        <v>25</v>
      </c>
      <c r="G917" s="3" t="s">
        <v>25</v>
      </c>
      <c r="H917" s="3" t="s">
        <v>35</v>
      </c>
      <c r="I917" s="6">
        <v>44593</v>
      </c>
      <c r="J917" s="4">
        <v>0</v>
      </c>
      <c r="K917" s="4">
        <v>0</v>
      </c>
      <c r="L917" s="4">
        <v>4166.7240000000002</v>
      </c>
      <c r="M917" s="4">
        <v>4166.7240000000002</v>
      </c>
      <c r="N917" s="4">
        <v>4166.7240000000002</v>
      </c>
      <c r="O917" s="4">
        <v>4166.7240000000002</v>
      </c>
      <c r="P917" s="4">
        <v>0</v>
      </c>
      <c r="Q917" s="3" t="s">
        <v>26</v>
      </c>
      <c r="R917" s="3">
        <v>0</v>
      </c>
      <c r="S917" s="3" t="s">
        <v>346</v>
      </c>
      <c r="T917" s="3" t="s">
        <v>621</v>
      </c>
      <c r="U917" s="3">
        <v>0</v>
      </c>
      <c r="V917" s="3">
        <v>21</v>
      </c>
      <c r="W917" s="3">
        <v>89</v>
      </c>
    </row>
    <row r="918" spans="1:23" ht="11.25" customHeight="1" x14ac:dyDescent="0.25">
      <c r="A918" s="3" t="s">
        <v>27</v>
      </c>
      <c r="B918" s="3" t="s">
        <v>41</v>
      </c>
      <c r="C918" s="3" t="s">
        <v>42</v>
      </c>
      <c r="D918" s="3" t="s">
        <v>46</v>
      </c>
      <c r="E918" s="3" t="s">
        <v>25</v>
      </c>
      <c r="F918" s="3" t="s">
        <v>25</v>
      </c>
      <c r="G918" s="3" t="s">
        <v>25</v>
      </c>
      <c r="H918" s="3" t="s">
        <v>35</v>
      </c>
      <c r="I918" s="6">
        <v>44593</v>
      </c>
      <c r="J918" s="4">
        <v>0</v>
      </c>
      <c r="K918" s="4">
        <v>0</v>
      </c>
      <c r="L918" s="4">
        <v>-330.14499999999998</v>
      </c>
      <c r="M918" s="4">
        <v>-330.14499999999998</v>
      </c>
      <c r="N918" s="4">
        <v>-330.14499999999998</v>
      </c>
      <c r="O918" s="4">
        <v>-330.14499999999998</v>
      </c>
      <c r="P918" s="4">
        <v>0</v>
      </c>
      <c r="Q918" s="3" t="s">
        <v>26</v>
      </c>
      <c r="R918" s="3">
        <v>0</v>
      </c>
      <c r="S918" s="3" t="s">
        <v>346</v>
      </c>
      <c r="T918" s="3" t="s">
        <v>621</v>
      </c>
      <c r="U918" s="3">
        <v>0</v>
      </c>
      <c r="V918" s="3">
        <v>21</v>
      </c>
      <c r="W918" s="3">
        <v>89</v>
      </c>
    </row>
    <row r="919" spans="1:23" ht="11.25" customHeight="1" x14ac:dyDescent="0.25">
      <c r="A919" s="3" t="s">
        <v>28</v>
      </c>
      <c r="B919" s="3" t="s">
        <v>41</v>
      </c>
      <c r="C919" s="3" t="s">
        <v>42</v>
      </c>
      <c r="D919" s="3" t="s">
        <v>46</v>
      </c>
      <c r="E919" s="3" t="s">
        <v>25</v>
      </c>
      <c r="F919" s="3" t="s">
        <v>25</v>
      </c>
      <c r="G919" s="3" t="s">
        <v>25</v>
      </c>
      <c r="H919" s="3" t="s">
        <v>35</v>
      </c>
      <c r="I919" s="6">
        <v>44593</v>
      </c>
      <c r="J919" s="4">
        <v>0</v>
      </c>
      <c r="K919" s="4">
        <v>0</v>
      </c>
      <c r="L919" s="4">
        <v>487.536</v>
      </c>
      <c r="M919" s="4">
        <v>487.536</v>
      </c>
      <c r="N919" s="4">
        <v>487.536</v>
      </c>
      <c r="O919" s="4">
        <v>487.536</v>
      </c>
      <c r="P919" s="4">
        <v>0</v>
      </c>
      <c r="Q919" s="3" t="s">
        <v>26</v>
      </c>
      <c r="R919" s="3">
        <v>0</v>
      </c>
      <c r="S919" s="3" t="s">
        <v>346</v>
      </c>
      <c r="T919" s="3" t="s">
        <v>621</v>
      </c>
      <c r="U919" s="3">
        <v>0</v>
      </c>
      <c r="V919" s="3">
        <v>21</v>
      </c>
      <c r="W919" s="3">
        <v>89</v>
      </c>
    </row>
    <row r="920" spans="1:23" ht="11.25" customHeight="1" x14ac:dyDescent="0.25">
      <c r="A920" s="3" t="s">
        <v>56</v>
      </c>
      <c r="B920" s="3" t="s">
        <v>41</v>
      </c>
      <c r="C920" s="3" t="s">
        <v>42</v>
      </c>
      <c r="D920" s="3" t="s">
        <v>46</v>
      </c>
      <c r="E920" s="3" t="s">
        <v>25</v>
      </c>
      <c r="F920" s="3" t="s">
        <v>25</v>
      </c>
      <c r="G920" s="3" t="s">
        <v>25</v>
      </c>
      <c r="H920" s="3" t="s">
        <v>35</v>
      </c>
      <c r="I920" s="6">
        <v>44621</v>
      </c>
      <c r="J920" s="4">
        <v>0</v>
      </c>
      <c r="K920" s="4">
        <v>0</v>
      </c>
      <c r="L920" s="4">
        <v>4166.7240000000002</v>
      </c>
      <c r="M920" s="4">
        <v>4166.7240000000002</v>
      </c>
      <c r="N920" s="4">
        <v>4166.7240000000002</v>
      </c>
      <c r="O920" s="4">
        <v>4166.7240000000002</v>
      </c>
      <c r="P920" s="4">
        <v>0</v>
      </c>
      <c r="Q920" s="3" t="s">
        <v>26</v>
      </c>
      <c r="R920" s="3">
        <v>0</v>
      </c>
      <c r="S920" s="3" t="s">
        <v>347</v>
      </c>
      <c r="T920" s="3" t="s">
        <v>622</v>
      </c>
      <c r="U920" s="3">
        <v>0</v>
      </c>
      <c r="V920" s="3">
        <v>21</v>
      </c>
      <c r="W920" s="3">
        <v>89</v>
      </c>
    </row>
    <row r="921" spans="1:23" ht="11.25" customHeight="1" x14ac:dyDescent="0.25">
      <c r="A921" s="3" t="s">
        <v>56</v>
      </c>
      <c r="B921" s="3" t="s">
        <v>41</v>
      </c>
      <c r="C921" s="3" t="s">
        <v>42</v>
      </c>
      <c r="D921" s="3" t="s">
        <v>46</v>
      </c>
      <c r="E921" s="3" t="s">
        <v>25</v>
      </c>
      <c r="F921" s="3" t="s">
        <v>25</v>
      </c>
      <c r="G921" s="3" t="s">
        <v>25</v>
      </c>
      <c r="H921" s="3" t="s">
        <v>35</v>
      </c>
      <c r="I921" s="6">
        <v>44621</v>
      </c>
      <c r="J921" s="4">
        <v>0</v>
      </c>
      <c r="K921" s="4">
        <v>0</v>
      </c>
      <c r="L921" s="4">
        <v>-330.14499999999998</v>
      </c>
      <c r="M921" s="4">
        <v>-330.14499999999998</v>
      </c>
      <c r="N921" s="4">
        <v>-330.14499999999998</v>
      </c>
      <c r="O921" s="4">
        <v>-330.14499999999998</v>
      </c>
      <c r="P921" s="4">
        <v>0</v>
      </c>
      <c r="Q921" s="3" t="s">
        <v>26</v>
      </c>
      <c r="R921" s="3">
        <v>0</v>
      </c>
      <c r="S921" s="3" t="s">
        <v>347</v>
      </c>
      <c r="T921" s="3" t="s">
        <v>622</v>
      </c>
      <c r="U921" s="3">
        <v>0</v>
      </c>
      <c r="V921" s="3">
        <v>21</v>
      </c>
      <c r="W921" s="3">
        <v>89</v>
      </c>
    </row>
    <row r="922" spans="1:23" ht="11.25" customHeight="1" x14ac:dyDescent="0.25">
      <c r="A922" s="3" t="s">
        <v>56</v>
      </c>
      <c r="B922" s="3" t="s">
        <v>41</v>
      </c>
      <c r="C922" s="3" t="s">
        <v>42</v>
      </c>
      <c r="D922" s="3" t="s">
        <v>46</v>
      </c>
      <c r="E922" s="3" t="s">
        <v>25</v>
      </c>
      <c r="F922" s="3" t="s">
        <v>25</v>
      </c>
      <c r="G922" s="3" t="s">
        <v>25</v>
      </c>
      <c r="H922" s="3" t="s">
        <v>35</v>
      </c>
      <c r="I922" s="6">
        <v>44621</v>
      </c>
      <c r="J922" s="4">
        <v>0</v>
      </c>
      <c r="K922" s="4">
        <v>0</v>
      </c>
      <c r="L922" s="4">
        <v>487.536</v>
      </c>
      <c r="M922" s="4">
        <v>487.536</v>
      </c>
      <c r="N922" s="4">
        <v>487.536</v>
      </c>
      <c r="O922" s="4">
        <v>487.536</v>
      </c>
      <c r="P922" s="4">
        <v>0</v>
      </c>
      <c r="Q922" s="3" t="s">
        <v>26</v>
      </c>
      <c r="R922" s="3">
        <v>0</v>
      </c>
      <c r="S922" s="3" t="s">
        <v>347</v>
      </c>
      <c r="T922" s="3" t="s">
        <v>622</v>
      </c>
      <c r="U922" s="3">
        <v>0</v>
      </c>
      <c r="V922" s="3">
        <v>21</v>
      </c>
      <c r="W922" s="3">
        <v>89</v>
      </c>
    </row>
    <row r="923" spans="1:23" ht="11.25" customHeight="1" x14ac:dyDescent="0.25">
      <c r="A923" s="3" t="s">
        <v>21</v>
      </c>
      <c r="B923" s="3" t="s">
        <v>41</v>
      </c>
      <c r="C923" s="3" t="s">
        <v>42</v>
      </c>
      <c r="D923" s="3" t="s">
        <v>46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44287</v>
      </c>
      <c r="J923" s="4">
        <v>30704</v>
      </c>
      <c r="K923" s="4">
        <v>30704</v>
      </c>
      <c r="L923" s="4">
        <v>0</v>
      </c>
      <c r="M923" s="4">
        <v>0</v>
      </c>
      <c r="N923" s="4">
        <v>0</v>
      </c>
      <c r="O923" s="4">
        <v>0</v>
      </c>
      <c r="P923" s="4">
        <v>235</v>
      </c>
      <c r="Q923" s="3" t="s">
        <v>26</v>
      </c>
      <c r="R923" s="3">
        <v>0</v>
      </c>
      <c r="S923" s="3" t="s">
        <v>348</v>
      </c>
      <c r="U923" s="3">
        <v>44</v>
      </c>
      <c r="V923" s="3">
        <v>0</v>
      </c>
      <c r="W923" s="3">
        <v>0</v>
      </c>
    </row>
    <row r="924" spans="1:23" ht="11.25" customHeight="1" x14ac:dyDescent="0.25">
      <c r="A924" s="3" t="s">
        <v>28</v>
      </c>
      <c r="B924" s="3" t="s">
        <v>41</v>
      </c>
      <c r="C924" s="3" t="s">
        <v>42</v>
      </c>
      <c r="D924" s="3" t="s">
        <v>46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44287</v>
      </c>
      <c r="J924" s="4">
        <v>1510</v>
      </c>
      <c r="K924" s="4">
        <v>1510</v>
      </c>
      <c r="L924" s="4">
        <v>0</v>
      </c>
      <c r="M924" s="4">
        <v>0</v>
      </c>
      <c r="N924" s="4">
        <v>0</v>
      </c>
      <c r="O924" s="4">
        <v>0</v>
      </c>
      <c r="P924" s="4">
        <v>3</v>
      </c>
      <c r="Q924" s="3" t="s">
        <v>26</v>
      </c>
      <c r="R924" s="3">
        <v>0</v>
      </c>
      <c r="S924" s="3" t="s">
        <v>348</v>
      </c>
      <c r="U924" s="3">
        <v>44</v>
      </c>
      <c r="V924" s="3">
        <v>0</v>
      </c>
      <c r="W924" s="3">
        <v>0</v>
      </c>
    </row>
    <row r="925" spans="1:23" ht="11.25" customHeight="1" x14ac:dyDescent="0.25">
      <c r="A925" s="3" t="s">
        <v>21</v>
      </c>
      <c r="B925" s="3" t="s">
        <v>41</v>
      </c>
      <c r="C925" s="3" t="s">
        <v>42</v>
      </c>
      <c r="D925" s="3" t="s">
        <v>46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44317</v>
      </c>
      <c r="J925" s="4">
        <v>29744</v>
      </c>
      <c r="K925" s="4">
        <v>29744</v>
      </c>
      <c r="L925" s="4">
        <v>0</v>
      </c>
      <c r="M925" s="4">
        <v>0</v>
      </c>
      <c r="N925" s="4">
        <v>0</v>
      </c>
      <c r="O925" s="4">
        <v>0</v>
      </c>
      <c r="P925" s="4">
        <v>233</v>
      </c>
      <c r="Q925" s="3" t="s">
        <v>26</v>
      </c>
      <c r="R925" s="3">
        <v>0</v>
      </c>
      <c r="S925" s="3" t="s">
        <v>349</v>
      </c>
      <c r="U925" s="3">
        <v>44</v>
      </c>
      <c r="V925" s="3">
        <v>0</v>
      </c>
      <c r="W925" s="3">
        <v>0</v>
      </c>
    </row>
    <row r="926" spans="1:23" ht="11.25" customHeight="1" x14ac:dyDescent="0.25">
      <c r="A926" s="3" t="s">
        <v>27</v>
      </c>
      <c r="B926" s="3" t="s">
        <v>41</v>
      </c>
      <c r="C926" s="3" t="s">
        <v>42</v>
      </c>
      <c r="D926" s="3" t="s">
        <v>46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44317</v>
      </c>
      <c r="J926" s="4">
        <v>-70</v>
      </c>
      <c r="K926" s="4">
        <v>-70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3" t="s">
        <v>26</v>
      </c>
      <c r="R926" s="3">
        <v>0</v>
      </c>
      <c r="S926" s="3" t="s">
        <v>349</v>
      </c>
      <c r="U926" s="3">
        <v>44</v>
      </c>
      <c r="V926" s="3">
        <v>0</v>
      </c>
      <c r="W926" s="3">
        <v>0</v>
      </c>
    </row>
    <row r="927" spans="1:23" ht="11.25" customHeight="1" x14ac:dyDescent="0.25">
      <c r="A927" s="3" t="s">
        <v>28</v>
      </c>
      <c r="B927" s="3" t="s">
        <v>41</v>
      </c>
      <c r="C927" s="3" t="s">
        <v>42</v>
      </c>
      <c r="D927" s="3" t="s">
        <v>46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44317</v>
      </c>
      <c r="J927" s="4">
        <v>2390</v>
      </c>
      <c r="K927" s="4">
        <v>2390</v>
      </c>
      <c r="L927" s="4">
        <v>0</v>
      </c>
      <c r="M927" s="4">
        <v>0</v>
      </c>
      <c r="N927" s="4">
        <v>0</v>
      </c>
      <c r="O927" s="4">
        <v>0</v>
      </c>
      <c r="P927" s="4">
        <v>6</v>
      </c>
      <c r="Q927" s="3" t="s">
        <v>26</v>
      </c>
      <c r="R927" s="3">
        <v>0</v>
      </c>
      <c r="S927" s="3" t="s">
        <v>349</v>
      </c>
      <c r="U927" s="3">
        <v>44</v>
      </c>
      <c r="V927" s="3">
        <v>0</v>
      </c>
      <c r="W927" s="3">
        <v>0</v>
      </c>
    </row>
    <row r="928" spans="1:23" ht="11.25" customHeight="1" x14ac:dyDescent="0.25">
      <c r="A928" s="3" t="s">
        <v>21</v>
      </c>
      <c r="B928" s="3" t="s">
        <v>41</v>
      </c>
      <c r="C928" s="3" t="s">
        <v>42</v>
      </c>
      <c r="D928" s="3" t="s">
        <v>46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44348</v>
      </c>
      <c r="J928" s="4">
        <v>29407</v>
      </c>
      <c r="K928" s="4">
        <v>29407</v>
      </c>
      <c r="L928" s="4">
        <v>0</v>
      </c>
      <c r="M928" s="4">
        <v>0</v>
      </c>
      <c r="N928" s="4">
        <v>0</v>
      </c>
      <c r="O928" s="4">
        <v>0</v>
      </c>
      <c r="P928" s="4">
        <v>232</v>
      </c>
      <c r="Q928" s="3" t="s">
        <v>26</v>
      </c>
      <c r="R928" s="3">
        <v>0</v>
      </c>
      <c r="S928" s="3" t="s">
        <v>350</v>
      </c>
      <c r="U928" s="3">
        <v>44</v>
      </c>
      <c r="V928" s="3">
        <v>0</v>
      </c>
      <c r="W928" s="3">
        <v>0</v>
      </c>
    </row>
    <row r="929" spans="1:23" ht="11.25" customHeight="1" x14ac:dyDescent="0.25">
      <c r="A929" s="3" t="s">
        <v>28</v>
      </c>
      <c r="B929" s="3" t="s">
        <v>41</v>
      </c>
      <c r="C929" s="3" t="s">
        <v>42</v>
      </c>
      <c r="D929" s="3" t="s">
        <v>46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44348</v>
      </c>
      <c r="J929" s="4">
        <v>2640</v>
      </c>
      <c r="K929" s="4">
        <v>2640</v>
      </c>
      <c r="L929" s="4">
        <v>0</v>
      </c>
      <c r="M929" s="4">
        <v>0</v>
      </c>
      <c r="N929" s="4">
        <v>0</v>
      </c>
      <c r="O929" s="4">
        <v>0</v>
      </c>
      <c r="P929" s="4">
        <v>7</v>
      </c>
      <c r="Q929" s="3" t="s">
        <v>26</v>
      </c>
      <c r="R929" s="3">
        <v>0</v>
      </c>
      <c r="S929" s="3" t="s">
        <v>350</v>
      </c>
      <c r="U929" s="3">
        <v>44</v>
      </c>
      <c r="V929" s="3">
        <v>0</v>
      </c>
      <c r="W929" s="3">
        <v>0</v>
      </c>
    </row>
    <row r="930" spans="1:23" ht="11.25" customHeight="1" x14ac:dyDescent="0.25">
      <c r="A930" s="3" t="s">
        <v>21</v>
      </c>
      <c r="B930" s="3" t="s">
        <v>41</v>
      </c>
      <c r="C930" s="3" t="s">
        <v>42</v>
      </c>
      <c r="D930" s="3" t="s">
        <v>46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44378</v>
      </c>
      <c r="J930" s="4">
        <v>29599</v>
      </c>
      <c r="K930" s="4">
        <v>29599</v>
      </c>
      <c r="L930" s="4">
        <v>0</v>
      </c>
      <c r="M930" s="4">
        <v>0</v>
      </c>
      <c r="N930" s="4">
        <v>0</v>
      </c>
      <c r="O930" s="4">
        <v>0</v>
      </c>
      <c r="P930" s="4">
        <v>233</v>
      </c>
      <c r="Q930" s="3" t="s">
        <v>26</v>
      </c>
      <c r="R930" s="3">
        <v>0</v>
      </c>
      <c r="S930" s="3" t="s">
        <v>351</v>
      </c>
      <c r="U930" s="3">
        <v>44</v>
      </c>
      <c r="V930" s="3">
        <v>0</v>
      </c>
      <c r="W930" s="3">
        <v>0</v>
      </c>
    </row>
    <row r="931" spans="1:23" ht="11.25" customHeight="1" x14ac:dyDescent="0.25">
      <c r="A931" s="3" t="s">
        <v>28</v>
      </c>
      <c r="B931" s="3" t="s">
        <v>41</v>
      </c>
      <c r="C931" s="3" t="s">
        <v>42</v>
      </c>
      <c r="D931" s="3" t="s">
        <v>46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44378</v>
      </c>
      <c r="J931" s="4">
        <v>2640</v>
      </c>
      <c r="K931" s="4">
        <v>2640</v>
      </c>
      <c r="L931" s="4">
        <v>0</v>
      </c>
      <c r="M931" s="4">
        <v>0</v>
      </c>
      <c r="N931" s="4">
        <v>0</v>
      </c>
      <c r="O931" s="4">
        <v>0</v>
      </c>
      <c r="P931" s="4">
        <v>7</v>
      </c>
      <c r="Q931" s="3" t="s">
        <v>26</v>
      </c>
      <c r="R931" s="3">
        <v>0</v>
      </c>
      <c r="S931" s="3" t="s">
        <v>351</v>
      </c>
      <c r="U931" s="3">
        <v>44</v>
      </c>
      <c r="V931" s="3">
        <v>0</v>
      </c>
      <c r="W931" s="3">
        <v>0</v>
      </c>
    </row>
    <row r="932" spans="1:23" ht="11.25" customHeight="1" x14ac:dyDescent="0.25">
      <c r="A932" s="3" t="s">
        <v>21</v>
      </c>
      <c r="B932" s="3" t="s">
        <v>41</v>
      </c>
      <c r="C932" s="3" t="s">
        <v>42</v>
      </c>
      <c r="D932" s="3" t="s">
        <v>46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44409</v>
      </c>
      <c r="J932" s="4">
        <v>29574</v>
      </c>
      <c r="K932" s="4">
        <v>29574</v>
      </c>
      <c r="L932" s="4">
        <v>0</v>
      </c>
      <c r="M932" s="4">
        <v>0</v>
      </c>
      <c r="N932" s="4">
        <v>0</v>
      </c>
      <c r="O932" s="4">
        <v>0</v>
      </c>
      <c r="P932" s="4">
        <v>232</v>
      </c>
      <c r="Q932" s="3" t="s">
        <v>26</v>
      </c>
      <c r="R932" s="3">
        <v>0</v>
      </c>
      <c r="S932" s="3" t="s">
        <v>352</v>
      </c>
      <c r="U932" s="3">
        <v>44</v>
      </c>
      <c r="V932" s="3">
        <v>0</v>
      </c>
      <c r="W932" s="3">
        <v>0</v>
      </c>
    </row>
    <row r="933" spans="1:23" ht="11.25" customHeight="1" x14ac:dyDescent="0.25">
      <c r="A933" s="3" t="s">
        <v>28</v>
      </c>
      <c r="B933" s="3" t="s">
        <v>41</v>
      </c>
      <c r="C933" s="3" t="s">
        <v>42</v>
      </c>
      <c r="D933" s="3" t="s">
        <v>46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44409</v>
      </c>
      <c r="J933" s="4">
        <v>2640</v>
      </c>
      <c r="K933" s="4">
        <v>2640</v>
      </c>
      <c r="L933" s="4">
        <v>0</v>
      </c>
      <c r="M933" s="4">
        <v>0</v>
      </c>
      <c r="N933" s="4">
        <v>0</v>
      </c>
      <c r="O933" s="4">
        <v>0</v>
      </c>
      <c r="P933" s="4">
        <v>8</v>
      </c>
      <c r="Q933" s="3" t="s">
        <v>26</v>
      </c>
      <c r="R933" s="3">
        <v>0</v>
      </c>
      <c r="S933" s="3" t="s">
        <v>352</v>
      </c>
      <c r="U933" s="3">
        <v>44</v>
      </c>
      <c r="V933" s="3">
        <v>0</v>
      </c>
      <c r="W933" s="3">
        <v>0</v>
      </c>
    </row>
    <row r="934" spans="1:23" ht="11.25" customHeight="1" x14ac:dyDescent="0.25">
      <c r="A934" s="3" t="s">
        <v>28</v>
      </c>
      <c r="B934" s="3" t="s">
        <v>41</v>
      </c>
      <c r="C934" s="3" t="s">
        <v>42</v>
      </c>
      <c r="D934" s="3" t="s">
        <v>46</v>
      </c>
      <c r="E934" s="3" t="s">
        <v>25</v>
      </c>
      <c r="F934" s="3" t="s">
        <v>25</v>
      </c>
      <c r="G934" s="3" t="s">
        <v>25</v>
      </c>
      <c r="H934" s="3" t="s">
        <v>25</v>
      </c>
      <c r="I934" s="6">
        <v>44409</v>
      </c>
      <c r="J934" s="4">
        <v>-400</v>
      </c>
      <c r="K934" s="4">
        <v>-400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3" t="s">
        <v>26</v>
      </c>
      <c r="R934" s="3">
        <v>0</v>
      </c>
      <c r="S934" s="3" t="s">
        <v>352</v>
      </c>
      <c r="U934" s="3">
        <v>44</v>
      </c>
      <c r="V934" s="3">
        <v>0</v>
      </c>
      <c r="W934" s="3">
        <v>0</v>
      </c>
    </row>
    <row r="935" spans="1:23" ht="11.25" customHeight="1" x14ac:dyDescent="0.25">
      <c r="A935" s="3" t="s">
        <v>21</v>
      </c>
      <c r="B935" s="3" t="s">
        <v>41</v>
      </c>
      <c r="C935" s="3" t="s">
        <v>42</v>
      </c>
      <c r="D935" s="3" t="s">
        <v>46</v>
      </c>
      <c r="E935" s="3" t="s">
        <v>25</v>
      </c>
      <c r="F935" s="3" t="s">
        <v>25</v>
      </c>
      <c r="G935" s="3" t="s">
        <v>25</v>
      </c>
      <c r="H935" s="3" t="s">
        <v>25</v>
      </c>
      <c r="I935" s="6">
        <v>44440</v>
      </c>
      <c r="J935" s="4">
        <v>29648</v>
      </c>
      <c r="K935" s="4">
        <v>29648</v>
      </c>
      <c r="L935" s="4">
        <v>0</v>
      </c>
      <c r="M935" s="4">
        <v>0</v>
      </c>
      <c r="N935" s="4">
        <v>0</v>
      </c>
      <c r="O935" s="4">
        <v>0</v>
      </c>
      <c r="P935" s="4">
        <v>232</v>
      </c>
      <c r="Q935" s="3" t="s">
        <v>26</v>
      </c>
      <c r="R935" s="3">
        <v>0</v>
      </c>
      <c r="S935" s="3" t="s">
        <v>353</v>
      </c>
      <c r="U935" s="3">
        <v>44</v>
      </c>
      <c r="V935" s="3">
        <v>0</v>
      </c>
      <c r="W935" s="3">
        <v>0</v>
      </c>
    </row>
    <row r="936" spans="1:23" ht="11.25" customHeight="1" x14ac:dyDescent="0.25">
      <c r="A936" s="3" t="s">
        <v>28</v>
      </c>
      <c r="B936" s="3" t="s">
        <v>41</v>
      </c>
      <c r="C936" s="3" t="s">
        <v>42</v>
      </c>
      <c r="D936" s="3" t="s">
        <v>46</v>
      </c>
      <c r="E936" s="3" t="s">
        <v>25</v>
      </c>
      <c r="F936" s="3" t="s">
        <v>25</v>
      </c>
      <c r="G936" s="3" t="s">
        <v>25</v>
      </c>
      <c r="H936" s="3" t="s">
        <v>25</v>
      </c>
      <c r="I936" s="6">
        <v>44440</v>
      </c>
      <c r="J936" s="4">
        <v>2640</v>
      </c>
      <c r="K936" s="4">
        <v>2640</v>
      </c>
      <c r="L936" s="4">
        <v>0</v>
      </c>
      <c r="M936" s="4">
        <v>0</v>
      </c>
      <c r="N936" s="4">
        <v>0</v>
      </c>
      <c r="O936" s="4">
        <v>0</v>
      </c>
      <c r="P936" s="4">
        <v>8</v>
      </c>
      <c r="Q936" s="3" t="s">
        <v>26</v>
      </c>
      <c r="R936" s="3">
        <v>0</v>
      </c>
      <c r="S936" s="3" t="s">
        <v>353</v>
      </c>
      <c r="U936" s="3">
        <v>44</v>
      </c>
      <c r="V936" s="3">
        <v>0</v>
      </c>
      <c r="W936" s="3">
        <v>0</v>
      </c>
    </row>
    <row r="937" spans="1:23" ht="11.25" customHeight="1" x14ac:dyDescent="0.25">
      <c r="A937" s="3" t="s">
        <v>21</v>
      </c>
      <c r="B937" s="3" t="s">
        <v>41</v>
      </c>
      <c r="C937" s="3" t="s">
        <v>42</v>
      </c>
      <c r="D937" s="3" t="s">
        <v>46</v>
      </c>
      <c r="E937" s="3" t="s">
        <v>25</v>
      </c>
      <c r="F937" s="3" t="s">
        <v>25</v>
      </c>
      <c r="G937" s="3" t="s">
        <v>25</v>
      </c>
      <c r="H937" s="3" t="s">
        <v>25</v>
      </c>
      <c r="I937" s="6">
        <v>44470</v>
      </c>
      <c r="J937" s="4">
        <v>29797</v>
      </c>
      <c r="K937" s="4">
        <v>29797</v>
      </c>
      <c r="L937" s="4">
        <v>0</v>
      </c>
      <c r="M937" s="4">
        <v>0</v>
      </c>
      <c r="N937" s="4">
        <v>0</v>
      </c>
      <c r="O937" s="4">
        <v>0</v>
      </c>
      <c r="P937" s="4">
        <v>233</v>
      </c>
      <c r="Q937" s="3" t="s">
        <v>26</v>
      </c>
      <c r="R937" s="3">
        <v>0</v>
      </c>
      <c r="S937" s="3" t="s">
        <v>354</v>
      </c>
      <c r="U937" s="3">
        <v>44</v>
      </c>
      <c r="V937" s="3">
        <v>0</v>
      </c>
      <c r="W937" s="3">
        <v>0</v>
      </c>
    </row>
    <row r="938" spans="1:23" ht="11.25" customHeight="1" x14ac:dyDescent="0.25">
      <c r="A938" s="3" t="s">
        <v>28</v>
      </c>
      <c r="B938" s="3" t="s">
        <v>41</v>
      </c>
      <c r="C938" s="3" t="s">
        <v>42</v>
      </c>
      <c r="D938" s="3" t="s">
        <v>46</v>
      </c>
      <c r="E938" s="3" t="s">
        <v>25</v>
      </c>
      <c r="F938" s="3" t="s">
        <v>25</v>
      </c>
      <c r="G938" s="3" t="s">
        <v>25</v>
      </c>
      <c r="H938" s="3" t="s">
        <v>25</v>
      </c>
      <c r="I938" s="6">
        <v>44470</v>
      </c>
      <c r="J938" s="4">
        <v>2535</v>
      </c>
      <c r="K938" s="4">
        <v>2535</v>
      </c>
      <c r="L938" s="4">
        <v>0</v>
      </c>
      <c r="M938" s="4">
        <v>0</v>
      </c>
      <c r="N938" s="4">
        <v>0</v>
      </c>
      <c r="O938" s="4">
        <v>0</v>
      </c>
      <c r="P938" s="4">
        <v>8</v>
      </c>
      <c r="Q938" s="3" t="s">
        <v>26</v>
      </c>
      <c r="R938" s="3">
        <v>0</v>
      </c>
      <c r="S938" s="3" t="s">
        <v>354</v>
      </c>
      <c r="U938" s="3">
        <v>44</v>
      </c>
      <c r="V938" s="3">
        <v>0</v>
      </c>
      <c r="W938" s="3">
        <v>0</v>
      </c>
    </row>
    <row r="939" spans="1:23" ht="11.25" customHeight="1" x14ac:dyDescent="0.25">
      <c r="A939" s="3" t="s">
        <v>21</v>
      </c>
      <c r="B939" s="3" t="s">
        <v>41</v>
      </c>
      <c r="C939" s="3" t="s">
        <v>42</v>
      </c>
      <c r="D939" s="3" t="s">
        <v>46</v>
      </c>
      <c r="E939" s="3" t="s">
        <v>25</v>
      </c>
      <c r="F939" s="3" t="s">
        <v>25</v>
      </c>
      <c r="G939" s="3" t="s">
        <v>25</v>
      </c>
      <c r="H939" s="3" t="s">
        <v>25</v>
      </c>
      <c r="I939" s="6">
        <v>44501</v>
      </c>
      <c r="J939" s="4">
        <v>29908</v>
      </c>
      <c r="K939" s="4">
        <v>29908</v>
      </c>
      <c r="L939" s="4">
        <v>0</v>
      </c>
      <c r="M939" s="4">
        <v>0</v>
      </c>
      <c r="N939" s="4">
        <v>0</v>
      </c>
      <c r="O939" s="4">
        <v>0</v>
      </c>
      <c r="P939" s="4">
        <v>232</v>
      </c>
      <c r="Q939" s="3" t="s">
        <v>26</v>
      </c>
      <c r="R939" s="3">
        <v>0</v>
      </c>
      <c r="S939" s="3" t="s">
        <v>355</v>
      </c>
      <c r="U939" s="3">
        <v>44</v>
      </c>
      <c r="V939" s="3">
        <v>0</v>
      </c>
      <c r="W939" s="3">
        <v>0</v>
      </c>
    </row>
    <row r="940" spans="1:23" ht="11.25" customHeight="1" x14ac:dyDescent="0.25">
      <c r="A940" s="3" t="s">
        <v>28</v>
      </c>
      <c r="B940" s="3" t="s">
        <v>41</v>
      </c>
      <c r="C940" s="3" t="s">
        <v>42</v>
      </c>
      <c r="D940" s="3" t="s">
        <v>46</v>
      </c>
      <c r="E940" s="3" t="s">
        <v>25</v>
      </c>
      <c r="F940" s="3" t="s">
        <v>25</v>
      </c>
      <c r="G940" s="3" t="s">
        <v>25</v>
      </c>
      <c r="H940" s="3" t="s">
        <v>25</v>
      </c>
      <c r="I940" s="6">
        <v>44501</v>
      </c>
      <c r="J940" s="4">
        <v>2625</v>
      </c>
      <c r="K940" s="4">
        <v>2625</v>
      </c>
      <c r="L940" s="4">
        <v>0</v>
      </c>
      <c r="M940" s="4">
        <v>0</v>
      </c>
      <c r="N940" s="4">
        <v>0</v>
      </c>
      <c r="O940" s="4">
        <v>0</v>
      </c>
      <c r="P940" s="4">
        <v>9</v>
      </c>
      <c r="Q940" s="3" t="s">
        <v>26</v>
      </c>
      <c r="R940" s="3">
        <v>0</v>
      </c>
      <c r="S940" s="3" t="s">
        <v>355</v>
      </c>
      <c r="U940" s="3">
        <v>44</v>
      </c>
      <c r="V940" s="3">
        <v>0</v>
      </c>
      <c r="W940" s="3">
        <v>0</v>
      </c>
    </row>
    <row r="941" spans="1:23" ht="11.25" customHeight="1" x14ac:dyDescent="0.25">
      <c r="A941" s="3" t="s">
        <v>21</v>
      </c>
      <c r="B941" s="3" t="s">
        <v>41</v>
      </c>
      <c r="C941" s="3" t="s">
        <v>42</v>
      </c>
      <c r="D941" s="3" t="s">
        <v>46</v>
      </c>
      <c r="E941" s="3" t="s">
        <v>25</v>
      </c>
      <c r="F941" s="3" t="s">
        <v>25</v>
      </c>
      <c r="G941" s="3" t="s">
        <v>25</v>
      </c>
      <c r="H941" s="3" t="s">
        <v>25</v>
      </c>
      <c r="I941" s="6">
        <v>44531</v>
      </c>
      <c r="J941" s="4">
        <v>29855</v>
      </c>
      <c r="K941" s="4">
        <v>29855</v>
      </c>
      <c r="L941" s="4">
        <v>0</v>
      </c>
      <c r="M941" s="4">
        <v>0</v>
      </c>
      <c r="N941" s="4">
        <v>0</v>
      </c>
      <c r="O941" s="4">
        <v>0</v>
      </c>
      <c r="P941" s="4">
        <v>232</v>
      </c>
      <c r="Q941" s="3" t="s">
        <v>26</v>
      </c>
      <c r="R941" s="3">
        <v>0</v>
      </c>
      <c r="S941" s="3" t="s">
        <v>356</v>
      </c>
      <c r="U941" s="3">
        <v>44</v>
      </c>
      <c r="V941" s="3">
        <v>0</v>
      </c>
      <c r="W941" s="3">
        <v>0</v>
      </c>
    </row>
    <row r="942" spans="1:23" ht="11.25" customHeight="1" x14ac:dyDescent="0.25">
      <c r="A942" s="3" t="s">
        <v>28</v>
      </c>
      <c r="B942" s="3" t="s">
        <v>41</v>
      </c>
      <c r="C942" s="3" t="s">
        <v>42</v>
      </c>
      <c r="D942" s="3" t="s">
        <v>46</v>
      </c>
      <c r="E942" s="3" t="s">
        <v>25</v>
      </c>
      <c r="F942" s="3" t="s">
        <v>25</v>
      </c>
      <c r="G942" s="3" t="s">
        <v>25</v>
      </c>
      <c r="H942" s="3" t="s">
        <v>25</v>
      </c>
      <c r="I942" s="6">
        <v>44531</v>
      </c>
      <c r="J942" s="4">
        <v>2780</v>
      </c>
      <c r="K942" s="4">
        <v>2780</v>
      </c>
      <c r="L942" s="4">
        <v>0</v>
      </c>
      <c r="M942" s="4">
        <v>0</v>
      </c>
      <c r="N942" s="4">
        <v>0</v>
      </c>
      <c r="O942" s="4">
        <v>0</v>
      </c>
      <c r="P942" s="4">
        <v>11</v>
      </c>
      <c r="Q942" s="3" t="s">
        <v>26</v>
      </c>
      <c r="R942" s="3">
        <v>0</v>
      </c>
      <c r="S942" s="3" t="s">
        <v>356</v>
      </c>
      <c r="U942" s="3">
        <v>44</v>
      </c>
      <c r="V942" s="3">
        <v>0</v>
      </c>
      <c r="W942" s="3">
        <v>0</v>
      </c>
    </row>
    <row r="943" spans="1:23" ht="11.25" customHeight="1" x14ac:dyDescent="0.25">
      <c r="A943" s="3" t="s">
        <v>21</v>
      </c>
      <c r="B943" s="3" t="s">
        <v>41</v>
      </c>
      <c r="C943" s="3" t="s">
        <v>42</v>
      </c>
      <c r="D943" s="3" t="s">
        <v>46</v>
      </c>
      <c r="E943" s="3" t="s">
        <v>25</v>
      </c>
      <c r="F943" s="3" t="s">
        <v>25</v>
      </c>
      <c r="G943" s="3" t="s">
        <v>25</v>
      </c>
      <c r="H943" s="3" t="s">
        <v>25</v>
      </c>
      <c r="I943" s="6">
        <v>44562</v>
      </c>
      <c r="J943" s="4">
        <v>31488</v>
      </c>
      <c r="K943" s="4">
        <v>31488</v>
      </c>
      <c r="L943" s="4">
        <v>0</v>
      </c>
      <c r="M943" s="4">
        <v>0</v>
      </c>
      <c r="N943" s="4">
        <v>0</v>
      </c>
      <c r="O943" s="4">
        <v>0</v>
      </c>
      <c r="P943" s="4">
        <v>232</v>
      </c>
      <c r="Q943" s="3" t="s">
        <v>26</v>
      </c>
      <c r="R943" s="3">
        <v>0</v>
      </c>
      <c r="S943" s="3" t="s">
        <v>357</v>
      </c>
      <c r="U943" s="3">
        <v>44</v>
      </c>
      <c r="V943" s="3">
        <v>0</v>
      </c>
      <c r="W943" s="3">
        <v>0</v>
      </c>
    </row>
    <row r="944" spans="1:23" ht="11.25" customHeight="1" x14ac:dyDescent="0.25">
      <c r="A944" s="3" t="s">
        <v>27</v>
      </c>
      <c r="B944" s="3" t="s">
        <v>41</v>
      </c>
      <c r="C944" s="3" t="s">
        <v>42</v>
      </c>
      <c r="D944" s="3" t="s">
        <v>46</v>
      </c>
      <c r="E944" s="3" t="s">
        <v>25</v>
      </c>
      <c r="F944" s="3" t="s">
        <v>25</v>
      </c>
      <c r="G944" s="3" t="s">
        <v>25</v>
      </c>
      <c r="H944" s="3" t="s">
        <v>25</v>
      </c>
      <c r="I944" s="6">
        <v>44562</v>
      </c>
      <c r="J944" s="4">
        <v>-180</v>
      </c>
      <c r="K944" s="4">
        <v>-180</v>
      </c>
      <c r="L944" s="4">
        <v>0</v>
      </c>
      <c r="M944" s="4">
        <v>0</v>
      </c>
      <c r="N944" s="4">
        <v>0</v>
      </c>
      <c r="O944" s="4">
        <v>0</v>
      </c>
      <c r="P944" s="4">
        <v>1</v>
      </c>
      <c r="Q944" s="3" t="s">
        <v>26</v>
      </c>
      <c r="R944" s="3">
        <v>0</v>
      </c>
      <c r="S944" s="3" t="s">
        <v>357</v>
      </c>
      <c r="U944" s="3">
        <v>44</v>
      </c>
      <c r="V944" s="3">
        <v>0</v>
      </c>
      <c r="W944" s="3">
        <v>0</v>
      </c>
    </row>
    <row r="945" spans="1:23" ht="11.25" customHeight="1" x14ac:dyDescent="0.25">
      <c r="A945" s="3" t="s">
        <v>28</v>
      </c>
      <c r="B945" s="3" t="s">
        <v>41</v>
      </c>
      <c r="C945" s="3" t="s">
        <v>42</v>
      </c>
      <c r="D945" s="3" t="s">
        <v>46</v>
      </c>
      <c r="E945" s="3" t="s">
        <v>25</v>
      </c>
      <c r="F945" s="3" t="s">
        <v>25</v>
      </c>
      <c r="G945" s="3" t="s">
        <v>25</v>
      </c>
      <c r="H945" s="3" t="s">
        <v>25</v>
      </c>
      <c r="I945" s="6">
        <v>44562</v>
      </c>
      <c r="J945" s="4">
        <v>2831</v>
      </c>
      <c r="K945" s="4">
        <v>2831</v>
      </c>
      <c r="L945" s="4">
        <v>0</v>
      </c>
      <c r="M945" s="4">
        <v>0</v>
      </c>
      <c r="N945" s="4">
        <v>0</v>
      </c>
      <c r="O945" s="4">
        <v>0</v>
      </c>
      <c r="P945" s="4">
        <v>12</v>
      </c>
      <c r="Q945" s="3" t="s">
        <v>26</v>
      </c>
      <c r="R945" s="3">
        <v>0</v>
      </c>
      <c r="S945" s="3" t="s">
        <v>357</v>
      </c>
      <c r="U945" s="3">
        <v>44</v>
      </c>
      <c r="V945" s="3">
        <v>0</v>
      </c>
      <c r="W945" s="3">
        <v>0</v>
      </c>
    </row>
    <row r="946" spans="1:23" ht="11.25" customHeight="1" x14ac:dyDescent="0.25">
      <c r="A946" s="3" t="s">
        <v>21</v>
      </c>
      <c r="B946" s="3" t="s">
        <v>41</v>
      </c>
      <c r="C946" s="3" t="s">
        <v>42</v>
      </c>
      <c r="D946" s="3" t="s">
        <v>46</v>
      </c>
      <c r="E946" s="3" t="s">
        <v>25</v>
      </c>
      <c r="F946" s="3" t="s">
        <v>25</v>
      </c>
      <c r="G946" s="3" t="s">
        <v>25</v>
      </c>
      <c r="H946" s="3" t="s">
        <v>25</v>
      </c>
      <c r="I946" s="6">
        <v>44593</v>
      </c>
      <c r="J946" s="4">
        <v>29952</v>
      </c>
      <c r="K946" s="4">
        <v>29952</v>
      </c>
      <c r="L946" s="4">
        <v>0</v>
      </c>
      <c r="M946" s="4">
        <v>0</v>
      </c>
      <c r="N946" s="4">
        <v>0</v>
      </c>
      <c r="O946" s="4">
        <v>0</v>
      </c>
      <c r="P946" s="4">
        <v>235</v>
      </c>
      <c r="Q946" s="3" t="s">
        <v>26</v>
      </c>
      <c r="R946" s="3">
        <v>0</v>
      </c>
      <c r="S946" s="3" t="s">
        <v>358</v>
      </c>
      <c r="U946" s="3">
        <v>44</v>
      </c>
      <c r="V946" s="3">
        <v>0</v>
      </c>
      <c r="W946" s="3">
        <v>0</v>
      </c>
    </row>
    <row r="947" spans="1:23" ht="11.25" customHeight="1" x14ac:dyDescent="0.25">
      <c r="A947" s="3" t="s">
        <v>27</v>
      </c>
      <c r="B947" s="3" t="s">
        <v>41</v>
      </c>
      <c r="C947" s="3" t="s">
        <v>42</v>
      </c>
      <c r="D947" s="3" t="s">
        <v>46</v>
      </c>
      <c r="E947" s="3" t="s">
        <v>25</v>
      </c>
      <c r="F947" s="3" t="s">
        <v>25</v>
      </c>
      <c r="G947" s="3" t="s">
        <v>25</v>
      </c>
      <c r="H947" s="3" t="s">
        <v>25</v>
      </c>
      <c r="I947" s="6">
        <v>44593</v>
      </c>
      <c r="J947" s="4">
        <v>-1990</v>
      </c>
      <c r="K947" s="4">
        <v>-1990</v>
      </c>
      <c r="L947" s="4">
        <v>0</v>
      </c>
      <c r="M947" s="4">
        <v>0</v>
      </c>
      <c r="N947" s="4">
        <v>0</v>
      </c>
      <c r="O947" s="4">
        <v>0</v>
      </c>
      <c r="P947" s="4">
        <v>1</v>
      </c>
      <c r="Q947" s="3" t="s">
        <v>26</v>
      </c>
      <c r="R947" s="3">
        <v>0</v>
      </c>
      <c r="S947" s="3" t="s">
        <v>358</v>
      </c>
      <c r="U947" s="3">
        <v>44</v>
      </c>
      <c r="V947" s="3">
        <v>0</v>
      </c>
      <c r="W947" s="3">
        <v>0</v>
      </c>
    </row>
    <row r="948" spans="1:23" ht="11.25" customHeight="1" x14ac:dyDescent="0.25">
      <c r="A948" s="3" t="s">
        <v>28</v>
      </c>
      <c r="B948" s="3" t="s">
        <v>41</v>
      </c>
      <c r="C948" s="3" t="s">
        <v>42</v>
      </c>
      <c r="D948" s="3" t="s">
        <v>46</v>
      </c>
      <c r="E948" s="3" t="s">
        <v>25</v>
      </c>
      <c r="F948" s="3" t="s">
        <v>25</v>
      </c>
      <c r="G948" s="3" t="s">
        <v>25</v>
      </c>
      <c r="H948" s="3" t="s">
        <v>25</v>
      </c>
      <c r="I948" s="6">
        <v>44593</v>
      </c>
      <c r="J948" s="4">
        <v>2810</v>
      </c>
      <c r="K948" s="4">
        <v>2810</v>
      </c>
      <c r="L948" s="4">
        <v>0</v>
      </c>
      <c r="M948" s="4">
        <v>0</v>
      </c>
      <c r="N948" s="4">
        <v>0</v>
      </c>
      <c r="O948" s="4">
        <v>0</v>
      </c>
      <c r="P948" s="4">
        <v>12</v>
      </c>
      <c r="Q948" s="3" t="s">
        <v>26</v>
      </c>
      <c r="R948" s="3">
        <v>0</v>
      </c>
      <c r="S948" s="3" t="s">
        <v>358</v>
      </c>
      <c r="U948" s="3">
        <v>44</v>
      </c>
      <c r="V948" s="3">
        <v>0</v>
      </c>
      <c r="W948" s="3">
        <v>0</v>
      </c>
    </row>
    <row r="949" spans="1:23" ht="11.25" customHeight="1" x14ac:dyDescent="0.25">
      <c r="A949" s="3" t="s">
        <v>56</v>
      </c>
      <c r="B949" s="3" t="s">
        <v>41</v>
      </c>
      <c r="C949" s="3" t="s">
        <v>42</v>
      </c>
      <c r="D949" s="3" t="s">
        <v>46</v>
      </c>
      <c r="E949" s="3" t="s">
        <v>25</v>
      </c>
      <c r="F949" s="3" t="s">
        <v>25</v>
      </c>
      <c r="G949" s="3" t="s">
        <v>25</v>
      </c>
      <c r="H949" s="3" t="s">
        <v>25</v>
      </c>
      <c r="I949" s="6">
        <v>44621</v>
      </c>
      <c r="J949" s="4">
        <v>29952</v>
      </c>
      <c r="K949" s="4">
        <v>29952</v>
      </c>
      <c r="L949" s="4">
        <v>0</v>
      </c>
      <c r="M949" s="4">
        <v>0</v>
      </c>
      <c r="N949" s="4">
        <v>0</v>
      </c>
      <c r="O949" s="4">
        <v>0</v>
      </c>
      <c r="P949" s="4">
        <v>235</v>
      </c>
      <c r="Q949" s="3" t="s">
        <v>26</v>
      </c>
      <c r="R949" s="3">
        <v>0</v>
      </c>
      <c r="S949" s="3" t="s">
        <v>359</v>
      </c>
      <c r="U949" s="3">
        <v>44</v>
      </c>
      <c r="V949" s="3">
        <v>0</v>
      </c>
      <c r="W949" s="3">
        <v>0</v>
      </c>
    </row>
    <row r="950" spans="1:23" ht="11.25" customHeight="1" x14ac:dyDescent="0.25">
      <c r="A950" s="3" t="s">
        <v>56</v>
      </c>
      <c r="B950" s="3" t="s">
        <v>41</v>
      </c>
      <c r="C950" s="3" t="s">
        <v>42</v>
      </c>
      <c r="D950" s="3" t="s">
        <v>46</v>
      </c>
      <c r="E950" s="3" t="s">
        <v>25</v>
      </c>
      <c r="F950" s="3" t="s">
        <v>25</v>
      </c>
      <c r="G950" s="3" t="s">
        <v>25</v>
      </c>
      <c r="H950" s="3" t="s">
        <v>25</v>
      </c>
      <c r="I950" s="6">
        <v>44621</v>
      </c>
      <c r="J950" s="4">
        <v>-1990</v>
      </c>
      <c r="K950" s="4">
        <v>-1990</v>
      </c>
      <c r="L950" s="4">
        <v>0</v>
      </c>
      <c r="M950" s="4">
        <v>0</v>
      </c>
      <c r="N950" s="4">
        <v>0</v>
      </c>
      <c r="O950" s="4">
        <v>0</v>
      </c>
      <c r="P950" s="4">
        <v>1</v>
      </c>
      <c r="Q950" s="3" t="s">
        <v>26</v>
      </c>
      <c r="R950" s="3">
        <v>0</v>
      </c>
      <c r="S950" s="3" t="s">
        <v>359</v>
      </c>
      <c r="U950" s="3">
        <v>44</v>
      </c>
      <c r="V950" s="3">
        <v>0</v>
      </c>
      <c r="W950" s="3">
        <v>0</v>
      </c>
    </row>
    <row r="951" spans="1:23" ht="11.25" customHeight="1" x14ac:dyDescent="0.25">
      <c r="A951" s="3" t="s">
        <v>56</v>
      </c>
      <c r="B951" s="3" t="s">
        <v>41</v>
      </c>
      <c r="C951" s="3" t="s">
        <v>42</v>
      </c>
      <c r="D951" s="3" t="s">
        <v>46</v>
      </c>
      <c r="E951" s="3" t="s">
        <v>25</v>
      </c>
      <c r="F951" s="3" t="s">
        <v>25</v>
      </c>
      <c r="G951" s="3" t="s">
        <v>25</v>
      </c>
      <c r="H951" s="3" t="s">
        <v>25</v>
      </c>
      <c r="I951" s="6">
        <v>44621</v>
      </c>
      <c r="J951" s="4">
        <v>2810</v>
      </c>
      <c r="K951" s="4">
        <v>2810</v>
      </c>
      <c r="L951" s="4">
        <v>0</v>
      </c>
      <c r="M951" s="4">
        <v>0</v>
      </c>
      <c r="N951" s="4">
        <v>0</v>
      </c>
      <c r="O951" s="4">
        <v>0</v>
      </c>
      <c r="P951" s="4">
        <v>12</v>
      </c>
      <c r="Q951" s="3" t="s">
        <v>26</v>
      </c>
      <c r="R951" s="3">
        <v>0</v>
      </c>
      <c r="S951" s="3" t="s">
        <v>359</v>
      </c>
      <c r="U951" s="3">
        <v>44</v>
      </c>
      <c r="V951" s="3">
        <v>0</v>
      </c>
      <c r="W951" s="3">
        <v>0</v>
      </c>
    </row>
    <row r="952" spans="1:23" ht="11.25" customHeight="1" x14ac:dyDescent="0.25">
      <c r="A952" s="3" t="s">
        <v>21</v>
      </c>
      <c r="B952" s="3" t="s">
        <v>41</v>
      </c>
      <c r="C952" s="3" t="s">
        <v>42</v>
      </c>
      <c r="D952" s="3" t="s">
        <v>46</v>
      </c>
      <c r="E952" s="3" t="s">
        <v>25</v>
      </c>
      <c r="F952" s="3" t="s">
        <v>25</v>
      </c>
      <c r="G952" s="3" t="s">
        <v>25</v>
      </c>
      <c r="H952" s="3" t="s">
        <v>34</v>
      </c>
      <c r="I952" s="6">
        <v>44287</v>
      </c>
      <c r="J952" s="4">
        <v>0</v>
      </c>
      <c r="K952" s="4">
        <v>0</v>
      </c>
      <c r="L952" s="4">
        <v>284.88600000000002</v>
      </c>
      <c r="M952" s="4">
        <v>284.88600000000002</v>
      </c>
      <c r="N952" s="4">
        <v>284.88600000000002</v>
      </c>
      <c r="O952" s="4">
        <v>284.88600000000002</v>
      </c>
      <c r="P952" s="4">
        <v>0</v>
      </c>
      <c r="Q952" s="3" t="s">
        <v>26</v>
      </c>
      <c r="R952" s="3">
        <v>0</v>
      </c>
      <c r="S952" s="3" t="s">
        <v>360</v>
      </c>
      <c r="T952" s="3" t="s">
        <v>623</v>
      </c>
      <c r="U952" s="3">
        <v>0</v>
      </c>
      <c r="V952" s="3">
        <v>20</v>
      </c>
      <c r="W952" s="3">
        <v>88</v>
      </c>
    </row>
    <row r="953" spans="1:23" ht="11.25" customHeight="1" x14ac:dyDescent="0.25">
      <c r="A953" s="3" t="s">
        <v>28</v>
      </c>
      <c r="B953" s="3" t="s">
        <v>41</v>
      </c>
      <c r="C953" s="3" t="s">
        <v>42</v>
      </c>
      <c r="D953" s="3" t="s">
        <v>46</v>
      </c>
      <c r="E953" s="3" t="s">
        <v>25</v>
      </c>
      <c r="F953" s="3" t="s">
        <v>25</v>
      </c>
      <c r="G953" s="3" t="s">
        <v>25</v>
      </c>
      <c r="H953" s="3" t="s">
        <v>34</v>
      </c>
      <c r="I953" s="6">
        <v>44287</v>
      </c>
      <c r="J953" s="4">
        <v>0</v>
      </c>
      <c r="K953" s="4">
        <v>0</v>
      </c>
      <c r="L953" s="4">
        <v>30.649000000000001</v>
      </c>
      <c r="M953" s="4">
        <v>30.649000000000001</v>
      </c>
      <c r="N953" s="4">
        <v>30.649000000000001</v>
      </c>
      <c r="O953" s="4">
        <v>30.649000000000001</v>
      </c>
      <c r="P953" s="4">
        <v>0</v>
      </c>
      <c r="Q953" s="3" t="s">
        <v>26</v>
      </c>
      <c r="R953" s="3">
        <v>0</v>
      </c>
      <c r="S953" s="3" t="s">
        <v>360</v>
      </c>
      <c r="T953" s="3" t="s">
        <v>623</v>
      </c>
      <c r="U953" s="3">
        <v>0</v>
      </c>
      <c r="V953" s="3">
        <v>20</v>
      </c>
      <c r="W953" s="3">
        <v>88</v>
      </c>
    </row>
    <row r="954" spans="1:23" ht="11.25" customHeight="1" x14ac:dyDescent="0.25">
      <c r="A954" s="3" t="s">
        <v>21</v>
      </c>
      <c r="B954" s="3" t="s">
        <v>41</v>
      </c>
      <c r="C954" s="3" t="s">
        <v>42</v>
      </c>
      <c r="D954" s="3" t="s">
        <v>46</v>
      </c>
      <c r="E954" s="3" t="s">
        <v>25</v>
      </c>
      <c r="F954" s="3" t="s">
        <v>25</v>
      </c>
      <c r="G954" s="3" t="s">
        <v>25</v>
      </c>
      <c r="H954" s="3" t="s">
        <v>34</v>
      </c>
      <c r="I954" s="6">
        <v>44317</v>
      </c>
      <c r="J954" s="4">
        <v>0</v>
      </c>
      <c r="K954" s="4">
        <v>0</v>
      </c>
      <c r="L954" s="4">
        <v>262.16000000000003</v>
      </c>
      <c r="M954" s="4">
        <v>262.16000000000003</v>
      </c>
      <c r="N954" s="4">
        <v>262.16000000000003</v>
      </c>
      <c r="O954" s="4">
        <v>262.16000000000003</v>
      </c>
      <c r="P954" s="4">
        <v>0</v>
      </c>
      <c r="Q954" s="3" t="s">
        <v>26</v>
      </c>
      <c r="R954" s="3">
        <v>0</v>
      </c>
      <c r="S954" s="3" t="s">
        <v>361</v>
      </c>
      <c r="T954" s="3" t="s">
        <v>624</v>
      </c>
      <c r="U954" s="3">
        <v>0</v>
      </c>
      <c r="V954" s="3">
        <v>20</v>
      </c>
      <c r="W954" s="3">
        <v>88</v>
      </c>
    </row>
    <row r="955" spans="1:23" ht="11.25" customHeight="1" x14ac:dyDescent="0.25">
      <c r="A955" s="3" t="s">
        <v>28</v>
      </c>
      <c r="B955" s="3" t="s">
        <v>41</v>
      </c>
      <c r="C955" s="3" t="s">
        <v>42</v>
      </c>
      <c r="D955" s="3" t="s">
        <v>46</v>
      </c>
      <c r="E955" s="3" t="s">
        <v>25</v>
      </c>
      <c r="F955" s="3" t="s">
        <v>25</v>
      </c>
      <c r="G955" s="3" t="s">
        <v>25</v>
      </c>
      <c r="H955" s="3" t="s">
        <v>34</v>
      </c>
      <c r="I955" s="6">
        <v>44317</v>
      </c>
      <c r="J955" s="4">
        <v>0</v>
      </c>
      <c r="K955" s="4">
        <v>0</v>
      </c>
      <c r="L955" s="4">
        <v>33.372</v>
      </c>
      <c r="M955" s="4">
        <v>33.372</v>
      </c>
      <c r="N955" s="4">
        <v>33.372</v>
      </c>
      <c r="O955" s="4">
        <v>33.372</v>
      </c>
      <c r="P955" s="4">
        <v>0</v>
      </c>
      <c r="Q955" s="3" t="s">
        <v>26</v>
      </c>
      <c r="R955" s="3">
        <v>0</v>
      </c>
      <c r="S955" s="3" t="s">
        <v>361</v>
      </c>
      <c r="T955" s="3" t="s">
        <v>624</v>
      </c>
      <c r="U955" s="3">
        <v>0</v>
      </c>
      <c r="V955" s="3">
        <v>20</v>
      </c>
      <c r="W955" s="3">
        <v>88</v>
      </c>
    </row>
    <row r="956" spans="1:23" ht="11.25" customHeight="1" x14ac:dyDescent="0.25">
      <c r="A956" s="3" t="s">
        <v>21</v>
      </c>
      <c r="B956" s="3" t="s">
        <v>41</v>
      </c>
      <c r="C956" s="3" t="s">
        <v>42</v>
      </c>
      <c r="D956" s="3" t="s">
        <v>46</v>
      </c>
      <c r="E956" s="3" t="s">
        <v>25</v>
      </c>
      <c r="F956" s="3" t="s">
        <v>25</v>
      </c>
      <c r="G956" s="3" t="s">
        <v>25</v>
      </c>
      <c r="H956" s="3" t="s">
        <v>34</v>
      </c>
      <c r="I956" s="6">
        <v>44348</v>
      </c>
      <c r="J956" s="4">
        <v>0</v>
      </c>
      <c r="K956" s="4">
        <v>0</v>
      </c>
      <c r="L956" s="4">
        <v>247.381</v>
      </c>
      <c r="M956" s="4">
        <v>247.381</v>
      </c>
      <c r="N956" s="4">
        <v>247.381</v>
      </c>
      <c r="O956" s="4">
        <v>247.381</v>
      </c>
      <c r="P956" s="4">
        <v>0</v>
      </c>
      <c r="Q956" s="3" t="s">
        <v>26</v>
      </c>
      <c r="R956" s="3">
        <v>0</v>
      </c>
      <c r="S956" s="3" t="s">
        <v>362</v>
      </c>
      <c r="T956" s="3" t="s">
        <v>625</v>
      </c>
      <c r="U956" s="3">
        <v>0</v>
      </c>
      <c r="V956" s="3">
        <v>20</v>
      </c>
      <c r="W956" s="3">
        <v>88</v>
      </c>
    </row>
    <row r="957" spans="1:23" ht="11.25" customHeight="1" x14ac:dyDescent="0.25">
      <c r="A957" s="3" t="s">
        <v>28</v>
      </c>
      <c r="B957" s="3" t="s">
        <v>41</v>
      </c>
      <c r="C957" s="3" t="s">
        <v>42</v>
      </c>
      <c r="D957" s="3" t="s">
        <v>46</v>
      </c>
      <c r="E957" s="3" t="s">
        <v>25</v>
      </c>
      <c r="F957" s="3" t="s">
        <v>25</v>
      </c>
      <c r="G957" s="3" t="s">
        <v>25</v>
      </c>
      <c r="H957" s="3" t="s">
        <v>34</v>
      </c>
      <c r="I957" s="6">
        <v>44348</v>
      </c>
      <c r="J957" s="4">
        <v>0</v>
      </c>
      <c r="K957" s="4">
        <v>0</v>
      </c>
      <c r="L957" s="4">
        <v>34.637</v>
      </c>
      <c r="M957" s="4">
        <v>34.637</v>
      </c>
      <c r="N957" s="4">
        <v>34.637</v>
      </c>
      <c r="O957" s="4">
        <v>34.637</v>
      </c>
      <c r="P957" s="4">
        <v>0</v>
      </c>
      <c r="Q957" s="3" t="s">
        <v>26</v>
      </c>
      <c r="R957" s="3">
        <v>0</v>
      </c>
      <c r="S957" s="3" t="s">
        <v>362</v>
      </c>
      <c r="T957" s="3" t="s">
        <v>625</v>
      </c>
      <c r="U957" s="3">
        <v>0</v>
      </c>
      <c r="V957" s="3">
        <v>20</v>
      </c>
      <c r="W957" s="3">
        <v>88</v>
      </c>
    </row>
    <row r="958" spans="1:23" ht="11.25" customHeight="1" x14ac:dyDescent="0.25">
      <c r="A958" s="3" t="s">
        <v>21</v>
      </c>
      <c r="B958" s="3" t="s">
        <v>41</v>
      </c>
      <c r="C958" s="3" t="s">
        <v>42</v>
      </c>
      <c r="D958" s="3" t="s">
        <v>46</v>
      </c>
      <c r="E958" s="3" t="s">
        <v>25</v>
      </c>
      <c r="F958" s="3" t="s">
        <v>25</v>
      </c>
      <c r="G958" s="3" t="s">
        <v>25</v>
      </c>
      <c r="H958" s="3" t="s">
        <v>34</v>
      </c>
      <c r="I958" s="6">
        <v>44378</v>
      </c>
      <c r="J958" s="4">
        <v>0</v>
      </c>
      <c r="K958" s="4">
        <v>0</v>
      </c>
      <c r="L958" s="4">
        <v>242.22</v>
      </c>
      <c r="M958" s="4">
        <v>242.22</v>
      </c>
      <c r="N958" s="4">
        <v>242.22</v>
      </c>
      <c r="O958" s="4">
        <v>242.22</v>
      </c>
      <c r="P958" s="4">
        <v>0</v>
      </c>
      <c r="Q958" s="3" t="s">
        <v>26</v>
      </c>
      <c r="R958" s="3">
        <v>0</v>
      </c>
      <c r="S958" s="3" t="s">
        <v>363</v>
      </c>
      <c r="T958" s="3" t="s">
        <v>626</v>
      </c>
      <c r="U958" s="3">
        <v>0</v>
      </c>
      <c r="V958" s="3">
        <v>20</v>
      </c>
      <c r="W958" s="3">
        <v>88</v>
      </c>
    </row>
    <row r="959" spans="1:23" ht="11.25" customHeight="1" x14ac:dyDescent="0.25">
      <c r="A959" s="3" t="s">
        <v>28</v>
      </c>
      <c r="B959" s="3" t="s">
        <v>41</v>
      </c>
      <c r="C959" s="3" t="s">
        <v>42</v>
      </c>
      <c r="D959" s="3" t="s">
        <v>46</v>
      </c>
      <c r="E959" s="3" t="s">
        <v>25</v>
      </c>
      <c r="F959" s="3" t="s">
        <v>25</v>
      </c>
      <c r="G959" s="3" t="s">
        <v>25</v>
      </c>
      <c r="H959" s="3" t="s">
        <v>34</v>
      </c>
      <c r="I959" s="6">
        <v>44378</v>
      </c>
      <c r="J959" s="4">
        <v>0</v>
      </c>
      <c r="K959" s="4">
        <v>0</v>
      </c>
      <c r="L959" s="4">
        <v>34.957999999999998</v>
      </c>
      <c r="M959" s="4">
        <v>34.957999999999998</v>
      </c>
      <c r="N959" s="4">
        <v>34.957999999999998</v>
      </c>
      <c r="O959" s="4">
        <v>34.957999999999998</v>
      </c>
      <c r="P959" s="4">
        <v>0</v>
      </c>
      <c r="Q959" s="3" t="s">
        <v>26</v>
      </c>
      <c r="R959" s="3">
        <v>0</v>
      </c>
      <c r="S959" s="3" t="s">
        <v>363</v>
      </c>
      <c r="T959" s="3" t="s">
        <v>626</v>
      </c>
      <c r="U959" s="3">
        <v>0</v>
      </c>
      <c r="V959" s="3">
        <v>20</v>
      </c>
      <c r="W959" s="3">
        <v>88</v>
      </c>
    </row>
    <row r="960" spans="1:23" ht="11.25" customHeight="1" x14ac:dyDescent="0.25">
      <c r="A960" s="3" t="s">
        <v>21</v>
      </c>
      <c r="B960" s="3" t="s">
        <v>41</v>
      </c>
      <c r="C960" s="3" t="s">
        <v>42</v>
      </c>
      <c r="D960" s="3" t="s">
        <v>46</v>
      </c>
      <c r="E960" s="3" t="s">
        <v>25</v>
      </c>
      <c r="F960" s="3" t="s">
        <v>25</v>
      </c>
      <c r="G960" s="3" t="s">
        <v>25</v>
      </c>
      <c r="H960" s="3" t="s">
        <v>34</v>
      </c>
      <c r="I960" s="6">
        <v>44409</v>
      </c>
      <c r="J960" s="4">
        <v>0</v>
      </c>
      <c r="K960" s="4">
        <v>0</v>
      </c>
      <c r="L960" s="4">
        <v>253.83799999999999</v>
      </c>
      <c r="M960" s="4">
        <v>253.83799999999999</v>
      </c>
      <c r="N960" s="4">
        <v>253.83799999999999</v>
      </c>
      <c r="O960" s="4">
        <v>253.83799999999999</v>
      </c>
      <c r="P960" s="4">
        <v>0</v>
      </c>
      <c r="Q960" s="3" t="s">
        <v>26</v>
      </c>
      <c r="R960" s="3">
        <v>0</v>
      </c>
      <c r="S960" s="3" t="s">
        <v>364</v>
      </c>
      <c r="T960" s="3" t="s">
        <v>627</v>
      </c>
      <c r="U960" s="3">
        <v>0</v>
      </c>
      <c r="V960" s="3">
        <v>20</v>
      </c>
      <c r="W960" s="3">
        <v>88</v>
      </c>
    </row>
    <row r="961" spans="1:23" ht="11.25" customHeight="1" x14ac:dyDescent="0.25">
      <c r="A961" s="3" t="s">
        <v>28</v>
      </c>
      <c r="B961" s="3" t="s">
        <v>41</v>
      </c>
      <c r="C961" s="3" t="s">
        <v>42</v>
      </c>
      <c r="D961" s="3" t="s">
        <v>46</v>
      </c>
      <c r="E961" s="3" t="s">
        <v>25</v>
      </c>
      <c r="F961" s="3" t="s">
        <v>25</v>
      </c>
      <c r="G961" s="3" t="s">
        <v>25</v>
      </c>
      <c r="H961" s="3" t="s">
        <v>34</v>
      </c>
      <c r="I961" s="6">
        <v>44409</v>
      </c>
      <c r="J961" s="4">
        <v>0</v>
      </c>
      <c r="K961" s="4">
        <v>0</v>
      </c>
      <c r="L961" s="4">
        <v>35.442999999999998</v>
      </c>
      <c r="M961" s="4">
        <v>35.442999999999998</v>
      </c>
      <c r="N961" s="4">
        <v>35.442999999999998</v>
      </c>
      <c r="O961" s="4">
        <v>35.442999999999998</v>
      </c>
      <c r="P961" s="4">
        <v>0</v>
      </c>
      <c r="Q961" s="3" t="s">
        <v>26</v>
      </c>
      <c r="R961" s="3">
        <v>0</v>
      </c>
      <c r="S961" s="3" t="s">
        <v>364</v>
      </c>
      <c r="T961" s="3" t="s">
        <v>627</v>
      </c>
      <c r="U961" s="3">
        <v>0</v>
      </c>
      <c r="V961" s="3">
        <v>20</v>
      </c>
      <c r="W961" s="3">
        <v>88</v>
      </c>
    </row>
    <row r="962" spans="1:23" ht="11.25" customHeight="1" x14ac:dyDescent="0.25">
      <c r="A962" s="3" t="s">
        <v>21</v>
      </c>
      <c r="B962" s="3" t="s">
        <v>41</v>
      </c>
      <c r="C962" s="3" t="s">
        <v>42</v>
      </c>
      <c r="D962" s="3" t="s">
        <v>46</v>
      </c>
      <c r="E962" s="3" t="s">
        <v>25</v>
      </c>
      <c r="F962" s="3" t="s">
        <v>25</v>
      </c>
      <c r="G962" s="3" t="s">
        <v>25</v>
      </c>
      <c r="H962" s="3" t="s">
        <v>34</v>
      </c>
      <c r="I962" s="6">
        <v>44440</v>
      </c>
      <c r="J962" s="4">
        <v>0</v>
      </c>
      <c r="K962" s="4">
        <v>0</v>
      </c>
      <c r="L962" s="4">
        <v>262.44099999999997</v>
      </c>
      <c r="M962" s="4">
        <v>262.44099999999997</v>
      </c>
      <c r="N962" s="4">
        <v>262.44099999999997</v>
      </c>
      <c r="O962" s="4">
        <v>262.44099999999997</v>
      </c>
      <c r="P962" s="4">
        <v>0</v>
      </c>
      <c r="Q962" s="3" t="s">
        <v>26</v>
      </c>
      <c r="R962" s="3">
        <v>0</v>
      </c>
      <c r="S962" s="3" t="s">
        <v>365</v>
      </c>
      <c r="T962" s="3" t="s">
        <v>628</v>
      </c>
      <c r="U962" s="3">
        <v>0</v>
      </c>
      <c r="V962" s="3">
        <v>20</v>
      </c>
      <c r="W962" s="3">
        <v>88</v>
      </c>
    </row>
    <row r="963" spans="1:23" ht="11.25" customHeight="1" x14ac:dyDescent="0.25">
      <c r="A963" s="3" t="s">
        <v>28</v>
      </c>
      <c r="B963" s="3" t="s">
        <v>41</v>
      </c>
      <c r="C963" s="3" t="s">
        <v>42</v>
      </c>
      <c r="D963" s="3" t="s">
        <v>46</v>
      </c>
      <c r="E963" s="3" t="s">
        <v>25</v>
      </c>
      <c r="F963" s="3" t="s">
        <v>25</v>
      </c>
      <c r="G963" s="3" t="s">
        <v>25</v>
      </c>
      <c r="H963" s="3" t="s">
        <v>34</v>
      </c>
      <c r="I963" s="6">
        <v>44440</v>
      </c>
      <c r="J963" s="4">
        <v>0</v>
      </c>
      <c r="K963" s="4">
        <v>0</v>
      </c>
      <c r="L963" s="4">
        <v>37.533999999999999</v>
      </c>
      <c r="M963" s="4">
        <v>37.533999999999999</v>
      </c>
      <c r="N963" s="4">
        <v>37.533999999999999</v>
      </c>
      <c r="O963" s="4">
        <v>37.533999999999999</v>
      </c>
      <c r="P963" s="4">
        <v>0</v>
      </c>
      <c r="Q963" s="3" t="s">
        <v>26</v>
      </c>
      <c r="R963" s="3">
        <v>0</v>
      </c>
      <c r="S963" s="3" t="s">
        <v>365</v>
      </c>
      <c r="T963" s="3" t="s">
        <v>628</v>
      </c>
      <c r="U963" s="3">
        <v>0</v>
      </c>
      <c r="V963" s="3">
        <v>20</v>
      </c>
      <c r="W963" s="3">
        <v>88</v>
      </c>
    </row>
    <row r="964" spans="1:23" ht="11.25" customHeight="1" x14ac:dyDescent="0.25">
      <c r="A964" s="3" t="s">
        <v>21</v>
      </c>
      <c r="B964" s="3" t="s">
        <v>41</v>
      </c>
      <c r="C964" s="3" t="s">
        <v>42</v>
      </c>
      <c r="D964" s="3" t="s">
        <v>46</v>
      </c>
      <c r="E964" s="3" t="s">
        <v>25</v>
      </c>
      <c r="F964" s="3" t="s">
        <v>25</v>
      </c>
      <c r="G964" s="3" t="s">
        <v>25</v>
      </c>
      <c r="H964" s="3" t="s">
        <v>34</v>
      </c>
      <c r="I964" s="6">
        <v>44470</v>
      </c>
      <c r="J964" s="4">
        <v>0</v>
      </c>
      <c r="K964" s="4">
        <v>0</v>
      </c>
      <c r="L964" s="4">
        <v>278.59199999999998</v>
      </c>
      <c r="M964" s="4">
        <v>278.59199999999998</v>
      </c>
      <c r="N964" s="4">
        <v>278.59199999999998</v>
      </c>
      <c r="O964" s="4">
        <v>278.59199999999998</v>
      </c>
      <c r="P964" s="4">
        <v>0</v>
      </c>
      <c r="Q964" s="3" t="s">
        <v>26</v>
      </c>
      <c r="R964" s="3">
        <v>0</v>
      </c>
      <c r="S964" s="3" t="s">
        <v>366</v>
      </c>
      <c r="T964" s="3" t="s">
        <v>629</v>
      </c>
      <c r="U964" s="3">
        <v>0</v>
      </c>
      <c r="V964" s="3">
        <v>20</v>
      </c>
      <c r="W964" s="3">
        <v>88</v>
      </c>
    </row>
    <row r="965" spans="1:23" ht="11.25" customHeight="1" x14ac:dyDescent="0.25">
      <c r="A965" s="3" t="s">
        <v>28</v>
      </c>
      <c r="B965" s="3" t="s">
        <v>41</v>
      </c>
      <c r="C965" s="3" t="s">
        <v>42</v>
      </c>
      <c r="D965" s="3" t="s">
        <v>46</v>
      </c>
      <c r="E965" s="3" t="s">
        <v>25</v>
      </c>
      <c r="F965" s="3" t="s">
        <v>25</v>
      </c>
      <c r="G965" s="3" t="s">
        <v>25</v>
      </c>
      <c r="H965" s="3" t="s">
        <v>34</v>
      </c>
      <c r="I965" s="6">
        <v>44470</v>
      </c>
      <c r="J965" s="4">
        <v>0</v>
      </c>
      <c r="K965" s="4">
        <v>0</v>
      </c>
      <c r="L965" s="4">
        <v>39.609000000000002</v>
      </c>
      <c r="M965" s="4">
        <v>39.609000000000002</v>
      </c>
      <c r="N965" s="4">
        <v>39.609000000000002</v>
      </c>
      <c r="O965" s="4">
        <v>39.609000000000002</v>
      </c>
      <c r="P965" s="4">
        <v>0</v>
      </c>
      <c r="Q965" s="3" t="s">
        <v>26</v>
      </c>
      <c r="R965" s="3">
        <v>0</v>
      </c>
      <c r="S965" s="3" t="s">
        <v>366</v>
      </c>
      <c r="T965" s="3" t="s">
        <v>629</v>
      </c>
      <c r="U965" s="3">
        <v>0</v>
      </c>
      <c r="V965" s="3">
        <v>20</v>
      </c>
      <c r="W965" s="3">
        <v>88</v>
      </c>
    </row>
    <row r="966" spans="1:23" ht="11.25" customHeight="1" x14ac:dyDescent="0.25">
      <c r="A966" s="3" t="s">
        <v>21</v>
      </c>
      <c r="B966" s="3" t="s">
        <v>41</v>
      </c>
      <c r="C966" s="3" t="s">
        <v>42</v>
      </c>
      <c r="D966" s="3" t="s">
        <v>46</v>
      </c>
      <c r="E966" s="3" t="s">
        <v>25</v>
      </c>
      <c r="F966" s="3" t="s">
        <v>25</v>
      </c>
      <c r="G966" s="3" t="s">
        <v>25</v>
      </c>
      <c r="H966" s="3" t="s">
        <v>34</v>
      </c>
      <c r="I966" s="6">
        <v>44501</v>
      </c>
      <c r="J966" s="4">
        <v>0</v>
      </c>
      <c r="K966" s="4">
        <v>0</v>
      </c>
      <c r="L966" s="4">
        <v>312.45400000000001</v>
      </c>
      <c r="M966" s="4">
        <v>312.45400000000001</v>
      </c>
      <c r="N966" s="4">
        <v>312.45400000000001</v>
      </c>
      <c r="O966" s="4">
        <v>312.45400000000001</v>
      </c>
      <c r="P966" s="4">
        <v>0</v>
      </c>
      <c r="Q966" s="3" t="s">
        <v>26</v>
      </c>
      <c r="R966" s="3">
        <v>0</v>
      </c>
      <c r="S966" s="3" t="s">
        <v>367</v>
      </c>
      <c r="T966" s="3" t="s">
        <v>630</v>
      </c>
      <c r="U966" s="3">
        <v>0</v>
      </c>
      <c r="V966" s="3">
        <v>20</v>
      </c>
      <c r="W966" s="3">
        <v>88</v>
      </c>
    </row>
    <row r="967" spans="1:23" ht="11.25" customHeight="1" x14ac:dyDescent="0.25">
      <c r="A967" s="3" t="s">
        <v>28</v>
      </c>
      <c r="B967" s="3" t="s">
        <v>41</v>
      </c>
      <c r="C967" s="3" t="s">
        <v>42</v>
      </c>
      <c r="D967" s="3" t="s">
        <v>46</v>
      </c>
      <c r="E967" s="3" t="s">
        <v>25</v>
      </c>
      <c r="F967" s="3" t="s">
        <v>25</v>
      </c>
      <c r="G967" s="3" t="s">
        <v>25</v>
      </c>
      <c r="H967" s="3" t="s">
        <v>34</v>
      </c>
      <c r="I967" s="6">
        <v>44501</v>
      </c>
      <c r="J967" s="4">
        <v>0</v>
      </c>
      <c r="K967" s="4">
        <v>0</v>
      </c>
      <c r="L967" s="4">
        <v>41.402000000000001</v>
      </c>
      <c r="M967" s="4">
        <v>41.402000000000001</v>
      </c>
      <c r="N967" s="4">
        <v>41.402000000000001</v>
      </c>
      <c r="O967" s="4">
        <v>41.402000000000001</v>
      </c>
      <c r="P967" s="4">
        <v>0</v>
      </c>
      <c r="Q967" s="3" t="s">
        <v>26</v>
      </c>
      <c r="R967" s="3">
        <v>0</v>
      </c>
      <c r="S967" s="3" t="s">
        <v>367</v>
      </c>
      <c r="T967" s="3" t="s">
        <v>630</v>
      </c>
      <c r="U967" s="3">
        <v>0</v>
      </c>
      <c r="V967" s="3">
        <v>20</v>
      </c>
      <c r="W967" s="3">
        <v>88</v>
      </c>
    </row>
    <row r="968" spans="1:23" ht="11.25" customHeight="1" x14ac:dyDescent="0.25">
      <c r="A968" s="3" t="s">
        <v>21</v>
      </c>
      <c r="B968" s="3" t="s">
        <v>41</v>
      </c>
      <c r="C968" s="3" t="s">
        <v>42</v>
      </c>
      <c r="D968" s="3" t="s">
        <v>46</v>
      </c>
      <c r="E968" s="3" t="s">
        <v>25</v>
      </c>
      <c r="F968" s="3" t="s">
        <v>25</v>
      </c>
      <c r="G968" s="3" t="s">
        <v>25</v>
      </c>
      <c r="H968" s="3" t="s">
        <v>34</v>
      </c>
      <c r="I968" s="6">
        <v>44531</v>
      </c>
      <c r="J968" s="4">
        <v>0</v>
      </c>
      <c r="K968" s="4">
        <v>0</v>
      </c>
      <c r="L968" s="4">
        <v>338.34800000000001</v>
      </c>
      <c r="M968" s="4">
        <v>338.34800000000001</v>
      </c>
      <c r="N968" s="4">
        <v>338.34800000000001</v>
      </c>
      <c r="O968" s="4">
        <v>338.34800000000001</v>
      </c>
      <c r="P968" s="4">
        <v>0</v>
      </c>
      <c r="Q968" s="3" t="s">
        <v>26</v>
      </c>
      <c r="R968" s="3">
        <v>0</v>
      </c>
      <c r="S968" s="3" t="s">
        <v>368</v>
      </c>
      <c r="T968" s="3" t="s">
        <v>631</v>
      </c>
      <c r="U968" s="3">
        <v>0</v>
      </c>
      <c r="V968" s="3">
        <v>20</v>
      </c>
      <c r="W968" s="3">
        <v>88</v>
      </c>
    </row>
    <row r="969" spans="1:23" ht="11.25" customHeight="1" x14ac:dyDescent="0.25">
      <c r="A969" s="3" t="s">
        <v>28</v>
      </c>
      <c r="B969" s="3" t="s">
        <v>41</v>
      </c>
      <c r="C969" s="3" t="s">
        <v>42</v>
      </c>
      <c r="D969" s="3" t="s">
        <v>46</v>
      </c>
      <c r="E969" s="3" t="s">
        <v>25</v>
      </c>
      <c r="F969" s="3" t="s">
        <v>25</v>
      </c>
      <c r="G969" s="3" t="s">
        <v>25</v>
      </c>
      <c r="H969" s="3" t="s">
        <v>34</v>
      </c>
      <c r="I969" s="6">
        <v>44531</v>
      </c>
      <c r="J969" s="4">
        <v>0</v>
      </c>
      <c r="K969" s="4">
        <v>0</v>
      </c>
      <c r="L969" s="4">
        <v>48.518999999999998</v>
      </c>
      <c r="M969" s="4">
        <v>48.518999999999998</v>
      </c>
      <c r="N969" s="4">
        <v>48.518999999999998</v>
      </c>
      <c r="O969" s="4">
        <v>48.518999999999998</v>
      </c>
      <c r="P969" s="4">
        <v>0</v>
      </c>
      <c r="Q969" s="3" t="s">
        <v>26</v>
      </c>
      <c r="R969" s="3">
        <v>0</v>
      </c>
      <c r="S969" s="3" t="s">
        <v>368</v>
      </c>
      <c r="T969" s="3" t="s">
        <v>631</v>
      </c>
      <c r="U969" s="3">
        <v>0</v>
      </c>
      <c r="V969" s="3">
        <v>20</v>
      </c>
      <c r="W969" s="3">
        <v>88</v>
      </c>
    </row>
    <row r="970" spans="1:23" ht="11.25" customHeight="1" x14ac:dyDescent="0.25">
      <c r="A970" s="3" t="s">
        <v>21</v>
      </c>
      <c r="B970" s="3" t="s">
        <v>41</v>
      </c>
      <c r="C970" s="3" t="s">
        <v>42</v>
      </c>
      <c r="D970" s="3" t="s">
        <v>46</v>
      </c>
      <c r="E970" s="3" t="s">
        <v>25</v>
      </c>
      <c r="F970" s="3" t="s">
        <v>25</v>
      </c>
      <c r="G970" s="3" t="s">
        <v>25</v>
      </c>
      <c r="H970" s="3" t="s">
        <v>34</v>
      </c>
      <c r="I970" s="6">
        <v>44562</v>
      </c>
      <c r="J970" s="4">
        <v>0</v>
      </c>
      <c r="K970" s="4">
        <v>0</v>
      </c>
      <c r="L970" s="4">
        <v>303.62200000000001</v>
      </c>
      <c r="M970" s="4">
        <v>303.62200000000001</v>
      </c>
      <c r="N970" s="4">
        <v>303.62200000000001</v>
      </c>
      <c r="O970" s="4">
        <v>303.62200000000001</v>
      </c>
      <c r="P970" s="4">
        <v>0</v>
      </c>
      <c r="Q970" s="3" t="s">
        <v>26</v>
      </c>
      <c r="R970" s="3">
        <v>0</v>
      </c>
      <c r="S970" s="3" t="s">
        <v>369</v>
      </c>
      <c r="T970" s="3" t="s">
        <v>632</v>
      </c>
      <c r="U970" s="3">
        <v>0</v>
      </c>
      <c r="V970" s="3">
        <v>20</v>
      </c>
      <c r="W970" s="3">
        <v>88</v>
      </c>
    </row>
    <row r="971" spans="1:23" ht="11.25" customHeight="1" x14ac:dyDescent="0.25">
      <c r="A971" s="3" t="s">
        <v>27</v>
      </c>
      <c r="B971" s="3" t="s">
        <v>41</v>
      </c>
      <c r="C971" s="3" t="s">
        <v>42</v>
      </c>
      <c r="D971" s="3" t="s">
        <v>46</v>
      </c>
      <c r="E971" s="3" t="s">
        <v>25</v>
      </c>
      <c r="F971" s="3" t="s">
        <v>25</v>
      </c>
      <c r="G971" s="3" t="s">
        <v>25</v>
      </c>
      <c r="H971" s="3" t="s">
        <v>34</v>
      </c>
      <c r="I971" s="6">
        <v>44562</v>
      </c>
      <c r="J971" s="4">
        <v>0</v>
      </c>
      <c r="K971" s="4">
        <v>0</v>
      </c>
      <c r="L971" s="4">
        <v>3.6999999999999998E-2</v>
      </c>
      <c r="M971" s="4">
        <v>3.6999999999999998E-2</v>
      </c>
      <c r="N971" s="4">
        <v>3.6999999999999998E-2</v>
      </c>
      <c r="O971" s="4">
        <v>3.6999999999999998E-2</v>
      </c>
      <c r="P971" s="4">
        <v>0</v>
      </c>
      <c r="Q971" s="3" t="s">
        <v>26</v>
      </c>
      <c r="R971" s="3">
        <v>0</v>
      </c>
      <c r="S971" s="3" t="s">
        <v>369</v>
      </c>
      <c r="T971" s="3" t="s">
        <v>632</v>
      </c>
      <c r="U971" s="3">
        <v>0</v>
      </c>
      <c r="V971" s="3">
        <v>20</v>
      </c>
      <c r="W971" s="3">
        <v>88</v>
      </c>
    </row>
    <row r="972" spans="1:23" ht="11.25" customHeight="1" x14ac:dyDescent="0.25">
      <c r="A972" s="3" t="s">
        <v>28</v>
      </c>
      <c r="B972" s="3" t="s">
        <v>41</v>
      </c>
      <c r="C972" s="3" t="s">
        <v>42</v>
      </c>
      <c r="D972" s="3" t="s">
        <v>46</v>
      </c>
      <c r="E972" s="3" t="s">
        <v>25</v>
      </c>
      <c r="F972" s="3" t="s">
        <v>25</v>
      </c>
      <c r="G972" s="3" t="s">
        <v>25</v>
      </c>
      <c r="H972" s="3" t="s">
        <v>34</v>
      </c>
      <c r="I972" s="6">
        <v>44562</v>
      </c>
      <c r="J972" s="4">
        <v>0</v>
      </c>
      <c r="K972" s="4">
        <v>0</v>
      </c>
      <c r="L972" s="4">
        <v>45.499000000000002</v>
      </c>
      <c r="M972" s="4">
        <v>45.499000000000002</v>
      </c>
      <c r="N972" s="4">
        <v>45.499000000000002</v>
      </c>
      <c r="O972" s="4">
        <v>45.499000000000002</v>
      </c>
      <c r="P972" s="4">
        <v>0</v>
      </c>
      <c r="Q972" s="3" t="s">
        <v>26</v>
      </c>
      <c r="R972" s="3">
        <v>0</v>
      </c>
      <c r="S972" s="3" t="s">
        <v>369</v>
      </c>
      <c r="T972" s="3" t="s">
        <v>632</v>
      </c>
      <c r="U972" s="3">
        <v>0</v>
      </c>
      <c r="V972" s="3">
        <v>20</v>
      </c>
      <c r="W972" s="3">
        <v>88</v>
      </c>
    </row>
    <row r="973" spans="1:23" ht="11.25" customHeight="1" x14ac:dyDescent="0.25">
      <c r="A973" s="3" t="s">
        <v>21</v>
      </c>
      <c r="B973" s="3" t="s">
        <v>41</v>
      </c>
      <c r="C973" s="3" t="s">
        <v>42</v>
      </c>
      <c r="D973" s="3" t="s">
        <v>46</v>
      </c>
      <c r="E973" s="3" t="s">
        <v>25</v>
      </c>
      <c r="F973" s="3" t="s">
        <v>25</v>
      </c>
      <c r="G973" s="3" t="s">
        <v>25</v>
      </c>
      <c r="H973" s="3" t="s">
        <v>34</v>
      </c>
      <c r="I973" s="6">
        <v>44593</v>
      </c>
      <c r="J973" s="4">
        <v>0</v>
      </c>
      <c r="K973" s="4">
        <v>0</v>
      </c>
      <c r="L973" s="4">
        <v>307.774</v>
      </c>
      <c r="M973" s="4">
        <v>307.774</v>
      </c>
      <c r="N973" s="4">
        <v>307.774</v>
      </c>
      <c r="O973" s="4">
        <v>307.774</v>
      </c>
      <c r="P973" s="4">
        <v>0</v>
      </c>
      <c r="Q973" s="3" t="s">
        <v>26</v>
      </c>
      <c r="R973" s="3">
        <v>0</v>
      </c>
      <c r="S973" s="3" t="s">
        <v>370</v>
      </c>
      <c r="T973" s="3" t="s">
        <v>633</v>
      </c>
      <c r="U973" s="3">
        <v>0</v>
      </c>
      <c r="V973" s="3">
        <v>20</v>
      </c>
      <c r="W973" s="3">
        <v>88</v>
      </c>
    </row>
    <row r="974" spans="1:23" ht="11.25" customHeight="1" x14ac:dyDescent="0.25">
      <c r="A974" s="3" t="s">
        <v>27</v>
      </c>
      <c r="B974" s="3" t="s">
        <v>41</v>
      </c>
      <c r="C974" s="3" t="s">
        <v>42</v>
      </c>
      <c r="D974" s="3" t="s">
        <v>46</v>
      </c>
      <c r="E974" s="3" t="s">
        <v>25</v>
      </c>
      <c r="F974" s="3" t="s">
        <v>25</v>
      </c>
      <c r="G974" s="3" t="s">
        <v>25</v>
      </c>
      <c r="H974" s="3" t="s">
        <v>34</v>
      </c>
      <c r="I974" s="6">
        <v>44593</v>
      </c>
      <c r="J974" s="4">
        <v>0</v>
      </c>
      <c r="K974" s="4">
        <v>0</v>
      </c>
      <c r="L974" s="4">
        <v>11.238</v>
      </c>
      <c r="M974" s="4">
        <v>11.238</v>
      </c>
      <c r="N974" s="4">
        <v>11.238</v>
      </c>
      <c r="O974" s="4">
        <v>11.238</v>
      </c>
      <c r="P974" s="4">
        <v>0</v>
      </c>
      <c r="Q974" s="3" t="s">
        <v>26</v>
      </c>
      <c r="R974" s="3">
        <v>0</v>
      </c>
      <c r="S974" s="3" t="s">
        <v>370</v>
      </c>
      <c r="T974" s="3" t="s">
        <v>633</v>
      </c>
      <c r="U974" s="3">
        <v>0</v>
      </c>
      <c r="V974" s="3">
        <v>20</v>
      </c>
      <c r="W974" s="3">
        <v>88</v>
      </c>
    </row>
    <row r="975" spans="1:23" ht="11.25" customHeight="1" x14ac:dyDescent="0.25">
      <c r="A975" s="3" t="s">
        <v>28</v>
      </c>
      <c r="B975" s="3" t="s">
        <v>41</v>
      </c>
      <c r="C975" s="3" t="s">
        <v>42</v>
      </c>
      <c r="D975" s="3" t="s">
        <v>46</v>
      </c>
      <c r="E975" s="3" t="s">
        <v>25</v>
      </c>
      <c r="F975" s="3" t="s">
        <v>25</v>
      </c>
      <c r="G975" s="3" t="s">
        <v>25</v>
      </c>
      <c r="H975" s="3" t="s">
        <v>34</v>
      </c>
      <c r="I975" s="6">
        <v>44593</v>
      </c>
      <c r="J975" s="4">
        <v>0</v>
      </c>
      <c r="K975" s="4">
        <v>0</v>
      </c>
      <c r="L975" s="4">
        <v>45.445</v>
      </c>
      <c r="M975" s="4">
        <v>45.445</v>
      </c>
      <c r="N975" s="4">
        <v>45.445</v>
      </c>
      <c r="O975" s="4">
        <v>45.445</v>
      </c>
      <c r="P975" s="4">
        <v>0</v>
      </c>
      <c r="Q975" s="3" t="s">
        <v>26</v>
      </c>
      <c r="R975" s="3">
        <v>0</v>
      </c>
      <c r="S975" s="3" t="s">
        <v>370</v>
      </c>
      <c r="T975" s="3" t="s">
        <v>633</v>
      </c>
      <c r="U975" s="3">
        <v>0</v>
      </c>
      <c r="V975" s="3">
        <v>20</v>
      </c>
      <c r="W975" s="3">
        <v>88</v>
      </c>
    </row>
    <row r="976" spans="1:23" ht="11.25" customHeight="1" x14ac:dyDescent="0.25">
      <c r="A976" s="3" t="s">
        <v>56</v>
      </c>
      <c r="B976" s="3" t="s">
        <v>41</v>
      </c>
      <c r="C976" s="3" t="s">
        <v>42</v>
      </c>
      <c r="D976" s="3" t="s">
        <v>46</v>
      </c>
      <c r="E976" s="3" t="s">
        <v>25</v>
      </c>
      <c r="F976" s="3" t="s">
        <v>25</v>
      </c>
      <c r="G976" s="3" t="s">
        <v>25</v>
      </c>
      <c r="H976" s="3" t="s">
        <v>34</v>
      </c>
      <c r="I976" s="6">
        <v>44621</v>
      </c>
      <c r="J976" s="4">
        <v>0</v>
      </c>
      <c r="K976" s="4">
        <v>0</v>
      </c>
      <c r="L976" s="4">
        <v>307.774</v>
      </c>
      <c r="M976" s="4">
        <v>307.774</v>
      </c>
      <c r="N976" s="4">
        <v>307.774</v>
      </c>
      <c r="O976" s="4">
        <v>307.774</v>
      </c>
      <c r="P976" s="4">
        <v>0</v>
      </c>
      <c r="Q976" s="3" t="s">
        <v>26</v>
      </c>
      <c r="R976" s="3">
        <v>0</v>
      </c>
      <c r="S976" s="3" t="s">
        <v>371</v>
      </c>
      <c r="T976" s="3" t="s">
        <v>634</v>
      </c>
      <c r="U976" s="3">
        <v>0</v>
      </c>
      <c r="V976" s="3">
        <v>20</v>
      </c>
      <c r="W976" s="3">
        <v>88</v>
      </c>
    </row>
    <row r="977" spans="1:23" ht="11.25" customHeight="1" x14ac:dyDescent="0.25">
      <c r="A977" s="3" t="s">
        <v>56</v>
      </c>
      <c r="B977" s="3" t="s">
        <v>41</v>
      </c>
      <c r="C977" s="3" t="s">
        <v>42</v>
      </c>
      <c r="D977" s="3" t="s">
        <v>46</v>
      </c>
      <c r="E977" s="3" t="s">
        <v>25</v>
      </c>
      <c r="F977" s="3" t="s">
        <v>25</v>
      </c>
      <c r="G977" s="3" t="s">
        <v>25</v>
      </c>
      <c r="H977" s="3" t="s">
        <v>34</v>
      </c>
      <c r="I977" s="6">
        <v>44621</v>
      </c>
      <c r="J977" s="4">
        <v>0</v>
      </c>
      <c r="K977" s="4">
        <v>0</v>
      </c>
      <c r="L977" s="4">
        <v>11.238</v>
      </c>
      <c r="M977" s="4">
        <v>11.238</v>
      </c>
      <c r="N977" s="4">
        <v>11.238</v>
      </c>
      <c r="O977" s="4">
        <v>11.238</v>
      </c>
      <c r="P977" s="4">
        <v>0</v>
      </c>
      <c r="Q977" s="3" t="s">
        <v>26</v>
      </c>
      <c r="R977" s="3">
        <v>0</v>
      </c>
      <c r="S977" s="3" t="s">
        <v>371</v>
      </c>
      <c r="T977" s="3" t="s">
        <v>634</v>
      </c>
      <c r="U977" s="3">
        <v>0</v>
      </c>
      <c r="V977" s="3">
        <v>20</v>
      </c>
      <c r="W977" s="3">
        <v>88</v>
      </c>
    </row>
    <row r="978" spans="1:23" ht="11.25" customHeight="1" x14ac:dyDescent="0.25">
      <c r="A978" s="3" t="s">
        <v>56</v>
      </c>
      <c r="B978" s="3" t="s">
        <v>41</v>
      </c>
      <c r="C978" s="3" t="s">
        <v>42</v>
      </c>
      <c r="D978" s="3" t="s">
        <v>46</v>
      </c>
      <c r="E978" s="3" t="s">
        <v>25</v>
      </c>
      <c r="F978" s="3" t="s">
        <v>25</v>
      </c>
      <c r="G978" s="3" t="s">
        <v>25</v>
      </c>
      <c r="H978" s="3" t="s">
        <v>34</v>
      </c>
      <c r="I978" s="6">
        <v>44621</v>
      </c>
      <c r="J978" s="4">
        <v>0</v>
      </c>
      <c r="K978" s="4">
        <v>0</v>
      </c>
      <c r="L978" s="4">
        <v>45.445</v>
      </c>
      <c r="M978" s="4">
        <v>45.445</v>
      </c>
      <c r="N978" s="4">
        <v>45.445</v>
      </c>
      <c r="O978" s="4">
        <v>45.445</v>
      </c>
      <c r="P978" s="4">
        <v>0</v>
      </c>
      <c r="Q978" s="3" t="s">
        <v>26</v>
      </c>
      <c r="R978" s="3">
        <v>0</v>
      </c>
      <c r="S978" s="3" t="s">
        <v>371</v>
      </c>
      <c r="T978" s="3" t="s">
        <v>634</v>
      </c>
      <c r="U978" s="3">
        <v>0</v>
      </c>
      <c r="V978" s="3">
        <v>20</v>
      </c>
      <c r="W978" s="3">
        <v>88</v>
      </c>
    </row>
    <row r="979" spans="1:23" ht="11.25" customHeight="1" x14ac:dyDescent="0.25">
      <c r="A979" s="3" t="s">
        <v>21</v>
      </c>
      <c r="B979" s="3" t="s">
        <v>41</v>
      </c>
      <c r="C979" s="3" t="s">
        <v>42</v>
      </c>
      <c r="D979" s="3" t="s">
        <v>45</v>
      </c>
      <c r="E979" s="3" t="s">
        <v>53</v>
      </c>
      <c r="F979" s="3" t="s">
        <v>55</v>
      </c>
      <c r="G979" s="3" t="s">
        <v>25</v>
      </c>
      <c r="H979" s="3" t="s">
        <v>35</v>
      </c>
      <c r="I979" s="6">
        <v>44287</v>
      </c>
      <c r="J979" s="4">
        <v>0</v>
      </c>
      <c r="K979" s="4">
        <v>0</v>
      </c>
      <c r="L979" s="4">
        <v>962.79499999999996</v>
      </c>
      <c r="M979" s="4">
        <v>96.279499999999999</v>
      </c>
      <c r="N979" s="4">
        <v>962.79499999999996</v>
      </c>
      <c r="O979" s="4">
        <v>96.279499999999999</v>
      </c>
      <c r="P979" s="4">
        <v>0</v>
      </c>
      <c r="Q979" s="3" t="s">
        <v>26</v>
      </c>
      <c r="R979" s="3">
        <v>0</v>
      </c>
      <c r="S979" s="3" t="s">
        <v>336</v>
      </c>
      <c r="T979" s="3" t="s">
        <v>611</v>
      </c>
      <c r="U979" s="3">
        <v>0</v>
      </c>
      <c r="V979" s="3">
        <v>21</v>
      </c>
      <c r="W979" s="3">
        <v>89</v>
      </c>
    </row>
    <row r="980" spans="1:23" ht="11.25" customHeight="1" x14ac:dyDescent="0.25">
      <c r="A980" s="3" t="s">
        <v>21</v>
      </c>
      <c r="B980" s="3" t="s">
        <v>41</v>
      </c>
      <c r="C980" s="3" t="s">
        <v>42</v>
      </c>
      <c r="D980" s="3" t="s">
        <v>45</v>
      </c>
      <c r="E980" s="3" t="s">
        <v>53</v>
      </c>
      <c r="F980" s="3" t="s">
        <v>55</v>
      </c>
      <c r="G980" s="3" t="s">
        <v>25</v>
      </c>
      <c r="H980" s="3" t="s">
        <v>35</v>
      </c>
      <c r="I980" s="6">
        <v>44317</v>
      </c>
      <c r="J980" s="4">
        <v>0</v>
      </c>
      <c r="K980" s="4">
        <v>0</v>
      </c>
      <c r="L980" s="4">
        <v>333.96199999999999</v>
      </c>
      <c r="M980" s="4">
        <v>33.3962</v>
      </c>
      <c r="N980" s="4">
        <v>333.96199999999999</v>
      </c>
      <c r="O980" s="4">
        <v>33.3962</v>
      </c>
      <c r="P980" s="4">
        <v>0</v>
      </c>
      <c r="Q980" s="3" t="s">
        <v>26</v>
      </c>
      <c r="R980" s="3">
        <v>0</v>
      </c>
      <c r="S980" s="3" t="s">
        <v>337</v>
      </c>
      <c r="T980" s="3" t="s">
        <v>612</v>
      </c>
      <c r="U980" s="3">
        <v>0</v>
      </c>
      <c r="V980" s="3">
        <v>21</v>
      </c>
      <c r="W980" s="3">
        <v>89</v>
      </c>
    </row>
    <row r="981" spans="1:23" ht="11.25" customHeight="1" x14ac:dyDescent="0.25">
      <c r="A981" s="3" t="s">
        <v>28</v>
      </c>
      <c r="B981" s="3" t="s">
        <v>41</v>
      </c>
      <c r="C981" s="3" t="s">
        <v>42</v>
      </c>
      <c r="D981" s="3" t="s">
        <v>45</v>
      </c>
      <c r="E981" s="3" t="s">
        <v>53</v>
      </c>
      <c r="F981" s="3" t="s">
        <v>55</v>
      </c>
      <c r="G981" s="3" t="s">
        <v>25</v>
      </c>
      <c r="H981" s="3" t="s">
        <v>35</v>
      </c>
      <c r="I981" s="6">
        <v>44317</v>
      </c>
      <c r="J981" s="4">
        <v>0</v>
      </c>
      <c r="K981" s="4">
        <v>0</v>
      </c>
      <c r="L981" s="4">
        <v>8.2000000000000003E-2</v>
      </c>
      <c r="M981" s="4">
        <v>8.2000000000000007E-3</v>
      </c>
      <c r="N981" s="4">
        <v>8.2000000000000003E-2</v>
      </c>
      <c r="O981" s="4">
        <v>8.2000000000000007E-3</v>
      </c>
      <c r="P981" s="4">
        <v>0</v>
      </c>
      <c r="Q981" s="3" t="s">
        <v>26</v>
      </c>
      <c r="R981" s="3">
        <v>0</v>
      </c>
      <c r="S981" s="3" t="s">
        <v>337</v>
      </c>
      <c r="T981" s="3" t="s">
        <v>612</v>
      </c>
      <c r="U981" s="3">
        <v>0</v>
      </c>
      <c r="V981" s="3">
        <v>21</v>
      </c>
      <c r="W981" s="3">
        <v>89</v>
      </c>
    </row>
    <row r="982" spans="1:23" ht="11.25" customHeight="1" x14ac:dyDescent="0.25">
      <c r="A982" s="3" t="s">
        <v>21</v>
      </c>
      <c r="B982" s="3" t="s">
        <v>41</v>
      </c>
      <c r="C982" s="3" t="s">
        <v>42</v>
      </c>
      <c r="D982" s="3" t="s">
        <v>45</v>
      </c>
      <c r="E982" s="3" t="s">
        <v>53</v>
      </c>
      <c r="F982" s="3" t="s">
        <v>55</v>
      </c>
      <c r="G982" s="3" t="s">
        <v>25</v>
      </c>
      <c r="H982" s="3" t="s">
        <v>35</v>
      </c>
      <c r="I982" s="6">
        <v>44348</v>
      </c>
      <c r="J982" s="4">
        <v>0</v>
      </c>
      <c r="K982" s="4">
        <v>0</v>
      </c>
      <c r="L982" s="4">
        <v>324.93599999999998</v>
      </c>
      <c r="M982" s="4">
        <v>32.493600000000001</v>
      </c>
      <c r="N982" s="4">
        <v>324.93599999999998</v>
      </c>
      <c r="O982" s="4">
        <v>32.493600000000001</v>
      </c>
      <c r="P982" s="4">
        <v>0</v>
      </c>
      <c r="Q982" s="3" t="s">
        <v>26</v>
      </c>
      <c r="R982" s="3">
        <v>0</v>
      </c>
      <c r="S982" s="3" t="s">
        <v>338</v>
      </c>
      <c r="T982" s="3" t="s">
        <v>613</v>
      </c>
      <c r="U982" s="3">
        <v>0</v>
      </c>
      <c r="V982" s="3">
        <v>21</v>
      </c>
      <c r="W982" s="3">
        <v>89</v>
      </c>
    </row>
    <row r="983" spans="1:23" ht="11.25" customHeight="1" x14ac:dyDescent="0.25">
      <c r="A983" s="3" t="s">
        <v>28</v>
      </c>
      <c r="B983" s="3" t="s">
        <v>41</v>
      </c>
      <c r="C983" s="3" t="s">
        <v>42</v>
      </c>
      <c r="D983" s="3" t="s">
        <v>45</v>
      </c>
      <c r="E983" s="3" t="s">
        <v>53</v>
      </c>
      <c r="F983" s="3" t="s">
        <v>55</v>
      </c>
      <c r="G983" s="3" t="s">
        <v>25</v>
      </c>
      <c r="H983" s="3" t="s">
        <v>35</v>
      </c>
      <c r="I983" s="6">
        <v>44348</v>
      </c>
      <c r="J983" s="4">
        <v>0</v>
      </c>
      <c r="K983" s="4">
        <v>0</v>
      </c>
      <c r="L983" s="4">
        <v>4.1000000000000002E-2</v>
      </c>
      <c r="M983" s="4">
        <v>4.1000000000000003E-3</v>
      </c>
      <c r="N983" s="4">
        <v>4.1000000000000002E-2</v>
      </c>
      <c r="O983" s="4">
        <v>4.1000000000000003E-3</v>
      </c>
      <c r="P983" s="4">
        <v>0</v>
      </c>
      <c r="Q983" s="3" t="s">
        <v>26</v>
      </c>
      <c r="R983" s="3">
        <v>0</v>
      </c>
      <c r="S983" s="3" t="s">
        <v>338</v>
      </c>
      <c r="T983" s="3" t="s">
        <v>613</v>
      </c>
      <c r="U983" s="3">
        <v>0</v>
      </c>
      <c r="V983" s="3">
        <v>21</v>
      </c>
      <c r="W983" s="3">
        <v>89</v>
      </c>
    </row>
    <row r="984" spans="1:23" ht="11.25" customHeight="1" x14ac:dyDescent="0.25">
      <c r="A984" s="3" t="s">
        <v>21</v>
      </c>
      <c r="B984" s="3" t="s">
        <v>41</v>
      </c>
      <c r="C984" s="3" t="s">
        <v>42</v>
      </c>
      <c r="D984" s="3" t="s">
        <v>45</v>
      </c>
      <c r="E984" s="3" t="s">
        <v>53</v>
      </c>
      <c r="F984" s="3" t="s">
        <v>55</v>
      </c>
      <c r="G984" s="3" t="s">
        <v>25</v>
      </c>
      <c r="H984" s="3" t="s">
        <v>35</v>
      </c>
      <c r="I984" s="6">
        <v>44378</v>
      </c>
      <c r="J984" s="4">
        <v>0</v>
      </c>
      <c r="K984" s="4">
        <v>0</v>
      </c>
      <c r="L984" s="4">
        <v>354.49200000000002</v>
      </c>
      <c r="M984" s="4">
        <v>35.449199999999998</v>
      </c>
      <c r="N984" s="4">
        <v>354.49200000000002</v>
      </c>
      <c r="O984" s="4">
        <v>35.449199999999998</v>
      </c>
      <c r="P984" s="4">
        <v>0</v>
      </c>
      <c r="Q984" s="3" t="s">
        <v>26</v>
      </c>
      <c r="R984" s="3">
        <v>0</v>
      </c>
      <c r="S984" s="3" t="s">
        <v>339</v>
      </c>
      <c r="T984" s="3" t="s">
        <v>614</v>
      </c>
      <c r="U984" s="3">
        <v>0</v>
      </c>
      <c r="V984" s="3">
        <v>21</v>
      </c>
      <c r="W984" s="3">
        <v>89</v>
      </c>
    </row>
    <row r="985" spans="1:23" ht="11.25" customHeight="1" x14ac:dyDescent="0.25">
      <c r="A985" s="3" t="s">
        <v>28</v>
      </c>
      <c r="B985" s="3" t="s">
        <v>41</v>
      </c>
      <c r="C985" s="3" t="s">
        <v>42</v>
      </c>
      <c r="D985" s="3" t="s">
        <v>45</v>
      </c>
      <c r="E985" s="3" t="s">
        <v>53</v>
      </c>
      <c r="F985" s="3" t="s">
        <v>55</v>
      </c>
      <c r="G985" s="3" t="s">
        <v>25</v>
      </c>
      <c r="H985" s="3" t="s">
        <v>35</v>
      </c>
      <c r="I985" s="6">
        <v>44378</v>
      </c>
      <c r="J985" s="4">
        <v>0</v>
      </c>
      <c r="K985" s="4">
        <v>0</v>
      </c>
      <c r="L985" s="4">
        <v>8.2000000000000003E-2</v>
      </c>
      <c r="M985" s="4">
        <v>8.2000000000000007E-3</v>
      </c>
      <c r="N985" s="4">
        <v>8.2000000000000003E-2</v>
      </c>
      <c r="O985" s="4">
        <v>8.2000000000000007E-3</v>
      </c>
      <c r="P985" s="4">
        <v>0</v>
      </c>
      <c r="Q985" s="3" t="s">
        <v>26</v>
      </c>
      <c r="R985" s="3">
        <v>0</v>
      </c>
      <c r="S985" s="3" t="s">
        <v>339</v>
      </c>
      <c r="T985" s="3" t="s">
        <v>614</v>
      </c>
      <c r="U985" s="3">
        <v>0</v>
      </c>
      <c r="V985" s="3">
        <v>21</v>
      </c>
      <c r="W985" s="3">
        <v>89</v>
      </c>
    </row>
    <row r="986" spans="1:23" ht="11.25" customHeight="1" x14ac:dyDescent="0.25">
      <c r="A986" s="3" t="s">
        <v>21</v>
      </c>
      <c r="B986" s="3" t="s">
        <v>41</v>
      </c>
      <c r="C986" s="3" t="s">
        <v>42</v>
      </c>
      <c r="D986" s="3" t="s">
        <v>45</v>
      </c>
      <c r="E986" s="3" t="s">
        <v>53</v>
      </c>
      <c r="F986" s="3" t="s">
        <v>55</v>
      </c>
      <c r="G986" s="3" t="s">
        <v>25</v>
      </c>
      <c r="H986" s="3" t="s">
        <v>35</v>
      </c>
      <c r="I986" s="6">
        <v>44409</v>
      </c>
      <c r="J986" s="4">
        <v>0</v>
      </c>
      <c r="K986" s="4">
        <v>0</v>
      </c>
      <c r="L986" s="4">
        <v>599.25599999999997</v>
      </c>
      <c r="M986" s="4">
        <v>59.925600000000003</v>
      </c>
      <c r="N986" s="4">
        <v>599.25599999999997</v>
      </c>
      <c r="O986" s="4">
        <v>59.925600000000003</v>
      </c>
      <c r="P986" s="4">
        <v>0</v>
      </c>
      <c r="Q986" s="3" t="s">
        <v>26</v>
      </c>
      <c r="R986" s="3">
        <v>0</v>
      </c>
      <c r="S986" s="3" t="s">
        <v>340</v>
      </c>
      <c r="T986" s="3" t="s">
        <v>615</v>
      </c>
      <c r="U986" s="3">
        <v>0</v>
      </c>
      <c r="V986" s="3">
        <v>21</v>
      </c>
      <c r="W986" s="3">
        <v>89</v>
      </c>
    </row>
    <row r="987" spans="1:23" ht="11.25" customHeight="1" x14ac:dyDescent="0.25">
      <c r="A987" s="3" t="s">
        <v>28</v>
      </c>
      <c r="B987" s="3" t="s">
        <v>41</v>
      </c>
      <c r="C987" s="3" t="s">
        <v>42</v>
      </c>
      <c r="D987" s="3" t="s">
        <v>45</v>
      </c>
      <c r="E987" s="3" t="s">
        <v>53</v>
      </c>
      <c r="F987" s="3" t="s">
        <v>55</v>
      </c>
      <c r="G987" s="3" t="s">
        <v>25</v>
      </c>
      <c r="H987" s="3" t="s">
        <v>35</v>
      </c>
      <c r="I987" s="6">
        <v>44409</v>
      </c>
      <c r="J987" s="4">
        <v>0</v>
      </c>
      <c r="K987" s="4">
        <v>0</v>
      </c>
      <c r="L987" s="4">
        <v>8.2000000000000003E-2</v>
      </c>
      <c r="M987" s="4">
        <v>8.2000000000000007E-3</v>
      </c>
      <c r="N987" s="4">
        <v>8.2000000000000003E-2</v>
      </c>
      <c r="O987" s="4">
        <v>8.2000000000000007E-3</v>
      </c>
      <c r="P987" s="4">
        <v>0</v>
      </c>
      <c r="Q987" s="3" t="s">
        <v>26</v>
      </c>
      <c r="R987" s="3">
        <v>0</v>
      </c>
      <c r="S987" s="3" t="s">
        <v>340</v>
      </c>
      <c r="T987" s="3" t="s">
        <v>615</v>
      </c>
      <c r="U987" s="3">
        <v>0</v>
      </c>
      <c r="V987" s="3">
        <v>21</v>
      </c>
      <c r="W987" s="3">
        <v>89</v>
      </c>
    </row>
    <row r="988" spans="1:23" ht="11.25" customHeight="1" x14ac:dyDescent="0.25">
      <c r="A988" s="3" t="s">
        <v>21</v>
      </c>
      <c r="B988" s="3" t="s">
        <v>41</v>
      </c>
      <c r="C988" s="3" t="s">
        <v>42</v>
      </c>
      <c r="D988" s="3" t="s">
        <v>45</v>
      </c>
      <c r="E988" s="3" t="s">
        <v>53</v>
      </c>
      <c r="F988" s="3" t="s">
        <v>55</v>
      </c>
      <c r="G988" s="3" t="s">
        <v>25</v>
      </c>
      <c r="H988" s="3" t="s">
        <v>35</v>
      </c>
      <c r="I988" s="6">
        <v>44440</v>
      </c>
      <c r="J988" s="4">
        <v>0</v>
      </c>
      <c r="K988" s="4">
        <v>0</v>
      </c>
      <c r="L988" s="4">
        <v>891.18</v>
      </c>
      <c r="M988" s="4">
        <v>89.117999999999995</v>
      </c>
      <c r="N988" s="4">
        <v>891.18</v>
      </c>
      <c r="O988" s="4">
        <v>89.117999999999995</v>
      </c>
      <c r="P988" s="4">
        <v>0</v>
      </c>
      <c r="Q988" s="3" t="s">
        <v>26</v>
      </c>
      <c r="R988" s="3">
        <v>0</v>
      </c>
      <c r="S988" s="3" t="s">
        <v>341</v>
      </c>
      <c r="T988" s="3" t="s">
        <v>616</v>
      </c>
      <c r="U988" s="3">
        <v>0</v>
      </c>
      <c r="V988" s="3">
        <v>21</v>
      </c>
      <c r="W988" s="3">
        <v>89</v>
      </c>
    </row>
    <row r="989" spans="1:23" ht="11.25" customHeight="1" x14ac:dyDescent="0.25">
      <c r="A989" s="3" t="s">
        <v>28</v>
      </c>
      <c r="B989" s="3" t="s">
        <v>41</v>
      </c>
      <c r="C989" s="3" t="s">
        <v>42</v>
      </c>
      <c r="D989" s="3" t="s">
        <v>45</v>
      </c>
      <c r="E989" s="3" t="s">
        <v>53</v>
      </c>
      <c r="F989" s="3" t="s">
        <v>55</v>
      </c>
      <c r="G989" s="3" t="s">
        <v>25</v>
      </c>
      <c r="H989" s="3" t="s">
        <v>35</v>
      </c>
      <c r="I989" s="6">
        <v>44440</v>
      </c>
      <c r="J989" s="4">
        <v>0</v>
      </c>
      <c r="K989" s="4">
        <v>0</v>
      </c>
      <c r="L989" s="4">
        <v>2.6240000000000001</v>
      </c>
      <c r="M989" s="4">
        <v>0.26240000000000002</v>
      </c>
      <c r="N989" s="4">
        <v>2.6240000000000001</v>
      </c>
      <c r="O989" s="4">
        <v>0.26240000000000002</v>
      </c>
      <c r="P989" s="4">
        <v>0</v>
      </c>
      <c r="Q989" s="3" t="s">
        <v>26</v>
      </c>
      <c r="R989" s="3">
        <v>0</v>
      </c>
      <c r="S989" s="3" t="s">
        <v>341</v>
      </c>
      <c r="T989" s="3" t="s">
        <v>616</v>
      </c>
      <c r="U989" s="3">
        <v>0</v>
      </c>
      <c r="V989" s="3">
        <v>21</v>
      </c>
      <c r="W989" s="3">
        <v>89</v>
      </c>
    </row>
    <row r="990" spans="1:23" ht="11.25" customHeight="1" x14ac:dyDescent="0.25">
      <c r="A990" s="3" t="s">
        <v>21</v>
      </c>
      <c r="B990" s="3" t="s">
        <v>41</v>
      </c>
      <c r="C990" s="3" t="s">
        <v>42</v>
      </c>
      <c r="D990" s="3" t="s">
        <v>45</v>
      </c>
      <c r="E990" s="3" t="s">
        <v>53</v>
      </c>
      <c r="F990" s="3" t="s">
        <v>55</v>
      </c>
      <c r="G990" s="3" t="s">
        <v>25</v>
      </c>
      <c r="H990" s="3" t="s">
        <v>35</v>
      </c>
      <c r="I990" s="6">
        <v>44470</v>
      </c>
      <c r="J990" s="4">
        <v>0</v>
      </c>
      <c r="K990" s="4">
        <v>0</v>
      </c>
      <c r="L990" s="4">
        <v>1351.895</v>
      </c>
      <c r="M990" s="4">
        <v>135.18950000000001</v>
      </c>
      <c r="N990" s="4">
        <v>1351.895</v>
      </c>
      <c r="O990" s="4">
        <v>135.18950000000001</v>
      </c>
      <c r="P990" s="4">
        <v>0</v>
      </c>
      <c r="Q990" s="3" t="s">
        <v>26</v>
      </c>
      <c r="R990" s="3">
        <v>0</v>
      </c>
      <c r="S990" s="3" t="s">
        <v>342</v>
      </c>
      <c r="T990" s="3" t="s">
        <v>617</v>
      </c>
      <c r="U990" s="3">
        <v>0</v>
      </c>
      <c r="V990" s="3">
        <v>21</v>
      </c>
      <c r="W990" s="3">
        <v>89</v>
      </c>
    </row>
    <row r="991" spans="1:23" ht="11.25" customHeight="1" x14ac:dyDescent="0.25">
      <c r="A991" s="3" t="s">
        <v>28</v>
      </c>
      <c r="B991" s="3" t="s">
        <v>41</v>
      </c>
      <c r="C991" s="3" t="s">
        <v>42</v>
      </c>
      <c r="D991" s="3" t="s">
        <v>45</v>
      </c>
      <c r="E991" s="3" t="s">
        <v>53</v>
      </c>
      <c r="F991" s="3" t="s">
        <v>55</v>
      </c>
      <c r="G991" s="3" t="s">
        <v>25</v>
      </c>
      <c r="H991" s="3" t="s">
        <v>35</v>
      </c>
      <c r="I991" s="6">
        <v>44470</v>
      </c>
      <c r="J991" s="4">
        <v>0</v>
      </c>
      <c r="K991" s="4">
        <v>0</v>
      </c>
      <c r="L991" s="4">
        <v>8.8970000000000002</v>
      </c>
      <c r="M991" s="4">
        <v>0.88970000000000005</v>
      </c>
      <c r="N991" s="4">
        <v>8.8970000000000002</v>
      </c>
      <c r="O991" s="4">
        <v>0.88970000000000005</v>
      </c>
      <c r="P991" s="4">
        <v>0</v>
      </c>
      <c r="Q991" s="3" t="s">
        <v>26</v>
      </c>
      <c r="R991" s="3">
        <v>0</v>
      </c>
      <c r="S991" s="3" t="s">
        <v>342</v>
      </c>
      <c r="T991" s="3" t="s">
        <v>617</v>
      </c>
      <c r="U991" s="3">
        <v>0</v>
      </c>
      <c r="V991" s="3">
        <v>21</v>
      </c>
      <c r="W991" s="3">
        <v>89</v>
      </c>
    </row>
    <row r="992" spans="1:23" ht="11.25" customHeight="1" x14ac:dyDescent="0.25">
      <c r="A992" s="3" t="s">
        <v>21</v>
      </c>
      <c r="B992" s="3" t="s">
        <v>41</v>
      </c>
      <c r="C992" s="3" t="s">
        <v>42</v>
      </c>
      <c r="D992" s="3" t="s">
        <v>45</v>
      </c>
      <c r="E992" s="3" t="s">
        <v>53</v>
      </c>
      <c r="F992" s="3" t="s">
        <v>55</v>
      </c>
      <c r="G992" s="3" t="s">
        <v>25</v>
      </c>
      <c r="H992" s="3" t="s">
        <v>35</v>
      </c>
      <c r="I992" s="6">
        <v>44501</v>
      </c>
      <c r="J992" s="4">
        <v>0</v>
      </c>
      <c r="K992" s="4">
        <v>0</v>
      </c>
      <c r="L992" s="4">
        <v>1290.3910000000001</v>
      </c>
      <c r="M992" s="4">
        <v>129.03909999999999</v>
      </c>
      <c r="N992" s="4">
        <v>1290.3910000000001</v>
      </c>
      <c r="O992" s="4">
        <v>129.03909999999999</v>
      </c>
      <c r="P992" s="4">
        <v>0</v>
      </c>
      <c r="Q992" s="3" t="s">
        <v>26</v>
      </c>
      <c r="R992" s="3">
        <v>0</v>
      </c>
      <c r="S992" s="3" t="s">
        <v>343</v>
      </c>
      <c r="T992" s="3" t="s">
        <v>618</v>
      </c>
      <c r="U992" s="3">
        <v>0</v>
      </c>
      <c r="V992" s="3">
        <v>21</v>
      </c>
      <c r="W992" s="3">
        <v>89</v>
      </c>
    </row>
    <row r="993" spans="1:23" ht="11.25" customHeight="1" x14ac:dyDescent="0.25">
      <c r="A993" s="3" t="s">
        <v>28</v>
      </c>
      <c r="B993" s="3" t="s">
        <v>41</v>
      </c>
      <c r="C993" s="3" t="s">
        <v>42</v>
      </c>
      <c r="D993" s="3" t="s">
        <v>45</v>
      </c>
      <c r="E993" s="3" t="s">
        <v>53</v>
      </c>
      <c r="F993" s="3" t="s">
        <v>55</v>
      </c>
      <c r="G993" s="3" t="s">
        <v>25</v>
      </c>
      <c r="H993" s="3" t="s">
        <v>35</v>
      </c>
      <c r="I993" s="6">
        <v>44501</v>
      </c>
      <c r="J993" s="4">
        <v>0</v>
      </c>
      <c r="K993" s="4">
        <v>0</v>
      </c>
      <c r="L993" s="4">
        <v>9.2249999999999996</v>
      </c>
      <c r="M993" s="4">
        <v>0.92249999999999999</v>
      </c>
      <c r="N993" s="4">
        <v>9.2249999999999996</v>
      </c>
      <c r="O993" s="4">
        <v>0.92249999999999999</v>
      </c>
      <c r="P993" s="4">
        <v>0</v>
      </c>
      <c r="Q993" s="3" t="s">
        <v>26</v>
      </c>
      <c r="R993" s="3">
        <v>0</v>
      </c>
      <c r="S993" s="3" t="s">
        <v>343</v>
      </c>
      <c r="T993" s="3" t="s">
        <v>618</v>
      </c>
      <c r="U993" s="3">
        <v>0</v>
      </c>
      <c r="V993" s="3">
        <v>21</v>
      </c>
      <c r="W993" s="3">
        <v>89</v>
      </c>
    </row>
    <row r="994" spans="1:23" ht="11.25" customHeight="1" x14ac:dyDescent="0.25">
      <c r="A994" s="3" t="s">
        <v>21</v>
      </c>
      <c r="B994" s="3" t="s">
        <v>41</v>
      </c>
      <c r="C994" s="3" t="s">
        <v>42</v>
      </c>
      <c r="D994" s="3" t="s">
        <v>45</v>
      </c>
      <c r="E994" s="3" t="s">
        <v>53</v>
      </c>
      <c r="F994" s="3" t="s">
        <v>55</v>
      </c>
      <c r="G994" s="3" t="s">
        <v>25</v>
      </c>
      <c r="H994" s="3" t="s">
        <v>35</v>
      </c>
      <c r="I994" s="6">
        <v>44531</v>
      </c>
      <c r="J994" s="4">
        <v>0</v>
      </c>
      <c r="K994" s="4">
        <v>0</v>
      </c>
      <c r="L994" s="4">
        <v>920.84900000000005</v>
      </c>
      <c r="M994" s="4">
        <v>92.084900000000005</v>
      </c>
      <c r="N994" s="4">
        <v>920.84900000000005</v>
      </c>
      <c r="O994" s="4">
        <v>92.084900000000005</v>
      </c>
      <c r="P994" s="4">
        <v>0</v>
      </c>
      <c r="Q994" s="3" t="s">
        <v>26</v>
      </c>
      <c r="R994" s="3">
        <v>0</v>
      </c>
      <c r="S994" s="3" t="s">
        <v>344</v>
      </c>
      <c r="T994" s="3" t="s">
        <v>619</v>
      </c>
      <c r="U994" s="3">
        <v>0</v>
      </c>
      <c r="V994" s="3">
        <v>21</v>
      </c>
      <c r="W994" s="3">
        <v>89</v>
      </c>
    </row>
    <row r="995" spans="1:23" ht="11.25" customHeight="1" x14ac:dyDescent="0.25">
      <c r="A995" s="3" t="s">
        <v>28</v>
      </c>
      <c r="B995" s="3" t="s">
        <v>41</v>
      </c>
      <c r="C995" s="3" t="s">
        <v>42</v>
      </c>
      <c r="D995" s="3" t="s">
        <v>45</v>
      </c>
      <c r="E995" s="3" t="s">
        <v>53</v>
      </c>
      <c r="F995" s="3" t="s">
        <v>55</v>
      </c>
      <c r="G995" s="3" t="s">
        <v>25</v>
      </c>
      <c r="H995" s="3" t="s">
        <v>35</v>
      </c>
      <c r="I995" s="6">
        <v>44531</v>
      </c>
      <c r="J995" s="4">
        <v>0</v>
      </c>
      <c r="K995" s="4">
        <v>0</v>
      </c>
      <c r="L995" s="4">
        <v>9.2249999999999996</v>
      </c>
      <c r="M995" s="4">
        <v>0.92249999999999999</v>
      </c>
      <c r="N995" s="4">
        <v>9.2249999999999996</v>
      </c>
      <c r="O995" s="4">
        <v>0.92249999999999999</v>
      </c>
      <c r="P995" s="4">
        <v>0</v>
      </c>
      <c r="Q995" s="3" t="s">
        <v>26</v>
      </c>
      <c r="R995" s="3">
        <v>0</v>
      </c>
      <c r="S995" s="3" t="s">
        <v>344</v>
      </c>
      <c r="T995" s="3" t="s">
        <v>619</v>
      </c>
      <c r="U995" s="3">
        <v>0</v>
      </c>
      <c r="V995" s="3">
        <v>21</v>
      </c>
      <c r="W995" s="3">
        <v>89</v>
      </c>
    </row>
    <row r="996" spans="1:23" ht="11.25" customHeight="1" x14ac:dyDescent="0.25">
      <c r="A996" s="3" t="s">
        <v>21</v>
      </c>
      <c r="B996" s="3" t="s">
        <v>41</v>
      </c>
      <c r="C996" s="3" t="s">
        <v>42</v>
      </c>
      <c r="D996" s="3" t="s">
        <v>45</v>
      </c>
      <c r="E996" s="3" t="s">
        <v>53</v>
      </c>
      <c r="F996" s="3" t="s">
        <v>55</v>
      </c>
      <c r="G996" s="3" t="s">
        <v>25</v>
      </c>
      <c r="H996" s="3" t="s">
        <v>35</v>
      </c>
      <c r="I996" s="6">
        <v>44562</v>
      </c>
      <c r="J996" s="4">
        <v>0</v>
      </c>
      <c r="K996" s="4">
        <v>0</v>
      </c>
      <c r="L996" s="4">
        <v>805.755</v>
      </c>
      <c r="M996" s="4">
        <v>80.575500000000005</v>
      </c>
      <c r="N996" s="4">
        <v>805.755</v>
      </c>
      <c r="O996" s="4">
        <v>80.575500000000005</v>
      </c>
      <c r="P996" s="4">
        <v>0</v>
      </c>
      <c r="Q996" s="3" t="s">
        <v>26</v>
      </c>
      <c r="R996" s="3">
        <v>0</v>
      </c>
      <c r="S996" s="3" t="s">
        <v>345</v>
      </c>
      <c r="T996" s="3" t="s">
        <v>620</v>
      </c>
      <c r="U996" s="3">
        <v>0</v>
      </c>
      <c r="V996" s="3">
        <v>21</v>
      </c>
      <c r="W996" s="3">
        <v>89</v>
      </c>
    </row>
    <row r="997" spans="1:23" ht="11.25" customHeight="1" x14ac:dyDescent="0.25">
      <c r="A997" s="3" t="s">
        <v>27</v>
      </c>
      <c r="B997" s="3" t="s">
        <v>41</v>
      </c>
      <c r="C997" s="3" t="s">
        <v>42</v>
      </c>
      <c r="D997" s="3" t="s">
        <v>45</v>
      </c>
      <c r="E997" s="3" t="s">
        <v>53</v>
      </c>
      <c r="F997" s="3" t="s">
        <v>55</v>
      </c>
      <c r="G997" s="3" t="s">
        <v>25</v>
      </c>
      <c r="H997" s="3" t="s">
        <v>35</v>
      </c>
      <c r="I997" s="6">
        <v>44562</v>
      </c>
      <c r="J997" s="4">
        <v>0</v>
      </c>
      <c r="K997" s="4">
        <v>0</v>
      </c>
      <c r="L997" s="4">
        <v>136.136</v>
      </c>
      <c r="M997" s="4">
        <v>13.6136</v>
      </c>
      <c r="N997" s="4">
        <v>136.136</v>
      </c>
      <c r="O997" s="4">
        <v>13.6136</v>
      </c>
      <c r="P997" s="4">
        <v>0</v>
      </c>
      <c r="Q997" s="3" t="s">
        <v>26</v>
      </c>
      <c r="R997" s="3">
        <v>0</v>
      </c>
      <c r="S997" s="3" t="s">
        <v>345</v>
      </c>
      <c r="T997" s="3" t="s">
        <v>620</v>
      </c>
      <c r="U997" s="3">
        <v>0</v>
      </c>
      <c r="V997" s="3">
        <v>21</v>
      </c>
      <c r="W997" s="3">
        <v>89</v>
      </c>
    </row>
    <row r="998" spans="1:23" ht="11.25" customHeight="1" x14ac:dyDescent="0.25">
      <c r="A998" s="3" t="s">
        <v>28</v>
      </c>
      <c r="B998" s="3" t="s">
        <v>41</v>
      </c>
      <c r="C998" s="3" t="s">
        <v>42</v>
      </c>
      <c r="D998" s="3" t="s">
        <v>45</v>
      </c>
      <c r="E998" s="3" t="s">
        <v>53</v>
      </c>
      <c r="F998" s="3" t="s">
        <v>55</v>
      </c>
      <c r="G998" s="3" t="s">
        <v>25</v>
      </c>
      <c r="H998" s="3" t="s">
        <v>35</v>
      </c>
      <c r="I998" s="6">
        <v>44562</v>
      </c>
      <c r="J998" s="4">
        <v>0</v>
      </c>
      <c r="K998" s="4">
        <v>0</v>
      </c>
      <c r="L998" s="4">
        <v>11.468</v>
      </c>
      <c r="M998" s="4">
        <v>1.1468</v>
      </c>
      <c r="N998" s="4">
        <v>11.468</v>
      </c>
      <c r="O998" s="4">
        <v>1.1468</v>
      </c>
      <c r="P998" s="4">
        <v>0</v>
      </c>
      <c r="Q998" s="3" t="s">
        <v>26</v>
      </c>
      <c r="R998" s="3">
        <v>0</v>
      </c>
      <c r="S998" s="3" t="s">
        <v>345</v>
      </c>
      <c r="T998" s="3" t="s">
        <v>620</v>
      </c>
      <c r="U998" s="3">
        <v>0</v>
      </c>
      <c r="V998" s="3">
        <v>21</v>
      </c>
      <c r="W998" s="3">
        <v>89</v>
      </c>
    </row>
    <row r="999" spans="1:23" ht="11.25" customHeight="1" x14ac:dyDescent="0.25">
      <c r="A999" s="3" t="s">
        <v>21</v>
      </c>
      <c r="B999" s="3" t="s">
        <v>41</v>
      </c>
      <c r="C999" s="3" t="s">
        <v>42</v>
      </c>
      <c r="D999" s="3" t="s">
        <v>45</v>
      </c>
      <c r="E999" s="3" t="s">
        <v>53</v>
      </c>
      <c r="F999" s="3" t="s">
        <v>55</v>
      </c>
      <c r="G999" s="3" t="s">
        <v>25</v>
      </c>
      <c r="H999" s="3" t="s">
        <v>35</v>
      </c>
      <c r="I999" s="6">
        <v>44593</v>
      </c>
      <c r="J999" s="4">
        <v>0</v>
      </c>
      <c r="K999" s="4">
        <v>0</v>
      </c>
      <c r="L999" s="4">
        <v>1792.2349999999999</v>
      </c>
      <c r="M999" s="4">
        <v>179.2235</v>
      </c>
      <c r="N999" s="4">
        <v>1792.2349999999999</v>
      </c>
      <c r="O999" s="4">
        <v>179.2235</v>
      </c>
      <c r="P999" s="4">
        <v>0</v>
      </c>
      <c r="Q999" s="3" t="s">
        <v>26</v>
      </c>
      <c r="R999" s="3">
        <v>0</v>
      </c>
      <c r="S999" s="3" t="s">
        <v>346</v>
      </c>
      <c r="T999" s="3" t="s">
        <v>621</v>
      </c>
      <c r="U999" s="3">
        <v>0</v>
      </c>
      <c r="V999" s="3">
        <v>21</v>
      </c>
      <c r="W999" s="3">
        <v>89</v>
      </c>
    </row>
    <row r="1000" spans="1:23" ht="11.25" customHeight="1" x14ac:dyDescent="0.25">
      <c r="A1000" s="3" t="s">
        <v>28</v>
      </c>
      <c r="B1000" s="3" t="s">
        <v>41</v>
      </c>
      <c r="C1000" s="3" t="s">
        <v>42</v>
      </c>
      <c r="D1000" s="3" t="s">
        <v>45</v>
      </c>
      <c r="E1000" s="3" t="s">
        <v>53</v>
      </c>
      <c r="F1000" s="3" t="s">
        <v>55</v>
      </c>
      <c r="G1000" s="3" t="s">
        <v>25</v>
      </c>
      <c r="H1000" s="3" t="s">
        <v>35</v>
      </c>
      <c r="I1000" s="6">
        <v>44593</v>
      </c>
      <c r="J1000" s="4">
        <v>0</v>
      </c>
      <c r="K1000" s="4">
        <v>0</v>
      </c>
      <c r="L1000" s="4">
        <v>12.901</v>
      </c>
      <c r="M1000" s="4">
        <v>1.2901</v>
      </c>
      <c r="N1000" s="4">
        <v>12.901</v>
      </c>
      <c r="O1000" s="4">
        <v>1.2901</v>
      </c>
      <c r="P1000" s="4">
        <v>0</v>
      </c>
      <c r="Q1000" s="3" t="s">
        <v>26</v>
      </c>
      <c r="R1000" s="3">
        <v>0</v>
      </c>
      <c r="S1000" s="3" t="s">
        <v>346</v>
      </c>
      <c r="T1000" s="3" t="s">
        <v>621</v>
      </c>
      <c r="U1000" s="3">
        <v>0</v>
      </c>
      <c r="V1000" s="3">
        <v>21</v>
      </c>
      <c r="W1000" s="3">
        <v>89</v>
      </c>
    </row>
    <row r="1001" spans="1:23" ht="11.25" customHeight="1" x14ac:dyDescent="0.25">
      <c r="A1001" s="3" t="s">
        <v>56</v>
      </c>
      <c r="B1001" s="3" t="s">
        <v>41</v>
      </c>
      <c r="C1001" s="3" t="s">
        <v>42</v>
      </c>
      <c r="D1001" s="3" t="s">
        <v>45</v>
      </c>
      <c r="E1001" s="3" t="s">
        <v>53</v>
      </c>
      <c r="F1001" s="3" t="s">
        <v>55</v>
      </c>
      <c r="G1001" s="3" t="s">
        <v>25</v>
      </c>
      <c r="H1001" s="3" t="s">
        <v>35</v>
      </c>
      <c r="I1001" s="6">
        <v>44621</v>
      </c>
      <c r="J1001" s="4">
        <v>0</v>
      </c>
      <c r="K1001" s="4">
        <v>0</v>
      </c>
      <c r="L1001" s="4">
        <v>1792.2349999999999</v>
      </c>
      <c r="M1001" s="4">
        <v>179.2235</v>
      </c>
      <c r="N1001" s="4">
        <v>1792.2349999999999</v>
      </c>
      <c r="O1001" s="4">
        <v>179.2235</v>
      </c>
      <c r="P1001" s="4">
        <v>0</v>
      </c>
      <c r="Q1001" s="3" t="s">
        <v>26</v>
      </c>
      <c r="R1001" s="3">
        <v>0</v>
      </c>
      <c r="S1001" s="3" t="s">
        <v>347</v>
      </c>
      <c r="T1001" s="3" t="s">
        <v>622</v>
      </c>
      <c r="U1001" s="3">
        <v>0</v>
      </c>
      <c r="V1001" s="3">
        <v>21</v>
      </c>
      <c r="W1001" s="3">
        <v>89</v>
      </c>
    </row>
    <row r="1002" spans="1:23" ht="11.25" customHeight="1" x14ac:dyDescent="0.25">
      <c r="A1002" s="3" t="s">
        <v>56</v>
      </c>
      <c r="B1002" s="3" t="s">
        <v>41</v>
      </c>
      <c r="C1002" s="3" t="s">
        <v>42</v>
      </c>
      <c r="D1002" s="3" t="s">
        <v>45</v>
      </c>
      <c r="E1002" s="3" t="s">
        <v>53</v>
      </c>
      <c r="F1002" s="3" t="s">
        <v>55</v>
      </c>
      <c r="G1002" s="3" t="s">
        <v>25</v>
      </c>
      <c r="H1002" s="3" t="s">
        <v>35</v>
      </c>
      <c r="I1002" s="6">
        <v>44621</v>
      </c>
      <c r="J1002" s="4">
        <v>0</v>
      </c>
      <c r="K1002" s="4">
        <v>0</v>
      </c>
      <c r="L1002" s="4">
        <v>12.901</v>
      </c>
      <c r="M1002" s="4">
        <v>1.2901</v>
      </c>
      <c r="N1002" s="4">
        <v>12.901</v>
      </c>
      <c r="O1002" s="4">
        <v>1.2901</v>
      </c>
      <c r="P1002" s="4">
        <v>0</v>
      </c>
      <c r="Q1002" s="3" t="s">
        <v>26</v>
      </c>
      <c r="R1002" s="3">
        <v>0</v>
      </c>
      <c r="S1002" s="3" t="s">
        <v>347</v>
      </c>
      <c r="T1002" s="3" t="s">
        <v>622</v>
      </c>
      <c r="U1002" s="3">
        <v>0</v>
      </c>
      <c r="V1002" s="3">
        <v>21</v>
      </c>
      <c r="W1002" s="3">
        <v>89</v>
      </c>
    </row>
    <row r="1003" spans="1:23" ht="11.25" customHeight="1" x14ac:dyDescent="0.25">
      <c r="A1003" s="3" t="s">
        <v>21</v>
      </c>
      <c r="B1003" s="3" t="s">
        <v>41</v>
      </c>
      <c r="C1003" s="3" t="s">
        <v>42</v>
      </c>
      <c r="D1003" s="3" t="s">
        <v>45</v>
      </c>
      <c r="E1003" s="3" t="s">
        <v>53</v>
      </c>
      <c r="F1003" s="3" t="s">
        <v>25</v>
      </c>
      <c r="G1003" s="3" t="s">
        <v>25</v>
      </c>
      <c r="H1003" s="3" t="s">
        <v>35</v>
      </c>
      <c r="I1003" s="6">
        <v>44287</v>
      </c>
      <c r="J1003" s="4">
        <v>0</v>
      </c>
      <c r="K1003" s="4">
        <v>0</v>
      </c>
      <c r="L1003" s="4">
        <v>1096.0350000000001</v>
      </c>
      <c r="M1003" s="4">
        <v>1052.1936000000001</v>
      </c>
      <c r="N1003" s="4">
        <v>1096.0350000000001</v>
      </c>
      <c r="O1003" s="4">
        <v>1052.1936000000001</v>
      </c>
      <c r="P1003" s="4">
        <v>0</v>
      </c>
      <c r="Q1003" s="3" t="s">
        <v>26</v>
      </c>
      <c r="R1003" s="3">
        <v>0</v>
      </c>
      <c r="S1003" s="3" t="s">
        <v>336</v>
      </c>
      <c r="T1003" s="3" t="s">
        <v>611</v>
      </c>
      <c r="U1003" s="3">
        <v>0</v>
      </c>
      <c r="V1003" s="3">
        <v>21</v>
      </c>
      <c r="W1003" s="3">
        <v>89</v>
      </c>
    </row>
    <row r="1004" spans="1:23" ht="11.25" customHeight="1" x14ac:dyDescent="0.25">
      <c r="A1004" s="3" t="s">
        <v>21</v>
      </c>
      <c r="B1004" s="3" t="s">
        <v>41</v>
      </c>
      <c r="C1004" s="3" t="s">
        <v>42</v>
      </c>
      <c r="D1004" s="3" t="s">
        <v>45</v>
      </c>
      <c r="E1004" s="3" t="s">
        <v>53</v>
      </c>
      <c r="F1004" s="3" t="s">
        <v>25</v>
      </c>
      <c r="G1004" s="3" t="s">
        <v>25</v>
      </c>
      <c r="H1004" s="3" t="s">
        <v>35</v>
      </c>
      <c r="I1004" s="6">
        <v>44317</v>
      </c>
      <c r="J1004" s="4">
        <v>0</v>
      </c>
      <c r="K1004" s="4">
        <v>0</v>
      </c>
      <c r="L1004" s="4">
        <v>427.09</v>
      </c>
      <c r="M1004" s="4">
        <v>410.00639999999999</v>
      </c>
      <c r="N1004" s="4">
        <v>427.09</v>
      </c>
      <c r="O1004" s="4">
        <v>410.00639999999999</v>
      </c>
      <c r="P1004" s="4">
        <v>0</v>
      </c>
      <c r="Q1004" s="3" t="s">
        <v>26</v>
      </c>
      <c r="R1004" s="3">
        <v>0</v>
      </c>
      <c r="S1004" s="3" t="s">
        <v>337</v>
      </c>
      <c r="T1004" s="3" t="s">
        <v>612</v>
      </c>
      <c r="U1004" s="3">
        <v>0</v>
      </c>
      <c r="V1004" s="3">
        <v>21</v>
      </c>
      <c r="W1004" s="3">
        <v>89</v>
      </c>
    </row>
    <row r="1005" spans="1:23" ht="11.25" customHeight="1" x14ac:dyDescent="0.25">
      <c r="A1005" s="3" t="s">
        <v>21</v>
      </c>
      <c r="B1005" s="3" t="s">
        <v>41</v>
      </c>
      <c r="C1005" s="3" t="s">
        <v>42</v>
      </c>
      <c r="D1005" s="3" t="s">
        <v>45</v>
      </c>
      <c r="E1005" s="3" t="s">
        <v>53</v>
      </c>
      <c r="F1005" s="3" t="s">
        <v>25</v>
      </c>
      <c r="G1005" s="3" t="s">
        <v>25</v>
      </c>
      <c r="H1005" s="3" t="s">
        <v>35</v>
      </c>
      <c r="I1005" s="6">
        <v>44348</v>
      </c>
      <c r="J1005" s="4">
        <v>0</v>
      </c>
      <c r="K1005" s="4">
        <v>0</v>
      </c>
      <c r="L1005" s="4">
        <v>450.166</v>
      </c>
      <c r="M1005" s="4">
        <v>432.15935999999999</v>
      </c>
      <c r="N1005" s="4">
        <v>450.166</v>
      </c>
      <c r="O1005" s="4">
        <v>432.15935999999999</v>
      </c>
      <c r="P1005" s="4">
        <v>0</v>
      </c>
      <c r="Q1005" s="3" t="s">
        <v>26</v>
      </c>
      <c r="R1005" s="3">
        <v>0</v>
      </c>
      <c r="S1005" s="3" t="s">
        <v>338</v>
      </c>
      <c r="T1005" s="3" t="s">
        <v>613</v>
      </c>
      <c r="U1005" s="3">
        <v>0</v>
      </c>
      <c r="V1005" s="3">
        <v>21</v>
      </c>
      <c r="W1005" s="3">
        <v>89</v>
      </c>
    </row>
    <row r="1006" spans="1:23" ht="11.25" customHeight="1" x14ac:dyDescent="0.25">
      <c r="A1006" s="3" t="s">
        <v>21</v>
      </c>
      <c r="B1006" s="3" t="s">
        <v>41</v>
      </c>
      <c r="C1006" s="3" t="s">
        <v>42</v>
      </c>
      <c r="D1006" s="3" t="s">
        <v>45</v>
      </c>
      <c r="E1006" s="3" t="s">
        <v>53</v>
      </c>
      <c r="F1006" s="3" t="s">
        <v>25</v>
      </c>
      <c r="G1006" s="3" t="s">
        <v>25</v>
      </c>
      <c r="H1006" s="3" t="s">
        <v>35</v>
      </c>
      <c r="I1006" s="6">
        <v>44378</v>
      </c>
      <c r="J1006" s="4">
        <v>0</v>
      </c>
      <c r="K1006" s="4">
        <v>0</v>
      </c>
      <c r="L1006" s="4">
        <v>491.87799999999999</v>
      </c>
      <c r="M1006" s="4">
        <v>472.20287999999999</v>
      </c>
      <c r="N1006" s="4">
        <v>491.87799999999999</v>
      </c>
      <c r="O1006" s="4">
        <v>472.20287999999999</v>
      </c>
      <c r="P1006" s="4">
        <v>0</v>
      </c>
      <c r="Q1006" s="3" t="s">
        <v>26</v>
      </c>
      <c r="R1006" s="3">
        <v>0</v>
      </c>
      <c r="S1006" s="3" t="s">
        <v>339</v>
      </c>
      <c r="T1006" s="3" t="s">
        <v>614</v>
      </c>
      <c r="U1006" s="3">
        <v>0</v>
      </c>
      <c r="V1006" s="3">
        <v>21</v>
      </c>
      <c r="W1006" s="3">
        <v>89</v>
      </c>
    </row>
    <row r="1007" spans="1:23" ht="11.25" customHeight="1" x14ac:dyDescent="0.25">
      <c r="A1007" s="3" t="s">
        <v>21</v>
      </c>
      <c r="B1007" s="3" t="s">
        <v>41</v>
      </c>
      <c r="C1007" s="3" t="s">
        <v>42</v>
      </c>
      <c r="D1007" s="3" t="s">
        <v>45</v>
      </c>
      <c r="E1007" s="3" t="s">
        <v>53</v>
      </c>
      <c r="F1007" s="3" t="s">
        <v>25</v>
      </c>
      <c r="G1007" s="3" t="s">
        <v>25</v>
      </c>
      <c r="H1007" s="3" t="s">
        <v>35</v>
      </c>
      <c r="I1007" s="6">
        <v>44409</v>
      </c>
      <c r="J1007" s="4">
        <v>0</v>
      </c>
      <c r="K1007" s="4">
        <v>0</v>
      </c>
      <c r="L1007" s="4">
        <v>727.86099999999999</v>
      </c>
      <c r="M1007" s="4">
        <v>698.74655999999993</v>
      </c>
      <c r="N1007" s="4">
        <v>727.86099999999999</v>
      </c>
      <c r="O1007" s="4">
        <v>698.74655999999993</v>
      </c>
      <c r="P1007" s="4">
        <v>0</v>
      </c>
      <c r="Q1007" s="3" t="s">
        <v>26</v>
      </c>
      <c r="R1007" s="3">
        <v>0</v>
      </c>
      <c r="S1007" s="3" t="s">
        <v>340</v>
      </c>
      <c r="T1007" s="3" t="s">
        <v>615</v>
      </c>
      <c r="U1007" s="3">
        <v>0</v>
      </c>
      <c r="V1007" s="3">
        <v>21</v>
      </c>
      <c r="W1007" s="3">
        <v>89</v>
      </c>
    </row>
    <row r="1008" spans="1:23" ht="11.25" customHeight="1" x14ac:dyDescent="0.25">
      <c r="A1008" s="3" t="s">
        <v>21</v>
      </c>
      <c r="B1008" s="3" t="s">
        <v>41</v>
      </c>
      <c r="C1008" s="3" t="s">
        <v>42</v>
      </c>
      <c r="D1008" s="3" t="s">
        <v>45</v>
      </c>
      <c r="E1008" s="3" t="s">
        <v>53</v>
      </c>
      <c r="F1008" s="3" t="s">
        <v>25</v>
      </c>
      <c r="G1008" s="3" t="s">
        <v>25</v>
      </c>
      <c r="H1008" s="3" t="s">
        <v>35</v>
      </c>
      <c r="I1008" s="6">
        <v>44440</v>
      </c>
      <c r="J1008" s="4">
        <v>0</v>
      </c>
      <c r="K1008" s="4">
        <v>0</v>
      </c>
      <c r="L1008" s="4">
        <v>1022.833</v>
      </c>
      <c r="M1008" s="4">
        <v>981.91967999999997</v>
      </c>
      <c r="N1008" s="4">
        <v>1022.833</v>
      </c>
      <c r="O1008" s="4">
        <v>981.91967999999997</v>
      </c>
      <c r="P1008" s="4">
        <v>0</v>
      </c>
      <c r="Q1008" s="3" t="s">
        <v>26</v>
      </c>
      <c r="R1008" s="3">
        <v>0</v>
      </c>
      <c r="S1008" s="3" t="s">
        <v>341</v>
      </c>
      <c r="T1008" s="3" t="s">
        <v>616</v>
      </c>
      <c r="U1008" s="3">
        <v>0</v>
      </c>
      <c r="V1008" s="3">
        <v>21</v>
      </c>
      <c r="W1008" s="3">
        <v>89</v>
      </c>
    </row>
    <row r="1009" spans="1:23" ht="11.25" customHeight="1" x14ac:dyDescent="0.25">
      <c r="A1009" s="3" t="s">
        <v>21</v>
      </c>
      <c r="B1009" s="3" t="s">
        <v>41</v>
      </c>
      <c r="C1009" s="3" t="s">
        <v>42</v>
      </c>
      <c r="D1009" s="3" t="s">
        <v>45</v>
      </c>
      <c r="E1009" s="3" t="s">
        <v>53</v>
      </c>
      <c r="F1009" s="3" t="s">
        <v>25</v>
      </c>
      <c r="G1009" s="3" t="s">
        <v>25</v>
      </c>
      <c r="H1009" s="3" t="s">
        <v>35</v>
      </c>
      <c r="I1009" s="6">
        <v>44470</v>
      </c>
      <c r="J1009" s="4">
        <v>0</v>
      </c>
      <c r="K1009" s="4">
        <v>0</v>
      </c>
      <c r="L1009" s="4">
        <v>1571.626</v>
      </c>
      <c r="M1009" s="4">
        <v>1508.7609600000001</v>
      </c>
      <c r="N1009" s="4">
        <v>1571.626</v>
      </c>
      <c r="O1009" s="4">
        <v>1508.7609600000001</v>
      </c>
      <c r="P1009" s="4">
        <v>0</v>
      </c>
      <c r="Q1009" s="3" t="s">
        <v>26</v>
      </c>
      <c r="R1009" s="3">
        <v>0</v>
      </c>
      <c r="S1009" s="3" t="s">
        <v>342</v>
      </c>
      <c r="T1009" s="3" t="s">
        <v>617</v>
      </c>
      <c r="U1009" s="3">
        <v>0</v>
      </c>
      <c r="V1009" s="3">
        <v>21</v>
      </c>
      <c r="W1009" s="3">
        <v>89</v>
      </c>
    </row>
    <row r="1010" spans="1:23" ht="11.25" customHeight="1" x14ac:dyDescent="0.25">
      <c r="A1010" s="3" t="s">
        <v>21</v>
      </c>
      <c r="B1010" s="3" t="s">
        <v>41</v>
      </c>
      <c r="C1010" s="3" t="s">
        <v>42</v>
      </c>
      <c r="D1010" s="3" t="s">
        <v>45</v>
      </c>
      <c r="E1010" s="3" t="s">
        <v>53</v>
      </c>
      <c r="F1010" s="3" t="s">
        <v>25</v>
      </c>
      <c r="G1010" s="3" t="s">
        <v>25</v>
      </c>
      <c r="H1010" s="3" t="s">
        <v>35</v>
      </c>
      <c r="I1010" s="6">
        <v>44501</v>
      </c>
      <c r="J1010" s="4">
        <v>0</v>
      </c>
      <c r="K1010" s="4">
        <v>0</v>
      </c>
      <c r="L1010" s="4">
        <v>1609.27</v>
      </c>
      <c r="M1010" s="4">
        <v>1544.8991999999998</v>
      </c>
      <c r="N1010" s="4">
        <v>1609.27</v>
      </c>
      <c r="O1010" s="4">
        <v>1544.8991999999998</v>
      </c>
      <c r="P1010" s="4">
        <v>0</v>
      </c>
      <c r="Q1010" s="3" t="s">
        <v>26</v>
      </c>
      <c r="R1010" s="3">
        <v>0</v>
      </c>
      <c r="S1010" s="3" t="s">
        <v>343</v>
      </c>
      <c r="T1010" s="3" t="s">
        <v>618</v>
      </c>
      <c r="U1010" s="3">
        <v>0</v>
      </c>
      <c r="V1010" s="3">
        <v>21</v>
      </c>
      <c r="W1010" s="3">
        <v>89</v>
      </c>
    </row>
    <row r="1011" spans="1:23" ht="11.25" customHeight="1" x14ac:dyDescent="0.25">
      <c r="A1011" s="3" t="s">
        <v>21</v>
      </c>
      <c r="B1011" s="3" t="s">
        <v>41</v>
      </c>
      <c r="C1011" s="3" t="s">
        <v>42</v>
      </c>
      <c r="D1011" s="3" t="s">
        <v>45</v>
      </c>
      <c r="E1011" s="3" t="s">
        <v>53</v>
      </c>
      <c r="F1011" s="3" t="s">
        <v>25</v>
      </c>
      <c r="G1011" s="3" t="s">
        <v>25</v>
      </c>
      <c r="H1011" s="3" t="s">
        <v>35</v>
      </c>
      <c r="I1011" s="6">
        <v>44531</v>
      </c>
      <c r="J1011" s="4">
        <v>0</v>
      </c>
      <c r="K1011" s="4">
        <v>0</v>
      </c>
      <c r="L1011" s="4">
        <v>1207.7719999999999</v>
      </c>
      <c r="M1011" s="4">
        <v>1159.4611199999999</v>
      </c>
      <c r="N1011" s="4">
        <v>1207.7719999999999</v>
      </c>
      <c r="O1011" s="4">
        <v>1159.4611199999999</v>
      </c>
      <c r="P1011" s="4">
        <v>0</v>
      </c>
      <c r="Q1011" s="3" t="s">
        <v>26</v>
      </c>
      <c r="R1011" s="3">
        <v>0</v>
      </c>
      <c r="S1011" s="3" t="s">
        <v>344</v>
      </c>
      <c r="T1011" s="3" t="s">
        <v>619</v>
      </c>
      <c r="U1011" s="3">
        <v>0</v>
      </c>
      <c r="V1011" s="3">
        <v>21</v>
      </c>
      <c r="W1011" s="3">
        <v>89</v>
      </c>
    </row>
    <row r="1012" spans="1:23" ht="11.25" customHeight="1" x14ac:dyDescent="0.25">
      <c r="A1012" s="3" t="s">
        <v>21</v>
      </c>
      <c r="B1012" s="3" t="s">
        <v>41</v>
      </c>
      <c r="C1012" s="3" t="s">
        <v>42</v>
      </c>
      <c r="D1012" s="3" t="s">
        <v>45</v>
      </c>
      <c r="E1012" s="3" t="s">
        <v>53</v>
      </c>
      <c r="F1012" s="3" t="s">
        <v>25</v>
      </c>
      <c r="G1012" s="3" t="s">
        <v>25</v>
      </c>
      <c r="H1012" s="3" t="s">
        <v>35</v>
      </c>
      <c r="I1012" s="6">
        <v>44562</v>
      </c>
      <c r="J1012" s="4">
        <v>0</v>
      </c>
      <c r="K1012" s="4">
        <v>0</v>
      </c>
      <c r="L1012" s="4">
        <v>1060.73</v>
      </c>
      <c r="M1012" s="4">
        <v>1018.3008</v>
      </c>
      <c r="N1012" s="4">
        <v>1060.73</v>
      </c>
      <c r="O1012" s="4">
        <v>1018.3008</v>
      </c>
      <c r="P1012" s="4">
        <v>0</v>
      </c>
      <c r="Q1012" s="3" t="s">
        <v>26</v>
      </c>
      <c r="R1012" s="3">
        <v>0</v>
      </c>
      <c r="S1012" s="3" t="s">
        <v>345</v>
      </c>
      <c r="T1012" s="3" t="s">
        <v>620</v>
      </c>
      <c r="U1012" s="3">
        <v>0</v>
      </c>
      <c r="V1012" s="3">
        <v>21</v>
      </c>
      <c r="W1012" s="3">
        <v>89</v>
      </c>
    </row>
    <row r="1013" spans="1:23" ht="11.25" customHeight="1" x14ac:dyDescent="0.25">
      <c r="A1013" s="3" t="s">
        <v>27</v>
      </c>
      <c r="B1013" s="3" t="s">
        <v>41</v>
      </c>
      <c r="C1013" s="3" t="s">
        <v>42</v>
      </c>
      <c r="D1013" s="3" t="s">
        <v>45</v>
      </c>
      <c r="E1013" s="3" t="s">
        <v>53</v>
      </c>
      <c r="F1013" s="3" t="s">
        <v>25</v>
      </c>
      <c r="G1013" s="3" t="s">
        <v>25</v>
      </c>
      <c r="H1013" s="3" t="s">
        <v>35</v>
      </c>
      <c r="I1013" s="6">
        <v>44562</v>
      </c>
      <c r="J1013" s="4">
        <v>0</v>
      </c>
      <c r="K1013" s="4">
        <v>0</v>
      </c>
      <c r="L1013" s="4">
        <v>85.790999999999997</v>
      </c>
      <c r="M1013" s="4">
        <v>82.359359999999995</v>
      </c>
      <c r="N1013" s="4">
        <v>85.790999999999997</v>
      </c>
      <c r="O1013" s="4">
        <v>82.359359999999995</v>
      </c>
      <c r="P1013" s="4">
        <v>0</v>
      </c>
      <c r="Q1013" s="3" t="s">
        <v>26</v>
      </c>
      <c r="R1013" s="3">
        <v>0</v>
      </c>
      <c r="S1013" s="3" t="s">
        <v>345</v>
      </c>
      <c r="T1013" s="3" t="s">
        <v>620</v>
      </c>
      <c r="U1013" s="3">
        <v>0</v>
      </c>
      <c r="V1013" s="3">
        <v>21</v>
      </c>
      <c r="W1013" s="3">
        <v>89</v>
      </c>
    </row>
    <row r="1014" spans="1:23" ht="11.25" customHeight="1" x14ac:dyDescent="0.25">
      <c r="A1014" s="3" t="s">
        <v>28</v>
      </c>
      <c r="B1014" s="3" t="s">
        <v>41</v>
      </c>
      <c r="C1014" s="3" t="s">
        <v>42</v>
      </c>
      <c r="D1014" s="3" t="s">
        <v>45</v>
      </c>
      <c r="E1014" s="3" t="s">
        <v>53</v>
      </c>
      <c r="F1014" s="3" t="s">
        <v>25</v>
      </c>
      <c r="G1014" s="3" t="s">
        <v>25</v>
      </c>
      <c r="H1014" s="3" t="s">
        <v>35</v>
      </c>
      <c r="I1014" s="6">
        <v>44562</v>
      </c>
      <c r="J1014" s="4">
        <v>0</v>
      </c>
      <c r="K1014" s="4">
        <v>0</v>
      </c>
      <c r="L1014" s="4">
        <v>5.7910000000000004</v>
      </c>
      <c r="M1014" s="4">
        <v>5.5593599999999999</v>
      </c>
      <c r="N1014" s="4">
        <v>5.7910000000000004</v>
      </c>
      <c r="O1014" s="4">
        <v>5.5593599999999999</v>
      </c>
      <c r="P1014" s="4">
        <v>0</v>
      </c>
      <c r="Q1014" s="3" t="s">
        <v>26</v>
      </c>
      <c r="R1014" s="3">
        <v>0</v>
      </c>
      <c r="S1014" s="3" t="s">
        <v>345</v>
      </c>
      <c r="T1014" s="3" t="s">
        <v>620</v>
      </c>
      <c r="U1014" s="3">
        <v>0</v>
      </c>
      <c r="V1014" s="3">
        <v>21</v>
      </c>
      <c r="W1014" s="3">
        <v>89</v>
      </c>
    </row>
    <row r="1015" spans="1:23" ht="11.25" customHeight="1" x14ac:dyDescent="0.25">
      <c r="A1015" s="3" t="s">
        <v>21</v>
      </c>
      <c r="B1015" s="3" t="s">
        <v>41</v>
      </c>
      <c r="C1015" s="3" t="s">
        <v>42</v>
      </c>
      <c r="D1015" s="3" t="s">
        <v>45</v>
      </c>
      <c r="E1015" s="3" t="s">
        <v>53</v>
      </c>
      <c r="F1015" s="3" t="s">
        <v>25</v>
      </c>
      <c r="G1015" s="3" t="s">
        <v>25</v>
      </c>
      <c r="H1015" s="3" t="s">
        <v>35</v>
      </c>
      <c r="I1015" s="6">
        <v>44593</v>
      </c>
      <c r="J1015" s="4">
        <v>0</v>
      </c>
      <c r="K1015" s="4">
        <v>0</v>
      </c>
      <c r="L1015" s="4">
        <v>1647.443</v>
      </c>
      <c r="M1015" s="4">
        <v>1581.54528</v>
      </c>
      <c r="N1015" s="4">
        <v>1647.443</v>
      </c>
      <c r="O1015" s="4">
        <v>1581.54528</v>
      </c>
      <c r="P1015" s="4">
        <v>0</v>
      </c>
      <c r="Q1015" s="3" t="s">
        <v>26</v>
      </c>
      <c r="R1015" s="3">
        <v>0</v>
      </c>
      <c r="S1015" s="3" t="s">
        <v>346</v>
      </c>
      <c r="T1015" s="3" t="s">
        <v>621</v>
      </c>
      <c r="U1015" s="3">
        <v>0</v>
      </c>
      <c r="V1015" s="3">
        <v>21</v>
      </c>
      <c r="W1015" s="3">
        <v>89</v>
      </c>
    </row>
    <row r="1016" spans="1:23" ht="11.25" customHeight="1" x14ac:dyDescent="0.25">
      <c r="A1016" s="3" t="s">
        <v>27</v>
      </c>
      <c r="B1016" s="3" t="s">
        <v>41</v>
      </c>
      <c r="C1016" s="3" t="s">
        <v>42</v>
      </c>
      <c r="D1016" s="3" t="s">
        <v>45</v>
      </c>
      <c r="E1016" s="3" t="s">
        <v>53</v>
      </c>
      <c r="F1016" s="3" t="s">
        <v>25</v>
      </c>
      <c r="G1016" s="3" t="s">
        <v>25</v>
      </c>
      <c r="H1016" s="3" t="s">
        <v>35</v>
      </c>
      <c r="I1016" s="6">
        <v>44593</v>
      </c>
      <c r="J1016" s="4">
        <v>0</v>
      </c>
      <c r="K1016" s="4">
        <v>0</v>
      </c>
      <c r="L1016" s="4">
        <v>8.2000000000000003E-2</v>
      </c>
      <c r="M1016" s="4">
        <v>7.8719999999999998E-2</v>
      </c>
      <c r="N1016" s="4">
        <v>8.2000000000000003E-2</v>
      </c>
      <c r="O1016" s="4">
        <v>7.8719999999999998E-2</v>
      </c>
      <c r="P1016" s="4">
        <v>0</v>
      </c>
      <c r="Q1016" s="3" t="s">
        <v>26</v>
      </c>
      <c r="R1016" s="3">
        <v>0</v>
      </c>
      <c r="S1016" s="3" t="s">
        <v>346</v>
      </c>
      <c r="T1016" s="3" t="s">
        <v>621</v>
      </c>
      <c r="U1016" s="3">
        <v>0</v>
      </c>
      <c r="V1016" s="3">
        <v>21</v>
      </c>
      <c r="W1016" s="3">
        <v>89</v>
      </c>
    </row>
    <row r="1017" spans="1:23" ht="11.25" customHeight="1" x14ac:dyDescent="0.25">
      <c r="A1017" s="3" t="s">
        <v>28</v>
      </c>
      <c r="B1017" s="3" t="s">
        <v>41</v>
      </c>
      <c r="C1017" s="3" t="s">
        <v>42</v>
      </c>
      <c r="D1017" s="3" t="s">
        <v>45</v>
      </c>
      <c r="E1017" s="3" t="s">
        <v>53</v>
      </c>
      <c r="F1017" s="3" t="s">
        <v>25</v>
      </c>
      <c r="G1017" s="3" t="s">
        <v>25</v>
      </c>
      <c r="H1017" s="3" t="s">
        <v>35</v>
      </c>
      <c r="I1017" s="6">
        <v>44593</v>
      </c>
      <c r="J1017" s="4">
        <v>0</v>
      </c>
      <c r="K1017" s="4">
        <v>0</v>
      </c>
      <c r="L1017" s="4">
        <v>5.101</v>
      </c>
      <c r="M1017" s="4">
        <v>4.89696</v>
      </c>
      <c r="N1017" s="4">
        <v>5.101</v>
      </c>
      <c r="O1017" s="4">
        <v>4.89696</v>
      </c>
      <c r="P1017" s="4">
        <v>0</v>
      </c>
      <c r="Q1017" s="3" t="s">
        <v>26</v>
      </c>
      <c r="R1017" s="3">
        <v>0</v>
      </c>
      <c r="S1017" s="3" t="s">
        <v>346</v>
      </c>
      <c r="T1017" s="3" t="s">
        <v>621</v>
      </c>
      <c r="U1017" s="3">
        <v>0</v>
      </c>
      <c r="V1017" s="3">
        <v>21</v>
      </c>
      <c r="W1017" s="3">
        <v>89</v>
      </c>
    </row>
    <row r="1018" spans="1:23" ht="11.25" customHeight="1" x14ac:dyDescent="0.25">
      <c r="A1018" s="3" t="s">
        <v>56</v>
      </c>
      <c r="B1018" s="3" t="s">
        <v>41</v>
      </c>
      <c r="C1018" s="3" t="s">
        <v>42</v>
      </c>
      <c r="D1018" s="3" t="s">
        <v>45</v>
      </c>
      <c r="E1018" s="3" t="s">
        <v>53</v>
      </c>
      <c r="F1018" s="3" t="s">
        <v>25</v>
      </c>
      <c r="G1018" s="3" t="s">
        <v>25</v>
      </c>
      <c r="H1018" s="3" t="s">
        <v>35</v>
      </c>
      <c r="I1018" s="6">
        <v>44621</v>
      </c>
      <c r="J1018" s="4">
        <v>0</v>
      </c>
      <c r="K1018" s="4">
        <v>0</v>
      </c>
      <c r="L1018" s="4">
        <v>1647.443</v>
      </c>
      <c r="M1018" s="4">
        <v>1581.54528</v>
      </c>
      <c r="N1018" s="4">
        <v>1647.443</v>
      </c>
      <c r="O1018" s="4">
        <v>1581.54528</v>
      </c>
      <c r="P1018" s="4">
        <v>0</v>
      </c>
      <c r="Q1018" s="3" t="s">
        <v>26</v>
      </c>
      <c r="R1018" s="3">
        <v>0</v>
      </c>
      <c r="S1018" s="3" t="s">
        <v>347</v>
      </c>
      <c r="T1018" s="3" t="s">
        <v>622</v>
      </c>
      <c r="U1018" s="3">
        <v>0</v>
      </c>
      <c r="V1018" s="3">
        <v>21</v>
      </c>
      <c r="W1018" s="3">
        <v>89</v>
      </c>
    </row>
    <row r="1019" spans="1:23" ht="11.25" customHeight="1" x14ac:dyDescent="0.25">
      <c r="A1019" s="3" t="s">
        <v>56</v>
      </c>
      <c r="B1019" s="3" t="s">
        <v>41</v>
      </c>
      <c r="C1019" s="3" t="s">
        <v>42</v>
      </c>
      <c r="D1019" s="3" t="s">
        <v>45</v>
      </c>
      <c r="E1019" s="3" t="s">
        <v>53</v>
      </c>
      <c r="F1019" s="3" t="s">
        <v>25</v>
      </c>
      <c r="G1019" s="3" t="s">
        <v>25</v>
      </c>
      <c r="H1019" s="3" t="s">
        <v>35</v>
      </c>
      <c r="I1019" s="6">
        <v>44621</v>
      </c>
      <c r="J1019" s="4">
        <v>0</v>
      </c>
      <c r="K1019" s="4">
        <v>0</v>
      </c>
      <c r="L1019" s="4">
        <v>8.2000000000000003E-2</v>
      </c>
      <c r="M1019" s="4">
        <v>7.8719999999999998E-2</v>
      </c>
      <c r="N1019" s="4">
        <v>8.2000000000000003E-2</v>
      </c>
      <c r="O1019" s="4">
        <v>7.8719999999999998E-2</v>
      </c>
      <c r="P1019" s="4">
        <v>0</v>
      </c>
      <c r="Q1019" s="3" t="s">
        <v>26</v>
      </c>
      <c r="R1019" s="3">
        <v>0</v>
      </c>
      <c r="S1019" s="3" t="s">
        <v>347</v>
      </c>
      <c r="T1019" s="3" t="s">
        <v>622</v>
      </c>
      <c r="U1019" s="3">
        <v>0</v>
      </c>
      <c r="V1019" s="3">
        <v>21</v>
      </c>
      <c r="W1019" s="3">
        <v>89</v>
      </c>
    </row>
    <row r="1020" spans="1:23" ht="11.25" customHeight="1" x14ac:dyDescent="0.25">
      <c r="A1020" s="3" t="s">
        <v>56</v>
      </c>
      <c r="B1020" s="3" t="s">
        <v>41</v>
      </c>
      <c r="C1020" s="3" t="s">
        <v>42</v>
      </c>
      <c r="D1020" s="3" t="s">
        <v>45</v>
      </c>
      <c r="E1020" s="3" t="s">
        <v>53</v>
      </c>
      <c r="F1020" s="3" t="s">
        <v>25</v>
      </c>
      <c r="G1020" s="3" t="s">
        <v>25</v>
      </c>
      <c r="H1020" s="3" t="s">
        <v>35</v>
      </c>
      <c r="I1020" s="6">
        <v>44621</v>
      </c>
      <c r="J1020" s="4">
        <v>0</v>
      </c>
      <c r="K1020" s="4">
        <v>0</v>
      </c>
      <c r="L1020" s="4">
        <v>5.101</v>
      </c>
      <c r="M1020" s="4">
        <v>4.89696</v>
      </c>
      <c r="N1020" s="4">
        <v>5.101</v>
      </c>
      <c r="O1020" s="4">
        <v>4.89696</v>
      </c>
      <c r="P1020" s="4">
        <v>0</v>
      </c>
      <c r="Q1020" s="3" t="s">
        <v>26</v>
      </c>
      <c r="R1020" s="3">
        <v>0</v>
      </c>
      <c r="S1020" s="3" t="s">
        <v>347</v>
      </c>
      <c r="T1020" s="3" t="s">
        <v>622</v>
      </c>
      <c r="U1020" s="3">
        <v>0</v>
      </c>
      <c r="V1020" s="3">
        <v>21</v>
      </c>
      <c r="W1020" s="3">
        <v>89</v>
      </c>
    </row>
    <row r="1021" spans="1:23" ht="11.25" customHeight="1" x14ac:dyDescent="0.25">
      <c r="A1021" s="3" t="s">
        <v>21</v>
      </c>
      <c r="B1021" s="3" t="s">
        <v>41</v>
      </c>
      <c r="C1021" s="3" t="s">
        <v>42</v>
      </c>
      <c r="D1021" s="3" t="s">
        <v>45</v>
      </c>
      <c r="E1021" s="3" t="s">
        <v>53</v>
      </c>
      <c r="F1021" s="3" t="s">
        <v>25</v>
      </c>
      <c r="G1021" s="3" t="s">
        <v>25</v>
      </c>
      <c r="H1021" s="3" t="s">
        <v>25</v>
      </c>
      <c r="I1021" s="6">
        <v>44287</v>
      </c>
      <c r="J1021" s="4">
        <v>8254</v>
      </c>
      <c r="K1021" s="4">
        <v>7923.84</v>
      </c>
      <c r="L1021" s="4">
        <v>0</v>
      </c>
      <c r="M1021" s="4">
        <v>0</v>
      </c>
      <c r="N1021" s="4">
        <v>0</v>
      </c>
      <c r="O1021" s="4">
        <v>0</v>
      </c>
      <c r="P1021" s="4">
        <v>44</v>
      </c>
      <c r="Q1021" s="3" t="s">
        <v>26</v>
      </c>
      <c r="R1021" s="3">
        <v>0</v>
      </c>
      <c r="S1021" s="3" t="s">
        <v>348</v>
      </c>
      <c r="U1021" s="3">
        <v>44</v>
      </c>
      <c r="V1021" s="3">
        <v>0</v>
      </c>
      <c r="W1021" s="3">
        <v>0</v>
      </c>
    </row>
    <row r="1022" spans="1:23" ht="11.25" customHeight="1" x14ac:dyDescent="0.25">
      <c r="A1022" s="3" t="s">
        <v>21</v>
      </c>
      <c r="B1022" s="3" t="s">
        <v>41</v>
      </c>
      <c r="C1022" s="3" t="s">
        <v>42</v>
      </c>
      <c r="D1022" s="3" t="s">
        <v>45</v>
      </c>
      <c r="E1022" s="3" t="s">
        <v>53</v>
      </c>
      <c r="F1022" s="3" t="s">
        <v>25</v>
      </c>
      <c r="G1022" s="3" t="s">
        <v>25</v>
      </c>
      <c r="H1022" s="3" t="s">
        <v>25</v>
      </c>
      <c r="I1022" s="6">
        <v>44317</v>
      </c>
      <c r="J1022" s="4">
        <v>6368</v>
      </c>
      <c r="K1022" s="4">
        <v>6113.28</v>
      </c>
      <c r="L1022" s="4">
        <v>0</v>
      </c>
      <c r="M1022" s="4">
        <v>0</v>
      </c>
      <c r="N1022" s="4">
        <v>0</v>
      </c>
      <c r="O1022" s="4">
        <v>0</v>
      </c>
      <c r="P1022" s="4">
        <v>43</v>
      </c>
      <c r="Q1022" s="3" t="s">
        <v>26</v>
      </c>
      <c r="R1022" s="3">
        <v>0</v>
      </c>
      <c r="S1022" s="3" t="s">
        <v>349</v>
      </c>
      <c r="U1022" s="3">
        <v>44</v>
      </c>
      <c r="V1022" s="3">
        <v>0</v>
      </c>
      <c r="W1022" s="3">
        <v>0</v>
      </c>
    </row>
    <row r="1023" spans="1:23" ht="11.25" customHeight="1" x14ac:dyDescent="0.25">
      <c r="A1023" s="3" t="s">
        <v>28</v>
      </c>
      <c r="B1023" s="3" t="s">
        <v>41</v>
      </c>
      <c r="C1023" s="3" t="s">
        <v>42</v>
      </c>
      <c r="D1023" s="3" t="s">
        <v>45</v>
      </c>
      <c r="E1023" s="3" t="s">
        <v>53</v>
      </c>
      <c r="F1023" s="3" t="s">
        <v>25</v>
      </c>
      <c r="G1023" s="3" t="s">
        <v>25</v>
      </c>
      <c r="H1023" s="3" t="s">
        <v>25</v>
      </c>
      <c r="I1023" s="6">
        <v>44317</v>
      </c>
      <c r="J1023" s="4">
        <v>15</v>
      </c>
      <c r="K1023" s="4">
        <v>14.399999999999999</v>
      </c>
      <c r="L1023" s="4">
        <v>0</v>
      </c>
      <c r="M1023" s="4">
        <v>0</v>
      </c>
      <c r="N1023" s="4">
        <v>0</v>
      </c>
      <c r="O1023" s="4">
        <v>0</v>
      </c>
      <c r="P1023" s="4">
        <v>1</v>
      </c>
      <c r="Q1023" s="3" t="s">
        <v>26</v>
      </c>
      <c r="R1023" s="3">
        <v>0</v>
      </c>
      <c r="S1023" s="3" t="s">
        <v>349</v>
      </c>
      <c r="U1023" s="3">
        <v>44</v>
      </c>
      <c r="V1023" s="3">
        <v>0</v>
      </c>
      <c r="W1023" s="3">
        <v>0</v>
      </c>
    </row>
    <row r="1024" spans="1:23" ht="11.25" customHeight="1" x14ac:dyDescent="0.25">
      <c r="A1024" s="3" t="s">
        <v>21</v>
      </c>
      <c r="B1024" s="3" t="s">
        <v>41</v>
      </c>
      <c r="C1024" s="3" t="s">
        <v>42</v>
      </c>
      <c r="D1024" s="3" t="s">
        <v>45</v>
      </c>
      <c r="E1024" s="3" t="s">
        <v>53</v>
      </c>
      <c r="F1024" s="3" t="s">
        <v>25</v>
      </c>
      <c r="G1024" s="3" t="s">
        <v>25</v>
      </c>
      <c r="H1024" s="3" t="s">
        <v>25</v>
      </c>
      <c r="I1024" s="6">
        <v>44348</v>
      </c>
      <c r="J1024" s="4">
        <v>6070</v>
      </c>
      <c r="K1024" s="4">
        <v>5827.2</v>
      </c>
      <c r="L1024" s="4">
        <v>0</v>
      </c>
      <c r="M1024" s="4">
        <v>0</v>
      </c>
      <c r="N1024" s="4">
        <v>0</v>
      </c>
      <c r="O1024" s="4">
        <v>0</v>
      </c>
      <c r="P1024" s="4">
        <v>38</v>
      </c>
      <c r="Q1024" s="3" t="s">
        <v>26</v>
      </c>
      <c r="R1024" s="3">
        <v>0</v>
      </c>
      <c r="S1024" s="3" t="s">
        <v>350</v>
      </c>
      <c r="U1024" s="3">
        <v>44</v>
      </c>
      <c r="V1024" s="3">
        <v>0</v>
      </c>
      <c r="W1024" s="3">
        <v>0</v>
      </c>
    </row>
    <row r="1025" spans="1:23" ht="11.25" customHeight="1" x14ac:dyDescent="0.25">
      <c r="A1025" s="3" t="s">
        <v>28</v>
      </c>
      <c r="B1025" s="3" t="s">
        <v>41</v>
      </c>
      <c r="C1025" s="3" t="s">
        <v>42</v>
      </c>
      <c r="D1025" s="3" t="s">
        <v>45</v>
      </c>
      <c r="E1025" s="3" t="s">
        <v>53</v>
      </c>
      <c r="F1025" s="3" t="s">
        <v>25</v>
      </c>
      <c r="G1025" s="3" t="s">
        <v>25</v>
      </c>
      <c r="H1025" s="3" t="s">
        <v>25</v>
      </c>
      <c r="I1025" s="6">
        <v>44348</v>
      </c>
      <c r="J1025" s="4">
        <v>23</v>
      </c>
      <c r="K1025" s="4">
        <v>22.08</v>
      </c>
      <c r="L1025" s="4">
        <v>0</v>
      </c>
      <c r="M1025" s="4">
        <v>0</v>
      </c>
      <c r="N1025" s="4">
        <v>0</v>
      </c>
      <c r="O1025" s="4">
        <v>0</v>
      </c>
      <c r="P1025" s="4">
        <v>1</v>
      </c>
      <c r="Q1025" s="3" t="s">
        <v>26</v>
      </c>
      <c r="R1025" s="3">
        <v>0</v>
      </c>
      <c r="S1025" s="3" t="s">
        <v>350</v>
      </c>
      <c r="U1025" s="3">
        <v>44</v>
      </c>
      <c r="V1025" s="3">
        <v>0</v>
      </c>
      <c r="W1025" s="3">
        <v>0</v>
      </c>
    </row>
    <row r="1026" spans="1:23" ht="11.25" customHeight="1" x14ac:dyDescent="0.25">
      <c r="A1026" s="3" t="s">
        <v>21</v>
      </c>
      <c r="B1026" s="3" t="s">
        <v>41</v>
      </c>
      <c r="C1026" s="3" t="s">
        <v>42</v>
      </c>
      <c r="D1026" s="3" t="s">
        <v>45</v>
      </c>
      <c r="E1026" s="3" t="s">
        <v>53</v>
      </c>
      <c r="F1026" s="3" t="s">
        <v>25</v>
      </c>
      <c r="G1026" s="3" t="s">
        <v>25</v>
      </c>
      <c r="H1026" s="3" t="s">
        <v>25</v>
      </c>
      <c r="I1026" s="6">
        <v>44378</v>
      </c>
      <c r="J1026" s="4">
        <v>5878</v>
      </c>
      <c r="K1026" s="4">
        <v>5642.88</v>
      </c>
      <c r="L1026" s="4">
        <v>0</v>
      </c>
      <c r="M1026" s="4">
        <v>0</v>
      </c>
      <c r="N1026" s="4">
        <v>0</v>
      </c>
      <c r="O1026" s="4">
        <v>0</v>
      </c>
      <c r="P1026" s="4">
        <v>38</v>
      </c>
      <c r="Q1026" s="3" t="s">
        <v>26</v>
      </c>
      <c r="R1026" s="3">
        <v>0</v>
      </c>
      <c r="S1026" s="3" t="s">
        <v>351</v>
      </c>
      <c r="U1026" s="3">
        <v>44</v>
      </c>
      <c r="V1026" s="3">
        <v>0</v>
      </c>
      <c r="W1026" s="3">
        <v>0</v>
      </c>
    </row>
    <row r="1027" spans="1:23" ht="11.25" customHeight="1" x14ac:dyDescent="0.25">
      <c r="A1027" s="3" t="s">
        <v>28</v>
      </c>
      <c r="B1027" s="3" t="s">
        <v>41</v>
      </c>
      <c r="C1027" s="3" t="s">
        <v>42</v>
      </c>
      <c r="D1027" s="3" t="s">
        <v>45</v>
      </c>
      <c r="E1027" s="3" t="s">
        <v>53</v>
      </c>
      <c r="F1027" s="3" t="s">
        <v>25</v>
      </c>
      <c r="G1027" s="3" t="s">
        <v>25</v>
      </c>
      <c r="H1027" s="3" t="s">
        <v>25</v>
      </c>
      <c r="I1027" s="6">
        <v>44378</v>
      </c>
      <c r="J1027" s="4">
        <v>17</v>
      </c>
      <c r="K1027" s="4">
        <v>16.32</v>
      </c>
      <c r="L1027" s="4">
        <v>0</v>
      </c>
      <c r="M1027" s="4">
        <v>0</v>
      </c>
      <c r="N1027" s="4">
        <v>0</v>
      </c>
      <c r="O1027" s="4">
        <v>0</v>
      </c>
      <c r="P1027" s="4">
        <v>1</v>
      </c>
      <c r="Q1027" s="3" t="s">
        <v>26</v>
      </c>
      <c r="R1027" s="3">
        <v>0</v>
      </c>
      <c r="S1027" s="3" t="s">
        <v>351</v>
      </c>
      <c r="U1027" s="3">
        <v>44</v>
      </c>
      <c r="V1027" s="3">
        <v>0</v>
      </c>
      <c r="W1027" s="3">
        <v>0</v>
      </c>
    </row>
    <row r="1028" spans="1:23" ht="11.25" customHeight="1" x14ac:dyDescent="0.25">
      <c r="A1028" s="3" t="s">
        <v>21</v>
      </c>
      <c r="B1028" s="3" t="s">
        <v>41</v>
      </c>
      <c r="C1028" s="3" t="s">
        <v>42</v>
      </c>
      <c r="D1028" s="3" t="s">
        <v>45</v>
      </c>
      <c r="E1028" s="3" t="s">
        <v>53</v>
      </c>
      <c r="F1028" s="3" t="s">
        <v>25</v>
      </c>
      <c r="G1028" s="3" t="s">
        <v>25</v>
      </c>
      <c r="H1028" s="3" t="s">
        <v>25</v>
      </c>
      <c r="I1028" s="6">
        <v>44409</v>
      </c>
      <c r="J1028" s="4">
        <v>5723</v>
      </c>
      <c r="K1028" s="4">
        <v>5494.08</v>
      </c>
      <c r="L1028" s="4">
        <v>0</v>
      </c>
      <c r="M1028" s="4">
        <v>0</v>
      </c>
      <c r="N1028" s="4">
        <v>0</v>
      </c>
      <c r="O1028" s="4">
        <v>0</v>
      </c>
      <c r="P1028" s="4">
        <v>35</v>
      </c>
      <c r="Q1028" s="3" t="s">
        <v>26</v>
      </c>
      <c r="R1028" s="3">
        <v>0</v>
      </c>
      <c r="S1028" s="3" t="s">
        <v>352</v>
      </c>
      <c r="U1028" s="3">
        <v>44</v>
      </c>
      <c r="V1028" s="3">
        <v>0</v>
      </c>
      <c r="W1028" s="3">
        <v>0</v>
      </c>
    </row>
    <row r="1029" spans="1:23" ht="11.25" customHeight="1" x14ac:dyDescent="0.25">
      <c r="A1029" s="3" t="s">
        <v>28</v>
      </c>
      <c r="B1029" s="3" t="s">
        <v>41</v>
      </c>
      <c r="C1029" s="3" t="s">
        <v>42</v>
      </c>
      <c r="D1029" s="3" t="s">
        <v>45</v>
      </c>
      <c r="E1029" s="3" t="s">
        <v>53</v>
      </c>
      <c r="F1029" s="3" t="s">
        <v>25</v>
      </c>
      <c r="G1029" s="3" t="s">
        <v>25</v>
      </c>
      <c r="H1029" s="3" t="s">
        <v>25</v>
      </c>
      <c r="I1029" s="6">
        <v>44409</v>
      </c>
      <c r="J1029" s="4">
        <v>21</v>
      </c>
      <c r="K1029" s="4">
        <v>20.16</v>
      </c>
      <c r="L1029" s="4">
        <v>0</v>
      </c>
      <c r="M1029" s="4">
        <v>0</v>
      </c>
      <c r="N1029" s="4">
        <v>0</v>
      </c>
      <c r="O1029" s="4">
        <v>0</v>
      </c>
      <c r="P1029" s="4">
        <v>1</v>
      </c>
      <c r="Q1029" s="3" t="s">
        <v>26</v>
      </c>
      <c r="R1029" s="3">
        <v>0</v>
      </c>
      <c r="S1029" s="3" t="s">
        <v>352</v>
      </c>
      <c r="U1029" s="3">
        <v>44</v>
      </c>
      <c r="V1029" s="3">
        <v>0</v>
      </c>
      <c r="W1029" s="3">
        <v>0</v>
      </c>
    </row>
    <row r="1030" spans="1:23" ht="11.25" customHeight="1" x14ac:dyDescent="0.25">
      <c r="A1030" s="3" t="s">
        <v>21</v>
      </c>
      <c r="B1030" s="3" t="s">
        <v>41</v>
      </c>
      <c r="C1030" s="3" t="s">
        <v>42</v>
      </c>
      <c r="D1030" s="3" t="s">
        <v>45</v>
      </c>
      <c r="E1030" s="3" t="s">
        <v>53</v>
      </c>
      <c r="F1030" s="3" t="s">
        <v>25</v>
      </c>
      <c r="G1030" s="3" t="s">
        <v>25</v>
      </c>
      <c r="H1030" s="3" t="s">
        <v>25</v>
      </c>
      <c r="I1030" s="6">
        <v>44440</v>
      </c>
      <c r="J1030" s="4">
        <v>7080</v>
      </c>
      <c r="K1030" s="4">
        <v>6796.8</v>
      </c>
      <c r="L1030" s="4">
        <v>0</v>
      </c>
      <c r="M1030" s="4">
        <v>0</v>
      </c>
      <c r="N1030" s="4">
        <v>0</v>
      </c>
      <c r="O1030" s="4">
        <v>0</v>
      </c>
      <c r="P1030" s="4">
        <v>39</v>
      </c>
      <c r="Q1030" s="3" t="s">
        <v>26</v>
      </c>
      <c r="R1030" s="3">
        <v>0</v>
      </c>
      <c r="S1030" s="3" t="s">
        <v>353</v>
      </c>
      <c r="U1030" s="3">
        <v>44</v>
      </c>
      <c r="V1030" s="3">
        <v>0</v>
      </c>
      <c r="W1030" s="3">
        <v>0</v>
      </c>
    </row>
    <row r="1031" spans="1:23" ht="11.25" customHeight="1" x14ac:dyDescent="0.25">
      <c r="A1031" s="3" t="s">
        <v>28</v>
      </c>
      <c r="B1031" s="3" t="s">
        <v>41</v>
      </c>
      <c r="C1031" s="3" t="s">
        <v>42</v>
      </c>
      <c r="D1031" s="3" t="s">
        <v>45</v>
      </c>
      <c r="E1031" s="3" t="s">
        <v>53</v>
      </c>
      <c r="F1031" s="3" t="s">
        <v>25</v>
      </c>
      <c r="G1031" s="3" t="s">
        <v>25</v>
      </c>
      <c r="H1031" s="3" t="s">
        <v>25</v>
      </c>
      <c r="I1031" s="6">
        <v>44440</v>
      </c>
      <c r="J1031" s="4">
        <v>44</v>
      </c>
      <c r="K1031" s="4">
        <v>42.239999999999995</v>
      </c>
      <c r="L1031" s="4">
        <v>0</v>
      </c>
      <c r="M1031" s="4">
        <v>0</v>
      </c>
      <c r="N1031" s="4">
        <v>0</v>
      </c>
      <c r="O1031" s="4">
        <v>0</v>
      </c>
      <c r="P1031" s="4">
        <v>1</v>
      </c>
      <c r="Q1031" s="3" t="s">
        <v>26</v>
      </c>
      <c r="R1031" s="3">
        <v>0</v>
      </c>
      <c r="S1031" s="3" t="s">
        <v>353</v>
      </c>
      <c r="U1031" s="3">
        <v>44</v>
      </c>
      <c r="V1031" s="3">
        <v>0</v>
      </c>
      <c r="W1031" s="3">
        <v>0</v>
      </c>
    </row>
    <row r="1032" spans="1:23" ht="11.25" customHeight="1" x14ac:dyDescent="0.25">
      <c r="A1032" s="3" t="s">
        <v>21</v>
      </c>
      <c r="B1032" s="3" t="s">
        <v>41</v>
      </c>
      <c r="C1032" s="3" t="s">
        <v>42</v>
      </c>
      <c r="D1032" s="3" t="s">
        <v>45</v>
      </c>
      <c r="E1032" s="3" t="s">
        <v>53</v>
      </c>
      <c r="F1032" s="3" t="s">
        <v>25</v>
      </c>
      <c r="G1032" s="3" t="s">
        <v>25</v>
      </c>
      <c r="H1032" s="3" t="s">
        <v>25</v>
      </c>
      <c r="I1032" s="6">
        <v>44470</v>
      </c>
      <c r="J1032" s="4">
        <v>8127</v>
      </c>
      <c r="K1032" s="4">
        <v>7801.92</v>
      </c>
      <c r="L1032" s="4">
        <v>0</v>
      </c>
      <c r="M1032" s="4">
        <v>0</v>
      </c>
      <c r="N1032" s="4">
        <v>0</v>
      </c>
      <c r="O1032" s="4">
        <v>0</v>
      </c>
      <c r="P1032" s="4">
        <v>44</v>
      </c>
      <c r="Q1032" s="3" t="s">
        <v>26</v>
      </c>
      <c r="R1032" s="3">
        <v>0</v>
      </c>
      <c r="S1032" s="3" t="s">
        <v>354</v>
      </c>
      <c r="U1032" s="3">
        <v>44</v>
      </c>
      <c r="V1032" s="3">
        <v>0</v>
      </c>
      <c r="W1032" s="3">
        <v>0</v>
      </c>
    </row>
    <row r="1033" spans="1:23" ht="11.25" customHeight="1" x14ac:dyDescent="0.25">
      <c r="A1033" s="3" t="s">
        <v>28</v>
      </c>
      <c r="B1033" s="3" t="s">
        <v>41</v>
      </c>
      <c r="C1033" s="3" t="s">
        <v>42</v>
      </c>
      <c r="D1033" s="3" t="s">
        <v>45</v>
      </c>
      <c r="E1033" s="3" t="s">
        <v>53</v>
      </c>
      <c r="F1033" s="3" t="s">
        <v>25</v>
      </c>
      <c r="G1033" s="3" t="s">
        <v>25</v>
      </c>
      <c r="H1033" s="3" t="s">
        <v>25</v>
      </c>
      <c r="I1033" s="6">
        <v>44470</v>
      </c>
      <c r="J1033" s="4">
        <v>47</v>
      </c>
      <c r="K1033" s="4">
        <v>45.12</v>
      </c>
      <c r="L1033" s="4">
        <v>0</v>
      </c>
      <c r="M1033" s="4">
        <v>0</v>
      </c>
      <c r="N1033" s="4">
        <v>0</v>
      </c>
      <c r="O1033" s="4">
        <v>0</v>
      </c>
      <c r="P1033" s="4">
        <v>1</v>
      </c>
      <c r="Q1033" s="3" t="s">
        <v>26</v>
      </c>
      <c r="R1033" s="3">
        <v>0</v>
      </c>
      <c r="S1033" s="3" t="s">
        <v>354</v>
      </c>
      <c r="U1033" s="3">
        <v>44</v>
      </c>
      <c r="V1033" s="3">
        <v>0</v>
      </c>
      <c r="W1033" s="3">
        <v>0</v>
      </c>
    </row>
    <row r="1034" spans="1:23" ht="11.25" customHeight="1" x14ac:dyDescent="0.25">
      <c r="A1034" s="3" t="s">
        <v>21</v>
      </c>
      <c r="B1034" s="3" t="s">
        <v>41</v>
      </c>
      <c r="C1034" s="3" t="s">
        <v>42</v>
      </c>
      <c r="D1034" s="3" t="s">
        <v>45</v>
      </c>
      <c r="E1034" s="3" t="s">
        <v>53</v>
      </c>
      <c r="F1034" s="3" t="s">
        <v>25</v>
      </c>
      <c r="G1034" s="3" t="s">
        <v>25</v>
      </c>
      <c r="H1034" s="3" t="s">
        <v>25</v>
      </c>
      <c r="I1034" s="6">
        <v>44501</v>
      </c>
      <c r="J1034" s="4">
        <v>8205</v>
      </c>
      <c r="K1034" s="4">
        <v>7876.7999999999993</v>
      </c>
      <c r="L1034" s="4">
        <v>0</v>
      </c>
      <c r="M1034" s="4">
        <v>0</v>
      </c>
      <c r="N1034" s="4">
        <v>0</v>
      </c>
      <c r="O1034" s="4">
        <v>0</v>
      </c>
      <c r="P1034" s="4">
        <v>45</v>
      </c>
      <c r="Q1034" s="3" t="s">
        <v>26</v>
      </c>
      <c r="R1034" s="3">
        <v>0</v>
      </c>
      <c r="S1034" s="3" t="s">
        <v>355</v>
      </c>
      <c r="U1034" s="3">
        <v>44</v>
      </c>
      <c r="V1034" s="3">
        <v>0</v>
      </c>
      <c r="W1034" s="3">
        <v>0</v>
      </c>
    </row>
    <row r="1035" spans="1:23" ht="11.25" customHeight="1" x14ac:dyDescent="0.25">
      <c r="A1035" s="3" t="s">
        <v>28</v>
      </c>
      <c r="B1035" s="3" t="s">
        <v>41</v>
      </c>
      <c r="C1035" s="3" t="s">
        <v>42</v>
      </c>
      <c r="D1035" s="3" t="s">
        <v>45</v>
      </c>
      <c r="E1035" s="3" t="s">
        <v>53</v>
      </c>
      <c r="F1035" s="3" t="s">
        <v>25</v>
      </c>
      <c r="G1035" s="3" t="s">
        <v>25</v>
      </c>
      <c r="H1035" s="3" t="s">
        <v>25</v>
      </c>
      <c r="I1035" s="6">
        <v>44501</v>
      </c>
      <c r="J1035" s="4">
        <v>63</v>
      </c>
      <c r="K1035" s="4">
        <v>60.48</v>
      </c>
      <c r="L1035" s="4">
        <v>0</v>
      </c>
      <c r="M1035" s="4">
        <v>0</v>
      </c>
      <c r="N1035" s="4">
        <v>0</v>
      </c>
      <c r="O1035" s="4">
        <v>0</v>
      </c>
      <c r="P1035" s="4">
        <v>1</v>
      </c>
      <c r="Q1035" s="3" t="s">
        <v>26</v>
      </c>
      <c r="R1035" s="3">
        <v>0</v>
      </c>
      <c r="S1035" s="3" t="s">
        <v>355</v>
      </c>
      <c r="U1035" s="3">
        <v>44</v>
      </c>
      <c r="V1035" s="3">
        <v>0</v>
      </c>
      <c r="W1035" s="3">
        <v>0</v>
      </c>
    </row>
    <row r="1036" spans="1:23" ht="11.25" customHeight="1" x14ac:dyDescent="0.25">
      <c r="A1036" s="3" t="s">
        <v>21</v>
      </c>
      <c r="B1036" s="3" t="s">
        <v>41</v>
      </c>
      <c r="C1036" s="3" t="s">
        <v>42</v>
      </c>
      <c r="D1036" s="3" t="s">
        <v>45</v>
      </c>
      <c r="E1036" s="3" t="s">
        <v>53</v>
      </c>
      <c r="F1036" s="3" t="s">
        <v>25</v>
      </c>
      <c r="G1036" s="3" t="s">
        <v>25</v>
      </c>
      <c r="H1036" s="3" t="s">
        <v>25</v>
      </c>
      <c r="I1036" s="6">
        <v>44531</v>
      </c>
      <c r="J1036" s="4">
        <v>8108</v>
      </c>
      <c r="K1036" s="4">
        <v>7783.6799999999994</v>
      </c>
      <c r="L1036" s="4">
        <v>0</v>
      </c>
      <c r="M1036" s="4">
        <v>0</v>
      </c>
      <c r="N1036" s="4">
        <v>0</v>
      </c>
      <c r="O1036" s="4">
        <v>0</v>
      </c>
      <c r="P1036" s="4">
        <v>48</v>
      </c>
      <c r="Q1036" s="3" t="s">
        <v>26</v>
      </c>
      <c r="R1036" s="3">
        <v>0</v>
      </c>
      <c r="S1036" s="3" t="s">
        <v>356</v>
      </c>
      <c r="U1036" s="3">
        <v>44</v>
      </c>
      <c r="V1036" s="3">
        <v>0</v>
      </c>
      <c r="W1036" s="3">
        <v>0</v>
      </c>
    </row>
    <row r="1037" spans="1:23" ht="11.25" customHeight="1" x14ac:dyDescent="0.25">
      <c r="A1037" s="3" t="s">
        <v>28</v>
      </c>
      <c r="B1037" s="3" t="s">
        <v>41</v>
      </c>
      <c r="C1037" s="3" t="s">
        <v>42</v>
      </c>
      <c r="D1037" s="3" t="s">
        <v>45</v>
      </c>
      <c r="E1037" s="3" t="s">
        <v>53</v>
      </c>
      <c r="F1037" s="3" t="s">
        <v>25</v>
      </c>
      <c r="G1037" s="3" t="s">
        <v>25</v>
      </c>
      <c r="H1037" s="3" t="s">
        <v>25</v>
      </c>
      <c r="I1037" s="6">
        <v>44531</v>
      </c>
      <c r="J1037" s="4">
        <v>61</v>
      </c>
      <c r="K1037" s="4">
        <v>58.559999999999995</v>
      </c>
      <c r="L1037" s="4">
        <v>0</v>
      </c>
      <c r="M1037" s="4">
        <v>0</v>
      </c>
      <c r="N1037" s="4">
        <v>0</v>
      </c>
      <c r="O1037" s="4">
        <v>0</v>
      </c>
      <c r="P1037" s="4">
        <v>1</v>
      </c>
      <c r="Q1037" s="3" t="s">
        <v>26</v>
      </c>
      <c r="R1037" s="3">
        <v>0</v>
      </c>
      <c r="S1037" s="3" t="s">
        <v>356</v>
      </c>
      <c r="U1037" s="3">
        <v>44</v>
      </c>
      <c r="V1037" s="3">
        <v>0</v>
      </c>
      <c r="W1037" s="3">
        <v>0</v>
      </c>
    </row>
    <row r="1038" spans="1:23" ht="11.25" customHeight="1" x14ac:dyDescent="0.25">
      <c r="A1038" s="3" t="s">
        <v>21</v>
      </c>
      <c r="B1038" s="3" t="s">
        <v>41</v>
      </c>
      <c r="C1038" s="3" t="s">
        <v>42</v>
      </c>
      <c r="D1038" s="3" t="s">
        <v>45</v>
      </c>
      <c r="E1038" s="3" t="s">
        <v>53</v>
      </c>
      <c r="F1038" s="3" t="s">
        <v>25</v>
      </c>
      <c r="G1038" s="3" t="s">
        <v>25</v>
      </c>
      <c r="H1038" s="3" t="s">
        <v>25</v>
      </c>
      <c r="I1038" s="6">
        <v>44562</v>
      </c>
      <c r="J1038" s="4">
        <v>6058</v>
      </c>
      <c r="K1038" s="4">
        <v>5815.6799999999994</v>
      </c>
      <c r="L1038" s="4">
        <v>0</v>
      </c>
      <c r="M1038" s="4">
        <v>0</v>
      </c>
      <c r="N1038" s="4">
        <v>0</v>
      </c>
      <c r="O1038" s="4">
        <v>0</v>
      </c>
      <c r="P1038" s="4">
        <v>49</v>
      </c>
      <c r="Q1038" s="3" t="s">
        <v>26</v>
      </c>
      <c r="R1038" s="3">
        <v>0</v>
      </c>
      <c r="S1038" s="3" t="s">
        <v>357</v>
      </c>
      <c r="U1038" s="3">
        <v>44</v>
      </c>
      <c r="V1038" s="3">
        <v>0</v>
      </c>
      <c r="W1038" s="3">
        <v>0</v>
      </c>
    </row>
    <row r="1039" spans="1:23" ht="11.25" customHeight="1" x14ac:dyDescent="0.25">
      <c r="A1039" s="3" t="s">
        <v>27</v>
      </c>
      <c r="B1039" s="3" t="s">
        <v>41</v>
      </c>
      <c r="C1039" s="3" t="s">
        <v>42</v>
      </c>
      <c r="D1039" s="3" t="s">
        <v>45</v>
      </c>
      <c r="E1039" s="3" t="s">
        <v>53</v>
      </c>
      <c r="F1039" s="3" t="s">
        <v>25</v>
      </c>
      <c r="G1039" s="3" t="s">
        <v>25</v>
      </c>
      <c r="H1039" s="3" t="s">
        <v>25</v>
      </c>
      <c r="I1039" s="6">
        <v>44562</v>
      </c>
      <c r="J1039" s="4">
        <v>611</v>
      </c>
      <c r="K1039" s="4">
        <v>586.55999999999995</v>
      </c>
      <c r="L1039" s="4">
        <v>0</v>
      </c>
      <c r="M1039" s="4">
        <v>0</v>
      </c>
      <c r="N1039" s="4">
        <v>0</v>
      </c>
      <c r="O1039" s="4">
        <v>0</v>
      </c>
      <c r="P1039" s="4">
        <v>3</v>
      </c>
      <c r="Q1039" s="3" t="s">
        <v>26</v>
      </c>
      <c r="R1039" s="3">
        <v>0</v>
      </c>
      <c r="S1039" s="3" t="s">
        <v>357</v>
      </c>
      <c r="U1039" s="3">
        <v>44</v>
      </c>
      <c r="V1039" s="3">
        <v>0</v>
      </c>
      <c r="W1039" s="3">
        <v>0</v>
      </c>
    </row>
    <row r="1040" spans="1:23" ht="11.25" customHeight="1" x14ac:dyDescent="0.25">
      <c r="A1040" s="3" t="s">
        <v>28</v>
      </c>
      <c r="B1040" s="3" t="s">
        <v>41</v>
      </c>
      <c r="C1040" s="3" t="s">
        <v>42</v>
      </c>
      <c r="D1040" s="3" t="s">
        <v>45</v>
      </c>
      <c r="E1040" s="3" t="s">
        <v>53</v>
      </c>
      <c r="F1040" s="3" t="s">
        <v>25</v>
      </c>
      <c r="G1040" s="3" t="s">
        <v>25</v>
      </c>
      <c r="H1040" s="3" t="s">
        <v>25</v>
      </c>
      <c r="I1040" s="6">
        <v>44562</v>
      </c>
      <c r="J1040" s="4">
        <v>61</v>
      </c>
      <c r="K1040" s="4">
        <v>58.559999999999995</v>
      </c>
      <c r="L1040" s="4">
        <v>0</v>
      </c>
      <c r="M1040" s="4">
        <v>0</v>
      </c>
      <c r="N1040" s="4">
        <v>0</v>
      </c>
      <c r="O1040" s="4">
        <v>0</v>
      </c>
      <c r="P1040" s="4">
        <v>1</v>
      </c>
      <c r="Q1040" s="3" t="s">
        <v>26</v>
      </c>
      <c r="R1040" s="3">
        <v>0</v>
      </c>
      <c r="S1040" s="3" t="s">
        <v>357</v>
      </c>
      <c r="U1040" s="3">
        <v>44</v>
      </c>
      <c r="V1040" s="3">
        <v>0</v>
      </c>
      <c r="W1040" s="3">
        <v>0</v>
      </c>
    </row>
    <row r="1041" spans="1:23" ht="11.25" customHeight="1" x14ac:dyDescent="0.25">
      <c r="A1041" s="3" t="s">
        <v>21</v>
      </c>
      <c r="B1041" s="3" t="s">
        <v>41</v>
      </c>
      <c r="C1041" s="3" t="s">
        <v>42</v>
      </c>
      <c r="D1041" s="3" t="s">
        <v>45</v>
      </c>
      <c r="E1041" s="3" t="s">
        <v>53</v>
      </c>
      <c r="F1041" s="3" t="s">
        <v>25</v>
      </c>
      <c r="G1041" s="3" t="s">
        <v>25</v>
      </c>
      <c r="H1041" s="3" t="s">
        <v>25</v>
      </c>
      <c r="I1041" s="6">
        <v>44593</v>
      </c>
      <c r="J1041" s="4">
        <v>8919</v>
      </c>
      <c r="K1041" s="4">
        <v>8562.24</v>
      </c>
      <c r="L1041" s="4">
        <v>0</v>
      </c>
      <c r="M1041" s="4">
        <v>0</v>
      </c>
      <c r="N1041" s="4">
        <v>0</v>
      </c>
      <c r="O1041" s="4">
        <v>0</v>
      </c>
      <c r="P1041" s="4">
        <v>52</v>
      </c>
      <c r="Q1041" s="3" t="s">
        <v>26</v>
      </c>
      <c r="R1041" s="3">
        <v>0</v>
      </c>
      <c r="S1041" s="3" t="s">
        <v>358</v>
      </c>
      <c r="U1041" s="3">
        <v>44</v>
      </c>
      <c r="V1041" s="3">
        <v>0</v>
      </c>
      <c r="W1041" s="3">
        <v>0</v>
      </c>
    </row>
    <row r="1042" spans="1:23" ht="11.25" customHeight="1" x14ac:dyDescent="0.25">
      <c r="A1042" s="3" t="s">
        <v>27</v>
      </c>
      <c r="B1042" s="3" t="s">
        <v>41</v>
      </c>
      <c r="C1042" s="3" t="s">
        <v>42</v>
      </c>
      <c r="D1042" s="3" t="s">
        <v>45</v>
      </c>
      <c r="E1042" s="3" t="s">
        <v>53</v>
      </c>
      <c r="F1042" s="3" t="s">
        <v>25</v>
      </c>
      <c r="G1042" s="3" t="s">
        <v>25</v>
      </c>
      <c r="H1042" s="3" t="s">
        <v>25</v>
      </c>
      <c r="I1042" s="6">
        <v>44593</v>
      </c>
      <c r="J1042" s="4">
        <v>37</v>
      </c>
      <c r="K1042" s="4">
        <v>35.519999999999996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3" t="s">
        <v>26</v>
      </c>
      <c r="R1042" s="3">
        <v>0</v>
      </c>
      <c r="S1042" s="3" t="s">
        <v>358</v>
      </c>
      <c r="U1042" s="3">
        <v>44</v>
      </c>
      <c r="V1042" s="3">
        <v>0</v>
      </c>
      <c r="W1042" s="3">
        <v>0</v>
      </c>
    </row>
    <row r="1043" spans="1:23" ht="11.25" customHeight="1" x14ac:dyDescent="0.25">
      <c r="A1043" s="3" t="s">
        <v>28</v>
      </c>
      <c r="B1043" s="3" t="s">
        <v>41</v>
      </c>
      <c r="C1043" s="3" t="s">
        <v>42</v>
      </c>
      <c r="D1043" s="3" t="s">
        <v>45</v>
      </c>
      <c r="E1043" s="3" t="s">
        <v>53</v>
      </c>
      <c r="F1043" s="3" t="s">
        <v>25</v>
      </c>
      <c r="G1043" s="3" t="s">
        <v>25</v>
      </c>
      <c r="H1043" s="3" t="s">
        <v>25</v>
      </c>
      <c r="I1043" s="6">
        <v>44593</v>
      </c>
      <c r="J1043" s="4">
        <v>59</v>
      </c>
      <c r="K1043" s="4">
        <v>56.64</v>
      </c>
      <c r="L1043" s="4">
        <v>0</v>
      </c>
      <c r="M1043" s="4">
        <v>0</v>
      </c>
      <c r="N1043" s="4">
        <v>0</v>
      </c>
      <c r="O1043" s="4">
        <v>0</v>
      </c>
      <c r="P1043" s="4">
        <v>1</v>
      </c>
      <c r="Q1043" s="3" t="s">
        <v>26</v>
      </c>
      <c r="R1043" s="3">
        <v>0</v>
      </c>
      <c r="S1043" s="3" t="s">
        <v>358</v>
      </c>
      <c r="U1043" s="3">
        <v>44</v>
      </c>
      <c r="V1043" s="3">
        <v>0</v>
      </c>
      <c r="W1043" s="3">
        <v>0</v>
      </c>
    </row>
    <row r="1044" spans="1:23" ht="11.25" customHeight="1" x14ac:dyDescent="0.25">
      <c r="A1044" s="3" t="s">
        <v>56</v>
      </c>
      <c r="B1044" s="3" t="s">
        <v>41</v>
      </c>
      <c r="C1044" s="3" t="s">
        <v>42</v>
      </c>
      <c r="D1044" s="3" t="s">
        <v>45</v>
      </c>
      <c r="E1044" s="3" t="s">
        <v>53</v>
      </c>
      <c r="F1044" s="3" t="s">
        <v>25</v>
      </c>
      <c r="G1044" s="3" t="s">
        <v>25</v>
      </c>
      <c r="H1044" s="3" t="s">
        <v>25</v>
      </c>
      <c r="I1044" s="6">
        <v>44621</v>
      </c>
      <c r="J1044" s="4">
        <v>8919</v>
      </c>
      <c r="K1044" s="4">
        <v>8562.24</v>
      </c>
      <c r="L1044" s="4">
        <v>0</v>
      </c>
      <c r="M1044" s="4">
        <v>0</v>
      </c>
      <c r="N1044" s="4">
        <v>0</v>
      </c>
      <c r="O1044" s="4">
        <v>0</v>
      </c>
      <c r="P1044" s="4">
        <v>52</v>
      </c>
      <c r="Q1044" s="3" t="s">
        <v>26</v>
      </c>
      <c r="R1044" s="3">
        <v>0</v>
      </c>
      <c r="S1044" s="3" t="s">
        <v>359</v>
      </c>
      <c r="U1044" s="3">
        <v>44</v>
      </c>
      <c r="V1044" s="3">
        <v>0</v>
      </c>
      <c r="W1044" s="3">
        <v>0</v>
      </c>
    </row>
    <row r="1045" spans="1:23" ht="11.25" customHeight="1" x14ac:dyDescent="0.25">
      <c r="A1045" s="3" t="s">
        <v>56</v>
      </c>
      <c r="B1045" s="3" t="s">
        <v>41</v>
      </c>
      <c r="C1045" s="3" t="s">
        <v>42</v>
      </c>
      <c r="D1045" s="3" t="s">
        <v>45</v>
      </c>
      <c r="E1045" s="3" t="s">
        <v>53</v>
      </c>
      <c r="F1045" s="3" t="s">
        <v>25</v>
      </c>
      <c r="G1045" s="3" t="s">
        <v>25</v>
      </c>
      <c r="H1045" s="3" t="s">
        <v>25</v>
      </c>
      <c r="I1045" s="6">
        <v>44621</v>
      </c>
      <c r="J1045" s="4">
        <v>37</v>
      </c>
      <c r="K1045" s="4">
        <v>35.519999999999996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3" t="s">
        <v>26</v>
      </c>
      <c r="R1045" s="3">
        <v>0</v>
      </c>
      <c r="S1045" s="3" t="s">
        <v>359</v>
      </c>
      <c r="U1045" s="3">
        <v>44</v>
      </c>
      <c r="V1045" s="3">
        <v>0</v>
      </c>
      <c r="W1045" s="3">
        <v>0</v>
      </c>
    </row>
    <row r="1046" spans="1:23" ht="11.25" customHeight="1" x14ac:dyDescent="0.25">
      <c r="A1046" s="3" t="s">
        <v>56</v>
      </c>
      <c r="B1046" s="3" t="s">
        <v>41</v>
      </c>
      <c r="C1046" s="3" t="s">
        <v>42</v>
      </c>
      <c r="D1046" s="3" t="s">
        <v>45</v>
      </c>
      <c r="E1046" s="3" t="s">
        <v>53</v>
      </c>
      <c r="F1046" s="3" t="s">
        <v>25</v>
      </c>
      <c r="G1046" s="3" t="s">
        <v>25</v>
      </c>
      <c r="H1046" s="3" t="s">
        <v>25</v>
      </c>
      <c r="I1046" s="6">
        <v>44621</v>
      </c>
      <c r="J1046" s="4">
        <v>59</v>
      </c>
      <c r="K1046" s="4">
        <v>56.64</v>
      </c>
      <c r="L1046" s="4">
        <v>0</v>
      </c>
      <c r="M1046" s="4">
        <v>0</v>
      </c>
      <c r="N1046" s="4">
        <v>0</v>
      </c>
      <c r="O1046" s="4">
        <v>0</v>
      </c>
      <c r="P1046" s="4">
        <v>1</v>
      </c>
      <c r="Q1046" s="3" t="s">
        <v>26</v>
      </c>
      <c r="R1046" s="3">
        <v>0</v>
      </c>
      <c r="S1046" s="3" t="s">
        <v>359</v>
      </c>
      <c r="U1046" s="3">
        <v>44</v>
      </c>
      <c r="V1046" s="3">
        <v>0</v>
      </c>
      <c r="W1046" s="3">
        <v>0</v>
      </c>
    </row>
    <row r="1047" spans="1:23" ht="11.25" customHeight="1" x14ac:dyDescent="0.25">
      <c r="A1047" s="3" t="s">
        <v>21</v>
      </c>
      <c r="B1047" s="3" t="s">
        <v>41</v>
      </c>
      <c r="C1047" s="3" t="s">
        <v>42</v>
      </c>
      <c r="D1047" s="3" t="s">
        <v>45</v>
      </c>
      <c r="E1047" s="3" t="s">
        <v>53</v>
      </c>
      <c r="F1047" s="3" t="s">
        <v>25</v>
      </c>
      <c r="G1047" s="3" t="s">
        <v>25</v>
      </c>
      <c r="H1047" s="3" t="s">
        <v>34</v>
      </c>
      <c r="I1047" s="6">
        <v>44287</v>
      </c>
      <c r="J1047" s="4">
        <v>0</v>
      </c>
      <c r="K1047" s="4">
        <v>0</v>
      </c>
      <c r="L1047" s="4">
        <v>14.07</v>
      </c>
      <c r="M1047" s="4">
        <v>13.507199999999999</v>
      </c>
      <c r="N1047" s="4">
        <v>14.07</v>
      </c>
      <c r="O1047" s="4">
        <v>13.507199999999999</v>
      </c>
      <c r="P1047" s="4">
        <v>0</v>
      </c>
      <c r="Q1047" s="3" t="s">
        <v>26</v>
      </c>
      <c r="R1047" s="3">
        <v>0</v>
      </c>
      <c r="S1047" s="3" t="s">
        <v>360</v>
      </c>
      <c r="T1047" s="3" t="s">
        <v>623</v>
      </c>
      <c r="U1047" s="3">
        <v>0</v>
      </c>
      <c r="V1047" s="3">
        <v>20</v>
      </c>
      <c r="W1047" s="3">
        <v>88</v>
      </c>
    </row>
    <row r="1048" spans="1:23" ht="11.25" customHeight="1" x14ac:dyDescent="0.25">
      <c r="A1048" s="3" t="s">
        <v>21</v>
      </c>
      <c r="B1048" s="3" t="s">
        <v>41</v>
      </c>
      <c r="C1048" s="3" t="s">
        <v>42</v>
      </c>
      <c r="D1048" s="3" t="s">
        <v>45</v>
      </c>
      <c r="E1048" s="3" t="s">
        <v>53</v>
      </c>
      <c r="F1048" s="3" t="s">
        <v>25</v>
      </c>
      <c r="G1048" s="3" t="s">
        <v>25</v>
      </c>
      <c r="H1048" s="3" t="s">
        <v>34</v>
      </c>
      <c r="I1048" s="6">
        <v>44317</v>
      </c>
      <c r="J1048" s="4">
        <v>0</v>
      </c>
      <c r="K1048" s="4">
        <v>0</v>
      </c>
      <c r="L1048" s="4">
        <v>9.2910000000000004</v>
      </c>
      <c r="M1048" s="4">
        <v>8.9193599999999993</v>
      </c>
      <c r="N1048" s="4">
        <v>9.2910000000000004</v>
      </c>
      <c r="O1048" s="4">
        <v>8.9193599999999993</v>
      </c>
      <c r="P1048" s="4">
        <v>0</v>
      </c>
      <c r="Q1048" s="3" t="s">
        <v>26</v>
      </c>
      <c r="R1048" s="3">
        <v>0</v>
      </c>
      <c r="S1048" s="3" t="s">
        <v>361</v>
      </c>
      <c r="T1048" s="3" t="s">
        <v>624</v>
      </c>
      <c r="U1048" s="3">
        <v>0</v>
      </c>
      <c r="V1048" s="3">
        <v>20</v>
      </c>
      <c r="W1048" s="3">
        <v>88</v>
      </c>
    </row>
    <row r="1049" spans="1:23" ht="11.25" customHeight="1" x14ac:dyDescent="0.25">
      <c r="A1049" s="3" t="s">
        <v>21</v>
      </c>
      <c r="B1049" s="3" t="s">
        <v>41</v>
      </c>
      <c r="C1049" s="3" t="s">
        <v>42</v>
      </c>
      <c r="D1049" s="3" t="s">
        <v>45</v>
      </c>
      <c r="E1049" s="3" t="s">
        <v>53</v>
      </c>
      <c r="F1049" s="3" t="s">
        <v>25</v>
      </c>
      <c r="G1049" s="3" t="s">
        <v>25</v>
      </c>
      <c r="H1049" s="3" t="s">
        <v>34</v>
      </c>
      <c r="I1049" s="6">
        <v>44348</v>
      </c>
      <c r="J1049" s="4">
        <v>0</v>
      </c>
      <c r="K1049" s="4">
        <v>0</v>
      </c>
      <c r="L1049" s="4">
        <v>8.5730000000000004</v>
      </c>
      <c r="M1049" s="4">
        <v>8.2300799999999992</v>
      </c>
      <c r="N1049" s="4">
        <v>8.5730000000000004</v>
      </c>
      <c r="O1049" s="4">
        <v>8.2300799999999992</v>
      </c>
      <c r="P1049" s="4">
        <v>0</v>
      </c>
      <c r="Q1049" s="3" t="s">
        <v>26</v>
      </c>
      <c r="R1049" s="3">
        <v>0</v>
      </c>
      <c r="S1049" s="3" t="s">
        <v>362</v>
      </c>
      <c r="T1049" s="3" t="s">
        <v>625</v>
      </c>
      <c r="U1049" s="3">
        <v>0</v>
      </c>
      <c r="V1049" s="3">
        <v>20</v>
      </c>
      <c r="W1049" s="3">
        <v>88</v>
      </c>
    </row>
    <row r="1050" spans="1:23" ht="11.25" customHeight="1" x14ac:dyDescent="0.25">
      <c r="A1050" s="3" t="s">
        <v>21</v>
      </c>
      <c r="B1050" s="3" t="s">
        <v>41</v>
      </c>
      <c r="C1050" s="3" t="s">
        <v>42</v>
      </c>
      <c r="D1050" s="3" t="s">
        <v>45</v>
      </c>
      <c r="E1050" s="3" t="s">
        <v>53</v>
      </c>
      <c r="F1050" s="3" t="s">
        <v>25</v>
      </c>
      <c r="G1050" s="3" t="s">
        <v>25</v>
      </c>
      <c r="H1050" s="3" t="s">
        <v>34</v>
      </c>
      <c r="I1050" s="6">
        <v>44378</v>
      </c>
      <c r="J1050" s="4">
        <v>0</v>
      </c>
      <c r="K1050" s="4">
        <v>0</v>
      </c>
      <c r="L1050" s="4">
        <v>7.2220000000000004</v>
      </c>
      <c r="M1050" s="4">
        <v>6.9331199999999997</v>
      </c>
      <c r="N1050" s="4">
        <v>7.2220000000000004</v>
      </c>
      <c r="O1050" s="4">
        <v>6.9331199999999997</v>
      </c>
      <c r="P1050" s="4">
        <v>0</v>
      </c>
      <c r="Q1050" s="3" t="s">
        <v>26</v>
      </c>
      <c r="R1050" s="3">
        <v>0</v>
      </c>
      <c r="S1050" s="3" t="s">
        <v>363</v>
      </c>
      <c r="T1050" s="3" t="s">
        <v>626</v>
      </c>
      <c r="U1050" s="3">
        <v>0</v>
      </c>
      <c r="V1050" s="3">
        <v>20</v>
      </c>
      <c r="W1050" s="3">
        <v>88</v>
      </c>
    </row>
    <row r="1051" spans="1:23" ht="11.25" customHeight="1" x14ac:dyDescent="0.25">
      <c r="A1051" s="3" t="s">
        <v>21</v>
      </c>
      <c r="B1051" s="3" t="s">
        <v>41</v>
      </c>
      <c r="C1051" s="3" t="s">
        <v>42</v>
      </c>
      <c r="D1051" s="3" t="s">
        <v>45</v>
      </c>
      <c r="E1051" s="3" t="s">
        <v>53</v>
      </c>
      <c r="F1051" s="3" t="s">
        <v>25</v>
      </c>
      <c r="G1051" s="3" t="s">
        <v>25</v>
      </c>
      <c r="H1051" s="3" t="s">
        <v>34</v>
      </c>
      <c r="I1051" s="6">
        <v>44409</v>
      </c>
      <c r="J1051" s="4">
        <v>0</v>
      </c>
      <c r="K1051" s="4">
        <v>0</v>
      </c>
      <c r="L1051" s="4">
        <v>8.3740000000000006</v>
      </c>
      <c r="M1051" s="4">
        <v>8.03904</v>
      </c>
      <c r="N1051" s="4">
        <v>8.3740000000000006</v>
      </c>
      <c r="O1051" s="4">
        <v>8.03904</v>
      </c>
      <c r="P1051" s="4">
        <v>0</v>
      </c>
      <c r="Q1051" s="3" t="s">
        <v>26</v>
      </c>
      <c r="R1051" s="3">
        <v>0</v>
      </c>
      <c r="S1051" s="3" t="s">
        <v>364</v>
      </c>
      <c r="T1051" s="3" t="s">
        <v>627</v>
      </c>
      <c r="U1051" s="3">
        <v>0</v>
      </c>
      <c r="V1051" s="3">
        <v>20</v>
      </c>
      <c r="W1051" s="3">
        <v>88</v>
      </c>
    </row>
    <row r="1052" spans="1:23" ht="11.25" customHeight="1" x14ac:dyDescent="0.25">
      <c r="A1052" s="3" t="s">
        <v>21</v>
      </c>
      <c r="B1052" s="3" t="s">
        <v>41</v>
      </c>
      <c r="C1052" s="3" t="s">
        <v>42</v>
      </c>
      <c r="D1052" s="3" t="s">
        <v>45</v>
      </c>
      <c r="E1052" s="3" t="s">
        <v>53</v>
      </c>
      <c r="F1052" s="3" t="s">
        <v>25</v>
      </c>
      <c r="G1052" s="3" t="s">
        <v>25</v>
      </c>
      <c r="H1052" s="3" t="s">
        <v>34</v>
      </c>
      <c r="I1052" s="6">
        <v>44440</v>
      </c>
      <c r="J1052" s="4">
        <v>0</v>
      </c>
      <c r="K1052" s="4">
        <v>0</v>
      </c>
      <c r="L1052" s="4">
        <v>14.097</v>
      </c>
      <c r="M1052" s="4">
        <v>13.53312</v>
      </c>
      <c r="N1052" s="4">
        <v>14.097</v>
      </c>
      <c r="O1052" s="4">
        <v>13.53312</v>
      </c>
      <c r="P1052" s="4">
        <v>0</v>
      </c>
      <c r="Q1052" s="3" t="s">
        <v>26</v>
      </c>
      <c r="R1052" s="3">
        <v>0</v>
      </c>
      <c r="S1052" s="3" t="s">
        <v>365</v>
      </c>
      <c r="T1052" s="3" t="s">
        <v>628</v>
      </c>
      <c r="U1052" s="3">
        <v>0</v>
      </c>
      <c r="V1052" s="3">
        <v>20</v>
      </c>
      <c r="W1052" s="3">
        <v>88</v>
      </c>
    </row>
    <row r="1053" spans="1:23" ht="11.25" customHeight="1" x14ac:dyDescent="0.25">
      <c r="A1053" s="3" t="s">
        <v>27</v>
      </c>
      <c r="B1053" s="3" t="s">
        <v>41</v>
      </c>
      <c r="C1053" s="3" t="s">
        <v>42</v>
      </c>
      <c r="D1053" s="3" t="s">
        <v>45</v>
      </c>
      <c r="E1053" s="3" t="s">
        <v>53</v>
      </c>
      <c r="F1053" s="3" t="s">
        <v>25</v>
      </c>
      <c r="G1053" s="3" t="s">
        <v>25</v>
      </c>
      <c r="H1053" s="3" t="s">
        <v>34</v>
      </c>
      <c r="I1053" s="6">
        <v>44440</v>
      </c>
      <c r="J1053" s="4">
        <v>0</v>
      </c>
      <c r="K1053" s="4">
        <v>0</v>
      </c>
      <c r="L1053" s="4">
        <v>0.94599999999999995</v>
      </c>
      <c r="M1053" s="4">
        <v>0.90815999999999997</v>
      </c>
      <c r="N1053" s="4">
        <v>0.94599999999999995</v>
      </c>
      <c r="O1053" s="4">
        <v>0.90815999999999997</v>
      </c>
      <c r="P1053" s="4">
        <v>0</v>
      </c>
      <c r="Q1053" s="3" t="s">
        <v>26</v>
      </c>
      <c r="R1053" s="3">
        <v>0</v>
      </c>
      <c r="S1053" s="3" t="s">
        <v>365</v>
      </c>
      <c r="T1053" s="3" t="s">
        <v>628</v>
      </c>
      <c r="U1053" s="3">
        <v>0</v>
      </c>
      <c r="V1053" s="3">
        <v>20</v>
      </c>
      <c r="W1053" s="3">
        <v>88</v>
      </c>
    </row>
    <row r="1054" spans="1:23" ht="11.25" customHeight="1" x14ac:dyDescent="0.25">
      <c r="A1054" s="3" t="s">
        <v>21</v>
      </c>
      <c r="B1054" s="3" t="s">
        <v>41</v>
      </c>
      <c r="C1054" s="3" t="s">
        <v>42</v>
      </c>
      <c r="D1054" s="3" t="s">
        <v>45</v>
      </c>
      <c r="E1054" s="3" t="s">
        <v>53</v>
      </c>
      <c r="F1054" s="3" t="s">
        <v>25</v>
      </c>
      <c r="G1054" s="3" t="s">
        <v>25</v>
      </c>
      <c r="H1054" s="3" t="s">
        <v>34</v>
      </c>
      <c r="I1054" s="6">
        <v>44470</v>
      </c>
      <c r="J1054" s="4">
        <v>0</v>
      </c>
      <c r="K1054" s="4">
        <v>0</v>
      </c>
      <c r="L1054" s="4">
        <v>14.898</v>
      </c>
      <c r="M1054" s="4">
        <v>14.30208</v>
      </c>
      <c r="N1054" s="4">
        <v>14.898</v>
      </c>
      <c r="O1054" s="4">
        <v>14.30208</v>
      </c>
      <c r="P1054" s="4">
        <v>0</v>
      </c>
      <c r="Q1054" s="3" t="s">
        <v>26</v>
      </c>
      <c r="R1054" s="3">
        <v>0</v>
      </c>
      <c r="S1054" s="3" t="s">
        <v>366</v>
      </c>
      <c r="T1054" s="3" t="s">
        <v>629</v>
      </c>
      <c r="U1054" s="3">
        <v>0</v>
      </c>
      <c r="V1054" s="3">
        <v>20</v>
      </c>
      <c r="W1054" s="3">
        <v>88</v>
      </c>
    </row>
    <row r="1055" spans="1:23" ht="11.25" customHeight="1" x14ac:dyDescent="0.25">
      <c r="A1055" s="3" t="s">
        <v>21</v>
      </c>
      <c r="B1055" s="3" t="s">
        <v>41</v>
      </c>
      <c r="C1055" s="3" t="s">
        <v>42</v>
      </c>
      <c r="D1055" s="3" t="s">
        <v>45</v>
      </c>
      <c r="E1055" s="3" t="s">
        <v>53</v>
      </c>
      <c r="F1055" s="3" t="s">
        <v>25</v>
      </c>
      <c r="G1055" s="3" t="s">
        <v>25</v>
      </c>
      <c r="H1055" s="3" t="s">
        <v>34</v>
      </c>
      <c r="I1055" s="6">
        <v>44501</v>
      </c>
      <c r="J1055" s="4">
        <v>0</v>
      </c>
      <c r="K1055" s="4">
        <v>0</v>
      </c>
      <c r="L1055" s="4">
        <v>17.111999999999998</v>
      </c>
      <c r="M1055" s="4">
        <v>16.427519999999998</v>
      </c>
      <c r="N1055" s="4">
        <v>17.111999999999998</v>
      </c>
      <c r="O1055" s="4">
        <v>16.427519999999998</v>
      </c>
      <c r="P1055" s="4">
        <v>0</v>
      </c>
      <c r="Q1055" s="3" t="s">
        <v>26</v>
      </c>
      <c r="R1055" s="3">
        <v>0</v>
      </c>
      <c r="S1055" s="3" t="s">
        <v>367</v>
      </c>
      <c r="T1055" s="3" t="s">
        <v>630</v>
      </c>
      <c r="U1055" s="3">
        <v>0</v>
      </c>
      <c r="V1055" s="3">
        <v>20</v>
      </c>
      <c r="W1055" s="3">
        <v>88</v>
      </c>
    </row>
    <row r="1056" spans="1:23" ht="11.25" customHeight="1" x14ac:dyDescent="0.25">
      <c r="A1056" s="3" t="s">
        <v>21</v>
      </c>
      <c r="B1056" s="3" t="s">
        <v>41</v>
      </c>
      <c r="C1056" s="3" t="s">
        <v>42</v>
      </c>
      <c r="D1056" s="3" t="s">
        <v>45</v>
      </c>
      <c r="E1056" s="3" t="s">
        <v>53</v>
      </c>
      <c r="F1056" s="3" t="s">
        <v>25</v>
      </c>
      <c r="G1056" s="3" t="s">
        <v>25</v>
      </c>
      <c r="H1056" s="3" t="s">
        <v>34</v>
      </c>
      <c r="I1056" s="6">
        <v>44531</v>
      </c>
      <c r="J1056" s="4">
        <v>0</v>
      </c>
      <c r="K1056" s="4">
        <v>0</v>
      </c>
      <c r="L1056" s="4">
        <v>16.388999999999999</v>
      </c>
      <c r="M1056" s="4">
        <v>15.733439999999998</v>
      </c>
      <c r="N1056" s="4">
        <v>16.388999999999999</v>
      </c>
      <c r="O1056" s="4">
        <v>15.733439999999998</v>
      </c>
      <c r="P1056" s="4">
        <v>0</v>
      </c>
      <c r="Q1056" s="3" t="s">
        <v>26</v>
      </c>
      <c r="R1056" s="3">
        <v>0</v>
      </c>
      <c r="S1056" s="3" t="s">
        <v>368</v>
      </c>
      <c r="T1056" s="3" t="s">
        <v>631</v>
      </c>
      <c r="U1056" s="3">
        <v>0</v>
      </c>
      <c r="V1056" s="3">
        <v>20</v>
      </c>
      <c r="W1056" s="3">
        <v>88</v>
      </c>
    </row>
    <row r="1057" spans="1:23" ht="11.25" customHeight="1" x14ac:dyDescent="0.25">
      <c r="A1057" s="3" t="s">
        <v>21</v>
      </c>
      <c r="B1057" s="3" t="s">
        <v>41</v>
      </c>
      <c r="C1057" s="3" t="s">
        <v>42</v>
      </c>
      <c r="D1057" s="3" t="s">
        <v>45</v>
      </c>
      <c r="E1057" s="3" t="s">
        <v>53</v>
      </c>
      <c r="F1057" s="3" t="s">
        <v>25</v>
      </c>
      <c r="G1057" s="3" t="s">
        <v>25</v>
      </c>
      <c r="H1057" s="3" t="s">
        <v>34</v>
      </c>
      <c r="I1057" s="6">
        <v>44562</v>
      </c>
      <c r="J1057" s="4">
        <v>0</v>
      </c>
      <c r="K1057" s="4">
        <v>0</v>
      </c>
      <c r="L1057" s="4">
        <v>18.425999999999998</v>
      </c>
      <c r="M1057" s="4">
        <v>17.688959999999998</v>
      </c>
      <c r="N1057" s="4">
        <v>18.425999999999998</v>
      </c>
      <c r="O1057" s="4">
        <v>17.688959999999998</v>
      </c>
      <c r="P1057" s="4">
        <v>0</v>
      </c>
      <c r="Q1057" s="3" t="s">
        <v>26</v>
      </c>
      <c r="R1057" s="3">
        <v>0</v>
      </c>
      <c r="S1057" s="3" t="s">
        <v>369</v>
      </c>
      <c r="T1057" s="3" t="s">
        <v>632</v>
      </c>
      <c r="U1057" s="3">
        <v>0</v>
      </c>
      <c r="V1057" s="3">
        <v>20</v>
      </c>
      <c r="W1057" s="3">
        <v>88</v>
      </c>
    </row>
    <row r="1058" spans="1:23" ht="11.25" customHeight="1" x14ac:dyDescent="0.25">
      <c r="A1058" s="3" t="s">
        <v>27</v>
      </c>
      <c r="B1058" s="3" t="s">
        <v>41</v>
      </c>
      <c r="C1058" s="3" t="s">
        <v>42</v>
      </c>
      <c r="D1058" s="3" t="s">
        <v>45</v>
      </c>
      <c r="E1058" s="3" t="s">
        <v>53</v>
      </c>
      <c r="F1058" s="3" t="s">
        <v>25</v>
      </c>
      <c r="G1058" s="3" t="s">
        <v>25</v>
      </c>
      <c r="H1058" s="3" t="s">
        <v>34</v>
      </c>
      <c r="I1058" s="6">
        <v>44562</v>
      </c>
      <c r="J1058" s="4">
        <v>0</v>
      </c>
      <c r="K1058" s="4">
        <v>0</v>
      </c>
      <c r="L1058" s="4">
        <v>0.2</v>
      </c>
      <c r="M1058" s="4">
        <v>0.192</v>
      </c>
      <c r="N1058" s="4">
        <v>0.2</v>
      </c>
      <c r="O1058" s="4">
        <v>0.192</v>
      </c>
      <c r="P1058" s="4">
        <v>0</v>
      </c>
      <c r="Q1058" s="3" t="s">
        <v>26</v>
      </c>
      <c r="R1058" s="3">
        <v>0</v>
      </c>
      <c r="S1058" s="3" t="s">
        <v>369</v>
      </c>
      <c r="T1058" s="3" t="s">
        <v>632</v>
      </c>
      <c r="U1058" s="3">
        <v>0</v>
      </c>
      <c r="V1058" s="3">
        <v>20</v>
      </c>
      <c r="W1058" s="3">
        <v>88</v>
      </c>
    </row>
    <row r="1059" spans="1:23" ht="11.25" customHeight="1" x14ac:dyDescent="0.25">
      <c r="A1059" s="3" t="s">
        <v>28</v>
      </c>
      <c r="B1059" s="3" t="s">
        <v>41</v>
      </c>
      <c r="C1059" s="3" t="s">
        <v>42</v>
      </c>
      <c r="D1059" s="3" t="s">
        <v>45</v>
      </c>
      <c r="E1059" s="3" t="s">
        <v>53</v>
      </c>
      <c r="F1059" s="3" t="s">
        <v>25</v>
      </c>
      <c r="G1059" s="3" t="s">
        <v>25</v>
      </c>
      <c r="H1059" s="3" t="s">
        <v>34</v>
      </c>
      <c r="I1059" s="6">
        <v>44562</v>
      </c>
      <c r="J1059" s="4">
        <v>0</v>
      </c>
      <c r="K1059" s="4">
        <v>0</v>
      </c>
      <c r="L1059" s="4">
        <v>0.25700000000000001</v>
      </c>
      <c r="M1059" s="4">
        <v>0.24671999999999999</v>
      </c>
      <c r="N1059" s="4">
        <v>0.25700000000000001</v>
      </c>
      <c r="O1059" s="4">
        <v>0.24671999999999999</v>
      </c>
      <c r="P1059" s="4">
        <v>0</v>
      </c>
      <c r="Q1059" s="3" t="s">
        <v>26</v>
      </c>
      <c r="R1059" s="3">
        <v>0</v>
      </c>
      <c r="S1059" s="3" t="s">
        <v>369</v>
      </c>
      <c r="T1059" s="3" t="s">
        <v>632</v>
      </c>
      <c r="U1059" s="3">
        <v>0</v>
      </c>
      <c r="V1059" s="3">
        <v>20</v>
      </c>
      <c r="W1059" s="3">
        <v>88</v>
      </c>
    </row>
    <row r="1060" spans="1:23" ht="11.25" customHeight="1" x14ac:dyDescent="0.25">
      <c r="A1060" s="3" t="s">
        <v>21</v>
      </c>
      <c r="B1060" s="3" t="s">
        <v>41</v>
      </c>
      <c r="C1060" s="3" t="s">
        <v>42</v>
      </c>
      <c r="D1060" s="3" t="s">
        <v>45</v>
      </c>
      <c r="E1060" s="3" t="s">
        <v>53</v>
      </c>
      <c r="F1060" s="3" t="s">
        <v>25</v>
      </c>
      <c r="G1060" s="3" t="s">
        <v>25</v>
      </c>
      <c r="H1060" s="3" t="s">
        <v>34</v>
      </c>
      <c r="I1060" s="6">
        <v>44593</v>
      </c>
      <c r="J1060" s="4">
        <v>0</v>
      </c>
      <c r="K1060" s="4">
        <v>0</v>
      </c>
      <c r="L1060" s="4">
        <v>16.137</v>
      </c>
      <c r="M1060" s="4">
        <v>15.49152</v>
      </c>
      <c r="N1060" s="4">
        <v>16.137</v>
      </c>
      <c r="O1060" s="4">
        <v>15.49152</v>
      </c>
      <c r="P1060" s="4">
        <v>0</v>
      </c>
      <c r="Q1060" s="3" t="s">
        <v>26</v>
      </c>
      <c r="R1060" s="3">
        <v>0</v>
      </c>
      <c r="S1060" s="3" t="s">
        <v>370</v>
      </c>
      <c r="T1060" s="3" t="s">
        <v>633</v>
      </c>
      <c r="U1060" s="3">
        <v>0</v>
      </c>
      <c r="V1060" s="3">
        <v>20</v>
      </c>
      <c r="W1060" s="3">
        <v>88</v>
      </c>
    </row>
    <row r="1061" spans="1:23" ht="11.25" customHeight="1" x14ac:dyDescent="0.25">
      <c r="A1061" s="3" t="s">
        <v>27</v>
      </c>
      <c r="B1061" s="3" t="s">
        <v>41</v>
      </c>
      <c r="C1061" s="3" t="s">
        <v>42</v>
      </c>
      <c r="D1061" s="3" t="s">
        <v>45</v>
      </c>
      <c r="E1061" s="3" t="s">
        <v>53</v>
      </c>
      <c r="F1061" s="3" t="s">
        <v>25</v>
      </c>
      <c r="G1061" s="3" t="s">
        <v>25</v>
      </c>
      <c r="H1061" s="3" t="s">
        <v>34</v>
      </c>
      <c r="I1061" s="6">
        <v>44593</v>
      </c>
      <c r="J1061" s="4">
        <v>0</v>
      </c>
      <c r="K1061" s="4">
        <v>0</v>
      </c>
      <c r="L1061" s="4">
        <v>8.2000000000000003E-2</v>
      </c>
      <c r="M1061" s="4">
        <v>7.8719999999999998E-2</v>
      </c>
      <c r="N1061" s="4">
        <v>8.2000000000000003E-2</v>
      </c>
      <c r="O1061" s="4">
        <v>7.8719999999999998E-2</v>
      </c>
      <c r="P1061" s="4">
        <v>0</v>
      </c>
      <c r="Q1061" s="3" t="s">
        <v>26</v>
      </c>
      <c r="R1061" s="3">
        <v>0</v>
      </c>
      <c r="S1061" s="3" t="s">
        <v>370</v>
      </c>
      <c r="T1061" s="3" t="s">
        <v>633</v>
      </c>
      <c r="U1061" s="3">
        <v>0</v>
      </c>
      <c r="V1061" s="3">
        <v>20</v>
      </c>
      <c r="W1061" s="3">
        <v>88</v>
      </c>
    </row>
    <row r="1062" spans="1:23" ht="11.25" customHeight="1" x14ac:dyDescent="0.25">
      <c r="A1062" s="3" t="s">
        <v>28</v>
      </c>
      <c r="B1062" s="3" t="s">
        <v>41</v>
      </c>
      <c r="C1062" s="3" t="s">
        <v>42</v>
      </c>
      <c r="D1062" s="3" t="s">
        <v>45</v>
      </c>
      <c r="E1062" s="3" t="s">
        <v>53</v>
      </c>
      <c r="F1062" s="3" t="s">
        <v>25</v>
      </c>
      <c r="G1062" s="3" t="s">
        <v>25</v>
      </c>
      <c r="H1062" s="3" t="s">
        <v>34</v>
      </c>
      <c r="I1062" s="6">
        <v>44593</v>
      </c>
      <c r="J1062" s="4">
        <v>0</v>
      </c>
      <c r="K1062" s="4">
        <v>0</v>
      </c>
      <c r="L1062" s="4">
        <v>0.38</v>
      </c>
      <c r="M1062" s="4">
        <v>0.36480000000000001</v>
      </c>
      <c r="N1062" s="4">
        <v>0.38</v>
      </c>
      <c r="O1062" s="4">
        <v>0.36480000000000001</v>
      </c>
      <c r="P1062" s="4">
        <v>0</v>
      </c>
      <c r="Q1062" s="3" t="s">
        <v>26</v>
      </c>
      <c r="R1062" s="3">
        <v>0</v>
      </c>
      <c r="S1062" s="3" t="s">
        <v>370</v>
      </c>
      <c r="T1062" s="3" t="s">
        <v>633</v>
      </c>
      <c r="U1062" s="3">
        <v>0</v>
      </c>
      <c r="V1062" s="3">
        <v>20</v>
      </c>
      <c r="W1062" s="3">
        <v>88</v>
      </c>
    </row>
    <row r="1063" spans="1:23" ht="11.25" customHeight="1" x14ac:dyDescent="0.25">
      <c r="A1063" s="3" t="s">
        <v>56</v>
      </c>
      <c r="B1063" s="3" t="s">
        <v>41</v>
      </c>
      <c r="C1063" s="3" t="s">
        <v>42</v>
      </c>
      <c r="D1063" s="3" t="s">
        <v>45</v>
      </c>
      <c r="E1063" s="3" t="s">
        <v>53</v>
      </c>
      <c r="F1063" s="3" t="s">
        <v>25</v>
      </c>
      <c r="G1063" s="3" t="s">
        <v>25</v>
      </c>
      <c r="H1063" s="3" t="s">
        <v>34</v>
      </c>
      <c r="I1063" s="6">
        <v>44621</v>
      </c>
      <c r="J1063" s="4">
        <v>0</v>
      </c>
      <c r="K1063" s="4">
        <v>0</v>
      </c>
      <c r="L1063" s="4">
        <v>16.137</v>
      </c>
      <c r="M1063" s="4">
        <v>15.49152</v>
      </c>
      <c r="N1063" s="4">
        <v>16.137</v>
      </c>
      <c r="O1063" s="4">
        <v>15.49152</v>
      </c>
      <c r="P1063" s="4">
        <v>0</v>
      </c>
      <c r="Q1063" s="3" t="s">
        <v>26</v>
      </c>
      <c r="R1063" s="3">
        <v>0</v>
      </c>
      <c r="S1063" s="3" t="s">
        <v>371</v>
      </c>
      <c r="T1063" s="3" t="s">
        <v>634</v>
      </c>
      <c r="U1063" s="3">
        <v>0</v>
      </c>
      <c r="V1063" s="3">
        <v>20</v>
      </c>
      <c r="W1063" s="3">
        <v>88</v>
      </c>
    </row>
    <row r="1064" spans="1:23" ht="11.25" customHeight="1" x14ac:dyDescent="0.25">
      <c r="A1064" s="3" t="s">
        <v>56</v>
      </c>
      <c r="B1064" s="3" t="s">
        <v>41</v>
      </c>
      <c r="C1064" s="3" t="s">
        <v>42</v>
      </c>
      <c r="D1064" s="3" t="s">
        <v>45</v>
      </c>
      <c r="E1064" s="3" t="s">
        <v>53</v>
      </c>
      <c r="F1064" s="3" t="s">
        <v>25</v>
      </c>
      <c r="G1064" s="3" t="s">
        <v>25</v>
      </c>
      <c r="H1064" s="3" t="s">
        <v>34</v>
      </c>
      <c r="I1064" s="6">
        <v>44621</v>
      </c>
      <c r="J1064" s="4">
        <v>0</v>
      </c>
      <c r="K1064" s="4">
        <v>0</v>
      </c>
      <c r="L1064" s="4">
        <v>8.2000000000000003E-2</v>
      </c>
      <c r="M1064" s="4">
        <v>7.8719999999999998E-2</v>
      </c>
      <c r="N1064" s="4">
        <v>8.2000000000000003E-2</v>
      </c>
      <c r="O1064" s="4">
        <v>7.8719999999999998E-2</v>
      </c>
      <c r="P1064" s="4">
        <v>0</v>
      </c>
      <c r="Q1064" s="3" t="s">
        <v>26</v>
      </c>
      <c r="R1064" s="3">
        <v>0</v>
      </c>
      <c r="S1064" s="3" t="s">
        <v>371</v>
      </c>
      <c r="T1064" s="3" t="s">
        <v>634</v>
      </c>
      <c r="U1064" s="3">
        <v>0</v>
      </c>
      <c r="V1064" s="3">
        <v>20</v>
      </c>
      <c r="W1064" s="3">
        <v>88</v>
      </c>
    </row>
    <row r="1065" spans="1:23" ht="11.25" customHeight="1" x14ac:dyDescent="0.25">
      <c r="A1065" s="3" t="s">
        <v>56</v>
      </c>
      <c r="B1065" s="3" t="s">
        <v>41</v>
      </c>
      <c r="C1065" s="3" t="s">
        <v>42</v>
      </c>
      <c r="D1065" s="3" t="s">
        <v>45</v>
      </c>
      <c r="E1065" s="3" t="s">
        <v>53</v>
      </c>
      <c r="F1065" s="3" t="s">
        <v>25</v>
      </c>
      <c r="G1065" s="3" t="s">
        <v>25</v>
      </c>
      <c r="H1065" s="3" t="s">
        <v>34</v>
      </c>
      <c r="I1065" s="6">
        <v>44621</v>
      </c>
      <c r="J1065" s="4">
        <v>0</v>
      </c>
      <c r="K1065" s="4">
        <v>0</v>
      </c>
      <c r="L1065" s="4">
        <v>0.38</v>
      </c>
      <c r="M1065" s="4">
        <v>0.36480000000000001</v>
      </c>
      <c r="N1065" s="4">
        <v>0.38</v>
      </c>
      <c r="O1065" s="4">
        <v>0.36480000000000001</v>
      </c>
      <c r="P1065" s="4">
        <v>0</v>
      </c>
      <c r="Q1065" s="3" t="s">
        <v>26</v>
      </c>
      <c r="R1065" s="3">
        <v>0</v>
      </c>
      <c r="S1065" s="3" t="s">
        <v>371</v>
      </c>
      <c r="T1065" s="3" t="s">
        <v>634</v>
      </c>
      <c r="U1065" s="3">
        <v>0</v>
      </c>
      <c r="V1065" s="3">
        <v>20</v>
      </c>
      <c r="W1065" s="3">
        <v>88</v>
      </c>
    </row>
    <row r="1066" spans="1:23" ht="11.25" customHeight="1" x14ac:dyDescent="0.25">
      <c r="A1066" s="3" t="s">
        <v>21</v>
      </c>
      <c r="B1066" s="3" t="s">
        <v>41</v>
      </c>
      <c r="C1066" s="3" t="s">
        <v>42</v>
      </c>
      <c r="D1066" s="3" t="s">
        <v>45</v>
      </c>
      <c r="E1066" s="3" t="s">
        <v>25</v>
      </c>
      <c r="F1066" s="3" t="s">
        <v>25</v>
      </c>
      <c r="G1066" s="3" t="s">
        <v>25</v>
      </c>
      <c r="H1066" s="3" t="s">
        <v>35</v>
      </c>
      <c r="I1066" s="6">
        <v>44287</v>
      </c>
      <c r="J1066" s="4">
        <v>0</v>
      </c>
      <c r="K1066" s="4">
        <v>0</v>
      </c>
      <c r="L1066" s="4">
        <v>1374.3910000000001</v>
      </c>
      <c r="M1066" s="4">
        <v>1319.41536</v>
      </c>
      <c r="N1066" s="4">
        <v>1374.3910000000001</v>
      </c>
      <c r="O1066" s="4">
        <v>1319.41536</v>
      </c>
      <c r="P1066" s="4">
        <v>0</v>
      </c>
      <c r="Q1066" s="3" t="s">
        <v>26</v>
      </c>
      <c r="R1066" s="3">
        <v>0</v>
      </c>
      <c r="S1066" s="3" t="s">
        <v>336</v>
      </c>
      <c r="T1066" s="3" t="s">
        <v>611</v>
      </c>
      <c r="U1066" s="3">
        <v>0</v>
      </c>
      <c r="V1066" s="3">
        <v>21</v>
      </c>
      <c r="W1066" s="3">
        <v>89</v>
      </c>
    </row>
    <row r="1067" spans="1:23" ht="11.25" customHeight="1" x14ac:dyDescent="0.25">
      <c r="A1067" s="3" t="s">
        <v>21</v>
      </c>
      <c r="B1067" s="3" t="s">
        <v>41</v>
      </c>
      <c r="C1067" s="3" t="s">
        <v>42</v>
      </c>
      <c r="D1067" s="3" t="s">
        <v>45</v>
      </c>
      <c r="E1067" s="3" t="s">
        <v>25</v>
      </c>
      <c r="F1067" s="3" t="s">
        <v>25</v>
      </c>
      <c r="G1067" s="3" t="s">
        <v>25</v>
      </c>
      <c r="H1067" s="3" t="s">
        <v>35</v>
      </c>
      <c r="I1067" s="6">
        <v>44317</v>
      </c>
      <c r="J1067" s="4">
        <v>0</v>
      </c>
      <c r="K1067" s="4">
        <v>0</v>
      </c>
      <c r="L1067" s="4">
        <v>782.78499999999997</v>
      </c>
      <c r="M1067" s="4">
        <v>751.47360000000003</v>
      </c>
      <c r="N1067" s="4">
        <v>782.78499999999997</v>
      </c>
      <c r="O1067" s="4">
        <v>751.47360000000003</v>
      </c>
      <c r="P1067" s="4">
        <v>0</v>
      </c>
      <c r="Q1067" s="3" t="s">
        <v>26</v>
      </c>
      <c r="R1067" s="3">
        <v>0</v>
      </c>
      <c r="S1067" s="3" t="s">
        <v>337</v>
      </c>
      <c r="T1067" s="3" t="s">
        <v>612</v>
      </c>
      <c r="U1067" s="3">
        <v>0</v>
      </c>
      <c r="V1067" s="3">
        <v>21</v>
      </c>
      <c r="W1067" s="3">
        <v>89</v>
      </c>
    </row>
    <row r="1068" spans="1:23" ht="11.25" customHeight="1" x14ac:dyDescent="0.25">
      <c r="A1068" s="3" t="s">
        <v>27</v>
      </c>
      <c r="B1068" s="3" t="s">
        <v>41</v>
      </c>
      <c r="C1068" s="3" t="s">
        <v>42</v>
      </c>
      <c r="D1068" s="3" t="s">
        <v>45</v>
      </c>
      <c r="E1068" s="3" t="s">
        <v>25</v>
      </c>
      <c r="F1068" s="3" t="s">
        <v>25</v>
      </c>
      <c r="G1068" s="3" t="s">
        <v>25</v>
      </c>
      <c r="H1068" s="3" t="s">
        <v>35</v>
      </c>
      <c r="I1068" s="6">
        <v>44317</v>
      </c>
      <c r="J1068" s="4">
        <v>0</v>
      </c>
      <c r="K1068" s="4">
        <v>0</v>
      </c>
      <c r="L1068" s="4">
        <v>0.96</v>
      </c>
      <c r="M1068" s="4">
        <v>0.92159999999999997</v>
      </c>
      <c r="N1068" s="4">
        <v>0.96</v>
      </c>
      <c r="O1068" s="4">
        <v>0.92159999999999997</v>
      </c>
      <c r="P1068" s="4">
        <v>0</v>
      </c>
      <c r="Q1068" s="3" t="s">
        <v>26</v>
      </c>
      <c r="R1068" s="3">
        <v>0</v>
      </c>
      <c r="S1068" s="3" t="s">
        <v>337</v>
      </c>
      <c r="T1068" s="3" t="s">
        <v>612</v>
      </c>
      <c r="U1068" s="3">
        <v>0</v>
      </c>
      <c r="V1068" s="3">
        <v>21</v>
      </c>
      <c r="W1068" s="3">
        <v>89</v>
      </c>
    </row>
    <row r="1069" spans="1:23" ht="11.25" customHeight="1" x14ac:dyDescent="0.25">
      <c r="A1069" s="3" t="s">
        <v>28</v>
      </c>
      <c r="B1069" s="3" t="s">
        <v>41</v>
      </c>
      <c r="C1069" s="3" t="s">
        <v>42</v>
      </c>
      <c r="D1069" s="3" t="s">
        <v>45</v>
      </c>
      <c r="E1069" s="3" t="s">
        <v>25</v>
      </c>
      <c r="F1069" s="3" t="s">
        <v>25</v>
      </c>
      <c r="G1069" s="3" t="s">
        <v>25</v>
      </c>
      <c r="H1069" s="3" t="s">
        <v>35</v>
      </c>
      <c r="I1069" s="6">
        <v>44317</v>
      </c>
      <c r="J1069" s="4">
        <v>0</v>
      </c>
      <c r="K1069" s="4">
        <v>0</v>
      </c>
      <c r="L1069" s="4">
        <v>19.867999999999999</v>
      </c>
      <c r="M1069" s="4">
        <v>19.07328</v>
      </c>
      <c r="N1069" s="4">
        <v>19.867999999999999</v>
      </c>
      <c r="O1069" s="4">
        <v>19.07328</v>
      </c>
      <c r="P1069" s="4">
        <v>0</v>
      </c>
      <c r="Q1069" s="3" t="s">
        <v>26</v>
      </c>
      <c r="R1069" s="3">
        <v>0</v>
      </c>
      <c r="S1069" s="3" t="s">
        <v>337</v>
      </c>
      <c r="T1069" s="3" t="s">
        <v>612</v>
      </c>
      <c r="U1069" s="3">
        <v>0</v>
      </c>
      <c r="V1069" s="3">
        <v>21</v>
      </c>
      <c r="W1069" s="3">
        <v>89</v>
      </c>
    </row>
    <row r="1070" spans="1:23" ht="11.25" customHeight="1" x14ac:dyDescent="0.25">
      <c r="A1070" s="3" t="s">
        <v>21</v>
      </c>
      <c r="B1070" s="3" t="s">
        <v>41</v>
      </c>
      <c r="C1070" s="3" t="s">
        <v>42</v>
      </c>
      <c r="D1070" s="3" t="s">
        <v>45</v>
      </c>
      <c r="E1070" s="3" t="s">
        <v>25</v>
      </c>
      <c r="F1070" s="3" t="s">
        <v>25</v>
      </c>
      <c r="G1070" s="3" t="s">
        <v>25</v>
      </c>
      <c r="H1070" s="3" t="s">
        <v>35</v>
      </c>
      <c r="I1070" s="6">
        <v>44348</v>
      </c>
      <c r="J1070" s="4">
        <v>0</v>
      </c>
      <c r="K1070" s="4">
        <v>0</v>
      </c>
      <c r="L1070" s="4">
        <v>797.85900000000004</v>
      </c>
      <c r="M1070" s="4">
        <v>765.94464000000005</v>
      </c>
      <c r="N1070" s="4">
        <v>797.85900000000004</v>
      </c>
      <c r="O1070" s="4">
        <v>765.94464000000005</v>
      </c>
      <c r="P1070" s="4">
        <v>0</v>
      </c>
      <c r="Q1070" s="3" t="s">
        <v>26</v>
      </c>
      <c r="R1070" s="3">
        <v>0</v>
      </c>
      <c r="S1070" s="3" t="s">
        <v>338</v>
      </c>
      <c r="T1070" s="3" t="s">
        <v>613</v>
      </c>
      <c r="U1070" s="3">
        <v>0</v>
      </c>
      <c r="V1070" s="3">
        <v>21</v>
      </c>
      <c r="W1070" s="3">
        <v>89</v>
      </c>
    </row>
    <row r="1071" spans="1:23" ht="11.25" customHeight="1" x14ac:dyDescent="0.25">
      <c r="A1071" s="3" t="s">
        <v>28</v>
      </c>
      <c r="B1071" s="3" t="s">
        <v>41</v>
      </c>
      <c r="C1071" s="3" t="s">
        <v>42</v>
      </c>
      <c r="D1071" s="3" t="s">
        <v>45</v>
      </c>
      <c r="E1071" s="3" t="s">
        <v>25</v>
      </c>
      <c r="F1071" s="3" t="s">
        <v>25</v>
      </c>
      <c r="G1071" s="3" t="s">
        <v>25</v>
      </c>
      <c r="H1071" s="3" t="s">
        <v>35</v>
      </c>
      <c r="I1071" s="6">
        <v>44348</v>
      </c>
      <c r="J1071" s="4">
        <v>0</v>
      </c>
      <c r="K1071" s="4">
        <v>0</v>
      </c>
      <c r="L1071" s="4">
        <v>18.321000000000002</v>
      </c>
      <c r="M1071" s="4">
        <v>17.588159999999998</v>
      </c>
      <c r="N1071" s="4">
        <v>18.321000000000002</v>
      </c>
      <c r="O1071" s="4">
        <v>17.588159999999998</v>
      </c>
      <c r="P1071" s="4">
        <v>0</v>
      </c>
      <c r="Q1071" s="3" t="s">
        <v>26</v>
      </c>
      <c r="R1071" s="3">
        <v>0</v>
      </c>
      <c r="S1071" s="3" t="s">
        <v>338</v>
      </c>
      <c r="T1071" s="3" t="s">
        <v>613</v>
      </c>
      <c r="U1071" s="3">
        <v>0</v>
      </c>
      <c r="V1071" s="3">
        <v>21</v>
      </c>
      <c r="W1071" s="3">
        <v>89</v>
      </c>
    </row>
    <row r="1072" spans="1:23" ht="11.25" customHeight="1" x14ac:dyDescent="0.25">
      <c r="A1072" s="3" t="s">
        <v>21</v>
      </c>
      <c r="B1072" s="3" t="s">
        <v>41</v>
      </c>
      <c r="C1072" s="3" t="s">
        <v>42</v>
      </c>
      <c r="D1072" s="3" t="s">
        <v>45</v>
      </c>
      <c r="E1072" s="3" t="s">
        <v>25</v>
      </c>
      <c r="F1072" s="3" t="s">
        <v>25</v>
      </c>
      <c r="G1072" s="3" t="s">
        <v>25</v>
      </c>
      <c r="H1072" s="3" t="s">
        <v>35</v>
      </c>
      <c r="I1072" s="6">
        <v>44378</v>
      </c>
      <c r="J1072" s="4">
        <v>0</v>
      </c>
      <c r="K1072" s="4">
        <v>0</v>
      </c>
      <c r="L1072" s="4">
        <v>859.16200000000003</v>
      </c>
      <c r="M1072" s="4">
        <v>824.79552000000001</v>
      </c>
      <c r="N1072" s="4">
        <v>859.16200000000003</v>
      </c>
      <c r="O1072" s="4">
        <v>824.79552000000001</v>
      </c>
      <c r="P1072" s="4">
        <v>0</v>
      </c>
      <c r="Q1072" s="3" t="s">
        <v>26</v>
      </c>
      <c r="R1072" s="3">
        <v>0</v>
      </c>
      <c r="S1072" s="3" t="s">
        <v>339</v>
      </c>
      <c r="T1072" s="3" t="s">
        <v>614</v>
      </c>
      <c r="U1072" s="3">
        <v>0</v>
      </c>
      <c r="V1072" s="3">
        <v>21</v>
      </c>
      <c r="W1072" s="3">
        <v>89</v>
      </c>
    </row>
    <row r="1073" spans="1:23" ht="11.25" customHeight="1" x14ac:dyDescent="0.25">
      <c r="A1073" s="3" t="s">
        <v>27</v>
      </c>
      <c r="B1073" s="3" t="s">
        <v>41</v>
      </c>
      <c r="C1073" s="3" t="s">
        <v>42</v>
      </c>
      <c r="D1073" s="3" t="s">
        <v>45</v>
      </c>
      <c r="E1073" s="3" t="s">
        <v>25</v>
      </c>
      <c r="F1073" s="3" t="s">
        <v>25</v>
      </c>
      <c r="G1073" s="3" t="s">
        <v>25</v>
      </c>
      <c r="H1073" s="3" t="s">
        <v>35</v>
      </c>
      <c r="I1073" s="6">
        <v>44378</v>
      </c>
      <c r="J1073" s="4">
        <v>0</v>
      </c>
      <c r="K1073" s="4">
        <v>0</v>
      </c>
      <c r="L1073" s="4">
        <v>-0.316</v>
      </c>
      <c r="M1073" s="4">
        <v>-0.30336000000000002</v>
      </c>
      <c r="N1073" s="4">
        <v>-0.316</v>
      </c>
      <c r="O1073" s="4">
        <v>-0.30336000000000002</v>
      </c>
      <c r="P1073" s="4">
        <v>0</v>
      </c>
      <c r="Q1073" s="3" t="s">
        <v>26</v>
      </c>
      <c r="R1073" s="3">
        <v>0</v>
      </c>
      <c r="S1073" s="3" t="s">
        <v>339</v>
      </c>
      <c r="T1073" s="3" t="s">
        <v>614</v>
      </c>
      <c r="U1073" s="3">
        <v>0</v>
      </c>
      <c r="V1073" s="3">
        <v>21</v>
      </c>
      <c r="W1073" s="3">
        <v>89</v>
      </c>
    </row>
    <row r="1074" spans="1:23" ht="11.25" customHeight="1" x14ac:dyDescent="0.25">
      <c r="A1074" s="3" t="s">
        <v>28</v>
      </c>
      <c r="B1074" s="3" t="s">
        <v>41</v>
      </c>
      <c r="C1074" s="3" t="s">
        <v>42</v>
      </c>
      <c r="D1074" s="3" t="s">
        <v>45</v>
      </c>
      <c r="E1074" s="3" t="s">
        <v>25</v>
      </c>
      <c r="F1074" s="3" t="s">
        <v>25</v>
      </c>
      <c r="G1074" s="3" t="s">
        <v>25</v>
      </c>
      <c r="H1074" s="3" t="s">
        <v>35</v>
      </c>
      <c r="I1074" s="6">
        <v>44378</v>
      </c>
      <c r="J1074" s="4">
        <v>0</v>
      </c>
      <c r="K1074" s="4">
        <v>0</v>
      </c>
      <c r="L1074" s="4">
        <v>9.6159999999999997</v>
      </c>
      <c r="M1074" s="4">
        <v>9.2313600000000005</v>
      </c>
      <c r="N1074" s="4">
        <v>9.6159999999999997</v>
      </c>
      <c r="O1074" s="4">
        <v>9.2313600000000005</v>
      </c>
      <c r="P1074" s="4">
        <v>0</v>
      </c>
      <c r="Q1074" s="3" t="s">
        <v>26</v>
      </c>
      <c r="R1074" s="3">
        <v>0</v>
      </c>
      <c r="S1074" s="3" t="s">
        <v>339</v>
      </c>
      <c r="T1074" s="3" t="s">
        <v>614</v>
      </c>
      <c r="U1074" s="3">
        <v>0</v>
      </c>
      <c r="V1074" s="3">
        <v>21</v>
      </c>
      <c r="W1074" s="3">
        <v>89</v>
      </c>
    </row>
    <row r="1075" spans="1:23" ht="11.25" customHeight="1" x14ac:dyDescent="0.25">
      <c r="A1075" s="3" t="s">
        <v>21</v>
      </c>
      <c r="B1075" s="3" t="s">
        <v>41</v>
      </c>
      <c r="C1075" s="3" t="s">
        <v>42</v>
      </c>
      <c r="D1075" s="3" t="s">
        <v>45</v>
      </c>
      <c r="E1075" s="3" t="s">
        <v>25</v>
      </c>
      <c r="F1075" s="3" t="s">
        <v>25</v>
      </c>
      <c r="G1075" s="3" t="s">
        <v>25</v>
      </c>
      <c r="H1075" s="3" t="s">
        <v>35</v>
      </c>
      <c r="I1075" s="6">
        <v>44409</v>
      </c>
      <c r="J1075" s="4">
        <v>0</v>
      </c>
      <c r="K1075" s="4">
        <v>0</v>
      </c>
      <c r="L1075" s="4">
        <v>1255.989</v>
      </c>
      <c r="M1075" s="4">
        <v>1205.74944</v>
      </c>
      <c r="N1075" s="4">
        <v>1255.989</v>
      </c>
      <c r="O1075" s="4">
        <v>1205.74944</v>
      </c>
      <c r="P1075" s="4">
        <v>0</v>
      </c>
      <c r="Q1075" s="3" t="s">
        <v>26</v>
      </c>
      <c r="R1075" s="3">
        <v>0</v>
      </c>
      <c r="S1075" s="3" t="s">
        <v>340</v>
      </c>
      <c r="T1075" s="3" t="s">
        <v>615</v>
      </c>
      <c r="U1075" s="3">
        <v>0</v>
      </c>
      <c r="V1075" s="3">
        <v>21</v>
      </c>
      <c r="W1075" s="3">
        <v>89</v>
      </c>
    </row>
    <row r="1076" spans="1:23" ht="11.25" customHeight="1" x14ac:dyDescent="0.25">
      <c r="A1076" s="3" t="s">
        <v>27</v>
      </c>
      <c r="B1076" s="3" t="s">
        <v>41</v>
      </c>
      <c r="C1076" s="3" t="s">
        <v>42</v>
      </c>
      <c r="D1076" s="3" t="s">
        <v>45</v>
      </c>
      <c r="E1076" s="3" t="s">
        <v>25</v>
      </c>
      <c r="F1076" s="3" t="s">
        <v>25</v>
      </c>
      <c r="G1076" s="3" t="s">
        <v>25</v>
      </c>
      <c r="H1076" s="3" t="s">
        <v>35</v>
      </c>
      <c r="I1076" s="6">
        <v>44409</v>
      </c>
      <c r="J1076" s="4">
        <v>0</v>
      </c>
      <c r="K1076" s="4">
        <v>0</v>
      </c>
      <c r="L1076" s="4">
        <v>-0.4</v>
      </c>
      <c r="M1076" s="4">
        <v>-0.38400000000000001</v>
      </c>
      <c r="N1076" s="4">
        <v>-0.4</v>
      </c>
      <c r="O1076" s="4">
        <v>-0.38400000000000001</v>
      </c>
      <c r="P1076" s="4">
        <v>0</v>
      </c>
      <c r="Q1076" s="3" t="s">
        <v>26</v>
      </c>
      <c r="R1076" s="3">
        <v>0</v>
      </c>
      <c r="S1076" s="3" t="s">
        <v>340</v>
      </c>
      <c r="T1076" s="3" t="s">
        <v>615</v>
      </c>
      <c r="U1076" s="3">
        <v>0</v>
      </c>
      <c r="V1076" s="3">
        <v>21</v>
      </c>
      <c r="W1076" s="3">
        <v>89</v>
      </c>
    </row>
    <row r="1077" spans="1:23" ht="11.25" customHeight="1" x14ac:dyDescent="0.25">
      <c r="A1077" s="3" t="s">
        <v>28</v>
      </c>
      <c r="B1077" s="3" t="s">
        <v>41</v>
      </c>
      <c r="C1077" s="3" t="s">
        <v>42</v>
      </c>
      <c r="D1077" s="3" t="s">
        <v>45</v>
      </c>
      <c r="E1077" s="3" t="s">
        <v>25</v>
      </c>
      <c r="F1077" s="3" t="s">
        <v>25</v>
      </c>
      <c r="G1077" s="3" t="s">
        <v>25</v>
      </c>
      <c r="H1077" s="3" t="s">
        <v>35</v>
      </c>
      <c r="I1077" s="6">
        <v>44409</v>
      </c>
      <c r="J1077" s="4">
        <v>0</v>
      </c>
      <c r="K1077" s="4">
        <v>0</v>
      </c>
      <c r="L1077" s="4">
        <v>13.866</v>
      </c>
      <c r="M1077" s="4">
        <v>13.311360000000001</v>
      </c>
      <c r="N1077" s="4">
        <v>13.866</v>
      </c>
      <c r="O1077" s="4">
        <v>13.311360000000001</v>
      </c>
      <c r="P1077" s="4">
        <v>0</v>
      </c>
      <c r="Q1077" s="3" t="s">
        <v>26</v>
      </c>
      <c r="R1077" s="3">
        <v>0</v>
      </c>
      <c r="S1077" s="3" t="s">
        <v>340</v>
      </c>
      <c r="T1077" s="3" t="s">
        <v>615</v>
      </c>
      <c r="U1077" s="3">
        <v>0</v>
      </c>
      <c r="V1077" s="3">
        <v>21</v>
      </c>
      <c r="W1077" s="3">
        <v>89</v>
      </c>
    </row>
    <row r="1078" spans="1:23" ht="11.25" customHeight="1" x14ac:dyDescent="0.25">
      <c r="A1078" s="3" t="s">
        <v>21</v>
      </c>
      <c r="B1078" s="3" t="s">
        <v>41</v>
      </c>
      <c r="C1078" s="3" t="s">
        <v>42</v>
      </c>
      <c r="D1078" s="3" t="s">
        <v>45</v>
      </c>
      <c r="E1078" s="3" t="s">
        <v>25</v>
      </c>
      <c r="F1078" s="3" t="s">
        <v>25</v>
      </c>
      <c r="G1078" s="3" t="s">
        <v>25</v>
      </c>
      <c r="H1078" s="3" t="s">
        <v>35</v>
      </c>
      <c r="I1078" s="6">
        <v>44440</v>
      </c>
      <c r="J1078" s="4">
        <v>0</v>
      </c>
      <c r="K1078" s="4">
        <v>0</v>
      </c>
      <c r="L1078" s="4">
        <v>1824.4749999999999</v>
      </c>
      <c r="M1078" s="4">
        <v>1751.4960000000001</v>
      </c>
      <c r="N1078" s="4">
        <v>1824.4749999999999</v>
      </c>
      <c r="O1078" s="4">
        <v>1751.4960000000001</v>
      </c>
      <c r="P1078" s="4">
        <v>0</v>
      </c>
      <c r="Q1078" s="3" t="s">
        <v>26</v>
      </c>
      <c r="R1078" s="3">
        <v>0</v>
      </c>
      <c r="S1078" s="3" t="s">
        <v>341</v>
      </c>
      <c r="T1078" s="3" t="s">
        <v>616</v>
      </c>
      <c r="U1078" s="3">
        <v>0</v>
      </c>
      <c r="V1078" s="3">
        <v>21</v>
      </c>
      <c r="W1078" s="3">
        <v>89</v>
      </c>
    </row>
    <row r="1079" spans="1:23" ht="11.25" customHeight="1" x14ac:dyDescent="0.25">
      <c r="A1079" s="3" t="s">
        <v>28</v>
      </c>
      <c r="B1079" s="3" t="s">
        <v>41</v>
      </c>
      <c r="C1079" s="3" t="s">
        <v>42</v>
      </c>
      <c r="D1079" s="3" t="s">
        <v>45</v>
      </c>
      <c r="E1079" s="3" t="s">
        <v>25</v>
      </c>
      <c r="F1079" s="3" t="s">
        <v>25</v>
      </c>
      <c r="G1079" s="3" t="s">
        <v>25</v>
      </c>
      <c r="H1079" s="3" t="s">
        <v>35</v>
      </c>
      <c r="I1079" s="6">
        <v>44440</v>
      </c>
      <c r="J1079" s="4">
        <v>0</v>
      </c>
      <c r="K1079" s="4">
        <v>0</v>
      </c>
      <c r="L1079" s="4">
        <v>5.452</v>
      </c>
      <c r="M1079" s="4">
        <v>5.2339200000000003</v>
      </c>
      <c r="N1079" s="4">
        <v>5.452</v>
      </c>
      <c r="O1079" s="4">
        <v>5.2339200000000003</v>
      </c>
      <c r="P1079" s="4">
        <v>0</v>
      </c>
      <c r="Q1079" s="3" t="s">
        <v>26</v>
      </c>
      <c r="R1079" s="3">
        <v>0</v>
      </c>
      <c r="S1079" s="3" t="s">
        <v>341</v>
      </c>
      <c r="T1079" s="3" t="s">
        <v>616</v>
      </c>
      <c r="U1079" s="3">
        <v>0</v>
      </c>
      <c r="V1079" s="3">
        <v>21</v>
      </c>
      <c r="W1079" s="3">
        <v>89</v>
      </c>
    </row>
    <row r="1080" spans="1:23" ht="11.25" customHeight="1" x14ac:dyDescent="0.25">
      <c r="A1080" s="3" t="s">
        <v>21</v>
      </c>
      <c r="B1080" s="3" t="s">
        <v>41</v>
      </c>
      <c r="C1080" s="3" t="s">
        <v>42</v>
      </c>
      <c r="D1080" s="3" t="s">
        <v>45</v>
      </c>
      <c r="E1080" s="3" t="s">
        <v>25</v>
      </c>
      <c r="F1080" s="3" t="s">
        <v>25</v>
      </c>
      <c r="G1080" s="3" t="s">
        <v>25</v>
      </c>
      <c r="H1080" s="3" t="s">
        <v>35</v>
      </c>
      <c r="I1080" s="6">
        <v>44470</v>
      </c>
      <c r="J1080" s="4">
        <v>0</v>
      </c>
      <c r="K1080" s="4">
        <v>0</v>
      </c>
      <c r="L1080" s="4">
        <v>2460.4290000000001</v>
      </c>
      <c r="M1080" s="4">
        <v>2362.0118400000001</v>
      </c>
      <c r="N1080" s="4">
        <v>2460.4290000000001</v>
      </c>
      <c r="O1080" s="4">
        <v>2362.0118400000001</v>
      </c>
      <c r="P1080" s="4">
        <v>0</v>
      </c>
      <c r="Q1080" s="3" t="s">
        <v>26</v>
      </c>
      <c r="R1080" s="3">
        <v>0</v>
      </c>
      <c r="S1080" s="3" t="s">
        <v>342</v>
      </c>
      <c r="T1080" s="3" t="s">
        <v>617</v>
      </c>
      <c r="U1080" s="3">
        <v>0</v>
      </c>
      <c r="V1080" s="3">
        <v>21</v>
      </c>
      <c r="W1080" s="3">
        <v>89</v>
      </c>
    </row>
    <row r="1081" spans="1:23" ht="11.25" customHeight="1" x14ac:dyDescent="0.25">
      <c r="A1081" s="3" t="s">
        <v>28</v>
      </c>
      <c r="B1081" s="3" t="s">
        <v>41</v>
      </c>
      <c r="C1081" s="3" t="s">
        <v>42</v>
      </c>
      <c r="D1081" s="3" t="s">
        <v>45</v>
      </c>
      <c r="E1081" s="3" t="s">
        <v>25</v>
      </c>
      <c r="F1081" s="3" t="s">
        <v>25</v>
      </c>
      <c r="G1081" s="3" t="s">
        <v>25</v>
      </c>
      <c r="H1081" s="3" t="s">
        <v>35</v>
      </c>
      <c r="I1081" s="6">
        <v>44470</v>
      </c>
      <c r="J1081" s="4">
        <v>0</v>
      </c>
      <c r="K1081" s="4">
        <v>0</v>
      </c>
      <c r="L1081" s="4">
        <v>18.899999999999999</v>
      </c>
      <c r="M1081" s="4">
        <v>18.143999999999998</v>
      </c>
      <c r="N1081" s="4">
        <v>18.899999999999999</v>
      </c>
      <c r="O1081" s="4">
        <v>18.143999999999998</v>
      </c>
      <c r="P1081" s="4">
        <v>0</v>
      </c>
      <c r="Q1081" s="3" t="s">
        <v>26</v>
      </c>
      <c r="R1081" s="3">
        <v>0</v>
      </c>
      <c r="S1081" s="3" t="s">
        <v>342</v>
      </c>
      <c r="T1081" s="3" t="s">
        <v>617</v>
      </c>
      <c r="U1081" s="3">
        <v>0</v>
      </c>
      <c r="V1081" s="3">
        <v>21</v>
      </c>
      <c r="W1081" s="3">
        <v>89</v>
      </c>
    </row>
    <row r="1082" spans="1:23" ht="11.25" customHeight="1" x14ac:dyDescent="0.25">
      <c r="A1082" s="3" t="s">
        <v>28</v>
      </c>
      <c r="B1082" s="3" t="s">
        <v>41</v>
      </c>
      <c r="C1082" s="3" t="s">
        <v>42</v>
      </c>
      <c r="D1082" s="3" t="s">
        <v>45</v>
      </c>
      <c r="E1082" s="3" t="s">
        <v>25</v>
      </c>
      <c r="F1082" s="3" t="s">
        <v>25</v>
      </c>
      <c r="G1082" s="3" t="s">
        <v>25</v>
      </c>
      <c r="H1082" s="3" t="s">
        <v>35</v>
      </c>
      <c r="I1082" s="6">
        <v>44470</v>
      </c>
      <c r="J1082" s="4">
        <v>0</v>
      </c>
      <c r="K1082" s="4">
        <v>0</v>
      </c>
      <c r="L1082" s="4">
        <v>-18.718</v>
      </c>
      <c r="M1082" s="4">
        <v>-17.969279999999998</v>
      </c>
      <c r="N1082" s="4">
        <v>-18.718</v>
      </c>
      <c r="O1082" s="4">
        <v>-17.969279999999998</v>
      </c>
      <c r="P1082" s="4">
        <v>0</v>
      </c>
      <c r="Q1082" s="3" t="s">
        <v>26</v>
      </c>
      <c r="R1082" s="3">
        <v>0</v>
      </c>
      <c r="S1082" s="3" t="s">
        <v>342</v>
      </c>
      <c r="T1082" s="3" t="s">
        <v>617</v>
      </c>
      <c r="U1082" s="3">
        <v>0</v>
      </c>
      <c r="V1082" s="3">
        <v>21</v>
      </c>
      <c r="W1082" s="3">
        <v>89</v>
      </c>
    </row>
    <row r="1083" spans="1:23" ht="11.25" customHeight="1" x14ac:dyDescent="0.25">
      <c r="A1083" s="3" t="s">
        <v>21</v>
      </c>
      <c r="B1083" s="3" t="s">
        <v>41</v>
      </c>
      <c r="C1083" s="3" t="s">
        <v>42</v>
      </c>
      <c r="D1083" s="3" t="s">
        <v>45</v>
      </c>
      <c r="E1083" s="3" t="s">
        <v>25</v>
      </c>
      <c r="F1083" s="3" t="s">
        <v>25</v>
      </c>
      <c r="G1083" s="3" t="s">
        <v>25</v>
      </c>
      <c r="H1083" s="3" t="s">
        <v>35</v>
      </c>
      <c r="I1083" s="6">
        <v>44501</v>
      </c>
      <c r="J1083" s="4">
        <v>0</v>
      </c>
      <c r="K1083" s="4">
        <v>0</v>
      </c>
      <c r="L1083" s="4">
        <v>2212.509</v>
      </c>
      <c r="M1083" s="4">
        <v>2124.00864</v>
      </c>
      <c r="N1083" s="4">
        <v>2212.509</v>
      </c>
      <c r="O1083" s="4">
        <v>2124.00864</v>
      </c>
      <c r="P1083" s="4">
        <v>0</v>
      </c>
      <c r="Q1083" s="3" t="s">
        <v>26</v>
      </c>
      <c r="R1083" s="3">
        <v>0</v>
      </c>
      <c r="S1083" s="3" t="s">
        <v>343</v>
      </c>
      <c r="T1083" s="3" t="s">
        <v>618</v>
      </c>
      <c r="U1083" s="3">
        <v>0</v>
      </c>
      <c r="V1083" s="3">
        <v>21</v>
      </c>
      <c r="W1083" s="3">
        <v>89</v>
      </c>
    </row>
    <row r="1084" spans="1:23" ht="11.25" customHeight="1" x14ac:dyDescent="0.25">
      <c r="A1084" s="3" t="s">
        <v>28</v>
      </c>
      <c r="B1084" s="3" t="s">
        <v>41</v>
      </c>
      <c r="C1084" s="3" t="s">
        <v>42</v>
      </c>
      <c r="D1084" s="3" t="s">
        <v>45</v>
      </c>
      <c r="E1084" s="3" t="s">
        <v>25</v>
      </c>
      <c r="F1084" s="3" t="s">
        <v>25</v>
      </c>
      <c r="G1084" s="3" t="s">
        <v>25</v>
      </c>
      <c r="H1084" s="3" t="s">
        <v>35</v>
      </c>
      <c r="I1084" s="6">
        <v>44501</v>
      </c>
      <c r="J1084" s="4">
        <v>0</v>
      </c>
      <c r="K1084" s="4">
        <v>0</v>
      </c>
      <c r="L1084" s="4">
        <v>15.975</v>
      </c>
      <c r="M1084" s="4">
        <v>15.336</v>
      </c>
      <c r="N1084" s="4">
        <v>15.975</v>
      </c>
      <c r="O1084" s="4">
        <v>15.336</v>
      </c>
      <c r="P1084" s="4">
        <v>0</v>
      </c>
      <c r="Q1084" s="3" t="s">
        <v>26</v>
      </c>
      <c r="R1084" s="3">
        <v>0</v>
      </c>
      <c r="S1084" s="3" t="s">
        <v>343</v>
      </c>
      <c r="T1084" s="3" t="s">
        <v>618</v>
      </c>
      <c r="U1084" s="3">
        <v>0</v>
      </c>
      <c r="V1084" s="3">
        <v>21</v>
      </c>
      <c r="W1084" s="3">
        <v>89</v>
      </c>
    </row>
    <row r="1085" spans="1:23" ht="11.25" customHeight="1" x14ac:dyDescent="0.25">
      <c r="A1085" s="3" t="s">
        <v>21</v>
      </c>
      <c r="B1085" s="3" t="s">
        <v>41</v>
      </c>
      <c r="C1085" s="3" t="s">
        <v>42</v>
      </c>
      <c r="D1085" s="3" t="s">
        <v>45</v>
      </c>
      <c r="E1085" s="3" t="s">
        <v>25</v>
      </c>
      <c r="F1085" s="3" t="s">
        <v>25</v>
      </c>
      <c r="G1085" s="3" t="s">
        <v>25</v>
      </c>
      <c r="H1085" s="3" t="s">
        <v>35</v>
      </c>
      <c r="I1085" s="6">
        <v>44531</v>
      </c>
      <c r="J1085" s="4">
        <v>0</v>
      </c>
      <c r="K1085" s="4">
        <v>0</v>
      </c>
      <c r="L1085" s="4">
        <v>1852.6690000000001</v>
      </c>
      <c r="M1085" s="4">
        <v>1778.56224</v>
      </c>
      <c r="N1085" s="4">
        <v>1852.6690000000001</v>
      </c>
      <c r="O1085" s="4">
        <v>1778.56224</v>
      </c>
      <c r="P1085" s="4">
        <v>0</v>
      </c>
      <c r="Q1085" s="3" t="s">
        <v>26</v>
      </c>
      <c r="R1085" s="3">
        <v>0</v>
      </c>
      <c r="S1085" s="3" t="s">
        <v>344</v>
      </c>
      <c r="T1085" s="3" t="s">
        <v>619</v>
      </c>
      <c r="U1085" s="3">
        <v>0</v>
      </c>
      <c r="V1085" s="3">
        <v>21</v>
      </c>
      <c r="W1085" s="3">
        <v>89</v>
      </c>
    </row>
    <row r="1086" spans="1:23" ht="11.25" customHeight="1" x14ac:dyDescent="0.25">
      <c r="A1086" s="3" t="s">
        <v>27</v>
      </c>
      <c r="B1086" s="3" t="s">
        <v>41</v>
      </c>
      <c r="C1086" s="3" t="s">
        <v>42</v>
      </c>
      <c r="D1086" s="3" t="s">
        <v>45</v>
      </c>
      <c r="E1086" s="3" t="s">
        <v>25</v>
      </c>
      <c r="F1086" s="3" t="s">
        <v>25</v>
      </c>
      <c r="G1086" s="3" t="s">
        <v>25</v>
      </c>
      <c r="H1086" s="3" t="s">
        <v>35</v>
      </c>
      <c r="I1086" s="6">
        <v>44531</v>
      </c>
      <c r="J1086" s="4">
        <v>0</v>
      </c>
      <c r="K1086" s="4">
        <v>0</v>
      </c>
      <c r="L1086" s="4">
        <v>-0.24</v>
      </c>
      <c r="M1086" s="4">
        <v>-0.23039999999999999</v>
      </c>
      <c r="N1086" s="4">
        <v>-0.24</v>
      </c>
      <c r="O1086" s="4">
        <v>-0.23039999999999999</v>
      </c>
      <c r="P1086" s="4">
        <v>0</v>
      </c>
      <c r="Q1086" s="3" t="s">
        <v>26</v>
      </c>
      <c r="R1086" s="3">
        <v>0</v>
      </c>
      <c r="S1086" s="3" t="s">
        <v>344</v>
      </c>
      <c r="T1086" s="3" t="s">
        <v>619</v>
      </c>
      <c r="U1086" s="3">
        <v>0</v>
      </c>
      <c r="V1086" s="3">
        <v>21</v>
      </c>
      <c r="W1086" s="3">
        <v>89</v>
      </c>
    </row>
    <row r="1087" spans="1:23" ht="11.25" customHeight="1" x14ac:dyDescent="0.25">
      <c r="A1087" s="3" t="s">
        <v>28</v>
      </c>
      <c r="B1087" s="3" t="s">
        <v>41</v>
      </c>
      <c r="C1087" s="3" t="s">
        <v>42</v>
      </c>
      <c r="D1087" s="3" t="s">
        <v>45</v>
      </c>
      <c r="E1087" s="3" t="s">
        <v>25</v>
      </c>
      <c r="F1087" s="3" t="s">
        <v>25</v>
      </c>
      <c r="G1087" s="3" t="s">
        <v>25</v>
      </c>
      <c r="H1087" s="3" t="s">
        <v>35</v>
      </c>
      <c r="I1087" s="6">
        <v>44531</v>
      </c>
      <c r="J1087" s="4">
        <v>0</v>
      </c>
      <c r="K1087" s="4">
        <v>0</v>
      </c>
      <c r="L1087" s="4">
        <v>2.2200000000000002</v>
      </c>
      <c r="M1087" s="4">
        <v>2.1312000000000002</v>
      </c>
      <c r="N1087" s="4">
        <v>2.2200000000000002</v>
      </c>
      <c r="O1087" s="4">
        <v>2.1312000000000002</v>
      </c>
      <c r="P1087" s="4">
        <v>0</v>
      </c>
      <c r="Q1087" s="3" t="s">
        <v>26</v>
      </c>
      <c r="R1087" s="3">
        <v>0</v>
      </c>
      <c r="S1087" s="3" t="s">
        <v>344</v>
      </c>
      <c r="T1087" s="3" t="s">
        <v>619</v>
      </c>
      <c r="U1087" s="3">
        <v>0</v>
      </c>
      <c r="V1087" s="3">
        <v>21</v>
      </c>
      <c r="W1087" s="3">
        <v>89</v>
      </c>
    </row>
    <row r="1088" spans="1:23" ht="11.25" customHeight="1" x14ac:dyDescent="0.25">
      <c r="A1088" s="3" t="s">
        <v>21</v>
      </c>
      <c r="B1088" s="3" t="s">
        <v>41</v>
      </c>
      <c r="C1088" s="3" t="s">
        <v>42</v>
      </c>
      <c r="D1088" s="3" t="s">
        <v>45</v>
      </c>
      <c r="E1088" s="3" t="s">
        <v>25</v>
      </c>
      <c r="F1088" s="3" t="s">
        <v>25</v>
      </c>
      <c r="G1088" s="3" t="s">
        <v>25</v>
      </c>
      <c r="H1088" s="3" t="s">
        <v>35</v>
      </c>
      <c r="I1088" s="6">
        <v>44562</v>
      </c>
      <c r="J1088" s="4">
        <v>0</v>
      </c>
      <c r="K1088" s="4">
        <v>0</v>
      </c>
      <c r="L1088" s="4">
        <v>2020.7329999999999</v>
      </c>
      <c r="M1088" s="4">
        <v>1939.9036799999999</v>
      </c>
      <c r="N1088" s="4">
        <v>2020.7329999999999</v>
      </c>
      <c r="O1088" s="4">
        <v>1939.9036799999999</v>
      </c>
      <c r="P1088" s="4">
        <v>0</v>
      </c>
      <c r="Q1088" s="3" t="s">
        <v>26</v>
      </c>
      <c r="R1088" s="3">
        <v>0</v>
      </c>
      <c r="S1088" s="3" t="s">
        <v>345</v>
      </c>
      <c r="T1088" s="3" t="s">
        <v>620</v>
      </c>
      <c r="U1088" s="3">
        <v>0</v>
      </c>
      <c r="V1088" s="3">
        <v>21</v>
      </c>
      <c r="W1088" s="3">
        <v>89</v>
      </c>
    </row>
    <row r="1089" spans="1:23" ht="11.25" customHeight="1" x14ac:dyDescent="0.25">
      <c r="A1089" s="3" t="s">
        <v>27</v>
      </c>
      <c r="B1089" s="3" t="s">
        <v>41</v>
      </c>
      <c r="C1089" s="3" t="s">
        <v>42</v>
      </c>
      <c r="D1089" s="3" t="s">
        <v>45</v>
      </c>
      <c r="E1089" s="3" t="s">
        <v>25</v>
      </c>
      <c r="F1089" s="3" t="s">
        <v>25</v>
      </c>
      <c r="G1089" s="3" t="s">
        <v>25</v>
      </c>
      <c r="H1089" s="3" t="s">
        <v>35</v>
      </c>
      <c r="I1089" s="6">
        <v>44562</v>
      </c>
      <c r="J1089" s="4">
        <v>0</v>
      </c>
      <c r="K1089" s="4">
        <v>0</v>
      </c>
      <c r="L1089" s="4">
        <v>-164.447</v>
      </c>
      <c r="M1089" s="4">
        <v>-157.86912000000001</v>
      </c>
      <c r="N1089" s="4">
        <v>-164.447</v>
      </c>
      <c r="O1089" s="4">
        <v>-157.86912000000001</v>
      </c>
      <c r="P1089" s="4">
        <v>0</v>
      </c>
      <c r="Q1089" s="3" t="s">
        <v>26</v>
      </c>
      <c r="R1089" s="3">
        <v>0</v>
      </c>
      <c r="S1089" s="3" t="s">
        <v>345</v>
      </c>
      <c r="T1089" s="3" t="s">
        <v>620</v>
      </c>
      <c r="U1089" s="3">
        <v>0</v>
      </c>
      <c r="V1089" s="3">
        <v>21</v>
      </c>
      <c r="W1089" s="3">
        <v>89</v>
      </c>
    </row>
    <row r="1090" spans="1:23" ht="11.25" customHeight="1" x14ac:dyDescent="0.25">
      <c r="A1090" s="3" t="s">
        <v>28</v>
      </c>
      <c r="B1090" s="3" t="s">
        <v>41</v>
      </c>
      <c r="C1090" s="3" t="s">
        <v>42</v>
      </c>
      <c r="D1090" s="3" t="s">
        <v>45</v>
      </c>
      <c r="E1090" s="3" t="s">
        <v>25</v>
      </c>
      <c r="F1090" s="3" t="s">
        <v>25</v>
      </c>
      <c r="G1090" s="3" t="s">
        <v>25</v>
      </c>
      <c r="H1090" s="3" t="s">
        <v>35</v>
      </c>
      <c r="I1090" s="6">
        <v>44562</v>
      </c>
      <c r="J1090" s="4">
        <v>0</v>
      </c>
      <c r="K1090" s="4">
        <v>0</v>
      </c>
      <c r="L1090" s="4">
        <v>12.698</v>
      </c>
      <c r="M1090" s="4">
        <v>12.19008</v>
      </c>
      <c r="N1090" s="4">
        <v>12.698</v>
      </c>
      <c r="O1090" s="4">
        <v>12.19008</v>
      </c>
      <c r="P1090" s="4">
        <v>0</v>
      </c>
      <c r="Q1090" s="3" t="s">
        <v>26</v>
      </c>
      <c r="R1090" s="3">
        <v>0</v>
      </c>
      <c r="S1090" s="3" t="s">
        <v>345</v>
      </c>
      <c r="T1090" s="3" t="s">
        <v>620</v>
      </c>
      <c r="U1090" s="3">
        <v>0</v>
      </c>
      <c r="V1090" s="3">
        <v>21</v>
      </c>
      <c r="W1090" s="3">
        <v>89</v>
      </c>
    </row>
    <row r="1091" spans="1:23" ht="11.25" customHeight="1" x14ac:dyDescent="0.25">
      <c r="A1091" s="3" t="s">
        <v>21</v>
      </c>
      <c r="B1091" s="3" t="s">
        <v>41</v>
      </c>
      <c r="C1091" s="3" t="s">
        <v>42</v>
      </c>
      <c r="D1091" s="3" t="s">
        <v>45</v>
      </c>
      <c r="E1091" s="3" t="s">
        <v>25</v>
      </c>
      <c r="F1091" s="3" t="s">
        <v>25</v>
      </c>
      <c r="G1091" s="3" t="s">
        <v>25</v>
      </c>
      <c r="H1091" s="3" t="s">
        <v>35</v>
      </c>
      <c r="I1091" s="6">
        <v>44593</v>
      </c>
      <c r="J1091" s="4">
        <v>0</v>
      </c>
      <c r="K1091" s="4">
        <v>0</v>
      </c>
      <c r="L1091" s="4">
        <v>1885.9590000000001</v>
      </c>
      <c r="M1091" s="4">
        <v>1810.52064</v>
      </c>
      <c r="N1091" s="4">
        <v>1885.9590000000001</v>
      </c>
      <c r="O1091" s="4">
        <v>1810.52064</v>
      </c>
      <c r="P1091" s="4">
        <v>0</v>
      </c>
      <c r="Q1091" s="3" t="s">
        <v>26</v>
      </c>
      <c r="R1091" s="3">
        <v>0</v>
      </c>
      <c r="S1091" s="3" t="s">
        <v>346</v>
      </c>
      <c r="T1091" s="3" t="s">
        <v>621</v>
      </c>
      <c r="U1091" s="3">
        <v>0</v>
      </c>
      <c r="V1091" s="3">
        <v>21</v>
      </c>
      <c r="W1091" s="3">
        <v>89</v>
      </c>
    </row>
    <row r="1092" spans="1:23" ht="11.25" customHeight="1" x14ac:dyDescent="0.25">
      <c r="A1092" s="3" t="s">
        <v>27</v>
      </c>
      <c r="B1092" s="3" t="s">
        <v>41</v>
      </c>
      <c r="C1092" s="3" t="s">
        <v>42</v>
      </c>
      <c r="D1092" s="3" t="s">
        <v>45</v>
      </c>
      <c r="E1092" s="3" t="s">
        <v>25</v>
      </c>
      <c r="F1092" s="3" t="s">
        <v>25</v>
      </c>
      <c r="G1092" s="3" t="s">
        <v>25</v>
      </c>
      <c r="H1092" s="3" t="s">
        <v>35</v>
      </c>
      <c r="I1092" s="6">
        <v>44593</v>
      </c>
      <c r="J1092" s="4">
        <v>0</v>
      </c>
      <c r="K1092" s="4">
        <v>0</v>
      </c>
      <c r="L1092" s="4">
        <v>432.71899999999999</v>
      </c>
      <c r="M1092" s="4">
        <v>415.41023999999999</v>
      </c>
      <c r="N1092" s="4">
        <v>432.71899999999999</v>
      </c>
      <c r="O1092" s="4">
        <v>415.41023999999999</v>
      </c>
      <c r="P1092" s="4">
        <v>0</v>
      </c>
      <c r="Q1092" s="3" t="s">
        <v>26</v>
      </c>
      <c r="R1092" s="3">
        <v>0</v>
      </c>
      <c r="S1092" s="3" t="s">
        <v>346</v>
      </c>
      <c r="T1092" s="3" t="s">
        <v>621</v>
      </c>
      <c r="U1092" s="3">
        <v>0</v>
      </c>
      <c r="V1092" s="3">
        <v>21</v>
      </c>
      <c r="W1092" s="3">
        <v>89</v>
      </c>
    </row>
    <row r="1093" spans="1:23" ht="11.25" customHeight="1" x14ac:dyDescent="0.25">
      <c r="A1093" s="3" t="s">
        <v>28</v>
      </c>
      <c r="B1093" s="3" t="s">
        <v>41</v>
      </c>
      <c r="C1093" s="3" t="s">
        <v>42</v>
      </c>
      <c r="D1093" s="3" t="s">
        <v>45</v>
      </c>
      <c r="E1093" s="3" t="s">
        <v>25</v>
      </c>
      <c r="F1093" s="3" t="s">
        <v>25</v>
      </c>
      <c r="G1093" s="3" t="s">
        <v>25</v>
      </c>
      <c r="H1093" s="3" t="s">
        <v>35</v>
      </c>
      <c r="I1093" s="6">
        <v>44593</v>
      </c>
      <c r="J1093" s="4">
        <v>0</v>
      </c>
      <c r="K1093" s="4">
        <v>0</v>
      </c>
      <c r="L1093" s="4">
        <v>40.326000000000001</v>
      </c>
      <c r="M1093" s="4">
        <v>38.712960000000002</v>
      </c>
      <c r="N1093" s="4">
        <v>40.326000000000001</v>
      </c>
      <c r="O1093" s="4">
        <v>38.712960000000002</v>
      </c>
      <c r="P1093" s="4">
        <v>0</v>
      </c>
      <c r="Q1093" s="3" t="s">
        <v>26</v>
      </c>
      <c r="R1093" s="3">
        <v>0</v>
      </c>
      <c r="S1093" s="3" t="s">
        <v>346</v>
      </c>
      <c r="T1093" s="3" t="s">
        <v>621</v>
      </c>
      <c r="U1093" s="3">
        <v>0</v>
      </c>
      <c r="V1093" s="3">
        <v>21</v>
      </c>
      <c r="W1093" s="3">
        <v>89</v>
      </c>
    </row>
    <row r="1094" spans="1:23" ht="11.25" customHeight="1" x14ac:dyDescent="0.25">
      <c r="A1094" s="3" t="s">
        <v>56</v>
      </c>
      <c r="B1094" s="3" t="s">
        <v>41</v>
      </c>
      <c r="C1094" s="3" t="s">
        <v>42</v>
      </c>
      <c r="D1094" s="3" t="s">
        <v>45</v>
      </c>
      <c r="E1094" s="3" t="s">
        <v>25</v>
      </c>
      <c r="F1094" s="3" t="s">
        <v>25</v>
      </c>
      <c r="G1094" s="3" t="s">
        <v>25</v>
      </c>
      <c r="H1094" s="3" t="s">
        <v>35</v>
      </c>
      <c r="I1094" s="6">
        <v>44621</v>
      </c>
      <c r="J1094" s="4">
        <v>0</v>
      </c>
      <c r="K1094" s="4">
        <v>0</v>
      </c>
      <c r="L1094" s="4">
        <v>1885.9590000000001</v>
      </c>
      <c r="M1094" s="4">
        <v>1810.52064</v>
      </c>
      <c r="N1094" s="4">
        <v>1885.9590000000001</v>
      </c>
      <c r="O1094" s="4">
        <v>1810.52064</v>
      </c>
      <c r="P1094" s="4">
        <v>0</v>
      </c>
      <c r="Q1094" s="3" t="s">
        <v>26</v>
      </c>
      <c r="R1094" s="3">
        <v>0</v>
      </c>
      <c r="S1094" s="3" t="s">
        <v>347</v>
      </c>
      <c r="T1094" s="3" t="s">
        <v>622</v>
      </c>
      <c r="U1094" s="3">
        <v>0</v>
      </c>
      <c r="V1094" s="3">
        <v>21</v>
      </c>
      <c r="W1094" s="3">
        <v>89</v>
      </c>
    </row>
    <row r="1095" spans="1:23" ht="11.25" customHeight="1" x14ac:dyDescent="0.25">
      <c r="A1095" s="3" t="s">
        <v>56</v>
      </c>
      <c r="B1095" s="3" t="s">
        <v>41</v>
      </c>
      <c r="C1095" s="3" t="s">
        <v>42</v>
      </c>
      <c r="D1095" s="3" t="s">
        <v>45</v>
      </c>
      <c r="E1095" s="3" t="s">
        <v>25</v>
      </c>
      <c r="F1095" s="3" t="s">
        <v>25</v>
      </c>
      <c r="G1095" s="3" t="s">
        <v>25</v>
      </c>
      <c r="H1095" s="3" t="s">
        <v>35</v>
      </c>
      <c r="I1095" s="6">
        <v>44621</v>
      </c>
      <c r="J1095" s="4">
        <v>0</v>
      </c>
      <c r="K1095" s="4">
        <v>0</v>
      </c>
      <c r="L1095" s="4">
        <v>432.71899999999999</v>
      </c>
      <c r="M1095" s="4">
        <v>415.41023999999999</v>
      </c>
      <c r="N1095" s="4">
        <v>432.71899999999999</v>
      </c>
      <c r="O1095" s="4">
        <v>415.41023999999999</v>
      </c>
      <c r="P1095" s="4">
        <v>0</v>
      </c>
      <c r="Q1095" s="3" t="s">
        <v>26</v>
      </c>
      <c r="R1095" s="3">
        <v>0</v>
      </c>
      <c r="S1095" s="3" t="s">
        <v>347</v>
      </c>
      <c r="T1095" s="3" t="s">
        <v>622</v>
      </c>
      <c r="U1095" s="3">
        <v>0</v>
      </c>
      <c r="V1095" s="3">
        <v>21</v>
      </c>
      <c r="W1095" s="3">
        <v>89</v>
      </c>
    </row>
    <row r="1096" spans="1:23" ht="11.25" customHeight="1" x14ac:dyDescent="0.25">
      <c r="A1096" s="3" t="s">
        <v>56</v>
      </c>
      <c r="B1096" s="3" t="s">
        <v>41</v>
      </c>
      <c r="C1096" s="3" t="s">
        <v>42</v>
      </c>
      <c r="D1096" s="3" t="s">
        <v>45</v>
      </c>
      <c r="E1096" s="3" t="s">
        <v>25</v>
      </c>
      <c r="F1096" s="3" t="s">
        <v>25</v>
      </c>
      <c r="G1096" s="3" t="s">
        <v>25</v>
      </c>
      <c r="H1096" s="3" t="s">
        <v>35</v>
      </c>
      <c r="I1096" s="6">
        <v>44621</v>
      </c>
      <c r="J1096" s="4">
        <v>0</v>
      </c>
      <c r="K1096" s="4">
        <v>0</v>
      </c>
      <c r="L1096" s="4">
        <v>40.326000000000001</v>
      </c>
      <c r="M1096" s="4">
        <v>38.712960000000002</v>
      </c>
      <c r="N1096" s="4">
        <v>40.326000000000001</v>
      </c>
      <c r="O1096" s="4">
        <v>38.712960000000002</v>
      </c>
      <c r="P1096" s="4">
        <v>0</v>
      </c>
      <c r="Q1096" s="3" t="s">
        <v>26</v>
      </c>
      <c r="R1096" s="3">
        <v>0</v>
      </c>
      <c r="S1096" s="3" t="s">
        <v>347</v>
      </c>
      <c r="T1096" s="3" t="s">
        <v>622</v>
      </c>
      <c r="U1096" s="3">
        <v>0</v>
      </c>
      <c r="V1096" s="3">
        <v>21</v>
      </c>
      <c r="W1096" s="3">
        <v>89</v>
      </c>
    </row>
    <row r="1097" spans="1:23" ht="11.25" customHeight="1" x14ac:dyDescent="0.25">
      <c r="A1097" s="3" t="s">
        <v>21</v>
      </c>
      <c r="B1097" s="3" t="s">
        <v>41</v>
      </c>
      <c r="C1097" s="3" t="s">
        <v>42</v>
      </c>
      <c r="D1097" s="3" t="s">
        <v>45</v>
      </c>
      <c r="E1097" s="3" t="s">
        <v>25</v>
      </c>
      <c r="F1097" s="3" t="s">
        <v>25</v>
      </c>
      <c r="G1097" s="3" t="s">
        <v>25</v>
      </c>
      <c r="H1097" s="3" t="s">
        <v>25</v>
      </c>
      <c r="I1097" s="6">
        <v>44287</v>
      </c>
      <c r="J1097" s="4">
        <v>8807</v>
      </c>
      <c r="K1097" s="4">
        <v>8454.7199999999993</v>
      </c>
      <c r="L1097" s="4">
        <v>0</v>
      </c>
      <c r="M1097" s="4">
        <v>0</v>
      </c>
      <c r="N1097" s="4">
        <v>0</v>
      </c>
      <c r="O1097" s="4">
        <v>0</v>
      </c>
      <c r="P1097" s="4">
        <v>52</v>
      </c>
      <c r="Q1097" s="3" t="s">
        <v>26</v>
      </c>
      <c r="R1097" s="3">
        <v>0</v>
      </c>
      <c r="S1097" s="3" t="s">
        <v>348</v>
      </c>
      <c r="U1097" s="3">
        <v>44</v>
      </c>
      <c r="V1097" s="3">
        <v>0</v>
      </c>
      <c r="W1097" s="3">
        <v>0</v>
      </c>
    </row>
    <row r="1098" spans="1:23" ht="11.25" customHeight="1" x14ac:dyDescent="0.25">
      <c r="A1098" s="3" t="s">
        <v>21</v>
      </c>
      <c r="B1098" s="3" t="s">
        <v>41</v>
      </c>
      <c r="C1098" s="3" t="s">
        <v>42</v>
      </c>
      <c r="D1098" s="3" t="s">
        <v>45</v>
      </c>
      <c r="E1098" s="3" t="s">
        <v>25</v>
      </c>
      <c r="F1098" s="3" t="s">
        <v>25</v>
      </c>
      <c r="G1098" s="3" t="s">
        <v>25</v>
      </c>
      <c r="H1098" s="3" t="s">
        <v>25</v>
      </c>
      <c r="I1098" s="6">
        <v>44317</v>
      </c>
      <c r="J1098" s="4">
        <v>6338</v>
      </c>
      <c r="K1098" s="4">
        <v>6084.48</v>
      </c>
      <c r="L1098" s="4">
        <v>0</v>
      </c>
      <c r="M1098" s="4">
        <v>0</v>
      </c>
      <c r="N1098" s="4">
        <v>0</v>
      </c>
      <c r="O1098" s="4">
        <v>0</v>
      </c>
      <c r="P1098" s="4">
        <v>55</v>
      </c>
      <c r="Q1098" s="3" t="s">
        <v>26</v>
      </c>
      <c r="R1098" s="3">
        <v>0</v>
      </c>
      <c r="S1098" s="3" t="s">
        <v>349</v>
      </c>
      <c r="U1098" s="3">
        <v>44</v>
      </c>
      <c r="V1098" s="3">
        <v>0</v>
      </c>
      <c r="W1098" s="3">
        <v>0</v>
      </c>
    </row>
    <row r="1099" spans="1:23" ht="11.25" customHeight="1" x14ac:dyDescent="0.25">
      <c r="A1099" s="3" t="s">
        <v>27</v>
      </c>
      <c r="B1099" s="3" t="s">
        <v>41</v>
      </c>
      <c r="C1099" s="3" t="s">
        <v>42</v>
      </c>
      <c r="D1099" s="3" t="s">
        <v>45</v>
      </c>
      <c r="E1099" s="3" t="s">
        <v>25</v>
      </c>
      <c r="F1099" s="3" t="s">
        <v>25</v>
      </c>
      <c r="G1099" s="3" t="s">
        <v>25</v>
      </c>
      <c r="H1099" s="3" t="s">
        <v>25</v>
      </c>
      <c r="I1099" s="6">
        <v>44317</v>
      </c>
      <c r="J1099" s="4">
        <v>1</v>
      </c>
      <c r="K1099" s="4">
        <v>0.96</v>
      </c>
      <c r="L1099" s="4">
        <v>0</v>
      </c>
      <c r="M1099" s="4">
        <v>0</v>
      </c>
      <c r="N1099" s="4">
        <v>0</v>
      </c>
      <c r="O1099" s="4">
        <v>0</v>
      </c>
      <c r="P1099" s="4">
        <v>1</v>
      </c>
      <c r="Q1099" s="3" t="s">
        <v>26</v>
      </c>
      <c r="R1099" s="3">
        <v>0</v>
      </c>
      <c r="S1099" s="3" t="s">
        <v>349</v>
      </c>
      <c r="U1099" s="3">
        <v>44</v>
      </c>
      <c r="V1099" s="3">
        <v>0</v>
      </c>
      <c r="W1099" s="3">
        <v>0</v>
      </c>
    </row>
    <row r="1100" spans="1:23" ht="11.25" customHeight="1" x14ac:dyDescent="0.25">
      <c r="A1100" s="3" t="s">
        <v>28</v>
      </c>
      <c r="B1100" s="3" t="s">
        <v>41</v>
      </c>
      <c r="C1100" s="3" t="s">
        <v>42</v>
      </c>
      <c r="D1100" s="3" t="s">
        <v>45</v>
      </c>
      <c r="E1100" s="3" t="s">
        <v>25</v>
      </c>
      <c r="F1100" s="3" t="s">
        <v>25</v>
      </c>
      <c r="G1100" s="3" t="s">
        <v>25</v>
      </c>
      <c r="H1100" s="3" t="s">
        <v>25</v>
      </c>
      <c r="I1100" s="6">
        <v>44317</v>
      </c>
      <c r="J1100" s="4">
        <v>231</v>
      </c>
      <c r="K1100" s="4">
        <v>221.76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3" t="s">
        <v>26</v>
      </c>
      <c r="R1100" s="3">
        <v>0</v>
      </c>
      <c r="S1100" s="3" t="s">
        <v>349</v>
      </c>
      <c r="U1100" s="3">
        <v>44</v>
      </c>
      <c r="V1100" s="3">
        <v>0</v>
      </c>
      <c r="W1100" s="3">
        <v>0</v>
      </c>
    </row>
    <row r="1101" spans="1:23" ht="11.25" customHeight="1" x14ac:dyDescent="0.25">
      <c r="A1101" s="3" t="s">
        <v>21</v>
      </c>
      <c r="B1101" s="3" t="s">
        <v>41</v>
      </c>
      <c r="C1101" s="3" t="s">
        <v>42</v>
      </c>
      <c r="D1101" s="3" t="s">
        <v>45</v>
      </c>
      <c r="E1101" s="3" t="s">
        <v>25</v>
      </c>
      <c r="F1101" s="3" t="s">
        <v>25</v>
      </c>
      <c r="G1101" s="3" t="s">
        <v>25</v>
      </c>
      <c r="H1101" s="3" t="s">
        <v>25</v>
      </c>
      <c r="I1101" s="6">
        <v>44348</v>
      </c>
      <c r="J1101" s="4">
        <v>6919</v>
      </c>
      <c r="K1101" s="4">
        <v>6642.24</v>
      </c>
      <c r="L1101" s="4">
        <v>0</v>
      </c>
      <c r="M1101" s="4">
        <v>0</v>
      </c>
      <c r="N1101" s="4">
        <v>0</v>
      </c>
      <c r="O1101" s="4">
        <v>0</v>
      </c>
      <c r="P1101" s="4">
        <v>58</v>
      </c>
      <c r="Q1101" s="3" t="s">
        <v>26</v>
      </c>
      <c r="R1101" s="3">
        <v>0</v>
      </c>
      <c r="S1101" s="3" t="s">
        <v>350</v>
      </c>
      <c r="U1101" s="3">
        <v>44</v>
      </c>
      <c r="V1101" s="3">
        <v>0</v>
      </c>
      <c r="W1101" s="3">
        <v>0</v>
      </c>
    </row>
    <row r="1102" spans="1:23" ht="11.25" customHeight="1" x14ac:dyDescent="0.25">
      <c r="A1102" s="3" t="s">
        <v>28</v>
      </c>
      <c r="B1102" s="3" t="s">
        <v>41</v>
      </c>
      <c r="C1102" s="3" t="s">
        <v>42</v>
      </c>
      <c r="D1102" s="3" t="s">
        <v>45</v>
      </c>
      <c r="E1102" s="3" t="s">
        <v>25</v>
      </c>
      <c r="F1102" s="3" t="s">
        <v>25</v>
      </c>
      <c r="G1102" s="3" t="s">
        <v>25</v>
      </c>
      <c r="H1102" s="3" t="s">
        <v>25</v>
      </c>
      <c r="I1102" s="6">
        <v>44348</v>
      </c>
      <c r="J1102" s="4">
        <v>238</v>
      </c>
      <c r="K1102" s="4">
        <v>228.48</v>
      </c>
      <c r="L1102" s="4">
        <v>0</v>
      </c>
      <c r="M1102" s="4">
        <v>0</v>
      </c>
      <c r="N1102" s="4">
        <v>0</v>
      </c>
      <c r="O1102" s="4">
        <v>0</v>
      </c>
      <c r="P1102" s="4">
        <v>1</v>
      </c>
      <c r="Q1102" s="3" t="s">
        <v>26</v>
      </c>
      <c r="R1102" s="3">
        <v>0</v>
      </c>
      <c r="S1102" s="3" t="s">
        <v>350</v>
      </c>
      <c r="U1102" s="3">
        <v>44</v>
      </c>
      <c r="V1102" s="3">
        <v>0</v>
      </c>
      <c r="W1102" s="3">
        <v>0</v>
      </c>
    </row>
    <row r="1103" spans="1:23" ht="11.25" customHeight="1" x14ac:dyDescent="0.25">
      <c r="A1103" s="3" t="s">
        <v>21</v>
      </c>
      <c r="B1103" s="3" t="s">
        <v>41</v>
      </c>
      <c r="C1103" s="3" t="s">
        <v>42</v>
      </c>
      <c r="D1103" s="3" t="s">
        <v>45</v>
      </c>
      <c r="E1103" s="3" t="s">
        <v>25</v>
      </c>
      <c r="F1103" s="3" t="s">
        <v>25</v>
      </c>
      <c r="G1103" s="3" t="s">
        <v>25</v>
      </c>
      <c r="H1103" s="3" t="s">
        <v>25</v>
      </c>
      <c r="I1103" s="6">
        <v>44378</v>
      </c>
      <c r="J1103" s="4">
        <v>5884</v>
      </c>
      <c r="K1103" s="4">
        <v>5648.64</v>
      </c>
      <c r="L1103" s="4">
        <v>0</v>
      </c>
      <c r="M1103" s="4">
        <v>0</v>
      </c>
      <c r="N1103" s="4">
        <v>0</v>
      </c>
      <c r="O1103" s="4">
        <v>0</v>
      </c>
      <c r="P1103" s="4">
        <v>59</v>
      </c>
      <c r="Q1103" s="3" t="s">
        <v>26</v>
      </c>
      <c r="R1103" s="3">
        <v>0</v>
      </c>
      <c r="S1103" s="3" t="s">
        <v>351</v>
      </c>
      <c r="U1103" s="3">
        <v>44</v>
      </c>
      <c r="V1103" s="3">
        <v>0</v>
      </c>
      <c r="W1103" s="3">
        <v>0</v>
      </c>
    </row>
    <row r="1104" spans="1:23" ht="11.25" customHeight="1" x14ac:dyDescent="0.25">
      <c r="A1104" s="3" t="s">
        <v>27</v>
      </c>
      <c r="B1104" s="3" t="s">
        <v>41</v>
      </c>
      <c r="C1104" s="3" t="s">
        <v>42</v>
      </c>
      <c r="D1104" s="3" t="s">
        <v>45</v>
      </c>
      <c r="E1104" s="3" t="s">
        <v>25</v>
      </c>
      <c r="F1104" s="3" t="s">
        <v>25</v>
      </c>
      <c r="G1104" s="3" t="s">
        <v>25</v>
      </c>
      <c r="H1104" s="3" t="s">
        <v>25</v>
      </c>
      <c r="I1104" s="6">
        <v>44378</v>
      </c>
      <c r="J1104" s="4">
        <v>3</v>
      </c>
      <c r="K1104" s="4">
        <v>2.88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3" t="s">
        <v>26</v>
      </c>
      <c r="R1104" s="3">
        <v>0</v>
      </c>
      <c r="S1104" s="3" t="s">
        <v>351</v>
      </c>
      <c r="U1104" s="3">
        <v>44</v>
      </c>
      <c r="V1104" s="3">
        <v>0</v>
      </c>
      <c r="W1104" s="3">
        <v>0</v>
      </c>
    </row>
    <row r="1105" spans="1:23" ht="11.25" customHeight="1" x14ac:dyDescent="0.25">
      <c r="A1105" s="3" t="s">
        <v>28</v>
      </c>
      <c r="B1105" s="3" t="s">
        <v>41</v>
      </c>
      <c r="C1105" s="3" t="s">
        <v>42</v>
      </c>
      <c r="D1105" s="3" t="s">
        <v>45</v>
      </c>
      <c r="E1105" s="3" t="s">
        <v>25</v>
      </c>
      <c r="F1105" s="3" t="s">
        <v>25</v>
      </c>
      <c r="G1105" s="3" t="s">
        <v>25</v>
      </c>
      <c r="H1105" s="3" t="s">
        <v>25</v>
      </c>
      <c r="I1105" s="6">
        <v>44378</v>
      </c>
      <c r="J1105" s="4">
        <v>206</v>
      </c>
      <c r="K1105" s="4">
        <v>197.76</v>
      </c>
      <c r="L1105" s="4">
        <v>0</v>
      </c>
      <c r="M1105" s="4">
        <v>0</v>
      </c>
      <c r="N1105" s="4">
        <v>0</v>
      </c>
      <c r="O1105" s="4">
        <v>0</v>
      </c>
      <c r="P1105" s="4">
        <v>1</v>
      </c>
      <c r="Q1105" s="3" t="s">
        <v>26</v>
      </c>
      <c r="R1105" s="3">
        <v>0</v>
      </c>
      <c r="S1105" s="3" t="s">
        <v>351</v>
      </c>
      <c r="U1105" s="3">
        <v>44</v>
      </c>
      <c r="V1105" s="3">
        <v>0</v>
      </c>
      <c r="W1105" s="3">
        <v>0</v>
      </c>
    </row>
    <row r="1106" spans="1:23" ht="11.25" customHeight="1" x14ac:dyDescent="0.25">
      <c r="A1106" s="3" t="s">
        <v>21</v>
      </c>
      <c r="B1106" s="3" t="s">
        <v>41</v>
      </c>
      <c r="C1106" s="3" t="s">
        <v>42</v>
      </c>
      <c r="D1106" s="3" t="s">
        <v>45</v>
      </c>
      <c r="E1106" s="3" t="s">
        <v>25</v>
      </c>
      <c r="F1106" s="3" t="s">
        <v>25</v>
      </c>
      <c r="G1106" s="3" t="s">
        <v>25</v>
      </c>
      <c r="H1106" s="3" t="s">
        <v>25</v>
      </c>
      <c r="I1106" s="6">
        <v>44409</v>
      </c>
      <c r="J1106" s="4">
        <v>7219</v>
      </c>
      <c r="K1106" s="4">
        <v>6930.24</v>
      </c>
      <c r="L1106" s="4">
        <v>0</v>
      </c>
      <c r="M1106" s="4">
        <v>0</v>
      </c>
      <c r="N1106" s="4">
        <v>0</v>
      </c>
      <c r="O1106" s="4">
        <v>0</v>
      </c>
      <c r="P1106" s="4">
        <v>64</v>
      </c>
      <c r="Q1106" s="3" t="s">
        <v>26</v>
      </c>
      <c r="R1106" s="3">
        <v>0</v>
      </c>
      <c r="S1106" s="3" t="s">
        <v>352</v>
      </c>
      <c r="U1106" s="3">
        <v>44</v>
      </c>
      <c r="V1106" s="3">
        <v>0</v>
      </c>
      <c r="W1106" s="3">
        <v>0</v>
      </c>
    </row>
    <row r="1107" spans="1:23" ht="11.25" customHeight="1" x14ac:dyDescent="0.25">
      <c r="A1107" s="3" t="s">
        <v>27</v>
      </c>
      <c r="B1107" s="3" t="s">
        <v>41</v>
      </c>
      <c r="C1107" s="3" t="s">
        <v>42</v>
      </c>
      <c r="D1107" s="3" t="s">
        <v>45</v>
      </c>
      <c r="E1107" s="3" t="s">
        <v>25</v>
      </c>
      <c r="F1107" s="3" t="s">
        <v>25</v>
      </c>
      <c r="G1107" s="3" t="s">
        <v>25</v>
      </c>
      <c r="H1107" s="3" t="s">
        <v>25</v>
      </c>
      <c r="I1107" s="6">
        <v>44409</v>
      </c>
      <c r="J1107" s="4">
        <v>2</v>
      </c>
      <c r="K1107" s="4">
        <v>1.92</v>
      </c>
      <c r="L1107" s="4">
        <v>0</v>
      </c>
      <c r="M1107" s="4">
        <v>0</v>
      </c>
      <c r="N1107" s="4">
        <v>0</v>
      </c>
      <c r="O1107" s="4">
        <v>0</v>
      </c>
      <c r="P1107" s="4">
        <v>-2</v>
      </c>
      <c r="Q1107" s="3" t="s">
        <v>26</v>
      </c>
      <c r="R1107" s="3">
        <v>0</v>
      </c>
      <c r="S1107" s="3" t="s">
        <v>352</v>
      </c>
      <c r="U1107" s="3">
        <v>44</v>
      </c>
      <c r="V1107" s="3">
        <v>0</v>
      </c>
      <c r="W1107" s="3">
        <v>0</v>
      </c>
    </row>
    <row r="1108" spans="1:23" ht="11.25" customHeight="1" x14ac:dyDescent="0.25">
      <c r="A1108" s="3" t="s">
        <v>28</v>
      </c>
      <c r="B1108" s="3" t="s">
        <v>41</v>
      </c>
      <c r="C1108" s="3" t="s">
        <v>42</v>
      </c>
      <c r="D1108" s="3" t="s">
        <v>45</v>
      </c>
      <c r="E1108" s="3" t="s">
        <v>25</v>
      </c>
      <c r="F1108" s="3" t="s">
        <v>25</v>
      </c>
      <c r="G1108" s="3" t="s">
        <v>25</v>
      </c>
      <c r="H1108" s="3" t="s">
        <v>25</v>
      </c>
      <c r="I1108" s="6">
        <v>44409</v>
      </c>
      <c r="J1108" s="4">
        <v>203</v>
      </c>
      <c r="K1108" s="4">
        <v>194.88</v>
      </c>
      <c r="L1108" s="4">
        <v>0</v>
      </c>
      <c r="M1108" s="4">
        <v>0</v>
      </c>
      <c r="N1108" s="4">
        <v>0</v>
      </c>
      <c r="O1108" s="4">
        <v>0</v>
      </c>
      <c r="P1108" s="4">
        <v>1</v>
      </c>
      <c r="Q1108" s="3" t="s">
        <v>26</v>
      </c>
      <c r="R1108" s="3">
        <v>0</v>
      </c>
      <c r="S1108" s="3" t="s">
        <v>352</v>
      </c>
      <c r="U1108" s="3">
        <v>44</v>
      </c>
      <c r="V1108" s="3">
        <v>0</v>
      </c>
      <c r="W1108" s="3">
        <v>0</v>
      </c>
    </row>
    <row r="1109" spans="1:23" ht="11.25" customHeight="1" x14ac:dyDescent="0.25">
      <c r="A1109" s="3" t="s">
        <v>21</v>
      </c>
      <c r="B1109" s="3" t="s">
        <v>41</v>
      </c>
      <c r="C1109" s="3" t="s">
        <v>42</v>
      </c>
      <c r="D1109" s="3" t="s">
        <v>45</v>
      </c>
      <c r="E1109" s="3" t="s">
        <v>25</v>
      </c>
      <c r="F1109" s="3" t="s">
        <v>25</v>
      </c>
      <c r="G1109" s="3" t="s">
        <v>25</v>
      </c>
      <c r="H1109" s="3" t="s">
        <v>25</v>
      </c>
      <c r="I1109" s="6">
        <v>44440</v>
      </c>
      <c r="J1109" s="4">
        <v>8743</v>
      </c>
      <c r="K1109" s="4">
        <v>8393.2800000000007</v>
      </c>
      <c r="L1109" s="4">
        <v>0</v>
      </c>
      <c r="M1109" s="4">
        <v>0</v>
      </c>
      <c r="N1109" s="4">
        <v>0</v>
      </c>
      <c r="O1109" s="4">
        <v>0</v>
      </c>
      <c r="P1109" s="4">
        <v>55</v>
      </c>
      <c r="Q1109" s="3" t="s">
        <v>26</v>
      </c>
      <c r="R1109" s="3">
        <v>0</v>
      </c>
      <c r="S1109" s="3" t="s">
        <v>353</v>
      </c>
      <c r="U1109" s="3">
        <v>44</v>
      </c>
      <c r="V1109" s="3">
        <v>0</v>
      </c>
      <c r="W1109" s="3">
        <v>0</v>
      </c>
    </row>
    <row r="1110" spans="1:23" ht="11.25" customHeight="1" x14ac:dyDescent="0.25">
      <c r="A1110" s="3" t="s">
        <v>28</v>
      </c>
      <c r="B1110" s="3" t="s">
        <v>41</v>
      </c>
      <c r="C1110" s="3" t="s">
        <v>42</v>
      </c>
      <c r="D1110" s="3" t="s">
        <v>45</v>
      </c>
      <c r="E1110" s="3" t="s">
        <v>25</v>
      </c>
      <c r="F1110" s="3" t="s">
        <v>25</v>
      </c>
      <c r="G1110" s="3" t="s">
        <v>25</v>
      </c>
      <c r="H1110" s="3" t="s">
        <v>25</v>
      </c>
      <c r="I1110" s="6">
        <v>44440</v>
      </c>
      <c r="J1110" s="4">
        <v>171</v>
      </c>
      <c r="K1110" s="4">
        <v>164.16</v>
      </c>
      <c r="L1110" s="4">
        <v>0</v>
      </c>
      <c r="M1110" s="4">
        <v>0</v>
      </c>
      <c r="N1110" s="4">
        <v>0</v>
      </c>
      <c r="O1110" s="4">
        <v>0</v>
      </c>
      <c r="P1110" s="4">
        <v>1</v>
      </c>
      <c r="Q1110" s="3" t="s">
        <v>26</v>
      </c>
      <c r="R1110" s="3">
        <v>0</v>
      </c>
      <c r="S1110" s="3" t="s">
        <v>353</v>
      </c>
      <c r="U1110" s="3">
        <v>44</v>
      </c>
      <c r="V1110" s="3">
        <v>0</v>
      </c>
      <c r="W1110" s="3">
        <v>0</v>
      </c>
    </row>
    <row r="1111" spans="1:23" ht="11.25" customHeight="1" x14ac:dyDescent="0.25">
      <c r="A1111" s="3" t="s">
        <v>21</v>
      </c>
      <c r="B1111" s="3" t="s">
        <v>41</v>
      </c>
      <c r="C1111" s="3" t="s">
        <v>42</v>
      </c>
      <c r="D1111" s="3" t="s">
        <v>45</v>
      </c>
      <c r="E1111" s="3" t="s">
        <v>25</v>
      </c>
      <c r="F1111" s="3" t="s">
        <v>25</v>
      </c>
      <c r="G1111" s="3" t="s">
        <v>25</v>
      </c>
      <c r="H1111" s="3" t="s">
        <v>25</v>
      </c>
      <c r="I1111" s="6">
        <v>44470</v>
      </c>
      <c r="J1111" s="4">
        <v>9526</v>
      </c>
      <c r="K1111" s="4">
        <v>9144.9599999999991</v>
      </c>
      <c r="L1111" s="4">
        <v>0</v>
      </c>
      <c r="M1111" s="4">
        <v>0</v>
      </c>
      <c r="N1111" s="4">
        <v>0</v>
      </c>
      <c r="O1111" s="4">
        <v>0</v>
      </c>
      <c r="P1111" s="4">
        <v>51</v>
      </c>
      <c r="Q1111" s="3" t="s">
        <v>26</v>
      </c>
      <c r="R1111" s="3">
        <v>0</v>
      </c>
      <c r="S1111" s="3" t="s">
        <v>354</v>
      </c>
      <c r="U1111" s="3">
        <v>44</v>
      </c>
      <c r="V1111" s="3">
        <v>0</v>
      </c>
      <c r="W1111" s="3">
        <v>0</v>
      </c>
    </row>
    <row r="1112" spans="1:23" ht="11.25" customHeight="1" x14ac:dyDescent="0.25">
      <c r="A1112" s="3" t="s">
        <v>28</v>
      </c>
      <c r="B1112" s="3" t="s">
        <v>41</v>
      </c>
      <c r="C1112" s="3" t="s">
        <v>42</v>
      </c>
      <c r="D1112" s="3" t="s">
        <v>45</v>
      </c>
      <c r="E1112" s="3" t="s">
        <v>25</v>
      </c>
      <c r="F1112" s="3" t="s">
        <v>25</v>
      </c>
      <c r="G1112" s="3" t="s">
        <v>25</v>
      </c>
      <c r="H1112" s="3" t="s">
        <v>25</v>
      </c>
      <c r="I1112" s="6">
        <v>44470</v>
      </c>
      <c r="J1112" s="4">
        <v>234</v>
      </c>
      <c r="K1112" s="4">
        <v>224.64</v>
      </c>
      <c r="L1112" s="4">
        <v>0</v>
      </c>
      <c r="M1112" s="4">
        <v>0</v>
      </c>
      <c r="N1112" s="4">
        <v>0</v>
      </c>
      <c r="O1112" s="4">
        <v>0</v>
      </c>
      <c r="P1112" s="4">
        <v>1</v>
      </c>
      <c r="Q1112" s="3" t="s">
        <v>26</v>
      </c>
      <c r="R1112" s="3">
        <v>0</v>
      </c>
      <c r="S1112" s="3" t="s">
        <v>354</v>
      </c>
      <c r="U1112" s="3">
        <v>44</v>
      </c>
      <c r="V1112" s="3">
        <v>0</v>
      </c>
      <c r="W1112" s="3">
        <v>0</v>
      </c>
    </row>
    <row r="1113" spans="1:23" ht="11.25" customHeight="1" x14ac:dyDescent="0.25">
      <c r="A1113" s="3" t="s">
        <v>21</v>
      </c>
      <c r="B1113" s="3" t="s">
        <v>41</v>
      </c>
      <c r="C1113" s="3" t="s">
        <v>42</v>
      </c>
      <c r="D1113" s="3" t="s">
        <v>45</v>
      </c>
      <c r="E1113" s="3" t="s">
        <v>25</v>
      </c>
      <c r="F1113" s="3" t="s">
        <v>25</v>
      </c>
      <c r="G1113" s="3" t="s">
        <v>25</v>
      </c>
      <c r="H1113" s="3" t="s">
        <v>25</v>
      </c>
      <c r="I1113" s="6">
        <v>44501</v>
      </c>
      <c r="J1113" s="4">
        <v>9001</v>
      </c>
      <c r="K1113" s="4">
        <v>8640.9599999999991</v>
      </c>
      <c r="L1113" s="4">
        <v>0</v>
      </c>
      <c r="M1113" s="4">
        <v>0</v>
      </c>
      <c r="N1113" s="4">
        <v>0</v>
      </c>
      <c r="O1113" s="4">
        <v>0</v>
      </c>
      <c r="P1113" s="4">
        <v>51</v>
      </c>
      <c r="Q1113" s="3" t="s">
        <v>26</v>
      </c>
      <c r="R1113" s="3">
        <v>0</v>
      </c>
      <c r="S1113" s="3" t="s">
        <v>355</v>
      </c>
      <c r="U1113" s="3">
        <v>44</v>
      </c>
      <c r="V1113" s="3">
        <v>0</v>
      </c>
      <c r="W1113" s="3">
        <v>0</v>
      </c>
    </row>
    <row r="1114" spans="1:23" ht="11.25" customHeight="1" x14ac:dyDescent="0.25">
      <c r="A1114" s="3" t="s">
        <v>28</v>
      </c>
      <c r="B1114" s="3" t="s">
        <v>41</v>
      </c>
      <c r="C1114" s="3" t="s">
        <v>42</v>
      </c>
      <c r="D1114" s="3" t="s">
        <v>45</v>
      </c>
      <c r="E1114" s="3" t="s">
        <v>25</v>
      </c>
      <c r="F1114" s="3" t="s">
        <v>25</v>
      </c>
      <c r="G1114" s="3" t="s">
        <v>25</v>
      </c>
      <c r="H1114" s="3" t="s">
        <v>25</v>
      </c>
      <c r="I1114" s="6">
        <v>44501</v>
      </c>
      <c r="J1114" s="4">
        <v>227</v>
      </c>
      <c r="K1114" s="4">
        <v>217.92</v>
      </c>
      <c r="L1114" s="4">
        <v>0</v>
      </c>
      <c r="M1114" s="4">
        <v>0</v>
      </c>
      <c r="N1114" s="4">
        <v>0</v>
      </c>
      <c r="O1114" s="4">
        <v>0</v>
      </c>
      <c r="P1114" s="4">
        <v>1</v>
      </c>
      <c r="Q1114" s="3" t="s">
        <v>26</v>
      </c>
      <c r="R1114" s="3">
        <v>0</v>
      </c>
      <c r="S1114" s="3" t="s">
        <v>355</v>
      </c>
      <c r="U1114" s="3">
        <v>44</v>
      </c>
      <c r="V1114" s="3">
        <v>0</v>
      </c>
      <c r="W1114" s="3">
        <v>0</v>
      </c>
    </row>
    <row r="1115" spans="1:23" ht="11.25" customHeight="1" x14ac:dyDescent="0.25">
      <c r="A1115" s="3" t="s">
        <v>21</v>
      </c>
      <c r="B1115" s="3" t="s">
        <v>41</v>
      </c>
      <c r="C1115" s="3" t="s">
        <v>42</v>
      </c>
      <c r="D1115" s="3" t="s">
        <v>45</v>
      </c>
      <c r="E1115" s="3" t="s">
        <v>25</v>
      </c>
      <c r="F1115" s="3" t="s">
        <v>25</v>
      </c>
      <c r="G1115" s="3" t="s">
        <v>25</v>
      </c>
      <c r="H1115" s="3" t="s">
        <v>25</v>
      </c>
      <c r="I1115" s="6">
        <v>44531</v>
      </c>
      <c r="J1115" s="4">
        <v>7799</v>
      </c>
      <c r="K1115" s="4">
        <v>7487.04</v>
      </c>
      <c r="L1115" s="4">
        <v>0</v>
      </c>
      <c r="M1115" s="4">
        <v>0</v>
      </c>
      <c r="N1115" s="4">
        <v>0</v>
      </c>
      <c r="O1115" s="4">
        <v>0</v>
      </c>
      <c r="P1115" s="4">
        <v>47</v>
      </c>
      <c r="Q1115" s="3" t="s">
        <v>26</v>
      </c>
      <c r="R1115" s="3">
        <v>0</v>
      </c>
      <c r="S1115" s="3" t="s">
        <v>356</v>
      </c>
      <c r="U1115" s="3">
        <v>44</v>
      </c>
      <c r="V1115" s="3">
        <v>0</v>
      </c>
      <c r="W1115" s="3">
        <v>0</v>
      </c>
    </row>
    <row r="1116" spans="1:23" ht="11.25" customHeight="1" x14ac:dyDescent="0.25">
      <c r="A1116" s="3" t="s">
        <v>28</v>
      </c>
      <c r="B1116" s="3" t="s">
        <v>41</v>
      </c>
      <c r="C1116" s="3" t="s">
        <v>42</v>
      </c>
      <c r="D1116" s="3" t="s">
        <v>45</v>
      </c>
      <c r="E1116" s="3" t="s">
        <v>25</v>
      </c>
      <c r="F1116" s="3" t="s">
        <v>25</v>
      </c>
      <c r="G1116" s="3" t="s">
        <v>25</v>
      </c>
      <c r="H1116" s="3" t="s">
        <v>25</v>
      </c>
      <c r="I1116" s="6">
        <v>44531</v>
      </c>
      <c r="J1116" s="4">
        <v>206</v>
      </c>
      <c r="K1116" s="4">
        <v>197.76</v>
      </c>
      <c r="L1116" s="4">
        <v>0</v>
      </c>
      <c r="M1116" s="4">
        <v>0</v>
      </c>
      <c r="N1116" s="4">
        <v>0</v>
      </c>
      <c r="O1116" s="4">
        <v>0</v>
      </c>
      <c r="P1116" s="4">
        <v>1</v>
      </c>
      <c r="Q1116" s="3" t="s">
        <v>26</v>
      </c>
      <c r="R1116" s="3">
        <v>0</v>
      </c>
      <c r="S1116" s="3" t="s">
        <v>356</v>
      </c>
      <c r="U1116" s="3">
        <v>44</v>
      </c>
      <c r="V1116" s="3">
        <v>0</v>
      </c>
      <c r="W1116" s="3">
        <v>0</v>
      </c>
    </row>
    <row r="1117" spans="1:23" ht="11.25" customHeight="1" x14ac:dyDescent="0.25">
      <c r="A1117" s="3" t="s">
        <v>21</v>
      </c>
      <c r="B1117" s="3" t="s">
        <v>41</v>
      </c>
      <c r="C1117" s="3" t="s">
        <v>42</v>
      </c>
      <c r="D1117" s="3" t="s">
        <v>45</v>
      </c>
      <c r="E1117" s="3" t="s">
        <v>25</v>
      </c>
      <c r="F1117" s="3" t="s">
        <v>25</v>
      </c>
      <c r="G1117" s="3" t="s">
        <v>25</v>
      </c>
      <c r="H1117" s="3" t="s">
        <v>25</v>
      </c>
      <c r="I1117" s="6">
        <v>44562</v>
      </c>
      <c r="J1117" s="4">
        <v>8140</v>
      </c>
      <c r="K1117" s="4">
        <v>7814.4</v>
      </c>
      <c r="L1117" s="4">
        <v>0</v>
      </c>
      <c r="M1117" s="4">
        <v>0</v>
      </c>
      <c r="N1117" s="4">
        <v>0</v>
      </c>
      <c r="O1117" s="4">
        <v>0</v>
      </c>
      <c r="P1117" s="4">
        <v>44</v>
      </c>
      <c r="Q1117" s="3" t="s">
        <v>26</v>
      </c>
      <c r="R1117" s="3">
        <v>0</v>
      </c>
      <c r="S1117" s="3" t="s">
        <v>357</v>
      </c>
      <c r="U1117" s="3">
        <v>44</v>
      </c>
      <c r="V1117" s="3">
        <v>0</v>
      </c>
      <c r="W1117" s="3">
        <v>0</v>
      </c>
    </row>
    <row r="1118" spans="1:23" ht="11.25" customHeight="1" x14ac:dyDescent="0.25">
      <c r="A1118" s="3" t="s">
        <v>27</v>
      </c>
      <c r="B1118" s="3" t="s">
        <v>41</v>
      </c>
      <c r="C1118" s="3" t="s">
        <v>42</v>
      </c>
      <c r="D1118" s="3" t="s">
        <v>45</v>
      </c>
      <c r="E1118" s="3" t="s">
        <v>25</v>
      </c>
      <c r="F1118" s="3" t="s">
        <v>25</v>
      </c>
      <c r="G1118" s="3" t="s">
        <v>25</v>
      </c>
      <c r="H1118" s="3" t="s">
        <v>25</v>
      </c>
      <c r="I1118" s="6">
        <v>44562</v>
      </c>
      <c r="J1118" s="4">
        <v>-414</v>
      </c>
      <c r="K1118" s="4">
        <v>-397.44</v>
      </c>
      <c r="L1118" s="4">
        <v>0</v>
      </c>
      <c r="M1118" s="4">
        <v>0</v>
      </c>
      <c r="N1118" s="4">
        <v>0</v>
      </c>
      <c r="O1118" s="4">
        <v>0</v>
      </c>
      <c r="P1118" s="4">
        <v>-4</v>
      </c>
      <c r="Q1118" s="3" t="s">
        <v>26</v>
      </c>
      <c r="R1118" s="3">
        <v>0</v>
      </c>
      <c r="S1118" s="3" t="s">
        <v>357</v>
      </c>
      <c r="U1118" s="3">
        <v>44</v>
      </c>
      <c r="V1118" s="3">
        <v>0</v>
      </c>
      <c r="W1118" s="3">
        <v>0</v>
      </c>
    </row>
    <row r="1119" spans="1:23" ht="11.25" customHeight="1" x14ac:dyDescent="0.25">
      <c r="A1119" s="3" t="s">
        <v>28</v>
      </c>
      <c r="B1119" s="3" t="s">
        <v>41</v>
      </c>
      <c r="C1119" s="3" t="s">
        <v>42</v>
      </c>
      <c r="D1119" s="3" t="s">
        <v>45</v>
      </c>
      <c r="E1119" s="3" t="s">
        <v>25</v>
      </c>
      <c r="F1119" s="3" t="s">
        <v>25</v>
      </c>
      <c r="G1119" s="3" t="s">
        <v>25</v>
      </c>
      <c r="H1119" s="3" t="s">
        <v>25</v>
      </c>
      <c r="I1119" s="6">
        <v>44562</v>
      </c>
      <c r="J1119" s="4">
        <v>179</v>
      </c>
      <c r="K1119" s="4">
        <v>171.84</v>
      </c>
      <c r="L1119" s="4">
        <v>0</v>
      </c>
      <c r="M1119" s="4">
        <v>0</v>
      </c>
      <c r="N1119" s="4">
        <v>0</v>
      </c>
      <c r="O1119" s="4">
        <v>0</v>
      </c>
      <c r="P1119" s="4">
        <v>1</v>
      </c>
      <c r="Q1119" s="3" t="s">
        <v>26</v>
      </c>
      <c r="R1119" s="3">
        <v>0</v>
      </c>
      <c r="S1119" s="3" t="s">
        <v>357</v>
      </c>
      <c r="U1119" s="3">
        <v>44</v>
      </c>
      <c r="V1119" s="3">
        <v>0</v>
      </c>
      <c r="W1119" s="3">
        <v>0</v>
      </c>
    </row>
    <row r="1120" spans="1:23" ht="11.25" customHeight="1" x14ac:dyDescent="0.25">
      <c r="A1120" s="3" t="s">
        <v>21</v>
      </c>
      <c r="B1120" s="3" t="s">
        <v>41</v>
      </c>
      <c r="C1120" s="3" t="s">
        <v>42</v>
      </c>
      <c r="D1120" s="3" t="s">
        <v>45</v>
      </c>
      <c r="E1120" s="3" t="s">
        <v>25</v>
      </c>
      <c r="F1120" s="3" t="s">
        <v>25</v>
      </c>
      <c r="G1120" s="3" t="s">
        <v>25</v>
      </c>
      <c r="H1120" s="3" t="s">
        <v>25</v>
      </c>
      <c r="I1120" s="6">
        <v>44593</v>
      </c>
      <c r="J1120" s="4">
        <v>8638</v>
      </c>
      <c r="K1120" s="4">
        <v>8292.48</v>
      </c>
      <c r="L1120" s="4">
        <v>0</v>
      </c>
      <c r="M1120" s="4">
        <v>0</v>
      </c>
      <c r="N1120" s="4">
        <v>0</v>
      </c>
      <c r="O1120" s="4">
        <v>0</v>
      </c>
      <c r="P1120" s="4">
        <v>43</v>
      </c>
      <c r="Q1120" s="3" t="s">
        <v>26</v>
      </c>
      <c r="R1120" s="3">
        <v>0</v>
      </c>
      <c r="S1120" s="3" t="s">
        <v>358</v>
      </c>
      <c r="U1120" s="3">
        <v>44</v>
      </c>
      <c r="V1120" s="3">
        <v>0</v>
      </c>
      <c r="W1120" s="3">
        <v>0</v>
      </c>
    </row>
    <row r="1121" spans="1:23" ht="11.25" customHeight="1" x14ac:dyDescent="0.25">
      <c r="A1121" s="3" t="s">
        <v>27</v>
      </c>
      <c r="B1121" s="3" t="s">
        <v>41</v>
      </c>
      <c r="C1121" s="3" t="s">
        <v>42</v>
      </c>
      <c r="D1121" s="3" t="s">
        <v>45</v>
      </c>
      <c r="E1121" s="3" t="s">
        <v>25</v>
      </c>
      <c r="F1121" s="3" t="s">
        <v>25</v>
      </c>
      <c r="G1121" s="3" t="s">
        <v>25</v>
      </c>
      <c r="H1121" s="3" t="s">
        <v>25</v>
      </c>
      <c r="I1121" s="6">
        <v>44593</v>
      </c>
      <c r="J1121" s="4">
        <v>14</v>
      </c>
      <c r="K1121" s="4">
        <v>13.44</v>
      </c>
      <c r="L1121" s="4">
        <v>0</v>
      </c>
      <c r="M1121" s="4">
        <v>0</v>
      </c>
      <c r="N1121" s="4">
        <v>0</v>
      </c>
      <c r="O1121" s="4">
        <v>0</v>
      </c>
      <c r="P1121" s="4">
        <v>1</v>
      </c>
      <c r="Q1121" s="3" t="s">
        <v>26</v>
      </c>
      <c r="R1121" s="3">
        <v>0</v>
      </c>
      <c r="S1121" s="3" t="s">
        <v>358</v>
      </c>
      <c r="U1121" s="3">
        <v>44</v>
      </c>
      <c r="V1121" s="3">
        <v>0</v>
      </c>
      <c r="W1121" s="3">
        <v>0</v>
      </c>
    </row>
    <row r="1122" spans="1:23" ht="11.25" customHeight="1" x14ac:dyDescent="0.25">
      <c r="A1122" s="3" t="s">
        <v>28</v>
      </c>
      <c r="B1122" s="3" t="s">
        <v>41</v>
      </c>
      <c r="C1122" s="3" t="s">
        <v>42</v>
      </c>
      <c r="D1122" s="3" t="s">
        <v>45</v>
      </c>
      <c r="E1122" s="3" t="s">
        <v>25</v>
      </c>
      <c r="F1122" s="3" t="s">
        <v>25</v>
      </c>
      <c r="G1122" s="3" t="s">
        <v>25</v>
      </c>
      <c r="H1122" s="3" t="s">
        <v>25</v>
      </c>
      <c r="I1122" s="6">
        <v>44593</v>
      </c>
      <c r="J1122" s="4">
        <v>270</v>
      </c>
      <c r="K1122" s="4">
        <v>259.2</v>
      </c>
      <c r="L1122" s="4">
        <v>0</v>
      </c>
      <c r="M1122" s="4">
        <v>0</v>
      </c>
      <c r="N1122" s="4">
        <v>0</v>
      </c>
      <c r="O1122" s="4">
        <v>0</v>
      </c>
      <c r="P1122" s="4">
        <v>2</v>
      </c>
      <c r="Q1122" s="3" t="s">
        <v>26</v>
      </c>
      <c r="R1122" s="3">
        <v>0</v>
      </c>
      <c r="S1122" s="3" t="s">
        <v>358</v>
      </c>
      <c r="U1122" s="3">
        <v>44</v>
      </c>
      <c r="V1122" s="3">
        <v>0</v>
      </c>
      <c r="W1122" s="3">
        <v>0</v>
      </c>
    </row>
    <row r="1123" spans="1:23" ht="11.25" customHeight="1" x14ac:dyDescent="0.25">
      <c r="A1123" s="3" t="s">
        <v>56</v>
      </c>
      <c r="B1123" s="3" t="s">
        <v>41</v>
      </c>
      <c r="C1123" s="3" t="s">
        <v>42</v>
      </c>
      <c r="D1123" s="3" t="s">
        <v>45</v>
      </c>
      <c r="E1123" s="3" t="s">
        <v>25</v>
      </c>
      <c r="F1123" s="3" t="s">
        <v>25</v>
      </c>
      <c r="G1123" s="3" t="s">
        <v>25</v>
      </c>
      <c r="H1123" s="3" t="s">
        <v>25</v>
      </c>
      <c r="I1123" s="6">
        <v>44621</v>
      </c>
      <c r="J1123" s="4">
        <v>8638</v>
      </c>
      <c r="K1123" s="4">
        <v>8292.48</v>
      </c>
      <c r="L1123" s="4">
        <v>0</v>
      </c>
      <c r="M1123" s="4">
        <v>0</v>
      </c>
      <c r="N1123" s="4">
        <v>0</v>
      </c>
      <c r="O1123" s="4">
        <v>0</v>
      </c>
      <c r="P1123" s="4">
        <v>43</v>
      </c>
      <c r="Q1123" s="3" t="s">
        <v>26</v>
      </c>
      <c r="R1123" s="3">
        <v>0</v>
      </c>
      <c r="S1123" s="3" t="s">
        <v>359</v>
      </c>
      <c r="U1123" s="3">
        <v>44</v>
      </c>
      <c r="V1123" s="3">
        <v>0</v>
      </c>
      <c r="W1123" s="3">
        <v>0</v>
      </c>
    </row>
    <row r="1124" spans="1:23" ht="11.25" customHeight="1" x14ac:dyDescent="0.25">
      <c r="A1124" s="3" t="s">
        <v>56</v>
      </c>
      <c r="B1124" s="3" t="s">
        <v>41</v>
      </c>
      <c r="C1124" s="3" t="s">
        <v>42</v>
      </c>
      <c r="D1124" s="3" t="s">
        <v>45</v>
      </c>
      <c r="E1124" s="3" t="s">
        <v>25</v>
      </c>
      <c r="F1124" s="3" t="s">
        <v>25</v>
      </c>
      <c r="G1124" s="3" t="s">
        <v>25</v>
      </c>
      <c r="H1124" s="3" t="s">
        <v>25</v>
      </c>
      <c r="I1124" s="6">
        <v>44621</v>
      </c>
      <c r="J1124" s="4">
        <v>14</v>
      </c>
      <c r="K1124" s="4">
        <v>13.44</v>
      </c>
      <c r="L1124" s="4">
        <v>0</v>
      </c>
      <c r="M1124" s="4">
        <v>0</v>
      </c>
      <c r="N1124" s="4">
        <v>0</v>
      </c>
      <c r="O1124" s="4">
        <v>0</v>
      </c>
      <c r="P1124" s="4">
        <v>1</v>
      </c>
      <c r="Q1124" s="3" t="s">
        <v>26</v>
      </c>
      <c r="R1124" s="3">
        <v>0</v>
      </c>
      <c r="S1124" s="3" t="s">
        <v>359</v>
      </c>
      <c r="U1124" s="3">
        <v>44</v>
      </c>
      <c r="V1124" s="3">
        <v>0</v>
      </c>
      <c r="W1124" s="3">
        <v>0</v>
      </c>
    </row>
    <row r="1125" spans="1:23" ht="11.25" customHeight="1" x14ac:dyDescent="0.25">
      <c r="A1125" s="3" t="s">
        <v>56</v>
      </c>
      <c r="B1125" s="3" t="s">
        <v>41</v>
      </c>
      <c r="C1125" s="3" t="s">
        <v>42</v>
      </c>
      <c r="D1125" s="3" t="s">
        <v>45</v>
      </c>
      <c r="E1125" s="3" t="s">
        <v>25</v>
      </c>
      <c r="F1125" s="3" t="s">
        <v>25</v>
      </c>
      <c r="G1125" s="3" t="s">
        <v>25</v>
      </c>
      <c r="H1125" s="3" t="s">
        <v>25</v>
      </c>
      <c r="I1125" s="6">
        <v>44621</v>
      </c>
      <c r="J1125" s="4">
        <v>270</v>
      </c>
      <c r="K1125" s="4">
        <v>259.2</v>
      </c>
      <c r="L1125" s="4">
        <v>0</v>
      </c>
      <c r="M1125" s="4">
        <v>0</v>
      </c>
      <c r="N1125" s="4">
        <v>0</v>
      </c>
      <c r="O1125" s="4">
        <v>0</v>
      </c>
      <c r="P1125" s="4">
        <v>2</v>
      </c>
      <c r="Q1125" s="3" t="s">
        <v>26</v>
      </c>
      <c r="R1125" s="3">
        <v>0</v>
      </c>
      <c r="S1125" s="3" t="s">
        <v>359</v>
      </c>
      <c r="U1125" s="3">
        <v>44</v>
      </c>
      <c r="V1125" s="3">
        <v>0</v>
      </c>
      <c r="W1125" s="3">
        <v>0</v>
      </c>
    </row>
    <row r="1126" spans="1:23" ht="11.25" customHeight="1" x14ac:dyDescent="0.25">
      <c r="A1126" s="3" t="s">
        <v>21</v>
      </c>
      <c r="B1126" s="3" t="s">
        <v>41</v>
      </c>
      <c r="C1126" s="3" t="s">
        <v>42</v>
      </c>
      <c r="D1126" s="3" t="s">
        <v>45</v>
      </c>
      <c r="E1126" s="3" t="s">
        <v>25</v>
      </c>
      <c r="F1126" s="3" t="s">
        <v>25</v>
      </c>
      <c r="G1126" s="3" t="s">
        <v>25</v>
      </c>
      <c r="H1126" s="3" t="s">
        <v>34</v>
      </c>
      <c r="I1126" s="6">
        <v>44287</v>
      </c>
      <c r="J1126" s="4">
        <v>0</v>
      </c>
      <c r="K1126" s="4">
        <v>0</v>
      </c>
      <c r="L1126" s="4">
        <v>30.745999999999999</v>
      </c>
      <c r="M1126" s="4">
        <v>29.516159999999999</v>
      </c>
      <c r="N1126" s="4">
        <v>30.745999999999999</v>
      </c>
      <c r="O1126" s="4">
        <v>29.516159999999999</v>
      </c>
      <c r="P1126" s="4">
        <v>0</v>
      </c>
      <c r="Q1126" s="3" t="s">
        <v>26</v>
      </c>
      <c r="R1126" s="3">
        <v>0</v>
      </c>
      <c r="S1126" s="3" t="s">
        <v>360</v>
      </c>
      <c r="T1126" s="3" t="s">
        <v>623</v>
      </c>
      <c r="U1126" s="3">
        <v>0</v>
      </c>
      <c r="V1126" s="3">
        <v>20</v>
      </c>
      <c r="W1126" s="3">
        <v>88</v>
      </c>
    </row>
    <row r="1127" spans="1:23" ht="11.25" customHeight="1" x14ac:dyDescent="0.25">
      <c r="A1127" s="3" t="s">
        <v>21</v>
      </c>
      <c r="B1127" s="3" t="s">
        <v>41</v>
      </c>
      <c r="C1127" s="3" t="s">
        <v>42</v>
      </c>
      <c r="D1127" s="3" t="s">
        <v>45</v>
      </c>
      <c r="E1127" s="3" t="s">
        <v>25</v>
      </c>
      <c r="F1127" s="3" t="s">
        <v>25</v>
      </c>
      <c r="G1127" s="3" t="s">
        <v>25</v>
      </c>
      <c r="H1127" s="3" t="s">
        <v>34</v>
      </c>
      <c r="I1127" s="6">
        <v>44317</v>
      </c>
      <c r="J1127" s="4">
        <v>0</v>
      </c>
      <c r="K1127" s="4">
        <v>0</v>
      </c>
      <c r="L1127" s="4">
        <v>260.08</v>
      </c>
      <c r="M1127" s="4">
        <v>249.67679999999999</v>
      </c>
      <c r="N1127" s="4">
        <v>260.08</v>
      </c>
      <c r="O1127" s="4">
        <v>249.67679999999999</v>
      </c>
      <c r="P1127" s="4">
        <v>0</v>
      </c>
      <c r="Q1127" s="3" t="s">
        <v>26</v>
      </c>
      <c r="R1127" s="3">
        <v>0</v>
      </c>
      <c r="S1127" s="3" t="s">
        <v>361</v>
      </c>
      <c r="T1127" s="3" t="s">
        <v>624</v>
      </c>
      <c r="U1127" s="3">
        <v>0</v>
      </c>
      <c r="V1127" s="3">
        <v>20</v>
      </c>
      <c r="W1127" s="3">
        <v>88</v>
      </c>
    </row>
    <row r="1128" spans="1:23" ht="11.25" customHeight="1" x14ac:dyDescent="0.25">
      <c r="A1128" s="3" t="s">
        <v>27</v>
      </c>
      <c r="B1128" s="3" t="s">
        <v>41</v>
      </c>
      <c r="C1128" s="3" t="s">
        <v>42</v>
      </c>
      <c r="D1128" s="3" t="s">
        <v>45</v>
      </c>
      <c r="E1128" s="3" t="s">
        <v>25</v>
      </c>
      <c r="F1128" s="3" t="s">
        <v>25</v>
      </c>
      <c r="G1128" s="3" t="s">
        <v>25</v>
      </c>
      <c r="H1128" s="3" t="s">
        <v>34</v>
      </c>
      <c r="I1128" s="6">
        <v>44317</v>
      </c>
      <c r="J1128" s="4">
        <v>0</v>
      </c>
      <c r="K1128" s="4">
        <v>0</v>
      </c>
      <c r="L1128" s="4">
        <v>0.08</v>
      </c>
      <c r="M1128" s="4">
        <v>7.6799999999999993E-2</v>
      </c>
      <c r="N1128" s="4">
        <v>0.08</v>
      </c>
      <c r="O1128" s="4">
        <v>7.6799999999999993E-2</v>
      </c>
      <c r="P1128" s="4">
        <v>0</v>
      </c>
      <c r="Q1128" s="3" t="s">
        <v>26</v>
      </c>
      <c r="R1128" s="3">
        <v>0</v>
      </c>
      <c r="S1128" s="3" t="s">
        <v>361</v>
      </c>
      <c r="T1128" s="3" t="s">
        <v>624</v>
      </c>
      <c r="U1128" s="3">
        <v>0</v>
      </c>
      <c r="V1128" s="3">
        <v>20</v>
      </c>
      <c r="W1128" s="3">
        <v>88</v>
      </c>
    </row>
    <row r="1129" spans="1:23" ht="11.25" customHeight="1" x14ac:dyDescent="0.25">
      <c r="A1129" s="3" t="s">
        <v>21</v>
      </c>
      <c r="B1129" s="3" t="s">
        <v>41</v>
      </c>
      <c r="C1129" s="3" t="s">
        <v>42</v>
      </c>
      <c r="D1129" s="3" t="s">
        <v>45</v>
      </c>
      <c r="E1129" s="3" t="s">
        <v>25</v>
      </c>
      <c r="F1129" s="3" t="s">
        <v>25</v>
      </c>
      <c r="G1129" s="3" t="s">
        <v>25</v>
      </c>
      <c r="H1129" s="3" t="s">
        <v>34</v>
      </c>
      <c r="I1129" s="6">
        <v>44348</v>
      </c>
      <c r="J1129" s="4">
        <v>0</v>
      </c>
      <c r="K1129" s="4">
        <v>0</v>
      </c>
      <c r="L1129" s="4">
        <v>24.515999999999998</v>
      </c>
      <c r="M1129" s="4">
        <v>23.535360000000001</v>
      </c>
      <c r="N1129" s="4">
        <v>24.515999999999998</v>
      </c>
      <c r="O1129" s="4">
        <v>23.535360000000001</v>
      </c>
      <c r="P1129" s="4">
        <v>0</v>
      </c>
      <c r="Q1129" s="3" t="s">
        <v>26</v>
      </c>
      <c r="R1129" s="3">
        <v>0</v>
      </c>
      <c r="S1129" s="3" t="s">
        <v>362</v>
      </c>
      <c r="T1129" s="3" t="s">
        <v>625</v>
      </c>
      <c r="U1129" s="3">
        <v>0</v>
      </c>
      <c r="V1129" s="3">
        <v>20</v>
      </c>
      <c r="W1129" s="3">
        <v>88</v>
      </c>
    </row>
    <row r="1130" spans="1:23" ht="11.25" customHeight="1" x14ac:dyDescent="0.25">
      <c r="A1130" s="3" t="s">
        <v>21</v>
      </c>
      <c r="B1130" s="3" t="s">
        <v>41</v>
      </c>
      <c r="C1130" s="3" t="s">
        <v>42</v>
      </c>
      <c r="D1130" s="3" t="s">
        <v>45</v>
      </c>
      <c r="E1130" s="3" t="s">
        <v>25</v>
      </c>
      <c r="F1130" s="3" t="s">
        <v>25</v>
      </c>
      <c r="G1130" s="3" t="s">
        <v>25</v>
      </c>
      <c r="H1130" s="3" t="s">
        <v>34</v>
      </c>
      <c r="I1130" s="6">
        <v>44378</v>
      </c>
      <c r="J1130" s="4">
        <v>0</v>
      </c>
      <c r="K1130" s="4">
        <v>0</v>
      </c>
      <c r="L1130" s="4">
        <v>27.988</v>
      </c>
      <c r="M1130" s="4">
        <v>26.868480000000002</v>
      </c>
      <c r="N1130" s="4">
        <v>27.988</v>
      </c>
      <c r="O1130" s="4">
        <v>26.868480000000002</v>
      </c>
      <c r="P1130" s="4">
        <v>0</v>
      </c>
      <c r="Q1130" s="3" t="s">
        <v>26</v>
      </c>
      <c r="R1130" s="3">
        <v>0</v>
      </c>
      <c r="S1130" s="3" t="s">
        <v>363</v>
      </c>
      <c r="T1130" s="3" t="s">
        <v>626</v>
      </c>
      <c r="U1130" s="3">
        <v>0</v>
      </c>
      <c r="V1130" s="3">
        <v>20</v>
      </c>
      <c r="W1130" s="3">
        <v>88</v>
      </c>
    </row>
    <row r="1131" spans="1:23" ht="11.25" customHeight="1" x14ac:dyDescent="0.25">
      <c r="A1131" s="3" t="s">
        <v>27</v>
      </c>
      <c r="B1131" s="3" t="s">
        <v>41</v>
      </c>
      <c r="C1131" s="3" t="s">
        <v>42</v>
      </c>
      <c r="D1131" s="3" t="s">
        <v>45</v>
      </c>
      <c r="E1131" s="3" t="s">
        <v>25</v>
      </c>
      <c r="F1131" s="3" t="s">
        <v>25</v>
      </c>
      <c r="G1131" s="3" t="s">
        <v>25</v>
      </c>
      <c r="H1131" s="3" t="s">
        <v>34</v>
      </c>
      <c r="I1131" s="6">
        <v>44378</v>
      </c>
      <c r="J1131" s="4">
        <v>0</v>
      </c>
      <c r="K1131" s="4">
        <v>0</v>
      </c>
      <c r="L1131" s="4">
        <v>8.2000000000000003E-2</v>
      </c>
      <c r="M1131" s="4">
        <v>7.8719999999999998E-2</v>
      </c>
      <c r="N1131" s="4">
        <v>8.2000000000000003E-2</v>
      </c>
      <c r="O1131" s="4">
        <v>7.8719999999999998E-2</v>
      </c>
      <c r="P1131" s="4">
        <v>0</v>
      </c>
      <c r="Q1131" s="3" t="s">
        <v>26</v>
      </c>
      <c r="R1131" s="3">
        <v>0</v>
      </c>
      <c r="S1131" s="3" t="s">
        <v>363</v>
      </c>
      <c r="T1131" s="3" t="s">
        <v>626</v>
      </c>
      <c r="U1131" s="3">
        <v>0</v>
      </c>
      <c r="V1131" s="3">
        <v>20</v>
      </c>
      <c r="W1131" s="3">
        <v>88</v>
      </c>
    </row>
    <row r="1132" spans="1:23" ht="11.25" customHeight="1" x14ac:dyDescent="0.25">
      <c r="A1132" s="3" t="s">
        <v>28</v>
      </c>
      <c r="B1132" s="3" t="s">
        <v>41</v>
      </c>
      <c r="C1132" s="3" t="s">
        <v>42</v>
      </c>
      <c r="D1132" s="3" t="s">
        <v>45</v>
      </c>
      <c r="E1132" s="3" t="s">
        <v>25</v>
      </c>
      <c r="F1132" s="3" t="s">
        <v>25</v>
      </c>
      <c r="G1132" s="3" t="s">
        <v>25</v>
      </c>
      <c r="H1132" s="3" t="s">
        <v>34</v>
      </c>
      <c r="I1132" s="6">
        <v>44378</v>
      </c>
      <c r="J1132" s="4">
        <v>0</v>
      </c>
      <c r="K1132" s="4">
        <v>0</v>
      </c>
      <c r="L1132" s="4">
        <v>0.35</v>
      </c>
      <c r="M1132" s="4">
        <v>0.33600000000000002</v>
      </c>
      <c r="N1132" s="4">
        <v>0.35</v>
      </c>
      <c r="O1132" s="4">
        <v>0.33600000000000002</v>
      </c>
      <c r="P1132" s="4">
        <v>0</v>
      </c>
      <c r="Q1132" s="3" t="s">
        <v>26</v>
      </c>
      <c r="R1132" s="3">
        <v>0</v>
      </c>
      <c r="S1132" s="3" t="s">
        <v>363</v>
      </c>
      <c r="T1132" s="3" t="s">
        <v>626</v>
      </c>
      <c r="U1132" s="3">
        <v>0</v>
      </c>
      <c r="V1132" s="3">
        <v>20</v>
      </c>
      <c r="W1132" s="3">
        <v>88</v>
      </c>
    </row>
    <row r="1133" spans="1:23" ht="11.25" customHeight="1" x14ac:dyDescent="0.25">
      <c r="A1133" s="3" t="s">
        <v>21</v>
      </c>
      <c r="B1133" s="3" t="s">
        <v>41</v>
      </c>
      <c r="C1133" s="3" t="s">
        <v>42</v>
      </c>
      <c r="D1133" s="3" t="s">
        <v>45</v>
      </c>
      <c r="E1133" s="3" t="s">
        <v>25</v>
      </c>
      <c r="F1133" s="3" t="s">
        <v>25</v>
      </c>
      <c r="G1133" s="3" t="s">
        <v>25</v>
      </c>
      <c r="H1133" s="3" t="s">
        <v>34</v>
      </c>
      <c r="I1133" s="6">
        <v>44409</v>
      </c>
      <c r="J1133" s="4">
        <v>0</v>
      </c>
      <c r="K1133" s="4">
        <v>0</v>
      </c>
      <c r="L1133" s="4">
        <v>24.655999999999999</v>
      </c>
      <c r="M1133" s="4">
        <v>23.66976</v>
      </c>
      <c r="N1133" s="4">
        <v>24.655999999999999</v>
      </c>
      <c r="O1133" s="4">
        <v>23.66976</v>
      </c>
      <c r="P1133" s="4">
        <v>0</v>
      </c>
      <c r="Q1133" s="3" t="s">
        <v>26</v>
      </c>
      <c r="R1133" s="3">
        <v>0</v>
      </c>
      <c r="S1133" s="3" t="s">
        <v>364</v>
      </c>
      <c r="T1133" s="3" t="s">
        <v>627</v>
      </c>
      <c r="U1133" s="3">
        <v>0</v>
      </c>
      <c r="V1133" s="3">
        <v>20</v>
      </c>
      <c r="W1133" s="3">
        <v>88</v>
      </c>
    </row>
    <row r="1134" spans="1:23" ht="11.25" customHeight="1" x14ac:dyDescent="0.25">
      <c r="A1134" s="3" t="s">
        <v>27</v>
      </c>
      <c r="B1134" s="3" t="s">
        <v>41</v>
      </c>
      <c r="C1134" s="3" t="s">
        <v>42</v>
      </c>
      <c r="D1134" s="3" t="s">
        <v>45</v>
      </c>
      <c r="E1134" s="3" t="s">
        <v>25</v>
      </c>
      <c r="F1134" s="3" t="s">
        <v>25</v>
      </c>
      <c r="G1134" s="3" t="s">
        <v>25</v>
      </c>
      <c r="H1134" s="3" t="s">
        <v>34</v>
      </c>
      <c r="I1134" s="6">
        <v>44409</v>
      </c>
      <c r="J1134" s="4">
        <v>0</v>
      </c>
      <c r="K1134" s="4">
        <v>0</v>
      </c>
      <c r="L1134" s="4">
        <v>-233.1</v>
      </c>
      <c r="M1134" s="4">
        <v>-223.77600000000001</v>
      </c>
      <c r="N1134" s="4">
        <v>-233.1</v>
      </c>
      <c r="O1134" s="4">
        <v>-223.77600000000001</v>
      </c>
      <c r="P1134" s="4">
        <v>0</v>
      </c>
      <c r="Q1134" s="3" t="s">
        <v>26</v>
      </c>
      <c r="R1134" s="3">
        <v>0</v>
      </c>
      <c r="S1134" s="3" t="s">
        <v>364</v>
      </c>
      <c r="T1134" s="3" t="s">
        <v>627</v>
      </c>
      <c r="U1134" s="3">
        <v>0</v>
      </c>
      <c r="V1134" s="3">
        <v>20</v>
      </c>
      <c r="W1134" s="3">
        <v>88</v>
      </c>
    </row>
    <row r="1135" spans="1:23" ht="11.25" customHeight="1" x14ac:dyDescent="0.25">
      <c r="A1135" s="3" t="s">
        <v>21</v>
      </c>
      <c r="B1135" s="3" t="s">
        <v>41</v>
      </c>
      <c r="C1135" s="3" t="s">
        <v>42</v>
      </c>
      <c r="D1135" s="3" t="s">
        <v>45</v>
      </c>
      <c r="E1135" s="3" t="s">
        <v>25</v>
      </c>
      <c r="F1135" s="3" t="s">
        <v>25</v>
      </c>
      <c r="G1135" s="3" t="s">
        <v>25</v>
      </c>
      <c r="H1135" s="3" t="s">
        <v>34</v>
      </c>
      <c r="I1135" s="6">
        <v>44440</v>
      </c>
      <c r="J1135" s="4">
        <v>0</v>
      </c>
      <c r="K1135" s="4">
        <v>0</v>
      </c>
      <c r="L1135" s="4">
        <v>29.007000000000001</v>
      </c>
      <c r="M1135" s="4">
        <v>27.846720000000001</v>
      </c>
      <c r="N1135" s="4">
        <v>29.007000000000001</v>
      </c>
      <c r="O1135" s="4">
        <v>27.846720000000001</v>
      </c>
      <c r="P1135" s="4">
        <v>0</v>
      </c>
      <c r="Q1135" s="3" t="s">
        <v>26</v>
      </c>
      <c r="R1135" s="3">
        <v>0</v>
      </c>
      <c r="S1135" s="3" t="s">
        <v>365</v>
      </c>
      <c r="T1135" s="3" t="s">
        <v>628</v>
      </c>
      <c r="U1135" s="3">
        <v>0</v>
      </c>
      <c r="V1135" s="3">
        <v>20</v>
      </c>
      <c r="W1135" s="3">
        <v>88</v>
      </c>
    </row>
    <row r="1136" spans="1:23" ht="11.25" customHeight="1" x14ac:dyDescent="0.25">
      <c r="A1136" s="3" t="s">
        <v>28</v>
      </c>
      <c r="B1136" s="3" t="s">
        <v>41</v>
      </c>
      <c r="C1136" s="3" t="s">
        <v>42</v>
      </c>
      <c r="D1136" s="3" t="s">
        <v>45</v>
      </c>
      <c r="E1136" s="3" t="s">
        <v>25</v>
      </c>
      <c r="F1136" s="3" t="s">
        <v>25</v>
      </c>
      <c r="G1136" s="3" t="s">
        <v>25</v>
      </c>
      <c r="H1136" s="3" t="s">
        <v>34</v>
      </c>
      <c r="I1136" s="6">
        <v>44440</v>
      </c>
      <c r="J1136" s="4">
        <v>0</v>
      </c>
      <c r="K1136" s="4">
        <v>0</v>
      </c>
      <c r="L1136" s="4">
        <v>0.35</v>
      </c>
      <c r="M1136" s="4">
        <v>0.33600000000000002</v>
      </c>
      <c r="N1136" s="4">
        <v>0.35</v>
      </c>
      <c r="O1136" s="4">
        <v>0.33600000000000002</v>
      </c>
      <c r="P1136" s="4">
        <v>0</v>
      </c>
      <c r="Q1136" s="3" t="s">
        <v>26</v>
      </c>
      <c r="R1136" s="3">
        <v>0</v>
      </c>
      <c r="S1136" s="3" t="s">
        <v>365</v>
      </c>
      <c r="T1136" s="3" t="s">
        <v>628</v>
      </c>
      <c r="U1136" s="3">
        <v>0</v>
      </c>
      <c r="V1136" s="3">
        <v>20</v>
      </c>
      <c r="W1136" s="3">
        <v>88</v>
      </c>
    </row>
    <row r="1137" spans="1:23" ht="11.25" customHeight="1" x14ac:dyDescent="0.25">
      <c r="A1137" s="3" t="s">
        <v>21</v>
      </c>
      <c r="B1137" s="3" t="s">
        <v>41</v>
      </c>
      <c r="C1137" s="3" t="s">
        <v>42</v>
      </c>
      <c r="D1137" s="3" t="s">
        <v>45</v>
      </c>
      <c r="E1137" s="3" t="s">
        <v>25</v>
      </c>
      <c r="F1137" s="3" t="s">
        <v>25</v>
      </c>
      <c r="G1137" s="3" t="s">
        <v>25</v>
      </c>
      <c r="H1137" s="3" t="s">
        <v>34</v>
      </c>
      <c r="I1137" s="6">
        <v>44470</v>
      </c>
      <c r="J1137" s="4">
        <v>0</v>
      </c>
      <c r="K1137" s="4">
        <v>0</v>
      </c>
      <c r="L1137" s="4">
        <v>35.317999999999998</v>
      </c>
      <c r="M1137" s="4">
        <v>33.905279999999998</v>
      </c>
      <c r="N1137" s="4">
        <v>35.317999999999998</v>
      </c>
      <c r="O1137" s="4">
        <v>33.905279999999998</v>
      </c>
      <c r="P1137" s="4">
        <v>0</v>
      </c>
      <c r="Q1137" s="3" t="s">
        <v>26</v>
      </c>
      <c r="R1137" s="3">
        <v>0</v>
      </c>
      <c r="S1137" s="3" t="s">
        <v>366</v>
      </c>
      <c r="T1137" s="3" t="s">
        <v>629</v>
      </c>
      <c r="U1137" s="3">
        <v>0</v>
      </c>
      <c r="V1137" s="3">
        <v>20</v>
      </c>
      <c r="W1137" s="3">
        <v>88</v>
      </c>
    </row>
    <row r="1138" spans="1:23" ht="11.25" customHeight="1" x14ac:dyDescent="0.25">
      <c r="A1138" s="3" t="s">
        <v>21</v>
      </c>
      <c r="B1138" s="3" t="s">
        <v>41</v>
      </c>
      <c r="C1138" s="3" t="s">
        <v>42</v>
      </c>
      <c r="D1138" s="3" t="s">
        <v>45</v>
      </c>
      <c r="E1138" s="3" t="s">
        <v>25</v>
      </c>
      <c r="F1138" s="3" t="s">
        <v>25</v>
      </c>
      <c r="G1138" s="3" t="s">
        <v>25</v>
      </c>
      <c r="H1138" s="3" t="s">
        <v>34</v>
      </c>
      <c r="I1138" s="6">
        <v>44501</v>
      </c>
      <c r="J1138" s="4">
        <v>0</v>
      </c>
      <c r="K1138" s="4">
        <v>0</v>
      </c>
      <c r="L1138" s="4">
        <v>46.494</v>
      </c>
      <c r="M1138" s="4">
        <v>44.634239999999998</v>
      </c>
      <c r="N1138" s="4">
        <v>46.494</v>
      </c>
      <c r="O1138" s="4">
        <v>44.634239999999998</v>
      </c>
      <c r="P1138" s="4">
        <v>0</v>
      </c>
      <c r="Q1138" s="3" t="s">
        <v>26</v>
      </c>
      <c r="R1138" s="3">
        <v>0</v>
      </c>
      <c r="S1138" s="3" t="s">
        <v>367</v>
      </c>
      <c r="T1138" s="3" t="s">
        <v>630</v>
      </c>
      <c r="U1138" s="3">
        <v>0</v>
      </c>
      <c r="V1138" s="3">
        <v>20</v>
      </c>
      <c r="W1138" s="3">
        <v>88</v>
      </c>
    </row>
    <row r="1139" spans="1:23" ht="11.25" customHeight="1" x14ac:dyDescent="0.25">
      <c r="A1139" s="3" t="s">
        <v>21</v>
      </c>
      <c r="B1139" s="3" t="s">
        <v>41</v>
      </c>
      <c r="C1139" s="3" t="s">
        <v>42</v>
      </c>
      <c r="D1139" s="3" t="s">
        <v>45</v>
      </c>
      <c r="E1139" s="3" t="s">
        <v>25</v>
      </c>
      <c r="F1139" s="3" t="s">
        <v>25</v>
      </c>
      <c r="G1139" s="3" t="s">
        <v>25</v>
      </c>
      <c r="H1139" s="3" t="s">
        <v>34</v>
      </c>
      <c r="I1139" s="6">
        <v>44531</v>
      </c>
      <c r="J1139" s="4">
        <v>0</v>
      </c>
      <c r="K1139" s="4">
        <v>0</v>
      </c>
      <c r="L1139" s="4">
        <v>36.526000000000003</v>
      </c>
      <c r="M1139" s="4">
        <v>35.064959999999999</v>
      </c>
      <c r="N1139" s="4">
        <v>36.526000000000003</v>
      </c>
      <c r="O1139" s="4">
        <v>35.064959999999999</v>
      </c>
      <c r="P1139" s="4">
        <v>0</v>
      </c>
      <c r="Q1139" s="3" t="s">
        <v>26</v>
      </c>
      <c r="R1139" s="3">
        <v>0</v>
      </c>
      <c r="S1139" s="3" t="s">
        <v>368</v>
      </c>
      <c r="T1139" s="3" t="s">
        <v>631</v>
      </c>
      <c r="U1139" s="3">
        <v>0</v>
      </c>
      <c r="V1139" s="3">
        <v>20</v>
      </c>
      <c r="W1139" s="3">
        <v>88</v>
      </c>
    </row>
    <row r="1140" spans="1:23" ht="11.25" customHeight="1" x14ac:dyDescent="0.25">
      <c r="A1140" s="3" t="s">
        <v>28</v>
      </c>
      <c r="B1140" s="3" t="s">
        <v>41</v>
      </c>
      <c r="C1140" s="3" t="s">
        <v>42</v>
      </c>
      <c r="D1140" s="3" t="s">
        <v>45</v>
      </c>
      <c r="E1140" s="3" t="s">
        <v>25</v>
      </c>
      <c r="F1140" s="3" t="s">
        <v>25</v>
      </c>
      <c r="G1140" s="3" t="s">
        <v>25</v>
      </c>
      <c r="H1140" s="3" t="s">
        <v>34</v>
      </c>
      <c r="I1140" s="6">
        <v>44531</v>
      </c>
      <c r="J1140" s="4">
        <v>0</v>
      </c>
      <c r="K1140" s="4">
        <v>0</v>
      </c>
      <c r="L1140" s="4">
        <v>0.35</v>
      </c>
      <c r="M1140" s="4">
        <v>0.33600000000000002</v>
      </c>
      <c r="N1140" s="4">
        <v>0.35</v>
      </c>
      <c r="O1140" s="4">
        <v>0.33600000000000002</v>
      </c>
      <c r="P1140" s="4">
        <v>0</v>
      </c>
      <c r="Q1140" s="3" t="s">
        <v>26</v>
      </c>
      <c r="R1140" s="3">
        <v>0</v>
      </c>
      <c r="S1140" s="3" t="s">
        <v>368</v>
      </c>
      <c r="T1140" s="3" t="s">
        <v>631</v>
      </c>
      <c r="U1140" s="3">
        <v>0</v>
      </c>
      <c r="V1140" s="3">
        <v>20</v>
      </c>
      <c r="W1140" s="3">
        <v>88</v>
      </c>
    </row>
    <row r="1141" spans="1:23" ht="11.25" customHeight="1" x14ac:dyDescent="0.25">
      <c r="A1141" s="3" t="s">
        <v>21</v>
      </c>
      <c r="B1141" s="3" t="s">
        <v>41</v>
      </c>
      <c r="C1141" s="3" t="s">
        <v>42</v>
      </c>
      <c r="D1141" s="3" t="s">
        <v>45</v>
      </c>
      <c r="E1141" s="3" t="s">
        <v>25</v>
      </c>
      <c r="F1141" s="3" t="s">
        <v>25</v>
      </c>
      <c r="G1141" s="3" t="s">
        <v>25</v>
      </c>
      <c r="H1141" s="3" t="s">
        <v>34</v>
      </c>
      <c r="I1141" s="6">
        <v>44562</v>
      </c>
      <c r="J1141" s="4">
        <v>0</v>
      </c>
      <c r="K1141" s="4">
        <v>0</v>
      </c>
      <c r="L1141" s="4">
        <v>29.971</v>
      </c>
      <c r="M1141" s="4">
        <v>28.77216</v>
      </c>
      <c r="N1141" s="4">
        <v>29.971</v>
      </c>
      <c r="O1141" s="4">
        <v>28.77216</v>
      </c>
      <c r="P1141" s="4">
        <v>0</v>
      </c>
      <c r="Q1141" s="3" t="s">
        <v>26</v>
      </c>
      <c r="R1141" s="3">
        <v>0</v>
      </c>
      <c r="S1141" s="3" t="s">
        <v>369</v>
      </c>
      <c r="T1141" s="3" t="s">
        <v>632</v>
      </c>
      <c r="U1141" s="3">
        <v>0</v>
      </c>
      <c r="V1141" s="3">
        <v>20</v>
      </c>
      <c r="W1141" s="3">
        <v>88</v>
      </c>
    </row>
    <row r="1142" spans="1:23" ht="11.25" customHeight="1" x14ac:dyDescent="0.25">
      <c r="A1142" s="3" t="s">
        <v>27</v>
      </c>
      <c r="B1142" s="3" t="s">
        <v>41</v>
      </c>
      <c r="C1142" s="3" t="s">
        <v>42</v>
      </c>
      <c r="D1142" s="3" t="s">
        <v>45</v>
      </c>
      <c r="E1142" s="3" t="s">
        <v>25</v>
      </c>
      <c r="F1142" s="3" t="s">
        <v>25</v>
      </c>
      <c r="G1142" s="3" t="s">
        <v>25</v>
      </c>
      <c r="H1142" s="3" t="s">
        <v>34</v>
      </c>
      <c r="I1142" s="6">
        <v>44562</v>
      </c>
      <c r="J1142" s="4">
        <v>0</v>
      </c>
      <c r="K1142" s="4">
        <v>0</v>
      </c>
      <c r="L1142" s="4">
        <v>-0.20100000000000001</v>
      </c>
      <c r="M1142" s="4">
        <v>-0.19295999999999999</v>
      </c>
      <c r="N1142" s="4">
        <v>-0.20100000000000001</v>
      </c>
      <c r="O1142" s="4">
        <v>-0.19295999999999999</v>
      </c>
      <c r="P1142" s="4">
        <v>0</v>
      </c>
      <c r="Q1142" s="3" t="s">
        <v>26</v>
      </c>
      <c r="R1142" s="3">
        <v>0</v>
      </c>
      <c r="S1142" s="3" t="s">
        <v>369</v>
      </c>
      <c r="T1142" s="3" t="s">
        <v>632</v>
      </c>
      <c r="U1142" s="3">
        <v>0</v>
      </c>
      <c r="V1142" s="3">
        <v>20</v>
      </c>
      <c r="W1142" s="3">
        <v>88</v>
      </c>
    </row>
    <row r="1143" spans="1:23" ht="11.25" customHeight="1" x14ac:dyDescent="0.25">
      <c r="A1143" s="3" t="s">
        <v>28</v>
      </c>
      <c r="B1143" s="3" t="s">
        <v>41</v>
      </c>
      <c r="C1143" s="3" t="s">
        <v>42</v>
      </c>
      <c r="D1143" s="3" t="s">
        <v>45</v>
      </c>
      <c r="E1143" s="3" t="s">
        <v>25</v>
      </c>
      <c r="F1143" s="3" t="s">
        <v>25</v>
      </c>
      <c r="G1143" s="3" t="s">
        <v>25</v>
      </c>
      <c r="H1143" s="3" t="s">
        <v>34</v>
      </c>
      <c r="I1143" s="6">
        <v>44562</v>
      </c>
      <c r="J1143" s="4">
        <v>0</v>
      </c>
      <c r="K1143" s="4">
        <v>0</v>
      </c>
      <c r="L1143" s="4">
        <v>4.4999999999999998E-2</v>
      </c>
      <c r="M1143" s="4">
        <v>4.3200000000000002E-2</v>
      </c>
      <c r="N1143" s="4">
        <v>4.4999999999999998E-2</v>
      </c>
      <c r="O1143" s="4">
        <v>4.3200000000000002E-2</v>
      </c>
      <c r="P1143" s="4">
        <v>0</v>
      </c>
      <c r="Q1143" s="3" t="s">
        <v>26</v>
      </c>
      <c r="R1143" s="3">
        <v>0</v>
      </c>
      <c r="S1143" s="3" t="s">
        <v>369</v>
      </c>
      <c r="T1143" s="3" t="s">
        <v>632</v>
      </c>
      <c r="U1143" s="3">
        <v>0</v>
      </c>
      <c r="V1143" s="3">
        <v>20</v>
      </c>
      <c r="W1143" s="3">
        <v>88</v>
      </c>
    </row>
    <row r="1144" spans="1:23" ht="11.25" customHeight="1" x14ac:dyDescent="0.25">
      <c r="A1144" s="3" t="s">
        <v>21</v>
      </c>
      <c r="B1144" s="3" t="s">
        <v>41</v>
      </c>
      <c r="C1144" s="3" t="s">
        <v>42</v>
      </c>
      <c r="D1144" s="3" t="s">
        <v>45</v>
      </c>
      <c r="E1144" s="3" t="s">
        <v>25</v>
      </c>
      <c r="F1144" s="3" t="s">
        <v>25</v>
      </c>
      <c r="G1144" s="3" t="s">
        <v>25</v>
      </c>
      <c r="H1144" s="3" t="s">
        <v>34</v>
      </c>
      <c r="I1144" s="6">
        <v>44593</v>
      </c>
      <c r="J1144" s="4">
        <v>0</v>
      </c>
      <c r="K1144" s="4">
        <v>0</v>
      </c>
      <c r="L1144" s="4">
        <v>25.776</v>
      </c>
      <c r="M1144" s="4">
        <v>24.744959999999999</v>
      </c>
      <c r="N1144" s="4">
        <v>25.776</v>
      </c>
      <c r="O1144" s="4">
        <v>24.744959999999999</v>
      </c>
      <c r="P1144" s="4">
        <v>0</v>
      </c>
      <c r="Q1144" s="3" t="s">
        <v>26</v>
      </c>
      <c r="R1144" s="3">
        <v>0</v>
      </c>
      <c r="S1144" s="3" t="s">
        <v>370</v>
      </c>
      <c r="T1144" s="3" t="s">
        <v>633</v>
      </c>
      <c r="U1144" s="3">
        <v>0</v>
      </c>
      <c r="V1144" s="3">
        <v>20</v>
      </c>
      <c r="W1144" s="3">
        <v>88</v>
      </c>
    </row>
    <row r="1145" spans="1:23" ht="11.25" customHeight="1" x14ac:dyDescent="0.25">
      <c r="A1145" s="3" t="s">
        <v>27</v>
      </c>
      <c r="B1145" s="3" t="s">
        <v>41</v>
      </c>
      <c r="C1145" s="3" t="s">
        <v>42</v>
      </c>
      <c r="D1145" s="3" t="s">
        <v>45</v>
      </c>
      <c r="E1145" s="3" t="s">
        <v>25</v>
      </c>
      <c r="F1145" s="3" t="s">
        <v>25</v>
      </c>
      <c r="G1145" s="3" t="s">
        <v>25</v>
      </c>
      <c r="H1145" s="3" t="s">
        <v>34</v>
      </c>
      <c r="I1145" s="6">
        <v>44593</v>
      </c>
      <c r="J1145" s="4">
        <v>0</v>
      </c>
      <c r="K1145" s="4">
        <v>0</v>
      </c>
      <c r="L1145" s="4">
        <v>7.0000000000000001E-3</v>
      </c>
      <c r="M1145" s="4">
        <v>6.7200000000000003E-3</v>
      </c>
      <c r="N1145" s="4">
        <v>7.0000000000000001E-3</v>
      </c>
      <c r="O1145" s="4">
        <v>6.7200000000000003E-3</v>
      </c>
      <c r="P1145" s="4">
        <v>0</v>
      </c>
      <c r="Q1145" s="3" t="s">
        <v>26</v>
      </c>
      <c r="R1145" s="3">
        <v>0</v>
      </c>
      <c r="S1145" s="3" t="s">
        <v>370</v>
      </c>
      <c r="T1145" s="3" t="s">
        <v>633</v>
      </c>
      <c r="U1145" s="3">
        <v>0</v>
      </c>
      <c r="V1145" s="3">
        <v>20</v>
      </c>
      <c r="W1145" s="3">
        <v>88</v>
      </c>
    </row>
    <row r="1146" spans="1:23" ht="11.25" customHeight="1" x14ac:dyDescent="0.25">
      <c r="A1146" s="3" t="s">
        <v>28</v>
      </c>
      <c r="B1146" s="3" t="s">
        <v>41</v>
      </c>
      <c r="C1146" s="3" t="s">
        <v>42</v>
      </c>
      <c r="D1146" s="3" t="s">
        <v>45</v>
      </c>
      <c r="E1146" s="3" t="s">
        <v>25</v>
      </c>
      <c r="F1146" s="3" t="s">
        <v>25</v>
      </c>
      <c r="G1146" s="3" t="s">
        <v>25</v>
      </c>
      <c r="H1146" s="3" t="s">
        <v>34</v>
      </c>
      <c r="I1146" s="6">
        <v>44593</v>
      </c>
      <c r="J1146" s="4">
        <v>0</v>
      </c>
      <c r="K1146" s="4">
        <v>0</v>
      </c>
      <c r="L1146" s="4">
        <v>4.4029999999999996</v>
      </c>
      <c r="M1146" s="4">
        <v>4.2268800000000004</v>
      </c>
      <c r="N1146" s="4">
        <v>4.4029999999999996</v>
      </c>
      <c r="O1146" s="4">
        <v>4.2268800000000004</v>
      </c>
      <c r="P1146" s="4">
        <v>0</v>
      </c>
      <c r="Q1146" s="3" t="s">
        <v>26</v>
      </c>
      <c r="R1146" s="3">
        <v>0</v>
      </c>
      <c r="S1146" s="3" t="s">
        <v>370</v>
      </c>
      <c r="T1146" s="3" t="s">
        <v>633</v>
      </c>
      <c r="U1146" s="3">
        <v>0</v>
      </c>
      <c r="V1146" s="3">
        <v>20</v>
      </c>
      <c r="W1146" s="3">
        <v>88</v>
      </c>
    </row>
    <row r="1147" spans="1:23" ht="11.25" customHeight="1" x14ac:dyDescent="0.25">
      <c r="A1147" s="3" t="s">
        <v>56</v>
      </c>
      <c r="B1147" s="3" t="s">
        <v>41</v>
      </c>
      <c r="C1147" s="3" t="s">
        <v>42</v>
      </c>
      <c r="D1147" s="3" t="s">
        <v>45</v>
      </c>
      <c r="E1147" s="3" t="s">
        <v>25</v>
      </c>
      <c r="F1147" s="3" t="s">
        <v>25</v>
      </c>
      <c r="G1147" s="3" t="s">
        <v>25</v>
      </c>
      <c r="H1147" s="3" t="s">
        <v>34</v>
      </c>
      <c r="I1147" s="6">
        <v>44621</v>
      </c>
      <c r="J1147" s="4">
        <v>0</v>
      </c>
      <c r="K1147" s="4">
        <v>0</v>
      </c>
      <c r="L1147" s="4">
        <v>25.776</v>
      </c>
      <c r="M1147" s="4">
        <v>24.744959999999999</v>
      </c>
      <c r="N1147" s="4">
        <v>25.776</v>
      </c>
      <c r="O1147" s="4">
        <v>24.744959999999999</v>
      </c>
      <c r="P1147" s="4">
        <v>0</v>
      </c>
      <c r="Q1147" s="3" t="s">
        <v>26</v>
      </c>
      <c r="R1147" s="3">
        <v>0</v>
      </c>
      <c r="S1147" s="3" t="s">
        <v>371</v>
      </c>
      <c r="T1147" s="3" t="s">
        <v>634</v>
      </c>
      <c r="U1147" s="3">
        <v>0</v>
      </c>
      <c r="V1147" s="3">
        <v>20</v>
      </c>
      <c r="W1147" s="3">
        <v>88</v>
      </c>
    </row>
    <row r="1148" spans="1:23" ht="11.25" customHeight="1" x14ac:dyDescent="0.25">
      <c r="A1148" s="3" t="s">
        <v>56</v>
      </c>
      <c r="B1148" s="3" t="s">
        <v>41</v>
      </c>
      <c r="C1148" s="3" t="s">
        <v>42</v>
      </c>
      <c r="D1148" s="3" t="s">
        <v>45</v>
      </c>
      <c r="E1148" s="3" t="s">
        <v>25</v>
      </c>
      <c r="F1148" s="3" t="s">
        <v>25</v>
      </c>
      <c r="G1148" s="3" t="s">
        <v>25</v>
      </c>
      <c r="H1148" s="3" t="s">
        <v>34</v>
      </c>
      <c r="I1148" s="6">
        <v>44621</v>
      </c>
      <c r="J1148" s="4">
        <v>0</v>
      </c>
      <c r="K1148" s="4">
        <v>0</v>
      </c>
      <c r="L1148" s="4">
        <v>7.0000000000000001E-3</v>
      </c>
      <c r="M1148" s="4">
        <v>6.7200000000000003E-3</v>
      </c>
      <c r="N1148" s="4">
        <v>7.0000000000000001E-3</v>
      </c>
      <c r="O1148" s="4">
        <v>6.7200000000000003E-3</v>
      </c>
      <c r="P1148" s="4">
        <v>0</v>
      </c>
      <c r="Q1148" s="3" t="s">
        <v>26</v>
      </c>
      <c r="R1148" s="3">
        <v>0</v>
      </c>
      <c r="S1148" s="3" t="s">
        <v>371</v>
      </c>
      <c r="T1148" s="3" t="s">
        <v>634</v>
      </c>
      <c r="U1148" s="3">
        <v>0</v>
      </c>
      <c r="V1148" s="3">
        <v>20</v>
      </c>
      <c r="W1148" s="3">
        <v>88</v>
      </c>
    </row>
    <row r="1149" spans="1:23" ht="11.25" customHeight="1" x14ac:dyDescent="0.25">
      <c r="A1149" s="3" t="s">
        <v>56</v>
      </c>
      <c r="B1149" s="3" t="s">
        <v>41</v>
      </c>
      <c r="C1149" s="3" t="s">
        <v>42</v>
      </c>
      <c r="D1149" s="3" t="s">
        <v>45</v>
      </c>
      <c r="E1149" s="3" t="s">
        <v>25</v>
      </c>
      <c r="F1149" s="3" t="s">
        <v>25</v>
      </c>
      <c r="G1149" s="3" t="s">
        <v>25</v>
      </c>
      <c r="H1149" s="3" t="s">
        <v>34</v>
      </c>
      <c r="I1149" s="6">
        <v>44621</v>
      </c>
      <c r="J1149" s="4">
        <v>0</v>
      </c>
      <c r="K1149" s="4">
        <v>0</v>
      </c>
      <c r="L1149" s="4">
        <v>4.4029999999999996</v>
      </c>
      <c r="M1149" s="4">
        <v>4.2268800000000004</v>
      </c>
      <c r="N1149" s="4">
        <v>4.4029999999999996</v>
      </c>
      <c r="O1149" s="4">
        <v>4.2268800000000004</v>
      </c>
      <c r="P1149" s="4">
        <v>0</v>
      </c>
      <c r="Q1149" s="3" t="s">
        <v>26</v>
      </c>
      <c r="R1149" s="3">
        <v>0</v>
      </c>
      <c r="S1149" s="3" t="s">
        <v>371</v>
      </c>
      <c r="T1149" s="3" t="s">
        <v>634</v>
      </c>
      <c r="U1149" s="3">
        <v>0</v>
      </c>
      <c r="V1149" s="3">
        <v>20</v>
      </c>
      <c r="W1149" s="3">
        <v>88</v>
      </c>
    </row>
    <row r="1150" spans="1:23" ht="11.25" customHeight="1" x14ac:dyDescent="0.25">
      <c r="A1150" s="3" t="s">
        <v>21</v>
      </c>
      <c r="B1150" s="3" t="s">
        <v>41</v>
      </c>
      <c r="C1150" s="3" t="s">
        <v>42</v>
      </c>
      <c r="D1150" s="3" t="s">
        <v>50</v>
      </c>
      <c r="E1150" s="3" t="s">
        <v>51</v>
      </c>
      <c r="F1150" s="3" t="s">
        <v>25</v>
      </c>
      <c r="G1150" s="3" t="s">
        <v>25</v>
      </c>
      <c r="H1150" s="3" t="s">
        <v>35</v>
      </c>
      <c r="I1150" s="6">
        <v>44287</v>
      </c>
      <c r="J1150" s="4">
        <v>0</v>
      </c>
      <c r="K1150" s="4">
        <v>0</v>
      </c>
      <c r="L1150" s="4">
        <v>6324.3580000000002</v>
      </c>
      <c r="M1150" s="4">
        <v>5944.8965200000002</v>
      </c>
      <c r="N1150" s="4">
        <v>6324.3580000000002</v>
      </c>
      <c r="O1150" s="4">
        <v>5944.8965200000002</v>
      </c>
      <c r="P1150" s="4">
        <v>0</v>
      </c>
      <c r="Q1150" s="3" t="s">
        <v>26</v>
      </c>
      <c r="R1150" s="3">
        <v>0</v>
      </c>
      <c r="S1150" s="3" t="s">
        <v>336</v>
      </c>
      <c r="T1150" s="3" t="s">
        <v>611</v>
      </c>
      <c r="U1150" s="3">
        <v>0</v>
      </c>
      <c r="V1150" s="3">
        <v>21</v>
      </c>
      <c r="W1150" s="3">
        <v>89</v>
      </c>
    </row>
    <row r="1151" spans="1:23" ht="11.25" customHeight="1" x14ac:dyDescent="0.25">
      <c r="A1151" s="3" t="s">
        <v>21</v>
      </c>
      <c r="B1151" s="3" t="s">
        <v>41</v>
      </c>
      <c r="C1151" s="3" t="s">
        <v>42</v>
      </c>
      <c r="D1151" s="3" t="s">
        <v>50</v>
      </c>
      <c r="E1151" s="3" t="s">
        <v>51</v>
      </c>
      <c r="F1151" s="3" t="s">
        <v>25</v>
      </c>
      <c r="G1151" s="3" t="s">
        <v>25</v>
      </c>
      <c r="H1151" s="3" t="s">
        <v>35</v>
      </c>
      <c r="I1151" s="6">
        <v>44317</v>
      </c>
      <c r="J1151" s="4">
        <v>0</v>
      </c>
      <c r="K1151" s="4">
        <v>0</v>
      </c>
      <c r="L1151" s="4">
        <v>6309.06</v>
      </c>
      <c r="M1151" s="4">
        <v>5930.5164000000004</v>
      </c>
      <c r="N1151" s="4">
        <v>6309.06</v>
      </c>
      <c r="O1151" s="4">
        <v>5930.5164000000004</v>
      </c>
      <c r="P1151" s="4">
        <v>0</v>
      </c>
      <c r="Q1151" s="3" t="s">
        <v>26</v>
      </c>
      <c r="R1151" s="3">
        <v>0</v>
      </c>
      <c r="S1151" s="3" t="s">
        <v>337</v>
      </c>
      <c r="T1151" s="3" t="s">
        <v>612</v>
      </c>
      <c r="U1151" s="3">
        <v>0</v>
      </c>
      <c r="V1151" s="3">
        <v>21</v>
      </c>
      <c r="W1151" s="3">
        <v>89</v>
      </c>
    </row>
    <row r="1152" spans="1:23" ht="11.25" customHeight="1" x14ac:dyDescent="0.25">
      <c r="A1152" s="3" t="s">
        <v>21</v>
      </c>
      <c r="B1152" s="3" t="s">
        <v>41</v>
      </c>
      <c r="C1152" s="3" t="s">
        <v>42</v>
      </c>
      <c r="D1152" s="3" t="s">
        <v>50</v>
      </c>
      <c r="E1152" s="3" t="s">
        <v>51</v>
      </c>
      <c r="F1152" s="3" t="s">
        <v>25</v>
      </c>
      <c r="G1152" s="3" t="s">
        <v>25</v>
      </c>
      <c r="H1152" s="3" t="s">
        <v>35</v>
      </c>
      <c r="I1152" s="6">
        <v>44348</v>
      </c>
      <c r="J1152" s="4">
        <v>0</v>
      </c>
      <c r="K1152" s="4">
        <v>0</v>
      </c>
      <c r="L1152" s="4">
        <v>4076.402</v>
      </c>
      <c r="M1152" s="4">
        <v>3831.8178800000001</v>
      </c>
      <c r="N1152" s="4">
        <v>4076.402</v>
      </c>
      <c r="O1152" s="4">
        <v>3831.8178800000001</v>
      </c>
      <c r="P1152" s="4">
        <v>0</v>
      </c>
      <c r="Q1152" s="3" t="s">
        <v>26</v>
      </c>
      <c r="R1152" s="3">
        <v>0</v>
      </c>
      <c r="S1152" s="3" t="s">
        <v>338</v>
      </c>
      <c r="T1152" s="3" t="s">
        <v>613</v>
      </c>
      <c r="U1152" s="3">
        <v>0</v>
      </c>
      <c r="V1152" s="3">
        <v>21</v>
      </c>
      <c r="W1152" s="3">
        <v>89</v>
      </c>
    </row>
    <row r="1153" spans="1:23" ht="11.25" customHeight="1" x14ac:dyDescent="0.25">
      <c r="A1153" s="3" t="s">
        <v>21</v>
      </c>
      <c r="B1153" s="3" t="s">
        <v>41</v>
      </c>
      <c r="C1153" s="3" t="s">
        <v>42</v>
      </c>
      <c r="D1153" s="3" t="s">
        <v>50</v>
      </c>
      <c r="E1153" s="3" t="s">
        <v>51</v>
      </c>
      <c r="F1153" s="3" t="s">
        <v>25</v>
      </c>
      <c r="G1153" s="3" t="s">
        <v>25</v>
      </c>
      <c r="H1153" s="3" t="s">
        <v>35</v>
      </c>
      <c r="I1153" s="6">
        <v>44378</v>
      </c>
      <c r="J1153" s="4">
        <v>0</v>
      </c>
      <c r="K1153" s="4">
        <v>0</v>
      </c>
      <c r="L1153" s="4">
        <v>4288.4340000000002</v>
      </c>
      <c r="M1153" s="4">
        <v>4031.1279599999998</v>
      </c>
      <c r="N1153" s="4">
        <v>4288.4340000000002</v>
      </c>
      <c r="O1153" s="4">
        <v>4031.1279599999998</v>
      </c>
      <c r="P1153" s="4">
        <v>0</v>
      </c>
      <c r="Q1153" s="3" t="s">
        <v>26</v>
      </c>
      <c r="R1153" s="3">
        <v>0</v>
      </c>
      <c r="S1153" s="3" t="s">
        <v>339</v>
      </c>
      <c r="T1153" s="3" t="s">
        <v>614</v>
      </c>
      <c r="U1153" s="3">
        <v>0</v>
      </c>
      <c r="V1153" s="3">
        <v>21</v>
      </c>
      <c r="W1153" s="3">
        <v>89</v>
      </c>
    </row>
    <row r="1154" spans="1:23" ht="11.25" customHeight="1" x14ac:dyDescent="0.25">
      <c r="A1154" s="3" t="s">
        <v>27</v>
      </c>
      <c r="B1154" s="3" t="s">
        <v>41</v>
      </c>
      <c r="C1154" s="3" t="s">
        <v>42</v>
      </c>
      <c r="D1154" s="3" t="s">
        <v>50</v>
      </c>
      <c r="E1154" s="3" t="s">
        <v>51</v>
      </c>
      <c r="F1154" s="3" t="s">
        <v>25</v>
      </c>
      <c r="G1154" s="3" t="s">
        <v>25</v>
      </c>
      <c r="H1154" s="3" t="s">
        <v>35</v>
      </c>
      <c r="I1154" s="6">
        <v>44378</v>
      </c>
      <c r="J1154" s="4">
        <v>0</v>
      </c>
      <c r="K1154" s="4">
        <v>0</v>
      </c>
      <c r="L1154" s="4">
        <v>-5.7969999999999997</v>
      </c>
      <c r="M1154" s="4">
        <v>-5.4491800000000001</v>
      </c>
      <c r="N1154" s="4">
        <v>-5.7969999999999997</v>
      </c>
      <c r="O1154" s="4">
        <v>-5.4491800000000001</v>
      </c>
      <c r="P1154" s="4">
        <v>0</v>
      </c>
      <c r="Q1154" s="3" t="s">
        <v>26</v>
      </c>
      <c r="R1154" s="3">
        <v>0</v>
      </c>
      <c r="S1154" s="3" t="s">
        <v>339</v>
      </c>
      <c r="T1154" s="3" t="s">
        <v>614</v>
      </c>
      <c r="U1154" s="3">
        <v>0</v>
      </c>
      <c r="V1154" s="3">
        <v>21</v>
      </c>
      <c r="W1154" s="3">
        <v>89</v>
      </c>
    </row>
    <row r="1155" spans="1:23" ht="11.25" customHeight="1" x14ac:dyDescent="0.25">
      <c r="A1155" s="3" t="s">
        <v>21</v>
      </c>
      <c r="B1155" s="3" t="s">
        <v>41</v>
      </c>
      <c r="C1155" s="3" t="s">
        <v>42</v>
      </c>
      <c r="D1155" s="3" t="s">
        <v>50</v>
      </c>
      <c r="E1155" s="3" t="s">
        <v>51</v>
      </c>
      <c r="F1155" s="3" t="s">
        <v>25</v>
      </c>
      <c r="G1155" s="3" t="s">
        <v>25</v>
      </c>
      <c r="H1155" s="3" t="s">
        <v>35</v>
      </c>
      <c r="I1155" s="6">
        <v>44409</v>
      </c>
      <c r="J1155" s="4">
        <v>0</v>
      </c>
      <c r="K1155" s="4">
        <v>0</v>
      </c>
      <c r="L1155" s="4">
        <v>3834.7689999999998</v>
      </c>
      <c r="M1155" s="4">
        <v>3604.6828599999999</v>
      </c>
      <c r="N1155" s="4">
        <v>3834.7689999999998</v>
      </c>
      <c r="O1155" s="4">
        <v>3604.6828599999999</v>
      </c>
      <c r="P1155" s="4">
        <v>0</v>
      </c>
      <c r="Q1155" s="3" t="s">
        <v>26</v>
      </c>
      <c r="R1155" s="3">
        <v>0</v>
      </c>
      <c r="S1155" s="3" t="s">
        <v>340</v>
      </c>
      <c r="T1155" s="3" t="s">
        <v>615</v>
      </c>
      <c r="U1155" s="3">
        <v>0</v>
      </c>
      <c r="V1155" s="3">
        <v>21</v>
      </c>
      <c r="W1155" s="3">
        <v>89</v>
      </c>
    </row>
    <row r="1156" spans="1:23" ht="11.25" customHeight="1" x14ac:dyDescent="0.25">
      <c r="A1156" s="3" t="s">
        <v>21</v>
      </c>
      <c r="B1156" s="3" t="s">
        <v>41</v>
      </c>
      <c r="C1156" s="3" t="s">
        <v>42</v>
      </c>
      <c r="D1156" s="3" t="s">
        <v>50</v>
      </c>
      <c r="E1156" s="3" t="s">
        <v>51</v>
      </c>
      <c r="F1156" s="3" t="s">
        <v>25</v>
      </c>
      <c r="G1156" s="3" t="s">
        <v>25</v>
      </c>
      <c r="H1156" s="3" t="s">
        <v>35</v>
      </c>
      <c r="I1156" s="6">
        <v>44440</v>
      </c>
      <c r="J1156" s="4">
        <v>0</v>
      </c>
      <c r="K1156" s="4">
        <v>0</v>
      </c>
      <c r="L1156" s="4">
        <v>3731.7869999999998</v>
      </c>
      <c r="M1156" s="4">
        <v>3507.8797800000002</v>
      </c>
      <c r="N1156" s="4">
        <v>3731.7869999999998</v>
      </c>
      <c r="O1156" s="4">
        <v>3507.8797800000002</v>
      </c>
      <c r="P1156" s="4">
        <v>0</v>
      </c>
      <c r="Q1156" s="3" t="s">
        <v>26</v>
      </c>
      <c r="R1156" s="3">
        <v>0</v>
      </c>
      <c r="S1156" s="3" t="s">
        <v>341</v>
      </c>
      <c r="T1156" s="3" t="s">
        <v>616</v>
      </c>
      <c r="U1156" s="3">
        <v>0</v>
      </c>
      <c r="V1156" s="3">
        <v>21</v>
      </c>
      <c r="W1156" s="3">
        <v>89</v>
      </c>
    </row>
    <row r="1157" spans="1:23" ht="11.25" customHeight="1" x14ac:dyDescent="0.25">
      <c r="A1157" s="3" t="s">
        <v>21</v>
      </c>
      <c r="B1157" s="3" t="s">
        <v>41</v>
      </c>
      <c r="C1157" s="3" t="s">
        <v>42</v>
      </c>
      <c r="D1157" s="3" t="s">
        <v>50</v>
      </c>
      <c r="E1157" s="3" t="s">
        <v>51</v>
      </c>
      <c r="F1157" s="3" t="s">
        <v>25</v>
      </c>
      <c r="G1157" s="3" t="s">
        <v>25</v>
      </c>
      <c r="H1157" s="3" t="s">
        <v>35</v>
      </c>
      <c r="I1157" s="6">
        <v>44470</v>
      </c>
      <c r="J1157" s="4">
        <v>0</v>
      </c>
      <c r="K1157" s="4">
        <v>0</v>
      </c>
      <c r="L1157" s="4">
        <v>3771.1889999999999</v>
      </c>
      <c r="M1157" s="4">
        <v>3544.9176600000001</v>
      </c>
      <c r="N1157" s="4">
        <v>3771.1889999999999</v>
      </c>
      <c r="O1157" s="4">
        <v>3544.9176600000001</v>
      </c>
      <c r="P1157" s="4">
        <v>0</v>
      </c>
      <c r="Q1157" s="3" t="s">
        <v>26</v>
      </c>
      <c r="R1157" s="3">
        <v>0</v>
      </c>
      <c r="S1157" s="3" t="s">
        <v>342</v>
      </c>
      <c r="T1157" s="3" t="s">
        <v>617</v>
      </c>
      <c r="U1157" s="3">
        <v>0</v>
      </c>
      <c r="V1157" s="3">
        <v>21</v>
      </c>
      <c r="W1157" s="3">
        <v>89</v>
      </c>
    </row>
    <row r="1158" spans="1:23" ht="11.25" customHeight="1" x14ac:dyDescent="0.25">
      <c r="A1158" s="3" t="s">
        <v>21</v>
      </c>
      <c r="B1158" s="3" t="s">
        <v>41</v>
      </c>
      <c r="C1158" s="3" t="s">
        <v>42</v>
      </c>
      <c r="D1158" s="3" t="s">
        <v>50</v>
      </c>
      <c r="E1158" s="3" t="s">
        <v>51</v>
      </c>
      <c r="F1158" s="3" t="s">
        <v>25</v>
      </c>
      <c r="G1158" s="3" t="s">
        <v>25</v>
      </c>
      <c r="H1158" s="3" t="s">
        <v>35</v>
      </c>
      <c r="I1158" s="6">
        <v>44501</v>
      </c>
      <c r="J1158" s="4">
        <v>0</v>
      </c>
      <c r="K1158" s="4">
        <v>0</v>
      </c>
      <c r="L1158" s="4">
        <v>3388.88</v>
      </c>
      <c r="M1158" s="4">
        <v>3185.5472</v>
      </c>
      <c r="N1158" s="4">
        <v>3388.88</v>
      </c>
      <c r="O1158" s="4">
        <v>3185.5472</v>
      </c>
      <c r="P1158" s="4">
        <v>0</v>
      </c>
      <c r="Q1158" s="3" t="s">
        <v>26</v>
      </c>
      <c r="R1158" s="3">
        <v>0</v>
      </c>
      <c r="S1158" s="3" t="s">
        <v>343</v>
      </c>
      <c r="T1158" s="3" t="s">
        <v>618</v>
      </c>
      <c r="U1158" s="3">
        <v>0</v>
      </c>
      <c r="V1158" s="3">
        <v>21</v>
      </c>
      <c r="W1158" s="3">
        <v>89</v>
      </c>
    </row>
    <row r="1159" spans="1:23" ht="11.25" customHeight="1" x14ac:dyDescent="0.25">
      <c r="A1159" s="3" t="s">
        <v>21</v>
      </c>
      <c r="B1159" s="3" t="s">
        <v>41</v>
      </c>
      <c r="C1159" s="3" t="s">
        <v>42</v>
      </c>
      <c r="D1159" s="3" t="s">
        <v>50</v>
      </c>
      <c r="E1159" s="3" t="s">
        <v>51</v>
      </c>
      <c r="F1159" s="3" t="s">
        <v>25</v>
      </c>
      <c r="G1159" s="3" t="s">
        <v>25</v>
      </c>
      <c r="H1159" s="3" t="s">
        <v>35</v>
      </c>
      <c r="I1159" s="6">
        <v>44531</v>
      </c>
      <c r="J1159" s="4">
        <v>0</v>
      </c>
      <c r="K1159" s="4">
        <v>0</v>
      </c>
      <c r="L1159" s="4">
        <v>3739.8969999999999</v>
      </c>
      <c r="M1159" s="4">
        <v>3515.5031800000002</v>
      </c>
      <c r="N1159" s="4">
        <v>3739.8969999999999</v>
      </c>
      <c r="O1159" s="4">
        <v>3515.5031800000002</v>
      </c>
      <c r="P1159" s="4">
        <v>0</v>
      </c>
      <c r="Q1159" s="3" t="s">
        <v>26</v>
      </c>
      <c r="R1159" s="3">
        <v>0</v>
      </c>
      <c r="S1159" s="3" t="s">
        <v>344</v>
      </c>
      <c r="T1159" s="3" t="s">
        <v>619</v>
      </c>
      <c r="U1159" s="3">
        <v>0</v>
      </c>
      <c r="V1159" s="3">
        <v>21</v>
      </c>
      <c r="W1159" s="3">
        <v>89</v>
      </c>
    </row>
    <row r="1160" spans="1:23" ht="11.25" customHeight="1" x14ac:dyDescent="0.25">
      <c r="A1160" s="3" t="s">
        <v>21</v>
      </c>
      <c r="B1160" s="3" t="s">
        <v>41</v>
      </c>
      <c r="C1160" s="3" t="s">
        <v>42</v>
      </c>
      <c r="D1160" s="3" t="s">
        <v>50</v>
      </c>
      <c r="E1160" s="3" t="s">
        <v>51</v>
      </c>
      <c r="F1160" s="3" t="s">
        <v>25</v>
      </c>
      <c r="G1160" s="3" t="s">
        <v>25</v>
      </c>
      <c r="H1160" s="3" t="s">
        <v>35</v>
      </c>
      <c r="I1160" s="6">
        <v>44562</v>
      </c>
      <c r="J1160" s="4">
        <v>0</v>
      </c>
      <c r="K1160" s="4">
        <v>0</v>
      </c>
      <c r="L1160" s="4">
        <v>3930.538</v>
      </c>
      <c r="M1160" s="4">
        <v>3694.7057199999999</v>
      </c>
      <c r="N1160" s="4">
        <v>3930.538</v>
      </c>
      <c r="O1160" s="4">
        <v>3694.7057199999999</v>
      </c>
      <c r="P1160" s="4">
        <v>0</v>
      </c>
      <c r="Q1160" s="3" t="s">
        <v>26</v>
      </c>
      <c r="R1160" s="3">
        <v>0</v>
      </c>
      <c r="S1160" s="3" t="s">
        <v>345</v>
      </c>
      <c r="T1160" s="3" t="s">
        <v>620</v>
      </c>
      <c r="U1160" s="3">
        <v>0</v>
      </c>
      <c r="V1160" s="3">
        <v>21</v>
      </c>
      <c r="W1160" s="3">
        <v>89</v>
      </c>
    </row>
    <row r="1161" spans="1:23" ht="11.25" customHeight="1" x14ac:dyDescent="0.25">
      <c r="A1161" s="3" t="s">
        <v>21</v>
      </c>
      <c r="B1161" s="3" t="s">
        <v>41</v>
      </c>
      <c r="C1161" s="3" t="s">
        <v>42</v>
      </c>
      <c r="D1161" s="3" t="s">
        <v>50</v>
      </c>
      <c r="E1161" s="3" t="s">
        <v>51</v>
      </c>
      <c r="F1161" s="3" t="s">
        <v>25</v>
      </c>
      <c r="G1161" s="3" t="s">
        <v>25</v>
      </c>
      <c r="H1161" s="3" t="s">
        <v>35</v>
      </c>
      <c r="I1161" s="6">
        <v>44593</v>
      </c>
      <c r="J1161" s="4">
        <v>0</v>
      </c>
      <c r="K1161" s="4">
        <v>0</v>
      </c>
      <c r="L1161" s="4">
        <v>3564.7330000000002</v>
      </c>
      <c r="M1161" s="4">
        <v>3350.8490200000001</v>
      </c>
      <c r="N1161" s="4">
        <v>3564.7330000000002</v>
      </c>
      <c r="O1161" s="4">
        <v>3350.8490200000001</v>
      </c>
      <c r="P1161" s="4">
        <v>0</v>
      </c>
      <c r="Q1161" s="3" t="s">
        <v>26</v>
      </c>
      <c r="R1161" s="3">
        <v>0</v>
      </c>
      <c r="S1161" s="3" t="s">
        <v>346</v>
      </c>
      <c r="T1161" s="3" t="s">
        <v>621</v>
      </c>
      <c r="U1161" s="3">
        <v>0</v>
      </c>
      <c r="V1161" s="3">
        <v>21</v>
      </c>
      <c r="W1161" s="3">
        <v>89</v>
      </c>
    </row>
    <row r="1162" spans="1:23" ht="11.25" customHeight="1" x14ac:dyDescent="0.25">
      <c r="A1162" s="3" t="s">
        <v>56</v>
      </c>
      <c r="B1162" s="3" t="s">
        <v>41</v>
      </c>
      <c r="C1162" s="3" t="s">
        <v>42</v>
      </c>
      <c r="D1162" s="3" t="s">
        <v>50</v>
      </c>
      <c r="E1162" s="3" t="s">
        <v>51</v>
      </c>
      <c r="F1162" s="3" t="s">
        <v>25</v>
      </c>
      <c r="G1162" s="3" t="s">
        <v>25</v>
      </c>
      <c r="H1162" s="3" t="s">
        <v>35</v>
      </c>
      <c r="I1162" s="6">
        <v>44621</v>
      </c>
      <c r="J1162" s="4">
        <v>0</v>
      </c>
      <c r="K1162" s="4">
        <v>0</v>
      </c>
      <c r="L1162" s="4">
        <v>3564.7330000000002</v>
      </c>
      <c r="M1162" s="4">
        <v>3350.8490200000001</v>
      </c>
      <c r="N1162" s="4">
        <v>3564.7330000000002</v>
      </c>
      <c r="O1162" s="4">
        <v>3350.8490200000001</v>
      </c>
      <c r="P1162" s="4">
        <v>0</v>
      </c>
      <c r="Q1162" s="3" t="s">
        <v>26</v>
      </c>
      <c r="R1162" s="3">
        <v>0</v>
      </c>
      <c r="S1162" s="3" t="s">
        <v>347</v>
      </c>
      <c r="T1162" s="3" t="s">
        <v>622</v>
      </c>
      <c r="U1162" s="3">
        <v>0</v>
      </c>
      <c r="V1162" s="3">
        <v>21</v>
      </c>
      <c r="W1162" s="3">
        <v>89</v>
      </c>
    </row>
    <row r="1163" spans="1:23" ht="11.25" customHeight="1" x14ac:dyDescent="0.25">
      <c r="A1163" s="3" t="s">
        <v>21</v>
      </c>
      <c r="B1163" s="3" t="s">
        <v>41</v>
      </c>
      <c r="C1163" s="3" t="s">
        <v>42</v>
      </c>
      <c r="D1163" s="3" t="s">
        <v>50</v>
      </c>
      <c r="E1163" s="3" t="s">
        <v>51</v>
      </c>
      <c r="F1163" s="3" t="s">
        <v>25</v>
      </c>
      <c r="G1163" s="3" t="s">
        <v>25</v>
      </c>
      <c r="H1163" s="3" t="s">
        <v>25</v>
      </c>
      <c r="I1163" s="6">
        <v>44287</v>
      </c>
      <c r="J1163" s="4">
        <v>14195</v>
      </c>
      <c r="K1163" s="4">
        <v>13343.3</v>
      </c>
      <c r="L1163" s="4">
        <v>0</v>
      </c>
      <c r="M1163" s="4">
        <v>0</v>
      </c>
      <c r="N1163" s="4">
        <v>0</v>
      </c>
      <c r="O1163" s="4">
        <v>0</v>
      </c>
      <c r="P1163" s="4">
        <v>58</v>
      </c>
      <c r="Q1163" s="3" t="s">
        <v>26</v>
      </c>
      <c r="R1163" s="3">
        <v>0</v>
      </c>
      <c r="S1163" s="3" t="s">
        <v>348</v>
      </c>
      <c r="U1163" s="3">
        <v>44</v>
      </c>
      <c r="V1163" s="3">
        <v>0</v>
      </c>
      <c r="W1163" s="3">
        <v>0</v>
      </c>
    </row>
    <row r="1164" spans="1:23" ht="11.25" customHeight="1" x14ac:dyDescent="0.25">
      <c r="A1164" s="3" t="s">
        <v>21</v>
      </c>
      <c r="B1164" s="3" t="s">
        <v>41</v>
      </c>
      <c r="C1164" s="3" t="s">
        <v>42</v>
      </c>
      <c r="D1164" s="3" t="s">
        <v>50</v>
      </c>
      <c r="E1164" s="3" t="s">
        <v>51</v>
      </c>
      <c r="F1164" s="3" t="s">
        <v>25</v>
      </c>
      <c r="G1164" s="3" t="s">
        <v>25</v>
      </c>
      <c r="H1164" s="3" t="s">
        <v>25</v>
      </c>
      <c r="I1164" s="6">
        <v>44317</v>
      </c>
      <c r="J1164" s="4">
        <v>14252</v>
      </c>
      <c r="K1164" s="4">
        <v>13396.88</v>
      </c>
      <c r="L1164" s="4">
        <v>0</v>
      </c>
      <c r="M1164" s="4">
        <v>0</v>
      </c>
      <c r="N1164" s="4">
        <v>0</v>
      </c>
      <c r="O1164" s="4">
        <v>0</v>
      </c>
      <c r="P1164" s="4">
        <v>58</v>
      </c>
      <c r="Q1164" s="3" t="s">
        <v>26</v>
      </c>
      <c r="R1164" s="3">
        <v>0</v>
      </c>
      <c r="S1164" s="3" t="s">
        <v>349</v>
      </c>
      <c r="U1164" s="3">
        <v>44</v>
      </c>
      <c r="V1164" s="3">
        <v>0</v>
      </c>
      <c r="W1164" s="3">
        <v>0</v>
      </c>
    </row>
    <row r="1165" spans="1:23" ht="11.25" customHeight="1" x14ac:dyDescent="0.25">
      <c r="A1165" s="3" t="s">
        <v>21</v>
      </c>
      <c r="B1165" s="3" t="s">
        <v>41</v>
      </c>
      <c r="C1165" s="3" t="s">
        <v>42</v>
      </c>
      <c r="D1165" s="3" t="s">
        <v>50</v>
      </c>
      <c r="E1165" s="3" t="s">
        <v>51</v>
      </c>
      <c r="F1165" s="3" t="s">
        <v>25</v>
      </c>
      <c r="G1165" s="3" t="s">
        <v>25</v>
      </c>
      <c r="H1165" s="3" t="s">
        <v>25</v>
      </c>
      <c r="I1165" s="6">
        <v>44348</v>
      </c>
      <c r="J1165" s="4">
        <v>9983</v>
      </c>
      <c r="K1165" s="4">
        <v>9384.02</v>
      </c>
      <c r="L1165" s="4">
        <v>0</v>
      </c>
      <c r="M1165" s="4">
        <v>0</v>
      </c>
      <c r="N1165" s="4">
        <v>0</v>
      </c>
      <c r="O1165" s="4">
        <v>0</v>
      </c>
      <c r="P1165" s="4">
        <v>53</v>
      </c>
      <c r="Q1165" s="3" t="s">
        <v>26</v>
      </c>
      <c r="R1165" s="3">
        <v>0</v>
      </c>
      <c r="S1165" s="3" t="s">
        <v>350</v>
      </c>
      <c r="U1165" s="3">
        <v>44</v>
      </c>
      <c r="V1165" s="3">
        <v>0</v>
      </c>
      <c r="W1165" s="3">
        <v>0</v>
      </c>
    </row>
    <row r="1166" spans="1:23" ht="11.25" customHeight="1" x14ac:dyDescent="0.25">
      <c r="A1166" s="3" t="s">
        <v>21</v>
      </c>
      <c r="B1166" s="3" t="s">
        <v>41</v>
      </c>
      <c r="C1166" s="3" t="s">
        <v>42</v>
      </c>
      <c r="D1166" s="3" t="s">
        <v>50</v>
      </c>
      <c r="E1166" s="3" t="s">
        <v>51</v>
      </c>
      <c r="F1166" s="3" t="s">
        <v>25</v>
      </c>
      <c r="G1166" s="3" t="s">
        <v>25</v>
      </c>
      <c r="H1166" s="3" t="s">
        <v>25</v>
      </c>
      <c r="I1166" s="6">
        <v>44378</v>
      </c>
      <c r="J1166" s="4">
        <v>9891</v>
      </c>
      <c r="K1166" s="4">
        <v>9297.5400000000009</v>
      </c>
      <c r="L1166" s="4">
        <v>0</v>
      </c>
      <c r="M1166" s="4">
        <v>0</v>
      </c>
      <c r="N1166" s="4">
        <v>0</v>
      </c>
      <c r="O1166" s="4">
        <v>0</v>
      </c>
      <c r="P1166" s="4">
        <v>51</v>
      </c>
      <c r="Q1166" s="3" t="s">
        <v>26</v>
      </c>
      <c r="R1166" s="3">
        <v>0</v>
      </c>
      <c r="S1166" s="3" t="s">
        <v>351</v>
      </c>
      <c r="U1166" s="3">
        <v>44</v>
      </c>
      <c r="V1166" s="3">
        <v>0</v>
      </c>
      <c r="W1166" s="3">
        <v>0</v>
      </c>
    </row>
    <row r="1167" spans="1:23" ht="11.25" customHeight="1" x14ac:dyDescent="0.25">
      <c r="A1167" s="3" t="s">
        <v>21</v>
      </c>
      <c r="B1167" s="3" t="s">
        <v>41</v>
      </c>
      <c r="C1167" s="3" t="s">
        <v>42</v>
      </c>
      <c r="D1167" s="3" t="s">
        <v>50</v>
      </c>
      <c r="E1167" s="3" t="s">
        <v>51</v>
      </c>
      <c r="F1167" s="3" t="s">
        <v>25</v>
      </c>
      <c r="G1167" s="3" t="s">
        <v>25</v>
      </c>
      <c r="H1167" s="3" t="s">
        <v>25</v>
      </c>
      <c r="I1167" s="6">
        <v>44409</v>
      </c>
      <c r="J1167" s="4">
        <v>8790</v>
      </c>
      <c r="K1167" s="4">
        <v>8262.6</v>
      </c>
      <c r="L1167" s="4">
        <v>0</v>
      </c>
      <c r="M1167" s="4">
        <v>0</v>
      </c>
      <c r="N1167" s="4">
        <v>0</v>
      </c>
      <c r="O1167" s="4">
        <v>0</v>
      </c>
      <c r="P1167" s="4">
        <v>50</v>
      </c>
      <c r="Q1167" s="3" t="s">
        <v>26</v>
      </c>
      <c r="R1167" s="3">
        <v>0</v>
      </c>
      <c r="S1167" s="3" t="s">
        <v>352</v>
      </c>
      <c r="U1167" s="3">
        <v>44</v>
      </c>
      <c r="V1167" s="3">
        <v>0</v>
      </c>
      <c r="W1167" s="3">
        <v>0</v>
      </c>
    </row>
    <row r="1168" spans="1:23" ht="11.25" customHeight="1" x14ac:dyDescent="0.25">
      <c r="A1168" s="3" t="s">
        <v>21</v>
      </c>
      <c r="B1168" s="3" t="s">
        <v>41</v>
      </c>
      <c r="C1168" s="3" t="s">
        <v>42</v>
      </c>
      <c r="D1168" s="3" t="s">
        <v>50</v>
      </c>
      <c r="E1168" s="3" t="s">
        <v>51</v>
      </c>
      <c r="F1168" s="3" t="s">
        <v>25</v>
      </c>
      <c r="G1168" s="3" t="s">
        <v>25</v>
      </c>
      <c r="H1168" s="3" t="s">
        <v>25</v>
      </c>
      <c r="I1168" s="6">
        <v>44440</v>
      </c>
      <c r="J1168" s="4">
        <v>8837</v>
      </c>
      <c r="K1168" s="4">
        <v>8306.7800000000007</v>
      </c>
      <c r="L1168" s="4">
        <v>0</v>
      </c>
      <c r="M1168" s="4">
        <v>0</v>
      </c>
      <c r="N1168" s="4">
        <v>0</v>
      </c>
      <c r="O1168" s="4">
        <v>0</v>
      </c>
      <c r="P1168" s="4">
        <v>50</v>
      </c>
      <c r="Q1168" s="3" t="s">
        <v>26</v>
      </c>
      <c r="R1168" s="3">
        <v>0</v>
      </c>
      <c r="S1168" s="3" t="s">
        <v>353</v>
      </c>
      <c r="U1168" s="3">
        <v>44</v>
      </c>
      <c r="V1168" s="3">
        <v>0</v>
      </c>
      <c r="W1168" s="3">
        <v>0</v>
      </c>
    </row>
    <row r="1169" spans="1:23" ht="11.25" customHeight="1" x14ac:dyDescent="0.25">
      <c r="A1169" s="3" t="s">
        <v>21</v>
      </c>
      <c r="B1169" s="3" t="s">
        <v>41</v>
      </c>
      <c r="C1169" s="3" t="s">
        <v>42</v>
      </c>
      <c r="D1169" s="3" t="s">
        <v>50</v>
      </c>
      <c r="E1169" s="3" t="s">
        <v>51</v>
      </c>
      <c r="F1169" s="3" t="s">
        <v>25</v>
      </c>
      <c r="G1169" s="3" t="s">
        <v>25</v>
      </c>
      <c r="H1169" s="3" t="s">
        <v>25</v>
      </c>
      <c r="I1169" s="6">
        <v>44470</v>
      </c>
      <c r="J1169" s="4">
        <v>8702</v>
      </c>
      <c r="K1169" s="4">
        <v>8179.88</v>
      </c>
      <c r="L1169" s="4">
        <v>0</v>
      </c>
      <c r="M1169" s="4">
        <v>0</v>
      </c>
      <c r="N1169" s="4">
        <v>0</v>
      </c>
      <c r="O1169" s="4">
        <v>0</v>
      </c>
      <c r="P1169" s="4">
        <v>50</v>
      </c>
      <c r="Q1169" s="3" t="s">
        <v>26</v>
      </c>
      <c r="R1169" s="3">
        <v>0</v>
      </c>
      <c r="S1169" s="3" t="s">
        <v>354</v>
      </c>
      <c r="U1169" s="3">
        <v>44</v>
      </c>
      <c r="V1169" s="3">
        <v>0</v>
      </c>
      <c r="W1169" s="3">
        <v>0</v>
      </c>
    </row>
    <row r="1170" spans="1:23" ht="11.25" customHeight="1" x14ac:dyDescent="0.25">
      <c r="A1170" s="3" t="s">
        <v>21</v>
      </c>
      <c r="B1170" s="3" t="s">
        <v>41</v>
      </c>
      <c r="C1170" s="3" t="s">
        <v>42</v>
      </c>
      <c r="D1170" s="3" t="s">
        <v>50</v>
      </c>
      <c r="E1170" s="3" t="s">
        <v>51</v>
      </c>
      <c r="F1170" s="3" t="s">
        <v>25</v>
      </c>
      <c r="G1170" s="3" t="s">
        <v>25</v>
      </c>
      <c r="H1170" s="3" t="s">
        <v>25</v>
      </c>
      <c r="I1170" s="6">
        <v>44501</v>
      </c>
      <c r="J1170" s="4">
        <v>8809</v>
      </c>
      <c r="K1170" s="4">
        <v>8280.4599999999991</v>
      </c>
      <c r="L1170" s="4">
        <v>0</v>
      </c>
      <c r="M1170" s="4">
        <v>0</v>
      </c>
      <c r="N1170" s="4">
        <v>0</v>
      </c>
      <c r="O1170" s="4">
        <v>0</v>
      </c>
      <c r="P1170" s="4">
        <v>51</v>
      </c>
      <c r="Q1170" s="3" t="s">
        <v>26</v>
      </c>
      <c r="R1170" s="3">
        <v>0</v>
      </c>
      <c r="S1170" s="3" t="s">
        <v>355</v>
      </c>
      <c r="U1170" s="3">
        <v>44</v>
      </c>
      <c r="V1170" s="3">
        <v>0</v>
      </c>
      <c r="W1170" s="3">
        <v>0</v>
      </c>
    </row>
    <row r="1171" spans="1:23" ht="11.25" customHeight="1" x14ac:dyDescent="0.25">
      <c r="A1171" s="3" t="s">
        <v>21</v>
      </c>
      <c r="B1171" s="3" t="s">
        <v>41</v>
      </c>
      <c r="C1171" s="3" t="s">
        <v>42</v>
      </c>
      <c r="D1171" s="3" t="s">
        <v>50</v>
      </c>
      <c r="E1171" s="3" t="s">
        <v>51</v>
      </c>
      <c r="F1171" s="3" t="s">
        <v>25</v>
      </c>
      <c r="G1171" s="3" t="s">
        <v>25</v>
      </c>
      <c r="H1171" s="3" t="s">
        <v>25</v>
      </c>
      <c r="I1171" s="6">
        <v>44531</v>
      </c>
      <c r="J1171" s="4">
        <v>8757</v>
      </c>
      <c r="K1171" s="4">
        <v>8231.58</v>
      </c>
      <c r="L1171" s="4">
        <v>0</v>
      </c>
      <c r="M1171" s="4">
        <v>0</v>
      </c>
      <c r="N1171" s="4">
        <v>0</v>
      </c>
      <c r="O1171" s="4">
        <v>0</v>
      </c>
      <c r="P1171" s="4">
        <v>49</v>
      </c>
      <c r="Q1171" s="3" t="s">
        <v>26</v>
      </c>
      <c r="R1171" s="3">
        <v>0</v>
      </c>
      <c r="S1171" s="3" t="s">
        <v>356</v>
      </c>
      <c r="U1171" s="3">
        <v>44</v>
      </c>
      <c r="V1171" s="3">
        <v>0</v>
      </c>
      <c r="W1171" s="3">
        <v>0</v>
      </c>
    </row>
    <row r="1172" spans="1:23" ht="11.25" customHeight="1" x14ac:dyDescent="0.25">
      <c r="A1172" s="3" t="s">
        <v>21</v>
      </c>
      <c r="B1172" s="3" t="s">
        <v>41</v>
      </c>
      <c r="C1172" s="3" t="s">
        <v>42</v>
      </c>
      <c r="D1172" s="3" t="s">
        <v>50</v>
      </c>
      <c r="E1172" s="3" t="s">
        <v>51</v>
      </c>
      <c r="F1172" s="3" t="s">
        <v>25</v>
      </c>
      <c r="G1172" s="3" t="s">
        <v>25</v>
      </c>
      <c r="H1172" s="3" t="s">
        <v>25</v>
      </c>
      <c r="I1172" s="6">
        <v>44562</v>
      </c>
      <c r="J1172" s="4">
        <v>8848</v>
      </c>
      <c r="K1172" s="4">
        <v>8317.1200000000008</v>
      </c>
      <c r="L1172" s="4">
        <v>0</v>
      </c>
      <c r="M1172" s="4">
        <v>0</v>
      </c>
      <c r="N1172" s="4">
        <v>0</v>
      </c>
      <c r="O1172" s="4">
        <v>0</v>
      </c>
      <c r="P1172" s="4">
        <v>50</v>
      </c>
      <c r="Q1172" s="3" t="s">
        <v>26</v>
      </c>
      <c r="R1172" s="3">
        <v>0</v>
      </c>
      <c r="S1172" s="3" t="s">
        <v>357</v>
      </c>
      <c r="U1172" s="3">
        <v>44</v>
      </c>
      <c r="V1172" s="3">
        <v>0</v>
      </c>
      <c r="W1172" s="3">
        <v>0</v>
      </c>
    </row>
    <row r="1173" spans="1:23" ht="11.25" customHeight="1" x14ac:dyDescent="0.25">
      <c r="A1173" s="3" t="s">
        <v>21</v>
      </c>
      <c r="B1173" s="3" t="s">
        <v>41</v>
      </c>
      <c r="C1173" s="3" t="s">
        <v>42</v>
      </c>
      <c r="D1173" s="3" t="s">
        <v>50</v>
      </c>
      <c r="E1173" s="3" t="s">
        <v>51</v>
      </c>
      <c r="F1173" s="3" t="s">
        <v>25</v>
      </c>
      <c r="G1173" s="3" t="s">
        <v>25</v>
      </c>
      <c r="H1173" s="3" t="s">
        <v>25</v>
      </c>
      <c r="I1173" s="6">
        <v>44593</v>
      </c>
      <c r="J1173" s="4">
        <v>8890</v>
      </c>
      <c r="K1173" s="4">
        <v>8356.6</v>
      </c>
      <c r="L1173" s="4">
        <v>0</v>
      </c>
      <c r="M1173" s="4">
        <v>0</v>
      </c>
      <c r="N1173" s="4">
        <v>0</v>
      </c>
      <c r="O1173" s="4">
        <v>0</v>
      </c>
      <c r="P1173" s="4">
        <v>51</v>
      </c>
      <c r="Q1173" s="3" t="s">
        <v>26</v>
      </c>
      <c r="R1173" s="3">
        <v>0</v>
      </c>
      <c r="S1173" s="3" t="s">
        <v>358</v>
      </c>
      <c r="U1173" s="3">
        <v>44</v>
      </c>
      <c r="V1173" s="3">
        <v>0</v>
      </c>
      <c r="W1173" s="3">
        <v>0</v>
      </c>
    </row>
    <row r="1174" spans="1:23" ht="11.25" customHeight="1" x14ac:dyDescent="0.25">
      <c r="A1174" s="3" t="s">
        <v>27</v>
      </c>
      <c r="B1174" s="3" t="s">
        <v>41</v>
      </c>
      <c r="C1174" s="3" t="s">
        <v>42</v>
      </c>
      <c r="D1174" s="3" t="s">
        <v>50</v>
      </c>
      <c r="E1174" s="3" t="s">
        <v>51</v>
      </c>
      <c r="F1174" s="3" t="s">
        <v>25</v>
      </c>
      <c r="G1174" s="3" t="s">
        <v>25</v>
      </c>
      <c r="H1174" s="3" t="s">
        <v>25</v>
      </c>
      <c r="I1174" s="6">
        <v>44593</v>
      </c>
      <c r="J1174" s="4">
        <v>30</v>
      </c>
      <c r="K1174" s="4">
        <v>28.2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3" t="s">
        <v>26</v>
      </c>
      <c r="R1174" s="3">
        <v>0</v>
      </c>
      <c r="S1174" s="3" t="s">
        <v>358</v>
      </c>
      <c r="U1174" s="3">
        <v>44</v>
      </c>
      <c r="V1174" s="3">
        <v>0</v>
      </c>
      <c r="W1174" s="3">
        <v>0</v>
      </c>
    </row>
    <row r="1175" spans="1:23" ht="11.25" customHeight="1" x14ac:dyDescent="0.25">
      <c r="A1175" s="3" t="s">
        <v>56</v>
      </c>
      <c r="B1175" s="3" t="s">
        <v>41</v>
      </c>
      <c r="C1175" s="3" t="s">
        <v>42</v>
      </c>
      <c r="D1175" s="3" t="s">
        <v>50</v>
      </c>
      <c r="E1175" s="3" t="s">
        <v>51</v>
      </c>
      <c r="F1175" s="3" t="s">
        <v>25</v>
      </c>
      <c r="G1175" s="3" t="s">
        <v>25</v>
      </c>
      <c r="H1175" s="3" t="s">
        <v>25</v>
      </c>
      <c r="I1175" s="6">
        <v>44621</v>
      </c>
      <c r="J1175" s="4">
        <v>8890</v>
      </c>
      <c r="K1175" s="4">
        <v>8356.6</v>
      </c>
      <c r="L1175" s="4">
        <v>0</v>
      </c>
      <c r="M1175" s="4">
        <v>0</v>
      </c>
      <c r="N1175" s="4">
        <v>0</v>
      </c>
      <c r="O1175" s="4">
        <v>0</v>
      </c>
      <c r="P1175" s="4">
        <v>51</v>
      </c>
      <c r="Q1175" s="3" t="s">
        <v>26</v>
      </c>
      <c r="R1175" s="3">
        <v>0</v>
      </c>
      <c r="S1175" s="3" t="s">
        <v>359</v>
      </c>
      <c r="U1175" s="3">
        <v>44</v>
      </c>
      <c r="V1175" s="3">
        <v>0</v>
      </c>
      <c r="W1175" s="3">
        <v>0</v>
      </c>
    </row>
    <row r="1176" spans="1:23" ht="11.25" customHeight="1" x14ac:dyDescent="0.25">
      <c r="A1176" s="3" t="s">
        <v>56</v>
      </c>
      <c r="B1176" s="3" t="s">
        <v>41</v>
      </c>
      <c r="C1176" s="3" t="s">
        <v>42</v>
      </c>
      <c r="D1176" s="3" t="s">
        <v>50</v>
      </c>
      <c r="E1176" s="3" t="s">
        <v>51</v>
      </c>
      <c r="F1176" s="3" t="s">
        <v>25</v>
      </c>
      <c r="G1176" s="3" t="s">
        <v>25</v>
      </c>
      <c r="H1176" s="3" t="s">
        <v>25</v>
      </c>
      <c r="I1176" s="6">
        <v>44621</v>
      </c>
      <c r="J1176" s="4">
        <v>30</v>
      </c>
      <c r="K1176" s="4">
        <v>28.2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3" t="s">
        <v>26</v>
      </c>
      <c r="R1176" s="3">
        <v>0</v>
      </c>
      <c r="S1176" s="3" t="s">
        <v>359</v>
      </c>
      <c r="U1176" s="3">
        <v>44</v>
      </c>
      <c r="V1176" s="3">
        <v>0</v>
      </c>
      <c r="W1176" s="3">
        <v>0</v>
      </c>
    </row>
    <row r="1177" spans="1:23" ht="11.25" customHeight="1" x14ac:dyDescent="0.25">
      <c r="A1177" s="3" t="s">
        <v>21</v>
      </c>
      <c r="B1177" s="3" t="s">
        <v>41</v>
      </c>
      <c r="C1177" s="3" t="s">
        <v>42</v>
      </c>
      <c r="D1177" s="3" t="s">
        <v>50</v>
      </c>
      <c r="E1177" s="3" t="s">
        <v>51</v>
      </c>
      <c r="F1177" s="3" t="s">
        <v>25</v>
      </c>
      <c r="G1177" s="3" t="s">
        <v>25</v>
      </c>
      <c r="H1177" s="3" t="s">
        <v>34</v>
      </c>
      <c r="I1177" s="6">
        <v>44287</v>
      </c>
      <c r="J1177" s="4">
        <v>0</v>
      </c>
      <c r="K1177" s="4">
        <v>0</v>
      </c>
      <c r="L1177" s="4">
        <v>517</v>
      </c>
      <c r="M1177" s="4">
        <v>485.98</v>
      </c>
      <c r="N1177" s="4">
        <v>517</v>
      </c>
      <c r="O1177" s="4">
        <v>485.98</v>
      </c>
      <c r="P1177" s="4">
        <v>0</v>
      </c>
      <c r="Q1177" s="3" t="s">
        <v>26</v>
      </c>
      <c r="R1177" s="3">
        <v>0</v>
      </c>
      <c r="S1177" s="3" t="s">
        <v>360</v>
      </c>
      <c r="T1177" s="3" t="s">
        <v>623</v>
      </c>
      <c r="U1177" s="3">
        <v>0</v>
      </c>
      <c r="V1177" s="3">
        <v>20</v>
      </c>
      <c r="W1177" s="3">
        <v>88</v>
      </c>
    </row>
    <row r="1178" spans="1:23" ht="11.25" customHeight="1" x14ac:dyDescent="0.25">
      <c r="A1178" s="3" t="s">
        <v>21</v>
      </c>
      <c r="B1178" s="3" t="s">
        <v>41</v>
      </c>
      <c r="C1178" s="3" t="s">
        <v>42</v>
      </c>
      <c r="D1178" s="3" t="s">
        <v>50</v>
      </c>
      <c r="E1178" s="3" t="s">
        <v>51</v>
      </c>
      <c r="F1178" s="3" t="s">
        <v>25</v>
      </c>
      <c r="G1178" s="3" t="s">
        <v>25</v>
      </c>
      <c r="H1178" s="3" t="s">
        <v>34</v>
      </c>
      <c r="I1178" s="6">
        <v>44317</v>
      </c>
      <c r="J1178" s="4">
        <v>0</v>
      </c>
      <c r="K1178" s="4">
        <v>0</v>
      </c>
      <c r="L1178" s="4">
        <v>467.923</v>
      </c>
      <c r="M1178" s="4">
        <v>439.84762000000001</v>
      </c>
      <c r="N1178" s="4">
        <v>467.923</v>
      </c>
      <c r="O1178" s="4">
        <v>439.84762000000001</v>
      </c>
      <c r="P1178" s="4">
        <v>0</v>
      </c>
      <c r="Q1178" s="3" t="s">
        <v>26</v>
      </c>
      <c r="R1178" s="3">
        <v>0</v>
      </c>
      <c r="S1178" s="3" t="s">
        <v>361</v>
      </c>
      <c r="T1178" s="3" t="s">
        <v>624</v>
      </c>
      <c r="U1178" s="3">
        <v>0</v>
      </c>
      <c r="V1178" s="3">
        <v>20</v>
      </c>
      <c r="W1178" s="3">
        <v>88</v>
      </c>
    </row>
    <row r="1179" spans="1:23" ht="11.25" customHeight="1" x14ac:dyDescent="0.25">
      <c r="A1179" s="3" t="s">
        <v>21</v>
      </c>
      <c r="B1179" s="3" t="s">
        <v>41</v>
      </c>
      <c r="C1179" s="3" t="s">
        <v>42</v>
      </c>
      <c r="D1179" s="3" t="s">
        <v>50</v>
      </c>
      <c r="E1179" s="3" t="s">
        <v>51</v>
      </c>
      <c r="F1179" s="3" t="s">
        <v>25</v>
      </c>
      <c r="G1179" s="3" t="s">
        <v>25</v>
      </c>
      <c r="H1179" s="3" t="s">
        <v>34</v>
      </c>
      <c r="I1179" s="6">
        <v>44348</v>
      </c>
      <c r="J1179" s="4">
        <v>0</v>
      </c>
      <c r="K1179" s="4">
        <v>0</v>
      </c>
      <c r="L1179" s="4">
        <v>309.91500000000002</v>
      </c>
      <c r="M1179" s="4">
        <v>291.32010000000002</v>
      </c>
      <c r="N1179" s="4">
        <v>309.91500000000002</v>
      </c>
      <c r="O1179" s="4">
        <v>291.32010000000002</v>
      </c>
      <c r="P1179" s="4">
        <v>0</v>
      </c>
      <c r="Q1179" s="3" t="s">
        <v>26</v>
      </c>
      <c r="R1179" s="3">
        <v>0</v>
      </c>
      <c r="S1179" s="3" t="s">
        <v>362</v>
      </c>
      <c r="T1179" s="3" t="s">
        <v>625</v>
      </c>
      <c r="U1179" s="3">
        <v>0</v>
      </c>
      <c r="V1179" s="3">
        <v>20</v>
      </c>
      <c r="W1179" s="3">
        <v>88</v>
      </c>
    </row>
    <row r="1180" spans="1:23" ht="11.25" customHeight="1" x14ac:dyDescent="0.25">
      <c r="A1180" s="3" t="s">
        <v>21</v>
      </c>
      <c r="B1180" s="3" t="s">
        <v>41</v>
      </c>
      <c r="C1180" s="3" t="s">
        <v>42</v>
      </c>
      <c r="D1180" s="3" t="s">
        <v>50</v>
      </c>
      <c r="E1180" s="3" t="s">
        <v>51</v>
      </c>
      <c r="F1180" s="3" t="s">
        <v>25</v>
      </c>
      <c r="G1180" s="3" t="s">
        <v>25</v>
      </c>
      <c r="H1180" s="3" t="s">
        <v>34</v>
      </c>
      <c r="I1180" s="6">
        <v>44378</v>
      </c>
      <c r="J1180" s="4">
        <v>0</v>
      </c>
      <c r="K1180" s="4">
        <v>0</v>
      </c>
      <c r="L1180" s="4">
        <v>338.399</v>
      </c>
      <c r="M1180" s="4">
        <v>318.09505999999999</v>
      </c>
      <c r="N1180" s="4">
        <v>338.399</v>
      </c>
      <c r="O1180" s="4">
        <v>318.09505999999999</v>
      </c>
      <c r="P1180" s="4">
        <v>0</v>
      </c>
      <c r="Q1180" s="3" t="s">
        <v>26</v>
      </c>
      <c r="R1180" s="3">
        <v>0</v>
      </c>
      <c r="S1180" s="3" t="s">
        <v>363</v>
      </c>
      <c r="T1180" s="3" t="s">
        <v>626</v>
      </c>
      <c r="U1180" s="3">
        <v>0</v>
      </c>
      <c r="V1180" s="3">
        <v>20</v>
      </c>
      <c r="W1180" s="3">
        <v>88</v>
      </c>
    </row>
    <row r="1181" spans="1:23" ht="11.25" customHeight="1" x14ac:dyDescent="0.25">
      <c r="A1181" s="3" t="s">
        <v>27</v>
      </c>
      <c r="B1181" s="3" t="s">
        <v>41</v>
      </c>
      <c r="C1181" s="3" t="s">
        <v>42</v>
      </c>
      <c r="D1181" s="3" t="s">
        <v>50</v>
      </c>
      <c r="E1181" s="3" t="s">
        <v>51</v>
      </c>
      <c r="F1181" s="3" t="s">
        <v>25</v>
      </c>
      <c r="G1181" s="3" t="s">
        <v>25</v>
      </c>
      <c r="H1181" s="3" t="s">
        <v>34</v>
      </c>
      <c r="I1181" s="6">
        <v>44378</v>
      </c>
      <c r="J1181" s="4">
        <v>0</v>
      </c>
      <c r="K1181" s="4">
        <v>0</v>
      </c>
      <c r="L1181" s="4">
        <v>-1.6579999999999999</v>
      </c>
      <c r="M1181" s="4">
        <v>-1.5585199999999999</v>
      </c>
      <c r="N1181" s="4">
        <v>-1.6579999999999999</v>
      </c>
      <c r="O1181" s="4">
        <v>-1.5585199999999999</v>
      </c>
      <c r="P1181" s="4">
        <v>0</v>
      </c>
      <c r="Q1181" s="3" t="s">
        <v>26</v>
      </c>
      <c r="R1181" s="3">
        <v>0</v>
      </c>
      <c r="S1181" s="3" t="s">
        <v>363</v>
      </c>
      <c r="T1181" s="3" t="s">
        <v>626</v>
      </c>
      <c r="U1181" s="3">
        <v>0</v>
      </c>
      <c r="V1181" s="3">
        <v>20</v>
      </c>
      <c r="W1181" s="3">
        <v>88</v>
      </c>
    </row>
    <row r="1182" spans="1:23" ht="11.25" customHeight="1" x14ac:dyDescent="0.25">
      <c r="A1182" s="3" t="s">
        <v>21</v>
      </c>
      <c r="B1182" s="3" t="s">
        <v>41</v>
      </c>
      <c r="C1182" s="3" t="s">
        <v>42</v>
      </c>
      <c r="D1182" s="3" t="s">
        <v>50</v>
      </c>
      <c r="E1182" s="3" t="s">
        <v>51</v>
      </c>
      <c r="F1182" s="3" t="s">
        <v>25</v>
      </c>
      <c r="G1182" s="3" t="s">
        <v>25</v>
      </c>
      <c r="H1182" s="3" t="s">
        <v>34</v>
      </c>
      <c r="I1182" s="6">
        <v>44409</v>
      </c>
      <c r="J1182" s="4">
        <v>0</v>
      </c>
      <c r="K1182" s="4">
        <v>0</v>
      </c>
      <c r="L1182" s="4">
        <v>343.34199999999998</v>
      </c>
      <c r="M1182" s="4">
        <v>322.74148000000002</v>
      </c>
      <c r="N1182" s="4">
        <v>343.34199999999998</v>
      </c>
      <c r="O1182" s="4">
        <v>322.74148000000002</v>
      </c>
      <c r="P1182" s="4">
        <v>0</v>
      </c>
      <c r="Q1182" s="3" t="s">
        <v>26</v>
      </c>
      <c r="R1182" s="3">
        <v>0</v>
      </c>
      <c r="S1182" s="3" t="s">
        <v>364</v>
      </c>
      <c r="T1182" s="3" t="s">
        <v>627</v>
      </c>
      <c r="U1182" s="3">
        <v>0</v>
      </c>
      <c r="V1182" s="3">
        <v>20</v>
      </c>
      <c r="W1182" s="3">
        <v>88</v>
      </c>
    </row>
    <row r="1183" spans="1:23" ht="11.25" customHeight="1" x14ac:dyDescent="0.25">
      <c r="A1183" s="3" t="s">
        <v>21</v>
      </c>
      <c r="B1183" s="3" t="s">
        <v>41</v>
      </c>
      <c r="C1183" s="3" t="s">
        <v>42</v>
      </c>
      <c r="D1183" s="3" t="s">
        <v>50</v>
      </c>
      <c r="E1183" s="3" t="s">
        <v>51</v>
      </c>
      <c r="F1183" s="3" t="s">
        <v>25</v>
      </c>
      <c r="G1183" s="3" t="s">
        <v>25</v>
      </c>
      <c r="H1183" s="3" t="s">
        <v>34</v>
      </c>
      <c r="I1183" s="6">
        <v>44440</v>
      </c>
      <c r="J1183" s="4">
        <v>0</v>
      </c>
      <c r="K1183" s="4">
        <v>0</v>
      </c>
      <c r="L1183" s="4">
        <v>255.63300000000001</v>
      </c>
      <c r="M1183" s="4">
        <v>240.29501999999999</v>
      </c>
      <c r="N1183" s="4">
        <v>255.63300000000001</v>
      </c>
      <c r="O1183" s="4">
        <v>240.29501999999999</v>
      </c>
      <c r="P1183" s="4">
        <v>0</v>
      </c>
      <c r="Q1183" s="3" t="s">
        <v>26</v>
      </c>
      <c r="R1183" s="3">
        <v>0</v>
      </c>
      <c r="S1183" s="3" t="s">
        <v>365</v>
      </c>
      <c r="T1183" s="3" t="s">
        <v>628</v>
      </c>
      <c r="U1183" s="3">
        <v>0</v>
      </c>
      <c r="V1183" s="3">
        <v>20</v>
      </c>
      <c r="W1183" s="3">
        <v>88</v>
      </c>
    </row>
    <row r="1184" spans="1:23" ht="11.25" customHeight="1" x14ac:dyDescent="0.25">
      <c r="A1184" s="3" t="s">
        <v>21</v>
      </c>
      <c r="B1184" s="3" t="s">
        <v>41</v>
      </c>
      <c r="C1184" s="3" t="s">
        <v>42</v>
      </c>
      <c r="D1184" s="3" t="s">
        <v>50</v>
      </c>
      <c r="E1184" s="3" t="s">
        <v>51</v>
      </c>
      <c r="F1184" s="3" t="s">
        <v>25</v>
      </c>
      <c r="G1184" s="3" t="s">
        <v>25</v>
      </c>
      <c r="H1184" s="3" t="s">
        <v>34</v>
      </c>
      <c r="I1184" s="6">
        <v>44470</v>
      </c>
      <c r="J1184" s="4">
        <v>0</v>
      </c>
      <c r="K1184" s="4">
        <v>0</v>
      </c>
      <c r="L1184" s="4">
        <v>254.77699999999999</v>
      </c>
      <c r="M1184" s="4">
        <v>239.49037999999999</v>
      </c>
      <c r="N1184" s="4">
        <v>254.77699999999999</v>
      </c>
      <c r="O1184" s="4">
        <v>239.49037999999999</v>
      </c>
      <c r="P1184" s="4">
        <v>0</v>
      </c>
      <c r="Q1184" s="3" t="s">
        <v>26</v>
      </c>
      <c r="R1184" s="3">
        <v>0</v>
      </c>
      <c r="S1184" s="3" t="s">
        <v>366</v>
      </c>
      <c r="T1184" s="3" t="s">
        <v>629</v>
      </c>
      <c r="U1184" s="3">
        <v>0</v>
      </c>
      <c r="V1184" s="3">
        <v>20</v>
      </c>
      <c r="W1184" s="3">
        <v>88</v>
      </c>
    </row>
    <row r="1185" spans="1:23" ht="11.25" customHeight="1" x14ac:dyDescent="0.25">
      <c r="A1185" s="3" t="s">
        <v>21</v>
      </c>
      <c r="B1185" s="3" t="s">
        <v>41</v>
      </c>
      <c r="C1185" s="3" t="s">
        <v>42</v>
      </c>
      <c r="D1185" s="3" t="s">
        <v>50</v>
      </c>
      <c r="E1185" s="3" t="s">
        <v>51</v>
      </c>
      <c r="F1185" s="3" t="s">
        <v>25</v>
      </c>
      <c r="G1185" s="3" t="s">
        <v>25</v>
      </c>
      <c r="H1185" s="3" t="s">
        <v>34</v>
      </c>
      <c r="I1185" s="6">
        <v>44501</v>
      </c>
      <c r="J1185" s="4">
        <v>0</v>
      </c>
      <c r="K1185" s="4">
        <v>0</v>
      </c>
      <c r="L1185" s="4">
        <v>263.03699999999998</v>
      </c>
      <c r="M1185" s="4">
        <v>247.25478000000001</v>
      </c>
      <c r="N1185" s="4">
        <v>263.03699999999998</v>
      </c>
      <c r="O1185" s="4">
        <v>247.25478000000001</v>
      </c>
      <c r="P1185" s="4">
        <v>0</v>
      </c>
      <c r="Q1185" s="3" t="s">
        <v>26</v>
      </c>
      <c r="R1185" s="3">
        <v>0</v>
      </c>
      <c r="S1185" s="3" t="s">
        <v>367</v>
      </c>
      <c r="T1185" s="3" t="s">
        <v>630</v>
      </c>
      <c r="U1185" s="3">
        <v>0</v>
      </c>
      <c r="V1185" s="3">
        <v>20</v>
      </c>
      <c r="W1185" s="3">
        <v>88</v>
      </c>
    </row>
    <row r="1186" spans="1:23" ht="11.25" customHeight="1" x14ac:dyDescent="0.25">
      <c r="A1186" s="3" t="s">
        <v>21</v>
      </c>
      <c r="B1186" s="3" t="s">
        <v>41</v>
      </c>
      <c r="C1186" s="3" t="s">
        <v>42</v>
      </c>
      <c r="D1186" s="3" t="s">
        <v>50</v>
      </c>
      <c r="E1186" s="3" t="s">
        <v>51</v>
      </c>
      <c r="F1186" s="3" t="s">
        <v>25</v>
      </c>
      <c r="G1186" s="3" t="s">
        <v>25</v>
      </c>
      <c r="H1186" s="3" t="s">
        <v>34</v>
      </c>
      <c r="I1186" s="6">
        <v>44531</v>
      </c>
      <c r="J1186" s="4">
        <v>0</v>
      </c>
      <c r="K1186" s="4">
        <v>0</v>
      </c>
      <c r="L1186" s="4">
        <v>296.10899999999998</v>
      </c>
      <c r="M1186" s="4">
        <v>278.34246000000002</v>
      </c>
      <c r="N1186" s="4">
        <v>296.10899999999998</v>
      </c>
      <c r="O1186" s="4">
        <v>278.34246000000002</v>
      </c>
      <c r="P1186" s="4">
        <v>0</v>
      </c>
      <c r="Q1186" s="3" t="s">
        <v>26</v>
      </c>
      <c r="R1186" s="3">
        <v>0</v>
      </c>
      <c r="S1186" s="3" t="s">
        <v>368</v>
      </c>
      <c r="T1186" s="3" t="s">
        <v>631</v>
      </c>
      <c r="U1186" s="3">
        <v>0</v>
      </c>
      <c r="V1186" s="3">
        <v>20</v>
      </c>
      <c r="W1186" s="3">
        <v>88</v>
      </c>
    </row>
    <row r="1187" spans="1:23" ht="11.25" customHeight="1" x14ac:dyDescent="0.25">
      <c r="A1187" s="3" t="s">
        <v>21</v>
      </c>
      <c r="B1187" s="3" t="s">
        <v>41</v>
      </c>
      <c r="C1187" s="3" t="s">
        <v>42</v>
      </c>
      <c r="D1187" s="3" t="s">
        <v>50</v>
      </c>
      <c r="E1187" s="3" t="s">
        <v>51</v>
      </c>
      <c r="F1187" s="3" t="s">
        <v>25</v>
      </c>
      <c r="G1187" s="3" t="s">
        <v>25</v>
      </c>
      <c r="H1187" s="3" t="s">
        <v>34</v>
      </c>
      <c r="I1187" s="6">
        <v>44562</v>
      </c>
      <c r="J1187" s="4">
        <v>0</v>
      </c>
      <c r="K1187" s="4">
        <v>0</v>
      </c>
      <c r="L1187" s="4">
        <v>283.55799999999999</v>
      </c>
      <c r="M1187" s="4">
        <v>266.54451999999998</v>
      </c>
      <c r="N1187" s="4">
        <v>283.55799999999999</v>
      </c>
      <c r="O1187" s="4">
        <v>266.54451999999998</v>
      </c>
      <c r="P1187" s="4">
        <v>0</v>
      </c>
      <c r="Q1187" s="3" t="s">
        <v>26</v>
      </c>
      <c r="R1187" s="3">
        <v>0</v>
      </c>
      <c r="S1187" s="3" t="s">
        <v>369</v>
      </c>
      <c r="T1187" s="3" t="s">
        <v>632</v>
      </c>
      <c r="U1187" s="3">
        <v>0</v>
      </c>
      <c r="V1187" s="3">
        <v>20</v>
      </c>
      <c r="W1187" s="3">
        <v>88</v>
      </c>
    </row>
    <row r="1188" spans="1:23" ht="11.25" customHeight="1" x14ac:dyDescent="0.25">
      <c r="A1188" s="3" t="s">
        <v>21</v>
      </c>
      <c r="B1188" s="3" t="s">
        <v>41</v>
      </c>
      <c r="C1188" s="3" t="s">
        <v>42</v>
      </c>
      <c r="D1188" s="3" t="s">
        <v>50</v>
      </c>
      <c r="E1188" s="3" t="s">
        <v>51</v>
      </c>
      <c r="F1188" s="3" t="s">
        <v>25</v>
      </c>
      <c r="G1188" s="3" t="s">
        <v>25</v>
      </c>
      <c r="H1188" s="3" t="s">
        <v>34</v>
      </c>
      <c r="I1188" s="6">
        <v>44593</v>
      </c>
      <c r="J1188" s="4">
        <v>0</v>
      </c>
      <c r="K1188" s="4">
        <v>0</v>
      </c>
      <c r="L1188" s="4">
        <v>267.255</v>
      </c>
      <c r="M1188" s="4">
        <v>251.21969999999999</v>
      </c>
      <c r="N1188" s="4">
        <v>267.255</v>
      </c>
      <c r="O1188" s="4">
        <v>251.21969999999999</v>
      </c>
      <c r="P1188" s="4">
        <v>0</v>
      </c>
      <c r="Q1188" s="3" t="s">
        <v>26</v>
      </c>
      <c r="R1188" s="3">
        <v>0</v>
      </c>
      <c r="S1188" s="3" t="s">
        <v>370</v>
      </c>
      <c r="T1188" s="3" t="s">
        <v>633</v>
      </c>
      <c r="U1188" s="3">
        <v>0</v>
      </c>
      <c r="V1188" s="3">
        <v>20</v>
      </c>
      <c r="W1188" s="3">
        <v>88</v>
      </c>
    </row>
    <row r="1189" spans="1:23" ht="11.25" customHeight="1" x14ac:dyDescent="0.25">
      <c r="A1189" s="3" t="s">
        <v>56</v>
      </c>
      <c r="B1189" s="3" t="s">
        <v>41</v>
      </c>
      <c r="C1189" s="3" t="s">
        <v>42</v>
      </c>
      <c r="D1189" s="3" t="s">
        <v>50</v>
      </c>
      <c r="E1189" s="3" t="s">
        <v>51</v>
      </c>
      <c r="F1189" s="3" t="s">
        <v>25</v>
      </c>
      <c r="G1189" s="3" t="s">
        <v>25</v>
      </c>
      <c r="H1189" s="3" t="s">
        <v>34</v>
      </c>
      <c r="I1189" s="6">
        <v>44621</v>
      </c>
      <c r="J1189" s="4">
        <v>0</v>
      </c>
      <c r="K1189" s="4">
        <v>0</v>
      </c>
      <c r="L1189" s="4">
        <v>267.255</v>
      </c>
      <c r="M1189" s="4">
        <v>251.21969999999999</v>
      </c>
      <c r="N1189" s="4">
        <v>267.255</v>
      </c>
      <c r="O1189" s="4">
        <v>251.21969999999999</v>
      </c>
      <c r="P1189" s="4">
        <v>0</v>
      </c>
      <c r="Q1189" s="3" t="s">
        <v>26</v>
      </c>
      <c r="R1189" s="3">
        <v>0</v>
      </c>
      <c r="S1189" s="3" t="s">
        <v>371</v>
      </c>
      <c r="T1189" s="3" t="s">
        <v>634</v>
      </c>
      <c r="U1189" s="3">
        <v>0</v>
      </c>
      <c r="V1189" s="3">
        <v>20</v>
      </c>
      <c r="W1189" s="3">
        <v>88</v>
      </c>
    </row>
    <row r="1190" spans="1:23" ht="11.25" customHeight="1" x14ac:dyDescent="0.25">
      <c r="A1190" s="3" t="s">
        <v>21</v>
      </c>
      <c r="B1190" s="3" t="s">
        <v>22</v>
      </c>
      <c r="C1190" s="3" t="s">
        <v>33</v>
      </c>
      <c r="D1190" s="3" t="s">
        <v>24</v>
      </c>
      <c r="E1190" s="3" t="s">
        <v>24</v>
      </c>
      <c r="F1190" s="3" t="s">
        <v>25</v>
      </c>
      <c r="G1190" s="3" t="s">
        <v>25</v>
      </c>
      <c r="H1190" s="3" t="s">
        <v>35</v>
      </c>
      <c r="I1190" s="6">
        <v>44287</v>
      </c>
      <c r="J1190" s="4">
        <v>0</v>
      </c>
      <c r="K1190" s="4">
        <v>0</v>
      </c>
      <c r="L1190" s="4">
        <v>126.31399999999999</v>
      </c>
      <c r="M1190" s="4">
        <v>126.31399999999999</v>
      </c>
      <c r="N1190" s="4">
        <v>126.31399999999999</v>
      </c>
      <c r="O1190" s="4">
        <v>126.31399999999999</v>
      </c>
      <c r="P1190" s="4">
        <v>0</v>
      </c>
      <c r="Q1190" s="3" t="s">
        <v>26</v>
      </c>
      <c r="R1190" s="3">
        <v>0</v>
      </c>
      <c r="S1190" s="3" t="s">
        <v>372</v>
      </c>
      <c r="T1190" s="3" t="s">
        <v>653</v>
      </c>
      <c r="U1190" s="3">
        <v>0</v>
      </c>
      <c r="V1190" s="3">
        <v>47</v>
      </c>
      <c r="W1190" s="3">
        <v>64</v>
      </c>
    </row>
    <row r="1191" spans="1:23" ht="11.25" customHeight="1" x14ac:dyDescent="0.25">
      <c r="A1191" s="3" t="s">
        <v>28</v>
      </c>
      <c r="B1191" s="3" t="s">
        <v>22</v>
      </c>
      <c r="C1191" s="3" t="s">
        <v>33</v>
      </c>
      <c r="D1191" s="3" t="s">
        <v>24</v>
      </c>
      <c r="E1191" s="3" t="s">
        <v>24</v>
      </c>
      <c r="F1191" s="3" t="s">
        <v>25</v>
      </c>
      <c r="G1191" s="3" t="s">
        <v>25</v>
      </c>
      <c r="H1191" s="3" t="s">
        <v>35</v>
      </c>
      <c r="I1191" s="6">
        <v>44287</v>
      </c>
      <c r="J1191" s="4">
        <v>0</v>
      </c>
      <c r="K1191" s="4">
        <v>0</v>
      </c>
      <c r="L1191" s="4">
        <v>1.649</v>
      </c>
      <c r="M1191" s="4">
        <v>1.649</v>
      </c>
      <c r="N1191" s="4">
        <v>1.649</v>
      </c>
      <c r="O1191" s="4">
        <v>1.649</v>
      </c>
      <c r="P1191" s="4">
        <v>0</v>
      </c>
      <c r="Q1191" s="3" t="s">
        <v>26</v>
      </c>
      <c r="R1191" s="3">
        <v>0</v>
      </c>
      <c r="S1191" s="3" t="s">
        <v>372</v>
      </c>
      <c r="T1191" s="3" t="s">
        <v>653</v>
      </c>
      <c r="U1191" s="3">
        <v>0</v>
      </c>
      <c r="V1191" s="3">
        <v>47</v>
      </c>
      <c r="W1191" s="3">
        <v>64</v>
      </c>
    </row>
    <row r="1192" spans="1:23" ht="11.25" customHeight="1" x14ac:dyDescent="0.25">
      <c r="A1192" s="3" t="s">
        <v>21</v>
      </c>
      <c r="B1192" s="3" t="s">
        <v>22</v>
      </c>
      <c r="C1192" s="3" t="s">
        <v>33</v>
      </c>
      <c r="D1192" s="3" t="s">
        <v>24</v>
      </c>
      <c r="E1192" s="3" t="s">
        <v>24</v>
      </c>
      <c r="F1192" s="3" t="s">
        <v>25</v>
      </c>
      <c r="G1192" s="3" t="s">
        <v>25</v>
      </c>
      <c r="H1192" s="3" t="s">
        <v>35</v>
      </c>
      <c r="I1192" s="6">
        <v>44317</v>
      </c>
      <c r="J1192" s="4">
        <v>0</v>
      </c>
      <c r="K1192" s="4">
        <v>0</v>
      </c>
      <c r="L1192" s="4">
        <v>108.97499999999999</v>
      </c>
      <c r="M1192" s="4">
        <v>108.97499999999999</v>
      </c>
      <c r="N1192" s="4">
        <v>108.97499999999999</v>
      </c>
      <c r="O1192" s="4">
        <v>108.97499999999999</v>
      </c>
      <c r="P1192" s="4">
        <v>0</v>
      </c>
      <c r="Q1192" s="3" t="s">
        <v>26</v>
      </c>
      <c r="R1192" s="3">
        <v>0</v>
      </c>
      <c r="S1192" s="3" t="s">
        <v>373</v>
      </c>
      <c r="T1192" s="3" t="s">
        <v>654</v>
      </c>
      <c r="U1192" s="3">
        <v>0</v>
      </c>
      <c r="V1192" s="3">
        <v>47</v>
      </c>
      <c r="W1192" s="3">
        <v>64</v>
      </c>
    </row>
    <row r="1193" spans="1:23" ht="11.25" customHeight="1" x14ac:dyDescent="0.25">
      <c r="A1193" s="3" t="s">
        <v>28</v>
      </c>
      <c r="B1193" s="3" t="s">
        <v>22</v>
      </c>
      <c r="C1193" s="3" t="s">
        <v>33</v>
      </c>
      <c r="D1193" s="3" t="s">
        <v>24</v>
      </c>
      <c r="E1193" s="3" t="s">
        <v>24</v>
      </c>
      <c r="F1193" s="3" t="s">
        <v>25</v>
      </c>
      <c r="G1193" s="3" t="s">
        <v>25</v>
      </c>
      <c r="H1193" s="3" t="s">
        <v>35</v>
      </c>
      <c r="I1193" s="6">
        <v>44317</v>
      </c>
      <c r="J1193" s="4">
        <v>0</v>
      </c>
      <c r="K1193" s="4">
        <v>0</v>
      </c>
      <c r="L1193" s="4">
        <v>1.0229999999999999</v>
      </c>
      <c r="M1193" s="4">
        <v>1.0229999999999999</v>
      </c>
      <c r="N1193" s="4">
        <v>1.0229999999999999</v>
      </c>
      <c r="O1193" s="4">
        <v>1.0229999999999999</v>
      </c>
      <c r="P1193" s="4">
        <v>0</v>
      </c>
      <c r="Q1193" s="3" t="s">
        <v>26</v>
      </c>
      <c r="R1193" s="3">
        <v>0</v>
      </c>
      <c r="S1193" s="3" t="s">
        <v>373</v>
      </c>
      <c r="T1193" s="3" t="s">
        <v>654</v>
      </c>
      <c r="U1193" s="3">
        <v>0</v>
      </c>
      <c r="V1193" s="3">
        <v>47</v>
      </c>
      <c r="W1193" s="3">
        <v>64</v>
      </c>
    </row>
    <row r="1194" spans="1:23" ht="11.25" customHeight="1" x14ac:dyDescent="0.25">
      <c r="A1194" s="3" t="s">
        <v>21</v>
      </c>
      <c r="B1194" s="3" t="s">
        <v>22</v>
      </c>
      <c r="C1194" s="3" t="s">
        <v>33</v>
      </c>
      <c r="D1194" s="3" t="s">
        <v>24</v>
      </c>
      <c r="E1194" s="3" t="s">
        <v>24</v>
      </c>
      <c r="F1194" s="3" t="s">
        <v>25</v>
      </c>
      <c r="G1194" s="3" t="s">
        <v>25</v>
      </c>
      <c r="H1194" s="3" t="s">
        <v>35</v>
      </c>
      <c r="I1194" s="6">
        <v>44348</v>
      </c>
      <c r="J1194" s="4">
        <v>0</v>
      </c>
      <c r="K1194" s="4">
        <v>0</v>
      </c>
      <c r="L1194" s="4">
        <v>102.21</v>
      </c>
      <c r="M1194" s="4">
        <v>102.21</v>
      </c>
      <c r="N1194" s="4">
        <v>102.21</v>
      </c>
      <c r="O1194" s="4">
        <v>102.21</v>
      </c>
      <c r="P1194" s="4">
        <v>0</v>
      </c>
      <c r="Q1194" s="3" t="s">
        <v>26</v>
      </c>
      <c r="R1194" s="3">
        <v>0</v>
      </c>
      <c r="S1194" s="3" t="s">
        <v>374</v>
      </c>
      <c r="T1194" s="3" t="s">
        <v>655</v>
      </c>
      <c r="U1194" s="3">
        <v>0</v>
      </c>
      <c r="V1194" s="3">
        <v>47</v>
      </c>
      <c r="W1194" s="3">
        <v>64</v>
      </c>
    </row>
    <row r="1195" spans="1:23" ht="11.25" customHeight="1" x14ac:dyDescent="0.25">
      <c r="A1195" s="3" t="s">
        <v>28</v>
      </c>
      <c r="B1195" s="3" t="s">
        <v>22</v>
      </c>
      <c r="C1195" s="3" t="s">
        <v>33</v>
      </c>
      <c r="D1195" s="3" t="s">
        <v>24</v>
      </c>
      <c r="E1195" s="3" t="s">
        <v>24</v>
      </c>
      <c r="F1195" s="3" t="s">
        <v>25</v>
      </c>
      <c r="G1195" s="3" t="s">
        <v>25</v>
      </c>
      <c r="H1195" s="3" t="s">
        <v>35</v>
      </c>
      <c r="I1195" s="6">
        <v>44348</v>
      </c>
      <c r="J1195" s="4">
        <v>0</v>
      </c>
      <c r="K1195" s="4">
        <v>0</v>
      </c>
      <c r="L1195" s="4">
        <v>0.625</v>
      </c>
      <c r="M1195" s="4">
        <v>0.625</v>
      </c>
      <c r="N1195" s="4">
        <v>0.625</v>
      </c>
      <c r="O1195" s="4">
        <v>0.625</v>
      </c>
      <c r="P1195" s="4">
        <v>0</v>
      </c>
      <c r="Q1195" s="3" t="s">
        <v>26</v>
      </c>
      <c r="R1195" s="3">
        <v>0</v>
      </c>
      <c r="S1195" s="3" t="s">
        <v>374</v>
      </c>
      <c r="T1195" s="3" t="s">
        <v>655</v>
      </c>
      <c r="U1195" s="3">
        <v>0</v>
      </c>
      <c r="V1195" s="3">
        <v>47</v>
      </c>
      <c r="W1195" s="3">
        <v>64</v>
      </c>
    </row>
    <row r="1196" spans="1:23" ht="11.25" customHeight="1" x14ac:dyDescent="0.25">
      <c r="A1196" s="3" t="s">
        <v>21</v>
      </c>
      <c r="B1196" s="3" t="s">
        <v>22</v>
      </c>
      <c r="C1196" s="3" t="s">
        <v>33</v>
      </c>
      <c r="D1196" s="3" t="s">
        <v>24</v>
      </c>
      <c r="E1196" s="3" t="s">
        <v>24</v>
      </c>
      <c r="F1196" s="3" t="s">
        <v>25</v>
      </c>
      <c r="G1196" s="3" t="s">
        <v>25</v>
      </c>
      <c r="H1196" s="3" t="s">
        <v>35</v>
      </c>
      <c r="I1196" s="6">
        <v>44378</v>
      </c>
      <c r="J1196" s="4">
        <v>0</v>
      </c>
      <c r="K1196" s="4">
        <v>0</v>
      </c>
      <c r="L1196" s="4">
        <v>93.563000000000002</v>
      </c>
      <c r="M1196" s="4">
        <v>93.563000000000002</v>
      </c>
      <c r="N1196" s="4">
        <v>93.563000000000002</v>
      </c>
      <c r="O1196" s="4">
        <v>93.563000000000002</v>
      </c>
      <c r="P1196" s="4">
        <v>0</v>
      </c>
      <c r="Q1196" s="3" t="s">
        <v>26</v>
      </c>
      <c r="R1196" s="3">
        <v>0</v>
      </c>
      <c r="S1196" s="3" t="s">
        <v>375</v>
      </c>
      <c r="T1196" s="3" t="s">
        <v>656</v>
      </c>
      <c r="U1196" s="3">
        <v>0</v>
      </c>
      <c r="V1196" s="3">
        <v>47</v>
      </c>
      <c r="W1196" s="3">
        <v>64</v>
      </c>
    </row>
    <row r="1197" spans="1:23" ht="11.25" customHeight="1" x14ac:dyDescent="0.25">
      <c r="A1197" s="3" t="s">
        <v>28</v>
      </c>
      <c r="B1197" s="3" t="s">
        <v>22</v>
      </c>
      <c r="C1197" s="3" t="s">
        <v>33</v>
      </c>
      <c r="D1197" s="3" t="s">
        <v>24</v>
      </c>
      <c r="E1197" s="3" t="s">
        <v>24</v>
      </c>
      <c r="F1197" s="3" t="s">
        <v>25</v>
      </c>
      <c r="G1197" s="3" t="s">
        <v>25</v>
      </c>
      <c r="H1197" s="3" t="s">
        <v>35</v>
      </c>
      <c r="I1197" s="6">
        <v>44378</v>
      </c>
      <c r="J1197" s="4">
        <v>0</v>
      </c>
      <c r="K1197" s="4">
        <v>0</v>
      </c>
      <c r="L1197" s="4">
        <v>0.59299999999999997</v>
      </c>
      <c r="M1197" s="4">
        <v>0.59299999999999997</v>
      </c>
      <c r="N1197" s="4">
        <v>0.59299999999999997</v>
      </c>
      <c r="O1197" s="4">
        <v>0.59299999999999997</v>
      </c>
      <c r="P1197" s="4">
        <v>0</v>
      </c>
      <c r="Q1197" s="3" t="s">
        <v>26</v>
      </c>
      <c r="R1197" s="3">
        <v>0</v>
      </c>
      <c r="S1197" s="3" t="s">
        <v>375</v>
      </c>
      <c r="T1197" s="3" t="s">
        <v>656</v>
      </c>
      <c r="U1197" s="3">
        <v>0</v>
      </c>
      <c r="V1197" s="3">
        <v>47</v>
      </c>
      <c r="W1197" s="3">
        <v>64</v>
      </c>
    </row>
    <row r="1198" spans="1:23" ht="11.25" customHeight="1" x14ac:dyDescent="0.25">
      <c r="A1198" s="3" t="s">
        <v>21</v>
      </c>
      <c r="B1198" s="3" t="s">
        <v>22</v>
      </c>
      <c r="C1198" s="3" t="s">
        <v>33</v>
      </c>
      <c r="D1198" s="3" t="s">
        <v>24</v>
      </c>
      <c r="E1198" s="3" t="s">
        <v>24</v>
      </c>
      <c r="F1198" s="3" t="s">
        <v>25</v>
      </c>
      <c r="G1198" s="3" t="s">
        <v>25</v>
      </c>
      <c r="H1198" s="3" t="s">
        <v>35</v>
      </c>
      <c r="I1198" s="6">
        <v>44409</v>
      </c>
      <c r="J1198" s="4">
        <v>0</v>
      </c>
      <c r="K1198" s="4">
        <v>0</v>
      </c>
      <c r="L1198" s="4">
        <v>91.730999999999995</v>
      </c>
      <c r="M1198" s="4">
        <v>91.730999999999995</v>
      </c>
      <c r="N1198" s="4">
        <v>91.730999999999995</v>
      </c>
      <c r="O1198" s="4">
        <v>91.730999999999995</v>
      </c>
      <c r="P1198" s="4">
        <v>0</v>
      </c>
      <c r="Q1198" s="3" t="s">
        <v>26</v>
      </c>
      <c r="R1198" s="3">
        <v>0</v>
      </c>
      <c r="S1198" s="3" t="s">
        <v>376</v>
      </c>
      <c r="T1198" s="3" t="s">
        <v>657</v>
      </c>
      <c r="U1198" s="3">
        <v>0</v>
      </c>
      <c r="V1198" s="3">
        <v>47</v>
      </c>
      <c r="W1198" s="3">
        <v>64</v>
      </c>
    </row>
    <row r="1199" spans="1:23" ht="11.25" customHeight="1" x14ac:dyDescent="0.25">
      <c r="A1199" s="3" t="s">
        <v>28</v>
      </c>
      <c r="B1199" s="3" t="s">
        <v>22</v>
      </c>
      <c r="C1199" s="3" t="s">
        <v>33</v>
      </c>
      <c r="D1199" s="3" t="s">
        <v>24</v>
      </c>
      <c r="E1199" s="3" t="s">
        <v>24</v>
      </c>
      <c r="F1199" s="3" t="s">
        <v>25</v>
      </c>
      <c r="G1199" s="3" t="s">
        <v>25</v>
      </c>
      <c r="H1199" s="3" t="s">
        <v>35</v>
      </c>
      <c r="I1199" s="6">
        <v>44409</v>
      </c>
      <c r="J1199" s="4">
        <v>0</v>
      </c>
      <c r="K1199" s="4">
        <v>0</v>
      </c>
      <c r="L1199" s="4">
        <v>0.84299999999999997</v>
      </c>
      <c r="M1199" s="4">
        <v>0.84299999999999997</v>
      </c>
      <c r="N1199" s="4">
        <v>0.84299999999999997</v>
      </c>
      <c r="O1199" s="4">
        <v>0.84299999999999997</v>
      </c>
      <c r="P1199" s="4">
        <v>0</v>
      </c>
      <c r="Q1199" s="3" t="s">
        <v>26</v>
      </c>
      <c r="R1199" s="3">
        <v>0</v>
      </c>
      <c r="S1199" s="3" t="s">
        <v>376</v>
      </c>
      <c r="T1199" s="3" t="s">
        <v>657</v>
      </c>
      <c r="U1199" s="3">
        <v>0</v>
      </c>
      <c r="V1199" s="3">
        <v>47</v>
      </c>
      <c r="W1199" s="3">
        <v>64</v>
      </c>
    </row>
    <row r="1200" spans="1:23" ht="11.25" customHeight="1" x14ac:dyDescent="0.25">
      <c r="A1200" s="3" t="s">
        <v>21</v>
      </c>
      <c r="B1200" s="3" t="s">
        <v>22</v>
      </c>
      <c r="C1200" s="3" t="s">
        <v>33</v>
      </c>
      <c r="D1200" s="3" t="s">
        <v>24</v>
      </c>
      <c r="E1200" s="3" t="s">
        <v>24</v>
      </c>
      <c r="F1200" s="3" t="s">
        <v>25</v>
      </c>
      <c r="G1200" s="3" t="s">
        <v>25</v>
      </c>
      <c r="H1200" s="3" t="s">
        <v>35</v>
      </c>
      <c r="I1200" s="6">
        <v>44440</v>
      </c>
      <c r="J1200" s="4">
        <v>0</v>
      </c>
      <c r="K1200" s="4">
        <v>0</v>
      </c>
      <c r="L1200" s="4">
        <v>102.303</v>
      </c>
      <c r="M1200" s="4">
        <v>102.303</v>
      </c>
      <c r="N1200" s="4">
        <v>102.303</v>
      </c>
      <c r="O1200" s="4">
        <v>102.303</v>
      </c>
      <c r="P1200" s="4">
        <v>0</v>
      </c>
      <c r="Q1200" s="3" t="s">
        <v>26</v>
      </c>
      <c r="R1200" s="3">
        <v>0</v>
      </c>
      <c r="S1200" s="3" t="s">
        <v>377</v>
      </c>
      <c r="T1200" s="3" t="s">
        <v>658</v>
      </c>
      <c r="U1200" s="3">
        <v>0</v>
      </c>
      <c r="V1200" s="3">
        <v>47</v>
      </c>
      <c r="W1200" s="3">
        <v>64</v>
      </c>
    </row>
    <row r="1201" spans="1:23" ht="11.25" customHeight="1" x14ac:dyDescent="0.25">
      <c r="A1201" s="3" t="s">
        <v>27</v>
      </c>
      <c r="B1201" s="3" t="s">
        <v>22</v>
      </c>
      <c r="C1201" s="3" t="s">
        <v>33</v>
      </c>
      <c r="D1201" s="3" t="s">
        <v>24</v>
      </c>
      <c r="E1201" s="3" t="s">
        <v>24</v>
      </c>
      <c r="F1201" s="3" t="s">
        <v>25</v>
      </c>
      <c r="G1201" s="3" t="s">
        <v>25</v>
      </c>
      <c r="H1201" s="3" t="s">
        <v>35</v>
      </c>
      <c r="I1201" s="6">
        <v>44440</v>
      </c>
      <c r="J1201" s="4">
        <v>0</v>
      </c>
      <c r="K1201" s="4">
        <v>0</v>
      </c>
      <c r="L1201" s="4">
        <v>-0.33100000000000002</v>
      </c>
      <c r="M1201" s="4">
        <v>-0.33100000000000002</v>
      </c>
      <c r="N1201" s="4">
        <v>-0.33100000000000002</v>
      </c>
      <c r="O1201" s="4">
        <v>-0.33100000000000002</v>
      </c>
      <c r="P1201" s="4">
        <v>0</v>
      </c>
      <c r="Q1201" s="3" t="s">
        <v>26</v>
      </c>
      <c r="R1201" s="3">
        <v>0</v>
      </c>
      <c r="S1201" s="3" t="s">
        <v>377</v>
      </c>
      <c r="T1201" s="3" t="s">
        <v>658</v>
      </c>
      <c r="U1201" s="3">
        <v>0</v>
      </c>
      <c r="V1201" s="3">
        <v>47</v>
      </c>
      <c r="W1201" s="3">
        <v>64</v>
      </c>
    </row>
    <row r="1202" spans="1:23" ht="11.25" customHeight="1" x14ac:dyDescent="0.25">
      <c r="A1202" s="3" t="s">
        <v>28</v>
      </c>
      <c r="B1202" s="3" t="s">
        <v>22</v>
      </c>
      <c r="C1202" s="3" t="s">
        <v>33</v>
      </c>
      <c r="D1202" s="3" t="s">
        <v>24</v>
      </c>
      <c r="E1202" s="3" t="s">
        <v>24</v>
      </c>
      <c r="F1202" s="3" t="s">
        <v>25</v>
      </c>
      <c r="G1202" s="3" t="s">
        <v>25</v>
      </c>
      <c r="H1202" s="3" t="s">
        <v>35</v>
      </c>
      <c r="I1202" s="6">
        <v>44440</v>
      </c>
      <c r="J1202" s="4">
        <v>0</v>
      </c>
      <c r="K1202" s="4">
        <v>0</v>
      </c>
      <c r="L1202" s="4">
        <v>0.80800000000000005</v>
      </c>
      <c r="M1202" s="4">
        <v>0.80800000000000005</v>
      </c>
      <c r="N1202" s="4">
        <v>0.80800000000000005</v>
      </c>
      <c r="O1202" s="4">
        <v>0.80800000000000005</v>
      </c>
      <c r="P1202" s="4">
        <v>0</v>
      </c>
      <c r="Q1202" s="3" t="s">
        <v>26</v>
      </c>
      <c r="R1202" s="3">
        <v>0</v>
      </c>
      <c r="S1202" s="3" t="s">
        <v>377</v>
      </c>
      <c r="T1202" s="3" t="s">
        <v>658</v>
      </c>
      <c r="U1202" s="3">
        <v>0</v>
      </c>
      <c r="V1202" s="3">
        <v>47</v>
      </c>
      <c r="W1202" s="3">
        <v>64</v>
      </c>
    </row>
    <row r="1203" spans="1:23" ht="11.25" customHeight="1" x14ac:dyDescent="0.25">
      <c r="A1203" s="3" t="s">
        <v>21</v>
      </c>
      <c r="B1203" s="3" t="s">
        <v>22</v>
      </c>
      <c r="C1203" s="3" t="s">
        <v>33</v>
      </c>
      <c r="D1203" s="3" t="s">
        <v>24</v>
      </c>
      <c r="E1203" s="3" t="s">
        <v>24</v>
      </c>
      <c r="F1203" s="3" t="s">
        <v>25</v>
      </c>
      <c r="G1203" s="3" t="s">
        <v>25</v>
      </c>
      <c r="H1203" s="3" t="s">
        <v>35</v>
      </c>
      <c r="I1203" s="6">
        <v>44470</v>
      </c>
      <c r="J1203" s="4">
        <v>0</v>
      </c>
      <c r="K1203" s="4">
        <v>0</v>
      </c>
      <c r="L1203" s="4">
        <v>210.53399999999999</v>
      </c>
      <c r="M1203" s="4">
        <v>210.53399999999999</v>
      </c>
      <c r="N1203" s="4">
        <v>210.53399999999999</v>
      </c>
      <c r="O1203" s="4">
        <v>210.53399999999999</v>
      </c>
      <c r="P1203" s="4">
        <v>0</v>
      </c>
      <c r="Q1203" s="3" t="s">
        <v>26</v>
      </c>
      <c r="R1203" s="3">
        <v>0</v>
      </c>
      <c r="S1203" s="3" t="s">
        <v>378</v>
      </c>
      <c r="T1203" s="3" t="s">
        <v>659</v>
      </c>
      <c r="U1203" s="3">
        <v>0</v>
      </c>
      <c r="V1203" s="3">
        <v>47</v>
      </c>
      <c r="W1203" s="3">
        <v>64</v>
      </c>
    </row>
    <row r="1204" spans="1:23" ht="11.25" customHeight="1" x14ac:dyDescent="0.25">
      <c r="A1204" s="3" t="s">
        <v>28</v>
      </c>
      <c r="B1204" s="3" t="s">
        <v>22</v>
      </c>
      <c r="C1204" s="3" t="s">
        <v>33</v>
      </c>
      <c r="D1204" s="3" t="s">
        <v>24</v>
      </c>
      <c r="E1204" s="3" t="s">
        <v>24</v>
      </c>
      <c r="F1204" s="3" t="s">
        <v>25</v>
      </c>
      <c r="G1204" s="3" t="s">
        <v>25</v>
      </c>
      <c r="H1204" s="3" t="s">
        <v>35</v>
      </c>
      <c r="I1204" s="6">
        <v>44470</v>
      </c>
      <c r="J1204" s="4">
        <v>0</v>
      </c>
      <c r="K1204" s="4">
        <v>0</v>
      </c>
      <c r="L1204" s="4">
        <v>1.4079999999999999</v>
      </c>
      <c r="M1204" s="4">
        <v>1.4079999999999999</v>
      </c>
      <c r="N1204" s="4">
        <v>1.4079999999999999</v>
      </c>
      <c r="O1204" s="4">
        <v>1.4079999999999999</v>
      </c>
      <c r="P1204" s="4">
        <v>0</v>
      </c>
      <c r="Q1204" s="3" t="s">
        <v>26</v>
      </c>
      <c r="R1204" s="3">
        <v>0</v>
      </c>
      <c r="S1204" s="3" t="s">
        <v>378</v>
      </c>
      <c r="T1204" s="3" t="s">
        <v>659</v>
      </c>
      <c r="U1204" s="3">
        <v>0</v>
      </c>
      <c r="V1204" s="3">
        <v>47</v>
      </c>
      <c r="W1204" s="3">
        <v>64</v>
      </c>
    </row>
    <row r="1205" spans="1:23" ht="11.25" customHeight="1" x14ac:dyDescent="0.25">
      <c r="A1205" s="3" t="s">
        <v>21</v>
      </c>
      <c r="B1205" s="3" t="s">
        <v>22</v>
      </c>
      <c r="C1205" s="3" t="s">
        <v>33</v>
      </c>
      <c r="D1205" s="3" t="s">
        <v>24</v>
      </c>
      <c r="E1205" s="3" t="s">
        <v>24</v>
      </c>
      <c r="F1205" s="3" t="s">
        <v>25</v>
      </c>
      <c r="G1205" s="3" t="s">
        <v>25</v>
      </c>
      <c r="H1205" s="3" t="s">
        <v>35</v>
      </c>
      <c r="I1205" s="6">
        <v>44501</v>
      </c>
      <c r="J1205" s="4">
        <v>0</v>
      </c>
      <c r="K1205" s="4">
        <v>0</v>
      </c>
      <c r="L1205" s="4">
        <v>113.337</v>
      </c>
      <c r="M1205" s="4">
        <v>113.337</v>
      </c>
      <c r="N1205" s="4">
        <v>113.337</v>
      </c>
      <c r="O1205" s="4">
        <v>113.337</v>
      </c>
      <c r="P1205" s="4">
        <v>0</v>
      </c>
      <c r="Q1205" s="3" t="s">
        <v>26</v>
      </c>
      <c r="R1205" s="3">
        <v>0</v>
      </c>
      <c r="S1205" s="3" t="s">
        <v>379</v>
      </c>
      <c r="T1205" s="3" t="s">
        <v>660</v>
      </c>
      <c r="U1205" s="3">
        <v>0</v>
      </c>
      <c r="V1205" s="3">
        <v>47</v>
      </c>
      <c r="W1205" s="3">
        <v>64</v>
      </c>
    </row>
    <row r="1206" spans="1:23" ht="11.25" customHeight="1" x14ac:dyDescent="0.25">
      <c r="A1206" s="3" t="s">
        <v>27</v>
      </c>
      <c r="B1206" s="3" t="s">
        <v>22</v>
      </c>
      <c r="C1206" s="3" t="s">
        <v>33</v>
      </c>
      <c r="D1206" s="3" t="s">
        <v>24</v>
      </c>
      <c r="E1206" s="3" t="s">
        <v>24</v>
      </c>
      <c r="F1206" s="3" t="s">
        <v>25</v>
      </c>
      <c r="G1206" s="3" t="s">
        <v>25</v>
      </c>
      <c r="H1206" s="3" t="s">
        <v>35</v>
      </c>
      <c r="I1206" s="6">
        <v>44501</v>
      </c>
      <c r="J1206" s="4">
        <v>0</v>
      </c>
      <c r="K1206" s="4">
        <v>0</v>
      </c>
      <c r="L1206" s="4">
        <v>-98.995000000000005</v>
      </c>
      <c r="M1206" s="4">
        <v>-98.995000000000005</v>
      </c>
      <c r="N1206" s="4">
        <v>-98.995000000000005</v>
      </c>
      <c r="O1206" s="4">
        <v>-98.995000000000005</v>
      </c>
      <c r="P1206" s="4">
        <v>0</v>
      </c>
      <c r="Q1206" s="3" t="s">
        <v>26</v>
      </c>
      <c r="R1206" s="3">
        <v>0</v>
      </c>
      <c r="S1206" s="3" t="s">
        <v>379</v>
      </c>
      <c r="T1206" s="3" t="s">
        <v>660</v>
      </c>
      <c r="U1206" s="3">
        <v>0</v>
      </c>
      <c r="V1206" s="3">
        <v>47</v>
      </c>
      <c r="W1206" s="3">
        <v>64</v>
      </c>
    </row>
    <row r="1207" spans="1:23" ht="11.25" customHeight="1" x14ac:dyDescent="0.25">
      <c r="A1207" s="3" t="s">
        <v>28</v>
      </c>
      <c r="B1207" s="3" t="s">
        <v>22</v>
      </c>
      <c r="C1207" s="3" t="s">
        <v>33</v>
      </c>
      <c r="D1207" s="3" t="s">
        <v>24</v>
      </c>
      <c r="E1207" s="3" t="s">
        <v>24</v>
      </c>
      <c r="F1207" s="3" t="s">
        <v>25</v>
      </c>
      <c r="G1207" s="3" t="s">
        <v>25</v>
      </c>
      <c r="H1207" s="3" t="s">
        <v>35</v>
      </c>
      <c r="I1207" s="6">
        <v>44501</v>
      </c>
      <c r="J1207" s="4">
        <v>0</v>
      </c>
      <c r="K1207" s="4">
        <v>0</v>
      </c>
      <c r="L1207" s="4">
        <v>2.802</v>
      </c>
      <c r="M1207" s="4">
        <v>2.802</v>
      </c>
      <c r="N1207" s="4">
        <v>2.802</v>
      </c>
      <c r="O1207" s="4">
        <v>2.802</v>
      </c>
      <c r="P1207" s="4">
        <v>0</v>
      </c>
      <c r="Q1207" s="3" t="s">
        <v>26</v>
      </c>
      <c r="R1207" s="3">
        <v>0</v>
      </c>
      <c r="S1207" s="3" t="s">
        <v>379</v>
      </c>
      <c r="T1207" s="3" t="s">
        <v>660</v>
      </c>
      <c r="U1207" s="3">
        <v>0</v>
      </c>
      <c r="V1207" s="3">
        <v>47</v>
      </c>
      <c r="W1207" s="3">
        <v>64</v>
      </c>
    </row>
    <row r="1208" spans="1:23" ht="11.25" customHeight="1" x14ac:dyDescent="0.25">
      <c r="A1208" s="3" t="s">
        <v>21</v>
      </c>
      <c r="B1208" s="3" t="s">
        <v>22</v>
      </c>
      <c r="C1208" s="3" t="s">
        <v>33</v>
      </c>
      <c r="D1208" s="3" t="s">
        <v>24</v>
      </c>
      <c r="E1208" s="3" t="s">
        <v>24</v>
      </c>
      <c r="F1208" s="3" t="s">
        <v>25</v>
      </c>
      <c r="G1208" s="3" t="s">
        <v>25</v>
      </c>
      <c r="H1208" s="3" t="s">
        <v>35</v>
      </c>
      <c r="I1208" s="6">
        <v>44531</v>
      </c>
      <c r="J1208" s="4">
        <v>0</v>
      </c>
      <c r="K1208" s="4">
        <v>0</v>
      </c>
      <c r="L1208" s="4">
        <v>118.518</v>
      </c>
      <c r="M1208" s="4">
        <v>118.518</v>
      </c>
      <c r="N1208" s="4">
        <v>118.518</v>
      </c>
      <c r="O1208" s="4">
        <v>118.518</v>
      </c>
      <c r="P1208" s="4">
        <v>0</v>
      </c>
      <c r="Q1208" s="3" t="s">
        <v>26</v>
      </c>
      <c r="R1208" s="3">
        <v>0</v>
      </c>
      <c r="S1208" s="3" t="s">
        <v>380</v>
      </c>
      <c r="T1208" s="3" t="s">
        <v>661</v>
      </c>
      <c r="U1208" s="3">
        <v>0</v>
      </c>
      <c r="V1208" s="3">
        <v>47</v>
      </c>
      <c r="W1208" s="3">
        <v>64</v>
      </c>
    </row>
    <row r="1209" spans="1:23" ht="11.25" customHeight="1" x14ac:dyDescent="0.25">
      <c r="A1209" s="3" t="s">
        <v>27</v>
      </c>
      <c r="B1209" s="3" t="s">
        <v>22</v>
      </c>
      <c r="C1209" s="3" t="s">
        <v>33</v>
      </c>
      <c r="D1209" s="3" t="s">
        <v>24</v>
      </c>
      <c r="E1209" s="3" t="s">
        <v>24</v>
      </c>
      <c r="F1209" s="3" t="s">
        <v>25</v>
      </c>
      <c r="G1209" s="3" t="s">
        <v>25</v>
      </c>
      <c r="H1209" s="3" t="s">
        <v>35</v>
      </c>
      <c r="I1209" s="6">
        <v>44531</v>
      </c>
      <c r="J1209" s="4">
        <v>0</v>
      </c>
      <c r="K1209" s="4">
        <v>0</v>
      </c>
      <c r="L1209" s="4">
        <v>0.52900000000000003</v>
      </c>
      <c r="M1209" s="4">
        <v>0.52900000000000003</v>
      </c>
      <c r="N1209" s="4">
        <v>0.52900000000000003</v>
      </c>
      <c r="O1209" s="4">
        <v>0.52900000000000003</v>
      </c>
      <c r="P1209" s="4">
        <v>0</v>
      </c>
      <c r="Q1209" s="3" t="s">
        <v>26</v>
      </c>
      <c r="R1209" s="3">
        <v>0</v>
      </c>
      <c r="S1209" s="3" t="s">
        <v>380</v>
      </c>
      <c r="T1209" s="3" t="s">
        <v>661</v>
      </c>
      <c r="U1209" s="3">
        <v>0</v>
      </c>
      <c r="V1209" s="3">
        <v>47</v>
      </c>
      <c r="W1209" s="3">
        <v>64</v>
      </c>
    </row>
    <row r="1210" spans="1:23" ht="11.25" customHeight="1" x14ac:dyDescent="0.25">
      <c r="A1210" s="3" t="s">
        <v>28</v>
      </c>
      <c r="B1210" s="3" t="s">
        <v>22</v>
      </c>
      <c r="C1210" s="3" t="s">
        <v>33</v>
      </c>
      <c r="D1210" s="3" t="s">
        <v>24</v>
      </c>
      <c r="E1210" s="3" t="s">
        <v>24</v>
      </c>
      <c r="F1210" s="3" t="s">
        <v>25</v>
      </c>
      <c r="G1210" s="3" t="s">
        <v>25</v>
      </c>
      <c r="H1210" s="3" t="s">
        <v>35</v>
      </c>
      <c r="I1210" s="6">
        <v>44531</v>
      </c>
      <c r="J1210" s="4">
        <v>0</v>
      </c>
      <c r="K1210" s="4">
        <v>0</v>
      </c>
      <c r="L1210" s="4">
        <v>2.5430000000000001</v>
      </c>
      <c r="M1210" s="4">
        <v>2.5430000000000001</v>
      </c>
      <c r="N1210" s="4">
        <v>2.5430000000000001</v>
      </c>
      <c r="O1210" s="4">
        <v>2.5430000000000001</v>
      </c>
      <c r="P1210" s="4">
        <v>0</v>
      </c>
      <c r="Q1210" s="3" t="s">
        <v>26</v>
      </c>
      <c r="R1210" s="3">
        <v>0</v>
      </c>
      <c r="S1210" s="3" t="s">
        <v>380</v>
      </c>
      <c r="T1210" s="3" t="s">
        <v>661</v>
      </c>
      <c r="U1210" s="3">
        <v>0</v>
      </c>
      <c r="V1210" s="3">
        <v>47</v>
      </c>
      <c r="W1210" s="3">
        <v>64</v>
      </c>
    </row>
    <row r="1211" spans="1:23" ht="11.25" customHeight="1" x14ac:dyDescent="0.25">
      <c r="A1211" s="3" t="s">
        <v>21</v>
      </c>
      <c r="B1211" s="3" t="s">
        <v>22</v>
      </c>
      <c r="C1211" s="3" t="s">
        <v>33</v>
      </c>
      <c r="D1211" s="3" t="s">
        <v>24</v>
      </c>
      <c r="E1211" s="3" t="s">
        <v>24</v>
      </c>
      <c r="F1211" s="3" t="s">
        <v>25</v>
      </c>
      <c r="G1211" s="3" t="s">
        <v>25</v>
      </c>
      <c r="H1211" s="3" t="s">
        <v>35</v>
      </c>
      <c r="I1211" s="6">
        <v>44562</v>
      </c>
      <c r="J1211" s="4">
        <v>0</v>
      </c>
      <c r="K1211" s="4">
        <v>0</v>
      </c>
      <c r="L1211" s="4">
        <v>120.30800000000001</v>
      </c>
      <c r="M1211" s="4">
        <v>120.30800000000001</v>
      </c>
      <c r="N1211" s="4">
        <v>120.30800000000001</v>
      </c>
      <c r="O1211" s="4">
        <v>120.30800000000001</v>
      </c>
      <c r="P1211" s="4">
        <v>0</v>
      </c>
      <c r="Q1211" s="3" t="s">
        <v>26</v>
      </c>
      <c r="R1211" s="3">
        <v>0</v>
      </c>
      <c r="S1211" s="3" t="s">
        <v>381</v>
      </c>
      <c r="T1211" s="3" t="s">
        <v>662</v>
      </c>
      <c r="U1211" s="3">
        <v>0</v>
      </c>
      <c r="V1211" s="3">
        <v>47</v>
      </c>
      <c r="W1211" s="3">
        <v>64</v>
      </c>
    </row>
    <row r="1212" spans="1:23" ht="11.25" customHeight="1" x14ac:dyDescent="0.25">
      <c r="A1212" s="3" t="s">
        <v>28</v>
      </c>
      <c r="B1212" s="3" t="s">
        <v>22</v>
      </c>
      <c r="C1212" s="3" t="s">
        <v>33</v>
      </c>
      <c r="D1212" s="3" t="s">
        <v>24</v>
      </c>
      <c r="E1212" s="3" t="s">
        <v>24</v>
      </c>
      <c r="F1212" s="3" t="s">
        <v>25</v>
      </c>
      <c r="G1212" s="3" t="s">
        <v>25</v>
      </c>
      <c r="H1212" s="3" t="s">
        <v>35</v>
      </c>
      <c r="I1212" s="6">
        <v>44562</v>
      </c>
      <c r="J1212" s="4">
        <v>0</v>
      </c>
      <c r="K1212" s="4">
        <v>0</v>
      </c>
      <c r="L1212" s="4">
        <v>1.855</v>
      </c>
      <c r="M1212" s="4">
        <v>1.855</v>
      </c>
      <c r="N1212" s="4">
        <v>1.855</v>
      </c>
      <c r="O1212" s="4">
        <v>1.855</v>
      </c>
      <c r="P1212" s="4">
        <v>0</v>
      </c>
      <c r="Q1212" s="3" t="s">
        <v>26</v>
      </c>
      <c r="R1212" s="3">
        <v>0</v>
      </c>
      <c r="S1212" s="3" t="s">
        <v>381</v>
      </c>
      <c r="T1212" s="3" t="s">
        <v>662</v>
      </c>
      <c r="U1212" s="3">
        <v>0</v>
      </c>
      <c r="V1212" s="3">
        <v>47</v>
      </c>
      <c r="W1212" s="3">
        <v>64</v>
      </c>
    </row>
    <row r="1213" spans="1:23" ht="11.25" customHeight="1" x14ac:dyDescent="0.25">
      <c r="A1213" s="3" t="s">
        <v>21</v>
      </c>
      <c r="B1213" s="3" t="s">
        <v>22</v>
      </c>
      <c r="C1213" s="3" t="s">
        <v>33</v>
      </c>
      <c r="D1213" s="3" t="s">
        <v>24</v>
      </c>
      <c r="E1213" s="3" t="s">
        <v>24</v>
      </c>
      <c r="F1213" s="3" t="s">
        <v>25</v>
      </c>
      <c r="G1213" s="3" t="s">
        <v>25</v>
      </c>
      <c r="H1213" s="3" t="s">
        <v>35</v>
      </c>
      <c r="I1213" s="6">
        <v>44593</v>
      </c>
      <c r="J1213" s="4">
        <v>0</v>
      </c>
      <c r="K1213" s="4">
        <v>0</v>
      </c>
      <c r="L1213" s="4">
        <v>125.955</v>
      </c>
      <c r="M1213" s="4">
        <v>125.955</v>
      </c>
      <c r="N1213" s="4">
        <v>125.955</v>
      </c>
      <c r="O1213" s="4">
        <v>125.955</v>
      </c>
      <c r="P1213" s="4">
        <v>0</v>
      </c>
      <c r="Q1213" s="3" t="s">
        <v>26</v>
      </c>
      <c r="R1213" s="3">
        <v>0</v>
      </c>
      <c r="S1213" s="3" t="s">
        <v>382</v>
      </c>
      <c r="T1213" s="3" t="s">
        <v>663</v>
      </c>
      <c r="U1213" s="3">
        <v>0</v>
      </c>
      <c r="V1213" s="3">
        <v>47</v>
      </c>
      <c r="W1213" s="3">
        <v>64</v>
      </c>
    </row>
    <row r="1214" spans="1:23" ht="11.25" customHeight="1" x14ac:dyDescent="0.25">
      <c r="A1214" s="3" t="s">
        <v>28</v>
      </c>
      <c r="B1214" s="3" t="s">
        <v>22</v>
      </c>
      <c r="C1214" s="3" t="s">
        <v>33</v>
      </c>
      <c r="D1214" s="3" t="s">
        <v>24</v>
      </c>
      <c r="E1214" s="3" t="s">
        <v>24</v>
      </c>
      <c r="F1214" s="3" t="s">
        <v>25</v>
      </c>
      <c r="G1214" s="3" t="s">
        <v>25</v>
      </c>
      <c r="H1214" s="3" t="s">
        <v>35</v>
      </c>
      <c r="I1214" s="6">
        <v>44593</v>
      </c>
      <c r="J1214" s="4">
        <v>0</v>
      </c>
      <c r="K1214" s="4">
        <v>0</v>
      </c>
      <c r="L1214" s="4">
        <v>0.83699999999999997</v>
      </c>
      <c r="M1214" s="4">
        <v>0.83699999999999997</v>
      </c>
      <c r="N1214" s="4">
        <v>0.83699999999999997</v>
      </c>
      <c r="O1214" s="4">
        <v>0.83699999999999997</v>
      </c>
      <c r="P1214" s="4">
        <v>0</v>
      </c>
      <c r="Q1214" s="3" t="s">
        <v>26</v>
      </c>
      <c r="R1214" s="3">
        <v>0</v>
      </c>
      <c r="S1214" s="3" t="s">
        <v>382</v>
      </c>
      <c r="T1214" s="3" t="s">
        <v>663</v>
      </c>
      <c r="U1214" s="3">
        <v>0</v>
      </c>
      <c r="V1214" s="3">
        <v>47</v>
      </c>
      <c r="W1214" s="3">
        <v>64</v>
      </c>
    </row>
    <row r="1215" spans="1:23" ht="11.25" customHeight="1" x14ac:dyDescent="0.25">
      <c r="A1215" s="3" t="s">
        <v>28</v>
      </c>
      <c r="B1215" s="3" t="s">
        <v>22</v>
      </c>
      <c r="C1215" s="3" t="s">
        <v>33</v>
      </c>
      <c r="D1215" s="3" t="s">
        <v>24</v>
      </c>
      <c r="E1215" s="3" t="s">
        <v>24</v>
      </c>
      <c r="F1215" s="3" t="s">
        <v>25</v>
      </c>
      <c r="G1215" s="3" t="s">
        <v>25</v>
      </c>
      <c r="H1215" s="3" t="s">
        <v>35</v>
      </c>
      <c r="I1215" s="6">
        <v>44593</v>
      </c>
      <c r="J1215" s="4">
        <v>0</v>
      </c>
      <c r="K1215" s="4">
        <v>0</v>
      </c>
      <c r="L1215" s="4">
        <v>-1.506</v>
      </c>
      <c r="M1215" s="4">
        <v>-1.506</v>
      </c>
      <c r="N1215" s="4">
        <v>-1.506</v>
      </c>
      <c r="O1215" s="4">
        <v>-1.506</v>
      </c>
      <c r="P1215" s="4">
        <v>0</v>
      </c>
      <c r="Q1215" s="3" t="s">
        <v>26</v>
      </c>
      <c r="R1215" s="3">
        <v>0</v>
      </c>
      <c r="S1215" s="3" t="s">
        <v>382</v>
      </c>
      <c r="T1215" s="3" t="s">
        <v>663</v>
      </c>
      <c r="U1215" s="3">
        <v>0</v>
      </c>
      <c r="V1215" s="3">
        <v>47</v>
      </c>
      <c r="W1215" s="3">
        <v>64</v>
      </c>
    </row>
    <row r="1216" spans="1:23" ht="11.25" customHeight="1" x14ac:dyDescent="0.25">
      <c r="A1216" s="3" t="s">
        <v>56</v>
      </c>
      <c r="B1216" s="3" t="s">
        <v>22</v>
      </c>
      <c r="C1216" s="3" t="s">
        <v>33</v>
      </c>
      <c r="D1216" s="3" t="s">
        <v>24</v>
      </c>
      <c r="E1216" s="3" t="s">
        <v>24</v>
      </c>
      <c r="F1216" s="3" t="s">
        <v>25</v>
      </c>
      <c r="G1216" s="3" t="s">
        <v>25</v>
      </c>
      <c r="H1216" s="3" t="s">
        <v>35</v>
      </c>
      <c r="I1216" s="6">
        <v>44621</v>
      </c>
      <c r="J1216" s="4">
        <v>0</v>
      </c>
      <c r="K1216" s="4">
        <v>0</v>
      </c>
      <c r="L1216" s="4">
        <v>125.955</v>
      </c>
      <c r="M1216" s="4">
        <v>125.955</v>
      </c>
      <c r="N1216" s="4">
        <v>125.955</v>
      </c>
      <c r="O1216" s="4">
        <v>125.955</v>
      </c>
      <c r="P1216" s="4">
        <v>0</v>
      </c>
      <c r="Q1216" s="3" t="s">
        <v>26</v>
      </c>
      <c r="R1216" s="3">
        <v>0</v>
      </c>
      <c r="S1216" s="3" t="s">
        <v>383</v>
      </c>
      <c r="T1216" s="3" t="s">
        <v>664</v>
      </c>
      <c r="U1216" s="3">
        <v>0</v>
      </c>
      <c r="V1216" s="3">
        <v>47</v>
      </c>
      <c r="W1216" s="3">
        <v>64</v>
      </c>
    </row>
    <row r="1217" spans="1:23" ht="11.25" customHeight="1" x14ac:dyDescent="0.25">
      <c r="A1217" s="3" t="s">
        <v>56</v>
      </c>
      <c r="B1217" s="3" t="s">
        <v>22</v>
      </c>
      <c r="C1217" s="3" t="s">
        <v>33</v>
      </c>
      <c r="D1217" s="3" t="s">
        <v>24</v>
      </c>
      <c r="E1217" s="3" t="s">
        <v>24</v>
      </c>
      <c r="F1217" s="3" t="s">
        <v>25</v>
      </c>
      <c r="G1217" s="3" t="s">
        <v>25</v>
      </c>
      <c r="H1217" s="3" t="s">
        <v>35</v>
      </c>
      <c r="I1217" s="6">
        <v>44621</v>
      </c>
      <c r="J1217" s="4">
        <v>0</v>
      </c>
      <c r="K1217" s="4">
        <v>0</v>
      </c>
      <c r="L1217" s="4">
        <v>0.83699999999999997</v>
      </c>
      <c r="M1217" s="4">
        <v>0.83699999999999997</v>
      </c>
      <c r="N1217" s="4">
        <v>0.83699999999999997</v>
      </c>
      <c r="O1217" s="4">
        <v>0.83699999999999997</v>
      </c>
      <c r="P1217" s="4">
        <v>0</v>
      </c>
      <c r="Q1217" s="3" t="s">
        <v>26</v>
      </c>
      <c r="R1217" s="3">
        <v>0</v>
      </c>
      <c r="S1217" s="3" t="s">
        <v>383</v>
      </c>
      <c r="T1217" s="3" t="s">
        <v>664</v>
      </c>
      <c r="U1217" s="3">
        <v>0</v>
      </c>
      <c r="V1217" s="3">
        <v>47</v>
      </c>
      <c r="W1217" s="3">
        <v>64</v>
      </c>
    </row>
    <row r="1218" spans="1:23" ht="11.25" customHeight="1" x14ac:dyDescent="0.25">
      <c r="A1218" s="3" t="s">
        <v>56</v>
      </c>
      <c r="B1218" s="3" t="s">
        <v>22</v>
      </c>
      <c r="C1218" s="3" t="s">
        <v>33</v>
      </c>
      <c r="D1218" s="3" t="s">
        <v>24</v>
      </c>
      <c r="E1218" s="3" t="s">
        <v>24</v>
      </c>
      <c r="F1218" s="3" t="s">
        <v>25</v>
      </c>
      <c r="G1218" s="3" t="s">
        <v>25</v>
      </c>
      <c r="H1218" s="3" t="s">
        <v>35</v>
      </c>
      <c r="I1218" s="6">
        <v>44621</v>
      </c>
      <c r="J1218" s="4">
        <v>0</v>
      </c>
      <c r="K1218" s="4">
        <v>0</v>
      </c>
      <c r="L1218" s="4">
        <v>-1.506</v>
      </c>
      <c r="M1218" s="4">
        <v>-1.506</v>
      </c>
      <c r="N1218" s="4">
        <v>-1.506</v>
      </c>
      <c r="O1218" s="4">
        <v>-1.506</v>
      </c>
      <c r="P1218" s="4">
        <v>0</v>
      </c>
      <c r="Q1218" s="3" t="s">
        <v>26</v>
      </c>
      <c r="R1218" s="3">
        <v>0</v>
      </c>
      <c r="S1218" s="3" t="s">
        <v>383</v>
      </c>
      <c r="T1218" s="3" t="s">
        <v>664</v>
      </c>
      <c r="U1218" s="3">
        <v>0</v>
      </c>
      <c r="V1218" s="3">
        <v>47</v>
      </c>
      <c r="W1218" s="3">
        <v>64</v>
      </c>
    </row>
    <row r="1219" spans="1:23" ht="11.25" customHeight="1" x14ac:dyDescent="0.25">
      <c r="A1219" s="3" t="s">
        <v>21</v>
      </c>
      <c r="B1219" s="3" t="s">
        <v>22</v>
      </c>
      <c r="C1219" s="3" t="s">
        <v>33</v>
      </c>
      <c r="D1219" s="3" t="s">
        <v>24</v>
      </c>
      <c r="E1219" s="3" t="s">
        <v>24</v>
      </c>
      <c r="F1219" s="3" t="s">
        <v>25</v>
      </c>
      <c r="G1219" s="3" t="s">
        <v>25</v>
      </c>
      <c r="H1219" s="3" t="s">
        <v>36</v>
      </c>
      <c r="I1219" s="6">
        <v>44287</v>
      </c>
      <c r="J1219" s="4">
        <v>0</v>
      </c>
      <c r="K1219" s="4">
        <v>0</v>
      </c>
      <c r="L1219" s="4">
        <v>6.7119999999999997</v>
      </c>
      <c r="M1219" s="4">
        <v>6.7119999999999997</v>
      </c>
      <c r="N1219" s="4">
        <v>6.7119999999999997</v>
      </c>
      <c r="O1219" s="4">
        <v>6.7119999999999997</v>
      </c>
      <c r="P1219" s="4">
        <v>0</v>
      </c>
      <c r="Q1219" s="3" t="s">
        <v>26</v>
      </c>
      <c r="R1219" s="3">
        <v>0</v>
      </c>
      <c r="S1219" s="3" t="s">
        <v>384</v>
      </c>
      <c r="T1219" s="3" t="s">
        <v>665</v>
      </c>
      <c r="U1219" s="3">
        <v>0</v>
      </c>
      <c r="V1219" s="3">
        <v>25</v>
      </c>
      <c r="W1219" s="3">
        <v>63</v>
      </c>
    </row>
    <row r="1220" spans="1:23" ht="11.25" customHeight="1" x14ac:dyDescent="0.25">
      <c r="A1220" s="3" t="s">
        <v>28</v>
      </c>
      <c r="B1220" s="3" t="s">
        <v>22</v>
      </c>
      <c r="C1220" s="3" t="s">
        <v>33</v>
      </c>
      <c r="D1220" s="3" t="s">
        <v>24</v>
      </c>
      <c r="E1220" s="3" t="s">
        <v>24</v>
      </c>
      <c r="F1220" s="3" t="s">
        <v>25</v>
      </c>
      <c r="G1220" s="3" t="s">
        <v>25</v>
      </c>
      <c r="H1220" s="3" t="s">
        <v>36</v>
      </c>
      <c r="I1220" s="6">
        <v>44287</v>
      </c>
      <c r="J1220" s="4">
        <v>0</v>
      </c>
      <c r="K1220" s="4">
        <v>0</v>
      </c>
      <c r="L1220" s="4">
        <v>0.13200000000000001</v>
      </c>
      <c r="M1220" s="4">
        <v>0.13200000000000001</v>
      </c>
      <c r="N1220" s="4">
        <v>0.13200000000000001</v>
      </c>
      <c r="O1220" s="4">
        <v>0.13200000000000001</v>
      </c>
      <c r="P1220" s="4">
        <v>0</v>
      </c>
      <c r="Q1220" s="3" t="s">
        <v>26</v>
      </c>
      <c r="R1220" s="3">
        <v>0</v>
      </c>
      <c r="S1220" s="3" t="s">
        <v>384</v>
      </c>
      <c r="T1220" s="3" t="s">
        <v>665</v>
      </c>
      <c r="U1220" s="3">
        <v>0</v>
      </c>
      <c r="V1220" s="3">
        <v>25</v>
      </c>
      <c r="W1220" s="3">
        <v>63</v>
      </c>
    </row>
    <row r="1221" spans="1:23" ht="11.25" customHeight="1" x14ac:dyDescent="0.25">
      <c r="A1221" s="3" t="s">
        <v>21</v>
      </c>
      <c r="B1221" s="3" t="s">
        <v>22</v>
      </c>
      <c r="C1221" s="3" t="s">
        <v>33</v>
      </c>
      <c r="D1221" s="3" t="s">
        <v>24</v>
      </c>
      <c r="E1221" s="3" t="s">
        <v>24</v>
      </c>
      <c r="F1221" s="3" t="s">
        <v>25</v>
      </c>
      <c r="G1221" s="3" t="s">
        <v>25</v>
      </c>
      <c r="H1221" s="3" t="s">
        <v>36</v>
      </c>
      <c r="I1221" s="6">
        <v>44317</v>
      </c>
      <c r="J1221" s="4">
        <v>0</v>
      </c>
      <c r="K1221" s="4">
        <v>0</v>
      </c>
      <c r="L1221" s="4">
        <v>6.2249999999999996</v>
      </c>
      <c r="M1221" s="4">
        <v>6.2249999999999996</v>
      </c>
      <c r="N1221" s="4">
        <v>6.2249999999999996</v>
      </c>
      <c r="O1221" s="4">
        <v>6.2249999999999996</v>
      </c>
      <c r="P1221" s="4">
        <v>0</v>
      </c>
      <c r="Q1221" s="3" t="s">
        <v>26</v>
      </c>
      <c r="R1221" s="3">
        <v>0</v>
      </c>
      <c r="S1221" s="3" t="s">
        <v>385</v>
      </c>
      <c r="T1221" s="3" t="s">
        <v>666</v>
      </c>
      <c r="U1221" s="3">
        <v>0</v>
      </c>
      <c r="V1221" s="3">
        <v>25</v>
      </c>
      <c r="W1221" s="3">
        <v>63</v>
      </c>
    </row>
    <row r="1222" spans="1:23" ht="11.25" customHeight="1" x14ac:dyDescent="0.25">
      <c r="A1222" s="3" t="s">
        <v>28</v>
      </c>
      <c r="B1222" s="3" t="s">
        <v>22</v>
      </c>
      <c r="C1222" s="3" t="s">
        <v>33</v>
      </c>
      <c r="D1222" s="3" t="s">
        <v>24</v>
      </c>
      <c r="E1222" s="3" t="s">
        <v>24</v>
      </c>
      <c r="F1222" s="3" t="s">
        <v>25</v>
      </c>
      <c r="G1222" s="3" t="s">
        <v>25</v>
      </c>
      <c r="H1222" s="3" t="s">
        <v>36</v>
      </c>
      <c r="I1222" s="6">
        <v>44317</v>
      </c>
      <c r="J1222" s="4">
        <v>0</v>
      </c>
      <c r="K1222" s="4">
        <v>0</v>
      </c>
      <c r="L1222" s="4">
        <v>4.8000000000000001E-2</v>
      </c>
      <c r="M1222" s="4">
        <v>4.8000000000000001E-2</v>
      </c>
      <c r="N1222" s="4">
        <v>4.8000000000000001E-2</v>
      </c>
      <c r="O1222" s="4">
        <v>4.8000000000000001E-2</v>
      </c>
      <c r="P1222" s="4">
        <v>0</v>
      </c>
      <c r="Q1222" s="3" t="s">
        <v>26</v>
      </c>
      <c r="R1222" s="3">
        <v>0</v>
      </c>
      <c r="S1222" s="3" t="s">
        <v>385</v>
      </c>
      <c r="T1222" s="3" t="s">
        <v>666</v>
      </c>
      <c r="U1222" s="3">
        <v>0</v>
      </c>
      <c r="V1222" s="3">
        <v>25</v>
      </c>
      <c r="W1222" s="3">
        <v>63</v>
      </c>
    </row>
    <row r="1223" spans="1:23" ht="11.25" customHeight="1" x14ac:dyDescent="0.25">
      <c r="A1223" s="3" t="s">
        <v>21</v>
      </c>
      <c r="B1223" s="3" t="s">
        <v>22</v>
      </c>
      <c r="C1223" s="3" t="s">
        <v>33</v>
      </c>
      <c r="D1223" s="3" t="s">
        <v>24</v>
      </c>
      <c r="E1223" s="3" t="s">
        <v>24</v>
      </c>
      <c r="F1223" s="3" t="s">
        <v>25</v>
      </c>
      <c r="G1223" s="3" t="s">
        <v>25</v>
      </c>
      <c r="H1223" s="3" t="s">
        <v>36</v>
      </c>
      <c r="I1223" s="6">
        <v>44348</v>
      </c>
      <c r="J1223" s="4">
        <v>0</v>
      </c>
      <c r="K1223" s="4">
        <v>0</v>
      </c>
      <c r="L1223" s="4">
        <v>6.5419999999999998</v>
      </c>
      <c r="M1223" s="4">
        <v>6.5419999999999998</v>
      </c>
      <c r="N1223" s="4">
        <v>6.5419999999999998</v>
      </c>
      <c r="O1223" s="4">
        <v>6.5419999999999998</v>
      </c>
      <c r="P1223" s="4">
        <v>0</v>
      </c>
      <c r="Q1223" s="3" t="s">
        <v>26</v>
      </c>
      <c r="R1223" s="3">
        <v>0</v>
      </c>
      <c r="S1223" s="3" t="s">
        <v>386</v>
      </c>
      <c r="T1223" s="3" t="s">
        <v>667</v>
      </c>
      <c r="U1223" s="3">
        <v>0</v>
      </c>
      <c r="V1223" s="3">
        <v>25</v>
      </c>
      <c r="W1223" s="3">
        <v>63</v>
      </c>
    </row>
    <row r="1224" spans="1:23" ht="11.25" customHeight="1" x14ac:dyDescent="0.25">
      <c r="A1224" s="3" t="s">
        <v>28</v>
      </c>
      <c r="B1224" s="3" t="s">
        <v>22</v>
      </c>
      <c r="C1224" s="3" t="s">
        <v>33</v>
      </c>
      <c r="D1224" s="3" t="s">
        <v>24</v>
      </c>
      <c r="E1224" s="3" t="s">
        <v>24</v>
      </c>
      <c r="F1224" s="3" t="s">
        <v>25</v>
      </c>
      <c r="G1224" s="3" t="s">
        <v>25</v>
      </c>
      <c r="H1224" s="3" t="s">
        <v>36</v>
      </c>
      <c r="I1224" s="6">
        <v>44348</v>
      </c>
      <c r="J1224" s="4">
        <v>0</v>
      </c>
      <c r="K1224" s="4">
        <v>0</v>
      </c>
      <c r="L1224" s="4">
        <v>6.3E-2</v>
      </c>
      <c r="M1224" s="4">
        <v>6.3E-2</v>
      </c>
      <c r="N1224" s="4">
        <v>6.3E-2</v>
      </c>
      <c r="O1224" s="4">
        <v>6.3E-2</v>
      </c>
      <c r="P1224" s="4">
        <v>0</v>
      </c>
      <c r="Q1224" s="3" t="s">
        <v>26</v>
      </c>
      <c r="R1224" s="3">
        <v>0</v>
      </c>
      <c r="S1224" s="3" t="s">
        <v>386</v>
      </c>
      <c r="T1224" s="3" t="s">
        <v>667</v>
      </c>
      <c r="U1224" s="3">
        <v>0</v>
      </c>
      <c r="V1224" s="3">
        <v>25</v>
      </c>
      <c r="W1224" s="3">
        <v>63</v>
      </c>
    </row>
    <row r="1225" spans="1:23" ht="11.25" customHeight="1" x14ac:dyDescent="0.25">
      <c r="A1225" s="3" t="s">
        <v>21</v>
      </c>
      <c r="B1225" s="3" t="s">
        <v>22</v>
      </c>
      <c r="C1225" s="3" t="s">
        <v>33</v>
      </c>
      <c r="D1225" s="3" t="s">
        <v>24</v>
      </c>
      <c r="E1225" s="3" t="s">
        <v>24</v>
      </c>
      <c r="F1225" s="3" t="s">
        <v>25</v>
      </c>
      <c r="G1225" s="3" t="s">
        <v>25</v>
      </c>
      <c r="H1225" s="3" t="s">
        <v>36</v>
      </c>
      <c r="I1225" s="6">
        <v>44378</v>
      </c>
      <c r="J1225" s="4">
        <v>0</v>
      </c>
      <c r="K1225" s="4">
        <v>0</v>
      </c>
      <c r="L1225" s="4">
        <v>5.8940000000000001</v>
      </c>
      <c r="M1225" s="4">
        <v>5.8940000000000001</v>
      </c>
      <c r="N1225" s="4">
        <v>5.8940000000000001</v>
      </c>
      <c r="O1225" s="4">
        <v>5.8940000000000001</v>
      </c>
      <c r="P1225" s="4">
        <v>0</v>
      </c>
      <c r="Q1225" s="3" t="s">
        <v>26</v>
      </c>
      <c r="R1225" s="3">
        <v>0</v>
      </c>
      <c r="S1225" s="3" t="s">
        <v>387</v>
      </c>
      <c r="T1225" s="3" t="s">
        <v>668</v>
      </c>
      <c r="U1225" s="3">
        <v>0</v>
      </c>
      <c r="V1225" s="3">
        <v>25</v>
      </c>
      <c r="W1225" s="3">
        <v>63</v>
      </c>
    </row>
    <row r="1226" spans="1:23" ht="11.25" customHeight="1" x14ac:dyDescent="0.25">
      <c r="A1226" s="3" t="s">
        <v>28</v>
      </c>
      <c r="B1226" s="3" t="s">
        <v>22</v>
      </c>
      <c r="C1226" s="3" t="s">
        <v>33</v>
      </c>
      <c r="D1226" s="3" t="s">
        <v>24</v>
      </c>
      <c r="E1226" s="3" t="s">
        <v>24</v>
      </c>
      <c r="F1226" s="3" t="s">
        <v>25</v>
      </c>
      <c r="G1226" s="3" t="s">
        <v>25</v>
      </c>
      <c r="H1226" s="3" t="s">
        <v>36</v>
      </c>
      <c r="I1226" s="6">
        <v>44378</v>
      </c>
      <c r="J1226" s="4">
        <v>0</v>
      </c>
      <c r="K1226" s="4">
        <v>0</v>
      </c>
      <c r="L1226" s="4">
        <v>4.7E-2</v>
      </c>
      <c r="M1226" s="4">
        <v>4.7E-2</v>
      </c>
      <c r="N1226" s="4">
        <v>4.7E-2</v>
      </c>
      <c r="O1226" s="4">
        <v>4.7E-2</v>
      </c>
      <c r="P1226" s="4">
        <v>0</v>
      </c>
      <c r="Q1226" s="3" t="s">
        <v>26</v>
      </c>
      <c r="R1226" s="3">
        <v>0</v>
      </c>
      <c r="S1226" s="3" t="s">
        <v>387</v>
      </c>
      <c r="T1226" s="3" t="s">
        <v>668</v>
      </c>
      <c r="U1226" s="3">
        <v>0</v>
      </c>
      <c r="V1226" s="3">
        <v>25</v>
      </c>
      <c r="W1226" s="3">
        <v>63</v>
      </c>
    </row>
    <row r="1227" spans="1:23" ht="11.25" customHeight="1" x14ac:dyDescent="0.25">
      <c r="A1227" s="3" t="s">
        <v>21</v>
      </c>
      <c r="B1227" s="3" t="s">
        <v>22</v>
      </c>
      <c r="C1227" s="3" t="s">
        <v>33</v>
      </c>
      <c r="D1227" s="3" t="s">
        <v>24</v>
      </c>
      <c r="E1227" s="3" t="s">
        <v>24</v>
      </c>
      <c r="F1227" s="3" t="s">
        <v>25</v>
      </c>
      <c r="G1227" s="3" t="s">
        <v>25</v>
      </c>
      <c r="H1227" s="3" t="s">
        <v>36</v>
      </c>
      <c r="I1227" s="6">
        <v>44409</v>
      </c>
      <c r="J1227" s="4">
        <v>0</v>
      </c>
      <c r="K1227" s="4">
        <v>0</v>
      </c>
      <c r="L1227" s="4">
        <v>5.8639999999999999</v>
      </c>
      <c r="M1227" s="4">
        <v>5.8639999999999999</v>
      </c>
      <c r="N1227" s="4">
        <v>5.8639999999999999</v>
      </c>
      <c r="O1227" s="4">
        <v>5.8639999999999999</v>
      </c>
      <c r="P1227" s="4">
        <v>0</v>
      </c>
      <c r="Q1227" s="3" t="s">
        <v>26</v>
      </c>
      <c r="R1227" s="3">
        <v>0</v>
      </c>
      <c r="S1227" s="3" t="s">
        <v>388</v>
      </c>
      <c r="T1227" s="3" t="s">
        <v>669</v>
      </c>
      <c r="U1227" s="3">
        <v>0</v>
      </c>
      <c r="V1227" s="3">
        <v>25</v>
      </c>
      <c r="W1227" s="3">
        <v>63</v>
      </c>
    </row>
    <row r="1228" spans="1:23" ht="11.25" customHeight="1" x14ac:dyDescent="0.25">
      <c r="A1228" s="3" t="s">
        <v>28</v>
      </c>
      <c r="B1228" s="3" t="s">
        <v>22</v>
      </c>
      <c r="C1228" s="3" t="s">
        <v>33</v>
      </c>
      <c r="D1228" s="3" t="s">
        <v>24</v>
      </c>
      <c r="E1228" s="3" t="s">
        <v>24</v>
      </c>
      <c r="F1228" s="3" t="s">
        <v>25</v>
      </c>
      <c r="G1228" s="3" t="s">
        <v>25</v>
      </c>
      <c r="H1228" s="3" t="s">
        <v>36</v>
      </c>
      <c r="I1228" s="6">
        <v>44409</v>
      </c>
      <c r="J1228" s="4">
        <v>0</v>
      </c>
      <c r="K1228" s="4">
        <v>0</v>
      </c>
      <c r="L1228" s="4">
        <v>4.3999999999999997E-2</v>
      </c>
      <c r="M1228" s="4">
        <v>4.3999999999999997E-2</v>
      </c>
      <c r="N1228" s="4">
        <v>4.3999999999999997E-2</v>
      </c>
      <c r="O1228" s="4">
        <v>4.3999999999999997E-2</v>
      </c>
      <c r="P1228" s="4">
        <v>0</v>
      </c>
      <c r="Q1228" s="3" t="s">
        <v>26</v>
      </c>
      <c r="R1228" s="3">
        <v>0</v>
      </c>
      <c r="S1228" s="3" t="s">
        <v>388</v>
      </c>
      <c r="T1228" s="3" t="s">
        <v>669</v>
      </c>
      <c r="U1228" s="3">
        <v>0</v>
      </c>
      <c r="V1228" s="3">
        <v>25</v>
      </c>
      <c r="W1228" s="3">
        <v>63</v>
      </c>
    </row>
    <row r="1229" spans="1:23" ht="11.25" customHeight="1" x14ac:dyDescent="0.25">
      <c r="A1229" s="3" t="s">
        <v>21</v>
      </c>
      <c r="B1229" s="3" t="s">
        <v>22</v>
      </c>
      <c r="C1229" s="3" t="s">
        <v>33</v>
      </c>
      <c r="D1229" s="3" t="s">
        <v>24</v>
      </c>
      <c r="E1229" s="3" t="s">
        <v>24</v>
      </c>
      <c r="F1229" s="3" t="s">
        <v>25</v>
      </c>
      <c r="G1229" s="3" t="s">
        <v>25</v>
      </c>
      <c r="H1229" s="3" t="s">
        <v>36</v>
      </c>
      <c r="I1229" s="6">
        <v>44440</v>
      </c>
      <c r="J1229" s="4">
        <v>0</v>
      </c>
      <c r="K1229" s="4">
        <v>0</v>
      </c>
      <c r="L1229" s="4">
        <v>5.6269999999999998</v>
      </c>
      <c r="M1229" s="4">
        <v>5.6269999999999998</v>
      </c>
      <c r="N1229" s="4">
        <v>5.6269999999999998</v>
      </c>
      <c r="O1229" s="4">
        <v>5.6269999999999998</v>
      </c>
      <c r="P1229" s="4">
        <v>0</v>
      </c>
      <c r="Q1229" s="3" t="s">
        <v>26</v>
      </c>
      <c r="R1229" s="3">
        <v>0</v>
      </c>
      <c r="S1229" s="3" t="s">
        <v>389</v>
      </c>
      <c r="T1229" s="3" t="s">
        <v>670</v>
      </c>
      <c r="U1229" s="3">
        <v>0</v>
      </c>
      <c r="V1229" s="3">
        <v>25</v>
      </c>
      <c r="W1229" s="3">
        <v>63</v>
      </c>
    </row>
    <row r="1230" spans="1:23" ht="11.25" customHeight="1" x14ac:dyDescent="0.25">
      <c r="A1230" s="3" t="s">
        <v>27</v>
      </c>
      <c r="B1230" s="3" t="s">
        <v>22</v>
      </c>
      <c r="C1230" s="3" t="s">
        <v>33</v>
      </c>
      <c r="D1230" s="3" t="s">
        <v>24</v>
      </c>
      <c r="E1230" s="3" t="s">
        <v>24</v>
      </c>
      <c r="F1230" s="3" t="s">
        <v>25</v>
      </c>
      <c r="G1230" s="3" t="s">
        <v>25</v>
      </c>
      <c r="H1230" s="3" t="s">
        <v>36</v>
      </c>
      <c r="I1230" s="6">
        <v>44440</v>
      </c>
      <c r="J1230" s="4">
        <v>0</v>
      </c>
      <c r="K1230" s="4">
        <v>0</v>
      </c>
      <c r="L1230" s="4">
        <v>-2.3E-2</v>
      </c>
      <c r="M1230" s="4">
        <v>-2.3E-2</v>
      </c>
      <c r="N1230" s="4">
        <v>-2.3E-2</v>
      </c>
      <c r="O1230" s="4">
        <v>-2.3E-2</v>
      </c>
      <c r="P1230" s="4">
        <v>0</v>
      </c>
      <c r="Q1230" s="3" t="s">
        <v>26</v>
      </c>
      <c r="R1230" s="3">
        <v>0</v>
      </c>
      <c r="S1230" s="3" t="s">
        <v>389</v>
      </c>
      <c r="T1230" s="3" t="s">
        <v>670</v>
      </c>
      <c r="U1230" s="3">
        <v>0</v>
      </c>
      <c r="V1230" s="3">
        <v>25</v>
      </c>
      <c r="W1230" s="3">
        <v>63</v>
      </c>
    </row>
    <row r="1231" spans="1:23" ht="11.25" customHeight="1" x14ac:dyDescent="0.25">
      <c r="A1231" s="3" t="s">
        <v>28</v>
      </c>
      <c r="B1231" s="3" t="s">
        <v>22</v>
      </c>
      <c r="C1231" s="3" t="s">
        <v>33</v>
      </c>
      <c r="D1231" s="3" t="s">
        <v>24</v>
      </c>
      <c r="E1231" s="3" t="s">
        <v>24</v>
      </c>
      <c r="F1231" s="3" t="s">
        <v>25</v>
      </c>
      <c r="G1231" s="3" t="s">
        <v>25</v>
      </c>
      <c r="H1231" s="3" t="s">
        <v>36</v>
      </c>
      <c r="I1231" s="6">
        <v>44440</v>
      </c>
      <c r="J1231" s="4">
        <v>0</v>
      </c>
      <c r="K1231" s="4">
        <v>0</v>
      </c>
      <c r="L1231" s="4">
        <v>5.0999999999999997E-2</v>
      </c>
      <c r="M1231" s="4">
        <v>5.0999999999999997E-2</v>
      </c>
      <c r="N1231" s="4">
        <v>5.0999999999999997E-2</v>
      </c>
      <c r="O1231" s="4">
        <v>5.0999999999999997E-2</v>
      </c>
      <c r="P1231" s="4">
        <v>0</v>
      </c>
      <c r="Q1231" s="3" t="s">
        <v>26</v>
      </c>
      <c r="R1231" s="3">
        <v>0</v>
      </c>
      <c r="S1231" s="3" t="s">
        <v>389</v>
      </c>
      <c r="T1231" s="3" t="s">
        <v>670</v>
      </c>
      <c r="U1231" s="3">
        <v>0</v>
      </c>
      <c r="V1231" s="3">
        <v>25</v>
      </c>
      <c r="W1231" s="3">
        <v>63</v>
      </c>
    </row>
    <row r="1232" spans="1:23" ht="11.25" customHeight="1" x14ac:dyDescent="0.25">
      <c r="A1232" s="3" t="s">
        <v>21</v>
      </c>
      <c r="B1232" s="3" t="s">
        <v>22</v>
      </c>
      <c r="C1232" s="3" t="s">
        <v>33</v>
      </c>
      <c r="D1232" s="3" t="s">
        <v>24</v>
      </c>
      <c r="E1232" s="3" t="s">
        <v>24</v>
      </c>
      <c r="F1232" s="3" t="s">
        <v>25</v>
      </c>
      <c r="G1232" s="3" t="s">
        <v>25</v>
      </c>
      <c r="H1232" s="3" t="s">
        <v>36</v>
      </c>
      <c r="I1232" s="6">
        <v>44470</v>
      </c>
      <c r="J1232" s="4">
        <v>0</v>
      </c>
      <c r="K1232" s="4">
        <v>0</v>
      </c>
      <c r="L1232" s="4">
        <v>6.2569999999999997</v>
      </c>
      <c r="M1232" s="4">
        <v>6.2569999999999997</v>
      </c>
      <c r="N1232" s="4">
        <v>6.2569999999999997</v>
      </c>
      <c r="O1232" s="4">
        <v>6.2569999999999997</v>
      </c>
      <c r="P1232" s="4">
        <v>0</v>
      </c>
      <c r="Q1232" s="3" t="s">
        <v>26</v>
      </c>
      <c r="R1232" s="3">
        <v>0</v>
      </c>
      <c r="S1232" s="3" t="s">
        <v>390</v>
      </c>
      <c r="T1232" s="3" t="s">
        <v>671</v>
      </c>
      <c r="U1232" s="3">
        <v>0</v>
      </c>
      <c r="V1232" s="3">
        <v>25</v>
      </c>
      <c r="W1232" s="3">
        <v>63</v>
      </c>
    </row>
    <row r="1233" spans="1:23" ht="11.25" customHeight="1" x14ac:dyDescent="0.25">
      <c r="A1233" s="3" t="s">
        <v>28</v>
      </c>
      <c r="B1233" s="3" t="s">
        <v>22</v>
      </c>
      <c r="C1233" s="3" t="s">
        <v>33</v>
      </c>
      <c r="D1233" s="3" t="s">
        <v>24</v>
      </c>
      <c r="E1233" s="3" t="s">
        <v>24</v>
      </c>
      <c r="F1233" s="3" t="s">
        <v>25</v>
      </c>
      <c r="G1233" s="3" t="s">
        <v>25</v>
      </c>
      <c r="H1233" s="3" t="s">
        <v>36</v>
      </c>
      <c r="I1233" s="6">
        <v>44470</v>
      </c>
      <c r="J1233" s="4">
        <v>0</v>
      </c>
      <c r="K1233" s="4">
        <v>0</v>
      </c>
      <c r="L1233" s="4">
        <v>8.5000000000000006E-2</v>
      </c>
      <c r="M1233" s="4">
        <v>8.5000000000000006E-2</v>
      </c>
      <c r="N1233" s="4">
        <v>8.5000000000000006E-2</v>
      </c>
      <c r="O1233" s="4">
        <v>8.5000000000000006E-2</v>
      </c>
      <c r="P1233" s="4">
        <v>0</v>
      </c>
      <c r="Q1233" s="3" t="s">
        <v>26</v>
      </c>
      <c r="R1233" s="3">
        <v>0</v>
      </c>
      <c r="S1233" s="3" t="s">
        <v>390</v>
      </c>
      <c r="T1233" s="3" t="s">
        <v>671</v>
      </c>
      <c r="U1233" s="3">
        <v>0</v>
      </c>
      <c r="V1233" s="3">
        <v>25</v>
      </c>
      <c r="W1233" s="3">
        <v>63</v>
      </c>
    </row>
    <row r="1234" spans="1:23" ht="11.25" customHeight="1" x14ac:dyDescent="0.25">
      <c r="A1234" s="3" t="s">
        <v>21</v>
      </c>
      <c r="B1234" s="3" t="s">
        <v>22</v>
      </c>
      <c r="C1234" s="3" t="s">
        <v>33</v>
      </c>
      <c r="D1234" s="3" t="s">
        <v>24</v>
      </c>
      <c r="E1234" s="3" t="s">
        <v>24</v>
      </c>
      <c r="F1234" s="3" t="s">
        <v>25</v>
      </c>
      <c r="G1234" s="3" t="s">
        <v>25</v>
      </c>
      <c r="H1234" s="3" t="s">
        <v>36</v>
      </c>
      <c r="I1234" s="6">
        <v>44501</v>
      </c>
      <c r="J1234" s="4">
        <v>0</v>
      </c>
      <c r="K1234" s="4">
        <v>0</v>
      </c>
      <c r="L1234" s="4">
        <v>5.7450000000000001</v>
      </c>
      <c r="M1234" s="4">
        <v>5.7450000000000001</v>
      </c>
      <c r="N1234" s="4">
        <v>5.7450000000000001</v>
      </c>
      <c r="O1234" s="4">
        <v>5.7450000000000001</v>
      </c>
      <c r="P1234" s="4">
        <v>0</v>
      </c>
      <c r="Q1234" s="3" t="s">
        <v>26</v>
      </c>
      <c r="R1234" s="3">
        <v>0</v>
      </c>
      <c r="S1234" s="3" t="s">
        <v>391</v>
      </c>
      <c r="T1234" s="3" t="s">
        <v>672</v>
      </c>
      <c r="U1234" s="3">
        <v>0</v>
      </c>
      <c r="V1234" s="3">
        <v>25</v>
      </c>
      <c r="W1234" s="3">
        <v>63</v>
      </c>
    </row>
    <row r="1235" spans="1:23" ht="11.25" customHeight="1" x14ac:dyDescent="0.25">
      <c r="A1235" s="3" t="s">
        <v>28</v>
      </c>
      <c r="B1235" s="3" t="s">
        <v>22</v>
      </c>
      <c r="C1235" s="3" t="s">
        <v>33</v>
      </c>
      <c r="D1235" s="3" t="s">
        <v>24</v>
      </c>
      <c r="E1235" s="3" t="s">
        <v>24</v>
      </c>
      <c r="F1235" s="3" t="s">
        <v>25</v>
      </c>
      <c r="G1235" s="3" t="s">
        <v>25</v>
      </c>
      <c r="H1235" s="3" t="s">
        <v>36</v>
      </c>
      <c r="I1235" s="6">
        <v>44501</v>
      </c>
      <c r="J1235" s="4">
        <v>0</v>
      </c>
      <c r="K1235" s="4">
        <v>0</v>
      </c>
      <c r="L1235" s="4">
        <v>0.156</v>
      </c>
      <c r="M1235" s="4">
        <v>0.156</v>
      </c>
      <c r="N1235" s="4">
        <v>0.156</v>
      </c>
      <c r="O1235" s="4">
        <v>0.156</v>
      </c>
      <c r="P1235" s="4">
        <v>0</v>
      </c>
      <c r="Q1235" s="3" t="s">
        <v>26</v>
      </c>
      <c r="R1235" s="3">
        <v>0</v>
      </c>
      <c r="S1235" s="3" t="s">
        <v>391</v>
      </c>
      <c r="T1235" s="3" t="s">
        <v>672</v>
      </c>
      <c r="U1235" s="3">
        <v>0</v>
      </c>
      <c r="V1235" s="3">
        <v>25</v>
      </c>
      <c r="W1235" s="3">
        <v>63</v>
      </c>
    </row>
    <row r="1236" spans="1:23" ht="11.25" customHeight="1" x14ac:dyDescent="0.25">
      <c r="A1236" s="3" t="s">
        <v>21</v>
      </c>
      <c r="B1236" s="3" t="s">
        <v>22</v>
      </c>
      <c r="C1236" s="3" t="s">
        <v>33</v>
      </c>
      <c r="D1236" s="3" t="s">
        <v>24</v>
      </c>
      <c r="E1236" s="3" t="s">
        <v>24</v>
      </c>
      <c r="F1236" s="3" t="s">
        <v>25</v>
      </c>
      <c r="G1236" s="3" t="s">
        <v>25</v>
      </c>
      <c r="H1236" s="3" t="s">
        <v>36</v>
      </c>
      <c r="I1236" s="6">
        <v>44531</v>
      </c>
      <c r="J1236" s="4">
        <v>0</v>
      </c>
      <c r="K1236" s="4">
        <v>0</v>
      </c>
      <c r="L1236" s="4">
        <v>6.2869999999999999</v>
      </c>
      <c r="M1236" s="4">
        <v>6.2869999999999999</v>
      </c>
      <c r="N1236" s="4">
        <v>6.2869999999999999</v>
      </c>
      <c r="O1236" s="4">
        <v>6.2869999999999999</v>
      </c>
      <c r="P1236" s="4">
        <v>0</v>
      </c>
      <c r="Q1236" s="3" t="s">
        <v>26</v>
      </c>
      <c r="R1236" s="3">
        <v>0</v>
      </c>
      <c r="S1236" s="3" t="s">
        <v>392</v>
      </c>
      <c r="T1236" s="3" t="s">
        <v>673</v>
      </c>
      <c r="U1236" s="3">
        <v>0</v>
      </c>
      <c r="V1236" s="3">
        <v>25</v>
      </c>
      <c r="W1236" s="3">
        <v>63</v>
      </c>
    </row>
    <row r="1237" spans="1:23" ht="11.25" customHeight="1" x14ac:dyDescent="0.25">
      <c r="A1237" s="3" t="s">
        <v>27</v>
      </c>
      <c r="B1237" s="3" t="s">
        <v>22</v>
      </c>
      <c r="C1237" s="3" t="s">
        <v>33</v>
      </c>
      <c r="D1237" s="3" t="s">
        <v>24</v>
      </c>
      <c r="E1237" s="3" t="s">
        <v>24</v>
      </c>
      <c r="F1237" s="3" t="s">
        <v>25</v>
      </c>
      <c r="G1237" s="3" t="s">
        <v>25</v>
      </c>
      <c r="H1237" s="3" t="s">
        <v>36</v>
      </c>
      <c r="I1237" s="6">
        <v>44531</v>
      </c>
      <c r="J1237" s="4">
        <v>0</v>
      </c>
      <c r="K1237" s="4">
        <v>0</v>
      </c>
      <c r="L1237" s="4">
        <v>1E-3</v>
      </c>
      <c r="M1237" s="4">
        <v>1E-3</v>
      </c>
      <c r="N1237" s="4">
        <v>1E-3</v>
      </c>
      <c r="O1237" s="4">
        <v>1E-3</v>
      </c>
      <c r="P1237" s="4">
        <v>0</v>
      </c>
      <c r="Q1237" s="3" t="s">
        <v>26</v>
      </c>
      <c r="R1237" s="3">
        <v>0</v>
      </c>
      <c r="S1237" s="3" t="s">
        <v>392</v>
      </c>
      <c r="T1237" s="3" t="s">
        <v>673</v>
      </c>
      <c r="U1237" s="3">
        <v>0</v>
      </c>
      <c r="V1237" s="3">
        <v>25</v>
      </c>
      <c r="W1237" s="3">
        <v>63</v>
      </c>
    </row>
    <row r="1238" spans="1:23" ht="11.25" customHeight="1" x14ac:dyDescent="0.25">
      <c r="A1238" s="3" t="s">
        <v>28</v>
      </c>
      <c r="B1238" s="3" t="s">
        <v>22</v>
      </c>
      <c r="C1238" s="3" t="s">
        <v>33</v>
      </c>
      <c r="D1238" s="3" t="s">
        <v>24</v>
      </c>
      <c r="E1238" s="3" t="s">
        <v>24</v>
      </c>
      <c r="F1238" s="3" t="s">
        <v>25</v>
      </c>
      <c r="G1238" s="3" t="s">
        <v>25</v>
      </c>
      <c r="H1238" s="3" t="s">
        <v>36</v>
      </c>
      <c r="I1238" s="6">
        <v>44531</v>
      </c>
      <c r="J1238" s="4">
        <v>0</v>
      </c>
      <c r="K1238" s="4">
        <v>0</v>
      </c>
      <c r="L1238" s="4">
        <v>0.16400000000000001</v>
      </c>
      <c r="M1238" s="4">
        <v>0.16400000000000001</v>
      </c>
      <c r="N1238" s="4">
        <v>0.16400000000000001</v>
      </c>
      <c r="O1238" s="4">
        <v>0.16400000000000001</v>
      </c>
      <c r="P1238" s="4">
        <v>0</v>
      </c>
      <c r="Q1238" s="3" t="s">
        <v>26</v>
      </c>
      <c r="R1238" s="3">
        <v>0</v>
      </c>
      <c r="S1238" s="3" t="s">
        <v>392</v>
      </c>
      <c r="T1238" s="3" t="s">
        <v>673</v>
      </c>
      <c r="U1238" s="3">
        <v>0</v>
      </c>
      <c r="V1238" s="3">
        <v>25</v>
      </c>
      <c r="W1238" s="3">
        <v>63</v>
      </c>
    </row>
    <row r="1239" spans="1:23" ht="11.25" customHeight="1" x14ac:dyDescent="0.25">
      <c r="A1239" s="3" t="s">
        <v>21</v>
      </c>
      <c r="B1239" s="3" t="s">
        <v>22</v>
      </c>
      <c r="C1239" s="3" t="s">
        <v>33</v>
      </c>
      <c r="D1239" s="3" t="s">
        <v>24</v>
      </c>
      <c r="E1239" s="3" t="s">
        <v>24</v>
      </c>
      <c r="F1239" s="3" t="s">
        <v>25</v>
      </c>
      <c r="G1239" s="3" t="s">
        <v>25</v>
      </c>
      <c r="H1239" s="3" t="s">
        <v>36</v>
      </c>
      <c r="I1239" s="6">
        <v>44562</v>
      </c>
      <c r="J1239" s="4">
        <v>0</v>
      </c>
      <c r="K1239" s="4">
        <v>0</v>
      </c>
      <c r="L1239" s="4">
        <v>6.6689999999999996</v>
      </c>
      <c r="M1239" s="4">
        <v>6.6689999999999996</v>
      </c>
      <c r="N1239" s="4">
        <v>6.6689999999999996</v>
      </c>
      <c r="O1239" s="4">
        <v>6.6689999999999996</v>
      </c>
      <c r="P1239" s="4">
        <v>0</v>
      </c>
      <c r="Q1239" s="3" t="s">
        <v>26</v>
      </c>
      <c r="R1239" s="3">
        <v>0</v>
      </c>
      <c r="S1239" s="3" t="s">
        <v>393</v>
      </c>
      <c r="T1239" s="3" t="s">
        <v>674</v>
      </c>
      <c r="U1239" s="3">
        <v>0</v>
      </c>
      <c r="V1239" s="3">
        <v>25</v>
      </c>
      <c r="W1239" s="3">
        <v>63</v>
      </c>
    </row>
    <row r="1240" spans="1:23" ht="11.25" customHeight="1" x14ac:dyDescent="0.25">
      <c r="A1240" s="3" t="s">
        <v>28</v>
      </c>
      <c r="B1240" s="3" t="s">
        <v>22</v>
      </c>
      <c r="C1240" s="3" t="s">
        <v>33</v>
      </c>
      <c r="D1240" s="3" t="s">
        <v>24</v>
      </c>
      <c r="E1240" s="3" t="s">
        <v>24</v>
      </c>
      <c r="F1240" s="3" t="s">
        <v>25</v>
      </c>
      <c r="G1240" s="3" t="s">
        <v>25</v>
      </c>
      <c r="H1240" s="3" t="s">
        <v>36</v>
      </c>
      <c r="I1240" s="6">
        <v>44562</v>
      </c>
      <c r="J1240" s="4">
        <v>0</v>
      </c>
      <c r="K1240" s="4">
        <v>0</v>
      </c>
      <c r="L1240" s="4">
        <v>0.17</v>
      </c>
      <c r="M1240" s="4">
        <v>0.17</v>
      </c>
      <c r="N1240" s="4">
        <v>0.17</v>
      </c>
      <c r="O1240" s="4">
        <v>0.17</v>
      </c>
      <c r="P1240" s="4">
        <v>0</v>
      </c>
      <c r="Q1240" s="3" t="s">
        <v>26</v>
      </c>
      <c r="R1240" s="3">
        <v>0</v>
      </c>
      <c r="S1240" s="3" t="s">
        <v>393</v>
      </c>
      <c r="T1240" s="3" t="s">
        <v>674</v>
      </c>
      <c r="U1240" s="3">
        <v>0</v>
      </c>
      <c r="V1240" s="3">
        <v>25</v>
      </c>
      <c r="W1240" s="3">
        <v>63</v>
      </c>
    </row>
    <row r="1241" spans="1:23" ht="11.25" customHeight="1" x14ac:dyDescent="0.25">
      <c r="A1241" s="3" t="s">
        <v>21</v>
      </c>
      <c r="B1241" s="3" t="s">
        <v>22</v>
      </c>
      <c r="C1241" s="3" t="s">
        <v>33</v>
      </c>
      <c r="D1241" s="3" t="s">
        <v>24</v>
      </c>
      <c r="E1241" s="3" t="s">
        <v>24</v>
      </c>
      <c r="F1241" s="3" t="s">
        <v>25</v>
      </c>
      <c r="G1241" s="3" t="s">
        <v>25</v>
      </c>
      <c r="H1241" s="3" t="s">
        <v>36</v>
      </c>
      <c r="I1241" s="6">
        <v>44593</v>
      </c>
      <c r="J1241" s="4">
        <v>0</v>
      </c>
      <c r="K1241" s="4">
        <v>0</v>
      </c>
      <c r="L1241" s="4">
        <v>6.8369999999999997</v>
      </c>
      <c r="M1241" s="4">
        <v>6.8369999999999997</v>
      </c>
      <c r="N1241" s="4">
        <v>6.8369999999999997</v>
      </c>
      <c r="O1241" s="4">
        <v>6.8369999999999997</v>
      </c>
      <c r="P1241" s="4">
        <v>0</v>
      </c>
      <c r="Q1241" s="3" t="s">
        <v>26</v>
      </c>
      <c r="R1241" s="3">
        <v>0</v>
      </c>
      <c r="S1241" s="3" t="s">
        <v>394</v>
      </c>
      <c r="T1241" s="3" t="s">
        <v>675</v>
      </c>
      <c r="U1241" s="3">
        <v>0</v>
      </c>
      <c r="V1241" s="3">
        <v>25</v>
      </c>
      <c r="W1241" s="3">
        <v>63</v>
      </c>
    </row>
    <row r="1242" spans="1:23" ht="11.25" customHeight="1" x14ac:dyDescent="0.25">
      <c r="A1242" s="3" t="s">
        <v>27</v>
      </c>
      <c r="B1242" s="3" t="s">
        <v>22</v>
      </c>
      <c r="C1242" s="3" t="s">
        <v>33</v>
      </c>
      <c r="D1242" s="3" t="s">
        <v>24</v>
      </c>
      <c r="E1242" s="3" t="s">
        <v>24</v>
      </c>
      <c r="F1242" s="3" t="s">
        <v>25</v>
      </c>
      <c r="G1242" s="3" t="s">
        <v>25</v>
      </c>
      <c r="H1242" s="3" t="s">
        <v>36</v>
      </c>
      <c r="I1242" s="6">
        <v>44593</v>
      </c>
      <c r="J1242" s="4">
        <v>0</v>
      </c>
      <c r="K1242" s="4">
        <v>0</v>
      </c>
      <c r="L1242" s="4">
        <v>-2.5000000000000001E-2</v>
      </c>
      <c r="M1242" s="4">
        <v>-2.5000000000000001E-2</v>
      </c>
      <c r="N1242" s="4">
        <v>-2.5000000000000001E-2</v>
      </c>
      <c r="O1242" s="4">
        <v>-2.5000000000000001E-2</v>
      </c>
      <c r="P1242" s="4">
        <v>0</v>
      </c>
      <c r="Q1242" s="3" t="s">
        <v>26</v>
      </c>
      <c r="R1242" s="3">
        <v>0</v>
      </c>
      <c r="S1242" s="3" t="s">
        <v>394</v>
      </c>
      <c r="T1242" s="3" t="s">
        <v>675</v>
      </c>
      <c r="U1242" s="3">
        <v>0</v>
      </c>
      <c r="V1242" s="3">
        <v>25</v>
      </c>
      <c r="W1242" s="3">
        <v>63</v>
      </c>
    </row>
    <row r="1243" spans="1:23" ht="11.25" customHeight="1" x14ac:dyDescent="0.25">
      <c r="A1243" s="3" t="s">
        <v>28</v>
      </c>
      <c r="B1243" s="3" t="s">
        <v>22</v>
      </c>
      <c r="C1243" s="3" t="s">
        <v>33</v>
      </c>
      <c r="D1243" s="3" t="s">
        <v>24</v>
      </c>
      <c r="E1243" s="3" t="s">
        <v>24</v>
      </c>
      <c r="F1243" s="3" t="s">
        <v>25</v>
      </c>
      <c r="G1243" s="3" t="s">
        <v>25</v>
      </c>
      <c r="H1243" s="3" t="s">
        <v>36</v>
      </c>
      <c r="I1243" s="6">
        <v>44593</v>
      </c>
      <c r="J1243" s="4">
        <v>0</v>
      </c>
      <c r="K1243" s="4">
        <v>0</v>
      </c>
      <c r="L1243" s="4">
        <v>7.6999999999999999E-2</v>
      </c>
      <c r="M1243" s="4">
        <v>7.6999999999999999E-2</v>
      </c>
      <c r="N1243" s="4">
        <v>7.6999999999999999E-2</v>
      </c>
      <c r="O1243" s="4">
        <v>7.6999999999999999E-2</v>
      </c>
      <c r="P1243" s="4">
        <v>0</v>
      </c>
      <c r="Q1243" s="3" t="s">
        <v>26</v>
      </c>
      <c r="R1243" s="3">
        <v>0</v>
      </c>
      <c r="S1243" s="3" t="s">
        <v>394</v>
      </c>
      <c r="T1243" s="3" t="s">
        <v>675</v>
      </c>
      <c r="U1243" s="3">
        <v>0</v>
      </c>
      <c r="V1243" s="3">
        <v>25</v>
      </c>
      <c r="W1243" s="3">
        <v>63</v>
      </c>
    </row>
    <row r="1244" spans="1:23" ht="11.25" customHeight="1" x14ac:dyDescent="0.25">
      <c r="A1244" s="3" t="s">
        <v>28</v>
      </c>
      <c r="B1244" s="3" t="s">
        <v>22</v>
      </c>
      <c r="C1244" s="3" t="s">
        <v>33</v>
      </c>
      <c r="D1244" s="3" t="s">
        <v>24</v>
      </c>
      <c r="E1244" s="3" t="s">
        <v>24</v>
      </c>
      <c r="F1244" s="3" t="s">
        <v>25</v>
      </c>
      <c r="G1244" s="3" t="s">
        <v>25</v>
      </c>
      <c r="H1244" s="3" t="s">
        <v>36</v>
      </c>
      <c r="I1244" s="6">
        <v>44593</v>
      </c>
      <c r="J1244" s="4">
        <v>0</v>
      </c>
      <c r="K1244" s="4">
        <v>0</v>
      </c>
      <c r="L1244" s="4">
        <v>-9.6000000000000002E-2</v>
      </c>
      <c r="M1244" s="4">
        <v>-9.6000000000000002E-2</v>
      </c>
      <c r="N1244" s="4">
        <v>-9.6000000000000002E-2</v>
      </c>
      <c r="O1244" s="4">
        <v>-9.6000000000000002E-2</v>
      </c>
      <c r="P1244" s="4">
        <v>0</v>
      </c>
      <c r="Q1244" s="3" t="s">
        <v>26</v>
      </c>
      <c r="R1244" s="3">
        <v>0</v>
      </c>
      <c r="S1244" s="3" t="s">
        <v>394</v>
      </c>
      <c r="T1244" s="3" t="s">
        <v>675</v>
      </c>
      <c r="U1244" s="3">
        <v>0</v>
      </c>
      <c r="V1244" s="3">
        <v>25</v>
      </c>
      <c r="W1244" s="3">
        <v>63</v>
      </c>
    </row>
    <row r="1245" spans="1:23" ht="11.25" customHeight="1" x14ac:dyDescent="0.25">
      <c r="A1245" s="3" t="s">
        <v>56</v>
      </c>
      <c r="B1245" s="3" t="s">
        <v>22</v>
      </c>
      <c r="C1245" s="3" t="s">
        <v>33</v>
      </c>
      <c r="D1245" s="3" t="s">
        <v>24</v>
      </c>
      <c r="E1245" s="3" t="s">
        <v>24</v>
      </c>
      <c r="F1245" s="3" t="s">
        <v>25</v>
      </c>
      <c r="G1245" s="3" t="s">
        <v>25</v>
      </c>
      <c r="H1245" s="3" t="s">
        <v>36</v>
      </c>
      <c r="I1245" s="6">
        <v>44621</v>
      </c>
      <c r="J1245" s="4">
        <v>0</v>
      </c>
      <c r="K1245" s="4">
        <v>0</v>
      </c>
      <c r="L1245" s="4">
        <v>6.8369999999999997</v>
      </c>
      <c r="M1245" s="4">
        <v>6.8369999999999997</v>
      </c>
      <c r="N1245" s="4">
        <v>6.8369999999999997</v>
      </c>
      <c r="O1245" s="4">
        <v>6.8369999999999997</v>
      </c>
      <c r="P1245" s="4">
        <v>0</v>
      </c>
      <c r="Q1245" s="3" t="s">
        <v>26</v>
      </c>
      <c r="R1245" s="3">
        <v>0</v>
      </c>
      <c r="S1245" s="3" t="s">
        <v>395</v>
      </c>
      <c r="T1245" s="3" t="s">
        <v>676</v>
      </c>
      <c r="U1245" s="3">
        <v>0</v>
      </c>
      <c r="V1245" s="3">
        <v>25</v>
      </c>
      <c r="W1245" s="3">
        <v>63</v>
      </c>
    </row>
    <row r="1246" spans="1:23" ht="11.25" customHeight="1" x14ac:dyDescent="0.25">
      <c r="A1246" s="3" t="s">
        <v>56</v>
      </c>
      <c r="B1246" s="3" t="s">
        <v>22</v>
      </c>
      <c r="C1246" s="3" t="s">
        <v>33</v>
      </c>
      <c r="D1246" s="3" t="s">
        <v>24</v>
      </c>
      <c r="E1246" s="3" t="s">
        <v>24</v>
      </c>
      <c r="F1246" s="3" t="s">
        <v>25</v>
      </c>
      <c r="G1246" s="3" t="s">
        <v>25</v>
      </c>
      <c r="H1246" s="3" t="s">
        <v>36</v>
      </c>
      <c r="I1246" s="6">
        <v>44621</v>
      </c>
      <c r="J1246" s="4">
        <v>0</v>
      </c>
      <c r="K1246" s="4">
        <v>0</v>
      </c>
      <c r="L1246" s="4">
        <v>-2.5000000000000001E-2</v>
      </c>
      <c r="M1246" s="4">
        <v>-2.5000000000000001E-2</v>
      </c>
      <c r="N1246" s="4">
        <v>-2.5000000000000001E-2</v>
      </c>
      <c r="O1246" s="4">
        <v>-2.5000000000000001E-2</v>
      </c>
      <c r="P1246" s="4">
        <v>0</v>
      </c>
      <c r="Q1246" s="3" t="s">
        <v>26</v>
      </c>
      <c r="R1246" s="3">
        <v>0</v>
      </c>
      <c r="S1246" s="3" t="s">
        <v>395</v>
      </c>
      <c r="T1246" s="3" t="s">
        <v>676</v>
      </c>
      <c r="U1246" s="3">
        <v>0</v>
      </c>
      <c r="V1246" s="3">
        <v>25</v>
      </c>
      <c r="W1246" s="3">
        <v>63</v>
      </c>
    </row>
    <row r="1247" spans="1:23" ht="11.25" customHeight="1" x14ac:dyDescent="0.25">
      <c r="A1247" s="3" t="s">
        <v>56</v>
      </c>
      <c r="B1247" s="3" t="s">
        <v>22</v>
      </c>
      <c r="C1247" s="3" t="s">
        <v>33</v>
      </c>
      <c r="D1247" s="3" t="s">
        <v>24</v>
      </c>
      <c r="E1247" s="3" t="s">
        <v>24</v>
      </c>
      <c r="F1247" s="3" t="s">
        <v>25</v>
      </c>
      <c r="G1247" s="3" t="s">
        <v>25</v>
      </c>
      <c r="H1247" s="3" t="s">
        <v>36</v>
      </c>
      <c r="I1247" s="6">
        <v>44621</v>
      </c>
      <c r="J1247" s="4">
        <v>0</v>
      </c>
      <c r="K1247" s="4">
        <v>0</v>
      </c>
      <c r="L1247" s="4">
        <v>7.6999999999999999E-2</v>
      </c>
      <c r="M1247" s="4">
        <v>7.6999999999999999E-2</v>
      </c>
      <c r="N1247" s="4">
        <v>7.6999999999999999E-2</v>
      </c>
      <c r="O1247" s="4">
        <v>7.6999999999999999E-2</v>
      </c>
      <c r="P1247" s="4">
        <v>0</v>
      </c>
      <c r="Q1247" s="3" t="s">
        <v>26</v>
      </c>
      <c r="R1247" s="3">
        <v>0</v>
      </c>
      <c r="S1247" s="3" t="s">
        <v>395</v>
      </c>
      <c r="T1247" s="3" t="s">
        <v>676</v>
      </c>
      <c r="U1247" s="3">
        <v>0</v>
      </c>
      <c r="V1247" s="3">
        <v>25</v>
      </c>
      <c r="W1247" s="3">
        <v>63</v>
      </c>
    </row>
    <row r="1248" spans="1:23" ht="11.25" customHeight="1" x14ac:dyDescent="0.25">
      <c r="A1248" s="3" t="s">
        <v>56</v>
      </c>
      <c r="B1248" s="3" t="s">
        <v>22</v>
      </c>
      <c r="C1248" s="3" t="s">
        <v>33</v>
      </c>
      <c r="D1248" s="3" t="s">
        <v>24</v>
      </c>
      <c r="E1248" s="3" t="s">
        <v>24</v>
      </c>
      <c r="F1248" s="3" t="s">
        <v>25</v>
      </c>
      <c r="G1248" s="3" t="s">
        <v>25</v>
      </c>
      <c r="H1248" s="3" t="s">
        <v>36</v>
      </c>
      <c r="I1248" s="6">
        <v>44621</v>
      </c>
      <c r="J1248" s="4">
        <v>0</v>
      </c>
      <c r="K1248" s="4">
        <v>0</v>
      </c>
      <c r="L1248" s="4">
        <v>-9.6000000000000002E-2</v>
      </c>
      <c r="M1248" s="4">
        <v>-9.6000000000000002E-2</v>
      </c>
      <c r="N1248" s="4">
        <v>-9.6000000000000002E-2</v>
      </c>
      <c r="O1248" s="4">
        <v>-9.6000000000000002E-2</v>
      </c>
      <c r="P1248" s="4">
        <v>0</v>
      </c>
      <c r="Q1248" s="3" t="s">
        <v>26</v>
      </c>
      <c r="R1248" s="3">
        <v>0</v>
      </c>
      <c r="S1248" s="3" t="s">
        <v>395</v>
      </c>
      <c r="T1248" s="3" t="s">
        <v>676</v>
      </c>
      <c r="U1248" s="3">
        <v>0</v>
      </c>
      <c r="V1248" s="3">
        <v>25</v>
      </c>
      <c r="W1248" s="3">
        <v>63</v>
      </c>
    </row>
    <row r="1249" spans="1:23" ht="11.25" customHeight="1" x14ac:dyDescent="0.25">
      <c r="A1249" s="3" t="s">
        <v>21</v>
      </c>
      <c r="B1249" s="3" t="s">
        <v>22</v>
      </c>
      <c r="C1249" s="3" t="s">
        <v>33</v>
      </c>
      <c r="D1249" s="3" t="s">
        <v>24</v>
      </c>
      <c r="E1249" s="3" t="s">
        <v>24</v>
      </c>
      <c r="F1249" s="3" t="s">
        <v>25</v>
      </c>
      <c r="G1249" s="3" t="s">
        <v>25</v>
      </c>
      <c r="H1249" s="3" t="s">
        <v>34</v>
      </c>
      <c r="I1249" s="6">
        <v>44287</v>
      </c>
      <c r="J1249" s="4">
        <v>0</v>
      </c>
      <c r="K1249" s="4">
        <v>0</v>
      </c>
      <c r="L1249" s="4">
        <v>9.1419999999999995</v>
      </c>
      <c r="M1249" s="4">
        <v>9.1419999999999995</v>
      </c>
      <c r="N1249" s="4">
        <v>9.1419999999999995</v>
      </c>
      <c r="O1249" s="4">
        <v>9.1419999999999995</v>
      </c>
      <c r="P1249" s="4">
        <v>0</v>
      </c>
      <c r="Q1249" s="3" t="s">
        <v>26</v>
      </c>
      <c r="R1249" s="3">
        <v>0</v>
      </c>
      <c r="S1249" s="3" t="s">
        <v>396</v>
      </c>
      <c r="T1249" s="3" t="s">
        <v>677</v>
      </c>
      <c r="U1249" s="3">
        <v>0</v>
      </c>
      <c r="V1249" s="3">
        <v>24</v>
      </c>
      <c r="W1249" s="3">
        <v>98</v>
      </c>
    </row>
    <row r="1250" spans="1:23" ht="11.25" customHeight="1" x14ac:dyDescent="0.25">
      <c r="A1250" s="3" t="s">
        <v>28</v>
      </c>
      <c r="B1250" s="3" t="s">
        <v>22</v>
      </c>
      <c r="C1250" s="3" t="s">
        <v>33</v>
      </c>
      <c r="D1250" s="3" t="s">
        <v>24</v>
      </c>
      <c r="E1250" s="3" t="s">
        <v>24</v>
      </c>
      <c r="F1250" s="3" t="s">
        <v>25</v>
      </c>
      <c r="G1250" s="3" t="s">
        <v>25</v>
      </c>
      <c r="H1250" s="3" t="s">
        <v>34</v>
      </c>
      <c r="I1250" s="6">
        <v>44287</v>
      </c>
      <c r="J1250" s="4">
        <v>0</v>
      </c>
      <c r="K1250" s="4">
        <v>0</v>
      </c>
      <c r="L1250" s="4">
        <v>0.183</v>
      </c>
      <c r="M1250" s="4">
        <v>0.183</v>
      </c>
      <c r="N1250" s="4">
        <v>0.183</v>
      </c>
      <c r="O1250" s="4">
        <v>0.183</v>
      </c>
      <c r="P1250" s="4">
        <v>0</v>
      </c>
      <c r="Q1250" s="3" t="s">
        <v>26</v>
      </c>
      <c r="R1250" s="3">
        <v>0</v>
      </c>
      <c r="S1250" s="3" t="s">
        <v>396</v>
      </c>
      <c r="T1250" s="3" t="s">
        <v>677</v>
      </c>
      <c r="U1250" s="3">
        <v>0</v>
      </c>
      <c r="V1250" s="3">
        <v>24</v>
      </c>
      <c r="W1250" s="3">
        <v>98</v>
      </c>
    </row>
    <row r="1251" spans="1:23" ht="11.25" customHeight="1" x14ac:dyDescent="0.25">
      <c r="A1251" s="3" t="s">
        <v>21</v>
      </c>
      <c r="B1251" s="3" t="s">
        <v>22</v>
      </c>
      <c r="C1251" s="3" t="s">
        <v>33</v>
      </c>
      <c r="D1251" s="3" t="s">
        <v>24</v>
      </c>
      <c r="E1251" s="3" t="s">
        <v>24</v>
      </c>
      <c r="F1251" s="3" t="s">
        <v>25</v>
      </c>
      <c r="G1251" s="3" t="s">
        <v>25</v>
      </c>
      <c r="H1251" s="3" t="s">
        <v>34</v>
      </c>
      <c r="I1251" s="6">
        <v>44317</v>
      </c>
      <c r="J1251" s="4">
        <v>0</v>
      </c>
      <c r="K1251" s="4">
        <v>0</v>
      </c>
      <c r="L1251" s="4">
        <v>8.7949999999999999</v>
      </c>
      <c r="M1251" s="4">
        <v>8.7949999999999999</v>
      </c>
      <c r="N1251" s="4">
        <v>8.7949999999999999</v>
      </c>
      <c r="O1251" s="4">
        <v>8.7949999999999999</v>
      </c>
      <c r="P1251" s="4">
        <v>0</v>
      </c>
      <c r="Q1251" s="3" t="s">
        <v>26</v>
      </c>
      <c r="R1251" s="3">
        <v>0</v>
      </c>
      <c r="S1251" s="3" t="s">
        <v>397</v>
      </c>
      <c r="T1251" s="3" t="s">
        <v>678</v>
      </c>
      <c r="U1251" s="3">
        <v>0</v>
      </c>
      <c r="V1251" s="3">
        <v>24</v>
      </c>
      <c r="W1251" s="3">
        <v>98</v>
      </c>
    </row>
    <row r="1252" spans="1:23" ht="11.25" customHeight="1" x14ac:dyDescent="0.25">
      <c r="A1252" s="3" t="s">
        <v>28</v>
      </c>
      <c r="B1252" s="3" t="s">
        <v>22</v>
      </c>
      <c r="C1252" s="3" t="s">
        <v>33</v>
      </c>
      <c r="D1252" s="3" t="s">
        <v>24</v>
      </c>
      <c r="E1252" s="3" t="s">
        <v>24</v>
      </c>
      <c r="F1252" s="3" t="s">
        <v>25</v>
      </c>
      <c r="G1252" s="3" t="s">
        <v>25</v>
      </c>
      <c r="H1252" s="3" t="s">
        <v>34</v>
      </c>
      <c r="I1252" s="6">
        <v>44317</v>
      </c>
      <c r="J1252" s="4">
        <v>0</v>
      </c>
      <c r="K1252" s="4">
        <v>0</v>
      </c>
      <c r="L1252" s="4">
        <v>0.06</v>
      </c>
      <c r="M1252" s="4">
        <v>0.06</v>
      </c>
      <c r="N1252" s="4">
        <v>0.06</v>
      </c>
      <c r="O1252" s="4">
        <v>0.06</v>
      </c>
      <c r="P1252" s="4">
        <v>0</v>
      </c>
      <c r="Q1252" s="3" t="s">
        <v>26</v>
      </c>
      <c r="R1252" s="3">
        <v>0</v>
      </c>
      <c r="S1252" s="3" t="s">
        <v>397</v>
      </c>
      <c r="T1252" s="3" t="s">
        <v>678</v>
      </c>
      <c r="U1252" s="3">
        <v>0</v>
      </c>
      <c r="V1252" s="3">
        <v>24</v>
      </c>
      <c r="W1252" s="3">
        <v>98</v>
      </c>
    </row>
    <row r="1253" spans="1:23" ht="11.25" customHeight="1" x14ac:dyDescent="0.25">
      <c r="A1253" s="3" t="s">
        <v>21</v>
      </c>
      <c r="B1253" s="3" t="s">
        <v>22</v>
      </c>
      <c r="C1253" s="3" t="s">
        <v>33</v>
      </c>
      <c r="D1253" s="3" t="s">
        <v>24</v>
      </c>
      <c r="E1253" s="3" t="s">
        <v>24</v>
      </c>
      <c r="F1253" s="3" t="s">
        <v>25</v>
      </c>
      <c r="G1253" s="3" t="s">
        <v>25</v>
      </c>
      <c r="H1253" s="3" t="s">
        <v>34</v>
      </c>
      <c r="I1253" s="6">
        <v>44348</v>
      </c>
      <c r="J1253" s="4">
        <v>0</v>
      </c>
      <c r="K1253" s="4">
        <v>0</v>
      </c>
      <c r="L1253" s="4">
        <v>9.17</v>
      </c>
      <c r="M1253" s="4">
        <v>9.17</v>
      </c>
      <c r="N1253" s="4">
        <v>9.17</v>
      </c>
      <c r="O1253" s="4">
        <v>9.17</v>
      </c>
      <c r="P1253" s="4">
        <v>0</v>
      </c>
      <c r="Q1253" s="3" t="s">
        <v>26</v>
      </c>
      <c r="R1253" s="3">
        <v>0</v>
      </c>
      <c r="S1253" s="3" t="s">
        <v>398</v>
      </c>
      <c r="T1253" s="3" t="s">
        <v>679</v>
      </c>
      <c r="U1253" s="3">
        <v>0</v>
      </c>
      <c r="V1253" s="3">
        <v>24</v>
      </c>
      <c r="W1253" s="3">
        <v>98</v>
      </c>
    </row>
    <row r="1254" spans="1:23" ht="11.25" customHeight="1" x14ac:dyDescent="0.25">
      <c r="A1254" s="3" t="s">
        <v>28</v>
      </c>
      <c r="B1254" s="3" t="s">
        <v>22</v>
      </c>
      <c r="C1254" s="3" t="s">
        <v>33</v>
      </c>
      <c r="D1254" s="3" t="s">
        <v>24</v>
      </c>
      <c r="E1254" s="3" t="s">
        <v>24</v>
      </c>
      <c r="F1254" s="3" t="s">
        <v>25</v>
      </c>
      <c r="G1254" s="3" t="s">
        <v>25</v>
      </c>
      <c r="H1254" s="3" t="s">
        <v>34</v>
      </c>
      <c r="I1254" s="6">
        <v>44348</v>
      </c>
      <c r="J1254" s="4">
        <v>0</v>
      </c>
      <c r="K1254" s="4">
        <v>0</v>
      </c>
      <c r="L1254" s="4">
        <v>0.1</v>
      </c>
      <c r="M1254" s="4">
        <v>0.1</v>
      </c>
      <c r="N1254" s="4">
        <v>0.1</v>
      </c>
      <c r="O1254" s="4">
        <v>0.1</v>
      </c>
      <c r="P1254" s="4">
        <v>0</v>
      </c>
      <c r="Q1254" s="3" t="s">
        <v>26</v>
      </c>
      <c r="R1254" s="3">
        <v>0</v>
      </c>
      <c r="S1254" s="3" t="s">
        <v>398</v>
      </c>
      <c r="T1254" s="3" t="s">
        <v>679</v>
      </c>
      <c r="U1254" s="3">
        <v>0</v>
      </c>
      <c r="V1254" s="3">
        <v>24</v>
      </c>
      <c r="W1254" s="3">
        <v>98</v>
      </c>
    </row>
    <row r="1255" spans="1:23" ht="11.25" customHeight="1" x14ac:dyDescent="0.25">
      <c r="A1255" s="3" t="s">
        <v>21</v>
      </c>
      <c r="B1255" s="3" t="s">
        <v>22</v>
      </c>
      <c r="C1255" s="3" t="s">
        <v>33</v>
      </c>
      <c r="D1255" s="3" t="s">
        <v>24</v>
      </c>
      <c r="E1255" s="3" t="s">
        <v>24</v>
      </c>
      <c r="F1255" s="3" t="s">
        <v>25</v>
      </c>
      <c r="G1255" s="3" t="s">
        <v>25</v>
      </c>
      <c r="H1255" s="3" t="s">
        <v>34</v>
      </c>
      <c r="I1255" s="6">
        <v>44378</v>
      </c>
      <c r="J1255" s="4">
        <v>0</v>
      </c>
      <c r="K1255" s="4">
        <v>0</v>
      </c>
      <c r="L1255" s="4">
        <v>8.8780000000000001</v>
      </c>
      <c r="M1255" s="4">
        <v>8.8780000000000001</v>
      </c>
      <c r="N1255" s="4">
        <v>8.8780000000000001</v>
      </c>
      <c r="O1255" s="4">
        <v>8.8780000000000001</v>
      </c>
      <c r="P1255" s="4">
        <v>0</v>
      </c>
      <c r="Q1255" s="3" t="s">
        <v>26</v>
      </c>
      <c r="R1255" s="3">
        <v>0</v>
      </c>
      <c r="S1255" s="3" t="s">
        <v>399</v>
      </c>
      <c r="T1255" s="3" t="s">
        <v>680</v>
      </c>
      <c r="U1255" s="3">
        <v>0</v>
      </c>
      <c r="V1255" s="3">
        <v>24</v>
      </c>
      <c r="W1255" s="3">
        <v>98</v>
      </c>
    </row>
    <row r="1256" spans="1:23" ht="11.25" customHeight="1" x14ac:dyDescent="0.25">
      <c r="A1256" s="3" t="s">
        <v>28</v>
      </c>
      <c r="B1256" s="3" t="s">
        <v>22</v>
      </c>
      <c r="C1256" s="3" t="s">
        <v>33</v>
      </c>
      <c r="D1256" s="3" t="s">
        <v>24</v>
      </c>
      <c r="E1256" s="3" t="s">
        <v>24</v>
      </c>
      <c r="F1256" s="3" t="s">
        <v>25</v>
      </c>
      <c r="G1256" s="3" t="s">
        <v>25</v>
      </c>
      <c r="H1256" s="3" t="s">
        <v>34</v>
      </c>
      <c r="I1256" s="6">
        <v>44378</v>
      </c>
      <c r="J1256" s="4">
        <v>0</v>
      </c>
      <c r="K1256" s="4">
        <v>0</v>
      </c>
      <c r="L1256" s="4">
        <v>6.0999999999999999E-2</v>
      </c>
      <c r="M1256" s="4">
        <v>6.0999999999999999E-2</v>
      </c>
      <c r="N1256" s="4">
        <v>6.0999999999999999E-2</v>
      </c>
      <c r="O1256" s="4">
        <v>6.0999999999999999E-2</v>
      </c>
      <c r="P1256" s="4">
        <v>0</v>
      </c>
      <c r="Q1256" s="3" t="s">
        <v>26</v>
      </c>
      <c r="R1256" s="3">
        <v>0</v>
      </c>
      <c r="S1256" s="3" t="s">
        <v>399</v>
      </c>
      <c r="T1256" s="3" t="s">
        <v>680</v>
      </c>
      <c r="U1256" s="3">
        <v>0</v>
      </c>
      <c r="V1256" s="3">
        <v>24</v>
      </c>
      <c r="W1256" s="3">
        <v>98</v>
      </c>
    </row>
    <row r="1257" spans="1:23" ht="11.25" customHeight="1" x14ac:dyDescent="0.25">
      <c r="A1257" s="3" t="s">
        <v>21</v>
      </c>
      <c r="B1257" s="3" t="s">
        <v>22</v>
      </c>
      <c r="C1257" s="3" t="s">
        <v>33</v>
      </c>
      <c r="D1257" s="3" t="s">
        <v>24</v>
      </c>
      <c r="E1257" s="3" t="s">
        <v>24</v>
      </c>
      <c r="F1257" s="3" t="s">
        <v>25</v>
      </c>
      <c r="G1257" s="3" t="s">
        <v>25</v>
      </c>
      <c r="H1257" s="3" t="s">
        <v>34</v>
      </c>
      <c r="I1257" s="6">
        <v>44409</v>
      </c>
      <c r="J1257" s="4">
        <v>0</v>
      </c>
      <c r="K1257" s="4">
        <v>0</v>
      </c>
      <c r="L1257" s="4">
        <v>8.5839999999999996</v>
      </c>
      <c r="M1257" s="4">
        <v>8.5839999999999996</v>
      </c>
      <c r="N1257" s="4">
        <v>8.5839999999999996</v>
      </c>
      <c r="O1257" s="4">
        <v>8.5839999999999996</v>
      </c>
      <c r="P1257" s="4">
        <v>0</v>
      </c>
      <c r="Q1257" s="3" t="s">
        <v>26</v>
      </c>
      <c r="R1257" s="3">
        <v>0</v>
      </c>
      <c r="S1257" s="3" t="s">
        <v>400</v>
      </c>
      <c r="T1257" s="3" t="s">
        <v>681</v>
      </c>
      <c r="U1257" s="3">
        <v>0</v>
      </c>
      <c r="V1257" s="3">
        <v>24</v>
      </c>
      <c r="W1257" s="3">
        <v>98</v>
      </c>
    </row>
    <row r="1258" spans="1:23" ht="11.25" customHeight="1" x14ac:dyDescent="0.25">
      <c r="A1258" s="3" t="s">
        <v>28</v>
      </c>
      <c r="B1258" s="3" t="s">
        <v>22</v>
      </c>
      <c r="C1258" s="3" t="s">
        <v>33</v>
      </c>
      <c r="D1258" s="3" t="s">
        <v>24</v>
      </c>
      <c r="E1258" s="3" t="s">
        <v>24</v>
      </c>
      <c r="F1258" s="3" t="s">
        <v>25</v>
      </c>
      <c r="G1258" s="3" t="s">
        <v>25</v>
      </c>
      <c r="H1258" s="3" t="s">
        <v>34</v>
      </c>
      <c r="I1258" s="6">
        <v>44409</v>
      </c>
      <c r="J1258" s="4">
        <v>0</v>
      </c>
      <c r="K1258" s="4">
        <v>0</v>
      </c>
      <c r="L1258" s="4">
        <v>6.2E-2</v>
      </c>
      <c r="M1258" s="4">
        <v>6.2E-2</v>
      </c>
      <c r="N1258" s="4">
        <v>6.2E-2</v>
      </c>
      <c r="O1258" s="4">
        <v>6.2E-2</v>
      </c>
      <c r="P1258" s="4">
        <v>0</v>
      </c>
      <c r="Q1258" s="3" t="s">
        <v>26</v>
      </c>
      <c r="R1258" s="3">
        <v>0</v>
      </c>
      <c r="S1258" s="3" t="s">
        <v>400</v>
      </c>
      <c r="T1258" s="3" t="s">
        <v>681</v>
      </c>
      <c r="U1258" s="3">
        <v>0</v>
      </c>
      <c r="V1258" s="3">
        <v>24</v>
      </c>
      <c r="W1258" s="3">
        <v>98</v>
      </c>
    </row>
    <row r="1259" spans="1:23" ht="11.25" customHeight="1" x14ac:dyDescent="0.25">
      <c r="A1259" s="3" t="s">
        <v>21</v>
      </c>
      <c r="B1259" s="3" t="s">
        <v>22</v>
      </c>
      <c r="C1259" s="3" t="s">
        <v>33</v>
      </c>
      <c r="D1259" s="3" t="s">
        <v>24</v>
      </c>
      <c r="E1259" s="3" t="s">
        <v>24</v>
      </c>
      <c r="F1259" s="3" t="s">
        <v>25</v>
      </c>
      <c r="G1259" s="3" t="s">
        <v>25</v>
      </c>
      <c r="H1259" s="3" t="s">
        <v>34</v>
      </c>
      <c r="I1259" s="6">
        <v>44440</v>
      </c>
      <c r="J1259" s="4">
        <v>0</v>
      </c>
      <c r="K1259" s="4">
        <v>0</v>
      </c>
      <c r="L1259" s="4">
        <v>8.6370000000000005</v>
      </c>
      <c r="M1259" s="4">
        <v>8.6370000000000005</v>
      </c>
      <c r="N1259" s="4">
        <v>8.6370000000000005</v>
      </c>
      <c r="O1259" s="4">
        <v>8.6370000000000005</v>
      </c>
      <c r="P1259" s="4">
        <v>0</v>
      </c>
      <c r="Q1259" s="3" t="s">
        <v>26</v>
      </c>
      <c r="R1259" s="3">
        <v>0</v>
      </c>
      <c r="S1259" s="3" t="s">
        <v>401</v>
      </c>
      <c r="T1259" s="3" t="s">
        <v>682</v>
      </c>
      <c r="U1259" s="3">
        <v>0</v>
      </c>
      <c r="V1259" s="3">
        <v>24</v>
      </c>
      <c r="W1259" s="3">
        <v>98</v>
      </c>
    </row>
    <row r="1260" spans="1:23" ht="11.25" customHeight="1" x14ac:dyDescent="0.25">
      <c r="A1260" s="3" t="s">
        <v>27</v>
      </c>
      <c r="B1260" s="3" t="s">
        <v>22</v>
      </c>
      <c r="C1260" s="3" t="s">
        <v>33</v>
      </c>
      <c r="D1260" s="3" t="s">
        <v>24</v>
      </c>
      <c r="E1260" s="3" t="s">
        <v>24</v>
      </c>
      <c r="F1260" s="3" t="s">
        <v>25</v>
      </c>
      <c r="G1260" s="3" t="s">
        <v>25</v>
      </c>
      <c r="H1260" s="3" t="s">
        <v>34</v>
      </c>
      <c r="I1260" s="6">
        <v>44440</v>
      </c>
      <c r="J1260" s="4">
        <v>0</v>
      </c>
      <c r="K1260" s="4">
        <v>0</v>
      </c>
      <c r="L1260" s="4">
        <v>-2.9000000000000001E-2</v>
      </c>
      <c r="M1260" s="4">
        <v>-2.9000000000000001E-2</v>
      </c>
      <c r="N1260" s="4">
        <v>-2.9000000000000001E-2</v>
      </c>
      <c r="O1260" s="4">
        <v>-2.9000000000000001E-2</v>
      </c>
      <c r="P1260" s="4">
        <v>0</v>
      </c>
      <c r="Q1260" s="3" t="s">
        <v>26</v>
      </c>
      <c r="R1260" s="3">
        <v>0</v>
      </c>
      <c r="S1260" s="3" t="s">
        <v>401</v>
      </c>
      <c r="T1260" s="3" t="s">
        <v>682</v>
      </c>
      <c r="U1260" s="3">
        <v>0</v>
      </c>
      <c r="V1260" s="3">
        <v>24</v>
      </c>
      <c r="W1260" s="3">
        <v>98</v>
      </c>
    </row>
    <row r="1261" spans="1:23" ht="11.25" customHeight="1" x14ac:dyDescent="0.25">
      <c r="A1261" s="3" t="s">
        <v>28</v>
      </c>
      <c r="B1261" s="3" t="s">
        <v>22</v>
      </c>
      <c r="C1261" s="3" t="s">
        <v>33</v>
      </c>
      <c r="D1261" s="3" t="s">
        <v>24</v>
      </c>
      <c r="E1261" s="3" t="s">
        <v>24</v>
      </c>
      <c r="F1261" s="3" t="s">
        <v>25</v>
      </c>
      <c r="G1261" s="3" t="s">
        <v>25</v>
      </c>
      <c r="H1261" s="3" t="s">
        <v>34</v>
      </c>
      <c r="I1261" s="6">
        <v>44440</v>
      </c>
      <c r="J1261" s="4">
        <v>0</v>
      </c>
      <c r="K1261" s="4">
        <v>0</v>
      </c>
      <c r="L1261" s="4">
        <v>6.6000000000000003E-2</v>
      </c>
      <c r="M1261" s="4">
        <v>6.6000000000000003E-2</v>
      </c>
      <c r="N1261" s="4">
        <v>6.6000000000000003E-2</v>
      </c>
      <c r="O1261" s="4">
        <v>6.6000000000000003E-2</v>
      </c>
      <c r="P1261" s="4">
        <v>0</v>
      </c>
      <c r="Q1261" s="3" t="s">
        <v>26</v>
      </c>
      <c r="R1261" s="3">
        <v>0</v>
      </c>
      <c r="S1261" s="3" t="s">
        <v>401</v>
      </c>
      <c r="T1261" s="3" t="s">
        <v>682</v>
      </c>
      <c r="U1261" s="3">
        <v>0</v>
      </c>
      <c r="V1261" s="3">
        <v>24</v>
      </c>
      <c r="W1261" s="3">
        <v>98</v>
      </c>
    </row>
    <row r="1262" spans="1:23" ht="11.25" customHeight="1" x14ac:dyDescent="0.25">
      <c r="A1262" s="3" t="s">
        <v>21</v>
      </c>
      <c r="B1262" s="3" t="s">
        <v>22</v>
      </c>
      <c r="C1262" s="3" t="s">
        <v>33</v>
      </c>
      <c r="D1262" s="3" t="s">
        <v>24</v>
      </c>
      <c r="E1262" s="3" t="s">
        <v>24</v>
      </c>
      <c r="F1262" s="3" t="s">
        <v>25</v>
      </c>
      <c r="G1262" s="3" t="s">
        <v>25</v>
      </c>
      <c r="H1262" s="3" t="s">
        <v>34</v>
      </c>
      <c r="I1262" s="6">
        <v>44470</v>
      </c>
      <c r="J1262" s="4">
        <v>0</v>
      </c>
      <c r="K1262" s="4">
        <v>0</v>
      </c>
      <c r="L1262" s="4">
        <v>8.3379999999999992</v>
      </c>
      <c r="M1262" s="4">
        <v>8.3379999999999992</v>
      </c>
      <c r="N1262" s="4">
        <v>8.3379999999999992</v>
      </c>
      <c r="O1262" s="4">
        <v>8.3379999999999992</v>
      </c>
      <c r="P1262" s="4">
        <v>0</v>
      </c>
      <c r="Q1262" s="3" t="s">
        <v>26</v>
      </c>
      <c r="R1262" s="3">
        <v>0</v>
      </c>
      <c r="S1262" s="3" t="s">
        <v>402</v>
      </c>
      <c r="T1262" s="3" t="s">
        <v>683</v>
      </c>
      <c r="U1262" s="3">
        <v>0</v>
      </c>
      <c r="V1262" s="3">
        <v>24</v>
      </c>
      <c r="W1262" s="3">
        <v>98</v>
      </c>
    </row>
    <row r="1263" spans="1:23" ht="11.25" customHeight="1" x14ac:dyDescent="0.25">
      <c r="A1263" s="3" t="s">
        <v>28</v>
      </c>
      <c r="B1263" s="3" t="s">
        <v>22</v>
      </c>
      <c r="C1263" s="3" t="s">
        <v>33</v>
      </c>
      <c r="D1263" s="3" t="s">
        <v>24</v>
      </c>
      <c r="E1263" s="3" t="s">
        <v>24</v>
      </c>
      <c r="F1263" s="3" t="s">
        <v>25</v>
      </c>
      <c r="G1263" s="3" t="s">
        <v>25</v>
      </c>
      <c r="H1263" s="3" t="s">
        <v>34</v>
      </c>
      <c r="I1263" s="6">
        <v>44470</v>
      </c>
      <c r="J1263" s="4">
        <v>0</v>
      </c>
      <c r="K1263" s="4">
        <v>0</v>
      </c>
      <c r="L1263" s="4">
        <v>0.121</v>
      </c>
      <c r="M1263" s="4">
        <v>0.121</v>
      </c>
      <c r="N1263" s="4">
        <v>0.121</v>
      </c>
      <c r="O1263" s="4">
        <v>0.121</v>
      </c>
      <c r="P1263" s="4">
        <v>0</v>
      </c>
      <c r="Q1263" s="3" t="s">
        <v>26</v>
      </c>
      <c r="R1263" s="3">
        <v>0</v>
      </c>
      <c r="S1263" s="3" t="s">
        <v>402</v>
      </c>
      <c r="T1263" s="3" t="s">
        <v>683</v>
      </c>
      <c r="U1263" s="3">
        <v>0</v>
      </c>
      <c r="V1263" s="3">
        <v>24</v>
      </c>
      <c r="W1263" s="3">
        <v>98</v>
      </c>
    </row>
    <row r="1264" spans="1:23" ht="11.25" customHeight="1" x14ac:dyDescent="0.25">
      <c r="A1264" s="3" t="s">
        <v>21</v>
      </c>
      <c r="B1264" s="3" t="s">
        <v>22</v>
      </c>
      <c r="C1264" s="3" t="s">
        <v>33</v>
      </c>
      <c r="D1264" s="3" t="s">
        <v>24</v>
      </c>
      <c r="E1264" s="3" t="s">
        <v>24</v>
      </c>
      <c r="F1264" s="3" t="s">
        <v>25</v>
      </c>
      <c r="G1264" s="3" t="s">
        <v>25</v>
      </c>
      <c r="H1264" s="3" t="s">
        <v>34</v>
      </c>
      <c r="I1264" s="6">
        <v>44501</v>
      </c>
      <c r="J1264" s="4">
        <v>0</v>
      </c>
      <c r="K1264" s="4">
        <v>0</v>
      </c>
      <c r="L1264" s="4">
        <v>7.7969999999999997</v>
      </c>
      <c r="M1264" s="4">
        <v>7.7969999999999997</v>
      </c>
      <c r="N1264" s="4">
        <v>7.7969999999999997</v>
      </c>
      <c r="O1264" s="4">
        <v>7.7969999999999997</v>
      </c>
      <c r="P1264" s="4">
        <v>0</v>
      </c>
      <c r="Q1264" s="3" t="s">
        <v>26</v>
      </c>
      <c r="R1264" s="3">
        <v>0</v>
      </c>
      <c r="S1264" s="3" t="s">
        <v>403</v>
      </c>
      <c r="T1264" s="3" t="s">
        <v>684</v>
      </c>
      <c r="U1264" s="3">
        <v>0</v>
      </c>
      <c r="V1264" s="3">
        <v>24</v>
      </c>
      <c r="W1264" s="3">
        <v>98</v>
      </c>
    </row>
    <row r="1265" spans="1:23" ht="11.25" customHeight="1" x14ac:dyDescent="0.25">
      <c r="A1265" s="3" t="s">
        <v>28</v>
      </c>
      <c r="B1265" s="3" t="s">
        <v>22</v>
      </c>
      <c r="C1265" s="3" t="s">
        <v>33</v>
      </c>
      <c r="D1265" s="3" t="s">
        <v>24</v>
      </c>
      <c r="E1265" s="3" t="s">
        <v>24</v>
      </c>
      <c r="F1265" s="3" t="s">
        <v>25</v>
      </c>
      <c r="G1265" s="3" t="s">
        <v>25</v>
      </c>
      <c r="H1265" s="3" t="s">
        <v>34</v>
      </c>
      <c r="I1265" s="6">
        <v>44501</v>
      </c>
      <c r="J1265" s="4">
        <v>0</v>
      </c>
      <c r="K1265" s="4">
        <v>0</v>
      </c>
      <c r="L1265" s="4">
        <v>0.22800000000000001</v>
      </c>
      <c r="M1265" s="4">
        <v>0.22800000000000001</v>
      </c>
      <c r="N1265" s="4">
        <v>0.22800000000000001</v>
      </c>
      <c r="O1265" s="4">
        <v>0.22800000000000001</v>
      </c>
      <c r="P1265" s="4">
        <v>0</v>
      </c>
      <c r="Q1265" s="3" t="s">
        <v>26</v>
      </c>
      <c r="R1265" s="3">
        <v>0</v>
      </c>
      <c r="S1265" s="3" t="s">
        <v>403</v>
      </c>
      <c r="T1265" s="3" t="s">
        <v>684</v>
      </c>
      <c r="U1265" s="3">
        <v>0</v>
      </c>
      <c r="V1265" s="3">
        <v>24</v>
      </c>
      <c r="W1265" s="3">
        <v>98</v>
      </c>
    </row>
    <row r="1266" spans="1:23" ht="11.25" customHeight="1" x14ac:dyDescent="0.25">
      <c r="A1266" s="3" t="s">
        <v>21</v>
      </c>
      <c r="B1266" s="3" t="s">
        <v>22</v>
      </c>
      <c r="C1266" s="3" t="s">
        <v>33</v>
      </c>
      <c r="D1266" s="3" t="s">
        <v>24</v>
      </c>
      <c r="E1266" s="3" t="s">
        <v>24</v>
      </c>
      <c r="F1266" s="3" t="s">
        <v>25</v>
      </c>
      <c r="G1266" s="3" t="s">
        <v>25</v>
      </c>
      <c r="H1266" s="3" t="s">
        <v>34</v>
      </c>
      <c r="I1266" s="6">
        <v>44531</v>
      </c>
      <c r="J1266" s="4">
        <v>0</v>
      </c>
      <c r="K1266" s="4">
        <v>0</v>
      </c>
      <c r="L1266" s="4">
        <v>10.634</v>
      </c>
      <c r="M1266" s="4">
        <v>10.634</v>
      </c>
      <c r="N1266" s="4">
        <v>10.634</v>
      </c>
      <c r="O1266" s="4">
        <v>10.634</v>
      </c>
      <c r="P1266" s="4">
        <v>0</v>
      </c>
      <c r="Q1266" s="3" t="s">
        <v>26</v>
      </c>
      <c r="R1266" s="3">
        <v>0</v>
      </c>
      <c r="S1266" s="3" t="s">
        <v>404</v>
      </c>
      <c r="T1266" s="3" t="s">
        <v>685</v>
      </c>
      <c r="U1266" s="3">
        <v>0</v>
      </c>
      <c r="V1266" s="3">
        <v>24</v>
      </c>
      <c r="W1266" s="3">
        <v>98</v>
      </c>
    </row>
    <row r="1267" spans="1:23" ht="11.25" customHeight="1" x14ac:dyDescent="0.25">
      <c r="A1267" s="3" t="s">
        <v>27</v>
      </c>
      <c r="B1267" s="3" t="s">
        <v>22</v>
      </c>
      <c r="C1267" s="3" t="s">
        <v>33</v>
      </c>
      <c r="D1267" s="3" t="s">
        <v>24</v>
      </c>
      <c r="E1267" s="3" t="s">
        <v>24</v>
      </c>
      <c r="F1267" s="3" t="s">
        <v>25</v>
      </c>
      <c r="G1267" s="3" t="s">
        <v>25</v>
      </c>
      <c r="H1267" s="3" t="s">
        <v>34</v>
      </c>
      <c r="I1267" s="6">
        <v>44531</v>
      </c>
      <c r="J1267" s="4">
        <v>0</v>
      </c>
      <c r="K1267" s="4">
        <v>0</v>
      </c>
      <c r="L1267" s="4">
        <v>2E-3</v>
      </c>
      <c r="M1267" s="4">
        <v>2E-3</v>
      </c>
      <c r="N1267" s="4">
        <v>2E-3</v>
      </c>
      <c r="O1267" s="4">
        <v>2E-3</v>
      </c>
      <c r="P1267" s="4">
        <v>0</v>
      </c>
      <c r="Q1267" s="3" t="s">
        <v>26</v>
      </c>
      <c r="R1267" s="3">
        <v>0</v>
      </c>
      <c r="S1267" s="3" t="s">
        <v>404</v>
      </c>
      <c r="T1267" s="3" t="s">
        <v>685</v>
      </c>
      <c r="U1267" s="3">
        <v>0</v>
      </c>
      <c r="V1267" s="3">
        <v>24</v>
      </c>
      <c r="W1267" s="3">
        <v>98</v>
      </c>
    </row>
    <row r="1268" spans="1:23" ht="11.25" customHeight="1" x14ac:dyDescent="0.25">
      <c r="A1268" s="3" t="s">
        <v>28</v>
      </c>
      <c r="B1268" s="3" t="s">
        <v>22</v>
      </c>
      <c r="C1268" s="3" t="s">
        <v>33</v>
      </c>
      <c r="D1268" s="3" t="s">
        <v>24</v>
      </c>
      <c r="E1268" s="3" t="s">
        <v>24</v>
      </c>
      <c r="F1268" s="3" t="s">
        <v>25</v>
      </c>
      <c r="G1268" s="3" t="s">
        <v>25</v>
      </c>
      <c r="H1268" s="3" t="s">
        <v>34</v>
      </c>
      <c r="I1268" s="6">
        <v>44531</v>
      </c>
      <c r="J1268" s="4">
        <v>0</v>
      </c>
      <c r="K1268" s="4">
        <v>0</v>
      </c>
      <c r="L1268" s="4">
        <v>0.23699999999999999</v>
      </c>
      <c r="M1268" s="4">
        <v>0.23699999999999999</v>
      </c>
      <c r="N1268" s="4">
        <v>0.23699999999999999</v>
      </c>
      <c r="O1268" s="4">
        <v>0.23699999999999999</v>
      </c>
      <c r="P1268" s="4">
        <v>0</v>
      </c>
      <c r="Q1268" s="3" t="s">
        <v>26</v>
      </c>
      <c r="R1268" s="3">
        <v>0</v>
      </c>
      <c r="S1268" s="3" t="s">
        <v>404</v>
      </c>
      <c r="T1268" s="3" t="s">
        <v>685</v>
      </c>
      <c r="U1268" s="3">
        <v>0</v>
      </c>
      <c r="V1268" s="3">
        <v>24</v>
      </c>
      <c r="W1268" s="3">
        <v>98</v>
      </c>
    </row>
    <row r="1269" spans="1:23" ht="11.25" customHeight="1" x14ac:dyDescent="0.25">
      <c r="A1269" s="3" t="s">
        <v>21</v>
      </c>
      <c r="B1269" s="3" t="s">
        <v>22</v>
      </c>
      <c r="C1269" s="3" t="s">
        <v>33</v>
      </c>
      <c r="D1269" s="3" t="s">
        <v>24</v>
      </c>
      <c r="E1269" s="3" t="s">
        <v>24</v>
      </c>
      <c r="F1269" s="3" t="s">
        <v>25</v>
      </c>
      <c r="G1269" s="3" t="s">
        <v>25</v>
      </c>
      <c r="H1269" s="3" t="s">
        <v>34</v>
      </c>
      <c r="I1269" s="6">
        <v>44562</v>
      </c>
      <c r="J1269" s="4">
        <v>0</v>
      </c>
      <c r="K1269" s="4">
        <v>0</v>
      </c>
      <c r="L1269" s="4">
        <v>15.317</v>
      </c>
      <c r="M1269" s="4">
        <v>15.317</v>
      </c>
      <c r="N1269" s="4">
        <v>15.317</v>
      </c>
      <c r="O1269" s="4">
        <v>15.317</v>
      </c>
      <c r="P1269" s="4">
        <v>0</v>
      </c>
      <c r="Q1269" s="3" t="s">
        <v>26</v>
      </c>
      <c r="R1269" s="3">
        <v>0</v>
      </c>
      <c r="S1269" s="3" t="s">
        <v>405</v>
      </c>
      <c r="T1269" s="3" t="s">
        <v>686</v>
      </c>
      <c r="U1269" s="3">
        <v>0</v>
      </c>
      <c r="V1269" s="3">
        <v>24</v>
      </c>
      <c r="W1269" s="3">
        <v>98</v>
      </c>
    </row>
    <row r="1270" spans="1:23" ht="11.25" customHeight="1" x14ac:dyDescent="0.25">
      <c r="A1270" s="3" t="s">
        <v>28</v>
      </c>
      <c r="B1270" s="3" t="s">
        <v>22</v>
      </c>
      <c r="C1270" s="3" t="s">
        <v>33</v>
      </c>
      <c r="D1270" s="3" t="s">
        <v>24</v>
      </c>
      <c r="E1270" s="3" t="s">
        <v>24</v>
      </c>
      <c r="F1270" s="3" t="s">
        <v>25</v>
      </c>
      <c r="G1270" s="3" t="s">
        <v>25</v>
      </c>
      <c r="H1270" s="3" t="s">
        <v>34</v>
      </c>
      <c r="I1270" s="6">
        <v>44562</v>
      </c>
      <c r="J1270" s="4">
        <v>0</v>
      </c>
      <c r="K1270" s="4">
        <v>0</v>
      </c>
      <c r="L1270" s="4">
        <v>0.217</v>
      </c>
      <c r="M1270" s="4">
        <v>0.217</v>
      </c>
      <c r="N1270" s="4">
        <v>0.217</v>
      </c>
      <c r="O1270" s="4">
        <v>0.217</v>
      </c>
      <c r="P1270" s="4">
        <v>0</v>
      </c>
      <c r="Q1270" s="3" t="s">
        <v>26</v>
      </c>
      <c r="R1270" s="3">
        <v>0</v>
      </c>
      <c r="S1270" s="3" t="s">
        <v>405</v>
      </c>
      <c r="T1270" s="3" t="s">
        <v>686</v>
      </c>
      <c r="U1270" s="3">
        <v>0</v>
      </c>
      <c r="V1270" s="3">
        <v>24</v>
      </c>
      <c r="W1270" s="3">
        <v>98</v>
      </c>
    </row>
    <row r="1271" spans="1:23" ht="11.25" customHeight="1" x14ac:dyDescent="0.25">
      <c r="A1271" s="3" t="s">
        <v>21</v>
      </c>
      <c r="B1271" s="3" t="s">
        <v>22</v>
      </c>
      <c r="C1271" s="3" t="s">
        <v>33</v>
      </c>
      <c r="D1271" s="3" t="s">
        <v>24</v>
      </c>
      <c r="E1271" s="3" t="s">
        <v>24</v>
      </c>
      <c r="F1271" s="3" t="s">
        <v>25</v>
      </c>
      <c r="G1271" s="3" t="s">
        <v>25</v>
      </c>
      <c r="H1271" s="3" t="s">
        <v>34</v>
      </c>
      <c r="I1271" s="6">
        <v>44593</v>
      </c>
      <c r="J1271" s="4">
        <v>0</v>
      </c>
      <c r="K1271" s="4">
        <v>0</v>
      </c>
      <c r="L1271" s="4">
        <v>12.66</v>
      </c>
      <c r="M1271" s="4">
        <v>12.66</v>
      </c>
      <c r="N1271" s="4">
        <v>12.66</v>
      </c>
      <c r="O1271" s="4">
        <v>12.66</v>
      </c>
      <c r="P1271" s="4">
        <v>0</v>
      </c>
      <c r="Q1271" s="3" t="s">
        <v>26</v>
      </c>
      <c r="R1271" s="3">
        <v>0</v>
      </c>
      <c r="S1271" s="3" t="s">
        <v>406</v>
      </c>
      <c r="T1271" s="3" t="s">
        <v>687</v>
      </c>
      <c r="U1271" s="3">
        <v>0</v>
      </c>
      <c r="V1271" s="3">
        <v>24</v>
      </c>
      <c r="W1271" s="3">
        <v>98</v>
      </c>
    </row>
    <row r="1272" spans="1:23" ht="11.25" customHeight="1" x14ac:dyDescent="0.25">
      <c r="A1272" s="3" t="s">
        <v>27</v>
      </c>
      <c r="B1272" s="3" t="s">
        <v>22</v>
      </c>
      <c r="C1272" s="3" t="s">
        <v>33</v>
      </c>
      <c r="D1272" s="3" t="s">
        <v>24</v>
      </c>
      <c r="E1272" s="3" t="s">
        <v>24</v>
      </c>
      <c r="F1272" s="3" t="s">
        <v>25</v>
      </c>
      <c r="G1272" s="3" t="s">
        <v>25</v>
      </c>
      <c r="H1272" s="3" t="s">
        <v>34</v>
      </c>
      <c r="I1272" s="6">
        <v>44593</v>
      </c>
      <c r="J1272" s="4">
        <v>0</v>
      </c>
      <c r="K1272" s="4">
        <v>0</v>
      </c>
      <c r="L1272" s="4">
        <v>-1.6830000000000001</v>
      </c>
      <c r="M1272" s="4">
        <v>-1.6830000000000001</v>
      </c>
      <c r="N1272" s="4">
        <v>-1.6830000000000001</v>
      </c>
      <c r="O1272" s="4">
        <v>-1.6830000000000001</v>
      </c>
      <c r="P1272" s="4">
        <v>0</v>
      </c>
      <c r="Q1272" s="3" t="s">
        <v>26</v>
      </c>
      <c r="R1272" s="3">
        <v>0</v>
      </c>
      <c r="S1272" s="3" t="s">
        <v>406</v>
      </c>
      <c r="T1272" s="3" t="s">
        <v>687</v>
      </c>
      <c r="U1272" s="3">
        <v>0</v>
      </c>
      <c r="V1272" s="3">
        <v>24</v>
      </c>
      <c r="W1272" s="3">
        <v>98</v>
      </c>
    </row>
    <row r="1273" spans="1:23" ht="11.25" customHeight="1" x14ac:dyDescent="0.25">
      <c r="A1273" s="3" t="s">
        <v>28</v>
      </c>
      <c r="B1273" s="3" t="s">
        <v>22</v>
      </c>
      <c r="C1273" s="3" t="s">
        <v>33</v>
      </c>
      <c r="D1273" s="3" t="s">
        <v>24</v>
      </c>
      <c r="E1273" s="3" t="s">
        <v>24</v>
      </c>
      <c r="F1273" s="3" t="s">
        <v>25</v>
      </c>
      <c r="G1273" s="3" t="s">
        <v>25</v>
      </c>
      <c r="H1273" s="3" t="s">
        <v>34</v>
      </c>
      <c r="I1273" s="6">
        <v>44593</v>
      </c>
      <c r="J1273" s="4">
        <v>0</v>
      </c>
      <c r="K1273" s="4">
        <v>0</v>
      </c>
      <c r="L1273" s="4">
        <v>7.0000000000000007E-2</v>
      </c>
      <c r="M1273" s="4">
        <v>7.0000000000000007E-2</v>
      </c>
      <c r="N1273" s="4">
        <v>7.0000000000000007E-2</v>
      </c>
      <c r="O1273" s="4">
        <v>7.0000000000000007E-2</v>
      </c>
      <c r="P1273" s="4">
        <v>0</v>
      </c>
      <c r="Q1273" s="3" t="s">
        <v>26</v>
      </c>
      <c r="R1273" s="3">
        <v>0</v>
      </c>
      <c r="S1273" s="3" t="s">
        <v>406</v>
      </c>
      <c r="T1273" s="3" t="s">
        <v>687</v>
      </c>
      <c r="U1273" s="3">
        <v>0</v>
      </c>
      <c r="V1273" s="3">
        <v>24</v>
      </c>
      <c r="W1273" s="3">
        <v>98</v>
      </c>
    </row>
    <row r="1274" spans="1:23" ht="11.25" customHeight="1" x14ac:dyDescent="0.25">
      <c r="A1274" s="3" t="s">
        <v>28</v>
      </c>
      <c r="B1274" s="3" t="s">
        <v>22</v>
      </c>
      <c r="C1274" s="3" t="s">
        <v>33</v>
      </c>
      <c r="D1274" s="3" t="s">
        <v>24</v>
      </c>
      <c r="E1274" s="3" t="s">
        <v>24</v>
      </c>
      <c r="F1274" s="3" t="s">
        <v>25</v>
      </c>
      <c r="G1274" s="3" t="s">
        <v>25</v>
      </c>
      <c r="H1274" s="3" t="s">
        <v>34</v>
      </c>
      <c r="I1274" s="6">
        <v>44593</v>
      </c>
      <c r="J1274" s="4">
        <v>0</v>
      </c>
      <c r="K1274" s="4">
        <v>0</v>
      </c>
      <c r="L1274" s="4">
        <v>-0.13800000000000001</v>
      </c>
      <c r="M1274" s="4">
        <v>-0.13800000000000001</v>
      </c>
      <c r="N1274" s="4">
        <v>-0.13800000000000001</v>
      </c>
      <c r="O1274" s="4">
        <v>-0.13800000000000001</v>
      </c>
      <c r="P1274" s="4">
        <v>0</v>
      </c>
      <c r="Q1274" s="3" t="s">
        <v>26</v>
      </c>
      <c r="R1274" s="3">
        <v>0</v>
      </c>
      <c r="S1274" s="3" t="s">
        <v>406</v>
      </c>
      <c r="T1274" s="3" t="s">
        <v>687</v>
      </c>
      <c r="U1274" s="3">
        <v>0</v>
      </c>
      <c r="V1274" s="3">
        <v>24</v>
      </c>
      <c r="W1274" s="3">
        <v>98</v>
      </c>
    </row>
    <row r="1275" spans="1:23" ht="11.25" customHeight="1" x14ac:dyDescent="0.25">
      <c r="A1275" s="3" t="s">
        <v>56</v>
      </c>
      <c r="B1275" s="3" t="s">
        <v>22</v>
      </c>
      <c r="C1275" s="3" t="s">
        <v>33</v>
      </c>
      <c r="D1275" s="3" t="s">
        <v>24</v>
      </c>
      <c r="E1275" s="3" t="s">
        <v>24</v>
      </c>
      <c r="F1275" s="3" t="s">
        <v>25</v>
      </c>
      <c r="G1275" s="3" t="s">
        <v>25</v>
      </c>
      <c r="H1275" s="3" t="s">
        <v>34</v>
      </c>
      <c r="I1275" s="6">
        <v>44621</v>
      </c>
      <c r="J1275" s="4">
        <v>0</v>
      </c>
      <c r="K1275" s="4">
        <v>0</v>
      </c>
      <c r="L1275" s="4">
        <v>12.66</v>
      </c>
      <c r="M1275" s="4">
        <v>12.66</v>
      </c>
      <c r="N1275" s="4">
        <v>12.66</v>
      </c>
      <c r="O1275" s="4">
        <v>12.66</v>
      </c>
      <c r="P1275" s="4">
        <v>0</v>
      </c>
      <c r="Q1275" s="3" t="s">
        <v>26</v>
      </c>
      <c r="R1275" s="3">
        <v>0</v>
      </c>
      <c r="S1275" s="3" t="s">
        <v>407</v>
      </c>
      <c r="T1275" s="3" t="s">
        <v>688</v>
      </c>
      <c r="U1275" s="3">
        <v>0</v>
      </c>
      <c r="V1275" s="3">
        <v>24</v>
      </c>
      <c r="W1275" s="3">
        <v>98</v>
      </c>
    </row>
    <row r="1276" spans="1:23" ht="11.25" customHeight="1" x14ac:dyDescent="0.25">
      <c r="A1276" s="3" t="s">
        <v>56</v>
      </c>
      <c r="B1276" s="3" t="s">
        <v>22</v>
      </c>
      <c r="C1276" s="3" t="s">
        <v>33</v>
      </c>
      <c r="D1276" s="3" t="s">
        <v>24</v>
      </c>
      <c r="E1276" s="3" t="s">
        <v>24</v>
      </c>
      <c r="F1276" s="3" t="s">
        <v>25</v>
      </c>
      <c r="G1276" s="3" t="s">
        <v>25</v>
      </c>
      <c r="H1276" s="3" t="s">
        <v>34</v>
      </c>
      <c r="I1276" s="6">
        <v>44621</v>
      </c>
      <c r="J1276" s="4">
        <v>0</v>
      </c>
      <c r="K1276" s="4">
        <v>0</v>
      </c>
      <c r="L1276" s="4">
        <v>-1.6830000000000001</v>
      </c>
      <c r="M1276" s="4">
        <v>-1.6830000000000001</v>
      </c>
      <c r="N1276" s="4">
        <v>-1.6830000000000001</v>
      </c>
      <c r="O1276" s="4">
        <v>-1.6830000000000001</v>
      </c>
      <c r="P1276" s="4">
        <v>0</v>
      </c>
      <c r="Q1276" s="3" t="s">
        <v>26</v>
      </c>
      <c r="R1276" s="3">
        <v>0</v>
      </c>
      <c r="S1276" s="3" t="s">
        <v>407</v>
      </c>
      <c r="T1276" s="3" t="s">
        <v>688</v>
      </c>
      <c r="U1276" s="3">
        <v>0</v>
      </c>
      <c r="V1276" s="3">
        <v>24</v>
      </c>
      <c r="W1276" s="3">
        <v>98</v>
      </c>
    </row>
    <row r="1277" spans="1:23" ht="11.25" customHeight="1" x14ac:dyDescent="0.25">
      <c r="A1277" s="3" t="s">
        <v>56</v>
      </c>
      <c r="B1277" s="3" t="s">
        <v>22</v>
      </c>
      <c r="C1277" s="3" t="s">
        <v>33</v>
      </c>
      <c r="D1277" s="3" t="s">
        <v>24</v>
      </c>
      <c r="E1277" s="3" t="s">
        <v>24</v>
      </c>
      <c r="F1277" s="3" t="s">
        <v>25</v>
      </c>
      <c r="G1277" s="3" t="s">
        <v>25</v>
      </c>
      <c r="H1277" s="3" t="s">
        <v>34</v>
      </c>
      <c r="I1277" s="6">
        <v>44621</v>
      </c>
      <c r="J1277" s="4">
        <v>0</v>
      </c>
      <c r="K1277" s="4">
        <v>0</v>
      </c>
      <c r="L1277" s="4">
        <v>7.0000000000000007E-2</v>
      </c>
      <c r="M1277" s="4">
        <v>7.0000000000000007E-2</v>
      </c>
      <c r="N1277" s="4">
        <v>7.0000000000000007E-2</v>
      </c>
      <c r="O1277" s="4">
        <v>7.0000000000000007E-2</v>
      </c>
      <c r="P1277" s="4">
        <v>0</v>
      </c>
      <c r="Q1277" s="3" t="s">
        <v>26</v>
      </c>
      <c r="R1277" s="3">
        <v>0</v>
      </c>
      <c r="S1277" s="3" t="s">
        <v>407</v>
      </c>
      <c r="T1277" s="3" t="s">
        <v>688</v>
      </c>
      <c r="U1277" s="3">
        <v>0</v>
      </c>
      <c r="V1277" s="3">
        <v>24</v>
      </c>
      <c r="W1277" s="3">
        <v>98</v>
      </c>
    </row>
    <row r="1278" spans="1:23" ht="11.25" customHeight="1" x14ac:dyDescent="0.25">
      <c r="A1278" s="3" t="s">
        <v>56</v>
      </c>
      <c r="B1278" s="3" t="s">
        <v>22</v>
      </c>
      <c r="C1278" s="3" t="s">
        <v>33</v>
      </c>
      <c r="D1278" s="3" t="s">
        <v>24</v>
      </c>
      <c r="E1278" s="3" t="s">
        <v>24</v>
      </c>
      <c r="F1278" s="3" t="s">
        <v>25</v>
      </c>
      <c r="G1278" s="3" t="s">
        <v>25</v>
      </c>
      <c r="H1278" s="3" t="s">
        <v>34</v>
      </c>
      <c r="I1278" s="6">
        <v>44621</v>
      </c>
      <c r="J1278" s="4">
        <v>0</v>
      </c>
      <c r="K1278" s="4">
        <v>0</v>
      </c>
      <c r="L1278" s="4">
        <v>-0.13800000000000001</v>
      </c>
      <c r="M1278" s="4">
        <v>-0.13800000000000001</v>
      </c>
      <c r="N1278" s="4">
        <v>-0.13800000000000001</v>
      </c>
      <c r="O1278" s="4">
        <v>-0.13800000000000001</v>
      </c>
      <c r="P1278" s="4">
        <v>0</v>
      </c>
      <c r="Q1278" s="3" t="s">
        <v>26</v>
      </c>
      <c r="R1278" s="3">
        <v>0</v>
      </c>
      <c r="S1278" s="3" t="s">
        <v>407</v>
      </c>
      <c r="T1278" s="3" t="s">
        <v>688</v>
      </c>
      <c r="U1278" s="3">
        <v>0</v>
      </c>
      <c r="V1278" s="3">
        <v>24</v>
      </c>
      <c r="W1278" s="3">
        <v>98</v>
      </c>
    </row>
    <row r="1279" spans="1:23" ht="11.25" customHeight="1" x14ac:dyDescent="0.25">
      <c r="A1279" s="3" t="s">
        <v>21</v>
      </c>
      <c r="B1279" s="3" t="s">
        <v>22</v>
      </c>
      <c r="C1279" s="3" t="s">
        <v>23</v>
      </c>
      <c r="D1279" s="3" t="s">
        <v>24</v>
      </c>
      <c r="E1279" s="3" t="s">
        <v>24</v>
      </c>
      <c r="F1279" s="3" t="s">
        <v>25</v>
      </c>
      <c r="G1279" s="3" t="s">
        <v>25</v>
      </c>
      <c r="H1279" s="3" t="s">
        <v>25</v>
      </c>
      <c r="I1279" s="6">
        <v>44287</v>
      </c>
      <c r="J1279" s="4">
        <v>0</v>
      </c>
      <c r="K1279" s="4">
        <v>0</v>
      </c>
      <c r="L1279" s="4">
        <v>83240.540999999997</v>
      </c>
      <c r="M1279" s="4">
        <v>83240.540999999997</v>
      </c>
      <c r="N1279" s="4">
        <v>83240.540999999997</v>
      </c>
      <c r="O1279" s="4">
        <v>83240.540999999997</v>
      </c>
      <c r="P1279" s="4">
        <v>503995</v>
      </c>
      <c r="Q1279" s="3" t="s">
        <v>26</v>
      </c>
      <c r="R1279" s="3">
        <v>0</v>
      </c>
      <c r="S1279" s="3" t="s">
        <v>408</v>
      </c>
      <c r="T1279" s="3" t="s">
        <v>689</v>
      </c>
      <c r="U1279" s="3">
        <v>0</v>
      </c>
      <c r="V1279" s="3">
        <v>48</v>
      </c>
      <c r="W1279" s="3">
        <v>65</v>
      </c>
    </row>
    <row r="1280" spans="1:23" ht="11.25" customHeight="1" x14ac:dyDescent="0.25">
      <c r="A1280" s="3" t="s">
        <v>27</v>
      </c>
      <c r="B1280" s="3" t="s">
        <v>22</v>
      </c>
      <c r="C1280" s="3" t="s">
        <v>23</v>
      </c>
      <c r="D1280" s="3" t="s">
        <v>24</v>
      </c>
      <c r="E1280" s="3" t="s">
        <v>24</v>
      </c>
      <c r="F1280" s="3" t="s">
        <v>25</v>
      </c>
      <c r="G1280" s="3" t="s">
        <v>25</v>
      </c>
      <c r="H1280" s="3" t="s">
        <v>25</v>
      </c>
      <c r="I1280" s="6">
        <v>44287</v>
      </c>
      <c r="J1280" s="4">
        <v>0</v>
      </c>
      <c r="K1280" s="4">
        <v>0</v>
      </c>
      <c r="L1280" s="4">
        <v>-218.554</v>
      </c>
      <c r="M1280" s="4">
        <v>-218.554</v>
      </c>
      <c r="N1280" s="4">
        <v>-218.554</v>
      </c>
      <c r="O1280" s="4">
        <v>-218.554</v>
      </c>
      <c r="P1280" s="4">
        <v>-132</v>
      </c>
      <c r="Q1280" s="3" t="s">
        <v>26</v>
      </c>
      <c r="R1280" s="3">
        <v>0</v>
      </c>
      <c r="S1280" s="3" t="s">
        <v>408</v>
      </c>
      <c r="T1280" s="3" t="s">
        <v>689</v>
      </c>
      <c r="U1280" s="3">
        <v>0</v>
      </c>
      <c r="V1280" s="3">
        <v>48</v>
      </c>
      <c r="W1280" s="3">
        <v>65</v>
      </c>
    </row>
    <row r="1281" spans="1:23" ht="11.25" customHeight="1" x14ac:dyDescent="0.25">
      <c r="A1281" s="3" t="s">
        <v>28</v>
      </c>
      <c r="B1281" s="3" t="s">
        <v>22</v>
      </c>
      <c r="C1281" s="3" t="s">
        <v>23</v>
      </c>
      <c r="D1281" s="3" t="s">
        <v>24</v>
      </c>
      <c r="E1281" s="3" t="s">
        <v>24</v>
      </c>
      <c r="F1281" s="3" t="s">
        <v>25</v>
      </c>
      <c r="G1281" s="3" t="s">
        <v>25</v>
      </c>
      <c r="H1281" s="3" t="s">
        <v>25</v>
      </c>
      <c r="I1281" s="6">
        <v>44287</v>
      </c>
      <c r="J1281" s="4">
        <v>0</v>
      </c>
      <c r="K1281" s="4">
        <v>0</v>
      </c>
      <c r="L1281" s="4">
        <v>731.52499999999998</v>
      </c>
      <c r="M1281" s="4">
        <v>731.52499999999998</v>
      </c>
      <c r="N1281" s="4">
        <v>731.52499999999998</v>
      </c>
      <c r="O1281" s="4">
        <v>731.52499999999998</v>
      </c>
      <c r="P1281" s="4">
        <v>3345</v>
      </c>
      <c r="Q1281" s="3" t="s">
        <v>26</v>
      </c>
      <c r="R1281" s="3">
        <v>0</v>
      </c>
      <c r="S1281" s="3" t="s">
        <v>408</v>
      </c>
      <c r="T1281" s="3" t="s">
        <v>689</v>
      </c>
      <c r="U1281" s="3">
        <v>0</v>
      </c>
      <c r="V1281" s="3">
        <v>48</v>
      </c>
      <c r="W1281" s="3">
        <v>65</v>
      </c>
    </row>
    <row r="1282" spans="1:23" ht="11.25" customHeight="1" x14ac:dyDescent="0.25">
      <c r="A1282" s="3" t="s">
        <v>28</v>
      </c>
      <c r="B1282" s="3" t="s">
        <v>22</v>
      </c>
      <c r="C1282" s="3" t="s">
        <v>23</v>
      </c>
      <c r="D1282" s="3" t="s">
        <v>24</v>
      </c>
      <c r="E1282" s="3" t="s">
        <v>24</v>
      </c>
      <c r="F1282" s="3" t="s">
        <v>25</v>
      </c>
      <c r="G1282" s="3" t="s">
        <v>25</v>
      </c>
      <c r="H1282" s="3" t="s">
        <v>25</v>
      </c>
      <c r="I1282" s="6">
        <v>44287</v>
      </c>
      <c r="J1282" s="4">
        <v>0</v>
      </c>
      <c r="K1282" s="4">
        <v>0</v>
      </c>
      <c r="L1282" s="4">
        <v>-1.508</v>
      </c>
      <c r="M1282" s="4">
        <v>-1.508</v>
      </c>
      <c r="N1282" s="4">
        <v>-1.508</v>
      </c>
      <c r="O1282" s="4">
        <v>-1.508</v>
      </c>
      <c r="P1282" s="4">
        <v>0</v>
      </c>
      <c r="Q1282" s="3" t="s">
        <v>26</v>
      </c>
      <c r="R1282" s="3">
        <v>0</v>
      </c>
      <c r="S1282" s="3" t="s">
        <v>408</v>
      </c>
      <c r="T1282" s="3" t="s">
        <v>689</v>
      </c>
      <c r="U1282" s="3">
        <v>0</v>
      </c>
      <c r="V1282" s="3">
        <v>48</v>
      </c>
      <c r="W1282" s="3">
        <v>65</v>
      </c>
    </row>
    <row r="1283" spans="1:23" ht="11.25" customHeight="1" x14ac:dyDescent="0.25">
      <c r="A1283" s="3" t="s">
        <v>21</v>
      </c>
      <c r="B1283" s="3" t="s">
        <v>22</v>
      </c>
      <c r="C1283" s="3" t="s">
        <v>23</v>
      </c>
      <c r="D1283" s="3" t="s">
        <v>24</v>
      </c>
      <c r="E1283" s="3" t="s">
        <v>24</v>
      </c>
      <c r="F1283" s="3" t="s">
        <v>25</v>
      </c>
      <c r="G1283" s="3" t="s">
        <v>25</v>
      </c>
      <c r="H1283" s="3" t="s">
        <v>25</v>
      </c>
      <c r="I1283" s="6">
        <v>44317</v>
      </c>
      <c r="J1283" s="4">
        <v>0</v>
      </c>
      <c r="K1283" s="4">
        <v>0</v>
      </c>
      <c r="L1283" s="4">
        <v>75372.801000000007</v>
      </c>
      <c r="M1283" s="4">
        <v>75372.801000000007</v>
      </c>
      <c r="N1283" s="4">
        <v>75372.801000000007</v>
      </c>
      <c r="O1283" s="4">
        <v>75372.801000000007</v>
      </c>
      <c r="P1283" s="4">
        <v>504725</v>
      </c>
      <c r="Q1283" s="3" t="s">
        <v>26</v>
      </c>
      <c r="R1283" s="3">
        <v>0</v>
      </c>
      <c r="S1283" s="3" t="s">
        <v>409</v>
      </c>
      <c r="T1283" s="3" t="s">
        <v>690</v>
      </c>
      <c r="U1283" s="3">
        <v>0</v>
      </c>
      <c r="V1283" s="3">
        <v>48</v>
      </c>
      <c r="W1283" s="3">
        <v>65</v>
      </c>
    </row>
    <row r="1284" spans="1:23" ht="11.25" customHeight="1" x14ac:dyDescent="0.25">
      <c r="A1284" s="3" t="s">
        <v>27</v>
      </c>
      <c r="B1284" s="3" t="s">
        <v>22</v>
      </c>
      <c r="C1284" s="3" t="s">
        <v>23</v>
      </c>
      <c r="D1284" s="3" t="s">
        <v>24</v>
      </c>
      <c r="E1284" s="3" t="s">
        <v>24</v>
      </c>
      <c r="F1284" s="3" t="s">
        <v>25</v>
      </c>
      <c r="G1284" s="3" t="s">
        <v>25</v>
      </c>
      <c r="H1284" s="3" t="s">
        <v>25</v>
      </c>
      <c r="I1284" s="6">
        <v>44317</v>
      </c>
      <c r="J1284" s="4">
        <v>0</v>
      </c>
      <c r="K1284" s="4">
        <v>0</v>
      </c>
      <c r="L1284" s="4">
        <v>-134.25399999999999</v>
      </c>
      <c r="M1284" s="4">
        <v>-134.25399999999999</v>
      </c>
      <c r="N1284" s="4">
        <v>-134.25399999999999</v>
      </c>
      <c r="O1284" s="4">
        <v>-134.25399999999999</v>
      </c>
      <c r="P1284" s="4">
        <v>-152</v>
      </c>
      <c r="Q1284" s="3" t="s">
        <v>26</v>
      </c>
      <c r="R1284" s="3">
        <v>0</v>
      </c>
      <c r="S1284" s="3" t="s">
        <v>409</v>
      </c>
      <c r="T1284" s="3" t="s">
        <v>690</v>
      </c>
      <c r="U1284" s="3">
        <v>0</v>
      </c>
      <c r="V1284" s="3">
        <v>48</v>
      </c>
      <c r="W1284" s="3">
        <v>65</v>
      </c>
    </row>
    <row r="1285" spans="1:23" ht="11.25" customHeight="1" x14ac:dyDescent="0.25">
      <c r="A1285" s="3" t="s">
        <v>28</v>
      </c>
      <c r="B1285" s="3" t="s">
        <v>22</v>
      </c>
      <c r="C1285" s="3" t="s">
        <v>23</v>
      </c>
      <c r="D1285" s="3" t="s">
        <v>24</v>
      </c>
      <c r="E1285" s="3" t="s">
        <v>24</v>
      </c>
      <c r="F1285" s="3" t="s">
        <v>25</v>
      </c>
      <c r="G1285" s="3" t="s">
        <v>25</v>
      </c>
      <c r="H1285" s="3" t="s">
        <v>25</v>
      </c>
      <c r="I1285" s="6">
        <v>44317</v>
      </c>
      <c r="J1285" s="4">
        <v>0</v>
      </c>
      <c r="K1285" s="4">
        <v>0</v>
      </c>
      <c r="L1285" s="4">
        <v>751.9</v>
      </c>
      <c r="M1285" s="4">
        <v>751.9</v>
      </c>
      <c r="N1285" s="4">
        <v>751.9</v>
      </c>
      <c r="O1285" s="4">
        <v>751.9</v>
      </c>
      <c r="P1285" s="4">
        <v>3552</v>
      </c>
      <c r="Q1285" s="3" t="s">
        <v>26</v>
      </c>
      <c r="R1285" s="3">
        <v>0</v>
      </c>
      <c r="S1285" s="3" t="s">
        <v>409</v>
      </c>
      <c r="T1285" s="3" t="s">
        <v>690</v>
      </c>
      <c r="U1285" s="3">
        <v>0</v>
      </c>
      <c r="V1285" s="3">
        <v>48</v>
      </c>
      <c r="W1285" s="3">
        <v>65</v>
      </c>
    </row>
    <row r="1286" spans="1:23" ht="11.25" customHeight="1" x14ac:dyDescent="0.25">
      <c r="A1286" s="3" t="s">
        <v>28</v>
      </c>
      <c r="B1286" s="3" t="s">
        <v>22</v>
      </c>
      <c r="C1286" s="3" t="s">
        <v>23</v>
      </c>
      <c r="D1286" s="3" t="s">
        <v>24</v>
      </c>
      <c r="E1286" s="3" t="s">
        <v>24</v>
      </c>
      <c r="F1286" s="3" t="s">
        <v>25</v>
      </c>
      <c r="G1286" s="3" t="s">
        <v>25</v>
      </c>
      <c r="H1286" s="3" t="s">
        <v>25</v>
      </c>
      <c r="I1286" s="6">
        <v>44317</v>
      </c>
      <c r="J1286" s="4">
        <v>0</v>
      </c>
      <c r="K1286" s="4">
        <v>0</v>
      </c>
      <c r="L1286" s="4">
        <v>-0.86899999999999999</v>
      </c>
      <c r="M1286" s="4">
        <v>-0.86899999999999999</v>
      </c>
      <c r="N1286" s="4">
        <v>-0.86899999999999999</v>
      </c>
      <c r="O1286" s="4">
        <v>-0.86899999999999999</v>
      </c>
      <c r="P1286" s="4">
        <v>0</v>
      </c>
      <c r="Q1286" s="3" t="s">
        <v>26</v>
      </c>
      <c r="R1286" s="3">
        <v>0</v>
      </c>
      <c r="S1286" s="3" t="s">
        <v>409</v>
      </c>
      <c r="T1286" s="3" t="s">
        <v>690</v>
      </c>
      <c r="U1286" s="3">
        <v>0</v>
      </c>
      <c r="V1286" s="3">
        <v>48</v>
      </c>
      <c r="W1286" s="3">
        <v>65</v>
      </c>
    </row>
    <row r="1287" spans="1:23" ht="11.25" customHeight="1" x14ac:dyDescent="0.25">
      <c r="A1287" s="3" t="s">
        <v>21</v>
      </c>
      <c r="B1287" s="3" t="s">
        <v>22</v>
      </c>
      <c r="C1287" s="3" t="s">
        <v>23</v>
      </c>
      <c r="D1287" s="3" t="s">
        <v>24</v>
      </c>
      <c r="E1287" s="3" t="s">
        <v>24</v>
      </c>
      <c r="F1287" s="3" t="s">
        <v>25</v>
      </c>
      <c r="G1287" s="3" t="s">
        <v>25</v>
      </c>
      <c r="H1287" s="3" t="s">
        <v>25</v>
      </c>
      <c r="I1287" s="6">
        <v>44348</v>
      </c>
      <c r="J1287" s="4">
        <v>0</v>
      </c>
      <c r="K1287" s="4">
        <v>0</v>
      </c>
      <c r="L1287" s="4">
        <v>73533.183000000005</v>
      </c>
      <c r="M1287" s="4">
        <v>73533.183000000005</v>
      </c>
      <c r="N1287" s="4">
        <v>73533.183000000005</v>
      </c>
      <c r="O1287" s="4">
        <v>73533.183000000005</v>
      </c>
      <c r="P1287" s="4">
        <v>506719</v>
      </c>
      <c r="Q1287" s="3" t="s">
        <v>26</v>
      </c>
      <c r="R1287" s="3">
        <v>0</v>
      </c>
      <c r="S1287" s="3" t="s">
        <v>410</v>
      </c>
      <c r="T1287" s="3" t="s">
        <v>691</v>
      </c>
      <c r="U1287" s="3">
        <v>0</v>
      </c>
      <c r="V1287" s="3">
        <v>48</v>
      </c>
      <c r="W1287" s="3">
        <v>65</v>
      </c>
    </row>
    <row r="1288" spans="1:23" ht="11.25" customHeight="1" x14ac:dyDescent="0.25">
      <c r="A1288" s="3" t="s">
        <v>27</v>
      </c>
      <c r="B1288" s="3" t="s">
        <v>22</v>
      </c>
      <c r="C1288" s="3" t="s">
        <v>23</v>
      </c>
      <c r="D1288" s="3" t="s">
        <v>24</v>
      </c>
      <c r="E1288" s="3" t="s">
        <v>24</v>
      </c>
      <c r="F1288" s="3" t="s">
        <v>25</v>
      </c>
      <c r="G1288" s="3" t="s">
        <v>25</v>
      </c>
      <c r="H1288" s="3" t="s">
        <v>25</v>
      </c>
      <c r="I1288" s="6">
        <v>44348</v>
      </c>
      <c r="J1288" s="4">
        <v>0</v>
      </c>
      <c r="K1288" s="4">
        <v>0</v>
      </c>
      <c r="L1288" s="4">
        <v>-305.64100000000002</v>
      </c>
      <c r="M1288" s="4">
        <v>-305.64100000000002</v>
      </c>
      <c r="N1288" s="4">
        <v>-305.64100000000002</v>
      </c>
      <c r="O1288" s="4">
        <v>-305.64100000000002</v>
      </c>
      <c r="P1288" s="4">
        <v>-110</v>
      </c>
      <c r="Q1288" s="3" t="s">
        <v>26</v>
      </c>
      <c r="R1288" s="3">
        <v>0</v>
      </c>
      <c r="S1288" s="3" t="s">
        <v>410</v>
      </c>
      <c r="T1288" s="3" t="s">
        <v>691</v>
      </c>
      <c r="U1288" s="3">
        <v>0</v>
      </c>
      <c r="V1288" s="3">
        <v>48</v>
      </c>
      <c r="W1288" s="3">
        <v>65</v>
      </c>
    </row>
    <row r="1289" spans="1:23" ht="11.25" customHeight="1" x14ac:dyDescent="0.25">
      <c r="A1289" s="3" t="s">
        <v>28</v>
      </c>
      <c r="B1289" s="3" t="s">
        <v>22</v>
      </c>
      <c r="C1289" s="3" t="s">
        <v>23</v>
      </c>
      <c r="D1289" s="3" t="s">
        <v>24</v>
      </c>
      <c r="E1289" s="3" t="s">
        <v>24</v>
      </c>
      <c r="F1289" s="3" t="s">
        <v>25</v>
      </c>
      <c r="G1289" s="3" t="s">
        <v>25</v>
      </c>
      <c r="H1289" s="3" t="s">
        <v>25</v>
      </c>
      <c r="I1289" s="6">
        <v>44348</v>
      </c>
      <c r="J1289" s="4">
        <v>0</v>
      </c>
      <c r="K1289" s="4">
        <v>0</v>
      </c>
      <c r="L1289" s="4">
        <v>736.95399999999995</v>
      </c>
      <c r="M1289" s="4">
        <v>736.95399999999995</v>
      </c>
      <c r="N1289" s="4">
        <v>736.95399999999995</v>
      </c>
      <c r="O1289" s="4">
        <v>736.95399999999995</v>
      </c>
      <c r="P1289" s="4">
        <v>3680</v>
      </c>
      <c r="Q1289" s="3" t="s">
        <v>26</v>
      </c>
      <c r="R1289" s="3">
        <v>0</v>
      </c>
      <c r="S1289" s="3" t="s">
        <v>410</v>
      </c>
      <c r="T1289" s="3" t="s">
        <v>691</v>
      </c>
      <c r="U1289" s="3">
        <v>0</v>
      </c>
      <c r="V1289" s="3">
        <v>48</v>
      </c>
      <c r="W1289" s="3">
        <v>65</v>
      </c>
    </row>
    <row r="1290" spans="1:23" ht="11.25" customHeight="1" x14ac:dyDescent="0.25">
      <c r="A1290" s="3" t="s">
        <v>28</v>
      </c>
      <c r="B1290" s="3" t="s">
        <v>22</v>
      </c>
      <c r="C1290" s="3" t="s">
        <v>23</v>
      </c>
      <c r="D1290" s="3" t="s">
        <v>24</v>
      </c>
      <c r="E1290" s="3" t="s">
        <v>24</v>
      </c>
      <c r="F1290" s="3" t="s">
        <v>25</v>
      </c>
      <c r="G1290" s="3" t="s">
        <v>25</v>
      </c>
      <c r="H1290" s="3" t="s">
        <v>25</v>
      </c>
      <c r="I1290" s="6">
        <v>44348</v>
      </c>
      <c r="J1290" s="4">
        <v>0</v>
      </c>
      <c r="K1290" s="4">
        <v>0</v>
      </c>
      <c r="L1290" s="4">
        <v>9.4E-2</v>
      </c>
      <c r="M1290" s="4">
        <v>9.4E-2</v>
      </c>
      <c r="N1290" s="4">
        <v>9.4E-2</v>
      </c>
      <c r="O1290" s="4">
        <v>9.4E-2</v>
      </c>
      <c r="P1290" s="4">
        <v>0</v>
      </c>
      <c r="Q1290" s="3" t="s">
        <v>26</v>
      </c>
      <c r="R1290" s="3">
        <v>0</v>
      </c>
      <c r="S1290" s="3" t="s">
        <v>410</v>
      </c>
      <c r="T1290" s="3" t="s">
        <v>691</v>
      </c>
      <c r="U1290" s="3">
        <v>0</v>
      </c>
      <c r="V1290" s="3">
        <v>48</v>
      </c>
      <c r="W1290" s="3">
        <v>65</v>
      </c>
    </row>
    <row r="1291" spans="1:23" ht="11.25" customHeight="1" x14ac:dyDescent="0.25">
      <c r="A1291" s="3" t="s">
        <v>21</v>
      </c>
      <c r="B1291" s="3" t="s">
        <v>22</v>
      </c>
      <c r="C1291" s="3" t="s">
        <v>23</v>
      </c>
      <c r="D1291" s="3" t="s">
        <v>24</v>
      </c>
      <c r="E1291" s="3" t="s">
        <v>24</v>
      </c>
      <c r="F1291" s="3" t="s">
        <v>25</v>
      </c>
      <c r="G1291" s="3" t="s">
        <v>25</v>
      </c>
      <c r="H1291" s="3" t="s">
        <v>25</v>
      </c>
      <c r="I1291" s="6">
        <v>44378</v>
      </c>
      <c r="J1291" s="4">
        <v>0</v>
      </c>
      <c r="K1291" s="4">
        <v>0</v>
      </c>
      <c r="L1291" s="4">
        <v>71677</v>
      </c>
      <c r="M1291" s="4">
        <v>71677</v>
      </c>
      <c r="N1291" s="4">
        <v>71677</v>
      </c>
      <c r="O1291" s="4">
        <v>71677</v>
      </c>
      <c r="P1291" s="4">
        <v>507235</v>
      </c>
      <c r="Q1291" s="3" t="s">
        <v>26</v>
      </c>
      <c r="R1291" s="3">
        <v>0</v>
      </c>
      <c r="S1291" s="3" t="s">
        <v>411</v>
      </c>
      <c r="T1291" s="3" t="s">
        <v>692</v>
      </c>
      <c r="U1291" s="3">
        <v>0</v>
      </c>
      <c r="V1291" s="3">
        <v>48</v>
      </c>
      <c r="W1291" s="3">
        <v>65</v>
      </c>
    </row>
    <row r="1292" spans="1:23" ht="11.25" customHeight="1" x14ac:dyDescent="0.25">
      <c r="A1292" s="3" t="s">
        <v>27</v>
      </c>
      <c r="B1292" s="3" t="s">
        <v>22</v>
      </c>
      <c r="C1292" s="3" t="s">
        <v>23</v>
      </c>
      <c r="D1292" s="3" t="s">
        <v>24</v>
      </c>
      <c r="E1292" s="3" t="s">
        <v>24</v>
      </c>
      <c r="F1292" s="3" t="s">
        <v>25</v>
      </c>
      <c r="G1292" s="3" t="s">
        <v>25</v>
      </c>
      <c r="H1292" s="3" t="s">
        <v>25</v>
      </c>
      <c r="I1292" s="6">
        <v>44378</v>
      </c>
      <c r="J1292" s="4">
        <v>0</v>
      </c>
      <c r="K1292" s="4">
        <v>0</v>
      </c>
      <c r="L1292" s="4">
        <v>-1009.7619999999999</v>
      </c>
      <c r="M1292" s="4">
        <v>-1009.7619999999999</v>
      </c>
      <c r="N1292" s="4">
        <v>-1009.7619999999999</v>
      </c>
      <c r="O1292" s="4">
        <v>-1009.7619999999999</v>
      </c>
      <c r="P1292" s="4">
        <v>-511</v>
      </c>
      <c r="Q1292" s="3" t="s">
        <v>26</v>
      </c>
      <c r="R1292" s="3">
        <v>0</v>
      </c>
      <c r="S1292" s="3" t="s">
        <v>411</v>
      </c>
      <c r="T1292" s="3" t="s">
        <v>692</v>
      </c>
      <c r="U1292" s="3">
        <v>0</v>
      </c>
      <c r="V1292" s="3">
        <v>48</v>
      </c>
      <c r="W1292" s="3">
        <v>65</v>
      </c>
    </row>
    <row r="1293" spans="1:23" ht="11.25" customHeight="1" x14ac:dyDescent="0.25">
      <c r="A1293" s="3" t="s">
        <v>28</v>
      </c>
      <c r="B1293" s="3" t="s">
        <v>22</v>
      </c>
      <c r="C1293" s="3" t="s">
        <v>23</v>
      </c>
      <c r="D1293" s="3" t="s">
        <v>24</v>
      </c>
      <c r="E1293" s="3" t="s">
        <v>24</v>
      </c>
      <c r="F1293" s="3" t="s">
        <v>25</v>
      </c>
      <c r="G1293" s="3" t="s">
        <v>25</v>
      </c>
      <c r="H1293" s="3" t="s">
        <v>25</v>
      </c>
      <c r="I1293" s="6">
        <v>44378</v>
      </c>
      <c r="J1293" s="4">
        <v>0</v>
      </c>
      <c r="K1293" s="4">
        <v>0</v>
      </c>
      <c r="L1293" s="4">
        <v>715.673</v>
      </c>
      <c r="M1293" s="4">
        <v>715.673</v>
      </c>
      <c r="N1293" s="4">
        <v>715.673</v>
      </c>
      <c r="O1293" s="4">
        <v>715.673</v>
      </c>
      <c r="P1293" s="4">
        <v>3834</v>
      </c>
      <c r="Q1293" s="3" t="s">
        <v>26</v>
      </c>
      <c r="R1293" s="3">
        <v>0</v>
      </c>
      <c r="S1293" s="3" t="s">
        <v>411</v>
      </c>
      <c r="T1293" s="3" t="s">
        <v>692</v>
      </c>
      <c r="U1293" s="3">
        <v>0</v>
      </c>
      <c r="V1293" s="3">
        <v>48</v>
      </c>
      <c r="W1293" s="3">
        <v>65</v>
      </c>
    </row>
    <row r="1294" spans="1:23" ht="11.25" customHeight="1" x14ac:dyDescent="0.25">
      <c r="A1294" s="3" t="s">
        <v>28</v>
      </c>
      <c r="B1294" s="3" t="s">
        <v>22</v>
      </c>
      <c r="C1294" s="3" t="s">
        <v>23</v>
      </c>
      <c r="D1294" s="3" t="s">
        <v>24</v>
      </c>
      <c r="E1294" s="3" t="s">
        <v>24</v>
      </c>
      <c r="F1294" s="3" t="s">
        <v>25</v>
      </c>
      <c r="G1294" s="3" t="s">
        <v>25</v>
      </c>
      <c r="H1294" s="3" t="s">
        <v>25</v>
      </c>
      <c r="I1294" s="6">
        <v>44378</v>
      </c>
      <c r="J1294" s="4">
        <v>0</v>
      </c>
      <c r="K1294" s="4">
        <v>0</v>
      </c>
      <c r="L1294" s="4">
        <v>-4.7E-2</v>
      </c>
      <c r="M1294" s="4">
        <v>-4.7E-2</v>
      </c>
      <c r="N1294" s="4">
        <v>-4.7E-2</v>
      </c>
      <c r="O1294" s="4">
        <v>-4.7E-2</v>
      </c>
      <c r="P1294" s="4">
        <v>0</v>
      </c>
      <c r="Q1294" s="3" t="s">
        <v>26</v>
      </c>
      <c r="R1294" s="3">
        <v>0</v>
      </c>
      <c r="S1294" s="3" t="s">
        <v>411</v>
      </c>
      <c r="T1294" s="3" t="s">
        <v>692</v>
      </c>
      <c r="U1294" s="3">
        <v>0</v>
      </c>
      <c r="V1294" s="3">
        <v>48</v>
      </c>
      <c r="W1294" s="3">
        <v>65</v>
      </c>
    </row>
    <row r="1295" spans="1:23" ht="11.25" customHeight="1" x14ac:dyDescent="0.25">
      <c r="A1295" s="3" t="s">
        <v>21</v>
      </c>
      <c r="B1295" s="3" t="s">
        <v>22</v>
      </c>
      <c r="C1295" s="3" t="s">
        <v>23</v>
      </c>
      <c r="D1295" s="3" t="s">
        <v>24</v>
      </c>
      <c r="E1295" s="3" t="s">
        <v>24</v>
      </c>
      <c r="F1295" s="3" t="s">
        <v>25</v>
      </c>
      <c r="G1295" s="3" t="s">
        <v>25</v>
      </c>
      <c r="H1295" s="3" t="s">
        <v>25</v>
      </c>
      <c r="I1295" s="6">
        <v>44409</v>
      </c>
      <c r="J1295" s="4">
        <v>0</v>
      </c>
      <c r="K1295" s="4">
        <v>0</v>
      </c>
      <c r="L1295" s="4">
        <v>68285.770999999993</v>
      </c>
      <c r="M1295" s="4">
        <v>68285.770999999993</v>
      </c>
      <c r="N1295" s="4">
        <v>68285.770999999993</v>
      </c>
      <c r="O1295" s="4">
        <v>68285.770999999993</v>
      </c>
      <c r="P1295" s="4">
        <v>507048</v>
      </c>
      <c r="Q1295" s="3" t="s">
        <v>26</v>
      </c>
      <c r="R1295" s="3">
        <v>0</v>
      </c>
      <c r="S1295" s="3" t="s">
        <v>412</v>
      </c>
      <c r="T1295" s="3" t="s">
        <v>693</v>
      </c>
      <c r="U1295" s="3">
        <v>0</v>
      </c>
      <c r="V1295" s="3">
        <v>48</v>
      </c>
      <c r="W1295" s="3">
        <v>65</v>
      </c>
    </row>
    <row r="1296" spans="1:23" ht="11.25" customHeight="1" x14ac:dyDescent="0.25">
      <c r="A1296" s="3" t="s">
        <v>27</v>
      </c>
      <c r="B1296" s="3" t="s">
        <v>22</v>
      </c>
      <c r="C1296" s="3" t="s">
        <v>23</v>
      </c>
      <c r="D1296" s="3" t="s">
        <v>24</v>
      </c>
      <c r="E1296" s="3" t="s">
        <v>24</v>
      </c>
      <c r="F1296" s="3" t="s">
        <v>25</v>
      </c>
      <c r="G1296" s="3" t="s">
        <v>25</v>
      </c>
      <c r="H1296" s="3" t="s">
        <v>25</v>
      </c>
      <c r="I1296" s="6">
        <v>44409</v>
      </c>
      <c r="J1296" s="4">
        <v>0</v>
      </c>
      <c r="K1296" s="4">
        <v>0</v>
      </c>
      <c r="L1296" s="4">
        <v>-323.86099999999999</v>
      </c>
      <c r="M1296" s="4">
        <v>-323.86099999999999</v>
      </c>
      <c r="N1296" s="4">
        <v>-323.86099999999999</v>
      </c>
      <c r="O1296" s="4">
        <v>-323.86099999999999</v>
      </c>
      <c r="P1296" s="4">
        <v>-174</v>
      </c>
      <c r="Q1296" s="3" t="s">
        <v>26</v>
      </c>
      <c r="R1296" s="3">
        <v>0</v>
      </c>
      <c r="S1296" s="3" t="s">
        <v>412</v>
      </c>
      <c r="T1296" s="3" t="s">
        <v>693</v>
      </c>
      <c r="U1296" s="3">
        <v>0</v>
      </c>
      <c r="V1296" s="3">
        <v>48</v>
      </c>
      <c r="W1296" s="3">
        <v>65</v>
      </c>
    </row>
    <row r="1297" spans="1:23" ht="11.25" customHeight="1" x14ac:dyDescent="0.25">
      <c r="A1297" s="3" t="s">
        <v>28</v>
      </c>
      <c r="B1297" s="3" t="s">
        <v>22</v>
      </c>
      <c r="C1297" s="3" t="s">
        <v>23</v>
      </c>
      <c r="D1297" s="3" t="s">
        <v>24</v>
      </c>
      <c r="E1297" s="3" t="s">
        <v>24</v>
      </c>
      <c r="F1297" s="3" t="s">
        <v>25</v>
      </c>
      <c r="G1297" s="3" t="s">
        <v>25</v>
      </c>
      <c r="H1297" s="3" t="s">
        <v>25</v>
      </c>
      <c r="I1297" s="6">
        <v>44409</v>
      </c>
      <c r="J1297" s="4">
        <v>0</v>
      </c>
      <c r="K1297" s="4">
        <v>0</v>
      </c>
      <c r="L1297" s="4">
        <v>642.66</v>
      </c>
      <c r="M1297" s="4">
        <v>642.66</v>
      </c>
      <c r="N1297" s="4">
        <v>642.66</v>
      </c>
      <c r="O1297" s="4">
        <v>642.66</v>
      </c>
      <c r="P1297" s="4">
        <v>4026</v>
      </c>
      <c r="Q1297" s="3" t="s">
        <v>26</v>
      </c>
      <c r="R1297" s="3">
        <v>0</v>
      </c>
      <c r="S1297" s="3" t="s">
        <v>412</v>
      </c>
      <c r="T1297" s="3" t="s">
        <v>693</v>
      </c>
      <c r="U1297" s="3">
        <v>0</v>
      </c>
      <c r="V1297" s="3">
        <v>48</v>
      </c>
      <c r="W1297" s="3">
        <v>65</v>
      </c>
    </row>
    <row r="1298" spans="1:23" ht="11.25" customHeight="1" x14ac:dyDescent="0.25">
      <c r="A1298" s="3" t="s">
        <v>28</v>
      </c>
      <c r="B1298" s="3" t="s">
        <v>22</v>
      </c>
      <c r="C1298" s="3" t="s">
        <v>23</v>
      </c>
      <c r="D1298" s="3" t="s">
        <v>24</v>
      </c>
      <c r="E1298" s="3" t="s">
        <v>24</v>
      </c>
      <c r="F1298" s="3" t="s">
        <v>25</v>
      </c>
      <c r="G1298" s="3" t="s">
        <v>25</v>
      </c>
      <c r="H1298" s="3" t="s">
        <v>25</v>
      </c>
      <c r="I1298" s="6">
        <v>44409</v>
      </c>
      <c r="J1298" s="4">
        <v>0</v>
      </c>
      <c r="K1298" s="4">
        <v>0</v>
      </c>
      <c r="L1298" s="4">
        <v>-8.2370000000000001</v>
      </c>
      <c r="M1298" s="4">
        <v>-8.2370000000000001</v>
      </c>
      <c r="N1298" s="4">
        <v>-8.2370000000000001</v>
      </c>
      <c r="O1298" s="4">
        <v>-8.2370000000000001</v>
      </c>
      <c r="P1298" s="4">
        <v>0</v>
      </c>
      <c r="Q1298" s="3" t="s">
        <v>26</v>
      </c>
      <c r="R1298" s="3">
        <v>0</v>
      </c>
      <c r="S1298" s="3" t="s">
        <v>412</v>
      </c>
      <c r="T1298" s="3" t="s">
        <v>693</v>
      </c>
      <c r="U1298" s="3">
        <v>0</v>
      </c>
      <c r="V1298" s="3">
        <v>48</v>
      </c>
      <c r="W1298" s="3">
        <v>65</v>
      </c>
    </row>
    <row r="1299" spans="1:23" ht="11.25" customHeight="1" x14ac:dyDescent="0.25">
      <c r="A1299" s="3" t="s">
        <v>21</v>
      </c>
      <c r="B1299" s="3" t="s">
        <v>22</v>
      </c>
      <c r="C1299" s="3" t="s">
        <v>23</v>
      </c>
      <c r="D1299" s="3" t="s">
        <v>24</v>
      </c>
      <c r="E1299" s="3" t="s">
        <v>24</v>
      </c>
      <c r="F1299" s="3" t="s">
        <v>25</v>
      </c>
      <c r="G1299" s="3" t="s">
        <v>25</v>
      </c>
      <c r="H1299" s="3" t="s">
        <v>25</v>
      </c>
      <c r="I1299" s="6">
        <v>44440</v>
      </c>
      <c r="J1299" s="4">
        <v>0</v>
      </c>
      <c r="K1299" s="4">
        <v>0</v>
      </c>
      <c r="L1299" s="4">
        <v>68394.902000000002</v>
      </c>
      <c r="M1299" s="4">
        <v>68394.902000000002</v>
      </c>
      <c r="N1299" s="4">
        <v>68394.902000000002</v>
      </c>
      <c r="O1299" s="4">
        <v>68394.902000000002</v>
      </c>
      <c r="P1299" s="4">
        <v>509182</v>
      </c>
      <c r="Q1299" s="3" t="s">
        <v>26</v>
      </c>
      <c r="R1299" s="3">
        <v>0</v>
      </c>
      <c r="S1299" s="3" t="s">
        <v>413</v>
      </c>
      <c r="T1299" s="3" t="s">
        <v>694</v>
      </c>
      <c r="U1299" s="3">
        <v>0</v>
      </c>
      <c r="V1299" s="3">
        <v>48</v>
      </c>
      <c r="W1299" s="3">
        <v>65</v>
      </c>
    </row>
    <row r="1300" spans="1:23" ht="11.25" customHeight="1" x14ac:dyDescent="0.25">
      <c r="A1300" s="3" t="s">
        <v>27</v>
      </c>
      <c r="B1300" s="3" t="s">
        <v>22</v>
      </c>
      <c r="C1300" s="3" t="s">
        <v>23</v>
      </c>
      <c r="D1300" s="3" t="s">
        <v>24</v>
      </c>
      <c r="E1300" s="3" t="s">
        <v>24</v>
      </c>
      <c r="F1300" s="3" t="s">
        <v>25</v>
      </c>
      <c r="G1300" s="3" t="s">
        <v>25</v>
      </c>
      <c r="H1300" s="3" t="s">
        <v>25</v>
      </c>
      <c r="I1300" s="6">
        <v>44440</v>
      </c>
      <c r="J1300" s="4">
        <v>0</v>
      </c>
      <c r="K1300" s="4">
        <v>0</v>
      </c>
      <c r="L1300" s="4">
        <v>-168.74199999999999</v>
      </c>
      <c r="M1300" s="4">
        <v>-168.74199999999999</v>
      </c>
      <c r="N1300" s="4">
        <v>-168.74199999999999</v>
      </c>
      <c r="O1300" s="4">
        <v>-168.74199999999999</v>
      </c>
      <c r="P1300" s="4">
        <v>-53</v>
      </c>
      <c r="Q1300" s="3" t="s">
        <v>26</v>
      </c>
      <c r="R1300" s="3">
        <v>0</v>
      </c>
      <c r="S1300" s="3" t="s">
        <v>413</v>
      </c>
      <c r="T1300" s="3" t="s">
        <v>694</v>
      </c>
      <c r="U1300" s="3">
        <v>0</v>
      </c>
      <c r="V1300" s="3">
        <v>48</v>
      </c>
      <c r="W1300" s="3">
        <v>65</v>
      </c>
    </row>
    <row r="1301" spans="1:23" ht="11.25" customHeight="1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 t="s">
        <v>24</v>
      </c>
      <c r="F1301" s="3" t="s">
        <v>25</v>
      </c>
      <c r="G1301" s="3" t="s">
        <v>25</v>
      </c>
      <c r="H1301" s="3" t="s">
        <v>25</v>
      </c>
      <c r="I1301" s="6">
        <v>44440</v>
      </c>
      <c r="J1301" s="4">
        <v>0</v>
      </c>
      <c r="K1301" s="4">
        <v>0</v>
      </c>
      <c r="L1301" s="4">
        <v>656.721</v>
      </c>
      <c r="M1301" s="4">
        <v>656.721</v>
      </c>
      <c r="N1301" s="4">
        <v>656.721</v>
      </c>
      <c r="O1301" s="4">
        <v>656.721</v>
      </c>
      <c r="P1301" s="4">
        <v>4221</v>
      </c>
      <c r="Q1301" s="3" t="s">
        <v>26</v>
      </c>
      <c r="R1301" s="3">
        <v>0</v>
      </c>
      <c r="S1301" s="3" t="s">
        <v>413</v>
      </c>
      <c r="T1301" s="3" t="s">
        <v>694</v>
      </c>
      <c r="U1301" s="3">
        <v>0</v>
      </c>
      <c r="V1301" s="3">
        <v>48</v>
      </c>
      <c r="W1301" s="3">
        <v>65</v>
      </c>
    </row>
    <row r="1302" spans="1:23" ht="11.25" customHeight="1" x14ac:dyDescent="0.25">
      <c r="A1302" s="3" t="s">
        <v>28</v>
      </c>
      <c r="B1302" s="3" t="s">
        <v>22</v>
      </c>
      <c r="C1302" s="3" t="s">
        <v>23</v>
      </c>
      <c r="D1302" s="3" t="s">
        <v>24</v>
      </c>
      <c r="E1302" s="3" t="s">
        <v>24</v>
      </c>
      <c r="F1302" s="3" t="s">
        <v>25</v>
      </c>
      <c r="G1302" s="3" t="s">
        <v>25</v>
      </c>
      <c r="H1302" s="3" t="s">
        <v>25</v>
      </c>
      <c r="I1302" s="6">
        <v>44440</v>
      </c>
      <c r="J1302" s="4">
        <v>0</v>
      </c>
      <c r="K1302" s="4">
        <v>0</v>
      </c>
      <c r="L1302" s="4">
        <v>-10.647</v>
      </c>
      <c r="M1302" s="4">
        <v>-10.647</v>
      </c>
      <c r="N1302" s="4">
        <v>-10.647</v>
      </c>
      <c r="O1302" s="4">
        <v>-10.647</v>
      </c>
      <c r="P1302" s="4">
        <v>0</v>
      </c>
      <c r="Q1302" s="3" t="s">
        <v>26</v>
      </c>
      <c r="R1302" s="3">
        <v>0</v>
      </c>
      <c r="S1302" s="3" t="s">
        <v>413</v>
      </c>
      <c r="T1302" s="3" t="s">
        <v>694</v>
      </c>
      <c r="U1302" s="3">
        <v>0</v>
      </c>
      <c r="V1302" s="3">
        <v>48</v>
      </c>
      <c r="W1302" s="3">
        <v>65</v>
      </c>
    </row>
    <row r="1303" spans="1:23" ht="11.25" customHeight="1" x14ac:dyDescent="0.25">
      <c r="A1303" s="3" t="s">
        <v>21</v>
      </c>
      <c r="B1303" s="3" t="s">
        <v>22</v>
      </c>
      <c r="C1303" s="3" t="s">
        <v>23</v>
      </c>
      <c r="D1303" s="3" t="s">
        <v>24</v>
      </c>
      <c r="E1303" s="3" t="s">
        <v>24</v>
      </c>
      <c r="F1303" s="3" t="s">
        <v>25</v>
      </c>
      <c r="G1303" s="3" t="s">
        <v>25</v>
      </c>
      <c r="H1303" s="3" t="s">
        <v>25</v>
      </c>
      <c r="I1303" s="6">
        <v>44470</v>
      </c>
      <c r="J1303" s="4">
        <v>0</v>
      </c>
      <c r="K1303" s="4">
        <v>0</v>
      </c>
      <c r="L1303" s="4">
        <v>70450.296000000002</v>
      </c>
      <c r="M1303" s="4">
        <v>70450.296000000002</v>
      </c>
      <c r="N1303" s="4">
        <v>70450.296000000002</v>
      </c>
      <c r="O1303" s="4">
        <v>70450.296000000002</v>
      </c>
      <c r="P1303" s="4">
        <v>506902</v>
      </c>
      <c r="Q1303" s="3" t="s">
        <v>26</v>
      </c>
      <c r="R1303" s="3">
        <v>0</v>
      </c>
      <c r="S1303" s="3" t="s">
        <v>414</v>
      </c>
      <c r="T1303" s="3" t="s">
        <v>695</v>
      </c>
      <c r="U1303" s="3">
        <v>0</v>
      </c>
      <c r="V1303" s="3">
        <v>48</v>
      </c>
      <c r="W1303" s="3">
        <v>65</v>
      </c>
    </row>
    <row r="1304" spans="1:23" ht="11.25" customHeight="1" x14ac:dyDescent="0.25">
      <c r="A1304" s="3" t="s">
        <v>27</v>
      </c>
      <c r="B1304" s="3" t="s">
        <v>22</v>
      </c>
      <c r="C1304" s="3" t="s">
        <v>23</v>
      </c>
      <c r="D1304" s="3" t="s">
        <v>24</v>
      </c>
      <c r="E1304" s="3" t="s">
        <v>24</v>
      </c>
      <c r="F1304" s="3" t="s">
        <v>25</v>
      </c>
      <c r="G1304" s="3" t="s">
        <v>25</v>
      </c>
      <c r="H1304" s="3" t="s">
        <v>25</v>
      </c>
      <c r="I1304" s="6">
        <v>44470</v>
      </c>
      <c r="J1304" s="4">
        <v>0</v>
      </c>
      <c r="K1304" s="4">
        <v>0</v>
      </c>
      <c r="L1304" s="4">
        <v>-134.63999999999999</v>
      </c>
      <c r="M1304" s="4">
        <v>-134.63999999999999</v>
      </c>
      <c r="N1304" s="4">
        <v>-134.63999999999999</v>
      </c>
      <c r="O1304" s="4">
        <v>-134.63999999999999</v>
      </c>
      <c r="P1304" s="4">
        <v>-83</v>
      </c>
      <c r="Q1304" s="3" t="s">
        <v>26</v>
      </c>
      <c r="R1304" s="3">
        <v>0</v>
      </c>
      <c r="S1304" s="3" t="s">
        <v>414</v>
      </c>
      <c r="T1304" s="3" t="s">
        <v>695</v>
      </c>
      <c r="U1304" s="3">
        <v>0</v>
      </c>
      <c r="V1304" s="3">
        <v>48</v>
      </c>
      <c r="W1304" s="3">
        <v>65</v>
      </c>
    </row>
    <row r="1305" spans="1:23" ht="11.25" customHeight="1" x14ac:dyDescent="0.25">
      <c r="A1305" s="3" t="s">
        <v>28</v>
      </c>
      <c r="B1305" s="3" t="s">
        <v>22</v>
      </c>
      <c r="C1305" s="3" t="s">
        <v>23</v>
      </c>
      <c r="D1305" s="3" t="s">
        <v>24</v>
      </c>
      <c r="E1305" s="3" t="s">
        <v>24</v>
      </c>
      <c r="F1305" s="3" t="s">
        <v>25</v>
      </c>
      <c r="G1305" s="3" t="s">
        <v>25</v>
      </c>
      <c r="H1305" s="3" t="s">
        <v>25</v>
      </c>
      <c r="I1305" s="6">
        <v>44470</v>
      </c>
      <c r="J1305" s="4">
        <v>0</v>
      </c>
      <c r="K1305" s="4">
        <v>0</v>
      </c>
      <c r="L1305" s="4">
        <v>711.72400000000005</v>
      </c>
      <c r="M1305" s="4">
        <v>711.72400000000005</v>
      </c>
      <c r="N1305" s="4">
        <v>711.72400000000005</v>
      </c>
      <c r="O1305" s="4">
        <v>711.72400000000005</v>
      </c>
      <c r="P1305" s="4">
        <v>4444</v>
      </c>
      <c r="Q1305" s="3" t="s">
        <v>26</v>
      </c>
      <c r="R1305" s="3">
        <v>0</v>
      </c>
      <c r="S1305" s="3" t="s">
        <v>414</v>
      </c>
      <c r="T1305" s="3" t="s">
        <v>695</v>
      </c>
      <c r="U1305" s="3">
        <v>0</v>
      </c>
      <c r="V1305" s="3">
        <v>48</v>
      </c>
      <c r="W1305" s="3">
        <v>65</v>
      </c>
    </row>
    <row r="1306" spans="1:23" ht="11.25" customHeight="1" x14ac:dyDescent="0.25">
      <c r="A1306" s="3" t="s">
        <v>28</v>
      </c>
      <c r="B1306" s="3" t="s">
        <v>22</v>
      </c>
      <c r="C1306" s="3" t="s">
        <v>23</v>
      </c>
      <c r="D1306" s="3" t="s">
        <v>24</v>
      </c>
      <c r="E1306" s="3" t="s">
        <v>24</v>
      </c>
      <c r="F1306" s="3" t="s">
        <v>25</v>
      </c>
      <c r="G1306" s="3" t="s">
        <v>25</v>
      </c>
      <c r="H1306" s="3" t="s">
        <v>25</v>
      </c>
      <c r="I1306" s="6">
        <v>44470</v>
      </c>
      <c r="J1306" s="4">
        <v>0</v>
      </c>
      <c r="K1306" s="4">
        <v>0</v>
      </c>
      <c r="L1306" s="4">
        <v>-8.2000000000000003E-2</v>
      </c>
      <c r="M1306" s="4">
        <v>-8.2000000000000003E-2</v>
      </c>
      <c r="N1306" s="4">
        <v>-8.2000000000000003E-2</v>
      </c>
      <c r="O1306" s="4">
        <v>-8.2000000000000003E-2</v>
      </c>
      <c r="P1306" s="4">
        <v>0</v>
      </c>
      <c r="Q1306" s="3" t="s">
        <v>26</v>
      </c>
      <c r="R1306" s="3">
        <v>0</v>
      </c>
      <c r="S1306" s="3" t="s">
        <v>414</v>
      </c>
      <c r="T1306" s="3" t="s">
        <v>695</v>
      </c>
      <c r="U1306" s="3">
        <v>0</v>
      </c>
      <c r="V1306" s="3">
        <v>48</v>
      </c>
      <c r="W1306" s="3">
        <v>65</v>
      </c>
    </row>
    <row r="1307" spans="1:23" ht="11.25" customHeight="1" x14ac:dyDescent="0.25">
      <c r="A1307" s="3" t="s">
        <v>21</v>
      </c>
      <c r="B1307" s="3" t="s">
        <v>22</v>
      </c>
      <c r="C1307" s="3" t="s">
        <v>23</v>
      </c>
      <c r="D1307" s="3" t="s">
        <v>24</v>
      </c>
      <c r="E1307" s="3" t="s">
        <v>24</v>
      </c>
      <c r="F1307" s="3" t="s">
        <v>25</v>
      </c>
      <c r="G1307" s="3" t="s">
        <v>25</v>
      </c>
      <c r="H1307" s="3" t="s">
        <v>25</v>
      </c>
      <c r="I1307" s="6">
        <v>44501</v>
      </c>
      <c r="J1307" s="4">
        <v>0</v>
      </c>
      <c r="K1307" s="4">
        <v>0</v>
      </c>
      <c r="L1307" s="4">
        <v>71859.870999999999</v>
      </c>
      <c r="M1307" s="4">
        <v>71859.870999999999</v>
      </c>
      <c r="N1307" s="4">
        <v>71859.870999999999</v>
      </c>
      <c r="O1307" s="4">
        <v>71859.870999999999</v>
      </c>
      <c r="P1307" s="4">
        <v>506049</v>
      </c>
      <c r="Q1307" s="3" t="s">
        <v>26</v>
      </c>
      <c r="R1307" s="3">
        <v>0</v>
      </c>
      <c r="S1307" s="3" t="s">
        <v>415</v>
      </c>
      <c r="T1307" s="3" t="s">
        <v>696</v>
      </c>
      <c r="U1307" s="3">
        <v>0</v>
      </c>
      <c r="V1307" s="3">
        <v>48</v>
      </c>
      <c r="W1307" s="3">
        <v>65</v>
      </c>
    </row>
    <row r="1308" spans="1:23" ht="11.25" customHeight="1" x14ac:dyDescent="0.25">
      <c r="A1308" s="3" t="s">
        <v>27</v>
      </c>
      <c r="B1308" s="3" t="s">
        <v>22</v>
      </c>
      <c r="C1308" s="3" t="s">
        <v>23</v>
      </c>
      <c r="D1308" s="3" t="s">
        <v>24</v>
      </c>
      <c r="E1308" s="3" t="s">
        <v>24</v>
      </c>
      <c r="F1308" s="3" t="s">
        <v>25</v>
      </c>
      <c r="G1308" s="3" t="s">
        <v>25</v>
      </c>
      <c r="H1308" s="3" t="s">
        <v>25</v>
      </c>
      <c r="I1308" s="6">
        <v>44501</v>
      </c>
      <c r="J1308" s="4">
        <v>0</v>
      </c>
      <c r="K1308" s="4">
        <v>0</v>
      </c>
      <c r="L1308" s="4">
        <v>-181.607</v>
      </c>
      <c r="M1308" s="4">
        <v>-181.607</v>
      </c>
      <c r="N1308" s="4">
        <v>-181.607</v>
      </c>
      <c r="O1308" s="4">
        <v>-181.607</v>
      </c>
      <c r="P1308" s="4">
        <v>-78</v>
      </c>
      <c r="Q1308" s="3" t="s">
        <v>26</v>
      </c>
      <c r="R1308" s="3">
        <v>0</v>
      </c>
      <c r="S1308" s="3" t="s">
        <v>415</v>
      </c>
      <c r="T1308" s="3" t="s">
        <v>696</v>
      </c>
      <c r="U1308" s="3">
        <v>0</v>
      </c>
      <c r="V1308" s="3">
        <v>48</v>
      </c>
      <c r="W1308" s="3">
        <v>65</v>
      </c>
    </row>
    <row r="1309" spans="1:23" ht="11.25" customHeight="1" x14ac:dyDescent="0.25">
      <c r="A1309" s="3" t="s">
        <v>28</v>
      </c>
      <c r="B1309" s="3" t="s">
        <v>22</v>
      </c>
      <c r="C1309" s="3" t="s">
        <v>23</v>
      </c>
      <c r="D1309" s="3" t="s">
        <v>24</v>
      </c>
      <c r="E1309" s="3" t="s">
        <v>24</v>
      </c>
      <c r="F1309" s="3" t="s">
        <v>25</v>
      </c>
      <c r="G1309" s="3" t="s">
        <v>25</v>
      </c>
      <c r="H1309" s="3" t="s">
        <v>25</v>
      </c>
      <c r="I1309" s="6">
        <v>44501</v>
      </c>
      <c r="J1309" s="4">
        <v>0</v>
      </c>
      <c r="K1309" s="4">
        <v>0</v>
      </c>
      <c r="L1309" s="4">
        <v>763.39599999999996</v>
      </c>
      <c r="M1309" s="4">
        <v>763.39599999999996</v>
      </c>
      <c r="N1309" s="4">
        <v>763.39599999999996</v>
      </c>
      <c r="O1309" s="4">
        <v>763.39599999999996</v>
      </c>
      <c r="P1309" s="4">
        <v>4602</v>
      </c>
      <c r="Q1309" s="3" t="s">
        <v>26</v>
      </c>
      <c r="R1309" s="3">
        <v>0</v>
      </c>
      <c r="S1309" s="3" t="s">
        <v>415</v>
      </c>
      <c r="T1309" s="3" t="s">
        <v>696</v>
      </c>
      <c r="U1309" s="3">
        <v>0</v>
      </c>
      <c r="V1309" s="3">
        <v>48</v>
      </c>
      <c r="W1309" s="3">
        <v>65</v>
      </c>
    </row>
    <row r="1310" spans="1:23" ht="11.25" customHeight="1" x14ac:dyDescent="0.25">
      <c r="A1310" s="3" t="s">
        <v>28</v>
      </c>
      <c r="B1310" s="3" t="s">
        <v>22</v>
      </c>
      <c r="C1310" s="3" t="s">
        <v>23</v>
      </c>
      <c r="D1310" s="3" t="s">
        <v>24</v>
      </c>
      <c r="E1310" s="3" t="s">
        <v>24</v>
      </c>
      <c r="F1310" s="3" t="s">
        <v>25</v>
      </c>
      <c r="G1310" s="3" t="s">
        <v>25</v>
      </c>
      <c r="H1310" s="3" t="s">
        <v>25</v>
      </c>
      <c r="I1310" s="6">
        <v>44501</v>
      </c>
      <c r="J1310" s="4">
        <v>0</v>
      </c>
      <c r="K1310" s="4">
        <v>0</v>
      </c>
      <c r="L1310" s="4">
        <v>-2.137</v>
      </c>
      <c r="M1310" s="4">
        <v>-2.137</v>
      </c>
      <c r="N1310" s="4">
        <v>-2.137</v>
      </c>
      <c r="O1310" s="4">
        <v>-2.137</v>
      </c>
      <c r="P1310" s="4">
        <v>0</v>
      </c>
      <c r="Q1310" s="3" t="s">
        <v>26</v>
      </c>
      <c r="R1310" s="3">
        <v>0</v>
      </c>
      <c r="S1310" s="3" t="s">
        <v>415</v>
      </c>
      <c r="T1310" s="3" t="s">
        <v>696</v>
      </c>
      <c r="U1310" s="3">
        <v>0</v>
      </c>
      <c r="V1310" s="3">
        <v>48</v>
      </c>
      <c r="W1310" s="3">
        <v>65</v>
      </c>
    </row>
    <row r="1311" spans="1:23" ht="11.25" customHeight="1" x14ac:dyDescent="0.25">
      <c r="A1311" s="3" t="s">
        <v>21</v>
      </c>
      <c r="B1311" s="3" t="s">
        <v>22</v>
      </c>
      <c r="C1311" s="3" t="s">
        <v>23</v>
      </c>
      <c r="D1311" s="3" t="s">
        <v>24</v>
      </c>
      <c r="E1311" s="3" t="s">
        <v>24</v>
      </c>
      <c r="F1311" s="3" t="s">
        <v>25</v>
      </c>
      <c r="G1311" s="3" t="s">
        <v>25</v>
      </c>
      <c r="H1311" s="3" t="s">
        <v>25</v>
      </c>
      <c r="I1311" s="6">
        <v>44531</v>
      </c>
      <c r="J1311" s="4">
        <v>0</v>
      </c>
      <c r="K1311" s="4">
        <v>0</v>
      </c>
      <c r="L1311" s="4">
        <v>84990.285000000003</v>
      </c>
      <c r="M1311" s="4">
        <v>84990.285000000003</v>
      </c>
      <c r="N1311" s="4">
        <v>84990.285000000003</v>
      </c>
      <c r="O1311" s="4">
        <v>84990.285000000003</v>
      </c>
      <c r="P1311" s="4">
        <v>510702</v>
      </c>
      <c r="Q1311" s="3" t="s">
        <v>26</v>
      </c>
      <c r="R1311" s="3">
        <v>0</v>
      </c>
      <c r="S1311" s="3" t="s">
        <v>416</v>
      </c>
      <c r="T1311" s="3" t="s">
        <v>697</v>
      </c>
      <c r="U1311" s="3">
        <v>0</v>
      </c>
      <c r="V1311" s="3">
        <v>48</v>
      </c>
      <c r="W1311" s="3">
        <v>65</v>
      </c>
    </row>
    <row r="1312" spans="1:23" ht="11.25" customHeight="1" x14ac:dyDescent="0.25">
      <c r="A1312" s="3" t="s">
        <v>27</v>
      </c>
      <c r="B1312" s="3" t="s">
        <v>22</v>
      </c>
      <c r="C1312" s="3" t="s">
        <v>23</v>
      </c>
      <c r="D1312" s="3" t="s">
        <v>24</v>
      </c>
      <c r="E1312" s="3" t="s">
        <v>24</v>
      </c>
      <c r="F1312" s="3" t="s">
        <v>25</v>
      </c>
      <c r="G1312" s="3" t="s">
        <v>25</v>
      </c>
      <c r="H1312" s="3" t="s">
        <v>25</v>
      </c>
      <c r="I1312" s="6">
        <v>44531</v>
      </c>
      <c r="J1312" s="4">
        <v>0</v>
      </c>
      <c r="K1312" s="4">
        <v>0</v>
      </c>
      <c r="L1312" s="4">
        <v>-6370.0129999999999</v>
      </c>
      <c r="M1312" s="4">
        <v>-6370.0129999999999</v>
      </c>
      <c r="N1312" s="4">
        <v>-6370.0129999999999</v>
      </c>
      <c r="O1312" s="4">
        <v>-6370.0129999999999</v>
      </c>
      <c r="P1312" s="4">
        <v>-2618</v>
      </c>
      <c r="Q1312" s="3" t="s">
        <v>26</v>
      </c>
      <c r="R1312" s="3">
        <v>0</v>
      </c>
      <c r="S1312" s="3" t="s">
        <v>416</v>
      </c>
      <c r="T1312" s="3" t="s">
        <v>697</v>
      </c>
      <c r="U1312" s="3">
        <v>0</v>
      </c>
      <c r="V1312" s="3">
        <v>48</v>
      </c>
      <c r="W1312" s="3">
        <v>65</v>
      </c>
    </row>
    <row r="1313" spans="1:23" ht="11.25" customHeight="1" x14ac:dyDescent="0.25">
      <c r="A1313" s="3" t="s">
        <v>28</v>
      </c>
      <c r="B1313" s="3" t="s">
        <v>22</v>
      </c>
      <c r="C1313" s="3" t="s">
        <v>23</v>
      </c>
      <c r="D1313" s="3" t="s">
        <v>24</v>
      </c>
      <c r="E1313" s="3" t="s">
        <v>24</v>
      </c>
      <c r="F1313" s="3" t="s">
        <v>25</v>
      </c>
      <c r="G1313" s="3" t="s">
        <v>25</v>
      </c>
      <c r="H1313" s="3" t="s">
        <v>25</v>
      </c>
      <c r="I1313" s="6">
        <v>44531</v>
      </c>
      <c r="J1313" s="4">
        <v>0</v>
      </c>
      <c r="K1313" s="4">
        <v>0</v>
      </c>
      <c r="L1313" s="4">
        <v>910.65499999999997</v>
      </c>
      <c r="M1313" s="4">
        <v>910.65499999999997</v>
      </c>
      <c r="N1313" s="4">
        <v>910.65499999999997</v>
      </c>
      <c r="O1313" s="4">
        <v>910.65499999999997</v>
      </c>
      <c r="P1313" s="4">
        <v>4900</v>
      </c>
      <c r="Q1313" s="3" t="s">
        <v>26</v>
      </c>
      <c r="R1313" s="3">
        <v>0</v>
      </c>
      <c r="S1313" s="3" t="s">
        <v>416</v>
      </c>
      <c r="T1313" s="3" t="s">
        <v>697</v>
      </c>
      <c r="U1313" s="3">
        <v>0</v>
      </c>
      <c r="V1313" s="3">
        <v>48</v>
      </c>
      <c r="W1313" s="3">
        <v>65</v>
      </c>
    </row>
    <row r="1314" spans="1:23" ht="11.25" customHeight="1" x14ac:dyDescent="0.25">
      <c r="A1314" s="3" t="s">
        <v>28</v>
      </c>
      <c r="B1314" s="3" t="s">
        <v>22</v>
      </c>
      <c r="C1314" s="3" t="s">
        <v>23</v>
      </c>
      <c r="D1314" s="3" t="s">
        <v>24</v>
      </c>
      <c r="E1314" s="3" t="s">
        <v>24</v>
      </c>
      <c r="F1314" s="3" t="s">
        <v>25</v>
      </c>
      <c r="G1314" s="3" t="s">
        <v>25</v>
      </c>
      <c r="H1314" s="3" t="s">
        <v>25</v>
      </c>
      <c r="I1314" s="6">
        <v>44531</v>
      </c>
      <c r="J1314" s="4">
        <v>0</v>
      </c>
      <c r="K1314" s="4">
        <v>0</v>
      </c>
      <c r="L1314" s="4">
        <v>-0.92400000000000004</v>
      </c>
      <c r="M1314" s="4">
        <v>-0.92400000000000004</v>
      </c>
      <c r="N1314" s="4">
        <v>-0.92400000000000004</v>
      </c>
      <c r="O1314" s="4">
        <v>-0.92400000000000004</v>
      </c>
      <c r="P1314" s="4">
        <v>0</v>
      </c>
      <c r="Q1314" s="3" t="s">
        <v>26</v>
      </c>
      <c r="R1314" s="3">
        <v>0</v>
      </c>
      <c r="S1314" s="3" t="s">
        <v>416</v>
      </c>
      <c r="T1314" s="3" t="s">
        <v>697</v>
      </c>
      <c r="U1314" s="3">
        <v>0</v>
      </c>
      <c r="V1314" s="3">
        <v>48</v>
      </c>
      <c r="W1314" s="3">
        <v>65</v>
      </c>
    </row>
    <row r="1315" spans="1:23" ht="11.25" customHeight="1" x14ac:dyDescent="0.25">
      <c r="A1315" s="3" t="s">
        <v>21</v>
      </c>
      <c r="B1315" s="3" t="s">
        <v>22</v>
      </c>
      <c r="C1315" s="3" t="s">
        <v>23</v>
      </c>
      <c r="D1315" s="3" t="s">
        <v>24</v>
      </c>
      <c r="E1315" s="3" t="s">
        <v>24</v>
      </c>
      <c r="F1315" s="3" t="s">
        <v>25</v>
      </c>
      <c r="G1315" s="3" t="s">
        <v>25</v>
      </c>
      <c r="H1315" s="3" t="s">
        <v>25</v>
      </c>
      <c r="I1315" s="6">
        <v>44562</v>
      </c>
      <c r="J1315" s="4">
        <v>0</v>
      </c>
      <c r="K1315" s="4">
        <v>0</v>
      </c>
      <c r="L1315" s="4">
        <v>77405.504000000001</v>
      </c>
      <c r="M1315" s="4">
        <v>77405.504000000001</v>
      </c>
      <c r="N1315" s="4">
        <v>77405.504000000001</v>
      </c>
      <c r="O1315" s="4">
        <v>77405.504000000001</v>
      </c>
      <c r="P1315" s="4">
        <v>506602</v>
      </c>
      <c r="Q1315" s="3" t="s">
        <v>26</v>
      </c>
      <c r="R1315" s="3">
        <v>0</v>
      </c>
      <c r="S1315" s="3" t="s">
        <v>417</v>
      </c>
      <c r="T1315" s="3" t="s">
        <v>698</v>
      </c>
      <c r="U1315" s="3">
        <v>0</v>
      </c>
      <c r="V1315" s="3">
        <v>48</v>
      </c>
      <c r="W1315" s="3">
        <v>65</v>
      </c>
    </row>
    <row r="1316" spans="1:23" ht="11.25" customHeight="1" x14ac:dyDescent="0.25">
      <c r="A1316" s="3" t="s">
        <v>27</v>
      </c>
      <c r="B1316" s="3" t="s">
        <v>22</v>
      </c>
      <c r="C1316" s="3" t="s">
        <v>23</v>
      </c>
      <c r="D1316" s="3" t="s">
        <v>24</v>
      </c>
      <c r="E1316" s="3" t="s">
        <v>24</v>
      </c>
      <c r="F1316" s="3" t="s">
        <v>25</v>
      </c>
      <c r="G1316" s="3" t="s">
        <v>25</v>
      </c>
      <c r="H1316" s="3" t="s">
        <v>25</v>
      </c>
      <c r="I1316" s="6">
        <v>44562</v>
      </c>
      <c r="J1316" s="4">
        <v>0</v>
      </c>
      <c r="K1316" s="4">
        <v>0</v>
      </c>
      <c r="L1316" s="4">
        <v>-138.76300000000001</v>
      </c>
      <c r="M1316" s="4">
        <v>-138.76300000000001</v>
      </c>
      <c r="N1316" s="4">
        <v>-138.76300000000001</v>
      </c>
      <c r="O1316" s="4">
        <v>-138.76300000000001</v>
      </c>
      <c r="P1316" s="4">
        <v>-36</v>
      </c>
      <c r="Q1316" s="3" t="s">
        <v>26</v>
      </c>
      <c r="R1316" s="3">
        <v>0</v>
      </c>
      <c r="S1316" s="3" t="s">
        <v>417</v>
      </c>
      <c r="T1316" s="3" t="s">
        <v>698</v>
      </c>
      <c r="U1316" s="3">
        <v>0</v>
      </c>
      <c r="V1316" s="3">
        <v>48</v>
      </c>
      <c r="W1316" s="3">
        <v>65</v>
      </c>
    </row>
    <row r="1317" spans="1:23" ht="11.25" customHeight="1" x14ac:dyDescent="0.25">
      <c r="A1317" s="3" t="s">
        <v>28</v>
      </c>
      <c r="B1317" s="3" t="s">
        <v>22</v>
      </c>
      <c r="C1317" s="3" t="s">
        <v>23</v>
      </c>
      <c r="D1317" s="3" t="s">
        <v>24</v>
      </c>
      <c r="E1317" s="3" t="s">
        <v>24</v>
      </c>
      <c r="F1317" s="3" t="s">
        <v>25</v>
      </c>
      <c r="G1317" s="3" t="s">
        <v>25</v>
      </c>
      <c r="H1317" s="3" t="s">
        <v>25</v>
      </c>
      <c r="I1317" s="6">
        <v>44562</v>
      </c>
      <c r="J1317" s="4">
        <v>0</v>
      </c>
      <c r="K1317" s="4">
        <v>0</v>
      </c>
      <c r="L1317" s="4">
        <v>1001.061</v>
      </c>
      <c r="M1317" s="4">
        <v>1001.061</v>
      </c>
      <c r="N1317" s="4">
        <v>1001.061</v>
      </c>
      <c r="O1317" s="4">
        <v>1001.061</v>
      </c>
      <c r="P1317" s="4">
        <v>5168</v>
      </c>
      <c r="Q1317" s="3" t="s">
        <v>26</v>
      </c>
      <c r="R1317" s="3">
        <v>0</v>
      </c>
      <c r="S1317" s="3" t="s">
        <v>417</v>
      </c>
      <c r="T1317" s="3" t="s">
        <v>698</v>
      </c>
      <c r="U1317" s="3">
        <v>0</v>
      </c>
      <c r="V1317" s="3">
        <v>48</v>
      </c>
      <c r="W1317" s="3">
        <v>65</v>
      </c>
    </row>
    <row r="1318" spans="1:23" ht="11.25" customHeight="1" x14ac:dyDescent="0.25">
      <c r="A1318" s="3" t="s">
        <v>28</v>
      </c>
      <c r="B1318" s="3" t="s">
        <v>22</v>
      </c>
      <c r="C1318" s="3" t="s">
        <v>23</v>
      </c>
      <c r="D1318" s="3" t="s">
        <v>24</v>
      </c>
      <c r="E1318" s="3" t="s">
        <v>24</v>
      </c>
      <c r="F1318" s="3" t="s">
        <v>25</v>
      </c>
      <c r="G1318" s="3" t="s">
        <v>25</v>
      </c>
      <c r="H1318" s="3" t="s">
        <v>25</v>
      </c>
      <c r="I1318" s="6">
        <v>44562</v>
      </c>
      <c r="J1318" s="4">
        <v>0</v>
      </c>
      <c r="K1318" s="4">
        <v>0</v>
      </c>
      <c r="L1318" s="4">
        <v>-2.3050000000000002</v>
      </c>
      <c r="M1318" s="4">
        <v>-2.3050000000000002</v>
      </c>
      <c r="N1318" s="4">
        <v>-2.3050000000000002</v>
      </c>
      <c r="O1318" s="4">
        <v>-2.3050000000000002</v>
      </c>
      <c r="P1318" s="4">
        <v>0</v>
      </c>
      <c r="Q1318" s="3" t="s">
        <v>26</v>
      </c>
      <c r="R1318" s="3">
        <v>0</v>
      </c>
      <c r="S1318" s="3" t="s">
        <v>417</v>
      </c>
      <c r="T1318" s="3" t="s">
        <v>698</v>
      </c>
      <c r="U1318" s="3">
        <v>0</v>
      </c>
      <c r="V1318" s="3">
        <v>48</v>
      </c>
      <c r="W1318" s="3">
        <v>65</v>
      </c>
    </row>
    <row r="1319" spans="1:23" ht="11.25" customHeight="1" x14ac:dyDescent="0.25">
      <c r="A1319" s="3" t="s">
        <v>21</v>
      </c>
      <c r="B1319" s="3" t="s">
        <v>22</v>
      </c>
      <c r="C1319" s="3" t="s">
        <v>23</v>
      </c>
      <c r="D1319" s="3" t="s">
        <v>24</v>
      </c>
      <c r="E1319" s="3" t="s">
        <v>24</v>
      </c>
      <c r="F1319" s="3" t="s">
        <v>25</v>
      </c>
      <c r="G1319" s="3" t="s">
        <v>25</v>
      </c>
      <c r="H1319" s="3" t="s">
        <v>25</v>
      </c>
      <c r="I1319" s="6">
        <v>44593</v>
      </c>
      <c r="J1319" s="4">
        <v>0</v>
      </c>
      <c r="K1319" s="4">
        <v>0</v>
      </c>
      <c r="L1319" s="4">
        <v>78459.588000000003</v>
      </c>
      <c r="M1319" s="4">
        <v>78459.588000000003</v>
      </c>
      <c r="N1319" s="4">
        <v>78459.588000000003</v>
      </c>
      <c r="O1319" s="4">
        <v>78459.588000000003</v>
      </c>
      <c r="P1319" s="4">
        <v>500160</v>
      </c>
      <c r="Q1319" s="3" t="s">
        <v>26</v>
      </c>
      <c r="R1319" s="3">
        <v>0</v>
      </c>
      <c r="S1319" s="3" t="s">
        <v>418</v>
      </c>
      <c r="T1319" s="3" t="s">
        <v>699</v>
      </c>
      <c r="U1319" s="3">
        <v>0</v>
      </c>
      <c r="V1319" s="3">
        <v>48</v>
      </c>
      <c r="W1319" s="3">
        <v>65</v>
      </c>
    </row>
    <row r="1320" spans="1:23" ht="11.25" customHeight="1" x14ac:dyDescent="0.25">
      <c r="A1320" s="3" t="s">
        <v>27</v>
      </c>
      <c r="B1320" s="3" t="s">
        <v>22</v>
      </c>
      <c r="C1320" s="3" t="s">
        <v>23</v>
      </c>
      <c r="D1320" s="3" t="s">
        <v>24</v>
      </c>
      <c r="E1320" s="3" t="s">
        <v>24</v>
      </c>
      <c r="F1320" s="3" t="s">
        <v>25</v>
      </c>
      <c r="G1320" s="3" t="s">
        <v>25</v>
      </c>
      <c r="H1320" s="3" t="s">
        <v>25</v>
      </c>
      <c r="I1320" s="6">
        <v>44593</v>
      </c>
      <c r="J1320" s="4">
        <v>0</v>
      </c>
      <c r="K1320" s="4">
        <v>0</v>
      </c>
      <c r="L1320" s="4">
        <v>-211.90600000000001</v>
      </c>
      <c r="M1320" s="4">
        <v>-211.90600000000001</v>
      </c>
      <c r="N1320" s="4">
        <v>-211.90600000000001</v>
      </c>
      <c r="O1320" s="4">
        <v>-211.90600000000001</v>
      </c>
      <c r="P1320" s="4">
        <v>-104</v>
      </c>
      <c r="Q1320" s="3" t="s">
        <v>26</v>
      </c>
      <c r="R1320" s="3">
        <v>0</v>
      </c>
      <c r="S1320" s="3" t="s">
        <v>418</v>
      </c>
      <c r="T1320" s="3" t="s">
        <v>699</v>
      </c>
      <c r="U1320" s="3">
        <v>0</v>
      </c>
      <c r="V1320" s="3">
        <v>48</v>
      </c>
      <c r="W1320" s="3">
        <v>65</v>
      </c>
    </row>
    <row r="1321" spans="1:23" ht="11.25" customHeight="1" x14ac:dyDescent="0.25">
      <c r="A1321" s="3" t="s">
        <v>28</v>
      </c>
      <c r="B1321" s="3" t="s">
        <v>22</v>
      </c>
      <c r="C1321" s="3" t="s">
        <v>23</v>
      </c>
      <c r="D1321" s="3" t="s">
        <v>24</v>
      </c>
      <c r="E1321" s="3" t="s">
        <v>24</v>
      </c>
      <c r="F1321" s="3" t="s">
        <v>25</v>
      </c>
      <c r="G1321" s="3" t="s">
        <v>25</v>
      </c>
      <c r="H1321" s="3" t="s">
        <v>25</v>
      </c>
      <c r="I1321" s="6">
        <v>44593</v>
      </c>
      <c r="J1321" s="4">
        <v>0</v>
      </c>
      <c r="K1321" s="4">
        <v>0</v>
      </c>
      <c r="L1321" s="4">
        <v>1004.958</v>
      </c>
      <c r="M1321" s="4">
        <v>1004.958</v>
      </c>
      <c r="N1321" s="4">
        <v>1004.958</v>
      </c>
      <c r="O1321" s="4">
        <v>1004.958</v>
      </c>
      <c r="P1321" s="4">
        <v>5365</v>
      </c>
      <c r="Q1321" s="3" t="s">
        <v>26</v>
      </c>
      <c r="R1321" s="3">
        <v>0</v>
      </c>
      <c r="S1321" s="3" t="s">
        <v>418</v>
      </c>
      <c r="T1321" s="3" t="s">
        <v>699</v>
      </c>
      <c r="U1321" s="3">
        <v>0</v>
      </c>
      <c r="V1321" s="3">
        <v>48</v>
      </c>
      <c r="W1321" s="3">
        <v>65</v>
      </c>
    </row>
    <row r="1322" spans="1:23" ht="11.25" customHeight="1" x14ac:dyDescent="0.25">
      <c r="A1322" s="3" t="s">
        <v>28</v>
      </c>
      <c r="B1322" s="3" t="s">
        <v>22</v>
      </c>
      <c r="C1322" s="3" t="s">
        <v>23</v>
      </c>
      <c r="D1322" s="3" t="s">
        <v>24</v>
      </c>
      <c r="E1322" s="3" t="s">
        <v>24</v>
      </c>
      <c r="F1322" s="3" t="s">
        <v>25</v>
      </c>
      <c r="G1322" s="3" t="s">
        <v>25</v>
      </c>
      <c r="H1322" s="3" t="s">
        <v>25</v>
      </c>
      <c r="I1322" s="6">
        <v>44593</v>
      </c>
      <c r="J1322" s="4">
        <v>0</v>
      </c>
      <c r="K1322" s="4">
        <v>0</v>
      </c>
      <c r="L1322" s="4">
        <v>-10.169</v>
      </c>
      <c r="M1322" s="4">
        <v>-10.169</v>
      </c>
      <c r="N1322" s="4">
        <v>-10.169</v>
      </c>
      <c r="O1322" s="4">
        <v>-10.169</v>
      </c>
      <c r="P1322" s="4">
        <v>0</v>
      </c>
      <c r="Q1322" s="3" t="s">
        <v>26</v>
      </c>
      <c r="R1322" s="3">
        <v>0</v>
      </c>
      <c r="S1322" s="3" t="s">
        <v>418</v>
      </c>
      <c r="T1322" s="3" t="s">
        <v>699</v>
      </c>
      <c r="U1322" s="3">
        <v>0</v>
      </c>
      <c r="V1322" s="3">
        <v>48</v>
      </c>
      <c r="W1322" s="3">
        <v>65</v>
      </c>
    </row>
    <row r="1323" spans="1:23" ht="11.25" customHeight="1" x14ac:dyDescent="0.25">
      <c r="A1323" s="3" t="s">
        <v>56</v>
      </c>
      <c r="B1323" s="3" t="s">
        <v>22</v>
      </c>
      <c r="C1323" s="3" t="s">
        <v>23</v>
      </c>
      <c r="D1323" s="3" t="s">
        <v>24</v>
      </c>
      <c r="E1323" s="3" t="s">
        <v>24</v>
      </c>
      <c r="F1323" s="3" t="s">
        <v>25</v>
      </c>
      <c r="G1323" s="3" t="s">
        <v>25</v>
      </c>
      <c r="H1323" s="3" t="s">
        <v>25</v>
      </c>
      <c r="I1323" s="6">
        <v>44621</v>
      </c>
      <c r="J1323" s="4">
        <v>0</v>
      </c>
      <c r="K1323" s="4">
        <v>0</v>
      </c>
      <c r="L1323" s="4">
        <v>78459.588000000003</v>
      </c>
      <c r="M1323" s="4">
        <v>78459.588000000003</v>
      </c>
      <c r="N1323" s="4">
        <v>78459.588000000003</v>
      </c>
      <c r="O1323" s="4">
        <v>78459.588000000003</v>
      </c>
      <c r="P1323" s="4">
        <v>500160</v>
      </c>
      <c r="Q1323" s="3" t="s">
        <v>26</v>
      </c>
      <c r="R1323" s="3">
        <v>0</v>
      </c>
      <c r="S1323" s="3" t="s">
        <v>419</v>
      </c>
      <c r="T1323" s="3" t="s">
        <v>700</v>
      </c>
      <c r="U1323" s="3">
        <v>0</v>
      </c>
      <c r="V1323" s="3">
        <v>48</v>
      </c>
      <c r="W1323" s="3">
        <v>65</v>
      </c>
    </row>
    <row r="1324" spans="1:23" ht="11.25" customHeight="1" x14ac:dyDescent="0.25">
      <c r="A1324" s="3" t="s">
        <v>56</v>
      </c>
      <c r="B1324" s="3" t="s">
        <v>22</v>
      </c>
      <c r="C1324" s="3" t="s">
        <v>23</v>
      </c>
      <c r="D1324" s="3" t="s">
        <v>24</v>
      </c>
      <c r="E1324" s="3" t="s">
        <v>24</v>
      </c>
      <c r="F1324" s="3" t="s">
        <v>25</v>
      </c>
      <c r="G1324" s="3" t="s">
        <v>25</v>
      </c>
      <c r="H1324" s="3" t="s">
        <v>25</v>
      </c>
      <c r="I1324" s="6">
        <v>44621</v>
      </c>
      <c r="J1324" s="4">
        <v>0</v>
      </c>
      <c r="K1324" s="4">
        <v>0</v>
      </c>
      <c r="L1324" s="4">
        <v>-211.90600000000001</v>
      </c>
      <c r="M1324" s="4">
        <v>-211.90600000000001</v>
      </c>
      <c r="N1324" s="4">
        <v>-211.90600000000001</v>
      </c>
      <c r="O1324" s="4">
        <v>-211.90600000000001</v>
      </c>
      <c r="P1324" s="4">
        <v>-104</v>
      </c>
      <c r="Q1324" s="3" t="s">
        <v>26</v>
      </c>
      <c r="R1324" s="3">
        <v>0</v>
      </c>
      <c r="S1324" s="3" t="s">
        <v>419</v>
      </c>
      <c r="T1324" s="3" t="s">
        <v>700</v>
      </c>
      <c r="U1324" s="3">
        <v>0</v>
      </c>
      <c r="V1324" s="3">
        <v>48</v>
      </c>
      <c r="W1324" s="3">
        <v>65</v>
      </c>
    </row>
    <row r="1325" spans="1:23" ht="11.25" customHeight="1" x14ac:dyDescent="0.25">
      <c r="A1325" s="3" t="s">
        <v>56</v>
      </c>
      <c r="B1325" s="3" t="s">
        <v>22</v>
      </c>
      <c r="C1325" s="3" t="s">
        <v>23</v>
      </c>
      <c r="D1325" s="3" t="s">
        <v>24</v>
      </c>
      <c r="E1325" s="3" t="s">
        <v>24</v>
      </c>
      <c r="F1325" s="3" t="s">
        <v>25</v>
      </c>
      <c r="G1325" s="3" t="s">
        <v>25</v>
      </c>
      <c r="H1325" s="3" t="s">
        <v>25</v>
      </c>
      <c r="I1325" s="6">
        <v>44621</v>
      </c>
      <c r="J1325" s="4">
        <v>0</v>
      </c>
      <c r="K1325" s="4">
        <v>0</v>
      </c>
      <c r="L1325" s="4">
        <v>1004.958</v>
      </c>
      <c r="M1325" s="4">
        <v>1004.958</v>
      </c>
      <c r="N1325" s="4">
        <v>1004.958</v>
      </c>
      <c r="O1325" s="4">
        <v>1004.958</v>
      </c>
      <c r="P1325" s="4">
        <v>5365</v>
      </c>
      <c r="Q1325" s="3" t="s">
        <v>26</v>
      </c>
      <c r="R1325" s="3">
        <v>0</v>
      </c>
      <c r="S1325" s="3" t="s">
        <v>419</v>
      </c>
      <c r="T1325" s="3" t="s">
        <v>700</v>
      </c>
      <c r="U1325" s="3">
        <v>0</v>
      </c>
      <c r="V1325" s="3">
        <v>48</v>
      </c>
      <c r="W1325" s="3">
        <v>65</v>
      </c>
    </row>
    <row r="1326" spans="1:23" ht="11.25" customHeight="1" x14ac:dyDescent="0.25">
      <c r="A1326" s="3" t="s">
        <v>56</v>
      </c>
      <c r="B1326" s="3" t="s">
        <v>22</v>
      </c>
      <c r="C1326" s="3" t="s">
        <v>23</v>
      </c>
      <c r="D1326" s="3" t="s">
        <v>24</v>
      </c>
      <c r="E1326" s="3" t="s">
        <v>24</v>
      </c>
      <c r="F1326" s="3" t="s">
        <v>25</v>
      </c>
      <c r="G1326" s="3" t="s">
        <v>25</v>
      </c>
      <c r="H1326" s="3" t="s">
        <v>25</v>
      </c>
      <c r="I1326" s="6">
        <v>44621</v>
      </c>
      <c r="J1326" s="4">
        <v>0</v>
      </c>
      <c r="K1326" s="4">
        <v>0</v>
      </c>
      <c r="L1326" s="4">
        <v>-10.169</v>
      </c>
      <c r="M1326" s="4">
        <v>-10.169</v>
      </c>
      <c r="N1326" s="4">
        <v>-10.169</v>
      </c>
      <c r="O1326" s="4">
        <v>-10.169</v>
      </c>
      <c r="P1326" s="4">
        <v>0</v>
      </c>
      <c r="Q1326" s="3" t="s">
        <v>26</v>
      </c>
      <c r="R1326" s="3">
        <v>0</v>
      </c>
      <c r="S1326" s="3" t="s">
        <v>419</v>
      </c>
      <c r="T1326" s="3" t="s">
        <v>700</v>
      </c>
      <c r="U1326" s="3">
        <v>0</v>
      </c>
      <c r="V1326" s="3">
        <v>48</v>
      </c>
      <c r="W1326" s="3">
        <v>65</v>
      </c>
    </row>
    <row r="1327" spans="1:23" ht="11.25" customHeight="1" x14ac:dyDescent="0.25">
      <c r="A1327" s="3" t="s">
        <v>21</v>
      </c>
      <c r="B1327" s="3" t="s">
        <v>22</v>
      </c>
      <c r="C1327" s="3" t="s">
        <v>23</v>
      </c>
      <c r="D1327" s="3" t="s">
        <v>24</v>
      </c>
      <c r="E1327" s="3" t="s">
        <v>29</v>
      </c>
      <c r="F1327" s="3" t="s">
        <v>25</v>
      </c>
      <c r="G1327" s="3" t="s">
        <v>25</v>
      </c>
      <c r="H1327" s="3" t="s">
        <v>25</v>
      </c>
      <c r="I1327" s="6">
        <v>44287</v>
      </c>
      <c r="J1327" s="4">
        <v>0</v>
      </c>
      <c r="K1327" s="4">
        <v>0</v>
      </c>
      <c r="L1327" s="4">
        <v>6850.3620000000001</v>
      </c>
      <c r="M1327" s="4">
        <v>6850.3620000000001</v>
      </c>
      <c r="N1327" s="4">
        <v>6850.3620000000001</v>
      </c>
      <c r="O1327" s="4">
        <v>6850.3620000000001</v>
      </c>
      <c r="P1327" s="4">
        <v>20281</v>
      </c>
      <c r="Q1327" s="3" t="s">
        <v>26</v>
      </c>
      <c r="R1327" s="3">
        <v>0</v>
      </c>
      <c r="S1327" s="3" t="s">
        <v>420</v>
      </c>
      <c r="T1327" s="3" t="s">
        <v>701</v>
      </c>
      <c r="U1327" s="3">
        <v>0</v>
      </c>
      <c r="V1327" s="3">
        <v>26</v>
      </c>
      <c r="W1327" s="3">
        <v>99</v>
      </c>
    </row>
    <row r="1328" spans="1:23" ht="11.25" customHeight="1" x14ac:dyDescent="0.25">
      <c r="A1328" s="3" t="s">
        <v>27</v>
      </c>
      <c r="B1328" s="3" t="s">
        <v>22</v>
      </c>
      <c r="C1328" s="3" t="s">
        <v>23</v>
      </c>
      <c r="D1328" s="3" t="s">
        <v>24</v>
      </c>
      <c r="E1328" s="3" t="s">
        <v>29</v>
      </c>
      <c r="F1328" s="3" t="s">
        <v>25</v>
      </c>
      <c r="G1328" s="3" t="s">
        <v>25</v>
      </c>
      <c r="H1328" s="3" t="s">
        <v>25</v>
      </c>
      <c r="I1328" s="6">
        <v>44287</v>
      </c>
      <c r="J1328" s="4">
        <v>0</v>
      </c>
      <c r="K1328" s="4">
        <v>0</v>
      </c>
      <c r="L1328" s="4">
        <v>-1.675</v>
      </c>
      <c r="M1328" s="4">
        <v>-1.675</v>
      </c>
      <c r="N1328" s="4">
        <v>-1.675</v>
      </c>
      <c r="O1328" s="4">
        <v>-1.675</v>
      </c>
      <c r="P1328" s="4">
        <v>-38</v>
      </c>
      <c r="Q1328" s="3" t="s">
        <v>26</v>
      </c>
      <c r="R1328" s="3">
        <v>0</v>
      </c>
      <c r="S1328" s="3" t="s">
        <v>420</v>
      </c>
      <c r="T1328" s="3" t="s">
        <v>701</v>
      </c>
      <c r="U1328" s="3">
        <v>0</v>
      </c>
      <c r="V1328" s="3">
        <v>26</v>
      </c>
      <c r="W1328" s="3">
        <v>99</v>
      </c>
    </row>
    <row r="1329" spans="1:23" ht="11.25" customHeight="1" x14ac:dyDescent="0.25">
      <c r="A1329" s="3" t="s">
        <v>28</v>
      </c>
      <c r="B1329" s="3" t="s">
        <v>22</v>
      </c>
      <c r="C1329" s="3" t="s">
        <v>23</v>
      </c>
      <c r="D1329" s="3" t="s">
        <v>24</v>
      </c>
      <c r="E1329" s="3" t="s">
        <v>29</v>
      </c>
      <c r="F1329" s="3" t="s">
        <v>25</v>
      </c>
      <c r="G1329" s="3" t="s">
        <v>25</v>
      </c>
      <c r="H1329" s="3" t="s">
        <v>25</v>
      </c>
      <c r="I1329" s="6">
        <v>44287</v>
      </c>
      <c r="J1329" s="4">
        <v>0</v>
      </c>
      <c r="K1329" s="4">
        <v>0</v>
      </c>
      <c r="L1329" s="4">
        <v>1.32</v>
      </c>
      <c r="M1329" s="4">
        <v>1.32</v>
      </c>
      <c r="N1329" s="4">
        <v>1.32</v>
      </c>
      <c r="O1329" s="4">
        <v>1.32</v>
      </c>
      <c r="P1329" s="4">
        <v>7</v>
      </c>
      <c r="Q1329" s="3" t="s">
        <v>26</v>
      </c>
      <c r="R1329" s="3">
        <v>0</v>
      </c>
      <c r="S1329" s="3" t="s">
        <v>420</v>
      </c>
      <c r="T1329" s="3" t="s">
        <v>701</v>
      </c>
      <c r="U1329" s="3">
        <v>0</v>
      </c>
      <c r="V1329" s="3">
        <v>26</v>
      </c>
      <c r="W1329" s="3">
        <v>99</v>
      </c>
    </row>
    <row r="1330" spans="1:23" ht="11.25" customHeight="1" x14ac:dyDescent="0.25">
      <c r="A1330" s="3" t="s">
        <v>21</v>
      </c>
      <c r="B1330" s="3" t="s">
        <v>22</v>
      </c>
      <c r="C1330" s="3" t="s">
        <v>23</v>
      </c>
      <c r="D1330" s="3" t="s">
        <v>24</v>
      </c>
      <c r="E1330" s="3" t="s">
        <v>29</v>
      </c>
      <c r="F1330" s="3" t="s">
        <v>25</v>
      </c>
      <c r="G1330" s="3" t="s">
        <v>25</v>
      </c>
      <c r="H1330" s="3" t="s">
        <v>25</v>
      </c>
      <c r="I1330" s="6">
        <v>44317</v>
      </c>
      <c r="J1330" s="4">
        <v>0</v>
      </c>
      <c r="K1330" s="4">
        <v>0</v>
      </c>
      <c r="L1330" s="4">
        <v>6865.0609999999997</v>
      </c>
      <c r="M1330" s="4">
        <v>6865.0609999999997</v>
      </c>
      <c r="N1330" s="4">
        <v>6865.0609999999997</v>
      </c>
      <c r="O1330" s="4">
        <v>6865.0609999999997</v>
      </c>
      <c r="P1330" s="4">
        <v>21755</v>
      </c>
      <c r="Q1330" s="3" t="s">
        <v>26</v>
      </c>
      <c r="R1330" s="3">
        <v>0</v>
      </c>
      <c r="S1330" s="3" t="s">
        <v>421</v>
      </c>
      <c r="T1330" s="3" t="s">
        <v>702</v>
      </c>
      <c r="U1330" s="3">
        <v>0</v>
      </c>
      <c r="V1330" s="3">
        <v>26</v>
      </c>
      <c r="W1330" s="3">
        <v>99</v>
      </c>
    </row>
    <row r="1331" spans="1:23" ht="11.25" customHeight="1" x14ac:dyDescent="0.25">
      <c r="A1331" s="3" t="s">
        <v>27</v>
      </c>
      <c r="B1331" s="3" t="s">
        <v>22</v>
      </c>
      <c r="C1331" s="3" t="s">
        <v>23</v>
      </c>
      <c r="D1331" s="3" t="s">
        <v>24</v>
      </c>
      <c r="E1331" s="3" t="s">
        <v>29</v>
      </c>
      <c r="F1331" s="3" t="s">
        <v>25</v>
      </c>
      <c r="G1331" s="3" t="s">
        <v>25</v>
      </c>
      <c r="H1331" s="3" t="s">
        <v>25</v>
      </c>
      <c r="I1331" s="6">
        <v>44317</v>
      </c>
      <c r="J1331" s="4">
        <v>0</v>
      </c>
      <c r="K1331" s="4">
        <v>0</v>
      </c>
      <c r="L1331" s="4">
        <v>-0.16</v>
      </c>
      <c r="M1331" s="4">
        <v>-0.16</v>
      </c>
      <c r="N1331" s="4">
        <v>-0.16</v>
      </c>
      <c r="O1331" s="4">
        <v>-0.16</v>
      </c>
      <c r="P1331" s="4">
        <v>-60</v>
      </c>
      <c r="Q1331" s="3" t="s">
        <v>26</v>
      </c>
      <c r="R1331" s="3">
        <v>0</v>
      </c>
      <c r="S1331" s="3" t="s">
        <v>421</v>
      </c>
      <c r="T1331" s="3" t="s">
        <v>702</v>
      </c>
      <c r="U1331" s="3">
        <v>0</v>
      </c>
      <c r="V1331" s="3">
        <v>26</v>
      </c>
      <c r="W1331" s="3">
        <v>99</v>
      </c>
    </row>
    <row r="1332" spans="1:23" ht="11.25" customHeight="1" x14ac:dyDescent="0.25">
      <c r="A1332" s="3" t="s">
        <v>28</v>
      </c>
      <c r="B1332" s="3" t="s">
        <v>22</v>
      </c>
      <c r="C1332" s="3" t="s">
        <v>23</v>
      </c>
      <c r="D1332" s="3" t="s">
        <v>24</v>
      </c>
      <c r="E1332" s="3" t="s">
        <v>29</v>
      </c>
      <c r="F1332" s="3" t="s">
        <v>25</v>
      </c>
      <c r="G1332" s="3" t="s">
        <v>25</v>
      </c>
      <c r="H1332" s="3" t="s">
        <v>25</v>
      </c>
      <c r="I1332" s="6">
        <v>44317</v>
      </c>
      <c r="J1332" s="4">
        <v>0</v>
      </c>
      <c r="K1332" s="4">
        <v>0</v>
      </c>
      <c r="L1332" s="4">
        <v>1.47</v>
      </c>
      <c r="M1332" s="4">
        <v>1.47</v>
      </c>
      <c r="N1332" s="4">
        <v>1.47</v>
      </c>
      <c r="O1332" s="4">
        <v>1.47</v>
      </c>
      <c r="P1332" s="4">
        <v>6</v>
      </c>
      <c r="Q1332" s="3" t="s">
        <v>26</v>
      </c>
      <c r="R1332" s="3">
        <v>0</v>
      </c>
      <c r="S1332" s="3" t="s">
        <v>421</v>
      </c>
      <c r="T1332" s="3" t="s">
        <v>702</v>
      </c>
      <c r="U1332" s="3">
        <v>0</v>
      </c>
      <c r="V1332" s="3">
        <v>26</v>
      </c>
      <c r="W1332" s="3">
        <v>99</v>
      </c>
    </row>
    <row r="1333" spans="1:23" ht="11.25" customHeight="1" x14ac:dyDescent="0.25">
      <c r="A1333" s="3" t="s">
        <v>21</v>
      </c>
      <c r="B1333" s="3" t="s">
        <v>22</v>
      </c>
      <c r="C1333" s="3" t="s">
        <v>23</v>
      </c>
      <c r="D1333" s="3" t="s">
        <v>24</v>
      </c>
      <c r="E1333" s="3" t="s">
        <v>29</v>
      </c>
      <c r="F1333" s="3" t="s">
        <v>25</v>
      </c>
      <c r="G1333" s="3" t="s">
        <v>25</v>
      </c>
      <c r="H1333" s="3" t="s">
        <v>25</v>
      </c>
      <c r="I1333" s="6">
        <v>44348</v>
      </c>
      <c r="J1333" s="4">
        <v>0</v>
      </c>
      <c r="K1333" s="4">
        <v>0</v>
      </c>
      <c r="L1333" s="4">
        <v>6886.57</v>
      </c>
      <c r="M1333" s="4">
        <v>6886.57</v>
      </c>
      <c r="N1333" s="4">
        <v>6886.57</v>
      </c>
      <c r="O1333" s="4">
        <v>6886.57</v>
      </c>
      <c r="P1333" s="4">
        <v>22419</v>
      </c>
      <c r="Q1333" s="3" t="s">
        <v>26</v>
      </c>
      <c r="R1333" s="3">
        <v>0</v>
      </c>
      <c r="S1333" s="3" t="s">
        <v>422</v>
      </c>
      <c r="T1333" s="3" t="s">
        <v>703</v>
      </c>
      <c r="U1333" s="3">
        <v>0</v>
      </c>
      <c r="V1333" s="3">
        <v>26</v>
      </c>
      <c r="W1333" s="3">
        <v>99</v>
      </c>
    </row>
    <row r="1334" spans="1:23" ht="11.25" customHeight="1" x14ac:dyDescent="0.25">
      <c r="A1334" s="3" t="s">
        <v>27</v>
      </c>
      <c r="B1334" s="3" t="s">
        <v>22</v>
      </c>
      <c r="C1334" s="3" t="s">
        <v>23</v>
      </c>
      <c r="D1334" s="3" t="s">
        <v>24</v>
      </c>
      <c r="E1334" s="3" t="s">
        <v>29</v>
      </c>
      <c r="F1334" s="3" t="s">
        <v>25</v>
      </c>
      <c r="G1334" s="3" t="s">
        <v>25</v>
      </c>
      <c r="H1334" s="3" t="s">
        <v>25</v>
      </c>
      <c r="I1334" s="6">
        <v>44348</v>
      </c>
      <c r="J1334" s="4">
        <v>0</v>
      </c>
      <c r="K1334" s="4">
        <v>0</v>
      </c>
      <c r="L1334" s="4">
        <v>-0.126</v>
      </c>
      <c r="M1334" s="4">
        <v>-0.126</v>
      </c>
      <c r="N1334" s="4">
        <v>-0.126</v>
      </c>
      <c r="O1334" s="4">
        <v>-0.126</v>
      </c>
      <c r="P1334" s="4">
        <v>-6</v>
      </c>
      <c r="Q1334" s="3" t="s">
        <v>26</v>
      </c>
      <c r="R1334" s="3">
        <v>0</v>
      </c>
      <c r="S1334" s="3" t="s">
        <v>422</v>
      </c>
      <c r="T1334" s="3" t="s">
        <v>703</v>
      </c>
      <c r="U1334" s="3">
        <v>0</v>
      </c>
      <c r="V1334" s="3">
        <v>26</v>
      </c>
      <c r="W1334" s="3">
        <v>99</v>
      </c>
    </row>
    <row r="1335" spans="1:23" ht="11.25" customHeight="1" x14ac:dyDescent="0.25">
      <c r="A1335" s="3" t="s">
        <v>28</v>
      </c>
      <c r="B1335" s="3" t="s">
        <v>22</v>
      </c>
      <c r="C1335" s="3" t="s">
        <v>23</v>
      </c>
      <c r="D1335" s="3" t="s">
        <v>24</v>
      </c>
      <c r="E1335" s="3" t="s">
        <v>29</v>
      </c>
      <c r="F1335" s="3" t="s">
        <v>25</v>
      </c>
      <c r="G1335" s="3" t="s">
        <v>25</v>
      </c>
      <c r="H1335" s="3" t="s">
        <v>25</v>
      </c>
      <c r="I1335" s="6">
        <v>44348</v>
      </c>
      <c r="J1335" s="4">
        <v>0</v>
      </c>
      <c r="K1335" s="4">
        <v>0</v>
      </c>
      <c r="L1335" s="4">
        <v>1.53</v>
      </c>
      <c r="M1335" s="4">
        <v>1.53</v>
      </c>
      <c r="N1335" s="4">
        <v>1.53</v>
      </c>
      <c r="O1335" s="4">
        <v>1.53</v>
      </c>
      <c r="P1335" s="4">
        <v>5</v>
      </c>
      <c r="Q1335" s="3" t="s">
        <v>26</v>
      </c>
      <c r="R1335" s="3">
        <v>0</v>
      </c>
      <c r="S1335" s="3" t="s">
        <v>422</v>
      </c>
      <c r="T1335" s="3" t="s">
        <v>703</v>
      </c>
      <c r="U1335" s="3">
        <v>0</v>
      </c>
      <c r="V1335" s="3">
        <v>26</v>
      </c>
      <c r="W1335" s="3">
        <v>99</v>
      </c>
    </row>
    <row r="1336" spans="1:23" ht="11.25" customHeight="1" x14ac:dyDescent="0.25">
      <c r="A1336" s="3" t="s">
        <v>21</v>
      </c>
      <c r="B1336" s="3" t="s">
        <v>22</v>
      </c>
      <c r="C1336" s="3" t="s">
        <v>23</v>
      </c>
      <c r="D1336" s="3" t="s">
        <v>24</v>
      </c>
      <c r="E1336" s="3" t="s">
        <v>29</v>
      </c>
      <c r="F1336" s="3" t="s">
        <v>25</v>
      </c>
      <c r="G1336" s="3" t="s">
        <v>25</v>
      </c>
      <c r="H1336" s="3" t="s">
        <v>25</v>
      </c>
      <c r="I1336" s="6">
        <v>44378</v>
      </c>
      <c r="J1336" s="4">
        <v>0</v>
      </c>
      <c r="K1336" s="4">
        <v>0</v>
      </c>
      <c r="L1336" s="4">
        <v>6931.933</v>
      </c>
      <c r="M1336" s="4">
        <v>6931.933</v>
      </c>
      <c r="N1336" s="4">
        <v>6931.933</v>
      </c>
      <c r="O1336" s="4">
        <v>6931.933</v>
      </c>
      <c r="P1336" s="4">
        <v>23087</v>
      </c>
      <c r="Q1336" s="3" t="s">
        <v>26</v>
      </c>
      <c r="R1336" s="3">
        <v>0</v>
      </c>
      <c r="S1336" s="3" t="s">
        <v>423</v>
      </c>
      <c r="T1336" s="3" t="s">
        <v>704</v>
      </c>
      <c r="U1336" s="3">
        <v>0</v>
      </c>
      <c r="V1336" s="3">
        <v>26</v>
      </c>
      <c r="W1336" s="3">
        <v>99</v>
      </c>
    </row>
    <row r="1337" spans="1:23" ht="11.25" customHeight="1" x14ac:dyDescent="0.25">
      <c r="A1337" s="3" t="s">
        <v>27</v>
      </c>
      <c r="B1337" s="3" t="s">
        <v>22</v>
      </c>
      <c r="C1337" s="3" t="s">
        <v>23</v>
      </c>
      <c r="D1337" s="3" t="s">
        <v>24</v>
      </c>
      <c r="E1337" s="3" t="s">
        <v>29</v>
      </c>
      <c r="F1337" s="3" t="s">
        <v>25</v>
      </c>
      <c r="G1337" s="3" t="s">
        <v>25</v>
      </c>
      <c r="H1337" s="3" t="s">
        <v>25</v>
      </c>
      <c r="I1337" s="6">
        <v>44378</v>
      </c>
      <c r="J1337" s="4">
        <v>0</v>
      </c>
      <c r="K1337" s="4">
        <v>0</v>
      </c>
      <c r="L1337" s="4">
        <v>1.5189999999999999</v>
      </c>
      <c r="M1337" s="4">
        <v>1.5189999999999999</v>
      </c>
      <c r="N1337" s="4">
        <v>1.5189999999999999</v>
      </c>
      <c r="O1337" s="4">
        <v>1.5189999999999999</v>
      </c>
      <c r="P1337" s="4">
        <v>14</v>
      </c>
      <c r="Q1337" s="3" t="s">
        <v>26</v>
      </c>
      <c r="R1337" s="3">
        <v>0</v>
      </c>
      <c r="S1337" s="3" t="s">
        <v>423</v>
      </c>
      <c r="T1337" s="3" t="s">
        <v>704</v>
      </c>
      <c r="U1337" s="3">
        <v>0</v>
      </c>
      <c r="V1337" s="3">
        <v>26</v>
      </c>
      <c r="W1337" s="3">
        <v>99</v>
      </c>
    </row>
    <row r="1338" spans="1:23" ht="11.25" customHeight="1" x14ac:dyDescent="0.25">
      <c r="A1338" s="3" t="s">
        <v>28</v>
      </c>
      <c r="B1338" s="3" t="s">
        <v>22</v>
      </c>
      <c r="C1338" s="3" t="s">
        <v>23</v>
      </c>
      <c r="D1338" s="3" t="s">
        <v>24</v>
      </c>
      <c r="E1338" s="3" t="s">
        <v>29</v>
      </c>
      <c r="F1338" s="3" t="s">
        <v>25</v>
      </c>
      <c r="G1338" s="3" t="s">
        <v>25</v>
      </c>
      <c r="H1338" s="3" t="s">
        <v>25</v>
      </c>
      <c r="I1338" s="6">
        <v>44378</v>
      </c>
      <c r="J1338" s="4">
        <v>0</v>
      </c>
      <c r="K1338" s="4">
        <v>0</v>
      </c>
      <c r="L1338" s="4">
        <v>1.71</v>
      </c>
      <c r="M1338" s="4">
        <v>1.71</v>
      </c>
      <c r="N1338" s="4">
        <v>1.71</v>
      </c>
      <c r="O1338" s="4">
        <v>1.71</v>
      </c>
      <c r="P1338" s="4">
        <v>4</v>
      </c>
      <c r="Q1338" s="3" t="s">
        <v>26</v>
      </c>
      <c r="R1338" s="3">
        <v>0</v>
      </c>
      <c r="S1338" s="3" t="s">
        <v>423</v>
      </c>
      <c r="T1338" s="3" t="s">
        <v>704</v>
      </c>
      <c r="U1338" s="3">
        <v>0</v>
      </c>
      <c r="V1338" s="3">
        <v>26</v>
      </c>
      <c r="W1338" s="3">
        <v>99</v>
      </c>
    </row>
    <row r="1339" spans="1:23" ht="11.25" customHeight="1" x14ac:dyDescent="0.25">
      <c r="A1339" s="3" t="s">
        <v>21</v>
      </c>
      <c r="B1339" s="3" t="s">
        <v>22</v>
      </c>
      <c r="C1339" s="3" t="s">
        <v>23</v>
      </c>
      <c r="D1339" s="3" t="s">
        <v>24</v>
      </c>
      <c r="E1339" s="3" t="s">
        <v>29</v>
      </c>
      <c r="F1339" s="3" t="s">
        <v>25</v>
      </c>
      <c r="G1339" s="3" t="s">
        <v>25</v>
      </c>
      <c r="H1339" s="3" t="s">
        <v>25</v>
      </c>
      <c r="I1339" s="6">
        <v>44409</v>
      </c>
      <c r="J1339" s="4">
        <v>0</v>
      </c>
      <c r="K1339" s="4">
        <v>0</v>
      </c>
      <c r="L1339" s="4">
        <v>6971.5640000000003</v>
      </c>
      <c r="M1339" s="4">
        <v>6971.5640000000003</v>
      </c>
      <c r="N1339" s="4">
        <v>6971.5640000000003</v>
      </c>
      <c r="O1339" s="4">
        <v>6971.5640000000003</v>
      </c>
      <c r="P1339" s="4">
        <v>24466</v>
      </c>
      <c r="Q1339" s="3" t="s">
        <v>26</v>
      </c>
      <c r="R1339" s="3">
        <v>0</v>
      </c>
      <c r="S1339" s="3" t="s">
        <v>424</v>
      </c>
      <c r="T1339" s="3" t="s">
        <v>705</v>
      </c>
      <c r="U1339" s="3">
        <v>0</v>
      </c>
      <c r="V1339" s="3">
        <v>26</v>
      </c>
      <c r="W1339" s="3">
        <v>99</v>
      </c>
    </row>
    <row r="1340" spans="1:23" ht="11.25" customHeight="1" x14ac:dyDescent="0.25">
      <c r="A1340" s="3" t="s">
        <v>27</v>
      </c>
      <c r="B1340" s="3" t="s">
        <v>22</v>
      </c>
      <c r="C1340" s="3" t="s">
        <v>23</v>
      </c>
      <c r="D1340" s="3" t="s">
        <v>24</v>
      </c>
      <c r="E1340" s="3" t="s">
        <v>29</v>
      </c>
      <c r="F1340" s="3" t="s">
        <v>25</v>
      </c>
      <c r="G1340" s="3" t="s">
        <v>25</v>
      </c>
      <c r="H1340" s="3" t="s">
        <v>25</v>
      </c>
      <c r="I1340" s="6">
        <v>44409</v>
      </c>
      <c r="J1340" s="4">
        <v>0</v>
      </c>
      <c r="K1340" s="4">
        <v>0</v>
      </c>
      <c r="L1340" s="4">
        <v>3.0750000000000002</v>
      </c>
      <c r="M1340" s="4">
        <v>3.0750000000000002</v>
      </c>
      <c r="N1340" s="4">
        <v>3.0750000000000002</v>
      </c>
      <c r="O1340" s="4">
        <v>3.0750000000000002</v>
      </c>
      <c r="P1340" s="4">
        <v>13</v>
      </c>
      <c r="Q1340" s="3" t="s">
        <v>26</v>
      </c>
      <c r="R1340" s="3">
        <v>0</v>
      </c>
      <c r="S1340" s="3" t="s">
        <v>424</v>
      </c>
      <c r="T1340" s="3" t="s">
        <v>705</v>
      </c>
      <c r="U1340" s="3">
        <v>0</v>
      </c>
      <c r="V1340" s="3">
        <v>26</v>
      </c>
      <c r="W1340" s="3">
        <v>99</v>
      </c>
    </row>
    <row r="1341" spans="1:23" ht="11.25" customHeight="1" x14ac:dyDescent="0.25">
      <c r="A1341" s="3" t="s">
        <v>28</v>
      </c>
      <c r="B1341" s="3" t="s">
        <v>22</v>
      </c>
      <c r="C1341" s="3" t="s">
        <v>23</v>
      </c>
      <c r="D1341" s="3" t="s">
        <v>24</v>
      </c>
      <c r="E1341" s="3" t="s">
        <v>29</v>
      </c>
      <c r="F1341" s="3" t="s">
        <v>25</v>
      </c>
      <c r="G1341" s="3" t="s">
        <v>25</v>
      </c>
      <c r="H1341" s="3" t="s">
        <v>25</v>
      </c>
      <c r="I1341" s="6">
        <v>44409</v>
      </c>
      <c r="J1341" s="4">
        <v>0</v>
      </c>
      <c r="K1341" s="4">
        <v>0</v>
      </c>
      <c r="L1341" s="4">
        <v>1.8</v>
      </c>
      <c r="M1341" s="4">
        <v>1.8</v>
      </c>
      <c r="N1341" s="4">
        <v>1.8</v>
      </c>
      <c r="O1341" s="4">
        <v>1.8</v>
      </c>
      <c r="P1341" s="4">
        <v>3</v>
      </c>
      <c r="Q1341" s="3" t="s">
        <v>26</v>
      </c>
      <c r="R1341" s="3">
        <v>0</v>
      </c>
      <c r="S1341" s="3" t="s">
        <v>424</v>
      </c>
      <c r="T1341" s="3" t="s">
        <v>705</v>
      </c>
      <c r="U1341" s="3">
        <v>0</v>
      </c>
      <c r="V1341" s="3">
        <v>26</v>
      </c>
      <c r="W1341" s="3">
        <v>99</v>
      </c>
    </row>
    <row r="1342" spans="1:23" ht="11.25" customHeight="1" x14ac:dyDescent="0.25">
      <c r="A1342" s="3" t="s">
        <v>21</v>
      </c>
      <c r="B1342" s="3" t="s">
        <v>22</v>
      </c>
      <c r="C1342" s="3" t="s">
        <v>23</v>
      </c>
      <c r="D1342" s="3" t="s">
        <v>24</v>
      </c>
      <c r="E1342" s="3" t="s">
        <v>29</v>
      </c>
      <c r="F1342" s="3" t="s">
        <v>25</v>
      </c>
      <c r="G1342" s="3" t="s">
        <v>25</v>
      </c>
      <c r="H1342" s="3" t="s">
        <v>25</v>
      </c>
      <c r="I1342" s="6">
        <v>44440</v>
      </c>
      <c r="J1342" s="4">
        <v>0</v>
      </c>
      <c r="K1342" s="4">
        <v>0</v>
      </c>
      <c r="L1342" s="4">
        <v>6875.5219999999999</v>
      </c>
      <c r="M1342" s="4">
        <v>6875.5219999999999</v>
      </c>
      <c r="N1342" s="4">
        <v>6875.5219999999999</v>
      </c>
      <c r="O1342" s="4">
        <v>6875.5219999999999</v>
      </c>
      <c r="P1342" s="4">
        <v>23075</v>
      </c>
      <c r="Q1342" s="3" t="s">
        <v>26</v>
      </c>
      <c r="R1342" s="3">
        <v>0</v>
      </c>
      <c r="S1342" s="3" t="s">
        <v>425</v>
      </c>
      <c r="T1342" s="3" t="s">
        <v>706</v>
      </c>
      <c r="U1342" s="3">
        <v>0</v>
      </c>
      <c r="V1342" s="3">
        <v>26</v>
      </c>
      <c r="W1342" s="3">
        <v>99</v>
      </c>
    </row>
    <row r="1343" spans="1:23" ht="11.25" customHeight="1" x14ac:dyDescent="0.25">
      <c r="A1343" s="3" t="s">
        <v>27</v>
      </c>
      <c r="B1343" s="3" t="s">
        <v>22</v>
      </c>
      <c r="C1343" s="3" t="s">
        <v>23</v>
      </c>
      <c r="D1343" s="3" t="s">
        <v>24</v>
      </c>
      <c r="E1343" s="3" t="s">
        <v>29</v>
      </c>
      <c r="F1343" s="3" t="s">
        <v>25</v>
      </c>
      <c r="G1343" s="3" t="s">
        <v>25</v>
      </c>
      <c r="H1343" s="3" t="s">
        <v>25</v>
      </c>
      <c r="I1343" s="6">
        <v>44440</v>
      </c>
      <c r="J1343" s="4">
        <v>0</v>
      </c>
      <c r="K1343" s="4">
        <v>0</v>
      </c>
      <c r="L1343" s="4">
        <v>7.2610000000000001</v>
      </c>
      <c r="M1343" s="4">
        <v>7.2610000000000001</v>
      </c>
      <c r="N1343" s="4">
        <v>7.2610000000000001</v>
      </c>
      <c r="O1343" s="4">
        <v>7.2610000000000001</v>
      </c>
      <c r="P1343" s="4">
        <v>19</v>
      </c>
      <c r="Q1343" s="3" t="s">
        <v>26</v>
      </c>
      <c r="R1343" s="3">
        <v>0</v>
      </c>
      <c r="S1343" s="3" t="s">
        <v>425</v>
      </c>
      <c r="T1343" s="3" t="s">
        <v>706</v>
      </c>
      <c r="U1343" s="3">
        <v>0</v>
      </c>
      <c r="V1343" s="3">
        <v>26</v>
      </c>
      <c r="W1343" s="3">
        <v>99</v>
      </c>
    </row>
    <row r="1344" spans="1:23" ht="11.25" customHeight="1" x14ac:dyDescent="0.25">
      <c r="A1344" s="3" t="s">
        <v>28</v>
      </c>
      <c r="B1344" s="3" t="s">
        <v>22</v>
      </c>
      <c r="C1344" s="3" t="s">
        <v>23</v>
      </c>
      <c r="D1344" s="3" t="s">
        <v>24</v>
      </c>
      <c r="E1344" s="3" t="s">
        <v>29</v>
      </c>
      <c r="F1344" s="3" t="s">
        <v>25</v>
      </c>
      <c r="G1344" s="3" t="s">
        <v>25</v>
      </c>
      <c r="H1344" s="3" t="s">
        <v>25</v>
      </c>
      <c r="I1344" s="6">
        <v>44440</v>
      </c>
      <c r="J1344" s="4">
        <v>0</v>
      </c>
      <c r="K1344" s="4">
        <v>0</v>
      </c>
      <c r="L1344" s="4">
        <v>1.86</v>
      </c>
      <c r="M1344" s="4">
        <v>1.86</v>
      </c>
      <c r="N1344" s="4">
        <v>1.86</v>
      </c>
      <c r="O1344" s="4">
        <v>1.86</v>
      </c>
      <c r="P1344" s="4">
        <v>3</v>
      </c>
      <c r="Q1344" s="3" t="s">
        <v>26</v>
      </c>
      <c r="R1344" s="3">
        <v>0</v>
      </c>
      <c r="S1344" s="3" t="s">
        <v>425</v>
      </c>
      <c r="T1344" s="3" t="s">
        <v>706</v>
      </c>
      <c r="U1344" s="3">
        <v>0</v>
      </c>
      <c r="V1344" s="3">
        <v>26</v>
      </c>
      <c r="W1344" s="3">
        <v>99</v>
      </c>
    </row>
    <row r="1345" spans="1:23" ht="11.25" customHeight="1" x14ac:dyDescent="0.25">
      <c r="A1345" s="3" t="s">
        <v>21</v>
      </c>
      <c r="B1345" s="3" t="s">
        <v>22</v>
      </c>
      <c r="C1345" s="3" t="s">
        <v>23</v>
      </c>
      <c r="D1345" s="3" t="s">
        <v>24</v>
      </c>
      <c r="E1345" s="3" t="s">
        <v>29</v>
      </c>
      <c r="F1345" s="3" t="s">
        <v>25</v>
      </c>
      <c r="G1345" s="3" t="s">
        <v>25</v>
      </c>
      <c r="H1345" s="3" t="s">
        <v>25</v>
      </c>
      <c r="I1345" s="6">
        <v>44470</v>
      </c>
      <c r="J1345" s="4">
        <v>0</v>
      </c>
      <c r="K1345" s="4">
        <v>0</v>
      </c>
      <c r="L1345" s="4">
        <v>6927.3630000000003</v>
      </c>
      <c r="M1345" s="4">
        <v>6927.3630000000003</v>
      </c>
      <c r="N1345" s="4">
        <v>6927.3630000000003</v>
      </c>
      <c r="O1345" s="4">
        <v>6927.3630000000003</v>
      </c>
      <c r="P1345" s="4">
        <v>21996</v>
      </c>
      <c r="Q1345" s="3" t="s">
        <v>26</v>
      </c>
      <c r="R1345" s="3">
        <v>0</v>
      </c>
      <c r="S1345" s="3" t="s">
        <v>426</v>
      </c>
      <c r="T1345" s="3" t="s">
        <v>707</v>
      </c>
      <c r="U1345" s="3">
        <v>0</v>
      </c>
      <c r="V1345" s="3">
        <v>26</v>
      </c>
      <c r="W1345" s="3">
        <v>99</v>
      </c>
    </row>
    <row r="1346" spans="1:23" ht="11.25" customHeight="1" x14ac:dyDescent="0.25">
      <c r="A1346" s="3" t="s">
        <v>27</v>
      </c>
      <c r="B1346" s="3" t="s">
        <v>22</v>
      </c>
      <c r="C1346" s="3" t="s">
        <v>23</v>
      </c>
      <c r="D1346" s="3" t="s">
        <v>24</v>
      </c>
      <c r="E1346" s="3" t="s">
        <v>29</v>
      </c>
      <c r="F1346" s="3" t="s">
        <v>25</v>
      </c>
      <c r="G1346" s="3" t="s">
        <v>25</v>
      </c>
      <c r="H1346" s="3" t="s">
        <v>25</v>
      </c>
      <c r="I1346" s="6">
        <v>44470</v>
      </c>
      <c r="J1346" s="4">
        <v>0</v>
      </c>
      <c r="K1346" s="4">
        <v>0</v>
      </c>
      <c r="L1346" s="4">
        <v>1.2250000000000001</v>
      </c>
      <c r="M1346" s="4">
        <v>1.2250000000000001</v>
      </c>
      <c r="N1346" s="4">
        <v>1.2250000000000001</v>
      </c>
      <c r="O1346" s="4">
        <v>1.2250000000000001</v>
      </c>
      <c r="P1346" s="4">
        <v>17</v>
      </c>
      <c r="Q1346" s="3" t="s">
        <v>26</v>
      </c>
      <c r="R1346" s="3">
        <v>0</v>
      </c>
      <c r="S1346" s="3" t="s">
        <v>426</v>
      </c>
      <c r="T1346" s="3" t="s">
        <v>707</v>
      </c>
      <c r="U1346" s="3">
        <v>0</v>
      </c>
      <c r="V1346" s="3">
        <v>26</v>
      </c>
      <c r="W1346" s="3">
        <v>99</v>
      </c>
    </row>
    <row r="1347" spans="1:23" ht="11.25" customHeight="1" x14ac:dyDescent="0.25">
      <c r="A1347" s="3" t="s">
        <v>28</v>
      </c>
      <c r="B1347" s="3" t="s">
        <v>22</v>
      </c>
      <c r="C1347" s="3" t="s">
        <v>23</v>
      </c>
      <c r="D1347" s="3" t="s">
        <v>24</v>
      </c>
      <c r="E1347" s="3" t="s">
        <v>29</v>
      </c>
      <c r="F1347" s="3" t="s">
        <v>25</v>
      </c>
      <c r="G1347" s="3" t="s">
        <v>25</v>
      </c>
      <c r="H1347" s="3" t="s">
        <v>25</v>
      </c>
      <c r="I1347" s="6">
        <v>44470</v>
      </c>
      <c r="J1347" s="4">
        <v>0</v>
      </c>
      <c r="K1347" s="4">
        <v>0</v>
      </c>
      <c r="L1347" s="4">
        <v>1.95</v>
      </c>
      <c r="M1347" s="4">
        <v>1.95</v>
      </c>
      <c r="N1347" s="4">
        <v>1.95</v>
      </c>
      <c r="O1347" s="4">
        <v>1.95</v>
      </c>
      <c r="P1347" s="4">
        <v>5</v>
      </c>
      <c r="Q1347" s="3" t="s">
        <v>26</v>
      </c>
      <c r="R1347" s="3">
        <v>0</v>
      </c>
      <c r="S1347" s="3" t="s">
        <v>426</v>
      </c>
      <c r="T1347" s="3" t="s">
        <v>707</v>
      </c>
      <c r="U1347" s="3">
        <v>0</v>
      </c>
      <c r="V1347" s="3">
        <v>26</v>
      </c>
      <c r="W1347" s="3">
        <v>99</v>
      </c>
    </row>
    <row r="1348" spans="1:23" ht="11.25" customHeight="1" x14ac:dyDescent="0.25">
      <c r="A1348" s="3" t="s">
        <v>21</v>
      </c>
      <c r="B1348" s="3" t="s">
        <v>22</v>
      </c>
      <c r="C1348" s="3" t="s">
        <v>23</v>
      </c>
      <c r="D1348" s="3" t="s">
        <v>24</v>
      </c>
      <c r="E1348" s="3" t="s">
        <v>29</v>
      </c>
      <c r="F1348" s="3" t="s">
        <v>25</v>
      </c>
      <c r="G1348" s="3" t="s">
        <v>25</v>
      </c>
      <c r="H1348" s="3" t="s">
        <v>25</v>
      </c>
      <c r="I1348" s="6">
        <v>44501</v>
      </c>
      <c r="J1348" s="4">
        <v>0</v>
      </c>
      <c r="K1348" s="4">
        <v>0</v>
      </c>
      <c r="L1348" s="4">
        <v>6944.7920000000004</v>
      </c>
      <c r="M1348" s="4">
        <v>6944.7920000000004</v>
      </c>
      <c r="N1348" s="4">
        <v>6944.7920000000004</v>
      </c>
      <c r="O1348" s="4">
        <v>6944.7920000000004</v>
      </c>
      <c r="P1348" s="4">
        <v>21899</v>
      </c>
      <c r="Q1348" s="3" t="s">
        <v>26</v>
      </c>
      <c r="R1348" s="3">
        <v>0</v>
      </c>
      <c r="S1348" s="3" t="s">
        <v>427</v>
      </c>
      <c r="T1348" s="3" t="s">
        <v>708</v>
      </c>
      <c r="U1348" s="3">
        <v>0</v>
      </c>
      <c r="V1348" s="3">
        <v>26</v>
      </c>
      <c r="W1348" s="3">
        <v>99</v>
      </c>
    </row>
    <row r="1349" spans="1:23" ht="11.25" customHeight="1" x14ac:dyDescent="0.25">
      <c r="A1349" s="3" t="s">
        <v>27</v>
      </c>
      <c r="B1349" s="3" t="s">
        <v>22</v>
      </c>
      <c r="C1349" s="3" t="s">
        <v>23</v>
      </c>
      <c r="D1349" s="3" t="s">
        <v>24</v>
      </c>
      <c r="E1349" s="3" t="s">
        <v>29</v>
      </c>
      <c r="F1349" s="3" t="s">
        <v>25</v>
      </c>
      <c r="G1349" s="3" t="s">
        <v>25</v>
      </c>
      <c r="H1349" s="3" t="s">
        <v>25</v>
      </c>
      <c r="I1349" s="6">
        <v>44501</v>
      </c>
      <c r="J1349" s="4">
        <v>0</v>
      </c>
      <c r="K1349" s="4">
        <v>0</v>
      </c>
      <c r="L1349" s="4">
        <v>1.409</v>
      </c>
      <c r="M1349" s="4">
        <v>1.409</v>
      </c>
      <c r="N1349" s="4">
        <v>1.409</v>
      </c>
      <c r="O1349" s="4">
        <v>1.409</v>
      </c>
      <c r="P1349" s="4">
        <v>-1</v>
      </c>
      <c r="Q1349" s="3" t="s">
        <v>26</v>
      </c>
      <c r="R1349" s="3">
        <v>0</v>
      </c>
      <c r="S1349" s="3" t="s">
        <v>427</v>
      </c>
      <c r="T1349" s="3" t="s">
        <v>708</v>
      </c>
      <c r="U1349" s="3">
        <v>0</v>
      </c>
      <c r="V1349" s="3">
        <v>26</v>
      </c>
      <c r="W1349" s="3">
        <v>99</v>
      </c>
    </row>
    <row r="1350" spans="1:23" ht="11.25" customHeight="1" x14ac:dyDescent="0.25">
      <c r="A1350" s="3" t="s">
        <v>28</v>
      </c>
      <c r="B1350" s="3" t="s">
        <v>22</v>
      </c>
      <c r="C1350" s="3" t="s">
        <v>23</v>
      </c>
      <c r="D1350" s="3" t="s">
        <v>24</v>
      </c>
      <c r="E1350" s="3" t="s">
        <v>29</v>
      </c>
      <c r="F1350" s="3" t="s">
        <v>25</v>
      </c>
      <c r="G1350" s="3" t="s">
        <v>25</v>
      </c>
      <c r="H1350" s="3" t="s">
        <v>25</v>
      </c>
      <c r="I1350" s="6">
        <v>44501</v>
      </c>
      <c r="J1350" s="4">
        <v>0</v>
      </c>
      <c r="K1350" s="4">
        <v>0</v>
      </c>
      <c r="L1350" s="4">
        <v>2.0099999999999998</v>
      </c>
      <c r="M1350" s="4">
        <v>2.0099999999999998</v>
      </c>
      <c r="N1350" s="4">
        <v>2.0099999999999998</v>
      </c>
      <c r="O1350" s="4">
        <v>2.0099999999999998</v>
      </c>
      <c r="P1350" s="4">
        <v>3</v>
      </c>
      <c r="Q1350" s="3" t="s">
        <v>26</v>
      </c>
      <c r="R1350" s="3">
        <v>0</v>
      </c>
      <c r="S1350" s="3" t="s">
        <v>427</v>
      </c>
      <c r="T1350" s="3" t="s">
        <v>708</v>
      </c>
      <c r="U1350" s="3">
        <v>0</v>
      </c>
      <c r="V1350" s="3">
        <v>26</v>
      </c>
      <c r="W1350" s="3">
        <v>99</v>
      </c>
    </row>
    <row r="1351" spans="1:23" ht="11.25" customHeight="1" x14ac:dyDescent="0.25">
      <c r="A1351" s="3" t="s">
        <v>21</v>
      </c>
      <c r="B1351" s="3" t="s">
        <v>22</v>
      </c>
      <c r="C1351" s="3" t="s">
        <v>23</v>
      </c>
      <c r="D1351" s="3" t="s">
        <v>24</v>
      </c>
      <c r="E1351" s="3" t="s">
        <v>29</v>
      </c>
      <c r="F1351" s="3" t="s">
        <v>25</v>
      </c>
      <c r="G1351" s="3" t="s">
        <v>25</v>
      </c>
      <c r="H1351" s="3" t="s">
        <v>25</v>
      </c>
      <c r="I1351" s="6">
        <v>44531</v>
      </c>
      <c r="J1351" s="4">
        <v>0</v>
      </c>
      <c r="K1351" s="4">
        <v>0</v>
      </c>
      <c r="L1351" s="4">
        <v>6935.1530000000002</v>
      </c>
      <c r="M1351" s="4">
        <v>6935.1530000000002</v>
      </c>
      <c r="N1351" s="4">
        <v>6935.1530000000002</v>
      </c>
      <c r="O1351" s="4">
        <v>6935.1530000000002</v>
      </c>
      <c r="P1351" s="4">
        <v>20869</v>
      </c>
      <c r="Q1351" s="3" t="s">
        <v>26</v>
      </c>
      <c r="R1351" s="3">
        <v>0</v>
      </c>
      <c r="S1351" s="3" t="s">
        <v>428</v>
      </c>
      <c r="T1351" s="3" t="s">
        <v>709</v>
      </c>
      <c r="U1351" s="3">
        <v>0</v>
      </c>
      <c r="V1351" s="3">
        <v>26</v>
      </c>
      <c r="W1351" s="3">
        <v>99</v>
      </c>
    </row>
    <row r="1352" spans="1:23" ht="11.25" customHeight="1" x14ac:dyDescent="0.25">
      <c r="A1352" s="3" t="s">
        <v>27</v>
      </c>
      <c r="B1352" s="3" t="s">
        <v>22</v>
      </c>
      <c r="C1352" s="3" t="s">
        <v>23</v>
      </c>
      <c r="D1352" s="3" t="s">
        <v>24</v>
      </c>
      <c r="E1352" s="3" t="s">
        <v>29</v>
      </c>
      <c r="F1352" s="3" t="s">
        <v>25</v>
      </c>
      <c r="G1352" s="3" t="s">
        <v>25</v>
      </c>
      <c r="H1352" s="3" t="s">
        <v>25</v>
      </c>
      <c r="I1352" s="6">
        <v>44531</v>
      </c>
      <c r="J1352" s="4">
        <v>0</v>
      </c>
      <c r="K1352" s="4">
        <v>0</v>
      </c>
      <c r="L1352" s="4">
        <v>3.1930000000000001</v>
      </c>
      <c r="M1352" s="4">
        <v>3.1930000000000001</v>
      </c>
      <c r="N1352" s="4">
        <v>3.1930000000000001</v>
      </c>
      <c r="O1352" s="4">
        <v>3.1930000000000001</v>
      </c>
      <c r="P1352" s="4">
        <v>38</v>
      </c>
      <c r="Q1352" s="3" t="s">
        <v>26</v>
      </c>
      <c r="R1352" s="3">
        <v>0</v>
      </c>
      <c r="S1352" s="3" t="s">
        <v>428</v>
      </c>
      <c r="T1352" s="3" t="s">
        <v>709</v>
      </c>
      <c r="U1352" s="3">
        <v>0</v>
      </c>
      <c r="V1352" s="3">
        <v>26</v>
      </c>
      <c r="W1352" s="3">
        <v>99</v>
      </c>
    </row>
    <row r="1353" spans="1:23" ht="11.25" customHeight="1" x14ac:dyDescent="0.25">
      <c r="A1353" s="3" t="s">
        <v>28</v>
      </c>
      <c r="B1353" s="3" t="s">
        <v>22</v>
      </c>
      <c r="C1353" s="3" t="s">
        <v>23</v>
      </c>
      <c r="D1353" s="3" t="s">
        <v>24</v>
      </c>
      <c r="E1353" s="3" t="s">
        <v>29</v>
      </c>
      <c r="F1353" s="3" t="s">
        <v>25</v>
      </c>
      <c r="G1353" s="3" t="s">
        <v>25</v>
      </c>
      <c r="H1353" s="3" t="s">
        <v>25</v>
      </c>
      <c r="I1353" s="6">
        <v>44531</v>
      </c>
      <c r="J1353" s="4">
        <v>0</v>
      </c>
      <c r="K1353" s="4">
        <v>0</v>
      </c>
      <c r="L1353" s="4">
        <v>2.13</v>
      </c>
      <c r="M1353" s="4">
        <v>2.13</v>
      </c>
      <c r="N1353" s="4">
        <v>2.13</v>
      </c>
      <c r="O1353" s="4">
        <v>2.13</v>
      </c>
      <c r="P1353" s="4">
        <v>4</v>
      </c>
      <c r="Q1353" s="3" t="s">
        <v>26</v>
      </c>
      <c r="R1353" s="3">
        <v>0</v>
      </c>
      <c r="S1353" s="3" t="s">
        <v>428</v>
      </c>
      <c r="T1353" s="3" t="s">
        <v>709</v>
      </c>
      <c r="U1353" s="3">
        <v>0</v>
      </c>
      <c r="V1353" s="3">
        <v>26</v>
      </c>
      <c r="W1353" s="3">
        <v>99</v>
      </c>
    </row>
    <row r="1354" spans="1:23" ht="11.25" customHeight="1" x14ac:dyDescent="0.25">
      <c r="A1354" s="3" t="s">
        <v>21</v>
      </c>
      <c r="B1354" s="3" t="s">
        <v>22</v>
      </c>
      <c r="C1354" s="3" t="s">
        <v>23</v>
      </c>
      <c r="D1354" s="3" t="s">
        <v>24</v>
      </c>
      <c r="E1354" s="3" t="s">
        <v>29</v>
      </c>
      <c r="F1354" s="3" t="s">
        <v>25</v>
      </c>
      <c r="G1354" s="3" t="s">
        <v>25</v>
      </c>
      <c r="H1354" s="3" t="s">
        <v>25</v>
      </c>
      <c r="I1354" s="6">
        <v>44562</v>
      </c>
      <c r="J1354" s="4">
        <v>0</v>
      </c>
      <c r="K1354" s="4">
        <v>0</v>
      </c>
      <c r="L1354" s="4">
        <v>6954.357</v>
      </c>
      <c r="M1354" s="4">
        <v>6954.357</v>
      </c>
      <c r="N1354" s="4">
        <v>6954.357</v>
      </c>
      <c r="O1354" s="4">
        <v>6954.357</v>
      </c>
      <c r="P1354" s="4">
        <v>19774</v>
      </c>
      <c r="Q1354" s="3" t="s">
        <v>26</v>
      </c>
      <c r="R1354" s="3">
        <v>0</v>
      </c>
      <c r="S1354" s="3" t="s">
        <v>429</v>
      </c>
      <c r="T1354" s="3" t="s">
        <v>710</v>
      </c>
      <c r="U1354" s="3">
        <v>0</v>
      </c>
      <c r="V1354" s="3">
        <v>26</v>
      </c>
      <c r="W1354" s="3">
        <v>99</v>
      </c>
    </row>
    <row r="1355" spans="1:23" ht="11.25" customHeight="1" x14ac:dyDescent="0.25">
      <c r="A1355" s="3" t="s">
        <v>27</v>
      </c>
      <c r="B1355" s="3" t="s">
        <v>22</v>
      </c>
      <c r="C1355" s="3" t="s">
        <v>23</v>
      </c>
      <c r="D1355" s="3" t="s">
        <v>24</v>
      </c>
      <c r="E1355" s="3" t="s">
        <v>29</v>
      </c>
      <c r="F1355" s="3" t="s">
        <v>25</v>
      </c>
      <c r="G1355" s="3" t="s">
        <v>25</v>
      </c>
      <c r="H1355" s="3" t="s">
        <v>25</v>
      </c>
      <c r="I1355" s="6">
        <v>44562</v>
      </c>
      <c r="J1355" s="4">
        <v>0</v>
      </c>
      <c r="K1355" s="4">
        <v>0</v>
      </c>
      <c r="L1355" s="4">
        <v>0.28299999999999997</v>
      </c>
      <c r="M1355" s="4">
        <v>0.28299999999999997</v>
      </c>
      <c r="N1355" s="4">
        <v>0.28299999999999997</v>
      </c>
      <c r="O1355" s="4">
        <v>0.28299999999999997</v>
      </c>
      <c r="P1355" s="4">
        <v>1</v>
      </c>
      <c r="Q1355" s="3" t="s">
        <v>26</v>
      </c>
      <c r="R1355" s="3">
        <v>0</v>
      </c>
      <c r="S1355" s="3" t="s">
        <v>429</v>
      </c>
      <c r="T1355" s="3" t="s">
        <v>710</v>
      </c>
      <c r="U1355" s="3">
        <v>0</v>
      </c>
      <c r="V1355" s="3">
        <v>26</v>
      </c>
      <c r="W1355" s="3">
        <v>99</v>
      </c>
    </row>
    <row r="1356" spans="1:23" ht="11.25" customHeight="1" x14ac:dyDescent="0.25">
      <c r="A1356" s="3" t="s">
        <v>28</v>
      </c>
      <c r="B1356" s="3" t="s">
        <v>22</v>
      </c>
      <c r="C1356" s="3" t="s">
        <v>23</v>
      </c>
      <c r="D1356" s="3" t="s">
        <v>24</v>
      </c>
      <c r="E1356" s="3" t="s">
        <v>29</v>
      </c>
      <c r="F1356" s="3" t="s">
        <v>25</v>
      </c>
      <c r="G1356" s="3" t="s">
        <v>25</v>
      </c>
      <c r="H1356" s="3" t="s">
        <v>25</v>
      </c>
      <c r="I1356" s="6">
        <v>44562</v>
      </c>
      <c r="J1356" s="4">
        <v>0</v>
      </c>
      <c r="K1356" s="4">
        <v>0</v>
      </c>
      <c r="L1356" s="4">
        <v>2.34</v>
      </c>
      <c r="M1356" s="4">
        <v>2.34</v>
      </c>
      <c r="N1356" s="4">
        <v>2.34</v>
      </c>
      <c r="O1356" s="4">
        <v>2.34</v>
      </c>
      <c r="P1356" s="4">
        <v>7</v>
      </c>
      <c r="Q1356" s="3" t="s">
        <v>26</v>
      </c>
      <c r="R1356" s="3">
        <v>0</v>
      </c>
      <c r="S1356" s="3" t="s">
        <v>429</v>
      </c>
      <c r="T1356" s="3" t="s">
        <v>710</v>
      </c>
      <c r="U1356" s="3">
        <v>0</v>
      </c>
      <c r="V1356" s="3">
        <v>26</v>
      </c>
      <c r="W1356" s="3">
        <v>99</v>
      </c>
    </row>
    <row r="1357" spans="1:23" ht="11.25" customHeight="1" x14ac:dyDescent="0.25">
      <c r="A1357" s="3" t="s">
        <v>21</v>
      </c>
      <c r="B1357" s="3" t="s">
        <v>22</v>
      </c>
      <c r="C1357" s="3" t="s">
        <v>23</v>
      </c>
      <c r="D1357" s="3" t="s">
        <v>24</v>
      </c>
      <c r="E1357" s="3" t="s">
        <v>29</v>
      </c>
      <c r="F1357" s="3" t="s">
        <v>25</v>
      </c>
      <c r="G1357" s="3" t="s">
        <v>25</v>
      </c>
      <c r="H1357" s="3" t="s">
        <v>25</v>
      </c>
      <c r="I1357" s="6">
        <v>44593</v>
      </c>
      <c r="J1357" s="4">
        <v>0</v>
      </c>
      <c r="K1357" s="4">
        <v>0</v>
      </c>
      <c r="L1357" s="4">
        <v>7246.22</v>
      </c>
      <c r="M1357" s="4">
        <v>7246.22</v>
      </c>
      <c r="N1357" s="4">
        <v>7246.22</v>
      </c>
      <c r="O1357" s="4">
        <v>7246.22</v>
      </c>
      <c r="P1357" s="4">
        <v>20972</v>
      </c>
      <c r="Q1357" s="3" t="s">
        <v>26</v>
      </c>
      <c r="R1357" s="3">
        <v>0</v>
      </c>
      <c r="S1357" s="3" t="s">
        <v>430</v>
      </c>
      <c r="T1357" s="3" t="s">
        <v>711</v>
      </c>
      <c r="U1357" s="3">
        <v>0</v>
      </c>
      <c r="V1357" s="3">
        <v>26</v>
      </c>
      <c r="W1357" s="3">
        <v>99</v>
      </c>
    </row>
    <row r="1358" spans="1:23" ht="11.25" customHeight="1" x14ac:dyDescent="0.25">
      <c r="A1358" s="3" t="s">
        <v>27</v>
      </c>
      <c r="B1358" s="3" t="s">
        <v>22</v>
      </c>
      <c r="C1358" s="3" t="s">
        <v>23</v>
      </c>
      <c r="D1358" s="3" t="s">
        <v>24</v>
      </c>
      <c r="E1358" s="3" t="s">
        <v>29</v>
      </c>
      <c r="F1358" s="3" t="s">
        <v>25</v>
      </c>
      <c r="G1358" s="3" t="s">
        <v>25</v>
      </c>
      <c r="H1358" s="3" t="s">
        <v>25</v>
      </c>
      <c r="I1358" s="6">
        <v>44593</v>
      </c>
      <c r="J1358" s="4">
        <v>0</v>
      </c>
      <c r="K1358" s="4">
        <v>0</v>
      </c>
      <c r="L1358" s="4">
        <v>1.155</v>
      </c>
      <c r="M1358" s="4">
        <v>1.155</v>
      </c>
      <c r="N1358" s="4">
        <v>1.155</v>
      </c>
      <c r="O1358" s="4">
        <v>1.155</v>
      </c>
      <c r="P1358" s="4">
        <v>8</v>
      </c>
      <c r="Q1358" s="3" t="s">
        <v>26</v>
      </c>
      <c r="R1358" s="3">
        <v>0</v>
      </c>
      <c r="S1358" s="3" t="s">
        <v>430</v>
      </c>
      <c r="T1358" s="3" t="s">
        <v>711</v>
      </c>
      <c r="U1358" s="3">
        <v>0</v>
      </c>
      <c r="V1358" s="3">
        <v>26</v>
      </c>
      <c r="W1358" s="3">
        <v>99</v>
      </c>
    </row>
    <row r="1359" spans="1:23" ht="11.25" customHeight="1" x14ac:dyDescent="0.25">
      <c r="A1359" s="3" t="s">
        <v>28</v>
      </c>
      <c r="B1359" s="3" t="s">
        <v>22</v>
      </c>
      <c r="C1359" s="3" t="s">
        <v>23</v>
      </c>
      <c r="D1359" s="3" t="s">
        <v>24</v>
      </c>
      <c r="E1359" s="3" t="s">
        <v>29</v>
      </c>
      <c r="F1359" s="3" t="s">
        <v>25</v>
      </c>
      <c r="G1359" s="3" t="s">
        <v>25</v>
      </c>
      <c r="H1359" s="3" t="s">
        <v>25</v>
      </c>
      <c r="I1359" s="6">
        <v>44593</v>
      </c>
      <c r="J1359" s="4">
        <v>0</v>
      </c>
      <c r="K1359" s="4">
        <v>0</v>
      </c>
      <c r="L1359" s="4">
        <v>2.4300000000000002</v>
      </c>
      <c r="M1359" s="4">
        <v>2.4300000000000002</v>
      </c>
      <c r="N1359" s="4">
        <v>2.4300000000000002</v>
      </c>
      <c r="O1359" s="4">
        <v>2.4300000000000002</v>
      </c>
      <c r="P1359" s="4">
        <v>7</v>
      </c>
      <c r="Q1359" s="3" t="s">
        <v>26</v>
      </c>
      <c r="R1359" s="3">
        <v>0</v>
      </c>
      <c r="S1359" s="3" t="s">
        <v>430</v>
      </c>
      <c r="T1359" s="3" t="s">
        <v>711</v>
      </c>
      <c r="U1359" s="3">
        <v>0</v>
      </c>
      <c r="V1359" s="3">
        <v>26</v>
      </c>
      <c r="W1359" s="3">
        <v>99</v>
      </c>
    </row>
    <row r="1360" spans="1:23" ht="11.25" customHeight="1" x14ac:dyDescent="0.25">
      <c r="A1360" s="3" t="s">
        <v>56</v>
      </c>
      <c r="B1360" s="3" t="s">
        <v>22</v>
      </c>
      <c r="C1360" s="3" t="s">
        <v>23</v>
      </c>
      <c r="D1360" s="3" t="s">
        <v>24</v>
      </c>
      <c r="E1360" s="3" t="s">
        <v>29</v>
      </c>
      <c r="F1360" s="3" t="s">
        <v>25</v>
      </c>
      <c r="G1360" s="3" t="s">
        <v>25</v>
      </c>
      <c r="H1360" s="3" t="s">
        <v>25</v>
      </c>
      <c r="I1360" s="6">
        <v>44621</v>
      </c>
      <c r="J1360" s="4">
        <v>0</v>
      </c>
      <c r="K1360" s="4">
        <v>0</v>
      </c>
      <c r="L1360" s="4">
        <v>7246.22</v>
      </c>
      <c r="M1360" s="4">
        <v>7246.22</v>
      </c>
      <c r="N1360" s="4">
        <v>7246.22</v>
      </c>
      <c r="O1360" s="4">
        <v>7246.22</v>
      </c>
      <c r="P1360" s="4">
        <v>20972</v>
      </c>
      <c r="Q1360" s="3" t="s">
        <v>26</v>
      </c>
      <c r="R1360" s="3">
        <v>0</v>
      </c>
      <c r="S1360" s="3" t="s">
        <v>431</v>
      </c>
      <c r="T1360" s="3" t="s">
        <v>712</v>
      </c>
      <c r="U1360" s="3">
        <v>0</v>
      </c>
      <c r="V1360" s="3">
        <v>26</v>
      </c>
      <c r="W1360" s="3">
        <v>99</v>
      </c>
    </row>
    <row r="1361" spans="1:23" ht="11.25" customHeight="1" x14ac:dyDescent="0.25">
      <c r="A1361" s="3" t="s">
        <v>56</v>
      </c>
      <c r="B1361" s="3" t="s">
        <v>22</v>
      </c>
      <c r="C1361" s="3" t="s">
        <v>23</v>
      </c>
      <c r="D1361" s="3" t="s">
        <v>24</v>
      </c>
      <c r="E1361" s="3" t="s">
        <v>29</v>
      </c>
      <c r="F1361" s="3" t="s">
        <v>25</v>
      </c>
      <c r="G1361" s="3" t="s">
        <v>25</v>
      </c>
      <c r="H1361" s="3" t="s">
        <v>25</v>
      </c>
      <c r="I1361" s="6">
        <v>44621</v>
      </c>
      <c r="J1361" s="4">
        <v>0</v>
      </c>
      <c r="K1361" s="4">
        <v>0</v>
      </c>
      <c r="L1361" s="4">
        <v>1.155</v>
      </c>
      <c r="M1361" s="4">
        <v>1.155</v>
      </c>
      <c r="N1361" s="4">
        <v>1.155</v>
      </c>
      <c r="O1361" s="4">
        <v>1.155</v>
      </c>
      <c r="P1361" s="4">
        <v>8</v>
      </c>
      <c r="Q1361" s="3" t="s">
        <v>26</v>
      </c>
      <c r="R1361" s="3">
        <v>0</v>
      </c>
      <c r="S1361" s="3" t="s">
        <v>431</v>
      </c>
      <c r="T1361" s="3" t="s">
        <v>712</v>
      </c>
      <c r="U1361" s="3">
        <v>0</v>
      </c>
      <c r="V1361" s="3">
        <v>26</v>
      </c>
      <c r="W1361" s="3">
        <v>99</v>
      </c>
    </row>
    <row r="1362" spans="1:23" ht="11.25" customHeight="1" x14ac:dyDescent="0.25">
      <c r="A1362" s="3" t="s">
        <v>56</v>
      </c>
      <c r="B1362" s="3" t="s">
        <v>22</v>
      </c>
      <c r="C1362" s="3" t="s">
        <v>23</v>
      </c>
      <c r="D1362" s="3" t="s">
        <v>24</v>
      </c>
      <c r="E1362" s="3" t="s">
        <v>29</v>
      </c>
      <c r="F1362" s="3" t="s">
        <v>25</v>
      </c>
      <c r="G1362" s="3" t="s">
        <v>25</v>
      </c>
      <c r="H1362" s="3" t="s">
        <v>25</v>
      </c>
      <c r="I1362" s="6">
        <v>44621</v>
      </c>
      <c r="J1362" s="4">
        <v>0</v>
      </c>
      <c r="K1362" s="4">
        <v>0</v>
      </c>
      <c r="L1362" s="4">
        <v>2.4300000000000002</v>
      </c>
      <c r="M1362" s="4">
        <v>2.4300000000000002</v>
      </c>
      <c r="N1362" s="4">
        <v>2.4300000000000002</v>
      </c>
      <c r="O1362" s="4">
        <v>2.4300000000000002</v>
      </c>
      <c r="P1362" s="4">
        <v>7</v>
      </c>
      <c r="Q1362" s="3" t="s">
        <v>26</v>
      </c>
      <c r="R1362" s="3">
        <v>0</v>
      </c>
      <c r="S1362" s="3" t="s">
        <v>431</v>
      </c>
      <c r="T1362" s="3" t="s">
        <v>712</v>
      </c>
      <c r="U1362" s="3">
        <v>0</v>
      </c>
      <c r="V1362" s="3">
        <v>26</v>
      </c>
      <c r="W1362" s="3">
        <v>99</v>
      </c>
    </row>
    <row r="1363" spans="1:23" ht="11.25" customHeight="1" x14ac:dyDescent="0.25">
      <c r="A1363" s="3" t="s">
        <v>21</v>
      </c>
      <c r="B1363" s="3" t="s">
        <v>22</v>
      </c>
      <c r="C1363" s="3" t="s">
        <v>23</v>
      </c>
      <c r="D1363" s="3" t="s">
        <v>24</v>
      </c>
      <c r="E1363" s="3" t="s">
        <v>30</v>
      </c>
      <c r="F1363" s="3" t="s">
        <v>25</v>
      </c>
      <c r="G1363" s="3" t="s">
        <v>25</v>
      </c>
      <c r="H1363" s="3" t="s">
        <v>25</v>
      </c>
      <c r="I1363" s="6">
        <v>44287</v>
      </c>
      <c r="J1363" s="4">
        <v>0</v>
      </c>
      <c r="K1363" s="4">
        <v>0</v>
      </c>
      <c r="L1363" s="4">
        <v>11784.513999999999</v>
      </c>
      <c r="M1363" s="4">
        <v>11784.513999999999</v>
      </c>
      <c r="N1363" s="4">
        <v>11784.513999999999</v>
      </c>
      <c r="O1363" s="4">
        <v>11784.513999999999</v>
      </c>
      <c r="P1363" s="4">
        <v>98290</v>
      </c>
      <c r="Q1363" s="3" t="s">
        <v>26</v>
      </c>
      <c r="R1363" s="3">
        <v>0</v>
      </c>
      <c r="S1363" s="3" t="s">
        <v>432</v>
      </c>
      <c r="T1363" s="3" t="s">
        <v>713</v>
      </c>
      <c r="U1363" s="3">
        <v>0</v>
      </c>
      <c r="V1363" s="3">
        <v>27</v>
      </c>
      <c r="W1363" s="3">
        <v>100</v>
      </c>
    </row>
    <row r="1364" spans="1:23" ht="11.25" customHeight="1" x14ac:dyDescent="0.25">
      <c r="A1364" s="3" t="s">
        <v>27</v>
      </c>
      <c r="B1364" s="3" t="s">
        <v>22</v>
      </c>
      <c r="C1364" s="3" t="s">
        <v>23</v>
      </c>
      <c r="D1364" s="3" t="s">
        <v>24</v>
      </c>
      <c r="E1364" s="3" t="s">
        <v>30</v>
      </c>
      <c r="F1364" s="3" t="s">
        <v>25</v>
      </c>
      <c r="G1364" s="3" t="s">
        <v>25</v>
      </c>
      <c r="H1364" s="3" t="s">
        <v>25</v>
      </c>
      <c r="I1364" s="6">
        <v>44287</v>
      </c>
      <c r="J1364" s="4">
        <v>0</v>
      </c>
      <c r="K1364" s="4">
        <v>0</v>
      </c>
      <c r="L1364" s="4">
        <v>-2.8889999999999998</v>
      </c>
      <c r="M1364" s="4">
        <v>-2.8889999999999998</v>
      </c>
      <c r="N1364" s="4">
        <v>-2.8889999999999998</v>
      </c>
      <c r="O1364" s="4">
        <v>-2.8889999999999998</v>
      </c>
      <c r="P1364" s="4">
        <v>-34</v>
      </c>
      <c r="Q1364" s="3" t="s">
        <v>26</v>
      </c>
      <c r="R1364" s="3">
        <v>0</v>
      </c>
      <c r="S1364" s="3" t="s">
        <v>432</v>
      </c>
      <c r="T1364" s="3" t="s">
        <v>713</v>
      </c>
      <c r="U1364" s="3">
        <v>0</v>
      </c>
      <c r="V1364" s="3">
        <v>27</v>
      </c>
      <c r="W1364" s="3">
        <v>100</v>
      </c>
    </row>
    <row r="1365" spans="1:23" ht="11.25" customHeight="1" x14ac:dyDescent="0.25">
      <c r="A1365" s="3" t="s">
        <v>28</v>
      </c>
      <c r="B1365" s="3" t="s">
        <v>22</v>
      </c>
      <c r="C1365" s="3" t="s">
        <v>23</v>
      </c>
      <c r="D1365" s="3" t="s">
        <v>24</v>
      </c>
      <c r="E1365" s="3" t="s">
        <v>30</v>
      </c>
      <c r="F1365" s="3" t="s">
        <v>25</v>
      </c>
      <c r="G1365" s="3" t="s">
        <v>25</v>
      </c>
      <c r="H1365" s="3" t="s">
        <v>25</v>
      </c>
      <c r="I1365" s="6">
        <v>44287</v>
      </c>
      <c r="J1365" s="4">
        <v>0</v>
      </c>
      <c r="K1365" s="4">
        <v>0</v>
      </c>
      <c r="L1365" s="4">
        <v>1.8560000000000001</v>
      </c>
      <c r="M1365" s="4">
        <v>1.8560000000000001</v>
      </c>
      <c r="N1365" s="4">
        <v>1.8560000000000001</v>
      </c>
      <c r="O1365" s="4">
        <v>1.8560000000000001</v>
      </c>
      <c r="P1365" s="4">
        <v>5</v>
      </c>
      <c r="Q1365" s="3" t="s">
        <v>26</v>
      </c>
      <c r="R1365" s="3">
        <v>0</v>
      </c>
      <c r="S1365" s="3" t="s">
        <v>432</v>
      </c>
      <c r="T1365" s="3" t="s">
        <v>713</v>
      </c>
      <c r="U1365" s="3">
        <v>0</v>
      </c>
      <c r="V1365" s="3">
        <v>27</v>
      </c>
      <c r="W1365" s="3">
        <v>100</v>
      </c>
    </row>
    <row r="1366" spans="1:23" ht="11.25" customHeight="1" x14ac:dyDescent="0.25">
      <c r="A1366" s="3" t="s">
        <v>21</v>
      </c>
      <c r="B1366" s="3" t="s">
        <v>22</v>
      </c>
      <c r="C1366" s="3" t="s">
        <v>23</v>
      </c>
      <c r="D1366" s="3" t="s">
        <v>24</v>
      </c>
      <c r="E1366" s="3" t="s">
        <v>30</v>
      </c>
      <c r="F1366" s="3" t="s">
        <v>25</v>
      </c>
      <c r="G1366" s="3" t="s">
        <v>25</v>
      </c>
      <c r="H1366" s="3" t="s">
        <v>25</v>
      </c>
      <c r="I1366" s="6">
        <v>44317</v>
      </c>
      <c r="J1366" s="4">
        <v>0</v>
      </c>
      <c r="K1366" s="4">
        <v>0</v>
      </c>
      <c r="L1366" s="4">
        <v>10989.485000000001</v>
      </c>
      <c r="M1366" s="4">
        <v>10989.485000000001</v>
      </c>
      <c r="N1366" s="4">
        <v>10989.485000000001</v>
      </c>
      <c r="O1366" s="4">
        <v>10989.485000000001</v>
      </c>
      <c r="P1366" s="4">
        <v>114625</v>
      </c>
      <c r="Q1366" s="3" t="s">
        <v>26</v>
      </c>
      <c r="R1366" s="3">
        <v>0</v>
      </c>
      <c r="S1366" s="3" t="s">
        <v>433</v>
      </c>
      <c r="T1366" s="3" t="s">
        <v>714</v>
      </c>
      <c r="U1366" s="3">
        <v>0</v>
      </c>
      <c r="V1366" s="3">
        <v>27</v>
      </c>
      <c r="W1366" s="3">
        <v>100</v>
      </c>
    </row>
    <row r="1367" spans="1:23" ht="11.25" customHeight="1" x14ac:dyDescent="0.25">
      <c r="A1367" s="3" t="s">
        <v>27</v>
      </c>
      <c r="B1367" s="3" t="s">
        <v>22</v>
      </c>
      <c r="C1367" s="3" t="s">
        <v>23</v>
      </c>
      <c r="D1367" s="3" t="s">
        <v>24</v>
      </c>
      <c r="E1367" s="3" t="s">
        <v>30</v>
      </c>
      <c r="F1367" s="3" t="s">
        <v>25</v>
      </c>
      <c r="G1367" s="3" t="s">
        <v>25</v>
      </c>
      <c r="H1367" s="3" t="s">
        <v>25</v>
      </c>
      <c r="I1367" s="6">
        <v>44317</v>
      </c>
      <c r="J1367" s="4">
        <v>0</v>
      </c>
      <c r="K1367" s="4">
        <v>0</v>
      </c>
      <c r="L1367" s="4">
        <v>-0.79100000000000004</v>
      </c>
      <c r="M1367" s="4">
        <v>-0.79100000000000004</v>
      </c>
      <c r="N1367" s="4">
        <v>-0.79100000000000004</v>
      </c>
      <c r="O1367" s="4">
        <v>-0.79100000000000004</v>
      </c>
      <c r="P1367" s="4">
        <v>-3</v>
      </c>
      <c r="Q1367" s="3" t="s">
        <v>26</v>
      </c>
      <c r="R1367" s="3">
        <v>0</v>
      </c>
      <c r="S1367" s="3" t="s">
        <v>433</v>
      </c>
      <c r="T1367" s="3" t="s">
        <v>714</v>
      </c>
      <c r="U1367" s="3">
        <v>0</v>
      </c>
      <c r="V1367" s="3">
        <v>27</v>
      </c>
      <c r="W1367" s="3">
        <v>100</v>
      </c>
    </row>
    <row r="1368" spans="1:23" ht="11.25" customHeight="1" x14ac:dyDescent="0.25">
      <c r="A1368" s="3" t="s">
        <v>28</v>
      </c>
      <c r="B1368" s="3" t="s">
        <v>22</v>
      </c>
      <c r="C1368" s="3" t="s">
        <v>23</v>
      </c>
      <c r="D1368" s="3" t="s">
        <v>24</v>
      </c>
      <c r="E1368" s="3" t="s">
        <v>30</v>
      </c>
      <c r="F1368" s="3" t="s">
        <v>25</v>
      </c>
      <c r="G1368" s="3" t="s">
        <v>25</v>
      </c>
      <c r="H1368" s="3" t="s">
        <v>25</v>
      </c>
      <c r="I1368" s="6">
        <v>44317</v>
      </c>
      <c r="J1368" s="4">
        <v>0</v>
      </c>
      <c r="K1368" s="4">
        <v>0</v>
      </c>
      <c r="L1368" s="4">
        <v>2.222</v>
      </c>
      <c r="M1368" s="4">
        <v>2.222</v>
      </c>
      <c r="N1368" s="4">
        <v>2.222</v>
      </c>
      <c r="O1368" s="4">
        <v>2.222</v>
      </c>
      <c r="P1368" s="4">
        <v>6</v>
      </c>
      <c r="Q1368" s="3" t="s">
        <v>26</v>
      </c>
      <c r="R1368" s="3">
        <v>0</v>
      </c>
      <c r="S1368" s="3" t="s">
        <v>433</v>
      </c>
      <c r="T1368" s="3" t="s">
        <v>714</v>
      </c>
      <c r="U1368" s="3">
        <v>0</v>
      </c>
      <c r="V1368" s="3">
        <v>27</v>
      </c>
      <c r="W1368" s="3">
        <v>100</v>
      </c>
    </row>
    <row r="1369" spans="1:23" ht="11.25" customHeight="1" x14ac:dyDescent="0.25">
      <c r="A1369" s="3" t="s">
        <v>21</v>
      </c>
      <c r="B1369" s="3" t="s">
        <v>22</v>
      </c>
      <c r="C1369" s="3" t="s">
        <v>23</v>
      </c>
      <c r="D1369" s="3" t="s">
        <v>24</v>
      </c>
      <c r="E1369" s="3" t="s">
        <v>30</v>
      </c>
      <c r="F1369" s="3" t="s">
        <v>25</v>
      </c>
      <c r="G1369" s="3" t="s">
        <v>25</v>
      </c>
      <c r="H1369" s="3" t="s">
        <v>25</v>
      </c>
      <c r="I1369" s="6">
        <v>44348</v>
      </c>
      <c r="J1369" s="4">
        <v>0</v>
      </c>
      <c r="K1369" s="4">
        <v>0</v>
      </c>
      <c r="L1369" s="4">
        <v>10714.004999999999</v>
      </c>
      <c r="M1369" s="4">
        <v>10714.004999999999</v>
      </c>
      <c r="N1369" s="4">
        <v>10714.004999999999</v>
      </c>
      <c r="O1369" s="4">
        <v>10714.004999999999</v>
      </c>
      <c r="P1369" s="4">
        <v>120776</v>
      </c>
      <c r="Q1369" s="3" t="s">
        <v>26</v>
      </c>
      <c r="R1369" s="3">
        <v>0</v>
      </c>
      <c r="S1369" s="3" t="s">
        <v>434</v>
      </c>
      <c r="T1369" s="3" t="s">
        <v>715</v>
      </c>
      <c r="U1369" s="3">
        <v>0</v>
      </c>
      <c r="V1369" s="3">
        <v>27</v>
      </c>
      <c r="W1369" s="3">
        <v>100</v>
      </c>
    </row>
    <row r="1370" spans="1:23" ht="11.25" customHeight="1" x14ac:dyDescent="0.25">
      <c r="A1370" s="3" t="s">
        <v>27</v>
      </c>
      <c r="B1370" s="3" t="s">
        <v>22</v>
      </c>
      <c r="C1370" s="3" t="s">
        <v>23</v>
      </c>
      <c r="D1370" s="3" t="s">
        <v>24</v>
      </c>
      <c r="E1370" s="3" t="s">
        <v>30</v>
      </c>
      <c r="F1370" s="3" t="s">
        <v>25</v>
      </c>
      <c r="G1370" s="3" t="s">
        <v>25</v>
      </c>
      <c r="H1370" s="3" t="s">
        <v>25</v>
      </c>
      <c r="I1370" s="6">
        <v>44348</v>
      </c>
      <c r="J1370" s="4">
        <v>0</v>
      </c>
      <c r="K1370" s="4">
        <v>0</v>
      </c>
      <c r="L1370" s="4">
        <v>-1.67</v>
      </c>
      <c r="M1370" s="4">
        <v>-1.67</v>
      </c>
      <c r="N1370" s="4">
        <v>-1.67</v>
      </c>
      <c r="O1370" s="4">
        <v>-1.67</v>
      </c>
      <c r="P1370" s="4">
        <v>-10</v>
      </c>
      <c r="Q1370" s="3" t="s">
        <v>26</v>
      </c>
      <c r="R1370" s="3">
        <v>0</v>
      </c>
      <c r="S1370" s="3" t="s">
        <v>434</v>
      </c>
      <c r="T1370" s="3" t="s">
        <v>715</v>
      </c>
      <c r="U1370" s="3">
        <v>0</v>
      </c>
      <c r="V1370" s="3">
        <v>27</v>
      </c>
      <c r="W1370" s="3">
        <v>100</v>
      </c>
    </row>
    <row r="1371" spans="1:23" ht="11.25" customHeight="1" x14ac:dyDescent="0.25">
      <c r="A1371" s="3" t="s">
        <v>28</v>
      </c>
      <c r="B1371" s="3" t="s">
        <v>22</v>
      </c>
      <c r="C1371" s="3" t="s">
        <v>23</v>
      </c>
      <c r="D1371" s="3" t="s">
        <v>24</v>
      </c>
      <c r="E1371" s="3" t="s">
        <v>30</v>
      </c>
      <c r="F1371" s="3" t="s">
        <v>25</v>
      </c>
      <c r="G1371" s="3" t="s">
        <v>25</v>
      </c>
      <c r="H1371" s="3" t="s">
        <v>25</v>
      </c>
      <c r="I1371" s="6">
        <v>44348</v>
      </c>
      <c r="J1371" s="4">
        <v>0</v>
      </c>
      <c r="K1371" s="4">
        <v>0</v>
      </c>
      <c r="L1371" s="4">
        <v>2.242</v>
      </c>
      <c r="M1371" s="4">
        <v>2.242</v>
      </c>
      <c r="N1371" s="4">
        <v>2.242</v>
      </c>
      <c r="O1371" s="4">
        <v>2.242</v>
      </c>
      <c r="P1371" s="4">
        <v>6</v>
      </c>
      <c r="Q1371" s="3" t="s">
        <v>26</v>
      </c>
      <c r="R1371" s="3">
        <v>0</v>
      </c>
      <c r="S1371" s="3" t="s">
        <v>434</v>
      </c>
      <c r="T1371" s="3" t="s">
        <v>715</v>
      </c>
      <c r="U1371" s="3">
        <v>0</v>
      </c>
      <c r="V1371" s="3">
        <v>27</v>
      </c>
      <c r="W1371" s="3">
        <v>100</v>
      </c>
    </row>
    <row r="1372" spans="1:23" ht="11.25" customHeight="1" x14ac:dyDescent="0.25">
      <c r="A1372" s="3" t="s">
        <v>21</v>
      </c>
      <c r="B1372" s="3" t="s">
        <v>22</v>
      </c>
      <c r="C1372" s="3" t="s">
        <v>23</v>
      </c>
      <c r="D1372" s="3" t="s">
        <v>24</v>
      </c>
      <c r="E1372" s="3" t="s">
        <v>30</v>
      </c>
      <c r="F1372" s="3" t="s">
        <v>25</v>
      </c>
      <c r="G1372" s="3" t="s">
        <v>25</v>
      </c>
      <c r="H1372" s="3" t="s">
        <v>25</v>
      </c>
      <c r="I1372" s="6">
        <v>44378</v>
      </c>
      <c r="J1372" s="4">
        <v>0</v>
      </c>
      <c r="K1372" s="4">
        <v>0</v>
      </c>
      <c r="L1372" s="4">
        <v>10670.163</v>
      </c>
      <c r="M1372" s="4">
        <v>10670.163</v>
      </c>
      <c r="N1372" s="4">
        <v>10670.163</v>
      </c>
      <c r="O1372" s="4">
        <v>10670.163</v>
      </c>
      <c r="P1372" s="4">
        <v>123431</v>
      </c>
      <c r="Q1372" s="3" t="s">
        <v>26</v>
      </c>
      <c r="R1372" s="3">
        <v>0</v>
      </c>
      <c r="S1372" s="3" t="s">
        <v>435</v>
      </c>
      <c r="T1372" s="3" t="s">
        <v>716</v>
      </c>
      <c r="U1372" s="3">
        <v>0</v>
      </c>
      <c r="V1372" s="3">
        <v>27</v>
      </c>
      <c r="W1372" s="3">
        <v>100</v>
      </c>
    </row>
    <row r="1373" spans="1:23" ht="11.25" customHeight="1" x14ac:dyDescent="0.25">
      <c r="A1373" s="3" t="s">
        <v>27</v>
      </c>
      <c r="B1373" s="3" t="s">
        <v>22</v>
      </c>
      <c r="C1373" s="3" t="s">
        <v>23</v>
      </c>
      <c r="D1373" s="3" t="s">
        <v>24</v>
      </c>
      <c r="E1373" s="3" t="s">
        <v>30</v>
      </c>
      <c r="F1373" s="3" t="s">
        <v>25</v>
      </c>
      <c r="G1373" s="3" t="s">
        <v>25</v>
      </c>
      <c r="H1373" s="3" t="s">
        <v>25</v>
      </c>
      <c r="I1373" s="6">
        <v>44378</v>
      </c>
      <c r="J1373" s="4">
        <v>0</v>
      </c>
      <c r="K1373" s="4">
        <v>0</v>
      </c>
      <c r="L1373" s="4">
        <v>-1.9139999999999999</v>
      </c>
      <c r="M1373" s="4">
        <v>-1.9139999999999999</v>
      </c>
      <c r="N1373" s="4">
        <v>-1.9139999999999999</v>
      </c>
      <c r="O1373" s="4">
        <v>-1.9139999999999999</v>
      </c>
      <c r="P1373" s="4">
        <v>-24</v>
      </c>
      <c r="Q1373" s="3" t="s">
        <v>26</v>
      </c>
      <c r="R1373" s="3">
        <v>0</v>
      </c>
      <c r="S1373" s="3" t="s">
        <v>435</v>
      </c>
      <c r="T1373" s="3" t="s">
        <v>716</v>
      </c>
      <c r="U1373" s="3">
        <v>0</v>
      </c>
      <c r="V1373" s="3">
        <v>27</v>
      </c>
      <c r="W1373" s="3">
        <v>100</v>
      </c>
    </row>
    <row r="1374" spans="1:23" ht="11.25" customHeight="1" x14ac:dyDescent="0.25">
      <c r="A1374" s="3" t="s">
        <v>28</v>
      </c>
      <c r="B1374" s="3" t="s">
        <v>22</v>
      </c>
      <c r="C1374" s="3" t="s">
        <v>23</v>
      </c>
      <c r="D1374" s="3" t="s">
        <v>24</v>
      </c>
      <c r="E1374" s="3" t="s">
        <v>30</v>
      </c>
      <c r="F1374" s="3" t="s">
        <v>25</v>
      </c>
      <c r="G1374" s="3" t="s">
        <v>25</v>
      </c>
      <c r="H1374" s="3" t="s">
        <v>25</v>
      </c>
      <c r="I1374" s="6">
        <v>44378</v>
      </c>
      <c r="J1374" s="4">
        <v>0</v>
      </c>
      <c r="K1374" s="4">
        <v>0</v>
      </c>
      <c r="L1374" s="4">
        <v>2.36</v>
      </c>
      <c r="M1374" s="4">
        <v>2.36</v>
      </c>
      <c r="N1374" s="4">
        <v>2.36</v>
      </c>
      <c r="O1374" s="4">
        <v>2.36</v>
      </c>
      <c r="P1374" s="4">
        <v>10</v>
      </c>
      <c r="Q1374" s="3" t="s">
        <v>26</v>
      </c>
      <c r="R1374" s="3">
        <v>0</v>
      </c>
      <c r="S1374" s="3" t="s">
        <v>435</v>
      </c>
      <c r="T1374" s="3" t="s">
        <v>716</v>
      </c>
      <c r="U1374" s="3">
        <v>0</v>
      </c>
      <c r="V1374" s="3">
        <v>27</v>
      </c>
      <c r="W1374" s="3">
        <v>100</v>
      </c>
    </row>
    <row r="1375" spans="1:23" ht="11.25" customHeight="1" x14ac:dyDescent="0.25">
      <c r="A1375" s="3" t="s">
        <v>21</v>
      </c>
      <c r="B1375" s="3" t="s">
        <v>22</v>
      </c>
      <c r="C1375" s="3" t="s">
        <v>23</v>
      </c>
      <c r="D1375" s="3" t="s">
        <v>24</v>
      </c>
      <c r="E1375" s="3" t="s">
        <v>30</v>
      </c>
      <c r="F1375" s="3" t="s">
        <v>25</v>
      </c>
      <c r="G1375" s="3" t="s">
        <v>25</v>
      </c>
      <c r="H1375" s="3" t="s">
        <v>25</v>
      </c>
      <c r="I1375" s="6">
        <v>44409</v>
      </c>
      <c r="J1375" s="4">
        <v>0</v>
      </c>
      <c r="K1375" s="4">
        <v>0</v>
      </c>
      <c r="L1375" s="4">
        <v>10254.171</v>
      </c>
      <c r="M1375" s="4">
        <v>10254.171</v>
      </c>
      <c r="N1375" s="4">
        <v>10254.171</v>
      </c>
      <c r="O1375" s="4">
        <v>10254.171</v>
      </c>
      <c r="P1375" s="4">
        <v>131714</v>
      </c>
      <c r="Q1375" s="3" t="s">
        <v>26</v>
      </c>
      <c r="R1375" s="3">
        <v>0</v>
      </c>
      <c r="S1375" s="3" t="s">
        <v>436</v>
      </c>
      <c r="T1375" s="3" t="s">
        <v>717</v>
      </c>
      <c r="U1375" s="3">
        <v>0</v>
      </c>
      <c r="V1375" s="3">
        <v>27</v>
      </c>
      <c r="W1375" s="3">
        <v>100</v>
      </c>
    </row>
    <row r="1376" spans="1:23" ht="11.25" customHeight="1" x14ac:dyDescent="0.25">
      <c r="A1376" s="3" t="s">
        <v>27</v>
      </c>
      <c r="B1376" s="3" t="s">
        <v>22</v>
      </c>
      <c r="C1376" s="3" t="s">
        <v>23</v>
      </c>
      <c r="D1376" s="3" t="s">
        <v>24</v>
      </c>
      <c r="E1376" s="3" t="s">
        <v>30</v>
      </c>
      <c r="F1376" s="3" t="s">
        <v>25</v>
      </c>
      <c r="G1376" s="3" t="s">
        <v>25</v>
      </c>
      <c r="H1376" s="3" t="s">
        <v>25</v>
      </c>
      <c r="I1376" s="6">
        <v>44409</v>
      </c>
      <c r="J1376" s="4">
        <v>0</v>
      </c>
      <c r="K1376" s="4">
        <v>0</v>
      </c>
      <c r="L1376" s="4">
        <v>-1.6839999999999999</v>
      </c>
      <c r="M1376" s="4">
        <v>-1.6839999999999999</v>
      </c>
      <c r="N1376" s="4">
        <v>-1.6839999999999999</v>
      </c>
      <c r="O1376" s="4">
        <v>-1.6839999999999999</v>
      </c>
      <c r="P1376" s="4">
        <v>-17</v>
      </c>
      <c r="Q1376" s="3" t="s">
        <v>26</v>
      </c>
      <c r="R1376" s="3">
        <v>0</v>
      </c>
      <c r="S1376" s="3" t="s">
        <v>436</v>
      </c>
      <c r="T1376" s="3" t="s">
        <v>717</v>
      </c>
      <c r="U1376" s="3">
        <v>0</v>
      </c>
      <c r="V1376" s="3">
        <v>27</v>
      </c>
      <c r="W1376" s="3">
        <v>100</v>
      </c>
    </row>
    <row r="1377" spans="1:23" ht="11.25" customHeight="1" x14ac:dyDescent="0.25">
      <c r="A1377" s="3" t="s">
        <v>28</v>
      </c>
      <c r="B1377" s="3" t="s">
        <v>22</v>
      </c>
      <c r="C1377" s="3" t="s">
        <v>23</v>
      </c>
      <c r="D1377" s="3" t="s">
        <v>24</v>
      </c>
      <c r="E1377" s="3" t="s">
        <v>30</v>
      </c>
      <c r="F1377" s="3" t="s">
        <v>25</v>
      </c>
      <c r="G1377" s="3" t="s">
        <v>25</v>
      </c>
      <c r="H1377" s="3" t="s">
        <v>25</v>
      </c>
      <c r="I1377" s="6">
        <v>44409</v>
      </c>
      <c r="J1377" s="4">
        <v>0</v>
      </c>
      <c r="K1377" s="4">
        <v>0</v>
      </c>
      <c r="L1377" s="4">
        <v>2.266</v>
      </c>
      <c r="M1377" s="4">
        <v>2.266</v>
      </c>
      <c r="N1377" s="4">
        <v>2.266</v>
      </c>
      <c r="O1377" s="4">
        <v>2.266</v>
      </c>
      <c r="P1377" s="4">
        <v>11</v>
      </c>
      <c r="Q1377" s="3" t="s">
        <v>26</v>
      </c>
      <c r="R1377" s="3">
        <v>0</v>
      </c>
      <c r="S1377" s="3" t="s">
        <v>436</v>
      </c>
      <c r="T1377" s="3" t="s">
        <v>717</v>
      </c>
      <c r="U1377" s="3">
        <v>0</v>
      </c>
      <c r="V1377" s="3">
        <v>27</v>
      </c>
      <c r="W1377" s="3">
        <v>100</v>
      </c>
    </row>
    <row r="1378" spans="1:23" ht="11.25" customHeight="1" x14ac:dyDescent="0.25">
      <c r="A1378" s="3" t="s">
        <v>21</v>
      </c>
      <c r="B1378" s="3" t="s">
        <v>22</v>
      </c>
      <c r="C1378" s="3" t="s">
        <v>23</v>
      </c>
      <c r="D1378" s="3" t="s">
        <v>24</v>
      </c>
      <c r="E1378" s="3" t="s">
        <v>30</v>
      </c>
      <c r="F1378" s="3" t="s">
        <v>25</v>
      </c>
      <c r="G1378" s="3" t="s">
        <v>25</v>
      </c>
      <c r="H1378" s="3" t="s">
        <v>25</v>
      </c>
      <c r="I1378" s="6">
        <v>44440</v>
      </c>
      <c r="J1378" s="4">
        <v>0</v>
      </c>
      <c r="K1378" s="4">
        <v>0</v>
      </c>
      <c r="L1378" s="4">
        <v>10326.647999999999</v>
      </c>
      <c r="M1378" s="4">
        <v>10326.647999999999</v>
      </c>
      <c r="N1378" s="4">
        <v>10326.647999999999</v>
      </c>
      <c r="O1378" s="4">
        <v>10326.647999999999</v>
      </c>
      <c r="P1378" s="4">
        <v>128109</v>
      </c>
      <c r="Q1378" s="3" t="s">
        <v>26</v>
      </c>
      <c r="R1378" s="3">
        <v>0</v>
      </c>
      <c r="S1378" s="3" t="s">
        <v>437</v>
      </c>
      <c r="T1378" s="3" t="s">
        <v>718</v>
      </c>
      <c r="U1378" s="3">
        <v>0</v>
      </c>
      <c r="V1378" s="3">
        <v>27</v>
      </c>
      <c r="W1378" s="3">
        <v>100</v>
      </c>
    </row>
    <row r="1379" spans="1:23" ht="11.25" customHeight="1" x14ac:dyDescent="0.25">
      <c r="A1379" s="3" t="s">
        <v>27</v>
      </c>
      <c r="B1379" s="3" t="s">
        <v>22</v>
      </c>
      <c r="C1379" s="3" t="s">
        <v>23</v>
      </c>
      <c r="D1379" s="3" t="s">
        <v>24</v>
      </c>
      <c r="E1379" s="3" t="s">
        <v>30</v>
      </c>
      <c r="F1379" s="3" t="s">
        <v>25</v>
      </c>
      <c r="G1379" s="3" t="s">
        <v>25</v>
      </c>
      <c r="H1379" s="3" t="s">
        <v>25</v>
      </c>
      <c r="I1379" s="6">
        <v>44440</v>
      </c>
      <c r="J1379" s="4">
        <v>0</v>
      </c>
      <c r="K1379" s="4">
        <v>0</v>
      </c>
      <c r="L1379" s="4">
        <v>-2.097</v>
      </c>
      <c r="M1379" s="4">
        <v>-2.097</v>
      </c>
      <c r="N1379" s="4">
        <v>-2.097</v>
      </c>
      <c r="O1379" s="4">
        <v>-2.097</v>
      </c>
      <c r="P1379" s="4">
        <v>-17</v>
      </c>
      <c r="Q1379" s="3" t="s">
        <v>26</v>
      </c>
      <c r="R1379" s="3">
        <v>0</v>
      </c>
      <c r="S1379" s="3" t="s">
        <v>437</v>
      </c>
      <c r="T1379" s="3" t="s">
        <v>718</v>
      </c>
      <c r="U1379" s="3">
        <v>0</v>
      </c>
      <c r="V1379" s="3">
        <v>27</v>
      </c>
      <c r="W1379" s="3">
        <v>100</v>
      </c>
    </row>
    <row r="1380" spans="1:23" ht="11.25" customHeight="1" x14ac:dyDescent="0.25">
      <c r="A1380" s="3" t="s">
        <v>28</v>
      </c>
      <c r="B1380" s="3" t="s">
        <v>22</v>
      </c>
      <c r="C1380" s="3" t="s">
        <v>23</v>
      </c>
      <c r="D1380" s="3" t="s">
        <v>24</v>
      </c>
      <c r="E1380" s="3" t="s">
        <v>30</v>
      </c>
      <c r="F1380" s="3" t="s">
        <v>25</v>
      </c>
      <c r="G1380" s="3" t="s">
        <v>25</v>
      </c>
      <c r="H1380" s="3" t="s">
        <v>25</v>
      </c>
      <c r="I1380" s="6">
        <v>44440</v>
      </c>
      <c r="J1380" s="4">
        <v>0</v>
      </c>
      <c r="K1380" s="4">
        <v>0</v>
      </c>
      <c r="L1380" s="4">
        <v>2.266</v>
      </c>
      <c r="M1380" s="4">
        <v>2.266</v>
      </c>
      <c r="N1380" s="4">
        <v>2.266</v>
      </c>
      <c r="O1380" s="4">
        <v>2.266</v>
      </c>
      <c r="P1380" s="4">
        <v>11</v>
      </c>
      <c r="Q1380" s="3" t="s">
        <v>26</v>
      </c>
      <c r="R1380" s="3">
        <v>0</v>
      </c>
      <c r="S1380" s="3" t="s">
        <v>437</v>
      </c>
      <c r="T1380" s="3" t="s">
        <v>718</v>
      </c>
      <c r="U1380" s="3">
        <v>0</v>
      </c>
      <c r="V1380" s="3">
        <v>27</v>
      </c>
      <c r="W1380" s="3">
        <v>100</v>
      </c>
    </row>
    <row r="1381" spans="1:23" ht="11.25" customHeight="1" x14ac:dyDescent="0.25">
      <c r="A1381" s="3" t="s">
        <v>21</v>
      </c>
      <c r="B1381" s="3" t="s">
        <v>22</v>
      </c>
      <c r="C1381" s="3" t="s">
        <v>23</v>
      </c>
      <c r="D1381" s="3" t="s">
        <v>24</v>
      </c>
      <c r="E1381" s="3" t="s">
        <v>30</v>
      </c>
      <c r="F1381" s="3" t="s">
        <v>25</v>
      </c>
      <c r="G1381" s="3" t="s">
        <v>25</v>
      </c>
      <c r="H1381" s="3" t="s">
        <v>25</v>
      </c>
      <c r="I1381" s="6">
        <v>44470</v>
      </c>
      <c r="J1381" s="4">
        <v>0</v>
      </c>
      <c r="K1381" s="4">
        <v>0</v>
      </c>
      <c r="L1381" s="4">
        <v>10969.75</v>
      </c>
      <c r="M1381" s="4">
        <v>10969.75</v>
      </c>
      <c r="N1381" s="4">
        <v>10969.75</v>
      </c>
      <c r="O1381" s="4">
        <v>10969.75</v>
      </c>
      <c r="P1381" s="4">
        <v>120014</v>
      </c>
      <c r="Q1381" s="3" t="s">
        <v>26</v>
      </c>
      <c r="R1381" s="3">
        <v>0</v>
      </c>
      <c r="S1381" s="3" t="s">
        <v>438</v>
      </c>
      <c r="T1381" s="3" t="s">
        <v>719</v>
      </c>
      <c r="U1381" s="3">
        <v>0</v>
      </c>
      <c r="V1381" s="3">
        <v>27</v>
      </c>
      <c r="W1381" s="3">
        <v>100</v>
      </c>
    </row>
    <row r="1382" spans="1:23" ht="11.25" customHeight="1" x14ac:dyDescent="0.25">
      <c r="A1382" s="3" t="s">
        <v>27</v>
      </c>
      <c r="B1382" s="3" t="s">
        <v>22</v>
      </c>
      <c r="C1382" s="3" t="s">
        <v>23</v>
      </c>
      <c r="D1382" s="3" t="s">
        <v>24</v>
      </c>
      <c r="E1382" s="3" t="s">
        <v>30</v>
      </c>
      <c r="F1382" s="3" t="s">
        <v>25</v>
      </c>
      <c r="G1382" s="3" t="s">
        <v>25</v>
      </c>
      <c r="H1382" s="3" t="s">
        <v>25</v>
      </c>
      <c r="I1382" s="6">
        <v>44470</v>
      </c>
      <c r="J1382" s="4">
        <v>0</v>
      </c>
      <c r="K1382" s="4">
        <v>0</v>
      </c>
      <c r="L1382" s="4">
        <v>-2.4649999999999999</v>
      </c>
      <c r="M1382" s="4">
        <v>-2.4649999999999999</v>
      </c>
      <c r="N1382" s="4">
        <v>-2.4649999999999999</v>
      </c>
      <c r="O1382" s="4">
        <v>-2.4649999999999999</v>
      </c>
      <c r="P1382" s="4">
        <v>-13</v>
      </c>
      <c r="Q1382" s="3" t="s">
        <v>26</v>
      </c>
      <c r="R1382" s="3">
        <v>0</v>
      </c>
      <c r="S1382" s="3" t="s">
        <v>438</v>
      </c>
      <c r="T1382" s="3" t="s">
        <v>719</v>
      </c>
      <c r="U1382" s="3">
        <v>0</v>
      </c>
      <c r="V1382" s="3">
        <v>27</v>
      </c>
      <c r="W1382" s="3">
        <v>100</v>
      </c>
    </row>
    <row r="1383" spans="1:23" ht="11.25" customHeight="1" x14ac:dyDescent="0.25">
      <c r="A1383" s="3" t="s">
        <v>28</v>
      </c>
      <c r="B1383" s="3" t="s">
        <v>22</v>
      </c>
      <c r="C1383" s="3" t="s">
        <v>23</v>
      </c>
      <c r="D1383" s="3" t="s">
        <v>24</v>
      </c>
      <c r="E1383" s="3" t="s">
        <v>30</v>
      </c>
      <c r="F1383" s="3" t="s">
        <v>25</v>
      </c>
      <c r="G1383" s="3" t="s">
        <v>25</v>
      </c>
      <c r="H1383" s="3" t="s">
        <v>25</v>
      </c>
      <c r="I1383" s="6">
        <v>44470</v>
      </c>
      <c r="J1383" s="4">
        <v>0</v>
      </c>
      <c r="K1383" s="4">
        <v>0</v>
      </c>
      <c r="L1383" s="4">
        <v>2.5099999999999998</v>
      </c>
      <c r="M1383" s="4">
        <v>2.5099999999999998</v>
      </c>
      <c r="N1383" s="4">
        <v>2.5099999999999998</v>
      </c>
      <c r="O1383" s="4">
        <v>2.5099999999999998</v>
      </c>
      <c r="P1383" s="4">
        <v>11</v>
      </c>
      <c r="Q1383" s="3" t="s">
        <v>26</v>
      </c>
      <c r="R1383" s="3">
        <v>0</v>
      </c>
      <c r="S1383" s="3" t="s">
        <v>438</v>
      </c>
      <c r="T1383" s="3" t="s">
        <v>719</v>
      </c>
      <c r="U1383" s="3">
        <v>0</v>
      </c>
      <c r="V1383" s="3">
        <v>27</v>
      </c>
      <c r="W1383" s="3">
        <v>100</v>
      </c>
    </row>
    <row r="1384" spans="1:23" ht="11.25" customHeight="1" x14ac:dyDescent="0.25">
      <c r="A1384" s="3" t="s">
        <v>21</v>
      </c>
      <c r="B1384" s="3" t="s">
        <v>22</v>
      </c>
      <c r="C1384" s="3" t="s">
        <v>23</v>
      </c>
      <c r="D1384" s="3" t="s">
        <v>24</v>
      </c>
      <c r="E1384" s="3" t="s">
        <v>30</v>
      </c>
      <c r="F1384" s="3" t="s">
        <v>25</v>
      </c>
      <c r="G1384" s="3" t="s">
        <v>25</v>
      </c>
      <c r="H1384" s="3" t="s">
        <v>25</v>
      </c>
      <c r="I1384" s="6">
        <v>44501</v>
      </c>
      <c r="J1384" s="4">
        <v>0</v>
      </c>
      <c r="K1384" s="4">
        <v>0</v>
      </c>
      <c r="L1384" s="4">
        <v>11186.839</v>
      </c>
      <c r="M1384" s="4">
        <v>11186.839</v>
      </c>
      <c r="N1384" s="4">
        <v>11186.839</v>
      </c>
      <c r="O1384" s="4">
        <v>11186.839</v>
      </c>
      <c r="P1384" s="4">
        <v>116155</v>
      </c>
      <c r="Q1384" s="3" t="s">
        <v>26</v>
      </c>
      <c r="R1384" s="3">
        <v>0</v>
      </c>
      <c r="S1384" s="3" t="s">
        <v>439</v>
      </c>
      <c r="T1384" s="3" t="s">
        <v>720</v>
      </c>
      <c r="U1384" s="3">
        <v>0</v>
      </c>
      <c r="V1384" s="3">
        <v>27</v>
      </c>
      <c r="W1384" s="3">
        <v>100</v>
      </c>
    </row>
    <row r="1385" spans="1:23" ht="11.25" customHeight="1" x14ac:dyDescent="0.25">
      <c r="A1385" s="3" t="s">
        <v>27</v>
      </c>
      <c r="B1385" s="3" t="s">
        <v>22</v>
      </c>
      <c r="C1385" s="3" t="s">
        <v>23</v>
      </c>
      <c r="D1385" s="3" t="s">
        <v>24</v>
      </c>
      <c r="E1385" s="3" t="s">
        <v>30</v>
      </c>
      <c r="F1385" s="3" t="s">
        <v>25</v>
      </c>
      <c r="G1385" s="3" t="s">
        <v>25</v>
      </c>
      <c r="H1385" s="3" t="s">
        <v>25</v>
      </c>
      <c r="I1385" s="6">
        <v>44501</v>
      </c>
      <c r="J1385" s="4">
        <v>0</v>
      </c>
      <c r="K1385" s="4">
        <v>0</v>
      </c>
      <c r="L1385" s="4">
        <v>-2.331</v>
      </c>
      <c r="M1385" s="4">
        <v>-2.331</v>
      </c>
      <c r="N1385" s="4">
        <v>-2.331</v>
      </c>
      <c r="O1385" s="4">
        <v>-2.331</v>
      </c>
      <c r="P1385" s="4">
        <v>-13</v>
      </c>
      <c r="Q1385" s="3" t="s">
        <v>26</v>
      </c>
      <c r="R1385" s="3">
        <v>0</v>
      </c>
      <c r="S1385" s="3" t="s">
        <v>439</v>
      </c>
      <c r="T1385" s="3" t="s">
        <v>720</v>
      </c>
      <c r="U1385" s="3">
        <v>0</v>
      </c>
      <c r="V1385" s="3">
        <v>27</v>
      </c>
      <c r="W1385" s="3">
        <v>100</v>
      </c>
    </row>
    <row r="1386" spans="1:23" ht="11.25" customHeight="1" x14ac:dyDescent="0.25">
      <c r="A1386" s="3" t="s">
        <v>28</v>
      </c>
      <c r="B1386" s="3" t="s">
        <v>22</v>
      </c>
      <c r="C1386" s="3" t="s">
        <v>23</v>
      </c>
      <c r="D1386" s="3" t="s">
        <v>24</v>
      </c>
      <c r="E1386" s="3" t="s">
        <v>30</v>
      </c>
      <c r="F1386" s="3" t="s">
        <v>25</v>
      </c>
      <c r="G1386" s="3" t="s">
        <v>25</v>
      </c>
      <c r="H1386" s="3" t="s">
        <v>25</v>
      </c>
      <c r="I1386" s="6">
        <v>44501</v>
      </c>
      <c r="J1386" s="4">
        <v>0</v>
      </c>
      <c r="K1386" s="4">
        <v>0</v>
      </c>
      <c r="L1386" s="4">
        <v>2.714</v>
      </c>
      <c r="M1386" s="4">
        <v>2.714</v>
      </c>
      <c r="N1386" s="4">
        <v>2.714</v>
      </c>
      <c r="O1386" s="4">
        <v>2.714</v>
      </c>
      <c r="P1386" s="4">
        <v>13</v>
      </c>
      <c r="Q1386" s="3" t="s">
        <v>26</v>
      </c>
      <c r="R1386" s="3">
        <v>0</v>
      </c>
      <c r="S1386" s="3" t="s">
        <v>439</v>
      </c>
      <c r="T1386" s="3" t="s">
        <v>720</v>
      </c>
      <c r="U1386" s="3">
        <v>0</v>
      </c>
      <c r="V1386" s="3">
        <v>27</v>
      </c>
      <c r="W1386" s="3">
        <v>100</v>
      </c>
    </row>
    <row r="1387" spans="1:23" ht="11.25" customHeight="1" x14ac:dyDescent="0.25">
      <c r="A1387" s="3" t="s">
        <v>21</v>
      </c>
      <c r="B1387" s="3" t="s">
        <v>22</v>
      </c>
      <c r="C1387" s="3" t="s">
        <v>23</v>
      </c>
      <c r="D1387" s="3" t="s">
        <v>24</v>
      </c>
      <c r="E1387" s="3" t="s">
        <v>30</v>
      </c>
      <c r="F1387" s="3" t="s">
        <v>25</v>
      </c>
      <c r="G1387" s="3" t="s">
        <v>25</v>
      </c>
      <c r="H1387" s="3" t="s">
        <v>25</v>
      </c>
      <c r="I1387" s="6">
        <v>44531</v>
      </c>
      <c r="J1387" s="4">
        <v>0</v>
      </c>
      <c r="K1387" s="4">
        <v>0</v>
      </c>
      <c r="L1387" s="4">
        <v>11445.136</v>
      </c>
      <c r="M1387" s="4">
        <v>11445.136</v>
      </c>
      <c r="N1387" s="4">
        <v>11445.136</v>
      </c>
      <c r="O1387" s="4">
        <v>11445.136</v>
      </c>
      <c r="P1387" s="4">
        <v>111590</v>
      </c>
      <c r="Q1387" s="3" t="s">
        <v>26</v>
      </c>
      <c r="R1387" s="3">
        <v>0</v>
      </c>
      <c r="S1387" s="3" t="s">
        <v>440</v>
      </c>
      <c r="T1387" s="3" t="s">
        <v>721</v>
      </c>
      <c r="U1387" s="3">
        <v>0</v>
      </c>
      <c r="V1387" s="3">
        <v>27</v>
      </c>
      <c r="W1387" s="3">
        <v>100</v>
      </c>
    </row>
    <row r="1388" spans="1:23" ht="11.25" customHeight="1" x14ac:dyDescent="0.25">
      <c r="A1388" s="3" t="s">
        <v>27</v>
      </c>
      <c r="B1388" s="3" t="s">
        <v>22</v>
      </c>
      <c r="C1388" s="3" t="s">
        <v>23</v>
      </c>
      <c r="D1388" s="3" t="s">
        <v>24</v>
      </c>
      <c r="E1388" s="3" t="s">
        <v>30</v>
      </c>
      <c r="F1388" s="3" t="s">
        <v>25</v>
      </c>
      <c r="G1388" s="3" t="s">
        <v>25</v>
      </c>
      <c r="H1388" s="3" t="s">
        <v>25</v>
      </c>
      <c r="I1388" s="6">
        <v>44531</v>
      </c>
      <c r="J1388" s="4">
        <v>0</v>
      </c>
      <c r="K1388" s="4">
        <v>0</v>
      </c>
      <c r="L1388" s="4">
        <v>-2.0310000000000001</v>
      </c>
      <c r="M1388" s="4">
        <v>-2.0310000000000001</v>
      </c>
      <c r="N1388" s="4">
        <v>-2.0310000000000001</v>
      </c>
      <c r="O1388" s="4">
        <v>-2.0310000000000001</v>
      </c>
      <c r="P1388" s="4">
        <v>-30</v>
      </c>
      <c r="Q1388" s="3" t="s">
        <v>26</v>
      </c>
      <c r="R1388" s="3">
        <v>0</v>
      </c>
      <c r="S1388" s="3" t="s">
        <v>440</v>
      </c>
      <c r="T1388" s="3" t="s">
        <v>721</v>
      </c>
      <c r="U1388" s="3">
        <v>0</v>
      </c>
      <c r="V1388" s="3">
        <v>27</v>
      </c>
      <c r="W1388" s="3">
        <v>100</v>
      </c>
    </row>
    <row r="1389" spans="1:23" ht="11.25" customHeight="1" x14ac:dyDescent="0.25">
      <c r="A1389" s="3" t="s">
        <v>28</v>
      </c>
      <c r="B1389" s="3" t="s">
        <v>22</v>
      </c>
      <c r="C1389" s="3" t="s">
        <v>23</v>
      </c>
      <c r="D1389" s="3" t="s">
        <v>24</v>
      </c>
      <c r="E1389" s="3" t="s">
        <v>30</v>
      </c>
      <c r="F1389" s="3" t="s">
        <v>25</v>
      </c>
      <c r="G1389" s="3" t="s">
        <v>25</v>
      </c>
      <c r="H1389" s="3" t="s">
        <v>25</v>
      </c>
      <c r="I1389" s="6">
        <v>44531</v>
      </c>
      <c r="J1389" s="4">
        <v>0</v>
      </c>
      <c r="K1389" s="4">
        <v>0</v>
      </c>
      <c r="L1389" s="4">
        <v>2.9689999999999999</v>
      </c>
      <c r="M1389" s="4">
        <v>2.9689999999999999</v>
      </c>
      <c r="N1389" s="4">
        <v>2.9689999999999999</v>
      </c>
      <c r="O1389" s="4">
        <v>2.9689999999999999</v>
      </c>
      <c r="P1389" s="4">
        <v>11</v>
      </c>
      <c r="Q1389" s="3" t="s">
        <v>26</v>
      </c>
      <c r="R1389" s="3">
        <v>0</v>
      </c>
      <c r="S1389" s="3" t="s">
        <v>440</v>
      </c>
      <c r="T1389" s="3" t="s">
        <v>721</v>
      </c>
      <c r="U1389" s="3">
        <v>0</v>
      </c>
      <c r="V1389" s="3">
        <v>27</v>
      </c>
      <c r="W1389" s="3">
        <v>100</v>
      </c>
    </row>
    <row r="1390" spans="1:23" ht="11.25" customHeight="1" x14ac:dyDescent="0.25">
      <c r="A1390" s="3" t="s">
        <v>21</v>
      </c>
      <c r="B1390" s="3" t="s">
        <v>22</v>
      </c>
      <c r="C1390" s="3" t="s">
        <v>23</v>
      </c>
      <c r="D1390" s="3" t="s">
        <v>24</v>
      </c>
      <c r="E1390" s="3" t="s">
        <v>30</v>
      </c>
      <c r="F1390" s="3" t="s">
        <v>25</v>
      </c>
      <c r="G1390" s="3" t="s">
        <v>25</v>
      </c>
      <c r="H1390" s="3" t="s">
        <v>25</v>
      </c>
      <c r="I1390" s="6">
        <v>44562</v>
      </c>
      <c r="J1390" s="4">
        <v>0</v>
      </c>
      <c r="K1390" s="4">
        <v>0</v>
      </c>
      <c r="L1390" s="4">
        <v>11832.243</v>
      </c>
      <c r="M1390" s="4">
        <v>11832.243</v>
      </c>
      <c r="N1390" s="4">
        <v>11832.243</v>
      </c>
      <c r="O1390" s="4">
        <v>11832.243</v>
      </c>
      <c r="P1390" s="4">
        <v>104732</v>
      </c>
      <c r="Q1390" s="3" t="s">
        <v>26</v>
      </c>
      <c r="R1390" s="3">
        <v>0</v>
      </c>
      <c r="S1390" s="3" t="s">
        <v>441</v>
      </c>
      <c r="T1390" s="3" t="s">
        <v>722</v>
      </c>
      <c r="U1390" s="3">
        <v>0</v>
      </c>
      <c r="V1390" s="3">
        <v>27</v>
      </c>
      <c r="W1390" s="3">
        <v>100</v>
      </c>
    </row>
    <row r="1391" spans="1:23" ht="11.25" customHeight="1" x14ac:dyDescent="0.25">
      <c r="A1391" s="3" t="s">
        <v>27</v>
      </c>
      <c r="B1391" s="3" t="s">
        <v>22</v>
      </c>
      <c r="C1391" s="3" t="s">
        <v>23</v>
      </c>
      <c r="D1391" s="3" t="s">
        <v>24</v>
      </c>
      <c r="E1391" s="3" t="s">
        <v>30</v>
      </c>
      <c r="F1391" s="3" t="s">
        <v>25</v>
      </c>
      <c r="G1391" s="3" t="s">
        <v>25</v>
      </c>
      <c r="H1391" s="3" t="s">
        <v>25</v>
      </c>
      <c r="I1391" s="6">
        <v>44562</v>
      </c>
      <c r="J1391" s="4">
        <v>0</v>
      </c>
      <c r="K1391" s="4">
        <v>0</v>
      </c>
      <c r="L1391" s="4">
        <v>-0.53900000000000003</v>
      </c>
      <c r="M1391" s="4">
        <v>-0.53900000000000003</v>
      </c>
      <c r="N1391" s="4">
        <v>-0.53900000000000003</v>
      </c>
      <c r="O1391" s="4">
        <v>-0.53900000000000003</v>
      </c>
      <c r="P1391" s="4">
        <v>-6</v>
      </c>
      <c r="Q1391" s="3" t="s">
        <v>26</v>
      </c>
      <c r="R1391" s="3">
        <v>0</v>
      </c>
      <c r="S1391" s="3" t="s">
        <v>441</v>
      </c>
      <c r="T1391" s="3" t="s">
        <v>722</v>
      </c>
      <c r="U1391" s="3">
        <v>0</v>
      </c>
      <c r="V1391" s="3">
        <v>27</v>
      </c>
      <c r="W1391" s="3">
        <v>100</v>
      </c>
    </row>
    <row r="1392" spans="1:23" ht="11.25" customHeight="1" x14ac:dyDescent="0.25">
      <c r="A1392" s="3" t="s">
        <v>28</v>
      </c>
      <c r="B1392" s="3" t="s">
        <v>22</v>
      </c>
      <c r="C1392" s="3" t="s">
        <v>23</v>
      </c>
      <c r="D1392" s="3" t="s">
        <v>24</v>
      </c>
      <c r="E1392" s="3" t="s">
        <v>30</v>
      </c>
      <c r="F1392" s="3" t="s">
        <v>25</v>
      </c>
      <c r="G1392" s="3" t="s">
        <v>25</v>
      </c>
      <c r="H1392" s="3" t="s">
        <v>25</v>
      </c>
      <c r="I1392" s="6">
        <v>44562</v>
      </c>
      <c r="J1392" s="4">
        <v>0</v>
      </c>
      <c r="K1392" s="4">
        <v>0</v>
      </c>
      <c r="L1392" s="4">
        <v>3.4470000000000001</v>
      </c>
      <c r="M1392" s="4">
        <v>3.4470000000000001</v>
      </c>
      <c r="N1392" s="4">
        <v>3.4470000000000001</v>
      </c>
      <c r="O1392" s="4">
        <v>3.4470000000000001</v>
      </c>
      <c r="P1392" s="4">
        <v>11</v>
      </c>
      <c r="Q1392" s="3" t="s">
        <v>26</v>
      </c>
      <c r="R1392" s="3">
        <v>0</v>
      </c>
      <c r="S1392" s="3" t="s">
        <v>441</v>
      </c>
      <c r="T1392" s="3" t="s">
        <v>722</v>
      </c>
      <c r="U1392" s="3">
        <v>0</v>
      </c>
      <c r="V1392" s="3">
        <v>27</v>
      </c>
      <c r="W1392" s="3">
        <v>100</v>
      </c>
    </row>
    <row r="1393" spans="1:23" ht="11.25" customHeight="1" x14ac:dyDescent="0.25">
      <c r="A1393" s="3" t="s">
        <v>21</v>
      </c>
      <c r="B1393" s="3" t="s">
        <v>22</v>
      </c>
      <c r="C1393" s="3" t="s">
        <v>23</v>
      </c>
      <c r="D1393" s="3" t="s">
        <v>24</v>
      </c>
      <c r="E1393" s="3" t="s">
        <v>30</v>
      </c>
      <c r="F1393" s="3" t="s">
        <v>25</v>
      </c>
      <c r="G1393" s="3" t="s">
        <v>25</v>
      </c>
      <c r="H1393" s="3" t="s">
        <v>25</v>
      </c>
      <c r="I1393" s="6">
        <v>44593</v>
      </c>
      <c r="J1393" s="4">
        <v>0</v>
      </c>
      <c r="K1393" s="4">
        <v>0</v>
      </c>
      <c r="L1393" s="4">
        <v>12139.191000000001</v>
      </c>
      <c r="M1393" s="4">
        <v>12139.191000000001</v>
      </c>
      <c r="N1393" s="4">
        <v>12139.191000000001</v>
      </c>
      <c r="O1393" s="4">
        <v>12139.191000000001</v>
      </c>
      <c r="P1393" s="4">
        <v>112859</v>
      </c>
      <c r="Q1393" s="3" t="s">
        <v>26</v>
      </c>
      <c r="R1393" s="3">
        <v>0</v>
      </c>
      <c r="S1393" s="3" t="s">
        <v>442</v>
      </c>
      <c r="T1393" s="3" t="s">
        <v>723</v>
      </c>
      <c r="U1393" s="3">
        <v>0</v>
      </c>
      <c r="V1393" s="3">
        <v>27</v>
      </c>
      <c r="W1393" s="3">
        <v>100</v>
      </c>
    </row>
    <row r="1394" spans="1:23" ht="11.25" customHeight="1" x14ac:dyDescent="0.25">
      <c r="A1394" s="3" t="s">
        <v>27</v>
      </c>
      <c r="B1394" s="3" t="s">
        <v>22</v>
      </c>
      <c r="C1394" s="3" t="s">
        <v>23</v>
      </c>
      <c r="D1394" s="3" t="s">
        <v>24</v>
      </c>
      <c r="E1394" s="3" t="s">
        <v>30</v>
      </c>
      <c r="F1394" s="3" t="s">
        <v>25</v>
      </c>
      <c r="G1394" s="3" t="s">
        <v>25</v>
      </c>
      <c r="H1394" s="3" t="s">
        <v>25</v>
      </c>
      <c r="I1394" s="6">
        <v>44593</v>
      </c>
      <c r="J1394" s="4">
        <v>0</v>
      </c>
      <c r="K1394" s="4">
        <v>0</v>
      </c>
      <c r="L1394" s="4">
        <v>-0.7</v>
      </c>
      <c r="M1394" s="4">
        <v>-0.7</v>
      </c>
      <c r="N1394" s="4">
        <v>-0.7</v>
      </c>
      <c r="O1394" s="4">
        <v>-0.7</v>
      </c>
      <c r="P1394" s="4">
        <v>0</v>
      </c>
      <c r="Q1394" s="3" t="s">
        <v>26</v>
      </c>
      <c r="R1394" s="3">
        <v>0</v>
      </c>
      <c r="S1394" s="3" t="s">
        <v>442</v>
      </c>
      <c r="T1394" s="3" t="s">
        <v>723</v>
      </c>
      <c r="U1394" s="3">
        <v>0</v>
      </c>
      <c r="V1394" s="3">
        <v>27</v>
      </c>
      <c r="W1394" s="3">
        <v>100</v>
      </c>
    </row>
    <row r="1395" spans="1:23" ht="11.25" customHeight="1" x14ac:dyDescent="0.25">
      <c r="A1395" s="3" t="s">
        <v>28</v>
      </c>
      <c r="B1395" s="3" t="s">
        <v>22</v>
      </c>
      <c r="C1395" s="3" t="s">
        <v>23</v>
      </c>
      <c r="D1395" s="3" t="s">
        <v>24</v>
      </c>
      <c r="E1395" s="3" t="s">
        <v>30</v>
      </c>
      <c r="F1395" s="3" t="s">
        <v>25</v>
      </c>
      <c r="G1395" s="3" t="s">
        <v>25</v>
      </c>
      <c r="H1395" s="3" t="s">
        <v>25</v>
      </c>
      <c r="I1395" s="6">
        <v>44593</v>
      </c>
      <c r="J1395" s="4">
        <v>0</v>
      </c>
      <c r="K1395" s="4">
        <v>0</v>
      </c>
      <c r="L1395" s="4">
        <v>3.7210000000000001</v>
      </c>
      <c r="M1395" s="4">
        <v>3.7210000000000001</v>
      </c>
      <c r="N1395" s="4">
        <v>3.7210000000000001</v>
      </c>
      <c r="O1395" s="4">
        <v>3.7210000000000001</v>
      </c>
      <c r="P1395" s="4">
        <v>10</v>
      </c>
      <c r="Q1395" s="3" t="s">
        <v>26</v>
      </c>
      <c r="R1395" s="3">
        <v>0</v>
      </c>
      <c r="S1395" s="3" t="s">
        <v>442</v>
      </c>
      <c r="T1395" s="3" t="s">
        <v>723</v>
      </c>
      <c r="U1395" s="3">
        <v>0</v>
      </c>
      <c r="V1395" s="3">
        <v>27</v>
      </c>
      <c r="W1395" s="3">
        <v>100</v>
      </c>
    </row>
    <row r="1396" spans="1:23" ht="11.25" customHeight="1" x14ac:dyDescent="0.25">
      <c r="A1396" s="3" t="s">
        <v>56</v>
      </c>
      <c r="B1396" s="3" t="s">
        <v>22</v>
      </c>
      <c r="C1396" s="3" t="s">
        <v>23</v>
      </c>
      <c r="D1396" s="3" t="s">
        <v>24</v>
      </c>
      <c r="E1396" s="3" t="s">
        <v>30</v>
      </c>
      <c r="F1396" s="3" t="s">
        <v>25</v>
      </c>
      <c r="G1396" s="3" t="s">
        <v>25</v>
      </c>
      <c r="H1396" s="3" t="s">
        <v>25</v>
      </c>
      <c r="I1396" s="6">
        <v>44621</v>
      </c>
      <c r="J1396" s="4">
        <v>0</v>
      </c>
      <c r="K1396" s="4">
        <v>0</v>
      </c>
      <c r="L1396" s="4">
        <v>12139.191000000001</v>
      </c>
      <c r="M1396" s="4">
        <v>12139.191000000001</v>
      </c>
      <c r="N1396" s="4">
        <v>12139.191000000001</v>
      </c>
      <c r="O1396" s="4">
        <v>12139.191000000001</v>
      </c>
      <c r="P1396" s="4">
        <v>112859</v>
      </c>
      <c r="Q1396" s="3" t="s">
        <v>26</v>
      </c>
      <c r="R1396" s="3">
        <v>0</v>
      </c>
      <c r="S1396" s="3" t="s">
        <v>443</v>
      </c>
      <c r="T1396" s="3" t="s">
        <v>724</v>
      </c>
      <c r="U1396" s="3">
        <v>0</v>
      </c>
      <c r="V1396" s="3">
        <v>27</v>
      </c>
      <c r="W1396" s="3">
        <v>100</v>
      </c>
    </row>
    <row r="1397" spans="1:23" ht="11.25" customHeight="1" x14ac:dyDescent="0.25">
      <c r="A1397" s="3" t="s">
        <v>56</v>
      </c>
      <c r="B1397" s="3" t="s">
        <v>22</v>
      </c>
      <c r="C1397" s="3" t="s">
        <v>23</v>
      </c>
      <c r="D1397" s="3" t="s">
        <v>24</v>
      </c>
      <c r="E1397" s="3" t="s">
        <v>30</v>
      </c>
      <c r="F1397" s="3" t="s">
        <v>25</v>
      </c>
      <c r="G1397" s="3" t="s">
        <v>25</v>
      </c>
      <c r="H1397" s="3" t="s">
        <v>25</v>
      </c>
      <c r="I1397" s="6">
        <v>44621</v>
      </c>
      <c r="J1397" s="4">
        <v>0</v>
      </c>
      <c r="K1397" s="4">
        <v>0</v>
      </c>
      <c r="L1397" s="4">
        <v>-0.7</v>
      </c>
      <c r="M1397" s="4">
        <v>-0.7</v>
      </c>
      <c r="N1397" s="4">
        <v>-0.7</v>
      </c>
      <c r="O1397" s="4">
        <v>-0.7</v>
      </c>
      <c r="P1397" s="4">
        <v>0</v>
      </c>
      <c r="Q1397" s="3" t="s">
        <v>26</v>
      </c>
      <c r="R1397" s="3">
        <v>0</v>
      </c>
      <c r="S1397" s="3" t="s">
        <v>443</v>
      </c>
      <c r="T1397" s="3" t="s">
        <v>724</v>
      </c>
      <c r="U1397" s="3">
        <v>0</v>
      </c>
      <c r="V1397" s="3">
        <v>27</v>
      </c>
      <c r="W1397" s="3">
        <v>100</v>
      </c>
    </row>
    <row r="1398" spans="1:23" ht="11.25" customHeight="1" x14ac:dyDescent="0.25">
      <c r="A1398" s="3" t="s">
        <v>56</v>
      </c>
      <c r="B1398" s="3" t="s">
        <v>22</v>
      </c>
      <c r="C1398" s="3" t="s">
        <v>23</v>
      </c>
      <c r="D1398" s="3" t="s">
        <v>24</v>
      </c>
      <c r="E1398" s="3" t="s">
        <v>30</v>
      </c>
      <c r="F1398" s="3" t="s">
        <v>25</v>
      </c>
      <c r="G1398" s="3" t="s">
        <v>25</v>
      </c>
      <c r="H1398" s="3" t="s">
        <v>25</v>
      </c>
      <c r="I1398" s="6">
        <v>44621</v>
      </c>
      <c r="J1398" s="4">
        <v>0</v>
      </c>
      <c r="K1398" s="4">
        <v>0</v>
      </c>
      <c r="L1398" s="4">
        <v>3.7210000000000001</v>
      </c>
      <c r="M1398" s="4">
        <v>3.7210000000000001</v>
      </c>
      <c r="N1398" s="4">
        <v>3.7210000000000001</v>
      </c>
      <c r="O1398" s="4">
        <v>3.7210000000000001</v>
      </c>
      <c r="P1398" s="4">
        <v>10</v>
      </c>
      <c r="Q1398" s="3" t="s">
        <v>26</v>
      </c>
      <c r="R1398" s="3">
        <v>0</v>
      </c>
      <c r="S1398" s="3" t="s">
        <v>443</v>
      </c>
      <c r="T1398" s="3" t="s">
        <v>724</v>
      </c>
      <c r="U1398" s="3">
        <v>0</v>
      </c>
      <c r="V1398" s="3">
        <v>27</v>
      </c>
      <c r="W1398" s="3">
        <v>100</v>
      </c>
    </row>
    <row r="1399" spans="1:23" ht="11.25" customHeight="1" x14ac:dyDescent="0.25">
      <c r="A1399" s="3" t="s">
        <v>21</v>
      </c>
      <c r="B1399" s="3" t="s">
        <v>22</v>
      </c>
      <c r="C1399" s="3" t="s">
        <v>23</v>
      </c>
      <c r="D1399" s="3" t="s">
        <v>24</v>
      </c>
      <c r="E1399" s="3" t="s">
        <v>31</v>
      </c>
      <c r="F1399" s="3" t="s">
        <v>25</v>
      </c>
      <c r="G1399" s="3" t="s">
        <v>25</v>
      </c>
      <c r="H1399" s="3" t="s">
        <v>25</v>
      </c>
      <c r="I1399" s="6">
        <v>44287</v>
      </c>
      <c r="J1399" s="4">
        <v>0</v>
      </c>
      <c r="K1399" s="4">
        <v>0</v>
      </c>
      <c r="L1399" s="4">
        <v>6124.4390000000003</v>
      </c>
      <c r="M1399" s="4">
        <v>6124.4390000000003</v>
      </c>
      <c r="N1399" s="4">
        <v>6124.4390000000003</v>
      </c>
      <c r="O1399" s="4">
        <v>6124.4390000000003</v>
      </c>
      <c r="P1399" s="4">
        <v>92729</v>
      </c>
      <c r="Q1399" s="3" t="s">
        <v>26</v>
      </c>
      <c r="R1399" s="3">
        <v>0</v>
      </c>
      <c r="S1399" s="3" t="s">
        <v>444</v>
      </c>
      <c r="T1399" s="3" t="s">
        <v>725</v>
      </c>
      <c r="U1399" s="3">
        <v>0</v>
      </c>
      <c r="V1399" s="3">
        <v>28</v>
      </c>
      <c r="W1399" s="3">
        <v>101</v>
      </c>
    </row>
    <row r="1400" spans="1:23" ht="11.25" customHeight="1" x14ac:dyDescent="0.25">
      <c r="A1400" s="3" t="s">
        <v>27</v>
      </c>
      <c r="B1400" s="3" t="s">
        <v>22</v>
      </c>
      <c r="C1400" s="3" t="s">
        <v>23</v>
      </c>
      <c r="D1400" s="3" t="s">
        <v>24</v>
      </c>
      <c r="E1400" s="3" t="s">
        <v>31</v>
      </c>
      <c r="F1400" s="3" t="s">
        <v>25</v>
      </c>
      <c r="G1400" s="3" t="s">
        <v>25</v>
      </c>
      <c r="H1400" s="3" t="s">
        <v>25</v>
      </c>
      <c r="I1400" s="6">
        <v>44287</v>
      </c>
      <c r="J1400" s="4">
        <v>0</v>
      </c>
      <c r="K1400" s="4">
        <v>0</v>
      </c>
      <c r="L1400" s="4">
        <v>-0.98899999999999999</v>
      </c>
      <c r="M1400" s="4">
        <v>-0.98899999999999999</v>
      </c>
      <c r="N1400" s="4">
        <v>-0.98899999999999999</v>
      </c>
      <c r="O1400" s="4">
        <v>-0.98899999999999999</v>
      </c>
      <c r="P1400" s="4">
        <v>-15</v>
      </c>
      <c r="Q1400" s="3" t="s">
        <v>26</v>
      </c>
      <c r="R1400" s="3">
        <v>0</v>
      </c>
      <c r="S1400" s="3" t="s">
        <v>444</v>
      </c>
      <c r="T1400" s="3" t="s">
        <v>725</v>
      </c>
      <c r="U1400" s="3">
        <v>0</v>
      </c>
      <c r="V1400" s="3">
        <v>28</v>
      </c>
      <c r="W1400" s="3">
        <v>101</v>
      </c>
    </row>
    <row r="1401" spans="1:23" ht="11.25" customHeight="1" x14ac:dyDescent="0.25">
      <c r="A1401" s="3" t="s">
        <v>28</v>
      </c>
      <c r="B1401" s="3" t="s">
        <v>22</v>
      </c>
      <c r="C1401" s="3" t="s">
        <v>23</v>
      </c>
      <c r="D1401" s="3" t="s">
        <v>24</v>
      </c>
      <c r="E1401" s="3" t="s">
        <v>31</v>
      </c>
      <c r="F1401" s="3" t="s">
        <v>25</v>
      </c>
      <c r="G1401" s="3" t="s">
        <v>25</v>
      </c>
      <c r="H1401" s="3" t="s">
        <v>25</v>
      </c>
      <c r="I1401" s="6">
        <v>44287</v>
      </c>
      <c r="J1401" s="4">
        <v>0</v>
      </c>
      <c r="K1401" s="4">
        <v>0</v>
      </c>
      <c r="L1401" s="4">
        <v>0.89400000000000002</v>
      </c>
      <c r="M1401" s="4">
        <v>0.89400000000000002</v>
      </c>
      <c r="N1401" s="4">
        <v>0.89400000000000002</v>
      </c>
      <c r="O1401" s="4">
        <v>0.89400000000000002</v>
      </c>
      <c r="P1401" s="4">
        <v>9</v>
      </c>
      <c r="Q1401" s="3" t="s">
        <v>26</v>
      </c>
      <c r="R1401" s="3">
        <v>0</v>
      </c>
      <c r="S1401" s="3" t="s">
        <v>444</v>
      </c>
      <c r="T1401" s="3" t="s">
        <v>725</v>
      </c>
      <c r="U1401" s="3">
        <v>0</v>
      </c>
      <c r="V1401" s="3">
        <v>28</v>
      </c>
      <c r="W1401" s="3">
        <v>101</v>
      </c>
    </row>
    <row r="1402" spans="1:23" ht="11.25" customHeight="1" x14ac:dyDescent="0.25">
      <c r="A1402" s="3" t="s">
        <v>21</v>
      </c>
      <c r="B1402" s="3" t="s">
        <v>22</v>
      </c>
      <c r="C1402" s="3" t="s">
        <v>23</v>
      </c>
      <c r="D1402" s="3" t="s">
        <v>24</v>
      </c>
      <c r="E1402" s="3" t="s">
        <v>31</v>
      </c>
      <c r="F1402" s="3" t="s">
        <v>25</v>
      </c>
      <c r="G1402" s="3" t="s">
        <v>25</v>
      </c>
      <c r="H1402" s="3" t="s">
        <v>25</v>
      </c>
      <c r="I1402" s="6">
        <v>44317</v>
      </c>
      <c r="J1402" s="4">
        <v>0</v>
      </c>
      <c r="K1402" s="4">
        <v>0</v>
      </c>
      <c r="L1402" s="4">
        <v>4778.491</v>
      </c>
      <c r="M1402" s="4">
        <v>4778.491</v>
      </c>
      <c r="N1402" s="4">
        <v>4778.491</v>
      </c>
      <c r="O1402" s="4">
        <v>4778.491</v>
      </c>
      <c r="P1402" s="4">
        <v>80621</v>
      </c>
      <c r="Q1402" s="3" t="s">
        <v>26</v>
      </c>
      <c r="R1402" s="3">
        <v>0</v>
      </c>
      <c r="S1402" s="3" t="s">
        <v>445</v>
      </c>
      <c r="T1402" s="3" t="s">
        <v>726</v>
      </c>
      <c r="U1402" s="3">
        <v>0</v>
      </c>
      <c r="V1402" s="3">
        <v>28</v>
      </c>
      <c r="W1402" s="3">
        <v>101</v>
      </c>
    </row>
    <row r="1403" spans="1:23" ht="11.25" customHeight="1" x14ac:dyDescent="0.25">
      <c r="A1403" s="3" t="s">
        <v>27</v>
      </c>
      <c r="B1403" s="3" t="s">
        <v>22</v>
      </c>
      <c r="C1403" s="3" t="s">
        <v>23</v>
      </c>
      <c r="D1403" s="3" t="s">
        <v>24</v>
      </c>
      <c r="E1403" s="3" t="s">
        <v>31</v>
      </c>
      <c r="F1403" s="3" t="s">
        <v>25</v>
      </c>
      <c r="G1403" s="3" t="s">
        <v>25</v>
      </c>
      <c r="H1403" s="3" t="s">
        <v>25</v>
      </c>
      <c r="I1403" s="6">
        <v>44317</v>
      </c>
      <c r="J1403" s="4">
        <v>0</v>
      </c>
      <c r="K1403" s="4">
        <v>0</v>
      </c>
      <c r="L1403" s="4">
        <v>-0.498</v>
      </c>
      <c r="M1403" s="4">
        <v>-0.498</v>
      </c>
      <c r="N1403" s="4">
        <v>-0.498</v>
      </c>
      <c r="O1403" s="4">
        <v>-0.498</v>
      </c>
      <c r="P1403" s="4">
        <v>-8</v>
      </c>
      <c r="Q1403" s="3" t="s">
        <v>26</v>
      </c>
      <c r="R1403" s="3">
        <v>0</v>
      </c>
      <c r="S1403" s="3" t="s">
        <v>445</v>
      </c>
      <c r="T1403" s="3" t="s">
        <v>726</v>
      </c>
      <c r="U1403" s="3">
        <v>0</v>
      </c>
      <c r="V1403" s="3">
        <v>28</v>
      </c>
      <c r="W1403" s="3">
        <v>101</v>
      </c>
    </row>
    <row r="1404" spans="1:23" ht="11.25" customHeight="1" x14ac:dyDescent="0.25">
      <c r="A1404" s="3" t="s">
        <v>28</v>
      </c>
      <c r="B1404" s="3" t="s">
        <v>22</v>
      </c>
      <c r="C1404" s="3" t="s">
        <v>23</v>
      </c>
      <c r="D1404" s="3" t="s">
        <v>24</v>
      </c>
      <c r="E1404" s="3" t="s">
        <v>31</v>
      </c>
      <c r="F1404" s="3" t="s">
        <v>25</v>
      </c>
      <c r="G1404" s="3" t="s">
        <v>25</v>
      </c>
      <c r="H1404" s="3" t="s">
        <v>25</v>
      </c>
      <c r="I1404" s="6">
        <v>44317</v>
      </c>
      <c r="J1404" s="4">
        <v>0</v>
      </c>
      <c r="K1404" s="4">
        <v>0</v>
      </c>
      <c r="L1404" s="4">
        <v>1.2569999999999999</v>
      </c>
      <c r="M1404" s="4">
        <v>1.2569999999999999</v>
      </c>
      <c r="N1404" s="4">
        <v>1.2569999999999999</v>
      </c>
      <c r="O1404" s="4">
        <v>1.2569999999999999</v>
      </c>
      <c r="P1404" s="4">
        <v>14</v>
      </c>
      <c r="Q1404" s="3" t="s">
        <v>26</v>
      </c>
      <c r="R1404" s="3">
        <v>0</v>
      </c>
      <c r="S1404" s="3" t="s">
        <v>445</v>
      </c>
      <c r="T1404" s="3" t="s">
        <v>726</v>
      </c>
      <c r="U1404" s="3">
        <v>0</v>
      </c>
      <c r="V1404" s="3">
        <v>28</v>
      </c>
      <c r="W1404" s="3">
        <v>101</v>
      </c>
    </row>
    <row r="1405" spans="1:23" ht="11.25" customHeight="1" x14ac:dyDescent="0.25">
      <c r="A1405" s="3" t="s">
        <v>21</v>
      </c>
      <c r="B1405" s="3" t="s">
        <v>22</v>
      </c>
      <c r="C1405" s="3" t="s">
        <v>23</v>
      </c>
      <c r="D1405" s="3" t="s">
        <v>24</v>
      </c>
      <c r="E1405" s="3" t="s">
        <v>31</v>
      </c>
      <c r="F1405" s="3" t="s">
        <v>25</v>
      </c>
      <c r="G1405" s="3" t="s">
        <v>25</v>
      </c>
      <c r="H1405" s="3" t="s">
        <v>25</v>
      </c>
      <c r="I1405" s="6">
        <v>44348</v>
      </c>
      <c r="J1405" s="4">
        <v>0</v>
      </c>
      <c r="K1405" s="4">
        <v>0</v>
      </c>
      <c r="L1405" s="4">
        <v>4336.3</v>
      </c>
      <c r="M1405" s="4">
        <v>4336.3</v>
      </c>
      <c r="N1405" s="4">
        <v>4336.3</v>
      </c>
      <c r="O1405" s="4">
        <v>4336.3</v>
      </c>
      <c r="P1405" s="4">
        <v>76065</v>
      </c>
      <c r="Q1405" s="3" t="s">
        <v>26</v>
      </c>
      <c r="R1405" s="3">
        <v>0</v>
      </c>
      <c r="S1405" s="3" t="s">
        <v>446</v>
      </c>
      <c r="T1405" s="3" t="s">
        <v>727</v>
      </c>
      <c r="U1405" s="3">
        <v>0</v>
      </c>
      <c r="V1405" s="3">
        <v>28</v>
      </c>
      <c r="W1405" s="3">
        <v>101</v>
      </c>
    </row>
    <row r="1406" spans="1:23" ht="11.25" customHeight="1" x14ac:dyDescent="0.25">
      <c r="A1406" s="3" t="s">
        <v>27</v>
      </c>
      <c r="B1406" s="3" t="s">
        <v>22</v>
      </c>
      <c r="C1406" s="3" t="s">
        <v>23</v>
      </c>
      <c r="D1406" s="3" t="s">
        <v>24</v>
      </c>
      <c r="E1406" s="3" t="s">
        <v>31</v>
      </c>
      <c r="F1406" s="3" t="s">
        <v>25</v>
      </c>
      <c r="G1406" s="3" t="s">
        <v>25</v>
      </c>
      <c r="H1406" s="3" t="s">
        <v>25</v>
      </c>
      <c r="I1406" s="6">
        <v>44348</v>
      </c>
      <c r="J1406" s="4">
        <v>0</v>
      </c>
      <c r="K1406" s="4">
        <v>0</v>
      </c>
      <c r="L1406" s="4">
        <v>-13.119</v>
      </c>
      <c r="M1406" s="4">
        <v>-13.119</v>
      </c>
      <c r="N1406" s="4">
        <v>-13.119</v>
      </c>
      <c r="O1406" s="4">
        <v>-13.119</v>
      </c>
      <c r="P1406" s="4">
        <v>-17</v>
      </c>
      <c r="Q1406" s="3" t="s">
        <v>26</v>
      </c>
      <c r="R1406" s="3">
        <v>0</v>
      </c>
      <c r="S1406" s="3" t="s">
        <v>446</v>
      </c>
      <c r="T1406" s="3" t="s">
        <v>727</v>
      </c>
      <c r="U1406" s="3">
        <v>0</v>
      </c>
      <c r="V1406" s="3">
        <v>28</v>
      </c>
      <c r="W1406" s="3">
        <v>101</v>
      </c>
    </row>
    <row r="1407" spans="1:23" ht="11.25" customHeight="1" x14ac:dyDescent="0.25">
      <c r="A1407" s="3" t="s">
        <v>28</v>
      </c>
      <c r="B1407" s="3" t="s">
        <v>22</v>
      </c>
      <c r="C1407" s="3" t="s">
        <v>23</v>
      </c>
      <c r="D1407" s="3" t="s">
        <v>24</v>
      </c>
      <c r="E1407" s="3" t="s">
        <v>31</v>
      </c>
      <c r="F1407" s="3" t="s">
        <v>25</v>
      </c>
      <c r="G1407" s="3" t="s">
        <v>25</v>
      </c>
      <c r="H1407" s="3" t="s">
        <v>25</v>
      </c>
      <c r="I1407" s="6">
        <v>44348</v>
      </c>
      <c r="J1407" s="4">
        <v>0</v>
      </c>
      <c r="K1407" s="4">
        <v>0</v>
      </c>
      <c r="L1407" s="4">
        <v>1.196</v>
      </c>
      <c r="M1407" s="4">
        <v>1.196</v>
      </c>
      <c r="N1407" s="4">
        <v>1.196</v>
      </c>
      <c r="O1407" s="4">
        <v>1.196</v>
      </c>
      <c r="P1407" s="4">
        <v>21</v>
      </c>
      <c r="Q1407" s="3" t="s">
        <v>26</v>
      </c>
      <c r="R1407" s="3">
        <v>0</v>
      </c>
      <c r="S1407" s="3" t="s">
        <v>446</v>
      </c>
      <c r="T1407" s="3" t="s">
        <v>727</v>
      </c>
      <c r="U1407" s="3">
        <v>0</v>
      </c>
      <c r="V1407" s="3">
        <v>28</v>
      </c>
      <c r="W1407" s="3">
        <v>101</v>
      </c>
    </row>
    <row r="1408" spans="1:23" ht="11.25" customHeight="1" x14ac:dyDescent="0.25">
      <c r="A1408" s="3" t="s">
        <v>21</v>
      </c>
      <c r="B1408" s="3" t="s">
        <v>22</v>
      </c>
      <c r="C1408" s="3" t="s">
        <v>23</v>
      </c>
      <c r="D1408" s="3" t="s">
        <v>24</v>
      </c>
      <c r="E1408" s="3" t="s">
        <v>31</v>
      </c>
      <c r="F1408" s="3" t="s">
        <v>25</v>
      </c>
      <c r="G1408" s="3" t="s">
        <v>25</v>
      </c>
      <c r="H1408" s="3" t="s">
        <v>25</v>
      </c>
      <c r="I1408" s="6">
        <v>44378</v>
      </c>
      <c r="J1408" s="4">
        <v>0</v>
      </c>
      <c r="K1408" s="4">
        <v>0</v>
      </c>
      <c r="L1408" s="4">
        <v>4159.99</v>
      </c>
      <c r="M1408" s="4">
        <v>4159.99</v>
      </c>
      <c r="N1408" s="4">
        <v>4159.99</v>
      </c>
      <c r="O1408" s="4">
        <v>4159.99</v>
      </c>
      <c r="P1408" s="4">
        <v>75018</v>
      </c>
      <c r="Q1408" s="3" t="s">
        <v>26</v>
      </c>
      <c r="R1408" s="3">
        <v>0</v>
      </c>
      <c r="S1408" s="3" t="s">
        <v>447</v>
      </c>
      <c r="T1408" s="3" t="s">
        <v>728</v>
      </c>
      <c r="U1408" s="3">
        <v>0</v>
      </c>
      <c r="V1408" s="3">
        <v>28</v>
      </c>
      <c r="W1408" s="3">
        <v>101</v>
      </c>
    </row>
    <row r="1409" spans="1:23" ht="11.25" customHeight="1" x14ac:dyDescent="0.25">
      <c r="A1409" s="3" t="s">
        <v>27</v>
      </c>
      <c r="B1409" s="3" t="s">
        <v>22</v>
      </c>
      <c r="C1409" s="3" t="s">
        <v>23</v>
      </c>
      <c r="D1409" s="3" t="s">
        <v>24</v>
      </c>
      <c r="E1409" s="3" t="s">
        <v>31</v>
      </c>
      <c r="F1409" s="3" t="s">
        <v>25</v>
      </c>
      <c r="G1409" s="3" t="s">
        <v>25</v>
      </c>
      <c r="H1409" s="3" t="s">
        <v>25</v>
      </c>
      <c r="I1409" s="6">
        <v>44378</v>
      </c>
      <c r="J1409" s="4">
        <v>0</v>
      </c>
      <c r="K1409" s="4">
        <v>0</v>
      </c>
      <c r="L1409" s="4">
        <v>-2.1030000000000002</v>
      </c>
      <c r="M1409" s="4">
        <v>-2.1030000000000002</v>
      </c>
      <c r="N1409" s="4">
        <v>-2.1030000000000002</v>
      </c>
      <c r="O1409" s="4">
        <v>-2.1030000000000002</v>
      </c>
      <c r="P1409" s="4">
        <v>-3</v>
      </c>
      <c r="Q1409" s="3" t="s">
        <v>26</v>
      </c>
      <c r="R1409" s="3">
        <v>0</v>
      </c>
      <c r="S1409" s="3" t="s">
        <v>447</v>
      </c>
      <c r="T1409" s="3" t="s">
        <v>728</v>
      </c>
      <c r="U1409" s="3">
        <v>0</v>
      </c>
      <c r="V1409" s="3">
        <v>28</v>
      </c>
      <c r="W1409" s="3">
        <v>101</v>
      </c>
    </row>
    <row r="1410" spans="1:23" ht="11.25" customHeight="1" x14ac:dyDescent="0.25">
      <c r="A1410" s="3" t="s">
        <v>28</v>
      </c>
      <c r="B1410" s="3" t="s">
        <v>22</v>
      </c>
      <c r="C1410" s="3" t="s">
        <v>23</v>
      </c>
      <c r="D1410" s="3" t="s">
        <v>24</v>
      </c>
      <c r="E1410" s="3" t="s">
        <v>31</v>
      </c>
      <c r="F1410" s="3" t="s">
        <v>25</v>
      </c>
      <c r="G1410" s="3" t="s">
        <v>25</v>
      </c>
      <c r="H1410" s="3" t="s">
        <v>25</v>
      </c>
      <c r="I1410" s="6">
        <v>44378</v>
      </c>
      <c r="J1410" s="4">
        <v>0</v>
      </c>
      <c r="K1410" s="4">
        <v>0</v>
      </c>
      <c r="L1410" s="4">
        <v>1.7070000000000001</v>
      </c>
      <c r="M1410" s="4">
        <v>1.7070000000000001</v>
      </c>
      <c r="N1410" s="4">
        <v>1.7070000000000001</v>
      </c>
      <c r="O1410" s="4">
        <v>1.7070000000000001</v>
      </c>
      <c r="P1410" s="4">
        <v>23</v>
      </c>
      <c r="Q1410" s="3" t="s">
        <v>26</v>
      </c>
      <c r="R1410" s="3">
        <v>0</v>
      </c>
      <c r="S1410" s="3" t="s">
        <v>447</v>
      </c>
      <c r="T1410" s="3" t="s">
        <v>728</v>
      </c>
      <c r="U1410" s="3">
        <v>0</v>
      </c>
      <c r="V1410" s="3">
        <v>28</v>
      </c>
      <c r="W1410" s="3">
        <v>101</v>
      </c>
    </row>
    <row r="1411" spans="1:23" ht="11.25" customHeight="1" x14ac:dyDescent="0.25">
      <c r="A1411" s="3" t="s">
        <v>21</v>
      </c>
      <c r="B1411" s="3" t="s">
        <v>22</v>
      </c>
      <c r="C1411" s="3" t="s">
        <v>23</v>
      </c>
      <c r="D1411" s="3" t="s">
        <v>24</v>
      </c>
      <c r="E1411" s="3" t="s">
        <v>31</v>
      </c>
      <c r="F1411" s="3" t="s">
        <v>25</v>
      </c>
      <c r="G1411" s="3" t="s">
        <v>25</v>
      </c>
      <c r="H1411" s="3" t="s">
        <v>25</v>
      </c>
      <c r="I1411" s="6">
        <v>44409</v>
      </c>
      <c r="J1411" s="4">
        <v>0</v>
      </c>
      <c r="K1411" s="4">
        <v>0</v>
      </c>
      <c r="L1411" s="4">
        <v>3609.5309999999999</v>
      </c>
      <c r="M1411" s="4">
        <v>3609.5309999999999</v>
      </c>
      <c r="N1411" s="4">
        <v>3609.5309999999999</v>
      </c>
      <c r="O1411" s="4">
        <v>3609.5309999999999</v>
      </c>
      <c r="P1411" s="4">
        <v>68251</v>
      </c>
      <c r="Q1411" s="3" t="s">
        <v>26</v>
      </c>
      <c r="R1411" s="3">
        <v>0</v>
      </c>
      <c r="S1411" s="3" t="s">
        <v>448</v>
      </c>
      <c r="T1411" s="3" t="s">
        <v>729</v>
      </c>
      <c r="U1411" s="3">
        <v>0</v>
      </c>
      <c r="V1411" s="3">
        <v>28</v>
      </c>
      <c r="W1411" s="3">
        <v>101</v>
      </c>
    </row>
    <row r="1412" spans="1:23" ht="11.25" customHeight="1" x14ac:dyDescent="0.25">
      <c r="A1412" s="3" t="s">
        <v>27</v>
      </c>
      <c r="B1412" s="3" t="s">
        <v>22</v>
      </c>
      <c r="C1412" s="3" t="s">
        <v>23</v>
      </c>
      <c r="D1412" s="3" t="s">
        <v>24</v>
      </c>
      <c r="E1412" s="3" t="s">
        <v>31</v>
      </c>
      <c r="F1412" s="3" t="s">
        <v>25</v>
      </c>
      <c r="G1412" s="3" t="s">
        <v>25</v>
      </c>
      <c r="H1412" s="3" t="s">
        <v>25</v>
      </c>
      <c r="I1412" s="6">
        <v>44409</v>
      </c>
      <c r="J1412" s="4">
        <v>0</v>
      </c>
      <c r="K1412" s="4">
        <v>0</v>
      </c>
      <c r="L1412" s="4">
        <v>-1.468</v>
      </c>
      <c r="M1412" s="4">
        <v>-1.468</v>
      </c>
      <c r="N1412" s="4">
        <v>-1.468</v>
      </c>
      <c r="O1412" s="4">
        <v>-1.468</v>
      </c>
      <c r="P1412" s="4">
        <v>-8</v>
      </c>
      <c r="Q1412" s="3" t="s">
        <v>26</v>
      </c>
      <c r="R1412" s="3">
        <v>0</v>
      </c>
      <c r="S1412" s="3" t="s">
        <v>448</v>
      </c>
      <c r="T1412" s="3" t="s">
        <v>729</v>
      </c>
      <c r="U1412" s="3">
        <v>0</v>
      </c>
      <c r="V1412" s="3">
        <v>28</v>
      </c>
      <c r="W1412" s="3">
        <v>101</v>
      </c>
    </row>
    <row r="1413" spans="1:23" ht="11.25" customHeight="1" x14ac:dyDescent="0.25">
      <c r="A1413" s="3" t="s">
        <v>28</v>
      </c>
      <c r="B1413" s="3" t="s">
        <v>22</v>
      </c>
      <c r="C1413" s="3" t="s">
        <v>23</v>
      </c>
      <c r="D1413" s="3" t="s">
        <v>24</v>
      </c>
      <c r="E1413" s="3" t="s">
        <v>31</v>
      </c>
      <c r="F1413" s="3" t="s">
        <v>25</v>
      </c>
      <c r="G1413" s="3" t="s">
        <v>25</v>
      </c>
      <c r="H1413" s="3" t="s">
        <v>25</v>
      </c>
      <c r="I1413" s="6">
        <v>44409</v>
      </c>
      <c r="J1413" s="4">
        <v>0</v>
      </c>
      <c r="K1413" s="4">
        <v>0</v>
      </c>
      <c r="L1413" s="4">
        <v>1.56</v>
      </c>
      <c r="M1413" s="4">
        <v>1.56</v>
      </c>
      <c r="N1413" s="4">
        <v>1.56</v>
      </c>
      <c r="O1413" s="4">
        <v>1.56</v>
      </c>
      <c r="P1413" s="4">
        <v>26</v>
      </c>
      <c r="Q1413" s="3" t="s">
        <v>26</v>
      </c>
      <c r="R1413" s="3">
        <v>0</v>
      </c>
      <c r="S1413" s="3" t="s">
        <v>448</v>
      </c>
      <c r="T1413" s="3" t="s">
        <v>729</v>
      </c>
      <c r="U1413" s="3">
        <v>0</v>
      </c>
      <c r="V1413" s="3">
        <v>28</v>
      </c>
      <c r="W1413" s="3">
        <v>101</v>
      </c>
    </row>
    <row r="1414" spans="1:23" ht="11.25" customHeight="1" x14ac:dyDescent="0.25">
      <c r="A1414" s="3" t="s">
        <v>21</v>
      </c>
      <c r="B1414" s="3" t="s">
        <v>22</v>
      </c>
      <c r="C1414" s="3" t="s">
        <v>23</v>
      </c>
      <c r="D1414" s="3" t="s">
        <v>24</v>
      </c>
      <c r="E1414" s="3" t="s">
        <v>31</v>
      </c>
      <c r="F1414" s="3" t="s">
        <v>25</v>
      </c>
      <c r="G1414" s="3" t="s">
        <v>25</v>
      </c>
      <c r="H1414" s="3" t="s">
        <v>25</v>
      </c>
      <c r="I1414" s="6">
        <v>44440</v>
      </c>
      <c r="J1414" s="4">
        <v>0</v>
      </c>
      <c r="K1414" s="4">
        <v>0</v>
      </c>
      <c r="L1414" s="4">
        <v>3733.4540000000002</v>
      </c>
      <c r="M1414" s="4">
        <v>3733.4540000000002</v>
      </c>
      <c r="N1414" s="4">
        <v>3733.4540000000002</v>
      </c>
      <c r="O1414" s="4">
        <v>3733.4540000000002</v>
      </c>
      <c r="P1414" s="4">
        <v>69672</v>
      </c>
      <c r="Q1414" s="3" t="s">
        <v>26</v>
      </c>
      <c r="R1414" s="3">
        <v>0</v>
      </c>
      <c r="S1414" s="3" t="s">
        <v>449</v>
      </c>
      <c r="T1414" s="3" t="s">
        <v>730</v>
      </c>
      <c r="U1414" s="3">
        <v>0</v>
      </c>
      <c r="V1414" s="3">
        <v>28</v>
      </c>
      <c r="W1414" s="3">
        <v>101</v>
      </c>
    </row>
    <row r="1415" spans="1:23" ht="11.25" customHeight="1" x14ac:dyDescent="0.25">
      <c r="A1415" s="3" t="s">
        <v>27</v>
      </c>
      <c r="B1415" s="3" t="s">
        <v>22</v>
      </c>
      <c r="C1415" s="3" t="s">
        <v>23</v>
      </c>
      <c r="D1415" s="3" t="s">
        <v>24</v>
      </c>
      <c r="E1415" s="3" t="s">
        <v>31</v>
      </c>
      <c r="F1415" s="3" t="s">
        <v>25</v>
      </c>
      <c r="G1415" s="3" t="s">
        <v>25</v>
      </c>
      <c r="H1415" s="3" t="s">
        <v>25</v>
      </c>
      <c r="I1415" s="6">
        <v>44440</v>
      </c>
      <c r="J1415" s="4">
        <v>0</v>
      </c>
      <c r="K1415" s="4">
        <v>0</v>
      </c>
      <c r="L1415" s="4">
        <v>-2.117</v>
      </c>
      <c r="M1415" s="4">
        <v>-2.117</v>
      </c>
      <c r="N1415" s="4">
        <v>-2.117</v>
      </c>
      <c r="O1415" s="4">
        <v>-2.117</v>
      </c>
      <c r="P1415" s="4">
        <v>-10</v>
      </c>
      <c r="Q1415" s="3" t="s">
        <v>26</v>
      </c>
      <c r="R1415" s="3">
        <v>0</v>
      </c>
      <c r="S1415" s="3" t="s">
        <v>449</v>
      </c>
      <c r="T1415" s="3" t="s">
        <v>730</v>
      </c>
      <c r="U1415" s="3">
        <v>0</v>
      </c>
      <c r="V1415" s="3">
        <v>28</v>
      </c>
      <c r="W1415" s="3">
        <v>101</v>
      </c>
    </row>
    <row r="1416" spans="1:23" ht="11.25" customHeight="1" x14ac:dyDescent="0.25">
      <c r="A1416" s="3" t="s">
        <v>28</v>
      </c>
      <c r="B1416" s="3" t="s">
        <v>22</v>
      </c>
      <c r="C1416" s="3" t="s">
        <v>23</v>
      </c>
      <c r="D1416" s="3" t="s">
        <v>24</v>
      </c>
      <c r="E1416" s="3" t="s">
        <v>31</v>
      </c>
      <c r="F1416" s="3" t="s">
        <v>25</v>
      </c>
      <c r="G1416" s="3" t="s">
        <v>25</v>
      </c>
      <c r="H1416" s="3" t="s">
        <v>25</v>
      </c>
      <c r="I1416" s="6">
        <v>44440</v>
      </c>
      <c r="J1416" s="4">
        <v>0</v>
      </c>
      <c r="K1416" s="4">
        <v>0</v>
      </c>
      <c r="L1416" s="4">
        <v>1.6120000000000001</v>
      </c>
      <c r="M1416" s="4">
        <v>1.6120000000000001</v>
      </c>
      <c r="N1416" s="4">
        <v>1.6120000000000001</v>
      </c>
      <c r="O1416" s="4">
        <v>1.6120000000000001</v>
      </c>
      <c r="P1416" s="4">
        <v>23</v>
      </c>
      <c r="Q1416" s="3" t="s">
        <v>26</v>
      </c>
      <c r="R1416" s="3">
        <v>0</v>
      </c>
      <c r="S1416" s="3" t="s">
        <v>449</v>
      </c>
      <c r="T1416" s="3" t="s">
        <v>730</v>
      </c>
      <c r="U1416" s="3">
        <v>0</v>
      </c>
      <c r="V1416" s="3">
        <v>28</v>
      </c>
      <c r="W1416" s="3">
        <v>101</v>
      </c>
    </row>
    <row r="1417" spans="1:23" ht="11.25" customHeight="1" x14ac:dyDescent="0.25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31</v>
      </c>
      <c r="F1417" s="3" t="s">
        <v>25</v>
      </c>
      <c r="G1417" s="3" t="s">
        <v>25</v>
      </c>
      <c r="H1417" s="3" t="s">
        <v>25</v>
      </c>
      <c r="I1417" s="6">
        <v>44470</v>
      </c>
      <c r="J1417" s="4">
        <v>0</v>
      </c>
      <c r="K1417" s="4">
        <v>0</v>
      </c>
      <c r="L1417" s="4">
        <v>4422.8530000000001</v>
      </c>
      <c r="M1417" s="4">
        <v>4422.8530000000001</v>
      </c>
      <c r="N1417" s="4">
        <v>4422.8530000000001</v>
      </c>
      <c r="O1417" s="4">
        <v>4422.8530000000001</v>
      </c>
      <c r="P1417" s="4">
        <v>78395</v>
      </c>
      <c r="Q1417" s="3" t="s">
        <v>26</v>
      </c>
      <c r="R1417" s="3">
        <v>0</v>
      </c>
      <c r="S1417" s="3" t="s">
        <v>450</v>
      </c>
      <c r="T1417" s="3" t="s">
        <v>731</v>
      </c>
      <c r="U1417" s="3">
        <v>0</v>
      </c>
      <c r="V1417" s="3">
        <v>28</v>
      </c>
      <c r="W1417" s="3">
        <v>101</v>
      </c>
    </row>
    <row r="1418" spans="1:23" ht="11.25" customHeight="1" x14ac:dyDescent="0.25">
      <c r="A1418" s="3" t="s">
        <v>27</v>
      </c>
      <c r="B1418" s="3" t="s">
        <v>22</v>
      </c>
      <c r="C1418" s="3" t="s">
        <v>23</v>
      </c>
      <c r="D1418" s="3" t="s">
        <v>24</v>
      </c>
      <c r="E1418" s="3" t="s">
        <v>31</v>
      </c>
      <c r="F1418" s="3" t="s">
        <v>25</v>
      </c>
      <c r="G1418" s="3" t="s">
        <v>25</v>
      </c>
      <c r="H1418" s="3" t="s">
        <v>25</v>
      </c>
      <c r="I1418" s="6">
        <v>44470</v>
      </c>
      <c r="J1418" s="4">
        <v>0</v>
      </c>
      <c r="K1418" s="4">
        <v>0</v>
      </c>
      <c r="L1418" s="4">
        <v>-1.7949999999999999</v>
      </c>
      <c r="M1418" s="4">
        <v>-1.7949999999999999</v>
      </c>
      <c r="N1418" s="4">
        <v>-1.7949999999999999</v>
      </c>
      <c r="O1418" s="4">
        <v>-1.7949999999999999</v>
      </c>
      <c r="P1418" s="4">
        <v>-18</v>
      </c>
      <c r="Q1418" s="3" t="s">
        <v>26</v>
      </c>
      <c r="R1418" s="3">
        <v>0</v>
      </c>
      <c r="S1418" s="3" t="s">
        <v>450</v>
      </c>
      <c r="T1418" s="3" t="s">
        <v>731</v>
      </c>
      <c r="U1418" s="3">
        <v>0</v>
      </c>
      <c r="V1418" s="3">
        <v>28</v>
      </c>
      <c r="W1418" s="3">
        <v>101</v>
      </c>
    </row>
    <row r="1419" spans="1:23" ht="11.25" customHeight="1" x14ac:dyDescent="0.25">
      <c r="A1419" s="3" t="s">
        <v>28</v>
      </c>
      <c r="B1419" s="3" t="s">
        <v>22</v>
      </c>
      <c r="C1419" s="3" t="s">
        <v>23</v>
      </c>
      <c r="D1419" s="3" t="s">
        <v>24</v>
      </c>
      <c r="E1419" s="3" t="s">
        <v>31</v>
      </c>
      <c r="F1419" s="3" t="s">
        <v>25</v>
      </c>
      <c r="G1419" s="3" t="s">
        <v>25</v>
      </c>
      <c r="H1419" s="3" t="s">
        <v>25</v>
      </c>
      <c r="I1419" s="6">
        <v>44470</v>
      </c>
      <c r="J1419" s="4">
        <v>0</v>
      </c>
      <c r="K1419" s="4">
        <v>0</v>
      </c>
      <c r="L1419" s="4">
        <v>1.9690000000000001</v>
      </c>
      <c r="M1419" s="4">
        <v>1.9690000000000001</v>
      </c>
      <c r="N1419" s="4">
        <v>1.9690000000000001</v>
      </c>
      <c r="O1419" s="4">
        <v>1.9690000000000001</v>
      </c>
      <c r="P1419" s="4">
        <v>24</v>
      </c>
      <c r="Q1419" s="3" t="s">
        <v>26</v>
      </c>
      <c r="R1419" s="3">
        <v>0</v>
      </c>
      <c r="S1419" s="3" t="s">
        <v>450</v>
      </c>
      <c r="T1419" s="3" t="s">
        <v>731</v>
      </c>
      <c r="U1419" s="3">
        <v>0</v>
      </c>
      <c r="V1419" s="3">
        <v>28</v>
      </c>
      <c r="W1419" s="3">
        <v>101</v>
      </c>
    </row>
    <row r="1420" spans="1:23" ht="11.25" customHeight="1" x14ac:dyDescent="0.25">
      <c r="A1420" s="3" t="s">
        <v>21</v>
      </c>
      <c r="B1420" s="3" t="s">
        <v>22</v>
      </c>
      <c r="C1420" s="3" t="s">
        <v>23</v>
      </c>
      <c r="D1420" s="3" t="s">
        <v>24</v>
      </c>
      <c r="E1420" s="3" t="s">
        <v>31</v>
      </c>
      <c r="F1420" s="3" t="s">
        <v>25</v>
      </c>
      <c r="G1420" s="3" t="s">
        <v>25</v>
      </c>
      <c r="H1420" s="3" t="s">
        <v>25</v>
      </c>
      <c r="I1420" s="6">
        <v>44501</v>
      </c>
      <c r="J1420" s="4">
        <v>0</v>
      </c>
      <c r="K1420" s="4">
        <v>0</v>
      </c>
      <c r="L1420" s="4">
        <v>4714.8689999999997</v>
      </c>
      <c r="M1420" s="4">
        <v>4714.8689999999997</v>
      </c>
      <c r="N1420" s="4">
        <v>4714.8689999999997</v>
      </c>
      <c r="O1420" s="4">
        <v>4714.8689999999997</v>
      </c>
      <c r="P1420" s="4">
        <v>81912</v>
      </c>
      <c r="Q1420" s="3" t="s">
        <v>26</v>
      </c>
      <c r="R1420" s="3">
        <v>0</v>
      </c>
      <c r="S1420" s="3" t="s">
        <v>451</v>
      </c>
      <c r="T1420" s="3" t="s">
        <v>732</v>
      </c>
      <c r="U1420" s="3">
        <v>0</v>
      </c>
      <c r="V1420" s="3">
        <v>28</v>
      </c>
      <c r="W1420" s="3">
        <v>101</v>
      </c>
    </row>
    <row r="1421" spans="1:23" ht="11.25" customHeight="1" x14ac:dyDescent="0.25">
      <c r="A1421" s="3" t="s">
        <v>27</v>
      </c>
      <c r="B1421" s="3" t="s">
        <v>22</v>
      </c>
      <c r="C1421" s="3" t="s">
        <v>23</v>
      </c>
      <c r="D1421" s="3" t="s">
        <v>24</v>
      </c>
      <c r="E1421" s="3" t="s">
        <v>31</v>
      </c>
      <c r="F1421" s="3" t="s">
        <v>25</v>
      </c>
      <c r="G1421" s="3" t="s">
        <v>25</v>
      </c>
      <c r="H1421" s="3" t="s">
        <v>25</v>
      </c>
      <c r="I1421" s="6">
        <v>44501</v>
      </c>
      <c r="J1421" s="4">
        <v>0</v>
      </c>
      <c r="K1421" s="4">
        <v>0</v>
      </c>
      <c r="L1421" s="4">
        <v>-2.2469999999999999</v>
      </c>
      <c r="M1421" s="4">
        <v>-2.2469999999999999</v>
      </c>
      <c r="N1421" s="4">
        <v>-2.2469999999999999</v>
      </c>
      <c r="O1421" s="4">
        <v>-2.2469999999999999</v>
      </c>
      <c r="P1421" s="4">
        <v>-9</v>
      </c>
      <c r="Q1421" s="3" t="s">
        <v>26</v>
      </c>
      <c r="R1421" s="3">
        <v>0</v>
      </c>
      <c r="S1421" s="3" t="s">
        <v>451</v>
      </c>
      <c r="T1421" s="3" t="s">
        <v>732</v>
      </c>
      <c r="U1421" s="3">
        <v>0</v>
      </c>
      <c r="V1421" s="3">
        <v>28</v>
      </c>
      <c r="W1421" s="3">
        <v>101</v>
      </c>
    </row>
    <row r="1422" spans="1:23" ht="11.25" customHeight="1" x14ac:dyDescent="0.25">
      <c r="A1422" s="3" t="s">
        <v>28</v>
      </c>
      <c r="B1422" s="3" t="s">
        <v>22</v>
      </c>
      <c r="C1422" s="3" t="s">
        <v>23</v>
      </c>
      <c r="D1422" s="3" t="s">
        <v>24</v>
      </c>
      <c r="E1422" s="3" t="s">
        <v>31</v>
      </c>
      <c r="F1422" s="3" t="s">
        <v>25</v>
      </c>
      <c r="G1422" s="3" t="s">
        <v>25</v>
      </c>
      <c r="H1422" s="3" t="s">
        <v>25</v>
      </c>
      <c r="I1422" s="6">
        <v>44501</v>
      </c>
      <c r="J1422" s="4">
        <v>0</v>
      </c>
      <c r="K1422" s="4">
        <v>0</v>
      </c>
      <c r="L1422" s="4">
        <v>1.698</v>
      </c>
      <c r="M1422" s="4">
        <v>1.698</v>
      </c>
      <c r="N1422" s="4">
        <v>1.698</v>
      </c>
      <c r="O1422" s="4">
        <v>1.698</v>
      </c>
      <c r="P1422" s="4">
        <v>21</v>
      </c>
      <c r="Q1422" s="3" t="s">
        <v>26</v>
      </c>
      <c r="R1422" s="3">
        <v>0</v>
      </c>
      <c r="S1422" s="3" t="s">
        <v>451</v>
      </c>
      <c r="T1422" s="3" t="s">
        <v>732</v>
      </c>
      <c r="U1422" s="3">
        <v>0</v>
      </c>
      <c r="V1422" s="3">
        <v>28</v>
      </c>
      <c r="W1422" s="3">
        <v>101</v>
      </c>
    </row>
    <row r="1423" spans="1:23" ht="11.25" customHeight="1" x14ac:dyDescent="0.25">
      <c r="A1423" s="3" t="s">
        <v>21</v>
      </c>
      <c r="B1423" s="3" t="s">
        <v>22</v>
      </c>
      <c r="C1423" s="3" t="s">
        <v>23</v>
      </c>
      <c r="D1423" s="3" t="s">
        <v>24</v>
      </c>
      <c r="E1423" s="3" t="s">
        <v>31</v>
      </c>
      <c r="F1423" s="3" t="s">
        <v>25</v>
      </c>
      <c r="G1423" s="3" t="s">
        <v>25</v>
      </c>
      <c r="H1423" s="3" t="s">
        <v>25</v>
      </c>
      <c r="I1423" s="6">
        <v>44531</v>
      </c>
      <c r="J1423" s="4">
        <v>0</v>
      </c>
      <c r="K1423" s="4">
        <v>0</v>
      </c>
      <c r="L1423" s="4">
        <v>5086.26</v>
      </c>
      <c r="M1423" s="4">
        <v>5086.26</v>
      </c>
      <c r="N1423" s="4">
        <v>5086.26</v>
      </c>
      <c r="O1423" s="4">
        <v>5086.26</v>
      </c>
      <c r="P1423" s="4">
        <v>85812</v>
      </c>
      <c r="Q1423" s="3" t="s">
        <v>26</v>
      </c>
      <c r="R1423" s="3">
        <v>0</v>
      </c>
      <c r="S1423" s="3" t="s">
        <v>452</v>
      </c>
      <c r="T1423" s="3" t="s">
        <v>733</v>
      </c>
      <c r="U1423" s="3">
        <v>0</v>
      </c>
      <c r="V1423" s="3">
        <v>28</v>
      </c>
      <c r="W1423" s="3">
        <v>101</v>
      </c>
    </row>
    <row r="1424" spans="1:23" ht="11.25" customHeight="1" x14ac:dyDescent="0.25">
      <c r="A1424" s="3" t="s">
        <v>27</v>
      </c>
      <c r="B1424" s="3" t="s">
        <v>22</v>
      </c>
      <c r="C1424" s="3" t="s">
        <v>23</v>
      </c>
      <c r="D1424" s="3" t="s">
        <v>24</v>
      </c>
      <c r="E1424" s="3" t="s">
        <v>31</v>
      </c>
      <c r="F1424" s="3" t="s">
        <v>25</v>
      </c>
      <c r="G1424" s="3" t="s">
        <v>25</v>
      </c>
      <c r="H1424" s="3" t="s">
        <v>25</v>
      </c>
      <c r="I1424" s="6">
        <v>44531</v>
      </c>
      <c r="J1424" s="4">
        <v>0</v>
      </c>
      <c r="K1424" s="4">
        <v>0</v>
      </c>
      <c r="L1424" s="4">
        <v>-0.73099999999999998</v>
      </c>
      <c r="M1424" s="4">
        <v>-0.73099999999999998</v>
      </c>
      <c r="N1424" s="4">
        <v>-0.73099999999999998</v>
      </c>
      <c r="O1424" s="4">
        <v>-0.73099999999999998</v>
      </c>
      <c r="P1424" s="4">
        <v>-6</v>
      </c>
      <c r="Q1424" s="3" t="s">
        <v>26</v>
      </c>
      <c r="R1424" s="3">
        <v>0</v>
      </c>
      <c r="S1424" s="3" t="s">
        <v>452</v>
      </c>
      <c r="T1424" s="3" t="s">
        <v>733</v>
      </c>
      <c r="U1424" s="3">
        <v>0</v>
      </c>
      <c r="V1424" s="3">
        <v>28</v>
      </c>
      <c r="W1424" s="3">
        <v>101</v>
      </c>
    </row>
    <row r="1425" spans="1:23" ht="11.25" customHeight="1" x14ac:dyDescent="0.25">
      <c r="A1425" s="3" t="s">
        <v>28</v>
      </c>
      <c r="B1425" s="3" t="s">
        <v>22</v>
      </c>
      <c r="C1425" s="3" t="s">
        <v>23</v>
      </c>
      <c r="D1425" s="3" t="s">
        <v>24</v>
      </c>
      <c r="E1425" s="3" t="s">
        <v>31</v>
      </c>
      <c r="F1425" s="3" t="s">
        <v>25</v>
      </c>
      <c r="G1425" s="3" t="s">
        <v>25</v>
      </c>
      <c r="H1425" s="3" t="s">
        <v>25</v>
      </c>
      <c r="I1425" s="6">
        <v>44531</v>
      </c>
      <c r="J1425" s="4">
        <v>0</v>
      </c>
      <c r="K1425" s="4">
        <v>0</v>
      </c>
      <c r="L1425" s="4">
        <v>2.2170000000000001</v>
      </c>
      <c r="M1425" s="4">
        <v>2.2170000000000001</v>
      </c>
      <c r="N1425" s="4">
        <v>2.2170000000000001</v>
      </c>
      <c r="O1425" s="4">
        <v>2.2170000000000001</v>
      </c>
      <c r="P1425" s="4">
        <v>19</v>
      </c>
      <c r="Q1425" s="3" t="s">
        <v>26</v>
      </c>
      <c r="R1425" s="3">
        <v>0</v>
      </c>
      <c r="S1425" s="3" t="s">
        <v>452</v>
      </c>
      <c r="T1425" s="3" t="s">
        <v>733</v>
      </c>
      <c r="U1425" s="3">
        <v>0</v>
      </c>
      <c r="V1425" s="3">
        <v>28</v>
      </c>
      <c r="W1425" s="3">
        <v>101</v>
      </c>
    </row>
    <row r="1426" spans="1:23" ht="11.25" customHeight="1" x14ac:dyDescent="0.25">
      <c r="A1426" s="3" t="s">
        <v>21</v>
      </c>
      <c r="B1426" s="3" t="s">
        <v>22</v>
      </c>
      <c r="C1426" s="3" t="s">
        <v>23</v>
      </c>
      <c r="D1426" s="3" t="s">
        <v>24</v>
      </c>
      <c r="E1426" s="3" t="s">
        <v>31</v>
      </c>
      <c r="F1426" s="3" t="s">
        <v>25</v>
      </c>
      <c r="G1426" s="3" t="s">
        <v>25</v>
      </c>
      <c r="H1426" s="3" t="s">
        <v>25</v>
      </c>
      <c r="I1426" s="6">
        <v>44562</v>
      </c>
      <c r="J1426" s="4">
        <v>0</v>
      </c>
      <c r="K1426" s="4">
        <v>0</v>
      </c>
      <c r="L1426" s="4">
        <v>5801.4319999999998</v>
      </c>
      <c r="M1426" s="4">
        <v>5801.4319999999998</v>
      </c>
      <c r="N1426" s="4">
        <v>5801.4319999999998</v>
      </c>
      <c r="O1426" s="4">
        <v>5801.4319999999998</v>
      </c>
      <c r="P1426" s="4">
        <v>91780</v>
      </c>
      <c r="Q1426" s="3" t="s">
        <v>26</v>
      </c>
      <c r="R1426" s="3">
        <v>0</v>
      </c>
      <c r="S1426" s="3" t="s">
        <v>453</v>
      </c>
      <c r="T1426" s="3" t="s">
        <v>734</v>
      </c>
      <c r="U1426" s="3">
        <v>0</v>
      </c>
      <c r="V1426" s="3">
        <v>28</v>
      </c>
      <c r="W1426" s="3">
        <v>101</v>
      </c>
    </row>
    <row r="1427" spans="1:23" ht="11.25" customHeight="1" x14ac:dyDescent="0.25">
      <c r="A1427" s="3" t="s">
        <v>27</v>
      </c>
      <c r="B1427" s="3" t="s">
        <v>22</v>
      </c>
      <c r="C1427" s="3" t="s">
        <v>23</v>
      </c>
      <c r="D1427" s="3" t="s">
        <v>24</v>
      </c>
      <c r="E1427" s="3" t="s">
        <v>31</v>
      </c>
      <c r="F1427" s="3" t="s">
        <v>25</v>
      </c>
      <c r="G1427" s="3" t="s">
        <v>25</v>
      </c>
      <c r="H1427" s="3" t="s">
        <v>25</v>
      </c>
      <c r="I1427" s="6">
        <v>44562</v>
      </c>
      <c r="J1427" s="4">
        <v>0</v>
      </c>
      <c r="K1427" s="4">
        <v>0</v>
      </c>
      <c r="L1427" s="4">
        <v>-0.48499999999999999</v>
      </c>
      <c r="M1427" s="4">
        <v>-0.48499999999999999</v>
      </c>
      <c r="N1427" s="4">
        <v>-0.48499999999999999</v>
      </c>
      <c r="O1427" s="4">
        <v>-0.48499999999999999</v>
      </c>
      <c r="P1427" s="4">
        <v>-1</v>
      </c>
      <c r="Q1427" s="3" t="s">
        <v>26</v>
      </c>
      <c r="R1427" s="3">
        <v>0</v>
      </c>
      <c r="S1427" s="3" t="s">
        <v>453</v>
      </c>
      <c r="T1427" s="3" t="s">
        <v>734</v>
      </c>
      <c r="U1427" s="3">
        <v>0</v>
      </c>
      <c r="V1427" s="3">
        <v>28</v>
      </c>
      <c r="W1427" s="3">
        <v>101</v>
      </c>
    </row>
    <row r="1428" spans="1:23" ht="11.25" customHeight="1" x14ac:dyDescent="0.25">
      <c r="A1428" s="3" t="s">
        <v>28</v>
      </c>
      <c r="B1428" s="3" t="s">
        <v>22</v>
      </c>
      <c r="C1428" s="3" t="s">
        <v>23</v>
      </c>
      <c r="D1428" s="3" t="s">
        <v>24</v>
      </c>
      <c r="E1428" s="3" t="s">
        <v>31</v>
      </c>
      <c r="F1428" s="3" t="s">
        <v>25</v>
      </c>
      <c r="G1428" s="3" t="s">
        <v>25</v>
      </c>
      <c r="H1428" s="3" t="s">
        <v>25</v>
      </c>
      <c r="I1428" s="6">
        <v>44562</v>
      </c>
      <c r="J1428" s="4">
        <v>0</v>
      </c>
      <c r="K1428" s="4">
        <v>0</v>
      </c>
      <c r="L1428" s="4">
        <v>2.5019999999999998</v>
      </c>
      <c r="M1428" s="4">
        <v>2.5019999999999998</v>
      </c>
      <c r="N1428" s="4">
        <v>2.5019999999999998</v>
      </c>
      <c r="O1428" s="4">
        <v>2.5019999999999998</v>
      </c>
      <c r="P1428" s="4">
        <v>18</v>
      </c>
      <c r="Q1428" s="3" t="s">
        <v>26</v>
      </c>
      <c r="R1428" s="3">
        <v>0</v>
      </c>
      <c r="S1428" s="3" t="s">
        <v>453</v>
      </c>
      <c r="T1428" s="3" t="s">
        <v>734</v>
      </c>
      <c r="U1428" s="3">
        <v>0</v>
      </c>
      <c r="V1428" s="3">
        <v>28</v>
      </c>
      <c r="W1428" s="3">
        <v>101</v>
      </c>
    </row>
    <row r="1429" spans="1:23" ht="11.25" customHeight="1" x14ac:dyDescent="0.25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31</v>
      </c>
      <c r="F1429" s="3" t="s">
        <v>25</v>
      </c>
      <c r="G1429" s="3" t="s">
        <v>25</v>
      </c>
      <c r="H1429" s="3" t="s">
        <v>25</v>
      </c>
      <c r="I1429" s="6">
        <v>44593</v>
      </c>
      <c r="J1429" s="4">
        <v>0</v>
      </c>
      <c r="K1429" s="4">
        <v>0</v>
      </c>
      <c r="L1429" s="4">
        <v>5685.732</v>
      </c>
      <c r="M1429" s="4">
        <v>5685.732</v>
      </c>
      <c r="N1429" s="4">
        <v>5685.732</v>
      </c>
      <c r="O1429" s="4">
        <v>5685.732</v>
      </c>
      <c r="P1429" s="4">
        <v>92791</v>
      </c>
      <c r="Q1429" s="3" t="s">
        <v>26</v>
      </c>
      <c r="R1429" s="3">
        <v>0</v>
      </c>
      <c r="S1429" s="3" t="s">
        <v>454</v>
      </c>
      <c r="T1429" s="3" t="s">
        <v>735</v>
      </c>
      <c r="U1429" s="3">
        <v>0</v>
      </c>
      <c r="V1429" s="3">
        <v>28</v>
      </c>
      <c r="W1429" s="3">
        <v>101</v>
      </c>
    </row>
    <row r="1430" spans="1:23" ht="11.25" customHeight="1" x14ac:dyDescent="0.25">
      <c r="A1430" s="3" t="s">
        <v>27</v>
      </c>
      <c r="B1430" s="3" t="s">
        <v>22</v>
      </c>
      <c r="C1430" s="3" t="s">
        <v>23</v>
      </c>
      <c r="D1430" s="3" t="s">
        <v>24</v>
      </c>
      <c r="E1430" s="3" t="s">
        <v>31</v>
      </c>
      <c r="F1430" s="3" t="s">
        <v>25</v>
      </c>
      <c r="G1430" s="3" t="s">
        <v>25</v>
      </c>
      <c r="H1430" s="3" t="s">
        <v>25</v>
      </c>
      <c r="I1430" s="6">
        <v>44593</v>
      </c>
      <c r="J1430" s="4">
        <v>0</v>
      </c>
      <c r="K1430" s="4">
        <v>0</v>
      </c>
      <c r="L1430" s="4">
        <v>-0.94499999999999995</v>
      </c>
      <c r="M1430" s="4">
        <v>-0.94499999999999995</v>
      </c>
      <c r="N1430" s="4">
        <v>-0.94499999999999995</v>
      </c>
      <c r="O1430" s="4">
        <v>-0.94499999999999995</v>
      </c>
      <c r="P1430" s="4">
        <v>-5</v>
      </c>
      <c r="Q1430" s="3" t="s">
        <v>26</v>
      </c>
      <c r="R1430" s="3">
        <v>0</v>
      </c>
      <c r="S1430" s="3" t="s">
        <v>454</v>
      </c>
      <c r="T1430" s="3" t="s">
        <v>735</v>
      </c>
      <c r="U1430" s="3">
        <v>0</v>
      </c>
      <c r="V1430" s="3">
        <v>28</v>
      </c>
      <c r="W1430" s="3">
        <v>101</v>
      </c>
    </row>
    <row r="1431" spans="1:23" ht="11.25" customHeight="1" x14ac:dyDescent="0.25">
      <c r="A1431" s="3" t="s">
        <v>28</v>
      </c>
      <c r="B1431" s="3" t="s">
        <v>22</v>
      </c>
      <c r="C1431" s="3" t="s">
        <v>23</v>
      </c>
      <c r="D1431" s="3" t="s">
        <v>24</v>
      </c>
      <c r="E1431" s="3" t="s">
        <v>31</v>
      </c>
      <c r="F1431" s="3" t="s">
        <v>25</v>
      </c>
      <c r="G1431" s="3" t="s">
        <v>25</v>
      </c>
      <c r="H1431" s="3" t="s">
        <v>25</v>
      </c>
      <c r="I1431" s="6">
        <v>44593</v>
      </c>
      <c r="J1431" s="4">
        <v>0</v>
      </c>
      <c r="K1431" s="4">
        <v>0</v>
      </c>
      <c r="L1431" s="4">
        <v>2.363</v>
      </c>
      <c r="M1431" s="4">
        <v>2.363</v>
      </c>
      <c r="N1431" s="4">
        <v>2.363</v>
      </c>
      <c r="O1431" s="4">
        <v>2.363</v>
      </c>
      <c r="P1431" s="4">
        <v>17</v>
      </c>
      <c r="Q1431" s="3" t="s">
        <v>26</v>
      </c>
      <c r="R1431" s="3">
        <v>0</v>
      </c>
      <c r="S1431" s="3" t="s">
        <v>454</v>
      </c>
      <c r="T1431" s="3" t="s">
        <v>735</v>
      </c>
      <c r="U1431" s="3">
        <v>0</v>
      </c>
      <c r="V1431" s="3">
        <v>28</v>
      </c>
      <c r="W1431" s="3">
        <v>101</v>
      </c>
    </row>
    <row r="1432" spans="1:23" ht="11.25" customHeight="1" x14ac:dyDescent="0.25">
      <c r="A1432" s="3" t="s">
        <v>56</v>
      </c>
      <c r="B1432" s="3" t="s">
        <v>22</v>
      </c>
      <c r="C1432" s="3" t="s">
        <v>23</v>
      </c>
      <c r="D1432" s="3" t="s">
        <v>24</v>
      </c>
      <c r="E1432" s="3" t="s">
        <v>31</v>
      </c>
      <c r="F1432" s="3" t="s">
        <v>25</v>
      </c>
      <c r="G1432" s="3" t="s">
        <v>25</v>
      </c>
      <c r="H1432" s="3" t="s">
        <v>25</v>
      </c>
      <c r="I1432" s="6">
        <v>44621</v>
      </c>
      <c r="J1432" s="4">
        <v>0</v>
      </c>
      <c r="K1432" s="4">
        <v>0</v>
      </c>
      <c r="L1432" s="4">
        <v>5685.732</v>
      </c>
      <c r="M1432" s="4">
        <v>5685.732</v>
      </c>
      <c r="N1432" s="4">
        <v>5685.732</v>
      </c>
      <c r="O1432" s="4">
        <v>5685.732</v>
      </c>
      <c r="P1432" s="4">
        <v>92791</v>
      </c>
      <c r="Q1432" s="3" t="s">
        <v>26</v>
      </c>
      <c r="R1432" s="3">
        <v>0</v>
      </c>
      <c r="S1432" s="3" t="s">
        <v>455</v>
      </c>
      <c r="T1432" s="3" t="s">
        <v>736</v>
      </c>
      <c r="U1432" s="3">
        <v>0</v>
      </c>
      <c r="V1432" s="3">
        <v>28</v>
      </c>
      <c r="W1432" s="3">
        <v>101</v>
      </c>
    </row>
    <row r="1433" spans="1:23" ht="11.25" customHeight="1" x14ac:dyDescent="0.25">
      <c r="A1433" s="3" t="s">
        <v>56</v>
      </c>
      <c r="B1433" s="3" t="s">
        <v>22</v>
      </c>
      <c r="C1433" s="3" t="s">
        <v>23</v>
      </c>
      <c r="D1433" s="3" t="s">
        <v>24</v>
      </c>
      <c r="E1433" s="3" t="s">
        <v>31</v>
      </c>
      <c r="F1433" s="3" t="s">
        <v>25</v>
      </c>
      <c r="G1433" s="3" t="s">
        <v>25</v>
      </c>
      <c r="H1433" s="3" t="s">
        <v>25</v>
      </c>
      <c r="I1433" s="6">
        <v>44621</v>
      </c>
      <c r="J1433" s="4">
        <v>0</v>
      </c>
      <c r="K1433" s="4">
        <v>0</v>
      </c>
      <c r="L1433" s="4">
        <v>-0.94499999999999995</v>
      </c>
      <c r="M1433" s="4">
        <v>-0.94499999999999995</v>
      </c>
      <c r="N1433" s="4">
        <v>-0.94499999999999995</v>
      </c>
      <c r="O1433" s="4">
        <v>-0.94499999999999995</v>
      </c>
      <c r="P1433" s="4">
        <v>-5</v>
      </c>
      <c r="Q1433" s="3" t="s">
        <v>26</v>
      </c>
      <c r="R1433" s="3">
        <v>0</v>
      </c>
      <c r="S1433" s="3" t="s">
        <v>455</v>
      </c>
      <c r="T1433" s="3" t="s">
        <v>736</v>
      </c>
      <c r="U1433" s="3">
        <v>0</v>
      </c>
      <c r="V1433" s="3">
        <v>28</v>
      </c>
      <c r="W1433" s="3">
        <v>101</v>
      </c>
    </row>
    <row r="1434" spans="1:23" ht="11.25" customHeight="1" x14ac:dyDescent="0.25">
      <c r="A1434" s="3" t="s">
        <v>56</v>
      </c>
      <c r="B1434" s="3" t="s">
        <v>22</v>
      </c>
      <c r="C1434" s="3" t="s">
        <v>23</v>
      </c>
      <c r="D1434" s="3" t="s">
        <v>24</v>
      </c>
      <c r="E1434" s="3" t="s">
        <v>31</v>
      </c>
      <c r="F1434" s="3" t="s">
        <v>25</v>
      </c>
      <c r="G1434" s="3" t="s">
        <v>25</v>
      </c>
      <c r="H1434" s="3" t="s">
        <v>25</v>
      </c>
      <c r="I1434" s="6">
        <v>44621</v>
      </c>
      <c r="J1434" s="4">
        <v>0</v>
      </c>
      <c r="K1434" s="4">
        <v>0</v>
      </c>
      <c r="L1434" s="4">
        <v>2.363</v>
      </c>
      <c r="M1434" s="4">
        <v>2.363</v>
      </c>
      <c r="N1434" s="4">
        <v>2.363</v>
      </c>
      <c r="O1434" s="4">
        <v>2.363</v>
      </c>
      <c r="P1434" s="4">
        <v>17</v>
      </c>
      <c r="Q1434" s="3" t="s">
        <v>26</v>
      </c>
      <c r="R1434" s="3">
        <v>0</v>
      </c>
      <c r="S1434" s="3" t="s">
        <v>455</v>
      </c>
      <c r="T1434" s="3" t="s">
        <v>736</v>
      </c>
      <c r="U1434" s="3">
        <v>0</v>
      </c>
      <c r="V1434" s="3">
        <v>28</v>
      </c>
      <c r="W1434" s="3">
        <v>101</v>
      </c>
    </row>
    <row r="1435" spans="1:23" ht="11.25" customHeight="1" x14ac:dyDescent="0.25">
      <c r="A1435" s="3" t="s">
        <v>21</v>
      </c>
      <c r="B1435" s="3" t="s">
        <v>22</v>
      </c>
      <c r="C1435" s="3" t="s">
        <v>23</v>
      </c>
      <c r="D1435" s="3" t="s">
        <v>24</v>
      </c>
      <c r="E1435" s="3" t="s">
        <v>32</v>
      </c>
      <c r="F1435" s="3" t="s">
        <v>25</v>
      </c>
      <c r="G1435" s="3" t="s">
        <v>25</v>
      </c>
      <c r="H1435" s="3" t="s">
        <v>25</v>
      </c>
      <c r="I1435" s="6">
        <v>44287</v>
      </c>
      <c r="J1435" s="4">
        <v>0</v>
      </c>
      <c r="K1435" s="4">
        <v>0</v>
      </c>
      <c r="L1435" s="4">
        <v>1840.585</v>
      </c>
      <c r="M1435" s="4">
        <v>1840.585</v>
      </c>
      <c r="N1435" s="4">
        <v>1840.585</v>
      </c>
      <c r="O1435" s="4">
        <v>1840.585</v>
      </c>
      <c r="P1435" s="4">
        <v>18521</v>
      </c>
      <c r="Q1435" s="3" t="s">
        <v>26</v>
      </c>
      <c r="R1435" s="3">
        <v>0</v>
      </c>
      <c r="S1435" s="3" t="s">
        <v>456</v>
      </c>
      <c r="T1435" s="3" t="s">
        <v>737</v>
      </c>
      <c r="U1435" s="3">
        <v>0</v>
      </c>
      <c r="V1435" s="3">
        <v>29</v>
      </c>
      <c r="W1435" s="3">
        <v>66</v>
      </c>
    </row>
    <row r="1436" spans="1:23" ht="11.25" customHeight="1" x14ac:dyDescent="0.25">
      <c r="A1436" s="3" t="s">
        <v>27</v>
      </c>
      <c r="B1436" s="3" t="s">
        <v>22</v>
      </c>
      <c r="C1436" s="3" t="s">
        <v>23</v>
      </c>
      <c r="D1436" s="3" t="s">
        <v>24</v>
      </c>
      <c r="E1436" s="3" t="s">
        <v>32</v>
      </c>
      <c r="F1436" s="3" t="s">
        <v>25</v>
      </c>
      <c r="G1436" s="3" t="s">
        <v>25</v>
      </c>
      <c r="H1436" s="3" t="s">
        <v>25</v>
      </c>
      <c r="I1436" s="6">
        <v>44287</v>
      </c>
      <c r="J1436" s="4">
        <v>0</v>
      </c>
      <c r="K1436" s="4">
        <v>0</v>
      </c>
      <c r="L1436" s="4">
        <v>-6.4489999999999998</v>
      </c>
      <c r="M1436" s="4">
        <v>-6.4489999999999998</v>
      </c>
      <c r="N1436" s="4">
        <v>-6.4489999999999998</v>
      </c>
      <c r="O1436" s="4">
        <v>-6.4489999999999998</v>
      </c>
      <c r="P1436" s="4">
        <v>-4</v>
      </c>
      <c r="Q1436" s="3" t="s">
        <v>26</v>
      </c>
      <c r="R1436" s="3">
        <v>0</v>
      </c>
      <c r="S1436" s="3" t="s">
        <v>456</v>
      </c>
      <c r="T1436" s="3" t="s">
        <v>737</v>
      </c>
      <c r="U1436" s="3">
        <v>0</v>
      </c>
      <c r="V1436" s="3">
        <v>29</v>
      </c>
      <c r="W1436" s="3">
        <v>66</v>
      </c>
    </row>
    <row r="1437" spans="1:23" ht="11.25" customHeight="1" x14ac:dyDescent="0.25">
      <c r="A1437" s="3" t="s">
        <v>28</v>
      </c>
      <c r="B1437" s="3" t="s">
        <v>22</v>
      </c>
      <c r="C1437" s="3" t="s">
        <v>23</v>
      </c>
      <c r="D1437" s="3" t="s">
        <v>24</v>
      </c>
      <c r="E1437" s="3" t="s">
        <v>32</v>
      </c>
      <c r="F1437" s="3" t="s">
        <v>25</v>
      </c>
      <c r="G1437" s="3" t="s">
        <v>25</v>
      </c>
      <c r="H1437" s="3" t="s">
        <v>25</v>
      </c>
      <c r="I1437" s="6">
        <v>44287</v>
      </c>
      <c r="J1437" s="4">
        <v>0</v>
      </c>
      <c r="K1437" s="4">
        <v>0</v>
      </c>
      <c r="L1437" s="4">
        <v>2.9940000000000002</v>
      </c>
      <c r="M1437" s="4">
        <v>2.9940000000000002</v>
      </c>
      <c r="N1437" s="4">
        <v>2.9940000000000002</v>
      </c>
      <c r="O1437" s="4">
        <v>2.9940000000000002</v>
      </c>
      <c r="P1437" s="4">
        <v>23</v>
      </c>
      <c r="Q1437" s="3" t="s">
        <v>26</v>
      </c>
      <c r="R1437" s="3">
        <v>0</v>
      </c>
      <c r="S1437" s="3" t="s">
        <v>456</v>
      </c>
      <c r="T1437" s="3" t="s">
        <v>737</v>
      </c>
      <c r="U1437" s="3">
        <v>0</v>
      </c>
      <c r="V1437" s="3">
        <v>29</v>
      </c>
      <c r="W1437" s="3">
        <v>66</v>
      </c>
    </row>
    <row r="1438" spans="1:23" ht="11.25" customHeight="1" x14ac:dyDescent="0.25">
      <c r="A1438" s="3" t="s">
        <v>21</v>
      </c>
      <c r="B1438" s="3" t="s">
        <v>22</v>
      </c>
      <c r="C1438" s="3" t="s">
        <v>23</v>
      </c>
      <c r="D1438" s="3" t="s">
        <v>24</v>
      </c>
      <c r="E1438" s="3" t="s">
        <v>32</v>
      </c>
      <c r="F1438" s="3" t="s">
        <v>25</v>
      </c>
      <c r="G1438" s="3" t="s">
        <v>25</v>
      </c>
      <c r="H1438" s="3" t="s">
        <v>25</v>
      </c>
      <c r="I1438" s="6">
        <v>44317</v>
      </c>
      <c r="J1438" s="4">
        <v>0</v>
      </c>
      <c r="K1438" s="4">
        <v>0</v>
      </c>
      <c r="L1438" s="4">
        <v>1271.867</v>
      </c>
      <c r="M1438" s="4">
        <v>1271.867</v>
      </c>
      <c r="N1438" s="4">
        <v>1271.867</v>
      </c>
      <c r="O1438" s="4">
        <v>1271.867</v>
      </c>
      <c r="P1438" s="4">
        <v>13296</v>
      </c>
      <c r="Q1438" s="3" t="s">
        <v>26</v>
      </c>
      <c r="R1438" s="3">
        <v>0</v>
      </c>
      <c r="S1438" s="3" t="s">
        <v>457</v>
      </c>
      <c r="T1438" s="3" t="s">
        <v>738</v>
      </c>
      <c r="U1438" s="3">
        <v>0</v>
      </c>
      <c r="V1438" s="3">
        <v>29</v>
      </c>
      <c r="W1438" s="3">
        <v>66</v>
      </c>
    </row>
    <row r="1439" spans="1:23" ht="11.25" customHeight="1" x14ac:dyDescent="0.25">
      <c r="A1439" s="3" t="s">
        <v>27</v>
      </c>
      <c r="B1439" s="3" t="s">
        <v>22</v>
      </c>
      <c r="C1439" s="3" t="s">
        <v>23</v>
      </c>
      <c r="D1439" s="3" t="s">
        <v>24</v>
      </c>
      <c r="E1439" s="3" t="s">
        <v>32</v>
      </c>
      <c r="F1439" s="3" t="s">
        <v>25</v>
      </c>
      <c r="G1439" s="3" t="s">
        <v>25</v>
      </c>
      <c r="H1439" s="3" t="s">
        <v>25</v>
      </c>
      <c r="I1439" s="6">
        <v>44317</v>
      </c>
      <c r="J1439" s="4">
        <v>0</v>
      </c>
      <c r="K1439" s="4">
        <v>0</v>
      </c>
      <c r="L1439" s="4">
        <v>-9.8000000000000004E-2</v>
      </c>
      <c r="M1439" s="4">
        <v>-9.8000000000000004E-2</v>
      </c>
      <c r="N1439" s="4">
        <v>-9.8000000000000004E-2</v>
      </c>
      <c r="O1439" s="4">
        <v>-9.8000000000000004E-2</v>
      </c>
      <c r="P1439" s="4">
        <v>-2</v>
      </c>
      <c r="Q1439" s="3" t="s">
        <v>26</v>
      </c>
      <c r="R1439" s="3">
        <v>0</v>
      </c>
      <c r="S1439" s="3" t="s">
        <v>457</v>
      </c>
      <c r="T1439" s="3" t="s">
        <v>738</v>
      </c>
      <c r="U1439" s="3">
        <v>0</v>
      </c>
      <c r="V1439" s="3">
        <v>29</v>
      </c>
      <c r="W1439" s="3">
        <v>66</v>
      </c>
    </row>
    <row r="1440" spans="1:23" ht="11.25" customHeight="1" x14ac:dyDescent="0.25">
      <c r="A1440" s="3" t="s">
        <v>28</v>
      </c>
      <c r="B1440" s="3" t="s">
        <v>22</v>
      </c>
      <c r="C1440" s="3" t="s">
        <v>23</v>
      </c>
      <c r="D1440" s="3" t="s">
        <v>24</v>
      </c>
      <c r="E1440" s="3" t="s">
        <v>32</v>
      </c>
      <c r="F1440" s="3" t="s">
        <v>25</v>
      </c>
      <c r="G1440" s="3" t="s">
        <v>25</v>
      </c>
      <c r="H1440" s="3" t="s">
        <v>25</v>
      </c>
      <c r="I1440" s="6">
        <v>44317</v>
      </c>
      <c r="J1440" s="4">
        <v>0</v>
      </c>
      <c r="K1440" s="4">
        <v>0</v>
      </c>
      <c r="L1440" s="4">
        <v>2.5760000000000001</v>
      </c>
      <c r="M1440" s="4">
        <v>2.5760000000000001</v>
      </c>
      <c r="N1440" s="4">
        <v>2.5760000000000001</v>
      </c>
      <c r="O1440" s="4">
        <v>2.5760000000000001</v>
      </c>
      <c r="P1440" s="4">
        <v>23</v>
      </c>
      <c r="Q1440" s="3" t="s">
        <v>26</v>
      </c>
      <c r="R1440" s="3">
        <v>0</v>
      </c>
      <c r="S1440" s="3" t="s">
        <v>457</v>
      </c>
      <c r="T1440" s="3" t="s">
        <v>738</v>
      </c>
      <c r="U1440" s="3">
        <v>0</v>
      </c>
      <c r="V1440" s="3">
        <v>29</v>
      </c>
      <c r="W1440" s="3">
        <v>66</v>
      </c>
    </row>
    <row r="1441" spans="1:23" ht="11.25" customHeight="1" x14ac:dyDescent="0.25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32</v>
      </c>
      <c r="F1441" s="3" t="s">
        <v>25</v>
      </c>
      <c r="G1441" s="3" t="s">
        <v>25</v>
      </c>
      <c r="H1441" s="3" t="s">
        <v>25</v>
      </c>
      <c r="I1441" s="6">
        <v>44348</v>
      </c>
      <c r="J1441" s="4">
        <v>0</v>
      </c>
      <c r="K1441" s="4">
        <v>0</v>
      </c>
      <c r="L1441" s="4">
        <v>1126.193</v>
      </c>
      <c r="M1441" s="4">
        <v>1126.193</v>
      </c>
      <c r="N1441" s="4">
        <v>1126.193</v>
      </c>
      <c r="O1441" s="4">
        <v>1126.193</v>
      </c>
      <c r="P1441" s="4">
        <v>11760</v>
      </c>
      <c r="Q1441" s="3" t="s">
        <v>26</v>
      </c>
      <c r="R1441" s="3">
        <v>0</v>
      </c>
      <c r="S1441" s="3" t="s">
        <v>458</v>
      </c>
      <c r="T1441" s="3" t="s">
        <v>739</v>
      </c>
      <c r="U1441" s="3">
        <v>0</v>
      </c>
      <c r="V1441" s="3">
        <v>29</v>
      </c>
      <c r="W1441" s="3">
        <v>66</v>
      </c>
    </row>
    <row r="1442" spans="1:23" ht="11.25" customHeight="1" x14ac:dyDescent="0.25">
      <c r="A1442" s="3" t="s">
        <v>27</v>
      </c>
      <c r="B1442" s="3" t="s">
        <v>22</v>
      </c>
      <c r="C1442" s="3" t="s">
        <v>23</v>
      </c>
      <c r="D1442" s="3" t="s">
        <v>24</v>
      </c>
      <c r="E1442" s="3" t="s">
        <v>32</v>
      </c>
      <c r="F1442" s="3" t="s">
        <v>25</v>
      </c>
      <c r="G1442" s="3" t="s">
        <v>25</v>
      </c>
      <c r="H1442" s="3" t="s">
        <v>25</v>
      </c>
      <c r="I1442" s="6">
        <v>44348</v>
      </c>
      <c r="J1442" s="4">
        <v>0</v>
      </c>
      <c r="K1442" s="4">
        <v>0</v>
      </c>
      <c r="L1442" s="4">
        <v>-0.02</v>
      </c>
      <c r="M1442" s="4">
        <v>-0.02</v>
      </c>
      <c r="N1442" s="4">
        <v>-0.02</v>
      </c>
      <c r="O1442" s="4">
        <v>-0.02</v>
      </c>
      <c r="P1442" s="4">
        <v>-1</v>
      </c>
      <c r="Q1442" s="3" t="s">
        <v>26</v>
      </c>
      <c r="R1442" s="3">
        <v>0</v>
      </c>
      <c r="S1442" s="3" t="s">
        <v>458</v>
      </c>
      <c r="T1442" s="3" t="s">
        <v>739</v>
      </c>
      <c r="U1442" s="3">
        <v>0</v>
      </c>
      <c r="V1442" s="3">
        <v>29</v>
      </c>
      <c r="W1442" s="3">
        <v>66</v>
      </c>
    </row>
    <row r="1443" spans="1:23" ht="11.25" customHeight="1" x14ac:dyDescent="0.25">
      <c r="A1443" s="3" t="s">
        <v>28</v>
      </c>
      <c r="B1443" s="3" t="s">
        <v>22</v>
      </c>
      <c r="C1443" s="3" t="s">
        <v>23</v>
      </c>
      <c r="D1443" s="3" t="s">
        <v>24</v>
      </c>
      <c r="E1443" s="3" t="s">
        <v>32</v>
      </c>
      <c r="F1443" s="3" t="s">
        <v>25</v>
      </c>
      <c r="G1443" s="3" t="s">
        <v>25</v>
      </c>
      <c r="H1443" s="3" t="s">
        <v>25</v>
      </c>
      <c r="I1443" s="6">
        <v>44348</v>
      </c>
      <c r="J1443" s="4">
        <v>0</v>
      </c>
      <c r="K1443" s="4">
        <v>0</v>
      </c>
      <c r="L1443" s="4">
        <v>1.595</v>
      </c>
      <c r="M1443" s="4">
        <v>1.595</v>
      </c>
      <c r="N1443" s="4">
        <v>1.595</v>
      </c>
      <c r="O1443" s="4">
        <v>1.595</v>
      </c>
      <c r="P1443" s="4">
        <v>19</v>
      </c>
      <c r="Q1443" s="3" t="s">
        <v>26</v>
      </c>
      <c r="R1443" s="3">
        <v>0</v>
      </c>
      <c r="S1443" s="3" t="s">
        <v>458</v>
      </c>
      <c r="T1443" s="3" t="s">
        <v>739</v>
      </c>
      <c r="U1443" s="3">
        <v>0</v>
      </c>
      <c r="V1443" s="3">
        <v>29</v>
      </c>
      <c r="W1443" s="3">
        <v>66</v>
      </c>
    </row>
    <row r="1444" spans="1:23" ht="11.25" customHeight="1" x14ac:dyDescent="0.25">
      <c r="A1444" s="3" t="s">
        <v>21</v>
      </c>
      <c r="B1444" s="3" t="s">
        <v>22</v>
      </c>
      <c r="C1444" s="3" t="s">
        <v>23</v>
      </c>
      <c r="D1444" s="3" t="s">
        <v>24</v>
      </c>
      <c r="E1444" s="3" t="s">
        <v>32</v>
      </c>
      <c r="F1444" s="3" t="s">
        <v>25</v>
      </c>
      <c r="G1444" s="3" t="s">
        <v>25</v>
      </c>
      <c r="H1444" s="3" t="s">
        <v>25</v>
      </c>
      <c r="I1444" s="6">
        <v>44378</v>
      </c>
      <c r="J1444" s="4">
        <v>0</v>
      </c>
      <c r="K1444" s="4">
        <v>0</v>
      </c>
      <c r="L1444" s="4">
        <v>1052.328</v>
      </c>
      <c r="M1444" s="4">
        <v>1052.328</v>
      </c>
      <c r="N1444" s="4">
        <v>1052.328</v>
      </c>
      <c r="O1444" s="4">
        <v>1052.328</v>
      </c>
      <c r="P1444" s="4">
        <v>11008</v>
      </c>
      <c r="Q1444" s="3" t="s">
        <v>26</v>
      </c>
      <c r="R1444" s="3">
        <v>0</v>
      </c>
      <c r="S1444" s="3" t="s">
        <v>459</v>
      </c>
      <c r="T1444" s="3" t="s">
        <v>740</v>
      </c>
      <c r="U1444" s="3">
        <v>0</v>
      </c>
      <c r="V1444" s="3">
        <v>29</v>
      </c>
      <c r="W1444" s="3">
        <v>66</v>
      </c>
    </row>
    <row r="1445" spans="1:23" ht="11.25" customHeight="1" x14ac:dyDescent="0.25">
      <c r="A1445" s="3" t="s">
        <v>27</v>
      </c>
      <c r="B1445" s="3" t="s">
        <v>22</v>
      </c>
      <c r="C1445" s="3" t="s">
        <v>23</v>
      </c>
      <c r="D1445" s="3" t="s">
        <v>24</v>
      </c>
      <c r="E1445" s="3" t="s">
        <v>32</v>
      </c>
      <c r="F1445" s="3" t="s">
        <v>25</v>
      </c>
      <c r="G1445" s="3" t="s">
        <v>25</v>
      </c>
      <c r="H1445" s="3" t="s">
        <v>25</v>
      </c>
      <c r="I1445" s="6">
        <v>44378</v>
      </c>
      <c r="J1445" s="4">
        <v>0</v>
      </c>
      <c r="K1445" s="4">
        <v>0</v>
      </c>
      <c r="L1445" s="4">
        <v>-17.094000000000001</v>
      </c>
      <c r="M1445" s="4">
        <v>-17.094000000000001</v>
      </c>
      <c r="N1445" s="4">
        <v>-17.094000000000001</v>
      </c>
      <c r="O1445" s="4">
        <v>-17.094000000000001</v>
      </c>
      <c r="P1445" s="4">
        <v>-16</v>
      </c>
      <c r="Q1445" s="3" t="s">
        <v>26</v>
      </c>
      <c r="R1445" s="3">
        <v>0</v>
      </c>
      <c r="S1445" s="3" t="s">
        <v>459</v>
      </c>
      <c r="T1445" s="3" t="s">
        <v>740</v>
      </c>
      <c r="U1445" s="3">
        <v>0</v>
      </c>
      <c r="V1445" s="3">
        <v>29</v>
      </c>
      <c r="W1445" s="3">
        <v>66</v>
      </c>
    </row>
    <row r="1446" spans="1:23" ht="11.25" customHeight="1" x14ac:dyDescent="0.25">
      <c r="A1446" s="3" t="s">
        <v>28</v>
      </c>
      <c r="B1446" s="3" t="s">
        <v>22</v>
      </c>
      <c r="C1446" s="3" t="s">
        <v>23</v>
      </c>
      <c r="D1446" s="3" t="s">
        <v>24</v>
      </c>
      <c r="E1446" s="3" t="s">
        <v>32</v>
      </c>
      <c r="F1446" s="3" t="s">
        <v>25</v>
      </c>
      <c r="G1446" s="3" t="s">
        <v>25</v>
      </c>
      <c r="H1446" s="3" t="s">
        <v>25</v>
      </c>
      <c r="I1446" s="6">
        <v>44378</v>
      </c>
      <c r="J1446" s="4">
        <v>0</v>
      </c>
      <c r="K1446" s="4">
        <v>0</v>
      </c>
      <c r="L1446" s="4">
        <v>1.3480000000000001</v>
      </c>
      <c r="M1446" s="4">
        <v>1.3480000000000001</v>
      </c>
      <c r="N1446" s="4">
        <v>1.3480000000000001</v>
      </c>
      <c r="O1446" s="4">
        <v>1.3480000000000001</v>
      </c>
      <c r="P1446" s="4">
        <v>20</v>
      </c>
      <c r="Q1446" s="3" t="s">
        <v>26</v>
      </c>
      <c r="R1446" s="3">
        <v>0</v>
      </c>
      <c r="S1446" s="3" t="s">
        <v>459</v>
      </c>
      <c r="T1446" s="3" t="s">
        <v>740</v>
      </c>
      <c r="U1446" s="3">
        <v>0</v>
      </c>
      <c r="V1446" s="3">
        <v>29</v>
      </c>
      <c r="W1446" s="3">
        <v>66</v>
      </c>
    </row>
    <row r="1447" spans="1:23" ht="11.25" customHeight="1" x14ac:dyDescent="0.25">
      <c r="A1447" s="3" t="s">
        <v>21</v>
      </c>
      <c r="B1447" s="3" t="s">
        <v>22</v>
      </c>
      <c r="C1447" s="3" t="s">
        <v>23</v>
      </c>
      <c r="D1447" s="3" t="s">
        <v>24</v>
      </c>
      <c r="E1447" s="3" t="s">
        <v>32</v>
      </c>
      <c r="F1447" s="3" t="s">
        <v>25</v>
      </c>
      <c r="G1447" s="3" t="s">
        <v>25</v>
      </c>
      <c r="H1447" s="3" t="s">
        <v>25</v>
      </c>
      <c r="I1447" s="6">
        <v>44409</v>
      </c>
      <c r="J1447" s="4">
        <v>0</v>
      </c>
      <c r="K1447" s="4">
        <v>0</v>
      </c>
      <c r="L1447" s="4">
        <v>915.596</v>
      </c>
      <c r="M1447" s="4">
        <v>915.596</v>
      </c>
      <c r="N1447" s="4">
        <v>915.596</v>
      </c>
      <c r="O1447" s="4">
        <v>915.596</v>
      </c>
      <c r="P1447" s="4">
        <v>9367</v>
      </c>
      <c r="Q1447" s="3" t="s">
        <v>26</v>
      </c>
      <c r="R1447" s="3">
        <v>0</v>
      </c>
      <c r="S1447" s="3" t="s">
        <v>460</v>
      </c>
      <c r="T1447" s="3" t="s">
        <v>741</v>
      </c>
      <c r="U1447" s="3">
        <v>0</v>
      </c>
      <c r="V1447" s="3">
        <v>29</v>
      </c>
      <c r="W1447" s="3">
        <v>66</v>
      </c>
    </row>
    <row r="1448" spans="1:23" ht="11.25" customHeight="1" x14ac:dyDescent="0.25">
      <c r="A1448" s="3" t="s">
        <v>27</v>
      </c>
      <c r="B1448" s="3" t="s">
        <v>22</v>
      </c>
      <c r="C1448" s="3" t="s">
        <v>23</v>
      </c>
      <c r="D1448" s="3" t="s">
        <v>24</v>
      </c>
      <c r="E1448" s="3" t="s">
        <v>32</v>
      </c>
      <c r="F1448" s="3" t="s">
        <v>25</v>
      </c>
      <c r="G1448" s="3" t="s">
        <v>25</v>
      </c>
      <c r="H1448" s="3" t="s">
        <v>25</v>
      </c>
      <c r="I1448" s="6">
        <v>44409</v>
      </c>
      <c r="J1448" s="4">
        <v>0</v>
      </c>
      <c r="K1448" s="4">
        <v>0</v>
      </c>
      <c r="L1448" s="4">
        <v>-10.167</v>
      </c>
      <c r="M1448" s="4">
        <v>-10.167</v>
      </c>
      <c r="N1448" s="4">
        <v>-10.167</v>
      </c>
      <c r="O1448" s="4">
        <v>-10.167</v>
      </c>
      <c r="P1448" s="4">
        <v>-10</v>
      </c>
      <c r="Q1448" s="3" t="s">
        <v>26</v>
      </c>
      <c r="R1448" s="3">
        <v>0</v>
      </c>
      <c r="S1448" s="3" t="s">
        <v>460</v>
      </c>
      <c r="T1448" s="3" t="s">
        <v>741</v>
      </c>
      <c r="U1448" s="3">
        <v>0</v>
      </c>
      <c r="V1448" s="3">
        <v>29</v>
      </c>
      <c r="W1448" s="3">
        <v>66</v>
      </c>
    </row>
    <row r="1449" spans="1:23" ht="11.25" customHeight="1" x14ac:dyDescent="0.25">
      <c r="A1449" s="3" t="s">
        <v>28</v>
      </c>
      <c r="B1449" s="3" t="s">
        <v>22</v>
      </c>
      <c r="C1449" s="3" t="s">
        <v>23</v>
      </c>
      <c r="D1449" s="3" t="s">
        <v>24</v>
      </c>
      <c r="E1449" s="3" t="s">
        <v>32</v>
      </c>
      <c r="F1449" s="3" t="s">
        <v>25</v>
      </c>
      <c r="G1449" s="3" t="s">
        <v>25</v>
      </c>
      <c r="H1449" s="3" t="s">
        <v>25</v>
      </c>
      <c r="I1449" s="6">
        <v>44409</v>
      </c>
      <c r="J1449" s="4">
        <v>0</v>
      </c>
      <c r="K1449" s="4">
        <v>0</v>
      </c>
      <c r="L1449" s="4">
        <v>1.4430000000000001</v>
      </c>
      <c r="M1449" s="4">
        <v>1.4430000000000001</v>
      </c>
      <c r="N1449" s="4">
        <v>1.4430000000000001</v>
      </c>
      <c r="O1449" s="4">
        <v>1.4430000000000001</v>
      </c>
      <c r="P1449" s="4">
        <v>20</v>
      </c>
      <c r="Q1449" s="3" t="s">
        <v>26</v>
      </c>
      <c r="R1449" s="3">
        <v>0</v>
      </c>
      <c r="S1449" s="3" t="s">
        <v>460</v>
      </c>
      <c r="T1449" s="3" t="s">
        <v>741</v>
      </c>
      <c r="U1449" s="3">
        <v>0</v>
      </c>
      <c r="V1449" s="3">
        <v>29</v>
      </c>
      <c r="W1449" s="3">
        <v>66</v>
      </c>
    </row>
    <row r="1450" spans="1:23" ht="11.25" customHeight="1" x14ac:dyDescent="0.25">
      <c r="A1450" s="3" t="s">
        <v>21</v>
      </c>
      <c r="B1450" s="3" t="s">
        <v>22</v>
      </c>
      <c r="C1450" s="3" t="s">
        <v>23</v>
      </c>
      <c r="D1450" s="3" t="s">
        <v>24</v>
      </c>
      <c r="E1450" s="3" t="s">
        <v>32</v>
      </c>
      <c r="F1450" s="3" t="s">
        <v>25</v>
      </c>
      <c r="G1450" s="3" t="s">
        <v>25</v>
      </c>
      <c r="H1450" s="3" t="s">
        <v>25</v>
      </c>
      <c r="I1450" s="6">
        <v>44440</v>
      </c>
      <c r="J1450" s="4">
        <v>0</v>
      </c>
      <c r="K1450" s="4">
        <v>0</v>
      </c>
      <c r="L1450" s="4">
        <v>968.34100000000001</v>
      </c>
      <c r="M1450" s="4">
        <v>968.34100000000001</v>
      </c>
      <c r="N1450" s="4">
        <v>968.34100000000001</v>
      </c>
      <c r="O1450" s="4">
        <v>968.34100000000001</v>
      </c>
      <c r="P1450" s="4">
        <v>9801</v>
      </c>
      <c r="Q1450" s="3" t="s">
        <v>26</v>
      </c>
      <c r="R1450" s="3">
        <v>0</v>
      </c>
      <c r="S1450" s="3" t="s">
        <v>461</v>
      </c>
      <c r="T1450" s="3" t="s">
        <v>742</v>
      </c>
      <c r="U1450" s="3">
        <v>0</v>
      </c>
      <c r="V1450" s="3">
        <v>29</v>
      </c>
      <c r="W1450" s="3">
        <v>66</v>
      </c>
    </row>
    <row r="1451" spans="1:23" ht="11.25" customHeight="1" x14ac:dyDescent="0.25">
      <c r="A1451" s="3" t="s">
        <v>27</v>
      </c>
      <c r="B1451" s="3" t="s">
        <v>22</v>
      </c>
      <c r="C1451" s="3" t="s">
        <v>23</v>
      </c>
      <c r="D1451" s="3" t="s">
        <v>24</v>
      </c>
      <c r="E1451" s="3" t="s">
        <v>32</v>
      </c>
      <c r="F1451" s="3" t="s">
        <v>25</v>
      </c>
      <c r="G1451" s="3" t="s">
        <v>25</v>
      </c>
      <c r="H1451" s="3" t="s">
        <v>25</v>
      </c>
      <c r="I1451" s="6">
        <v>44440</v>
      </c>
      <c r="J1451" s="4">
        <v>0</v>
      </c>
      <c r="K1451" s="4">
        <v>0</v>
      </c>
      <c r="L1451" s="4">
        <v>-2.8090000000000002</v>
      </c>
      <c r="M1451" s="4">
        <v>-2.8090000000000002</v>
      </c>
      <c r="N1451" s="4">
        <v>-2.8090000000000002</v>
      </c>
      <c r="O1451" s="4">
        <v>-2.8090000000000002</v>
      </c>
      <c r="P1451" s="4">
        <v>-11</v>
      </c>
      <c r="Q1451" s="3" t="s">
        <v>26</v>
      </c>
      <c r="R1451" s="3">
        <v>0</v>
      </c>
      <c r="S1451" s="3" t="s">
        <v>461</v>
      </c>
      <c r="T1451" s="3" t="s">
        <v>742</v>
      </c>
      <c r="U1451" s="3">
        <v>0</v>
      </c>
      <c r="V1451" s="3">
        <v>29</v>
      </c>
      <c r="W1451" s="3">
        <v>66</v>
      </c>
    </row>
    <row r="1452" spans="1:23" ht="11.25" customHeight="1" x14ac:dyDescent="0.25">
      <c r="A1452" s="3" t="s">
        <v>28</v>
      </c>
      <c r="B1452" s="3" t="s">
        <v>22</v>
      </c>
      <c r="C1452" s="3" t="s">
        <v>23</v>
      </c>
      <c r="D1452" s="3" t="s">
        <v>24</v>
      </c>
      <c r="E1452" s="3" t="s">
        <v>32</v>
      </c>
      <c r="F1452" s="3" t="s">
        <v>25</v>
      </c>
      <c r="G1452" s="3" t="s">
        <v>25</v>
      </c>
      <c r="H1452" s="3" t="s">
        <v>25</v>
      </c>
      <c r="I1452" s="6">
        <v>44440</v>
      </c>
      <c r="J1452" s="4">
        <v>0</v>
      </c>
      <c r="K1452" s="4">
        <v>0</v>
      </c>
      <c r="L1452" s="4">
        <v>2.2029999999999998</v>
      </c>
      <c r="M1452" s="4">
        <v>2.2029999999999998</v>
      </c>
      <c r="N1452" s="4">
        <v>2.2029999999999998</v>
      </c>
      <c r="O1452" s="4">
        <v>2.2029999999999998</v>
      </c>
      <c r="P1452" s="4">
        <v>25</v>
      </c>
      <c r="Q1452" s="3" t="s">
        <v>26</v>
      </c>
      <c r="R1452" s="3">
        <v>0</v>
      </c>
      <c r="S1452" s="3" t="s">
        <v>461</v>
      </c>
      <c r="T1452" s="3" t="s">
        <v>742</v>
      </c>
      <c r="U1452" s="3">
        <v>0</v>
      </c>
      <c r="V1452" s="3">
        <v>29</v>
      </c>
      <c r="W1452" s="3">
        <v>66</v>
      </c>
    </row>
    <row r="1453" spans="1:23" ht="11.25" customHeight="1" x14ac:dyDescent="0.25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32</v>
      </c>
      <c r="F1453" s="3" t="s">
        <v>25</v>
      </c>
      <c r="G1453" s="3" t="s">
        <v>25</v>
      </c>
      <c r="H1453" s="3" t="s">
        <v>25</v>
      </c>
      <c r="I1453" s="6">
        <v>44470</v>
      </c>
      <c r="J1453" s="4">
        <v>0</v>
      </c>
      <c r="K1453" s="4">
        <v>0</v>
      </c>
      <c r="L1453" s="4">
        <v>1199.5029999999999</v>
      </c>
      <c r="M1453" s="4">
        <v>1199.5029999999999</v>
      </c>
      <c r="N1453" s="4">
        <v>1199.5029999999999</v>
      </c>
      <c r="O1453" s="4">
        <v>1199.5029999999999</v>
      </c>
      <c r="P1453" s="4">
        <v>11981</v>
      </c>
      <c r="Q1453" s="3" t="s">
        <v>26</v>
      </c>
      <c r="R1453" s="3">
        <v>0</v>
      </c>
      <c r="S1453" s="3" t="s">
        <v>462</v>
      </c>
      <c r="T1453" s="3" t="s">
        <v>743</v>
      </c>
      <c r="U1453" s="3">
        <v>0</v>
      </c>
      <c r="V1453" s="3">
        <v>29</v>
      </c>
      <c r="W1453" s="3">
        <v>66</v>
      </c>
    </row>
    <row r="1454" spans="1:23" ht="11.25" customHeight="1" x14ac:dyDescent="0.25">
      <c r="A1454" s="3" t="s">
        <v>27</v>
      </c>
      <c r="B1454" s="3" t="s">
        <v>22</v>
      </c>
      <c r="C1454" s="3" t="s">
        <v>23</v>
      </c>
      <c r="D1454" s="3" t="s">
        <v>24</v>
      </c>
      <c r="E1454" s="3" t="s">
        <v>32</v>
      </c>
      <c r="F1454" s="3" t="s">
        <v>25</v>
      </c>
      <c r="G1454" s="3" t="s">
        <v>25</v>
      </c>
      <c r="H1454" s="3" t="s">
        <v>25</v>
      </c>
      <c r="I1454" s="6">
        <v>44470</v>
      </c>
      <c r="J1454" s="4">
        <v>0</v>
      </c>
      <c r="K1454" s="4">
        <v>0</v>
      </c>
      <c r="L1454" s="4">
        <v>-6.9909999999999997</v>
      </c>
      <c r="M1454" s="4">
        <v>-6.9909999999999997</v>
      </c>
      <c r="N1454" s="4">
        <v>-6.9909999999999997</v>
      </c>
      <c r="O1454" s="4">
        <v>-6.9909999999999997</v>
      </c>
      <c r="P1454" s="4">
        <v>-9</v>
      </c>
      <c r="Q1454" s="3" t="s">
        <v>26</v>
      </c>
      <c r="R1454" s="3">
        <v>0</v>
      </c>
      <c r="S1454" s="3" t="s">
        <v>462</v>
      </c>
      <c r="T1454" s="3" t="s">
        <v>743</v>
      </c>
      <c r="U1454" s="3">
        <v>0</v>
      </c>
      <c r="V1454" s="3">
        <v>29</v>
      </c>
      <c r="W1454" s="3">
        <v>66</v>
      </c>
    </row>
    <row r="1455" spans="1:23" ht="11.25" customHeight="1" x14ac:dyDescent="0.25">
      <c r="A1455" s="3" t="s">
        <v>28</v>
      </c>
      <c r="B1455" s="3" t="s">
        <v>22</v>
      </c>
      <c r="C1455" s="3" t="s">
        <v>23</v>
      </c>
      <c r="D1455" s="3" t="s">
        <v>24</v>
      </c>
      <c r="E1455" s="3" t="s">
        <v>32</v>
      </c>
      <c r="F1455" s="3" t="s">
        <v>25</v>
      </c>
      <c r="G1455" s="3" t="s">
        <v>25</v>
      </c>
      <c r="H1455" s="3" t="s">
        <v>25</v>
      </c>
      <c r="I1455" s="6">
        <v>44470</v>
      </c>
      <c r="J1455" s="4">
        <v>0</v>
      </c>
      <c r="K1455" s="4">
        <v>0</v>
      </c>
      <c r="L1455" s="4">
        <v>2.5920000000000001</v>
      </c>
      <c r="M1455" s="4">
        <v>2.5920000000000001</v>
      </c>
      <c r="N1455" s="4">
        <v>2.5920000000000001</v>
      </c>
      <c r="O1455" s="4">
        <v>2.5920000000000001</v>
      </c>
      <c r="P1455" s="4">
        <v>25</v>
      </c>
      <c r="Q1455" s="3" t="s">
        <v>26</v>
      </c>
      <c r="R1455" s="3">
        <v>0</v>
      </c>
      <c r="S1455" s="3" t="s">
        <v>462</v>
      </c>
      <c r="T1455" s="3" t="s">
        <v>743</v>
      </c>
      <c r="U1455" s="3">
        <v>0</v>
      </c>
      <c r="V1455" s="3">
        <v>29</v>
      </c>
      <c r="W1455" s="3">
        <v>66</v>
      </c>
    </row>
    <row r="1456" spans="1:23" ht="11.25" customHeight="1" x14ac:dyDescent="0.25">
      <c r="A1456" s="3" t="s">
        <v>21</v>
      </c>
      <c r="B1456" s="3" t="s">
        <v>22</v>
      </c>
      <c r="C1456" s="3" t="s">
        <v>23</v>
      </c>
      <c r="D1456" s="3" t="s">
        <v>24</v>
      </c>
      <c r="E1456" s="3" t="s">
        <v>32</v>
      </c>
      <c r="F1456" s="3" t="s">
        <v>25</v>
      </c>
      <c r="G1456" s="3" t="s">
        <v>25</v>
      </c>
      <c r="H1456" s="3" t="s">
        <v>25</v>
      </c>
      <c r="I1456" s="6">
        <v>44501</v>
      </c>
      <c r="J1456" s="4">
        <v>0</v>
      </c>
      <c r="K1456" s="4">
        <v>0</v>
      </c>
      <c r="L1456" s="4">
        <v>1299.3150000000001</v>
      </c>
      <c r="M1456" s="4">
        <v>1299.3150000000001</v>
      </c>
      <c r="N1456" s="4">
        <v>1299.3150000000001</v>
      </c>
      <c r="O1456" s="4">
        <v>1299.3150000000001</v>
      </c>
      <c r="P1456" s="4">
        <v>12988</v>
      </c>
      <c r="Q1456" s="3" t="s">
        <v>26</v>
      </c>
      <c r="R1456" s="3">
        <v>0</v>
      </c>
      <c r="S1456" s="3" t="s">
        <v>463</v>
      </c>
      <c r="T1456" s="3" t="s">
        <v>744</v>
      </c>
      <c r="U1456" s="3">
        <v>0</v>
      </c>
      <c r="V1456" s="3">
        <v>29</v>
      </c>
      <c r="W1456" s="3">
        <v>66</v>
      </c>
    </row>
    <row r="1457" spans="1:23" ht="11.25" customHeight="1" x14ac:dyDescent="0.25">
      <c r="A1457" s="3" t="s">
        <v>27</v>
      </c>
      <c r="B1457" s="3" t="s">
        <v>22</v>
      </c>
      <c r="C1457" s="3" t="s">
        <v>23</v>
      </c>
      <c r="D1457" s="3" t="s">
        <v>24</v>
      </c>
      <c r="E1457" s="3" t="s">
        <v>32</v>
      </c>
      <c r="F1457" s="3" t="s">
        <v>25</v>
      </c>
      <c r="G1457" s="3" t="s">
        <v>25</v>
      </c>
      <c r="H1457" s="3" t="s">
        <v>25</v>
      </c>
      <c r="I1457" s="6">
        <v>44501</v>
      </c>
      <c r="J1457" s="4">
        <v>0</v>
      </c>
      <c r="K1457" s="4">
        <v>0</v>
      </c>
      <c r="L1457" s="4">
        <v>-3.6970000000000001</v>
      </c>
      <c r="M1457" s="4">
        <v>-3.6970000000000001</v>
      </c>
      <c r="N1457" s="4">
        <v>-3.6970000000000001</v>
      </c>
      <c r="O1457" s="4">
        <v>-3.6970000000000001</v>
      </c>
      <c r="P1457" s="4">
        <v>-5</v>
      </c>
      <c r="Q1457" s="3" t="s">
        <v>26</v>
      </c>
      <c r="R1457" s="3">
        <v>0</v>
      </c>
      <c r="S1457" s="3" t="s">
        <v>463</v>
      </c>
      <c r="T1457" s="3" t="s">
        <v>744</v>
      </c>
      <c r="U1457" s="3">
        <v>0</v>
      </c>
      <c r="V1457" s="3">
        <v>29</v>
      </c>
      <c r="W1457" s="3">
        <v>66</v>
      </c>
    </row>
    <row r="1458" spans="1:23" ht="11.25" customHeight="1" x14ac:dyDescent="0.25">
      <c r="A1458" s="3" t="s">
        <v>28</v>
      </c>
      <c r="B1458" s="3" t="s">
        <v>22</v>
      </c>
      <c r="C1458" s="3" t="s">
        <v>23</v>
      </c>
      <c r="D1458" s="3" t="s">
        <v>24</v>
      </c>
      <c r="E1458" s="3" t="s">
        <v>32</v>
      </c>
      <c r="F1458" s="3" t="s">
        <v>25</v>
      </c>
      <c r="G1458" s="3" t="s">
        <v>25</v>
      </c>
      <c r="H1458" s="3" t="s">
        <v>25</v>
      </c>
      <c r="I1458" s="6">
        <v>44501</v>
      </c>
      <c r="J1458" s="4">
        <v>0</v>
      </c>
      <c r="K1458" s="4">
        <v>0</v>
      </c>
      <c r="L1458" s="4">
        <v>3.089</v>
      </c>
      <c r="M1458" s="4">
        <v>3.089</v>
      </c>
      <c r="N1458" s="4">
        <v>3.089</v>
      </c>
      <c r="O1458" s="4">
        <v>3.089</v>
      </c>
      <c r="P1458" s="4">
        <v>30</v>
      </c>
      <c r="Q1458" s="3" t="s">
        <v>26</v>
      </c>
      <c r="R1458" s="3">
        <v>0</v>
      </c>
      <c r="S1458" s="3" t="s">
        <v>463</v>
      </c>
      <c r="T1458" s="3" t="s">
        <v>744</v>
      </c>
      <c r="U1458" s="3">
        <v>0</v>
      </c>
      <c r="V1458" s="3">
        <v>29</v>
      </c>
      <c r="W1458" s="3">
        <v>66</v>
      </c>
    </row>
    <row r="1459" spans="1:23" ht="11.25" customHeight="1" x14ac:dyDescent="0.25">
      <c r="A1459" s="3" t="s">
        <v>21</v>
      </c>
      <c r="B1459" s="3" t="s">
        <v>22</v>
      </c>
      <c r="C1459" s="3" t="s">
        <v>23</v>
      </c>
      <c r="D1459" s="3" t="s">
        <v>24</v>
      </c>
      <c r="E1459" s="3" t="s">
        <v>32</v>
      </c>
      <c r="F1459" s="3" t="s">
        <v>25</v>
      </c>
      <c r="G1459" s="3" t="s">
        <v>25</v>
      </c>
      <c r="H1459" s="3" t="s">
        <v>25</v>
      </c>
      <c r="I1459" s="6">
        <v>44531</v>
      </c>
      <c r="J1459" s="4">
        <v>0</v>
      </c>
      <c r="K1459" s="4">
        <v>0</v>
      </c>
      <c r="L1459" s="4">
        <v>1451.0260000000001</v>
      </c>
      <c r="M1459" s="4">
        <v>1451.0260000000001</v>
      </c>
      <c r="N1459" s="4">
        <v>1451.0260000000001</v>
      </c>
      <c r="O1459" s="4">
        <v>1451.0260000000001</v>
      </c>
      <c r="P1459" s="4">
        <v>14328</v>
      </c>
      <c r="Q1459" s="3" t="s">
        <v>26</v>
      </c>
      <c r="R1459" s="3">
        <v>0</v>
      </c>
      <c r="S1459" s="3" t="s">
        <v>464</v>
      </c>
      <c r="T1459" s="3" t="s">
        <v>745</v>
      </c>
      <c r="U1459" s="3">
        <v>0</v>
      </c>
      <c r="V1459" s="3">
        <v>29</v>
      </c>
      <c r="W1459" s="3">
        <v>66</v>
      </c>
    </row>
    <row r="1460" spans="1:23" ht="11.25" customHeight="1" x14ac:dyDescent="0.25">
      <c r="A1460" s="3" t="s">
        <v>27</v>
      </c>
      <c r="B1460" s="3" t="s">
        <v>22</v>
      </c>
      <c r="C1460" s="3" t="s">
        <v>23</v>
      </c>
      <c r="D1460" s="3" t="s">
        <v>24</v>
      </c>
      <c r="E1460" s="3" t="s">
        <v>32</v>
      </c>
      <c r="F1460" s="3" t="s">
        <v>25</v>
      </c>
      <c r="G1460" s="3" t="s">
        <v>25</v>
      </c>
      <c r="H1460" s="3" t="s">
        <v>25</v>
      </c>
      <c r="I1460" s="6">
        <v>44531</v>
      </c>
      <c r="J1460" s="4">
        <v>0</v>
      </c>
      <c r="K1460" s="4">
        <v>0</v>
      </c>
      <c r="L1460" s="4">
        <v>-7.14</v>
      </c>
      <c r="M1460" s="4">
        <v>-7.14</v>
      </c>
      <c r="N1460" s="4">
        <v>-7.14</v>
      </c>
      <c r="O1460" s="4">
        <v>-7.14</v>
      </c>
      <c r="P1460" s="4">
        <v>-4</v>
      </c>
      <c r="Q1460" s="3" t="s">
        <v>26</v>
      </c>
      <c r="R1460" s="3">
        <v>0</v>
      </c>
      <c r="S1460" s="3" t="s">
        <v>464</v>
      </c>
      <c r="T1460" s="3" t="s">
        <v>745</v>
      </c>
      <c r="U1460" s="3">
        <v>0</v>
      </c>
      <c r="V1460" s="3">
        <v>29</v>
      </c>
      <c r="W1460" s="3">
        <v>66</v>
      </c>
    </row>
    <row r="1461" spans="1:23" ht="11.25" customHeight="1" x14ac:dyDescent="0.25">
      <c r="A1461" s="3" t="s">
        <v>28</v>
      </c>
      <c r="B1461" s="3" t="s">
        <v>22</v>
      </c>
      <c r="C1461" s="3" t="s">
        <v>23</v>
      </c>
      <c r="D1461" s="3" t="s">
        <v>24</v>
      </c>
      <c r="E1461" s="3" t="s">
        <v>32</v>
      </c>
      <c r="F1461" s="3" t="s">
        <v>25</v>
      </c>
      <c r="G1461" s="3" t="s">
        <v>25</v>
      </c>
      <c r="H1461" s="3" t="s">
        <v>25</v>
      </c>
      <c r="I1461" s="6">
        <v>44531</v>
      </c>
      <c r="J1461" s="4">
        <v>0</v>
      </c>
      <c r="K1461" s="4">
        <v>0</v>
      </c>
      <c r="L1461" s="4">
        <v>4.8970000000000002</v>
      </c>
      <c r="M1461" s="4">
        <v>4.8970000000000002</v>
      </c>
      <c r="N1461" s="4">
        <v>4.8970000000000002</v>
      </c>
      <c r="O1461" s="4">
        <v>4.8970000000000002</v>
      </c>
      <c r="P1461" s="4">
        <v>37</v>
      </c>
      <c r="Q1461" s="3" t="s">
        <v>26</v>
      </c>
      <c r="R1461" s="3">
        <v>0</v>
      </c>
      <c r="S1461" s="3" t="s">
        <v>464</v>
      </c>
      <c r="T1461" s="3" t="s">
        <v>745</v>
      </c>
      <c r="U1461" s="3">
        <v>0</v>
      </c>
      <c r="V1461" s="3">
        <v>29</v>
      </c>
      <c r="W1461" s="3">
        <v>66</v>
      </c>
    </row>
    <row r="1462" spans="1:23" ht="11.25" customHeight="1" x14ac:dyDescent="0.25">
      <c r="A1462" s="3" t="s">
        <v>21</v>
      </c>
      <c r="B1462" s="3" t="s">
        <v>22</v>
      </c>
      <c r="C1462" s="3" t="s">
        <v>23</v>
      </c>
      <c r="D1462" s="3" t="s">
        <v>24</v>
      </c>
      <c r="E1462" s="3" t="s">
        <v>32</v>
      </c>
      <c r="F1462" s="3" t="s">
        <v>25</v>
      </c>
      <c r="G1462" s="3" t="s">
        <v>25</v>
      </c>
      <c r="H1462" s="3" t="s">
        <v>25</v>
      </c>
      <c r="I1462" s="6">
        <v>44562</v>
      </c>
      <c r="J1462" s="4">
        <v>0</v>
      </c>
      <c r="K1462" s="4">
        <v>0</v>
      </c>
      <c r="L1462" s="4">
        <v>1663.5</v>
      </c>
      <c r="M1462" s="4">
        <v>1663.5</v>
      </c>
      <c r="N1462" s="4">
        <v>1663.5</v>
      </c>
      <c r="O1462" s="4">
        <v>1663.5</v>
      </c>
      <c r="P1462" s="4">
        <v>16919</v>
      </c>
      <c r="Q1462" s="3" t="s">
        <v>26</v>
      </c>
      <c r="R1462" s="3">
        <v>0</v>
      </c>
      <c r="S1462" s="3" t="s">
        <v>465</v>
      </c>
      <c r="T1462" s="3" t="s">
        <v>746</v>
      </c>
      <c r="U1462" s="3">
        <v>0</v>
      </c>
      <c r="V1462" s="3">
        <v>29</v>
      </c>
      <c r="W1462" s="3">
        <v>66</v>
      </c>
    </row>
    <row r="1463" spans="1:23" ht="11.25" customHeight="1" x14ac:dyDescent="0.25">
      <c r="A1463" s="3" t="s">
        <v>27</v>
      </c>
      <c r="B1463" s="3" t="s">
        <v>22</v>
      </c>
      <c r="C1463" s="3" t="s">
        <v>23</v>
      </c>
      <c r="D1463" s="3" t="s">
        <v>24</v>
      </c>
      <c r="E1463" s="3" t="s">
        <v>32</v>
      </c>
      <c r="F1463" s="3" t="s">
        <v>25</v>
      </c>
      <c r="G1463" s="3" t="s">
        <v>25</v>
      </c>
      <c r="H1463" s="3" t="s">
        <v>25</v>
      </c>
      <c r="I1463" s="6">
        <v>44562</v>
      </c>
      <c r="J1463" s="4">
        <v>0</v>
      </c>
      <c r="K1463" s="4">
        <v>0</v>
      </c>
      <c r="L1463" s="4">
        <v>-1.9239999999999999</v>
      </c>
      <c r="M1463" s="4">
        <v>-1.9239999999999999</v>
      </c>
      <c r="N1463" s="4">
        <v>-1.9239999999999999</v>
      </c>
      <c r="O1463" s="4">
        <v>-1.9239999999999999</v>
      </c>
      <c r="P1463" s="4">
        <v>-7</v>
      </c>
      <c r="Q1463" s="3" t="s">
        <v>26</v>
      </c>
      <c r="R1463" s="3">
        <v>0</v>
      </c>
      <c r="S1463" s="3" t="s">
        <v>465</v>
      </c>
      <c r="T1463" s="3" t="s">
        <v>746</v>
      </c>
      <c r="U1463" s="3">
        <v>0</v>
      </c>
      <c r="V1463" s="3">
        <v>29</v>
      </c>
      <c r="W1463" s="3">
        <v>66</v>
      </c>
    </row>
    <row r="1464" spans="1:23" ht="11.25" customHeight="1" x14ac:dyDescent="0.25">
      <c r="A1464" s="3" t="s">
        <v>28</v>
      </c>
      <c r="B1464" s="3" t="s">
        <v>22</v>
      </c>
      <c r="C1464" s="3" t="s">
        <v>23</v>
      </c>
      <c r="D1464" s="3" t="s">
        <v>24</v>
      </c>
      <c r="E1464" s="3" t="s">
        <v>32</v>
      </c>
      <c r="F1464" s="3" t="s">
        <v>25</v>
      </c>
      <c r="G1464" s="3" t="s">
        <v>25</v>
      </c>
      <c r="H1464" s="3" t="s">
        <v>25</v>
      </c>
      <c r="I1464" s="6">
        <v>44562</v>
      </c>
      <c r="J1464" s="4">
        <v>0</v>
      </c>
      <c r="K1464" s="4">
        <v>0</v>
      </c>
      <c r="L1464" s="4">
        <v>5.907</v>
      </c>
      <c r="M1464" s="4">
        <v>5.907</v>
      </c>
      <c r="N1464" s="4">
        <v>5.907</v>
      </c>
      <c r="O1464" s="4">
        <v>5.907</v>
      </c>
      <c r="P1464" s="4">
        <v>42</v>
      </c>
      <c r="Q1464" s="3" t="s">
        <v>26</v>
      </c>
      <c r="R1464" s="3">
        <v>0</v>
      </c>
      <c r="S1464" s="3" t="s">
        <v>465</v>
      </c>
      <c r="T1464" s="3" t="s">
        <v>746</v>
      </c>
      <c r="U1464" s="3">
        <v>0</v>
      </c>
      <c r="V1464" s="3">
        <v>29</v>
      </c>
      <c r="W1464" s="3">
        <v>66</v>
      </c>
    </row>
    <row r="1465" spans="1:23" ht="11.25" customHeight="1" x14ac:dyDescent="0.25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32</v>
      </c>
      <c r="F1465" s="3" t="s">
        <v>25</v>
      </c>
      <c r="G1465" s="3" t="s">
        <v>25</v>
      </c>
      <c r="H1465" s="3" t="s">
        <v>25</v>
      </c>
      <c r="I1465" s="6">
        <v>44593</v>
      </c>
      <c r="J1465" s="4">
        <v>0</v>
      </c>
      <c r="K1465" s="4">
        <v>0</v>
      </c>
      <c r="L1465" s="4">
        <v>1648.4870000000001</v>
      </c>
      <c r="M1465" s="4">
        <v>1648.4870000000001</v>
      </c>
      <c r="N1465" s="4">
        <v>1648.4870000000001</v>
      </c>
      <c r="O1465" s="4">
        <v>1648.4870000000001</v>
      </c>
      <c r="P1465" s="4">
        <v>16331</v>
      </c>
      <c r="Q1465" s="3" t="s">
        <v>26</v>
      </c>
      <c r="R1465" s="3">
        <v>0</v>
      </c>
      <c r="S1465" s="3" t="s">
        <v>466</v>
      </c>
      <c r="T1465" s="3" t="s">
        <v>747</v>
      </c>
      <c r="U1465" s="3">
        <v>0</v>
      </c>
      <c r="V1465" s="3">
        <v>29</v>
      </c>
      <c r="W1465" s="3">
        <v>66</v>
      </c>
    </row>
    <row r="1466" spans="1:23" ht="11.25" customHeight="1" x14ac:dyDescent="0.25">
      <c r="A1466" s="3" t="s">
        <v>27</v>
      </c>
      <c r="B1466" s="3" t="s">
        <v>22</v>
      </c>
      <c r="C1466" s="3" t="s">
        <v>23</v>
      </c>
      <c r="D1466" s="3" t="s">
        <v>24</v>
      </c>
      <c r="E1466" s="3" t="s">
        <v>32</v>
      </c>
      <c r="F1466" s="3" t="s">
        <v>25</v>
      </c>
      <c r="G1466" s="3" t="s">
        <v>25</v>
      </c>
      <c r="H1466" s="3" t="s">
        <v>25</v>
      </c>
      <c r="I1466" s="6">
        <v>44593</v>
      </c>
      <c r="J1466" s="4">
        <v>0</v>
      </c>
      <c r="K1466" s="4">
        <v>0</v>
      </c>
      <c r="L1466" s="4">
        <v>-1.3140000000000001</v>
      </c>
      <c r="M1466" s="4">
        <v>-1.3140000000000001</v>
      </c>
      <c r="N1466" s="4">
        <v>-1.3140000000000001</v>
      </c>
      <c r="O1466" s="4">
        <v>-1.3140000000000001</v>
      </c>
      <c r="P1466" s="4">
        <v>-5</v>
      </c>
      <c r="Q1466" s="3" t="s">
        <v>26</v>
      </c>
      <c r="R1466" s="3">
        <v>0</v>
      </c>
      <c r="S1466" s="3" t="s">
        <v>466</v>
      </c>
      <c r="T1466" s="3" t="s">
        <v>747</v>
      </c>
      <c r="U1466" s="3">
        <v>0</v>
      </c>
      <c r="V1466" s="3">
        <v>29</v>
      </c>
      <c r="W1466" s="3">
        <v>66</v>
      </c>
    </row>
    <row r="1467" spans="1:23" ht="11.25" customHeight="1" x14ac:dyDescent="0.25">
      <c r="A1467" s="3" t="s">
        <v>28</v>
      </c>
      <c r="B1467" s="3" t="s">
        <v>22</v>
      </c>
      <c r="C1467" s="3" t="s">
        <v>23</v>
      </c>
      <c r="D1467" s="3" t="s">
        <v>24</v>
      </c>
      <c r="E1467" s="3" t="s">
        <v>32</v>
      </c>
      <c r="F1467" s="3" t="s">
        <v>25</v>
      </c>
      <c r="G1467" s="3" t="s">
        <v>25</v>
      </c>
      <c r="H1467" s="3" t="s">
        <v>25</v>
      </c>
      <c r="I1467" s="6">
        <v>44593</v>
      </c>
      <c r="J1467" s="4">
        <v>0</v>
      </c>
      <c r="K1467" s="4">
        <v>0</v>
      </c>
      <c r="L1467" s="4">
        <v>4.5259999999999998</v>
      </c>
      <c r="M1467" s="4">
        <v>4.5259999999999998</v>
      </c>
      <c r="N1467" s="4">
        <v>4.5259999999999998</v>
      </c>
      <c r="O1467" s="4">
        <v>4.5259999999999998</v>
      </c>
      <c r="P1467" s="4">
        <v>47</v>
      </c>
      <c r="Q1467" s="3" t="s">
        <v>26</v>
      </c>
      <c r="R1467" s="3">
        <v>0</v>
      </c>
      <c r="S1467" s="3" t="s">
        <v>466</v>
      </c>
      <c r="T1467" s="3" t="s">
        <v>747</v>
      </c>
      <c r="U1467" s="3">
        <v>0</v>
      </c>
      <c r="V1467" s="3">
        <v>29</v>
      </c>
      <c r="W1467" s="3">
        <v>66</v>
      </c>
    </row>
    <row r="1468" spans="1:23" ht="11.25" customHeight="1" x14ac:dyDescent="0.25">
      <c r="A1468" s="3" t="s">
        <v>56</v>
      </c>
      <c r="B1468" s="3" t="s">
        <v>22</v>
      </c>
      <c r="C1468" s="3" t="s">
        <v>23</v>
      </c>
      <c r="D1468" s="3" t="s">
        <v>24</v>
      </c>
      <c r="E1468" s="3" t="s">
        <v>32</v>
      </c>
      <c r="F1468" s="3" t="s">
        <v>25</v>
      </c>
      <c r="G1468" s="3" t="s">
        <v>25</v>
      </c>
      <c r="H1468" s="3" t="s">
        <v>25</v>
      </c>
      <c r="I1468" s="6">
        <v>44621</v>
      </c>
      <c r="J1468" s="4">
        <v>0</v>
      </c>
      <c r="K1468" s="4">
        <v>0</v>
      </c>
      <c r="L1468" s="4">
        <v>1648.4870000000001</v>
      </c>
      <c r="M1468" s="4">
        <v>1648.4870000000001</v>
      </c>
      <c r="N1468" s="4">
        <v>1648.4870000000001</v>
      </c>
      <c r="O1468" s="4">
        <v>1648.4870000000001</v>
      </c>
      <c r="P1468" s="4">
        <v>16331</v>
      </c>
      <c r="Q1468" s="3" t="s">
        <v>26</v>
      </c>
      <c r="R1468" s="3">
        <v>0</v>
      </c>
      <c r="S1468" s="3" t="s">
        <v>467</v>
      </c>
      <c r="T1468" s="3" t="s">
        <v>748</v>
      </c>
      <c r="U1468" s="3">
        <v>0</v>
      </c>
      <c r="V1468" s="3">
        <v>29</v>
      </c>
      <c r="W1468" s="3">
        <v>66</v>
      </c>
    </row>
    <row r="1469" spans="1:23" ht="11.25" customHeight="1" x14ac:dyDescent="0.25">
      <c r="A1469" s="3" t="s">
        <v>56</v>
      </c>
      <c r="B1469" s="3" t="s">
        <v>22</v>
      </c>
      <c r="C1469" s="3" t="s">
        <v>23</v>
      </c>
      <c r="D1469" s="3" t="s">
        <v>24</v>
      </c>
      <c r="E1469" s="3" t="s">
        <v>32</v>
      </c>
      <c r="F1469" s="3" t="s">
        <v>25</v>
      </c>
      <c r="G1469" s="3" t="s">
        <v>25</v>
      </c>
      <c r="H1469" s="3" t="s">
        <v>25</v>
      </c>
      <c r="I1469" s="6">
        <v>44621</v>
      </c>
      <c r="J1469" s="4">
        <v>0</v>
      </c>
      <c r="K1469" s="4">
        <v>0</v>
      </c>
      <c r="L1469" s="4">
        <v>-1.3140000000000001</v>
      </c>
      <c r="M1469" s="4">
        <v>-1.3140000000000001</v>
      </c>
      <c r="N1469" s="4">
        <v>-1.3140000000000001</v>
      </c>
      <c r="O1469" s="4">
        <v>-1.3140000000000001</v>
      </c>
      <c r="P1469" s="4">
        <v>-5</v>
      </c>
      <c r="Q1469" s="3" t="s">
        <v>26</v>
      </c>
      <c r="R1469" s="3">
        <v>0</v>
      </c>
      <c r="S1469" s="3" t="s">
        <v>467</v>
      </c>
      <c r="T1469" s="3" t="s">
        <v>748</v>
      </c>
      <c r="U1469" s="3">
        <v>0</v>
      </c>
      <c r="V1469" s="3">
        <v>29</v>
      </c>
      <c r="W1469" s="3">
        <v>66</v>
      </c>
    </row>
    <row r="1470" spans="1:23" ht="11.25" customHeight="1" x14ac:dyDescent="0.25">
      <c r="A1470" s="3" t="s">
        <v>56</v>
      </c>
      <c r="B1470" s="3" t="s">
        <v>22</v>
      </c>
      <c r="C1470" s="3" t="s">
        <v>23</v>
      </c>
      <c r="D1470" s="3" t="s">
        <v>24</v>
      </c>
      <c r="E1470" s="3" t="s">
        <v>32</v>
      </c>
      <c r="F1470" s="3" t="s">
        <v>25</v>
      </c>
      <c r="G1470" s="3" t="s">
        <v>25</v>
      </c>
      <c r="H1470" s="3" t="s">
        <v>25</v>
      </c>
      <c r="I1470" s="6">
        <v>44621</v>
      </c>
      <c r="J1470" s="4">
        <v>0</v>
      </c>
      <c r="K1470" s="4">
        <v>0</v>
      </c>
      <c r="L1470" s="4">
        <v>4.5259999999999998</v>
      </c>
      <c r="M1470" s="4">
        <v>4.5259999999999998</v>
      </c>
      <c r="N1470" s="4">
        <v>4.5259999999999998</v>
      </c>
      <c r="O1470" s="4">
        <v>4.5259999999999998</v>
      </c>
      <c r="P1470" s="4">
        <v>47</v>
      </c>
      <c r="Q1470" s="3" t="s">
        <v>26</v>
      </c>
      <c r="R1470" s="3">
        <v>0</v>
      </c>
      <c r="S1470" s="3" t="s">
        <v>467</v>
      </c>
      <c r="T1470" s="3" t="s">
        <v>748</v>
      </c>
      <c r="U1470" s="3">
        <v>0</v>
      </c>
      <c r="V1470" s="3">
        <v>29</v>
      </c>
      <c r="W1470" s="3">
        <v>66</v>
      </c>
    </row>
    <row r="1471" spans="1:23" ht="11.25" customHeight="1" x14ac:dyDescent="0.25">
      <c r="A1471" s="3" t="s">
        <v>21</v>
      </c>
      <c r="B1471" s="3" t="s">
        <v>44</v>
      </c>
      <c r="C1471" s="3" t="s">
        <v>33</v>
      </c>
      <c r="D1471" s="3" t="s">
        <v>45</v>
      </c>
      <c r="E1471" s="3" t="s">
        <v>53</v>
      </c>
      <c r="F1471" s="3" t="s">
        <v>54</v>
      </c>
      <c r="G1471" s="3" t="s">
        <v>25</v>
      </c>
      <c r="H1471" s="3" t="s">
        <v>35</v>
      </c>
      <c r="I1471" s="6">
        <v>44470</v>
      </c>
      <c r="J1471" s="4">
        <v>0</v>
      </c>
      <c r="K1471" s="4">
        <v>0</v>
      </c>
      <c r="L1471" s="4">
        <v>4.3259999999999996</v>
      </c>
      <c r="M1471" s="4">
        <v>4.3259999999999996</v>
      </c>
      <c r="N1471" s="4">
        <v>4.3259999999999996</v>
      </c>
      <c r="O1471" s="4">
        <v>4.3259999999999996</v>
      </c>
      <c r="P1471" s="4">
        <v>0</v>
      </c>
      <c r="Q1471" s="3" t="s">
        <v>26</v>
      </c>
      <c r="R1471" s="3">
        <v>0</v>
      </c>
      <c r="S1471" s="3" t="s">
        <v>468</v>
      </c>
      <c r="T1471" s="3" t="s">
        <v>749</v>
      </c>
      <c r="U1471" s="3">
        <v>0</v>
      </c>
      <c r="V1471" s="3">
        <v>33</v>
      </c>
      <c r="W1471" s="3">
        <v>71</v>
      </c>
    </row>
    <row r="1472" spans="1:23" ht="11.25" customHeight="1" x14ac:dyDescent="0.25">
      <c r="A1472" s="3" t="s">
        <v>21</v>
      </c>
      <c r="B1472" s="3" t="s">
        <v>44</v>
      </c>
      <c r="C1472" s="3" t="s">
        <v>33</v>
      </c>
      <c r="D1472" s="3" t="s">
        <v>45</v>
      </c>
      <c r="E1472" s="3" t="s">
        <v>53</v>
      </c>
      <c r="F1472" s="3" t="s">
        <v>54</v>
      </c>
      <c r="G1472" s="3" t="s">
        <v>25</v>
      </c>
      <c r="H1472" s="3" t="s">
        <v>35</v>
      </c>
      <c r="I1472" s="6">
        <v>44501</v>
      </c>
      <c r="J1472" s="4">
        <v>0</v>
      </c>
      <c r="K1472" s="4">
        <v>0</v>
      </c>
      <c r="L1472" s="4">
        <v>4.3259999999999996</v>
      </c>
      <c r="M1472" s="4">
        <v>4.3259999999999996</v>
      </c>
      <c r="N1472" s="4">
        <v>4.3259999999999996</v>
      </c>
      <c r="O1472" s="4">
        <v>4.3259999999999996</v>
      </c>
      <c r="P1472" s="4">
        <v>0</v>
      </c>
      <c r="Q1472" s="3" t="s">
        <v>26</v>
      </c>
      <c r="R1472" s="3">
        <v>0</v>
      </c>
      <c r="S1472" s="3" t="s">
        <v>469</v>
      </c>
      <c r="T1472" s="3" t="s">
        <v>750</v>
      </c>
      <c r="U1472" s="3">
        <v>0</v>
      </c>
      <c r="V1472" s="3">
        <v>33</v>
      </c>
      <c r="W1472" s="3">
        <v>71</v>
      </c>
    </row>
    <row r="1473" spans="1:23" ht="11.25" customHeight="1" x14ac:dyDescent="0.25">
      <c r="A1473" s="3" t="s">
        <v>21</v>
      </c>
      <c r="B1473" s="3" t="s">
        <v>44</v>
      </c>
      <c r="C1473" s="3" t="s">
        <v>33</v>
      </c>
      <c r="D1473" s="3" t="s">
        <v>45</v>
      </c>
      <c r="E1473" s="3" t="s">
        <v>53</v>
      </c>
      <c r="F1473" s="3" t="s">
        <v>54</v>
      </c>
      <c r="G1473" s="3" t="s">
        <v>25</v>
      </c>
      <c r="H1473" s="3" t="s">
        <v>35</v>
      </c>
      <c r="I1473" s="6">
        <v>44531</v>
      </c>
      <c r="J1473" s="4">
        <v>0</v>
      </c>
      <c r="K1473" s="4">
        <v>0</v>
      </c>
      <c r="L1473" s="4">
        <v>40.625999999999998</v>
      </c>
      <c r="M1473" s="4">
        <v>40.625999999999998</v>
      </c>
      <c r="N1473" s="4">
        <v>40.625999999999998</v>
      </c>
      <c r="O1473" s="4">
        <v>40.625999999999998</v>
      </c>
      <c r="P1473" s="4">
        <v>0</v>
      </c>
      <c r="Q1473" s="3" t="s">
        <v>26</v>
      </c>
      <c r="R1473" s="3">
        <v>0</v>
      </c>
      <c r="S1473" s="3" t="s">
        <v>470</v>
      </c>
      <c r="T1473" s="3" t="s">
        <v>751</v>
      </c>
      <c r="U1473" s="3">
        <v>0</v>
      </c>
      <c r="V1473" s="3">
        <v>33</v>
      </c>
      <c r="W1473" s="3">
        <v>71</v>
      </c>
    </row>
    <row r="1474" spans="1:23" ht="11.25" customHeight="1" x14ac:dyDescent="0.25">
      <c r="A1474" s="3" t="s">
        <v>21</v>
      </c>
      <c r="B1474" s="3" t="s">
        <v>44</v>
      </c>
      <c r="C1474" s="3" t="s">
        <v>33</v>
      </c>
      <c r="D1474" s="3" t="s">
        <v>45</v>
      </c>
      <c r="E1474" s="3" t="s">
        <v>53</v>
      </c>
      <c r="F1474" s="3" t="s">
        <v>54</v>
      </c>
      <c r="G1474" s="3" t="s">
        <v>25</v>
      </c>
      <c r="H1474" s="3" t="s">
        <v>35</v>
      </c>
      <c r="I1474" s="6">
        <v>44562</v>
      </c>
      <c r="J1474" s="4">
        <v>0</v>
      </c>
      <c r="K1474" s="4">
        <v>0</v>
      </c>
      <c r="L1474" s="4">
        <v>36.36</v>
      </c>
      <c r="M1474" s="4">
        <v>36.36</v>
      </c>
      <c r="N1474" s="4">
        <v>36.36</v>
      </c>
      <c r="O1474" s="4">
        <v>36.36</v>
      </c>
      <c r="P1474" s="4">
        <v>0</v>
      </c>
      <c r="Q1474" s="3" t="s">
        <v>26</v>
      </c>
      <c r="R1474" s="3">
        <v>0</v>
      </c>
      <c r="S1474" s="3" t="s">
        <v>471</v>
      </c>
      <c r="T1474" s="3" t="s">
        <v>752</v>
      </c>
      <c r="U1474" s="3">
        <v>0</v>
      </c>
      <c r="V1474" s="3">
        <v>33</v>
      </c>
      <c r="W1474" s="3">
        <v>71</v>
      </c>
    </row>
    <row r="1475" spans="1:23" ht="11.25" customHeight="1" x14ac:dyDescent="0.25">
      <c r="A1475" s="3" t="s">
        <v>27</v>
      </c>
      <c r="B1475" s="3" t="s">
        <v>44</v>
      </c>
      <c r="C1475" s="3" t="s">
        <v>33</v>
      </c>
      <c r="D1475" s="3" t="s">
        <v>45</v>
      </c>
      <c r="E1475" s="3" t="s">
        <v>53</v>
      </c>
      <c r="F1475" s="3" t="s">
        <v>54</v>
      </c>
      <c r="G1475" s="3" t="s">
        <v>25</v>
      </c>
      <c r="H1475" s="3" t="s">
        <v>35</v>
      </c>
      <c r="I1475" s="6">
        <v>44593</v>
      </c>
      <c r="J1475" s="4">
        <v>0</v>
      </c>
      <c r="K1475" s="4">
        <v>0</v>
      </c>
      <c r="L1475" s="4">
        <v>-36.64</v>
      </c>
      <c r="M1475" s="4">
        <v>-36.64</v>
      </c>
      <c r="N1475" s="4">
        <v>-36.64</v>
      </c>
      <c r="O1475" s="4">
        <v>-36.64</v>
      </c>
      <c r="P1475" s="4">
        <v>0</v>
      </c>
      <c r="Q1475" s="3" t="s">
        <v>26</v>
      </c>
      <c r="R1475" s="3">
        <v>0</v>
      </c>
      <c r="S1475" s="3" t="s">
        <v>472</v>
      </c>
      <c r="T1475" s="3" t="s">
        <v>753</v>
      </c>
      <c r="U1475" s="3">
        <v>0</v>
      </c>
      <c r="V1475" s="3">
        <v>33</v>
      </c>
      <c r="W1475" s="3">
        <v>71</v>
      </c>
    </row>
    <row r="1476" spans="1:23" ht="11.25" customHeight="1" x14ac:dyDescent="0.25">
      <c r="A1476" s="3" t="s">
        <v>56</v>
      </c>
      <c r="B1476" s="3" t="s">
        <v>44</v>
      </c>
      <c r="C1476" s="3" t="s">
        <v>33</v>
      </c>
      <c r="D1476" s="3" t="s">
        <v>45</v>
      </c>
      <c r="E1476" s="3" t="s">
        <v>53</v>
      </c>
      <c r="F1476" s="3" t="s">
        <v>54</v>
      </c>
      <c r="G1476" s="3" t="s">
        <v>25</v>
      </c>
      <c r="H1476" s="3" t="s">
        <v>35</v>
      </c>
      <c r="I1476" s="6">
        <v>44621</v>
      </c>
      <c r="J1476" s="4">
        <v>0</v>
      </c>
      <c r="K1476" s="4">
        <v>0</v>
      </c>
      <c r="L1476" s="4">
        <v>-36.64</v>
      </c>
      <c r="M1476" s="4">
        <v>-36.64</v>
      </c>
      <c r="N1476" s="4">
        <v>-36.64</v>
      </c>
      <c r="O1476" s="4">
        <v>-36.64</v>
      </c>
      <c r="P1476" s="4">
        <v>0</v>
      </c>
      <c r="Q1476" s="3" t="s">
        <v>26</v>
      </c>
      <c r="R1476" s="3">
        <v>0</v>
      </c>
      <c r="S1476" s="3" t="s">
        <v>473</v>
      </c>
      <c r="T1476" s="3" t="s">
        <v>754</v>
      </c>
      <c r="U1476" s="3">
        <v>0</v>
      </c>
      <c r="V1476" s="3">
        <v>33</v>
      </c>
      <c r="W1476" s="3">
        <v>71</v>
      </c>
    </row>
    <row r="1477" spans="1:23" ht="11.25" customHeight="1" x14ac:dyDescent="0.25">
      <c r="A1477" s="3" t="s">
        <v>21</v>
      </c>
      <c r="B1477" s="3" t="s">
        <v>44</v>
      </c>
      <c r="C1477" s="3" t="s">
        <v>33</v>
      </c>
      <c r="D1477" s="3" t="s">
        <v>45</v>
      </c>
      <c r="E1477" s="3" t="s">
        <v>53</v>
      </c>
      <c r="F1477" s="3" t="s">
        <v>54</v>
      </c>
      <c r="G1477" s="3" t="s">
        <v>25</v>
      </c>
      <c r="H1477" s="3" t="s">
        <v>36</v>
      </c>
      <c r="I1477" s="6">
        <v>44470</v>
      </c>
      <c r="J1477" s="4">
        <v>0</v>
      </c>
      <c r="K1477" s="4">
        <v>0</v>
      </c>
      <c r="L1477" s="4">
        <v>7.4999999999999997E-2</v>
      </c>
      <c r="M1477" s="4">
        <v>7.4999999999999997E-2</v>
      </c>
      <c r="N1477" s="4">
        <v>7.4999999999999997E-2</v>
      </c>
      <c r="O1477" s="4">
        <v>7.4999999999999997E-2</v>
      </c>
      <c r="P1477" s="4">
        <v>0</v>
      </c>
      <c r="Q1477" s="3" t="s">
        <v>26</v>
      </c>
      <c r="R1477" s="3">
        <v>0</v>
      </c>
      <c r="S1477" s="3" t="s">
        <v>474</v>
      </c>
      <c r="T1477" s="3" t="s">
        <v>755</v>
      </c>
      <c r="U1477" s="3">
        <v>0</v>
      </c>
      <c r="V1477" s="3">
        <v>38</v>
      </c>
      <c r="W1477" s="3">
        <v>70</v>
      </c>
    </row>
    <row r="1478" spans="1:23" ht="11.25" customHeight="1" x14ac:dyDescent="0.25">
      <c r="A1478" s="3" t="s">
        <v>21</v>
      </c>
      <c r="B1478" s="3" t="s">
        <v>44</v>
      </c>
      <c r="C1478" s="3" t="s">
        <v>33</v>
      </c>
      <c r="D1478" s="3" t="s">
        <v>45</v>
      </c>
      <c r="E1478" s="3" t="s">
        <v>53</v>
      </c>
      <c r="F1478" s="3" t="s">
        <v>54</v>
      </c>
      <c r="G1478" s="3" t="s">
        <v>25</v>
      </c>
      <c r="H1478" s="3" t="s">
        <v>36</v>
      </c>
      <c r="I1478" s="6">
        <v>44501</v>
      </c>
      <c r="J1478" s="4">
        <v>0</v>
      </c>
      <c r="K1478" s="4">
        <v>0</v>
      </c>
      <c r="L1478" s="4">
        <v>7.4999999999999997E-2</v>
      </c>
      <c r="M1478" s="4">
        <v>7.4999999999999997E-2</v>
      </c>
      <c r="N1478" s="4">
        <v>7.4999999999999997E-2</v>
      </c>
      <c r="O1478" s="4">
        <v>7.4999999999999997E-2</v>
      </c>
      <c r="P1478" s="4">
        <v>0</v>
      </c>
      <c r="Q1478" s="3" t="s">
        <v>26</v>
      </c>
      <c r="R1478" s="3">
        <v>0</v>
      </c>
      <c r="S1478" s="3" t="s">
        <v>475</v>
      </c>
      <c r="T1478" s="3" t="s">
        <v>756</v>
      </c>
      <c r="U1478" s="3">
        <v>0</v>
      </c>
      <c r="V1478" s="3">
        <v>38</v>
      </c>
      <c r="W1478" s="3">
        <v>70</v>
      </c>
    </row>
    <row r="1479" spans="1:23" ht="11.25" customHeight="1" x14ac:dyDescent="0.25">
      <c r="A1479" s="3" t="s">
        <v>21</v>
      </c>
      <c r="B1479" s="3" t="s">
        <v>44</v>
      </c>
      <c r="C1479" s="3" t="s">
        <v>33</v>
      </c>
      <c r="D1479" s="3" t="s">
        <v>45</v>
      </c>
      <c r="E1479" s="3" t="s">
        <v>53</v>
      </c>
      <c r="F1479" s="3" t="s">
        <v>54</v>
      </c>
      <c r="G1479" s="3" t="s">
        <v>25</v>
      </c>
      <c r="H1479" s="3" t="s">
        <v>36</v>
      </c>
      <c r="I1479" s="6">
        <v>44531</v>
      </c>
      <c r="J1479" s="4">
        <v>0</v>
      </c>
      <c r="K1479" s="4">
        <v>0</v>
      </c>
      <c r="L1479" s="4">
        <v>0.17499999999999999</v>
      </c>
      <c r="M1479" s="4">
        <v>0.17499999999999999</v>
      </c>
      <c r="N1479" s="4">
        <v>0.17499999999999999</v>
      </c>
      <c r="O1479" s="4">
        <v>0.17499999999999999</v>
      </c>
      <c r="P1479" s="4">
        <v>0</v>
      </c>
      <c r="Q1479" s="3" t="s">
        <v>26</v>
      </c>
      <c r="R1479" s="3">
        <v>0</v>
      </c>
      <c r="S1479" s="3" t="s">
        <v>476</v>
      </c>
      <c r="T1479" s="3" t="s">
        <v>757</v>
      </c>
      <c r="U1479" s="3">
        <v>0</v>
      </c>
      <c r="V1479" s="3">
        <v>38</v>
      </c>
      <c r="W1479" s="3">
        <v>70</v>
      </c>
    </row>
    <row r="1480" spans="1:23" ht="11.25" customHeight="1" x14ac:dyDescent="0.25">
      <c r="A1480" s="3" t="s">
        <v>21</v>
      </c>
      <c r="B1480" s="3" t="s">
        <v>44</v>
      </c>
      <c r="C1480" s="3" t="s">
        <v>33</v>
      </c>
      <c r="D1480" s="3" t="s">
        <v>45</v>
      </c>
      <c r="E1480" s="3" t="s">
        <v>53</v>
      </c>
      <c r="F1480" s="3" t="s">
        <v>54</v>
      </c>
      <c r="G1480" s="3" t="s">
        <v>25</v>
      </c>
      <c r="H1480" s="3" t="s">
        <v>36</v>
      </c>
      <c r="I1480" s="6">
        <v>44562</v>
      </c>
      <c r="J1480" s="4">
        <v>0</v>
      </c>
      <c r="K1480" s="4">
        <v>0</v>
      </c>
      <c r="L1480" s="4">
        <v>0.02</v>
      </c>
      <c r="M1480" s="4">
        <v>0.02</v>
      </c>
      <c r="N1480" s="4">
        <v>0.02</v>
      </c>
      <c r="O1480" s="4">
        <v>0.02</v>
      </c>
      <c r="P1480" s="4">
        <v>0</v>
      </c>
      <c r="Q1480" s="3" t="s">
        <v>26</v>
      </c>
      <c r="R1480" s="3">
        <v>0</v>
      </c>
      <c r="S1480" s="3" t="s">
        <v>477</v>
      </c>
      <c r="T1480" s="3" t="s">
        <v>758</v>
      </c>
      <c r="U1480" s="3">
        <v>0</v>
      </c>
      <c r="V1480" s="3">
        <v>38</v>
      </c>
      <c r="W1480" s="3">
        <v>70</v>
      </c>
    </row>
    <row r="1481" spans="1:23" ht="11.25" customHeight="1" x14ac:dyDescent="0.25">
      <c r="A1481" s="3" t="s">
        <v>21</v>
      </c>
      <c r="B1481" s="3" t="s">
        <v>44</v>
      </c>
      <c r="C1481" s="3" t="s">
        <v>33</v>
      </c>
      <c r="D1481" s="3" t="s">
        <v>45</v>
      </c>
      <c r="E1481" s="3" t="s">
        <v>53</v>
      </c>
      <c r="F1481" s="3" t="s">
        <v>54</v>
      </c>
      <c r="G1481" s="3" t="s">
        <v>25</v>
      </c>
      <c r="H1481" s="3" t="s">
        <v>34</v>
      </c>
      <c r="I1481" s="6">
        <v>44531</v>
      </c>
      <c r="J1481" s="4">
        <v>0</v>
      </c>
      <c r="K1481" s="4">
        <v>0</v>
      </c>
      <c r="L1481" s="4">
        <v>0.04</v>
      </c>
      <c r="M1481" s="4">
        <v>0.04</v>
      </c>
      <c r="N1481" s="4">
        <v>0.04</v>
      </c>
      <c r="O1481" s="4">
        <v>0.04</v>
      </c>
      <c r="P1481" s="4">
        <v>0</v>
      </c>
      <c r="Q1481" s="3" t="s">
        <v>26</v>
      </c>
      <c r="R1481" s="3">
        <v>0</v>
      </c>
      <c r="S1481" s="3" t="s">
        <v>478</v>
      </c>
      <c r="T1481" s="3" t="s">
        <v>759</v>
      </c>
      <c r="U1481" s="3">
        <v>0</v>
      </c>
      <c r="V1481" s="3">
        <v>35</v>
      </c>
      <c r="W1481" s="3">
        <v>69</v>
      </c>
    </row>
    <row r="1482" spans="1:23" ht="11.25" customHeight="1" x14ac:dyDescent="0.25">
      <c r="A1482" s="3" t="s">
        <v>21</v>
      </c>
      <c r="B1482" s="3" t="s">
        <v>44</v>
      </c>
      <c r="C1482" s="3" t="s">
        <v>33</v>
      </c>
      <c r="D1482" s="3" t="s">
        <v>45</v>
      </c>
      <c r="E1482" s="3" t="s">
        <v>53</v>
      </c>
      <c r="F1482" s="3" t="s">
        <v>54</v>
      </c>
      <c r="G1482" s="3" t="s">
        <v>25</v>
      </c>
      <c r="H1482" s="3" t="s">
        <v>34</v>
      </c>
      <c r="I1482" s="6">
        <v>44562</v>
      </c>
      <c r="J1482" s="4">
        <v>0</v>
      </c>
      <c r="K1482" s="4">
        <v>0</v>
      </c>
      <c r="L1482" s="4">
        <v>0.04</v>
      </c>
      <c r="M1482" s="4">
        <v>0.04</v>
      </c>
      <c r="N1482" s="4">
        <v>0.04</v>
      </c>
      <c r="O1482" s="4">
        <v>0.04</v>
      </c>
      <c r="P1482" s="4">
        <v>0</v>
      </c>
      <c r="Q1482" s="3" t="s">
        <v>26</v>
      </c>
      <c r="R1482" s="3">
        <v>0</v>
      </c>
      <c r="S1482" s="3" t="s">
        <v>479</v>
      </c>
      <c r="T1482" s="3" t="s">
        <v>760</v>
      </c>
      <c r="U1482" s="3">
        <v>0</v>
      </c>
      <c r="V1482" s="3">
        <v>35</v>
      </c>
      <c r="W1482" s="3">
        <v>69</v>
      </c>
    </row>
    <row r="1483" spans="1:23" ht="11.25" customHeight="1" x14ac:dyDescent="0.25">
      <c r="A1483" s="3" t="s">
        <v>21</v>
      </c>
      <c r="B1483" s="3" t="s">
        <v>44</v>
      </c>
      <c r="C1483" s="3" t="s">
        <v>33</v>
      </c>
      <c r="D1483" s="3" t="s">
        <v>45</v>
      </c>
      <c r="E1483" s="3" t="s">
        <v>53</v>
      </c>
      <c r="F1483" s="3" t="s">
        <v>55</v>
      </c>
      <c r="G1483" s="3" t="s">
        <v>25</v>
      </c>
      <c r="H1483" s="3" t="s">
        <v>35</v>
      </c>
      <c r="I1483" s="6">
        <v>44593</v>
      </c>
      <c r="J1483" s="4">
        <v>0</v>
      </c>
      <c r="K1483" s="4">
        <v>0</v>
      </c>
      <c r="L1483" s="4">
        <v>42.04</v>
      </c>
      <c r="M1483" s="4">
        <v>4.2039999999999997</v>
      </c>
      <c r="N1483" s="4">
        <v>42.04</v>
      </c>
      <c r="O1483" s="4">
        <v>4.2039999999999997</v>
      </c>
      <c r="P1483" s="4">
        <v>0</v>
      </c>
      <c r="Q1483" s="3" t="s">
        <v>26</v>
      </c>
      <c r="R1483" s="3">
        <v>0</v>
      </c>
      <c r="S1483" s="3" t="s">
        <v>472</v>
      </c>
      <c r="T1483" s="3" t="s">
        <v>753</v>
      </c>
      <c r="U1483" s="3">
        <v>0</v>
      </c>
      <c r="V1483" s="3">
        <v>33</v>
      </c>
      <c r="W1483" s="3">
        <v>71</v>
      </c>
    </row>
    <row r="1484" spans="1:23" ht="11.25" customHeight="1" x14ac:dyDescent="0.25">
      <c r="A1484" s="3" t="s">
        <v>27</v>
      </c>
      <c r="B1484" s="3" t="s">
        <v>44</v>
      </c>
      <c r="C1484" s="3" t="s">
        <v>33</v>
      </c>
      <c r="D1484" s="3" t="s">
        <v>45</v>
      </c>
      <c r="E1484" s="3" t="s">
        <v>53</v>
      </c>
      <c r="F1484" s="3" t="s">
        <v>55</v>
      </c>
      <c r="G1484" s="3" t="s">
        <v>25</v>
      </c>
      <c r="H1484" s="3" t="s">
        <v>35</v>
      </c>
      <c r="I1484" s="6">
        <v>44593</v>
      </c>
      <c r="J1484" s="4">
        <v>0</v>
      </c>
      <c r="K1484" s="4">
        <v>0</v>
      </c>
      <c r="L1484" s="4">
        <v>36.64</v>
      </c>
      <c r="M1484" s="4">
        <v>36.64</v>
      </c>
      <c r="N1484" s="4">
        <v>36.64</v>
      </c>
      <c r="O1484" s="4">
        <v>36.64</v>
      </c>
      <c r="P1484" s="4">
        <v>0</v>
      </c>
      <c r="Q1484" s="3" t="s">
        <v>26</v>
      </c>
      <c r="R1484" s="3">
        <v>0</v>
      </c>
      <c r="S1484" s="3" t="s">
        <v>472</v>
      </c>
      <c r="T1484" s="3" t="s">
        <v>753</v>
      </c>
      <c r="U1484" s="3">
        <v>0</v>
      </c>
      <c r="V1484" s="3">
        <v>33</v>
      </c>
      <c r="W1484" s="3">
        <v>71</v>
      </c>
    </row>
    <row r="1485" spans="1:23" ht="11.25" customHeight="1" x14ac:dyDescent="0.25">
      <c r="A1485" s="3" t="s">
        <v>56</v>
      </c>
      <c r="B1485" s="3" t="s">
        <v>44</v>
      </c>
      <c r="C1485" s="3" t="s">
        <v>33</v>
      </c>
      <c r="D1485" s="3" t="s">
        <v>45</v>
      </c>
      <c r="E1485" s="3" t="s">
        <v>53</v>
      </c>
      <c r="F1485" s="3" t="s">
        <v>55</v>
      </c>
      <c r="G1485" s="3" t="s">
        <v>25</v>
      </c>
      <c r="H1485" s="3" t="s">
        <v>35</v>
      </c>
      <c r="I1485" s="6">
        <v>44621</v>
      </c>
      <c r="J1485" s="4">
        <v>0</v>
      </c>
      <c r="K1485" s="4">
        <v>0</v>
      </c>
      <c r="L1485" s="4">
        <v>42.04</v>
      </c>
      <c r="M1485" s="4">
        <v>4.2039999999999997</v>
      </c>
      <c r="N1485" s="4">
        <v>42.04</v>
      </c>
      <c r="O1485" s="4">
        <v>4.2039999999999997</v>
      </c>
      <c r="P1485" s="4">
        <v>0</v>
      </c>
      <c r="Q1485" s="3" t="s">
        <v>26</v>
      </c>
      <c r="R1485" s="3">
        <v>0</v>
      </c>
      <c r="S1485" s="3" t="s">
        <v>473</v>
      </c>
      <c r="T1485" s="3" t="s">
        <v>754</v>
      </c>
      <c r="U1485" s="3">
        <v>0</v>
      </c>
      <c r="V1485" s="3">
        <v>33</v>
      </c>
      <c r="W1485" s="3">
        <v>71</v>
      </c>
    </row>
    <row r="1486" spans="1:23" ht="11.25" customHeight="1" x14ac:dyDescent="0.25">
      <c r="A1486" s="3" t="s">
        <v>56</v>
      </c>
      <c r="B1486" s="3" t="s">
        <v>44</v>
      </c>
      <c r="C1486" s="3" t="s">
        <v>33</v>
      </c>
      <c r="D1486" s="3" t="s">
        <v>45</v>
      </c>
      <c r="E1486" s="3" t="s">
        <v>53</v>
      </c>
      <c r="F1486" s="3" t="s">
        <v>55</v>
      </c>
      <c r="G1486" s="3" t="s">
        <v>25</v>
      </c>
      <c r="H1486" s="3" t="s">
        <v>35</v>
      </c>
      <c r="I1486" s="6">
        <v>44621</v>
      </c>
      <c r="J1486" s="4">
        <v>0</v>
      </c>
      <c r="K1486" s="4">
        <v>0</v>
      </c>
      <c r="L1486" s="4">
        <v>36.64</v>
      </c>
      <c r="M1486" s="4">
        <v>36.64</v>
      </c>
      <c r="N1486" s="4">
        <v>36.64</v>
      </c>
      <c r="O1486" s="4">
        <v>36.64</v>
      </c>
      <c r="P1486" s="4">
        <v>0</v>
      </c>
      <c r="Q1486" s="3" t="s">
        <v>26</v>
      </c>
      <c r="R1486" s="3">
        <v>0</v>
      </c>
      <c r="S1486" s="3" t="s">
        <v>473</v>
      </c>
      <c r="T1486" s="3" t="s">
        <v>754</v>
      </c>
      <c r="U1486" s="3">
        <v>0</v>
      </c>
      <c r="V1486" s="3">
        <v>33</v>
      </c>
      <c r="W1486" s="3">
        <v>71</v>
      </c>
    </row>
    <row r="1487" spans="1:23" ht="11.25" customHeight="1" x14ac:dyDescent="0.25">
      <c r="A1487" s="3" t="s">
        <v>21</v>
      </c>
      <c r="B1487" s="3" t="s">
        <v>44</v>
      </c>
      <c r="C1487" s="3" t="s">
        <v>33</v>
      </c>
      <c r="D1487" s="3" t="s">
        <v>45</v>
      </c>
      <c r="E1487" s="3" t="s">
        <v>25</v>
      </c>
      <c r="F1487" s="3" t="s">
        <v>25</v>
      </c>
      <c r="G1487" s="3" t="s">
        <v>25</v>
      </c>
      <c r="H1487" s="3" t="s">
        <v>35</v>
      </c>
      <c r="I1487" s="6">
        <v>44287</v>
      </c>
      <c r="J1487" s="4">
        <v>0</v>
      </c>
      <c r="K1487" s="4">
        <v>0</v>
      </c>
      <c r="L1487" s="4">
        <v>1.82</v>
      </c>
      <c r="M1487" s="4">
        <v>1.82</v>
      </c>
      <c r="N1487" s="4">
        <v>1.82</v>
      </c>
      <c r="O1487" s="4">
        <v>1.82</v>
      </c>
      <c r="P1487" s="4">
        <v>0</v>
      </c>
      <c r="Q1487" s="3" t="s">
        <v>26</v>
      </c>
      <c r="R1487" s="3">
        <v>0</v>
      </c>
      <c r="S1487" s="3" t="s">
        <v>480</v>
      </c>
      <c r="T1487" s="3" t="s">
        <v>761</v>
      </c>
      <c r="U1487" s="3">
        <v>0</v>
      </c>
      <c r="V1487" s="3">
        <v>33</v>
      </c>
      <c r="W1487" s="3">
        <v>71</v>
      </c>
    </row>
    <row r="1488" spans="1:23" ht="11.25" customHeight="1" x14ac:dyDescent="0.25">
      <c r="A1488" s="3" t="s">
        <v>21</v>
      </c>
      <c r="B1488" s="3" t="s">
        <v>44</v>
      </c>
      <c r="C1488" s="3" t="s">
        <v>33</v>
      </c>
      <c r="D1488" s="3" t="s">
        <v>45</v>
      </c>
      <c r="E1488" s="3" t="s">
        <v>25</v>
      </c>
      <c r="F1488" s="3" t="s">
        <v>25</v>
      </c>
      <c r="G1488" s="3" t="s">
        <v>25</v>
      </c>
      <c r="H1488" s="3" t="s">
        <v>35</v>
      </c>
      <c r="I1488" s="6">
        <v>44317</v>
      </c>
      <c r="J1488" s="4">
        <v>0</v>
      </c>
      <c r="K1488" s="4">
        <v>0</v>
      </c>
      <c r="L1488" s="4">
        <v>0.80300000000000005</v>
      </c>
      <c r="M1488" s="4">
        <v>0.80300000000000005</v>
      </c>
      <c r="N1488" s="4">
        <v>0.80300000000000005</v>
      </c>
      <c r="O1488" s="4">
        <v>0.80300000000000005</v>
      </c>
      <c r="P1488" s="4">
        <v>0</v>
      </c>
      <c r="Q1488" s="3" t="s">
        <v>26</v>
      </c>
      <c r="R1488" s="3">
        <v>0</v>
      </c>
      <c r="S1488" s="3" t="s">
        <v>481</v>
      </c>
      <c r="T1488" s="3" t="s">
        <v>762</v>
      </c>
      <c r="U1488" s="3">
        <v>0</v>
      </c>
      <c r="V1488" s="3">
        <v>33</v>
      </c>
      <c r="W1488" s="3">
        <v>71</v>
      </c>
    </row>
    <row r="1489" spans="1:23" ht="11.25" customHeight="1" x14ac:dyDescent="0.25">
      <c r="A1489" s="3" t="s">
        <v>21</v>
      </c>
      <c r="B1489" s="3" t="s">
        <v>44</v>
      </c>
      <c r="C1489" s="3" t="s">
        <v>33</v>
      </c>
      <c r="D1489" s="3" t="s">
        <v>45</v>
      </c>
      <c r="E1489" s="3" t="s">
        <v>25</v>
      </c>
      <c r="F1489" s="3" t="s">
        <v>25</v>
      </c>
      <c r="G1489" s="3" t="s">
        <v>25</v>
      </c>
      <c r="H1489" s="3" t="s">
        <v>35</v>
      </c>
      <c r="I1489" s="6">
        <v>44348</v>
      </c>
      <c r="J1489" s="4">
        <v>0</v>
      </c>
      <c r="K1489" s="4">
        <v>0</v>
      </c>
      <c r="L1489" s="4">
        <v>0.92800000000000005</v>
      </c>
      <c r="M1489" s="4">
        <v>0.92800000000000005</v>
      </c>
      <c r="N1489" s="4">
        <v>0.92800000000000005</v>
      </c>
      <c r="O1489" s="4">
        <v>0.92800000000000005</v>
      </c>
      <c r="P1489" s="4">
        <v>0</v>
      </c>
      <c r="Q1489" s="3" t="s">
        <v>26</v>
      </c>
      <c r="R1489" s="3">
        <v>0</v>
      </c>
      <c r="S1489" s="3" t="s">
        <v>482</v>
      </c>
      <c r="T1489" s="3" t="s">
        <v>763</v>
      </c>
      <c r="U1489" s="3">
        <v>0</v>
      </c>
      <c r="V1489" s="3">
        <v>33</v>
      </c>
      <c r="W1489" s="3">
        <v>71</v>
      </c>
    </row>
    <row r="1490" spans="1:23" ht="11.25" customHeight="1" x14ac:dyDescent="0.25">
      <c r="A1490" s="3" t="s">
        <v>21</v>
      </c>
      <c r="B1490" s="3" t="s">
        <v>44</v>
      </c>
      <c r="C1490" s="3" t="s">
        <v>33</v>
      </c>
      <c r="D1490" s="3" t="s">
        <v>45</v>
      </c>
      <c r="E1490" s="3" t="s">
        <v>25</v>
      </c>
      <c r="F1490" s="3" t="s">
        <v>25</v>
      </c>
      <c r="G1490" s="3" t="s">
        <v>25</v>
      </c>
      <c r="H1490" s="3" t="s">
        <v>35</v>
      </c>
      <c r="I1490" s="6">
        <v>44378</v>
      </c>
      <c r="J1490" s="4">
        <v>0</v>
      </c>
      <c r="K1490" s="4">
        <v>0</v>
      </c>
      <c r="L1490" s="4">
        <v>0.55600000000000005</v>
      </c>
      <c r="M1490" s="4">
        <v>0.55600000000000005</v>
      </c>
      <c r="N1490" s="4">
        <v>0.55600000000000005</v>
      </c>
      <c r="O1490" s="4">
        <v>0.55600000000000005</v>
      </c>
      <c r="P1490" s="4">
        <v>0</v>
      </c>
      <c r="Q1490" s="3" t="s">
        <v>26</v>
      </c>
      <c r="R1490" s="3">
        <v>0</v>
      </c>
      <c r="S1490" s="3" t="s">
        <v>483</v>
      </c>
      <c r="T1490" s="3" t="s">
        <v>764</v>
      </c>
      <c r="U1490" s="3">
        <v>0</v>
      </c>
      <c r="V1490" s="3">
        <v>33</v>
      </c>
      <c r="W1490" s="3">
        <v>71</v>
      </c>
    </row>
    <row r="1491" spans="1:23" ht="11.25" customHeight="1" x14ac:dyDescent="0.25">
      <c r="A1491" s="3" t="s">
        <v>21</v>
      </c>
      <c r="B1491" s="3" t="s">
        <v>44</v>
      </c>
      <c r="C1491" s="3" t="s">
        <v>33</v>
      </c>
      <c r="D1491" s="3" t="s">
        <v>45</v>
      </c>
      <c r="E1491" s="3" t="s">
        <v>25</v>
      </c>
      <c r="F1491" s="3" t="s">
        <v>25</v>
      </c>
      <c r="G1491" s="3" t="s">
        <v>25</v>
      </c>
      <c r="H1491" s="3" t="s">
        <v>35</v>
      </c>
      <c r="I1491" s="6">
        <v>44409</v>
      </c>
      <c r="J1491" s="4">
        <v>0</v>
      </c>
      <c r="K1491" s="4">
        <v>0</v>
      </c>
      <c r="L1491" s="4">
        <v>0.75900000000000001</v>
      </c>
      <c r="M1491" s="4">
        <v>0.75900000000000001</v>
      </c>
      <c r="N1491" s="4">
        <v>0.75900000000000001</v>
      </c>
      <c r="O1491" s="4">
        <v>0.75900000000000001</v>
      </c>
      <c r="P1491" s="4">
        <v>0</v>
      </c>
      <c r="Q1491" s="3" t="s">
        <v>26</v>
      </c>
      <c r="R1491" s="3">
        <v>0</v>
      </c>
      <c r="S1491" s="3" t="s">
        <v>484</v>
      </c>
      <c r="T1491" s="3" t="s">
        <v>765</v>
      </c>
      <c r="U1491" s="3">
        <v>0</v>
      </c>
      <c r="V1491" s="3">
        <v>33</v>
      </c>
      <c r="W1491" s="3">
        <v>71</v>
      </c>
    </row>
    <row r="1492" spans="1:23" ht="11.25" customHeight="1" x14ac:dyDescent="0.25">
      <c r="A1492" s="3" t="s">
        <v>21</v>
      </c>
      <c r="B1492" s="3" t="s">
        <v>44</v>
      </c>
      <c r="C1492" s="3" t="s">
        <v>33</v>
      </c>
      <c r="D1492" s="3" t="s">
        <v>45</v>
      </c>
      <c r="E1492" s="3" t="s">
        <v>25</v>
      </c>
      <c r="F1492" s="3" t="s">
        <v>25</v>
      </c>
      <c r="G1492" s="3" t="s">
        <v>25</v>
      </c>
      <c r="H1492" s="3" t="s">
        <v>35</v>
      </c>
      <c r="I1492" s="6">
        <v>44440</v>
      </c>
      <c r="J1492" s="4">
        <v>0</v>
      </c>
      <c r="K1492" s="4">
        <v>0</v>
      </c>
      <c r="L1492" s="4">
        <v>1.877</v>
      </c>
      <c r="M1492" s="4">
        <v>1.877</v>
      </c>
      <c r="N1492" s="4">
        <v>1.877</v>
      </c>
      <c r="O1492" s="4">
        <v>1.877</v>
      </c>
      <c r="P1492" s="4">
        <v>0</v>
      </c>
      <c r="Q1492" s="3" t="s">
        <v>26</v>
      </c>
      <c r="R1492" s="3">
        <v>0</v>
      </c>
      <c r="S1492" s="3" t="s">
        <v>485</v>
      </c>
      <c r="T1492" s="3" t="s">
        <v>766</v>
      </c>
      <c r="U1492" s="3">
        <v>0</v>
      </c>
      <c r="V1492" s="3">
        <v>33</v>
      </c>
      <c r="W1492" s="3">
        <v>71</v>
      </c>
    </row>
    <row r="1493" spans="1:23" ht="11.25" customHeight="1" x14ac:dyDescent="0.25">
      <c r="A1493" s="3" t="s">
        <v>21</v>
      </c>
      <c r="B1493" s="3" t="s">
        <v>44</v>
      </c>
      <c r="C1493" s="3" t="s">
        <v>33</v>
      </c>
      <c r="D1493" s="3" t="s">
        <v>45</v>
      </c>
      <c r="E1493" s="3" t="s">
        <v>25</v>
      </c>
      <c r="F1493" s="3" t="s">
        <v>25</v>
      </c>
      <c r="G1493" s="3" t="s">
        <v>25</v>
      </c>
      <c r="H1493" s="3" t="s">
        <v>35</v>
      </c>
      <c r="I1493" s="6">
        <v>44470</v>
      </c>
      <c r="J1493" s="4">
        <v>0</v>
      </c>
      <c r="K1493" s="4">
        <v>0</v>
      </c>
      <c r="L1493" s="4">
        <v>2.1579999999999999</v>
      </c>
      <c r="M1493" s="4">
        <v>2.1579999999999999</v>
      </c>
      <c r="N1493" s="4">
        <v>2.1579999999999999</v>
      </c>
      <c r="O1493" s="4">
        <v>2.1579999999999999</v>
      </c>
      <c r="P1493" s="4">
        <v>0</v>
      </c>
      <c r="Q1493" s="3" t="s">
        <v>26</v>
      </c>
      <c r="R1493" s="3">
        <v>0</v>
      </c>
      <c r="S1493" s="3" t="s">
        <v>468</v>
      </c>
      <c r="T1493" s="3" t="s">
        <v>749</v>
      </c>
      <c r="U1493" s="3">
        <v>0</v>
      </c>
      <c r="V1493" s="3">
        <v>33</v>
      </c>
      <c r="W1493" s="3">
        <v>71</v>
      </c>
    </row>
    <row r="1494" spans="1:23" ht="11.25" customHeight="1" x14ac:dyDescent="0.25">
      <c r="A1494" s="3" t="s">
        <v>21</v>
      </c>
      <c r="B1494" s="3" t="s">
        <v>44</v>
      </c>
      <c r="C1494" s="3" t="s">
        <v>33</v>
      </c>
      <c r="D1494" s="3" t="s">
        <v>45</v>
      </c>
      <c r="E1494" s="3" t="s">
        <v>25</v>
      </c>
      <c r="F1494" s="3" t="s">
        <v>25</v>
      </c>
      <c r="G1494" s="3" t="s">
        <v>25</v>
      </c>
      <c r="H1494" s="3" t="s">
        <v>35</v>
      </c>
      <c r="I1494" s="6">
        <v>44501</v>
      </c>
      <c r="J1494" s="4">
        <v>0</v>
      </c>
      <c r="K1494" s="4">
        <v>0</v>
      </c>
      <c r="L1494" s="4">
        <v>1.6240000000000001</v>
      </c>
      <c r="M1494" s="4">
        <v>1.6240000000000001</v>
      </c>
      <c r="N1494" s="4">
        <v>1.6240000000000001</v>
      </c>
      <c r="O1494" s="4">
        <v>1.6240000000000001</v>
      </c>
      <c r="P1494" s="4">
        <v>0</v>
      </c>
      <c r="Q1494" s="3" t="s">
        <v>26</v>
      </c>
      <c r="R1494" s="3">
        <v>0</v>
      </c>
      <c r="S1494" s="3" t="s">
        <v>469</v>
      </c>
      <c r="T1494" s="3" t="s">
        <v>750</v>
      </c>
      <c r="U1494" s="3">
        <v>0</v>
      </c>
      <c r="V1494" s="3">
        <v>33</v>
      </c>
      <c r="W1494" s="3">
        <v>71</v>
      </c>
    </row>
    <row r="1495" spans="1:23" ht="11.25" customHeight="1" x14ac:dyDescent="0.25">
      <c r="A1495" s="3" t="s">
        <v>21</v>
      </c>
      <c r="B1495" s="3" t="s">
        <v>44</v>
      </c>
      <c r="C1495" s="3" t="s">
        <v>33</v>
      </c>
      <c r="D1495" s="3" t="s">
        <v>45</v>
      </c>
      <c r="E1495" s="3" t="s">
        <v>25</v>
      </c>
      <c r="F1495" s="3" t="s">
        <v>25</v>
      </c>
      <c r="G1495" s="3" t="s">
        <v>25</v>
      </c>
      <c r="H1495" s="3" t="s">
        <v>35</v>
      </c>
      <c r="I1495" s="6">
        <v>44531</v>
      </c>
      <c r="J1495" s="4">
        <v>0</v>
      </c>
      <c r="K1495" s="4">
        <v>0</v>
      </c>
      <c r="L1495" s="4">
        <v>1.0289999999999999</v>
      </c>
      <c r="M1495" s="4">
        <v>1.0289999999999999</v>
      </c>
      <c r="N1495" s="4">
        <v>1.0289999999999999</v>
      </c>
      <c r="O1495" s="4">
        <v>1.0289999999999999</v>
      </c>
      <c r="P1495" s="4">
        <v>0</v>
      </c>
      <c r="Q1495" s="3" t="s">
        <v>26</v>
      </c>
      <c r="R1495" s="3">
        <v>0</v>
      </c>
      <c r="S1495" s="3" t="s">
        <v>470</v>
      </c>
      <c r="T1495" s="3" t="s">
        <v>751</v>
      </c>
      <c r="U1495" s="3">
        <v>0</v>
      </c>
      <c r="V1495" s="3">
        <v>33</v>
      </c>
      <c r="W1495" s="3">
        <v>71</v>
      </c>
    </row>
    <row r="1496" spans="1:23" ht="11.25" customHeight="1" x14ac:dyDescent="0.25">
      <c r="A1496" s="3" t="s">
        <v>21</v>
      </c>
      <c r="B1496" s="3" t="s">
        <v>44</v>
      </c>
      <c r="C1496" s="3" t="s">
        <v>33</v>
      </c>
      <c r="D1496" s="3" t="s">
        <v>45</v>
      </c>
      <c r="E1496" s="3" t="s">
        <v>25</v>
      </c>
      <c r="F1496" s="3" t="s">
        <v>25</v>
      </c>
      <c r="G1496" s="3" t="s">
        <v>25</v>
      </c>
      <c r="H1496" s="3" t="s">
        <v>35</v>
      </c>
      <c r="I1496" s="6">
        <v>44562</v>
      </c>
      <c r="J1496" s="4">
        <v>0</v>
      </c>
      <c r="K1496" s="4">
        <v>0</v>
      </c>
      <c r="L1496" s="4">
        <v>1.0189999999999999</v>
      </c>
      <c r="M1496" s="4">
        <v>1.0189999999999999</v>
      </c>
      <c r="N1496" s="4">
        <v>1.0189999999999999</v>
      </c>
      <c r="O1496" s="4">
        <v>1.0189999999999999</v>
      </c>
      <c r="P1496" s="4">
        <v>0</v>
      </c>
      <c r="Q1496" s="3" t="s">
        <v>26</v>
      </c>
      <c r="R1496" s="3">
        <v>0</v>
      </c>
      <c r="S1496" s="3" t="s">
        <v>471</v>
      </c>
      <c r="T1496" s="3" t="s">
        <v>752</v>
      </c>
      <c r="U1496" s="3">
        <v>0</v>
      </c>
      <c r="V1496" s="3">
        <v>33</v>
      </c>
      <c r="W1496" s="3">
        <v>71</v>
      </c>
    </row>
    <row r="1497" spans="1:23" ht="11.25" customHeight="1" x14ac:dyDescent="0.25">
      <c r="A1497" s="3" t="s">
        <v>21</v>
      </c>
      <c r="B1497" s="3" t="s">
        <v>44</v>
      </c>
      <c r="C1497" s="3" t="s">
        <v>33</v>
      </c>
      <c r="D1497" s="3" t="s">
        <v>45</v>
      </c>
      <c r="E1497" s="3" t="s">
        <v>25</v>
      </c>
      <c r="F1497" s="3" t="s">
        <v>25</v>
      </c>
      <c r="G1497" s="3" t="s">
        <v>25</v>
      </c>
      <c r="H1497" s="3" t="s">
        <v>35</v>
      </c>
      <c r="I1497" s="6">
        <v>44593</v>
      </c>
      <c r="J1497" s="4">
        <v>0</v>
      </c>
      <c r="K1497" s="4">
        <v>0</v>
      </c>
      <c r="L1497" s="4">
        <v>1.262</v>
      </c>
      <c r="M1497" s="4">
        <v>1.262</v>
      </c>
      <c r="N1497" s="4">
        <v>1.262</v>
      </c>
      <c r="O1497" s="4">
        <v>1.262</v>
      </c>
      <c r="P1497" s="4">
        <v>0</v>
      </c>
      <c r="Q1497" s="3" t="s">
        <v>26</v>
      </c>
      <c r="R1497" s="3">
        <v>0</v>
      </c>
      <c r="S1497" s="3" t="s">
        <v>472</v>
      </c>
      <c r="T1497" s="3" t="s">
        <v>753</v>
      </c>
      <c r="U1497" s="3">
        <v>0</v>
      </c>
      <c r="V1497" s="3">
        <v>33</v>
      </c>
      <c r="W1497" s="3">
        <v>71</v>
      </c>
    </row>
    <row r="1498" spans="1:23" ht="11.25" customHeight="1" x14ac:dyDescent="0.25">
      <c r="A1498" s="3" t="s">
        <v>56</v>
      </c>
      <c r="B1498" s="3" t="s">
        <v>44</v>
      </c>
      <c r="C1498" s="3" t="s">
        <v>33</v>
      </c>
      <c r="D1498" s="3" t="s">
        <v>45</v>
      </c>
      <c r="E1498" s="3" t="s">
        <v>25</v>
      </c>
      <c r="F1498" s="3" t="s">
        <v>25</v>
      </c>
      <c r="G1498" s="3" t="s">
        <v>25</v>
      </c>
      <c r="H1498" s="3" t="s">
        <v>35</v>
      </c>
      <c r="I1498" s="6">
        <v>44621</v>
      </c>
      <c r="J1498" s="4">
        <v>0</v>
      </c>
      <c r="K1498" s="4">
        <v>0</v>
      </c>
      <c r="L1498" s="4">
        <v>1.262</v>
      </c>
      <c r="M1498" s="4">
        <v>1.262</v>
      </c>
      <c r="N1498" s="4">
        <v>1.262</v>
      </c>
      <c r="O1498" s="4">
        <v>1.262</v>
      </c>
      <c r="P1498" s="4">
        <v>0</v>
      </c>
      <c r="Q1498" s="3" t="s">
        <v>26</v>
      </c>
      <c r="R1498" s="3">
        <v>0</v>
      </c>
      <c r="S1498" s="3" t="s">
        <v>473</v>
      </c>
      <c r="T1498" s="3" t="s">
        <v>754</v>
      </c>
      <c r="U1498" s="3">
        <v>0</v>
      </c>
      <c r="V1498" s="3">
        <v>33</v>
      </c>
      <c r="W1498" s="3">
        <v>71</v>
      </c>
    </row>
    <row r="1499" spans="1:23" ht="11.25" customHeight="1" x14ac:dyDescent="0.25">
      <c r="A1499" s="3" t="s">
        <v>21</v>
      </c>
      <c r="B1499" s="3" t="s">
        <v>44</v>
      </c>
      <c r="C1499" s="3" t="s">
        <v>33</v>
      </c>
      <c r="D1499" s="3" t="s">
        <v>45</v>
      </c>
      <c r="E1499" s="3" t="s">
        <v>25</v>
      </c>
      <c r="F1499" s="3" t="s">
        <v>25</v>
      </c>
      <c r="G1499" s="3" t="s">
        <v>25</v>
      </c>
      <c r="H1499" s="3" t="s">
        <v>36</v>
      </c>
      <c r="I1499" s="6">
        <v>44287</v>
      </c>
      <c r="J1499" s="4">
        <v>0</v>
      </c>
      <c r="K1499" s="4">
        <v>0</v>
      </c>
      <c r="L1499" s="4">
        <v>9.2999999999999999E-2</v>
      </c>
      <c r="M1499" s="4">
        <v>9.2999999999999999E-2</v>
      </c>
      <c r="N1499" s="4">
        <v>9.2999999999999999E-2</v>
      </c>
      <c r="O1499" s="4">
        <v>9.2999999999999999E-2</v>
      </c>
      <c r="P1499" s="4">
        <v>0</v>
      </c>
      <c r="Q1499" s="3" t="s">
        <v>26</v>
      </c>
      <c r="R1499" s="3">
        <v>0</v>
      </c>
      <c r="S1499" s="3" t="s">
        <v>486</v>
      </c>
      <c r="T1499" s="3" t="s">
        <v>767</v>
      </c>
      <c r="U1499" s="3">
        <v>0</v>
      </c>
      <c r="V1499" s="3">
        <v>52</v>
      </c>
      <c r="W1499" s="3">
        <v>70</v>
      </c>
    </row>
    <row r="1500" spans="1:23" ht="11.25" customHeight="1" x14ac:dyDescent="0.25">
      <c r="A1500" s="3" t="s">
        <v>21</v>
      </c>
      <c r="B1500" s="3" t="s">
        <v>44</v>
      </c>
      <c r="C1500" s="3" t="s">
        <v>33</v>
      </c>
      <c r="D1500" s="3" t="s">
        <v>45</v>
      </c>
      <c r="E1500" s="3" t="s">
        <v>25</v>
      </c>
      <c r="F1500" s="3" t="s">
        <v>25</v>
      </c>
      <c r="G1500" s="3" t="s">
        <v>25</v>
      </c>
      <c r="H1500" s="3" t="s">
        <v>36</v>
      </c>
      <c r="I1500" s="6">
        <v>44317</v>
      </c>
      <c r="J1500" s="4">
        <v>0</v>
      </c>
      <c r="K1500" s="4">
        <v>0</v>
      </c>
      <c r="L1500" s="4">
        <v>3.7999999999999999E-2</v>
      </c>
      <c r="M1500" s="4">
        <v>3.7999999999999999E-2</v>
      </c>
      <c r="N1500" s="4">
        <v>3.7999999999999999E-2</v>
      </c>
      <c r="O1500" s="4">
        <v>3.7999999999999999E-2</v>
      </c>
      <c r="P1500" s="4">
        <v>0</v>
      </c>
      <c r="Q1500" s="3" t="s">
        <v>26</v>
      </c>
      <c r="R1500" s="3">
        <v>0</v>
      </c>
      <c r="S1500" s="3" t="s">
        <v>487</v>
      </c>
      <c r="T1500" s="3" t="s">
        <v>768</v>
      </c>
      <c r="U1500" s="3">
        <v>0</v>
      </c>
      <c r="V1500" s="3">
        <v>52</v>
      </c>
      <c r="W1500" s="3">
        <v>70</v>
      </c>
    </row>
    <row r="1501" spans="1:23" ht="11.25" customHeight="1" x14ac:dyDescent="0.25">
      <c r="A1501" s="3" t="s">
        <v>21</v>
      </c>
      <c r="B1501" s="3" t="s">
        <v>44</v>
      </c>
      <c r="C1501" s="3" t="s">
        <v>33</v>
      </c>
      <c r="D1501" s="3" t="s">
        <v>45</v>
      </c>
      <c r="E1501" s="3" t="s">
        <v>25</v>
      </c>
      <c r="F1501" s="3" t="s">
        <v>25</v>
      </c>
      <c r="G1501" s="3" t="s">
        <v>25</v>
      </c>
      <c r="H1501" s="3" t="s">
        <v>36</v>
      </c>
      <c r="I1501" s="6">
        <v>44348</v>
      </c>
      <c r="J1501" s="4">
        <v>0</v>
      </c>
      <c r="K1501" s="4">
        <v>0</v>
      </c>
      <c r="L1501" s="4">
        <v>3.1E-2</v>
      </c>
      <c r="M1501" s="4">
        <v>3.1E-2</v>
      </c>
      <c r="N1501" s="4">
        <v>3.1E-2</v>
      </c>
      <c r="O1501" s="4">
        <v>3.1E-2</v>
      </c>
      <c r="P1501" s="4">
        <v>0</v>
      </c>
      <c r="Q1501" s="3" t="s">
        <v>26</v>
      </c>
      <c r="R1501" s="3">
        <v>0</v>
      </c>
      <c r="S1501" s="3" t="s">
        <v>488</v>
      </c>
      <c r="T1501" s="3" t="s">
        <v>769</v>
      </c>
      <c r="U1501" s="3">
        <v>0</v>
      </c>
      <c r="V1501" s="3">
        <v>52</v>
      </c>
      <c r="W1501" s="3">
        <v>70</v>
      </c>
    </row>
    <row r="1502" spans="1:23" ht="11.25" customHeight="1" x14ac:dyDescent="0.25">
      <c r="A1502" s="3" t="s">
        <v>21</v>
      </c>
      <c r="B1502" s="3" t="s">
        <v>44</v>
      </c>
      <c r="C1502" s="3" t="s">
        <v>33</v>
      </c>
      <c r="D1502" s="3" t="s">
        <v>45</v>
      </c>
      <c r="E1502" s="3" t="s">
        <v>25</v>
      </c>
      <c r="F1502" s="3" t="s">
        <v>25</v>
      </c>
      <c r="G1502" s="3" t="s">
        <v>25</v>
      </c>
      <c r="H1502" s="3" t="s">
        <v>36</v>
      </c>
      <c r="I1502" s="6">
        <v>44378</v>
      </c>
      <c r="J1502" s="4">
        <v>0</v>
      </c>
      <c r="K1502" s="4">
        <v>0</v>
      </c>
      <c r="L1502" s="4">
        <v>3.4000000000000002E-2</v>
      </c>
      <c r="M1502" s="4">
        <v>3.4000000000000002E-2</v>
      </c>
      <c r="N1502" s="4">
        <v>3.4000000000000002E-2</v>
      </c>
      <c r="O1502" s="4">
        <v>3.4000000000000002E-2</v>
      </c>
      <c r="P1502" s="4">
        <v>0</v>
      </c>
      <c r="Q1502" s="3" t="s">
        <v>26</v>
      </c>
      <c r="R1502" s="3">
        <v>0</v>
      </c>
      <c r="S1502" s="3" t="s">
        <v>489</v>
      </c>
      <c r="T1502" s="3" t="s">
        <v>770</v>
      </c>
      <c r="U1502" s="3">
        <v>0</v>
      </c>
      <c r="V1502" s="3">
        <v>52</v>
      </c>
      <c r="W1502" s="3">
        <v>70</v>
      </c>
    </row>
    <row r="1503" spans="1:23" ht="11.25" customHeight="1" x14ac:dyDescent="0.25">
      <c r="A1503" s="3" t="s">
        <v>21</v>
      </c>
      <c r="B1503" s="3" t="s">
        <v>44</v>
      </c>
      <c r="C1503" s="3" t="s">
        <v>33</v>
      </c>
      <c r="D1503" s="3" t="s">
        <v>45</v>
      </c>
      <c r="E1503" s="3" t="s">
        <v>25</v>
      </c>
      <c r="F1503" s="3" t="s">
        <v>25</v>
      </c>
      <c r="G1503" s="3" t="s">
        <v>25</v>
      </c>
      <c r="H1503" s="3" t="s">
        <v>36</v>
      </c>
      <c r="I1503" s="6">
        <v>44409</v>
      </c>
      <c r="J1503" s="4">
        <v>0</v>
      </c>
      <c r="K1503" s="4">
        <v>0</v>
      </c>
      <c r="L1503" s="4">
        <v>3.2000000000000001E-2</v>
      </c>
      <c r="M1503" s="4">
        <v>3.2000000000000001E-2</v>
      </c>
      <c r="N1503" s="4">
        <v>3.2000000000000001E-2</v>
      </c>
      <c r="O1503" s="4">
        <v>3.2000000000000001E-2</v>
      </c>
      <c r="P1503" s="4">
        <v>0</v>
      </c>
      <c r="Q1503" s="3" t="s">
        <v>26</v>
      </c>
      <c r="R1503" s="3">
        <v>0</v>
      </c>
      <c r="S1503" s="3" t="s">
        <v>490</v>
      </c>
      <c r="T1503" s="3" t="s">
        <v>771</v>
      </c>
      <c r="U1503" s="3">
        <v>0</v>
      </c>
      <c r="V1503" s="3">
        <v>52</v>
      </c>
      <c r="W1503" s="3">
        <v>70</v>
      </c>
    </row>
    <row r="1504" spans="1:23" ht="11.25" customHeight="1" x14ac:dyDescent="0.25">
      <c r="A1504" s="3" t="s">
        <v>21</v>
      </c>
      <c r="B1504" s="3" t="s">
        <v>44</v>
      </c>
      <c r="C1504" s="3" t="s">
        <v>33</v>
      </c>
      <c r="D1504" s="3" t="s">
        <v>45</v>
      </c>
      <c r="E1504" s="3" t="s">
        <v>25</v>
      </c>
      <c r="F1504" s="3" t="s">
        <v>25</v>
      </c>
      <c r="G1504" s="3" t="s">
        <v>25</v>
      </c>
      <c r="H1504" s="3" t="s">
        <v>36</v>
      </c>
      <c r="I1504" s="6">
        <v>44440</v>
      </c>
      <c r="J1504" s="4">
        <v>0</v>
      </c>
      <c r="K1504" s="4">
        <v>0</v>
      </c>
      <c r="L1504" s="4">
        <v>0.04</v>
      </c>
      <c r="M1504" s="4">
        <v>0.04</v>
      </c>
      <c r="N1504" s="4">
        <v>0.04</v>
      </c>
      <c r="O1504" s="4">
        <v>0.04</v>
      </c>
      <c r="P1504" s="4">
        <v>0</v>
      </c>
      <c r="Q1504" s="3" t="s">
        <v>26</v>
      </c>
      <c r="R1504" s="3">
        <v>0</v>
      </c>
      <c r="S1504" s="3" t="s">
        <v>491</v>
      </c>
      <c r="T1504" s="3" t="s">
        <v>772</v>
      </c>
      <c r="U1504" s="3">
        <v>0</v>
      </c>
      <c r="V1504" s="3">
        <v>52</v>
      </c>
      <c r="W1504" s="3">
        <v>70</v>
      </c>
    </row>
    <row r="1505" spans="1:23" ht="11.25" customHeight="1" x14ac:dyDescent="0.25">
      <c r="A1505" s="3" t="s">
        <v>21</v>
      </c>
      <c r="B1505" s="3" t="s">
        <v>44</v>
      </c>
      <c r="C1505" s="3" t="s">
        <v>33</v>
      </c>
      <c r="D1505" s="3" t="s">
        <v>45</v>
      </c>
      <c r="E1505" s="3" t="s">
        <v>25</v>
      </c>
      <c r="F1505" s="3" t="s">
        <v>25</v>
      </c>
      <c r="G1505" s="3" t="s">
        <v>25</v>
      </c>
      <c r="H1505" s="3" t="s">
        <v>36</v>
      </c>
      <c r="I1505" s="6">
        <v>44470</v>
      </c>
      <c r="J1505" s="4">
        <v>0</v>
      </c>
      <c r="K1505" s="4">
        <v>0</v>
      </c>
      <c r="L1505" s="4">
        <v>3.6999999999999998E-2</v>
      </c>
      <c r="M1505" s="4">
        <v>3.6999999999999998E-2</v>
      </c>
      <c r="N1505" s="4">
        <v>3.6999999999999998E-2</v>
      </c>
      <c r="O1505" s="4">
        <v>3.6999999999999998E-2</v>
      </c>
      <c r="P1505" s="4">
        <v>0</v>
      </c>
      <c r="Q1505" s="3" t="s">
        <v>26</v>
      </c>
      <c r="R1505" s="3">
        <v>0</v>
      </c>
      <c r="S1505" s="3" t="s">
        <v>474</v>
      </c>
      <c r="T1505" s="3" t="s">
        <v>755</v>
      </c>
      <c r="U1505" s="3">
        <v>0</v>
      </c>
      <c r="V1505" s="3">
        <v>52</v>
      </c>
      <c r="W1505" s="3">
        <v>70</v>
      </c>
    </row>
    <row r="1506" spans="1:23" ht="11.25" customHeight="1" x14ac:dyDescent="0.25">
      <c r="A1506" s="3" t="s">
        <v>21</v>
      </c>
      <c r="B1506" s="3" t="s">
        <v>44</v>
      </c>
      <c r="C1506" s="3" t="s">
        <v>33</v>
      </c>
      <c r="D1506" s="3" t="s">
        <v>45</v>
      </c>
      <c r="E1506" s="3" t="s">
        <v>25</v>
      </c>
      <c r="F1506" s="3" t="s">
        <v>25</v>
      </c>
      <c r="G1506" s="3" t="s">
        <v>25</v>
      </c>
      <c r="H1506" s="3" t="s">
        <v>36</v>
      </c>
      <c r="I1506" s="6">
        <v>44501</v>
      </c>
      <c r="J1506" s="4">
        <v>0</v>
      </c>
      <c r="K1506" s="4">
        <v>0</v>
      </c>
      <c r="L1506" s="4">
        <v>3.1E-2</v>
      </c>
      <c r="M1506" s="4">
        <v>3.1E-2</v>
      </c>
      <c r="N1506" s="4">
        <v>3.1E-2</v>
      </c>
      <c r="O1506" s="4">
        <v>3.1E-2</v>
      </c>
      <c r="P1506" s="4">
        <v>0</v>
      </c>
      <c r="Q1506" s="3" t="s">
        <v>26</v>
      </c>
      <c r="R1506" s="3">
        <v>0</v>
      </c>
      <c r="S1506" s="3" t="s">
        <v>475</v>
      </c>
      <c r="T1506" s="3" t="s">
        <v>756</v>
      </c>
      <c r="U1506" s="3">
        <v>0</v>
      </c>
      <c r="V1506" s="3">
        <v>52</v>
      </c>
      <c r="W1506" s="3">
        <v>70</v>
      </c>
    </row>
    <row r="1507" spans="1:23" ht="11.25" customHeight="1" x14ac:dyDescent="0.25">
      <c r="A1507" s="3" t="s">
        <v>21</v>
      </c>
      <c r="B1507" s="3" t="s">
        <v>44</v>
      </c>
      <c r="C1507" s="3" t="s">
        <v>33</v>
      </c>
      <c r="D1507" s="3" t="s">
        <v>45</v>
      </c>
      <c r="E1507" s="3" t="s">
        <v>25</v>
      </c>
      <c r="F1507" s="3" t="s">
        <v>25</v>
      </c>
      <c r="G1507" s="3" t="s">
        <v>25</v>
      </c>
      <c r="H1507" s="3" t="s">
        <v>36</v>
      </c>
      <c r="I1507" s="6">
        <v>44531</v>
      </c>
      <c r="J1507" s="4">
        <v>0</v>
      </c>
      <c r="K1507" s="4">
        <v>0</v>
      </c>
      <c r="L1507" s="4">
        <v>0.03</v>
      </c>
      <c r="M1507" s="4">
        <v>0.03</v>
      </c>
      <c r="N1507" s="4">
        <v>0.03</v>
      </c>
      <c r="O1507" s="4">
        <v>0.03</v>
      </c>
      <c r="P1507" s="4">
        <v>0</v>
      </c>
      <c r="Q1507" s="3" t="s">
        <v>26</v>
      </c>
      <c r="R1507" s="3">
        <v>0</v>
      </c>
      <c r="S1507" s="3" t="s">
        <v>476</v>
      </c>
      <c r="T1507" s="3" t="s">
        <v>757</v>
      </c>
      <c r="U1507" s="3">
        <v>0</v>
      </c>
      <c r="V1507" s="3">
        <v>52</v>
      </c>
      <c r="W1507" s="3">
        <v>70</v>
      </c>
    </row>
    <row r="1508" spans="1:23" ht="11.25" customHeight="1" x14ac:dyDescent="0.25">
      <c r="A1508" s="3" t="s">
        <v>21</v>
      </c>
      <c r="B1508" s="3" t="s">
        <v>44</v>
      </c>
      <c r="C1508" s="3" t="s">
        <v>33</v>
      </c>
      <c r="D1508" s="3" t="s">
        <v>45</v>
      </c>
      <c r="E1508" s="3" t="s">
        <v>25</v>
      </c>
      <c r="F1508" s="3" t="s">
        <v>25</v>
      </c>
      <c r="G1508" s="3" t="s">
        <v>25</v>
      </c>
      <c r="H1508" s="3" t="s">
        <v>36</v>
      </c>
      <c r="I1508" s="6">
        <v>44562</v>
      </c>
      <c r="J1508" s="4">
        <v>0</v>
      </c>
      <c r="K1508" s="4">
        <v>0</v>
      </c>
      <c r="L1508" s="4">
        <v>3.7999999999999999E-2</v>
      </c>
      <c r="M1508" s="4">
        <v>3.7999999999999999E-2</v>
      </c>
      <c r="N1508" s="4">
        <v>3.7999999999999999E-2</v>
      </c>
      <c r="O1508" s="4">
        <v>3.7999999999999999E-2</v>
      </c>
      <c r="P1508" s="4">
        <v>0</v>
      </c>
      <c r="Q1508" s="3" t="s">
        <v>26</v>
      </c>
      <c r="R1508" s="3">
        <v>0</v>
      </c>
      <c r="S1508" s="3" t="s">
        <v>477</v>
      </c>
      <c r="T1508" s="3" t="s">
        <v>758</v>
      </c>
      <c r="U1508" s="3">
        <v>0</v>
      </c>
      <c r="V1508" s="3">
        <v>52</v>
      </c>
      <c r="W1508" s="3">
        <v>70</v>
      </c>
    </row>
    <row r="1509" spans="1:23" ht="11.25" customHeight="1" x14ac:dyDescent="0.25">
      <c r="A1509" s="3" t="s">
        <v>21</v>
      </c>
      <c r="B1509" s="3" t="s">
        <v>44</v>
      </c>
      <c r="C1509" s="3" t="s">
        <v>33</v>
      </c>
      <c r="D1509" s="3" t="s">
        <v>45</v>
      </c>
      <c r="E1509" s="3" t="s">
        <v>25</v>
      </c>
      <c r="F1509" s="3" t="s">
        <v>25</v>
      </c>
      <c r="G1509" s="3" t="s">
        <v>25</v>
      </c>
      <c r="H1509" s="3" t="s">
        <v>36</v>
      </c>
      <c r="I1509" s="6">
        <v>44593</v>
      </c>
      <c r="J1509" s="4">
        <v>0</v>
      </c>
      <c r="K1509" s="4">
        <v>0</v>
      </c>
      <c r="L1509" s="4">
        <v>3.1E-2</v>
      </c>
      <c r="M1509" s="4">
        <v>3.1E-2</v>
      </c>
      <c r="N1509" s="4">
        <v>3.1E-2</v>
      </c>
      <c r="O1509" s="4">
        <v>3.1E-2</v>
      </c>
      <c r="P1509" s="4">
        <v>0</v>
      </c>
      <c r="Q1509" s="3" t="s">
        <v>26</v>
      </c>
      <c r="R1509" s="3">
        <v>0</v>
      </c>
      <c r="S1509" s="3" t="s">
        <v>492</v>
      </c>
      <c r="T1509" s="3" t="s">
        <v>773</v>
      </c>
      <c r="U1509" s="3">
        <v>0</v>
      </c>
      <c r="V1509" s="3">
        <v>52</v>
      </c>
      <c r="W1509" s="3">
        <v>70</v>
      </c>
    </row>
    <row r="1510" spans="1:23" ht="11.25" customHeight="1" x14ac:dyDescent="0.25">
      <c r="A1510" s="3" t="s">
        <v>56</v>
      </c>
      <c r="B1510" s="3" t="s">
        <v>44</v>
      </c>
      <c r="C1510" s="3" t="s">
        <v>33</v>
      </c>
      <c r="D1510" s="3" t="s">
        <v>45</v>
      </c>
      <c r="E1510" s="3" t="s">
        <v>25</v>
      </c>
      <c r="F1510" s="3" t="s">
        <v>25</v>
      </c>
      <c r="G1510" s="3" t="s">
        <v>25</v>
      </c>
      <c r="H1510" s="3" t="s">
        <v>36</v>
      </c>
      <c r="I1510" s="6">
        <v>44621</v>
      </c>
      <c r="J1510" s="4">
        <v>0</v>
      </c>
      <c r="K1510" s="4">
        <v>0</v>
      </c>
      <c r="L1510" s="4">
        <v>3.1E-2</v>
      </c>
      <c r="M1510" s="4">
        <v>3.1E-2</v>
      </c>
      <c r="N1510" s="4">
        <v>3.1E-2</v>
      </c>
      <c r="O1510" s="4">
        <v>3.1E-2</v>
      </c>
      <c r="P1510" s="4">
        <v>0</v>
      </c>
      <c r="Q1510" s="3" t="s">
        <v>26</v>
      </c>
      <c r="R1510" s="3">
        <v>0</v>
      </c>
      <c r="S1510" s="3" t="s">
        <v>493</v>
      </c>
      <c r="T1510" s="3" t="s">
        <v>774</v>
      </c>
      <c r="U1510" s="3">
        <v>0</v>
      </c>
      <c r="V1510" s="3">
        <v>52</v>
      </c>
      <c r="W1510" s="3">
        <v>70</v>
      </c>
    </row>
    <row r="1511" spans="1:23" ht="11.25" customHeight="1" x14ac:dyDescent="0.25">
      <c r="A1511" s="3" t="s">
        <v>21</v>
      </c>
      <c r="B1511" s="3" t="s">
        <v>44</v>
      </c>
      <c r="C1511" s="3" t="s">
        <v>33</v>
      </c>
      <c r="D1511" s="3" t="s">
        <v>45</v>
      </c>
      <c r="E1511" s="3" t="s">
        <v>25</v>
      </c>
      <c r="F1511" s="3" t="s">
        <v>25</v>
      </c>
      <c r="G1511" s="3" t="s">
        <v>25</v>
      </c>
      <c r="H1511" s="3" t="s">
        <v>34</v>
      </c>
      <c r="I1511" s="6">
        <v>44287</v>
      </c>
      <c r="J1511" s="4">
        <v>0</v>
      </c>
      <c r="K1511" s="4">
        <v>0</v>
      </c>
      <c r="L1511" s="4">
        <v>6.0999999999999999E-2</v>
      </c>
      <c r="M1511" s="4">
        <v>6.0999999999999999E-2</v>
      </c>
      <c r="N1511" s="4">
        <v>6.0999999999999999E-2</v>
      </c>
      <c r="O1511" s="4">
        <v>6.0999999999999999E-2</v>
      </c>
      <c r="P1511" s="4">
        <v>0</v>
      </c>
      <c r="Q1511" s="3" t="s">
        <v>26</v>
      </c>
      <c r="R1511" s="3">
        <v>0</v>
      </c>
      <c r="S1511" s="3" t="s">
        <v>494</v>
      </c>
      <c r="T1511" s="3" t="s">
        <v>775</v>
      </c>
      <c r="U1511" s="3">
        <v>0</v>
      </c>
      <c r="V1511" s="3">
        <v>51</v>
      </c>
      <c r="W1511" s="3">
        <v>69</v>
      </c>
    </row>
    <row r="1512" spans="1:23" ht="11.25" customHeight="1" x14ac:dyDescent="0.25">
      <c r="A1512" s="3" t="s">
        <v>21</v>
      </c>
      <c r="B1512" s="3" t="s">
        <v>44</v>
      </c>
      <c r="C1512" s="3" t="s">
        <v>33</v>
      </c>
      <c r="D1512" s="3" t="s">
        <v>45</v>
      </c>
      <c r="E1512" s="3" t="s">
        <v>25</v>
      </c>
      <c r="F1512" s="3" t="s">
        <v>25</v>
      </c>
      <c r="G1512" s="3" t="s">
        <v>25</v>
      </c>
      <c r="H1512" s="3" t="s">
        <v>34</v>
      </c>
      <c r="I1512" s="6">
        <v>44317</v>
      </c>
      <c r="J1512" s="4">
        <v>0</v>
      </c>
      <c r="K1512" s="4">
        <v>0</v>
      </c>
      <c r="L1512" s="4">
        <v>5.8000000000000003E-2</v>
      </c>
      <c r="M1512" s="4">
        <v>5.8000000000000003E-2</v>
      </c>
      <c r="N1512" s="4">
        <v>5.8000000000000003E-2</v>
      </c>
      <c r="O1512" s="4">
        <v>5.8000000000000003E-2</v>
      </c>
      <c r="P1512" s="4">
        <v>0</v>
      </c>
      <c r="Q1512" s="3" t="s">
        <v>26</v>
      </c>
      <c r="R1512" s="3">
        <v>0</v>
      </c>
      <c r="S1512" s="3" t="s">
        <v>495</v>
      </c>
      <c r="T1512" s="3" t="s">
        <v>776</v>
      </c>
      <c r="U1512" s="3">
        <v>0</v>
      </c>
      <c r="V1512" s="3">
        <v>51</v>
      </c>
      <c r="W1512" s="3">
        <v>69</v>
      </c>
    </row>
    <row r="1513" spans="1:23" ht="11.25" customHeight="1" x14ac:dyDescent="0.25">
      <c r="A1513" s="3" t="s">
        <v>21</v>
      </c>
      <c r="B1513" s="3" t="s">
        <v>44</v>
      </c>
      <c r="C1513" s="3" t="s">
        <v>33</v>
      </c>
      <c r="D1513" s="3" t="s">
        <v>45</v>
      </c>
      <c r="E1513" s="3" t="s">
        <v>25</v>
      </c>
      <c r="F1513" s="3" t="s">
        <v>25</v>
      </c>
      <c r="G1513" s="3" t="s">
        <v>25</v>
      </c>
      <c r="H1513" s="3" t="s">
        <v>34</v>
      </c>
      <c r="I1513" s="6">
        <v>44348</v>
      </c>
      <c r="J1513" s="4">
        <v>0</v>
      </c>
      <c r="K1513" s="4">
        <v>0</v>
      </c>
      <c r="L1513" s="4">
        <v>5.3999999999999999E-2</v>
      </c>
      <c r="M1513" s="4">
        <v>5.3999999999999999E-2</v>
      </c>
      <c r="N1513" s="4">
        <v>5.3999999999999999E-2</v>
      </c>
      <c r="O1513" s="4">
        <v>5.3999999999999999E-2</v>
      </c>
      <c r="P1513" s="4">
        <v>0</v>
      </c>
      <c r="Q1513" s="3" t="s">
        <v>26</v>
      </c>
      <c r="R1513" s="3">
        <v>0</v>
      </c>
      <c r="S1513" s="3" t="s">
        <v>496</v>
      </c>
      <c r="T1513" s="3" t="s">
        <v>777</v>
      </c>
      <c r="U1513" s="3">
        <v>0</v>
      </c>
      <c r="V1513" s="3">
        <v>51</v>
      </c>
      <c r="W1513" s="3">
        <v>69</v>
      </c>
    </row>
    <row r="1514" spans="1:23" ht="11.25" customHeight="1" x14ac:dyDescent="0.25">
      <c r="A1514" s="3" t="s">
        <v>21</v>
      </c>
      <c r="B1514" s="3" t="s">
        <v>44</v>
      </c>
      <c r="C1514" s="3" t="s">
        <v>33</v>
      </c>
      <c r="D1514" s="3" t="s">
        <v>45</v>
      </c>
      <c r="E1514" s="3" t="s">
        <v>25</v>
      </c>
      <c r="F1514" s="3" t="s">
        <v>25</v>
      </c>
      <c r="G1514" s="3" t="s">
        <v>25</v>
      </c>
      <c r="H1514" s="3" t="s">
        <v>34</v>
      </c>
      <c r="I1514" s="6">
        <v>44378</v>
      </c>
      <c r="J1514" s="4">
        <v>0</v>
      </c>
      <c r="K1514" s="4">
        <v>0</v>
      </c>
      <c r="L1514" s="4">
        <v>6.3E-2</v>
      </c>
      <c r="M1514" s="4">
        <v>6.3E-2</v>
      </c>
      <c r="N1514" s="4">
        <v>6.3E-2</v>
      </c>
      <c r="O1514" s="4">
        <v>6.3E-2</v>
      </c>
      <c r="P1514" s="4">
        <v>0</v>
      </c>
      <c r="Q1514" s="3" t="s">
        <v>26</v>
      </c>
      <c r="R1514" s="3">
        <v>0</v>
      </c>
      <c r="S1514" s="3" t="s">
        <v>497</v>
      </c>
      <c r="T1514" s="3" t="s">
        <v>778</v>
      </c>
      <c r="U1514" s="3">
        <v>0</v>
      </c>
      <c r="V1514" s="3">
        <v>51</v>
      </c>
      <c r="W1514" s="3">
        <v>69</v>
      </c>
    </row>
    <row r="1515" spans="1:23" ht="11.25" customHeight="1" x14ac:dyDescent="0.25">
      <c r="A1515" s="3" t="s">
        <v>21</v>
      </c>
      <c r="B1515" s="3" t="s">
        <v>44</v>
      </c>
      <c r="C1515" s="3" t="s">
        <v>33</v>
      </c>
      <c r="D1515" s="3" t="s">
        <v>45</v>
      </c>
      <c r="E1515" s="3" t="s">
        <v>25</v>
      </c>
      <c r="F1515" s="3" t="s">
        <v>25</v>
      </c>
      <c r="G1515" s="3" t="s">
        <v>25</v>
      </c>
      <c r="H1515" s="3" t="s">
        <v>34</v>
      </c>
      <c r="I1515" s="6">
        <v>44409</v>
      </c>
      <c r="J1515" s="4">
        <v>0</v>
      </c>
      <c r="K1515" s="4">
        <v>0</v>
      </c>
      <c r="L1515" s="4">
        <v>5.8000000000000003E-2</v>
      </c>
      <c r="M1515" s="4">
        <v>5.8000000000000003E-2</v>
      </c>
      <c r="N1515" s="4">
        <v>5.8000000000000003E-2</v>
      </c>
      <c r="O1515" s="4">
        <v>5.8000000000000003E-2</v>
      </c>
      <c r="P1515" s="4">
        <v>0</v>
      </c>
      <c r="Q1515" s="3" t="s">
        <v>26</v>
      </c>
      <c r="R1515" s="3">
        <v>0</v>
      </c>
      <c r="S1515" s="3" t="s">
        <v>498</v>
      </c>
      <c r="T1515" s="3" t="s">
        <v>779</v>
      </c>
      <c r="U1515" s="3">
        <v>0</v>
      </c>
      <c r="V1515" s="3">
        <v>51</v>
      </c>
      <c r="W1515" s="3">
        <v>69</v>
      </c>
    </row>
    <row r="1516" spans="1:23" ht="11.25" customHeight="1" x14ac:dyDescent="0.25">
      <c r="A1516" s="3" t="s">
        <v>21</v>
      </c>
      <c r="B1516" s="3" t="s">
        <v>44</v>
      </c>
      <c r="C1516" s="3" t="s">
        <v>33</v>
      </c>
      <c r="D1516" s="3" t="s">
        <v>45</v>
      </c>
      <c r="E1516" s="3" t="s">
        <v>25</v>
      </c>
      <c r="F1516" s="3" t="s">
        <v>25</v>
      </c>
      <c r="G1516" s="3" t="s">
        <v>25</v>
      </c>
      <c r="H1516" s="3" t="s">
        <v>34</v>
      </c>
      <c r="I1516" s="6">
        <v>44440</v>
      </c>
      <c r="J1516" s="4">
        <v>0</v>
      </c>
      <c r="K1516" s="4">
        <v>0</v>
      </c>
      <c r="L1516" s="4">
        <v>5.8000000000000003E-2</v>
      </c>
      <c r="M1516" s="4">
        <v>5.8000000000000003E-2</v>
      </c>
      <c r="N1516" s="4">
        <v>5.8000000000000003E-2</v>
      </c>
      <c r="O1516" s="4">
        <v>5.8000000000000003E-2</v>
      </c>
      <c r="P1516" s="4">
        <v>0</v>
      </c>
      <c r="Q1516" s="3" t="s">
        <v>26</v>
      </c>
      <c r="R1516" s="3">
        <v>0</v>
      </c>
      <c r="S1516" s="3" t="s">
        <v>499</v>
      </c>
      <c r="T1516" s="3" t="s">
        <v>780</v>
      </c>
      <c r="U1516" s="3">
        <v>0</v>
      </c>
      <c r="V1516" s="3">
        <v>51</v>
      </c>
      <c r="W1516" s="3">
        <v>69</v>
      </c>
    </row>
    <row r="1517" spans="1:23" ht="11.25" customHeight="1" x14ac:dyDescent="0.25">
      <c r="A1517" s="3" t="s">
        <v>21</v>
      </c>
      <c r="B1517" s="3" t="s">
        <v>44</v>
      </c>
      <c r="C1517" s="3" t="s">
        <v>33</v>
      </c>
      <c r="D1517" s="3" t="s">
        <v>45</v>
      </c>
      <c r="E1517" s="3" t="s">
        <v>25</v>
      </c>
      <c r="F1517" s="3" t="s">
        <v>25</v>
      </c>
      <c r="G1517" s="3" t="s">
        <v>25</v>
      </c>
      <c r="H1517" s="3" t="s">
        <v>34</v>
      </c>
      <c r="I1517" s="6">
        <v>44470</v>
      </c>
      <c r="J1517" s="4">
        <v>0</v>
      </c>
      <c r="K1517" s="4">
        <v>0</v>
      </c>
      <c r="L1517" s="4">
        <v>5.1999999999999998E-2</v>
      </c>
      <c r="M1517" s="4">
        <v>5.1999999999999998E-2</v>
      </c>
      <c r="N1517" s="4">
        <v>5.1999999999999998E-2</v>
      </c>
      <c r="O1517" s="4">
        <v>5.1999999999999998E-2</v>
      </c>
      <c r="P1517" s="4">
        <v>0</v>
      </c>
      <c r="Q1517" s="3" t="s">
        <v>26</v>
      </c>
      <c r="R1517" s="3">
        <v>0</v>
      </c>
      <c r="S1517" s="3" t="s">
        <v>500</v>
      </c>
      <c r="T1517" s="3" t="s">
        <v>781</v>
      </c>
      <c r="U1517" s="3">
        <v>0</v>
      </c>
      <c r="V1517" s="3">
        <v>51</v>
      </c>
      <c r="W1517" s="3">
        <v>69</v>
      </c>
    </row>
    <row r="1518" spans="1:23" ht="11.25" customHeight="1" x14ac:dyDescent="0.25">
      <c r="A1518" s="3" t="s">
        <v>21</v>
      </c>
      <c r="B1518" s="3" t="s">
        <v>44</v>
      </c>
      <c r="C1518" s="3" t="s">
        <v>33</v>
      </c>
      <c r="D1518" s="3" t="s">
        <v>45</v>
      </c>
      <c r="E1518" s="3" t="s">
        <v>25</v>
      </c>
      <c r="F1518" s="3" t="s">
        <v>25</v>
      </c>
      <c r="G1518" s="3" t="s">
        <v>25</v>
      </c>
      <c r="H1518" s="3" t="s">
        <v>34</v>
      </c>
      <c r="I1518" s="6">
        <v>44501</v>
      </c>
      <c r="J1518" s="4">
        <v>0</v>
      </c>
      <c r="K1518" s="4">
        <v>0</v>
      </c>
      <c r="L1518" s="4">
        <v>4.7E-2</v>
      </c>
      <c r="M1518" s="4">
        <v>4.7E-2</v>
      </c>
      <c r="N1518" s="4">
        <v>4.7E-2</v>
      </c>
      <c r="O1518" s="4">
        <v>4.7E-2</v>
      </c>
      <c r="P1518" s="4">
        <v>0</v>
      </c>
      <c r="Q1518" s="3" t="s">
        <v>26</v>
      </c>
      <c r="R1518" s="3">
        <v>0</v>
      </c>
      <c r="S1518" s="3" t="s">
        <v>501</v>
      </c>
      <c r="T1518" s="3" t="s">
        <v>782</v>
      </c>
      <c r="U1518" s="3">
        <v>0</v>
      </c>
      <c r="V1518" s="3">
        <v>51</v>
      </c>
      <c r="W1518" s="3">
        <v>69</v>
      </c>
    </row>
    <row r="1519" spans="1:23" ht="11.25" customHeight="1" x14ac:dyDescent="0.25">
      <c r="A1519" s="3" t="s">
        <v>21</v>
      </c>
      <c r="B1519" s="3" t="s">
        <v>44</v>
      </c>
      <c r="C1519" s="3" t="s">
        <v>33</v>
      </c>
      <c r="D1519" s="3" t="s">
        <v>45</v>
      </c>
      <c r="E1519" s="3" t="s">
        <v>25</v>
      </c>
      <c r="F1519" s="3" t="s">
        <v>25</v>
      </c>
      <c r="G1519" s="3" t="s">
        <v>25</v>
      </c>
      <c r="H1519" s="3" t="s">
        <v>34</v>
      </c>
      <c r="I1519" s="6">
        <v>44531</v>
      </c>
      <c r="J1519" s="4">
        <v>0</v>
      </c>
      <c r="K1519" s="4">
        <v>0</v>
      </c>
      <c r="L1519" s="4">
        <v>2.1999999999999999E-2</v>
      </c>
      <c r="M1519" s="4">
        <v>2.1999999999999999E-2</v>
      </c>
      <c r="N1519" s="4">
        <v>2.1999999999999999E-2</v>
      </c>
      <c r="O1519" s="4">
        <v>2.1999999999999999E-2</v>
      </c>
      <c r="P1519" s="4">
        <v>0</v>
      </c>
      <c r="Q1519" s="3" t="s">
        <v>26</v>
      </c>
      <c r="R1519" s="3">
        <v>0</v>
      </c>
      <c r="S1519" s="3" t="s">
        <v>478</v>
      </c>
      <c r="T1519" s="3" t="s">
        <v>759</v>
      </c>
      <c r="U1519" s="3">
        <v>0</v>
      </c>
      <c r="V1519" s="3">
        <v>51</v>
      </c>
      <c r="W1519" s="3">
        <v>69</v>
      </c>
    </row>
    <row r="1520" spans="1:23" ht="11.25" customHeight="1" x14ac:dyDescent="0.25">
      <c r="A1520" s="3" t="s">
        <v>21</v>
      </c>
      <c r="B1520" s="3" t="s">
        <v>44</v>
      </c>
      <c r="C1520" s="3" t="s">
        <v>33</v>
      </c>
      <c r="D1520" s="3" t="s">
        <v>45</v>
      </c>
      <c r="E1520" s="3" t="s">
        <v>25</v>
      </c>
      <c r="F1520" s="3" t="s">
        <v>25</v>
      </c>
      <c r="G1520" s="3" t="s">
        <v>25</v>
      </c>
      <c r="H1520" s="3" t="s">
        <v>34</v>
      </c>
      <c r="I1520" s="6">
        <v>44562</v>
      </c>
      <c r="J1520" s="4">
        <v>0</v>
      </c>
      <c r="K1520" s="4">
        <v>0</v>
      </c>
      <c r="L1520" s="4">
        <v>2.1999999999999999E-2</v>
      </c>
      <c r="M1520" s="4">
        <v>2.1999999999999999E-2</v>
      </c>
      <c r="N1520" s="4">
        <v>2.1999999999999999E-2</v>
      </c>
      <c r="O1520" s="4">
        <v>2.1999999999999999E-2</v>
      </c>
      <c r="P1520" s="4">
        <v>0</v>
      </c>
      <c r="Q1520" s="3" t="s">
        <v>26</v>
      </c>
      <c r="R1520" s="3">
        <v>0</v>
      </c>
      <c r="S1520" s="3" t="s">
        <v>479</v>
      </c>
      <c r="T1520" s="3" t="s">
        <v>760</v>
      </c>
      <c r="U1520" s="3">
        <v>0</v>
      </c>
      <c r="V1520" s="3">
        <v>51</v>
      </c>
      <c r="W1520" s="3">
        <v>69</v>
      </c>
    </row>
    <row r="1521" spans="1:23" ht="11.25" customHeight="1" x14ac:dyDescent="0.25">
      <c r="A1521" s="3" t="s">
        <v>21</v>
      </c>
      <c r="B1521" s="3" t="s">
        <v>44</v>
      </c>
      <c r="C1521" s="3" t="s">
        <v>33</v>
      </c>
      <c r="D1521" s="3" t="s">
        <v>45</v>
      </c>
      <c r="E1521" s="3" t="s">
        <v>25</v>
      </c>
      <c r="F1521" s="3" t="s">
        <v>25</v>
      </c>
      <c r="G1521" s="3" t="s">
        <v>25</v>
      </c>
      <c r="H1521" s="3" t="s">
        <v>34</v>
      </c>
      <c r="I1521" s="6">
        <v>44593</v>
      </c>
      <c r="J1521" s="4">
        <v>0</v>
      </c>
      <c r="K1521" s="4">
        <v>0</v>
      </c>
      <c r="L1521" s="4">
        <v>1.7999999999999999E-2</v>
      </c>
      <c r="M1521" s="4">
        <v>1.7999999999999999E-2</v>
      </c>
      <c r="N1521" s="4">
        <v>1.7999999999999999E-2</v>
      </c>
      <c r="O1521" s="4">
        <v>1.7999999999999999E-2</v>
      </c>
      <c r="P1521" s="4">
        <v>0</v>
      </c>
      <c r="Q1521" s="3" t="s">
        <v>26</v>
      </c>
      <c r="R1521" s="3">
        <v>0</v>
      </c>
      <c r="S1521" s="3" t="s">
        <v>502</v>
      </c>
      <c r="T1521" s="3" t="s">
        <v>783</v>
      </c>
      <c r="U1521" s="3">
        <v>0</v>
      </c>
      <c r="V1521" s="3">
        <v>51</v>
      </c>
      <c r="W1521" s="3">
        <v>69</v>
      </c>
    </row>
    <row r="1522" spans="1:23" ht="11.25" customHeight="1" x14ac:dyDescent="0.25">
      <c r="A1522" s="3" t="s">
        <v>56</v>
      </c>
      <c r="B1522" s="3" t="s">
        <v>44</v>
      </c>
      <c r="C1522" s="3" t="s">
        <v>33</v>
      </c>
      <c r="D1522" s="3" t="s">
        <v>45</v>
      </c>
      <c r="E1522" s="3" t="s">
        <v>25</v>
      </c>
      <c r="F1522" s="3" t="s">
        <v>25</v>
      </c>
      <c r="G1522" s="3" t="s">
        <v>25</v>
      </c>
      <c r="H1522" s="3" t="s">
        <v>34</v>
      </c>
      <c r="I1522" s="6">
        <v>44621</v>
      </c>
      <c r="J1522" s="4">
        <v>0</v>
      </c>
      <c r="K1522" s="4">
        <v>0</v>
      </c>
      <c r="L1522" s="4">
        <v>1.7999999999999999E-2</v>
      </c>
      <c r="M1522" s="4">
        <v>1.7999999999999999E-2</v>
      </c>
      <c r="N1522" s="4">
        <v>1.7999999999999999E-2</v>
      </c>
      <c r="O1522" s="4">
        <v>1.7999999999999999E-2</v>
      </c>
      <c r="P1522" s="4">
        <v>0</v>
      </c>
      <c r="Q1522" s="3" t="s">
        <v>26</v>
      </c>
      <c r="R1522" s="3">
        <v>0</v>
      </c>
      <c r="S1522" s="3" t="s">
        <v>503</v>
      </c>
      <c r="T1522" s="3" t="s">
        <v>784</v>
      </c>
      <c r="U1522" s="3">
        <v>0</v>
      </c>
      <c r="V1522" s="3">
        <v>51</v>
      </c>
      <c r="W1522" s="3">
        <v>69</v>
      </c>
    </row>
    <row r="1523" spans="1:23" ht="11.25" customHeight="1" x14ac:dyDescent="0.25">
      <c r="A1523" s="3" t="s">
        <v>21</v>
      </c>
      <c r="B1523" s="3" t="s">
        <v>44</v>
      </c>
      <c r="C1523" s="3" t="s">
        <v>23</v>
      </c>
      <c r="D1523" s="3" t="s">
        <v>45</v>
      </c>
      <c r="E1523" s="3" t="s">
        <v>53</v>
      </c>
      <c r="F1523" s="3" t="s">
        <v>54</v>
      </c>
      <c r="G1523" s="3" t="s">
        <v>25</v>
      </c>
      <c r="H1523" s="3" t="s">
        <v>25</v>
      </c>
      <c r="I1523" s="6">
        <v>44287</v>
      </c>
      <c r="J1523" s="4">
        <v>0</v>
      </c>
      <c r="K1523" s="4">
        <v>0</v>
      </c>
      <c r="L1523" s="4">
        <v>345.04199999999997</v>
      </c>
      <c r="M1523" s="4">
        <v>345.04199999999997</v>
      </c>
      <c r="N1523" s="4">
        <v>345.04199999999997</v>
      </c>
      <c r="O1523" s="4">
        <v>345.04199999999997</v>
      </c>
      <c r="P1523" s="4">
        <v>0</v>
      </c>
      <c r="Q1523" s="3" t="s">
        <v>26</v>
      </c>
      <c r="R1523" s="3">
        <v>0</v>
      </c>
      <c r="S1523" s="3" t="s">
        <v>504</v>
      </c>
      <c r="T1523" s="3" t="s">
        <v>785</v>
      </c>
      <c r="U1523" s="3">
        <v>0</v>
      </c>
      <c r="V1523" s="3">
        <v>34</v>
      </c>
      <c r="W1523" s="3">
        <v>53</v>
      </c>
    </row>
    <row r="1524" spans="1:23" ht="11.25" customHeight="1" x14ac:dyDescent="0.25">
      <c r="A1524" s="3" t="s">
        <v>27</v>
      </c>
      <c r="B1524" s="3" t="s">
        <v>44</v>
      </c>
      <c r="C1524" s="3" t="s">
        <v>23</v>
      </c>
      <c r="D1524" s="3" t="s">
        <v>45</v>
      </c>
      <c r="E1524" s="3" t="s">
        <v>53</v>
      </c>
      <c r="F1524" s="3" t="s">
        <v>54</v>
      </c>
      <c r="G1524" s="3" t="s">
        <v>25</v>
      </c>
      <c r="H1524" s="3" t="s">
        <v>25</v>
      </c>
      <c r="I1524" s="6">
        <v>44287</v>
      </c>
      <c r="J1524" s="4">
        <v>0</v>
      </c>
      <c r="K1524" s="4">
        <v>0</v>
      </c>
      <c r="L1524" s="4">
        <v>-6.665</v>
      </c>
      <c r="M1524" s="4">
        <v>-6.665</v>
      </c>
      <c r="N1524" s="4">
        <v>-6.665</v>
      </c>
      <c r="O1524" s="4">
        <v>-6.665</v>
      </c>
      <c r="P1524" s="4">
        <v>0</v>
      </c>
      <c r="Q1524" s="3" t="s">
        <v>26</v>
      </c>
      <c r="R1524" s="3">
        <v>0</v>
      </c>
      <c r="S1524" s="3" t="s">
        <v>504</v>
      </c>
      <c r="T1524" s="3" t="s">
        <v>785</v>
      </c>
      <c r="U1524" s="3">
        <v>0</v>
      </c>
      <c r="V1524" s="3">
        <v>34</v>
      </c>
      <c r="W1524" s="3">
        <v>53</v>
      </c>
    </row>
    <row r="1525" spans="1:23" ht="11.25" customHeight="1" x14ac:dyDescent="0.25">
      <c r="A1525" s="3" t="s">
        <v>28</v>
      </c>
      <c r="B1525" s="3" t="s">
        <v>44</v>
      </c>
      <c r="C1525" s="3" t="s">
        <v>23</v>
      </c>
      <c r="D1525" s="3" t="s">
        <v>45</v>
      </c>
      <c r="E1525" s="3" t="s">
        <v>53</v>
      </c>
      <c r="F1525" s="3" t="s">
        <v>54</v>
      </c>
      <c r="G1525" s="3" t="s">
        <v>25</v>
      </c>
      <c r="H1525" s="3" t="s">
        <v>25</v>
      </c>
      <c r="I1525" s="6">
        <v>44287</v>
      </c>
      <c r="J1525" s="4">
        <v>0</v>
      </c>
      <c r="K1525" s="4">
        <v>0</v>
      </c>
      <c r="L1525" s="4">
        <v>1.4039999999999999</v>
      </c>
      <c r="M1525" s="4">
        <v>1.4039999999999999</v>
      </c>
      <c r="N1525" s="4">
        <v>1.4039999999999999</v>
      </c>
      <c r="O1525" s="4">
        <v>1.4039999999999999</v>
      </c>
      <c r="P1525" s="4">
        <v>0</v>
      </c>
      <c r="Q1525" s="3" t="s">
        <v>26</v>
      </c>
      <c r="R1525" s="3">
        <v>0</v>
      </c>
      <c r="S1525" s="3" t="s">
        <v>504</v>
      </c>
      <c r="T1525" s="3" t="s">
        <v>785</v>
      </c>
      <c r="U1525" s="3">
        <v>0</v>
      </c>
      <c r="V1525" s="3">
        <v>34</v>
      </c>
      <c r="W1525" s="3">
        <v>53</v>
      </c>
    </row>
    <row r="1526" spans="1:23" ht="11.25" customHeight="1" x14ac:dyDescent="0.25">
      <c r="A1526" s="3" t="s">
        <v>21</v>
      </c>
      <c r="B1526" s="3" t="s">
        <v>44</v>
      </c>
      <c r="C1526" s="3" t="s">
        <v>23</v>
      </c>
      <c r="D1526" s="3" t="s">
        <v>45</v>
      </c>
      <c r="E1526" s="3" t="s">
        <v>53</v>
      </c>
      <c r="F1526" s="3" t="s">
        <v>54</v>
      </c>
      <c r="G1526" s="3" t="s">
        <v>25</v>
      </c>
      <c r="H1526" s="3" t="s">
        <v>25</v>
      </c>
      <c r="I1526" s="6">
        <v>44317</v>
      </c>
      <c r="J1526" s="4">
        <v>0</v>
      </c>
      <c r="K1526" s="4">
        <v>0</v>
      </c>
      <c r="L1526" s="4">
        <v>128.46299999999999</v>
      </c>
      <c r="M1526" s="4">
        <v>128.46299999999999</v>
      </c>
      <c r="N1526" s="4">
        <v>128.46299999999999</v>
      </c>
      <c r="O1526" s="4">
        <v>128.46299999999999</v>
      </c>
      <c r="P1526" s="4">
        <v>0</v>
      </c>
      <c r="Q1526" s="3" t="s">
        <v>26</v>
      </c>
      <c r="R1526" s="3">
        <v>0</v>
      </c>
      <c r="S1526" s="3" t="s">
        <v>505</v>
      </c>
      <c r="T1526" s="3" t="s">
        <v>786</v>
      </c>
      <c r="U1526" s="3">
        <v>0</v>
      </c>
      <c r="V1526" s="3">
        <v>34</v>
      </c>
      <c r="W1526" s="3">
        <v>53</v>
      </c>
    </row>
    <row r="1527" spans="1:23" ht="11.25" customHeight="1" x14ac:dyDescent="0.25">
      <c r="A1527" s="3" t="s">
        <v>27</v>
      </c>
      <c r="B1527" s="3" t="s">
        <v>44</v>
      </c>
      <c r="C1527" s="3" t="s">
        <v>23</v>
      </c>
      <c r="D1527" s="3" t="s">
        <v>45</v>
      </c>
      <c r="E1527" s="3" t="s">
        <v>53</v>
      </c>
      <c r="F1527" s="3" t="s">
        <v>54</v>
      </c>
      <c r="G1527" s="3" t="s">
        <v>25</v>
      </c>
      <c r="H1527" s="3" t="s">
        <v>25</v>
      </c>
      <c r="I1527" s="6">
        <v>44317</v>
      </c>
      <c r="J1527" s="4">
        <v>0</v>
      </c>
      <c r="K1527" s="4">
        <v>0</v>
      </c>
      <c r="L1527" s="4">
        <v>-235.178</v>
      </c>
      <c r="M1527" s="4">
        <v>-235.178</v>
      </c>
      <c r="N1527" s="4">
        <v>-235.178</v>
      </c>
      <c r="O1527" s="4">
        <v>-235.178</v>
      </c>
      <c r="P1527" s="4">
        <v>0</v>
      </c>
      <c r="Q1527" s="3" t="s">
        <v>26</v>
      </c>
      <c r="R1527" s="3">
        <v>0</v>
      </c>
      <c r="S1527" s="3" t="s">
        <v>505</v>
      </c>
      <c r="T1527" s="3" t="s">
        <v>786</v>
      </c>
      <c r="U1527" s="3">
        <v>0</v>
      </c>
      <c r="V1527" s="3">
        <v>34</v>
      </c>
      <c r="W1527" s="3">
        <v>53</v>
      </c>
    </row>
    <row r="1528" spans="1:23" ht="11.25" customHeight="1" x14ac:dyDescent="0.25">
      <c r="A1528" s="3" t="s">
        <v>28</v>
      </c>
      <c r="B1528" s="3" t="s">
        <v>44</v>
      </c>
      <c r="C1528" s="3" t="s">
        <v>23</v>
      </c>
      <c r="D1528" s="3" t="s">
        <v>45</v>
      </c>
      <c r="E1528" s="3" t="s">
        <v>53</v>
      </c>
      <c r="F1528" s="3" t="s">
        <v>54</v>
      </c>
      <c r="G1528" s="3" t="s">
        <v>25</v>
      </c>
      <c r="H1528" s="3" t="s">
        <v>25</v>
      </c>
      <c r="I1528" s="6">
        <v>44317</v>
      </c>
      <c r="J1528" s="4">
        <v>0</v>
      </c>
      <c r="K1528" s="4">
        <v>0</v>
      </c>
      <c r="L1528" s="4">
        <v>0.92800000000000005</v>
      </c>
      <c r="M1528" s="4">
        <v>0.92800000000000005</v>
      </c>
      <c r="N1528" s="4">
        <v>0.92800000000000005</v>
      </c>
      <c r="O1528" s="4">
        <v>0.92800000000000005</v>
      </c>
      <c r="P1528" s="4">
        <v>0</v>
      </c>
      <c r="Q1528" s="3" t="s">
        <v>26</v>
      </c>
      <c r="R1528" s="3">
        <v>0</v>
      </c>
      <c r="S1528" s="3" t="s">
        <v>505</v>
      </c>
      <c r="T1528" s="3" t="s">
        <v>786</v>
      </c>
      <c r="U1528" s="3">
        <v>0</v>
      </c>
      <c r="V1528" s="3">
        <v>34</v>
      </c>
      <c r="W1528" s="3">
        <v>53</v>
      </c>
    </row>
    <row r="1529" spans="1:23" ht="11.25" customHeight="1" x14ac:dyDescent="0.25">
      <c r="A1529" s="3" t="s">
        <v>21</v>
      </c>
      <c r="B1529" s="3" t="s">
        <v>44</v>
      </c>
      <c r="C1529" s="3" t="s">
        <v>23</v>
      </c>
      <c r="D1529" s="3" t="s">
        <v>45</v>
      </c>
      <c r="E1529" s="3" t="s">
        <v>53</v>
      </c>
      <c r="F1529" s="3" t="s">
        <v>54</v>
      </c>
      <c r="G1529" s="3" t="s">
        <v>25</v>
      </c>
      <c r="H1529" s="3" t="s">
        <v>25</v>
      </c>
      <c r="I1529" s="6">
        <v>44348</v>
      </c>
      <c r="J1529" s="4">
        <v>0</v>
      </c>
      <c r="K1529" s="4">
        <v>0</v>
      </c>
      <c r="L1529" s="4">
        <v>127.322</v>
      </c>
      <c r="M1529" s="4">
        <v>127.322</v>
      </c>
      <c r="N1529" s="4">
        <v>127.322</v>
      </c>
      <c r="O1529" s="4">
        <v>127.322</v>
      </c>
      <c r="P1529" s="4">
        <v>0</v>
      </c>
      <c r="Q1529" s="3" t="s">
        <v>26</v>
      </c>
      <c r="R1529" s="3">
        <v>0</v>
      </c>
      <c r="S1529" s="3" t="s">
        <v>506</v>
      </c>
      <c r="T1529" s="3" t="s">
        <v>787</v>
      </c>
      <c r="U1529" s="3">
        <v>0</v>
      </c>
      <c r="V1529" s="3">
        <v>34</v>
      </c>
      <c r="W1529" s="3">
        <v>53</v>
      </c>
    </row>
    <row r="1530" spans="1:23" ht="11.25" customHeight="1" x14ac:dyDescent="0.25">
      <c r="A1530" s="3" t="s">
        <v>27</v>
      </c>
      <c r="B1530" s="3" t="s">
        <v>44</v>
      </c>
      <c r="C1530" s="3" t="s">
        <v>23</v>
      </c>
      <c r="D1530" s="3" t="s">
        <v>45</v>
      </c>
      <c r="E1530" s="3" t="s">
        <v>53</v>
      </c>
      <c r="F1530" s="3" t="s">
        <v>54</v>
      </c>
      <c r="G1530" s="3" t="s">
        <v>25</v>
      </c>
      <c r="H1530" s="3" t="s">
        <v>25</v>
      </c>
      <c r="I1530" s="6">
        <v>44348</v>
      </c>
      <c r="J1530" s="4">
        <v>0</v>
      </c>
      <c r="K1530" s="4">
        <v>0</v>
      </c>
      <c r="L1530" s="4">
        <v>0.63300000000000001</v>
      </c>
      <c r="M1530" s="4">
        <v>0.63300000000000001</v>
      </c>
      <c r="N1530" s="4">
        <v>0.63300000000000001</v>
      </c>
      <c r="O1530" s="4">
        <v>0.63300000000000001</v>
      </c>
      <c r="P1530" s="4">
        <v>0</v>
      </c>
      <c r="Q1530" s="3" t="s">
        <v>26</v>
      </c>
      <c r="R1530" s="3">
        <v>0</v>
      </c>
      <c r="S1530" s="3" t="s">
        <v>506</v>
      </c>
      <c r="T1530" s="3" t="s">
        <v>787</v>
      </c>
      <c r="U1530" s="3">
        <v>0</v>
      </c>
      <c r="V1530" s="3">
        <v>34</v>
      </c>
      <c r="W1530" s="3">
        <v>53</v>
      </c>
    </row>
    <row r="1531" spans="1:23" ht="11.25" customHeight="1" x14ac:dyDescent="0.25">
      <c r="A1531" s="3" t="s">
        <v>28</v>
      </c>
      <c r="B1531" s="3" t="s">
        <v>44</v>
      </c>
      <c r="C1531" s="3" t="s">
        <v>23</v>
      </c>
      <c r="D1531" s="3" t="s">
        <v>45</v>
      </c>
      <c r="E1531" s="3" t="s">
        <v>53</v>
      </c>
      <c r="F1531" s="3" t="s">
        <v>54</v>
      </c>
      <c r="G1531" s="3" t="s">
        <v>25</v>
      </c>
      <c r="H1531" s="3" t="s">
        <v>25</v>
      </c>
      <c r="I1531" s="6">
        <v>44348</v>
      </c>
      <c r="J1531" s="4">
        <v>0</v>
      </c>
      <c r="K1531" s="4">
        <v>0</v>
      </c>
      <c r="L1531" s="4">
        <v>0.49199999999999999</v>
      </c>
      <c r="M1531" s="4">
        <v>0.49199999999999999</v>
      </c>
      <c r="N1531" s="4">
        <v>0.49199999999999999</v>
      </c>
      <c r="O1531" s="4">
        <v>0.49199999999999999</v>
      </c>
      <c r="P1531" s="4">
        <v>0</v>
      </c>
      <c r="Q1531" s="3" t="s">
        <v>26</v>
      </c>
      <c r="R1531" s="3">
        <v>0</v>
      </c>
      <c r="S1531" s="3" t="s">
        <v>506</v>
      </c>
      <c r="T1531" s="3" t="s">
        <v>787</v>
      </c>
      <c r="U1531" s="3">
        <v>0</v>
      </c>
      <c r="V1531" s="3">
        <v>34</v>
      </c>
      <c r="W1531" s="3">
        <v>53</v>
      </c>
    </row>
    <row r="1532" spans="1:23" ht="11.25" customHeight="1" x14ac:dyDescent="0.25">
      <c r="A1532" s="3" t="s">
        <v>21</v>
      </c>
      <c r="B1532" s="3" t="s">
        <v>44</v>
      </c>
      <c r="C1532" s="3" t="s">
        <v>23</v>
      </c>
      <c r="D1532" s="3" t="s">
        <v>45</v>
      </c>
      <c r="E1532" s="3" t="s">
        <v>53</v>
      </c>
      <c r="F1532" s="3" t="s">
        <v>54</v>
      </c>
      <c r="G1532" s="3" t="s">
        <v>25</v>
      </c>
      <c r="H1532" s="3" t="s">
        <v>25</v>
      </c>
      <c r="I1532" s="6">
        <v>44378</v>
      </c>
      <c r="J1532" s="4">
        <v>0</v>
      </c>
      <c r="K1532" s="4">
        <v>0</v>
      </c>
      <c r="L1532" s="4">
        <v>108.435</v>
      </c>
      <c r="M1532" s="4">
        <v>108.435</v>
      </c>
      <c r="N1532" s="4">
        <v>108.435</v>
      </c>
      <c r="O1532" s="4">
        <v>108.435</v>
      </c>
      <c r="P1532" s="4">
        <v>0</v>
      </c>
      <c r="Q1532" s="3" t="s">
        <v>26</v>
      </c>
      <c r="R1532" s="3">
        <v>0</v>
      </c>
      <c r="S1532" s="3" t="s">
        <v>507</v>
      </c>
      <c r="T1532" s="3" t="s">
        <v>788</v>
      </c>
      <c r="U1532" s="3">
        <v>0</v>
      </c>
      <c r="V1532" s="3">
        <v>34</v>
      </c>
      <c r="W1532" s="3">
        <v>53</v>
      </c>
    </row>
    <row r="1533" spans="1:23" ht="11.25" customHeight="1" x14ac:dyDescent="0.25">
      <c r="A1533" s="3" t="s">
        <v>27</v>
      </c>
      <c r="B1533" s="3" t="s">
        <v>44</v>
      </c>
      <c r="C1533" s="3" t="s">
        <v>23</v>
      </c>
      <c r="D1533" s="3" t="s">
        <v>45</v>
      </c>
      <c r="E1533" s="3" t="s">
        <v>53</v>
      </c>
      <c r="F1533" s="3" t="s">
        <v>54</v>
      </c>
      <c r="G1533" s="3" t="s">
        <v>25</v>
      </c>
      <c r="H1533" s="3" t="s">
        <v>25</v>
      </c>
      <c r="I1533" s="6">
        <v>44378</v>
      </c>
      <c r="J1533" s="4">
        <v>0</v>
      </c>
      <c r="K1533" s="4">
        <v>0</v>
      </c>
      <c r="L1533" s="4">
        <v>-1.014</v>
      </c>
      <c r="M1533" s="4">
        <v>-1.014</v>
      </c>
      <c r="N1533" s="4">
        <v>-1.014</v>
      </c>
      <c r="O1533" s="4">
        <v>-1.014</v>
      </c>
      <c r="P1533" s="4">
        <v>0</v>
      </c>
      <c r="Q1533" s="3" t="s">
        <v>26</v>
      </c>
      <c r="R1533" s="3">
        <v>0</v>
      </c>
      <c r="S1533" s="3" t="s">
        <v>507</v>
      </c>
      <c r="T1533" s="3" t="s">
        <v>788</v>
      </c>
      <c r="U1533" s="3">
        <v>0</v>
      </c>
      <c r="V1533" s="3">
        <v>34</v>
      </c>
      <c r="W1533" s="3">
        <v>53</v>
      </c>
    </row>
    <row r="1534" spans="1:23" ht="11.25" customHeight="1" x14ac:dyDescent="0.25">
      <c r="A1534" s="3" t="s">
        <v>28</v>
      </c>
      <c r="B1534" s="3" t="s">
        <v>44</v>
      </c>
      <c r="C1534" s="3" t="s">
        <v>23</v>
      </c>
      <c r="D1534" s="3" t="s">
        <v>45</v>
      </c>
      <c r="E1534" s="3" t="s">
        <v>53</v>
      </c>
      <c r="F1534" s="3" t="s">
        <v>54</v>
      </c>
      <c r="G1534" s="3" t="s">
        <v>25</v>
      </c>
      <c r="H1534" s="3" t="s">
        <v>25</v>
      </c>
      <c r="I1534" s="6">
        <v>44378</v>
      </c>
      <c r="J1534" s="4">
        <v>0</v>
      </c>
      <c r="K1534" s="4">
        <v>0</v>
      </c>
      <c r="L1534" s="4">
        <v>0.625</v>
      </c>
      <c r="M1534" s="4">
        <v>0.625</v>
      </c>
      <c r="N1534" s="4">
        <v>0.625</v>
      </c>
      <c r="O1534" s="4">
        <v>0.625</v>
      </c>
      <c r="P1534" s="4">
        <v>0</v>
      </c>
      <c r="Q1534" s="3" t="s">
        <v>26</v>
      </c>
      <c r="R1534" s="3">
        <v>0</v>
      </c>
      <c r="S1534" s="3" t="s">
        <v>507</v>
      </c>
      <c r="T1534" s="3" t="s">
        <v>788</v>
      </c>
      <c r="U1534" s="3">
        <v>0</v>
      </c>
      <c r="V1534" s="3">
        <v>34</v>
      </c>
      <c r="W1534" s="3">
        <v>53</v>
      </c>
    </row>
    <row r="1535" spans="1:23" ht="11.25" customHeight="1" x14ac:dyDescent="0.25">
      <c r="A1535" s="3" t="s">
        <v>21</v>
      </c>
      <c r="B1535" s="3" t="s">
        <v>44</v>
      </c>
      <c r="C1535" s="3" t="s">
        <v>23</v>
      </c>
      <c r="D1535" s="3" t="s">
        <v>45</v>
      </c>
      <c r="E1535" s="3" t="s">
        <v>53</v>
      </c>
      <c r="F1535" s="3" t="s">
        <v>54</v>
      </c>
      <c r="G1535" s="3" t="s">
        <v>25</v>
      </c>
      <c r="H1535" s="3" t="s">
        <v>25</v>
      </c>
      <c r="I1535" s="6">
        <v>44409</v>
      </c>
      <c r="J1535" s="4">
        <v>0</v>
      </c>
      <c r="K1535" s="4">
        <v>0</v>
      </c>
      <c r="L1535" s="4">
        <v>109.678</v>
      </c>
      <c r="M1535" s="4">
        <v>109.678</v>
      </c>
      <c r="N1535" s="4">
        <v>109.678</v>
      </c>
      <c r="O1535" s="4">
        <v>109.678</v>
      </c>
      <c r="P1535" s="4">
        <v>0</v>
      </c>
      <c r="Q1535" s="3" t="s">
        <v>26</v>
      </c>
      <c r="R1535" s="3">
        <v>0</v>
      </c>
      <c r="S1535" s="3" t="s">
        <v>508</v>
      </c>
      <c r="T1535" s="3" t="s">
        <v>789</v>
      </c>
      <c r="U1535" s="3">
        <v>0</v>
      </c>
      <c r="V1535" s="3">
        <v>34</v>
      </c>
      <c r="W1535" s="3">
        <v>53</v>
      </c>
    </row>
    <row r="1536" spans="1:23" ht="11.25" customHeight="1" x14ac:dyDescent="0.25">
      <c r="A1536" s="3" t="s">
        <v>27</v>
      </c>
      <c r="B1536" s="3" t="s">
        <v>44</v>
      </c>
      <c r="C1536" s="3" t="s">
        <v>23</v>
      </c>
      <c r="D1536" s="3" t="s">
        <v>45</v>
      </c>
      <c r="E1536" s="3" t="s">
        <v>53</v>
      </c>
      <c r="F1536" s="3" t="s">
        <v>54</v>
      </c>
      <c r="G1536" s="3" t="s">
        <v>25</v>
      </c>
      <c r="H1536" s="3" t="s">
        <v>25</v>
      </c>
      <c r="I1536" s="6">
        <v>44409</v>
      </c>
      <c r="J1536" s="4">
        <v>0</v>
      </c>
      <c r="K1536" s="4">
        <v>0</v>
      </c>
      <c r="L1536" s="4">
        <v>-5.5410000000000004</v>
      </c>
      <c r="M1536" s="4">
        <v>-5.5410000000000004</v>
      </c>
      <c r="N1536" s="4">
        <v>-5.5410000000000004</v>
      </c>
      <c r="O1536" s="4">
        <v>-5.5410000000000004</v>
      </c>
      <c r="P1536" s="4">
        <v>0</v>
      </c>
      <c r="Q1536" s="3" t="s">
        <v>26</v>
      </c>
      <c r="R1536" s="3">
        <v>0</v>
      </c>
      <c r="S1536" s="3" t="s">
        <v>508</v>
      </c>
      <c r="T1536" s="3" t="s">
        <v>789</v>
      </c>
      <c r="U1536" s="3">
        <v>0</v>
      </c>
      <c r="V1536" s="3">
        <v>34</v>
      </c>
      <c r="W1536" s="3">
        <v>53</v>
      </c>
    </row>
    <row r="1537" spans="1:23" ht="11.25" customHeight="1" x14ac:dyDescent="0.25">
      <c r="A1537" s="3" t="s">
        <v>28</v>
      </c>
      <c r="B1537" s="3" t="s">
        <v>44</v>
      </c>
      <c r="C1537" s="3" t="s">
        <v>23</v>
      </c>
      <c r="D1537" s="3" t="s">
        <v>45</v>
      </c>
      <c r="E1537" s="3" t="s">
        <v>53</v>
      </c>
      <c r="F1537" s="3" t="s">
        <v>54</v>
      </c>
      <c r="G1537" s="3" t="s">
        <v>25</v>
      </c>
      <c r="H1537" s="3" t="s">
        <v>25</v>
      </c>
      <c r="I1537" s="6">
        <v>44409</v>
      </c>
      <c r="J1537" s="4">
        <v>0</v>
      </c>
      <c r="K1537" s="4">
        <v>0</v>
      </c>
      <c r="L1537" s="4">
        <v>0.66200000000000003</v>
      </c>
      <c r="M1537" s="4">
        <v>0.66200000000000003</v>
      </c>
      <c r="N1537" s="4">
        <v>0.66200000000000003</v>
      </c>
      <c r="O1537" s="4">
        <v>0.66200000000000003</v>
      </c>
      <c r="P1537" s="4">
        <v>0</v>
      </c>
      <c r="Q1537" s="3" t="s">
        <v>26</v>
      </c>
      <c r="R1537" s="3">
        <v>0</v>
      </c>
      <c r="S1537" s="3" t="s">
        <v>508</v>
      </c>
      <c r="T1537" s="3" t="s">
        <v>789</v>
      </c>
      <c r="U1537" s="3">
        <v>0</v>
      </c>
      <c r="V1537" s="3">
        <v>34</v>
      </c>
      <c r="W1537" s="3">
        <v>53</v>
      </c>
    </row>
    <row r="1538" spans="1:23" ht="11.25" customHeight="1" x14ac:dyDescent="0.25">
      <c r="A1538" s="3" t="s">
        <v>21</v>
      </c>
      <c r="B1538" s="3" t="s">
        <v>44</v>
      </c>
      <c r="C1538" s="3" t="s">
        <v>23</v>
      </c>
      <c r="D1538" s="3" t="s">
        <v>45</v>
      </c>
      <c r="E1538" s="3" t="s">
        <v>53</v>
      </c>
      <c r="F1538" s="3" t="s">
        <v>54</v>
      </c>
      <c r="G1538" s="3" t="s">
        <v>25</v>
      </c>
      <c r="H1538" s="3" t="s">
        <v>25</v>
      </c>
      <c r="I1538" s="6">
        <v>44440</v>
      </c>
      <c r="J1538" s="4">
        <v>0</v>
      </c>
      <c r="K1538" s="4">
        <v>0</v>
      </c>
      <c r="L1538" s="4">
        <v>194.71899999999999</v>
      </c>
      <c r="M1538" s="4">
        <v>194.71899999999999</v>
      </c>
      <c r="N1538" s="4">
        <v>194.71899999999999</v>
      </c>
      <c r="O1538" s="4">
        <v>194.71899999999999</v>
      </c>
      <c r="P1538" s="4">
        <v>0</v>
      </c>
      <c r="Q1538" s="3" t="s">
        <v>26</v>
      </c>
      <c r="R1538" s="3">
        <v>0</v>
      </c>
      <c r="S1538" s="3" t="s">
        <v>509</v>
      </c>
      <c r="T1538" s="3" t="s">
        <v>790</v>
      </c>
      <c r="U1538" s="3">
        <v>0</v>
      </c>
      <c r="V1538" s="3">
        <v>34</v>
      </c>
      <c r="W1538" s="3">
        <v>53</v>
      </c>
    </row>
    <row r="1539" spans="1:23" ht="11.25" customHeight="1" x14ac:dyDescent="0.25">
      <c r="A1539" s="3" t="s">
        <v>27</v>
      </c>
      <c r="B1539" s="3" t="s">
        <v>44</v>
      </c>
      <c r="C1539" s="3" t="s">
        <v>23</v>
      </c>
      <c r="D1539" s="3" t="s">
        <v>45</v>
      </c>
      <c r="E1539" s="3" t="s">
        <v>53</v>
      </c>
      <c r="F1539" s="3" t="s">
        <v>54</v>
      </c>
      <c r="G1539" s="3" t="s">
        <v>25</v>
      </c>
      <c r="H1539" s="3" t="s">
        <v>25</v>
      </c>
      <c r="I1539" s="6">
        <v>44440</v>
      </c>
      <c r="J1539" s="4">
        <v>0</v>
      </c>
      <c r="K1539" s="4">
        <v>0</v>
      </c>
      <c r="L1539" s="4">
        <v>-16.681000000000001</v>
      </c>
      <c r="M1539" s="4">
        <v>-16.681000000000001</v>
      </c>
      <c r="N1539" s="4">
        <v>-16.681000000000001</v>
      </c>
      <c r="O1539" s="4">
        <v>-16.681000000000001</v>
      </c>
      <c r="P1539" s="4">
        <v>0</v>
      </c>
      <c r="Q1539" s="3" t="s">
        <v>26</v>
      </c>
      <c r="R1539" s="3">
        <v>0</v>
      </c>
      <c r="S1539" s="3" t="s">
        <v>509</v>
      </c>
      <c r="T1539" s="3" t="s">
        <v>790</v>
      </c>
      <c r="U1539" s="3">
        <v>0</v>
      </c>
      <c r="V1539" s="3">
        <v>34</v>
      </c>
      <c r="W1539" s="3">
        <v>53</v>
      </c>
    </row>
    <row r="1540" spans="1:23" ht="11.25" customHeight="1" x14ac:dyDescent="0.25">
      <c r="A1540" s="3" t="s">
        <v>28</v>
      </c>
      <c r="B1540" s="3" t="s">
        <v>44</v>
      </c>
      <c r="C1540" s="3" t="s">
        <v>23</v>
      </c>
      <c r="D1540" s="3" t="s">
        <v>45</v>
      </c>
      <c r="E1540" s="3" t="s">
        <v>53</v>
      </c>
      <c r="F1540" s="3" t="s">
        <v>54</v>
      </c>
      <c r="G1540" s="3" t="s">
        <v>25</v>
      </c>
      <c r="H1540" s="3" t="s">
        <v>25</v>
      </c>
      <c r="I1540" s="6">
        <v>44440</v>
      </c>
      <c r="J1540" s="4">
        <v>0</v>
      </c>
      <c r="K1540" s="4">
        <v>0</v>
      </c>
      <c r="L1540" s="4">
        <v>1.1639999999999999</v>
      </c>
      <c r="M1540" s="4">
        <v>1.1639999999999999</v>
      </c>
      <c r="N1540" s="4">
        <v>1.1639999999999999</v>
      </c>
      <c r="O1540" s="4">
        <v>1.1639999999999999</v>
      </c>
      <c r="P1540" s="4">
        <v>0</v>
      </c>
      <c r="Q1540" s="3" t="s">
        <v>26</v>
      </c>
      <c r="R1540" s="3">
        <v>0</v>
      </c>
      <c r="S1540" s="3" t="s">
        <v>509</v>
      </c>
      <c r="T1540" s="3" t="s">
        <v>790</v>
      </c>
      <c r="U1540" s="3">
        <v>0</v>
      </c>
      <c r="V1540" s="3">
        <v>34</v>
      </c>
      <c r="W1540" s="3">
        <v>53</v>
      </c>
    </row>
    <row r="1541" spans="1:23" ht="11.25" customHeight="1" x14ac:dyDescent="0.25">
      <c r="A1541" s="3" t="s">
        <v>21</v>
      </c>
      <c r="B1541" s="3" t="s">
        <v>44</v>
      </c>
      <c r="C1541" s="3" t="s">
        <v>23</v>
      </c>
      <c r="D1541" s="3" t="s">
        <v>45</v>
      </c>
      <c r="E1541" s="3" t="s">
        <v>53</v>
      </c>
      <c r="F1541" s="3" t="s">
        <v>54</v>
      </c>
      <c r="G1541" s="3" t="s">
        <v>25</v>
      </c>
      <c r="H1541" s="3" t="s">
        <v>25</v>
      </c>
      <c r="I1541" s="6">
        <v>44470</v>
      </c>
      <c r="J1541" s="4">
        <v>0</v>
      </c>
      <c r="K1541" s="4">
        <v>0</v>
      </c>
      <c r="L1541" s="4">
        <v>328.14800000000002</v>
      </c>
      <c r="M1541" s="4">
        <v>328.14800000000002</v>
      </c>
      <c r="N1541" s="4">
        <v>328.14800000000002</v>
      </c>
      <c r="O1541" s="4">
        <v>328.14800000000002</v>
      </c>
      <c r="P1541" s="4">
        <v>0</v>
      </c>
      <c r="Q1541" s="3" t="s">
        <v>26</v>
      </c>
      <c r="R1541" s="3">
        <v>0</v>
      </c>
      <c r="S1541" s="3" t="s">
        <v>510</v>
      </c>
      <c r="T1541" s="3" t="s">
        <v>791</v>
      </c>
      <c r="U1541" s="3">
        <v>0</v>
      </c>
      <c r="V1541" s="3">
        <v>34</v>
      </c>
      <c r="W1541" s="3">
        <v>53</v>
      </c>
    </row>
    <row r="1542" spans="1:23" ht="11.25" customHeight="1" x14ac:dyDescent="0.25">
      <c r="A1542" s="3" t="s">
        <v>27</v>
      </c>
      <c r="B1542" s="3" t="s">
        <v>44</v>
      </c>
      <c r="C1542" s="3" t="s">
        <v>23</v>
      </c>
      <c r="D1542" s="3" t="s">
        <v>45</v>
      </c>
      <c r="E1542" s="3" t="s">
        <v>53</v>
      </c>
      <c r="F1542" s="3" t="s">
        <v>54</v>
      </c>
      <c r="G1542" s="3" t="s">
        <v>25</v>
      </c>
      <c r="H1542" s="3" t="s">
        <v>25</v>
      </c>
      <c r="I1542" s="6">
        <v>44470</v>
      </c>
      <c r="J1542" s="4">
        <v>0</v>
      </c>
      <c r="K1542" s="4">
        <v>0</v>
      </c>
      <c r="L1542" s="4">
        <v>-1.736</v>
      </c>
      <c r="M1542" s="4">
        <v>-1.736</v>
      </c>
      <c r="N1542" s="4">
        <v>-1.736</v>
      </c>
      <c r="O1542" s="4">
        <v>-1.736</v>
      </c>
      <c r="P1542" s="4">
        <v>0</v>
      </c>
      <c r="Q1542" s="3" t="s">
        <v>26</v>
      </c>
      <c r="R1542" s="3">
        <v>0</v>
      </c>
      <c r="S1542" s="3" t="s">
        <v>510</v>
      </c>
      <c r="T1542" s="3" t="s">
        <v>791</v>
      </c>
      <c r="U1542" s="3">
        <v>0</v>
      </c>
      <c r="V1542" s="3">
        <v>34</v>
      </c>
      <c r="W1542" s="3">
        <v>53</v>
      </c>
    </row>
    <row r="1543" spans="1:23" ht="11.25" customHeight="1" x14ac:dyDescent="0.25">
      <c r="A1543" s="3" t="s">
        <v>28</v>
      </c>
      <c r="B1543" s="3" t="s">
        <v>44</v>
      </c>
      <c r="C1543" s="3" t="s">
        <v>23</v>
      </c>
      <c r="D1543" s="3" t="s">
        <v>45</v>
      </c>
      <c r="E1543" s="3" t="s">
        <v>53</v>
      </c>
      <c r="F1543" s="3" t="s">
        <v>54</v>
      </c>
      <c r="G1543" s="3" t="s">
        <v>25</v>
      </c>
      <c r="H1543" s="3" t="s">
        <v>25</v>
      </c>
      <c r="I1543" s="6">
        <v>44470</v>
      </c>
      <c r="J1543" s="4">
        <v>0</v>
      </c>
      <c r="K1543" s="4">
        <v>0</v>
      </c>
      <c r="L1543" s="4">
        <v>2.2109999999999999</v>
      </c>
      <c r="M1543" s="4">
        <v>2.2109999999999999</v>
      </c>
      <c r="N1543" s="4">
        <v>2.2109999999999999</v>
      </c>
      <c r="O1543" s="4">
        <v>2.2109999999999999</v>
      </c>
      <c r="P1543" s="4">
        <v>0</v>
      </c>
      <c r="Q1543" s="3" t="s">
        <v>26</v>
      </c>
      <c r="R1543" s="3">
        <v>0</v>
      </c>
      <c r="S1543" s="3" t="s">
        <v>510</v>
      </c>
      <c r="T1543" s="3" t="s">
        <v>791</v>
      </c>
      <c r="U1543" s="3">
        <v>0</v>
      </c>
      <c r="V1543" s="3">
        <v>34</v>
      </c>
      <c r="W1543" s="3">
        <v>53</v>
      </c>
    </row>
    <row r="1544" spans="1:23" ht="11.25" customHeight="1" x14ac:dyDescent="0.25">
      <c r="A1544" s="3" t="s">
        <v>21</v>
      </c>
      <c r="B1544" s="3" t="s">
        <v>44</v>
      </c>
      <c r="C1544" s="3" t="s">
        <v>23</v>
      </c>
      <c r="D1544" s="3" t="s">
        <v>45</v>
      </c>
      <c r="E1544" s="3" t="s">
        <v>53</v>
      </c>
      <c r="F1544" s="3" t="s">
        <v>54</v>
      </c>
      <c r="G1544" s="3" t="s">
        <v>25</v>
      </c>
      <c r="H1544" s="3" t="s">
        <v>25</v>
      </c>
      <c r="I1544" s="6">
        <v>44501</v>
      </c>
      <c r="J1544" s="4">
        <v>0</v>
      </c>
      <c r="K1544" s="4">
        <v>0</v>
      </c>
      <c r="L1544" s="4">
        <v>306.173</v>
      </c>
      <c r="M1544" s="4">
        <v>306.173</v>
      </c>
      <c r="N1544" s="4">
        <v>306.173</v>
      </c>
      <c r="O1544" s="4">
        <v>306.173</v>
      </c>
      <c r="P1544" s="4">
        <v>0</v>
      </c>
      <c r="Q1544" s="3" t="s">
        <v>26</v>
      </c>
      <c r="R1544" s="3">
        <v>0</v>
      </c>
      <c r="S1544" s="3" t="s">
        <v>511</v>
      </c>
      <c r="T1544" s="3" t="s">
        <v>792</v>
      </c>
      <c r="U1544" s="3">
        <v>0</v>
      </c>
      <c r="V1544" s="3">
        <v>34</v>
      </c>
      <c r="W1544" s="3">
        <v>53</v>
      </c>
    </row>
    <row r="1545" spans="1:23" ht="11.25" customHeight="1" x14ac:dyDescent="0.25">
      <c r="A1545" s="3" t="s">
        <v>27</v>
      </c>
      <c r="B1545" s="3" t="s">
        <v>44</v>
      </c>
      <c r="C1545" s="3" t="s">
        <v>23</v>
      </c>
      <c r="D1545" s="3" t="s">
        <v>45</v>
      </c>
      <c r="E1545" s="3" t="s">
        <v>53</v>
      </c>
      <c r="F1545" s="3" t="s">
        <v>54</v>
      </c>
      <c r="G1545" s="3" t="s">
        <v>25</v>
      </c>
      <c r="H1545" s="3" t="s">
        <v>25</v>
      </c>
      <c r="I1545" s="6">
        <v>44501</v>
      </c>
      <c r="J1545" s="4">
        <v>0</v>
      </c>
      <c r="K1545" s="4">
        <v>0</v>
      </c>
      <c r="L1545" s="4">
        <v>-14.065</v>
      </c>
      <c r="M1545" s="4">
        <v>-14.065</v>
      </c>
      <c r="N1545" s="4">
        <v>-14.065</v>
      </c>
      <c r="O1545" s="4">
        <v>-14.065</v>
      </c>
      <c r="P1545" s="4">
        <v>0</v>
      </c>
      <c r="Q1545" s="3" t="s">
        <v>26</v>
      </c>
      <c r="R1545" s="3">
        <v>0</v>
      </c>
      <c r="S1545" s="3" t="s">
        <v>511</v>
      </c>
      <c r="T1545" s="3" t="s">
        <v>792</v>
      </c>
      <c r="U1545" s="3">
        <v>0</v>
      </c>
      <c r="V1545" s="3">
        <v>34</v>
      </c>
      <c r="W1545" s="3">
        <v>53</v>
      </c>
    </row>
    <row r="1546" spans="1:23" ht="11.25" customHeight="1" x14ac:dyDescent="0.25">
      <c r="A1546" s="3" t="s">
        <v>28</v>
      </c>
      <c r="B1546" s="3" t="s">
        <v>44</v>
      </c>
      <c r="C1546" s="3" t="s">
        <v>23</v>
      </c>
      <c r="D1546" s="3" t="s">
        <v>45</v>
      </c>
      <c r="E1546" s="3" t="s">
        <v>53</v>
      </c>
      <c r="F1546" s="3" t="s">
        <v>54</v>
      </c>
      <c r="G1546" s="3" t="s">
        <v>25</v>
      </c>
      <c r="H1546" s="3" t="s">
        <v>25</v>
      </c>
      <c r="I1546" s="6">
        <v>44501</v>
      </c>
      <c r="J1546" s="4">
        <v>0</v>
      </c>
      <c r="K1546" s="4">
        <v>0</v>
      </c>
      <c r="L1546" s="4">
        <v>2.3330000000000002</v>
      </c>
      <c r="M1546" s="4">
        <v>2.3330000000000002</v>
      </c>
      <c r="N1546" s="4">
        <v>2.3330000000000002</v>
      </c>
      <c r="O1546" s="4">
        <v>2.3330000000000002</v>
      </c>
      <c r="P1546" s="4">
        <v>0</v>
      </c>
      <c r="Q1546" s="3" t="s">
        <v>26</v>
      </c>
      <c r="R1546" s="3">
        <v>0</v>
      </c>
      <c r="S1546" s="3" t="s">
        <v>511</v>
      </c>
      <c r="T1546" s="3" t="s">
        <v>792</v>
      </c>
      <c r="U1546" s="3">
        <v>0</v>
      </c>
      <c r="V1546" s="3">
        <v>34</v>
      </c>
      <c r="W1546" s="3">
        <v>53</v>
      </c>
    </row>
    <row r="1547" spans="1:23" ht="11.25" customHeight="1" x14ac:dyDescent="0.25">
      <c r="A1547" s="3" t="s">
        <v>21</v>
      </c>
      <c r="B1547" s="3" t="s">
        <v>44</v>
      </c>
      <c r="C1547" s="3" t="s">
        <v>23</v>
      </c>
      <c r="D1547" s="3" t="s">
        <v>45</v>
      </c>
      <c r="E1547" s="3" t="s">
        <v>53</v>
      </c>
      <c r="F1547" s="3" t="s">
        <v>54</v>
      </c>
      <c r="G1547" s="3" t="s">
        <v>25</v>
      </c>
      <c r="H1547" s="3" t="s">
        <v>25</v>
      </c>
      <c r="I1547" s="6">
        <v>44531</v>
      </c>
      <c r="J1547" s="4">
        <v>0</v>
      </c>
      <c r="K1547" s="4">
        <v>0</v>
      </c>
      <c r="L1547" s="4">
        <v>268.79700000000003</v>
      </c>
      <c r="M1547" s="4">
        <v>268.79700000000003</v>
      </c>
      <c r="N1547" s="4">
        <v>268.79700000000003</v>
      </c>
      <c r="O1547" s="4">
        <v>268.79700000000003</v>
      </c>
      <c r="P1547" s="4">
        <v>0</v>
      </c>
      <c r="Q1547" s="3" t="s">
        <v>26</v>
      </c>
      <c r="R1547" s="3">
        <v>0</v>
      </c>
      <c r="S1547" s="3" t="s">
        <v>512</v>
      </c>
      <c r="T1547" s="3" t="s">
        <v>793</v>
      </c>
      <c r="U1547" s="3">
        <v>0</v>
      </c>
      <c r="V1547" s="3">
        <v>34</v>
      </c>
      <c r="W1547" s="3">
        <v>53</v>
      </c>
    </row>
    <row r="1548" spans="1:23" ht="11.25" customHeight="1" x14ac:dyDescent="0.25">
      <c r="A1548" s="3" t="s">
        <v>27</v>
      </c>
      <c r="B1548" s="3" t="s">
        <v>44</v>
      </c>
      <c r="C1548" s="3" t="s">
        <v>23</v>
      </c>
      <c r="D1548" s="3" t="s">
        <v>45</v>
      </c>
      <c r="E1548" s="3" t="s">
        <v>53</v>
      </c>
      <c r="F1548" s="3" t="s">
        <v>54</v>
      </c>
      <c r="G1548" s="3" t="s">
        <v>25</v>
      </c>
      <c r="H1548" s="3" t="s">
        <v>25</v>
      </c>
      <c r="I1548" s="6">
        <v>44531</v>
      </c>
      <c r="J1548" s="4">
        <v>0</v>
      </c>
      <c r="K1548" s="4">
        <v>0</v>
      </c>
      <c r="L1548" s="4">
        <v>-15.727</v>
      </c>
      <c r="M1548" s="4">
        <v>-15.727</v>
      </c>
      <c r="N1548" s="4">
        <v>-15.727</v>
      </c>
      <c r="O1548" s="4">
        <v>-15.727</v>
      </c>
      <c r="P1548" s="4">
        <v>0</v>
      </c>
      <c r="Q1548" s="3" t="s">
        <v>26</v>
      </c>
      <c r="R1548" s="3">
        <v>0</v>
      </c>
      <c r="S1548" s="3" t="s">
        <v>512</v>
      </c>
      <c r="T1548" s="3" t="s">
        <v>793</v>
      </c>
      <c r="U1548" s="3">
        <v>0</v>
      </c>
      <c r="V1548" s="3">
        <v>34</v>
      </c>
      <c r="W1548" s="3">
        <v>53</v>
      </c>
    </row>
    <row r="1549" spans="1:23" ht="11.25" customHeight="1" x14ac:dyDescent="0.25">
      <c r="A1549" s="3" t="s">
        <v>28</v>
      </c>
      <c r="B1549" s="3" t="s">
        <v>44</v>
      </c>
      <c r="C1549" s="3" t="s">
        <v>23</v>
      </c>
      <c r="D1549" s="3" t="s">
        <v>45</v>
      </c>
      <c r="E1549" s="3" t="s">
        <v>53</v>
      </c>
      <c r="F1549" s="3" t="s">
        <v>54</v>
      </c>
      <c r="G1549" s="3" t="s">
        <v>25</v>
      </c>
      <c r="H1549" s="3" t="s">
        <v>25</v>
      </c>
      <c r="I1549" s="6">
        <v>44531</v>
      </c>
      <c r="J1549" s="4">
        <v>0</v>
      </c>
      <c r="K1549" s="4">
        <v>0</v>
      </c>
      <c r="L1549" s="4">
        <v>2.2290000000000001</v>
      </c>
      <c r="M1549" s="4">
        <v>2.2290000000000001</v>
      </c>
      <c r="N1549" s="4">
        <v>2.2290000000000001</v>
      </c>
      <c r="O1549" s="4">
        <v>2.2290000000000001</v>
      </c>
      <c r="P1549" s="4">
        <v>0</v>
      </c>
      <c r="Q1549" s="3" t="s">
        <v>26</v>
      </c>
      <c r="R1549" s="3">
        <v>0</v>
      </c>
      <c r="S1549" s="3" t="s">
        <v>512</v>
      </c>
      <c r="T1549" s="3" t="s">
        <v>793</v>
      </c>
      <c r="U1549" s="3">
        <v>0</v>
      </c>
      <c r="V1549" s="3">
        <v>34</v>
      </c>
      <c r="W1549" s="3">
        <v>53</v>
      </c>
    </row>
    <row r="1550" spans="1:23" ht="11.25" customHeight="1" x14ac:dyDescent="0.25">
      <c r="A1550" s="3" t="s">
        <v>21</v>
      </c>
      <c r="B1550" s="3" t="s">
        <v>44</v>
      </c>
      <c r="C1550" s="3" t="s">
        <v>23</v>
      </c>
      <c r="D1550" s="3" t="s">
        <v>45</v>
      </c>
      <c r="E1550" s="3" t="s">
        <v>53</v>
      </c>
      <c r="F1550" s="3" t="s">
        <v>54</v>
      </c>
      <c r="G1550" s="3" t="s">
        <v>25</v>
      </c>
      <c r="H1550" s="3" t="s">
        <v>25</v>
      </c>
      <c r="I1550" s="6">
        <v>44562</v>
      </c>
      <c r="J1550" s="4">
        <v>0</v>
      </c>
      <c r="K1550" s="4">
        <v>0</v>
      </c>
      <c r="L1550" s="4">
        <v>247.02600000000001</v>
      </c>
      <c r="M1550" s="4">
        <v>247.02600000000001</v>
      </c>
      <c r="N1550" s="4">
        <v>247.02600000000001</v>
      </c>
      <c r="O1550" s="4">
        <v>247.02600000000001</v>
      </c>
      <c r="P1550" s="4">
        <v>0</v>
      </c>
      <c r="Q1550" s="3" t="s">
        <v>26</v>
      </c>
      <c r="R1550" s="3">
        <v>0</v>
      </c>
      <c r="S1550" s="3" t="s">
        <v>513</v>
      </c>
      <c r="T1550" s="3" t="s">
        <v>794</v>
      </c>
      <c r="U1550" s="3">
        <v>0</v>
      </c>
      <c r="V1550" s="3">
        <v>34</v>
      </c>
      <c r="W1550" s="3">
        <v>53</v>
      </c>
    </row>
    <row r="1551" spans="1:23" ht="11.25" customHeight="1" x14ac:dyDescent="0.25">
      <c r="A1551" s="3" t="s">
        <v>28</v>
      </c>
      <c r="B1551" s="3" t="s">
        <v>44</v>
      </c>
      <c r="C1551" s="3" t="s">
        <v>23</v>
      </c>
      <c r="D1551" s="3" t="s">
        <v>45</v>
      </c>
      <c r="E1551" s="3" t="s">
        <v>53</v>
      </c>
      <c r="F1551" s="3" t="s">
        <v>54</v>
      </c>
      <c r="G1551" s="3" t="s">
        <v>25</v>
      </c>
      <c r="H1551" s="3" t="s">
        <v>25</v>
      </c>
      <c r="I1551" s="6">
        <v>44562</v>
      </c>
      <c r="J1551" s="4">
        <v>0</v>
      </c>
      <c r="K1551" s="4">
        <v>0</v>
      </c>
      <c r="L1551" s="4">
        <v>1.9119999999999999</v>
      </c>
      <c r="M1551" s="4">
        <v>1.9119999999999999</v>
      </c>
      <c r="N1551" s="4">
        <v>1.9119999999999999</v>
      </c>
      <c r="O1551" s="4">
        <v>1.9119999999999999</v>
      </c>
      <c r="P1551" s="4">
        <v>0</v>
      </c>
      <c r="Q1551" s="3" t="s">
        <v>26</v>
      </c>
      <c r="R1551" s="3">
        <v>0</v>
      </c>
      <c r="S1551" s="3" t="s">
        <v>513</v>
      </c>
      <c r="T1551" s="3" t="s">
        <v>794</v>
      </c>
      <c r="U1551" s="3">
        <v>0</v>
      </c>
      <c r="V1551" s="3">
        <v>34</v>
      </c>
      <c r="W1551" s="3">
        <v>53</v>
      </c>
    </row>
    <row r="1552" spans="1:23" ht="11.25" customHeight="1" x14ac:dyDescent="0.25">
      <c r="A1552" s="3" t="s">
        <v>21</v>
      </c>
      <c r="B1552" s="3" t="s">
        <v>44</v>
      </c>
      <c r="C1552" s="3" t="s">
        <v>23</v>
      </c>
      <c r="D1552" s="3" t="s">
        <v>45</v>
      </c>
      <c r="E1552" s="3" t="s">
        <v>53</v>
      </c>
      <c r="F1552" s="3" t="s">
        <v>54</v>
      </c>
      <c r="G1552" s="3" t="s">
        <v>25</v>
      </c>
      <c r="H1552" s="3" t="s">
        <v>25</v>
      </c>
      <c r="I1552" s="6">
        <v>44593</v>
      </c>
      <c r="J1552" s="4">
        <v>0</v>
      </c>
      <c r="K1552" s="4">
        <v>0</v>
      </c>
      <c r="L1552" s="4">
        <v>254.04</v>
      </c>
      <c r="M1552" s="4">
        <v>254.04</v>
      </c>
      <c r="N1552" s="4">
        <v>254.04</v>
      </c>
      <c r="O1552" s="4">
        <v>254.04</v>
      </c>
      <c r="P1552" s="4">
        <v>0</v>
      </c>
      <c r="Q1552" s="3" t="s">
        <v>26</v>
      </c>
      <c r="R1552" s="3">
        <v>0</v>
      </c>
      <c r="S1552" s="3" t="s">
        <v>514</v>
      </c>
      <c r="T1552" s="3" t="s">
        <v>795</v>
      </c>
      <c r="U1552" s="3">
        <v>0</v>
      </c>
      <c r="V1552" s="3">
        <v>34</v>
      </c>
      <c r="W1552" s="3">
        <v>53</v>
      </c>
    </row>
    <row r="1553" spans="1:23" ht="11.25" customHeight="1" x14ac:dyDescent="0.25">
      <c r="A1553" s="3" t="s">
        <v>28</v>
      </c>
      <c r="B1553" s="3" t="s">
        <v>44</v>
      </c>
      <c r="C1553" s="3" t="s">
        <v>23</v>
      </c>
      <c r="D1553" s="3" t="s">
        <v>45</v>
      </c>
      <c r="E1553" s="3" t="s">
        <v>53</v>
      </c>
      <c r="F1553" s="3" t="s">
        <v>54</v>
      </c>
      <c r="G1553" s="3" t="s">
        <v>25</v>
      </c>
      <c r="H1553" s="3" t="s">
        <v>25</v>
      </c>
      <c r="I1553" s="6">
        <v>44593</v>
      </c>
      <c r="J1553" s="4">
        <v>0</v>
      </c>
      <c r="K1553" s="4">
        <v>0</v>
      </c>
      <c r="L1553" s="4">
        <v>2.0529999999999999</v>
      </c>
      <c r="M1553" s="4">
        <v>2.0529999999999999</v>
      </c>
      <c r="N1553" s="4">
        <v>2.0529999999999999</v>
      </c>
      <c r="O1553" s="4">
        <v>2.0529999999999999</v>
      </c>
      <c r="P1553" s="4">
        <v>0</v>
      </c>
      <c r="Q1553" s="3" t="s">
        <v>26</v>
      </c>
      <c r="R1553" s="3">
        <v>0</v>
      </c>
      <c r="S1553" s="3" t="s">
        <v>514</v>
      </c>
      <c r="T1553" s="3" t="s">
        <v>795</v>
      </c>
      <c r="U1553" s="3">
        <v>0</v>
      </c>
      <c r="V1553" s="3">
        <v>34</v>
      </c>
      <c r="W1553" s="3">
        <v>53</v>
      </c>
    </row>
    <row r="1554" spans="1:23" ht="11.25" customHeight="1" x14ac:dyDescent="0.25">
      <c r="A1554" s="3" t="s">
        <v>56</v>
      </c>
      <c r="B1554" s="3" t="s">
        <v>44</v>
      </c>
      <c r="C1554" s="3" t="s">
        <v>23</v>
      </c>
      <c r="D1554" s="3" t="s">
        <v>45</v>
      </c>
      <c r="E1554" s="3" t="s">
        <v>53</v>
      </c>
      <c r="F1554" s="3" t="s">
        <v>54</v>
      </c>
      <c r="G1554" s="3" t="s">
        <v>25</v>
      </c>
      <c r="H1554" s="3" t="s">
        <v>25</v>
      </c>
      <c r="I1554" s="6">
        <v>44621</v>
      </c>
      <c r="J1554" s="4">
        <v>0</v>
      </c>
      <c r="K1554" s="4">
        <v>0</v>
      </c>
      <c r="L1554" s="4">
        <v>254.04</v>
      </c>
      <c r="M1554" s="4">
        <v>254.04</v>
      </c>
      <c r="N1554" s="4">
        <v>254.04</v>
      </c>
      <c r="O1554" s="4">
        <v>254.04</v>
      </c>
      <c r="P1554" s="4">
        <v>0</v>
      </c>
      <c r="Q1554" s="3" t="s">
        <v>26</v>
      </c>
      <c r="R1554" s="3">
        <v>0</v>
      </c>
      <c r="S1554" s="3" t="s">
        <v>515</v>
      </c>
      <c r="T1554" s="3" t="s">
        <v>796</v>
      </c>
      <c r="U1554" s="3">
        <v>0</v>
      </c>
      <c r="V1554" s="3">
        <v>34</v>
      </c>
      <c r="W1554" s="3">
        <v>53</v>
      </c>
    </row>
    <row r="1555" spans="1:23" ht="11.25" customHeight="1" x14ac:dyDescent="0.25">
      <c r="A1555" s="3" t="s">
        <v>56</v>
      </c>
      <c r="B1555" s="3" t="s">
        <v>44</v>
      </c>
      <c r="C1555" s="3" t="s">
        <v>23</v>
      </c>
      <c r="D1555" s="3" t="s">
        <v>45</v>
      </c>
      <c r="E1555" s="3" t="s">
        <v>53</v>
      </c>
      <c r="F1555" s="3" t="s">
        <v>54</v>
      </c>
      <c r="G1555" s="3" t="s">
        <v>25</v>
      </c>
      <c r="H1555" s="3" t="s">
        <v>25</v>
      </c>
      <c r="I1555" s="6">
        <v>44621</v>
      </c>
      <c r="J1555" s="4">
        <v>0</v>
      </c>
      <c r="K1555" s="4">
        <v>0</v>
      </c>
      <c r="L1555" s="4">
        <v>2.0529999999999999</v>
      </c>
      <c r="M1555" s="4">
        <v>2.0529999999999999</v>
      </c>
      <c r="N1555" s="4">
        <v>2.0529999999999999</v>
      </c>
      <c r="O1555" s="4">
        <v>2.0529999999999999</v>
      </c>
      <c r="P1555" s="4">
        <v>0</v>
      </c>
      <c r="Q1555" s="3" t="s">
        <v>26</v>
      </c>
      <c r="R1555" s="3">
        <v>0</v>
      </c>
      <c r="S1555" s="3" t="s">
        <v>515</v>
      </c>
      <c r="T1555" s="3" t="s">
        <v>796</v>
      </c>
      <c r="U1555" s="3">
        <v>0</v>
      </c>
      <c r="V1555" s="3">
        <v>34</v>
      </c>
      <c r="W1555" s="3">
        <v>53</v>
      </c>
    </row>
    <row r="1556" spans="1:23" ht="11.25" customHeight="1" x14ac:dyDescent="0.25">
      <c r="A1556" s="3" t="s">
        <v>21</v>
      </c>
      <c r="B1556" s="3" t="s">
        <v>44</v>
      </c>
      <c r="C1556" s="3" t="s">
        <v>23</v>
      </c>
      <c r="D1556" s="3" t="s">
        <v>45</v>
      </c>
      <c r="E1556" s="3" t="s">
        <v>53</v>
      </c>
      <c r="F1556" s="3" t="s">
        <v>55</v>
      </c>
      <c r="G1556" s="3" t="s">
        <v>25</v>
      </c>
      <c r="H1556" s="3" t="s">
        <v>25</v>
      </c>
      <c r="I1556" s="6">
        <v>44287</v>
      </c>
      <c r="J1556" s="4">
        <v>0</v>
      </c>
      <c r="K1556" s="4">
        <v>0</v>
      </c>
      <c r="L1556" s="4">
        <v>328.82900000000001</v>
      </c>
      <c r="M1556" s="4">
        <v>88.783829999999995</v>
      </c>
      <c r="N1556" s="4">
        <v>328.82900000000001</v>
      </c>
      <c r="O1556" s="4">
        <v>88.783829999999995</v>
      </c>
      <c r="P1556" s="4">
        <v>0</v>
      </c>
      <c r="Q1556" s="3" t="s">
        <v>26</v>
      </c>
      <c r="R1556" s="3">
        <v>0</v>
      </c>
      <c r="S1556" s="3" t="s">
        <v>504</v>
      </c>
      <c r="T1556" s="3" t="s">
        <v>785</v>
      </c>
      <c r="U1556" s="3">
        <v>0</v>
      </c>
      <c r="V1556" s="3">
        <v>34</v>
      </c>
      <c r="W1556" s="3">
        <v>53</v>
      </c>
    </row>
    <row r="1557" spans="1:23" ht="11.25" customHeight="1" x14ac:dyDescent="0.25">
      <c r="A1557" s="3" t="s">
        <v>27</v>
      </c>
      <c r="B1557" s="3" t="s">
        <v>44</v>
      </c>
      <c r="C1557" s="3" t="s">
        <v>23</v>
      </c>
      <c r="D1557" s="3" t="s">
        <v>45</v>
      </c>
      <c r="E1557" s="3" t="s">
        <v>53</v>
      </c>
      <c r="F1557" s="3" t="s">
        <v>55</v>
      </c>
      <c r="G1557" s="3" t="s">
        <v>25</v>
      </c>
      <c r="H1557" s="3" t="s">
        <v>25</v>
      </c>
      <c r="I1557" s="6">
        <v>44287</v>
      </c>
      <c r="J1557" s="4">
        <v>0</v>
      </c>
      <c r="K1557" s="4">
        <v>0</v>
      </c>
      <c r="L1557" s="4">
        <v>-6.5629999999999997</v>
      </c>
      <c r="M1557" s="4">
        <v>-1.7720100000000001</v>
      </c>
      <c r="N1557" s="4">
        <v>-6.5629999999999997</v>
      </c>
      <c r="O1557" s="4">
        <v>-1.7720100000000001</v>
      </c>
      <c r="P1557" s="4">
        <v>0</v>
      </c>
      <c r="Q1557" s="3" t="s">
        <v>26</v>
      </c>
      <c r="R1557" s="3">
        <v>0</v>
      </c>
      <c r="S1557" s="3" t="s">
        <v>504</v>
      </c>
      <c r="T1557" s="3" t="s">
        <v>785</v>
      </c>
      <c r="U1557" s="3">
        <v>0</v>
      </c>
      <c r="V1557" s="3">
        <v>34</v>
      </c>
      <c r="W1557" s="3">
        <v>53</v>
      </c>
    </row>
    <row r="1558" spans="1:23" ht="11.25" customHeight="1" x14ac:dyDescent="0.25">
      <c r="A1558" s="3" t="s">
        <v>28</v>
      </c>
      <c r="B1558" s="3" t="s">
        <v>44</v>
      </c>
      <c r="C1558" s="3" t="s">
        <v>23</v>
      </c>
      <c r="D1558" s="3" t="s">
        <v>45</v>
      </c>
      <c r="E1558" s="3" t="s">
        <v>53</v>
      </c>
      <c r="F1558" s="3" t="s">
        <v>55</v>
      </c>
      <c r="G1558" s="3" t="s">
        <v>25</v>
      </c>
      <c r="H1558" s="3" t="s">
        <v>25</v>
      </c>
      <c r="I1558" s="6">
        <v>44287</v>
      </c>
      <c r="J1558" s="4">
        <v>0</v>
      </c>
      <c r="K1558" s="4">
        <v>0</v>
      </c>
      <c r="L1558" s="4">
        <v>1.4239999999999999</v>
      </c>
      <c r="M1558" s="4">
        <v>0.38447999999999999</v>
      </c>
      <c r="N1558" s="4">
        <v>1.4239999999999999</v>
      </c>
      <c r="O1558" s="4">
        <v>0.38447999999999999</v>
      </c>
      <c r="P1558" s="4">
        <v>0</v>
      </c>
      <c r="Q1558" s="3" t="s">
        <v>26</v>
      </c>
      <c r="R1558" s="3">
        <v>0</v>
      </c>
      <c r="S1558" s="3" t="s">
        <v>504</v>
      </c>
      <c r="T1558" s="3" t="s">
        <v>785</v>
      </c>
      <c r="U1558" s="3">
        <v>0</v>
      </c>
      <c r="V1558" s="3">
        <v>34</v>
      </c>
      <c r="W1558" s="3">
        <v>53</v>
      </c>
    </row>
    <row r="1559" spans="1:23" ht="11.25" customHeight="1" x14ac:dyDescent="0.25">
      <c r="A1559" s="3" t="s">
        <v>21</v>
      </c>
      <c r="B1559" s="3" t="s">
        <v>44</v>
      </c>
      <c r="C1559" s="3" t="s">
        <v>23</v>
      </c>
      <c r="D1559" s="3" t="s">
        <v>45</v>
      </c>
      <c r="E1559" s="3" t="s">
        <v>53</v>
      </c>
      <c r="F1559" s="3" t="s">
        <v>55</v>
      </c>
      <c r="G1559" s="3" t="s">
        <v>25</v>
      </c>
      <c r="H1559" s="3" t="s">
        <v>25</v>
      </c>
      <c r="I1559" s="6">
        <v>44317</v>
      </c>
      <c r="J1559" s="4">
        <v>0</v>
      </c>
      <c r="K1559" s="4">
        <v>0</v>
      </c>
      <c r="L1559" s="4">
        <v>120.88200000000001</v>
      </c>
      <c r="M1559" s="4">
        <v>32.63814</v>
      </c>
      <c r="N1559" s="4">
        <v>120.88200000000001</v>
      </c>
      <c r="O1559" s="4">
        <v>32.63814</v>
      </c>
      <c r="P1559" s="4">
        <v>0</v>
      </c>
      <c r="Q1559" s="3" t="s">
        <v>26</v>
      </c>
      <c r="R1559" s="3">
        <v>0</v>
      </c>
      <c r="S1559" s="3" t="s">
        <v>505</v>
      </c>
      <c r="T1559" s="3" t="s">
        <v>786</v>
      </c>
      <c r="U1559" s="3">
        <v>0</v>
      </c>
      <c r="V1559" s="3">
        <v>34</v>
      </c>
      <c r="W1559" s="3">
        <v>53</v>
      </c>
    </row>
    <row r="1560" spans="1:23" ht="11.25" customHeight="1" x14ac:dyDescent="0.25">
      <c r="A1560" s="3" t="s">
        <v>27</v>
      </c>
      <c r="B1560" s="3" t="s">
        <v>44</v>
      </c>
      <c r="C1560" s="3" t="s">
        <v>23</v>
      </c>
      <c r="D1560" s="3" t="s">
        <v>45</v>
      </c>
      <c r="E1560" s="3" t="s">
        <v>53</v>
      </c>
      <c r="F1560" s="3" t="s">
        <v>55</v>
      </c>
      <c r="G1560" s="3" t="s">
        <v>25</v>
      </c>
      <c r="H1560" s="3" t="s">
        <v>25</v>
      </c>
      <c r="I1560" s="6">
        <v>44317</v>
      </c>
      <c r="J1560" s="4">
        <v>0</v>
      </c>
      <c r="K1560" s="4">
        <v>0</v>
      </c>
      <c r="L1560" s="4">
        <v>-1.8</v>
      </c>
      <c r="M1560" s="4">
        <v>-0.48599999999999999</v>
      </c>
      <c r="N1560" s="4">
        <v>-1.8</v>
      </c>
      <c r="O1560" s="4">
        <v>-0.48599999999999999</v>
      </c>
      <c r="P1560" s="4">
        <v>0</v>
      </c>
      <c r="Q1560" s="3" t="s">
        <v>26</v>
      </c>
      <c r="R1560" s="3">
        <v>0</v>
      </c>
      <c r="S1560" s="3" t="s">
        <v>505</v>
      </c>
      <c r="T1560" s="3" t="s">
        <v>786</v>
      </c>
      <c r="U1560" s="3">
        <v>0</v>
      </c>
      <c r="V1560" s="3">
        <v>34</v>
      </c>
      <c r="W1560" s="3">
        <v>53</v>
      </c>
    </row>
    <row r="1561" spans="1:23" ht="11.25" customHeight="1" x14ac:dyDescent="0.25">
      <c r="A1561" s="3" t="s">
        <v>28</v>
      </c>
      <c r="B1561" s="3" t="s">
        <v>44</v>
      </c>
      <c r="C1561" s="3" t="s">
        <v>23</v>
      </c>
      <c r="D1561" s="3" t="s">
        <v>45</v>
      </c>
      <c r="E1561" s="3" t="s">
        <v>53</v>
      </c>
      <c r="F1561" s="3" t="s">
        <v>55</v>
      </c>
      <c r="G1561" s="3" t="s">
        <v>25</v>
      </c>
      <c r="H1561" s="3" t="s">
        <v>25</v>
      </c>
      <c r="I1561" s="6">
        <v>44317</v>
      </c>
      <c r="J1561" s="4">
        <v>0</v>
      </c>
      <c r="K1561" s="4">
        <v>0</v>
      </c>
      <c r="L1561" s="4">
        <v>0.38500000000000001</v>
      </c>
      <c r="M1561" s="4">
        <v>0.10395</v>
      </c>
      <c r="N1561" s="4">
        <v>0.38500000000000001</v>
      </c>
      <c r="O1561" s="4">
        <v>0.10395</v>
      </c>
      <c r="P1561" s="4">
        <v>0</v>
      </c>
      <c r="Q1561" s="3" t="s">
        <v>26</v>
      </c>
      <c r="R1561" s="3">
        <v>0</v>
      </c>
      <c r="S1561" s="3" t="s">
        <v>505</v>
      </c>
      <c r="T1561" s="3" t="s">
        <v>786</v>
      </c>
      <c r="U1561" s="3">
        <v>0</v>
      </c>
      <c r="V1561" s="3">
        <v>34</v>
      </c>
      <c r="W1561" s="3">
        <v>53</v>
      </c>
    </row>
    <row r="1562" spans="1:23" ht="11.25" customHeight="1" x14ac:dyDescent="0.25">
      <c r="A1562" s="3" t="s">
        <v>21</v>
      </c>
      <c r="B1562" s="3" t="s">
        <v>44</v>
      </c>
      <c r="C1562" s="3" t="s">
        <v>23</v>
      </c>
      <c r="D1562" s="3" t="s">
        <v>45</v>
      </c>
      <c r="E1562" s="3" t="s">
        <v>53</v>
      </c>
      <c r="F1562" s="3" t="s">
        <v>55</v>
      </c>
      <c r="G1562" s="3" t="s">
        <v>25</v>
      </c>
      <c r="H1562" s="3" t="s">
        <v>25</v>
      </c>
      <c r="I1562" s="6">
        <v>44348</v>
      </c>
      <c r="J1562" s="4">
        <v>0</v>
      </c>
      <c r="K1562" s="4">
        <v>0</v>
      </c>
      <c r="L1562" s="4">
        <v>109.247</v>
      </c>
      <c r="M1562" s="4">
        <v>29.496690000000001</v>
      </c>
      <c r="N1562" s="4">
        <v>109.247</v>
      </c>
      <c r="O1562" s="4">
        <v>29.496690000000001</v>
      </c>
      <c r="P1562" s="4">
        <v>0</v>
      </c>
      <c r="Q1562" s="3" t="s">
        <v>26</v>
      </c>
      <c r="R1562" s="3">
        <v>0</v>
      </c>
      <c r="S1562" s="3" t="s">
        <v>506</v>
      </c>
      <c r="T1562" s="3" t="s">
        <v>787</v>
      </c>
      <c r="U1562" s="3">
        <v>0</v>
      </c>
      <c r="V1562" s="3">
        <v>34</v>
      </c>
      <c r="W1562" s="3">
        <v>53</v>
      </c>
    </row>
    <row r="1563" spans="1:23" ht="11.25" customHeight="1" x14ac:dyDescent="0.25">
      <c r="A1563" s="3" t="s">
        <v>27</v>
      </c>
      <c r="B1563" s="3" t="s">
        <v>44</v>
      </c>
      <c r="C1563" s="3" t="s">
        <v>23</v>
      </c>
      <c r="D1563" s="3" t="s">
        <v>45</v>
      </c>
      <c r="E1563" s="3" t="s">
        <v>53</v>
      </c>
      <c r="F1563" s="3" t="s">
        <v>55</v>
      </c>
      <c r="G1563" s="3" t="s">
        <v>25</v>
      </c>
      <c r="H1563" s="3" t="s">
        <v>25</v>
      </c>
      <c r="I1563" s="6">
        <v>44348</v>
      </c>
      <c r="J1563" s="4">
        <v>0</v>
      </c>
      <c r="K1563" s="4">
        <v>0</v>
      </c>
      <c r="L1563" s="4">
        <v>-0.35899999999999999</v>
      </c>
      <c r="M1563" s="4">
        <v>-9.6930000000000002E-2</v>
      </c>
      <c r="N1563" s="4">
        <v>-0.35899999999999999</v>
      </c>
      <c r="O1563" s="4">
        <v>-9.6930000000000002E-2</v>
      </c>
      <c r="P1563" s="4">
        <v>0</v>
      </c>
      <c r="Q1563" s="3" t="s">
        <v>26</v>
      </c>
      <c r="R1563" s="3">
        <v>0</v>
      </c>
      <c r="S1563" s="3" t="s">
        <v>506</v>
      </c>
      <c r="T1563" s="3" t="s">
        <v>787</v>
      </c>
      <c r="U1563" s="3">
        <v>0</v>
      </c>
      <c r="V1563" s="3">
        <v>34</v>
      </c>
      <c r="W1563" s="3">
        <v>53</v>
      </c>
    </row>
    <row r="1564" spans="1:23" ht="11.25" customHeight="1" x14ac:dyDescent="0.25">
      <c r="A1564" s="3" t="s">
        <v>28</v>
      </c>
      <c r="B1564" s="3" t="s">
        <v>44</v>
      </c>
      <c r="C1564" s="3" t="s">
        <v>23</v>
      </c>
      <c r="D1564" s="3" t="s">
        <v>45</v>
      </c>
      <c r="E1564" s="3" t="s">
        <v>53</v>
      </c>
      <c r="F1564" s="3" t="s">
        <v>55</v>
      </c>
      <c r="G1564" s="3" t="s">
        <v>25</v>
      </c>
      <c r="H1564" s="3" t="s">
        <v>25</v>
      </c>
      <c r="I1564" s="6">
        <v>44348</v>
      </c>
      <c r="J1564" s="4">
        <v>0</v>
      </c>
      <c r="K1564" s="4">
        <v>0</v>
      </c>
      <c r="L1564" s="4">
        <v>9.4E-2</v>
      </c>
      <c r="M1564" s="4">
        <v>2.538E-2</v>
      </c>
      <c r="N1564" s="4">
        <v>9.4E-2</v>
      </c>
      <c r="O1564" s="4">
        <v>2.538E-2</v>
      </c>
      <c r="P1564" s="4">
        <v>0</v>
      </c>
      <c r="Q1564" s="3" t="s">
        <v>26</v>
      </c>
      <c r="R1564" s="3">
        <v>0</v>
      </c>
      <c r="S1564" s="3" t="s">
        <v>506</v>
      </c>
      <c r="T1564" s="3" t="s">
        <v>787</v>
      </c>
      <c r="U1564" s="3">
        <v>0</v>
      </c>
      <c r="V1564" s="3">
        <v>34</v>
      </c>
      <c r="W1564" s="3">
        <v>53</v>
      </c>
    </row>
    <row r="1565" spans="1:23" ht="11.25" customHeight="1" x14ac:dyDescent="0.25">
      <c r="A1565" s="3" t="s">
        <v>21</v>
      </c>
      <c r="B1565" s="3" t="s">
        <v>44</v>
      </c>
      <c r="C1565" s="3" t="s">
        <v>23</v>
      </c>
      <c r="D1565" s="3" t="s">
        <v>45</v>
      </c>
      <c r="E1565" s="3" t="s">
        <v>53</v>
      </c>
      <c r="F1565" s="3" t="s">
        <v>55</v>
      </c>
      <c r="G1565" s="3" t="s">
        <v>25</v>
      </c>
      <c r="H1565" s="3" t="s">
        <v>25</v>
      </c>
      <c r="I1565" s="6">
        <v>44378</v>
      </c>
      <c r="J1565" s="4">
        <v>0</v>
      </c>
      <c r="K1565" s="4">
        <v>0</v>
      </c>
      <c r="L1565" s="4">
        <v>90.728999999999999</v>
      </c>
      <c r="M1565" s="4">
        <v>24.496829999999999</v>
      </c>
      <c r="N1565" s="4">
        <v>90.728999999999999</v>
      </c>
      <c r="O1565" s="4">
        <v>24.496829999999999</v>
      </c>
      <c r="P1565" s="4">
        <v>0</v>
      </c>
      <c r="Q1565" s="3" t="s">
        <v>26</v>
      </c>
      <c r="R1565" s="3">
        <v>0</v>
      </c>
      <c r="S1565" s="3" t="s">
        <v>507</v>
      </c>
      <c r="T1565" s="3" t="s">
        <v>788</v>
      </c>
      <c r="U1565" s="3">
        <v>0</v>
      </c>
      <c r="V1565" s="3">
        <v>34</v>
      </c>
      <c r="W1565" s="3">
        <v>53</v>
      </c>
    </row>
    <row r="1566" spans="1:23" ht="11.25" customHeight="1" x14ac:dyDescent="0.25">
      <c r="A1566" s="3" t="s">
        <v>27</v>
      </c>
      <c r="B1566" s="3" t="s">
        <v>44</v>
      </c>
      <c r="C1566" s="3" t="s">
        <v>23</v>
      </c>
      <c r="D1566" s="3" t="s">
        <v>45</v>
      </c>
      <c r="E1566" s="3" t="s">
        <v>53</v>
      </c>
      <c r="F1566" s="3" t="s">
        <v>55</v>
      </c>
      <c r="G1566" s="3" t="s">
        <v>25</v>
      </c>
      <c r="H1566" s="3" t="s">
        <v>25</v>
      </c>
      <c r="I1566" s="6">
        <v>44378</v>
      </c>
      <c r="J1566" s="4">
        <v>0</v>
      </c>
      <c r="K1566" s="4">
        <v>0</v>
      </c>
      <c r="L1566" s="4">
        <v>-0.32200000000000001</v>
      </c>
      <c r="M1566" s="4">
        <v>-8.6940000000000003E-2</v>
      </c>
      <c r="N1566" s="4">
        <v>-0.32200000000000001</v>
      </c>
      <c r="O1566" s="4">
        <v>-8.6940000000000003E-2</v>
      </c>
      <c r="P1566" s="4">
        <v>0</v>
      </c>
      <c r="Q1566" s="3" t="s">
        <v>26</v>
      </c>
      <c r="R1566" s="3">
        <v>0</v>
      </c>
      <c r="S1566" s="3" t="s">
        <v>507</v>
      </c>
      <c r="T1566" s="3" t="s">
        <v>788</v>
      </c>
      <c r="U1566" s="3">
        <v>0</v>
      </c>
      <c r="V1566" s="3">
        <v>34</v>
      </c>
      <c r="W1566" s="3">
        <v>53</v>
      </c>
    </row>
    <row r="1567" spans="1:23" ht="11.25" customHeight="1" x14ac:dyDescent="0.25">
      <c r="A1567" s="3" t="s">
        <v>28</v>
      </c>
      <c r="B1567" s="3" t="s">
        <v>44</v>
      </c>
      <c r="C1567" s="3" t="s">
        <v>23</v>
      </c>
      <c r="D1567" s="3" t="s">
        <v>45</v>
      </c>
      <c r="E1567" s="3" t="s">
        <v>53</v>
      </c>
      <c r="F1567" s="3" t="s">
        <v>55</v>
      </c>
      <c r="G1567" s="3" t="s">
        <v>25</v>
      </c>
      <c r="H1567" s="3" t="s">
        <v>25</v>
      </c>
      <c r="I1567" s="6">
        <v>44378</v>
      </c>
      <c r="J1567" s="4">
        <v>0</v>
      </c>
      <c r="K1567" s="4">
        <v>0</v>
      </c>
      <c r="L1567" s="4">
        <v>0.38900000000000001</v>
      </c>
      <c r="M1567" s="4">
        <v>0.10503</v>
      </c>
      <c r="N1567" s="4">
        <v>0.38900000000000001</v>
      </c>
      <c r="O1567" s="4">
        <v>0.10503</v>
      </c>
      <c r="P1567" s="4">
        <v>0</v>
      </c>
      <c r="Q1567" s="3" t="s">
        <v>26</v>
      </c>
      <c r="R1567" s="3">
        <v>0</v>
      </c>
      <c r="S1567" s="3" t="s">
        <v>507</v>
      </c>
      <c r="T1567" s="3" t="s">
        <v>788</v>
      </c>
      <c r="U1567" s="3">
        <v>0</v>
      </c>
      <c r="V1567" s="3">
        <v>34</v>
      </c>
      <c r="W1567" s="3">
        <v>53</v>
      </c>
    </row>
    <row r="1568" spans="1:23" ht="11.25" customHeight="1" x14ac:dyDescent="0.25">
      <c r="A1568" s="3" t="s">
        <v>21</v>
      </c>
      <c r="B1568" s="3" t="s">
        <v>44</v>
      </c>
      <c r="C1568" s="3" t="s">
        <v>23</v>
      </c>
      <c r="D1568" s="3" t="s">
        <v>45</v>
      </c>
      <c r="E1568" s="3" t="s">
        <v>53</v>
      </c>
      <c r="F1568" s="3" t="s">
        <v>55</v>
      </c>
      <c r="G1568" s="3" t="s">
        <v>25</v>
      </c>
      <c r="H1568" s="3" t="s">
        <v>25</v>
      </c>
      <c r="I1568" s="6">
        <v>44409</v>
      </c>
      <c r="J1568" s="4">
        <v>0</v>
      </c>
      <c r="K1568" s="4">
        <v>0</v>
      </c>
      <c r="L1568" s="4">
        <v>96.778000000000006</v>
      </c>
      <c r="M1568" s="4">
        <v>26.13006</v>
      </c>
      <c r="N1568" s="4">
        <v>96.778000000000006</v>
      </c>
      <c r="O1568" s="4">
        <v>26.13006</v>
      </c>
      <c r="P1568" s="4">
        <v>0</v>
      </c>
      <c r="Q1568" s="3" t="s">
        <v>26</v>
      </c>
      <c r="R1568" s="3">
        <v>0</v>
      </c>
      <c r="S1568" s="3" t="s">
        <v>508</v>
      </c>
      <c r="T1568" s="3" t="s">
        <v>789</v>
      </c>
      <c r="U1568" s="3">
        <v>0</v>
      </c>
      <c r="V1568" s="3">
        <v>34</v>
      </c>
      <c r="W1568" s="3">
        <v>53</v>
      </c>
    </row>
    <row r="1569" spans="1:23" ht="11.25" customHeight="1" x14ac:dyDescent="0.25">
      <c r="A1569" s="3" t="s">
        <v>27</v>
      </c>
      <c r="B1569" s="3" t="s">
        <v>44</v>
      </c>
      <c r="C1569" s="3" t="s">
        <v>23</v>
      </c>
      <c r="D1569" s="3" t="s">
        <v>45</v>
      </c>
      <c r="E1569" s="3" t="s">
        <v>53</v>
      </c>
      <c r="F1569" s="3" t="s">
        <v>55</v>
      </c>
      <c r="G1569" s="3" t="s">
        <v>25</v>
      </c>
      <c r="H1569" s="3" t="s">
        <v>25</v>
      </c>
      <c r="I1569" s="6">
        <v>44409</v>
      </c>
      <c r="J1569" s="4">
        <v>0</v>
      </c>
      <c r="K1569" s="4">
        <v>0</v>
      </c>
      <c r="L1569" s="4">
        <v>-0.51700000000000002</v>
      </c>
      <c r="M1569" s="4">
        <v>-0.13958999999999999</v>
      </c>
      <c r="N1569" s="4">
        <v>-0.51700000000000002</v>
      </c>
      <c r="O1569" s="4">
        <v>-0.13958999999999999</v>
      </c>
      <c r="P1569" s="4">
        <v>0</v>
      </c>
      <c r="Q1569" s="3" t="s">
        <v>26</v>
      </c>
      <c r="R1569" s="3">
        <v>0</v>
      </c>
      <c r="S1569" s="3" t="s">
        <v>508</v>
      </c>
      <c r="T1569" s="3" t="s">
        <v>789</v>
      </c>
      <c r="U1569" s="3">
        <v>0</v>
      </c>
      <c r="V1569" s="3">
        <v>34</v>
      </c>
      <c r="W1569" s="3">
        <v>53</v>
      </c>
    </row>
    <row r="1570" spans="1:23" ht="11.25" customHeight="1" x14ac:dyDescent="0.25">
      <c r="A1570" s="3" t="s">
        <v>28</v>
      </c>
      <c r="B1570" s="3" t="s">
        <v>44</v>
      </c>
      <c r="C1570" s="3" t="s">
        <v>23</v>
      </c>
      <c r="D1570" s="3" t="s">
        <v>45</v>
      </c>
      <c r="E1570" s="3" t="s">
        <v>53</v>
      </c>
      <c r="F1570" s="3" t="s">
        <v>55</v>
      </c>
      <c r="G1570" s="3" t="s">
        <v>25</v>
      </c>
      <c r="H1570" s="3" t="s">
        <v>25</v>
      </c>
      <c r="I1570" s="6">
        <v>44409</v>
      </c>
      <c r="J1570" s="4">
        <v>0</v>
      </c>
      <c r="K1570" s="4">
        <v>0</v>
      </c>
      <c r="L1570" s="4">
        <v>0.185</v>
      </c>
      <c r="M1570" s="4">
        <v>4.9950000000000001E-2</v>
      </c>
      <c r="N1570" s="4">
        <v>0.185</v>
      </c>
      <c r="O1570" s="4">
        <v>4.9950000000000001E-2</v>
      </c>
      <c r="P1570" s="4">
        <v>0</v>
      </c>
      <c r="Q1570" s="3" t="s">
        <v>26</v>
      </c>
      <c r="R1570" s="3">
        <v>0</v>
      </c>
      <c r="S1570" s="3" t="s">
        <v>508</v>
      </c>
      <c r="T1570" s="3" t="s">
        <v>789</v>
      </c>
      <c r="U1570" s="3">
        <v>0</v>
      </c>
      <c r="V1570" s="3">
        <v>34</v>
      </c>
      <c r="W1570" s="3">
        <v>53</v>
      </c>
    </row>
    <row r="1571" spans="1:23" ht="11.25" customHeight="1" x14ac:dyDescent="0.25">
      <c r="A1571" s="3" t="s">
        <v>21</v>
      </c>
      <c r="B1571" s="3" t="s">
        <v>44</v>
      </c>
      <c r="C1571" s="3" t="s">
        <v>23</v>
      </c>
      <c r="D1571" s="3" t="s">
        <v>45</v>
      </c>
      <c r="E1571" s="3" t="s">
        <v>53</v>
      </c>
      <c r="F1571" s="3" t="s">
        <v>55</v>
      </c>
      <c r="G1571" s="3" t="s">
        <v>25</v>
      </c>
      <c r="H1571" s="3" t="s">
        <v>25</v>
      </c>
      <c r="I1571" s="6">
        <v>44440</v>
      </c>
      <c r="J1571" s="4">
        <v>0</v>
      </c>
      <c r="K1571" s="4">
        <v>0</v>
      </c>
      <c r="L1571" s="4">
        <v>227.708</v>
      </c>
      <c r="M1571" s="4">
        <v>61.481160000000003</v>
      </c>
      <c r="N1571" s="4">
        <v>227.708</v>
      </c>
      <c r="O1571" s="4">
        <v>61.481160000000003</v>
      </c>
      <c r="P1571" s="4">
        <v>0</v>
      </c>
      <c r="Q1571" s="3" t="s">
        <v>26</v>
      </c>
      <c r="R1571" s="3">
        <v>0</v>
      </c>
      <c r="S1571" s="3" t="s">
        <v>509</v>
      </c>
      <c r="T1571" s="3" t="s">
        <v>790</v>
      </c>
      <c r="U1571" s="3">
        <v>0</v>
      </c>
      <c r="V1571" s="3">
        <v>34</v>
      </c>
      <c r="W1571" s="3">
        <v>53</v>
      </c>
    </row>
    <row r="1572" spans="1:23" ht="11.25" customHeight="1" x14ac:dyDescent="0.25">
      <c r="A1572" s="3" t="s">
        <v>27</v>
      </c>
      <c r="B1572" s="3" t="s">
        <v>44</v>
      </c>
      <c r="C1572" s="3" t="s">
        <v>23</v>
      </c>
      <c r="D1572" s="3" t="s">
        <v>45</v>
      </c>
      <c r="E1572" s="3" t="s">
        <v>53</v>
      </c>
      <c r="F1572" s="3" t="s">
        <v>55</v>
      </c>
      <c r="G1572" s="3" t="s">
        <v>25</v>
      </c>
      <c r="H1572" s="3" t="s">
        <v>25</v>
      </c>
      <c r="I1572" s="6">
        <v>44440</v>
      </c>
      <c r="J1572" s="4">
        <v>0</v>
      </c>
      <c r="K1572" s="4">
        <v>0</v>
      </c>
      <c r="L1572" s="4">
        <v>-5.0880000000000001</v>
      </c>
      <c r="M1572" s="4">
        <v>-1.3737600000000001</v>
      </c>
      <c r="N1572" s="4">
        <v>-5.0880000000000001</v>
      </c>
      <c r="O1572" s="4">
        <v>-1.3737600000000001</v>
      </c>
      <c r="P1572" s="4">
        <v>0</v>
      </c>
      <c r="Q1572" s="3" t="s">
        <v>26</v>
      </c>
      <c r="R1572" s="3">
        <v>0</v>
      </c>
      <c r="S1572" s="3" t="s">
        <v>509</v>
      </c>
      <c r="T1572" s="3" t="s">
        <v>790</v>
      </c>
      <c r="U1572" s="3">
        <v>0</v>
      </c>
      <c r="V1572" s="3">
        <v>34</v>
      </c>
      <c r="W1572" s="3">
        <v>53</v>
      </c>
    </row>
    <row r="1573" spans="1:23" ht="11.25" customHeight="1" x14ac:dyDescent="0.25">
      <c r="A1573" s="3" t="s">
        <v>28</v>
      </c>
      <c r="B1573" s="3" t="s">
        <v>44</v>
      </c>
      <c r="C1573" s="3" t="s">
        <v>23</v>
      </c>
      <c r="D1573" s="3" t="s">
        <v>45</v>
      </c>
      <c r="E1573" s="3" t="s">
        <v>53</v>
      </c>
      <c r="F1573" s="3" t="s">
        <v>55</v>
      </c>
      <c r="G1573" s="3" t="s">
        <v>25</v>
      </c>
      <c r="H1573" s="3" t="s">
        <v>25</v>
      </c>
      <c r="I1573" s="6">
        <v>44440</v>
      </c>
      <c r="J1573" s="4">
        <v>0</v>
      </c>
      <c r="K1573" s="4">
        <v>0</v>
      </c>
      <c r="L1573" s="4">
        <v>0.40799999999999997</v>
      </c>
      <c r="M1573" s="4">
        <v>0.11015999999999999</v>
      </c>
      <c r="N1573" s="4">
        <v>0.40799999999999997</v>
      </c>
      <c r="O1573" s="4">
        <v>0.11015999999999999</v>
      </c>
      <c r="P1573" s="4">
        <v>0</v>
      </c>
      <c r="Q1573" s="3" t="s">
        <v>26</v>
      </c>
      <c r="R1573" s="3">
        <v>0</v>
      </c>
      <c r="S1573" s="3" t="s">
        <v>509</v>
      </c>
      <c r="T1573" s="3" t="s">
        <v>790</v>
      </c>
      <c r="U1573" s="3">
        <v>0</v>
      </c>
      <c r="V1573" s="3">
        <v>34</v>
      </c>
      <c r="W1573" s="3">
        <v>53</v>
      </c>
    </row>
    <row r="1574" spans="1:23" ht="11.25" customHeight="1" x14ac:dyDescent="0.25">
      <c r="A1574" s="3" t="s">
        <v>21</v>
      </c>
      <c r="B1574" s="3" t="s">
        <v>44</v>
      </c>
      <c r="C1574" s="3" t="s">
        <v>23</v>
      </c>
      <c r="D1574" s="3" t="s">
        <v>45</v>
      </c>
      <c r="E1574" s="3" t="s">
        <v>53</v>
      </c>
      <c r="F1574" s="3" t="s">
        <v>55</v>
      </c>
      <c r="G1574" s="3" t="s">
        <v>25</v>
      </c>
      <c r="H1574" s="3" t="s">
        <v>25</v>
      </c>
      <c r="I1574" s="6">
        <v>44470</v>
      </c>
      <c r="J1574" s="4">
        <v>0</v>
      </c>
      <c r="K1574" s="4">
        <v>0</v>
      </c>
      <c r="L1574" s="4">
        <v>387.99700000000001</v>
      </c>
      <c r="M1574" s="4">
        <v>104.75919</v>
      </c>
      <c r="N1574" s="4">
        <v>387.99700000000001</v>
      </c>
      <c r="O1574" s="4">
        <v>104.75919</v>
      </c>
      <c r="P1574" s="4">
        <v>0</v>
      </c>
      <c r="Q1574" s="3" t="s">
        <v>26</v>
      </c>
      <c r="R1574" s="3">
        <v>0</v>
      </c>
      <c r="S1574" s="3" t="s">
        <v>510</v>
      </c>
      <c r="T1574" s="3" t="s">
        <v>791</v>
      </c>
      <c r="U1574" s="3">
        <v>0</v>
      </c>
      <c r="V1574" s="3">
        <v>34</v>
      </c>
      <c r="W1574" s="3">
        <v>53</v>
      </c>
    </row>
    <row r="1575" spans="1:23" ht="11.25" customHeight="1" x14ac:dyDescent="0.25">
      <c r="A1575" s="3" t="s">
        <v>27</v>
      </c>
      <c r="B1575" s="3" t="s">
        <v>44</v>
      </c>
      <c r="C1575" s="3" t="s">
        <v>23</v>
      </c>
      <c r="D1575" s="3" t="s">
        <v>45</v>
      </c>
      <c r="E1575" s="3" t="s">
        <v>53</v>
      </c>
      <c r="F1575" s="3" t="s">
        <v>55</v>
      </c>
      <c r="G1575" s="3" t="s">
        <v>25</v>
      </c>
      <c r="H1575" s="3" t="s">
        <v>25</v>
      </c>
      <c r="I1575" s="6">
        <v>44470</v>
      </c>
      <c r="J1575" s="4">
        <v>0</v>
      </c>
      <c r="K1575" s="4">
        <v>0</v>
      </c>
      <c r="L1575" s="4">
        <v>2.5510000000000002</v>
      </c>
      <c r="M1575" s="4">
        <v>0.68876999999999999</v>
      </c>
      <c r="N1575" s="4">
        <v>2.5510000000000002</v>
      </c>
      <c r="O1575" s="4">
        <v>0.68876999999999999</v>
      </c>
      <c r="P1575" s="4">
        <v>0</v>
      </c>
      <c r="Q1575" s="3" t="s">
        <v>26</v>
      </c>
      <c r="R1575" s="3">
        <v>0</v>
      </c>
      <c r="S1575" s="3" t="s">
        <v>510</v>
      </c>
      <c r="T1575" s="3" t="s">
        <v>791</v>
      </c>
      <c r="U1575" s="3">
        <v>0</v>
      </c>
      <c r="V1575" s="3">
        <v>34</v>
      </c>
      <c r="W1575" s="3">
        <v>53</v>
      </c>
    </row>
    <row r="1576" spans="1:23" ht="11.25" customHeight="1" x14ac:dyDescent="0.25">
      <c r="A1576" s="3" t="s">
        <v>28</v>
      </c>
      <c r="B1576" s="3" t="s">
        <v>44</v>
      </c>
      <c r="C1576" s="3" t="s">
        <v>23</v>
      </c>
      <c r="D1576" s="3" t="s">
        <v>45</v>
      </c>
      <c r="E1576" s="3" t="s">
        <v>53</v>
      </c>
      <c r="F1576" s="3" t="s">
        <v>55</v>
      </c>
      <c r="G1576" s="3" t="s">
        <v>25</v>
      </c>
      <c r="H1576" s="3" t="s">
        <v>25</v>
      </c>
      <c r="I1576" s="6">
        <v>44470</v>
      </c>
      <c r="J1576" s="4">
        <v>0</v>
      </c>
      <c r="K1576" s="4">
        <v>0</v>
      </c>
      <c r="L1576" s="4">
        <v>1.5389999999999999</v>
      </c>
      <c r="M1576" s="4">
        <v>0.41553000000000001</v>
      </c>
      <c r="N1576" s="4">
        <v>1.5389999999999999</v>
      </c>
      <c r="O1576" s="4">
        <v>0.41553000000000001</v>
      </c>
      <c r="P1576" s="4">
        <v>0</v>
      </c>
      <c r="Q1576" s="3" t="s">
        <v>26</v>
      </c>
      <c r="R1576" s="3">
        <v>0</v>
      </c>
      <c r="S1576" s="3" t="s">
        <v>510</v>
      </c>
      <c r="T1576" s="3" t="s">
        <v>791</v>
      </c>
      <c r="U1576" s="3">
        <v>0</v>
      </c>
      <c r="V1576" s="3">
        <v>34</v>
      </c>
      <c r="W1576" s="3">
        <v>53</v>
      </c>
    </row>
    <row r="1577" spans="1:23" ht="11.25" customHeight="1" x14ac:dyDescent="0.25">
      <c r="A1577" s="3" t="s">
        <v>21</v>
      </c>
      <c r="B1577" s="3" t="s">
        <v>44</v>
      </c>
      <c r="C1577" s="3" t="s">
        <v>23</v>
      </c>
      <c r="D1577" s="3" t="s">
        <v>45</v>
      </c>
      <c r="E1577" s="3" t="s">
        <v>53</v>
      </c>
      <c r="F1577" s="3" t="s">
        <v>55</v>
      </c>
      <c r="G1577" s="3" t="s">
        <v>25</v>
      </c>
      <c r="H1577" s="3" t="s">
        <v>25</v>
      </c>
      <c r="I1577" s="6">
        <v>44501</v>
      </c>
      <c r="J1577" s="4">
        <v>0</v>
      </c>
      <c r="K1577" s="4">
        <v>0</v>
      </c>
      <c r="L1577" s="4">
        <v>388.52300000000002</v>
      </c>
      <c r="M1577" s="4">
        <v>104.90121000000001</v>
      </c>
      <c r="N1577" s="4">
        <v>388.52300000000002</v>
      </c>
      <c r="O1577" s="4">
        <v>104.90121000000001</v>
      </c>
      <c r="P1577" s="4">
        <v>0</v>
      </c>
      <c r="Q1577" s="3" t="s">
        <v>26</v>
      </c>
      <c r="R1577" s="3">
        <v>0</v>
      </c>
      <c r="S1577" s="3" t="s">
        <v>511</v>
      </c>
      <c r="T1577" s="3" t="s">
        <v>792</v>
      </c>
      <c r="U1577" s="3">
        <v>0</v>
      </c>
      <c r="V1577" s="3">
        <v>34</v>
      </c>
      <c r="W1577" s="3">
        <v>53</v>
      </c>
    </row>
    <row r="1578" spans="1:23" ht="11.25" customHeight="1" x14ac:dyDescent="0.25">
      <c r="A1578" s="3" t="s">
        <v>27</v>
      </c>
      <c r="B1578" s="3" t="s">
        <v>44</v>
      </c>
      <c r="C1578" s="3" t="s">
        <v>23</v>
      </c>
      <c r="D1578" s="3" t="s">
        <v>45</v>
      </c>
      <c r="E1578" s="3" t="s">
        <v>53</v>
      </c>
      <c r="F1578" s="3" t="s">
        <v>55</v>
      </c>
      <c r="G1578" s="3" t="s">
        <v>25</v>
      </c>
      <c r="H1578" s="3" t="s">
        <v>25</v>
      </c>
      <c r="I1578" s="6">
        <v>44501</v>
      </c>
      <c r="J1578" s="4">
        <v>0</v>
      </c>
      <c r="K1578" s="4">
        <v>0</v>
      </c>
      <c r="L1578" s="4">
        <v>-8.1</v>
      </c>
      <c r="M1578" s="4">
        <v>-2.1869999999999998</v>
      </c>
      <c r="N1578" s="4">
        <v>-8.1</v>
      </c>
      <c r="O1578" s="4">
        <v>-2.1869999999999998</v>
      </c>
      <c r="P1578" s="4">
        <v>0</v>
      </c>
      <c r="Q1578" s="3" t="s">
        <v>26</v>
      </c>
      <c r="R1578" s="3">
        <v>0</v>
      </c>
      <c r="S1578" s="3" t="s">
        <v>511</v>
      </c>
      <c r="T1578" s="3" t="s">
        <v>792</v>
      </c>
      <c r="U1578" s="3">
        <v>0</v>
      </c>
      <c r="V1578" s="3">
        <v>34</v>
      </c>
      <c r="W1578" s="3">
        <v>53</v>
      </c>
    </row>
    <row r="1579" spans="1:23" ht="11.25" customHeight="1" x14ac:dyDescent="0.25">
      <c r="A1579" s="3" t="s">
        <v>28</v>
      </c>
      <c r="B1579" s="3" t="s">
        <v>44</v>
      </c>
      <c r="C1579" s="3" t="s">
        <v>23</v>
      </c>
      <c r="D1579" s="3" t="s">
        <v>45</v>
      </c>
      <c r="E1579" s="3" t="s">
        <v>53</v>
      </c>
      <c r="F1579" s="3" t="s">
        <v>55</v>
      </c>
      <c r="G1579" s="3" t="s">
        <v>25</v>
      </c>
      <c r="H1579" s="3" t="s">
        <v>25</v>
      </c>
      <c r="I1579" s="6">
        <v>44501</v>
      </c>
      <c r="J1579" s="4">
        <v>0</v>
      </c>
      <c r="K1579" s="4">
        <v>0</v>
      </c>
      <c r="L1579" s="4">
        <v>1.032</v>
      </c>
      <c r="M1579" s="4">
        <v>0.27864</v>
      </c>
      <c r="N1579" s="4">
        <v>1.032</v>
      </c>
      <c r="O1579" s="4">
        <v>0.27864</v>
      </c>
      <c r="P1579" s="4">
        <v>0</v>
      </c>
      <c r="Q1579" s="3" t="s">
        <v>26</v>
      </c>
      <c r="R1579" s="3">
        <v>0</v>
      </c>
      <c r="S1579" s="3" t="s">
        <v>511</v>
      </c>
      <c r="T1579" s="3" t="s">
        <v>792</v>
      </c>
      <c r="U1579" s="3">
        <v>0</v>
      </c>
      <c r="V1579" s="3">
        <v>34</v>
      </c>
      <c r="W1579" s="3">
        <v>53</v>
      </c>
    </row>
    <row r="1580" spans="1:23" ht="11.25" customHeight="1" x14ac:dyDescent="0.25">
      <c r="A1580" s="3" t="s">
        <v>21</v>
      </c>
      <c r="B1580" s="3" t="s">
        <v>44</v>
      </c>
      <c r="C1580" s="3" t="s">
        <v>23</v>
      </c>
      <c r="D1580" s="3" t="s">
        <v>45</v>
      </c>
      <c r="E1580" s="3" t="s">
        <v>53</v>
      </c>
      <c r="F1580" s="3" t="s">
        <v>55</v>
      </c>
      <c r="G1580" s="3" t="s">
        <v>25</v>
      </c>
      <c r="H1580" s="3" t="s">
        <v>25</v>
      </c>
      <c r="I1580" s="6">
        <v>44531</v>
      </c>
      <c r="J1580" s="4">
        <v>0</v>
      </c>
      <c r="K1580" s="4">
        <v>0</v>
      </c>
      <c r="L1580" s="4">
        <v>360.911</v>
      </c>
      <c r="M1580" s="4">
        <v>97.445970000000003</v>
      </c>
      <c r="N1580" s="4">
        <v>360.911</v>
      </c>
      <c r="O1580" s="4">
        <v>97.445970000000003</v>
      </c>
      <c r="P1580" s="4">
        <v>0</v>
      </c>
      <c r="Q1580" s="3" t="s">
        <v>26</v>
      </c>
      <c r="R1580" s="3">
        <v>0</v>
      </c>
      <c r="S1580" s="3" t="s">
        <v>512</v>
      </c>
      <c r="T1580" s="3" t="s">
        <v>793</v>
      </c>
      <c r="U1580" s="3">
        <v>0</v>
      </c>
      <c r="V1580" s="3">
        <v>34</v>
      </c>
      <c r="W1580" s="3">
        <v>53</v>
      </c>
    </row>
    <row r="1581" spans="1:23" ht="11.25" customHeight="1" x14ac:dyDescent="0.25">
      <c r="A1581" s="3" t="s">
        <v>27</v>
      </c>
      <c r="B1581" s="3" t="s">
        <v>44</v>
      </c>
      <c r="C1581" s="3" t="s">
        <v>23</v>
      </c>
      <c r="D1581" s="3" t="s">
        <v>45</v>
      </c>
      <c r="E1581" s="3" t="s">
        <v>53</v>
      </c>
      <c r="F1581" s="3" t="s">
        <v>55</v>
      </c>
      <c r="G1581" s="3" t="s">
        <v>25</v>
      </c>
      <c r="H1581" s="3" t="s">
        <v>25</v>
      </c>
      <c r="I1581" s="6">
        <v>44531</v>
      </c>
      <c r="J1581" s="4">
        <v>0</v>
      </c>
      <c r="K1581" s="4">
        <v>0</v>
      </c>
      <c r="L1581" s="4">
        <v>-6.673</v>
      </c>
      <c r="M1581" s="4">
        <v>-1.8017099999999999</v>
      </c>
      <c r="N1581" s="4">
        <v>-6.673</v>
      </c>
      <c r="O1581" s="4">
        <v>-1.8017099999999999</v>
      </c>
      <c r="P1581" s="4">
        <v>0</v>
      </c>
      <c r="Q1581" s="3" t="s">
        <v>26</v>
      </c>
      <c r="R1581" s="3">
        <v>0</v>
      </c>
      <c r="S1581" s="3" t="s">
        <v>512</v>
      </c>
      <c r="T1581" s="3" t="s">
        <v>793</v>
      </c>
      <c r="U1581" s="3">
        <v>0</v>
      </c>
      <c r="V1581" s="3">
        <v>34</v>
      </c>
      <c r="W1581" s="3">
        <v>53</v>
      </c>
    </row>
    <row r="1582" spans="1:23" ht="11.25" customHeight="1" x14ac:dyDescent="0.25">
      <c r="A1582" s="3" t="s">
        <v>28</v>
      </c>
      <c r="B1582" s="3" t="s">
        <v>44</v>
      </c>
      <c r="C1582" s="3" t="s">
        <v>23</v>
      </c>
      <c r="D1582" s="3" t="s">
        <v>45</v>
      </c>
      <c r="E1582" s="3" t="s">
        <v>53</v>
      </c>
      <c r="F1582" s="3" t="s">
        <v>55</v>
      </c>
      <c r="G1582" s="3" t="s">
        <v>25</v>
      </c>
      <c r="H1582" s="3" t="s">
        <v>25</v>
      </c>
      <c r="I1582" s="6">
        <v>44531</v>
      </c>
      <c r="J1582" s="4">
        <v>0</v>
      </c>
      <c r="K1582" s="4">
        <v>0</v>
      </c>
      <c r="L1582" s="4">
        <v>0.97099999999999997</v>
      </c>
      <c r="M1582" s="4">
        <v>0.26217000000000001</v>
      </c>
      <c r="N1582" s="4">
        <v>0.97099999999999997</v>
      </c>
      <c r="O1582" s="4">
        <v>0.26217000000000001</v>
      </c>
      <c r="P1582" s="4">
        <v>0</v>
      </c>
      <c r="Q1582" s="3" t="s">
        <v>26</v>
      </c>
      <c r="R1582" s="3">
        <v>0</v>
      </c>
      <c r="S1582" s="3" t="s">
        <v>512</v>
      </c>
      <c r="T1582" s="3" t="s">
        <v>793</v>
      </c>
      <c r="U1582" s="3">
        <v>0</v>
      </c>
      <c r="V1582" s="3">
        <v>34</v>
      </c>
      <c r="W1582" s="3">
        <v>53</v>
      </c>
    </row>
    <row r="1583" spans="1:23" ht="11.25" customHeight="1" x14ac:dyDescent="0.25">
      <c r="A1583" s="3" t="s">
        <v>21</v>
      </c>
      <c r="B1583" s="3" t="s">
        <v>44</v>
      </c>
      <c r="C1583" s="3" t="s">
        <v>23</v>
      </c>
      <c r="D1583" s="3" t="s">
        <v>45</v>
      </c>
      <c r="E1583" s="3" t="s">
        <v>53</v>
      </c>
      <c r="F1583" s="3" t="s">
        <v>55</v>
      </c>
      <c r="G1583" s="3" t="s">
        <v>25</v>
      </c>
      <c r="H1583" s="3" t="s">
        <v>25</v>
      </c>
      <c r="I1583" s="6">
        <v>44562</v>
      </c>
      <c r="J1583" s="4">
        <v>0</v>
      </c>
      <c r="K1583" s="4">
        <v>0</v>
      </c>
      <c r="L1583" s="4">
        <v>321.29599999999999</v>
      </c>
      <c r="M1583" s="4">
        <v>86.749920000000003</v>
      </c>
      <c r="N1583" s="4">
        <v>321.29599999999999</v>
      </c>
      <c r="O1583" s="4">
        <v>86.749920000000003</v>
      </c>
      <c r="P1583" s="4">
        <v>0</v>
      </c>
      <c r="Q1583" s="3" t="s">
        <v>26</v>
      </c>
      <c r="R1583" s="3">
        <v>0</v>
      </c>
      <c r="S1583" s="3" t="s">
        <v>513</v>
      </c>
      <c r="T1583" s="3" t="s">
        <v>794</v>
      </c>
      <c r="U1583" s="3">
        <v>0</v>
      </c>
      <c r="V1583" s="3">
        <v>34</v>
      </c>
      <c r="W1583" s="3">
        <v>53</v>
      </c>
    </row>
    <row r="1584" spans="1:23" ht="11.25" customHeight="1" x14ac:dyDescent="0.25">
      <c r="A1584" s="3" t="s">
        <v>28</v>
      </c>
      <c r="B1584" s="3" t="s">
        <v>44</v>
      </c>
      <c r="C1584" s="3" t="s">
        <v>23</v>
      </c>
      <c r="D1584" s="3" t="s">
        <v>45</v>
      </c>
      <c r="E1584" s="3" t="s">
        <v>53</v>
      </c>
      <c r="F1584" s="3" t="s">
        <v>55</v>
      </c>
      <c r="G1584" s="3" t="s">
        <v>25</v>
      </c>
      <c r="H1584" s="3" t="s">
        <v>25</v>
      </c>
      <c r="I1584" s="6">
        <v>44562</v>
      </c>
      <c r="J1584" s="4">
        <v>0</v>
      </c>
      <c r="K1584" s="4">
        <v>0</v>
      </c>
      <c r="L1584" s="4">
        <v>1.0580000000000001</v>
      </c>
      <c r="M1584" s="4">
        <v>0.28566000000000003</v>
      </c>
      <c r="N1584" s="4">
        <v>1.0580000000000001</v>
      </c>
      <c r="O1584" s="4">
        <v>0.28566000000000003</v>
      </c>
      <c r="P1584" s="4">
        <v>0</v>
      </c>
      <c r="Q1584" s="3" t="s">
        <v>26</v>
      </c>
      <c r="R1584" s="3">
        <v>0</v>
      </c>
      <c r="S1584" s="3" t="s">
        <v>513</v>
      </c>
      <c r="T1584" s="3" t="s">
        <v>794</v>
      </c>
      <c r="U1584" s="3">
        <v>0</v>
      </c>
      <c r="V1584" s="3">
        <v>34</v>
      </c>
      <c r="W1584" s="3">
        <v>53</v>
      </c>
    </row>
    <row r="1585" spans="1:23" ht="11.25" customHeight="1" x14ac:dyDescent="0.25">
      <c r="A1585" s="3" t="s">
        <v>21</v>
      </c>
      <c r="B1585" s="3" t="s">
        <v>44</v>
      </c>
      <c r="C1585" s="3" t="s">
        <v>23</v>
      </c>
      <c r="D1585" s="3" t="s">
        <v>45</v>
      </c>
      <c r="E1585" s="3" t="s">
        <v>53</v>
      </c>
      <c r="F1585" s="3" t="s">
        <v>55</v>
      </c>
      <c r="G1585" s="3" t="s">
        <v>25</v>
      </c>
      <c r="H1585" s="3" t="s">
        <v>25</v>
      </c>
      <c r="I1585" s="6">
        <v>44593</v>
      </c>
      <c r="J1585" s="4">
        <v>0</v>
      </c>
      <c r="K1585" s="4">
        <v>0</v>
      </c>
      <c r="L1585" s="4">
        <v>475.80099999999999</v>
      </c>
      <c r="M1585" s="4">
        <v>128.46627000000001</v>
      </c>
      <c r="N1585" s="4">
        <v>475.80099999999999</v>
      </c>
      <c r="O1585" s="4">
        <v>128.46627000000001</v>
      </c>
      <c r="P1585" s="4">
        <v>0</v>
      </c>
      <c r="Q1585" s="3" t="s">
        <v>26</v>
      </c>
      <c r="R1585" s="3">
        <v>0</v>
      </c>
      <c r="S1585" s="3" t="s">
        <v>514</v>
      </c>
      <c r="T1585" s="3" t="s">
        <v>795</v>
      </c>
      <c r="U1585" s="3">
        <v>0</v>
      </c>
      <c r="V1585" s="3">
        <v>34</v>
      </c>
      <c r="W1585" s="3">
        <v>53</v>
      </c>
    </row>
    <row r="1586" spans="1:23" ht="11.25" customHeight="1" x14ac:dyDescent="0.25">
      <c r="A1586" s="3" t="s">
        <v>28</v>
      </c>
      <c r="B1586" s="3" t="s">
        <v>44</v>
      </c>
      <c r="C1586" s="3" t="s">
        <v>23</v>
      </c>
      <c r="D1586" s="3" t="s">
        <v>45</v>
      </c>
      <c r="E1586" s="3" t="s">
        <v>53</v>
      </c>
      <c r="F1586" s="3" t="s">
        <v>55</v>
      </c>
      <c r="G1586" s="3" t="s">
        <v>25</v>
      </c>
      <c r="H1586" s="3" t="s">
        <v>25</v>
      </c>
      <c r="I1586" s="6">
        <v>44593</v>
      </c>
      <c r="J1586" s="4">
        <v>0</v>
      </c>
      <c r="K1586" s="4">
        <v>0</v>
      </c>
      <c r="L1586" s="4">
        <v>1.107</v>
      </c>
      <c r="M1586" s="4">
        <v>0.29888999999999999</v>
      </c>
      <c r="N1586" s="4">
        <v>1.107</v>
      </c>
      <c r="O1586" s="4">
        <v>0.29888999999999999</v>
      </c>
      <c r="P1586" s="4">
        <v>0</v>
      </c>
      <c r="Q1586" s="3" t="s">
        <v>26</v>
      </c>
      <c r="R1586" s="3">
        <v>0</v>
      </c>
      <c r="S1586" s="3" t="s">
        <v>514</v>
      </c>
      <c r="T1586" s="3" t="s">
        <v>795</v>
      </c>
      <c r="U1586" s="3">
        <v>0</v>
      </c>
      <c r="V1586" s="3">
        <v>34</v>
      </c>
      <c r="W1586" s="3">
        <v>53</v>
      </c>
    </row>
    <row r="1587" spans="1:23" ht="11.25" customHeight="1" x14ac:dyDescent="0.25">
      <c r="A1587" s="3" t="s">
        <v>56</v>
      </c>
      <c r="B1587" s="3" t="s">
        <v>44</v>
      </c>
      <c r="C1587" s="3" t="s">
        <v>23</v>
      </c>
      <c r="D1587" s="3" t="s">
        <v>45</v>
      </c>
      <c r="E1587" s="3" t="s">
        <v>53</v>
      </c>
      <c r="F1587" s="3" t="s">
        <v>55</v>
      </c>
      <c r="G1587" s="3" t="s">
        <v>25</v>
      </c>
      <c r="H1587" s="3" t="s">
        <v>25</v>
      </c>
      <c r="I1587" s="6">
        <v>44621</v>
      </c>
      <c r="J1587" s="4">
        <v>0</v>
      </c>
      <c r="K1587" s="4">
        <v>0</v>
      </c>
      <c r="L1587" s="4">
        <v>475.80099999999999</v>
      </c>
      <c r="M1587" s="4">
        <v>128.46627000000001</v>
      </c>
      <c r="N1587" s="4">
        <v>475.80099999999999</v>
      </c>
      <c r="O1587" s="4">
        <v>128.46627000000001</v>
      </c>
      <c r="P1587" s="4">
        <v>0</v>
      </c>
      <c r="Q1587" s="3" t="s">
        <v>26</v>
      </c>
      <c r="R1587" s="3">
        <v>0</v>
      </c>
      <c r="S1587" s="3" t="s">
        <v>515</v>
      </c>
      <c r="T1587" s="3" t="s">
        <v>796</v>
      </c>
      <c r="U1587" s="3">
        <v>0</v>
      </c>
      <c r="V1587" s="3">
        <v>34</v>
      </c>
      <c r="W1587" s="3">
        <v>53</v>
      </c>
    </row>
    <row r="1588" spans="1:23" ht="11.25" customHeight="1" x14ac:dyDescent="0.25">
      <c r="A1588" s="3" t="s">
        <v>56</v>
      </c>
      <c r="B1588" s="3" t="s">
        <v>44</v>
      </c>
      <c r="C1588" s="3" t="s">
        <v>23</v>
      </c>
      <c r="D1588" s="3" t="s">
        <v>45</v>
      </c>
      <c r="E1588" s="3" t="s">
        <v>53</v>
      </c>
      <c r="F1588" s="3" t="s">
        <v>55</v>
      </c>
      <c r="G1588" s="3" t="s">
        <v>25</v>
      </c>
      <c r="H1588" s="3" t="s">
        <v>25</v>
      </c>
      <c r="I1588" s="6">
        <v>44621</v>
      </c>
      <c r="J1588" s="4">
        <v>0</v>
      </c>
      <c r="K1588" s="4">
        <v>0</v>
      </c>
      <c r="L1588" s="4">
        <v>1.107</v>
      </c>
      <c r="M1588" s="4">
        <v>0.29888999999999999</v>
      </c>
      <c r="N1588" s="4">
        <v>1.107</v>
      </c>
      <c r="O1588" s="4">
        <v>0.29888999999999999</v>
      </c>
      <c r="P1588" s="4">
        <v>0</v>
      </c>
      <c r="Q1588" s="3" t="s">
        <v>26</v>
      </c>
      <c r="R1588" s="3">
        <v>0</v>
      </c>
      <c r="S1588" s="3" t="s">
        <v>515</v>
      </c>
      <c r="T1588" s="3" t="s">
        <v>796</v>
      </c>
      <c r="U1588" s="3">
        <v>0</v>
      </c>
      <c r="V1588" s="3">
        <v>34</v>
      </c>
      <c r="W1588" s="3">
        <v>53</v>
      </c>
    </row>
    <row r="1589" spans="1:23" ht="11.25" customHeight="1" x14ac:dyDescent="0.25">
      <c r="A1589" s="3" t="s">
        <v>21</v>
      </c>
      <c r="B1589" s="3" t="s">
        <v>44</v>
      </c>
      <c r="C1589" s="3" t="s">
        <v>23</v>
      </c>
      <c r="D1589" s="3" t="s">
        <v>45</v>
      </c>
      <c r="E1589" s="3" t="s">
        <v>25</v>
      </c>
      <c r="F1589" s="3" t="s">
        <v>25</v>
      </c>
      <c r="G1589" s="3" t="s">
        <v>25</v>
      </c>
      <c r="H1589" s="3" t="s">
        <v>25</v>
      </c>
      <c r="I1589" s="6">
        <v>44287</v>
      </c>
      <c r="J1589" s="4">
        <v>0</v>
      </c>
      <c r="K1589" s="4">
        <v>0</v>
      </c>
      <c r="L1589" s="4">
        <v>5373.0360000000001</v>
      </c>
      <c r="M1589" s="4">
        <v>5373.0360000000001</v>
      </c>
      <c r="N1589" s="4">
        <v>5373.0360000000001</v>
      </c>
      <c r="O1589" s="4">
        <v>5373.0360000000001</v>
      </c>
      <c r="P1589" s="4">
        <v>22764</v>
      </c>
      <c r="Q1589" s="3" t="s">
        <v>26</v>
      </c>
      <c r="R1589" s="3">
        <v>0</v>
      </c>
      <c r="S1589" s="3" t="s">
        <v>504</v>
      </c>
      <c r="T1589" s="3" t="s">
        <v>785</v>
      </c>
      <c r="U1589" s="3">
        <v>0</v>
      </c>
      <c r="V1589" s="3">
        <v>34</v>
      </c>
      <c r="W1589" s="3">
        <v>53</v>
      </c>
    </row>
    <row r="1590" spans="1:23" ht="11.25" customHeight="1" x14ac:dyDescent="0.25">
      <c r="A1590" s="3" t="s">
        <v>27</v>
      </c>
      <c r="B1590" s="3" t="s">
        <v>44</v>
      </c>
      <c r="C1590" s="3" t="s">
        <v>23</v>
      </c>
      <c r="D1590" s="3" t="s">
        <v>45</v>
      </c>
      <c r="E1590" s="3" t="s">
        <v>25</v>
      </c>
      <c r="F1590" s="3" t="s">
        <v>25</v>
      </c>
      <c r="G1590" s="3" t="s">
        <v>25</v>
      </c>
      <c r="H1590" s="3" t="s">
        <v>25</v>
      </c>
      <c r="I1590" s="6">
        <v>44287</v>
      </c>
      <c r="J1590" s="4">
        <v>0</v>
      </c>
      <c r="K1590" s="4">
        <v>0</v>
      </c>
      <c r="L1590" s="4">
        <v>-0.26</v>
      </c>
      <c r="M1590" s="4">
        <v>-0.26</v>
      </c>
      <c r="N1590" s="4">
        <v>-0.26</v>
      </c>
      <c r="O1590" s="4">
        <v>-0.26</v>
      </c>
      <c r="P1590" s="4">
        <v>-2</v>
      </c>
      <c r="Q1590" s="3" t="s">
        <v>26</v>
      </c>
      <c r="R1590" s="3">
        <v>0</v>
      </c>
      <c r="S1590" s="3" t="s">
        <v>504</v>
      </c>
      <c r="T1590" s="3" t="s">
        <v>785</v>
      </c>
      <c r="U1590" s="3">
        <v>0</v>
      </c>
      <c r="V1590" s="3">
        <v>34</v>
      </c>
      <c r="W1590" s="3">
        <v>53</v>
      </c>
    </row>
    <row r="1591" spans="1:23" ht="11.25" customHeight="1" x14ac:dyDescent="0.25">
      <c r="A1591" s="3" t="s">
        <v>28</v>
      </c>
      <c r="B1591" s="3" t="s">
        <v>44</v>
      </c>
      <c r="C1591" s="3" t="s">
        <v>23</v>
      </c>
      <c r="D1591" s="3" t="s">
        <v>45</v>
      </c>
      <c r="E1591" s="3" t="s">
        <v>25</v>
      </c>
      <c r="F1591" s="3" t="s">
        <v>25</v>
      </c>
      <c r="G1591" s="3" t="s">
        <v>25</v>
      </c>
      <c r="H1591" s="3" t="s">
        <v>25</v>
      </c>
      <c r="I1591" s="6">
        <v>44287</v>
      </c>
      <c r="J1591" s="4">
        <v>0</v>
      </c>
      <c r="K1591" s="4">
        <v>0</v>
      </c>
      <c r="L1591" s="4">
        <v>83.564999999999998</v>
      </c>
      <c r="M1591" s="4">
        <v>83.564999999999998</v>
      </c>
      <c r="N1591" s="4">
        <v>83.564999999999998</v>
      </c>
      <c r="O1591" s="4">
        <v>83.564999999999998</v>
      </c>
      <c r="P1591" s="4">
        <v>152</v>
      </c>
      <c r="Q1591" s="3" t="s">
        <v>26</v>
      </c>
      <c r="R1591" s="3">
        <v>0</v>
      </c>
      <c r="S1591" s="3" t="s">
        <v>504</v>
      </c>
      <c r="T1591" s="3" t="s">
        <v>785</v>
      </c>
      <c r="U1591" s="3">
        <v>0</v>
      </c>
      <c r="V1591" s="3">
        <v>34</v>
      </c>
      <c r="W1591" s="3">
        <v>53</v>
      </c>
    </row>
    <row r="1592" spans="1:23" ht="11.25" customHeight="1" x14ac:dyDescent="0.25">
      <c r="A1592" s="3" t="s">
        <v>21</v>
      </c>
      <c r="B1592" s="3" t="s">
        <v>44</v>
      </c>
      <c r="C1592" s="3" t="s">
        <v>23</v>
      </c>
      <c r="D1592" s="3" t="s">
        <v>45</v>
      </c>
      <c r="E1592" s="3" t="s">
        <v>25</v>
      </c>
      <c r="F1592" s="3" t="s">
        <v>25</v>
      </c>
      <c r="G1592" s="3" t="s">
        <v>25</v>
      </c>
      <c r="H1592" s="3" t="s">
        <v>25</v>
      </c>
      <c r="I1592" s="6">
        <v>44317</v>
      </c>
      <c r="J1592" s="4">
        <v>0</v>
      </c>
      <c r="K1592" s="4">
        <v>0</v>
      </c>
      <c r="L1592" s="4">
        <v>4323.9170000000004</v>
      </c>
      <c r="M1592" s="4">
        <v>4323.9170000000004</v>
      </c>
      <c r="N1592" s="4">
        <v>4323.9170000000004</v>
      </c>
      <c r="O1592" s="4">
        <v>4323.9170000000004</v>
      </c>
      <c r="P1592" s="4">
        <v>22763</v>
      </c>
      <c r="Q1592" s="3" t="s">
        <v>26</v>
      </c>
      <c r="R1592" s="3">
        <v>0</v>
      </c>
      <c r="S1592" s="3" t="s">
        <v>505</v>
      </c>
      <c r="T1592" s="3" t="s">
        <v>786</v>
      </c>
      <c r="U1592" s="3">
        <v>0</v>
      </c>
      <c r="V1592" s="3">
        <v>34</v>
      </c>
      <c r="W1592" s="3">
        <v>53</v>
      </c>
    </row>
    <row r="1593" spans="1:23" ht="11.25" customHeight="1" x14ac:dyDescent="0.25">
      <c r="A1593" s="3" t="s">
        <v>27</v>
      </c>
      <c r="B1593" s="3" t="s">
        <v>44</v>
      </c>
      <c r="C1593" s="3" t="s">
        <v>23</v>
      </c>
      <c r="D1593" s="3" t="s">
        <v>45</v>
      </c>
      <c r="E1593" s="3" t="s">
        <v>25</v>
      </c>
      <c r="F1593" s="3" t="s">
        <v>25</v>
      </c>
      <c r="G1593" s="3" t="s">
        <v>25</v>
      </c>
      <c r="H1593" s="3" t="s">
        <v>25</v>
      </c>
      <c r="I1593" s="6">
        <v>44317</v>
      </c>
      <c r="J1593" s="4">
        <v>0</v>
      </c>
      <c r="K1593" s="4">
        <v>0</v>
      </c>
      <c r="L1593" s="4">
        <v>-7.1609999999999996</v>
      </c>
      <c r="M1593" s="4">
        <v>-7.1609999999999996</v>
      </c>
      <c r="N1593" s="4">
        <v>-7.1609999999999996</v>
      </c>
      <c r="O1593" s="4">
        <v>-7.1609999999999996</v>
      </c>
      <c r="P1593" s="4">
        <v>-3</v>
      </c>
      <c r="Q1593" s="3" t="s">
        <v>26</v>
      </c>
      <c r="R1593" s="3">
        <v>0</v>
      </c>
      <c r="S1593" s="3" t="s">
        <v>505</v>
      </c>
      <c r="T1593" s="3" t="s">
        <v>786</v>
      </c>
      <c r="U1593" s="3">
        <v>0</v>
      </c>
      <c r="V1593" s="3">
        <v>34</v>
      </c>
      <c r="W1593" s="3">
        <v>53</v>
      </c>
    </row>
    <row r="1594" spans="1:23" ht="11.25" customHeight="1" x14ac:dyDescent="0.25">
      <c r="A1594" s="3" t="s">
        <v>28</v>
      </c>
      <c r="B1594" s="3" t="s">
        <v>44</v>
      </c>
      <c r="C1594" s="3" t="s">
        <v>23</v>
      </c>
      <c r="D1594" s="3" t="s">
        <v>45</v>
      </c>
      <c r="E1594" s="3" t="s">
        <v>25</v>
      </c>
      <c r="F1594" s="3" t="s">
        <v>25</v>
      </c>
      <c r="G1594" s="3" t="s">
        <v>25</v>
      </c>
      <c r="H1594" s="3" t="s">
        <v>25</v>
      </c>
      <c r="I1594" s="6">
        <v>44317</v>
      </c>
      <c r="J1594" s="4">
        <v>0</v>
      </c>
      <c r="K1594" s="4">
        <v>0</v>
      </c>
      <c r="L1594" s="4">
        <v>60.284999999999997</v>
      </c>
      <c r="M1594" s="4">
        <v>60.284999999999997</v>
      </c>
      <c r="N1594" s="4">
        <v>60.284999999999997</v>
      </c>
      <c r="O1594" s="4">
        <v>60.284999999999997</v>
      </c>
      <c r="P1594" s="4">
        <v>160</v>
      </c>
      <c r="Q1594" s="3" t="s">
        <v>26</v>
      </c>
      <c r="R1594" s="3">
        <v>0</v>
      </c>
      <c r="S1594" s="3" t="s">
        <v>505</v>
      </c>
      <c r="T1594" s="3" t="s">
        <v>786</v>
      </c>
      <c r="U1594" s="3">
        <v>0</v>
      </c>
      <c r="V1594" s="3">
        <v>34</v>
      </c>
      <c r="W1594" s="3">
        <v>53</v>
      </c>
    </row>
    <row r="1595" spans="1:23" ht="11.25" customHeight="1" x14ac:dyDescent="0.25">
      <c r="A1595" s="3" t="s">
        <v>21</v>
      </c>
      <c r="B1595" s="3" t="s">
        <v>44</v>
      </c>
      <c r="C1595" s="3" t="s">
        <v>23</v>
      </c>
      <c r="D1595" s="3" t="s">
        <v>45</v>
      </c>
      <c r="E1595" s="3" t="s">
        <v>25</v>
      </c>
      <c r="F1595" s="3" t="s">
        <v>25</v>
      </c>
      <c r="G1595" s="3" t="s">
        <v>25</v>
      </c>
      <c r="H1595" s="3" t="s">
        <v>25</v>
      </c>
      <c r="I1595" s="6">
        <v>44348</v>
      </c>
      <c r="J1595" s="4">
        <v>0</v>
      </c>
      <c r="K1595" s="4">
        <v>0</v>
      </c>
      <c r="L1595" s="4">
        <v>3880.1350000000002</v>
      </c>
      <c r="M1595" s="4">
        <v>3880.1350000000002</v>
      </c>
      <c r="N1595" s="4">
        <v>3880.1350000000002</v>
      </c>
      <c r="O1595" s="4">
        <v>3880.1350000000002</v>
      </c>
      <c r="P1595" s="4">
        <v>22750</v>
      </c>
      <c r="Q1595" s="3" t="s">
        <v>26</v>
      </c>
      <c r="R1595" s="3">
        <v>0</v>
      </c>
      <c r="S1595" s="3" t="s">
        <v>506</v>
      </c>
      <c r="T1595" s="3" t="s">
        <v>787</v>
      </c>
      <c r="U1595" s="3">
        <v>0</v>
      </c>
      <c r="V1595" s="3">
        <v>34</v>
      </c>
      <c r="W1595" s="3">
        <v>53</v>
      </c>
    </row>
    <row r="1596" spans="1:23" ht="11.25" customHeight="1" x14ac:dyDescent="0.25">
      <c r="A1596" s="3" t="s">
        <v>27</v>
      </c>
      <c r="B1596" s="3" t="s">
        <v>44</v>
      </c>
      <c r="C1596" s="3" t="s">
        <v>23</v>
      </c>
      <c r="D1596" s="3" t="s">
        <v>45</v>
      </c>
      <c r="E1596" s="3" t="s">
        <v>25</v>
      </c>
      <c r="F1596" s="3" t="s">
        <v>25</v>
      </c>
      <c r="G1596" s="3" t="s">
        <v>25</v>
      </c>
      <c r="H1596" s="3" t="s">
        <v>25</v>
      </c>
      <c r="I1596" s="6">
        <v>44348</v>
      </c>
      <c r="J1596" s="4">
        <v>0</v>
      </c>
      <c r="K1596" s="4">
        <v>0</v>
      </c>
      <c r="L1596" s="4">
        <v>-72.650999999999996</v>
      </c>
      <c r="M1596" s="4">
        <v>-72.650999999999996</v>
      </c>
      <c r="N1596" s="4">
        <v>-72.650999999999996</v>
      </c>
      <c r="O1596" s="4">
        <v>-72.650999999999996</v>
      </c>
      <c r="P1596" s="4">
        <v>-4</v>
      </c>
      <c r="Q1596" s="3" t="s">
        <v>26</v>
      </c>
      <c r="R1596" s="3">
        <v>0</v>
      </c>
      <c r="S1596" s="3" t="s">
        <v>506</v>
      </c>
      <c r="T1596" s="3" t="s">
        <v>787</v>
      </c>
      <c r="U1596" s="3">
        <v>0</v>
      </c>
      <c r="V1596" s="3">
        <v>34</v>
      </c>
      <c r="W1596" s="3">
        <v>53</v>
      </c>
    </row>
    <row r="1597" spans="1:23" ht="11.25" customHeight="1" x14ac:dyDescent="0.25">
      <c r="A1597" s="3" t="s">
        <v>28</v>
      </c>
      <c r="B1597" s="3" t="s">
        <v>44</v>
      </c>
      <c r="C1597" s="3" t="s">
        <v>23</v>
      </c>
      <c r="D1597" s="3" t="s">
        <v>45</v>
      </c>
      <c r="E1597" s="3" t="s">
        <v>25</v>
      </c>
      <c r="F1597" s="3" t="s">
        <v>25</v>
      </c>
      <c r="G1597" s="3" t="s">
        <v>25</v>
      </c>
      <c r="H1597" s="3" t="s">
        <v>25</v>
      </c>
      <c r="I1597" s="6">
        <v>44348</v>
      </c>
      <c r="J1597" s="4">
        <v>0</v>
      </c>
      <c r="K1597" s="4">
        <v>0</v>
      </c>
      <c r="L1597" s="4">
        <v>83.388999999999996</v>
      </c>
      <c r="M1597" s="4">
        <v>83.388999999999996</v>
      </c>
      <c r="N1597" s="4">
        <v>83.388999999999996</v>
      </c>
      <c r="O1597" s="4">
        <v>83.388999999999996</v>
      </c>
      <c r="P1597" s="4">
        <v>169</v>
      </c>
      <c r="Q1597" s="3" t="s">
        <v>26</v>
      </c>
      <c r="R1597" s="3">
        <v>0</v>
      </c>
      <c r="S1597" s="3" t="s">
        <v>506</v>
      </c>
      <c r="T1597" s="3" t="s">
        <v>787</v>
      </c>
      <c r="U1597" s="3">
        <v>0</v>
      </c>
      <c r="V1597" s="3">
        <v>34</v>
      </c>
      <c r="W1597" s="3">
        <v>53</v>
      </c>
    </row>
    <row r="1598" spans="1:23" ht="11.25" customHeight="1" x14ac:dyDescent="0.25">
      <c r="A1598" s="3" t="s">
        <v>28</v>
      </c>
      <c r="B1598" s="3" t="s">
        <v>44</v>
      </c>
      <c r="C1598" s="3" t="s">
        <v>23</v>
      </c>
      <c r="D1598" s="3" t="s">
        <v>45</v>
      </c>
      <c r="E1598" s="3" t="s">
        <v>25</v>
      </c>
      <c r="F1598" s="3" t="s">
        <v>25</v>
      </c>
      <c r="G1598" s="3" t="s">
        <v>25</v>
      </c>
      <c r="H1598" s="3" t="s">
        <v>25</v>
      </c>
      <c r="I1598" s="6">
        <v>44348</v>
      </c>
      <c r="J1598" s="4">
        <v>0</v>
      </c>
      <c r="K1598" s="4">
        <v>0</v>
      </c>
      <c r="L1598" s="4">
        <v>-0.57999999999999996</v>
      </c>
      <c r="M1598" s="4">
        <v>-0.57999999999999996</v>
      </c>
      <c r="N1598" s="4">
        <v>-0.57999999999999996</v>
      </c>
      <c r="O1598" s="4">
        <v>-0.57999999999999996</v>
      </c>
      <c r="P1598" s="4">
        <v>0</v>
      </c>
      <c r="Q1598" s="3" t="s">
        <v>26</v>
      </c>
      <c r="R1598" s="3">
        <v>0</v>
      </c>
      <c r="S1598" s="3" t="s">
        <v>506</v>
      </c>
      <c r="T1598" s="3" t="s">
        <v>787</v>
      </c>
      <c r="U1598" s="3">
        <v>0</v>
      </c>
      <c r="V1598" s="3">
        <v>34</v>
      </c>
      <c r="W1598" s="3">
        <v>53</v>
      </c>
    </row>
    <row r="1599" spans="1:23" ht="11.25" customHeight="1" x14ac:dyDescent="0.25">
      <c r="A1599" s="3" t="s">
        <v>21</v>
      </c>
      <c r="B1599" s="3" t="s">
        <v>44</v>
      </c>
      <c r="C1599" s="3" t="s">
        <v>23</v>
      </c>
      <c r="D1599" s="3" t="s">
        <v>45</v>
      </c>
      <c r="E1599" s="3" t="s">
        <v>25</v>
      </c>
      <c r="F1599" s="3" t="s">
        <v>25</v>
      </c>
      <c r="G1599" s="3" t="s">
        <v>25</v>
      </c>
      <c r="H1599" s="3" t="s">
        <v>25</v>
      </c>
      <c r="I1599" s="6">
        <v>44378</v>
      </c>
      <c r="J1599" s="4">
        <v>0</v>
      </c>
      <c r="K1599" s="4">
        <v>0</v>
      </c>
      <c r="L1599" s="4">
        <v>3885.18</v>
      </c>
      <c r="M1599" s="4">
        <v>3885.18</v>
      </c>
      <c r="N1599" s="4">
        <v>3885.18</v>
      </c>
      <c r="O1599" s="4">
        <v>3885.18</v>
      </c>
      <c r="P1599" s="4">
        <v>22755</v>
      </c>
      <c r="Q1599" s="3" t="s">
        <v>26</v>
      </c>
      <c r="R1599" s="3">
        <v>0</v>
      </c>
      <c r="S1599" s="3" t="s">
        <v>507</v>
      </c>
      <c r="T1599" s="3" t="s">
        <v>788</v>
      </c>
      <c r="U1599" s="3">
        <v>0</v>
      </c>
      <c r="V1599" s="3">
        <v>34</v>
      </c>
      <c r="W1599" s="3">
        <v>53</v>
      </c>
    </row>
    <row r="1600" spans="1:23" ht="11.25" customHeight="1" x14ac:dyDescent="0.25">
      <c r="A1600" s="3" t="s">
        <v>27</v>
      </c>
      <c r="B1600" s="3" t="s">
        <v>44</v>
      </c>
      <c r="C1600" s="3" t="s">
        <v>23</v>
      </c>
      <c r="D1600" s="3" t="s">
        <v>45</v>
      </c>
      <c r="E1600" s="3" t="s">
        <v>25</v>
      </c>
      <c r="F1600" s="3" t="s">
        <v>25</v>
      </c>
      <c r="G1600" s="3" t="s">
        <v>25</v>
      </c>
      <c r="H1600" s="3" t="s">
        <v>25</v>
      </c>
      <c r="I1600" s="6">
        <v>44378</v>
      </c>
      <c r="J1600" s="4">
        <v>0</v>
      </c>
      <c r="K1600" s="4">
        <v>0</v>
      </c>
      <c r="L1600" s="4">
        <v>-35.954000000000001</v>
      </c>
      <c r="M1600" s="4">
        <v>-35.954000000000001</v>
      </c>
      <c r="N1600" s="4">
        <v>-35.954000000000001</v>
      </c>
      <c r="O1600" s="4">
        <v>-35.954000000000001</v>
      </c>
      <c r="P1600" s="4">
        <v>-21</v>
      </c>
      <c r="Q1600" s="3" t="s">
        <v>26</v>
      </c>
      <c r="R1600" s="3">
        <v>0</v>
      </c>
      <c r="S1600" s="3" t="s">
        <v>507</v>
      </c>
      <c r="T1600" s="3" t="s">
        <v>788</v>
      </c>
      <c r="U1600" s="3">
        <v>0</v>
      </c>
      <c r="V1600" s="3">
        <v>34</v>
      </c>
      <c r="W1600" s="3">
        <v>53</v>
      </c>
    </row>
    <row r="1601" spans="1:23" ht="11.25" customHeight="1" x14ac:dyDescent="0.25">
      <c r="A1601" s="3" t="s">
        <v>28</v>
      </c>
      <c r="B1601" s="3" t="s">
        <v>44</v>
      </c>
      <c r="C1601" s="3" t="s">
        <v>23</v>
      </c>
      <c r="D1601" s="3" t="s">
        <v>45</v>
      </c>
      <c r="E1601" s="3" t="s">
        <v>25</v>
      </c>
      <c r="F1601" s="3" t="s">
        <v>25</v>
      </c>
      <c r="G1601" s="3" t="s">
        <v>25</v>
      </c>
      <c r="H1601" s="3" t="s">
        <v>25</v>
      </c>
      <c r="I1601" s="6">
        <v>44378</v>
      </c>
      <c r="J1601" s="4">
        <v>0</v>
      </c>
      <c r="K1601" s="4">
        <v>0</v>
      </c>
      <c r="L1601" s="4">
        <v>104.20399999999999</v>
      </c>
      <c r="M1601" s="4">
        <v>104.20399999999999</v>
      </c>
      <c r="N1601" s="4">
        <v>104.20399999999999</v>
      </c>
      <c r="O1601" s="4">
        <v>104.20399999999999</v>
      </c>
      <c r="P1601" s="4">
        <v>176</v>
      </c>
      <c r="Q1601" s="3" t="s">
        <v>26</v>
      </c>
      <c r="R1601" s="3">
        <v>0</v>
      </c>
      <c r="S1601" s="3" t="s">
        <v>507</v>
      </c>
      <c r="T1601" s="3" t="s">
        <v>788</v>
      </c>
      <c r="U1601" s="3">
        <v>0</v>
      </c>
      <c r="V1601" s="3">
        <v>34</v>
      </c>
      <c r="W1601" s="3">
        <v>53</v>
      </c>
    </row>
    <row r="1602" spans="1:23" ht="11.25" customHeight="1" x14ac:dyDescent="0.25">
      <c r="A1602" s="3" t="s">
        <v>21</v>
      </c>
      <c r="B1602" s="3" t="s">
        <v>44</v>
      </c>
      <c r="C1602" s="3" t="s">
        <v>23</v>
      </c>
      <c r="D1602" s="3" t="s">
        <v>45</v>
      </c>
      <c r="E1602" s="3" t="s">
        <v>25</v>
      </c>
      <c r="F1602" s="3" t="s">
        <v>25</v>
      </c>
      <c r="G1602" s="3" t="s">
        <v>25</v>
      </c>
      <c r="H1602" s="3" t="s">
        <v>25</v>
      </c>
      <c r="I1602" s="6">
        <v>44409</v>
      </c>
      <c r="J1602" s="4">
        <v>0</v>
      </c>
      <c r="K1602" s="4">
        <v>0</v>
      </c>
      <c r="L1602" s="4">
        <v>3766.8429999999998</v>
      </c>
      <c r="M1602" s="4">
        <v>3766.8429999999998</v>
      </c>
      <c r="N1602" s="4">
        <v>3766.8429999999998</v>
      </c>
      <c r="O1602" s="4">
        <v>3766.8429999999998</v>
      </c>
      <c r="P1602" s="4">
        <v>22745</v>
      </c>
      <c r="Q1602" s="3" t="s">
        <v>26</v>
      </c>
      <c r="R1602" s="3">
        <v>0</v>
      </c>
      <c r="S1602" s="3" t="s">
        <v>508</v>
      </c>
      <c r="T1602" s="3" t="s">
        <v>789</v>
      </c>
      <c r="U1602" s="3">
        <v>0</v>
      </c>
      <c r="V1602" s="3">
        <v>34</v>
      </c>
      <c r="W1602" s="3">
        <v>53</v>
      </c>
    </row>
    <row r="1603" spans="1:23" ht="11.25" customHeight="1" x14ac:dyDescent="0.25">
      <c r="A1603" s="3" t="s">
        <v>27</v>
      </c>
      <c r="B1603" s="3" t="s">
        <v>44</v>
      </c>
      <c r="C1603" s="3" t="s">
        <v>23</v>
      </c>
      <c r="D1603" s="3" t="s">
        <v>45</v>
      </c>
      <c r="E1603" s="3" t="s">
        <v>25</v>
      </c>
      <c r="F1603" s="3" t="s">
        <v>25</v>
      </c>
      <c r="G1603" s="3" t="s">
        <v>25</v>
      </c>
      <c r="H1603" s="3" t="s">
        <v>25</v>
      </c>
      <c r="I1603" s="6">
        <v>44409</v>
      </c>
      <c r="J1603" s="4">
        <v>0</v>
      </c>
      <c r="K1603" s="4">
        <v>0</v>
      </c>
      <c r="L1603" s="4">
        <v>-22.149000000000001</v>
      </c>
      <c r="M1603" s="4">
        <v>-22.149000000000001</v>
      </c>
      <c r="N1603" s="4">
        <v>-22.149000000000001</v>
      </c>
      <c r="O1603" s="4">
        <v>-22.149000000000001</v>
      </c>
      <c r="P1603" s="4">
        <v>-4</v>
      </c>
      <c r="Q1603" s="3" t="s">
        <v>26</v>
      </c>
      <c r="R1603" s="3">
        <v>0</v>
      </c>
      <c r="S1603" s="3" t="s">
        <v>508</v>
      </c>
      <c r="T1603" s="3" t="s">
        <v>789</v>
      </c>
      <c r="U1603" s="3">
        <v>0</v>
      </c>
      <c r="V1603" s="3">
        <v>34</v>
      </c>
      <c r="W1603" s="3">
        <v>53</v>
      </c>
    </row>
    <row r="1604" spans="1:23" ht="11.25" customHeight="1" x14ac:dyDescent="0.25">
      <c r="A1604" s="3" t="s">
        <v>28</v>
      </c>
      <c r="B1604" s="3" t="s">
        <v>44</v>
      </c>
      <c r="C1604" s="3" t="s">
        <v>23</v>
      </c>
      <c r="D1604" s="3" t="s">
        <v>45</v>
      </c>
      <c r="E1604" s="3" t="s">
        <v>25</v>
      </c>
      <c r="F1604" s="3" t="s">
        <v>25</v>
      </c>
      <c r="G1604" s="3" t="s">
        <v>25</v>
      </c>
      <c r="H1604" s="3" t="s">
        <v>25</v>
      </c>
      <c r="I1604" s="6">
        <v>44409</v>
      </c>
      <c r="J1604" s="4">
        <v>0</v>
      </c>
      <c r="K1604" s="4">
        <v>0</v>
      </c>
      <c r="L1604" s="4">
        <v>94.795000000000002</v>
      </c>
      <c r="M1604" s="4">
        <v>94.795000000000002</v>
      </c>
      <c r="N1604" s="4">
        <v>94.795000000000002</v>
      </c>
      <c r="O1604" s="4">
        <v>94.795000000000002</v>
      </c>
      <c r="P1604" s="4">
        <v>192</v>
      </c>
      <c r="Q1604" s="3" t="s">
        <v>26</v>
      </c>
      <c r="R1604" s="3">
        <v>0</v>
      </c>
      <c r="S1604" s="3" t="s">
        <v>508</v>
      </c>
      <c r="T1604" s="3" t="s">
        <v>789</v>
      </c>
      <c r="U1604" s="3">
        <v>0</v>
      </c>
      <c r="V1604" s="3">
        <v>34</v>
      </c>
      <c r="W1604" s="3">
        <v>53</v>
      </c>
    </row>
    <row r="1605" spans="1:23" ht="11.25" customHeight="1" x14ac:dyDescent="0.25">
      <c r="A1605" s="3" t="s">
        <v>28</v>
      </c>
      <c r="B1605" s="3" t="s">
        <v>44</v>
      </c>
      <c r="C1605" s="3" t="s">
        <v>23</v>
      </c>
      <c r="D1605" s="3" t="s">
        <v>45</v>
      </c>
      <c r="E1605" s="3" t="s">
        <v>25</v>
      </c>
      <c r="F1605" s="3" t="s">
        <v>25</v>
      </c>
      <c r="G1605" s="3" t="s">
        <v>25</v>
      </c>
      <c r="H1605" s="3" t="s">
        <v>25</v>
      </c>
      <c r="I1605" s="6">
        <v>44409</v>
      </c>
      <c r="J1605" s="4">
        <v>0</v>
      </c>
      <c r="K1605" s="4">
        <v>0</v>
      </c>
      <c r="L1605" s="4">
        <v>-0.97799999999999998</v>
      </c>
      <c r="M1605" s="4">
        <v>-0.97799999999999998</v>
      </c>
      <c r="N1605" s="4">
        <v>-0.97799999999999998</v>
      </c>
      <c r="O1605" s="4">
        <v>-0.97799999999999998</v>
      </c>
      <c r="P1605" s="4">
        <v>0</v>
      </c>
      <c r="Q1605" s="3" t="s">
        <v>26</v>
      </c>
      <c r="R1605" s="3">
        <v>0</v>
      </c>
      <c r="S1605" s="3" t="s">
        <v>508</v>
      </c>
      <c r="T1605" s="3" t="s">
        <v>789</v>
      </c>
      <c r="U1605" s="3">
        <v>0</v>
      </c>
      <c r="V1605" s="3">
        <v>34</v>
      </c>
      <c r="W1605" s="3">
        <v>53</v>
      </c>
    </row>
    <row r="1606" spans="1:23" ht="11.25" customHeight="1" x14ac:dyDescent="0.25">
      <c r="A1606" s="3" t="s">
        <v>21</v>
      </c>
      <c r="B1606" s="3" t="s">
        <v>44</v>
      </c>
      <c r="C1606" s="3" t="s">
        <v>23</v>
      </c>
      <c r="D1606" s="3" t="s">
        <v>45</v>
      </c>
      <c r="E1606" s="3" t="s">
        <v>25</v>
      </c>
      <c r="F1606" s="3" t="s">
        <v>25</v>
      </c>
      <c r="G1606" s="3" t="s">
        <v>25</v>
      </c>
      <c r="H1606" s="3" t="s">
        <v>25</v>
      </c>
      <c r="I1606" s="6">
        <v>44440</v>
      </c>
      <c r="J1606" s="4">
        <v>0</v>
      </c>
      <c r="K1606" s="4">
        <v>0</v>
      </c>
      <c r="L1606" s="4">
        <v>4080.922</v>
      </c>
      <c r="M1606" s="4">
        <v>4080.922</v>
      </c>
      <c r="N1606" s="4">
        <v>4080.922</v>
      </c>
      <c r="O1606" s="4">
        <v>4080.922</v>
      </c>
      <c r="P1606" s="4">
        <v>22652</v>
      </c>
      <c r="Q1606" s="3" t="s">
        <v>26</v>
      </c>
      <c r="R1606" s="3">
        <v>0</v>
      </c>
      <c r="S1606" s="3" t="s">
        <v>509</v>
      </c>
      <c r="T1606" s="3" t="s">
        <v>790</v>
      </c>
      <c r="U1606" s="3">
        <v>0</v>
      </c>
      <c r="V1606" s="3">
        <v>34</v>
      </c>
      <c r="W1606" s="3">
        <v>53</v>
      </c>
    </row>
    <row r="1607" spans="1:23" ht="11.25" customHeight="1" x14ac:dyDescent="0.25">
      <c r="A1607" s="3" t="s">
        <v>27</v>
      </c>
      <c r="B1607" s="3" t="s">
        <v>44</v>
      </c>
      <c r="C1607" s="3" t="s">
        <v>23</v>
      </c>
      <c r="D1607" s="3" t="s">
        <v>45</v>
      </c>
      <c r="E1607" s="3" t="s">
        <v>25</v>
      </c>
      <c r="F1607" s="3" t="s">
        <v>25</v>
      </c>
      <c r="G1607" s="3" t="s">
        <v>25</v>
      </c>
      <c r="H1607" s="3" t="s">
        <v>25</v>
      </c>
      <c r="I1607" s="6">
        <v>44440</v>
      </c>
      <c r="J1607" s="4">
        <v>0</v>
      </c>
      <c r="K1607" s="4">
        <v>0</v>
      </c>
      <c r="L1607" s="4">
        <v>0.61199999999999999</v>
      </c>
      <c r="M1607" s="4">
        <v>0.61199999999999999</v>
      </c>
      <c r="N1607" s="4">
        <v>0.61199999999999999</v>
      </c>
      <c r="O1607" s="4">
        <v>0.61199999999999999</v>
      </c>
      <c r="P1607" s="4">
        <v>0</v>
      </c>
      <c r="Q1607" s="3" t="s">
        <v>26</v>
      </c>
      <c r="R1607" s="3">
        <v>0</v>
      </c>
      <c r="S1607" s="3" t="s">
        <v>509</v>
      </c>
      <c r="T1607" s="3" t="s">
        <v>790</v>
      </c>
      <c r="U1607" s="3">
        <v>0</v>
      </c>
      <c r="V1607" s="3">
        <v>34</v>
      </c>
      <c r="W1607" s="3">
        <v>53</v>
      </c>
    </row>
    <row r="1608" spans="1:23" ht="11.25" customHeight="1" x14ac:dyDescent="0.25">
      <c r="A1608" s="3" t="s">
        <v>28</v>
      </c>
      <c r="B1608" s="3" t="s">
        <v>44</v>
      </c>
      <c r="C1608" s="3" t="s">
        <v>23</v>
      </c>
      <c r="D1608" s="3" t="s">
        <v>45</v>
      </c>
      <c r="E1608" s="3" t="s">
        <v>25</v>
      </c>
      <c r="F1608" s="3" t="s">
        <v>25</v>
      </c>
      <c r="G1608" s="3" t="s">
        <v>25</v>
      </c>
      <c r="H1608" s="3" t="s">
        <v>25</v>
      </c>
      <c r="I1608" s="6">
        <v>44440</v>
      </c>
      <c r="J1608" s="4">
        <v>0</v>
      </c>
      <c r="K1608" s="4">
        <v>0</v>
      </c>
      <c r="L1608" s="4">
        <v>84.361999999999995</v>
      </c>
      <c r="M1608" s="4">
        <v>84.361999999999995</v>
      </c>
      <c r="N1608" s="4">
        <v>84.361999999999995</v>
      </c>
      <c r="O1608" s="4">
        <v>84.361999999999995</v>
      </c>
      <c r="P1608" s="4">
        <v>205</v>
      </c>
      <c r="Q1608" s="3" t="s">
        <v>26</v>
      </c>
      <c r="R1608" s="3">
        <v>0</v>
      </c>
      <c r="S1608" s="3" t="s">
        <v>509</v>
      </c>
      <c r="T1608" s="3" t="s">
        <v>790</v>
      </c>
      <c r="U1608" s="3">
        <v>0</v>
      </c>
      <c r="V1608" s="3">
        <v>34</v>
      </c>
      <c r="W1608" s="3">
        <v>53</v>
      </c>
    </row>
    <row r="1609" spans="1:23" ht="11.25" customHeight="1" x14ac:dyDescent="0.25">
      <c r="A1609" s="3" t="s">
        <v>21</v>
      </c>
      <c r="B1609" s="3" t="s">
        <v>44</v>
      </c>
      <c r="C1609" s="3" t="s">
        <v>23</v>
      </c>
      <c r="D1609" s="3" t="s">
        <v>45</v>
      </c>
      <c r="E1609" s="3" t="s">
        <v>25</v>
      </c>
      <c r="F1609" s="3" t="s">
        <v>25</v>
      </c>
      <c r="G1609" s="3" t="s">
        <v>25</v>
      </c>
      <c r="H1609" s="3" t="s">
        <v>25</v>
      </c>
      <c r="I1609" s="6">
        <v>44470</v>
      </c>
      <c r="J1609" s="4">
        <v>0</v>
      </c>
      <c r="K1609" s="4">
        <v>0</v>
      </c>
      <c r="L1609" s="4">
        <v>4730.3190000000004</v>
      </c>
      <c r="M1609" s="4">
        <v>4730.3190000000004</v>
      </c>
      <c r="N1609" s="4">
        <v>4730.3190000000004</v>
      </c>
      <c r="O1609" s="4">
        <v>4730.3190000000004</v>
      </c>
      <c r="P1609" s="4">
        <v>22467</v>
      </c>
      <c r="Q1609" s="3" t="s">
        <v>26</v>
      </c>
      <c r="R1609" s="3">
        <v>0</v>
      </c>
      <c r="S1609" s="3" t="s">
        <v>510</v>
      </c>
      <c r="T1609" s="3" t="s">
        <v>791</v>
      </c>
      <c r="U1609" s="3">
        <v>0</v>
      </c>
      <c r="V1609" s="3">
        <v>34</v>
      </c>
      <c r="W1609" s="3">
        <v>53</v>
      </c>
    </row>
    <row r="1610" spans="1:23" ht="11.25" customHeight="1" x14ac:dyDescent="0.25">
      <c r="A1610" s="3" t="s">
        <v>27</v>
      </c>
      <c r="B1610" s="3" t="s">
        <v>44</v>
      </c>
      <c r="C1610" s="3" t="s">
        <v>23</v>
      </c>
      <c r="D1610" s="3" t="s">
        <v>45</v>
      </c>
      <c r="E1610" s="3" t="s">
        <v>25</v>
      </c>
      <c r="F1610" s="3" t="s">
        <v>25</v>
      </c>
      <c r="G1610" s="3" t="s">
        <v>25</v>
      </c>
      <c r="H1610" s="3" t="s">
        <v>25</v>
      </c>
      <c r="I1610" s="6">
        <v>44470</v>
      </c>
      <c r="J1610" s="4">
        <v>0</v>
      </c>
      <c r="K1610" s="4">
        <v>0</v>
      </c>
      <c r="L1610" s="4">
        <v>-71.680000000000007</v>
      </c>
      <c r="M1610" s="4">
        <v>-71.680000000000007</v>
      </c>
      <c r="N1610" s="4">
        <v>-71.680000000000007</v>
      </c>
      <c r="O1610" s="4">
        <v>-71.680000000000007</v>
      </c>
      <c r="P1610" s="4">
        <v>-3</v>
      </c>
      <c r="Q1610" s="3" t="s">
        <v>26</v>
      </c>
      <c r="R1610" s="3">
        <v>0</v>
      </c>
      <c r="S1610" s="3" t="s">
        <v>510</v>
      </c>
      <c r="T1610" s="3" t="s">
        <v>791</v>
      </c>
      <c r="U1610" s="3">
        <v>0</v>
      </c>
      <c r="V1610" s="3">
        <v>34</v>
      </c>
      <c r="W1610" s="3">
        <v>53</v>
      </c>
    </row>
    <row r="1611" spans="1:23" ht="11.25" customHeight="1" x14ac:dyDescent="0.25">
      <c r="A1611" s="3" t="s">
        <v>28</v>
      </c>
      <c r="B1611" s="3" t="s">
        <v>44</v>
      </c>
      <c r="C1611" s="3" t="s">
        <v>23</v>
      </c>
      <c r="D1611" s="3" t="s">
        <v>45</v>
      </c>
      <c r="E1611" s="3" t="s">
        <v>25</v>
      </c>
      <c r="F1611" s="3" t="s">
        <v>25</v>
      </c>
      <c r="G1611" s="3" t="s">
        <v>25</v>
      </c>
      <c r="H1611" s="3" t="s">
        <v>25</v>
      </c>
      <c r="I1611" s="6">
        <v>44470</v>
      </c>
      <c r="J1611" s="4">
        <v>0</v>
      </c>
      <c r="K1611" s="4">
        <v>0</v>
      </c>
      <c r="L1611" s="4">
        <v>64.623000000000005</v>
      </c>
      <c r="M1611" s="4">
        <v>64.623000000000005</v>
      </c>
      <c r="N1611" s="4">
        <v>64.623000000000005</v>
      </c>
      <c r="O1611" s="4">
        <v>64.623000000000005</v>
      </c>
      <c r="P1611" s="4">
        <v>217</v>
      </c>
      <c r="Q1611" s="3" t="s">
        <v>26</v>
      </c>
      <c r="R1611" s="3">
        <v>0</v>
      </c>
      <c r="S1611" s="3" t="s">
        <v>510</v>
      </c>
      <c r="T1611" s="3" t="s">
        <v>791</v>
      </c>
      <c r="U1611" s="3">
        <v>0</v>
      </c>
      <c r="V1611" s="3">
        <v>34</v>
      </c>
      <c r="W1611" s="3">
        <v>53</v>
      </c>
    </row>
    <row r="1612" spans="1:23" ht="11.25" customHeight="1" x14ac:dyDescent="0.25">
      <c r="A1612" s="3" t="s">
        <v>21</v>
      </c>
      <c r="B1612" s="3" t="s">
        <v>44</v>
      </c>
      <c r="C1612" s="3" t="s">
        <v>23</v>
      </c>
      <c r="D1612" s="3" t="s">
        <v>45</v>
      </c>
      <c r="E1612" s="3" t="s">
        <v>25</v>
      </c>
      <c r="F1612" s="3" t="s">
        <v>25</v>
      </c>
      <c r="G1612" s="3" t="s">
        <v>25</v>
      </c>
      <c r="H1612" s="3" t="s">
        <v>25</v>
      </c>
      <c r="I1612" s="6">
        <v>44501</v>
      </c>
      <c r="J1612" s="4">
        <v>0</v>
      </c>
      <c r="K1612" s="4">
        <v>0</v>
      </c>
      <c r="L1612" s="4">
        <v>4794.9560000000001</v>
      </c>
      <c r="M1612" s="4">
        <v>4794.9560000000001</v>
      </c>
      <c r="N1612" s="4">
        <v>4794.9560000000001</v>
      </c>
      <c r="O1612" s="4">
        <v>4794.9560000000001</v>
      </c>
      <c r="P1612" s="4">
        <v>22387</v>
      </c>
      <c r="Q1612" s="3" t="s">
        <v>26</v>
      </c>
      <c r="R1612" s="3">
        <v>0</v>
      </c>
      <c r="S1612" s="3" t="s">
        <v>511</v>
      </c>
      <c r="T1612" s="3" t="s">
        <v>792</v>
      </c>
      <c r="U1612" s="3">
        <v>0</v>
      </c>
      <c r="V1612" s="3">
        <v>34</v>
      </c>
      <c r="W1612" s="3">
        <v>53</v>
      </c>
    </row>
    <row r="1613" spans="1:23" ht="11.25" customHeight="1" x14ac:dyDescent="0.25">
      <c r="A1613" s="3" t="s">
        <v>27</v>
      </c>
      <c r="B1613" s="3" t="s">
        <v>44</v>
      </c>
      <c r="C1613" s="3" t="s">
        <v>23</v>
      </c>
      <c r="D1613" s="3" t="s">
        <v>45</v>
      </c>
      <c r="E1613" s="3" t="s">
        <v>25</v>
      </c>
      <c r="F1613" s="3" t="s">
        <v>25</v>
      </c>
      <c r="G1613" s="3" t="s">
        <v>25</v>
      </c>
      <c r="H1613" s="3" t="s">
        <v>25</v>
      </c>
      <c r="I1613" s="6">
        <v>44501</v>
      </c>
      <c r="J1613" s="4">
        <v>0</v>
      </c>
      <c r="K1613" s="4">
        <v>0</v>
      </c>
      <c r="L1613" s="4">
        <v>-39.015999999999998</v>
      </c>
      <c r="M1613" s="4">
        <v>-39.015999999999998</v>
      </c>
      <c r="N1613" s="4">
        <v>-39.015999999999998</v>
      </c>
      <c r="O1613" s="4">
        <v>-39.015999999999998</v>
      </c>
      <c r="P1613" s="4">
        <v>-2</v>
      </c>
      <c r="Q1613" s="3" t="s">
        <v>26</v>
      </c>
      <c r="R1613" s="3">
        <v>0</v>
      </c>
      <c r="S1613" s="3" t="s">
        <v>511</v>
      </c>
      <c r="T1613" s="3" t="s">
        <v>792</v>
      </c>
      <c r="U1613" s="3">
        <v>0</v>
      </c>
      <c r="V1613" s="3">
        <v>34</v>
      </c>
      <c r="W1613" s="3">
        <v>53</v>
      </c>
    </row>
    <row r="1614" spans="1:23" ht="11.25" customHeight="1" x14ac:dyDescent="0.25">
      <c r="A1614" s="3" t="s">
        <v>28</v>
      </c>
      <c r="B1614" s="3" t="s">
        <v>44</v>
      </c>
      <c r="C1614" s="3" t="s">
        <v>23</v>
      </c>
      <c r="D1614" s="3" t="s">
        <v>45</v>
      </c>
      <c r="E1614" s="3" t="s">
        <v>25</v>
      </c>
      <c r="F1614" s="3" t="s">
        <v>25</v>
      </c>
      <c r="G1614" s="3" t="s">
        <v>25</v>
      </c>
      <c r="H1614" s="3" t="s">
        <v>25</v>
      </c>
      <c r="I1614" s="6">
        <v>44501</v>
      </c>
      <c r="J1614" s="4">
        <v>0</v>
      </c>
      <c r="K1614" s="4">
        <v>0</v>
      </c>
      <c r="L1614" s="4">
        <v>151.994</v>
      </c>
      <c r="M1614" s="4">
        <v>151.994</v>
      </c>
      <c r="N1614" s="4">
        <v>151.994</v>
      </c>
      <c r="O1614" s="4">
        <v>151.994</v>
      </c>
      <c r="P1614" s="4">
        <v>224</v>
      </c>
      <c r="Q1614" s="3" t="s">
        <v>26</v>
      </c>
      <c r="R1614" s="3">
        <v>0</v>
      </c>
      <c r="S1614" s="3" t="s">
        <v>511</v>
      </c>
      <c r="T1614" s="3" t="s">
        <v>792</v>
      </c>
      <c r="U1614" s="3">
        <v>0</v>
      </c>
      <c r="V1614" s="3">
        <v>34</v>
      </c>
      <c r="W1614" s="3">
        <v>53</v>
      </c>
    </row>
    <row r="1615" spans="1:23" ht="11.25" customHeight="1" x14ac:dyDescent="0.25">
      <c r="A1615" s="3" t="s">
        <v>21</v>
      </c>
      <c r="B1615" s="3" t="s">
        <v>44</v>
      </c>
      <c r="C1615" s="3" t="s">
        <v>23</v>
      </c>
      <c r="D1615" s="3" t="s">
        <v>45</v>
      </c>
      <c r="E1615" s="3" t="s">
        <v>25</v>
      </c>
      <c r="F1615" s="3" t="s">
        <v>25</v>
      </c>
      <c r="G1615" s="3" t="s">
        <v>25</v>
      </c>
      <c r="H1615" s="3" t="s">
        <v>25</v>
      </c>
      <c r="I1615" s="6">
        <v>44531</v>
      </c>
      <c r="J1615" s="4">
        <v>0</v>
      </c>
      <c r="K1615" s="4">
        <v>0</v>
      </c>
      <c r="L1615" s="4">
        <v>5064.9989999999998</v>
      </c>
      <c r="M1615" s="4">
        <v>5064.9989999999998</v>
      </c>
      <c r="N1615" s="4">
        <v>5064.9989999999998</v>
      </c>
      <c r="O1615" s="4">
        <v>5064.9989999999998</v>
      </c>
      <c r="P1615" s="4">
        <v>22501</v>
      </c>
      <c r="Q1615" s="3" t="s">
        <v>26</v>
      </c>
      <c r="R1615" s="3">
        <v>0</v>
      </c>
      <c r="S1615" s="3" t="s">
        <v>512</v>
      </c>
      <c r="T1615" s="3" t="s">
        <v>793</v>
      </c>
      <c r="U1615" s="3">
        <v>0</v>
      </c>
      <c r="V1615" s="3">
        <v>34</v>
      </c>
      <c r="W1615" s="3">
        <v>53</v>
      </c>
    </row>
    <row r="1616" spans="1:23" ht="11.25" customHeight="1" x14ac:dyDescent="0.25">
      <c r="A1616" s="3" t="s">
        <v>27</v>
      </c>
      <c r="B1616" s="3" t="s">
        <v>44</v>
      </c>
      <c r="C1616" s="3" t="s">
        <v>23</v>
      </c>
      <c r="D1616" s="3" t="s">
        <v>45</v>
      </c>
      <c r="E1616" s="3" t="s">
        <v>25</v>
      </c>
      <c r="F1616" s="3" t="s">
        <v>25</v>
      </c>
      <c r="G1616" s="3" t="s">
        <v>25</v>
      </c>
      <c r="H1616" s="3" t="s">
        <v>25</v>
      </c>
      <c r="I1616" s="6">
        <v>44531</v>
      </c>
      <c r="J1616" s="4">
        <v>0</v>
      </c>
      <c r="K1616" s="4">
        <v>0</v>
      </c>
      <c r="L1616" s="4">
        <v>-314.42899999999997</v>
      </c>
      <c r="M1616" s="4">
        <v>-314.42899999999997</v>
      </c>
      <c r="N1616" s="4">
        <v>-314.42899999999997</v>
      </c>
      <c r="O1616" s="4">
        <v>-314.42899999999997</v>
      </c>
      <c r="P1616" s="4">
        <v>-55</v>
      </c>
      <c r="Q1616" s="3" t="s">
        <v>26</v>
      </c>
      <c r="R1616" s="3">
        <v>0</v>
      </c>
      <c r="S1616" s="3" t="s">
        <v>512</v>
      </c>
      <c r="T1616" s="3" t="s">
        <v>793</v>
      </c>
      <c r="U1616" s="3">
        <v>0</v>
      </c>
      <c r="V1616" s="3">
        <v>34</v>
      </c>
      <c r="W1616" s="3">
        <v>53</v>
      </c>
    </row>
    <row r="1617" spans="1:23" ht="11.25" customHeight="1" x14ac:dyDescent="0.25">
      <c r="A1617" s="3" t="s">
        <v>28</v>
      </c>
      <c r="B1617" s="3" t="s">
        <v>44</v>
      </c>
      <c r="C1617" s="3" t="s">
        <v>23</v>
      </c>
      <c r="D1617" s="3" t="s">
        <v>45</v>
      </c>
      <c r="E1617" s="3" t="s">
        <v>25</v>
      </c>
      <c r="F1617" s="3" t="s">
        <v>25</v>
      </c>
      <c r="G1617" s="3" t="s">
        <v>25</v>
      </c>
      <c r="H1617" s="3" t="s">
        <v>25</v>
      </c>
      <c r="I1617" s="6">
        <v>44531</v>
      </c>
      <c r="J1617" s="4">
        <v>0</v>
      </c>
      <c r="K1617" s="4">
        <v>0</v>
      </c>
      <c r="L1617" s="4">
        <v>153.38999999999999</v>
      </c>
      <c r="M1617" s="4">
        <v>153.38999999999999</v>
      </c>
      <c r="N1617" s="4">
        <v>153.38999999999999</v>
      </c>
      <c r="O1617" s="4">
        <v>153.38999999999999</v>
      </c>
      <c r="P1617" s="4">
        <v>233</v>
      </c>
      <c r="Q1617" s="3" t="s">
        <v>26</v>
      </c>
      <c r="R1617" s="3">
        <v>0</v>
      </c>
      <c r="S1617" s="3" t="s">
        <v>512</v>
      </c>
      <c r="T1617" s="3" t="s">
        <v>793</v>
      </c>
      <c r="U1617" s="3">
        <v>0</v>
      </c>
      <c r="V1617" s="3">
        <v>34</v>
      </c>
      <c r="W1617" s="3">
        <v>53</v>
      </c>
    </row>
    <row r="1618" spans="1:23" ht="11.25" customHeight="1" x14ac:dyDescent="0.25">
      <c r="A1618" s="3" t="s">
        <v>21</v>
      </c>
      <c r="B1618" s="3" t="s">
        <v>44</v>
      </c>
      <c r="C1618" s="3" t="s">
        <v>23</v>
      </c>
      <c r="D1618" s="3" t="s">
        <v>45</v>
      </c>
      <c r="E1618" s="3" t="s">
        <v>25</v>
      </c>
      <c r="F1618" s="3" t="s">
        <v>25</v>
      </c>
      <c r="G1618" s="3" t="s">
        <v>25</v>
      </c>
      <c r="H1618" s="3" t="s">
        <v>25</v>
      </c>
      <c r="I1618" s="6">
        <v>44562</v>
      </c>
      <c r="J1618" s="4">
        <v>0</v>
      </c>
      <c r="K1618" s="4">
        <v>0</v>
      </c>
      <c r="L1618" s="4">
        <v>4767.04</v>
      </c>
      <c r="M1618" s="4">
        <v>4767.04</v>
      </c>
      <c r="N1618" s="4">
        <v>4767.04</v>
      </c>
      <c r="O1618" s="4">
        <v>4767.04</v>
      </c>
      <c r="P1618" s="4">
        <v>22420</v>
      </c>
      <c r="Q1618" s="3" t="s">
        <v>26</v>
      </c>
      <c r="R1618" s="3">
        <v>0</v>
      </c>
      <c r="S1618" s="3" t="s">
        <v>513</v>
      </c>
      <c r="T1618" s="3" t="s">
        <v>794</v>
      </c>
      <c r="U1618" s="3">
        <v>0</v>
      </c>
      <c r="V1618" s="3">
        <v>34</v>
      </c>
      <c r="W1618" s="3">
        <v>53</v>
      </c>
    </row>
    <row r="1619" spans="1:23" ht="11.25" customHeight="1" x14ac:dyDescent="0.25">
      <c r="A1619" s="3" t="s">
        <v>27</v>
      </c>
      <c r="B1619" s="3" t="s">
        <v>44</v>
      </c>
      <c r="C1619" s="3" t="s">
        <v>23</v>
      </c>
      <c r="D1619" s="3" t="s">
        <v>45</v>
      </c>
      <c r="E1619" s="3" t="s">
        <v>25</v>
      </c>
      <c r="F1619" s="3" t="s">
        <v>25</v>
      </c>
      <c r="G1619" s="3" t="s">
        <v>25</v>
      </c>
      <c r="H1619" s="3" t="s">
        <v>25</v>
      </c>
      <c r="I1619" s="6">
        <v>44562</v>
      </c>
      <c r="J1619" s="4">
        <v>0</v>
      </c>
      <c r="K1619" s="4">
        <v>0</v>
      </c>
      <c r="L1619" s="4">
        <v>-41.344999999999999</v>
      </c>
      <c r="M1619" s="4">
        <v>-41.344999999999999</v>
      </c>
      <c r="N1619" s="4">
        <v>-41.344999999999999</v>
      </c>
      <c r="O1619" s="4">
        <v>-41.344999999999999</v>
      </c>
      <c r="P1619" s="4">
        <v>-3</v>
      </c>
      <c r="Q1619" s="3" t="s">
        <v>26</v>
      </c>
      <c r="R1619" s="3">
        <v>0</v>
      </c>
      <c r="S1619" s="3" t="s">
        <v>513</v>
      </c>
      <c r="T1619" s="3" t="s">
        <v>794</v>
      </c>
      <c r="U1619" s="3">
        <v>0</v>
      </c>
      <c r="V1619" s="3">
        <v>34</v>
      </c>
      <c r="W1619" s="3">
        <v>53</v>
      </c>
    </row>
    <row r="1620" spans="1:23" ht="11.25" customHeight="1" x14ac:dyDescent="0.25">
      <c r="A1620" s="3" t="s">
        <v>28</v>
      </c>
      <c r="B1620" s="3" t="s">
        <v>44</v>
      </c>
      <c r="C1620" s="3" t="s">
        <v>23</v>
      </c>
      <c r="D1620" s="3" t="s">
        <v>45</v>
      </c>
      <c r="E1620" s="3" t="s">
        <v>25</v>
      </c>
      <c r="F1620" s="3" t="s">
        <v>25</v>
      </c>
      <c r="G1620" s="3" t="s">
        <v>25</v>
      </c>
      <c r="H1620" s="3" t="s">
        <v>25</v>
      </c>
      <c r="I1620" s="6">
        <v>44562</v>
      </c>
      <c r="J1620" s="4">
        <v>0</v>
      </c>
      <c r="K1620" s="4">
        <v>0</v>
      </c>
      <c r="L1620" s="4">
        <v>146.203</v>
      </c>
      <c r="M1620" s="4">
        <v>146.203</v>
      </c>
      <c r="N1620" s="4">
        <v>146.203</v>
      </c>
      <c r="O1620" s="4">
        <v>146.203</v>
      </c>
      <c r="P1620" s="4">
        <v>246</v>
      </c>
      <c r="Q1620" s="3" t="s">
        <v>26</v>
      </c>
      <c r="R1620" s="3">
        <v>0</v>
      </c>
      <c r="S1620" s="3" t="s">
        <v>513</v>
      </c>
      <c r="T1620" s="3" t="s">
        <v>794</v>
      </c>
      <c r="U1620" s="3">
        <v>0</v>
      </c>
      <c r="V1620" s="3">
        <v>34</v>
      </c>
      <c r="W1620" s="3">
        <v>53</v>
      </c>
    </row>
    <row r="1621" spans="1:23" ht="11.25" customHeight="1" x14ac:dyDescent="0.25">
      <c r="A1621" s="3" t="s">
        <v>21</v>
      </c>
      <c r="B1621" s="3" t="s">
        <v>44</v>
      </c>
      <c r="C1621" s="3" t="s">
        <v>23</v>
      </c>
      <c r="D1621" s="3" t="s">
        <v>45</v>
      </c>
      <c r="E1621" s="3" t="s">
        <v>25</v>
      </c>
      <c r="F1621" s="3" t="s">
        <v>25</v>
      </c>
      <c r="G1621" s="3" t="s">
        <v>25</v>
      </c>
      <c r="H1621" s="3" t="s">
        <v>25</v>
      </c>
      <c r="I1621" s="6">
        <v>44593</v>
      </c>
      <c r="J1621" s="4">
        <v>0</v>
      </c>
      <c r="K1621" s="4">
        <v>0</v>
      </c>
      <c r="L1621" s="4">
        <v>4899.8429999999998</v>
      </c>
      <c r="M1621" s="4">
        <v>4899.8429999999998</v>
      </c>
      <c r="N1621" s="4">
        <v>4899.8429999999998</v>
      </c>
      <c r="O1621" s="4">
        <v>4899.8429999999998</v>
      </c>
      <c r="P1621" s="4">
        <v>21300</v>
      </c>
      <c r="Q1621" s="3" t="s">
        <v>26</v>
      </c>
      <c r="R1621" s="3">
        <v>0</v>
      </c>
      <c r="S1621" s="3" t="s">
        <v>514</v>
      </c>
      <c r="T1621" s="3" t="s">
        <v>795</v>
      </c>
      <c r="U1621" s="3">
        <v>0</v>
      </c>
      <c r="V1621" s="3">
        <v>34</v>
      </c>
      <c r="W1621" s="3">
        <v>53</v>
      </c>
    </row>
    <row r="1622" spans="1:23" ht="11.25" customHeight="1" x14ac:dyDescent="0.25">
      <c r="A1622" s="3" t="s">
        <v>27</v>
      </c>
      <c r="B1622" s="3" t="s">
        <v>44</v>
      </c>
      <c r="C1622" s="3" t="s">
        <v>23</v>
      </c>
      <c r="D1622" s="3" t="s">
        <v>45</v>
      </c>
      <c r="E1622" s="3" t="s">
        <v>25</v>
      </c>
      <c r="F1622" s="3" t="s">
        <v>25</v>
      </c>
      <c r="G1622" s="3" t="s">
        <v>25</v>
      </c>
      <c r="H1622" s="3" t="s">
        <v>25</v>
      </c>
      <c r="I1622" s="6">
        <v>44593</v>
      </c>
      <c r="J1622" s="4">
        <v>0</v>
      </c>
      <c r="K1622" s="4">
        <v>0</v>
      </c>
      <c r="L1622" s="4">
        <v>-4.2949999999999999</v>
      </c>
      <c r="M1622" s="4">
        <v>-4.2949999999999999</v>
      </c>
      <c r="N1622" s="4">
        <v>-4.2949999999999999</v>
      </c>
      <c r="O1622" s="4">
        <v>-4.2949999999999999</v>
      </c>
      <c r="P1622" s="4">
        <v>-5</v>
      </c>
      <c r="Q1622" s="3" t="s">
        <v>26</v>
      </c>
      <c r="R1622" s="3">
        <v>0</v>
      </c>
      <c r="S1622" s="3" t="s">
        <v>514</v>
      </c>
      <c r="T1622" s="3" t="s">
        <v>795</v>
      </c>
      <c r="U1622" s="3">
        <v>0</v>
      </c>
      <c r="V1622" s="3">
        <v>34</v>
      </c>
      <c r="W1622" s="3">
        <v>53</v>
      </c>
    </row>
    <row r="1623" spans="1:23" ht="11.25" customHeight="1" x14ac:dyDescent="0.25">
      <c r="A1623" s="3" t="s">
        <v>28</v>
      </c>
      <c r="B1623" s="3" t="s">
        <v>44</v>
      </c>
      <c r="C1623" s="3" t="s">
        <v>23</v>
      </c>
      <c r="D1623" s="3" t="s">
        <v>45</v>
      </c>
      <c r="E1623" s="3" t="s">
        <v>25</v>
      </c>
      <c r="F1623" s="3" t="s">
        <v>25</v>
      </c>
      <c r="G1623" s="3" t="s">
        <v>25</v>
      </c>
      <c r="H1623" s="3" t="s">
        <v>25</v>
      </c>
      <c r="I1623" s="6">
        <v>44593</v>
      </c>
      <c r="J1623" s="4">
        <v>0</v>
      </c>
      <c r="K1623" s="4">
        <v>0</v>
      </c>
      <c r="L1623" s="4">
        <v>157.54300000000001</v>
      </c>
      <c r="M1623" s="4">
        <v>157.54300000000001</v>
      </c>
      <c r="N1623" s="4">
        <v>157.54300000000001</v>
      </c>
      <c r="O1623" s="4">
        <v>157.54300000000001</v>
      </c>
      <c r="P1623" s="4">
        <v>257</v>
      </c>
      <c r="Q1623" s="3" t="s">
        <v>26</v>
      </c>
      <c r="R1623" s="3">
        <v>0</v>
      </c>
      <c r="S1623" s="3" t="s">
        <v>514</v>
      </c>
      <c r="T1623" s="3" t="s">
        <v>795</v>
      </c>
      <c r="U1623" s="3">
        <v>0</v>
      </c>
      <c r="V1623" s="3">
        <v>34</v>
      </c>
      <c r="W1623" s="3">
        <v>53</v>
      </c>
    </row>
    <row r="1624" spans="1:23" ht="11.25" customHeight="1" x14ac:dyDescent="0.25">
      <c r="A1624" s="3" t="s">
        <v>56</v>
      </c>
      <c r="B1624" s="3" t="s">
        <v>44</v>
      </c>
      <c r="C1624" s="3" t="s">
        <v>23</v>
      </c>
      <c r="D1624" s="3" t="s">
        <v>45</v>
      </c>
      <c r="E1624" s="3" t="s">
        <v>25</v>
      </c>
      <c r="F1624" s="3" t="s">
        <v>25</v>
      </c>
      <c r="G1624" s="3" t="s">
        <v>25</v>
      </c>
      <c r="H1624" s="3" t="s">
        <v>25</v>
      </c>
      <c r="I1624" s="6">
        <v>44621</v>
      </c>
      <c r="J1624" s="4">
        <v>0</v>
      </c>
      <c r="K1624" s="4">
        <v>0</v>
      </c>
      <c r="L1624" s="4">
        <v>4899.8429999999998</v>
      </c>
      <c r="M1624" s="4">
        <v>4899.8429999999998</v>
      </c>
      <c r="N1624" s="4">
        <v>4899.8429999999998</v>
      </c>
      <c r="O1624" s="4">
        <v>4899.8429999999998</v>
      </c>
      <c r="P1624" s="4">
        <v>21300</v>
      </c>
      <c r="Q1624" s="3" t="s">
        <v>26</v>
      </c>
      <c r="R1624" s="3">
        <v>0</v>
      </c>
      <c r="S1624" s="3" t="s">
        <v>515</v>
      </c>
      <c r="T1624" s="3" t="s">
        <v>796</v>
      </c>
      <c r="U1624" s="3">
        <v>0</v>
      </c>
      <c r="V1624" s="3">
        <v>34</v>
      </c>
      <c r="W1624" s="3">
        <v>53</v>
      </c>
    </row>
    <row r="1625" spans="1:23" ht="11.25" customHeight="1" x14ac:dyDescent="0.25">
      <c r="A1625" s="3" t="s">
        <v>56</v>
      </c>
      <c r="B1625" s="3" t="s">
        <v>44</v>
      </c>
      <c r="C1625" s="3" t="s">
        <v>23</v>
      </c>
      <c r="D1625" s="3" t="s">
        <v>45</v>
      </c>
      <c r="E1625" s="3" t="s">
        <v>25</v>
      </c>
      <c r="F1625" s="3" t="s">
        <v>25</v>
      </c>
      <c r="G1625" s="3" t="s">
        <v>25</v>
      </c>
      <c r="H1625" s="3" t="s">
        <v>25</v>
      </c>
      <c r="I1625" s="6">
        <v>44621</v>
      </c>
      <c r="J1625" s="4">
        <v>0</v>
      </c>
      <c r="K1625" s="4">
        <v>0</v>
      </c>
      <c r="L1625" s="4">
        <v>-4.2949999999999999</v>
      </c>
      <c r="M1625" s="4">
        <v>-4.2949999999999999</v>
      </c>
      <c r="N1625" s="4">
        <v>-4.2949999999999999</v>
      </c>
      <c r="O1625" s="4">
        <v>-4.2949999999999999</v>
      </c>
      <c r="P1625" s="4">
        <v>-5</v>
      </c>
      <c r="Q1625" s="3" t="s">
        <v>26</v>
      </c>
      <c r="R1625" s="3">
        <v>0</v>
      </c>
      <c r="S1625" s="3" t="s">
        <v>515</v>
      </c>
      <c r="T1625" s="3" t="s">
        <v>796</v>
      </c>
      <c r="U1625" s="3">
        <v>0</v>
      </c>
      <c r="V1625" s="3">
        <v>34</v>
      </c>
      <c r="W1625" s="3">
        <v>53</v>
      </c>
    </row>
    <row r="1626" spans="1:23" ht="11.25" customHeight="1" x14ac:dyDescent="0.25">
      <c r="A1626" s="3" t="s">
        <v>56</v>
      </c>
      <c r="B1626" s="3" t="s">
        <v>44</v>
      </c>
      <c r="C1626" s="3" t="s">
        <v>23</v>
      </c>
      <c r="D1626" s="3" t="s">
        <v>45</v>
      </c>
      <c r="E1626" s="3" t="s">
        <v>25</v>
      </c>
      <c r="F1626" s="3" t="s">
        <v>25</v>
      </c>
      <c r="G1626" s="3" t="s">
        <v>25</v>
      </c>
      <c r="H1626" s="3" t="s">
        <v>25</v>
      </c>
      <c r="I1626" s="6">
        <v>44621</v>
      </c>
      <c r="J1626" s="4">
        <v>0</v>
      </c>
      <c r="K1626" s="4">
        <v>0</v>
      </c>
      <c r="L1626" s="4">
        <v>157.54300000000001</v>
      </c>
      <c r="M1626" s="4">
        <v>157.54300000000001</v>
      </c>
      <c r="N1626" s="4">
        <v>157.54300000000001</v>
      </c>
      <c r="O1626" s="4">
        <v>157.54300000000001</v>
      </c>
      <c r="P1626" s="4">
        <v>257</v>
      </c>
      <c r="Q1626" s="3" t="s">
        <v>26</v>
      </c>
      <c r="R1626" s="3">
        <v>0</v>
      </c>
      <c r="S1626" s="3" t="s">
        <v>515</v>
      </c>
      <c r="T1626" s="3" t="s">
        <v>796</v>
      </c>
      <c r="U1626" s="3">
        <v>0</v>
      </c>
      <c r="V1626" s="3">
        <v>34</v>
      </c>
      <c r="W1626" s="3">
        <v>53</v>
      </c>
    </row>
    <row r="1627" spans="1:23" ht="11.25" customHeight="1" x14ac:dyDescent="0.25">
      <c r="A1627" s="3" t="s">
        <v>21</v>
      </c>
      <c r="B1627" s="3" t="s">
        <v>37</v>
      </c>
      <c r="C1627" s="3" t="s">
        <v>33</v>
      </c>
      <c r="D1627" s="3" t="s">
        <v>43</v>
      </c>
      <c r="E1627" s="3" t="s">
        <v>25</v>
      </c>
      <c r="F1627" s="3" t="s">
        <v>25</v>
      </c>
      <c r="G1627" s="3" t="s">
        <v>25</v>
      </c>
      <c r="H1627" s="3" t="s">
        <v>35</v>
      </c>
      <c r="I1627" s="6">
        <v>44287</v>
      </c>
      <c r="J1627" s="4">
        <v>0</v>
      </c>
      <c r="K1627" s="4">
        <v>0</v>
      </c>
      <c r="L1627" s="4">
        <v>97.596999999999994</v>
      </c>
      <c r="M1627" s="4">
        <v>97.596999999999994</v>
      </c>
      <c r="N1627" s="4">
        <v>97.596999999999994</v>
      </c>
      <c r="O1627" s="4">
        <v>97.596999999999994</v>
      </c>
      <c r="P1627" s="4">
        <v>0</v>
      </c>
      <c r="Q1627" s="3" t="s">
        <v>26</v>
      </c>
      <c r="R1627" s="3">
        <v>0</v>
      </c>
      <c r="S1627" s="3" t="s">
        <v>516</v>
      </c>
      <c r="T1627" s="3" t="s">
        <v>797</v>
      </c>
      <c r="U1627" s="3">
        <v>0</v>
      </c>
      <c r="V1627" s="3">
        <v>83</v>
      </c>
      <c r="W1627" s="3">
        <v>61</v>
      </c>
    </row>
    <row r="1628" spans="1:23" ht="11.25" customHeight="1" x14ac:dyDescent="0.25">
      <c r="A1628" s="3" t="s">
        <v>21</v>
      </c>
      <c r="B1628" s="3" t="s">
        <v>37</v>
      </c>
      <c r="C1628" s="3" t="s">
        <v>33</v>
      </c>
      <c r="D1628" s="3" t="s">
        <v>43</v>
      </c>
      <c r="E1628" s="3" t="s">
        <v>25</v>
      </c>
      <c r="F1628" s="3" t="s">
        <v>25</v>
      </c>
      <c r="G1628" s="3" t="s">
        <v>25</v>
      </c>
      <c r="H1628" s="3" t="s">
        <v>35</v>
      </c>
      <c r="I1628" s="6">
        <v>44317</v>
      </c>
      <c r="J1628" s="4">
        <v>0</v>
      </c>
      <c r="K1628" s="4">
        <v>0</v>
      </c>
      <c r="L1628" s="4">
        <v>95.65</v>
      </c>
      <c r="M1628" s="4">
        <v>95.65</v>
      </c>
      <c r="N1628" s="4">
        <v>95.65</v>
      </c>
      <c r="O1628" s="4">
        <v>95.65</v>
      </c>
      <c r="P1628" s="4">
        <v>0</v>
      </c>
      <c r="Q1628" s="3" t="s">
        <v>26</v>
      </c>
      <c r="R1628" s="3">
        <v>0</v>
      </c>
      <c r="S1628" s="3" t="s">
        <v>517</v>
      </c>
      <c r="T1628" s="3" t="s">
        <v>798</v>
      </c>
      <c r="U1628" s="3">
        <v>0</v>
      </c>
      <c r="V1628" s="3">
        <v>83</v>
      </c>
      <c r="W1628" s="3">
        <v>61</v>
      </c>
    </row>
    <row r="1629" spans="1:23" ht="11.25" customHeight="1" x14ac:dyDescent="0.25">
      <c r="A1629" s="3" t="s">
        <v>21</v>
      </c>
      <c r="B1629" s="3" t="s">
        <v>37</v>
      </c>
      <c r="C1629" s="3" t="s">
        <v>33</v>
      </c>
      <c r="D1629" s="3" t="s">
        <v>43</v>
      </c>
      <c r="E1629" s="3" t="s">
        <v>25</v>
      </c>
      <c r="F1629" s="3" t="s">
        <v>25</v>
      </c>
      <c r="G1629" s="3" t="s">
        <v>25</v>
      </c>
      <c r="H1629" s="3" t="s">
        <v>35</v>
      </c>
      <c r="I1629" s="6">
        <v>44348</v>
      </c>
      <c r="J1629" s="4">
        <v>0</v>
      </c>
      <c r="K1629" s="4">
        <v>0</v>
      </c>
      <c r="L1629" s="4">
        <v>92.948999999999998</v>
      </c>
      <c r="M1629" s="4">
        <v>92.948999999999998</v>
      </c>
      <c r="N1629" s="4">
        <v>92.948999999999998</v>
      </c>
      <c r="O1629" s="4">
        <v>92.948999999999998</v>
      </c>
      <c r="P1629" s="4">
        <v>0</v>
      </c>
      <c r="Q1629" s="3" t="s">
        <v>26</v>
      </c>
      <c r="R1629" s="3">
        <v>0</v>
      </c>
      <c r="S1629" s="3" t="s">
        <v>518</v>
      </c>
      <c r="T1629" s="3" t="s">
        <v>799</v>
      </c>
      <c r="U1629" s="3">
        <v>0</v>
      </c>
      <c r="V1629" s="3">
        <v>83</v>
      </c>
      <c r="W1629" s="3">
        <v>61</v>
      </c>
    </row>
    <row r="1630" spans="1:23" ht="11.25" customHeight="1" x14ac:dyDescent="0.25">
      <c r="A1630" s="3" t="s">
        <v>21</v>
      </c>
      <c r="B1630" s="3" t="s">
        <v>37</v>
      </c>
      <c r="C1630" s="3" t="s">
        <v>33</v>
      </c>
      <c r="D1630" s="3" t="s">
        <v>43</v>
      </c>
      <c r="E1630" s="3" t="s">
        <v>25</v>
      </c>
      <c r="F1630" s="3" t="s">
        <v>25</v>
      </c>
      <c r="G1630" s="3" t="s">
        <v>25</v>
      </c>
      <c r="H1630" s="3" t="s">
        <v>35</v>
      </c>
      <c r="I1630" s="6">
        <v>44378</v>
      </c>
      <c r="J1630" s="4">
        <v>0</v>
      </c>
      <c r="K1630" s="4">
        <v>0</v>
      </c>
      <c r="L1630" s="4">
        <v>95.912999999999997</v>
      </c>
      <c r="M1630" s="4">
        <v>95.912999999999997</v>
      </c>
      <c r="N1630" s="4">
        <v>95.912999999999997</v>
      </c>
      <c r="O1630" s="4">
        <v>95.912999999999997</v>
      </c>
      <c r="P1630" s="4">
        <v>0</v>
      </c>
      <c r="Q1630" s="3" t="s">
        <v>26</v>
      </c>
      <c r="R1630" s="3">
        <v>0</v>
      </c>
      <c r="S1630" s="3" t="s">
        <v>519</v>
      </c>
      <c r="T1630" s="3" t="s">
        <v>800</v>
      </c>
      <c r="U1630" s="3">
        <v>0</v>
      </c>
      <c r="V1630" s="3">
        <v>83</v>
      </c>
      <c r="W1630" s="3">
        <v>61</v>
      </c>
    </row>
    <row r="1631" spans="1:23" ht="11.25" customHeight="1" x14ac:dyDescent="0.25">
      <c r="A1631" s="3" t="s">
        <v>21</v>
      </c>
      <c r="B1631" s="3" t="s">
        <v>37</v>
      </c>
      <c r="C1631" s="3" t="s">
        <v>33</v>
      </c>
      <c r="D1631" s="3" t="s">
        <v>43</v>
      </c>
      <c r="E1631" s="3" t="s">
        <v>25</v>
      </c>
      <c r="F1631" s="3" t="s">
        <v>25</v>
      </c>
      <c r="G1631" s="3" t="s">
        <v>25</v>
      </c>
      <c r="H1631" s="3" t="s">
        <v>35</v>
      </c>
      <c r="I1631" s="6">
        <v>44409</v>
      </c>
      <c r="J1631" s="4">
        <v>0</v>
      </c>
      <c r="K1631" s="4">
        <v>0</v>
      </c>
      <c r="L1631" s="4">
        <v>96.564999999999998</v>
      </c>
      <c r="M1631" s="4">
        <v>96.564999999999998</v>
      </c>
      <c r="N1631" s="4">
        <v>96.564999999999998</v>
      </c>
      <c r="O1631" s="4">
        <v>96.564999999999998</v>
      </c>
      <c r="P1631" s="4">
        <v>0</v>
      </c>
      <c r="Q1631" s="3" t="s">
        <v>26</v>
      </c>
      <c r="R1631" s="3">
        <v>0</v>
      </c>
      <c r="S1631" s="3" t="s">
        <v>520</v>
      </c>
      <c r="T1631" s="3" t="s">
        <v>801</v>
      </c>
      <c r="U1631" s="3">
        <v>0</v>
      </c>
      <c r="V1631" s="3">
        <v>83</v>
      </c>
      <c r="W1631" s="3">
        <v>61</v>
      </c>
    </row>
    <row r="1632" spans="1:23" ht="11.25" customHeight="1" x14ac:dyDescent="0.25">
      <c r="A1632" s="3" t="s">
        <v>21</v>
      </c>
      <c r="B1632" s="3" t="s">
        <v>37</v>
      </c>
      <c r="C1632" s="3" t="s">
        <v>33</v>
      </c>
      <c r="D1632" s="3" t="s">
        <v>43</v>
      </c>
      <c r="E1632" s="3" t="s">
        <v>25</v>
      </c>
      <c r="F1632" s="3" t="s">
        <v>25</v>
      </c>
      <c r="G1632" s="3" t="s">
        <v>25</v>
      </c>
      <c r="H1632" s="3" t="s">
        <v>35</v>
      </c>
      <c r="I1632" s="6">
        <v>44440</v>
      </c>
      <c r="J1632" s="4">
        <v>0</v>
      </c>
      <c r="K1632" s="4">
        <v>0</v>
      </c>
      <c r="L1632" s="4">
        <v>101.881</v>
      </c>
      <c r="M1632" s="4">
        <v>101.881</v>
      </c>
      <c r="N1632" s="4">
        <v>101.881</v>
      </c>
      <c r="O1632" s="4">
        <v>101.881</v>
      </c>
      <c r="P1632" s="4">
        <v>0</v>
      </c>
      <c r="Q1632" s="3" t="s">
        <v>26</v>
      </c>
      <c r="R1632" s="3">
        <v>0</v>
      </c>
      <c r="S1632" s="3" t="s">
        <v>521</v>
      </c>
      <c r="T1632" s="3" t="s">
        <v>802</v>
      </c>
      <c r="U1632" s="3">
        <v>0</v>
      </c>
      <c r="V1632" s="3">
        <v>83</v>
      </c>
      <c r="W1632" s="3">
        <v>61</v>
      </c>
    </row>
    <row r="1633" spans="1:23" ht="11.25" customHeight="1" x14ac:dyDescent="0.25">
      <c r="A1633" s="3" t="s">
        <v>21</v>
      </c>
      <c r="B1633" s="3" t="s">
        <v>37</v>
      </c>
      <c r="C1633" s="3" t="s">
        <v>33</v>
      </c>
      <c r="D1633" s="3" t="s">
        <v>43</v>
      </c>
      <c r="E1633" s="3" t="s">
        <v>25</v>
      </c>
      <c r="F1633" s="3" t="s">
        <v>25</v>
      </c>
      <c r="G1633" s="3" t="s">
        <v>25</v>
      </c>
      <c r="H1633" s="3" t="s">
        <v>35</v>
      </c>
      <c r="I1633" s="6">
        <v>44470</v>
      </c>
      <c r="J1633" s="4">
        <v>0</v>
      </c>
      <c r="K1633" s="4">
        <v>0</v>
      </c>
      <c r="L1633" s="4">
        <v>117.217</v>
      </c>
      <c r="M1633" s="4">
        <v>117.217</v>
      </c>
      <c r="N1633" s="4">
        <v>117.217</v>
      </c>
      <c r="O1633" s="4">
        <v>117.217</v>
      </c>
      <c r="P1633" s="4">
        <v>0</v>
      </c>
      <c r="Q1633" s="3" t="s">
        <v>26</v>
      </c>
      <c r="R1633" s="3">
        <v>0</v>
      </c>
      <c r="S1633" s="3" t="s">
        <v>522</v>
      </c>
      <c r="T1633" s="3" t="s">
        <v>803</v>
      </c>
      <c r="U1633" s="3">
        <v>0</v>
      </c>
      <c r="V1633" s="3">
        <v>83</v>
      </c>
      <c r="W1633" s="3">
        <v>61</v>
      </c>
    </row>
    <row r="1634" spans="1:23" ht="11.25" customHeight="1" x14ac:dyDescent="0.25">
      <c r="A1634" s="3" t="s">
        <v>28</v>
      </c>
      <c r="B1634" s="3" t="s">
        <v>37</v>
      </c>
      <c r="C1634" s="3" t="s">
        <v>33</v>
      </c>
      <c r="D1634" s="3" t="s">
        <v>43</v>
      </c>
      <c r="E1634" s="3" t="s">
        <v>25</v>
      </c>
      <c r="F1634" s="3" t="s">
        <v>25</v>
      </c>
      <c r="G1634" s="3" t="s">
        <v>25</v>
      </c>
      <c r="H1634" s="3" t="s">
        <v>35</v>
      </c>
      <c r="I1634" s="6">
        <v>44470</v>
      </c>
      <c r="J1634" s="4">
        <v>0</v>
      </c>
      <c r="K1634" s="4">
        <v>0</v>
      </c>
      <c r="L1634" s="4">
        <v>0.78300000000000003</v>
      </c>
      <c r="M1634" s="4">
        <v>0.78300000000000003</v>
      </c>
      <c r="N1634" s="4">
        <v>0.78300000000000003</v>
      </c>
      <c r="O1634" s="4">
        <v>0.78300000000000003</v>
      </c>
      <c r="P1634" s="4">
        <v>0</v>
      </c>
      <c r="Q1634" s="3" t="s">
        <v>26</v>
      </c>
      <c r="R1634" s="3">
        <v>0</v>
      </c>
      <c r="S1634" s="3" t="s">
        <v>522</v>
      </c>
      <c r="T1634" s="3" t="s">
        <v>803</v>
      </c>
      <c r="U1634" s="3">
        <v>0</v>
      </c>
      <c r="V1634" s="3">
        <v>83</v>
      </c>
      <c r="W1634" s="3">
        <v>61</v>
      </c>
    </row>
    <row r="1635" spans="1:23" ht="11.25" customHeight="1" x14ac:dyDescent="0.25">
      <c r="A1635" s="3" t="s">
        <v>21</v>
      </c>
      <c r="B1635" s="3" t="s">
        <v>37</v>
      </c>
      <c r="C1635" s="3" t="s">
        <v>33</v>
      </c>
      <c r="D1635" s="3" t="s">
        <v>43</v>
      </c>
      <c r="E1635" s="3" t="s">
        <v>25</v>
      </c>
      <c r="F1635" s="3" t="s">
        <v>25</v>
      </c>
      <c r="G1635" s="3" t="s">
        <v>25</v>
      </c>
      <c r="H1635" s="3" t="s">
        <v>35</v>
      </c>
      <c r="I1635" s="6">
        <v>44501</v>
      </c>
      <c r="J1635" s="4">
        <v>0</v>
      </c>
      <c r="K1635" s="4">
        <v>0</v>
      </c>
      <c r="L1635" s="4">
        <v>118.175</v>
      </c>
      <c r="M1635" s="4">
        <v>118.175</v>
      </c>
      <c r="N1635" s="4">
        <v>118.175</v>
      </c>
      <c r="O1635" s="4">
        <v>118.175</v>
      </c>
      <c r="P1635" s="4">
        <v>0</v>
      </c>
      <c r="Q1635" s="3" t="s">
        <v>26</v>
      </c>
      <c r="R1635" s="3">
        <v>0</v>
      </c>
      <c r="S1635" s="3" t="s">
        <v>523</v>
      </c>
      <c r="T1635" s="3" t="s">
        <v>804</v>
      </c>
      <c r="U1635" s="3">
        <v>0</v>
      </c>
      <c r="V1635" s="3">
        <v>83</v>
      </c>
      <c r="W1635" s="3">
        <v>61</v>
      </c>
    </row>
    <row r="1636" spans="1:23" ht="11.25" customHeight="1" x14ac:dyDescent="0.25">
      <c r="A1636" s="3" t="s">
        <v>21</v>
      </c>
      <c r="B1636" s="3" t="s">
        <v>37</v>
      </c>
      <c r="C1636" s="3" t="s">
        <v>33</v>
      </c>
      <c r="D1636" s="3" t="s">
        <v>43</v>
      </c>
      <c r="E1636" s="3" t="s">
        <v>25</v>
      </c>
      <c r="F1636" s="3" t="s">
        <v>25</v>
      </c>
      <c r="G1636" s="3" t="s">
        <v>25</v>
      </c>
      <c r="H1636" s="3" t="s">
        <v>35</v>
      </c>
      <c r="I1636" s="6">
        <v>44531</v>
      </c>
      <c r="J1636" s="4">
        <v>0</v>
      </c>
      <c r="K1636" s="4">
        <v>0</v>
      </c>
      <c r="L1636" s="4">
        <v>127.02500000000001</v>
      </c>
      <c r="M1636" s="4">
        <v>127.02500000000001</v>
      </c>
      <c r="N1636" s="4">
        <v>127.02500000000001</v>
      </c>
      <c r="O1636" s="4">
        <v>127.02500000000001</v>
      </c>
      <c r="P1636" s="4">
        <v>0</v>
      </c>
      <c r="Q1636" s="3" t="s">
        <v>26</v>
      </c>
      <c r="R1636" s="3">
        <v>0</v>
      </c>
      <c r="S1636" s="3" t="s">
        <v>524</v>
      </c>
      <c r="T1636" s="3" t="s">
        <v>805</v>
      </c>
      <c r="U1636" s="3">
        <v>0</v>
      </c>
      <c r="V1636" s="3">
        <v>83</v>
      </c>
      <c r="W1636" s="3">
        <v>61</v>
      </c>
    </row>
    <row r="1637" spans="1:23" ht="11.25" customHeight="1" x14ac:dyDescent="0.25">
      <c r="A1637" s="3" t="s">
        <v>21</v>
      </c>
      <c r="B1637" s="3" t="s">
        <v>37</v>
      </c>
      <c r="C1637" s="3" t="s">
        <v>33</v>
      </c>
      <c r="D1637" s="3" t="s">
        <v>43</v>
      </c>
      <c r="E1637" s="3" t="s">
        <v>25</v>
      </c>
      <c r="F1637" s="3" t="s">
        <v>25</v>
      </c>
      <c r="G1637" s="3" t="s">
        <v>25</v>
      </c>
      <c r="H1637" s="3" t="s">
        <v>35</v>
      </c>
      <c r="I1637" s="6">
        <v>44562</v>
      </c>
      <c r="J1637" s="4">
        <v>0</v>
      </c>
      <c r="K1637" s="4">
        <v>0</v>
      </c>
      <c r="L1637" s="4">
        <v>123.901</v>
      </c>
      <c r="M1637" s="4">
        <v>123.901</v>
      </c>
      <c r="N1637" s="4">
        <v>123.901</v>
      </c>
      <c r="O1637" s="4">
        <v>123.901</v>
      </c>
      <c r="P1637" s="4">
        <v>0</v>
      </c>
      <c r="Q1637" s="3" t="s">
        <v>26</v>
      </c>
      <c r="R1637" s="3">
        <v>0</v>
      </c>
      <c r="S1637" s="3" t="s">
        <v>525</v>
      </c>
      <c r="T1637" s="3" t="s">
        <v>806</v>
      </c>
      <c r="U1637" s="3">
        <v>0</v>
      </c>
      <c r="V1637" s="3">
        <v>83</v>
      </c>
      <c r="W1637" s="3">
        <v>61</v>
      </c>
    </row>
    <row r="1638" spans="1:23" ht="11.25" customHeight="1" x14ac:dyDescent="0.25">
      <c r="A1638" s="3" t="s">
        <v>28</v>
      </c>
      <c r="B1638" s="3" t="s">
        <v>37</v>
      </c>
      <c r="C1638" s="3" t="s">
        <v>33</v>
      </c>
      <c r="D1638" s="3" t="s">
        <v>43</v>
      </c>
      <c r="E1638" s="3" t="s">
        <v>25</v>
      </c>
      <c r="F1638" s="3" t="s">
        <v>25</v>
      </c>
      <c r="G1638" s="3" t="s">
        <v>25</v>
      </c>
      <c r="H1638" s="3" t="s">
        <v>35</v>
      </c>
      <c r="I1638" s="6">
        <v>44562</v>
      </c>
      <c r="J1638" s="4">
        <v>0</v>
      </c>
      <c r="K1638" s="4">
        <v>0</v>
      </c>
      <c r="L1638" s="4">
        <v>1.1459999999999999</v>
      </c>
      <c r="M1638" s="4">
        <v>1.1459999999999999</v>
      </c>
      <c r="N1638" s="4">
        <v>1.1459999999999999</v>
      </c>
      <c r="O1638" s="4">
        <v>1.1459999999999999</v>
      </c>
      <c r="P1638" s="4">
        <v>0</v>
      </c>
      <c r="Q1638" s="3" t="s">
        <v>26</v>
      </c>
      <c r="R1638" s="3">
        <v>0</v>
      </c>
      <c r="S1638" s="3" t="s">
        <v>525</v>
      </c>
      <c r="T1638" s="3" t="s">
        <v>806</v>
      </c>
      <c r="U1638" s="3">
        <v>0</v>
      </c>
      <c r="V1638" s="3">
        <v>83</v>
      </c>
      <c r="W1638" s="3">
        <v>61</v>
      </c>
    </row>
    <row r="1639" spans="1:23" ht="11.25" customHeight="1" x14ac:dyDescent="0.25">
      <c r="A1639" s="3" t="s">
        <v>21</v>
      </c>
      <c r="B1639" s="3" t="s">
        <v>37</v>
      </c>
      <c r="C1639" s="3" t="s">
        <v>33</v>
      </c>
      <c r="D1639" s="3" t="s">
        <v>43</v>
      </c>
      <c r="E1639" s="3" t="s">
        <v>25</v>
      </c>
      <c r="F1639" s="3" t="s">
        <v>25</v>
      </c>
      <c r="G1639" s="3" t="s">
        <v>25</v>
      </c>
      <c r="H1639" s="3" t="s">
        <v>35</v>
      </c>
      <c r="I1639" s="6">
        <v>44593</v>
      </c>
      <c r="J1639" s="4">
        <v>0</v>
      </c>
      <c r="K1639" s="4">
        <v>0</v>
      </c>
      <c r="L1639" s="4">
        <v>116.524</v>
      </c>
      <c r="M1639" s="4">
        <v>116.524</v>
      </c>
      <c r="N1639" s="4">
        <v>116.524</v>
      </c>
      <c r="O1639" s="4">
        <v>116.524</v>
      </c>
      <c r="P1639" s="4">
        <v>0</v>
      </c>
      <c r="Q1639" s="3" t="s">
        <v>26</v>
      </c>
      <c r="R1639" s="3">
        <v>0</v>
      </c>
      <c r="S1639" s="3" t="s">
        <v>526</v>
      </c>
      <c r="T1639" s="3" t="s">
        <v>807</v>
      </c>
      <c r="U1639" s="3">
        <v>0</v>
      </c>
      <c r="V1639" s="3">
        <v>83</v>
      </c>
      <c r="W1639" s="3">
        <v>61</v>
      </c>
    </row>
    <row r="1640" spans="1:23" ht="11.25" customHeight="1" x14ac:dyDescent="0.25">
      <c r="A1640" s="3" t="s">
        <v>56</v>
      </c>
      <c r="B1640" s="3" t="s">
        <v>37</v>
      </c>
      <c r="C1640" s="3" t="s">
        <v>33</v>
      </c>
      <c r="D1640" s="3" t="s">
        <v>43</v>
      </c>
      <c r="E1640" s="3" t="s">
        <v>25</v>
      </c>
      <c r="F1640" s="3" t="s">
        <v>25</v>
      </c>
      <c r="G1640" s="3" t="s">
        <v>25</v>
      </c>
      <c r="H1640" s="3" t="s">
        <v>35</v>
      </c>
      <c r="I1640" s="6">
        <v>44621</v>
      </c>
      <c r="J1640" s="4">
        <v>0</v>
      </c>
      <c r="K1640" s="4">
        <v>0</v>
      </c>
      <c r="L1640" s="4">
        <v>116.524</v>
      </c>
      <c r="M1640" s="4">
        <v>116.524</v>
      </c>
      <c r="N1640" s="4">
        <v>116.524</v>
      </c>
      <c r="O1640" s="4">
        <v>116.524</v>
      </c>
      <c r="P1640" s="4">
        <v>0</v>
      </c>
      <c r="Q1640" s="3" t="s">
        <v>26</v>
      </c>
      <c r="R1640" s="3">
        <v>0</v>
      </c>
      <c r="S1640" s="3" t="s">
        <v>527</v>
      </c>
      <c r="T1640" s="3" t="s">
        <v>808</v>
      </c>
      <c r="U1640" s="3">
        <v>0</v>
      </c>
      <c r="V1640" s="3">
        <v>83</v>
      </c>
      <c r="W1640" s="3">
        <v>61</v>
      </c>
    </row>
    <row r="1641" spans="1:23" ht="11.25" customHeight="1" x14ac:dyDescent="0.25">
      <c r="A1641" s="3" t="s">
        <v>21</v>
      </c>
      <c r="B1641" s="3" t="s">
        <v>37</v>
      </c>
      <c r="C1641" s="3" t="s">
        <v>33</v>
      </c>
      <c r="D1641" s="3" t="s">
        <v>43</v>
      </c>
      <c r="E1641" s="3" t="s">
        <v>25</v>
      </c>
      <c r="F1641" s="3" t="s">
        <v>25</v>
      </c>
      <c r="G1641" s="3" t="s">
        <v>25</v>
      </c>
      <c r="H1641" s="3" t="s">
        <v>36</v>
      </c>
      <c r="I1641" s="6">
        <v>44287</v>
      </c>
      <c r="J1641" s="4">
        <v>0</v>
      </c>
      <c r="K1641" s="4">
        <v>0</v>
      </c>
      <c r="L1641" s="4">
        <v>5.09</v>
      </c>
      <c r="M1641" s="4">
        <v>5.09</v>
      </c>
      <c r="N1641" s="4">
        <v>5.09</v>
      </c>
      <c r="O1641" s="4">
        <v>5.09</v>
      </c>
      <c r="P1641" s="4">
        <v>0</v>
      </c>
      <c r="Q1641" s="3" t="s">
        <v>26</v>
      </c>
      <c r="R1641" s="3">
        <v>0</v>
      </c>
      <c r="S1641" s="3" t="s">
        <v>528</v>
      </c>
      <c r="T1641" s="3" t="s">
        <v>809</v>
      </c>
      <c r="U1641" s="3">
        <v>0</v>
      </c>
      <c r="V1641" s="3">
        <v>82</v>
      </c>
      <c r="W1641" s="3">
        <v>60</v>
      </c>
    </row>
    <row r="1642" spans="1:23" ht="11.25" customHeight="1" x14ac:dyDescent="0.25">
      <c r="A1642" s="3" t="s">
        <v>21</v>
      </c>
      <c r="B1642" s="3" t="s">
        <v>37</v>
      </c>
      <c r="C1642" s="3" t="s">
        <v>33</v>
      </c>
      <c r="D1642" s="3" t="s">
        <v>43</v>
      </c>
      <c r="E1642" s="3" t="s">
        <v>25</v>
      </c>
      <c r="F1642" s="3" t="s">
        <v>25</v>
      </c>
      <c r="G1642" s="3" t="s">
        <v>25</v>
      </c>
      <c r="H1642" s="3" t="s">
        <v>36</v>
      </c>
      <c r="I1642" s="6">
        <v>44317</v>
      </c>
      <c r="J1642" s="4">
        <v>0</v>
      </c>
      <c r="K1642" s="4">
        <v>0</v>
      </c>
      <c r="L1642" s="4">
        <v>4.9470000000000001</v>
      </c>
      <c r="M1642" s="4">
        <v>4.9470000000000001</v>
      </c>
      <c r="N1642" s="4">
        <v>4.9470000000000001</v>
      </c>
      <c r="O1642" s="4">
        <v>4.9470000000000001</v>
      </c>
      <c r="P1642" s="4">
        <v>0</v>
      </c>
      <c r="Q1642" s="3" t="s">
        <v>26</v>
      </c>
      <c r="R1642" s="3">
        <v>0</v>
      </c>
      <c r="S1642" s="3" t="s">
        <v>529</v>
      </c>
      <c r="T1642" s="3" t="s">
        <v>810</v>
      </c>
      <c r="U1642" s="3">
        <v>0</v>
      </c>
      <c r="V1642" s="3">
        <v>82</v>
      </c>
      <c r="W1642" s="3">
        <v>60</v>
      </c>
    </row>
    <row r="1643" spans="1:23" ht="11.25" customHeight="1" x14ac:dyDescent="0.25">
      <c r="A1643" s="3" t="s">
        <v>21</v>
      </c>
      <c r="B1643" s="3" t="s">
        <v>37</v>
      </c>
      <c r="C1643" s="3" t="s">
        <v>33</v>
      </c>
      <c r="D1643" s="3" t="s">
        <v>43</v>
      </c>
      <c r="E1643" s="3" t="s">
        <v>25</v>
      </c>
      <c r="F1643" s="3" t="s">
        <v>25</v>
      </c>
      <c r="G1643" s="3" t="s">
        <v>25</v>
      </c>
      <c r="H1643" s="3" t="s">
        <v>36</v>
      </c>
      <c r="I1643" s="6">
        <v>44348</v>
      </c>
      <c r="J1643" s="4">
        <v>0</v>
      </c>
      <c r="K1643" s="4">
        <v>0</v>
      </c>
      <c r="L1643" s="4">
        <v>4.702</v>
      </c>
      <c r="M1643" s="4">
        <v>4.702</v>
      </c>
      <c r="N1643" s="4">
        <v>4.702</v>
      </c>
      <c r="O1643" s="4">
        <v>4.702</v>
      </c>
      <c r="P1643" s="4">
        <v>0</v>
      </c>
      <c r="Q1643" s="3" t="s">
        <v>26</v>
      </c>
      <c r="R1643" s="3">
        <v>0</v>
      </c>
      <c r="S1643" s="3" t="s">
        <v>530</v>
      </c>
      <c r="T1643" s="3" t="s">
        <v>811</v>
      </c>
      <c r="U1643" s="3">
        <v>0</v>
      </c>
      <c r="V1643" s="3">
        <v>82</v>
      </c>
      <c r="W1643" s="3">
        <v>60</v>
      </c>
    </row>
    <row r="1644" spans="1:23" ht="11.25" customHeight="1" x14ac:dyDescent="0.25">
      <c r="A1644" s="3" t="s">
        <v>21</v>
      </c>
      <c r="B1644" s="3" t="s">
        <v>37</v>
      </c>
      <c r="C1644" s="3" t="s">
        <v>33</v>
      </c>
      <c r="D1644" s="3" t="s">
        <v>43</v>
      </c>
      <c r="E1644" s="3" t="s">
        <v>25</v>
      </c>
      <c r="F1644" s="3" t="s">
        <v>25</v>
      </c>
      <c r="G1644" s="3" t="s">
        <v>25</v>
      </c>
      <c r="H1644" s="3" t="s">
        <v>36</v>
      </c>
      <c r="I1644" s="6">
        <v>44378</v>
      </c>
      <c r="J1644" s="4">
        <v>0</v>
      </c>
      <c r="K1644" s="4">
        <v>0</v>
      </c>
      <c r="L1644" s="4">
        <v>5.1050000000000004</v>
      </c>
      <c r="M1644" s="4">
        <v>5.1050000000000004</v>
      </c>
      <c r="N1644" s="4">
        <v>5.1050000000000004</v>
      </c>
      <c r="O1644" s="4">
        <v>5.1050000000000004</v>
      </c>
      <c r="P1644" s="4">
        <v>0</v>
      </c>
      <c r="Q1644" s="3" t="s">
        <v>26</v>
      </c>
      <c r="R1644" s="3">
        <v>0</v>
      </c>
      <c r="S1644" s="3" t="s">
        <v>531</v>
      </c>
      <c r="T1644" s="3" t="s">
        <v>812</v>
      </c>
      <c r="U1644" s="3">
        <v>0</v>
      </c>
      <c r="V1644" s="3">
        <v>82</v>
      </c>
      <c r="W1644" s="3">
        <v>60</v>
      </c>
    </row>
    <row r="1645" spans="1:23" ht="11.25" customHeight="1" x14ac:dyDescent="0.25">
      <c r="A1645" s="3" t="s">
        <v>21</v>
      </c>
      <c r="B1645" s="3" t="s">
        <v>37</v>
      </c>
      <c r="C1645" s="3" t="s">
        <v>33</v>
      </c>
      <c r="D1645" s="3" t="s">
        <v>43</v>
      </c>
      <c r="E1645" s="3" t="s">
        <v>25</v>
      </c>
      <c r="F1645" s="3" t="s">
        <v>25</v>
      </c>
      <c r="G1645" s="3" t="s">
        <v>25</v>
      </c>
      <c r="H1645" s="3" t="s">
        <v>36</v>
      </c>
      <c r="I1645" s="6">
        <v>44409</v>
      </c>
      <c r="J1645" s="4">
        <v>0</v>
      </c>
      <c r="K1645" s="4">
        <v>0</v>
      </c>
      <c r="L1645" s="4">
        <v>5.3280000000000003</v>
      </c>
      <c r="M1645" s="4">
        <v>5.3280000000000003</v>
      </c>
      <c r="N1645" s="4">
        <v>5.3280000000000003</v>
      </c>
      <c r="O1645" s="4">
        <v>5.3280000000000003</v>
      </c>
      <c r="P1645" s="4">
        <v>0</v>
      </c>
      <c r="Q1645" s="3" t="s">
        <v>26</v>
      </c>
      <c r="R1645" s="3">
        <v>0</v>
      </c>
      <c r="S1645" s="3" t="s">
        <v>532</v>
      </c>
      <c r="T1645" s="3" t="s">
        <v>813</v>
      </c>
      <c r="U1645" s="3">
        <v>0</v>
      </c>
      <c r="V1645" s="3">
        <v>82</v>
      </c>
      <c r="W1645" s="3">
        <v>60</v>
      </c>
    </row>
    <row r="1646" spans="1:23" ht="11.25" customHeight="1" x14ac:dyDescent="0.25">
      <c r="A1646" s="3" t="s">
        <v>21</v>
      </c>
      <c r="B1646" s="3" t="s">
        <v>37</v>
      </c>
      <c r="C1646" s="3" t="s">
        <v>33</v>
      </c>
      <c r="D1646" s="3" t="s">
        <v>43</v>
      </c>
      <c r="E1646" s="3" t="s">
        <v>25</v>
      </c>
      <c r="F1646" s="3" t="s">
        <v>25</v>
      </c>
      <c r="G1646" s="3" t="s">
        <v>25</v>
      </c>
      <c r="H1646" s="3" t="s">
        <v>36</v>
      </c>
      <c r="I1646" s="6">
        <v>44440</v>
      </c>
      <c r="J1646" s="4">
        <v>0</v>
      </c>
      <c r="K1646" s="4">
        <v>0</v>
      </c>
      <c r="L1646" s="4">
        <v>5.383</v>
      </c>
      <c r="M1646" s="4">
        <v>5.383</v>
      </c>
      <c r="N1646" s="4">
        <v>5.383</v>
      </c>
      <c r="O1646" s="4">
        <v>5.383</v>
      </c>
      <c r="P1646" s="4">
        <v>0</v>
      </c>
      <c r="Q1646" s="3" t="s">
        <v>26</v>
      </c>
      <c r="R1646" s="3">
        <v>0</v>
      </c>
      <c r="S1646" s="3" t="s">
        <v>533</v>
      </c>
      <c r="T1646" s="3" t="s">
        <v>814</v>
      </c>
      <c r="U1646" s="3">
        <v>0</v>
      </c>
      <c r="V1646" s="3">
        <v>82</v>
      </c>
      <c r="W1646" s="3">
        <v>60</v>
      </c>
    </row>
    <row r="1647" spans="1:23" ht="11.25" customHeight="1" x14ac:dyDescent="0.25">
      <c r="A1647" s="3" t="s">
        <v>21</v>
      </c>
      <c r="B1647" s="3" t="s">
        <v>37</v>
      </c>
      <c r="C1647" s="3" t="s">
        <v>33</v>
      </c>
      <c r="D1647" s="3" t="s">
        <v>43</v>
      </c>
      <c r="E1647" s="3" t="s">
        <v>25</v>
      </c>
      <c r="F1647" s="3" t="s">
        <v>25</v>
      </c>
      <c r="G1647" s="3" t="s">
        <v>25</v>
      </c>
      <c r="H1647" s="3" t="s">
        <v>36</v>
      </c>
      <c r="I1647" s="6">
        <v>44470</v>
      </c>
      <c r="J1647" s="4">
        <v>0</v>
      </c>
      <c r="K1647" s="4">
        <v>0</v>
      </c>
      <c r="L1647" s="4">
        <v>6.2469999999999999</v>
      </c>
      <c r="M1647" s="4">
        <v>6.2469999999999999</v>
      </c>
      <c r="N1647" s="4">
        <v>6.2469999999999999</v>
      </c>
      <c r="O1647" s="4">
        <v>6.2469999999999999</v>
      </c>
      <c r="P1647" s="4">
        <v>0</v>
      </c>
      <c r="Q1647" s="3" t="s">
        <v>26</v>
      </c>
      <c r="R1647" s="3">
        <v>0</v>
      </c>
      <c r="S1647" s="3" t="s">
        <v>534</v>
      </c>
      <c r="T1647" s="3" t="s">
        <v>815</v>
      </c>
      <c r="U1647" s="3">
        <v>0</v>
      </c>
      <c r="V1647" s="3">
        <v>82</v>
      </c>
      <c r="W1647" s="3">
        <v>60</v>
      </c>
    </row>
    <row r="1648" spans="1:23" ht="11.25" customHeight="1" x14ac:dyDescent="0.25">
      <c r="A1648" s="3" t="s">
        <v>28</v>
      </c>
      <c r="B1648" s="3" t="s">
        <v>37</v>
      </c>
      <c r="C1648" s="3" t="s">
        <v>33</v>
      </c>
      <c r="D1648" s="3" t="s">
        <v>43</v>
      </c>
      <c r="E1648" s="3" t="s">
        <v>25</v>
      </c>
      <c r="F1648" s="3" t="s">
        <v>25</v>
      </c>
      <c r="G1648" s="3" t="s">
        <v>25</v>
      </c>
      <c r="H1648" s="3" t="s">
        <v>36</v>
      </c>
      <c r="I1648" s="6">
        <v>44470</v>
      </c>
      <c r="J1648" s="4">
        <v>0</v>
      </c>
      <c r="K1648" s="4">
        <v>0</v>
      </c>
      <c r="L1648" s="4">
        <v>2.8000000000000001E-2</v>
      </c>
      <c r="M1648" s="4">
        <v>2.8000000000000001E-2</v>
      </c>
      <c r="N1648" s="4">
        <v>2.8000000000000001E-2</v>
      </c>
      <c r="O1648" s="4">
        <v>2.8000000000000001E-2</v>
      </c>
      <c r="P1648" s="4">
        <v>0</v>
      </c>
      <c r="Q1648" s="3" t="s">
        <v>26</v>
      </c>
      <c r="R1648" s="3">
        <v>0</v>
      </c>
      <c r="S1648" s="3" t="s">
        <v>534</v>
      </c>
      <c r="T1648" s="3" t="s">
        <v>815</v>
      </c>
      <c r="U1648" s="3">
        <v>0</v>
      </c>
      <c r="V1648" s="3">
        <v>82</v>
      </c>
      <c r="W1648" s="3">
        <v>60</v>
      </c>
    </row>
    <row r="1649" spans="1:23" ht="11.25" customHeight="1" x14ac:dyDescent="0.25">
      <c r="A1649" s="3" t="s">
        <v>21</v>
      </c>
      <c r="B1649" s="3" t="s">
        <v>37</v>
      </c>
      <c r="C1649" s="3" t="s">
        <v>33</v>
      </c>
      <c r="D1649" s="3" t="s">
        <v>43</v>
      </c>
      <c r="E1649" s="3" t="s">
        <v>25</v>
      </c>
      <c r="F1649" s="3" t="s">
        <v>25</v>
      </c>
      <c r="G1649" s="3" t="s">
        <v>25</v>
      </c>
      <c r="H1649" s="3" t="s">
        <v>36</v>
      </c>
      <c r="I1649" s="6">
        <v>44501</v>
      </c>
      <c r="J1649" s="4">
        <v>0</v>
      </c>
      <c r="K1649" s="4">
        <v>0</v>
      </c>
      <c r="L1649" s="4">
        <v>5.9210000000000003</v>
      </c>
      <c r="M1649" s="4">
        <v>5.9210000000000003</v>
      </c>
      <c r="N1649" s="4">
        <v>5.9210000000000003</v>
      </c>
      <c r="O1649" s="4">
        <v>5.9210000000000003</v>
      </c>
      <c r="P1649" s="4">
        <v>0</v>
      </c>
      <c r="Q1649" s="3" t="s">
        <v>26</v>
      </c>
      <c r="R1649" s="3">
        <v>0</v>
      </c>
      <c r="S1649" s="3" t="s">
        <v>535</v>
      </c>
      <c r="T1649" s="3" t="s">
        <v>816</v>
      </c>
      <c r="U1649" s="3">
        <v>0</v>
      </c>
      <c r="V1649" s="3">
        <v>82</v>
      </c>
      <c r="W1649" s="3">
        <v>60</v>
      </c>
    </row>
    <row r="1650" spans="1:23" ht="11.25" customHeight="1" x14ac:dyDescent="0.25">
      <c r="A1650" s="3" t="s">
        <v>21</v>
      </c>
      <c r="B1650" s="3" t="s">
        <v>37</v>
      </c>
      <c r="C1650" s="3" t="s">
        <v>33</v>
      </c>
      <c r="D1650" s="3" t="s">
        <v>43</v>
      </c>
      <c r="E1650" s="3" t="s">
        <v>25</v>
      </c>
      <c r="F1650" s="3" t="s">
        <v>25</v>
      </c>
      <c r="G1650" s="3" t="s">
        <v>25</v>
      </c>
      <c r="H1650" s="3" t="s">
        <v>36</v>
      </c>
      <c r="I1650" s="6">
        <v>44531</v>
      </c>
      <c r="J1650" s="4">
        <v>0</v>
      </c>
      <c r="K1650" s="4">
        <v>0</v>
      </c>
      <c r="L1650" s="4">
        <v>6.5469999999999997</v>
      </c>
      <c r="M1650" s="4">
        <v>6.5469999999999997</v>
      </c>
      <c r="N1650" s="4">
        <v>6.5469999999999997</v>
      </c>
      <c r="O1650" s="4">
        <v>6.5469999999999997</v>
      </c>
      <c r="P1650" s="4">
        <v>0</v>
      </c>
      <c r="Q1650" s="3" t="s">
        <v>26</v>
      </c>
      <c r="R1650" s="3">
        <v>0</v>
      </c>
      <c r="S1650" s="3" t="s">
        <v>536</v>
      </c>
      <c r="T1650" s="3" t="s">
        <v>817</v>
      </c>
      <c r="U1650" s="3">
        <v>0</v>
      </c>
      <c r="V1650" s="3">
        <v>82</v>
      </c>
      <c r="W1650" s="3">
        <v>60</v>
      </c>
    </row>
    <row r="1651" spans="1:23" ht="11.25" customHeight="1" x14ac:dyDescent="0.25">
      <c r="A1651" s="3" t="s">
        <v>21</v>
      </c>
      <c r="B1651" s="3" t="s">
        <v>37</v>
      </c>
      <c r="C1651" s="3" t="s">
        <v>33</v>
      </c>
      <c r="D1651" s="3" t="s">
        <v>43</v>
      </c>
      <c r="E1651" s="3" t="s">
        <v>25</v>
      </c>
      <c r="F1651" s="3" t="s">
        <v>25</v>
      </c>
      <c r="G1651" s="3" t="s">
        <v>25</v>
      </c>
      <c r="H1651" s="3" t="s">
        <v>36</v>
      </c>
      <c r="I1651" s="6">
        <v>44562</v>
      </c>
      <c r="J1651" s="4">
        <v>0</v>
      </c>
      <c r="K1651" s="4">
        <v>0</v>
      </c>
      <c r="L1651" s="4">
        <v>6.1669999999999998</v>
      </c>
      <c r="M1651" s="4">
        <v>6.1669999999999998</v>
      </c>
      <c r="N1651" s="4">
        <v>6.1669999999999998</v>
      </c>
      <c r="O1651" s="4">
        <v>6.1669999999999998</v>
      </c>
      <c r="P1651" s="4">
        <v>0</v>
      </c>
      <c r="Q1651" s="3" t="s">
        <v>26</v>
      </c>
      <c r="R1651" s="3">
        <v>0</v>
      </c>
      <c r="S1651" s="3" t="s">
        <v>537</v>
      </c>
      <c r="T1651" s="3" t="s">
        <v>818</v>
      </c>
      <c r="U1651" s="3">
        <v>0</v>
      </c>
      <c r="V1651" s="3">
        <v>82</v>
      </c>
      <c r="W1651" s="3">
        <v>60</v>
      </c>
    </row>
    <row r="1652" spans="1:23" ht="11.25" customHeight="1" x14ac:dyDescent="0.25">
      <c r="A1652" s="3" t="s">
        <v>28</v>
      </c>
      <c r="B1652" s="3" t="s">
        <v>37</v>
      </c>
      <c r="C1652" s="3" t="s">
        <v>33</v>
      </c>
      <c r="D1652" s="3" t="s">
        <v>43</v>
      </c>
      <c r="E1652" s="3" t="s">
        <v>25</v>
      </c>
      <c r="F1652" s="3" t="s">
        <v>25</v>
      </c>
      <c r="G1652" s="3" t="s">
        <v>25</v>
      </c>
      <c r="H1652" s="3" t="s">
        <v>36</v>
      </c>
      <c r="I1652" s="6">
        <v>44562</v>
      </c>
      <c r="J1652" s="4">
        <v>0</v>
      </c>
      <c r="K1652" s="4">
        <v>0</v>
      </c>
      <c r="L1652" s="4">
        <v>7.1999999999999995E-2</v>
      </c>
      <c r="M1652" s="4">
        <v>7.1999999999999995E-2</v>
      </c>
      <c r="N1652" s="4">
        <v>7.1999999999999995E-2</v>
      </c>
      <c r="O1652" s="4">
        <v>7.1999999999999995E-2</v>
      </c>
      <c r="P1652" s="4">
        <v>0</v>
      </c>
      <c r="Q1652" s="3" t="s">
        <v>26</v>
      </c>
      <c r="R1652" s="3">
        <v>0</v>
      </c>
      <c r="S1652" s="3" t="s">
        <v>537</v>
      </c>
      <c r="T1652" s="3" t="s">
        <v>818</v>
      </c>
      <c r="U1652" s="3">
        <v>0</v>
      </c>
      <c r="V1652" s="3">
        <v>82</v>
      </c>
      <c r="W1652" s="3">
        <v>60</v>
      </c>
    </row>
    <row r="1653" spans="1:23" ht="11.25" customHeight="1" x14ac:dyDescent="0.25">
      <c r="A1653" s="3" t="s">
        <v>21</v>
      </c>
      <c r="B1653" s="3" t="s">
        <v>37</v>
      </c>
      <c r="C1653" s="3" t="s">
        <v>33</v>
      </c>
      <c r="D1653" s="3" t="s">
        <v>43</v>
      </c>
      <c r="E1653" s="3" t="s">
        <v>25</v>
      </c>
      <c r="F1653" s="3" t="s">
        <v>25</v>
      </c>
      <c r="G1653" s="3" t="s">
        <v>25</v>
      </c>
      <c r="H1653" s="3" t="s">
        <v>36</v>
      </c>
      <c r="I1653" s="6">
        <v>44593</v>
      </c>
      <c r="J1653" s="4">
        <v>0</v>
      </c>
      <c r="K1653" s="4">
        <v>0</v>
      </c>
      <c r="L1653" s="4">
        <v>6.37</v>
      </c>
      <c r="M1653" s="4">
        <v>6.37</v>
      </c>
      <c r="N1653" s="4">
        <v>6.37</v>
      </c>
      <c r="O1653" s="4">
        <v>6.37</v>
      </c>
      <c r="P1653" s="4">
        <v>0</v>
      </c>
      <c r="Q1653" s="3" t="s">
        <v>26</v>
      </c>
      <c r="R1653" s="3">
        <v>0</v>
      </c>
      <c r="S1653" s="3" t="s">
        <v>538</v>
      </c>
      <c r="T1653" s="3" t="s">
        <v>819</v>
      </c>
      <c r="U1653" s="3">
        <v>0</v>
      </c>
      <c r="V1653" s="3">
        <v>82</v>
      </c>
      <c r="W1653" s="3">
        <v>60</v>
      </c>
    </row>
    <row r="1654" spans="1:23" ht="11.25" customHeight="1" x14ac:dyDescent="0.25">
      <c r="A1654" s="3" t="s">
        <v>56</v>
      </c>
      <c r="B1654" s="3" t="s">
        <v>37</v>
      </c>
      <c r="C1654" s="3" t="s">
        <v>33</v>
      </c>
      <c r="D1654" s="3" t="s">
        <v>43</v>
      </c>
      <c r="E1654" s="3" t="s">
        <v>25</v>
      </c>
      <c r="F1654" s="3" t="s">
        <v>25</v>
      </c>
      <c r="G1654" s="3" t="s">
        <v>25</v>
      </c>
      <c r="H1654" s="3" t="s">
        <v>36</v>
      </c>
      <c r="I1654" s="6">
        <v>44621</v>
      </c>
      <c r="J1654" s="4">
        <v>0</v>
      </c>
      <c r="K1654" s="4">
        <v>0</v>
      </c>
      <c r="L1654" s="4">
        <v>6.37</v>
      </c>
      <c r="M1654" s="4">
        <v>6.37</v>
      </c>
      <c r="N1654" s="4">
        <v>6.37</v>
      </c>
      <c r="O1654" s="4">
        <v>6.37</v>
      </c>
      <c r="P1654" s="4">
        <v>0</v>
      </c>
      <c r="Q1654" s="3" t="s">
        <v>26</v>
      </c>
      <c r="R1654" s="3">
        <v>0</v>
      </c>
      <c r="S1654" s="3" t="s">
        <v>539</v>
      </c>
      <c r="T1654" s="3" t="s">
        <v>820</v>
      </c>
      <c r="U1654" s="3">
        <v>0</v>
      </c>
      <c r="V1654" s="3">
        <v>82</v>
      </c>
      <c r="W1654" s="3">
        <v>60</v>
      </c>
    </row>
    <row r="1655" spans="1:23" ht="11.25" customHeight="1" x14ac:dyDescent="0.25">
      <c r="A1655" s="3" t="s">
        <v>21</v>
      </c>
      <c r="B1655" s="3" t="s">
        <v>37</v>
      </c>
      <c r="C1655" s="3" t="s">
        <v>33</v>
      </c>
      <c r="D1655" s="3" t="s">
        <v>43</v>
      </c>
      <c r="E1655" s="3" t="s">
        <v>25</v>
      </c>
      <c r="F1655" s="3" t="s">
        <v>25</v>
      </c>
      <c r="G1655" s="3" t="s">
        <v>25</v>
      </c>
      <c r="H1655" s="3" t="s">
        <v>34</v>
      </c>
      <c r="I1655" s="6">
        <v>44287</v>
      </c>
      <c r="J1655" s="4">
        <v>0</v>
      </c>
      <c r="K1655" s="4">
        <v>0</v>
      </c>
      <c r="L1655" s="4">
        <v>7.1260000000000003</v>
      </c>
      <c r="M1655" s="4">
        <v>7.1260000000000003</v>
      </c>
      <c r="N1655" s="4">
        <v>7.1260000000000003</v>
      </c>
      <c r="O1655" s="4">
        <v>7.1260000000000003</v>
      </c>
      <c r="P1655" s="4">
        <v>0</v>
      </c>
      <c r="Q1655" s="3" t="s">
        <v>26</v>
      </c>
      <c r="R1655" s="3">
        <v>0</v>
      </c>
      <c r="S1655" s="3" t="s">
        <v>540</v>
      </c>
      <c r="T1655" s="3" t="s">
        <v>821</v>
      </c>
      <c r="U1655" s="3">
        <v>0</v>
      </c>
      <c r="V1655" s="3">
        <v>42</v>
      </c>
      <c r="W1655" s="3">
        <v>59</v>
      </c>
    </row>
    <row r="1656" spans="1:23" ht="11.25" customHeight="1" x14ac:dyDescent="0.25">
      <c r="A1656" s="3" t="s">
        <v>21</v>
      </c>
      <c r="B1656" s="3" t="s">
        <v>37</v>
      </c>
      <c r="C1656" s="3" t="s">
        <v>33</v>
      </c>
      <c r="D1656" s="3" t="s">
        <v>43</v>
      </c>
      <c r="E1656" s="3" t="s">
        <v>25</v>
      </c>
      <c r="F1656" s="3" t="s">
        <v>25</v>
      </c>
      <c r="G1656" s="3" t="s">
        <v>25</v>
      </c>
      <c r="H1656" s="3" t="s">
        <v>34</v>
      </c>
      <c r="I1656" s="6">
        <v>44317</v>
      </c>
      <c r="J1656" s="4">
        <v>0</v>
      </c>
      <c r="K1656" s="4">
        <v>0</v>
      </c>
      <c r="L1656" s="4">
        <v>6.9219999999999997</v>
      </c>
      <c r="M1656" s="4">
        <v>6.9219999999999997</v>
      </c>
      <c r="N1656" s="4">
        <v>6.9219999999999997</v>
      </c>
      <c r="O1656" s="4">
        <v>6.9219999999999997</v>
      </c>
      <c r="P1656" s="4">
        <v>0</v>
      </c>
      <c r="Q1656" s="3" t="s">
        <v>26</v>
      </c>
      <c r="R1656" s="3">
        <v>0</v>
      </c>
      <c r="S1656" s="3" t="s">
        <v>541</v>
      </c>
      <c r="T1656" s="3" t="s">
        <v>822</v>
      </c>
      <c r="U1656" s="3">
        <v>0</v>
      </c>
      <c r="V1656" s="3">
        <v>42</v>
      </c>
      <c r="W1656" s="3">
        <v>59</v>
      </c>
    </row>
    <row r="1657" spans="1:23" ht="11.25" customHeight="1" x14ac:dyDescent="0.25">
      <c r="A1657" s="3" t="s">
        <v>21</v>
      </c>
      <c r="B1657" s="3" t="s">
        <v>37</v>
      </c>
      <c r="C1657" s="3" t="s">
        <v>33</v>
      </c>
      <c r="D1657" s="3" t="s">
        <v>43</v>
      </c>
      <c r="E1657" s="3" t="s">
        <v>25</v>
      </c>
      <c r="F1657" s="3" t="s">
        <v>25</v>
      </c>
      <c r="G1657" s="3" t="s">
        <v>25</v>
      </c>
      <c r="H1657" s="3" t="s">
        <v>34</v>
      </c>
      <c r="I1657" s="6">
        <v>44348</v>
      </c>
      <c r="J1657" s="4">
        <v>0</v>
      </c>
      <c r="K1657" s="4">
        <v>0</v>
      </c>
      <c r="L1657" s="4">
        <v>7.1859999999999999</v>
      </c>
      <c r="M1657" s="4">
        <v>7.1859999999999999</v>
      </c>
      <c r="N1657" s="4">
        <v>7.1859999999999999</v>
      </c>
      <c r="O1657" s="4">
        <v>7.1859999999999999</v>
      </c>
      <c r="P1657" s="4">
        <v>0</v>
      </c>
      <c r="Q1657" s="3" t="s">
        <v>26</v>
      </c>
      <c r="R1657" s="3">
        <v>0</v>
      </c>
      <c r="S1657" s="3" t="s">
        <v>542</v>
      </c>
      <c r="T1657" s="3" t="s">
        <v>823</v>
      </c>
      <c r="U1657" s="3">
        <v>0</v>
      </c>
      <c r="V1657" s="3">
        <v>42</v>
      </c>
      <c r="W1657" s="3">
        <v>59</v>
      </c>
    </row>
    <row r="1658" spans="1:23" ht="11.25" customHeight="1" x14ac:dyDescent="0.25">
      <c r="A1658" s="3" t="s">
        <v>21</v>
      </c>
      <c r="B1658" s="3" t="s">
        <v>37</v>
      </c>
      <c r="C1658" s="3" t="s">
        <v>33</v>
      </c>
      <c r="D1658" s="3" t="s">
        <v>43</v>
      </c>
      <c r="E1658" s="3" t="s">
        <v>25</v>
      </c>
      <c r="F1658" s="3" t="s">
        <v>25</v>
      </c>
      <c r="G1658" s="3" t="s">
        <v>25</v>
      </c>
      <c r="H1658" s="3" t="s">
        <v>34</v>
      </c>
      <c r="I1658" s="6">
        <v>44378</v>
      </c>
      <c r="J1658" s="4">
        <v>0</v>
      </c>
      <c r="K1658" s="4">
        <v>0</v>
      </c>
      <c r="L1658" s="4">
        <v>7.8330000000000002</v>
      </c>
      <c r="M1658" s="4">
        <v>7.8330000000000002</v>
      </c>
      <c r="N1658" s="4">
        <v>7.8330000000000002</v>
      </c>
      <c r="O1658" s="4">
        <v>7.8330000000000002</v>
      </c>
      <c r="P1658" s="4">
        <v>0</v>
      </c>
      <c r="Q1658" s="3" t="s">
        <v>26</v>
      </c>
      <c r="R1658" s="3">
        <v>0</v>
      </c>
      <c r="S1658" s="3" t="s">
        <v>543</v>
      </c>
      <c r="T1658" s="3" t="s">
        <v>824</v>
      </c>
      <c r="U1658" s="3">
        <v>0</v>
      </c>
      <c r="V1658" s="3">
        <v>42</v>
      </c>
      <c r="W1658" s="3">
        <v>59</v>
      </c>
    </row>
    <row r="1659" spans="1:23" ht="11.25" customHeight="1" x14ac:dyDescent="0.25">
      <c r="A1659" s="3" t="s">
        <v>21</v>
      </c>
      <c r="B1659" s="3" t="s">
        <v>37</v>
      </c>
      <c r="C1659" s="3" t="s">
        <v>33</v>
      </c>
      <c r="D1659" s="3" t="s">
        <v>43</v>
      </c>
      <c r="E1659" s="3" t="s">
        <v>25</v>
      </c>
      <c r="F1659" s="3" t="s">
        <v>25</v>
      </c>
      <c r="G1659" s="3" t="s">
        <v>25</v>
      </c>
      <c r="H1659" s="3" t="s">
        <v>34</v>
      </c>
      <c r="I1659" s="6">
        <v>44409</v>
      </c>
      <c r="J1659" s="4">
        <v>0</v>
      </c>
      <c r="K1659" s="4">
        <v>0</v>
      </c>
      <c r="L1659" s="4">
        <v>8.5350000000000001</v>
      </c>
      <c r="M1659" s="4">
        <v>8.5350000000000001</v>
      </c>
      <c r="N1659" s="4">
        <v>8.5350000000000001</v>
      </c>
      <c r="O1659" s="4">
        <v>8.5350000000000001</v>
      </c>
      <c r="P1659" s="4">
        <v>0</v>
      </c>
      <c r="Q1659" s="3" t="s">
        <v>26</v>
      </c>
      <c r="R1659" s="3">
        <v>0</v>
      </c>
      <c r="S1659" s="3" t="s">
        <v>544</v>
      </c>
      <c r="T1659" s="3" t="s">
        <v>825</v>
      </c>
      <c r="U1659" s="3">
        <v>0</v>
      </c>
      <c r="V1659" s="3">
        <v>42</v>
      </c>
      <c r="W1659" s="3">
        <v>59</v>
      </c>
    </row>
    <row r="1660" spans="1:23" ht="11.25" customHeight="1" x14ac:dyDescent="0.25">
      <c r="A1660" s="3" t="s">
        <v>21</v>
      </c>
      <c r="B1660" s="3" t="s">
        <v>37</v>
      </c>
      <c r="C1660" s="3" t="s">
        <v>33</v>
      </c>
      <c r="D1660" s="3" t="s">
        <v>43</v>
      </c>
      <c r="E1660" s="3" t="s">
        <v>25</v>
      </c>
      <c r="F1660" s="3" t="s">
        <v>25</v>
      </c>
      <c r="G1660" s="3" t="s">
        <v>25</v>
      </c>
      <c r="H1660" s="3" t="s">
        <v>34</v>
      </c>
      <c r="I1660" s="6">
        <v>44440</v>
      </c>
      <c r="J1660" s="4">
        <v>0</v>
      </c>
      <c r="K1660" s="4">
        <v>0</v>
      </c>
      <c r="L1660" s="4">
        <v>8.9109999999999996</v>
      </c>
      <c r="M1660" s="4">
        <v>8.9109999999999996</v>
      </c>
      <c r="N1660" s="4">
        <v>8.9109999999999996</v>
      </c>
      <c r="O1660" s="4">
        <v>8.9109999999999996</v>
      </c>
      <c r="P1660" s="4">
        <v>0</v>
      </c>
      <c r="Q1660" s="3" t="s">
        <v>26</v>
      </c>
      <c r="R1660" s="3">
        <v>0</v>
      </c>
      <c r="S1660" s="3" t="s">
        <v>545</v>
      </c>
      <c r="T1660" s="3" t="s">
        <v>826</v>
      </c>
      <c r="U1660" s="3">
        <v>0</v>
      </c>
      <c r="V1660" s="3">
        <v>42</v>
      </c>
      <c r="W1660" s="3">
        <v>59</v>
      </c>
    </row>
    <row r="1661" spans="1:23" ht="11.25" customHeight="1" x14ac:dyDescent="0.25">
      <c r="A1661" s="3" t="s">
        <v>21</v>
      </c>
      <c r="B1661" s="3" t="s">
        <v>37</v>
      </c>
      <c r="C1661" s="3" t="s">
        <v>33</v>
      </c>
      <c r="D1661" s="3" t="s">
        <v>43</v>
      </c>
      <c r="E1661" s="3" t="s">
        <v>25</v>
      </c>
      <c r="F1661" s="3" t="s">
        <v>25</v>
      </c>
      <c r="G1661" s="3" t="s">
        <v>25</v>
      </c>
      <c r="H1661" s="3" t="s">
        <v>34</v>
      </c>
      <c r="I1661" s="6">
        <v>44470</v>
      </c>
      <c r="J1661" s="4">
        <v>0</v>
      </c>
      <c r="K1661" s="4">
        <v>0</v>
      </c>
      <c r="L1661" s="4">
        <v>9.76</v>
      </c>
      <c r="M1661" s="4">
        <v>9.76</v>
      </c>
      <c r="N1661" s="4">
        <v>9.76</v>
      </c>
      <c r="O1661" s="4">
        <v>9.76</v>
      </c>
      <c r="P1661" s="4">
        <v>0</v>
      </c>
      <c r="Q1661" s="3" t="s">
        <v>26</v>
      </c>
      <c r="R1661" s="3">
        <v>0</v>
      </c>
      <c r="S1661" s="3" t="s">
        <v>546</v>
      </c>
      <c r="T1661" s="3" t="s">
        <v>827</v>
      </c>
      <c r="U1661" s="3">
        <v>0</v>
      </c>
      <c r="V1661" s="3">
        <v>42</v>
      </c>
      <c r="W1661" s="3">
        <v>59</v>
      </c>
    </row>
    <row r="1662" spans="1:23" ht="11.25" customHeight="1" x14ac:dyDescent="0.25">
      <c r="A1662" s="3" t="s">
        <v>28</v>
      </c>
      <c r="B1662" s="3" t="s">
        <v>37</v>
      </c>
      <c r="C1662" s="3" t="s">
        <v>33</v>
      </c>
      <c r="D1662" s="3" t="s">
        <v>43</v>
      </c>
      <c r="E1662" s="3" t="s">
        <v>25</v>
      </c>
      <c r="F1662" s="3" t="s">
        <v>25</v>
      </c>
      <c r="G1662" s="3" t="s">
        <v>25</v>
      </c>
      <c r="H1662" s="3" t="s">
        <v>34</v>
      </c>
      <c r="I1662" s="6">
        <v>44470</v>
      </c>
      <c r="J1662" s="4">
        <v>0</v>
      </c>
      <c r="K1662" s="4">
        <v>0</v>
      </c>
      <c r="L1662" s="4">
        <v>2.5999999999999999E-2</v>
      </c>
      <c r="M1662" s="4">
        <v>2.5999999999999999E-2</v>
      </c>
      <c r="N1662" s="4">
        <v>2.5999999999999999E-2</v>
      </c>
      <c r="O1662" s="4">
        <v>2.5999999999999999E-2</v>
      </c>
      <c r="P1662" s="4">
        <v>0</v>
      </c>
      <c r="Q1662" s="3" t="s">
        <v>26</v>
      </c>
      <c r="R1662" s="3">
        <v>0</v>
      </c>
      <c r="S1662" s="3" t="s">
        <v>546</v>
      </c>
      <c r="T1662" s="3" t="s">
        <v>827</v>
      </c>
      <c r="U1662" s="3">
        <v>0</v>
      </c>
      <c r="V1662" s="3">
        <v>42</v>
      </c>
      <c r="W1662" s="3">
        <v>59</v>
      </c>
    </row>
    <row r="1663" spans="1:23" ht="11.25" customHeight="1" x14ac:dyDescent="0.25">
      <c r="A1663" s="3" t="s">
        <v>21</v>
      </c>
      <c r="B1663" s="3" t="s">
        <v>37</v>
      </c>
      <c r="C1663" s="3" t="s">
        <v>33</v>
      </c>
      <c r="D1663" s="3" t="s">
        <v>43</v>
      </c>
      <c r="E1663" s="3" t="s">
        <v>25</v>
      </c>
      <c r="F1663" s="3" t="s">
        <v>25</v>
      </c>
      <c r="G1663" s="3" t="s">
        <v>25</v>
      </c>
      <c r="H1663" s="3" t="s">
        <v>34</v>
      </c>
      <c r="I1663" s="6">
        <v>44501</v>
      </c>
      <c r="J1663" s="4">
        <v>0</v>
      </c>
      <c r="K1663" s="4">
        <v>0</v>
      </c>
      <c r="L1663" s="4">
        <v>8.2430000000000003</v>
      </c>
      <c r="M1663" s="4">
        <v>8.2430000000000003</v>
      </c>
      <c r="N1663" s="4">
        <v>8.2430000000000003</v>
      </c>
      <c r="O1663" s="4">
        <v>8.2430000000000003</v>
      </c>
      <c r="P1663" s="4">
        <v>0</v>
      </c>
      <c r="Q1663" s="3" t="s">
        <v>26</v>
      </c>
      <c r="R1663" s="3">
        <v>0</v>
      </c>
      <c r="S1663" s="3" t="s">
        <v>547</v>
      </c>
      <c r="T1663" s="3" t="s">
        <v>828</v>
      </c>
      <c r="U1663" s="3">
        <v>0</v>
      </c>
      <c r="V1663" s="3">
        <v>42</v>
      </c>
      <c r="W1663" s="3">
        <v>59</v>
      </c>
    </row>
    <row r="1664" spans="1:23" ht="11.25" customHeight="1" x14ac:dyDescent="0.25">
      <c r="A1664" s="3" t="s">
        <v>21</v>
      </c>
      <c r="B1664" s="3" t="s">
        <v>37</v>
      </c>
      <c r="C1664" s="3" t="s">
        <v>33</v>
      </c>
      <c r="D1664" s="3" t="s">
        <v>43</v>
      </c>
      <c r="E1664" s="3" t="s">
        <v>25</v>
      </c>
      <c r="F1664" s="3" t="s">
        <v>25</v>
      </c>
      <c r="G1664" s="3" t="s">
        <v>25</v>
      </c>
      <c r="H1664" s="3" t="s">
        <v>34</v>
      </c>
      <c r="I1664" s="6">
        <v>44531</v>
      </c>
      <c r="J1664" s="4">
        <v>0</v>
      </c>
      <c r="K1664" s="4">
        <v>0</v>
      </c>
      <c r="L1664" s="4">
        <v>9.0890000000000004</v>
      </c>
      <c r="M1664" s="4">
        <v>9.0890000000000004</v>
      </c>
      <c r="N1664" s="4">
        <v>9.0890000000000004</v>
      </c>
      <c r="O1664" s="4">
        <v>9.0890000000000004</v>
      </c>
      <c r="P1664" s="4">
        <v>0</v>
      </c>
      <c r="Q1664" s="3" t="s">
        <v>26</v>
      </c>
      <c r="R1664" s="3">
        <v>0</v>
      </c>
      <c r="S1664" s="3" t="s">
        <v>548</v>
      </c>
      <c r="T1664" s="3" t="s">
        <v>829</v>
      </c>
      <c r="U1664" s="3">
        <v>0</v>
      </c>
      <c r="V1664" s="3">
        <v>42</v>
      </c>
      <c r="W1664" s="3">
        <v>59</v>
      </c>
    </row>
    <row r="1665" spans="1:23" ht="11.25" customHeight="1" x14ac:dyDescent="0.25">
      <c r="A1665" s="3" t="s">
        <v>21</v>
      </c>
      <c r="B1665" s="3" t="s">
        <v>37</v>
      </c>
      <c r="C1665" s="3" t="s">
        <v>33</v>
      </c>
      <c r="D1665" s="3" t="s">
        <v>43</v>
      </c>
      <c r="E1665" s="3" t="s">
        <v>25</v>
      </c>
      <c r="F1665" s="3" t="s">
        <v>25</v>
      </c>
      <c r="G1665" s="3" t="s">
        <v>25</v>
      </c>
      <c r="H1665" s="3" t="s">
        <v>34</v>
      </c>
      <c r="I1665" s="6">
        <v>44562</v>
      </c>
      <c r="J1665" s="4">
        <v>0</v>
      </c>
      <c r="K1665" s="4">
        <v>0</v>
      </c>
      <c r="L1665" s="4">
        <v>9.5449999999999999</v>
      </c>
      <c r="M1665" s="4">
        <v>9.5449999999999999</v>
      </c>
      <c r="N1665" s="4">
        <v>9.5449999999999999</v>
      </c>
      <c r="O1665" s="4">
        <v>9.5449999999999999</v>
      </c>
      <c r="P1665" s="4">
        <v>0</v>
      </c>
      <c r="Q1665" s="3" t="s">
        <v>26</v>
      </c>
      <c r="R1665" s="3">
        <v>0</v>
      </c>
      <c r="S1665" s="3" t="s">
        <v>549</v>
      </c>
      <c r="T1665" s="3" t="s">
        <v>830</v>
      </c>
      <c r="U1665" s="3">
        <v>0</v>
      </c>
      <c r="V1665" s="3">
        <v>42</v>
      </c>
      <c r="W1665" s="3">
        <v>59</v>
      </c>
    </row>
    <row r="1666" spans="1:23" ht="11.25" customHeight="1" x14ac:dyDescent="0.25">
      <c r="A1666" s="3" t="s">
        <v>28</v>
      </c>
      <c r="B1666" s="3" t="s">
        <v>37</v>
      </c>
      <c r="C1666" s="3" t="s">
        <v>33</v>
      </c>
      <c r="D1666" s="3" t="s">
        <v>43</v>
      </c>
      <c r="E1666" s="3" t="s">
        <v>25</v>
      </c>
      <c r="F1666" s="3" t="s">
        <v>25</v>
      </c>
      <c r="G1666" s="3" t="s">
        <v>25</v>
      </c>
      <c r="H1666" s="3" t="s">
        <v>34</v>
      </c>
      <c r="I1666" s="6">
        <v>44562</v>
      </c>
      <c r="J1666" s="4">
        <v>0</v>
      </c>
      <c r="K1666" s="4">
        <v>0</v>
      </c>
      <c r="L1666" s="4">
        <v>7.1999999999999995E-2</v>
      </c>
      <c r="M1666" s="4">
        <v>7.1999999999999995E-2</v>
      </c>
      <c r="N1666" s="4">
        <v>7.1999999999999995E-2</v>
      </c>
      <c r="O1666" s="4">
        <v>7.1999999999999995E-2</v>
      </c>
      <c r="P1666" s="4">
        <v>0</v>
      </c>
      <c r="Q1666" s="3" t="s">
        <v>26</v>
      </c>
      <c r="R1666" s="3">
        <v>0</v>
      </c>
      <c r="S1666" s="3" t="s">
        <v>549</v>
      </c>
      <c r="T1666" s="3" t="s">
        <v>830</v>
      </c>
      <c r="U1666" s="3">
        <v>0</v>
      </c>
      <c r="V1666" s="3">
        <v>42</v>
      </c>
      <c r="W1666" s="3">
        <v>59</v>
      </c>
    </row>
    <row r="1667" spans="1:23" ht="11.25" customHeight="1" x14ac:dyDescent="0.25">
      <c r="A1667" s="3" t="s">
        <v>21</v>
      </c>
      <c r="B1667" s="3" t="s">
        <v>37</v>
      </c>
      <c r="C1667" s="3" t="s">
        <v>33</v>
      </c>
      <c r="D1667" s="3" t="s">
        <v>43</v>
      </c>
      <c r="E1667" s="3" t="s">
        <v>25</v>
      </c>
      <c r="F1667" s="3" t="s">
        <v>25</v>
      </c>
      <c r="G1667" s="3" t="s">
        <v>25</v>
      </c>
      <c r="H1667" s="3" t="s">
        <v>34</v>
      </c>
      <c r="I1667" s="6">
        <v>44593</v>
      </c>
      <c r="J1667" s="4">
        <v>0</v>
      </c>
      <c r="K1667" s="4">
        <v>0</v>
      </c>
      <c r="L1667" s="4">
        <v>8.7550000000000008</v>
      </c>
      <c r="M1667" s="4">
        <v>8.7550000000000008</v>
      </c>
      <c r="N1667" s="4">
        <v>8.7550000000000008</v>
      </c>
      <c r="O1667" s="4">
        <v>8.7550000000000008</v>
      </c>
      <c r="P1667" s="4">
        <v>0</v>
      </c>
      <c r="Q1667" s="3" t="s">
        <v>26</v>
      </c>
      <c r="R1667" s="3">
        <v>0</v>
      </c>
      <c r="S1667" s="3" t="s">
        <v>550</v>
      </c>
      <c r="T1667" s="3" t="s">
        <v>831</v>
      </c>
      <c r="U1667" s="3">
        <v>0</v>
      </c>
      <c r="V1667" s="3">
        <v>42</v>
      </c>
      <c r="W1667" s="3">
        <v>59</v>
      </c>
    </row>
    <row r="1668" spans="1:23" ht="11.25" customHeight="1" x14ac:dyDescent="0.25">
      <c r="A1668" s="3" t="s">
        <v>56</v>
      </c>
      <c r="B1668" s="3" t="s">
        <v>37</v>
      </c>
      <c r="C1668" s="3" t="s">
        <v>33</v>
      </c>
      <c r="D1668" s="3" t="s">
        <v>43</v>
      </c>
      <c r="E1668" s="3" t="s">
        <v>25</v>
      </c>
      <c r="F1668" s="3" t="s">
        <v>25</v>
      </c>
      <c r="G1668" s="3" t="s">
        <v>25</v>
      </c>
      <c r="H1668" s="3" t="s">
        <v>34</v>
      </c>
      <c r="I1668" s="6">
        <v>44621</v>
      </c>
      <c r="J1668" s="4">
        <v>0</v>
      </c>
      <c r="K1668" s="4">
        <v>0</v>
      </c>
      <c r="L1668" s="4">
        <v>8.7550000000000008</v>
      </c>
      <c r="M1668" s="4">
        <v>8.7550000000000008</v>
      </c>
      <c r="N1668" s="4">
        <v>8.7550000000000008</v>
      </c>
      <c r="O1668" s="4">
        <v>8.7550000000000008</v>
      </c>
      <c r="P1668" s="4">
        <v>0</v>
      </c>
      <c r="Q1668" s="3" t="s">
        <v>26</v>
      </c>
      <c r="R1668" s="3">
        <v>0</v>
      </c>
      <c r="S1668" s="3" t="s">
        <v>551</v>
      </c>
      <c r="T1668" s="3" t="s">
        <v>832</v>
      </c>
      <c r="U1668" s="3">
        <v>0</v>
      </c>
      <c r="V1668" s="3">
        <v>42</v>
      </c>
      <c r="W1668" s="3">
        <v>59</v>
      </c>
    </row>
    <row r="1669" spans="1:23" ht="11.25" customHeight="1" x14ac:dyDescent="0.25">
      <c r="A1669" s="3" t="s">
        <v>21</v>
      </c>
      <c r="B1669" s="3" t="s">
        <v>37</v>
      </c>
      <c r="C1669" s="3" t="s">
        <v>33</v>
      </c>
      <c r="D1669" s="3" t="s">
        <v>38</v>
      </c>
      <c r="E1669" s="3" t="s">
        <v>25</v>
      </c>
      <c r="F1669" s="3" t="s">
        <v>25</v>
      </c>
      <c r="G1669" s="3" t="s">
        <v>25</v>
      </c>
      <c r="H1669" s="3" t="s">
        <v>35</v>
      </c>
      <c r="I1669" s="6">
        <v>44287</v>
      </c>
      <c r="J1669" s="4">
        <v>0</v>
      </c>
      <c r="K1669" s="4">
        <v>0</v>
      </c>
      <c r="L1669" s="4">
        <v>9.4700000000000006</v>
      </c>
      <c r="M1669" s="4">
        <v>9.4700000000000006</v>
      </c>
      <c r="N1669" s="4">
        <v>9.4700000000000006</v>
      </c>
      <c r="O1669" s="4">
        <v>9.4700000000000006</v>
      </c>
      <c r="P1669" s="4">
        <v>0</v>
      </c>
      <c r="Q1669" s="3" t="s">
        <v>26</v>
      </c>
      <c r="R1669" s="3">
        <v>0</v>
      </c>
      <c r="S1669" s="3" t="s">
        <v>516</v>
      </c>
      <c r="T1669" s="3" t="s">
        <v>797</v>
      </c>
      <c r="U1669" s="3">
        <v>0</v>
      </c>
      <c r="V1669" s="3">
        <v>83</v>
      </c>
      <c r="W1669" s="3">
        <v>61</v>
      </c>
    </row>
    <row r="1670" spans="1:23" ht="11.25" customHeight="1" x14ac:dyDescent="0.25">
      <c r="A1670" s="3" t="s">
        <v>21</v>
      </c>
      <c r="B1670" s="3" t="s">
        <v>37</v>
      </c>
      <c r="C1670" s="3" t="s">
        <v>33</v>
      </c>
      <c r="D1670" s="3" t="s">
        <v>38</v>
      </c>
      <c r="E1670" s="3" t="s">
        <v>25</v>
      </c>
      <c r="F1670" s="3" t="s">
        <v>25</v>
      </c>
      <c r="G1670" s="3" t="s">
        <v>25</v>
      </c>
      <c r="H1670" s="3" t="s">
        <v>35</v>
      </c>
      <c r="I1670" s="6">
        <v>44317</v>
      </c>
      <c r="J1670" s="4">
        <v>0</v>
      </c>
      <c r="K1670" s="4">
        <v>0</v>
      </c>
      <c r="L1670" s="4">
        <v>9.3260000000000005</v>
      </c>
      <c r="M1670" s="4">
        <v>9.3260000000000005</v>
      </c>
      <c r="N1670" s="4">
        <v>9.3260000000000005</v>
      </c>
      <c r="O1670" s="4">
        <v>9.3260000000000005</v>
      </c>
      <c r="P1670" s="4">
        <v>0</v>
      </c>
      <c r="Q1670" s="3" t="s">
        <v>26</v>
      </c>
      <c r="R1670" s="3">
        <v>0</v>
      </c>
      <c r="S1670" s="3" t="s">
        <v>517</v>
      </c>
      <c r="T1670" s="3" t="s">
        <v>798</v>
      </c>
      <c r="U1670" s="3">
        <v>0</v>
      </c>
      <c r="V1670" s="3">
        <v>83</v>
      </c>
      <c r="W1670" s="3">
        <v>61</v>
      </c>
    </row>
    <row r="1671" spans="1:23" ht="11.25" customHeight="1" x14ac:dyDescent="0.25">
      <c r="A1671" s="3" t="s">
        <v>21</v>
      </c>
      <c r="B1671" s="3" t="s">
        <v>37</v>
      </c>
      <c r="C1671" s="3" t="s">
        <v>33</v>
      </c>
      <c r="D1671" s="3" t="s">
        <v>38</v>
      </c>
      <c r="E1671" s="3" t="s">
        <v>25</v>
      </c>
      <c r="F1671" s="3" t="s">
        <v>25</v>
      </c>
      <c r="G1671" s="3" t="s">
        <v>25</v>
      </c>
      <c r="H1671" s="3" t="s">
        <v>35</v>
      </c>
      <c r="I1671" s="6">
        <v>44348</v>
      </c>
      <c r="J1671" s="4">
        <v>0</v>
      </c>
      <c r="K1671" s="4">
        <v>0</v>
      </c>
      <c r="L1671" s="4">
        <v>9.3239999999999998</v>
      </c>
      <c r="M1671" s="4">
        <v>9.3239999999999998</v>
      </c>
      <c r="N1671" s="4">
        <v>9.3239999999999998</v>
      </c>
      <c r="O1671" s="4">
        <v>9.3239999999999998</v>
      </c>
      <c r="P1671" s="4">
        <v>0</v>
      </c>
      <c r="Q1671" s="3" t="s">
        <v>26</v>
      </c>
      <c r="R1671" s="3">
        <v>0</v>
      </c>
      <c r="S1671" s="3" t="s">
        <v>518</v>
      </c>
      <c r="T1671" s="3" t="s">
        <v>799</v>
      </c>
      <c r="U1671" s="3">
        <v>0</v>
      </c>
      <c r="V1671" s="3">
        <v>83</v>
      </c>
      <c r="W1671" s="3">
        <v>61</v>
      </c>
    </row>
    <row r="1672" spans="1:23" ht="11.25" customHeight="1" x14ac:dyDescent="0.25">
      <c r="A1672" s="3" t="s">
        <v>21</v>
      </c>
      <c r="B1672" s="3" t="s">
        <v>37</v>
      </c>
      <c r="C1672" s="3" t="s">
        <v>33</v>
      </c>
      <c r="D1672" s="3" t="s">
        <v>38</v>
      </c>
      <c r="E1672" s="3" t="s">
        <v>25</v>
      </c>
      <c r="F1672" s="3" t="s">
        <v>25</v>
      </c>
      <c r="G1672" s="3" t="s">
        <v>25</v>
      </c>
      <c r="H1672" s="3" t="s">
        <v>35</v>
      </c>
      <c r="I1672" s="6">
        <v>44378</v>
      </c>
      <c r="J1672" s="4">
        <v>0</v>
      </c>
      <c r="K1672" s="4">
        <v>0</v>
      </c>
      <c r="L1672" s="4">
        <v>0.71099999999999997</v>
      </c>
      <c r="M1672" s="4">
        <v>0.71099999999999997</v>
      </c>
      <c r="N1672" s="4">
        <v>0.71099999999999997</v>
      </c>
      <c r="O1672" s="4">
        <v>0.71099999999999997</v>
      </c>
      <c r="P1672" s="4">
        <v>0</v>
      </c>
      <c r="Q1672" s="3" t="s">
        <v>26</v>
      </c>
      <c r="R1672" s="3">
        <v>0</v>
      </c>
      <c r="S1672" s="3" t="s">
        <v>519</v>
      </c>
      <c r="T1672" s="3" t="s">
        <v>800</v>
      </c>
      <c r="U1672" s="3">
        <v>0</v>
      </c>
      <c r="V1672" s="3">
        <v>83</v>
      </c>
      <c r="W1672" s="3">
        <v>61</v>
      </c>
    </row>
    <row r="1673" spans="1:23" ht="11.25" customHeight="1" x14ac:dyDescent="0.25">
      <c r="A1673" s="3" t="s">
        <v>21</v>
      </c>
      <c r="B1673" s="3" t="s">
        <v>37</v>
      </c>
      <c r="C1673" s="3" t="s">
        <v>33</v>
      </c>
      <c r="D1673" s="3" t="s">
        <v>38</v>
      </c>
      <c r="E1673" s="3" t="s">
        <v>25</v>
      </c>
      <c r="F1673" s="3" t="s">
        <v>25</v>
      </c>
      <c r="G1673" s="3" t="s">
        <v>25</v>
      </c>
      <c r="H1673" s="3" t="s">
        <v>35</v>
      </c>
      <c r="I1673" s="6">
        <v>44409</v>
      </c>
      <c r="J1673" s="4">
        <v>0</v>
      </c>
      <c r="K1673" s="4">
        <v>0</v>
      </c>
      <c r="L1673" s="4">
        <v>0.67200000000000004</v>
      </c>
      <c r="M1673" s="4">
        <v>0.67200000000000004</v>
      </c>
      <c r="N1673" s="4">
        <v>0.67200000000000004</v>
      </c>
      <c r="O1673" s="4">
        <v>0.67200000000000004</v>
      </c>
      <c r="P1673" s="4">
        <v>0</v>
      </c>
      <c r="Q1673" s="3" t="s">
        <v>26</v>
      </c>
      <c r="R1673" s="3">
        <v>0</v>
      </c>
      <c r="S1673" s="3" t="s">
        <v>520</v>
      </c>
      <c r="T1673" s="3" t="s">
        <v>801</v>
      </c>
      <c r="U1673" s="3">
        <v>0</v>
      </c>
      <c r="V1673" s="3">
        <v>83</v>
      </c>
      <c r="W1673" s="3">
        <v>61</v>
      </c>
    </row>
    <row r="1674" spans="1:23" ht="11.25" customHeight="1" x14ac:dyDescent="0.25">
      <c r="A1674" s="3" t="s">
        <v>21</v>
      </c>
      <c r="B1674" s="3" t="s">
        <v>37</v>
      </c>
      <c r="C1674" s="3" t="s">
        <v>33</v>
      </c>
      <c r="D1674" s="3" t="s">
        <v>38</v>
      </c>
      <c r="E1674" s="3" t="s">
        <v>25</v>
      </c>
      <c r="F1674" s="3" t="s">
        <v>25</v>
      </c>
      <c r="G1674" s="3" t="s">
        <v>25</v>
      </c>
      <c r="H1674" s="3" t="s">
        <v>35</v>
      </c>
      <c r="I1674" s="6">
        <v>44440</v>
      </c>
      <c r="J1674" s="4">
        <v>0</v>
      </c>
      <c r="K1674" s="4">
        <v>0</v>
      </c>
      <c r="L1674" s="4">
        <v>7.6740000000000004</v>
      </c>
      <c r="M1674" s="4">
        <v>7.6740000000000004</v>
      </c>
      <c r="N1674" s="4">
        <v>7.6740000000000004</v>
      </c>
      <c r="O1674" s="4">
        <v>7.6740000000000004</v>
      </c>
      <c r="P1674" s="4">
        <v>0</v>
      </c>
      <c r="Q1674" s="3" t="s">
        <v>26</v>
      </c>
      <c r="R1674" s="3">
        <v>0</v>
      </c>
      <c r="S1674" s="3" t="s">
        <v>521</v>
      </c>
      <c r="T1674" s="3" t="s">
        <v>802</v>
      </c>
      <c r="U1674" s="3">
        <v>0</v>
      </c>
      <c r="V1674" s="3">
        <v>83</v>
      </c>
      <c r="W1674" s="3">
        <v>61</v>
      </c>
    </row>
    <row r="1675" spans="1:23" ht="11.25" customHeight="1" x14ac:dyDescent="0.25">
      <c r="A1675" s="3" t="s">
        <v>21</v>
      </c>
      <c r="B1675" s="3" t="s">
        <v>37</v>
      </c>
      <c r="C1675" s="3" t="s">
        <v>33</v>
      </c>
      <c r="D1675" s="3" t="s">
        <v>38</v>
      </c>
      <c r="E1675" s="3" t="s">
        <v>25</v>
      </c>
      <c r="F1675" s="3" t="s">
        <v>25</v>
      </c>
      <c r="G1675" s="3" t="s">
        <v>25</v>
      </c>
      <c r="H1675" s="3" t="s">
        <v>35</v>
      </c>
      <c r="I1675" s="6">
        <v>44470</v>
      </c>
      <c r="J1675" s="4">
        <v>0</v>
      </c>
      <c r="K1675" s="4">
        <v>0</v>
      </c>
      <c r="L1675" s="4">
        <v>4.8280000000000003</v>
      </c>
      <c r="M1675" s="4">
        <v>4.8280000000000003</v>
      </c>
      <c r="N1675" s="4">
        <v>4.8280000000000003</v>
      </c>
      <c r="O1675" s="4">
        <v>4.8280000000000003</v>
      </c>
      <c r="P1675" s="4">
        <v>0</v>
      </c>
      <c r="Q1675" s="3" t="s">
        <v>26</v>
      </c>
      <c r="R1675" s="3">
        <v>0</v>
      </c>
      <c r="S1675" s="3" t="s">
        <v>522</v>
      </c>
      <c r="T1675" s="3" t="s">
        <v>803</v>
      </c>
      <c r="U1675" s="3">
        <v>0</v>
      </c>
      <c r="V1675" s="3">
        <v>83</v>
      </c>
      <c r="W1675" s="3">
        <v>61</v>
      </c>
    </row>
    <row r="1676" spans="1:23" ht="11.25" customHeight="1" x14ac:dyDescent="0.25">
      <c r="A1676" s="3" t="s">
        <v>21</v>
      </c>
      <c r="B1676" s="3" t="s">
        <v>37</v>
      </c>
      <c r="C1676" s="3" t="s">
        <v>33</v>
      </c>
      <c r="D1676" s="3" t="s">
        <v>38</v>
      </c>
      <c r="E1676" s="3" t="s">
        <v>25</v>
      </c>
      <c r="F1676" s="3" t="s">
        <v>25</v>
      </c>
      <c r="G1676" s="3" t="s">
        <v>25</v>
      </c>
      <c r="H1676" s="3" t="s">
        <v>35</v>
      </c>
      <c r="I1676" s="6">
        <v>44501</v>
      </c>
      <c r="J1676" s="4">
        <v>0</v>
      </c>
      <c r="K1676" s="4">
        <v>0</v>
      </c>
      <c r="L1676" s="4">
        <v>10.782999999999999</v>
      </c>
      <c r="M1676" s="4">
        <v>10.782999999999999</v>
      </c>
      <c r="N1676" s="4">
        <v>10.782999999999999</v>
      </c>
      <c r="O1676" s="4">
        <v>10.782999999999999</v>
      </c>
      <c r="P1676" s="4">
        <v>0</v>
      </c>
      <c r="Q1676" s="3" t="s">
        <v>26</v>
      </c>
      <c r="R1676" s="3">
        <v>0</v>
      </c>
      <c r="S1676" s="3" t="s">
        <v>523</v>
      </c>
      <c r="T1676" s="3" t="s">
        <v>804</v>
      </c>
      <c r="U1676" s="3">
        <v>0</v>
      </c>
      <c r="V1676" s="3">
        <v>83</v>
      </c>
      <c r="W1676" s="3">
        <v>61</v>
      </c>
    </row>
    <row r="1677" spans="1:23" ht="11.25" customHeight="1" x14ac:dyDescent="0.25">
      <c r="A1677" s="3" t="s">
        <v>21</v>
      </c>
      <c r="B1677" s="3" t="s">
        <v>37</v>
      </c>
      <c r="C1677" s="3" t="s">
        <v>33</v>
      </c>
      <c r="D1677" s="3" t="s">
        <v>38</v>
      </c>
      <c r="E1677" s="3" t="s">
        <v>25</v>
      </c>
      <c r="F1677" s="3" t="s">
        <v>25</v>
      </c>
      <c r="G1677" s="3" t="s">
        <v>25</v>
      </c>
      <c r="H1677" s="3" t="s">
        <v>35</v>
      </c>
      <c r="I1677" s="6">
        <v>44531</v>
      </c>
      <c r="J1677" s="4">
        <v>0</v>
      </c>
      <c r="K1677" s="4">
        <v>0</v>
      </c>
      <c r="L1677" s="4">
        <v>11.68</v>
      </c>
      <c r="M1677" s="4">
        <v>11.68</v>
      </c>
      <c r="N1677" s="4">
        <v>11.68</v>
      </c>
      <c r="O1677" s="4">
        <v>11.68</v>
      </c>
      <c r="P1677" s="4">
        <v>0</v>
      </c>
      <c r="Q1677" s="3" t="s">
        <v>26</v>
      </c>
      <c r="R1677" s="3">
        <v>0</v>
      </c>
      <c r="S1677" s="3" t="s">
        <v>524</v>
      </c>
      <c r="T1677" s="3" t="s">
        <v>805</v>
      </c>
      <c r="U1677" s="3">
        <v>0</v>
      </c>
      <c r="V1677" s="3">
        <v>83</v>
      </c>
      <c r="W1677" s="3">
        <v>61</v>
      </c>
    </row>
    <row r="1678" spans="1:23" ht="11.25" customHeight="1" x14ac:dyDescent="0.25">
      <c r="A1678" s="3" t="s">
        <v>21</v>
      </c>
      <c r="B1678" s="3" t="s">
        <v>37</v>
      </c>
      <c r="C1678" s="3" t="s">
        <v>33</v>
      </c>
      <c r="D1678" s="3" t="s">
        <v>38</v>
      </c>
      <c r="E1678" s="3" t="s">
        <v>25</v>
      </c>
      <c r="F1678" s="3" t="s">
        <v>25</v>
      </c>
      <c r="G1678" s="3" t="s">
        <v>25</v>
      </c>
      <c r="H1678" s="3" t="s">
        <v>35</v>
      </c>
      <c r="I1678" s="6">
        <v>44562</v>
      </c>
      <c r="J1678" s="4">
        <v>0</v>
      </c>
      <c r="K1678" s="4">
        <v>0</v>
      </c>
      <c r="L1678" s="4">
        <v>11.061999999999999</v>
      </c>
      <c r="M1678" s="4">
        <v>11.061999999999999</v>
      </c>
      <c r="N1678" s="4">
        <v>11.061999999999999</v>
      </c>
      <c r="O1678" s="4">
        <v>11.061999999999999</v>
      </c>
      <c r="P1678" s="4">
        <v>0</v>
      </c>
      <c r="Q1678" s="3" t="s">
        <v>26</v>
      </c>
      <c r="R1678" s="3">
        <v>0</v>
      </c>
      <c r="S1678" s="3" t="s">
        <v>525</v>
      </c>
      <c r="T1678" s="3" t="s">
        <v>806</v>
      </c>
      <c r="U1678" s="3">
        <v>0</v>
      </c>
      <c r="V1678" s="3">
        <v>83</v>
      </c>
      <c r="W1678" s="3">
        <v>61</v>
      </c>
    </row>
    <row r="1679" spans="1:23" ht="11.25" customHeight="1" x14ac:dyDescent="0.25">
      <c r="A1679" s="3" t="s">
        <v>21</v>
      </c>
      <c r="B1679" s="3" t="s">
        <v>37</v>
      </c>
      <c r="C1679" s="3" t="s">
        <v>33</v>
      </c>
      <c r="D1679" s="3" t="s">
        <v>38</v>
      </c>
      <c r="E1679" s="3" t="s">
        <v>25</v>
      </c>
      <c r="F1679" s="3" t="s">
        <v>25</v>
      </c>
      <c r="G1679" s="3" t="s">
        <v>25</v>
      </c>
      <c r="H1679" s="3" t="s">
        <v>35</v>
      </c>
      <c r="I1679" s="6">
        <v>44593</v>
      </c>
      <c r="J1679" s="4">
        <v>0</v>
      </c>
      <c r="K1679" s="4">
        <v>0</v>
      </c>
      <c r="L1679" s="4">
        <v>12.076000000000001</v>
      </c>
      <c r="M1679" s="4">
        <v>12.076000000000001</v>
      </c>
      <c r="N1679" s="4">
        <v>12.076000000000001</v>
      </c>
      <c r="O1679" s="4">
        <v>12.076000000000001</v>
      </c>
      <c r="P1679" s="4">
        <v>0</v>
      </c>
      <c r="Q1679" s="3" t="s">
        <v>26</v>
      </c>
      <c r="R1679" s="3">
        <v>0</v>
      </c>
      <c r="S1679" s="3" t="s">
        <v>526</v>
      </c>
      <c r="T1679" s="3" t="s">
        <v>807</v>
      </c>
      <c r="U1679" s="3">
        <v>0</v>
      </c>
      <c r="V1679" s="3">
        <v>83</v>
      </c>
      <c r="W1679" s="3">
        <v>61</v>
      </c>
    </row>
    <row r="1680" spans="1:23" ht="11.25" customHeight="1" x14ac:dyDescent="0.25">
      <c r="A1680" s="3" t="s">
        <v>56</v>
      </c>
      <c r="B1680" s="3" t="s">
        <v>37</v>
      </c>
      <c r="C1680" s="3" t="s">
        <v>33</v>
      </c>
      <c r="D1680" s="3" t="s">
        <v>38</v>
      </c>
      <c r="E1680" s="3" t="s">
        <v>25</v>
      </c>
      <c r="F1680" s="3" t="s">
        <v>25</v>
      </c>
      <c r="G1680" s="3" t="s">
        <v>25</v>
      </c>
      <c r="H1680" s="3" t="s">
        <v>35</v>
      </c>
      <c r="I1680" s="6">
        <v>44621</v>
      </c>
      <c r="J1680" s="4">
        <v>0</v>
      </c>
      <c r="K1680" s="4">
        <v>0</v>
      </c>
      <c r="L1680" s="4">
        <v>12.076000000000001</v>
      </c>
      <c r="M1680" s="4">
        <v>12.076000000000001</v>
      </c>
      <c r="N1680" s="4">
        <v>12.076000000000001</v>
      </c>
      <c r="O1680" s="4">
        <v>12.076000000000001</v>
      </c>
      <c r="P1680" s="4">
        <v>0</v>
      </c>
      <c r="Q1680" s="3" t="s">
        <v>26</v>
      </c>
      <c r="R1680" s="3">
        <v>0</v>
      </c>
      <c r="S1680" s="3" t="s">
        <v>527</v>
      </c>
      <c r="T1680" s="3" t="s">
        <v>808</v>
      </c>
      <c r="U1680" s="3">
        <v>0</v>
      </c>
      <c r="V1680" s="3">
        <v>83</v>
      </c>
      <c r="W1680" s="3">
        <v>61</v>
      </c>
    </row>
    <row r="1681" spans="1:23" ht="11.25" customHeight="1" x14ac:dyDescent="0.25">
      <c r="A1681" s="3" t="s">
        <v>21</v>
      </c>
      <c r="B1681" s="3" t="s">
        <v>37</v>
      </c>
      <c r="C1681" s="3" t="s">
        <v>33</v>
      </c>
      <c r="D1681" s="3" t="s">
        <v>38</v>
      </c>
      <c r="E1681" s="3" t="s">
        <v>25</v>
      </c>
      <c r="F1681" s="3" t="s">
        <v>25</v>
      </c>
      <c r="G1681" s="3" t="s">
        <v>25</v>
      </c>
      <c r="H1681" s="3" t="s">
        <v>36</v>
      </c>
      <c r="I1681" s="6">
        <v>44287</v>
      </c>
      <c r="J1681" s="4">
        <v>0</v>
      </c>
      <c r="K1681" s="4">
        <v>0</v>
      </c>
      <c r="L1681" s="4">
        <v>0.443</v>
      </c>
      <c r="M1681" s="4">
        <v>0.443</v>
      </c>
      <c r="N1681" s="4">
        <v>0.443</v>
      </c>
      <c r="O1681" s="4">
        <v>0.443</v>
      </c>
      <c r="P1681" s="4">
        <v>0</v>
      </c>
      <c r="Q1681" s="3" t="s">
        <v>26</v>
      </c>
      <c r="R1681" s="3">
        <v>0</v>
      </c>
      <c r="S1681" s="3" t="s">
        <v>528</v>
      </c>
      <c r="T1681" s="3" t="s">
        <v>809</v>
      </c>
      <c r="U1681" s="3">
        <v>0</v>
      </c>
      <c r="V1681" s="3">
        <v>82</v>
      </c>
      <c r="W1681" s="3">
        <v>60</v>
      </c>
    </row>
    <row r="1682" spans="1:23" ht="11.25" customHeight="1" x14ac:dyDescent="0.25">
      <c r="A1682" s="3" t="s">
        <v>21</v>
      </c>
      <c r="B1682" s="3" t="s">
        <v>37</v>
      </c>
      <c r="C1682" s="3" t="s">
        <v>33</v>
      </c>
      <c r="D1682" s="3" t="s">
        <v>38</v>
      </c>
      <c r="E1682" s="3" t="s">
        <v>25</v>
      </c>
      <c r="F1682" s="3" t="s">
        <v>25</v>
      </c>
      <c r="G1682" s="3" t="s">
        <v>25</v>
      </c>
      <c r="H1682" s="3" t="s">
        <v>36</v>
      </c>
      <c r="I1682" s="6">
        <v>44317</v>
      </c>
      <c r="J1682" s="4">
        <v>0</v>
      </c>
      <c r="K1682" s="4">
        <v>0</v>
      </c>
      <c r="L1682" s="4">
        <v>0.42799999999999999</v>
      </c>
      <c r="M1682" s="4">
        <v>0.42799999999999999</v>
      </c>
      <c r="N1682" s="4">
        <v>0.42799999999999999</v>
      </c>
      <c r="O1682" s="4">
        <v>0.42799999999999999</v>
      </c>
      <c r="P1682" s="4">
        <v>0</v>
      </c>
      <c r="Q1682" s="3" t="s">
        <v>26</v>
      </c>
      <c r="R1682" s="3">
        <v>0</v>
      </c>
      <c r="S1682" s="3" t="s">
        <v>529</v>
      </c>
      <c r="T1682" s="3" t="s">
        <v>810</v>
      </c>
      <c r="U1682" s="3">
        <v>0</v>
      </c>
      <c r="V1682" s="3">
        <v>82</v>
      </c>
      <c r="W1682" s="3">
        <v>60</v>
      </c>
    </row>
    <row r="1683" spans="1:23" ht="11.25" customHeight="1" x14ac:dyDescent="0.25">
      <c r="A1683" s="3" t="s">
        <v>21</v>
      </c>
      <c r="B1683" s="3" t="s">
        <v>37</v>
      </c>
      <c r="C1683" s="3" t="s">
        <v>33</v>
      </c>
      <c r="D1683" s="3" t="s">
        <v>38</v>
      </c>
      <c r="E1683" s="3" t="s">
        <v>25</v>
      </c>
      <c r="F1683" s="3" t="s">
        <v>25</v>
      </c>
      <c r="G1683" s="3" t="s">
        <v>25</v>
      </c>
      <c r="H1683" s="3" t="s">
        <v>36</v>
      </c>
      <c r="I1683" s="6">
        <v>44348</v>
      </c>
      <c r="J1683" s="4">
        <v>0</v>
      </c>
      <c r="K1683" s="4">
        <v>0</v>
      </c>
      <c r="L1683" s="4">
        <v>0.42899999999999999</v>
      </c>
      <c r="M1683" s="4">
        <v>0.42899999999999999</v>
      </c>
      <c r="N1683" s="4">
        <v>0.42899999999999999</v>
      </c>
      <c r="O1683" s="4">
        <v>0.42899999999999999</v>
      </c>
      <c r="P1683" s="4">
        <v>0</v>
      </c>
      <c r="Q1683" s="3" t="s">
        <v>26</v>
      </c>
      <c r="R1683" s="3">
        <v>0</v>
      </c>
      <c r="S1683" s="3" t="s">
        <v>530</v>
      </c>
      <c r="T1683" s="3" t="s">
        <v>811</v>
      </c>
      <c r="U1683" s="3">
        <v>0</v>
      </c>
      <c r="V1683" s="3">
        <v>82</v>
      </c>
      <c r="W1683" s="3">
        <v>60</v>
      </c>
    </row>
    <row r="1684" spans="1:23" ht="11.25" customHeight="1" x14ac:dyDescent="0.25">
      <c r="A1684" s="3" t="s">
        <v>21</v>
      </c>
      <c r="B1684" s="3" t="s">
        <v>37</v>
      </c>
      <c r="C1684" s="3" t="s">
        <v>33</v>
      </c>
      <c r="D1684" s="3" t="s">
        <v>38</v>
      </c>
      <c r="E1684" s="3" t="s">
        <v>25</v>
      </c>
      <c r="F1684" s="3" t="s">
        <v>25</v>
      </c>
      <c r="G1684" s="3" t="s">
        <v>25</v>
      </c>
      <c r="H1684" s="3" t="s">
        <v>36</v>
      </c>
      <c r="I1684" s="6">
        <v>44378</v>
      </c>
      <c r="J1684" s="4">
        <v>0</v>
      </c>
      <c r="K1684" s="4">
        <v>0</v>
      </c>
      <c r="L1684" s="4">
        <v>7.6999999999999999E-2</v>
      </c>
      <c r="M1684" s="4">
        <v>7.6999999999999999E-2</v>
      </c>
      <c r="N1684" s="4">
        <v>7.6999999999999999E-2</v>
      </c>
      <c r="O1684" s="4">
        <v>7.6999999999999999E-2</v>
      </c>
      <c r="P1684" s="4">
        <v>0</v>
      </c>
      <c r="Q1684" s="3" t="s">
        <v>26</v>
      </c>
      <c r="R1684" s="3">
        <v>0</v>
      </c>
      <c r="S1684" s="3" t="s">
        <v>531</v>
      </c>
      <c r="T1684" s="3" t="s">
        <v>812</v>
      </c>
      <c r="U1684" s="3">
        <v>0</v>
      </c>
      <c r="V1684" s="3">
        <v>82</v>
      </c>
      <c r="W1684" s="3">
        <v>60</v>
      </c>
    </row>
    <row r="1685" spans="1:23" ht="11.25" customHeight="1" x14ac:dyDescent="0.25">
      <c r="A1685" s="3" t="s">
        <v>21</v>
      </c>
      <c r="B1685" s="3" t="s">
        <v>37</v>
      </c>
      <c r="C1685" s="3" t="s">
        <v>33</v>
      </c>
      <c r="D1685" s="3" t="s">
        <v>38</v>
      </c>
      <c r="E1685" s="3" t="s">
        <v>25</v>
      </c>
      <c r="F1685" s="3" t="s">
        <v>25</v>
      </c>
      <c r="G1685" s="3" t="s">
        <v>25</v>
      </c>
      <c r="H1685" s="3" t="s">
        <v>36</v>
      </c>
      <c r="I1685" s="6">
        <v>44409</v>
      </c>
      <c r="J1685" s="4">
        <v>0</v>
      </c>
      <c r="K1685" s="4">
        <v>0</v>
      </c>
      <c r="L1685" s="4">
        <v>0.08</v>
      </c>
      <c r="M1685" s="4">
        <v>0.08</v>
      </c>
      <c r="N1685" s="4">
        <v>0.08</v>
      </c>
      <c r="O1685" s="4">
        <v>0.08</v>
      </c>
      <c r="P1685" s="4">
        <v>0</v>
      </c>
      <c r="Q1685" s="3" t="s">
        <v>26</v>
      </c>
      <c r="R1685" s="3">
        <v>0</v>
      </c>
      <c r="S1685" s="3" t="s">
        <v>532</v>
      </c>
      <c r="T1685" s="3" t="s">
        <v>813</v>
      </c>
      <c r="U1685" s="3">
        <v>0</v>
      </c>
      <c r="V1685" s="3">
        <v>82</v>
      </c>
      <c r="W1685" s="3">
        <v>60</v>
      </c>
    </row>
    <row r="1686" spans="1:23" ht="11.25" customHeight="1" x14ac:dyDescent="0.25">
      <c r="A1686" s="3" t="s">
        <v>21</v>
      </c>
      <c r="B1686" s="3" t="s">
        <v>37</v>
      </c>
      <c r="C1686" s="3" t="s">
        <v>33</v>
      </c>
      <c r="D1686" s="3" t="s">
        <v>38</v>
      </c>
      <c r="E1686" s="3" t="s">
        <v>25</v>
      </c>
      <c r="F1686" s="3" t="s">
        <v>25</v>
      </c>
      <c r="G1686" s="3" t="s">
        <v>25</v>
      </c>
      <c r="H1686" s="3" t="s">
        <v>36</v>
      </c>
      <c r="I1686" s="6">
        <v>44440</v>
      </c>
      <c r="J1686" s="4">
        <v>0</v>
      </c>
      <c r="K1686" s="4">
        <v>0</v>
      </c>
      <c r="L1686" s="4">
        <v>0.35499999999999998</v>
      </c>
      <c r="M1686" s="4">
        <v>0.35499999999999998</v>
      </c>
      <c r="N1686" s="4">
        <v>0.35499999999999998</v>
      </c>
      <c r="O1686" s="4">
        <v>0.35499999999999998</v>
      </c>
      <c r="P1686" s="4">
        <v>0</v>
      </c>
      <c r="Q1686" s="3" t="s">
        <v>26</v>
      </c>
      <c r="R1686" s="3">
        <v>0</v>
      </c>
      <c r="S1686" s="3" t="s">
        <v>533</v>
      </c>
      <c r="T1686" s="3" t="s">
        <v>814</v>
      </c>
      <c r="U1686" s="3">
        <v>0</v>
      </c>
      <c r="V1686" s="3">
        <v>82</v>
      </c>
      <c r="W1686" s="3">
        <v>60</v>
      </c>
    </row>
    <row r="1687" spans="1:23" ht="11.25" customHeight="1" x14ac:dyDescent="0.25">
      <c r="A1687" s="3" t="s">
        <v>21</v>
      </c>
      <c r="B1687" s="3" t="s">
        <v>37</v>
      </c>
      <c r="C1687" s="3" t="s">
        <v>33</v>
      </c>
      <c r="D1687" s="3" t="s">
        <v>38</v>
      </c>
      <c r="E1687" s="3" t="s">
        <v>25</v>
      </c>
      <c r="F1687" s="3" t="s">
        <v>25</v>
      </c>
      <c r="G1687" s="3" t="s">
        <v>25</v>
      </c>
      <c r="H1687" s="3" t="s">
        <v>36</v>
      </c>
      <c r="I1687" s="6">
        <v>44470</v>
      </c>
      <c r="J1687" s="4">
        <v>0</v>
      </c>
      <c r="K1687" s="4">
        <v>0</v>
      </c>
      <c r="L1687" s="4">
        <v>0.23699999999999999</v>
      </c>
      <c r="M1687" s="4">
        <v>0.23699999999999999</v>
      </c>
      <c r="N1687" s="4">
        <v>0.23699999999999999</v>
      </c>
      <c r="O1687" s="4">
        <v>0.23699999999999999</v>
      </c>
      <c r="P1687" s="4">
        <v>0</v>
      </c>
      <c r="Q1687" s="3" t="s">
        <v>26</v>
      </c>
      <c r="R1687" s="3">
        <v>0</v>
      </c>
      <c r="S1687" s="3" t="s">
        <v>534</v>
      </c>
      <c r="T1687" s="3" t="s">
        <v>815</v>
      </c>
      <c r="U1687" s="3">
        <v>0</v>
      </c>
      <c r="V1687" s="3">
        <v>82</v>
      </c>
      <c r="W1687" s="3">
        <v>60</v>
      </c>
    </row>
    <row r="1688" spans="1:23" ht="11.25" customHeight="1" x14ac:dyDescent="0.25">
      <c r="A1688" s="3" t="s">
        <v>21</v>
      </c>
      <c r="B1688" s="3" t="s">
        <v>37</v>
      </c>
      <c r="C1688" s="3" t="s">
        <v>33</v>
      </c>
      <c r="D1688" s="3" t="s">
        <v>38</v>
      </c>
      <c r="E1688" s="3" t="s">
        <v>25</v>
      </c>
      <c r="F1688" s="3" t="s">
        <v>25</v>
      </c>
      <c r="G1688" s="3" t="s">
        <v>25</v>
      </c>
      <c r="H1688" s="3" t="s">
        <v>36</v>
      </c>
      <c r="I1688" s="6">
        <v>44501</v>
      </c>
      <c r="J1688" s="4">
        <v>0</v>
      </c>
      <c r="K1688" s="4">
        <v>0</v>
      </c>
      <c r="L1688" s="4">
        <v>0.44</v>
      </c>
      <c r="M1688" s="4">
        <v>0.44</v>
      </c>
      <c r="N1688" s="4">
        <v>0.44</v>
      </c>
      <c r="O1688" s="4">
        <v>0.44</v>
      </c>
      <c r="P1688" s="4">
        <v>0</v>
      </c>
      <c r="Q1688" s="3" t="s">
        <v>26</v>
      </c>
      <c r="R1688" s="3">
        <v>0</v>
      </c>
      <c r="S1688" s="3" t="s">
        <v>535</v>
      </c>
      <c r="T1688" s="3" t="s">
        <v>816</v>
      </c>
      <c r="U1688" s="3">
        <v>0</v>
      </c>
      <c r="V1688" s="3">
        <v>82</v>
      </c>
      <c r="W1688" s="3">
        <v>60</v>
      </c>
    </row>
    <row r="1689" spans="1:23" ht="11.25" customHeight="1" x14ac:dyDescent="0.25">
      <c r="A1689" s="3" t="s">
        <v>21</v>
      </c>
      <c r="B1689" s="3" t="s">
        <v>37</v>
      </c>
      <c r="C1689" s="3" t="s">
        <v>33</v>
      </c>
      <c r="D1689" s="3" t="s">
        <v>38</v>
      </c>
      <c r="E1689" s="3" t="s">
        <v>25</v>
      </c>
      <c r="F1689" s="3" t="s">
        <v>25</v>
      </c>
      <c r="G1689" s="3" t="s">
        <v>25</v>
      </c>
      <c r="H1689" s="3" t="s">
        <v>36</v>
      </c>
      <c r="I1689" s="6">
        <v>44531</v>
      </c>
      <c r="J1689" s="4">
        <v>0</v>
      </c>
      <c r="K1689" s="4">
        <v>0</v>
      </c>
      <c r="L1689" s="4">
        <v>0.41899999999999998</v>
      </c>
      <c r="M1689" s="4">
        <v>0.41899999999999998</v>
      </c>
      <c r="N1689" s="4">
        <v>0.41899999999999998</v>
      </c>
      <c r="O1689" s="4">
        <v>0.41899999999999998</v>
      </c>
      <c r="P1689" s="4">
        <v>0</v>
      </c>
      <c r="Q1689" s="3" t="s">
        <v>26</v>
      </c>
      <c r="R1689" s="3">
        <v>0</v>
      </c>
      <c r="S1689" s="3" t="s">
        <v>536</v>
      </c>
      <c r="T1689" s="3" t="s">
        <v>817</v>
      </c>
      <c r="U1689" s="3">
        <v>0</v>
      </c>
      <c r="V1689" s="3">
        <v>82</v>
      </c>
      <c r="W1689" s="3">
        <v>60</v>
      </c>
    </row>
    <row r="1690" spans="1:23" ht="11.25" customHeight="1" x14ac:dyDescent="0.25">
      <c r="A1690" s="3" t="s">
        <v>21</v>
      </c>
      <c r="B1690" s="3" t="s">
        <v>37</v>
      </c>
      <c r="C1690" s="3" t="s">
        <v>33</v>
      </c>
      <c r="D1690" s="3" t="s">
        <v>38</v>
      </c>
      <c r="E1690" s="3" t="s">
        <v>25</v>
      </c>
      <c r="F1690" s="3" t="s">
        <v>25</v>
      </c>
      <c r="G1690" s="3" t="s">
        <v>25</v>
      </c>
      <c r="H1690" s="3" t="s">
        <v>36</v>
      </c>
      <c r="I1690" s="6">
        <v>44562</v>
      </c>
      <c r="J1690" s="4">
        <v>0</v>
      </c>
      <c r="K1690" s="4">
        <v>0</v>
      </c>
      <c r="L1690" s="4">
        <v>0.442</v>
      </c>
      <c r="M1690" s="4">
        <v>0.442</v>
      </c>
      <c r="N1690" s="4">
        <v>0.442</v>
      </c>
      <c r="O1690" s="4">
        <v>0.442</v>
      </c>
      <c r="P1690" s="4">
        <v>0</v>
      </c>
      <c r="Q1690" s="3" t="s">
        <v>26</v>
      </c>
      <c r="R1690" s="3">
        <v>0</v>
      </c>
      <c r="S1690" s="3" t="s">
        <v>537</v>
      </c>
      <c r="T1690" s="3" t="s">
        <v>818</v>
      </c>
      <c r="U1690" s="3">
        <v>0</v>
      </c>
      <c r="V1690" s="3">
        <v>82</v>
      </c>
      <c r="W1690" s="3">
        <v>60</v>
      </c>
    </row>
    <row r="1691" spans="1:23" ht="11.25" customHeight="1" x14ac:dyDescent="0.25">
      <c r="A1691" s="3" t="s">
        <v>21</v>
      </c>
      <c r="B1691" s="3" t="s">
        <v>37</v>
      </c>
      <c r="C1691" s="3" t="s">
        <v>33</v>
      </c>
      <c r="D1691" s="3" t="s">
        <v>38</v>
      </c>
      <c r="E1691" s="3" t="s">
        <v>25</v>
      </c>
      <c r="F1691" s="3" t="s">
        <v>25</v>
      </c>
      <c r="G1691" s="3" t="s">
        <v>25</v>
      </c>
      <c r="H1691" s="3" t="s">
        <v>36</v>
      </c>
      <c r="I1691" s="6">
        <v>44593</v>
      </c>
      <c r="J1691" s="4">
        <v>0</v>
      </c>
      <c r="K1691" s="4">
        <v>0</v>
      </c>
      <c r="L1691" s="4">
        <v>0.48199999999999998</v>
      </c>
      <c r="M1691" s="4">
        <v>0.48199999999999998</v>
      </c>
      <c r="N1691" s="4">
        <v>0.48199999999999998</v>
      </c>
      <c r="O1691" s="4">
        <v>0.48199999999999998</v>
      </c>
      <c r="P1691" s="4">
        <v>0</v>
      </c>
      <c r="Q1691" s="3" t="s">
        <v>26</v>
      </c>
      <c r="R1691" s="3">
        <v>0</v>
      </c>
      <c r="S1691" s="3" t="s">
        <v>538</v>
      </c>
      <c r="T1691" s="3" t="s">
        <v>819</v>
      </c>
      <c r="U1691" s="3">
        <v>0</v>
      </c>
      <c r="V1691" s="3">
        <v>82</v>
      </c>
      <c r="W1691" s="3">
        <v>60</v>
      </c>
    </row>
    <row r="1692" spans="1:23" ht="11.25" customHeight="1" x14ac:dyDescent="0.25">
      <c r="A1692" s="3" t="s">
        <v>56</v>
      </c>
      <c r="B1692" s="3" t="s">
        <v>37</v>
      </c>
      <c r="C1692" s="3" t="s">
        <v>33</v>
      </c>
      <c r="D1692" s="3" t="s">
        <v>38</v>
      </c>
      <c r="E1692" s="3" t="s">
        <v>25</v>
      </c>
      <c r="F1692" s="3" t="s">
        <v>25</v>
      </c>
      <c r="G1692" s="3" t="s">
        <v>25</v>
      </c>
      <c r="H1692" s="3" t="s">
        <v>36</v>
      </c>
      <c r="I1692" s="6">
        <v>44621</v>
      </c>
      <c r="J1692" s="4">
        <v>0</v>
      </c>
      <c r="K1692" s="4">
        <v>0</v>
      </c>
      <c r="L1692" s="4">
        <v>0.48199999999999998</v>
      </c>
      <c r="M1692" s="4">
        <v>0.48199999999999998</v>
      </c>
      <c r="N1692" s="4">
        <v>0.48199999999999998</v>
      </c>
      <c r="O1692" s="4">
        <v>0.48199999999999998</v>
      </c>
      <c r="P1692" s="4">
        <v>0</v>
      </c>
      <c r="Q1692" s="3" t="s">
        <v>26</v>
      </c>
      <c r="R1692" s="3">
        <v>0</v>
      </c>
      <c r="S1692" s="3" t="s">
        <v>539</v>
      </c>
      <c r="T1692" s="3" t="s">
        <v>820</v>
      </c>
      <c r="U1692" s="3">
        <v>0</v>
      </c>
      <c r="V1692" s="3">
        <v>82</v>
      </c>
      <c r="W1692" s="3">
        <v>60</v>
      </c>
    </row>
    <row r="1693" spans="1:23" ht="11.25" customHeight="1" x14ac:dyDescent="0.25">
      <c r="A1693" s="3" t="s">
        <v>21</v>
      </c>
      <c r="B1693" s="3" t="s">
        <v>37</v>
      </c>
      <c r="C1693" s="3" t="s">
        <v>33</v>
      </c>
      <c r="D1693" s="3" t="s">
        <v>38</v>
      </c>
      <c r="E1693" s="3" t="s">
        <v>25</v>
      </c>
      <c r="F1693" s="3" t="s">
        <v>25</v>
      </c>
      <c r="G1693" s="3" t="s">
        <v>25</v>
      </c>
      <c r="H1693" s="3" t="s">
        <v>34</v>
      </c>
      <c r="I1693" s="6">
        <v>44287</v>
      </c>
      <c r="J1693" s="4">
        <v>0</v>
      </c>
      <c r="K1693" s="4">
        <v>0</v>
      </c>
      <c r="L1693" s="4">
        <v>0.11</v>
      </c>
      <c r="M1693" s="4">
        <v>0.11</v>
      </c>
      <c r="N1693" s="4">
        <v>0.11</v>
      </c>
      <c r="O1693" s="4">
        <v>0.11</v>
      </c>
      <c r="P1693" s="4">
        <v>0</v>
      </c>
      <c r="Q1693" s="3" t="s">
        <v>26</v>
      </c>
      <c r="R1693" s="3">
        <v>0</v>
      </c>
      <c r="S1693" s="3" t="s">
        <v>540</v>
      </c>
      <c r="T1693" s="3" t="s">
        <v>821</v>
      </c>
      <c r="U1693" s="3">
        <v>0</v>
      </c>
      <c r="V1693" s="3">
        <v>42</v>
      </c>
      <c r="W1693" s="3">
        <v>59</v>
      </c>
    </row>
    <row r="1694" spans="1:23" ht="11.25" customHeight="1" x14ac:dyDescent="0.25">
      <c r="A1694" s="3" t="s">
        <v>21</v>
      </c>
      <c r="B1694" s="3" t="s">
        <v>37</v>
      </c>
      <c r="C1694" s="3" t="s">
        <v>33</v>
      </c>
      <c r="D1694" s="3" t="s">
        <v>38</v>
      </c>
      <c r="E1694" s="3" t="s">
        <v>25</v>
      </c>
      <c r="F1694" s="3" t="s">
        <v>25</v>
      </c>
      <c r="G1694" s="3" t="s">
        <v>25</v>
      </c>
      <c r="H1694" s="3" t="s">
        <v>34</v>
      </c>
      <c r="I1694" s="6">
        <v>44317</v>
      </c>
      <c r="J1694" s="4">
        <v>0</v>
      </c>
      <c r="K1694" s="4">
        <v>0</v>
      </c>
      <c r="L1694" s="4">
        <v>0.10199999999999999</v>
      </c>
      <c r="M1694" s="4">
        <v>0.10199999999999999</v>
      </c>
      <c r="N1694" s="4">
        <v>0.10199999999999999</v>
      </c>
      <c r="O1694" s="4">
        <v>0.10199999999999999</v>
      </c>
      <c r="P1694" s="4">
        <v>0</v>
      </c>
      <c r="Q1694" s="3" t="s">
        <v>26</v>
      </c>
      <c r="R1694" s="3">
        <v>0</v>
      </c>
      <c r="S1694" s="3" t="s">
        <v>541</v>
      </c>
      <c r="T1694" s="3" t="s">
        <v>822</v>
      </c>
      <c r="U1694" s="3">
        <v>0</v>
      </c>
      <c r="V1694" s="3">
        <v>42</v>
      </c>
      <c r="W1694" s="3">
        <v>59</v>
      </c>
    </row>
    <row r="1695" spans="1:23" ht="11.25" customHeight="1" x14ac:dyDescent="0.25">
      <c r="A1695" s="3" t="s">
        <v>21</v>
      </c>
      <c r="B1695" s="3" t="s">
        <v>37</v>
      </c>
      <c r="C1695" s="3" t="s">
        <v>33</v>
      </c>
      <c r="D1695" s="3" t="s">
        <v>38</v>
      </c>
      <c r="E1695" s="3" t="s">
        <v>25</v>
      </c>
      <c r="F1695" s="3" t="s">
        <v>25</v>
      </c>
      <c r="G1695" s="3" t="s">
        <v>25</v>
      </c>
      <c r="H1695" s="3" t="s">
        <v>34</v>
      </c>
      <c r="I1695" s="6">
        <v>44348</v>
      </c>
      <c r="J1695" s="4">
        <v>0</v>
      </c>
      <c r="K1695" s="4">
        <v>0</v>
      </c>
      <c r="L1695" s="4">
        <v>9.5000000000000001E-2</v>
      </c>
      <c r="M1695" s="4">
        <v>9.5000000000000001E-2</v>
      </c>
      <c r="N1695" s="4">
        <v>9.5000000000000001E-2</v>
      </c>
      <c r="O1695" s="4">
        <v>9.5000000000000001E-2</v>
      </c>
      <c r="P1695" s="4">
        <v>0</v>
      </c>
      <c r="Q1695" s="3" t="s">
        <v>26</v>
      </c>
      <c r="R1695" s="3">
        <v>0</v>
      </c>
      <c r="S1695" s="3" t="s">
        <v>542</v>
      </c>
      <c r="T1695" s="3" t="s">
        <v>823</v>
      </c>
      <c r="U1695" s="3">
        <v>0</v>
      </c>
      <c r="V1695" s="3">
        <v>42</v>
      </c>
      <c r="W1695" s="3">
        <v>59</v>
      </c>
    </row>
    <row r="1696" spans="1:23" ht="11.25" customHeight="1" x14ac:dyDescent="0.25">
      <c r="A1696" s="3" t="s">
        <v>21</v>
      </c>
      <c r="B1696" s="3" t="s">
        <v>37</v>
      </c>
      <c r="C1696" s="3" t="s">
        <v>33</v>
      </c>
      <c r="D1696" s="3" t="s">
        <v>38</v>
      </c>
      <c r="E1696" s="3" t="s">
        <v>25</v>
      </c>
      <c r="F1696" s="3" t="s">
        <v>25</v>
      </c>
      <c r="G1696" s="3" t="s">
        <v>25</v>
      </c>
      <c r="H1696" s="3" t="s">
        <v>34</v>
      </c>
      <c r="I1696" s="6">
        <v>44378</v>
      </c>
      <c r="J1696" s="4">
        <v>0</v>
      </c>
      <c r="K1696" s="4">
        <v>0</v>
      </c>
      <c r="L1696" s="4">
        <v>8.6999999999999994E-2</v>
      </c>
      <c r="M1696" s="4">
        <v>8.6999999999999994E-2</v>
      </c>
      <c r="N1696" s="4">
        <v>8.6999999999999994E-2</v>
      </c>
      <c r="O1696" s="4">
        <v>8.6999999999999994E-2</v>
      </c>
      <c r="P1696" s="4">
        <v>0</v>
      </c>
      <c r="Q1696" s="3" t="s">
        <v>26</v>
      </c>
      <c r="R1696" s="3">
        <v>0</v>
      </c>
      <c r="S1696" s="3" t="s">
        <v>543</v>
      </c>
      <c r="T1696" s="3" t="s">
        <v>824</v>
      </c>
      <c r="U1696" s="3">
        <v>0</v>
      </c>
      <c r="V1696" s="3">
        <v>42</v>
      </c>
      <c r="W1696" s="3">
        <v>59</v>
      </c>
    </row>
    <row r="1697" spans="1:23" ht="11.25" customHeight="1" x14ac:dyDescent="0.25">
      <c r="A1697" s="3" t="s">
        <v>21</v>
      </c>
      <c r="B1697" s="3" t="s">
        <v>37</v>
      </c>
      <c r="C1697" s="3" t="s">
        <v>33</v>
      </c>
      <c r="D1697" s="3" t="s">
        <v>38</v>
      </c>
      <c r="E1697" s="3" t="s">
        <v>25</v>
      </c>
      <c r="F1697" s="3" t="s">
        <v>25</v>
      </c>
      <c r="G1697" s="3" t="s">
        <v>25</v>
      </c>
      <c r="H1697" s="3" t="s">
        <v>34</v>
      </c>
      <c r="I1697" s="6">
        <v>44409</v>
      </c>
      <c r="J1697" s="4">
        <v>0</v>
      </c>
      <c r="K1697" s="4">
        <v>0</v>
      </c>
      <c r="L1697" s="4">
        <v>9.6000000000000002E-2</v>
      </c>
      <c r="M1697" s="4">
        <v>9.6000000000000002E-2</v>
      </c>
      <c r="N1697" s="4">
        <v>9.6000000000000002E-2</v>
      </c>
      <c r="O1697" s="4">
        <v>9.6000000000000002E-2</v>
      </c>
      <c r="P1697" s="4">
        <v>0</v>
      </c>
      <c r="Q1697" s="3" t="s">
        <v>26</v>
      </c>
      <c r="R1697" s="3">
        <v>0</v>
      </c>
      <c r="S1697" s="3" t="s">
        <v>544</v>
      </c>
      <c r="T1697" s="3" t="s">
        <v>825</v>
      </c>
      <c r="U1697" s="3">
        <v>0</v>
      </c>
      <c r="V1697" s="3">
        <v>42</v>
      </c>
      <c r="W1697" s="3">
        <v>59</v>
      </c>
    </row>
    <row r="1698" spans="1:23" ht="11.25" customHeight="1" x14ac:dyDescent="0.25">
      <c r="A1698" s="3" t="s">
        <v>21</v>
      </c>
      <c r="B1698" s="3" t="s">
        <v>37</v>
      </c>
      <c r="C1698" s="3" t="s">
        <v>33</v>
      </c>
      <c r="D1698" s="3" t="s">
        <v>38</v>
      </c>
      <c r="E1698" s="3" t="s">
        <v>25</v>
      </c>
      <c r="F1698" s="3" t="s">
        <v>25</v>
      </c>
      <c r="G1698" s="3" t="s">
        <v>25</v>
      </c>
      <c r="H1698" s="3" t="s">
        <v>34</v>
      </c>
      <c r="I1698" s="6">
        <v>44440</v>
      </c>
      <c r="J1698" s="4">
        <v>0</v>
      </c>
      <c r="K1698" s="4">
        <v>0</v>
      </c>
      <c r="L1698" s="4">
        <v>9.0999999999999998E-2</v>
      </c>
      <c r="M1698" s="4">
        <v>9.0999999999999998E-2</v>
      </c>
      <c r="N1698" s="4">
        <v>9.0999999999999998E-2</v>
      </c>
      <c r="O1698" s="4">
        <v>9.0999999999999998E-2</v>
      </c>
      <c r="P1698" s="4">
        <v>0</v>
      </c>
      <c r="Q1698" s="3" t="s">
        <v>26</v>
      </c>
      <c r="R1698" s="3">
        <v>0</v>
      </c>
      <c r="S1698" s="3" t="s">
        <v>545</v>
      </c>
      <c r="T1698" s="3" t="s">
        <v>826</v>
      </c>
      <c r="U1698" s="3">
        <v>0</v>
      </c>
      <c r="V1698" s="3">
        <v>42</v>
      </c>
      <c r="W1698" s="3">
        <v>59</v>
      </c>
    </row>
    <row r="1699" spans="1:23" ht="11.25" customHeight="1" x14ac:dyDescent="0.25">
      <c r="A1699" s="3" t="s">
        <v>21</v>
      </c>
      <c r="B1699" s="3" t="s">
        <v>37</v>
      </c>
      <c r="C1699" s="3" t="s">
        <v>33</v>
      </c>
      <c r="D1699" s="3" t="s">
        <v>38</v>
      </c>
      <c r="E1699" s="3" t="s">
        <v>25</v>
      </c>
      <c r="F1699" s="3" t="s">
        <v>25</v>
      </c>
      <c r="G1699" s="3" t="s">
        <v>25</v>
      </c>
      <c r="H1699" s="3" t="s">
        <v>34</v>
      </c>
      <c r="I1699" s="6">
        <v>44470</v>
      </c>
      <c r="J1699" s="4">
        <v>0</v>
      </c>
      <c r="K1699" s="4">
        <v>0</v>
      </c>
      <c r="L1699" s="4">
        <v>0.105</v>
      </c>
      <c r="M1699" s="4">
        <v>0.105</v>
      </c>
      <c r="N1699" s="4">
        <v>0.105</v>
      </c>
      <c r="O1699" s="4">
        <v>0.105</v>
      </c>
      <c r="P1699" s="4">
        <v>0</v>
      </c>
      <c r="Q1699" s="3" t="s">
        <v>26</v>
      </c>
      <c r="R1699" s="3">
        <v>0</v>
      </c>
      <c r="S1699" s="3" t="s">
        <v>546</v>
      </c>
      <c r="T1699" s="3" t="s">
        <v>827</v>
      </c>
      <c r="U1699" s="3">
        <v>0</v>
      </c>
      <c r="V1699" s="3">
        <v>42</v>
      </c>
      <c r="W1699" s="3">
        <v>59</v>
      </c>
    </row>
    <row r="1700" spans="1:23" ht="11.25" customHeight="1" x14ac:dyDescent="0.25">
      <c r="A1700" s="3" t="s">
        <v>21</v>
      </c>
      <c r="B1700" s="3" t="s">
        <v>37</v>
      </c>
      <c r="C1700" s="3" t="s">
        <v>33</v>
      </c>
      <c r="D1700" s="3" t="s">
        <v>38</v>
      </c>
      <c r="E1700" s="3" t="s">
        <v>25</v>
      </c>
      <c r="F1700" s="3" t="s">
        <v>25</v>
      </c>
      <c r="G1700" s="3" t="s">
        <v>25</v>
      </c>
      <c r="H1700" s="3" t="s">
        <v>34</v>
      </c>
      <c r="I1700" s="6">
        <v>44501</v>
      </c>
      <c r="J1700" s="4">
        <v>0</v>
      </c>
      <c r="K1700" s="4">
        <v>0</v>
      </c>
      <c r="L1700" s="4">
        <v>0.10299999999999999</v>
      </c>
      <c r="M1700" s="4">
        <v>0.10299999999999999</v>
      </c>
      <c r="N1700" s="4">
        <v>0.10299999999999999</v>
      </c>
      <c r="O1700" s="4">
        <v>0.10299999999999999</v>
      </c>
      <c r="P1700" s="4">
        <v>0</v>
      </c>
      <c r="Q1700" s="3" t="s">
        <v>26</v>
      </c>
      <c r="R1700" s="3">
        <v>0</v>
      </c>
      <c r="S1700" s="3" t="s">
        <v>547</v>
      </c>
      <c r="T1700" s="3" t="s">
        <v>828</v>
      </c>
      <c r="U1700" s="3">
        <v>0</v>
      </c>
      <c r="V1700" s="3">
        <v>42</v>
      </c>
      <c r="W1700" s="3">
        <v>59</v>
      </c>
    </row>
    <row r="1701" spans="1:23" ht="11.25" customHeight="1" x14ac:dyDescent="0.25">
      <c r="A1701" s="3" t="s">
        <v>21</v>
      </c>
      <c r="B1701" s="3" t="s">
        <v>37</v>
      </c>
      <c r="C1701" s="3" t="s">
        <v>33</v>
      </c>
      <c r="D1701" s="3" t="s">
        <v>38</v>
      </c>
      <c r="E1701" s="3" t="s">
        <v>25</v>
      </c>
      <c r="F1701" s="3" t="s">
        <v>25</v>
      </c>
      <c r="G1701" s="3" t="s">
        <v>25</v>
      </c>
      <c r="H1701" s="3" t="s">
        <v>34</v>
      </c>
      <c r="I1701" s="6">
        <v>44531</v>
      </c>
      <c r="J1701" s="4">
        <v>0</v>
      </c>
      <c r="K1701" s="4">
        <v>0</v>
      </c>
      <c r="L1701" s="4">
        <v>0.11</v>
      </c>
      <c r="M1701" s="4">
        <v>0.11</v>
      </c>
      <c r="N1701" s="4">
        <v>0.11</v>
      </c>
      <c r="O1701" s="4">
        <v>0.11</v>
      </c>
      <c r="P1701" s="4">
        <v>0</v>
      </c>
      <c r="Q1701" s="3" t="s">
        <v>26</v>
      </c>
      <c r="R1701" s="3">
        <v>0</v>
      </c>
      <c r="S1701" s="3" t="s">
        <v>548</v>
      </c>
      <c r="T1701" s="3" t="s">
        <v>829</v>
      </c>
      <c r="U1701" s="3">
        <v>0</v>
      </c>
      <c r="V1701" s="3">
        <v>42</v>
      </c>
      <c r="W1701" s="3">
        <v>59</v>
      </c>
    </row>
    <row r="1702" spans="1:23" ht="11.25" customHeight="1" x14ac:dyDescent="0.25">
      <c r="A1702" s="3" t="s">
        <v>21</v>
      </c>
      <c r="B1702" s="3" t="s">
        <v>37</v>
      </c>
      <c r="C1702" s="3" t="s">
        <v>33</v>
      </c>
      <c r="D1702" s="3" t="s">
        <v>38</v>
      </c>
      <c r="E1702" s="3" t="s">
        <v>25</v>
      </c>
      <c r="F1702" s="3" t="s">
        <v>25</v>
      </c>
      <c r="G1702" s="3" t="s">
        <v>25</v>
      </c>
      <c r="H1702" s="3" t="s">
        <v>34</v>
      </c>
      <c r="I1702" s="6">
        <v>44562</v>
      </c>
      <c r="J1702" s="4">
        <v>0</v>
      </c>
      <c r="K1702" s="4">
        <v>0</v>
      </c>
      <c r="L1702" s="4">
        <v>0.107</v>
      </c>
      <c r="M1702" s="4">
        <v>0.107</v>
      </c>
      <c r="N1702" s="4">
        <v>0.107</v>
      </c>
      <c r="O1702" s="4">
        <v>0.107</v>
      </c>
      <c r="P1702" s="4">
        <v>0</v>
      </c>
      <c r="Q1702" s="3" t="s">
        <v>26</v>
      </c>
      <c r="R1702" s="3">
        <v>0</v>
      </c>
      <c r="S1702" s="3" t="s">
        <v>549</v>
      </c>
      <c r="T1702" s="3" t="s">
        <v>830</v>
      </c>
      <c r="U1702" s="3">
        <v>0</v>
      </c>
      <c r="V1702" s="3">
        <v>42</v>
      </c>
      <c r="W1702" s="3">
        <v>59</v>
      </c>
    </row>
    <row r="1703" spans="1:23" ht="11.25" customHeight="1" x14ac:dyDescent="0.25">
      <c r="A1703" s="3" t="s">
        <v>21</v>
      </c>
      <c r="B1703" s="3" t="s">
        <v>37</v>
      </c>
      <c r="C1703" s="3" t="s">
        <v>33</v>
      </c>
      <c r="D1703" s="3" t="s">
        <v>38</v>
      </c>
      <c r="E1703" s="3" t="s">
        <v>25</v>
      </c>
      <c r="F1703" s="3" t="s">
        <v>25</v>
      </c>
      <c r="G1703" s="3" t="s">
        <v>25</v>
      </c>
      <c r="H1703" s="3" t="s">
        <v>34</v>
      </c>
      <c r="I1703" s="6">
        <v>44593</v>
      </c>
      <c r="J1703" s="4">
        <v>0</v>
      </c>
      <c r="K1703" s="4">
        <v>0</v>
      </c>
      <c r="L1703" s="4">
        <v>0.13400000000000001</v>
      </c>
      <c r="M1703" s="4">
        <v>0.13400000000000001</v>
      </c>
      <c r="N1703" s="4">
        <v>0.13400000000000001</v>
      </c>
      <c r="O1703" s="4">
        <v>0.13400000000000001</v>
      </c>
      <c r="P1703" s="4">
        <v>0</v>
      </c>
      <c r="Q1703" s="3" t="s">
        <v>26</v>
      </c>
      <c r="R1703" s="3">
        <v>0</v>
      </c>
      <c r="S1703" s="3" t="s">
        <v>550</v>
      </c>
      <c r="T1703" s="3" t="s">
        <v>831</v>
      </c>
      <c r="U1703" s="3">
        <v>0</v>
      </c>
      <c r="V1703" s="3">
        <v>42</v>
      </c>
      <c r="W1703" s="3">
        <v>59</v>
      </c>
    </row>
    <row r="1704" spans="1:23" ht="11.25" customHeight="1" x14ac:dyDescent="0.25">
      <c r="A1704" s="3" t="s">
        <v>56</v>
      </c>
      <c r="B1704" s="3" t="s">
        <v>37</v>
      </c>
      <c r="C1704" s="3" t="s">
        <v>33</v>
      </c>
      <c r="D1704" s="3" t="s">
        <v>38</v>
      </c>
      <c r="E1704" s="3" t="s">
        <v>25</v>
      </c>
      <c r="F1704" s="3" t="s">
        <v>25</v>
      </c>
      <c r="G1704" s="3" t="s">
        <v>25</v>
      </c>
      <c r="H1704" s="3" t="s">
        <v>34</v>
      </c>
      <c r="I1704" s="6">
        <v>44621</v>
      </c>
      <c r="J1704" s="4">
        <v>0</v>
      </c>
      <c r="K1704" s="4">
        <v>0</v>
      </c>
      <c r="L1704" s="4">
        <v>0.13400000000000001</v>
      </c>
      <c r="M1704" s="4">
        <v>0.13400000000000001</v>
      </c>
      <c r="N1704" s="4">
        <v>0.13400000000000001</v>
      </c>
      <c r="O1704" s="4">
        <v>0.13400000000000001</v>
      </c>
      <c r="P1704" s="4">
        <v>0</v>
      </c>
      <c r="Q1704" s="3" t="s">
        <v>26</v>
      </c>
      <c r="R1704" s="3">
        <v>0</v>
      </c>
      <c r="S1704" s="3" t="s">
        <v>551</v>
      </c>
      <c r="T1704" s="3" t="s">
        <v>832</v>
      </c>
      <c r="U1704" s="3">
        <v>0</v>
      </c>
      <c r="V1704" s="3">
        <v>42</v>
      </c>
      <c r="W1704" s="3">
        <v>59</v>
      </c>
    </row>
    <row r="1705" spans="1:23" ht="11.25" customHeight="1" x14ac:dyDescent="0.25">
      <c r="A1705" s="3" t="s">
        <v>21</v>
      </c>
      <c r="B1705" s="3" t="s">
        <v>37</v>
      </c>
      <c r="C1705" s="3" t="s">
        <v>23</v>
      </c>
      <c r="D1705" s="3" t="s">
        <v>43</v>
      </c>
      <c r="E1705" s="3" t="s">
        <v>25</v>
      </c>
      <c r="F1705" s="3" t="s">
        <v>25</v>
      </c>
      <c r="G1705" s="3" t="s">
        <v>25</v>
      </c>
      <c r="H1705" s="3" t="s">
        <v>25</v>
      </c>
      <c r="I1705" s="6">
        <v>44287</v>
      </c>
      <c r="J1705" s="4">
        <v>0</v>
      </c>
      <c r="K1705" s="4">
        <v>0</v>
      </c>
      <c r="L1705" s="4">
        <v>21437.172999999999</v>
      </c>
      <c r="M1705" s="4">
        <v>21437.172999999999</v>
      </c>
      <c r="N1705" s="4">
        <v>21437.172999999999</v>
      </c>
      <c r="O1705" s="4">
        <v>21437.172999999999</v>
      </c>
      <c r="P1705" s="4">
        <v>43343</v>
      </c>
      <c r="Q1705" s="3" t="s">
        <v>26</v>
      </c>
      <c r="R1705" s="3">
        <v>0</v>
      </c>
      <c r="S1705" s="3" t="s">
        <v>552</v>
      </c>
      <c r="T1705" s="3" t="s">
        <v>833</v>
      </c>
      <c r="U1705" s="3">
        <v>0</v>
      </c>
      <c r="V1705" s="3">
        <v>84</v>
      </c>
      <c r="W1705" s="3">
        <v>7</v>
      </c>
    </row>
    <row r="1706" spans="1:23" ht="11.25" customHeight="1" x14ac:dyDescent="0.25">
      <c r="A1706" s="3" t="s">
        <v>27</v>
      </c>
      <c r="B1706" s="3" t="s">
        <v>37</v>
      </c>
      <c r="C1706" s="3" t="s">
        <v>23</v>
      </c>
      <c r="D1706" s="3" t="s">
        <v>43</v>
      </c>
      <c r="E1706" s="3" t="s">
        <v>25</v>
      </c>
      <c r="F1706" s="3" t="s">
        <v>25</v>
      </c>
      <c r="G1706" s="3" t="s">
        <v>25</v>
      </c>
      <c r="H1706" s="3" t="s">
        <v>25</v>
      </c>
      <c r="I1706" s="6">
        <v>44287</v>
      </c>
      <c r="J1706" s="4">
        <v>0</v>
      </c>
      <c r="K1706" s="4">
        <v>0</v>
      </c>
      <c r="L1706" s="4">
        <v>-108.08199999999999</v>
      </c>
      <c r="M1706" s="4">
        <v>-108.08199999999999</v>
      </c>
      <c r="N1706" s="4">
        <v>-108.08199999999999</v>
      </c>
      <c r="O1706" s="4">
        <v>-108.08199999999999</v>
      </c>
      <c r="P1706" s="4">
        <v>-18</v>
      </c>
      <c r="Q1706" s="3" t="s">
        <v>26</v>
      </c>
      <c r="R1706" s="3">
        <v>0</v>
      </c>
      <c r="S1706" s="3" t="s">
        <v>552</v>
      </c>
      <c r="T1706" s="3" t="s">
        <v>833</v>
      </c>
      <c r="U1706" s="3">
        <v>0</v>
      </c>
      <c r="V1706" s="3">
        <v>84</v>
      </c>
      <c r="W1706" s="3">
        <v>7</v>
      </c>
    </row>
    <row r="1707" spans="1:23" ht="11.25" customHeight="1" x14ac:dyDescent="0.25">
      <c r="A1707" s="3" t="s">
        <v>28</v>
      </c>
      <c r="B1707" s="3" t="s">
        <v>37</v>
      </c>
      <c r="C1707" s="3" t="s">
        <v>23</v>
      </c>
      <c r="D1707" s="3" t="s">
        <v>43</v>
      </c>
      <c r="E1707" s="3" t="s">
        <v>25</v>
      </c>
      <c r="F1707" s="3" t="s">
        <v>25</v>
      </c>
      <c r="G1707" s="3" t="s">
        <v>25</v>
      </c>
      <c r="H1707" s="3" t="s">
        <v>25</v>
      </c>
      <c r="I1707" s="6">
        <v>44287</v>
      </c>
      <c r="J1707" s="4">
        <v>0</v>
      </c>
      <c r="K1707" s="4">
        <v>0</v>
      </c>
      <c r="L1707" s="4">
        <v>1304.846</v>
      </c>
      <c r="M1707" s="4">
        <v>1304.846</v>
      </c>
      <c r="N1707" s="4">
        <v>1304.846</v>
      </c>
      <c r="O1707" s="4">
        <v>1304.846</v>
      </c>
      <c r="P1707" s="4">
        <v>1593</v>
      </c>
      <c r="Q1707" s="3" t="s">
        <v>26</v>
      </c>
      <c r="R1707" s="3">
        <v>0</v>
      </c>
      <c r="S1707" s="3" t="s">
        <v>552</v>
      </c>
      <c r="T1707" s="3" t="s">
        <v>833</v>
      </c>
      <c r="U1707" s="3">
        <v>0</v>
      </c>
      <c r="V1707" s="3">
        <v>84</v>
      </c>
      <c r="W1707" s="3">
        <v>7</v>
      </c>
    </row>
    <row r="1708" spans="1:23" ht="11.25" customHeight="1" x14ac:dyDescent="0.25">
      <c r="A1708" s="3" t="s">
        <v>28</v>
      </c>
      <c r="B1708" s="3" t="s">
        <v>37</v>
      </c>
      <c r="C1708" s="3" t="s">
        <v>23</v>
      </c>
      <c r="D1708" s="3" t="s">
        <v>43</v>
      </c>
      <c r="E1708" s="3" t="s">
        <v>25</v>
      </c>
      <c r="F1708" s="3" t="s">
        <v>25</v>
      </c>
      <c r="G1708" s="3" t="s">
        <v>25</v>
      </c>
      <c r="H1708" s="3" t="s">
        <v>25</v>
      </c>
      <c r="I1708" s="6">
        <v>44287</v>
      </c>
      <c r="J1708" s="4">
        <v>0</v>
      </c>
      <c r="K1708" s="4">
        <v>0</v>
      </c>
      <c r="L1708" s="4">
        <v>-1.081</v>
      </c>
      <c r="M1708" s="4">
        <v>-1.081</v>
      </c>
      <c r="N1708" s="4">
        <v>-1.081</v>
      </c>
      <c r="O1708" s="4">
        <v>-1.081</v>
      </c>
      <c r="P1708" s="4">
        <v>0</v>
      </c>
      <c r="Q1708" s="3" t="s">
        <v>26</v>
      </c>
      <c r="R1708" s="3">
        <v>0</v>
      </c>
      <c r="S1708" s="3" t="s">
        <v>552</v>
      </c>
      <c r="T1708" s="3" t="s">
        <v>833</v>
      </c>
      <c r="U1708" s="3">
        <v>0</v>
      </c>
      <c r="V1708" s="3">
        <v>84</v>
      </c>
      <c r="W1708" s="3">
        <v>7</v>
      </c>
    </row>
    <row r="1709" spans="1:23" ht="11.25" customHeight="1" x14ac:dyDescent="0.25">
      <c r="A1709" s="3" t="s">
        <v>21</v>
      </c>
      <c r="B1709" s="3" t="s">
        <v>37</v>
      </c>
      <c r="C1709" s="3" t="s">
        <v>23</v>
      </c>
      <c r="D1709" s="3" t="s">
        <v>43</v>
      </c>
      <c r="E1709" s="3" t="s">
        <v>25</v>
      </c>
      <c r="F1709" s="3" t="s">
        <v>25</v>
      </c>
      <c r="G1709" s="3" t="s">
        <v>25</v>
      </c>
      <c r="H1709" s="3" t="s">
        <v>25</v>
      </c>
      <c r="I1709" s="6">
        <v>44317</v>
      </c>
      <c r="J1709" s="4">
        <v>0</v>
      </c>
      <c r="K1709" s="4">
        <v>0</v>
      </c>
      <c r="L1709" s="4">
        <v>19891.690999999999</v>
      </c>
      <c r="M1709" s="4">
        <v>19891.690999999999</v>
      </c>
      <c r="N1709" s="4">
        <v>19891.690999999999</v>
      </c>
      <c r="O1709" s="4">
        <v>19891.690999999999</v>
      </c>
      <c r="P1709" s="4">
        <v>43279</v>
      </c>
      <c r="Q1709" s="3" t="s">
        <v>26</v>
      </c>
      <c r="R1709" s="3">
        <v>0</v>
      </c>
      <c r="S1709" s="3" t="s">
        <v>553</v>
      </c>
      <c r="T1709" s="3" t="s">
        <v>834</v>
      </c>
      <c r="U1709" s="3">
        <v>0</v>
      </c>
      <c r="V1709" s="3">
        <v>84</v>
      </c>
      <c r="W1709" s="3">
        <v>7</v>
      </c>
    </row>
    <row r="1710" spans="1:23" ht="11.25" customHeight="1" x14ac:dyDescent="0.25">
      <c r="A1710" s="3" t="s">
        <v>27</v>
      </c>
      <c r="B1710" s="3" t="s">
        <v>37</v>
      </c>
      <c r="C1710" s="3" t="s">
        <v>23</v>
      </c>
      <c r="D1710" s="3" t="s">
        <v>43</v>
      </c>
      <c r="E1710" s="3" t="s">
        <v>25</v>
      </c>
      <c r="F1710" s="3" t="s">
        <v>25</v>
      </c>
      <c r="G1710" s="3" t="s">
        <v>25</v>
      </c>
      <c r="H1710" s="3" t="s">
        <v>25</v>
      </c>
      <c r="I1710" s="6">
        <v>44317</v>
      </c>
      <c r="J1710" s="4">
        <v>0</v>
      </c>
      <c r="K1710" s="4">
        <v>0</v>
      </c>
      <c r="L1710" s="4">
        <v>-135.714</v>
      </c>
      <c r="M1710" s="4">
        <v>-135.714</v>
      </c>
      <c r="N1710" s="4">
        <v>-135.714</v>
      </c>
      <c r="O1710" s="4">
        <v>-135.714</v>
      </c>
      <c r="P1710" s="4">
        <v>-10</v>
      </c>
      <c r="Q1710" s="3" t="s">
        <v>26</v>
      </c>
      <c r="R1710" s="3">
        <v>0</v>
      </c>
      <c r="S1710" s="3" t="s">
        <v>553</v>
      </c>
      <c r="T1710" s="3" t="s">
        <v>834</v>
      </c>
      <c r="U1710" s="3">
        <v>0</v>
      </c>
      <c r="V1710" s="3">
        <v>84</v>
      </c>
      <c r="W1710" s="3">
        <v>7</v>
      </c>
    </row>
    <row r="1711" spans="1:23" ht="11.25" customHeight="1" x14ac:dyDescent="0.25">
      <c r="A1711" s="3" t="s">
        <v>28</v>
      </c>
      <c r="B1711" s="3" t="s">
        <v>37</v>
      </c>
      <c r="C1711" s="3" t="s">
        <v>23</v>
      </c>
      <c r="D1711" s="3" t="s">
        <v>43</v>
      </c>
      <c r="E1711" s="3" t="s">
        <v>25</v>
      </c>
      <c r="F1711" s="3" t="s">
        <v>25</v>
      </c>
      <c r="G1711" s="3" t="s">
        <v>25</v>
      </c>
      <c r="H1711" s="3" t="s">
        <v>25</v>
      </c>
      <c r="I1711" s="6">
        <v>44317</v>
      </c>
      <c r="J1711" s="4">
        <v>0</v>
      </c>
      <c r="K1711" s="4">
        <v>0</v>
      </c>
      <c r="L1711" s="4">
        <v>1190.616</v>
      </c>
      <c r="M1711" s="4">
        <v>1190.616</v>
      </c>
      <c r="N1711" s="4">
        <v>1190.616</v>
      </c>
      <c r="O1711" s="4">
        <v>1190.616</v>
      </c>
      <c r="P1711" s="4">
        <v>1632</v>
      </c>
      <c r="Q1711" s="3" t="s">
        <v>26</v>
      </c>
      <c r="R1711" s="3">
        <v>0</v>
      </c>
      <c r="S1711" s="3" t="s">
        <v>553</v>
      </c>
      <c r="T1711" s="3" t="s">
        <v>834</v>
      </c>
      <c r="U1711" s="3">
        <v>0</v>
      </c>
      <c r="V1711" s="3">
        <v>84</v>
      </c>
      <c r="W1711" s="3">
        <v>7</v>
      </c>
    </row>
    <row r="1712" spans="1:23" ht="11.25" customHeight="1" x14ac:dyDescent="0.25">
      <c r="A1712" s="3" t="s">
        <v>21</v>
      </c>
      <c r="B1712" s="3" t="s">
        <v>37</v>
      </c>
      <c r="C1712" s="3" t="s">
        <v>23</v>
      </c>
      <c r="D1712" s="3" t="s">
        <v>43</v>
      </c>
      <c r="E1712" s="3" t="s">
        <v>25</v>
      </c>
      <c r="F1712" s="3" t="s">
        <v>25</v>
      </c>
      <c r="G1712" s="3" t="s">
        <v>25</v>
      </c>
      <c r="H1712" s="3" t="s">
        <v>25</v>
      </c>
      <c r="I1712" s="6">
        <v>44348</v>
      </c>
      <c r="J1712" s="4">
        <v>0</v>
      </c>
      <c r="K1712" s="4">
        <v>0</v>
      </c>
      <c r="L1712" s="4">
        <v>19684.055</v>
      </c>
      <c r="M1712" s="4">
        <v>19684.055</v>
      </c>
      <c r="N1712" s="4">
        <v>19684.055</v>
      </c>
      <c r="O1712" s="4">
        <v>19684.055</v>
      </c>
      <c r="P1712" s="4">
        <v>43297</v>
      </c>
      <c r="Q1712" s="3" t="s">
        <v>26</v>
      </c>
      <c r="R1712" s="3">
        <v>0</v>
      </c>
      <c r="S1712" s="3" t="s">
        <v>554</v>
      </c>
      <c r="T1712" s="3" t="s">
        <v>835</v>
      </c>
      <c r="U1712" s="3">
        <v>0</v>
      </c>
      <c r="V1712" s="3">
        <v>84</v>
      </c>
      <c r="W1712" s="3">
        <v>7</v>
      </c>
    </row>
    <row r="1713" spans="1:23" ht="11.25" customHeight="1" x14ac:dyDescent="0.25">
      <c r="A1713" s="3" t="s">
        <v>27</v>
      </c>
      <c r="B1713" s="3" t="s">
        <v>37</v>
      </c>
      <c r="C1713" s="3" t="s">
        <v>23</v>
      </c>
      <c r="D1713" s="3" t="s">
        <v>43</v>
      </c>
      <c r="E1713" s="3" t="s">
        <v>25</v>
      </c>
      <c r="F1713" s="3" t="s">
        <v>25</v>
      </c>
      <c r="G1713" s="3" t="s">
        <v>25</v>
      </c>
      <c r="H1713" s="3" t="s">
        <v>25</v>
      </c>
      <c r="I1713" s="6">
        <v>44348</v>
      </c>
      <c r="J1713" s="4">
        <v>0</v>
      </c>
      <c r="K1713" s="4">
        <v>0</v>
      </c>
      <c r="L1713" s="4">
        <v>-125.229</v>
      </c>
      <c r="M1713" s="4">
        <v>-125.229</v>
      </c>
      <c r="N1713" s="4">
        <v>-125.229</v>
      </c>
      <c r="O1713" s="4">
        <v>-125.229</v>
      </c>
      <c r="P1713" s="4">
        <v>-12</v>
      </c>
      <c r="Q1713" s="3" t="s">
        <v>26</v>
      </c>
      <c r="R1713" s="3">
        <v>0</v>
      </c>
      <c r="S1713" s="3" t="s">
        <v>554</v>
      </c>
      <c r="T1713" s="3" t="s">
        <v>835</v>
      </c>
      <c r="U1713" s="3">
        <v>0</v>
      </c>
      <c r="V1713" s="3">
        <v>84</v>
      </c>
      <c r="W1713" s="3">
        <v>7</v>
      </c>
    </row>
    <row r="1714" spans="1:23" ht="11.25" customHeight="1" x14ac:dyDescent="0.25">
      <c r="A1714" s="3" t="s">
        <v>28</v>
      </c>
      <c r="B1714" s="3" t="s">
        <v>37</v>
      </c>
      <c r="C1714" s="3" t="s">
        <v>23</v>
      </c>
      <c r="D1714" s="3" t="s">
        <v>43</v>
      </c>
      <c r="E1714" s="3" t="s">
        <v>25</v>
      </c>
      <c r="F1714" s="3" t="s">
        <v>25</v>
      </c>
      <c r="G1714" s="3" t="s">
        <v>25</v>
      </c>
      <c r="H1714" s="3" t="s">
        <v>25</v>
      </c>
      <c r="I1714" s="6">
        <v>44348</v>
      </c>
      <c r="J1714" s="4">
        <v>0</v>
      </c>
      <c r="K1714" s="4">
        <v>0</v>
      </c>
      <c r="L1714" s="4">
        <v>1159.0909999999999</v>
      </c>
      <c r="M1714" s="4">
        <v>1159.0909999999999</v>
      </c>
      <c r="N1714" s="4">
        <v>1159.0909999999999</v>
      </c>
      <c r="O1714" s="4">
        <v>1159.0909999999999</v>
      </c>
      <c r="P1714" s="4">
        <v>1680</v>
      </c>
      <c r="Q1714" s="3" t="s">
        <v>26</v>
      </c>
      <c r="R1714" s="3">
        <v>0</v>
      </c>
      <c r="S1714" s="3" t="s">
        <v>554</v>
      </c>
      <c r="T1714" s="3" t="s">
        <v>835</v>
      </c>
      <c r="U1714" s="3">
        <v>0</v>
      </c>
      <c r="V1714" s="3">
        <v>84</v>
      </c>
      <c r="W1714" s="3">
        <v>7</v>
      </c>
    </row>
    <row r="1715" spans="1:23" ht="11.25" customHeight="1" x14ac:dyDescent="0.25">
      <c r="A1715" s="3" t="s">
        <v>28</v>
      </c>
      <c r="B1715" s="3" t="s">
        <v>37</v>
      </c>
      <c r="C1715" s="3" t="s">
        <v>23</v>
      </c>
      <c r="D1715" s="3" t="s">
        <v>43</v>
      </c>
      <c r="E1715" s="3" t="s">
        <v>25</v>
      </c>
      <c r="F1715" s="3" t="s">
        <v>25</v>
      </c>
      <c r="G1715" s="3" t="s">
        <v>25</v>
      </c>
      <c r="H1715" s="3" t="s">
        <v>25</v>
      </c>
      <c r="I1715" s="6">
        <v>44348</v>
      </c>
      <c r="J1715" s="4">
        <v>0</v>
      </c>
      <c r="K1715" s="4">
        <v>0</v>
      </c>
      <c r="L1715" s="4">
        <v>-1.337</v>
      </c>
      <c r="M1715" s="4">
        <v>-1.337</v>
      </c>
      <c r="N1715" s="4">
        <v>-1.337</v>
      </c>
      <c r="O1715" s="4">
        <v>-1.337</v>
      </c>
      <c r="P1715" s="4">
        <v>0</v>
      </c>
      <c r="Q1715" s="3" t="s">
        <v>26</v>
      </c>
      <c r="R1715" s="3">
        <v>0</v>
      </c>
      <c r="S1715" s="3" t="s">
        <v>554</v>
      </c>
      <c r="T1715" s="3" t="s">
        <v>835</v>
      </c>
      <c r="U1715" s="3">
        <v>0</v>
      </c>
      <c r="V1715" s="3">
        <v>84</v>
      </c>
      <c r="W1715" s="3">
        <v>7</v>
      </c>
    </row>
    <row r="1716" spans="1:23" ht="11.25" customHeight="1" x14ac:dyDescent="0.25">
      <c r="A1716" s="3" t="s">
        <v>21</v>
      </c>
      <c r="B1716" s="3" t="s">
        <v>37</v>
      </c>
      <c r="C1716" s="3" t="s">
        <v>23</v>
      </c>
      <c r="D1716" s="3" t="s">
        <v>43</v>
      </c>
      <c r="E1716" s="3" t="s">
        <v>25</v>
      </c>
      <c r="F1716" s="3" t="s">
        <v>25</v>
      </c>
      <c r="G1716" s="3" t="s">
        <v>25</v>
      </c>
      <c r="H1716" s="3" t="s">
        <v>25</v>
      </c>
      <c r="I1716" s="6">
        <v>44378</v>
      </c>
      <c r="J1716" s="4">
        <v>0</v>
      </c>
      <c r="K1716" s="4">
        <v>0</v>
      </c>
      <c r="L1716" s="4">
        <v>19330.27</v>
      </c>
      <c r="M1716" s="4">
        <v>19330.27</v>
      </c>
      <c r="N1716" s="4">
        <v>19330.27</v>
      </c>
      <c r="O1716" s="4">
        <v>19330.27</v>
      </c>
      <c r="P1716" s="4">
        <v>43276</v>
      </c>
      <c r="Q1716" s="3" t="s">
        <v>26</v>
      </c>
      <c r="R1716" s="3">
        <v>0</v>
      </c>
      <c r="S1716" s="3" t="s">
        <v>555</v>
      </c>
      <c r="T1716" s="3" t="s">
        <v>836</v>
      </c>
      <c r="U1716" s="3">
        <v>0</v>
      </c>
      <c r="V1716" s="3">
        <v>84</v>
      </c>
      <c r="W1716" s="3">
        <v>7</v>
      </c>
    </row>
    <row r="1717" spans="1:23" ht="11.25" customHeight="1" x14ac:dyDescent="0.25">
      <c r="A1717" s="3" t="s">
        <v>27</v>
      </c>
      <c r="B1717" s="3" t="s">
        <v>37</v>
      </c>
      <c r="C1717" s="3" t="s">
        <v>23</v>
      </c>
      <c r="D1717" s="3" t="s">
        <v>43</v>
      </c>
      <c r="E1717" s="3" t="s">
        <v>25</v>
      </c>
      <c r="F1717" s="3" t="s">
        <v>25</v>
      </c>
      <c r="G1717" s="3" t="s">
        <v>25</v>
      </c>
      <c r="H1717" s="3" t="s">
        <v>25</v>
      </c>
      <c r="I1717" s="6">
        <v>44378</v>
      </c>
      <c r="J1717" s="4">
        <v>0</v>
      </c>
      <c r="K1717" s="4">
        <v>0</v>
      </c>
      <c r="L1717" s="4">
        <v>-6.5590000000000002</v>
      </c>
      <c r="M1717" s="4">
        <v>-6.5590000000000002</v>
      </c>
      <c r="N1717" s="4">
        <v>-6.5590000000000002</v>
      </c>
      <c r="O1717" s="4">
        <v>-6.5590000000000002</v>
      </c>
      <c r="P1717" s="4">
        <v>-16</v>
      </c>
      <c r="Q1717" s="3" t="s">
        <v>26</v>
      </c>
      <c r="R1717" s="3">
        <v>0</v>
      </c>
      <c r="S1717" s="3" t="s">
        <v>555</v>
      </c>
      <c r="T1717" s="3" t="s">
        <v>836</v>
      </c>
      <c r="U1717" s="3">
        <v>0</v>
      </c>
      <c r="V1717" s="3">
        <v>84</v>
      </c>
      <c r="W1717" s="3">
        <v>7</v>
      </c>
    </row>
    <row r="1718" spans="1:23" ht="11.25" customHeight="1" x14ac:dyDescent="0.25">
      <c r="A1718" s="3" t="s">
        <v>28</v>
      </c>
      <c r="B1718" s="3" t="s">
        <v>37</v>
      </c>
      <c r="C1718" s="3" t="s">
        <v>23</v>
      </c>
      <c r="D1718" s="3" t="s">
        <v>43</v>
      </c>
      <c r="E1718" s="3" t="s">
        <v>25</v>
      </c>
      <c r="F1718" s="3" t="s">
        <v>25</v>
      </c>
      <c r="G1718" s="3" t="s">
        <v>25</v>
      </c>
      <c r="H1718" s="3" t="s">
        <v>25</v>
      </c>
      <c r="I1718" s="6">
        <v>44378</v>
      </c>
      <c r="J1718" s="4">
        <v>0</v>
      </c>
      <c r="K1718" s="4">
        <v>0</v>
      </c>
      <c r="L1718" s="4">
        <v>1196.0029999999999</v>
      </c>
      <c r="M1718" s="4">
        <v>1196.0029999999999</v>
      </c>
      <c r="N1718" s="4">
        <v>1196.0029999999999</v>
      </c>
      <c r="O1718" s="4">
        <v>1196.0029999999999</v>
      </c>
      <c r="P1718" s="4">
        <v>1714</v>
      </c>
      <c r="Q1718" s="3" t="s">
        <v>26</v>
      </c>
      <c r="R1718" s="3">
        <v>0</v>
      </c>
      <c r="S1718" s="3" t="s">
        <v>555</v>
      </c>
      <c r="T1718" s="3" t="s">
        <v>836</v>
      </c>
      <c r="U1718" s="3">
        <v>0</v>
      </c>
      <c r="V1718" s="3">
        <v>84</v>
      </c>
      <c r="W1718" s="3">
        <v>7</v>
      </c>
    </row>
    <row r="1719" spans="1:23" ht="11.25" customHeight="1" x14ac:dyDescent="0.25">
      <c r="A1719" s="3" t="s">
        <v>28</v>
      </c>
      <c r="B1719" s="3" t="s">
        <v>37</v>
      </c>
      <c r="C1719" s="3" t="s">
        <v>23</v>
      </c>
      <c r="D1719" s="3" t="s">
        <v>43</v>
      </c>
      <c r="E1719" s="3" t="s">
        <v>25</v>
      </c>
      <c r="F1719" s="3" t="s">
        <v>25</v>
      </c>
      <c r="G1719" s="3" t="s">
        <v>25</v>
      </c>
      <c r="H1719" s="3" t="s">
        <v>25</v>
      </c>
      <c r="I1719" s="6">
        <v>44378</v>
      </c>
      <c r="J1719" s="4">
        <v>0</v>
      </c>
      <c r="K1719" s="4">
        <v>0</v>
      </c>
      <c r="L1719" s="4">
        <v>-21.298999999999999</v>
      </c>
      <c r="M1719" s="4">
        <v>-21.298999999999999</v>
      </c>
      <c r="N1719" s="4">
        <v>-21.298999999999999</v>
      </c>
      <c r="O1719" s="4">
        <v>-21.298999999999999</v>
      </c>
      <c r="P1719" s="4">
        <v>0</v>
      </c>
      <c r="Q1719" s="3" t="s">
        <v>26</v>
      </c>
      <c r="R1719" s="3">
        <v>0</v>
      </c>
      <c r="S1719" s="3" t="s">
        <v>555</v>
      </c>
      <c r="T1719" s="3" t="s">
        <v>836</v>
      </c>
      <c r="U1719" s="3">
        <v>0</v>
      </c>
      <c r="V1719" s="3">
        <v>84</v>
      </c>
      <c r="W1719" s="3">
        <v>7</v>
      </c>
    </row>
    <row r="1720" spans="1:23" ht="11.25" customHeight="1" x14ac:dyDescent="0.25">
      <c r="A1720" s="3" t="s">
        <v>21</v>
      </c>
      <c r="B1720" s="3" t="s">
        <v>37</v>
      </c>
      <c r="C1720" s="3" t="s">
        <v>23</v>
      </c>
      <c r="D1720" s="3" t="s">
        <v>43</v>
      </c>
      <c r="E1720" s="3" t="s">
        <v>25</v>
      </c>
      <c r="F1720" s="3" t="s">
        <v>25</v>
      </c>
      <c r="G1720" s="3" t="s">
        <v>25</v>
      </c>
      <c r="H1720" s="3" t="s">
        <v>25</v>
      </c>
      <c r="I1720" s="6">
        <v>44409</v>
      </c>
      <c r="J1720" s="4">
        <v>0</v>
      </c>
      <c r="K1720" s="4">
        <v>0</v>
      </c>
      <c r="L1720" s="4">
        <v>19158.03</v>
      </c>
      <c r="M1720" s="4">
        <v>19158.03</v>
      </c>
      <c r="N1720" s="4">
        <v>19158.03</v>
      </c>
      <c r="O1720" s="4">
        <v>19158.03</v>
      </c>
      <c r="P1720" s="4">
        <v>43244</v>
      </c>
      <c r="Q1720" s="3" t="s">
        <v>26</v>
      </c>
      <c r="R1720" s="3">
        <v>0</v>
      </c>
      <c r="S1720" s="3" t="s">
        <v>556</v>
      </c>
      <c r="T1720" s="3" t="s">
        <v>837</v>
      </c>
      <c r="U1720" s="3">
        <v>0</v>
      </c>
      <c r="V1720" s="3">
        <v>84</v>
      </c>
      <c r="W1720" s="3">
        <v>7</v>
      </c>
    </row>
    <row r="1721" spans="1:23" ht="11.25" customHeight="1" x14ac:dyDescent="0.25">
      <c r="A1721" s="3" t="s">
        <v>27</v>
      </c>
      <c r="B1721" s="3" t="s">
        <v>37</v>
      </c>
      <c r="C1721" s="3" t="s">
        <v>23</v>
      </c>
      <c r="D1721" s="3" t="s">
        <v>43</v>
      </c>
      <c r="E1721" s="3" t="s">
        <v>25</v>
      </c>
      <c r="F1721" s="3" t="s">
        <v>25</v>
      </c>
      <c r="G1721" s="3" t="s">
        <v>25</v>
      </c>
      <c r="H1721" s="3" t="s">
        <v>25</v>
      </c>
      <c r="I1721" s="6">
        <v>44409</v>
      </c>
      <c r="J1721" s="4">
        <v>0</v>
      </c>
      <c r="K1721" s="4">
        <v>0</v>
      </c>
      <c r="L1721" s="4">
        <v>-193.30199999999999</v>
      </c>
      <c r="M1721" s="4">
        <v>-193.30199999999999</v>
      </c>
      <c r="N1721" s="4">
        <v>-193.30199999999999</v>
      </c>
      <c r="O1721" s="4">
        <v>-193.30199999999999</v>
      </c>
      <c r="P1721" s="4">
        <v>-123</v>
      </c>
      <c r="Q1721" s="3" t="s">
        <v>26</v>
      </c>
      <c r="R1721" s="3">
        <v>0</v>
      </c>
      <c r="S1721" s="3" t="s">
        <v>556</v>
      </c>
      <c r="T1721" s="3" t="s">
        <v>837</v>
      </c>
      <c r="U1721" s="3">
        <v>0</v>
      </c>
      <c r="V1721" s="3">
        <v>84</v>
      </c>
      <c r="W1721" s="3">
        <v>7</v>
      </c>
    </row>
    <row r="1722" spans="1:23" ht="11.25" customHeight="1" x14ac:dyDescent="0.25">
      <c r="A1722" s="3" t="s">
        <v>28</v>
      </c>
      <c r="B1722" s="3" t="s">
        <v>37</v>
      </c>
      <c r="C1722" s="3" t="s">
        <v>23</v>
      </c>
      <c r="D1722" s="3" t="s">
        <v>43</v>
      </c>
      <c r="E1722" s="3" t="s">
        <v>25</v>
      </c>
      <c r="F1722" s="3" t="s">
        <v>25</v>
      </c>
      <c r="G1722" s="3" t="s">
        <v>25</v>
      </c>
      <c r="H1722" s="3" t="s">
        <v>25</v>
      </c>
      <c r="I1722" s="6">
        <v>44409</v>
      </c>
      <c r="J1722" s="4">
        <v>0</v>
      </c>
      <c r="K1722" s="4">
        <v>0</v>
      </c>
      <c r="L1722" s="4">
        <v>1098.7</v>
      </c>
      <c r="M1722" s="4">
        <v>1098.7</v>
      </c>
      <c r="N1722" s="4">
        <v>1098.7</v>
      </c>
      <c r="O1722" s="4">
        <v>1098.7</v>
      </c>
      <c r="P1722" s="4">
        <v>1764</v>
      </c>
      <c r="Q1722" s="3" t="s">
        <v>26</v>
      </c>
      <c r="R1722" s="3">
        <v>0</v>
      </c>
      <c r="S1722" s="3" t="s">
        <v>556</v>
      </c>
      <c r="T1722" s="3" t="s">
        <v>837</v>
      </c>
      <c r="U1722" s="3">
        <v>0</v>
      </c>
      <c r="V1722" s="3">
        <v>84</v>
      </c>
      <c r="W1722" s="3">
        <v>7</v>
      </c>
    </row>
    <row r="1723" spans="1:23" ht="11.25" customHeight="1" x14ac:dyDescent="0.25">
      <c r="A1723" s="3" t="s">
        <v>28</v>
      </c>
      <c r="B1723" s="3" t="s">
        <v>37</v>
      </c>
      <c r="C1723" s="3" t="s">
        <v>23</v>
      </c>
      <c r="D1723" s="3" t="s">
        <v>43</v>
      </c>
      <c r="E1723" s="3" t="s">
        <v>25</v>
      </c>
      <c r="F1723" s="3" t="s">
        <v>25</v>
      </c>
      <c r="G1723" s="3" t="s">
        <v>25</v>
      </c>
      <c r="H1723" s="3" t="s">
        <v>25</v>
      </c>
      <c r="I1723" s="6">
        <v>44409</v>
      </c>
      <c r="J1723" s="4">
        <v>0</v>
      </c>
      <c r="K1723" s="4">
        <v>0</v>
      </c>
      <c r="L1723" s="4">
        <v>-8.3520000000000003</v>
      </c>
      <c r="M1723" s="4">
        <v>-8.3520000000000003</v>
      </c>
      <c r="N1723" s="4">
        <v>-8.3520000000000003</v>
      </c>
      <c r="O1723" s="4">
        <v>-8.3520000000000003</v>
      </c>
      <c r="P1723" s="4">
        <v>0</v>
      </c>
      <c r="Q1723" s="3" t="s">
        <v>26</v>
      </c>
      <c r="R1723" s="3">
        <v>0</v>
      </c>
      <c r="S1723" s="3" t="s">
        <v>556</v>
      </c>
      <c r="T1723" s="3" t="s">
        <v>837</v>
      </c>
      <c r="U1723" s="3">
        <v>0</v>
      </c>
      <c r="V1723" s="3">
        <v>84</v>
      </c>
      <c r="W1723" s="3">
        <v>7</v>
      </c>
    </row>
    <row r="1724" spans="1:23" ht="11.25" customHeight="1" x14ac:dyDescent="0.25">
      <c r="A1724" s="3" t="s">
        <v>21</v>
      </c>
      <c r="B1724" s="3" t="s">
        <v>37</v>
      </c>
      <c r="C1724" s="3" t="s">
        <v>23</v>
      </c>
      <c r="D1724" s="3" t="s">
        <v>43</v>
      </c>
      <c r="E1724" s="3" t="s">
        <v>25</v>
      </c>
      <c r="F1724" s="3" t="s">
        <v>25</v>
      </c>
      <c r="G1724" s="3" t="s">
        <v>25</v>
      </c>
      <c r="H1724" s="3" t="s">
        <v>25</v>
      </c>
      <c r="I1724" s="6">
        <v>44440</v>
      </c>
      <c r="J1724" s="4">
        <v>0</v>
      </c>
      <c r="K1724" s="4">
        <v>0</v>
      </c>
      <c r="L1724" s="4">
        <v>19831.866999999998</v>
      </c>
      <c r="M1724" s="4">
        <v>19831.866999999998</v>
      </c>
      <c r="N1724" s="4">
        <v>19831.866999999998</v>
      </c>
      <c r="O1724" s="4">
        <v>19831.866999999998</v>
      </c>
      <c r="P1724" s="4">
        <v>43164</v>
      </c>
      <c r="Q1724" s="3" t="s">
        <v>26</v>
      </c>
      <c r="R1724" s="3">
        <v>0</v>
      </c>
      <c r="S1724" s="3" t="s">
        <v>557</v>
      </c>
      <c r="T1724" s="3" t="s">
        <v>838</v>
      </c>
      <c r="U1724" s="3">
        <v>0</v>
      </c>
      <c r="V1724" s="3">
        <v>84</v>
      </c>
      <c r="W1724" s="3">
        <v>7</v>
      </c>
    </row>
    <row r="1725" spans="1:23" ht="11.25" customHeight="1" x14ac:dyDescent="0.25">
      <c r="A1725" s="3" t="s">
        <v>27</v>
      </c>
      <c r="B1725" s="3" t="s">
        <v>37</v>
      </c>
      <c r="C1725" s="3" t="s">
        <v>23</v>
      </c>
      <c r="D1725" s="3" t="s">
        <v>43</v>
      </c>
      <c r="E1725" s="3" t="s">
        <v>25</v>
      </c>
      <c r="F1725" s="3" t="s">
        <v>25</v>
      </c>
      <c r="G1725" s="3" t="s">
        <v>25</v>
      </c>
      <c r="H1725" s="3" t="s">
        <v>25</v>
      </c>
      <c r="I1725" s="6">
        <v>44440</v>
      </c>
      <c r="J1725" s="4">
        <v>0</v>
      </c>
      <c r="K1725" s="4">
        <v>0</v>
      </c>
      <c r="L1725" s="4">
        <v>-142.93299999999999</v>
      </c>
      <c r="M1725" s="4">
        <v>-142.93299999999999</v>
      </c>
      <c r="N1725" s="4">
        <v>-142.93299999999999</v>
      </c>
      <c r="O1725" s="4">
        <v>-142.93299999999999</v>
      </c>
      <c r="P1725" s="4">
        <v>-29</v>
      </c>
      <c r="Q1725" s="3" t="s">
        <v>26</v>
      </c>
      <c r="R1725" s="3">
        <v>0</v>
      </c>
      <c r="S1725" s="3" t="s">
        <v>557</v>
      </c>
      <c r="T1725" s="3" t="s">
        <v>838</v>
      </c>
      <c r="U1725" s="3">
        <v>0</v>
      </c>
      <c r="V1725" s="3">
        <v>84</v>
      </c>
      <c r="W1725" s="3">
        <v>7</v>
      </c>
    </row>
    <row r="1726" spans="1:23" ht="11.25" customHeight="1" x14ac:dyDescent="0.25">
      <c r="A1726" s="3" t="s">
        <v>28</v>
      </c>
      <c r="B1726" s="3" t="s">
        <v>37</v>
      </c>
      <c r="C1726" s="3" t="s">
        <v>23</v>
      </c>
      <c r="D1726" s="3" t="s">
        <v>43</v>
      </c>
      <c r="E1726" s="3" t="s">
        <v>25</v>
      </c>
      <c r="F1726" s="3" t="s">
        <v>25</v>
      </c>
      <c r="G1726" s="3" t="s">
        <v>25</v>
      </c>
      <c r="H1726" s="3" t="s">
        <v>25</v>
      </c>
      <c r="I1726" s="6">
        <v>44440</v>
      </c>
      <c r="J1726" s="4">
        <v>0</v>
      </c>
      <c r="K1726" s="4">
        <v>0</v>
      </c>
      <c r="L1726" s="4">
        <v>1344.6369999999999</v>
      </c>
      <c r="M1726" s="4">
        <v>1344.6369999999999</v>
      </c>
      <c r="N1726" s="4">
        <v>1344.6369999999999</v>
      </c>
      <c r="O1726" s="4">
        <v>1344.6369999999999</v>
      </c>
      <c r="P1726" s="4">
        <v>1816</v>
      </c>
      <c r="Q1726" s="3" t="s">
        <v>26</v>
      </c>
      <c r="R1726" s="3">
        <v>0</v>
      </c>
      <c r="S1726" s="3" t="s">
        <v>557</v>
      </c>
      <c r="T1726" s="3" t="s">
        <v>838</v>
      </c>
      <c r="U1726" s="3">
        <v>0</v>
      </c>
      <c r="V1726" s="3">
        <v>84</v>
      </c>
      <c r="W1726" s="3">
        <v>7</v>
      </c>
    </row>
    <row r="1727" spans="1:23" ht="11.25" customHeight="1" x14ac:dyDescent="0.25">
      <c r="A1727" s="3" t="s">
        <v>28</v>
      </c>
      <c r="B1727" s="3" t="s">
        <v>37</v>
      </c>
      <c r="C1727" s="3" t="s">
        <v>23</v>
      </c>
      <c r="D1727" s="3" t="s">
        <v>43</v>
      </c>
      <c r="E1727" s="3" t="s">
        <v>25</v>
      </c>
      <c r="F1727" s="3" t="s">
        <v>25</v>
      </c>
      <c r="G1727" s="3" t="s">
        <v>25</v>
      </c>
      <c r="H1727" s="3" t="s">
        <v>25</v>
      </c>
      <c r="I1727" s="6">
        <v>44440</v>
      </c>
      <c r="J1727" s="4">
        <v>0</v>
      </c>
      <c r="K1727" s="4">
        <v>0</v>
      </c>
      <c r="L1727" s="4">
        <v>-9.9879999999999995</v>
      </c>
      <c r="M1727" s="4">
        <v>-9.9879999999999995</v>
      </c>
      <c r="N1727" s="4">
        <v>-9.9879999999999995</v>
      </c>
      <c r="O1727" s="4">
        <v>-9.9879999999999995</v>
      </c>
      <c r="P1727" s="4">
        <v>0</v>
      </c>
      <c r="Q1727" s="3" t="s">
        <v>26</v>
      </c>
      <c r="R1727" s="3">
        <v>0</v>
      </c>
      <c r="S1727" s="3" t="s">
        <v>557</v>
      </c>
      <c r="T1727" s="3" t="s">
        <v>838</v>
      </c>
      <c r="U1727" s="3">
        <v>0</v>
      </c>
      <c r="V1727" s="3">
        <v>84</v>
      </c>
      <c r="W1727" s="3">
        <v>7</v>
      </c>
    </row>
    <row r="1728" spans="1:23" ht="11.25" customHeight="1" x14ac:dyDescent="0.25">
      <c r="A1728" s="3" t="s">
        <v>21</v>
      </c>
      <c r="B1728" s="3" t="s">
        <v>37</v>
      </c>
      <c r="C1728" s="3" t="s">
        <v>23</v>
      </c>
      <c r="D1728" s="3" t="s">
        <v>43</v>
      </c>
      <c r="E1728" s="3" t="s">
        <v>25</v>
      </c>
      <c r="F1728" s="3" t="s">
        <v>25</v>
      </c>
      <c r="G1728" s="3" t="s">
        <v>25</v>
      </c>
      <c r="H1728" s="3" t="s">
        <v>25</v>
      </c>
      <c r="I1728" s="6">
        <v>44470</v>
      </c>
      <c r="J1728" s="4">
        <v>0</v>
      </c>
      <c r="K1728" s="4">
        <v>0</v>
      </c>
      <c r="L1728" s="4">
        <v>20951.933000000001</v>
      </c>
      <c r="M1728" s="4">
        <v>20951.933000000001</v>
      </c>
      <c r="N1728" s="4">
        <v>20951.933000000001</v>
      </c>
      <c r="O1728" s="4">
        <v>20951.933000000001</v>
      </c>
      <c r="P1728" s="4">
        <v>43016</v>
      </c>
      <c r="Q1728" s="3" t="s">
        <v>26</v>
      </c>
      <c r="R1728" s="3">
        <v>0</v>
      </c>
      <c r="S1728" s="3" t="s">
        <v>558</v>
      </c>
      <c r="T1728" s="3" t="s">
        <v>839</v>
      </c>
      <c r="U1728" s="3">
        <v>0</v>
      </c>
      <c r="V1728" s="3">
        <v>84</v>
      </c>
      <c r="W1728" s="3">
        <v>7</v>
      </c>
    </row>
    <row r="1729" spans="1:23" ht="11.25" customHeight="1" x14ac:dyDescent="0.25">
      <c r="A1729" s="3" t="s">
        <v>27</v>
      </c>
      <c r="B1729" s="3" t="s">
        <v>37</v>
      </c>
      <c r="C1729" s="3" t="s">
        <v>23</v>
      </c>
      <c r="D1729" s="3" t="s">
        <v>43</v>
      </c>
      <c r="E1729" s="3" t="s">
        <v>25</v>
      </c>
      <c r="F1729" s="3" t="s">
        <v>25</v>
      </c>
      <c r="G1729" s="3" t="s">
        <v>25</v>
      </c>
      <c r="H1729" s="3" t="s">
        <v>25</v>
      </c>
      <c r="I1729" s="6">
        <v>44470</v>
      </c>
      <c r="J1729" s="4">
        <v>0</v>
      </c>
      <c r="K1729" s="4">
        <v>0</v>
      </c>
      <c r="L1729" s="4">
        <v>-96.35</v>
      </c>
      <c r="M1729" s="4">
        <v>-96.35</v>
      </c>
      <c r="N1729" s="4">
        <v>-96.35</v>
      </c>
      <c r="O1729" s="4">
        <v>-96.35</v>
      </c>
      <c r="P1729" s="4">
        <v>-29</v>
      </c>
      <c r="Q1729" s="3" t="s">
        <v>26</v>
      </c>
      <c r="R1729" s="3">
        <v>0</v>
      </c>
      <c r="S1729" s="3" t="s">
        <v>558</v>
      </c>
      <c r="T1729" s="3" t="s">
        <v>839</v>
      </c>
      <c r="U1729" s="3">
        <v>0</v>
      </c>
      <c r="V1729" s="3">
        <v>84</v>
      </c>
      <c r="W1729" s="3">
        <v>7</v>
      </c>
    </row>
    <row r="1730" spans="1:23" ht="11.25" customHeight="1" x14ac:dyDescent="0.25">
      <c r="A1730" s="3" t="s">
        <v>28</v>
      </c>
      <c r="B1730" s="3" t="s">
        <v>37</v>
      </c>
      <c r="C1730" s="3" t="s">
        <v>23</v>
      </c>
      <c r="D1730" s="3" t="s">
        <v>43</v>
      </c>
      <c r="E1730" s="3" t="s">
        <v>25</v>
      </c>
      <c r="F1730" s="3" t="s">
        <v>25</v>
      </c>
      <c r="G1730" s="3" t="s">
        <v>25</v>
      </c>
      <c r="H1730" s="3" t="s">
        <v>25</v>
      </c>
      <c r="I1730" s="6">
        <v>44470</v>
      </c>
      <c r="J1730" s="4">
        <v>0</v>
      </c>
      <c r="K1730" s="4">
        <v>0</v>
      </c>
      <c r="L1730" s="4">
        <v>1619.181</v>
      </c>
      <c r="M1730" s="4">
        <v>1619.181</v>
      </c>
      <c r="N1730" s="4">
        <v>1619.181</v>
      </c>
      <c r="O1730" s="4">
        <v>1619.181</v>
      </c>
      <c r="P1730" s="4">
        <v>1905</v>
      </c>
      <c r="Q1730" s="3" t="s">
        <v>26</v>
      </c>
      <c r="R1730" s="3">
        <v>0</v>
      </c>
      <c r="S1730" s="3" t="s">
        <v>558</v>
      </c>
      <c r="T1730" s="3" t="s">
        <v>839</v>
      </c>
      <c r="U1730" s="3">
        <v>0</v>
      </c>
      <c r="V1730" s="3">
        <v>84</v>
      </c>
      <c r="W1730" s="3">
        <v>7</v>
      </c>
    </row>
    <row r="1731" spans="1:23" ht="11.25" customHeight="1" x14ac:dyDescent="0.25">
      <c r="A1731" s="3" t="s">
        <v>28</v>
      </c>
      <c r="B1731" s="3" t="s">
        <v>37</v>
      </c>
      <c r="C1731" s="3" t="s">
        <v>23</v>
      </c>
      <c r="D1731" s="3" t="s">
        <v>43</v>
      </c>
      <c r="E1731" s="3" t="s">
        <v>25</v>
      </c>
      <c r="F1731" s="3" t="s">
        <v>25</v>
      </c>
      <c r="G1731" s="3" t="s">
        <v>25</v>
      </c>
      <c r="H1731" s="3" t="s">
        <v>25</v>
      </c>
      <c r="I1731" s="6">
        <v>44470</v>
      </c>
      <c r="J1731" s="4">
        <v>0</v>
      </c>
      <c r="K1731" s="4">
        <v>0</v>
      </c>
      <c r="L1731" s="4">
        <v>-16.686</v>
      </c>
      <c r="M1731" s="4">
        <v>-16.686</v>
      </c>
      <c r="N1731" s="4">
        <v>-16.686</v>
      </c>
      <c r="O1731" s="4">
        <v>-16.686</v>
      </c>
      <c r="P1731" s="4">
        <v>0</v>
      </c>
      <c r="Q1731" s="3" t="s">
        <v>26</v>
      </c>
      <c r="R1731" s="3">
        <v>0</v>
      </c>
      <c r="S1731" s="3" t="s">
        <v>558</v>
      </c>
      <c r="T1731" s="3" t="s">
        <v>839</v>
      </c>
      <c r="U1731" s="3">
        <v>0</v>
      </c>
      <c r="V1731" s="3">
        <v>84</v>
      </c>
      <c r="W1731" s="3">
        <v>7</v>
      </c>
    </row>
    <row r="1732" spans="1:23" ht="11.25" customHeight="1" x14ac:dyDescent="0.25">
      <c r="A1732" s="3" t="s">
        <v>21</v>
      </c>
      <c r="B1732" s="3" t="s">
        <v>37</v>
      </c>
      <c r="C1732" s="3" t="s">
        <v>23</v>
      </c>
      <c r="D1732" s="3" t="s">
        <v>43</v>
      </c>
      <c r="E1732" s="3" t="s">
        <v>25</v>
      </c>
      <c r="F1732" s="3" t="s">
        <v>25</v>
      </c>
      <c r="G1732" s="3" t="s">
        <v>25</v>
      </c>
      <c r="H1732" s="3" t="s">
        <v>25</v>
      </c>
      <c r="I1732" s="6">
        <v>44501</v>
      </c>
      <c r="J1732" s="4">
        <v>0</v>
      </c>
      <c r="K1732" s="4">
        <v>0</v>
      </c>
      <c r="L1732" s="4">
        <v>21163.519</v>
      </c>
      <c r="M1732" s="4">
        <v>21163.519</v>
      </c>
      <c r="N1732" s="4">
        <v>21163.519</v>
      </c>
      <c r="O1732" s="4">
        <v>21163.519</v>
      </c>
      <c r="P1732" s="4">
        <v>42986</v>
      </c>
      <c r="Q1732" s="3" t="s">
        <v>26</v>
      </c>
      <c r="R1732" s="3">
        <v>0</v>
      </c>
      <c r="S1732" s="3" t="s">
        <v>559</v>
      </c>
      <c r="T1732" s="3" t="s">
        <v>840</v>
      </c>
      <c r="U1732" s="3">
        <v>0</v>
      </c>
      <c r="V1732" s="3">
        <v>84</v>
      </c>
      <c r="W1732" s="3">
        <v>7</v>
      </c>
    </row>
    <row r="1733" spans="1:23" ht="11.25" customHeight="1" x14ac:dyDescent="0.25">
      <c r="A1733" s="3" t="s">
        <v>27</v>
      </c>
      <c r="B1733" s="3" t="s">
        <v>37</v>
      </c>
      <c r="C1733" s="3" t="s">
        <v>23</v>
      </c>
      <c r="D1733" s="3" t="s">
        <v>43</v>
      </c>
      <c r="E1733" s="3" t="s">
        <v>25</v>
      </c>
      <c r="F1733" s="3" t="s">
        <v>25</v>
      </c>
      <c r="G1733" s="3" t="s">
        <v>25</v>
      </c>
      <c r="H1733" s="3" t="s">
        <v>25</v>
      </c>
      <c r="I1733" s="6">
        <v>44501</v>
      </c>
      <c r="J1733" s="4">
        <v>0</v>
      </c>
      <c r="K1733" s="4">
        <v>0</v>
      </c>
      <c r="L1733" s="4">
        <v>-11.526</v>
      </c>
      <c r="M1733" s="4">
        <v>-11.526</v>
      </c>
      <c r="N1733" s="4">
        <v>-11.526</v>
      </c>
      <c r="O1733" s="4">
        <v>-11.526</v>
      </c>
      <c r="P1733" s="4">
        <v>-21</v>
      </c>
      <c r="Q1733" s="3" t="s">
        <v>26</v>
      </c>
      <c r="R1733" s="3">
        <v>0</v>
      </c>
      <c r="S1733" s="3" t="s">
        <v>559</v>
      </c>
      <c r="T1733" s="3" t="s">
        <v>840</v>
      </c>
      <c r="U1733" s="3">
        <v>0</v>
      </c>
      <c r="V1733" s="3">
        <v>84</v>
      </c>
      <c r="W1733" s="3">
        <v>7</v>
      </c>
    </row>
    <row r="1734" spans="1:23" ht="11.25" customHeight="1" x14ac:dyDescent="0.25">
      <c r="A1734" s="3" t="s">
        <v>28</v>
      </c>
      <c r="B1734" s="3" t="s">
        <v>37</v>
      </c>
      <c r="C1734" s="3" t="s">
        <v>23</v>
      </c>
      <c r="D1734" s="3" t="s">
        <v>43</v>
      </c>
      <c r="E1734" s="3" t="s">
        <v>25</v>
      </c>
      <c r="F1734" s="3" t="s">
        <v>25</v>
      </c>
      <c r="G1734" s="3" t="s">
        <v>25</v>
      </c>
      <c r="H1734" s="3" t="s">
        <v>25</v>
      </c>
      <c r="I1734" s="6">
        <v>44501</v>
      </c>
      <c r="J1734" s="4">
        <v>0</v>
      </c>
      <c r="K1734" s="4">
        <v>0</v>
      </c>
      <c r="L1734" s="4">
        <v>1660.3520000000001</v>
      </c>
      <c r="M1734" s="4">
        <v>1660.3520000000001</v>
      </c>
      <c r="N1734" s="4">
        <v>1660.3520000000001</v>
      </c>
      <c r="O1734" s="4">
        <v>1660.3520000000001</v>
      </c>
      <c r="P1734" s="4">
        <v>1948</v>
      </c>
      <c r="Q1734" s="3" t="s">
        <v>26</v>
      </c>
      <c r="R1734" s="3">
        <v>0</v>
      </c>
      <c r="S1734" s="3" t="s">
        <v>559</v>
      </c>
      <c r="T1734" s="3" t="s">
        <v>840</v>
      </c>
      <c r="U1734" s="3">
        <v>0</v>
      </c>
      <c r="V1734" s="3">
        <v>84</v>
      </c>
      <c r="W1734" s="3">
        <v>7</v>
      </c>
    </row>
    <row r="1735" spans="1:23" ht="11.25" customHeight="1" x14ac:dyDescent="0.25">
      <c r="A1735" s="3" t="s">
        <v>28</v>
      </c>
      <c r="B1735" s="3" t="s">
        <v>37</v>
      </c>
      <c r="C1735" s="3" t="s">
        <v>23</v>
      </c>
      <c r="D1735" s="3" t="s">
        <v>43</v>
      </c>
      <c r="E1735" s="3" t="s">
        <v>25</v>
      </c>
      <c r="F1735" s="3" t="s">
        <v>25</v>
      </c>
      <c r="G1735" s="3" t="s">
        <v>25</v>
      </c>
      <c r="H1735" s="3" t="s">
        <v>25</v>
      </c>
      <c r="I1735" s="6">
        <v>44501</v>
      </c>
      <c r="J1735" s="4">
        <v>0</v>
      </c>
      <c r="K1735" s="4">
        <v>0</v>
      </c>
      <c r="L1735" s="4">
        <v>-6.2990000000000004</v>
      </c>
      <c r="M1735" s="4">
        <v>-6.2990000000000004</v>
      </c>
      <c r="N1735" s="4">
        <v>-6.2990000000000004</v>
      </c>
      <c r="O1735" s="4">
        <v>-6.2990000000000004</v>
      </c>
      <c r="P1735" s="4">
        <v>0</v>
      </c>
      <c r="Q1735" s="3" t="s">
        <v>26</v>
      </c>
      <c r="R1735" s="3">
        <v>0</v>
      </c>
      <c r="S1735" s="3" t="s">
        <v>559</v>
      </c>
      <c r="T1735" s="3" t="s">
        <v>840</v>
      </c>
      <c r="U1735" s="3">
        <v>0</v>
      </c>
      <c r="V1735" s="3">
        <v>84</v>
      </c>
      <c r="W1735" s="3">
        <v>7</v>
      </c>
    </row>
    <row r="1736" spans="1:23" ht="11.25" customHeight="1" x14ac:dyDescent="0.25">
      <c r="A1736" s="3" t="s">
        <v>21</v>
      </c>
      <c r="B1736" s="3" t="s">
        <v>37</v>
      </c>
      <c r="C1736" s="3" t="s">
        <v>23</v>
      </c>
      <c r="D1736" s="3" t="s">
        <v>43</v>
      </c>
      <c r="E1736" s="3" t="s">
        <v>25</v>
      </c>
      <c r="F1736" s="3" t="s">
        <v>25</v>
      </c>
      <c r="G1736" s="3" t="s">
        <v>25</v>
      </c>
      <c r="H1736" s="3" t="s">
        <v>25</v>
      </c>
      <c r="I1736" s="6">
        <v>44531</v>
      </c>
      <c r="J1736" s="4">
        <v>0</v>
      </c>
      <c r="K1736" s="4">
        <v>0</v>
      </c>
      <c r="L1736" s="4">
        <v>22505.344000000001</v>
      </c>
      <c r="M1736" s="4">
        <v>22505.344000000001</v>
      </c>
      <c r="N1736" s="4">
        <v>22505.344000000001</v>
      </c>
      <c r="O1736" s="4">
        <v>22505.344000000001</v>
      </c>
      <c r="P1736" s="4">
        <v>43045</v>
      </c>
      <c r="Q1736" s="3" t="s">
        <v>26</v>
      </c>
      <c r="R1736" s="3">
        <v>0</v>
      </c>
      <c r="S1736" s="3" t="s">
        <v>560</v>
      </c>
      <c r="T1736" s="3" t="s">
        <v>841</v>
      </c>
      <c r="U1736" s="3">
        <v>0</v>
      </c>
      <c r="V1736" s="3">
        <v>84</v>
      </c>
      <c r="W1736" s="3">
        <v>7</v>
      </c>
    </row>
    <row r="1737" spans="1:23" ht="11.25" customHeight="1" x14ac:dyDescent="0.25">
      <c r="A1737" s="3" t="s">
        <v>27</v>
      </c>
      <c r="B1737" s="3" t="s">
        <v>37</v>
      </c>
      <c r="C1737" s="3" t="s">
        <v>23</v>
      </c>
      <c r="D1737" s="3" t="s">
        <v>43</v>
      </c>
      <c r="E1737" s="3" t="s">
        <v>25</v>
      </c>
      <c r="F1737" s="3" t="s">
        <v>25</v>
      </c>
      <c r="G1737" s="3" t="s">
        <v>25</v>
      </c>
      <c r="H1737" s="3" t="s">
        <v>25</v>
      </c>
      <c r="I1737" s="6">
        <v>44531</v>
      </c>
      <c r="J1737" s="4">
        <v>0</v>
      </c>
      <c r="K1737" s="4">
        <v>0</v>
      </c>
      <c r="L1737" s="4">
        <v>-413.149</v>
      </c>
      <c r="M1737" s="4">
        <v>-413.149</v>
      </c>
      <c r="N1737" s="4">
        <v>-413.149</v>
      </c>
      <c r="O1737" s="4">
        <v>-413.149</v>
      </c>
      <c r="P1737" s="4">
        <v>-72</v>
      </c>
      <c r="Q1737" s="3" t="s">
        <v>26</v>
      </c>
      <c r="R1737" s="3">
        <v>0</v>
      </c>
      <c r="S1737" s="3" t="s">
        <v>560</v>
      </c>
      <c r="T1737" s="3" t="s">
        <v>841</v>
      </c>
      <c r="U1737" s="3">
        <v>0</v>
      </c>
      <c r="V1737" s="3">
        <v>84</v>
      </c>
      <c r="W1737" s="3">
        <v>7</v>
      </c>
    </row>
    <row r="1738" spans="1:23" ht="11.25" customHeight="1" x14ac:dyDescent="0.25">
      <c r="A1738" s="3" t="s">
        <v>28</v>
      </c>
      <c r="B1738" s="3" t="s">
        <v>37</v>
      </c>
      <c r="C1738" s="3" t="s">
        <v>23</v>
      </c>
      <c r="D1738" s="3" t="s">
        <v>43</v>
      </c>
      <c r="E1738" s="3" t="s">
        <v>25</v>
      </c>
      <c r="F1738" s="3" t="s">
        <v>25</v>
      </c>
      <c r="G1738" s="3" t="s">
        <v>25</v>
      </c>
      <c r="H1738" s="3" t="s">
        <v>25</v>
      </c>
      <c r="I1738" s="6">
        <v>44531</v>
      </c>
      <c r="J1738" s="4">
        <v>0</v>
      </c>
      <c r="K1738" s="4">
        <v>0</v>
      </c>
      <c r="L1738" s="4">
        <v>1875.0419999999999</v>
      </c>
      <c r="M1738" s="4">
        <v>1875.0419999999999</v>
      </c>
      <c r="N1738" s="4">
        <v>1875.0419999999999</v>
      </c>
      <c r="O1738" s="4">
        <v>1875.0419999999999</v>
      </c>
      <c r="P1738" s="4">
        <v>2035</v>
      </c>
      <c r="Q1738" s="3" t="s">
        <v>26</v>
      </c>
      <c r="R1738" s="3">
        <v>0</v>
      </c>
      <c r="S1738" s="3" t="s">
        <v>560</v>
      </c>
      <c r="T1738" s="3" t="s">
        <v>841</v>
      </c>
      <c r="U1738" s="3">
        <v>0</v>
      </c>
      <c r="V1738" s="3">
        <v>84</v>
      </c>
      <c r="W1738" s="3">
        <v>7</v>
      </c>
    </row>
    <row r="1739" spans="1:23" ht="11.25" customHeight="1" x14ac:dyDescent="0.25">
      <c r="A1739" s="3" t="s">
        <v>28</v>
      </c>
      <c r="B1739" s="3" t="s">
        <v>37</v>
      </c>
      <c r="C1739" s="3" t="s">
        <v>23</v>
      </c>
      <c r="D1739" s="3" t="s">
        <v>43</v>
      </c>
      <c r="E1739" s="3" t="s">
        <v>25</v>
      </c>
      <c r="F1739" s="3" t="s">
        <v>25</v>
      </c>
      <c r="G1739" s="3" t="s">
        <v>25</v>
      </c>
      <c r="H1739" s="3" t="s">
        <v>25</v>
      </c>
      <c r="I1739" s="6">
        <v>44531</v>
      </c>
      <c r="J1739" s="4">
        <v>0</v>
      </c>
      <c r="K1739" s="4">
        <v>0</v>
      </c>
      <c r="L1739" s="4">
        <v>-4.4870000000000001</v>
      </c>
      <c r="M1739" s="4">
        <v>-4.4870000000000001</v>
      </c>
      <c r="N1739" s="4">
        <v>-4.4870000000000001</v>
      </c>
      <c r="O1739" s="4">
        <v>-4.4870000000000001</v>
      </c>
      <c r="P1739" s="4">
        <v>0</v>
      </c>
      <c r="Q1739" s="3" t="s">
        <v>26</v>
      </c>
      <c r="R1739" s="3">
        <v>0</v>
      </c>
      <c r="S1739" s="3" t="s">
        <v>560</v>
      </c>
      <c r="T1739" s="3" t="s">
        <v>841</v>
      </c>
      <c r="U1739" s="3">
        <v>0</v>
      </c>
      <c r="V1739" s="3">
        <v>84</v>
      </c>
      <c r="W1739" s="3">
        <v>7</v>
      </c>
    </row>
    <row r="1740" spans="1:23" ht="11.25" customHeight="1" x14ac:dyDescent="0.25">
      <c r="A1740" s="3" t="s">
        <v>21</v>
      </c>
      <c r="B1740" s="3" t="s">
        <v>37</v>
      </c>
      <c r="C1740" s="3" t="s">
        <v>23</v>
      </c>
      <c r="D1740" s="3" t="s">
        <v>43</v>
      </c>
      <c r="E1740" s="3" t="s">
        <v>25</v>
      </c>
      <c r="F1740" s="3" t="s">
        <v>25</v>
      </c>
      <c r="G1740" s="3" t="s">
        <v>25</v>
      </c>
      <c r="H1740" s="3" t="s">
        <v>25</v>
      </c>
      <c r="I1740" s="6">
        <v>44562</v>
      </c>
      <c r="J1740" s="4">
        <v>0</v>
      </c>
      <c r="K1740" s="4">
        <v>0</v>
      </c>
      <c r="L1740" s="4">
        <v>21653.513999999999</v>
      </c>
      <c r="M1740" s="4">
        <v>21653.513999999999</v>
      </c>
      <c r="N1740" s="4">
        <v>21653.513999999999</v>
      </c>
      <c r="O1740" s="4">
        <v>21653.513999999999</v>
      </c>
      <c r="P1740" s="4">
        <v>42814</v>
      </c>
      <c r="Q1740" s="3" t="s">
        <v>26</v>
      </c>
      <c r="R1740" s="3">
        <v>0</v>
      </c>
      <c r="S1740" s="3" t="s">
        <v>561</v>
      </c>
      <c r="T1740" s="3" t="s">
        <v>842</v>
      </c>
      <c r="U1740" s="3">
        <v>0</v>
      </c>
      <c r="V1740" s="3">
        <v>84</v>
      </c>
      <c r="W1740" s="3">
        <v>7</v>
      </c>
    </row>
    <row r="1741" spans="1:23" ht="11.25" customHeight="1" x14ac:dyDescent="0.25">
      <c r="A1741" s="3" t="s">
        <v>27</v>
      </c>
      <c r="B1741" s="3" t="s">
        <v>37</v>
      </c>
      <c r="C1741" s="3" t="s">
        <v>23</v>
      </c>
      <c r="D1741" s="3" t="s">
        <v>43</v>
      </c>
      <c r="E1741" s="3" t="s">
        <v>25</v>
      </c>
      <c r="F1741" s="3" t="s">
        <v>25</v>
      </c>
      <c r="G1741" s="3" t="s">
        <v>25</v>
      </c>
      <c r="H1741" s="3" t="s">
        <v>25</v>
      </c>
      <c r="I1741" s="6">
        <v>44562</v>
      </c>
      <c r="J1741" s="4">
        <v>0</v>
      </c>
      <c r="K1741" s="4">
        <v>0</v>
      </c>
      <c r="L1741" s="4">
        <v>-46.255000000000003</v>
      </c>
      <c r="M1741" s="4">
        <v>-46.255000000000003</v>
      </c>
      <c r="N1741" s="4">
        <v>-46.255000000000003</v>
      </c>
      <c r="O1741" s="4">
        <v>-46.255000000000003</v>
      </c>
      <c r="P1741" s="4">
        <v>-7</v>
      </c>
      <c r="Q1741" s="3" t="s">
        <v>26</v>
      </c>
      <c r="R1741" s="3">
        <v>0</v>
      </c>
      <c r="S1741" s="3" t="s">
        <v>561</v>
      </c>
      <c r="T1741" s="3" t="s">
        <v>842</v>
      </c>
      <c r="U1741" s="3">
        <v>0</v>
      </c>
      <c r="V1741" s="3">
        <v>84</v>
      </c>
      <c r="W1741" s="3">
        <v>7</v>
      </c>
    </row>
    <row r="1742" spans="1:23" ht="11.25" customHeight="1" x14ac:dyDescent="0.25">
      <c r="A1742" s="3" t="s">
        <v>28</v>
      </c>
      <c r="B1742" s="3" t="s">
        <v>37</v>
      </c>
      <c r="C1742" s="3" t="s">
        <v>23</v>
      </c>
      <c r="D1742" s="3" t="s">
        <v>43</v>
      </c>
      <c r="E1742" s="3" t="s">
        <v>25</v>
      </c>
      <c r="F1742" s="3" t="s">
        <v>25</v>
      </c>
      <c r="G1742" s="3" t="s">
        <v>25</v>
      </c>
      <c r="H1742" s="3" t="s">
        <v>25</v>
      </c>
      <c r="I1742" s="6">
        <v>44562</v>
      </c>
      <c r="J1742" s="4">
        <v>0</v>
      </c>
      <c r="K1742" s="4">
        <v>0</v>
      </c>
      <c r="L1742" s="4">
        <v>2000.874</v>
      </c>
      <c r="M1742" s="4">
        <v>2000.874</v>
      </c>
      <c r="N1742" s="4">
        <v>2000.874</v>
      </c>
      <c r="O1742" s="4">
        <v>2000.874</v>
      </c>
      <c r="P1742" s="4">
        <v>2149</v>
      </c>
      <c r="Q1742" s="3" t="s">
        <v>26</v>
      </c>
      <c r="R1742" s="3">
        <v>0</v>
      </c>
      <c r="S1742" s="3" t="s">
        <v>561</v>
      </c>
      <c r="T1742" s="3" t="s">
        <v>842</v>
      </c>
      <c r="U1742" s="3">
        <v>0</v>
      </c>
      <c r="V1742" s="3">
        <v>84</v>
      </c>
      <c r="W1742" s="3">
        <v>7</v>
      </c>
    </row>
    <row r="1743" spans="1:23" ht="11.25" customHeight="1" x14ac:dyDescent="0.25">
      <c r="A1743" s="3" t="s">
        <v>28</v>
      </c>
      <c r="B1743" s="3" t="s">
        <v>37</v>
      </c>
      <c r="C1743" s="3" t="s">
        <v>23</v>
      </c>
      <c r="D1743" s="3" t="s">
        <v>43</v>
      </c>
      <c r="E1743" s="3" t="s">
        <v>25</v>
      </c>
      <c r="F1743" s="3" t="s">
        <v>25</v>
      </c>
      <c r="G1743" s="3" t="s">
        <v>25</v>
      </c>
      <c r="H1743" s="3" t="s">
        <v>25</v>
      </c>
      <c r="I1743" s="6">
        <v>44562</v>
      </c>
      <c r="J1743" s="4">
        <v>0</v>
      </c>
      <c r="K1743" s="4">
        <v>0</v>
      </c>
      <c r="L1743" s="4">
        <v>-3.49</v>
      </c>
      <c r="M1743" s="4">
        <v>-3.49</v>
      </c>
      <c r="N1743" s="4">
        <v>-3.49</v>
      </c>
      <c r="O1743" s="4">
        <v>-3.49</v>
      </c>
      <c r="P1743" s="4">
        <v>0</v>
      </c>
      <c r="Q1743" s="3" t="s">
        <v>26</v>
      </c>
      <c r="R1743" s="3">
        <v>0</v>
      </c>
      <c r="S1743" s="3" t="s">
        <v>561</v>
      </c>
      <c r="T1743" s="3" t="s">
        <v>842</v>
      </c>
      <c r="U1743" s="3">
        <v>0</v>
      </c>
      <c r="V1743" s="3">
        <v>84</v>
      </c>
      <c r="W1743" s="3">
        <v>7</v>
      </c>
    </row>
    <row r="1744" spans="1:23" ht="11.25" customHeight="1" x14ac:dyDescent="0.25">
      <c r="A1744" s="3" t="s">
        <v>21</v>
      </c>
      <c r="B1744" s="3" t="s">
        <v>37</v>
      </c>
      <c r="C1744" s="3" t="s">
        <v>23</v>
      </c>
      <c r="D1744" s="3" t="s">
        <v>43</v>
      </c>
      <c r="E1744" s="3" t="s">
        <v>25</v>
      </c>
      <c r="F1744" s="3" t="s">
        <v>25</v>
      </c>
      <c r="G1744" s="3" t="s">
        <v>25</v>
      </c>
      <c r="H1744" s="3" t="s">
        <v>25</v>
      </c>
      <c r="I1744" s="6">
        <v>44593</v>
      </c>
      <c r="J1744" s="4">
        <v>0</v>
      </c>
      <c r="K1744" s="4">
        <v>0</v>
      </c>
      <c r="L1744" s="4">
        <v>21829.773000000001</v>
      </c>
      <c r="M1744" s="4">
        <v>21829.773000000001</v>
      </c>
      <c r="N1744" s="4">
        <v>21829.773000000001</v>
      </c>
      <c r="O1744" s="4">
        <v>21829.773000000001</v>
      </c>
      <c r="P1744" s="4">
        <v>42696</v>
      </c>
      <c r="Q1744" s="3" t="s">
        <v>26</v>
      </c>
      <c r="R1744" s="3">
        <v>0</v>
      </c>
      <c r="S1744" s="3" t="s">
        <v>562</v>
      </c>
      <c r="T1744" s="3" t="s">
        <v>843</v>
      </c>
      <c r="U1744" s="3">
        <v>0</v>
      </c>
      <c r="V1744" s="3">
        <v>84</v>
      </c>
      <c r="W1744" s="3">
        <v>7</v>
      </c>
    </row>
    <row r="1745" spans="1:23" ht="11.25" customHeight="1" x14ac:dyDescent="0.25">
      <c r="A1745" s="3" t="s">
        <v>27</v>
      </c>
      <c r="B1745" s="3" t="s">
        <v>37</v>
      </c>
      <c r="C1745" s="3" t="s">
        <v>23</v>
      </c>
      <c r="D1745" s="3" t="s">
        <v>43</v>
      </c>
      <c r="E1745" s="3" t="s">
        <v>25</v>
      </c>
      <c r="F1745" s="3" t="s">
        <v>25</v>
      </c>
      <c r="G1745" s="3" t="s">
        <v>25</v>
      </c>
      <c r="H1745" s="3" t="s">
        <v>25</v>
      </c>
      <c r="I1745" s="6">
        <v>44593</v>
      </c>
      <c r="J1745" s="4">
        <v>0</v>
      </c>
      <c r="K1745" s="4">
        <v>0</v>
      </c>
      <c r="L1745" s="4">
        <v>-1.9750000000000001</v>
      </c>
      <c r="M1745" s="4">
        <v>-1.9750000000000001</v>
      </c>
      <c r="N1745" s="4">
        <v>-1.9750000000000001</v>
      </c>
      <c r="O1745" s="4">
        <v>-1.9750000000000001</v>
      </c>
      <c r="P1745" s="4">
        <v>-3</v>
      </c>
      <c r="Q1745" s="3" t="s">
        <v>26</v>
      </c>
      <c r="R1745" s="3">
        <v>0</v>
      </c>
      <c r="S1745" s="3" t="s">
        <v>562</v>
      </c>
      <c r="T1745" s="3" t="s">
        <v>843</v>
      </c>
      <c r="U1745" s="3">
        <v>0</v>
      </c>
      <c r="V1745" s="3">
        <v>84</v>
      </c>
      <c r="W1745" s="3">
        <v>7</v>
      </c>
    </row>
    <row r="1746" spans="1:23" ht="11.25" customHeight="1" x14ac:dyDescent="0.25">
      <c r="A1746" s="3" t="s">
        <v>28</v>
      </c>
      <c r="B1746" s="3" t="s">
        <v>37</v>
      </c>
      <c r="C1746" s="3" t="s">
        <v>23</v>
      </c>
      <c r="D1746" s="3" t="s">
        <v>43</v>
      </c>
      <c r="E1746" s="3" t="s">
        <v>25</v>
      </c>
      <c r="F1746" s="3" t="s">
        <v>25</v>
      </c>
      <c r="G1746" s="3" t="s">
        <v>25</v>
      </c>
      <c r="H1746" s="3" t="s">
        <v>25</v>
      </c>
      <c r="I1746" s="6">
        <v>44593</v>
      </c>
      <c r="J1746" s="4">
        <v>0</v>
      </c>
      <c r="K1746" s="4">
        <v>0</v>
      </c>
      <c r="L1746" s="4">
        <v>1941.952</v>
      </c>
      <c r="M1746" s="4">
        <v>1941.952</v>
      </c>
      <c r="N1746" s="4">
        <v>1941.952</v>
      </c>
      <c r="O1746" s="4">
        <v>1941.952</v>
      </c>
      <c r="P1746" s="4">
        <v>2252</v>
      </c>
      <c r="Q1746" s="3" t="s">
        <v>26</v>
      </c>
      <c r="R1746" s="3">
        <v>0</v>
      </c>
      <c r="S1746" s="3" t="s">
        <v>562</v>
      </c>
      <c r="T1746" s="3" t="s">
        <v>843</v>
      </c>
      <c r="U1746" s="3">
        <v>0</v>
      </c>
      <c r="V1746" s="3">
        <v>84</v>
      </c>
      <c r="W1746" s="3">
        <v>7</v>
      </c>
    </row>
    <row r="1747" spans="1:23" ht="11.25" customHeight="1" x14ac:dyDescent="0.25">
      <c r="A1747" s="3" t="s">
        <v>28</v>
      </c>
      <c r="B1747" s="3" t="s">
        <v>37</v>
      </c>
      <c r="C1747" s="3" t="s">
        <v>23</v>
      </c>
      <c r="D1747" s="3" t="s">
        <v>43</v>
      </c>
      <c r="E1747" s="3" t="s">
        <v>25</v>
      </c>
      <c r="F1747" s="3" t="s">
        <v>25</v>
      </c>
      <c r="G1747" s="3" t="s">
        <v>25</v>
      </c>
      <c r="H1747" s="3" t="s">
        <v>25</v>
      </c>
      <c r="I1747" s="6">
        <v>44593</v>
      </c>
      <c r="J1747" s="4">
        <v>0</v>
      </c>
      <c r="K1747" s="4">
        <v>0</v>
      </c>
      <c r="L1747" s="4">
        <v>-0.58199999999999996</v>
      </c>
      <c r="M1747" s="4">
        <v>-0.58199999999999996</v>
      </c>
      <c r="N1747" s="4">
        <v>-0.58199999999999996</v>
      </c>
      <c r="O1747" s="4">
        <v>-0.58199999999999996</v>
      </c>
      <c r="P1747" s="4">
        <v>0</v>
      </c>
      <c r="Q1747" s="3" t="s">
        <v>26</v>
      </c>
      <c r="R1747" s="3">
        <v>0</v>
      </c>
      <c r="S1747" s="3" t="s">
        <v>562</v>
      </c>
      <c r="T1747" s="3" t="s">
        <v>843</v>
      </c>
      <c r="U1747" s="3">
        <v>0</v>
      </c>
      <c r="V1747" s="3">
        <v>84</v>
      </c>
      <c r="W1747" s="3">
        <v>7</v>
      </c>
    </row>
    <row r="1748" spans="1:23" ht="11.25" customHeight="1" x14ac:dyDescent="0.25">
      <c r="A1748" s="3" t="s">
        <v>56</v>
      </c>
      <c r="B1748" s="3" t="s">
        <v>37</v>
      </c>
      <c r="C1748" s="3" t="s">
        <v>23</v>
      </c>
      <c r="D1748" s="3" t="s">
        <v>43</v>
      </c>
      <c r="E1748" s="3" t="s">
        <v>25</v>
      </c>
      <c r="F1748" s="3" t="s">
        <v>25</v>
      </c>
      <c r="G1748" s="3" t="s">
        <v>25</v>
      </c>
      <c r="H1748" s="3" t="s">
        <v>25</v>
      </c>
      <c r="I1748" s="6">
        <v>44621</v>
      </c>
      <c r="J1748" s="4">
        <v>0</v>
      </c>
      <c r="K1748" s="4">
        <v>0</v>
      </c>
      <c r="L1748" s="4">
        <v>21829.773000000001</v>
      </c>
      <c r="M1748" s="4">
        <v>21829.773000000001</v>
      </c>
      <c r="N1748" s="4">
        <v>21829.773000000001</v>
      </c>
      <c r="O1748" s="4">
        <v>21829.773000000001</v>
      </c>
      <c r="P1748" s="4">
        <v>42696</v>
      </c>
      <c r="Q1748" s="3" t="s">
        <v>26</v>
      </c>
      <c r="R1748" s="3">
        <v>0</v>
      </c>
      <c r="S1748" s="3" t="s">
        <v>563</v>
      </c>
      <c r="T1748" s="3" t="s">
        <v>844</v>
      </c>
      <c r="U1748" s="3">
        <v>0</v>
      </c>
      <c r="V1748" s="3">
        <v>84</v>
      </c>
      <c r="W1748" s="3">
        <v>7</v>
      </c>
    </row>
    <row r="1749" spans="1:23" ht="11.25" customHeight="1" x14ac:dyDescent="0.25">
      <c r="A1749" s="3" t="s">
        <v>56</v>
      </c>
      <c r="B1749" s="3" t="s">
        <v>37</v>
      </c>
      <c r="C1749" s="3" t="s">
        <v>23</v>
      </c>
      <c r="D1749" s="3" t="s">
        <v>43</v>
      </c>
      <c r="E1749" s="3" t="s">
        <v>25</v>
      </c>
      <c r="F1749" s="3" t="s">
        <v>25</v>
      </c>
      <c r="G1749" s="3" t="s">
        <v>25</v>
      </c>
      <c r="H1749" s="3" t="s">
        <v>25</v>
      </c>
      <c r="I1749" s="6">
        <v>44621</v>
      </c>
      <c r="J1749" s="4">
        <v>0</v>
      </c>
      <c r="K1749" s="4">
        <v>0</v>
      </c>
      <c r="L1749" s="4">
        <v>-1.9750000000000001</v>
      </c>
      <c r="M1749" s="4">
        <v>-1.9750000000000001</v>
      </c>
      <c r="N1749" s="4">
        <v>-1.9750000000000001</v>
      </c>
      <c r="O1749" s="4">
        <v>-1.9750000000000001</v>
      </c>
      <c r="P1749" s="4">
        <v>-3</v>
      </c>
      <c r="Q1749" s="3" t="s">
        <v>26</v>
      </c>
      <c r="R1749" s="3">
        <v>0</v>
      </c>
      <c r="S1749" s="3" t="s">
        <v>563</v>
      </c>
      <c r="T1749" s="3" t="s">
        <v>844</v>
      </c>
      <c r="U1749" s="3">
        <v>0</v>
      </c>
      <c r="V1749" s="3">
        <v>84</v>
      </c>
      <c r="W1749" s="3">
        <v>7</v>
      </c>
    </row>
    <row r="1750" spans="1:23" ht="11.25" customHeight="1" x14ac:dyDescent="0.25">
      <c r="A1750" s="3" t="s">
        <v>56</v>
      </c>
      <c r="B1750" s="3" t="s">
        <v>37</v>
      </c>
      <c r="C1750" s="3" t="s">
        <v>23</v>
      </c>
      <c r="D1750" s="3" t="s">
        <v>43</v>
      </c>
      <c r="E1750" s="3" t="s">
        <v>25</v>
      </c>
      <c r="F1750" s="3" t="s">
        <v>25</v>
      </c>
      <c r="G1750" s="3" t="s">
        <v>25</v>
      </c>
      <c r="H1750" s="3" t="s">
        <v>25</v>
      </c>
      <c r="I1750" s="6">
        <v>44621</v>
      </c>
      <c r="J1750" s="4">
        <v>0</v>
      </c>
      <c r="K1750" s="4">
        <v>0</v>
      </c>
      <c r="L1750" s="4">
        <v>1941.952</v>
      </c>
      <c r="M1750" s="4">
        <v>1941.952</v>
      </c>
      <c r="N1750" s="4">
        <v>1941.952</v>
      </c>
      <c r="O1750" s="4">
        <v>1941.952</v>
      </c>
      <c r="P1750" s="4">
        <v>2252</v>
      </c>
      <c r="Q1750" s="3" t="s">
        <v>26</v>
      </c>
      <c r="R1750" s="3">
        <v>0</v>
      </c>
      <c r="S1750" s="3" t="s">
        <v>563</v>
      </c>
      <c r="T1750" s="3" t="s">
        <v>844</v>
      </c>
      <c r="U1750" s="3">
        <v>0</v>
      </c>
      <c r="V1750" s="3">
        <v>84</v>
      </c>
      <c r="W1750" s="3">
        <v>7</v>
      </c>
    </row>
    <row r="1751" spans="1:23" ht="11.25" customHeight="1" x14ac:dyDescent="0.25">
      <c r="A1751" s="3" t="s">
        <v>56</v>
      </c>
      <c r="B1751" s="3" t="s">
        <v>37</v>
      </c>
      <c r="C1751" s="3" t="s">
        <v>23</v>
      </c>
      <c r="D1751" s="3" t="s">
        <v>43</v>
      </c>
      <c r="E1751" s="3" t="s">
        <v>25</v>
      </c>
      <c r="F1751" s="3" t="s">
        <v>25</v>
      </c>
      <c r="G1751" s="3" t="s">
        <v>25</v>
      </c>
      <c r="H1751" s="3" t="s">
        <v>25</v>
      </c>
      <c r="I1751" s="6">
        <v>44621</v>
      </c>
      <c r="J1751" s="4">
        <v>0</v>
      </c>
      <c r="K1751" s="4">
        <v>0</v>
      </c>
      <c r="L1751" s="4">
        <v>-0.58199999999999996</v>
      </c>
      <c r="M1751" s="4">
        <v>-0.58199999999999996</v>
      </c>
      <c r="N1751" s="4">
        <v>-0.58199999999999996</v>
      </c>
      <c r="O1751" s="4">
        <v>-0.58199999999999996</v>
      </c>
      <c r="P1751" s="4">
        <v>0</v>
      </c>
      <c r="Q1751" s="3" t="s">
        <v>26</v>
      </c>
      <c r="R1751" s="3">
        <v>0</v>
      </c>
      <c r="S1751" s="3" t="s">
        <v>563</v>
      </c>
      <c r="T1751" s="3" t="s">
        <v>844</v>
      </c>
      <c r="U1751" s="3">
        <v>0</v>
      </c>
      <c r="V1751" s="3">
        <v>84</v>
      </c>
      <c r="W1751" s="3">
        <v>7</v>
      </c>
    </row>
    <row r="1752" spans="1:23" ht="11.25" customHeight="1" x14ac:dyDescent="0.25">
      <c r="A1752" s="3" t="s">
        <v>21</v>
      </c>
      <c r="B1752" s="3" t="s">
        <v>37</v>
      </c>
      <c r="C1752" s="3" t="s">
        <v>23</v>
      </c>
      <c r="D1752" s="3" t="s">
        <v>52</v>
      </c>
      <c r="E1752" s="3" t="s">
        <v>25</v>
      </c>
      <c r="F1752" s="3" t="s">
        <v>25</v>
      </c>
      <c r="G1752" s="3" t="s">
        <v>25</v>
      </c>
      <c r="H1752" s="3" t="s">
        <v>25</v>
      </c>
      <c r="I1752" s="6">
        <v>44287</v>
      </c>
      <c r="J1752" s="4">
        <v>0</v>
      </c>
      <c r="K1752" s="4">
        <v>0</v>
      </c>
      <c r="L1752" s="4">
        <v>135.946</v>
      </c>
      <c r="M1752" s="4">
        <v>135.946</v>
      </c>
      <c r="N1752" s="4">
        <v>135.946</v>
      </c>
      <c r="O1752" s="4">
        <v>135.946</v>
      </c>
      <c r="P1752" s="4">
        <v>124</v>
      </c>
      <c r="Q1752" s="3" t="s">
        <v>26</v>
      </c>
      <c r="R1752" s="3">
        <v>0</v>
      </c>
      <c r="S1752" s="3" t="s">
        <v>552</v>
      </c>
      <c r="T1752" s="3" t="s">
        <v>833</v>
      </c>
      <c r="U1752" s="3">
        <v>0</v>
      </c>
      <c r="V1752" s="3">
        <v>84</v>
      </c>
      <c r="W1752" s="3">
        <v>7</v>
      </c>
    </row>
    <row r="1753" spans="1:23" ht="11.25" customHeight="1" x14ac:dyDescent="0.25">
      <c r="A1753" s="3" t="s">
        <v>21</v>
      </c>
      <c r="B1753" s="3" t="s">
        <v>37</v>
      </c>
      <c r="C1753" s="3" t="s">
        <v>23</v>
      </c>
      <c r="D1753" s="3" t="s">
        <v>52</v>
      </c>
      <c r="E1753" s="3" t="s">
        <v>25</v>
      </c>
      <c r="F1753" s="3" t="s">
        <v>25</v>
      </c>
      <c r="G1753" s="3" t="s">
        <v>25</v>
      </c>
      <c r="H1753" s="3" t="s">
        <v>25</v>
      </c>
      <c r="I1753" s="6">
        <v>44317</v>
      </c>
      <c r="J1753" s="4">
        <v>0</v>
      </c>
      <c r="K1753" s="4">
        <v>0</v>
      </c>
      <c r="L1753" s="4">
        <v>116.85299999999999</v>
      </c>
      <c r="M1753" s="4">
        <v>116.85299999999999</v>
      </c>
      <c r="N1753" s="4">
        <v>116.85299999999999</v>
      </c>
      <c r="O1753" s="4">
        <v>116.85299999999999</v>
      </c>
      <c r="P1753" s="4">
        <v>126</v>
      </c>
      <c r="Q1753" s="3" t="s">
        <v>26</v>
      </c>
      <c r="R1753" s="3">
        <v>0</v>
      </c>
      <c r="S1753" s="3" t="s">
        <v>553</v>
      </c>
      <c r="T1753" s="3" t="s">
        <v>834</v>
      </c>
      <c r="U1753" s="3">
        <v>0</v>
      </c>
      <c r="V1753" s="3">
        <v>84</v>
      </c>
      <c r="W1753" s="3">
        <v>7</v>
      </c>
    </row>
    <row r="1754" spans="1:23" ht="11.25" customHeight="1" x14ac:dyDescent="0.25">
      <c r="A1754" s="3" t="s">
        <v>21</v>
      </c>
      <c r="B1754" s="3" t="s">
        <v>37</v>
      </c>
      <c r="C1754" s="3" t="s">
        <v>23</v>
      </c>
      <c r="D1754" s="3" t="s">
        <v>52</v>
      </c>
      <c r="E1754" s="3" t="s">
        <v>25</v>
      </c>
      <c r="F1754" s="3" t="s">
        <v>25</v>
      </c>
      <c r="G1754" s="3" t="s">
        <v>25</v>
      </c>
      <c r="H1754" s="3" t="s">
        <v>25</v>
      </c>
      <c r="I1754" s="6">
        <v>44348</v>
      </c>
      <c r="J1754" s="4">
        <v>0</v>
      </c>
      <c r="K1754" s="4">
        <v>0</v>
      </c>
      <c r="L1754" s="4">
        <v>110.857</v>
      </c>
      <c r="M1754" s="4">
        <v>110.857</v>
      </c>
      <c r="N1754" s="4">
        <v>110.857</v>
      </c>
      <c r="O1754" s="4">
        <v>110.857</v>
      </c>
      <c r="P1754" s="4">
        <v>122</v>
      </c>
      <c r="Q1754" s="3" t="s">
        <v>26</v>
      </c>
      <c r="R1754" s="3">
        <v>0</v>
      </c>
      <c r="S1754" s="3" t="s">
        <v>554</v>
      </c>
      <c r="T1754" s="3" t="s">
        <v>835</v>
      </c>
      <c r="U1754" s="3">
        <v>0</v>
      </c>
      <c r="V1754" s="3">
        <v>84</v>
      </c>
      <c r="W1754" s="3">
        <v>7</v>
      </c>
    </row>
    <row r="1755" spans="1:23" ht="11.25" customHeight="1" x14ac:dyDescent="0.25">
      <c r="A1755" s="3" t="s">
        <v>27</v>
      </c>
      <c r="B1755" s="3" t="s">
        <v>37</v>
      </c>
      <c r="C1755" s="3" t="s">
        <v>23</v>
      </c>
      <c r="D1755" s="3" t="s">
        <v>52</v>
      </c>
      <c r="E1755" s="3" t="s">
        <v>25</v>
      </c>
      <c r="F1755" s="3" t="s">
        <v>25</v>
      </c>
      <c r="G1755" s="3" t="s">
        <v>25</v>
      </c>
      <c r="H1755" s="3" t="s">
        <v>25</v>
      </c>
      <c r="I1755" s="6">
        <v>44348</v>
      </c>
      <c r="J1755" s="4">
        <v>0</v>
      </c>
      <c r="K1755" s="4">
        <v>0</v>
      </c>
      <c r="L1755" s="4">
        <v>0.1</v>
      </c>
      <c r="M1755" s="4">
        <v>0.1</v>
      </c>
      <c r="N1755" s="4">
        <v>0.1</v>
      </c>
      <c r="O1755" s="4">
        <v>0.1</v>
      </c>
      <c r="P1755" s="4">
        <v>2</v>
      </c>
      <c r="Q1755" s="3" t="s">
        <v>26</v>
      </c>
      <c r="R1755" s="3">
        <v>0</v>
      </c>
      <c r="S1755" s="3" t="s">
        <v>554</v>
      </c>
      <c r="T1755" s="3" t="s">
        <v>835</v>
      </c>
      <c r="U1755" s="3">
        <v>0</v>
      </c>
      <c r="V1755" s="3">
        <v>84</v>
      </c>
      <c r="W1755" s="3">
        <v>7</v>
      </c>
    </row>
    <row r="1756" spans="1:23" ht="11.25" customHeight="1" x14ac:dyDescent="0.25">
      <c r="A1756" s="3" t="s">
        <v>21</v>
      </c>
      <c r="B1756" s="3" t="s">
        <v>37</v>
      </c>
      <c r="C1756" s="3" t="s">
        <v>23</v>
      </c>
      <c r="D1756" s="3" t="s">
        <v>52</v>
      </c>
      <c r="E1756" s="3" t="s">
        <v>25</v>
      </c>
      <c r="F1756" s="3" t="s">
        <v>25</v>
      </c>
      <c r="G1756" s="3" t="s">
        <v>25</v>
      </c>
      <c r="H1756" s="3" t="s">
        <v>25</v>
      </c>
      <c r="I1756" s="6">
        <v>44378</v>
      </c>
      <c r="J1756" s="4">
        <v>0</v>
      </c>
      <c r="K1756" s="4">
        <v>0</v>
      </c>
      <c r="L1756" s="4">
        <v>110.09099999999999</v>
      </c>
      <c r="M1756" s="4">
        <v>110.09099999999999</v>
      </c>
      <c r="N1756" s="4">
        <v>110.09099999999999</v>
      </c>
      <c r="O1756" s="4">
        <v>110.09099999999999</v>
      </c>
      <c r="P1756" s="4">
        <v>124</v>
      </c>
      <c r="Q1756" s="3" t="s">
        <v>26</v>
      </c>
      <c r="R1756" s="3">
        <v>0</v>
      </c>
      <c r="S1756" s="3" t="s">
        <v>555</v>
      </c>
      <c r="T1756" s="3" t="s">
        <v>836</v>
      </c>
      <c r="U1756" s="3">
        <v>0</v>
      </c>
      <c r="V1756" s="3">
        <v>84</v>
      </c>
      <c r="W1756" s="3">
        <v>7</v>
      </c>
    </row>
    <row r="1757" spans="1:23" ht="11.25" customHeight="1" x14ac:dyDescent="0.25">
      <c r="A1757" s="3" t="s">
        <v>21</v>
      </c>
      <c r="B1757" s="3" t="s">
        <v>37</v>
      </c>
      <c r="C1757" s="3" t="s">
        <v>23</v>
      </c>
      <c r="D1757" s="3" t="s">
        <v>52</v>
      </c>
      <c r="E1757" s="3" t="s">
        <v>25</v>
      </c>
      <c r="F1757" s="3" t="s">
        <v>25</v>
      </c>
      <c r="G1757" s="3" t="s">
        <v>25</v>
      </c>
      <c r="H1757" s="3" t="s">
        <v>25</v>
      </c>
      <c r="I1757" s="6">
        <v>44409</v>
      </c>
      <c r="J1757" s="4">
        <v>0</v>
      </c>
      <c r="K1757" s="4">
        <v>0</v>
      </c>
      <c r="L1757" s="4">
        <v>107.078</v>
      </c>
      <c r="M1757" s="4">
        <v>107.078</v>
      </c>
      <c r="N1757" s="4">
        <v>107.078</v>
      </c>
      <c r="O1757" s="4">
        <v>107.078</v>
      </c>
      <c r="P1757" s="4">
        <v>124</v>
      </c>
      <c r="Q1757" s="3" t="s">
        <v>26</v>
      </c>
      <c r="R1757" s="3">
        <v>0</v>
      </c>
      <c r="S1757" s="3" t="s">
        <v>556</v>
      </c>
      <c r="T1757" s="3" t="s">
        <v>837</v>
      </c>
      <c r="U1757" s="3">
        <v>0</v>
      </c>
      <c r="V1757" s="3">
        <v>84</v>
      </c>
      <c r="W1757" s="3">
        <v>7</v>
      </c>
    </row>
    <row r="1758" spans="1:23" ht="11.25" customHeight="1" x14ac:dyDescent="0.25">
      <c r="A1758" s="3" t="s">
        <v>21</v>
      </c>
      <c r="B1758" s="3" t="s">
        <v>37</v>
      </c>
      <c r="C1758" s="3" t="s">
        <v>23</v>
      </c>
      <c r="D1758" s="3" t="s">
        <v>52</v>
      </c>
      <c r="E1758" s="3" t="s">
        <v>25</v>
      </c>
      <c r="F1758" s="3" t="s">
        <v>25</v>
      </c>
      <c r="G1758" s="3" t="s">
        <v>25</v>
      </c>
      <c r="H1758" s="3" t="s">
        <v>25</v>
      </c>
      <c r="I1758" s="6">
        <v>44440</v>
      </c>
      <c r="J1758" s="4">
        <v>0</v>
      </c>
      <c r="K1758" s="4">
        <v>0</v>
      </c>
      <c r="L1758" s="4">
        <v>112.01900000000001</v>
      </c>
      <c r="M1758" s="4">
        <v>112.01900000000001</v>
      </c>
      <c r="N1758" s="4">
        <v>112.01900000000001</v>
      </c>
      <c r="O1758" s="4">
        <v>112.01900000000001</v>
      </c>
      <c r="P1758" s="4">
        <v>115</v>
      </c>
      <c r="Q1758" s="3" t="s">
        <v>26</v>
      </c>
      <c r="R1758" s="3">
        <v>0</v>
      </c>
      <c r="S1758" s="3" t="s">
        <v>557</v>
      </c>
      <c r="T1758" s="3" t="s">
        <v>838</v>
      </c>
      <c r="U1758" s="3">
        <v>0</v>
      </c>
      <c r="V1758" s="3">
        <v>84</v>
      </c>
      <c r="W1758" s="3">
        <v>7</v>
      </c>
    </row>
    <row r="1759" spans="1:23" ht="11.25" customHeight="1" x14ac:dyDescent="0.25">
      <c r="A1759" s="3" t="s">
        <v>21</v>
      </c>
      <c r="B1759" s="3" t="s">
        <v>37</v>
      </c>
      <c r="C1759" s="3" t="s">
        <v>23</v>
      </c>
      <c r="D1759" s="3" t="s">
        <v>52</v>
      </c>
      <c r="E1759" s="3" t="s">
        <v>25</v>
      </c>
      <c r="F1759" s="3" t="s">
        <v>25</v>
      </c>
      <c r="G1759" s="3" t="s">
        <v>25</v>
      </c>
      <c r="H1759" s="3" t="s">
        <v>25</v>
      </c>
      <c r="I1759" s="6">
        <v>44470</v>
      </c>
      <c r="J1759" s="4">
        <v>0</v>
      </c>
      <c r="K1759" s="4">
        <v>0</v>
      </c>
      <c r="L1759" s="4">
        <v>125.72799999999999</v>
      </c>
      <c r="M1759" s="4">
        <v>125.72799999999999</v>
      </c>
      <c r="N1759" s="4">
        <v>125.72799999999999</v>
      </c>
      <c r="O1759" s="4">
        <v>125.72799999999999</v>
      </c>
      <c r="P1759" s="4">
        <v>114</v>
      </c>
      <c r="Q1759" s="3" t="s">
        <v>26</v>
      </c>
      <c r="R1759" s="3">
        <v>0</v>
      </c>
      <c r="S1759" s="3" t="s">
        <v>558</v>
      </c>
      <c r="T1759" s="3" t="s">
        <v>839</v>
      </c>
      <c r="U1759" s="3">
        <v>0</v>
      </c>
      <c r="V1759" s="3">
        <v>84</v>
      </c>
      <c r="W1759" s="3">
        <v>7</v>
      </c>
    </row>
    <row r="1760" spans="1:23" ht="11.25" customHeight="1" x14ac:dyDescent="0.25">
      <c r="A1760" s="3" t="s">
        <v>21</v>
      </c>
      <c r="B1760" s="3" t="s">
        <v>37</v>
      </c>
      <c r="C1760" s="3" t="s">
        <v>23</v>
      </c>
      <c r="D1760" s="3" t="s">
        <v>52</v>
      </c>
      <c r="E1760" s="3" t="s">
        <v>25</v>
      </c>
      <c r="F1760" s="3" t="s">
        <v>25</v>
      </c>
      <c r="G1760" s="3" t="s">
        <v>25</v>
      </c>
      <c r="H1760" s="3" t="s">
        <v>25</v>
      </c>
      <c r="I1760" s="6">
        <v>44501</v>
      </c>
      <c r="J1760" s="4">
        <v>0</v>
      </c>
      <c r="K1760" s="4">
        <v>0</v>
      </c>
      <c r="L1760" s="4">
        <v>131.577</v>
      </c>
      <c r="M1760" s="4">
        <v>131.577</v>
      </c>
      <c r="N1760" s="4">
        <v>131.577</v>
      </c>
      <c r="O1760" s="4">
        <v>131.577</v>
      </c>
      <c r="P1760" s="4">
        <v>122</v>
      </c>
      <c r="Q1760" s="3" t="s">
        <v>26</v>
      </c>
      <c r="R1760" s="3">
        <v>0</v>
      </c>
      <c r="S1760" s="3" t="s">
        <v>559</v>
      </c>
      <c r="T1760" s="3" t="s">
        <v>840</v>
      </c>
      <c r="U1760" s="3">
        <v>0</v>
      </c>
      <c r="V1760" s="3">
        <v>84</v>
      </c>
      <c r="W1760" s="3">
        <v>7</v>
      </c>
    </row>
    <row r="1761" spans="1:23" ht="11.25" customHeight="1" x14ac:dyDescent="0.25">
      <c r="A1761" s="3" t="s">
        <v>21</v>
      </c>
      <c r="B1761" s="3" t="s">
        <v>37</v>
      </c>
      <c r="C1761" s="3" t="s">
        <v>23</v>
      </c>
      <c r="D1761" s="3" t="s">
        <v>52</v>
      </c>
      <c r="E1761" s="3" t="s">
        <v>25</v>
      </c>
      <c r="F1761" s="3" t="s">
        <v>25</v>
      </c>
      <c r="G1761" s="3" t="s">
        <v>25</v>
      </c>
      <c r="H1761" s="3" t="s">
        <v>25</v>
      </c>
      <c r="I1761" s="6">
        <v>44531</v>
      </c>
      <c r="J1761" s="4">
        <v>0</v>
      </c>
      <c r="K1761" s="4">
        <v>0</v>
      </c>
      <c r="L1761" s="4">
        <v>144.143</v>
      </c>
      <c r="M1761" s="4">
        <v>144.143</v>
      </c>
      <c r="N1761" s="4">
        <v>144.143</v>
      </c>
      <c r="O1761" s="4">
        <v>144.143</v>
      </c>
      <c r="P1761" s="4">
        <v>114</v>
      </c>
      <c r="Q1761" s="3" t="s">
        <v>26</v>
      </c>
      <c r="R1761" s="3">
        <v>0</v>
      </c>
      <c r="S1761" s="3" t="s">
        <v>560</v>
      </c>
      <c r="T1761" s="3" t="s">
        <v>841</v>
      </c>
      <c r="U1761" s="3">
        <v>0</v>
      </c>
      <c r="V1761" s="3">
        <v>84</v>
      </c>
      <c r="W1761" s="3">
        <v>7</v>
      </c>
    </row>
    <row r="1762" spans="1:23" ht="11.25" customHeight="1" x14ac:dyDescent="0.25">
      <c r="A1762" s="3" t="s">
        <v>21</v>
      </c>
      <c r="B1762" s="3" t="s">
        <v>37</v>
      </c>
      <c r="C1762" s="3" t="s">
        <v>23</v>
      </c>
      <c r="D1762" s="3" t="s">
        <v>52</v>
      </c>
      <c r="E1762" s="3" t="s">
        <v>25</v>
      </c>
      <c r="F1762" s="3" t="s">
        <v>25</v>
      </c>
      <c r="G1762" s="3" t="s">
        <v>25</v>
      </c>
      <c r="H1762" s="3" t="s">
        <v>25</v>
      </c>
      <c r="I1762" s="6">
        <v>44562</v>
      </c>
      <c r="J1762" s="4">
        <v>0</v>
      </c>
      <c r="K1762" s="4">
        <v>0</v>
      </c>
      <c r="L1762" s="4">
        <v>138.63300000000001</v>
      </c>
      <c r="M1762" s="4">
        <v>138.63300000000001</v>
      </c>
      <c r="N1762" s="4">
        <v>138.63300000000001</v>
      </c>
      <c r="O1762" s="4">
        <v>138.63300000000001</v>
      </c>
      <c r="P1762" s="4">
        <v>105</v>
      </c>
      <c r="Q1762" s="3" t="s">
        <v>26</v>
      </c>
      <c r="R1762" s="3">
        <v>0</v>
      </c>
      <c r="S1762" s="3" t="s">
        <v>561</v>
      </c>
      <c r="T1762" s="3" t="s">
        <v>842</v>
      </c>
      <c r="U1762" s="3">
        <v>0</v>
      </c>
      <c r="V1762" s="3">
        <v>84</v>
      </c>
      <c r="W1762" s="3">
        <v>7</v>
      </c>
    </row>
    <row r="1763" spans="1:23" ht="11.25" customHeight="1" x14ac:dyDescent="0.25">
      <c r="A1763" s="3" t="s">
        <v>21</v>
      </c>
      <c r="B1763" s="3" t="s">
        <v>37</v>
      </c>
      <c r="C1763" s="3" t="s">
        <v>23</v>
      </c>
      <c r="D1763" s="3" t="s">
        <v>52</v>
      </c>
      <c r="E1763" s="3" t="s">
        <v>25</v>
      </c>
      <c r="F1763" s="3" t="s">
        <v>25</v>
      </c>
      <c r="G1763" s="3" t="s">
        <v>25</v>
      </c>
      <c r="H1763" s="3" t="s">
        <v>25</v>
      </c>
      <c r="I1763" s="6">
        <v>44593</v>
      </c>
      <c r="J1763" s="4">
        <v>0</v>
      </c>
      <c r="K1763" s="4">
        <v>0</v>
      </c>
      <c r="L1763" s="4">
        <v>139.43199999999999</v>
      </c>
      <c r="M1763" s="4">
        <v>139.43199999999999</v>
      </c>
      <c r="N1763" s="4">
        <v>139.43199999999999</v>
      </c>
      <c r="O1763" s="4">
        <v>139.43199999999999</v>
      </c>
      <c r="P1763" s="4">
        <v>109</v>
      </c>
      <c r="Q1763" s="3" t="s">
        <v>26</v>
      </c>
      <c r="R1763" s="3">
        <v>0</v>
      </c>
      <c r="S1763" s="3" t="s">
        <v>562</v>
      </c>
      <c r="T1763" s="3" t="s">
        <v>843</v>
      </c>
      <c r="U1763" s="3">
        <v>0</v>
      </c>
      <c r="V1763" s="3">
        <v>84</v>
      </c>
      <c r="W1763" s="3">
        <v>7</v>
      </c>
    </row>
    <row r="1764" spans="1:23" ht="11.25" customHeight="1" x14ac:dyDescent="0.25">
      <c r="A1764" s="3" t="s">
        <v>56</v>
      </c>
      <c r="B1764" s="3" t="s">
        <v>37</v>
      </c>
      <c r="C1764" s="3" t="s">
        <v>23</v>
      </c>
      <c r="D1764" s="3" t="s">
        <v>52</v>
      </c>
      <c r="E1764" s="3" t="s">
        <v>25</v>
      </c>
      <c r="F1764" s="3" t="s">
        <v>25</v>
      </c>
      <c r="G1764" s="3" t="s">
        <v>25</v>
      </c>
      <c r="H1764" s="3" t="s">
        <v>25</v>
      </c>
      <c r="I1764" s="6">
        <v>44621</v>
      </c>
      <c r="J1764" s="4">
        <v>0</v>
      </c>
      <c r="K1764" s="4">
        <v>0</v>
      </c>
      <c r="L1764" s="4">
        <v>139.43199999999999</v>
      </c>
      <c r="M1764" s="4">
        <v>139.43199999999999</v>
      </c>
      <c r="N1764" s="4">
        <v>139.43199999999999</v>
      </c>
      <c r="O1764" s="4">
        <v>139.43199999999999</v>
      </c>
      <c r="P1764" s="4">
        <v>109</v>
      </c>
      <c r="Q1764" s="3" t="s">
        <v>26</v>
      </c>
      <c r="R1764" s="3">
        <v>0</v>
      </c>
      <c r="S1764" s="3" t="s">
        <v>563</v>
      </c>
      <c r="T1764" s="3" t="s">
        <v>844</v>
      </c>
      <c r="U1764" s="3">
        <v>0</v>
      </c>
      <c r="V1764" s="3">
        <v>84</v>
      </c>
      <c r="W1764" s="3">
        <v>7</v>
      </c>
    </row>
    <row r="1765" spans="1:23" ht="11.25" customHeight="1" x14ac:dyDescent="0.25">
      <c r="A1765" s="3" t="s">
        <v>21</v>
      </c>
      <c r="B1765" s="3" t="s">
        <v>37</v>
      </c>
      <c r="C1765" s="3" t="s">
        <v>23</v>
      </c>
      <c r="D1765" s="3" t="s">
        <v>38</v>
      </c>
      <c r="E1765" s="3" t="s">
        <v>25</v>
      </c>
      <c r="F1765" s="3" t="s">
        <v>25</v>
      </c>
      <c r="G1765" s="3" t="s">
        <v>25</v>
      </c>
      <c r="H1765" s="3" t="s">
        <v>25</v>
      </c>
      <c r="I1765" s="6">
        <v>44287</v>
      </c>
      <c r="J1765" s="4">
        <v>0</v>
      </c>
      <c r="K1765" s="4">
        <v>0</v>
      </c>
      <c r="L1765" s="4">
        <v>1293.548</v>
      </c>
      <c r="M1765" s="4">
        <v>1293.548</v>
      </c>
      <c r="N1765" s="4">
        <v>1293.548</v>
      </c>
      <c r="O1765" s="4">
        <v>1293.548</v>
      </c>
      <c r="P1765" s="4">
        <v>683</v>
      </c>
      <c r="Q1765" s="3" t="s">
        <v>26</v>
      </c>
      <c r="R1765" s="3">
        <v>0</v>
      </c>
      <c r="S1765" s="3" t="s">
        <v>552</v>
      </c>
      <c r="T1765" s="3" t="s">
        <v>833</v>
      </c>
      <c r="U1765" s="3">
        <v>0</v>
      </c>
      <c r="V1765" s="3">
        <v>84</v>
      </c>
      <c r="W1765" s="3">
        <v>7</v>
      </c>
    </row>
    <row r="1766" spans="1:23" ht="11.25" customHeight="1" x14ac:dyDescent="0.25">
      <c r="A1766" s="3" t="s">
        <v>27</v>
      </c>
      <c r="B1766" s="3" t="s">
        <v>37</v>
      </c>
      <c r="C1766" s="3" t="s">
        <v>23</v>
      </c>
      <c r="D1766" s="3" t="s">
        <v>38</v>
      </c>
      <c r="E1766" s="3" t="s">
        <v>25</v>
      </c>
      <c r="F1766" s="3" t="s">
        <v>25</v>
      </c>
      <c r="G1766" s="3" t="s">
        <v>25</v>
      </c>
      <c r="H1766" s="3" t="s">
        <v>25</v>
      </c>
      <c r="I1766" s="6">
        <v>44287</v>
      </c>
      <c r="J1766" s="4">
        <v>0</v>
      </c>
      <c r="K1766" s="4">
        <v>0</v>
      </c>
      <c r="L1766" s="4">
        <v>-0.186</v>
      </c>
      <c r="M1766" s="4">
        <v>-0.186</v>
      </c>
      <c r="N1766" s="4">
        <v>-0.186</v>
      </c>
      <c r="O1766" s="4">
        <v>-0.186</v>
      </c>
      <c r="P1766" s="4">
        <v>0</v>
      </c>
      <c r="Q1766" s="3" t="s">
        <v>26</v>
      </c>
      <c r="R1766" s="3">
        <v>0</v>
      </c>
      <c r="S1766" s="3" t="s">
        <v>552</v>
      </c>
      <c r="T1766" s="3" t="s">
        <v>833</v>
      </c>
      <c r="U1766" s="3">
        <v>0</v>
      </c>
      <c r="V1766" s="3">
        <v>84</v>
      </c>
      <c r="W1766" s="3">
        <v>7</v>
      </c>
    </row>
    <row r="1767" spans="1:23" ht="11.25" customHeight="1" x14ac:dyDescent="0.25">
      <c r="A1767" s="3" t="s">
        <v>28</v>
      </c>
      <c r="B1767" s="3" t="s">
        <v>37</v>
      </c>
      <c r="C1767" s="3" t="s">
        <v>23</v>
      </c>
      <c r="D1767" s="3" t="s">
        <v>38</v>
      </c>
      <c r="E1767" s="3" t="s">
        <v>25</v>
      </c>
      <c r="F1767" s="3" t="s">
        <v>25</v>
      </c>
      <c r="G1767" s="3" t="s">
        <v>25</v>
      </c>
      <c r="H1767" s="3" t="s">
        <v>25</v>
      </c>
      <c r="I1767" s="6">
        <v>44287</v>
      </c>
      <c r="J1767" s="4">
        <v>0</v>
      </c>
      <c r="K1767" s="4">
        <v>0</v>
      </c>
      <c r="L1767" s="4">
        <v>42.223999999999997</v>
      </c>
      <c r="M1767" s="4">
        <v>42.223999999999997</v>
      </c>
      <c r="N1767" s="4">
        <v>42.223999999999997</v>
      </c>
      <c r="O1767" s="4">
        <v>42.223999999999997</v>
      </c>
      <c r="P1767" s="4">
        <v>45</v>
      </c>
      <c r="Q1767" s="3" t="s">
        <v>26</v>
      </c>
      <c r="R1767" s="3">
        <v>0</v>
      </c>
      <c r="S1767" s="3" t="s">
        <v>552</v>
      </c>
      <c r="T1767" s="3" t="s">
        <v>833</v>
      </c>
      <c r="U1767" s="3">
        <v>0</v>
      </c>
      <c r="V1767" s="3">
        <v>84</v>
      </c>
      <c r="W1767" s="3">
        <v>7</v>
      </c>
    </row>
    <row r="1768" spans="1:23" ht="11.25" customHeight="1" x14ac:dyDescent="0.25">
      <c r="A1768" s="3" t="s">
        <v>21</v>
      </c>
      <c r="B1768" s="3" t="s">
        <v>37</v>
      </c>
      <c r="C1768" s="3" t="s">
        <v>23</v>
      </c>
      <c r="D1768" s="3" t="s">
        <v>38</v>
      </c>
      <c r="E1768" s="3" t="s">
        <v>25</v>
      </c>
      <c r="F1768" s="3" t="s">
        <v>25</v>
      </c>
      <c r="G1768" s="3" t="s">
        <v>25</v>
      </c>
      <c r="H1768" s="3" t="s">
        <v>25</v>
      </c>
      <c r="I1768" s="6">
        <v>44317</v>
      </c>
      <c r="J1768" s="4">
        <v>0</v>
      </c>
      <c r="K1768" s="4">
        <v>0</v>
      </c>
      <c r="L1768" s="4">
        <v>1185.8820000000001</v>
      </c>
      <c r="M1768" s="4">
        <v>1185.8820000000001</v>
      </c>
      <c r="N1768" s="4">
        <v>1185.8820000000001</v>
      </c>
      <c r="O1768" s="4">
        <v>1185.8820000000001</v>
      </c>
      <c r="P1768" s="4">
        <v>680</v>
      </c>
      <c r="Q1768" s="3" t="s">
        <v>26</v>
      </c>
      <c r="R1768" s="3">
        <v>0</v>
      </c>
      <c r="S1768" s="3" t="s">
        <v>553</v>
      </c>
      <c r="T1768" s="3" t="s">
        <v>834</v>
      </c>
      <c r="U1768" s="3">
        <v>0</v>
      </c>
      <c r="V1768" s="3">
        <v>84</v>
      </c>
      <c r="W1768" s="3">
        <v>7</v>
      </c>
    </row>
    <row r="1769" spans="1:23" ht="11.25" customHeight="1" x14ac:dyDescent="0.25">
      <c r="A1769" s="3" t="s">
        <v>27</v>
      </c>
      <c r="B1769" s="3" t="s">
        <v>37</v>
      </c>
      <c r="C1769" s="3" t="s">
        <v>23</v>
      </c>
      <c r="D1769" s="3" t="s">
        <v>38</v>
      </c>
      <c r="E1769" s="3" t="s">
        <v>25</v>
      </c>
      <c r="F1769" s="3" t="s">
        <v>25</v>
      </c>
      <c r="G1769" s="3" t="s">
        <v>25</v>
      </c>
      <c r="H1769" s="3" t="s">
        <v>25</v>
      </c>
      <c r="I1769" s="6">
        <v>44317</v>
      </c>
      <c r="J1769" s="4">
        <v>0</v>
      </c>
      <c r="K1769" s="4">
        <v>0</v>
      </c>
      <c r="L1769" s="4">
        <v>-1.38</v>
      </c>
      <c r="M1769" s="4">
        <v>-1.38</v>
      </c>
      <c r="N1769" s="4">
        <v>-1.38</v>
      </c>
      <c r="O1769" s="4">
        <v>-1.38</v>
      </c>
      <c r="P1769" s="4">
        <v>-9</v>
      </c>
      <c r="Q1769" s="3" t="s">
        <v>26</v>
      </c>
      <c r="R1769" s="3">
        <v>0</v>
      </c>
      <c r="S1769" s="3" t="s">
        <v>553</v>
      </c>
      <c r="T1769" s="3" t="s">
        <v>834</v>
      </c>
      <c r="U1769" s="3">
        <v>0</v>
      </c>
      <c r="V1769" s="3">
        <v>84</v>
      </c>
      <c r="W1769" s="3">
        <v>7</v>
      </c>
    </row>
    <row r="1770" spans="1:23" ht="11.25" customHeight="1" x14ac:dyDescent="0.25">
      <c r="A1770" s="3" t="s">
        <v>28</v>
      </c>
      <c r="B1770" s="3" t="s">
        <v>37</v>
      </c>
      <c r="C1770" s="3" t="s">
        <v>23</v>
      </c>
      <c r="D1770" s="3" t="s">
        <v>38</v>
      </c>
      <c r="E1770" s="3" t="s">
        <v>25</v>
      </c>
      <c r="F1770" s="3" t="s">
        <v>25</v>
      </c>
      <c r="G1770" s="3" t="s">
        <v>25</v>
      </c>
      <c r="H1770" s="3" t="s">
        <v>25</v>
      </c>
      <c r="I1770" s="6">
        <v>44317</v>
      </c>
      <c r="J1770" s="4">
        <v>0</v>
      </c>
      <c r="K1770" s="4">
        <v>0</v>
      </c>
      <c r="L1770" s="4">
        <v>49.832999999999998</v>
      </c>
      <c r="M1770" s="4">
        <v>49.832999999999998</v>
      </c>
      <c r="N1770" s="4">
        <v>49.832999999999998</v>
      </c>
      <c r="O1770" s="4">
        <v>49.832999999999998</v>
      </c>
      <c r="P1770" s="4">
        <v>49</v>
      </c>
      <c r="Q1770" s="3" t="s">
        <v>26</v>
      </c>
      <c r="R1770" s="3">
        <v>0</v>
      </c>
      <c r="S1770" s="3" t="s">
        <v>553</v>
      </c>
      <c r="T1770" s="3" t="s">
        <v>834</v>
      </c>
      <c r="U1770" s="3">
        <v>0</v>
      </c>
      <c r="V1770" s="3">
        <v>84</v>
      </c>
      <c r="W1770" s="3">
        <v>7</v>
      </c>
    </row>
    <row r="1771" spans="1:23" ht="11.25" customHeight="1" x14ac:dyDescent="0.25">
      <c r="A1771" s="3" t="s">
        <v>21</v>
      </c>
      <c r="B1771" s="3" t="s">
        <v>37</v>
      </c>
      <c r="C1771" s="3" t="s">
        <v>23</v>
      </c>
      <c r="D1771" s="3" t="s">
        <v>38</v>
      </c>
      <c r="E1771" s="3" t="s">
        <v>25</v>
      </c>
      <c r="F1771" s="3" t="s">
        <v>25</v>
      </c>
      <c r="G1771" s="3" t="s">
        <v>25</v>
      </c>
      <c r="H1771" s="3" t="s">
        <v>25</v>
      </c>
      <c r="I1771" s="6">
        <v>44348</v>
      </c>
      <c r="J1771" s="4">
        <v>0</v>
      </c>
      <c r="K1771" s="4">
        <v>0</v>
      </c>
      <c r="L1771" s="4">
        <v>1231.912</v>
      </c>
      <c r="M1771" s="4">
        <v>1231.912</v>
      </c>
      <c r="N1771" s="4">
        <v>1231.912</v>
      </c>
      <c r="O1771" s="4">
        <v>1231.912</v>
      </c>
      <c r="P1771" s="4">
        <v>680</v>
      </c>
      <c r="Q1771" s="3" t="s">
        <v>26</v>
      </c>
      <c r="R1771" s="3">
        <v>0</v>
      </c>
      <c r="S1771" s="3" t="s">
        <v>554</v>
      </c>
      <c r="T1771" s="3" t="s">
        <v>835</v>
      </c>
      <c r="U1771" s="3">
        <v>0</v>
      </c>
      <c r="V1771" s="3">
        <v>84</v>
      </c>
      <c r="W1771" s="3">
        <v>7</v>
      </c>
    </row>
    <row r="1772" spans="1:23" ht="11.25" customHeight="1" x14ac:dyDescent="0.25">
      <c r="A1772" s="3" t="s">
        <v>27</v>
      </c>
      <c r="B1772" s="3" t="s">
        <v>37</v>
      </c>
      <c r="C1772" s="3" t="s">
        <v>23</v>
      </c>
      <c r="D1772" s="3" t="s">
        <v>38</v>
      </c>
      <c r="E1772" s="3" t="s">
        <v>25</v>
      </c>
      <c r="F1772" s="3" t="s">
        <v>25</v>
      </c>
      <c r="G1772" s="3" t="s">
        <v>25</v>
      </c>
      <c r="H1772" s="3" t="s">
        <v>25</v>
      </c>
      <c r="I1772" s="6">
        <v>44348</v>
      </c>
      <c r="J1772" s="4">
        <v>0</v>
      </c>
      <c r="K1772" s="4">
        <v>0</v>
      </c>
      <c r="L1772" s="4">
        <v>-5.8999999999999997E-2</v>
      </c>
      <c r="M1772" s="4">
        <v>-5.8999999999999997E-2</v>
      </c>
      <c r="N1772" s="4">
        <v>-5.8999999999999997E-2</v>
      </c>
      <c r="O1772" s="4">
        <v>-5.8999999999999997E-2</v>
      </c>
      <c r="P1772" s="4">
        <v>0</v>
      </c>
      <c r="Q1772" s="3" t="s">
        <v>26</v>
      </c>
      <c r="R1772" s="3">
        <v>0</v>
      </c>
      <c r="S1772" s="3" t="s">
        <v>554</v>
      </c>
      <c r="T1772" s="3" t="s">
        <v>835</v>
      </c>
      <c r="U1772" s="3">
        <v>0</v>
      </c>
      <c r="V1772" s="3">
        <v>84</v>
      </c>
      <c r="W1772" s="3">
        <v>7</v>
      </c>
    </row>
    <row r="1773" spans="1:23" ht="11.25" customHeight="1" x14ac:dyDescent="0.25">
      <c r="A1773" s="3" t="s">
        <v>28</v>
      </c>
      <c r="B1773" s="3" t="s">
        <v>37</v>
      </c>
      <c r="C1773" s="3" t="s">
        <v>23</v>
      </c>
      <c r="D1773" s="3" t="s">
        <v>38</v>
      </c>
      <c r="E1773" s="3" t="s">
        <v>25</v>
      </c>
      <c r="F1773" s="3" t="s">
        <v>25</v>
      </c>
      <c r="G1773" s="3" t="s">
        <v>25</v>
      </c>
      <c r="H1773" s="3" t="s">
        <v>25</v>
      </c>
      <c r="I1773" s="6">
        <v>44348</v>
      </c>
      <c r="J1773" s="4">
        <v>0</v>
      </c>
      <c r="K1773" s="4">
        <v>0</v>
      </c>
      <c r="L1773" s="4">
        <v>55.109000000000002</v>
      </c>
      <c r="M1773" s="4">
        <v>55.109000000000002</v>
      </c>
      <c r="N1773" s="4">
        <v>55.109000000000002</v>
      </c>
      <c r="O1773" s="4">
        <v>55.109000000000002</v>
      </c>
      <c r="P1773" s="4">
        <v>49</v>
      </c>
      <c r="Q1773" s="3" t="s">
        <v>26</v>
      </c>
      <c r="R1773" s="3">
        <v>0</v>
      </c>
      <c r="S1773" s="3" t="s">
        <v>554</v>
      </c>
      <c r="T1773" s="3" t="s">
        <v>835</v>
      </c>
      <c r="U1773" s="3">
        <v>0</v>
      </c>
      <c r="V1773" s="3">
        <v>84</v>
      </c>
      <c r="W1773" s="3">
        <v>7</v>
      </c>
    </row>
    <row r="1774" spans="1:23" ht="11.25" customHeight="1" x14ac:dyDescent="0.25">
      <c r="A1774" s="3" t="s">
        <v>21</v>
      </c>
      <c r="B1774" s="3" t="s">
        <v>37</v>
      </c>
      <c r="C1774" s="3" t="s">
        <v>23</v>
      </c>
      <c r="D1774" s="3" t="s">
        <v>38</v>
      </c>
      <c r="E1774" s="3" t="s">
        <v>25</v>
      </c>
      <c r="F1774" s="3" t="s">
        <v>25</v>
      </c>
      <c r="G1774" s="3" t="s">
        <v>25</v>
      </c>
      <c r="H1774" s="3" t="s">
        <v>25</v>
      </c>
      <c r="I1774" s="6">
        <v>44378</v>
      </c>
      <c r="J1774" s="4">
        <v>0</v>
      </c>
      <c r="K1774" s="4">
        <v>0</v>
      </c>
      <c r="L1774" s="4">
        <v>1177.837</v>
      </c>
      <c r="M1774" s="4">
        <v>1177.837</v>
      </c>
      <c r="N1774" s="4">
        <v>1177.837</v>
      </c>
      <c r="O1774" s="4">
        <v>1177.837</v>
      </c>
      <c r="P1774" s="4">
        <v>680</v>
      </c>
      <c r="Q1774" s="3" t="s">
        <v>26</v>
      </c>
      <c r="R1774" s="3">
        <v>0</v>
      </c>
      <c r="S1774" s="3" t="s">
        <v>555</v>
      </c>
      <c r="T1774" s="3" t="s">
        <v>836</v>
      </c>
      <c r="U1774" s="3">
        <v>0</v>
      </c>
      <c r="V1774" s="3">
        <v>84</v>
      </c>
      <c r="W1774" s="3">
        <v>7</v>
      </c>
    </row>
    <row r="1775" spans="1:23" ht="11.25" customHeight="1" x14ac:dyDescent="0.25">
      <c r="A1775" s="3" t="s">
        <v>28</v>
      </c>
      <c r="B1775" s="3" t="s">
        <v>37</v>
      </c>
      <c r="C1775" s="3" t="s">
        <v>23</v>
      </c>
      <c r="D1775" s="3" t="s">
        <v>38</v>
      </c>
      <c r="E1775" s="3" t="s">
        <v>25</v>
      </c>
      <c r="F1775" s="3" t="s">
        <v>25</v>
      </c>
      <c r="G1775" s="3" t="s">
        <v>25</v>
      </c>
      <c r="H1775" s="3" t="s">
        <v>25</v>
      </c>
      <c r="I1775" s="6">
        <v>44378</v>
      </c>
      <c r="J1775" s="4">
        <v>0</v>
      </c>
      <c r="K1775" s="4">
        <v>0</v>
      </c>
      <c r="L1775" s="4">
        <v>65.125</v>
      </c>
      <c r="M1775" s="4">
        <v>65.125</v>
      </c>
      <c r="N1775" s="4">
        <v>65.125</v>
      </c>
      <c r="O1775" s="4">
        <v>65.125</v>
      </c>
      <c r="P1775" s="4">
        <v>53</v>
      </c>
      <c r="Q1775" s="3" t="s">
        <v>26</v>
      </c>
      <c r="R1775" s="3">
        <v>0</v>
      </c>
      <c r="S1775" s="3" t="s">
        <v>555</v>
      </c>
      <c r="T1775" s="3" t="s">
        <v>836</v>
      </c>
      <c r="U1775" s="3">
        <v>0</v>
      </c>
      <c r="V1775" s="3">
        <v>84</v>
      </c>
      <c r="W1775" s="3">
        <v>7</v>
      </c>
    </row>
    <row r="1776" spans="1:23" ht="11.25" customHeight="1" x14ac:dyDescent="0.25">
      <c r="A1776" s="3" t="s">
        <v>21</v>
      </c>
      <c r="B1776" s="3" t="s">
        <v>37</v>
      </c>
      <c r="C1776" s="3" t="s">
        <v>23</v>
      </c>
      <c r="D1776" s="3" t="s">
        <v>38</v>
      </c>
      <c r="E1776" s="3" t="s">
        <v>25</v>
      </c>
      <c r="F1776" s="3" t="s">
        <v>25</v>
      </c>
      <c r="G1776" s="3" t="s">
        <v>25</v>
      </c>
      <c r="H1776" s="3" t="s">
        <v>25</v>
      </c>
      <c r="I1776" s="6">
        <v>44409</v>
      </c>
      <c r="J1776" s="4">
        <v>0</v>
      </c>
      <c r="K1776" s="4">
        <v>0</v>
      </c>
      <c r="L1776" s="4">
        <v>1243.7929999999999</v>
      </c>
      <c r="M1776" s="4">
        <v>1243.7929999999999</v>
      </c>
      <c r="N1776" s="4">
        <v>1243.7929999999999</v>
      </c>
      <c r="O1776" s="4">
        <v>1243.7929999999999</v>
      </c>
      <c r="P1776" s="4">
        <v>678</v>
      </c>
      <c r="Q1776" s="3" t="s">
        <v>26</v>
      </c>
      <c r="R1776" s="3">
        <v>0</v>
      </c>
      <c r="S1776" s="3" t="s">
        <v>556</v>
      </c>
      <c r="T1776" s="3" t="s">
        <v>837</v>
      </c>
      <c r="U1776" s="3">
        <v>0</v>
      </c>
      <c r="V1776" s="3">
        <v>84</v>
      </c>
      <c r="W1776" s="3">
        <v>7</v>
      </c>
    </row>
    <row r="1777" spans="1:23" ht="11.25" customHeight="1" x14ac:dyDescent="0.25">
      <c r="A1777" s="3" t="s">
        <v>28</v>
      </c>
      <c r="B1777" s="3" t="s">
        <v>37</v>
      </c>
      <c r="C1777" s="3" t="s">
        <v>23</v>
      </c>
      <c r="D1777" s="3" t="s">
        <v>38</v>
      </c>
      <c r="E1777" s="3" t="s">
        <v>25</v>
      </c>
      <c r="F1777" s="3" t="s">
        <v>25</v>
      </c>
      <c r="G1777" s="3" t="s">
        <v>25</v>
      </c>
      <c r="H1777" s="3" t="s">
        <v>25</v>
      </c>
      <c r="I1777" s="6">
        <v>44409</v>
      </c>
      <c r="J1777" s="4">
        <v>0</v>
      </c>
      <c r="K1777" s="4">
        <v>0</v>
      </c>
      <c r="L1777" s="4">
        <v>56.365000000000002</v>
      </c>
      <c r="M1777" s="4">
        <v>56.365000000000002</v>
      </c>
      <c r="N1777" s="4">
        <v>56.365000000000002</v>
      </c>
      <c r="O1777" s="4">
        <v>56.365000000000002</v>
      </c>
      <c r="P1777" s="4">
        <v>54</v>
      </c>
      <c r="Q1777" s="3" t="s">
        <v>26</v>
      </c>
      <c r="R1777" s="3">
        <v>0</v>
      </c>
      <c r="S1777" s="3" t="s">
        <v>556</v>
      </c>
      <c r="T1777" s="3" t="s">
        <v>837</v>
      </c>
      <c r="U1777" s="3">
        <v>0</v>
      </c>
      <c r="V1777" s="3">
        <v>84</v>
      </c>
      <c r="W1777" s="3">
        <v>7</v>
      </c>
    </row>
    <row r="1778" spans="1:23" ht="11.25" customHeight="1" x14ac:dyDescent="0.25">
      <c r="A1778" s="3" t="s">
        <v>21</v>
      </c>
      <c r="B1778" s="3" t="s">
        <v>37</v>
      </c>
      <c r="C1778" s="3" t="s">
        <v>23</v>
      </c>
      <c r="D1778" s="3" t="s">
        <v>38</v>
      </c>
      <c r="E1778" s="3" t="s">
        <v>25</v>
      </c>
      <c r="F1778" s="3" t="s">
        <v>25</v>
      </c>
      <c r="G1778" s="3" t="s">
        <v>25</v>
      </c>
      <c r="H1778" s="3" t="s">
        <v>25</v>
      </c>
      <c r="I1778" s="6">
        <v>44440</v>
      </c>
      <c r="J1778" s="4">
        <v>0</v>
      </c>
      <c r="K1778" s="4">
        <v>0</v>
      </c>
      <c r="L1778" s="4">
        <v>1239.357</v>
      </c>
      <c r="M1778" s="4">
        <v>1239.357</v>
      </c>
      <c r="N1778" s="4">
        <v>1239.357</v>
      </c>
      <c r="O1778" s="4">
        <v>1239.357</v>
      </c>
      <c r="P1778" s="4">
        <v>676</v>
      </c>
      <c r="Q1778" s="3" t="s">
        <v>26</v>
      </c>
      <c r="R1778" s="3">
        <v>0</v>
      </c>
      <c r="S1778" s="3" t="s">
        <v>557</v>
      </c>
      <c r="T1778" s="3" t="s">
        <v>838</v>
      </c>
      <c r="U1778" s="3">
        <v>0</v>
      </c>
      <c r="V1778" s="3">
        <v>84</v>
      </c>
      <c r="W1778" s="3">
        <v>7</v>
      </c>
    </row>
    <row r="1779" spans="1:23" ht="11.25" customHeight="1" x14ac:dyDescent="0.25">
      <c r="A1779" s="3" t="s">
        <v>28</v>
      </c>
      <c r="B1779" s="3" t="s">
        <v>37</v>
      </c>
      <c r="C1779" s="3" t="s">
        <v>23</v>
      </c>
      <c r="D1779" s="3" t="s">
        <v>38</v>
      </c>
      <c r="E1779" s="3" t="s">
        <v>25</v>
      </c>
      <c r="F1779" s="3" t="s">
        <v>25</v>
      </c>
      <c r="G1779" s="3" t="s">
        <v>25</v>
      </c>
      <c r="H1779" s="3" t="s">
        <v>25</v>
      </c>
      <c r="I1779" s="6">
        <v>44440</v>
      </c>
      <c r="J1779" s="4">
        <v>0</v>
      </c>
      <c r="K1779" s="4">
        <v>0</v>
      </c>
      <c r="L1779" s="4">
        <v>54.372</v>
      </c>
      <c r="M1779" s="4">
        <v>54.372</v>
      </c>
      <c r="N1779" s="4">
        <v>54.372</v>
      </c>
      <c r="O1779" s="4">
        <v>54.372</v>
      </c>
      <c r="P1779" s="4">
        <v>58</v>
      </c>
      <c r="Q1779" s="3" t="s">
        <v>26</v>
      </c>
      <c r="R1779" s="3">
        <v>0</v>
      </c>
      <c r="S1779" s="3" t="s">
        <v>557</v>
      </c>
      <c r="T1779" s="3" t="s">
        <v>838</v>
      </c>
      <c r="U1779" s="3">
        <v>0</v>
      </c>
      <c r="V1779" s="3">
        <v>84</v>
      </c>
      <c r="W1779" s="3">
        <v>7</v>
      </c>
    </row>
    <row r="1780" spans="1:23" ht="11.25" customHeight="1" x14ac:dyDescent="0.25">
      <c r="A1780" s="3" t="s">
        <v>21</v>
      </c>
      <c r="B1780" s="3" t="s">
        <v>37</v>
      </c>
      <c r="C1780" s="3" t="s">
        <v>23</v>
      </c>
      <c r="D1780" s="3" t="s">
        <v>38</v>
      </c>
      <c r="E1780" s="3" t="s">
        <v>25</v>
      </c>
      <c r="F1780" s="3" t="s">
        <v>25</v>
      </c>
      <c r="G1780" s="3" t="s">
        <v>25</v>
      </c>
      <c r="H1780" s="3" t="s">
        <v>25</v>
      </c>
      <c r="I1780" s="6">
        <v>44470</v>
      </c>
      <c r="J1780" s="4">
        <v>0</v>
      </c>
      <c r="K1780" s="4">
        <v>0</v>
      </c>
      <c r="L1780" s="4">
        <v>1250.835</v>
      </c>
      <c r="M1780" s="4">
        <v>1250.835</v>
      </c>
      <c r="N1780" s="4">
        <v>1250.835</v>
      </c>
      <c r="O1780" s="4">
        <v>1250.835</v>
      </c>
      <c r="P1780" s="4">
        <v>675</v>
      </c>
      <c r="Q1780" s="3" t="s">
        <v>26</v>
      </c>
      <c r="R1780" s="3">
        <v>0</v>
      </c>
      <c r="S1780" s="3" t="s">
        <v>558</v>
      </c>
      <c r="T1780" s="3" t="s">
        <v>839</v>
      </c>
      <c r="U1780" s="3">
        <v>0</v>
      </c>
      <c r="V1780" s="3">
        <v>84</v>
      </c>
      <c r="W1780" s="3">
        <v>7</v>
      </c>
    </row>
    <row r="1781" spans="1:23" ht="11.25" customHeight="1" x14ac:dyDescent="0.25">
      <c r="A1781" s="3" t="s">
        <v>27</v>
      </c>
      <c r="B1781" s="3" t="s">
        <v>37</v>
      </c>
      <c r="C1781" s="3" t="s">
        <v>23</v>
      </c>
      <c r="D1781" s="3" t="s">
        <v>38</v>
      </c>
      <c r="E1781" s="3" t="s">
        <v>25</v>
      </c>
      <c r="F1781" s="3" t="s">
        <v>25</v>
      </c>
      <c r="G1781" s="3" t="s">
        <v>25</v>
      </c>
      <c r="H1781" s="3" t="s">
        <v>25</v>
      </c>
      <c r="I1781" s="6">
        <v>44470</v>
      </c>
      <c r="J1781" s="4">
        <v>0</v>
      </c>
      <c r="K1781" s="4">
        <v>0</v>
      </c>
      <c r="L1781" s="4">
        <v>-1.1259999999999999</v>
      </c>
      <c r="M1781" s="4">
        <v>-1.1259999999999999</v>
      </c>
      <c r="N1781" s="4">
        <v>-1.1259999999999999</v>
      </c>
      <c r="O1781" s="4">
        <v>-1.1259999999999999</v>
      </c>
      <c r="P1781" s="4">
        <v>-5</v>
      </c>
      <c r="Q1781" s="3" t="s">
        <v>26</v>
      </c>
      <c r="R1781" s="3">
        <v>0</v>
      </c>
      <c r="S1781" s="3" t="s">
        <v>558</v>
      </c>
      <c r="T1781" s="3" t="s">
        <v>839</v>
      </c>
      <c r="U1781" s="3">
        <v>0</v>
      </c>
      <c r="V1781" s="3">
        <v>84</v>
      </c>
      <c r="W1781" s="3">
        <v>7</v>
      </c>
    </row>
    <row r="1782" spans="1:23" ht="11.25" customHeight="1" x14ac:dyDescent="0.25">
      <c r="A1782" s="3" t="s">
        <v>28</v>
      </c>
      <c r="B1782" s="3" t="s">
        <v>37</v>
      </c>
      <c r="C1782" s="3" t="s">
        <v>23</v>
      </c>
      <c r="D1782" s="3" t="s">
        <v>38</v>
      </c>
      <c r="E1782" s="3" t="s">
        <v>25</v>
      </c>
      <c r="F1782" s="3" t="s">
        <v>25</v>
      </c>
      <c r="G1782" s="3" t="s">
        <v>25</v>
      </c>
      <c r="H1782" s="3" t="s">
        <v>25</v>
      </c>
      <c r="I1782" s="6">
        <v>44470</v>
      </c>
      <c r="J1782" s="4">
        <v>0</v>
      </c>
      <c r="K1782" s="4">
        <v>0</v>
      </c>
      <c r="L1782" s="4">
        <v>53.360999999999997</v>
      </c>
      <c r="M1782" s="4">
        <v>53.360999999999997</v>
      </c>
      <c r="N1782" s="4">
        <v>53.360999999999997</v>
      </c>
      <c r="O1782" s="4">
        <v>53.360999999999997</v>
      </c>
      <c r="P1782" s="4">
        <v>60</v>
      </c>
      <c r="Q1782" s="3" t="s">
        <v>26</v>
      </c>
      <c r="R1782" s="3">
        <v>0</v>
      </c>
      <c r="S1782" s="3" t="s">
        <v>558</v>
      </c>
      <c r="T1782" s="3" t="s">
        <v>839</v>
      </c>
      <c r="U1782" s="3">
        <v>0</v>
      </c>
      <c r="V1782" s="3">
        <v>84</v>
      </c>
      <c r="W1782" s="3">
        <v>7</v>
      </c>
    </row>
    <row r="1783" spans="1:23" ht="11.25" customHeight="1" x14ac:dyDescent="0.25">
      <c r="A1783" s="3" t="s">
        <v>21</v>
      </c>
      <c r="B1783" s="3" t="s">
        <v>37</v>
      </c>
      <c r="C1783" s="3" t="s">
        <v>23</v>
      </c>
      <c r="D1783" s="3" t="s">
        <v>38</v>
      </c>
      <c r="E1783" s="3" t="s">
        <v>25</v>
      </c>
      <c r="F1783" s="3" t="s">
        <v>25</v>
      </c>
      <c r="G1783" s="3" t="s">
        <v>25</v>
      </c>
      <c r="H1783" s="3" t="s">
        <v>25</v>
      </c>
      <c r="I1783" s="6">
        <v>44501</v>
      </c>
      <c r="J1783" s="4">
        <v>0</v>
      </c>
      <c r="K1783" s="4">
        <v>0</v>
      </c>
      <c r="L1783" s="4">
        <v>1244.596</v>
      </c>
      <c r="M1783" s="4">
        <v>1244.596</v>
      </c>
      <c r="N1783" s="4">
        <v>1244.596</v>
      </c>
      <c r="O1783" s="4">
        <v>1244.596</v>
      </c>
      <c r="P1783" s="4">
        <v>678</v>
      </c>
      <c r="Q1783" s="3" t="s">
        <v>26</v>
      </c>
      <c r="R1783" s="3">
        <v>0</v>
      </c>
      <c r="S1783" s="3" t="s">
        <v>559</v>
      </c>
      <c r="T1783" s="3" t="s">
        <v>840</v>
      </c>
      <c r="U1783" s="3">
        <v>0</v>
      </c>
      <c r="V1783" s="3">
        <v>84</v>
      </c>
      <c r="W1783" s="3">
        <v>7</v>
      </c>
    </row>
    <row r="1784" spans="1:23" ht="11.25" customHeight="1" x14ac:dyDescent="0.25">
      <c r="A1784" s="3" t="s">
        <v>28</v>
      </c>
      <c r="B1784" s="3" t="s">
        <v>37</v>
      </c>
      <c r="C1784" s="3" t="s">
        <v>23</v>
      </c>
      <c r="D1784" s="3" t="s">
        <v>38</v>
      </c>
      <c r="E1784" s="3" t="s">
        <v>25</v>
      </c>
      <c r="F1784" s="3" t="s">
        <v>25</v>
      </c>
      <c r="G1784" s="3" t="s">
        <v>25</v>
      </c>
      <c r="H1784" s="3" t="s">
        <v>25</v>
      </c>
      <c r="I1784" s="6">
        <v>44501</v>
      </c>
      <c r="J1784" s="4">
        <v>0</v>
      </c>
      <c r="K1784" s="4">
        <v>0</v>
      </c>
      <c r="L1784" s="4">
        <v>54.143000000000001</v>
      </c>
      <c r="M1784" s="4">
        <v>54.143000000000001</v>
      </c>
      <c r="N1784" s="4">
        <v>54.143000000000001</v>
      </c>
      <c r="O1784" s="4">
        <v>54.143000000000001</v>
      </c>
      <c r="P1784" s="4">
        <v>61</v>
      </c>
      <c r="Q1784" s="3" t="s">
        <v>26</v>
      </c>
      <c r="R1784" s="3">
        <v>0</v>
      </c>
      <c r="S1784" s="3" t="s">
        <v>559</v>
      </c>
      <c r="T1784" s="3" t="s">
        <v>840</v>
      </c>
      <c r="U1784" s="3">
        <v>0</v>
      </c>
      <c r="V1784" s="3">
        <v>84</v>
      </c>
      <c r="W1784" s="3">
        <v>7</v>
      </c>
    </row>
    <row r="1785" spans="1:23" ht="11.25" customHeight="1" x14ac:dyDescent="0.25">
      <c r="A1785" s="3" t="s">
        <v>21</v>
      </c>
      <c r="B1785" s="3" t="s">
        <v>37</v>
      </c>
      <c r="C1785" s="3" t="s">
        <v>23</v>
      </c>
      <c r="D1785" s="3" t="s">
        <v>38</v>
      </c>
      <c r="E1785" s="3" t="s">
        <v>25</v>
      </c>
      <c r="F1785" s="3" t="s">
        <v>25</v>
      </c>
      <c r="G1785" s="3" t="s">
        <v>25</v>
      </c>
      <c r="H1785" s="3" t="s">
        <v>25</v>
      </c>
      <c r="I1785" s="6">
        <v>44531</v>
      </c>
      <c r="J1785" s="4">
        <v>0</v>
      </c>
      <c r="K1785" s="4">
        <v>0</v>
      </c>
      <c r="L1785" s="4">
        <v>1341.25</v>
      </c>
      <c r="M1785" s="4">
        <v>1341.25</v>
      </c>
      <c r="N1785" s="4">
        <v>1341.25</v>
      </c>
      <c r="O1785" s="4">
        <v>1341.25</v>
      </c>
      <c r="P1785" s="4">
        <v>689</v>
      </c>
      <c r="Q1785" s="3" t="s">
        <v>26</v>
      </c>
      <c r="R1785" s="3">
        <v>0</v>
      </c>
      <c r="S1785" s="3" t="s">
        <v>560</v>
      </c>
      <c r="T1785" s="3" t="s">
        <v>841</v>
      </c>
      <c r="U1785" s="3">
        <v>0</v>
      </c>
      <c r="V1785" s="3">
        <v>84</v>
      </c>
      <c r="W1785" s="3">
        <v>7</v>
      </c>
    </row>
    <row r="1786" spans="1:23" ht="11.25" customHeight="1" x14ac:dyDescent="0.25">
      <c r="A1786" s="3" t="s">
        <v>27</v>
      </c>
      <c r="B1786" s="3" t="s">
        <v>37</v>
      </c>
      <c r="C1786" s="3" t="s">
        <v>23</v>
      </c>
      <c r="D1786" s="3" t="s">
        <v>38</v>
      </c>
      <c r="E1786" s="3" t="s">
        <v>25</v>
      </c>
      <c r="F1786" s="3" t="s">
        <v>25</v>
      </c>
      <c r="G1786" s="3" t="s">
        <v>25</v>
      </c>
      <c r="H1786" s="3" t="s">
        <v>25</v>
      </c>
      <c r="I1786" s="6">
        <v>44531</v>
      </c>
      <c r="J1786" s="4">
        <v>0</v>
      </c>
      <c r="K1786" s="4">
        <v>0</v>
      </c>
      <c r="L1786" s="4">
        <v>-3</v>
      </c>
      <c r="M1786" s="4">
        <v>-3</v>
      </c>
      <c r="N1786" s="4">
        <v>-3</v>
      </c>
      <c r="O1786" s="4">
        <v>-3</v>
      </c>
      <c r="P1786" s="4">
        <v>-2</v>
      </c>
      <c r="Q1786" s="3" t="s">
        <v>26</v>
      </c>
      <c r="R1786" s="3">
        <v>0</v>
      </c>
      <c r="S1786" s="3" t="s">
        <v>560</v>
      </c>
      <c r="T1786" s="3" t="s">
        <v>841</v>
      </c>
      <c r="U1786" s="3">
        <v>0</v>
      </c>
      <c r="V1786" s="3">
        <v>84</v>
      </c>
      <c r="W1786" s="3">
        <v>7</v>
      </c>
    </row>
    <row r="1787" spans="1:23" ht="11.25" customHeight="1" x14ac:dyDescent="0.25">
      <c r="A1787" s="3" t="s">
        <v>28</v>
      </c>
      <c r="B1787" s="3" t="s">
        <v>37</v>
      </c>
      <c r="C1787" s="3" t="s">
        <v>23</v>
      </c>
      <c r="D1787" s="3" t="s">
        <v>38</v>
      </c>
      <c r="E1787" s="3" t="s">
        <v>25</v>
      </c>
      <c r="F1787" s="3" t="s">
        <v>25</v>
      </c>
      <c r="G1787" s="3" t="s">
        <v>25</v>
      </c>
      <c r="H1787" s="3" t="s">
        <v>25</v>
      </c>
      <c r="I1787" s="6">
        <v>44531</v>
      </c>
      <c r="J1787" s="4">
        <v>0</v>
      </c>
      <c r="K1787" s="4">
        <v>0</v>
      </c>
      <c r="L1787" s="4">
        <v>70.896000000000001</v>
      </c>
      <c r="M1787" s="4">
        <v>70.896000000000001</v>
      </c>
      <c r="N1787" s="4">
        <v>70.896000000000001</v>
      </c>
      <c r="O1787" s="4">
        <v>70.896000000000001</v>
      </c>
      <c r="P1787" s="4">
        <v>63</v>
      </c>
      <c r="Q1787" s="3" t="s">
        <v>26</v>
      </c>
      <c r="R1787" s="3">
        <v>0</v>
      </c>
      <c r="S1787" s="3" t="s">
        <v>560</v>
      </c>
      <c r="T1787" s="3" t="s">
        <v>841</v>
      </c>
      <c r="U1787" s="3">
        <v>0</v>
      </c>
      <c r="V1787" s="3">
        <v>84</v>
      </c>
      <c r="W1787" s="3">
        <v>7</v>
      </c>
    </row>
    <row r="1788" spans="1:23" ht="11.25" customHeight="1" x14ac:dyDescent="0.25">
      <c r="A1788" s="3" t="s">
        <v>21</v>
      </c>
      <c r="B1788" s="3" t="s">
        <v>37</v>
      </c>
      <c r="C1788" s="3" t="s">
        <v>23</v>
      </c>
      <c r="D1788" s="3" t="s">
        <v>38</v>
      </c>
      <c r="E1788" s="3" t="s">
        <v>25</v>
      </c>
      <c r="F1788" s="3" t="s">
        <v>25</v>
      </c>
      <c r="G1788" s="3" t="s">
        <v>25</v>
      </c>
      <c r="H1788" s="3" t="s">
        <v>25</v>
      </c>
      <c r="I1788" s="6">
        <v>44562</v>
      </c>
      <c r="J1788" s="4">
        <v>0</v>
      </c>
      <c r="K1788" s="4">
        <v>0</v>
      </c>
      <c r="L1788" s="4">
        <v>1320.1410000000001</v>
      </c>
      <c r="M1788" s="4">
        <v>1320.1410000000001</v>
      </c>
      <c r="N1788" s="4">
        <v>1320.1410000000001</v>
      </c>
      <c r="O1788" s="4">
        <v>1320.1410000000001</v>
      </c>
      <c r="P1788" s="4">
        <v>689</v>
      </c>
      <c r="Q1788" s="3" t="s">
        <v>26</v>
      </c>
      <c r="R1788" s="3">
        <v>0</v>
      </c>
      <c r="S1788" s="3" t="s">
        <v>561</v>
      </c>
      <c r="T1788" s="3" t="s">
        <v>842</v>
      </c>
      <c r="U1788" s="3">
        <v>0</v>
      </c>
      <c r="V1788" s="3">
        <v>84</v>
      </c>
      <c r="W1788" s="3">
        <v>7</v>
      </c>
    </row>
    <row r="1789" spans="1:23" ht="11.25" customHeight="1" x14ac:dyDescent="0.25">
      <c r="A1789" s="3" t="s">
        <v>28</v>
      </c>
      <c r="B1789" s="3" t="s">
        <v>37</v>
      </c>
      <c r="C1789" s="3" t="s">
        <v>23</v>
      </c>
      <c r="D1789" s="3" t="s">
        <v>38</v>
      </c>
      <c r="E1789" s="3" t="s">
        <v>25</v>
      </c>
      <c r="F1789" s="3" t="s">
        <v>25</v>
      </c>
      <c r="G1789" s="3" t="s">
        <v>25</v>
      </c>
      <c r="H1789" s="3" t="s">
        <v>25</v>
      </c>
      <c r="I1789" s="6">
        <v>44562</v>
      </c>
      <c r="J1789" s="4">
        <v>0</v>
      </c>
      <c r="K1789" s="4">
        <v>0</v>
      </c>
      <c r="L1789" s="4">
        <v>71.986000000000004</v>
      </c>
      <c r="M1789" s="4">
        <v>71.986000000000004</v>
      </c>
      <c r="N1789" s="4">
        <v>71.986000000000004</v>
      </c>
      <c r="O1789" s="4">
        <v>71.986000000000004</v>
      </c>
      <c r="P1789" s="4">
        <v>64</v>
      </c>
      <c r="Q1789" s="3" t="s">
        <v>26</v>
      </c>
      <c r="R1789" s="3">
        <v>0</v>
      </c>
      <c r="S1789" s="3" t="s">
        <v>561</v>
      </c>
      <c r="T1789" s="3" t="s">
        <v>842</v>
      </c>
      <c r="U1789" s="3">
        <v>0</v>
      </c>
      <c r="V1789" s="3">
        <v>84</v>
      </c>
      <c r="W1789" s="3">
        <v>7</v>
      </c>
    </row>
    <row r="1790" spans="1:23" ht="11.25" customHeight="1" x14ac:dyDescent="0.25">
      <c r="A1790" s="3" t="s">
        <v>28</v>
      </c>
      <c r="B1790" s="3" t="s">
        <v>37</v>
      </c>
      <c r="C1790" s="3" t="s">
        <v>23</v>
      </c>
      <c r="D1790" s="3" t="s">
        <v>38</v>
      </c>
      <c r="E1790" s="3" t="s">
        <v>25</v>
      </c>
      <c r="F1790" s="3" t="s">
        <v>25</v>
      </c>
      <c r="G1790" s="3" t="s">
        <v>25</v>
      </c>
      <c r="H1790" s="3" t="s">
        <v>25</v>
      </c>
      <c r="I1790" s="6">
        <v>44562</v>
      </c>
      <c r="J1790" s="4">
        <v>0</v>
      </c>
      <c r="K1790" s="4">
        <v>0</v>
      </c>
      <c r="L1790" s="4">
        <v>0.10299999999999999</v>
      </c>
      <c r="M1790" s="4">
        <v>0.10299999999999999</v>
      </c>
      <c r="N1790" s="4">
        <v>0.10299999999999999</v>
      </c>
      <c r="O1790" s="4">
        <v>0.10299999999999999</v>
      </c>
      <c r="P1790" s="4">
        <v>0</v>
      </c>
      <c r="Q1790" s="3" t="s">
        <v>26</v>
      </c>
      <c r="R1790" s="3">
        <v>0</v>
      </c>
      <c r="S1790" s="3" t="s">
        <v>561</v>
      </c>
      <c r="T1790" s="3" t="s">
        <v>842</v>
      </c>
      <c r="U1790" s="3">
        <v>0</v>
      </c>
      <c r="V1790" s="3">
        <v>84</v>
      </c>
      <c r="W1790" s="3">
        <v>7</v>
      </c>
    </row>
    <row r="1791" spans="1:23" ht="11.25" customHeight="1" x14ac:dyDescent="0.25">
      <c r="A1791" s="3" t="s">
        <v>21</v>
      </c>
      <c r="B1791" s="3" t="s">
        <v>37</v>
      </c>
      <c r="C1791" s="3" t="s">
        <v>23</v>
      </c>
      <c r="D1791" s="3" t="s">
        <v>38</v>
      </c>
      <c r="E1791" s="3" t="s">
        <v>25</v>
      </c>
      <c r="F1791" s="3" t="s">
        <v>25</v>
      </c>
      <c r="G1791" s="3" t="s">
        <v>25</v>
      </c>
      <c r="H1791" s="3" t="s">
        <v>25</v>
      </c>
      <c r="I1791" s="6">
        <v>44593</v>
      </c>
      <c r="J1791" s="4">
        <v>0</v>
      </c>
      <c r="K1791" s="4">
        <v>0</v>
      </c>
      <c r="L1791" s="4">
        <v>1197.2909999999999</v>
      </c>
      <c r="M1791" s="4">
        <v>1197.2909999999999</v>
      </c>
      <c r="N1791" s="4">
        <v>1197.2909999999999</v>
      </c>
      <c r="O1791" s="4">
        <v>1197.2909999999999</v>
      </c>
      <c r="P1791" s="4">
        <v>674</v>
      </c>
      <c r="Q1791" s="3" t="s">
        <v>26</v>
      </c>
      <c r="R1791" s="3">
        <v>0</v>
      </c>
      <c r="S1791" s="3" t="s">
        <v>562</v>
      </c>
      <c r="T1791" s="3" t="s">
        <v>843</v>
      </c>
      <c r="U1791" s="3">
        <v>0</v>
      </c>
      <c r="V1791" s="3">
        <v>84</v>
      </c>
      <c r="W1791" s="3">
        <v>7</v>
      </c>
    </row>
    <row r="1792" spans="1:23" ht="11.25" customHeight="1" x14ac:dyDescent="0.25">
      <c r="A1792" s="3" t="s">
        <v>27</v>
      </c>
      <c r="B1792" s="3" t="s">
        <v>37</v>
      </c>
      <c r="C1792" s="3" t="s">
        <v>23</v>
      </c>
      <c r="D1792" s="3" t="s">
        <v>38</v>
      </c>
      <c r="E1792" s="3" t="s">
        <v>25</v>
      </c>
      <c r="F1792" s="3" t="s">
        <v>25</v>
      </c>
      <c r="G1792" s="3" t="s">
        <v>25</v>
      </c>
      <c r="H1792" s="3" t="s">
        <v>25</v>
      </c>
      <c r="I1792" s="6">
        <v>44593</v>
      </c>
      <c r="J1792" s="4">
        <v>0</v>
      </c>
      <c r="K1792" s="4">
        <v>0</v>
      </c>
      <c r="L1792" s="4">
        <v>-1.044</v>
      </c>
      <c r="M1792" s="4">
        <v>-1.044</v>
      </c>
      <c r="N1792" s="4">
        <v>-1.044</v>
      </c>
      <c r="O1792" s="4">
        <v>-1.044</v>
      </c>
      <c r="P1792" s="4">
        <v>0</v>
      </c>
      <c r="Q1792" s="3" t="s">
        <v>26</v>
      </c>
      <c r="R1792" s="3">
        <v>0</v>
      </c>
      <c r="S1792" s="3" t="s">
        <v>562</v>
      </c>
      <c r="T1792" s="3" t="s">
        <v>843</v>
      </c>
      <c r="U1792" s="3">
        <v>0</v>
      </c>
      <c r="V1792" s="3">
        <v>84</v>
      </c>
      <c r="W1792" s="3">
        <v>7</v>
      </c>
    </row>
    <row r="1793" spans="1:23" ht="11.25" customHeight="1" x14ac:dyDescent="0.25">
      <c r="A1793" s="3" t="s">
        <v>28</v>
      </c>
      <c r="B1793" s="3" t="s">
        <v>37</v>
      </c>
      <c r="C1793" s="3" t="s">
        <v>23</v>
      </c>
      <c r="D1793" s="3" t="s">
        <v>38</v>
      </c>
      <c r="E1793" s="3" t="s">
        <v>25</v>
      </c>
      <c r="F1793" s="3" t="s">
        <v>25</v>
      </c>
      <c r="G1793" s="3" t="s">
        <v>25</v>
      </c>
      <c r="H1793" s="3" t="s">
        <v>25</v>
      </c>
      <c r="I1793" s="6">
        <v>44593</v>
      </c>
      <c r="J1793" s="4">
        <v>0</v>
      </c>
      <c r="K1793" s="4">
        <v>0</v>
      </c>
      <c r="L1793" s="4">
        <v>81.245000000000005</v>
      </c>
      <c r="M1793" s="4">
        <v>81.245000000000005</v>
      </c>
      <c r="N1793" s="4">
        <v>81.245000000000005</v>
      </c>
      <c r="O1793" s="4">
        <v>81.245000000000005</v>
      </c>
      <c r="P1793" s="4">
        <v>66</v>
      </c>
      <c r="Q1793" s="3" t="s">
        <v>26</v>
      </c>
      <c r="R1793" s="3">
        <v>0</v>
      </c>
      <c r="S1793" s="3" t="s">
        <v>562</v>
      </c>
      <c r="T1793" s="3" t="s">
        <v>843</v>
      </c>
      <c r="U1793" s="3">
        <v>0</v>
      </c>
      <c r="V1793" s="3">
        <v>84</v>
      </c>
      <c r="W1793" s="3">
        <v>7</v>
      </c>
    </row>
    <row r="1794" spans="1:23" ht="11.25" customHeight="1" x14ac:dyDescent="0.25">
      <c r="A1794" s="3" t="s">
        <v>28</v>
      </c>
      <c r="B1794" s="3" t="s">
        <v>37</v>
      </c>
      <c r="C1794" s="3" t="s">
        <v>23</v>
      </c>
      <c r="D1794" s="3" t="s">
        <v>38</v>
      </c>
      <c r="E1794" s="3" t="s">
        <v>25</v>
      </c>
      <c r="F1794" s="3" t="s">
        <v>25</v>
      </c>
      <c r="G1794" s="3" t="s">
        <v>25</v>
      </c>
      <c r="H1794" s="3" t="s">
        <v>25</v>
      </c>
      <c r="I1794" s="6">
        <v>44593</v>
      </c>
      <c r="J1794" s="4">
        <v>0</v>
      </c>
      <c r="K1794" s="4">
        <v>0</v>
      </c>
      <c r="L1794" s="4">
        <v>-0.1</v>
      </c>
      <c r="M1794" s="4">
        <v>-0.1</v>
      </c>
      <c r="N1794" s="4">
        <v>-0.1</v>
      </c>
      <c r="O1794" s="4">
        <v>-0.1</v>
      </c>
      <c r="P1794" s="4">
        <v>-1</v>
      </c>
      <c r="Q1794" s="3" t="s">
        <v>26</v>
      </c>
      <c r="R1794" s="3">
        <v>0</v>
      </c>
      <c r="S1794" s="3" t="s">
        <v>562</v>
      </c>
      <c r="T1794" s="3" t="s">
        <v>843</v>
      </c>
      <c r="U1794" s="3">
        <v>0</v>
      </c>
      <c r="V1794" s="3">
        <v>84</v>
      </c>
      <c r="W1794" s="3">
        <v>7</v>
      </c>
    </row>
    <row r="1795" spans="1:23" ht="11.25" customHeight="1" x14ac:dyDescent="0.25">
      <c r="A1795" s="3" t="s">
        <v>56</v>
      </c>
      <c r="B1795" s="3" t="s">
        <v>37</v>
      </c>
      <c r="C1795" s="3" t="s">
        <v>23</v>
      </c>
      <c r="D1795" s="3" t="s">
        <v>38</v>
      </c>
      <c r="E1795" s="3" t="s">
        <v>25</v>
      </c>
      <c r="F1795" s="3" t="s">
        <v>25</v>
      </c>
      <c r="G1795" s="3" t="s">
        <v>25</v>
      </c>
      <c r="H1795" s="3" t="s">
        <v>25</v>
      </c>
      <c r="I1795" s="6">
        <v>44621</v>
      </c>
      <c r="J1795" s="4">
        <v>0</v>
      </c>
      <c r="K1795" s="4">
        <v>0</v>
      </c>
      <c r="L1795" s="4">
        <v>1197.2909999999999</v>
      </c>
      <c r="M1795" s="4">
        <v>1197.2909999999999</v>
      </c>
      <c r="N1795" s="4">
        <v>1197.2909999999999</v>
      </c>
      <c r="O1795" s="4">
        <v>1197.2909999999999</v>
      </c>
      <c r="P1795" s="4">
        <v>674</v>
      </c>
      <c r="Q1795" s="3" t="s">
        <v>26</v>
      </c>
      <c r="R1795" s="3">
        <v>0</v>
      </c>
      <c r="S1795" s="3" t="s">
        <v>563</v>
      </c>
      <c r="T1795" s="3" t="s">
        <v>844</v>
      </c>
      <c r="U1795" s="3">
        <v>0</v>
      </c>
      <c r="V1795" s="3">
        <v>84</v>
      </c>
      <c r="W1795" s="3">
        <v>7</v>
      </c>
    </row>
    <row r="1796" spans="1:23" ht="11.25" customHeight="1" x14ac:dyDescent="0.25">
      <c r="A1796" s="3" t="s">
        <v>56</v>
      </c>
      <c r="B1796" s="3" t="s">
        <v>37</v>
      </c>
      <c r="C1796" s="3" t="s">
        <v>23</v>
      </c>
      <c r="D1796" s="3" t="s">
        <v>38</v>
      </c>
      <c r="E1796" s="3" t="s">
        <v>25</v>
      </c>
      <c r="F1796" s="3" t="s">
        <v>25</v>
      </c>
      <c r="G1796" s="3" t="s">
        <v>25</v>
      </c>
      <c r="H1796" s="3" t="s">
        <v>25</v>
      </c>
      <c r="I1796" s="6">
        <v>44621</v>
      </c>
      <c r="J1796" s="4">
        <v>0</v>
      </c>
      <c r="K1796" s="4">
        <v>0</v>
      </c>
      <c r="L1796" s="4">
        <v>-1.044</v>
      </c>
      <c r="M1796" s="4">
        <v>-1.044</v>
      </c>
      <c r="N1796" s="4">
        <v>-1.044</v>
      </c>
      <c r="O1796" s="4">
        <v>-1.044</v>
      </c>
      <c r="P1796" s="4">
        <v>0</v>
      </c>
      <c r="Q1796" s="3" t="s">
        <v>26</v>
      </c>
      <c r="R1796" s="3">
        <v>0</v>
      </c>
      <c r="S1796" s="3" t="s">
        <v>563</v>
      </c>
      <c r="T1796" s="3" t="s">
        <v>844</v>
      </c>
      <c r="U1796" s="3">
        <v>0</v>
      </c>
      <c r="V1796" s="3">
        <v>84</v>
      </c>
      <c r="W1796" s="3">
        <v>7</v>
      </c>
    </row>
    <row r="1797" spans="1:23" ht="11.25" customHeight="1" x14ac:dyDescent="0.25">
      <c r="A1797" s="3" t="s">
        <v>56</v>
      </c>
      <c r="B1797" s="3" t="s">
        <v>37</v>
      </c>
      <c r="C1797" s="3" t="s">
        <v>23</v>
      </c>
      <c r="D1797" s="3" t="s">
        <v>38</v>
      </c>
      <c r="E1797" s="3" t="s">
        <v>25</v>
      </c>
      <c r="F1797" s="3" t="s">
        <v>25</v>
      </c>
      <c r="G1797" s="3" t="s">
        <v>25</v>
      </c>
      <c r="H1797" s="3" t="s">
        <v>25</v>
      </c>
      <c r="I1797" s="6">
        <v>44621</v>
      </c>
      <c r="J1797" s="4">
        <v>0</v>
      </c>
      <c r="K1797" s="4">
        <v>0</v>
      </c>
      <c r="L1797" s="4">
        <v>81.245000000000005</v>
      </c>
      <c r="M1797" s="4">
        <v>81.245000000000005</v>
      </c>
      <c r="N1797" s="4">
        <v>81.245000000000005</v>
      </c>
      <c r="O1797" s="4">
        <v>81.245000000000005</v>
      </c>
      <c r="P1797" s="4">
        <v>66</v>
      </c>
      <c r="Q1797" s="3" t="s">
        <v>26</v>
      </c>
      <c r="R1797" s="3">
        <v>0</v>
      </c>
      <c r="S1797" s="3" t="s">
        <v>563</v>
      </c>
      <c r="T1797" s="3" t="s">
        <v>844</v>
      </c>
      <c r="U1797" s="3">
        <v>0</v>
      </c>
      <c r="V1797" s="3">
        <v>84</v>
      </c>
      <c r="W1797" s="3">
        <v>7</v>
      </c>
    </row>
    <row r="1798" spans="1:23" ht="11.25" customHeight="1" x14ac:dyDescent="0.25">
      <c r="A1798" s="3" t="s">
        <v>56</v>
      </c>
      <c r="B1798" s="3" t="s">
        <v>37</v>
      </c>
      <c r="C1798" s="3" t="s">
        <v>23</v>
      </c>
      <c r="D1798" s="3" t="s">
        <v>38</v>
      </c>
      <c r="E1798" s="3" t="s">
        <v>25</v>
      </c>
      <c r="F1798" s="3" t="s">
        <v>25</v>
      </c>
      <c r="G1798" s="3" t="s">
        <v>25</v>
      </c>
      <c r="H1798" s="3" t="s">
        <v>25</v>
      </c>
      <c r="I1798" s="6">
        <v>44621</v>
      </c>
      <c r="J1798" s="4">
        <v>0</v>
      </c>
      <c r="K1798" s="4">
        <v>0</v>
      </c>
      <c r="L1798" s="4">
        <v>-0.1</v>
      </c>
      <c r="M1798" s="4">
        <v>-0.1</v>
      </c>
      <c r="N1798" s="4">
        <v>-0.1</v>
      </c>
      <c r="O1798" s="4">
        <v>-0.1</v>
      </c>
      <c r="P1798" s="4">
        <v>-1</v>
      </c>
      <c r="Q1798" s="3" t="s">
        <v>26</v>
      </c>
      <c r="R1798" s="3">
        <v>0</v>
      </c>
      <c r="S1798" s="3" t="s">
        <v>563</v>
      </c>
      <c r="T1798" s="3" t="s">
        <v>844</v>
      </c>
      <c r="U1798" s="3">
        <v>0</v>
      </c>
      <c r="V1798" s="3">
        <v>84</v>
      </c>
      <c r="W1798" s="3">
        <v>7</v>
      </c>
    </row>
    <row r="1799" spans="1:23" ht="11.25" customHeight="1" x14ac:dyDescent="0.25">
      <c r="A1799" s="3" t="s">
        <v>21</v>
      </c>
      <c r="B1799" s="3" t="s">
        <v>37</v>
      </c>
      <c r="C1799" s="3" t="s">
        <v>23</v>
      </c>
      <c r="D1799" s="3" t="s">
        <v>46</v>
      </c>
      <c r="E1799" s="3" t="s">
        <v>25</v>
      </c>
      <c r="F1799" s="3" t="s">
        <v>25</v>
      </c>
      <c r="G1799" s="3" t="s">
        <v>25</v>
      </c>
      <c r="H1799" s="3" t="s">
        <v>25</v>
      </c>
      <c r="I1799" s="6">
        <v>44287</v>
      </c>
      <c r="J1799" s="4">
        <v>0</v>
      </c>
      <c r="K1799" s="4">
        <v>0</v>
      </c>
      <c r="L1799" s="4">
        <v>3815.0790000000002</v>
      </c>
      <c r="M1799" s="4">
        <v>3815.0790000000002</v>
      </c>
      <c r="N1799" s="4">
        <v>3815.0790000000002</v>
      </c>
      <c r="O1799" s="4">
        <v>3815.0790000000002</v>
      </c>
      <c r="P1799" s="4">
        <v>5238</v>
      </c>
      <c r="Q1799" s="3" t="s">
        <v>26</v>
      </c>
      <c r="R1799" s="3">
        <v>0</v>
      </c>
      <c r="S1799" s="3" t="s">
        <v>552</v>
      </c>
      <c r="T1799" s="3" t="s">
        <v>833</v>
      </c>
      <c r="U1799" s="3">
        <v>0</v>
      </c>
      <c r="V1799" s="3">
        <v>84</v>
      </c>
      <c r="W1799" s="3">
        <v>7</v>
      </c>
    </row>
    <row r="1800" spans="1:23" ht="11.25" customHeight="1" x14ac:dyDescent="0.25">
      <c r="A1800" s="3" t="s">
        <v>27</v>
      </c>
      <c r="B1800" s="3" t="s">
        <v>37</v>
      </c>
      <c r="C1800" s="3" t="s">
        <v>23</v>
      </c>
      <c r="D1800" s="3" t="s">
        <v>46</v>
      </c>
      <c r="E1800" s="3" t="s">
        <v>25</v>
      </c>
      <c r="F1800" s="3" t="s">
        <v>25</v>
      </c>
      <c r="G1800" s="3" t="s">
        <v>25</v>
      </c>
      <c r="H1800" s="3" t="s">
        <v>25</v>
      </c>
      <c r="I1800" s="6">
        <v>44287</v>
      </c>
      <c r="J1800" s="4">
        <v>0</v>
      </c>
      <c r="K1800" s="4">
        <v>0</v>
      </c>
      <c r="L1800" s="4">
        <v>-4.5730000000000004</v>
      </c>
      <c r="M1800" s="4">
        <v>-4.5730000000000004</v>
      </c>
      <c r="N1800" s="4">
        <v>-4.5730000000000004</v>
      </c>
      <c r="O1800" s="4">
        <v>-4.5730000000000004</v>
      </c>
      <c r="P1800" s="4">
        <v>-2</v>
      </c>
      <c r="Q1800" s="3" t="s">
        <v>26</v>
      </c>
      <c r="R1800" s="3">
        <v>0</v>
      </c>
      <c r="S1800" s="3" t="s">
        <v>552</v>
      </c>
      <c r="T1800" s="3" t="s">
        <v>833</v>
      </c>
      <c r="U1800" s="3">
        <v>0</v>
      </c>
      <c r="V1800" s="3">
        <v>84</v>
      </c>
      <c r="W1800" s="3">
        <v>7</v>
      </c>
    </row>
    <row r="1801" spans="1:23" ht="11.25" customHeight="1" x14ac:dyDescent="0.25">
      <c r="A1801" s="3" t="s">
        <v>28</v>
      </c>
      <c r="B1801" s="3" t="s">
        <v>37</v>
      </c>
      <c r="C1801" s="3" t="s">
        <v>23</v>
      </c>
      <c r="D1801" s="3" t="s">
        <v>46</v>
      </c>
      <c r="E1801" s="3" t="s">
        <v>25</v>
      </c>
      <c r="F1801" s="3" t="s">
        <v>25</v>
      </c>
      <c r="G1801" s="3" t="s">
        <v>25</v>
      </c>
      <c r="H1801" s="3" t="s">
        <v>25</v>
      </c>
      <c r="I1801" s="6">
        <v>44287</v>
      </c>
      <c r="J1801" s="4">
        <v>0</v>
      </c>
      <c r="K1801" s="4">
        <v>0</v>
      </c>
      <c r="L1801" s="4">
        <v>4.4059999999999997</v>
      </c>
      <c r="M1801" s="4">
        <v>4.4059999999999997</v>
      </c>
      <c r="N1801" s="4">
        <v>4.4059999999999997</v>
      </c>
      <c r="O1801" s="4">
        <v>4.4059999999999997</v>
      </c>
      <c r="P1801" s="4">
        <v>13</v>
      </c>
      <c r="Q1801" s="3" t="s">
        <v>26</v>
      </c>
      <c r="R1801" s="3">
        <v>0</v>
      </c>
      <c r="S1801" s="3" t="s">
        <v>552</v>
      </c>
      <c r="T1801" s="3" t="s">
        <v>833</v>
      </c>
      <c r="U1801" s="3">
        <v>0</v>
      </c>
      <c r="V1801" s="3">
        <v>84</v>
      </c>
      <c r="W1801" s="3">
        <v>7</v>
      </c>
    </row>
    <row r="1802" spans="1:23" ht="11.25" customHeight="1" x14ac:dyDescent="0.25">
      <c r="A1802" s="3" t="s">
        <v>21</v>
      </c>
      <c r="B1802" s="3" t="s">
        <v>37</v>
      </c>
      <c r="C1802" s="3" t="s">
        <v>23</v>
      </c>
      <c r="D1802" s="3" t="s">
        <v>46</v>
      </c>
      <c r="E1802" s="3" t="s">
        <v>25</v>
      </c>
      <c r="F1802" s="3" t="s">
        <v>25</v>
      </c>
      <c r="G1802" s="3" t="s">
        <v>25</v>
      </c>
      <c r="H1802" s="3" t="s">
        <v>25</v>
      </c>
      <c r="I1802" s="6">
        <v>44317</v>
      </c>
      <c r="J1802" s="4">
        <v>0</v>
      </c>
      <c r="K1802" s="4">
        <v>0</v>
      </c>
      <c r="L1802" s="4">
        <v>3428.962</v>
      </c>
      <c r="M1802" s="4">
        <v>3428.962</v>
      </c>
      <c r="N1802" s="4">
        <v>3428.962</v>
      </c>
      <c r="O1802" s="4">
        <v>3428.962</v>
      </c>
      <c r="P1802" s="4">
        <v>5237</v>
      </c>
      <c r="Q1802" s="3" t="s">
        <v>26</v>
      </c>
      <c r="R1802" s="3">
        <v>0</v>
      </c>
      <c r="S1802" s="3" t="s">
        <v>553</v>
      </c>
      <c r="T1802" s="3" t="s">
        <v>834</v>
      </c>
      <c r="U1802" s="3">
        <v>0</v>
      </c>
      <c r="V1802" s="3">
        <v>84</v>
      </c>
      <c r="W1802" s="3">
        <v>7</v>
      </c>
    </row>
    <row r="1803" spans="1:23" ht="11.25" customHeight="1" x14ac:dyDescent="0.25">
      <c r="A1803" s="3" t="s">
        <v>27</v>
      </c>
      <c r="B1803" s="3" t="s">
        <v>37</v>
      </c>
      <c r="C1803" s="3" t="s">
        <v>23</v>
      </c>
      <c r="D1803" s="3" t="s">
        <v>46</v>
      </c>
      <c r="E1803" s="3" t="s">
        <v>25</v>
      </c>
      <c r="F1803" s="3" t="s">
        <v>25</v>
      </c>
      <c r="G1803" s="3" t="s">
        <v>25</v>
      </c>
      <c r="H1803" s="3" t="s">
        <v>25</v>
      </c>
      <c r="I1803" s="6">
        <v>44317</v>
      </c>
      <c r="J1803" s="4">
        <v>0</v>
      </c>
      <c r="K1803" s="4">
        <v>0</v>
      </c>
      <c r="L1803" s="4">
        <v>0.1</v>
      </c>
      <c r="M1803" s="4">
        <v>0.1</v>
      </c>
      <c r="N1803" s="4">
        <v>0.1</v>
      </c>
      <c r="O1803" s="4">
        <v>0.1</v>
      </c>
      <c r="P1803" s="4">
        <v>1</v>
      </c>
      <c r="Q1803" s="3" t="s">
        <v>26</v>
      </c>
      <c r="R1803" s="3">
        <v>0</v>
      </c>
      <c r="S1803" s="3" t="s">
        <v>553</v>
      </c>
      <c r="T1803" s="3" t="s">
        <v>834</v>
      </c>
      <c r="U1803" s="3">
        <v>0</v>
      </c>
      <c r="V1803" s="3">
        <v>84</v>
      </c>
      <c r="W1803" s="3">
        <v>7</v>
      </c>
    </row>
    <row r="1804" spans="1:23" ht="11.25" customHeight="1" x14ac:dyDescent="0.25">
      <c r="A1804" s="3" t="s">
        <v>28</v>
      </c>
      <c r="B1804" s="3" t="s">
        <v>37</v>
      </c>
      <c r="C1804" s="3" t="s">
        <v>23</v>
      </c>
      <c r="D1804" s="3" t="s">
        <v>46</v>
      </c>
      <c r="E1804" s="3" t="s">
        <v>25</v>
      </c>
      <c r="F1804" s="3" t="s">
        <v>25</v>
      </c>
      <c r="G1804" s="3" t="s">
        <v>25</v>
      </c>
      <c r="H1804" s="3" t="s">
        <v>25</v>
      </c>
      <c r="I1804" s="6">
        <v>44317</v>
      </c>
      <c r="J1804" s="4">
        <v>0</v>
      </c>
      <c r="K1804" s="4">
        <v>0</v>
      </c>
      <c r="L1804" s="4">
        <v>4.5410000000000004</v>
      </c>
      <c r="M1804" s="4">
        <v>4.5410000000000004</v>
      </c>
      <c r="N1804" s="4">
        <v>4.5410000000000004</v>
      </c>
      <c r="O1804" s="4">
        <v>4.5410000000000004</v>
      </c>
      <c r="P1804" s="4">
        <v>13</v>
      </c>
      <c r="Q1804" s="3" t="s">
        <v>26</v>
      </c>
      <c r="R1804" s="3">
        <v>0</v>
      </c>
      <c r="S1804" s="3" t="s">
        <v>553</v>
      </c>
      <c r="T1804" s="3" t="s">
        <v>834</v>
      </c>
      <c r="U1804" s="3">
        <v>0</v>
      </c>
      <c r="V1804" s="3">
        <v>84</v>
      </c>
      <c r="W1804" s="3">
        <v>7</v>
      </c>
    </row>
    <row r="1805" spans="1:23" ht="11.25" customHeight="1" x14ac:dyDescent="0.25">
      <c r="A1805" s="3" t="s">
        <v>21</v>
      </c>
      <c r="B1805" s="3" t="s">
        <v>37</v>
      </c>
      <c r="C1805" s="3" t="s">
        <v>23</v>
      </c>
      <c r="D1805" s="3" t="s">
        <v>46</v>
      </c>
      <c r="E1805" s="3" t="s">
        <v>25</v>
      </c>
      <c r="F1805" s="3" t="s">
        <v>25</v>
      </c>
      <c r="G1805" s="3" t="s">
        <v>25</v>
      </c>
      <c r="H1805" s="3" t="s">
        <v>25</v>
      </c>
      <c r="I1805" s="6">
        <v>44348</v>
      </c>
      <c r="J1805" s="4">
        <v>0</v>
      </c>
      <c r="K1805" s="4">
        <v>0</v>
      </c>
      <c r="L1805" s="4">
        <v>3281.2719999999999</v>
      </c>
      <c r="M1805" s="4">
        <v>3281.2719999999999</v>
      </c>
      <c r="N1805" s="4">
        <v>3281.2719999999999</v>
      </c>
      <c r="O1805" s="4">
        <v>3281.2719999999999</v>
      </c>
      <c r="P1805" s="4">
        <v>5236</v>
      </c>
      <c r="Q1805" s="3" t="s">
        <v>26</v>
      </c>
      <c r="R1805" s="3">
        <v>0</v>
      </c>
      <c r="S1805" s="3" t="s">
        <v>554</v>
      </c>
      <c r="T1805" s="3" t="s">
        <v>835</v>
      </c>
      <c r="U1805" s="3">
        <v>0</v>
      </c>
      <c r="V1805" s="3">
        <v>84</v>
      </c>
      <c r="W1805" s="3">
        <v>7</v>
      </c>
    </row>
    <row r="1806" spans="1:23" ht="11.25" customHeight="1" x14ac:dyDescent="0.25">
      <c r="A1806" s="3" t="s">
        <v>27</v>
      </c>
      <c r="B1806" s="3" t="s">
        <v>37</v>
      </c>
      <c r="C1806" s="3" t="s">
        <v>23</v>
      </c>
      <c r="D1806" s="3" t="s">
        <v>46</v>
      </c>
      <c r="E1806" s="3" t="s">
        <v>25</v>
      </c>
      <c r="F1806" s="3" t="s">
        <v>25</v>
      </c>
      <c r="G1806" s="3" t="s">
        <v>25</v>
      </c>
      <c r="H1806" s="3" t="s">
        <v>25</v>
      </c>
      <c r="I1806" s="6">
        <v>44348</v>
      </c>
      <c r="J1806" s="4">
        <v>0</v>
      </c>
      <c r="K1806" s="4">
        <v>0</v>
      </c>
      <c r="L1806" s="4">
        <v>-258.16399999999999</v>
      </c>
      <c r="M1806" s="4">
        <v>-258.16399999999999</v>
      </c>
      <c r="N1806" s="4">
        <v>-258.16399999999999</v>
      </c>
      <c r="O1806" s="4">
        <v>-258.16399999999999</v>
      </c>
      <c r="P1806" s="4">
        <v>-7</v>
      </c>
      <c r="Q1806" s="3" t="s">
        <v>26</v>
      </c>
      <c r="R1806" s="3">
        <v>0</v>
      </c>
      <c r="S1806" s="3" t="s">
        <v>554</v>
      </c>
      <c r="T1806" s="3" t="s">
        <v>835</v>
      </c>
      <c r="U1806" s="3">
        <v>0</v>
      </c>
      <c r="V1806" s="3">
        <v>84</v>
      </c>
      <c r="W1806" s="3">
        <v>7</v>
      </c>
    </row>
    <row r="1807" spans="1:23" ht="11.25" customHeight="1" x14ac:dyDescent="0.25">
      <c r="A1807" s="3" t="s">
        <v>28</v>
      </c>
      <c r="B1807" s="3" t="s">
        <v>37</v>
      </c>
      <c r="C1807" s="3" t="s">
        <v>23</v>
      </c>
      <c r="D1807" s="3" t="s">
        <v>46</v>
      </c>
      <c r="E1807" s="3" t="s">
        <v>25</v>
      </c>
      <c r="F1807" s="3" t="s">
        <v>25</v>
      </c>
      <c r="G1807" s="3" t="s">
        <v>25</v>
      </c>
      <c r="H1807" s="3" t="s">
        <v>25</v>
      </c>
      <c r="I1807" s="6">
        <v>44348</v>
      </c>
      <c r="J1807" s="4">
        <v>0</v>
      </c>
      <c r="K1807" s="4">
        <v>0</v>
      </c>
      <c r="L1807" s="4">
        <v>4.5250000000000004</v>
      </c>
      <c r="M1807" s="4">
        <v>4.5250000000000004</v>
      </c>
      <c r="N1807" s="4">
        <v>4.5250000000000004</v>
      </c>
      <c r="O1807" s="4">
        <v>4.5250000000000004</v>
      </c>
      <c r="P1807" s="4">
        <v>13</v>
      </c>
      <c r="Q1807" s="3" t="s">
        <v>26</v>
      </c>
      <c r="R1807" s="3">
        <v>0</v>
      </c>
      <c r="S1807" s="3" t="s">
        <v>554</v>
      </c>
      <c r="T1807" s="3" t="s">
        <v>835</v>
      </c>
      <c r="U1807" s="3">
        <v>0</v>
      </c>
      <c r="V1807" s="3">
        <v>84</v>
      </c>
      <c r="W1807" s="3">
        <v>7</v>
      </c>
    </row>
    <row r="1808" spans="1:23" ht="11.25" customHeight="1" x14ac:dyDescent="0.25">
      <c r="A1808" s="3" t="s">
        <v>21</v>
      </c>
      <c r="B1808" s="3" t="s">
        <v>37</v>
      </c>
      <c r="C1808" s="3" t="s">
        <v>23</v>
      </c>
      <c r="D1808" s="3" t="s">
        <v>46</v>
      </c>
      <c r="E1808" s="3" t="s">
        <v>25</v>
      </c>
      <c r="F1808" s="3" t="s">
        <v>25</v>
      </c>
      <c r="G1808" s="3" t="s">
        <v>25</v>
      </c>
      <c r="H1808" s="3" t="s">
        <v>25</v>
      </c>
      <c r="I1808" s="6">
        <v>44378</v>
      </c>
      <c r="J1808" s="4">
        <v>0</v>
      </c>
      <c r="K1808" s="4">
        <v>0</v>
      </c>
      <c r="L1808" s="4">
        <v>3089.5680000000002</v>
      </c>
      <c r="M1808" s="4">
        <v>3089.5680000000002</v>
      </c>
      <c r="N1808" s="4">
        <v>3089.5680000000002</v>
      </c>
      <c r="O1808" s="4">
        <v>3089.5680000000002</v>
      </c>
      <c r="P1808" s="4">
        <v>5220</v>
      </c>
      <c r="Q1808" s="3" t="s">
        <v>26</v>
      </c>
      <c r="R1808" s="3">
        <v>0</v>
      </c>
      <c r="S1808" s="3" t="s">
        <v>555</v>
      </c>
      <c r="T1808" s="3" t="s">
        <v>836</v>
      </c>
      <c r="U1808" s="3">
        <v>0</v>
      </c>
      <c r="V1808" s="3">
        <v>84</v>
      </c>
      <c r="W1808" s="3">
        <v>7</v>
      </c>
    </row>
    <row r="1809" spans="1:23" ht="11.25" customHeight="1" x14ac:dyDescent="0.25">
      <c r="A1809" s="3" t="s">
        <v>27</v>
      </c>
      <c r="B1809" s="3" t="s">
        <v>37</v>
      </c>
      <c r="C1809" s="3" t="s">
        <v>23</v>
      </c>
      <c r="D1809" s="3" t="s">
        <v>46</v>
      </c>
      <c r="E1809" s="3" t="s">
        <v>25</v>
      </c>
      <c r="F1809" s="3" t="s">
        <v>25</v>
      </c>
      <c r="G1809" s="3" t="s">
        <v>25</v>
      </c>
      <c r="H1809" s="3" t="s">
        <v>25</v>
      </c>
      <c r="I1809" s="6">
        <v>44378</v>
      </c>
      <c r="J1809" s="4">
        <v>0</v>
      </c>
      <c r="K1809" s="4">
        <v>0</v>
      </c>
      <c r="L1809" s="4">
        <v>-114.49299999999999</v>
      </c>
      <c r="M1809" s="4">
        <v>-114.49299999999999</v>
      </c>
      <c r="N1809" s="4">
        <v>-114.49299999999999</v>
      </c>
      <c r="O1809" s="4">
        <v>-114.49299999999999</v>
      </c>
      <c r="P1809" s="4">
        <v>-10</v>
      </c>
      <c r="Q1809" s="3" t="s">
        <v>26</v>
      </c>
      <c r="R1809" s="3">
        <v>0</v>
      </c>
      <c r="S1809" s="3" t="s">
        <v>555</v>
      </c>
      <c r="T1809" s="3" t="s">
        <v>836</v>
      </c>
      <c r="U1809" s="3">
        <v>0</v>
      </c>
      <c r="V1809" s="3">
        <v>84</v>
      </c>
      <c r="W1809" s="3">
        <v>7</v>
      </c>
    </row>
    <row r="1810" spans="1:23" ht="11.25" customHeight="1" x14ac:dyDescent="0.25">
      <c r="A1810" s="3" t="s">
        <v>28</v>
      </c>
      <c r="B1810" s="3" t="s">
        <v>37</v>
      </c>
      <c r="C1810" s="3" t="s">
        <v>23</v>
      </c>
      <c r="D1810" s="3" t="s">
        <v>46</v>
      </c>
      <c r="E1810" s="3" t="s">
        <v>25</v>
      </c>
      <c r="F1810" s="3" t="s">
        <v>25</v>
      </c>
      <c r="G1810" s="3" t="s">
        <v>25</v>
      </c>
      <c r="H1810" s="3" t="s">
        <v>25</v>
      </c>
      <c r="I1810" s="6">
        <v>44378</v>
      </c>
      <c r="J1810" s="4">
        <v>0</v>
      </c>
      <c r="K1810" s="4">
        <v>0</v>
      </c>
      <c r="L1810" s="4">
        <v>3.0529999999999999</v>
      </c>
      <c r="M1810" s="4">
        <v>3.0529999999999999</v>
      </c>
      <c r="N1810" s="4">
        <v>3.0529999999999999</v>
      </c>
      <c r="O1810" s="4">
        <v>3.0529999999999999</v>
      </c>
      <c r="P1810" s="4">
        <v>13</v>
      </c>
      <c r="Q1810" s="3" t="s">
        <v>26</v>
      </c>
      <c r="R1810" s="3">
        <v>0</v>
      </c>
      <c r="S1810" s="3" t="s">
        <v>555</v>
      </c>
      <c r="T1810" s="3" t="s">
        <v>836</v>
      </c>
      <c r="U1810" s="3">
        <v>0</v>
      </c>
      <c r="V1810" s="3">
        <v>84</v>
      </c>
      <c r="W1810" s="3">
        <v>7</v>
      </c>
    </row>
    <row r="1811" spans="1:23" ht="11.25" customHeight="1" x14ac:dyDescent="0.25">
      <c r="A1811" s="3" t="s">
        <v>21</v>
      </c>
      <c r="B1811" s="3" t="s">
        <v>37</v>
      </c>
      <c r="C1811" s="3" t="s">
        <v>23</v>
      </c>
      <c r="D1811" s="3" t="s">
        <v>46</v>
      </c>
      <c r="E1811" s="3" t="s">
        <v>25</v>
      </c>
      <c r="F1811" s="3" t="s">
        <v>25</v>
      </c>
      <c r="G1811" s="3" t="s">
        <v>25</v>
      </c>
      <c r="H1811" s="3" t="s">
        <v>25</v>
      </c>
      <c r="I1811" s="6">
        <v>44409</v>
      </c>
      <c r="J1811" s="4">
        <v>0</v>
      </c>
      <c r="K1811" s="4">
        <v>0</v>
      </c>
      <c r="L1811" s="4">
        <v>3215.0770000000002</v>
      </c>
      <c r="M1811" s="4">
        <v>3215.0770000000002</v>
      </c>
      <c r="N1811" s="4">
        <v>3215.0770000000002</v>
      </c>
      <c r="O1811" s="4">
        <v>3215.0770000000002</v>
      </c>
      <c r="P1811" s="4">
        <v>5226</v>
      </c>
      <c r="Q1811" s="3" t="s">
        <v>26</v>
      </c>
      <c r="R1811" s="3">
        <v>0</v>
      </c>
      <c r="S1811" s="3" t="s">
        <v>556</v>
      </c>
      <c r="T1811" s="3" t="s">
        <v>837</v>
      </c>
      <c r="U1811" s="3">
        <v>0</v>
      </c>
      <c r="V1811" s="3">
        <v>84</v>
      </c>
      <c r="W1811" s="3">
        <v>7</v>
      </c>
    </row>
    <row r="1812" spans="1:23" ht="11.25" customHeight="1" x14ac:dyDescent="0.25">
      <c r="A1812" s="3" t="s">
        <v>27</v>
      </c>
      <c r="B1812" s="3" t="s">
        <v>37</v>
      </c>
      <c r="C1812" s="3" t="s">
        <v>23</v>
      </c>
      <c r="D1812" s="3" t="s">
        <v>46</v>
      </c>
      <c r="E1812" s="3" t="s">
        <v>25</v>
      </c>
      <c r="F1812" s="3" t="s">
        <v>25</v>
      </c>
      <c r="G1812" s="3" t="s">
        <v>25</v>
      </c>
      <c r="H1812" s="3" t="s">
        <v>25</v>
      </c>
      <c r="I1812" s="6">
        <v>44409</v>
      </c>
      <c r="J1812" s="4">
        <v>0</v>
      </c>
      <c r="K1812" s="4">
        <v>0</v>
      </c>
      <c r="L1812" s="4">
        <v>-157.59399999999999</v>
      </c>
      <c r="M1812" s="4">
        <v>-157.59399999999999</v>
      </c>
      <c r="N1812" s="4">
        <v>-157.59399999999999</v>
      </c>
      <c r="O1812" s="4">
        <v>-157.59399999999999</v>
      </c>
      <c r="P1812" s="4">
        <v>-17</v>
      </c>
      <c r="Q1812" s="3" t="s">
        <v>26</v>
      </c>
      <c r="R1812" s="3">
        <v>0</v>
      </c>
      <c r="S1812" s="3" t="s">
        <v>556</v>
      </c>
      <c r="T1812" s="3" t="s">
        <v>837</v>
      </c>
      <c r="U1812" s="3">
        <v>0</v>
      </c>
      <c r="V1812" s="3">
        <v>84</v>
      </c>
      <c r="W1812" s="3">
        <v>7</v>
      </c>
    </row>
    <row r="1813" spans="1:23" ht="11.25" customHeight="1" x14ac:dyDescent="0.25">
      <c r="A1813" s="3" t="s">
        <v>28</v>
      </c>
      <c r="B1813" s="3" t="s">
        <v>37</v>
      </c>
      <c r="C1813" s="3" t="s">
        <v>23</v>
      </c>
      <c r="D1813" s="3" t="s">
        <v>46</v>
      </c>
      <c r="E1813" s="3" t="s">
        <v>25</v>
      </c>
      <c r="F1813" s="3" t="s">
        <v>25</v>
      </c>
      <c r="G1813" s="3" t="s">
        <v>25</v>
      </c>
      <c r="H1813" s="3" t="s">
        <v>25</v>
      </c>
      <c r="I1813" s="6">
        <v>44409</v>
      </c>
      <c r="J1813" s="4">
        <v>0</v>
      </c>
      <c r="K1813" s="4">
        <v>0</v>
      </c>
      <c r="L1813" s="4">
        <v>4.55</v>
      </c>
      <c r="M1813" s="4">
        <v>4.55</v>
      </c>
      <c r="N1813" s="4">
        <v>4.55</v>
      </c>
      <c r="O1813" s="4">
        <v>4.55</v>
      </c>
      <c r="P1813" s="4">
        <v>14</v>
      </c>
      <c r="Q1813" s="3" t="s">
        <v>26</v>
      </c>
      <c r="R1813" s="3">
        <v>0</v>
      </c>
      <c r="S1813" s="3" t="s">
        <v>556</v>
      </c>
      <c r="T1813" s="3" t="s">
        <v>837</v>
      </c>
      <c r="U1813" s="3">
        <v>0</v>
      </c>
      <c r="V1813" s="3">
        <v>84</v>
      </c>
      <c r="W1813" s="3">
        <v>7</v>
      </c>
    </row>
    <row r="1814" spans="1:23" ht="11.25" customHeight="1" x14ac:dyDescent="0.25">
      <c r="A1814" s="3" t="s">
        <v>21</v>
      </c>
      <c r="B1814" s="3" t="s">
        <v>37</v>
      </c>
      <c r="C1814" s="3" t="s">
        <v>23</v>
      </c>
      <c r="D1814" s="3" t="s">
        <v>46</v>
      </c>
      <c r="E1814" s="3" t="s">
        <v>25</v>
      </c>
      <c r="F1814" s="3" t="s">
        <v>25</v>
      </c>
      <c r="G1814" s="3" t="s">
        <v>25</v>
      </c>
      <c r="H1814" s="3" t="s">
        <v>25</v>
      </c>
      <c r="I1814" s="6">
        <v>44440</v>
      </c>
      <c r="J1814" s="4">
        <v>0</v>
      </c>
      <c r="K1814" s="4">
        <v>0</v>
      </c>
      <c r="L1814" s="4">
        <v>3355.174</v>
      </c>
      <c r="M1814" s="4">
        <v>3355.174</v>
      </c>
      <c r="N1814" s="4">
        <v>3355.174</v>
      </c>
      <c r="O1814" s="4">
        <v>3355.174</v>
      </c>
      <c r="P1814" s="4">
        <v>5223</v>
      </c>
      <c r="Q1814" s="3" t="s">
        <v>26</v>
      </c>
      <c r="R1814" s="3">
        <v>0</v>
      </c>
      <c r="S1814" s="3" t="s">
        <v>557</v>
      </c>
      <c r="T1814" s="3" t="s">
        <v>838</v>
      </c>
      <c r="U1814" s="3">
        <v>0</v>
      </c>
      <c r="V1814" s="3">
        <v>84</v>
      </c>
      <c r="W1814" s="3">
        <v>7</v>
      </c>
    </row>
    <row r="1815" spans="1:23" ht="11.25" customHeight="1" x14ac:dyDescent="0.25">
      <c r="A1815" s="3" t="s">
        <v>28</v>
      </c>
      <c r="B1815" s="3" t="s">
        <v>37</v>
      </c>
      <c r="C1815" s="3" t="s">
        <v>23</v>
      </c>
      <c r="D1815" s="3" t="s">
        <v>46</v>
      </c>
      <c r="E1815" s="3" t="s">
        <v>25</v>
      </c>
      <c r="F1815" s="3" t="s">
        <v>25</v>
      </c>
      <c r="G1815" s="3" t="s">
        <v>25</v>
      </c>
      <c r="H1815" s="3" t="s">
        <v>25</v>
      </c>
      <c r="I1815" s="6">
        <v>44440</v>
      </c>
      <c r="J1815" s="4">
        <v>0</v>
      </c>
      <c r="K1815" s="4">
        <v>0</v>
      </c>
      <c r="L1815" s="4">
        <v>4.6550000000000002</v>
      </c>
      <c r="M1815" s="4">
        <v>4.6550000000000002</v>
      </c>
      <c r="N1815" s="4">
        <v>4.6550000000000002</v>
      </c>
      <c r="O1815" s="4">
        <v>4.6550000000000002</v>
      </c>
      <c r="P1815" s="4">
        <v>15</v>
      </c>
      <c r="Q1815" s="3" t="s">
        <v>26</v>
      </c>
      <c r="R1815" s="3">
        <v>0</v>
      </c>
      <c r="S1815" s="3" t="s">
        <v>557</v>
      </c>
      <c r="T1815" s="3" t="s">
        <v>838</v>
      </c>
      <c r="U1815" s="3">
        <v>0</v>
      </c>
      <c r="V1815" s="3">
        <v>84</v>
      </c>
      <c r="W1815" s="3">
        <v>7</v>
      </c>
    </row>
    <row r="1816" spans="1:23" ht="11.25" customHeight="1" x14ac:dyDescent="0.25">
      <c r="A1816" s="3" t="s">
        <v>21</v>
      </c>
      <c r="B1816" s="3" t="s">
        <v>37</v>
      </c>
      <c r="C1816" s="3" t="s">
        <v>23</v>
      </c>
      <c r="D1816" s="3" t="s">
        <v>46</v>
      </c>
      <c r="E1816" s="3" t="s">
        <v>25</v>
      </c>
      <c r="F1816" s="3" t="s">
        <v>25</v>
      </c>
      <c r="G1816" s="3" t="s">
        <v>25</v>
      </c>
      <c r="H1816" s="3" t="s">
        <v>25</v>
      </c>
      <c r="I1816" s="6">
        <v>44470</v>
      </c>
      <c r="J1816" s="4">
        <v>0</v>
      </c>
      <c r="K1816" s="4">
        <v>0</v>
      </c>
      <c r="L1816" s="4">
        <v>3832.8040000000001</v>
      </c>
      <c r="M1816" s="4">
        <v>3832.8040000000001</v>
      </c>
      <c r="N1816" s="4">
        <v>3832.8040000000001</v>
      </c>
      <c r="O1816" s="4">
        <v>3832.8040000000001</v>
      </c>
      <c r="P1816" s="4">
        <v>5195</v>
      </c>
      <c r="Q1816" s="3" t="s">
        <v>26</v>
      </c>
      <c r="R1816" s="3">
        <v>0</v>
      </c>
      <c r="S1816" s="3" t="s">
        <v>558</v>
      </c>
      <c r="T1816" s="3" t="s">
        <v>839</v>
      </c>
      <c r="U1816" s="3">
        <v>0</v>
      </c>
      <c r="V1816" s="3">
        <v>84</v>
      </c>
      <c r="W1816" s="3">
        <v>7</v>
      </c>
    </row>
    <row r="1817" spans="1:23" ht="11.25" customHeight="1" x14ac:dyDescent="0.25">
      <c r="A1817" s="3" t="s">
        <v>28</v>
      </c>
      <c r="B1817" s="3" t="s">
        <v>37</v>
      </c>
      <c r="C1817" s="3" t="s">
        <v>23</v>
      </c>
      <c r="D1817" s="3" t="s">
        <v>46</v>
      </c>
      <c r="E1817" s="3" t="s">
        <v>25</v>
      </c>
      <c r="F1817" s="3" t="s">
        <v>25</v>
      </c>
      <c r="G1817" s="3" t="s">
        <v>25</v>
      </c>
      <c r="H1817" s="3" t="s">
        <v>25</v>
      </c>
      <c r="I1817" s="6">
        <v>44470</v>
      </c>
      <c r="J1817" s="4">
        <v>0</v>
      </c>
      <c r="K1817" s="4">
        <v>0</v>
      </c>
      <c r="L1817" s="4">
        <v>4.8730000000000002</v>
      </c>
      <c r="M1817" s="4">
        <v>4.8730000000000002</v>
      </c>
      <c r="N1817" s="4">
        <v>4.8730000000000002</v>
      </c>
      <c r="O1817" s="4">
        <v>4.8730000000000002</v>
      </c>
      <c r="P1817" s="4">
        <v>15</v>
      </c>
      <c r="Q1817" s="3" t="s">
        <v>26</v>
      </c>
      <c r="R1817" s="3">
        <v>0</v>
      </c>
      <c r="S1817" s="3" t="s">
        <v>558</v>
      </c>
      <c r="T1817" s="3" t="s">
        <v>839</v>
      </c>
      <c r="U1817" s="3">
        <v>0</v>
      </c>
      <c r="V1817" s="3">
        <v>84</v>
      </c>
      <c r="W1817" s="3">
        <v>7</v>
      </c>
    </row>
    <row r="1818" spans="1:23" ht="11.25" customHeight="1" x14ac:dyDescent="0.25">
      <c r="A1818" s="3" t="s">
        <v>21</v>
      </c>
      <c r="B1818" s="3" t="s">
        <v>37</v>
      </c>
      <c r="C1818" s="3" t="s">
        <v>23</v>
      </c>
      <c r="D1818" s="3" t="s">
        <v>46</v>
      </c>
      <c r="E1818" s="3" t="s">
        <v>25</v>
      </c>
      <c r="F1818" s="3" t="s">
        <v>25</v>
      </c>
      <c r="G1818" s="3" t="s">
        <v>25</v>
      </c>
      <c r="H1818" s="3" t="s">
        <v>25</v>
      </c>
      <c r="I1818" s="6">
        <v>44501</v>
      </c>
      <c r="J1818" s="4">
        <v>0</v>
      </c>
      <c r="K1818" s="4">
        <v>0</v>
      </c>
      <c r="L1818" s="4">
        <v>3970.9969999999998</v>
      </c>
      <c r="M1818" s="4">
        <v>3970.9969999999998</v>
      </c>
      <c r="N1818" s="4">
        <v>3970.9969999999998</v>
      </c>
      <c r="O1818" s="4">
        <v>3970.9969999999998</v>
      </c>
      <c r="P1818" s="4">
        <v>5077</v>
      </c>
      <c r="Q1818" s="3" t="s">
        <v>26</v>
      </c>
      <c r="R1818" s="3">
        <v>0</v>
      </c>
      <c r="S1818" s="3" t="s">
        <v>559</v>
      </c>
      <c r="T1818" s="3" t="s">
        <v>840</v>
      </c>
      <c r="U1818" s="3">
        <v>0</v>
      </c>
      <c r="V1818" s="3">
        <v>84</v>
      </c>
      <c r="W1818" s="3">
        <v>7</v>
      </c>
    </row>
    <row r="1819" spans="1:23" ht="11.25" customHeight="1" x14ac:dyDescent="0.25">
      <c r="A1819" s="3" t="s">
        <v>28</v>
      </c>
      <c r="B1819" s="3" t="s">
        <v>37</v>
      </c>
      <c r="C1819" s="3" t="s">
        <v>23</v>
      </c>
      <c r="D1819" s="3" t="s">
        <v>46</v>
      </c>
      <c r="E1819" s="3" t="s">
        <v>25</v>
      </c>
      <c r="F1819" s="3" t="s">
        <v>25</v>
      </c>
      <c r="G1819" s="3" t="s">
        <v>25</v>
      </c>
      <c r="H1819" s="3" t="s">
        <v>25</v>
      </c>
      <c r="I1819" s="6">
        <v>44501</v>
      </c>
      <c r="J1819" s="4">
        <v>0</v>
      </c>
      <c r="K1819" s="4">
        <v>0</v>
      </c>
      <c r="L1819" s="4">
        <v>5.6479999999999997</v>
      </c>
      <c r="M1819" s="4">
        <v>5.6479999999999997</v>
      </c>
      <c r="N1819" s="4">
        <v>5.6479999999999997</v>
      </c>
      <c r="O1819" s="4">
        <v>5.6479999999999997</v>
      </c>
      <c r="P1819" s="4">
        <v>15</v>
      </c>
      <c r="Q1819" s="3" t="s">
        <v>26</v>
      </c>
      <c r="R1819" s="3">
        <v>0</v>
      </c>
      <c r="S1819" s="3" t="s">
        <v>559</v>
      </c>
      <c r="T1819" s="3" t="s">
        <v>840</v>
      </c>
      <c r="U1819" s="3">
        <v>0</v>
      </c>
      <c r="V1819" s="3">
        <v>84</v>
      </c>
      <c r="W1819" s="3">
        <v>7</v>
      </c>
    </row>
    <row r="1820" spans="1:23" ht="11.25" customHeight="1" x14ac:dyDescent="0.25">
      <c r="A1820" s="3" t="s">
        <v>21</v>
      </c>
      <c r="B1820" s="3" t="s">
        <v>37</v>
      </c>
      <c r="C1820" s="3" t="s">
        <v>23</v>
      </c>
      <c r="D1820" s="3" t="s">
        <v>46</v>
      </c>
      <c r="E1820" s="3" t="s">
        <v>25</v>
      </c>
      <c r="F1820" s="3" t="s">
        <v>25</v>
      </c>
      <c r="G1820" s="3" t="s">
        <v>25</v>
      </c>
      <c r="H1820" s="3" t="s">
        <v>25</v>
      </c>
      <c r="I1820" s="6">
        <v>44531</v>
      </c>
      <c r="J1820" s="4">
        <v>0</v>
      </c>
      <c r="K1820" s="4">
        <v>0</v>
      </c>
      <c r="L1820" s="4">
        <v>4347.5320000000002</v>
      </c>
      <c r="M1820" s="4">
        <v>4347.5320000000002</v>
      </c>
      <c r="N1820" s="4">
        <v>4347.5320000000002</v>
      </c>
      <c r="O1820" s="4">
        <v>4347.5320000000002</v>
      </c>
      <c r="P1820" s="4">
        <v>4965</v>
      </c>
      <c r="Q1820" s="3" t="s">
        <v>26</v>
      </c>
      <c r="R1820" s="3">
        <v>0</v>
      </c>
      <c r="S1820" s="3" t="s">
        <v>560</v>
      </c>
      <c r="T1820" s="3" t="s">
        <v>841</v>
      </c>
      <c r="U1820" s="3">
        <v>0</v>
      </c>
      <c r="V1820" s="3">
        <v>84</v>
      </c>
      <c r="W1820" s="3">
        <v>7</v>
      </c>
    </row>
    <row r="1821" spans="1:23" ht="11.25" customHeight="1" x14ac:dyDescent="0.25">
      <c r="A1821" s="3" t="s">
        <v>27</v>
      </c>
      <c r="B1821" s="3" t="s">
        <v>37</v>
      </c>
      <c r="C1821" s="3" t="s">
        <v>23</v>
      </c>
      <c r="D1821" s="3" t="s">
        <v>46</v>
      </c>
      <c r="E1821" s="3" t="s">
        <v>25</v>
      </c>
      <c r="F1821" s="3" t="s">
        <v>25</v>
      </c>
      <c r="G1821" s="3" t="s">
        <v>25</v>
      </c>
      <c r="H1821" s="3" t="s">
        <v>25</v>
      </c>
      <c r="I1821" s="6">
        <v>44531</v>
      </c>
      <c r="J1821" s="4">
        <v>0</v>
      </c>
      <c r="K1821" s="4">
        <v>0</v>
      </c>
      <c r="L1821" s="4">
        <v>-64.213999999999999</v>
      </c>
      <c r="M1821" s="4">
        <v>-64.213999999999999</v>
      </c>
      <c r="N1821" s="4">
        <v>-64.213999999999999</v>
      </c>
      <c r="O1821" s="4">
        <v>-64.213999999999999</v>
      </c>
      <c r="P1821" s="4">
        <v>-5</v>
      </c>
      <c r="Q1821" s="3" t="s">
        <v>26</v>
      </c>
      <c r="R1821" s="3">
        <v>0</v>
      </c>
      <c r="S1821" s="3" t="s">
        <v>560</v>
      </c>
      <c r="T1821" s="3" t="s">
        <v>841</v>
      </c>
      <c r="U1821" s="3">
        <v>0</v>
      </c>
      <c r="V1821" s="3">
        <v>84</v>
      </c>
      <c r="W1821" s="3">
        <v>7</v>
      </c>
    </row>
    <row r="1822" spans="1:23" ht="11.25" customHeight="1" x14ac:dyDescent="0.25">
      <c r="A1822" s="3" t="s">
        <v>28</v>
      </c>
      <c r="B1822" s="3" t="s">
        <v>37</v>
      </c>
      <c r="C1822" s="3" t="s">
        <v>23</v>
      </c>
      <c r="D1822" s="3" t="s">
        <v>46</v>
      </c>
      <c r="E1822" s="3" t="s">
        <v>25</v>
      </c>
      <c r="F1822" s="3" t="s">
        <v>25</v>
      </c>
      <c r="G1822" s="3" t="s">
        <v>25</v>
      </c>
      <c r="H1822" s="3" t="s">
        <v>25</v>
      </c>
      <c r="I1822" s="6">
        <v>44531</v>
      </c>
      <c r="J1822" s="4">
        <v>0</v>
      </c>
      <c r="K1822" s="4">
        <v>0</v>
      </c>
      <c r="L1822" s="4">
        <v>5.9720000000000004</v>
      </c>
      <c r="M1822" s="4">
        <v>5.9720000000000004</v>
      </c>
      <c r="N1822" s="4">
        <v>5.9720000000000004</v>
      </c>
      <c r="O1822" s="4">
        <v>5.9720000000000004</v>
      </c>
      <c r="P1822" s="4">
        <v>15</v>
      </c>
      <c r="Q1822" s="3" t="s">
        <v>26</v>
      </c>
      <c r="R1822" s="3">
        <v>0</v>
      </c>
      <c r="S1822" s="3" t="s">
        <v>560</v>
      </c>
      <c r="T1822" s="3" t="s">
        <v>841</v>
      </c>
      <c r="U1822" s="3">
        <v>0</v>
      </c>
      <c r="V1822" s="3">
        <v>84</v>
      </c>
      <c r="W1822" s="3">
        <v>7</v>
      </c>
    </row>
    <row r="1823" spans="1:23" ht="11.25" customHeight="1" x14ac:dyDescent="0.25">
      <c r="A1823" s="3" t="s">
        <v>21</v>
      </c>
      <c r="B1823" s="3" t="s">
        <v>37</v>
      </c>
      <c r="C1823" s="3" t="s">
        <v>23</v>
      </c>
      <c r="D1823" s="3" t="s">
        <v>46</v>
      </c>
      <c r="E1823" s="3" t="s">
        <v>25</v>
      </c>
      <c r="F1823" s="3" t="s">
        <v>25</v>
      </c>
      <c r="G1823" s="3" t="s">
        <v>25</v>
      </c>
      <c r="H1823" s="3" t="s">
        <v>25</v>
      </c>
      <c r="I1823" s="6">
        <v>44562</v>
      </c>
      <c r="J1823" s="4">
        <v>0</v>
      </c>
      <c r="K1823" s="4">
        <v>0</v>
      </c>
      <c r="L1823" s="4">
        <v>3783.2919999999999</v>
      </c>
      <c r="M1823" s="4">
        <v>3783.2919999999999</v>
      </c>
      <c r="N1823" s="4">
        <v>3783.2919999999999</v>
      </c>
      <c r="O1823" s="4">
        <v>3783.2919999999999</v>
      </c>
      <c r="P1823" s="4">
        <v>4948</v>
      </c>
      <c r="Q1823" s="3" t="s">
        <v>26</v>
      </c>
      <c r="R1823" s="3">
        <v>0</v>
      </c>
      <c r="S1823" s="3" t="s">
        <v>561</v>
      </c>
      <c r="T1823" s="3" t="s">
        <v>842</v>
      </c>
      <c r="U1823" s="3">
        <v>0</v>
      </c>
      <c r="V1823" s="3">
        <v>84</v>
      </c>
      <c r="W1823" s="3">
        <v>7</v>
      </c>
    </row>
    <row r="1824" spans="1:23" ht="11.25" customHeight="1" x14ac:dyDescent="0.25">
      <c r="A1824" s="3" t="s">
        <v>27</v>
      </c>
      <c r="B1824" s="3" t="s">
        <v>37</v>
      </c>
      <c r="C1824" s="3" t="s">
        <v>23</v>
      </c>
      <c r="D1824" s="3" t="s">
        <v>46</v>
      </c>
      <c r="E1824" s="3" t="s">
        <v>25</v>
      </c>
      <c r="F1824" s="3" t="s">
        <v>25</v>
      </c>
      <c r="G1824" s="3" t="s">
        <v>25</v>
      </c>
      <c r="H1824" s="3" t="s">
        <v>25</v>
      </c>
      <c r="I1824" s="6">
        <v>44562</v>
      </c>
      <c r="J1824" s="4">
        <v>0</v>
      </c>
      <c r="K1824" s="4">
        <v>0</v>
      </c>
      <c r="L1824" s="4">
        <v>-9.09</v>
      </c>
      <c r="M1824" s="4">
        <v>-9.09</v>
      </c>
      <c r="N1824" s="4">
        <v>-9.09</v>
      </c>
      <c r="O1824" s="4">
        <v>-9.09</v>
      </c>
      <c r="P1824" s="4">
        <v>-7</v>
      </c>
      <c r="Q1824" s="3" t="s">
        <v>26</v>
      </c>
      <c r="R1824" s="3">
        <v>0</v>
      </c>
      <c r="S1824" s="3" t="s">
        <v>561</v>
      </c>
      <c r="T1824" s="3" t="s">
        <v>842</v>
      </c>
      <c r="U1824" s="3">
        <v>0</v>
      </c>
      <c r="V1824" s="3">
        <v>84</v>
      </c>
      <c r="W1824" s="3">
        <v>7</v>
      </c>
    </row>
    <row r="1825" spans="1:23" ht="11.25" customHeight="1" x14ac:dyDescent="0.25">
      <c r="A1825" s="3" t="s">
        <v>28</v>
      </c>
      <c r="B1825" s="3" t="s">
        <v>37</v>
      </c>
      <c r="C1825" s="3" t="s">
        <v>23</v>
      </c>
      <c r="D1825" s="3" t="s">
        <v>46</v>
      </c>
      <c r="E1825" s="3" t="s">
        <v>25</v>
      </c>
      <c r="F1825" s="3" t="s">
        <v>25</v>
      </c>
      <c r="G1825" s="3" t="s">
        <v>25</v>
      </c>
      <c r="H1825" s="3" t="s">
        <v>25</v>
      </c>
      <c r="I1825" s="6">
        <v>44562</v>
      </c>
      <c r="J1825" s="4">
        <v>0</v>
      </c>
      <c r="K1825" s="4">
        <v>0</v>
      </c>
      <c r="L1825" s="4">
        <v>5.0510000000000002</v>
      </c>
      <c r="M1825" s="4">
        <v>5.0510000000000002</v>
      </c>
      <c r="N1825" s="4">
        <v>5.0510000000000002</v>
      </c>
      <c r="O1825" s="4">
        <v>5.0510000000000002</v>
      </c>
      <c r="P1825" s="4">
        <v>15</v>
      </c>
      <c r="Q1825" s="3" t="s">
        <v>26</v>
      </c>
      <c r="R1825" s="3">
        <v>0</v>
      </c>
      <c r="S1825" s="3" t="s">
        <v>561</v>
      </c>
      <c r="T1825" s="3" t="s">
        <v>842</v>
      </c>
      <c r="U1825" s="3">
        <v>0</v>
      </c>
      <c r="V1825" s="3">
        <v>84</v>
      </c>
      <c r="W1825" s="3">
        <v>7</v>
      </c>
    </row>
    <row r="1826" spans="1:23" ht="11.25" customHeight="1" x14ac:dyDescent="0.25">
      <c r="A1826" s="3" t="s">
        <v>21</v>
      </c>
      <c r="B1826" s="3" t="s">
        <v>37</v>
      </c>
      <c r="C1826" s="3" t="s">
        <v>23</v>
      </c>
      <c r="D1826" s="3" t="s">
        <v>46</v>
      </c>
      <c r="E1826" s="3" t="s">
        <v>25</v>
      </c>
      <c r="F1826" s="3" t="s">
        <v>25</v>
      </c>
      <c r="G1826" s="3" t="s">
        <v>25</v>
      </c>
      <c r="H1826" s="3" t="s">
        <v>25</v>
      </c>
      <c r="I1826" s="6">
        <v>44593</v>
      </c>
      <c r="J1826" s="4">
        <v>0</v>
      </c>
      <c r="K1826" s="4">
        <v>0</v>
      </c>
      <c r="L1826" s="4">
        <v>3837.9850000000001</v>
      </c>
      <c r="M1826" s="4">
        <v>3837.9850000000001</v>
      </c>
      <c r="N1826" s="4">
        <v>3837.9850000000001</v>
      </c>
      <c r="O1826" s="4">
        <v>3837.9850000000001</v>
      </c>
      <c r="P1826" s="4">
        <v>4930</v>
      </c>
      <c r="Q1826" s="3" t="s">
        <v>26</v>
      </c>
      <c r="R1826" s="3">
        <v>0</v>
      </c>
      <c r="S1826" s="3" t="s">
        <v>562</v>
      </c>
      <c r="T1826" s="3" t="s">
        <v>843</v>
      </c>
      <c r="U1826" s="3">
        <v>0</v>
      </c>
      <c r="V1826" s="3">
        <v>84</v>
      </c>
      <c r="W1826" s="3">
        <v>7</v>
      </c>
    </row>
    <row r="1827" spans="1:23" ht="11.25" customHeight="1" x14ac:dyDescent="0.25">
      <c r="A1827" s="3" t="s">
        <v>28</v>
      </c>
      <c r="B1827" s="3" t="s">
        <v>37</v>
      </c>
      <c r="C1827" s="3" t="s">
        <v>23</v>
      </c>
      <c r="D1827" s="3" t="s">
        <v>46</v>
      </c>
      <c r="E1827" s="3" t="s">
        <v>25</v>
      </c>
      <c r="F1827" s="3" t="s">
        <v>25</v>
      </c>
      <c r="G1827" s="3" t="s">
        <v>25</v>
      </c>
      <c r="H1827" s="3" t="s">
        <v>25</v>
      </c>
      <c r="I1827" s="6">
        <v>44593</v>
      </c>
      <c r="J1827" s="4">
        <v>0</v>
      </c>
      <c r="K1827" s="4">
        <v>0</v>
      </c>
      <c r="L1827" s="4">
        <v>6.5780000000000003</v>
      </c>
      <c r="M1827" s="4">
        <v>6.5780000000000003</v>
      </c>
      <c r="N1827" s="4">
        <v>6.5780000000000003</v>
      </c>
      <c r="O1827" s="4">
        <v>6.5780000000000003</v>
      </c>
      <c r="P1827" s="4">
        <v>16</v>
      </c>
      <c r="Q1827" s="3" t="s">
        <v>26</v>
      </c>
      <c r="R1827" s="3">
        <v>0</v>
      </c>
      <c r="S1827" s="3" t="s">
        <v>562</v>
      </c>
      <c r="T1827" s="3" t="s">
        <v>843</v>
      </c>
      <c r="U1827" s="3">
        <v>0</v>
      </c>
      <c r="V1827" s="3">
        <v>84</v>
      </c>
      <c r="W1827" s="3">
        <v>7</v>
      </c>
    </row>
    <row r="1828" spans="1:23" ht="11.25" customHeight="1" x14ac:dyDescent="0.25">
      <c r="A1828" s="3" t="s">
        <v>56</v>
      </c>
      <c r="B1828" s="3" t="s">
        <v>37</v>
      </c>
      <c r="C1828" s="3" t="s">
        <v>23</v>
      </c>
      <c r="D1828" s="3" t="s">
        <v>46</v>
      </c>
      <c r="E1828" s="3" t="s">
        <v>25</v>
      </c>
      <c r="F1828" s="3" t="s">
        <v>25</v>
      </c>
      <c r="G1828" s="3" t="s">
        <v>25</v>
      </c>
      <c r="H1828" s="3" t="s">
        <v>25</v>
      </c>
      <c r="I1828" s="6">
        <v>44621</v>
      </c>
      <c r="J1828" s="4">
        <v>0</v>
      </c>
      <c r="K1828" s="4">
        <v>0</v>
      </c>
      <c r="L1828" s="4">
        <v>3837.9850000000001</v>
      </c>
      <c r="M1828" s="4">
        <v>3837.9850000000001</v>
      </c>
      <c r="N1828" s="4">
        <v>3837.9850000000001</v>
      </c>
      <c r="O1828" s="4">
        <v>3837.9850000000001</v>
      </c>
      <c r="P1828" s="4">
        <v>4930</v>
      </c>
      <c r="Q1828" s="3" t="s">
        <v>26</v>
      </c>
      <c r="R1828" s="3">
        <v>0</v>
      </c>
      <c r="S1828" s="3" t="s">
        <v>563</v>
      </c>
      <c r="T1828" s="3" t="s">
        <v>844</v>
      </c>
      <c r="U1828" s="3">
        <v>0</v>
      </c>
      <c r="V1828" s="3">
        <v>84</v>
      </c>
      <c r="W1828" s="3">
        <v>7</v>
      </c>
    </row>
    <row r="1829" spans="1:23" ht="11.25" customHeight="1" x14ac:dyDescent="0.25">
      <c r="A1829" s="3" t="s">
        <v>56</v>
      </c>
      <c r="B1829" s="3" t="s">
        <v>37</v>
      </c>
      <c r="C1829" s="3" t="s">
        <v>23</v>
      </c>
      <c r="D1829" s="3" t="s">
        <v>46</v>
      </c>
      <c r="E1829" s="3" t="s">
        <v>25</v>
      </c>
      <c r="F1829" s="3" t="s">
        <v>25</v>
      </c>
      <c r="G1829" s="3" t="s">
        <v>25</v>
      </c>
      <c r="H1829" s="3" t="s">
        <v>25</v>
      </c>
      <c r="I1829" s="6">
        <v>44621</v>
      </c>
      <c r="J1829" s="4">
        <v>0</v>
      </c>
      <c r="K1829" s="4">
        <v>0</v>
      </c>
      <c r="L1829" s="4">
        <v>6.5780000000000003</v>
      </c>
      <c r="M1829" s="4">
        <v>6.5780000000000003</v>
      </c>
      <c r="N1829" s="4">
        <v>6.5780000000000003</v>
      </c>
      <c r="O1829" s="4">
        <v>6.5780000000000003</v>
      </c>
      <c r="P1829" s="4">
        <v>16</v>
      </c>
      <c r="Q1829" s="3" t="s">
        <v>26</v>
      </c>
      <c r="R1829" s="3">
        <v>0</v>
      </c>
      <c r="S1829" s="3" t="s">
        <v>563</v>
      </c>
      <c r="T1829" s="3" t="s">
        <v>844</v>
      </c>
      <c r="U1829" s="3">
        <v>0</v>
      </c>
      <c r="V1829" s="3">
        <v>84</v>
      </c>
      <c r="W1829" s="3">
        <v>7</v>
      </c>
    </row>
    <row r="1830" spans="1:23" ht="11.25" customHeight="1" x14ac:dyDescent="0.25">
      <c r="A1830" s="3" t="s">
        <v>21</v>
      </c>
      <c r="B1830" s="3" t="s">
        <v>37</v>
      </c>
      <c r="C1830" s="3" t="s">
        <v>23</v>
      </c>
      <c r="D1830" s="3" t="s">
        <v>50</v>
      </c>
      <c r="E1830" s="3" t="s">
        <v>51</v>
      </c>
      <c r="F1830" s="3" t="s">
        <v>25</v>
      </c>
      <c r="G1830" s="3" t="s">
        <v>25</v>
      </c>
      <c r="H1830" s="3" t="s">
        <v>25</v>
      </c>
      <c r="I1830" s="6">
        <v>44287</v>
      </c>
      <c r="J1830" s="4">
        <v>0</v>
      </c>
      <c r="K1830" s="4">
        <v>0</v>
      </c>
      <c r="L1830" s="4">
        <v>2222.6619999999998</v>
      </c>
      <c r="M1830" s="4">
        <v>2089.3022799999999</v>
      </c>
      <c r="N1830" s="4">
        <v>2222.6619999999998</v>
      </c>
      <c r="O1830" s="4">
        <v>2089.3022799999999</v>
      </c>
      <c r="P1830" s="4">
        <v>1381</v>
      </c>
      <c r="Q1830" s="3" t="s">
        <v>26</v>
      </c>
      <c r="R1830" s="3">
        <v>0</v>
      </c>
      <c r="S1830" s="3" t="s">
        <v>552</v>
      </c>
      <c r="T1830" s="3" t="s">
        <v>833</v>
      </c>
      <c r="U1830" s="3">
        <v>0</v>
      </c>
      <c r="V1830" s="3">
        <v>84</v>
      </c>
      <c r="W1830" s="3">
        <v>7</v>
      </c>
    </row>
    <row r="1831" spans="1:23" ht="11.25" customHeight="1" x14ac:dyDescent="0.25">
      <c r="A1831" s="3" t="s">
        <v>21</v>
      </c>
      <c r="B1831" s="3" t="s">
        <v>37</v>
      </c>
      <c r="C1831" s="3" t="s">
        <v>23</v>
      </c>
      <c r="D1831" s="3" t="s">
        <v>50</v>
      </c>
      <c r="E1831" s="3" t="s">
        <v>51</v>
      </c>
      <c r="F1831" s="3" t="s">
        <v>25</v>
      </c>
      <c r="G1831" s="3" t="s">
        <v>25</v>
      </c>
      <c r="H1831" s="3" t="s">
        <v>25</v>
      </c>
      <c r="I1831" s="6">
        <v>44317</v>
      </c>
      <c r="J1831" s="4">
        <v>0</v>
      </c>
      <c r="K1831" s="4">
        <v>0</v>
      </c>
      <c r="L1831" s="4">
        <v>2071.386</v>
      </c>
      <c r="M1831" s="4">
        <v>1947.10284</v>
      </c>
      <c r="N1831" s="4">
        <v>2071.386</v>
      </c>
      <c r="O1831" s="4">
        <v>1947.10284</v>
      </c>
      <c r="P1831" s="4">
        <v>1384</v>
      </c>
      <c r="Q1831" s="3" t="s">
        <v>26</v>
      </c>
      <c r="R1831" s="3">
        <v>0</v>
      </c>
      <c r="S1831" s="3" t="s">
        <v>553</v>
      </c>
      <c r="T1831" s="3" t="s">
        <v>834</v>
      </c>
      <c r="U1831" s="3">
        <v>0</v>
      </c>
      <c r="V1831" s="3">
        <v>84</v>
      </c>
      <c r="W1831" s="3">
        <v>7</v>
      </c>
    </row>
    <row r="1832" spans="1:23" ht="11.25" customHeight="1" x14ac:dyDescent="0.25">
      <c r="A1832" s="3" t="s">
        <v>21</v>
      </c>
      <c r="B1832" s="3" t="s">
        <v>37</v>
      </c>
      <c r="C1832" s="3" t="s">
        <v>23</v>
      </c>
      <c r="D1832" s="3" t="s">
        <v>50</v>
      </c>
      <c r="E1832" s="3" t="s">
        <v>51</v>
      </c>
      <c r="F1832" s="3" t="s">
        <v>25</v>
      </c>
      <c r="G1832" s="3" t="s">
        <v>25</v>
      </c>
      <c r="H1832" s="3" t="s">
        <v>25</v>
      </c>
      <c r="I1832" s="6">
        <v>44348</v>
      </c>
      <c r="J1832" s="4">
        <v>0</v>
      </c>
      <c r="K1832" s="4">
        <v>0</v>
      </c>
      <c r="L1832" s="4">
        <v>2112.0059999999999</v>
      </c>
      <c r="M1832" s="4">
        <v>1985.2856400000001</v>
      </c>
      <c r="N1832" s="4">
        <v>2112.0059999999999</v>
      </c>
      <c r="O1832" s="4">
        <v>1985.2856400000001</v>
      </c>
      <c r="P1832" s="4">
        <v>1387</v>
      </c>
      <c r="Q1832" s="3" t="s">
        <v>26</v>
      </c>
      <c r="R1832" s="3">
        <v>0</v>
      </c>
      <c r="S1832" s="3" t="s">
        <v>554</v>
      </c>
      <c r="T1832" s="3" t="s">
        <v>835</v>
      </c>
      <c r="U1832" s="3">
        <v>0</v>
      </c>
      <c r="V1832" s="3">
        <v>84</v>
      </c>
      <c r="W1832" s="3">
        <v>7</v>
      </c>
    </row>
    <row r="1833" spans="1:23" ht="11.25" customHeight="1" x14ac:dyDescent="0.25">
      <c r="A1833" s="3" t="s">
        <v>21</v>
      </c>
      <c r="B1833" s="3" t="s">
        <v>37</v>
      </c>
      <c r="C1833" s="3" t="s">
        <v>23</v>
      </c>
      <c r="D1833" s="3" t="s">
        <v>50</v>
      </c>
      <c r="E1833" s="3" t="s">
        <v>51</v>
      </c>
      <c r="F1833" s="3" t="s">
        <v>25</v>
      </c>
      <c r="G1833" s="3" t="s">
        <v>25</v>
      </c>
      <c r="H1833" s="3" t="s">
        <v>25</v>
      </c>
      <c r="I1833" s="6">
        <v>44378</v>
      </c>
      <c r="J1833" s="4">
        <v>0</v>
      </c>
      <c r="K1833" s="4">
        <v>0</v>
      </c>
      <c r="L1833" s="4">
        <v>2159.7820000000002</v>
      </c>
      <c r="M1833" s="4">
        <v>2030.19508</v>
      </c>
      <c r="N1833" s="4">
        <v>2159.7820000000002</v>
      </c>
      <c r="O1833" s="4">
        <v>2030.19508</v>
      </c>
      <c r="P1833" s="4">
        <v>1394</v>
      </c>
      <c r="Q1833" s="3" t="s">
        <v>26</v>
      </c>
      <c r="R1833" s="3">
        <v>0</v>
      </c>
      <c r="S1833" s="3" t="s">
        <v>555</v>
      </c>
      <c r="T1833" s="3" t="s">
        <v>836</v>
      </c>
      <c r="U1833" s="3">
        <v>0</v>
      </c>
      <c r="V1833" s="3">
        <v>84</v>
      </c>
      <c r="W1833" s="3">
        <v>7</v>
      </c>
    </row>
    <row r="1834" spans="1:23" ht="11.25" customHeight="1" x14ac:dyDescent="0.25">
      <c r="A1834" s="3" t="s">
        <v>21</v>
      </c>
      <c r="B1834" s="3" t="s">
        <v>37</v>
      </c>
      <c r="C1834" s="3" t="s">
        <v>23</v>
      </c>
      <c r="D1834" s="3" t="s">
        <v>50</v>
      </c>
      <c r="E1834" s="3" t="s">
        <v>51</v>
      </c>
      <c r="F1834" s="3" t="s">
        <v>25</v>
      </c>
      <c r="G1834" s="3" t="s">
        <v>25</v>
      </c>
      <c r="H1834" s="3" t="s">
        <v>25</v>
      </c>
      <c r="I1834" s="6">
        <v>44409</v>
      </c>
      <c r="J1834" s="4">
        <v>0</v>
      </c>
      <c r="K1834" s="4">
        <v>0</v>
      </c>
      <c r="L1834" s="4">
        <v>2083.1799999999998</v>
      </c>
      <c r="M1834" s="4">
        <v>1958.1892</v>
      </c>
      <c r="N1834" s="4">
        <v>2083.1799999999998</v>
      </c>
      <c r="O1834" s="4">
        <v>1958.1892</v>
      </c>
      <c r="P1834" s="4">
        <v>1399</v>
      </c>
      <c r="Q1834" s="3" t="s">
        <v>26</v>
      </c>
      <c r="R1834" s="3">
        <v>0</v>
      </c>
      <c r="S1834" s="3" t="s">
        <v>556</v>
      </c>
      <c r="T1834" s="3" t="s">
        <v>837</v>
      </c>
      <c r="U1834" s="3">
        <v>0</v>
      </c>
      <c r="V1834" s="3">
        <v>84</v>
      </c>
      <c r="W1834" s="3">
        <v>7</v>
      </c>
    </row>
    <row r="1835" spans="1:23" ht="11.25" customHeight="1" x14ac:dyDescent="0.25">
      <c r="A1835" s="3" t="s">
        <v>27</v>
      </c>
      <c r="B1835" s="3" t="s">
        <v>37</v>
      </c>
      <c r="C1835" s="3" t="s">
        <v>23</v>
      </c>
      <c r="D1835" s="3" t="s">
        <v>50</v>
      </c>
      <c r="E1835" s="3" t="s">
        <v>51</v>
      </c>
      <c r="F1835" s="3" t="s">
        <v>25</v>
      </c>
      <c r="G1835" s="3" t="s">
        <v>25</v>
      </c>
      <c r="H1835" s="3" t="s">
        <v>25</v>
      </c>
      <c r="I1835" s="6">
        <v>44409</v>
      </c>
      <c r="J1835" s="4">
        <v>0</v>
      </c>
      <c r="K1835" s="4">
        <v>0</v>
      </c>
      <c r="L1835" s="4">
        <v>0.95099999999999996</v>
      </c>
      <c r="M1835" s="4">
        <v>0.89393999999999996</v>
      </c>
      <c r="N1835" s="4">
        <v>0.95099999999999996</v>
      </c>
      <c r="O1835" s="4">
        <v>0.89393999999999996</v>
      </c>
      <c r="P1835" s="4">
        <v>2</v>
      </c>
      <c r="Q1835" s="3" t="s">
        <v>26</v>
      </c>
      <c r="R1835" s="3">
        <v>0</v>
      </c>
      <c r="S1835" s="3" t="s">
        <v>556</v>
      </c>
      <c r="T1835" s="3" t="s">
        <v>837</v>
      </c>
      <c r="U1835" s="3">
        <v>0</v>
      </c>
      <c r="V1835" s="3">
        <v>84</v>
      </c>
      <c r="W1835" s="3">
        <v>7</v>
      </c>
    </row>
    <row r="1836" spans="1:23" ht="11.25" customHeight="1" x14ac:dyDescent="0.25">
      <c r="A1836" s="3" t="s">
        <v>21</v>
      </c>
      <c r="B1836" s="3" t="s">
        <v>37</v>
      </c>
      <c r="C1836" s="3" t="s">
        <v>23</v>
      </c>
      <c r="D1836" s="3" t="s">
        <v>50</v>
      </c>
      <c r="E1836" s="3" t="s">
        <v>51</v>
      </c>
      <c r="F1836" s="3" t="s">
        <v>25</v>
      </c>
      <c r="G1836" s="3" t="s">
        <v>25</v>
      </c>
      <c r="H1836" s="3" t="s">
        <v>25</v>
      </c>
      <c r="I1836" s="6">
        <v>44440</v>
      </c>
      <c r="J1836" s="4">
        <v>0</v>
      </c>
      <c r="K1836" s="4">
        <v>0</v>
      </c>
      <c r="L1836" s="4">
        <v>2109.3609999999999</v>
      </c>
      <c r="M1836" s="4">
        <v>1982.79934</v>
      </c>
      <c r="N1836" s="4">
        <v>2109.3609999999999</v>
      </c>
      <c r="O1836" s="4">
        <v>1982.79934</v>
      </c>
      <c r="P1836" s="4">
        <v>1402</v>
      </c>
      <c r="Q1836" s="3" t="s">
        <v>26</v>
      </c>
      <c r="R1836" s="3">
        <v>0</v>
      </c>
      <c r="S1836" s="3" t="s">
        <v>557</v>
      </c>
      <c r="T1836" s="3" t="s">
        <v>838</v>
      </c>
      <c r="U1836" s="3">
        <v>0</v>
      </c>
      <c r="V1836" s="3">
        <v>84</v>
      </c>
      <c r="W1836" s="3">
        <v>7</v>
      </c>
    </row>
    <row r="1837" spans="1:23" ht="11.25" customHeight="1" x14ac:dyDescent="0.25">
      <c r="A1837" s="3" t="s">
        <v>21</v>
      </c>
      <c r="B1837" s="3" t="s">
        <v>37</v>
      </c>
      <c r="C1837" s="3" t="s">
        <v>23</v>
      </c>
      <c r="D1837" s="3" t="s">
        <v>50</v>
      </c>
      <c r="E1837" s="3" t="s">
        <v>51</v>
      </c>
      <c r="F1837" s="3" t="s">
        <v>25</v>
      </c>
      <c r="G1837" s="3" t="s">
        <v>25</v>
      </c>
      <c r="H1837" s="3" t="s">
        <v>25</v>
      </c>
      <c r="I1837" s="6">
        <v>44470</v>
      </c>
      <c r="J1837" s="4">
        <v>0</v>
      </c>
      <c r="K1837" s="4">
        <v>0</v>
      </c>
      <c r="L1837" s="4">
        <v>2180.8290000000002</v>
      </c>
      <c r="M1837" s="4">
        <v>2049.9792600000001</v>
      </c>
      <c r="N1837" s="4">
        <v>2180.8290000000002</v>
      </c>
      <c r="O1837" s="4">
        <v>2049.9792600000001</v>
      </c>
      <c r="P1837" s="4">
        <v>1408</v>
      </c>
      <c r="Q1837" s="3" t="s">
        <v>26</v>
      </c>
      <c r="R1837" s="3">
        <v>0</v>
      </c>
      <c r="S1837" s="3" t="s">
        <v>558</v>
      </c>
      <c r="T1837" s="3" t="s">
        <v>839</v>
      </c>
      <c r="U1837" s="3">
        <v>0</v>
      </c>
      <c r="V1837" s="3">
        <v>84</v>
      </c>
      <c r="W1837" s="3">
        <v>7</v>
      </c>
    </row>
    <row r="1838" spans="1:23" ht="11.25" customHeight="1" x14ac:dyDescent="0.25">
      <c r="A1838" s="3" t="s">
        <v>27</v>
      </c>
      <c r="B1838" s="3" t="s">
        <v>37</v>
      </c>
      <c r="C1838" s="3" t="s">
        <v>23</v>
      </c>
      <c r="D1838" s="3" t="s">
        <v>50</v>
      </c>
      <c r="E1838" s="3" t="s">
        <v>51</v>
      </c>
      <c r="F1838" s="3" t="s">
        <v>25</v>
      </c>
      <c r="G1838" s="3" t="s">
        <v>25</v>
      </c>
      <c r="H1838" s="3" t="s">
        <v>25</v>
      </c>
      <c r="I1838" s="6">
        <v>44470</v>
      </c>
      <c r="J1838" s="4">
        <v>0</v>
      </c>
      <c r="K1838" s="4">
        <v>0</v>
      </c>
      <c r="L1838" s="4">
        <v>0.2</v>
      </c>
      <c r="M1838" s="4">
        <v>0.188</v>
      </c>
      <c r="N1838" s="4">
        <v>0.2</v>
      </c>
      <c r="O1838" s="4">
        <v>0.188</v>
      </c>
      <c r="P1838" s="4">
        <v>2</v>
      </c>
      <c r="Q1838" s="3" t="s">
        <v>26</v>
      </c>
      <c r="R1838" s="3">
        <v>0</v>
      </c>
      <c r="S1838" s="3" t="s">
        <v>558</v>
      </c>
      <c r="T1838" s="3" t="s">
        <v>839</v>
      </c>
      <c r="U1838" s="3">
        <v>0</v>
      </c>
      <c r="V1838" s="3">
        <v>84</v>
      </c>
      <c r="W1838" s="3">
        <v>7</v>
      </c>
    </row>
    <row r="1839" spans="1:23" ht="11.25" customHeight="1" x14ac:dyDescent="0.25">
      <c r="A1839" s="3" t="s">
        <v>21</v>
      </c>
      <c r="B1839" s="3" t="s">
        <v>37</v>
      </c>
      <c r="C1839" s="3" t="s">
        <v>23</v>
      </c>
      <c r="D1839" s="3" t="s">
        <v>50</v>
      </c>
      <c r="E1839" s="3" t="s">
        <v>51</v>
      </c>
      <c r="F1839" s="3" t="s">
        <v>25</v>
      </c>
      <c r="G1839" s="3" t="s">
        <v>25</v>
      </c>
      <c r="H1839" s="3" t="s">
        <v>25</v>
      </c>
      <c r="I1839" s="6">
        <v>44501</v>
      </c>
      <c r="J1839" s="4">
        <v>0</v>
      </c>
      <c r="K1839" s="4">
        <v>0</v>
      </c>
      <c r="L1839" s="4">
        <v>2149.145</v>
      </c>
      <c r="M1839" s="4">
        <v>2020.1963000000001</v>
      </c>
      <c r="N1839" s="4">
        <v>2149.145</v>
      </c>
      <c r="O1839" s="4">
        <v>2020.1963000000001</v>
      </c>
      <c r="P1839" s="4">
        <v>1438</v>
      </c>
      <c r="Q1839" s="3" t="s">
        <v>26</v>
      </c>
      <c r="R1839" s="3">
        <v>0</v>
      </c>
      <c r="S1839" s="3" t="s">
        <v>559</v>
      </c>
      <c r="T1839" s="3" t="s">
        <v>840</v>
      </c>
      <c r="U1839" s="3">
        <v>0</v>
      </c>
      <c r="V1839" s="3">
        <v>84</v>
      </c>
      <c r="W1839" s="3">
        <v>7</v>
      </c>
    </row>
    <row r="1840" spans="1:23" ht="11.25" customHeight="1" x14ac:dyDescent="0.25">
      <c r="A1840" s="3" t="s">
        <v>27</v>
      </c>
      <c r="B1840" s="3" t="s">
        <v>37</v>
      </c>
      <c r="C1840" s="3" t="s">
        <v>23</v>
      </c>
      <c r="D1840" s="3" t="s">
        <v>50</v>
      </c>
      <c r="E1840" s="3" t="s">
        <v>51</v>
      </c>
      <c r="F1840" s="3" t="s">
        <v>25</v>
      </c>
      <c r="G1840" s="3" t="s">
        <v>25</v>
      </c>
      <c r="H1840" s="3" t="s">
        <v>25</v>
      </c>
      <c r="I1840" s="6">
        <v>44501</v>
      </c>
      <c r="J1840" s="4">
        <v>0</v>
      </c>
      <c r="K1840" s="4">
        <v>0</v>
      </c>
      <c r="L1840" s="4">
        <v>-3.7999999999999999E-2</v>
      </c>
      <c r="M1840" s="4">
        <v>-3.5720000000000002E-2</v>
      </c>
      <c r="N1840" s="4">
        <v>-3.7999999999999999E-2</v>
      </c>
      <c r="O1840" s="4">
        <v>-3.5720000000000002E-2</v>
      </c>
      <c r="P1840" s="4">
        <v>0</v>
      </c>
      <c r="Q1840" s="3" t="s">
        <v>26</v>
      </c>
      <c r="R1840" s="3">
        <v>0</v>
      </c>
      <c r="S1840" s="3" t="s">
        <v>559</v>
      </c>
      <c r="T1840" s="3" t="s">
        <v>840</v>
      </c>
      <c r="U1840" s="3">
        <v>0</v>
      </c>
      <c r="V1840" s="3">
        <v>84</v>
      </c>
      <c r="W1840" s="3">
        <v>7</v>
      </c>
    </row>
    <row r="1841" spans="1:23" ht="11.25" customHeight="1" x14ac:dyDescent="0.25">
      <c r="A1841" s="3" t="s">
        <v>21</v>
      </c>
      <c r="B1841" s="3" t="s">
        <v>37</v>
      </c>
      <c r="C1841" s="3" t="s">
        <v>23</v>
      </c>
      <c r="D1841" s="3" t="s">
        <v>50</v>
      </c>
      <c r="E1841" s="3" t="s">
        <v>51</v>
      </c>
      <c r="F1841" s="3" t="s">
        <v>25</v>
      </c>
      <c r="G1841" s="3" t="s">
        <v>25</v>
      </c>
      <c r="H1841" s="3" t="s">
        <v>25</v>
      </c>
      <c r="I1841" s="6">
        <v>44531</v>
      </c>
      <c r="J1841" s="4">
        <v>0</v>
      </c>
      <c r="K1841" s="4">
        <v>0</v>
      </c>
      <c r="L1841" s="4">
        <v>2166.1439999999998</v>
      </c>
      <c r="M1841" s="4">
        <v>2036.17536</v>
      </c>
      <c r="N1841" s="4">
        <v>2166.1439999999998</v>
      </c>
      <c r="O1841" s="4">
        <v>2036.17536</v>
      </c>
      <c r="P1841" s="4">
        <v>1465</v>
      </c>
      <c r="Q1841" s="3" t="s">
        <v>26</v>
      </c>
      <c r="R1841" s="3">
        <v>0</v>
      </c>
      <c r="S1841" s="3" t="s">
        <v>560</v>
      </c>
      <c r="T1841" s="3" t="s">
        <v>841</v>
      </c>
      <c r="U1841" s="3">
        <v>0</v>
      </c>
      <c r="V1841" s="3">
        <v>84</v>
      </c>
      <c r="W1841" s="3">
        <v>7</v>
      </c>
    </row>
    <row r="1842" spans="1:23" ht="11.25" customHeight="1" x14ac:dyDescent="0.25">
      <c r="A1842" s="3" t="s">
        <v>21</v>
      </c>
      <c r="B1842" s="3" t="s">
        <v>37</v>
      </c>
      <c r="C1842" s="3" t="s">
        <v>23</v>
      </c>
      <c r="D1842" s="3" t="s">
        <v>50</v>
      </c>
      <c r="E1842" s="3" t="s">
        <v>51</v>
      </c>
      <c r="F1842" s="3" t="s">
        <v>25</v>
      </c>
      <c r="G1842" s="3" t="s">
        <v>25</v>
      </c>
      <c r="H1842" s="3" t="s">
        <v>25</v>
      </c>
      <c r="I1842" s="6">
        <v>44562</v>
      </c>
      <c r="J1842" s="4">
        <v>0</v>
      </c>
      <c r="K1842" s="4">
        <v>0</v>
      </c>
      <c r="L1842" s="4">
        <v>2216.3130000000001</v>
      </c>
      <c r="M1842" s="4">
        <v>2083.3342200000002</v>
      </c>
      <c r="N1842" s="4">
        <v>2216.3130000000001</v>
      </c>
      <c r="O1842" s="4">
        <v>2083.3342200000002</v>
      </c>
      <c r="P1842" s="4">
        <v>1475</v>
      </c>
      <c r="Q1842" s="3" t="s">
        <v>26</v>
      </c>
      <c r="R1842" s="3">
        <v>0</v>
      </c>
      <c r="S1842" s="3" t="s">
        <v>561</v>
      </c>
      <c r="T1842" s="3" t="s">
        <v>842</v>
      </c>
      <c r="U1842" s="3">
        <v>0</v>
      </c>
      <c r="V1842" s="3">
        <v>84</v>
      </c>
      <c r="W1842" s="3">
        <v>7</v>
      </c>
    </row>
    <row r="1843" spans="1:23" ht="11.25" customHeight="1" x14ac:dyDescent="0.25">
      <c r="A1843" s="3" t="s">
        <v>21</v>
      </c>
      <c r="B1843" s="3" t="s">
        <v>37</v>
      </c>
      <c r="C1843" s="3" t="s">
        <v>23</v>
      </c>
      <c r="D1843" s="3" t="s">
        <v>50</v>
      </c>
      <c r="E1843" s="3" t="s">
        <v>51</v>
      </c>
      <c r="F1843" s="3" t="s">
        <v>25</v>
      </c>
      <c r="G1843" s="3" t="s">
        <v>25</v>
      </c>
      <c r="H1843" s="3" t="s">
        <v>25</v>
      </c>
      <c r="I1843" s="6">
        <v>44593</v>
      </c>
      <c r="J1843" s="4">
        <v>0</v>
      </c>
      <c r="K1843" s="4">
        <v>0</v>
      </c>
      <c r="L1843" s="4">
        <v>2141.5509999999999</v>
      </c>
      <c r="M1843" s="4">
        <v>2013.0579399999999</v>
      </c>
      <c r="N1843" s="4">
        <v>2141.5509999999999</v>
      </c>
      <c r="O1843" s="4">
        <v>2013.0579399999999</v>
      </c>
      <c r="P1843" s="4">
        <v>1482</v>
      </c>
      <c r="Q1843" s="3" t="s">
        <v>26</v>
      </c>
      <c r="R1843" s="3">
        <v>0</v>
      </c>
      <c r="S1843" s="3" t="s">
        <v>562</v>
      </c>
      <c r="T1843" s="3" t="s">
        <v>843</v>
      </c>
      <c r="U1843" s="3">
        <v>0</v>
      </c>
      <c r="V1843" s="3">
        <v>84</v>
      </c>
      <c r="W1843" s="3">
        <v>7</v>
      </c>
    </row>
    <row r="1844" spans="1:23" ht="11.25" customHeight="1" x14ac:dyDescent="0.25">
      <c r="A1844" s="3" t="s">
        <v>56</v>
      </c>
      <c r="B1844" s="3" t="s">
        <v>37</v>
      </c>
      <c r="C1844" s="3" t="s">
        <v>23</v>
      </c>
      <c r="D1844" s="3" t="s">
        <v>50</v>
      </c>
      <c r="E1844" s="3" t="s">
        <v>51</v>
      </c>
      <c r="F1844" s="3" t="s">
        <v>25</v>
      </c>
      <c r="G1844" s="3" t="s">
        <v>25</v>
      </c>
      <c r="H1844" s="3" t="s">
        <v>25</v>
      </c>
      <c r="I1844" s="6">
        <v>44621</v>
      </c>
      <c r="J1844" s="4">
        <v>0</v>
      </c>
      <c r="K1844" s="4">
        <v>0</v>
      </c>
      <c r="L1844" s="4">
        <v>2141.5509999999999</v>
      </c>
      <c r="M1844" s="4">
        <v>2013.0579399999999</v>
      </c>
      <c r="N1844" s="4">
        <v>2141.5509999999999</v>
      </c>
      <c r="O1844" s="4">
        <v>2013.0579399999999</v>
      </c>
      <c r="P1844" s="4">
        <v>1482</v>
      </c>
      <c r="Q1844" s="3" t="s">
        <v>26</v>
      </c>
      <c r="R1844" s="3">
        <v>0</v>
      </c>
      <c r="S1844" s="3" t="s">
        <v>563</v>
      </c>
      <c r="T1844" s="3" t="s">
        <v>844</v>
      </c>
      <c r="U1844" s="3">
        <v>0</v>
      </c>
      <c r="V1844" s="3">
        <v>84</v>
      </c>
      <c r="W1844" s="3">
        <v>7</v>
      </c>
    </row>
    <row r="1845" spans="1:23" ht="11.25" customHeight="1" x14ac:dyDescent="0.25">
      <c r="A1845" s="3" t="s">
        <v>21</v>
      </c>
      <c r="B1845" s="3" t="s">
        <v>47</v>
      </c>
      <c r="C1845" s="3" t="s">
        <v>23</v>
      </c>
      <c r="D1845" s="3" t="s">
        <v>48</v>
      </c>
      <c r="E1845" s="3" t="s">
        <v>49</v>
      </c>
      <c r="F1845" s="3" t="s">
        <v>25</v>
      </c>
      <c r="G1845" s="3" t="s">
        <v>25</v>
      </c>
      <c r="H1845" s="3" t="s">
        <v>25</v>
      </c>
      <c r="I1845" s="6">
        <v>44287</v>
      </c>
      <c r="J1845" s="4">
        <v>0</v>
      </c>
      <c r="K1845" s="4">
        <v>0</v>
      </c>
      <c r="L1845" s="4">
        <v>16798.395</v>
      </c>
      <c r="M1845" s="4">
        <v>16798.395</v>
      </c>
      <c r="N1845" s="4">
        <v>16798.395</v>
      </c>
      <c r="O1845" s="4">
        <v>16798.395</v>
      </c>
      <c r="P1845" s="4">
        <v>932</v>
      </c>
      <c r="Q1845" s="3" t="s">
        <v>26</v>
      </c>
      <c r="R1845" s="3">
        <v>0</v>
      </c>
      <c r="S1845" s="3" t="s">
        <v>564</v>
      </c>
      <c r="T1845" s="3" t="s">
        <v>845</v>
      </c>
      <c r="U1845" s="3">
        <v>0</v>
      </c>
      <c r="V1845" s="3">
        <v>92</v>
      </c>
      <c r="W1845" s="3">
        <v>9</v>
      </c>
    </row>
    <row r="1846" spans="1:23" ht="11.25" customHeight="1" x14ac:dyDescent="0.25">
      <c r="A1846" s="3" t="s">
        <v>27</v>
      </c>
      <c r="B1846" s="3" t="s">
        <v>47</v>
      </c>
      <c r="C1846" s="3" t="s">
        <v>23</v>
      </c>
      <c r="D1846" s="3" t="s">
        <v>48</v>
      </c>
      <c r="E1846" s="3" t="s">
        <v>49</v>
      </c>
      <c r="F1846" s="3" t="s">
        <v>25</v>
      </c>
      <c r="G1846" s="3" t="s">
        <v>25</v>
      </c>
      <c r="H1846" s="3" t="s">
        <v>25</v>
      </c>
      <c r="I1846" s="6">
        <v>44287</v>
      </c>
      <c r="J1846" s="4">
        <v>0</v>
      </c>
      <c r="K1846" s="4">
        <v>0</v>
      </c>
      <c r="L1846" s="4">
        <v>35.203000000000003</v>
      </c>
      <c r="M1846" s="4">
        <v>35.203000000000003</v>
      </c>
      <c r="N1846" s="4">
        <v>35.203000000000003</v>
      </c>
      <c r="O1846" s="4">
        <v>35.203000000000003</v>
      </c>
      <c r="P1846" s="4">
        <v>2</v>
      </c>
      <c r="Q1846" s="3" t="s">
        <v>26</v>
      </c>
      <c r="R1846" s="3">
        <v>0</v>
      </c>
      <c r="S1846" s="3" t="s">
        <v>564</v>
      </c>
      <c r="T1846" s="3" t="s">
        <v>845</v>
      </c>
      <c r="U1846" s="3">
        <v>0</v>
      </c>
      <c r="V1846" s="3">
        <v>92</v>
      </c>
      <c r="W1846" s="3">
        <v>9</v>
      </c>
    </row>
    <row r="1847" spans="1:23" ht="11.25" customHeight="1" x14ac:dyDescent="0.25">
      <c r="A1847" s="3" t="s">
        <v>21</v>
      </c>
      <c r="B1847" s="3" t="s">
        <v>47</v>
      </c>
      <c r="C1847" s="3" t="s">
        <v>23</v>
      </c>
      <c r="D1847" s="3" t="s">
        <v>48</v>
      </c>
      <c r="E1847" s="3" t="s">
        <v>49</v>
      </c>
      <c r="F1847" s="3" t="s">
        <v>25</v>
      </c>
      <c r="G1847" s="3" t="s">
        <v>25</v>
      </c>
      <c r="H1847" s="3" t="s">
        <v>25</v>
      </c>
      <c r="I1847" s="6">
        <v>44317</v>
      </c>
      <c r="J1847" s="4">
        <v>0</v>
      </c>
      <c r="K1847" s="4">
        <v>0</v>
      </c>
      <c r="L1847" s="4">
        <v>17108.749</v>
      </c>
      <c r="M1847" s="4">
        <v>17108.749</v>
      </c>
      <c r="N1847" s="4">
        <v>17108.749</v>
      </c>
      <c r="O1847" s="4">
        <v>17108.749</v>
      </c>
      <c r="P1847" s="4">
        <v>936</v>
      </c>
      <c r="Q1847" s="3" t="s">
        <v>26</v>
      </c>
      <c r="R1847" s="3">
        <v>0</v>
      </c>
      <c r="S1847" s="3" t="s">
        <v>565</v>
      </c>
      <c r="T1847" s="3" t="s">
        <v>846</v>
      </c>
      <c r="U1847" s="3">
        <v>0</v>
      </c>
      <c r="V1847" s="3">
        <v>92</v>
      </c>
      <c r="W1847" s="3">
        <v>9</v>
      </c>
    </row>
    <row r="1848" spans="1:23" ht="11.25" customHeight="1" x14ac:dyDescent="0.25">
      <c r="A1848" s="3" t="s">
        <v>27</v>
      </c>
      <c r="B1848" s="3" t="s">
        <v>47</v>
      </c>
      <c r="C1848" s="3" t="s">
        <v>23</v>
      </c>
      <c r="D1848" s="3" t="s">
        <v>48</v>
      </c>
      <c r="E1848" s="3" t="s">
        <v>49</v>
      </c>
      <c r="F1848" s="3" t="s">
        <v>25</v>
      </c>
      <c r="G1848" s="3" t="s">
        <v>25</v>
      </c>
      <c r="H1848" s="3" t="s">
        <v>25</v>
      </c>
      <c r="I1848" s="6">
        <v>44317</v>
      </c>
      <c r="J1848" s="4">
        <v>0</v>
      </c>
      <c r="K1848" s="4">
        <v>0</v>
      </c>
      <c r="L1848" s="4">
        <v>-64.414000000000001</v>
      </c>
      <c r="M1848" s="4">
        <v>-64.414000000000001</v>
      </c>
      <c r="N1848" s="4">
        <v>-64.414000000000001</v>
      </c>
      <c r="O1848" s="4">
        <v>-64.414000000000001</v>
      </c>
      <c r="P1848" s="4">
        <v>-2</v>
      </c>
      <c r="Q1848" s="3" t="s">
        <v>26</v>
      </c>
      <c r="R1848" s="3">
        <v>0</v>
      </c>
      <c r="S1848" s="3" t="s">
        <v>565</v>
      </c>
      <c r="T1848" s="3" t="s">
        <v>846</v>
      </c>
      <c r="U1848" s="3">
        <v>0</v>
      </c>
      <c r="V1848" s="3">
        <v>92</v>
      </c>
      <c r="W1848" s="3">
        <v>9</v>
      </c>
    </row>
    <row r="1849" spans="1:23" ht="11.25" customHeight="1" x14ac:dyDescent="0.25">
      <c r="A1849" s="3" t="s">
        <v>21</v>
      </c>
      <c r="B1849" s="3" t="s">
        <v>47</v>
      </c>
      <c r="C1849" s="3" t="s">
        <v>23</v>
      </c>
      <c r="D1849" s="3" t="s">
        <v>48</v>
      </c>
      <c r="E1849" s="3" t="s">
        <v>49</v>
      </c>
      <c r="F1849" s="3" t="s">
        <v>25</v>
      </c>
      <c r="G1849" s="3" t="s">
        <v>25</v>
      </c>
      <c r="H1849" s="3" t="s">
        <v>25</v>
      </c>
      <c r="I1849" s="6">
        <v>44348</v>
      </c>
      <c r="J1849" s="4">
        <v>0</v>
      </c>
      <c r="K1849" s="4">
        <v>0</v>
      </c>
      <c r="L1849" s="4">
        <v>16346.535</v>
      </c>
      <c r="M1849" s="4">
        <v>16346.535</v>
      </c>
      <c r="N1849" s="4">
        <v>16346.535</v>
      </c>
      <c r="O1849" s="4">
        <v>16346.535</v>
      </c>
      <c r="P1849" s="4">
        <v>937</v>
      </c>
      <c r="Q1849" s="3" t="s">
        <v>26</v>
      </c>
      <c r="R1849" s="3">
        <v>0</v>
      </c>
      <c r="S1849" s="3" t="s">
        <v>566</v>
      </c>
      <c r="T1849" s="3" t="s">
        <v>847</v>
      </c>
      <c r="U1849" s="3">
        <v>0</v>
      </c>
      <c r="V1849" s="3">
        <v>92</v>
      </c>
      <c r="W1849" s="3">
        <v>9</v>
      </c>
    </row>
    <row r="1850" spans="1:23" ht="11.25" customHeight="1" x14ac:dyDescent="0.25">
      <c r="A1850" s="3" t="s">
        <v>27</v>
      </c>
      <c r="B1850" s="3" t="s">
        <v>47</v>
      </c>
      <c r="C1850" s="3" t="s">
        <v>23</v>
      </c>
      <c r="D1850" s="3" t="s">
        <v>48</v>
      </c>
      <c r="E1850" s="3" t="s">
        <v>49</v>
      </c>
      <c r="F1850" s="3" t="s">
        <v>25</v>
      </c>
      <c r="G1850" s="3" t="s">
        <v>25</v>
      </c>
      <c r="H1850" s="3" t="s">
        <v>25</v>
      </c>
      <c r="I1850" s="6">
        <v>44348</v>
      </c>
      <c r="J1850" s="4">
        <v>0</v>
      </c>
      <c r="K1850" s="4">
        <v>0</v>
      </c>
      <c r="L1850" s="4">
        <v>55.063000000000002</v>
      </c>
      <c r="M1850" s="4">
        <v>55.063000000000002</v>
      </c>
      <c r="N1850" s="4">
        <v>55.063000000000002</v>
      </c>
      <c r="O1850" s="4">
        <v>55.063000000000002</v>
      </c>
      <c r="P1850" s="4">
        <v>0</v>
      </c>
      <c r="Q1850" s="3" t="s">
        <v>26</v>
      </c>
      <c r="R1850" s="3">
        <v>0</v>
      </c>
      <c r="S1850" s="3" t="s">
        <v>566</v>
      </c>
      <c r="T1850" s="3" t="s">
        <v>847</v>
      </c>
      <c r="U1850" s="3">
        <v>0</v>
      </c>
      <c r="V1850" s="3">
        <v>92</v>
      </c>
      <c r="W1850" s="3">
        <v>9</v>
      </c>
    </row>
    <row r="1851" spans="1:23" ht="11.25" customHeight="1" x14ac:dyDescent="0.25">
      <c r="A1851" s="3" t="s">
        <v>21</v>
      </c>
      <c r="B1851" s="3" t="s">
        <v>47</v>
      </c>
      <c r="C1851" s="3" t="s">
        <v>23</v>
      </c>
      <c r="D1851" s="3" t="s">
        <v>48</v>
      </c>
      <c r="E1851" s="3" t="s">
        <v>49</v>
      </c>
      <c r="F1851" s="3" t="s">
        <v>25</v>
      </c>
      <c r="G1851" s="3" t="s">
        <v>25</v>
      </c>
      <c r="H1851" s="3" t="s">
        <v>25</v>
      </c>
      <c r="I1851" s="6">
        <v>44378</v>
      </c>
      <c r="J1851" s="4">
        <v>0</v>
      </c>
      <c r="K1851" s="4">
        <v>0</v>
      </c>
      <c r="L1851" s="4">
        <v>16810.743999999999</v>
      </c>
      <c r="M1851" s="4">
        <v>16810.743999999999</v>
      </c>
      <c r="N1851" s="4">
        <v>16810.743999999999</v>
      </c>
      <c r="O1851" s="4">
        <v>16810.743999999999</v>
      </c>
      <c r="P1851" s="4">
        <v>969</v>
      </c>
      <c r="Q1851" s="3" t="s">
        <v>26</v>
      </c>
      <c r="R1851" s="3">
        <v>0</v>
      </c>
      <c r="S1851" s="3" t="s">
        <v>567</v>
      </c>
      <c r="T1851" s="3" t="s">
        <v>848</v>
      </c>
      <c r="U1851" s="3">
        <v>0</v>
      </c>
      <c r="V1851" s="3">
        <v>92</v>
      </c>
      <c r="W1851" s="3">
        <v>9</v>
      </c>
    </row>
    <row r="1852" spans="1:23" ht="11.25" customHeight="1" x14ac:dyDescent="0.25">
      <c r="A1852" s="3" t="s">
        <v>27</v>
      </c>
      <c r="B1852" s="3" t="s">
        <v>47</v>
      </c>
      <c r="C1852" s="3" t="s">
        <v>23</v>
      </c>
      <c r="D1852" s="3" t="s">
        <v>48</v>
      </c>
      <c r="E1852" s="3" t="s">
        <v>49</v>
      </c>
      <c r="F1852" s="3" t="s">
        <v>25</v>
      </c>
      <c r="G1852" s="3" t="s">
        <v>25</v>
      </c>
      <c r="H1852" s="3" t="s">
        <v>25</v>
      </c>
      <c r="I1852" s="6">
        <v>44378</v>
      </c>
      <c r="J1852" s="4">
        <v>0</v>
      </c>
      <c r="K1852" s="4">
        <v>0</v>
      </c>
      <c r="L1852" s="4">
        <v>30.231000000000002</v>
      </c>
      <c r="M1852" s="4">
        <v>30.231000000000002</v>
      </c>
      <c r="N1852" s="4">
        <v>30.231000000000002</v>
      </c>
      <c r="O1852" s="4">
        <v>30.231000000000002</v>
      </c>
      <c r="P1852" s="4">
        <v>-1</v>
      </c>
      <c r="Q1852" s="3" t="s">
        <v>26</v>
      </c>
      <c r="R1852" s="3">
        <v>0</v>
      </c>
      <c r="S1852" s="3" t="s">
        <v>567</v>
      </c>
      <c r="T1852" s="3" t="s">
        <v>848</v>
      </c>
      <c r="U1852" s="3">
        <v>0</v>
      </c>
      <c r="V1852" s="3">
        <v>92</v>
      </c>
      <c r="W1852" s="3">
        <v>9</v>
      </c>
    </row>
    <row r="1853" spans="1:23" ht="11.25" customHeight="1" x14ac:dyDescent="0.25">
      <c r="A1853" s="3" t="s">
        <v>21</v>
      </c>
      <c r="B1853" s="3" t="s">
        <v>47</v>
      </c>
      <c r="C1853" s="3" t="s">
        <v>23</v>
      </c>
      <c r="D1853" s="3" t="s">
        <v>48</v>
      </c>
      <c r="E1853" s="3" t="s">
        <v>49</v>
      </c>
      <c r="F1853" s="3" t="s">
        <v>25</v>
      </c>
      <c r="G1853" s="3" t="s">
        <v>25</v>
      </c>
      <c r="H1853" s="3" t="s">
        <v>25</v>
      </c>
      <c r="I1853" s="6">
        <v>44409</v>
      </c>
      <c r="J1853" s="4">
        <v>0</v>
      </c>
      <c r="K1853" s="4">
        <v>0</v>
      </c>
      <c r="L1853" s="4">
        <v>17011.956999999999</v>
      </c>
      <c r="M1853" s="4">
        <v>17011.956999999999</v>
      </c>
      <c r="N1853" s="4">
        <v>17011.956999999999</v>
      </c>
      <c r="O1853" s="4">
        <v>17011.956999999999</v>
      </c>
      <c r="P1853" s="4">
        <v>988</v>
      </c>
      <c r="Q1853" s="3" t="s">
        <v>26</v>
      </c>
      <c r="R1853" s="3">
        <v>0</v>
      </c>
      <c r="S1853" s="3" t="s">
        <v>568</v>
      </c>
      <c r="T1853" s="3" t="s">
        <v>849</v>
      </c>
      <c r="U1853" s="3">
        <v>0</v>
      </c>
      <c r="V1853" s="3">
        <v>92</v>
      </c>
      <c r="W1853" s="3">
        <v>9</v>
      </c>
    </row>
    <row r="1854" spans="1:23" ht="11.25" customHeight="1" x14ac:dyDescent="0.25">
      <c r="A1854" s="3" t="s">
        <v>27</v>
      </c>
      <c r="B1854" s="3" t="s">
        <v>47</v>
      </c>
      <c r="C1854" s="3" t="s">
        <v>23</v>
      </c>
      <c r="D1854" s="3" t="s">
        <v>48</v>
      </c>
      <c r="E1854" s="3" t="s">
        <v>49</v>
      </c>
      <c r="F1854" s="3" t="s">
        <v>25</v>
      </c>
      <c r="G1854" s="3" t="s">
        <v>25</v>
      </c>
      <c r="H1854" s="3" t="s">
        <v>25</v>
      </c>
      <c r="I1854" s="6">
        <v>44409</v>
      </c>
      <c r="J1854" s="4">
        <v>0</v>
      </c>
      <c r="K1854" s="4">
        <v>0</v>
      </c>
      <c r="L1854" s="4">
        <v>36.17</v>
      </c>
      <c r="M1854" s="4">
        <v>36.17</v>
      </c>
      <c r="N1854" s="4">
        <v>36.17</v>
      </c>
      <c r="O1854" s="4">
        <v>36.17</v>
      </c>
      <c r="P1854" s="4">
        <v>7</v>
      </c>
      <c r="Q1854" s="3" t="s">
        <v>26</v>
      </c>
      <c r="R1854" s="3">
        <v>0</v>
      </c>
      <c r="S1854" s="3" t="s">
        <v>568</v>
      </c>
      <c r="T1854" s="3" t="s">
        <v>849</v>
      </c>
      <c r="U1854" s="3">
        <v>0</v>
      </c>
      <c r="V1854" s="3">
        <v>92</v>
      </c>
      <c r="W1854" s="3">
        <v>9</v>
      </c>
    </row>
    <row r="1855" spans="1:23" ht="11.25" customHeight="1" x14ac:dyDescent="0.25">
      <c r="A1855" s="3" t="s">
        <v>21</v>
      </c>
      <c r="B1855" s="3" t="s">
        <v>47</v>
      </c>
      <c r="C1855" s="3" t="s">
        <v>23</v>
      </c>
      <c r="D1855" s="3" t="s">
        <v>48</v>
      </c>
      <c r="E1855" s="3" t="s">
        <v>49</v>
      </c>
      <c r="F1855" s="3" t="s">
        <v>25</v>
      </c>
      <c r="G1855" s="3" t="s">
        <v>25</v>
      </c>
      <c r="H1855" s="3" t="s">
        <v>25</v>
      </c>
      <c r="I1855" s="6">
        <v>44440</v>
      </c>
      <c r="J1855" s="4">
        <v>0</v>
      </c>
      <c r="K1855" s="4">
        <v>0</v>
      </c>
      <c r="L1855" s="4">
        <v>17258.758000000002</v>
      </c>
      <c r="M1855" s="4">
        <v>17258.758000000002</v>
      </c>
      <c r="N1855" s="4">
        <v>17258.758000000002</v>
      </c>
      <c r="O1855" s="4">
        <v>17258.758000000002</v>
      </c>
      <c r="P1855" s="4">
        <v>1030</v>
      </c>
      <c r="Q1855" s="3" t="s">
        <v>26</v>
      </c>
      <c r="R1855" s="3">
        <v>0</v>
      </c>
      <c r="S1855" s="3" t="s">
        <v>569</v>
      </c>
      <c r="T1855" s="3" t="s">
        <v>850</v>
      </c>
      <c r="U1855" s="3">
        <v>0</v>
      </c>
      <c r="V1855" s="3">
        <v>92</v>
      </c>
      <c r="W1855" s="3">
        <v>9</v>
      </c>
    </row>
    <row r="1856" spans="1:23" ht="11.25" customHeight="1" x14ac:dyDescent="0.25">
      <c r="A1856" s="3" t="s">
        <v>27</v>
      </c>
      <c r="B1856" s="3" t="s">
        <v>47</v>
      </c>
      <c r="C1856" s="3" t="s">
        <v>23</v>
      </c>
      <c r="D1856" s="3" t="s">
        <v>48</v>
      </c>
      <c r="E1856" s="3" t="s">
        <v>49</v>
      </c>
      <c r="F1856" s="3" t="s">
        <v>25</v>
      </c>
      <c r="G1856" s="3" t="s">
        <v>25</v>
      </c>
      <c r="H1856" s="3" t="s">
        <v>25</v>
      </c>
      <c r="I1856" s="6">
        <v>44440</v>
      </c>
      <c r="J1856" s="4">
        <v>0</v>
      </c>
      <c r="K1856" s="4">
        <v>0</v>
      </c>
      <c r="L1856" s="4">
        <v>5.7240000000000002</v>
      </c>
      <c r="M1856" s="4">
        <v>5.7240000000000002</v>
      </c>
      <c r="N1856" s="4">
        <v>5.7240000000000002</v>
      </c>
      <c r="O1856" s="4">
        <v>5.7240000000000002</v>
      </c>
      <c r="P1856" s="4">
        <v>0</v>
      </c>
      <c r="Q1856" s="3" t="s">
        <v>26</v>
      </c>
      <c r="R1856" s="3">
        <v>0</v>
      </c>
      <c r="S1856" s="3" t="s">
        <v>569</v>
      </c>
      <c r="T1856" s="3" t="s">
        <v>850</v>
      </c>
      <c r="U1856" s="3">
        <v>0</v>
      </c>
      <c r="V1856" s="3">
        <v>92</v>
      </c>
      <c r="W1856" s="3">
        <v>9</v>
      </c>
    </row>
    <row r="1857" spans="1:23" ht="11.25" customHeight="1" x14ac:dyDescent="0.25">
      <c r="A1857" s="3" t="s">
        <v>21</v>
      </c>
      <c r="B1857" s="3" t="s">
        <v>47</v>
      </c>
      <c r="C1857" s="3" t="s">
        <v>23</v>
      </c>
      <c r="D1857" s="3" t="s">
        <v>48</v>
      </c>
      <c r="E1857" s="3" t="s">
        <v>49</v>
      </c>
      <c r="F1857" s="3" t="s">
        <v>25</v>
      </c>
      <c r="G1857" s="3" t="s">
        <v>25</v>
      </c>
      <c r="H1857" s="3" t="s">
        <v>25</v>
      </c>
      <c r="I1857" s="6">
        <v>44470</v>
      </c>
      <c r="J1857" s="4">
        <v>0</v>
      </c>
      <c r="K1857" s="4">
        <v>0</v>
      </c>
      <c r="L1857" s="4">
        <v>16963.59</v>
      </c>
      <c r="M1857" s="4">
        <v>16963.59</v>
      </c>
      <c r="N1857" s="4">
        <v>16963.59</v>
      </c>
      <c r="O1857" s="4">
        <v>16963.59</v>
      </c>
      <c r="P1857" s="4">
        <v>1025</v>
      </c>
      <c r="Q1857" s="3" t="s">
        <v>26</v>
      </c>
      <c r="R1857" s="3">
        <v>0</v>
      </c>
      <c r="S1857" s="3" t="s">
        <v>570</v>
      </c>
      <c r="T1857" s="3" t="s">
        <v>851</v>
      </c>
      <c r="U1857" s="3">
        <v>0</v>
      </c>
      <c r="V1857" s="3">
        <v>92</v>
      </c>
      <c r="W1857" s="3">
        <v>9</v>
      </c>
    </row>
    <row r="1858" spans="1:23" ht="11.25" customHeight="1" x14ac:dyDescent="0.25">
      <c r="A1858" s="3" t="s">
        <v>27</v>
      </c>
      <c r="B1858" s="3" t="s">
        <v>47</v>
      </c>
      <c r="C1858" s="3" t="s">
        <v>23</v>
      </c>
      <c r="D1858" s="3" t="s">
        <v>48</v>
      </c>
      <c r="E1858" s="3" t="s">
        <v>49</v>
      </c>
      <c r="F1858" s="3" t="s">
        <v>25</v>
      </c>
      <c r="G1858" s="3" t="s">
        <v>25</v>
      </c>
      <c r="H1858" s="3" t="s">
        <v>25</v>
      </c>
      <c r="I1858" s="6">
        <v>44470</v>
      </c>
      <c r="J1858" s="4">
        <v>0</v>
      </c>
      <c r="K1858" s="4">
        <v>0</v>
      </c>
      <c r="L1858" s="4">
        <v>-92.608999999999995</v>
      </c>
      <c r="M1858" s="4">
        <v>-92.608999999999995</v>
      </c>
      <c r="N1858" s="4">
        <v>-92.608999999999995</v>
      </c>
      <c r="O1858" s="4">
        <v>-92.608999999999995</v>
      </c>
      <c r="P1858" s="4">
        <v>-2</v>
      </c>
      <c r="Q1858" s="3" t="s">
        <v>26</v>
      </c>
      <c r="R1858" s="3">
        <v>0</v>
      </c>
      <c r="S1858" s="3" t="s">
        <v>570</v>
      </c>
      <c r="T1858" s="3" t="s">
        <v>851</v>
      </c>
      <c r="U1858" s="3">
        <v>0</v>
      </c>
      <c r="V1858" s="3">
        <v>92</v>
      </c>
      <c r="W1858" s="3">
        <v>9</v>
      </c>
    </row>
    <row r="1859" spans="1:23" ht="11.25" customHeight="1" x14ac:dyDescent="0.25">
      <c r="A1859" s="3" t="s">
        <v>21</v>
      </c>
      <c r="B1859" s="3" t="s">
        <v>47</v>
      </c>
      <c r="C1859" s="3" t="s">
        <v>23</v>
      </c>
      <c r="D1859" s="3" t="s">
        <v>48</v>
      </c>
      <c r="E1859" s="3" t="s">
        <v>49</v>
      </c>
      <c r="F1859" s="3" t="s">
        <v>25</v>
      </c>
      <c r="G1859" s="3" t="s">
        <v>25</v>
      </c>
      <c r="H1859" s="3" t="s">
        <v>25</v>
      </c>
      <c r="I1859" s="6">
        <v>44501</v>
      </c>
      <c r="J1859" s="4">
        <v>0</v>
      </c>
      <c r="K1859" s="4">
        <v>0</v>
      </c>
      <c r="L1859" s="4">
        <v>16131.279</v>
      </c>
      <c r="M1859" s="4">
        <v>16131.279</v>
      </c>
      <c r="N1859" s="4">
        <v>16131.279</v>
      </c>
      <c r="O1859" s="4">
        <v>16131.279</v>
      </c>
      <c r="P1859" s="4">
        <v>1112</v>
      </c>
      <c r="Q1859" s="3" t="s">
        <v>26</v>
      </c>
      <c r="R1859" s="3">
        <v>0</v>
      </c>
      <c r="S1859" s="3" t="s">
        <v>571</v>
      </c>
      <c r="T1859" s="3" t="s">
        <v>852</v>
      </c>
      <c r="U1859" s="3">
        <v>0</v>
      </c>
      <c r="V1859" s="3">
        <v>92</v>
      </c>
      <c r="W1859" s="3">
        <v>9</v>
      </c>
    </row>
    <row r="1860" spans="1:23" ht="11.25" customHeight="1" x14ac:dyDescent="0.25">
      <c r="A1860" s="3" t="s">
        <v>27</v>
      </c>
      <c r="B1860" s="3" t="s">
        <v>47</v>
      </c>
      <c r="C1860" s="3" t="s">
        <v>23</v>
      </c>
      <c r="D1860" s="3" t="s">
        <v>48</v>
      </c>
      <c r="E1860" s="3" t="s">
        <v>49</v>
      </c>
      <c r="F1860" s="3" t="s">
        <v>25</v>
      </c>
      <c r="G1860" s="3" t="s">
        <v>25</v>
      </c>
      <c r="H1860" s="3" t="s">
        <v>25</v>
      </c>
      <c r="I1860" s="6">
        <v>44501</v>
      </c>
      <c r="J1860" s="4">
        <v>0</v>
      </c>
      <c r="K1860" s="4">
        <v>0</v>
      </c>
      <c r="L1860" s="4">
        <v>-139.97800000000001</v>
      </c>
      <c r="M1860" s="4">
        <v>-139.97800000000001</v>
      </c>
      <c r="N1860" s="4">
        <v>-139.97800000000001</v>
      </c>
      <c r="O1860" s="4">
        <v>-139.97800000000001</v>
      </c>
      <c r="P1860" s="4">
        <v>0</v>
      </c>
      <c r="Q1860" s="3" t="s">
        <v>26</v>
      </c>
      <c r="R1860" s="3">
        <v>0</v>
      </c>
      <c r="S1860" s="3" t="s">
        <v>571</v>
      </c>
      <c r="T1860" s="3" t="s">
        <v>852</v>
      </c>
      <c r="U1860" s="3">
        <v>0</v>
      </c>
      <c r="V1860" s="3">
        <v>92</v>
      </c>
      <c r="W1860" s="3">
        <v>9</v>
      </c>
    </row>
    <row r="1861" spans="1:23" ht="11.25" customHeight="1" x14ac:dyDescent="0.25">
      <c r="A1861" s="3" t="s">
        <v>21</v>
      </c>
      <c r="B1861" s="3" t="s">
        <v>47</v>
      </c>
      <c r="C1861" s="3" t="s">
        <v>23</v>
      </c>
      <c r="D1861" s="3" t="s">
        <v>48</v>
      </c>
      <c r="E1861" s="3" t="s">
        <v>49</v>
      </c>
      <c r="F1861" s="3" t="s">
        <v>25</v>
      </c>
      <c r="G1861" s="3" t="s">
        <v>25</v>
      </c>
      <c r="H1861" s="3" t="s">
        <v>25</v>
      </c>
      <c r="I1861" s="6">
        <v>44531</v>
      </c>
      <c r="J1861" s="4">
        <v>0</v>
      </c>
      <c r="K1861" s="4">
        <v>0</v>
      </c>
      <c r="L1861" s="4">
        <v>16690.679</v>
      </c>
      <c r="M1861" s="4">
        <v>16690.679</v>
      </c>
      <c r="N1861" s="4">
        <v>16690.679</v>
      </c>
      <c r="O1861" s="4">
        <v>16690.679</v>
      </c>
      <c r="P1861" s="4">
        <v>1198</v>
      </c>
      <c r="Q1861" s="3" t="s">
        <v>26</v>
      </c>
      <c r="R1861" s="3">
        <v>0</v>
      </c>
      <c r="S1861" s="3" t="s">
        <v>572</v>
      </c>
      <c r="T1861" s="3" t="s">
        <v>853</v>
      </c>
      <c r="U1861" s="3">
        <v>0</v>
      </c>
      <c r="V1861" s="3">
        <v>92</v>
      </c>
      <c r="W1861" s="3">
        <v>9</v>
      </c>
    </row>
    <row r="1862" spans="1:23" ht="11.25" customHeight="1" x14ac:dyDescent="0.25">
      <c r="A1862" s="3" t="s">
        <v>27</v>
      </c>
      <c r="B1862" s="3" t="s">
        <v>47</v>
      </c>
      <c r="C1862" s="3" t="s">
        <v>23</v>
      </c>
      <c r="D1862" s="3" t="s">
        <v>48</v>
      </c>
      <c r="E1862" s="3" t="s">
        <v>49</v>
      </c>
      <c r="F1862" s="3" t="s">
        <v>25</v>
      </c>
      <c r="G1862" s="3" t="s">
        <v>25</v>
      </c>
      <c r="H1862" s="3" t="s">
        <v>25</v>
      </c>
      <c r="I1862" s="6">
        <v>44531</v>
      </c>
      <c r="J1862" s="4">
        <v>0</v>
      </c>
      <c r="K1862" s="4">
        <v>0</v>
      </c>
      <c r="L1862" s="4">
        <v>-43.968000000000004</v>
      </c>
      <c r="M1862" s="4">
        <v>-43.968000000000004</v>
      </c>
      <c r="N1862" s="4">
        <v>-43.968000000000004</v>
      </c>
      <c r="O1862" s="4">
        <v>-43.968000000000004</v>
      </c>
      <c r="P1862" s="4">
        <v>-1</v>
      </c>
      <c r="Q1862" s="3" t="s">
        <v>26</v>
      </c>
      <c r="R1862" s="3">
        <v>0</v>
      </c>
      <c r="S1862" s="3" t="s">
        <v>572</v>
      </c>
      <c r="T1862" s="3" t="s">
        <v>853</v>
      </c>
      <c r="U1862" s="3">
        <v>0</v>
      </c>
      <c r="V1862" s="3">
        <v>92</v>
      </c>
      <c r="W1862" s="3">
        <v>9</v>
      </c>
    </row>
    <row r="1863" spans="1:23" ht="11.25" customHeight="1" x14ac:dyDescent="0.25">
      <c r="A1863" s="3" t="s">
        <v>21</v>
      </c>
      <c r="B1863" s="3" t="s">
        <v>47</v>
      </c>
      <c r="C1863" s="3" t="s">
        <v>23</v>
      </c>
      <c r="D1863" s="3" t="s">
        <v>48</v>
      </c>
      <c r="E1863" s="3" t="s">
        <v>49</v>
      </c>
      <c r="F1863" s="3" t="s">
        <v>25</v>
      </c>
      <c r="G1863" s="3" t="s">
        <v>25</v>
      </c>
      <c r="H1863" s="3" t="s">
        <v>25</v>
      </c>
      <c r="I1863" s="6">
        <v>44562</v>
      </c>
      <c r="J1863" s="4">
        <v>0</v>
      </c>
      <c r="K1863" s="4">
        <v>0</v>
      </c>
      <c r="L1863" s="4">
        <v>16553.510999999999</v>
      </c>
      <c r="M1863" s="4">
        <v>16553.510999999999</v>
      </c>
      <c r="N1863" s="4">
        <v>16553.510999999999</v>
      </c>
      <c r="O1863" s="4">
        <v>16553.510999999999</v>
      </c>
      <c r="P1863" s="4">
        <v>1206</v>
      </c>
      <c r="Q1863" s="3" t="s">
        <v>26</v>
      </c>
      <c r="R1863" s="3">
        <v>0</v>
      </c>
      <c r="S1863" s="3" t="s">
        <v>573</v>
      </c>
      <c r="T1863" s="3" t="s">
        <v>854</v>
      </c>
      <c r="U1863" s="3">
        <v>0</v>
      </c>
      <c r="V1863" s="3">
        <v>92</v>
      </c>
      <c r="W1863" s="3">
        <v>9</v>
      </c>
    </row>
    <row r="1864" spans="1:23" ht="11.25" customHeight="1" x14ac:dyDescent="0.25">
      <c r="A1864" s="3" t="s">
        <v>27</v>
      </c>
      <c r="B1864" s="3" t="s">
        <v>47</v>
      </c>
      <c r="C1864" s="3" t="s">
        <v>23</v>
      </c>
      <c r="D1864" s="3" t="s">
        <v>48</v>
      </c>
      <c r="E1864" s="3" t="s">
        <v>49</v>
      </c>
      <c r="F1864" s="3" t="s">
        <v>25</v>
      </c>
      <c r="G1864" s="3" t="s">
        <v>25</v>
      </c>
      <c r="H1864" s="3" t="s">
        <v>25</v>
      </c>
      <c r="I1864" s="6">
        <v>44562</v>
      </c>
      <c r="J1864" s="4">
        <v>0</v>
      </c>
      <c r="K1864" s="4">
        <v>0</v>
      </c>
      <c r="L1864" s="4">
        <v>9.09</v>
      </c>
      <c r="M1864" s="4">
        <v>9.09</v>
      </c>
      <c r="N1864" s="4">
        <v>9.09</v>
      </c>
      <c r="O1864" s="4">
        <v>9.09</v>
      </c>
      <c r="P1864" s="4">
        <v>7</v>
      </c>
      <c r="Q1864" s="3" t="s">
        <v>26</v>
      </c>
      <c r="R1864" s="3">
        <v>0</v>
      </c>
      <c r="S1864" s="3" t="s">
        <v>573</v>
      </c>
      <c r="T1864" s="3" t="s">
        <v>854</v>
      </c>
      <c r="U1864" s="3">
        <v>0</v>
      </c>
      <c r="V1864" s="3">
        <v>92</v>
      </c>
      <c r="W1864" s="3">
        <v>9</v>
      </c>
    </row>
    <row r="1865" spans="1:23" ht="11.25" customHeight="1" x14ac:dyDescent="0.25">
      <c r="A1865" s="3" t="s">
        <v>21</v>
      </c>
      <c r="B1865" s="3" t="s">
        <v>47</v>
      </c>
      <c r="C1865" s="3" t="s">
        <v>23</v>
      </c>
      <c r="D1865" s="3" t="s">
        <v>48</v>
      </c>
      <c r="E1865" s="3" t="s">
        <v>49</v>
      </c>
      <c r="F1865" s="3" t="s">
        <v>25</v>
      </c>
      <c r="G1865" s="3" t="s">
        <v>25</v>
      </c>
      <c r="H1865" s="3" t="s">
        <v>25</v>
      </c>
      <c r="I1865" s="6">
        <v>44593</v>
      </c>
      <c r="J1865" s="4">
        <v>0</v>
      </c>
      <c r="K1865" s="4">
        <v>0</v>
      </c>
      <c r="L1865" s="4">
        <v>15015.512000000001</v>
      </c>
      <c r="M1865" s="4">
        <v>15015.512000000001</v>
      </c>
      <c r="N1865" s="4">
        <v>15015.512000000001</v>
      </c>
      <c r="O1865" s="4">
        <v>15015.512000000001</v>
      </c>
      <c r="P1865" s="4">
        <v>1217</v>
      </c>
      <c r="Q1865" s="3" t="s">
        <v>26</v>
      </c>
      <c r="R1865" s="3">
        <v>0</v>
      </c>
      <c r="S1865" s="3" t="s">
        <v>574</v>
      </c>
      <c r="T1865" s="3" t="s">
        <v>855</v>
      </c>
      <c r="U1865" s="3">
        <v>0</v>
      </c>
      <c r="V1865" s="3">
        <v>92</v>
      </c>
      <c r="W1865" s="3">
        <v>9</v>
      </c>
    </row>
    <row r="1866" spans="1:23" ht="11.25" customHeight="1" x14ac:dyDescent="0.25">
      <c r="A1866" s="3" t="s">
        <v>56</v>
      </c>
      <c r="B1866" s="3" t="s">
        <v>47</v>
      </c>
      <c r="C1866" s="3" t="s">
        <v>23</v>
      </c>
      <c r="D1866" s="3" t="s">
        <v>48</v>
      </c>
      <c r="E1866" s="3" t="s">
        <v>49</v>
      </c>
      <c r="F1866" s="3" t="s">
        <v>25</v>
      </c>
      <c r="G1866" s="3" t="s">
        <v>25</v>
      </c>
      <c r="H1866" s="3" t="s">
        <v>25</v>
      </c>
      <c r="I1866" s="6">
        <v>44621</v>
      </c>
      <c r="J1866" s="4">
        <v>0</v>
      </c>
      <c r="K1866" s="4">
        <v>0</v>
      </c>
      <c r="L1866" s="4">
        <v>15015.512000000001</v>
      </c>
      <c r="M1866" s="4">
        <v>15015.512000000001</v>
      </c>
      <c r="N1866" s="4">
        <v>15015.512000000001</v>
      </c>
      <c r="O1866" s="4">
        <v>15015.512000000001</v>
      </c>
      <c r="P1866" s="4">
        <v>1217</v>
      </c>
      <c r="Q1866" s="3" t="s">
        <v>26</v>
      </c>
      <c r="R1866" s="3">
        <v>0</v>
      </c>
      <c r="S1866" s="3" t="s">
        <v>575</v>
      </c>
      <c r="T1866" s="3" t="s">
        <v>856</v>
      </c>
      <c r="U1866" s="3">
        <v>0</v>
      </c>
      <c r="V1866" s="3">
        <v>92</v>
      </c>
      <c r="W1866" s="3">
        <v>9</v>
      </c>
    </row>
  </sheetData>
  <sortState xmlns:xlrd2="http://schemas.microsoft.com/office/spreadsheetml/2017/richdata2" ref="A2:W1866">
    <sortCondition ref="B2:B1866"/>
    <sortCondition ref="C2:C1866"/>
    <sortCondition ref="D2:D1866"/>
    <sortCondition ref="E2:E1866"/>
    <sortCondition ref="F2:F1866"/>
    <sortCondition ref="H2:H186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2504-389A-4043-840E-8CC0EA61CE51}">
  <dimension ref="A1:H183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77</v>
      </c>
      <c r="B1" s="7" t="s">
        <v>78</v>
      </c>
      <c r="C1" s="7" t="s">
        <v>79</v>
      </c>
      <c r="D1" s="7" t="s">
        <v>80</v>
      </c>
      <c r="E1" s="7" t="s">
        <v>81</v>
      </c>
      <c r="G1" s="7" t="s">
        <v>82</v>
      </c>
      <c r="H1" s="7">
        <f>COUNTA(A:A)</f>
        <v>183</v>
      </c>
    </row>
    <row r="2" spans="1:8" ht="11.25" customHeight="1" x14ac:dyDescent="0.25">
      <c r="A2" s="8" t="s">
        <v>649</v>
      </c>
      <c r="B2" s="8" t="s">
        <v>650</v>
      </c>
      <c r="C2" s="8" t="s">
        <v>651</v>
      </c>
      <c r="D2" s="8">
        <v>644</v>
      </c>
      <c r="E2" s="8" t="s">
        <v>652</v>
      </c>
    </row>
    <row r="3" spans="1:8" ht="11.25" customHeight="1" x14ac:dyDescent="0.25">
      <c r="A3" s="8" t="s">
        <v>649</v>
      </c>
      <c r="B3" s="8" t="s">
        <v>650</v>
      </c>
      <c r="C3" s="8" t="s">
        <v>651</v>
      </c>
      <c r="D3" s="8">
        <v>645</v>
      </c>
      <c r="E3" s="8" t="s">
        <v>652</v>
      </c>
    </row>
    <row r="4" spans="1:8" ht="11.25" customHeight="1" x14ac:dyDescent="0.25">
      <c r="A4" s="8" t="s">
        <v>649</v>
      </c>
      <c r="B4" s="8" t="s">
        <v>650</v>
      </c>
      <c r="C4" s="8" t="s">
        <v>651</v>
      </c>
      <c r="D4" s="8">
        <v>646</v>
      </c>
      <c r="E4" s="8" t="s">
        <v>652</v>
      </c>
    </row>
    <row r="5" spans="1:8" ht="11.25" customHeight="1" x14ac:dyDescent="0.25">
      <c r="A5" s="8" t="s">
        <v>649</v>
      </c>
      <c r="B5" s="8" t="s">
        <v>650</v>
      </c>
      <c r="C5" s="8" t="s">
        <v>651</v>
      </c>
      <c r="D5" s="8">
        <v>648</v>
      </c>
      <c r="E5" s="8" t="s">
        <v>652</v>
      </c>
    </row>
    <row r="6" spans="1:8" ht="11.25" customHeight="1" x14ac:dyDescent="0.25">
      <c r="A6" s="8" t="s">
        <v>649</v>
      </c>
      <c r="B6" s="8" t="s">
        <v>650</v>
      </c>
      <c r="C6" s="8" t="s">
        <v>651</v>
      </c>
      <c r="D6" s="8">
        <v>649</v>
      </c>
      <c r="E6" s="8" t="s">
        <v>652</v>
      </c>
    </row>
    <row r="7" spans="1:8" ht="11.25" customHeight="1" x14ac:dyDescent="0.25">
      <c r="A7" s="8" t="s">
        <v>649</v>
      </c>
      <c r="B7" s="8" t="s">
        <v>650</v>
      </c>
      <c r="C7" s="8" t="s">
        <v>651</v>
      </c>
      <c r="D7" s="8">
        <v>650</v>
      </c>
      <c r="E7" s="8" t="s">
        <v>652</v>
      </c>
    </row>
    <row r="8" spans="1:8" ht="11.25" customHeight="1" x14ac:dyDescent="0.25">
      <c r="A8" s="8" t="s">
        <v>649</v>
      </c>
      <c r="B8" s="8" t="s">
        <v>650</v>
      </c>
      <c r="C8" s="8" t="s">
        <v>651</v>
      </c>
      <c r="D8" s="8">
        <v>652</v>
      </c>
      <c r="E8" s="8" t="s">
        <v>652</v>
      </c>
    </row>
    <row r="9" spans="1:8" ht="11.25" customHeight="1" x14ac:dyDescent="0.25">
      <c r="A9" s="8" t="s">
        <v>649</v>
      </c>
      <c r="B9" s="8" t="s">
        <v>650</v>
      </c>
      <c r="C9" s="8" t="s">
        <v>651</v>
      </c>
      <c r="D9" s="8">
        <v>653</v>
      </c>
      <c r="E9" s="8" t="s">
        <v>652</v>
      </c>
    </row>
    <row r="10" spans="1:8" ht="11.25" customHeight="1" x14ac:dyDescent="0.25">
      <c r="A10" s="8" t="s">
        <v>649</v>
      </c>
      <c r="B10" s="8" t="s">
        <v>650</v>
      </c>
      <c r="C10" s="8" t="s">
        <v>651</v>
      </c>
      <c r="D10" s="8">
        <v>654</v>
      </c>
      <c r="E10" s="8" t="s">
        <v>652</v>
      </c>
    </row>
    <row r="11" spans="1:8" ht="11.25" customHeight="1" x14ac:dyDescent="0.25">
      <c r="A11" s="8" t="s">
        <v>649</v>
      </c>
      <c r="B11" s="8" t="s">
        <v>650</v>
      </c>
      <c r="C11" s="8" t="s">
        <v>651</v>
      </c>
      <c r="D11" s="8">
        <v>656</v>
      </c>
      <c r="E11" s="8" t="s">
        <v>652</v>
      </c>
    </row>
    <row r="12" spans="1:8" ht="11.25" customHeight="1" x14ac:dyDescent="0.25">
      <c r="A12" s="8" t="s">
        <v>649</v>
      </c>
      <c r="B12" s="8" t="s">
        <v>650</v>
      </c>
      <c r="C12" s="8" t="s">
        <v>651</v>
      </c>
      <c r="D12" s="8">
        <v>657</v>
      </c>
      <c r="E12" s="8" t="s">
        <v>652</v>
      </c>
    </row>
    <row r="13" spans="1:8" ht="11.25" customHeight="1" x14ac:dyDescent="0.25">
      <c r="A13" s="8" t="s">
        <v>649</v>
      </c>
      <c r="B13" s="8" t="s">
        <v>650</v>
      </c>
      <c r="C13" s="8" t="s">
        <v>651</v>
      </c>
      <c r="D13" s="8">
        <v>658</v>
      </c>
      <c r="E13" s="8" t="s">
        <v>652</v>
      </c>
    </row>
    <row r="14" spans="1:8" ht="11.25" customHeight="1" x14ac:dyDescent="0.25">
      <c r="A14" s="8" t="s">
        <v>649</v>
      </c>
      <c r="B14" s="8" t="s">
        <v>650</v>
      </c>
      <c r="C14" s="8" t="s">
        <v>651</v>
      </c>
      <c r="D14" s="8">
        <v>660</v>
      </c>
      <c r="E14" s="8" t="s">
        <v>652</v>
      </c>
    </row>
    <row r="15" spans="1:8" ht="11.25" customHeight="1" x14ac:dyDescent="0.25">
      <c r="A15" s="8" t="s">
        <v>649</v>
      </c>
      <c r="B15" s="8" t="s">
        <v>650</v>
      </c>
      <c r="C15" s="8" t="s">
        <v>651</v>
      </c>
      <c r="D15" s="8">
        <v>661</v>
      </c>
      <c r="E15" s="8" t="s">
        <v>652</v>
      </c>
    </row>
    <row r="16" spans="1:8" ht="11.25" customHeight="1" x14ac:dyDescent="0.25">
      <c r="A16" s="8" t="s">
        <v>649</v>
      </c>
      <c r="B16" s="8" t="s">
        <v>650</v>
      </c>
      <c r="C16" s="8" t="s">
        <v>651</v>
      </c>
      <c r="D16" s="8">
        <v>663</v>
      </c>
      <c r="E16" s="8" t="s">
        <v>652</v>
      </c>
    </row>
    <row r="17" spans="1:5" ht="11.25" customHeight="1" x14ac:dyDescent="0.25">
      <c r="A17" s="8" t="s">
        <v>649</v>
      </c>
      <c r="B17" s="8" t="s">
        <v>650</v>
      </c>
      <c r="C17" s="8" t="s">
        <v>651</v>
      </c>
      <c r="D17" s="8">
        <v>664</v>
      </c>
      <c r="E17" s="8" t="s">
        <v>652</v>
      </c>
    </row>
    <row r="18" spans="1:5" ht="11.25" customHeight="1" x14ac:dyDescent="0.25">
      <c r="A18" s="8" t="s">
        <v>649</v>
      </c>
      <c r="B18" s="8" t="s">
        <v>650</v>
      </c>
      <c r="C18" s="8" t="s">
        <v>651</v>
      </c>
      <c r="D18" s="8">
        <v>666</v>
      </c>
      <c r="E18" s="8" t="s">
        <v>652</v>
      </c>
    </row>
    <row r="19" spans="1:5" ht="11.25" customHeight="1" x14ac:dyDescent="0.25">
      <c r="A19" s="8" t="s">
        <v>649</v>
      </c>
      <c r="B19" s="8" t="s">
        <v>650</v>
      </c>
      <c r="C19" s="8" t="s">
        <v>651</v>
      </c>
      <c r="D19" s="8">
        <v>667</v>
      </c>
      <c r="E19" s="8" t="s">
        <v>652</v>
      </c>
    </row>
    <row r="20" spans="1:5" ht="11.25" customHeight="1" x14ac:dyDescent="0.25">
      <c r="A20" s="8" t="s">
        <v>649</v>
      </c>
      <c r="B20" s="8" t="s">
        <v>650</v>
      </c>
      <c r="C20" s="8" t="s">
        <v>651</v>
      </c>
      <c r="D20" s="8">
        <v>668</v>
      </c>
      <c r="E20" s="8" t="s">
        <v>652</v>
      </c>
    </row>
    <row r="21" spans="1:5" ht="11.25" customHeight="1" x14ac:dyDescent="0.25">
      <c r="A21" s="8" t="s">
        <v>649</v>
      </c>
      <c r="B21" s="8" t="s">
        <v>650</v>
      </c>
      <c r="C21" s="8" t="s">
        <v>651</v>
      </c>
      <c r="D21" s="8">
        <v>670</v>
      </c>
      <c r="E21" s="8" t="s">
        <v>652</v>
      </c>
    </row>
    <row r="22" spans="1:5" ht="11.25" customHeight="1" x14ac:dyDescent="0.25">
      <c r="A22" s="8" t="s">
        <v>649</v>
      </c>
      <c r="B22" s="8" t="s">
        <v>650</v>
      </c>
      <c r="C22" s="8" t="s">
        <v>651</v>
      </c>
      <c r="D22" s="8">
        <v>671</v>
      </c>
      <c r="E22" s="8" t="s">
        <v>652</v>
      </c>
    </row>
    <row r="23" spans="1:5" ht="11.25" customHeight="1" x14ac:dyDescent="0.25">
      <c r="A23" s="8" t="s">
        <v>649</v>
      </c>
      <c r="B23" s="8" t="s">
        <v>650</v>
      </c>
      <c r="C23" s="8" t="s">
        <v>651</v>
      </c>
      <c r="D23" s="8">
        <v>672</v>
      </c>
      <c r="E23" s="8" t="s">
        <v>652</v>
      </c>
    </row>
    <row r="24" spans="1:5" ht="11.25" customHeight="1" x14ac:dyDescent="0.25">
      <c r="A24" s="8" t="s">
        <v>649</v>
      </c>
      <c r="B24" s="8" t="s">
        <v>650</v>
      </c>
      <c r="C24" s="8" t="s">
        <v>651</v>
      </c>
      <c r="D24" s="8">
        <v>674</v>
      </c>
      <c r="E24" s="8" t="s">
        <v>652</v>
      </c>
    </row>
    <row r="25" spans="1:5" ht="11.25" customHeight="1" x14ac:dyDescent="0.25">
      <c r="A25" s="8" t="s">
        <v>649</v>
      </c>
      <c r="B25" s="8" t="s">
        <v>650</v>
      </c>
      <c r="C25" s="8" t="s">
        <v>651</v>
      </c>
      <c r="D25" s="8">
        <v>675</v>
      </c>
      <c r="E25" s="8" t="s">
        <v>652</v>
      </c>
    </row>
    <row r="26" spans="1:5" ht="11.25" customHeight="1" x14ac:dyDescent="0.25">
      <c r="A26" s="8" t="s">
        <v>649</v>
      </c>
      <c r="B26" s="8" t="s">
        <v>650</v>
      </c>
      <c r="C26" s="8" t="s">
        <v>651</v>
      </c>
      <c r="D26" s="8">
        <v>676</v>
      </c>
      <c r="E26" s="8" t="s">
        <v>652</v>
      </c>
    </row>
    <row r="27" spans="1:5" ht="11.25" customHeight="1" x14ac:dyDescent="0.25">
      <c r="A27" s="8" t="s">
        <v>649</v>
      </c>
      <c r="B27" s="8" t="s">
        <v>650</v>
      </c>
      <c r="C27" s="8" t="s">
        <v>651</v>
      </c>
      <c r="D27" s="8">
        <v>678</v>
      </c>
      <c r="E27" s="8" t="s">
        <v>652</v>
      </c>
    </row>
    <row r="28" spans="1:5" ht="11.25" customHeight="1" x14ac:dyDescent="0.25">
      <c r="A28" s="8" t="s">
        <v>649</v>
      </c>
      <c r="B28" s="8" t="s">
        <v>650</v>
      </c>
      <c r="C28" s="8" t="s">
        <v>651</v>
      </c>
      <c r="D28" s="8">
        <v>679</v>
      </c>
      <c r="E28" s="8" t="s">
        <v>652</v>
      </c>
    </row>
    <row r="29" spans="1:5" ht="11.25" customHeight="1" x14ac:dyDescent="0.25">
      <c r="A29" s="8" t="s">
        <v>649</v>
      </c>
      <c r="B29" s="8" t="s">
        <v>650</v>
      </c>
      <c r="C29" s="8" t="s">
        <v>651</v>
      </c>
      <c r="D29" s="8">
        <v>681</v>
      </c>
      <c r="E29" s="8" t="s">
        <v>652</v>
      </c>
    </row>
    <row r="30" spans="1:5" ht="11.25" customHeight="1" x14ac:dyDescent="0.25">
      <c r="A30" s="8" t="s">
        <v>649</v>
      </c>
      <c r="B30" s="8" t="s">
        <v>650</v>
      </c>
      <c r="C30" s="8" t="s">
        <v>651</v>
      </c>
      <c r="D30" s="8">
        <v>682</v>
      </c>
      <c r="E30" s="8" t="s">
        <v>652</v>
      </c>
    </row>
    <row r="31" spans="1:5" ht="11.25" customHeight="1" x14ac:dyDescent="0.25">
      <c r="A31" s="8" t="s">
        <v>649</v>
      </c>
      <c r="B31" s="8" t="s">
        <v>650</v>
      </c>
      <c r="C31" s="8" t="s">
        <v>651</v>
      </c>
      <c r="D31" s="8">
        <v>683</v>
      </c>
      <c r="E31" s="8" t="s">
        <v>652</v>
      </c>
    </row>
    <row r="32" spans="1:5" ht="11.25" customHeight="1" x14ac:dyDescent="0.25">
      <c r="A32" s="8" t="s">
        <v>649</v>
      </c>
      <c r="B32" s="8" t="s">
        <v>650</v>
      </c>
      <c r="C32" s="8" t="s">
        <v>651</v>
      </c>
      <c r="D32" s="8">
        <v>685</v>
      </c>
      <c r="E32" s="8" t="s">
        <v>652</v>
      </c>
    </row>
    <row r="33" spans="1:5" ht="11.25" customHeight="1" x14ac:dyDescent="0.25">
      <c r="A33" s="8" t="s">
        <v>649</v>
      </c>
      <c r="B33" s="8" t="s">
        <v>650</v>
      </c>
      <c r="C33" s="8" t="s">
        <v>651</v>
      </c>
      <c r="D33" s="8">
        <v>686</v>
      </c>
      <c r="E33" s="8" t="s">
        <v>652</v>
      </c>
    </row>
    <row r="34" spans="1:5" ht="11.25" customHeight="1" x14ac:dyDescent="0.25">
      <c r="A34" s="8" t="s">
        <v>649</v>
      </c>
      <c r="B34" s="8" t="s">
        <v>650</v>
      </c>
      <c r="C34" s="8" t="s">
        <v>651</v>
      </c>
      <c r="D34" s="8">
        <v>687</v>
      </c>
      <c r="E34" s="8" t="s">
        <v>652</v>
      </c>
    </row>
    <row r="35" spans="1:5" ht="11.25" customHeight="1" x14ac:dyDescent="0.25">
      <c r="A35" s="8" t="s">
        <v>649</v>
      </c>
      <c r="B35" s="8" t="s">
        <v>650</v>
      </c>
      <c r="C35" s="8" t="s">
        <v>651</v>
      </c>
      <c r="D35" s="8">
        <v>747</v>
      </c>
      <c r="E35" s="8" t="s">
        <v>652</v>
      </c>
    </row>
    <row r="36" spans="1:5" ht="11.25" customHeight="1" x14ac:dyDescent="0.25">
      <c r="A36" s="8" t="s">
        <v>649</v>
      </c>
      <c r="B36" s="8" t="s">
        <v>650</v>
      </c>
      <c r="C36" s="8" t="s">
        <v>651</v>
      </c>
      <c r="D36" s="8">
        <v>748</v>
      </c>
      <c r="E36" s="8" t="s">
        <v>652</v>
      </c>
    </row>
    <row r="37" spans="1:5" ht="11.25" customHeight="1" x14ac:dyDescent="0.25">
      <c r="A37" s="8" t="s">
        <v>649</v>
      </c>
      <c r="B37" s="8" t="s">
        <v>650</v>
      </c>
      <c r="C37" s="8" t="s">
        <v>651</v>
      </c>
      <c r="D37" s="8">
        <v>749</v>
      </c>
      <c r="E37" s="8" t="s">
        <v>652</v>
      </c>
    </row>
    <row r="38" spans="1:5" ht="11.25" customHeight="1" x14ac:dyDescent="0.25">
      <c r="A38" s="8" t="s">
        <v>649</v>
      </c>
      <c r="B38" s="8" t="s">
        <v>650</v>
      </c>
      <c r="C38" s="8" t="s">
        <v>651</v>
      </c>
      <c r="D38" s="8">
        <v>750</v>
      </c>
      <c r="E38" s="8" t="s">
        <v>652</v>
      </c>
    </row>
    <row r="39" spans="1:5" ht="11.25" customHeight="1" x14ac:dyDescent="0.25">
      <c r="A39" s="8" t="s">
        <v>649</v>
      </c>
      <c r="B39" s="8" t="s">
        <v>650</v>
      </c>
      <c r="C39" s="8" t="s">
        <v>651</v>
      </c>
      <c r="D39" s="8">
        <v>751</v>
      </c>
      <c r="E39" s="8" t="s">
        <v>652</v>
      </c>
    </row>
    <row r="40" spans="1:5" ht="11.25" customHeight="1" x14ac:dyDescent="0.25">
      <c r="A40" s="8" t="s">
        <v>649</v>
      </c>
      <c r="B40" s="8" t="s">
        <v>650</v>
      </c>
      <c r="C40" s="8" t="s">
        <v>651</v>
      </c>
      <c r="D40" s="8">
        <v>752</v>
      </c>
      <c r="E40" s="8" t="s">
        <v>652</v>
      </c>
    </row>
    <row r="41" spans="1:5" ht="11.25" customHeight="1" x14ac:dyDescent="0.25">
      <c r="A41" s="8" t="s">
        <v>649</v>
      </c>
      <c r="B41" s="8" t="s">
        <v>650</v>
      </c>
      <c r="C41" s="8" t="s">
        <v>651</v>
      </c>
      <c r="D41" s="8">
        <v>753</v>
      </c>
      <c r="E41" s="8" t="s">
        <v>652</v>
      </c>
    </row>
    <row r="42" spans="1:5" ht="11.25" customHeight="1" x14ac:dyDescent="0.25">
      <c r="A42" s="8" t="s">
        <v>649</v>
      </c>
      <c r="B42" s="8" t="s">
        <v>650</v>
      </c>
      <c r="C42" s="8" t="s">
        <v>651</v>
      </c>
      <c r="D42" s="8">
        <v>754</v>
      </c>
      <c r="E42" s="8" t="s">
        <v>652</v>
      </c>
    </row>
    <row r="43" spans="1:5" ht="11.25" customHeight="1" x14ac:dyDescent="0.25">
      <c r="A43" s="8" t="s">
        <v>649</v>
      </c>
      <c r="B43" s="8" t="s">
        <v>650</v>
      </c>
      <c r="C43" s="8" t="s">
        <v>651</v>
      </c>
      <c r="D43" s="8">
        <v>755</v>
      </c>
      <c r="E43" s="8" t="s">
        <v>652</v>
      </c>
    </row>
    <row r="44" spans="1:5" ht="11.25" customHeight="1" x14ac:dyDescent="0.25">
      <c r="A44" s="8" t="s">
        <v>649</v>
      </c>
      <c r="B44" s="8" t="s">
        <v>650</v>
      </c>
      <c r="C44" s="8" t="s">
        <v>651</v>
      </c>
      <c r="D44" s="8">
        <v>756</v>
      </c>
      <c r="E44" s="8" t="s">
        <v>652</v>
      </c>
    </row>
    <row r="45" spans="1:5" ht="11.25" customHeight="1" x14ac:dyDescent="0.25">
      <c r="A45" s="8" t="s">
        <v>649</v>
      </c>
      <c r="B45" s="8" t="s">
        <v>650</v>
      </c>
      <c r="C45" s="8" t="s">
        <v>651</v>
      </c>
      <c r="D45" s="8">
        <v>757</v>
      </c>
      <c r="E45" s="8" t="s">
        <v>652</v>
      </c>
    </row>
    <row r="46" spans="1:5" ht="11.25" customHeight="1" x14ac:dyDescent="0.25">
      <c r="A46" s="8" t="s">
        <v>649</v>
      </c>
      <c r="B46" s="8" t="s">
        <v>650</v>
      </c>
      <c r="C46" s="8" t="s">
        <v>651</v>
      </c>
      <c r="D46" s="8">
        <v>758</v>
      </c>
      <c r="E46" s="8" t="s">
        <v>652</v>
      </c>
    </row>
    <row r="47" spans="1:5" ht="11.25" customHeight="1" x14ac:dyDescent="0.25">
      <c r="A47" s="8" t="s">
        <v>649</v>
      </c>
      <c r="B47" s="8" t="s">
        <v>650</v>
      </c>
      <c r="C47" s="8" t="s">
        <v>651</v>
      </c>
      <c r="D47" s="8">
        <v>837</v>
      </c>
      <c r="E47" s="8" t="s">
        <v>652</v>
      </c>
    </row>
    <row r="48" spans="1:5" ht="11.25" customHeight="1" x14ac:dyDescent="0.25">
      <c r="A48" s="8" t="s">
        <v>649</v>
      </c>
      <c r="B48" s="8" t="s">
        <v>650</v>
      </c>
      <c r="C48" s="8" t="s">
        <v>651</v>
      </c>
      <c r="D48" s="8">
        <v>838</v>
      </c>
      <c r="E48" s="8" t="s">
        <v>652</v>
      </c>
    </row>
    <row r="49" spans="1:5" ht="11.25" customHeight="1" x14ac:dyDescent="0.25">
      <c r="A49" s="8" t="s">
        <v>649</v>
      </c>
      <c r="B49" s="8" t="s">
        <v>650</v>
      </c>
      <c r="C49" s="8" t="s">
        <v>651</v>
      </c>
      <c r="D49" s="8">
        <v>839</v>
      </c>
      <c r="E49" s="8" t="s">
        <v>652</v>
      </c>
    </row>
    <row r="50" spans="1:5" ht="11.25" customHeight="1" x14ac:dyDescent="0.25">
      <c r="A50" s="8" t="s">
        <v>649</v>
      </c>
      <c r="B50" s="8" t="s">
        <v>650</v>
      </c>
      <c r="C50" s="8" t="s">
        <v>651</v>
      </c>
      <c r="D50" s="8">
        <v>840</v>
      </c>
      <c r="E50" s="8" t="s">
        <v>652</v>
      </c>
    </row>
    <row r="51" spans="1:5" ht="11.25" customHeight="1" x14ac:dyDescent="0.25">
      <c r="A51" s="8" t="s">
        <v>649</v>
      </c>
      <c r="B51" s="8" t="s">
        <v>650</v>
      </c>
      <c r="C51" s="8" t="s">
        <v>651</v>
      </c>
      <c r="D51" s="8">
        <v>841</v>
      </c>
      <c r="E51" s="8" t="s">
        <v>652</v>
      </c>
    </row>
    <row r="52" spans="1:5" ht="11.25" customHeight="1" x14ac:dyDescent="0.25">
      <c r="A52" s="8" t="s">
        <v>649</v>
      </c>
      <c r="B52" s="8" t="s">
        <v>650</v>
      </c>
      <c r="C52" s="8" t="s">
        <v>651</v>
      </c>
      <c r="D52" s="8">
        <v>842</v>
      </c>
      <c r="E52" s="8" t="s">
        <v>652</v>
      </c>
    </row>
    <row r="53" spans="1:5" ht="11.25" customHeight="1" x14ac:dyDescent="0.25">
      <c r="A53" s="8" t="s">
        <v>649</v>
      </c>
      <c r="B53" s="8" t="s">
        <v>650</v>
      </c>
      <c r="C53" s="8" t="s">
        <v>651</v>
      </c>
      <c r="D53" s="8">
        <v>843</v>
      </c>
      <c r="E53" s="8" t="s">
        <v>652</v>
      </c>
    </row>
    <row r="54" spans="1:5" ht="11.25" customHeight="1" x14ac:dyDescent="0.25">
      <c r="A54" s="8" t="s">
        <v>649</v>
      </c>
      <c r="B54" s="8" t="s">
        <v>650</v>
      </c>
      <c r="C54" s="8" t="s">
        <v>651</v>
      </c>
      <c r="D54" s="8">
        <v>844</v>
      </c>
      <c r="E54" s="8" t="s">
        <v>652</v>
      </c>
    </row>
    <row r="55" spans="1:5" ht="11.25" customHeight="1" x14ac:dyDescent="0.25">
      <c r="A55" s="8" t="s">
        <v>649</v>
      </c>
      <c r="B55" s="8" t="s">
        <v>650</v>
      </c>
      <c r="C55" s="8" t="s">
        <v>651</v>
      </c>
      <c r="D55" s="8">
        <v>845</v>
      </c>
      <c r="E55" s="8" t="s">
        <v>652</v>
      </c>
    </row>
    <row r="56" spans="1:5" ht="11.25" customHeight="1" x14ac:dyDescent="0.25">
      <c r="A56" s="8" t="s">
        <v>649</v>
      </c>
      <c r="B56" s="8" t="s">
        <v>650</v>
      </c>
      <c r="C56" s="8" t="s">
        <v>651</v>
      </c>
      <c r="D56" s="8">
        <v>846</v>
      </c>
      <c r="E56" s="8" t="s">
        <v>652</v>
      </c>
    </row>
    <row r="57" spans="1:5" ht="11.25" customHeight="1" x14ac:dyDescent="0.25">
      <c r="A57" s="8" t="s">
        <v>649</v>
      </c>
      <c r="B57" s="8" t="s">
        <v>650</v>
      </c>
      <c r="C57" s="8" t="s">
        <v>651</v>
      </c>
      <c r="D57" s="8">
        <v>848</v>
      </c>
      <c r="E57" s="8" t="s">
        <v>652</v>
      </c>
    </row>
    <row r="58" spans="1:5" ht="11.25" customHeight="1" x14ac:dyDescent="0.25">
      <c r="A58" s="8" t="s">
        <v>649</v>
      </c>
      <c r="B58" s="8" t="s">
        <v>650</v>
      </c>
      <c r="C58" s="8" t="s">
        <v>651</v>
      </c>
      <c r="D58" s="8">
        <v>849</v>
      </c>
      <c r="E58" s="8" t="s">
        <v>652</v>
      </c>
    </row>
    <row r="59" spans="1:5" ht="11.25" customHeight="1" x14ac:dyDescent="0.25">
      <c r="A59" s="8" t="s">
        <v>649</v>
      </c>
      <c r="B59" s="8" t="s">
        <v>650</v>
      </c>
      <c r="C59" s="8" t="s">
        <v>651</v>
      </c>
      <c r="D59" s="8">
        <v>850</v>
      </c>
      <c r="E59" s="8" t="s">
        <v>652</v>
      </c>
    </row>
    <row r="60" spans="1:5" ht="11.25" customHeight="1" x14ac:dyDescent="0.25">
      <c r="A60" s="8" t="s">
        <v>649</v>
      </c>
      <c r="B60" s="8" t="s">
        <v>650</v>
      </c>
      <c r="C60" s="8" t="s">
        <v>651</v>
      </c>
      <c r="D60" s="8">
        <v>851</v>
      </c>
      <c r="E60" s="8" t="s">
        <v>652</v>
      </c>
    </row>
    <row r="61" spans="1:5" ht="11.25" customHeight="1" x14ac:dyDescent="0.25">
      <c r="A61" s="8" t="s">
        <v>649</v>
      </c>
      <c r="B61" s="8" t="s">
        <v>650</v>
      </c>
      <c r="C61" s="8" t="s">
        <v>651</v>
      </c>
      <c r="D61" s="8">
        <v>852</v>
      </c>
      <c r="E61" s="8" t="s">
        <v>652</v>
      </c>
    </row>
    <row r="62" spans="1:5" ht="11.25" customHeight="1" x14ac:dyDescent="0.25">
      <c r="A62" s="8" t="s">
        <v>649</v>
      </c>
      <c r="B62" s="8" t="s">
        <v>650</v>
      </c>
      <c r="C62" s="8" t="s">
        <v>651</v>
      </c>
      <c r="D62" s="8">
        <v>853</v>
      </c>
      <c r="E62" s="8" t="s">
        <v>652</v>
      </c>
    </row>
    <row r="63" spans="1:5" ht="11.25" customHeight="1" x14ac:dyDescent="0.25">
      <c r="A63" s="8" t="s">
        <v>649</v>
      </c>
      <c r="B63" s="8" t="s">
        <v>650</v>
      </c>
      <c r="C63" s="8" t="s">
        <v>651</v>
      </c>
      <c r="D63" s="8">
        <v>854</v>
      </c>
      <c r="E63" s="8" t="s">
        <v>652</v>
      </c>
    </row>
    <row r="64" spans="1:5" ht="11.25" customHeight="1" x14ac:dyDescent="0.25">
      <c r="A64" s="8" t="s">
        <v>649</v>
      </c>
      <c r="B64" s="8" t="s">
        <v>650</v>
      </c>
      <c r="C64" s="8" t="s">
        <v>651</v>
      </c>
      <c r="D64" s="8">
        <v>855</v>
      </c>
      <c r="E64" s="8" t="s">
        <v>652</v>
      </c>
    </row>
    <row r="65" spans="1:5" ht="11.25" customHeight="1" x14ac:dyDescent="0.25">
      <c r="A65" s="8" t="s">
        <v>649</v>
      </c>
      <c r="B65" s="8" t="s">
        <v>650</v>
      </c>
      <c r="C65" s="8" t="s">
        <v>651</v>
      </c>
      <c r="D65" s="8">
        <v>856</v>
      </c>
      <c r="E65" s="8" t="s">
        <v>652</v>
      </c>
    </row>
    <row r="66" spans="1:5" ht="11.25" customHeight="1" x14ac:dyDescent="0.25">
      <c r="A66" s="8" t="s">
        <v>649</v>
      </c>
      <c r="B66" s="8" t="s">
        <v>650</v>
      </c>
      <c r="C66" s="8" t="s">
        <v>651</v>
      </c>
      <c r="D66" s="8">
        <v>857</v>
      </c>
      <c r="E66" s="8" t="s">
        <v>652</v>
      </c>
    </row>
    <row r="67" spans="1:5" ht="11.25" customHeight="1" x14ac:dyDescent="0.25">
      <c r="A67" s="8" t="s">
        <v>649</v>
      </c>
      <c r="B67" s="8" t="s">
        <v>650</v>
      </c>
      <c r="C67" s="8" t="s">
        <v>651</v>
      </c>
      <c r="D67" s="8">
        <v>858</v>
      </c>
      <c r="E67" s="8" t="s">
        <v>652</v>
      </c>
    </row>
    <row r="68" spans="1:5" ht="11.25" customHeight="1" x14ac:dyDescent="0.25">
      <c r="A68" s="8" t="s">
        <v>649</v>
      </c>
      <c r="B68" s="8" t="s">
        <v>650</v>
      </c>
      <c r="C68" s="8" t="s">
        <v>651</v>
      </c>
      <c r="D68" s="8">
        <v>859</v>
      </c>
      <c r="E68" s="8" t="s">
        <v>652</v>
      </c>
    </row>
    <row r="69" spans="1:5" ht="11.25" customHeight="1" x14ac:dyDescent="0.25">
      <c r="A69" s="8" t="s">
        <v>649</v>
      </c>
      <c r="B69" s="8" t="s">
        <v>650</v>
      </c>
      <c r="C69" s="8" t="s">
        <v>651</v>
      </c>
      <c r="D69" s="8">
        <v>860</v>
      </c>
      <c r="E69" s="8" t="s">
        <v>652</v>
      </c>
    </row>
    <row r="70" spans="1:5" ht="11.25" customHeight="1" x14ac:dyDescent="0.25">
      <c r="A70" s="8" t="s">
        <v>649</v>
      </c>
      <c r="B70" s="8" t="s">
        <v>650</v>
      </c>
      <c r="C70" s="8" t="s">
        <v>651</v>
      </c>
      <c r="D70" s="8">
        <v>861</v>
      </c>
      <c r="E70" s="8" t="s">
        <v>652</v>
      </c>
    </row>
    <row r="71" spans="1:5" ht="11.25" customHeight="1" x14ac:dyDescent="0.25">
      <c r="A71" s="8" t="s">
        <v>649</v>
      </c>
      <c r="B71" s="8" t="s">
        <v>650</v>
      </c>
      <c r="C71" s="8" t="s">
        <v>651</v>
      </c>
      <c r="D71" s="8">
        <v>862</v>
      </c>
      <c r="E71" s="8" t="s">
        <v>652</v>
      </c>
    </row>
    <row r="72" spans="1:5" ht="11.25" customHeight="1" x14ac:dyDescent="0.25">
      <c r="A72" s="8" t="s">
        <v>649</v>
      </c>
      <c r="B72" s="8" t="s">
        <v>650</v>
      </c>
      <c r="C72" s="8" t="s">
        <v>651</v>
      </c>
      <c r="D72" s="8">
        <v>863</v>
      </c>
      <c r="E72" s="8" t="s">
        <v>652</v>
      </c>
    </row>
    <row r="73" spans="1:5" ht="11.25" customHeight="1" x14ac:dyDescent="0.25">
      <c r="A73" s="8" t="s">
        <v>649</v>
      </c>
      <c r="B73" s="8" t="s">
        <v>650</v>
      </c>
      <c r="C73" s="8" t="s">
        <v>651</v>
      </c>
      <c r="D73" s="8">
        <v>923</v>
      </c>
      <c r="E73" s="8" t="s">
        <v>652</v>
      </c>
    </row>
    <row r="74" spans="1:5" ht="11.25" customHeight="1" x14ac:dyDescent="0.25">
      <c r="A74" s="8" t="s">
        <v>649</v>
      </c>
      <c r="B74" s="8" t="s">
        <v>650</v>
      </c>
      <c r="C74" s="8" t="s">
        <v>651</v>
      </c>
      <c r="D74" s="8">
        <v>924</v>
      </c>
      <c r="E74" s="8" t="s">
        <v>652</v>
      </c>
    </row>
    <row r="75" spans="1:5" ht="11.25" customHeight="1" x14ac:dyDescent="0.25">
      <c r="A75" s="8" t="s">
        <v>649</v>
      </c>
      <c r="B75" s="8" t="s">
        <v>650</v>
      </c>
      <c r="C75" s="8" t="s">
        <v>651</v>
      </c>
      <c r="D75" s="8">
        <v>925</v>
      </c>
      <c r="E75" s="8" t="s">
        <v>652</v>
      </c>
    </row>
    <row r="76" spans="1:5" ht="11.25" customHeight="1" x14ac:dyDescent="0.25">
      <c r="A76" s="8" t="s">
        <v>649</v>
      </c>
      <c r="B76" s="8" t="s">
        <v>650</v>
      </c>
      <c r="C76" s="8" t="s">
        <v>651</v>
      </c>
      <c r="D76" s="8">
        <v>926</v>
      </c>
      <c r="E76" s="8" t="s">
        <v>652</v>
      </c>
    </row>
    <row r="77" spans="1:5" ht="11.25" customHeight="1" x14ac:dyDescent="0.25">
      <c r="A77" s="8" t="s">
        <v>649</v>
      </c>
      <c r="B77" s="8" t="s">
        <v>650</v>
      </c>
      <c r="C77" s="8" t="s">
        <v>651</v>
      </c>
      <c r="D77" s="8">
        <v>927</v>
      </c>
      <c r="E77" s="8" t="s">
        <v>652</v>
      </c>
    </row>
    <row r="78" spans="1:5" ht="11.25" customHeight="1" x14ac:dyDescent="0.25">
      <c r="A78" s="8" t="s">
        <v>649</v>
      </c>
      <c r="B78" s="8" t="s">
        <v>650</v>
      </c>
      <c r="C78" s="8" t="s">
        <v>651</v>
      </c>
      <c r="D78" s="8">
        <v>928</v>
      </c>
      <c r="E78" s="8" t="s">
        <v>652</v>
      </c>
    </row>
    <row r="79" spans="1:5" ht="11.25" customHeight="1" x14ac:dyDescent="0.25">
      <c r="A79" s="8" t="s">
        <v>649</v>
      </c>
      <c r="B79" s="8" t="s">
        <v>650</v>
      </c>
      <c r="C79" s="8" t="s">
        <v>651</v>
      </c>
      <c r="D79" s="8">
        <v>929</v>
      </c>
      <c r="E79" s="8" t="s">
        <v>652</v>
      </c>
    </row>
    <row r="80" spans="1:5" ht="11.25" customHeight="1" x14ac:dyDescent="0.25">
      <c r="A80" s="8" t="s">
        <v>649</v>
      </c>
      <c r="B80" s="8" t="s">
        <v>650</v>
      </c>
      <c r="C80" s="8" t="s">
        <v>651</v>
      </c>
      <c r="D80" s="8">
        <v>930</v>
      </c>
      <c r="E80" s="8" t="s">
        <v>652</v>
      </c>
    </row>
    <row r="81" spans="1:5" ht="11.25" customHeight="1" x14ac:dyDescent="0.25">
      <c r="A81" s="8" t="s">
        <v>649</v>
      </c>
      <c r="B81" s="8" t="s">
        <v>650</v>
      </c>
      <c r="C81" s="8" t="s">
        <v>651</v>
      </c>
      <c r="D81" s="8">
        <v>931</v>
      </c>
      <c r="E81" s="8" t="s">
        <v>652</v>
      </c>
    </row>
    <row r="82" spans="1:5" ht="11.25" customHeight="1" x14ac:dyDescent="0.25">
      <c r="A82" s="8" t="s">
        <v>649</v>
      </c>
      <c r="B82" s="8" t="s">
        <v>650</v>
      </c>
      <c r="C82" s="8" t="s">
        <v>651</v>
      </c>
      <c r="D82" s="8">
        <v>932</v>
      </c>
      <c r="E82" s="8" t="s">
        <v>652</v>
      </c>
    </row>
    <row r="83" spans="1:5" ht="11.25" customHeight="1" x14ac:dyDescent="0.25">
      <c r="A83" s="8" t="s">
        <v>649</v>
      </c>
      <c r="B83" s="8" t="s">
        <v>650</v>
      </c>
      <c r="C83" s="8" t="s">
        <v>651</v>
      </c>
      <c r="D83" s="8">
        <v>933</v>
      </c>
      <c r="E83" s="8" t="s">
        <v>652</v>
      </c>
    </row>
    <row r="84" spans="1:5" ht="11.25" customHeight="1" x14ac:dyDescent="0.25">
      <c r="A84" s="8" t="s">
        <v>649</v>
      </c>
      <c r="B84" s="8" t="s">
        <v>650</v>
      </c>
      <c r="C84" s="8" t="s">
        <v>651</v>
      </c>
      <c r="D84" s="8">
        <v>934</v>
      </c>
      <c r="E84" s="8" t="s">
        <v>652</v>
      </c>
    </row>
    <row r="85" spans="1:5" ht="11.25" customHeight="1" x14ac:dyDescent="0.25">
      <c r="A85" s="8" t="s">
        <v>649</v>
      </c>
      <c r="B85" s="8" t="s">
        <v>650</v>
      </c>
      <c r="C85" s="8" t="s">
        <v>651</v>
      </c>
      <c r="D85" s="8">
        <v>935</v>
      </c>
      <c r="E85" s="8" t="s">
        <v>652</v>
      </c>
    </row>
    <row r="86" spans="1:5" ht="11.25" customHeight="1" x14ac:dyDescent="0.25">
      <c r="A86" s="8" t="s">
        <v>649</v>
      </c>
      <c r="B86" s="8" t="s">
        <v>650</v>
      </c>
      <c r="C86" s="8" t="s">
        <v>651</v>
      </c>
      <c r="D86" s="8">
        <v>936</v>
      </c>
      <c r="E86" s="8" t="s">
        <v>652</v>
      </c>
    </row>
    <row r="87" spans="1:5" ht="11.25" customHeight="1" x14ac:dyDescent="0.25">
      <c r="A87" s="8" t="s">
        <v>649</v>
      </c>
      <c r="B87" s="8" t="s">
        <v>650</v>
      </c>
      <c r="C87" s="8" t="s">
        <v>651</v>
      </c>
      <c r="D87" s="8">
        <v>937</v>
      </c>
      <c r="E87" s="8" t="s">
        <v>652</v>
      </c>
    </row>
    <row r="88" spans="1:5" ht="11.25" customHeight="1" x14ac:dyDescent="0.25">
      <c r="A88" s="8" t="s">
        <v>649</v>
      </c>
      <c r="B88" s="8" t="s">
        <v>650</v>
      </c>
      <c r="C88" s="8" t="s">
        <v>651</v>
      </c>
      <c r="D88" s="8">
        <v>938</v>
      </c>
      <c r="E88" s="8" t="s">
        <v>652</v>
      </c>
    </row>
    <row r="89" spans="1:5" ht="11.25" customHeight="1" x14ac:dyDescent="0.25">
      <c r="A89" s="8" t="s">
        <v>649</v>
      </c>
      <c r="B89" s="8" t="s">
        <v>650</v>
      </c>
      <c r="C89" s="8" t="s">
        <v>651</v>
      </c>
      <c r="D89" s="8">
        <v>939</v>
      </c>
      <c r="E89" s="8" t="s">
        <v>652</v>
      </c>
    </row>
    <row r="90" spans="1:5" ht="11.25" customHeight="1" x14ac:dyDescent="0.25">
      <c r="A90" s="8" t="s">
        <v>649</v>
      </c>
      <c r="B90" s="8" t="s">
        <v>650</v>
      </c>
      <c r="C90" s="8" t="s">
        <v>651</v>
      </c>
      <c r="D90" s="8">
        <v>940</v>
      </c>
      <c r="E90" s="8" t="s">
        <v>652</v>
      </c>
    </row>
    <row r="91" spans="1:5" ht="11.25" customHeight="1" x14ac:dyDescent="0.25">
      <c r="A91" s="8" t="s">
        <v>649</v>
      </c>
      <c r="B91" s="8" t="s">
        <v>650</v>
      </c>
      <c r="C91" s="8" t="s">
        <v>651</v>
      </c>
      <c r="D91" s="8">
        <v>941</v>
      </c>
      <c r="E91" s="8" t="s">
        <v>652</v>
      </c>
    </row>
    <row r="92" spans="1:5" ht="11.25" customHeight="1" x14ac:dyDescent="0.25">
      <c r="A92" s="8" t="s">
        <v>649</v>
      </c>
      <c r="B92" s="8" t="s">
        <v>650</v>
      </c>
      <c r="C92" s="8" t="s">
        <v>651</v>
      </c>
      <c r="D92" s="8">
        <v>942</v>
      </c>
      <c r="E92" s="8" t="s">
        <v>652</v>
      </c>
    </row>
    <row r="93" spans="1:5" ht="11.25" customHeight="1" x14ac:dyDescent="0.25">
      <c r="A93" s="8" t="s">
        <v>649</v>
      </c>
      <c r="B93" s="8" t="s">
        <v>650</v>
      </c>
      <c r="C93" s="8" t="s">
        <v>651</v>
      </c>
      <c r="D93" s="8">
        <v>943</v>
      </c>
      <c r="E93" s="8" t="s">
        <v>652</v>
      </c>
    </row>
    <row r="94" spans="1:5" ht="11.25" customHeight="1" x14ac:dyDescent="0.25">
      <c r="A94" s="8" t="s">
        <v>649</v>
      </c>
      <c r="B94" s="8" t="s">
        <v>650</v>
      </c>
      <c r="C94" s="8" t="s">
        <v>651</v>
      </c>
      <c r="D94" s="8">
        <v>944</v>
      </c>
      <c r="E94" s="8" t="s">
        <v>652</v>
      </c>
    </row>
    <row r="95" spans="1:5" ht="11.25" customHeight="1" x14ac:dyDescent="0.25">
      <c r="A95" s="8" t="s">
        <v>649</v>
      </c>
      <c r="B95" s="8" t="s">
        <v>650</v>
      </c>
      <c r="C95" s="8" t="s">
        <v>651</v>
      </c>
      <c r="D95" s="8">
        <v>945</v>
      </c>
      <c r="E95" s="8" t="s">
        <v>652</v>
      </c>
    </row>
    <row r="96" spans="1:5" ht="11.25" customHeight="1" x14ac:dyDescent="0.25">
      <c r="A96" s="8" t="s">
        <v>649</v>
      </c>
      <c r="B96" s="8" t="s">
        <v>650</v>
      </c>
      <c r="C96" s="8" t="s">
        <v>651</v>
      </c>
      <c r="D96" s="8">
        <v>946</v>
      </c>
      <c r="E96" s="8" t="s">
        <v>652</v>
      </c>
    </row>
    <row r="97" spans="1:5" ht="11.25" customHeight="1" x14ac:dyDescent="0.25">
      <c r="A97" s="8" t="s">
        <v>649</v>
      </c>
      <c r="B97" s="8" t="s">
        <v>650</v>
      </c>
      <c r="C97" s="8" t="s">
        <v>651</v>
      </c>
      <c r="D97" s="8">
        <v>947</v>
      </c>
      <c r="E97" s="8" t="s">
        <v>652</v>
      </c>
    </row>
    <row r="98" spans="1:5" ht="11.25" customHeight="1" x14ac:dyDescent="0.25">
      <c r="A98" s="8" t="s">
        <v>649</v>
      </c>
      <c r="B98" s="8" t="s">
        <v>650</v>
      </c>
      <c r="C98" s="8" t="s">
        <v>651</v>
      </c>
      <c r="D98" s="8">
        <v>948</v>
      </c>
      <c r="E98" s="8" t="s">
        <v>652</v>
      </c>
    </row>
    <row r="99" spans="1:5" ht="11.25" customHeight="1" x14ac:dyDescent="0.25">
      <c r="A99" s="8" t="s">
        <v>649</v>
      </c>
      <c r="B99" s="8" t="s">
        <v>650</v>
      </c>
      <c r="C99" s="8" t="s">
        <v>651</v>
      </c>
      <c r="D99" s="8">
        <v>949</v>
      </c>
      <c r="E99" s="8" t="s">
        <v>652</v>
      </c>
    </row>
    <row r="100" spans="1:5" ht="11.25" customHeight="1" x14ac:dyDescent="0.25">
      <c r="A100" s="8" t="s">
        <v>649</v>
      </c>
      <c r="B100" s="8" t="s">
        <v>650</v>
      </c>
      <c r="C100" s="8" t="s">
        <v>651</v>
      </c>
      <c r="D100" s="8">
        <v>950</v>
      </c>
      <c r="E100" s="8" t="s">
        <v>652</v>
      </c>
    </row>
    <row r="101" spans="1:5" ht="11.25" customHeight="1" x14ac:dyDescent="0.25">
      <c r="A101" s="8" t="s">
        <v>649</v>
      </c>
      <c r="B101" s="8" t="s">
        <v>650</v>
      </c>
      <c r="C101" s="8" t="s">
        <v>651</v>
      </c>
      <c r="D101" s="8">
        <v>951</v>
      </c>
      <c r="E101" s="8" t="s">
        <v>652</v>
      </c>
    </row>
    <row r="102" spans="1:5" ht="11.25" customHeight="1" x14ac:dyDescent="0.25">
      <c r="A102" s="8" t="s">
        <v>649</v>
      </c>
      <c r="B102" s="8" t="s">
        <v>650</v>
      </c>
      <c r="C102" s="8" t="s">
        <v>651</v>
      </c>
      <c r="D102" s="8">
        <v>1021</v>
      </c>
      <c r="E102" s="8" t="s">
        <v>652</v>
      </c>
    </row>
    <row r="103" spans="1:5" ht="11.25" customHeight="1" x14ac:dyDescent="0.25">
      <c r="A103" s="8" t="s">
        <v>649</v>
      </c>
      <c r="B103" s="8" t="s">
        <v>650</v>
      </c>
      <c r="C103" s="8" t="s">
        <v>651</v>
      </c>
      <c r="D103" s="8">
        <v>1022</v>
      </c>
      <c r="E103" s="8" t="s">
        <v>652</v>
      </c>
    </row>
    <row r="104" spans="1:5" ht="11.25" customHeight="1" x14ac:dyDescent="0.25">
      <c r="A104" s="8" t="s">
        <v>649</v>
      </c>
      <c r="B104" s="8" t="s">
        <v>650</v>
      </c>
      <c r="C104" s="8" t="s">
        <v>651</v>
      </c>
      <c r="D104" s="8">
        <v>1023</v>
      </c>
      <c r="E104" s="8" t="s">
        <v>652</v>
      </c>
    </row>
    <row r="105" spans="1:5" ht="11.25" customHeight="1" x14ac:dyDescent="0.25">
      <c r="A105" s="8" t="s">
        <v>649</v>
      </c>
      <c r="B105" s="8" t="s">
        <v>650</v>
      </c>
      <c r="C105" s="8" t="s">
        <v>651</v>
      </c>
      <c r="D105" s="8">
        <v>1024</v>
      </c>
      <c r="E105" s="8" t="s">
        <v>652</v>
      </c>
    </row>
    <row r="106" spans="1:5" ht="11.25" customHeight="1" x14ac:dyDescent="0.25">
      <c r="A106" s="8" t="s">
        <v>649</v>
      </c>
      <c r="B106" s="8" t="s">
        <v>650</v>
      </c>
      <c r="C106" s="8" t="s">
        <v>651</v>
      </c>
      <c r="D106" s="8">
        <v>1025</v>
      </c>
      <c r="E106" s="8" t="s">
        <v>652</v>
      </c>
    </row>
    <row r="107" spans="1:5" ht="11.25" customHeight="1" x14ac:dyDescent="0.25">
      <c r="A107" s="8" t="s">
        <v>649</v>
      </c>
      <c r="B107" s="8" t="s">
        <v>650</v>
      </c>
      <c r="C107" s="8" t="s">
        <v>651</v>
      </c>
      <c r="D107" s="8">
        <v>1026</v>
      </c>
      <c r="E107" s="8" t="s">
        <v>652</v>
      </c>
    </row>
    <row r="108" spans="1:5" ht="11.25" customHeight="1" x14ac:dyDescent="0.25">
      <c r="A108" s="8" t="s">
        <v>649</v>
      </c>
      <c r="B108" s="8" t="s">
        <v>650</v>
      </c>
      <c r="C108" s="8" t="s">
        <v>651</v>
      </c>
      <c r="D108" s="8">
        <v>1027</v>
      </c>
      <c r="E108" s="8" t="s">
        <v>652</v>
      </c>
    </row>
    <row r="109" spans="1:5" ht="11.25" customHeight="1" x14ac:dyDescent="0.25">
      <c r="A109" s="8" t="s">
        <v>649</v>
      </c>
      <c r="B109" s="8" t="s">
        <v>650</v>
      </c>
      <c r="C109" s="8" t="s">
        <v>651</v>
      </c>
      <c r="D109" s="8">
        <v>1028</v>
      </c>
      <c r="E109" s="8" t="s">
        <v>652</v>
      </c>
    </row>
    <row r="110" spans="1:5" ht="11.25" customHeight="1" x14ac:dyDescent="0.25">
      <c r="A110" s="8" t="s">
        <v>649</v>
      </c>
      <c r="B110" s="8" t="s">
        <v>650</v>
      </c>
      <c r="C110" s="8" t="s">
        <v>651</v>
      </c>
      <c r="D110" s="8">
        <v>1029</v>
      </c>
      <c r="E110" s="8" t="s">
        <v>652</v>
      </c>
    </row>
    <row r="111" spans="1:5" ht="11.25" customHeight="1" x14ac:dyDescent="0.25">
      <c r="A111" s="8" t="s">
        <v>649</v>
      </c>
      <c r="B111" s="8" t="s">
        <v>650</v>
      </c>
      <c r="C111" s="8" t="s">
        <v>651</v>
      </c>
      <c r="D111" s="8">
        <v>1030</v>
      </c>
      <c r="E111" s="8" t="s">
        <v>652</v>
      </c>
    </row>
    <row r="112" spans="1:5" ht="11.25" customHeight="1" x14ac:dyDescent="0.25">
      <c r="A112" s="8" t="s">
        <v>649</v>
      </c>
      <c r="B112" s="8" t="s">
        <v>650</v>
      </c>
      <c r="C112" s="8" t="s">
        <v>651</v>
      </c>
      <c r="D112" s="8">
        <v>1031</v>
      </c>
      <c r="E112" s="8" t="s">
        <v>652</v>
      </c>
    </row>
    <row r="113" spans="1:5" ht="11.25" customHeight="1" x14ac:dyDescent="0.25">
      <c r="A113" s="8" t="s">
        <v>649</v>
      </c>
      <c r="B113" s="8" t="s">
        <v>650</v>
      </c>
      <c r="C113" s="8" t="s">
        <v>651</v>
      </c>
      <c r="D113" s="8">
        <v>1032</v>
      </c>
      <c r="E113" s="8" t="s">
        <v>652</v>
      </c>
    </row>
    <row r="114" spans="1:5" ht="11.25" customHeight="1" x14ac:dyDescent="0.25">
      <c r="A114" s="8" t="s">
        <v>649</v>
      </c>
      <c r="B114" s="8" t="s">
        <v>650</v>
      </c>
      <c r="C114" s="8" t="s">
        <v>651</v>
      </c>
      <c r="D114" s="8">
        <v>1033</v>
      </c>
      <c r="E114" s="8" t="s">
        <v>652</v>
      </c>
    </row>
    <row r="115" spans="1:5" ht="11.25" customHeight="1" x14ac:dyDescent="0.25">
      <c r="A115" s="8" t="s">
        <v>649</v>
      </c>
      <c r="B115" s="8" t="s">
        <v>650</v>
      </c>
      <c r="C115" s="8" t="s">
        <v>651</v>
      </c>
      <c r="D115" s="8">
        <v>1034</v>
      </c>
      <c r="E115" s="8" t="s">
        <v>652</v>
      </c>
    </row>
    <row r="116" spans="1:5" ht="11.25" customHeight="1" x14ac:dyDescent="0.25">
      <c r="A116" s="8" t="s">
        <v>649</v>
      </c>
      <c r="B116" s="8" t="s">
        <v>650</v>
      </c>
      <c r="C116" s="8" t="s">
        <v>651</v>
      </c>
      <c r="D116" s="8">
        <v>1035</v>
      </c>
      <c r="E116" s="8" t="s">
        <v>652</v>
      </c>
    </row>
    <row r="117" spans="1:5" ht="11.25" customHeight="1" x14ac:dyDescent="0.25">
      <c r="A117" s="8" t="s">
        <v>649</v>
      </c>
      <c r="B117" s="8" t="s">
        <v>650</v>
      </c>
      <c r="C117" s="8" t="s">
        <v>651</v>
      </c>
      <c r="D117" s="8">
        <v>1036</v>
      </c>
      <c r="E117" s="8" t="s">
        <v>652</v>
      </c>
    </row>
    <row r="118" spans="1:5" ht="11.25" customHeight="1" x14ac:dyDescent="0.25">
      <c r="A118" s="8" t="s">
        <v>649</v>
      </c>
      <c r="B118" s="8" t="s">
        <v>650</v>
      </c>
      <c r="C118" s="8" t="s">
        <v>651</v>
      </c>
      <c r="D118" s="8">
        <v>1037</v>
      </c>
      <c r="E118" s="8" t="s">
        <v>652</v>
      </c>
    </row>
    <row r="119" spans="1:5" ht="11.25" customHeight="1" x14ac:dyDescent="0.25">
      <c r="A119" s="8" t="s">
        <v>649</v>
      </c>
      <c r="B119" s="8" t="s">
        <v>650</v>
      </c>
      <c r="C119" s="8" t="s">
        <v>651</v>
      </c>
      <c r="D119" s="8">
        <v>1038</v>
      </c>
      <c r="E119" s="8" t="s">
        <v>652</v>
      </c>
    </row>
    <row r="120" spans="1:5" ht="11.25" customHeight="1" x14ac:dyDescent="0.25">
      <c r="A120" s="8" t="s">
        <v>649</v>
      </c>
      <c r="B120" s="8" t="s">
        <v>650</v>
      </c>
      <c r="C120" s="8" t="s">
        <v>651</v>
      </c>
      <c r="D120" s="8">
        <v>1039</v>
      </c>
      <c r="E120" s="8" t="s">
        <v>652</v>
      </c>
    </row>
    <row r="121" spans="1:5" ht="11.25" customHeight="1" x14ac:dyDescent="0.25">
      <c r="A121" s="8" t="s">
        <v>649</v>
      </c>
      <c r="B121" s="8" t="s">
        <v>650</v>
      </c>
      <c r="C121" s="8" t="s">
        <v>651</v>
      </c>
      <c r="D121" s="8">
        <v>1040</v>
      </c>
      <c r="E121" s="8" t="s">
        <v>652</v>
      </c>
    </row>
    <row r="122" spans="1:5" ht="11.25" customHeight="1" x14ac:dyDescent="0.25">
      <c r="A122" s="8" t="s">
        <v>649</v>
      </c>
      <c r="B122" s="8" t="s">
        <v>650</v>
      </c>
      <c r="C122" s="8" t="s">
        <v>651</v>
      </c>
      <c r="D122" s="8">
        <v>1041</v>
      </c>
      <c r="E122" s="8" t="s">
        <v>652</v>
      </c>
    </row>
    <row r="123" spans="1:5" ht="11.25" customHeight="1" x14ac:dyDescent="0.25">
      <c r="A123" s="8" t="s">
        <v>649</v>
      </c>
      <c r="B123" s="8" t="s">
        <v>650</v>
      </c>
      <c r="C123" s="8" t="s">
        <v>651</v>
      </c>
      <c r="D123" s="8">
        <v>1042</v>
      </c>
      <c r="E123" s="8" t="s">
        <v>652</v>
      </c>
    </row>
    <row r="124" spans="1:5" ht="11.25" customHeight="1" x14ac:dyDescent="0.25">
      <c r="A124" s="8" t="s">
        <v>649</v>
      </c>
      <c r="B124" s="8" t="s">
        <v>650</v>
      </c>
      <c r="C124" s="8" t="s">
        <v>651</v>
      </c>
      <c r="D124" s="8">
        <v>1043</v>
      </c>
      <c r="E124" s="8" t="s">
        <v>652</v>
      </c>
    </row>
    <row r="125" spans="1:5" ht="11.25" customHeight="1" x14ac:dyDescent="0.25">
      <c r="A125" s="8" t="s">
        <v>649</v>
      </c>
      <c r="B125" s="8" t="s">
        <v>650</v>
      </c>
      <c r="C125" s="8" t="s">
        <v>651</v>
      </c>
      <c r="D125" s="8">
        <v>1044</v>
      </c>
      <c r="E125" s="8" t="s">
        <v>652</v>
      </c>
    </row>
    <row r="126" spans="1:5" ht="11.25" customHeight="1" x14ac:dyDescent="0.25">
      <c r="A126" s="8" t="s">
        <v>649</v>
      </c>
      <c r="B126" s="8" t="s">
        <v>650</v>
      </c>
      <c r="C126" s="8" t="s">
        <v>651</v>
      </c>
      <c r="D126" s="8">
        <v>1045</v>
      </c>
      <c r="E126" s="8" t="s">
        <v>652</v>
      </c>
    </row>
    <row r="127" spans="1:5" ht="11.25" customHeight="1" x14ac:dyDescent="0.25">
      <c r="A127" s="8" t="s">
        <v>649</v>
      </c>
      <c r="B127" s="8" t="s">
        <v>650</v>
      </c>
      <c r="C127" s="8" t="s">
        <v>651</v>
      </c>
      <c r="D127" s="8">
        <v>1046</v>
      </c>
      <c r="E127" s="8" t="s">
        <v>652</v>
      </c>
    </row>
    <row r="128" spans="1:5" ht="11.25" customHeight="1" x14ac:dyDescent="0.25">
      <c r="A128" s="8" t="s">
        <v>649</v>
      </c>
      <c r="B128" s="8" t="s">
        <v>650</v>
      </c>
      <c r="C128" s="8" t="s">
        <v>651</v>
      </c>
      <c r="D128" s="8">
        <v>1097</v>
      </c>
      <c r="E128" s="8" t="s">
        <v>652</v>
      </c>
    </row>
    <row r="129" spans="1:5" ht="11.25" customHeight="1" x14ac:dyDescent="0.25">
      <c r="A129" s="8" t="s">
        <v>649</v>
      </c>
      <c r="B129" s="8" t="s">
        <v>650</v>
      </c>
      <c r="C129" s="8" t="s">
        <v>651</v>
      </c>
      <c r="D129" s="8">
        <v>1098</v>
      </c>
      <c r="E129" s="8" t="s">
        <v>652</v>
      </c>
    </row>
    <row r="130" spans="1:5" ht="11.25" customHeight="1" x14ac:dyDescent="0.25">
      <c r="A130" s="8" t="s">
        <v>649</v>
      </c>
      <c r="B130" s="8" t="s">
        <v>650</v>
      </c>
      <c r="C130" s="8" t="s">
        <v>651</v>
      </c>
      <c r="D130" s="8">
        <v>1099</v>
      </c>
      <c r="E130" s="8" t="s">
        <v>652</v>
      </c>
    </row>
    <row r="131" spans="1:5" ht="11.25" customHeight="1" x14ac:dyDescent="0.25">
      <c r="A131" s="8" t="s">
        <v>649</v>
      </c>
      <c r="B131" s="8" t="s">
        <v>650</v>
      </c>
      <c r="C131" s="8" t="s">
        <v>651</v>
      </c>
      <c r="D131" s="8">
        <v>1100</v>
      </c>
      <c r="E131" s="8" t="s">
        <v>652</v>
      </c>
    </row>
    <row r="132" spans="1:5" ht="11.25" customHeight="1" x14ac:dyDescent="0.25">
      <c r="A132" s="8" t="s">
        <v>649</v>
      </c>
      <c r="B132" s="8" t="s">
        <v>650</v>
      </c>
      <c r="C132" s="8" t="s">
        <v>651</v>
      </c>
      <c r="D132" s="8">
        <v>1101</v>
      </c>
      <c r="E132" s="8" t="s">
        <v>652</v>
      </c>
    </row>
    <row r="133" spans="1:5" ht="11.25" customHeight="1" x14ac:dyDescent="0.25">
      <c r="A133" s="8" t="s">
        <v>649</v>
      </c>
      <c r="B133" s="8" t="s">
        <v>650</v>
      </c>
      <c r="C133" s="8" t="s">
        <v>651</v>
      </c>
      <c r="D133" s="8">
        <v>1102</v>
      </c>
      <c r="E133" s="8" t="s">
        <v>652</v>
      </c>
    </row>
    <row r="134" spans="1:5" ht="11.25" customHeight="1" x14ac:dyDescent="0.25">
      <c r="A134" s="8" t="s">
        <v>649</v>
      </c>
      <c r="B134" s="8" t="s">
        <v>650</v>
      </c>
      <c r="C134" s="8" t="s">
        <v>651</v>
      </c>
      <c r="D134" s="8">
        <v>1103</v>
      </c>
      <c r="E134" s="8" t="s">
        <v>652</v>
      </c>
    </row>
    <row r="135" spans="1:5" ht="11.25" customHeight="1" x14ac:dyDescent="0.25">
      <c r="A135" s="8" t="s">
        <v>649</v>
      </c>
      <c r="B135" s="8" t="s">
        <v>650</v>
      </c>
      <c r="C135" s="8" t="s">
        <v>651</v>
      </c>
      <c r="D135" s="8">
        <v>1104</v>
      </c>
      <c r="E135" s="8" t="s">
        <v>652</v>
      </c>
    </row>
    <row r="136" spans="1:5" ht="11.25" customHeight="1" x14ac:dyDescent="0.25">
      <c r="A136" s="8" t="s">
        <v>649</v>
      </c>
      <c r="B136" s="8" t="s">
        <v>650</v>
      </c>
      <c r="C136" s="8" t="s">
        <v>651</v>
      </c>
      <c r="D136" s="8">
        <v>1105</v>
      </c>
      <c r="E136" s="8" t="s">
        <v>652</v>
      </c>
    </row>
    <row r="137" spans="1:5" ht="11.25" customHeight="1" x14ac:dyDescent="0.25">
      <c r="A137" s="8" t="s">
        <v>649</v>
      </c>
      <c r="B137" s="8" t="s">
        <v>650</v>
      </c>
      <c r="C137" s="8" t="s">
        <v>651</v>
      </c>
      <c r="D137" s="8">
        <v>1106</v>
      </c>
      <c r="E137" s="8" t="s">
        <v>652</v>
      </c>
    </row>
    <row r="138" spans="1:5" ht="11.25" customHeight="1" x14ac:dyDescent="0.25">
      <c r="A138" s="8" t="s">
        <v>649</v>
      </c>
      <c r="B138" s="8" t="s">
        <v>650</v>
      </c>
      <c r="C138" s="8" t="s">
        <v>651</v>
      </c>
      <c r="D138" s="8">
        <v>1107</v>
      </c>
      <c r="E138" s="8" t="s">
        <v>652</v>
      </c>
    </row>
    <row r="139" spans="1:5" ht="11.25" customHeight="1" x14ac:dyDescent="0.25">
      <c r="A139" s="8" t="s">
        <v>649</v>
      </c>
      <c r="B139" s="8" t="s">
        <v>650</v>
      </c>
      <c r="C139" s="8" t="s">
        <v>651</v>
      </c>
      <c r="D139" s="8">
        <v>1108</v>
      </c>
      <c r="E139" s="8" t="s">
        <v>652</v>
      </c>
    </row>
    <row r="140" spans="1:5" ht="11.25" customHeight="1" x14ac:dyDescent="0.25">
      <c r="A140" s="8" t="s">
        <v>649</v>
      </c>
      <c r="B140" s="8" t="s">
        <v>650</v>
      </c>
      <c r="C140" s="8" t="s">
        <v>651</v>
      </c>
      <c r="D140" s="8">
        <v>1109</v>
      </c>
      <c r="E140" s="8" t="s">
        <v>652</v>
      </c>
    </row>
    <row r="141" spans="1:5" ht="11.25" customHeight="1" x14ac:dyDescent="0.25">
      <c r="A141" s="8" t="s">
        <v>649</v>
      </c>
      <c r="B141" s="8" t="s">
        <v>650</v>
      </c>
      <c r="C141" s="8" t="s">
        <v>651</v>
      </c>
      <c r="D141" s="8">
        <v>1110</v>
      </c>
      <c r="E141" s="8" t="s">
        <v>652</v>
      </c>
    </row>
    <row r="142" spans="1:5" ht="11.25" customHeight="1" x14ac:dyDescent="0.25">
      <c r="A142" s="8" t="s">
        <v>649</v>
      </c>
      <c r="B142" s="8" t="s">
        <v>650</v>
      </c>
      <c r="C142" s="8" t="s">
        <v>651</v>
      </c>
      <c r="D142" s="8">
        <v>1111</v>
      </c>
      <c r="E142" s="8" t="s">
        <v>652</v>
      </c>
    </row>
    <row r="143" spans="1:5" ht="11.25" customHeight="1" x14ac:dyDescent="0.25">
      <c r="A143" s="8" t="s">
        <v>649</v>
      </c>
      <c r="B143" s="8" t="s">
        <v>650</v>
      </c>
      <c r="C143" s="8" t="s">
        <v>651</v>
      </c>
      <c r="D143" s="8">
        <v>1112</v>
      </c>
      <c r="E143" s="8" t="s">
        <v>652</v>
      </c>
    </row>
    <row r="144" spans="1:5" ht="11.25" customHeight="1" x14ac:dyDescent="0.25">
      <c r="A144" s="8" t="s">
        <v>649</v>
      </c>
      <c r="B144" s="8" t="s">
        <v>650</v>
      </c>
      <c r="C144" s="8" t="s">
        <v>651</v>
      </c>
      <c r="D144" s="8">
        <v>1113</v>
      </c>
      <c r="E144" s="8" t="s">
        <v>652</v>
      </c>
    </row>
    <row r="145" spans="1:5" ht="11.25" customHeight="1" x14ac:dyDescent="0.25">
      <c r="A145" s="8" t="s">
        <v>649</v>
      </c>
      <c r="B145" s="8" t="s">
        <v>650</v>
      </c>
      <c r="C145" s="8" t="s">
        <v>651</v>
      </c>
      <c r="D145" s="8">
        <v>1114</v>
      </c>
      <c r="E145" s="8" t="s">
        <v>652</v>
      </c>
    </row>
    <row r="146" spans="1:5" ht="11.25" customHeight="1" x14ac:dyDescent="0.25">
      <c r="A146" s="8" t="s">
        <v>649</v>
      </c>
      <c r="B146" s="8" t="s">
        <v>650</v>
      </c>
      <c r="C146" s="8" t="s">
        <v>651</v>
      </c>
      <c r="D146" s="8">
        <v>1115</v>
      </c>
      <c r="E146" s="8" t="s">
        <v>652</v>
      </c>
    </row>
    <row r="147" spans="1:5" ht="11.25" customHeight="1" x14ac:dyDescent="0.25">
      <c r="A147" s="8" t="s">
        <v>649</v>
      </c>
      <c r="B147" s="8" t="s">
        <v>650</v>
      </c>
      <c r="C147" s="8" t="s">
        <v>651</v>
      </c>
      <c r="D147" s="8">
        <v>1116</v>
      </c>
      <c r="E147" s="8" t="s">
        <v>652</v>
      </c>
    </row>
    <row r="148" spans="1:5" ht="11.25" customHeight="1" x14ac:dyDescent="0.25">
      <c r="A148" s="8" t="s">
        <v>649</v>
      </c>
      <c r="B148" s="8" t="s">
        <v>650</v>
      </c>
      <c r="C148" s="8" t="s">
        <v>651</v>
      </c>
      <c r="D148" s="8">
        <v>1117</v>
      </c>
      <c r="E148" s="8" t="s">
        <v>652</v>
      </c>
    </row>
    <row r="149" spans="1:5" ht="11.25" customHeight="1" x14ac:dyDescent="0.25">
      <c r="A149" s="8" t="s">
        <v>649</v>
      </c>
      <c r="B149" s="8" t="s">
        <v>650</v>
      </c>
      <c r="C149" s="8" t="s">
        <v>651</v>
      </c>
      <c r="D149" s="8">
        <v>1118</v>
      </c>
      <c r="E149" s="8" t="s">
        <v>652</v>
      </c>
    </row>
    <row r="150" spans="1:5" ht="11.25" customHeight="1" x14ac:dyDescent="0.25">
      <c r="A150" s="8" t="s">
        <v>649</v>
      </c>
      <c r="B150" s="8" t="s">
        <v>650</v>
      </c>
      <c r="C150" s="8" t="s">
        <v>651</v>
      </c>
      <c r="D150" s="8">
        <v>1119</v>
      </c>
      <c r="E150" s="8" t="s">
        <v>652</v>
      </c>
    </row>
    <row r="151" spans="1:5" ht="11.25" customHeight="1" x14ac:dyDescent="0.25">
      <c r="A151" s="8" t="s">
        <v>649</v>
      </c>
      <c r="B151" s="8" t="s">
        <v>650</v>
      </c>
      <c r="C151" s="8" t="s">
        <v>651</v>
      </c>
      <c r="D151" s="8">
        <v>1120</v>
      </c>
      <c r="E151" s="8" t="s">
        <v>652</v>
      </c>
    </row>
    <row r="152" spans="1:5" ht="11.25" customHeight="1" x14ac:dyDescent="0.25">
      <c r="A152" s="8" t="s">
        <v>649</v>
      </c>
      <c r="B152" s="8" t="s">
        <v>650</v>
      </c>
      <c r="C152" s="8" t="s">
        <v>651</v>
      </c>
      <c r="D152" s="8">
        <v>1121</v>
      </c>
      <c r="E152" s="8" t="s">
        <v>652</v>
      </c>
    </row>
    <row r="153" spans="1:5" ht="11.25" customHeight="1" x14ac:dyDescent="0.25">
      <c r="A153" s="8" t="s">
        <v>649</v>
      </c>
      <c r="B153" s="8" t="s">
        <v>650</v>
      </c>
      <c r="C153" s="8" t="s">
        <v>651</v>
      </c>
      <c r="D153" s="8">
        <v>1122</v>
      </c>
      <c r="E153" s="8" t="s">
        <v>652</v>
      </c>
    </row>
    <row r="154" spans="1:5" ht="11.25" customHeight="1" x14ac:dyDescent="0.25">
      <c r="A154" s="8" t="s">
        <v>649</v>
      </c>
      <c r="B154" s="8" t="s">
        <v>650</v>
      </c>
      <c r="C154" s="8" t="s">
        <v>651</v>
      </c>
      <c r="D154" s="8">
        <v>1123</v>
      </c>
      <c r="E154" s="8" t="s">
        <v>652</v>
      </c>
    </row>
    <row r="155" spans="1:5" ht="11.25" customHeight="1" x14ac:dyDescent="0.25">
      <c r="A155" s="8" t="s">
        <v>649</v>
      </c>
      <c r="B155" s="8" t="s">
        <v>650</v>
      </c>
      <c r="C155" s="8" t="s">
        <v>651</v>
      </c>
      <c r="D155" s="8">
        <v>1124</v>
      </c>
      <c r="E155" s="8" t="s">
        <v>652</v>
      </c>
    </row>
    <row r="156" spans="1:5" ht="11.25" customHeight="1" x14ac:dyDescent="0.25">
      <c r="A156" s="8" t="s">
        <v>649</v>
      </c>
      <c r="B156" s="8" t="s">
        <v>650</v>
      </c>
      <c r="C156" s="8" t="s">
        <v>651</v>
      </c>
      <c r="D156" s="8">
        <v>1125</v>
      </c>
      <c r="E156" s="8" t="s">
        <v>652</v>
      </c>
    </row>
    <row r="157" spans="1:5" ht="11.25" customHeight="1" x14ac:dyDescent="0.25">
      <c r="A157" s="8" t="s">
        <v>649</v>
      </c>
      <c r="B157" s="8" t="s">
        <v>650</v>
      </c>
      <c r="C157" s="8" t="s">
        <v>651</v>
      </c>
      <c r="D157" s="8">
        <v>1163</v>
      </c>
      <c r="E157" s="8" t="s">
        <v>652</v>
      </c>
    </row>
    <row r="158" spans="1:5" ht="11.25" customHeight="1" x14ac:dyDescent="0.25">
      <c r="A158" s="8" t="s">
        <v>649</v>
      </c>
      <c r="B158" s="8" t="s">
        <v>650</v>
      </c>
      <c r="C158" s="8" t="s">
        <v>651</v>
      </c>
      <c r="D158" s="8">
        <v>1164</v>
      </c>
      <c r="E158" s="8" t="s">
        <v>652</v>
      </c>
    </row>
    <row r="159" spans="1:5" ht="11.25" customHeight="1" x14ac:dyDescent="0.25">
      <c r="A159" s="8" t="s">
        <v>649</v>
      </c>
      <c r="B159" s="8" t="s">
        <v>650</v>
      </c>
      <c r="C159" s="8" t="s">
        <v>651</v>
      </c>
      <c r="D159" s="8">
        <v>1165</v>
      </c>
      <c r="E159" s="8" t="s">
        <v>652</v>
      </c>
    </row>
    <row r="160" spans="1:5" ht="11.25" customHeight="1" x14ac:dyDescent="0.25">
      <c r="A160" s="8" t="s">
        <v>649</v>
      </c>
      <c r="B160" s="8" t="s">
        <v>650</v>
      </c>
      <c r="C160" s="8" t="s">
        <v>651</v>
      </c>
      <c r="D160" s="8">
        <v>1166</v>
      </c>
      <c r="E160" s="8" t="s">
        <v>652</v>
      </c>
    </row>
    <row r="161" spans="1:5" ht="11.25" customHeight="1" x14ac:dyDescent="0.25">
      <c r="A161" s="8" t="s">
        <v>649</v>
      </c>
      <c r="B161" s="8" t="s">
        <v>650</v>
      </c>
      <c r="C161" s="8" t="s">
        <v>651</v>
      </c>
      <c r="D161" s="8">
        <v>1167</v>
      </c>
      <c r="E161" s="8" t="s">
        <v>652</v>
      </c>
    </row>
    <row r="162" spans="1:5" ht="11.25" customHeight="1" x14ac:dyDescent="0.25">
      <c r="A162" s="8" t="s">
        <v>649</v>
      </c>
      <c r="B162" s="8" t="s">
        <v>650</v>
      </c>
      <c r="C162" s="8" t="s">
        <v>651</v>
      </c>
      <c r="D162" s="8">
        <v>1168</v>
      </c>
      <c r="E162" s="8" t="s">
        <v>652</v>
      </c>
    </row>
    <row r="163" spans="1:5" ht="11.25" customHeight="1" x14ac:dyDescent="0.25">
      <c r="A163" s="8" t="s">
        <v>649</v>
      </c>
      <c r="B163" s="8" t="s">
        <v>650</v>
      </c>
      <c r="C163" s="8" t="s">
        <v>651</v>
      </c>
      <c r="D163" s="8">
        <v>1169</v>
      </c>
      <c r="E163" s="8" t="s">
        <v>652</v>
      </c>
    </row>
    <row r="164" spans="1:5" ht="11.25" customHeight="1" x14ac:dyDescent="0.25">
      <c r="A164" s="8" t="s">
        <v>649</v>
      </c>
      <c r="B164" s="8" t="s">
        <v>650</v>
      </c>
      <c r="C164" s="8" t="s">
        <v>651</v>
      </c>
      <c r="D164" s="8">
        <v>1170</v>
      </c>
      <c r="E164" s="8" t="s">
        <v>652</v>
      </c>
    </row>
    <row r="165" spans="1:5" ht="11.25" customHeight="1" x14ac:dyDescent="0.25">
      <c r="A165" s="8" t="s">
        <v>649</v>
      </c>
      <c r="B165" s="8" t="s">
        <v>650</v>
      </c>
      <c r="C165" s="8" t="s">
        <v>651</v>
      </c>
      <c r="D165" s="8">
        <v>1171</v>
      </c>
      <c r="E165" s="8" t="s">
        <v>652</v>
      </c>
    </row>
    <row r="166" spans="1:5" ht="11.25" customHeight="1" x14ac:dyDescent="0.25">
      <c r="A166" s="8" t="s">
        <v>649</v>
      </c>
      <c r="B166" s="8" t="s">
        <v>650</v>
      </c>
      <c r="C166" s="8" t="s">
        <v>651</v>
      </c>
      <c r="D166" s="8">
        <v>1172</v>
      </c>
      <c r="E166" s="8" t="s">
        <v>652</v>
      </c>
    </row>
    <row r="167" spans="1:5" ht="11.25" customHeight="1" x14ac:dyDescent="0.25">
      <c r="A167" s="8" t="s">
        <v>649</v>
      </c>
      <c r="B167" s="8" t="s">
        <v>650</v>
      </c>
      <c r="C167" s="8" t="s">
        <v>651</v>
      </c>
      <c r="D167" s="8">
        <v>1173</v>
      </c>
      <c r="E167" s="8" t="s">
        <v>652</v>
      </c>
    </row>
    <row r="168" spans="1:5" ht="11.25" customHeight="1" x14ac:dyDescent="0.25">
      <c r="A168" s="8" t="s">
        <v>649</v>
      </c>
      <c r="B168" s="8" t="s">
        <v>650</v>
      </c>
      <c r="C168" s="8" t="s">
        <v>651</v>
      </c>
      <c r="D168" s="8">
        <v>1174</v>
      </c>
      <c r="E168" s="8" t="s">
        <v>652</v>
      </c>
    </row>
    <row r="169" spans="1:5" ht="11.25" customHeight="1" x14ac:dyDescent="0.25">
      <c r="A169" s="8" t="s">
        <v>649</v>
      </c>
      <c r="B169" s="8" t="s">
        <v>650</v>
      </c>
      <c r="C169" s="8" t="s">
        <v>651</v>
      </c>
      <c r="D169" s="8">
        <v>1175</v>
      </c>
      <c r="E169" s="8" t="s">
        <v>652</v>
      </c>
    </row>
    <row r="170" spans="1:5" ht="11.25" customHeight="1" x14ac:dyDescent="0.25">
      <c r="A170" s="8" t="s">
        <v>649</v>
      </c>
      <c r="B170" s="8" t="s">
        <v>650</v>
      </c>
      <c r="C170" s="8" t="s">
        <v>651</v>
      </c>
      <c r="D170" s="8">
        <v>1176</v>
      </c>
      <c r="E170" s="8" t="s">
        <v>652</v>
      </c>
    </row>
    <row r="171" spans="1:5" ht="11.25" customHeight="1" x14ac:dyDescent="0.25">
      <c r="A171" s="8" t="s">
        <v>649</v>
      </c>
      <c r="C171" s="8" t="s">
        <v>945</v>
      </c>
      <c r="D171" s="8">
        <v>27</v>
      </c>
      <c r="E171" s="8" t="s">
        <v>9</v>
      </c>
    </row>
    <row r="172" spans="1:5" ht="11.25" customHeight="1" x14ac:dyDescent="0.25">
      <c r="A172" s="8" t="s">
        <v>649</v>
      </c>
      <c r="C172" s="8" t="s">
        <v>945</v>
      </c>
      <c r="D172" s="8">
        <v>27</v>
      </c>
      <c r="E172" s="8" t="s">
        <v>9</v>
      </c>
    </row>
    <row r="173" spans="1:5" ht="11.25" customHeight="1" x14ac:dyDescent="0.25">
      <c r="A173" s="8" t="s">
        <v>649</v>
      </c>
      <c r="C173" s="8" t="s">
        <v>945</v>
      </c>
      <c r="D173" s="8">
        <v>27</v>
      </c>
      <c r="E173" s="8" t="s">
        <v>9</v>
      </c>
    </row>
    <row r="174" spans="1:5" ht="11.25" customHeight="1" x14ac:dyDescent="0.25">
      <c r="A174" s="8" t="s">
        <v>649</v>
      </c>
      <c r="C174" s="8" t="s">
        <v>945</v>
      </c>
      <c r="D174" s="8">
        <v>27</v>
      </c>
      <c r="E174" s="8" t="s">
        <v>9</v>
      </c>
    </row>
    <row r="175" spans="1:5" ht="11.25" customHeight="1" x14ac:dyDescent="0.25">
      <c r="A175" s="8" t="s">
        <v>649</v>
      </c>
      <c r="C175" s="8" t="s">
        <v>945</v>
      </c>
      <c r="D175" s="8">
        <v>27</v>
      </c>
      <c r="E175" s="8" t="s">
        <v>9</v>
      </c>
    </row>
    <row r="176" spans="1:5" ht="11.25" customHeight="1" x14ac:dyDescent="0.25">
      <c r="A176" s="8" t="s">
        <v>649</v>
      </c>
      <c r="C176" s="8" t="s">
        <v>945</v>
      </c>
      <c r="D176" s="8">
        <v>27</v>
      </c>
      <c r="E176" s="8" t="s">
        <v>9</v>
      </c>
    </row>
    <row r="177" spans="1:5" ht="11.25" customHeight="1" x14ac:dyDescent="0.25">
      <c r="A177" s="8" t="s">
        <v>649</v>
      </c>
      <c r="C177" s="8" t="s">
        <v>945</v>
      </c>
      <c r="D177" s="8">
        <v>27</v>
      </c>
      <c r="E177" s="8" t="s">
        <v>9</v>
      </c>
    </row>
    <row r="178" spans="1:5" ht="11.25" customHeight="1" x14ac:dyDescent="0.25">
      <c r="A178" s="8" t="s">
        <v>649</v>
      </c>
      <c r="C178" s="8" t="s">
        <v>945</v>
      </c>
      <c r="D178" s="8">
        <v>27</v>
      </c>
      <c r="E178" s="8" t="s">
        <v>9</v>
      </c>
    </row>
    <row r="179" spans="1:5" ht="11.25" customHeight="1" x14ac:dyDescent="0.25">
      <c r="A179" s="8" t="s">
        <v>649</v>
      </c>
      <c r="C179" s="8" t="s">
        <v>945</v>
      </c>
      <c r="D179" s="8">
        <v>27</v>
      </c>
      <c r="E179" s="8" t="s">
        <v>9</v>
      </c>
    </row>
    <row r="180" spans="1:5" ht="11.25" customHeight="1" x14ac:dyDescent="0.25">
      <c r="A180" s="8" t="s">
        <v>649</v>
      </c>
      <c r="C180" s="8" t="s">
        <v>945</v>
      </c>
      <c r="D180" s="8">
        <v>27</v>
      </c>
      <c r="E180" s="8" t="s">
        <v>9</v>
      </c>
    </row>
    <row r="181" spans="1:5" ht="11.25" customHeight="1" x14ac:dyDescent="0.25">
      <c r="A181" s="8" t="s">
        <v>649</v>
      </c>
      <c r="C181" s="8" t="s">
        <v>945</v>
      </c>
      <c r="D181" s="8">
        <v>27</v>
      </c>
      <c r="E181" s="8" t="s">
        <v>9</v>
      </c>
    </row>
    <row r="182" spans="1:5" ht="11.25" customHeight="1" x14ac:dyDescent="0.25">
      <c r="A182" s="8" t="s">
        <v>649</v>
      </c>
      <c r="C182" s="8" t="s">
        <v>945</v>
      </c>
      <c r="D182" s="8">
        <v>27</v>
      </c>
      <c r="E182" s="8" t="s">
        <v>9</v>
      </c>
    </row>
    <row r="183" spans="1:5" ht="11.25" customHeight="1" x14ac:dyDescent="0.25">
      <c r="A183" s="8" t="s">
        <v>649</v>
      </c>
      <c r="C183" s="8" t="s">
        <v>945</v>
      </c>
      <c r="D183" s="8">
        <v>27</v>
      </c>
      <c r="E183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C688-380F-44A6-9486-1E6003C61921}">
  <dimension ref="A1:AX113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7" width="10.28515625" style="8" bestFit="1" customWidth="1"/>
    <col min="8" max="8" width="19.42578125" style="8" bestFit="1" customWidth="1"/>
    <col min="9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46" t="s">
        <v>985</v>
      </c>
      <c r="B1" s="46" t="s">
        <v>974</v>
      </c>
      <c r="C1" s="46" t="s">
        <v>1</v>
      </c>
      <c r="D1" s="46" t="s">
        <v>2</v>
      </c>
      <c r="E1" s="46" t="s">
        <v>3</v>
      </c>
      <c r="F1" s="46" t="s">
        <v>4</v>
      </c>
      <c r="G1" s="46" t="s">
        <v>5</v>
      </c>
      <c r="H1" s="46" t="s">
        <v>6</v>
      </c>
      <c r="I1" s="46" t="s">
        <v>7</v>
      </c>
      <c r="J1" s="46" t="s">
        <v>975</v>
      </c>
      <c r="K1" s="46" t="s">
        <v>976</v>
      </c>
      <c r="L1" s="46" t="s">
        <v>977</v>
      </c>
      <c r="M1" s="46" t="s">
        <v>978</v>
      </c>
      <c r="N1" s="46" t="s">
        <v>979</v>
      </c>
      <c r="O1" s="46" t="s">
        <v>878</v>
      </c>
      <c r="P1" s="46" t="s">
        <v>864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47">
        <v>1</v>
      </c>
      <c r="B2" s="47" t="s">
        <v>858</v>
      </c>
      <c r="C2" s="47" t="s">
        <v>39</v>
      </c>
      <c r="D2" s="47" t="s">
        <v>40</v>
      </c>
      <c r="E2" s="47" t="s">
        <v>25</v>
      </c>
      <c r="F2" s="47" t="s">
        <v>25</v>
      </c>
      <c r="G2" s="47" t="s">
        <v>58</v>
      </c>
      <c r="H2" s="47" t="s">
        <v>25</v>
      </c>
      <c r="I2" s="47" t="s">
        <v>25</v>
      </c>
      <c r="J2" s="47" t="s">
        <v>980</v>
      </c>
      <c r="K2" s="47" t="s">
        <v>981</v>
      </c>
      <c r="L2" s="47" t="s">
        <v>93</v>
      </c>
      <c r="M2" s="47">
        <v>2021</v>
      </c>
      <c r="N2" s="47">
        <v>0</v>
      </c>
      <c r="O2" s="47">
        <v>6.53</v>
      </c>
      <c r="P2" s="47">
        <v>0</v>
      </c>
    </row>
    <row r="3" spans="1:50" ht="11.25" customHeight="1" x14ac:dyDescent="0.25">
      <c r="A3" s="47">
        <v>2</v>
      </c>
      <c r="B3" s="47" t="s">
        <v>858</v>
      </c>
      <c r="C3" s="47" t="s">
        <v>39</v>
      </c>
      <c r="D3" s="47" t="s">
        <v>61</v>
      </c>
      <c r="E3" s="47" t="s">
        <v>25</v>
      </c>
      <c r="F3" s="47" t="s">
        <v>25</v>
      </c>
      <c r="G3" s="47" t="s">
        <v>25</v>
      </c>
      <c r="H3" s="47" t="s">
        <v>982</v>
      </c>
      <c r="I3" s="47" t="s">
        <v>34</v>
      </c>
      <c r="J3" s="47" t="s">
        <v>983</v>
      </c>
      <c r="K3" s="47" t="s">
        <v>981</v>
      </c>
      <c r="L3" s="47" t="s">
        <v>99</v>
      </c>
      <c r="M3" s="47">
        <v>2021</v>
      </c>
      <c r="N3" s="47">
        <v>0</v>
      </c>
      <c r="O3" s="47">
        <v>0</v>
      </c>
      <c r="P3" s="47">
        <v>0</v>
      </c>
    </row>
    <row r="4" spans="1:50" ht="11.25" customHeight="1" x14ac:dyDescent="0.25">
      <c r="A4" s="47">
        <v>3</v>
      </c>
      <c r="B4" s="47" t="s">
        <v>858</v>
      </c>
      <c r="C4" s="47" t="s">
        <v>39</v>
      </c>
      <c r="D4" s="47" t="s">
        <v>61</v>
      </c>
      <c r="E4" s="47" t="s">
        <v>25</v>
      </c>
      <c r="F4" s="47" t="s">
        <v>25</v>
      </c>
      <c r="G4" s="47" t="s">
        <v>25</v>
      </c>
      <c r="H4" s="47" t="s">
        <v>982</v>
      </c>
      <c r="I4" s="47" t="s">
        <v>35</v>
      </c>
      <c r="J4" s="47" t="s">
        <v>983</v>
      </c>
      <c r="K4" s="47" t="s">
        <v>981</v>
      </c>
      <c r="L4" s="47" t="s">
        <v>99</v>
      </c>
      <c r="M4" s="47">
        <v>2021</v>
      </c>
      <c r="N4" s="47">
        <v>0</v>
      </c>
      <c r="O4" s="47">
        <v>0</v>
      </c>
      <c r="P4" s="47">
        <v>0</v>
      </c>
    </row>
    <row r="5" spans="1:50" ht="11.25" customHeight="1" x14ac:dyDescent="0.25">
      <c r="A5" s="47">
        <v>4</v>
      </c>
      <c r="B5" s="47" t="s">
        <v>858</v>
      </c>
      <c r="C5" s="47" t="s">
        <v>39</v>
      </c>
      <c r="D5" s="47" t="s">
        <v>40</v>
      </c>
      <c r="E5" s="47" t="s">
        <v>25</v>
      </c>
      <c r="F5" s="47" t="s">
        <v>25</v>
      </c>
      <c r="G5" s="47" t="s">
        <v>25</v>
      </c>
      <c r="H5" s="47" t="s">
        <v>25</v>
      </c>
      <c r="I5" s="47" t="s">
        <v>34</v>
      </c>
      <c r="J5" s="47" t="s">
        <v>983</v>
      </c>
      <c r="K5" s="47" t="s">
        <v>981</v>
      </c>
      <c r="L5" s="47" t="s">
        <v>99</v>
      </c>
      <c r="M5" s="47">
        <v>2021</v>
      </c>
      <c r="N5" s="47">
        <v>0</v>
      </c>
      <c r="O5" s="47">
        <v>28.34</v>
      </c>
      <c r="P5" s="47">
        <v>0</v>
      </c>
    </row>
    <row r="6" spans="1:50" ht="11.25" customHeight="1" x14ac:dyDescent="0.25">
      <c r="A6" s="47">
        <v>5</v>
      </c>
      <c r="B6" s="47" t="s">
        <v>858</v>
      </c>
      <c r="C6" s="47" t="s">
        <v>39</v>
      </c>
      <c r="D6" s="47" t="s">
        <v>40</v>
      </c>
      <c r="E6" s="47" t="s">
        <v>25</v>
      </c>
      <c r="F6" s="47" t="s">
        <v>25</v>
      </c>
      <c r="G6" s="47" t="s">
        <v>25</v>
      </c>
      <c r="H6" s="47" t="s">
        <v>25</v>
      </c>
      <c r="I6" s="47" t="s">
        <v>35</v>
      </c>
      <c r="J6" s="47" t="s">
        <v>983</v>
      </c>
      <c r="K6" s="47" t="s">
        <v>981</v>
      </c>
      <c r="L6" s="47" t="s">
        <v>99</v>
      </c>
      <c r="M6" s="47">
        <v>2021</v>
      </c>
      <c r="N6" s="47">
        <v>0</v>
      </c>
      <c r="O6" s="47">
        <v>11.59</v>
      </c>
      <c r="P6" s="47">
        <v>0</v>
      </c>
    </row>
    <row r="7" spans="1:50" ht="11.25" customHeight="1" x14ac:dyDescent="0.25">
      <c r="A7" s="47">
        <v>6</v>
      </c>
      <c r="B7" s="47" t="s">
        <v>858</v>
      </c>
      <c r="C7" s="47" t="s">
        <v>39</v>
      </c>
      <c r="D7" s="47" t="s">
        <v>40</v>
      </c>
      <c r="E7" s="47" t="s">
        <v>25</v>
      </c>
      <c r="F7" s="47" t="s">
        <v>25</v>
      </c>
      <c r="G7" s="47" t="s">
        <v>25</v>
      </c>
      <c r="H7" s="47" t="s">
        <v>25</v>
      </c>
      <c r="I7" s="47" t="s">
        <v>25</v>
      </c>
      <c r="J7" s="47" t="s">
        <v>980</v>
      </c>
      <c r="K7" s="47" t="s">
        <v>981</v>
      </c>
      <c r="L7" s="47" t="s">
        <v>93</v>
      </c>
      <c r="M7" s="47">
        <v>2021</v>
      </c>
      <c r="N7" s="47">
        <v>0</v>
      </c>
      <c r="O7" s="47">
        <v>35.86</v>
      </c>
      <c r="P7" s="47">
        <v>15.4281789425299</v>
      </c>
    </row>
    <row r="8" spans="1:50" ht="11.25" customHeight="1" x14ac:dyDescent="0.25">
      <c r="A8" s="47">
        <v>7</v>
      </c>
      <c r="B8" s="47" t="s">
        <v>886</v>
      </c>
      <c r="C8" s="47" t="s">
        <v>37</v>
      </c>
      <c r="D8" s="47" t="s">
        <v>103</v>
      </c>
      <c r="E8" s="47" t="s">
        <v>25</v>
      </c>
      <c r="F8" s="47" t="s">
        <v>25</v>
      </c>
      <c r="G8" s="47" t="s">
        <v>25</v>
      </c>
      <c r="H8" s="47" t="s">
        <v>25</v>
      </c>
      <c r="I8" s="47" t="s">
        <v>25</v>
      </c>
      <c r="J8" s="47" t="s">
        <v>980</v>
      </c>
      <c r="K8" s="47" t="s">
        <v>981</v>
      </c>
      <c r="L8" s="47" t="s">
        <v>93</v>
      </c>
      <c r="M8" s="47">
        <v>2021</v>
      </c>
      <c r="N8" s="47">
        <v>0</v>
      </c>
      <c r="O8" s="47">
        <v>234.24</v>
      </c>
      <c r="P8" s="47"/>
    </row>
    <row r="9" spans="1:50" ht="11.25" customHeight="1" x14ac:dyDescent="0.25">
      <c r="A9" s="47">
        <v>8</v>
      </c>
      <c r="B9" s="47" t="s">
        <v>886</v>
      </c>
      <c r="C9" s="47" t="s">
        <v>37</v>
      </c>
      <c r="D9" s="47" t="s">
        <v>108</v>
      </c>
      <c r="E9" s="47" t="s">
        <v>25</v>
      </c>
      <c r="F9" s="47" t="s">
        <v>25</v>
      </c>
      <c r="G9" s="47" t="s">
        <v>25</v>
      </c>
      <c r="H9" s="47" t="s">
        <v>25</v>
      </c>
      <c r="I9" s="47" t="s">
        <v>25</v>
      </c>
      <c r="J9" s="47" t="s">
        <v>980</v>
      </c>
      <c r="K9" s="47" t="s">
        <v>981</v>
      </c>
      <c r="L9" s="47" t="s">
        <v>93</v>
      </c>
      <c r="M9" s="47">
        <v>2021</v>
      </c>
      <c r="N9" s="47">
        <v>0</v>
      </c>
      <c r="O9" s="47">
        <v>234.24</v>
      </c>
      <c r="P9" s="47"/>
    </row>
    <row r="10" spans="1:50" ht="11.25" customHeight="1" x14ac:dyDescent="0.25">
      <c r="A10" s="47">
        <v>9</v>
      </c>
      <c r="B10" s="47" t="s">
        <v>886</v>
      </c>
      <c r="C10" s="47" t="s">
        <v>47</v>
      </c>
      <c r="D10" s="47" t="s">
        <v>103</v>
      </c>
      <c r="E10" s="47" t="s">
        <v>48</v>
      </c>
      <c r="F10" s="47" t="s">
        <v>49</v>
      </c>
      <c r="G10" s="47" t="s">
        <v>25</v>
      </c>
      <c r="H10" s="47" t="s">
        <v>25</v>
      </c>
      <c r="I10" s="47" t="s">
        <v>25</v>
      </c>
      <c r="J10" s="47" t="s">
        <v>980</v>
      </c>
      <c r="K10" s="47" t="s">
        <v>981</v>
      </c>
      <c r="L10" s="47" t="s">
        <v>93</v>
      </c>
      <c r="M10" s="47">
        <v>2021</v>
      </c>
      <c r="N10" s="47">
        <v>0</v>
      </c>
      <c r="O10" s="47">
        <v>128.83000000000001</v>
      </c>
      <c r="P10" s="47"/>
    </row>
    <row r="11" spans="1:50" ht="11.25" customHeight="1" x14ac:dyDescent="0.25">
      <c r="A11" s="47">
        <v>10</v>
      </c>
      <c r="B11" s="47" t="s">
        <v>858</v>
      </c>
      <c r="C11" s="47" t="s">
        <v>39</v>
      </c>
      <c r="D11" s="47" t="s">
        <v>69</v>
      </c>
      <c r="E11" s="47" t="s">
        <v>25</v>
      </c>
      <c r="F11" s="47" t="s">
        <v>25</v>
      </c>
      <c r="G11" s="47" t="s">
        <v>25</v>
      </c>
      <c r="H11" s="47" t="s">
        <v>25</v>
      </c>
      <c r="I11" s="47" t="s">
        <v>25</v>
      </c>
      <c r="J11" s="47" t="s">
        <v>983</v>
      </c>
      <c r="K11" s="47" t="s">
        <v>981</v>
      </c>
      <c r="L11" s="47" t="s">
        <v>99</v>
      </c>
      <c r="M11" s="47">
        <v>2021</v>
      </c>
      <c r="N11" s="47">
        <v>0</v>
      </c>
      <c r="O11" s="47">
        <v>10.55</v>
      </c>
      <c r="P11" s="47">
        <v>0</v>
      </c>
    </row>
    <row r="12" spans="1:50" ht="11.25" customHeight="1" x14ac:dyDescent="0.25">
      <c r="A12" s="47">
        <v>11</v>
      </c>
      <c r="B12" s="47" t="s">
        <v>858</v>
      </c>
      <c r="C12" s="47" t="s">
        <v>41</v>
      </c>
      <c r="D12" s="47" t="s">
        <v>40</v>
      </c>
      <c r="E12" s="47" t="s">
        <v>25</v>
      </c>
      <c r="F12" s="47" t="s">
        <v>25</v>
      </c>
      <c r="G12" s="47" t="s">
        <v>25</v>
      </c>
      <c r="H12" s="47" t="s">
        <v>25</v>
      </c>
      <c r="I12" s="47" t="s">
        <v>34</v>
      </c>
      <c r="J12" s="47" t="s">
        <v>983</v>
      </c>
      <c r="K12" s="47" t="s">
        <v>981</v>
      </c>
      <c r="L12" s="47" t="s">
        <v>99</v>
      </c>
      <c r="M12" s="47">
        <v>2021</v>
      </c>
      <c r="N12" s="47">
        <v>0</v>
      </c>
      <c r="O12" s="47">
        <v>62.23</v>
      </c>
      <c r="P12" s="47">
        <v>0</v>
      </c>
    </row>
    <row r="13" spans="1:50" ht="11.25" customHeight="1" x14ac:dyDescent="0.25">
      <c r="A13" s="47">
        <v>12</v>
      </c>
      <c r="B13" s="47" t="s">
        <v>858</v>
      </c>
      <c r="C13" s="47" t="s">
        <v>41</v>
      </c>
      <c r="D13" s="47" t="s">
        <v>40</v>
      </c>
      <c r="E13" s="47" t="s">
        <v>25</v>
      </c>
      <c r="F13" s="47" t="s">
        <v>25</v>
      </c>
      <c r="G13" s="47" t="s">
        <v>25</v>
      </c>
      <c r="H13" s="47" t="s">
        <v>25</v>
      </c>
      <c r="I13" s="47" t="s">
        <v>35</v>
      </c>
      <c r="J13" s="47" t="s">
        <v>983</v>
      </c>
      <c r="K13" s="47" t="s">
        <v>981</v>
      </c>
      <c r="L13" s="47" t="s">
        <v>99</v>
      </c>
      <c r="M13" s="47">
        <v>2021</v>
      </c>
      <c r="N13" s="47">
        <v>0</v>
      </c>
      <c r="O13" s="47">
        <v>24.31</v>
      </c>
      <c r="P13" s="47">
        <v>0</v>
      </c>
    </row>
    <row r="14" spans="1:50" ht="11.25" customHeight="1" x14ac:dyDescent="0.25">
      <c r="A14" s="47">
        <v>13</v>
      </c>
      <c r="B14" s="47" t="s">
        <v>858</v>
      </c>
      <c r="C14" s="47" t="s">
        <v>41</v>
      </c>
      <c r="D14" s="47" t="s">
        <v>61</v>
      </c>
      <c r="E14" s="47" t="s">
        <v>25</v>
      </c>
      <c r="F14" s="47" t="s">
        <v>25</v>
      </c>
      <c r="G14" s="47" t="s">
        <v>25</v>
      </c>
      <c r="H14" s="47" t="s">
        <v>68</v>
      </c>
      <c r="I14" s="47" t="s">
        <v>34</v>
      </c>
      <c r="J14" s="47" t="s">
        <v>983</v>
      </c>
      <c r="K14" s="47" t="s">
        <v>981</v>
      </c>
      <c r="L14" s="47" t="s">
        <v>99</v>
      </c>
      <c r="M14" s="47">
        <v>2021</v>
      </c>
      <c r="N14" s="47">
        <v>0</v>
      </c>
      <c r="O14" s="47">
        <v>29.89</v>
      </c>
      <c r="P14" s="47">
        <v>0</v>
      </c>
    </row>
    <row r="15" spans="1:50" ht="11.25" customHeight="1" x14ac:dyDescent="0.25">
      <c r="A15" s="47">
        <v>14</v>
      </c>
      <c r="B15" s="47" t="s">
        <v>858</v>
      </c>
      <c r="C15" s="47" t="s">
        <v>41</v>
      </c>
      <c r="D15" s="47" t="s">
        <v>61</v>
      </c>
      <c r="E15" s="47" t="s">
        <v>25</v>
      </c>
      <c r="F15" s="47" t="s">
        <v>25</v>
      </c>
      <c r="G15" s="47" t="s">
        <v>25</v>
      </c>
      <c r="H15" s="47" t="s">
        <v>68</v>
      </c>
      <c r="I15" s="47" t="s">
        <v>35</v>
      </c>
      <c r="J15" s="47" t="s">
        <v>983</v>
      </c>
      <c r="K15" s="47" t="s">
        <v>981</v>
      </c>
      <c r="L15" s="47" t="s">
        <v>99</v>
      </c>
      <c r="M15" s="47">
        <v>2021</v>
      </c>
      <c r="N15" s="47">
        <v>0</v>
      </c>
      <c r="O15" s="47">
        <v>15.06</v>
      </c>
      <c r="P15" s="47">
        <v>0</v>
      </c>
    </row>
    <row r="16" spans="1:50" ht="11.25" customHeight="1" x14ac:dyDescent="0.25">
      <c r="A16" s="47">
        <v>15</v>
      </c>
      <c r="B16" s="47" t="s">
        <v>858</v>
      </c>
      <c r="C16" s="47" t="s">
        <v>41</v>
      </c>
      <c r="D16" s="47" t="s">
        <v>61</v>
      </c>
      <c r="E16" s="47" t="s">
        <v>25</v>
      </c>
      <c r="F16" s="47" t="s">
        <v>25</v>
      </c>
      <c r="G16" s="47" t="s">
        <v>25</v>
      </c>
      <c r="H16" s="47" t="s">
        <v>68</v>
      </c>
      <c r="I16" s="47" t="s">
        <v>25</v>
      </c>
      <c r="J16" s="47" t="s">
        <v>980</v>
      </c>
      <c r="K16" s="47" t="s">
        <v>981</v>
      </c>
      <c r="L16" s="47" t="s">
        <v>93</v>
      </c>
      <c r="M16" s="47">
        <v>2021</v>
      </c>
      <c r="N16" s="47">
        <v>0</v>
      </c>
      <c r="O16" s="47">
        <v>9.65</v>
      </c>
      <c r="P16" s="47">
        <v>0</v>
      </c>
    </row>
    <row r="17" spans="1:16" ht="11.25" customHeight="1" x14ac:dyDescent="0.25">
      <c r="A17" s="47">
        <v>16</v>
      </c>
      <c r="B17" s="47" t="s">
        <v>858</v>
      </c>
      <c r="C17" s="47" t="s">
        <v>41</v>
      </c>
      <c r="D17" s="47" t="s">
        <v>61</v>
      </c>
      <c r="E17" s="47" t="s">
        <v>25</v>
      </c>
      <c r="F17" s="47" t="s">
        <v>25</v>
      </c>
      <c r="G17" s="47" t="s">
        <v>25</v>
      </c>
      <c r="H17" s="47" t="s">
        <v>62</v>
      </c>
      <c r="I17" s="47" t="s">
        <v>25</v>
      </c>
      <c r="J17" s="47" t="s">
        <v>980</v>
      </c>
      <c r="K17" s="47" t="s">
        <v>981</v>
      </c>
      <c r="L17" s="47" t="s">
        <v>93</v>
      </c>
      <c r="M17" s="47">
        <v>2021</v>
      </c>
      <c r="N17" s="47">
        <v>0</v>
      </c>
      <c r="O17" s="47">
        <v>9.65</v>
      </c>
      <c r="P17" s="47">
        <v>0</v>
      </c>
    </row>
    <row r="18" spans="1:16" ht="11.25" customHeight="1" x14ac:dyDescent="0.25">
      <c r="A18" s="47">
        <v>17</v>
      </c>
      <c r="B18" s="47" t="s">
        <v>858</v>
      </c>
      <c r="C18" s="47" t="s">
        <v>41</v>
      </c>
      <c r="D18" s="47" t="s">
        <v>61</v>
      </c>
      <c r="E18" s="47" t="s">
        <v>25</v>
      </c>
      <c r="F18" s="47" t="s">
        <v>25</v>
      </c>
      <c r="G18" s="47" t="s">
        <v>25</v>
      </c>
      <c r="H18" s="47" t="s">
        <v>67</v>
      </c>
      <c r="I18" s="47" t="s">
        <v>34</v>
      </c>
      <c r="J18" s="47" t="s">
        <v>983</v>
      </c>
      <c r="K18" s="47" t="s">
        <v>981</v>
      </c>
      <c r="L18" s="47" t="s">
        <v>99</v>
      </c>
      <c r="M18" s="47">
        <v>2021</v>
      </c>
      <c r="N18" s="47">
        <v>0</v>
      </c>
      <c r="O18" s="47">
        <v>29.89</v>
      </c>
      <c r="P18" s="47">
        <v>0</v>
      </c>
    </row>
    <row r="19" spans="1:16" ht="11.25" customHeight="1" x14ac:dyDescent="0.25">
      <c r="A19" s="47">
        <v>18</v>
      </c>
      <c r="B19" s="47" t="s">
        <v>858</v>
      </c>
      <c r="C19" s="47" t="s">
        <v>41</v>
      </c>
      <c r="D19" s="47" t="s">
        <v>61</v>
      </c>
      <c r="E19" s="47" t="s">
        <v>25</v>
      </c>
      <c r="F19" s="47" t="s">
        <v>25</v>
      </c>
      <c r="G19" s="47" t="s">
        <v>25</v>
      </c>
      <c r="H19" s="47" t="s">
        <v>67</v>
      </c>
      <c r="I19" s="47" t="s">
        <v>35</v>
      </c>
      <c r="J19" s="47" t="s">
        <v>983</v>
      </c>
      <c r="K19" s="47" t="s">
        <v>981</v>
      </c>
      <c r="L19" s="47" t="s">
        <v>99</v>
      </c>
      <c r="M19" s="47">
        <v>2021</v>
      </c>
      <c r="N19" s="47">
        <v>0</v>
      </c>
      <c r="O19" s="47">
        <v>15.06</v>
      </c>
      <c r="P19" s="47">
        <v>0</v>
      </c>
    </row>
    <row r="20" spans="1:16" ht="11.25" customHeight="1" x14ac:dyDescent="0.25">
      <c r="A20" s="47">
        <v>19</v>
      </c>
      <c r="B20" s="47" t="s">
        <v>858</v>
      </c>
      <c r="C20" s="47" t="s">
        <v>41</v>
      </c>
      <c r="D20" s="47" t="s">
        <v>61</v>
      </c>
      <c r="E20" s="47" t="s">
        <v>25</v>
      </c>
      <c r="F20" s="47" t="s">
        <v>25</v>
      </c>
      <c r="G20" s="47" t="s">
        <v>25</v>
      </c>
      <c r="H20" s="47" t="s">
        <v>67</v>
      </c>
      <c r="I20" s="47" t="s">
        <v>25</v>
      </c>
      <c r="J20" s="47" t="s">
        <v>980</v>
      </c>
      <c r="K20" s="47" t="s">
        <v>981</v>
      </c>
      <c r="L20" s="47" t="s">
        <v>93</v>
      </c>
      <c r="M20" s="47">
        <v>2021</v>
      </c>
      <c r="N20" s="47">
        <v>0</v>
      </c>
      <c r="O20" s="47">
        <v>9.65</v>
      </c>
      <c r="P20" s="47">
        <v>0</v>
      </c>
    </row>
    <row r="21" spans="1:16" ht="11.25" customHeight="1" x14ac:dyDescent="0.25">
      <c r="A21" s="47">
        <v>20</v>
      </c>
      <c r="B21" s="47" t="s">
        <v>858</v>
      </c>
      <c r="C21" s="47" t="s">
        <v>41</v>
      </c>
      <c r="D21" s="47" t="s">
        <v>42</v>
      </c>
      <c r="E21" s="47" t="s">
        <v>25</v>
      </c>
      <c r="F21" s="47" t="s">
        <v>25</v>
      </c>
      <c r="G21" s="47" t="s">
        <v>25</v>
      </c>
      <c r="H21" s="47" t="s">
        <v>25</v>
      </c>
      <c r="I21" s="47" t="s">
        <v>34</v>
      </c>
      <c r="J21" s="47" t="s">
        <v>980</v>
      </c>
      <c r="K21" s="47" t="s">
        <v>981</v>
      </c>
      <c r="L21" s="47" t="s">
        <v>93</v>
      </c>
      <c r="M21" s="47">
        <v>2021</v>
      </c>
      <c r="N21" s="47">
        <v>0</v>
      </c>
      <c r="O21" s="47">
        <v>1564.59</v>
      </c>
      <c r="P21" s="47">
        <v>20.033605492538801</v>
      </c>
    </row>
    <row r="22" spans="1:16" ht="11.25" customHeight="1" x14ac:dyDescent="0.25">
      <c r="A22" s="47">
        <v>21</v>
      </c>
      <c r="B22" s="47" t="s">
        <v>858</v>
      </c>
      <c r="C22" s="47" t="s">
        <v>41</v>
      </c>
      <c r="D22" s="47" t="s">
        <v>42</v>
      </c>
      <c r="E22" s="47" t="s">
        <v>25</v>
      </c>
      <c r="F22" s="47" t="s">
        <v>25</v>
      </c>
      <c r="G22" s="47" t="s">
        <v>25</v>
      </c>
      <c r="H22" s="47" t="s">
        <v>25</v>
      </c>
      <c r="I22" s="47" t="s">
        <v>35</v>
      </c>
      <c r="J22" s="47" t="s">
        <v>980</v>
      </c>
      <c r="K22" s="47" t="s">
        <v>981</v>
      </c>
      <c r="L22" s="47" t="s">
        <v>93</v>
      </c>
      <c r="M22" s="47">
        <v>2021</v>
      </c>
      <c r="N22" s="47">
        <v>0</v>
      </c>
      <c r="O22" s="47">
        <v>51.27</v>
      </c>
      <c r="P22" s="47">
        <v>20.033605492538801</v>
      </c>
    </row>
    <row r="23" spans="1:16" ht="11.25" customHeight="1" x14ac:dyDescent="0.25">
      <c r="A23" s="47">
        <v>22</v>
      </c>
      <c r="B23" s="47" t="s">
        <v>858</v>
      </c>
      <c r="C23" s="47" t="s">
        <v>41</v>
      </c>
      <c r="D23" s="47" t="s">
        <v>42</v>
      </c>
      <c r="E23" s="47" t="s">
        <v>25</v>
      </c>
      <c r="F23" s="47" t="s">
        <v>25</v>
      </c>
      <c r="G23" s="47" t="s">
        <v>58</v>
      </c>
      <c r="H23" s="47" t="s">
        <v>25</v>
      </c>
      <c r="I23" s="47" t="s">
        <v>34</v>
      </c>
      <c r="J23" s="47" t="s">
        <v>980</v>
      </c>
      <c r="K23" s="47" t="s">
        <v>981</v>
      </c>
      <c r="L23" s="47" t="s">
        <v>93</v>
      </c>
      <c r="M23" s="47">
        <v>2021</v>
      </c>
      <c r="N23" s="47">
        <v>0</v>
      </c>
      <c r="O23" s="47">
        <v>1529.79</v>
      </c>
      <c r="P23" s="47">
        <v>0</v>
      </c>
    </row>
    <row r="24" spans="1:16" ht="11.25" customHeight="1" x14ac:dyDescent="0.25">
      <c r="A24" s="47">
        <v>23</v>
      </c>
      <c r="B24" s="47" t="s">
        <v>858</v>
      </c>
      <c r="C24" s="47" t="s">
        <v>104</v>
      </c>
      <c r="D24" s="47" t="s">
        <v>69</v>
      </c>
      <c r="E24" s="47" t="s">
        <v>25</v>
      </c>
      <c r="F24" s="47" t="s">
        <v>25</v>
      </c>
      <c r="G24" s="47" t="s">
        <v>106</v>
      </c>
      <c r="H24" s="47" t="s">
        <v>25</v>
      </c>
      <c r="I24" s="47" t="s">
        <v>25</v>
      </c>
      <c r="J24" s="47" t="s">
        <v>983</v>
      </c>
      <c r="K24" s="47" t="s">
        <v>981</v>
      </c>
      <c r="L24" s="47" t="s">
        <v>99</v>
      </c>
      <c r="M24" s="47">
        <v>2021</v>
      </c>
      <c r="N24" s="47">
        <v>0</v>
      </c>
      <c r="O24" s="47">
        <v>17.2</v>
      </c>
      <c r="P24" s="47">
        <v>0</v>
      </c>
    </row>
    <row r="25" spans="1:16" ht="11.25" customHeight="1" x14ac:dyDescent="0.25">
      <c r="A25" s="47">
        <v>24</v>
      </c>
      <c r="B25" s="47" t="s">
        <v>858</v>
      </c>
      <c r="C25" s="47" t="s">
        <v>22</v>
      </c>
      <c r="D25" s="47" t="s">
        <v>33</v>
      </c>
      <c r="E25" s="47" t="s">
        <v>24</v>
      </c>
      <c r="F25" s="47" t="s">
        <v>24</v>
      </c>
      <c r="G25" s="47" t="s">
        <v>25</v>
      </c>
      <c r="H25" s="47" t="s">
        <v>25</v>
      </c>
      <c r="I25" s="47" t="s">
        <v>34</v>
      </c>
      <c r="J25" s="47" t="s">
        <v>980</v>
      </c>
      <c r="K25" s="47" t="s">
        <v>981</v>
      </c>
      <c r="L25" s="47" t="s">
        <v>93</v>
      </c>
      <c r="M25" s="47">
        <v>2021</v>
      </c>
      <c r="N25" s="47">
        <v>0</v>
      </c>
      <c r="O25" s="47">
        <v>894.12</v>
      </c>
      <c r="P25" s="47">
        <v>23.027132750044601</v>
      </c>
    </row>
    <row r="26" spans="1:16" ht="11.25" customHeight="1" x14ac:dyDescent="0.25">
      <c r="A26" s="47">
        <v>25</v>
      </c>
      <c r="B26" s="47" t="s">
        <v>858</v>
      </c>
      <c r="C26" s="47" t="s">
        <v>22</v>
      </c>
      <c r="D26" s="47" t="s">
        <v>33</v>
      </c>
      <c r="E26" s="47" t="s">
        <v>24</v>
      </c>
      <c r="F26" s="47" t="s">
        <v>24</v>
      </c>
      <c r="G26" s="47" t="s">
        <v>25</v>
      </c>
      <c r="H26" s="47" t="s">
        <v>25</v>
      </c>
      <c r="I26" s="47" t="s">
        <v>36</v>
      </c>
      <c r="J26" s="47" t="s">
        <v>980</v>
      </c>
      <c r="K26" s="47" t="s">
        <v>981</v>
      </c>
      <c r="L26" s="47" t="s">
        <v>93</v>
      </c>
      <c r="M26" s="47">
        <v>2021</v>
      </c>
      <c r="N26" s="47">
        <v>0</v>
      </c>
      <c r="O26" s="47">
        <v>565.36</v>
      </c>
      <c r="P26" s="47">
        <v>23.027132750044601</v>
      </c>
    </row>
    <row r="27" spans="1:16" ht="11.25" customHeight="1" x14ac:dyDescent="0.25">
      <c r="A27" s="47">
        <v>26</v>
      </c>
      <c r="B27" s="47" t="s">
        <v>858</v>
      </c>
      <c r="C27" s="47" t="s">
        <v>22</v>
      </c>
      <c r="D27" s="47" t="s">
        <v>23</v>
      </c>
      <c r="E27" s="47" t="s">
        <v>24</v>
      </c>
      <c r="F27" s="47" t="s">
        <v>29</v>
      </c>
      <c r="G27" s="47" t="s">
        <v>25</v>
      </c>
      <c r="H27" s="47" t="s">
        <v>25</v>
      </c>
      <c r="I27" s="47" t="s">
        <v>25</v>
      </c>
      <c r="J27" s="47" t="s">
        <v>980</v>
      </c>
      <c r="K27" s="47" t="s">
        <v>981</v>
      </c>
      <c r="L27" s="47" t="s">
        <v>93</v>
      </c>
      <c r="M27" s="47">
        <v>2021</v>
      </c>
      <c r="N27" s="47">
        <v>0</v>
      </c>
      <c r="O27" s="47">
        <v>107.74</v>
      </c>
      <c r="P27" s="47">
        <v>0</v>
      </c>
    </row>
    <row r="28" spans="1:16" ht="11.25" customHeight="1" x14ac:dyDescent="0.25">
      <c r="A28" s="47">
        <v>27</v>
      </c>
      <c r="B28" s="47" t="s">
        <v>858</v>
      </c>
      <c r="C28" s="47" t="s">
        <v>22</v>
      </c>
      <c r="D28" s="47" t="s">
        <v>23</v>
      </c>
      <c r="E28" s="47" t="s">
        <v>24</v>
      </c>
      <c r="F28" s="47" t="s">
        <v>30</v>
      </c>
      <c r="G28" s="47" t="s">
        <v>25</v>
      </c>
      <c r="H28" s="47" t="s">
        <v>25</v>
      </c>
      <c r="I28" s="47" t="s">
        <v>25</v>
      </c>
      <c r="J28" s="47" t="s">
        <v>980</v>
      </c>
      <c r="K28" s="47" t="s">
        <v>981</v>
      </c>
      <c r="L28" s="47" t="s">
        <v>93</v>
      </c>
      <c r="M28" s="47">
        <v>2021</v>
      </c>
      <c r="N28" s="47">
        <v>0</v>
      </c>
      <c r="O28" s="47">
        <v>184.7</v>
      </c>
      <c r="P28" s="47">
        <v>0</v>
      </c>
    </row>
    <row r="29" spans="1:16" ht="11.25" customHeight="1" x14ac:dyDescent="0.25">
      <c r="A29" s="47">
        <v>28</v>
      </c>
      <c r="B29" s="47" t="s">
        <v>858</v>
      </c>
      <c r="C29" s="47" t="s">
        <v>22</v>
      </c>
      <c r="D29" s="47" t="s">
        <v>23</v>
      </c>
      <c r="E29" s="47" t="s">
        <v>24</v>
      </c>
      <c r="F29" s="47" t="s">
        <v>31</v>
      </c>
      <c r="G29" s="47" t="s">
        <v>25</v>
      </c>
      <c r="H29" s="47" t="s">
        <v>25</v>
      </c>
      <c r="I29" s="47" t="s">
        <v>25</v>
      </c>
      <c r="J29" s="47" t="s">
        <v>980</v>
      </c>
      <c r="K29" s="47" t="s">
        <v>981</v>
      </c>
      <c r="L29" s="47" t="s">
        <v>93</v>
      </c>
      <c r="M29" s="47">
        <v>2021</v>
      </c>
      <c r="N29" s="47">
        <v>0</v>
      </c>
      <c r="O29" s="47">
        <v>277.05</v>
      </c>
      <c r="P29" s="47">
        <v>0</v>
      </c>
    </row>
    <row r="30" spans="1:16" ht="11.25" customHeight="1" x14ac:dyDescent="0.25">
      <c r="A30" s="47">
        <v>29</v>
      </c>
      <c r="B30" s="47" t="s">
        <v>858</v>
      </c>
      <c r="C30" s="47" t="s">
        <v>22</v>
      </c>
      <c r="D30" s="47" t="s">
        <v>23</v>
      </c>
      <c r="E30" s="47" t="s">
        <v>24</v>
      </c>
      <c r="F30" s="47" t="s">
        <v>32</v>
      </c>
      <c r="G30" s="47" t="s">
        <v>25</v>
      </c>
      <c r="H30" s="47" t="s">
        <v>25</v>
      </c>
      <c r="I30" s="47" t="s">
        <v>25</v>
      </c>
      <c r="J30" s="47" t="s">
        <v>980</v>
      </c>
      <c r="K30" s="47" t="s">
        <v>981</v>
      </c>
      <c r="L30" s="47" t="s">
        <v>93</v>
      </c>
      <c r="M30" s="47">
        <v>2021</v>
      </c>
      <c r="N30" s="47">
        <v>0</v>
      </c>
      <c r="O30" s="47">
        <v>307.83999999999997</v>
      </c>
      <c r="P30" s="47">
        <v>0</v>
      </c>
    </row>
    <row r="31" spans="1:16" ht="11.25" customHeight="1" x14ac:dyDescent="0.25">
      <c r="A31" s="47">
        <v>30</v>
      </c>
      <c r="B31" s="47" t="s">
        <v>858</v>
      </c>
      <c r="C31" s="47" t="s">
        <v>22</v>
      </c>
      <c r="D31" s="47" t="s">
        <v>109</v>
      </c>
      <c r="E31" s="47" t="s">
        <v>24</v>
      </c>
      <c r="F31" s="47" t="s">
        <v>30</v>
      </c>
      <c r="G31" s="47" t="s">
        <v>25</v>
      </c>
      <c r="H31" s="47" t="s">
        <v>25</v>
      </c>
      <c r="I31" s="47" t="s">
        <v>25</v>
      </c>
      <c r="J31" s="47" t="s">
        <v>980</v>
      </c>
      <c r="K31" s="47" t="s">
        <v>981</v>
      </c>
      <c r="L31" s="47" t="s">
        <v>93</v>
      </c>
      <c r="M31" s="47">
        <v>2021</v>
      </c>
      <c r="N31" s="47">
        <v>0</v>
      </c>
      <c r="O31" s="47">
        <v>184.7</v>
      </c>
      <c r="P31" s="47">
        <v>0</v>
      </c>
    </row>
    <row r="32" spans="1:16" ht="11.25" customHeight="1" x14ac:dyDescent="0.25">
      <c r="A32" s="47">
        <v>31</v>
      </c>
      <c r="B32" s="47" t="s">
        <v>858</v>
      </c>
      <c r="C32" s="47" t="s">
        <v>22</v>
      </c>
      <c r="D32" s="47" t="s">
        <v>109</v>
      </c>
      <c r="E32" s="47" t="s">
        <v>24</v>
      </c>
      <c r="F32" s="47" t="s">
        <v>31</v>
      </c>
      <c r="G32" s="47" t="s">
        <v>25</v>
      </c>
      <c r="H32" s="47" t="s">
        <v>25</v>
      </c>
      <c r="I32" s="47" t="s">
        <v>25</v>
      </c>
      <c r="J32" s="47" t="s">
        <v>980</v>
      </c>
      <c r="K32" s="47" t="s">
        <v>981</v>
      </c>
      <c r="L32" s="47" t="s">
        <v>93</v>
      </c>
      <c r="M32" s="47">
        <v>2021</v>
      </c>
      <c r="N32" s="47">
        <v>0</v>
      </c>
      <c r="O32" s="47">
        <v>277.05</v>
      </c>
      <c r="P32" s="47">
        <v>0</v>
      </c>
    </row>
    <row r="33" spans="1:16" ht="11.25" customHeight="1" x14ac:dyDescent="0.25">
      <c r="A33" s="47">
        <v>32</v>
      </c>
      <c r="B33" s="47" t="s">
        <v>858</v>
      </c>
      <c r="C33" s="47" t="s">
        <v>22</v>
      </c>
      <c r="D33" s="47" t="s">
        <v>109</v>
      </c>
      <c r="E33" s="47" t="s">
        <v>24</v>
      </c>
      <c r="F33" s="47" t="s">
        <v>32</v>
      </c>
      <c r="G33" s="47" t="s">
        <v>25</v>
      </c>
      <c r="H33" s="47" t="s">
        <v>25</v>
      </c>
      <c r="I33" s="47" t="s">
        <v>25</v>
      </c>
      <c r="J33" s="47" t="s">
        <v>980</v>
      </c>
      <c r="K33" s="47" t="s">
        <v>981</v>
      </c>
      <c r="L33" s="47" t="s">
        <v>93</v>
      </c>
      <c r="M33" s="47">
        <v>2021</v>
      </c>
      <c r="N33" s="47">
        <v>0</v>
      </c>
      <c r="O33" s="47">
        <v>307.83999999999997</v>
      </c>
      <c r="P33" s="47">
        <v>0</v>
      </c>
    </row>
    <row r="34" spans="1:16" ht="11.25" customHeight="1" x14ac:dyDescent="0.25">
      <c r="A34" s="47">
        <v>33</v>
      </c>
      <c r="B34" s="47" t="s">
        <v>858</v>
      </c>
      <c r="C34" s="47" t="s">
        <v>44</v>
      </c>
      <c r="D34" s="47" t="s">
        <v>33</v>
      </c>
      <c r="E34" s="47" t="s">
        <v>45</v>
      </c>
      <c r="F34" s="47" t="s">
        <v>25</v>
      </c>
      <c r="G34" s="47" t="s">
        <v>25</v>
      </c>
      <c r="H34" s="47" t="s">
        <v>25</v>
      </c>
      <c r="I34" s="47" t="s">
        <v>35</v>
      </c>
      <c r="J34" s="47" t="s">
        <v>980</v>
      </c>
      <c r="K34" s="47" t="s">
        <v>981</v>
      </c>
      <c r="L34" s="47" t="s">
        <v>93</v>
      </c>
      <c r="M34" s="47">
        <v>2021</v>
      </c>
      <c r="N34" s="47">
        <v>0</v>
      </c>
      <c r="O34" s="47">
        <v>208.22</v>
      </c>
      <c r="P34" s="47">
        <v>20.263876820039201</v>
      </c>
    </row>
    <row r="35" spans="1:16" ht="11.25" customHeight="1" x14ac:dyDescent="0.25">
      <c r="A35" s="47">
        <v>34</v>
      </c>
      <c r="B35" s="47" t="s">
        <v>858</v>
      </c>
      <c r="C35" s="47" t="s">
        <v>44</v>
      </c>
      <c r="D35" s="47" t="s">
        <v>23</v>
      </c>
      <c r="E35" s="47" t="s">
        <v>45</v>
      </c>
      <c r="F35" s="47" t="s">
        <v>25</v>
      </c>
      <c r="G35" s="47" t="s">
        <v>25</v>
      </c>
      <c r="H35" s="47" t="s">
        <v>25</v>
      </c>
      <c r="I35" s="47" t="s">
        <v>25</v>
      </c>
      <c r="J35" s="47" t="s">
        <v>980</v>
      </c>
      <c r="K35" s="47" t="s">
        <v>981</v>
      </c>
      <c r="L35" s="47" t="s">
        <v>93</v>
      </c>
      <c r="M35" s="47">
        <v>2021</v>
      </c>
      <c r="N35" s="47">
        <v>0</v>
      </c>
      <c r="O35" s="47">
        <v>304.64999999999998</v>
      </c>
      <c r="P35" s="47">
        <v>20.263876820039201</v>
      </c>
    </row>
    <row r="36" spans="1:16" ht="11.25" customHeight="1" x14ac:dyDescent="0.25">
      <c r="A36" s="47">
        <v>35</v>
      </c>
      <c r="B36" s="47" t="s">
        <v>858</v>
      </c>
      <c r="C36" s="47" t="s">
        <v>44</v>
      </c>
      <c r="D36" s="47" t="s">
        <v>33</v>
      </c>
      <c r="E36" s="47" t="s">
        <v>45</v>
      </c>
      <c r="F36" s="47" t="s">
        <v>110</v>
      </c>
      <c r="G36" s="47" t="s">
        <v>25</v>
      </c>
      <c r="H36" s="47" t="s">
        <v>25</v>
      </c>
      <c r="I36" s="47" t="s">
        <v>34</v>
      </c>
      <c r="J36" s="47" t="s">
        <v>980</v>
      </c>
      <c r="K36" s="47" t="s">
        <v>981</v>
      </c>
      <c r="L36" s="47" t="s">
        <v>93</v>
      </c>
      <c r="M36" s="47">
        <v>2021</v>
      </c>
      <c r="N36" s="47">
        <v>0</v>
      </c>
      <c r="O36" s="47">
        <v>786.82</v>
      </c>
      <c r="P36" s="47">
        <v>20.263876820039201</v>
      </c>
    </row>
    <row r="37" spans="1:16" ht="11.25" customHeight="1" x14ac:dyDescent="0.25">
      <c r="A37" s="47">
        <v>36</v>
      </c>
      <c r="B37" s="47" t="s">
        <v>858</v>
      </c>
      <c r="C37" s="47" t="s">
        <v>44</v>
      </c>
      <c r="D37" s="47" t="s">
        <v>23</v>
      </c>
      <c r="E37" s="47" t="s">
        <v>45</v>
      </c>
      <c r="F37" s="47" t="s">
        <v>110</v>
      </c>
      <c r="G37" s="47" t="s">
        <v>25</v>
      </c>
      <c r="H37" s="47" t="s">
        <v>25</v>
      </c>
      <c r="I37" s="47" t="s">
        <v>25</v>
      </c>
      <c r="J37" s="47" t="s">
        <v>980</v>
      </c>
      <c r="K37" s="47" t="s">
        <v>981</v>
      </c>
      <c r="L37" s="47" t="s">
        <v>93</v>
      </c>
      <c r="M37" s="47">
        <v>2021</v>
      </c>
      <c r="N37" s="47">
        <v>0</v>
      </c>
      <c r="O37" s="47">
        <v>304.64999999999998</v>
      </c>
      <c r="P37" s="47">
        <v>20.263876820039201</v>
      </c>
    </row>
    <row r="38" spans="1:16" ht="11.25" customHeight="1" x14ac:dyDescent="0.25">
      <c r="A38" s="47">
        <v>37</v>
      </c>
      <c r="B38" s="47" t="s">
        <v>858</v>
      </c>
      <c r="C38" s="47" t="s">
        <v>44</v>
      </c>
      <c r="D38" s="47" t="s">
        <v>33</v>
      </c>
      <c r="E38" s="47" t="s">
        <v>45</v>
      </c>
      <c r="F38" s="47" t="s">
        <v>111</v>
      </c>
      <c r="G38" s="47" t="s">
        <v>25</v>
      </c>
      <c r="H38" s="47" t="s">
        <v>25</v>
      </c>
      <c r="I38" s="47" t="s">
        <v>34</v>
      </c>
      <c r="J38" s="47" t="s">
        <v>980</v>
      </c>
      <c r="K38" s="47" t="s">
        <v>981</v>
      </c>
      <c r="L38" s="47" t="s">
        <v>93</v>
      </c>
      <c r="M38" s="47">
        <v>2021</v>
      </c>
      <c r="N38" s="47">
        <v>0</v>
      </c>
      <c r="O38" s="47">
        <v>751.06</v>
      </c>
      <c r="P38" s="47">
        <v>19.3427915100375</v>
      </c>
    </row>
    <row r="39" spans="1:16" ht="11.25" customHeight="1" x14ac:dyDescent="0.25">
      <c r="A39" s="47">
        <v>38</v>
      </c>
      <c r="B39" s="47" t="s">
        <v>858</v>
      </c>
      <c r="C39" s="47" t="s">
        <v>44</v>
      </c>
      <c r="D39" s="47" t="s">
        <v>33</v>
      </c>
      <c r="E39" s="47" t="s">
        <v>45</v>
      </c>
      <c r="F39" s="47" t="s">
        <v>111</v>
      </c>
      <c r="G39" s="47" t="s">
        <v>25</v>
      </c>
      <c r="H39" s="47" t="s">
        <v>25</v>
      </c>
      <c r="I39" s="47" t="s">
        <v>36</v>
      </c>
      <c r="J39" s="47" t="s">
        <v>980</v>
      </c>
      <c r="K39" s="47" t="s">
        <v>981</v>
      </c>
      <c r="L39" s="47" t="s">
        <v>93</v>
      </c>
      <c r="M39" s="47">
        <v>2021</v>
      </c>
      <c r="N39" s="47">
        <v>0</v>
      </c>
      <c r="O39" s="47">
        <v>474.91</v>
      </c>
      <c r="P39" s="47">
        <v>19.3427915100375</v>
      </c>
    </row>
    <row r="40" spans="1:16" ht="11.25" customHeight="1" x14ac:dyDescent="0.25">
      <c r="A40" s="47">
        <v>39</v>
      </c>
      <c r="B40" s="47" t="s">
        <v>858</v>
      </c>
      <c r="C40" s="47" t="s">
        <v>44</v>
      </c>
      <c r="D40" s="47" t="s">
        <v>33</v>
      </c>
      <c r="E40" s="47" t="s">
        <v>45</v>
      </c>
      <c r="F40" s="47" t="s">
        <v>111</v>
      </c>
      <c r="G40" s="47" t="s">
        <v>25</v>
      </c>
      <c r="H40" s="47" t="s">
        <v>25</v>
      </c>
      <c r="I40" s="47" t="s">
        <v>35</v>
      </c>
      <c r="J40" s="47" t="s">
        <v>980</v>
      </c>
      <c r="K40" s="47" t="s">
        <v>981</v>
      </c>
      <c r="L40" s="47" t="s">
        <v>93</v>
      </c>
      <c r="M40" s="47">
        <v>2021</v>
      </c>
      <c r="N40" s="47">
        <v>0</v>
      </c>
      <c r="O40" s="47">
        <v>198.75</v>
      </c>
      <c r="P40" s="47">
        <v>19.3427915100375</v>
      </c>
    </row>
    <row r="41" spans="1:16" ht="11.25" customHeight="1" x14ac:dyDescent="0.25">
      <c r="A41" s="47">
        <v>40</v>
      </c>
      <c r="B41" s="47" t="s">
        <v>858</v>
      </c>
      <c r="C41" s="47" t="s">
        <v>44</v>
      </c>
      <c r="D41" s="47" t="s">
        <v>109</v>
      </c>
      <c r="E41" s="47" t="s">
        <v>45</v>
      </c>
      <c r="F41" s="47" t="s">
        <v>110</v>
      </c>
      <c r="G41" s="47" t="s">
        <v>25</v>
      </c>
      <c r="H41" s="47" t="s">
        <v>25</v>
      </c>
      <c r="I41" s="47" t="s">
        <v>25</v>
      </c>
      <c r="J41" s="47" t="s">
        <v>980</v>
      </c>
      <c r="K41" s="47" t="s">
        <v>981</v>
      </c>
      <c r="L41" s="47" t="s">
        <v>93</v>
      </c>
      <c r="M41" s="47">
        <v>2021</v>
      </c>
      <c r="N41" s="47">
        <v>0</v>
      </c>
      <c r="O41" s="47">
        <v>304.64999999999998</v>
      </c>
      <c r="P41" s="47">
        <v>20.263876820039201</v>
      </c>
    </row>
    <row r="42" spans="1:16" ht="11.25" customHeight="1" x14ac:dyDescent="0.25">
      <c r="A42" s="47">
        <v>41</v>
      </c>
      <c r="B42" s="47" t="s">
        <v>858</v>
      </c>
      <c r="C42" s="47" t="s">
        <v>44</v>
      </c>
      <c r="D42" s="47" t="s">
        <v>109</v>
      </c>
      <c r="E42" s="47" t="s">
        <v>45</v>
      </c>
      <c r="F42" s="47" t="s">
        <v>111</v>
      </c>
      <c r="G42" s="47" t="s">
        <v>25</v>
      </c>
      <c r="H42" s="47" t="s">
        <v>25</v>
      </c>
      <c r="I42" s="47" t="s">
        <v>25</v>
      </c>
      <c r="J42" s="47" t="s">
        <v>980</v>
      </c>
      <c r="K42" s="47" t="s">
        <v>981</v>
      </c>
      <c r="L42" s="47" t="s">
        <v>93</v>
      </c>
      <c r="M42" s="47">
        <v>2021</v>
      </c>
      <c r="N42" s="47">
        <v>0</v>
      </c>
      <c r="O42" s="47">
        <v>290.8</v>
      </c>
      <c r="P42" s="47">
        <v>19.3427915100375</v>
      </c>
    </row>
    <row r="43" spans="1:16" ht="11.25" customHeight="1" x14ac:dyDescent="0.25">
      <c r="A43" s="47">
        <v>42</v>
      </c>
      <c r="B43" s="47" t="s">
        <v>858</v>
      </c>
      <c r="C43" s="47" t="s">
        <v>37</v>
      </c>
      <c r="D43" s="47" t="s">
        <v>33</v>
      </c>
      <c r="E43" s="47" t="s">
        <v>25</v>
      </c>
      <c r="F43" s="47" t="s">
        <v>25</v>
      </c>
      <c r="G43" s="47" t="s">
        <v>25</v>
      </c>
      <c r="H43" s="47" t="s">
        <v>25</v>
      </c>
      <c r="I43" s="47" t="s">
        <v>34</v>
      </c>
      <c r="J43" s="47" t="s">
        <v>980</v>
      </c>
      <c r="K43" s="47" t="s">
        <v>981</v>
      </c>
      <c r="L43" s="47" t="s">
        <v>93</v>
      </c>
      <c r="M43" s="47">
        <v>2021</v>
      </c>
      <c r="N43" s="47">
        <v>0</v>
      </c>
      <c r="O43" s="47">
        <v>962.61</v>
      </c>
      <c r="P43" s="47">
        <v>23.027132750044601</v>
      </c>
    </row>
    <row r="44" spans="1:16" ht="11.25" customHeight="1" x14ac:dyDescent="0.25">
      <c r="A44" s="47">
        <v>43</v>
      </c>
      <c r="B44" s="47" t="s">
        <v>858</v>
      </c>
      <c r="C44" s="47" t="s">
        <v>41</v>
      </c>
      <c r="D44" s="47" t="s">
        <v>69</v>
      </c>
      <c r="E44" s="47" t="s">
        <v>25</v>
      </c>
      <c r="F44" s="47" t="s">
        <v>25</v>
      </c>
      <c r="G44" s="47" t="s">
        <v>25</v>
      </c>
      <c r="H44" s="47" t="s">
        <v>25</v>
      </c>
      <c r="I44" s="47" t="s">
        <v>25</v>
      </c>
      <c r="J44" s="47" t="s">
        <v>983</v>
      </c>
      <c r="K44" s="47" t="s">
        <v>981</v>
      </c>
      <c r="L44" s="47" t="s">
        <v>99</v>
      </c>
      <c r="M44" s="47">
        <v>2021</v>
      </c>
      <c r="N44" s="47">
        <v>0</v>
      </c>
      <c r="O44" s="47">
        <v>11.74</v>
      </c>
      <c r="P44" s="47">
        <v>0</v>
      </c>
    </row>
    <row r="45" spans="1:16" ht="11.25" customHeight="1" x14ac:dyDescent="0.25">
      <c r="A45" s="47">
        <v>44</v>
      </c>
      <c r="B45" s="47" t="s">
        <v>858</v>
      </c>
      <c r="C45" s="47" t="s">
        <v>41</v>
      </c>
      <c r="D45" s="47" t="s">
        <v>42</v>
      </c>
      <c r="E45" s="47" t="s">
        <v>25</v>
      </c>
      <c r="F45" s="47" t="s">
        <v>25</v>
      </c>
      <c r="G45" s="47" t="s">
        <v>25</v>
      </c>
      <c r="H45" s="47" t="s">
        <v>25</v>
      </c>
      <c r="I45" s="47" t="s">
        <v>25</v>
      </c>
      <c r="J45" s="47" t="s">
        <v>983</v>
      </c>
      <c r="K45" s="47" t="s">
        <v>981</v>
      </c>
      <c r="L45" s="47" t="s">
        <v>99</v>
      </c>
      <c r="M45" s="47">
        <v>2021</v>
      </c>
      <c r="N45" s="47">
        <v>0</v>
      </c>
      <c r="O45" s="47">
        <v>24.31</v>
      </c>
      <c r="P45" s="47">
        <v>0</v>
      </c>
    </row>
    <row r="46" spans="1:16" ht="11.25" customHeight="1" x14ac:dyDescent="0.25">
      <c r="A46" s="47">
        <v>45</v>
      </c>
      <c r="B46" s="47" t="s">
        <v>858</v>
      </c>
      <c r="C46" s="47" t="s">
        <v>41</v>
      </c>
      <c r="D46" s="47" t="s">
        <v>42</v>
      </c>
      <c r="E46" s="47" t="s">
        <v>25</v>
      </c>
      <c r="F46" s="47" t="s">
        <v>25</v>
      </c>
      <c r="G46" s="47" t="s">
        <v>58</v>
      </c>
      <c r="H46" s="47" t="s">
        <v>25</v>
      </c>
      <c r="I46" s="47" t="s">
        <v>35</v>
      </c>
      <c r="J46" s="47" t="s">
        <v>980</v>
      </c>
      <c r="K46" s="47" t="s">
        <v>981</v>
      </c>
      <c r="L46" s="47" t="s">
        <v>93</v>
      </c>
      <c r="M46" s="47">
        <v>2021</v>
      </c>
      <c r="N46" s="47">
        <v>0</v>
      </c>
      <c r="O46" s="47">
        <v>16.47</v>
      </c>
      <c r="P46" s="47">
        <v>0</v>
      </c>
    </row>
    <row r="47" spans="1:16" ht="11.25" customHeight="1" x14ac:dyDescent="0.25">
      <c r="A47" s="47">
        <v>46</v>
      </c>
      <c r="B47" s="47" t="s">
        <v>858</v>
      </c>
      <c r="C47" s="47" t="s">
        <v>104</v>
      </c>
      <c r="D47" s="47" t="s">
        <v>69</v>
      </c>
      <c r="E47" s="47" t="s">
        <v>25</v>
      </c>
      <c r="F47" s="47" t="s">
        <v>25</v>
      </c>
      <c r="G47" s="47" t="s">
        <v>105</v>
      </c>
      <c r="H47" s="47" t="s">
        <v>25</v>
      </c>
      <c r="I47" s="47" t="s">
        <v>25</v>
      </c>
      <c r="J47" s="47" t="s">
        <v>983</v>
      </c>
      <c r="K47" s="47" t="s">
        <v>981</v>
      </c>
      <c r="L47" s="47" t="s">
        <v>99</v>
      </c>
      <c r="M47" s="47">
        <v>2021</v>
      </c>
      <c r="N47" s="47">
        <v>0</v>
      </c>
      <c r="O47" s="47">
        <v>5.75</v>
      </c>
      <c r="P47" s="47">
        <v>0</v>
      </c>
    </row>
    <row r="48" spans="1:16" ht="11.25" customHeight="1" x14ac:dyDescent="0.25">
      <c r="A48" s="47">
        <v>47</v>
      </c>
      <c r="B48" s="47" t="s">
        <v>858</v>
      </c>
      <c r="C48" s="47" t="s">
        <v>22</v>
      </c>
      <c r="D48" s="47" t="s">
        <v>33</v>
      </c>
      <c r="E48" s="47" t="s">
        <v>24</v>
      </c>
      <c r="F48" s="47" t="s">
        <v>24</v>
      </c>
      <c r="G48" s="47" t="s">
        <v>25</v>
      </c>
      <c r="H48" s="47" t="s">
        <v>25</v>
      </c>
      <c r="I48" s="47" t="s">
        <v>35</v>
      </c>
      <c r="J48" s="47" t="s">
        <v>980</v>
      </c>
      <c r="K48" s="47" t="s">
        <v>981</v>
      </c>
      <c r="L48" s="47" t="s">
        <v>93</v>
      </c>
      <c r="M48" s="47">
        <v>2021</v>
      </c>
      <c r="N48" s="47">
        <v>0</v>
      </c>
      <c r="O48" s="47">
        <v>236.61</v>
      </c>
      <c r="P48" s="47">
        <v>23.027132750044601</v>
      </c>
    </row>
    <row r="49" spans="1:16" ht="11.25" customHeight="1" x14ac:dyDescent="0.25">
      <c r="A49" s="47">
        <v>48</v>
      </c>
      <c r="B49" s="47" t="s">
        <v>858</v>
      </c>
      <c r="C49" s="47" t="s">
        <v>22</v>
      </c>
      <c r="D49" s="47" t="s">
        <v>23</v>
      </c>
      <c r="E49" s="47" t="s">
        <v>24</v>
      </c>
      <c r="F49" s="47" t="s">
        <v>24</v>
      </c>
      <c r="G49" s="47" t="s">
        <v>25</v>
      </c>
      <c r="H49" s="47" t="s">
        <v>25</v>
      </c>
      <c r="I49" s="47" t="s">
        <v>25</v>
      </c>
      <c r="J49" s="47" t="s">
        <v>980</v>
      </c>
      <c r="K49" s="47" t="s">
        <v>981</v>
      </c>
      <c r="L49" s="47" t="s">
        <v>93</v>
      </c>
      <c r="M49" s="47">
        <v>2021</v>
      </c>
      <c r="N49" s="47">
        <v>0</v>
      </c>
      <c r="O49" s="47">
        <v>346.2</v>
      </c>
      <c r="P49" s="47">
        <v>23.027132750044601</v>
      </c>
    </row>
    <row r="50" spans="1:16" ht="11.25" customHeight="1" x14ac:dyDescent="0.25">
      <c r="A50" s="47">
        <v>49</v>
      </c>
      <c r="B50" s="47" t="s">
        <v>858</v>
      </c>
      <c r="C50" s="47" t="s">
        <v>22</v>
      </c>
      <c r="D50" s="47" t="s">
        <v>109</v>
      </c>
      <c r="E50" s="47" t="s">
        <v>24</v>
      </c>
      <c r="F50" s="47" t="s">
        <v>24</v>
      </c>
      <c r="G50" s="47" t="s">
        <v>25</v>
      </c>
      <c r="H50" s="47" t="s">
        <v>25</v>
      </c>
      <c r="I50" s="47" t="s">
        <v>25</v>
      </c>
      <c r="J50" s="47" t="s">
        <v>980</v>
      </c>
      <c r="K50" s="47" t="s">
        <v>981</v>
      </c>
      <c r="L50" s="47" t="s">
        <v>93</v>
      </c>
      <c r="M50" s="47">
        <v>2021</v>
      </c>
      <c r="N50" s="47">
        <v>0</v>
      </c>
      <c r="O50" s="47">
        <v>346.2</v>
      </c>
      <c r="P50" s="47">
        <v>23.027132750044601</v>
      </c>
    </row>
    <row r="51" spans="1:16" ht="11.25" customHeight="1" x14ac:dyDescent="0.25">
      <c r="A51" s="47">
        <v>50</v>
      </c>
      <c r="B51" s="47" t="s">
        <v>858</v>
      </c>
      <c r="C51" s="47" t="s">
        <v>22</v>
      </c>
      <c r="D51" s="47" t="s">
        <v>109</v>
      </c>
      <c r="E51" s="47" t="s">
        <v>24</v>
      </c>
      <c r="F51" s="47" t="s">
        <v>29</v>
      </c>
      <c r="G51" s="47" t="s">
        <v>25</v>
      </c>
      <c r="H51" s="47" t="s">
        <v>25</v>
      </c>
      <c r="I51" s="47" t="s">
        <v>25</v>
      </c>
      <c r="J51" s="47" t="s">
        <v>980</v>
      </c>
      <c r="K51" s="47" t="s">
        <v>981</v>
      </c>
      <c r="L51" s="47" t="s">
        <v>93</v>
      </c>
      <c r="M51" s="47">
        <v>2021</v>
      </c>
      <c r="N51" s="47">
        <v>0</v>
      </c>
      <c r="O51" s="47">
        <v>107.74</v>
      </c>
      <c r="P51" s="47">
        <v>0</v>
      </c>
    </row>
    <row r="52" spans="1:16" ht="11.25" customHeight="1" x14ac:dyDescent="0.25">
      <c r="A52" s="47">
        <v>51</v>
      </c>
      <c r="B52" s="47" t="s">
        <v>858</v>
      </c>
      <c r="C52" s="47" t="s">
        <v>44</v>
      </c>
      <c r="D52" s="47" t="s">
        <v>33</v>
      </c>
      <c r="E52" s="47" t="s">
        <v>45</v>
      </c>
      <c r="F52" s="47" t="s">
        <v>25</v>
      </c>
      <c r="G52" s="47" t="s">
        <v>25</v>
      </c>
      <c r="H52" s="47" t="s">
        <v>25</v>
      </c>
      <c r="I52" s="47" t="s">
        <v>34</v>
      </c>
      <c r="J52" s="47" t="s">
        <v>980</v>
      </c>
      <c r="K52" s="47" t="s">
        <v>981</v>
      </c>
      <c r="L52" s="47" t="s">
        <v>93</v>
      </c>
      <c r="M52" s="47">
        <v>2021</v>
      </c>
      <c r="N52" s="47">
        <v>0</v>
      </c>
      <c r="O52" s="47">
        <v>786.82</v>
      </c>
      <c r="P52" s="47">
        <v>20.263876820039201</v>
      </c>
    </row>
    <row r="53" spans="1:16" ht="11.25" customHeight="1" x14ac:dyDescent="0.25">
      <c r="A53" s="47">
        <v>52</v>
      </c>
      <c r="B53" s="47" t="s">
        <v>858</v>
      </c>
      <c r="C53" s="47" t="s">
        <v>44</v>
      </c>
      <c r="D53" s="47" t="s">
        <v>33</v>
      </c>
      <c r="E53" s="47" t="s">
        <v>45</v>
      </c>
      <c r="F53" s="47" t="s">
        <v>25</v>
      </c>
      <c r="G53" s="47" t="s">
        <v>25</v>
      </c>
      <c r="H53" s="47" t="s">
        <v>25</v>
      </c>
      <c r="I53" s="47" t="s">
        <v>36</v>
      </c>
      <c r="J53" s="47" t="s">
        <v>980</v>
      </c>
      <c r="K53" s="47" t="s">
        <v>981</v>
      </c>
      <c r="L53" s="47" t="s">
        <v>93</v>
      </c>
      <c r="M53" s="47">
        <v>2021</v>
      </c>
      <c r="N53" s="47">
        <v>0</v>
      </c>
      <c r="O53" s="47">
        <v>497.52</v>
      </c>
      <c r="P53" s="47">
        <v>20.263876820039201</v>
      </c>
    </row>
    <row r="54" spans="1:16" ht="11.25" customHeight="1" x14ac:dyDescent="0.25">
      <c r="A54" s="47">
        <v>53</v>
      </c>
      <c r="B54" s="47" t="s">
        <v>886</v>
      </c>
      <c r="C54" s="47" t="s">
        <v>44</v>
      </c>
      <c r="D54" s="47" t="s">
        <v>103</v>
      </c>
      <c r="E54" s="47" t="s">
        <v>45</v>
      </c>
      <c r="F54" s="47" t="s">
        <v>25</v>
      </c>
      <c r="G54" s="47" t="s">
        <v>25</v>
      </c>
      <c r="H54" s="47" t="s">
        <v>25</v>
      </c>
      <c r="I54" s="47" t="s">
        <v>25</v>
      </c>
      <c r="J54" s="47" t="s">
        <v>980</v>
      </c>
      <c r="K54" s="47" t="s">
        <v>981</v>
      </c>
      <c r="L54" s="47" t="s">
        <v>93</v>
      </c>
      <c r="M54" s="47">
        <v>2021</v>
      </c>
      <c r="N54" s="47">
        <v>0</v>
      </c>
      <c r="O54" s="47">
        <v>206.13</v>
      </c>
      <c r="P54" s="47"/>
    </row>
    <row r="55" spans="1:16" ht="11.25" customHeight="1" x14ac:dyDescent="0.25">
      <c r="A55" s="47">
        <v>54</v>
      </c>
      <c r="B55" s="47" t="s">
        <v>886</v>
      </c>
      <c r="C55" s="47" t="s">
        <v>44</v>
      </c>
      <c r="D55" s="47" t="s">
        <v>92</v>
      </c>
      <c r="E55" s="47" t="s">
        <v>45</v>
      </c>
      <c r="F55" s="47" t="s">
        <v>110</v>
      </c>
      <c r="G55" s="47" t="s">
        <v>25</v>
      </c>
      <c r="H55" s="47" t="s">
        <v>25</v>
      </c>
      <c r="I55" s="47" t="s">
        <v>34</v>
      </c>
      <c r="J55" s="47" t="s">
        <v>980</v>
      </c>
      <c r="K55" s="47" t="s">
        <v>981</v>
      </c>
      <c r="L55" s="47" t="s">
        <v>93</v>
      </c>
      <c r="M55" s="47">
        <v>2021</v>
      </c>
      <c r="N55" s="47">
        <v>0</v>
      </c>
      <c r="O55" s="47">
        <v>321.64</v>
      </c>
      <c r="P55" s="47"/>
    </row>
    <row r="56" spans="1:16" ht="11.25" customHeight="1" x14ac:dyDescent="0.25">
      <c r="A56" s="47">
        <v>55</v>
      </c>
      <c r="B56" s="47" t="s">
        <v>886</v>
      </c>
      <c r="C56" s="47" t="s">
        <v>44</v>
      </c>
      <c r="D56" s="47" t="s">
        <v>92</v>
      </c>
      <c r="E56" s="47" t="s">
        <v>45</v>
      </c>
      <c r="F56" s="47" t="s">
        <v>110</v>
      </c>
      <c r="G56" s="47" t="s">
        <v>25</v>
      </c>
      <c r="H56" s="47" t="s">
        <v>25</v>
      </c>
      <c r="I56" s="47" t="s">
        <v>36</v>
      </c>
      <c r="J56" s="47" t="s">
        <v>980</v>
      </c>
      <c r="K56" s="47" t="s">
        <v>981</v>
      </c>
      <c r="L56" s="47" t="s">
        <v>93</v>
      </c>
      <c r="M56" s="47">
        <v>2021</v>
      </c>
      <c r="N56" s="47">
        <v>0</v>
      </c>
      <c r="O56" s="47">
        <v>195.63</v>
      </c>
      <c r="P56" s="47"/>
    </row>
    <row r="57" spans="1:16" ht="11.25" customHeight="1" x14ac:dyDescent="0.25">
      <c r="A57" s="47">
        <v>56</v>
      </c>
      <c r="B57" s="47" t="s">
        <v>886</v>
      </c>
      <c r="C57" s="47" t="s">
        <v>44</v>
      </c>
      <c r="D57" s="47" t="s">
        <v>92</v>
      </c>
      <c r="E57" s="47" t="s">
        <v>45</v>
      </c>
      <c r="F57" s="47" t="s">
        <v>111</v>
      </c>
      <c r="G57" s="47" t="s">
        <v>25</v>
      </c>
      <c r="H57" s="47" t="s">
        <v>25</v>
      </c>
      <c r="I57" s="47" t="s">
        <v>36</v>
      </c>
      <c r="J57" s="47" t="s">
        <v>980</v>
      </c>
      <c r="K57" s="47" t="s">
        <v>981</v>
      </c>
      <c r="L57" s="47" t="s">
        <v>93</v>
      </c>
      <c r="M57" s="47">
        <v>2021</v>
      </c>
      <c r="N57" s="47">
        <v>0</v>
      </c>
      <c r="O57" s="47">
        <v>186.74</v>
      </c>
      <c r="P57" s="47"/>
    </row>
    <row r="58" spans="1:16" ht="11.25" customHeight="1" x14ac:dyDescent="0.25">
      <c r="A58" s="47">
        <v>57</v>
      </c>
      <c r="B58" s="47" t="s">
        <v>886</v>
      </c>
      <c r="C58" s="47" t="s">
        <v>44</v>
      </c>
      <c r="D58" s="47" t="s">
        <v>92</v>
      </c>
      <c r="E58" s="47" t="s">
        <v>45</v>
      </c>
      <c r="F58" s="47" t="s">
        <v>111</v>
      </c>
      <c r="G58" s="47" t="s">
        <v>25</v>
      </c>
      <c r="H58" s="47" t="s">
        <v>25</v>
      </c>
      <c r="I58" s="47" t="s">
        <v>35</v>
      </c>
      <c r="J58" s="47" t="s">
        <v>980</v>
      </c>
      <c r="K58" s="47" t="s">
        <v>981</v>
      </c>
      <c r="L58" s="47" t="s">
        <v>93</v>
      </c>
      <c r="M58" s="47">
        <v>2021</v>
      </c>
      <c r="N58" s="47">
        <v>0</v>
      </c>
      <c r="O58" s="47">
        <v>186.74</v>
      </c>
      <c r="P58" s="47"/>
    </row>
    <row r="59" spans="1:16" ht="11.25" customHeight="1" x14ac:dyDescent="0.25">
      <c r="A59" s="47">
        <v>58</v>
      </c>
      <c r="B59" s="47" t="s">
        <v>886</v>
      </c>
      <c r="C59" s="47" t="s">
        <v>44</v>
      </c>
      <c r="D59" s="47" t="s">
        <v>103</v>
      </c>
      <c r="E59" s="47" t="s">
        <v>45</v>
      </c>
      <c r="F59" s="47" t="s">
        <v>111</v>
      </c>
      <c r="G59" s="47" t="s">
        <v>25</v>
      </c>
      <c r="H59" s="47" t="s">
        <v>25</v>
      </c>
      <c r="I59" s="47" t="s">
        <v>25</v>
      </c>
      <c r="J59" s="47" t="s">
        <v>980</v>
      </c>
      <c r="K59" s="47" t="s">
        <v>981</v>
      </c>
      <c r="L59" s="47" t="s">
        <v>93</v>
      </c>
      <c r="M59" s="47">
        <v>2021</v>
      </c>
      <c r="N59" s="47">
        <v>0</v>
      </c>
      <c r="O59" s="47">
        <v>196.76</v>
      </c>
      <c r="P59" s="47"/>
    </row>
    <row r="60" spans="1:16" ht="11.25" customHeight="1" x14ac:dyDescent="0.25">
      <c r="A60" s="47">
        <v>59</v>
      </c>
      <c r="B60" s="47" t="s">
        <v>886</v>
      </c>
      <c r="C60" s="47" t="s">
        <v>37</v>
      </c>
      <c r="D60" s="47" t="s">
        <v>92</v>
      </c>
      <c r="E60" s="47" t="s">
        <v>25</v>
      </c>
      <c r="F60" s="47" t="s">
        <v>25</v>
      </c>
      <c r="G60" s="47" t="s">
        <v>25</v>
      </c>
      <c r="H60" s="47" t="s">
        <v>25</v>
      </c>
      <c r="I60" s="47" t="s">
        <v>34</v>
      </c>
      <c r="J60" s="47" t="s">
        <v>980</v>
      </c>
      <c r="K60" s="47" t="s">
        <v>981</v>
      </c>
      <c r="L60" s="47" t="s">
        <v>93</v>
      </c>
      <c r="M60" s="47">
        <v>2021</v>
      </c>
      <c r="N60" s="47">
        <v>0</v>
      </c>
      <c r="O60" s="47">
        <v>365.5</v>
      </c>
      <c r="P60" s="47"/>
    </row>
    <row r="61" spans="1:16" ht="11.25" customHeight="1" x14ac:dyDescent="0.25">
      <c r="A61" s="47">
        <v>60</v>
      </c>
      <c r="B61" s="47" t="s">
        <v>886</v>
      </c>
      <c r="C61" s="47" t="s">
        <v>37</v>
      </c>
      <c r="D61" s="47" t="s">
        <v>92</v>
      </c>
      <c r="E61" s="47" t="s">
        <v>25</v>
      </c>
      <c r="F61" s="47" t="s">
        <v>25</v>
      </c>
      <c r="G61" s="47" t="s">
        <v>25</v>
      </c>
      <c r="H61" s="47" t="s">
        <v>25</v>
      </c>
      <c r="I61" s="47" t="s">
        <v>36</v>
      </c>
      <c r="J61" s="47" t="s">
        <v>980</v>
      </c>
      <c r="K61" s="47" t="s">
        <v>981</v>
      </c>
      <c r="L61" s="47" t="s">
        <v>93</v>
      </c>
      <c r="M61" s="47">
        <v>2021</v>
      </c>
      <c r="N61" s="47">
        <v>0</v>
      </c>
      <c r="O61" s="47">
        <v>222.31</v>
      </c>
      <c r="P61" s="47"/>
    </row>
    <row r="62" spans="1:16" ht="11.25" customHeight="1" x14ac:dyDescent="0.25">
      <c r="A62" s="47">
        <v>61</v>
      </c>
      <c r="B62" s="47" t="s">
        <v>886</v>
      </c>
      <c r="C62" s="47" t="s">
        <v>37</v>
      </c>
      <c r="D62" s="47" t="s">
        <v>92</v>
      </c>
      <c r="E62" s="47" t="s">
        <v>25</v>
      </c>
      <c r="F62" s="47" t="s">
        <v>25</v>
      </c>
      <c r="G62" s="47" t="s">
        <v>25</v>
      </c>
      <c r="H62" s="47" t="s">
        <v>25</v>
      </c>
      <c r="I62" s="47" t="s">
        <v>35</v>
      </c>
      <c r="J62" s="47" t="s">
        <v>980</v>
      </c>
      <c r="K62" s="47" t="s">
        <v>981</v>
      </c>
      <c r="L62" s="47" t="s">
        <v>93</v>
      </c>
      <c r="M62" s="47">
        <v>2021</v>
      </c>
      <c r="N62" s="47">
        <v>0</v>
      </c>
      <c r="O62" s="47">
        <v>222.31</v>
      </c>
      <c r="P62" s="47"/>
    </row>
    <row r="63" spans="1:16" ht="11.25" customHeight="1" x14ac:dyDescent="0.25">
      <c r="A63" s="47">
        <v>62</v>
      </c>
      <c r="B63" s="47" t="s">
        <v>886</v>
      </c>
      <c r="C63" s="47" t="s">
        <v>47</v>
      </c>
      <c r="D63" s="47" t="s">
        <v>103</v>
      </c>
      <c r="E63" s="47" t="s">
        <v>48</v>
      </c>
      <c r="F63" s="47" t="s">
        <v>112</v>
      </c>
      <c r="G63" s="47" t="s">
        <v>25</v>
      </c>
      <c r="H63" s="47" t="s">
        <v>25</v>
      </c>
      <c r="I63" s="47" t="s">
        <v>25</v>
      </c>
      <c r="J63" s="47" t="s">
        <v>980</v>
      </c>
      <c r="K63" s="47" t="s">
        <v>981</v>
      </c>
      <c r="L63" s="47" t="s">
        <v>93</v>
      </c>
      <c r="M63" s="47">
        <v>2021</v>
      </c>
      <c r="N63" s="47">
        <v>0</v>
      </c>
      <c r="O63" s="47">
        <v>140.54</v>
      </c>
      <c r="P63" s="47"/>
    </row>
    <row r="64" spans="1:16" ht="11.25" customHeight="1" x14ac:dyDescent="0.25">
      <c r="A64" s="47">
        <v>63</v>
      </c>
      <c r="B64" s="47" t="s">
        <v>886</v>
      </c>
      <c r="C64" s="47" t="s">
        <v>22</v>
      </c>
      <c r="D64" s="47" t="s">
        <v>92</v>
      </c>
      <c r="E64" s="47" t="s">
        <v>24</v>
      </c>
      <c r="F64" s="47" t="s">
        <v>24</v>
      </c>
      <c r="G64" s="47" t="s">
        <v>25</v>
      </c>
      <c r="H64" s="47" t="s">
        <v>25</v>
      </c>
      <c r="I64" s="47" t="s">
        <v>36</v>
      </c>
      <c r="J64" s="47" t="s">
        <v>980</v>
      </c>
      <c r="K64" s="47" t="s">
        <v>981</v>
      </c>
      <c r="L64" s="47" t="s">
        <v>93</v>
      </c>
      <c r="M64" s="47">
        <v>2021</v>
      </c>
      <c r="N64" s="47">
        <v>0</v>
      </c>
      <c r="O64" s="47">
        <v>222.31</v>
      </c>
      <c r="P64" s="47"/>
    </row>
    <row r="65" spans="1:16" ht="11.25" customHeight="1" x14ac:dyDescent="0.25">
      <c r="A65" s="47">
        <v>64</v>
      </c>
      <c r="B65" s="47" t="s">
        <v>886</v>
      </c>
      <c r="C65" s="47" t="s">
        <v>22</v>
      </c>
      <c r="D65" s="47" t="s">
        <v>92</v>
      </c>
      <c r="E65" s="47" t="s">
        <v>24</v>
      </c>
      <c r="F65" s="47" t="s">
        <v>24</v>
      </c>
      <c r="G65" s="47" t="s">
        <v>25</v>
      </c>
      <c r="H65" s="47" t="s">
        <v>25</v>
      </c>
      <c r="I65" s="47" t="s">
        <v>35</v>
      </c>
      <c r="J65" s="47" t="s">
        <v>980</v>
      </c>
      <c r="K65" s="47" t="s">
        <v>981</v>
      </c>
      <c r="L65" s="47" t="s">
        <v>93</v>
      </c>
      <c r="M65" s="47">
        <v>2021</v>
      </c>
      <c r="N65" s="47">
        <v>0</v>
      </c>
      <c r="O65" s="47">
        <v>222.31</v>
      </c>
      <c r="P65" s="47"/>
    </row>
    <row r="66" spans="1:16" ht="11.25" customHeight="1" x14ac:dyDescent="0.25">
      <c r="A66" s="47">
        <v>65</v>
      </c>
      <c r="B66" s="47" t="s">
        <v>886</v>
      </c>
      <c r="C66" s="47" t="s">
        <v>22</v>
      </c>
      <c r="D66" s="47" t="s">
        <v>103</v>
      </c>
      <c r="E66" s="47" t="s">
        <v>24</v>
      </c>
      <c r="F66" s="47" t="s">
        <v>24</v>
      </c>
      <c r="G66" s="47" t="s">
        <v>25</v>
      </c>
      <c r="H66" s="47" t="s">
        <v>25</v>
      </c>
      <c r="I66" s="47" t="s">
        <v>25</v>
      </c>
      <c r="J66" s="47" t="s">
        <v>980</v>
      </c>
      <c r="K66" s="47" t="s">
        <v>981</v>
      </c>
      <c r="L66" s="47" t="s">
        <v>93</v>
      </c>
      <c r="M66" s="47">
        <v>2021</v>
      </c>
      <c r="N66" s="47">
        <v>0</v>
      </c>
      <c r="O66" s="47">
        <v>234.24</v>
      </c>
      <c r="P66" s="47"/>
    </row>
    <row r="67" spans="1:16" ht="11.25" customHeight="1" x14ac:dyDescent="0.25">
      <c r="A67" s="47">
        <v>66</v>
      </c>
      <c r="B67" s="47" t="s">
        <v>886</v>
      </c>
      <c r="C67" s="47" t="s">
        <v>22</v>
      </c>
      <c r="D67" s="47" t="s">
        <v>103</v>
      </c>
      <c r="E67" s="47" t="s">
        <v>24</v>
      </c>
      <c r="F67" s="47" t="s">
        <v>32</v>
      </c>
      <c r="G67" s="47" t="s">
        <v>25</v>
      </c>
      <c r="H67" s="47" t="s">
        <v>25</v>
      </c>
      <c r="I67" s="47" t="s">
        <v>25</v>
      </c>
      <c r="J67" s="47" t="s">
        <v>980</v>
      </c>
      <c r="K67" s="47" t="s">
        <v>981</v>
      </c>
      <c r="L67" s="47" t="s">
        <v>93</v>
      </c>
      <c r="M67" s="47">
        <v>2021</v>
      </c>
      <c r="N67" s="47">
        <v>0</v>
      </c>
      <c r="O67" s="47">
        <v>234.24</v>
      </c>
      <c r="P67" s="47"/>
    </row>
    <row r="68" spans="1:16" ht="11.25" customHeight="1" x14ac:dyDescent="0.25">
      <c r="A68" s="47">
        <v>67</v>
      </c>
      <c r="B68" s="47" t="s">
        <v>886</v>
      </c>
      <c r="C68" s="47" t="s">
        <v>22</v>
      </c>
      <c r="D68" s="47" t="s">
        <v>108</v>
      </c>
      <c r="E68" s="47" t="s">
        <v>24</v>
      </c>
      <c r="F68" s="47" t="s">
        <v>24</v>
      </c>
      <c r="G68" s="47" t="s">
        <v>25</v>
      </c>
      <c r="H68" s="47" t="s">
        <v>25</v>
      </c>
      <c r="I68" s="47" t="s">
        <v>25</v>
      </c>
      <c r="J68" s="47" t="s">
        <v>980</v>
      </c>
      <c r="K68" s="47" t="s">
        <v>981</v>
      </c>
      <c r="L68" s="47" t="s">
        <v>93</v>
      </c>
      <c r="M68" s="47">
        <v>2021</v>
      </c>
      <c r="N68" s="47">
        <v>0</v>
      </c>
      <c r="O68" s="47">
        <v>234.24</v>
      </c>
      <c r="P68" s="47"/>
    </row>
    <row r="69" spans="1:16" ht="11.25" customHeight="1" x14ac:dyDescent="0.25">
      <c r="A69" s="47">
        <v>68</v>
      </c>
      <c r="B69" s="47" t="s">
        <v>886</v>
      </c>
      <c r="C69" s="47" t="s">
        <v>22</v>
      </c>
      <c r="D69" s="47" t="s">
        <v>108</v>
      </c>
      <c r="E69" s="47" t="s">
        <v>24</v>
      </c>
      <c r="F69" s="47" t="s">
        <v>29</v>
      </c>
      <c r="G69" s="47" t="s">
        <v>25</v>
      </c>
      <c r="H69" s="47" t="s">
        <v>25</v>
      </c>
      <c r="I69" s="47" t="s">
        <v>25</v>
      </c>
      <c r="J69" s="47" t="s">
        <v>980</v>
      </c>
      <c r="K69" s="47" t="s">
        <v>981</v>
      </c>
      <c r="L69" s="47" t="s">
        <v>93</v>
      </c>
      <c r="M69" s="47">
        <v>2021</v>
      </c>
      <c r="N69" s="47">
        <v>0</v>
      </c>
      <c r="O69" s="47">
        <v>81.98</v>
      </c>
      <c r="P69" s="47"/>
    </row>
    <row r="70" spans="1:16" ht="11.25" customHeight="1" x14ac:dyDescent="0.25">
      <c r="A70" s="47">
        <v>69</v>
      </c>
      <c r="B70" s="47" t="s">
        <v>886</v>
      </c>
      <c r="C70" s="47" t="s">
        <v>44</v>
      </c>
      <c r="D70" s="47" t="s">
        <v>92</v>
      </c>
      <c r="E70" s="47" t="s">
        <v>45</v>
      </c>
      <c r="F70" s="47" t="s">
        <v>25</v>
      </c>
      <c r="G70" s="47" t="s">
        <v>25</v>
      </c>
      <c r="H70" s="47" t="s">
        <v>25</v>
      </c>
      <c r="I70" s="47" t="s">
        <v>34</v>
      </c>
      <c r="J70" s="47" t="s">
        <v>980</v>
      </c>
      <c r="K70" s="47" t="s">
        <v>981</v>
      </c>
      <c r="L70" s="47" t="s">
        <v>93</v>
      </c>
      <c r="M70" s="47">
        <v>2021</v>
      </c>
      <c r="N70" s="47">
        <v>0</v>
      </c>
      <c r="O70" s="47">
        <v>321.64</v>
      </c>
      <c r="P70" s="47"/>
    </row>
    <row r="71" spans="1:16" ht="11.25" customHeight="1" x14ac:dyDescent="0.25">
      <c r="A71" s="47">
        <v>70</v>
      </c>
      <c r="B71" s="47" t="s">
        <v>886</v>
      </c>
      <c r="C71" s="47" t="s">
        <v>44</v>
      </c>
      <c r="D71" s="47" t="s">
        <v>92</v>
      </c>
      <c r="E71" s="47" t="s">
        <v>45</v>
      </c>
      <c r="F71" s="47" t="s">
        <v>25</v>
      </c>
      <c r="G71" s="47" t="s">
        <v>25</v>
      </c>
      <c r="H71" s="47" t="s">
        <v>25</v>
      </c>
      <c r="I71" s="47" t="s">
        <v>36</v>
      </c>
      <c r="J71" s="47" t="s">
        <v>980</v>
      </c>
      <c r="K71" s="47" t="s">
        <v>981</v>
      </c>
      <c r="L71" s="47" t="s">
        <v>93</v>
      </c>
      <c r="M71" s="47">
        <v>2021</v>
      </c>
      <c r="N71" s="47">
        <v>0</v>
      </c>
      <c r="O71" s="47">
        <v>195.63</v>
      </c>
      <c r="P71" s="47"/>
    </row>
    <row r="72" spans="1:16" ht="11.25" customHeight="1" x14ac:dyDescent="0.25">
      <c r="A72" s="47">
        <v>71</v>
      </c>
      <c r="B72" s="47" t="s">
        <v>886</v>
      </c>
      <c r="C72" s="47" t="s">
        <v>44</v>
      </c>
      <c r="D72" s="47" t="s">
        <v>92</v>
      </c>
      <c r="E72" s="47" t="s">
        <v>45</v>
      </c>
      <c r="F72" s="47" t="s">
        <v>25</v>
      </c>
      <c r="G72" s="47" t="s">
        <v>25</v>
      </c>
      <c r="H72" s="47" t="s">
        <v>25</v>
      </c>
      <c r="I72" s="47" t="s">
        <v>35</v>
      </c>
      <c r="J72" s="47" t="s">
        <v>980</v>
      </c>
      <c r="K72" s="47" t="s">
        <v>981</v>
      </c>
      <c r="L72" s="47" t="s">
        <v>93</v>
      </c>
      <c r="M72" s="47">
        <v>2021</v>
      </c>
      <c r="N72" s="47">
        <v>0</v>
      </c>
      <c r="O72" s="47">
        <v>195.63</v>
      </c>
      <c r="P72" s="47"/>
    </row>
    <row r="73" spans="1:16" ht="11.25" customHeight="1" x14ac:dyDescent="0.25">
      <c r="A73" s="47">
        <v>72</v>
      </c>
      <c r="B73" s="47" t="s">
        <v>886</v>
      </c>
      <c r="C73" s="47" t="s">
        <v>44</v>
      </c>
      <c r="D73" s="47" t="s">
        <v>92</v>
      </c>
      <c r="E73" s="47" t="s">
        <v>45</v>
      </c>
      <c r="F73" s="47" t="s">
        <v>110</v>
      </c>
      <c r="G73" s="47" t="s">
        <v>25</v>
      </c>
      <c r="H73" s="47" t="s">
        <v>25</v>
      </c>
      <c r="I73" s="47" t="s">
        <v>35</v>
      </c>
      <c r="J73" s="47" t="s">
        <v>980</v>
      </c>
      <c r="K73" s="47" t="s">
        <v>981</v>
      </c>
      <c r="L73" s="47" t="s">
        <v>93</v>
      </c>
      <c r="M73" s="47">
        <v>2021</v>
      </c>
      <c r="N73" s="47">
        <v>0</v>
      </c>
      <c r="O73" s="47">
        <v>195.63</v>
      </c>
      <c r="P73" s="47"/>
    </row>
    <row r="74" spans="1:16" ht="11.25" customHeight="1" x14ac:dyDescent="0.25">
      <c r="A74" s="47">
        <v>73</v>
      </c>
      <c r="B74" s="47" t="s">
        <v>886</v>
      </c>
      <c r="C74" s="47" t="s">
        <v>44</v>
      </c>
      <c r="D74" s="47" t="s">
        <v>103</v>
      </c>
      <c r="E74" s="47" t="s">
        <v>45</v>
      </c>
      <c r="F74" s="47" t="s">
        <v>110</v>
      </c>
      <c r="G74" s="47" t="s">
        <v>25</v>
      </c>
      <c r="H74" s="47" t="s">
        <v>25</v>
      </c>
      <c r="I74" s="47" t="s">
        <v>25</v>
      </c>
      <c r="J74" s="47" t="s">
        <v>980</v>
      </c>
      <c r="K74" s="47" t="s">
        <v>981</v>
      </c>
      <c r="L74" s="47" t="s">
        <v>93</v>
      </c>
      <c r="M74" s="47">
        <v>2021</v>
      </c>
      <c r="N74" s="47">
        <v>0</v>
      </c>
      <c r="O74" s="47">
        <v>206.13</v>
      </c>
      <c r="P74" s="47"/>
    </row>
    <row r="75" spans="1:16" ht="11.25" customHeight="1" x14ac:dyDescent="0.25">
      <c r="A75" s="47">
        <v>74</v>
      </c>
      <c r="B75" s="47" t="s">
        <v>886</v>
      </c>
      <c r="C75" s="47" t="s">
        <v>44</v>
      </c>
      <c r="D75" s="47" t="s">
        <v>92</v>
      </c>
      <c r="E75" s="47" t="s">
        <v>45</v>
      </c>
      <c r="F75" s="47" t="s">
        <v>111</v>
      </c>
      <c r="G75" s="47" t="s">
        <v>25</v>
      </c>
      <c r="H75" s="47" t="s">
        <v>25</v>
      </c>
      <c r="I75" s="47" t="s">
        <v>34</v>
      </c>
      <c r="J75" s="47" t="s">
        <v>980</v>
      </c>
      <c r="K75" s="47" t="s">
        <v>981</v>
      </c>
      <c r="L75" s="47" t="s">
        <v>93</v>
      </c>
      <c r="M75" s="47">
        <v>2021</v>
      </c>
      <c r="N75" s="47">
        <v>0</v>
      </c>
      <c r="O75" s="47">
        <v>307.02</v>
      </c>
      <c r="P75" s="47"/>
    </row>
    <row r="76" spans="1:16" ht="11.25" customHeight="1" x14ac:dyDescent="0.25">
      <c r="A76" s="47">
        <v>75</v>
      </c>
      <c r="B76" s="47" t="s">
        <v>886</v>
      </c>
      <c r="C76" s="47" t="s">
        <v>44</v>
      </c>
      <c r="D76" s="47" t="s">
        <v>108</v>
      </c>
      <c r="E76" s="47" t="s">
        <v>45</v>
      </c>
      <c r="F76" s="47" t="s">
        <v>25</v>
      </c>
      <c r="G76" s="47" t="s">
        <v>25</v>
      </c>
      <c r="H76" s="47" t="s">
        <v>25</v>
      </c>
      <c r="I76" s="47" t="s">
        <v>25</v>
      </c>
      <c r="J76" s="47" t="s">
        <v>980</v>
      </c>
      <c r="K76" s="47" t="s">
        <v>981</v>
      </c>
      <c r="L76" s="47" t="s">
        <v>93</v>
      </c>
      <c r="M76" s="47">
        <v>2021</v>
      </c>
      <c r="N76" s="47">
        <v>0</v>
      </c>
      <c r="O76" s="47">
        <v>206.13</v>
      </c>
      <c r="P76" s="47"/>
    </row>
    <row r="77" spans="1:16" ht="11.25" customHeight="1" x14ac:dyDescent="0.25">
      <c r="A77" s="47">
        <v>76</v>
      </c>
      <c r="B77" s="47" t="s">
        <v>886</v>
      </c>
      <c r="C77" s="47" t="s">
        <v>44</v>
      </c>
      <c r="D77" s="47" t="s">
        <v>108</v>
      </c>
      <c r="E77" s="47" t="s">
        <v>45</v>
      </c>
      <c r="F77" s="47" t="s">
        <v>110</v>
      </c>
      <c r="G77" s="47" t="s">
        <v>25</v>
      </c>
      <c r="H77" s="47" t="s">
        <v>25</v>
      </c>
      <c r="I77" s="47" t="s">
        <v>25</v>
      </c>
      <c r="J77" s="47" t="s">
        <v>980</v>
      </c>
      <c r="K77" s="47" t="s">
        <v>981</v>
      </c>
      <c r="L77" s="47" t="s">
        <v>93</v>
      </c>
      <c r="M77" s="47">
        <v>2021</v>
      </c>
      <c r="N77" s="47">
        <v>0</v>
      </c>
      <c r="O77" s="47">
        <v>206.13</v>
      </c>
      <c r="P77" s="47"/>
    </row>
    <row r="78" spans="1:16" ht="11.25" customHeight="1" x14ac:dyDescent="0.25">
      <c r="A78" s="47">
        <v>77</v>
      </c>
      <c r="B78" s="47" t="s">
        <v>886</v>
      </c>
      <c r="C78" s="47" t="s">
        <v>44</v>
      </c>
      <c r="D78" s="47" t="s">
        <v>108</v>
      </c>
      <c r="E78" s="47" t="s">
        <v>45</v>
      </c>
      <c r="F78" s="47" t="s">
        <v>111</v>
      </c>
      <c r="G78" s="47" t="s">
        <v>25</v>
      </c>
      <c r="H78" s="47" t="s">
        <v>25</v>
      </c>
      <c r="I78" s="47" t="s">
        <v>25</v>
      </c>
      <c r="J78" s="47" t="s">
        <v>980</v>
      </c>
      <c r="K78" s="47" t="s">
        <v>981</v>
      </c>
      <c r="L78" s="47" t="s">
        <v>93</v>
      </c>
      <c r="M78" s="47">
        <v>2021</v>
      </c>
      <c r="N78" s="47">
        <v>0</v>
      </c>
      <c r="O78" s="47">
        <v>196.76</v>
      </c>
      <c r="P78" s="47"/>
    </row>
    <row r="79" spans="1:16" ht="11.25" customHeight="1" x14ac:dyDescent="0.25">
      <c r="A79" s="47">
        <v>78</v>
      </c>
      <c r="B79" s="47" t="s">
        <v>858</v>
      </c>
      <c r="C79" s="47" t="s">
        <v>44</v>
      </c>
      <c r="D79" s="47" t="s">
        <v>33</v>
      </c>
      <c r="E79" s="47" t="s">
        <v>45</v>
      </c>
      <c r="F79" s="47" t="s">
        <v>110</v>
      </c>
      <c r="G79" s="47" t="s">
        <v>25</v>
      </c>
      <c r="H79" s="47" t="s">
        <v>25</v>
      </c>
      <c r="I79" s="47" t="s">
        <v>36</v>
      </c>
      <c r="J79" s="47" t="s">
        <v>980</v>
      </c>
      <c r="K79" s="47" t="s">
        <v>981</v>
      </c>
      <c r="L79" s="47" t="s">
        <v>93</v>
      </c>
      <c r="M79" s="47">
        <v>2021</v>
      </c>
      <c r="N79" s="47">
        <v>0</v>
      </c>
      <c r="O79" s="47">
        <v>497.52</v>
      </c>
      <c r="P79" s="47">
        <v>20.263876820039201</v>
      </c>
    </row>
    <row r="80" spans="1:16" ht="11.25" customHeight="1" x14ac:dyDescent="0.25">
      <c r="A80" s="47">
        <v>79</v>
      </c>
      <c r="B80" s="47" t="s">
        <v>858</v>
      </c>
      <c r="C80" s="47" t="s">
        <v>44</v>
      </c>
      <c r="D80" s="47" t="s">
        <v>33</v>
      </c>
      <c r="E80" s="47" t="s">
        <v>45</v>
      </c>
      <c r="F80" s="47" t="s">
        <v>110</v>
      </c>
      <c r="G80" s="47" t="s">
        <v>25</v>
      </c>
      <c r="H80" s="47" t="s">
        <v>25</v>
      </c>
      <c r="I80" s="47" t="s">
        <v>35</v>
      </c>
      <c r="J80" s="47" t="s">
        <v>980</v>
      </c>
      <c r="K80" s="47" t="s">
        <v>981</v>
      </c>
      <c r="L80" s="47" t="s">
        <v>93</v>
      </c>
      <c r="M80" s="47">
        <v>2021</v>
      </c>
      <c r="N80" s="47">
        <v>0</v>
      </c>
      <c r="O80" s="47">
        <v>208.22</v>
      </c>
      <c r="P80" s="47">
        <v>20.263876820039201</v>
      </c>
    </row>
    <row r="81" spans="1:16" ht="11.25" customHeight="1" x14ac:dyDescent="0.25">
      <c r="A81" s="47">
        <v>80</v>
      </c>
      <c r="B81" s="47" t="s">
        <v>858</v>
      </c>
      <c r="C81" s="47" t="s">
        <v>44</v>
      </c>
      <c r="D81" s="47" t="s">
        <v>23</v>
      </c>
      <c r="E81" s="47" t="s">
        <v>45</v>
      </c>
      <c r="F81" s="47" t="s">
        <v>111</v>
      </c>
      <c r="G81" s="47" t="s">
        <v>25</v>
      </c>
      <c r="H81" s="47" t="s">
        <v>25</v>
      </c>
      <c r="I81" s="47" t="s">
        <v>25</v>
      </c>
      <c r="J81" s="47" t="s">
        <v>980</v>
      </c>
      <c r="K81" s="47" t="s">
        <v>981</v>
      </c>
      <c r="L81" s="47" t="s">
        <v>93</v>
      </c>
      <c r="M81" s="47">
        <v>2021</v>
      </c>
      <c r="N81" s="47">
        <v>0</v>
      </c>
      <c r="O81" s="47">
        <v>290.8</v>
      </c>
      <c r="P81" s="47">
        <v>19.3427915100375</v>
      </c>
    </row>
    <row r="82" spans="1:16" ht="11.25" customHeight="1" x14ac:dyDescent="0.25">
      <c r="A82" s="47">
        <v>81</v>
      </c>
      <c r="B82" s="47" t="s">
        <v>858</v>
      </c>
      <c r="C82" s="47" t="s">
        <v>44</v>
      </c>
      <c r="D82" s="47" t="s">
        <v>109</v>
      </c>
      <c r="E82" s="47" t="s">
        <v>45</v>
      </c>
      <c r="F82" s="47" t="s">
        <v>25</v>
      </c>
      <c r="G82" s="47" t="s">
        <v>25</v>
      </c>
      <c r="H82" s="47" t="s">
        <v>25</v>
      </c>
      <c r="I82" s="47" t="s">
        <v>25</v>
      </c>
      <c r="J82" s="47" t="s">
        <v>980</v>
      </c>
      <c r="K82" s="47" t="s">
        <v>981</v>
      </c>
      <c r="L82" s="47" t="s">
        <v>93</v>
      </c>
      <c r="M82" s="47">
        <v>2021</v>
      </c>
      <c r="N82" s="47">
        <v>0</v>
      </c>
      <c r="O82" s="47">
        <v>304.64999999999998</v>
      </c>
      <c r="P82" s="47">
        <v>20.263876820039201</v>
      </c>
    </row>
    <row r="83" spans="1:16" ht="11.25" customHeight="1" x14ac:dyDescent="0.25">
      <c r="A83" s="47">
        <v>82</v>
      </c>
      <c r="B83" s="47" t="s">
        <v>858</v>
      </c>
      <c r="C83" s="47" t="s">
        <v>37</v>
      </c>
      <c r="D83" s="47" t="s">
        <v>33</v>
      </c>
      <c r="E83" s="47" t="s">
        <v>25</v>
      </c>
      <c r="F83" s="47" t="s">
        <v>25</v>
      </c>
      <c r="G83" s="47" t="s">
        <v>25</v>
      </c>
      <c r="H83" s="47" t="s">
        <v>25</v>
      </c>
      <c r="I83" s="47" t="s">
        <v>36</v>
      </c>
      <c r="J83" s="47" t="s">
        <v>980</v>
      </c>
      <c r="K83" s="47" t="s">
        <v>981</v>
      </c>
      <c r="L83" s="47" t="s">
        <v>93</v>
      </c>
      <c r="M83" s="47">
        <v>2021</v>
      </c>
      <c r="N83" s="47">
        <v>0</v>
      </c>
      <c r="O83" s="47">
        <v>606.46</v>
      </c>
      <c r="P83" s="47">
        <v>23.027132750044601</v>
      </c>
    </row>
    <row r="84" spans="1:16" ht="11.25" customHeight="1" x14ac:dyDescent="0.25">
      <c r="A84" s="47">
        <v>83</v>
      </c>
      <c r="B84" s="47" t="s">
        <v>858</v>
      </c>
      <c r="C84" s="47" t="s">
        <v>37</v>
      </c>
      <c r="D84" s="47" t="s">
        <v>33</v>
      </c>
      <c r="E84" s="47" t="s">
        <v>25</v>
      </c>
      <c r="F84" s="47" t="s">
        <v>25</v>
      </c>
      <c r="G84" s="47" t="s">
        <v>25</v>
      </c>
      <c r="H84" s="47" t="s">
        <v>25</v>
      </c>
      <c r="I84" s="47" t="s">
        <v>35</v>
      </c>
      <c r="J84" s="47" t="s">
        <v>980</v>
      </c>
      <c r="K84" s="47" t="s">
        <v>981</v>
      </c>
      <c r="L84" s="47" t="s">
        <v>93</v>
      </c>
      <c r="M84" s="47">
        <v>2021</v>
      </c>
      <c r="N84" s="47">
        <v>0</v>
      </c>
      <c r="O84" s="47">
        <v>250.31</v>
      </c>
      <c r="P84" s="47">
        <v>23.027132750044601</v>
      </c>
    </row>
    <row r="85" spans="1:16" ht="11.25" customHeight="1" x14ac:dyDescent="0.25">
      <c r="A85" s="47">
        <v>84</v>
      </c>
      <c r="B85" s="47" t="s">
        <v>858</v>
      </c>
      <c r="C85" s="47" t="s">
        <v>37</v>
      </c>
      <c r="D85" s="47" t="s">
        <v>23</v>
      </c>
      <c r="E85" s="47" t="s">
        <v>25</v>
      </c>
      <c r="F85" s="47" t="s">
        <v>25</v>
      </c>
      <c r="G85" s="47" t="s">
        <v>25</v>
      </c>
      <c r="H85" s="47" t="s">
        <v>25</v>
      </c>
      <c r="I85" s="47" t="s">
        <v>25</v>
      </c>
      <c r="J85" s="47" t="s">
        <v>980</v>
      </c>
      <c r="K85" s="47" t="s">
        <v>981</v>
      </c>
      <c r="L85" s="47" t="s">
        <v>93</v>
      </c>
      <c r="M85" s="47">
        <v>2021</v>
      </c>
      <c r="N85" s="47">
        <v>0</v>
      </c>
      <c r="O85" s="47">
        <v>346.2</v>
      </c>
      <c r="P85" s="47">
        <v>23.027132750044601</v>
      </c>
    </row>
    <row r="86" spans="1:16" ht="11.25" customHeight="1" x14ac:dyDescent="0.25">
      <c r="A86" s="47">
        <v>85</v>
      </c>
      <c r="B86" s="47" t="s">
        <v>858</v>
      </c>
      <c r="C86" s="47" t="s">
        <v>47</v>
      </c>
      <c r="D86" s="47" t="s">
        <v>23</v>
      </c>
      <c r="E86" s="47" t="s">
        <v>48</v>
      </c>
      <c r="F86" s="47" t="s">
        <v>112</v>
      </c>
      <c r="G86" s="47" t="s">
        <v>25</v>
      </c>
      <c r="H86" s="47" t="s">
        <v>25</v>
      </c>
      <c r="I86" s="47" t="s">
        <v>25</v>
      </c>
      <c r="J86" s="47" t="s">
        <v>980</v>
      </c>
      <c r="K86" s="47" t="s">
        <v>981</v>
      </c>
      <c r="L86" s="47" t="s">
        <v>93</v>
      </c>
      <c r="M86" s="47">
        <v>2021</v>
      </c>
      <c r="N86" s="47">
        <v>0</v>
      </c>
      <c r="O86" s="47">
        <v>207.72</v>
      </c>
      <c r="P86" s="47">
        <v>13.8162796500268</v>
      </c>
    </row>
    <row r="87" spans="1:16" ht="11.25" customHeight="1" x14ac:dyDescent="0.25">
      <c r="A87" s="47">
        <v>86</v>
      </c>
      <c r="B87" s="47" t="s">
        <v>886</v>
      </c>
      <c r="C87" s="47" t="s">
        <v>39</v>
      </c>
      <c r="D87" s="47" t="s">
        <v>92</v>
      </c>
      <c r="E87" s="47" t="s">
        <v>25</v>
      </c>
      <c r="F87" s="47" t="s">
        <v>25</v>
      </c>
      <c r="G87" s="47" t="s">
        <v>25</v>
      </c>
      <c r="H87" s="47" t="s">
        <v>25</v>
      </c>
      <c r="I87" s="47" t="s">
        <v>34</v>
      </c>
      <c r="J87" s="47" t="s">
        <v>980</v>
      </c>
      <c r="K87" s="47" t="s">
        <v>981</v>
      </c>
      <c r="L87" s="47" t="s">
        <v>93</v>
      </c>
      <c r="M87" s="47">
        <v>2021</v>
      </c>
      <c r="N87" s="47">
        <v>0</v>
      </c>
      <c r="O87" s="47">
        <v>365.5</v>
      </c>
      <c r="P87" s="47"/>
    </row>
    <row r="88" spans="1:16" ht="11.25" customHeight="1" x14ac:dyDescent="0.25">
      <c r="A88" s="47">
        <v>87</v>
      </c>
      <c r="B88" s="47" t="s">
        <v>886</v>
      </c>
      <c r="C88" s="47" t="s">
        <v>39</v>
      </c>
      <c r="D88" s="47" t="s">
        <v>92</v>
      </c>
      <c r="E88" s="47" t="s">
        <v>25</v>
      </c>
      <c r="F88" s="47" t="s">
        <v>25</v>
      </c>
      <c r="G88" s="47" t="s">
        <v>25</v>
      </c>
      <c r="H88" s="47" t="s">
        <v>25</v>
      </c>
      <c r="I88" s="47" t="s">
        <v>35</v>
      </c>
      <c r="J88" s="47" t="s">
        <v>980</v>
      </c>
      <c r="K88" s="47" t="s">
        <v>981</v>
      </c>
      <c r="L88" s="47" t="s">
        <v>93</v>
      </c>
      <c r="M88" s="47">
        <v>2021</v>
      </c>
      <c r="N88" s="47">
        <v>0</v>
      </c>
      <c r="O88" s="47">
        <v>222.31</v>
      </c>
      <c r="P88" s="47"/>
    </row>
    <row r="89" spans="1:16" ht="11.25" customHeight="1" x14ac:dyDescent="0.25">
      <c r="A89" s="47">
        <v>88</v>
      </c>
      <c r="B89" s="47" t="s">
        <v>886</v>
      </c>
      <c r="C89" s="47" t="s">
        <v>41</v>
      </c>
      <c r="D89" s="47" t="s">
        <v>92</v>
      </c>
      <c r="E89" s="47" t="s">
        <v>25</v>
      </c>
      <c r="F89" s="47" t="s">
        <v>25</v>
      </c>
      <c r="G89" s="47" t="s">
        <v>25</v>
      </c>
      <c r="H89" s="47" t="s">
        <v>25</v>
      </c>
      <c r="I89" s="47" t="s">
        <v>34</v>
      </c>
      <c r="J89" s="47" t="s">
        <v>980</v>
      </c>
      <c r="K89" s="47" t="s">
        <v>981</v>
      </c>
      <c r="L89" s="47" t="s">
        <v>93</v>
      </c>
      <c r="M89" s="47">
        <v>2021</v>
      </c>
      <c r="N89" s="47">
        <v>0</v>
      </c>
      <c r="O89" s="47">
        <v>365.5</v>
      </c>
      <c r="P89" s="47"/>
    </row>
    <row r="90" spans="1:16" ht="11.25" customHeight="1" x14ac:dyDescent="0.25">
      <c r="A90" s="47">
        <v>89</v>
      </c>
      <c r="B90" s="47" t="s">
        <v>886</v>
      </c>
      <c r="C90" s="47" t="s">
        <v>41</v>
      </c>
      <c r="D90" s="47" t="s">
        <v>92</v>
      </c>
      <c r="E90" s="47" t="s">
        <v>25</v>
      </c>
      <c r="F90" s="47" t="s">
        <v>25</v>
      </c>
      <c r="G90" s="47" t="s">
        <v>25</v>
      </c>
      <c r="H90" s="47" t="s">
        <v>25</v>
      </c>
      <c r="I90" s="47" t="s">
        <v>35</v>
      </c>
      <c r="J90" s="47" t="s">
        <v>980</v>
      </c>
      <c r="K90" s="47" t="s">
        <v>981</v>
      </c>
      <c r="L90" s="47" t="s">
        <v>93</v>
      </c>
      <c r="M90" s="47">
        <v>2021</v>
      </c>
      <c r="N90" s="47">
        <v>0</v>
      </c>
      <c r="O90" s="47">
        <v>222.31</v>
      </c>
      <c r="P90" s="47"/>
    </row>
    <row r="91" spans="1:16" ht="11.25" customHeight="1" x14ac:dyDescent="0.25">
      <c r="A91" s="47">
        <v>90</v>
      </c>
      <c r="B91" s="47" t="s">
        <v>886</v>
      </c>
      <c r="C91" s="47" t="s">
        <v>41</v>
      </c>
      <c r="D91" s="47" t="s">
        <v>96</v>
      </c>
      <c r="E91" s="47" t="s">
        <v>25</v>
      </c>
      <c r="F91" s="47" t="s">
        <v>25</v>
      </c>
      <c r="G91" s="47" t="s">
        <v>97</v>
      </c>
      <c r="H91" s="47" t="s">
        <v>25</v>
      </c>
      <c r="I91" s="47" t="s">
        <v>25</v>
      </c>
      <c r="J91" s="47" t="s">
        <v>980</v>
      </c>
      <c r="K91" s="47" t="s">
        <v>981</v>
      </c>
      <c r="L91" s="47" t="s">
        <v>93</v>
      </c>
      <c r="M91" s="47">
        <v>2021</v>
      </c>
      <c r="N91" s="47">
        <v>0</v>
      </c>
      <c r="O91" s="47">
        <v>230.1</v>
      </c>
      <c r="P91" s="47"/>
    </row>
    <row r="92" spans="1:16" ht="11.25" customHeight="1" x14ac:dyDescent="0.25">
      <c r="A92" s="47">
        <v>91</v>
      </c>
      <c r="B92" s="47" t="s">
        <v>858</v>
      </c>
      <c r="C92" s="47" t="s">
        <v>37</v>
      </c>
      <c r="D92" s="47" t="s">
        <v>109</v>
      </c>
      <c r="E92" s="47" t="s">
        <v>25</v>
      </c>
      <c r="F92" s="47" t="s">
        <v>25</v>
      </c>
      <c r="G92" s="47" t="s">
        <v>25</v>
      </c>
      <c r="H92" s="47" t="s">
        <v>25</v>
      </c>
      <c r="I92" s="47" t="s">
        <v>25</v>
      </c>
      <c r="J92" s="47" t="s">
        <v>980</v>
      </c>
      <c r="K92" s="47" t="s">
        <v>981</v>
      </c>
      <c r="L92" s="47" t="s">
        <v>93</v>
      </c>
      <c r="M92" s="47">
        <v>2021</v>
      </c>
      <c r="N92" s="47">
        <v>0</v>
      </c>
      <c r="O92" s="47">
        <v>346.2</v>
      </c>
      <c r="P92" s="47">
        <v>23.027132750044601</v>
      </c>
    </row>
    <row r="93" spans="1:16" ht="11.25" customHeight="1" x14ac:dyDescent="0.25">
      <c r="A93" s="47">
        <v>92</v>
      </c>
      <c r="B93" s="47" t="s">
        <v>858</v>
      </c>
      <c r="C93" s="47" t="s">
        <v>47</v>
      </c>
      <c r="D93" s="47" t="s">
        <v>23</v>
      </c>
      <c r="E93" s="47" t="s">
        <v>48</v>
      </c>
      <c r="F93" s="47" t="s">
        <v>49</v>
      </c>
      <c r="G93" s="47" t="s">
        <v>25</v>
      </c>
      <c r="H93" s="47" t="s">
        <v>25</v>
      </c>
      <c r="I93" s="47" t="s">
        <v>25</v>
      </c>
      <c r="J93" s="47" t="s">
        <v>980</v>
      </c>
      <c r="K93" s="47" t="s">
        <v>981</v>
      </c>
      <c r="L93" s="47" t="s">
        <v>93</v>
      </c>
      <c r="M93" s="47">
        <v>2021</v>
      </c>
      <c r="N93" s="47">
        <v>0</v>
      </c>
      <c r="O93" s="47">
        <v>190.41</v>
      </c>
      <c r="P93" s="47">
        <v>12.6649230125245</v>
      </c>
    </row>
    <row r="94" spans="1:16" ht="11.25" customHeight="1" x14ac:dyDescent="0.25">
      <c r="A94" s="47">
        <v>93</v>
      </c>
      <c r="B94" s="47" t="s">
        <v>886</v>
      </c>
      <c r="C94" s="47" t="s">
        <v>39</v>
      </c>
      <c r="D94" s="47" t="s">
        <v>96</v>
      </c>
      <c r="E94" s="47" t="s">
        <v>25</v>
      </c>
      <c r="F94" s="47" t="s">
        <v>25</v>
      </c>
      <c r="G94" s="47" t="s">
        <v>97</v>
      </c>
      <c r="H94" s="47" t="s">
        <v>25</v>
      </c>
      <c r="I94" s="47" t="s">
        <v>25</v>
      </c>
      <c r="J94" s="47" t="s">
        <v>980</v>
      </c>
      <c r="K94" s="47" t="s">
        <v>981</v>
      </c>
      <c r="L94" s="47" t="s">
        <v>93</v>
      </c>
      <c r="M94" s="47">
        <v>2021</v>
      </c>
      <c r="N94" s="47">
        <v>0</v>
      </c>
      <c r="O94" s="47">
        <v>230.1</v>
      </c>
      <c r="P94" s="47"/>
    </row>
    <row r="95" spans="1:16" ht="11.25" customHeight="1" x14ac:dyDescent="0.25">
      <c r="A95" s="47">
        <v>94</v>
      </c>
      <c r="B95" s="47" t="s">
        <v>886</v>
      </c>
      <c r="C95" s="47" t="s">
        <v>39</v>
      </c>
      <c r="D95" s="47" t="s">
        <v>102</v>
      </c>
      <c r="E95" s="47" t="s">
        <v>25</v>
      </c>
      <c r="F95" s="47" t="s">
        <v>25</v>
      </c>
      <c r="G95" s="47" t="s">
        <v>97</v>
      </c>
      <c r="H95" s="47" t="s">
        <v>25</v>
      </c>
      <c r="I95" s="47" t="s">
        <v>25</v>
      </c>
      <c r="J95" s="47" t="s">
        <v>980</v>
      </c>
      <c r="K95" s="47" t="s">
        <v>981</v>
      </c>
      <c r="L95" s="47" t="s">
        <v>93</v>
      </c>
      <c r="M95" s="47">
        <v>2021</v>
      </c>
      <c r="N95" s="47">
        <v>0</v>
      </c>
      <c r="O95" s="47">
        <v>230.1</v>
      </c>
      <c r="P95" s="47"/>
    </row>
    <row r="96" spans="1:16" ht="11.25" customHeight="1" x14ac:dyDescent="0.25">
      <c r="A96" s="47">
        <v>95</v>
      </c>
      <c r="B96" s="47" t="s">
        <v>886</v>
      </c>
      <c r="C96" s="47" t="s">
        <v>39</v>
      </c>
      <c r="D96" s="47" t="s">
        <v>96</v>
      </c>
      <c r="E96" s="47" t="s">
        <v>25</v>
      </c>
      <c r="F96" s="47" t="s">
        <v>25</v>
      </c>
      <c r="G96" s="47" t="s">
        <v>25</v>
      </c>
      <c r="H96" s="47" t="s">
        <v>25</v>
      </c>
      <c r="I96" s="47" t="s">
        <v>25</v>
      </c>
      <c r="J96" s="47" t="s">
        <v>980</v>
      </c>
      <c r="K96" s="47" t="s">
        <v>981</v>
      </c>
      <c r="L96" s="47" t="s">
        <v>93</v>
      </c>
      <c r="M96" s="47">
        <v>2021</v>
      </c>
      <c r="N96" s="47">
        <v>0</v>
      </c>
      <c r="O96" s="47">
        <v>211.06</v>
      </c>
      <c r="P96" s="47"/>
    </row>
    <row r="97" spans="1:16" ht="11.25" customHeight="1" x14ac:dyDescent="0.25">
      <c r="A97" s="47">
        <v>96</v>
      </c>
      <c r="B97" s="47" t="s">
        <v>886</v>
      </c>
      <c r="C97" s="47" t="s">
        <v>41</v>
      </c>
      <c r="D97" s="47" t="s">
        <v>102</v>
      </c>
      <c r="E97" s="47" t="s">
        <v>25</v>
      </c>
      <c r="F97" s="47" t="s">
        <v>25</v>
      </c>
      <c r="G97" s="47" t="s">
        <v>97</v>
      </c>
      <c r="H97" s="47" t="s">
        <v>25</v>
      </c>
      <c r="I97" s="47" t="s">
        <v>25</v>
      </c>
      <c r="J97" s="47" t="s">
        <v>980</v>
      </c>
      <c r="K97" s="47" t="s">
        <v>981</v>
      </c>
      <c r="L97" s="47" t="s">
        <v>93</v>
      </c>
      <c r="M97" s="47">
        <v>2021</v>
      </c>
      <c r="N97" s="47">
        <v>0</v>
      </c>
      <c r="O97" s="47">
        <v>230.1</v>
      </c>
      <c r="P97" s="47"/>
    </row>
    <row r="98" spans="1:16" ht="11.25" customHeight="1" x14ac:dyDescent="0.25">
      <c r="A98" s="47">
        <v>97</v>
      </c>
      <c r="B98" s="47" t="s">
        <v>886</v>
      </c>
      <c r="C98" s="47" t="s">
        <v>41</v>
      </c>
      <c r="D98" s="47" t="s">
        <v>96</v>
      </c>
      <c r="E98" s="47" t="s">
        <v>25</v>
      </c>
      <c r="F98" s="47" t="s">
        <v>25</v>
      </c>
      <c r="G98" s="47" t="s">
        <v>25</v>
      </c>
      <c r="H98" s="47" t="s">
        <v>25</v>
      </c>
      <c r="I98" s="47" t="s">
        <v>25</v>
      </c>
      <c r="J98" s="47" t="s">
        <v>980</v>
      </c>
      <c r="K98" s="47" t="s">
        <v>981</v>
      </c>
      <c r="L98" s="47" t="s">
        <v>93</v>
      </c>
      <c r="M98" s="47">
        <v>2021</v>
      </c>
      <c r="N98" s="47">
        <v>0</v>
      </c>
      <c r="O98" s="47">
        <v>211.06</v>
      </c>
      <c r="P98" s="47"/>
    </row>
    <row r="99" spans="1:16" ht="11.25" customHeight="1" x14ac:dyDescent="0.25">
      <c r="A99" s="47">
        <v>98</v>
      </c>
      <c r="B99" s="47" t="s">
        <v>886</v>
      </c>
      <c r="C99" s="47" t="s">
        <v>22</v>
      </c>
      <c r="D99" s="47" t="s">
        <v>92</v>
      </c>
      <c r="E99" s="47" t="s">
        <v>24</v>
      </c>
      <c r="F99" s="47" t="s">
        <v>24</v>
      </c>
      <c r="G99" s="47" t="s">
        <v>25</v>
      </c>
      <c r="H99" s="47" t="s">
        <v>25</v>
      </c>
      <c r="I99" s="47" t="s">
        <v>34</v>
      </c>
      <c r="J99" s="47" t="s">
        <v>980</v>
      </c>
      <c r="K99" s="47" t="s">
        <v>981</v>
      </c>
      <c r="L99" s="47" t="s">
        <v>93</v>
      </c>
      <c r="M99" s="47">
        <v>2021</v>
      </c>
      <c r="N99" s="47">
        <v>0</v>
      </c>
      <c r="O99" s="47">
        <v>365.5</v>
      </c>
      <c r="P99" s="47"/>
    </row>
    <row r="100" spans="1:16" ht="11.25" customHeight="1" x14ac:dyDescent="0.25">
      <c r="A100" s="47">
        <v>99</v>
      </c>
      <c r="B100" s="47" t="s">
        <v>886</v>
      </c>
      <c r="C100" s="47" t="s">
        <v>22</v>
      </c>
      <c r="D100" s="47" t="s">
        <v>103</v>
      </c>
      <c r="E100" s="47" t="s">
        <v>24</v>
      </c>
      <c r="F100" s="47" t="s">
        <v>29</v>
      </c>
      <c r="G100" s="47" t="s">
        <v>25</v>
      </c>
      <c r="H100" s="47" t="s">
        <v>25</v>
      </c>
      <c r="I100" s="47" t="s">
        <v>25</v>
      </c>
      <c r="J100" s="47" t="s">
        <v>980</v>
      </c>
      <c r="K100" s="47" t="s">
        <v>981</v>
      </c>
      <c r="L100" s="47" t="s">
        <v>93</v>
      </c>
      <c r="M100" s="47">
        <v>2021</v>
      </c>
      <c r="N100" s="47">
        <v>0</v>
      </c>
      <c r="O100" s="47">
        <v>81.98</v>
      </c>
      <c r="P100" s="47"/>
    </row>
    <row r="101" spans="1:16" ht="11.25" customHeight="1" x14ac:dyDescent="0.25">
      <c r="A101" s="47">
        <v>100</v>
      </c>
      <c r="B101" s="47" t="s">
        <v>886</v>
      </c>
      <c r="C101" s="47" t="s">
        <v>22</v>
      </c>
      <c r="D101" s="47" t="s">
        <v>103</v>
      </c>
      <c r="E101" s="47" t="s">
        <v>24</v>
      </c>
      <c r="F101" s="47" t="s">
        <v>30</v>
      </c>
      <c r="G101" s="47" t="s">
        <v>25</v>
      </c>
      <c r="H101" s="47" t="s">
        <v>25</v>
      </c>
      <c r="I101" s="47" t="s">
        <v>25</v>
      </c>
      <c r="J101" s="47" t="s">
        <v>980</v>
      </c>
      <c r="K101" s="47" t="s">
        <v>981</v>
      </c>
      <c r="L101" s="47" t="s">
        <v>93</v>
      </c>
      <c r="M101" s="47">
        <v>2021</v>
      </c>
      <c r="N101" s="47">
        <v>0</v>
      </c>
      <c r="O101" s="47">
        <v>140.54</v>
      </c>
      <c r="P101" s="47"/>
    </row>
    <row r="102" spans="1:16" ht="11.25" customHeight="1" x14ac:dyDescent="0.25">
      <c r="A102" s="47">
        <v>101</v>
      </c>
      <c r="B102" s="47" t="s">
        <v>886</v>
      </c>
      <c r="C102" s="47" t="s">
        <v>22</v>
      </c>
      <c r="D102" s="47" t="s">
        <v>103</v>
      </c>
      <c r="E102" s="47" t="s">
        <v>24</v>
      </c>
      <c r="F102" s="47" t="s">
        <v>31</v>
      </c>
      <c r="G102" s="47" t="s">
        <v>25</v>
      </c>
      <c r="H102" s="47" t="s">
        <v>25</v>
      </c>
      <c r="I102" s="47" t="s">
        <v>25</v>
      </c>
      <c r="J102" s="47" t="s">
        <v>980</v>
      </c>
      <c r="K102" s="47" t="s">
        <v>981</v>
      </c>
      <c r="L102" s="47" t="s">
        <v>93</v>
      </c>
      <c r="M102" s="47">
        <v>2021</v>
      </c>
      <c r="N102" s="47">
        <v>0</v>
      </c>
      <c r="O102" s="47">
        <v>210.82</v>
      </c>
      <c r="P102" s="47"/>
    </row>
    <row r="103" spans="1:16" ht="11.25" customHeight="1" x14ac:dyDescent="0.25">
      <c r="A103" s="47">
        <v>102</v>
      </c>
      <c r="B103" s="47" t="s">
        <v>886</v>
      </c>
      <c r="C103" s="47" t="s">
        <v>22</v>
      </c>
      <c r="D103" s="47" t="s">
        <v>108</v>
      </c>
      <c r="E103" s="47" t="s">
        <v>24</v>
      </c>
      <c r="F103" s="47" t="s">
        <v>30</v>
      </c>
      <c r="G103" s="47" t="s">
        <v>25</v>
      </c>
      <c r="H103" s="47" t="s">
        <v>25</v>
      </c>
      <c r="I103" s="47" t="s">
        <v>25</v>
      </c>
      <c r="J103" s="47" t="s">
        <v>980</v>
      </c>
      <c r="K103" s="47" t="s">
        <v>981</v>
      </c>
      <c r="L103" s="47" t="s">
        <v>93</v>
      </c>
      <c r="M103" s="47">
        <v>2021</v>
      </c>
      <c r="N103" s="47">
        <v>0</v>
      </c>
      <c r="O103" s="47">
        <v>140.54</v>
      </c>
      <c r="P103" s="47"/>
    </row>
    <row r="104" spans="1:16" ht="11.25" customHeight="1" x14ac:dyDescent="0.25">
      <c r="A104" s="47">
        <v>103</v>
      </c>
      <c r="B104" s="47" t="s">
        <v>886</v>
      </c>
      <c r="C104" s="47" t="s">
        <v>22</v>
      </c>
      <c r="D104" s="47" t="s">
        <v>108</v>
      </c>
      <c r="E104" s="47" t="s">
        <v>24</v>
      </c>
      <c r="F104" s="47" t="s">
        <v>31</v>
      </c>
      <c r="G104" s="47" t="s">
        <v>25</v>
      </c>
      <c r="H104" s="47" t="s">
        <v>25</v>
      </c>
      <c r="I104" s="47" t="s">
        <v>25</v>
      </c>
      <c r="J104" s="47" t="s">
        <v>980</v>
      </c>
      <c r="K104" s="47" t="s">
        <v>981</v>
      </c>
      <c r="L104" s="47" t="s">
        <v>93</v>
      </c>
      <c r="M104" s="47">
        <v>2021</v>
      </c>
      <c r="N104" s="47">
        <v>0</v>
      </c>
      <c r="O104" s="47">
        <v>210.82</v>
      </c>
      <c r="P104" s="47"/>
    </row>
    <row r="105" spans="1:16" ht="11.25" customHeight="1" x14ac:dyDescent="0.25">
      <c r="A105" s="47">
        <v>104</v>
      </c>
      <c r="B105" s="47" t="s">
        <v>886</v>
      </c>
      <c r="C105" s="47" t="s">
        <v>22</v>
      </c>
      <c r="D105" s="47" t="s">
        <v>108</v>
      </c>
      <c r="E105" s="47" t="s">
        <v>24</v>
      </c>
      <c r="F105" s="47" t="s">
        <v>32</v>
      </c>
      <c r="G105" s="47" t="s">
        <v>25</v>
      </c>
      <c r="H105" s="47" t="s">
        <v>25</v>
      </c>
      <c r="I105" s="47" t="s">
        <v>25</v>
      </c>
      <c r="J105" s="47" t="s">
        <v>980</v>
      </c>
      <c r="K105" s="47" t="s">
        <v>981</v>
      </c>
      <c r="L105" s="47" t="s">
        <v>93</v>
      </c>
      <c r="M105" s="47">
        <v>2021</v>
      </c>
      <c r="N105" s="47">
        <v>0</v>
      </c>
      <c r="O105" s="47">
        <v>234.24</v>
      </c>
      <c r="P105" s="47"/>
    </row>
    <row r="106" spans="1:16" ht="11.25" customHeight="1" x14ac:dyDescent="0.25">
      <c r="A106" s="47">
        <v>105</v>
      </c>
      <c r="B106" s="47" t="s">
        <v>858</v>
      </c>
      <c r="C106" s="47" t="s">
        <v>41</v>
      </c>
      <c r="D106" s="47" t="s">
        <v>61</v>
      </c>
      <c r="E106" s="47" t="s">
        <v>25</v>
      </c>
      <c r="F106" s="47" t="s">
        <v>25</v>
      </c>
      <c r="G106" s="47" t="s">
        <v>25</v>
      </c>
      <c r="H106" s="47" t="s">
        <v>62</v>
      </c>
      <c r="I106" s="47" t="s">
        <v>34</v>
      </c>
      <c r="J106" s="47" t="s">
        <v>983</v>
      </c>
      <c r="K106" s="47" t="s">
        <v>981</v>
      </c>
      <c r="L106" s="47" t="s">
        <v>99</v>
      </c>
      <c r="M106" s="47">
        <v>2021</v>
      </c>
      <c r="N106" s="47">
        <v>0</v>
      </c>
      <c r="O106" s="47">
        <v>29.89</v>
      </c>
      <c r="P106" s="47">
        <v>0</v>
      </c>
    </row>
    <row r="107" spans="1:16" ht="11.25" customHeight="1" x14ac:dyDescent="0.25">
      <c r="A107" s="47">
        <v>106</v>
      </c>
      <c r="B107" s="47" t="s">
        <v>858</v>
      </c>
      <c r="C107" s="47" t="s">
        <v>41</v>
      </c>
      <c r="D107" s="47" t="s">
        <v>61</v>
      </c>
      <c r="E107" s="47" t="s">
        <v>25</v>
      </c>
      <c r="F107" s="47" t="s">
        <v>25</v>
      </c>
      <c r="G107" s="47" t="s">
        <v>25</v>
      </c>
      <c r="H107" s="47" t="s">
        <v>62</v>
      </c>
      <c r="I107" s="47" t="s">
        <v>35</v>
      </c>
      <c r="J107" s="47" t="s">
        <v>983</v>
      </c>
      <c r="K107" s="47" t="s">
        <v>981</v>
      </c>
      <c r="L107" s="47" t="s">
        <v>99</v>
      </c>
      <c r="M107" s="47">
        <v>2021</v>
      </c>
      <c r="N107" s="47">
        <v>0</v>
      </c>
      <c r="O107" s="47">
        <v>15.06</v>
      </c>
      <c r="P107" s="47">
        <v>0</v>
      </c>
    </row>
    <row r="108" spans="1:16" ht="11.25" customHeight="1" x14ac:dyDescent="0.25">
      <c r="A108" s="47">
        <v>107</v>
      </c>
      <c r="B108" s="47" t="s">
        <v>858</v>
      </c>
      <c r="C108" s="47" t="s">
        <v>39</v>
      </c>
      <c r="D108" s="47" t="s">
        <v>61</v>
      </c>
      <c r="E108" s="47" t="s">
        <v>25</v>
      </c>
      <c r="F108" s="47" t="s">
        <v>25</v>
      </c>
      <c r="G108" s="47" t="s">
        <v>25</v>
      </c>
      <c r="H108" s="47" t="s">
        <v>984</v>
      </c>
      <c r="I108" s="47" t="s">
        <v>34</v>
      </c>
      <c r="J108" s="47" t="s">
        <v>983</v>
      </c>
      <c r="K108" s="47" t="s">
        <v>981</v>
      </c>
      <c r="L108" s="47" t="s">
        <v>99</v>
      </c>
      <c r="M108" s="47">
        <v>2021</v>
      </c>
      <c r="N108" s="47">
        <v>0</v>
      </c>
      <c r="O108" s="47">
        <v>0</v>
      </c>
      <c r="P108" s="47">
        <v>0</v>
      </c>
    </row>
    <row r="109" spans="1:16" ht="11.25" customHeight="1" x14ac:dyDescent="0.25">
      <c r="A109" s="47">
        <v>108</v>
      </c>
      <c r="B109" s="47" t="s">
        <v>858</v>
      </c>
      <c r="C109" s="47" t="s">
        <v>39</v>
      </c>
      <c r="D109" s="47" t="s">
        <v>61</v>
      </c>
      <c r="E109" s="47" t="s">
        <v>25</v>
      </c>
      <c r="F109" s="47" t="s">
        <v>25</v>
      </c>
      <c r="G109" s="47" t="s">
        <v>25</v>
      </c>
      <c r="H109" s="47" t="s">
        <v>984</v>
      </c>
      <c r="I109" s="47" t="s">
        <v>35</v>
      </c>
      <c r="J109" s="47" t="s">
        <v>983</v>
      </c>
      <c r="K109" s="47" t="s">
        <v>981</v>
      </c>
      <c r="L109" s="47" t="s">
        <v>99</v>
      </c>
      <c r="M109" s="47">
        <v>2021</v>
      </c>
      <c r="N109" s="47">
        <v>0</v>
      </c>
      <c r="O109" s="47">
        <v>0</v>
      </c>
      <c r="P109" s="47">
        <v>0</v>
      </c>
    </row>
    <row r="110" spans="1:16" ht="11.25" customHeight="1" x14ac:dyDescent="0.25">
      <c r="A110" s="47">
        <v>109</v>
      </c>
      <c r="B110" s="47" t="s">
        <v>858</v>
      </c>
      <c r="C110" s="47" t="s">
        <v>39</v>
      </c>
      <c r="D110" s="47" t="s">
        <v>61</v>
      </c>
      <c r="E110" s="47" t="s">
        <v>25</v>
      </c>
      <c r="F110" s="47" t="s">
        <v>25</v>
      </c>
      <c r="G110" s="47" t="s">
        <v>25</v>
      </c>
      <c r="H110" s="47" t="s">
        <v>984</v>
      </c>
      <c r="I110" s="47" t="s">
        <v>25</v>
      </c>
      <c r="J110" s="47" t="s">
        <v>980</v>
      </c>
      <c r="K110" s="47" t="s">
        <v>981</v>
      </c>
      <c r="L110" s="47" t="s">
        <v>93</v>
      </c>
      <c r="M110" s="47">
        <v>2021</v>
      </c>
      <c r="N110" s="47">
        <v>0</v>
      </c>
      <c r="O110" s="47">
        <v>0</v>
      </c>
      <c r="P110" s="47">
        <v>0</v>
      </c>
    </row>
    <row r="111" spans="1:16" ht="11.25" customHeight="1" x14ac:dyDescent="0.25">
      <c r="A111" s="47">
        <v>110</v>
      </c>
      <c r="B111" s="47" t="s">
        <v>858</v>
      </c>
      <c r="C111" s="47" t="s">
        <v>41</v>
      </c>
      <c r="D111" s="47" t="s">
        <v>40</v>
      </c>
      <c r="E111" s="47" t="s">
        <v>25</v>
      </c>
      <c r="F111" s="47" t="s">
        <v>25</v>
      </c>
      <c r="G111" s="47" t="s">
        <v>25</v>
      </c>
      <c r="H111" s="47" t="s">
        <v>25</v>
      </c>
      <c r="I111" s="47" t="s">
        <v>25</v>
      </c>
      <c r="J111" s="47" t="s">
        <v>980</v>
      </c>
      <c r="K111" s="47" t="s">
        <v>981</v>
      </c>
      <c r="L111" s="47" t="s">
        <v>93</v>
      </c>
      <c r="M111" s="47">
        <v>2021</v>
      </c>
      <c r="N111" s="47">
        <v>0</v>
      </c>
      <c r="O111" s="47">
        <v>51.27</v>
      </c>
      <c r="P111" s="47">
        <v>20.033605492538801</v>
      </c>
    </row>
    <row r="112" spans="1:16" ht="11.25" customHeight="1" x14ac:dyDescent="0.25">
      <c r="A112" s="47">
        <v>111</v>
      </c>
      <c r="B112" s="47" t="s">
        <v>858</v>
      </c>
      <c r="C112" s="47" t="s">
        <v>41</v>
      </c>
      <c r="D112" s="47" t="s">
        <v>40</v>
      </c>
      <c r="E112" s="47" t="s">
        <v>25</v>
      </c>
      <c r="F112" s="47" t="s">
        <v>25</v>
      </c>
      <c r="G112" s="47" t="s">
        <v>58</v>
      </c>
      <c r="H112" s="47" t="s">
        <v>25</v>
      </c>
      <c r="I112" s="47" t="s">
        <v>25</v>
      </c>
      <c r="J112" s="47" t="s">
        <v>980</v>
      </c>
      <c r="K112" s="47" t="s">
        <v>981</v>
      </c>
      <c r="L112" s="47" t="s">
        <v>93</v>
      </c>
      <c r="M112" s="47">
        <v>2021</v>
      </c>
      <c r="N112" s="47">
        <v>0</v>
      </c>
      <c r="O112" s="47">
        <v>16.47</v>
      </c>
      <c r="P112" s="47">
        <v>0</v>
      </c>
    </row>
    <row r="113" spans="1:16" ht="11.25" customHeight="1" x14ac:dyDescent="0.25">
      <c r="A113" s="47">
        <v>112</v>
      </c>
      <c r="B113" s="47" t="s">
        <v>858</v>
      </c>
      <c r="C113" s="47" t="s">
        <v>39</v>
      </c>
      <c r="D113" s="47" t="s">
        <v>61</v>
      </c>
      <c r="E113" s="47" t="s">
        <v>25</v>
      </c>
      <c r="F113" s="47" t="s">
        <v>25</v>
      </c>
      <c r="G113" s="47" t="s">
        <v>25</v>
      </c>
      <c r="H113" s="47" t="s">
        <v>982</v>
      </c>
      <c r="I113" s="47" t="s">
        <v>25</v>
      </c>
      <c r="J113" s="47" t="s">
        <v>980</v>
      </c>
      <c r="K113" s="47" t="s">
        <v>981</v>
      </c>
      <c r="L113" s="47" t="s">
        <v>93</v>
      </c>
      <c r="M113" s="47">
        <v>2021</v>
      </c>
      <c r="N113" s="47">
        <v>0</v>
      </c>
      <c r="O113" s="47">
        <v>0</v>
      </c>
      <c r="P113" s="47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1BDF-294E-4BB9-B11A-17FBE8FBC1E3}">
  <dimension ref="A1:AD69"/>
  <sheetViews>
    <sheetView showGridLines="0" workbookViewId="0">
      <selection activeCell="G18" sqref="G1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83</v>
      </c>
      <c r="B1" s="10" t="s">
        <v>84</v>
      </c>
      <c r="C1" s="10" t="s">
        <v>85</v>
      </c>
      <c r="D1" s="10" t="s">
        <v>86</v>
      </c>
      <c r="E1" s="10" t="s">
        <v>87</v>
      </c>
      <c r="F1" s="10" t="s">
        <v>88</v>
      </c>
      <c r="G1" s="10" t="s">
        <v>89</v>
      </c>
      <c r="H1" s="10" t="s">
        <v>90</v>
      </c>
      <c r="I1" s="11">
        <v>44287</v>
      </c>
      <c r="J1" s="11">
        <v>44317</v>
      </c>
      <c r="K1" s="11">
        <v>44348</v>
      </c>
      <c r="L1" s="11">
        <v>44378</v>
      </c>
      <c r="M1" s="11">
        <v>44409</v>
      </c>
      <c r="N1" s="11">
        <v>44440</v>
      </c>
      <c r="O1" s="11">
        <v>44470</v>
      </c>
      <c r="P1" s="11">
        <v>44501</v>
      </c>
      <c r="Q1" s="11">
        <v>44531</v>
      </c>
      <c r="R1" s="11">
        <v>44562</v>
      </c>
      <c r="S1" s="11">
        <v>44593</v>
      </c>
      <c r="T1" s="11">
        <v>44621</v>
      </c>
      <c r="U1" s="10" t="s">
        <v>91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9" t="s">
        <v>39</v>
      </c>
      <c r="B2" s="89" t="s">
        <v>40</v>
      </c>
      <c r="C2" s="89" t="s">
        <v>25</v>
      </c>
      <c r="D2" s="89" t="s">
        <v>25</v>
      </c>
      <c r="E2" s="89" t="s">
        <v>25</v>
      </c>
      <c r="F2" s="89" t="s">
        <v>25</v>
      </c>
      <c r="G2" s="12" t="s">
        <v>100</v>
      </c>
      <c r="H2" s="12" t="s">
        <v>99</v>
      </c>
      <c r="I2" s="12">
        <f>SUMIF(Mercado_Receita!$S$2:$S$1866,"44287A3AzulNão se aplicaNão se aplicaNão se aplicaNão se aplicaPonta",Mercado_Receita!$J$2:$J$1866)+SUMIF(Mercado_Receita!$S$2:$S$1866,"44287A3AzulNão se aplicaNão se aplicaAPENão se aplicaPonta",Mercado_Receita!$J$2:$J$1866)+SUMIF(Mercado_Receita!$S$2:$S$1866,"44287A3ConvencionalNão se aplicaNão se aplicaNão se aplicaNão se aplicaNão se aplica",Mercado_Receita!$J$2:$J$1866)*0.72</f>
        <v>46631</v>
      </c>
      <c r="J2" s="12">
        <f>SUMIF(Mercado_Receita!$S$2:$S$1866,"44317A3AzulNão se aplicaNão se aplicaNão se aplicaNão se aplicaPonta",Mercado_Receita!$J$2:$J$1866)+SUMIF(Mercado_Receita!$S$2:$S$1866,"44317A3AzulNão se aplicaNão se aplicaAPENão se aplicaPonta",Mercado_Receita!$J$2:$J$1866)+SUMIF(Mercado_Receita!$S$2:$S$1866,"44317A3ConvencionalNão se aplicaNão se aplicaNão se aplicaNão se aplicaNão se aplica",Mercado_Receita!$J$2:$J$1866)*0.72</f>
        <v>45475</v>
      </c>
      <c r="K2" s="12">
        <f>SUMIF(Mercado_Receita!$S$2:$S$1866,"44348A3AzulNão se aplicaNão se aplicaNão se aplicaNão se aplicaPonta",Mercado_Receita!$J$2:$J$1866)+SUMIF(Mercado_Receita!$S$2:$S$1866,"44348A3AzulNão se aplicaNão se aplicaAPENão se aplicaPonta",Mercado_Receita!$J$2:$J$1866)+SUMIF(Mercado_Receita!$S$2:$S$1866,"44348A3ConvencionalNão se aplicaNão se aplicaNão se aplicaNão se aplicaNão se aplica",Mercado_Receita!$J$2:$J$1866)*0.72</f>
        <v>45372</v>
      </c>
      <c r="L2" s="12">
        <f>SUMIF(Mercado_Receita!$S$2:$S$1866,"44378A3AzulNão se aplicaNão se aplicaNão se aplicaNão se aplicaPonta",Mercado_Receita!$J$2:$J$1866)+SUMIF(Mercado_Receita!$S$2:$S$1866,"44378A3AzulNão se aplicaNão se aplicaAPENão se aplicaPonta",Mercado_Receita!$J$2:$J$1866)+SUMIF(Mercado_Receita!$S$2:$S$1866,"44378A3ConvencionalNão se aplicaNão se aplicaNão se aplicaNão se aplicaNão se aplica",Mercado_Receita!$J$2:$J$1866)*0.72</f>
        <v>45326</v>
      </c>
      <c r="M2" s="12">
        <f>SUMIF(Mercado_Receita!$S$2:$S$1866,"44409A3AzulNão se aplicaNão se aplicaNão se aplicaNão se aplicaPonta",Mercado_Receita!$J$2:$J$1866)+SUMIF(Mercado_Receita!$S$2:$S$1866,"44409A3AzulNão se aplicaNão se aplicaAPENão se aplicaPonta",Mercado_Receita!$J$2:$J$1866)+SUMIF(Mercado_Receita!$S$2:$S$1866,"44409A3ConvencionalNão se aplicaNão se aplicaNão se aplicaNão se aplicaNão se aplica",Mercado_Receita!$J$2:$J$1866)*0.72</f>
        <v>41984</v>
      </c>
      <c r="N2" s="12">
        <f>SUMIF(Mercado_Receita!$S$2:$S$1866,"44440A3AzulNão se aplicaNão se aplicaNão se aplicaNão se aplicaPonta",Mercado_Receita!$J$2:$J$1866)+SUMIF(Mercado_Receita!$S$2:$S$1866,"44440A3AzulNão se aplicaNão se aplicaAPENão se aplicaPonta",Mercado_Receita!$J$2:$J$1866)+SUMIF(Mercado_Receita!$S$2:$S$1866,"44440A3ConvencionalNão se aplicaNão se aplicaNão se aplicaNão se aplicaNão se aplica",Mercado_Receita!$J$2:$J$1866)*0.72</f>
        <v>45363</v>
      </c>
      <c r="O2" s="12">
        <f>SUMIF(Mercado_Receita!$S$2:$S$1866,"44470A3AzulNão se aplicaNão se aplicaNão se aplicaNão se aplicaPonta",Mercado_Receita!$J$2:$J$1866)+SUMIF(Mercado_Receita!$S$2:$S$1866,"44470A3AzulNão se aplicaNão se aplicaAPENão se aplicaPonta",Mercado_Receita!$J$2:$J$1866)+SUMIF(Mercado_Receita!$S$2:$S$1866,"44470A3ConvencionalNão se aplicaNão se aplicaNão se aplicaNão se aplicaNão se aplica",Mercado_Receita!$J$2:$J$1866)*0.72</f>
        <v>45407</v>
      </c>
      <c r="P2" s="12">
        <f>SUMIF(Mercado_Receita!$S$2:$S$1866,"44501A3AzulNão se aplicaNão se aplicaNão se aplicaNão se aplicaPonta",Mercado_Receita!$J$2:$J$1866)+SUMIF(Mercado_Receita!$S$2:$S$1866,"44501A3AzulNão se aplicaNão se aplicaAPENão se aplicaPonta",Mercado_Receita!$J$2:$J$1866)+SUMIF(Mercado_Receita!$S$2:$S$1866,"44501A3ConvencionalNão se aplicaNão se aplicaNão se aplicaNão se aplicaNão se aplica",Mercado_Receita!$J$2:$J$1866)*0.72</f>
        <v>45548</v>
      </c>
      <c r="Q2" s="12">
        <f>SUMIF(Mercado_Receita!$S$2:$S$1866,"44531A3AzulNão se aplicaNão se aplicaNão se aplicaNão se aplicaPonta",Mercado_Receita!$J$2:$J$1866)+SUMIF(Mercado_Receita!$S$2:$S$1866,"44531A3AzulNão se aplicaNão se aplicaAPENão se aplicaPonta",Mercado_Receita!$J$2:$J$1866)+SUMIF(Mercado_Receita!$S$2:$S$1866,"44531A3ConvencionalNão se aplicaNão se aplicaNão se aplicaNão se aplicaNão se aplica",Mercado_Receita!$J$2:$J$1866)*0.72</f>
        <v>45855</v>
      </c>
      <c r="R2" s="12">
        <f>SUMIF(Mercado_Receita!$S$2:$S$1866,"44562A3AzulNão se aplicaNão se aplicaNão se aplicaNão se aplicaPonta",Mercado_Receita!$J$2:$J$1866)+SUMIF(Mercado_Receita!$S$2:$S$1866,"44562A3AzulNão se aplicaNão se aplicaAPENão se aplicaPonta",Mercado_Receita!$J$2:$J$1866)+SUMIF(Mercado_Receita!$S$2:$S$1866,"44562A3ConvencionalNão se aplicaNão se aplicaNão se aplicaNão se aplicaNão se aplica",Mercado_Receita!$J$2:$J$1866)*0.72</f>
        <v>42509</v>
      </c>
      <c r="S2" s="12">
        <f>SUMIF(Mercado_Receita!$S$2:$S$1866,"44593A3AzulNão se aplicaNão se aplicaNão se aplicaNão se aplicaPonta",Mercado_Receita!$J$2:$J$1866)+SUMIF(Mercado_Receita!$S$2:$S$1866,"44593A3AzulNão se aplicaNão se aplicaAPENão se aplicaPonta",Mercado_Receita!$J$2:$J$1866)+SUMIF(Mercado_Receita!$S$2:$S$1866,"44593A3ConvencionalNão se aplicaNão se aplicaNão se aplicaNão se aplicaNão se aplica",Mercado_Receita!$J$2:$J$1866)*0.72</f>
        <v>42278</v>
      </c>
      <c r="T2" s="12">
        <f>SUMIF(Mercado_Receita!$S$2:$S$1866,"44621A3AzulNão se aplicaNão se aplicaNão se aplicaNão se aplicaPonta",Mercado_Receita!$J$2:$J$1866)+SUMIF(Mercado_Receita!$S$2:$S$1866,"44621A3AzulNão se aplicaNão se aplicaAPENão se aplicaPonta",Mercado_Receita!$J$2:$J$1866)+SUMIF(Mercado_Receita!$S$2:$S$1866,"44621A3ConvencionalNão se aplicaNão se aplicaNão se aplicaNão se aplicaNão se aplica",Mercado_Receita!$J$2:$J$1866)*0.72</f>
        <v>42278</v>
      </c>
      <c r="U2" s="12">
        <f t="shared" ref="U2:U33" si="0">SUM(I2:T2)</f>
        <v>534026</v>
      </c>
      <c r="V2" s="12"/>
      <c r="W2" s="12"/>
    </row>
    <row r="3" spans="1:30" ht="11.25" customHeight="1" x14ac:dyDescent="0.25">
      <c r="A3" s="90"/>
      <c r="B3" s="90"/>
      <c r="C3" s="90"/>
      <c r="D3" s="90"/>
      <c r="E3" s="90"/>
      <c r="F3" s="90"/>
      <c r="G3" s="12" t="s">
        <v>101</v>
      </c>
      <c r="H3" s="12" t="s">
        <v>99</v>
      </c>
      <c r="I3" s="12">
        <f>SUMIF(Mercado_Receita!$S$2:$S$1866,"44287A3AzulNão se aplicaNão se aplicaNão se aplicaNão se aplicaFora ponta",Mercado_Receita!$J$2:$J$1866)+SUMIF(Mercado_Receita!$S$2:$S$1866,"44287A3AzulNão se aplicaNão se aplicaAPENão se aplicaFora ponta",Mercado_Receita!$J$2:$J$1866)+SUMIF(Mercado_Receita!$S$2:$S$1866,"44287A3ConvencionalNão se aplicaNão se aplicaNão se aplicaNão se aplicaNão se aplica",Mercado_Receita!$J$2:$J$1866)*1</f>
        <v>63667</v>
      </c>
      <c r="J3" s="12">
        <f>SUMIF(Mercado_Receita!$S$2:$S$1866,"44317A3AzulNão se aplicaNão se aplicaNão se aplicaNão se aplicaFora ponta",Mercado_Receita!$J$2:$J$1866)+SUMIF(Mercado_Receita!$S$2:$S$1866,"44317A3AzulNão se aplicaNão se aplicaAPENão se aplicaFora ponta",Mercado_Receita!$J$2:$J$1866)+SUMIF(Mercado_Receita!$S$2:$S$1866,"44317A3ConvencionalNão se aplicaNão se aplicaNão se aplicaNão se aplicaNão se aplica",Mercado_Receita!$J$2:$J$1866)*1</f>
        <v>61092</v>
      </c>
      <c r="K3" s="12">
        <f>SUMIF(Mercado_Receita!$S$2:$S$1866,"44348A3AzulNão se aplicaNão se aplicaNão se aplicaNão se aplicaFora ponta",Mercado_Receita!$J$2:$J$1866)+SUMIF(Mercado_Receita!$S$2:$S$1866,"44348A3AzulNão se aplicaNão se aplicaAPENão se aplicaFora ponta",Mercado_Receita!$J$2:$J$1866)+SUMIF(Mercado_Receita!$S$2:$S$1866,"44348A3ConvencionalNão se aplicaNão se aplicaNão se aplicaNão se aplicaNão se aplica",Mercado_Receita!$J$2:$J$1866)*1</f>
        <v>60269</v>
      </c>
      <c r="L3" s="12">
        <f>SUMIF(Mercado_Receita!$S$2:$S$1866,"44378A3AzulNão se aplicaNão se aplicaNão se aplicaNão se aplicaFora ponta",Mercado_Receita!$J$2:$J$1866)+SUMIF(Mercado_Receita!$S$2:$S$1866,"44378A3AzulNão se aplicaNão se aplicaAPENão se aplicaFora ponta",Mercado_Receita!$J$2:$J$1866)+SUMIF(Mercado_Receita!$S$2:$S$1866,"44378A3ConvencionalNão se aplicaNão se aplicaNão se aplicaNão se aplicaNão se aplica",Mercado_Receita!$J$2:$J$1866)*1</f>
        <v>60496</v>
      </c>
      <c r="M3" s="12">
        <f>SUMIF(Mercado_Receita!$S$2:$S$1866,"44409A3AzulNão se aplicaNão se aplicaNão se aplicaNão se aplicaFora ponta",Mercado_Receita!$J$2:$J$1866)+SUMIF(Mercado_Receita!$S$2:$S$1866,"44409A3AzulNão se aplicaNão se aplicaAPENão se aplicaFora ponta",Mercado_Receita!$J$2:$J$1866)+SUMIF(Mercado_Receita!$S$2:$S$1866,"44409A3ConvencionalNão se aplicaNão se aplicaNão se aplicaNão se aplicaNão se aplica",Mercado_Receita!$J$2:$J$1866)*1</f>
        <v>51105</v>
      </c>
      <c r="N3" s="12">
        <f>SUMIF(Mercado_Receita!$S$2:$S$1866,"44440A3AzulNão se aplicaNão se aplicaNão se aplicaNão se aplicaFora ponta",Mercado_Receita!$J$2:$J$1866)+SUMIF(Mercado_Receita!$S$2:$S$1866,"44440A3AzulNão se aplicaNão se aplicaAPENão se aplicaFora ponta",Mercado_Receita!$J$2:$J$1866)+SUMIF(Mercado_Receita!$S$2:$S$1866,"44440A3ConvencionalNão se aplicaNão se aplicaNão se aplicaNão se aplicaNão se aplica",Mercado_Receita!$J$2:$J$1866)*1</f>
        <v>62626</v>
      </c>
      <c r="O3" s="12">
        <f>SUMIF(Mercado_Receita!$S$2:$S$1866,"44470A3AzulNão se aplicaNão se aplicaNão se aplicaNão se aplicaFora ponta",Mercado_Receita!$J$2:$J$1866)+SUMIF(Mercado_Receita!$S$2:$S$1866,"44470A3AzulNão se aplicaNão se aplicaAPENão se aplicaFora ponta",Mercado_Receita!$J$2:$J$1866)+SUMIF(Mercado_Receita!$S$2:$S$1866,"44470A3ConvencionalNão se aplicaNão se aplicaNão se aplicaNão se aplicaNão se aplica",Mercado_Receita!$J$2:$J$1866)*1</f>
        <v>64222</v>
      </c>
      <c r="P3" s="12">
        <f>SUMIF(Mercado_Receita!$S$2:$S$1866,"44501A3AzulNão se aplicaNão se aplicaNão se aplicaNão se aplicaFora ponta",Mercado_Receita!$J$2:$J$1866)+SUMIF(Mercado_Receita!$S$2:$S$1866,"44501A3AzulNão se aplicaNão se aplicaAPENão se aplicaFora ponta",Mercado_Receita!$J$2:$J$1866)+SUMIF(Mercado_Receita!$S$2:$S$1866,"44501A3ConvencionalNão se aplicaNão se aplicaNão se aplicaNão se aplicaNão se aplica",Mercado_Receita!$J$2:$J$1866)*1</f>
        <v>66922</v>
      </c>
      <c r="Q3" s="12">
        <f>SUMIF(Mercado_Receita!$S$2:$S$1866,"44531A3AzulNão se aplicaNão se aplicaNão se aplicaNão se aplicaFora ponta",Mercado_Receita!$J$2:$J$1866)+SUMIF(Mercado_Receita!$S$2:$S$1866,"44531A3AzulNão se aplicaNão se aplicaAPENão se aplicaFora ponta",Mercado_Receita!$J$2:$J$1866)+SUMIF(Mercado_Receita!$S$2:$S$1866,"44531A3ConvencionalNão se aplicaNão se aplicaNão se aplicaNão se aplicaNão se aplica",Mercado_Receita!$J$2:$J$1866)*1</f>
        <v>64632</v>
      </c>
      <c r="R3" s="12">
        <f>SUMIF(Mercado_Receita!$S$2:$S$1866,"44562A3AzulNão se aplicaNão se aplicaNão se aplicaNão se aplicaFora ponta",Mercado_Receita!$J$2:$J$1866)+SUMIF(Mercado_Receita!$S$2:$S$1866,"44562A3AzulNão se aplicaNão se aplicaAPENão se aplicaFora ponta",Mercado_Receita!$J$2:$J$1866)+SUMIF(Mercado_Receita!$S$2:$S$1866,"44562A3ConvencionalNão se aplicaNão se aplicaNão se aplicaNão se aplicaNão se aplica",Mercado_Receita!$J$2:$J$1866)*1</f>
        <v>56907</v>
      </c>
      <c r="S3" s="12">
        <f>SUMIF(Mercado_Receita!$S$2:$S$1866,"44593A3AzulNão se aplicaNão se aplicaNão se aplicaNão se aplicaFora ponta",Mercado_Receita!$J$2:$J$1866)+SUMIF(Mercado_Receita!$S$2:$S$1866,"44593A3AzulNão se aplicaNão se aplicaAPENão se aplicaFora ponta",Mercado_Receita!$J$2:$J$1866)+SUMIF(Mercado_Receita!$S$2:$S$1866,"44593A3ConvencionalNão se aplicaNão se aplicaNão se aplicaNão se aplicaNão se aplica",Mercado_Receita!$J$2:$J$1866)*1</f>
        <v>60195</v>
      </c>
      <c r="T3" s="12">
        <f>SUMIF(Mercado_Receita!$S$2:$S$1866,"44621A3AzulNão se aplicaNão se aplicaNão se aplicaNão se aplicaFora ponta",Mercado_Receita!$J$2:$J$1866)+SUMIF(Mercado_Receita!$S$2:$S$1866,"44621A3AzulNão se aplicaNão se aplicaAPENão se aplicaFora ponta",Mercado_Receita!$J$2:$J$1866)+SUMIF(Mercado_Receita!$S$2:$S$1866,"44621A3ConvencionalNão se aplicaNão se aplicaNão se aplicaNão se aplicaNão se aplica",Mercado_Receita!$J$2:$J$1866)*1</f>
        <v>60195</v>
      </c>
      <c r="U3" s="12">
        <f t="shared" si="0"/>
        <v>732328</v>
      </c>
      <c r="V3" s="12"/>
      <c r="W3" s="12"/>
    </row>
    <row r="4" spans="1:30" ht="11.25" customHeight="1" x14ac:dyDescent="0.25">
      <c r="A4" s="90"/>
      <c r="B4" s="90"/>
      <c r="C4" s="90"/>
      <c r="D4" s="90"/>
      <c r="E4" s="90"/>
      <c r="F4" s="90"/>
      <c r="G4" s="12" t="s">
        <v>98</v>
      </c>
      <c r="H4" s="12" t="s">
        <v>93</v>
      </c>
      <c r="I4" s="12">
        <f>SUMIF(Mercado_Receita!$S$2:$S$1866,"44287A3AzulNão se aplicaNão se aplicaNão se aplicaNão se aplicaPonta",Mercado_Receita!$L$2:$L$1866)+SUMIF(Mercado_Receita!$S$2:$S$1866,"44287A3AzulNão se aplicaNão se aplicaNão se aplicaNão se aplicaFora ponta",Mercado_Receita!$L$2:$L$1866)+SUMIF(Mercado_Receita!$S$2:$S$1866,"44287A3AzulNão se aplicaNão se aplicaNão se aplicaNão se aplicaIntermediário",Mercado_Receita!$L$2:$L$1866)+SUMIF(Mercado_Receita!$S$2:$S$1866,"44287A3AzulNão se aplicaNão se aplicaNão se aplicaNão se aplicaNão se aplica",Mercado_Receita!$L$2:$L$1866)+SUMIF(Mercado_Receita!$S$2:$S$1866,"44287A3ConvencionalNão se aplicaNão se aplicaNão se aplicaNão se aplicaNão se aplica",Mercado_Receita!$L$2:$L$1866)</f>
        <v>21405.123</v>
      </c>
      <c r="J4" s="12">
        <f>SUMIF(Mercado_Receita!$S$2:$S$1866,"44317A3AzulNão se aplicaNão se aplicaNão se aplicaNão se aplicaPonta",Mercado_Receita!$L$2:$L$1866)+SUMIF(Mercado_Receita!$S$2:$S$1866,"44317A3AzulNão se aplicaNão se aplicaNão se aplicaNão se aplicaFora ponta",Mercado_Receita!$L$2:$L$1866)+SUMIF(Mercado_Receita!$S$2:$S$1866,"44317A3AzulNão se aplicaNão se aplicaNão se aplicaNão se aplicaIntermediário",Mercado_Receita!$L$2:$L$1866)+SUMIF(Mercado_Receita!$S$2:$S$1866,"44317A3AzulNão se aplicaNão se aplicaNão se aplicaNão se aplicaNão se aplica",Mercado_Receita!$L$2:$L$1866)+SUMIF(Mercado_Receita!$S$2:$S$1866,"44317A3ConvencionalNão se aplicaNão se aplicaNão se aplicaNão se aplicaNão se aplica",Mercado_Receita!$L$2:$L$1866)</f>
        <v>18896.602999999999</v>
      </c>
      <c r="K4" s="12">
        <f>SUMIF(Mercado_Receita!$S$2:$S$1866,"44348A3AzulNão se aplicaNão se aplicaNão se aplicaNão se aplicaPonta",Mercado_Receita!$L$2:$L$1866)+SUMIF(Mercado_Receita!$S$2:$S$1866,"44348A3AzulNão se aplicaNão se aplicaNão se aplicaNão se aplicaFora ponta",Mercado_Receita!$L$2:$L$1866)+SUMIF(Mercado_Receita!$S$2:$S$1866,"44348A3AzulNão se aplicaNão se aplicaNão se aplicaNão se aplicaIntermediário",Mercado_Receita!$L$2:$L$1866)+SUMIF(Mercado_Receita!$S$2:$S$1866,"44348A3AzulNão se aplicaNão se aplicaNão se aplicaNão se aplicaNão se aplica",Mercado_Receita!$L$2:$L$1866)+SUMIF(Mercado_Receita!$S$2:$S$1866,"44348A3ConvencionalNão se aplicaNão se aplicaNão se aplicaNão se aplicaNão se aplica",Mercado_Receita!$L$2:$L$1866)</f>
        <v>19229.171000000002</v>
      </c>
      <c r="L4" s="12">
        <f>SUMIF(Mercado_Receita!$S$2:$S$1866,"44378A3AzulNão se aplicaNão se aplicaNão se aplicaNão se aplicaPonta",Mercado_Receita!$L$2:$L$1866)+SUMIF(Mercado_Receita!$S$2:$S$1866,"44378A3AzulNão se aplicaNão se aplicaNão se aplicaNão se aplicaFora ponta",Mercado_Receita!$L$2:$L$1866)+SUMIF(Mercado_Receita!$S$2:$S$1866,"44378A3AzulNão se aplicaNão se aplicaNão se aplicaNão se aplicaIntermediário",Mercado_Receita!$L$2:$L$1866)+SUMIF(Mercado_Receita!$S$2:$S$1866,"44378A3AzulNão se aplicaNão se aplicaNão se aplicaNão se aplicaNão se aplica",Mercado_Receita!$L$2:$L$1866)+SUMIF(Mercado_Receita!$S$2:$S$1866,"44378A3ConvencionalNão se aplicaNão se aplicaNão se aplicaNão se aplicaNão se aplica",Mercado_Receita!$L$2:$L$1866)</f>
        <v>19385.474999999999</v>
      </c>
      <c r="M4" s="12">
        <f>SUMIF(Mercado_Receita!$S$2:$S$1866,"44409A3AzulNão se aplicaNão se aplicaNão se aplicaNão se aplicaPonta",Mercado_Receita!$L$2:$L$1866)+SUMIF(Mercado_Receita!$S$2:$S$1866,"44409A3AzulNão se aplicaNão se aplicaNão se aplicaNão se aplicaFora ponta",Mercado_Receita!$L$2:$L$1866)+SUMIF(Mercado_Receita!$S$2:$S$1866,"44409A3AzulNão se aplicaNão se aplicaNão se aplicaNão se aplicaIntermediário",Mercado_Receita!$L$2:$L$1866)+SUMIF(Mercado_Receita!$S$2:$S$1866,"44409A3AzulNão se aplicaNão se aplicaNão se aplicaNão se aplicaNão se aplica",Mercado_Receita!$L$2:$L$1866)+SUMIF(Mercado_Receita!$S$2:$S$1866,"44409A3ConvencionalNão se aplicaNão se aplicaNão se aplicaNão se aplicaNão se aplica",Mercado_Receita!$L$2:$L$1866)</f>
        <v>12939.020000000004</v>
      </c>
      <c r="N4" s="12">
        <f>SUMIF(Mercado_Receita!$S$2:$S$1866,"44440A3AzulNão se aplicaNão se aplicaNão se aplicaNão se aplicaPonta",Mercado_Receita!$L$2:$L$1866)+SUMIF(Mercado_Receita!$S$2:$S$1866,"44440A3AzulNão se aplicaNão se aplicaNão se aplicaNão se aplicaFora ponta",Mercado_Receita!$L$2:$L$1866)+SUMIF(Mercado_Receita!$S$2:$S$1866,"44440A3AzulNão se aplicaNão se aplicaNão se aplicaNão se aplicaIntermediário",Mercado_Receita!$L$2:$L$1866)+SUMIF(Mercado_Receita!$S$2:$S$1866,"44440A3AzulNão se aplicaNão se aplicaNão se aplicaNão se aplicaNão se aplica",Mercado_Receita!$L$2:$L$1866)+SUMIF(Mercado_Receita!$S$2:$S$1866,"44440A3ConvencionalNão se aplicaNão se aplicaNão se aplicaNão se aplicaNão se aplica",Mercado_Receita!$L$2:$L$1866)</f>
        <v>20294.759999999998</v>
      </c>
      <c r="O4" s="12">
        <f>SUMIF(Mercado_Receita!$S$2:$S$1866,"44470A3AzulNão se aplicaNão se aplicaNão se aplicaNão se aplicaPonta",Mercado_Receita!$L$2:$L$1866)+SUMIF(Mercado_Receita!$S$2:$S$1866,"44470A3AzulNão se aplicaNão se aplicaNão se aplicaNão se aplicaFora ponta",Mercado_Receita!$L$2:$L$1866)+SUMIF(Mercado_Receita!$S$2:$S$1866,"44470A3AzulNão se aplicaNão se aplicaNão se aplicaNão se aplicaIntermediário",Mercado_Receita!$L$2:$L$1866)+SUMIF(Mercado_Receita!$S$2:$S$1866,"44470A3AzulNão se aplicaNão se aplicaNão se aplicaNão se aplicaNão se aplica",Mercado_Receita!$L$2:$L$1866)+SUMIF(Mercado_Receita!$S$2:$S$1866,"44470A3ConvencionalNão se aplicaNão se aplicaNão se aplicaNão se aplicaNão se aplica",Mercado_Receita!$L$2:$L$1866)</f>
        <v>19408.493999999999</v>
      </c>
      <c r="P4" s="12">
        <f>SUMIF(Mercado_Receita!$S$2:$S$1866,"44501A3AzulNão se aplicaNão se aplicaNão se aplicaNão se aplicaPonta",Mercado_Receita!$L$2:$L$1866)+SUMIF(Mercado_Receita!$S$2:$S$1866,"44501A3AzulNão se aplicaNão se aplicaNão se aplicaNão se aplicaFora ponta",Mercado_Receita!$L$2:$L$1866)+SUMIF(Mercado_Receita!$S$2:$S$1866,"44501A3AzulNão se aplicaNão se aplicaNão se aplicaNão se aplicaIntermediário",Mercado_Receita!$L$2:$L$1866)+SUMIF(Mercado_Receita!$S$2:$S$1866,"44501A3AzulNão se aplicaNão se aplicaNão se aplicaNão se aplicaNão se aplica",Mercado_Receita!$L$2:$L$1866)+SUMIF(Mercado_Receita!$S$2:$S$1866,"44501A3ConvencionalNão se aplicaNão se aplicaNão se aplicaNão se aplicaNão se aplica",Mercado_Receita!$L$2:$L$1866)</f>
        <v>19840.450999999997</v>
      </c>
      <c r="Q4" s="12">
        <f>SUMIF(Mercado_Receita!$S$2:$S$1866,"44531A3AzulNão se aplicaNão se aplicaNão se aplicaNão se aplicaPonta",Mercado_Receita!$L$2:$L$1866)+SUMIF(Mercado_Receita!$S$2:$S$1866,"44531A3AzulNão se aplicaNão se aplicaNão se aplicaNão se aplicaFora ponta",Mercado_Receita!$L$2:$L$1866)+SUMIF(Mercado_Receita!$S$2:$S$1866,"44531A3AzulNão se aplicaNão se aplicaNão se aplicaNão se aplicaIntermediário",Mercado_Receita!$L$2:$L$1866)+SUMIF(Mercado_Receita!$S$2:$S$1866,"44531A3AzulNão se aplicaNão se aplicaNão se aplicaNão se aplicaNão se aplica",Mercado_Receita!$L$2:$L$1866)+SUMIF(Mercado_Receita!$S$2:$S$1866,"44531A3ConvencionalNão se aplicaNão se aplicaNão se aplicaNão se aplicaNão se aplica",Mercado_Receita!$L$2:$L$1866)</f>
        <v>20522.404999999999</v>
      </c>
      <c r="R4" s="12">
        <f>SUMIF(Mercado_Receita!$S$2:$S$1866,"44562A3AzulNão se aplicaNão se aplicaNão se aplicaNão se aplicaPonta",Mercado_Receita!$L$2:$L$1866)+SUMIF(Mercado_Receita!$S$2:$S$1866,"44562A3AzulNão se aplicaNão se aplicaNão se aplicaNão se aplicaFora ponta",Mercado_Receita!$L$2:$L$1866)+SUMIF(Mercado_Receita!$S$2:$S$1866,"44562A3AzulNão se aplicaNão se aplicaNão se aplicaNão se aplicaIntermediário",Mercado_Receita!$L$2:$L$1866)+SUMIF(Mercado_Receita!$S$2:$S$1866,"44562A3AzulNão se aplicaNão se aplicaNão se aplicaNão se aplicaNão se aplica",Mercado_Receita!$L$2:$L$1866)+SUMIF(Mercado_Receita!$S$2:$S$1866,"44562A3ConvencionalNão se aplicaNão se aplicaNão se aplicaNão se aplicaNão se aplica",Mercado_Receita!$L$2:$L$1866)</f>
        <v>17138.030999999999</v>
      </c>
      <c r="S4" s="12">
        <f>SUMIF(Mercado_Receita!$S$2:$S$1866,"44593A3AzulNão se aplicaNão se aplicaNão se aplicaNão se aplicaPonta",Mercado_Receita!$L$2:$L$1866)+SUMIF(Mercado_Receita!$S$2:$S$1866,"44593A3AzulNão se aplicaNão se aplicaNão se aplicaNão se aplicaFora ponta",Mercado_Receita!$L$2:$L$1866)+SUMIF(Mercado_Receita!$S$2:$S$1866,"44593A3AzulNão se aplicaNão se aplicaNão se aplicaNão se aplicaIntermediário",Mercado_Receita!$L$2:$L$1866)+SUMIF(Mercado_Receita!$S$2:$S$1866,"44593A3AzulNão se aplicaNão se aplicaNão se aplicaNão se aplicaNão se aplica",Mercado_Receita!$L$2:$L$1866)+SUMIF(Mercado_Receita!$S$2:$S$1866,"44593A3ConvencionalNão se aplicaNão se aplicaNão se aplicaNão se aplicaNão se aplica",Mercado_Receita!$L$2:$L$1866)</f>
        <v>17375.877999999997</v>
      </c>
      <c r="T4" s="12">
        <f>SUMIF(Mercado_Receita!$S$2:$S$1866,"44621A3AzulNão se aplicaNão se aplicaNão se aplicaNão se aplicaPonta",Mercado_Receita!$L$2:$L$1866)+SUMIF(Mercado_Receita!$S$2:$S$1866,"44621A3AzulNão se aplicaNão se aplicaNão se aplicaNão se aplicaFora ponta",Mercado_Receita!$L$2:$L$1866)+SUMIF(Mercado_Receita!$S$2:$S$1866,"44621A3AzulNão se aplicaNão se aplicaNão se aplicaNão se aplicaIntermediário",Mercado_Receita!$L$2:$L$1866)+SUMIF(Mercado_Receita!$S$2:$S$1866,"44621A3AzulNão se aplicaNão se aplicaNão se aplicaNão se aplicaNão se aplica",Mercado_Receita!$L$2:$L$1866)+SUMIF(Mercado_Receita!$S$2:$S$1866,"44621A3ConvencionalNão se aplicaNão se aplicaNão se aplicaNão se aplicaNão se aplica",Mercado_Receita!$L$2:$L$1866)</f>
        <v>17375.877999999997</v>
      </c>
      <c r="U4" s="12">
        <f t="shared" si="0"/>
        <v>223811.28899999999</v>
      </c>
      <c r="V4" s="12"/>
      <c r="W4" s="12"/>
    </row>
    <row r="5" spans="1:30" ht="11.25" customHeight="1" x14ac:dyDescent="0.25">
      <c r="A5" s="90"/>
      <c r="B5" s="90"/>
      <c r="C5" s="90"/>
      <c r="D5" s="90"/>
      <c r="E5" s="13" t="s">
        <v>58</v>
      </c>
      <c r="F5" s="13" t="s">
        <v>25</v>
      </c>
      <c r="G5" s="12" t="s">
        <v>98</v>
      </c>
      <c r="H5" s="12" t="s">
        <v>93</v>
      </c>
      <c r="I5" s="12">
        <f>SUMIF(Mercado_Receita!$S$2:$S$1866,"44287A3AzulNão se aplicaNão se aplicaAPENão se aplicaPonta",Mercado_Receita!$L$2:$L$1866)+SUMIF(Mercado_Receita!$S$2:$S$1866,"44287A3AzulNão se aplicaNão se aplicaAPENão se aplicaFora ponta",Mercado_Receita!$L$2:$L$1866)+SUMIF(Mercado_Receita!$S$2:$S$1866,"44287A3AzulNão se aplicaNão se aplicaAPENão se aplicaIntermediário",Mercado_Receita!$L$2:$L$1866)+SUMIF(Mercado_Receita!$S$2:$S$1866,"44287A3AzulNão se aplicaNão se aplicaAPENão se aplicaNão se aplica",Mercado_Receita!$L$2:$L$1866)+SUMIF(Mercado_Receita!$S$2:$S$1866,"44287A3ConvencionalNão se aplicaNão se aplicaAPENão se aplicaNão se aplica",Mercado_Receita!$L$2:$L$1866)</f>
        <v>8611.0249999999996</v>
      </c>
      <c r="J5" s="12">
        <f>SUMIF(Mercado_Receita!$S$2:$S$1866,"44317A3AzulNão se aplicaNão se aplicaAPENão se aplicaPonta",Mercado_Receita!$L$2:$L$1866)+SUMIF(Mercado_Receita!$S$2:$S$1866,"44317A3AzulNão se aplicaNão se aplicaAPENão se aplicaFora ponta",Mercado_Receita!$L$2:$L$1866)+SUMIF(Mercado_Receita!$S$2:$S$1866,"44317A3AzulNão se aplicaNão se aplicaAPENão se aplicaIntermediário",Mercado_Receita!$L$2:$L$1866)+SUMIF(Mercado_Receita!$S$2:$S$1866,"44317A3AzulNão se aplicaNão se aplicaAPENão se aplicaNão se aplica",Mercado_Receita!$L$2:$L$1866)+SUMIF(Mercado_Receita!$S$2:$S$1866,"44317A3ConvencionalNão se aplicaNão se aplicaAPENão se aplicaNão se aplica",Mercado_Receita!$L$2:$L$1866)</f>
        <v>9286.5879999999997</v>
      </c>
      <c r="K5" s="12">
        <f>SUMIF(Mercado_Receita!$S$2:$S$1866,"44348A3AzulNão se aplicaNão se aplicaAPENão se aplicaPonta",Mercado_Receita!$L$2:$L$1866)+SUMIF(Mercado_Receita!$S$2:$S$1866,"44348A3AzulNão se aplicaNão se aplicaAPENão se aplicaFora ponta",Mercado_Receita!$L$2:$L$1866)+SUMIF(Mercado_Receita!$S$2:$S$1866,"44348A3AzulNão se aplicaNão se aplicaAPENão se aplicaIntermediário",Mercado_Receita!$L$2:$L$1866)+SUMIF(Mercado_Receita!$S$2:$S$1866,"44348A3AzulNão se aplicaNão se aplicaAPENão se aplicaNão se aplica",Mercado_Receita!$L$2:$L$1866)+SUMIF(Mercado_Receita!$S$2:$S$1866,"44348A3ConvencionalNão se aplicaNão se aplicaAPENão se aplicaNão se aplica",Mercado_Receita!$L$2:$L$1866)</f>
        <v>8567.4310000000005</v>
      </c>
      <c r="L5" s="12">
        <f>SUMIF(Mercado_Receita!$S$2:$S$1866,"44378A3AzulNão se aplicaNão se aplicaAPENão se aplicaPonta",Mercado_Receita!$L$2:$L$1866)+SUMIF(Mercado_Receita!$S$2:$S$1866,"44378A3AzulNão se aplicaNão se aplicaAPENão se aplicaFora ponta",Mercado_Receita!$L$2:$L$1866)+SUMIF(Mercado_Receita!$S$2:$S$1866,"44378A3AzulNão se aplicaNão se aplicaAPENão se aplicaIntermediário",Mercado_Receita!$L$2:$L$1866)+SUMIF(Mercado_Receita!$S$2:$S$1866,"44378A3AzulNão se aplicaNão se aplicaAPENão se aplicaNão se aplica",Mercado_Receita!$L$2:$L$1866)+SUMIF(Mercado_Receita!$S$2:$S$1866,"44378A3ConvencionalNão se aplicaNão se aplicaAPENão se aplicaNão se aplica",Mercado_Receita!$L$2:$L$1866)</f>
        <v>8502.1830000000009</v>
      </c>
      <c r="M5" s="12">
        <f>SUMIF(Mercado_Receita!$S$2:$S$1866,"44409A3AzulNão se aplicaNão se aplicaAPENão se aplicaPonta",Mercado_Receita!$L$2:$L$1866)+SUMIF(Mercado_Receita!$S$2:$S$1866,"44409A3AzulNão se aplicaNão se aplicaAPENão se aplicaFora ponta",Mercado_Receita!$L$2:$L$1866)+SUMIF(Mercado_Receita!$S$2:$S$1866,"44409A3AzulNão se aplicaNão se aplicaAPENão se aplicaIntermediário",Mercado_Receita!$L$2:$L$1866)+SUMIF(Mercado_Receita!$S$2:$S$1866,"44409A3AzulNão se aplicaNão se aplicaAPENão se aplicaNão se aplica",Mercado_Receita!$L$2:$L$1866)+SUMIF(Mercado_Receita!$S$2:$S$1866,"44409A3ConvencionalNão se aplicaNão se aplicaAPENão se aplicaNão se aplica",Mercado_Receita!$L$2:$L$1866)</f>
        <v>8514.0499999999993</v>
      </c>
      <c r="N5" s="12">
        <f>SUMIF(Mercado_Receita!$S$2:$S$1866,"44440A3AzulNão se aplicaNão se aplicaAPENão se aplicaPonta",Mercado_Receita!$L$2:$L$1866)+SUMIF(Mercado_Receita!$S$2:$S$1866,"44440A3AzulNão se aplicaNão se aplicaAPENão se aplicaFora ponta",Mercado_Receita!$L$2:$L$1866)+SUMIF(Mercado_Receita!$S$2:$S$1866,"44440A3AzulNão se aplicaNão se aplicaAPENão se aplicaIntermediário",Mercado_Receita!$L$2:$L$1866)+SUMIF(Mercado_Receita!$S$2:$S$1866,"44440A3AzulNão se aplicaNão se aplicaAPENão se aplicaNão se aplica",Mercado_Receita!$L$2:$L$1866)+SUMIF(Mercado_Receita!$S$2:$S$1866,"44440A3ConvencionalNão se aplicaNão se aplicaAPENão se aplicaNão se aplica",Mercado_Receita!$L$2:$L$1866)</f>
        <v>8410.0169999999998</v>
      </c>
      <c r="O5" s="12">
        <f>SUMIF(Mercado_Receita!$S$2:$S$1866,"44470A3AzulNão se aplicaNão se aplicaAPENão se aplicaPonta",Mercado_Receita!$L$2:$L$1866)+SUMIF(Mercado_Receita!$S$2:$S$1866,"44470A3AzulNão se aplicaNão se aplicaAPENão se aplicaFora ponta",Mercado_Receita!$L$2:$L$1866)+SUMIF(Mercado_Receita!$S$2:$S$1866,"44470A3AzulNão se aplicaNão se aplicaAPENão se aplicaIntermediário",Mercado_Receita!$L$2:$L$1866)+SUMIF(Mercado_Receita!$S$2:$S$1866,"44470A3AzulNão se aplicaNão se aplicaAPENão se aplicaNão se aplica",Mercado_Receita!$L$2:$L$1866)+SUMIF(Mercado_Receita!$S$2:$S$1866,"44470A3ConvencionalNão se aplicaNão se aplicaAPENão se aplicaNão se aplica",Mercado_Receita!$L$2:$L$1866)</f>
        <v>10005.154</v>
      </c>
      <c r="P5" s="12">
        <f>SUMIF(Mercado_Receita!$S$2:$S$1866,"44501A3AzulNão se aplicaNão se aplicaAPENão se aplicaPonta",Mercado_Receita!$L$2:$L$1866)+SUMIF(Mercado_Receita!$S$2:$S$1866,"44501A3AzulNão se aplicaNão se aplicaAPENão se aplicaFora ponta",Mercado_Receita!$L$2:$L$1866)+SUMIF(Mercado_Receita!$S$2:$S$1866,"44501A3AzulNão se aplicaNão se aplicaAPENão se aplicaIntermediário",Mercado_Receita!$L$2:$L$1866)+SUMIF(Mercado_Receita!$S$2:$S$1866,"44501A3AzulNão se aplicaNão se aplicaAPENão se aplicaNão se aplica",Mercado_Receita!$L$2:$L$1866)+SUMIF(Mercado_Receita!$S$2:$S$1866,"44501A3ConvencionalNão se aplicaNão se aplicaAPENão se aplicaNão se aplica",Mercado_Receita!$L$2:$L$1866)</f>
        <v>10221.031000000001</v>
      </c>
      <c r="Q5" s="12">
        <f>SUMIF(Mercado_Receita!$S$2:$S$1866,"44531A3AzulNão se aplicaNão se aplicaAPENão se aplicaPonta",Mercado_Receita!$L$2:$L$1866)+SUMIF(Mercado_Receita!$S$2:$S$1866,"44531A3AzulNão se aplicaNão se aplicaAPENão se aplicaFora ponta",Mercado_Receita!$L$2:$L$1866)+SUMIF(Mercado_Receita!$S$2:$S$1866,"44531A3AzulNão se aplicaNão se aplicaAPENão se aplicaIntermediário",Mercado_Receita!$L$2:$L$1866)+SUMIF(Mercado_Receita!$S$2:$S$1866,"44531A3AzulNão se aplicaNão se aplicaAPENão se aplicaNão se aplica",Mercado_Receita!$L$2:$L$1866)+SUMIF(Mercado_Receita!$S$2:$S$1866,"44531A3ConvencionalNão se aplicaNão se aplicaAPENão se aplicaNão se aplica",Mercado_Receita!$L$2:$L$1866)</f>
        <v>8846.6949999999997</v>
      </c>
      <c r="R5" s="12">
        <f>SUMIF(Mercado_Receita!$S$2:$S$1866,"44562A3AzulNão se aplicaNão se aplicaAPENão se aplicaPonta",Mercado_Receita!$L$2:$L$1866)+SUMIF(Mercado_Receita!$S$2:$S$1866,"44562A3AzulNão se aplicaNão se aplicaAPENão se aplicaFora ponta",Mercado_Receita!$L$2:$L$1866)+SUMIF(Mercado_Receita!$S$2:$S$1866,"44562A3AzulNão se aplicaNão se aplicaAPENão se aplicaIntermediário",Mercado_Receita!$L$2:$L$1866)+SUMIF(Mercado_Receita!$S$2:$S$1866,"44562A3AzulNão se aplicaNão se aplicaAPENão se aplicaNão se aplica",Mercado_Receita!$L$2:$L$1866)+SUMIF(Mercado_Receita!$S$2:$S$1866,"44562A3ConvencionalNão se aplicaNão se aplicaAPENão se aplicaNão se aplica",Mercado_Receita!$L$2:$L$1866)</f>
        <v>10539.724</v>
      </c>
      <c r="S5" s="12">
        <f>SUMIF(Mercado_Receita!$S$2:$S$1866,"44593A3AzulNão se aplicaNão se aplicaAPENão se aplicaPonta",Mercado_Receita!$L$2:$L$1866)+SUMIF(Mercado_Receita!$S$2:$S$1866,"44593A3AzulNão se aplicaNão se aplicaAPENão se aplicaFora ponta",Mercado_Receita!$L$2:$L$1866)+SUMIF(Mercado_Receita!$S$2:$S$1866,"44593A3AzulNão se aplicaNão se aplicaAPENão se aplicaIntermediário",Mercado_Receita!$L$2:$L$1866)+SUMIF(Mercado_Receita!$S$2:$S$1866,"44593A3AzulNão se aplicaNão se aplicaAPENão se aplicaNão se aplica",Mercado_Receita!$L$2:$L$1866)+SUMIF(Mercado_Receita!$S$2:$S$1866,"44593A3ConvencionalNão se aplicaNão se aplicaAPENão se aplicaNão se aplica",Mercado_Receita!$L$2:$L$1866)</f>
        <v>11106.028</v>
      </c>
      <c r="T5" s="12">
        <f>SUMIF(Mercado_Receita!$S$2:$S$1866,"44621A3AzulNão se aplicaNão se aplicaAPENão se aplicaPonta",Mercado_Receita!$L$2:$L$1866)+SUMIF(Mercado_Receita!$S$2:$S$1866,"44621A3AzulNão se aplicaNão se aplicaAPENão se aplicaFora ponta",Mercado_Receita!$L$2:$L$1866)+SUMIF(Mercado_Receita!$S$2:$S$1866,"44621A3AzulNão se aplicaNão se aplicaAPENão se aplicaIntermediário",Mercado_Receita!$L$2:$L$1866)+SUMIF(Mercado_Receita!$S$2:$S$1866,"44621A3AzulNão se aplicaNão se aplicaAPENão se aplicaNão se aplica",Mercado_Receita!$L$2:$L$1866)+SUMIF(Mercado_Receita!$S$2:$S$1866,"44621A3ConvencionalNão se aplicaNão se aplicaAPENão se aplicaNão se aplica",Mercado_Receita!$L$2:$L$1866)</f>
        <v>11106.028</v>
      </c>
      <c r="U5" s="12">
        <f t="shared" si="0"/>
        <v>113715.95400000001</v>
      </c>
      <c r="V5" s="12"/>
      <c r="W5" s="12"/>
    </row>
    <row r="6" spans="1:30" ht="11.25" customHeight="1" x14ac:dyDescent="0.25">
      <c r="A6" s="90"/>
      <c r="B6" s="89" t="s">
        <v>61</v>
      </c>
      <c r="C6" s="89" t="s">
        <v>25</v>
      </c>
      <c r="D6" s="89" t="s">
        <v>25</v>
      </c>
      <c r="E6" s="89" t="s">
        <v>25</v>
      </c>
      <c r="F6" s="89" t="s">
        <v>65</v>
      </c>
      <c r="G6" s="12" t="s">
        <v>100</v>
      </c>
      <c r="H6" s="12" t="s">
        <v>99</v>
      </c>
      <c r="I6" s="12">
        <f>SUMIF(Mercado_Receita!$S$2:$S$1866,"44287A3DistribuiçãoNão se aplicaNão se aplicaNão se aplicaSulgipePonta",Mercado_Receita!$J$2:$J$1866)+SUMIF(Mercado_Receita!$S$2:$S$1866,"44287A3DistribuiçãoNão se aplicaNão se aplicaNão se aplicaSulgipeNão se aplica",Mercado_Receita!$J$2:$J$1866)*0.72</f>
        <v>0</v>
      </c>
      <c r="J6" s="12">
        <f>SUMIF(Mercado_Receita!$S$2:$S$1866,"44317A3DistribuiçãoNão se aplicaNão se aplicaNão se aplicaSulgipePonta",Mercado_Receita!$J$2:$J$1866)+SUMIF(Mercado_Receita!$S$2:$S$1866,"44317A3DistribuiçãoNão se aplicaNão se aplicaNão se aplicaSulgipeNão se aplica",Mercado_Receita!$J$2:$J$1866)*0.72</f>
        <v>0</v>
      </c>
      <c r="K6" s="12">
        <f>SUMIF(Mercado_Receita!$S$2:$S$1866,"44348A3DistribuiçãoNão se aplicaNão se aplicaNão se aplicaSulgipePonta",Mercado_Receita!$J$2:$J$1866)+SUMIF(Mercado_Receita!$S$2:$S$1866,"44348A3DistribuiçãoNão se aplicaNão se aplicaNão se aplicaSulgipeNão se aplica",Mercado_Receita!$J$2:$J$1866)*0.72</f>
        <v>0</v>
      </c>
      <c r="L6" s="12">
        <f>SUMIF(Mercado_Receita!$S$2:$S$1866,"44378A3DistribuiçãoNão se aplicaNão se aplicaNão se aplicaSulgipePonta",Mercado_Receita!$J$2:$J$1866)+SUMIF(Mercado_Receita!$S$2:$S$1866,"44378A3DistribuiçãoNão se aplicaNão se aplicaNão se aplicaSulgipeNão se aplica",Mercado_Receita!$J$2:$J$1866)*0.72</f>
        <v>0</v>
      </c>
      <c r="M6" s="12">
        <f>SUMIF(Mercado_Receita!$S$2:$S$1866,"44409A3DistribuiçãoNão se aplicaNão se aplicaNão se aplicaSulgipePonta",Mercado_Receita!$J$2:$J$1866)+SUMIF(Mercado_Receita!$S$2:$S$1866,"44409A3DistribuiçãoNão se aplicaNão se aplicaNão se aplicaSulgipeNão se aplica",Mercado_Receita!$J$2:$J$1866)*0.72</f>
        <v>0</v>
      </c>
      <c r="N6" s="12">
        <f>SUMIF(Mercado_Receita!$S$2:$S$1866,"44440A3DistribuiçãoNão se aplicaNão se aplicaNão se aplicaSulgipePonta",Mercado_Receita!$J$2:$J$1866)+SUMIF(Mercado_Receita!$S$2:$S$1866,"44440A3DistribuiçãoNão se aplicaNão se aplicaNão se aplicaSulgipeNão se aplica",Mercado_Receita!$J$2:$J$1866)*0.72</f>
        <v>0</v>
      </c>
      <c r="O6" s="12">
        <f>SUMIF(Mercado_Receita!$S$2:$S$1866,"44470A3DistribuiçãoNão se aplicaNão se aplicaNão se aplicaSulgipePonta",Mercado_Receita!$J$2:$J$1866)+SUMIF(Mercado_Receita!$S$2:$S$1866,"44470A3DistribuiçãoNão se aplicaNão se aplicaNão se aplicaSulgipeNão se aplica",Mercado_Receita!$J$2:$J$1866)*0.72</f>
        <v>0</v>
      </c>
      <c r="P6" s="12">
        <f>SUMIF(Mercado_Receita!$S$2:$S$1866,"44501A3DistribuiçãoNão se aplicaNão se aplicaNão se aplicaSulgipePonta",Mercado_Receita!$J$2:$J$1866)+SUMIF(Mercado_Receita!$S$2:$S$1866,"44501A3DistribuiçãoNão se aplicaNão se aplicaNão se aplicaSulgipeNão se aplica",Mercado_Receita!$J$2:$J$1866)*0.72</f>
        <v>0</v>
      </c>
      <c r="Q6" s="12">
        <f>SUMIF(Mercado_Receita!$S$2:$S$1866,"44531A3DistribuiçãoNão se aplicaNão se aplicaNão se aplicaSulgipePonta",Mercado_Receita!$J$2:$J$1866)+SUMIF(Mercado_Receita!$S$2:$S$1866,"44531A3DistribuiçãoNão se aplicaNão se aplicaNão se aplicaSulgipeNão se aplica",Mercado_Receita!$J$2:$J$1866)*0.72</f>
        <v>0</v>
      </c>
      <c r="R6" s="12">
        <f>SUMIF(Mercado_Receita!$S$2:$S$1866,"44562A3DistribuiçãoNão se aplicaNão se aplicaNão se aplicaSulgipePonta",Mercado_Receita!$J$2:$J$1866)+SUMIF(Mercado_Receita!$S$2:$S$1866,"44562A3DistribuiçãoNão se aplicaNão se aplicaNão se aplicaSulgipeNão se aplica",Mercado_Receita!$J$2:$J$1866)*0.72</f>
        <v>0</v>
      </c>
      <c r="S6" s="12">
        <f>SUMIF(Mercado_Receita!$S$2:$S$1866,"44593A3DistribuiçãoNão se aplicaNão se aplicaNão se aplicaSulgipePonta",Mercado_Receita!$J$2:$J$1866)+SUMIF(Mercado_Receita!$S$2:$S$1866,"44593A3DistribuiçãoNão se aplicaNão se aplicaNão se aplicaSulgipeNão se aplica",Mercado_Receita!$J$2:$J$1866)*0.72</f>
        <v>0</v>
      </c>
      <c r="T6" s="12">
        <f>SUMIF(Mercado_Receita!$S$2:$S$1866,"44621A3DistribuiçãoNão se aplicaNão se aplicaNão se aplicaSulgipePonta",Mercado_Receita!$J$2:$J$1866)+SUMIF(Mercado_Receita!$S$2:$S$1866,"44621A3DistribuiçãoNão se aplicaNão se aplicaNão se aplicaSulgipeNão se aplica",Mercado_Receita!$J$2:$J$1866)*0.72</f>
        <v>0</v>
      </c>
      <c r="U6" s="12">
        <f t="shared" si="0"/>
        <v>0</v>
      </c>
      <c r="V6" s="12"/>
      <c r="W6" s="12"/>
    </row>
    <row r="7" spans="1:30" ht="11.25" customHeight="1" x14ac:dyDescent="0.25">
      <c r="A7" s="90"/>
      <c r="B7" s="90"/>
      <c r="C7" s="90"/>
      <c r="D7" s="90"/>
      <c r="E7" s="90"/>
      <c r="F7" s="90"/>
      <c r="G7" s="12" t="s">
        <v>101</v>
      </c>
      <c r="H7" s="12" t="s">
        <v>99</v>
      </c>
      <c r="I7" s="12">
        <f>SUMIF(Mercado_Receita!$S$2:$S$1866,"44287A3DistribuiçãoNão se aplicaNão se aplicaNão se aplicaSulgipeFora ponta",Mercado_Receita!$J$2:$J$1866)+SUMIF(Mercado_Receita!$S$2:$S$1866,"44287A3DistribuiçãoNão se aplicaNão se aplicaNão se aplicaSulgipeNão se aplica",Mercado_Receita!$J$2:$J$1866)*1</f>
        <v>0</v>
      </c>
      <c r="J7" s="12">
        <f>SUMIF(Mercado_Receita!$S$2:$S$1866,"44317A3DistribuiçãoNão se aplicaNão se aplicaNão se aplicaSulgipeFora ponta",Mercado_Receita!$J$2:$J$1866)+SUMIF(Mercado_Receita!$S$2:$S$1866,"44317A3DistribuiçãoNão se aplicaNão se aplicaNão se aplicaSulgipeNão se aplica",Mercado_Receita!$J$2:$J$1866)*1</f>
        <v>0</v>
      </c>
      <c r="K7" s="12">
        <f>SUMIF(Mercado_Receita!$S$2:$S$1866,"44348A3DistribuiçãoNão se aplicaNão se aplicaNão se aplicaSulgipeFora ponta",Mercado_Receita!$J$2:$J$1866)+SUMIF(Mercado_Receita!$S$2:$S$1866,"44348A3DistribuiçãoNão se aplicaNão se aplicaNão se aplicaSulgipeNão se aplica",Mercado_Receita!$J$2:$J$1866)*1</f>
        <v>0</v>
      </c>
      <c r="L7" s="12">
        <f>SUMIF(Mercado_Receita!$S$2:$S$1866,"44378A3DistribuiçãoNão se aplicaNão se aplicaNão se aplicaSulgipeFora ponta",Mercado_Receita!$J$2:$J$1866)+SUMIF(Mercado_Receita!$S$2:$S$1866,"44378A3DistribuiçãoNão se aplicaNão se aplicaNão se aplicaSulgipeNão se aplica",Mercado_Receita!$J$2:$J$1866)*1</f>
        <v>0</v>
      </c>
      <c r="M7" s="12">
        <f>SUMIF(Mercado_Receita!$S$2:$S$1866,"44409A3DistribuiçãoNão se aplicaNão se aplicaNão se aplicaSulgipeFora ponta",Mercado_Receita!$J$2:$J$1866)+SUMIF(Mercado_Receita!$S$2:$S$1866,"44409A3DistribuiçãoNão se aplicaNão se aplicaNão se aplicaSulgipeNão se aplica",Mercado_Receita!$J$2:$J$1866)*1</f>
        <v>0</v>
      </c>
      <c r="N7" s="12">
        <f>SUMIF(Mercado_Receita!$S$2:$S$1866,"44440A3DistribuiçãoNão se aplicaNão se aplicaNão se aplicaSulgipeFora ponta",Mercado_Receita!$J$2:$J$1866)+SUMIF(Mercado_Receita!$S$2:$S$1866,"44440A3DistribuiçãoNão se aplicaNão se aplicaNão se aplicaSulgipeNão se aplica",Mercado_Receita!$J$2:$J$1866)*1</f>
        <v>0</v>
      </c>
      <c r="O7" s="12">
        <f>SUMIF(Mercado_Receita!$S$2:$S$1866,"44470A3DistribuiçãoNão se aplicaNão se aplicaNão se aplicaSulgipeFora ponta",Mercado_Receita!$J$2:$J$1866)+SUMIF(Mercado_Receita!$S$2:$S$1866,"44470A3DistribuiçãoNão se aplicaNão se aplicaNão se aplicaSulgipeNão se aplica",Mercado_Receita!$J$2:$J$1866)*1</f>
        <v>0</v>
      </c>
      <c r="P7" s="12">
        <f>SUMIF(Mercado_Receita!$S$2:$S$1866,"44501A3DistribuiçãoNão se aplicaNão se aplicaNão se aplicaSulgipeFora ponta",Mercado_Receita!$J$2:$J$1866)+SUMIF(Mercado_Receita!$S$2:$S$1866,"44501A3DistribuiçãoNão se aplicaNão se aplicaNão se aplicaSulgipeNão se aplica",Mercado_Receita!$J$2:$J$1866)*1</f>
        <v>0</v>
      </c>
      <c r="Q7" s="12">
        <f>SUMIF(Mercado_Receita!$S$2:$S$1866,"44531A3DistribuiçãoNão se aplicaNão se aplicaNão se aplicaSulgipeFora ponta",Mercado_Receita!$J$2:$J$1866)+SUMIF(Mercado_Receita!$S$2:$S$1866,"44531A3DistribuiçãoNão se aplicaNão se aplicaNão se aplicaSulgipeNão se aplica",Mercado_Receita!$J$2:$J$1866)*1</f>
        <v>0</v>
      </c>
      <c r="R7" s="12">
        <f>SUMIF(Mercado_Receita!$S$2:$S$1866,"44562A3DistribuiçãoNão se aplicaNão se aplicaNão se aplicaSulgipeFora ponta",Mercado_Receita!$J$2:$J$1866)+SUMIF(Mercado_Receita!$S$2:$S$1866,"44562A3DistribuiçãoNão se aplicaNão se aplicaNão se aplicaSulgipeNão se aplica",Mercado_Receita!$J$2:$J$1866)*1</f>
        <v>0</v>
      </c>
      <c r="S7" s="12">
        <f>SUMIF(Mercado_Receita!$S$2:$S$1866,"44593A3DistribuiçãoNão se aplicaNão se aplicaNão se aplicaSulgipeFora ponta",Mercado_Receita!$J$2:$J$1866)+SUMIF(Mercado_Receita!$S$2:$S$1866,"44593A3DistribuiçãoNão se aplicaNão se aplicaNão se aplicaSulgipeNão se aplica",Mercado_Receita!$J$2:$J$1866)*1</f>
        <v>0</v>
      </c>
      <c r="T7" s="12">
        <f>SUMIF(Mercado_Receita!$S$2:$S$1866,"44621A3DistribuiçãoNão se aplicaNão se aplicaNão se aplicaSulgipeFora ponta",Mercado_Receita!$J$2:$J$1866)+SUMIF(Mercado_Receita!$S$2:$S$1866,"44621A3DistribuiçãoNão se aplicaNão se aplicaNão se aplicaSulgipeNão se aplica",Mercado_Receita!$J$2:$J$1866)*1</f>
        <v>0</v>
      </c>
      <c r="U7" s="12">
        <f t="shared" si="0"/>
        <v>0</v>
      </c>
      <c r="V7" s="12"/>
      <c r="W7" s="12"/>
    </row>
    <row r="8" spans="1:30" ht="11.25" customHeight="1" x14ac:dyDescent="0.25">
      <c r="A8" s="90"/>
      <c r="B8" s="90"/>
      <c r="C8" s="90"/>
      <c r="D8" s="90"/>
      <c r="E8" s="90"/>
      <c r="F8" s="90"/>
      <c r="G8" s="12" t="s">
        <v>98</v>
      </c>
      <c r="H8" s="12" t="s">
        <v>93</v>
      </c>
      <c r="I8" s="12">
        <f>IF((I6+I7)&lt;&gt;0,SUMIF(Mercado_Receita!$S$2:$S$1866,"44287A3DistribuiçãoNão se aplicaNão se aplicaNão se aplicaSulgipePonta",Mercado_Receita!$L$2:$L$1866)+SUMIF(Mercado_Receita!$S$2:$S$1866,"44287A3DistribuiçãoNão se aplicaNão se aplicaNão se aplicaSulgipeFora ponta",Mercado_Receita!$L$2:$L$1866)+SUMIF(Mercado_Receita!$S$2:$S$1866,"44287A3DistribuiçãoNão se aplicaNão se aplicaNão se aplicaSulgipeIntermediário",Mercado_Receita!$L$2:$L$1866)+SUMIF(Mercado_Receita!$S$2:$S$1866,"44287A3DistribuiçãoNão se aplicaNão se aplicaNão se aplicaSulgipeNão se aplica",Mercado_Receita!$L$2:$L$1866),0)</f>
        <v>0</v>
      </c>
      <c r="J8" s="12">
        <f>IF((J6+J7)&lt;&gt;0,SUMIF(Mercado_Receita!$S$2:$S$1866,"44317A3DistribuiçãoNão se aplicaNão se aplicaNão se aplicaSulgipePonta",Mercado_Receita!$L$2:$L$1866)+SUMIF(Mercado_Receita!$S$2:$S$1866,"44317A3DistribuiçãoNão se aplicaNão se aplicaNão se aplicaSulgipeFora ponta",Mercado_Receita!$L$2:$L$1866)+SUMIF(Mercado_Receita!$S$2:$S$1866,"44317A3DistribuiçãoNão se aplicaNão se aplicaNão se aplicaSulgipeIntermediário",Mercado_Receita!$L$2:$L$1866)+SUMIF(Mercado_Receita!$S$2:$S$1866,"44317A3DistribuiçãoNão se aplicaNão se aplicaNão se aplicaSulgipeNão se aplica",Mercado_Receita!$L$2:$L$1866),0)</f>
        <v>0</v>
      </c>
      <c r="K8" s="12">
        <f>IF((K6+K7)&lt;&gt;0,SUMIF(Mercado_Receita!$S$2:$S$1866,"44348A3DistribuiçãoNão se aplicaNão se aplicaNão se aplicaSulgipePonta",Mercado_Receita!$L$2:$L$1866)+SUMIF(Mercado_Receita!$S$2:$S$1866,"44348A3DistribuiçãoNão se aplicaNão se aplicaNão se aplicaSulgipeFora ponta",Mercado_Receita!$L$2:$L$1866)+SUMIF(Mercado_Receita!$S$2:$S$1866,"44348A3DistribuiçãoNão se aplicaNão se aplicaNão se aplicaSulgipeIntermediário",Mercado_Receita!$L$2:$L$1866)+SUMIF(Mercado_Receita!$S$2:$S$1866,"44348A3DistribuiçãoNão se aplicaNão se aplicaNão se aplicaSulgipeNão se aplica",Mercado_Receita!$L$2:$L$1866),0)</f>
        <v>0</v>
      </c>
      <c r="L8" s="12">
        <f>IF((L6+L7)&lt;&gt;0,SUMIF(Mercado_Receita!$S$2:$S$1866,"44378A3DistribuiçãoNão se aplicaNão se aplicaNão se aplicaSulgipePonta",Mercado_Receita!$L$2:$L$1866)+SUMIF(Mercado_Receita!$S$2:$S$1866,"44378A3DistribuiçãoNão se aplicaNão se aplicaNão se aplicaSulgipeFora ponta",Mercado_Receita!$L$2:$L$1866)+SUMIF(Mercado_Receita!$S$2:$S$1866,"44378A3DistribuiçãoNão se aplicaNão se aplicaNão se aplicaSulgipeIntermediário",Mercado_Receita!$L$2:$L$1866)+SUMIF(Mercado_Receita!$S$2:$S$1866,"44378A3DistribuiçãoNão se aplicaNão se aplicaNão se aplicaSulgipeNão se aplica",Mercado_Receita!$L$2:$L$1866),0)</f>
        <v>0</v>
      </c>
      <c r="M8" s="12">
        <f>IF((M6+M7)&lt;&gt;0,SUMIF(Mercado_Receita!$S$2:$S$1866,"44409A3DistribuiçãoNão se aplicaNão se aplicaNão se aplicaSulgipePonta",Mercado_Receita!$L$2:$L$1866)+SUMIF(Mercado_Receita!$S$2:$S$1866,"44409A3DistribuiçãoNão se aplicaNão se aplicaNão se aplicaSulgipeFora ponta",Mercado_Receita!$L$2:$L$1866)+SUMIF(Mercado_Receita!$S$2:$S$1866,"44409A3DistribuiçãoNão se aplicaNão se aplicaNão se aplicaSulgipeIntermediário",Mercado_Receita!$L$2:$L$1866)+SUMIF(Mercado_Receita!$S$2:$S$1866,"44409A3DistribuiçãoNão se aplicaNão se aplicaNão se aplicaSulgipeNão se aplica",Mercado_Receita!$L$2:$L$1866),0)</f>
        <v>0</v>
      </c>
      <c r="N8" s="12">
        <f>IF((N6+N7)&lt;&gt;0,SUMIF(Mercado_Receita!$S$2:$S$1866,"44440A3DistribuiçãoNão se aplicaNão se aplicaNão se aplicaSulgipePonta",Mercado_Receita!$L$2:$L$1866)+SUMIF(Mercado_Receita!$S$2:$S$1866,"44440A3DistribuiçãoNão se aplicaNão se aplicaNão se aplicaSulgipeFora ponta",Mercado_Receita!$L$2:$L$1866)+SUMIF(Mercado_Receita!$S$2:$S$1866,"44440A3DistribuiçãoNão se aplicaNão se aplicaNão se aplicaSulgipeIntermediário",Mercado_Receita!$L$2:$L$1866)+SUMIF(Mercado_Receita!$S$2:$S$1866,"44440A3DistribuiçãoNão se aplicaNão se aplicaNão se aplicaSulgipeNão se aplica",Mercado_Receita!$L$2:$L$1866),0)</f>
        <v>0</v>
      </c>
      <c r="O8" s="12">
        <f>IF((O6+O7)&lt;&gt;0,SUMIF(Mercado_Receita!$S$2:$S$1866,"44470A3DistribuiçãoNão se aplicaNão se aplicaNão se aplicaSulgipePonta",Mercado_Receita!$L$2:$L$1866)+SUMIF(Mercado_Receita!$S$2:$S$1866,"44470A3DistribuiçãoNão se aplicaNão se aplicaNão se aplicaSulgipeFora ponta",Mercado_Receita!$L$2:$L$1866)+SUMIF(Mercado_Receita!$S$2:$S$1866,"44470A3DistribuiçãoNão se aplicaNão se aplicaNão se aplicaSulgipeIntermediário",Mercado_Receita!$L$2:$L$1866)+SUMIF(Mercado_Receita!$S$2:$S$1866,"44470A3DistribuiçãoNão se aplicaNão se aplicaNão se aplicaSulgipeNão se aplica",Mercado_Receita!$L$2:$L$1866),0)</f>
        <v>0</v>
      </c>
      <c r="P8" s="12">
        <f>IF((P6+P7)&lt;&gt;0,SUMIF(Mercado_Receita!$S$2:$S$1866,"44501A3DistribuiçãoNão se aplicaNão se aplicaNão se aplicaSulgipePonta",Mercado_Receita!$L$2:$L$1866)+SUMIF(Mercado_Receita!$S$2:$S$1866,"44501A3DistribuiçãoNão se aplicaNão se aplicaNão se aplicaSulgipeFora ponta",Mercado_Receita!$L$2:$L$1866)+SUMIF(Mercado_Receita!$S$2:$S$1866,"44501A3DistribuiçãoNão se aplicaNão se aplicaNão se aplicaSulgipeIntermediário",Mercado_Receita!$L$2:$L$1866)+SUMIF(Mercado_Receita!$S$2:$S$1866,"44501A3DistribuiçãoNão se aplicaNão se aplicaNão se aplicaSulgipeNão se aplica",Mercado_Receita!$L$2:$L$1866),0)</f>
        <v>0</v>
      </c>
      <c r="Q8" s="12">
        <f>IF((Q6+Q7)&lt;&gt;0,SUMIF(Mercado_Receita!$S$2:$S$1866,"44531A3DistribuiçãoNão se aplicaNão se aplicaNão se aplicaSulgipePonta",Mercado_Receita!$L$2:$L$1866)+SUMIF(Mercado_Receita!$S$2:$S$1866,"44531A3DistribuiçãoNão se aplicaNão se aplicaNão se aplicaSulgipeFora ponta",Mercado_Receita!$L$2:$L$1866)+SUMIF(Mercado_Receita!$S$2:$S$1866,"44531A3DistribuiçãoNão se aplicaNão se aplicaNão se aplicaSulgipeIntermediário",Mercado_Receita!$L$2:$L$1866)+SUMIF(Mercado_Receita!$S$2:$S$1866,"44531A3DistribuiçãoNão se aplicaNão se aplicaNão se aplicaSulgipeNão se aplica",Mercado_Receita!$L$2:$L$1866),0)</f>
        <v>0</v>
      </c>
      <c r="R8" s="12">
        <f>IF((R6+R7)&lt;&gt;0,SUMIF(Mercado_Receita!$S$2:$S$1866,"44562A3DistribuiçãoNão se aplicaNão se aplicaNão se aplicaSulgipePonta",Mercado_Receita!$L$2:$L$1866)+SUMIF(Mercado_Receita!$S$2:$S$1866,"44562A3DistribuiçãoNão se aplicaNão se aplicaNão se aplicaSulgipeFora ponta",Mercado_Receita!$L$2:$L$1866)+SUMIF(Mercado_Receita!$S$2:$S$1866,"44562A3DistribuiçãoNão se aplicaNão se aplicaNão se aplicaSulgipeIntermediário",Mercado_Receita!$L$2:$L$1866)+SUMIF(Mercado_Receita!$S$2:$S$1866,"44562A3DistribuiçãoNão se aplicaNão se aplicaNão se aplicaSulgipeNão se aplica",Mercado_Receita!$L$2:$L$1866),0)</f>
        <v>0</v>
      </c>
      <c r="S8" s="12">
        <f>IF((S6+S7)&lt;&gt;0,SUMIF(Mercado_Receita!$S$2:$S$1866,"44593A3DistribuiçãoNão se aplicaNão se aplicaNão se aplicaSulgipePonta",Mercado_Receita!$L$2:$L$1866)+SUMIF(Mercado_Receita!$S$2:$S$1866,"44593A3DistribuiçãoNão se aplicaNão se aplicaNão se aplicaSulgipeFora ponta",Mercado_Receita!$L$2:$L$1866)+SUMIF(Mercado_Receita!$S$2:$S$1866,"44593A3DistribuiçãoNão se aplicaNão se aplicaNão se aplicaSulgipeIntermediário",Mercado_Receita!$L$2:$L$1866)+SUMIF(Mercado_Receita!$S$2:$S$1866,"44593A3DistribuiçãoNão se aplicaNão se aplicaNão se aplicaSulgipeNão se aplica",Mercado_Receita!$L$2:$L$1866),0)</f>
        <v>0</v>
      </c>
      <c r="T8" s="12">
        <f>IF((T6+T7)&lt;&gt;0,SUMIF(Mercado_Receita!$S$2:$S$1866,"44621A3DistribuiçãoNão se aplicaNão se aplicaNão se aplicaSulgipePonta",Mercado_Receita!$L$2:$L$1866)+SUMIF(Mercado_Receita!$S$2:$S$1866,"44621A3DistribuiçãoNão se aplicaNão se aplicaNão se aplicaSulgipeFora ponta",Mercado_Receita!$L$2:$L$1866)+SUMIF(Mercado_Receita!$S$2:$S$1866,"44621A3DistribuiçãoNão se aplicaNão se aplicaNão se aplicaSulgipeIntermediário",Mercado_Receita!$L$2:$L$1866)+SUMIF(Mercado_Receita!$S$2:$S$1866,"44621A3DistribuiçãoNão se aplicaNão se aplicaNão se aplicaSulgipeNão se aplica",Mercado_Receita!$L$2:$L$1866),0)</f>
        <v>0</v>
      </c>
      <c r="U8" s="12">
        <f t="shared" si="0"/>
        <v>0</v>
      </c>
      <c r="V8" s="12"/>
      <c r="W8" s="12"/>
    </row>
    <row r="9" spans="1:30" ht="11.25" customHeight="1" x14ac:dyDescent="0.25">
      <c r="A9" s="90"/>
      <c r="B9" s="13" t="s">
        <v>69</v>
      </c>
      <c r="C9" s="13" t="s">
        <v>25</v>
      </c>
      <c r="D9" s="13" t="s">
        <v>25</v>
      </c>
      <c r="E9" s="13" t="s">
        <v>25</v>
      </c>
      <c r="F9" s="13" t="s">
        <v>25</v>
      </c>
      <c r="G9" s="12" t="s">
        <v>9</v>
      </c>
      <c r="H9" s="12" t="s">
        <v>99</v>
      </c>
      <c r="I9" s="12">
        <f>SUMIF(Mercado_Receita!$S$2:$S$1866,"44287A3GeraçãoNão se aplicaNão se aplicaNão se aplicaNão se aplicaNão se aplica",Mercado_Receita!$J$2:$J$1866)+SUMIF(Mercado_Receita!$S$2:$S$1866,"44287A3GeraçãoNão se aplicaNão se aplicaAPENão se aplicaNão se aplica",Mercado_Receita!$J$2:$J$1866)</f>
        <v>57496</v>
      </c>
      <c r="J9" s="12">
        <f>SUMIF(Mercado_Receita!$S$2:$S$1866,"44317A3GeraçãoNão se aplicaNão se aplicaNão se aplicaNão se aplicaNão se aplica",Mercado_Receita!$J$2:$J$1866)+SUMIF(Mercado_Receita!$S$2:$S$1866,"44317A3GeraçãoNão se aplicaNão se aplicaAPENão se aplicaNão se aplica",Mercado_Receita!$J$2:$J$1866)</f>
        <v>57572</v>
      </c>
      <c r="K9" s="12">
        <f>SUMIF(Mercado_Receita!$S$2:$S$1866,"44348A3GeraçãoNão se aplicaNão se aplicaNão se aplicaNão se aplicaNão se aplica",Mercado_Receita!$J$2:$J$1866)+SUMIF(Mercado_Receita!$S$2:$S$1866,"44348A3GeraçãoNão se aplicaNão se aplicaAPENão se aplicaNão se aplica",Mercado_Receita!$J$2:$J$1866)</f>
        <v>57940</v>
      </c>
      <c r="L9" s="12">
        <f>SUMIF(Mercado_Receita!$S$2:$S$1866,"44378A3GeraçãoNão se aplicaNão se aplicaNão se aplicaNão se aplicaNão se aplica",Mercado_Receita!$J$2:$J$1866)+SUMIF(Mercado_Receita!$S$2:$S$1866,"44378A3GeraçãoNão se aplicaNão se aplicaAPENão se aplicaNão se aplica",Mercado_Receita!$J$2:$J$1866)</f>
        <v>57939</v>
      </c>
      <c r="M9" s="12">
        <f>SUMIF(Mercado_Receita!$S$2:$S$1866,"44409A3GeraçãoNão se aplicaNão se aplicaNão se aplicaNão se aplicaNão se aplica",Mercado_Receita!$J$2:$J$1866)+SUMIF(Mercado_Receita!$S$2:$S$1866,"44409A3GeraçãoNão se aplicaNão se aplicaAPENão se aplicaNão se aplica",Mercado_Receita!$J$2:$J$1866)</f>
        <v>55539</v>
      </c>
      <c r="N9" s="12">
        <f>SUMIF(Mercado_Receita!$S$2:$S$1866,"44440A3GeraçãoNão se aplicaNão se aplicaNão se aplicaNão se aplicaNão se aplica",Mercado_Receita!$J$2:$J$1866)+SUMIF(Mercado_Receita!$S$2:$S$1866,"44440A3GeraçãoNão se aplicaNão se aplicaAPENão se aplicaNão se aplica",Mercado_Receita!$J$2:$J$1866)</f>
        <v>55542</v>
      </c>
      <c r="O9" s="12">
        <f>SUMIF(Mercado_Receita!$S$2:$S$1866,"44470A3GeraçãoNão se aplicaNão se aplicaNão se aplicaNão se aplicaNão se aplica",Mercado_Receita!$J$2:$J$1866)+SUMIF(Mercado_Receita!$S$2:$S$1866,"44470A3GeraçãoNão se aplicaNão se aplicaAPENão se aplicaNão se aplica",Mercado_Receita!$J$2:$J$1866)</f>
        <v>55052</v>
      </c>
      <c r="P9" s="12">
        <f>SUMIF(Mercado_Receita!$S$2:$S$1866,"44501A3GeraçãoNão se aplicaNão se aplicaNão se aplicaNão se aplicaNão se aplica",Mercado_Receita!$J$2:$J$1866)+SUMIF(Mercado_Receita!$S$2:$S$1866,"44501A3GeraçãoNão se aplicaNão se aplicaAPENão se aplicaNão se aplica",Mercado_Receita!$J$2:$J$1866)</f>
        <v>52716</v>
      </c>
      <c r="Q9" s="12">
        <f>SUMIF(Mercado_Receita!$S$2:$S$1866,"44531A3GeraçãoNão se aplicaNão se aplicaNão se aplicaNão se aplicaNão se aplica",Mercado_Receita!$J$2:$J$1866)+SUMIF(Mercado_Receita!$S$2:$S$1866,"44531A3GeraçãoNão se aplicaNão se aplicaAPENão se aplicaNão se aplica",Mercado_Receita!$J$2:$J$1866)</f>
        <v>55048</v>
      </c>
      <c r="R9" s="12">
        <f>SUMIF(Mercado_Receita!$S$2:$S$1866,"44562A3GeraçãoNão se aplicaNão se aplicaNão se aplicaNão se aplicaNão se aplica",Mercado_Receita!$J$2:$J$1866)+SUMIF(Mercado_Receita!$S$2:$S$1866,"44562A3GeraçãoNão se aplicaNão se aplicaAPENão se aplicaNão se aplica",Mercado_Receita!$J$2:$J$1866)</f>
        <v>54984</v>
      </c>
      <c r="S9" s="12">
        <f>SUMIF(Mercado_Receita!$S$2:$S$1866,"44593A3GeraçãoNão se aplicaNão se aplicaNão se aplicaNão se aplicaNão se aplica",Mercado_Receita!$J$2:$J$1866)+SUMIF(Mercado_Receita!$S$2:$S$1866,"44593A3GeraçãoNão se aplicaNão se aplicaAPENão se aplicaNão se aplica",Mercado_Receita!$J$2:$J$1866)</f>
        <v>55012</v>
      </c>
      <c r="T9" s="12">
        <f>SUMIF(Mercado_Receita!$S$2:$S$1866,"44621A3GeraçãoNão se aplicaNão se aplicaNão se aplicaNão se aplicaNão se aplica",Mercado_Receita!$J$2:$J$1866)+SUMIF(Mercado_Receita!$S$2:$S$1866,"44621A3GeraçãoNão se aplicaNão se aplicaAPENão se aplicaNão se aplica",Mercado_Receita!$J$2:$J$1866)</f>
        <v>55012</v>
      </c>
      <c r="U9" s="12">
        <f t="shared" si="0"/>
        <v>669852</v>
      </c>
      <c r="V9" s="12"/>
      <c r="W9" s="12"/>
    </row>
    <row r="10" spans="1:30" ht="11.25" customHeight="1" x14ac:dyDescent="0.25">
      <c r="A10" s="89" t="s">
        <v>41</v>
      </c>
      <c r="B10" s="89" t="s">
        <v>40</v>
      </c>
      <c r="C10" s="89" t="s">
        <v>25</v>
      </c>
      <c r="D10" s="89" t="s">
        <v>25</v>
      </c>
      <c r="E10" s="89" t="s">
        <v>25</v>
      </c>
      <c r="F10" s="89" t="s">
        <v>25</v>
      </c>
      <c r="G10" s="12" t="s">
        <v>100</v>
      </c>
      <c r="H10" s="12" t="s">
        <v>99</v>
      </c>
      <c r="I10" s="12">
        <f>SUMIF(Mercado_Receita!$S$2:$S$1866,"44287A4AzulNão se aplicaNão se aplicaNão se aplicaNão se aplicaPonta",Mercado_Receita!$J$2:$J$1866)+SUMIF(Mercado_Receita!$S$2:$S$1866,"44287A4AzulNão se aplicaNão se aplicaAPENão se aplicaPonta",Mercado_Receita!$J$2:$J$1866)</f>
        <v>42298</v>
      </c>
      <c r="J10" s="12">
        <f>SUMIF(Mercado_Receita!$S$2:$S$1866,"44317A4AzulNão se aplicaNão se aplicaNão se aplicaNão se aplicaPonta",Mercado_Receita!$J$2:$J$1866)+SUMIF(Mercado_Receita!$S$2:$S$1866,"44317A4AzulNão se aplicaNão se aplicaAPENão se aplicaPonta",Mercado_Receita!$J$2:$J$1866)</f>
        <v>42313</v>
      </c>
      <c r="K10" s="12">
        <f>SUMIF(Mercado_Receita!$S$2:$S$1866,"44348A4AzulNão se aplicaNão se aplicaNão se aplicaNão se aplicaPonta",Mercado_Receita!$J$2:$J$1866)+SUMIF(Mercado_Receita!$S$2:$S$1866,"44348A4AzulNão se aplicaNão se aplicaAPENão se aplicaPonta",Mercado_Receita!$J$2:$J$1866)</f>
        <v>47688</v>
      </c>
      <c r="L10" s="12">
        <f>SUMIF(Mercado_Receita!$S$2:$S$1866,"44378A4AzulNão se aplicaNão se aplicaNão se aplicaNão se aplicaPonta",Mercado_Receita!$J$2:$J$1866)+SUMIF(Mercado_Receita!$S$2:$S$1866,"44378A4AzulNão se aplicaNão se aplicaAPENão se aplicaPonta",Mercado_Receita!$J$2:$J$1866)</f>
        <v>46740</v>
      </c>
      <c r="M10" s="12">
        <f>SUMIF(Mercado_Receita!$S$2:$S$1866,"44409A4AzulNão se aplicaNão se aplicaNão se aplicaNão se aplicaPonta",Mercado_Receita!$J$2:$J$1866)+SUMIF(Mercado_Receita!$S$2:$S$1866,"44409A4AzulNão se aplicaNão se aplicaAPENão se aplicaPonta",Mercado_Receita!$J$2:$J$1866)</f>
        <v>41806</v>
      </c>
      <c r="N10" s="12">
        <f>SUMIF(Mercado_Receita!$S$2:$S$1866,"44440A4AzulNão se aplicaNão se aplicaNão se aplicaNão se aplicaPonta",Mercado_Receita!$J$2:$J$1866)+SUMIF(Mercado_Receita!$S$2:$S$1866,"44440A4AzulNão se aplicaNão se aplicaAPENão se aplicaPonta",Mercado_Receita!$J$2:$J$1866)</f>
        <v>48085</v>
      </c>
      <c r="O10" s="12">
        <f>SUMIF(Mercado_Receita!$S$2:$S$1866,"44470A4AzulNão se aplicaNão se aplicaNão se aplicaNão se aplicaPonta",Mercado_Receita!$J$2:$J$1866)+SUMIF(Mercado_Receita!$S$2:$S$1866,"44470A4AzulNão se aplicaNão se aplicaAPENão se aplicaPonta",Mercado_Receita!$J$2:$J$1866)</f>
        <v>49607</v>
      </c>
      <c r="P10" s="12">
        <f>SUMIF(Mercado_Receita!$S$2:$S$1866,"44501A4AzulNão se aplicaNão se aplicaNão se aplicaNão se aplicaPonta",Mercado_Receita!$J$2:$J$1866)+SUMIF(Mercado_Receita!$S$2:$S$1866,"44501A4AzulNão se aplicaNão se aplicaAPENão se aplicaPonta",Mercado_Receita!$J$2:$J$1866)</f>
        <v>49672</v>
      </c>
      <c r="Q10" s="12">
        <f>SUMIF(Mercado_Receita!$S$2:$S$1866,"44531A4AzulNão se aplicaNão se aplicaNão se aplicaNão se aplicaPonta",Mercado_Receita!$J$2:$J$1866)+SUMIF(Mercado_Receita!$S$2:$S$1866,"44531A4AzulNão se aplicaNão se aplicaAPENão se aplicaPonta",Mercado_Receita!$J$2:$J$1866)</f>
        <v>50230</v>
      </c>
      <c r="R10" s="12">
        <f>SUMIF(Mercado_Receita!$S$2:$S$1866,"44562A4AzulNão se aplicaNão se aplicaNão se aplicaNão se aplicaPonta",Mercado_Receita!$J$2:$J$1866)+SUMIF(Mercado_Receita!$S$2:$S$1866,"44562A4AzulNão se aplicaNão se aplicaAPENão se aplicaPonta",Mercado_Receita!$J$2:$J$1866)</f>
        <v>54783</v>
      </c>
      <c r="S10" s="12">
        <f>SUMIF(Mercado_Receita!$S$2:$S$1866,"44593A4AzulNão se aplicaNão se aplicaNão se aplicaNão se aplicaPonta",Mercado_Receita!$J$2:$J$1866)+SUMIF(Mercado_Receita!$S$2:$S$1866,"44593A4AzulNão se aplicaNão se aplicaAPENão se aplicaPonta",Mercado_Receita!$J$2:$J$1866)</f>
        <v>54066</v>
      </c>
      <c r="T10" s="12">
        <f>SUMIF(Mercado_Receita!$S$2:$S$1866,"44621A4AzulNão se aplicaNão se aplicaNão se aplicaNão se aplicaPonta",Mercado_Receita!$J$2:$J$1866)+SUMIF(Mercado_Receita!$S$2:$S$1866,"44621A4AzulNão se aplicaNão se aplicaAPENão se aplicaPonta",Mercado_Receita!$J$2:$J$1866)</f>
        <v>54066</v>
      </c>
      <c r="U10" s="12">
        <f t="shared" si="0"/>
        <v>581354</v>
      </c>
      <c r="V10" s="12"/>
      <c r="W10" s="12"/>
    </row>
    <row r="11" spans="1:30" ht="11.25" customHeight="1" x14ac:dyDescent="0.25">
      <c r="A11" s="90"/>
      <c r="B11" s="90"/>
      <c r="C11" s="90"/>
      <c r="D11" s="90"/>
      <c r="E11" s="90"/>
      <c r="F11" s="90"/>
      <c r="G11" s="12" t="s">
        <v>101</v>
      </c>
      <c r="H11" s="12" t="s">
        <v>99</v>
      </c>
      <c r="I11" s="12">
        <f>SUMIF(Mercado_Receita!$S$2:$S$1866,"44287A4AzulNão se aplicaNão se aplicaNão se aplicaNão se aplicaFora ponta",Mercado_Receita!$J$2:$J$1866)+SUMIF(Mercado_Receita!$S$2:$S$1866,"44287A4AzulNão se aplicaNão se aplicaAPENão se aplicaFora ponta",Mercado_Receita!$J$2:$J$1866)</f>
        <v>52226</v>
      </c>
      <c r="J11" s="12">
        <f>SUMIF(Mercado_Receita!$S$2:$S$1866,"44317A4AzulNão se aplicaNão se aplicaNão se aplicaNão se aplicaFora ponta",Mercado_Receita!$J$2:$J$1866)+SUMIF(Mercado_Receita!$S$2:$S$1866,"44317A4AzulNão se aplicaNão se aplicaAPENão se aplicaFora ponta",Mercado_Receita!$J$2:$J$1866)</f>
        <v>52520</v>
      </c>
      <c r="K11" s="12">
        <f>SUMIF(Mercado_Receita!$S$2:$S$1866,"44348A4AzulNão se aplicaNão se aplicaNão se aplicaNão se aplicaFora ponta",Mercado_Receita!$J$2:$J$1866)+SUMIF(Mercado_Receita!$S$2:$S$1866,"44348A4AzulNão se aplicaNão se aplicaAPENão se aplicaFora ponta",Mercado_Receita!$J$2:$J$1866)</f>
        <v>58643</v>
      </c>
      <c r="L11" s="12">
        <f>SUMIF(Mercado_Receita!$S$2:$S$1866,"44378A4AzulNão se aplicaNão se aplicaNão se aplicaNão se aplicaFora ponta",Mercado_Receita!$J$2:$J$1866)+SUMIF(Mercado_Receita!$S$2:$S$1866,"44378A4AzulNão se aplicaNão se aplicaAPENão se aplicaFora ponta",Mercado_Receita!$J$2:$J$1866)</f>
        <v>57390</v>
      </c>
      <c r="M11" s="12">
        <f>SUMIF(Mercado_Receita!$S$2:$S$1866,"44409A4AzulNão se aplicaNão se aplicaNão se aplicaNão se aplicaFora ponta",Mercado_Receita!$J$2:$J$1866)+SUMIF(Mercado_Receita!$S$2:$S$1866,"44409A4AzulNão se aplicaNão se aplicaAPENão se aplicaFora ponta",Mercado_Receita!$J$2:$J$1866)</f>
        <v>52021</v>
      </c>
      <c r="N11" s="12">
        <f>SUMIF(Mercado_Receita!$S$2:$S$1866,"44440A4AzulNão se aplicaNão se aplicaNão se aplicaNão se aplicaFora ponta",Mercado_Receita!$J$2:$J$1866)+SUMIF(Mercado_Receita!$S$2:$S$1866,"44440A4AzulNão se aplicaNão se aplicaAPENão se aplicaFora ponta",Mercado_Receita!$J$2:$J$1866)</f>
        <v>58447</v>
      </c>
      <c r="O11" s="12">
        <f>SUMIF(Mercado_Receita!$S$2:$S$1866,"44470A4AzulNão se aplicaNão se aplicaNão se aplicaNão se aplicaFora ponta",Mercado_Receita!$J$2:$J$1866)+SUMIF(Mercado_Receita!$S$2:$S$1866,"44470A4AzulNão se aplicaNão se aplicaAPENão se aplicaFora ponta",Mercado_Receita!$J$2:$J$1866)</f>
        <v>60027</v>
      </c>
      <c r="P11" s="12">
        <f>SUMIF(Mercado_Receita!$S$2:$S$1866,"44501A4AzulNão se aplicaNão se aplicaNão se aplicaNão se aplicaFora ponta",Mercado_Receita!$J$2:$J$1866)+SUMIF(Mercado_Receita!$S$2:$S$1866,"44501A4AzulNão se aplicaNão se aplicaAPENão se aplicaFora ponta",Mercado_Receita!$J$2:$J$1866)</f>
        <v>59723</v>
      </c>
      <c r="Q11" s="12">
        <f>SUMIF(Mercado_Receita!$S$2:$S$1866,"44531A4AzulNão se aplicaNão se aplicaNão se aplicaNão se aplicaFora ponta",Mercado_Receita!$J$2:$J$1866)+SUMIF(Mercado_Receita!$S$2:$S$1866,"44531A4AzulNão se aplicaNão se aplicaAPENão se aplicaFora ponta",Mercado_Receita!$J$2:$J$1866)</f>
        <v>60910</v>
      </c>
      <c r="R11" s="12">
        <f>SUMIF(Mercado_Receita!$S$2:$S$1866,"44562A4AzulNão se aplicaNão se aplicaNão se aplicaNão se aplicaFora ponta",Mercado_Receita!$J$2:$J$1866)+SUMIF(Mercado_Receita!$S$2:$S$1866,"44562A4AzulNão se aplicaNão se aplicaAPENão se aplicaFora ponta",Mercado_Receita!$J$2:$J$1866)</f>
        <v>65479</v>
      </c>
      <c r="S11" s="12">
        <f>SUMIF(Mercado_Receita!$S$2:$S$1866,"44593A4AzulNão se aplicaNão se aplicaNão se aplicaNão se aplicaFora ponta",Mercado_Receita!$J$2:$J$1866)+SUMIF(Mercado_Receita!$S$2:$S$1866,"44593A4AzulNão se aplicaNão se aplicaAPENão se aplicaFora ponta",Mercado_Receita!$J$2:$J$1866)</f>
        <v>65294</v>
      </c>
      <c r="T11" s="12">
        <f>SUMIF(Mercado_Receita!$S$2:$S$1866,"44621A4AzulNão se aplicaNão se aplicaNão se aplicaNão se aplicaFora ponta",Mercado_Receita!$J$2:$J$1866)+SUMIF(Mercado_Receita!$S$2:$S$1866,"44621A4AzulNão se aplicaNão se aplicaAPENão se aplicaFora ponta",Mercado_Receita!$J$2:$J$1866)</f>
        <v>65294</v>
      </c>
      <c r="U11" s="12">
        <f t="shared" si="0"/>
        <v>707974</v>
      </c>
      <c r="V11" s="12"/>
      <c r="W11" s="12"/>
    </row>
    <row r="12" spans="1:30" ht="11.25" customHeight="1" x14ac:dyDescent="0.25">
      <c r="A12" s="90"/>
      <c r="B12" s="90"/>
      <c r="C12" s="90"/>
      <c r="D12" s="90"/>
      <c r="E12" s="90"/>
      <c r="F12" s="90"/>
      <c r="G12" s="12" t="s">
        <v>98</v>
      </c>
      <c r="H12" s="12" t="s">
        <v>93</v>
      </c>
      <c r="I12" s="12">
        <f>SUMIF(Mercado_Receita!$S$2:$S$1866,"44287A4AzulNão se aplicaNão se aplicaNão se aplicaNão se aplicaPonta",Mercado_Receita!$L$2:$L$1866)+SUMIF(Mercado_Receita!$S$2:$S$1866,"44287A4AzulNão se aplicaNão se aplicaNão se aplicaNão se aplicaFora ponta",Mercado_Receita!$L$2:$L$1866)+SUMIF(Mercado_Receita!$S$2:$S$1866,"44287A4AzulNão se aplicaNão se aplicaNão se aplicaNão se aplicaIntermediário",Mercado_Receita!$L$2:$L$1866)+SUMIF(Mercado_Receita!$S$2:$S$1866,"44287A4AzulNão se aplicaNão se aplicaNão se aplicaNão se aplicaNão se aplica",Mercado_Receita!$L$2:$L$1866)</f>
        <v>21569.238000000001</v>
      </c>
      <c r="J12" s="12">
        <f>SUMIF(Mercado_Receita!$S$2:$S$1866,"44317A4AzulNão se aplicaNão se aplicaNão se aplicaNão se aplicaPonta",Mercado_Receita!$L$2:$L$1866)+SUMIF(Mercado_Receita!$S$2:$S$1866,"44317A4AzulNão se aplicaNão se aplicaNão se aplicaNão se aplicaFora ponta",Mercado_Receita!$L$2:$L$1866)+SUMIF(Mercado_Receita!$S$2:$S$1866,"44317A4AzulNão se aplicaNão se aplicaNão se aplicaNão se aplicaIntermediário",Mercado_Receita!$L$2:$L$1866)+SUMIF(Mercado_Receita!$S$2:$S$1866,"44317A4AzulNão se aplicaNão se aplicaNão se aplicaNão se aplicaNão se aplica",Mercado_Receita!$L$2:$L$1866)</f>
        <v>20268.743999999999</v>
      </c>
      <c r="K12" s="12">
        <f>SUMIF(Mercado_Receita!$S$2:$S$1866,"44348A4AzulNão se aplicaNão se aplicaNão se aplicaNão se aplicaPonta",Mercado_Receita!$L$2:$L$1866)+SUMIF(Mercado_Receita!$S$2:$S$1866,"44348A4AzulNão se aplicaNão se aplicaNão se aplicaNão se aplicaFora ponta",Mercado_Receita!$L$2:$L$1866)+SUMIF(Mercado_Receita!$S$2:$S$1866,"44348A4AzulNão se aplicaNão se aplicaNão se aplicaNão se aplicaIntermediário",Mercado_Receita!$L$2:$L$1866)+SUMIF(Mercado_Receita!$S$2:$S$1866,"44348A4AzulNão se aplicaNão se aplicaNão se aplicaNão se aplicaNão se aplica",Mercado_Receita!$L$2:$L$1866)</f>
        <v>23249.608</v>
      </c>
      <c r="L12" s="12">
        <f>SUMIF(Mercado_Receita!$S$2:$S$1866,"44378A4AzulNão se aplicaNão se aplicaNão se aplicaNão se aplicaPonta",Mercado_Receita!$L$2:$L$1866)+SUMIF(Mercado_Receita!$S$2:$S$1866,"44378A4AzulNão se aplicaNão se aplicaNão se aplicaNão se aplicaFora ponta",Mercado_Receita!$L$2:$L$1866)+SUMIF(Mercado_Receita!$S$2:$S$1866,"44378A4AzulNão se aplicaNão se aplicaNão se aplicaNão se aplicaIntermediário",Mercado_Receita!$L$2:$L$1866)+SUMIF(Mercado_Receita!$S$2:$S$1866,"44378A4AzulNão se aplicaNão se aplicaNão se aplicaNão se aplicaNão se aplica",Mercado_Receita!$L$2:$L$1866)</f>
        <v>22694.421999999999</v>
      </c>
      <c r="M12" s="12">
        <f>SUMIF(Mercado_Receita!$S$2:$S$1866,"44409A4AzulNão se aplicaNão se aplicaNão se aplicaNão se aplicaPonta",Mercado_Receita!$L$2:$L$1866)+SUMIF(Mercado_Receita!$S$2:$S$1866,"44409A4AzulNão se aplicaNão se aplicaNão se aplicaNão se aplicaFora ponta",Mercado_Receita!$L$2:$L$1866)+SUMIF(Mercado_Receita!$S$2:$S$1866,"44409A4AzulNão se aplicaNão se aplicaNão se aplicaNão se aplicaIntermediário",Mercado_Receita!$L$2:$L$1866)+SUMIF(Mercado_Receita!$S$2:$S$1866,"44409A4AzulNão se aplicaNão se aplicaNão se aplicaNão se aplicaNão se aplica",Mercado_Receita!$L$2:$L$1866)</f>
        <v>20155.536</v>
      </c>
      <c r="N12" s="12">
        <f>SUMIF(Mercado_Receita!$S$2:$S$1866,"44440A4AzulNão se aplicaNão se aplicaNão se aplicaNão se aplicaPonta",Mercado_Receita!$L$2:$L$1866)+SUMIF(Mercado_Receita!$S$2:$S$1866,"44440A4AzulNão se aplicaNão se aplicaNão se aplicaNão se aplicaFora ponta",Mercado_Receita!$L$2:$L$1866)+SUMIF(Mercado_Receita!$S$2:$S$1866,"44440A4AzulNão se aplicaNão se aplicaNão se aplicaNão se aplicaIntermediário",Mercado_Receita!$L$2:$L$1866)+SUMIF(Mercado_Receita!$S$2:$S$1866,"44440A4AzulNão se aplicaNão se aplicaNão se aplicaNão se aplicaNão se aplica",Mercado_Receita!$L$2:$L$1866)</f>
        <v>24378.909</v>
      </c>
      <c r="O12" s="12">
        <f>SUMIF(Mercado_Receita!$S$2:$S$1866,"44470A4AzulNão se aplicaNão se aplicaNão se aplicaNão se aplicaPonta",Mercado_Receita!$L$2:$L$1866)+SUMIF(Mercado_Receita!$S$2:$S$1866,"44470A4AzulNão se aplicaNão se aplicaNão se aplicaNão se aplicaFora ponta",Mercado_Receita!$L$2:$L$1866)+SUMIF(Mercado_Receita!$S$2:$S$1866,"44470A4AzulNão se aplicaNão se aplicaNão se aplicaNão se aplicaIntermediário",Mercado_Receita!$L$2:$L$1866)+SUMIF(Mercado_Receita!$S$2:$S$1866,"44470A4AzulNão se aplicaNão se aplicaNão se aplicaNão se aplicaNão se aplica",Mercado_Receita!$L$2:$L$1866)</f>
        <v>24817.733</v>
      </c>
      <c r="P12" s="12">
        <f>SUMIF(Mercado_Receita!$S$2:$S$1866,"44501A4AzulNão se aplicaNão se aplicaNão se aplicaNão se aplicaPonta",Mercado_Receita!$L$2:$L$1866)+SUMIF(Mercado_Receita!$S$2:$S$1866,"44501A4AzulNão se aplicaNão se aplicaNão se aplicaNão se aplicaFora ponta",Mercado_Receita!$L$2:$L$1866)+SUMIF(Mercado_Receita!$S$2:$S$1866,"44501A4AzulNão se aplicaNão se aplicaNão se aplicaNão se aplicaIntermediário",Mercado_Receita!$L$2:$L$1866)+SUMIF(Mercado_Receita!$S$2:$S$1866,"44501A4AzulNão se aplicaNão se aplicaNão se aplicaNão se aplicaNão se aplica",Mercado_Receita!$L$2:$L$1866)</f>
        <v>25806.485000000001</v>
      </c>
      <c r="Q12" s="12">
        <f>SUMIF(Mercado_Receita!$S$2:$S$1866,"44531A4AzulNão se aplicaNão se aplicaNão se aplicaNão se aplicaPonta",Mercado_Receita!$L$2:$L$1866)+SUMIF(Mercado_Receita!$S$2:$S$1866,"44531A4AzulNão se aplicaNão se aplicaNão se aplicaNão se aplicaFora ponta",Mercado_Receita!$L$2:$L$1866)+SUMIF(Mercado_Receita!$S$2:$S$1866,"44531A4AzulNão se aplicaNão se aplicaNão se aplicaNão se aplicaIntermediário",Mercado_Receita!$L$2:$L$1866)+SUMIF(Mercado_Receita!$S$2:$S$1866,"44531A4AzulNão se aplicaNão se aplicaNão se aplicaNão se aplicaNão se aplica",Mercado_Receita!$L$2:$L$1866)</f>
        <v>25638.219000000001</v>
      </c>
      <c r="R12" s="12">
        <f>SUMIF(Mercado_Receita!$S$2:$S$1866,"44562A4AzulNão se aplicaNão se aplicaNão se aplicaNão se aplicaPonta",Mercado_Receita!$L$2:$L$1866)+SUMIF(Mercado_Receita!$S$2:$S$1866,"44562A4AzulNão se aplicaNão se aplicaNão se aplicaNão se aplicaFora ponta",Mercado_Receita!$L$2:$L$1866)+SUMIF(Mercado_Receita!$S$2:$S$1866,"44562A4AzulNão se aplicaNão se aplicaNão se aplicaNão se aplicaIntermediário",Mercado_Receita!$L$2:$L$1866)+SUMIF(Mercado_Receita!$S$2:$S$1866,"44562A4AzulNão se aplicaNão se aplicaNão se aplicaNão se aplicaNão se aplica",Mercado_Receita!$L$2:$L$1866)</f>
        <v>26741.874</v>
      </c>
      <c r="S12" s="12">
        <f>SUMIF(Mercado_Receita!$S$2:$S$1866,"44593A4AzulNão se aplicaNão se aplicaNão se aplicaNão se aplicaPonta",Mercado_Receita!$L$2:$L$1866)+SUMIF(Mercado_Receita!$S$2:$S$1866,"44593A4AzulNão se aplicaNão se aplicaNão se aplicaNão se aplicaFora ponta",Mercado_Receita!$L$2:$L$1866)+SUMIF(Mercado_Receita!$S$2:$S$1866,"44593A4AzulNão se aplicaNão se aplicaNão se aplicaNão se aplicaIntermediário",Mercado_Receita!$L$2:$L$1866)+SUMIF(Mercado_Receita!$S$2:$S$1866,"44593A4AzulNão se aplicaNão se aplicaNão se aplicaNão se aplicaNão se aplica",Mercado_Receita!$L$2:$L$1866)</f>
        <v>26761.836000000003</v>
      </c>
      <c r="T12" s="12">
        <f>SUMIF(Mercado_Receita!$S$2:$S$1866,"44621A4AzulNão se aplicaNão se aplicaNão se aplicaNão se aplicaPonta",Mercado_Receita!$L$2:$L$1866)+SUMIF(Mercado_Receita!$S$2:$S$1866,"44621A4AzulNão se aplicaNão se aplicaNão se aplicaNão se aplicaFora ponta",Mercado_Receita!$L$2:$L$1866)+SUMIF(Mercado_Receita!$S$2:$S$1866,"44621A4AzulNão se aplicaNão se aplicaNão se aplicaNão se aplicaIntermediário",Mercado_Receita!$L$2:$L$1866)+SUMIF(Mercado_Receita!$S$2:$S$1866,"44621A4AzulNão se aplicaNão se aplicaNão se aplicaNão se aplicaNão se aplica",Mercado_Receita!$L$2:$L$1866)</f>
        <v>26761.836000000003</v>
      </c>
      <c r="U12" s="12">
        <f t="shared" si="0"/>
        <v>288844.44</v>
      </c>
      <c r="V12" s="12"/>
      <c r="W12" s="12"/>
    </row>
    <row r="13" spans="1:30" ht="11.25" customHeight="1" x14ac:dyDescent="0.25">
      <c r="A13" s="90"/>
      <c r="B13" s="90"/>
      <c r="C13" s="90"/>
      <c r="D13" s="90"/>
      <c r="E13" s="13" t="s">
        <v>58</v>
      </c>
      <c r="F13" s="13" t="s">
        <v>25</v>
      </c>
      <c r="G13" s="12" t="s">
        <v>98</v>
      </c>
      <c r="H13" s="12" t="s">
        <v>93</v>
      </c>
      <c r="I13" s="12">
        <f>SUMIF(Mercado_Receita!$S$2:$S$1866,"44287A4AzulNão se aplicaNão se aplicaAPENão se aplicaPonta",Mercado_Receita!$L$2:$L$1866)+SUMIF(Mercado_Receita!$S$2:$S$1866,"44287A4AzulNão se aplicaNão se aplicaAPENão se aplicaFora ponta",Mercado_Receita!$L$2:$L$1866)+SUMIF(Mercado_Receita!$S$2:$S$1866,"44287A4AzulNão se aplicaNão se aplicaAPENão se aplicaIntermediário",Mercado_Receita!$L$2:$L$1866)+SUMIF(Mercado_Receita!$S$2:$S$1866,"44287A4AzulNão se aplicaNão se aplicaAPENão se aplicaNão se aplica",Mercado_Receita!$L$2:$L$1866)</f>
        <v>0</v>
      </c>
      <c r="J13" s="12">
        <f>SUMIF(Mercado_Receita!$S$2:$S$1866,"44317A4AzulNão se aplicaNão se aplicaAPENão se aplicaPonta",Mercado_Receita!$L$2:$L$1866)+SUMIF(Mercado_Receita!$S$2:$S$1866,"44317A4AzulNão se aplicaNão se aplicaAPENão se aplicaFora ponta",Mercado_Receita!$L$2:$L$1866)+SUMIF(Mercado_Receita!$S$2:$S$1866,"44317A4AzulNão se aplicaNão se aplicaAPENão se aplicaIntermediário",Mercado_Receita!$L$2:$L$1866)+SUMIF(Mercado_Receita!$S$2:$S$1866,"44317A4AzulNão se aplicaNão se aplicaAPENão se aplicaNão se aplica",Mercado_Receita!$L$2:$L$1866)</f>
        <v>0</v>
      </c>
      <c r="K13" s="12">
        <f>SUMIF(Mercado_Receita!$S$2:$S$1866,"44348A4AzulNão se aplicaNão se aplicaAPENão se aplicaPonta",Mercado_Receita!$L$2:$L$1866)+SUMIF(Mercado_Receita!$S$2:$S$1866,"44348A4AzulNão se aplicaNão se aplicaAPENão se aplicaFora ponta",Mercado_Receita!$L$2:$L$1866)+SUMIF(Mercado_Receita!$S$2:$S$1866,"44348A4AzulNão se aplicaNão se aplicaAPENão se aplicaIntermediário",Mercado_Receita!$L$2:$L$1866)+SUMIF(Mercado_Receita!$S$2:$S$1866,"44348A4AzulNão se aplicaNão se aplicaAPENão se aplicaNão se aplica",Mercado_Receita!$L$2:$L$1866)</f>
        <v>0</v>
      </c>
      <c r="L13" s="12">
        <f>SUMIF(Mercado_Receita!$S$2:$S$1866,"44378A4AzulNão se aplicaNão se aplicaAPENão se aplicaPonta",Mercado_Receita!$L$2:$L$1866)+SUMIF(Mercado_Receita!$S$2:$S$1866,"44378A4AzulNão se aplicaNão se aplicaAPENão se aplicaFora ponta",Mercado_Receita!$L$2:$L$1866)+SUMIF(Mercado_Receita!$S$2:$S$1866,"44378A4AzulNão se aplicaNão se aplicaAPENão se aplicaIntermediário",Mercado_Receita!$L$2:$L$1866)+SUMIF(Mercado_Receita!$S$2:$S$1866,"44378A4AzulNão se aplicaNão se aplicaAPENão se aplicaNão se aplica",Mercado_Receita!$L$2:$L$1866)</f>
        <v>0</v>
      </c>
      <c r="M13" s="12">
        <f>SUMIF(Mercado_Receita!$S$2:$S$1866,"44409A4AzulNão se aplicaNão se aplicaAPENão se aplicaPonta",Mercado_Receita!$L$2:$L$1866)+SUMIF(Mercado_Receita!$S$2:$S$1866,"44409A4AzulNão se aplicaNão se aplicaAPENão se aplicaFora ponta",Mercado_Receita!$L$2:$L$1866)+SUMIF(Mercado_Receita!$S$2:$S$1866,"44409A4AzulNão se aplicaNão se aplicaAPENão se aplicaIntermediário",Mercado_Receita!$L$2:$L$1866)+SUMIF(Mercado_Receita!$S$2:$S$1866,"44409A4AzulNão se aplicaNão se aplicaAPENão se aplicaNão se aplica",Mercado_Receita!$L$2:$L$1866)</f>
        <v>0</v>
      </c>
      <c r="N13" s="12">
        <f>SUMIF(Mercado_Receita!$S$2:$S$1866,"44440A4AzulNão se aplicaNão se aplicaAPENão se aplicaPonta",Mercado_Receita!$L$2:$L$1866)+SUMIF(Mercado_Receita!$S$2:$S$1866,"44440A4AzulNão se aplicaNão se aplicaAPENão se aplicaFora ponta",Mercado_Receita!$L$2:$L$1866)+SUMIF(Mercado_Receita!$S$2:$S$1866,"44440A4AzulNão se aplicaNão se aplicaAPENão se aplicaIntermediário",Mercado_Receita!$L$2:$L$1866)+SUMIF(Mercado_Receita!$S$2:$S$1866,"44440A4AzulNão se aplicaNão se aplicaAPENão se aplicaNão se aplica",Mercado_Receita!$L$2:$L$1866)</f>
        <v>0</v>
      </c>
      <c r="O13" s="12">
        <f>SUMIF(Mercado_Receita!$S$2:$S$1866,"44470A4AzulNão se aplicaNão se aplicaAPENão se aplicaPonta",Mercado_Receita!$L$2:$L$1866)+SUMIF(Mercado_Receita!$S$2:$S$1866,"44470A4AzulNão se aplicaNão se aplicaAPENão se aplicaFora ponta",Mercado_Receita!$L$2:$L$1866)+SUMIF(Mercado_Receita!$S$2:$S$1866,"44470A4AzulNão se aplicaNão se aplicaAPENão se aplicaIntermediário",Mercado_Receita!$L$2:$L$1866)+SUMIF(Mercado_Receita!$S$2:$S$1866,"44470A4AzulNão se aplicaNão se aplicaAPENão se aplicaNão se aplica",Mercado_Receita!$L$2:$L$1866)</f>
        <v>0</v>
      </c>
      <c r="P13" s="12">
        <f>SUMIF(Mercado_Receita!$S$2:$S$1866,"44501A4AzulNão se aplicaNão se aplicaAPENão se aplicaPonta",Mercado_Receita!$L$2:$L$1866)+SUMIF(Mercado_Receita!$S$2:$S$1866,"44501A4AzulNão se aplicaNão se aplicaAPENão se aplicaFora ponta",Mercado_Receita!$L$2:$L$1866)+SUMIF(Mercado_Receita!$S$2:$S$1866,"44501A4AzulNão se aplicaNão se aplicaAPENão se aplicaIntermediário",Mercado_Receita!$L$2:$L$1866)+SUMIF(Mercado_Receita!$S$2:$S$1866,"44501A4AzulNão se aplicaNão se aplicaAPENão se aplicaNão se aplica",Mercado_Receita!$L$2:$L$1866)</f>
        <v>0</v>
      </c>
      <c r="Q13" s="12">
        <f>SUMIF(Mercado_Receita!$S$2:$S$1866,"44531A4AzulNão se aplicaNão se aplicaAPENão se aplicaPonta",Mercado_Receita!$L$2:$L$1866)+SUMIF(Mercado_Receita!$S$2:$S$1866,"44531A4AzulNão se aplicaNão se aplicaAPENão se aplicaFora ponta",Mercado_Receita!$L$2:$L$1866)+SUMIF(Mercado_Receita!$S$2:$S$1866,"44531A4AzulNão se aplicaNão se aplicaAPENão se aplicaIntermediário",Mercado_Receita!$L$2:$L$1866)+SUMIF(Mercado_Receita!$S$2:$S$1866,"44531A4AzulNão se aplicaNão se aplicaAPENão se aplicaNão se aplica",Mercado_Receita!$L$2:$L$1866)</f>
        <v>0</v>
      </c>
      <c r="R13" s="12">
        <f>SUMIF(Mercado_Receita!$S$2:$S$1866,"44562A4AzulNão se aplicaNão se aplicaAPENão se aplicaPonta",Mercado_Receita!$L$2:$L$1866)+SUMIF(Mercado_Receita!$S$2:$S$1866,"44562A4AzulNão se aplicaNão se aplicaAPENão se aplicaFora ponta",Mercado_Receita!$L$2:$L$1866)+SUMIF(Mercado_Receita!$S$2:$S$1866,"44562A4AzulNão se aplicaNão se aplicaAPENão se aplicaIntermediário",Mercado_Receita!$L$2:$L$1866)+SUMIF(Mercado_Receita!$S$2:$S$1866,"44562A4AzulNão se aplicaNão se aplicaAPENão se aplicaNão se aplica",Mercado_Receita!$L$2:$L$1866)</f>
        <v>0</v>
      </c>
      <c r="S13" s="12">
        <f>SUMIF(Mercado_Receita!$S$2:$S$1866,"44593A4AzulNão se aplicaNão se aplicaAPENão se aplicaPonta",Mercado_Receita!$L$2:$L$1866)+SUMIF(Mercado_Receita!$S$2:$S$1866,"44593A4AzulNão se aplicaNão se aplicaAPENão se aplicaFora ponta",Mercado_Receita!$L$2:$L$1866)+SUMIF(Mercado_Receita!$S$2:$S$1866,"44593A4AzulNão se aplicaNão se aplicaAPENão se aplicaIntermediário",Mercado_Receita!$L$2:$L$1866)+SUMIF(Mercado_Receita!$S$2:$S$1866,"44593A4AzulNão se aplicaNão se aplicaAPENão se aplicaNão se aplica",Mercado_Receita!$L$2:$L$1866)</f>
        <v>0</v>
      </c>
      <c r="T13" s="12">
        <f>SUMIF(Mercado_Receita!$S$2:$S$1866,"44621A4AzulNão se aplicaNão se aplicaAPENão se aplicaPonta",Mercado_Receita!$L$2:$L$1866)+SUMIF(Mercado_Receita!$S$2:$S$1866,"44621A4AzulNão se aplicaNão se aplicaAPENão se aplicaFora ponta",Mercado_Receita!$L$2:$L$1866)+SUMIF(Mercado_Receita!$S$2:$S$1866,"44621A4AzulNão se aplicaNão se aplicaAPENão se aplicaIntermediário",Mercado_Receita!$L$2:$L$1866)+SUMIF(Mercado_Receita!$S$2:$S$1866,"44621A4AzulNão se aplicaNão se aplicaAPENão se aplicaNão se aplica",Mercado_Receita!$L$2:$L$1866)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90"/>
      <c r="B14" s="89" t="s">
        <v>61</v>
      </c>
      <c r="C14" s="89" t="s">
        <v>25</v>
      </c>
      <c r="D14" s="89" t="s">
        <v>25</v>
      </c>
      <c r="E14" s="89" t="s">
        <v>25</v>
      </c>
      <c r="F14" s="89" t="s">
        <v>68</v>
      </c>
      <c r="G14" s="12" t="s">
        <v>100</v>
      </c>
      <c r="H14" s="12" t="s">
        <v>99</v>
      </c>
      <c r="I14" s="12">
        <f>SUMIF(Mercado_Receita!$S$2:$S$1866,"44287A4DistribuiçãoNão se aplicaNão se aplicaNão se aplicaCercosPonta",Mercado_Receita!$J$2:$J$1866)+SUMIF(Mercado_Receita!$S$2:$S$1866,"44287A4DistribuiçãoNão se aplicaNão se aplicaNão se aplicaCercosNão se aplica",Mercado_Receita!$J$2:$J$1866)*0.72</f>
        <v>2088</v>
      </c>
      <c r="J14" s="12">
        <f>SUMIF(Mercado_Receita!$S$2:$S$1866,"44317A4DistribuiçãoNão se aplicaNão se aplicaNão se aplicaCercosPonta",Mercado_Receita!$J$2:$J$1866)+SUMIF(Mercado_Receita!$S$2:$S$1866,"44317A4DistribuiçãoNão se aplicaNão se aplicaNão se aplicaCercosNão se aplica",Mercado_Receita!$J$2:$J$1866)*0.72</f>
        <v>1990</v>
      </c>
      <c r="K14" s="12">
        <f>SUMIF(Mercado_Receita!$S$2:$S$1866,"44348A4DistribuiçãoNão se aplicaNão se aplicaNão se aplicaCercosPonta",Mercado_Receita!$J$2:$J$1866)+SUMIF(Mercado_Receita!$S$2:$S$1866,"44348A4DistribuiçãoNão se aplicaNão se aplicaNão se aplicaCercosNão se aplica",Mercado_Receita!$J$2:$J$1866)*0.72</f>
        <v>2049</v>
      </c>
      <c r="L14" s="12">
        <f>SUMIF(Mercado_Receita!$S$2:$S$1866,"44378A4DistribuiçãoNão se aplicaNão se aplicaNão se aplicaCercosPonta",Mercado_Receita!$J$2:$J$1866)+SUMIF(Mercado_Receita!$S$2:$S$1866,"44378A4DistribuiçãoNão se aplicaNão se aplicaNão se aplicaCercosNão se aplica",Mercado_Receita!$J$2:$J$1866)*0.72</f>
        <v>1994</v>
      </c>
      <c r="M14" s="12">
        <f>SUMIF(Mercado_Receita!$S$2:$S$1866,"44409A4DistribuiçãoNão se aplicaNão se aplicaNão se aplicaCercosPonta",Mercado_Receita!$J$2:$J$1866)+SUMIF(Mercado_Receita!$S$2:$S$1866,"44409A4DistribuiçãoNão se aplicaNão se aplicaNão se aplicaCercosNão se aplica",Mercado_Receita!$J$2:$J$1866)*0.72</f>
        <v>2004</v>
      </c>
      <c r="N14" s="12">
        <f>SUMIF(Mercado_Receita!$S$2:$S$1866,"44440A4DistribuiçãoNão se aplicaNão se aplicaNão se aplicaCercosPonta",Mercado_Receita!$J$2:$J$1866)+SUMIF(Mercado_Receita!$S$2:$S$1866,"44440A4DistribuiçãoNão se aplicaNão se aplicaNão se aplicaCercosNão se aplica",Mercado_Receita!$J$2:$J$1866)*0.72</f>
        <v>2038</v>
      </c>
      <c r="O14" s="12">
        <f>SUMIF(Mercado_Receita!$S$2:$S$1866,"44470A4DistribuiçãoNão se aplicaNão se aplicaNão se aplicaCercosPonta",Mercado_Receita!$J$2:$J$1866)+SUMIF(Mercado_Receita!$S$2:$S$1866,"44470A4DistribuiçãoNão se aplicaNão se aplicaNão se aplicaCercosNão se aplica",Mercado_Receita!$J$2:$J$1866)*0.72</f>
        <v>2058</v>
      </c>
      <c r="P14" s="12">
        <f>SUMIF(Mercado_Receita!$S$2:$S$1866,"44501A4DistribuiçãoNão se aplicaNão se aplicaNão se aplicaCercosPonta",Mercado_Receita!$J$2:$J$1866)+SUMIF(Mercado_Receita!$S$2:$S$1866,"44501A4DistribuiçãoNão se aplicaNão se aplicaNão se aplicaCercosNão se aplica",Mercado_Receita!$J$2:$J$1866)*0.72</f>
        <v>2051</v>
      </c>
      <c r="Q14" s="12">
        <f>SUMIF(Mercado_Receita!$S$2:$S$1866,"44531A4DistribuiçãoNão se aplicaNão se aplicaNão se aplicaCercosPonta",Mercado_Receita!$J$2:$J$1866)+SUMIF(Mercado_Receita!$S$2:$S$1866,"44531A4DistribuiçãoNão se aplicaNão se aplicaNão se aplicaCercosNão se aplica",Mercado_Receita!$J$2:$J$1866)*0.72</f>
        <v>2068</v>
      </c>
      <c r="R14" s="12">
        <f>SUMIF(Mercado_Receita!$S$2:$S$1866,"44562A4DistribuiçãoNão se aplicaNão se aplicaNão se aplicaCercosPonta",Mercado_Receita!$J$2:$J$1866)+SUMIF(Mercado_Receita!$S$2:$S$1866,"44562A4DistribuiçãoNão se aplicaNão se aplicaNão se aplicaCercosNão se aplica",Mercado_Receita!$J$2:$J$1866)*0.72</f>
        <v>2155</v>
      </c>
      <c r="S14" s="12">
        <f>SUMIF(Mercado_Receita!$S$2:$S$1866,"44593A4DistribuiçãoNão se aplicaNão se aplicaNão se aplicaCercosPonta",Mercado_Receita!$J$2:$J$1866)+SUMIF(Mercado_Receita!$S$2:$S$1866,"44593A4DistribuiçãoNão se aplicaNão se aplicaNão se aplicaCercosNão se aplica",Mercado_Receita!$J$2:$J$1866)*0.72</f>
        <v>2130</v>
      </c>
      <c r="T14" s="12">
        <f>SUMIF(Mercado_Receita!$S$2:$S$1866,"44621A4DistribuiçãoNão se aplicaNão se aplicaNão se aplicaCercosPonta",Mercado_Receita!$J$2:$J$1866)+SUMIF(Mercado_Receita!$S$2:$S$1866,"44621A4DistribuiçãoNão se aplicaNão se aplicaNão se aplicaCercosNão se aplica",Mercado_Receita!$J$2:$J$1866)*0.72</f>
        <v>2130</v>
      </c>
      <c r="U14" s="12">
        <f t="shared" si="0"/>
        <v>24755</v>
      </c>
      <c r="V14" s="12"/>
      <c r="W14" s="12"/>
    </row>
    <row r="15" spans="1:30" ht="11.25" customHeight="1" x14ac:dyDescent="0.25">
      <c r="A15" s="90"/>
      <c r="B15" s="90"/>
      <c r="C15" s="90"/>
      <c r="D15" s="90"/>
      <c r="E15" s="90"/>
      <c r="F15" s="90"/>
      <c r="G15" s="12" t="s">
        <v>101</v>
      </c>
      <c r="H15" s="12" t="s">
        <v>99</v>
      </c>
      <c r="I15" s="12">
        <f>SUMIF(Mercado_Receita!$S$2:$S$1866,"44287A4DistribuiçãoNão se aplicaNão se aplicaNão se aplicaCercosFora ponta",Mercado_Receita!$J$2:$J$1866)+SUMIF(Mercado_Receita!$S$2:$S$1866,"44287A4DistribuiçãoNão se aplicaNão se aplicaNão se aplicaCercosNão se aplica",Mercado_Receita!$J$2:$J$1866)*1</f>
        <v>1995</v>
      </c>
      <c r="J15" s="12">
        <f>SUMIF(Mercado_Receita!$S$2:$S$1866,"44317A4DistribuiçãoNão se aplicaNão se aplicaNão se aplicaCercosFora ponta",Mercado_Receita!$J$2:$J$1866)+SUMIF(Mercado_Receita!$S$2:$S$1866,"44317A4DistribuiçãoNão se aplicaNão se aplicaNão se aplicaCercosNão se aplica",Mercado_Receita!$J$2:$J$1866)*1</f>
        <v>2016</v>
      </c>
      <c r="K15" s="12">
        <f>SUMIF(Mercado_Receita!$S$2:$S$1866,"44348A4DistribuiçãoNão se aplicaNão se aplicaNão se aplicaCercosFora ponta",Mercado_Receita!$J$2:$J$1866)+SUMIF(Mercado_Receita!$S$2:$S$1866,"44348A4DistribuiçãoNão se aplicaNão se aplicaNão se aplicaCercosNão se aplica",Mercado_Receita!$J$2:$J$1866)*1</f>
        <v>1935</v>
      </c>
      <c r="L15" s="12">
        <f>SUMIF(Mercado_Receita!$S$2:$S$1866,"44378A4DistribuiçãoNão se aplicaNão se aplicaNão se aplicaCercosFora ponta",Mercado_Receita!$J$2:$J$1866)+SUMIF(Mercado_Receita!$S$2:$S$1866,"44378A4DistribuiçãoNão se aplicaNão se aplicaNão se aplicaCercosNão se aplica",Mercado_Receita!$J$2:$J$1866)*1</f>
        <v>1938</v>
      </c>
      <c r="M15" s="12">
        <f>SUMIF(Mercado_Receita!$S$2:$S$1866,"44409A4DistribuiçãoNão se aplicaNão se aplicaNão se aplicaCercosFora ponta",Mercado_Receita!$J$2:$J$1866)+SUMIF(Mercado_Receita!$S$2:$S$1866,"44409A4DistribuiçãoNão se aplicaNão se aplicaNão se aplicaCercosNão se aplica",Mercado_Receita!$J$2:$J$1866)*1</f>
        <v>1915</v>
      </c>
      <c r="N15" s="12">
        <f>SUMIF(Mercado_Receita!$S$2:$S$1866,"44440A4DistribuiçãoNão se aplicaNão se aplicaNão se aplicaCercosFora ponta",Mercado_Receita!$J$2:$J$1866)+SUMIF(Mercado_Receita!$S$2:$S$1866,"44440A4DistribuiçãoNão se aplicaNão se aplicaNão se aplicaCercosNão se aplica",Mercado_Receita!$J$2:$J$1866)*1</f>
        <v>1963</v>
      </c>
      <c r="O15" s="12">
        <f>SUMIF(Mercado_Receita!$S$2:$S$1866,"44470A4DistribuiçãoNão se aplicaNão se aplicaNão se aplicaCercosFora ponta",Mercado_Receita!$J$2:$J$1866)+SUMIF(Mercado_Receita!$S$2:$S$1866,"44470A4DistribuiçãoNão se aplicaNão se aplicaNão se aplicaCercosNão se aplica",Mercado_Receita!$J$2:$J$1866)*1</f>
        <v>2009</v>
      </c>
      <c r="P15" s="12">
        <f>SUMIF(Mercado_Receita!$S$2:$S$1866,"44501A4DistribuiçãoNão se aplicaNão se aplicaNão se aplicaCercosFora ponta",Mercado_Receita!$J$2:$J$1866)+SUMIF(Mercado_Receita!$S$2:$S$1866,"44501A4DistribuiçãoNão se aplicaNão se aplicaNão se aplicaCercosNão se aplica",Mercado_Receita!$J$2:$J$1866)*1</f>
        <v>2042</v>
      </c>
      <c r="Q15" s="12">
        <f>SUMIF(Mercado_Receita!$S$2:$S$1866,"44531A4DistribuiçãoNão se aplicaNão se aplicaNão se aplicaCercosFora ponta",Mercado_Receita!$J$2:$J$1866)+SUMIF(Mercado_Receita!$S$2:$S$1866,"44531A4DistribuiçãoNão se aplicaNão se aplicaNão se aplicaCercosNão se aplica",Mercado_Receita!$J$2:$J$1866)*1</f>
        <v>2010</v>
      </c>
      <c r="R15" s="12">
        <f>SUMIF(Mercado_Receita!$S$2:$S$1866,"44562A4DistribuiçãoNão se aplicaNão se aplicaNão se aplicaCercosFora ponta",Mercado_Receita!$J$2:$J$1866)+SUMIF(Mercado_Receita!$S$2:$S$1866,"44562A4DistribuiçãoNão se aplicaNão se aplicaNão se aplicaCercosNão se aplica",Mercado_Receita!$J$2:$J$1866)*1</f>
        <v>2037</v>
      </c>
      <c r="S15" s="12">
        <f>SUMIF(Mercado_Receita!$S$2:$S$1866,"44593A4DistribuiçãoNão se aplicaNão se aplicaNão se aplicaCercosFora ponta",Mercado_Receita!$J$2:$J$1866)+SUMIF(Mercado_Receita!$S$2:$S$1866,"44593A4DistribuiçãoNão se aplicaNão se aplicaNão se aplicaCercosNão se aplica",Mercado_Receita!$J$2:$J$1866)*1</f>
        <v>2093</v>
      </c>
      <c r="T15" s="12">
        <f>SUMIF(Mercado_Receita!$S$2:$S$1866,"44621A4DistribuiçãoNão se aplicaNão se aplicaNão se aplicaCercosFora ponta",Mercado_Receita!$J$2:$J$1866)+SUMIF(Mercado_Receita!$S$2:$S$1866,"44621A4DistribuiçãoNão se aplicaNão se aplicaNão se aplicaCercosNão se aplica",Mercado_Receita!$J$2:$J$1866)*1</f>
        <v>2093</v>
      </c>
      <c r="U15" s="12">
        <f t="shared" si="0"/>
        <v>24046</v>
      </c>
      <c r="V15" s="12"/>
      <c r="W15" s="12"/>
    </row>
    <row r="16" spans="1:30" ht="11.25" customHeight="1" x14ac:dyDescent="0.25">
      <c r="A16" s="90"/>
      <c r="B16" s="90"/>
      <c r="C16" s="90"/>
      <c r="D16" s="90"/>
      <c r="E16" s="90"/>
      <c r="F16" s="90"/>
      <c r="G16" s="12" t="s">
        <v>98</v>
      </c>
      <c r="H16" s="12" t="s">
        <v>93</v>
      </c>
      <c r="I16" s="12">
        <f>IF((I14+I15)&lt;&gt;0,SUMIF(Mercado_Receita!$S$2:$S$1866,"44287A4DistribuiçãoNão se aplicaNão se aplicaNão se aplicaCercosPonta",Mercado_Receita!$L$2:$L$1866)+SUMIF(Mercado_Receita!$S$2:$S$1866,"44287A4DistribuiçãoNão se aplicaNão se aplicaNão se aplicaCercosFora ponta",Mercado_Receita!$L$2:$L$1866)+SUMIF(Mercado_Receita!$S$2:$S$1866,"44287A4DistribuiçãoNão se aplicaNão se aplicaNão se aplicaCercosIntermediário",Mercado_Receita!$L$2:$L$1866)+SUMIF(Mercado_Receita!$S$2:$S$1866,"44287A4DistribuiçãoNão se aplicaNão se aplicaNão se aplicaCercosNão se aplica",Mercado_Receita!$L$2:$L$1866),0)</f>
        <v>1122.047</v>
      </c>
      <c r="J16" s="12">
        <f>IF((J14+J15)&lt;&gt;0,SUMIF(Mercado_Receita!$S$2:$S$1866,"44317A4DistribuiçãoNão se aplicaNão se aplicaNão se aplicaCercosPonta",Mercado_Receita!$L$2:$L$1866)+SUMIF(Mercado_Receita!$S$2:$S$1866,"44317A4DistribuiçãoNão se aplicaNão se aplicaNão se aplicaCercosFora ponta",Mercado_Receita!$L$2:$L$1866)+SUMIF(Mercado_Receita!$S$2:$S$1866,"44317A4DistribuiçãoNão se aplicaNão se aplicaNão se aplicaCercosIntermediário",Mercado_Receita!$L$2:$L$1866)+SUMIF(Mercado_Receita!$S$2:$S$1866,"44317A4DistribuiçãoNão se aplicaNão se aplicaNão se aplicaCercosNão se aplica",Mercado_Receita!$L$2:$L$1866),0)</f>
        <v>1037.086</v>
      </c>
      <c r="K16" s="12">
        <f>IF((K14+K15)&lt;&gt;0,SUMIF(Mercado_Receita!$S$2:$S$1866,"44348A4DistribuiçãoNão se aplicaNão se aplicaNão se aplicaCercosPonta",Mercado_Receita!$L$2:$L$1866)+SUMIF(Mercado_Receita!$S$2:$S$1866,"44348A4DistribuiçãoNão se aplicaNão se aplicaNão se aplicaCercosFora ponta",Mercado_Receita!$L$2:$L$1866)+SUMIF(Mercado_Receita!$S$2:$S$1866,"44348A4DistribuiçãoNão se aplicaNão se aplicaNão se aplicaCercosIntermediário",Mercado_Receita!$L$2:$L$1866)+SUMIF(Mercado_Receita!$S$2:$S$1866,"44348A4DistribuiçãoNão se aplicaNão se aplicaNão se aplicaCercosNão se aplica",Mercado_Receita!$L$2:$L$1866),0)</f>
        <v>1017.664</v>
      </c>
      <c r="L16" s="12">
        <f>IF((L14+L15)&lt;&gt;0,SUMIF(Mercado_Receita!$S$2:$S$1866,"44378A4DistribuiçãoNão se aplicaNão se aplicaNão se aplicaCercosPonta",Mercado_Receita!$L$2:$L$1866)+SUMIF(Mercado_Receita!$S$2:$S$1866,"44378A4DistribuiçãoNão se aplicaNão se aplicaNão se aplicaCercosFora ponta",Mercado_Receita!$L$2:$L$1866)+SUMIF(Mercado_Receita!$S$2:$S$1866,"44378A4DistribuiçãoNão se aplicaNão se aplicaNão se aplicaCercosIntermediário",Mercado_Receita!$L$2:$L$1866)+SUMIF(Mercado_Receita!$S$2:$S$1866,"44378A4DistribuiçãoNão se aplicaNão se aplicaNão se aplicaCercosNão se aplica",Mercado_Receita!$L$2:$L$1866),0)</f>
        <v>985.59900000000005</v>
      </c>
      <c r="M16" s="12">
        <f>IF((M14+M15)&lt;&gt;0,SUMIF(Mercado_Receita!$S$2:$S$1866,"44409A4DistribuiçãoNão se aplicaNão se aplicaNão se aplicaCercosPonta",Mercado_Receita!$L$2:$L$1866)+SUMIF(Mercado_Receita!$S$2:$S$1866,"44409A4DistribuiçãoNão se aplicaNão se aplicaNão se aplicaCercosFora ponta",Mercado_Receita!$L$2:$L$1866)+SUMIF(Mercado_Receita!$S$2:$S$1866,"44409A4DistribuiçãoNão se aplicaNão se aplicaNão se aplicaCercosIntermediário",Mercado_Receita!$L$2:$L$1866)+SUMIF(Mercado_Receita!$S$2:$S$1866,"44409A4DistribuiçãoNão se aplicaNão se aplicaNão se aplicaCercosNão se aplica",Mercado_Receita!$L$2:$L$1866),0)</f>
        <v>954.98900000000003</v>
      </c>
      <c r="N16" s="12">
        <f>IF((N14+N15)&lt;&gt;0,SUMIF(Mercado_Receita!$S$2:$S$1866,"44440A4DistribuiçãoNão se aplicaNão se aplicaNão se aplicaCercosPonta",Mercado_Receita!$L$2:$L$1866)+SUMIF(Mercado_Receita!$S$2:$S$1866,"44440A4DistribuiçãoNão se aplicaNão se aplicaNão se aplicaCercosFora ponta",Mercado_Receita!$L$2:$L$1866)+SUMIF(Mercado_Receita!$S$2:$S$1866,"44440A4DistribuiçãoNão se aplicaNão se aplicaNão se aplicaCercosIntermediário",Mercado_Receita!$L$2:$L$1866)+SUMIF(Mercado_Receita!$S$2:$S$1866,"44440A4DistribuiçãoNão se aplicaNão se aplicaNão se aplicaCercosNão se aplica",Mercado_Receita!$L$2:$L$1866),0)</f>
        <v>985.995</v>
      </c>
      <c r="O16" s="12">
        <f>IF((O14+O15)&lt;&gt;0,SUMIF(Mercado_Receita!$S$2:$S$1866,"44470A4DistribuiçãoNão se aplicaNão se aplicaNão se aplicaCercosPonta",Mercado_Receita!$L$2:$L$1866)+SUMIF(Mercado_Receita!$S$2:$S$1866,"44470A4DistribuiçãoNão se aplicaNão se aplicaNão se aplicaCercosFora ponta",Mercado_Receita!$L$2:$L$1866)+SUMIF(Mercado_Receita!$S$2:$S$1866,"44470A4DistribuiçãoNão se aplicaNão se aplicaNão se aplicaCercosIntermediário",Mercado_Receita!$L$2:$L$1866)+SUMIF(Mercado_Receita!$S$2:$S$1866,"44470A4DistribuiçãoNão se aplicaNão se aplicaNão se aplicaCercosNão se aplica",Mercado_Receita!$L$2:$L$1866),0)</f>
        <v>1008.326</v>
      </c>
      <c r="P16" s="12">
        <f>IF((P14+P15)&lt;&gt;0,SUMIF(Mercado_Receita!$S$2:$S$1866,"44501A4DistribuiçãoNão se aplicaNão se aplicaNão se aplicaCercosPonta",Mercado_Receita!$L$2:$L$1866)+SUMIF(Mercado_Receita!$S$2:$S$1866,"44501A4DistribuiçãoNão se aplicaNão se aplicaNão se aplicaCercosFora ponta",Mercado_Receita!$L$2:$L$1866)+SUMIF(Mercado_Receita!$S$2:$S$1866,"44501A4DistribuiçãoNão se aplicaNão se aplicaNão se aplicaCercosIntermediário",Mercado_Receita!$L$2:$L$1866)+SUMIF(Mercado_Receita!$S$2:$S$1866,"44501A4DistribuiçãoNão se aplicaNão se aplicaNão se aplicaCercosNão se aplica",Mercado_Receita!$L$2:$L$1866),0)</f>
        <v>1117.104</v>
      </c>
      <c r="Q16" s="12">
        <f>IF((Q14+Q15)&lt;&gt;0,SUMIF(Mercado_Receita!$S$2:$S$1866,"44531A4DistribuiçãoNão se aplicaNão se aplicaNão se aplicaCercosPonta",Mercado_Receita!$L$2:$L$1866)+SUMIF(Mercado_Receita!$S$2:$S$1866,"44531A4DistribuiçãoNão se aplicaNão se aplicaNão se aplicaCercosFora ponta",Mercado_Receita!$L$2:$L$1866)+SUMIF(Mercado_Receita!$S$2:$S$1866,"44531A4DistribuiçãoNão se aplicaNão se aplicaNão se aplicaCercosIntermediário",Mercado_Receita!$L$2:$L$1866)+SUMIF(Mercado_Receita!$S$2:$S$1866,"44531A4DistribuiçãoNão se aplicaNão se aplicaNão se aplicaCercosNão se aplica",Mercado_Receita!$L$2:$L$1866),0)</f>
        <v>1092.4010000000001</v>
      </c>
      <c r="R16" s="12">
        <f>IF((R14+R15)&lt;&gt;0,SUMIF(Mercado_Receita!$S$2:$S$1866,"44562A4DistribuiçãoNão se aplicaNão se aplicaNão se aplicaCercosPonta",Mercado_Receita!$L$2:$L$1866)+SUMIF(Mercado_Receita!$S$2:$S$1866,"44562A4DistribuiçãoNão se aplicaNão se aplicaNão se aplicaCercosFora ponta",Mercado_Receita!$L$2:$L$1866)+SUMIF(Mercado_Receita!$S$2:$S$1866,"44562A4DistribuiçãoNão se aplicaNão se aplicaNão se aplicaCercosIntermediário",Mercado_Receita!$L$2:$L$1866)+SUMIF(Mercado_Receita!$S$2:$S$1866,"44562A4DistribuiçãoNão se aplicaNão se aplicaNão se aplicaCercosNão se aplica",Mercado_Receita!$L$2:$L$1866),0)</f>
        <v>1129.8119999999999</v>
      </c>
      <c r="S16" s="12">
        <f>IF((S14+S15)&lt;&gt;0,SUMIF(Mercado_Receita!$S$2:$S$1866,"44593A4DistribuiçãoNão se aplicaNão se aplicaNão se aplicaCercosPonta",Mercado_Receita!$L$2:$L$1866)+SUMIF(Mercado_Receita!$S$2:$S$1866,"44593A4DistribuiçãoNão se aplicaNão se aplicaNão se aplicaCercosFora ponta",Mercado_Receita!$L$2:$L$1866)+SUMIF(Mercado_Receita!$S$2:$S$1866,"44593A4DistribuiçãoNão se aplicaNão se aplicaNão se aplicaCercosIntermediário",Mercado_Receita!$L$2:$L$1866)+SUMIF(Mercado_Receita!$S$2:$S$1866,"44593A4DistribuiçãoNão se aplicaNão se aplicaNão se aplicaCercosNão se aplica",Mercado_Receita!$L$2:$L$1866),0)</f>
        <v>1157.223</v>
      </c>
      <c r="T16" s="12">
        <f>IF((T14+T15)&lt;&gt;0,SUMIF(Mercado_Receita!$S$2:$S$1866,"44621A4DistribuiçãoNão se aplicaNão se aplicaNão se aplicaCercosPonta",Mercado_Receita!$L$2:$L$1866)+SUMIF(Mercado_Receita!$S$2:$S$1866,"44621A4DistribuiçãoNão se aplicaNão se aplicaNão se aplicaCercosFora ponta",Mercado_Receita!$L$2:$L$1866)+SUMIF(Mercado_Receita!$S$2:$S$1866,"44621A4DistribuiçãoNão se aplicaNão se aplicaNão se aplicaCercosIntermediário",Mercado_Receita!$L$2:$L$1866)+SUMIF(Mercado_Receita!$S$2:$S$1866,"44621A4DistribuiçãoNão se aplicaNão se aplicaNão se aplicaCercosNão se aplica",Mercado_Receita!$L$2:$L$1866),0)</f>
        <v>1157.223</v>
      </c>
      <c r="U16" s="12">
        <f t="shared" si="0"/>
        <v>12765.468999999999</v>
      </c>
      <c r="V16" s="12"/>
      <c r="W16" s="12"/>
    </row>
    <row r="17" spans="1:23" ht="11.25" customHeight="1" x14ac:dyDescent="0.25">
      <c r="A17" s="90"/>
      <c r="B17" s="90"/>
      <c r="C17" s="90"/>
      <c r="D17" s="90"/>
      <c r="E17" s="90"/>
      <c r="F17" s="89" t="s">
        <v>65</v>
      </c>
      <c r="G17" s="12" t="s">
        <v>100</v>
      </c>
      <c r="H17" s="12" t="s">
        <v>99</v>
      </c>
      <c r="I17" s="12">
        <f>SUMIF(Mercado_Receita!$S$2:$S$1866,"44287A4DistribuiçãoNão se aplicaNão se aplicaNão se aplicaSulgipePonta",Mercado_Receita!$J$2:$J$1866)+SUMIF(Mercado_Receita!$S$2:$S$1866,"44287A4DistribuiçãoNão se aplicaNão se aplicaNão se aplicaSulgipeNão se aplica",Mercado_Receita!$J$2:$J$1866)*0.72</f>
        <v>0</v>
      </c>
      <c r="J17" s="12">
        <f>SUMIF(Mercado_Receita!$S$2:$S$1866,"44317A4DistribuiçãoNão se aplicaNão se aplicaNão se aplicaSulgipePonta",Mercado_Receita!$J$2:$J$1866)+SUMIF(Mercado_Receita!$S$2:$S$1866,"44317A4DistribuiçãoNão se aplicaNão se aplicaNão se aplicaSulgipeNão se aplica",Mercado_Receita!$J$2:$J$1866)*0.72</f>
        <v>0</v>
      </c>
      <c r="K17" s="12">
        <f>SUMIF(Mercado_Receita!$S$2:$S$1866,"44348A4DistribuiçãoNão se aplicaNão se aplicaNão se aplicaSulgipePonta",Mercado_Receita!$J$2:$J$1866)+SUMIF(Mercado_Receita!$S$2:$S$1866,"44348A4DistribuiçãoNão se aplicaNão se aplicaNão se aplicaSulgipeNão se aplica",Mercado_Receita!$J$2:$J$1866)*0.72</f>
        <v>0</v>
      </c>
      <c r="L17" s="12">
        <f>SUMIF(Mercado_Receita!$S$2:$S$1866,"44378A4DistribuiçãoNão se aplicaNão se aplicaNão se aplicaSulgipePonta",Mercado_Receita!$J$2:$J$1866)+SUMIF(Mercado_Receita!$S$2:$S$1866,"44378A4DistribuiçãoNão se aplicaNão se aplicaNão se aplicaSulgipeNão se aplica",Mercado_Receita!$J$2:$J$1866)*0.72</f>
        <v>0</v>
      </c>
      <c r="M17" s="12">
        <f>SUMIF(Mercado_Receita!$S$2:$S$1866,"44409A4DistribuiçãoNão se aplicaNão se aplicaNão se aplicaSulgipePonta",Mercado_Receita!$J$2:$J$1866)+SUMIF(Mercado_Receita!$S$2:$S$1866,"44409A4DistribuiçãoNão se aplicaNão se aplicaNão se aplicaSulgipeNão se aplica",Mercado_Receita!$J$2:$J$1866)*0.72</f>
        <v>0</v>
      </c>
      <c r="N17" s="12">
        <f>SUMIF(Mercado_Receita!$S$2:$S$1866,"44440A4DistribuiçãoNão se aplicaNão se aplicaNão se aplicaSulgipePonta",Mercado_Receita!$J$2:$J$1866)+SUMIF(Mercado_Receita!$S$2:$S$1866,"44440A4DistribuiçãoNão se aplicaNão se aplicaNão se aplicaSulgipeNão se aplica",Mercado_Receita!$J$2:$J$1866)*0.72</f>
        <v>0</v>
      </c>
      <c r="O17" s="12">
        <f>SUMIF(Mercado_Receita!$S$2:$S$1866,"44470A4DistribuiçãoNão se aplicaNão se aplicaNão se aplicaSulgipePonta",Mercado_Receita!$J$2:$J$1866)+SUMIF(Mercado_Receita!$S$2:$S$1866,"44470A4DistribuiçãoNão se aplicaNão se aplicaNão se aplicaSulgipeNão se aplica",Mercado_Receita!$J$2:$J$1866)*0.72</f>
        <v>0</v>
      </c>
      <c r="P17" s="12">
        <f>SUMIF(Mercado_Receita!$S$2:$S$1866,"44501A4DistribuiçãoNão se aplicaNão se aplicaNão se aplicaSulgipePonta",Mercado_Receita!$J$2:$J$1866)+SUMIF(Mercado_Receita!$S$2:$S$1866,"44501A4DistribuiçãoNão se aplicaNão se aplicaNão se aplicaSulgipeNão se aplica",Mercado_Receita!$J$2:$J$1866)*0.72</f>
        <v>0</v>
      </c>
      <c r="Q17" s="12">
        <f>SUMIF(Mercado_Receita!$S$2:$S$1866,"44531A4DistribuiçãoNão se aplicaNão se aplicaNão se aplicaSulgipePonta",Mercado_Receita!$J$2:$J$1866)+SUMIF(Mercado_Receita!$S$2:$S$1866,"44531A4DistribuiçãoNão se aplicaNão se aplicaNão se aplicaSulgipeNão se aplica",Mercado_Receita!$J$2:$J$1866)*0.72</f>
        <v>0</v>
      </c>
      <c r="R17" s="12">
        <f>SUMIF(Mercado_Receita!$S$2:$S$1866,"44562A4DistribuiçãoNão se aplicaNão se aplicaNão se aplicaSulgipePonta",Mercado_Receita!$J$2:$J$1866)+SUMIF(Mercado_Receita!$S$2:$S$1866,"44562A4DistribuiçãoNão se aplicaNão se aplicaNão se aplicaSulgipeNão se aplica",Mercado_Receita!$J$2:$J$1866)*0.72</f>
        <v>0</v>
      </c>
      <c r="S17" s="12">
        <f>SUMIF(Mercado_Receita!$S$2:$S$1866,"44593A4DistribuiçãoNão se aplicaNão se aplicaNão se aplicaSulgipePonta",Mercado_Receita!$J$2:$J$1866)+SUMIF(Mercado_Receita!$S$2:$S$1866,"44593A4DistribuiçãoNão se aplicaNão se aplicaNão se aplicaSulgipeNão se aplica",Mercado_Receita!$J$2:$J$1866)*0.72</f>
        <v>0</v>
      </c>
      <c r="T17" s="12">
        <f>SUMIF(Mercado_Receita!$S$2:$S$1866,"44621A4DistribuiçãoNão se aplicaNão se aplicaNão se aplicaSulgipePonta",Mercado_Receita!$J$2:$J$1866)+SUMIF(Mercado_Receita!$S$2:$S$1866,"44621A4DistribuiçãoNão se aplicaNão se aplicaNão se aplicaSulgipeNão se aplica",Mercado_Receita!$J$2:$J$1866)*0.72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90"/>
      <c r="B18" s="90"/>
      <c r="C18" s="90"/>
      <c r="D18" s="90"/>
      <c r="E18" s="90"/>
      <c r="F18" s="90"/>
      <c r="G18" s="12" t="s">
        <v>101</v>
      </c>
      <c r="H18" s="12" t="s">
        <v>99</v>
      </c>
      <c r="I18" s="12">
        <f>SUMIF(Mercado_Receita!$S$2:$S$1866,"44287A4DistribuiçãoNão se aplicaNão se aplicaNão se aplicaSulgipeFora ponta",Mercado_Receita!$J$2:$J$1866)+SUMIF(Mercado_Receita!$S$2:$S$1866,"44287A4DistribuiçãoNão se aplicaNão se aplicaNão se aplicaSulgipeNão se aplica",Mercado_Receita!$J$2:$J$1866)*1</f>
        <v>0</v>
      </c>
      <c r="J18" s="12">
        <f>SUMIF(Mercado_Receita!$S$2:$S$1866,"44317A4DistribuiçãoNão se aplicaNão se aplicaNão se aplicaSulgipeFora ponta",Mercado_Receita!$J$2:$J$1866)+SUMIF(Mercado_Receita!$S$2:$S$1866,"44317A4DistribuiçãoNão se aplicaNão se aplicaNão se aplicaSulgipeNão se aplica",Mercado_Receita!$J$2:$J$1866)*1</f>
        <v>0</v>
      </c>
      <c r="K18" s="12">
        <f>SUMIF(Mercado_Receita!$S$2:$S$1866,"44348A4DistribuiçãoNão se aplicaNão se aplicaNão se aplicaSulgipeFora ponta",Mercado_Receita!$J$2:$J$1866)+SUMIF(Mercado_Receita!$S$2:$S$1866,"44348A4DistribuiçãoNão se aplicaNão se aplicaNão se aplicaSulgipeNão se aplica",Mercado_Receita!$J$2:$J$1866)*1</f>
        <v>0</v>
      </c>
      <c r="L18" s="12">
        <f>SUMIF(Mercado_Receita!$S$2:$S$1866,"44378A4DistribuiçãoNão se aplicaNão se aplicaNão se aplicaSulgipeFora ponta",Mercado_Receita!$J$2:$J$1866)+SUMIF(Mercado_Receita!$S$2:$S$1866,"44378A4DistribuiçãoNão se aplicaNão se aplicaNão se aplicaSulgipeNão se aplica",Mercado_Receita!$J$2:$J$1866)*1</f>
        <v>0</v>
      </c>
      <c r="M18" s="12">
        <f>SUMIF(Mercado_Receita!$S$2:$S$1866,"44409A4DistribuiçãoNão se aplicaNão se aplicaNão se aplicaSulgipeFora ponta",Mercado_Receita!$J$2:$J$1866)+SUMIF(Mercado_Receita!$S$2:$S$1866,"44409A4DistribuiçãoNão se aplicaNão se aplicaNão se aplicaSulgipeNão se aplica",Mercado_Receita!$J$2:$J$1866)*1</f>
        <v>0</v>
      </c>
      <c r="N18" s="12">
        <f>SUMIF(Mercado_Receita!$S$2:$S$1866,"44440A4DistribuiçãoNão se aplicaNão se aplicaNão se aplicaSulgipeFora ponta",Mercado_Receita!$J$2:$J$1866)+SUMIF(Mercado_Receita!$S$2:$S$1866,"44440A4DistribuiçãoNão se aplicaNão se aplicaNão se aplicaSulgipeNão se aplica",Mercado_Receita!$J$2:$J$1866)*1</f>
        <v>0</v>
      </c>
      <c r="O18" s="12">
        <f>SUMIF(Mercado_Receita!$S$2:$S$1866,"44470A4DistribuiçãoNão se aplicaNão se aplicaNão se aplicaSulgipeFora ponta",Mercado_Receita!$J$2:$J$1866)+SUMIF(Mercado_Receita!$S$2:$S$1866,"44470A4DistribuiçãoNão se aplicaNão se aplicaNão se aplicaSulgipeNão se aplica",Mercado_Receita!$J$2:$J$1866)*1</f>
        <v>0</v>
      </c>
      <c r="P18" s="12">
        <f>SUMIF(Mercado_Receita!$S$2:$S$1866,"44501A4DistribuiçãoNão se aplicaNão se aplicaNão se aplicaSulgipeFora ponta",Mercado_Receita!$J$2:$J$1866)+SUMIF(Mercado_Receita!$S$2:$S$1866,"44501A4DistribuiçãoNão se aplicaNão se aplicaNão se aplicaSulgipeNão se aplica",Mercado_Receita!$J$2:$J$1866)*1</f>
        <v>0</v>
      </c>
      <c r="Q18" s="12">
        <f>SUMIF(Mercado_Receita!$S$2:$S$1866,"44531A4DistribuiçãoNão se aplicaNão se aplicaNão se aplicaSulgipeFora ponta",Mercado_Receita!$J$2:$J$1866)+SUMIF(Mercado_Receita!$S$2:$S$1866,"44531A4DistribuiçãoNão se aplicaNão se aplicaNão se aplicaSulgipeNão se aplica",Mercado_Receita!$J$2:$J$1866)*1</f>
        <v>0</v>
      </c>
      <c r="R18" s="12">
        <f>SUMIF(Mercado_Receita!$S$2:$S$1866,"44562A4DistribuiçãoNão se aplicaNão se aplicaNão se aplicaSulgipeFora ponta",Mercado_Receita!$J$2:$J$1866)+SUMIF(Mercado_Receita!$S$2:$S$1866,"44562A4DistribuiçãoNão se aplicaNão se aplicaNão se aplicaSulgipeNão se aplica",Mercado_Receita!$J$2:$J$1866)*1</f>
        <v>0</v>
      </c>
      <c r="S18" s="12">
        <f>SUMIF(Mercado_Receita!$S$2:$S$1866,"44593A4DistribuiçãoNão se aplicaNão se aplicaNão se aplicaSulgipeFora ponta",Mercado_Receita!$J$2:$J$1866)+SUMIF(Mercado_Receita!$S$2:$S$1866,"44593A4DistribuiçãoNão se aplicaNão se aplicaNão se aplicaSulgipeNão se aplica",Mercado_Receita!$J$2:$J$1866)*1</f>
        <v>0</v>
      </c>
      <c r="T18" s="12">
        <f>SUMIF(Mercado_Receita!$S$2:$S$1866,"44621A4DistribuiçãoNão se aplicaNão se aplicaNão se aplicaSulgipeFora ponta",Mercado_Receita!$J$2:$J$1866)+SUMIF(Mercado_Receita!$S$2:$S$1866,"44621A4DistribuiçãoNão se aplicaNão se aplicaNão se aplicaSulgipeNão se aplica",Mercado_Receita!$J$2:$J$1866)*1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90"/>
      <c r="B19" s="90"/>
      <c r="C19" s="90"/>
      <c r="D19" s="90"/>
      <c r="E19" s="90"/>
      <c r="F19" s="90"/>
      <c r="G19" s="12" t="s">
        <v>98</v>
      </c>
      <c r="H19" s="12" t="s">
        <v>93</v>
      </c>
      <c r="I19" s="12">
        <f>IF((I17+I18)&lt;&gt;0,SUMIF(Mercado_Receita!$S$2:$S$1866,"44287A4DistribuiçãoNão se aplicaNão se aplicaNão se aplicaSulgipePonta",Mercado_Receita!$L$2:$L$1866)+SUMIF(Mercado_Receita!$S$2:$S$1866,"44287A4DistribuiçãoNão se aplicaNão se aplicaNão se aplicaSulgipeFora ponta",Mercado_Receita!$L$2:$L$1866)+SUMIF(Mercado_Receita!$S$2:$S$1866,"44287A4DistribuiçãoNão se aplicaNão se aplicaNão se aplicaSulgipeIntermediário",Mercado_Receita!$L$2:$L$1866)+SUMIF(Mercado_Receita!$S$2:$S$1866,"44287A4DistribuiçãoNão se aplicaNão se aplicaNão se aplicaSulgipeNão se aplica",Mercado_Receita!$L$2:$L$1866),0)</f>
        <v>0</v>
      </c>
      <c r="J19" s="12">
        <f>IF((J17+J18)&lt;&gt;0,SUMIF(Mercado_Receita!$S$2:$S$1866,"44317A4DistribuiçãoNão se aplicaNão se aplicaNão se aplicaSulgipePonta",Mercado_Receita!$L$2:$L$1866)+SUMIF(Mercado_Receita!$S$2:$S$1866,"44317A4DistribuiçãoNão se aplicaNão se aplicaNão se aplicaSulgipeFora ponta",Mercado_Receita!$L$2:$L$1866)+SUMIF(Mercado_Receita!$S$2:$S$1866,"44317A4DistribuiçãoNão se aplicaNão se aplicaNão se aplicaSulgipeIntermediário",Mercado_Receita!$L$2:$L$1866)+SUMIF(Mercado_Receita!$S$2:$S$1866,"44317A4DistribuiçãoNão se aplicaNão se aplicaNão se aplicaSulgipeNão se aplica",Mercado_Receita!$L$2:$L$1866),0)</f>
        <v>0</v>
      </c>
      <c r="K19" s="12">
        <f>IF((K17+K18)&lt;&gt;0,SUMIF(Mercado_Receita!$S$2:$S$1866,"44348A4DistribuiçãoNão se aplicaNão se aplicaNão se aplicaSulgipePonta",Mercado_Receita!$L$2:$L$1866)+SUMIF(Mercado_Receita!$S$2:$S$1866,"44348A4DistribuiçãoNão se aplicaNão se aplicaNão se aplicaSulgipeFora ponta",Mercado_Receita!$L$2:$L$1866)+SUMIF(Mercado_Receita!$S$2:$S$1866,"44348A4DistribuiçãoNão se aplicaNão se aplicaNão se aplicaSulgipeIntermediário",Mercado_Receita!$L$2:$L$1866)+SUMIF(Mercado_Receita!$S$2:$S$1866,"44348A4DistribuiçãoNão se aplicaNão se aplicaNão se aplicaSulgipeNão se aplica",Mercado_Receita!$L$2:$L$1866),0)</f>
        <v>0</v>
      </c>
      <c r="L19" s="12">
        <f>IF((L17+L18)&lt;&gt;0,SUMIF(Mercado_Receita!$S$2:$S$1866,"44378A4DistribuiçãoNão se aplicaNão se aplicaNão se aplicaSulgipePonta",Mercado_Receita!$L$2:$L$1866)+SUMIF(Mercado_Receita!$S$2:$S$1866,"44378A4DistribuiçãoNão se aplicaNão se aplicaNão se aplicaSulgipeFora ponta",Mercado_Receita!$L$2:$L$1866)+SUMIF(Mercado_Receita!$S$2:$S$1866,"44378A4DistribuiçãoNão se aplicaNão se aplicaNão se aplicaSulgipeIntermediário",Mercado_Receita!$L$2:$L$1866)+SUMIF(Mercado_Receita!$S$2:$S$1866,"44378A4DistribuiçãoNão se aplicaNão se aplicaNão se aplicaSulgipeNão se aplica",Mercado_Receita!$L$2:$L$1866),0)</f>
        <v>0</v>
      </c>
      <c r="M19" s="12">
        <f>IF((M17+M18)&lt;&gt;0,SUMIF(Mercado_Receita!$S$2:$S$1866,"44409A4DistribuiçãoNão se aplicaNão se aplicaNão se aplicaSulgipePonta",Mercado_Receita!$L$2:$L$1866)+SUMIF(Mercado_Receita!$S$2:$S$1866,"44409A4DistribuiçãoNão se aplicaNão se aplicaNão se aplicaSulgipeFora ponta",Mercado_Receita!$L$2:$L$1866)+SUMIF(Mercado_Receita!$S$2:$S$1866,"44409A4DistribuiçãoNão se aplicaNão se aplicaNão se aplicaSulgipeIntermediário",Mercado_Receita!$L$2:$L$1866)+SUMIF(Mercado_Receita!$S$2:$S$1866,"44409A4DistribuiçãoNão se aplicaNão se aplicaNão se aplicaSulgipeNão se aplica",Mercado_Receita!$L$2:$L$1866),0)</f>
        <v>0</v>
      </c>
      <c r="N19" s="12">
        <f>IF((N17+N18)&lt;&gt;0,SUMIF(Mercado_Receita!$S$2:$S$1866,"44440A4DistribuiçãoNão se aplicaNão se aplicaNão se aplicaSulgipePonta",Mercado_Receita!$L$2:$L$1866)+SUMIF(Mercado_Receita!$S$2:$S$1866,"44440A4DistribuiçãoNão se aplicaNão se aplicaNão se aplicaSulgipeFora ponta",Mercado_Receita!$L$2:$L$1866)+SUMIF(Mercado_Receita!$S$2:$S$1866,"44440A4DistribuiçãoNão se aplicaNão se aplicaNão se aplicaSulgipeIntermediário",Mercado_Receita!$L$2:$L$1866)+SUMIF(Mercado_Receita!$S$2:$S$1866,"44440A4DistribuiçãoNão se aplicaNão se aplicaNão se aplicaSulgipeNão se aplica",Mercado_Receita!$L$2:$L$1866),0)</f>
        <v>0</v>
      </c>
      <c r="O19" s="12">
        <f>IF((O17+O18)&lt;&gt;0,SUMIF(Mercado_Receita!$S$2:$S$1866,"44470A4DistribuiçãoNão se aplicaNão se aplicaNão se aplicaSulgipePonta",Mercado_Receita!$L$2:$L$1866)+SUMIF(Mercado_Receita!$S$2:$S$1866,"44470A4DistribuiçãoNão se aplicaNão se aplicaNão se aplicaSulgipeFora ponta",Mercado_Receita!$L$2:$L$1866)+SUMIF(Mercado_Receita!$S$2:$S$1866,"44470A4DistribuiçãoNão se aplicaNão se aplicaNão se aplicaSulgipeIntermediário",Mercado_Receita!$L$2:$L$1866)+SUMIF(Mercado_Receita!$S$2:$S$1866,"44470A4DistribuiçãoNão se aplicaNão se aplicaNão se aplicaSulgipeNão se aplica",Mercado_Receita!$L$2:$L$1866),0)</f>
        <v>0</v>
      </c>
      <c r="P19" s="12">
        <f>IF((P17+P18)&lt;&gt;0,SUMIF(Mercado_Receita!$S$2:$S$1866,"44501A4DistribuiçãoNão se aplicaNão se aplicaNão se aplicaSulgipePonta",Mercado_Receita!$L$2:$L$1866)+SUMIF(Mercado_Receita!$S$2:$S$1866,"44501A4DistribuiçãoNão se aplicaNão se aplicaNão se aplicaSulgipeFora ponta",Mercado_Receita!$L$2:$L$1866)+SUMIF(Mercado_Receita!$S$2:$S$1866,"44501A4DistribuiçãoNão se aplicaNão se aplicaNão se aplicaSulgipeIntermediário",Mercado_Receita!$L$2:$L$1866)+SUMIF(Mercado_Receita!$S$2:$S$1866,"44501A4DistribuiçãoNão se aplicaNão se aplicaNão se aplicaSulgipeNão se aplica",Mercado_Receita!$L$2:$L$1866),0)</f>
        <v>0</v>
      </c>
      <c r="Q19" s="12">
        <f>IF((Q17+Q18)&lt;&gt;0,SUMIF(Mercado_Receita!$S$2:$S$1866,"44531A4DistribuiçãoNão se aplicaNão se aplicaNão se aplicaSulgipePonta",Mercado_Receita!$L$2:$L$1866)+SUMIF(Mercado_Receita!$S$2:$S$1866,"44531A4DistribuiçãoNão se aplicaNão se aplicaNão se aplicaSulgipeFora ponta",Mercado_Receita!$L$2:$L$1866)+SUMIF(Mercado_Receita!$S$2:$S$1866,"44531A4DistribuiçãoNão se aplicaNão se aplicaNão se aplicaSulgipeIntermediário",Mercado_Receita!$L$2:$L$1866)+SUMIF(Mercado_Receita!$S$2:$S$1866,"44531A4DistribuiçãoNão se aplicaNão se aplicaNão se aplicaSulgipeNão se aplica",Mercado_Receita!$L$2:$L$1866),0)</f>
        <v>0</v>
      </c>
      <c r="R19" s="12">
        <f>IF((R17+R18)&lt;&gt;0,SUMIF(Mercado_Receita!$S$2:$S$1866,"44562A4DistribuiçãoNão se aplicaNão se aplicaNão se aplicaSulgipePonta",Mercado_Receita!$L$2:$L$1866)+SUMIF(Mercado_Receita!$S$2:$S$1866,"44562A4DistribuiçãoNão se aplicaNão se aplicaNão se aplicaSulgipeFora ponta",Mercado_Receita!$L$2:$L$1866)+SUMIF(Mercado_Receita!$S$2:$S$1866,"44562A4DistribuiçãoNão se aplicaNão se aplicaNão se aplicaSulgipeIntermediário",Mercado_Receita!$L$2:$L$1866)+SUMIF(Mercado_Receita!$S$2:$S$1866,"44562A4DistribuiçãoNão se aplicaNão se aplicaNão se aplicaSulgipeNão se aplica",Mercado_Receita!$L$2:$L$1866),0)</f>
        <v>0</v>
      </c>
      <c r="S19" s="12">
        <f>IF((S17+S18)&lt;&gt;0,SUMIF(Mercado_Receita!$S$2:$S$1866,"44593A4DistribuiçãoNão se aplicaNão se aplicaNão se aplicaSulgipePonta",Mercado_Receita!$L$2:$L$1866)+SUMIF(Mercado_Receita!$S$2:$S$1866,"44593A4DistribuiçãoNão se aplicaNão se aplicaNão se aplicaSulgipeFora ponta",Mercado_Receita!$L$2:$L$1866)+SUMIF(Mercado_Receita!$S$2:$S$1866,"44593A4DistribuiçãoNão se aplicaNão se aplicaNão se aplicaSulgipeIntermediário",Mercado_Receita!$L$2:$L$1866)+SUMIF(Mercado_Receita!$S$2:$S$1866,"44593A4DistribuiçãoNão se aplicaNão se aplicaNão se aplicaSulgipeNão se aplica",Mercado_Receita!$L$2:$L$1866),0)</f>
        <v>0</v>
      </c>
      <c r="T19" s="12">
        <f>IF((T17+T18)&lt;&gt;0,SUMIF(Mercado_Receita!$S$2:$S$1866,"44621A4DistribuiçãoNão se aplicaNão se aplicaNão se aplicaSulgipePonta",Mercado_Receita!$L$2:$L$1866)+SUMIF(Mercado_Receita!$S$2:$S$1866,"44621A4DistribuiçãoNão se aplicaNão se aplicaNão se aplicaSulgipeFora ponta",Mercado_Receita!$L$2:$L$1866)+SUMIF(Mercado_Receita!$S$2:$S$1866,"44621A4DistribuiçãoNão se aplicaNão se aplicaNão se aplicaSulgipeIntermediário",Mercado_Receita!$L$2:$L$1866)+SUMIF(Mercado_Receita!$S$2:$S$1866,"44621A4DistribuiçãoNão se aplicaNão se aplicaNão se aplicaSulgipeNão se aplica",Mercado_Receita!$L$2:$L$1866),0)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90"/>
      <c r="B20" s="90"/>
      <c r="C20" s="90"/>
      <c r="D20" s="90"/>
      <c r="E20" s="90"/>
      <c r="F20" s="89" t="s">
        <v>62</v>
      </c>
      <c r="G20" s="12" t="s">
        <v>100</v>
      </c>
      <c r="H20" s="12" t="s">
        <v>99</v>
      </c>
      <c r="I20" s="12">
        <f>SUMIF(Mercado_Receita!$S$2:$S$1866,"44287A4DistribuiçãoNão se aplicaNão se aplicaNão se aplicaCealPonta",Mercado_Receita!$J$2:$J$1866)+SUMIF(Mercado_Receita!$S$2:$S$1866,"44287A4DistribuiçãoNão se aplicaNão se aplicaNão se aplicaCealNão se aplica",Mercado_Receita!$J$2:$J$1866)*0.72</f>
        <v>4469</v>
      </c>
      <c r="J20" s="12">
        <f>SUMIF(Mercado_Receita!$S$2:$S$1866,"44317A4DistribuiçãoNão se aplicaNão se aplicaNão se aplicaCealPonta",Mercado_Receita!$J$2:$J$1866)+SUMIF(Mercado_Receita!$S$2:$S$1866,"44317A4DistribuiçãoNão se aplicaNão se aplicaNão se aplicaCealNão se aplica",Mercado_Receita!$J$2:$J$1866)*0.72</f>
        <v>4469</v>
      </c>
      <c r="K20" s="12">
        <f>SUMIF(Mercado_Receita!$S$2:$S$1866,"44348A4DistribuiçãoNão se aplicaNão se aplicaNão se aplicaCealPonta",Mercado_Receita!$J$2:$J$1866)+SUMIF(Mercado_Receita!$S$2:$S$1866,"44348A4DistribuiçãoNão se aplicaNão se aplicaNão se aplicaCealNão se aplica",Mercado_Receita!$J$2:$J$1866)*0.72</f>
        <v>4469</v>
      </c>
      <c r="L20" s="12">
        <f>SUMIF(Mercado_Receita!$S$2:$S$1866,"44378A4DistribuiçãoNão se aplicaNão se aplicaNão se aplicaCealPonta",Mercado_Receita!$J$2:$J$1866)+SUMIF(Mercado_Receita!$S$2:$S$1866,"44378A4DistribuiçãoNão se aplicaNão se aplicaNão se aplicaCealNão se aplica",Mercado_Receita!$J$2:$J$1866)*0.72</f>
        <v>4469</v>
      </c>
      <c r="M20" s="12">
        <f>SUMIF(Mercado_Receita!$S$2:$S$1866,"44409A4DistribuiçãoNão se aplicaNão se aplicaNão se aplicaCealPonta",Mercado_Receita!$J$2:$J$1866)+SUMIF(Mercado_Receita!$S$2:$S$1866,"44409A4DistribuiçãoNão se aplicaNão se aplicaNão se aplicaCealNão se aplica",Mercado_Receita!$J$2:$J$1866)*0.72</f>
        <v>4469</v>
      </c>
      <c r="N20" s="12">
        <f>SUMIF(Mercado_Receita!$S$2:$S$1866,"44440A4DistribuiçãoNão se aplicaNão se aplicaNão se aplicaCealPonta",Mercado_Receita!$J$2:$J$1866)+SUMIF(Mercado_Receita!$S$2:$S$1866,"44440A4DistribuiçãoNão se aplicaNão se aplicaNão se aplicaCealNão se aplica",Mercado_Receita!$J$2:$J$1866)*0.72</f>
        <v>4469</v>
      </c>
      <c r="O20" s="12">
        <f>SUMIF(Mercado_Receita!$S$2:$S$1866,"44470A4DistribuiçãoNão se aplicaNão se aplicaNão se aplicaCealPonta",Mercado_Receita!$J$2:$J$1866)+SUMIF(Mercado_Receita!$S$2:$S$1866,"44470A4DistribuiçãoNão se aplicaNão se aplicaNão se aplicaCealNão se aplica",Mercado_Receita!$J$2:$J$1866)*0.72</f>
        <v>4469</v>
      </c>
      <c r="P20" s="12">
        <f>SUMIF(Mercado_Receita!$S$2:$S$1866,"44501A4DistribuiçãoNão se aplicaNão se aplicaNão se aplicaCealPonta",Mercado_Receita!$J$2:$J$1866)+SUMIF(Mercado_Receita!$S$2:$S$1866,"44501A4DistribuiçãoNão se aplicaNão se aplicaNão se aplicaCealNão se aplica",Mercado_Receita!$J$2:$J$1866)*0.72</f>
        <v>4469</v>
      </c>
      <c r="Q20" s="12">
        <f>SUMIF(Mercado_Receita!$S$2:$S$1866,"44531A4DistribuiçãoNão se aplicaNão se aplicaNão se aplicaCealPonta",Mercado_Receita!$J$2:$J$1866)+SUMIF(Mercado_Receita!$S$2:$S$1866,"44531A4DistribuiçãoNão se aplicaNão se aplicaNão se aplicaCealNão se aplica",Mercado_Receita!$J$2:$J$1866)*0.72</f>
        <v>4469</v>
      </c>
      <c r="R20" s="12">
        <f>SUMIF(Mercado_Receita!$S$2:$S$1866,"44562A4DistribuiçãoNão se aplicaNão se aplicaNão se aplicaCealPonta",Mercado_Receita!$J$2:$J$1866)+SUMIF(Mercado_Receita!$S$2:$S$1866,"44562A4DistribuiçãoNão se aplicaNão se aplicaNão se aplicaCealNão se aplica",Mercado_Receita!$J$2:$J$1866)*0.72</f>
        <v>4469</v>
      </c>
      <c r="S20" s="12">
        <f>SUMIF(Mercado_Receita!$S$2:$S$1866,"44593A4DistribuiçãoNão se aplicaNão se aplicaNão se aplicaCealPonta",Mercado_Receita!$J$2:$J$1866)+SUMIF(Mercado_Receita!$S$2:$S$1866,"44593A4DistribuiçãoNão se aplicaNão se aplicaNão se aplicaCealNão se aplica",Mercado_Receita!$J$2:$J$1866)*0.72</f>
        <v>4469</v>
      </c>
      <c r="T20" s="12">
        <f>SUMIF(Mercado_Receita!$S$2:$S$1866,"44621A4DistribuiçãoNão se aplicaNão se aplicaNão se aplicaCealPonta",Mercado_Receita!$J$2:$J$1866)+SUMIF(Mercado_Receita!$S$2:$S$1866,"44621A4DistribuiçãoNão se aplicaNão se aplicaNão se aplicaCealNão se aplica",Mercado_Receita!$J$2:$J$1866)*0.72</f>
        <v>4469</v>
      </c>
      <c r="U20" s="12">
        <f t="shared" si="0"/>
        <v>53628</v>
      </c>
      <c r="V20" s="12"/>
      <c r="W20" s="12"/>
    </row>
    <row r="21" spans="1:23" ht="11.25" customHeight="1" x14ac:dyDescent="0.25">
      <c r="A21" s="90"/>
      <c r="B21" s="90"/>
      <c r="C21" s="90"/>
      <c r="D21" s="90"/>
      <c r="E21" s="90"/>
      <c r="F21" s="90"/>
      <c r="G21" s="12" t="s">
        <v>101</v>
      </c>
      <c r="H21" s="12" t="s">
        <v>99</v>
      </c>
      <c r="I21" s="12">
        <f>SUMIF(Mercado_Receita!$S$2:$S$1866,"44287A4DistribuiçãoNão se aplicaNão se aplicaNão se aplicaCealFora ponta",Mercado_Receita!$J$2:$J$1866)+SUMIF(Mercado_Receita!$S$2:$S$1866,"44287A4DistribuiçãoNão se aplicaNão se aplicaNão se aplicaCealNão se aplica",Mercado_Receita!$J$2:$J$1866)*1</f>
        <v>5577</v>
      </c>
      <c r="J21" s="12">
        <f>SUMIF(Mercado_Receita!$S$2:$S$1866,"44317A4DistribuiçãoNão se aplicaNão se aplicaNão se aplicaCealFora ponta",Mercado_Receita!$J$2:$J$1866)+SUMIF(Mercado_Receita!$S$2:$S$1866,"44317A4DistribuiçãoNão se aplicaNão se aplicaNão se aplicaCealNão se aplica",Mercado_Receita!$J$2:$J$1866)*1</f>
        <v>5577</v>
      </c>
      <c r="K21" s="12">
        <f>SUMIF(Mercado_Receita!$S$2:$S$1866,"44348A4DistribuiçãoNão se aplicaNão se aplicaNão se aplicaCealFora ponta",Mercado_Receita!$J$2:$J$1866)+SUMIF(Mercado_Receita!$S$2:$S$1866,"44348A4DistribuiçãoNão se aplicaNão se aplicaNão se aplicaCealNão se aplica",Mercado_Receita!$J$2:$J$1866)*1</f>
        <v>5577</v>
      </c>
      <c r="L21" s="12">
        <f>SUMIF(Mercado_Receita!$S$2:$S$1866,"44378A4DistribuiçãoNão se aplicaNão se aplicaNão se aplicaCealFora ponta",Mercado_Receita!$J$2:$J$1866)+SUMIF(Mercado_Receita!$S$2:$S$1866,"44378A4DistribuiçãoNão se aplicaNão se aplicaNão se aplicaCealNão se aplica",Mercado_Receita!$J$2:$J$1866)*1</f>
        <v>5577</v>
      </c>
      <c r="M21" s="12">
        <f>SUMIF(Mercado_Receita!$S$2:$S$1866,"44409A4DistribuiçãoNão se aplicaNão se aplicaNão se aplicaCealFora ponta",Mercado_Receita!$J$2:$J$1866)+SUMIF(Mercado_Receita!$S$2:$S$1866,"44409A4DistribuiçãoNão se aplicaNão se aplicaNão se aplicaCealNão se aplica",Mercado_Receita!$J$2:$J$1866)*1</f>
        <v>5577</v>
      </c>
      <c r="N21" s="12">
        <f>SUMIF(Mercado_Receita!$S$2:$S$1866,"44440A4DistribuiçãoNão se aplicaNão se aplicaNão se aplicaCealFora ponta",Mercado_Receita!$J$2:$J$1866)+SUMIF(Mercado_Receita!$S$2:$S$1866,"44440A4DistribuiçãoNão se aplicaNão se aplicaNão se aplicaCealNão se aplica",Mercado_Receita!$J$2:$J$1866)*1</f>
        <v>5577</v>
      </c>
      <c r="O21" s="12">
        <f>SUMIF(Mercado_Receita!$S$2:$S$1866,"44470A4DistribuiçãoNão se aplicaNão se aplicaNão se aplicaCealFora ponta",Mercado_Receita!$J$2:$J$1866)+SUMIF(Mercado_Receita!$S$2:$S$1866,"44470A4DistribuiçãoNão se aplicaNão se aplicaNão se aplicaCealNão se aplica",Mercado_Receita!$J$2:$J$1866)*1</f>
        <v>5577</v>
      </c>
      <c r="P21" s="12">
        <f>SUMIF(Mercado_Receita!$S$2:$S$1866,"44501A4DistribuiçãoNão se aplicaNão se aplicaNão se aplicaCealFora ponta",Mercado_Receita!$J$2:$J$1866)+SUMIF(Mercado_Receita!$S$2:$S$1866,"44501A4DistribuiçãoNão se aplicaNão se aplicaNão se aplicaCealNão se aplica",Mercado_Receita!$J$2:$J$1866)*1</f>
        <v>5577</v>
      </c>
      <c r="Q21" s="12">
        <f>SUMIF(Mercado_Receita!$S$2:$S$1866,"44531A4DistribuiçãoNão se aplicaNão se aplicaNão se aplicaCealFora ponta",Mercado_Receita!$J$2:$J$1866)+SUMIF(Mercado_Receita!$S$2:$S$1866,"44531A4DistribuiçãoNão se aplicaNão se aplicaNão se aplicaCealNão se aplica",Mercado_Receita!$J$2:$J$1866)*1</f>
        <v>5577</v>
      </c>
      <c r="R21" s="12">
        <f>SUMIF(Mercado_Receita!$S$2:$S$1866,"44562A4DistribuiçãoNão se aplicaNão se aplicaNão se aplicaCealFora ponta",Mercado_Receita!$J$2:$J$1866)+SUMIF(Mercado_Receita!$S$2:$S$1866,"44562A4DistribuiçãoNão se aplicaNão se aplicaNão se aplicaCealNão se aplica",Mercado_Receita!$J$2:$J$1866)*1</f>
        <v>5577</v>
      </c>
      <c r="S21" s="12">
        <f>SUMIF(Mercado_Receita!$S$2:$S$1866,"44593A4DistribuiçãoNão se aplicaNão se aplicaNão se aplicaCealFora ponta",Mercado_Receita!$J$2:$J$1866)+SUMIF(Mercado_Receita!$S$2:$S$1866,"44593A4DistribuiçãoNão se aplicaNão se aplicaNão se aplicaCealNão se aplica",Mercado_Receita!$J$2:$J$1866)*1</f>
        <v>5577</v>
      </c>
      <c r="T21" s="12">
        <f>SUMIF(Mercado_Receita!$S$2:$S$1866,"44621A4DistribuiçãoNão se aplicaNão se aplicaNão se aplicaCealFora ponta",Mercado_Receita!$J$2:$J$1866)+SUMIF(Mercado_Receita!$S$2:$S$1866,"44621A4DistribuiçãoNão se aplicaNão se aplicaNão se aplicaCealNão se aplica",Mercado_Receita!$J$2:$J$1866)*1</f>
        <v>5577</v>
      </c>
      <c r="U21" s="12">
        <f t="shared" si="0"/>
        <v>66924</v>
      </c>
      <c r="V21" s="12"/>
      <c r="W21" s="12"/>
    </row>
    <row r="22" spans="1:23" ht="11.25" customHeight="1" x14ac:dyDescent="0.25">
      <c r="A22" s="90"/>
      <c r="B22" s="90"/>
      <c r="C22" s="90"/>
      <c r="D22" s="90"/>
      <c r="E22" s="90"/>
      <c r="F22" s="90"/>
      <c r="G22" s="12" t="s">
        <v>98</v>
      </c>
      <c r="H22" s="12" t="s">
        <v>93</v>
      </c>
      <c r="I22" s="12">
        <f>IF((I20+I21)&lt;&gt;0,SUMIF(Mercado_Receita!$S$2:$S$1866,"44287A4DistribuiçãoNão se aplicaNão se aplicaNão se aplicaCealPonta",Mercado_Receita!$L$2:$L$1866)+SUMIF(Mercado_Receita!$S$2:$S$1866,"44287A4DistribuiçãoNão se aplicaNão se aplicaNão se aplicaCealFora ponta",Mercado_Receita!$L$2:$L$1866)+SUMIF(Mercado_Receita!$S$2:$S$1866,"44287A4DistribuiçãoNão se aplicaNão se aplicaNão se aplicaCealIntermediário",Mercado_Receita!$L$2:$L$1866)+SUMIF(Mercado_Receita!$S$2:$S$1866,"44287A4DistribuiçãoNão se aplicaNão se aplicaNão se aplicaCealNão se aplica",Mercado_Receita!$L$2:$L$1866),0)</f>
        <v>2156.9180000000001</v>
      </c>
      <c r="J22" s="12">
        <f>IF((J20+J21)&lt;&gt;0,SUMIF(Mercado_Receita!$S$2:$S$1866,"44317A4DistribuiçãoNão se aplicaNão se aplicaNão se aplicaCealPonta",Mercado_Receita!$L$2:$L$1866)+SUMIF(Mercado_Receita!$S$2:$S$1866,"44317A4DistribuiçãoNão se aplicaNão se aplicaNão se aplicaCealFora ponta",Mercado_Receita!$L$2:$L$1866)+SUMIF(Mercado_Receita!$S$2:$S$1866,"44317A4DistribuiçãoNão se aplicaNão se aplicaNão se aplicaCealIntermediário",Mercado_Receita!$L$2:$L$1866)+SUMIF(Mercado_Receita!$S$2:$S$1866,"44317A4DistribuiçãoNão se aplicaNão se aplicaNão se aplicaCealNão se aplica",Mercado_Receita!$L$2:$L$1866),0)</f>
        <v>1952.4269999999999</v>
      </c>
      <c r="K22" s="12">
        <f>IF((K20+K21)&lt;&gt;0,SUMIF(Mercado_Receita!$S$2:$S$1866,"44348A4DistribuiçãoNão se aplicaNão se aplicaNão se aplicaCealPonta",Mercado_Receita!$L$2:$L$1866)+SUMIF(Mercado_Receita!$S$2:$S$1866,"44348A4DistribuiçãoNão se aplicaNão se aplicaNão se aplicaCealFora ponta",Mercado_Receita!$L$2:$L$1866)+SUMIF(Mercado_Receita!$S$2:$S$1866,"44348A4DistribuiçãoNão se aplicaNão se aplicaNão se aplicaCealIntermediário",Mercado_Receita!$L$2:$L$1866)+SUMIF(Mercado_Receita!$S$2:$S$1866,"44348A4DistribuiçãoNão se aplicaNão se aplicaNão se aplicaCealNão se aplica",Mercado_Receita!$L$2:$L$1866),0)</f>
        <v>1707.413</v>
      </c>
      <c r="L22" s="12">
        <f>IF((L20+L21)&lt;&gt;0,SUMIF(Mercado_Receita!$S$2:$S$1866,"44378A4DistribuiçãoNão se aplicaNão se aplicaNão se aplicaCealPonta",Mercado_Receita!$L$2:$L$1866)+SUMIF(Mercado_Receita!$S$2:$S$1866,"44378A4DistribuiçãoNão se aplicaNão se aplicaNão se aplicaCealFora ponta",Mercado_Receita!$L$2:$L$1866)+SUMIF(Mercado_Receita!$S$2:$S$1866,"44378A4DistribuiçãoNão se aplicaNão se aplicaNão se aplicaCealIntermediário",Mercado_Receita!$L$2:$L$1866)+SUMIF(Mercado_Receita!$S$2:$S$1866,"44378A4DistribuiçãoNão se aplicaNão se aplicaNão se aplicaCealNão se aplica",Mercado_Receita!$L$2:$L$1866),0)</f>
        <v>1596.17</v>
      </c>
      <c r="M22" s="12">
        <f>IF((M20+M21)&lt;&gt;0,SUMIF(Mercado_Receita!$S$2:$S$1866,"44409A4DistribuiçãoNão se aplicaNão se aplicaNão se aplicaCealPonta",Mercado_Receita!$L$2:$L$1866)+SUMIF(Mercado_Receita!$S$2:$S$1866,"44409A4DistribuiçãoNão se aplicaNão se aplicaNão se aplicaCealFora ponta",Mercado_Receita!$L$2:$L$1866)+SUMIF(Mercado_Receita!$S$2:$S$1866,"44409A4DistribuiçãoNão se aplicaNão se aplicaNão se aplicaCealIntermediário",Mercado_Receita!$L$2:$L$1866)+SUMIF(Mercado_Receita!$S$2:$S$1866,"44409A4DistribuiçãoNão se aplicaNão se aplicaNão se aplicaCealNão se aplica",Mercado_Receita!$L$2:$L$1866),0)</f>
        <v>1625.443</v>
      </c>
      <c r="N22" s="12">
        <f>IF((N20+N21)&lt;&gt;0,SUMIF(Mercado_Receita!$S$2:$S$1866,"44440A4DistribuiçãoNão se aplicaNão se aplicaNão se aplicaCealPonta",Mercado_Receita!$L$2:$L$1866)+SUMIF(Mercado_Receita!$S$2:$S$1866,"44440A4DistribuiçãoNão se aplicaNão se aplicaNão se aplicaCealFora ponta",Mercado_Receita!$L$2:$L$1866)+SUMIF(Mercado_Receita!$S$2:$S$1866,"44440A4DistribuiçãoNão se aplicaNão se aplicaNão se aplicaCealIntermediário",Mercado_Receita!$L$2:$L$1866)+SUMIF(Mercado_Receita!$S$2:$S$1866,"44440A4DistribuiçãoNão se aplicaNão se aplicaNão se aplicaCealNão se aplica",Mercado_Receita!$L$2:$L$1866),0)</f>
        <v>1615.0909999999999</v>
      </c>
      <c r="O22" s="12">
        <f>IF((O20+O21)&lt;&gt;0,SUMIF(Mercado_Receita!$S$2:$S$1866,"44470A4DistribuiçãoNão se aplicaNão se aplicaNão se aplicaCealPonta",Mercado_Receita!$L$2:$L$1866)+SUMIF(Mercado_Receita!$S$2:$S$1866,"44470A4DistribuiçãoNão se aplicaNão se aplicaNão se aplicaCealFora ponta",Mercado_Receita!$L$2:$L$1866)+SUMIF(Mercado_Receita!$S$2:$S$1866,"44470A4DistribuiçãoNão se aplicaNão se aplicaNão se aplicaCealIntermediário",Mercado_Receita!$L$2:$L$1866)+SUMIF(Mercado_Receita!$S$2:$S$1866,"44470A4DistribuiçãoNão se aplicaNão se aplicaNão se aplicaCealNão se aplica",Mercado_Receita!$L$2:$L$1866),0)</f>
        <v>1752.021</v>
      </c>
      <c r="P22" s="12">
        <f>IF((P20+P21)&lt;&gt;0,SUMIF(Mercado_Receita!$S$2:$S$1866,"44501A4DistribuiçãoNão se aplicaNão se aplicaNão se aplicaCealPonta",Mercado_Receita!$L$2:$L$1866)+SUMIF(Mercado_Receita!$S$2:$S$1866,"44501A4DistribuiçãoNão se aplicaNão se aplicaNão se aplicaCealFora ponta",Mercado_Receita!$L$2:$L$1866)+SUMIF(Mercado_Receita!$S$2:$S$1866,"44501A4DistribuiçãoNão se aplicaNão se aplicaNão se aplicaCealIntermediário",Mercado_Receita!$L$2:$L$1866)+SUMIF(Mercado_Receita!$S$2:$S$1866,"44501A4DistribuiçãoNão se aplicaNão se aplicaNão se aplicaCealNão se aplica",Mercado_Receita!$L$2:$L$1866),0)</f>
        <v>2026.8440000000001</v>
      </c>
      <c r="Q22" s="12">
        <f>IF((Q20+Q21)&lt;&gt;0,SUMIF(Mercado_Receita!$S$2:$S$1866,"44531A4DistribuiçãoNão se aplicaNão se aplicaNão se aplicaCealPonta",Mercado_Receita!$L$2:$L$1866)+SUMIF(Mercado_Receita!$S$2:$S$1866,"44531A4DistribuiçãoNão se aplicaNão se aplicaNão se aplicaCealFora ponta",Mercado_Receita!$L$2:$L$1866)+SUMIF(Mercado_Receita!$S$2:$S$1866,"44531A4DistribuiçãoNão se aplicaNão se aplicaNão se aplicaCealIntermediário",Mercado_Receita!$L$2:$L$1866)+SUMIF(Mercado_Receita!$S$2:$S$1866,"44531A4DistribuiçãoNão se aplicaNão se aplicaNão se aplicaCealNão se aplica",Mercado_Receita!$L$2:$L$1866),0)</f>
        <v>2068.3890000000001</v>
      </c>
      <c r="R22" s="12">
        <f>IF((R20+R21)&lt;&gt;0,SUMIF(Mercado_Receita!$S$2:$S$1866,"44562A4DistribuiçãoNão se aplicaNão se aplicaNão se aplicaCealPonta",Mercado_Receita!$L$2:$L$1866)+SUMIF(Mercado_Receita!$S$2:$S$1866,"44562A4DistribuiçãoNão se aplicaNão se aplicaNão se aplicaCealFora ponta",Mercado_Receita!$L$2:$L$1866)+SUMIF(Mercado_Receita!$S$2:$S$1866,"44562A4DistribuiçãoNão se aplicaNão se aplicaNão se aplicaCealIntermediário",Mercado_Receita!$L$2:$L$1866)+SUMIF(Mercado_Receita!$S$2:$S$1866,"44562A4DistribuiçãoNão se aplicaNão se aplicaNão se aplicaCealNão se aplica",Mercado_Receita!$L$2:$L$1866),0)</f>
        <v>2052.9780000000001</v>
      </c>
      <c r="S22" s="12">
        <f>IF((S20+S21)&lt;&gt;0,SUMIF(Mercado_Receita!$S$2:$S$1866,"44593A4DistribuiçãoNão se aplicaNão se aplicaNão se aplicaCealPonta",Mercado_Receita!$L$2:$L$1866)+SUMIF(Mercado_Receita!$S$2:$S$1866,"44593A4DistribuiçãoNão se aplicaNão se aplicaNão se aplicaCealFora ponta",Mercado_Receita!$L$2:$L$1866)+SUMIF(Mercado_Receita!$S$2:$S$1866,"44593A4DistribuiçãoNão se aplicaNão se aplicaNão se aplicaCealIntermediário",Mercado_Receita!$L$2:$L$1866)+SUMIF(Mercado_Receita!$S$2:$S$1866,"44593A4DistribuiçãoNão se aplicaNão se aplicaNão se aplicaCealNão se aplica",Mercado_Receita!$L$2:$L$1866),0)</f>
        <v>2104.1329999999998</v>
      </c>
      <c r="T22" s="12">
        <f>IF((T20+T21)&lt;&gt;0,SUMIF(Mercado_Receita!$S$2:$S$1866,"44621A4DistribuiçãoNão se aplicaNão se aplicaNão se aplicaCealPonta",Mercado_Receita!$L$2:$L$1866)+SUMIF(Mercado_Receita!$S$2:$S$1866,"44621A4DistribuiçãoNão se aplicaNão se aplicaNão se aplicaCealFora ponta",Mercado_Receita!$L$2:$L$1866)+SUMIF(Mercado_Receita!$S$2:$S$1866,"44621A4DistribuiçãoNão se aplicaNão se aplicaNão se aplicaCealIntermediário",Mercado_Receita!$L$2:$L$1866)+SUMIF(Mercado_Receita!$S$2:$S$1866,"44621A4DistribuiçãoNão se aplicaNão se aplicaNão se aplicaCealNão se aplica",Mercado_Receita!$L$2:$L$1866),0)</f>
        <v>2104.1329999999998</v>
      </c>
      <c r="U22" s="12">
        <f t="shared" si="0"/>
        <v>22761.96</v>
      </c>
      <c r="V22" s="12"/>
      <c r="W22" s="12"/>
    </row>
    <row r="23" spans="1:23" ht="11.25" customHeight="1" x14ac:dyDescent="0.25">
      <c r="A23" s="90"/>
      <c r="B23" s="90"/>
      <c r="C23" s="90"/>
      <c r="D23" s="90"/>
      <c r="E23" s="90"/>
      <c r="F23" s="89" t="s">
        <v>67</v>
      </c>
      <c r="G23" s="12" t="s">
        <v>100</v>
      </c>
      <c r="H23" s="12" t="s">
        <v>99</v>
      </c>
      <c r="I23" s="12">
        <f>SUMIF(Mercado_Receita!$S$2:$S$1866,"44287A4DistribuiçãoNão se aplicaNão se aplicaNão se aplicaCoelbaPonta",Mercado_Receita!$J$2:$J$1866)+SUMIF(Mercado_Receita!$S$2:$S$1866,"44287A4DistribuiçãoNão se aplicaNão se aplicaNão se aplicaCoelbaNão se aplica",Mercado_Receita!$J$2:$J$1866)*0.72</f>
        <v>6417</v>
      </c>
      <c r="J23" s="12">
        <f>SUMIF(Mercado_Receita!$S$2:$S$1866,"44317A4DistribuiçãoNão se aplicaNão se aplicaNão se aplicaCoelbaPonta",Mercado_Receita!$J$2:$J$1866)+SUMIF(Mercado_Receita!$S$2:$S$1866,"44317A4DistribuiçãoNão se aplicaNão se aplicaNão se aplicaCoelbaNão se aplica",Mercado_Receita!$J$2:$J$1866)*0.72</f>
        <v>6412</v>
      </c>
      <c r="K23" s="12">
        <f>SUMIF(Mercado_Receita!$S$2:$S$1866,"44348A4DistribuiçãoNão se aplicaNão se aplicaNão se aplicaCoelbaPonta",Mercado_Receita!$J$2:$J$1866)+SUMIF(Mercado_Receita!$S$2:$S$1866,"44348A4DistribuiçãoNão se aplicaNão se aplicaNão se aplicaCoelbaNão se aplica",Mercado_Receita!$J$2:$J$1866)*0.72</f>
        <v>6412</v>
      </c>
      <c r="L23" s="12">
        <f>SUMIF(Mercado_Receita!$S$2:$S$1866,"44378A4DistribuiçãoNão se aplicaNão se aplicaNão se aplicaCoelbaPonta",Mercado_Receita!$J$2:$J$1866)+SUMIF(Mercado_Receita!$S$2:$S$1866,"44378A4DistribuiçãoNão se aplicaNão se aplicaNão se aplicaCoelbaNão se aplica",Mercado_Receita!$J$2:$J$1866)*0.72</f>
        <v>6412</v>
      </c>
      <c r="M23" s="12">
        <f>SUMIF(Mercado_Receita!$S$2:$S$1866,"44409A4DistribuiçãoNão se aplicaNão se aplicaNão se aplicaCoelbaPonta",Mercado_Receita!$J$2:$J$1866)+SUMIF(Mercado_Receita!$S$2:$S$1866,"44409A4DistribuiçãoNão se aplicaNão se aplicaNão se aplicaCoelbaNão se aplica",Mercado_Receita!$J$2:$J$1866)*0.72</f>
        <v>6412</v>
      </c>
      <c r="N23" s="12">
        <f>SUMIF(Mercado_Receita!$S$2:$S$1866,"44440A4DistribuiçãoNão se aplicaNão se aplicaNão se aplicaCoelbaPonta",Mercado_Receita!$J$2:$J$1866)+SUMIF(Mercado_Receita!$S$2:$S$1866,"44440A4DistribuiçãoNão se aplicaNão se aplicaNão se aplicaCoelbaNão se aplica",Mercado_Receita!$J$2:$J$1866)*0.72</f>
        <v>6422</v>
      </c>
      <c r="O23" s="12">
        <f>SUMIF(Mercado_Receita!$S$2:$S$1866,"44470A4DistribuiçãoNão se aplicaNão se aplicaNão se aplicaCoelbaPonta",Mercado_Receita!$J$2:$J$1866)+SUMIF(Mercado_Receita!$S$2:$S$1866,"44470A4DistribuiçãoNão se aplicaNão se aplicaNão se aplicaCoelbaNão se aplica",Mercado_Receita!$J$2:$J$1866)*0.72</f>
        <v>6427</v>
      </c>
      <c r="P23" s="12">
        <f>SUMIF(Mercado_Receita!$S$2:$S$1866,"44501A4DistribuiçãoNão se aplicaNão se aplicaNão se aplicaCoelbaPonta",Mercado_Receita!$J$2:$J$1866)+SUMIF(Mercado_Receita!$S$2:$S$1866,"44501A4DistribuiçãoNão se aplicaNão se aplicaNão se aplicaCoelbaNão se aplica",Mercado_Receita!$J$2:$J$1866)*0.72</f>
        <v>6427</v>
      </c>
      <c r="Q23" s="12">
        <f>SUMIF(Mercado_Receita!$S$2:$S$1866,"44531A4DistribuiçãoNão se aplicaNão se aplicaNão se aplicaCoelbaPonta",Mercado_Receita!$J$2:$J$1866)+SUMIF(Mercado_Receita!$S$2:$S$1866,"44531A4DistribuiçãoNão se aplicaNão se aplicaNão se aplicaCoelbaNão se aplica",Mercado_Receita!$J$2:$J$1866)*0.72</f>
        <v>6896</v>
      </c>
      <c r="R23" s="12">
        <f>SUMIF(Mercado_Receita!$S$2:$S$1866,"44562A4DistribuiçãoNão se aplicaNão se aplicaNão se aplicaCoelbaPonta",Mercado_Receita!$J$2:$J$1866)+SUMIF(Mercado_Receita!$S$2:$S$1866,"44562A4DistribuiçãoNão se aplicaNão se aplicaNão se aplicaCoelbaNão se aplica",Mercado_Receita!$J$2:$J$1866)*0.72</f>
        <v>6412</v>
      </c>
      <c r="S23" s="12">
        <f>SUMIF(Mercado_Receita!$S$2:$S$1866,"44593A4DistribuiçãoNão se aplicaNão se aplicaNão se aplicaCoelbaPonta",Mercado_Receita!$J$2:$J$1866)+SUMIF(Mercado_Receita!$S$2:$S$1866,"44593A4DistribuiçãoNão se aplicaNão se aplicaNão se aplicaCoelbaNão se aplica",Mercado_Receita!$J$2:$J$1866)*0.72</f>
        <v>6412</v>
      </c>
      <c r="T23" s="12">
        <f>SUMIF(Mercado_Receita!$S$2:$S$1866,"44621A4DistribuiçãoNão se aplicaNão se aplicaNão se aplicaCoelbaPonta",Mercado_Receita!$J$2:$J$1866)+SUMIF(Mercado_Receita!$S$2:$S$1866,"44621A4DistribuiçãoNão se aplicaNão se aplicaNão se aplicaCoelbaNão se aplica",Mercado_Receita!$J$2:$J$1866)*0.72</f>
        <v>6412</v>
      </c>
      <c r="U23" s="12">
        <f t="shared" si="0"/>
        <v>77473</v>
      </c>
      <c r="V23" s="12"/>
      <c r="W23" s="12"/>
    </row>
    <row r="24" spans="1:23" ht="11.25" customHeight="1" x14ac:dyDescent="0.25">
      <c r="A24" s="90"/>
      <c r="B24" s="90"/>
      <c r="C24" s="90"/>
      <c r="D24" s="90"/>
      <c r="E24" s="90"/>
      <c r="F24" s="90"/>
      <c r="G24" s="12" t="s">
        <v>101</v>
      </c>
      <c r="H24" s="12" t="s">
        <v>99</v>
      </c>
      <c r="I24" s="12">
        <f>SUMIF(Mercado_Receita!$S$2:$S$1866,"44287A4DistribuiçãoNão se aplicaNão se aplicaNão se aplicaCoelbaFora ponta",Mercado_Receita!$J$2:$J$1866)+SUMIF(Mercado_Receita!$S$2:$S$1866,"44287A4DistribuiçãoNão se aplicaNão se aplicaNão se aplicaCoelbaNão se aplica",Mercado_Receita!$J$2:$J$1866)*1</f>
        <v>6331</v>
      </c>
      <c r="J24" s="12">
        <f>SUMIF(Mercado_Receita!$S$2:$S$1866,"44317A4DistribuiçãoNão se aplicaNão se aplicaNão se aplicaCoelbaFora ponta",Mercado_Receita!$J$2:$J$1866)+SUMIF(Mercado_Receita!$S$2:$S$1866,"44317A4DistribuiçãoNão se aplicaNão se aplicaNão se aplicaCoelbaNão se aplica",Mercado_Receita!$J$2:$J$1866)*1</f>
        <v>6331</v>
      </c>
      <c r="K24" s="12">
        <f>SUMIF(Mercado_Receita!$S$2:$S$1866,"44348A4DistribuiçãoNão se aplicaNão se aplicaNão se aplicaCoelbaFora ponta",Mercado_Receita!$J$2:$J$1866)+SUMIF(Mercado_Receita!$S$2:$S$1866,"44348A4DistribuiçãoNão se aplicaNão se aplicaNão se aplicaCoelbaNão se aplica",Mercado_Receita!$J$2:$J$1866)*1</f>
        <v>6331</v>
      </c>
      <c r="L24" s="12">
        <f>SUMIF(Mercado_Receita!$S$2:$S$1866,"44378A4DistribuiçãoNão se aplicaNão se aplicaNão se aplicaCoelbaFora ponta",Mercado_Receita!$J$2:$J$1866)+SUMIF(Mercado_Receita!$S$2:$S$1866,"44378A4DistribuiçãoNão se aplicaNão se aplicaNão se aplicaCoelbaNão se aplica",Mercado_Receita!$J$2:$J$1866)*1</f>
        <v>6331</v>
      </c>
      <c r="M24" s="12">
        <f>SUMIF(Mercado_Receita!$S$2:$S$1866,"44409A4DistribuiçãoNão se aplicaNão se aplicaNão se aplicaCoelbaFora ponta",Mercado_Receita!$J$2:$J$1866)+SUMIF(Mercado_Receita!$S$2:$S$1866,"44409A4DistribuiçãoNão se aplicaNão se aplicaNão se aplicaCoelbaNão se aplica",Mercado_Receita!$J$2:$J$1866)*1</f>
        <v>6331</v>
      </c>
      <c r="N24" s="12">
        <f>SUMIF(Mercado_Receita!$S$2:$S$1866,"44440A4DistribuiçãoNão se aplicaNão se aplicaNão se aplicaCoelbaFora ponta",Mercado_Receita!$J$2:$J$1866)+SUMIF(Mercado_Receita!$S$2:$S$1866,"44440A4DistribuiçãoNão se aplicaNão se aplicaNão se aplicaCoelbaNão se aplica",Mercado_Receita!$J$2:$J$1866)*1</f>
        <v>6331</v>
      </c>
      <c r="O24" s="12">
        <f>SUMIF(Mercado_Receita!$S$2:$S$1866,"44470A4DistribuiçãoNão se aplicaNão se aplicaNão se aplicaCoelbaFora ponta",Mercado_Receita!$J$2:$J$1866)+SUMIF(Mercado_Receita!$S$2:$S$1866,"44470A4DistribuiçãoNão se aplicaNão se aplicaNão se aplicaCoelbaNão se aplica",Mercado_Receita!$J$2:$J$1866)*1</f>
        <v>6331</v>
      </c>
      <c r="P24" s="12">
        <f>SUMIF(Mercado_Receita!$S$2:$S$1866,"44501A4DistribuiçãoNão se aplicaNão se aplicaNão se aplicaCoelbaFora ponta",Mercado_Receita!$J$2:$J$1866)+SUMIF(Mercado_Receita!$S$2:$S$1866,"44501A4DistribuiçãoNão se aplicaNão se aplicaNão se aplicaCoelbaNão se aplica",Mercado_Receita!$J$2:$J$1866)*1</f>
        <v>6331</v>
      </c>
      <c r="Q24" s="12">
        <f>SUMIF(Mercado_Receita!$S$2:$S$1866,"44531A4DistribuiçãoNão se aplicaNão se aplicaNão se aplicaCoelbaFora ponta",Mercado_Receita!$J$2:$J$1866)+SUMIF(Mercado_Receita!$S$2:$S$1866,"44531A4DistribuiçãoNão se aplicaNão se aplicaNão se aplicaCoelbaNão se aplica",Mercado_Receita!$J$2:$J$1866)*1</f>
        <v>6478</v>
      </c>
      <c r="R24" s="12">
        <f>SUMIF(Mercado_Receita!$S$2:$S$1866,"44562A4DistribuiçãoNão se aplicaNão se aplicaNão se aplicaCoelbaFora ponta",Mercado_Receita!$J$2:$J$1866)+SUMIF(Mercado_Receita!$S$2:$S$1866,"44562A4DistribuiçãoNão se aplicaNão se aplicaNão se aplicaCoelbaNão se aplica",Mercado_Receita!$J$2:$J$1866)*1</f>
        <v>6331</v>
      </c>
      <c r="S24" s="12">
        <f>SUMIF(Mercado_Receita!$S$2:$S$1866,"44593A4DistribuiçãoNão se aplicaNão se aplicaNão se aplicaCoelbaFora ponta",Mercado_Receita!$J$2:$J$1866)+SUMIF(Mercado_Receita!$S$2:$S$1866,"44593A4DistribuiçãoNão se aplicaNão se aplicaNão se aplicaCoelbaNão se aplica",Mercado_Receita!$J$2:$J$1866)*1</f>
        <v>6331</v>
      </c>
      <c r="T24" s="12">
        <f>SUMIF(Mercado_Receita!$S$2:$S$1866,"44621A4DistribuiçãoNão se aplicaNão se aplicaNão se aplicaCoelbaFora ponta",Mercado_Receita!$J$2:$J$1866)+SUMIF(Mercado_Receita!$S$2:$S$1866,"44621A4DistribuiçãoNão se aplicaNão se aplicaNão se aplicaCoelbaNão se aplica",Mercado_Receita!$J$2:$J$1866)*1</f>
        <v>6331</v>
      </c>
      <c r="U24" s="12">
        <f t="shared" si="0"/>
        <v>76119</v>
      </c>
      <c r="V24" s="12"/>
      <c r="W24" s="12"/>
    </row>
    <row r="25" spans="1:23" ht="11.25" customHeight="1" x14ac:dyDescent="0.25">
      <c r="A25" s="90"/>
      <c r="B25" s="90"/>
      <c r="C25" s="90"/>
      <c r="D25" s="90"/>
      <c r="E25" s="90"/>
      <c r="F25" s="90"/>
      <c r="G25" s="12" t="s">
        <v>98</v>
      </c>
      <c r="H25" s="12" t="s">
        <v>93</v>
      </c>
      <c r="I25" s="12">
        <f>IF((I23+I24)&lt;&gt;0,SUMIF(Mercado_Receita!$S$2:$S$1866,"44287A4DistribuiçãoNão se aplicaNão se aplicaNão se aplicaCoelbaPonta",Mercado_Receita!$L$2:$L$1866)+SUMIF(Mercado_Receita!$S$2:$S$1866,"44287A4DistribuiçãoNão se aplicaNão se aplicaNão se aplicaCoelbaFora ponta",Mercado_Receita!$L$2:$L$1866)+SUMIF(Mercado_Receita!$S$2:$S$1866,"44287A4DistribuiçãoNão se aplicaNão se aplicaNão se aplicaCoelbaIntermediário",Mercado_Receita!$L$2:$L$1866)+SUMIF(Mercado_Receita!$S$2:$S$1866,"44287A4DistribuiçãoNão se aplicaNão se aplicaNão se aplicaCoelbaNão se aplica",Mercado_Receita!$L$2:$L$1866),0)</f>
        <v>2165.0329999999999</v>
      </c>
      <c r="J25" s="12">
        <f>IF((J23+J24)&lt;&gt;0,SUMIF(Mercado_Receita!$S$2:$S$1866,"44317A4DistribuiçãoNão se aplicaNão se aplicaNão se aplicaCoelbaPonta",Mercado_Receita!$L$2:$L$1866)+SUMIF(Mercado_Receita!$S$2:$S$1866,"44317A4DistribuiçãoNão se aplicaNão se aplicaNão se aplicaCoelbaFora ponta",Mercado_Receita!$L$2:$L$1866)+SUMIF(Mercado_Receita!$S$2:$S$1866,"44317A4DistribuiçãoNão se aplicaNão se aplicaNão se aplicaCoelbaIntermediário",Mercado_Receita!$L$2:$L$1866)+SUMIF(Mercado_Receita!$S$2:$S$1866,"44317A4DistribuiçãoNão se aplicaNão se aplicaNão se aplicaCoelbaNão se aplica",Mercado_Receita!$L$2:$L$1866),0)</f>
        <v>2015.944</v>
      </c>
      <c r="K25" s="12">
        <f>IF((K23+K24)&lt;&gt;0,SUMIF(Mercado_Receita!$S$2:$S$1866,"44348A4DistribuiçãoNão se aplicaNão se aplicaNão se aplicaCoelbaPonta",Mercado_Receita!$L$2:$L$1866)+SUMIF(Mercado_Receita!$S$2:$S$1866,"44348A4DistribuiçãoNão se aplicaNão se aplicaNão se aplicaCoelbaFora ponta",Mercado_Receita!$L$2:$L$1866)+SUMIF(Mercado_Receita!$S$2:$S$1866,"44348A4DistribuiçãoNão se aplicaNão se aplicaNão se aplicaCoelbaIntermediário",Mercado_Receita!$L$2:$L$1866)+SUMIF(Mercado_Receita!$S$2:$S$1866,"44348A4DistribuiçãoNão se aplicaNão se aplicaNão se aplicaCoelbaNão se aplica",Mercado_Receita!$L$2:$L$1866),0)</f>
        <v>1925.34</v>
      </c>
      <c r="L25" s="12">
        <f>IF((L23+L24)&lt;&gt;0,SUMIF(Mercado_Receita!$S$2:$S$1866,"44378A4DistribuiçãoNão se aplicaNão se aplicaNão se aplicaCoelbaPonta",Mercado_Receita!$L$2:$L$1866)+SUMIF(Mercado_Receita!$S$2:$S$1866,"44378A4DistribuiçãoNão se aplicaNão se aplicaNão se aplicaCoelbaFora ponta",Mercado_Receita!$L$2:$L$1866)+SUMIF(Mercado_Receita!$S$2:$S$1866,"44378A4DistribuiçãoNão se aplicaNão se aplicaNão se aplicaCoelbaIntermediário",Mercado_Receita!$L$2:$L$1866)+SUMIF(Mercado_Receita!$S$2:$S$1866,"44378A4DistribuiçãoNão se aplicaNão se aplicaNão se aplicaCoelbaNão se aplica",Mercado_Receita!$L$2:$L$1866),0)</f>
        <v>1852.33</v>
      </c>
      <c r="M25" s="12">
        <f>IF((M23+M24)&lt;&gt;0,SUMIF(Mercado_Receita!$S$2:$S$1866,"44409A4DistribuiçãoNão se aplicaNão se aplicaNão se aplicaCoelbaPonta",Mercado_Receita!$L$2:$L$1866)+SUMIF(Mercado_Receita!$S$2:$S$1866,"44409A4DistribuiçãoNão se aplicaNão se aplicaNão se aplicaCoelbaFora ponta",Mercado_Receita!$L$2:$L$1866)+SUMIF(Mercado_Receita!$S$2:$S$1866,"44409A4DistribuiçãoNão se aplicaNão se aplicaNão se aplicaCoelbaIntermediário",Mercado_Receita!$L$2:$L$1866)+SUMIF(Mercado_Receita!$S$2:$S$1866,"44409A4DistribuiçãoNão se aplicaNão se aplicaNão se aplicaCoelbaNão se aplica",Mercado_Receita!$L$2:$L$1866),0)</f>
        <v>1840.6289999999999</v>
      </c>
      <c r="N25" s="12">
        <f>IF((N23+N24)&lt;&gt;0,SUMIF(Mercado_Receita!$S$2:$S$1866,"44440A4DistribuiçãoNão se aplicaNão se aplicaNão se aplicaCoelbaPonta",Mercado_Receita!$L$2:$L$1866)+SUMIF(Mercado_Receita!$S$2:$S$1866,"44440A4DistribuiçãoNão se aplicaNão se aplicaNão se aplicaCoelbaFora ponta",Mercado_Receita!$L$2:$L$1866)+SUMIF(Mercado_Receita!$S$2:$S$1866,"44440A4DistribuiçãoNão se aplicaNão se aplicaNão se aplicaCoelbaIntermediário",Mercado_Receita!$L$2:$L$1866)+SUMIF(Mercado_Receita!$S$2:$S$1866,"44440A4DistribuiçãoNão se aplicaNão se aplicaNão se aplicaCoelbaNão se aplica",Mercado_Receita!$L$2:$L$1866),0)</f>
        <v>1839.097</v>
      </c>
      <c r="O25" s="12">
        <f>IF((O23+O24)&lt;&gt;0,SUMIF(Mercado_Receita!$S$2:$S$1866,"44470A4DistribuiçãoNão se aplicaNão se aplicaNão se aplicaCoelbaPonta",Mercado_Receita!$L$2:$L$1866)+SUMIF(Mercado_Receita!$S$2:$S$1866,"44470A4DistribuiçãoNão se aplicaNão se aplicaNão se aplicaCoelbaFora ponta",Mercado_Receita!$L$2:$L$1866)+SUMIF(Mercado_Receita!$S$2:$S$1866,"44470A4DistribuiçãoNão se aplicaNão se aplicaNão se aplicaCoelbaIntermediário",Mercado_Receita!$L$2:$L$1866)+SUMIF(Mercado_Receita!$S$2:$S$1866,"44470A4DistribuiçãoNão se aplicaNão se aplicaNão se aplicaCoelbaNão se aplica",Mercado_Receita!$L$2:$L$1866),0)</f>
        <v>1905.72</v>
      </c>
      <c r="P25" s="12">
        <f>IF((P23+P24)&lt;&gt;0,SUMIF(Mercado_Receita!$S$2:$S$1866,"44501A4DistribuiçãoNão se aplicaNão se aplicaNão se aplicaCoelbaPonta",Mercado_Receita!$L$2:$L$1866)+SUMIF(Mercado_Receita!$S$2:$S$1866,"44501A4DistribuiçãoNão se aplicaNão se aplicaNão se aplicaCoelbaFora ponta",Mercado_Receita!$L$2:$L$1866)+SUMIF(Mercado_Receita!$S$2:$S$1866,"44501A4DistribuiçãoNão se aplicaNão se aplicaNão se aplicaCoelbaIntermediário",Mercado_Receita!$L$2:$L$1866)+SUMIF(Mercado_Receita!$S$2:$S$1866,"44501A4DistribuiçãoNão se aplicaNão se aplicaNão se aplicaCoelbaNão se aplica",Mercado_Receita!$L$2:$L$1866),0)</f>
        <v>2054.6640000000002</v>
      </c>
      <c r="Q25" s="12">
        <f>IF((Q23+Q24)&lt;&gt;0,SUMIF(Mercado_Receita!$S$2:$S$1866,"44531A4DistribuiçãoNão se aplicaNão se aplicaNão se aplicaCoelbaPonta",Mercado_Receita!$L$2:$L$1866)+SUMIF(Mercado_Receita!$S$2:$S$1866,"44531A4DistribuiçãoNão se aplicaNão se aplicaNão se aplicaCoelbaFora ponta",Mercado_Receita!$L$2:$L$1866)+SUMIF(Mercado_Receita!$S$2:$S$1866,"44531A4DistribuiçãoNão se aplicaNão se aplicaNão se aplicaCoelbaIntermediário",Mercado_Receita!$L$2:$L$1866)+SUMIF(Mercado_Receita!$S$2:$S$1866,"44531A4DistribuiçãoNão se aplicaNão se aplicaNão se aplicaCoelbaNão se aplica",Mercado_Receita!$L$2:$L$1866),0)</f>
        <v>2139.694</v>
      </c>
      <c r="R25" s="12">
        <f>IF((R23+R24)&lt;&gt;0,SUMIF(Mercado_Receita!$S$2:$S$1866,"44562A4DistribuiçãoNão se aplicaNão se aplicaNão se aplicaCoelbaPonta",Mercado_Receita!$L$2:$L$1866)+SUMIF(Mercado_Receita!$S$2:$S$1866,"44562A4DistribuiçãoNão se aplicaNão se aplicaNão se aplicaCoelbaFora ponta",Mercado_Receita!$L$2:$L$1866)+SUMIF(Mercado_Receita!$S$2:$S$1866,"44562A4DistribuiçãoNão se aplicaNão se aplicaNão se aplicaCoelbaIntermediário",Mercado_Receita!$L$2:$L$1866)+SUMIF(Mercado_Receita!$S$2:$S$1866,"44562A4DistribuiçãoNão se aplicaNão se aplicaNão se aplicaCoelbaNão se aplica",Mercado_Receita!$L$2:$L$1866),0)</f>
        <v>2035.79</v>
      </c>
      <c r="S25" s="12">
        <f>IF((S23+S24)&lt;&gt;0,SUMIF(Mercado_Receita!$S$2:$S$1866,"44593A4DistribuiçãoNão se aplicaNão se aplicaNão se aplicaCoelbaPonta",Mercado_Receita!$L$2:$L$1866)+SUMIF(Mercado_Receita!$S$2:$S$1866,"44593A4DistribuiçãoNão se aplicaNão se aplicaNão se aplicaCoelbaFora ponta",Mercado_Receita!$L$2:$L$1866)+SUMIF(Mercado_Receita!$S$2:$S$1866,"44593A4DistribuiçãoNão se aplicaNão se aplicaNão se aplicaCoelbaIntermediário",Mercado_Receita!$L$2:$L$1866)+SUMIF(Mercado_Receita!$S$2:$S$1866,"44593A4DistribuiçãoNão se aplicaNão se aplicaNão se aplicaCoelbaNão se aplica",Mercado_Receita!$L$2:$L$1866),0)</f>
        <v>2067.6849999999999</v>
      </c>
      <c r="T25" s="12">
        <f>IF((T23+T24)&lt;&gt;0,SUMIF(Mercado_Receita!$S$2:$S$1866,"44621A4DistribuiçãoNão se aplicaNão se aplicaNão se aplicaCoelbaPonta",Mercado_Receita!$L$2:$L$1866)+SUMIF(Mercado_Receita!$S$2:$S$1866,"44621A4DistribuiçãoNão se aplicaNão se aplicaNão se aplicaCoelbaFora ponta",Mercado_Receita!$L$2:$L$1866)+SUMIF(Mercado_Receita!$S$2:$S$1866,"44621A4DistribuiçãoNão se aplicaNão se aplicaNão se aplicaCoelbaIntermediário",Mercado_Receita!$L$2:$L$1866)+SUMIF(Mercado_Receita!$S$2:$S$1866,"44621A4DistribuiçãoNão se aplicaNão se aplicaNão se aplicaCoelbaNão se aplica",Mercado_Receita!$L$2:$L$1866),0)</f>
        <v>2067.6849999999999</v>
      </c>
      <c r="U25" s="12">
        <f t="shared" si="0"/>
        <v>23909.611000000004</v>
      </c>
      <c r="V25" s="12"/>
      <c r="W25" s="12"/>
    </row>
    <row r="26" spans="1:23" ht="11.25" customHeight="1" x14ac:dyDescent="0.25">
      <c r="A26" s="90"/>
      <c r="B26" s="13" t="s">
        <v>69</v>
      </c>
      <c r="C26" s="13" t="s">
        <v>25</v>
      </c>
      <c r="D26" s="13" t="s">
        <v>25</v>
      </c>
      <c r="E26" s="13" t="s">
        <v>25</v>
      </c>
      <c r="F26" s="13" t="s">
        <v>25</v>
      </c>
      <c r="G26" s="12" t="s">
        <v>9</v>
      </c>
      <c r="H26" s="12" t="s">
        <v>99</v>
      </c>
      <c r="I26" s="12">
        <f>SUMIF(Mercado_Receita!$S$2:$S$1866,"44287A4GeraçãoNão se aplicaNão se aplicaNão se aplicaNão se aplicaNão se aplica",Mercado_Receita!$J$2:$J$1866)+SUMIF(Mercado_Receita!$S$2:$S$1866,"44287A4GeraçãoNão se aplicaNão se aplicaAPENão se aplicaNão se aplica",Mercado_Receita!$J$2:$J$1866)</f>
        <v>2196</v>
      </c>
      <c r="J26" s="12">
        <f>SUMIF(Mercado_Receita!$S$2:$S$1866,"44317A4GeraçãoNão se aplicaNão se aplicaNão se aplicaNão se aplicaNão se aplica",Mercado_Receita!$J$2:$J$1866)+SUMIF(Mercado_Receita!$S$2:$S$1866,"44317A4GeraçãoNão se aplicaNão se aplicaAPENão se aplicaNão se aplica",Mercado_Receita!$J$2:$J$1866)</f>
        <v>2252</v>
      </c>
      <c r="K26" s="12">
        <f>SUMIF(Mercado_Receita!$S$2:$S$1866,"44348A4GeraçãoNão se aplicaNão se aplicaNão se aplicaNão se aplicaNão se aplica",Mercado_Receita!$J$2:$J$1866)+SUMIF(Mercado_Receita!$S$2:$S$1866,"44348A4GeraçãoNão se aplicaNão se aplicaAPENão se aplicaNão se aplica",Mercado_Receita!$J$2:$J$1866)</f>
        <v>1000</v>
      </c>
      <c r="L26" s="12">
        <f>SUMIF(Mercado_Receita!$S$2:$S$1866,"44378A4GeraçãoNão se aplicaNão se aplicaNão se aplicaNão se aplicaNão se aplica",Mercado_Receita!$J$2:$J$1866)+SUMIF(Mercado_Receita!$S$2:$S$1866,"44378A4GeraçãoNão se aplicaNão se aplicaAPENão se aplicaNão se aplica",Mercado_Receita!$J$2:$J$1866)</f>
        <v>1000</v>
      </c>
      <c r="M26" s="12">
        <f>SUMIF(Mercado_Receita!$S$2:$S$1866,"44409A4GeraçãoNão se aplicaNão se aplicaNão se aplicaNão se aplicaNão se aplica",Mercado_Receita!$J$2:$J$1866)+SUMIF(Mercado_Receita!$S$2:$S$1866,"44409A4GeraçãoNão se aplicaNão se aplicaAPENão se aplicaNão se aplica",Mercado_Receita!$J$2:$J$1866)</f>
        <v>600</v>
      </c>
      <c r="N26" s="12">
        <f>SUMIF(Mercado_Receita!$S$2:$S$1866,"44440A4GeraçãoNão se aplicaNão se aplicaNão se aplicaNão se aplicaNão se aplica",Mercado_Receita!$J$2:$J$1866)+SUMIF(Mercado_Receita!$S$2:$S$1866,"44440A4GeraçãoNão se aplicaNão se aplicaAPENão se aplicaNão se aplica",Mercado_Receita!$J$2:$J$1866)</f>
        <v>0</v>
      </c>
      <c r="O26" s="12">
        <f>SUMIF(Mercado_Receita!$S$2:$S$1866,"44470A4GeraçãoNão se aplicaNão se aplicaNão se aplicaNão se aplicaNão se aplica",Mercado_Receita!$J$2:$J$1866)+SUMIF(Mercado_Receita!$S$2:$S$1866,"44470A4GeraçãoNão se aplicaNão se aplicaAPENão se aplicaNão se aplica",Mercado_Receita!$J$2:$J$1866)</f>
        <v>0</v>
      </c>
      <c r="P26" s="12">
        <f>SUMIF(Mercado_Receita!$S$2:$S$1866,"44501A4GeraçãoNão se aplicaNão se aplicaNão se aplicaNão se aplicaNão se aplica",Mercado_Receita!$J$2:$J$1866)+SUMIF(Mercado_Receita!$S$2:$S$1866,"44501A4GeraçãoNão se aplicaNão se aplicaAPENão se aplicaNão se aplica",Mercado_Receita!$J$2:$J$1866)</f>
        <v>92</v>
      </c>
      <c r="Q26" s="12">
        <f>SUMIF(Mercado_Receita!$S$2:$S$1866,"44531A4GeraçãoNão se aplicaNão se aplicaNão se aplicaNão se aplicaNão se aplica",Mercado_Receita!$J$2:$J$1866)+SUMIF(Mercado_Receita!$S$2:$S$1866,"44531A4GeraçãoNão se aplicaNão se aplicaAPENão se aplicaNão se aplica",Mercado_Receita!$J$2:$J$1866)</f>
        <v>0</v>
      </c>
      <c r="R26" s="12">
        <f>SUMIF(Mercado_Receita!$S$2:$S$1866,"44562A4GeraçãoNão se aplicaNão se aplicaNão se aplicaNão se aplicaNão se aplica",Mercado_Receita!$J$2:$J$1866)+SUMIF(Mercado_Receita!$S$2:$S$1866,"44562A4GeraçãoNão se aplicaNão se aplicaAPENão se aplicaNão se aplica",Mercado_Receita!$J$2:$J$1866)</f>
        <v>0</v>
      </c>
      <c r="S26" s="12">
        <f>SUMIF(Mercado_Receita!$S$2:$S$1866,"44593A4GeraçãoNão se aplicaNão se aplicaNão se aplicaNão se aplicaNão se aplica",Mercado_Receita!$J$2:$J$1866)+SUMIF(Mercado_Receita!$S$2:$S$1866,"44593A4GeraçãoNão se aplicaNão se aplicaAPENão se aplicaNão se aplica",Mercado_Receita!$J$2:$J$1866)</f>
        <v>0</v>
      </c>
      <c r="T26" s="12">
        <f>SUMIF(Mercado_Receita!$S$2:$S$1866,"44621A4GeraçãoNão se aplicaNão se aplicaNão se aplicaNão se aplicaNão se aplica",Mercado_Receita!$J$2:$J$1866)+SUMIF(Mercado_Receita!$S$2:$S$1866,"44621A4GeraçãoNão se aplicaNão se aplicaAPENão se aplicaNão se aplica",Mercado_Receita!$J$2:$J$1866)</f>
        <v>0</v>
      </c>
      <c r="U26" s="12">
        <f t="shared" si="0"/>
        <v>7140</v>
      </c>
      <c r="V26" s="12"/>
      <c r="W26" s="12"/>
    </row>
    <row r="27" spans="1:23" ht="11.25" customHeight="1" x14ac:dyDescent="0.25">
      <c r="A27" s="90"/>
      <c r="B27" s="89" t="s">
        <v>42</v>
      </c>
      <c r="C27" s="89" t="s">
        <v>25</v>
      </c>
      <c r="D27" s="89" t="s">
        <v>25</v>
      </c>
      <c r="E27" s="89" t="s">
        <v>25</v>
      </c>
      <c r="F27" s="89" t="s">
        <v>25</v>
      </c>
      <c r="G27" s="12" t="s">
        <v>9</v>
      </c>
      <c r="H27" s="12" t="s">
        <v>99</v>
      </c>
      <c r="I27" s="12">
        <f>SUMIF(Mercado_Receita!$S$2:$S$1866,"44287A4VerdeNão se aplicaNão se aplicaNão se aplicaNão se aplicaNão se aplica",Mercado_Receita!$J$2:$J$1866)+SUMIF(Mercado_Receita!$S$2:$S$1866,"44287A4VerdeNão se aplicaNão se aplicaAPENão se aplicaNão se aplica",Mercado_Receita!$J$2:$J$1866)</f>
        <v>180154</v>
      </c>
      <c r="J27" s="12">
        <f>SUMIF(Mercado_Receita!$S$2:$S$1866,"44317A4VerdeNão se aplicaNão se aplicaNão se aplicaNão se aplicaNão se aplica",Mercado_Receita!$J$2:$J$1866)+SUMIF(Mercado_Receita!$S$2:$S$1866,"44317A4VerdeNão se aplicaNão se aplicaAPENão se aplicaNão se aplica",Mercado_Receita!$J$2:$J$1866)</f>
        <v>175414</v>
      </c>
      <c r="K27" s="12">
        <f>SUMIF(Mercado_Receita!$S$2:$S$1866,"44348A4VerdeNão se aplicaNão se aplicaNão se aplicaNão se aplicaNão se aplica",Mercado_Receita!$J$2:$J$1866)+SUMIF(Mercado_Receita!$S$2:$S$1866,"44348A4VerdeNão se aplicaNão se aplicaAPENão se aplicaNão se aplica",Mercado_Receita!$J$2:$J$1866)</f>
        <v>169791</v>
      </c>
      <c r="L27" s="12">
        <f>SUMIF(Mercado_Receita!$S$2:$S$1866,"44378A4VerdeNão se aplicaNão se aplicaNão se aplicaNão se aplicaNão se aplica",Mercado_Receita!$J$2:$J$1866)+SUMIF(Mercado_Receita!$S$2:$S$1866,"44378A4VerdeNão se aplicaNão se aplicaAPENão se aplicaNão se aplica",Mercado_Receita!$J$2:$J$1866)</f>
        <v>170364</v>
      </c>
      <c r="M27" s="12">
        <f>SUMIF(Mercado_Receita!$S$2:$S$1866,"44409A4VerdeNão se aplicaNão se aplicaNão se aplicaNão se aplicaNão se aplica",Mercado_Receita!$J$2:$J$1866)+SUMIF(Mercado_Receita!$S$2:$S$1866,"44409A4VerdeNão se aplicaNão se aplicaAPENão se aplicaNão se aplica",Mercado_Receita!$J$2:$J$1866)</f>
        <v>169428</v>
      </c>
      <c r="N27" s="12">
        <f>SUMIF(Mercado_Receita!$S$2:$S$1866,"44440A4VerdeNão se aplicaNão se aplicaNão se aplicaNão se aplicaNão se aplica",Mercado_Receita!$J$2:$J$1866)+SUMIF(Mercado_Receita!$S$2:$S$1866,"44440A4VerdeNão se aplicaNão se aplicaAPENão se aplicaNão se aplica",Mercado_Receita!$J$2:$J$1866)</f>
        <v>175616</v>
      </c>
      <c r="O27" s="12">
        <f>SUMIF(Mercado_Receita!$S$2:$S$1866,"44470A4VerdeNão se aplicaNão se aplicaNão se aplicaNão se aplicaNão se aplica",Mercado_Receita!$J$2:$J$1866)+SUMIF(Mercado_Receita!$S$2:$S$1866,"44470A4VerdeNão se aplicaNão se aplicaAPENão se aplicaNão se aplica",Mercado_Receita!$J$2:$J$1866)</f>
        <v>176772</v>
      </c>
      <c r="P27" s="12">
        <f>SUMIF(Mercado_Receita!$S$2:$S$1866,"44501A4VerdeNão se aplicaNão se aplicaNão se aplicaNão se aplicaNão se aplica",Mercado_Receita!$J$2:$J$1866)+SUMIF(Mercado_Receita!$S$2:$S$1866,"44501A4VerdeNão se aplicaNão se aplicaAPENão se aplicaNão se aplica",Mercado_Receita!$J$2:$J$1866)</f>
        <v>180600</v>
      </c>
      <c r="Q27" s="12">
        <f>SUMIF(Mercado_Receita!$S$2:$S$1866,"44531A4VerdeNão se aplicaNão se aplicaNão se aplicaNão se aplicaNão se aplica",Mercado_Receita!$J$2:$J$1866)+SUMIF(Mercado_Receita!$S$2:$S$1866,"44531A4VerdeNão se aplicaNão se aplicaAPENão se aplicaNão se aplica",Mercado_Receita!$J$2:$J$1866)</f>
        <v>178998</v>
      </c>
      <c r="R27" s="12">
        <f>SUMIF(Mercado_Receita!$S$2:$S$1866,"44562A4VerdeNão se aplicaNão se aplicaNão se aplicaNão se aplicaNão se aplica",Mercado_Receita!$J$2:$J$1866)+SUMIF(Mercado_Receita!$S$2:$S$1866,"44562A4VerdeNão se aplicaNão se aplicaAPENão se aplicaNão se aplica",Mercado_Receita!$J$2:$J$1866)</f>
        <v>179177</v>
      </c>
      <c r="S27" s="12">
        <f>SUMIF(Mercado_Receita!$S$2:$S$1866,"44593A4VerdeNão se aplicaNão se aplicaNão se aplicaNão se aplicaNão se aplica",Mercado_Receita!$J$2:$J$1866)+SUMIF(Mercado_Receita!$S$2:$S$1866,"44593A4VerdeNão se aplicaNão se aplicaAPENão se aplicaNão se aplica",Mercado_Receita!$J$2:$J$1866)</f>
        <v>180522</v>
      </c>
      <c r="T27" s="12">
        <f>SUMIF(Mercado_Receita!$S$2:$S$1866,"44621A4VerdeNão se aplicaNão se aplicaNão se aplicaNão se aplicaNão se aplica",Mercado_Receita!$J$2:$J$1866)+SUMIF(Mercado_Receita!$S$2:$S$1866,"44621A4VerdeNão se aplicaNão se aplicaAPENão se aplicaNão se aplica",Mercado_Receita!$J$2:$J$1866)</f>
        <v>180522</v>
      </c>
      <c r="U27" s="12">
        <f t="shared" si="0"/>
        <v>2117358</v>
      </c>
      <c r="V27" s="12"/>
      <c r="W27" s="12"/>
    </row>
    <row r="28" spans="1:23" ht="11.25" customHeight="1" x14ac:dyDescent="0.25">
      <c r="A28" s="90"/>
      <c r="B28" s="90"/>
      <c r="C28" s="90"/>
      <c r="D28" s="90"/>
      <c r="E28" s="90"/>
      <c r="F28" s="90"/>
      <c r="G28" s="12" t="s">
        <v>94</v>
      </c>
      <c r="H28" s="12" t="s">
        <v>93</v>
      </c>
      <c r="I28" s="12">
        <f>SUMIF(Mercado_Receita!$S$2:$S$1866,"44287A4VerdeNão se aplicaNão se aplicaNão se aplicaNão se aplicaPonta",Mercado_Receita!$L$2:$L$1866)</f>
        <v>2574.6299999999997</v>
      </c>
      <c r="J28" s="12">
        <f>SUMIF(Mercado_Receita!$S$2:$S$1866,"44317A4VerdeNão se aplicaNão se aplicaNão se aplicaNão se aplicaPonta",Mercado_Receita!$L$2:$L$1866)</f>
        <v>2614.2489999999998</v>
      </c>
      <c r="K28" s="12">
        <f>SUMIF(Mercado_Receita!$S$2:$S$1866,"44348A4VerdeNão se aplicaNão se aplicaNão se aplicaNão se aplicaPonta",Mercado_Receita!$L$2:$L$1866)</f>
        <v>2149.942</v>
      </c>
      <c r="L28" s="12">
        <f>SUMIF(Mercado_Receita!$S$2:$S$1866,"44378A4VerdeNão se aplicaNão se aplicaNão se aplicaNão se aplicaPonta",Mercado_Receita!$L$2:$L$1866)</f>
        <v>2243.4790000000003</v>
      </c>
      <c r="M28" s="12">
        <f>SUMIF(Mercado_Receita!$S$2:$S$1866,"44409A4VerdeNão se aplicaNão se aplicaNão se aplicaNão se aplicaPonta",Mercado_Receita!$L$2:$L$1866)</f>
        <v>2114.9340000000002</v>
      </c>
      <c r="N28" s="12">
        <f>SUMIF(Mercado_Receita!$S$2:$S$1866,"44440A4VerdeNão se aplicaNão se aplicaNão se aplicaNão se aplicaPonta",Mercado_Receita!$L$2:$L$1866)</f>
        <v>2357.2240000000002</v>
      </c>
      <c r="O28" s="12">
        <f>SUMIF(Mercado_Receita!$S$2:$S$1866,"44470A4VerdeNão se aplicaNão se aplicaNão se aplicaNão se aplicaPonta",Mercado_Receita!$L$2:$L$1866)</f>
        <v>2400.491</v>
      </c>
      <c r="P28" s="12">
        <f>SUMIF(Mercado_Receita!$S$2:$S$1866,"44501A4VerdeNão se aplicaNão se aplicaNão se aplicaNão se aplicaPonta",Mercado_Receita!$L$2:$L$1866)</f>
        <v>2480.9880000000003</v>
      </c>
      <c r="Q28" s="12">
        <f>SUMIF(Mercado_Receita!$S$2:$S$1866,"44531A4VerdeNão se aplicaNão se aplicaNão se aplicaNão se aplicaPonta",Mercado_Receita!$L$2:$L$1866)</f>
        <v>2598.4749999999995</v>
      </c>
      <c r="R28" s="12">
        <f>SUMIF(Mercado_Receita!$S$2:$S$1866,"44562A4VerdeNão se aplicaNão se aplicaNão se aplicaNão se aplicaPonta",Mercado_Receita!$L$2:$L$1866)</f>
        <v>2678.6659999999993</v>
      </c>
      <c r="S28" s="12">
        <f>SUMIF(Mercado_Receita!$S$2:$S$1866,"44593A4VerdeNão se aplicaNão se aplicaNão se aplicaNão se aplicaPonta",Mercado_Receita!$L$2:$L$1866)</f>
        <v>2487.6039999999998</v>
      </c>
      <c r="T28" s="12">
        <f>SUMIF(Mercado_Receita!$S$2:$S$1866,"44621A4VerdeNão se aplicaNão se aplicaNão se aplicaNão se aplicaPonta",Mercado_Receita!$L$2:$L$1866)</f>
        <v>2487.6039999999998</v>
      </c>
      <c r="U28" s="12">
        <f t="shared" si="0"/>
        <v>29188.286</v>
      </c>
      <c r="V28" s="12"/>
      <c r="W28" s="12"/>
    </row>
    <row r="29" spans="1:23" ht="11.25" customHeight="1" x14ac:dyDescent="0.25">
      <c r="A29" s="90"/>
      <c r="B29" s="90"/>
      <c r="C29" s="90"/>
      <c r="D29" s="90"/>
      <c r="E29" s="90"/>
      <c r="F29" s="90"/>
      <c r="G29" s="12" t="s">
        <v>95</v>
      </c>
      <c r="H29" s="12" t="s">
        <v>93</v>
      </c>
      <c r="I29" s="12">
        <f>SUMIF(Mercado_Receita!$S$2:$S$1866,"44287A4VerdeNão se aplicaNão se aplicaNão se aplicaNão se aplicaFora ponta",Mercado_Receita!$L$2:$L$1866)</f>
        <v>38140.914000000004</v>
      </c>
      <c r="J29" s="12">
        <f>SUMIF(Mercado_Receita!$S$2:$S$1866,"44317A4VerdeNão se aplicaNão se aplicaNão se aplicaNão se aplicaFora ponta",Mercado_Receita!$L$2:$L$1866)</f>
        <v>34300.512999999992</v>
      </c>
      <c r="K29" s="12">
        <f>SUMIF(Mercado_Receita!$S$2:$S$1866,"44348A4VerdeNão se aplicaNão se aplicaNão se aplicaNão se aplicaFora ponta",Mercado_Receita!$L$2:$L$1866)</f>
        <v>30875.452000000005</v>
      </c>
      <c r="L29" s="12">
        <f>SUMIF(Mercado_Receita!$S$2:$S$1866,"44378A4VerdeNão se aplicaNão se aplicaNão se aplicaNão se aplicaFora ponta",Mercado_Receita!$L$2:$L$1866)</f>
        <v>30869.245000000003</v>
      </c>
      <c r="M29" s="12">
        <f>SUMIF(Mercado_Receita!$S$2:$S$1866,"44409A4VerdeNão se aplicaNão se aplicaNão se aplicaNão se aplicaFora ponta",Mercado_Receita!$L$2:$L$1866)</f>
        <v>32929.71</v>
      </c>
      <c r="N29" s="12">
        <f>SUMIF(Mercado_Receita!$S$2:$S$1866,"44440A4VerdeNão se aplicaNão se aplicaNão se aplicaNão se aplicaFora ponta",Mercado_Receita!$L$2:$L$1866)</f>
        <v>35449.382999999994</v>
      </c>
      <c r="O29" s="12">
        <f>SUMIF(Mercado_Receita!$S$2:$S$1866,"44470A4VerdeNão se aplicaNão se aplicaNão se aplicaNão se aplicaFora ponta",Mercado_Receita!$L$2:$L$1866)</f>
        <v>38633.049999999996</v>
      </c>
      <c r="P29" s="12">
        <f>SUMIF(Mercado_Receita!$S$2:$S$1866,"44501A4VerdeNão se aplicaNão se aplicaNão se aplicaNão se aplicaFora ponta",Mercado_Receita!$L$2:$L$1866)</f>
        <v>39576.009999999987</v>
      </c>
      <c r="Q29" s="12">
        <f>SUMIF(Mercado_Receita!$S$2:$S$1866,"44531A4VerdeNão se aplicaNão se aplicaNão se aplicaNão se aplicaFora ponta",Mercado_Receita!$L$2:$L$1866)</f>
        <v>37904.091</v>
      </c>
      <c r="R29" s="12">
        <f>SUMIF(Mercado_Receita!$S$2:$S$1866,"44562A4VerdeNão se aplicaNão se aplicaNão se aplicaNão se aplicaFora ponta",Mercado_Receita!$L$2:$L$1866)</f>
        <v>38946.515999999996</v>
      </c>
      <c r="S29" s="12">
        <f>SUMIF(Mercado_Receita!$S$2:$S$1866,"44593A4VerdeNão se aplicaNão se aplicaNão se aplicaNão se aplicaFora ponta",Mercado_Receita!$L$2:$L$1866)</f>
        <v>38868.095000000001</v>
      </c>
      <c r="T29" s="12">
        <f>SUMIF(Mercado_Receita!$S$2:$S$1866,"44621A4VerdeNão se aplicaNão se aplicaNão se aplicaNão se aplicaFora ponta",Mercado_Receita!$L$2:$L$1866)</f>
        <v>38868.095000000001</v>
      </c>
      <c r="U29" s="12">
        <f t="shared" si="0"/>
        <v>435361.07400000002</v>
      </c>
      <c r="V29" s="12"/>
      <c r="W29" s="12"/>
    </row>
    <row r="30" spans="1:23" ht="11.25" customHeight="1" x14ac:dyDescent="0.25">
      <c r="A30" s="90"/>
      <c r="B30" s="90"/>
      <c r="C30" s="90"/>
      <c r="D30" s="90"/>
      <c r="E30" s="89" t="s">
        <v>58</v>
      </c>
      <c r="F30" s="89" t="s">
        <v>25</v>
      </c>
      <c r="G30" s="12" t="s">
        <v>94</v>
      </c>
      <c r="H30" s="12" t="s">
        <v>93</v>
      </c>
      <c r="I30" s="12">
        <f>SUMIF(Mercado_Receita!$S$2:$S$1866,"44287A4VerdeNão se aplicaNão se aplicaAPENão se aplicaPonta",Mercado_Receita!$L$2:$L$1866)</f>
        <v>0</v>
      </c>
      <c r="J30" s="12">
        <f>SUMIF(Mercado_Receita!$S$2:$S$1866,"44317A4VerdeNão se aplicaNão se aplicaAPENão se aplicaPonta",Mercado_Receita!$L$2:$L$1866)</f>
        <v>0</v>
      </c>
      <c r="K30" s="12">
        <f>SUMIF(Mercado_Receita!$S$2:$S$1866,"44348A4VerdeNão se aplicaNão se aplicaAPENão se aplicaPonta",Mercado_Receita!$L$2:$L$1866)</f>
        <v>0</v>
      </c>
      <c r="L30" s="12">
        <f>SUMIF(Mercado_Receita!$S$2:$S$1866,"44378A4VerdeNão se aplicaNão se aplicaAPENão se aplicaPonta",Mercado_Receita!$L$2:$L$1866)</f>
        <v>0</v>
      </c>
      <c r="M30" s="12">
        <f>SUMIF(Mercado_Receita!$S$2:$S$1866,"44409A4VerdeNão se aplicaNão se aplicaAPENão se aplicaPonta",Mercado_Receita!$L$2:$L$1866)</f>
        <v>0</v>
      </c>
      <c r="N30" s="12">
        <f>SUMIF(Mercado_Receita!$S$2:$S$1866,"44440A4VerdeNão se aplicaNão se aplicaAPENão se aplicaPonta",Mercado_Receita!$L$2:$L$1866)</f>
        <v>0</v>
      </c>
      <c r="O30" s="12">
        <f>SUMIF(Mercado_Receita!$S$2:$S$1866,"44470A4VerdeNão se aplicaNão se aplicaAPENão se aplicaPonta",Mercado_Receita!$L$2:$L$1866)</f>
        <v>0</v>
      </c>
      <c r="P30" s="12">
        <f>SUMIF(Mercado_Receita!$S$2:$S$1866,"44501A4VerdeNão se aplicaNão se aplicaAPENão se aplicaPonta",Mercado_Receita!$L$2:$L$1866)</f>
        <v>0</v>
      </c>
      <c r="Q30" s="12">
        <f>SUMIF(Mercado_Receita!$S$2:$S$1866,"44531A4VerdeNão se aplicaNão se aplicaAPENão se aplicaPonta",Mercado_Receita!$L$2:$L$1866)</f>
        <v>0</v>
      </c>
      <c r="R30" s="12">
        <f>SUMIF(Mercado_Receita!$S$2:$S$1866,"44562A4VerdeNão se aplicaNão se aplicaAPENão se aplicaPonta",Mercado_Receita!$L$2:$L$1866)</f>
        <v>0</v>
      </c>
      <c r="S30" s="12">
        <f>SUMIF(Mercado_Receita!$S$2:$S$1866,"44593A4VerdeNão se aplicaNão se aplicaAPENão se aplicaPonta",Mercado_Receita!$L$2:$L$1866)</f>
        <v>0</v>
      </c>
      <c r="T30" s="12">
        <f>SUMIF(Mercado_Receita!$S$2:$S$1866,"44621A4VerdeNão se aplicaNão se aplicaAPENão se aplicaPonta",Mercado_Receita!$L$2:$L$1866)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90"/>
      <c r="B31" s="90"/>
      <c r="C31" s="90"/>
      <c r="D31" s="90"/>
      <c r="E31" s="90"/>
      <c r="F31" s="90"/>
      <c r="G31" s="12" t="s">
        <v>95</v>
      </c>
      <c r="H31" s="12" t="s">
        <v>93</v>
      </c>
      <c r="I31" s="12">
        <f>SUMIF(Mercado_Receita!$S$2:$S$1866,"44287A4VerdeNão se aplicaNão se aplicaAPENão se aplicaFora ponta",Mercado_Receita!$L$2:$L$1866)</f>
        <v>0</v>
      </c>
      <c r="J31" s="12">
        <f>SUMIF(Mercado_Receita!$S$2:$S$1866,"44317A4VerdeNão se aplicaNão se aplicaAPENão se aplicaFora ponta",Mercado_Receita!$L$2:$L$1866)</f>
        <v>0</v>
      </c>
      <c r="K31" s="12">
        <f>SUMIF(Mercado_Receita!$S$2:$S$1866,"44348A4VerdeNão se aplicaNão se aplicaAPENão se aplicaFora ponta",Mercado_Receita!$L$2:$L$1866)</f>
        <v>0</v>
      </c>
      <c r="L31" s="12">
        <f>SUMIF(Mercado_Receita!$S$2:$S$1866,"44378A4VerdeNão se aplicaNão se aplicaAPENão se aplicaFora ponta",Mercado_Receita!$L$2:$L$1866)</f>
        <v>0</v>
      </c>
      <c r="M31" s="12">
        <f>SUMIF(Mercado_Receita!$S$2:$S$1866,"44409A4VerdeNão se aplicaNão se aplicaAPENão se aplicaFora ponta",Mercado_Receita!$L$2:$L$1866)</f>
        <v>0</v>
      </c>
      <c r="N31" s="12">
        <f>SUMIF(Mercado_Receita!$S$2:$S$1866,"44440A4VerdeNão se aplicaNão se aplicaAPENão se aplicaFora ponta",Mercado_Receita!$L$2:$L$1866)</f>
        <v>0</v>
      </c>
      <c r="O31" s="12">
        <f>SUMIF(Mercado_Receita!$S$2:$S$1866,"44470A4VerdeNão se aplicaNão se aplicaAPENão se aplicaFora ponta",Mercado_Receita!$L$2:$L$1866)</f>
        <v>0</v>
      </c>
      <c r="P31" s="12">
        <f>SUMIF(Mercado_Receita!$S$2:$S$1866,"44501A4VerdeNão se aplicaNão se aplicaAPENão se aplicaFora ponta",Mercado_Receita!$L$2:$L$1866)</f>
        <v>0</v>
      </c>
      <c r="Q31" s="12">
        <f>SUMIF(Mercado_Receita!$S$2:$S$1866,"44531A4VerdeNão se aplicaNão se aplicaAPENão se aplicaFora ponta",Mercado_Receita!$L$2:$L$1866)</f>
        <v>0</v>
      </c>
      <c r="R31" s="12">
        <f>SUMIF(Mercado_Receita!$S$2:$S$1866,"44562A4VerdeNão se aplicaNão se aplicaAPENão se aplicaFora ponta",Mercado_Receita!$L$2:$L$1866)</f>
        <v>0</v>
      </c>
      <c r="S31" s="12">
        <f>SUMIF(Mercado_Receita!$S$2:$S$1866,"44593A4VerdeNão se aplicaNão se aplicaAPENão se aplicaFora ponta",Mercado_Receita!$L$2:$L$1866)</f>
        <v>0</v>
      </c>
      <c r="T31" s="12">
        <f>SUMIF(Mercado_Receita!$S$2:$S$1866,"44621A4VerdeNão se aplicaNão se aplicaAPENão se aplicaFora ponta",Mercado_Receita!$L$2:$L$1866)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89" t="s">
        <v>104</v>
      </c>
      <c r="B32" s="89" t="s">
        <v>69</v>
      </c>
      <c r="C32" s="89" t="s">
        <v>25</v>
      </c>
      <c r="D32" s="89" t="s">
        <v>25</v>
      </c>
      <c r="E32" s="13" t="s">
        <v>105</v>
      </c>
      <c r="F32" s="13" t="s">
        <v>25</v>
      </c>
      <c r="G32" s="12" t="s">
        <v>9</v>
      </c>
      <c r="H32" s="12" t="s">
        <v>99</v>
      </c>
      <c r="I32" s="12">
        <f>SUMIF(Mercado_Receita!$S$2:$S$1866,"44287BGeraçãoNão se aplicaNão se aplicaTIPO 01Não se aplicaNão se aplica",Mercado_Receita!$J$2:$J$1866)+SUMIF(Mercado_Receita!$S$2:$S$1866,"44287BGeraçãoNão se aplicaNão se aplicaAPENão se aplicaNão se aplica",Mercado_Receita!$J$2:$J$1866)</f>
        <v>0</v>
      </c>
      <c r="J32" s="12">
        <f>SUMIF(Mercado_Receita!$S$2:$S$1866,"44317BGeraçãoNão se aplicaNão se aplicaTIPO 01Não se aplicaNão se aplica",Mercado_Receita!$J$2:$J$1866)+SUMIF(Mercado_Receita!$S$2:$S$1866,"44317BGeraçãoNão se aplicaNão se aplicaAPENão se aplicaNão se aplica",Mercado_Receita!$J$2:$J$1866)</f>
        <v>0</v>
      </c>
      <c r="K32" s="12">
        <f>SUMIF(Mercado_Receita!$S$2:$S$1866,"44348BGeraçãoNão se aplicaNão se aplicaTIPO 01Não se aplicaNão se aplica",Mercado_Receita!$J$2:$J$1866)+SUMIF(Mercado_Receita!$S$2:$S$1866,"44348BGeraçãoNão se aplicaNão se aplicaAPENão se aplicaNão se aplica",Mercado_Receita!$J$2:$J$1866)</f>
        <v>0</v>
      </c>
      <c r="L32" s="12">
        <f>SUMIF(Mercado_Receita!$S$2:$S$1866,"44378BGeraçãoNão se aplicaNão se aplicaTIPO 01Não se aplicaNão se aplica",Mercado_Receita!$J$2:$J$1866)+SUMIF(Mercado_Receita!$S$2:$S$1866,"44378BGeraçãoNão se aplicaNão se aplicaAPENão se aplicaNão se aplica",Mercado_Receita!$J$2:$J$1866)</f>
        <v>0</v>
      </c>
      <c r="M32" s="12">
        <f>SUMIF(Mercado_Receita!$S$2:$S$1866,"44409BGeraçãoNão se aplicaNão se aplicaTIPO 01Não se aplicaNão se aplica",Mercado_Receita!$J$2:$J$1866)+SUMIF(Mercado_Receita!$S$2:$S$1866,"44409BGeraçãoNão se aplicaNão se aplicaAPENão se aplicaNão se aplica",Mercado_Receita!$J$2:$J$1866)</f>
        <v>0</v>
      </c>
      <c r="N32" s="12">
        <f>SUMIF(Mercado_Receita!$S$2:$S$1866,"44440BGeraçãoNão se aplicaNão se aplicaTIPO 01Não se aplicaNão se aplica",Mercado_Receita!$J$2:$J$1866)+SUMIF(Mercado_Receita!$S$2:$S$1866,"44440BGeraçãoNão se aplicaNão se aplicaAPENão se aplicaNão se aplica",Mercado_Receita!$J$2:$J$1866)</f>
        <v>0</v>
      </c>
      <c r="O32" s="12">
        <f>SUMIF(Mercado_Receita!$S$2:$S$1866,"44470BGeraçãoNão se aplicaNão se aplicaTIPO 01Não se aplicaNão se aplica",Mercado_Receita!$J$2:$J$1866)+SUMIF(Mercado_Receita!$S$2:$S$1866,"44470BGeraçãoNão se aplicaNão se aplicaAPENão se aplicaNão se aplica",Mercado_Receita!$J$2:$J$1866)</f>
        <v>0</v>
      </c>
      <c r="P32" s="12">
        <f>SUMIF(Mercado_Receita!$S$2:$S$1866,"44501BGeraçãoNão se aplicaNão se aplicaTIPO 01Não se aplicaNão se aplica",Mercado_Receita!$J$2:$J$1866)+SUMIF(Mercado_Receita!$S$2:$S$1866,"44501BGeraçãoNão se aplicaNão se aplicaAPENão se aplicaNão se aplica",Mercado_Receita!$J$2:$J$1866)</f>
        <v>0</v>
      </c>
      <c r="Q32" s="12">
        <f>SUMIF(Mercado_Receita!$S$2:$S$1866,"44531BGeraçãoNão se aplicaNão se aplicaTIPO 01Não se aplicaNão se aplica",Mercado_Receita!$J$2:$J$1866)+SUMIF(Mercado_Receita!$S$2:$S$1866,"44531BGeraçãoNão se aplicaNão se aplicaAPENão se aplicaNão se aplica",Mercado_Receita!$J$2:$J$1866)</f>
        <v>0</v>
      </c>
      <c r="R32" s="12">
        <f>SUMIF(Mercado_Receita!$S$2:$S$1866,"44562BGeraçãoNão se aplicaNão se aplicaTIPO 01Não se aplicaNão se aplica",Mercado_Receita!$J$2:$J$1866)+SUMIF(Mercado_Receita!$S$2:$S$1866,"44562BGeraçãoNão se aplicaNão se aplicaAPENão se aplicaNão se aplica",Mercado_Receita!$J$2:$J$1866)</f>
        <v>0</v>
      </c>
      <c r="S32" s="12">
        <f>SUMIF(Mercado_Receita!$S$2:$S$1866,"44593BGeraçãoNão se aplicaNão se aplicaTIPO 01Não se aplicaNão se aplica",Mercado_Receita!$J$2:$J$1866)+SUMIF(Mercado_Receita!$S$2:$S$1866,"44593BGeraçãoNão se aplicaNão se aplicaAPENão se aplicaNão se aplica",Mercado_Receita!$J$2:$J$1866)</f>
        <v>0</v>
      </c>
      <c r="T32" s="12">
        <f>SUMIF(Mercado_Receita!$S$2:$S$1866,"44621BGeraçãoNão se aplicaNão se aplicaTIPO 01Não se aplicaNão se aplica",Mercado_Receita!$J$2:$J$1866)+SUMIF(Mercado_Receita!$S$2:$S$1866,"44621BGeraçãoNão se aplicaNão se aplicaAPENão se aplicaNão se aplica",Mercado_Receita!$J$2:$J$1866)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90"/>
      <c r="B33" s="90"/>
      <c r="C33" s="90"/>
      <c r="D33" s="90"/>
      <c r="E33" s="13" t="s">
        <v>106</v>
      </c>
      <c r="F33" s="13" t="s">
        <v>25</v>
      </c>
      <c r="G33" s="12" t="s">
        <v>9</v>
      </c>
      <c r="H33" s="12" t="s">
        <v>99</v>
      </c>
      <c r="I33" s="12">
        <f>SUMIF(Mercado_Receita!$S$2:$S$1866,"44287BGeraçãoNão se aplicaNão se aplicaTIPO 02Não se aplicaNão se aplica",Mercado_Receita!$J$2:$J$1866)+SUMIF(Mercado_Receita!$S$2:$S$1866,"44287BGeraçãoNão se aplicaNão se aplicaAPENão se aplicaNão se aplica",Mercado_Receita!$J$2:$J$1866)</f>
        <v>0</v>
      </c>
      <c r="J33" s="12">
        <f>SUMIF(Mercado_Receita!$S$2:$S$1866,"44317BGeraçãoNão se aplicaNão se aplicaTIPO 02Não se aplicaNão se aplica",Mercado_Receita!$J$2:$J$1866)+SUMIF(Mercado_Receita!$S$2:$S$1866,"44317BGeraçãoNão se aplicaNão se aplicaAPENão se aplicaNão se aplica",Mercado_Receita!$J$2:$J$1866)</f>
        <v>0</v>
      </c>
      <c r="K33" s="12">
        <f>SUMIF(Mercado_Receita!$S$2:$S$1866,"44348BGeraçãoNão se aplicaNão se aplicaTIPO 02Não se aplicaNão se aplica",Mercado_Receita!$J$2:$J$1866)+SUMIF(Mercado_Receita!$S$2:$S$1866,"44348BGeraçãoNão se aplicaNão se aplicaAPENão se aplicaNão se aplica",Mercado_Receita!$J$2:$J$1866)</f>
        <v>0</v>
      </c>
      <c r="L33" s="12">
        <f>SUMIF(Mercado_Receita!$S$2:$S$1866,"44378BGeraçãoNão se aplicaNão se aplicaTIPO 02Não se aplicaNão se aplica",Mercado_Receita!$J$2:$J$1866)+SUMIF(Mercado_Receita!$S$2:$S$1866,"44378BGeraçãoNão se aplicaNão se aplicaAPENão se aplicaNão se aplica",Mercado_Receita!$J$2:$J$1866)</f>
        <v>0</v>
      </c>
      <c r="M33" s="12">
        <f>SUMIF(Mercado_Receita!$S$2:$S$1866,"44409BGeraçãoNão se aplicaNão se aplicaTIPO 02Não se aplicaNão se aplica",Mercado_Receita!$J$2:$J$1866)+SUMIF(Mercado_Receita!$S$2:$S$1866,"44409BGeraçãoNão se aplicaNão se aplicaAPENão se aplicaNão se aplica",Mercado_Receita!$J$2:$J$1866)</f>
        <v>0</v>
      </c>
      <c r="N33" s="12">
        <f>SUMIF(Mercado_Receita!$S$2:$S$1866,"44440BGeraçãoNão se aplicaNão se aplicaTIPO 02Não se aplicaNão se aplica",Mercado_Receita!$J$2:$J$1866)+SUMIF(Mercado_Receita!$S$2:$S$1866,"44440BGeraçãoNão se aplicaNão se aplicaAPENão se aplicaNão se aplica",Mercado_Receita!$J$2:$J$1866)</f>
        <v>0</v>
      </c>
      <c r="O33" s="12">
        <f>SUMIF(Mercado_Receita!$S$2:$S$1866,"44470BGeraçãoNão se aplicaNão se aplicaTIPO 02Não se aplicaNão se aplica",Mercado_Receita!$J$2:$J$1866)+SUMIF(Mercado_Receita!$S$2:$S$1866,"44470BGeraçãoNão se aplicaNão se aplicaAPENão se aplicaNão se aplica",Mercado_Receita!$J$2:$J$1866)</f>
        <v>0</v>
      </c>
      <c r="P33" s="12">
        <f>SUMIF(Mercado_Receita!$S$2:$S$1866,"44501BGeraçãoNão se aplicaNão se aplicaTIPO 02Não se aplicaNão se aplica",Mercado_Receita!$J$2:$J$1866)+SUMIF(Mercado_Receita!$S$2:$S$1866,"44501BGeraçãoNão se aplicaNão se aplicaAPENão se aplicaNão se aplica",Mercado_Receita!$J$2:$J$1866)</f>
        <v>0</v>
      </c>
      <c r="Q33" s="12">
        <f>SUMIF(Mercado_Receita!$S$2:$S$1866,"44531BGeraçãoNão se aplicaNão se aplicaTIPO 02Não se aplicaNão se aplica",Mercado_Receita!$J$2:$J$1866)+SUMIF(Mercado_Receita!$S$2:$S$1866,"44531BGeraçãoNão se aplicaNão se aplicaAPENão se aplicaNão se aplica",Mercado_Receita!$J$2:$J$1866)</f>
        <v>0</v>
      </c>
      <c r="R33" s="12">
        <f>SUMIF(Mercado_Receita!$S$2:$S$1866,"44562BGeraçãoNão se aplicaNão se aplicaTIPO 02Não se aplicaNão se aplica",Mercado_Receita!$J$2:$J$1866)+SUMIF(Mercado_Receita!$S$2:$S$1866,"44562BGeraçãoNão se aplicaNão se aplicaAPENão se aplicaNão se aplica",Mercado_Receita!$J$2:$J$1866)</f>
        <v>0</v>
      </c>
      <c r="S33" s="12">
        <f>SUMIF(Mercado_Receita!$S$2:$S$1866,"44593BGeraçãoNão se aplicaNão se aplicaTIPO 02Não se aplicaNão se aplica",Mercado_Receita!$J$2:$J$1866)+SUMIF(Mercado_Receita!$S$2:$S$1866,"44593BGeraçãoNão se aplicaNão se aplicaAPENão se aplicaNão se aplica",Mercado_Receita!$J$2:$J$1866)</f>
        <v>0</v>
      </c>
      <c r="T33" s="12">
        <f>SUMIF(Mercado_Receita!$S$2:$S$1866,"44621BGeraçãoNão se aplicaNão se aplicaTIPO 02Não se aplicaNão se aplica",Mercado_Receita!$J$2:$J$1866)+SUMIF(Mercado_Receita!$S$2:$S$1866,"44621BGeraçãoNão se aplicaNão se aplicaAPENão se aplicaNão se aplica",Mercado_Receita!$J$2:$J$1866)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89" t="s">
        <v>22</v>
      </c>
      <c r="B34" s="89" t="s">
        <v>33</v>
      </c>
      <c r="C34" s="89" t="s">
        <v>24</v>
      </c>
      <c r="D34" s="89" t="s">
        <v>24</v>
      </c>
      <c r="E34" s="89" t="s">
        <v>25</v>
      </c>
      <c r="F34" s="89" t="s">
        <v>25</v>
      </c>
      <c r="G34" s="12" t="s">
        <v>94</v>
      </c>
      <c r="H34" s="12" t="s">
        <v>93</v>
      </c>
      <c r="I34" s="12">
        <f>SUMIF(Mercado_Receita!$S$2:$S$1866,"44287B1BrancaResidencialResidencialNão se aplicaNão se aplicaPonta",Mercado_Receita!$L$2:$L$1866)</f>
        <v>9.3249999999999993</v>
      </c>
      <c r="J34" s="12">
        <f>SUMIF(Mercado_Receita!$S$2:$S$1866,"44317B1BrancaResidencialResidencialNão se aplicaNão se aplicaPonta",Mercado_Receita!$L$2:$L$1866)</f>
        <v>8.8550000000000004</v>
      </c>
      <c r="K34" s="12">
        <f>SUMIF(Mercado_Receita!$S$2:$S$1866,"44348B1BrancaResidencialResidencialNão se aplicaNão se aplicaPonta",Mercado_Receita!$L$2:$L$1866)</f>
        <v>9.27</v>
      </c>
      <c r="L34" s="12">
        <f>SUMIF(Mercado_Receita!$S$2:$S$1866,"44378B1BrancaResidencialResidencialNão se aplicaNão se aplicaPonta",Mercado_Receita!$L$2:$L$1866)</f>
        <v>8.9390000000000001</v>
      </c>
      <c r="M34" s="12">
        <f>SUMIF(Mercado_Receita!$S$2:$S$1866,"44409B1BrancaResidencialResidencialNão se aplicaNão se aplicaPonta",Mercado_Receita!$L$2:$L$1866)</f>
        <v>8.645999999999999</v>
      </c>
      <c r="N34" s="12">
        <f>SUMIF(Mercado_Receita!$S$2:$S$1866,"44440B1BrancaResidencialResidencialNão se aplicaNão se aplicaPonta",Mercado_Receita!$L$2:$L$1866)</f>
        <v>8.6740000000000013</v>
      </c>
      <c r="O34" s="12">
        <f>SUMIF(Mercado_Receita!$S$2:$S$1866,"44470B1BrancaResidencialResidencialNão se aplicaNão se aplicaPonta",Mercado_Receita!$L$2:$L$1866)</f>
        <v>8.4589999999999996</v>
      </c>
      <c r="P34" s="12">
        <f>SUMIF(Mercado_Receita!$S$2:$S$1866,"44501B1BrancaResidencialResidencialNão se aplicaNão se aplicaPonta",Mercado_Receita!$L$2:$L$1866)</f>
        <v>8.0250000000000004</v>
      </c>
      <c r="Q34" s="12">
        <f>SUMIF(Mercado_Receita!$S$2:$S$1866,"44531B1BrancaResidencialResidencialNão se aplicaNão se aplicaPonta",Mercado_Receita!$L$2:$L$1866)</f>
        <v>10.873000000000001</v>
      </c>
      <c r="R34" s="12">
        <f>SUMIF(Mercado_Receita!$S$2:$S$1866,"44562B1BrancaResidencialResidencialNão se aplicaNão se aplicaPonta",Mercado_Receita!$L$2:$L$1866)</f>
        <v>15.534000000000001</v>
      </c>
      <c r="S34" s="12">
        <f>SUMIF(Mercado_Receita!$S$2:$S$1866,"44593B1BrancaResidencialResidencialNão se aplicaNão se aplicaPonta",Mercado_Receita!$L$2:$L$1866)</f>
        <v>10.909000000000001</v>
      </c>
      <c r="T34" s="12">
        <f>SUMIF(Mercado_Receita!$S$2:$S$1866,"44621B1BrancaResidencialResidencialNão se aplicaNão se aplicaPonta",Mercado_Receita!$L$2:$L$1866)</f>
        <v>10.909000000000001</v>
      </c>
      <c r="U34" s="12">
        <f t="shared" ref="U34:U65" si="1">SUM(I34:T34)</f>
        <v>118.41800000000002</v>
      </c>
      <c r="V34" s="12"/>
      <c r="W34" s="12"/>
    </row>
    <row r="35" spans="1:23" ht="11.25" customHeight="1" x14ac:dyDescent="0.25">
      <c r="A35" s="90"/>
      <c r="B35" s="90"/>
      <c r="C35" s="90"/>
      <c r="D35" s="90"/>
      <c r="E35" s="90"/>
      <c r="F35" s="90"/>
      <c r="G35" s="12" t="s">
        <v>107</v>
      </c>
      <c r="H35" s="12" t="s">
        <v>93</v>
      </c>
      <c r="I35" s="12">
        <f>SUMIF(Mercado_Receita!$S$2:$S$1866,"44287B1BrancaResidencialResidencialNão se aplicaNão se aplicaIntermediário",Mercado_Receita!$L$2:$L$1866)</f>
        <v>6.8439999999999994</v>
      </c>
      <c r="J35" s="12">
        <f>SUMIF(Mercado_Receita!$S$2:$S$1866,"44317B1BrancaResidencialResidencialNão se aplicaNão se aplicaIntermediário",Mercado_Receita!$L$2:$L$1866)</f>
        <v>6.2729999999999997</v>
      </c>
      <c r="K35" s="12">
        <f>SUMIF(Mercado_Receita!$S$2:$S$1866,"44348B1BrancaResidencialResidencialNão se aplicaNão se aplicaIntermediário",Mercado_Receita!$L$2:$L$1866)</f>
        <v>6.6049999999999995</v>
      </c>
      <c r="L35" s="12">
        <f>SUMIF(Mercado_Receita!$S$2:$S$1866,"44378B1BrancaResidencialResidencialNão se aplicaNão se aplicaIntermediário",Mercado_Receita!$L$2:$L$1866)</f>
        <v>5.9409999999999998</v>
      </c>
      <c r="M35" s="12">
        <f>SUMIF(Mercado_Receita!$S$2:$S$1866,"44409B1BrancaResidencialResidencialNão se aplicaNão se aplicaIntermediário",Mercado_Receita!$L$2:$L$1866)</f>
        <v>5.9079999999999995</v>
      </c>
      <c r="N35" s="12">
        <f>SUMIF(Mercado_Receita!$S$2:$S$1866,"44440B1BrancaResidencialResidencialNão se aplicaNão se aplicaIntermediário",Mercado_Receita!$L$2:$L$1866)</f>
        <v>5.6550000000000002</v>
      </c>
      <c r="O35" s="12">
        <f>SUMIF(Mercado_Receita!$S$2:$S$1866,"44470B1BrancaResidencialResidencialNão se aplicaNão se aplicaIntermediário",Mercado_Receita!$L$2:$L$1866)</f>
        <v>6.3419999999999996</v>
      </c>
      <c r="P35" s="12">
        <f>SUMIF(Mercado_Receita!$S$2:$S$1866,"44501B1BrancaResidencialResidencialNão se aplicaNão se aplicaIntermediário",Mercado_Receita!$L$2:$L$1866)</f>
        <v>5.9009999999999998</v>
      </c>
      <c r="Q35" s="12">
        <f>SUMIF(Mercado_Receita!$S$2:$S$1866,"44531B1BrancaResidencialResidencialNão se aplicaNão se aplicaIntermediário",Mercado_Receita!$L$2:$L$1866)</f>
        <v>6.452</v>
      </c>
      <c r="R35" s="12">
        <f>SUMIF(Mercado_Receita!$S$2:$S$1866,"44562B1BrancaResidencialResidencialNão se aplicaNão se aplicaIntermediário",Mercado_Receita!$L$2:$L$1866)</f>
        <v>6.8389999999999995</v>
      </c>
      <c r="S35" s="12">
        <f>SUMIF(Mercado_Receita!$S$2:$S$1866,"44593B1BrancaResidencialResidencialNão se aplicaNão se aplicaIntermediário",Mercado_Receita!$L$2:$L$1866)</f>
        <v>6.7929999999999993</v>
      </c>
      <c r="T35" s="12">
        <f>SUMIF(Mercado_Receita!$S$2:$S$1866,"44621B1BrancaResidencialResidencialNão se aplicaNão se aplicaIntermediário",Mercado_Receita!$L$2:$L$1866)</f>
        <v>6.7929999999999993</v>
      </c>
      <c r="U35" s="12">
        <f t="shared" si="1"/>
        <v>76.346000000000004</v>
      </c>
      <c r="V35" s="12"/>
      <c r="W35" s="12"/>
    </row>
    <row r="36" spans="1:23" ht="11.25" customHeight="1" x14ac:dyDescent="0.25">
      <c r="A36" s="90"/>
      <c r="B36" s="90"/>
      <c r="C36" s="90"/>
      <c r="D36" s="90"/>
      <c r="E36" s="90"/>
      <c r="F36" s="90"/>
      <c r="G36" s="12" t="s">
        <v>95</v>
      </c>
      <c r="H36" s="12" t="s">
        <v>93</v>
      </c>
      <c r="I36" s="12">
        <f>SUMIF(Mercado_Receita!$S$2:$S$1866,"44287B1BrancaResidencialResidencialNão se aplicaNão se aplicaFora ponta",Mercado_Receita!$L$2:$L$1866)</f>
        <v>127.96299999999999</v>
      </c>
      <c r="J36" s="12">
        <f>SUMIF(Mercado_Receita!$S$2:$S$1866,"44317B1BrancaResidencialResidencialNão se aplicaNão se aplicaFora ponta",Mercado_Receita!$L$2:$L$1866)</f>
        <v>109.99799999999999</v>
      </c>
      <c r="K36" s="12">
        <f>SUMIF(Mercado_Receita!$S$2:$S$1866,"44348B1BrancaResidencialResidencialNão se aplicaNão se aplicaFora ponta",Mercado_Receita!$L$2:$L$1866)</f>
        <v>102.83499999999999</v>
      </c>
      <c r="L36" s="12">
        <f>SUMIF(Mercado_Receita!$S$2:$S$1866,"44378B1BrancaResidencialResidencialNão se aplicaNão se aplicaFora ponta",Mercado_Receita!$L$2:$L$1866)</f>
        <v>94.156000000000006</v>
      </c>
      <c r="M36" s="12">
        <f>SUMIF(Mercado_Receita!$S$2:$S$1866,"44409B1BrancaResidencialResidencialNão se aplicaNão se aplicaFora ponta",Mercado_Receita!$L$2:$L$1866)</f>
        <v>92.573999999999998</v>
      </c>
      <c r="N36" s="12">
        <f>SUMIF(Mercado_Receita!$S$2:$S$1866,"44440B1BrancaResidencialResidencialNão se aplicaNão se aplicaFora ponta",Mercado_Receita!$L$2:$L$1866)</f>
        <v>102.78</v>
      </c>
      <c r="O36" s="12">
        <f>SUMIF(Mercado_Receita!$S$2:$S$1866,"44470B1BrancaResidencialResidencialNão se aplicaNão se aplicaFora ponta",Mercado_Receita!$L$2:$L$1866)</f>
        <v>211.94199999999998</v>
      </c>
      <c r="P36" s="12">
        <f>SUMIF(Mercado_Receita!$S$2:$S$1866,"44501B1BrancaResidencialResidencialNão se aplicaNão se aplicaFora ponta",Mercado_Receita!$L$2:$L$1866)</f>
        <v>17.143999999999998</v>
      </c>
      <c r="Q36" s="12">
        <f>SUMIF(Mercado_Receita!$S$2:$S$1866,"44531B1BrancaResidencialResidencialNão se aplicaNão se aplicaFora ponta",Mercado_Receita!$L$2:$L$1866)</f>
        <v>121.59</v>
      </c>
      <c r="R36" s="12">
        <f>SUMIF(Mercado_Receita!$S$2:$S$1866,"44562B1BrancaResidencialResidencialNão se aplicaNão se aplicaFora ponta",Mercado_Receita!$L$2:$L$1866)</f>
        <v>122.16300000000001</v>
      </c>
      <c r="S36" s="12">
        <f>SUMIF(Mercado_Receita!$S$2:$S$1866,"44593B1BrancaResidencialResidencialNão se aplicaNão se aplicaFora ponta",Mercado_Receita!$L$2:$L$1866)</f>
        <v>125.286</v>
      </c>
      <c r="T36" s="12">
        <f>SUMIF(Mercado_Receita!$S$2:$S$1866,"44621B1BrancaResidencialResidencialNão se aplicaNão se aplicaFora ponta",Mercado_Receita!$L$2:$L$1866)</f>
        <v>125.286</v>
      </c>
      <c r="U36" s="12">
        <f t="shared" si="1"/>
        <v>1353.7170000000001</v>
      </c>
      <c r="V36" s="12"/>
      <c r="W36" s="12"/>
    </row>
    <row r="37" spans="1:23" ht="11.25" customHeight="1" x14ac:dyDescent="0.25">
      <c r="A37" s="90"/>
      <c r="B37" s="89" t="s">
        <v>23</v>
      </c>
      <c r="C37" s="89" t="s">
        <v>24</v>
      </c>
      <c r="D37" s="13" t="s">
        <v>24</v>
      </c>
      <c r="E37" s="13" t="s">
        <v>25</v>
      </c>
      <c r="F37" s="13" t="s">
        <v>25</v>
      </c>
      <c r="G37" s="12" t="s">
        <v>98</v>
      </c>
      <c r="H37" s="12" t="s">
        <v>93</v>
      </c>
      <c r="I37" s="12">
        <f>SUMIF(Mercado_Receita!$S$2:$S$1866,"44287B1ConvencionalResidencialResidencialNão se aplicaNão se aplicaPonta",Mercado_Receita!$L$2:$L$1866)+SUMIF(Mercado_Receita!$S$2:$S$1866,"44287B1ConvencionalResidencialResidencialNão se aplicaNão se aplicaFora ponta",Mercado_Receita!$L$2:$L$1866)+SUMIF(Mercado_Receita!$S$2:$S$1866,"44287B1ConvencionalResidencialResidencialNão se aplicaNão se aplicaIntermediário",Mercado_Receita!$L$2:$L$1866)+SUMIF(Mercado_Receita!$S$2:$S$1866,"44287B1ConvencionalResidencialResidencialNão se aplicaNão se aplicaNão se aplica",Mercado_Receita!$L$2:$L$1866)</f>
        <v>83752.003999999986</v>
      </c>
      <c r="J37" s="12">
        <f>SUMIF(Mercado_Receita!$S$2:$S$1866,"44317B1ConvencionalResidencialResidencialNão se aplicaNão se aplicaPonta",Mercado_Receita!$L$2:$L$1866)+SUMIF(Mercado_Receita!$S$2:$S$1866,"44317B1ConvencionalResidencialResidencialNão se aplicaNão se aplicaFora ponta",Mercado_Receita!$L$2:$L$1866)+SUMIF(Mercado_Receita!$S$2:$S$1866,"44317B1ConvencionalResidencialResidencialNão se aplicaNão se aplicaIntermediário",Mercado_Receita!$L$2:$L$1866)+SUMIF(Mercado_Receita!$S$2:$S$1866,"44317B1ConvencionalResidencialResidencialNão se aplicaNão se aplicaNão se aplica",Mercado_Receita!$L$2:$L$1866)</f>
        <v>75989.577999999994</v>
      </c>
      <c r="K37" s="12">
        <f>SUMIF(Mercado_Receita!$S$2:$S$1866,"44348B1ConvencionalResidencialResidencialNão se aplicaNão se aplicaPonta",Mercado_Receita!$L$2:$L$1866)+SUMIF(Mercado_Receita!$S$2:$S$1866,"44348B1ConvencionalResidencialResidencialNão se aplicaNão se aplicaFora ponta",Mercado_Receita!$L$2:$L$1866)+SUMIF(Mercado_Receita!$S$2:$S$1866,"44348B1ConvencionalResidencialResidencialNão se aplicaNão se aplicaIntermediário",Mercado_Receita!$L$2:$L$1866)+SUMIF(Mercado_Receita!$S$2:$S$1866,"44348B1ConvencionalResidencialResidencialNão se aplicaNão se aplicaNão se aplica",Mercado_Receita!$L$2:$L$1866)</f>
        <v>73964.59</v>
      </c>
      <c r="L37" s="12">
        <f>SUMIF(Mercado_Receita!$S$2:$S$1866,"44378B1ConvencionalResidencialResidencialNão se aplicaNão se aplicaPonta",Mercado_Receita!$L$2:$L$1866)+SUMIF(Mercado_Receita!$S$2:$S$1866,"44378B1ConvencionalResidencialResidencialNão se aplicaNão se aplicaFora ponta",Mercado_Receita!$L$2:$L$1866)+SUMIF(Mercado_Receita!$S$2:$S$1866,"44378B1ConvencionalResidencialResidencialNão se aplicaNão se aplicaIntermediário",Mercado_Receita!$L$2:$L$1866)+SUMIF(Mercado_Receita!$S$2:$S$1866,"44378B1ConvencionalResidencialResidencialNão se aplicaNão se aplicaNão se aplica",Mercado_Receita!$L$2:$L$1866)</f>
        <v>71382.863999999987</v>
      </c>
      <c r="M37" s="12">
        <f>SUMIF(Mercado_Receita!$S$2:$S$1866,"44409B1ConvencionalResidencialResidencialNão se aplicaNão se aplicaPonta",Mercado_Receita!$L$2:$L$1866)+SUMIF(Mercado_Receita!$S$2:$S$1866,"44409B1ConvencionalResidencialResidencialNão se aplicaNão se aplicaFora ponta",Mercado_Receita!$L$2:$L$1866)+SUMIF(Mercado_Receita!$S$2:$S$1866,"44409B1ConvencionalResidencialResidencialNão se aplicaNão se aplicaIntermediário",Mercado_Receita!$L$2:$L$1866)+SUMIF(Mercado_Receita!$S$2:$S$1866,"44409B1ConvencionalResidencialResidencialNão se aplicaNão se aplicaNão se aplica",Mercado_Receita!$L$2:$L$1866)</f>
        <v>68596.332999999999</v>
      </c>
      <c r="N37" s="12">
        <f>SUMIF(Mercado_Receita!$S$2:$S$1866,"44440B1ConvencionalResidencialResidencialNão se aplicaNão se aplicaPonta",Mercado_Receita!$L$2:$L$1866)+SUMIF(Mercado_Receita!$S$2:$S$1866,"44440B1ConvencionalResidencialResidencialNão se aplicaNão se aplicaFora ponta",Mercado_Receita!$L$2:$L$1866)+SUMIF(Mercado_Receita!$S$2:$S$1866,"44440B1ConvencionalResidencialResidencialNão se aplicaNão se aplicaIntermediário",Mercado_Receita!$L$2:$L$1866)+SUMIF(Mercado_Receita!$S$2:$S$1866,"44440B1ConvencionalResidencialResidencialNão se aplicaNão se aplicaNão se aplica",Mercado_Receita!$L$2:$L$1866)</f>
        <v>68872.234000000011</v>
      </c>
      <c r="O37" s="12">
        <f>SUMIF(Mercado_Receita!$S$2:$S$1866,"44470B1ConvencionalResidencialResidencialNão se aplicaNão se aplicaPonta",Mercado_Receita!$L$2:$L$1866)+SUMIF(Mercado_Receita!$S$2:$S$1866,"44470B1ConvencionalResidencialResidencialNão se aplicaNão se aplicaFora ponta",Mercado_Receita!$L$2:$L$1866)+SUMIF(Mercado_Receita!$S$2:$S$1866,"44470B1ConvencionalResidencialResidencialNão se aplicaNão se aplicaIntermediário",Mercado_Receita!$L$2:$L$1866)+SUMIF(Mercado_Receita!$S$2:$S$1866,"44470B1ConvencionalResidencialResidencialNão se aplicaNão se aplicaNão se aplica",Mercado_Receita!$L$2:$L$1866)</f>
        <v>71027.29800000001</v>
      </c>
      <c r="P37" s="12">
        <f>SUMIF(Mercado_Receita!$S$2:$S$1866,"44501B1ConvencionalResidencialResidencialNão se aplicaNão se aplicaPonta",Mercado_Receita!$L$2:$L$1866)+SUMIF(Mercado_Receita!$S$2:$S$1866,"44501B1ConvencionalResidencialResidencialNão se aplicaNão se aplicaFora ponta",Mercado_Receita!$L$2:$L$1866)+SUMIF(Mercado_Receita!$S$2:$S$1866,"44501B1ConvencionalResidencialResidencialNão se aplicaNão se aplicaIntermediário",Mercado_Receita!$L$2:$L$1866)+SUMIF(Mercado_Receita!$S$2:$S$1866,"44501B1ConvencionalResidencialResidencialNão se aplicaNão se aplicaNão se aplica",Mercado_Receita!$L$2:$L$1866)</f>
        <v>72439.522999999986</v>
      </c>
      <c r="Q37" s="12">
        <f>SUMIF(Mercado_Receita!$S$2:$S$1866,"44531B1ConvencionalResidencialResidencialNão se aplicaNão se aplicaPonta",Mercado_Receita!$L$2:$L$1866)+SUMIF(Mercado_Receita!$S$2:$S$1866,"44531B1ConvencionalResidencialResidencialNão se aplicaNão se aplicaFora ponta",Mercado_Receita!$L$2:$L$1866)+SUMIF(Mercado_Receita!$S$2:$S$1866,"44531B1ConvencionalResidencialResidencialNão se aplicaNão se aplicaIntermediário",Mercado_Receita!$L$2:$L$1866)+SUMIF(Mercado_Receita!$S$2:$S$1866,"44531B1ConvencionalResidencialResidencialNão se aplicaNão se aplicaNão se aplica",Mercado_Receita!$L$2:$L$1866)</f>
        <v>79530.002999999997</v>
      </c>
      <c r="R37" s="12">
        <f>SUMIF(Mercado_Receita!$S$2:$S$1866,"44562B1ConvencionalResidencialResidencialNão se aplicaNão se aplicaPonta",Mercado_Receita!$L$2:$L$1866)+SUMIF(Mercado_Receita!$S$2:$S$1866,"44562B1ConvencionalResidencialResidencialNão se aplicaNão se aplicaFora ponta",Mercado_Receita!$L$2:$L$1866)+SUMIF(Mercado_Receita!$S$2:$S$1866,"44562B1ConvencionalResidencialResidencialNão se aplicaNão se aplicaIntermediário",Mercado_Receita!$L$2:$L$1866)+SUMIF(Mercado_Receita!$S$2:$S$1866,"44562B1ConvencionalResidencialResidencialNão se aplicaNão se aplicaNão se aplica",Mercado_Receita!$L$2:$L$1866)</f>
        <v>78265.497000000003</v>
      </c>
      <c r="S37" s="12">
        <f>SUMIF(Mercado_Receita!$S$2:$S$1866,"44593B1ConvencionalResidencialResidencialNão se aplicaNão se aplicaPonta",Mercado_Receita!$L$2:$L$1866)+SUMIF(Mercado_Receita!$S$2:$S$1866,"44593B1ConvencionalResidencialResidencialNão se aplicaNão se aplicaFora ponta",Mercado_Receita!$L$2:$L$1866)+SUMIF(Mercado_Receita!$S$2:$S$1866,"44593B1ConvencionalResidencialResidencialNão se aplicaNão se aplicaIntermediário",Mercado_Receita!$L$2:$L$1866)+SUMIF(Mercado_Receita!$S$2:$S$1866,"44593B1ConvencionalResidencialResidencialNão se aplicaNão se aplicaNão se aplica",Mercado_Receita!$L$2:$L$1866)</f>
        <v>79242.471000000005</v>
      </c>
      <c r="T37" s="12">
        <f>SUMIF(Mercado_Receita!$S$2:$S$1866,"44621B1ConvencionalResidencialResidencialNão se aplicaNão se aplicaPonta",Mercado_Receita!$L$2:$L$1866)+SUMIF(Mercado_Receita!$S$2:$S$1866,"44621B1ConvencionalResidencialResidencialNão se aplicaNão se aplicaFora ponta",Mercado_Receita!$L$2:$L$1866)+SUMIF(Mercado_Receita!$S$2:$S$1866,"44621B1ConvencionalResidencialResidencialNão se aplicaNão se aplicaIntermediário",Mercado_Receita!$L$2:$L$1866)+SUMIF(Mercado_Receita!$S$2:$S$1866,"44621B1ConvencionalResidencialResidencialNão se aplicaNão se aplicaNão se aplica",Mercado_Receita!$L$2:$L$1866)</f>
        <v>79242.471000000005</v>
      </c>
      <c r="U37" s="12">
        <f t="shared" si="1"/>
        <v>902304.86599999992</v>
      </c>
      <c r="V37" s="12"/>
      <c r="W37" s="12"/>
    </row>
    <row r="38" spans="1:23" ht="11.25" customHeight="1" x14ac:dyDescent="0.25">
      <c r="A38" s="90"/>
      <c r="B38" s="90"/>
      <c r="C38" s="90"/>
      <c r="D38" s="13" t="s">
        <v>29</v>
      </c>
      <c r="E38" s="13" t="s">
        <v>25</v>
      </c>
      <c r="F38" s="13" t="s">
        <v>25</v>
      </c>
      <c r="G38" s="12" t="s">
        <v>98</v>
      </c>
      <c r="H38" s="12" t="s">
        <v>93</v>
      </c>
      <c r="I38" s="12">
        <f>SUMIF(Mercado_Receita!$S$2:$S$1866,"44287B1ConvencionalResidencialResidencial baixa renda – faixa 01Não se aplicaNão se aplicaPonta",Mercado_Receita!$L$2:$L$1866)+SUMIF(Mercado_Receita!$S$2:$S$1866,"44287B1ConvencionalResidencialResidencial baixa renda – faixa 01Não se aplicaNão se aplicaFora ponta",Mercado_Receita!$L$2:$L$1866)+SUMIF(Mercado_Receita!$S$2:$S$1866,"44287B1ConvencionalResidencialResidencial baixa renda – faixa 01Não se aplicaNão se aplicaIntermediário",Mercado_Receita!$L$2:$L$1866)+SUMIF(Mercado_Receita!$S$2:$S$1866,"44287B1ConvencionalResidencialResidencial baixa renda – faixa 01Não se aplicaNão se aplicaNão se aplica",Mercado_Receita!$L$2:$L$1866)</f>
        <v>6850.0069999999996</v>
      </c>
      <c r="J38" s="12">
        <f>SUMIF(Mercado_Receita!$S$2:$S$1866,"44317B1ConvencionalResidencialResidencial baixa renda – faixa 01Não se aplicaNão se aplicaPonta",Mercado_Receita!$L$2:$L$1866)+SUMIF(Mercado_Receita!$S$2:$S$1866,"44317B1ConvencionalResidencialResidencial baixa renda – faixa 01Não se aplicaNão se aplicaFora ponta",Mercado_Receita!$L$2:$L$1866)+SUMIF(Mercado_Receita!$S$2:$S$1866,"44317B1ConvencionalResidencialResidencial baixa renda – faixa 01Não se aplicaNão se aplicaIntermediário",Mercado_Receita!$L$2:$L$1866)+SUMIF(Mercado_Receita!$S$2:$S$1866,"44317B1ConvencionalResidencialResidencial baixa renda – faixa 01Não se aplicaNão se aplicaNão se aplica",Mercado_Receita!$L$2:$L$1866)</f>
        <v>6866.3710000000001</v>
      </c>
      <c r="K38" s="12">
        <f>SUMIF(Mercado_Receita!$S$2:$S$1866,"44348B1ConvencionalResidencialResidencial baixa renda – faixa 01Não se aplicaNão se aplicaPonta",Mercado_Receita!$L$2:$L$1866)+SUMIF(Mercado_Receita!$S$2:$S$1866,"44348B1ConvencionalResidencialResidencial baixa renda – faixa 01Não se aplicaNão se aplicaFora ponta",Mercado_Receita!$L$2:$L$1866)+SUMIF(Mercado_Receita!$S$2:$S$1866,"44348B1ConvencionalResidencialResidencial baixa renda – faixa 01Não se aplicaNão se aplicaIntermediário",Mercado_Receita!$L$2:$L$1866)+SUMIF(Mercado_Receita!$S$2:$S$1866,"44348B1ConvencionalResidencialResidencial baixa renda – faixa 01Não se aplicaNão se aplicaNão se aplica",Mercado_Receita!$L$2:$L$1866)</f>
        <v>6887.9739999999993</v>
      </c>
      <c r="L38" s="12">
        <f>SUMIF(Mercado_Receita!$S$2:$S$1866,"44378B1ConvencionalResidencialResidencial baixa renda – faixa 01Não se aplicaNão se aplicaPonta",Mercado_Receita!$L$2:$L$1866)+SUMIF(Mercado_Receita!$S$2:$S$1866,"44378B1ConvencionalResidencialResidencial baixa renda – faixa 01Não se aplicaNão se aplicaFora ponta",Mercado_Receita!$L$2:$L$1866)+SUMIF(Mercado_Receita!$S$2:$S$1866,"44378B1ConvencionalResidencialResidencial baixa renda – faixa 01Não se aplicaNão se aplicaIntermediário",Mercado_Receita!$L$2:$L$1866)+SUMIF(Mercado_Receita!$S$2:$S$1866,"44378B1ConvencionalResidencialResidencial baixa renda – faixa 01Não se aplicaNão se aplicaNão se aplica",Mercado_Receita!$L$2:$L$1866)</f>
        <v>6935.1620000000003</v>
      </c>
      <c r="M38" s="12">
        <f>SUMIF(Mercado_Receita!$S$2:$S$1866,"44409B1ConvencionalResidencialResidencial baixa renda – faixa 01Não se aplicaNão se aplicaPonta",Mercado_Receita!$L$2:$L$1866)+SUMIF(Mercado_Receita!$S$2:$S$1866,"44409B1ConvencionalResidencialResidencial baixa renda – faixa 01Não se aplicaNão se aplicaFora ponta",Mercado_Receita!$L$2:$L$1866)+SUMIF(Mercado_Receita!$S$2:$S$1866,"44409B1ConvencionalResidencialResidencial baixa renda – faixa 01Não se aplicaNão se aplicaIntermediário",Mercado_Receita!$L$2:$L$1866)+SUMIF(Mercado_Receita!$S$2:$S$1866,"44409B1ConvencionalResidencialResidencial baixa renda – faixa 01Não se aplicaNão se aplicaNão se aplica",Mercado_Receita!$L$2:$L$1866)</f>
        <v>6976.4390000000003</v>
      </c>
      <c r="N38" s="12">
        <f>SUMIF(Mercado_Receita!$S$2:$S$1866,"44440B1ConvencionalResidencialResidencial baixa renda – faixa 01Não se aplicaNão se aplicaPonta",Mercado_Receita!$L$2:$L$1866)+SUMIF(Mercado_Receita!$S$2:$S$1866,"44440B1ConvencionalResidencialResidencial baixa renda – faixa 01Não se aplicaNão se aplicaFora ponta",Mercado_Receita!$L$2:$L$1866)+SUMIF(Mercado_Receita!$S$2:$S$1866,"44440B1ConvencionalResidencialResidencial baixa renda – faixa 01Não se aplicaNão se aplicaIntermediário",Mercado_Receita!$L$2:$L$1866)+SUMIF(Mercado_Receita!$S$2:$S$1866,"44440B1ConvencionalResidencialResidencial baixa renda – faixa 01Não se aplicaNão se aplicaNão se aplica",Mercado_Receita!$L$2:$L$1866)</f>
        <v>6884.643</v>
      </c>
      <c r="O38" s="12">
        <f>SUMIF(Mercado_Receita!$S$2:$S$1866,"44470B1ConvencionalResidencialResidencial baixa renda – faixa 01Não se aplicaNão se aplicaPonta",Mercado_Receita!$L$2:$L$1866)+SUMIF(Mercado_Receita!$S$2:$S$1866,"44470B1ConvencionalResidencialResidencial baixa renda – faixa 01Não se aplicaNão se aplicaFora ponta",Mercado_Receita!$L$2:$L$1866)+SUMIF(Mercado_Receita!$S$2:$S$1866,"44470B1ConvencionalResidencialResidencial baixa renda – faixa 01Não se aplicaNão se aplicaIntermediário",Mercado_Receita!$L$2:$L$1866)+SUMIF(Mercado_Receita!$S$2:$S$1866,"44470B1ConvencionalResidencialResidencial baixa renda – faixa 01Não se aplicaNão se aplicaNão se aplica",Mercado_Receita!$L$2:$L$1866)</f>
        <v>6930.5380000000005</v>
      </c>
      <c r="P38" s="12">
        <f>SUMIF(Mercado_Receita!$S$2:$S$1866,"44501B1ConvencionalResidencialResidencial baixa renda – faixa 01Não se aplicaNão se aplicaPonta",Mercado_Receita!$L$2:$L$1866)+SUMIF(Mercado_Receita!$S$2:$S$1866,"44501B1ConvencionalResidencialResidencial baixa renda – faixa 01Não se aplicaNão se aplicaFora ponta",Mercado_Receita!$L$2:$L$1866)+SUMIF(Mercado_Receita!$S$2:$S$1866,"44501B1ConvencionalResidencialResidencial baixa renda – faixa 01Não se aplicaNão se aplicaIntermediário",Mercado_Receita!$L$2:$L$1866)+SUMIF(Mercado_Receita!$S$2:$S$1866,"44501B1ConvencionalResidencialResidencial baixa renda – faixa 01Não se aplicaNão se aplicaNão se aplica",Mercado_Receita!$L$2:$L$1866)</f>
        <v>6948.2110000000002</v>
      </c>
      <c r="Q38" s="12">
        <f>SUMIF(Mercado_Receita!$S$2:$S$1866,"44531B1ConvencionalResidencialResidencial baixa renda – faixa 01Não se aplicaNão se aplicaPonta",Mercado_Receita!$L$2:$L$1866)+SUMIF(Mercado_Receita!$S$2:$S$1866,"44531B1ConvencionalResidencialResidencial baixa renda – faixa 01Não se aplicaNão se aplicaFora ponta",Mercado_Receita!$L$2:$L$1866)+SUMIF(Mercado_Receita!$S$2:$S$1866,"44531B1ConvencionalResidencialResidencial baixa renda – faixa 01Não se aplicaNão se aplicaIntermediário",Mercado_Receita!$L$2:$L$1866)+SUMIF(Mercado_Receita!$S$2:$S$1866,"44531B1ConvencionalResidencialResidencial baixa renda – faixa 01Não se aplicaNão se aplicaNão se aplica",Mercado_Receita!$L$2:$L$1866)</f>
        <v>6940.4760000000006</v>
      </c>
      <c r="R38" s="12">
        <f>SUMIF(Mercado_Receita!$S$2:$S$1866,"44562B1ConvencionalResidencialResidencial baixa renda – faixa 01Não se aplicaNão se aplicaPonta",Mercado_Receita!$L$2:$L$1866)+SUMIF(Mercado_Receita!$S$2:$S$1866,"44562B1ConvencionalResidencialResidencial baixa renda – faixa 01Não se aplicaNão se aplicaFora ponta",Mercado_Receita!$L$2:$L$1866)+SUMIF(Mercado_Receita!$S$2:$S$1866,"44562B1ConvencionalResidencialResidencial baixa renda – faixa 01Não se aplicaNão se aplicaIntermediário",Mercado_Receita!$L$2:$L$1866)+SUMIF(Mercado_Receita!$S$2:$S$1866,"44562B1ConvencionalResidencialResidencial baixa renda – faixa 01Não se aplicaNão se aplicaNão se aplica",Mercado_Receita!$L$2:$L$1866)</f>
        <v>6956.9800000000005</v>
      </c>
      <c r="S38" s="12">
        <f>SUMIF(Mercado_Receita!$S$2:$S$1866,"44593B1ConvencionalResidencialResidencial baixa renda – faixa 01Não se aplicaNão se aplicaPonta",Mercado_Receita!$L$2:$L$1866)+SUMIF(Mercado_Receita!$S$2:$S$1866,"44593B1ConvencionalResidencialResidencial baixa renda – faixa 01Não se aplicaNão se aplicaFora ponta",Mercado_Receita!$L$2:$L$1866)+SUMIF(Mercado_Receita!$S$2:$S$1866,"44593B1ConvencionalResidencialResidencial baixa renda – faixa 01Não se aplicaNão se aplicaIntermediário",Mercado_Receita!$L$2:$L$1866)+SUMIF(Mercado_Receita!$S$2:$S$1866,"44593B1ConvencionalResidencialResidencial baixa renda – faixa 01Não se aplicaNão se aplicaNão se aplica",Mercado_Receita!$L$2:$L$1866)</f>
        <v>7249.8050000000003</v>
      </c>
      <c r="T38" s="12">
        <f>SUMIF(Mercado_Receita!$S$2:$S$1866,"44621B1ConvencionalResidencialResidencial baixa renda – faixa 01Não se aplicaNão se aplicaPonta",Mercado_Receita!$L$2:$L$1866)+SUMIF(Mercado_Receita!$S$2:$S$1866,"44621B1ConvencionalResidencialResidencial baixa renda – faixa 01Não se aplicaNão se aplicaFora ponta",Mercado_Receita!$L$2:$L$1866)+SUMIF(Mercado_Receita!$S$2:$S$1866,"44621B1ConvencionalResidencialResidencial baixa renda – faixa 01Não se aplicaNão se aplicaIntermediário",Mercado_Receita!$L$2:$L$1866)+SUMIF(Mercado_Receita!$S$2:$S$1866,"44621B1ConvencionalResidencialResidencial baixa renda – faixa 01Não se aplicaNão se aplicaNão se aplica",Mercado_Receita!$L$2:$L$1866)</f>
        <v>7249.8050000000003</v>
      </c>
      <c r="U38" s="12">
        <f t="shared" si="1"/>
        <v>83676.410999999993</v>
      </c>
      <c r="V38" s="12"/>
      <c r="W38" s="12"/>
    </row>
    <row r="39" spans="1:23" ht="11.25" customHeight="1" x14ac:dyDescent="0.25">
      <c r="A39" s="90"/>
      <c r="B39" s="90"/>
      <c r="C39" s="90"/>
      <c r="D39" s="13" t="s">
        <v>30</v>
      </c>
      <c r="E39" s="13" t="s">
        <v>25</v>
      </c>
      <c r="F39" s="13" t="s">
        <v>25</v>
      </c>
      <c r="G39" s="12" t="s">
        <v>98</v>
      </c>
      <c r="H39" s="12" t="s">
        <v>93</v>
      </c>
      <c r="I39" s="12">
        <f>SUMIF(Mercado_Receita!$S$2:$S$1866,"44287B1ConvencionalResidencialResidencial baixa renda – faixa 02Não se aplicaNão se aplicaPonta",Mercado_Receita!$L$2:$L$1866)+SUMIF(Mercado_Receita!$S$2:$S$1866,"44287B1ConvencionalResidencialResidencial baixa renda – faixa 02Não se aplicaNão se aplicaFora ponta",Mercado_Receita!$L$2:$L$1866)+SUMIF(Mercado_Receita!$S$2:$S$1866,"44287B1ConvencionalResidencialResidencial baixa renda – faixa 02Não se aplicaNão se aplicaIntermediário",Mercado_Receita!$L$2:$L$1866)+SUMIF(Mercado_Receita!$S$2:$S$1866,"44287B1ConvencionalResidencialResidencial baixa renda – faixa 02Não se aplicaNão se aplicaNão se aplica",Mercado_Receita!$L$2:$L$1866)</f>
        <v>11783.481</v>
      </c>
      <c r="J39" s="12">
        <f>SUMIF(Mercado_Receita!$S$2:$S$1866,"44317B1ConvencionalResidencialResidencial baixa renda – faixa 02Não se aplicaNão se aplicaPonta",Mercado_Receita!$L$2:$L$1866)+SUMIF(Mercado_Receita!$S$2:$S$1866,"44317B1ConvencionalResidencialResidencial baixa renda – faixa 02Não se aplicaNão se aplicaFora ponta",Mercado_Receita!$L$2:$L$1866)+SUMIF(Mercado_Receita!$S$2:$S$1866,"44317B1ConvencionalResidencialResidencial baixa renda – faixa 02Não se aplicaNão se aplicaIntermediário",Mercado_Receita!$L$2:$L$1866)+SUMIF(Mercado_Receita!$S$2:$S$1866,"44317B1ConvencionalResidencialResidencial baixa renda – faixa 02Não se aplicaNão se aplicaNão se aplica",Mercado_Receita!$L$2:$L$1866)</f>
        <v>10990.916000000001</v>
      </c>
      <c r="K39" s="12">
        <f>SUMIF(Mercado_Receita!$S$2:$S$1866,"44348B1ConvencionalResidencialResidencial baixa renda – faixa 02Não se aplicaNão se aplicaPonta",Mercado_Receita!$L$2:$L$1866)+SUMIF(Mercado_Receita!$S$2:$S$1866,"44348B1ConvencionalResidencialResidencial baixa renda – faixa 02Não se aplicaNão se aplicaFora ponta",Mercado_Receita!$L$2:$L$1866)+SUMIF(Mercado_Receita!$S$2:$S$1866,"44348B1ConvencionalResidencialResidencial baixa renda – faixa 02Não se aplicaNão se aplicaIntermediário",Mercado_Receita!$L$2:$L$1866)+SUMIF(Mercado_Receita!$S$2:$S$1866,"44348B1ConvencionalResidencialResidencial baixa renda – faixa 02Não se aplicaNão se aplicaNão se aplica",Mercado_Receita!$L$2:$L$1866)</f>
        <v>10714.576999999999</v>
      </c>
      <c r="L39" s="12">
        <f>SUMIF(Mercado_Receita!$S$2:$S$1866,"44378B1ConvencionalResidencialResidencial baixa renda – faixa 02Não se aplicaNão se aplicaPonta",Mercado_Receita!$L$2:$L$1866)+SUMIF(Mercado_Receita!$S$2:$S$1866,"44378B1ConvencionalResidencialResidencial baixa renda – faixa 02Não se aplicaNão se aplicaFora ponta",Mercado_Receita!$L$2:$L$1866)+SUMIF(Mercado_Receita!$S$2:$S$1866,"44378B1ConvencionalResidencialResidencial baixa renda – faixa 02Não se aplicaNão se aplicaIntermediário",Mercado_Receita!$L$2:$L$1866)+SUMIF(Mercado_Receita!$S$2:$S$1866,"44378B1ConvencionalResidencialResidencial baixa renda – faixa 02Não se aplicaNão se aplicaNão se aplica",Mercado_Receita!$L$2:$L$1866)</f>
        <v>10670.609</v>
      </c>
      <c r="M39" s="12">
        <f>SUMIF(Mercado_Receita!$S$2:$S$1866,"44409B1ConvencionalResidencialResidencial baixa renda – faixa 02Não se aplicaNão se aplicaPonta",Mercado_Receita!$L$2:$L$1866)+SUMIF(Mercado_Receita!$S$2:$S$1866,"44409B1ConvencionalResidencialResidencial baixa renda – faixa 02Não se aplicaNão se aplicaFora ponta",Mercado_Receita!$L$2:$L$1866)+SUMIF(Mercado_Receita!$S$2:$S$1866,"44409B1ConvencionalResidencialResidencial baixa renda – faixa 02Não se aplicaNão se aplicaIntermediário",Mercado_Receita!$L$2:$L$1866)+SUMIF(Mercado_Receita!$S$2:$S$1866,"44409B1ConvencionalResidencialResidencial baixa renda – faixa 02Não se aplicaNão se aplicaNão se aplica",Mercado_Receita!$L$2:$L$1866)</f>
        <v>10254.753000000001</v>
      </c>
      <c r="N39" s="12">
        <f>SUMIF(Mercado_Receita!$S$2:$S$1866,"44440B1ConvencionalResidencialResidencial baixa renda – faixa 02Não se aplicaNão se aplicaPonta",Mercado_Receita!$L$2:$L$1866)+SUMIF(Mercado_Receita!$S$2:$S$1866,"44440B1ConvencionalResidencialResidencial baixa renda – faixa 02Não se aplicaNão se aplicaFora ponta",Mercado_Receita!$L$2:$L$1866)+SUMIF(Mercado_Receita!$S$2:$S$1866,"44440B1ConvencionalResidencialResidencial baixa renda – faixa 02Não se aplicaNão se aplicaIntermediário",Mercado_Receita!$L$2:$L$1866)+SUMIF(Mercado_Receita!$S$2:$S$1866,"44440B1ConvencionalResidencialResidencial baixa renda – faixa 02Não se aplicaNão se aplicaNão se aplica",Mercado_Receita!$L$2:$L$1866)</f>
        <v>10326.816999999999</v>
      </c>
      <c r="O39" s="12">
        <f>SUMIF(Mercado_Receita!$S$2:$S$1866,"44470B1ConvencionalResidencialResidencial baixa renda – faixa 02Não se aplicaNão se aplicaPonta",Mercado_Receita!$L$2:$L$1866)+SUMIF(Mercado_Receita!$S$2:$S$1866,"44470B1ConvencionalResidencialResidencial baixa renda – faixa 02Não se aplicaNão se aplicaFora ponta",Mercado_Receita!$L$2:$L$1866)+SUMIF(Mercado_Receita!$S$2:$S$1866,"44470B1ConvencionalResidencialResidencial baixa renda – faixa 02Não se aplicaNão se aplicaIntermediário",Mercado_Receita!$L$2:$L$1866)+SUMIF(Mercado_Receita!$S$2:$S$1866,"44470B1ConvencionalResidencialResidencial baixa renda – faixa 02Não se aplicaNão se aplicaNão se aplica",Mercado_Receita!$L$2:$L$1866)</f>
        <v>10969.795</v>
      </c>
      <c r="P39" s="12">
        <f>SUMIF(Mercado_Receita!$S$2:$S$1866,"44501B1ConvencionalResidencialResidencial baixa renda – faixa 02Não se aplicaNão se aplicaPonta",Mercado_Receita!$L$2:$L$1866)+SUMIF(Mercado_Receita!$S$2:$S$1866,"44501B1ConvencionalResidencialResidencial baixa renda – faixa 02Não se aplicaNão se aplicaFora ponta",Mercado_Receita!$L$2:$L$1866)+SUMIF(Mercado_Receita!$S$2:$S$1866,"44501B1ConvencionalResidencialResidencial baixa renda – faixa 02Não se aplicaNão se aplicaIntermediário",Mercado_Receita!$L$2:$L$1866)+SUMIF(Mercado_Receita!$S$2:$S$1866,"44501B1ConvencionalResidencialResidencial baixa renda – faixa 02Não se aplicaNão se aplicaNão se aplica",Mercado_Receita!$L$2:$L$1866)</f>
        <v>11187.222</v>
      </c>
      <c r="Q39" s="12">
        <f>SUMIF(Mercado_Receita!$S$2:$S$1866,"44531B1ConvencionalResidencialResidencial baixa renda – faixa 02Não se aplicaNão se aplicaPonta",Mercado_Receita!$L$2:$L$1866)+SUMIF(Mercado_Receita!$S$2:$S$1866,"44531B1ConvencionalResidencialResidencial baixa renda – faixa 02Não se aplicaNão se aplicaFora ponta",Mercado_Receita!$L$2:$L$1866)+SUMIF(Mercado_Receita!$S$2:$S$1866,"44531B1ConvencionalResidencialResidencial baixa renda – faixa 02Não se aplicaNão se aplicaIntermediário",Mercado_Receita!$L$2:$L$1866)+SUMIF(Mercado_Receita!$S$2:$S$1866,"44531B1ConvencionalResidencialResidencial baixa renda – faixa 02Não se aplicaNão se aplicaNão se aplica",Mercado_Receita!$L$2:$L$1866)</f>
        <v>11446.073999999999</v>
      </c>
      <c r="R39" s="12">
        <f>SUMIF(Mercado_Receita!$S$2:$S$1866,"44562B1ConvencionalResidencialResidencial baixa renda – faixa 02Não se aplicaNão se aplicaPonta",Mercado_Receita!$L$2:$L$1866)+SUMIF(Mercado_Receita!$S$2:$S$1866,"44562B1ConvencionalResidencialResidencial baixa renda – faixa 02Não se aplicaNão se aplicaFora ponta",Mercado_Receita!$L$2:$L$1866)+SUMIF(Mercado_Receita!$S$2:$S$1866,"44562B1ConvencionalResidencialResidencial baixa renda – faixa 02Não se aplicaNão se aplicaIntermediário",Mercado_Receita!$L$2:$L$1866)+SUMIF(Mercado_Receita!$S$2:$S$1866,"44562B1ConvencionalResidencialResidencial baixa renda – faixa 02Não se aplicaNão se aplicaNão se aplica",Mercado_Receita!$L$2:$L$1866)</f>
        <v>11835.151</v>
      </c>
      <c r="S39" s="12">
        <f>SUMIF(Mercado_Receita!$S$2:$S$1866,"44593B1ConvencionalResidencialResidencial baixa renda – faixa 02Não se aplicaNão se aplicaPonta",Mercado_Receita!$L$2:$L$1866)+SUMIF(Mercado_Receita!$S$2:$S$1866,"44593B1ConvencionalResidencialResidencial baixa renda – faixa 02Não se aplicaNão se aplicaFora ponta",Mercado_Receita!$L$2:$L$1866)+SUMIF(Mercado_Receita!$S$2:$S$1866,"44593B1ConvencionalResidencialResidencial baixa renda – faixa 02Não se aplicaNão se aplicaIntermediário",Mercado_Receita!$L$2:$L$1866)+SUMIF(Mercado_Receita!$S$2:$S$1866,"44593B1ConvencionalResidencialResidencial baixa renda – faixa 02Não se aplicaNão se aplicaNão se aplica",Mercado_Receita!$L$2:$L$1866)</f>
        <v>12142.212</v>
      </c>
      <c r="T39" s="12">
        <f>SUMIF(Mercado_Receita!$S$2:$S$1866,"44621B1ConvencionalResidencialResidencial baixa renda – faixa 02Não se aplicaNão se aplicaPonta",Mercado_Receita!$L$2:$L$1866)+SUMIF(Mercado_Receita!$S$2:$S$1866,"44621B1ConvencionalResidencialResidencial baixa renda – faixa 02Não se aplicaNão se aplicaFora ponta",Mercado_Receita!$L$2:$L$1866)+SUMIF(Mercado_Receita!$S$2:$S$1866,"44621B1ConvencionalResidencialResidencial baixa renda – faixa 02Não se aplicaNão se aplicaIntermediário",Mercado_Receita!$L$2:$L$1866)+SUMIF(Mercado_Receita!$S$2:$S$1866,"44621B1ConvencionalResidencialResidencial baixa renda – faixa 02Não se aplicaNão se aplicaNão se aplica",Mercado_Receita!$L$2:$L$1866)</f>
        <v>12142.212</v>
      </c>
      <c r="U39" s="12">
        <f t="shared" si="1"/>
        <v>134463.81899999996</v>
      </c>
      <c r="V39" s="12"/>
      <c r="W39" s="12"/>
    </row>
    <row r="40" spans="1:23" ht="11.25" customHeight="1" x14ac:dyDescent="0.25">
      <c r="A40" s="90"/>
      <c r="B40" s="90"/>
      <c r="C40" s="90"/>
      <c r="D40" s="13" t="s">
        <v>31</v>
      </c>
      <c r="E40" s="13" t="s">
        <v>25</v>
      </c>
      <c r="F40" s="13" t="s">
        <v>25</v>
      </c>
      <c r="G40" s="12" t="s">
        <v>98</v>
      </c>
      <c r="H40" s="12" t="s">
        <v>93</v>
      </c>
      <c r="I40" s="12">
        <f>SUMIF(Mercado_Receita!$S$2:$S$1866,"44287B1ConvencionalResidencialResidencial baixa renda – faixa 03Não se aplicaNão se aplicaPonta",Mercado_Receita!$L$2:$L$1866)+SUMIF(Mercado_Receita!$S$2:$S$1866,"44287B1ConvencionalResidencialResidencial baixa renda – faixa 03Não se aplicaNão se aplicaFora ponta",Mercado_Receita!$L$2:$L$1866)+SUMIF(Mercado_Receita!$S$2:$S$1866,"44287B1ConvencionalResidencialResidencial baixa renda – faixa 03Não se aplicaNão se aplicaIntermediário",Mercado_Receita!$L$2:$L$1866)+SUMIF(Mercado_Receita!$S$2:$S$1866,"44287B1ConvencionalResidencialResidencial baixa renda – faixa 03Não se aplicaNão se aplicaNão se aplica",Mercado_Receita!$L$2:$L$1866)</f>
        <v>6124.344000000001</v>
      </c>
      <c r="J40" s="12">
        <f>SUMIF(Mercado_Receita!$S$2:$S$1866,"44317B1ConvencionalResidencialResidencial baixa renda – faixa 03Não se aplicaNão se aplicaPonta",Mercado_Receita!$L$2:$L$1866)+SUMIF(Mercado_Receita!$S$2:$S$1866,"44317B1ConvencionalResidencialResidencial baixa renda – faixa 03Não se aplicaNão se aplicaFora ponta",Mercado_Receita!$L$2:$L$1866)+SUMIF(Mercado_Receita!$S$2:$S$1866,"44317B1ConvencionalResidencialResidencial baixa renda – faixa 03Não se aplicaNão se aplicaIntermediário",Mercado_Receita!$L$2:$L$1866)+SUMIF(Mercado_Receita!$S$2:$S$1866,"44317B1ConvencionalResidencialResidencial baixa renda – faixa 03Não se aplicaNão se aplicaNão se aplica",Mercado_Receita!$L$2:$L$1866)</f>
        <v>4779.25</v>
      </c>
      <c r="K40" s="12">
        <f>SUMIF(Mercado_Receita!$S$2:$S$1866,"44348B1ConvencionalResidencialResidencial baixa renda – faixa 03Não se aplicaNão se aplicaPonta",Mercado_Receita!$L$2:$L$1866)+SUMIF(Mercado_Receita!$S$2:$S$1866,"44348B1ConvencionalResidencialResidencial baixa renda – faixa 03Não se aplicaNão se aplicaFora ponta",Mercado_Receita!$L$2:$L$1866)+SUMIF(Mercado_Receita!$S$2:$S$1866,"44348B1ConvencionalResidencialResidencial baixa renda – faixa 03Não se aplicaNão se aplicaIntermediário",Mercado_Receita!$L$2:$L$1866)+SUMIF(Mercado_Receita!$S$2:$S$1866,"44348B1ConvencionalResidencialResidencial baixa renda – faixa 03Não se aplicaNão se aplicaNão se aplica",Mercado_Receita!$L$2:$L$1866)</f>
        <v>4324.3770000000004</v>
      </c>
      <c r="L40" s="12">
        <f>SUMIF(Mercado_Receita!$S$2:$S$1866,"44378B1ConvencionalResidencialResidencial baixa renda – faixa 03Não se aplicaNão se aplicaPonta",Mercado_Receita!$L$2:$L$1866)+SUMIF(Mercado_Receita!$S$2:$S$1866,"44378B1ConvencionalResidencialResidencial baixa renda – faixa 03Não se aplicaNão se aplicaFora ponta",Mercado_Receita!$L$2:$L$1866)+SUMIF(Mercado_Receita!$S$2:$S$1866,"44378B1ConvencionalResidencialResidencial baixa renda – faixa 03Não se aplicaNão se aplicaIntermediário",Mercado_Receita!$L$2:$L$1866)+SUMIF(Mercado_Receita!$S$2:$S$1866,"44378B1ConvencionalResidencialResidencial baixa renda – faixa 03Não se aplicaNão se aplicaNão se aplica",Mercado_Receita!$L$2:$L$1866)</f>
        <v>4159.5940000000001</v>
      </c>
      <c r="M40" s="12">
        <f>SUMIF(Mercado_Receita!$S$2:$S$1866,"44409B1ConvencionalResidencialResidencial baixa renda – faixa 03Não se aplicaNão se aplicaPonta",Mercado_Receita!$L$2:$L$1866)+SUMIF(Mercado_Receita!$S$2:$S$1866,"44409B1ConvencionalResidencialResidencial baixa renda – faixa 03Não se aplicaNão se aplicaFora ponta",Mercado_Receita!$L$2:$L$1866)+SUMIF(Mercado_Receita!$S$2:$S$1866,"44409B1ConvencionalResidencialResidencial baixa renda – faixa 03Não se aplicaNão se aplicaIntermediário",Mercado_Receita!$L$2:$L$1866)+SUMIF(Mercado_Receita!$S$2:$S$1866,"44409B1ConvencionalResidencialResidencial baixa renda – faixa 03Não se aplicaNão se aplicaNão se aplica",Mercado_Receita!$L$2:$L$1866)</f>
        <v>3609.623</v>
      </c>
      <c r="N40" s="12">
        <f>SUMIF(Mercado_Receita!$S$2:$S$1866,"44440B1ConvencionalResidencialResidencial baixa renda – faixa 03Não se aplicaNão se aplicaPonta",Mercado_Receita!$L$2:$L$1866)+SUMIF(Mercado_Receita!$S$2:$S$1866,"44440B1ConvencionalResidencialResidencial baixa renda – faixa 03Não se aplicaNão se aplicaFora ponta",Mercado_Receita!$L$2:$L$1866)+SUMIF(Mercado_Receita!$S$2:$S$1866,"44440B1ConvencionalResidencialResidencial baixa renda – faixa 03Não se aplicaNão se aplicaIntermediário",Mercado_Receita!$L$2:$L$1866)+SUMIF(Mercado_Receita!$S$2:$S$1866,"44440B1ConvencionalResidencialResidencial baixa renda – faixa 03Não se aplicaNão se aplicaNão se aplica",Mercado_Receita!$L$2:$L$1866)</f>
        <v>3732.9490000000001</v>
      </c>
      <c r="O40" s="12">
        <f>SUMIF(Mercado_Receita!$S$2:$S$1866,"44470B1ConvencionalResidencialResidencial baixa renda – faixa 03Não se aplicaNão se aplicaPonta",Mercado_Receita!$L$2:$L$1866)+SUMIF(Mercado_Receita!$S$2:$S$1866,"44470B1ConvencionalResidencialResidencial baixa renda – faixa 03Não se aplicaNão se aplicaFora ponta",Mercado_Receita!$L$2:$L$1866)+SUMIF(Mercado_Receita!$S$2:$S$1866,"44470B1ConvencionalResidencialResidencial baixa renda – faixa 03Não se aplicaNão se aplicaIntermediário",Mercado_Receita!$L$2:$L$1866)+SUMIF(Mercado_Receita!$S$2:$S$1866,"44470B1ConvencionalResidencialResidencial baixa renda – faixa 03Não se aplicaNão se aplicaNão se aplica",Mercado_Receita!$L$2:$L$1866)</f>
        <v>4423.027</v>
      </c>
      <c r="P40" s="12">
        <f>SUMIF(Mercado_Receita!$S$2:$S$1866,"44501B1ConvencionalResidencialResidencial baixa renda – faixa 03Não se aplicaNão se aplicaPonta",Mercado_Receita!$L$2:$L$1866)+SUMIF(Mercado_Receita!$S$2:$S$1866,"44501B1ConvencionalResidencialResidencial baixa renda – faixa 03Não se aplicaNão se aplicaFora ponta",Mercado_Receita!$L$2:$L$1866)+SUMIF(Mercado_Receita!$S$2:$S$1866,"44501B1ConvencionalResidencialResidencial baixa renda – faixa 03Não se aplicaNão se aplicaIntermediário",Mercado_Receita!$L$2:$L$1866)+SUMIF(Mercado_Receita!$S$2:$S$1866,"44501B1ConvencionalResidencialResidencial baixa renda – faixa 03Não se aplicaNão se aplicaNão se aplica",Mercado_Receita!$L$2:$L$1866)</f>
        <v>4714.32</v>
      </c>
      <c r="Q40" s="12">
        <f>SUMIF(Mercado_Receita!$S$2:$S$1866,"44531B1ConvencionalResidencialResidencial baixa renda – faixa 03Não se aplicaNão se aplicaPonta",Mercado_Receita!$L$2:$L$1866)+SUMIF(Mercado_Receita!$S$2:$S$1866,"44531B1ConvencionalResidencialResidencial baixa renda – faixa 03Não se aplicaNão se aplicaFora ponta",Mercado_Receita!$L$2:$L$1866)+SUMIF(Mercado_Receita!$S$2:$S$1866,"44531B1ConvencionalResidencialResidencial baixa renda – faixa 03Não se aplicaNão se aplicaIntermediário",Mercado_Receita!$L$2:$L$1866)+SUMIF(Mercado_Receita!$S$2:$S$1866,"44531B1ConvencionalResidencialResidencial baixa renda – faixa 03Não se aplicaNão se aplicaNão se aplica",Mercado_Receita!$L$2:$L$1866)</f>
        <v>5087.7460000000001</v>
      </c>
      <c r="R40" s="12">
        <f>SUMIF(Mercado_Receita!$S$2:$S$1866,"44562B1ConvencionalResidencialResidencial baixa renda – faixa 03Não se aplicaNão se aplicaPonta",Mercado_Receita!$L$2:$L$1866)+SUMIF(Mercado_Receita!$S$2:$S$1866,"44562B1ConvencionalResidencialResidencial baixa renda – faixa 03Não se aplicaNão se aplicaFora ponta",Mercado_Receita!$L$2:$L$1866)+SUMIF(Mercado_Receita!$S$2:$S$1866,"44562B1ConvencionalResidencialResidencial baixa renda – faixa 03Não se aplicaNão se aplicaIntermediário",Mercado_Receita!$L$2:$L$1866)+SUMIF(Mercado_Receita!$S$2:$S$1866,"44562B1ConvencionalResidencialResidencial baixa renda – faixa 03Não se aplicaNão se aplicaNão se aplica",Mercado_Receita!$L$2:$L$1866)</f>
        <v>5803.4490000000005</v>
      </c>
      <c r="S40" s="12">
        <f>SUMIF(Mercado_Receita!$S$2:$S$1866,"44593B1ConvencionalResidencialResidencial baixa renda – faixa 03Não se aplicaNão se aplicaPonta",Mercado_Receita!$L$2:$L$1866)+SUMIF(Mercado_Receita!$S$2:$S$1866,"44593B1ConvencionalResidencialResidencial baixa renda – faixa 03Não se aplicaNão se aplicaFora ponta",Mercado_Receita!$L$2:$L$1866)+SUMIF(Mercado_Receita!$S$2:$S$1866,"44593B1ConvencionalResidencialResidencial baixa renda – faixa 03Não se aplicaNão se aplicaIntermediário",Mercado_Receita!$L$2:$L$1866)+SUMIF(Mercado_Receita!$S$2:$S$1866,"44593B1ConvencionalResidencialResidencial baixa renda – faixa 03Não se aplicaNão se aplicaNão se aplica",Mercado_Receita!$L$2:$L$1866)</f>
        <v>5687.1500000000005</v>
      </c>
      <c r="T40" s="12">
        <f>SUMIF(Mercado_Receita!$S$2:$S$1866,"44621B1ConvencionalResidencialResidencial baixa renda – faixa 03Não se aplicaNão se aplicaPonta",Mercado_Receita!$L$2:$L$1866)+SUMIF(Mercado_Receita!$S$2:$S$1866,"44621B1ConvencionalResidencialResidencial baixa renda – faixa 03Não se aplicaNão se aplicaFora ponta",Mercado_Receita!$L$2:$L$1866)+SUMIF(Mercado_Receita!$S$2:$S$1866,"44621B1ConvencionalResidencialResidencial baixa renda – faixa 03Não se aplicaNão se aplicaIntermediário",Mercado_Receita!$L$2:$L$1866)+SUMIF(Mercado_Receita!$S$2:$S$1866,"44621B1ConvencionalResidencialResidencial baixa renda – faixa 03Não se aplicaNão se aplicaNão se aplica",Mercado_Receita!$L$2:$L$1866)</f>
        <v>5687.1500000000005</v>
      </c>
      <c r="U40" s="12">
        <f t="shared" si="1"/>
        <v>58132.979000000007</v>
      </c>
      <c r="V40" s="12"/>
      <c r="W40" s="12"/>
    </row>
    <row r="41" spans="1:23" ht="11.25" customHeight="1" x14ac:dyDescent="0.25">
      <c r="A41" s="90"/>
      <c r="B41" s="90"/>
      <c r="C41" s="90"/>
      <c r="D41" s="13" t="s">
        <v>32</v>
      </c>
      <c r="E41" s="13" t="s">
        <v>25</v>
      </c>
      <c r="F41" s="13" t="s">
        <v>25</v>
      </c>
      <c r="G41" s="12" t="s">
        <v>98</v>
      </c>
      <c r="H41" s="12" t="s">
        <v>93</v>
      </c>
      <c r="I41" s="12">
        <f>SUMIF(Mercado_Receita!$S$2:$S$1866,"44287B1ConvencionalResidencialResidencial baixa renda – faixa 04Não se aplicaNão se aplicaPonta",Mercado_Receita!$L$2:$L$1866)+SUMIF(Mercado_Receita!$S$2:$S$1866,"44287B1ConvencionalResidencialResidencial baixa renda – faixa 04Não se aplicaNão se aplicaFora ponta",Mercado_Receita!$L$2:$L$1866)+SUMIF(Mercado_Receita!$S$2:$S$1866,"44287B1ConvencionalResidencialResidencial baixa renda – faixa 04Não se aplicaNão se aplicaIntermediário",Mercado_Receita!$L$2:$L$1866)+SUMIF(Mercado_Receita!$S$2:$S$1866,"44287B1ConvencionalResidencialResidencial baixa renda – faixa 04Não se aplicaNão se aplicaNão se aplica",Mercado_Receita!$L$2:$L$1866)</f>
        <v>1837.1299999999999</v>
      </c>
      <c r="J41" s="12">
        <f>SUMIF(Mercado_Receita!$S$2:$S$1866,"44317B1ConvencionalResidencialResidencial baixa renda – faixa 04Não se aplicaNão se aplicaPonta",Mercado_Receita!$L$2:$L$1866)+SUMIF(Mercado_Receita!$S$2:$S$1866,"44317B1ConvencionalResidencialResidencial baixa renda – faixa 04Não se aplicaNão se aplicaFora ponta",Mercado_Receita!$L$2:$L$1866)+SUMIF(Mercado_Receita!$S$2:$S$1866,"44317B1ConvencionalResidencialResidencial baixa renda – faixa 04Não se aplicaNão se aplicaIntermediário",Mercado_Receita!$L$2:$L$1866)+SUMIF(Mercado_Receita!$S$2:$S$1866,"44317B1ConvencionalResidencialResidencial baixa renda – faixa 04Não se aplicaNão se aplicaNão se aplica",Mercado_Receita!$L$2:$L$1866)</f>
        <v>1274.345</v>
      </c>
      <c r="K41" s="12">
        <f>SUMIF(Mercado_Receita!$S$2:$S$1866,"44348B1ConvencionalResidencialResidencial baixa renda – faixa 04Não se aplicaNão se aplicaPonta",Mercado_Receita!$L$2:$L$1866)+SUMIF(Mercado_Receita!$S$2:$S$1866,"44348B1ConvencionalResidencialResidencial baixa renda – faixa 04Não se aplicaNão se aplicaFora ponta",Mercado_Receita!$L$2:$L$1866)+SUMIF(Mercado_Receita!$S$2:$S$1866,"44348B1ConvencionalResidencialResidencial baixa renda – faixa 04Não se aplicaNão se aplicaIntermediário",Mercado_Receita!$L$2:$L$1866)+SUMIF(Mercado_Receita!$S$2:$S$1866,"44348B1ConvencionalResidencialResidencial baixa renda – faixa 04Não se aplicaNão se aplicaNão se aplica",Mercado_Receita!$L$2:$L$1866)</f>
        <v>1127.768</v>
      </c>
      <c r="L41" s="12">
        <f>SUMIF(Mercado_Receita!$S$2:$S$1866,"44378B1ConvencionalResidencialResidencial baixa renda – faixa 04Não se aplicaNão se aplicaPonta",Mercado_Receita!$L$2:$L$1866)+SUMIF(Mercado_Receita!$S$2:$S$1866,"44378B1ConvencionalResidencialResidencial baixa renda – faixa 04Não se aplicaNão se aplicaFora ponta",Mercado_Receita!$L$2:$L$1866)+SUMIF(Mercado_Receita!$S$2:$S$1866,"44378B1ConvencionalResidencialResidencial baixa renda – faixa 04Não se aplicaNão se aplicaIntermediário",Mercado_Receita!$L$2:$L$1866)+SUMIF(Mercado_Receita!$S$2:$S$1866,"44378B1ConvencionalResidencialResidencial baixa renda – faixa 04Não se aplicaNão se aplicaNão se aplica",Mercado_Receita!$L$2:$L$1866)</f>
        <v>1036.5819999999999</v>
      </c>
      <c r="M41" s="12">
        <f>SUMIF(Mercado_Receita!$S$2:$S$1866,"44409B1ConvencionalResidencialResidencial baixa renda – faixa 04Não se aplicaNão se aplicaPonta",Mercado_Receita!$L$2:$L$1866)+SUMIF(Mercado_Receita!$S$2:$S$1866,"44409B1ConvencionalResidencialResidencial baixa renda – faixa 04Não se aplicaNão se aplicaFora ponta",Mercado_Receita!$L$2:$L$1866)+SUMIF(Mercado_Receita!$S$2:$S$1866,"44409B1ConvencionalResidencialResidencial baixa renda – faixa 04Não se aplicaNão se aplicaIntermediário",Mercado_Receita!$L$2:$L$1866)+SUMIF(Mercado_Receita!$S$2:$S$1866,"44409B1ConvencionalResidencialResidencial baixa renda – faixa 04Não se aplicaNão se aplicaNão se aplica",Mercado_Receita!$L$2:$L$1866)</f>
        <v>906.87199999999996</v>
      </c>
      <c r="N41" s="12">
        <f>SUMIF(Mercado_Receita!$S$2:$S$1866,"44440B1ConvencionalResidencialResidencial baixa renda – faixa 04Não se aplicaNão se aplicaPonta",Mercado_Receita!$L$2:$L$1866)+SUMIF(Mercado_Receita!$S$2:$S$1866,"44440B1ConvencionalResidencialResidencial baixa renda – faixa 04Não se aplicaNão se aplicaFora ponta",Mercado_Receita!$L$2:$L$1866)+SUMIF(Mercado_Receita!$S$2:$S$1866,"44440B1ConvencionalResidencialResidencial baixa renda – faixa 04Não se aplicaNão se aplicaIntermediário",Mercado_Receita!$L$2:$L$1866)+SUMIF(Mercado_Receita!$S$2:$S$1866,"44440B1ConvencionalResidencialResidencial baixa renda – faixa 04Não se aplicaNão se aplicaNão se aplica",Mercado_Receita!$L$2:$L$1866)</f>
        <v>967.73500000000001</v>
      </c>
      <c r="O41" s="12">
        <f>SUMIF(Mercado_Receita!$S$2:$S$1866,"44470B1ConvencionalResidencialResidencial baixa renda – faixa 04Não se aplicaNão se aplicaPonta",Mercado_Receita!$L$2:$L$1866)+SUMIF(Mercado_Receita!$S$2:$S$1866,"44470B1ConvencionalResidencialResidencial baixa renda – faixa 04Não se aplicaNão se aplicaFora ponta",Mercado_Receita!$L$2:$L$1866)+SUMIF(Mercado_Receita!$S$2:$S$1866,"44470B1ConvencionalResidencialResidencial baixa renda – faixa 04Não se aplicaNão se aplicaIntermediário",Mercado_Receita!$L$2:$L$1866)+SUMIF(Mercado_Receita!$S$2:$S$1866,"44470B1ConvencionalResidencialResidencial baixa renda – faixa 04Não se aplicaNão se aplicaNão se aplica",Mercado_Receita!$L$2:$L$1866)</f>
        <v>1195.104</v>
      </c>
      <c r="P41" s="12">
        <f>SUMIF(Mercado_Receita!$S$2:$S$1866,"44501B1ConvencionalResidencialResidencial baixa renda – faixa 04Não se aplicaNão se aplicaPonta",Mercado_Receita!$L$2:$L$1866)+SUMIF(Mercado_Receita!$S$2:$S$1866,"44501B1ConvencionalResidencialResidencial baixa renda – faixa 04Não se aplicaNão se aplicaFora ponta",Mercado_Receita!$L$2:$L$1866)+SUMIF(Mercado_Receita!$S$2:$S$1866,"44501B1ConvencionalResidencialResidencial baixa renda – faixa 04Não se aplicaNão se aplicaIntermediário",Mercado_Receita!$L$2:$L$1866)+SUMIF(Mercado_Receita!$S$2:$S$1866,"44501B1ConvencionalResidencialResidencial baixa renda – faixa 04Não se aplicaNão se aplicaNão se aplica",Mercado_Receita!$L$2:$L$1866)</f>
        <v>1298.7070000000001</v>
      </c>
      <c r="Q41" s="12">
        <f>SUMIF(Mercado_Receita!$S$2:$S$1866,"44531B1ConvencionalResidencialResidencial baixa renda – faixa 04Não se aplicaNão se aplicaPonta",Mercado_Receita!$L$2:$L$1866)+SUMIF(Mercado_Receita!$S$2:$S$1866,"44531B1ConvencionalResidencialResidencial baixa renda – faixa 04Não se aplicaNão se aplicaFora ponta",Mercado_Receita!$L$2:$L$1866)+SUMIF(Mercado_Receita!$S$2:$S$1866,"44531B1ConvencionalResidencialResidencial baixa renda – faixa 04Não se aplicaNão se aplicaIntermediário",Mercado_Receita!$L$2:$L$1866)+SUMIF(Mercado_Receita!$S$2:$S$1866,"44531B1ConvencionalResidencialResidencial baixa renda – faixa 04Não se aplicaNão se aplicaNão se aplica",Mercado_Receita!$L$2:$L$1866)</f>
        <v>1448.7829999999999</v>
      </c>
      <c r="R41" s="12">
        <f>SUMIF(Mercado_Receita!$S$2:$S$1866,"44562B1ConvencionalResidencialResidencial baixa renda – faixa 04Não se aplicaNão se aplicaPonta",Mercado_Receita!$L$2:$L$1866)+SUMIF(Mercado_Receita!$S$2:$S$1866,"44562B1ConvencionalResidencialResidencial baixa renda – faixa 04Não se aplicaNão se aplicaFora ponta",Mercado_Receita!$L$2:$L$1866)+SUMIF(Mercado_Receita!$S$2:$S$1866,"44562B1ConvencionalResidencialResidencial baixa renda – faixa 04Não se aplicaNão se aplicaIntermediário",Mercado_Receita!$L$2:$L$1866)+SUMIF(Mercado_Receita!$S$2:$S$1866,"44562B1ConvencionalResidencialResidencial baixa renda – faixa 04Não se aplicaNão se aplicaNão se aplica",Mercado_Receita!$L$2:$L$1866)</f>
        <v>1667.4829999999999</v>
      </c>
      <c r="S41" s="12">
        <f>SUMIF(Mercado_Receita!$S$2:$S$1866,"44593B1ConvencionalResidencialResidencial baixa renda – faixa 04Não se aplicaNão se aplicaPonta",Mercado_Receita!$L$2:$L$1866)+SUMIF(Mercado_Receita!$S$2:$S$1866,"44593B1ConvencionalResidencialResidencial baixa renda – faixa 04Não se aplicaNão se aplicaFora ponta",Mercado_Receita!$L$2:$L$1866)+SUMIF(Mercado_Receita!$S$2:$S$1866,"44593B1ConvencionalResidencialResidencial baixa renda – faixa 04Não se aplicaNão se aplicaIntermediário",Mercado_Receita!$L$2:$L$1866)+SUMIF(Mercado_Receita!$S$2:$S$1866,"44593B1ConvencionalResidencialResidencial baixa renda – faixa 04Não se aplicaNão se aplicaNão se aplica",Mercado_Receita!$L$2:$L$1866)</f>
        <v>1651.6990000000001</v>
      </c>
      <c r="T41" s="12">
        <f>SUMIF(Mercado_Receita!$S$2:$S$1866,"44621B1ConvencionalResidencialResidencial baixa renda – faixa 04Não se aplicaNão se aplicaPonta",Mercado_Receita!$L$2:$L$1866)+SUMIF(Mercado_Receita!$S$2:$S$1866,"44621B1ConvencionalResidencialResidencial baixa renda – faixa 04Não se aplicaNão se aplicaFora ponta",Mercado_Receita!$L$2:$L$1866)+SUMIF(Mercado_Receita!$S$2:$S$1866,"44621B1ConvencionalResidencialResidencial baixa renda – faixa 04Não se aplicaNão se aplicaIntermediário",Mercado_Receita!$L$2:$L$1866)+SUMIF(Mercado_Receita!$S$2:$S$1866,"44621B1ConvencionalResidencialResidencial baixa renda – faixa 04Não se aplicaNão se aplicaNão se aplica",Mercado_Receita!$L$2:$L$1866)</f>
        <v>1651.6990000000001</v>
      </c>
      <c r="U41" s="12">
        <f t="shared" si="1"/>
        <v>16063.907000000001</v>
      </c>
      <c r="V41" s="12"/>
      <c r="W41" s="12"/>
    </row>
    <row r="42" spans="1:23" ht="11.25" customHeight="1" x14ac:dyDescent="0.25">
      <c r="A42" s="90"/>
      <c r="B42" s="89" t="s">
        <v>109</v>
      </c>
      <c r="C42" s="89" t="s">
        <v>24</v>
      </c>
      <c r="D42" s="13" t="s">
        <v>24</v>
      </c>
      <c r="E42" s="13" t="s">
        <v>25</v>
      </c>
      <c r="F42" s="13" t="s">
        <v>25</v>
      </c>
      <c r="G42" s="12" t="s">
        <v>98</v>
      </c>
      <c r="H42" s="12" t="s">
        <v>93</v>
      </c>
      <c r="I42" s="12">
        <f>SUMIF(Mercado_Receita!$S$2:$S$1866,"44287B1Convencional pré-pagamentoResidencialResidencialNão se aplicaNão se aplicaPonta",Mercado_Receita!$L$2:$L$1866)+SUMIF(Mercado_Receita!$S$2:$S$1866,"44287B1Convencional pré-pagamentoResidencialResidencialNão se aplicaNão se aplicaFora ponta",Mercado_Receita!$L$2:$L$1866)+SUMIF(Mercado_Receita!$S$2:$S$1866,"44287B1Convencional pré-pagamentoResidencialResidencialNão se aplicaNão se aplicaIntermediário",Mercado_Receita!$L$2:$L$1866)+SUMIF(Mercado_Receita!$S$2:$S$1866,"44287B1Convencional pré-pagamentoResidencialResidencialNão se aplicaNão se aplicaNão se aplica",Mercado_Receita!$L$2:$L$1866)</f>
        <v>0</v>
      </c>
      <c r="J42" s="12">
        <f>SUMIF(Mercado_Receita!$S$2:$S$1866,"44317B1Convencional pré-pagamentoResidencialResidencialNão se aplicaNão se aplicaPonta",Mercado_Receita!$L$2:$L$1866)+SUMIF(Mercado_Receita!$S$2:$S$1866,"44317B1Convencional pré-pagamentoResidencialResidencialNão se aplicaNão se aplicaFora ponta",Mercado_Receita!$L$2:$L$1866)+SUMIF(Mercado_Receita!$S$2:$S$1866,"44317B1Convencional pré-pagamentoResidencialResidencialNão se aplicaNão se aplicaIntermediário",Mercado_Receita!$L$2:$L$1866)+SUMIF(Mercado_Receita!$S$2:$S$1866,"44317B1Convencional pré-pagamentoResidencialResidencialNão se aplicaNão se aplicaNão se aplica",Mercado_Receita!$L$2:$L$1866)</f>
        <v>0</v>
      </c>
      <c r="K42" s="12">
        <f>SUMIF(Mercado_Receita!$S$2:$S$1866,"44348B1Convencional pré-pagamentoResidencialResidencialNão se aplicaNão se aplicaPonta",Mercado_Receita!$L$2:$L$1866)+SUMIF(Mercado_Receita!$S$2:$S$1866,"44348B1Convencional pré-pagamentoResidencialResidencialNão se aplicaNão se aplicaFora ponta",Mercado_Receita!$L$2:$L$1866)+SUMIF(Mercado_Receita!$S$2:$S$1866,"44348B1Convencional pré-pagamentoResidencialResidencialNão se aplicaNão se aplicaIntermediário",Mercado_Receita!$L$2:$L$1866)+SUMIF(Mercado_Receita!$S$2:$S$1866,"44348B1Convencional pré-pagamentoResidencialResidencialNão se aplicaNão se aplicaNão se aplica",Mercado_Receita!$L$2:$L$1866)</f>
        <v>0</v>
      </c>
      <c r="L42" s="12">
        <f>SUMIF(Mercado_Receita!$S$2:$S$1866,"44378B1Convencional pré-pagamentoResidencialResidencialNão se aplicaNão se aplicaPonta",Mercado_Receita!$L$2:$L$1866)+SUMIF(Mercado_Receita!$S$2:$S$1866,"44378B1Convencional pré-pagamentoResidencialResidencialNão se aplicaNão se aplicaFora ponta",Mercado_Receita!$L$2:$L$1866)+SUMIF(Mercado_Receita!$S$2:$S$1866,"44378B1Convencional pré-pagamentoResidencialResidencialNão se aplicaNão se aplicaIntermediário",Mercado_Receita!$L$2:$L$1866)+SUMIF(Mercado_Receita!$S$2:$S$1866,"44378B1Convencional pré-pagamentoResidencialResidencialNão se aplicaNão se aplicaNão se aplica",Mercado_Receita!$L$2:$L$1866)</f>
        <v>0</v>
      </c>
      <c r="M42" s="12">
        <f>SUMIF(Mercado_Receita!$S$2:$S$1866,"44409B1Convencional pré-pagamentoResidencialResidencialNão se aplicaNão se aplicaPonta",Mercado_Receita!$L$2:$L$1866)+SUMIF(Mercado_Receita!$S$2:$S$1866,"44409B1Convencional pré-pagamentoResidencialResidencialNão se aplicaNão se aplicaFora ponta",Mercado_Receita!$L$2:$L$1866)+SUMIF(Mercado_Receita!$S$2:$S$1866,"44409B1Convencional pré-pagamentoResidencialResidencialNão se aplicaNão se aplicaIntermediário",Mercado_Receita!$L$2:$L$1866)+SUMIF(Mercado_Receita!$S$2:$S$1866,"44409B1Convencional pré-pagamentoResidencialResidencialNão se aplicaNão se aplicaNão se aplica",Mercado_Receita!$L$2:$L$1866)</f>
        <v>0</v>
      </c>
      <c r="N42" s="12">
        <f>SUMIF(Mercado_Receita!$S$2:$S$1866,"44440B1Convencional pré-pagamentoResidencialResidencialNão se aplicaNão se aplicaPonta",Mercado_Receita!$L$2:$L$1866)+SUMIF(Mercado_Receita!$S$2:$S$1866,"44440B1Convencional pré-pagamentoResidencialResidencialNão se aplicaNão se aplicaFora ponta",Mercado_Receita!$L$2:$L$1866)+SUMIF(Mercado_Receita!$S$2:$S$1866,"44440B1Convencional pré-pagamentoResidencialResidencialNão se aplicaNão se aplicaIntermediário",Mercado_Receita!$L$2:$L$1866)+SUMIF(Mercado_Receita!$S$2:$S$1866,"44440B1Convencional pré-pagamentoResidencialResidencialNão se aplicaNão se aplicaNão se aplica",Mercado_Receita!$L$2:$L$1866)</f>
        <v>0</v>
      </c>
      <c r="O42" s="12">
        <f>SUMIF(Mercado_Receita!$S$2:$S$1866,"44470B1Convencional pré-pagamentoResidencialResidencialNão se aplicaNão se aplicaPonta",Mercado_Receita!$L$2:$L$1866)+SUMIF(Mercado_Receita!$S$2:$S$1866,"44470B1Convencional pré-pagamentoResidencialResidencialNão se aplicaNão se aplicaFora ponta",Mercado_Receita!$L$2:$L$1866)+SUMIF(Mercado_Receita!$S$2:$S$1866,"44470B1Convencional pré-pagamentoResidencialResidencialNão se aplicaNão se aplicaIntermediário",Mercado_Receita!$L$2:$L$1866)+SUMIF(Mercado_Receita!$S$2:$S$1866,"44470B1Convencional pré-pagamentoResidencialResidencialNão se aplicaNão se aplicaNão se aplica",Mercado_Receita!$L$2:$L$1866)</f>
        <v>0</v>
      </c>
      <c r="P42" s="12">
        <f>SUMIF(Mercado_Receita!$S$2:$S$1866,"44501B1Convencional pré-pagamentoResidencialResidencialNão se aplicaNão se aplicaPonta",Mercado_Receita!$L$2:$L$1866)+SUMIF(Mercado_Receita!$S$2:$S$1866,"44501B1Convencional pré-pagamentoResidencialResidencialNão se aplicaNão se aplicaFora ponta",Mercado_Receita!$L$2:$L$1866)+SUMIF(Mercado_Receita!$S$2:$S$1866,"44501B1Convencional pré-pagamentoResidencialResidencialNão se aplicaNão se aplicaIntermediário",Mercado_Receita!$L$2:$L$1866)+SUMIF(Mercado_Receita!$S$2:$S$1866,"44501B1Convencional pré-pagamentoResidencialResidencialNão se aplicaNão se aplicaNão se aplica",Mercado_Receita!$L$2:$L$1866)</f>
        <v>0</v>
      </c>
      <c r="Q42" s="12">
        <f>SUMIF(Mercado_Receita!$S$2:$S$1866,"44531B1Convencional pré-pagamentoResidencialResidencialNão se aplicaNão se aplicaPonta",Mercado_Receita!$L$2:$L$1866)+SUMIF(Mercado_Receita!$S$2:$S$1866,"44531B1Convencional pré-pagamentoResidencialResidencialNão se aplicaNão se aplicaFora ponta",Mercado_Receita!$L$2:$L$1866)+SUMIF(Mercado_Receita!$S$2:$S$1866,"44531B1Convencional pré-pagamentoResidencialResidencialNão se aplicaNão se aplicaIntermediário",Mercado_Receita!$L$2:$L$1866)+SUMIF(Mercado_Receita!$S$2:$S$1866,"44531B1Convencional pré-pagamentoResidencialResidencialNão se aplicaNão se aplicaNão se aplica",Mercado_Receita!$L$2:$L$1866)</f>
        <v>0</v>
      </c>
      <c r="R42" s="12">
        <f>SUMIF(Mercado_Receita!$S$2:$S$1866,"44562B1Convencional pré-pagamentoResidencialResidencialNão se aplicaNão se aplicaPonta",Mercado_Receita!$L$2:$L$1866)+SUMIF(Mercado_Receita!$S$2:$S$1866,"44562B1Convencional pré-pagamentoResidencialResidencialNão se aplicaNão se aplicaFora ponta",Mercado_Receita!$L$2:$L$1866)+SUMIF(Mercado_Receita!$S$2:$S$1866,"44562B1Convencional pré-pagamentoResidencialResidencialNão se aplicaNão se aplicaIntermediário",Mercado_Receita!$L$2:$L$1866)+SUMIF(Mercado_Receita!$S$2:$S$1866,"44562B1Convencional pré-pagamentoResidencialResidencialNão se aplicaNão se aplicaNão se aplica",Mercado_Receita!$L$2:$L$1866)</f>
        <v>0</v>
      </c>
      <c r="S42" s="12">
        <f>SUMIF(Mercado_Receita!$S$2:$S$1866,"44593B1Convencional pré-pagamentoResidencialResidencialNão se aplicaNão se aplicaPonta",Mercado_Receita!$L$2:$L$1866)+SUMIF(Mercado_Receita!$S$2:$S$1866,"44593B1Convencional pré-pagamentoResidencialResidencialNão se aplicaNão se aplicaFora ponta",Mercado_Receita!$L$2:$L$1866)+SUMIF(Mercado_Receita!$S$2:$S$1866,"44593B1Convencional pré-pagamentoResidencialResidencialNão se aplicaNão se aplicaIntermediário",Mercado_Receita!$L$2:$L$1866)+SUMIF(Mercado_Receita!$S$2:$S$1866,"44593B1Convencional pré-pagamentoResidencialResidencialNão se aplicaNão se aplicaNão se aplica",Mercado_Receita!$L$2:$L$1866)</f>
        <v>0</v>
      </c>
      <c r="T42" s="12">
        <f>SUMIF(Mercado_Receita!$S$2:$S$1866,"44621B1Convencional pré-pagamentoResidencialResidencialNão se aplicaNão se aplicaPonta",Mercado_Receita!$L$2:$L$1866)+SUMIF(Mercado_Receita!$S$2:$S$1866,"44621B1Convencional pré-pagamentoResidencialResidencialNão se aplicaNão se aplicaFora ponta",Mercado_Receita!$L$2:$L$1866)+SUMIF(Mercado_Receita!$S$2:$S$1866,"44621B1Convencional pré-pagamentoResidencialResidencialNão se aplicaNão se aplicaIntermediário",Mercado_Receita!$L$2:$L$1866)+SUMIF(Mercado_Receita!$S$2:$S$1866,"44621B1Convencional pré-pagamentoResidencialResidencialNão se aplicaNão se aplicaNão se aplica",Mercado_Receita!$L$2:$L$1866)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90"/>
      <c r="B43" s="90"/>
      <c r="C43" s="90"/>
      <c r="D43" s="13" t="s">
        <v>29</v>
      </c>
      <c r="E43" s="13" t="s">
        <v>25</v>
      </c>
      <c r="F43" s="13" t="s">
        <v>25</v>
      </c>
      <c r="G43" s="12" t="s">
        <v>98</v>
      </c>
      <c r="H43" s="12" t="s">
        <v>93</v>
      </c>
      <c r="I43" s="12">
        <f>SUMIF(Mercado_Receita!$S$2:$S$1866,"44287B1Convencional pré-pagamentoResidencialResidencial baixa renda – faixa 01Não se aplicaNão se aplicaPonta",Mercado_Receita!$L$2:$L$1866)+SUMIF(Mercado_Receita!$S$2:$S$1866,"44287B1Convencional pré-pagamentoResidencialResidencial baixa renda – faixa 01Não se aplicaNão se aplicaFora ponta",Mercado_Receita!$L$2:$L$1866)+SUMIF(Mercado_Receita!$S$2:$S$1866,"44287B1Convencional pré-pagamentoResidencialResidencial baixa renda – faixa 01Não se aplicaNão se aplicaIntermediário",Mercado_Receita!$L$2:$L$1866)+SUMIF(Mercado_Receita!$S$2:$S$1866,"44287B1Convencional pré-pagamentoResidencialResidencial baixa renda – faixa 01Não se aplicaNão se aplicaNão se aplica",Mercado_Receita!$L$2:$L$1866)</f>
        <v>0</v>
      </c>
      <c r="J43" s="12">
        <f>SUMIF(Mercado_Receita!$S$2:$S$1866,"44317B1Convencional pré-pagamentoResidencialResidencial baixa renda – faixa 01Não se aplicaNão se aplicaPonta",Mercado_Receita!$L$2:$L$1866)+SUMIF(Mercado_Receita!$S$2:$S$1866,"44317B1Convencional pré-pagamentoResidencialResidencial baixa renda – faixa 01Não se aplicaNão se aplicaFora ponta",Mercado_Receita!$L$2:$L$1866)+SUMIF(Mercado_Receita!$S$2:$S$1866,"44317B1Convencional pré-pagamentoResidencialResidencial baixa renda – faixa 01Não se aplicaNão se aplicaIntermediário",Mercado_Receita!$L$2:$L$1866)+SUMIF(Mercado_Receita!$S$2:$S$1866,"44317B1Convencional pré-pagamentoResidencialResidencial baixa renda – faixa 01Não se aplicaNão se aplicaNão se aplica",Mercado_Receita!$L$2:$L$1866)</f>
        <v>0</v>
      </c>
      <c r="K43" s="12">
        <f>SUMIF(Mercado_Receita!$S$2:$S$1866,"44348B1Convencional pré-pagamentoResidencialResidencial baixa renda – faixa 01Não se aplicaNão se aplicaPonta",Mercado_Receita!$L$2:$L$1866)+SUMIF(Mercado_Receita!$S$2:$S$1866,"44348B1Convencional pré-pagamentoResidencialResidencial baixa renda – faixa 01Não se aplicaNão se aplicaFora ponta",Mercado_Receita!$L$2:$L$1866)+SUMIF(Mercado_Receita!$S$2:$S$1866,"44348B1Convencional pré-pagamentoResidencialResidencial baixa renda – faixa 01Não se aplicaNão se aplicaIntermediário",Mercado_Receita!$L$2:$L$1866)+SUMIF(Mercado_Receita!$S$2:$S$1866,"44348B1Convencional pré-pagamentoResidencialResidencial baixa renda – faixa 01Não se aplicaNão se aplicaNão se aplica",Mercado_Receita!$L$2:$L$1866)</f>
        <v>0</v>
      </c>
      <c r="L43" s="12">
        <f>SUMIF(Mercado_Receita!$S$2:$S$1866,"44378B1Convencional pré-pagamentoResidencialResidencial baixa renda – faixa 01Não se aplicaNão se aplicaPonta",Mercado_Receita!$L$2:$L$1866)+SUMIF(Mercado_Receita!$S$2:$S$1866,"44378B1Convencional pré-pagamentoResidencialResidencial baixa renda – faixa 01Não se aplicaNão se aplicaFora ponta",Mercado_Receita!$L$2:$L$1866)+SUMIF(Mercado_Receita!$S$2:$S$1866,"44378B1Convencional pré-pagamentoResidencialResidencial baixa renda – faixa 01Não se aplicaNão se aplicaIntermediário",Mercado_Receita!$L$2:$L$1866)+SUMIF(Mercado_Receita!$S$2:$S$1866,"44378B1Convencional pré-pagamentoResidencialResidencial baixa renda – faixa 01Não se aplicaNão se aplicaNão se aplica",Mercado_Receita!$L$2:$L$1866)</f>
        <v>0</v>
      </c>
      <c r="M43" s="12">
        <f>SUMIF(Mercado_Receita!$S$2:$S$1866,"44409B1Convencional pré-pagamentoResidencialResidencial baixa renda – faixa 01Não se aplicaNão se aplicaPonta",Mercado_Receita!$L$2:$L$1866)+SUMIF(Mercado_Receita!$S$2:$S$1866,"44409B1Convencional pré-pagamentoResidencialResidencial baixa renda – faixa 01Não se aplicaNão se aplicaFora ponta",Mercado_Receita!$L$2:$L$1866)+SUMIF(Mercado_Receita!$S$2:$S$1866,"44409B1Convencional pré-pagamentoResidencialResidencial baixa renda – faixa 01Não se aplicaNão se aplicaIntermediário",Mercado_Receita!$L$2:$L$1866)+SUMIF(Mercado_Receita!$S$2:$S$1866,"44409B1Convencional pré-pagamentoResidencialResidencial baixa renda – faixa 01Não se aplicaNão se aplicaNão se aplica",Mercado_Receita!$L$2:$L$1866)</f>
        <v>0</v>
      </c>
      <c r="N43" s="12">
        <f>SUMIF(Mercado_Receita!$S$2:$S$1866,"44440B1Convencional pré-pagamentoResidencialResidencial baixa renda – faixa 01Não se aplicaNão se aplicaPonta",Mercado_Receita!$L$2:$L$1866)+SUMIF(Mercado_Receita!$S$2:$S$1866,"44440B1Convencional pré-pagamentoResidencialResidencial baixa renda – faixa 01Não se aplicaNão se aplicaFora ponta",Mercado_Receita!$L$2:$L$1866)+SUMIF(Mercado_Receita!$S$2:$S$1866,"44440B1Convencional pré-pagamentoResidencialResidencial baixa renda – faixa 01Não se aplicaNão se aplicaIntermediário",Mercado_Receita!$L$2:$L$1866)+SUMIF(Mercado_Receita!$S$2:$S$1866,"44440B1Convencional pré-pagamentoResidencialResidencial baixa renda – faixa 01Não se aplicaNão se aplicaNão se aplica",Mercado_Receita!$L$2:$L$1866)</f>
        <v>0</v>
      </c>
      <c r="O43" s="12">
        <f>SUMIF(Mercado_Receita!$S$2:$S$1866,"44470B1Convencional pré-pagamentoResidencialResidencial baixa renda – faixa 01Não se aplicaNão se aplicaPonta",Mercado_Receita!$L$2:$L$1866)+SUMIF(Mercado_Receita!$S$2:$S$1866,"44470B1Convencional pré-pagamentoResidencialResidencial baixa renda – faixa 01Não se aplicaNão se aplicaFora ponta",Mercado_Receita!$L$2:$L$1866)+SUMIF(Mercado_Receita!$S$2:$S$1866,"44470B1Convencional pré-pagamentoResidencialResidencial baixa renda – faixa 01Não se aplicaNão se aplicaIntermediário",Mercado_Receita!$L$2:$L$1866)+SUMIF(Mercado_Receita!$S$2:$S$1866,"44470B1Convencional pré-pagamentoResidencialResidencial baixa renda – faixa 01Não se aplicaNão se aplicaNão se aplica",Mercado_Receita!$L$2:$L$1866)</f>
        <v>0</v>
      </c>
      <c r="P43" s="12">
        <f>SUMIF(Mercado_Receita!$S$2:$S$1866,"44501B1Convencional pré-pagamentoResidencialResidencial baixa renda – faixa 01Não se aplicaNão se aplicaPonta",Mercado_Receita!$L$2:$L$1866)+SUMIF(Mercado_Receita!$S$2:$S$1866,"44501B1Convencional pré-pagamentoResidencialResidencial baixa renda – faixa 01Não se aplicaNão se aplicaFora ponta",Mercado_Receita!$L$2:$L$1866)+SUMIF(Mercado_Receita!$S$2:$S$1866,"44501B1Convencional pré-pagamentoResidencialResidencial baixa renda – faixa 01Não se aplicaNão se aplicaIntermediário",Mercado_Receita!$L$2:$L$1866)+SUMIF(Mercado_Receita!$S$2:$S$1866,"44501B1Convencional pré-pagamentoResidencialResidencial baixa renda – faixa 01Não se aplicaNão se aplicaNão se aplica",Mercado_Receita!$L$2:$L$1866)</f>
        <v>0</v>
      </c>
      <c r="Q43" s="12">
        <f>SUMIF(Mercado_Receita!$S$2:$S$1866,"44531B1Convencional pré-pagamentoResidencialResidencial baixa renda – faixa 01Não se aplicaNão se aplicaPonta",Mercado_Receita!$L$2:$L$1866)+SUMIF(Mercado_Receita!$S$2:$S$1866,"44531B1Convencional pré-pagamentoResidencialResidencial baixa renda – faixa 01Não se aplicaNão se aplicaFora ponta",Mercado_Receita!$L$2:$L$1866)+SUMIF(Mercado_Receita!$S$2:$S$1866,"44531B1Convencional pré-pagamentoResidencialResidencial baixa renda – faixa 01Não se aplicaNão se aplicaIntermediário",Mercado_Receita!$L$2:$L$1866)+SUMIF(Mercado_Receita!$S$2:$S$1866,"44531B1Convencional pré-pagamentoResidencialResidencial baixa renda – faixa 01Não se aplicaNão se aplicaNão se aplica",Mercado_Receita!$L$2:$L$1866)</f>
        <v>0</v>
      </c>
      <c r="R43" s="12">
        <f>SUMIF(Mercado_Receita!$S$2:$S$1866,"44562B1Convencional pré-pagamentoResidencialResidencial baixa renda – faixa 01Não se aplicaNão se aplicaPonta",Mercado_Receita!$L$2:$L$1866)+SUMIF(Mercado_Receita!$S$2:$S$1866,"44562B1Convencional pré-pagamentoResidencialResidencial baixa renda – faixa 01Não se aplicaNão se aplicaFora ponta",Mercado_Receita!$L$2:$L$1866)+SUMIF(Mercado_Receita!$S$2:$S$1866,"44562B1Convencional pré-pagamentoResidencialResidencial baixa renda – faixa 01Não se aplicaNão se aplicaIntermediário",Mercado_Receita!$L$2:$L$1866)+SUMIF(Mercado_Receita!$S$2:$S$1866,"44562B1Convencional pré-pagamentoResidencialResidencial baixa renda – faixa 01Não se aplicaNão se aplicaNão se aplica",Mercado_Receita!$L$2:$L$1866)</f>
        <v>0</v>
      </c>
      <c r="S43" s="12">
        <f>SUMIF(Mercado_Receita!$S$2:$S$1866,"44593B1Convencional pré-pagamentoResidencialResidencial baixa renda – faixa 01Não se aplicaNão se aplicaPonta",Mercado_Receita!$L$2:$L$1866)+SUMIF(Mercado_Receita!$S$2:$S$1866,"44593B1Convencional pré-pagamentoResidencialResidencial baixa renda – faixa 01Não se aplicaNão se aplicaFora ponta",Mercado_Receita!$L$2:$L$1866)+SUMIF(Mercado_Receita!$S$2:$S$1866,"44593B1Convencional pré-pagamentoResidencialResidencial baixa renda – faixa 01Não se aplicaNão se aplicaIntermediário",Mercado_Receita!$L$2:$L$1866)+SUMIF(Mercado_Receita!$S$2:$S$1866,"44593B1Convencional pré-pagamentoResidencialResidencial baixa renda – faixa 01Não se aplicaNão se aplicaNão se aplica",Mercado_Receita!$L$2:$L$1866)</f>
        <v>0</v>
      </c>
      <c r="T43" s="12">
        <f>SUMIF(Mercado_Receita!$S$2:$S$1866,"44621B1Convencional pré-pagamentoResidencialResidencial baixa renda – faixa 01Não se aplicaNão se aplicaPonta",Mercado_Receita!$L$2:$L$1866)+SUMIF(Mercado_Receita!$S$2:$S$1866,"44621B1Convencional pré-pagamentoResidencialResidencial baixa renda – faixa 01Não se aplicaNão se aplicaFora ponta",Mercado_Receita!$L$2:$L$1866)+SUMIF(Mercado_Receita!$S$2:$S$1866,"44621B1Convencional pré-pagamentoResidencialResidencial baixa renda – faixa 01Não se aplicaNão se aplicaIntermediário",Mercado_Receita!$L$2:$L$1866)+SUMIF(Mercado_Receita!$S$2:$S$1866,"44621B1Convencional pré-pagamentoResidencialResidencial baixa renda – faixa 01Não se aplicaNão se aplicaNão se aplica",Mercado_Receita!$L$2:$L$1866)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90"/>
      <c r="B44" s="90"/>
      <c r="C44" s="90"/>
      <c r="D44" s="13" t="s">
        <v>30</v>
      </c>
      <c r="E44" s="13" t="s">
        <v>25</v>
      </c>
      <c r="F44" s="13" t="s">
        <v>25</v>
      </c>
      <c r="G44" s="12" t="s">
        <v>98</v>
      </c>
      <c r="H44" s="12" t="s">
        <v>93</v>
      </c>
      <c r="I44" s="12">
        <f>SUMIF(Mercado_Receita!$S$2:$S$1866,"44287B1Convencional pré-pagamentoResidencialResidencial baixa renda – faixa 02Não se aplicaNão se aplicaPonta",Mercado_Receita!$L$2:$L$1866)+SUMIF(Mercado_Receita!$S$2:$S$1866,"44287B1Convencional pré-pagamentoResidencialResidencial baixa renda – faixa 02Não se aplicaNão se aplicaFora ponta",Mercado_Receita!$L$2:$L$1866)+SUMIF(Mercado_Receita!$S$2:$S$1866,"44287B1Convencional pré-pagamentoResidencialResidencial baixa renda – faixa 02Não se aplicaNão se aplicaIntermediário",Mercado_Receita!$L$2:$L$1866)+SUMIF(Mercado_Receita!$S$2:$S$1866,"44287B1Convencional pré-pagamentoResidencialResidencial baixa renda – faixa 02Não se aplicaNão se aplicaNão se aplica",Mercado_Receita!$L$2:$L$1866)</f>
        <v>0</v>
      </c>
      <c r="J44" s="12">
        <f>SUMIF(Mercado_Receita!$S$2:$S$1866,"44317B1Convencional pré-pagamentoResidencialResidencial baixa renda – faixa 02Não se aplicaNão se aplicaPonta",Mercado_Receita!$L$2:$L$1866)+SUMIF(Mercado_Receita!$S$2:$S$1866,"44317B1Convencional pré-pagamentoResidencialResidencial baixa renda – faixa 02Não se aplicaNão se aplicaFora ponta",Mercado_Receita!$L$2:$L$1866)+SUMIF(Mercado_Receita!$S$2:$S$1866,"44317B1Convencional pré-pagamentoResidencialResidencial baixa renda – faixa 02Não se aplicaNão se aplicaIntermediário",Mercado_Receita!$L$2:$L$1866)+SUMIF(Mercado_Receita!$S$2:$S$1866,"44317B1Convencional pré-pagamentoResidencialResidencial baixa renda – faixa 02Não se aplicaNão se aplicaNão se aplica",Mercado_Receita!$L$2:$L$1866)</f>
        <v>0</v>
      </c>
      <c r="K44" s="12">
        <f>SUMIF(Mercado_Receita!$S$2:$S$1866,"44348B1Convencional pré-pagamentoResidencialResidencial baixa renda – faixa 02Não se aplicaNão se aplicaPonta",Mercado_Receita!$L$2:$L$1866)+SUMIF(Mercado_Receita!$S$2:$S$1866,"44348B1Convencional pré-pagamentoResidencialResidencial baixa renda – faixa 02Não se aplicaNão se aplicaFora ponta",Mercado_Receita!$L$2:$L$1866)+SUMIF(Mercado_Receita!$S$2:$S$1866,"44348B1Convencional pré-pagamentoResidencialResidencial baixa renda – faixa 02Não se aplicaNão se aplicaIntermediário",Mercado_Receita!$L$2:$L$1866)+SUMIF(Mercado_Receita!$S$2:$S$1866,"44348B1Convencional pré-pagamentoResidencialResidencial baixa renda – faixa 02Não se aplicaNão se aplicaNão se aplica",Mercado_Receita!$L$2:$L$1866)</f>
        <v>0</v>
      </c>
      <c r="L44" s="12">
        <f>SUMIF(Mercado_Receita!$S$2:$S$1866,"44378B1Convencional pré-pagamentoResidencialResidencial baixa renda – faixa 02Não se aplicaNão se aplicaPonta",Mercado_Receita!$L$2:$L$1866)+SUMIF(Mercado_Receita!$S$2:$S$1866,"44378B1Convencional pré-pagamentoResidencialResidencial baixa renda – faixa 02Não se aplicaNão se aplicaFora ponta",Mercado_Receita!$L$2:$L$1866)+SUMIF(Mercado_Receita!$S$2:$S$1866,"44378B1Convencional pré-pagamentoResidencialResidencial baixa renda – faixa 02Não se aplicaNão se aplicaIntermediário",Mercado_Receita!$L$2:$L$1866)+SUMIF(Mercado_Receita!$S$2:$S$1866,"44378B1Convencional pré-pagamentoResidencialResidencial baixa renda – faixa 02Não se aplicaNão se aplicaNão se aplica",Mercado_Receita!$L$2:$L$1866)</f>
        <v>0</v>
      </c>
      <c r="M44" s="12">
        <f>SUMIF(Mercado_Receita!$S$2:$S$1866,"44409B1Convencional pré-pagamentoResidencialResidencial baixa renda – faixa 02Não se aplicaNão se aplicaPonta",Mercado_Receita!$L$2:$L$1866)+SUMIF(Mercado_Receita!$S$2:$S$1866,"44409B1Convencional pré-pagamentoResidencialResidencial baixa renda – faixa 02Não se aplicaNão se aplicaFora ponta",Mercado_Receita!$L$2:$L$1866)+SUMIF(Mercado_Receita!$S$2:$S$1866,"44409B1Convencional pré-pagamentoResidencialResidencial baixa renda – faixa 02Não se aplicaNão se aplicaIntermediário",Mercado_Receita!$L$2:$L$1866)+SUMIF(Mercado_Receita!$S$2:$S$1866,"44409B1Convencional pré-pagamentoResidencialResidencial baixa renda – faixa 02Não se aplicaNão se aplicaNão se aplica",Mercado_Receita!$L$2:$L$1866)</f>
        <v>0</v>
      </c>
      <c r="N44" s="12">
        <f>SUMIF(Mercado_Receita!$S$2:$S$1866,"44440B1Convencional pré-pagamentoResidencialResidencial baixa renda – faixa 02Não se aplicaNão se aplicaPonta",Mercado_Receita!$L$2:$L$1866)+SUMIF(Mercado_Receita!$S$2:$S$1866,"44440B1Convencional pré-pagamentoResidencialResidencial baixa renda – faixa 02Não se aplicaNão se aplicaFora ponta",Mercado_Receita!$L$2:$L$1866)+SUMIF(Mercado_Receita!$S$2:$S$1866,"44440B1Convencional pré-pagamentoResidencialResidencial baixa renda – faixa 02Não se aplicaNão se aplicaIntermediário",Mercado_Receita!$L$2:$L$1866)+SUMIF(Mercado_Receita!$S$2:$S$1866,"44440B1Convencional pré-pagamentoResidencialResidencial baixa renda – faixa 02Não se aplicaNão se aplicaNão se aplica",Mercado_Receita!$L$2:$L$1866)</f>
        <v>0</v>
      </c>
      <c r="O44" s="12">
        <f>SUMIF(Mercado_Receita!$S$2:$S$1866,"44470B1Convencional pré-pagamentoResidencialResidencial baixa renda – faixa 02Não se aplicaNão se aplicaPonta",Mercado_Receita!$L$2:$L$1866)+SUMIF(Mercado_Receita!$S$2:$S$1866,"44470B1Convencional pré-pagamentoResidencialResidencial baixa renda – faixa 02Não se aplicaNão se aplicaFora ponta",Mercado_Receita!$L$2:$L$1866)+SUMIF(Mercado_Receita!$S$2:$S$1866,"44470B1Convencional pré-pagamentoResidencialResidencial baixa renda – faixa 02Não se aplicaNão se aplicaIntermediário",Mercado_Receita!$L$2:$L$1866)+SUMIF(Mercado_Receita!$S$2:$S$1866,"44470B1Convencional pré-pagamentoResidencialResidencial baixa renda – faixa 02Não se aplicaNão se aplicaNão se aplica",Mercado_Receita!$L$2:$L$1866)</f>
        <v>0</v>
      </c>
      <c r="P44" s="12">
        <f>SUMIF(Mercado_Receita!$S$2:$S$1866,"44501B1Convencional pré-pagamentoResidencialResidencial baixa renda – faixa 02Não se aplicaNão se aplicaPonta",Mercado_Receita!$L$2:$L$1866)+SUMIF(Mercado_Receita!$S$2:$S$1866,"44501B1Convencional pré-pagamentoResidencialResidencial baixa renda – faixa 02Não se aplicaNão se aplicaFora ponta",Mercado_Receita!$L$2:$L$1866)+SUMIF(Mercado_Receita!$S$2:$S$1866,"44501B1Convencional pré-pagamentoResidencialResidencial baixa renda – faixa 02Não se aplicaNão se aplicaIntermediário",Mercado_Receita!$L$2:$L$1866)+SUMIF(Mercado_Receita!$S$2:$S$1866,"44501B1Convencional pré-pagamentoResidencialResidencial baixa renda – faixa 02Não se aplicaNão se aplicaNão se aplica",Mercado_Receita!$L$2:$L$1866)</f>
        <v>0</v>
      </c>
      <c r="Q44" s="12">
        <f>SUMIF(Mercado_Receita!$S$2:$S$1866,"44531B1Convencional pré-pagamentoResidencialResidencial baixa renda – faixa 02Não se aplicaNão se aplicaPonta",Mercado_Receita!$L$2:$L$1866)+SUMIF(Mercado_Receita!$S$2:$S$1866,"44531B1Convencional pré-pagamentoResidencialResidencial baixa renda – faixa 02Não se aplicaNão se aplicaFora ponta",Mercado_Receita!$L$2:$L$1866)+SUMIF(Mercado_Receita!$S$2:$S$1866,"44531B1Convencional pré-pagamentoResidencialResidencial baixa renda – faixa 02Não se aplicaNão se aplicaIntermediário",Mercado_Receita!$L$2:$L$1866)+SUMIF(Mercado_Receita!$S$2:$S$1866,"44531B1Convencional pré-pagamentoResidencialResidencial baixa renda – faixa 02Não se aplicaNão se aplicaNão se aplica",Mercado_Receita!$L$2:$L$1866)</f>
        <v>0</v>
      </c>
      <c r="R44" s="12">
        <f>SUMIF(Mercado_Receita!$S$2:$S$1866,"44562B1Convencional pré-pagamentoResidencialResidencial baixa renda – faixa 02Não se aplicaNão se aplicaPonta",Mercado_Receita!$L$2:$L$1866)+SUMIF(Mercado_Receita!$S$2:$S$1866,"44562B1Convencional pré-pagamentoResidencialResidencial baixa renda – faixa 02Não se aplicaNão se aplicaFora ponta",Mercado_Receita!$L$2:$L$1866)+SUMIF(Mercado_Receita!$S$2:$S$1866,"44562B1Convencional pré-pagamentoResidencialResidencial baixa renda – faixa 02Não se aplicaNão se aplicaIntermediário",Mercado_Receita!$L$2:$L$1866)+SUMIF(Mercado_Receita!$S$2:$S$1866,"44562B1Convencional pré-pagamentoResidencialResidencial baixa renda – faixa 02Não se aplicaNão se aplicaNão se aplica",Mercado_Receita!$L$2:$L$1866)</f>
        <v>0</v>
      </c>
      <c r="S44" s="12">
        <f>SUMIF(Mercado_Receita!$S$2:$S$1866,"44593B1Convencional pré-pagamentoResidencialResidencial baixa renda – faixa 02Não se aplicaNão se aplicaPonta",Mercado_Receita!$L$2:$L$1866)+SUMIF(Mercado_Receita!$S$2:$S$1866,"44593B1Convencional pré-pagamentoResidencialResidencial baixa renda – faixa 02Não se aplicaNão se aplicaFora ponta",Mercado_Receita!$L$2:$L$1866)+SUMIF(Mercado_Receita!$S$2:$S$1866,"44593B1Convencional pré-pagamentoResidencialResidencial baixa renda – faixa 02Não se aplicaNão se aplicaIntermediário",Mercado_Receita!$L$2:$L$1866)+SUMIF(Mercado_Receita!$S$2:$S$1866,"44593B1Convencional pré-pagamentoResidencialResidencial baixa renda – faixa 02Não se aplicaNão se aplicaNão se aplica",Mercado_Receita!$L$2:$L$1866)</f>
        <v>0</v>
      </c>
      <c r="T44" s="12">
        <f>SUMIF(Mercado_Receita!$S$2:$S$1866,"44621B1Convencional pré-pagamentoResidencialResidencial baixa renda – faixa 02Não se aplicaNão se aplicaPonta",Mercado_Receita!$L$2:$L$1866)+SUMIF(Mercado_Receita!$S$2:$S$1866,"44621B1Convencional pré-pagamentoResidencialResidencial baixa renda – faixa 02Não se aplicaNão se aplicaFora ponta",Mercado_Receita!$L$2:$L$1866)+SUMIF(Mercado_Receita!$S$2:$S$1866,"44621B1Convencional pré-pagamentoResidencialResidencial baixa renda – faixa 02Não se aplicaNão se aplicaIntermediário",Mercado_Receita!$L$2:$L$1866)+SUMIF(Mercado_Receita!$S$2:$S$1866,"44621B1Convencional pré-pagamentoResidencialResidencial baixa renda – faixa 02Não se aplicaNão se aplicaNão se aplica",Mercado_Receita!$L$2:$L$1866)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90"/>
      <c r="B45" s="90"/>
      <c r="C45" s="90"/>
      <c r="D45" s="13" t="s">
        <v>31</v>
      </c>
      <c r="E45" s="13" t="s">
        <v>25</v>
      </c>
      <c r="F45" s="13" t="s">
        <v>25</v>
      </c>
      <c r="G45" s="12" t="s">
        <v>98</v>
      </c>
      <c r="H45" s="12" t="s">
        <v>93</v>
      </c>
      <c r="I45" s="12">
        <f>SUMIF(Mercado_Receita!$S$2:$S$1866,"44287B1Convencional pré-pagamentoResidencialResidencial baixa renda – faixa 03Não se aplicaNão se aplicaPonta",Mercado_Receita!$L$2:$L$1866)+SUMIF(Mercado_Receita!$S$2:$S$1866,"44287B1Convencional pré-pagamentoResidencialResidencial baixa renda – faixa 03Não se aplicaNão se aplicaFora ponta",Mercado_Receita!$L$2:$L$1866)+SUMIF(Mercado_Receita!$S$2:$S$1866,"44287B1Convencional pré-pagamentoResidencialResidencial baixa renda – faixa 03Não se aplicaNão se aplicaIntermediário",Mercado_Receita!$L$2:$L$1866)+SUMIF(Mercado_Receita!$S$2:$S$1866,"44287B1Convencional pré-pagamentoResidencialResidencial baixa renda – faixa 03Não se aplicaNão se aplicaNão se aplica",Mercado_Receita!$L$2:$L$1866)</f>
        <v>0</v>
      </c>
      <c r="J45" s="12">
        <f>SUMIF(Mercado_Receita!$S$2:$S$1866,"44317B1Convencional pré-pagamentoResidencialResidencial baixa renda – faixa 03Não se aplicaNão se aplicaPonta",Mercado_Receita!$L$2:$L$1866)+SUMIF(Mercado_Receita!$S$2:$S$1866,"44317B1Convencional pré-pagamentoResidencialResidencial baixa renda – faixa 03Não se aplicaNão se aplicaFora ponta",Mercado_Receita!$L$2:$L$1866)+SUMIF(Mercado_Receita!$S$2:$S$1866,"44317B1Convencional pré-pagamentoResidencialResidencial baixa renda – faixa 03Não se aplicaNão se aplicaIntermediário",Mercado_Receita!$L$2:$L$1866)+SUMIF(Mercado_Receita!$S$2:$S$1866,"44317B1Convencional pré-pagamentoResidencialResidencial baixa renda – faixa 03Não se aplicaNão se aplicaNão se aplica",Mercado_Receita!$L$2:$L$1866)</f>
        <v>0</v>
      </c>
      <c r="K45" s="12">
        <f>SUMIF(Mercado_Receita!$S$2:$S$1866,"44348B1Convencional pré-pagamentoResidencialResidencial baixa renda – faixa 03Não se aplicaNão se aplicaPonta",Mercado_Receita!$L$2:$L$1866)+SUMIF(Mercado_Receita!$S$2:$S$1866,"44348B1Convencional pré-pagamentoResidencialResidencial baixa renda – faixa 03Não se aplicaNão se aplicaFora ponta",Mercado_Receita!$L$2:$L$1866)+SUMIF(Mercado_Receita!$S$2:$S$1866,"44348B1Convencional pré-pagamentoResidencialResidencial baixa renda – faixa 03Não se aplicaNão se aplicaIntermediário",Mercado_Receita!$L$2:$L$1866)+SUMIF(Mercado_Receita!$S$2:$S$1866,"44348B1Convencional pré-pagamentoResidencialResidencial baixa renda – faixa 03Não se aplicaNão se aplicaNão se aplica",Mercado_Receita!$L$2:$L$1866)</f>
        <v>0</v>
      </c>
      <c r="L45" s="12">
        <f>SUMIF(Mercado_Receita!$S$2:$S$1866,"44378B1Convencional pré-pagamentoResidencialResidencial baixa renda – faixa 03Não se aplicaNão se aplicaPonta",Mercado_Receita!$L$2:$L$1866)+SUMIF(Mercado_Receita!$S$2:$S$1866,"44378B1Convencional pré-pagamentoResidencialResidencial baixa renda – faixa 03Não se aplicaNão se aplicaFora ponta",Mercado_Receita!$L$2:$L$1866)+SUMIF(Mercado_Receita!$S$2:$S$1866,"44378B1Convencional pré-pagamentoResidencialResidencial baixa renda – faixa 03Não se aplicaNão se aplicaIntermediário",Mercado_Receita!$L$2:$L$1866)+SUMIF(Mercado_Receita!$S$2:$S$1866,"44378B1Convencional pré-pagamentoResidencialResidencial baixa renda – faixa 03Não se aplicaNão se aplicaNão se aplica",Mercado_Receita!$L$2:$L$1866)</f>
        <v>0</v>
      </c>
      <c r="M45" s="12">
        <f>SUMIF(Mercado_Receita!$S$2:$S$1866,"44409B1Convencional pré-pagamentoResidencialResidencial baixa renda – faixa 03Não se aplicaNão se aplicaPonta",Mercado_Receita!$L$2:$L$1866)+SUMIF(Mercado_Receita!$S$2:$S$1866,"44409B1Convencional pré-pagamentoResidencialResidencial baixa renda – faixa 03Não se aplicaNão se aplicaFora ponta",Mercado_Receita!$L$2:$L$1866)+SUMIF(Mercado_Receita!$S$2:$S$1866,"44409B1Convencional pré-pagamentoResidencialResidencial baixa renda – faixa 03Não se aplicaNão se aplicaIntermediário",Mercado_Receita!$L$2:$L$1866)+SUMIF(Mercado_Receita!$S$2:$S$1866,"44409B1Convencional pré-pagamentoResidencialResidencial baixa renda – faixa 03Não se aplicaNão se aplicaNão se aplica",Mercado_Receita!$L$2:$L$1866)</f>
        <v>0</v>
      </c>
      <c r="N45" s="12">
        <f>SUMIF(Mercado_Receita!$S$2:$S$1866,"44440B1Convencional pré-pagamentoResidencialResidencial baixa renda – faixa 03Não se aplicaNão se aplicaPonta",Mercado_Receita!$L$2:$L$1866)+SUMIF(Mercado_Receita!$S$2:$S$1866,"44440B1Convencional pré-pagamentoResidencialResidencial baixa renda – faixa 03Não se aplicaNão se aplicaFora ponta",Mercado_Receita!$L$2:$L$1866)+SUMIF(Mercado_Receita!$S$2:$S$1866,"44440B1Convencional pré-pagamentoResidencialResidencial baixa renda – faixa 03Não se aplicaNão se aplicaIntermediário",Mercado_Receita!$L$2:$L$1866)+SUMIF(Mercado_Receita!$S$2:$S$1866,"44440B1Convencional pré-pagamentoResidencialResidencial baixa renda – faixa 03Não se aplicaNão se aplicaNão se aplica",Mercado_Receita!$L$2:$L$1866)</f>
        <v>0</v>
      </c>
      <c r="O45" s="12">
        <f>SUMIF(Mercado_Receita!$S$2:$S$1866,"44470B1Convencional pré-pagamentoResidencialResidencial baixa renda – faixa 03Não se aplicaNão se aplicaPonta",Mercado_Receita!$L$2:$L$1866)+SUMIF(Mercado_Receita!$S$2:$S$1866,"44470B1Convencional pré-pagamentoResidencialResidencial baixa renda – faixa 03Não se aplicaNão se aplicaFora ponta",Mercado_Receita!$L$2:$L$1866)+SUMIF(Mercado_Receita!$S$2:$S$1866,"44470B1Convencional pré-pagamentoResidencialResidencial baixa renda – faixa 03Não se aplicaNão se aplicaIntermediário",Mercado_Receita!$L$2:$L$1866)+SUMIF(Mercado_Receita!$S$2:$S$1866,"44470B1Convencional pré-pagamentoResidencialResidencial baixa renda – faixa 03Não se aplicaNão se aplicaNão se aplica",Mercado_Receita!$L$2:$L$1866)</f>
        <v>0</v>
      </c>
      <c r="P45" s="12">
        <f>SUMIF(Mercado_Receita!$S$2:$S$1866,"44501B1Convencional pré-pagamentoResidencialResidencial baixa renda – faixa 03Não se aplicaNão se aplicaPonta",Mercado_Receita!$L$2:$L$1866)+SUMIF(Mercado_Receita!$S$2:$S$1866,"44501B1Convencional pré-pagamentoResidencialResidencial baixa renda – faixa 03Não se aplicaNão se aplicaFora ponta",Mercado_Receita!$L$2:$L$1866)+SUMIF(Mercado_Receita!$S$2:$S$1866,"44501B1Convencional pré-pagamentoResidencialResidencial baixa renda – faixa 03Não se aplicaNão se aplicaIntermediário",Mercado_Receita!$L$2:$L$1866)+SUMIF(Mercado_Receita!$S$2:$S$1866,"44501B1Convencional pré-pagamentoResidencialResidencial baixa renda – faixa 03Não se aplicaNão se aplicaNão se aplica",Mercado_Receita!$L$2:$L$1866)</f>
        <v>0</v>
      </c>
      <c r="Q45" s="12">
        <f>SUMIF(Mercado_Receita!$S$2:$S$1866,"44531B1Convencional pré-pagamentoResidencialResidencial baixa renda – faixa 03Não se aplicaNão se aplicaPonta",Mercado_Receita!$L$2:$L$1866)+SUMIF(Mercado_Receita!$S$2:$S$1866,"44531B1Convencional pré-pagamentoResidencialResidencial baixa renda – faixa 03Não se aplicaNão se aplicaFora ponta",Mercado_Receita!$L$2:$L$1866)+SUMIF(Mercado_Receita!$S$2:$S$1866,"44531B1Convencional pré-pagamentoResidencialResidencial baixa renda – faixa 03Não se aplicaNão se aplicaIntermediário",Mercado_Receita!$L$2:$L$1866)+SUMIF(Mercado_Receita!$S$2:$S$1866,"44531B1Convencional pré-pagamentoResidencialResidencial baixa renda – faixa 03Não se aplicaNão se aplicaNão se aplica",Mercado_Receita!$L$2:$L$1866)</f>
        <v>0</v>
      </c>
      <c r="R45" s="12">
        <f>SUMIF(Mercado_Receita!$S$2:$S$1866,"44562B1Convencional pré-pagamentoResidencialResidencial baixa renda – faixa 03Não se aplicaNão se aplicaPonta",Mercado_Receita!$L$2:$L$1866)+SUMIF(Mercado_Receita!$S$2:$S$1866,"44562B1Convencional pré-pagamentoResidencialResidencial baixa renda – faixa 03Não se aplicaNão se aplicaFora ponta",Mercado_Receita!$L$2:$L$1866)+SUMIF(Mercado_Receita!$S$2:$S$1866,"44562B1Convencional pré-pagamentoResidencialResidencial baixa renda – faixa 03Não se aplicaNão se aplicaIntermediário",Mercado_Receita!$L$2:$L$1866)+SUMIF(Mercado_Receita!$S$2:$S$1866,"44562B1Convencional pré-pagamentoResidencialResidencial baixa renda – faixa 03Não se aplicaNão se aplicaNão se aplica",Mercado_Receita!$L$2:$L$1866)</f>
        <v>0</v>
      </c>
      <c r="S45" s="12">
        <f>SUMIF(Mercado_Receita!$S$2:$S$1866,"44593B1Convencional pré-pagamentoResidencialResidencial baixa renda – faixa 03Não se aplicaNão se aplicaPonta",Mercado_Receita!$L$2:$L$1866)+SUMIF(Mercado_Receita!$S$2:$S$1866,"44593B1Convencional pré-pagamentoResidencialResidencial baixa renda – faixa 03Não se aplicaNão se aplicaFora ponta",Mercado_Receita!$L$2:$L$1866)+SUMIF(Mercado_Receita!$S$2:$S$1866,"44593B1Convencional pré-pagamentoResidencialResidencial baixa renda – faixa 03Não se aplicaNão se aplicaIntermediário",Mercado_Receita!$L$2:$L$1866)+SUMIF(Mercado_Receita!$S$2:$S$1866,"44593B1Convencional pré-pagamentoResidencialResidencial baixa renda – faixa 03Não se aplicaNão se aplicaNão se aplica",Mercado_Receita!$L$2:$L$1866)</f>
        <v>0</v>
      </c>
      <c r="T45" s="12">
        <f>SUMIF(Mercado_Receita!$S$2:$S$1866,"44621B1Convencional pré-pagamentoResidencialResidencial baixa renda – faixa 03Não se aplicaNão se aplicaPonta",Mercado_Receita!$L$2:$L$1866)+SUMIF(Mercado_Receita!$S$2:$S$1866,"44621B1Convencional pré-pagamentoResidencialResidencial baixa renda – faixa 03Não se aplicaNão se aplicaFora ponta",Mercado_Receita!$L$2:$L$1866)+SUMIF(Mercado_Receita!$S$2:$S$1866,"44621B1Convencional pré-pagamentoResidencialResidencial baixa renda – faixa 03Não se aplicaNão se aplicaIntermediário",Mercado_Receita!$L$2:$L$1866)+SUMIF(Mercado_Receita!$S$2:$S$1866,"44621B1Convencional pré-pagamentoResidencialResidencial baixa renda – faixa 03Não se aplicaNão se aplicaNão se aplica",Mercado_Receita!$L$2:$L$1866)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90"/>
      <c r="B46" s="90"/>
      <c r="C46" s="90"/>
      <c r="D46" s="13" t="s">
        <v>32</v>
      </c>
      <c r="E46" s="13" t="s">
        <v>25</v>
      </c>
      <c r="F46" s="13" t="s">
        <v>25</v>
      </c>
      <c r="G46" s="12" t="s">
        <v>98</v>
      </c>
      <c r="H46" s="12" t="s">
        <v>93</v>
      </c>
      <c r="I46" s="12">
        <f>SUMIF(Mercado_Receita!$S$2:$S$1866,"44287B1Convencional pré-pagamentoResidencialResidencial baixa renda – faixa 04Não se aplicaNão se aplicaPonta",Mercado_Receita!$L$2:$L$1866)+SUMIF(Mercado_Receita!$S$2:$S$1866,"44287B1Convencional pré-pagamentoResidencialResidencial baixa renda – faixa 04Não se aplicaNão se aplicaFora ponta",Mercado_Receita!$L$2:$L$1866)+SUMIF(Mercado_Receita!$S$2:$S$1866,"44287B1Convencional pré-pagamentoResidencialResidencial baixa renda – faixa 04Não se aplicaNão se aplicaIntermediário",Mercado_Receita!$L$2:$L$1866)+SUMIF(Mercado_Receita!$S$2:$S$1866,"44287B1Convencional pré-pagamentoResidencialResidencial baixa renda – faixa 04Não se aplicaNão se aplicaNão se aplica",Mercado_Receita!$L$2:$L$1866)</f>
        <v>0</v>
      </c>
      <c r="J46" s="12">
        <f>SUMIF(Mercado_Receita!$S$2:$S$1866,"44317B1Convencional pré-pagamentoResidencialResidencial baixa renda – faixa 04Não se aplicaNão se aplicaPonta",Mercado_Receita!$L$2:$L$1866)+SUMIF(Mercado_Receita!$S$2:$S$1866,"44317B1Convencional pré-pagamentoResidencialResidencial baixa renda – faixa 04Não se aplicaNão se aplicaFora ponta",Mercado_Receita!$L$2:$L$1866)+SUMIF(Mercado_Receita!$S$2:$S$1866,"44317B1Convencional pré-pagamentoResidencialResidencial baixa renda – faixa 04Não se aplicaNão se aplicaIntermediário",Mercado_Receita!$L$2:$L$1866)+SUMIF(Mercado_Receita!$S$2:$S$1866,"44317B1Convencional pré-pagamentoResidencialResidencial baixa renda – faixa 04Não se aplicaNão se aplicaNão se aplica",Mercado_Receita!$L$2:$L$1866)</f>
        <v>0</v>
      </c>
      <c r="K46" s="12">
        <f>SUMIF(Mercado_Receita!$S$2:$S$1866,"44348B1Convencional pré-pagamentoResidencialResidencial baixa renda – faixa 04Não se aplicaNão se aplicaPonta",Mercado_Receita!$L$2:$L$1866)+SUMIF(Mercado_Receita!$S$2:$S$1866,"44348B1Convencional pré-pagamentoResidencialResidencial baixa renda – faixa 04Não se aplicaNão se aplicaFora ponta",Mercado_Receita!$L$2:$L$1866)+SUMIF(Mercado_Receita!$S$2:$S$1866,"44348B1Convencional pré-pagamentoResidencialResidencial baixa renda – faixa 04Não se aplicaNão se aplicaIntermediário",Mercado_Receita!$L$2:$L$1866)+SUMIF(Mercado_Receita!$S$2:$S$1866,"44348B1Convencional pré-pagamentoResidencialResidencial baixa renda – faixa 04Não se aplicaNão se aplicaNão se aplica",Mercado_Receita!$L$2:$L$1866)</f>
        <v>0</v>
      </c>
      <c r="L46" s="12">
        <f>SUMIF(Mercado_Receita!$S$2:$S$1866,"44378B1Convencional pré-pagamentoResidencialResidencial baixa renda – faixa 04Não se aplicaNão se aplicaPonta",Mercado_Receita!$L$2:$L$1866)+SUMIF(Mercado_Receita!$S$2:$S$1866,"44378B1Convencional pré-pagamentoResidencialResidencial baixa renda – faixa 04Não se aplicaNão se aplicaFora ponta",Mercado_Receita!$L$2:$L$1866)+SUMIF(Mercado_Receita!$S$2:$S$1866,"44378B1Convencional pré-pagamentoResidencialResidencial baixa renda – faixa 04Não se aplicaNão se aplicaIntermediário",Mercado_Receita!$L$2:$L$1866)+SUMIF(Mercado_Receita!$S$2:$S$1866,"44378B1Convencional pré-pagamentoResidencialResidencial baixa renda – faixa 04Não se aplicaNão se aplicaNão se aplica",Mercado_Receita!$L$2:$L$1866)</f>
        <v>0</v>
      </c>
      <c r="M46" s="12">
        <f>SUMIF(Mercado_Receita!$S$2:$S$1866,"44409B1Convencional pré-pagamentoResidencialResidencial baixa renda – faixa 04Não se aplicaNão se aplicaPonta",Mercado_Receita!$L$2:$L$1866)+SUMIF(Mercado_Receita!$S$2:$S$1866,"44409B1Convencional pré-pagamentoResidencialResidencial baixa renda – faixa 04Não se aplicaNão se aplicaFora ponta",Mercado_Receita!$L$2:$L$1866)+SUMIF(Mercado_Receita!$S$2:$S$1866,"44409B1Convencional pré-pagamentoResidencialResidencial baixa renda – faixa 04Não se aplicaNão se aplicaIntermediário",Mercado_Receita!$L$2:$L$1866)+SUMIF(Mercado_Receita!$S$2:$S$1866,"44409B1Convencional pré-pagamentoResidencialResidencial baixa renda – faixa 04Não se aplicaNão se aplicaNão se aplica",Mercado_Receita!$L$2:$L$1866)</f>
        <v>0</v>
      </c>
      <c r="N46" s="12">
        <f>SUMIF(Mercado_Receita!$S$2:$S$1866,"44440B1Convencional pré-pagamentoResidencialResidencial baixa renda – faixa 04Não se aplicaNão se aplicaPonta",Mercado_Receita!$L$2:$L$1866)+SUMIF(Mercado_Receita!$S$2:$S$1866,"44440B1Convencional pré-pagamentoResidencialResidencial baixa renda – faixa 04Não se aplicaNão se aplicaFora ponta",Mercado_Receita!$L$2:$L$1866)+SUMIF(Mercado_Receita!$S$2:$S$1866,"44440B1Convencional pré-pagamentoResidencialResidencial baixa renda – faixa 04Não se aplicaNão se aplicaIntermediário",Mercado_Receita!$L$2:$L$1866)+SUMIF(Mercado_Receita!$S$2:$S$1866,"44440B1Convencional pré-pagamentoResidencialResidencial baixa renda – faixa 04Não se aplicaNão se aplicaNão se aplica",Mercado_Receita!$L$2:$L$1866)</f>
        <v>0</v>
      </c>
      <c r="O46" s="12">
        <f>SUMIF(Mercado_Receita!$S$2:$S$1866,"44470B1Convencional pré-pagamentoResidencialResidencial baixa renda – faixa 04Não se aplicaNão se aplicaPonta",Mercado_Receita!$L$2:$L$1866)+SUMIF(Mercado_Receita!$S$2:$S$1866,"44470B1Convencional pré-pagamentoResidencialResidencial baixa renda – faixa 04Não se aplicaNão se aplicaFora ponta",Mercado_Receita!$L$2:$L$1866)+SUMIF(Mercado_Receita!$S$2:$S$1866,"44470B1Convencional pré-pagamentoResidencialResidencial baixa renda – faixa 04Não se aplicaNão se aplicaIntermediário",Mercado_Receita!$L$2:$L$1866)+SUMIF(Mercado_Receita!$S$2:$S$1866,"44470B1Convencional pré-pagamentoResidencialResidencial baixa renda – faixa 04Não se aplicaNão se aplicaNão se aplica",Mercado_Receita!$L$2:$L$1866)</f>
        <v>0</v>
      </c>
      <c r="P46" s="12">
        <f>SUMIF(Mercado_Receita!$S$2:$S$1866,"44501B1Convencional pré-pagamentoResidencialResidencial baixa renda – faixa 04Não se aplicaNão se aplicaPonta",Mercado_Receita!$L$2:$L$1866)+SUMIF(Mercado_Receita!$S$2:$S$1866,"44501B1Convencional pré-pagamentoResidencialResidencial baixa renda – faixa 04Não se aplicaNão se aplicaFora ponta",Mercado_Receita!$L$2:$L$1866)+SUMIF(Mercado_Receita!$S$2:$S$1866,"44501B1Convencional pré-pagamentoResidencialResidencial baixa renda – faixa 04Não se aplicaNão se aplicaIntermediário",Mercado_Receita!$L$2:$L$1866)+SUMIF(Mercado_Receita!$S$2:$S$1866,"44501B1Convencional pré-pagamentoResidencialResidencial baixa renda – faixa 04Não se aplicaNão se aplicaNão se aplica",Mercado_Receita!$L$2:$L$1866)</f>
        <v>0</v>
      </c>
      <c r="Q46" s="12">
        <f>SUMIF(Mercado_Receita!$S$2:$S$1866,"44531B1Convencional pré-pagamentoResidencialResidencial baixa renda – faixa 04Não se aplicaNão se aplicaPonta",Mercado_Receita!$L$2:$L$1866)+SUMIF(Mercado_Receita!$S$2:$S$1866,"44531B1Convencional pré-pagamentoResidencialResidencial baixa renda – faixa 04Não se aplicaNão se aplicaFora ponta",Mercado_Receita!$L$2:$L$1866)+SUMIF(Mercado_Receita!$S$2:$S$1866,"44531B1Convencional pré-pagamentoResidencialResidencial baixa renda – faixa 04Não se aplicaNão se aplicaIntermediário",Mercado_Receita!$L$2:$L$1866)+SUMIF(Mercado_Receita!$S$2:$S$1866,"44531B1Convencional pré-pagamentoResidencialResidencial baixa renda – faixa 04Não se aplicaNão se aplicaNão se aplica",Mercado_Receita!$L$2:$L$1866)</f>
        <v>0</v>
      </c>
      <c r="R46" s="12">
        <f>SUMIF(Mercado_Receita!$S$2:$S$1866,"44562B1Convencional pré-pagamentoResidencialResidencial baixa renda – faixa 04Não se aplicaNão se aplicaPonta",Mercado_Receita!$L$2:$L$1866)+SUMIF(Mercado_Receita!$S$2:$S$1866,"44562B1Convencional pré-pagamentoResidencialResidencial baixa renda – faixa 04Não se aplicaNão se aplicaFora ponta",Mercado_Receita!$L$2:$L$1866)+SUMIF(Mercado_Receita!$S$2:$S$1866,"44562B1Convencional pré-pagamentoResidencialResidencial baixa renda – faixa 04Não se aplicaNão se aplicaIntermediário",Mercado_Receita!$L$2:$L$1866)+SUMIF(Mercado_Receita!$S$2:$S$1866,"44562B1Convencional pré-pagamentoResidencialResidencial baixa renda – faixa 04Não se aplicaNão se aplicaNão se aplica",Mercado_Receita!$L$2:$L$1866)</f>
        <v>0</v>
      </c>
      <c r="S46" s="12">
        <f>SUMIF(Mercado_Receita!$S$2:$S$1866,"44593B1Convencional pré-pagamentoResidencialResidencial baixa renda – faixa 04Não se aplicaNão se aplicaPonta",Mercado_Receita!$L$2:$L$1866)+SUMIF(Mercado_Receita!$S$2:$S$1866,"44593B1Convencional pré-pagamentoResidencialResidencial baixa renda – faixa 04Não se aplicaNão se aplicaFora ponta",Mercado_Receita!$L$2:$L$1866)+SUMIF(Mercado_Receita!$S$2:$S$1866,"44593B1Convencional pré-pagamentoResidencialResidencial baixa renda – faixa 04Não se aplicaNão se aplicaIntermediário",Mercado_Receita!$L$2:$L$1866)+SUMIF(Mercado_Receita!$S$2:$S$1866,"44593B1Convencional pré-pagamentoResidencialResidencial baixa renda – faixa 04Não se aplicaNão se aplicaNão se aplica",Mercado_Receita!$L$2:$L$1866)</f>
        <v>0</v>
      </c>
      <c r="T46" s="12">
        <f>SUMIF(Mercado_Receita!$S$2:$S$1866,"44621B1Convencional pré-pagamentoResidencialResidencial baixa renda – faixa 04Não se aplicaNão se aplicaPonta",Mercado_Receita!$L$2:$L$1866)+SUMIF(Mercado_Receita!$S$2:$S$1866,"44621B1Convencional pré-pagamentoResidencialResidencial baixa renda – faixa 04Não se aplicaNão se aplicaFora ponta",Mercado_Receita!$L$2:$L$1866)+SUMIF(Mercado_Receita!$S$2:$S$1866,"44621B1Convencional pré-pagamentoResidencialResidencial baixa renda – faixa 04Não se aplicaNão se aplicaIntermediário",Mercado_Receita!$L$2:$L$1866)+SUMIF(Mercado_Receita!$S$2:$S$1866,"44621B1Convencional pré-pagamentoResidencialResidencial baixa renda – faixa 04Não se aplicaNão se aplicaNão se aplica",Mercado_Receita!$L$2:$L$1866)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89" t="s">
        <v>44</v>
      </c>
      <c r="B47" s="89" t="s">
        <v>33</v>
      </c>
      <c r="C47" s="89" t="s">
        <v>45</v>
      </c>
      <c r="D47" s="89" t="s">
        <v>25</v>
      </c>
      <c r="E47" s="89" t="s">
        <v>25</v>
      </c>
      <c r="F47" s="89" t="s">
        <v>25</v>
      </c>
      <c r="G47" s="12" t="s">
        <v>94</v>
      </c>
      <c r="H47" s="12" t="s">
        <v>93</v>
      </c>
      <c r="I47" s="12">
        <f>SUMIF(Mercado_Receita!$S$2:$S$1866,"44287B2BrancaRuralNão se aplicaNão se aplicaNão se aplicaPonta",Mercado_Receita!$L$2:$L$1866)</f>
        <v>6.0999999999999999E-2</v>
      </c>
      <c r="J47" s="12">
        <f>SUMIF(Mercado_Receita!$S$2:$S$1866,"44317B2BrancaRuralNão se aplicaNão se aplicaNão se aplicaPonta",Mercado_Receita!$L$2:$L$1866)</f>
        <v>5.8000000000000003E-2</v>
      </c>
      <c r="K47" s="12">
        <f>SUMIF(Mercado_Receita!$S$2:$S$1866,"44348B2BrancaRuralNão se aplicaNão se aplicaNão se aplicaPonta",Mercado_Receita!$L$2:$L$1866)</f>
        <v>5.3999999999999999E-2</v>
      </c>
      <c r="L47" s="12">
        <f>SUMIF(Mercado_Receita!$S$2:$S$1866,"44378B2BrancaRuralNão se aplicaNão se aplicaNão se aplicaPonta",Mercado_Receita!$L$2:$L$1866)</f>
        <v>6.3E-2</v>
      </c>
      <c r="M47" s="12">
        <f>SUMIF(Mercado_Receita!$S$2:$S$1866,"44409B2BrancaRuralNão se aplicaNão se aplicaNão se aplicaPonta",Mercado_Receita!$L$2:$L$1866)</f>
        <v>5.8000000000000003E-2</v>
      </c>
      <c r="N47" s="12">
        <f>SUMIF(Mercado_Receita!$S$2:$S$1866,"44440B2BrancaRuralNão se aplicaNão se aplicaNão se aplicaPonta",Mercado_Receita!$L$2:$L$1866)</f>
        <v>5.8000000000000003E-2</v>
      </c>
      <c r="O47" s="12">
        <f>SUMIF(Mercado_Receita!$S$2:$S$1866,"44470B2BrancaRuralNão se aplicaNão se aplicaNão se aplicaPonta",Mercado_Receita!$L$2:$L$1866)</f>
        <v>5.1999999999999998E-2</v>
      </c>
      <c r="P47" s="12">
        <f>SUMIF(Mercado_Receita!$S$2:$S$1866,"44501B2BrancaRuralNão se aplicaNão se aplicaNão se aplicaPonta",Mercado_Receita!$L$2:$L$1866)</f>
        <v>4.7E-2</v>
      </c>
      <c r="Q47" s="12">
        <f>SUMIF(Mercado_Receita!$S$2:$S$1866,"44531B2BrancaRuralNão se aplicaNão se aplicaNão se aplicaPonta",Mercado_Receita!$L$2:$L$1866)</f>
        <v>6.2E-2</v>
      </c>
      <c r="R47" s="12">
        <f>SUMIF(Mercado_Receita!$S$2:$S$1866,"44562B2BrancaRuralNão se aplicaNão se aplicaNão se aplicaPonta",Mercado_Receita!$L$2:$L$1866)</f>
        <v>6.2E-2</v>
      </c>
      <c r="S47" s="12">
        <f>SUMIF(Mercado_Receita!$S$2:$S$1866,"44593B2BrancaRuralNão se aplicaNão se aplicaNão se aplicaPonta",Mercado_Receita!$L$2:$L$1866)</f>
        <v>1.7999999999999999E-2</v>
      </c>
      <c r="T47" s="12">
        <f>SUMIF(Mercado_Receita!$S$2:$S$1866,"44621B2BrancaRuralNão se aplicaNão se aplicaNão se aplicaPonta",Mercado_Receita!$L$2:$L$1866)</f>
        <v>1.7999999999999999E-2</v>
      </c>
      <c r="U47" s="12">
        <f t="shared" si="1"/>
        <v>0.61099999999999999</v>
      </c>
      <c r="V47" s="12"/>
      <c r="W47" s="12"/>
    </row>
    <row r="48" spans="1:23" ht="11.25" customHeight="1" x14ac:dyDescent="0.25">
      <c r="A48" s="90"/>
      <c r="B48" s="90"/>
      <c r="C48" s="90"/>
      <c r="D48" s="90"/>
      <c r="E48" s="90"/>
      <c r="F48" s="90"/>
      <c r="G48" s="12" t="s">
        <v>107</v>
      </c>
      <c r="H48" s="12" t="s">
        <v>93</v>
      </c>
      <c r="I48" s="12">
        <f>SUMIF(Mercado_Receita!$S$2:$S$1866,"44287B2BrancaRuralNão se aplicaNão se aplicaNão se aplicaIntermediário",Mercado_Receita!$L$2:$L$1866)</f>
        <v>9.2999999999999999E-2</v>
      </c>
      <c r="J48" s="12">
        <f>SUMIF(Mercado_Receita!$S$2:$S$1866,"44317B2BrancaRuralNão se aplicaNão se aplicaNão se aplicaIntermediário",Mercado_Receita!$L$2:$L$1866)</f>
        <v>3.7999999999999999E-2</v>
      </c>
      <c r="K48" s="12">
        <f>SUMIF(Mercado_Receita!$S$2:$S$1866,"44348B2BrancaRuralNão se aplicaNão se aplicaNão se aplicaIntermediário",Mercado_Receita!$L$2:$L$1866)</f>
        <v>3.1E-2</v>
      </c>
      <c r="L48" s="12">
        <f>SUMIF(Mercado_Receita!$S$2:$S$1866,"44378B2BrancaRuralNão se aplicaNão se aplicaNão se aplicaIntermediário",Mercado_Receita!$L$2:$L$1866)</f>
        <v>3.4000000000000002E-2</v>
      </c>
      <c r="M48" s="12">
        <f>SUMIF(Mercado_Receita!$S$2:$S$1866,"44409B2BrancaRuralNão se aplicaNão se aplicaNão se aplicaIntermediário",Mercado_Receita!$L$2:$L$1866)</f>
        <v>3.2000000000000001E-2</v>
      </c>
      <c r="N48" s="12">
        <f>SUMIF(Mercado_Receita!$S$2:$S$1866,"44440B2BrancaRuralNão se aplicaNão se aplicaNão se aplicaIntermediário",Mercado_Receita!$L$2:$L$1866)</f>
        <v>0.04</v>
      </c>
      <c r="O48" s="12">
        <f>SUMIF(Mercado_Receita!$S$2:$S$1866,"44470B2BrancaRuralNão se aplicaNão se aplicaNão se aplicaIntermediário",Mercado_Receita!$L$2:$L$1866)</f>
        <v>0.11199999999999999</v>
      </c>
      <c r="P48" s="12">
        <f>SUMIF(Mercado_Receita!$S$2:$S$1866,"44501B2BrancaRuralNão se aplicaNão se aplicaNão se aplicaIntermediário",Mercado_Receita!$L$2:$L$1866)</f>
        <v>0.106</v>
      </c>
      <c r="Q48" s="12">
        <f>SUMIF(Mercado_Receita!$S$2:$S$1866,"44531B2BrancaRuralNão se aplicaNão se aplicaNão se aplicaIntermediário",Mercado_Receita!$L$2:$L$1866)</f>
        <v>0.20499999999999999</v>
      </c>
      <c r="R48" s="12">
        <f>SUMIF(Mercado_Receita!$S$2:$S$1866,"44562B2BrancaRuralNão se aplicaNão se aplicaNão se aplicaIntermediário",Mercado_Receita!$L$2:$L$1866)</f>
        <v>5.7999999999999996E-2</v>
      </c>
      <c r="S48" s="12">
        <f>SUMIF(Mercado_Receita!$S$2:$S$1866,"44593B2BrancaRuralNão se aplicaNão se aplicaNão se aplicaIntermediário",Mercado_Receita!$L$2:$L$1866)</f>
        <v>3.1E-2</v>
      </c>
      <c r="T48" s="12">
        <f>SUMIF(Mercado_Receita!$S$2:$S$1866,"44621B2BrancaRuralNão se aplicaNão se aplicaNão se aplicaIntermediário",Mercado_Receita!$L$2:$L$1866)</f>
        <v>3.1E-2</v>
      </c>
      <c r="U48" s="12">
        <f t="shared" si="1"/>
        <v>0.81099999999999994</v>
      </c>
      <c r="V48" s="12"/>
      <c r="W48" s="12"/>
    </row>
    <row r="49" spans="1:23" ht="11.25" customHeight="1" x14ac:dyDescent="0.25">
      <c r="A49" s="90"/>
      <c r="B49" s="90"/>
      <c r="C49" s="90"/>
      <c r="D49" s="90"/>
      <c r="E49" s="90"/>
      <c r="F49" s="90"/>
      <c r="G49" s="12" t="s">
        <v>95</v>
      </c>
      <c r="H49" s="12" t="s">
        <v>93</v>
      </c>
      <c r="I49" s="12">
        <f>SUMIF(Mercado_Receita!$S$2:$S$1866,"44287B2BrancaRuralNão se aplicaNão se aplicaNão se aplicaFora ponta",Mercado_Receita!$L$2:$L$1866)</f>
        <v>1.82</v>
      </c>
      <c r="J49" s="12">
        <f>SUMIF(Mercado_Receita!$S$2:$S$1866,"44317B2BrancaRuralNão se aplicaNão se aplicaNão se aplicaFora ponta",Mercado_Receita!$L$2:$L$1866)</f>
        <v>0.80300000000000005</v>
      </c>
      <c r="K49" s="12">
        <f>SUMIF(Mercado_Receita!$S$2:$S$1866,"44348B2BrancaRuralNão se aplicaNão se aplicaNão se aplicaFora ponta",Mercado_Receita!$L$2:$L$1866)</f>
        <v>0.92800000000000005</v>
      </c>
      <c r="L49" s="12">
        <f>SUMIF(Mercado_Receita!$S$2:$S$1866,"44378B2BrancaRuralNão se aplicaNão se aplicaNão se aplicaFora ponta",Mercado_Receita!$L$2:$L$1866)</f>
        <v>0.55600000000000005</v>
      </c>
      <c r="M49" s="12">
        <f>SUMIF(Mercado_Receita!$S$2:$S$1866,"44409B2BrancaRuralNão se aplicaNão se aplicaNão se aplicaFora ponta",Mercado_Receita!$L$2:$L$1866)</f>
        <v>0.75900000000000001</v>
      </c>
      <c r="N49" s="12">
        <f>SUMIF(Mercado_Receita!$S$2:$S$1866,"44440B2BrancaRuralNão se aplicaNão se aplicaNão se aplicaFora ponta",Mercado_Receita!$L$2:$L$1866)</f>
        <v>1.877</v>
      </c>
      <c r="O49" s="12">
        <f>SUMIF(Mercado_Receita!$S$2:$S$1866,"44470B2BrancaRuralNão se aplicaNão se aplicaNão se aplicaFora ponta",Mercado_Receita!$L$2:$L$1866)</f>
        <v>6.484</v>
      </c>
      <c r="P49" s="12">
        <f>SUMIF(Mercado_Receita!$S$2:$S$1866,"44501B2BrancaRuralNão se aplicaNão se aplicaNão se aplicaFora ponta",Mercado_Receita!$L$2:$L$1866)</f>
        <v>5.9499999999999993</v>
      </c>
      <c r="Q49" s="12">
        <f>SUMIF(Mercado_Receita!$S$2:$S$1866,"44531B2BrancaRuralNão se aplicaNão se aplicaNão se aplicaFora ponta",Mercado_Receita!$L$2:$L$1866)</f>
        <v>41.655000000000001</v>
      </c>
      <c r="R49" s="12">
        <f>SUMIF(Mercado_Receita!$S$2:$S$1866,"44562B2BrancaRuralNão se aplicaNão se aplicaNão se aplicaFora ponta",Mercado_Receita!$L$2:$L$1866)</f>
        <v>37.378999999999998</v>
      </c>
      <c r="S49" s="12">
        <f>SUMIF(Mercado_Receita!$S$2:$S$1866,"44593B2BrancaRuralNão se aplicaNão se aplicaNão se aplicaFora ponta",Mercado_Receita!$L$2:$L$1866)</f>
        <v>43.302</v>
      </c>
      <c r="T49" s="12">
        <f>SUMIF(Mercado_Receita!$S$2:$S$1866,"44621B2BrancaRuralNão se aplicaNão se aplicaNão se aplicaFora ponta",Mercado_Receita!$L$2:$L$1866)</f>
        <v>43.302</v>
      </c>
      <c r="U49" s="12">
        <f t="shared" si="1"/>
        <v>184.815</v>
      </c>
      <c r="V49" s="12"/>
      <c r="W49" s="12"/>
    </row>
    <row r="50" spans="1:23" ht="11.25" customHeight="1" x14ac:dyDescent="0.25">
      <c r="A50" s="90"/>
      <c r="B50" s="13" t="s">
        <v>23</v>
      </c>
      <c r="C50" s="13" t="s">
        <v>45</v>
      </c>
      <c r="D50" s="13" t="s">
        <v>25</v>
      </c>
      <c r="E50" s="13" t="s">
        <v>25</v>
      </c>
      <c r="F50" s="13" t="s">
        <v>25</v>
      </c>
      <c r="G50" s="12" t="s">
        <v>98</v>
      </c>
      <c r="H50" s="12" t="s">
        <v>93</v>
      </c>
      <c r="I50" s="12">
        <f>SUMIF(Mercado_Receita!$S$2:$S$1866,"44287B2ConvencionalRuralNão se aplicaNão se aplicaNão se aplicaPonta",Mercado_Receita!$L$2:$L$1866)+SUMIF(Mercado_Receita!$S$2:$S$1866,"44287B2ConvencionalRuralNão se aplicaNão se aplicaNão se aplicaFora ponta",Mercado_Receita!$L$2:$L$1866)+SUMIF(Mercado_Receita!$S$2:$S$1866,"44287B2ConvencionalRuralNão se aplicaNão se aplicaNão se aplicaIntermediário",Mercado_Receita!$L$2:$L$1866)+SUMIF(Mercado_Receita!$S$2:$S$1866,"44287B2ConvencionalRuralNão se aplicaNão se aplicaNão se aplicaNão se aplica",Mercado_Receita!$L$2:$L$1866)</f>
        <v>6119.811999999999</v>
      </c>
      <c r="J50" s="12">
        <f>SUMIF(Mercado_Receita!$S$2:$S$1866,"44317B2ConvencionalRuralNão se aplicaNão se aplicaNão se aplicaPonta",Mercado_Receita!$L$2:$L$1866)+SUMIF(Mercado_Receita!$S$2:$S$1866,"44317B2ConvencionalRuralNão se aplicaNão se aplicaNão se aplicaFora ponta",Mercado_Receita!$L$2:$L$1866)+SUMIF(Mercado_Receita!$S$2:$S$1866,"44317B2ConvencionalRuralNão se aplicaNão se aplicaNão se aplicaIntermediário",Mercado_Receita!$L$2:$L$1866)+SUMIF(Mercado_Receita!$S$2:$S$1866,"44317B2ConvencionalRuralNão se aplicaNão se aplicaNão se aplicaNão se aplica",Mercado_Receita!$L$2:$L$1866)</f>
        <v>4390.7210000000005</v>
      </c>
      <c r="K50" s="12">
        <f>SUMIF(Mercado_Receita!$S$2:$S$1866,"44348B2ConvencionalRuralNão se aplicaNão se aplicaNão se aplicaPonta",Mercado_Receita!$L$2:$L$1866)+SUMIF(Mercado_Receita!$S$2:$S$1866,"44348B2ConvencionalRuralNão se aplicaNão se aplicaNão se aplicaFora ponta",Mercado_Receita!$L$2:$L$1866)+SUMIF(Mercado_Receita!$S$2:$S$1866,"44348B2ConvencionalRuralNão se aplicaNão se aplicaNão se aplicaIntermediário",Mercado_Receita!$L$2:$L$1866)+SUMIF(Mercado_Receita!$S$2:$S$1866,"44348B2ConvencionalRuralNão se aplicaNão se aplicaNão se aplicaNão se aplica",Mercado_Receita!$L$2:$L$1866)</f>
        <v>4127.7220000000007</v>
      </c>
      <c r="L50" s="12">
        <f>SUMIF(Mercado_Receita!$S$2:$S$1866,"44378B2ConvencionalRuralNão se aplicaNão se aplicaNão se aplicaPonta",Mercado_Receita!$L$2:$L$1866)+SUMIF(Mercado_Receita!$S$2:$S$1866,"44378B2ConvencionalRuralNão se aplicaNão se aplicaNão se aplicaFora ponta",Mercado_Receita!$L$2:$L$1866)+SUMIF(Mercado_Receita!$S$2:$S$1866,"44378B2ConvencionalRuralNão se aplicaNão se aplicaNão se aplicaIntermediário",Mercado_Receita!$L$2:$L$1866)+SUMIF(Mercado_Receita!$S$2:$S$1866,"44378B2ConvencionalRuralNão se aplicaNão se aplicaNão se aplicaNão se aplica",Mercado_Receita!$L$2:$L$1866)</f>
        <v>4152.2719999999999</v>
      </c>
      <c r="M50" s="12">
        <f>SUMIF(Mercado_Receita!$S$2:$S$1866,"44409B2ConvencionalRuralNão se aplicaNão se aplicaNão se aplicaPonta",Mercado_Receita!$L$2:$L$1866)+SUMIF(Mercado_Receita!$S$2:$S$1866,"44409B2ConvencionalRuralNão se aplicaNão se aplicaNão se aplicaFora ponta",Mercado_Receita!$L$2:$L$1866)+SUMIF(Mercado_Receita!$S$2:$S$1866,"44409B2ConvencionalRuralNão se aplicaNão se aplicaNão se aplicaIntermediário",Mercado_Receita!$L$2:$L$1866)+SUMIF(Mercado_Receita!$S$2:$S$1866,"44409B2ConvencionalRuralNão se aplicaNão se aplicaNão se aplicaNão se aplica",Mercado_Receita!$L$2:$L$1866)</f>
        <v>4039.7559999999999</v>
      </c>
      <c r="N50" s="12">
        <f>SUMIF(Mercado_Receita!$S$2:$S$1866,"44440B2ConvencionalRuralNão se aplicaNão se aplicaNão se aplicaPonta",Mercado_Receita!$L$2:$L$1866)+SUMIF(Mercado_Receita!$S$2:$S$1866,"44440B2ConvencionalRuralNão se aplicaNão se aplicaNão se aplicaFora ponta",Mercado_Receita!$L$2:$L$1866)+SUMIF(Mercado_Receita!$S$2:$S$1866,"44440B2ConvencionalRuralNão se aplicaNão se aplicaNão se aplicaIntermediário",Mercado_Receita!$L$2:$L$1866)+SUMIF(Mercado_Receita!$S$2:$S$1866,"44440B2ConvencionalRuralNão se aplicaNão se aplicaNão se aplicaNão se aplica",Mercado_Receita!$L$2:$L$1866)</f>
        <v>4568.1260000000002</v>
      </c>
      <c r="O50" s="12">
        <f>SUMIF(Mercado_Receita!$S$2:$S$1866,"44470B2ConvencionalRuralNão se aplicaNão se aplicaNão se aplicaPonta",Mercado_Receita!$L$2:$L$1866)+SUMIF(Mercado_Receita!$S$2:$S$1866,"44470B2ConvencionalRuralNão se aplicaNão se aplicaNão se aplicaFora ponta",Mercado_Receita!$L$2:$L$1866)+SUMIF(Mercado_Receita!$S$2:$S$1866,"44470B2ConvencionalRuralNão se aplicaNão se aplicaNão se aplicaIntermediário",Mercado_Receita!$L$2:$L$1866)+SUMIF(Mercado_Receita!$S$2:$S$1866,"44470B2ConvencionalRuralNão se aplicaNão se aplicaNão se aplicaNão se aplica",Mercado_Receita!$L$2:$L$1866)</f>
        <v>5443.9719999999998</v>
      </c>
      <c r="P50" s="12">
        <f>SUMIF(Mercado_Receita!$S$2:$S$1866,"44501B2ConvencionalRuralNão se aplicaNão se aplicaNão se aplicaPonta",Mercado_Receita!$L$2:$L$1866)+SUMIF(Mercado_Receita!$S$2:$S$1866,"44501B2ConvencionalRuralNão se aplicaNão se aplicaNão se aplicaFora ponta",Mercado_Receita!$L$2:$L$1866)+SUMIF(Mercado_Receita!$S$2:$S$1866,"44501B2ConvencionalRuralNão se aplicaNão se aplicaNão se aplicaIntermediário",Mercado_Receita!$L$2:$L$1866)+SUMIF(Mercado_Receita!$S$2:$S$1866,"44501B2ConvencionalRuralNão se aplicaNão se aplicaNão se aplicaNão se aplica",Mercado_Receita!$L$2:$L$1866)</f>
        <v>5583.83</v>
      </c>
      <c r="Q50" s="12">
        <f>SUMIF(Mercado_Receita!$S$2:$S$1866,"44531B2ConvencionalRuralNão se aplicaNão se aplicaNão se aplicaPonta",Mercado_Receita!$L$2:$L$1866)+SUMIF(Mercado_Receita!$S$2:$S$1866,"44531B2ConvencionalRuralNão se aplicaNão se aplicaNão se aplicaFora ponta",Mercado_Receita!$L$2:$L$1866)+SUMIF(Mercado_Receita!$S$2:$S$1866,"44531B2ConvencionalRuralNão se aplicaNão se aplicaNão se aplicaIntermediário",Mercado_Receita!$L$2:$L$1866)+SUMIF(Mercado_Receita!$S$2:$S$1866,"44531B2ConvencionalRuralNão se aplicaNão se aplicaNão se aplicaNão se aplica",Mercado_Receita!$L$2:$L$1866)</f>
        <v>5514.4679999999998</v>
      </c>
      <c r="R50" s="12">
        <f>SUMIF(Mercado_Receita!$S$2:$S$1866,"44562B2ConvencionalRuralNão se aplicaNão se aplicaNão se aplicaPonta",Mercado_Receita!$L$2:$L$1866)+SUMIF(Mercado_Receita!$S$2:$S$1866,"44562B2ConvencionalRuralNão se aplicaNão se aplicaNão se aplicaFora ponta",Mercado_Receita!$L$2:$L$1866)+SUMIF(Mercado_Receita!$S$2:$S$1866,"44562B2ConvencionalRuralNão se aplicaNão se aplicaNão se aplicaIntermediário",Mercado_Receita!$L$2:$L$1866)+SUMIF(Mercado_Receita!$S$2:$S$1866,"44562B2ConvencionalRuralNão se aplicaNão se aplicaNão se aplicaNão se aplica",Mercado_Receita!$L$2:$L$1866)</f>
        <v>5443.1900000000005</v>
      </c>
      <c r="S50" s="12">
        <f>SUMIF(Mercado_Receita!$S$2:$S$1866,"44593B2ConvencionalRuralNão se aplicaNão se aplicaNão se aplicaPonta",Mercado_Receita!$L$2:$L$1866)+SUMIF(Mercado_Receita!$S$2:$S$1866,"44593B2ConvencionalRuralNão se aplicaNão se aplicaNão se aplicaFora ponta",Mercado_Receita!$L$2:$L$1866)+SUMIF(Mercado_Receita!$S$2:$S$1866,"44593B2ConvencionalRuralNão se aplicaNão se aplicaNão se aplicaIntermediário",Mercado_Receita!$L$2:$L$1866)+SUMIF(Mercado_Receita!$S$2:$S$1866,"44593B2ConvencionalRuralNão se aplicaNão se aplicaNão se aplicaNão se aplica",Mercado_Receita!$L$2:$L$1866)</f>
        <v>5786.0919999999996</v>
      </c>
      <c r="T50" s="12">
        <f>SUMIF(Mercado_Receita!$S$2:$S$1866,"44621B2ConvencionalRuralNão se aplicaNão se aplicaNão se aplicaPonta",Mercado_Receita!$L$2:$L$1866)+SUMIF(Mercado_Receita!$S$2:$S$1866,"44621B2ConvencionalRuralNão se aplicaNão se aplicaNão se aplicaFora ponta",Mercado_Receita!$L$2:$L$1866)+SUMIF(Mercado_Receita!$S$2:$S$1866,"44621B2ConvencionalRuralNão se aplicaNão se aplicaNão se aplicaIntermediário",Mercado_Receita!$L$2:$L$1866)+SUMIF(Mercado_Receita!$S$2:$S$1866,"44621B2ConvencionalRuralNão se aplicaNão se aplicaNão se aplicaNão se aplica",Mercado_Receita!$L$2:$L$1866)</f>
        <v>5786.0919999999996</v>
      </c>
      <c r="U50" s="12">
        <f t="shared" si="1"/>
        <v>60956.053</v>
      </c>
      <c r="V50" s="12"/>
      <c r="W50" s="12"/>
    </row>
    <row r="51" spans="1:23" ht="11.25" customHeight="1" x14ac:dyDescent="0.25">
      <c r="A51" s="90"/>
      <c r="B51" s="89" t="s">
        <v>33</v>
      </c>
      <c r="C51" s="89" t="s">
        <v>45</v>
      </c>
      <c r="D51" s="89" t="s">
        <v>110</v>
      </c>
      <c r="E51" s="89" t="s">
        <v>25</v>
      </c>
      <c r="F51" s="89" t="s">
        <v>25</v>
      </c>
      <c r="G51" s="12" t="s">
        <v>94</v>
      </c>
      <c r="H51" s="12" t="s">
        <v>93</v>
      </c>
      <c r="I51" s="12">
        <f>SUMIF(Mercado_Receita!$S$2:$S$1866,"44287B2BrancaRuralCooperativa de eletrificação ruralNão se aplicaNão se aplicaPonta",Mercado_Receita!$L$2:$L$1866)</f>
        <v>0</v>
      </c>
      <c r="J51" s="12">
        <f>SUMIF(Mercado_Receita!$S$2:$S$1866,"44317B2BrancaRuralCooperativa de eletrificação ruralNão se aplicaNão se aplicaPonta",Mercado_Receita!$L$2:$L$1866)</f>
        <v>0</v>
      </c>
      <c r="K51" s="12">
        <f>SUMIF(Mercado_Receita!$S$2:$S$1866,"44348B2BrancaRuralCooperativa de eletrificação ruralNão se aplicaNão se aplicaPonta",Mercado_Receita!$L$2:$L$1866)</f>
        <v>0</v>
      </c>
      <c r="L51" s="12">
        <f>SUMIF(Mercado_Receita!$S$2:$S$1866,"44378B2BrancaRuralCooperativa de eletrificação ruralNão se aplicaNão se aplicaPonta",Mercado_Receita!$L$2:$L$1866)</f>
        <v>0</v>
      </c>
      <c r="M51" s="12">
        <f>SUMIF(Mercado_Receita!$S$2:$S$1866,"44409B2BrancaRuralCooperativa de eletrificação ruralNão se aplicaNão se aplicaPonta",Mercado_Receita!$L$2:$L$1866)</f>
        <v>0</v>
      </c>
      <c r="N51" s="12">
        <f>SUMIF(Mercado_Receita!$S$2:$S$1866,"44440B2BrancaRuralCooperativa de eletrificação ruralNão se aplicaNão se aplicaPonta",Mercado_Receita!$L$2:$L$1866)</f>
        <v>0</v>
      </c>
      <c r="O51" s="12">
        <f>SUMIF(Mercado_Receita!$S$2:$S$1866,"44470B2BrancaRuralCooperativa de eletrificação ruralNão se aplicaNão se aplicaPonta",Mercado_Receita!$L$2:$L$1866)</f>
        <v>0</v>
      </c>
      <c r="P51" s="12">
        <f>SUMIF(Mercado_Receita!$S$2:$S$1866,"44501B2BrancaRuralCooperativa de eletrificação ruralNão se aplicaNão se aplicaPonta",Mercado_Receita!$L$2:$L$1866)</f>
        <v>0</v>
      </c>
      <c r="Q51" s="12">
        <f>SUMIF(Mercado_Receita!$S$2:$S$1866,"44531B2BrancaRuralCooperativa de eletrificação ruralNão se aplicaNão se aplicaPonta",Mercado_Receita!$L$2:$L$1866)</f>
        <v>0</v>
      </c>
      <c r="R51" s="12">
        <f>SUMIF(Mercado_Receita!$S$2:$S$1866,"44562B2BrancaRuralCooperativa de eletrificação ruralNão se aplicaNão se aplicaPonta",Mercado_Receita!$L$2:$L$1866)</f>
        <v>0</v>
      </c>
      <c r="S51" s="12">
        <f>SUMIF(Mercado_Receita!$S$2:$S$1866,"44593B2BrancaRuralCooperativa de eletrificação ruralNão se aplicaNão se aplicaPonta",Mercado_Receita!$L$2:$L$1866)</f>
        <v>0</v>
      </c>
      <c r="T51" s="12">
        <f>SUMIF(Mercado_Receita!$S$2:$S$1866,"44621B2BrancaRuralCooperativa de eletrificação ruralNão se aplicaNão se aplicaPonta",Mercado_Receita!$L$2:$L$1866)</f>
        <v>0</v>
      </c>
      <c r="U51" s="12">
        <f t="shared" si="1"/>
        <v>0</v>
      </c>
      <c r="V51" s="12"/>
      <c r="W51" s="12"/>
    </row>
    <row r="52" spans="1:23" ht="11.25" customHeight="1" x14ac:dyDescent="0.25">
      <c r="A52" s="90"/>
      <c r="B52" s="90"/>
      <c r="C52" s="90"/>
      <c r="D52" s="90"/>
      <c r="E52" s="90"/>
      <c r="F52" s="90"/>
      <c r="G52" s="12" t="s">
        <v>107</v>
      </c>
      <c r="H52" s="12" t="s">
        <v>93</v>
      </c>
      <c r="I52" s="12">
        <f>SUMIF(Mercado_Receita!$S$2:$S$1866,"44287B2BrancaRuralCooperativa de eletrificação ruralNão se aplicaNão se aplicaIntermediário",Mercado_Receita!$L$2:$L$1866)</f>
        <v>0</v>
      </c>
      <c r="J52" s="12">
        <f>SUMIF(Mercado_Receita!$S$2:$S$1866,"44317B2BrancaRuralCooperativa de eletrificação ruralNão se aplicaNão se aplicaIntermediário",Mercado_Receita!$L$2:$L$1866)</f>
        <v>0</v>
      </c>
      <c r="K52" s="12">
        <f>SUMIF(Mercado_Receita!$S$2:$S$1866,"44348B2BrancaRuralCooperativa de eletrificação ruralNão se aplicaNão se aplicaIntermediário",Mercado_Receita!$L$2:$L$1866)</f>
        <v>0</v>
      </c>
      <c r="L52" s="12">
        <f>SUMIF(Mercado_Receita!$S$2:$S$1866,"44378B2BrancaRuralCooperativa de eletrificação ruralNão se aplicaNão se aplicaIntermediário",Mercado_Receita!$L$2:$L$1866)</f>
        <v>0</v>
      </c>
      <c r="M52" s="12">
        <f>SUMIF(Mercado_Receita!$S$2:$S$1866,"44409B2BrancaRuralCooperativa de eletrificação ruralNão se aplicaNão se aplicaIntermediário",Mercado_Receita!$L$2:$L$1866)</f>
        <v>0</v>
      </c>
      <c r="N52" s="12">
        <f>SUMIF(Mercado_Receita!$S$2:$S$1866,"44440B2BrancaRuralCooperativa de eletrificação ruralNão se aplicaNão se aplicaIntermediário",Mercado_Receita!$L$2:$L$1866)</f>
        <v>0</v>
      </c>
      <c r="O52" s="12">
        <f>SUMIF(Mercado_Receita!$S$2:$S$1866,"44470B2BrancaRuralCooperativa de eletrificação ruralNão se aplicaNão se aplicaIntermediário",Mercado_Receita!$L$2:$L$1866)</f>
        <v>0</v>
      </c>
      <c r="P52" s="12">
        <f>SUMIF(Mercado_Receita!$S$2:$S$1866,"44501B2BrancaRuralCooperativa de eletrificação ruralNão se aplicaNão se aplicaIntermediário",Mercado_Receita!$L$2:$L$1866)</f>
        <v>0</v>
      </c>
      <c r="Q52" s="12">
        <f>SUMIF(Mercado_Receita!$S$2:$S$1866,"44531B2BrancaRuralCooperativa de eletrificação ruralNão se aplicaNão se aplicaIntermediário",Mercado_Receita!$L$2:$L$1866)</f>
        <v>0</v>
      </c>
      <c r="R52" s="12">
        <f>SUMIF(Mercado_Receita!$S$2:$S$1866,"44562B2BrancaRuralCooperativa de eletrificação ruralNão se aplicaNão se aplicaIntermediário",Mercado_Receita!$L$2:$L$1866)</f>
        <v>0</v>
      </c>
      <c r="S52" s="12">
        <f>SUMIF(Mercado_Receita!$S$2:$S$1866,"44593B2BrancaRuralCooperativa de eletrificação ruralNão se aplicaNão se aplicaIntermediário",Mercado_Receita!$L$2:$L$1866)</f>
        <v>0</v>
      </c>
      <c r="T52" s="12">
        <f>SUMIF(Mercado_Receita!$S$2:$S$1866,"44621B2BrancaRuralCooperativa de eletrificação ruralNão se aplicaNão se aplicaIntermediário",Mercado_Receita!$L$2:$L$1866)</f>
        <v>0</v>
      </c>
      <c r="U52" s="12">
        <f t="shared" si="1"/>
        <v>0</v>
      </c>
      <c r="V52" s="12"/>
      <c r="W52" s="12"/>
    </row>
    <row r="53" spans="1:23" ht="11.25" customHeight="1" x14ac:dyDescent="0.25">
      <c r="A53" s="90"/>
      <c r="B53" s="90"/>
      <c r="C53" s="90"/>
      <c r="D53" s="90"/>
      <c r="E53" s="90"/>
      <c r="F53" s="90"/>
      <c r="G53" s="12" t="s">
        <v>95</v>
      </c>
      <c r="H53" s="12" t="s">
        <v>93</v>
      </c>
      <c r="I53" s="12">
        <f>SUMIF(Mercado_Receita!$S$2:$S$1866,"44287B2BrancaRuralCooperativa de eletrificação ruralNão se aplicaNão se aplicaFora ponta",Mercado_Receita!$L$2:$L$1866)</f>
        <v>0</v>
      </c>
      <c r="J53" s="12">
        <f>SUMIF(Mercado_Receita!$S$2:$S$1866,"44317B2BrancaRuralCooperativa de eletrificação ruralNão se aplicaNão se aplicaFora ponta",Mercado_Receita!$L$2:$L$1866)</f>
        <v>0</v>
      </c>
      <c r="K53" s="12">
        <f>SUMIF(Mercado_Receita!$S$2:$S$1866,"44348B2BrancaRuralCooperativa de eletrificação ruralNão se aplicaNão se aplicaFora ponta",Mercado_Receita!$L$2:$L$1866)</f>
        <v>0</v>
      </c>
      <c r="L53" s="12">
        <f>SUMIF(Mercado_Receita!$S$2:$S$1866,"44378B2BrancaRuralCooperativa de eletrificação ruralNão se aplicaNão se aplicaFora ponta",Mercado_Receita!$L$2:$L$1866)</f>
        <v>0</v>
      </c>
      <c r="M53" s="12">
        <f>SUMIF(Mercado_Receita!$S$2:$S$1866,"44409B2BrancaRuralCooperativa de eletrificação ruralNão se aplicaNão se aplicaFora ponta",Mercado_Receita!$L$2:$L$1866)</f>
        <v>0</v>
      </c>
      <c r="N53" s="12">
        <f>SUMIF(Mercado_Receita!$S$2:$S$1866,"44440B2BrancaRuralCooperativa de eletrificação ruralNão se aplicaNão se aplicaFora ponta",Mercado_Receita!$L$2:$L$1866)</f>
        <v>0</v>
      </c>
      <c r="O53" s="12">
        <f>SUMIF(Mercado_Receita!$S$2:$S$1866,"44470B2BrancaRuralCooperativa de eletrificação ruralNão se aplicaNão se aplicaFora ponta",Mercado_Receita!$L$2:$L$1866)</f>
        <v>0</v>
      </c>
      <c r="P53" s="12">
        <f>SUMIF(Mercado_Receita!$S$2:$S$1866,"44501B2BrancaRuralCooperativa de eletrificação ruralNão se aplicaNão se aplicaFora ponta",Mercado_Receita!$L$2:$L$1866)</f>
        <v>0</v>
      </c>
      <c r="Q53" s="12">
        <f>SUMIF(Mercado_Receita!$S$2:$S$1866,"44531B2BrancaRuralCooperativa de eletrificação ruralNão se aplicaNão se aplicaFora ponta",Mercado_Receita!$L$2:$L$1866)</f>
        <v>0</v>
      </c>
      <c r="R53" s="12">
        <f>SUMIF(Mercado_Receita!$S$2:$S$1866,"44562B2BrancaRuralCooperativa de eletrificação ruralNão se aplicaNão se aplicaFora ponta",Mercado_Receita!$L$2:$L$1866)</f>
        <v>0</v>
      </c>
      <c r="S53" s="12">
        <f>SUMIF(Mercado_Receita!$S$2:$S$1866,"44593B2BrancaRuralCooperativa de eletrificação ruralNão se aplicaNão se aplicaFora ponta",Mercado_Receita!$L$2:$L$1866)</f>
        <v>0</v>
      </c>
      <c r="T53" s="12">
        <f>SUMIF(Mercado_Receita!$S$2:$S$1866,"44621B2BrancaRuralCooperativa de eletrificação ruralNão se aplicaNão se aplicaFora ponta",Mercado_Receita!$L$2:$L$1866)</f>
        <v>0</v>
      </c>
      <c r="U53" s="12">
        <f t="shared" si="1"/>
        <v>0</v>
      </c>
      <c r="V53" s="12"/>
      <c r="W53" s="12"/>
    </row>
    <row r="54" spans="1:23" ht="11.25" customHeight="1" x14ac:dyDescent="0.25">
      <c r="A54" s="90"/>
      <c r="B54" s="13" t="s">
        <v>23</v>
      </c>
      <c r="C54" s="13" t="s">
        <v>45</v>
      </c>
      <c r="D54" s="13" t="s">
        <v>110</v>
      </c>
      <c r="E54" s="13" t="s">
        <v>25</v>
      </c>
      <c r="F54" s="13" t="s">
        <v>25</v>
      </c>
      <c r="G54" s="12" t="s">
        <v>98</v>
      </c>
      <c r="H54" s="12" t="s">
        <v>93</v>
      </c>
      <c r="I54" s="12">
        <f>SUMIF(Mercado_Receita!$S$2:$S$1866,"44287B2ConvencionalRuralCooperativa de eletrificação ruralNão se aplicaNão se aplicaPonta",Mercado_Receita!$L$2:$L$1866)+SUMIF(Mercado_Receita!$S$2:$S$1866,"44287B2ConvencionalRuralCooperativa de eletrificação ruralNão se aplicaNão se aplicaFora ponta",Mercado_Receita!$L$2:$L$1866)+SUMIF(Mercado_Receita!$S$2:$S$1866,"44287B2ConvencionalRuralCooperativa de eletrificação ruralNão se aplicaNão se aplicaIntermediário",Mercado_Receita!$L$2:$L$1866)+SUMIF(Mercado_Receita!$S$2:$S$1866,"44287B2ConvencionalRuralCooperativa de eletrificação ruralNão se aplicaNão se aplicaNão se aplica",Mercado_Receita!$L$2:$L$1866)</f>
        <v>0</v>
      </c>
      <c r="J54" s="12">
        <f>SUMIF(Mercado_Receita!$S$2:$S$1866,"44317B2ConvencionalRuralCooperativa de eletrificação ruralNão se aplicaNão se aplicaPonta",Mercado_Receita!$L$2:$L$1866)+SUMIF(Mercado_Receita!$S$2:$S$1866,"44317B2ConvencionalRuralCooperativa de eletrificação ruralNão se aplicaNão se aplicaFora ponta",Mercado_Receita!$L$2:$L$1866)+SUMIF(Mercado_Receita!$S$2:$S$1866,"44317B2ConvencionalRuralCooperativa de eletrificação ruralNão se aplicaNão se aplicaIntermediário",Mercado_Receita!$L$2:$L$1866)+SUMIF(Mercado_Receita!$S$2:$S$1866,"44317B2ConvencionalRuralCooperativa de eletrificação ruralNão se aplicaNão se aplicaNão se aplica",Mercado_Receita!$L$2:$L$1866)</f>
        <v>0</v>
      </c>
      <c r="K54" s="12">
        <f>SUMIF(Mercado_Receita!$S$2:$S$1866,"44348B2ConvencionalRuralCooperativa de eletrificação ruralNão se aplicaNão se aplicaPonta",Mercado_Receita!$L$2:$L$1866)+SUMIF(Mercado_Receita!$S$2:$S$1866,"44348B2ConvencionalRuralCooperativa de eletrificação ruralNão se aplicaNão se aplicaFora ponta",Mercado_Receita!$L$2:$L$1866)+SUMIF(Mercado_Receita!$S$2:$S$1866,"44348B2ConvencionalRuralCooperativa de eletrificação ruralNão se aplicaNão se aplicaIntermediário",Mercado_Receita!$L$2:$L$1866)+SUMIF(Mercado_Receita!$S$2:$S$1866,"44348B2ConvencionalRuralCooperativa de eletrificação ruralNão se aplicaNão se aplicaNão se aplica",Mercado_Receita!$L$2:$L$1866)</f>
        <v>0</v>
      </c>
      <c r="L54" s="12">
        <f>SUMIF(Mercado_Receita!$S$2:$S$1866,"44378B2ConvencionalRuralCooperativa de eletrificação ruralNão se aplicaNão se aplicaPonta",Mercado_Receita!$L$2:$L$1866)+SUMIF(Mercado_Receita!$S$2:$S$1866,"44378B2ConvencionalRuralCooperativa de eletrificação ruralNão se aplicaNão se aplicaFora ponta",Mercado_Receita!$L$2:$L$1866)+SUMIF(Mercado_Receita!$S$2:$S$1866,"44378B2ConvencionalRuralCooperativa de eletrificação ruralNão se aplicaNão se aplicaIntermediário",Mercado_Receita!$L$2:$L$1866)+SUMIF(Mercado_Receita!$S$2:$S$1866,"44378B2ConvencionalRuralCooperativa de eletrificação ruralNão se aplicaNão se aplicaNão se aplica",Mercado_Receita!$L$2:$L$1866)</f>
        <v>0</v>
      </c>
      <c r="M54" s="12">
        <f>SUMIF(Mercado_Receita!$S$2:$S$1866,"44409B2ConvencionalRuralCooperativa de eletrificação ruralNão se aplicaNão se aplicaPonta",Mercado_Receita!$L$2:$L$1866)+SUMIF(Mercado_Receita!$S$2:$S$1866,"44409B2ConvencionalRuralCooperativa de eletrificação ruralNão se aplicaNão se aplicaFora ponta",Mercado_Receita!$L$2:$L$1866)+SUMIF(Mercado_Receita!$S$2:$S$1866,"44409B2ConvencionalRuralCooperativa de eletrificação ruralNão se aplicaNão se aplicaIntermediário",Mercado_Receita!$L$2:$L$1866)+SUMIF(Mercado_Receita!$S$2:$S$1866,"44409B2ConvencionalRuralCooperativa de eletrificação ruralNão se aplicaNão se aplicaNão se aplica",Mercado_Receita!$L$2:$L$1866)</f>
        <v>0</v>
      </c>
      <c r="N54" s="12">
        <f>SUMIF(Mercado_Receita!$S$2:$S$1866,"44440B2ConvencionalRuralCooperativa de eletrificação ruralNão se aplicaNão se aplicaPonta",Mercado_Receita!$L$2:$L$1866)+SUMIF(Mercado_Receita!$S$2:$S$1866,"44440B2ConvencionalRuralCooperativa de eletrificação ruralNão se aplicaNão se aplicaFora ponta",Mercado_Receita!$L$2:$L$1866)+SUMIF(Mercado_Receita!$S$2:$S$1866,"44440B2ConvencionalRuralCooperativa de eletrificação ruralNão se aplicaNão se aplicaIntermediário",Mercado_Receita!$L$2:$L$1866)+SUMIF(Mercado_Receita!$S$2:$S$1866,"44440B2ConvencionalRuralCooperativa de eletrificação ruralNão se aplicaNão se aplicaNão se aplica",Mercado_Receita!$L$2:$L$1866)</f>
        <v>0</v>
      </c>
      <c r="O54" s="12">
        <f>SUMIF(Mercado_Receita!$S$2:$S$1866,"44470B2ConvencionalRuralCooperativa de eletrificação ruralNão se aplicaNão se aplicaPonta",Mercado_Receita!$L$2:$L$1866)+SUMIF(Mercado_Receita!$S$2:$S$1866,"44470B2ConvencionalRuralCooperativa de eletrificação ruralNão se aplicaNão se aplicaFora ponta",Mercado_Receita!$L$2:$L$1866)+SUMIF(Mercado_Receita!$S$2:$S$1866,"44470B2ConvencionalRuralCooperativa de eletrificação ruralNão se aplicaNão se aplicaIntermediário",Mercado_Receita!$L$2:$L$1866)+SUMIF(Mercado_Receita!$S$2:$S$1866,"44470B2ConvencionalRuralCooperativa de eletrificação ruralNão se aplicaNão se aplicaNão se aplica",Mercado_Receita!$L$2:$L$1866)</f>
        <v>0</v>
      </c>
      <c r="P54" s="12">
        <f>SUMIF(Mercado_Receita!$S$2:$S$1866,"44501B2ConvencionalRuralCooperativa de eletrificação ruralNão se aplicaNão se aplicaPonta",Mercado_Receita!$L$2:$L$1866)+SUMIF(Mercado_Receita!$S$2:$S$1866,"44501B2ConvencionalRuralCooperativa de eletrificação ruralNão se aplicaNão se aplicaFora ponta",Mercado_Receita!$L$2:$L$1866)+SUMIF(Mercado_Receita!$S$2:$S$1866,"44501B2ConvencionalRuralCooperativa de eletrificação ruralNão se aplicaNão se aplicaIntermediário",Mercado_Receita!$L$2:$L$1866)+SUMIF(Mercado_Receita!$S$2:$S$1866,"44501B2ConvencionalRuralCooperativa de eletrificação ruralNão se aplicaNão se aplicaNão se aplica",Mercado_Receita!$L$2:$L$1866)</f>
        <v>0</v>
      </c>
      <c r="Q54" s="12">
        <f>SUMIF(Mercado_Receita!$S$2:$S$1866,"44531B2ConvencionalRuralCooperativa de eletrificação ruralNão se aplicaNão se aplicaPonta",Mercado_Receita!$L$2:$L$1866)+SUMIF(Mercado_Receita!$S$2:$S$1866,"44531B2ConvencionalRuralCooperativa de eletrificação ruralNão se aplicaNão se aplicaFora ponta",Mercado_Receita!$L$2:$L$1866)+SUMIF(Mercado_Receita!$S$2:$S$1866,"44531B2ConvencionalRuralCooperativa de eletrificação ruralNão se aplicaNão se aplicaIntermediário",Mercado_Receita!$L$2:$L$1866)+SUMIF(Mercado_Receita!$S$2:$S$1866,"44531B2ConvencionalRuralCooperativa de eletrificação ruralNão se aplicaNão se aplicaNão se aplica",Mercado_Receita!$L$2:$L$1866)</f>
        <v>0</v>
      </c>
      <c r="R54" s="12">
        <f>SUMIF(Mercado_Receita!$S$2:$S$1866,"44562B2ConvencionalRuralCooperativa de eletrificação ruralNão se aplicaNão se aplicaPonta",Mercado_Receita!$L$2:$L$1866)+SUMIF(Mercado_Receita!$S$2:$S$1866,"44562B2ConvencionalRuralCooperativa de eletrificação ruralNão se aplicaNão se aplicaFora ponta",Mercado_Receita!$L$2:$L$1866)+SUMIF(Mercado_Receita!$S$2:$S$1866,"44562B2ConvencionalRuralCooperativa de eletrificação ruralNão se aplicaNão se aplicaIntermediário",Mercado_Receita!$L$2:$L$1866)+SUMIF(Mercado_Receita!$S$2:$S$1866,"44562B2ConvencionalRuralCooperativa de eletrificação ruralNão se aplicaNão se aplicaNão se aplica",Mercado_Receita!$L$2:$L$1866)</f>
        <v>0</v>
      </c>
      <c r="S54" s="12">
        <f>SUMIF(Mercado_Receita!$S$2:$S$1866,"44593B2ConvencionalRuralCooperativa de eletrificação ruralNão se aplicaNão se aplicaPonta",Mercado_Receita!$L$2:$L$1866)+SUMIF(Mercado_Receita!$S$2:$S$1866,"44593B2ConvencionalRuralCooperativa de eletrificação ruralNão se aplicaNão se aplicaFora ponta",Mercado_Receita!$L$2:$L$1866)+SUMIF(Mercado_Receita!$S$2:$S$1866,"44593B2ConvencionalRuralCooperativa de eletrificação ruralNão se aplicaNão se aplicaIntermediário",Mercado_Receita!$L$2:$L$1866)+SUMIF(Mercado_Receita!$S$2:$S$1866,"44593B2ConvencionalRuralCooperativa de eletrificação ruralNão se aplicaNão se aplicaNão se aplica",Mercado_Receita!$L$2:$L$1866)</f>
        <v>0</v>
      </c>
      <c r="T54" s="12">
        <f>SUMIF(Mercado_Receita!$S$2:$S$1866,"44621B2ConvencionalRuralCooperativa de eletrificação ruralNão se aplicaNão se aplicaPonta",Mercado_Receita!$L$2:$L$1866)+SUMIF(Mercado_Receita!$S$2:$S$1866,"44621B2ConvencionalRuralCooperativa de eletrificação ruralNão se aplicaNão se aplicaFora ponta",Mercado_Receita!$L$2:$L$1866)+SUMIF(Mercado_Receita!$S$2:$S$1866,"44621B2ConvencionalRuralCooperativa de eletrificação ruralNão se aplicaNão se aplicaIntermediário",Mercado_Receita!$L$2:$L$1866)+SUMIF(Mercado_Receita!$S$2:$S$1866,"44621B2ConvencionalRuralCooperativa de eletrificação ruralNão se aplicaNão se aplicaNão se aplica",Mercado_Receita!$L$2:$L$1866)</f>
        <v>0</v>
      </c>
      <c r="U54" s="12">
        <f t="shared" si="1"/>
        <v>0</v>
      </c>
      <c r="V54" s="12"/>
      <c r="W54" s="12"/>
    </row>
    <row r="55" spans="1:23" ht="11.25" customHeight="1" x14ac:dyDescent="0.25">
      <c r="A55" s="90"/>
      <c r="B55" s="89" t="s">
        <v>33</v>
      </c>
      <c r="C55" s="89" t="s">
        <v>45</v>
      </c>
      <c r="D55" s="89" t="s">
        <v>111</v>
      </c>
      <c r="E55" s="89" t="s">
        <v>25</v>
      </c>
      <c r="F55" s="89" t="s">
        <v>25</v>
      </c>
      <c r="G55" s="12" t="s">
        <v>94</v>
      </c>
      <c r="H55" s="12" t="s">
        <v>93</v>
      </c>
      <c r="I55" s="12">
        <f>SUMIF(Mercado_Receita!$S$2:$S$1866,"44287B2BrancaRuralServiço público de irrigação ruralNão se aplicaNão se aplicaPonta",Mercado_Receita!$L$2:$L$1866)</f>
        <v>0</v>
      </c>
      <c r="J55" s="12">
        <f>SUMIF(Mercado_Receita!$S$2:$S$1866,"44317B2BrancaRuralServiço público de irrigação ruralNão se aplicaNão se aplicaPonta",Mercado_Receita!$L$2:$L$1866)</f>
        <v>0</v>
      </c>
      <c r="K55" s="12">
        <f>SUMIF(Mercado_Receita!$S$2:$S$1866,"44348B2BrancaRuralServiço público de irrigação ruralNão se aplicaNão se aplicaPonta",Mercado_Receita!$L$2:$L$1866)</f>
        <v>0</v>
      </c>
      <c r="L55" s="12">
        <f>SUMIF(Mercado_Receita!$S$2:$S$1866,"44378B2BrancaRuralServiço público de irrigação ruralNão se aplicaNão se aplicaPonta",Mercado_Receita!$L$2:$L$1866)</f>
        <v>0</v>
      </c>
      <c r="M55" s="12">
        <f>SUMIF(Mercado_Receita!$S$2:$S$1866,"44409B2BrancaRuralServiço público de irrigação ruralNão se aplicaNão se aplicaPonta",Mercado_Receita!$L$2:$L$1866)</f>
        <v>0</v>
      </c>
      <c r="N55" s="12">
        <f>SUMIF(Mercado_Receita!$S$2:$S$1866,"44440B2BrancaRuralServiço público de irrigação ruralNão se aplicaNão se aplicaPonta",Mercado_Receita!$L$2:$L$1866)</f>
        <v>0</v>
      </c>
      <c r="O55" s="12">
        <f>SUMIF(Mercado_Receita!$S$2:$S$1866,"44470B2BrancaRuralServiço público de irrigação ruralNão se aplicaNão se aplicaPonta",Mercado_Receita!$L$2:$L$1866)</f>
        <v>0</v>
      </c>
      <c r="P55" s="12">
        <f>SUMIF(Mercado_Receita!$S$2:$S$1866,"44501B2BrancaRuralServiço público de irrigação ruralNão se aplicaNão se aplicaPonta",Mercado_Receita!$L$2:$L$1866)</f>
        <v>0</v>
      </c>
      <c r="Q55" s="12">
        <f>SUMIF(Mercado_Receita!$S$2:$S$1866,"44531B2BrancaRuralServiço público de irrigação ruralNão se aplicaNão se aplicaPonta",Mercado_Receita!$L$2:$L$1866)</f>
        <v>0</v>
      </c>
      <c r="R55" s="12">
        <f>SUMIF(Mercado_Receita!$S$2:$S$1866,"44562B2BrancaRuralServiço público de irrigação ruralNão se aplicaNão se aplicaPonta",Mercado_Receita!$L$2:$L$1866)</f>
        <v>0</v>
      </c>
      <c r="S55" s="12">
        <f>SUMIF(Mercado_Receita!$S$2:$S$1866,"44593B2BrancaRuralServiço público de irrigação ruralNão se aplicaNão se aplicaPonta",Mercado_Receita!$L$2:$L$1866)</f>
        <v>0</v>
      </c>
      <c r="T55" s="12">
        <f>SUMIF(Mercado_Receita!$S$2:$S$1866,"44621B2BrancaRuralServiço público de irrigação ruralNão se aplicaNão se aplicaPonta",Mercado_Receita!$L$2:$L$1866)</f>
        <v>0</v>
      </c>
      <c r="U55" s="12">
        <f t="shared" si="1"/>
        <v>0</v>
      </c>
      <c r="V55" s="12"/>
      <c r="W55" s="12"/>
    </row>
    <row r="56" spans="1:23" ht="11.25" customHeight="1" x14ac:dyDescent="0.25">
      <c r="A56" s="90"/>
      <c r="B56" s="90"/>
      <c r="C56" s="90"/>
      <c r="D56" s="90"/>
      <c r="E56" s="90"/>
      <c r="F56" s="90"/>
      <c r="G56" s="12" t="s">
        <v>107</v>
      </c>
      <c r="H56" s="12" t="s">
        <v>93</v>
      </c>
      <c r="I56" s="12">
        <f>SUMIF(Mercado_Receita!$S$2:$S$1866,"44287B2BrancaRuralServiço público de irrigação ruralNão se aplicaNão se aplicaIntermediário",Mercado_Receita!$L$2:$L$1866)</f>
        <v>0</v>
      </c>
      <c r="J56" s="12">
        <f>SUMIF(Mercado_Receita!$S$2:$S$1866,"44317B2BrancaRuralServiço público de irrigação ruralNão se aplicaNão se aplicaIntermediário",Mercado_Receita!$L$2:$L$1866)</f>
        <v>0</v>
      </c>
      <c r="K56" s="12">
        <f>SUMIF(Mercado_Receita!$S$2:$S$1866,"44348B2BrancaRuralServiço público de irrigação ruralNão se aplicaNão se aplicaIntermediário",Mercado_Receita!$L$2:$L$1866)</f>
        <v>0</v>
      </c>
      <c r="L56" s="12">
        <f>SUMIF(Mercado_Receita!$S$2:$S$1866,"44378B2BrancaRuralServiço público de irrigação ruralNão se aplicaNão se aplicaIntermediário",Mercado_Receita!$L$2:$L$1866)</f>
        <v>0</v>
      </c>
      <c r="M56" s="12">
        <f>SUMIF(Mercado_Receita!$S$2:$S$1866,"44409B2BrancaRuralServiço público de irrigação ruralNão se aplicaNão se aplicaIntermediário",Mercado_Receita!$L$2:$L$1866)</f>
        <v>0</v>
      </c>
      <c r="N56" s="12">
        <f>SUMIF(Mercado_Receita!$S$2:$S$1866,"44440B2BrancaRuralServiço público de irrigação ruralNão se aplicaNão se aplicaIntermediário",Mercado_Receita!$L$2:$L$1866)</f>
        <v>0</v>
      </c>
      <c r="O56" s="12">
        <f>SUMIF(Mercado_Receita!$S$2:$S$1866,"44470B2BrancaRuralServiço público de irrigação ruralNão se aplicaNão se aplicaIntermediário",Mercado_Receita!$L$2:$L$1866)</f>
        <v>0</v>
      </c>
      <c r="P56" s="12">
        <f>SUMIF(Mercado_Receita!$S$2:$S$1866,"44501B2BrancaRuralServiço público de irrigação ruralNão se aplicaNão se aplicaIntermediário",Mercado_Receita!$L$2:$L$1866)</f>
        <v>0</v>
      </c>
      <c r="Q56" s="12">
        <f>SUMIF(Mercado_Receita!$S$2:$S$1866,"44531B2BrancaRuralServiço público de irrigação ruralNão se aplicaNão se aplicaIntermediário",Mercado_Receita!$L$2:$L$1866)</f>
        <v>0</v>
      </c>
      <c r="R56" s="12">
        <f>SUMIF(Mercado_Receita!$S$2:$S$1866,"44562B2BrancaRuralServiço público de irrigação ruralNão se aplicaNão se aplicaIntermediário",Mercado_Receita!$L$2:$L$1866)</f>
        <v>0</v>
      </c>
      <c r="S56" s="12">
        <f>SUMIF(Mercado_Receita!$S$2:$S$1866,"44593B2BrancaRuralServiço público de irrigação ruralNão se aplicaNão se aplicaIntermediário",Mercado_Receita!$L$2:$L$1866)</f>
        <v>0</v>
      </c>
      <c r="T56" s="12">
        <f>SUMIF(Mercado_Receita!$S$2:$S$1866,"44621B2BrancaRuralServiço público de irrigação ruralNão se aplicaNão se aplicaIntermediário",Mercado_Receita!$L$2:$L$1866)</f>
        <v>0</v>
      </c>
      <c r="U56" s="12">
        <f t="shared" si="1"/>
        <v>0</v>
      </c>
      <c r="V56" s="12"/>
      <c r="W56" s="12"/>
    </row>
    <row r="57" spans="1:23" ht="11.25" customHeight="1" x14ac:dyDescent="0.25">
      <c r="A57" s="90"/>
      <c r="B57" s="90"/>
      <c r="C57" s="90"/>
      <c r="D57" s="90"/>
      <c r="E57" s="90"/>
      <c r="F57" s="90"/>
      <c r="G57" s="12" t="s">
        <v>95</v>
      </c>
      <c r="H57" s="12" t="s">
        <v>93</v>
      </c>
      <c r="I57" s="12">
        <f>SUMIF(Mercado_Receita!$S$2:$S$1866,"44287B2BrancaRuralServiço público de irrigação ruralNão se aplicaNão se aplicaFora ponta",Mercado_Receita!$L$2:$L$1866)</f>
        <v>0</v>
      </c>
      <c r="J57" s="12">
        <f>SUMIF(Mercado_Receita!$S$2:$S$1866,"44317B2BrancaRuralServiço público de irrigação ruralNão se aplicaNão se aplicaFora ponta",Mercado_Receita!$L$2:$L$1866)</f>
        <v>0</v>
      </c>
      <c r="K57" s="12">
        <f>SUMIF(Mercado_Receita!$S$2:$S$1866,"44348B2BrancaRuralServiço público de irrigação ruralNão se aplicaNão se aplicaFora ponta",Mercado_Receita!$L$2:$L$1866)</f>
        <v>0</v>
      </c>
      <c r="L57" s="12">
        <f>SUMIF(Mercado_Receita!$S$2:$S$1866,"44378B2BrancaRuralServiço público de irrigação ruralNão se aplicaNão se aplicaFora ponta",Mercado_Receita!$L$2:$L$1866)</f>
        <v>0</v>
      </c>
      <c r="M57" s="12">
        <f>SUMIF(Mercado_Receita!$S$2:$S$1866,"44409B2BrancaRuralServiço público de irrigação ruralNão se aplicaNão se aplicaFora ponta",Mercado_Receita!$L$2:$L$1866)</f>
        <v>0</v>
      </c>
      <c r="N57" s="12">
        <f>SUMIF(Mercado_Receita!$S$2:$S$1866,"44440B2BrancaRuralServiço público de irrigação ruralNão se aplicaNão se aplicaFora ponta",Mercado_Receita!$L$2:$L$1866)</f>
        <v>0</v>
      </c>
      <c r="O57" s="12">
        <f>SUMIF(Mercado_Receita!$S$2:$S$1866,"44470B2BrancaRuralServiço público de irrigação ruralNão se aplicaNão se aplicaFora ponta",Mercado_Receita!$L$2:$L$1866)</f>
        <v>0</v>
      </c>
      <c r="P57" s="12">
        <f>SUMIF(Mercado_Receita!$S$2:$S$1866,"44501B2BrancaRuralServiço público de irrigação ruralNão se aplicaNão se aplicaFora ponta",Mercado_Receita!$L$2:$L$1866)</f>
        <v>0</v>
      </c>
      <c r="Q57" s="12">
        <f>SUMIF(Mercado_Receita!$S$2:$S$1866,"44531B2BrancaRuralServiço público de irrigação ruralNão se aplicaNão se aplicaFora ponta",Mercado_Receita!$L$2:$L$1866)</f>
        <v>0</v>
      </c>
      <c r="R57" s="12">
        <f>SUMIF(Mercado_Receita!$S$2:$S$1866,"44562B2BrancaRuralServiço público de irrigação ruralNão se aplicaNão se aplicaFora ponta",Mercado_Receita!$L$2:$L$1866)</f>
        <v>0</v>
      </c>
      <c r="S57" s="12">
        <f>SUMIF(Mercado_Receita!$S$2:$S$1866,"44593B2BrancaRuralServiço público de irrigação ruralNão se aplicaNão se aplicaFora ponta",Mercado_Receita!$L$2:$L$1866)</f>
        <v>0</v>
      </c>
      <c r="T57" s="12">
        <f>SUMIF(Mercado_Receita!$S$2:$S$1866,"44621B2BrancaRuralServiço público de irrigação ruralNão se aplicaNão se aplicaFora ponta",Mercado_Receita!$L$2:$L$1866)</f>
        <v>0</v>
      </c>
      <c r="U57" s="12">
        <f t="shared" si="1"/>
        <v>0</v>
      </c>
      <c r="V57" s="12"/>
      <c r="W57" s="12"/>
    </row>
    <row r="58" spans="1:23" ht="11.25" customHeight="1" x14ac:dyDescent="0.25">
      <c r="A58" s="90"/>
      <c r="B58" s="13" t="s">
        <v>23</v>
      </c>
      <c r="C58" s="13" t="s">
        <v>45</v>
      </c>
      <c r="D58" s="13" t="s">
        <v>111</v>
      </c>
      <c r="E58" s="13" t="s">
        <v>25</v>
      </c>
      <c r="F58" s="13" t="s">
        <v>25</v>
      </c>
      <c r="G58" s="12" t="s">
        <v>98</v>
      </c>
      <c r="H58" s="12" t="s">
        <v>93</v>
      </c>
      <c r="I58" s="12">
        <f>SUMIF(Mercado_Receita!$S$2:$S$1866,"44287B2ConvencionalRuralServiço público de irrigação ruralNão se aplicaNão se aplicaPonta",Mercado_Receita!$L$2:$L$1866)+SUMIF(Mercado_Receita!$S$2:$S$1866,"44287B2ConvencionalRuralServiço público de irrigação ruralNão se aplicaNão se aplicaFora ponta",Mercado_Receita!$L$2:$L$1866)+SUMIF(Mercado_Receita!$S$2:$S$1866,"44287B2ConvencionalRuralServiço público de irrigação ruralNão se aplicaNão se aplicaIntermediário",Mercado_Receita!$L$2:$L$1866)+SUMIF(Mercado_Receita!$S$2:$S$1866,"44287B2ConvencionalRuralServiço público de irrigação ruralNão se aplicaNão se aplicaNão se aplica",Mercado_Receita!$L$2:$L$1866)</f>
        <v>0</v>
      </c>
      <c r="J58" s="12">
        <f>SUMIF(Mercado_Receita!$S$2:$S$1866,"44317B2ConvencionalRuralServiço público de irrigação ruralNão se aplicaNão se aplicaPonta",Mercado_Receita!$L$2:$L$1866)+SUMIF(Mercado_Receita!$S$2:$S$1866,"44317B2ConvencionalRuralServiço público de irrigação ruralNão se aplicaNão se aplicaFora ponta",Mercado_Receita!$L$2:$L$1866)+SUMIF(Mercado_Receita!$S$2:$S$1866,"44317B2ConvencionalRuralServiço público de irrigação ruralNão se aplicaNão se aplicaIntermediário",Mercado_Receita!$L$2:$L$1866)+SUMIF(Mercado_Receita!$S$2:$S$1866,"44317B2ConvencionalRuralServiço público de irrigação ruralNão se aplicaNão se aplicaNão se aplica",Mercado_Receita!$L$2:$L$1866)</f>
        <v>0</v>
      </c>
      <c r="K58" s="12">
        <f>SUMIF(Mercado_Receita!$S$2:$S$1866,"44348B2ConvencionalRuralServiço público de irrigação ruralNão se aplicaNão se aplicaPonta",Mercado_Receita!$L$2:$L$1866)+SUMIF(Mercado_Receita!$S$2:$S$1866,"44348B2ConvencionalRuralServiço público de irrigação ruralNão se aplicaNão se aplicaFora ponta",Mercado_Receita!$L$2:$L$1866)+SUMIF(Mercado_Receita!$S$2:$S$1866,"44348B2ConvencionalRuralServiço público de irrigação ruralNão se aplicaNão se aplicaIntermediário",Mercado_Receita!$L$2:$L$1866)+SUMIF(Mercado_Receita!$S$2:$S$1866,"44348B2ConvencionalRuralServiço público de irrigação ruralNão se aplicaNão se aplicaNão se aplica",Mercado_Receita!$L$2:$L$1866)</f>
        <v>0</v>
      </c>
      <c r="L58" s="12">
        <f>SUMIF(Mercado_Receita!$S$2:$S$1866,"44378B2ConvencionalRuralServiço público de irrigação ruralNão se aplicaNão se aplicaPonta",Mercado_Receita!$L$2:$L$1866)+SUMIF(Mercado_Receita!$S$2:$S$1866,"44378B2ConvencionalRuralServiço público de irrigação ruralNão se aplicaNão se aplicaFora ponta",Mercado_Receita!$L$2:$L$1866)+SUMIF(Mercado_Receita!$S$2:$S$1866,"44378B2ConvencionalRuralServiço público de irrigação ruralNão se aplicaNão se aplicaIntermediário",Mercado_Receita!$L$2:$L$1866)+SUMIF(Mercado_Receita!$S$2:$S$1866,"44378B2ConvencionalRuralServiço público de irrigação ruralNão se aplicaNão se aplicaNão se aplica",Mercado_Receita!$L$2:$L$1866)</f>
        <v>0</v>
      </c>
      <c r="M58" s="12">
        <f>SUMIF(Mercado_Receita!$S$2:$S$1866,"44409B2ConvencionalRuralServiço público de irrigação ruralNão se aplicaNão se aplicaPonta",Mercado_Receita!$L$2:$L$1866)+SUMIF(Mercado_Receita!$S$2:$S$1866,"44409B2ConvencionalRuralServiço público de irrigação ruralNão se aplicaNão se aplicaFora ponta",Mercado_Receita!$L$2:$L$1866)+SUMIF(Mercado_Receita!$S$2:$S$1866,"44409B2ConvencionalRuralServiço público de irrigação ruralNão se aplicaNão se aplicaIntermediário",Mercado_Receita!$L$2:$L$1866)+SUMIF(Mercado_Receita!$S$2:$S$1866,"44409B2ConvencionalRuralServiço público de irrigação ruralNão se aplicaNão se aplicaNão se aplica",Mercado_Receita!$L$2:$L$1866)</f>
        <v>0</v>
      </c>
      <c r="N58" s="12">
        <f>SUMIF(Mercado_Receita!$S$2:$S$1866,"44440B2ConvencionalRuralServiço público de irrigação ruralNão se aplicaNão se aplicaPonta",Mercado_Receita!$L$2:$L$1866)+SUMIF(Mercado_Receita!$S$2:$S$1866,"44440B2ConvencionalRuralServiço público de irrigação ruralNão se aplicaNão se aplicaFora ponta",Mercado_Receita!$L$2:$L$1866)+SUMIF(Mercado_Receita!$S$2:$S$1866,"44440B2ConvencionalRuralServiço público de irrigação ruralNão se aplicaNão se aplicaIntermediário",Mercado_Receita!$L$2:$L$1866)+SUMIF(Mercado_Receita!$S$2:$S$1866,"44440B2ConvencionalRuralServiço público de irrigação ruralNão se aplicaNão se aplicaNão se aplica",Mercado_Receita!$L$2:$L$1866)</f>
        <v>0</v>
      </c>
      <c r="O58" s="12">
        <f>SUMIF(Mercado_Receita!$S$2:$S$1866,"44470B2ConvencionalRuralServiço público de irrigação ruralNão se aplicaNão se aplicaPonta",Mercado_Receita!$L$2:$L$1866)+SUMIF(Mercado_Receita!$S$2:$S$1866,"44470B2ConvencionalRuralServiço público de irrigação ruralNão se aplicaNão se aplicaFora ponta",Mercado_Receita!$L$2:$L$1866)+SUMIF(Mercado_Receita!$S$2:$S$1866,"44470B2ConvencionalRuralServiço público de irrigação ruralNão se aplicaNão se aplicaIntermediário",Mercado_Receita!$L$2:$L$1866)+SUMIF(Mercado_Receita!$S$2:$S$1866,"44470B2ConvencionalRuralServiço público de irrigação ruralNão se aplicaNão se aplicaNão se aplica",Mercado_Receita!$L$2:$L$1866)</f>
        <v>0</v>
      </c>
      <c r="P58" s="12">
        <f>SUMIF(Mercado_Receita!$S$2:$S$1866,"44501B2ConvencionalRuralServiço público de irrigação ruralNão se aplicaNão se aplicaPonta",Mercado_Receita!$L$2:$L$1866)+SUMIF(Mercado_Receita!$S$2:$S$1866,"44501B2ConvencionalRuralServiço público de irrigação ruralNão se aplicaNão se aplicaFora ponta",Mercado_Receita!$L$2:$L$1866)+SUMIF(Mercado_Receita!$S$2:$S$1866,"44501B2ConvencionalRuralServiço público de irrigação ruralNão se aplicaNão se aplicaIntermediário",Mercado_Receita!$L$2:$L$1866)+SUMIF(Mercado_Receita!$S$2:$S$1866,"44501B2ConvencionalRuralServiço público de irrigação ruralNão se aplicaNão se aplicaNão se aplica",Mercado_Receita!$L$2:$L$1866)</f>
        <v>0</v>
      </c>
      <c r="Q58" s="12">
        <f>SUMIF(Mercado_Receita!$S$2:$S$1866,"44531B2ConvencionalRuralServiço público de irrigação ruralNão se aplicaNão se aplicaPonta",Mercado_Receita!$L$2:$L$1866)+SUMIF(Mercado_Receita!$S$2:$S$1866,"44531B2ConvencionalRuralServiço público de irrigação ruralNão se aplicaNão se aplicaFora ponta",Mercado_Receita!$L$2:$L$1866)+SUMIF(Mercado_Receita!$S$2:$S$1866,"44531B2ConvencionalRuralServiço público de irrigação ruralNão se aplicaNão se aplicaIntermediário",Mercado_Receita!$L$2:$L$1866)+SUMIF(Mercado_Receita!$S$2:$S$1866,"44531B2ConvencionalRuralServiço público de irrigação ruralNão se aplicaNão se aplicaNão se aplica",Mercado_Receita!$L$2:$L$1866)</f>
        <v>0</v>
      </c>
      <c r="R58" s="12">
        <f>SUMIF(Mercado_Receita!$S$2:$S$1866,"44562B2ConvencionalRuralServiço público de irrigação ruralNão se aplicaNão se aplicaPonta",Mercado_Receita!$L$2:$L$1866)+SUMIF(Mercado_Receita!$S$2:$S$1866,"44562B2ConvencionalRuralServiço público de irrigação ruralNão se aplicaNão se aplicaFora ponta",Mercado_Receita!$L$2:$L$1866)+SUMIF(Mercado_Receita!$S$2:$S$1866,"44562B2ConvencionalRuralServiço público de irrigação ruralNão se aplicaNão se aplicaIntermediário",Mercado_Receita!$L$2:$L$1866)+SUMIF(Mercado_Receita!$S$2:$S$1866,"44562B2ConvencionalRuralServiço público de irrigação ruralNão se aplicaNão se aplicaNão se aplica",Mercado_Receita!$L$2:$L$1866)</f>
        <v>0</v>
      </c>
      <c r="S58" s="12">
        <f>SUMIF(Mercado_Receita!$S$2:$S$1866,"44593B2ConvencionalRuralServiço público de irrigação ruralNão se aplicaNão se aplicaPonta",Mercado_Receita!$L$2:$L$1866)+SUMIF(Mercado_Receita!$S$2:$S$1866,"44593B2ConvencionalRuralServiço público de irrigação ruralNão se aplicaNão se aplicaFora ponta",Mercado_Receita!$L$2:$L$1866)+SUMIF(Mercado_Receita!$S$2:$S$1866,"44593B2ConvencionalRuralServiço público de irrigação ruralNão se aplicaNão se aplicaIntermediário",Mercado_Receita!$L$2:$L$1866)+SUMIF(Mercado_Receita!$S$2:$S$1866,"44593B2ConvencionalRuralServiço público de irrigação ruralNão se aplicaNão se aplicaNão se aplica",Mercado_Receita!$L$2:$L$1866)</f>
        <v>0</v>
      </c>
      <c r="T58" s="12">
        <f>SUMIF(Mercado_Receita!$S$2:$S$1866,"44621B2ConvencionalRuralServiço público de irrigação ruralNão se aplicaNão se aplicaPonta",Mercado_Receita!$L$2:$L$1866)+SUMIF(Mercado_Receita!$S$2:$S$1866,"44621B2ConvencionalRuralServiço público de irrigação ruralNão se aplicaNão se aplicaFora ponta",Mercado_Receita!$L$2:$L$1866)+SUMIF(Mercado_Receita!$S$2:$S$1866,"44621B2ConvencionalRuralServiço público de irrigação ruralNão se aplicaNão se aplicaIntermediário",Mercado_Receita!$L$2:$L$1866)+SUMIF(Mercado_Receita!$S$2:$S$1866,"44621B2ConvencionalRuralServiço público de irrigação ruralNão se aplicaNão se aplicaNão se aplica",Mercado_Receita!$L$2:$L$1866)</f>
        <v>0</v>
      </c>
      <c r="U58" s="12">
        <f t="shared" si="1"/>
        <v>0</v>
      </c>
      <c r="V58" s="12"/>
      <c r="W58" s="12"/>
    </row>
    <row r="59" spans="1:23" ht="11.25" customHeight="1" x14ac:dyDescent="0.25">
      <c r="A59" s="90"/>
      <c r="B59" s="89" t="s">
        <v>109</v>
      </c>
      <c r="C59" s="89" t="s">
        <v>45</v>
      </c>
      <c r="D59" s="13" t="s">
        <v>25</v>
      </c>
      <c r="E59" s="13" t="s">
        <v>25</v>
      </c>
      <c r="F59" s="13" t="s">
        <v>25</v>
      </c>
      <c r="G59" s="12" t="s">
        <v>98</v>
      </c>
      <c r="H59" s="12" t="s">
        <v>93</v>
      </c>
      <c r="I59" s="12">
        <f>SUMIF(Mercado_Receita!$S$2:$S$1866,"44287B2Convencional pré-pagamentoRuralNão se aplicaNão se aplicaNão se aplicaPonta",Mercado_Receita!$L$2:$L$1866)+SUMIF(Mercado_Receita!$S$2:$S$1866,"44287B2Convencional pré-pagamentoRuralNão se aplicaNão se aplicaNão se aplicaFora ponta",Mercado_Receita!$L$2:$L$1866)+SUMIF(Mercado_Receita!$S$2:$S$1866,"44287B2Convencional pré-pagamentoRuralNão se aplicaNão se aplicaNão se aplicaIntermediário",Mercado_Receita!$L$2:$L$1866)+SUMIF(Mercado_Receita!$S$2:$S$1866,"44287B2Convencional pré-pagamentoRuralNão se aplicaNão se aplicaNão se aplicaNão se aplica",Mercado_Receita!$L$2:$L$1866)</f>
        <v>0</v>
      </c>
      <c r="J59" s="12">
        <f>SUMIF(Mercado_Receita!$S$2:$S$1866,"44317B2Convencional pré-pagamentoRuralNão se aplicaNão se aplicaNão se aplicaPonta",Mercado_Receita!$L$2:$L$1866)+SUMIF(Mercado_Receita!$S$2:$S$1866,"44317B2Convencional pré-pagamentoRuralNão se aplicaNão se aplicaNão se aplicaFora ponta",Mercado_Receita!$L$2:$L$1866)+SUMIF(Mercado_Receita!$S$2:$S$1866,"44317B2Convencional pré-pagamentoRuralNão se aplicaNão se aplicaNão se aplicaIntermediário",Mercado_Receita!$L$2:$L$1866)+SUMIF(Mercado_Receita!$S$2:$S$1866,"44317B2Convencional pré-pagamentoRuralNão se aplicaNão se aplicaNão se aplicaNão se aplica",Mercado_Receita!$L$2:$L$1866)</f>
        <v>0</v>
      </c>
      <c r="K59" s="12">
        <f>SUMIF(Mercado_Receita!$S$2:$S$1866,"44348B2Convencional pré-pagamentoRuralNão se aplicaNão se aplicaNão se aplicaPonta",Mercado_Receita!$L$2:$L$1866)+SUMIF(Mercado_Receita!$S$2:$S$1866,"44348B2Convencional pré-pagamentoRuralNão se aplicaNão se aplicaNão se aplicaFora ponta",Mercado_Receita!$L$2:$L$1866)+SUMIF(Mercado_Receita!$S$2:$S$1866,"44348B2Convencional pré-pagamentoRuralNão se aplicaNão se aplicaNão se aplicaIntermediário",Mercado_Receita!$L$2:$L$1866)+SUMIF(Mercado_Receita!$S$2:$S$1866,"44348B2Convencional pré-pagamentoRuralNão se aplicaNão se aplicaNão se aplicaNão se aplica",Mercado_Receita!$L$2:$L$1866)</f>
        <v>0</v>
      </c>
      <c r="L59" s="12">
        <f>SUMIF(Mercado_Receita!$S$2:$S$1866,"44378B2Convencional pré-pagamentoRuralNão se aplicaNão se aplicaNão se aplicaPonta",Mercado_Receita!$L$2:$L$1866)+SUMIF(Mercado_Receita!$S$2:$S$1866,"44378B2Convencional pré-pagamentoRuralNão se aplicaNão se aplicaNão se aplicaFora ponta",Mercado_Receita!$L$2:$L$1866)+SUMIF(Mercado_Receita!$S$2:$S$1866,"44378B2Convencional pré-pagamentoRuralNão se aplicaNão se aplicaNão se aplicaIntermediário",Mercado_Receita!$L$2:$L$1866)+SUMIF(Mercado_Receita!$S$2:$S$1866,"44378B2Convencional pré-pagamentoRuralNão se aplicaNão se aplicaNão se aplicaNão se aplica",Mercado_Receita!$L$2:$L$1866)</f>
        <v>0</v>
      </c>
      <c r="M59" s="12">
        <f>SUMIF(Mercado_Receita!$S$2:$S$1866,"44409B2Convencional pré-pagamentoRuralNão se aplicaNão se aplicaNão se aplicaPonta",Mercado_Receita!$L$2:$L$1866)+SUMIF(Mercado_Receita!$S$2:$S$1866,"44409B2Convencional pré-pagamentoRuralNão se aplicaNão se aplicaNão se aplicaFora ponta",Mercado_Receita!$L$2:$L$1866)+SUMIF(Mercado_Receita!$S$2:$S$1866,"44409B2Convencional pré-pagamentoRuralNão se aplicaNão se aplicaNão se aplicaIntermediário",Mercado_Receita!$L$2:$L$1866)+SUMIF(Mercado_Receita!$S$2:$S$1866,"44409B2Convencional pré-pagamentoRuralNão se aplicaNão se aplicaNão se aplicaNão se aplica",Mercado_Receita!$L$2:$L$1866)</f>
        <v>0</v>
      </c>
      <c r="N59" s="12">
        <f>SUMIF(Mercado_Receita!$S$2:$S$1866,"44440B2Convencional pré-pagamentoRuralNão se aplicaNão se aplicaNão se aplicaPonta",Mercado_Receita!$L$2:$L$1866)+SUMIF(Mercado_Receita!$S$2:$S$1866,"44440B2Convencional pré-pagamentoRuralNão se aplicaNão se aplicaNão se aplicaFora ponta",Mercado_Receita!$L$2:$L$1866)+SUMIF(Mercado_Receita!$S$2:$S$1866,"44440B2Convencional pré-pagamentoRuralNão se aplicaNão se aplicaNão se aplicaIntermediário",Mercado_Receita!$L$2:$L$1866)+SUMIF(Mercado_Receita!$S$2:$S$1866,"44440B2Convencional pré-pagamentoRuralNão se aplicaNão se aplicaNão se aplicaNão se aplica",Mercado_Receita!$L$2:$L$1866)</f>
        <v>0</v>
      </c>
      <c r="O59" s="12">
        <f>SUMIF(Mercado_Receita!$S$2:$S$1866,"44470B2Convencional pré-pagamentoRuralNão se aplicaNão se aplicaNão se aplicaPonta",Mercado_Receita!$L$2:$L$1866)+SUMIF(Mercado_Receita!$S$2:$S$1866,"44470B2Convencional pré-pagamentoRuralNão se aplicaNão se aplicaNão se aplicaFora ponta",Mercado_Receita!$L$2:$L$1866)+SUMIF(Mercado_Receita!$S$2:$S$1866,"44470B2Convencional pré-pagamentoRuralNão se aplicaNão se aplicaNão se aplicaIntermediário",Mercado_Receita!$L$2:$L$1866)+SUMIF(Mercado_Receita!$S$2:$S$1866,"44470B2Convencional pré-pagamentoRuralNão se aplicaNão se aplicaNão se aplicaNão se aplica",Mercado_Receita!$L$2:$L$1866)</f>
        <v>0</v>
      </c>
      <c r="P59" s="12">
        <f>SUMIF(Mercado_Receita!$S$2:$S$1866,"44501B2Convencional pré-pagamentoRuralNão se aplicaNão se aplicaNão se aplicaPonta",Mercado_Receita!$L$2:$L$1866)+SUMIF(Mercado_Receita!$S$2:$S$1866,"44501B2Convencional pré-pagamentoRuralNão se aplicaNão se aplicaNão se aplicaFora ponta",Mercado_Receita!$L$2:$L$1866)+SUMIF(Mercado_Receita!$S$2:$S$1866,"44501B2Convencional pré-pagamentoRuralNão se aplicaNão se aplicaNão se aplicaIntermediário",Mercado_Receita!$L$2:$L$1866)+SUMIF(Mercado_Receita!$S$2:$S$1866,"44501B2Convencional pré-pagamentoRuralNão se aplicaNão se aplicaNão se aplicaNão se aplica",Mercado_Receita!$L$2:$L$1866)</f>
        <v>0</v>
      </c>
      <c r="Q59" s="12">
        <f>SUMIF(Mercado_Receita!$S$2:$S$1866,"44531B2Convencional pré-pagamentoRuralNão se aplicaNão se aplicaNão se aplicaPonta",Mercado_Receita!$L$2:$L$1866)+SUMIF(Mercado_Receita!$S$2:$S$1866,"44531B2Convencional pré-pagamentoRuralNão se aplicaNão se aplicaNão se aplicaFora ponta",Mercado_Receita!$L$2:$L$1866)+SUMIF(Mercado_Receita!$S$2:$S$1866,"44531B2Convencional pré-pagamentoRuralNão se aplicaNão se aplicaNão se aplicaIntermediário",Mercado_Receita!$L$2:$L$1866)+SUMIF(Mercado_Receita!$S$2:$S$1866,"44531B2Convencional pré-pagamentoRuralNão se aplicaNão se aplicaNão se aplicaNão se aplica",Mercado_Receita!$L$2:$L$1866)</f>
        <v>0</v>
      </c>
      <c r="R59" s="12">
        <f>SUMIF(Mercado_Receita!$S$2:$S$1866,"44562B2Convencional pré-pagamentoRuralNão se aplicaNão se aplicaNão se aplicaPonta",Mercado_Receita!$L$2:$L$1866)+SUMIF(Mercado_Receita!$S$2:$S$1866,"44562B2Convencional pré-pagamentoRuralNão se aplicaNão se aplicaNão se aplicaFora ponta",Mercado_Receita!$L$2:$L$1866)+SUMIF(Mercado_Receita!$S$2:$S$1866,"44562B2Convencional pré-pagamentoRuralNão se aplicaNão se aplicaNão se aplicaIntermediário",Mercado_Receita!$L$2:$L$1866)+SUMIF(Mercado_Receita!$S$2:$S$1866,"44562B2Convencional pré-pagamentoRuralNão se aplicaNão se aplicaNão se aplicaNão se aplica",Mercado_Receita!$L$2:$L$1866)</f>
        <v>0</v>
      </c>
      <c r="S59" s="12">
        <f>SUMIF(Mercado_Receita!$S$2:$S$1866,"44593B2Convencional pré-pagamentoRuralNão se aplicaNão se aplicaNão se aplicaPonta",Mercado_Receita!$L$2:$L$1866)+SUMIF(Mercado_Receita!$S$2:$S$1866,"44593B2Convencional pré-pagamentoRuralNão se aplicaNão se aplicaNão se aplicaFora ponta",Mercado_Receita!$L$2:$L$1866)+SUMIF(Mercado_Receita!$S$2:$S$1866,"44593B2Convencional pré-pagamentoRuralNão se aplicaNão se aplicaNão se aplicaIntermediário",Mercado_Receita!$L$2:$L$1866)+SUMIF(Mercado_Receita!$S$2:$S$1866,"44593B2Convencional pré-pagamentoRuralNão se aplicaNão se aplicaNão se aplicaNão se aplica",Mercado_Receita!$L$2:$L$1866)</f>
        <v>0</v>
      </c>
      <c r="T59" s="12">
        <f>SUMIF(Mercado_Receita!$S$2:$S$1866,"44621B2Convencional pré-pagamentoRuralNão se aplicaNão se aplicaNão se aplicaPonta",Mercado_Receita!$L$2:$L$1866)+SUMIF(Mercado_Receita!$S$2:$S$1866,"44621B2Convencional pré-pagamentoRuralNão se aplicaNão se aplicaNão se aplicaFora ponta",Mercado_Receita!$L$2:$L$1866)+SUMIF(Mercado_Receita!$S$2:$S$1866,"44621B2Convencional pré-pagamentoRuralNão se aplicaNão se aplicaNão se aplicaIntermediário",Mercado_Receita!$L$2:$L$1866)+SUMIF(Mercado_Receita!$S$2:$S$1866,"44621B2Convencional pré-pagamentoRuralNão se aplicaNão se aplicaNão se aplicaNão se aplica",Mercado_Receita!$L$2:$L$1866)</f>
        <v>0</v>
      </c>
      <c r="U59" s="12">
        <f t="shared" si="1"/>
        <v>0</v>
      </c>
      <c r="V59" s="12"/>
      <c r="W59" s="12"/>
    </row>
    <row r="60" spans="1:23" ht="11.25" customHeight="1" x14ac:dyDescent="0.25">
      <c r="A60" s="90"/>
      <c r="B60" s="90"/>
      <c r="C60" s="90"/>
      <c r="D60" s="13" t="s">
        <v>110</v>
      </c>
      <c r="E60" s="13" t="s">
        <v>25</v>
      </c>
      <c r="F60" s="13" t="s">
        <v>25</v>
      </c>
      <c r="G60" s="12" t="s">
        <v>98</v>
      </c>
      <c r="H60" s="12" t="s">
        <v>93</v>
      </c>
      <c r="I60" s="12">
        <f>SUMIF(Mercado_Receita!$S$2:$S$1866,"44287B2Convencional pré-pagamentoRuralCooperativa de eletrificação ruralNão se aplicaNão se aplicaPonta",Mercado_Receita!$L$2:$L$1866)+SUMIF(Mercado_Receita!$S$2:$S$1866,"44287B2Convencional pré-pagamentoRuralCooperativa de eletrificação ruralNão se aplicaNão se aplicaFora ponta",Mercado_Receita!$L$2:$L$1866)+SUMIF(Mercado_Receita!$S$2:$S$1866,"44287B2Convencional pré-pagamentoRuralCooperativa de eletrificação ruralNão se aplicaNão se aplicaIntermediário",Mercado_Receita!$L$2:$L$1866)+SUMIF(Mercado_Receita!$S$2:$S$1866,"44287B2Convencional pré-pagamentoRuralCooperativa de eletrificação ruralNão se aplicaNão se aplicaNão se aplica",Mercado_Receita!$L$2:$L$1866)</f>
        <v>0</v>
      </c>
      <c r="J60" s="12">
        <f>SUMIF(Mercado_Receita!$S$2:$S$1866,"44317B2Convencional pré-pagamentoRuralCooperativa de eletrificação ruralNão se aplicaNão se aplicaPonta",Mercado_Receita!$L$2:$L$1866)+SUMIF(Mercado_Receita!$S$2:$S$1866,"44317B2Convencional pré-pagamentoRuralCooperativa de eletrificação ruralNão se aplicaNão se aplicaFora ponta",Mercado_Receita!$L$2:$L$1866)+SUMIF(Mercado_Receita!$S$2:$S$1866,"44317B2Convencional pré-pagamentoRuralCooperativa de eletrificação ruralNão se aplicaNão se aplicaIntermediário",Mercado_Receita!$L$2:$L$1866)+SUMIF(Mercado_Receita!$S$2:$S$1866,"44317B2Convencional pré-pagamentoRuralCooperativa de eletrificação ruralNão se aplicaNão se aplicaNão se aplica",Mercado_Receita!$L$2:$L$1866)</f>
        <v>0</v>
      </c>
      <c r="K60" s="12">
        <f>SUMIF(Mercado_Receita!$S$2:$S$1866,"44348B2Convencional pré-pagamentoRuralCooperativa de eletrificação ruralNão se aplicaNão se aplicaPonta",Mercado_Receita!$L$2:$L$1866)+SUMIF(Mercado_Receita!$S$2:$S$1866,"44348B2Convencional pré-pagamentoRuralCooperativa de eletrificação ruralNão se aplicaNão se aplicaFora ponta",Mercado_Receita!$L$2:$L$1866)+SUMIF(Mercado_Receita!$S$2:$S$1866,"44348B2Convencional pré-pagamentoRuralCooperativa de eletrificação ruralNão se aplicaNão se aplicaIntermediário",Mercado_Receita!$L$2:$L$1866)+SUMIF(Mercado_Receita!$S$2:$S$1866,"44348B2Convencional pré-pagamentoRuralCooperativa de eletrificação ruralNão se aplicaNão se aplicaNão se aplica",Mercado_Receita!$L$2:$L$1866)</f>
        <v>0</v>
      </c>
      <c r="L60" s="12">
        <f>SUMIF(Mercado_Receita!$S$2:$S$1866,"44378B2Convencional pré-pagamentoRuralCooperativa de eletrificação ruralNão se aplicaNão se aplicaPonta",Mercado_Receita!$L$2:$L$1866)+SUMIF(Mercado_Receita!$S$2:$S$1866,"44378B2Convencional pré-pagamentoRuralCooperativa de eletrificação ruralNão se aplicaNão se aplicaFora ponta",Mercado_Receita!$L$2:$L$1866)+SUMIF(Mercado_Receita!$S$2:$S$1866,"44378B2Convencional pré-pagamentoRuralCooperativa de eletrificação ruralNão se aplicaNão se aplicaIntermediário",Mercado_Receita!$L$2:$L$1866)+SUMIF(Mercado_Receita!$S$2:$S$1866,"44378B2Convencional pré-pagamentoRuralCooperativa de eletrificação ruralNão se aplicaNão se aplicaNão se aplica",Mercado_Receita!$L$2:$L$1866)</f>
        <v>0</v>
      </c>
      <c r="M60" s="12">
        <f>SUMIF(Mercado_Receita!$S$2:$S$1866,"44409B2Convencional pré-pagamentoRuralCooperativa de eletrificação ruralNão se aplicaNão se aplicaPonta",Mercado_Receita!$L$2:$L$1866)+SUMIF(Mercado_Receita!$S$2:$S$1866,"44409B2Convencional pré-pagamentoRuralCooperativa de eletrificação ruralNão se aplicaNão se aplicaFora ponta",Mercado_Receita!$L$2:$L$1866)+SUMIF(Mercado_Receita!$S$2:$S$1866,"44409B2Convencional pré-pagamentoRuralCooperativa de eletrificação ruralNão se aplicaNão se aplicaIntermediário",Mercado_Receita!$L$2:$L$1866)+SUMIF(Mercado_Receita!$S$2:$S$1866,"44409B2Convencional pré-pagamentoRuralCooperativa de eletrificação ruralNão se aplicaNão se aplicaNão se aplica",Mercado_Receita!$L$2:$L$1866)</f>
        <v>0</v>
      </c>
      <c r="N60" s="12">
        <f>SUMIF(Mercado_Receita!$S$2:$S$1866,"44440B2Convencional pré-pagamentoRuralCooperativa de eletrificação ruralNão se aplicaNão se aplicaPonta",Mercado_Receita!$L$2:$L$1866)+SUMIF(Mercado_Receita!$S$2:$S$1866,"44440B2Convencional pré-pagamentoRuralCooperativa de eletrificação ruralNão se aplicaNão se aplicaFora ponta",Mercado_Receita!$L$2:$L$1866)+SUMIF(Mercado_Receita!$S$2:$S$1866,"44440B2Convencional pré-pagamentoRuralCooperativa de eletrificação ruralNão se aplicaNão se aplicaIntermediário",Mercado_Receita!$L$2:$L$1866)+SUMIF(Mercado_Receita!$S$2:$S$1866,"44440B2Convencional pré-pagamentoRuralCooperativa de eletrificação ruralNão se aplicaNão se aplicaNão se aplica",Mercado_Receita!$L$2:$L$1866)</f>
        <v>0</v>
      </c>
      <c r="O60" s="12">
        <f>SUMIF(Mercado_Receita!$S$2:$S$1866,"44470B2Convencional pré-pagamentoRuralCooperativa de eletrificação ruralNão se aplicaNão se aplicaPonta",Mercado_Receita!$L$2:$L$1866)+SUMIF(Mercado_Receita!$S$2:$S$1866,"44470B2Convencional pré-pagamentoRuralCooperativa de eletrificação ruralNão se aplicaNão se aplicaFora ponta",Mercado_Receita!$L$2:$L$1866)+SUMIF(Mercado_Receita!$S$2:$S$1866,"44470B2Convencional pré-pagamentoRuralCooperativa de eletrificação ruralNão se aplicaNão se aplicaIntermediário",Mercado_Receita!$L$2:$L$1866)+SUMIF(Mercado_Receita!$S$2:$S$1866,"44470B2Convencional pré-pagamentoRuralCooperativa de eletrificação ruralNão se aplicaNão se aplicaNão se aplica",Mercado_Receita!$L$2:$L$1866)</f>
        <v>0</v>
      </c>
      <c r="P60" s="12">
        <f>SUMIF(Mercado_Receita!$S$2:$S$1866,"44501B2Convencional pré-pagamentoRuralCooperativa de eletrificação ruralNão se aplicaNão se aplicaPonta",Mercado_Receita!$L$2:$L$1866)+SUMIF(Mercado_Receita!$S$2:$S$1866,"44501B2Convencional pré-pagamentoRuralCooperativa de eletrificação ruralNão se aplicaNão se aplicaFora ponta",Mercado_Receita!$L$2:$L$1866)+SUMIF(Mercado_Receita!$S$2:$S$1866,"44501B2Convencional pré-pagamentoRuralCooperativa de eletrificação ruralNão se aplicaNão se aplicaIntermediário",Mercado_Receita!$L$2:$L$1866)+SUMIF(Mercado_Receita!$S$2:$S$1866,"44501B2Convencional pré-pagamentoRuralCooperativa de eletrificação ruralNão se aplicaNão se aplicaNão se aplica",Mercado_Receita!$L$2:$L$1866)</f>
        <v>0</v>
      </c>
      <c r="Q60" s="12">
        <f>SUMIF(Mercado_Receita!$S$2:$S$1866,"44531B2Convencional pré-pagamentoRuralCooperativa de eletrificação ruralNão se aplicaNão se aplicaPonta",Mercado_Receita!$L$2:$L$1866)+SUMIF(Mercado_Receita!$S$2:$S$1866,"44531B2Convencional pré-pagamentoRuralCooperativa de eletrificação ruralNão se aplicaNão se aplicaFora ponta",Mercado_Receita!$L$2:$L$1866)+SUMIF(Mercado_Receita!$S$2:$S$1866,"44531B2Convencional pré-pagamentoRuralCooperativa de eletrificação ruralNão se aplicaNão se aplicaIntermediário",Mercado_Receita!$L$2:$L$1866)+SUMIF(Mercado_Receita!$S$2:$S$1866,"44531B2Convencional pré-pagamentoRuralCooperativa de eletrificação ruralNão se aplicaNão se aplicaNão se aplica",Mercado_Receita!$L$2:$L$1866)</f>
        <v>0</v>
      </c>
      <c r="R60" s="12">
        <f>SUMIF(Mercado_Receita!$S$2:$S$1866,"44562B2Convencional pré-pagamentoRuralCooperativa de eletrificação ruralNão se aplicaNão se aplicaPonta",Mercado_Receita!$L$2:$L$1866)+SUMIF(Mercado_Receita!$S$2:$S$1866,"44562B2Convencional pré-pagamentoRuralCooperativa de eletrificação ruralNão se aplicaNão se aplicaFora ponta",Mercado_Receita!$L$2:$L$1866)+SUMIF(Mercado_Receita!$S$2:$S$1866,"44562B2Convencional pré-pagamentoRuralCooperativa de eletrificação ruralNão se aplicaNão se aplicaIntermediário",Mercado_Receita!$L$2:$L$1866)+SUMIF(Mercado_Receita!$S$2:$S$1866,"44562B2Convencional pré-pagamentoRuralCooperativa de eletrificação ruralNão se aplicaNão se aplicaNão se aplica",Mercado_Receita!$L$2:$L$1866)</f>
        <v>0</v>
      </c>
      <c r="S60" s="12">
        <f>SUMIF(Mercado_Receita!$S$2:$S$1866,"44593B2Convencional pré-pagamentoRuralCooperativa de eletrificação ruralNão se aplicaNão se aplicaPonta",Mercado_Receita!$L$2:$L$1866)+SUMIF(Mercado_Receita!$S$2:$S$1866,"44593B2Convencional pré-pagamentoRuralCooperativa de eletrificação ruralNão se aplicaNão se aplicaFora ponta",Mercado_Receita!$L$2:$L$1866)+SUMIF(Mercado_Receita!$S$2:$S$1866,"44593B2Convencional pré-pagamentoRuralCooperativa de eletrificação ruralNão se aplicaNão se aplicaIntermediário",Mercado_Receita!$L$2:$L$1866)+SUMIF(Mercado_Receita!$S$2:$S$1866,"44593B2Convencional pré-pagamentoRuralCooperativa de eletrificação ruralNão se aplicaNão se aplicaNão se aplica",Mercado_Receita!$L$2:$L$1866)</f>
        <v>0</v>
      </c>
      <c r="T60" s="12">
        <f>SUMIF(Mercado_Receita!$S$2:$S$1866,"44621B2Convencional pré-pagamentoRuralCooperativa de eletrificação ruralNão se aplicaNão se aplicaPonta",Mercado_Receita!$L$2:$L$1866)+SUMIF(Mercado_Receita!$S$2:$S$1866,"44621B2Convencional pré-pagamentoRuralCooperativa de eletrificação ruralNão se aplicaNão se aplicaFora ponta",Mercado_Receita!$L$2:$L$1866)+SUMIF(Mercado_Receita!$S$2:$S$1866,"44621B2Convencional pré-pagamentoRuralCooperativa de eletrificação ruralNão se aplicaNão se aplicaIntermediário",Mercado_Receita!$L$2:$L$1866)+SUMIF(Mercado_Receita!$S$2:$S$1866,"44621B2Convencional pré-pagamentoRuralCooperativa de eletrificação ruralNão se aplicaNão se aplicaNão se aplica",Mercado_Receita!$L$2:$L$1866)</f>
        <v>0</v>
      </c>
      <c r="U60" s="12">
        <f t="shared" si="1"/>
        <v>0</v>
      </c>
      <c r="V60" s="12"/>
      <c r="W60" s="12"/>
    </row>
    <row r="61" spans="1:23" ht="11.25" customHeight="1" x14ac:dyDescent="0.25">
      <c r="A61" s="90"/>
      <c r="B61" s="90"/>
      <c r="C61" s="90"/>
      <c r="D61" s="13" t="s">
        <v>111</v>
      </c>
      <c r="E61" s="13" t="s">
        <v>25</v>
      </c>
      <c r="F61" s="13" t="s">
        <v>25</v>
      </c>
      <c r="G61" s="12" t="s">
        <v>98</v>
      </c>
      <c r="H61" s="12" t="s">
        <v>93</v>
      </c>
      <c r="I61" s="12">
        <f>SUMIF(Mercado_Receita!$S$2:$S$1866,"44287B2Convencional pré-pagamentoRuralServiço público de irrigação ruralNão se aplicaNão se aplicaPonta",Mercado_Receita!$L$2:$L$1866)+SUMIF(Mercado_Receita!$S$2:$S$1866,"44287B2Convencional pré-pagamentoRuralServiço público de irrigação ruralNão se aplicaNão se aplicaFora ponta",Mercado_Receita!$L$2:$L$1866)+SUMIF(Mercado_Receita!$S$2:$S$1866,"44287B2Convencional pré-pagamentoRuralServiço público de irrigação ruralNão se aplicaNão se aplicaIntermediário",Mercado_Receita!$L$2:$L$1866)+SUMIF(Mercado_Receita!$S$2:$S$1866,"44287B2Convencional pré-pagamentoRuralServiço público de irrigação ruralNão se aplicaNão se aplicaNão se aplica",Mercado_Receita!$L$2:$L$1866)</f>
        <v>0</v>
      </c>
      <c r="J61" s="12">
        <f>SUMIF(Mercado_Receita!$S$2:$S$1866,"44317B2Convencional pré-pagamentoRuralServiço público de irrigação ruralNão se aplicaNão se aplicaPonta",Mercado_Receita!$L$2:$L$1866)+SUMIF(Mercado_Receita!$S$2:$S$1866,"44317B2Convencional pré-pagamentoRuralServiço público de irrigação ruralNão se aplicaNão se aplicaFora ponta",Mercado_Receita!$L$2:$L$1866)+SUMIF(Mercado_Receita!$S$2:$S$1866,"44317B2Convencional pré-pagamentoRuralServiço público de irrigação ruralNão se aplicaNão se aplicaIntermediário",Mercado_Receita!$L$2:$L$1866)+SUMIF(Mercado_Receita!$S$2:$S$1866,"44317B2Convencional pré-pagamentoRuralServiço público de irrigação ruralNão se aplicaNão se aplicaNão se aplica",Mercado_Receita!$L$2:$L$1866)</f>
        <v>0</v>
      </c>
      <c r="K61" s="12">
        <f>SUMIF(Mercado_Receita!$S$2:$S$1866,"44348B2Convencional pré-pagamentoRuralServiço público de irrigação ruralNão se aplicaNão se aplicaPonta",Mercado_Receita!$L$2:$L$1866)+SUMIF(Mercado_Receita!$S$2:$S$1866,"44348B2Convencional pré-pagamentoRuralServiço público de irrigação ruralNão se aplicaNão se aplicaFora ponta",Mercado_Receita!$L$2:$L$1866)+SUMIF(Mercado_Receita!$S$2:$S$1866,"44348B2Convencional pré-pagamentoRuralServiço público de irrigação ruralNão se aplicaNão se aplicaIntermediário",Mercado_Receita!$L$2:$L$1866)+SUMIF(Mercado_Receita!$S$2:$S$1866,"44348B2Convencional pré-pagamentoRuralServiço público de irrigação ruralNão se aplicaNão se aplicaNão se aplica",Mercado_Receita!$L$2:$L$1866)</f>
        <v>0</v>
      </c>
      <c r="L61" s="12">
        <f>SUMIF(Mercado_Receita!$S$2:$S$1866,"44378B2Convencional pré-pagamentoRuralServiço público de irrigação ruralNão se aplicaNão se aplicaPonta",Mercado_Receita!$L$2:$L$1866)+SUMIF(Mercado_Receita!$S$2:$S$1866,"44378B2Convencional pré-pagamentoRuralServiço público de irrigação ruralNão se aplicaNão se aplicaFora ponta",Mercado_Receita!$L$2:$L$1866)+SUMIF(Mercado_Receita!$S$2:$S$1866,"44378B2Convencional pré-pagamentoRuralServiço público de irrigação ruralNão se aplicaNão se aplicaIntermediário",Mercado_Receita!$L$2:$L$1866)+SUMIF(Mercado_Receita!$S$2:$S$1866,"44378B2Convencional pré-pagamentoRuralServiço público de irrigação ruralNão se aplicaNão se aplicaNão se aplica",Mercado_Receita!$L$2:$L$1866)</f>
        <v>0</v>
      </c>
      <c r="M61" s="12">
        <f>SUMIF(Mercado_Receita!$S$2:$S$1866,"44409B2Convencional pré-pagamentoRuralServiço público de irrigação ruralNão se aplicaNão se aplicaPonta",Mercado_Receita!$L$2:$L$1866)+SUMIF(Mercado_Receita!$S$2:$S$1866,"44409B2Convencional pré-pagamentoRuralServiço público de irrigação ruralNão se aplicaNão se aplicaFora ponta",Mercado_Receita!$L$2:$L$1866)+SUMIF(Mercado_Receita!$S$2:$S$1866,"44409B2Convencional pré-pagamentoRuralServiço público de irrigação ruralNão se aplicaNão se aplicaIntermediário",Mercado_Receita!$L$2:$L$1866)+SUMIF(Mercado_Receita!$S$2:$S$1866,"44409B2Convencional pré-pagamentoRuralServiço público de irrigação ruralNão se aplicaNão se aplicaNão se aplica",Mercado_Receita!$L$2:$L$1866)</f>
        <v>0</v>
      </c>
      <c r="N61" s="12">
        <f>SUMIF(Mercado_Receita!$S$2:$S$1866,"44440B2Convencional pré-pagamentoRuralServiço público de irrigação ruralNão se aplicaNão se aplicaPonta",Mercado_Receita!$L$2:$L$1866)+SUMIF(Mercado_Receita!$S$2:$S$1866,"44440B2Convencional pré-pagamentoRuralServiço público de irrigação ruralNão se aplicaNão se aplicaFora ponta",Mercado_Receita!$L$2:$L$1866)+SUMIF(Mercado_Receita!$S$2:$S$1866,"44440B2Convencional pré-pagamentoRuralServiço público de irrigação ruralNão se aplicaNão se aplicaIntermediário",Mercado_Receita!$L$2:$L$1866)+SUMIF(Mercado_Receita!$S$2:$S$1866,"44440B2Convencional pré-pagamentoRuralServiço público de irrigação ruralNão se aplicaNão se aplicaNão se aplica",Mercado_Receita!$L$2:$L$1866)</f>
        <v>0</v>
      </c>
      <c r="O61" s="12">
        <f>SUMIF(Mercado_Receita!$S$2:$S$1866,"44470B2Convencional pré-pagamentoRuralServiço público de irrigação ruralNão se aplicaNão se aplicaPonta",Mercado_Receita!$L$2:$L$1866)+SUMIF(Mercado_Receita!$S$2:$S$1866,"44470B2Convencional pré-pagamentoRuralServiço público de irrigação ruralNão se aplicaNão se aplicaFora ponta",Mercado_Receita!$L$2:$L$1866)+SUMIF(Mercado_Receita!$S$2:$S$1866,"44470B2Convencional pré-pagamentoRuralServiço público de irrigação ruralNão se aplicaNão se aplicaIntermediário",Mercado_Receita!$L$2:$L$1866)+SUMIF(Mercado_Receita!$S$2:$S$1866,"44470B2Convencional pré-pagamentoRuralServiço público de irrigação ruralNão se aplicaNão se aplicaNão se aplica",Mercado_Receita!$L$2:$L$1866)</f>
        <v>0</v>
      </c>
      <c r="P61" s="12">
        <f>SUMIF(Mercado_Receita!$S$2:$S$1866,"44501B2Convencional pré-pagamentoRuralServiço público de irrigação ruralNão se aplicaNão se aplicaPonta",Mercado_Receita!$L$2:$L$1866)+SUMIF(Mercado_Receita!$S$2:$S$1866,"44501B2Convencional pré-pagamentoRuralServiço público de irrigação ruralNão se aplicaNão se aplicaFora ponta",Mercado_Receita!$L$2:$L$1866)+SUMIF(Mercado_Receita!$S$2:$S$1866,"44501B2Convencional pré-pagamentoRuralServiço público de irrigação ruralNão se aplicaNão se aplicaIntermediário",Mercado_Receita!$L$2:$L$1866)+SUMIF(Mercado_Receita!$S$2:$S$1866,"44501B2Convencional pré-pagamentoRuralServiço público de irrigação ruralNão se aplicaNão se aplicaNão se aplica",Mercado_Receita!$L$2:$L$1866)</f>
        <v>0</v>
      </c>
      <c r="Q61" s="12">
        <f>SUMIF(Mercado_Receita!$S$2:$S$1866,"44531B2Convencional pré-pagamentoRuralServiço público de irrigação ruralNão se aplicaNão se aplicaPonta",Mercado_Receita!$L$2:$L$1866)+SUMIF(Mercado_Receita!$S$2:$S$1866,"44531B2Convencional pré-pagamentoRuralServiço público de irrigação ruralNão se aplicaNão se aplicaFora ponta",Mercado_Receita!$L$2:$L$1866)+SUMIF(Mercado_Receita!$S$2:$S$1866,"44531B2Convencional pré-pagamentoRuralServiço público de irrigação ruralNão se aplicaNão se aplicaIntermediário",Mercado_Receita!$L$2:$L$1866)+SUMIF(Mercado_Receita!$S$2:$S$1866,"44531B2Convencional pré-pagamentoRuralServiço público de irrigação ruralNão se aplicaNão se aplicaNão se aplica",Mercado_Receita!$L$2:$L$1866)</f>
        <v>0</v>
      </c>
      <c r="R61" s="12">
        <f>SUMIF(Mercado_Receita!$S$2:$S$1866,"44562B2Convencional pré-pagamentoRuralServiço público de irrigação ruralNão se aplicaNão se aplicaPonta",Mercado_Receita!$L$2:$L$1866)+SUMIF(Mercado_Receita!$S$2:$S$1866,"44562B2Convencional pré-pagamentoRuralServiço público de irrigação ruralNão se aplicaNão se aplicaFora ponta",Mercado_Receita!$L$2:$L$1866)+SUMIF(Mercado_Receita!$S$2:$S$1866,"44562B2Convencional pré-pagamentoRuralServiço público de irrigação ruralNão se aplicaNão se aplicaIntermediário",Mercado_Receita!$L$2:$L$1866)+SUMIF(Mercado_Receita!$S$2:$S$1866,"44562B2Convencional pré-pagamentoRuralServiço público de irrigação ruralNão se aplicaNão se aplicaNão se aplica",Mercado_Receita!$L$2:$L$1866)</f>
        <v>0</v>
      </c>
      <c r="S61" s="12">
        <f>SUMIF(Mercado_Receita!$S$2:$S$1866,"44593B2Convencional pré-pagamentoRuralServiço público de irrigação ruralNão se aplicaNão se aplicaPonta",Mercado_Receita!$L$2:$L$1866)+SUMIF(Mercado_Receita!$S$2:$S$1866,"44593B2Convencional pré-pagamentoRuralServiço público de irrigação ruralNão se aplicaNão se aplicaFora ponta",Mercado_Receita!$L$2:$L$1866)+SUMIF(Mercado_Receita!$S$2:$S$1866,"44593B2Convencional pré-pagamentoRuralServiço público de irrigação ruralNão se aplicaNão se aplicaIntermediário",Mercado_Receita!$L$2:$L$1866)+SUMIF(Mercado_Receita!$S$2:$S$1866,"44593B2Convencional pré-pagamentoRuralServiço público de irrigação ruralNão se aplicaNão se aplicaNão se aplica",Mercado_Receita!$L$2:$L$1866)</f>
        <v>0</v>
      </c>
      <c r="T61" s="12">
        <f>SUMIF(Mercado_Receita!$S$2:$S$1866,"44621B2Convencional pré-pagamentoRuralServiço público de irrigação ruralNão se aplicaNão se aplicaPonta",Mercado_Receita!$L$2:$L$1866)+SUMIF(Mercado_Receita!$S$2:$S$1866,"44621B2Convencional pré-pagamentoRuralServiço público de irrigação ruralNão se aplicaNão se aplicaFora ponta",Mercado_Receita!$L$2:$L$1866)+SUMIF(Mercado_Receita!$S$2:$S$1866,"44621B2Convencional pré-pagamentoRuralServiço público de irrigação ruralNão se aplicaNão se aplicaIntermediário",Mercado_Receita!$L$2:$L$1866)+SUMIF(Mercado_Receita!$S$2:$S$1866,"44621B2Convencional pré-pagamentoRuralServiço público de irrigação ruralNão se aplicaNão se aplicaNão se aplica",Mercado_Receita!$L$2:$L$1866)</f>
        <v>0</v>
      </c>
      <c r="U61" s="12">
        <f t="shared" si="1"/>
        <v>0</v>
      </c>
      <c r="V61" s="12"/>
      <c r="W61" s="12"/>
    </row>
    <row r="62" spans="1:23" ht="11.25" customHeight="1" x14ac:dyDescent="0.25">
      <c r="A62" s="89" t="s">
        <v>37</v>
      </c>
      <c r="B62" s="89" t="s">
        <v>33</v>
      </c>
      <c r="C62" s="89" t="s">
        <v>25</v>
      </c>
      <c r="D62" s="89" t="s">
        <v>25</v>
      </c>
      <c r="E62" s="89" t="s">
        <v>25</v>
      </c>
      <c r="F62" s="89" t="s">
        <v>25</v>
      </c>
      <c r="G62" s="12" t="s">
        <v>94</v>
      </c>
      <c r="H62" s="12" t="s">
        <v>93</v>
      </c>
      <c r="I62" s="12">
        <f>SUMIF(Mercado_Receita!$S$2:$S$1866,"44287B3BrancaNão se aplicaNão se aplicaNão se aplicaNão se aplicaPonta",Mercado_Receita!$L$2:$L$1866)</f>
        <v>7.2360000000000007</v>
      </c>
      <c r="J62" s="12">
        <f>SUMIF(Mercado_Receita!$S$2:$S$1866,"44317B3BrancaNão se aplicaNão se aplicaNão se aplicaNão se aplicaPonta",Mercado_Receita!$L$2:$L$1866)</f>
        <v>7.024</v>
      </c>
      <c r="K62" s="12">
        <f>SUMIF(Mercado_Receita!$S$2:$S$1866,"44348B3BrancaNão se aplicaNão se aplicaNão se aplicaNão se aplicaPonta",Mercado_Receita!$L$2:$L$1866)</f>
        <v>7.2809999999999997</v>
      </c>
      <c r="L62" s="12">
        <f>SUMIF(Mercado_Receita!$S$2:$S$1866,"44378B3BrancaNão se aplicaNão se aplicaNão se aplicaNão se aplicaPonta",Mercado_Receita!$L$2:$L$1866)</f>
        <v>7.92</v>
      </c>
      <c r="M62" s="12">
        <f>SUMIF(Mercado_Receita!$S$2:$S$1866,"44409B3BrancaNão se aplicaNão se aplicaNão se aplicaNão se aplicaPonta",Mercado_Receita!$L$2:$L$1866)</f>
        <v>8.6310000000000002</v>
      </c>
      <c r="N62" s="12">
        <f>SUMIF(Mercado_Receita!$S$2:$S$1866,"44440B3BrancaNão se aplicaNão se aplicaNão se aplicaNão se aplicaPonta",Mercado_Receita!$L$2:$L$1866)</f>
        <v>9.0019999999999989</v>
      </c>
      <c r="O62" s="12">
        <f>SUMIF(Mercado_Receita!$S$2:$S$1866,"44470B3BrancaNão se aplicaNão se aplicaNão se aplicaNão se aplicaPonta",Mercado_Receita!$L$2:$L$1866)</f>
        <v>9.891</v>
      </c>
      <c r="P62" s="12">
        <f>SUMIF(Mercado_Receita!$S$2:$S$1866,"44501B3BrancaNão se aplicaNão se aplicaNão se aplicaNão se aplicaPonta",Mercado_Receita!$L$2:$L$1866)</f>
        <v>8.3460000000000001</v>
      </c>
      <c r="Q62" s="12">
        <f>SUMIF(Mercado_Receita!$S$2:$S$1866,"44531B3BrancaNão se aplicaNão se aplicaNão se aplicaNão se aplicaPonta",Mercado_Receita!$L$2:$L$1866)</f>
        <v>9.1989999999999998</v>
      </c>
      <c r="R62" s="12">
        <f>SUMIF(Mercado_Receita!$S$2:$S$1866,"44562B3BrancaNão se aplicaNão se aplicaNão se aplicaNão se aplicaPonta",Mercado_Receita!$L$2:$L$1866)</f>
        <v>9.7239999999999984</v>
      </c>
      <c r="S62" s="12">
        <f>SUMIF(Mercado_Receita!$S$2:$S$1866,"44593B3BrancaNão se aplicaNão se aplicaNão se aplicaNão se aplicaPonta",Mercado_Receita!$L$2:$L$1866)</f>
        <v>8.8890000000000011</v>
      </c>
      <c r="T62" s="12">
        <f>SUMIF(Mercado_Receita!$S$2:$S$1866,"44621B3BrancaNão se aplicaNão se aplicaNão se aplicaNão se aplicaPonta",Mercado_Receita!$L$2:$L$1866)</f>
        <v>8.8890000000000011</v>
      </c>
      <c r="U62" s="12">
        <f t="shared" si="1"/>
        <v>102.03199999999998</v>
      </c>
      <c r="V62" s="12"/>
      <c r="W62" s="12"/>
    </row>
    <row r="63" spans="1:23" ht="11.25" customHeight="1" x14ac:dyDescent="0.25">
      <c r="A63" s="90"/>
      <c r="B63" s="90"/>
      <c r="C63" s="90"/>
      <c r="D63" s="90"/>
      <c r="E63" s="90"/>
      <c r="F63" s="90"/>
      <c r="G63" s="12" t="s">
        <v>107</v>
      </c>
      <c r="H63" s="12" t="s">
        <v>93</v>
      </c>
      <c r="I63" s="12">
        <f>SUMIF(Mercado_Receita!$S$2:$S$1866,"44287B3BrancaNão se aplicaNão se aplicaNão se aplicaNão se aplicaIntermediário",Mercado_Receita!$L$2:$L$1866)</f>
        <v>5.5329999999999995</v>
      </c>
      <c r="J63" s="12">
        <f>SUMIF(Mercado_Receita!$S$2:$S$1866,"44317B3BrancaNão se aplicaNão se aplicaNão se aplicaNão se aplicaIntermediário",Mercado_Receita!$L$2:$L$1866)</f>
        <v>5.375</v>
      </c>
      <c r="K63" s="12">
        <f>SUMIF(Mercado_Receita!$S$2:$S$1866,"44348B3BrancaNão se aplicaNão se aplicaNão se aplicaNão se aplicaIntermediário",Mercado_Receita!$L$2:$L$1866)</f>
        <v>5.1310000000000002</v>
      </c>
      <c r="L63" s="12">
        <f>SUMIF(Mercado_Receita!$S$2:$S$1866,"44378B3BrancaNão se aplicaNão se aplicaNão se aplicaNão se aplicaIntermediário",Mercado_Receita!$L$2:$L$1866)</f>
        <v>5.1820000000000004</v>
      </c>
      <c r="M63" s="12">
        <f>SUMIF(Mercado_Receita!$S$2:$S$1866,"44409B3BrancaNão se aplicaNão se aplicaNão se aplicaNão se aplicaIntermediário",Mercado_Receita!$L$2:$L$1866)</f>
        <v>5.4080000000000004</v>
      </c>
      <c r="N63" s="12">
        <f>SUMIF(Mercado_Receita!$S$2:$S$1866,"44440B3BrancaNão se aplicaNão se aplicaNão se aplicaNão se aplicaIntermediário",Mercado_Receita!$L$2:$L$1866)</f>
        <v>5.7379999999999995</v>
      </c>
      <c r="O63" s="12">
        <f>SUMIF(Mercado_Receita!$S$2:$S$1866,"44470B3BrancaNão se aplicaNão se aplicaNão se aplicaNão se aplicaIntermediário",Mercado_Receita!$L$2:$L$1866)</f>
        <v>6.5119999999999996</v>
      </c>
      <c r="P63" s="12">
        <f>SUMIF(Mercado_Receita!$S$2:$S$1866,"44501B3BrancaNão se aplicaNão se aplicaNão se aplicaNão se aplicaIntermediário",Mercado_Receita!$L$2:$L$1866)</f>
        <v>6.3610000000000007</v>
      </c>
      <c r="Q63" s="12">
        <f>SUMIF(Mercado_Receita!$S$2:$S$1866,"44531B3BrancaNão se aplicaNão se aplicaNão se aplicaNão se aplicaIntermediário",Mercado_Receita!$L$2:$L$1866)</f>
        <v>6.9659999999999993</v>
      </c>
      <c r="R63" s="12">
        <f>SUMIF(Mercado_Receita!$S$2:$S$1866,"44562B3BrancaNão se aplicaNão se aplicaNão se aplicaNão se aplicaIntermediário",Mercado_Receita!$L$2:$L$1866)</f>
        <v>6.681</v>
      </c>
      <c r="S63" s="12">
        <f>SUMIF(Mercado_Receita!$S$2:$S$1866,"44593B3BrancaNão se aplicaNão se aplicaNão se aplicaNão se aplicaIntermediário",Mercado_Receita!$L$2:$L$1866)</f>
        <v>6.8520000000000003</v>
      </c>
      <c r="T63" s="12">
        <f>SUMIF(Mercado_Receita!$S$2:$S$1866,"44621B3BrancaNão se aplicaNão se aplicaNão se aplicaNão se aplicaIntermediário",Mercado_Receita!$L$2:$L$1866)</f>
        <v>6.8520000000000003</v>
      </c>
      <c r="U63" s="12">
        <f t="shared" si="1"/>
        <v>72.591000000000008</v>
      </c>
      <c r="V63" s="12"/>
      <c r="W63" s="12"/>
    </row>
    <row r="64" spans="1:23" ht="11.25" customHeight="1" x14ac:dyDescent="0.25">
      <c r="A64" s="90"/>
      <c r="B64" s="90"/>
      <c r="C64" s="90"/>
      <c r="D64" s="90"/>
      <c r="E64" s="90"/>
      <c r="F64" s="90"/>
      <c r="G64" s="12" t="s">
        <v>95</v>
      </c>
      <c r="H64" s="12" t="s">
        <v>93</v>
      </c>
      <c r="I64" s="12">
        <f>SUMIF(Mercado_Receita!$S$2:$S$1866,"44287B3BrancaNão se aplicaNão se aplicaNão se aplicaNão se aplicaFora ponta",Mercado_Receita!$L$2:$L$1866)</f>
        <v>107.06699999999999</v>
      </c>
      <c r="J64" s="12">
        <f>SUMIF(Mercado_Receita!$S$2:$S$1866,"44317B3BrancaNão se aplicaNão se aplicaNão se aplicaNão se aplicaFora ponta",Mercado_Receita!$L$2:$L$1866)</f>
        <v>104.976</v>
      </c>
      <c r="K64" s="12">
        <f>SUMIF(Mercado_Receita!$S$2:$S$1866,"44348B3BrancaNão se aplicaNão se aplicaNão se aplicaNão se aplicaFora ponta",Mercado_Receita!$L$2:$L$1866)</f>
        <v>102.273</v>
      </c>
      <c r="L64" s="12">
        <f>SUMIF(Mercado_Receita!$S$2:$S$1866,"44378B3BrancaNão se aplicaNão se aplicaNão se aplicaNão se aplicaFora ponta",Mercado_Receita!$L$2:$L$1866)</f>
        <v>96.623999999999995</v>
      </c>
      <c r="M64" s="12">
        <f>SUMIF(Mercado_Receita!$S$2:$S$1866,"44409B3BrancaNão se aplicaNão se aplicaNão se aplicaNão se aplicaFora ponta",Mercado_Receita!$L$2:$L$1866)</f>
        <v>97.236999999999995</v>
      </c>
      <c r="N64" s="12">
        <f>SUMIF(Mercado_Receita!$S$2:$S$1866,"44440B3BrancaNão se aplicaNão se aplicaNão se aplicaNão se aplicaFora ponta",Mercado_Receita!$L$2:$L$1866)</f>
        <v>109.55500000000001</v>
      </c>
      <c r="O64" s="12">
        <f>SUMIF(Mercado_Receita!$S$2:$S$1866,"44470B3BrancaNão se aplicaNão se aplicaNão se aplicaNão se aplicaFora ponta",Mercado_Receita!$L$2:$L$1866)</f>
        <v>122.828</v>
      </c>
      <c r="P64" s="12">
        <f>SUMIF(Mercado_Receita!$S$2:$S$1866,"44501B3BrancaNão se aplicaNão se aplicaNão se aplicaNão se aplicaFora ponta",Mercado_Receita!$L$2:$L$1866)</f>
        <v>128.958</v>
      </c>
      <c r="Q64" s="12">
        <f>SUMIF(Mercado_Receita!$S$2:$S$1866,"44531B3BrancaNão se aplicaNão se aplicaNão se aplicaNão se aplicaFora ponta",Mercado_Receita!$L$2:$L$1866)</f>
        <v>138.70500000000001</v>
      </c>
      <c r="R64" s="12">
        <f>SUMIF(Mercado_Receita!$S$2:$S$1866,"44562B3BrancaNão se aplicaNão se aplicaNão se aplicaNão se aplicaFora ponta",Mercado_Receita!$L$2:$L$1866)</f>
        <v>136.10900000000001</v>
      </c>
      <c r="S64" s="12">
        <f>SUMIF(Mercado_Receita!$S$2:$S$1866,"44593B3BrancaNão se aplicaNão se aplicaNão se aplicaNão se aplicaFora ponta",Mercado_Receita!$L$2:$L$1866)</f>
        <v>128.6</v>
      </c>
      <c r="T64" s="12">
        <f>SUMIF(Mercado_Receita!$S$2:$S$1866,"44621B3BrancaNão se aplicaNão se aplicaNão se aplicaNão se aplicaFora ponta",Mercado_Receita!$L$2:$L$1866)</f>
        <v>128.6</v>
      </c>
      <c r="U64" s="12">
        <f t="shared" si="1"/>
        <v>1401.5319999999997</v>
      </c>
      <c r="V64" s="12"/>
      <c r="W64" s="12"/>
    </row>
    <row r="65" spans="1:23" ht="11.25" customHeight="1" x14ac:dyDescent="0.25">
      <c r="A65" s="90"/>
      <c r="B65" s="13" t="s">
        <v>23</v>
      </c>
      <c r="C65" s="13" t="s">
        <v>25</v>
      </c>
      <c r="D65" s="13" t="s">
        <v>25</v>
      </c>
      <c r="E65" s="13" t="s">
        <v>25</v>
      </c>
      <c r="F65" s="13" t="s">
        <v>25</v>
      </c>
      <c r="G65" s="12" t="s">
        <v>98</v>
      </c>
      <c r="H65" s="12" t="s">
        <v>93</v>
      </c>
      <c r="I65" s="12">
        <f>SUMIF(Mercado_Receita!$S$2:$S$1866,"44287B3ConvencionalNão se aplicaNão se aplicaNão se aplicaNão se aplicaPonta",Mercado_Receita!$L$2:$L$1866)+SUMIF(Mercado_Receita!$S$2:$S$1866,"44287B3ConvencionalNão se aplicaNão se aplicaNão se aplicaNão se aplicaFora ponta",Mercado_Receita!$L$2:$L$1866)+SUMIF(Mercado_Receita!$S$2:$S$1866,"44287B3ConvencionalNão se aplicaNão se aplicaNão se aplicaNão se aplicaIntermediário",Mercado_Receita!$L$2:$L$1866)+SUMIF(Mercado_Receita!$S$2:$S$1866,"44287B3ConvencionalNão se aplicaNão se aplicaNão se aplicaNão se aplicaNão se aplica",Mercado_Receita!$L$2:$L$1866)</f>
        <v>30141.962</v>
      </c>
      <c r="J65" s="12">
        <f>SUMIF(Mercado_Receita!$S$2:$S$1866,"44317B3ConvencionalNão se aplicaNão se aplicaNão se aplicaNão se aplicaPonta",Mercado_Receita!$L$2:$L$1866)+SUMIF(Mercado_Receita!$S$2:$S$1866,"44317B3ConvencionalNão se aplicaNão se aplicaNão se aplicaNão se aplicaFora ponta",Mercado_Receita!$L$2:$L$1866)+SUMIF(Mercado_Receita!$S$2:$S$1866,"44317B3ConvencionalNão se aplicaNão se aplicaNão se aplicaNão se aplicaIntermediário",Mercado_Receita!$L$2:$L$1866)+SUMIF(Mercado_Receita!$S$2:$S$1866,"44317B3ConvencionalNão se aplicaNão se aplicaNão se aplicaNão se aplicaNão se aplica",Mercado_Receita!$L$2:$L$1866)</f>
        <v>27802.769999999997</v>
      </c>
      <c r="K65" s="12">
        <f>SUMIF(Mercado_Receita!$S$2:$S$1866,"44348B3ConvencionalNão se aplicaNão se aplicaNão se aplicaNão se aplicaPonta",Mercado_Receita!$L$2:$L$1866)+SUMIF(Mercado_Receita!$S$2:$S$1866,"44348B3ConvencionalNão se aplicaNão se aplicaNão se aplicaNão se aplicaFora ponta",Mercado_Receita!$L$2:$L$1866)+SUMIF(Mercado_Receita!$S$2:$S$1866,"44348B3ConvencionalNão se aplicaNão se aplicaNão se aplicaNão se aplicaIntermediário",Mercado_Receita!$L$2:$L$1866)+SUMIF(Mercado_Receita!$S$2:$S$1866,"44348B3ConvencionalNão se aplicaNão se aplicaNão se aplicaNão se aplicaNão se aplica",Mercado_Receita!$L$2:$L$1866)</f>
        <v>27254.138000000003</v>
      </c>
      <c r="L65" s="12">
        <f>SUMIF(Mercado_Receita!$S$2:$S$1866,"44378B3ConvencionalNão se aplicaNão se aplicaNão se aplicaNão se aplicaPonta",Mercado_Receita!$L$2:$L$1866)+SUMIF(Mercado_Receita!$S$2:$S$1866,"44378B3ConvencionalNão se aplicaNão se aplicaNão se aplicaNão se aplicaFora ponta",Mercado_Receita!$L$2:$L$1866)+SUMIF(Mercado_Receita!$S$2:$S$1866,"44378B3ConvencionalNão se aplicaNão se aplicaNão se aplicaNão se aplicaIntermediário",Mercado_Receita!$L$2:$L$1866)+SUMIF(Mercado_Receita!$S$2:$S$1866,"44378B3ConvencionalNão se aplicaNão se aplicaNão se aplicaNão se aplicaNão se aplica",Mercado_Receita!$L$2:$L$1866)</f>
        <v>26989.378000000001</v>
      </c>
      <c r="M65" s="12">
        <f>SUMIF(Mercado_Receita!$S$2:$S$1866,"44409B3ConvencionalNão se aplicaNão se aplicaNão se aplicaNão se aplicaPonta",Mercado_Receita!$L$2:$L$1866)+SUMIF(Mercado_Receita!$S$2:$S$1866,"44409B3ConvencionalNão se aplicaNão se aplicaNão se aplicaNão se aplicaFora ponta",Mercado_Receita!$L$2:$L$1866)+SUMIF(Mercado_Receita!$S$2:$S$1866,"44409B3ConvencionalNão se aplicaNão se aplicaNão se aplicaNão se aplicaIntermediário",Mercado_Receita!$L$2:$L$1866)+SUMIF(Mercado_Receita!$S$2:$S$1866,"44409B3ConvencionalNão se aplicaNão se aplicaNão se aplicaNão se aplicaNão se aplica",Mercado_Receita!$L$2:$L$1866)</f>
        <v>26608.476000000006</v>
      </c>
      <c r="N65" s="12">
        <f>SUMIF(Mercado_Receita!$S$2:$S$1866,"44440B3ConvencionalNão se aplicaNão se aplicaNão se aplicaNão se aplicaPonta",Mercado_Receita!$L$2:$L$1866)+SUMIF(Mercado_Receita!$S$2:$S$1866,"44440B3ConvencionalNão se aplicaNão se aplicaNão se aplicaNão se aplicaFora ponta",Mercado_Receita!$L$2:$L$1866)+SUMIF(Mercado_Receita!$S$2:$S$1866,"44440B3ConvencionalNão se aplicaNão se aplicaNão se aplicaNão se aplicaIntermediário",Mercado_Receita!$L$2:$L$1866)+SUMIF(Mercado_Receita!$S$2:$S$1866,"44440B3ConvencionalNão se aplicaNão se aplicaNão se aplicaNão se aplicaNão se aplica",Mercado_Receita!$L$2:$L$1866)</f>
        <v>27898.520999999993</v>
      </c>
      <c r="O65" s="12">
        <f>SUMIF(Mercado_Receita!$S$2:$S$1866,"44470B3ConvencionalNão se aplicaNão se aplicaNão se aplicaNão se aplicaPonta",Mercado_Receita!$L$2:$L$1866)+SUMIF(Mercado_Receita!$S$2:$S$1866,"44470B3ConvencionalNão se aplicaNão se aplicaNão se aplicaNão se aplicaFora ponta",Mercado_Receita!$L$2:$L$1866)+SUMIF(Mercado_Receita!$S$2:$S$1866,"44470B3ConvencionalNão se aplicaNão se aplicaNão se aplicaNão se aplicaIntermediário",Mercado_Receita!$L$2:$L$1866)+SUMIF(Mercado_Receita!$S$2:$S$1866,"44470B3ConvencionalNão se aplicaNão se aplicaNão se aplicaNão se aplicaNão se aplica",Mercado_Receita!$L$2:$L$1866)</f>
        <v>29905.582000000002</v>
      </c>
      <c r="P65" s="12">
        <f>SUMIF(Mercado_Receita!$S$2:$S$1866,"44501B3ConvencionalNão se aplicaNão se aplicaNão se aplicaNão se aplicaPonta",Mercado_Receita!$L$2:$L$1866)+SUMIF(Mercado_Receita!$S$2:$S$1866,"44501B3ConvencionalNão se aplicaNão se aplicaNão se aplicaNão se aplicaFora ponta",Mercado_Receita!$L$2:$L$1866)+SUMIF(Mercado_Receita!$S$2:$S$1866,"44501B3ConvencionalNão se aplicaNão se aplicaNão se aplicaNão se aplicaIntermediário",Mercado_Receita!$L$2:$L$1866)+SUMIF(Mercado_Receita!$S$2:$S$1866,"44501B3ConvencionalNão se aplicaNão se aplicaNão se aplicaNão se aplicaNão se aplica",Mercado_Receita!$L$2:$L$1866)</f>
        <v>30362.114000000001</v>
      </c>
      <c r="Q65" s="12">
        <f>SUMIF(Mercado_Receita!$S$2:$S$1866,"44531B3ConvencionalNão se aplicaNão se aplicaNão se aplicaNão se aplicaPonta",Mercado_Receita!$L$2:$L$1866)+SUMIF(Mercado_Receita!$S$2:$S$1866,"44531B3ConvencionalNão se aplicaNão se aplicaNão se aplicaNão se aplicaFora ponta",Mercado_Receita!$L$2:$L$1866)+SUMIF(Mercado_Receita!$S$2:$S$1866,"44531B3ConvencionalNão se aplicaNão se aplicaNão se aplicaNão se aplicaIntermediário",Mercado_Receita!$L$2:$L$1866)+SUMIF(Mercado_Receita!$S$2:$S$1866,"44531B3ConvencionalNão se aplicaNão se aplicaNão se aplicaNão se aplicaNão se aplica",Mercado_Receita!$L$2:$L$1866)</f>
        <v>31971.473000000002</v>
      </c>
      <c r="R65" s="12">
        <f>SUMIF(Mercado_Receita!$S$2:$S$1866,"44562B3ConvencionalNão se aplicaNão se aplicaNão se aplicaNão se aplicaPonta",Mercado_Receita!$L$2:$L$1866)+SUMIF(Mercado_Receita!$S$2:$S$1866,"44562B3ConvencionalNão se aplicaNão se aplicaNão se aplicaNão se aplicaFora ponta",Mercado_Receita!$L$2:$L$1866)+SUMIF(Mercado_Receita!$S$2:$S$1866,"44562B3ConvencionalNão se aplicaNão se aplicaNão se aplicaNão se aplicaIntermediário",Mercado_Receita!$L$2:$L$1866)+SUMIF(Mercado_Receita!$S$2:$S$1866,"44562B3ConvencionalNão se aplicaNão se aplicaNão se aplicaNão se aplicaNão se aplica",Mercado_Receita!$L$2:$L$1866)</f>
        <v>31131.072</v>
      </c>
      <c r="S65" s="12">
        <f>SUMIF(Mercado_Receita!$S$2:$S$1866,"44593B3ConvencionalNão se aplicaNão se aplicaNão se aplicaNão se aplicaPonta",Mercado_Receita!$L$2:$L$1866)+SUMIF(Mercado_Receita!$S$2:$S$1866,"44593B3ConvencionalNão se aplicaNão se aplicaNão se aplicaNão se aplicaFora ponta",Mercado_Receita!$L$2:$L$1866)+SUMIF(Mercado_Receita!$S$2:$S$1866,"44593B3ConvencionalNão se aplicaNão se aplicaNão se aplicaNão se aplicaIntermediário",Mercado_Receita!$L$2:$L$1866)+SUMIF(Mercado_Receita!$S$2:$S$1866,"44593B3ConvencionalNão se aplicaNão se aplicaNão se aplicaNão se aplicaNão se aplica",Mercado_Receita!$L$2:$L$1866)</f>
        <v>31172.106000000007</v>
      </c>
      <c r="T65" s="12">
        <f>SUMIF(Mercado_Receita!$S$2:$S$1866,"44621B3ConvencionalNão se aplicaNão se aplicaNão se aplicaNão se aplicaPonta",Mercado_Receita!$L$2:$L$1866)+SUMIF(Mercado_Receita!$S$2:$S$1866,"44621B3ConvencionalNão se aplicaNão se aplicaNão se aplicaNão se aplicaFora ponta",Mercado_Receita!$L$2:$L$1866)+SUMIF(Mercado_Receita!$S$2:$S$1866,"44621B3ConvencionalNão se aplicaNão se aplicaNão se aplicaNão se aplicaIntermediário",Mercado_Receita!$L$2:$L$1866)+SUMIF(Mercado_Receita!$S$2:$S$1866,"44621B3ConvencionalNão se aplicaNão se aplicaNão se aplicaNão se aplicaNão se aplica",Mercado_Receita!$L$2:$L$1866)</f>
        <v>31172.106000000007</v>
      </c>
      <c r="U65" s="12">
        <f t="shared" si="1"/>
        <v>352409.69800000003</v>
      </c>
      <c r="V65" s="12"/>
      <c r="W65" s="12"/>
    </row>
    <row r="66" spans="1:23" ht="11.25" customHeight="1" x14ac:dyDescent="0.25">
      <c r="A66" s="90"/>
      <c r="B66" s="13" t="s">
        <v>109</v>
      </c>
      <c r="C66" s="13" t="s">
        <v>25</v>
      </c>
      <c r="D66" s="13" t="s">
        <v>25</v>
      </c>
      <c r="E66" s="13" t="s">
        <v>25</v>
      </c>
      <c r="F66" s="13" t="s">
        <v>25</v>
      </c>
      <c r="G66" s="12" t="s">
        <v>98</v>
      </c>
      <c r="H66" s="12" t="s">
        <v>93</v>
      </c>
      <c r="I66" s="12">
        <f>SUMIF(Mercado_Receita!$S$2:$S$1866,"44287B3Convencional pré-pagamentoNão se aplicaNão se aplicaNão se aplicaNão se aplicaPonta",Mercado_Receita!$L$2:$L$1866)+SUMIF(Mercado_Receita!$S$2:$S$1866,"44287B3Convencional pré-pagamentoNão se aplicaNão se aplicaNão se aplicaNão se aplicaFora ponta",Mercado_Receita!$L$2:$L$1866)+SUMIF(Mercado_Receita!$S$2:$S$1866,"44287B3Convencional pré-pagamentoNão se aplicaNão se aplicaNão se aplicaNão se aplicaIntermediário",Mercado_Receita!$L$2:$L$1866)+SUMIF(Mercado_Receita!$S$2:$S$1866,"44287B3Convencional pré-pagamentoNão se aplicaNão se aplicaNão se aplicaNão se aplicaNão se aplica",Mercado_Receita!$L$2:$L$1866)</f>
        <v>0</v>
      </c>
      <c r="J66" s="12">
        <f>SUMIF(Mercado_Receita!$S$2:$S$1866,"44317B3Convencional pré-pagamentoNão se aplicaNão se aplicaNão se aplicaNão se aplicaPonta",Mercado_Receita!$L$2:$L$1866)+SUMIF(Mercado_Receita!$S$2:$S$1866,"44317B3Convencional pré-pagamentoNão se aplicaNão se aplicaNão se aplicaNão se aplicaFora ponta",Mercado_Receita!$L$2:$L$1866)+SUMIF(Mercado_Receita!$S$2:$S$1866,"44317B3Convencional pré-pagamentoNão se aplicaNão se aplicaNão se aplicaNão se aplicaIntermediário",Mercado_Receita!$L$2:$L$1866)+SUMIF(Mercado_Receita!$S$2:$S$1866,"44317B3Convencional pré-pagamentoNão se aplicaNão se aplicaNão se aplicaNão se aplicaNão se aplica",Mercado_Receita!$L$2:$L$1866)</f>
        <v>0</v>
      </c>
      <c r="K66" s="12">
        <f>SUMIF(Mercado_Receita!$S$2:$S$1866,"44348B3Convencional pré-pagamentoNão se aplicaNão se aplicaNão se aplicaNão se aplicaPonta",Mercado_Receita!$L$2:$L$1866)+SUMIF(Mercado_Receita!$S$2:$S$1866,"44348B3Convencional pré-pagamentoNão se aplicaNão se aplicaNão se aplicaNão se aplicaFora ponta",Mercado_Receita!$L$2:$L$1866)+SUMIF(Mercado_Receita!$S$2:$S$1866,"44348B3Convencional pré-pagamentoNão se aplicaNão se aplicaNão se aplicaNão se aplicaIntermediário",Mercado_Receita!$L$2:$L$1866)+SUMIF(Mercado_Receita!$S$2:$S$1866,"44348B3Convencional pré-pagamentoNão se aplicaNão se aplicaNão se aplicaNão se aplicaNão se aplica",Mercado_Receita!$L$2:$L$1866)</f>
        <v>0</v>
      </c>
      <c r="L66" s="12">
        <f>SUMIF(Mercado_Receita!$S$2:$S$1866,"44378B3Convencional pré-pagamentoNão se aplicaNão se aplicaNão se aplicaNão se aplicaPonta",Mercado_Receita!$L$2:$L$1866)+SUMIF(Mercado_Receita!$S$2:$S$1866,"44378B3Convencional pré-pagamentoNão se aplicaNão se aplicaNão se aplicaNão se aplicaFora ponta",Mercado_Receita!$L$2:$L$1866)+SUMIF(Mercado_Receita!$S$2:$S$1866,"44378B3Convencional pré-pagamentoNão se aplicaNão se aplicaNão se aplicaNão se aplicaIntermediário",Mercado_Receita!$L$2:$L$1866)+SUMIF(Mercado_Receita!$S$2:$S$1866,"44378B3Convencional pré-pagamentoNão se aplicaNão se aplicaNão se aplicaNão se aplicaNão se aplica",Mercado_Receita!$L$2:$L$1866)</f>
        <v>0</v>
      </c>
      <c r="M66" s="12">
        <f>SUMIF(Mercado_Receita!$S$2:$S$1866,"44409B3Convencional pré-pagamentoNão se aplicaNão se aplicaNão se aplicaNão se aplicaPonta",Mercado_Receita!$L$2:$L$1866)+SUMIF(Mercado_Receita!$S$2:$S$1866,"44409B3Convencional pré-pagamentoNão se aplicaNão se aplicaNão se aplicaNão se aplicaFora ponta",Mercado_Receita!$L$2:$L$1866)+SUMIF(Mercado_Receita!$S$2:$S$1866,"44409B3Convencional pré-pagamentoNão se aplicaNão se aplicaNão se aplicaNão se aplicaIntermediário",Mercado_Receita!$L$2:$L$1866)+SUMIF(Mercado_Receita!$S$2:$S$1866,"44409B3Convencional pré-pagamentoNão se aplicaNão se aplicaNão se aplicaNão se aplicaNão se aplica",Mercado_Receita!$L$2:$L$1866)</f>
        <v>0</v>
      </c>
      <c r="N66" s="12">
        <f>SUMIF(Mercado_Receita!$S$2:$S$1866,"44440B3Convencional pré-pagamentoNão se aplicaNão se aplicaNão se aplicaNão se aplicaPonta",Mercado_Receita!$L$2:$L$1866)+SUMIF(Mercado_Receita!$S$2:$S$1866,"44440B3Convencional pré-pagamentoNão se aplicaNão se aplicaNão se aplicaNão se aplicaFora ponta",Mercado_Receita!$L$2:$L$1866)+SUMIF(Mercado_Receita!$S$2:$S$1866,"44440B3Convencional pré-pagamentoNão se aplicaNão se aplicaNão se aplicaNão se aplicaIntermediário",Mercado_Receita!$L$2:$L$1866)+SUMIF(Mercado_Receita!$S$2:$S$1866,"44440B3Convencional pré-pagamentoNão se aplicaNão se aplicaNão se aplicaNão se aplicaNão se aplica",Mercado_Receita!$L$2:$L$1866)</f>
        <v>0</v>
      </c>
      <c r="O66" s="12">
        <f>SUMIF(Mercado_Receita!$S$2:$S$1866,"44470B3Convencional pré-pagamentoNão se aplicaNão se aplicaNão se aplicaNão se aplicaPonta",Mercado_Receita!$L$2:$L$1866)+SUMIF(Mercado_Receita!$S$2:$S$1866,"44470B3Convencional pré-pagamentoNão se aplicaNão se aplicaNão se aplicaNão se aplicaFora ponta",Mercado_Receita!$L$2:$L$1866)+SUMIF(Mercado_Receita!$S$2:$S$1866,"44470B3Convencional pré-pagamentoNão se aplicaNão se aplicaNão se aplicaNão se aplicaIntermediário",Mercado_Receita!$L$2:$L$1866)+SUMIF(Mercado_Receita!$S$2:$S$1866,"44470B3Convencional pré-pagamentoNão se aplicaNão se aplicaNão se aplicaNão se aplicaNão se aplica",Mercado_Receita!$L$2:$L$1866)</f>
        <v>0</v>
      </c>
      <c r="P66" s="12">
        <f>SUMIF(Mercado_Receita!$S$2:$S$1866,"44501B3Convencional pré-pagamentoNão se aplicaNão se aplicaNão se aplicaNão se aplicaPonta",Mercado_Receita!$L$2:$L$1866)+SUMIF(Mercado_Receita!$S$2:$S$1866,"44501B3Convencional pré-pagamentoNão se aplicaNão se aplicaNão se aplicaNão se aplicaFora ponta",Mercado_Receita!$L$2:$L$1866)+SUMIF(Mercado_Receita!$S$2:$S$1866,"44501B3Convencional pré-pagamentoNão se aplicaNão se aplicaNão se aplicaNão se aplicaIntermediário",Mercado_Receita!$L$2:$L$1866)+SUMIF(Mercado_Receita!$S$2:$S$1866,"44501B3Convencional pré-pagamentoNão se aplicaNão se aplicaNão se aplicaNão se aplicaNão se aplica",Mercado_Receita!$L$2:$L$1866)</f>
        <v>0</v>
      </c>
      <c r="Q66" s="12">
        <f>SUMIF(Mercado_Receita!$S$2:$S$1866,"44531B3Convencional pré-pagamentoNão se aplicaNão se aplicaNão se aplicaNão se aplicaPonta",Mercado_Receita!$L$2:$L$1866)+SUMIF(Mercado_Receita!$S$2:$S$1866,"44531B3Convencional pré-pagamentoNão se aplicaNão se aplicaNão se aplicaNão se aplicaFora ponta",Mercado_Receita!$L$2:$L$1866)+SUMIF(Mercado_Receita!$S$2:$S$1866,"44531B3Convencional pré-pagamentoNão se aplicaNão se aplicaNão se aplicaNão se aplicaIntermediário",Mercado_Receita!$L$2:$L$1866)+SUMIF(Mercado_Receita!$S$2:$S$1866,"44531B3Convencional pré-pagamentoNão se aplicaNão se aplicaNão se aplicaNão se aplicaNão se aplica",Mercado_Receita!$L$2:$L$1866)</f>
        <v>0</v>
      </c>
      <c r="R66" s="12">
        <f>SUMIF(Mercado_Receita!$S$2:$S$1866,"44562B3Convencional pré-pagamentoNão se aplicaNão se aplicaNão se aplicaNão se aplicaPonta",Mercado_Receita!$L$2:$L$1866)+SUMIF(Mercado_Receita!$S$2:$S$1866,"44562B3Convencional pré-pagamentoNão se aplicaNão se aplicaNão se aplicaNão se aplicaFora ponta",Mercado_Receita!$L$2:$L$1866)+SUMIF(Mercado_Receita!$S$2:$S$1866,"44562B3Convencional pré-pagamentoNão se aplicaNão se aplicaNão se aplicaNão se aplicaIntermediário",Mercado_Receita!$L$2:$L$1866)+SUMIF(Mercado_Receita!$S$2:$S$1866,"44562B3Convencional pré-pagamentoNão se aplicaNão se aplicaNão se aplicaNão se aplicaNão se aplica",Mercado_Receita!$L$2:$L$1866)</f>
        <v>0</v>
      </c>
      <c r="S66" s="12">
        <f>SUMIF(Mercado_Receita!$S$2:$S$1866,"44593B3Convencional pré-pagamentoNão se aplicaNão se aplicaNão se aplicaNão se aplicaPonta",Mercado_Receita!$L$2:$L$1866)+SUMIF(Mercado_Receita!$S$2:$S$1866,"44593B3Convencional pré-pagamentoNão se aplicaNão se aplicaNão se aplicaNão se aplicaFora ponta",Mercado_Receita!$L$2:$L$1866)+SUMIF(Mercado_Receita!$S$2:$S$1866,"44593B3Convencional pré-pagamentoNão se aplicaNão se aplicaNão se aplicaNão se aplicaIntermediário",Mercado_Receita!$L$2:$L$1866)+SUMIF(Mercado_Receita!$S$2:$S$1866,"44593B3Convencional pré-pagamentoNão se aplicaNão se aplicaNão se aplicaNão se aplicaNão se aplica",Mercado_Receita!$L$2:$L$1866)</f>
        <v>0</v>
      </c>
      <c r="T66" s="12">
        <f>SUMIF(Mercado_Receita!$S$2:$S$1866,"44621B3Convencional pré-pagamentoNão se aplicaNão se aplicaNão se aplicaNão se aplicaPonta",Mercado_Receita!$L$2:$L$1866)+SUMIF(Mercado_Receita!$S$2:$S$1866,"44621B3Convencional pré-pagamentoNão se aplicaNão se aplicaNão se aplicaNão se aplicaFora ponta",Mercado_Receita!$L$2:$L$1866)+SUMIF(Mercado_Receita!$S$2:$S$1866,"44621B3Convencional pré-pagamentoNão se aplicaNão se aplicaNão se aplicaNão se aplicaIntermediário",Mercado_Receita!$L$2:$L$1866)+SUMIF(Mercado_Receita!$S$2:$S$1866,"44621B3Convencional pré-pagamentoNão se aplicaNão se aplicaNão se aplicaNão se aplicaNão se aplica",Mercado_Receita!$L$2:$L$1866)</f>
        <v>0</v>
      </c>
      <c r="U66" s="12">
        <f t="shared" ref="U66:U68" si="2">SUM(I66:T66)</f>
        <v>0</v>
      </c>
      <c r="V66" s="12"/>
      <c r="W66" s="12"/>
    </row>
    <row r="67" spans="1:23" ht="11.25" customHeight="1" x14ac:dyDescent="0.25">
      <c r="A67" s="89" t="s">
        <v>47</v>
      </c>
      <c r="B67" s="89" t="s">
        <v>23</v>
      </c>
      <c r="C67" s="89" t="s">
        <v>48</v>
      </c>
      <c r="D67" s="13" t="s">
        <v>49</v>
      </c>
      <c r="E67" s="13" t="s">
        <v>25</v>
      </c>
      <c r="F67" s="13" t="s">
        <v>25</v>
      </c>
      <c r="G67" s="12" t="s">
        <v>98</v>
      </c>
      <c r="H67" s="12" t="s">
        <v>93</v>
      </c>
      <c r="I67" s="12">
        <f>SUMIF(Mercado_Receita!$S$2:$S$1866,"44287B4ConvencionalIluminação públicaIluminação pública – B4aNão se aplicaNão se aplicaPonta",Mercado_Receita!$L$2:$L$1866)+SUMIF(Mercado_Receita!$S$2:$S$1866,"44287B4ConvencionalIluminação públicaIluminação pública – B4aNão se aplicaNão se aplicaFora ponta",Mercado_Receita!$L$2:$L$1866)+SUMIF(Mercado_Receita!$S$2:$S$1866,"44287B4ConvencionalIluminação públicaIluminação pública – B4aNão se aplicaNão se aplicaIntermediário",Mercado_Receita!$L$2:$L$1866)+SUMIF(Mercado_Receita!$S$2:$S$1866,"44287B4ConvencionalIluminação públicaIluminação pública – B4aNão se aplicaNão se aplicaNão se aplica",Mercado_Receita!$L$2:$L$1866)</f>
        <v>16833.598000000002</v>
      </c>
      <c r="J67" s="12">
        <f>SUMIF(Mercado_Receita!$S$2:$S$1866,"44317B4ConvencionalIluminação públicaIluminação pública – B4aNão se aplicaNão se aplicaPonta",Mercado_Receita!$L$2:$L$1866)+SUMIF(Mercado_Receita!$S$2:$S$1866,"44317B4ConvencionalIluminação públicaIluminação pública – B4aNão se aplicaNão se aplicaFora ponta",Mercado_Receita!$L$2:$L$1866)+SUMIF(Mercado_Receita!$S$2:$S$1866,"44317B4ConvencionalIluminação públicaIluminação pública – B4aNão se aplicaNão se aplicaIntermediário",Mercado_Receita!$L$2:$L$1866)+SUMIF(Mercado_Receita!$S$2:$S$1866,"44317B4ConvencionalIluminação públicaIluminação pública – B4aNão se aplicaNão se aplicaNão se aplica",Mercado_Receita!$L$2:$L$1866)</f>
        <v>17044.334999999999</v>
      </c>
      <c r="K67" s="12">
        <f>SUMIF(Mercado_Receita!$S$2:$S$1866,"44348B4ConvencionalIluminação públicaIluminação pública – B4aNão se aplicaNão se aplicaPonta",Mercado_Receita!$L$2:$L$1866)+SUMIF(Mercado_Receita!$S$2:$S$1866,"44348B4ConvencionalIluminação públicaIluminação pública – B4aNão se aplicaNão se aplicaFora ponta",Mercado_Receita!$L$2:$L$1866)+SUMIF(Mercado_Receita!$S$2:$S$1866,"44348B4ConvencionalIluminação públicaIluminação pública – B4aNão se aplicaNão se aplicaIntermediário",Mercado_Receita!$L$2:$L$1866)+SUMIF(Mercado_Receita!$S$2:$S$1866,"44348B4ConvencionalIluminação públicaIluminação pública – B4aNão se aplicaNão se aplicaNão se aplica",Mercado_Receita!$L$2:$L$1866)</f>
        <v>16401.597999999998</v>
      </c>
      <c r="L67" s="12">
        <f>SUMIF(Mercado_Receita!$S$2:$S$1866,"44378B4ConvencionalIluminação públicaIluminação pública – B4aNão se aplicaNão se aplicaPonta",Mercado_Receita!$L$2:$L$1866)+SUMIF(Mercado_Receita!$S$2:$S$1866,"44378B4ConvencionalIluminação públicaIluminação pública – B4aNão se aplicaNão se aplicaFora ponta",Mercado_Receita!$L$2:$L$1866)+SUMIF(Mercado_Receita!$S$2:$S$1866,"44378B4ConvencionalIluminação públicaIluminação pública – B4aNão se aplicaNão se aplicaIntermediário",Mercado_Receita!$L$2:$L$1866)+SUMIF(Mercado_Receita!$S$2:$S$1866,"44378B4ConvencionalIluminação públicaIluminação pública – B4aNão se aplicaNão se aplicaNão se aplica",Mercado_Receita!$L$2:$L$1866)</f>
        <v>16840.974999999999</v>
      </c>
      <c r="M67" s="12">
        <f>SUMIF(Mercado_Receita!$S$2:$S$1866,"44409B4ConvencionalIluminação públicaIluminação pública – B4aNão se aplicaNão se aplicaPonta",Mercado_Receita!$L$2:$L$1866)+SUMIF(Mercado_Receita!$S$2:$S$1866,"44409B4ConvencionalIluminação públicaIluminação pública – B4aNão se aplicaNão se aplicaFora ponta",Mercado_Receita!$L$2:$L$1866)+SUMIF(Mercado_Receita!$S$2:$S$1866,"44409B4ConvencionalIluminação públicaIluminação pública – B4aNão se aplicaNão se aplicaIntermediário",Mercado_Receita!$L$2:$L$1866)+SUMIF(Mercado_Receita!$S$2:$S$1866,"44409B4ConvencionalIluminação públicaIluminação pública – B4aNão se aplicaNão se aplicaNão se aplica",Mercado_Receita!$L$2:$L$1866)</f>
        <v>17048.126999999997</v>
      </c>
      <c r="N67" s="12">
        <f>SUMIF(Mercado_Receita!$S$2:$S$1866,"44440B4ConvencionalIluminação públicaIluminação pública – B4aNão se aplicaNão se aplicaPonta",Mercado_Receita!$L$2:$L$1866)+SUMIF(Mercado_Receita!$S$2:$S$1866,"44440B4ConvencionalIluminação públicaIluminação pública – B4aNão se aplicaNão se aplicaFora ponta",Mercado_Receita!$L$2:$L$1866)+SUMIF(Mercado_Receita!$S$2:$S$1866,"44440B4ConvencionalIluminação públicaIluminação pública – B4aNão se aplicaNão se aplicaIntermediário",Mercado_Receita!$L$2:$L$1866)+SUMIF(Mercado_Receita!$S$2:$S$1866,"44440B4ConvencionalIluminação públicaIluminação pública – B4aNão se aplicaNão se aplicaNão se aplica",Mercado_Receita!$L$2:$L$1866)</f>
        <v>17264.482</v>
      </c>
      <c r="O67" s="12">
        <f>SUMIF(Mercado_Receita!$S$2:$S$1866,"44470B4ConvencionalIluminação públicaIluminação pública – B4aNão se aplicaNão se aplicaPonta",Mercado_Receita!$L$2:$L$1866)+SUMIF(Mercado_Receita!$S$2:$S$1866,"44470B4ConvencionalIluminação públicaIluminação pública – B4aNão se aplicaNão se aplicaFora ponta",Mercado_Receita!$L$2:$L$1866)+SUMIF(Mercado_Receita!$S$2:$S$1866,"44470B4ConvencionalIluminação públicaIluminação pública – B4aNão se aplicaNão se aplicaIntermediário",Mercado_Receita!$L$2:$L$1866)+SUMIF(Mercado_Receita!$S$2:$S$1866,"44470B4ConvencionalIluminação públicaIluminação pública – B4aNão se aplicaNão se aplicaNão se aplica",Mercado_Receita!$L$2:$L$1866)</f>
        <v>16870.981</v>
      </c>
      <c r="P67" s="12">
        <f>SUMIF(Mercado_Receita!$S$2:$S$1866,"44501B4ConvencionalIluminação públicaIluminação pública – B4aNão se aplicaNão se aplicaPonta",Mercado_Receita!$L$2:$L$1866)+SUMIF(Mercado_Receita!$S$2:$S$1866,"44501B4ConvencionalIluminação públicaIluminação pública – B4aNão se aplicaNão se aplicaFora ponta",Mercado_Receita!$L$2:$L$1866)+SUMIF(Mercado_Receita!$S$2:$S$1866,"44501B4ConvencionalIluminação públicaIluminação pública – B4aNão se aplicaNão se aplicaIntermediário",Mercado_Receita!$L$2:$L$1866)+SUMIF(Mercado_Receita!$S$2:$S$1866,"44501B4ConvencionalIluminação públicaIluminação pública – B4aNão se aplicaNão se aplicaNão se aplica",Mercado_Receita!$L$2:$L$1866)</f>
        <v>15991.301000000001</v>
      </c>
      <c r="Q67" s="12">
        <f>SUMIF(Mercado_Receita!$S$2:$S$1866,"44531B4ConvencionalIluminação públicaIluminação pública – B4aNão se aplicaNão se aplicaPonta",Mercado_Receita!$L$2:$L$1866)+SUMIF(Mercado_Receita!$S$2:$S$1866,"44531B4ConvencionalIluminação públicaIluminação pública – B4aNão se aplicaNão se aplicaFora ponta",Mercado_Receita!$L$2:$L$1866)+SUMIF(Mercado_Receita!$S$2:$S$1866,"44531B4ConvencionalIluminação públicaIluminação pública – B4aNão se aplicaNão se aplicaIntermediário",Mercado_Receita!$L$2:$L$1866)+SUMIF(Mercado_Receita!$S$2:$S$1866,"44531B4ConvencionalIluminação públicaIluminação pública – B4aNão se aplicaNão se aplicaNão se aplica",Mercado_Receita!$L$2:$L$1866)</f>
        <v>16646.710999999999</v>
      </c>
      <c r="R67" s="12">
        <f>SUMIF(Mercado_Receita!$S$2:$S$1866,"44562B4ConvencionalIluminação públicaIluminação pública – B4aNão se aplicaNão se aplicaPonta",Mercado_Receita!$L$2:$L$1866)+SUMIF(Mercado_Receita!$S$2:$S$1866,"44562B4ConvencionalIluminação públicaIluminação pública – B4aNão se aplicaNão se aplicaFora ponta",Mercado_Receita!$L$2:$L$1866)+SUMIF(Mercado_Receita!$S$2:$S$1866,"44562B4ConvencionalIluminação públicaIluminação pública – B4aNão se aplicaNão se aplicaIntermediário",Mercado_Receita!$L$2:$L$1866)+SUMIF(Mercado_Receita!$S$2:$S$1866,"44562B4ConvencionalIluminação públicaIluminação pública – B4aNão se aplicaNão se aplicaNão se aplica",Mercado_Receita!$L$2:$L$1866)</f>
        <v>16562.600999999999</v>
      </c>
      <c r="S67" s="12">
        <f>SUMIF(Mercado_Receita!$S$2:$S$1866,"44593B4ConvencionalIluminação públicaIluminação pública – B4aNão se aplicaNão se aplicaPonta",Mercado_Receita!$L$2:$L$1866)+SUMIF(Mercado_Receita!$S$2:$S$1866,"44593B4ConvencionalIluminação públicaIluminação pública – B4aNão se aplicaNão se aplicaFora ponta",Mercado_Receita!$L$2:$L$1866)+SUMIF(Mercado_Receita!$S$2:$S$1866,"44593B4ConvencionalIluminação públicaIluminação pública – B4aNão se aplicaNão se aplicaIntermediário",Mercado_Receita!$L$2:$L$1866)+SUMIF(Mercado_Receita!$S$2:$S$1866,"44593B4ConvencionalIluminação públicaIluminação pública – B4aNão se aplicaNão se aplicaNão se aplica",Mercado_Receita!$L$2:$L$1866)</f>
        <v>15015.512000000001</v>
      </c>
      <c r="T67" s="12">
        <f>SUMIF(Mercado_Receita!$S$2:$S$1866,"44621B4ConvencionalIluminação públicaIluminação pública – B4aNão se aplicaNão se aplicaPonta",Mercado_Receita!$L$2:$L$1866)+SUMIF(Mercado_Receita!$S$2:$S$1866,"44621B4ConvencionalIluminação públicaIluminação pública – B4aNão se aplicaNão se aplicaFora ponta",Mercado_Receita!$L$2:$L$1866)+SUMIF(Mercado_Receita!$S$2:$S$1866,"44621B4ConvencionalIluminação públicaIluminação pública – B4aNão se aplicaNão se aplicaIntermediário",Mercado_Receita!$L$2:$L$1866)+SUMIF(Mercado_Receita!$S$2:$S$1866,"44621B4ConvencionalIluminação públicaIluminação pública – B4aNão se aplicaNão se aplicaNão se aplica",Mercado_Receita!$L$2:$L$1866)</f>
        <v>15015.512000000001</v>
      </c>
      <c r="U67" s="12">
        <f t="shared" si="2"/>
        <v>197535.73299999998</v>
      </c>
      <c r="V67" s="12"/>
      <c r="W67" s="12"/>
    </row>
    <row r="68" spans="1:23" ht="11.25" customHeight="1" x14ac:dyDescent="0.25">
      <c r="A68" s="90"/>
      <c r="B68" s="90"/>
      <c r="C68" s="90"/>
      <c r="D68" s="12" t="s">
        <v>112</v>
      </c>
      <c r="E68" s="12" t="s">
        <v>25</v>
      </c>
      <c r="F68" s="12" t="s">
        <v>25</v>
      </c>
      <c r="G68" s="12" t="s">
        <v>98</v>
      </c>
      <c r="H68" s="12" t="s">
        <v>93</v>
      </c>
      <c r="I68" s="12">
        <f>SUMIF(Mercado_Receita!$S$2:$S$1866,"44287B4ConvencionalIluminação públicaIluminação pública – B4bNão se aplicaNão se aplicaPonta",Mercado_Receita!$L$2:$L$1866)+SUMIF(Mercado_Receita!$S$2:$S$1866,"44287B4ConvencionalIluminação públicaIluminação pública – B4bNão se aplicaNão se aplicaFora ponta",Mercado_Receita!$L$2:$L$1866)+SUMIF(Mercado_Receita!$S$2:$S$1866,"44287B4ConvencionalIluminação públicaIluminação pública – B4bNão se aplicaNão se aplicaIntermediário",Mercado_Receita!$L$2:$L$1866)+SUMIF(Mercado_Receita!$S$2:$S$1866,"44287B4ConvencionalIluminação públicaIluminação pública – B4bNão se aplicaNão se aplicaNão se aplica",Mercado_Receita!$L$2:$L$1866)</f>
        <v>0</v>
      </c>
      <c r="J68" s="12">
        <f>SUMIF(Mercado_Receita!$S$2:$S$1866,"44317B4ConvencionalIluminação públicaIluminação pública – B4bNão se aplicaNão se aplicaPonta",Mercado_Receita!$L$2:$L$1866)+SUMIF(Mercado_Receita!$S$2:$S$1866,"44317B4ConvencionalIluminação públicaIluminação pública – B4bNão se aplicaNão se aplicaFora ponta",Mercado_Receita!$L$2:$L$1866)+SUMIF(Mercado_Receita!$S$2:$S$1866,"44317B4ConvencionalIluminação públicaIluminação pública – B4bNão se aplicaNão se aplicaIntermediário",Mercado_Receita!$L$2:$L$1866)+SUMIF(Mercado_Receita!$S$2:$S$1866,"44317B4ConvencionalIluminação públicaIluminação pública – B4bNão se aplicaNão se aplicaNão se aplica",Mercado_Receita!$L$2:$L$1866)</f>
        <v>0</v>
      </c>
      <c r="K68" s="12">
        <f>SUMIF(Mercado_Receita!$S$2:$S$1866,"44348B4ConvencionalIluminação públicaIluminação pública – B4bNão se aplicaNão se aplicaPonta",Mercado_Receita!$L$2:$L$1866)+SUMIF(Mercado_Receita!$S$2:$S$1866,"44348B4ConvencionalIluminação públicaIluminação pública – B4bNão se aplicaNão se aplicaFora ponta",Mercado_Receita!$L$2:$L$1866)+SUMIF(Mercado_Receita!$S$2:$S$1866,"44348B4ConvencionalIluminação públicaIluminação pública – B4bNão se aplicaNão se aplicaIntermediário",Mercado_Receita!$L$2:$L$1866)+SUMIF(Mercado_Receita!$S$2:$S$1866,"44348B4ConvencionalIluminação públicaIluminação pública – B4bNão se aplicaNão se aplicaNão se aplica",Mercado_Receita!$L$2:$L$1866)</f>
        <v>0</v>
      </c>
      <c r="L68" s="12">
        <f>SUMIF(Mercado_Receita!$S$2:$S$1866,"44378B4ConvencionalIluminação públicaIluminação pública – B4bNão se aplicaNão se aplicaPonta",Mercado_Receita!$L$2:$L$1866)+SUMIF(Mercado_Receita!$S$2:$S$1866,"44378B4ConvencionalIluminação públicaIluminação pública – B4bNão se aplicaNão se aplicaFora ponta",Mercado_Receita!$L$2:$L$1866)+SUMIF(Mercado_Receita!$S$2:$S$1866,"44378B4ConvencionalIluminação públicaIluminação pública – B4bNão se aplicaNão se aplicaIntermediário",Mercado_Receita!$L$2:$L$1866)+SUMIF(Mercado_Receita!$S$2:$S$1866,"44378B4ConvencionalIluminação públicaIluminação pública – B4bNão se aplicaNão se aplicaNão se aplica",Mercado_Receita!$L$2:$L$1866)</f>
        <v>0</v>
      </c>
      <c r="M68" s="12">
        <f>SUMIF(Mercado_Receita!$S$2:$S$1866,"44409B4ConvencionalIluminação públicaIluminação pública – B4bNão se aplicaNão se aplicaPonta",Mercado_Receita!$L$2:$L$1866)+SUMIF(Mercado_Receita!$S$2:$S$1866,"44409B4ConvencionalIluminação públicaIluminação pública – B4bNão se aplicaNão se aplicaFora ponta",Mercado_Receita!$L$2:$L$1866)+SUMIF(Mercado_Receita!$S$2:$S$1866,"44409B4ConvencionalIluminação públicaIluminação pública – B4bNão se aplicaNão se aplicaIntermediário",Mercado_Receita!$L$2:$L$1866)+SUMIF(Mercado_Receita!$S$2:$S$1866,"44409B4ConvencionalIluminação públicaIluminação pública – B4bNão se aplicaNão se aplicaNão se aplica",Mercado_Receita!$L$2:$L$1866)</f>
        <v>0</v>
      </c>
      <c r="N68" s="12">
        <f>SUMIF(Mercado_Receita!$S$2:$S$1866,"44440B4ConvencionalIluminação públicaIluminação pública – B4bNão se aplicaNão se aplicaPonta",Mercado_Receita!$L$2:$L$1866)+SUMIF(Mercado_Receita!$S$2:$S$1866,"44440B4ConvencionalIluminação públicaIluminação pública – B4bNão se aplicaNão se aplicaFora ponta",Mercado_Receita!$L$2:$L$1866)+SUMIF(Mercado_Receita!$S$2:$S$1866,"44440B4ConvencionalIluminação públicaIluminação pública – B4bNão se aplicaNão se aplicaIntermediário",Mercado_Receita!$L$2:$L$1866)+SUMIF(Mercado_Receita!$S$2:$S$1866,"44440B4ConvencionalIluminação públicaIluminação pública – B4bNão se aplicaNão se aplicaNão se aplica",Mercado_Receita!$L$2:$L$1866)</f>
        <v>0</v>
      </c>
      <c r="O68" s="12">
        <f>SUMIF(Mercado_Receita!$S$2:$S$1866,"44470B4ConvencionalIluminação públicaIluminação pública – B4bNão se aplicaNão se aplicaPonta",Mercado_Receita!$L$2:$L$1866)+SUMIF(Mercado_Receita!$S$2:$S$1866,"44470B4ConvencionalIluminação públicaIluminação pública – B4bNão se aplicaNão se aplicaFora ponta",Mercado_Receita!$L$2:$L$1866)+SUMIF(Mercado_Receita!$S$2:$S$1866,"44470B4ConvencionalIluminação públicaIluminação pública – B4bNão se aplicaNão se aplicaIntermediário",Mercado_Receita!$L$2:$L$1866)+SUMIF(Mercado_Receita!$S$2:$S$1866,"44470B4ConvencionalIluminação públicaIluminação pública – B4bNão se aplicaNão se aplicaNão se aplica",Mercado_Receita!$L$2:$L$1866)</f>
        <v>0</v>
      </c>
      <c r="P68" s="12">
        <f>SUMIF(Mercado_Receita!$S$2:$S$1866,"44501B4ConvencionalIluminação públicaIluminação pública – B4bNão se aplicaNão se aplicaPonta",Mercado_Receita!$L$2:$L$1866)+SUMIF(Mercado_Receita!$S$2:$S$1866,"44501B4ConvencionalIluminação públicaIluminação pública – B4bNão se aplicaNão se aplicaFora ponta",Mercado_Receita!$L$2:$L$1866)+SUMIF(Mercado_Receita!$S$2:$S$1866,"44501B4ConvencionalIluminação públicaIluminação pública – B4bNão se aplicaNão se aplicaIntermediário",Mercado_Receita!$L$2:$L$1866)+SUMIF(Mercado_Receita!$S$2:$S$1866,"44501B4ConvencionalIluminação públicaIluminação pública – B4bNão se aplicaNão se aplicaNão se aplica",Mercado_Receita!$L$2:$L$1866)</f>
        <v>0</v>
      </c>
      <c r="Q68" s="12">
        <f>SUMIF(Mercado_Receita!$S$2:$S$1866,"44531B4ConvencionalIluminação públicaIluminação pública – B4bNão se aplicaNão se aplicaPonta",Mercado_Receita!$L$2:$L$1866)+SUMIF(Mercado_Receita!$S$2:$S$1866,"44531B4ConvencionalIluminação públicaIluminação pública – B4bNão se aplicaNão se aplicaFora ponta",Mercado_Receita!$L$2:$L$1866)+SUMIF(Mercado_Receita!$S$2:$S$1866,"44531B4ConvencionalIluminação públicaIluminação pública – B4bNão se aplicaNão se aplicaIntermediário",Mercado_Receita!$L$2:$L$1866)+SUMIF(Mercado_Receita!$S$2:$S$1866,"44531B4ConvencionalIluminação públicaIluminação pública – B4bNão se aplicaNão se aplicaNão se aplica",Mercado_Receita!$L$2:$L$1866)</f>
        <v>0</v>
      </c>
      <c r="R68" s="12">
        <f>SUMIF(Mercado_Receita!$S$2:$S$1866,"44562B4ConvencionalIluminação públicaIluminação pública – B4bNão se aplicaNão se aplicaPonta",Mercado_Receita!$L$2:$L$1866)+SUMIF(Mercado_Receita!$S$2:$S$1866,"44562B4ConvencionalIluminação públicaIluminação pública – B4bNão se aplicaNão se aplicaFora ponta",Mercado_Receita!$L$2:$L$1866)+SUMIF(Mercado_Receita!$S$2:$S$1866,"44562B4ConvencionalIluminação públicaIluminação pública – B4bNão se aplicaNão se aplicaIntermediário",Mercado_Receita!$L$2:$L$1866)+SUMIF(Mercado_Receita!$S$2:$S$1866,"44562B4ConvencionalIluminação públicaIluminação pública – B4bNão se aplicaNão se aplicaNão se aplica",Mercado_Receita!$L$2:$L$1866)</f>
        <v>0</v>
      </c>
      <c r="S68" s="12">
        <f>SUMIF(Mercado_Receita!$S$2:$S$1866,"44593B4ConvencionalIluminação públicaIluminação pública – B4bNão se aplicaNão se aplicaPonta",Mercado_Receita!$L$2:$L$1866)+SUMIF(Mercado_Receita!$S$2:$S$1866,"44593B4ConvencionalIluminação públicaIluminação pública – B4bNão se aplicaNão se aplicaFora ponta",Mercado_Receita!$L$2:$L$1866)+SUMIF(Mercado_Receita!$S$2:$S$1866,"44593B4ConvencionalIluminação públicaIluminação pública – B4bNão se aplicaNão se aplicaIntermediário",Mercado_Receita!$L$2:$L$1866)+SUMIF(Mercado_Receita!$S$2:$S$1866,"44593B4ConvencionalIluminação públicaIluminação pública – B4bNão se aplicaNão se aplicaNão se aplica",Mercado_Receita!$L$2:$L$1866)</f>
        <v>0</v>
      </c>
      <c r="T68" s="12">
        <f>SUMIF(Mercado_Receita!$S$2:$S$1866,"44621B4ConvencionalIluminação públicaIluminação pública – B4bNão se aplicaNão se aplicaPonta",Mercado_Receita!$L$2:$L$1866)+SUMIF(Mercado_Receita!$S$2:$S$1866,"44621B4ConvencionalIluminação públicaIluminação pública – B4bNão se aplicaNão se aplicaFora ponta",Mercado_Receita!$L$2:$L$1866)+SUMIF(Mercado_Receita!$S$2:$S$1866,"44621B4ConvencionalIluminação públicaIluminação pública – B4bNão se aplicaNão se aplicaIntermediário",Mercado_Receita!$L$2:$L$1866)+SUMIF(Mercado_Receita!$S$2:$S$1866,"44621B4ConvencionalIluminação públicaIluminação pública – B4bNão se aplicaNão se aplicaNão se aplica",Mercado_Receita!$L$2:$L$1866)</f>
        <v>0</v>
      </c>
      <c r="U68" s="12">
        <f t="shared" si="2"/>
        <v>0</v>
      </c>
      <c r="V68" s="12"/>
      <c r="W68" s="12"/>
    </row>
    <row r="69" spans="1:23" ht="11.25" customHeight="1" x14ac:dyDescent="0.25">
      <c r="A69" s="91" t="s">
        <v>857</v>
      </c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12"/>
      <c r="W69" s="12"/>
    </row>
  </sheetData>
  <mergeCells count="74">
    <mergeCell ref="A67:A68"/>
    <mergeCell ref="B67:B68"/>
    <mergeCell ref="C67:C68"/>
    <mergeCell ref="A69:U69"/>
    <mergeCell ref="C59:C61"/>
    <mergeCell ref="B59:B61"/>
    <mergeCell ref="A47:A61"/>
    <mergeCell ref="F62:F64"/>
    <mergeCell ref="E62:E64"/>
    <mergeCell ref="D62:D64"/>
    <mergeCell ref="C62:C64"/>
    <mergeCell ref="B62:B64"/>
    <mergeCell ref="A62:A66"/>
    <mergeCell ref="F51:F53"/>
    <mergeCell ref="E51:E53"/>
    <mergeCell ref="D51:D53"/>
    <mergeCell ref="C51:C53"/>
    <mergeCell ref="B51:B53"/>
    <mergeCell ref="F55:F57"/>
    <mergeCell ref="E55:E57"/>
    <mergeCell ref="D55:D57"/>
    <mergeCell ref="C55:C57"/>
    <mergeCell ref="B55:B57"/>
    <mergeCell ref="C37:C41"/>
    <mergeCell ref="B37:B41"/>
    <mergeCell ref="C42:C46"/>
    <mergeCell ref="B42:B46"/>
    <mergeCell ref="A34:A46"/>
    <mergeCell ref="F47:F49"/>
    <mergeCell ref="E47:E49"/>
    <mergeCell ref="D47:D49"/>
    <mergeCell ref="C47:C49"/>
    <mergeCell ref="B47:B49"/>
    <mergeCell ref="D32:D33"/>
    <mergeCell ref="C32:C33"/>
    <mergeCell ref="B32:B33"/>
    <mergeCell ref="A32:A33"/>
    <mergeCell ref="F34:F36"/>
    <mergeCell ref="E34:E36"/>
    <mergeCell ref="D34:D36"/>
    <mergeCell ref="C34:C36"/>
    <mergeCell ref="B34:B36"/>
    <mergeCell ref="B6:B8"/>
    <mergeCell ref="F30:F31"/>
    <mergeCell ref="E30:E31"/>
    <mergeCell ref="D27:D31"/>
    <mergeCell ref="C27:C31"/>
    <mergeCell ref="B27:B31"/>
    <mergeCell ref="C14:C25"/>
    <mergeCell ref="B14:B25"/>
    <mergeCell ref="F27:F29"/>
    <mergeCell ref="E27:E29"/>
    <mergeCell ref="F14:F16"/>
    <mergeCell ref="F17:F19"/>
    <mergeCell ref="F20:F22"/>
    <mergeCell ref="F23:F25"/>
    <mergeCell ref="E14:E25"/>
    <mergeCell ref="D14:D25"/>
    <mergeCell ref="A2:A9"/>
    <mergeCell ref="F10:F12"/>
    <mergeCell ref="E10:E12"/>
    <mergeCell ref="D10:D13"/>
    <mergeCell ref="C10:C13"/>
    <mergeCell ref="B10:B13"/>
    <mergeCell ref="A10:A31"/>
    <mergeCell ref="F2:F4"/>
    <mergeCell ref="E2:E4"/>
    <mergeCell ref="D2:D5"/>
    <mergeCell ref="C2:C5"/>
    <mergeCell ref="B2:B5"/>
    <mergeCell ref="F6:F8"/>
    <mergeCell ref="E6:E8"/>
    <mergeCell ref="D6:D8"/>
    <mergeCell ref="C6:C8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F18-BCC1-4BCD-AEB9-26ED3D6E3144}">
  <dimension ref="A1:AD48"/>
  <sheetViews>
    <sheetView showGridLines="0" topLeftCell="E1" workbookViewId="0">
      <selection activeCell="Z10" sqref="Z1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83</v>
      </c>
      <c r="B1" s="10" t="s">
        <v>84</v>
      </c>
      <c r="C1" s="10" t="s">
        <v>85</v>
      </c>
      <c r="D1" s="10" t="s">
        <v>86</v>
      </c>
      <c r="E1" s="10" t="s">
        <v>87</v>
      </c>
      <c r="F1" s="10" t="s">
        <v>88</v>
      </c>
      <c r="G1" s="10" t="s">
        <v>89</v>
      </c>
      <c r="H1" s="10" t="s">
        <v>90</v>
      </c>
      <c r="I1" s="11">
        <v>44287</v>
      </c>
      <c r="J1" s="11">
        <v>44317</v>
      </c>
      <c r="K1" s="11">
        <v>44348</v>
      </c>
      <c r="L1" s="11">
        <v>44378</v>
      </c>
      <c r="M1" s="11">
        <v>44409</v>
      </c>
      <c r="N1" s="11">
        <v>44440</v>
      </c>
      <c r="O1" s="11">
        <v>44470</v>
      </c>
      <c r="P1" s="11">
        <v>44501</v>
      </c>
      <c r="Q1" s="11">
        <v>44531</v>
      </c>
      <c r="R1" s="11">
        <v>44562</v>
      </c>
      <c r="S1" s="11">
        <v>44593</v>
      </c>
      <c r="T1" s="11">
        <v>44621</v>
      </c>
      <c r="U1" s="10" t="s">
        <v>91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9" t="s">
        <v>39</v>
      </c>
      <c r="B2" s="89" t="s">
        <v>92</v>
      </c>
      <c r="C2" s="89" t="s">
        <v>25</v>
      </c>
      <c r="D2" s="89" t="s">
        <v>25</v>
      </c>
      <c r="E2" s="89" t="s">
        <v>25</v>
      </c>
      <c r="F2" s="89" t="s">
        <v>25</v>
      </c>
      <c r="G2" s="12" t="s">
        <v>94</v>
      </c>
      <c r="H2" s="12" t="s">
        <v>93</v>
      </c>
      <c r="I2" s="12">
        <f>SUMIF(Mercado_Receita!$T$2:$T$1866,"44287A3Energia horáriaNão se aplicaNão se aplicaNão se aplicaNão se aplicaPonta",Mercado_Receita!$N$2:$N$1866)</f>
        <v>562.30999999999995</v>
      </c>
      <c r="J2" s="12">
        <f>SUMIF(Mercado_Receita!$T$2:$T$1866,"44317A3Energia horáriaNão se aplicaNão se aplicaNão se aplicaNão se aplicaPonta",Mercado_Receita!$N$2:$N$1866)</f>
        <v>592.67399999999998</v>
      </c>
      <c r="K2" s="12">
        <f>SUMIF(Mercado_Receita!$T$2:$T$1866,"44348A3Energia horáriaNão se aplicaNão se aplicaNão se aplicaNão se aplicaPonta",Mercado_Receita!$N$2:$N$1866)</f>
        <v>592.76700000000005</v>
      </c>
      <c r="L2" s="12">
        <f>SUMIF(Mercado_Receita!$T$2:$T$1866,"44378A3Energia horáriaNão se aplicaNão se aplicaNão se aplicaNão se aplicaPonta",Mercado_Receita!$N$2:$N$1866)</f>
        <v>593.57799999999997</v>
      </c>
      <c r="M2" s="12">
        <f>SUMIF(Mercado_Receita!$T$2:$T$1866,"44409A3Energia horáriaNão se aplicaNão se aplicaNão se aplicaNão se aplicaPonta",Mercado_Receita!$N$2:$N$1866)</f>
        <v>361.488</v>
      </c>
      <c r="N2" s="12">
        <f>SUMIF(Mercado_Receita!$T$2:$T$1866,"44440A3Energia horáriaNão se aplicaNão se aplicaNão se aplicaNão se aplicaPonta",Mercado_Receita!$N$2:$N$1866)</f>
        <v>337.77699999999999</v>
      </c>
      <c r="O2" s="12">
        <f>SUMIF(Mercado_Receita!$T$2:$T$1866,"44470A3Energia horáriaNão se aplicaNão se aplicaNão se aplicaNão se aplicaPonta",Mercado_Receita!$N$2:$N$1866)</f>
        <v>335.51299999999998</v>
      </c>
      <c r="P2" s="12">
        <f>SUMIF(Mercado_Receita!$T$2:$T$1866,"44501A3Energia horáriaNão se aplicaNão se aplicaNão se aplicaNão se aplicaPonta",Mercado_Receita!$N$2:$N$1866)</f>
        <v>316.55</v>
      </c>
      <c r="Q2" s="12">
        <f>SUMIF(Mercado_Receita!$T$2:$T$1866,"44531A3Energia horáriaNão se aplicaNão se aplicaNão se aplicaNão se aplicaPonta",Mercado_Receita!$N$2:$N$1866)</f>
        <v>337.37299999999999</v>
      </c>
      <c r="R2" s="12">
        <f>SUMIF(Mercado_Receita!$T$2:$T$1866,"44562A3Energia horáriaNão se aplicaNão se aplicaNão se aplicaNão se aplicaPonta",Mercado_Receita!$N$2:$N$1866)</f>
        <v>265.35000000000002</v>
      </c>
      <c r="S2" s="12">
        <f>SUMIF(Mercado_Receita!$T$2:$T$1866,"44593A3Energia horáriaNão se aplicaNão se aplicaNão se aplicaNão se aplicaPonta",Mercado_Receita!$N$2:$N$1866)</f>
        <v>265.74900000000002</v>
      </c>
      <c r="T2" s="12">
        <f>SUMIF(Mercado_Receita!$T$2:$T$1866,"44621A3Energia horáriaNão se aplicaNão se aplicaNão se aplicaNão se aplicaPonta",Mercado_Receita!$N$2:$N$1866)</f>
        <v>265.74900000000002</v>
      </c>
      <c r="U2" s="12">
        <f t="shared" ref="U2:U47" si="0">SUM(I2:T2)</f>
        <v>4826.8779999999997</v>
      </c>
      <c r="V2" s="12"/>
      <c r="W2" s="12"/>
    </row>
    <row r="3" spans="1:30" ht="11.25" customHeight="1" x14ac:dyDescent="0.25">
      <c r="A3" s="90"/>
      <c r="B3" s="90"/>
      <c r="C3" s="90"/>
      <c r="D3" s="90"/>
      <c r="E3" s="90"/>
      <c r="F3" s="90"/>
      <c r="G3" s="12" t="s">
        <v>95</v>
      </c>
      <c r="H3" s="12" t="s">
        <v>93</v>
      </c>
      <c r="I3" s="12">
        <f>SUMIF(Mercado_Receita!$T$2:$T$1866,"44287A3Energia horáriaNão se aplicaNão se aplicaNão se aplicaNão se aplicaFora ponta",Mercado_Receita!$N$2:$N$1866)</f>
        <v>11548.127</v>
      </c>
      <c r="J3" s="12">
        <f>SUMIF(Mercado_Receita!$T$2:$T$1866,"44317A3Energia horáriaNão se aplicaNão se aplicaNão se aplicaNão se aplicaFora ponta",Mercado_Receita!$N$2:$N$1866)</f>
        <v>10968.718000000001</v>
      </c>
      <c r="K3" s="12">
        <f>SUMIF(Mercado_Receita!$T$2:$T$1866,"44348A3Energia horáriaNão se aplicaNão se aplicaNão se aplicaNão se aplicaFora ponta",Mercado_Receita!$N$2:$N$1866)</f>
        <v>10296.437</v>
      </c>
      <c r="L3" s="12">
        <f>SUMIF(Mercado_Receita!$T$2:$T$1866,"44378A3Energia horáriaNão se aplicaNão se aplicaNão se aplicaNão se aplicaFora ponta",Mercado_Receita!$N$2:$N$1866)</f>
        <v>10700.692999999999</v>
      </c>
      <c r="M3" s="12">
        <f>SUMIF(Mercado_Receita!$T$2:$T$1866,"44409A3Energia horáriaNão se aplicaNão se aplicaNão se aplicaNão se aplicaFora ponta",Mercado_Receita!$N$2:$N$1866)</f>
        <v>4486.1290000000008</v>
      </c>
      <c r="N3" s="12">
        <f>SUMIF(Mercado_Receita!$T$2:$T$1866,"44440A3Energia horáriaNão se aplicaNão se aplicaNão se aplicaNão se aplicaFora ponta",Mercado_Receita!$N$2:$N$1866)</f>
        <v>4748.2709999999997</v>
      </c>
      <c r="O3" s="12">
        <f>SUMIF(Mercado_Receita!$T$2:$T$1866,"44470A3Energia horáriaNão se aplicaNão se aplicaNão se aplicaNão se aplicaFora ponta",Mercado_Receita!$N$2:$N$1866)</f>
        <v>5808.9949999999999</v>
      </c>
      <c r="P3" s="12">
        <f>SUMIF(Mercado_Receita!$T$2:$T$1866,"44501A3Energia horáriaNão se aplicaNão se aplicaNão se aplicaNão se aplicaFora ponta",Mercado_Receita!$N$2:$N$1866)</f>
        <v>6075.4930000000004</v>
      </c>
      <c r="Q3" s="12">
        <f>SUMIF(Mercado_Receita!$T$2:$T$1866,"44531A3Energia horáriaNão se aplicaNão se aplicaNão se aplicaNão se aplicaFora ponta",Mercado_Receita!$N$2:$N$1866)</f>
        <v>5603.5</v>
      </c>
      <c r="R3" s="12">
        <f>SUMIF(Mercado_Receita!$T$2:$T$1866,"44562A3Energia horáriaNão se aplicaNão se aplicaNão se aplicaNão se aplicaFora ponta",Mercado_Receita!$N$2:$N$1866)</f>
        <v>4278.6379999999999</v>
      </c>
      <c r="S3" s="12">
        <f>SUMIF(Mercado_Receita!$T$2:$T$1866,"44593A3Energia horáriaNão se aplicaNão se aplicaNão se aplicaNão se aplicaFora ponta",Mercado_Receita!$N$2:$N$1866)</f>
        <v>5566.0869999999995</v>
      </c>
      <c r="T3" s="12">
        <f>SUMIF(Mercado_Receita!$T$2:$T$1866,"44621A3Energia horáriaNão se aplicaNão se aplicaNão se aplicaNão se aplicaFora ponta",Mercado_Receita!$N$2:$N$1866)</f>
        <v>5566.0869999999995</v>
      </c>
      <c r="U3" s="12">
        <f t="shared" si="0"/>
        <v>85647.175000000017</v>
      </c>
      <c r="V3" s="12"/>
      <c r="W3" s="12"/>
    </row>
    <row r="4" spans="1:30" ht="11.25" customHeight="1" x14ac:dyDescent="0.25">
      <c r="A4" s="90"/>
      <c r="B4" s="13" t="s">
        <v>96</v>
      </c>
      <c r="C4" s="13" t="s">
        <v>25</v>
      </c>
      <c r="D4" s="13" t="s">
        <v>25</v>
      </c>
      <c r="E4" s="13" t="s">
        <v>97</v>
      </c>
      <c r="F4" s="13" t="s">
        <v>25</v>
      </c>
      <c r="G4" s="12" t="s">
        <v>98</v>
      </c>
      <c r="H4" s="12" t="s">
        <v>93</v>
      </c>
      <c r="I4" s="12">
        <f>SUMIF(Mercado_Receita!$T$2:$T$1866,"44287A3Energia suprimento concessionáriaNão se aplicaNão se aplica&lt;500GWhNão se aplicaNão se aplica",Mercado_Receita!$N$2:$N$1866)</f>
        <v>31409.545999999998</v>
      </c>
      <c r="J4" s="12">
        <f>SUMIF(Mercado_Receita!$T$2:$T$1866,"44317A3Energia suprimento concessionáriaNão se aplicaNão se aplica&lt;500GWhNão se aplicaNão se aplica",Mercado_Receita!$N$2:$N$1866)</f>
        <v>28670.883999999998</v>
      </c>
      <c r="K4" s="12">
        <f>SUMIF(Mercado_Receita!$T$2:$T$1866,"44348A3Energia suprimento concessionáriaNão se aplicaNão se aplica&lt;500GWhNão se aplicaNão se aplica",Mercado_Receita!$N$2:$N$1866)</f>
        <v>27604.213</v>
      </c>
      <c r="L4" s="12">
        <f>SUMIF(Mercado_Receita!$T$2:$T$1866,"44378A3Energia suprimento concessionáriaNão se aplicaNão se aplica&lt;500GWhNão se aplicaNão se aplica",Mercado_Receita!$N$2:$N$1866)</f>
        <v>26724.085999999999</v>
      </c>
      <c r="M4" s="12">
        <f>SUMIF(Mercado_Receita!$T$2:$T$1866,"44409A3Energia suprimento concessionáriaNão se aplicaNão se aplica&lt;500GWhNão se aplicaNão se aplica",Mercado_Receita!$N$2:$N$1866)</f>
        <v>26608.66</v>
      </c>
      <c r="N4" s="12">
        <f>SUMIF(Mercado_Receita!$T$2:$T$1866,"44440A3Energia suprimento concessionáriaNão se aplicaNão se aplica&lt;500GWhNão se aplicaNão se aplica",Mercado_Receita!$N$2:$N$1866)</f>
        <v>26590.552</v>
      </c>
      <c r="O4" s="12">
        <f>SUMIF(Mercado_Receita!$T$2:$T$1866,"44470A3Energia suprimento concessionáriaNão se aplicaNão se aplica&lt;500GWhNão se aplicaNão se aplica",Mercado_Receita!$N$2:$N$1866)</f>
        <v>27481.698</v>
      </c>
      <c r="P4" s="12">
        <f>SUMIF(Mercado_Receita!$T$2:$T$1866,"44501A3Energia suprimento concessionáriaNão se aplicaNão se aplica&lt;500GWhNão se aplicaNão se aplica",Mercado_Receita!$N$2:$N$1866)</f>
        <v>30223.920999999998</v>
      </c>
      <c r="Q4" s="12">
        <f>SUMIF(Mercado_Receita!$T$2:$T$1866,"44531A3Energia suprimento concessionáriaNão se aplicaNão se aplica&lt;500GWhNão se aplicaNão se aplica",Mercado_Receita!$N$2:$N$1866)</f>
        <v>29399.271000000001</v>
      </c>
      <c r="R4" s="12">
        <f>SUMIF(Mercado_Receita!$T$2:$T$1866,"44562A3Energia suprimento concessionáriaNão se aplicaNão se aplica&lt;500GWhNão se aplicaNão se aplica",Mercado_Receita!$N$2:$N$1866)</f>
        <v>31222.739000000001</v>
      </c>
      <c r="S4" s="12">
        <f>SUMIF(Mercado_Receita!$T$2:$T$1866,"44593A3Energia suprimento concessionáriaNão se aplicaNão se aplica&lt;500GWhNão se aplicaNão se aplica",Mercado_Receita!$N$2:$N$1866)</f>
        <v>0</v>
      </c>
      <c r="T4" s="12">
        <f>SUMIF(Mercado_Receita!$T$2:$T$1866,"44621A3Energia suprimento concessionáriaNão se aplicaNão se aplica&lt;500GWhNão se aplicaNão se aplica",Mercado_Receita!$N$2:$N$1866)</f>
        <v>0</v>
      </c>
      <c r="U4" s="12">
        <f t="shared" si="0"/>
        <v>285935.57</v>
      </c>
      <c r="V4" s="12"/>
      <c r="W4" s="12"/>
    </row>
    <row r="5" spans="1:30" ht="11.25" customHeight="1" x14ac:dyDescent="0.25">
      <c r="A5" s="90"/>
      <c r="B5" s="13" t="s">
        <v>102</v>
      </c>
      <c r="C5" s="13" t="s">
        <v>25</v>
      </c>
      <c r="D5" s="13" t="s">
        <v>25</v>
      </c>
      <c r="E5" s="13" t="s">
        <v>97</v>
      </c>
      <c r="F5" s="13" t="s">
        <v>25</v>
      </c>
      <c r="G5" s="12" t="s">
        <v>98</v>
      </c>
      <c r="H5" s="12" t="s">
        <v>93</v>
      </c>
      <c r="I5" s="12">
        <f>SUMIF(Mercado_Receita!$T$2:$T$1866,"44287A3Energia suprimento permissionáriaNão se aplicaNão se aplica&lt;500GWhNão se aplicaNão se aplica",Mercado_Receita!$N$2:$N$1866)</f>
        <v>0</v>
      </c>
      <c r="J5" s="12">
        <f>SUMIF(Mercado_Receita!$T$2:$T$1866,"44317A3Energia suprimento permissionáriaNão se aplicaNão se aplica&lt;500GWhNão se aplicaNão se aplica",Mercado_Receita!$N$2:$N$1866)</f>
        <v>0</v>
      </c>
      <c r="K5" s="12">
        <f>SUMIF(Mercado_Receita!$T$2:$T$1866,"44348A3Energia suprimento permissionáriaNão se aplicaNão se aplica&lt;500GWhNão se aplicaNão se aplica",Mercado_Receita!$N$2:$N$1866)</f>
        <v>0</v>
      </c>
      <c r="L5" s="12">
        <f>SUMIF(Mercado_Receita!$T$2:$T$1866,"44378A3Energia suprimento permissionáriaNão se aplicaNão se aplica&lt;500GWhNão se aplicaNão se aplica",Mercado_Receita!$N$2:$N$1866)</f>
        <v>0</v>
      </c>
      <c r="M5" s="12">
        <f>SUMIF(Mercado_Receita!$T$2:$T$1866,"44409A3Energia suprimento permissionáriaNão se aplicaNão se aplica&lt;500GWhNão se aplicaNão se aplica",Mercado_Receita!$N$2:$N$1866)</f>
        <v>0</v>
      </c>
      <c r="N5" s="12">
        <f>SUMIF(Mercado_Receita!$T$2:$T$1866,"44440A3Energia suprimento permissionáriaNão se aplicaNão se aplica&lt;500GWhNão se aplicaNão se aplica",Mercado_Receita!$N$2:$N$1866)</f>
        <v>0</v>
      </c>
      <c r="O5" s="12">
        <f>SUMIF(Mercado_Receita!$T$2:$T$1866,"44470A3Energia suprimento permissionáriaNão se aplicaNão se aplica&lt;500GWhNão se aplicaNão se aplica",Mercado_Receita!$N$2:$N$1866)</f>
        <v>0</v>
      </c>
      <c r="P5" s="12">
        <f>SUMIF(Mercado_Receita!$T$2:$T$1866,"44501A3Energia suprimento permissionáriaNão se aplicaNão se aplica&lt;500GWhNão se aplicaNão se aplica",Mercado_Receita!$N$2:$N$1866)</f>
        <v>0</v>
      </c>
      <c r="Q5" s="12">
        <f>SUMIF(Mercado_Receita!$T$2:$T$1866,"44531A3Energia suprimento permissionáriaNão se aplicaNão se aplica&lt;500GWhNão se aplicaNão se aplica",Mercado_Receita!$N$2:$N$1866)</f>
        <v>0</v>
      </c>
      <c r="R5" s="12">
        <f>SUMIF(Mercado_Receita!$T$2:$T$1866,"44562A3Energia suprimento permissionáriaNão se aplicaNão se aplica&lt;500GWhNão se aplicaNão se aplica",Mercado_Receita!$N$2:$N$1866)</f>
        <v>0</v>
      </c>
      <c r="S5" s="12">
        <f>SUMIF(Mercado_Receita!$T$2:$T$1866,"44593A3Energia suprimento permissionáriaNão se aplicaNão se aplica&lt;500GWhNão se aplicaNão se aplica",Mercado_Receita!$N$2:$N$1866)</f>
        <v>0</v>
      </c>
      <c r="T5" s="12">
        <f>SUMIF(Mercado_Receita!$T$2:$T$1866,"44621A3Energia suprimento permissionáriaNão se aplicaNão se aplica&lt;500GWhNão se aplicaNão se aplica",Mercado_Receita!$N$2:$N$1866)</f>
        <v>0</v>
      </c>
      <c r="U5" s="12">
        <f t="shared" si="0"/>
        <v>0</v>
      </c>
      <c r="V5" s="12"/>
      <c r="W5" s="12"/>
    </row>
    <row r="6" spans="1:30" ht="11.25" customHeight="1" x14ac:dyDescent="0.25">
      <c r="A6" s="90"/>
      <c r="B6" s="13" t="s">
        <v>96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98</v>
      </c>
      <c r="H6" s="12" t="s">
        <v>93</v>
      </c>
      <c r="I6" s="12">
        <f>SUMIF(Mercado_Receita!$T$2:$T$1866,"44287A3Energia suprimento concessionáriaNão se aplicaNão se aplicaNão se aplicaNão se aplicaNão se aplica",Mercado_Receita!$N$2:$N$1866)</f>
        <v>0</v>
      </c>
      <c r="J6" s="12">
        <f>SUMIF(Mercado_Receita!$T$2:$T$1866,"44317A3Energia suprimento concessionáriaNão se aplicaNão se aplicaNão se aplicaNão se aplicaNão se aplica",Mercado_Receita!$N$2:$N$1866)</f>
        <v>0</v>
      </c>
      <c r="K6" s="12">
        <f>SUMIF(Mercado_Receita!$T$2:$T$1866,"44348A3Energia suprimento concessionáriaNão se aplicaNão se aplicaNão se aplicaNão se aplicaNão se aplica",Mercado_Receita!$N$2:$N$1866)</f>
        <v>0</v>
      </c>
      <c r="L6" s="12">
        <f>SUMIF(Mercado_Receita!$T$2:$T$1866,"44378A3Energia suprimento concessionáriaNão se aplicaNão se aplicaNão se aplicaNão se aplicaNão se aplica",Mercado_Receita!$N$2:$N$1866)</f>
        <v>0</v>
      </c>
      <c r="M6" s="12">
        <f>SUMIF(Mercado_Receita!$T$2:$T$1866,"44409A3Energia suprimento concessionáriaNão se aplicaNão se aplicaNão se aplicaNão se aplicaNão se aplica",Mercado_Receita!$N$2:$N$1866)</f>
        <v>0</v>
      </c>
      <c r="N6" s="12">
        <f>SUMIF(Mercado_Receita!$T$2:$T$1866,"44440A3Energia suprimento concessionáriaNão se aplicaNão se aplicaNão se aplicaNão se aplicaNão se aplica",Mercado_Receita!$N$2:$N$1866)</f>
        <v>0</v>
      </c>
      <c r="O6" s="12">
        <f>SUMIF(Mercado_Receita!$T$2:$T$1866,"44470A3Energia suprimento concessionáriaNão se aplicaNão se aplicaNão se aplicaNão se aplicaNão se aplica",Mercado_Receita!$N$2:$N$1866)</f>
        <v>0</v>
      </c>
      <c r="P6" s="12">
        <f>SUMIF(Mercado_Receita!$T$2:$T$1866,"44501A3Energia suprimento concessionáriaNão se aplicaNão se aplicaNão se aplicaNão se aplicaNão se aplica",Mercado_Receita!$N$2:$N$1866)</f>
        <v>0</v>
      </c>
      <c r="Q6" s="12">
        <f>SUMIF(Mercado_Receita!$T$2:$T$1866,"44531A3Energia suprimento concessionáriaNão se aplicaNão se aplicaNão se aplicaNão se aplicaNão se aplica",Mercado_Receita!$N$2:$N$1866)</f>
        <v>0</v>
      </c>
      <c r="R6" s="12">
        <f>SUMIF(Mercado_Receita!$T$2:$T$1866,"44562A3Energia suprimento concessionáriaNão se aplicaNão se aplicaNão se aplicaNão se aplicaNão se aplica",Mercado_Receita!$N$2:$N$1866)</f>
        <v>0</v>
      </c>
      <c r="S6" s="12">
        <f>SUMIF(Mercado_Receita!$T$2:$T$1866,"44593A3Energia suprimento concessionáriaNão se aplicaNão se aplicaNão se aplicaNão se aplicaNão se aplica",Mercado_Receita!$N$2:$N$1866)</f>
        <v>0</v>
      </c>
      <c r="T6" s="12">
        <f>SUMIF(Mercado_Receita!$T$2:$T$1866,"44621A3Energia suprimento concessionáriaNão se aplicaNão se aplicaNão se aplicaNão se aplicaNão se aplica",Mercado_Receita!$N$2:$N$1866)</f>
        <v>0</v>
      </c>
      <c r="U6" s="12">
        <f t="shared" si="0"/>
        <v>0</v>
      </c>
      <c r="V6" s="12"/>
      <c r="W6" s="12"/>
    </row>
    <row r="7" spans="1:30" ht="11.25" customHeight="1" x14ac:dyDescent="0.25">
      <c r="A7" s="89" t="s">
        <v>41</v>
      </c>
      <c r="B7" s="89" t="s">
        <v>92</v>
      </c>
      <c r="C7" s="89" t="s">
        <v>25</v>
      </c>
      <c r="D7" s="89" t="s">
        <v>25</v>
      </c>
      <c r="E7" s="89" t="s">
        <v>25</v>
      </c>
      <c r="F7" s="89" t="s">
        <v>25</v>
      </c>
      <c r="G7" s="12" t="s">
        <v>94</v>
      </c>
      <c r="H7" s="12" t="s">
        <v>93</v>
      </c>
      <c r="I7" s="12">
        <f>SUMIF(Mercado_Receita!$T$2:$T$1866,"44287A4Energia horáriaNão se aplicaNão se aplicaNão se aplicaNão se aplicaPonta",Mercado_Receita!$N$2:$N$1866)</f>
        <v>2735.1779999999999</v>
      </c>
      <c r="J7" s="12">
        <f>SUMIF(Mercado_Receita!$T$2:$T$1866,"44317A4Energia horáriaNão se aplicaNão se aplicaNão se aplicaNão se aplicaPonta",Mercado_Receita!$N$2:$N$1866)</f>
        <v>2866.2979999999998</v>
      </c>
      <c r="K7" s="12">
        <f>SUMIF(Mercado_Receita!$T$2:$T$1866,"44348A4Energia horáriaNão se aplicaNão se aplicaNão se aplicaNão se aplicaPonta",Mercado_Receita!$N$2:$N$1866)</f>
        <v>2584.732</v>
      </c>
      <c r="L7" s="12">
        <f>SUMIF(Mercado_Receita!$T$2:$T$1866,"44378A4Energia horáriaNão se aplicaNão se aplicaNão se aplicaNão se aplicaPonta",Mercado_Receita!$N$2:$N$1866)</f>
        <v>2674.71</v>
      </c>
      <c r="M7" s="12">
        <f>SUMIF(Mercado_Receita!$T$2:$T$1866,"44409A4Energia horáriaNão se aplicaNão se aplicaNão se aplicaNão se aplicaPonta",Mercado_Receita!$N$2:$N$1866)</f>
        <v>2184.5030000000002</v>
      </c>
      <c r="N7" s="12">
        <f>SUMIF(Mercado_Receita!$T$2:$T$1866,"44440A4Energia horáriaNão se aplicaNão se aplicaNão se aplicaNão se aplicaPonta",Mercado_Receita!$N$2:$N$1866)</f>
        <v>2356.0210000000002</v>
      </c>
      <c r="O7" s="12">
        <f>SUMIF(Mercado_Receita!$T$2:$T$1866,"44470A4Energia horáriaNão se aplicaNão se aplicaNão se aplicaNão se aplicaPonta",Mercado_Receita!$N$2:$N$1866)</f>
        <v>2417.672</v>
      </c>
      <c r="P7" s="12">
        <f>SUMIF(Mercado_Receita!$T$2:$T$1866,"44501A4Energia horáriaNão se aplicaNão se aplicaNão se aplicaNão se aplicaPonta",Mercado_Receita!$N$2:$N$1866)</f>
        <v>2494.3540000000003</v>
      </c>
      <c r="Q7" s="12">
        <f>SUMIF(Mercado_Receita!$T$2:$T$1866,"44531A4Energia horáriaNão se aplicaNão se aplicaNão se aplicaNão se aplicaPonta",Mercado_Receita!$N$2:$N$1866)</f>
        <v>2632.4419999999996</v>
      </c>
      <c r="R7" s="12">
        <f>SUMIF(Mercado_Receita!$T$2:$T$1866,"44562A4Energia horáriaNão se aplicaNão se aplicaNão se aplicaNão se aplicaPonta",Mercado_Receita!$N$2:$N$1866)</f>
        <v>2620.9219999999991</v>
      </c>
      <c r="S7" s="12">
        <f>SUMIF(Mercado_Receita!$T$2:$T$1866,"44593A4Energia horáriaNão se aplicaNão se aplicaNão se aplicaNão se aplicaPonta",Mercado_Receita!$N$2:$N$1866)</f>
        <v>2492.1820000000002</v>
      </c>
      <c r="T7" s="12">
        <f>SUMIF(Mercado_Receita!$T$2:$T$1866,"44621A4Energia horáriaNão se aplicaNão se aplicaNão se aplicaNão se aplicaPonta",Mercado_Receita!$N$2:$N$1866)</f>
        <v>2492.1820000000002</v>
      </c>
      <c r="U7" s="12">
        <f t="shared" si="0"/>
        <v>30551.196</v>
      </c>
      <c r="V7" s="12"/>
      <c r="W7" s="12"/>
    </row>
    <row r="8" spans="1:30" ht="11.25" customHeight="1" x14ac:dyDescent="0.25">
      <c r="A8" s="90"/>
      <c r="B8" s="90"/>
      <c r="C8" s="90"/>
      <c r="D8" s="90"/>
      <c r="E8" s="90"/>
      <c r="F8" s="90"/>
      <c r="G8" s="12" t="s">
        <v>95</v>
      </c>
      <c r="H8" s="12" t="s">
        <v>93</v>
      </c>
      <c r="I8" s="12">
        <f>SUMIF(Mercado_Receita!$T$2:$T$1866,"44287A4Energia horáriaNão se aplicaNão se aplicaNão se aplicaNão se aplicaFora ponta",Mercado_Receita!$N$2:$N$1866)</f>
        <v>40444.487000000008</v>
      </c>
      <c r="J8" s="12">
        <f>SUMIF(Mercado_Receita!$T$2:$T$1866,"44317A4Energia horáriaNão se aplicaNão se aplicaNão se aplicaNão se aplicaFora ponta",Mercado_Receita!$N$2:$N$1866)</f>
        <v>37119.857999999986</v>
      </c>
      <c r="K8" s="12">
        <f>SUMIF(Mercado_Receita!$T$2:$T$1866,"44348A4Energia horáriaNão se aplicaNão se aplicaNão se aplicaNão se aplicaFora ponta",Mercado_Receita!$N$2:$N$1866)</f>
        <v>35270.559000000008</v>
      </c>
      <c r="L8" s="12">
        <f>SUMIF(Mercado_Receita!$T$2:$T$1866,"44378A4Energia horáriaNão se aplicaNão se aplicaNão se aplicaNão se aplicaFora ponta",Mercado_Receita!$N$2:$N$1866)</f>
        <v>35311.862000000001</v>
      </c>
      <c r="M8" s="12">
        <f>SUMIF(Mercado_Receita!$T$2:$T$1866,"44409A4Energia horáriaNão se aplicaNão se aplicaNão se aplicaNão se aplicaFora ponta",Mercado_Receita!$N$2:$N$1866)</f>
        <v>33706.57</v>
      </c>
      <c r="N8" s="12">
        <f>SUMIF(Mercado_Receita!$T$2:$T$1866,"44440A4Energia horáriaNão se aplicaNão se aplicaNão se aplicaNão se aplicaFora ponta",Mercado_Receita!$N$2:$N$1866)</f>
        <v>35250.682999999997</v>
      </c>
      <c r="O8" s="12">
        <f>SUMIF(Mercado_Receita!$T$2:$T$1866,"44470A4Energia horáriaNão se aplicaNão se aplicaNão se aplicaNão se aplicaFora ponta",Mercado_Receita!$N$2:$N$1866)</f>
        <v>38820.260999999999</v>
      </c>
      <c r="P8" s="12">
        <f>SUMIF(Mercado_Receita!$T$2:$T$1866,"44501A4Energia horáriaNão se aplicaNão se aplicaNão se aplicaNão se aplicaFora ponta",Mercado_Receita!$N$2:$N$1866)</f>
        <v>38651.674999999988</v>
      </c>
      <c r="Q8" s="12">
        <f>SUMIF(Mercado_Receita!$T$2:$T$1866,"44531A4Energia horáriaNão se aplicaNão se aplicaNão se aplicaNão se aplicaFora ponta",Mercado_Receita!$N$2:$N$1866)</f>
        <v>37403.003999999994</v>
      </c>
      <c r="R8" s="12">
        <f>SUMIF(Mercado_Receita!$T$2:$T$1866,"44562A4Energia horáriaNão se aplicaNão se aplicaNão se aplicaNão se aplicaFora ponta",Mercado_Receita!$N$2:$N$1866)</f>
        <v>38717.41599999999</v>
      </c>
      <c r="S8" s="12">
        <f>SUMIF(Mercado_Receita!$T$2:$T$1866,"44593A4Energia horáriaNão se aplicaNão se aplicaNão se aplicaNão se aplicaFora ponta",Mercado_Receita!$N$2:$N$1866)</f>
        <v>38001.517999999996</v>
      </c>
      <c r="T8" s="12">
        <f>SUMIF(Mercado_Receita!$T$2:$T$1866,"44621A4Energia horáriaNão se aplicaNão se aplicaNão se aplicaNão se aplicaFora ponta",Mercado_Receita!$N$2:$N$1866)</f>
        <v>38001.517999999996</v>
      </c>
      <c r="U8" s="12">
        <f t="shared" si="0"/>
        <v>446699.41099999991</v>
      </c>
      <c r="V8" s="12"/>
      <c r="W8" s="12"/>
    </row>
    <row r="9" spans="1:30" ht="11.25" customHeight="1" x14ac:dyDescent="0.25">
      <c r="A9" s="90"/>
      <c r="B9" s="13" t="s">
        <v>96</v>
      </c>
      <c r="C9" s="13" t="s">
        <v>25</v>
      </c>
      <c r="D9" s="13" t="s">
        <v>25</v>
      </c>
      <c r="E9" s="13" t="s">
        <v>97</v>
      </c>
      <c r="F9" s="13" t="s">
        <v>25</v>
      </c>
      <c r="G9" s="12" t="s">
        <v>98</v>
      </c>
      <c r="H9" s="12" t="s">
        <v>93</v>
      </c>
      <c r="I9" s="12">
        <f>SUMIF(Mercado_Receita!$T$2:$T$1866,"44287A4Energia suprimento concessionáriaNão se aplicaNão se aplica&lt;500GWhNão se aplicaNão se aplica",Mercado_Receita!$N$2:$N$1866)</f>
        <v>0</v>
      </c>
      <c r="J9" s="12">
        <f>SUMIF(Mercado_Receita!$T$2:$T$1866,"44317A4Energia suprimento concessionáriaNão se aplicaNão se aplica&lt;500GWhNão se aplicaNão se aplica",Mercado_Receita!$N$2:$N$1866)</f>
        <v>0</v>
      </c>
      <c r="K9" s="12">
        <f>SUMIF(Mercado_Receita!$T$2:$T$1866,"44348A4Energia suprimento concessionáriaNão se aplicaNão se aplica&lt;500GWhNão se aplicaNão se aplica",Mercado_Receita!$N$2:$N$1866)</f>
        <v>0</v>
      </c>
      <c r="L9" s="12">
        <f>SUMIF(Mercado_Receita!$T$2:$T$1866,"44378A4Energia suprimento concessionáriaNão se aplicaNão se aplica&lt;500GWhNão se aplicaNão se aplica",Mercado_Receita!$N$2:$N$1866)</f>
        <v>0</v>
      </c>
      <c r="M9" s="12">
        <f>SUMIF(Mercado_Receita!$T$2:$T$1866,"44409A4Energia suprimento concessionáriaNão se aplicaNão se aplica&lt;500GWhNão se aplicaNão se aplica",Mercado_Receita!$N$2:$N$1866)</f>
        <v>0</v>
      </c>
      <c r="N9" s="12">
        <f>SUMIF(Mercado_Receita!$T$2:$T$1866,"44440A4Energia suprimento concessionáriaNão se aplicaNão se aplica&lt;500GWhNão se aplicaNão se aplica",Mercado_Receita!$N$2:$N$1866)</f>
        <v>0</v>
      </c>
      <c r="O9" s="12">
        <f>SUMIF(Mercado_Receita!$T$2:$T$1866,"44470A4Energia suprimento concessionáriaNão se aplicaNão se aplica&lt;500GWhNão se aplicaNão se aplica",Mercado_Receita!$N$2:$N$1866)</f>
        <v>0</v>
      </c>
      <c r="P9" s="12">
        <f>SUMIF(Mercado_Receita!$T$2:$T$1866,"44501A4Energia suprimento concessionáriaNão se aplicaNão se aplica&lt;500GWhNão se aplicaNão se aplica",Mercado_Receita!$N$2:$N$1866)</f>
        <v>0</v>
      </c>
      <c r="Q9" s="12">
        <f>SUMIF(Mercado_Receita!$T$2:$T$1866,"44531A4Energia suprimento concessionáriaNão se aplicaNão se aplica&lt;500GWhNão se aplicaNão se aplica",Mercado_Receita!$N$2:$N$1866)</f>
        <v>0</v>
      </c>
      <c r="R9" s="12">
        <f>SUMIF(Mercado_Receita!$T$2:$T$1866,"44562A4Energia suprimento concessionáriaNão se aplicaNão se aplica&lt;500GWhNão se aplicaNão se aplica",Mercado_Receita!$N$2:$N$1866)</f>
        <v>0</v>
      </c>
      <c r="S9" s="12">
        <f>SUMIF(Mercado_Receita!$T$2:$T$1866,"44593A4Energia suprimento concessionáriaNão se aplicaNão se aplica&lt;500GWhNão se aplicaNão se aplica",Mercado_Receita!$N$2:$N$1866)</f>
        <v>-471.37</v>
      </c>
      <c r="T9" s="12">
        <f>SUMIF(Mercado_Receita!$T$2:$T$1866,"44621A4Energia suprimento concessionáriaNão se aplicaNão se aplica&lt;500GWhNão se aplicaNão se aplica",Mercado_Receita!$N$2:$N$1866)</f>
        <v>-471.37</v>
      </c>
      <c r="U9" s="12">
        <f t="shared" si="0"/>
        <v>-942.74</v>
      </c>
      <c r="V9" s="12"/>
      <c r="W9" s="12"/>
    </row>
    <row r="10" spans="1:30" ht="11.25" customHeight="1" x14ac:dyDescent="0.25">
      <c r="A10" s="90"/>
      <c r="B10" s="13" t="s">
        <v>103</v>
      </c>
      <c r="C10" s="13" t="s">
        <v>25</v>
      </c>
      <c r="D10" s="13" t="s">
        <v>25</v>
      </c>
      <c r="E10" s="13" t="s">
        <v>25</v>
      </c>
      <c r="F10" s="13" t="s">
        <v>25</v>
      </c>
      <c r="G10" s="12" t="s">
        <v>98</v>
      </c>
      <c r="H10" s="12" t="s">
        <v>93</v>
      </c>
      <c r="I10" s="12">
        <f>SUMIF(Mercado_Receita!$T$2:$T$1866,"44287A4Energia convencionalNão se aplicaNão se aplicaNão se aplicaNão se aplicaNão se aplica",Mercado_Receita!$N$2:$N$1866)</f>
        <v>0</v>
      </c>
      <c r="J10" s="12">
        <f>SUMIF(Mercado_Receita!$T$2:$T$1866,"44317A4Energia convencionalNão se aplicaNão se aplicaNão se aplicaNão se aplicaNão se aplica",Mercado_Receita!$N$2:$N$1866)</f>
        <v>0</v>
      </c>
      <c r="K10" s="12">
        <f>SUMIF(Mercado_Receita!$T$2:$T$1866,"44348A4Energia convencionalNão se aplicaNão se aplicaNão se aplicaNão se aplicaNão se aplica",Mercado_Receita!$N$2:$N$1866)</f>
        <v>0</v>
      </c>
      <c r="L10" s="12">
        <f>SUMIF(Mercado_Receita!$T$2:$T$1866,"44378A4Energia convencionalNão se aplicaNão se aplicaNão se aplicaNão se aplicaNão se aplica",Mercado_Receita!$N$2:$N$1866)</f>
        <v>0</v>
      </c>
      <c r="M10" s="12">
        <f>SUMIF(Mercado_Receita!$T$2:$T$1866,"44409A4Energia convencionalNão se aplicaNão se aplicaNão se aplicaNão se aplicaNão se aplica",Mercado_Receita!$N$2:$N$1866)</f>
        <v>0</v>
      </c>
      <c r="N10" s="12">
        <f>SUMIF(Mercado_Receita!$T$2:$T$1866,"44440A4Energia convencionalNão se aplicaNão se aplicaNão se aplicaNão se aplicaNão se aplica",Mercado_Receita!$N$2:$N$1866)</f>
        <v>0</v>
      </c>
      <c r="O10" s="12">
        <f>SUMIF(Mercado_Receita!$T$2:$T$1866,"44470A4Energia convencionalNão se aplicaNão se aplicaNão se aplicaNão se aplicaNão se aplica",Mercado_Receita!$N$2:$N$1866)</f>
        <v>0</v>
      </c>
      <c r="P10" s="12">
        <f>SUMIF(Mercado_Receita!$T$2:$T$1866,"44501A4Energia convencionalNão se aplicaNão se aplicaNão se aplicaNão se aplicaNão se aplica",Mercado_Receita!$N$2:$N$1866)</f>
        <v>0</v>
      </c>
      <c r="Q10" s="12">
        <f>SUMIF(Mercado_Receita!$T$2:$T$1866,"44531A4Energia convencionalNão se aplicaNão se aplicaNão se aplicaNão se aplicaNão se aplica",Mercado_Receita!$N$2:$N$1866)</f>
        <v>0</v>
      </c>
      <c r="R10" s="12">
        <f>SUMIF(Mercado_Receita!$T$2:$T$1866,"44562A4Energia convencionalNão se aplicaNão se aplicaNão se aplicaNão se aplicaNão se aplica",Mercado_Receita!$N$2:$N$1866)</f>
        <v>0</v>
      </c>
      <c r="S10" s="12">
        <f>SUMIF(Mercado_Receita!$T$2:$T$1866,"44593A4Energia convencionalNão se aplicaNão se aplicaNão se aplicaNão se aplicaNão se aplica",Mercado_Receita!$N$2:$N$1866)</f>
        <v>0</v>
      </c>
      <c r="T10" s="12">
        <f>SUMIF(Mercado_Receita!$T$2:$T$1866,"44621A4Energia convencionalNão se aplicaNão se aplicaNão se aplicaNão se aplicaNão se aplica",Mercado_Receita!$N$2:$N$1866)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90"/>
      <c r="B11" s="13" t="s">
        <v>102</v>
      </c>
      <c r="C11" s="13" t="s">
        <v>25</v>
      </c>
      <c r="D11" s="13" t="s">
        <v>25</v>
      </c>
      <c r="E11" s="13" t="s">
        <v>97</v>
      </c>
      <c r="F11" s="13" t="s">
        <v>25</v>
      </c>
      <c r="G11" s="12" t="s">
        <v>98</v>
      </c>
      <c r="H11" s="12" t="s">
        <v>93</v>
      </c>
      <c r="I11" s="12">
        <f>SUMIF(Mercado_Receita!$T$2:$T$1866,"44287A4Energia suprimento permissionáriaNão se aplicaNão se aplica&lt;500GWhNão se aplicaNão se aplica",Mercado_Receita!$N$2:$N$1866)</f>
        <v>1109.271</v>
      </c>
      <c r="J11" s="12">
        <f>SUMIF(Mercado_Receita!$T$2:$T$1866,"44317A4Energia suprimento permissionáriaNão se aplicaNão se aplica&lt;500GWhNão se aplicaNão se aplica",Mercado_Receita!$N$2:$N$1866)</f>
        <v>1022.86</v>
      </c>
      <c r="K11" s="12">
        <f>SUMIF(Mercado_Receita!$T$2:$T$1866,"44348A4Energia suprimento permissionáriaNão se aplicaNão se aplica&lt;500GWhNão se aplicaNão se aplica",Mercado_Receita!$N$2:$N$1866)</f>
        <v>1003.768</v>
      </c>
      <c r="L11" s="12">
        <f>SUMIF(Mercado_Receita!$T$2:$T$1866,"44378A4Energia suprimento permissionáriaNão se aplicaNão se aplica&lt;500GWhNão se aplicaNão se aplica",Mercado_Receita!$N$2:$N$1866)</f>
        <v>971.34299999999996</v>
      </c>
      <c r="M11" s="12">
        <f>SUMIF(Mercado_Receita!$T$2:$T$1866,"44409A4Energia suprimento permissionáriaNão se aplicaNão se aplica&lt;500GWhNão se aplicaNão se aplica",Mercado_Receita!$N$2:$N$1866)</f>
        <v>940.20299999999997</v>
      </c>
      <c r="N11" s="12">
        <f>SUMIF(Mercado_Receita!$T$2:$T$1866,"44440A4Energia suprimento permissionáriaNão se aplicaNão se aplica&lt;500GWhNão se aplicaNão se aplica",Mercado_Receita!$N$2:$N$1866)</f>
        <v>971.20899999999995</v>
      </c>
      <c r="O11" s="12">
        <f>SUMIF(Mercado_Receita!$T$2:$T$1866,"44470A4Energia suprimento permissionáriaNão se aplicaNão se aplica&lt;500GWhNão se aplicaNão se aplica",Mercado_Receita!$N$2:$N$1866)</f>
        <v>992.65</v>
      </c>
      <c r="P11" s="12">
        <f>SUMIF(Mercado_Receita!$T$2:$T$1866,"44501A4Energia suprimento permissionáriaNão se aplicaNão se aplica&lt;500GWhNão se aplicaNão se aplica",Mercado_Receita!$N$2:$N$1866)</f>
        <v>1101.4580000000001</v>
      </c>
      <c r="Q11" s="12">
        <f>SUMIF(Mercado_Receita!$T$2:$T$1866,"44531A4Energia suprimento permissionáriaNão se aplicaNão se aplica&lt;500GWhNão se aplicaNão se aplica",Mercado_Receita!$N$2:$N$1866)</f>
        <v>1078.0350000000001</v>
      </c>
      <c r="R11" s="12">
        <f>SUMIF(Mercado_Receita!$T$2:$T$1866,"44562A4Energia suprimento permissionáriaNão se aplicaNão se aplica&lt;500GWhNão se aplicaNão se aplica",Mercado_Receita!$N$2:$N$1866)</f>
        <v>1117.4259999999999</v>
      </c>
      <c r="S11" s="12">
        <f>SUMIF(Mercado_Receita!$T$2:$T$1866,"44593A4Energia suprimento permissionáriaNão se aplicaNão se aplica&lt;500GWhNão se aplicaNão se aplica",Mercado_Receita!$N$2:$N$1866)</f>
        <v>1144.837</v>
      </c>
      <c r="T11" s="12">
        <f>SUMIF(Mercado_Receita!$T$2:$T$1866,"44621A4Energia suprimento permissionáriaNão se aplicaNão se aplica&lt;500GWhNão se aplicaNão se aplica",Mercado_Receita!$N$2:$N$1866)</f>
        <v>1144.837</v>
      </c>
      <c r="U11" s="12">
        <f t="shared" si="0"/>
        <v>12597.896999999997</v>
      </c>
      <c r="V11" s="12"/>
      <c r="W11" s="12"/>
    </row>
    <row r="12" spans="1:30" ht="11.25" customHeight="1" x14ac:dyDescent="0.25">
      <c r="A12" s="90"/>
      <c r="B12" s="13" t="s">
        <v>96</v>
      </c>
      <c r="C12" s="13" t="s">
        <v>25</v>
      </c>
      <c r="D12" s="13" t="s">
        <v>25</v>
      </c>
      <c r="E12" s="13" t="s">
        <v>25</v>
      </c>
      <c r="F12" s="13" t="s">
        <v>25</v>
      </c>
      <c r="G12" s="12" t="s">
        <v>98</v>
      </c>
      <c r="H12" s="12" t="s">
        <v>93</v>
      </c>
      <c r="I12" s="12">
        <f>SUMIF(Mercado_Receita!$T$2:$T$1866,"44287A4Energia suprimento concessionáriaNão se aplicaNão se aplicaNão se aplicaNão se aplicaNão se aplica",Mercado_Receita!$N$2:$N$1866)</f>
        <v>0</v>
      </c>
      <c r="J12" s="12">
        <f>SUMIF(Mercado_Receita!$T$2:$T$1866,"44317A4Energia suprimento concessionáriaNão se aplicaNão se aplicaNão se aplicaNão se aplicaNão se aplica",Mercado_Receita!$N$2:$N$1866)</f>
        <v>0</v>
      </c>
      <c r="K12" s="12">
        <f>SUMIF(Mercado_Receita!$T$2:$T$1866,"44348A4Energia suprimento concessionáriaNão se aplicaNão se aplicaNão se aplicaNão se aplicaNão se aplica",Mercado_Receita!$N$2:$N$1866)</f>
        <v>0</v>
      </c>
      <c r="L12" s="12">
        <f>SUMIF(Mercado_Receita!$T$2:$T$1866,"44378A4Energia suprimento concessionáriaNão se aplicaNão se aplicaNão se aplicaNão se aplicaNão se aplica",Mercado_Receita!$N$2:$N$1866)</f>
        <v>0</v>
      </c>
      <c r="M12" s="12">
        <f>SUMIF(Mercado_Receita!$T$2:$T$1866,"44409A4Energia suprimento concessionáriaNão se aplicaNão se aplicaNão se aplicaNão se aplicaNão se aplica",Mercado_Receita!$N$2:$N$1866)</f>
        <v>0</v>
      </c>
      <c r="N12" s="12">
        <f>SUMIF(Mercado_Receita!$T$2:$T$1866,"44440A4Energia suprimento concessionáriaNão se aplicaNão se aplicaNão se aplicaNão se aplicaNão se aplica",Mercado_Receita!$N$2:$N$1866)</f>
        <v>0</v>
      </c>
      <c r="O12" s="12">
        <f>SUMIF(Mercado_Receita!$T$2:$T$1866,"44470A4Energia suprimento concessionáriaNão se aplicaNão se aplicaNão se aplicaNão se aplicaNão se aplica",Mercado_Receita!$N$2:$N$1866)</f>
        <v>0</v>
      </c>
      <c r="P12" s="12">
        <f>SUMIF(Mercado_Receita!$T$2:$T$1866,"44501A4Energia suprimento concessionáriaNão se aplicaNão se aplicaNão se aplicaNão se aplicaNão se aplica",Mercado_Receita!$N$2:$N$1866)</f>
        <v>0</v>
      </c>
      <c r="Q12" s="12">
        <f>SUMIF(Mercado_Receita!$T$2:$T$1866,"44531A4Energia suprimento concessionáriaNão se aplicaNão se aplicaNão se aplicaNão se aplicaNão se aplica",Mercado_Receita!$N$2:$N$1866)</f>
        <v>0</v>
      </c>
      <c r="R12" s="12">
        <f>SUMIF(Mercado_Receita!$T$2:$T$1866,"44562A4Energia suprimento concessionáriaNão se aplicaNão se aplicaNão se aplicaNão se aplicaNão se aplica",Mercado_Receita!$N$2:$N$1866)</f>
        <v>0</v>
      </c>
      <c r="S12" s="12">
        <f>SUMIF(Mercado_Receita!$T$2:$T$1866,"44593A4Energia suprimento concessionáriaNão se aplicaNão se aplicaNão se aplicaNão se aplicaNão se aplica",Mercado_Receita!$N$2:$N$1866)</f>
        <v>0</v>
      </c>
      <c r="T12" s="12">
        <f>SUMIF(Mercado_Receita!$T$2:$T$1866,"44621A4Energia suprimento concessionáriaNão se aplicaNão se aplicaNão se aplicaNão se aplicaNão se aplica",Mercado_Receita!$N$2:$N$1866)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89" t="s">
        <v>22</v>
      </c>
      <c r="B13" s="89" t="s">
        <v>92</v>
      </c>
      <c r="C13" s="89" t="s">
        <v>24</v>
      </c>
      <c r="D13" s="89" t="s">
        <v>24</v>
      </c>
      <c r="E13" s="89" t="s">
        <v>25</v>
      </c>
      <c r="F13" s="89" t="s">
        <v>25</v>
      </c>
      <c r="G13" s="12" t="s">
        <v>94</v>
      </c>
      <c r="H13" s="12" t="s">
        <v>93</v>
      </c>
      <c r="I13" s="12">
        <f>SUMIF(Mercado_Receita!$T$2:$T$1866,"44287B1Energia horáriaResidencialResidencialNão se aplicaNão se aplicaPonta",Mercado_Receita!$N$2:$N$1866)</f>
        <v>9.3249999999999993</v>
      </c>
      <c r="J13" s="12">
        <f>SUMIF(Mercado_Receita!$T$2:$T$1866,"44317B1Energia horáriaResidencialResidencialNão se aplicaNão se aplicaPonta",Mercado_Receita!$N$2:$N$1866)</f>
        <v>8.8550000000000004</v>
      </c>
      <c r="K13" s="12">
        <f>SUMIF(Mercado_Receita!$T$2:$T$1866,"44348B1Energia horáriaResidencialResidencialNão se aplicaNão se aplicaPonta",Mercado_Receita!$N$2:$N$1866)</f>
        <v>9.27</v>
      </c>
      <c r="L13" s="12">
        <f>SUMIF(Mercado_Receita!$T$2:$T$1866,"44378B1Energia horáriaResidencialResidencialNão se aplicaNão se aplicaPonta",Mercado_Receita!$N$2:$N$1866)</f>
        <v>8.9390000000000001</v>
      </c>
      <c r="M13" s="12">
        <f>SUMIF(Mercado_Receita!$T$2:$T$1866,"44409B1Energia horáriaResidencialResidencialNão se aplicaNão se aplicaPonta",Mercado_Receita!$N$2:$N$1866)</f>
        <v>8.645999999999999</v>
      </c>
      <c r="N13" s="12">
        <f>SUMIF(Mercado_Receita!$T$2:$T$1866,"44440B1Energia horáriaResidencialResidencialNão se aplicaNão se aplicaPonta",Mercado_Receita!$N$2:$N$1866)</f>
        <v>8.6740000000000013</v>
      </c>
      <c r="O13" s="12">
        <f>SUMIF(Mercado_Receita!$T$2:$T$1866,"44470B1Energia horáriaResidencialResidencialNão se aplicaNão se aplicaPonta",Mercado_Receita!$N$2:$N$1866)</f>
        <v>8.4589999999999996</v>
      </c>
      <c r="P13" s="12">
        <f>SUMIF(Mercado_Receita!$T$2:$T$1866,"44501B1Energia horáriaResidencialResidencialNão se aplicaNão se aplicaPonta",Mercado_Receita!$N$2:$N$1866)</f>
        <v>8.0250000000000004</v>
      </c>
      <c r="Q13" s="12">
        <f>SUMIF(Mercado_Receita!$T$2:$T$1866,"44531B1Energia horáriaResidencialResidencialNão se aplicaNão se aplicaPonta",Mercado_Receita!$N$2:$N$1866)</f>
        <v>10.873000000000001</v>
      </c>
      <c r="R13" s="12">
        <f>SUMIF(Mercado_Receita!$T$2:$T$1866,"44562B1Energia horáriaResidencialResidencialNão se aplicaNão se aplicaPonta",Mercado_Receita!$N$2:$N$1866)</f>
        <v>15.534000000000001</v>
      </c>
      <c r="S13" s="12">
        <f>SUMIF(Mercado_Receita!$T$2:$T$1866,"44593B1Energia horáriaResidencialResidencialNão se aplicaNão se aplicaPonta",Mercado_Receita!$N$2:$N$1866)</f>
        <v>10.909000000000001</v>
      </c>
      <c r="T13" s="12">
        <f>SUMIF(Mercado_Receita!$T$2:$T$1866,"44621B1Energia horáriaResidencialResidencialNão se aplicaNão se aplicaPonta",Mercado_Receita!$N$2:$N$1866)</f>
        <v>10.909000000000001</v>
      </c>
      <c r="U13" s="12">
        <f t="shared" si="0"/>
        <v>118.41800000000002</v>
      </c>
      <c r="V13" s="12"/>
      <c r="W13" s="12"/>
    </row>
    <row r="14" spans="1:30" ht="11.25" customHeight="1" x14ac:dyDescent="0.25">
      <c r="A14" s="90"/>
      <c r="B14" s="90"/>
      <c r="C14" s="90"/>
      <c r="D14" s="90"/>
      <c r="E14" s="90"/>
      <c r="F14" s="90"/>
      <c r="G14" s="12" t="s">
        <v>107</v>
      </c>
      <c r="H14" s="12" t="s">
        <v>93</v>
      </c>
      <c r="I14" s="12">
        <f>SUMIF(Mercado_Receita!$T$2:$T$1866,"44287B1Energia horáriaResidencialResidencialNão se aplicaNão se aplicaIntermediário",Mercado_Receita!$N$2:$N$1866)</f>
        <v>6.8439999999999994</v>
      </c>
      <c r="J14" s="12">
        <f>SUMIF(Mercado_Receita!$T$2:$T$1866,"44317B1Energia horáriaResidencialResidencialNão se aplicaNão se aplicaIntermediário",Mercado_Receita!$N$2:$N$1866)</f>
        <v>6.2729999999999997</v>
      </c>
      <c r="K14" s="12">
        <f>SUMIF(Mercado_Receita!$T$2:$T$1866,"44348B1Energia horáriaResidencialResidencialNão se aplicaNão se aplicaIntermediário",Mercado_Receita!$N$2:$N$1866)</f>
        <v>6.6049999999999995</v>
      </c>
      <c r="L14" s="12">
        <f>SUMIF(Mercado_Receita!$T$2:$T$1866,"44378B1Energia horáriaResidencialResidencialNão se aplicaNão se aplicaIntermediário",Mercado_Receita!$N$2:$N$1866)</f>
        <v>5.9409999999999998</v>
      </c>
      <c r="M14" s="12">
        <f>SUMIF(Mercado_Receita!$T$2:$T$1866,"44409B1Energia horáriaResidencialResidencialNão se aplicaNão se aplicaIntermediário",Mercado_Receita!$N$2:$N$1866)</f>
        <v>5.9079999999999995</v>
      </c>
      <c r="N14" s="12">
        <f>SUMIF(Mercado_Receita!$T$2:$T$1866,"44440B1Energia horáriaResidencialResidencialNão se aplicaNão se aplicaIntermediário",Mercado_Receita!$N$2:$N$1866)</f>
        <v>5.6550000000000002</v>
      </c>
      <c r="O14" s="12">
        <f>SUMIF(Mercado_Receita!$T$2:$T$1866,"44470B1Energia horáriaResidencialResidencialNão se aplicaNão se aplicaIntermediário",Mercado_Receita!$N$2:$N$1866)</f>
        <v>6.3419999999999996</v>
      </c>
      <c r="P14" s="12">
        <f>SUMIF(Mercado_Receita!$T$2:$T$1866,"44501B1Energia horáriaResidencialResidencialNão se aplicaNão se aplicaIntermediário",Mercado_Receita!$N$2:$N$1866)</f>
        <v>5.9009999999999998</v>
      </c>
      <c r="Q14" s="12">
        <f>SUMIF(Mercado_Receita!$T$2:$T$1866,"44531B1Energia horáriaResidencialResidencialNão se aplicaNão se aplicaIntermediário",Mercado_Receita!$N$2:$N$1866)</f>
        <v>6.452</v>
      </c>
      <c r="R14" s="12">
        <f>SUMIF(Mercado_Receita!$T$2:$T$1866,"44562B1Energia horáriaResidencialResidencialNão se aplicaNão se aplicaIntermediário",Mercado_Receita!$N$2:$N$1866)</f>
        <v>6.8389999999999995</v>
      </c>
      <c r="S14" s="12">
        <f>SUMIF(Mercado_Receita!$T$2:$T$1866,"44593B1Energia horáriaResidencialResidencialNão se aplicaNão se aplicaIntermediário",Mercado_Receita!$N$2:$N$1866)</f>
        <v>6.7929999999999993</v>
      </c>
      <c r="T14" s="12">
        <f>SUMIF(Mercado_Receita!$T$2:$T$1866,"44621B1Energia horáriaResidencialResidencialNão se aplicaNão se aplicaIntermediário",Mercado_Receita!$N$2:$N$1866)</f>
        <v>6.7929999999999993</v>
      </c>
      <c r="U14" s="12">
        <f t="shared" si="0"/>
        <v>76.346000000000004</v>
      </c>
      <c r="V14" s="12"/>
      <c r="W14" s="12"/>
    </row>
    <row r="15" spans="1:30" ht="11.25" customHeight="1" x14ac:dyDescent="0.25">
      <c r="A15" s="90"/>
      <c r="B15" s="90"/>
      <c r="C15" s="90"/>
      <c r="D15" s="90"/>
      <c r="E15" s="90"/>
      <c r="F15" s="90"/>
      <c r="G15" s="12" t="s">
        <v>95</v>
      </c>
      <c r="H15" s="12" t="s">
        <v>93</v>
      </c>
      <c r="I15" s="12">
        <f>SUMIF(Mercado_Receita!$T$2:$T$1866,"44287B1Energia horáriaResidencialResidencialNão se aplicaNão se aplicaFora ponta",Mercado_Receita!$N$2:$N$1866)</f>
        <v>127.96299999999999</v>
      </c>
      <c r="J15" s="12">
        <f>SUMIF(Mercado_Receita!$T$2:$T$1866,"44317B1Energia horáriaResidencialResidencialNão se aplicaNão se aplicaFora ponta",Mercado_Receita!$N$2:$N$1866)</f>
        <v>109.99799999999999</v>
      </c>
      <c r="K15" s="12">
        <f>SUMIF(Mercado_Receita!$T$2:$T$1866,"44348B1Energia horáriaResidencialResidencialNão se aplicaNão se aplicaFora ponta",Mercado_Receita!$N$2:$N$1866)</f>
        <v>102.83499999999999</v>
      </c>
      <c r="L15" s="12">
        <f>SUMIF(Mercado_Receita!$T$2:$T$1866,"44378B1Energia horáriaResidencialResidencialNão se aplicaNão se aplicaFora ponta",Mercado_Receita!$N$2:$N$1866)</f>
        <v>94.156000000000006</v>
      </c>
      <c r="M15" s="12">
        <f>SUMIF(Mercado_Receita!$T$2:$T$1866,"44409B1Energia horáriaResidencialResidencialNão se aplicaNão se aplicaFora ponta",Mercado_Receita!$N$2:$N$1866)</f>
        <v>92.573999999999998</v>
      </c>
      <c r="N15" s="12">
        <f>SUMIF(Mercado_Receita!$T$2:$T$1866,"44440B1Energia horáriaResidencialResidencialNão se aplicaNão se aplicaFora ponta",Mercado_Receita!$N$2:$N$1866)</f>
        <v>102.78</v>
      </c>
      <c r="O15" s="12">
        <f>SUMIF(Mercado_Receita!$T$2:$T$1866,"44470B1Energia horáriaResidencialResidencialNão se aplicaNão se aplicaFora ponta",Mercado_Receita!$N$2:$N$1866)</f>
        <v>211.94199999999998</v>
      </c>
      <c r="P15" s="12">
        <f>SUMIF(Mercado_Receita!$T$2:$T$1866,"44501B1Energia horáriaResidencialResidencialNão se aplicaNão se aplicaFora ponta",Mercado_Receita!$N$2:$N$1866)</f>
        <v>17.143999999999998</v>
      </c>
      <c r="Q15" s="12">
        <f>SUMIF(Mercado_Receita!$T$2:$T$1866,"44531B1Energia horáriaResidencialResidencialNão se aplicaNão se aplicaFora ponta",Mercado_Receita!$N$2:$N$1866)</f>
        <v>121.59</v>
      </c>
      <c r="R15" s="12">
        <f>SUMIF(Mercado_Receita!$T$2:$T$1866,"44562B1Energia horáriaResidencialResidencialNão se aplicaNão se aplicaFora ponta",Mercado_Receita!$N$2:$N$1866)</f>
        <v>122.16300000000001</v>
      </c>
      <c r="S15" s="12">
        <f>SUMIF(Mercado_Receita!$T$2:$T$1866,"44593B1Energia horáriaResidencialResidencialNão se aplicaNão se aplicaFora ponta",Mercado_Receita!$N$2:$N$1866)</f>
        <v>125.286</v>
      </c>
      <c r="T15" s="12">
        <f>SUMIF(Mercado_Receita!$T$2:$T$1866,"44621B1Energia horáriaResidencialResidencialNão se aplicaNão se aplicaFora ponta",Mercado_Receita!$N$2:$N$1866)</f>
        <v>125.286</v>
      </c>
      <c r="U15" s="12">
        <f t="shared" si="0"/>
        <v>1353.7170000000001</v>
      </c>
      <c r="V15" s="12"/>
      <c r="W15" s="12"/>
    </row>
    <row r="16" spans="1:30" ht="11.25" customHeight="1" x14ac:dyDescent="0.25">
      <c r="A16" s="90"/>
      <c r="B16" s="89" t="s">
        <v>103</v>
      </c>
      <c r="C16" s="89" t="s">
        <v>24</v>
      </c>
      <c r="D16" s="13" t="s">
        <v>24</v>
      </c>
      <c r="E16" s="13" t="s">
        <v>25</v>
      </c>
      <c r="F16" s="13" t="s">
        <v>25</v>
      </c>
      <c r="G16" s="12" t="s">
        <v>98</v>
      </c>
      <c r="H16" s="12" t="s">
        <v>93</v>
      </c>
      <c r="I16" s="12">
        <f>SUMIF(Mercado_Receita!$T$2:$T$1866,"44287B1Energia convencionalResidencialResidencialNão se aplicaNão se aplicaNão se aplica",Mercado_Receita!$N$2:$N$1866)</f>
        <v>83752.003999999986</v>
      </c>
      <c r="J16" s="12">
        <f>SUMIF(Mercado_Receita!$T$2:$T$1866,"44317B1Energia convencionalResidencialResidencialNão se aplicaNão se aplicaNão se aplica",Mercado_Receita!$N$2:$N$1866)</f>
        <v>75989.577999999994</v>
      </c>
      <c r="K16" s="12">
        <f>SUMIF(Mercado_Receita!$T$2:$T$1866,"44348B1Energia convencionalResidencialResidencialNão se aplicaNão se aplicaNão se aplica",Mercado_Receita!$N$2:$N$1866)</f>
        <v>73964.59</v>
      </c>
      <c r="L16" s="12">
        <f>SUMIF(Mercado_Receita!$T$2:$T$1866,"44378B1Energia convencionalResidencialResidencialNão se aplicaNão se aplicaNão se aplica",Mercado_Receita!$N$2:$N$1866)</f>
        <v>71382.863999999987</v>
      </c>
      <c r="M16" s="12">
        <f>SUMIF(Mercado_Receita!$T$2:$T$1866,"44409B1Energia convencionalResidencialResidencialNão se aplicaNão se aplicaNão se aplica",Mercado_Receita!$N$2:$N$1866)</f>
        <v>68596.332999999999</v>
      </c>
      <c r="N16" s="12">
        <f>SUMIF(Mercado_Receita!$T$2:$T$1866,"44440B1Energia convencionalResidencialResidencialNão se aplicaNão se aplicaNão se aplica",Mercado_Receita!$N$2:$N$1866)</f>
        <v>68872.234000000011</v>
      </c>
      <c r="O16" s="12">
        <f>SUMIF(Mercado_Receita!$T$2:$T$1866,"44470B1Energia convencionalResidencialResidencialNão se aplicaNão se aplicaNão se aplica",Mercado_Receita!$N$2:$N$1866)</f>
        <v>71027.29800000001</v>
      </c>
      <c r="P16" s="12">
        <f>SUMIF(Mercado_Receita!$T$2:$T$1866,"44501B1Energia convencionalResidencialResidencialNão se aplicaNão se aplicaNão se aplica",Mercado_Receita!$N$2:$N$1866)</f>
        <v>72439.522999999986</v>
      </c>
      <c r="Q16" s="12">
        <f>SUMIF(Mercado_Receita!$T$2:$T$1866,"44531B1Energia convencionalResidencialResidencialNão se aplicaNão se aplicaNão se aplica",Mercado_Receita!$N$2:$N$1866)</f>
        <v>79530.002999999997</v>
      </c>
      <c r="R16" s="12">
        <f>SUMIF(Mercado_Receita!$T$2:$T$1866,"44562B1Energia convencionalResidencialResidencialNão se aplicaNão se aplicaNão se aplica",Mercado_Receita!$N$2:$N$1866)</f>
        <v>78265.497000000003</v>
      </c>
      <c r="S16" s="12">
        <f>SUMIF(Mercado_Receita!$T$2:$T$1866,"44593B1Energia convencionalResidencialResidencialNão se aplicaNão se aplicaNão se aplica",Mercado_Receita!$N$2:$N$1866)</f>
        <v>79242.471000000005</v>
      </c>
      <c r="T16" s="12">
        <f>SUMIF(Mercado_Receita!$T$2:$T$1866,"44621B1Energia convencionalResidencialResidencialNão se aplicaNão se aplicaNão se aplica",Mercado_Receita!$N$2:$N$1866)</f>
        <v>79242.471000000005</v>
      </c>
      <c r="U16" s="12">
        <f t="shared" si="0"/>
        <v>902304.86599999992</v>
      </c>
      <c r="V16" s="12"/>
      <c r="W16" s="12"/>
    </row>
    <row r="17" spans="1:23" ht="11.25" customHeight="1" x14ac:dyDescent="0.25">
      <c r="A17" s="90"/>
      <c r="B17" s="90"/>
      <c r="C17" s="90"/>
      <c r="D17" s="13" t="s">
        <v>29</v>
      </c>
      <c r="E17" s="13" t="s">
        <v>25</v>
      </c>
      <c r="F17" s="13" t="s">
        <v>25</v>
      </c>
      <c r="G17" s="12" t="s">
        <v>98</v>
      </c>
      <c r="H17" s="12" t="s">
        <v>93</v>
      </c>
      <c r="I17" s="12">
        <f>SUMIF(Mercado_Receita!$T$2:$T$1866,"44287B1Energia convencionalResidencialResidencial baixa renda – faixa 01Não se aplicaNão se aplicaNão se aplica",Mercado_Receita!$N$2:$N$1866)</f>
        <v>6850.0069999999996</v>
      </c>
      <c r="J17" s="12">
        <f>SUMIF(Mercado_Receita!$T$2:$T$1866,"44317B1Energia convencionalResidencialResidencial baixa renda – faixa 01Não se aplicaNão se aplicaNão se aplica",Mercado_Receita!$N$2:$N$1866)</f>
        <v>6866.3710000000001</v>
      </c>
      <c r="K17" s="12">
        <f>SUMIF(Mercado_Receita!$T$2:$T$1866,"44348B1Energia convencionalResidencialResidencial baixa renda – faixa 01Não se aplicaNão se aplicaNão se aplica",Mercado_Receita!$N$2:$N$1866)</f>
        <v>6887.9739999999993</v>
      </c>
      <c r="L17" s="12">
        <f>SUMIF(Mercado_Receita!$T$2:$T$1866,"44378B1Energia convencionalResidencialResidencial baixa renda – faixa 01Não se aplicaNão se aplicaNão se aplica",Mercado_Receita!$N$2:$N$1866)</f>
        <v>6935.1620000000003</v>
      </c>
      <c r="M17" s="12">
        <f>SUMIF(Mercado_Receita!$T$2:$T$1866,"44409B1Energia convencionalResidencialResidencial baixa renda – faixa 01Não se aplicaNão se aplicaNão se aplica",Mercado_Receita!$N$2:$N$1866)</f>
        <v>6976.4390000000003</v>
      </c>
      <c r="N17" s="12">
        <f>SUMIF(Mercado_Receita!$T$2:$T$1866,"44440B1Energia convencionalResidencialResidencial baixa renda – faixa 01Não se aplicaNão se aplicaNão se aplica",Mercado_Receita!$N$2:$N$1866)</f>
        <v>6884.643</v>
      </c>
      <c r="O17" s="12">
        <f>SUMIF(Mercado_Receita!$T$2:$T$1866,"44470B1Energia convencionalResidencialResidencial baixa renda – faixa 01Não se aplicaNão se aplicaNão se aplica",Mercado_Receita!$N$2:$N$1866)</f>
        <v>6930.5380000000005</v>
      </c>
      <c r="P17" s="12">
        <f>SUMIF(Mercado_Receita!$T$2:$T$1866,"44501B1Energia convencionalResidencialResidencial baixa renda – faixa 01Não se aplicaNão se aplicaNão se aplica",Mercado_Receita!$N$2:$N$1866)</f>
        <v>6948.2110000000002</v>
      </c>
      <c r="Q17" s="12">
        <f>SUMIF(Mercado_Receita!$T$2:$T$1866,"44531B1Energia convencionalResidencialResidencial baixa renda – faixa 01Não se aplicaNão se aplicaNão se aplica",Mercado_Receita!$N$2:$N$1866)</f>
        <v>6940.4760000000006</v>
      </c>
      <c r="R17" s="12">
        <f>SUMIF(Mercado_Receita!$T$2:$T$1866,"44562B1Energia convencionalResidencialResidencial baixa renda – faixa 01Não se aplicaNão se aplicaNão se aplica",Mercado_Receita!$N$2:$N$1866)</f>
        <v>6956.9800000000005</v>
      </c>
      <c r="S17" s="12">
        <f>SUMIF(Mercado_Receita!$T$2:$T$1866,"44593B1Energia convencionalResidencialResidencial baixa renda – faixa 01Não se aplicaNão se aplicaNão se aplica",Mercado_Receita!$N$2:$N$1866)</f>
        <v>7249.8050000000003</v>
      </c>
      <c r="T17" s="12">
        <f>SUMIF(Mercado_Receita!$T$2:$T$1866,"44621B1Energia convencionalResidencialResidencial baixa renda – faixa 01Não se aplicaNão se aplicaNão se aplica",Mercado_Receita!$N$2:$N$1866)</f>
        <v>7249.8050000000003</v>
      </c>
      <c r="U17" s="12">
        <f t="shared" si="0"/>
        <v>83676.410999999993</v>
      </c>
      <c r="V17" s="12"/>
      <c r="W17" s="12"/>
    </row>
    <row r="18" spans="1:23" ht="11.25" customHeight="1" x14ac:dyDescent="0.25">
      <c r="A18" s="90"/>
      <c r="B18" s="90"/>
      <c r="C18" s="90"/>
      <c r="D18" s="13" t="s">
        <v>30</v>
      </c>
      <c r="E18" s="13" t="s">
        <v>25</v>
      </c>
      <c r="F18" s="13" t="s">
        <v>25</v>
      </c>
      <c r="G18" s="12" t="s">
        <v>98</v>
      </c>
      <c r="H18" s="12" t="s">
        <v>93</v>
      </c>
      <c r="I18" s="12">
        <f>SUMIF(Mercado_Receita!$T$2:$T$1866,"44287B1Energia convencionalResidencialResidencial baixa renda – faixa 02Não se aplicaNão se aplicaNão se aplica",Mercado_Receita!$N$2:$N$1866)</f>
        <v>11783.481</v>
      </c>
      <c r="J18" s="12">
        <f>SUMIF(Mercado_Receita!$T$2:$T$1866,"44317B1Energia convencionalResidencialResidencial baixa renda – faixa 02Não se aplicaNão se aplicaNão se aplica",Mercado_Receita!$N$2:$N$1866)</f>
        <v>10990.916000000001</v>
      </c>
      <c r="K18" s="12">
        <f>SUMIF(Mercado_Receita!$T$2:$T$1866,"44348B1Energia convencionalResidencialResidencial baixa renda – faixa 02Não se aplicaNão se aplicaNão se aplica",Mercado_Receita!$N$2:$N$1866)</f>
        <v>10714.576999999999</v>
      </c>
      <c r="L18" s="12">
        <f>SUMIF(Mercado_Receita!$T$2:$T$1866,"44378B1Energia convencionalResidencialResidencial baixa renda – faixa 02Não se aplicaNão se aplicaNão se aplica",Mercado_Receita!$N$2:$N$1866)</f>
        <v>10670.609</v>
      </c>
      <c r="M18" s="12">
        <f>SUMIF(Mercado_Receita!$T$2:$T$1866,"44409B1Energia convencionalResidencialResidencial baixa renda – faixa 02Não se aplicaNão se aplicaNão se aplica",Mercado_Receita!$N$2:$N$1866)</f>
        <v>10254.753000000001</v>
      </c>
      <c r="N18" s="12">
        <f>SUMIF(Mercado_Receita!$T$2:$T$1866,"44440B1Energia convencionalResidencialResidencial baixa renda – faixa 02Não se aplicaNão se aplicaNão se aplica",Mercado_Receita!$N$2:$N$1866)</f>
        <v>10326.816999999999</v>
      </c>
      <c r="O18" s="12">
        <f>SUMIF(Mercado_Receita!$T$2:$T$1866,"44470B1Energia convencionalResidencialResidencial baixa renda – faixa 02Não se aplicaNão se aplicaNão se aplica",Mercado_Receita!$N$2:$N$1866)</f>
        <v>10969.795</v>
      </c>
      <c r="P18" s="12">
        <f>SUMIF(Mercado_Receita!$T$2:$T$1866,"44501B1Energia convencionalResidencialResidencial baixa renda – faixa 02Não se aplicaNão se aplicaNão se aplica",Mercado_Receita!$N$2:$N$1866)</f>
        <v>11187.222</v>
      </c>
      <c r="Q18" s="12">
        <f>SUMIF(Mercado_Receita!$T$2:$T$1866,"44531B1Energia convencionalResidencialResidencial baixa renda – faixa 02Não se aplicaNão se aplicaNão se aplica",Mercado_Receita!$N$2:$N$1866)</f>
        <v>11446.073999999999</v>
      </c>
      <c r="R18" s="12">
        <f>SUMIF(Mercado_Receita!$T$2:$T$1866,"44562B1Energia convencionalResidencialResidencial baixa renda – faixa 02Não se aplicaNão se aplicaNão se aplica",Mercado_Receita!$N$2:$N$1866)</f>
        <v>11835.151</v>
      </c>
      <c r="S18" s="12">
        <f>SUMIF(Mercado_Receita!$T$2:$T$1866,"44593B1Energia convencionalResidencialResidencial baixa renda – faixa 02Não se aplicaNão se aplicaNão se aplica",Mercado_Receita!$N$2:$N$1866)</f>
        <v>12142.212</v>
      </c>
      <c r="T18" s="12">
        <f>SUMIF(Mercado_Receita!$T$2:$T$1866,"44621B1Energia convencionalResidencialResidencial baixa renda – faixa 02Não se aplicaNão se aplicaNão se aplica",Mercado_Receita!$N$2:$N$1866)</f>
        <v>12142.212</v>
      </c>
      <c r="U18" s="12">
        <f t="shared" si="0"/>
        <v>134463.81899999996</v>
      </c>
      <c r="V18" s="12"/>
      <c r="W18" s="12"/>
    </row>
    <row r="19" spans="1:23" ht="11.25" customHeight="1" x14ac:dyDescent="0.25">
      <c r="A19" s="90"/>
      <c r="B19" s="90"/>
      <c r="C19" s="90"/>
      <c r="D19" s="13" t="s">
        <v>31</v>
      </c>
      <c r="E19" s="13" t="s">
        <v>25</v>
      </c>
      <c r="F19" s="13" t="s">
        <v>25</v>
      </c>
      <c r="G19" s="12" t="s">
        <v>98</v>
      </c>
      <c r="H19" s="12" t="s">
        <v>93</v>
      </c>
      <c r="I19" s="12">
        <f>SUMIF(Mercado_Receita!$T$2:$T$1866,"44287B1Energia convencionalResidencialResidencial baixa renda – faixa 03Não se aplicaNão se aplicaNão se aplica",Mercado_Receita!$N$2:$N$1866)</f>
        <v>6124.344000000001</v>
      </c>
      <c r="J19" s="12">
        <f>SUMIF(Mercado_Receita!$T$2:$T$1866,"44317B1Energia convencionalResidencialResidencial baixa renda – faixa 03Não se aplicaNão se aplicaNão se aplica",Mercado_Receita!$N$2:$N$1866)</f>
        <v>4779.25</v>
      </c>
      <c r="K19" s="12">
        <f>SUMIF(Mercado_Receita!$T$2:$T$1866,"44348B1Energia convencionalResidencialResidencial baixa renda – faixa 03Não se aplicaNão se aplicaNão se aplica",Mercado_Receita!$N$2:$N$1866)</f>
        <v>4324.3770000000004</v>
      </c>
      <c r="L19" s="12">
        <f>SUMIF(Mercado_Receita!$T$2:$T$1866,"44378B1Energia convencionalResidencialResidencial baixa renda – faixa 03Não se aplicaNão se aplicaNão se aplica",Mercado_Receita!$N$2:$N$1866)</f>
        <v>4159.5940000000001</v>
      </c>
      <c r="M19" s="12">
        <f>SUMIF(Mercado_Receita!$T$2:$T$1866,"44409B1Energia convencionalResidencialResidencial baixa renda – faixa 03Não se aplicaNão se aplicaNão se aplica",Mercado_Receita!$N$2:$N$1866)</f>
        <v>3609.623</v>
      </c>
      <c r="N19" s="12">
        <f>SUMIF(Mercado_Receita!$T$2:$T$1866,"44440B1Energia convencionalResidencialResidencial baixa renda – faixa 03Não se aplicaNão se aplicaNão se aplica",Mercado_Receita!$N$2:$N$1866)</f>
        <v>3732.9490000000001</v>
      </c>
      <c r="O19" s="12">
        <f>SUMIF(Mercado_Receita!$T$2:$T$1866,"44470B1Energia convencionalResidencialResidencial baixa renda – faixa 03Não se aplicaNão se aplicaNão se aplica",Mercado_Receita!$N$2:$N$1866)</f>
        <v>4423.027</v>
      </c>
      <c r="P19" s="12">
        <f>SUMIF(Mercado_Receita!$T$2:$T$1866,"44501B1Energia convencionalResidencialResidencial baixa renda – faixa 03Não se aplicaNão se aplicaNão se aplica",Mercado_Receita!$N$2:$N$1866)</f>
        <v>4714.32</v>
      </c>
      <c r="Q19" s="12">
        <f>SUMIF(Mercado_Receita!$T$2:$T$1866,"44531B1Energia convencionalResidencialResidencial baixa renda – faixa 03Não se aplicaNão se aplicaNão se aplica",Mercado_Receita!$N$2:$N$1866)</f>
        <v>5087.7460000000001</v>
      </c>
      <c r="R19" s="12">
        <f>SUMIF(Mercado_Receita!$T$2:$T$1866,"44562B1Energia convencionalResidencialResidencial baixa renda – faixa 03Não se aplicaNão se aplicaNão se aplica",Mercado_Receita!$N$2:$N$1866)</f>
        <v>5803.4490000000005</v>
      </c>
      <c r="S19" s="12">
        <f>SUMIF(Mercado_Receita!$T$2:$T$1866,"44593B1Energia convencionalResidencialResidencial baixa renda – faixa 03Não se aplicaNão se aplicaNão se aplica",Mercado_Receita!$N$2:$N$1866)</f>
        <v>5687.1500000000005</v>
      </c>
      <c r="T19" s="12">
        <f>SUMIF(Mercado_Receita!$T$2:$T$1866,"44621B1Energia convencionalResidencialResidencial baixa renda – faixa 03Não se aplicaNão se aplicaNão se aplica",Mercado_Receita!$N$2:$N$1866)</f>
        <v>5687.1500000000005</v>
      </c>
      <c r="U19" s="12">
        <f t="shared" si="0"/>
        <v>58132.979000000007</v>
      </c>
      <c r="V19" s="12"/>
      <c r="W19" s="12"/>
    </row>
    <row r="20" spans="1:23" ht="11.25" customHeight="1" x14ac:dyDescent="0.25">
      <c r="A20" s="90"/>
      <c r="B20" s="90"/>
      <c r="C20" s="90"/>
      <c r="D20" s="13" t="s">
        <v>32</v>
      </c>
      <c r="E20" s="13" t="s">
        <v>25</v>
      </c>
      <c r="F20" s="13" t="s">
        <v>25</v>
      </c>
      <c r="G20" s="12" t="s">
        <v>98</v>
      </c>
      <c r="H20" s="12" t="s">
        <v>93</v>
      </c>
      <c r="I20" s="12">
        <f>SUMIF(Mercado_Receita!$T$2:$T$1866,"44287B1Energia convencionalResidencialResidencial baixa renda – faixa 04Não se aplicaNão se aplicaNão se aplica",Mercado_Receita!$N$2:$N$1866)</f>
        <v>1837.1299999999999</v>
      </c>
      <c r="J20" s="12">
        <f>SUMIF(Mercado_Receita!$T$2:$T$1866,"44317B1Energia convencionalResidencialResidencial baixa renda – faixa 04Não se aplicaNão se aplicaNão se aplica",Mercado_Receita!$N$2:$N$1866)</f>
        <v>1274.345</v>
      </c>
      <c r="K20" s="12">
        <f>SUMIF(Mercado_Receita!$T$2:$T$1866,"44348B1Energia convencionalResidencialResidencial baixa renda – faixa 04Não se aplicaNão se aplicaNão se aplica",Mercado_Receita!$N$2:$N$1866)</f>
        <v>1127.768</v>
      </c>
      <c r="L20" s="12">
        <f>SUMIF(Mercado_Receita!$T$2:$T$1866,"44378B1Energia convencionalResidencialResidencial baixa renda – faixa 04Não se aplicaNão se aplicaNão se aplica",Mercado_Receita!$N$2:$N$1866)</f>
        <v>1036.5819999999999</v>
      </c>
      <c r="M20" s="12">
        <f>SUMIF(Mercado_Receita!$T$2:$T$1866,"44409B1Energia convencionalResidencialResidencial baixa renda – faixa 04Não se aplicaNão se aplicaNão se aplica",Mercado_Receita!$N$2:$N$1866)</f>
        <v>906.87199999999996</v>
      </c>
      <c r="N20" s="12">
        <f>SUMIF(Mercado_Receita!$T$2:$T$1866,"44440B1Energia convencionalResidencialResidencial baixa renda – faixa 04Não se aplicaNão se aplicaNão se aplica",Mercado_Receita!$N$2:$N$1866)</f>
        <v>967.73500000000001</v>
      </c>
      <c r="O20" s="12">
        <f>SUMIF(Mercado_Receita!$T$2:$T$1866,"44470B1Energia convencionalResidencialResidencial baixa renda – faixa 04Não se aplicaNão se aplicaNão se aplica",Mercado_Receita!$N$2:$N$1866)</f>
        <v>1195.104</v>
      </c>
      <c r="P20" s="12">
        <f>SUMIF(Mercado_Receita!$T$2:$T$1866,"44501B1Energia convencionalResidencialResidencial baixa renda – faixa 04Não se aplicaNão se aplicaNão se aplica",Mercado_Receita!$N$2:$N$1866)</f>
        <v>1298.7070000000001</v>
      </c>
      <c r="Q20" s="12">
        <f>SUMIF(Mercado_Receita!$T$2:$T$1866,"44531B1Energia convencionalResidencialResidencial baixa renda – faixa 04Não se aplicaNão se aplicaNão se aplica",Mercado_Receita!$N$2:$N$1866)</f>
        <v>1448.7829999999999</v>
      </c>
      <c r="R20" s="12">
        <f>SUMIF(Mercado_Receita!$T$2:$T$1866,"44562B1Energia convencionalResidencialResidencial baixa renda – faixa 04Não se aplicaNão se aplicaNão se aplica",Mercado_Receita!$N$2:$N$1866)</f>
        <v>1667.4829999999999</v>
      </c>
      <c r="S20" s="12">
        <f>SUMIF(Mercado_Receita!$T$2:$T$1866,"44593B1Energia convencionalResidencialResidencial baixa renda – faixa 04Não se aplicaNão se aplicaNão se aplica",Mercado_Receita!$N$2:$N$1866)</f>
        <v>1651.6990000000001</v>
      </c>
      <c r="T20" s="12">
        <f>SUMIF(Mercado_Receita!$T$2:$T$1866,"44621B1Energia convencionalResidencialResidencial baixa renda – faixa 04Não se aplicaNão se aplicaNão se aplica",Mercado_Receita!$N$2:$N$1866)</f>
        <v>1651.6990000000001</v>
      </c>
      <c r="U20" s="12">
        <f t="shared" si="0"/>
        <v>16063.907000000001</v>
      </c>
      <c r="V20" s="12"/>
      <c r="W20" s="12"/>
    </row>
    <row r="21" spans="1:23" ht="11.25" customHeight="1" x14ac:dyDescent="0.25">
      <c r="A21" s="90"/>
      <c r="B21" s="89" t="s">
        <v>108</v>
      </c>
      <c r="C21" s="89" t="s">
        <v>24</v>
      </c>
      <c r="D21" s="13" t="s">
        <v>24</v>
      </c>
      <c r="E21" s="13" t="s">
        <v>25</v>
      </c>
      <c r="F21" s="13" t="s">
        <v>25</v>
      </c>
      <c r="G21" s="12" t="s">
        <v>98</v>
      </c>
      <c r="H21" s="12" t="s">
        <v>93</v>
      </c>
      <c r="I21" s="12">
        <f>SUMIF(Mercado_Receita!$T$2:$T$1866,"44287B1Energia convencional pré-pagamentoResidencialResidencialNão se aplicaNão se aplicaNão se aplica",Mercado_Receita!$N$2:$N$1866)</f>
        <v>0</v>
      </c>
      <c r="J21" s="12">
        <f>SUMIF(Mercado_Receita!$T$2:$T$1866,"44317B1Energia convencional pré-pagamentoResidencialResidencialNão se aplicaNão se aplicaNão se aplica",Mercado_Receita!$N$2:$N$1866)</f>
        <v>0</v>
      </c>
      <c r="K21" s="12">
        <f>SUMIF(Mercado_Receita!$T$2:$T$1866,"44348B1Energia convencional pré-pagamentoResidencialResidencialNão se aplicaNão se aplicaNão se aplica",Mercado_Receita!$N$2:$N$1866)</f>
        <v>0</v>
      </c>
      <c r="L21" s="12">
        <f>SUMIF(Mercado_Receita!$T$2:$T$1866,"44378B1Energia convencional pré-pagamentoResidencialResidencialNão se aplicaNão se aplicaNão se aplica",Mercado_Receita!$N$2:$N$1866)</f>
        <v>0</v>
      </c>
      <c r="M21" s="12">
        <f>SUMIF(Mercado_Receita!$T$2:$T$1866,"44409B1Energia convencional pré-pagamentoResidencialResidencialNão se aplicaNão se aplicaNão se aplica",Mercado_Receita!$N$2:$N$1866)</f>
        <v>0</v>
      </c>
      <c r="N21" s="12">
        <f>SUMIF(Mercado_Receita!$T$2:$T$1866,"44440B1Energia convencional pré-pagamentoResidencialResidencialNão se aplicaNão se aplicaNão se aplica",Mercado_Receita!$N$2:$N$1866)</f>
        <v>0</v>
      </c>
      <c r="O21" s="12">
        <f>SUMIF(Mercado_Receita!$T$2:$T$1866,"44470B1Energia convencional pré-pagamentoResidencialResidencialNão se aplicaNão se aplicaNão se aplica",Mercado_Receita!$N$2:$N$1866)</f>
        <v>0</v>
      </c>
      <c r="P21" s="12">
        <f>SUMIF(Mercado_Receita!$T$2:$T$1866,"44501B1Energia convencional pré-pagamentoResidencialResidencialNão se aplicaNão se aplicaNão se aplica",Mercado_Receita!$N$2:$N$1866)</f>
        <v>0</v>
      </c>
      <c r="Q21" s="12">
        <f>SUMIF(Mercado_Receita!$T$2:$T$1866,"44531B1Energia convencional pré-pagamentoResidencialResidencialNão se aplicaNão se aplicaNão se aplica",Mercado_Receita!$N$2:$N$1866)</f>
        <v>0</v>
      </c>
      <c r="R21" s="12">
        <f>SUMIF(Mercado_Receita!$T$2:$T$1866,"44562B1Energia convencional pré-pagamentoResidencialResidencialNão se aplicaNão se aplicaNão se aplica",Mercado_Receita!$N$2:$N$1866)</f>
        <v>0</v>
      </c>
      <c r="S21" s="12">
        <f>SUMIF(Mercado_Receita!$T$2:$T$1866,"44593B1Energia convencional pré-pagamentoResidencialResidencialNão se aplicaNão se aplicaNão se aplica",Mercado_Receita!$N$2:$N$1866)</f>
        <v>0</v>
      </c>
      <c r="T21" s="12">
        <f>SUMIF(Mercado_Receita!$T$2:$T$1866,"44621B1Energia convencional pré-pagamentoResidencialResidencialNão se aplicaNão se aplicaNão se aplica",Mercado_Receita!$N$2:$N$1866)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90"/>
      <c r="B22" s="90"/>
      <c r="C22" s="90"/>
      <c r="D22" s="13" t="s">
        <v>29</v>
      </c>
      <c r="E22" s="13" t="s">
        <v>25</v>
      </c>
      <c r="F22" s="13" t="s">
        <v>25</v>
      </c>
      <c r="G22" s="12" t="s">
        <v>98</v>
      </c>
      <c r="H22" s="12" t="s">
        <v>93</v>
      </c>
      <c r="I22" s="12">
        <f>SUMIF(Mercado_Receita!$T$2:$T$1866,"44287B1Energia convencional pré-pagamentoResidencialResidencial baixa renda – faixa 01Não se aplicaNão se aplicaNão se aplica",Mercado_Receita!$N$2:$N$1866)</f>
        <v>0</v>
      </c>
      <c r="J22" s="12">
        <f>SUMIF(Mercado_Receita!$T$2:$T$1866,"44317B1Energia convencional pré-pagamentoResidencialResidencial baixa renda – faixa 01Não se aplicaNão se aplicaNão se aplica",Mercado_Receita!$N$2:$N$1866)</f>
        <v>0</v>
      </c>
      <c r="K22" s="12">
        <f>SUMIF(Mercado_Receita!$T$2:$T$1866,"44348B1Energia convencional pré-pagamentoResidencialResidencial baixa renda – faixa 01Não se aplicaNão se aplicaNão se aplica",Mercado_Receita!$N$2:$N$1866)</f>
        <v>0</v>
      </c>
      <c r="L22" s="12">
        <f>SUMIF(Mercado_Receita!$T$2:$T$1866,"44378B1Energia convencional pré-pagamentoResidencialResidencial baixa renda – faixa 01Não se aplicaNão se aplicaNão se aplica",Mercado_Receita!$N$2:$N$1866)</f>
        <v>0</v>
      </c>
      <c r="M22" s="12">
        <f>SUMIF(Mercado_Receita!$T$2:$T$1866,"44409B1Energia convencional pré-pagamentoResidencialResidencial baixa renda – faixa 01Não se aplicaNão se aplicaNão se aplica",Mercado_Receita!$N$2:$N$1866)</f>
        <v>0</v>
      </c>
      <c r="N22" s="12">
        <f>SUMIF(Mercado_Receita!$T$2:$T$1866,"44440B1Energia convencional pré-pagamentoResidencialResidencial baixa renda – faixa 01Não se aplicaNão se aplicaNão se aplica",Mercado_Receita!$N$2:$N$1866)</f>
        <v>0</v>
      </c>
      <c r="O22" s="12">
        <f>SUMIF(Mercado_Receita!$T$2:$T$1866,"44470B1Energia convencional pré-pagamentoResidencialResidencial baixa renda – faixa 01Não se aplicaNão se aplicaNão se aplica",Mercado_Receita!$N$2:$N$1866)</f>
        <v>0</v>
      </c>
      <c r="P22" s="12">
        <f>SUMIF(Mercado_Receita!$T$2:$T$1866,"44501B1Energia convencional pré-pagamentoResidencialResidencial baixa renda – faixa 01Não se aplicaNão se aplicaNão se aplica",Mercado_Receita!$N$2:$N$1866)</f>
        <v>0</v>
      </c>
      <c r="Q22" s="12">
        <f>SUMIF(Mercado_Receita!$T$2:$T$1866,"44531B1Energia convencional pré-pagamentoResidencialResidencial baixa renda – faixa 01Não se aplicaNão se aplicaNão se aplica",Mercado_Receita!$N$2:$N$1866)</f>
        <v>0</v>
      </c>
      <c r="R22" s="12">
        <f>SUMIF(Mercado_Receita!$T$2:$T$1866,"44562B1Energia convencional pré-pagamentoResidencialResidencial baixa renda – faixa 01Não se aplicaNão se aplicaNão se aplica",Mercado_Receita!$N$2:$N$1866)</f>
        <v>0</v>
      </c>
      <c r="S22" s="12">
        <f>SUMIF(Mercado_Receita!$T$2:$T$1866,"44593B1Energia convencional pré-pagamentoResidencialResidencial baixa renda – faixa 01Não se aplicaNão se aplicaNão se aplica",Mercado_Receita!$N$2:$N$1866)</f>
        <v>0</v>
      </c>
      <c r="T22" s="12">
        <f>SUMIF(Mercado_Receita!$T$2:$T$1866,"44621B1Energia convencional pré-pagamentoResidencialResidencial baixa renda – faixa 01Não se aplicaNão se aplicaNão se aplica",Mercado_Receita!$N$2:$N$1866)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90"/>
      <c r="B23" s="90"/>
      <c r="C23" s="90"/>
      <c r="D23" s="13" t="s">
        <v>30</v>
      </c>
      <c r="E23" s="13" t="s">
        <v>25</v>
      </c>
      <c r="F23" s="13" t="s">
        <v>25</v>
      </c>
      <c r="G23" s="12" t="s">
        <v>98</v>
      </c>
      <c r="H23" s="12" t="s">
        <v>93</v>
      </c>
      <c r="I23" s="12">
        <f>SUMIF(Mercado_Receita!$T$2:$T$1866,"44287B1Energia convencional pré-pagamentoResidencialResidencial baixa renda – faixa 02Não se aplicaNão se aplicaNão se aplica",Mercado_Receita!$N$2:$N$1866)</f>
        <v>0</v>
      </c>
      <c r="J23" s="12">
        <f>SUMIF(Mercado_Receita!$T$2:$T$1866,"44317B1Energia convencional pré-pagamentoResidencialResidencial baixa renda – faixa 02Não se aplicaNão se aplicaNão se aplica",Mercado_Receita!$N$2:$N$1866)</f>
        <v>0</v>
      </c>
      <c r="K23" s="12">
        <f>SUMIF(Mercado_Receita!$T$2:$T$1866,"44348B1Energia convencional pré-pagamentoResidencialResidencial baixa renda – faixa 02Não se aplicaNão se aplicaNão se aplica",Mercado_Receita!$N$2:$N$1866)</f>
        <v>0</v>
      </c>
      <c r="L23" s="12">
        <f>SUMIF(Mercado_Receita!$T$2:$T$1866,"44378B1Energia convencional pré-pagamentoResidencialResidencial baixa renda – faixa 02Não se aplicaNão se aplicaNão se aplica",Mercado_Receita!$N$2:$N$1866)</f>
        <v>0</v>
      </c>
      <c r="M23" s="12">
        <f>SUMIF(Mercado_Receita!$T$2:$T$1866,"44409B1Energia convencional pré-pagamentoResidencialResidencial baixa renda – faixa 02Não se aplicaNão se aplicaNão se aplica",Mercado_Receita!$N$2:$N$1866)</f>
        <v>0</v>
      </c>
      <c r="N23" s="12">
        <f>SUMIF(Mercado_Receita!$T$2:$T$1866,"44440B1Energia convencional pré-pagamentoResidencialResidencial baixa renda – faixa 02Não se aplicaNão se aplicaNão se aplica",Mercado_Receita!$N$2:$N$1866)</f>
        <v>0</v>
      </c>
      <c r="O23" s="12">
        <f>SUMIF(Mercado_Receita!$T$2:$T$1866,"44470B1Energia convencional pré-pagamentoResidencialResidencial baixa renda – faixa 02Não se aplicaNão se aplicaNão se aplica",Mercado_Receita!$N$2:$N$1866)</f>
        <v>0</v>
      </c>
      <c r="P23" s="12">
        <f>SUMIF(Mercado_Receita!$T$2:$T$1866,"44501B1Energia convencional pré-pagamentoResidencialResidencial baixa renda – faixa 02Não se aplicaNão se aplicaNão se aplica",Mercado_Receita!$N$2:$N$1866)</f>
        <v>0</v>
      </c>
      <c r="Q23" s="12">
        <f>SUMIF(Mercado_Receita!$T$2:$T$1866,"44531B1Energia convencional pré-pagamentoResidencialResidencial baixa renda – faixa 02Não se aplicaNão se aplicaNão se aplica",Mercado_Receita!$N$2:$N$1866)</f>
        <v>0</v>
      </c>
      <c r="R23" s="12">
        <f>SUMIF(Mercado_Receita!$T$2:$T$1866,"44562B1Energia convencional pré-pagamentoResidencialResidencial baixa renda – faixa 02Não se aplicaNão se aplicaNão se aplica",Mercado_Receita!$N$2:$N$1866)</f>
        <v>0</v>
      </c>
      <c r="S23" s="12">
        <f>SUMIF(Mercado_Receita!$T$2:$T$1866,"44593B1Energia convencional pré-pagamentoResidencialResidencial baixa renda – faixa 02Não se aplicaNão se aplicaNão se aplica",Mercado_Receita!$N$2:$N$1866)</f>
        <v>0</v>
      </c>
      <c r="T23" s="12">
        <f>SUMIF(Mercado_Receita!$T$2:$T$1866,"44621B1Energia convencional pré-pagamentoResidencialResidencial baixa renda – faixa 02Não se aplicaNão se aplicaNão se aplica",Mercado_Receita!$N$2:$N$1866)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90"/>
      <c r="B24" s="90"/>
      <c r="C24" s="90"/>
      <c r="D24" s="13" t="s">
        <v>31</v>
      </c>
      <c r="E24" s="13" t="s">
        <v>25</v>
      </c>
      <c r="F24" s="13" t="s">
        <v>25</v>
      </c>
      <c r="G24" s="12" t="s">
        <v>98</v>
      </c>
      <c r="H24" s="12" t="s">
        <v>93</v>
      </c>
      <c r="I24" s="12">
        <f>SUMIF(Mercado_Receita!$T$2:$T$1866,"44287B1Energia convencional pré-pagamentoResidencialResidencial baixa renda – faixa 03Não se aplicaNão se aplicaNão se aplica",Mercado_Receita!$N$2:$N$1866)</f>
        <v>0</v>
      </c>
      <c r="J24" s="12">
        <f>SUMIF(Mercado_Receita!$T$2:$T$1866,"44317B1Energia convencional pré-pagamentoResidencialResidencial baixa renda – faixa 03Não se aplicaNão se aplicaNão se aplica",Mercado_Receita!$N$2:$N$1866)</f>
        <v>0</v>
      </c>
      <c r="K24" s="12">
        <f>SUMIF(Mercado_Receita!$T$2:$T$1866,"44348B1Energia convencional pré-pagamentoResidencialResidencial baixa renda – faixa 03Não se aplicaNão se aplicaNão se aplica",Mercado_Receita!$N$2:$N$1866)</f>
        <v>0</v>
      </c>
      <c r="L24" s="12">
        <f>SUMIF(Mercado_Receita!$T$2:$T$1866,"44378B1Energia convencional pré-pagamentoResidencialResidencial baixa renda – faixa 03Não se aplicaNão se aplicaNão se aplica",Mercado_Receita!$N$2:$N$1866)</f>
        <v>0</v>
      </c>
      <c r="M24" s="12">
        <f>SUMIF(Mercado_Receita!$T$2:$T$1866,"44409B1Energia convencional pré-pagamentoResidencialResidencial baixa renda – faixa 03Não se aplicaNão se aplicaNão se aplica",Mercado_Receita!$N$2:$N$1866)</f>
        <v>0</v>
      </c>
      <c r="N24" s="12">
        <f>SUMIF(Mercado_Receita!$T$2:$T$1866,"44440B1Energia convencional pré-pagamentoResidencialResidencial baixa renda – faixa 03Não se aplicaNão se aplicaNão se aplica",Mercado_Receita!$N$2:$N$1866)</f>
        <v>0</v>
      </c>
      <c r="O24" s="12">
        <f>SUMIF(Mercado_Receita!$T$2:$T$1866,"44470B1Energia convencional pré-pagamentoResidencialResidencial baixa renda – faixa 03Não se aplicaNão se aplicaNão se aplica",Mercado_Receita!$N$2:$N$1866)</f>
        <v>0</v>
      </c>
      <c r="P24" s="12">
        <f>SUMIF(Mercado_Receita!$T$2:$T$1866,"44501B1Energia convencional pré-pagamentoResidencialResidencial baixa renda – faixa 03Não se aplicaNão se aplicaNão se aplica",Mercado_Receita!$N$2:$N$1866)</f>
        <v>0</v>
      </c>
      <c r="Q24" s="12">
        <f>SUMIF(Mercado_Receita!$T$2:$T$1866,"44531B1Energia convencional pré-pagamentoResidencialResidencial baixa renda – faixa 03Não se aplicaNão se aplicaNão se aplica",Mercado_Receita!$N$2:$N$1866)</f>
        <v>0</v>
      </c>
      <c r="R24" s="12">
        <f>SUMIF(Mercado_Receita!$T$2:$T$1866,"44562B1Energia convencional pré-pagamentoResidencialResidencial baixa renda – faixa 03Não se aplicaNão se aplicaNão se aplica",Mercado_Receita!$N$2:$N$1866)</f>
        <v>0</v>
      </c>
      <c r="S24" s="12">
        <f>SUMIF(Mercado_Receita!$T$2:$T$1866,"44593B1Energia convencional pré-pagamentoResidencialResidencial baixa renda – faixa 03Não se aplicaNão se aplicaNão se aplica",Mercado_Receita!$N$2:$N$1866)</f>
        <v>0</v>
      </c>
      <c r="T24" s="12">
        <f>SUMIF(Mercado_Receita!$T$2:$T$1866,"44621B1Energia convencional pré-pagamentoResidencialResidencial baixa renda – faixa 03Não se aplicaNão se aplicaNão se aplica",Mercado_Receita!$N$2:$N$1866)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90"/>
      <c r="B25" s="90"/>
      <c r="C25" s="90"/>
      <c r="D25" s="13" t="s">
        <v>32</v>
      </c>
      <c r="E25" s="13" t="s">
        <v>25</v>
      </c>
      <c r="F25" s="13" t="s">
        <v>25</v>
      </c>
      <c r="G25" s="12" t="s">
        <v>98</v>
      </c>
      <c r="H25" s="12" t="s">
        <v>93</v>
      </c>
      <c r="I25" s="12">
        <f>SUMIF(Mercado_Receita!$T$2:$T$1866,"44287B1Energia convencional pré-pagamentoResidencialResidencial baixa renda – faixa 04Não se aplicaNão se aplicaNão se aplica",Mercado_Receita!$N$2:$N$1866)</f>
        <v>0</v>
      </c>
      <c r="J25" s="12">
        <f>SUMIF(Mercado_Receita!$T$2:$T$1866,"44317B1Energia convencional pré-pagamentoResidencialResidencial baixa renda – faixa 04Não se aplicaNão se aplicaNão se aplica",Mercado_Receita!$N$2:$N$1866)</f>
        <v>0</v>
      </c>
      <c r="K25" s="12">
        <f>SUMIF(Mercado_Receita!$T$2:$T$1866,"44348B1Energia convencional pré-pagamentoResidencialResidencial baixa renda – faixa 04Não se aplicaNão se aplicaNão se aplica",Mercado_Receita!$N$2:$N$1866)</f>
        <v>0</v>
      </c>
      <c r="L25" s="12">
        <f>SUMIF(Mercado_Receita!$T$2:$T$1866,"44378B1Energia convencional pré-pagamentoResidencialResidencial baixa renda – faixa 04Não se aplicaNão se aplicaNão se aplica",Mercado_Receita!$N$2:$N$1866)</f>
        <v>0</v>
      </c>
      <c r="M25" s="12">
        <f>SUMIF(Mercado_Receita!$T$2:$T$1866,"44409B1Energia convencional pré-pagamentoResidencialResidencial baixa renda – faixa 04Não se aplicaNão se aplicaNão se aplica",Mercado_Receita!$N$2:$N$1866)</f>
        <v>0</v>
      </c>
      <c r="N25" s="12">
        <f>SUMIF(Mercado_Receita!$T$2:$T$1866,"44440B1Energia convencional pré-pagamentoResidencialResidencial baixa renda – faixa 04Não se aplicaNão se aplicaNão se aplica",Mercado_Receita!$N$2:$N$1866)</f>
        <v>0</v>
      </c>
      <c r="O25" s="12">
        <f>SUMIF(Mercado_Receita!$T$2:$T$1866,"44470B1Energia convencional pré-pagamentoResidencialResidencial baixa renda – faixa 04Não se aplicaNão se aplicaNão se aplica",Mercado_Receita!$N$2:$N$1866)</f>
        <v>0</v>
      </c>
      <c r="P25" s="12">
        <f>SUMIF(Mercado_Receita!$T$2:$T$1866,"44501B1Energia convencional pré-pagamentoResidencialResidencial baixa renda – faixa 04Não se aplicaNão se aplicaNão se aplica",Mercado_Receita!$N$2:$N$1866)</f>
        <v>0</v>
      </c>
      <c r="Q25" s="12">
        <f>SUMIF(Mercado_Receita!$T$2:$T$1866,"44531B1Energia convencional pré-pagamentoResidencialResidencial baixa renda – faixa 04Não se aplicaNão se aplicaNão se aplica",Mercado_Receita!$N$2:$N$1866)</f>
        <v>0</v>
      </c>
      <c r="R25" s="12">
        <f>SUMIF(Mercado_Receita!$T$2:$T$1866,"44562B1Energia convencional pré-pagamentoResidencialResidencial baixa renda – faixa 04Não se aplicaNão se aplicaNão se aplica",Mercado_Receita!$N$2:$N$1866)</f>
        <v>0</v>
      </c>
      <c r="S25" s="12">
        <f>SUMIF(Mercado_Receita!$T$2:$T$1866,"44593B1Energia convencional pré-pagamentoResidencialResidencial baixa renda – faixa 04Não se aplicaNão se aplicaNão se aplica",Mercado_Receita!$N$2:$N$1866)</f>
        <v>0</v>
      </c>
      <c r="T25" s="12">
        <f>SUMIF(Mercado_Receita!$T$2:$T$1866,"44621B1Energia convencional pré-pagamentoResidencialResidencial baixa renda – faixa 04Não se aplicaNão se aplicaNão se aplica",Mercado_Receita!$N$2:$N$1866)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89" t="s">
        <v>44</v>
      </c>
      <c r="B26" s="89" t="s">
        <v>92</v>
      </c>
      <c r="C26" s="89" t="s">
        <v>45</v>
      </c>
      <c r="D26" s="89" t="s">
        <v>25</v>
      </c>
      <c r="E26" s="89" t="s">
        <v>25</v>
      </c>
      <c r="F26" s="89" t="s">
        <v>25</v>
      </c>
      <c r="G26" s="12" t="s">
        <v>94</v>
      </c>
      <c r="H26" s="12" t="s">
        <v>93</v>
      </c>
      <c r="I26" s="12">
        <f>SUMIF(Mercado_Receita!$T$2:$T$1866,"44287B2Energia horáriaRuralNão se aplicaNão se aplicaNão se aplicaPonta",Mercado_Receita!$N$2:$N$1866)</f>
        <v>6.0999999999999999E-2</v>
      </c>
      <c r="J26" s="12">
        <f>SUMIF(Mercado_Receita!$T$2:$T$1866,"44317B2Energia horáriaRuralNão se aplicaNão se aplicaNão se aplicaPonta",Mercado_Receita!$N$2:$N$1866)</f>
        <v>5.8000000000000003E-2</v>
      </c>
      <c r="K26" s="12">
        <f>SUMIF(Mercado_Receita!$T$2:$T$1866,"44348B2Energia horáriaRuralNão se aplicaNão se aplicaNão se aplicaPonta",Mercado_Receita!$N$2:$N$1866)</f>
        <v>5.3999999999999999E-2</v>
      </c>
      <c r="L26" s="12">
        <f>SUMIF(Mercado_Receita!$T$2:$T$1866,"44378B2Energia horáriaRuralNão se aplicaNão se aplicaNão se aplicaPonta",Mercado_Receita!$N$2:$N$1866)</f>
        <v>6.3E-2</v>
      </c>
      <c r="M26" s="12">
        <f>SUMIF(Mercado_Receita!$T$2:$T$1866,"44409B2Energia horáriaRuralNão se aplicaNão se aplicaNão se aplicaPonta",Mercado_Receita!$N$2:$N$1866)</f>
        <v>5.8000000000000003E-2</v>
      </c>
      <c r="N26" s="12">
        <f>SUMIF(Mercado_Receita!$T$2:$T$1866,"44440B2Energia horáriaRuralNão se aplicaNão se aplicaNão se aplicaPonta",Mercado_Receita!$N$2:$N$1866)</f>
        <v>5.8000000000000003E-2</v>
      </c>
      <c r="O26" s="12">
        <f>SUMIF(Mercado_Receita!$T$2:$T$1866,"44470B2Energia horáriaRuralNão se aplicaNão se aplicaNão se aplicaPonta",Mercado_Receita!$N$2:$N$1866)</f>
        <v>5.1999999999999998E-2</v>
      </c>
      <c r="P26" s="12">
        <f>SUMIF(Mercado_Receita!$T$2:$T$1866,"44501B2Energia horáriaRuralNão se aplicaNão se aplicaNão se aplicaPonta",Mercado_Receita!$N$2:$N$1866)</f>
        <v>4.7E-2</v>
      </c>
      <c r="Q26" s="12">
        <f>SUMIF(Mercado_Receita!$T$2:$T$1866,"44531B2Energia horáriaRuralNão se aplicaNão se aplicaNão se aplicaPonta",Mercado_Receita!$N$2:$N$1866)</f>
        <v>6.2E-2</v>
      </c>
      <c r="R26" s="12">
        <f>SUMIF(Mercado_Receita!$T$2:$T$1866,"44562B2Energia horáriaRuralNão se aplicaNão se aplicaNão se aplicaPonta",Mercado_Receita!$N$2:$N$1866)</f>
        <v>6.2E-2</v>
      </c>
      <c r="S26" s="12">
        <f>SUMIF(Mercado_Receita!$T$2:$T$1866,"44593B2Energia horáriaRuralNão se aplicaNão se aplicaNão se aplicaPonta",Mercado_Receita!$N$2:$N$1866)</f>
        <v>1.7999999999999999E-2</v>
      </c>
      <c r="T26" s="12">
        <f>SUMIF(Mercado_Receita!$T$2:$T$1866,"44621B2Energia horáriaRuralNão se aplicaNão se aplicaNão se aplicaPonta",Mercado_Receita!$N$2:$N$1866)</f>
        <v>1.7999999999999999E-2</v>
      </c>
      <c r="U26" s="12">
        <f t="shared" si="0"/>
        <v>0.61099999999999999</v>
      </c>
      <c r="V26" s="12"/>
      <c r="W26" s="12"/>
    </row>
    <row r="27" spans="1:23" ht="11.25" customHeight="1" x14ac:dyDescent="0.25">
      <c r="A27" s="90"/>
      <c r="B27" s="90"/>
      <c r="C27" s="90"/>
      <c r="D27" s="90"/>
      <c r="E27" s="90"/>
      <c r="F27" s="90"/>
      <c r="G27" s="12" t="s">
        <v>107</v>
      </c>
      <c r="H27" s="12" t="s">
        <v>93</v>
      </c>
      <c r="I27" s="12">
        <f>SUMIF(Mercado_Receita!$T$2:$T$1866,"44287B2Energia horáriaRuralNão se aplicaNão se aplicaNão se aplicaIntermediário",Mercado_Receita!$N$2:$N$1866)</f>
        <v>9.2999999999999999E-2</v>
      </c>
      <c r="J27" s="12">
        <f>SUMIF(Mercado_Receita!$T$2:$T$1866,"44317B2Energia horáriaRuralNão se aplicaNão se aplicaNão se aplicaIntermediário",Mercado_Receita!$N$2:$N$1866)</f>
        <v>3.7999999999999999E-2</v>
      </c>
      <c r="K27" s="12">
        <f>SUMIF(Mercado_Receita!$T$2:$T$1866,"44348B2Energia horáriaRuralNão se aplicaNão se aplicaNão se aplicaIntermediário",Mercado_Receita!$N$2:$N$1866)</f>
        <v>3.1E-2</v>
      </c>
      <c r="L27" s="12">
        <f>SUMIF(Mercado_Receita!$T$2:$T$1866,"44378B2Energia horáriaRuralNão se aplicaNão se aplicaNão se aplicaIntermediário",Mercado_Receita!$N$2:$N$1866)</f>
        <v>3.4000000000000002E-2</v>
      </c>
      <c r="M27" s="12">
        <f>SUMIF(Mercado_Receita!$T$2:$T$1866,"44409B2Energia horáriaRuralNão se aplicaNão se aplicaNão se aplicaIntermediário",Mercado_Receita!$N$2:$N$1866)</f>
        <v>3.2000000000000001E-2</v>
      </c>
      <c r="N27" s="12">
        <f>SUMIF(Mercado_Receita!$T$2:$T$1866,"44440B2Energia horáriaRuralNão se aplicaNão se aplicaNão se aplicaIntermediário",Mercado_Receita!$N$2:$N$1866)</f>
        <v>0.04</v>
      </c>
      <c r="O27" s="12">
        <f>SUMIF(Mercado_Receita!$T$2:$T$1866,"44470B2Energia horáriaRuralNão se aplicaNão se aplicaNão se aplicaIntermediário",Mercado_Receita!$N$2:$N$1866)</f>
        <v>0.11199999999999999</v>
      </c>
      <c r="P27" s="12">
        <f>SUMIF(Mercado_Receita!$T$2:$T$1866,"44501B2Energia horáriaRuralNão se aplicaNão se aplicaNão se aplicaIntermediário",Mercado_Receita!$N$2:$N$1866)</f>
        <v>0.106</v>
      </c>
      <c r="Q27" s="12">
        <f>SUMIF(Mercado_Receita!$T$2:$T$1866,"44531B2Energia horáriaRuralNão se aplicaNão se aplicaNão se aplicaIntermediário",Mercado_Receita!$N$2:$N$1866)</f>
        <v>0.20499999999999999</v>
      </c>
      <c r="R27" s="12">
        <f>SUMIF(Mercado_Receita!$T$2:$T$1866,"44562B2Energia horáriaRuralNão se aplicaNão se aplicaNão se aplicaIntermediário",Mercado_Receita!$N$2:$N$1866)</f>
        <v>5.7999999999999996E-2</v>
      </c>
      <c r="S27" s="12">
        <f>SUMIF(Mercado_Receita!$T$2:$T$1866,"44593B2Energia horáriaRuralNão se aplicaNão se aplicaNão se aplicaIntermediário",Mercado_Receita!$N$2:$N$1866)</f>
        <v>3.1E-2</v>
      </c>
      <c r="T27" s="12">
        <f>SUMIF(Mercado_Receita!$T$2:$T$1866,"44621B2Energia horáriaRuralNão se aplicaNão se aplicaNão se aplicaIntermediário",Mercado_Receita!$N$2:$N$1866)</f>
        <v>3.1E-2</v>
      </c>
      <c r="U27" s="12">
        <f t="shared" si="0"/>
        <v>0.81099999999999994</v>
      </c>
      <c r="V27" s="12"/>
      <c r="W27" s="12"/>
    </row>
    <row r="28" spans="1:23" ht="11.25" customHeight="1" x14ac:dyDescent="0.25">
      <c r="A28" s="90"/>
      <c r="B28" s="90"/>
      <c r="C28" s="90"/>
      <c r="D28" s="90"/>
      <c r="E28" s="90"/>
      <c r="F28" s="90"/>
      <c r="G28" s="12" t="s">
        <v>95</v>
      </c>
      <c r="H28" s="12" t="s">
        <v>93</v>
      </c>
      <c r="I28" s="12">
        <f>SUMIF(Mercado_Receita!$T$2:$T$1866,"44287B2Energia horáriaRuralNão se aplicaNão se aplicaNão se aplicaFora ponta",Mercado_Receita!$N$2:$N$1866)</f>
        <v>1.82</v>
      </c>
      <c r="J28" s="12">
        <f>SUMIF(Mercado_Receita!$T$2:$T$1866,"44317B2Energia horáriaRuralNão se aplicaNão se aplicaNão se aplicaFora ponta",Mercado_Receita!$N$2:$N$1866)</f>
        <v>0.80300000000000005</v>
      </c>
      <c r="K28" s="12">
        <f>SUMIF(Mercado_Receita!$T$2:$T$1866,"44348B2Energia horáriaRuralNão se aplicaNão se aplicaNão se aplicaFora ponta",Mercado_Receita!$N$2:$N$1866)</f>
        <v>0.92800000000000005</v>
      </c>
      <c r="L28" s="12">
        <f>SUMIF(Mercado_Receita!$T$2:$T$1866,"44378B2Energia horáriaRuralNão se aplicaNão se aplicaNão se aplicaFora ponta",Mercado_Receita!$N$2:$N$1866)</f>
        <v>0.55600000000000005</v>
      </c>
      <c r="M28" s="12">
        <f>SUMIF(Mercado_Receita!$T$2:$T$1866,"44409B2Energia horáriaRuralNão se aplicaNão se aplicaNão se aplicaFora ponta",Mercado_Receita!$N$2:$N$1866)</f>
        <v>0.75900000000000001</v>
      </c>
      <c r="N28" s="12">
        <f>SUMIF(Mercado_Receita!$T$2:$T$1866,"44440B2Energia horáriaRuralNão se aplicaNão se aplicaNão se aplicaFora ponta",Mercado_Receita!$N$2:$N$1866)</f>
        <v>1.877</v>
      </c>
      <c r="O28" s="12">
        <f>SUMIF(Mercado_Receita!$T$2:$T$1866,"44470B2Energia horáriaRuralNão se aplicaNão se aplicaNão se aplicaFora ponta",Mercado_Receita!$N$2:$N$1866)</f>
        <v>6.484</v>
      </c>
      <c r="P28" s="12">
        <f>SUMIF(Mercado_Receita!$T$2:$T$1866,"44501B2Energia horáriaRuralNão se aplicaNão se aplicaNão se aplicaFora ponta",Mercado_Receita!$N$2:$N$1866)</f>
        <v>5.9499999999999993</v>
      </c>
      <c r="Q28" s="12">
        <f>SUMIF(Mercado_Receita!$T$2:$T$1866,"44531B2Energia horáriaRuralNão se aplicaNão se aplicaNão se aplicaFora ponta",Mercado_Receita!$N$2:$N$1866)</f>
        <v>41.655000000000001</v>
      </c>
      <c r="R28" s="12">
        <f>SUMIF(Mercado_Receita!$T$2:$T$1866,"44562B2Energia horáriaRuralNão se aplicaNão se aplicaNão se aplicaFora ponta",Mercado_Receita!$N$2:$N$1866)</f>
        <v>37.378999999999998</v>
      </c>
      <c r="S28" s="12">
        <f>SUMIF(Mercado_Receita!$T$2:$T$1866,"44593B2Energia horáriaRuralNão se aplicaNão se aplicaNão se aplicaFora ponta",Mercado_Receita!$N$2:$N$1866)</f>
        <v>43.302</v>
      </c>
      <c r="T28" s="12">
        <f>SUMIF(Mercado_Receita!$T$2:$T$1866,"44621B2Energia horáriaRuralNão se aplicaNão se aplicaNão se aplicaFora ponta",Mercado_Receita!$N$2:$N$1866)</f>
        <v>43.302</v>
      </c>
      <c r="U28" s="12">
        <f t="shared" si="0"/>
        <v>184.815</v>
      </c>
      <c r="V28" s="12"/>
      <c r="W28" s="12"/>
    </row>
    <row r="29" spans="1:23" ht="11.25" customHeight="1" x14ac:dyDescent="0.25">
      <c r="A29" s="90"/>
      <c r="B29" s="13" t="s">
        <v>103</v>
      </c>
      <c r="C29" s="13" t="s">
        <v>45</v>
      </c>
      <c r="D29" s="13" t="s">
        <v>25</v>
      </c>
      <c r="E29" s="13" t="s">
        <v>25</v>
      </c>
      <c r="F29" s="13" t="s">
        <v>25</v>
      </c>
      <c r="G29" s="12" t="s">
        <v>98</v>
      </c>
      <c r="H29" s="12" t="s">
        <v>93</v>
      </c>
      <c r="I29" s="12">
        <f>SUMIF(Mercado_Receita!$T$2:$T$1866,"44287B2Energia convencionalRuralNão se aplicaNão se aplicaNão se aplicaNão se aplica",Mercado_Receita!$N$2:$N$1866)</f>
        <v>6119.811999999999</v>
      </c>
      <c r="J29" s="12">
        <f>SUMIF(Mercado_Receita!$T$2:$T$1866,"44317B2Energia convencionalRuralNão se aplicaNão se aplicaNão se aplicaNão se aplica",Mercado_Receita!$N$2:$N$1866)</f>
        <v>4390.7210000000005</v>
      </c>
      <c r="K29" s="12">
        <f>SUMIF(Mercado_Receita!$T$2:$T$1866,"44348B2Energia convencionalRuralNão se aplicaNão se aplicaNão se aplicaNão se aplica",Mercado_Receita!$N$2:$N$1866)</f>
        <v>4127.7220000000007</v>
      </c>
      <c r="L29" s="12">
        <f>SUMIF(Mercado_Receita!$T$2:$T$1866,"44378B2Energia convencionalRuralNão se aplicaNão se aplicaNão se aplicaNão se aplica",Mercado_Receita!$N$2:$N$1866)</f>
        <v>4152.2719999999999</v>
      </c>
      <c r="M29" s="12">
        <f>SUMIF(Mercado_Receita!$T$2:$T$1866,"44409B2Energia convencionalRuralNão se aplicaNão se aplicaNão se aplicaNão se aplica",Mercado_Receita!$N$2:$N$1866)</f>
        <v>4039.7559999999999</v>
      </c>
      <c r="N29" s="12">
        <f>SUMIF(Mercado_Receita!$T$2:$T$1866,"44440B2Energia convencionalRuralNão se aplicaNão se aplicaNão se aplicaNão se aplica",Mercado_Receita!$N$2:$N$1866)</f>
        <v>4568.1260000000002</v>
      </c>
      <c r="O29" s="12">
        <f>SUMIF(Mercado_Receita!$T$2:$T$1866,"44470B2Energia convencionalRuralNão se aplicaNão se aplicaNão se aplicaNão se aplica",Mercado_Receita!$N$2:$N$1866)</f>
        <v>5443.9719999999998</v>
      </c>
      <c r="P29" s="12">
        <f>SUMIF(Mercado_Receita!$T$2:$T$1866,"44501B2Energia convencionalRuralNão se aplicaNão se aplicaNão se aplicaNão se aplica",Mercado_Receita!$N$2:$N$1866)</f>
        <v>5583.83</v>
      </c>
      <c r="Q29" s="12">
        <f>SUMIF(Mercado_Receita!$T$2:$T$1866,"44531B2Energia convencionalRuralNão se aplicaNão se aplicaNão se aplicaNão se aplica",Mercado_Receita!$N$2:$N$1866)</f>
        <v>5514.4679999999998</v>
      </c>
      <c r="R29" s="12">
        <f>SUMIF(Mercado_Receita!$T$2:$T$1866,"44562B2Energia convencionalRuralNão se aplicaNão se aplicaNão se aplicaNão se aplica",Mercado_Receita!$N$2:$N$1866)</f>
        <v>5443.1900000000005</v>
      </c>
      <c r="S29" s="12">
        <f>SUMIF(Mercado_Receita!$T$2:$T$1866,"44593B2Energia convencionalRuralNão se aplicaNão se aplicaNão se aplicaNão se aplica",Mercado_Receita!$N$2:$N$1866)</f>
        <v>5786.0919999999996</v>
      </c>
      <c r="T29" s="12">
        <f>SUMIF(Mercado_Receita!$T$2:$T$1866,"44621B2Energia convencionalRuralNão se aplicaNão se aplicaNão se aplicaNão se aplica",Mercado_Receita!$N$2:$N$1866)</f>
        <v>5786.0919999999996</v>
      </c>
      <c r="U29" s="12">
        <f t="shared" si="0"/>
        <v>60956.053</v>
      </c>
      <c r="V29" s="12"/>
      <c r="W29" s="12"/>
    </row>
    <row r="30" spans="1:23" ht="11.25" customHeight="1" x14ac:dyDescent="0.25">
      <c r="A30" s="90"/>
      <c r="B30" s="89" t="s">
        <v>92</v>
      </c>
      <c r="C30" s="89" t="s">
        <v>45</v>
      </c>
      <c r="D30" s="89" t="s">
        <v>110</v>
      </c>
      <c r="E30" s="89" t="s">
        <v>25</v>
      </c>
      <c r="F30" s="89" t="s">
        <v>25</v>
      </c>
      <c r="G30" s="12" t="s">
        <v>94</v>
      </c>
      <c r="H30" s="12" t="s">
        <v>93</v>
      </c>
      <c r="I30" s="12">
        <f>SUMIF(Mercado_Receita!$T$2:$T$1866,"44287B2Energia horáriaRuralCooperativa de eletrificação ruralNão se aplicaNão se aplicaPonta",Mercado_Receita!$N$2:$N$1866)</f>
        <v>0</v>
      </c>
      <c r="J30" s="12">
        <f>SUMIF(Mercado_Receita!$T$2:$T$1866,"44317B2Energia horáriaRuralCooperativa de eletrificação ruralNão se aplicaNão se aplicaPonta",Mercado_Receita!$N$2:$N$1866)</f>
        <v>0</v>
      </c>
      <c r="K30" s="12">
        <f>SUMIF(Mercado_Receita!$T$2:$T$1866,"44348B2Energia horáriaRuralCooperativa de eletrificação ruralNão se aplicaNão se aplicaPonta",Mercado_Receita!$N$2:$N$1866)</f>
        <v>0</v>
      </c>
      <c r="L30" s="12">
        <f>SUMIF(Mercado_Receita!$T$2:$T$1866,"44378B2Energia horáriaRuralCooperativa de eletrificação ruralNão se aplicaNão se aplicaPonta",Mercado_Receita!$N$2:$N$1866)</f>
        <v>0</v>
      </c>
      <c r="M30" s="12">
        <f>SUMIF(Mercado_Receita!$T$2:$T$1866,"44409B2Energia horáriaRuralCooperativa de eletrificação ruralNão se aplicaNão se aplicaPonta",Mercado_Receita!$N$2:$N$1866)</f>
        <v>0</v>
      </c>
      <c r="N30" s="12">
        <f>SUMIF(Mercado_Receita!$T$2:$T$1866,"44440B2Energia horáriaRuralCooperativa de eletrificação ruralNão se aplicaNão se aplicaPonta",Mercado_Receita!$N$2:$N$1866)</f>
        <v>0</v>
      </c>
      <c r="O30" s="12">
        <f>SUMIF(Mercado_Receita!$T$2:$T$1866,"44470B2Energia horáriaRuralCooperativa de eletrificação ruralNão se aplicaNão se aplicaPonta",Mercado_Receita!$N$2:$N$1866)</f>
        <v>0</v>
      </c>
      <c r="P30" s="12">
        <f>SUMIF(Mercado_Receita!$T$2:$T$1866,"44501B2Energia horáriaRuralCooperativa de eletrificação ruralNão se aplicaNão se aplicaPonta",Mercado_Receita!$N$2:$N$1866)</f>
        <v>0</v>
      </c>
      <c r="Q30" s="12">
        <f>SUMIF(Mercado_Receita!$T$2:$T$1866,"44531B2Energia horáriaRuralCooperativa de eletrificação ruralNão se aplicaNão se aplicaPonta",Mercado_Receita!$N$2:$N$1866)</f>
        <v>0</v>
      </c>
      <c r="R30" s="12">
        <f>SUMIF(Mercado_Receita!$T$2:$T$1866,"44562B2Energia horáriaRuralCooperativa de eletrificação ruralNão se aplicaNão se aplicaPonta",Mercado_Receita!$N$2:$N$1866)</f>
        <v>0</v>
      </c>
      <c r="S30" s="12">
        <f>SUMIF(Mercado_Receita!$T$2:$T$1866,"44593B2Energia horáriaRuralCooperativa de eletrificação ruralNão se aplicaNão se aplicaPonta",Mercado_Receita!$N$2:$N$1866)</f>
        <v>0</v>
      </c>
      <c r="T30" s="12">
        <f>SUMIF(Mercado_Receita!$T$2:$T$1866,"44621B2Energia horáriaRuralCooperativa de eletrificação ruralNão se aplicaNão se aplicaPonta",Mercado_Receita!$N$2:$N$1866)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90"/>
      <c r="B31" s="90"/>
      <c r="C31" s="90"/>
      <c r="D31" s="90"/>
      <c r="E31" s="90"/>
      <c r="F31" s="90"/>
      <c r="G31" s="12" t="s">
        <v>107</v>
      </c>
      <c r="H31" s="12" t="s">
        <v>93</v>
      </c>
      <c r="I31" s="12">
        <f>SUMIF(Mercado_Receita!$T$2:$T$1866,"44287B2Energia horáriaRuralCooperativa de eletrificação ruralNão se aplicaNão se aplicaIntermediário",Mercado_Receita!$N$2:$N$1866)</f>
        <v>0</v>
      </c>
      <c r="J31" s="12">
        <f>SUMIF(Mercado_Receita!$T$2:$T$1866,"44317B2Energia horáriaRuralCooperativa de eletrificação ruralNão se aplicaNão se aplicaIntermediário",Mercado_Receita!$N$2:$N$1866)</f>
        <v>0</v>
      </c>
      <c r="K31" s="12">
        <f>SUMIF(Mercado_Receita!$T$2:$T$1866,"44348B2Energia horáriaRuralCooperativa de eletrificação ruralNão se aplicaNão se aplicaIntermediário",Mercado_Receita!$N$2:$N$1866)</f>
        <v>0</v>
      </c>
      <c r="L31" s="12">
        <f>SUMIF(Mercado_Receita!$T$2:$T$1866,"44378B2Energia horáriaRuralCooperativa de eletrificação ruralNão se aplicaNão se aplicaIntermediário",Mercado_Receita!$N$2:$N$1866)</f>
        <v>0</v>
      </c>
      <c r="M31" s="12">
        <f>SUMIF(Mercado_Receita!$T$2:$T$1866,"44409B2Energia horáriaRuralCooperativa de eletrificação ruralNão se aplicaNão se aplicaIntermediário",Mercado_Receita!$N$2:$N$1866)</f>
        <v>0</v>
      </c>
      <c r="N31" s="12">
        <f>SUMIF(Mercado_Receita!$T$2:$T$1866,"44440B2Energia horáriaRuralCooperativa de eletrificação ruralNão se aplicaNão se aplicaIntermediário",Mercado_Receita!$N$2:$N$1866)</f>
        <v>0</v>
      </c>
      <c r="O31" s="12">
        <f>SUMIF(Mercado_Receita!$T$2:$T$1866,"44470B2Energia horáriaRuralCooperativa de eletrificação ruralNão se aplicaNão se aplicaIntermediário",Mercado_Receita!$N$2:$N$1866)</f>
        <v>0</v>
      </c>
      <c r="P31" s="12">
        <f>SUMIF(Mercado_Receita!$T$2:$T$1866,"44501B2Energia horáriaRuralCooperativa de eletrificação ruralNão se aplicaNão se aplicaIntermediário",Mercado_Receita!$N$2:$N$1866)</f>
        <v>0</v>
      </c>
      <c r="Q31" s="12">
        <f>SUMIF(Mercado_Receita!$T$2:$T$1866,"44531B2Energia horáriaRuralCooperativa de eletrificação ruralNão se aplicaNão se aplicaIntermediário",Mercado_Receita!$N$2:$N$1866)</f>
        <v>0</v>
      </c>
      <c r="R31" s="12">
        <f>SUMIF(Mercado_Receita!$T$2:$T$1866,"44562B2Energia horáriaRuralCooperativa de eletrificação ruralNão se aplicaNão se aplicaIntermediário",Mercado_Receita!$N$2:$N$1866)</f>
        <v>0</v>
      </c>
      <c r="S31" s="12">
        <f>SUMIF(Mercado_Receita!$T$2:$T$1866,"44593B2Energia horáriaRuralCooperativa de eletrificação ruralNão se aplicaNão se aplicaIntermediário",Mercado_Receita!$N$2:$N$1866)</f>
        <v>0</v>
      </c>
      <c r="T31" s="12">
        <f>SUMIF(Mercado_Receita!$T$2:$T$1866,"44621B2Energia horáriaRuralCooperativa de eletrificação ruralNão se aplicaNão se aplicaIntermediário",Mercado_Receita!$N$2:$N$1866)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90"/>
      <c r="B32" s="90"/>
      <c r="C32" s="90"/>
      <c r="D32" s="90"/>
      <c r="E32" s="90"/>
      <c r="F32" s="90"/>
      <c r="G32" s="12" t="s">
        <v>95</v>
      </c>
      <c r="H32" s="12" t="s">
        <v>93</v>
      </c>
      <c r="I32" s="12">
        <f>SUMIF(Mercado_Receita!$T$2:$T$1866,"44287B2Energia horáriaRuralCooperativa de eletrificação ruralNão se aplicaNão se aplicaFora ponta",Mercado_Receita!$N$2:$N$1866)</f>
        <v>0</v>
      </c>
      <c r="J32" s="12">
        <f>SUMIF(Mercado_Receita!$T$2:$T$1866,"44317B2Energia horáriaRuralCooperativa de eletrificação ruralNão se aplicaNão se aplicaFora ponta",Mercado_Receita!$N$2:$N$1866)</f>
        <v>0</v>
      </c>
      <c r="K32" s="12">
        <f>SUMIF(Mercado_Receita!$T$2:$T$1866,"44348B2Energia horáriaRuralCooperativa de eletrificação ruralNão se aplicaNão se aplicaFora ponta",Mercado_Receita!$N$2:$N$1866)</f>
        <v>0</v>
      </c>
      <c r="L32" s="12">
        <f>SUMIF(Mercado_Receita!$T$2:$T$1866,"44378B2Energia horáriaRuralCooperativa de eletrificação ruralNão se aplicaNão se aplicaFora ponta",Mercado_Receita!$N$2:$N$1866)</f>
        <v>0</v>
      </c>
      <c r="M32" s="12">
        <f>SUMIF(Mercado_Receita!$T$2:$T$1866,"44409B2Energia horáriaRuralCooperativa de eletrificação ruralNão se aplicaNão se aplicaFora ponta",Mercado_Receita!$N$2:$N$1866)</f>
        <v>0</v>
      </c>
      <c r="N32" s="12">
        <f>SUMIF(Mercado_Receita!$T$2:$T$1866,"44440B2Energia horáriaRuralCooperativa de eletrificação ruralNão se aplicaNão se aplicaFora ponta",Mercado_Receita!$N$2:$N$1866)</f>
        <v>0</v>
      </c>
      <c r="O32" s="12">
        <f>SUMIF(Mercado_Receita!$T$2:$T$1866,"44470B2Energia horáriaRuralCooperativa de eletrificação ruralNão se aplicaNão se aplicaFora ponta",Mercado_Receita!$N$2:$N$1866)</f>
        <v>0</v>
      </c>
      <c r="P32" s="12">
        <f>SUMIF(Mercado_Receita!$T$2:$T$1866,"44501B2Energia horáriaRuralCooperativa de eletrificação ruralNão se aplicaNão se aplicaFora ponta",Mercado_Receita!$N$2:$N$1866)</f>
        <v>0</v>
      </c>
      <c r="Q32" s="12">
        <f>SUMIF(Mercado_Receita!$T$2:$T$1866,"44531B2Energia horáriaRuralCooperativa de eletrificação ruralNão se aplicaNão se aplicaFora ponta",Mercado_Receita!$N$2:$N$1866)</f>
        <v>0</v>
      </c>
      <c r="R32" s="12">
        <f>SUMIF(Mercado_Receita!$T$2:$T$1866,"44562B2Energia horáriaRuralCooperativa de eletrificação ruralNão se aplicaNão se aplicaFora ponta",Mercado_Receita!$N$2:$N$1866)</f>
        <v>0</v>
      </c>
      <c r="S32" s="12">
        <f>SUMIF(Mercado_Receita!$T$2:$T$1866,"44593B2Energia horáriaRuralCooperativa de eletrificação ruralNão se aplicaNão se aplicaFora ponta",Mercado_Receita!$N$2:$N$1866)</f>
        <v>0</v>
      </c>
      <c r="T32" s="12">
        <f>SUMIF(Mercado_Receita!$T$2:$T$1866,"44621B2Energia horáriaRuralCooperativa de eletrificação ruralNão se aplicaNão se aplicaFora ponta",Mercado_Receita!$N$2:$N$1866)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90"/>
      <c r="B33" s="13" t="s">
        <v>103</v>
      </c>
      <c r="C33" s="13" t="s">
        <v>45</v>
      </c>
      <c r="D33" s="13" t="s">
        <v>110</v>
      </c>
      <c r="E33" s="13" t="s">
        <v>25</v>
      </c>
      <c r="F33" s="13" t="s">
        <v>25</v>
      </c>
      <c r="G33" s="12" t="s">
        <v>98</v>
      </c>
      <c r="H33" s="12" t="s">
        <v>93</v>
      </c>
      <c r="I33" s="12">
        <f>SUMIF(Mercado_Receita!$T$2:$T$1866,"44287B2Energia convencionalRuralCooperativa de eletrificação ruralNão se aplicaNão se aplicaNão se aplica",Mercado_Receita!$N$2:$N$1866)</f>
        <v>0</v>
      </c>
      <c r="J33" s="12">
        <f>SUMIF(Mercado_Receita!$T$2:$T$1866,"44317B2Energia convencionalRuralCooperativa de eletrificação ruralNão se aplicaNão se aplicaNão se aplica",Mercado_Receita!$N$2:$N$1866)</f>
        <v>0</v>
      </c>
      <c r="K33" s="12">
        <f>SUMIF(Mercado_Receita!$T$2:$T$1866,"44348B2Energia convencionalRuralCooperativa de eletrificação ruralNão se aplicaNão se aplicaNão se aplica",Mercado_Receita!$N$2:$N$1866)</f>
        <v>0</v>
      </c>
      <c r="L33" s="12">
        <f>SUMIF(Mercado_Receita!$T$2:$T$1866,"44378B2Energia convencionalRuralCooperativa de eletrificação ruralNão se aplicaNão se aplicaNão se aplica",Mercado_Receita!$N$2:$N$1866)</f>
        <v>0</v>
      </c>
      <c r="M33" s="12">
        <f>SUMIF(Mercado_Receita!$T$2:$T$1866,"44409B2Energia convencionalRuralCooperativa de eletrificação ruralNão se aplicaNão se aplicaNão se aplica",Mercado_Receita!$N$2:$N$1866)</f>
        <v>0</v>
      </c>
      <c r="N33" s="12">
        <f>SUMIF(Mercado_Receita!$T$2:$T$1866,"44440B2Energia convencionalRuralCooperativa de eletrificação ruralNão se aplicaNão se aplicaNão se aplica",Mercado_Receita!$N$2:$N$1866)</f>
        <v>0</v>
      </c>
      <c r="O33" s="12">
        <f>SUMIF(Mercado_Receita!$T$2:$T$1866,"44470B2Energia convencionalRuralCooperativa de eletrificação ruralNão se aplicaNão se aplicaNão se aplica",Mercado_Receita!$N$2:$N$1866)</f>
        <v>0</v>
      </c>
      <c r="P33" s="12">
        <f>SUMIF(Mercado_Receita!$T$2:$T$1866,"44501B2Energia convencionalRuralCooperativa de eletrificação ruralNão se aplicaNão se aplicaNão se aplica",Mercado_Receita!$N$2:$N$1866)</f>
        <v>0</v>
      </c>
      <c r="Q33" s="12">
        <f>SUMIF(Mercado_Receita!$T$2:$T$1866,"44531B2Energia convencionalRuralCooperativa de eletrificação ruralNão se aplicaNão se aplicaNão se aplica",Mercado_Receita!$N$2:$N$1866)</f>
        <v>0</v>
      </c>
      <c r="R33" s="12">
        <f>SUMIF(Mercado_Receita!$T$2:$T$1866,"44562B2Energia convencionalRuralCooperativa de eletrificação ruralNão se aplicaNão se aplicaNão se aplica",Mercado_Receita!$N$2:$N$1866)</f>
        <v>0</v>
      </c>
      <c r="S33" s="12">
        <f>SUMIF(Mercado_Receita!$T$2:$T$1866,"44593B2Energia convencionalRuralCooperativa de eletrificação ruralNão se aplicaNão se aplicaNão se aplica",Mercado_Receita!$N$2:$N$1866)</f>
        <v>0</v>
      </c>
      <c r="T33" s="12">
        <f>SUMIF(Mercado_Receita!$T$2:$T$1866,"44621B2Energia convencionalRuralCooperativa de eletrificação ruralNão se aplicaNão se aplicaNão se aplica",Mercado_Receita!$N$2:$N$1866)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90"/>
      <c r="B34" s="89" t="s">
        <v>92</v>
      </c>
      <c r="C34" s="89" t="s">
        <v>45</v>
      </c>
      <c r="D34" s="89" t="s">
        <v>111</v>
      </c>
      <c r="E34" s="89" t="s">
        <v>25</v>
      </c>
      <c r="F34" s="89" t="s">
        <v>25</v>
      </c>
      <c r="G34" s="12" t="s">
        <v>94</v>
      </c>
      <c r="H34" s="12" t="s">
        <v>93</v>
      </c>
      <c r="I34" s="12">
        <f>SUMIF(Mercado_Receita!$T$2:$T$1866,"44287B2Energia horáriaRuralServiço público de irrigação ruralNão se aplicaNão se aplicaPonta",Mercado_Receita!$N$2:$N$1866)</f>
        <v>0</v>
      </c>
      <c r="J34" s="12">
        <f>SUMIF(Mercado_Receita!$T$2:$T$1866,"44317B2Energia horáriaRuralServiço público de irrigação ruralNão se aplicaNão se aplicaPonta",Mercado_Receita!$N$2:$N$1866)</f>
        <v>0</v>
      </c>
      <c r="K34" s="12">
        <f>SUMIF(Mercado_Receita!$T$2:$T$1866,"44348B2Energia horáriaRuralServiço público de irrigação ruralNão se aplicaNão se aplicaPonta",Mercado_Receita!$N$2:$N$1866)</f>
        <v>0</v>
      </c>
      <c r="L34" s="12">
        <f>SUMIF(Mercado_Receita!$T$2:$T$1866,"44378B2Energia horáriaRuralServiço público de irrigação ruralNão se aplicaNão se aplicaPonta",Mercado_Receita!$N$2:$N$1866)</f>
        <v>0</v>
      </c>
      <c r="M34" s="12">
        <f>SUMIF(Mercado_Receita!$T$2:$T$1866,"44409B2Energia horáriaRuralServiço público de irrigação ruralNão se aplicaNão se aplicaPonta",Mercado_Receita!$N$2:$N$1866)</f>
        <v>0</v>
      </c>
      <c r="N34" s="12">
        <f>SUMIF(Mercado_Receita!$T$2:$T$1866,"44440B2Energia horáriaRuralServiço público de irrigação ruralNão se aplicaNão se aplicaPonta",Mercado_Receita!$N$2:$N$1866)</f>
        <v>0</v>
      </c>
      <c r="O34" s="12">
        <f>SUMIF(Mercado_Receita!$T$2:$T$1866,"44470B2Energia horáriaRuralServiço público de irrigação ruralNão se aplicaNão se aplicaPonta",Mercado_Receita!$N$2:$N$1866)</f>
        <v>0</v>
      </c>
      <c r="P34" s="12">
        <f>SUMIF(Mercado_Receita!$T$2:$T$1866,"44501B2Energia horáriaRuralServiço público de irrigação ruralNão se aplicaNão se aplicaPonta",Mercado_Receita!$N$2:$N$1866)</f>
        <v>0</v>
      </c>
      <c r="Q34" s="12">
        <f>SUMIF(Mercado_Receita!$T$2:$T$1866,"44531B2Energia horáriaRuralServiço público de irrigação ruralNão se aplicaNão se aplicaPonta",Mercado_Receita!$N$2:$N$1866)</f>
        <v>0</v>
      </c>
      <c r="R34" s="12">
        <f>SUMIF(Mercado_Receita!$T$2:$T$1866,"44562B2Energia horáriaRuralServiço público de irrigação ruralNão se aplicaNão se aplicaPonta",Mercado_Receita!$N$2:$N$1866)</f>
        <v>0</v>
      </c>
      <c r="S34" s="12">
        <f>SUMIF(Mercado_Receita!$T$2:$T$1866,"44593B2Energia horáriaRuralServiço público de irrigação ruralNão se aplicaNão se aplicaPonta",Mercado_Receita!$N$2:$N$1866)</f>
        <v>0</v>
      </c>
      <c r="T34" s="12">
        <f>SUMIF(Mercado_Receita!$T$2:$T$1866,"44621B2Energia horáriaRuralServiço público de irrigação ruralNão se aplicaNão se aplicaPonta",Mercado_Receita!$N$2:$N$1866)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90"/>
      <c r="B35" s="90"/>
      <c r="C35" s="90"/>
      <c r="D35" s="90"/>
      <c r="E35" s="90"/>
      <c r="F35" s="90"/>
      <c r="G35" s="12" t="s">
        <v>107</v>
      </c>
      <c r="H35" s="12" t="s">
        <v>93</v>
      </c>
      <c r="I35" s="12">
        <f>SUMIF(Mercado_Receita!$T$2:$T$1866,"44287B2Energia horáriaRuralServiço público de irrigação ruralNão se aplicaNão se aplicaIntermediário",Mercado_Receita!$N$2:$N$1866)</f>
        <v>0</v>
      </c>
      <c r="J35" s="12">
        <f>SUMIF(Mercado_Receita!$T$2:$T$1866,"44317B2Energia horáriaRuralServiço público de irrigação ruralNão se aplicaNão se aplicaIntermediário",Mercado_Receita!$N$2:$N$1866)</f>
        <v>0</v>
      </c>
      <c r="K35" s="12">
        <f>SUMIF(Mercado_Receita!$T$2:$T$1866,"44348B2Energia horáriaRuralServiço público de irrigação ruralNão se aplicaNão se aplicaIntermediário",Mercado_Receita!$N$2:$N$1866)</f>
        <v>0</v>
      </c>
      <c r="L35" s="12">
        <f>SUMIF(Mercado_Receita!$T$2:$T$1866,"44378B2Energia horáriaRuralServiço público de irrigação ruralNão se aplicaNão se aplicaIntermediário",Mercado_Receita!$N$2:$N$1866)</f>
        <v>0</v>
      </c>
      <c r="M35" s="12">
        <f>SUMIF(Mercado_Receita!$T$2:$T$1866,"44409B2Energia horáriaRuralServiço público de irrigação ruralNão se aplicaNão se aplicaIntermediário",Mercado_Receita!$N$2:$N$1866)</f>
        <v>0</v>
      </c>
      <c r="N35" s="12">
        <f>SUMIF(Mercado_Receita!$T$2:$T$1866,"44440B2Energia horáriaRuralServiço público de irrigação ruralNão se aplicaNão se aplicaIntermediário",Mercado_Receita!$N$2:$N$1866)</f>
        <v>0</v>
      </c>
      <c r="O35" s="12">
        <f>SUMIF(Mercado_Receita!$T$2:$T$1866,"44470B2Energia horáriaRuralServiço público de irrigação ruralNão se aplicaNão se aplicaIntermediário",Mercado_Receita!$N$2:$N$1866)</f>
        <v>0</v>
      </c>
      <c r="P35" s="12">
        <f>SUMIF(Mercado_Receita!$T$2:$T$1866,"44501B2Energia horáriaRuralServiço público de irrigação ruralNão se aplicaNão se aplicaIntermediário",Mercado_Receita!$N$2:$N$1866)</f>
        <v>0</v>
      </c>
      <c r="Q35" s="12">
        <f>SUMIF(Mercado_Receita!$T$2:$T$1866,"44531B2Energia horáriaRuralServiço público de irrigação ruralNão se aplicaNão se aplicaIntermediário",Mercado_Receita!$N$2:$N$1866)</f>
        <v>0</v>
      </c>
      <c r="R35" s="12">
        <f>SUMIF(Mercado_Receita!$T$2:$T$1866,"44562B2Energia horáriaRuralServiço público de irrigação ruralNão se aplicaNão se aplicaIntermediário",Mercado_Receita!$N$2:$N$1866)</f>
        <v>0</v>
      </c>
      <c r="S35" s="12">
        <f>SUMIF(Mercado_Receita!$T$2:$T$1866,"44593B2Energia horáriaRuralServiço público de irrigação ruralNão se aplicaNão se aplicaIntermediário",Mercado_Receita!$N$2:$N$1866)</f>
        <v>0</v>
      </c>
      <c r="T35" s="12">
        <f>SUMIF(Mercado_Receita!$T$2:$T$1866,"44621B2Energia horáriaRuralServiço público de irrigação ruralNão se aplicaNão se aplicaIntermediário",Mercado_Receita!$N$2:$N$1866)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90"/>
      <c r="B36" s="90"/>
      <c r="C36" s="90"/>
      <c r="D36" s="90"/>
      <c r="E36" s="90"/>
      <c r="F36" s="90"/>
      <c r="G36" s="12" t="s">
        <v>95</v>
      </c>
      <c r="H36" s="12" t="s">
        <v>93</v>
      </c>
      <c r="I36" s="12">
        <f>SUMIF(Mercado_Receita!$T$2:$T$1866,"44287B2Energia horáriaRuralServiço público de irrigação ruralNão se aplicaNão se aplicaFora ponta",Mercado_Receita!$N$2:$N$1866)</f>
        <v>0</v>
      </c>
      <c r="J36" s="12">
        <f>SUMIF(Mercado_Receita!$T$2:$T$1866,"44317B2Energia horáriaRuralServiço público de irrigação ruralNão se aplicaNão se aplicaFora ponta",Mercado_Receita!$N$2:$N$1866)</f>
        <v>0</v>
      </c>
      <c r="K36" s="12">
        <f>SUMIF(Mercado_Receita!$T$2:$T$1866,"44348B2Energia horáriaRuralServiço público de irrigação ruralNão se aplicaNão se aplicaFora ponta",Mercado_Receita!$N$2:$N$1866)</f>
        <v>0</v>
      </c>
      <c r="L36" s="12">
        <f>SUMIF(Mercado_Receita!$T$2:$T$1866,"44378B2Energia horáriaRuralServiço público de irrigação ruralNão se aplicaNão se aplicaFora ponta",Mercado_Receita!$N$2:$N$1866)</f>
        <v>0</v>
      </c>
      <c r="M36" s="12">
        <f>SUMIF(Mercado_Receita!$T$2:$T$1866,"44409B2Energia horáriaRuralServiço público de irrigação ruralNão se aplicaNão se aplicaFora ponta",Mercado_Receita!$N$2:$N$1866)</f>
        <v>0</v>
      </c>
      <c r="N36" s="12">
        <f>SUMIF(Mercado_Receita!$T$2:$T$1866,"44440B2Energia horáriaRuralServiço público de irrigação ruralNão se aplicaNão se aplicaFora ponta",Mercado_Receita!$N$2:$N$1866)</f>
        <v>0</v>
      </c>
      <c r="O36" s="12">
        <f>SUMIF(Mercado_Receita!$T$2:$T$1866,"44470B2Energia horáriaRuralServiço público de irrigação ruralNão se aplicaNão se aplicaFora ponta",Mercado_Receita!$N$2:$N$1866)</f>
        <v>0</v>
      </c>
      <c r="P36" s="12">
        <f>SUMIF(Mercado_Receita!$T$2:$T$1866,"44501B2Energia horáriaRuralServiço público de irrigação ruralNão se aplicaNão se aplicaFora ponta",Mercado_Receita!$N$2:$N$1866)</f>
        <v>0</v>
      </c>
      <c r="Q36" s="12">
        <f>SUMIF(Mercado_Receita!$T$2:$T$1866,"44531B2Energia horáriaRuralServiço público de irrigação ruralNão se aplicaNão se aplicaFora ponta",Mercado_Receita!$N$2:$N$1866)</f>
        <v>0</v>
      </c>
      <c r="R36" s="12">
        <f>SUMIF(Mercado_Receita!$T$2:$T$1866,"44562B2Energia horáriaRuralServiço público de irrigação ruralNão se aplicaNão se aplicaFora ponta",Mercado_Receita!$N$2:$N$1866)</f>
        <v>0</v>
      </c>
      <c r="S36" s="12">
        <f>SUMIF(Mercado_Receita!$T$2:$T$1866,"44593B2Energia horáriaRuralServiço público de irrigação ruralNão se aplicaNão se aplicaFora ponta",Mercado_Receita!$N$2:$N$1866)</f>
        <v>0</v>
      </c>
      <c r="T36" s="12">
        <f>SUMIF(Mercado_Receita!$T$2:$T$1866,"44621B2Energia horáriaRuralServiço público de irrigação ruralNão se aplicaNão se aplicaFora ponta",Mercado_Receita!$N$2:$N$1866)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90"/>
      <c r="B37" s="13" t="s">
        <v>103</v>
      </c>
      <c r="C37" s="13" t="s">
        <v>45</v>
      </c>
      <c r="D37" s="13" t="s">
        <v>111</v>
      </c>
      <c r="E37" s="13" t="s">
        <v>25</v>
      </c>
      <c r="F37" s="13" t="s">
        <v>25</v>
      </c>
      <c r="G37" s="12" t="s">
        <v>98</v>
      </c>
      <c r="H37" s="12" t="s">
        <v>93</v>
      </c>
      <c r="I37" s="12">
        <f>SUMIF(Mercado_Receita!$T$2:$T$1866,"44287B2Energia convencionalRuralServiço público de irrigação ruralNão se aplicaNão se aplicaNão se aplica",Mercado_Receita!$N$2:$N$1866)</f>
        <v>0</v>
      </c>
      <c r="J37" s="12">
        <f>SUMIF(Mercado_Receita!$T$2:$T$1866,"44317B2Energia convencionalRuralServiço público de irrigação ruralNão se aplicaNão se aplicaNão se aplica",Mercado_Receita!$N$2:$N$1866)</f>
        <v>0</v>
      </c>
      <c r="K37" s="12">
        <f>SUMIF(Mercado_Receita!$T$2:$T$1866,"44348B2Energia convencionalRuralServiço público de irrigação ruralNão se aplicaNão se aplicaNão se aplica",Mercado_Receita!$N$2:$N$1866)</f>
        <v>0</v>
      </c>
      <c r="L37" s="12">
        <f>SUMIF(Mercado_Receita!$T$2:$T$1866,"44378B2Energia convencionalRuralServiço público de irrigação ruralNão se aplicaNão se aplicaNão se aplica",Mercado_Receita!$N$2:$N$1866)</f>
        <v>0</v>
      </c>
      <c r="M37" s="12">
        <f>SUMIF(Mercado_Receita!$T$2:$T$1866,"44409B2Energia convencionalRuralServiço público de irrigação ruralNão se aplicaNão se aplicaNão se aplica",Mercado_Receita!$N$2:$N$1866)</f>
        <v>0</v>
      </c>
      <c r="N37" s="12">
        <f>SUMIF(Mercado_Receita!$T$2:$T$1866,"44440B2Energia convencionalRuralServiço público de irrigação ruralNão se aplicaNão se aplicaNão se aplica",Mercado_Receita!$N$2:$N$1866)</f>
        <v>0</v>
      </c>
      <c r="O37" s="12">
        <f>SUMIF(Mercado_Receita!$T$2:$T$1866,"44470B2Energia convencionalRuralServiço público de irrigação ruralNão se aplicaNão se aplicaNão se aplica",Mercado_Receita!$N$2:$N$1866)</f>
        <v>0</v>
      </c>
      <c r="P37" s="12">
        <f>SUMIF(Mercado_Receita!$T$2:$T$1866,"44501B2Energia convencionalRuralServiço público de irrigação ruralNão se aplicaNão se aplicaNão se aplica",Mercado_Receita!$N$2:$N$1866)</f>
        <v>0</v>
      </c>
      <c r="Q37" s="12">
        <f>SUMIF(Mercado_Receita!$T$2:$T$1866,"44531B2Energia convencionalRuralServiço público de irrigação ruralNão se aplicaNão se aplicaNão se aplica",Mercado_Receita!$N$2:$N$1866)</f>
        <v>0</v>
      </c>
      <c r="R37" s="12">
        <f>SUMIF(Mercado_Receita!$T$2:$T$1866,"44562B2Energia convencionalRuralServiço público de irrigação ruralNão se aplicaNão se aplicaNão se aplica",Mercado_Receita!$N$2:$N$1866)</f>
        <v>0</v>
      </c>
      <c r="S37" s="12">
        <f>SUMIF(Mercado_Receita!$T$2:$T$1866,"44593B2Energia convencionalRuralServiço público de irrigação ruralNão se aplicaNão se aplicaNão se aplica",Mercado_Receita!$N$2:$N$1866)</f>
        <v>0</v>
      </c>
      <c r="T37" s="12">
        <f>SUMIF(Mercado_Receita!$T$2:$T$1866,"44621B2Energia convencionalRuralServiço público de irrigação ruralNão se aplicaNão se aplicaNão se aplica",Mercado_Receita!$N$2:$N$1866)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90"/>
      <c r="B38" s="89" t="s">
        <v>108</v>
      </c>
      <c r="C38" s="89" t="s">
        <v>45</v>
      </c>
      <c r="D38" s="13" t="s">
        <v>25</v>
      </c>
      <c r="E38" s="13" t="s">
        <v>25</v>
      </c>
      <c r="F38" s="13" t="s">
        <v>25</v>
      </c>
      <c r="G38" s="12" t="s">
        <v>98</v>
      </c>
      <c r="H38" s="12" t="s">
        <v>93</v>
      </c>
      <c r="I38" s="12">
        <f>SUMIF(Mercado_Receita!$T$2:$T$1866,"44287B2Energia convencional pré-pagamentoRuralNão se aplicaNão se aplicaNão se aplicaNão se aplica",Mercado_Receita!$N$2:$N$1866)</f>
        <v>0</v>
      </c>
      <c r="J38" s="12">
        <f>SUMIF(Mercado_Receita!$T$2:$T$1866,"44317B2Energia convencional pré-pagamentoRuralNão se aplicaNão se aplicaNão se aplicaNão se aplica",Mercado_Receita!$N$2:$N$1866)</f>
        <v>0</v>
      </c>
      <c r="K38" s="12">
        <f>SUMIF(Mercado_Receita!$T$2:$T$1866,"44348B2Energia convencional pré-pagamentoRuralNão se aplicaNão se aplicaNão se aplicaNão se aplica",Mercado_Receita!$N$2:$N$1866)</f>
        <v>0</v>
      </c>
      <c r="L38" s="12">
        <f>SUMIF(Mercado_Receita!$T$2:$T$1866,"44378B2Energia convencional pré-pagamentoRuralNão se aplicaNão se aplicaNão se aplicaNão se aplica",Mercado_Receita!$N$2:$N$1866)</f>
        <v>0</v>
      </c>
      <c r="M38" s="12">
        <f>SUMIF(Mercado_Receita!$T$2:$T$1866,"44409B2Energia convencional pré-pagamentoRuralNão se aplicaNão se aplicaNão se aplicaNão se aplica",Mercado_Receita!$N$2:$N$1866)</f>
        <v>0</v>
      </c>
      <c r="N38" s="12">
        <f>SUMIF(Mercado_Receita!$T$2:$T$1866,"44440B2Energia convencional pré-pagamentoRuralNão se aplicaNão se aplicaNão se aplicaNão se aplica",Mercado_Receita!$N$2:$N$1866)</f>
        <v>0</v>
      </c>
      <c r="O38" s="12">
        <f>SUMIF(Mercado_Receita!$T$2:$T$1866,"44470B2Energia convencional pré-pagamentoRuralNão se aplicaNão se aplicaNão se aplicaNão se aplica",Mercado_Receita!$N$2:$N$1866)</f>
        <v>0</v>
      </c>
      <c r="P38" s="12">
        <f>SUMIF(Mercado_Receita!$T$2:$T$1866,"44501B2Energia convencional pré-pagamentoRuralNão se aplicaNão se aplicaNão se aplicaNão se aplica",Mercado_Receita!$N$2:$N$1866)</f>
        <v>0</v>
      </c>
      <c r="Q38" s="12">
        <f>SUMIF(Mercado_Receita!$T$2:$T$1866,"44531B2Energia convencional pré-pagamentoRuralNão se aplicaNão se aplicaNão se aplicaNão se aplica",Mercado_Receita!$N$2:$N$1866)</f>
        <v>0</v>
      </c>
      <c r="R38" s="12">
        <f>SUMIF(Mercado_Receita!$T$2:$T$1866,"44562B2Energia convencional pré-pagamentoRuralNão se aplicaNão se aplicaNão se aplicaNão se aplica",Mercado_Receita!$N$2:$N$1866)</f>
        <v>0</v>
      </c>
      <c r="S38" s="12">
        <f>SUMIF(Mercado_Receita!$T$2:$T$1866,"44593B2Energia convencional pré-pagamentoRuralNão se aplicaNão se aplicaNão se aplicaNão se aplica",Mercado_Receita!$N$2:$N$1866)</f>
        <v>0</v>
      </c>
      <c r="T38" s="12">
        <f>SUMIF(Mercado_Receita!$T$2:$T$1866,"44621B2Energia convencional pré-pagamentoRuralNão se aplicaNão se aplicaNão se aplicaNão se aplica",Mercado_Receita!$N$2:$N$1866)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90"/>
      <c r="B39" s="90"/>
      <c r="C39" s="90"/>
      <c r="D39" s="13" t="s">
        <v>110</v>
      </c>
      <c r="E39" s="13" t="s">
        <v>25</v>
      </c>
      <c r="F39" s="13" t="s">
        <v>25</v>
      </c>
      <c r="G39" s="12" t="s">
        <v>98</v>
      </c>
      <c r="H39" s="12" t="s">
        <v>93</v>
      </c>
      <c r="I39" s="12">
        <f>SUMIF(Mercado_Receita!$T$2:$T$1866,"44287B2Energia convencional pré-pagamentoRuralCooperativa de eletrificação ruralNão se aplicaNão se aplicaNão se aplica",Mercado_Receita!$N$2:$N$1866)</f>
        <v>0</v>
      </c>
      <c r="J39" s="12">
        <f>SUMIF(Mercado_Receita!$T$2:$T$1866,"44317B2Energia convencional pré-pagamentoRuralCooperativa de eletrificação ruralNão se aplicaNão se aplicaNão se aplica",Mercado_Receita!$N$2:$N$1866)</f>
        <v>0</v>
      </c>
      <c r="K39" s="12">
        <f>SUMIF(Mercado_Receita!$T$2:$T$1866,"44348B2Energia convencional pré-pagamentoRuralCooperativa de eletrificação ruralNão se aplicaNão se aplicaNão se aplica",Mercado_Receita!$N$2:$N$1866)</f>
        <v>0</v>
      </c>
      <c r="L39" s="12">
        <f>SUMIF(Mercado_Receita!$T$2:$T$1866,"44378B2Energia convencional pré-pagamentoRuralCooperativa de eletrificação ruralNão se aplicaNão se aplicaNão se aplica",Mercado_Receita!$N$2:$N$1866)</f>
        <v>0</v>
      </c>
      <c r="M39" s="12">
        <f>SUMIF(Mercado_Receita!$T$2:$T$1866,"44409B2Energia convencional pré-pagamentoRuralCooperativa de eletrificação ruralNão se aplicaNão se aplicaNão se aplica",Mercado_Receita!$N$2:$N$1866)</f>
        <v>0</v>
      </c>
      <c r="N39" s="12">
        <f>SUMIF(Mercado_Receita!$T$2:$T$1866,"44440B2Energia convencional pré-pagamentoRuralCooperativa de eletrificação ruralNão se aplicaNão se aplicaNão se aplica",Mercado_Receita!$N$2:$N$1866)</f>
        <v>0</v>
      </c>
      <c r="O39" s="12">
        <f>SUMIF(Mercado_Receita!$T$2:$T$1866,"44470B2Energia convencional pré-pagamentoRuralCooperativa de eletrificação ruralNão se aplicaNão se aplicaNão se aplica",Mercado_Receita!$N$2:$N$1866)</f>
        <v>0</v>
      </c>
      <c r="P39" s="12">
        <f>SUMIF(Mercado_Receita!$T$2:$T$1866,"44501B2Energia convencional pré-pagamentoRuralCooperativa de eletrificação ruralNão se aplicaNão se aplicaNão se aplica",Mercado_Receita!$N$2:$N$1866)</f>
        <v>0</v>
      </c>
      <c r="Q39" s="12">
        <f>SUMIF(Mercado_Receita!$T$2:$T$1866,"44531B2Energia convencional pré-pagamentoRuralCooperativa de eletrificação ruralNão se aplicaNão se aplicaNão se aplica",Mercado_Receita!$N$2:$N$1866)</f>
        <v>0</v>
      </c>
      <c r="R39" s="12">
        <f>SUMIF(Mercado_Receita!$T$2:$T$1866,"44562B2Energia convencional pré-pagamentoRuralCooperativa de eletrificação ruralNão se aplicaNão se aplicaNão se aplica",Mercado_Receita!$N$2:$N$1866)</f>
        <v>0</v>
      </c>
      <c r="S39" s="12">
        <f>SUMIF(Mercado_Receita!$T$2:$T$1866,"44593B2Energia convencional pré-pagamentoRuralCooperativa de eletrificação ruralNão se aplicaNão se aplicaNão se aplica",Mercado_Receita!$N$2:$N$1866)</f>
        <v>0</v>
      </c>
      <c r="T39" s="12">
        <f>SUMIF(Mercado_Receita!$T$2:$T$1866,"44621B2Energia convencional pré-pagamentoRuralCooperativa de eletrificação ruralNão se aplicaNão se aplicaNão se aplica",Mercado_Receita!$N$2:$N$1866)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90"/>
      <c r="B40" s="90"/>
      <c r="C40" s="90"/>
      <c r="D40" s="13" t="s">
        <v>111</v>
      </c>
      <c r="E40" s="13" t="s">
        <v>25</v>
      </c>
      <c r="F40" s="13" t="s">
        <v>25</v>
      </c>
      <c r="G40" s="12" t="s">
        <v>98</v>
      </c>
      <c r="H40" s="12" t="s">
        <v>93</v>
      </c>
      <c r="I40" s="12">
        <f>SUMIF(Mercado_Receita!$T$2:$T$1866,"44287B2Energia convencional pré-pagamentoRuralServiço público de irrigação ruralNão se aplicaNão se aplicaNão se aplica",Mercado_Receita!$N$2:$N$1866)</f>
        <v>0</v>
      </c>
      <c r="J40" s="12">
        <f>SUMIF(Mercado_Receita!$T$2:$T$1866,"44317B2Energia convencional pré-pagamentoRuralServiço público de irrigação ruralNão se aplicaNão se aplicaNão se aplica",Mercado_Receita!$N$2:$N$1866)</f>
        <v>0</v>
      </c>
      <c r="K40" s="12">
        <f>SUMIF(Mercado_Receita!$T$2:$T$1866,"44348B2Energia convencional pré-pagamentoRuralServiço público de irrigação ruralNão se aplicaNão se aplicaNão se aplica",Mercado_Receita!$N$2:$N$1866)</f>
        <v>0</v>
      </c>
      <c r="L40" s="12">
        <f>SUMIF(Mercado_Receita!$T$2:$T$1866,"44378B2Energia convencional pré-pagamentoRuralServiço público de irrigação ruralNão se aplicaNão se aplicaNão se aplica",Mercado_Receita!$N$2:$N$1866)</f>
        <v>0</v>
      </c>
      <c r="M40" s="12">
        <f>SUMIF(Mercado_Receita!$T$2:$T$1866,"44409B2Energia convencional pré-pagamentoRuralServiço público de irrigação ruralNão se aplicaNão se aplicaNão se aplica",Mercado_Receita!$N$2:$N$1866)</f>
        <v>0</v>
      </c>
      <c r="N40" s="12">
        <f>SUMIF(Mercado_Receita!$T$2:$T$1866,"44440B2Energia convencional pré-pagamentoRuralServiço público de irrigação ruralNão se aplicaNão se aplicaNão se aplica",Mercado_Receita!$N$2:$N$1866)</f>
        <v>0</v>
      </c>
      <c r="O40" s="12">
        <f>SUMIF(Mercado_Receita!$T$2:$T$1866,"44470B2Energia convencional pré-pagamentoRuralServiço público de irrigação ruralNão se aplicaNão se aplicaNão se aplica",Mercado_Receita!$N$2:$N$1866)</f>
        <v>0</v>
      </c>
      <c r="P40" s="12">
        <f>SUMIF(Mercado_Receita!$T$2:$T$1866,"44501B2Energia convencional pré-pagamentoRuralServiço público de irrigação ruralNão se aplicaNão se aplicaNão se aplica",Mercado_Receita!$N$2:$N$1866)</f>
        <v>0</v>
      </c>
      <c r="Q40" s="12">
        <f>SUMIF(Mercado_Receita!$T$2:$T$1866,"44531B2Energia convencional pré-pagamentoRuralServiço público de irrigação ruralNão se aplicaNão se aplicaNão se aplica",Mercado_Receita!$N$2:$N$1866)</f>
        <v>0</v>
      </c>
      <c r="R40" s="12">
        <f>SUMIF(Mercado_Receita!$T$2:$T$1866,"44562B2Energia convencional pré-pagamentoRuralServiço público de irrigação ruralNão se aplicaNão se aplicaNão se aplica",Mercado_Receita!$N$2:$N$1866)</f>
        <v>0</v>
      </c>
      <c r="S40" s="12">
        <f>SUMIF(Mercado_Receita!$T$2:$T$1866,"44593B2Energia convencional pré-pagamentoRuralServiço público de irrigação ruralNão se aplicaNão se aplicaNão se aplica",Mercado_Receita!$N$2:$N$1866)</f>
        <v>0</v>
      </c>
      <c r="T40" s="12">
        <f>SUMIF(Mercado_Receita!$T$2:$T$1866,"44621B2Energia convencional pré-pagamentoRuralServiço público de irrigação ruralNão se aplicaNão se aplicaNão se aplica",Mercado_Receita!$N$2:$N$1866)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89" t="s">
        <v>37</v>
      </c>
      <c r="B41" s="89" t="s">
        <v>92</v>
      </c>
      <c r="C41" s="89" t="s">
        <v>25</v>
      </c>
      <c r="D41" s="89" t="s">
        <v>25</v>
      </c>
      <c r="E41" s="89" t="s">
        <v>25</v>
      </c>
      <c r="F41" s="89" t="s">
        <v>25</v>
      </c>
      <c r="G41" s="12" t="s">
        <v>94</v>
      </c>
      <c r="H41" s="12" t="s">
        <v>93</v>
      </c>
      <c r="I41" s="12">
        <f>SUMIF(Mercado_Receita!$T$2:$T$1866,"44287B3Energia horáriaNão se aplicaNão se aplicaNão se aplicaNão se aplicaPonta",Mercado_Receita!$N$2:$N$1866)</f>
        <v>7.2360000000000007</v>
      </c>
      <c r="J41" s="12">
        <f>SUMIF(Mercado_Receita!$T$2:$T$1866,"44317B3Energia horáriaNão se aplicaNão se aplicaNão se aplicaNão se aplicaPonta",Mercado_Receita!$N$2:$N$1866)</f>
        <v>7.024</v>
      </c>
      <c r="K41" s="12">
        <f>SUMIF(Mercado_Receita!$T$2:$T$1866,"44348B3Energia horáriaNão se aplicaNão se aplicaNão se aplicaNão se aplicaPonta",Mercado_Receita!$N$2:$N$1866)</f>
        <v>7.2809999999999997</v>
      </c>
      <c r="L41" s="12">
        <f>SUMIF(Mercado_Receita!$T$2:$T$1866,"44378B3Energia horáriaNão se aplicaNão se aplicaNão se aplicaNão se aplicaPonta",Mercado_Receita!$N$2:$N$1866)</f>
        <v>7.92</v>
      </c>
      <c r="M41" s="12">
        <f>SUMIF(Mercado_Receita!$T$2:$T$1866,"44409B3Energia horáriaNão se aplicaNão se aplicaNão se aplicaNão se aplicaPonta",Mercado_Receita!$N$2:$N$1866)</f>
        <v>8.6310000000000002</v>
      </c>
      <c r="N41" s="12">
        <f>SUMIF(Mercado_Receita!$T$2:$T$1866,"44440B3Energia horáriaNão se aplicaNão se aplicaNão se aplicaNão se aplicaPonta",Mercado_Receita!$N$2:$N$1866)</f>
        <v>9.0019999999999989</v>
      </c>
      <c r="O41" s="12">
        <f>SUMIF(Mercado_Receita!$T$2:$T$1866,"44470B3Energia horáriaNão se aplicaNão se aplicaNão se aplicaNão se aplicaPonta",Mercado_Receita!$N$2:$N$1866)</f>
        <v>9.891</v>
      </c>
      <c r="P41" s="12">
        <f>SUMIF(Mercado_Receita!$T$2:$T$1866,"44501B3Energia horáriaNão se aplicaNão se aplicaNão se aplicaNão se aplicaPonta",Mercado_Receita!$N$2:$N$1866)</f>
        <v>8.3460000000000001</v>
      </c>
      <c r="Q41" s="12">
        <f>SUMIF(Mercado_Receita!$T$2:$T$1866,"44531B3Energia horáriaNão se aplicaNão se aplicaNão se aplicaNão se aplicaPonta",Mercado_Receita!$N$2:$N$1866)</f>
        <v>9.1989999999999998</v>
      </c>
      <c r="R41" s="12">
        <f>SUMIF(Mercado_Receita!$T$2:$T$1866,"44562B3Energia horáriaNão se aplicaNão se aplicaNão se aplicaNão se aplicaPonta",Mercado_Receita!$N$2:$N$1866)</f>
        <v>9.7239999999999984</v>
      </c>
      <c r="S41" s="12">
        <f>SUMIF(Mercado_Receita!$T$2:$T$1866,"44593B3Energia horáriaNão se aplicaNão se aplicaNão se aplicaNão se aplicaPonta",Mercado_Receita!$N$2:$N$1866)</f>
        <v>8.8890000000000011</v>
      </c>
      <c r="T41" s="12">
        <f>SUMIF(Mercado_Receita!$T$2:$T$1866,"44621B3Energia horáriaNão se aplicaNão se aplicaNão se aplicaNão se aplicaPonta",Mercado_Receita!$N$2:$N$1866)</f>
        <v>8.8890000000000011</v>
      </c>
      <c r="U41" s="12">
        <f t="shared" si="0"/>
        <v>102.03199999999998</v>
      </c>
      <c r="V41" s="12"/>
      <c r="W41" s="12"/>
    </row>
    <row r="42" spans="1:23" ht="11.25" customHeight="1" x14ac:dyDescent="0.25">
      <c r="A42" s="90"/>
      <c r="B42" s="90"/>
      <c r="C42" s="90"/>
      <c r="D42" s="90"/>
      <c r="E42" s="90"/>
      <c r="F42" s="90"/>
      <c r="G42" s="12" t="s">
        <v>107</v>
      </c>
      <c r="H42" s="12" t="s">
        <v>93</v>
      </c>
      <c r="I42" s="12">
        <f>SUMIF(Mercado_Receita!$T$2:$T$1866,"44287B3Energia horáriaNão se aplicaNão se aplicaNão se aplicaNão se aplicaIntermediário",Mercado_Receita!$N$2:$N$1866)</f>
        <v>5.5329999999999995</v>
      </c>
      <c r="J42" s="12">
        <f>SUMIF(Mercado_Receita!$T$2:$T$1866,"44317B3Energia horáriaNão se aplicaNão se aplicaNão se aplicaNão se aplicaIntermediário",Mercado_Receita!$N$2:$N$1866)</f>
        <v>5.375</v>
      </c>
      <c r="K42" s="12">
        <f>SUMIF(Mercado_Receita!$T$2:$T$1866,"44348B3Energia horáriaNão se aplicaNão se aplicaNão se aplicaNão se aplicaIntermediário",Mercado_Receita!$N$2:$N$1866)</f>
        <v>5.1310000000000002</v>
      </c>
      <c r="L42" s="12">
        <f>SUMIF(Mercado_Receita!$T$2:$T$1866,"44378B3Energia horáriaNão se aplicaNão se aplicaNão se aplicaNão se aplicaIntermediário",Mercado_Receita!$N$2:$N$1866)</f>
        <v>5.1820000000000004</v>
      </c>
      <c r="M42" s="12">
        <f>SUMIF(Mercado_Receita!$T$2:$T$1866,"44409B3Energia horáriaNão se aplicaNão se aplicaNão se aplicaNão se aplicaIntermediário",Mercado_Receita!$N$2:$N$1866)</f>
        <v>5.4080000000000004</v>
      </c>
      <c r="N42" s="12">
        <f>SUMIF(Mercado_Receita!$T$2:$T$1866,"44440B3Energia horáriaNão se aplicaNão se aplicaNão se aplicaNão se aplicaIntermediário",Mercado_Receita!$N$2:$N$1866)</f>
        <v>5.7379999999999995</v>
      </c>
      <c r="O42" s="12">
        <f>SUMIF(Mercado_Receita!$T$2:$T$1866,"44470B3Energia horáriaNão se aplicaNão se aplicaNão se aplicaNão se aplicaIntermediário",Mercado_Receita!$N$2:$N$1866)</f>
        <v>6.5119999999999996</v>
      </c>
      <c r="P42" s="12">
        <f>SUMIF(Mercado_Receita!$T$2:$T$1866,"44501B3Energia horáriaNão se aplicaNão se aplicaNão se aplicaNão se aplicaIntermediário",Mercado_Receita!$N$2:$N$1866)</f>
        <v>6.3610000000000007</v>
      </c>
      <c r="Q42" s="12">
        <f>SUMIF(Mercado_Receita!$T$2:$T$1866,"44531B3Energia horáriaNão se aplicaNão se aplicaNão se aplicaNão se aplicaIntermediário",Mercado_Receita!$N$2:$N$1866)</f>
        <v>6.9659999999999993</v>
      </c>
      <c r="R42" s="12">
        <f>SUMIF(Mercado_Receita!$T$2:$T$1866,"44562B3Energia horáriaNão se aplicaNão se aplicaNão se aplicaNão se aplicaIntermediário",Mercado_Receita!$N$2:$N$1866)</f>
        <v>6.681</v>
      </c>
      <c r="S42" s="12">
        <f>SUMIF(Mercado_Receita!$T$2:$T$1866,"44593B3Energia horáriaNão se aplicaNão se aplicaNão se aplicaNão se aplicaIntermediário",Mercado_Receita!$N$2:$N$1866)</f>
        <v>6.8520000000000003</v>
      </c>
      <c r="T42" s="12">
        <f>SUMIF(Mercado_Receita!$T$2:$T$1866,"44621B3Energia horáriaNão se aplicaNão se aplicaNão se aplicaNão se aplicaIntermediário",Mercado_Receita!$N$2:$N$1866)</f>
        <v>6.8520000000000003</v>
      </c>
      <c r="U42" s="12">
        <f t="shared" si="0"/>
        <v>72.591000000000008</v>
      </c>
      <c r="V42" s="12"/>
      <c r="W42" s="12"/>
    </row>
    <row r="43" spans="1:23" ht="11.25" customHeight="1" x14ac:dyDescent="0.25">
      <c r="A43" s="90"/>
      <c r="B43" s="90"/>
      <c r="C43" s="90"/>
      <c r="D43" s="90"/>
      <c r="E43" s="90"/>
      <c r="F43" s="90"/>
      <c r="G43" s="12" t="s">
        <v>95</v>
      </c>
      <c r="H43" s="12" t="s">
        <v>93</v>
      </c>
      <c r="I43" s="12">
        <f>SUMIF(Mercado_Receita!$T$2:$T$1866,"44287B3Energia horáriaNão se aplicaNão se aplicaNão se aplicaNão se aplicaFora ponta",Mercado_Receita!$N$2:$N$1866)</f>
        <v>107.06699999999999</v>
      </c>
      <c r="J43" s="12">
        <f>SUMIF(Mercado_Receita!$T$2:$T$1866,"44317B3Energia horáriaNão se aplicaNão se aplicaNão se aplicaNão se aplicaFora ponta",Mercado_Receita!$N$2:$N$1866)</f>
        <v>104.976</v>
      </c>
      <c r="K43" s="12">
        <f>SUMIF(Mercado_Receita!$T$2:$T$1866,"44348B3Energia horáriaNão se aplicaNão se aplicaNão se aplicaNão se aplicaFora ponta",Mercado_Receita!$N$2:$N$1866)</f>
        <v>102.273</v>
      </c>
      <c r="L43" s="12">
        <f>SUMIF(Mercado_Receita!$T$2:$T$1866,"44378B3Energia horáriaNão se aplicaNão se aplicaNão se aplicaNão se aplicaFora ponta",Mercado_Receita!$N$2:$N$1866)</f>
        <v>96.623999999999995</v>
      </c>
      <c r="M43" s="12">
        <f>SUMIF(Mercado_Receita!$T$2:$T$1866,"44409B3Energia horáriaNão se aplicaNão se aplicaNão se aplicaNão se aplicaFora ponta",Mercado_Receita!$N$2:$N$1866)</f>
        <v>97.236999999999995</v>
      </c>
      <c r="N43" s="12">
        <f>SUMIF(Mercado_Receita!$T$2:$T$1866,"44440B3Energia horáriaNão se aplicaNão se aplicaNão se aplicaNão se aplicaFora ponta",Mercado_Receita!$N$2:$N$1866)</f>
        <v>109.55500000000001</v>
      </c>
      <c r="O43" s="12">
        <f>SUMIF(Mercado_Receita!$T$2:$T$1866,"44470B3Energia horáriaNão se aplicaNão se aplicaNão se aplicaNão se aplicaFora ponta",Mercado_Receita!$N$2:$N$1866)</f>
        <v>122.828</v>
      </c>
      <c r="P43" s="12">
        <f>SUMIF(Mercado_Receita!$T$2:$T$1866,"44501B3Energia horáriaNão se aplicaNão se aplicaNão se aplicaNão se aplicaFora ponta",Mercado_Receita!$N$2:$N$1866)</f>
        <v>128.958</v>
      </c>
      <c r="Q43" s="12">
        <f>SUMIF(Mercado_Receita!$T$2:$T$1866,"44531B3Energia horáriaNão se aplicaNão se aplicaNão se aplicaNão se aplicaFora ponta",Mercado_Receita!$N$2:$N$1866)</f>
        <v>138.70500000000001</v>
      </c>
      <c r="R43" s="12">
        <f>SUMIF(Mercado_Receita!$T$2:$T$1866,"44562B3Energia horáriaNão se aplicaNão se aplicaNão se aplicaNão se aplicaFora ponta",Mercado_Receita!$N$2:$N$1866)</f>
        <v>136.10900000000001</v>
      </c>
      <c r="S43" s="12">
        <f>SUMIF(Mercado_Receita!$T$2:$T$1866,"44593B3Energia horáriaNão se aplicaNão se aplicaNão se aplicaNão se aplicaFora ponta",Mercado_Receita!$N$2:$N$1866)</f>
        <v>128.6</v>
      </c>
      <c r="T43" s="12">
        <f>SUMIF(Mercado_Receita!$T$2:$T$1866,"44621B3Energia horáriaNão se aplicaNão se aplicaNão se aplicaNão se aplicaFora ponta",Mercado_Receita!$N$2:$N$1866)</f>
        <v>128.6</v>
      </c>
      <c r="U43" s="12">
        <f t="shared" si="0"/>
        <v>1401.5319999999997</v>
      </c>
      <c r="V43" s="12"/>
      <c r="W43" s="12"/>
    </row>
    <row r="44" spans="1:23" ht="11.25" customHeight="1" x14ac:dyDescent="0.25">
      <c r="A44" s="90"/>
      <c r="B44" s="13" t="s">
        <v>103</v>
      </c>
      <c r="C44" s="13" t="s">
        <v>25</v>
      </c>
      <c r="D44" s="13" t="s">
        <v>25</v>
      </c>
      <c r="E44" s="13" t="s">
        <v>25</v>
      </c>
      <c r="F44" s="13" t="s">
        <v>25</v>
      </c>
      <c r="G44" s="12" t="s">
        <v>98</v>
      </c>
      <c r="H44" s="12" t="s">
        <v>93</v>
      </c>
      <c r="I44" s="12">
        <f>SUMIF(Mercado_Receita!$T$2:$T$1866,"44287B3Energia convencionalNão se aplicaNão se aplicaNão se aplicaNão se aplicaNão se aplica",Mercado_Receita!$N$2:$N$1866)</f>
        <v>30141.962</v>
      </c>
      <c r="J44" s="12">
        <f>SUMIF(Mercado_Receita!$T$2:$T$1866,"44317B3Energia convencionalNão se aplicaNão se aplicaNão se aplicaNão se aplicaNão se aplica",Mercado_Receita!$N$2:$N$1866)</f>
        <v>27802.769999999997</v>
      </c>
      <c r="K44" s="12">
        <f>SUMIF(Mercado_Receita!$T$2:$T$1866,"44348B3Energia convencionalNão se aplicaNão se aplicaNão se aplicaNão se aplicaNão se aplica",Mercado_Receita!$N$2:$N$1866)</f>
        <v>27254.138000000003</v>
      </c>
      <c r="L44" s="12">
        <f>SUMIF(Mercado_Receita!$T$2:$T$1866,"44378B3Energia convencionalNão se aplicaNão se aplicaNão se aplicaNão se aplicaNão se aplica",Mercado_Receita!$N$2:$N$1866)</f>
        <v>26989.378000000001</v>
      </c>
      <c r="M44" s="12">
        <f>SUMIF(Mercado_Receita!$T$2:$T$1866,"44409B3Energia convencionalNão se aplicaNão se aplicaNão se aplicaNão se aplicaNão se aplica",Mercado_Receita!$N$2:$N$1866)</f>
        <v>26608.476000000006</v>
      </c>
      <c r="N44" s="12">
        <f>SUMIF(Mercado_Receita!$T$2:$T$1866,"44440B3Energia convencionalNão se aplicaNão se aplicaNão se aplicaNão se aplicaNão se aplica",Mercado_Receita!$N$2:$N$1866)</f>
        <v>27898.520999999993</v>
      </c>
      <c r="O44" s="12">
        <f>SUMIF(Mercado_Receita!$T$2:$T$1866,"44470B3Energia convencionalNão se aplicaNão se aplicaNão se aplicaNão se aplicaNão se aplica",Mercado_Receita!$N$2:$N$1866)</f>
        <v>29905.582000000002</v>
      </c>
      <c r="P44" s="12">
        <f>SUMIF(Mercado_Receita!$T$2:$T$1866,"44501B3Energia convencionalNão se aplicaNão se aplicaNão se aplicaNão se aplicaNão se aplica",Mercado_Receita!$N$2:$N$1866)</f>
        <v>30362.114000000001</v>
      </c>
      <c r="Q44" s="12">
        <f>SUMIF(Mercado_Receita!$T$2:$T$1866,"44531B3Energia convencionalNão se aplicaNão se aplicaNão se aplicaNão se aplicaNão se aplica",Mercado_Receita!$N$2:$N$1866)</f>
        <v>31971.473000000002</v>
      </c>
      <c r="R44" s="12">
        <f>SUMIF(Mercado_Receita!$T$2:$T$1866,"44562B3Energia convencionalNão se aplicaNão se aplicaNão se aplicaNão se aplicaNão se aplica",Mercado_Receita!$N$2:$N$1866)</f>
        <v>31131.072</v>
      </c>
      <c r="S44" s="12">
        <f>SUMIF(Mercado_Receita!$T$2:$T$1866,"44593B3Energia convencionalNão se aplicaNão se aplicaNão se aplicaNão se aplicaNão se aplica",Mercado_Receita!$N$2:$N$1866)</f>
        <v>31172.106000000007</v>
      </c>
      <c r="T44" s="12">
        <f>SUMIF(Mercado_Receita!$T$2:$T$1866,"44621B3Energia convencionalNão se aplicaNão se aplicaNão se aplicaNão se aplicaNão se aplica",Mercado_Receita!$N$2:$N$1866)</f>
        <v>31172.106000000007</v>
      </c>
      <c r="U44" s="12">
        <f t="shared" si="0"/>
        <v>352409.69800000003</v>
      </c>
      <c r="V44" s="12"/>
      <c r="W44" s="12"/>
    </row>
    <row r="45" spans="1:23" ht="11.25" customHeight="1" x14ac:dyDescent="0.25">
      <c r="A45" s="90"/>
      <c r="B45" s="13" t="s">
        <v>108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98</v>
      </c>
      <c r="H45" s="12" t="s">
        <v>93</v>
      </c>
      <c r="I45" s="12">
        <f>SUMIF(Mercado_Receita!$T$2:$T$1866,"44287B3Energia convencional pré-pagamentoNão se aplicaNão se aplicaNão se aplicaNão se aplicaNão se aplica",Mercado_Receita!$N$2:$N$1866)</f>
        <v>0</v>
      </c>
      <c r="J45" s="12">
        <f>SUMIF(Mercado_Receita!$T$2:$T$1866,"44317B3Energia convencional pré-pagamentoNão se aplicaNão se aplicaNão se aplicaNão se aplicaNão se aplica",Mercado_Receita!$N$2:$N$1866)</f>
        <v>0</v>
      </c>
      <c r="K45" s="12">
        <f>SUMIF(Mercado_Receita!$T$2:$T$1866,"44348B3Energia convencional pré-pagamentoNão se aplicaNão se aplicaNão se aplicaNão se aplicaNão se aplica",Mercado_Receita!$N$2:$N$1866)</f>
        <v>0</v>
      </c>
      <c r="L45" s="12">
        <f>SUMIF(Mercado_Receita!$T$2:$T$1866,"44378B3Energia convencional pré-pagamentoNão se aplicaNão se aplicaNão se aplicaNão se aplicaNão se aplica",Mercado_Receita!$N$2:$N$1866)</f>
        <v>0</v>
      </c>
      <c r="M45" s="12">
        <f>SUMIF(Mercado_Receita!$T$2:$T$1866,"44409B3Energia convencional pré-pagamentoNão se aplicaNão se aplicaNão se aplicaNão se aplicaNão se aplica",Mercado_Receita!$N$2:$N$1866)</f>
        <v>0</v>
      </c>
      <c r="N45" s="12">
        <f>SUMIF(Mercado_Receita!$T$2:$T$1866,"44440B3Energia convencional pré-pagamentoNão se aplicaNão se aplicaNão se aplicaNão se aplicaNão se aplica",Mercado_Receita!$N$2:$N$1866)</f>
        <v>0</v>
      </c>
      <c r="O45" s="12">
        <f>SUMIF(Mercado_Receita!$T$2:$T$1866,"44470B3Energia convencional pré-pagamentoNão se aplicaNão se aplicaNão se aplicaNão se aplicaNão se aplica",Mercado_Receita!$N$2:$N$1866)</f>
        <v>0</v>
      </c>
      <c r="P45" s="12">
        <f>SUMIF(Mercado_Receita!$T$2:$T$1866,"44501B3Energia convencional pré-pagamentoNão se aplicaNão se aplicaNão se aplicaNão se aplicaNão se aplica",Mercado_Receita!$N$2:$N$1866)</f>
        <v>0</v>
      </c>
      <c r="Q45" s="12">
        <f>SUMIF(Mercado_Receita!$T$2:$T$1866,"44531B3Energia convencional pré-pagamentoNão se aplicaNão se aplicaNão se aplicaNão se aplicaNão se aplica",Mercado_Receita!$N$2:$N$1866)</f>
        <v>0</v>
      </c>
      <c r="R45" s="12">
        <f>SUMIF(Mercado_Receita!$T$2:$T$1866,"44562B3Energia convencional pré-pagamentoNão se aplicaNão se aplicaNão se aplicaNão se aplicaNão se aplica",Mercado_Receita!$N$2:$N$1866)</f>
        <v>0</v>
      </c>
      <c r="S45" s="12">
        <f>SUMIF(Mercado_Receita!$T$2:$T$1866,"44593B3Energia convencional pré-pagamentoNão se aplicaNão se aplicaNão se aplicaNão se aplicaNão se aplica",Mercado_Receita!$N$2:$N$1866)</f>
        <v>0</v>
      </c>
      <c r="T45" s="12">
        <f>SUMIF(Mercado_Receita!$T$2:$T$1866,"44621B3Energia convencional pré-pagamentoNão se aplicaNão se aplicaNão se aplicaNão se aplicaNão se aplica",Mercado_Receita!$N$2:$N$1866)</f>
        <v>0</v>
      </c>
      <c r="U45" s="12">
        <f t="shared" si="0"/>
        <v>0</v>
      </c>
      <c r="V45" s="12"/>
      <c r="W45" s="12"/>
    </row>
    <row r="46" spans="1:23" ht="11.25" customHeight="1" x14ac:dyDescent="0.25">
      <c r="A46" s="89" t="s">
        <v>47</v>
      </c>
      <c r="B46" s="89" t="s">
        <v>103</v>
      </c>
      <c r="C46" s="89" t="s">
        <v>48</v>
      </c>
      <c r="D46" s="13" t="s">
        <v>49</v>
      </c>
      <c r="E46" s="13" t="s">
        <v>25</v>
      </c>
      <c r="F46" s="13" t="s">
        <v>25</v>
      </c>
      <c r="G46" s="12" t="s">
        <v>98</v>
      </c>
      <c r="H46" s="12" t="s">
        <v>93</v>
      </c>
      <c r="I46" s="12">
        <f>SUMIF(Mercado_Receita!$T$2:$T$1866,"44287B4Energia convencionalIluminação públicaIluminação pública – B4aNão se aplicaNão se aplicaNão se aplica",Mercado_Receita!$N$2:$N$1866)</f>
        <v>16833.598000000002</v>
      </c>
      <c r="J46" s="12">
        <f>SUMIF(Mercado_Receita!$T$2:$T$1866,"44317B4Energia convencionalIluminação públicaIluminação pública – B4aNão se aplicaNão se aplicaNão se aplica",Mercado_Receita!$N$2:$N$1866)</f>
        <v>17044.334999999999</v>
      </c>
      <c r="K46" s="12">
        <f>SUMIF(Mercado_Receita!$T$2:$T$1866,"44348B4Energia convencionalIluminação públicaIluminação pública – B4aNão se aplicaNão se aplicaNão se aplica",Mercado_Receita!$N$2:$N$1866)</f>
        <v>16401.597999999998</v>
      </c>
      <c r="L46" s="12">
        <f>SUMIF(Mercado_Receita!$T$2:$T$1866,"44378B4Energia convencionalIluminação públicaIluminação pública – B4aNão se aplicaNão se aplicaNão se aplica",Mercado_Receita!$N$2:$N$1866)</f>
        <v>16840.974999999999</v>
      </c>
      <c r="M46" s="12">
        <f>SUMIF(Mercado_Receita!$T$2:$T$1866,"44409B4Energia convencionalIluminação públicaIluminação pública – B4aNão se aplicaNão se aplicaNão se aplica",Mercado_Receita!$N$2:$N$1866)</f>
        <v>17048.126999999997</v>
      </c>
      <c r="N46" s="12">
        <f>SUMIF(Mercado_Receita!$T$2:$T$1866,"44440B4Energia convencionalIluminação públicaIluminação pública – B4aNão se aplicaNão se aplicaNão se aplica",Mercado_Receita!$N$2:$N$1866)</f>
        <v>17264.482</v>
      </c>
      <c r="O46" s="12">
        <f>SUMIF(Mercado_Receita!$T$2:$T$1866,"44470B4Energia convencionalIluminação públicaIluminação pública – B4aNão se aplicaNão se aplicaNão se aplica",Mercado_Receita!$N$2:$N$1866)</f>
        <v>16870.981</v>
      </c>
      <c r="P46" s="12">
        <f>SUMIF(Mercado_Receita!$T$2:$T$1866,"44501B4Energia convencionalIluminação públicaIluminação pública – B4aNão se aplicaNão se aplicaNão se aplica",Mercado_Receita!$N$2:$N$1866)</f>
        <v>15991.301000000001</v>
      </c>
      <c r="Q46" s="12">
        <f>SUMIF(Mercado_Receita!$T$2:$T$1866,"44531B4Energia convencionalIluminação públicaIluminação pública – B4aNão se aplicaNão se aplicaNão se aplica",Mercado_Receita!$N$2:$N$1866)</f>
        <v>16646.710999999999</v>
      </c>
      <c r="R46" s="12">
        <f>SUMIF(Mercado_Receita!$T$2:$T$1866,"44562B4Energia convencionalIluminação públicaIluminação pública – B4aNão se aplicaNão se aplicaNão se aplica",Mercado_Receita!$N$2:$N$1866)</f>
        <v>16562.600999999999</v>
      </c>
      <c r="S46" s="12">
        <f>SUMIF(Mercado_Receita!$T$2:$T$1866,"44593B4Energia convencionalIluminação públicaIluminação pública – B4aNão se aplicaNão se aplicaNão se aplica",Mercado_Receita!$N$2:$N$1866)</f>
        <v>15015.512000000001</v>
      </c>
      <c r="T46" s="12">
        <f>SUMIF(Mercado_Receita!$T$2:$T$1866,"44621B4Energia convencionalIluminação públicaIluminação pública – B4aNão se aplicaNão se aplicaNão se aplica",Mercado_Receita!$N$2:$N$1866)</f>
        <v>15015.512000000001</v>
      </c>
      <c r="U46" s="12">
        <f t="shared" si="0"/>
        <v>197535.73299999998</v>
      </c>
      <c r="V46" s="12"/>
      <c r="W46" s="12"/>
    </row>
    <row r="47" spans="1:23" ht="11.25" customHeight="1" x14ac:dyDescent="0.25">
      <c r="A47" s="90"/>
      <c r="B47" s="90"/>
      <c r="C47" s="90"/>
      <c r="D47" s="12" t="s">
        <v>112</v>
      </c>
      <c r="E47" s="12" t="s">
        <v>25</v>
      </c>
      <c r="F47" s="12" t="s">
        <v>25</v>
      </c>
      <c r="G47" s="12" t="s">
        <v>98</v>
      </c>
      <c r="H47" s="12" t="s">
        <v>93</v>
      </c>
      <c r="I47" s="12">
        <f>SUMIF(Mercado_Receita!$T$2:$T$1866,"44287B4Energia convencionalIluminação públicaIluminação pública – B4bNão se aplicaNão se aplicaNão se aplica",Mercado_Receita!$N$2:$N$1866)</f>
        <v>0</v>
      </c>
      <c r="J47" s="12">
        <f>SUMIF(Mercado_Receita!$T$2:$T$1866,"44317B4Energia convencionalIluminação públicaIluminação pública – B4bNão se aplicaNão se aplicaNão se aplica",Mercado_Receita!$N$2:$N$1866)</f>
        <v>0</v>
      </c>
      <c r="K47" s="12">
        <f>SUMIF(Mercado_Receita!$T$2:$T$1866,"44348B4Energia convencionalIluminação públicaIluminação pública – B4bNão se aplicaNão se aplicaNão se aplica",Mercado_Receita!$N$2:$N$1866)</f>
        <v>0</v>
      </c>
      <c r="L47" s="12">
        <f>SUMIF(Mercado_Receita!$T$2:$T$1866,"44378B4Energia convencionalIluminação públicaIluminação pública – B4bNão se aplicaNão se aplicaNão se aplica",Mercado_Receita!$N$2:$N$1866)</f>
        <v>0</v>
      </c>
      <c r="M47" s="12">
        <f>SUMIF(Mercado_Receita!$T$2:$T$1866,"44409B4Energia convencionalIluminação públicaIluminação pública – B4bNão se aplicaNão se aplicaNão se aplica",Mercado_Receita!$N$2:$N$1866)</f>
        <v>0</v>
      </c>
      <c r="N47" s="12">
        <f>SUMIF(Mercado_Receita!$T$2:$T$1866,"44440B4Energia convencionalIluminação públicaIluminação pública – B4bNão se aplicaNão se aplicaNão se aplica",Mercado_Receita!$N$2:$N$1866)</f>
        <v>0</v>
      </c>
      <c r="O47" s="12">
        <f>SUMIF(Mercado_Receita!$T$2:$T$1866,"44470B4Energia convencionalIluminação públicaIluminação pública – B4bNão se aplicaNão se aplicaNão se aplica",Mercado_Receita!$N$2:$N$1866)</f>
        <v>0</v>
      </c>
      <c r="P47" s="12">
        <f>SUMIF(Mercado_Receita!$T$2:$T$1866,"44501B4Energia convencionalIluminação públicaIluminação pública – B4bNão se aplicaNão se aplicaNão se aplica",Mercado_Receita!$N$2:$N$1866)</f>
        <v>0</v>
      </c>
      <c r="Q47" s="12">
        <f>SUMIF(Mercado_Receita!$T$2:$T$1866,"44531B4Energia convencionalIluminação públicaIluminação pública – B4bNão se aplicaNão se aplicaNão se aplica",Mercado_Receita!$N$2:$N$1866)</f>
        <v>0</v>
      </c>
      <c r="R47" s="12">
        <f>SUMIF(Mercado_Receita!$T$2:$T$1866,"44562B4Energia convencionalIluminação públicaIluminação pública – B4bNão se aplicaNão se aplicaNão se aplica",Mercado_Receita!$N$2:$N$1866)</f>
        <v>0</v>
      </c>
      <c r="S47" s="12">
        <f>SUMIF(Mercado_Receita!$T$2:$T$1866,"44593B4Energia convencionalIluminação públicaIluminação pública – B4bNão se aplicaNão se aplicaNão se aplica",Mercado_Receita!$N$2:$N$1866)</f>
        <v>0</v>
      </c>
      <c r="T47" s="12">
        <f>SUMIF(Mercado_Receita!$T$2:$T$1866,"44621B4Energia convencionalIluminação públicaIluminação pública – B4bNão se aplicaNão se aplicaNão se aplica",Mercado_Receita!$N$2:$N$1866)</f>
        <v>0</v>
      </c>
      <c r="U47" s="12">
        <f t="shared" si="0"/>
        <v>0</v>
      </c>
      <c r="V47" s="12"/>
      <c r="W47" s="12"/>
    </row>
    <row r="48" spans="1:23" ht="11.25" customHeight="1" x14ac:dyDescent="0.25">
      <c r="A48" s="91" t="s">
        <v>857</v>
      </c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12"/>
      <c r="W48" s="12"/>
    </row>
  </sheetData>
  <mergeCells count="50">
    <mergeCell ref="A7:A12"/>
    <mergeCell ref="F2:F3"/>
    <mergeCell ref="E2:E3"/>
    <mergeCell ref="D2:D3"/>
    <mergeCell ref="C2:C3"/>
    <mergeCell ref="B2:B3"/>
    <mergeCell ref="A2:A6"/>
    <mergeCell ref="F7:F8"/>
    <mergeCell ref="E7:E8"/>
    <mergeCell ref="D7:D8"/>
    <mergeCell ref="C7:C8"/>
    <mergeCell ref="B7:B8"/>
    <mergeCell ref="C21:C25"/>
    <mergeCell ref="B21:B25"/>
    <mergeCell ref="A13:A25"/>
    <mergeCell ref="F26:F28"/>
    <mergeCell ref="E26:E28"/>
    <mergeCell ref="D26:D28"/>
    <mergeCell ref="C26:C28"/>
    <mergeCell ref="B26:B28"/>
    <mergeCell ref="F13:F15"/>
    <mergeCell ref="E13:E15"/>
    <mergeCell ref="D13:D15"/>
    <mergeCell ref="C13:C15"/>
    <mergeCell ref="B13:B15"/>
    <mergeCell ref="C16:C20"/>
    <mergeCell ref="B16:B20"/>
    <mergeCell ref="C30:C32"/>
    <mergeCell ref="B30:B32"/>
    <mergeCell ref="F34:F36"/>
    <mergeCell ref="E34:E36"/>
    <mergeCell ref="D34:D36"/>
    <mergeCell ref="C34:C36"/>
    <mergeCell ref="B34:B36"/>
    <mergeCell ref="A46:A47"/>
    <mergeCell ref="B46:B47"/>
    <mergeCell ref="C46:C47"/>
    <mergeCell ref="A48:U48"/>
    <mergeCell ref="C38:C40"/>
    <mergeCell ref="B38:B40"/>
    <mergeCell ref="A26:A40"/>
    <mergeCell ref="F41:F43"/>
    <mergeCell ref="E41:E43"/>
    <mergeCell ref="D41:D43"/>
    <mergeCell ref="C41:C43"/>
    <mergeCell ref="B41:B43"/>
    <mergeCell ref="A41:A45"/>
    <mergeCell ref="F30:F32"/>
    <mergeCell ref="E30:E32"/>
    <mergeCell ref="D30:D3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A202-A97E-414F-B43B-6B441E5294CB}">
  <dimension ref="A1:AD200"/>
  <sheetViews>
    <sheetView showGridLines="0" topLeftCell="A16" workbookViewId="0">
      <selection activeCell="F51" sqref="F51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1.7109375" style="14" bestFit="1" customWidth="1"/>
    <col min="7" max="7" width="13.140625" style="14" bestFit="1" customWidth="1"/>
    <col min="8" max="11" width="9.140625" style="14"/>
    <col min="12" max="12" width="34.140625" style="14" bestFit="1" customWidth="1"/>
    <col min="13" max="13" width="11.71093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10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49.42578125" style="14" bestFit="1" customWidth="1"/>
    <col min="25" max="26" width="5" style="14" bestFit="1" customWidth="1"/>
    <col min="27" max="27" width="5.7109375" style="14" bestFit="1" customWidth="1"/>
    <col min="28" max="16384" width="9.140625" style="14"/>
  </cols>
  <sheetData>
    <row r="1" spans="1:30" ht="12" customHeight="1" x14ac:dyDescent="0.2">
      <c r="A1" s="32" t="s">
        <v>896</v>
      </c>
      <c r="B1" s="32" t="s">
        <v>897</v>
      </c>
      <c r="C1" s="32" t="s">
        <v>898</v>
      </c>
      <c r="D1" s="32" t="s">
        <v>899</v>
      </c>
      <c r="E1" s="32" t="s">
        <v>900</v>
      </c>
      <c r="F1" s="32" t="s">
        <v>901</v>
      </c>
      <c r="G1" s="7"/>
      <c r="H1" s="7"/>
      <c r="I1" s="7"/>
      <c r="J1" s="7"/>
      <c r="K1" s="7"/>
      <c r="L1" s="98" t="s">
        <v>902</v>
      </c>
      <c r="M1" s="98"/>
      <c r="N1" s="7"/>
      <c r="O1" s="102" t="s">
        <v>1553</v>
      </c>
      <c r="P1" s="103"/>
      <c r="Q1" s="103"/>
      <c r="R1" s="103"/>
      <c r="S1" s="103"/>
      <c r="T1" s="103"/>
      <c r="U1" s="103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99" t="s">
        <v>858</v>
      </c>
      <c r="B2" s="99" t="s">
        <v>859</v>
      </c>
      <c r="C2" s="31" t="s">
        <v>943</v>
      </c>
      <c r="D2" s="30">
        <v>9196083.9939750805</v>
      </c>
      <c r="E2" s="30">
        <v>-947132.87540617387</v>
      </c>
      <c r="F2" s="30">
        <v>597884.03521849692</v>
      </c>
      <c r="G2" s="15"/>
      <c r="H2" s="15"/>
      <c r="I2" s="15"/>
      <c r="J2" s="15"/>
      <c r="K2" s="15"/>
      <c r="L2" s="38" t="s">
        <v>903</v>
      </c>
      <c r="M2" s="63">
        <v>0.11228487217459171</v>
      </c>
      <c r="N2" s="15"/>
      <c r="O2" s="44" t="s">
        <v>971</v>
      </c>
      <c r="P2" s="44" t="s">
        <v>39</v>
      </c>
      <c r="Q2" s="44" t="s">
        <v>972</v>
      </c>
      <c r="R2" s="44" t="s">
        <v>41</v>
      </c>
      <c r="S2" s="44" t="s">
        <v>973</v>
      </c>
      <c r="T2" s="44" t="s">
        <v>104</v>
      </c>
      <c r="U2" s="44"/>
      <c r="V2" s="15"/>
      <c r="W2" s="15"/>
      <c r="X2" s="38" t="s">
        <v>1543</v>
      </c>
      <c r="Y2" s="15"/>
      <c r="Z2" s="15"/>
      <c r="AA2" s="15" t="s">
        <v>979</v>
      </c>
      <c r="AB2" s="15"/>
      <c r="AC2" s="15"/>
      <c r="AD2" s="15"/>
    </row>
    <row r="3" spans="1:30" ht="12" customHeight="1" x14ac:dyDescent="0.2">
      <c r="A3" s="100"/>
      <c r="B3" s="100"/>
      <c r="C3" s="31" t="s">
        <v>860</v>
      </c>
      <c r="D3" s="30">
        <v>2819440.2570200874</v>
      </c>
      <c r="E3" s="30">
        <v>-105920.11826814646</v>
      </c>
      <c r="F3" s="30">
        <v>0</v>
      </c>
      <c r="G3" s="15"/>
      <c r="H3" s="15"/>
      <c r="I3" s="15"/>
      <c r="J3" s="15"/>
      <c r="K3" s="15"/>
      <c r="L3" s="38" t="s">
        <v>904</v>
      </c>
      <c r="M3" s="63"/>
      <c r="N3" s="15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1554</v>
      </c>
      <c r="V3" s="15"/>
      <c r="W3" s="15"/>
      <c r="X3" s="38" t="s">
        <v>1544</v>
      </c>
      <c r="Y3" s="15"/>
      <c r="Z3" s="15"/>
      <c r="AA3" s="15">
        <v>5</v>
      </c>
      <c r="AB3" s="15"/>
      <c r="AC3" s="15"/>
      <c r="AD3" s="15"/>
    </row>
    <row r="4" spans="1:30" ht="12" customHeight="1" x14ac:dyDescent="0.2">
      <c r="A4" s="100"/>
      <c r="B4" s="100"/>
      <c r="C4" s="31" t="s">
        <v>861</v>
      </c>
      <c r="D4" s="30">
        <f>$M$22-D$30</f>
        <v>7769668.5333095053</v>
      </c>
      <c r="E4" s="30">
        <f>IF((D4+D$30)&lt;&gt;0,$M$20*D4/(D4+D$30),0)</f>
        <v>-3759.7021670353647</v>
      </c>
      <c r="F4" s="30">
        <f>IF((D4+D$30)&lt;&gt;0,$M$21*D4/(D4+D$30),0)</f>
        <v>0</v>
      </c>
      <c r="G4" s="15"/>
      <c r="H4" s="15"/>
      <c r="I4" s="15"/>
      <c r="J4" s="15"/>
      <c r="K4" s="15"/>
      <c r="L4" s="38" t="s">
        <v>905</v>
      </c>
      <c r="M4" s="63">
        <v>0.14770521805468251</v>
      </c>
      <c r="N4" s="15"/>
      <c r="O4" s="45">
        <v>1</v>
      </c>
      <c r="P4" s="45">
        <v>1</v>
      </c>
      <c r="Q4" s="45">
        <v>1</v>
      </c>
      <c r="R4" s="45">
        <v>1</v>
      </c>
      <c r="S4" s="45">
        <v>1</v>
      </c>
      <c r="T4" s="45">
        <v>1</v>
      </c>
      <c r="U4" s="45" t="s">
        <v>69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00"/>
      <c r="B5" s="100"/>
      <c r="C5" s="31" t="s">
        <v>862</v>
      </c>
      <c r="D5" s="30">
        <v>72430.71428571429</v>
      </c>
      <c r="E5" s="30">
        <v>-2345.145174379415</v>
      </c>
      <c r="F5" s="30">
        <v>0</v>
      </c>
      <c r="G5" s="15"/>
      <c r="H5" s="15"/>
      <c r="I5" s="15"/>
      <c r="J5" s="15"/>
      <c r="K5" s="15"/>
      <c r="L5" s="38" t="s">
        <v>906</v>
      </c>
      <c r="M5" s="63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00"/>
      <c r="B6" s="100"/>
      <c r="C6" s="31" t="s">
        <v>863</v>
      </c>
      <c r="D6" s="30">
        <v>0</v>
      </c>
      <c r="E6" s="30">
        <v>0</v>
      </c>
      <c r="F6" s="30">
        <v>0</v>
      </c>
      <c r="G6" s="15"/>
      <c r="H6" s="15"/>
      <c r="I6" s="15"/>
      <c r="J6" s="15"/>
      <c r="K6" s="15"/>
      <c r="L6" s="38" t="s">
        <v>907</v>
      </c>
      <c r="M6" s="63">
        <v>1.4482369752878865E-2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00"/>
      <c r="B7" s="100"/>
      <c r="C7" s="31" t="s">
        <v>864</v>
      </c>
      <c r="D7" s="30">
        <v>80903572.193443432</v>
      </c>
      <c r="E7" s="30">
        <v>-1886172.7669576753</v>
      </c>
      <c r="F7" s="30">
        <v>7068141.1884434102</v>
      </c>
      <c r="G7" s="15"/>
      <c r="H7" s="15"/>
      <c r="I7" s="15"/>
      <c r="J7" s="15"/>
      <c r="K7" s="15"/>
      <c r="L7" s="38" t="s">
        <v>908</v>
      </c>
      <c r="M7" s="38">
        <f>M8+M9+M10+M11</f>
        <v>433018.71025545296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00"/>
      <c r="B8" s="100"/>
      <c r="C8" s="31" t="s">
        <v>865</v>
      </c>
      <c r="D8" s="30">
        <v>35275305.42148526</v>
      </c>
      <c r="E8" s="30">
        <v>-1067406.6347898261</v>
      </c>
      <c r="F8" s="30">
        <v>4134879.6753578046</v>
      </c>
      <c r="G8" s="15"/>
      <c r="H8" s="15"/>
      <c r="I8" s="15"/>
      <c r="J8" s="15"/>
      <c r="K8" s="15"/>
      <c r="L8" s="64" t="s">
        <v>909</v>
      </c>
      <c r="M8" s="38">
        <v>266241.0298258363</v>
      </c>
      <c r="N8" s="15"/>
      <c r="O8" s="38" t="s">
        <v>942</v>
      </c>
      <c r="P8" s="45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00"/>
      <c r="B9" s="100"/>
      <c r="C9" s="31" t="s">
        <v>866</v>
      </c>
      <c r="D9" s="30"/>
      <c r="E9" s="30"/>
      <c r="F9" s="30"/>
      <c r="G9" s="15"/>
      <c r="H9" s="15"/>
      <c r="I9" s="15"/>
      <c r="J9" s="15"/>
      <c r="K9" s="15"/>
      <c r="L9" s="65" t="s">
        <v>910</v>
      </c>
      <c r="M9" s="38">
        <v>88568.645049956409</v>
      </c>
      <c r="N9" s="15"/>
      <c r="O9" s="38" t="s">
        <v>1534</v>
      </c>
      <c r="P9" s="45">
        <f>SUM(Mercado_Receita!$J$2:$J$1866)</f>
        <v>5672977</v>
      </c>
      <c r="Q9" s="45">
        <v>5672977</v>
      </c>
      <c r="R9" s="45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00"/>
      <c r="B10" s="101"/>
      <c r="C10" s="31" t="s">
        <v>867</v>
      </c>
      <c r="D10" s="30">
        <f>SUM(D$2:D9)</f>
        <v>136036501.11351907</v>
      </c>
      <c r="E10" s="30">
        <f>SUM(E$2:E9)</f>
        <v>-4012737.2427632371</v>
      </c>
      <c r="F10" s="30">
        <f>SUM(F$2:F9)</f>
        <v>11800904.899019711</v>
      </c>
      <c r="G10" s="15"/>
      <c r="H10" s="15"/>
      <c r="I10" s="15"/>
      <c r="J10" s="15"/>
      <c r="K10" s="15"/>
      <c r="L10" s="64" t="s">
        <v>911</v>
      </c>
      <c r="M10" s="38">
        <v>10112.158782132465</v>
      </c>
      <c r="N10" s="15"/>
      <c r="O10" s="38" t="s">
        <v>1535</v>
      </c>
      <c r="P10" s="45">
        <f>SUM(Mercado_Receita!$L$2:$L$1866)</f>
        <v>2959212.4220000026</v>
      </c>
      <c r="Q10" s="45">
        <v>2959212.4219999998</v>
      </c>
      <c r="R10" s="45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00"/>
      <c r="B11" s="99" t="s">
        <v>868</v>
      </c>
      <c r="C11" s="31" t="s">
        <v>869</v>
      </c>
      <c r="D11" s="30">
        <v>66354216.574999996</v>
      </c>
      <c r="E11" s="30">
        <v>13547919.948633119</v>
      </c>
      <c r="F11" s="30">
        <f>IF((+$D$11+$D$12+$D$16+$D$17+$D$38)&lt;&gt;0,$M$19*$D$11/(+$D$11+$D$12+$D$16+$D$17+$D$38),0)</f>
        <v>3714194.3638990573</v>
      </c>
      <c r="G11" s="15"/>
      <c r="H11" s="15"/>
      <c r="I11" s="15"/>
      <c r="J11" s="15"/>
      <c r="K11" s="15"/>
      <c r="L11" s="64" t="s">
        <v>912</v>
      </c>
      <c r="M11" s="38">
        <v>68096.876597527822</v>
      </c>
      <c r="N11" s="15"/>
      <c r="O11" s="38" t="s">
        <v>1536</v>
      </c>
      <c r="P11" s="45">
        <f>SUM(Mercado_Receita!$N$2:$N$1866)</f>
        <v>2674169.7260000007</v>
      </c>
      <c r="Q11" s="45">
        <v>2674169.7259999998</v>
      </c>
      <c r="R11" s="45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00"/>
      <c r="B12" s="100"/>
      <c r="C12" s="31" t="s">
        <v>870</v>
      </c>
      <c r="D12" s="30">
        <v>14020374.309999999</v>
      </c>
      <c r="E12" s="30">
        <v>0</v>
      </c>
      <c r="F12" s="30">
        <f>IF((+$D$11+$D$12+$D$16+$D$17+$D$38)&lt;&gt;0,$M$19*$D$12/(+$D$11+$D$12+$D$16+$D$17+$D$38),0)</f>
        <v>784794.06328454765</v>
      </c>
      <c r="G12" s="15"/>
      <c r="H12" s="15"/>
      <c r="I12" s="15"/>
      <c r="J12" s="15"/>
      <c r="K12" s="15"/>
      <c r="L12" s="38" t="s">
        <v>913</v>
      </c>
      <c r="M12" s="38">
        <v>3107188.4362554532</v>
      </c>
      <c r="N12" s="15"/>
      <c r="O12" s="38" t="s">
        <v>1537</v>
      </c>
      <c r="P12" s="45">
        <f>SUMIF('MERCADO TUSD'!$H$2:$H$68,"kW",'MERCADO TUSD'!$U$2:$U$68)</f>
        <v>5672977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00"/>
      <c r="B13" s="100"/>
      <c r="C13" s="31" t="s">
        <v>871</v>
      </c>
      <c r="D13" s="30">
        <f>-$M$51+13787977.046372</f>
        <v>13787977.046372</v>
      </c>
      <c r="E13" s="30">
        <v>0</v>
      </c>
      <c r="F13" s="30">
        <v>0</v>
      </c>
      <c r="G13" s="15"/>
      <c r="H13" s="15"/>
      <c r="I13" s="15"/>
      <c r="J13" s="15"/>
      <c r="K13" s="15"/>
      <c r="L13" s="38" t="s">
        <v>914</v>
      </c>
      <c r="M13" s="38">
        <v>55270.673505624014</v>
      </c>
      <c r="N13" s="15"/>
      <c r="O13" s="38" t="s">
        <v>1538</v>
      </c>
      <c r="P13" s="45">
        <f>SUMIF('MERCADO TUSD'!$H$2:$H$68,"MWh",'MERCADO TUSD'!$U$2:$U$68)</f>
        <v>2959212.4220000003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00"/>
      <c r="B14" s="100"/>
      <c r="C14" s="31" t="s">
        <v>872</v>
      </c>
      <c r="D14" s="30">
        <v>0</v>
      </c>
      <c r="E14" s="30">
        <v>0</v>
      </c>
      <c r="F14" s="30">
        <v>0</v>
      </c>
      <c r="G14" s="15"/>
      <c r="H14" s="15"/>
      <c r="I14" s="15"/>
      <c r="J14" s="15"/>
      <c r="K14" s="15"/>
      <c r="L14" s="38" t="s">
        <v>915</v>
      </c>
      <c r="M14" s="38">
        <v>216.41852694013221</v>
      </c>
      <c r="N14" s="15"/>
      <c r="O14" s="38" t="s">
        <v>1539</v>
      </c>
      <c r="P14" s="45">
        <f>SUMIF('MERCADO TE'!$H$2:$H$47,"MWh",'MERCADO TE'!$U$2:$U$47)</f>
        <v>2674169.7259999998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00"/>
      <c r="B15" s="100"/>
      <c r="C15" s="31" t="s">
        <v>873</v>
      </c>
      <c r="D15" s="30">
        <v>0</v>
      </c>
      <c r="E15" s="30">
        <v>0</v>
      </c>
      <c r="F15" s="30">
        <v>0</v>
      </c>
      <c r="G15" s="15"/>
      <c r="H15" s="15"/>
      <c r="I15" s="15"/>
      <c r="J15" s="15"/>
      <c r="K15" s="15"/>
      <c r="L15" s="38" t="s">
        <v>916</v>
      </c>
      <c r="M15" s="38">
        <f>M14*M12</f>
        <v>672453144.29981804</v>
      </c>
      <c r="N15" s="15"/>
      <c r="O15" s="38" t="s">
        <v>1540</v>
      </c>
      <c r="P15" s="45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00"/>
      <c r="B16" s="100"/>
      <c r="C16" s="31" t="s">
        <v>874</v>
      </c>
      <c r="D16" s="30">
        <v>0</v>
      </c>
      <c r="E16" s="30">
        <v>0</v>
      </c>
      <c r="F16" s="30">
        <f>IF((+$D$11+$D$12+$D$16+$D$17+$D$38)&lt;&gt;0,$M$19*$D$16/(+$D$11+$D$12+$D$16+$D$17+$D$38),0)</f>
        <v>0</v>
      </c>
      <c r="G16" s="15"/>
      <c r="H16" s="15"/>
      <c r="I16" s="15"/>
      <c r="J16" s="15"/>
      <c r="K16" s="15"/>
      <c r="L16" s="38" t="s">
        <v>917</v>
      </c>
      <c r="M16" s="38">
        <v>-49938762.289121412</v>
      </c>
      <c r="N16" s="15"/>
      <c r="O16" s="38" t="s">
        <v>1541</v>
      </c>
      <c r="P16" s="45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00"/>
      <c r="B17" s="100"/>
      <c r="C17" s="31" t="s">
        <v>875</v>
      </c>
      <c r="D17" s="30">
        <v>0</v>
      </c>
      <c r="E17" s="30">
        <v>0</v>
      </c>
      <c r="F17" s="30">
        <f>IF((+$D$11+$D$12+$D$16+$D$17+$D$38)&lt;&gt;0,$M$19*$D$17/(+$D$11+$D$12+$D$16+$D$17+$D$38),0)</f>
        <v>0</v>
      </c>
      <c r="G17" s="15"/>
      <c r="H17" s="15"/>
      <c r="I17" s="15"/>
      <c r="J17" s="15"/>
      <c r="K17" s="15"/>
      <c r="L17" s="38" t="s">
        <v>918</v>
      </c>
      <c r="M17" s="38">
        <v>48749067.502619021</v>
      </c>
      <c r="N17" s="15"/>
      <c r="O17" s="38" t="s">
        <v>1542</v>
      </c>
      <c r="P17" s="45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00"/>
      <c r="B18" s="101"/>
      <c r="C18" s="31" t="s">
        <v>867</v>
      </c>
      <c r="D18" s="30">
        <f>SUM(D$11:D17)</f>
        <v>94162567.931371987</v>
      </c>
      <c r="E18" s="30">
        <f>SUM(E$11:E17)</f>
        <v>13547919.948633119</v>
      </c>
      <c r="F18" s="30">
        <f>SUM(F$11:F17)</f>
        <v>4498988.4271836048</v>
      </c>
      <c r="G18" s="15"/>
      <c r="H18" s="15"/>
      <c r="I18" s="15"/>
      <c r="J18" s="15"/>
      <c r="K18" s="15"/>
      <c r="L18" s="38" t="s">
        <v>919</v>
      </c>
      <c r="M18" s="38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00"/>
      <c r="B19" s="99" t="s">
        <v>876</v>
      </c>
      <c r="C19" s="31" t="s">
        <v>877</v>
      </c>
      <c r="D19" s="30">
        <v>672726400.49279642</v>
      </c>
      <c r="E19" s="30">
        <v>37946865.750737622</v>
      </c>
      <c r="F19" s="30">
        <v>0</v>
      </c>
      <c r="G19" s="15"/>
      <c r="H19" s="15"/>
      <c r="I19" s="15"/>
      <c r="J19" s="15"/>
      <c r="K19" s="15"/>
      <c r="L19" s="38" t="s">
        <v>920</v>
      </c>
      <c r="M19" s="38">
        <v>4498988.4271836048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00"/>
      <c r="B20" s="101"/>
      <c r="C20" s="31" t="s">
        <v>867</v>
      </c>
      <c r="D20" s="30">
        <f>SUM(D$19:D19)</f>
        <v>672726400.49279642</v>
      </c>
      <c r="E20" s="30">
        <f>SUM(E$19:E19)</f>
        <v>37946865.750737622</v>
      </c>
      <c r="F20" s="30">
        <f>SUM(F$19:F19)</f>
        <v>0</v>
      </c>
      <c r="G20" s="15"/>
      <c r="H20" s="15"/>
      <c r="I20" s="15"/>
      <c r="J20" s="15"/>
      <c r="K20" s="15"/>
      <c r="L20" s="38" t="s">
        <v>921</v>
      </c>
      <c r="M20" s="38">
        <v>-7040.550851584926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00"/>
      <c r="B21" s="99" t="s">
        <v>878</v>
      </c>
      <c r="C21" s="31" t="s">
        <v>879</v>
      </c>
      <c r="D21" s="30"/>
      <c r="E21" s="30">
        <f>IF($D$46&lt;&gt;0,(1-$D$45/$D$46)*-135020654.09715,0)+0</f>
        <v>-81038980.485481143</v>
      </c>
      <c r="F21" s="30"/>
      <c r="G21" s="15"/>
      <c r="H21" s="15"/>
      <c r="I21" s="15"/>
      <c r="J21" s="15"/>
      <c r="K21" s="15"/>
      <c r="L21" s="38" t="s">
        <v>922</v>
      </c>
      <c r="M21" s="38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00"/>
      <c r="B22" s="100"/>
      <c r="C22" s="31" t="s">
        <v>880</v>
      </c>
      <c r="D22" s="30"/>
      <c r="E22" s="30"/>
      <c r="F22" s="30"/>
      <c r="G22" s="15"/>
      <c r="H22" s="15"/>
      <c r="I22" s="15"/>
      <c r="J22" s="15"/>
      <c r="K22" s="15"/>
      <c r="L22" s="38" t="s">
        <v>944</v>
      </c>
      <c r="M22" s="38">
        <v>14549755.267412459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00"/>
      <c r="B23" s="101"/>
      <c r="C23" s="31" t="s">
        <v>867</v>
      </c>
      <c r="D23" s="30">
        <f>SUM(D$21:D22)</f>
        <v>0</v>
      </c>
      <c r="E23" s="30">
        <f>SUM(E$21:E22)</f>
        <v>-81038980.485481143</v>
      </c>
      <c r="F23" s="30">
        <f>SUM(F$21:F22)</f>
        <v>0</v>
      </c>
      <c r="G23" s="15"/>
      <c r="H23" s="15"/>
      <c r="I23" s="15"/>
      <c r="J23" s="15"/>
      <c r="K23" s="15"/>
      <c r="L23" s="38" t="s">
        <v>923</v>
      </c>
      <c r="M23" s="38">
        <v>61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00"/>
      <c r="B24" s="99" t="s">
        <v>881</v>
      </c>
      <c r="C24" s="31" t="s">
        <v>882</v>
      </c>
      <c r="D24" s="30">
        <f>$M$14*$M$8</f>
        <v>57619491.4859313</v>
      </c>
      <c r="E24" s="30">
        <f>$M$16*$M$8/$M$12</f>
        <v>-4279028.37978708</v>
      </c>
      <c r="F24" s="30">
        <f>$M$17*$M$8/$M$12</f>
        <v>4177088.773730055</v>
      </c>
      <c r="G24" s="15"/>
      <c r="H24" s="15"/>
      <c r="I24" s="15"/>
      <c r="J24" s="15"/>
      <c r="K24" s="15"/>
      <c r="L24" s="38" t="s">
        <v>924</v>
      </c>
      <c r="M24" s="38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00"/>
      <c r="B25" s="100"/>
      <c r="C25" s="31" t="s">
        <v>883</v>
      </c>
      <c r="D25" s="30">
        <f>$M$14*$M$10</f>
        <v>2188458.5078138295</v>
      </c>
      <c r="E25" s="30">
        <f>$M$16*$M$10/$M$12</f>
        <v>-162522.71273876732</v>
      </c>
      <c r="F25" s="30">
        <f>$M$17*$M$10/$M$12</f>
        <v>158650.92226638595</v>
      </c>
      <c r="G25" s="15"/>
      <c r="H25" s="15"/>
      <c r="I25" s="15"/>
      <c r="J25" s="15"/>
      <c r="K25" s="15"/>
      <c r="L25" s="38" t="s">
        <v>925</v>
      </c>
      <c r="M25" s="38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00"/>
      <c r="B26" s="100"/>
      <c r="C26" s="31" t="s">
        <v>884</v>
      </c>
      <c r="D26" s="30">
        <f>$M$14*$M$9</f>
        <v>19167895.694794998</v>
      </c>
      <c r="E26" s="30">
        <f>$M$16*$M$9/$M$12</f>
        <v>-1423476.1110110257</v>
      </c>
      <c r="F26" s="30">
        <f>$M$17*$M$9/$M$12</f>
        <v>1389564.5355062915</v>
      </c>
      <c r="G26" s="15"/>
      <c r="H26" s="15"/>
      <c r="I26" s="15"/>
      <c r="J26" s="15"/>
      <c r="K26" s="15"/>
      <c r="L26" s="38" t="s">
        <v>926</v>
      </c>
      <c r="M26" s="38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00"/>
      <c r="B27" s="100"/>
      <c r="C27" s="31" t="s">
        <v>885</v>
      </c>
      <c r="D27" s="30"/>
      <c r="E27" s="30"/>
      <c r="F27" s="30"/>
      <c r="G27" s="15"/>
      <c r="H27" s="15"/>
      <c r="I27" s="15"/>
      <c r="J27" s="15"/>
      <c r="K27" s="15"/>
      <c r="L27" s="38" t="s">
        <v>927</v>
      </c>
      <c r="M27" s="38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00"/>
      <c r="B28" s="101"/>
      <c r="C28" s="31" t="s">
        <v>867</v>
      </c>
      <c r="D28" s="30">
        <f>SUM(D$24:D27)</f>
        <v>78975845.688540131</v>
      </c>
      <c r="E28" s="30">
        <f>SUM(E$24:E27)</f>
        <v>-5865027.2035368728</v>
      </c>
      <c r="F28" s="30">
        <f>SUM(F$24:F27)</f>
        <v>5725304.2315027323</v>
      </c>
      <c r="G28" s="15"/>
      <c r="H28" s="15"/>
      <c r="I28" s="15"/>
      <c r="J28" s="15"/>
      <c r="K28" s="15"/>
      <c r="L28" s="38" t="s">
        <v>928</v>
      </c>
      <c r="M28" s="38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01"/>
      <c r="B29" s="95" t="s">
        <v>867</v>
      </c>
      <c r="C29" s="97"/>
      <c r="D29" s="30">
        <f>SUMIF(C$2:C28,"SUBTOTAL",D$2:D28)</f>
        <v>981901315.22622764</v>
      </c>
      <c r="E29" s="30">
        <f>SUMIF(C$2:C28,"SUBTOTAL",E$2:E28)</f>
        <v>-39421959.232410513</v>
      </c>
      <c r="F29" s="30">
        <f>SUMIF(C$2:C28,"SUBTOTAL",F$2:F28)</f>
        <v>22025197.557706051</v>
      </c>
      <c r="G29" s="15"/>
      <c r="H29" s="15"/>
      <c r="I29" s="15"/>
      <c r="J29" s="15"/>
      <c r="K29" s="15"/>
      <c r="L29" s="38" t="s">
        <v>929</v>
      </c>
      <c r="M29" s="38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99" t="s">
        <v>886</v>
      </c>
      <c r="B30" s="99" t="s">
        <v>859</v>
      </c>
      <c r="C30" s="31" t="s">
        <v>861</v>
      </c>
      <c r="D30" s="30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6780086.7341029542</v>
      </c>
      <c r="E30" s="30">
        <f>IF((D30+D$4)&lt;&gt;0,$M$20*D30/(D30+D$4),0)</f>
        <v>-3280.8486845495613</v>
      </c>
      <c r="F30" s="30">
        <f>IF((D30+D$4)&lt;&gt;0,$M$21*D30/(D30+D$4),0)</f>
        <v>0</v>
      </c>
      <c r="G30" s="15"/>
      <c r="H30" s="15"/>
      <c r="I30" s="15"/>
      <c r="J30" s="15"/>
      <c r="K30" s="15"/>
      <c r="L30" s="38" t="s">
        <v>930</v>
      </c>
      <c r="M30" s="38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00"/>
      <c r="B31" s="100"/>
      <c r="C31" s="31" t="s">
        <v>887</v>
      </c>
      <c r="D31" s="30">
        <v>44173415.506152324</v>
      </c>
      <c r="E31" s="30">
        <v>-77114544.237402737</v>
      </c>
      <c r="F31" s="30">
        <v>88617019.98359926</v>
      </c>
      <c r="G31" s="15"/>
      <c r="H31" s="15"/>
      <c r="I31" s="15"/>
      <c r="J31" s="15"/>
      <c r="K31" s="15"/>
      <c r="L31" s="38" t="s">
        <v>931</v>
      </c>
      <c r="M31" s="38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00"/>
      <c r="B32" s="100"/>
      <c r="C32" s="31" t="s">
        <v>888</v>
      </c>
      <c r="D32" s="30">
        <v>0</v>
      </c>
      <c r="E32" s="30">
        <v>0</v>
      </c>
      <c r="F32" s="30">
        <v>0</v>
      </c>
      <c r="G32" s="15"/>
      <c r="H32" s="15"/>
      <c r="I32" s="15"/>
      <c r="J32" s="15"/>
      <c r="K32" s="15"/>
      <c r="L32" s="38" t="s">
        <v>932</v>
      </c>
      <c r="M32" s="38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00"/>
      <c r="B33" s="100"/>
      <c r="C33" s="31" t="s">
        <v>946</v>
      </c>
      <c r="D33" s="30">
        <v>9633157.0101621784</v>
      </c>
      <c r="E33" s="30">
        <v>-481434.36160427966</v>
      </c>
      <c r="F33" s="30">
        <v>626300.36751540366</v>
      </c>
      <c r="G33" s="15"/>
      <c r="H33" s="15"/>
      <c r="I33" s="15"/>
      <c r="J33" s="15"/>
      <c r="K33" s="15"/>
      <c r="L33" s="38" t="s">
        <v>933</v>
      </c>
      <c r="M33" s="38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00"/>
      <c r="B34" s="101"/>
      <c r="C34" s="31" t="s">
        <v>867</v>
      </c>
      <c r="D34" s="30">
        <f>SUM(D$30:D33)</f>
        <v>60586659.250417456</v>
      </c>
      <c r="E34" s="30">
        <f>SUM(E$30:E33)</f>
        <v>-77599259.44769156</v>
      </c>
      <c r="F34" s="30">
        <f>SUM(F$30:F33)</f>
        <v>89243320.351114661</v>
      </c>
      <c r="G34" s="15"/>
      <c r="H34" s="15"/>
      <c r="I34" s="15"/>
      <c r="J34" s="15"/>
      <c r="K34" s="15"/>
      <c r="L34" s="38" t="s">
        <v>934</v>
      </c>
      <c r="M34" s="38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00"/>
      <c r="B35" s="99" t="s">
        <v>889</v>
      </c>
      <c r="C35" s="31" t="s">
        <v>890</v>
      </c>
      <c r="D35" s="30">
        <f>$M$14*($M$12-$M$7)</f>
        <v>578739872.88881707</v>
      </c>
      <c r="E35" s="30">
        <f>$M$16*($M$12-$M$7)/$M$12</f>
        <v>-42979281.433094189</v>
      </c>
      <c r="F35" s="30">
        <f>$M$17*($M$12-$M$7)/$M$12</f>
        <v>41955382.868036844</v>
      </c>
      <c r="G35" s="15"/>
      <c r="H35" s="15"/>
      <c r="I35" s="15"/>
      <c r="J35" s="15"/>
      <c r="K35" s="15"/>
      <c r="L35" s="38" t="s">
        <v>935</v>
      </c>
      <c r="M35" s="38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00"/>
      <c r="B36" s="101"/>
      <c r="C36" s="31" t="s">
        <v>867</v>
      </c>
      <c r="D36" s="30">
        <f>SUM(D$35:D35)</f>
        <v>578739872.88881707</v>
      </c>
      <c r="E36" s="30">
        <f>SUM(E$35:E35)</f>
        <v>-42979281.433094189</v>
      </c>
      <c r="F36" s="30">
        <f>SUM(F$35:F35)</f>
        <v>41955382.868036844</v>
      </c>
      <c r="G36" s="15"/>
      <c r="H36" s="15"/>
      <c r="I36" s="15"/>
      <c r="J36" s="15"/>
      <c r="K36" s="15"/>
      <c r="L36" s="38" t="s">
        <v>936</v>
      </c>
      <c r="M36" s="38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00"/>
      <c r="B37" s="99" t="s">
        <v>868</v>
      </c>
      <c r="C37" s="31" t="s">
        <v>891</v>
      </c>
      <c r="D37" s="30">
        <v>0</v>
      </c>
      <c r="E37" s="30">
        <v>0</v>
      </c>
      <c r="F37" s="30">
        <v>0</v>
      </c>
      <c r="G37" s="15"/>
      <c r="H37" s="15"/>
      <c r="I37" s="15"/>
      <c r="J37" s="15"/>
      <c r="K37" s="15"/>
      <c r="L37" s="38" t="s">
        <v>937</v>
      </c>
      <c r="M37" s="38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00"/>
      <c r="B38" s="100"/>
      <c r="C38" s="31" t="s">
        <v>892</v>
      </c>
      <c r="D38" s="30">
        <v>0</v>
      </c>
      <c r="E38" s="30">
        <v>0</v>
      </c>
      <c r="F38" s="30">
        <f>IF((+$D$11+$D$12+$D$16+$D$17+$D$38)&lt;&gt;0,$M$19*$D$38/(+$D$11+$D$12+$D$16+$D$17+$D$38),0)</f>
        <v>0</v>
      </c>
      <c r="G38" s="15"/>
      <c r="H38" s="15"/>
      <c r="I38" s="15"/>
      <c r="J38" s="15"/>
      <c r="K38" s="15"/>
      <c r="L38" s="38" t="s">
        <v>938</v>
      </c>
      <c r="M38" s="38">
        <f>IFERROR(VLOOKUP("Convencional1RuralNão se aplicaRURALB2",Descontos!B1:U88,VLOOKUP("Convencional1RuralNão se aplicaRURALB2",Descontos!B1:U88,20,FALSE)+12,FALSE),100)</f>
        <v>0.06</v>
      </c>
      <c r="N38" s="15" t="s">
        <v>1555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00"/>
      <c r="B39" s="100"/>
      <c r="C39" s="31" t="s">
        <v>893</v>
      </c>
      <c r="D39" s="30">
        <v>9.9999999999999995E-7</v>
      </c>
      <c r="E39" s="30">
        <v>0</v>
      </c>
      <c r="F39" s="30">
        <v>0</v>
      </c>
      <c r="G39" s="15"/>
      <c r="H39" s="15"/>
      <c r="I39" s="15"/>
      <c r="J39" s="15"/>
      <c r="K39" s="15"/>
      <c r="L39" s="38" t="s">
        <v>939</v>
      </c>
      <c r="M39" s="38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1556</v>
      </c>
      <c r="P39" s="15" t="s">
        <v>1557</v>
      </c>
      <c r="Q39" s="15" t="s">
        <v>1558</v>
      </c>
      <c r="R39" s="15" t="s">
        <v>1559</v>
      </c>
      <c r="S39" s="15" t="s">
        <v>1</v>
      </c>
      <c r="T39" s="15" t="s">
        <v>1560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00"/>
      <c r="B40" s="101"/>
      <c r="C40" s="31" t="s">
        <v>867</v>
      </c>
      <c r="D40" s="30">
        <f>SUM(D$37:D39)</f>
        <v>9.9999999999999995E-7</v>
      </c>
      <c r="E40" s="30">
        <f>SUM(E$37:E39)</f>
        <v>0</v>
      </c>
      <c r="F40" s="30">
        <f>SUM(F$37:F39)</f>
        <v>0</v>
      </c>
      <c r="G40" s="15"/>
      <c r="H40" s="15"/>
      <c r="I40" s="15"/>
      <c r="J40" s="15"/>
      <c r="K40" s="15"/>
      <c r="L40" s="38" t="s">
        <v>940</v>
      </c>
      <c r="M40" s="38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49" t="s">
        <v>68</v>
      </c>
      <c r="P40" s="49" t="s">
        <v>61</v>
      </c>
      <c r="Q40" s="49" t="s">
        <v>1561</v>
      </c>
      <c r="R40" s="49" t="s">
        <v>980</v>
      </c>
      <c r="S40" s="49" t="s">
        <v>41</v>
      </c>
      <c r="T40" s="49">
        <v>0</v>
      </c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00"/>
      <c r="B41" s="99" t="s">
        <v>878</v>
      </c>
      <c r="C41" s="31" t="s">
        <v>879</v>
      </c>
      <c r="D41" s="30"/>
      <c r="E41" s="30">
        <f>IF($D$46&lt;&gt;0,($D$45/$D$46)* -135020654.09715,0)+0</f>
        <v>-53981673.611668848</v>
      </c>
      <c r="F41" s="30"/>
      <c r="G41" s="15"/>
      <c r="H41" s="15"/>
      <c r="I41" s="15"/>
      <c r="J41" s="15"/>
      <c r="K41" s="15"/>
      <c r="L41" s="15"/>
      <c r="M41" s="15"/>
      <c r="N41" s="15"/>
      <c r="O41" s="49" t="s">
        <v>68</v>
      </c>
      <c r="P41" s="49" t="s">
        <v>61</v>
      </c>
      <c r="Q41" s="49" t="s">
        <v>1561</v>
      </c>
      <c r="R41" s="49" t="s">
        <v>983</v>
      </c>
      <c r="S41" s="49" t="s">
        <v>41</v>
      </c>
      <c r="T41" s="49">
        <v>0</v>
      </c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00"/>
      <c r="B42" s="101"/>
      <c r="C42" s="31" t="s">
        <v>867</v>
      </c>
      <c r="D42" s="30">
        <f>SUM(D$41:D41)</f>
        <v>0</v>
      </c>
      <c r="E42" s="30">
        <f>SUM(E$41:E41)</f>
        <v>-53981673.611668848</v>
      </c>
      <c r="F42" s="30">
        <f>SUM(F$41:F41)</f>
        <v>0</v>
      </c>
      <c r="G42" s="15"/>
      <c r="H42" s="15"/>
      <c r="I42" s="15"/>
      <c r="J42" s="15"/>
      <c r="K42" s="15"/>
      <c r="L42" s="15"/>
      <c r="M42" s="15"/>
      <c r="N42" s="15"/>
      <c r="O42" s="49"/>
      <c r="P42" s="49"/>
      <c r="Q42" s="49"/>
      <c r="R42" s="49"/>
      <c r="S42" s="49"/>
      <c r="T42" s="49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00"/>
      <c r="B43" s="99" t="s">
        <v>881</v>
      </c>
      <c r="C43" s="31" t="s">
        <v>894</v>
      </c>
      <c r="D43" s="30">
        <f>$M$14*$M$11</f>
        <v>14737425.722460933</v>
      </c>
      <c r="E43" s="30">
        <f>$M$16*$M$11/$M$12</f>
        <v>-1094453.6524903555</v>
      </c>
      <c r="F43" s="30">
        <f>$M$17*$M$11/$M$12</f>
        <v>1068380.4030794483</v>
      </c>
      <c r="G43" s="15"/>
      <c r="H43" s="15"/>
      <c r="I43" s="15"/>
      <c r="J43" s="15"/>
      <c r="K43" s="15"/>
      <c r="L43" s="15"/>
      <c r="M43" s="15"/>
      <c r="N43" s="15"/>
      <c r="O43" s="49"/>
      <c r="P43" s="49"/>
      <c r="Q43" s="49"/>
      <c r="R43" s="49"/>
      <c r="S43" s="49"/>
      <c r="T43" s="49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00"/>
      <c r="B44" s="101"/>
      <c r="C44" s="31" t="s">
        <v>867</v>
      </c>
      <c r="D44" s="30">
        <f>SUM(D$43:D43)</f>
        <v>14737425.722460933</v>
      </c>
      <c r="E44" s="30">
        <f>SUM(E$43:E43)</f>
        <v>-1094453.6524903555</v>
      </c>
      <c r="F44" s="30">
        <f>SUM(F$43:F43)</f>
        <v>1068380.4030794483</v>
      </c>
      <c r="G44" s="15"/>
      <c r="H44" s="15"/>
      <c r="I44" s="15"/>
      <c r="J44" s="15"/>
      <c r="K44" s="15"/>
      <c r="L44" s="15"/>
      <c r="M44" s="15"/>
      <c r="N44" s="15"/>
      <c r="O44" s="49"/>
      <c r="P44" s="49"/>
      <c r="Q44" s="49"/>
      <c r="R44" s="49"/>
      <c r="S44" s="49"/>
      <c r="T44" s="49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01"/>
      <c r="B45" s="95" t="s">
        <v>867</v>
      </c>
      <c r="C45" s="97"/>
      <c r="D45" s="30">
        <f>SUMIF(C$30:C44,"SUBTOTAL",D$30:D44)</f>
        <v>654063957.86169648</v>
      </c>
      <c r="E45" s="30">
        <f>SUMIF(C$30:C44,"SUBTOTAL",E$30:E44)</f>
        <v>-175654668.14494494</v>
      </c>
      <c r="F45" s="30">
        <f>SUMIF(C$30:C44,"SUBTOTAL",F$30:F44)</f>
        <v>132267083.62223095</v>
      </c>
      <c r="G45" s="15"/>
      <c r="H45" s="15"/>
      <c r="I45" s="15"/>
      <c r="J45" s="15"/>
      <c r="K45" s="15"/>
      <c r="L45" s="15"/>
      <c r="M45" s="15"/>
      <c r="N45" s="15"/>
      <c r="O45" s="49"/>
      <c r="P45" s="49"/>
      <c r="Q45" s="49"/>
      <c r="R45" s="49"/>
      <c r="S45" s="49"/>
      <c r="T45" s="49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95" t="s">
        <v>895</v>
      </c>
      <c r="B46" s="96"/>
      <c r="C46" s="97"/>
      <c r="D46" s="30">
        <f>SUMIF(C$2:C45,"SUBTOTAL",D$2:D45)</f>
        <v>1635965273.0879242</v>
      </c>
      <c r="E46" s="30">
        <f>SUMIF(C$2:C45,"SUBTOTAL",E$2:E45)</f>
        <v>-215076627.37735546</v>
      </c>
      <c r="F46" s="30">
        <f>SUMIF(C$2:C45,"SUBTOTAL",F$2:F45)</f>
        <v>154292281.17993701</v>
      </c>
      <c r="G46" s="15"/>
      <c r="H46" s="15"/>
      <c r="I46" s="15"/>
      <c r="J46" s="15"/>
      <c r="K46" s="15"/>
      <c r="L46" s="15"/>
      <c r="M46" s="15"/>
      <c r="N46" s="15"/>
      <c r="O46" s="49"/>
      <c r="P46" s="49"/>
      <c r="Q46" s="49"/>
      <c r="R46" s="49"/>
      <c r="S46" s="49"/>
      <c r="T46" s="49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3" t="s">
        <v>1551</v>
      </c>
      <c r="B47" s="94"/>
      <c r="C47" s="94"/>
      <c r="D47" s="42">
        <f ca="1">'TUSD BE'!$AM$73+'TUSD BE'!$AM$77+'TE BE'!$AA$52</f>
        <v>1635965273.087924</v>
      </c>
      <c r="E47" s="42">
        <f ca="1">'TUSD BF'!$AM$73+'TE BF'!$AA$52</f>
        <v>-215076627.37735546</v>
      </c>
      <c r="F47" s="42">
        <f ca="1">'TUSD CVA'!$AM$73+'TE CVA'!$AA$52</f>
        <v>154292281.17993701</v>
      </c>
      <c r="G47" s="18">
        <f ca="1">SUM(D47:F47)</f>
        <v>1575180926.8905053</v>
      </c>
      <c r="L47" s="9"/>
      <c r="M47" s="15"/>
      <c r="O47" s="49"/>
      <c r="P47" s="49"/>
      <c r="Q47" s="49"/>
      <c r="R47" s="49"/>
      <c r="S47" s="49"/>
      <c r="T47" s="49"/>
    </row>
    <row r="48" spans="1:30" ht="12" customHeight="1" x14ac:dyDescent="0.25">
      <c r="A48" s="93" t="s">
        <v>1552</v>
      </c>
      <c r="B48" s="94"/>
      <c r="C48" s="94"/>
      <c r="D48" s="43" t="str">
        <f ca="1">IF(ABS(D47-D46)&gt;1,"ERRO","OK")</f>
        <v>OK</v>
      </c>
      <c r="E48" s="43" t="str">
        <f ca="1">IF(ABS(E47-E46)&gt;1,"ERRO","OK")</f>
        <v>OK</v>
      </c>
      <c r="F48" s="43" t="str">
        <f ca="1">IF(ABS(F47-F46)&gt;1,"ERRO","OK")</f>
        <v>OK</v>
      </c>
      <c r="L48" s="66"/>
      <c r="M48" s="38"/>
      <c r="O48" s="49"/>
      <c r="P48" s="49"/>
      <c r="Q48" s="49"/>
      <c r="R48" s="49"/>
      <c r="S48" s="49"/>
      <c r="T48" s="49"/>
    </row>
    <row r="49" spans="4:20" ht="12" customHeight="1" x14ac:dyDescent="0.25">
      <c r="L49" s="66"/>
      <c r="M49" s="38"/>
      <c r="O49" s="49"/>
      <c r="P49" s="49"/>
      <c r="Q49" s="49"/>
      <c r="R49" s="49"/>
      <c r="S49" s="49"/>
      <c r="T49" s="49"/>
    </row>
    <row r="50" spans="4:20" ht="12" customHeight="1" x14ac:dyDescent="0.25">
      <c r="D50" s="30">
        <v>1635965273.087923</v>
      </c>
      <c r="E50" s="30">
        <f>+E46+F46</f>
        <v>-60784346.197418451</v>
      </c>
      <c r="F50" s="30">
        <f>+-61664647.5742366/(1+M6)</f>
        <v>-60784346.197418585</v>
      </c>
      <c r="L50" s="66"/>
      <c r="M50" s="38"/>
      <c r="O50" s="49"/>
      <c r="P50" s="49"/>
      <c r="Q50" s="49"/>
      <c r="R50" s="49"/>
      <c r="S50" s="49"/>
      <c r="T50" s="49"/>
    </row>
    <row r="51" spans="4:20" ht="12" customHeight="1" x14ac:dyDescent="0.25">
      <c r="L51" s="54" t="s">
        <v>941</v>
      </c>
      <c r="M51" s="60">
        <v>0</v>
      </c>
      <c r="O51" s="49"/>
      <c r="P51" s="49"/>
      <c r="Q51" s="49"/>
      <c r="R51" s="49"/>
      <c r="S51" s="49"/>
      <c r="T51" s="49"/>
    </row>
    <row r="52" spans="4:20" ht="12" customHeight="1" x14ac:dyDescent="0.25">
      <c r="O52" s="49"/>
      <c r="P52" s="49"/>
      <c r="Q52" s="49"/>
      <c r="R52" s="49"/>
      <c r="S52" s="49"/>
      <c r="T52" s="49"/>
    </row>
    <row r="53" spans="4:20" ht="12" customHeight="1" x14ac:dyDescent="0.25">
      <c r="O53" s="49"/>
      <c r="P53" s="49"/>
      <c r="Q53" s="49"/>
      <c r="R53" s="49"/>
      <c r="S53" s="49"/>
      <c r="T53" s="49"/>
    </row>
    <row r="54" spans="4:20" ht="12" customHeight="1" x14ac:dyDescent="0.25">
      <c r="O54" s="49"/>
      <c r="P54" s="49"/>
      <c r="Q54" s="49"/>
      <c r="R54" s="49"/>
      <c r="S54" s="49"/>
      <c r="T54" s="49"/>
    </row>
    <row r="55" spans="4:20" ht="12" customHeight="1" x14ac:dyDescent="0.25">
      <c r="O55" s="49"/>
      <c r="P55" s="49"/>
      <c r="Q55" s="49"/>
      <c r="R55" s="49"/>
      <c r="S55" s="49"/>
      <c r="T55" s="49"/>
    </row>
    <row r="56" spans="4:20" ht="12" customHeight="1" x14ac:dyDescent="0.25">
      <c r="O56" s="49"/>
      <c r="P56" s="49"/>
      <c r="Q56" s="49"/>
      <c r="R56" s="49"/>
      <c r="S56" s="49"/>
      <c r="T56" s="49"/>
    </row>
    <row r="57" spans="4:20" ht="12" customHeight="1" x14ac:dyDescent="0.25">
      <c r="O57" s="49"/>
      <c r="P57" s="49"/>
      <c r="Q57" s="49"/>
      <c r="R57" s="49"/>
      <c r="S57" s="49"/>
      <c r="T57" s="49"/>
    </row>
    <row r="58" spans="4:20" ht="12" customHeight="1" x14ac:dyDescent="0.25">
      <c r="O58" s="49"/>
      <c r="P58" s="49"/>
      <c r="Q58" s="49"/>
      <c r="R58" s="49"/>
      <c r="S58" s="49"/>
      <c r="T58" s="49"/>
    </row>
    <row r="59" spans="4:20" ht="12" customHeight="1" x14ac:dyDescent="0.25">
      <c r="O59" s="49"/>
      <c r="P59" s="49"/>
      <c r="Q59" s="49"/>
      <c r="R59" s="49"/>
      <c r="S59" s="49"/>
      <c r="T59" s="49"/>
    </row>
    <row r="60" spans="4:20" ht="12" customHeight="1" x14ac:dyDescent="0.25">
      <c r="O60" s="49"/>
      <c r="P60" s="49"/>
      <c r="Q60" s="49"/>
      <c r="R60" s="49"/>
      <c r="S60" s="49"/>
      <c r="T60" s="49"/>
    </row>
    <row r="61" spans="4:20" ht="12" customHeight="1" x14ac:dyDescent="0.25">
      <c r="O61" s="49"/>
      <c r="P61" s="49"/>
      <c r="Q61" s="49"/>
      <c r="R61" s="49"/>
      <c r="S61" s="49"/>
      <c r="T61" s="49"/>
    </row>
    <row r="62" spans="4:20" ht="12" customHeight="1" x14ac:dyDescent="0.25">
      <c r="O62" s="49"/>
      <c r="P62" s="49"/>
      <c r="Q62" s="49"/>
      <c r="R62" s="49"/>
      <c r="S62" s="49"/>
      <c r="T62" s="49"/>
    </row>
    <row r="63" spans="4:20" ht="12" customHeight="1" x14ac:dyDescent="0.25">
      <c r="O63" s="49"/>
      <c r="P63" s="49"/>
      <c r="Q63" s="49"/>
      <c r="R63" s="49"/>
      <c r="S63" s="49"/>
      <c r="T63" s="49"/>
    </row>
    <row r="64" spans="4:20" ht="12" customHeight="1" x14ac:dyDescent="0.25">
      <c r="O64" s="49"/>
      <c r="P64" s="49"/>
      <c r="Q64" s="49"/>
      <c r="R64" s="49"/>
      <c r="S64" s="49"/>
      <c r="T64" s="49"/>
    </row>
    <row r="65" spans="15:20" ht="12" customHeight="1" x14ac:dyDescent="0.25">
      <c r="O65" s="49"/>
      <c r="P65" s="49"/>
      <c r="Q65" s="49"/>
      <c r="R65" s="49"/>
      <c r="S65" s="49"/>
      <c r="T65" s="49"/>
    </row>
    <row r="66" spans="15:20" ht="12" customHeight="1" x14ac:dyDescent="0.25">
      <c r="O66" s="49"/>
      <c r="P66" s="49"/>
      <c r="Q66" s="49"/>
      <c r="R66" s="49"/>
      <c r="S66" s="49"/>
      <c r="T66" s="49"/>
    </row>
    <row r="67" spans="15:20" ht="12" customHeight="1" x14ac:dyDescent="0.25">
      <c r="O67" s="49"/>
      <c r="P67" s="49"/>
      <c r="Q67" s="49"/>
      <c r="R67" s="49"/>
      <c r="S67" s="49"/>
      <c r="T67" s="49"/>
    </row>
    <row r="68" spans="15:20" ht="12" customHeight="1" x14ac:dyDescent="0.25">
      <c r="O68" s="49"/>
      <c r="P68" s="49"/>
      <c r="Q68" s="49"/>
      <c r="R68" s="49"/>
      <c r="S68" s="49"/>
      <c r="T68" s="49"/>
    </row>
    <row r="69" spans="15:20" ht="12" customHeight="1" x14ac:dyDescent="0.25">
      <c r="O69" s="49"/>
      <c r="P69" s="49"/>
      <c r="Q69" s="49"/>
      <c r="R69" s="49"/>
      <c r="S69" s="49"/>
      <c r="T69" s="49"/>
    </row>
    <row r="70" spans="15:20" ht="12" customHeight="1" x14ac:dyDescent="0.25">
      <c r="O70" s="49"/>
      <c r="P70" s="49"/>
      <c r="Q70" s="49"/>
      <c r="R70" s="49"/>
      <c r="S70" s="49"/>
      <c r="T70" s="49"/>
    </row>
    <row r="71" spans="15:20" ht="12" customHeight="1" x14ac:dyDescent="0.25">
      <c r="O71" s="49"/>
      <c r="P71" s="49"/>
      <c r="Q71" s="49"/>
      <c r="R71" s="49"/>
      <c r="S71" s="49"/>
      <c r="T71" s="49"/>
    </row>
    <row r="72" spans="15:20" ht="12" customHeight="1" x14ac:dyDescent="0.25">
      <c r="O72" s="49"/>
      <c r="P72" s="49"/>
      <c r="Q72" s="49"/>
      <c r="R72" s="49"/>
      <c r="S72" s="49"/>
      <c r="T72" s="49"/>
    </row>
    <row r="73" spans="15:20" ht="12" customHeight="1" x14ac:dyDescent="0.25">
      <c r="O73" s="49"/>
      <c r="P73" s="49"/>
      <c r="Q73" s="49"/>
      <c r="R73" s="49"/>
      <c r="S73" s="49"/>
      <c r="T73" s="49"/>
    </row>
    <row r="74" spans="15:20" ht="12" customHeight="1" x14ac:dyDescent="0.25">
      <c r="O74" s="49"/>
      <c r="P74" s="49"/>
      <c r="Q74" s="49"/>
      <c r="R74" s="49"/>
      <c r="S74" s="49"/>
      <c r="T74" s="49"/>
    </row>
    <row r="75" spans="15:20" ht="12" customHeight="1" x14ac:dyDescent="0.25">
      <c r="O75" s="49"/>
      <c r="P75" s="49"/>
      <c r="Q75" s="49"/>
      <c r="R75" s="49"/>
      <c r="S75" s="49"/>
      <c r="T75" s="49"/>
    </row>
    <row r="76" spans="15:20" ht="12" customHeight="1" x14ac:dyDescent="0.25">
      <c r="O76" s="49"/>
      <c r="P76" s="49"/>
      <c r="Q76" s="49"/>
      <c r="R76" s="49"/>
      <c r="S76" s="49"/>
      <c r="T76" s="49"/>
    </row>
    <row r="77" spans="15:20" ht="12" customHeight="1" x14ac:dyDescent="0.25">
      <c r="O77" s="49"/>
      <c r="P77" s="49"/>
      <c r="Q77" s="49"/>
      <c r="R77" s="49"/>
      <c r="S77" s="49"/>
      <c r="T77" s="49"/>
    </row>
    <row r="78" spans="15:20" ht="12" customHeight="1" x14ac:dyDescent="0.25">
      <c r="O78" s="49"/>
      <c r="P78" s="49"/>
      <c r="Q78" s="49"/>
      <c r="R78" s="49"/>
      <c r="S78" s="49"/>
      <c r="T78" s="49"/>
    </row>
    <row r="79" spans="15:20" ht="12" customHeight="1" x14ac:dyDescent="0.25">
      <c r="O79" s="49"/>
      <c r="P79" s="49"/>
      <c r="Q79" s="49"/>
      <c r="R79" s="49"/>
      <c r="S79" s="49"/>
      <c r="T79" s="49"/>
    </row>
    <row r="80" spans="15:20" ht="12" customHeight="1" x14ac:dyDescent="0.25">
      <c r="O80" s="49"/>
      <c r="P80" s="49"/>
      <c r="Q80" s="49"/>
      <c r="R80" s="49"/>
      <c r="S80" s="49"/>
      <c r="T80" s="49"/>
    </row>
    <row r="81" spans="15:20" ht="12" customHeight="1" x14ac:dyDescent="0.25">
      <c r="O81" s="49"/>
      <c r="P81" s="49"/>
      <c r="Q81" s="49"/>
      <c r="R81" s="49"/>
      <c r="S81" s="49"/>
      <c r="T81" s="49"/>
    </row>
    <row r="82" spans="15:20" ht="12" customHeight="1" x14ac:dyDescent="0.25">
      <c r="O82" s="49"/>
      <c r="P82" s="49"/>
      <c r="Q82" s="49"/>
      <c r="R82" s="49"/>
      <c r="S82" s="49"/>
      <c r="T82" s="49"/>
    </row>
    <row r="83" spans="15:20" ht="12" customHeight="1" x14ac:dyDescent="0.25">
      <c r="O83" s="49"/>
      <c r="P83" s="49"/>
      <c r="Q83" s="49"/>
      <c r="R83" s="49"/>
      <c r="S83" s="49"/>
      <c r="T83" s="49"/>
    </row>
    <row r="84" spans="15:20" ht="12" customHeight="1" x14ac:dyDescent="0.25">
      <c r="O84" s="49"/>
      <c r="P84" s="49"/>
      <c r="Q84" s="49"/>
      <c r="R84" s="49"/>
      <c r="S84" s="49"/>
      <c r="T84" s="49"/>
    </row>
    <row r="85" spans="15:20" ht="12" customHeight="1" x14ac:dyDescent="0.25">
      <c r="O85" s="49"/>
      <c r="P85" s="49"/>
      <c r="Q85" s="49"/>
      <c r="R85" s="49"/>
      <c r="S85" s="49"/>
      <c r="T85" s="49"/>
    </row>
    <row r="86" spans="15:20" ht="12" customHeight="1" x14ac:dyDescent="0.25">
      <c r="O86" s="49"/>
      <c r="P86" s="49"/>
      <c r="Q86" s="49"/>
      <c r="R86" s="49"/>
      <c r="S86" s="49"/>
      <c r="T86" s="49"/>
    </row>
    <row r="87" spans="15:20" ht="12" customHeight="1" x14ac:dyDescent="0.25">
      <c r="O87" s="49"/>
      <c r="P87" s="49"/>
      <c r="Q87" s="49"/>
      <c r="R87" s="49"/>
      <c r="S87" s="49"/>
      <c r="T87" s="49"/>
    </row>
    <row r="88" spans="15:20" ht="12" customHeight="1" x14ac:dyDescent="0.25">
      <c r="O88" s="49"/>
      <c r="P88" s="49"/>
      <c r="Q88" s="49"/>
      <c r="R88" s="49"/>
      <c r="S88" s="49"/>
      <c r="T88" s="49"/>
    </row>
    <row r="89" spans="15:20" ht="12" customHeight="1" x14ac:dyDescent="0.25">
      <c r="O89" s="49"/>
      <c r="P89" s="49"/>
      <c r="Q89" s="49"/>
      <c r="R89" s="49"/>
      <c r="S89" s="49"/>
      <c r="T89" s="49"/>
    </row>
    <row r="90" spans="15:20" ht="12" customHeight="1" x14ac:dyDescent="0.25">
      <c r="O90" s="49"/>
      <c r="P90" s="49"/>
      <c r="Q90" s="49"/>
      <c r="R90" s="49"/>
      <c r="S90" s="49"/>
      <c r="T90" s="49"/>
    </row>
    <row r="91" spans="15:20" ht="12" customHeight="1" x14ac:dyDescent="0.25">
      <c r="O91" s="49"/>
      <c r="P91" s="49"/>
      <c r="Q91" s="49"/>
      <c r="R91" s="49"/>
      <c r="S91" s="49"/>
      <c r="T91" s="49"/>
    </row>
    <row r="92" spans="15:20" ht="12" customHeight="1" x14ac:dyDescent="0.25">
      <c r="O92" s="49"/>
      <c r="P92" s="49"/>
      <c r="Q92" s="49"/>
      <c r="R92" s="49"/>
      <c r="S92" s="49"/>
      <c r="T92" s="49"/>
    </row>
    <row r="93" spans="15:20" ht="12" customHeight="1" x14ac:dyDescent="0.25">
      <c r="O93" s="49"/>
      <c r="P93" s="49"/>
      <c r="Q93" s="49"/>
      <c r="R93" s="49"/>
      <c r="S93" s="49"/>
      <c r="T93" s="49"/>
    </row>
    <row r="94" spans="15:20" ht="12" customHeight="1" x14ac:dyDescent="0.25">
      <c r="O94" s="49"/>
      <c r="P94" s="49"/>
      <c r="Q94" s="49"/>
      <c r="R94" s="49"/>
      <c r="S94" s="49"/>
      <c r="T94" s="49"/>
    </row>
    <row r="95" spans="15:20" ht="12" customHeight="1" x14ac:dyDescent="0.25">
      <c r="O95" s="49"/>
      <c r="P95" s="49"/>
      <c r="Q95" s="49"/>
      <c r="R95" s="49"/>
      <c r="S95" s="49"/>
      <c r="T95" s="49"/>
    </row>
    <row r="96" spans="15:20" ht="12" customHeight="1" x14ac:dyDescent="0.25">
      <c r="O96" s="49"/>
      <c r="P96" s="49"/>
      <c r="Q96" s="49"/>
      <c r="R96" s="49"/>
      <c r="S96" s="49"/>
      <c r="T96" s="49"/>
    </row>
    <row r="97" spans="15:30" ht="12" customHeight="1" x14ac:dyDescent="0.25">
      <c r="O97" s="49"/>
      <c r="P97" s="49"/>
      <c r="Q97" s="49"/>
      <c r="R97" s="49"/>
      <c r="S97" s="49"/>
      <c r="T97" s="49"/>
    </row>
    <row r="98" spans="15:30" ht="12" customHeight="1" x14ac:dyDescent="0.25">
      <c r="O98" s="49"/>
      <c r="P98" s="49"/>
      <c r="Q98" s="49"/>
      <c r="R98" s="49"/>
      <c r="S98" s="49"/>
      <c r="T98" s="49"/>
    </row>
    <row r="99" spans="15:30" ht="12" customHeight="1" x14ac:dyDescent="0.25">
      <c r="O99" s="48"/>
      <c r="P99" s="48"/>
      <c r="Q99" s="48"/>
      <c r="R99" s="48"/>
      <c r="S99" s="48"/>
      <c r="T99" s="48"/>
    </row>
    <row r="100" spans="15:30" ht="12" customHeight="1" x14ac:dyDescent="0.25"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15:30" ht="12" customHeight="1" x14ac:dyDescent="0.25">
      <c r="O101" s="49" t="s">
        <v>1556</v>
      </c>
      <c r="P101" s="49" t="s">
        <v>1562</v>
      </c>
      <c r="Q101" s="49" t="s">
        <v>1563</v>
      </c>
      <c r="R101" s="49" t="s">
        <v>1564</v>
      </c>
      <c r="S101" s="49" t="s">
        <v>1565</v>
      </c>
      <c r="T101" s="49" t="s">
        <v>1566</v>
      </c>
      <c r="U101" s="49" t="s">
        <v>1567</v>
      </c>
      <c r="V101" s="49" t="s">
        <v>1568</v>
      </c>
      <c r="W101" s="49"/>
      <c r="X101" s="49"/>
      <c r="Y101" s="49"/>
      <c r="Z101" s="49"/>
      <c r="AA101" s="49"/>
      <c r="AB101" s="49"/>
      <c r="AC101" s="49"/>
      <c r="AD101" s="49"/>
    </row>
    <row r="102" spans="15:30" ht="12" customHeight="1" x14ac:dyDescent="0.25">
      <c r="O102" s="49" t="s">
        <v>38</v>
      </c>
      <c r="P102" s="49" t="s">
        <v>23</v>
      </c>
      <c r="Q102" s="49" t="s">
        <v>44</v>
      </c>
      <c r="R102" s="49" t="s">
        <v>45</v>
      </c>
      <c r="S102" s="49" t="s">
        <v>25</v>
      </c>
      <c r="T102" s="49" t="s">
        <v>45</v>
      </c>
      <c r="U102" s="49">
        <v>4</v>
      </c>
      <c r="V102" s="49">
        <v>0.3</v>
      </c>
      <c r="W102" s="49">
        <v>0.24</v>
      </c>
      <c r="X102" s="49">
        <v>0.18</v>
      </c>
      <c r="Y102" s="49">
        <v>0.12</v>
      </c>
      <c r="Z102" s="49">
        <v>0.06</v>
      </c>
      <c r="AA102" s="49">
        <v>0</v>
      </c>
      <c r="AB102" s="49"/>
      <c r="AC102" s="49"/>
      <c r="AD102" s="49"/>
    </row>
    <row r="103" spans="15:30" ht="12" customHeight="1" x14ac:dyDescent="0.25"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15:30" ht="12" customHeight="1" x14ac:dyDescent="0.25"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15:30" ht="12" customHeight="1" x14ac:dyDescent="0.25"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15:30" ht="12" customHeight="1" x14ac:dyDescent="0.25"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15:30" ht="12" customHeight="1" x14ac:dyDescent="0.25"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15:30" ht="12" customHeight="1" x14ac:dyDescent="0.25"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15:30" ht="12" customHeight="1" x14ac:dyDescent="0.25"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15:30" ht="12" customHeight="1" x14ac:dyDescent="0.25"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15:30" ht="12" customHeight="1" x14ac:dyDescent="0.25"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15:30" ht="12" customHeight="1" x14ac:dyDescent="0.25"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15:30" ht="12" customHeight="1" x14ac:dyDescent="0.25"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15:30" ht="12" customHeight="1" x14ac:dyDescent="0.25"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15:30" ht="12" customHeight="1" x14ac:dyDescent="0.25"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15:30" ht="12" customHeight="1" x14ac:dyDescent="0.25"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15:30" ht="12" customHeight="1" x14ac:dyDescent="0.25"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15:30" ht="12" customHeight="1" x14ac:dyDescent="0.25"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15:30" ht="12" customHeight="1" x14ac:dyDescent="0.25"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15:30" ht="12" customHeight="1" x14ac:dyDescent="0.25"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15:30" ht="12" customHeight="1" x14ac:dyDescent="0.25"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15:30" ht="12" customHeight="1" x14ac:dyDescent="0.25"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15:30" ht="12" customHeight="1" x14ac:dyDescent="0.25"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15:30" ht="12" customHeight="1" x14ac:dyDescent="0.25"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15:30" ht="12" customHeight="1" x14ac:dyDescent="0.25"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15:30" ht="12" customHeight="1" x14ac:dyDescent="0.25"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</row>
    <row r="127" spans="15:30" ht="12" customHeight="1" x14ac:dyDescent="0.25"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</row>
    <row r="128" spans="15:30" ht="12" customHeight="1" x14ac:dyDescent="0.25"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</row>
    <row r="129" spans="15:30" ht="12" customHeight="1" x14ac:dyDescent="0.25"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</row>
    <row r="130" spans="15:30" ht="12" customHeight="1" x14ac:dyDescent="0.25"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</row>
    <row r="131" spans="15:30" ht="12" customHeight="1" x14ac:dyDescent="0.25"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</row>
    <row r="132" spans="15:30" ht="12" customHeight="1" x14ac:dyDescent="0.25"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</row>
    <row r="133" spans="15:30" ht="12" customHeight="1" x14ac:dyDescent="0.25"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</row>
    <row r="134" spans="15:30" ht="12" customHeight="1" x14ac:dyDescent="0.25"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</row>
    <row r="135" spans="15:30" ht="12" customHeight="1" x14ac:dyDescent="0.25"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</row>
    <row r="136" spans="15:30" ht="12" customHeight="1" x14ac:dyDescent="0.25"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</row>
    <row r="137" spans="15:30" ht="12" customHeight="1" x14ac:dyDescent="0.25"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</row>
    <row r="138" spans="15:30" ht="12" customHeight="1" x14ac:dyDescent="0.25"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</row>
    <row r="139" spans="15:30" ht="12" customHeight="1" x14ac:dyDescent="0.25"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</row>
    <row r="140" spans="15:30" ht="12" customHeight="1" x14ac:dyDescent="0.25"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</row>
    <row r="141" spans="15:30" ht="12" customHeight="1" x14ac:dyDescent="0.25"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</row>
    <row r="142" spans="15:30" ht="12" customHeight="1" x14ac:dyDescent="0.25"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</row>
    <row r="143" spans="15:30" ht="12" customHeight="1" x14ac:dyDescent="0.25"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</row>
    <row r="144" spans="15:30" ht="12" customHeight="1" x14ac:dyDescent="0.25"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</row>
    <row r="145" spans="15:30" ht="12" customHeight="1" x14ac:dyDescent="0.25"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</row>
    <row r="146" spans="15:30" ht="12" customHeight="1" x14ac:dyDescent="0.25"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</row>
    <row r="147" spans="15:30" ht="12" customHeight="1" x14ac:dyDescent="0.25"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</row>
    <row r="148" spans="15:30" ht="12" customHeight="1" x14ac:dyDescent="0.25"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</row>
    <row r="149" spans="15:30" ht="12" customHeight="1" x14ac:dyDescent="0.25"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</row>
    <row r="150" spans="15:30" ht="12" customHeight="1" x14ac:dyDescent="0.25"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</row>
    <row r="151" spans="15:30" ht="12" customHeight="1" x14ac:dyDescent="0.25"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</row>
    <row r="152" spans="15:30" ht="12" customHeight="1" x14ac:dyDescent="0.25"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</row>
    <row r="153" spans="15:30" ht="12" customHeight="1" x14ac:dyDescent="0.25"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</row>
    <row r="154" spans="15:30" ht="12" customHeight="1" x14ac:dyDescent="0.25"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</row>
    <row r="155" spans="15:30" ht="12" customHeight="1" x14ac:dyDescent="0.25"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</row>
    <row r="156" spans="15:30" ht="12" customHeight="1" x14ac:dyDescent="0.25"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</row>
    <row r="157" spans="15:30" ht="12" customHeight="1" x14ac:dyDescent="0.25"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</row>
    <row r="158" spans="15:30" ht="12" customHeight="1" x14ac:dyDescent="0.25"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</row>
    <row r="159" spans="15:30" ht="12" customHeight="1" x14ac:dyDescent="0.25"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</row>
    <row r="160" spans="15:30" ht="12" customHeight="1" x14ac:dyDescent="0.25"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</row>
    <row r="161" spans="15:30" ht="12" customHeight="1" x14ac:dyDescent="0.25"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</row>
    <row r="162" spans="15:30" ht="12" customHeight="1" x14ac:dyDescent="0.25"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</row>
    <row r="163" spans="15:30" ht="12" customHeight="1" x14ac:dyDescent="0.25"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</row>
    <row r="164" spans="15:30" ht="12" customHeight="1" x14ac:dyDescent="0.25"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</row>
    <row r="165" spans="15:30" ht="12" customHeight="1" x14ac:dyDescent="0.25"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</row>
    <row r="166" spans="15:30" ht="12" customHeight="1" x14ac:dyDescent="0.25"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</row>
    <row r="167" spans="15:30" ht="12" customHeight="1" x14ac:dyDescent="0.25"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</row>
    <row r="168" spans="15:30" ht="12" customHeight="1" x14ac:dyDescent="0.25"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</row>
    <row r="169" spans="15:30" ht="12" customHeight="1" x14ac:dyDescent="0.25"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</row>
    <row r="170" spans="15:30" ht="12" customHeight="1" x14ac:dyDescent="0.25"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</row>
    <row r="171" spans="15:30" ht="12" customHeight="1" x14ac:dyDescent="0.25"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</row>
    <row r="172" spans="15:30" ht="12" customHeight="1" x14ac:dyDescent="0.25"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</row>
    <row r="173" spans="15:30" ht="12" customHeight="1" x14ac:dyDescent="0.25"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</row>
    <row r="174" spans="15:30" ht="12" customHeight="1" x14ac:dyDescent="0.25"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</row>
    <row r="175" spans="15:30" ht="12" customHeight="1" x14ac:dyDescent="0.25"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</row>
    <row r="176" spans="15:30" ht="12" customHeight="1" x14ac:dyDescent="0.25"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</row>
    <row r="177" spans="15:30" ht="12" customHeight="1" x14ac:dyDescent="0.25"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</row>
    <row r="178" spans="15:30" ht="12" customHeight="1" x14ac:dyDescent="0.25"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</row>
    <row r="179" spans="15:30" ht="12" customHeight="1" x14ac:dyDescent="0.25"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</row>
    <row r="180" spans="15:30" ht="12" customHeight="1" x14ac:dyDescent="0.25"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</row>
    <row r="181" spans="15:30" ht="12" customHeight="1" x14ac:dyDescent="0.25"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</row>
    <row r="182" spans="15:30" ht="12" customHeight="1" x14ac:dyDescent="0.25"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</row>
    <row r="183" spans="15:30" ht="12" customHeight="1" x14ac:dyDescent="0.25"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</row>
    <row r="184" spans="15:30" ht="12" customHeight="1" x14ac:dyDescent="0.25"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</row>
    <row r="185" spans="15:30" ht="12" customHeight="1" x14ac:dyDescent="0.25"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</row>
    <row r="186" spans="15:30" ht="12" customHeight="1" x14ac:dyDescent="0.25"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</row>
    <row r="187" spans="15:30" ht="12" customHeight="1" x14ac:dyDescent="0.25"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</row>
    <row r="188" spans="15:30" ht="12" customHeight="1" x14ac:dyDescent="0.25"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15:30" ht="12" customHeight="1" x14ac:dyDescent="0.25"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15:30" ht="12" customHeight="1" x14ac:dyDescent="0.25"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15:30" ht="12" customHeight="1" x14ac:dyDescent="0.25"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15:30" ht="12" customHeight="1" x14ac:dyDescent="0.25"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15:30" ht="12" customHeight="1" x14ac:dyDescent="0.25"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15:30" ht="12" customHeight="1" x14ac:dyDescent="0.25"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15:30" ht="12" customHeight="1" x14ac:dyDescent="0.25"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15:30" ht="12" customHeight="1" x14ac:dyDescent="0.25"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15:30" ht="12" customHeight="1" x14ac:dyDescent="0.25"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15:30" ht="12" customHeight="1" x14ac:dyDescent="0.25"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15:30" ht="12" customHeight="1" x14ac:dyDescent="0.25"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15:30" ht="12" customHeight="1" x14ac:dyDescent="0.25"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</sheetData>
  <mergeCells count="19"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  <mergeCell ref="B41:B42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0E68F-F5B3-418B-82D9-6E2C1469F3C4}">
  <dimension ref="A1:AP71"/>
  <sheetViews>
    <sheetView showGridLines="0" topLeftCell="D52" workbookViewId="0">
      <selection activeCell="K82" sqref="K82:P8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8" width="10.85546875" style="9" bestFit="1" customWidth="1"/>
    <col min="19" max="19" width="10" style="9" bestFit="1" customWidth="1"/>
    <col min="20" max="20" width="11.7109375" style="9" bestFit="1" customWidth="1"/>
    <col min="21" max="23" width="10.85546875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948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P1" s="105" t="s">
        <v>949</v>
      </c>
    </row>
    <row r="2" spans="1:42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P2" s="106"/>
    </row>
    <row r="3" spans="1:42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/>
      <c r="U3" s="105" t="s">
        <v>868</v>
      </c>
      <c r="V3" s="105"/>
      <c r="W3" s="105"/>
      <c r="X3" s="105"/>
      <c r="Y3" s="105"/>
      <c r="Z3" s="105"/>
      <c r="AA3" s="105"/>
      <c r="AB3" s="105"/>
      <c r="AC3" s="105" t="s">
        <v>876</v>
      </c>
      <c r="AD3" s="105"/>
      <c r="AE3" s="105" t="s">
        <v>878</v>
      </c>
      <c r="AF3" s="105"/>
      <c r="AG3" s="105"/>
      <c r="AH3" s="105" t="s">
        <v>881</v>
      </c>
      <c r="AI3" s="105"/>
      <c r="AJ3" s="105"/>
      <c r="AK3" s="105"/>
      <c r="AL3" s="105"/>
      <c r="AM3" s="105" t="s">
        <v>867</v>
      </c>
      <c r="AP3" s="106"/>
    </row>
    <row r="4" spans="1:42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867</v>
      </c>
      <c r="U4" s="32" t="s">
        <v>869</v>
      </c>
      <c r="V4" s="32" t="s">
        <v>870</v>
      </c>
      <c r="W4" s="32" t="s">
        <v>871</v>
      </c>
      <c r="X4" s="32" t="s">
        <v>872</v>
      </c>
      <c r="Y4" s="32" t="s">
        <v>873</v>
      </c>
      <c r="Z4" s="32" t="s">
        <v>874</v>
      </c>
      <c r="AA4" s="32" t="s">
        <v>875</v>
      </c>
      <c r="AB4" s="32" t="s">
        <v>867</v>
      </c>
      <c r="AC4" s="32" t="s">
        <v>877</v>
      </c>
      <c r="AD4" s="32" t="s">
        <v>867</v>
      </c>
      <c r="AE4" s="32" t="s">
        <v>879</v>
      </c>
      <c r="AF4" s="32" t="s">
        <v>880</v>
      </c>
      <c r="AG4" s="32" t="s">
        <v>867</v>
      </c>
      <c r="AH4" s="32" t="s">
        <v>882</v>
      </c>
      <c r="AI4" s="32" t="s">
        <v>883</v>
      </c>
      <c r="AJ4" s="32" t="s">
        <v>884</v>
      </c>
      <c r="AK4" s="32" t="s">
        <v>885</v>
      </c>
      <c r="AL4" s="32" t="s">
        <v>867</v>
      </c>
      <c r="AM4" s="107"/>
      <c r="AP4" s="106"/>
    </row>
    <row r="5" spans="1:42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/>
      <c r="M5" s="30"/>
      <c r="N5" s="30"/>
      <c r="O5" s="30"/>
      <c r="P5" s="30"/>
      <c r="Q5" s="30"/>
      <c r="R5" s="30"/>
      <c r="S5" s="30"/>
      <c r="T5" s="30"/>
      <c r="U5" s="30">
        <v>4.7084999999999999</v>
      </c>
      <c r="V5" s="30">
        <v>0.99829999999999997</v>
      </c>
      <c r="W5" s="30">
        <v>0.62490000000000001</v>
      </c>
      <c r="X5" s="30">
        <v>0</v>
      </c>
      <c r="Y5" s="30">
        <v>0</v>
      </c>
      <c r="Z5" s="30">
        <v>0</v>
      </c>
      <c r="AA5" s="30">
        <v>0</v>
      </c>
      <c r="AB5" s="30"/>
      <c r="AC5" s="30">
        <v>14.1541</v>
      </c>
      <c r="AD5" s="30"/>
      <c r="AE5" s="30"/>
      <c r="AF5" s="30"/>
      <c r="AG5" s="30"/>
      <c r="AH5" s="30"/>
      <c r="AI5" s="30"/>
      <c r="AJ5" s="30"/>
      <c r="AK5" s="30"/>
      <c r="AL5" s="30"/>
      <c r="AM5" s="30"/>
      <c r="AP5" s="30">
        <v>1</v>
      </c>
    </row>
    <row r="6" spans="1:42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/>
      <c r="M6" s="30"/>
      <c r="N6" s="30"/>
      <c r="O6" s="30"/>
      <c r="P6" s="30"/>
      <c r="Q6" s="30"/>
      <c r="R6" s="30"/>
      <c r="S6" s="30"/>
      <c r="T6" s="30"/>
      <c r="U6" s="30">
        <v>4.5018000000000002</v>
      </c>
      <c r="V6" s="30">
        <v>0.97440000000000004</v>
      </c>
      <c r="W6" s="30">
        <v>0.50109999999999999</v>
      </c>
      <c r="X6" s="30">
        <v>0</v>
      </c>
      <c r="Y6" s="30">
        <v>0</v>
      </c>
      <c r="Z6" s="30">
        <v>0</v>
      </c>
      <c r="AA6" s="30">
        <v>0</v>
      </c>
      <c r="AB6" s="30"/>
      <c r="AC6" s="30">
        <v>1.7239</v>
      </c>
      <c r="AD6" s="30"/>
      <c r="AE6" s="30"/>
      <c r="AF6" s="30"/>
      <c r="AG6" s="30"/>
      <c r="AH6" s="30"/>
      <c r="AI6" s="30"/>
      <c r="AJ6" s="30"/>
      <c r="AK6" s="30"/>
      <c r="AL6" s="30"/>
      <c r="AM6" s="30"/>
      <c r="AP6" s="30">
        <v>1</v>
      </c>
    </row>
    <row r="7" spans="1:42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/>
      <c r="M7" s="30"/>
      <c r="N7" s="30"/>
      <c r="O7" s="30"/>
      <c r="P7" s="30"/>
      <c r="Q7" s="30"/>
      <c r="R7" s="30"/>
      <c r="S7" s="30"/>
      <c r="T7" s="30"/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/>
      <c r="AC7" s="30">
        <v>0</v>
      </c>
      <c r="AD7" s="30"/>
      <c r="AE7" s="30"/>
      <c r="AF7" s="30"/>
      <c r="AG7" s="30"/>
      <c r="AH7" s="30"/>
      <c r="AI7" s="30"/>
      <c r="AJ7" s="30"/>
      <c r="AK7" s="30"/>
      <c r="AL7" s="30"/>
      <c r="AM7" s="30"/>
      <c r="AP7" s="30">
        <v>1</v>
      </c>
    </row>
    <row r="8" spans="1:42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/>
      <c r="M8" s="30"/>
      <c r="N8" s="30"/>
      <c r="O8" s="30"/>
      <c r="P8" s="30"/>
      <c r="Q8" s="30"/>
      <c r="R8" s="30"/>
      <c r="S8" s="30"/>
      <c r="T8" s="30"/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/>
      <c r="AC8" s="30">
        <v>0</v>
      </c>
      <c r="AD8" s="30"/>
      <c r="AE8" s="30"/>
      <c r="AF8" s="30"/>
      <c r="AG8" s="30"/>
      <c r="AH8" s="30"/>
      <c r="AI8" s="30"/>
      <c r="AJ8" s="30"/>
      <c r="AK8" s="30"/>
      <c r="AL8" s="30"/>
      <c r="AM8" s="30"/>
      <c r="AP8" s="30">
        <v>1</v>
      </c>
    </row>
    <row r="9" spans="1:42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/>
      <c r="M9" s="30"/>
      <c r="N9" s="30"/>
      <c r="O9" s="30"/>
      <c r="P9" s="30"/>
      <c r="Q9" s="30"/>
      <c r="R9" s="30"/>
      <c r="S9" s="30"/>
      <c r="T9" s="30"/>
      <c r="U9" s="30">
        <v>4.7084999999999999</v>
      </c>
      <c r="V9" s="30">
        <v>0.99829999999999997</v>
      </c>
      <c r="W9" s="30">
        <v>0.62490000000000001</v>
      </c>
      <c r="X9" s="30">
        <v>0</v>
      </c>
      <c r="Y9" s="30">
        <v>0</v>
      </c>
      <c r="Z9" s="30">
        <v>0</v>
      </c>
      <c r="AA9" s="30">
        <v>0</v>
      </c>
      <c r="AB9" s="30"/>
      <c r="AC9" s="30">
        <v>14.1541</v>
      </c>
      <c r="AD9" s="30"/>
      <c r="AE9" s="30"/>
      <c r="AF9" s="30"/>
      <c r="AG9" s="30"/>
      <c r="AH9" s="30"/>
      <c r="AI9" s="30"/>
      <c r="AJ9" s="30"/>
      <c r="AK9" s="30"/>
      <c r="AL9" s="30"/>
      <c r="AM9" s="30"/>
      <c r="AP9" s="30">
        <v>1</v>
      </c>
    </row>
    <row r="10" spans="1:42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/>
      <c r="M10" s="30"/>
      <c r="N10" s="30"/>
      <c r="O10" s="30"/>
      <c r="P10" s="30"/>
      <c r="Q10" s="30"/>
      <c r="R10" s="30"/>
      <c r="S10" s="30"/>
      <c r="T10" s="30"/>
      <c r="U10" s="30">
        <v>4.5018000000000002</v>
      </c>
      <c r="V10" s="30">
        <v>0.97440000000000004</v>
      </c>
      <c r="W10" s="30">
        <v>0.50109999999999999</v>
      </c>
      <c r="X10" s="30">
        <v>0</v>
      </c>
      <c r="Y10" s="30">
        <v>0</v>
      </c>
      <c r="Z10" s="30">
        <v>0</v>
      </c>
      <c r="AA10" s="30">
        <v>0</v>
      </c>
      <c r="AB10" s="30"/>
      <c r="AC10" s="30">
        <v>1.7239</v>
      </c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P10" s="30">
        <v>1</v>
      </c>
    </row>
    <row r="11" spans="1:42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/>
      <c r="M11" s="30"/>
      <c r="N11" s="30"/>
      <c r="O11" s="30"/>
      <c r="P11" s="30"/>
      <c r="Q11" s="30"/>
      <c r="R11" s="30"/>
      <c r="S11" s="30"/>
      <c r="T11" s="30"/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/>
      <c r="AC11" s="30">
        <v>0</v>
      </c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P11" s="30">
        <v>1</v>
      </c>
    </row>
    <row r="12" spans="1:42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/>
      <c r="M12" s="30"/>
      <c r="N12" s="30"/>
      <c r="O12" s="30"/>
      <c r="P12" s="30"/>
      <c r="Q12" s="30"/>
      <c r="R12" s="30"/>
      <c r="S12" s="30"/>
      <c r="T12" s="30"/>
      <c r="U12" s="30">
        <f>(1+CUSTOS!$M$4)*0</f>
        <v>0</v>
      </c>
      <c r="V12" s="30">
        <f>(1+CUSTOS!$M$4)*0</f>
        <v>0</v>
      </c>
      <c r="W12" s="30">
        <f>(1+CUSTOS!$M$4)*0.385957578409307</f>
        <v>0.4429655266881109</v>
      </c>
      <c r="X12" s="30">
        <f>(1+CUSTOS!$M$4)*0</f>
        <v>0</v>
      </c>
      <c r="Y12" s="30">
        <f>(1+CUSTOS!$M$4)*0</f>
        <v>0</v>
      </c>
      <c r="Z12" s="30">
        <v>0</v>
      </c>
      <c r="AA12" s="30">
        <v>0</v>
      </c>
      <c r="AB12" s="30"/>
      <c r="AC12" s="30">
        <f>(1+CUSTOS!$M$4)*9.90978651250278</f>
        <v>11.373513690207355</v>
      </c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P12" s="30"/>
    </row>
    <row r="13" spans="1:42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/>
      <c r="M13" s="30"/>
      <c r="N13" s="30"/>
      <c r="O13" s="30"/>
      <c r="P13" s="30"/>
      <c r="Q13" s="30"/>
      <c r="R13" s="30"/>
      <c r="S13" s="30"/>
      <c r="T13" s="30"/>
      <c r="U13" s="30">
        <v>4.2866999999999997</v>
      </c>
      <c r="V13" s="30">
        <v>0.97689999999999999</v>
      </c>
      <c r="W13" s="30">
        <v>0.78180000000000005</v>
      </c>
      <c r="X13" s="30">
        <v>0</v>
      </c>
      <c r="Y13" s="30">
        <v>0</v>
      </c>
      <c r="Z13" s="30">
        <v>0</v>
      </c>
      <c r="AA13" s="30">
        <v>0</v>
      </c>
      <c r="AB13" s="30"/>
      <c r="AC13" s="30">
        <v>40.4925</v>
      </c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P13" s="30">
        <v>1</v>
      </c>
    </row>
    <row r="14" spans="1:42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/>
      <c r="M14" s="30"/>
      <c r="N14" s="30"/>
      <c r="O14" s="30"/>
      <c r="P14" s="30"/>
      <c r="Q14" s="30"/>
      <c r="R14" s="30"/>
      <c r="S14" s="30"/>
      <c r="T14" s="30"/>
      <c r="U14" s="30">
        <v>4.3155000000000001</v>
      </c>
      <c r="V14" s="30">
        <v>0.99590000000000001</v>
      </c>
      <c r="W14" s="30">
        <v>0.57889999999999997</v>
      </c>
      <c r="X14" s="30">
        <v>0</v>
      </c>
      <c r="Y14" s="30">
        <v>0</v>
      </c>
      <c r="Z14" s="30">
        <v>0</v>
      </c>
      <c r="AA14" s="30">
        <v>0</v>
      </c>
      <c r="AB14" s="30"/>
      <c r="AC14" s="30">
        <v>11.5886</v>
      </c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P14" s="30">
        <v>1</v>
      </c>
    </row>
    <row r="15" spans="1:42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/>
      <c r="M15" s="30"/>
      <c r="N15" s="30"/>
      <c r="O15" s="30"/>
      <c r="P15" s="30"/>
      <c r="Q15" s="30"/>
      <c r="R15" s="30"/>
      <c r="S15" s="30"/>
      <c r="T15" s="30"/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/>
      <c r="AC15" s="30">
        <v>0</v>
      </c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P15" s="30">
        <v>1</v>
      </c>
    </row>
    <row r="16" spans="1:42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/>
      <c r="M16" s="30"/>
      <c r="N16" s="30"/>
      <c r="O16" s="30"/>
      <c r="P16" s="30"/>
      <c r="Q16" s="30"/>
      <c r="R16" s="30"/>
      <c r="S16" s="30"/>
      <c r="T16" s="30"/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/>
      <c r="AC16" s="30">
        <v>0</v>
      </c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P16" s="30">
        <v>1</v>
      </c>
    </row>
    <row r="17" spans="1:42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/>
      <c r="M17" s="30"/>
      <c r="N17" s="30"/>
      <c r="O17" s="30"/>
      <c r="P17" s="30"/>
      <c r="Q17" s="30"/>
      <c r="R17" s="30"/>
      <c r="S17" s="30"/>
      <c r="T17" s="30"/>
      <c r="U17" s="30">
        <v>4.2866999999999997</v>
      </c>
      <c r="V17" s="30">
        <v>0.97689999999999999</v>
      </c>
      <c r="W17" s="30">
        <v>0.78180000000000005</v>
      </c>
      <c r="X17" s="30">
        <v>0</v>
      </c>
      <c r="Y17" s="30">
        <v>0</v>
      </c>
      <c r="Z17" s="30">
        <v>0</v>
      </c>
      <c r="AA17" s="30">
        <v>0</v>
      </c>
      <c r="AB17" s="30"/>
      <c r="AC17" s="30">
        <v>15.7379</v>
      </c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P17" s="30">
        <v>1</v>
      </c>
    </row>
    <row r="18" spans="1:42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/>
      <c r="M18" s="30"/>
      <c r="N18" s="30"/>
      <c r="O18" s="30"/>
      <c r="P18" s="30"/>
      <c r="Q18" s="30"/>
      <c r="R18" s="30"/>
      <c r="S18" s="30"/>
      <c r="T18" s="30"/>
      <c r="U18" s="30">
        <v>4.3155000000000001</v>
      </c>
      <c r="V18" s="30">
        <v>0.99590000000000001</v>
      </c>
      <c r="W18" s="30">
        <v>0.57889999999999997</v>
      </c>
      <c r="X18" s="30">
        <v>0</v>
      </c>
      <c r="Y18" s="30">
        <v>0</v>
      </c>
      <c r="Z18" s="30">
        <v>0</v>
      </c>
      <c r="AA18" s="30">
        <v>0</v>
      </c>
      <c r="AB18" s="30"/>
      <c r="AC18" s="30">
        <v>4.5039999999999996</v>
      </c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P18" s="30">
        <v>1</v>
      </c>
    </row>
    <row r="19" spans="1:42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/>
      <c r="M19" s="30"/>
      <c r="N19" s="30"/>
      <c r="O19" s="30"/>
      <c r="P19" s="30"/>
      <c r="Q19" s="30"/>
      <c r="R19" s="30"/>
      <c r="S19" s="30"/>
      <c r="T19" s="30"/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/>
      <c r="AC19" s="30">
        <v>0</v>
      </c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P19" s="30">
        <v>1</v>
      </c>
    </row>
    <row r="20" spans="1:42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/>
      <c r="M20" s="30"/>
      <c r="N20" s="30"/>
      <c r="O20" s="30"/>
      <c r="P20" s="30"/>
      <c r="Q20" s="30"/>
      <c r="R20" s="30"/>
      <c r="S20" s="30"/>
      <c r="T20" s="30"/>
      <c r="U20" s="30">
        <v>4.2866999999999997</v>
      </c>
      <c r="V20" s="30">
        <v>0.97689999999999999</v>
      </c>
      <c r="W20" s="30">
        <v>0.78180000000000005</v>
      </c>
      <c r="X20" s="30">
        <v>0</v>
      </c>
      <c r="Y20" s="30">
        <v>0</v>
      </c>
      <c r="Z20" s="30">
        <v>0</v>
      </c>
      <c r="AA20" s="30">
        <v>0</v>
      </c>
      <c r="AB20" s="30"/>
      <c r="AC20" s="30">
        <v>15.7379</v>
      </c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P20" s="30">
        <v>1</v>
      </c>
    </row>
    <row r="21" spans="1:42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/>
      <c r="M21" s="30"/>
      <c r="N21" s="30"/>
      <c r="O21" s="30"/>
      <c r="P21" s="30"/>
      <c r="Q21" s="30"/>
      <c r="R21" s="30"/>
      <c r="S21" s="30"/>
      <c r="T21" s="30"/>
      <c r="U21" s="30">
        <v>4.3155000000000001</v>
      </c>
      <c r="V21" s="30">
        <v>0.99590000000000001</v>
      </c>
      <c r="W21" s="30">
        <v>0.57889999999999997</v>
      </c>
      <c r="X21" s="30">
        <v>0</v>
      </c>
      <c r="Y21" s="30">
        <v>0</v>
      </c>
      <c r="Z21" s="30">
        <v>0</v>
      </c>
      <c r="AA21" s="30">
        <v>0</v>
      </c>
      <c r="AB21" s="30"/>
      <c r="AC21" s="30">
        <v>4.5039999999999996</v>
      </c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P21" s="30">
        <v>1</v>
      </c>
    </row>
    <row r="22" spans="1:42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/>
      <c r="M22" s="30"/>
      <c r="N22" s="30"/>
      <c r="O22" s="30"/>
      <c r="P22" s="30"/>
      <c r="Q22" s="30"/>
      <c r="R22" s="30"/>
      <c r="S22" s="30"/>
      <c r="T22" s="30"/>
      <c r="U22" s="30">
        <v>0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/>
      <c r="AC22" s="30">
        <v>0</v>
      </c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P22" s="30">
        <v>1</v>
      </c>
    </row>
    <row r="23" spans="1:42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/>
      <c r="M23" s="30"/>
      <c r="N23" s="30"/>
      <c r="O23" s="30"/>
      <c r="P23" s="30"/>
      <c r="Q23" s="30"/>
      <c r="R23" s="30"/>
      <c r="S23" s="30"/>
      <c r="T23" s="30"/>
      <c r="U23" s="30">
        <v>4.2866999999999997</v>
      </c>
      <c r="V23" s="30">
        <v>0.97689999999999999</v>
      </c>
      <c r="W23" s="30">
        <v>0.78180000000000005</v>
      </c>
      <c r="X23" s="30">
        <v>0</v>
      </c>
      <c r="Y23" s="30">
        <v>0</v>
      </c>
      <c r="Z23" s="30">
        <v>0</v>
      </c>
      <c r="AA23" s="30">
        <v>0</v>
      </c>
      <c r="AB23" s="30"/>
      <c r="AC23" s="30">
        <v>15.7379</v>
      </c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P23" s="30">
        <v>1</v>
      </c>
    </row>
    <row r="24" spans="1:42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/>
      <c r="M24" s="30"/>
      <c r="N24" s="30"/>
      <c r="O24" s="30"/>
      <c r="P24" s="30"/>
      <c r="Q24" s="30"/>
      <c r="R24" s="30"/>
      <c r="S24" s="30"/>
      <c r="T24" s="30"/>
      <c r="U24" s="30">
        <v>4.3155000000000001</v>
      </c>
      <c r="V24" s="30">
        <v>0.99590000000000001</v>
      </c>
      <c r="W24" s="30">
        <v>0.57889999999999997</v>
      </c>
      <c r="X24" s="30">
        <v>0</v>
      </c>
      <c r="Y24" s="30">
        <v>0</v>
      </c>
      <c r="Z24" s="30">
        <v>0</v>
      </c>
      <c r="AA24" s="30">
        <v>0</v>
      </c>
      <c r="AB24" s="30"/>
      <c r="AC24" s="30">
        <v>4.5039999999999996</v>
      </c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P24" s="30">
        <v>1</v>
      </c>
    </row>
    <row r="25" spans="1:42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/>
      <c r="M25" s="30"/>
      <c r="N25" s="30"/>
      <c r="O25" s="30"/>
      <c r="P25" s="30"/>
      <c r="Q25" s="30"/>
      <c r="R25" s="30"/>
      <c r="S25" s="30"/>
      <c r="T25" s="30"/>
      <c r="U25" s="30">
        <v>0</v>
      </c>
      <c r="V25" s="30">
        <v>0</v>
      </c>
      <c r="W25" s="30">
        <v>0</v>
      </c>
      <c r="X25" s="30">
        <v>0</v>
      </c>
      <c r="Y25" s="30">
        <v>0</v>
      </c>
      <c r="Z25" s="30">
        <v>0</v>
      </c>
      <c r="AA25" s="30">
        <v>0</v>
      </c>
      <c r="AB25" s="30"/>
      <c r="AC25" s="30">
        <v>0</v>
      </c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P25" s="30">
        <v>1</v>
      </c>
    </row>
    <row r="26" spans="1:42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/>
      <c r="M26" s="30"/>
      <c r="N26" s="30"/>
      <c r="O26" s="30"/>
      <c r="P26" s="30"/>
      <c r="Q26" s="30"/>
      <c r="R26" s="30"/>
      <c r="S26" s="30"/>
      <c r="T26" s="30"/>
      <c r="U26" s="30">
        <v>4.2866999999999997</v>
      </c>
      <c r="V26" s="30">
        <v>0.97689999999999999</v>
      </c>
      <c r="W26" s="30">
        <v>0.78180000000000005</v>
      </c>
      <c r="X26" s="30">
        <v>0</v>
      </c>
      <c r="Y26" s="30">
        <v>0</v>
      </c>
      <c r="Z26" s="30">
        <v>0</v>
      </c>
      <c r="AA26" s="30">
        <v>0</v>
      </c>
      <c r="AB26" s="30"/>
      <c r="AC26" s="30">
        <v>15.7379</v>
      </c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P26" s="30">
        <v>1</v>
      </c>
    </row>
    <row r="27" spans="1:42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/>
      <c r="M27" s="30"/>
      <c r="N27" s="30"/>
      <c r="O27" s="30"/>
      <c r="P27" s="30"/>
      <c r="Q27" s="30"/>
      <c r="R27" s="30"/>
      <c r="S27" s="30"/>
      <c r="T27" s="30"/>
      <c r="U27" s="30">
        <v>4.3155000000000001</v>
      </c>
      <c r="V27" s="30">
        <v>0.99590000000000001</v>
      </c>
      <c r="W27" s="30">
        <v>0.57889999999999997</v>
      </c>
      <c r="X27" s="30">
        <v>0</v>
      </c>
      <c r="Y27" s="30">
        <v>0</v>
      </c>
      <c r="Z27" s="30">
        <v>0</v>
      </c>
      <c r="AA27" s="30">
        <v>0</v>
      </c>
      <c r="AB27" s="30"/>
      <c r="AC27" s="30">
        <v>4.5039999999999996</v>
      </c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P27" s="30">
        <v>1</v>
      </c>
    </row>
    <row r="28" spans="1:42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/>
      <c r="M28" s="30"/>
      <c r="N28" s="30"/>
      <c r="O28" s="30"/>
      <c r="P28" s="30"/>
      <c r="Q28" s="30"/>
      <c r="R28" s="30"/>
      <c r="S28" s="30"/>
      <c r="T28" s="30"/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/>
      <c r="AC28" s="30">
        <v>0</v>
      </c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P28" s="30">
        <v>1</v>
      </c>
    </row>
    <row r="29" spans="1:42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/>
      <c r="M29" s="30"/>
      <c r="N29" s="30"/>
      <c r="O29" s="30"/>
      <c r="P29" s="30"/>
      <c r="Q29" s="30"/>
      <c r="R29" s="30"/>
      <c r="S29" s="30"/>
      <c r="T29" s="30"/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30">
        <v>0</v>
      </c>
      <c r="AB29" s="30"/>
      <c r="AC29" s="30">
        <v>8.8516999999999992</v>
      </c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P29" s="30"/>
    </row>
    <row r="30" spans="1:42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/>
      <c r="M30" s="30"/>
      <c r="N30" s="30"/>
      <c r="O30" s="30"/>
      <c r="P30" s="30"/>
      <c r="Q30" s="30"/>
      <c r="R30" s="30"/>
      <c r="S30" s="30"/>
      <c r="T30" s="30"/>
      <c r="U30" s="30">
        <v>4.3155000000000001</v>
      </c>
      <c r="V30" s="30">
        <v>0.99590000000000001</v>
      </c>
      <c r="W30" s="30">
        <v>0.57889999999999997</v>
      </c>
      <c r="X30" s="30">
        <v>0</v>
      </c>
      <c r="Y30" s="30">
        <v>0</v>
      </c>
      <c r="Z30" s="30">
        <v>0</v>
      </c>
      <c r="AA30" s="30">
        <v>0</v>
      </c>
      <c r="AB30" s="30"/>
      <c r="AC30" s="30">
        <v>11.5886</v>
      </c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P30" s="30">
        <v>1</v>
      </c>
    </row>
    <row r="31" spans="1:42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/>
      <c r="M31" s="30"/>
      <c r="N31" s="30"/>
      <c r="O31" s="30"/>
      <c r="P31" s="30"/>
      <c r="Q31" s="30"/>
      <c r="R31" s="30"/>
      <c r="S31" s="30"/>
      <c r="T31" s="30"/>
      <c r="U31" s="30">
        <v>103.0964</v>
      </c>
      <c r="V31" s="30">
        <v>23.493400000000001</v>
      </c>
      <c r="W31" s="30">
        <v>18.8035</v>
      </c>
      <c r="X31" s="30">
        <v>0</v>
      </c>
      <c r="Y31" s="30">
        <v>0</v>
      </c>
      <c r="Z31" s="30">
        <v>0</v>
      </c>
      <c r="AA31" s="30">
        <v>0</v>
      </c>
      <c r="AB31" s="30"/>
      <c r="AC31" s="30">
        <v>973.84609999999998</v>
      </c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P31" s="30">
        <v>1</v>
      </c>
    </row>
    <row r="32" spans="1:42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/>
      <c r="M32" s="30"/>
      <c r="N32" s="30"/>
      <c r="O32" s="30"/>
      <c r="P32" s="30"/>
      <c r="Q32" s="30"/>
      <c r="R32" s="30"/>
      <c r="S32" s="30"/>
      <c r="T32" s="30"/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/>
      <c r="AC32" s="30">
        <v>0</v>
      </c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P32" s="30">
        <v>1</v>
      </c>
    </row>
    <row r="33" spans="1:42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/>
      <c r="M33" s="30"/>
      <c r="N33" s="30"/>
      <c r="O33" s="30"/>
      <c r="P33" s="30"/>
      <c r="Q33" s="30"/>
      <c r="R33" s="30"/>
      <c r="S33" s="30"/>
      <c r="T33" s="30"/>
      <c r="U33" s="30">
        <v>103.0964</v>
      </c>
      <c r="V33" s="30">
        <v>23.493400000000001</v>
      </c>
      <c r="W33" s="30">
        <v>18.8035</v>
      </c>
      <c r="X33" s="30">
        <v>0</v>
      </c>
      <c r="Y33" s="30">
        <v>0</v>
      </c>
      <c r="Z33" s="30">
        <v>0</v>
      </c>
      <c r="AA33" s="30">
        <v>0</v>
      </c>
      <c r="AB33" s="30"/>
      <c r="AC33" s="30">
        <v>973.84609999999998</v>
      </c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P33" s="30">
        <v>1</v>
      </c>
    </row>
    <row r="34" spans="1:42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/>
      <c r="M34" s="30"/>
      <c r="N34" s="30"/>
      <c r="O34" s="30"/>
      <c r="P34" s="30"/>
      <c r="Q34" s="30"/>
      <c r="R34" s="30"/>
      <c r="S34" s="30"/>
      <c r="T34" s="30"/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0</v>
      </c>
      <c r="AB34" s="30"/>
      <c r="AC34" s="30">
        <v>0</v>
      </c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P34" s="30">
        <v>1</v>
      </c>
    </row>
    <row r="35" spans="1:42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/>
      <c r="M35" s="30"/>
      <c r="N35" s="30"/>
      <c r="O35" s="30"/>
      <c r="P35" s="30"/>
      <c r="Q35" s="30"/>
      <c r="R35" s="30"/>
      <c r="S35" s="30"/>
      <c r="T35" s="30"/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/>
      <c r="AC35" s="30">
        <v>4.3373999999999997</v>
      </c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P35" s="30"/>
    </row>
    <row r="36" spans="1:42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/>
      <c r="M36" s="30"/>
      <c r="N36" s="30"/>
      <c r="O36" s="30"/>
      <c r="P36" s="30"/>
      <c r="Q36" s="30"/>
      <c r="R36" s="30"/>
      <c r="S36" s="30"/>
      <c r="T36" s="30"/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</v>
      </c>
      <c r="AB36" s="30"/>
      <c r="AC36" s="30">
        <v>13.098100000000001</v>
      </c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P36" s="30"/>
    </row>
    <row r="37" spans="1:42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/>
      <c r="M37" s="30"/>
      <c r="N37" s="30"/>
      <c r="O37" s="30"/>
      <c r="P37" s="30"/>
      <c r="Q37" s="30"/>
      <c r="R37" s="30"/>
      <c r="S37" s="30"/>
      <c r="T37" s="30"/>
      <c r="U37" s="30">
        <v>52.292099999999998</v>
      </c>
      <c r="V37" s="30">
        <v>12.2172</v>
      </c>
      <c r="W37" s="30">
        <v>8.7149000000000001</v>
      </c>
      <c r="X37" s="30">
        <v>0</v>
      </c>
      <c r="Y37" s="30">
        <v>0</v>
      </c>
      <c r="Z37" s="30">
        <v>0</v>
      </c>
      <c r="AA37" s="30">
        <v>0</v>
      </c>
      <c r="AB37" s="30"/>
      <c r="AC37" s="30">
        <v>535.29290000000003</v>
      </c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P37" s="30">
        <v>1</v>
      </c>
    </row>
    <row r="38" spans="1:42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/>
      <c r="M38" s="30"/>
      <c r="N38" s="30"/>
      <c r="O38" s="30"/>
      <c r="P38" s="30"/>
      <c r="Q38" s="30"/>
      <c r="R38" s="30"/>
      <c r="S38" s="30"/>
      <c r="T38" s="30"/>
      <c r="U38" s="30">
        <v>31.375299999999999</v>
      </c>
      <c r="V38" s="30">
        <v>7.3303000000000003</v>
      </c>
      <c r="W38" s="30">
        <v>5.2290000000000001</v>
      </c>
      <c r="X38" s="30">
        <v>0</v>
      </c>
      <c r="Y38" s="30">
        <v>0</v>
      </c>
      <c r="Z38" s="30">
        <v>0</v>
      </c>
      <c r="AA38" s="30">
        <v>0</v>
      </c>
      <c r="AB38" s="30"/>
      <c r="AC38" s="30">
        <v>321.17579999999998</v>
      </c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P38" s="30">
        <v>1</v>
      </c>
    </row>
    <row r="39" spans="1:42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/>
      <c r="M39" s="30"/>
      <c r="N39" s="30"/>
      <c r="O39" s="30"/>
      <c r="P39" s="30"/>
      <c r="Q39" s="30"/>
      <c r="R39" s="30"/>
      <c r="S39" s="30"/>
      <c r="T39" s="30"/>
      <c r="U39" s="30">
        <v>10.458399999999999</v>
      </c>
      <c r="V39" s="30">
        <v>2.4434</v>
      </c>
      <c r="W39" s="30">
        <v>1.7430000000000001</v>
      </c>
      <c r="X39" s="30">
        <v>0</v>
      </c>
      <c r="Y39" s="30">
        <v>0</v>
      </c>
      <c r="Z39" s="30">
        <v>0</v>
      </c>
      <c r="AA39" s="30">
        <v>0</v>
      </c>
      <c r="AB39" s="30"/>
      <c r="AC39" s="30">
        <v>107.0586</v>
      </c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P39" s="30">
        <v>1</v>
      </c>
    </row>
    <row r="40" spans="1:42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/>
      <c r="M40" s="30"/>
      <c r="N40" s="30"/>
      <c r="O40" s="30"/>
      <c r="P40" s="30"/>
      <c r="Q40" s="30"/>
      <c r="R40" s="30"/>
      <c r="S40" s="30"/>
      <c r="T40" s="30"/>
      <c r="U40" s="30">
        <v>17.430700000000002</v>
      </c>
      <c r="V40" s="30">
        <v>4.0724</v>
      </c>
      <c r="W40" s="30">
        <v>2.9049999999999998</v>
      </c>
      <c r="X40" s="30">
        <v>0</v>
      </c>
      <c r="Y40" s="30">
        <v>0</v>
      </c>
      <c r="Z40" s="30">
        <v>0</v>
      </c>
      <c r="AA40" s="30">
        <v>0</v>
      </c>
      <c r="AB40" s="30"/>
      <c r="AC40" s="30">
        <v>178.43100000000001</v>
      </c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P40" s="30">
        <v>1</v>
      </c>
    </row>
    <row r="41" spans="1:42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/>
      <c r="M41" s="30"/>
      <c r="N41" s="30"/>
      <c r="O41" s="30"/>
      <c r="P41" s="30"/>
      <c r="Q41" s="30"/>
      <c r="R41" s="30"/>
      <c r="S41" s="30"/>
      <c r="T41" s="30"/>
      <c r="U41" s="30">
        <f>(1 - CUSTOS!$M$24)*17.4307</f>
        <v>17.430700000000002</v>
      </c>
      <c r="V41" s="30">
        <f>(1 - CUSTOS!$M$24)*4.0724</f>
        <v>4.0724</v>
      </c>
      <c r="W41" s="30">
        <f>(1 - CUSTOS!$M$24)*2.905</f>
        <v>2.9049999999999998</v>
      </c>
      <c r="X41" s="30">
        <v>0</v>
      </c>
      <c r="Y41" s="30">
        <v>0</v>
      </c>
      <c r="Z41" s="30">
        <v>0</v>
      </c>
      <c r="AA41" s="30">
        <v>0</v>
      </c>
      <c r="AB41" s="30"/>
      <c r="AC41" s="30">
        <f>(1 - CUSTOS!$M$24)*178.431</f>
        <v>178.43100000000001</v>
      </c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P41" s="30">
        <f>IF((1 - CUSTOS!$M$24)&lt;&gt;0,1/(1 - CUSTOS!$M$24),1)</f>
        <v>1</v>
      </c>
    </row>
    <row r="42" spans="1:42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/>
      <c r="M42" s="30"/>
      <c r="N42" s="30"/>
      <c r="O42" s="30"/>
      <c r="P42" s="30"/>
      <c r="Q42" s="30"/>
      <c r="R42" s="30"/>
      <c r="S42" s="30"/>
      <c r="T42" s="30"/>
      <c r="U42" s="30">
        <f>(1 - CUSTOS!$M$25)*17.4307</f>
        <v>17.430700000000002</v>
      </c>
      <c r="V42" s="30">
        <f>(1 - CUSTOS!$M$25)*4.0724</f>
        <v>4.0724</v>
      </c>
      <c r="W42" s="30">
        <f>(1 - CUSTOS!$M$25)*2.905</f>
        <v>2.9049999999999998</v>
      </c>
      <c r="X42" s="30">
        <v>0</v>
      </c>
      <c r="Y42" s="30">
        <v>0</v>
      </c>
      <c r="Z42" s="30">
        <v>0</v>
      </c>
      <c r="AA42" s="30">
        <v>0</v>
      </c>
      <c r="AB42" s="30"/>
      <c r="AC42" s="30">
        <f>(1 - CUSTOS!$M$25)*178.431</f>
        <v>178.43100000000001</v>
      </c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P42" s="30">
        <f>IF((1 - CUSTOS!$M$25)&lt;&gt;0,1/(1 - CUSTOS!$M$25),1)</f>
        <v>1</v>
      </c>
    </row>
    <row r="43" spans="1:42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/>
      <c r="M43" s="30"/>
      <c r="N43" s="30"/>
      <c r="O43" s="30"/>
      <c r="P43" s="30"/>
      <c r="Q43" s="30"/>
      <c r="R43" s="30"/>
      <c r="S43" s="30"/>
      <c r="T43" s="30"/>
      <c r="U43" s="30">
        <f>(1 - CUSTOS!$M$26)*17.4307</f>
        <v>17.430700000000002</v>
      </c>
      <c r="V43" s="30">
        <f>(1 - CUSTOS!$M$26)*4.0724</f>
        <v>4.0724</v>
      </c>
      <c r="W43" s="30">
        <f>(1 - CUSTOS!$M$26)*2.905</f>
        <v>2.9049999999999998</v>
      </c>
      <c r="X43" s="30">
        <v>0</v>
      </c>
      <c r="Y43" s="30">
        <v>0</v>
      </c>
      <c r="Z43" s="30">
        <v>0</v>
      </c>
      <c r="AA43" s="30">
        <v>0</v>
      </c>
      <c r="AB43" s="30"/>
      <c r="AC43" s="30">
        <f>(1 - CUSTOS!$M$26)*178.431</f>
        <v>178.43100000000001</v>
      </c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P43" s="30">
        <f>IF((1 - CUSTOS!$M$26)&lt;&gt;0,1/(1 - CUSTOS!$M$26),1)</f>
        <v>1</v>
      </c>
    </row>
    <row r="44" spans="1:42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/>
      <c r="M44" s="30"/>
      <c r="N44" s="30"/>
      <c r="O44" s="30"/>
      <c r="P44" s="30"/>
      <c r="Q44" s="30"/>
      <c r="R44" s="30"/>
      <c r="S44" s="30"/>
      <c r="T44" s="30"/>
      <c r="U44" s="30">
        <f>(1 - CUSTOS!$M$27)*17.4307</f>
        <v>17.430700000000002</v>
      </c>
      <c r="V44" s="30">
        <f>(1 - CUSTOS!$M$27)*4.0724</f>
        <v>4.0724</v>
      </c>
      <c r="W44" s="30">
        <f>(1 - CUSTOS!$M$27)*2.905</f>
        <v>2.9049999999999998</v>
      </c>
      <c r="X44" s="30">
        <v>0</v>
      </c>
      <c r="Y44" s="30">
        <v>0</v>
      </c>
      <c r="Z44" s="30">
        <v>0</v>
      </c>
      <c r="AA44" s="30">
        <v>0</v>
      </c>
      <c r="AB44" s="30"/>
      <c r="AC44" s="30">
        <f>(1 - CUSTOS!$M$27)*178.431</f>
        <v>178.43100000000001</v>
      </c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P44" s="30">
        <f>IF((1 - CUSTOS!$M$27)&lt;&gt;0,1/(1 - CUSTOS!$M$27),1)</f>
        <v>1</v>
      </c>
    </row>
    <row r="45" spans="1:42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/>
      <c r="M45" s="30"/>
      <c r="N45" s="30"/>
      <c r="O45" s="30"/>
      <c r="P45" s="30"/>
      <c r="Q45" s="30"/>
      <c r="R45" s="30"/>
      <c r="S45" s="30"/>
      <c r="T45" s="30"/>
      <c r="U45" s="30">
        <v>17.430700000000002</v>
      </c>
      <c r="V45" s="30">
        <v>4.0724</v>
      </c>
      <c r="W45" s="30">
        <v>2.9049999999999998</v>
      </c>
      <c r="X45" s="30">
        <v>0</v>
      </c>
      <c r="Y45" s="30">
        <v>0</v>
      </c>
      <c r="Z45" s="30">
        <v>0</v>
      </c>
      <c r="AA45" s="30">
        <v>0</v>
      </c>
      <c r="AB45" s="30"/>
      <c r="AC45" s="30">
        <v>178.43100000000001</v>
      </c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P45" s="30">
        <v>1</v>
      </c>
    </row>
    <row r="46" spans="1:42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/>
      <c r="M46" s="30"/>
      <c r="N46" s="30"/>
      <c r="O46" s="30"/>
      <c r="P46" s="30"/>
      <c r="Q46" s="30"/>
      <c r="R46" s="30"/>
      <c r="S46" s="30"/>
      <c r="T46" s="30"/>
      <c r="U46" s="30">
        <f>(1 - CUSTOS!$M$24)*17.4307</f>
        <v>17.430700000000002</v>
      </c>
      <c r="V46" s="30">
        <f>(1 - CUSTOS!$M$24)*4.0724</f>
        <v>4.0724</v>
      </c>
      <c r="W46" s="30">
        <f>(1 - CUSTOS!$M$24)*2.905</f>
        <v>2.9049999999999998</v>
      </c>
      <c r="X46" s="30">
        <v>0</v>
      </c>
      <c r="Y46" s="30">
        <v>0</v>
      </c>
      <c r="Z46" s="30">
        <v>0</v>
      </c>
      <c r="AA46" s="30">
        <v>0</v>
      </c>
      <c r="AB46" s="30"/>
      <c r="AC46" s="30">
        <f>(1 - CUSTOS!$M$24)*178.431</f>
        <v>178.43100000000001</v>
      </c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P46" s="30">
        <f>IF((1 - CUSTOS!$M$24)&lt;&gt;0,1/(1 - CUSTOS!$M$24),1)</f>
        <v>1</v>
      </c>
    </row>
    <row r="47" spans="1:42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/>
      <c r="M47" s="30"/>
      <c r="N47" s="30"/>
      <c r="O47" s="30"/>
      <c r="P47" s="30"/>
      <c r="Q47" s="30"/>
      <c r="R47" s="30"/>
      <c r="S47" s="30"/>
      <c r="T47" s="30"/>
      <c r="U47" s="30">
        <f>(1 - CUSTOS!$M$25)*17.4307</f>
        <v>17.430700000000002</v>
      </c>
      <c r="V47" s="30">
        <f>(1 - CUSTOS!$M$25)*4.0724</f>
        <v>4.0724</v>
      </c>
      <c r="W47" s="30">
        <f>(1 - CUSTOS!$M$25)*2.905</f>
        <v>2.9049999999999998</v>
      </c>
      <c r="X47" s="30">
        <v>0</v>
      </c>
      <c r="Y47" s="30">
        <v>0</v>
      </c>
      <c r="Z47" s="30">
        <v>0</v>
      </c>
      <c r="AA47" s="30">
        <v>0</v>
      </c>
      <c r="AB47" s="30"/>
      <c r="AC47" s="30">
        <f>(1 - CUSTOS!$M$25)*178.431</f>
        <v>178.43100000000001</v>
      </c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P47" s="30">
        <f>IF((1 - CUSTOS!$M$25)&lt;&gt;0,1/(1 - CUSTOS!$M$25),1)</f>
        <v>1</v>
      </c>
    </row>
    <row r="48" spans="1:42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/>
      <c r="M48" s="30"/>
      <c r="N48" s="30"/>
      <c r="O48" s="30"/>
      <c r="P48" s="30"/>
      <c r="Q48" s="30"/>
      <c r="R48" s="30"/>
      <c r="S48" s="30"/>
      <c r="T48" s="30"/>
      <c r="U48" s="30">
        <f>(1 - CUSTOS!$M$26)*17.4307</f>
        <v>17.430700000000002</v>
      </c>
      <c r="V48" s="30">
        <f>(1 - CUSTOS!$M$26)*4.0724</f>
        <v>4.0724</v>
      </c>
      <c r="W48" s="30">
        <f>(1 - CUSTOS!$M$26)*2.905</f>
        <v>2.9049999999999998</v>
      </c>
      <c r="X48" s="30">
        <v>0</v>
      </c>
      <c r="Y48" s="30">
        <v>0</v>
      </c>
      <c r="Z48" s="30">
        <v>0</v>
      </c>
      <c r="AA48" s="30">
        <v>0</v>
      </c>
      <c r="AB48" s="30"/>
      <c r="AC48" s="30">
        <f>(1 - CUSTOS!$M$26)*178.431</f>
        <v>178.43100000000001</v>
      </c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P48" s="30">
        <f>IF((1 - CUSTOS!$M$26)&lt;&gt;0,1/(1 - CUSTOS!$M$26),1)</f>
        <v>1</v>
      </c>
    </row>
    <row r="49" spans="1:42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/>
      <c r="M49" s="30"/>
      <c r="N49" s="30"/>
      <c r="O49" s="30"/>
      <c r="P49" s="30"/>
      <c r="Q49" s="30"/>
      <c r="R49" s="30"/>
      <c r="S49" s="30"/>
      <c r="T49" s="30"/>
      <c r="U49" s="30">
        <f>(1 - CUSTOS!$M$27)*17.4307</f>
        <v>17.430700000000002</v>
      </c>
      <c r="V49" s="30">
        <f>(1 - CUSTOS!$M$27)*4.0724</f>
        <v>4.0724</v>
      </c>
      <c r="W49" s="30">
        <f>(1 - CUSTOS!$M$27)*2.905</f>
        <v>2.9049999999999998</v>
      </c>
      <c r="X49" s="30">
        <v>0</v>
      </c>
      <c r="Y49" s="30">
        <v>0</v>
      </c>
      <c r="Z49" s="30">
        <v>0</v>
      </c>
      <c r="AA49" s="30">
        <v>0</v>
      </c>
      <c r="AB49" s="30"/>
      <c r="AC49" s="30">
        <f>(1 - CUSTOS!$M$27)*178.431</f>
        <v>178.43100000000001</v>
      </c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P49" s="30">
        <f>IF((1 - CUSTOS!$M$27)&lt;&gt;0,1/(1 - CUSTOS!$M$27),1)</f>
        <v>1</v>
      </c>
    </row>
    <row r="50" spans="1:42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/>
      <c r="M50" s="30"/>
      <c r="N50" s="30"/>
      <c r="O50" s="30"/>
      <c r="P50" s="30"/>
      <c r="Q50" s="30"/>
      <c r="R50" s="30"/>
      <c r="S50" s="30"/>
      <c r="T50" s="30"/>
      <c r="U50" s="30">
        <f>(1 - CUSTOS!$M$28)*52.2921</f>
        <v>52.292099999999998</v>
      </c>
      <c r="V50" s="30">
        <f>(1 - CUSTOS!$M$28)*12.2172</f>
        <v>12.2172</v>
      </c>
      <c r="W50" s="30">
        <f>(1 - CUSTOS!$M$28)*8.7149</f>
        <v>8.7149000000000001</v>
      </c>
      <c r="X50" s="30">
        <v>0</v>
      </c>
      <c r="Y50" s="30">
        <v>0</v>
      </c>
      <c r="Z50" s="30">
        <v>0</v>
      </c>
      <c r="AA50" s="30">
        <v>0</v>
      </c>
      <c r="AB50" s="30"/>
      <c r="AC50" s="30">
        <f>(1 - CUSTOS!$M$28)*535.2929</f>
        <v>535.29290000000003</v>
      </c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P50" s="30">
        <f>IF((1 - CUSTOS!$M$28)&lt;&gt;0,1/(1 - CUSTOS!$M$28),1)</f>
        <v>1</v>
      </c>
    </row>
    <row r="51" spans="1:42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/>
      <c r="M51" s="30"/>
      <c r="N51" s="30"/>
      <c r="O51" s="30"/>
      <c r="P51" s="30"/>
      <c r="Q51" s="30"/>
      <c r="R51" s="30"/>
      <c r="S51" s="30"/>
      <c r="T51" s="30"/>
      <c r="U51" s="30">
        <f>(1 - CUSTOS!$M$28)*31.3753</f>
        <v>31.375299999999999</v>
      </c>
      <c r="V51" s="30">
        <f>(1 - CUSTOS!$M$28)*7.3303</f>
        <v>7.3303000000000003</v>
      </c>
      <c r="W51" s="30">
        <f>(1 - CUSTOS!$M$28)*5.229</f>
        <v>5.2290000000000001</v>
      </c>
      <c r="X51" s="30">
        <v>0</v>
      </c>
      <c r="Y51" s="30">
        <v>0</v>
      </c>
      <c r="Z51" s="30">
        <v>0</v>
      </c>
      <c r="AA51" s="30">
        <v>0</v>
      </c>
      <c r="AB51" s="30"/>
      <c r="AC51" s="30">
        <f>(1 - CUSTOS!$M$28)*321.1758</f>
        <v>321.17579999999998</v>
      </c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P51" s="30">
        <f>IF((1 - CUSTOS!$M$28)&lt;&gt;0,1/(1 - CUSTOS!$M$28),1)</f>
        <v>1</v>
      </c>
    </row>
    <row r="52" spans="1:42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/>
      <c r="M52" s="30"/>
      <c r="N52" s="30"/>
      <c r="O52" s="30"/>
      <c r="P52" s="30"/>
      <c r="Q52" s="30"/>
      <c r="R52" s="30"/>
      <c r="S52" s="30"/>
      <c r="T52" s="30"/>
      <c r="U52" s="30">
        <f>(1 - CUSTOS!$M$28)*10.4584</f>
        <v>10.458399999999999</v>
      </c>
      <c r="V52" s="30">
        <f>(1 - CUSTOS!$M$28)*2.4434</f>
        <v>2.4434</v>
      </c>
      <c r="W52" s="30">
        <f>(1 - CUSTOS!$M$28)*1.743</f>
        <v>1.7430000000000001</v>
      </c>
      <c r="X52" s="30">
        <v>0</v>
      </c>
      <c r="Y52" s="30">
        <v>0</v>
      </c>
      <c r="Z52" s="30">
        <v>0</v>
      </c>
      <c r="AA52" s="30">
        <v>0</v>
      </c>
      <c r="AB52" s="30"/>
      <c r="AC52" s="30">
        <f>(1 - CUSTOS!$M$28)*107.0586</f>
        <v>107.0586</v>
      </c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P52" s="30">
        <f>IF((1 - CUSTOS!$M$28)&lt;&gt;0,1/(1 - CUSTOS!$M$28),1)</f>
        <v>1</v>
      </c>
    </row>
    <row r="53" spans="1:42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/>
      <c r="M53" s="30"/>
      <c r="N53" s="30"/>
      <c r="O53" s="30"/>
      <c r="P53" s="30"/>
      <c r="Q53" s="30"/>
      <c r="R53" s="30"/>
      <c r="S53" s="30"/>
      <c r="T53" s="30"/>
      <c r="U53" s="30">
        <f>(1 - CUSTOS!$M$28)*17.4307</f>
        <v>17.430700000000002</v>
      </c>
      <c r="V53" s="30">
        <f>(1 - CUSTOS!$M$28)*4.0724</f>
        <v>4.0724</v>
      </c>
      <c r="W53" s="30">
        <f>(1 - CUSTOS!$M$28)*2.905</f>
        <v>2.9049999999999998</v>
      </c>
      <c r="X53" s="30">
        <v>0</v>
      </c>
      <c r="Y53" s="30">
        <v>0</v>
      </c>
      <c r="Z53" s="30">
        <v>0</v>
      </c>
      <c r="AA53" s="30">
        <v>0</v>
      </c>
      <c r="AB53" s="30"/>
      <c r="AC53" s="30">
        <f>(1 - CUSTOS!$M$28)*178.431</f>
        <v>178.43100000000001</v>
      </c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P53" s="30">
        <f>IF((1 - CUSTOS!$M$28)&lt;&gt;0,1/(1 - CUSTOS!$M$28),1)</f>
        <v>1</v>
      </c>
    </row>
    <row r="54" spans="1:42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/>
      <c r="M54" s="30"/>
      <c r="N54" s="30"/>
      <c r="O54" s="30"/>
      <c r="P54" s="30"/>
      <c r="Q54" s="30"/>
      <c r="R54" s="30"/>
      <c r="S54" s="30"/>
      <c r="T54" s="30"/>
      <c r="U54" s="30">
        <f>(1 - CUSTOS!$M$29)*52.2921</f>
        <v>52.292099999999998</v>
      </c>
      <c r="V54" s="30">
        <f>(1 - CUSTOS!$M$29)*12.2172</f>
        <v>12.2172</v>
      </c>
      <c r="W54" s="30">
        <f>(1 - CUSTOS!$M$29)*8.7149</f>
        <v>8.7149000000000001</v>
      </c>
      <c r="X54" s="30">
        <v>0</v>
      </c>
      <c r="Y54" s="30">
        <v>0</v>
      </c>
      <c r="Z54" s="30">
        <v>0</v>
      </c>
      <c r="AA54" s="30">
        <v>0</v>
      </c>
      <c r="AB54" s="30"/>
      <c r="AC54" s="30">
        <f>(1 - CUSTOS!$M$29)*535.2929</f>
        <v>535.29290000000003</v>
      </c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P54" s="30">
        <f>IF((1 - CUSTOS!$M$29)&lt;&gt;0,1/(1 - CUSTOS!$M$29),1)</f>
        <v>1</v>
      </c>
    </row>
    <row r="55" spans="1:42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/>
      <c r="M55" s="30"/>
      <c r="N55" s="30"/>
      <c r="O55" s="30"/>
      <c r="P55" s="30"/>
      <c r="Q55" s="30"/>
      <c r="R55" s="30"/>
      <c r="S55" s="30"/>
      <c r="T55" s="30"/>
      <c r="U55" s="30">
        <f>(1 - CUSTOS!$M$29)*31.3753</f>
        <v>31.375299999999999</v>
      </c>
      <c r="V55" s="30">
        <f>(1 - CUSTOS!$M$29)*7.3303</f>
        <v>7.3303000000000003</v>
      </c>
      <c r="W55" s="30">
        <f>(1 - CUSTOS!$M$29)*5.229</f>
        <v>5.2290000000000001</v>
      </c>
      <c r="X55" s="30">
        <v>0</v>
      </c>
      <c r="Y55" s="30">
        <v>0</v>
      </c>
      <c r="Z55" s="30">
        <v>0</v>
      </c>
      <c r="AA55" s="30">
        <v>0</v>
      </c>
      <c r="AB55" s="30"/>
      <c r="AC55" s="30">
        <f>(1 - CUSTOS!$M$29)*321.1758</f>
        <v>321.17579999999998</v>
      </c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P55" s="30">
        <f>IF((1 - CUSTOS!$M$29)&lt;&gt;0,1/(1 - CUSTOS!$M$29),1)</f>
        <v>1</v>
      </c>
    </row>
    <row r="56" spans="1:42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/>
      <c r="M56" s="30"/>
      <c r="N56" s="30"/>
      <c r="O56" s="30"/>
      <c r="P56" s="30"/>
      <c r="Q56" s="30"/>
      <c r="R56" s="30"/>
      <c r="S56" s="30"/>
      <c r="T56" s="30"/>
      <c r="U56" s="30">
        <f>(1 - CUSTOS!$M$29)*10.4584</f>
        <v>10.458399999999999</v>
      </c>
      <c r="V56" s="30">
        <f>(1 - CUSTOS!$M$29)*2.4434</f>
        <v>2.4434</v>
      </c>
      <c r="W56" s="30">
        <f>(1 - CUSTOS!$M$29)*1.743</f>
        <v>1.7430000000000001</v>
      </c>
      <c r="X56" s="30">
        <v>0</v>
      </c>
      <c r="Y56" s="30">
        <v>0</v>
      </c>
      <c r="Z56" s="30">
        <v>0</v>
      </c>
      <c r="AA56" s="30">
        <v>0</v>
      </c>
      <c r="AB56" s="30"/>
      <c r="AC56" s="30">
        <f>(1 - CUSTOS!$M$29)*107.0586</f>
        <v>107.0586</v>
      </c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P56" s="30">
        <f>IF((1 - CUSTOS!$M$29)&lt;&gt;0,1/(1 - CUSTOS!$M$29),1)</f>
        <v>1</v>
      </c>
    </row>
    <row r="57" spans="1:42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/>
      <c r="M57" s="30"/>
      <c r="N57" s="30"/>
      <c r="O57" s="30"/>
      <c r="P57" s="30"/>
      <c r="Q57" s="30"/>
      <c r="R57" s="30"/>
      <c r="S57" s="30"/>
      <c r="T57" s="30"/>
      <c r="U57" s="30">
        <f>(1 - CUSTOS!$M$29)*17.4307</f>
        <v>17.430700000000002</v>
      </c>
      <c r="V57" s="30">
        <f>(1 - CUSTOS!$M$29)*4.0724</f>
        <v>4.0724</v>
      </c>
      <c r="W57" s="30">
        <f>(1 - CUSTOS!$M$29)*2.905</f>
        <v>2.9049999999999998</v>
      </c>
      <c r="X57" s="30">
        <v>0</v>
      </c>
      <c r="Y57" s="30">
        <v>0</v>
      </c>
      <c r="Z57" s="30">
        <v>0</v>
      </c>
      <c r="AA57" s="30">
        <v>0</v>
      </c>
      <c r="AB57" s="30"/>
      <c r="AC57" s="30">
        <f>(1 - CUSTOS!$M$29)*178.431</f>
        <v>178.43100000000001</v>
      </c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P57" s="30">
        <f>IF((1 - CUSTOS!$M$29)&lt;&gt;0,1/(1 - CUSTOS!$M$29),1)</f>
        <v>1</v>
      </c>
    </row>
    <row r="58" spans="1:42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/>
      <c r="M58" s="30"/>
      <c r="N58" s="30"/>
      <c r="O58" s="30"/>
      <c r="P58" s="30"/>
      <c r="Q58" s="30"/>
      <c r="R58" s="30"/>
      <c r="S58" s="30"/>
      <c r="T58" s="30"/>
      <c r="U58" s="30">
        <f>(1 - CUSTOS!$M$30)*52.2921</f>
        <v>52.292099999999998</v>
      </c>
      <c r="V58" s="30">
        <f>(1 - CUSTOS!$M$30)*12.2172</f>
        <v>12.2172</v>
      </c>
      <c r="W58" s="30">
        <f>(1 - CUSTOS!$M$30)*8.7149</f>
        <v>8.7149000000000001</v>
      </c>
      <c r="X58" s="30">
        <v>0</v>
      </c>
      <c r="Y58" s="30">
        <v>0</v>
      </c>
      <c r="Z58" s="30">
        <v>0</v>
      </c>
      <c r="AA58" s="30">
        <v>0</v>
      </c>
      <c r="AB58" s="30"/>
      <c r="AC58" s="30">
        <f>(1 - CUSTOS!$M$30)*535.2929</f>
        <v>535.29290000000003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P58" s="30">
        <f>IF((1 - CUSTOS!$M$30)&lt;&gt;0,1/(1 - CUSTOS!$M$30),1)</f>
        <v>1</v>
      </c>
    </row>
    <row r="59" spans="1:42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/>
      <c r="M59" s="30"/>
      <c r="N59" s="30"/>
      <c r="O59" s="30"/>
      <c r="P59" s="30"/>
      <c r="Q59" s="30"/>
      <c r="R59" s="30"/>
      <c r="S59" s="30"/>
      <c r="T59" s="30"/>
      <c r="U59" s="30">
        <f>(1 - CUSTOS!$M$30)*31.3753</f>
        <v>31.375299999999999</v>
      </c>
      <c r="V59" s="30">
        <f>(1 - CUSTOS!$M$30)*7.3303</f>
        <v>7.3303000000000003</v>
      </c>
      <c r="W59" s="30">
        <f>(1 - CUSTOS!$M$30)*5.229</f>
        <v>5.2290000000000001</v>
      </c>
      <c r="X59" s="30">
        <v>0</v>
      </c>
      <c r="Y59" s="30">
        <v>0</v>
      </c>
      <c r="Z59" s="30">
        <v>0</v>
      </c>
      <c r="AA59" s="30">
        <v>0</v>
      </c>
      <c r="AB59" s="30"/>
      <c r="AC59" s="30">
        <f>(1 - CUSTOS!$M$30)*321.1758</f>
        <v>321.17579999999998</v>
      </c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P59" s="30">
        <f>IF((1 - CUSTOS!$M$30)&lt;&gt;0,1/(1 - CUSTOS!$M$30),1)</f>
        <v>1</v>
      </c>
    </row>
    <row r="60" spans="1:42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/>
      <c r="M60" s="30"/>
      <c r="N60" s="30"/>
      <c r="O60" s="30"/>
      <c r="P60" s="30"/>
      <c r="Q60" s="30"/>
      <c r="R60" s="30"/>
      <c r="S60" s="30"/>
      <c r="T60" s="30"/>
      <c r="U60" s="30">
        <f>(1 - CUSTOS!$M$30)*10.4584</f>
        <v>10.458399999999999</v>
      </c>
      <c r="V60" s="30">
        <f>(1 - CUSTOS!$M$30)*2.4434</f>
        <v>2.4434</v>
      </c>
      <c r="W60" s="30">
        <f>(1 - CUSTOS!$M$30)*1.743</f>
        <v>1.7430000000000001</v>
      </c>
      <c r="X60" s="30">
        <v>0</v>
      </c>
      <c r="Y60" s="30">
        <v>0</v>
      </c>
      <c r="Z60" s="30">
        <v>0</v>
      </c>
      <c r="AA60" s="30">
        <v>0</v>
      </c>
      <c r="AB60" s="30"/>
      <c r="AC60" s="30">
        <f>(1 - CUSTOS!$M$30)*107.0586</f>
        <v>107.0586</v>
      </c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P60" s="30">
        <f>IF((1 - CUSTOS!$M$30)&lt;&gt;0,1/(1 - CUSTOS!$M$30),1)</f>
        <v>1</v>
      </c>
    </row>
    <row r="61" spans="1:42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/>
      <c r="M61" s="30"/>
      <c r="N61" s="30"/>
      <c r="O61" s="30"/>
      <c r="P61" s="30"/>
      <c r="Q61" s="30"/>
      <c r="R61" s="30"/>
      <c r="S61" s="30"/>
      <c r="T61" s="30"/>
      <c r="U61" s="30">
        <f>(1 - CUSTOS!$M$30)*17.4307</f>
        <v>17.430700000000002</v>
      </c>
      <c r="V61" s="30">
        <f>(1 - CUSTOS!$M$30)*4.0724</f>
        <v>4.0724</v>
      </c>
      <c r="W61" s="30">
        <f>(1 - CUSTOS!$M$30)*2.905</f>
        <v>2.9049999999999998</v>
      </c>
      <c r="X61" s="30">
        <v>0</v>
      </c>
      <c r="Y61" s="30">
        <v>0</v>
      </c>
      <c r="Z61" s="30">
        <v>0</v>
      </c>
      <c r="AA61" s="30">
        <v>0</v>
      </c>
      <c r="AB61" s="30"/>
      <c r="AC61" s="30">
        <f>(1 - CUSTOS!$M$30)*178.431</f>
        <v>178.43100000000001</v>
      </c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P61" s="30">
        <f>IF((1 - CUSTOS!$M$30)&lt;&gt;0,1/(1 - CUSTOS!$M$30),1)</f>
        <v>1</v>
      </c>
    </row>
    <row r="62" spans="1:42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/>
      <c r="M62" s="30"/>
      <c r="N62" s="30"/>
      <c r="O62" s="30"/>
      <c r="P62" s="30"/>
      <c r="Q62" s="30"/>
      <c r="R62" s="30"/>
      <c r="S62" s="30"/>
      <c r="T62" s="30"/>
      <c r="U62" s="30">
        <f>(1 - CUSTOS!$M$28)*17.4307</f>
        <v>17.430700000000002</v>
      </c>
      <c r="V62" s="30">
        <f>(1 - CUSTOS!$M$28)*4.0724</f>
        <v>4.0724</v>
      </c>
      <c r="W62" s="30">
        <f>(1 - CUSTOS!$M$28)*2.905</f>
        <v>2.9049999999999998</v>
      </c>
      <c r="X62" s="30">
        <v>0</v>
      </c>
      <c r="Y62" s="30">
        <v>0</v>
      </c>
      <c r="Z62" s="30">
        <v>0</v>
      </c>
      <c r="AA62" s="30">
        <v>0</v>
      </c>
      <c r="AB62" s="30"/>
      <c r="AC62" s="30">
        <f>(1 - CUSTOS!$M$28)*178.431</f>
        <v>178.43100000000001</v>
      </c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P62" s="30">
        <f>IF((1 - CUSTOS!$M$28)&lt;&gt;0,1/(1 - CUSTOS!$M$28),1)</f>
        <v>1</v>
      </c>
    </row>
    <row r="63" spans="1:42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/>
      <c r="M63" s="30"/>
      <c r="N63" s="30"/>
      <c r="O63" s="30"/>
      <c r="P63" s="30"/>
      <c r="Q63" s="30"/>
      <c r="R63" s="30"/>
      <c r="S63" s="30"/>
      <c r="T63" s="30"/>
      <c r="U63" s="30">
        <f>(1 - CUSTOS!$M$29)*17.4307</f>
        <v>17.430700000000002</v>
      </c>
      <c r="V63" s="30">
        <f>(1 - CUSTOS!$M$29)*4.0724</f>
        <v>4.0724</v>
      </c>
      <c r="W63" s="30">
        <f>(1 - CUSTOS!$M$29)*2.905</f>
        <v>2.9049999999999998</v>
      </c>
      <c r="X63" s="30">
        <v>0</v>
      </c>
      <c r="Y63" s="30">
        <v>0</v>
      </c>
      <c r="Z63" s="30">
        <v>0</v>
      </c>
      <c r="AA63" s="30">
        <v>0</v>
      </c>
      <c r="AB63" s="30"/>
      <c r="AC63" s="30">
        <f>(1 - CUSTOS!$M$29)*178.431</f>
        <v>178.43100000000001</v>
      </c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P63" s="30">
        <f>IF((1 - CUSTOS!$M$29)&lt;&gt;0,1/(1 - CUSTOS!$M$29),1)</f>
        <v>1</v>
      </c>
    </row>
    <row r="64" spans="1:42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/>
      <c r="M64" s="30"/>
      <c r="N64" s="30"/>
      <c r="O64" s="30"/>
      <c r="P64" s="30"/>
      <c r="Q64" s="30"/>
      <c r="R64" s="30"/>
      <c r="S64" s="30"/>
      <c r="T64" s="30"/>
      <c r="U64" s="30">
        <f>(1 - CUSTOS!$M$30)*17.4307</f>
        <v>17.430700000000002</v>
      </c>
      <c r="V64" s="30">
        <f>(1 - CUSTOS!$M$30)*4.0724</f>
        <v>4.0724</v>
      </c>
      <c r="W64" s="30">
        <f>(1 - CUSTOS!$M$30)*2.905</f>
        <v>2.9049999999999998</v>
      </c>
      <c r="X64" s="30">
        <v>0</v>
      </c>
      <c r="Y64" s="30">
        <v>0</v>
      </c>
      <c r="Z64" s="30">
        <v>0</v>
      </c>
      <c r="AA64" s="30">
        <v>0</v>
      </c>
      <c r="AB64" s="30"/>
      <c r="AC64" s="30">
        <f>(1 - CUSTOS!$M$30)*178.431</f>
        <v>178.43100000000001</v>
      </c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P64" s="30">
        <f>IF((1 - CUSTOS!$M$30)&lt;&gt;0,1/(1 - CUSTOS!$M$30),1)</f>
        <v>1</v>
      </c>
    </row>
    <row r="65" spans="1:42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/>
      <c r="M65" s="30"/>
      <c r="N65" s="30"/>
      <c r="O65" s="30"/>
      <c r="P65" s="30"/>
      <c r="Q65" s="30"/>
      <c r="R65" s="30"/>
      <c r="S65" s="30"/>
      <c r="T65" s="30"/>
      <c r="U65" s="30">
        <f>(1 - CUSTOS!$M$31)*56.6498</f>
        <v>56.649799999999999</v>
      </c>
      <c r="V65" s="30">
        <f>(1 - CUSTOS!$M$31)*13.2353</f>
        <v>13.235300000000001</v>
      </c>
      <c r="W65" s="30">
        <f>(1 - CUSTOS!$M$31)*9.4412</f>
        <v>9.4412000000000003</v>
      </c>
      <c r="X65" s="30">
        <v>0</v>
      </c>
      <c r="Y65" s="30">
        <v>0</v>
      </c>
      <c r="Z65" s="30">
        <v>0</v>
      </c>
      <c r="AA65" s="30">
        <v>0</v>
      </c>
      <c r="AB65" s="30"/>
      <c r="AC65" s="30">
        <f>(1 - CUSTOS!$M$31)*579.9007</f>
        <v>579.90070000000003</v>
      </c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P65" s="30">
        <f>IF((1 - CUSTOS!$M$31)&lt;&gt;0,1/(1 - CUSTOS!$M$31),1)</f>
        <v>1</v>
      </c>
    </row>
    <row r="66" spans="1:42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/>
      <c r="M66" s="30"/>
      <c r="N66" s="30"/>
      <c r="O66" s="30"/>
      <c r="P66" s="30"/>
      <c r="Q66" s="30"/>
      <c r="R66" s="30"/>
      <c r="S66" s="30"/>
      <c r="T66" s="30"/>
      <c r="U66" s="30">
        <f>(1 - CUSTOS!$M$31)*33.9899</f>
        <v>33.989899999999999</v>
      </c>
      <c r="V66" s="30">
        <f>(1 - CUSTOS!$M$31)*7.9412</f>
        <v>7.9412000000000003</v>
      </c>
      <c r="W66" s="30">
        <f>(1 - CUSTOS!$M$31)*5.6647</f>
        <v>5.6646999999999998</v>
      </c>
      <c r="X66" s="30">
        <v>0</v>
      </c>
      <c r="Y66" s="30">
        <v>0</v>
      </c>
      <c r="Z66" s="30">
        <v>0</v>
      </c>
      <c r="AA66" s="30">
        <v>0</v>
      </c>
      <c r="AB66" s="30"/>
      <c r="AC66" s="30">
        <f>(1 - CUSTOS!$M$31)*347.9404</f>
        <v>347.94040000000001</v>
      </c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P66" s="30">
        <f>IF((1 - CUSTOS!$M$31)&lt;&gt;0,1/(1 - CUSTOS!$M$31),1)</f>
        <v>1</v>
      </c>
    </row>
    <row r="67" spans="1:42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/>
      <c r="M67" s="30"/>
      <c r="N67" s="30"/>
      <c r="O67" s="30"/>
      <c r="P67" s="30"/>
      <c r="Q67" s="30"/>
      <c r="R67" s="30"/>
      <c r="S67" s="30"/>
      <c r="T67" s="30"/>
      <c r="U67" s="30">
        <f>(1 - CUSTOS!$M$31)*11.33</f>
        <v>11.33</v>
      </c>
      <c r="V67" s="30">
        <f>(1 - CUSTOS!$M$31)*2.6471</f>
        <v>2.6471</v>
      </c>
      <c r="W67" s="30">
        <f>(1 - CUSTOS!$M$31)*1.8882</f>
        <v>1.8882000000000001</v>
      </c>
      <c r="X67" s="30">
        <v>0</v>
      </c>
      <c r="Y67" s="30">
        <v>0</v>
      </c>
      <c r="Z67" s="30">
        <v>0</v>
      </c>
      <c r="AA67" s="30">
        <v>0</v>
      </c>
      <c r="AB67" s="30"/>
      <c r="AC67" s="30">
        <f>(1 - CUSTOS!$M$31)*115.9801</f>
        <v>115.98009999999999</v>
      </c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P67" s="30">
        <f>IF((1 - CUSTOS!$M$31)&lt;&gt;0,1/(1 - CUSTOS!$M$31),1)</f>
        <v>1</v>
      </c>
    </row>
    <row r="68" spans="1:42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/>
      <c r="M68" s="30"/>
      <c r="N68" s="30"/>
      <c r="O68" s="30"/>
      <c r="P68" s="30"/>
      <c r="Q68" s="30"/>
      <c r="R68" s="30"/>
      <c r="S68" s="30"/>
      <c r="T68" s="30"/>
      <c r="U68" s="30">
        <f>(1 - CUSTOS!$M$31)*17.4307</f>
        <v>17.430700000000002</v>
      </c>
      <c r="V68" s="30">
        <f>(1 - CUSTOS!$M$31)*4.0724</f>
        <v>4.0724</v>
      </c>
      <c r="W68" s="30">
        <f>(1 - CUSTOS!$M$31)*2.905</f>
        <v>2.9049999999999998</v>
      </c>
      <c r="X68" s="30">
        <v>0</v>
      </c>
      <c r="Y68" s="30">
        <v>0</v>
      </c>
      <c r="Z68" s="30">
        <v>0</v>
      </c>
      <c r="AA68" s="30">
        <v>0</v>
      </c>
      <c r="AB68" s="30"/>
      <c r="AC68" s="30">
        <f>(1 - CUSTOS!$M$31)*178.431</f>
        <v>178.43100000000001</v>
      </c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P68" s="30">
        <f>IF((1 - CUSTOS!$M$31)&lt;&gt;0,1/(1 - CUSTOS!$M$31),1)</f>
        <v>1</v>
      </c>
    </row>
    <row r="69" spans="1:42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/>
      <c r="M69" s="30"/>
      <c r="N69" s="30"/>
      <c r="O69" s="30"/>
      <c r="P69" s="30"/>
      <c r="Q69" s="30"/>
      <c r="R69" s="30"/>
      <c r="S69" s="30"/>
      <c r="T69" s="30"/>
      <c r="U69" s="30">
        <f>(1 - CUSTOS!$M$31)*17.4307</f>
        <v>17.430700000000002</v>
      </c>
      <c r="V69" s="30">
        <f>(1 - CUSTOS!$M$31)*4.0724</f>
        <v>4.0724</v>
      </c>
      <c r="W69" s="30">
        <f>(1 - CUSTOS!$M$31)*2.905</f>
        <v>2.9049999999999998</v>
      </c>
      <c r="X69" s="30">
        <v>0</v>
      </c>
      <c r="Y69" s="30">
        <v>0</v>
      </c>
      <c r="Z69" s="30">
        <v>0</v>
      </c>
      <c r="AA69" s="30">
        <v>0</v>
      </c>
      <c r="AB69" s="30"/>
      <c r="AC69" s="30">
        <f>(1 - CUSTOS!$M$31)*178.431</f>
        <v>178.43100000000001</v>
      </c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P69" s="30">
        <f>IF((1 - CUSTOS!$M$31)&lt;&gt;0,1/(1 - CUSTOS!$M$31),1)</f>
        <v>1</v>
      </c>
    </row>
    <row r="70" spans="1:42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/>
      <c r="M70" s="30"/>
      <c r="N70" s="30"/>
      <c r="O70" s="30"/>
      <c r="P70" s="30"/>
      <c r="Q70" s="30"/>
      <c r="R70" s="30"/>
      <c r="S70" s="30"/>
      <c r="T70" s="30"/>
      <c r="U70" s="30">
        <f>(1 - CUSTOS!$M$32)*17.4307</f>
        <v>9.5868850000000023</v>
      </c>
      <c r="V70" s="30">
        <f>(1 - CUSTOS!$M$32)*4.0724</f>
        <v>2.2398200000000004</v>
      </c>
      <c r="W70" s="30">
        <f>(1 - CUSTOS!$M$32)*2.905</f>
        <v>1.59775</v>
      </c>
      <c r="X70" s="30">
        <v>0</v>
      </c>
      <c r="Y70" s="30">
        <v>0</v>
      </c>
      <c r="Z70" s="30">
        <v>0</v>
      </c>
      <c r="AA70" s="30">
        <v>0</v>
      </c>
      <c r="AB70" s="30"/>
      <c r="AC70" s="30">
        <f>(1 - CUSTOS!$M$32)*178.431</f>
        <v>98.137050000000016</v>
      </c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P70" s="30">
        <f>IF((1 - CUSTOS!$M$32)&lt;&gt;0,1/(1 - CUSTOS!$M$32),1)</f>
        <v>1.8181818181818181</v>
      </c>
    </row>
    <row r="71" spans="1:42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/>
      <c r="M71" s="30"/>
      <c r="N71" s="30"/>
      <c r="O71" s="30"/>
      <c r="P71" s="30"/>
      <c r="Q71" s="30"/>
      <c r="R71" s="30"/>
      <c r="S71" s="30"/>
      <c r="T71" s="30"/>
      <c r="U71" s="30">
        <f>(1 - CUSTOS!$M$33)*17.4307</f>
        <v>10.45842</v>
      </c>
      <c r="V71" s="30">
        <f>(1 - CUSTOS!$M$33)*4.0724</f>
        <v>2.4434399999999998</v>
      </c>
      <c r="W71" s="30">
        <f>(1 - CUSTOS!$M$33)*2.905</f>
        <v>1.7429999999999999</v>
      </c>
      <c r="X71" s="30">
        <v>0</v>
      </c>
      <c r="Y71" s="30">
        <v>0</v>
      </c>
      <c r="Z71" s="30">
        <v>0</v>
      </c>
      <c r="AA71" s="30">
        <v>0</v>
      </c>
      <c r="AB71" s="30"/>
      <c r="AC71" s="30">
        <f>(1 - CUSTOS!$M$33)*178.431</f>
        <v>107.0586</v>
      </c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P71" s="30">
        <f>IF((1 - CUSTOS!$M$33)&lt;&gt;0,1/(1 - CUSTOS!$M$33),1)</f>
        <v>1.6666666666666667</v>
      </c>
    </row>
  </sheetData>
  <mergeCells count="92">
    <mergeCell ref="E65:E67"/>
    <mergeCell ref="F65:F67"/>
    <mergeCell ref="A70:A71"/>
    <mergeCell ref="B70:B71"/>
    <mergeCell ref="C70:C71"/>
    <mergeCell ref="D65:D67"/>
    <mergeCell ref="B62:B64"/>
    <mergeCell ref="C62:C64"/>
    <mergeCell ref="A65:A69"/>
    <mergeCell ref="B65:B67"/>
    <mergeCell ref="C65:C67"/>
    <mergeCell ref="A50:A64"/>
    <mergeCell ref="B50:B52"/>
    <mergeCell ref="C50:C52"/>
    <mergeCell ref="B58:B60"/>
    <mergeCell ref="C58:C60"/>
    <mergeCell ref="B54:B56"/>
    <mergeCell ref="C54:C56"/>
    <mergeCell ref="D58:D60"/>
    <mergeCell ref="E58:E60"/>
    <mergeCell ref="F58:F60"/>
    <mergeCell ref="D50:D52"/>
    <mergeCell ref="E50:E52"/>
    <mergeCell ref="F50:F52"/>
    <mergeCell ref="D54:D56"/>
    <mergeCell ref="E54:E56"/>
    <mergeCell ref="F54:F56"/>
    <mergeCell ref="F37:F39"/>
    <mergeCell ref="B40:B44"/>
    <mergeCell ref="C40:C44"/>
    <mergeCell ref="B45:B49"/>
    <mergeCell ref="C45:C49"/>
    <mergeCell ref="A37:A49"/>
    <mergeCell ref="B37:B39"/>
    <mergeCell ref="C37:C39"/>
    <mergeCell ref="D37:D39"/>
    <mergeCell ref="E37:E39"/>
    <mergeCell ref="F30:F32"/>
    <mergeCell ref="E33:E34"/>
    <mergeCell ref="F33:F34"/>
    <mergeCell ref="A35:A36"/>
    <mergeCell ref="B35:B36"/>
    <mergeCell ref="C35:C36"/>
    <mergeCell ref="D35:D36"/>
    <mergeCell ref="A13:A34"/>
    <mergeCell ref="B30:B34"/>
    <mergeCell ref="C30:C34"/>
    <mergeCell ref="D30:D34"/>
    <mergeCell ref="E30:E32"/>
    <mergeCell ref="F13:F15"/>
    <mergeCell ref="B17:B28"/>
    <mergeCell ref="C17:C28"/>
    <mergeCell ref="D17:D28"/>
    <mergeCell ref="E17:E28"/>
    <mergeCell ref="F17:F19"/>
    <mergeCell ref="F20:F22"/>
    <mergeCell ref="F23:F25"/>
    <mergeCell ref="F26:F28"/>
    <mergeCell ref="B13:B16"/>
    <mergeCell ref="C13:C16"/>
    <mergeCell ref="D13:D16"/>
    <mergeCell ref="E13:E15"/>
    <mergeCell ref="A1:A4"/>
    <mergeCell ref="C9:C11"/>
    <mergeCell ref="D9:D11"/>
    <mergeCell ref="E9:E11"/>
    <mergeCell ref="B1:B4"/>
    <mergeCell ref="C1:C4"/>
    <mergeCell ref="D1:D4"/>
    <mergeCell ref="E1:E4"/>
    <mergeCell ref="F9:F11"/>
    <mergeCell ref="F5:F7"/>
    <mergeCell ref="B9:B11"/>
    <mergeCell ref="A5:A12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FCD3-5182-4036-B9FD-5D984D64D020}">
  <dimension ref="A1:AP96"/>
  <sheetViews>
    <sheetView showGridLines="0" topLeftCell="D52" workbookViewId="0">
      <selection activeCell="K82" sqref="K82:P8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8" width="10.85546875" style="9" bestFit="1" customWidth="1"/>
    <col min="19" max="19" width="10" style="9" bestFit="1" customWidth="1"/>
    <col min="20" max="20" width="11.7109375" style="9" bestFit="1" customWidth="1"/>
    <col min="21" max="23" width="10.85546875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948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P1" s="105" t="s">
        <v>949</v>
      </c>
    </row>
    <row r="2" spans="1:42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P2" s="106"/>
    </row>
    <row r="3" spans="1:42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/>
      <c r="U3" s="105" t="s">
        <v>868</v>
      </c>
      <c r="V3" s="105"/>
      <c r="W3" s="105"/>
      <c r="X3" s="105"/>
      <c r="Y3" s="105"/>
      <c r="Z3" s="105"/>
      <c r="AA3" s="105"/>
      <c r="AB3" s="105"/>
      <c r="AC3" s="105" t="s">
        <v>876</v>
      </c>
      <c r="AD3" s="105"/>
      <c r="AE3" s="105" t="s">
        <v>878</v>
      </c>
      <c r="AF3" s="105"/>
      <c r="AG3" s="105"/>
      <c r="AH3" s="105" t="s">
        <v>881</v>
      </c>
      <c r="AI3" s="105"/>
      <c r="AJ3" s="105"/>
      <c r="AK3" s="105"/>
      <c r="AL3" s="105"/>
      <c r="AM3" s="105" t="s">
        <v>867</v>
      </c>
      <c r="AP3" s="106"/>
    </row>
    <row r="4" spans="1:42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867</v>
      </c>
      <c r="U4" s="32" t="s">
        <v>869</v>
      </c>
      <c r="V4" s="32" t="s">
        <v>870</v>
      </c>
      <c r="W4" s="32" t="s">
        <v>871</v>
      </c>
      <c r="X4" s="32" t="s">
        <v>872</v>
      </c>
      <c r="Y4" s="32" t="s">
        <v>873</v>
      </c>
      <c r="Z4" s="32" t="s">
        <v>874</v>
      </c>
      <c r="AA4" s="32" t="s">
        <v>875</v>
      </c>
      <c r="AB4" s="32" t="s">
        <v>867</v>
      </c>
      <c r="AC4" s="32" t="s">
        <v>877</v>
      </c>
      <c r="AD4" s="32" t="s">
        <v>867</v>
      </c>
      <c r="AE4" s="32" t="s">
        <v>879</v>
      </c>
      <c r="AF4" s="32" t="s">
        <v>880</v>
      </c>
      <c r="AG4" s="32" t="s">
        <v>867</v>
      </c>
      <c r="AH4" s="32" t="s">
        <v>882</v>
      </c>
      <c r="AI4" s="32" t="s">
        <v>883</v>
      </c>
      <c r="AJ4" s="32" t="s">
        <v>884</v>
      </c>
      <c r="AK4" s="32" t="s">
        <v>885</v>
      </c>
      <c r="AL4" s="32" t="s">
        <v>867</v>
      </c>
      <c r="AM4" s="107"/>
      <c r="AP4" s="106"/>
    </row>
    <row r="5" spans="1:42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/>
      <c r="U5" s="30">
        <f>TRANSICAO!$U$5*CUSTOS!$P$3</f>
        <v>4.7084999999999999</v>
      </c>
      <c r="V5" s="30">
        <f>TRANSICAO!$V$5*CUSTOS!$P$3</f>
        <v>0.99829999999999997</v>
      </c>
      <c r="W5" s="30">
        <f>TRANSICAO!$W$5*CUSTOS!$P$3</f>
        <v>0.62490000000000001</v>
      </c>
      <c r="X5" s="30">
        <f>TRANSICAO!$X$5*CUSTOS!$P$3</f>
        <v>0</v>
      </c>
      <c r="Y5" s="30">
        <f>TRANSICAO!$Y$5*CUSTOS!$P$3</f>
        <v>0</v>
      </c>
      <c r="Z5" s="30">
        <f>TRANSICAO!$Z$5*CUSTOS!$P$3</f>
        <v>0</v>
      </c>
      <c r="AA5" s="30">
        <f>TRANSICAO!$AA$5*CUSTOS!$P$3</f>
        <v>0</v>
      </c>
      <c r="AB5" s="30">
        <f>TRANSICAO!$AB$5*CUSTOS!$P$3</f>
        <v>0</v>
      </c>
      <c r="AC5" s="30">
        <f>TRANSICAO!$AC$5*CUSTOS!$P$3</f>
        <v>14.1541</v>
      </c>
      <c r="AD5" s="30">
        <f>TRANSICAO!$AD$5*CUSTOS!$P$3</f>
        <v>0</v>
      </c>
      <c r="AE5" s="30">
        <v>0</v>
      </c>
      <c r="AF5" s="30">
        <v>0</v>
      </c>
      <c r="AG5" s="30"/>
      <c r="AH5" s="30">
        <v>0</v>
      </c>
      <c r="AI5" s="30">
        <v>0</v>
      </c>
      <c r="AJ5" s="30">
        <v>0</v>
      </c>
      <c r="AK5" s="30">
        <f t="shared" ref="AK5:AK36" si="0">AJ5</f>
        <v>0</v>
      </c>
      <c r="AL5" s="30"/>
      <c r="AM5" s="30"/>
      <c r="AP5" s="30">
        <v>1</v>
      </c>
    </row>
    <row r="6" spans="1:42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/>
      <c r="U6" s="30">
        <f>TRANSICAO!$U$6*CUSTOS!$P$3</f>
        <v>4.5018000000000002</v>
      </c>
      <c r="V6" s="30">
        <f>TRANSICAO!$V$6*CUSTOS!$P$3</f>
        <v>0.97440000000000004</v>
      </c>
      <c r="W6" s="30">
        <f>TRANSICAO!$W$6*CUSTOS!$P$3</f>
        <v>0.50109999999999999</v>
      </c>
      <c r="X6" s="30">
        <f>TRANSICAO!$X$6*CUSTOS!$P$3</f>
        <v>0</v>
      </c>
      <c r="Y6" s="30">
        <f>TRANSICAO!$Y$6*CUSTOS!$P$3</f>
        <v>0</v>
      </c>
      <c r="Z6" s="30">
        <f>TRANSICAO!$Z$6*CUSTOS!$P$3</f>
        <v>0</v>
      </c>
      <c r="AA6" s="30">
        <f>TRANSICAO!$AA$6*CUSTOS!$P$3</f>
        <v>0</v>
      </c>
      <c r="AB6" s="30">
        <f>TRANSICAO!$AB$6*CUSTOS!$P$3</f>
        <v>0</v>
      </c>
      <c r="AC6" s="30">
        <f>TRANSICAO!$AC$6*CUSTOS!$P$3</f>
        <v>1.7239</v>
      </c>
      <c r="AD6" s="30">
        <f>TRANSICAO!$AD$6*CUSTOS!$P$3</f>
        <v>0</v>
      </c>
      <c r="AE6" s="30">
        <v>0</v>
      </c>
      <c r="AF6" s="30">
        <v>0</v>
      </c>
      <c r="AG6" s="30"/>
      <c r="AH6" s="30">
        <v>0</v>
      </c>
      <c r="AI6" s="30">
        <v>0</v>
      </c>
      <c r="AJ6" s="30">
        <v>0</v>
      </c>
      <c r="AK6" s="30">
        <f t="shared" si="0"/>
        <v>0</v>
      </c>
      <c r="AL6" s="30"/>
      <c r="AM6" s="30"/>
      <c r="AP6" s="30">
        <v>1</v>
      </c>
    </row>
    <row r="7" spans="1:42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>
        <f>0.62</f>
        <v>0.62</v>
      </c>
      <c r="M7" s="30">
        <f>IF(AND((+$I$7+$I$8)&lt;&gt;0,SUMPRODUCT($I$5:$I$71,$AC$5:$AC$71,$AP$5:$AP$71)&lt;&gt;0),$M$76*SUMPRODUCT($I$5:$I$12,$AC$5:$AC$12,$AP$5:$AP$12)/SUMPRODUCT($I$5:$I$71,$AC$5:$AC$71,$AP$5:$AP$71)/(+$I$7+$I$8),0)</f>
        <v>0.17569145460674068</v>
      </c>
      <c r="N7" s="30">
        <f ca="1">(+M7+O7+R7+U7+V7+W7+X7+Y7+Z7+AA7+AC7+AH7+AI7+AJ7+AK7)*CUSTOS!$M$5</f>
        <v>0.13714774969096991</v>
      </c>
      <c r="O7" s="30">
        <v>1</v>
      </c>
      <c r="P7" s="30">
        <v>1</v>
      </c>
      <c r="Q7" s="30">
        <f>0.62</f>
        <v>0.62</v>
      </c>
      <c r="R7" s="30">
        <v>1</v>
      </c>
      <c r="S7" s="30">
        <v>1</v>
      </c>
      <c r="T7" s="30"/>
      <c r="U7" s="30">
        <f>TRANSICAO!$U$7*CUSTOS!$P$3</f>
        <v>0</v>
      </c>
      <c r="V7" s="30">
        <f>TRANSICAO!$V$7*CUSTOS!$P$3</f>
        <v>0</v>
      </c>
      <c r="W7" s="30">
        <f>TRANSICAO!$W$7*CUSTOS!$P$3</f>
        <v>0</v>
      </c>
      <c r="X7" s="30">
        <f>TRANSICAO!$X$7*CUSTOS!$P$3</f>
        <v>0</v>
      </c>
      <c r="Y7" s="30">
        <f>TRANSICAO!$Y$7*CUSTOS!$P$3</f>
        <v>0</v>
      </c>
      <c r="Z7" s="30">
        <f>TRANSICAO!$Z$7*CUSTOS!$P$3</f>
        <v>0</v>
      </c>
      <c r="AA7" s="30">
        <f>TRANSICAO!$AA$7*CUSTOS!$P$3</f>
        <v>0</v>
      </c>
      <c r="AB7" s="30">
        <f>TRANSICAO!$AB$7*CUSTOS!$P$3</f>
        <v>0</v>
      </c>
      <c r="AC7" s="30">
        <f>TRANSICAO!$AC$7*CUSTOS!$P$3</f>
        <v>0</v>
      </c>
      <c r="AD7" s="30">
        <f>TRANSICAO!$AD$7*CUSTOS!$P$3</f>
        <v>0</v>
      </c>
      <c r="AE7" s="30">
        <v>0</v>
      </c>
      <c r="AF7" s="30">
        <v>0</v>
      </c>
      <c r="AG7" s="30"/>
      <c r="AH7" s="30">
        <v>3.6825000000000001</v>
      </c>
      <c r="AI7" s="30">
        <v>3.6825000000000001</v>
      </c>
      <c r="AJ7" s="30">
        <f ca="1">$N$83</f>
        <v>2.087041757245125</v>
      </c>
      <c r="AK7" s="30">
        <f t="shared" ca="1" si="0"/>
        <v>2.087041757245125</v>
      </c>
      <c r="AL7" s="30"/>
      <c r="AM7" s="30"/>
      <c r="AP7" s="30">
        <v>1</v>
      </c>
    </row>
    <row r="8" spans="1:42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>
        <v>0</v>
      </c>
      <c r="M8" s="30">
        <f>IF(AND((+$I$7+$I$8)&lt;&gt;0,SUMPRODUCT($I$5:$I$71,$AC$5:$AC$71,$AP$5:$AP$71)&lt;&gt;0),$M$76*SUMPRODUCT($I$5:$I$12,$AC$5:$AC$12,$AP$5:$AP$12)/SUMPRODUCT($I$5:$I$71,$AC$5:$AC$71,$AP$5:$AP$71)/(+$I$7+$I$8),0)</f>
        <v>0.17569145460674068</v>
      </c>
      <c r="N8" s="30">
        <f ca="1">(+M8+O8+R8+U8+V8+W8+X8+Y8+Z8+AA8+AC8+AH8+AI8+AJ8+AK8)*CUSTOS!$M$5</f>
        <v>0.1271477496909699</v>
      </c>
      <c r="O8" s="30">
        <v>1</v>
      </c>
      <c r="P8" s="30">
        <v>0</v>
      </c>
      <c r="Q8" s="30">
        <v>0</v>
      </c>
      <c r="R8" s="30">
        <v>0</v>
      </c>
      <c r="S8" s="30">
        <v>0</v>
      </c>
      <c r="T8" s="30"/>
      <c r="U8" s="30">
        <f>TRANSICAO!$U$8*CUSTOS!$P$3</f>
        <v>0</v>
      </c>
      <c r="V8" s="30">
        <f>TRANSICAO!$V$8*CUSTOS!$P$3</f>
        <v>0</v>
      </c>
      <c r="W8" s="30">
        <f>TRANSICAO!$W$8*CUSTOS!$P$3</f>
        <v>0</v>
      </c>
      <c r="X8" s="30">
        <f>TRANSICAO!$X$8*CUSTOS!$P$3</f>
        <v>0</v>
      </c>
      <c r="Y8" s="30">
        <f>TRANSICAO!$Y$8*CUSTOS!$P$3</f>
        <v>0</v>
      </c>
      <c r="Z8" s="30">
        <f>TRANSICAO!$Z$8*CUSTOS!$P$3</f>
        <v>0</v>
      </c>
      <c r="AA8" s="30">
        <f>TRANSICAO!$AA$8*CUSTOS!$P$3</f>
        <v>0</v>
      </c>
      <c r="AB8" s="30">
        <f>TRANSICAO!$AB$8*CUSTOS!$P$3</f>
        <v>0</v>
      </c>
      <c r="AC8" s="30">
        <f>TRANSICAO!$AC$8*CUSTOS!$P$3</f>
        <v>0</v>
      </c>
      <c r="AD8" s="30">
        <f>TRANSICAO!$AD$8*CUSTOS!$P$3</f>
        <v>0</v>
      </c>
      <c r="AE8" s="30">
        <v>0</v>
      </c>
      <c r="AF8" s="30">
        <v>0</v>
      </c>
      <c r="AG8" s="30"/>
      <c r="AH8" s="30">
        <v>3.6825000000000001</v>
      </c>
      <c r="AI8" s="30">
        <v>3.6825000000000001</v>
      </c>
      <c r="AJ8" s="30">
        <f ca="1">$N$83</f>
        <v>2.087041757245125</v>
      </c>
      <c r="AK8" s="30">
        <f t="shared" ca="1" si="0"/>
        <v>2.087041757245125</v>
      </c>
      <c r="AL8" s="30"/>
      <c r="AM8" s="30"/>
      <c r="AP8" s="30">
        <v>1</v>
      </c>
    </row>
    <row r="9" spans="1:42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/>
      <c r="U9" s="30">
        <f>TRANSICAO!$U$9*CUSTOS!$P$3</f>
        <v>4.7084999999999999</v>
      </c>
      <c r="V9" s="30">
        <f>TRANSICAO!$V$9*CUSTOS!$P$3</f>
        <v>0.99829999999999997</v>
      </c>
      <c r="W9" s="30">
        <f>TRANSICAO!$W$9*CUSTOS!$P$3</f>
        <v>0.62490000000000001</v>
      </c>
      <c r="X9" s="30">
        <f>TRANSICAO!$X$9*CUSTOS!$P$3</f>
        <v>0</v>
      </c>
      <c r="Y9" s="30">
        <f>TRANSICAO!$Y$9*CUSTOS!$P$3</f>
        <v>0</v>
      </c>
      <c r="Z9" s="30">
        <f>TRANSICAO!$Z$9*CUSTOS!$P$3</f>
        <v>0</v>
      </c>
      <c r="AA9" s="30">
        <f>TRANSICAO!$AA$9*CUSTOS!$P$3</f>
        <v>0</v>
      </c>
      <c r="AB9" s="30">
        <f>TRANSICAO!$AB$9*CUSTOS!$P$3</f>
        <v>0</v>
      </c>
      <c r="AC9" s="30">
        <f>TRANSICAO!$AC$9*CUSTOS!$P$3</f>
        <v>14.1541</v>
      </c>
      <c r="AD9" s="30">
        <f>TRANSICAO!$AD$9*CUSTOS!$P$3</f>
        <v>0</v>
      </c>
      <c r="AE9" s="30">
        <v>0</v>
      </c>
      <c r="AF9" s="30">
        <v>0</v>
      </c>
      <c r="AG9" s="30"/>
      <c r="AH9" s="30">
        <v>0</v>
      </c>
      <c r="AI9" s="30">
        <v>0</v>
      </c>
      <c r="AJ9" s="30">
        <v>0</v>
      </c>
      <c r="AK9" s="30">
        <f t="shared" si="0"/>
        <v>0</v>
      </c>
      <c r="AL9" s="30"/>
      <c r="AM9" s="30"/>
      <c r="AP9" s="30">
        <v>1</v>
      </c>
    </row>
    <row r="10" spans="1:42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/>
      <c r="U10" s="30">
        <f>TRANSICAO!$U$10*CUSTOS!$P$3</f>
        <v>4.5018000000000002</v>
      </c>
      <c r="V10" s="30">
        <f>TRANSICAO!$V$10*CUSTOS!$P$3</f>
        <v>0.97440000000000004</v>
      </c>
      <c r="W10" s="30">
        <f>TRANSICAO!$W$10*CUSTOS!$P$3</f>
        <v>0.50109999999999999</v>
      </c>
      <c r="X10" s="30">
        <f>TRANSICAO!$X$10*CUSTOS!$P$3</f>
        <v>0</v>
      </c>
      <c r="Y10" s="30">
        <f>TRANSICAO!$Y$10*CUSTOS!$P$3</f>
        <v>0</v>
      </c>
      <c r="Z10" s="30">
        <f>TRANSICAO!$Z$10*CUSTOS!$P$3</f>
        <v>0</v>
      </c>
      <c r="AA10" s="30">
        <f>TRANSICAO!$AA$10*CUSTOS!$P$3</f>
        <v>0</v>
      </c>
      <c r="AB10" s="30">
        <f>TRANSICAO!$AB$10*CUSTOS!$P$3</f>
        <v>0</v>
      </c>
      <c r="AC10" s="30">
        <f>TRANSICAO!$AC$10*CUSTOS!$P$3</f>
        <v>1.7239</v>
      </c>
      <c r="AD10" s="30">
        <f>TRANSICAO!$AD$10*CUSTOS!$P$3</f>
        <v>0</v>
      </c>
      <c r="AE10" s="30">
        <v>0</v>
      </c>
      <c r="AF10" s="30">
        <v>0</v>
      </c>
      <c r="AG10" s="30"/>
      <c r="AH10" s="30">
        <v>0</v>
      </c>
      <c r="AI10" s="30">
        <v>0</v>
      </c>
      <c r="AJ10" s="30">
        <v>0</v>
      </c>
      <c r="AK10" s="30">
        <f t="shared" si="0"/>
        <v>0</v>
      </c>
      <c r="AL10" s="30"/>
      <c r="AM10" s="30"/>
      <c r="AP10" s="30">
        <v>1</v>
      </c>
    </row>
    <row r="11" spans="1:42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/>
      <c r="U11" s="30">
        <f>TRANSICAO!$U$11*CUSTOS!$P$3</f>
        <v>0</v>
      </c>
      <c r="V11" s="30">
        <f>TRANSICAO!$V$11*CUSTOS!$P$3</f>
        <v>0</v>
      </c>
      <c r="W11" s="30">
        <f>TRANSICAO!$W$11*CUSTOS!$P$3</f>
        <v>0</v>
      </c>
      <c r="X11" s="30">
        <f>TRANSICAO!$X$11*CUSTOS!$P$3</f>
        <v>0</v>
      </c>
      <c r="Y11" s="30">
        <f>TRANSICAO!$Y$11*CUSTOS!$P$3</f>
        <v>0</v>
      </c>
      <c r="Z11" s="30">
        <f>TRANSICAO!$Z$11*CUSTOS!$P$3</f>
        <v>0</v>
      </c>
      <c r="AA11" s="30">
        <f>TRANSICAO!$AA$11*CUSTOS!$P$3</f>
        <v>0</v>
      </c>
      <c r="AB11" s="30">
        <f>TRANSICAO!$AB$11*CUSTOS!$P$3</f>
        <v>0</v>
      </c>
      <c r="AC11" s="30">
        <f>TRANSICAO!$AC$11*CUSTOS!$P$3</f>
        <v>0</v>
      </c>
      <c r="AD11" s="30">
        <f>TRANSICAO!$AD$11*CUSTOS!$P$3</f>
        <v>0</v>
      </c>
      <c r="AE11" s="30">
        <v>0</v>
      </c>
      <c r="AF11" s="30">
        <v>0</v>
      </c>
      <c r="AG11" s="30"/>
      <c r="AH11" s="30">
        <v>3.6825000000000001</v>
      </c>
      <c r="AI11" s="30">
        <v>3.6825000000000001</v>
      </c>
      <c r="AJ11" s="30">
        <v>0</v>
      </c>
      <c r="AK11" s="30">
        <f t="shared" si="0"/>
        <v>0</v>
      </c>
      <c r="AL11" s="30"/>
      <c r="AM11" s="30"/>
      <c r="AP11" s="30">
        <v>1</v>
      </c>
    </row>
    <row r="12" spans="1:42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>
        <v>0</v>
      </c>
      <c r="M12" s="30">
        <f>(1+CUSTOS!$M$4)*0.154778318569917</f>
        <v>0.1776398838644237</v>
      </c>
      <c r="N12" s="30">
        <f>(1+CUSTOS!$M$4)*0.0582092289658338</f>
        <v>6.6807035823027217E-2</v>
      </c>
      <c r="O12" s="30">
        <f>(1+CUSTOS!$M$4)*0.00663062411014091</f>
        <v>7.6100018901679081E-3</v>
      </c>
      <c r="P12" s="30">
        <v>0</v>
      </c>
      <c r="Q12" s="30">
        <v>0</v>
      </c>
      <c r="R12" s="30">
        <v>0</v>
      </c>
      <c r="S12" s="30">
        <v>0</v>
      </c>
      <c r="T12" s="30"/>
      <c r="U12" s="30">
        <f>TRANSICAO!$U$12*CUSTOS!$P$4</f>
        <v>0</v>
      </c>
      <c r="V12" s="30">
        <f>TRANSICAO!$V$12*CUSTOS!$P$4</f>
        <v>0</v>
      </c>
      <c r="W12" s="30">
        <f>TRANSICAO!$W$12*CUSTOS!$P$4</f>
        <v>0.4429655266881109</v>
      </c>
      <c r="X12" s="30">
        <f>TRANSICAO!$X$12*CUSTOS!$P$4</f>
        <v>0</v>
      </c>
      <c r="Y12" s="30">
        <f>TRANSICAO!$Y$12*CUSTOS!$P$4</f>
        <v>0</v>
      </c>
      <c r="Z12" s="30">
        <f>TRANSICAO!$Z$12*CUSTOS!$P$4</f>
        <v>0</v>
      </c>
      <c r="AA12" s="30">
        <f>TRANSICAO!$AA$12*CUSTOS!$P$4</f>
        <v>0</v>
      </c>
      <c r="AB12" s="30">
        <f>TRANSICAO!$AB$12*CUSTOS!$P$4</f>
        <v>0</v>
      </c>
      <c r="AC12" s="30">
        <f>TRANSICAO!$AC$12*CUSTOS!$P$4</f>
        <v>11.373513690207355</v>
      </c>
      <c r="AD12" s="30">
        <f>TRANSICAO!$AD$12*CUSTOS!$P$4</f>
        <v>0</v>
      </c>
      <c r="AE12" s="30">
        <v>0</v>
      </c>
      <c r="AF12" s="30">
        <v>0</v>
      </c>
      <c r="AG12" s="30"/>
      <c r="AH12" s="30">
        <f>(1+CUSTOS!$M$4)*0.984392656342537</f>
        <v>1.1297925882990396</v>
      </c>
      <c r="AI12" s="30">
        <f>(1+CUSTOS!$M$4)*0.213242571540179</f>
        <v>0.24473961206806238</v>
      </c>
      <c r="AJ12" s="30">
        <v>0</v>
      </c>
      <c r="AK12" s="30">
        <f t="shared" si="0"/>
        <v>0</v>
      </c>
      <c r="AL12" s="30"/>
      <c r="AM12" s="30"/>
      <c r="AP12" s="30"/>
    </row>
    <row r="13" spans="1:42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/>
      <c r="U13" s="30">
        <f>TRANSICAO!$U$13*CUSTOS!$R$3</f>
        <v>4.2866999999999997</v>
      </c>
      <c r="V13" s="30">
        <f>TRANSICAO!$V$13*CUSTOS!$R$3</f>
        <v>0.97689999999999999</v>
      </c>
      <c r="W13" s="30">
        <f>TRANSICAO!$W$13*CUSTOS!$R$3</f>
        <v>0.78180000000000005</v>
      </c>
      <c r="X13" s="30">
        <f>TRANSICAO!$X$13*CUSTOS!$R$3</f>
        <v>0</v>
      </c>
      <c r="Y13" s="30">
        <f>TRANSICAO!$Y$13*CUSTOS!$R$3</f>
        <v>0</v>
      </c>
      <c r="Z13" s="30">
        <f>TRANSICAO!$Z$13*CUSTOS!$R$3</f>
        <v>0</v>
      </c>
      <c r="AA13" s="30">
        <f>TRANSICAO!$AA$13*CUSTOS!$R$3</f>
        <v>0</v>
      </c>
      <c r="AB13" s="30">
        <f>TRANSICAO!$AB$13*CUSTOS!$R$3</f>
        <v>0</v>
      </c>
      <c r="AC13" s="30">
        <f>TRANSICAO!$AC$13*CUSTOS!$R$3</f>
        <v>40.4925</v>
      </c>
      <c r="AD13" s="30">
        <f>TRANSICAO!$AD$13*CUSTOS!$R$3</f>
        <v>0</v>
      </c>
      <c r="AE13" s="30">
        <v>0</v>
      </c>
      <c r="AF13" s="30">
        <v>0</v>
      </c>
      <c r="AG13" s="30"/>
      <c r="AH13" s="30">
        <v>0</v>
      </c>
      <c r="AI13" s="30">
        <v>0</v>
      </c>
      <c r="AJ13" s="30">
        <v>0</v>
      </c>
      <c r="AK13" s="30">
        <f t="shared" si="0"/>
        <v>0</v>
      </c>
      <c r="AL13" s="30"/>
      <c r="AM13" s="30"/>
      <c r="AP13" s="30">
        <v>1</v>
      </c>
    </row>
    <row r="14" spans="1:42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/>
      <c r="U14" s="30">
        <f>TRANSICAO!$U$14*CUSTOS!$R$3</f>
        <v>4.3155000000000001</v>
      </c>
      <c r="V14" s="30">
        <f>TRANSICAO!$V$14*CUSTOS!$R$3</f>
        <v>0.99590000000000001</v>
      </c>
      <c r="W14" s="30">
        <f>TRANSICAO!$W$14*CUSTOS!$R$3</f>
        <v>0.57889999999999997</v>
      </c>
      <c r="X14" s="30">
        <f>TRANSICAO!$X$14*CUSTOS!$R$3</f>
        <v>0</v>
      </c>
      <c r="Y14" s="30">
        <f>TRANSICAO!$Y$14*CUSTOS!$R$3</f>
        <v>0</v>
      </c>
      <c r="Z14" s="30">
        <f>TRANSICAO!$Z$14*CUSTOS!$R$3</f>
        <v>0</v>
      </c>
      <c r="AA14" s="30">
        <f>TRANSICAO!$AA$14*CUSTOS!$R$3</f>
        <v>0</v>
      </c>
      <c r="AB14" s="30">
        <f>TRANSICAO!$AB$14*CUSTOS!$R$3</f>
        <v>0</v>
      </c>
      <c r="AC14" s="30">
        <f>TRANSICAO!$AC$14*CUSTOS!$R$3</f>
        <v>11.5886</v>
      </c>
      <c r="AD14" s="30">
        <f>TRANSICAO!$AD$14*CUSTOS!$R$3</f>
        <v>0</v>
      </c>
      <c r="AE14" s="30">
        <v>0</v>
      </c>
      <c r="AF14" s="30">
        <v>0</v>
      </c>
      <c r="AG14" s="30"/>
      <c r="AH14" s="30">
        <v>0</v>
      </c>
      <c r="AI14" s="30">
        <v>0</v>
      </c>
      <c r="AJ14" s="30">
        <v>0</v>
      </c>
      <c r="AK14" s="30">
        <f t="shared" si="0"/>
        <v>0</v>
      </c>
      <c r="AL14" s="30"/>
      <c r="AM14" s="30"/>
      <c r="AP14" s="30">
        <v>1</v>
      </c>
    </row>
    <row r="15" spans="1:42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>
        <f>0.84</f>
        <v>0.84</v>
      </c>
      <c r="M15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15" s="30">
        <f ca="1">(+M15+O15+R15+U15+V15+W15+X15+Y15+Z15+AA15+AC15+AH15+AI15+AJ15+AK15)*CUSTOS!$M$5</f>
        <v>0.32203958834294855</v>
      </c>
      <c r="O15" s="30">
        <v>1</v>
      </c>
      <c r="P15" s="30">
        <v>1</v>
      </c>
      <c r="Q15" s="30">
        <f>0.84</f>
        <v>0.84</v>
      </c>
      <c r="R15" s="30">
        <v>1</v>
      </c>
      <c r="S15" s="30">
        <v>1</v>
      </c>
      <c r="T15" s="30"/>
      <c r="U15" s="30">
        <f>TRANSICAO!$U$15*CUSTOS!$R$3</f>
        <v>0</v>
      </c>
      <c r="V15" s="30">
        <f>TRANSICAO!$V$15*CUSTOS!$R$3</f>
        <v>0</v>
      </c>
      <c r="W15" s="30">
        <f>TRANSICAO!$W$15*CUSTOS!$R$3</f>
        <v>0</v>
      </c>
      <c r="X15" s="30">
        <f>TRANSICAO!$X$15*CUSTOS!$R$3</f>
        <v>0</v>
      </c>
      <c r="Y15" s="30">
        <f>TRANSICAO!$Y$15*CUSTOS!$R$3</f>
        <v>0</v>
      </c>
      <c r="Z15" s="30">
        <f>TRANSICAO!$Z$15*CUSTOS!$R$3</f>
        <v>0</v>
      </c>
      <c r="AA15" s="30">
        <f>TRANSICAO!$AA$15*CUSTOS!$R$3</f>
        <v>0</v>
      </c>
      <c r="AB15" s="30">
        <f>TRANSICAO!$AB$15*CUSTOS!$R$3</f>
        <v>0</v>
      </c>
      <c r="AC15" s="30">
        <f>TRANSICAO!$AC$15*CUSTOS!$R$3</f>
        <v>0</v>
      </c>
      <c r="AD15" s="30">
        <f>TRANSICAO!$AD$15*CUSTOS!$R$3</f>
        <v>0</v>
      </c>
      <c r="AE15" s="30">
        <v>0</v>
      </c>
      <c r="AF15" s="30">
        <v>0</v>
      </c>
      <c r="AG15" s="30"/>
      <c r="AH15" s="30">
        <v>8.8817000000000004</v>
      </c>
      <c r="AI15" s="30">
        <v>8.8817000000000004</v>
      </c>
      <c r="AJ15" s="30">
        <f ca="1">$N$84</f>
        <v>5.8280554600474597</v>
      </c>
      <c r="AK15" s="30">
        <f t="shared" ca="1" si="0"/>
        <v>5.8280554600474597</v>
      </c>
      <c r="AL15" s="30"/>
      <c r="AM15" s="30"/>
      <c r="AP15" s="30">
        <v>1</v>
      </c>
    </row>
    <row r="16" spans="1:42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>
        <v>0</v>
      </c>
      <c r="M16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16" s="30">
        <f ca="1">(+M16+O16+R16+U16+V16+W16+X16+Y16+Z16+AA16+AC16+AH16+AI16+AJ16+AK16)*CUSTOS!$M$5</f>
        <v>0.31203958834294854</v>
      </c>
      <c r="O16" s="30">
        <v>1</v>
      </c>
      <c r="P16" s="30">
        <v>0</v>
      </c>
      <c r="Q16" s="30">
        <v>0</v>
      </c>
      <c r="R16" s="30">
        <v>0</v>
      </c>
      <c r="S16" s="30">
        <v>0</v>
      </c>
      <c r="T16" s="30"/>
      <c r="U16" s="30">
        <f>TRANSICAO!$U$16*CUSTOS!$R$3</f>
        <v>0</v>
      </c>
      <c r="V16" s="30">
        <f>TRANSICAO!$V$16*CUSTOS!$R$3</f>
        <v>0</v>
      </c>
      <c r="W16" s="30">
        <f>TRANSICAO!$W$16*CUSTOS!$R$3</f>
        <v>0</v>
      </c>
      <c r="X16" s="30">
        <f>TRANSICAO!$X$16*CUSTOS!$R$3</f>
        <v>0</v>
      </c>
      <c r="Y16" s="30">
        <f>TRANSICAO!$Y$16*CUSTOS!$R$3</f>
        <v>0</v>
      </c>
      <c r="Z16" s="30">
        <f>TRANSICAO!$Z$16*CUSTOS!$R$3</f>
        <v>0</v>
      </c>
      <c r="AA16" s="30">
        <f>TRANSICAO!$AA$16*CUSTOS!$R$3</f>
        <v>0</v>
      </c>
      <c r="AB16" s="30">
        <f>TRANSICAO!$AB$16*CUSTOS!$R$3</f>
        <v>0</v>
      </c>
      <c r="AC16" s="30">
        <f>TRANSICAO!$AC$16*CUSTOS!$R$3</f>
        <v>0</v>
      </c>
      <c r="AD16" s="30">
        <f>TRANSICAO!$AD$16*CUSTOS!$R$3</f>
        <v>0</v>
      </c>
      <c r="AE16" s="30">
        <v>0</v>
      </c>
      <c r="AF16" s="30">
        <v>0</v>
      </c>
      <c r="AG16" s="30"/>
      <c r="AH16" s="30">
        <v>8.8817000000000004</v>
      </c>
      <c r="AI16" s="30">
        <v>8.8817000000000004</v>
      </c>
      <c r="AJ16" s="30">
        <f ca="1">$N$84</f>
        <v>5.8280554600474597</v>
      </c>
      <c r="AK16" s="30">
        <f t="shared" ca="1" si="0"/>
        <v>5.8280554600474597</v>
      </c>
      <c r="AL16" s="30"/>
      <c r="AM16" s="30"/>
      <c r="AP16" s="30">
        <v>1</v>
      </c>
    </row>
    <row r="17" spans="1:42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/>
      <c r="U17" s="30">
        <f>TRANSICAO!$U$17*CUSTOS!$R$3</f>
        <v>4.2866999999999997</v>
      </c>
      <c r="V17" s="30">
        <f>TRANSICAO!$V$17*CUSTOS!$R$3</f>
        <v>0.97689999999999999</v>
      </c>
      <c r="W17" s="30">
        <f>TRANSICAO!$W$17*CUSTOS!$R$3</f>
        <v>0.78180000000000005</v>
      </c>
      <c r="X17" s="30">
        <f>TRANSICAO!$X$17*CUSTOS!$R$3</f>
        <v>0</v>
      </c>
      <c r="Y17" s="30">
        <f>TRANSICAO!$Y$17*CUSTOS!$R$3</f>
        <v>0</v>
      </c>
      <c r="Z17" s="30">
        <f>TRANSICAO!$Z$17*CUSTOS!$R$3</f>
        <v>0</v>
      </c>
      <c r="AA17" s="30">
        <f>TRANSICAO!$AA$17*CUSTOS!$R$3</f>
        <v>0</v>
      </c>
      <c r="AB17" s="30">
        <f>TRANSICAO!$AB$17*CUSTOS!$R$3</f>
        <v>0</v>
      </c>
      <c r="AC17" s="30">
        <f>TRANSICAO!$AC$17*CUSTOS!$R$3</f>
        <v>15.7379</v>
      </c>
      <c r="AD17" s="30">
        <f>TRANSICAO!$AD$17*CUSTOS!$R$3</f>
        <v>0</v>
      </c>
      <c r="AE17" s="30">
        <v>0</v>
      </c>
      <c r="AF17" s="30">
        <v>0</v>
      </c>
      <c r="AG17" s="30"/>
      <c r="AH17" s="30">
        <v>0</v>
      </c>
      <c r="AI17" s="30">
        <v>0</v>
      </c>
      <c r="AJ17" s="30">
        <v>0</v>
      </c>
      <c r="AK17" s="30">
        <f t="shared" si="0"/>
        <v>0</v>
      </c>
      <c r="AL17" s="30"/>
      <c r="AM17" s="30"/>
      <c r="AP17" s="30">
        <v>1</v>
      </c>
    </row>
    <row r="18" spans="1:42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/>
      <c r="U18" s="30">
        <f>TRANSICAO!$U$18*CUSTOS!$R$3</f>
        <v>4.3155000000000001</v>
      </c>
      <c r="V18" s="30">
        <f>TRANSICAO!$V$18*CUSTOS!$R$3</f>
        <v>0.99590000000000001</v>
      </c>
      <c r="W18" s="30">
        <f>TRANSICAO!$W$18*CUSTOS!$R$3</f>
        <v>0.57889999999999997</v>
      </c>
      <c r="X18" s="30">
        <f>TRANSICAO!$X$18*CUSTOS!$R$3</f>
        <v>0</v>
      </c>
      <c r="Y18" s="30">
        <f>TRANSICAO!$Y$18*CUSTOS!$R$3</f>
        <v>0</v>
      </c>
      <c r="Z18" s="30">
        <f>TRANSICAO!$Z$18*CUSTOS!$R$3</f>
        <v>0</v>
      </c>
      <c r="AA18" s="30">
        <f>TRANSICAO!$AA$18*CUSTOS!$R$3</f>
        <v>0</v>
      </c>
      <c r="AB18" s="30">
        <f>TRANSICAO!$AB$18*CUSTOS!$R$3</f>
        <v>0</v>
      </c>
      <c r="AC18" s="30">
        <f>TRANSICAO!$AC$18*CUSTOS!$R$3</f>
        <v>4.5039999999999996</v>
      </c>
      <c r="AD18" s="30">
        <f>TRANSICAO!$AD$18*CUSTOS!$R$3</f>
        <v>0</v>
      </c>
      <c r="AE18" s="30">
        <v>0</v>
      </c>
      <c r="AF18" s="30">
        <v>0</v>
      </c>
      <c r="AG18" s="30"/>
      <c r="AH18" s="30">
        <v>0</v>
      </c>
      <c r="AI18" s="30">
        <v>0</v>
      </c>
      <c r="AJ18" s="30">
        <v>0</v>
      </c>
      <c r="AK18" s="30">
        <f t="shared" si="0"/>
        <v>0</v>
      </c>
      <c r="AL18" s="30"/>
      <c r="AM18" s="30"/>
      <c r="AP18" s="30">
        <v>1</v>
      </c>
    </row>
    <row r="19" spans="1:42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/>
      <c r="U19" s="30">
        <f>TRANSICAO!$U$19*CUSTOS!$R$3</f>
        <v>0</v>
      </c>
      <c r="V19" s="30">
        <f>TRANSICAO!$V$19*CUSTOS!$R$3</f>
        <v>0</v>
      </c>
      <c r="W19" s="30">
        <f>TRANSICAO!$W$19*CUSTOS!$R$3</f>
        <v>0</v>
      </c>
      <c r="X19" s="30">
        <f>TRANSICAO!$X$19*CUSTOS!$R$3</f>
        <v>0</v>
      </c>
      <c r="Y19" s="30">
        <f>TRANSICAO!$Y$19*CUSTOS!$R$3</f>
        <v>0</v>
      </c>
      <c r="Z19" s="30">
        <f>TRANSICAO!$Z$19*CUSTOS!$R$3</f>
        <v>0</v>
      </c>
      <c r="AA19" s="30">
        <f>TRANSICAO!$AA$19*CUSTOS!$R$3</f>
        <v>0</v>
      </c>
      <c r="AB19" s="30">
        <f>TRANSICAO!$AB$19*CUSTOS!$R$3</f>
        <v>0</v>
      </c>
      <c r="AC19" s="30">
        <f>TRANSICAO!$AC$19*CUSTOS!$R$3</f>
        <v>0</v>
      </c>
      <c r="AD19" s="30">
        <f>TRANSICAO!$AD$19*CUSTOS!$R$3</f>
        <v>0</v>
      </c>
      <c r="AE19" s="30">
        <v>0</v>
      </c>
      <c r="AF19" s="30">
        <v>0</v>
      </c>
      <c r="AG19" s="30"/>
      <c r="AH19" s="30">
        <v>8.8817000000000004</v>
      </c>
      <c r="AI19" s="30">
        <v>8.8817000000000004</v>
      </c>
      <c r="AJ19" s="30">
        <v>0</v>
      </c>
      <c r="AK19" s="30">
        <f t="shared" si="0"/>
        <v>0</v>
      </c>
      <c r="AL19" s="30"/>
      <c r="AM19" s="30"/>
      <c r="AP19" s="30">
        <v>1</v>
      </c>
    </row>
    <row r="20" spans="1:42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/>
      <c r="U20" s="30">
        <f>TRANSICAO!$U$20*CUSTOS!$R$3</f>
        <v>4.2866999999999997</v>
      </c>
      <c r="V20" s="30">
        <f>TRANSICAO!$V$20*CUSTOS!$R$3</f>
        <v>0.97689999999999999</v>
      </c>
      <c r="W20" s="30">
        <f>TRANSICAO!$W$20*CUSTOS!$R$3</f>
        <v>0.78180000000000005</v>
      </c>
      <c r="X20" s="30">
        <f>TRANSICAO!$X$20*CUSTOS!$R$3</f>
        <v>0</v>
      </c>
      <c r="Y20" s="30">
        <f>TRANSICAO!$Y$20*CUSTOS!$R$3</f>
        <v>0</v>
      </c>
      <c r="Z20" s="30">
        <f>TRANSICAO!$Z$20*CUSTOS!$R$3</f>
        <v>0</v>
      </c>
      <c r="AA20" s="30">
        <f>TRANSICAO!$AA$20*CUSTOS!$R$3</f>
        <v>0</v>
      </c>
      <c r="AB20" s="30">
        <f>TRANSICAO!$AB$20*CUSTOS!$R$3</f>
        <v>0</v>
      </c>
      <c r="AC20" s="30">
        <f>TRANSICAO!$AC$20*CUSTOS!$R$3</f>
        <v>15.7379</v>
      </c>
      <c r="AD20" s="30">
        <f>TRANSICAO!$AD$20*CUSTOS!$R$3</f>
        <v>0</v>
      </c>
      <c r="AE20" s="30">
        <v>0</v>
      </c>
      <c r="AF20" s="30">
        <v>0</v>
      </c>
      <c r="AG20" s="30"/>
      <c r="AH20" s="30">
        <v>0</v>
      </c>
      <c r="AI20" s="30">
        <v>0</v>
      </c>
      <c r="AJ20" s="30">
        <v>0</v>
      </c>
      <c r="AK20" s="30">
        <f t="shared" si="0"/>
        <v>0</v>
      </c>
      <c r="AL20" s="30"/>
      <c r="AM20" s="30"/>
      <c r="AP20" s="30">
        <v>1</v>
      </c>
    </row>
    <row r="21" spans="1:42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/>
      <c r="U21" s="30">
        <f>TRANSICAO!$U$21*CUSTOS!$R$3</f>
        <v>4.3155000000000001</v>
      </c>
      <c r="V21" s="30">
        <f>TRANSICAO!$V$21*CUSTOS!$R$3</f>
        <v>0.99590000000000001</v>
      </c>
      <c r="W21" s="30">
        <f>TRANSICAO!$W$21*CUSTOS!$R$3</f>
        <v>0.57889999999999997</v>
      </c>
      <c r="X21" s="30">
        <f>TRANSICAO!$X$21*CUSTOS!$R$3</f>
        <v>0</v>
      </c>
      <c r="Y21" s="30">
        <f>TRANSICAO!$Y$21*CUSTOS!$R$3</f>
        <v>0</v>
      </c>
      <c r="Z21" s="30">
        <f>TRANSICAO!$Z$21*CUSTOS!$R$3</f>
        <v>0</v>
      </c>
      <c r="AA21" s="30">
        <f>TRANSICAO!$AA$21*CUSTOS!$R$3</f>
        <v>0</v>
      </c>
      <c r="AB21" s="30">
        <f>TRANSICAO!$AB$21*CUSTOS!$R$3</f>
        <v>0</v>
      </c>
      <c r="AC21" s="30">
        <f>TRANSICAO!$AC$21*CUSTOS!$R$3</f>
        <v>4.5039999999999996</v>
      </c>
      <c r="AD21" s="30">
        <f>TRANSICAO!$AD$21*CUSTOS!$R$3</f>
        <v>0</v>
      </c>
      <c r="AE21" s="30">
        <v>0</v>
      </c>
      <c r="AF21" s="30">
        <v>0</v>
      </c>
      <c r="AG21" s="30"/>
      <c r="AH21" s="30">
        <v>0</v>
      </c>
      <c r="AI21" s="30">
        <v>0</v>
      </c>
      <c r="AJ21" s="30">
        <v>0</v>
      </c>
      <c r="AK21" s="30">
        <f t="shared" si="0"/>
        <v>0</v>
      </c>
      <c r="AL21" s="30"/>
      <c r="AM21" s="30"/>
      <c r="AP21" s="30">
        <v>1</v>
      </c>
    </row>
    <row r="22" spans="1:42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/>
      <c r="U22" s="30">
        <f>TRANSICAO!$U$22*CUSTOS!$R$3</f>
        <v>0</v>
      </c>
      <c r="V22" s="30">
        <f>TRANSICAO!$V$22*CUSTOS!$R$3</f>
        <v>0</v>
      </c>
      <c r="W22" s="30">
        <f>TRANSICAO!$W$22*CUSTOS!$R$3</f>
        <v>0</v>
      </c>
      <c r="X22" s="30">
        <f>TRANSICAO!$X$22*CUSTOS!$R$3</f>
        <v>0</v>
      </c>
      <c r="Y22" s="30">
        <f>TRANSICAO!$Y$22*CUSTOS!$R$3</f>
        <v>0</v>
      </c>
      <c r="Z22" s="30">
        <f>TRANSICAO!$Z$22*CUSTOS!$R$3</f>
        <v>0</v>
      </c>
      <c r="AA22" s="30">
        <f>TRANSICAO!$AA$22*CUSTOS!$R$3</f>
        <v>0</v>
      </c>
      <c r="AB22" s="30">
        <f>TRANSICAO!$AB$22*CUSTOS!$R$3</f>
        <v>0</v>
      </c>
      <c r="AC22" s="30">
        <f>TRANSICAO!$AC$22*CUSTOS!$R$3</f>
        <v>0</v>
      </c>
      <c r="AD22" s="30">
        <f>TRANSICAO!$AD$22*CUSTOS!$R$3</f>
        <v>0</v>
      </c>
      <c r="AE22" s="30">
        <v>0</v>
      </c>
      <c r="AF22" s="30">
        <v>0</v>
      </c>
      <c r="AG22" s="30"/>
      <c r="AH22" s="30">
        <v>8.8817000000000004</v>
      </c>
      <c r="AI22" s="30">
        <v>8.8817000000000004</v>
      </c>
      <c r="AJ22" s="30">
        <v>0</v>
      </c>
      <c r="AK22" s="30">
        <f t="shared" si="0"/>
        <v>0</v>
      </c>
      <c r="AL22" s="30"/>
      <c r="AM22" s="30"/>
      <c r="AP22" s="30">
        <v>1</v>
      </c>
    </row>
    <row r="23" spans="1:42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/>
      <c r="U23" s="30">
        <f>TRANSICAO!$U$23*CUSTOS!$R$3</f>
        <v>4.2866999999999997</v>
      </c>
      <c r="V23" s="30">
        <f>TRANSICAO!$V$23*CUSTOS!$R$3</f>
        <v>0.97689999999999999</v>
      </c>
      <c r="W23" s="30">
        <f>TRANSICAO!$W$23*CUSTOS!$R$3</f>
        <v>0.78180000000000005</v>
      </c>
      <c r="X23" s="30">
        <f>TRANSICAO!$X$23*CUSTOS!$R$3</f>
        <v>0</v>
      </c>
      <c r="Y23" s="30">
        <f>TRANSICAO!$Y$23*CUSTOS!$R$3</f>
        <v>0</v>
      </c>
      <c r="Z23" s="30">
        <f>TRANSICAO!$Z$23*CUSTOS!$R$3</f>
        <v>0</v>
      </c>
      <c r="AA23" s="30">
        <f>TRANSICAO!$AA$23*CUSTOS!$R$3</f>
        <v>0</v>
      </c>
      <c r="AB23" s="30">
        <f>TRANSICAO!$AB$23*CUSTOS!$R$3</f>
        <v>0</v>
      </c>
      <c r="AC23" s="30">
        <f>TRANSICAO!$AC$23*CUSTOS!$R$3</f>
        <v>15.7379</v>
      </c>
      <c r="AD23" s="30">
        <f>TRANSICAO!$AD$23*CUSTOS!$R$3</f>
        <v>0</v>
      </c>
      <c r="AE23" s="30">
        <v>0</v>
      </c>
      <c r="AF23" s="30">
        <v>0</v>
      </c>
      <c r="AG23" s="30"/>
      <c r="AH23" s="30">
        <v>0</v>
      </c>
      <c r="AI23" s="30">
        <v>0</v>
      </c>
      <c r="AJ23" s="30">
        <v>0</v>
      </c>
      <c r="AK23" s="30">
        <f t="shared" si="0"/>
        <v>0</v>
      </c>
      <c r="AL23" s="30"/>
      <c r="AM23" s="30"/>
      <c r="AP23" s="30">
        <v>1</v>
      </c>
    </row>
    <row r="24" spans="1:42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/>
      <c r="U24" s="30">
        <f>TRANSICAO!$U$24*CUSTOS!$R$3</f>
        <v>4.3155000000000001</v>
      </c>
      <c r="V24" s="30">
        <f>TRANSICAO!$V$24*CUSTOS!$R$3</f>
        <v>0.99590000000000001</v>
      </c>
      <c r="W24" s="30">
        <f>TRANSICAO!$W$24*CUSTOS!$R$3</f>
        <v>0.57889999999999997</v>
      </c>
      <c r="X24" s="30">
        <f>TRANSICAO!$X$24*CUSTOS!$R$3</f>
        <v>0</v>
      </c>
      <c r="Y24" s="30">
        <f>TRANSICAO!$Y$24*CUSTOS!$R$3</f>
        <v>0</v>
      </c>
      <c r="Z24" s="30">
        <f>TRANSICAO!$Z$24*CUSTOS!$R$3</f>
        <v>0</v>
      </c>
      <c r="AA24" s="30">
        <f>TRANSICAO!$AA$24*CUSTOS!$R$3</f>
        <v>0</v>
      </c>
      <c r="AB24" s="30">
        <f>TRANSICAO!$AB$24*CUSTOS!$R$3</f>
        <v>0</v>
      </c>
      <c r="AC24" s="30">
        <f>TRANSICAO!$AC$24*CUSTOS!$R$3</f>
        <v>4.5039999999999996</v>
      </c>
      <c r="AD24" s="30">
        <f>TRANSICAO!$AD$24*CUSTOS!$R$3</f>
        <v>0</v>
      </c>
      <c r="AE24" s="30">
        <v>0</v>
      </c>
      <c r="AF24" s="30">
        <v>0</v>
      </c>
      <c r="AG24" s="30"/>
      <c r="AH24" s="30">
        <v>0</v>
      </c>
      <c r="AI24" s="30">
        <v>0</v>
      </c>
      <c r="AJ24" s="30">
        <v>0</v>
      </c>
      <c r="AK24" s="30">
        <f t="shared" si="0"/>
        <v>0</v>
      </c>
      <c r="AL24" s="30"/>
      <c r="AM24" s="30"/>
      <c r="AP24" s="30">
        <v>1</v>
      </c>
    </row>
    <row r="25" spans="1:42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/>
      <c r="U25" s="30">
        <f>TRANSICAO!$U$25*CUSTOS!$R$3</f>
        <v>0</v>
      </c>
      <c r="V25" s="30">
        <f>TRANSICAO!$V$25*CUSTOS!$R$3</f>
        <v>0</v>
      </c>
      <c r="W25" s="30">
        <f>TRANSICAO!$W$25*CUSTOS!$R$3</f>
        <v>0</v>
      </c>
      <c r="X25" s="30">
        <f>TRANSICAO!$X$25*CUSTOS!$R$3</f>
        <v>0</v>
      </c>
      <c r="Y25" s="30">
        <f>TRANSICAO!$Y$25*CUSTOS!$R$3</f>
        <v>0</v>
      </c>
      <c r="Z25" s="30">
        <f>TRANSICAO!$Z$25*CUSTOS!$R$3</f>
        <v>0</v>
      </c>
      <c r="AA25" s="30">
        <f>TRANSICAO!$AA$25*CUSTOS!$R$3</f>
        <v>0</v>
      </c>
      <c r="AB25" s="30">
        <f>TRANSICAO!$AB$25*CUSTOS!$R$3</f>
        <v>0</v>
      </c>
      <c r="AC25" s="30">
        <f>TRANSICAO!$AC$25*CUSTOS!$R$3</f>
        <v>0</v>
      </c>
      <c r="AD25" s="30">
        <f>TRANSICAO!$AD$25*CUSTOS!$R$3</f>
        <v>0</v>
      </c>
      <c r="AE25" s="30">
        <v>0</v>
      </c>
      <c r="AF25" s="30">
        <v>0</v>
      </c>
      <c r="AG25" s="30"/>
      <c r="AH25" s="30">
        <v>8.8817000000000004</v>
      </c>
      <c r="AI25" s="30">
        <v>8.8817000000000004</v>
      </c>
      <c r="AJ25" s="30">
        <v>0</v>
      </c>
      <c r="AK25" s="30">
        <f t="shared" si="0"/>
        <v>0</v>
      </c>
      <c r="AL25" s="30"/>
      <c r="AM25" s="30"/>
      <c r="AP25" s="30">
        <v>1</v>
      </c>
    </row>
    <row r="26" spans="1:42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/>
      <c r="U26" s="30">
        <f>TRANSICAO!$U$26*CUSTOS!$R$3</f>
        <v>4.2866999999999997</v>
      </c>
      <c r="V26" s="30">
        <f>TRANSICAO!$V$26*CUSTOS!$R$3</f>
        <v>0.97689999999999999</v>
      </c>
      <c r="W26" s="30">
        <f>TRANSICAO!$W$26*CUSTOS!$R$3</f>
        <v>0.78180000000000005</v>
      </c>
      <c r="X26" s="30">
        <f>TRANSICAO!$X$26*CUSTOS!$R$3</f>
        <v>0</v>
      </c>
      <c r="Y26" s="30">
        <f>TRANSICAO!$Y$26*CUSTOS!$R$3</f>
        <v>0</v>
      </c>
      <c r="Z26" s="30">
        <f>TRANSICAO!$Z$26*CUSTOS!$R$3</f>
        <v>0</v>
      </c>
      <c r="AA26" s="30">
        <f>TRANSICAO!$AA$26*CUSTOS!$R$3</f>
        <v>0</v>
      </c>
      <c r="AB26" s="30">
        <f>TRANSICAO!$AB$26*CUSTOS!$R$3</f>
        <v>0</v>
      </c>
      <c r="AC26" s="30">
        <f>TRANSICAO!$AC$26*CUSTOS!$R$3</f>
        <v>15.7379</v>
      </c>
      <c r="AD26" s="30">
        <f>TRANSICAO!$AD$26*CUSTOS!$R$3</f>
        <v>0</v>
      </c>
      <c r="AE26" s="30">
        <v>0</v>
      </c>
      <c r="AF26" s="30">
        <v>0</v>
      </c>
      <c r="AG26" s="30"/>
      <c r="AH26" s="30">
        <v>0</v>
      </c>
      <c r="AI26" s="30">
        <v>0</v>
      </c>
      <c r="AJ26" s="30">
        <v>0</v>
      </c>
      <c r="AK26" s="30">
        <f t="shared" si="0"/>
        <v>0</v>
      </c>
      <c r="AL26" s="30"/>
      <c r="AM26" s="30"/>
      <c r="AP26" s="30">
        <v>1</v>
      </c>
    </row>
    <row r="27" spans="1:42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/>
      <c r="U27" s="30">
        <f>TRANSICAO!$U$27*CUSTOS!$R$3</f>
        <v>4.3155000000000001</v>
      </c>
      <c r="V27" s="30">
        <f>TRANSICAO!$V$27*CUSTOS!$R$3</f>
        <v>0.99590000000000001</v>
      </c>
      <c r="W27" s="30">
        <f>TRANSICAO!$W$27*CUSTOS!$R$3</f>
        <v>0.57889999999999997</v>
      </c>
      <c r="X27" s="30">
        <f>TRANSICAO!$X$27*CUSTOS!$R$3</f>
        <v>0</v>
      </c>
      <c r="Y27" s="30">
        <f>TRANSICAO!$Y$27*CUSTOS!$R$3</f>
        <v>0</v>
      </c>
      <c r="Z27" s="30">
        <f>TRANSICAO!$Z$27*CUSTOS!$R$3</f>
        <v>0</v>
      </c>
      <c r="AA27" s="30">
        <f>TRANSICAO!$AA$27*CUSTOS!$R$3</f>
        <v>0</v>
      </c>
      <c r="AB27" s="30">
        <f>TRANSICAO!$AB$27*CUSTOS!$R$3</f>
        <v>0</v>
      </c>
      <c r="AC27" s="30">
        <f>TRANSICAO!$AC$27*CUSTOS!$R$3</f>
        <v>4.5039999999999996</v>
      </c>
      <c r="AD27" s="30">
        <f>TRANSICAO!$AD$27*CUSTOS!$R$3</f>
        <v>0</v>
      </c>
      <c r="AE27" s="30">
        <v>0</v>
      </c>
      <c r="AF27" s="30">
        <v>0</v>
      </c>
      <c r="AG27" s="30"/>
      <c r="AH27" s="30">
        <v>0</v>
      </c>
      <c r="AI27" s="30">
        <v>0</v>
      </c>
      <c r="AJ27" s="30">
        <v>0</v>
      </c>
      <c r="AK27" s="30">
        <f t="shared" si="0"/>
        <v>0</v>
      </c>
      <c r="AL27" s="30"/>
      <c r="AM27" s="30"/>
      <c r="AP27" s="30">
        <v>1</v>
      </c>
    </row>
    <row r="28" spans="1:42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/>
      <c r="U28" s="30">
        <f>TRANSICAO!$U$28*CUSTOS!$R$3</f>
        <v>0</v>
      </c>
      <c r="V28" s="30">
        <f>TRANSICAO!$V$28*CUSTOS!$R$3</f>
        <v>0</v>
      </c>
      <c r="W28" s="30">
        <f>TRANSICAO!$W$28*CUSTOS!$R$3</f>
        <v>0</v>
      </c>
      <c r="X28" s="30">
        <f>TRANSICAO!$X$28*CUSTOS!$R$3</f>
        <v>0</v>
      </c>
      <c r="Y28" s="30">
        <f>TRANSICAO!$Y$28*CUSTOS!$R$3</f>
        <v>0</v>
      </c>
      <c r="Z28" s="30">
        <f>TRANSICAO!$Z$28*CUSTOS!$R$3</f>
        <v>0</v>
      </c>
      <c r="AA28" s="30">
        <f>TRANSICAO!$AA$28*CUSTOS!$R$3</f>
        <v>0</v>
      </c>
      <c r="AB28" s="30">
        <f>TRANSICAO!$AB$28*CUSTOS!$R$3</f>
        <v>0</v>
      </c>
      <c r="AC28" s="30">
        <f>TRANSICAO!$AC$28*CUSTOS!$R$3</f>
        <v>0</v>
      </c>
      <c r="AD28" s="30">
        <f>TRANSICAO!$AD$28*CUSTOS!$R$3</f>
        <v>0</v>
      </c>
      <c r="AE28" s="30">
        <v>0</v>
      </c>
      <c r="AF28" s="30">
        <v>0</v>
      </c>
      <c r="AG28" s="30"/>
      <c r="AH28" s="30">
        <v>8.8817000000000004</v>
      </c>
      <c r="AI28" s="30">
        <v>8.8817000000000004</v>
      </c>
      <c r="AJ28" s="30">
        <v>0</v>
      </c>
      <c r="AK28" s="30">
        <f t="shared" si="0"/>
        <v>0</v>
      </c>
      <c r="AL28" s="30"/>
      <c r="AM28" s="30"/>
      <c r="AP28" s="30">
        <v>1</v>
      </c>
    </row>
    <row r="29" spans="1:42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>
        <v>0</v>
      </c>
      <c r="M29" s="30">
        <v>3.5400000000000001E-2</v>
      </c>
      <c r="N29" s="30">
        <f>0.0889</f>
        <v>8.8900000000000007E-2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/>
      <c r="U29" s="30">
        <f>TRANSICAO!$U$29*CUSTOS!$R$4</f>
        <v>0</v>
      </c>
      <c r="V29" s="30">
        <f>TRANSICAO!$V$29*CUSTOS!$R$4</f>
        <v>0</v>
      </c>
      <c r="W29" s="30">
        <f>TRANSICAO!$W$29*CUSTOS!$R$4</f>
        <v>0</v>
      </c>
      <c r="X29" s="30">
        <f>TRANSICAO!$X$29*CUSTOS!$R$4</f>
        <v>0</v>
      </c>
      <c r="Y29" s="30">
        <f>TRANSICAO!$Y$29*CUSTOS!$R$4</f>
        <v>0</v>
      </c>
      <c r="Z29" s="30">
        <f>TRANSICAO!$Z$29*CUSTOS!$R$4</f>
        <v>0</v>
      </c>
      <c r="AA29" s="30">
        <f>TRANSICAO!$AA$29*CUSTOS!$R$4</f>
        <v>0</v>
      </c>
      <c r="AB29" s="30">
        <f>TRANSICAO!$AB$29*CUSTOS!$R$4</f>
        <v>0</v>
      </c>
      <c r="AC29" s="30">
        <f>TRANSICAO!$AC$29*CUSTOS!$R$4</f>
        <v>8.8516999999999992</v>
      </c>
      <c r="AD29" s="30">
        <f>TRANSICAO!$AD$29*CUSTOS!$R$4</f>
        <v>0</v>
      </c>
      <c r="AE29" s="30">
        <v>0</v>
      </c>
      <c r="AF29" s="30">
        <v>0</v>
      </c>
      <c r="AG29" s="30"/>
      <c r="AH29" s="30">
        <v>0</v>
      </c>
      <c r="AI29" s="30">
        <v>0</v>
      </c>
      <c r="AJ29" s="30">
        <v>0</v>
      </c>
      <c r="AK29" s="30">
        <f t="shared" si="0"/>
        <v>0</v>
      </c>
      <c r="AL29" s="30"/>
      <c r="AM29" s="30"/>
      <c r="AP29" s="30"/>
    </row>
    <row r="30" spans="1:42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/>
      <c r="U30" s="30">
        <f>TRANSICAO!$U$30*CUSTOS!$R$3</f>
        <v>4.3155000000000001</v>
      </c>
      <c r="V30" s="30">
        <f>TRANSICAO!$V$30*CUSTOS!$R$3</f>
        <v>0.99590000000000001</v>
      </c>
      <c r="W30" s="30">
        <f>TRANSICAO!$W$30*CUSTOS!$R$3</f>
        <v>0.57889999999999997</v>
      </c>
      <c r="X30" s="30">
        <f>TRANSICAO!$X$30*CUSTOS!$R$3</f>
        <v>0</v>
      </c>
      <c r="Y30" s="30">
        <f>TRANSICAO!$Y$30*CUSTOS!$R$3</f>
        <v>0</v>
      </c>
      <c r="Z30" s="30">
        <f>TRANSICAO!$Z$30*CUSTOS!$R$3</f>
        <v>0</v>
      </c>
      <c r="AA30" s="30">
        <f>TRANSICAO!$AA$30*CUSTOS!$R$3</f>
        <v>0</v>
      </c>
      <c r="AB30" s="30">
        <f>TRANSICAO!$AB$30*CUSTOS!$R$3</f>
        <v>0</v>
      </c>
      <c r="AC30" s="30">
        <f>TRANSICAO!$AC$30*CUSTOS!$R$3</f>
        <v>11.5886</v>
      </c>
      <c r="AD30" s="30">
        <f>TRANSICAO!$AD$30*CUSTOS!$R$3</f>
        <v>0</v>
      </c>
      <c r="AE30" s="30">
        <v>0</v>
      </c>
      <c r="AF30" s="30">
        <v>0</v>
      </c>
      <c r="AG30" s="30"/>
      <c r="AH30" s="30">
        <v>0</v>
      </c>
      <c r="AI30" s="30">
        <v>0</v>
      </c>
      <c r="AJ30" s="30">
        <v>0</v>
      </c>
      <c r="AK30" s="30">
        <f t="shared" si="0"/>
        <v>0</v>
      </c>
      <c r="AL30" s="30"/>
      <c r="AM30" s="30"/>
      <c r="AP30" s="30">
        <v>1</v>
      </c>
    </row>
    <row r="31" spans="1:42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>
        <f>0.84</f>
        <v>0.84</v>
      </c>
      <c r="M31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31" s="30">
        <f ca="1">(+M31+O31+R31+U31+V31+W31+X31+Y31+Z31+AA31+AC31+AH31+AI31+AJ31+AK31)*CUSTOS!$M$5</f>
        <v>11.514433588342945</v>
      </c>
      <c r="O31" s="30">
        <v>1</v>
      </c>
      <c r="P31" s="30">
        <v>1</v>
      </c>
      <c r="Q31" s="30">
        <f>0.84</f>
        <v>0.84</v>
      </c>
      <c r="R31" s="30">
        <v>1</v>
      </c>
      <c r="S31" s="30">
        <v>1</v>
      </c>
      <c r="T31" s="30"/>
      <c r="U31" s="30">
        <f>TRANSICAO!$U$31*CUSTOS!$R$3</f>
        <v>103.0964</v>
      </c>
      <c r="V31" s="30">
        <f>TRANSICAO!$V$31*CUSTOS!$R$3</f>
        <v>23.493400000000001</v>
      </c>
      <c r="W31" s="30">
        <f>TRANSICAO!$W$31*CUSTOS!$R$3</f>
        <v>18.8035</v>
      </c>
      <c r="X31" s="30">
        <f>TRANSICAO!$X$31*CUSTOS!$R$3</f>
        <v>0</v>
      </c>
      <c r="Y31" s="30">
        <f>TRANSICAO!$Y$31*CUSTOS!$R$3</f>
        <v>0</v>
      </c>
      <c r="Z31" s="30">
        <f>TRANSICAO!$Z$31*CUSTOS!$R$3</f>
        <v>0</v>
      </c>
      <c r="AA31" s="30">
        <f>TRANSICAO!$AA$31*CUSTOS!$R$3</f>
        <v>0</v>
      </c>
      <c r="AB31" s="30">
        <f>TRANSICAO!$AB$31*CUSTOS!$R$3</f>
        <v>0</v>
      </c>
      <c r="AC31" s="30">
        <f>TRANSICAO!$AC$31*CUSTOS!$R$3</f>
        <v>973.84609999999998</v>
      </c>
      <c r="AD31" s="30">
        <f>TRANSICAO!$AD$31*CUSTOS!$R$3</f>
        <v>0</v>
      </c>
      <c r="AE31" s="30">
        <v>0</v>
      </c>
      <c r="AF31" s="30">
        <v>0</v>
      </c>
      <c r="AG31" s="30"/>
      <c r="AH31" s="30">
        <v>8.8817000000000004</v>
      </c>
      <c r="AI31" s="30">
        <v>8.8817000000000004</v>
      </c>
      <c r="AJ31" s="30">
        <f ca="1">$N$84</f>
        <v>5.8280554600474597</v>
      </c>
      <c r="AK31" s="30">
        <f t="shared" ca="1" si="0"/>
        <v>5.8280554600474597</v>
      </c>
      <c r="AL31" s="30"/>
      <c r="AM31" s="30"/>
      <c r="AP31" s="30">
        <v>1</v>
      </c>
    </row>
    <row r="32" spans="1:42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>
        <f>0.84</f>
        <v>0.84</v>
      </c>
      <c r="M32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32" s="30">
        <f ca="1">(+M32+O32+R32+U32+V32+W32+X32+Y32+Z32+AA32+AC32+AH32+AI32+AJ32+AK32)*CUSTOS!$M$5</f>
        <v>0.32203958834294855</v>
      </c>
      <c r="O32" s="30">
        <v>1</v>
      </c>
      <c r="P32" s="30">
        <v>1</v>
      </c>
      <c r="Q32" s="30">
        <f>0.84</f>
        <v>0.84</v>
      </c>
      <c r="R32" s="30">
        <v>1</v>
      </c>
      <c r="S32" s="30">
        <v>1</v>
      </c>
      <c r="T32" s="30"/>
      <c r="U32" s="30">
        <f>TRANSICAO!$U$32*CUSTOS!$R$3</f>
        <v>0</v>
      </c>
      <c r="V32" s="30">
        <f>TRANSICAO!$V$32*CUSTOS!$R$3</f>
        <v>0</v>
      </c>
      <c r="W32" s="30">
        <f>TRANSICAO!$W$32*CUSTOS!$R$3</f>
        <v>0</v>
      </c>
      <c r="X32" s="30">
        <f>TRANSICAO!$X$32*CUSTOS!$R$3</f>
        <v>0</v>
      </c>
      <c r="Y32" s="30">
        <f>TRANSICAO!$Y$32*CUSTOS!$R$3</f>
        <v>0</v>
      </c>
      <c r="Z32" s="30">
        <f>TRANSICAO!$Z$32*CUSTOS!$R$3</f>
        <v>0</v>
      </c>
      <c r="AA32" s="30">
        <f>TRANSICAO!$AA$32*CUSTOS!$R$3</f>
        <v>0</v>
      </c>
      <c r="AB32" s="30">
        <f>TRANSICAO!$AB$32*CUSTOS!$R$3</f>
        <v>0</v>
      </c>
      <c r="AC32" s="30">
        <f>TRANSICAO!$AC$32*CUSTOS!$R$3</f>
        <v>0</v>
      </c>
      <c r="AD32" s="30">
        <f>TRANSICAO!$AD$32*CUSTOS!$R$3</f>
        <v>0</v>
      </c>
      <c r="AE32" s="30">
        <v>0</v>
      </c>
      <c r="AF32" s="30">
        <v>0</v>
      </c>
      <c r="AG32" s="30"/>
      <c r="AH32" s="30">
        <v>8.8817000000000004</v>
      </c>
      <c r="AI32" s="30">
        <v>8.8817000000000004</v>
      </c>
      <c r="AJ32" s="30">
        <f ca="1">$N$84</f>
        <v>5.8280554600474597</v>
      </c>
      <c r="AK32" s="30">
        <f t="shared" ca="1" si="0"/>
        <v>5.8280554600474597</v>
      </c>
      <c r="AL32" s="30"/>
      <c r="AM32" s="30"/>
      <c r="AP32" s="30">
        <v>1</v>
      </c>
    </row>
    <row r="33" spans="1:42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>
        <v>0</v>
      </c>
      <c r="M33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33" s="30">
        <f ca="1">(+M33+O33+R33+U33+V33+W33+X33+Y33+Z33+AA33+AC33+AH33+AI33+AJ33+AK33)*CUSTOS!$M$5</f>
        <v>11.504433588342945</v>
      </c>
      <c r="O33" s="30">
        <v>1</v>
      </c>
      <c r="P33" s="30">
        <v>0</v>
      </c>
      <c r="Q33" s="30">
        <v>0</v>
      </c>
      <c r="R33" s="30">
        <v>0</v>
      </c>
      <c r="S33" s="30">
        <v>0</v>
      </c>
      <c r="T33" s="30"/>
      <c r="U33" s="30">
        <f>TRANSICAO!$U$33*CUSTOS!$R$3</f>
        <v>103.0964</v>
      </c>
      <c r="V33" s="30">
        <f>TRANSICAO!$V$33*CUSTOS!$R$3</f>
        <v>23.493400000000001</v>
      </c>
      <c r="W33" s="30">
        <f>TRANSICAO!$W$33*CUSTOS!$R$3</f>
        <v>18.8035</v>
      </c>
      <c r="X33" s="30">
        <f>TRANSICAO!$X$33*CUSTOS!$R$3</f>
        <v>0</v>
      </c>
      <c r="Y33" s="30">
        <f>TRANSICAO!$Y$33*CUSTOS!$R$3</f>
        <v>0</v>
      </c>
      <c r="Z33" s="30">
        <f>TRANSICAO!$Z$33*CUSTOS!$R$3</f>
        <v>0</v>
      </c>
      <c r="AA33" s="30">
        <f>TRANSICAO!$AA$33*CUSTOS!$R$3</f>
        <v>0</v>
      </c>
      <c r="AB33" s="30">
        <f>TRANSICAO!$AB$33*CUSTOS!$R$3</f>
        <v>0</v>
      </c>
      <c r="AC33" s="30">
        <f>TRANSICAO!$AC$33*CUSTOS!$R$3</f>
        <v>973.84609999999998</v>
      </c>
      <c r="AD33" s="30">
        <f>TRANSICAO!$AD$33*CUSTOS!$R$3</f>
        <v>0</v>
      </c>
      <c r="AE33" s="30">
        <v>0</v>
      </c>
      <c r="AF33" s="30">
        <v>0</v>
      </c>
      <c r="AG33" s="30"/>
      <c r="AH33" s="30">
        <v>8.8817000000000004</v>
      </c>
      <c r="AI33" s="30">
        <v>8.8817000000000004</v>
      </c>
      <c r="AJ33" s="30">
        <f ca="1">$N$84</f>
        <v>5.8280554600474597</v>
      </c>
      <c r="AK33" s="30">
        <f t="shared" ca="1" si="0"/>
        <v>5.8280554600474597</v>
      </c>
      <c r="AL33" s="30"/>
      <c r="AM33" s="30"/>
      <c r="AP33" s="30">
        <v>1</v>
      </c>
    </row>
    <row r="34" spans="1:42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>
        <v>0</v>
      </c>
      <c r="M34" s="30">
        <f>IF(AND((+$I$15+$I$16+$I$31+$I$32+$I$33+$I$34)&lt;&gt;0,SUMPRODUCT($I$5:$I$71,$AC$5:$AC$71,$AP$5:$AP$71)&lt;&gt;0),$M$76*SUMPRODUCT($I$13:$I$34,$AC$13:$AC$34,$AP$13:$AP$34)/SUMPRODUCT($I$5:$I$71,$AC$5:$AC$71,$AP$5:$AP$71)/(+$I$15+$I$16+$I$31+$I$32+$I$33+$I$34),0)</f>
        <v>0.78444791419993565</v>
      </c>
      <c r="N34" s="30">
        <f ca="1">(+M34+O34+R34+U34+V34+W34+X34+Y34+Z34+AA34+AC34+AH34+AI34+AJ34+AK34)*CUSTOS!$M$5</f>
        <v>0.31203958834294854</v>
      </c>
      <c r="O34" s="30">
        <v>1</v>
      </c>
      <c r="P34" s="30">
        <v>0</v>
      </c>
      <c r="Q34" s="30">
        <v>0</v>
      </c>
      <c r="R34" s="30">
        <v>0</v>
      </c>
      <c r="S34" s="30">
        <v>0</v>
      </c>
      <c r="T34" s="30"/>
      <c r="U34" s="30">
        <f>TRANSICAO!$U$34*CUSTOS!$R$3</f>
        <v>0</v>
      </c>
      <c r="V34" s="30">
        <f>TRANSICAO!$V$34*CUSTOS!$R$3</f>
        <v>0</v>
      </c>
      <c r="W34" s="30">
        <f>TRANSICAO!$W$34*CUSTOS!$R$3</f>
        <v>0</v>
      </c>
      <c r="X34" s="30">
        <f>TRANSICAO!$X$34*CUSTOS!$R$3</f>
        <v>0</v>
      </c>
      <c r="Y34" s="30">
        <f>TRANSICAO!$Y$34*CUSTOS!$R$3</f>
        <v>0</v>
      </c>
      <c r="Z34" s="30">
        <f>TRANSICAO!$Z$34*CUSTOS!$R$3</f>
        <v>0</v>
      </c>
      <c r="AA34" s="30">
        <f>TRANSICAO!$AA$34*CUSTOS!$R$3</f>
        <v>0</v>
      </c>
      <c r="AB34" s="30">
        <f>TRANSICAO!$AB$34*CUSTOS!$R$3</f>
        <v>0</v>
      </c>
      <c r="AC34" s="30">
        <f>TRANSICAO!$AC$34*CUSTOS!$R$3</f>
        <v>0</v>
      </c>
      <c r="AD34" s="30">
        <f>TRANSICAO!$AD$34*CUSTOS!$R$3</f>
        <v>0</v>
      </c>
      <c r="AE34" s="30">
        <v>0</v>
      </c>
      <c r="AF34" s="30">
        <v>0</v>
      </c>
      <c r="AG34" s="30"/>
      <c r="AH34" s="30">
        <v>8.8817000000000004</v>
      </c>
      <c r="AI34" s="30">
        <v>8.8817000000000004</v>
      </c>
      <c r="AJ34" s="30">
        <f ca="1">$N$84</f>
        <v>5.8280554600474597</v>
      </c>
      <c r="AK34" s="30">
        <f t="shared" ca="1" si="0"/>
        <v>5.8280554600474597</v>
      </c>
      <c r="AL34" s="30"/>
      <c r="AM34" s="30"/>
      <c r="AP34" s="30">
        <v>1</v>
      </c>
    </row>
    <row r="35" spans="1:42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>
        <v>0</v>
      </c>
      <c r="M35" s="30">
        <v>1.7299999999999999E-2</v>
      </c>
      <c r="N35" s="30">
        <f>0.0435</f>
        <v>4.3499999999999997E-2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/>
      <c r="U35" s="30">
        <f>TRANSICAO!$U$35*CUSTOS!$T$4</f>
        <v>0</v>
      </c>
      <c r="V35" s="30">
        <f>TRANSICAO!$V$35*CUSTOS!$T$4</f>
        <v>0</v>
      </c>
      <c r="W35" s="30">
        <f>TRANSICAO!$W$35*CUSTOS!$T$4</f>
        <v>0</v>
      </c>
      <c r="X35" s="30">
        <f>TRANSICAO!$X$35*CUSTOS!$T$4</f>
        <v>0</v>
      </c>
      <c r="Y35" s="30">
        <f>TRANSICAO!$Y$35*CUSTOS!$T$4</f>
        <v>0</v>
      </c>
      <c r="Z35" s="30">
        <f>TRANSICAO!$Z$35*CUSTOS!$T$4</f>
        <v>0</v>
      </c>
      <c r="AA35" s="30">
        <f>TRANSICAO!$AA$35*CUSTOS!$T$4</f>
        <v>0</v>
      </c>
      <c r="AB35" s="30">
        <f>TRANSICAO!$AB$35*CUSTOS!$T$4</f>
        <v>0</v>
      </c>
      <c r="AC35" s="30">
        <f>TRANSICAO!$AC$35*CUSTOS!$T$4</f>
        <v>4.3373999999999997</v>
      </c>
      <c r="AD35" s="30">
        <f>TRANSICAO!$AD$35*CUSTOS!$T$4</f>
        <v>0</v>
      </c>
      <c r="AE35" s="30">
        <v>0</v>
      </c>
      <c r="AF35" s="30">
        <v>0</v>
      </c>
      <c r="AG35" s="30"/>
      <c r="AH35" s="30">
        <v>0</v>
      </c>
      <c r="AI35" s="30">
        <v>0</v>
      </c>
      <c r="AJ35" s="30">
        <v>0</v>
      </c>
      <c r="AK35" s="30">
        <f t="shared" si="0"/>
        <v>0</v>
      </c>
      <c r="AL35" s="30"/>
      <c r="AM35" s="30"/>
      <c r="AP35" s="30"/>
    </row>
    <row r="36" spans="1:42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>
        <v>0</v>
      </c>
      <c r="M36" s="30">
        <v>1.7299999999999999E-2</v>
      </c>
      <c r="N36" s="30">
        <f>0.0435</f>
        <v>4.3499999999999997E-2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/>
      <c r="U36" s="30">
        <f>TRANSICAO!$U$36*CUSTOS!$T$4</f>
        <v>0</v>
      </c>
      <c r="V36" s="30">
        <f>TRANSICAO!$V$36*CUSTOS!$T$4</f>
        <v>0</v>
      </c>
      <c r="W36" s="30">
        <f>TRANSICAO!$W$36*CUSTOS!$T$4</f>
        <v>0</v>
      </c>
      <c r="X36" s="30">
        <f>TRANSICAO!$X$36*CUSTOS!$T$4</f>
        <v>0</v>
      </c>
      <c r="Y36" s="30">
        <f>TRANSICAO!$Y$36*CUSTOS!$T$4</f>
        <v>0</v>
      </c>
      <c r="Z36" s="30">
        <f>TRANSICAO!$Z$36*CUSTOS!$T$4</f>
        <v>0</v>
      </c>
      <c r="AA36" s="30">
        <f>TRANSICAO!$AA$36*CUSTOS!$T$4</f>
        <v>0</v>
      </c>
      <c r="AB36" s="30">
        <f>TRANSICAO!$AB$36*CUSTOS!$T$4</f>
        <v>0</v>
      </c>
      <c r="AC36" s="30">
        <f>TRANSICAO!$AC$36*CUSTOS!$T$4</f>
        <v>13.098100000000001</v>
      </c>
      <c r="AD36" s="30">
        <f>TRANSICAO!$AD$36*CUSTOS!$T$4</f>
        <v>0</v>
      </c>
      <c r="AE36" s="30">
        <v>0</v>
      </c>
      <c r="AF36" s="30">
        <v>0</v>
      </c>
      <c r="AG36" s="30"/>
      <c r="AH36" s="30">
        <v>0</v>
      </c>
      <c r="AI36" s="30">
        <v>0</v>
      </c>
      <c r="AJ36" s="30">
        <v>0</v>
      </c>
      <c r="AK36" s="30">
        <f t="shared" si="0"/>
        <v>0</v>
      </c>
      <c r="AL36" s="30"/>
      <c r="AM36" s="30"/>
      <c r="AP36" s="30"/>
    </row>
    <row r="37" spans="1:42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>
        <f>1</f>
        <v>1</v>
      </c>
      <c r="M37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1.1991797034060969</v>
      </c>
      <c r="N37" s="30">
        <f ca="1">(+M37+O37+R37+U37+V37+W37+X37+Y37+Z37+AA37+AC37+AH37+AI37+AJ37+AK37)*CUSTOS!$M$5</f>
        <v>6.7187960841276162</v>
      </c>
      <c r="O37" s="30">
        <v>1</v>
      </c>
      <c r="P37" s="30">
        <v>1</v>
      </c>
      <c r="Q37" s="30">
        <f>1</f>
        <v>1</v>
      </c>
      <c r="R37" s="30">
        <v>1</v>
      </c>
      <c r="S37" s="30">
        <v>1</v>
      </c>
      <c r="T37" s="30"/>
      <c r="U37" s="30">
        <f>TRANSICAO!$U$37*CUSTOS!$T$3</f>
        <v>52.292099999999998</v>
      </c>
      <c r="V37" s="30">
        <f>TRANSICAO!$V$37*CUSTOS!$T$3</f>
        <v>12.2172</v>
      </c>
      <c r="W37" s="30">
        <f>TRANSICAO!$W$37*CUSTOS!$T$3</f>
        <v>8.7149000000000001</v>
      </c>
      <c r="X37" s="30">
        <f>TRANSICAO!$X$37*CUSTOS!$T$3</f>
        <v>0</v>
      </c>
      <c r="Y37" s="30">
        <f>TRANSICAO!$Y$37*CUSTOS!$T$3</f>
        <v>0</v>
      </c>
      <c r="Z37" s="30">
        <f>TRANSICAO!$Z$37*CUSTOS!$T$3</f>
        <v>0</v>
      </c>
      <c r="AA37" s="30">
        <f>TRANSICAO!$AA$37*CUSTOS!$T$3</f>
        <v>0</v>
      </c>
      <c r="AB37" s="30">
        <f>TRANSICAO!$AB$37*CUSTOS!$T$3</f>
        <v>0</v>
      </c>
      <c r="AC37" s="30">
        <f>TRANSICAO!$AC$37*CUSTOS!$T$3</f>
        <v>535.29290000000003</v>
      </c>
      <c r="AD37" s="30">
        <f>TRANSICAO!$AD$37*CUSTOS!$T$3</f>
        <v>0</v>
      </c>
      <c r="AE37" s="30">
        <v>0</v>
      </c>
      <c r="AF37" s="30">
        <v>0</v>
      </c>
      <c r="AG37" s="30"/>
      <c r="AH37" s="30">
        <v>22.3018</v>
      </c>
      <c r="AI37" s="30">
        <v>22.3018</v>
      </c>
      <c r="AJ37" s="30">
        <f ca="1">$N$85</f>
        <v>7.7798643546777457</v>
      </c>
      <c r="AK37" s="30">
        <f t="shared" ref="AK37:AK68" ca="1" si="1">AJ37</f>
        <v>7.7798643546777457</v>
      </c>
      <c r="AL37" s="30"/>
      <c r="AM37" s="30"/>
      <c r="AP37" s="30">
        <v>1</v>
      </c>
    </row>
    <row r="38" spans="1:42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>
        <f>1</f>
        <v>1</v>
      </c>
      <c r="M38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1.1991797034060969</v>
      </c>
      <c r="N38" s="30">
        <f ca="1">(+M38+O38+R38+U38+V38+W38+X38+Y38+Z38+AA38+AC38+AH38+AI38+AJ38+AK38)*CUSTOS!$M$5</f>
        <v>4.2847290841276156</v>
      </c>
      <c r="O38" s="30">
        <v>1</v>
      </c>
      <c r="P38" s="30">
        <v>1</v>
      </c>
      <c r="Q38" s="30">
        <f>1</f>
        <v>1</v>
      </c>
      <c r="R38" s="30">
        <v>1</v>
      </c>
      <c r="S38" s="30">
        <v>1</v>
      </c>
      <c r="T38" s="30"/>
      <c r="U38" s="30">
        <f>TRANSICAO!$U$38*CUSTOS!$T$3</f>
        <v>31.375299999999999</v>
      </c>
      <c r="V38" s="30">
        <f>TRANSICAO!$V$38*CUSTOS!$T$3</f>
        <v>7.3303000000000003</v>
      </c>
      <c r="W38" s="30">
        <f>TRANSICAO!$W$38*CUSTOS!$T$3</f>
        <v>5.2290000000000001</v>
      </c>
      <c r="X38" s="30">
        <f>TRANSICAO!$X$38*CUSTOS!$T$3</f>
        <v>0</v>
      </c>
      <c r="Y38" s="30">
        <f>TRANSICAO!$Y$38*CUSTOS!$T$3</f>
        <v>0</v>
      </c>
      <c r="Z38" s="30">
        <f>TRANSICAO!$Z$38*CUSTOS!$T$3</f>
        <v>0</v>
      </c>
      <c r="AA38" s="30">
        <f>TRANSICAO!$AA$38*CUSTOS!$T$3</f>
        <v>0</v>
      </c>
      <c r="AB38" s="30">
        <f>TRANSICAO!$AB$38*CUSTOS!$T$3</f>
        <v>0</v>
      </c>
      <c r="AC38" s="30">
        <f>TRANSICAO!$AC$38*CUSTOS!$T$3</f>
        <v>321.17579999999998</v>
      </c>
      <c r="AD38" s="30">
        <f>TRANSICAO!$AD$38*CUSTOS!$T$3</f>
        <v>0</v>
      </c>
      <c r="AE38" s="30">
        <v>0</v>
      </c>
      <c r="AF38" s="30">
        <v>0</v>
      </c>
      <c r="AG38" s="30"/>
      <c r="AH38" s="30">
        <v>22.3018</v>
      </c>
      <c r="AI38" s="30">
        <v>22.3018</v>
      </c>
      <c r="AJ38" s="30">
        <f ca="1">$N$85</f>
        <v>7.7798643546777457</v>
      </c>
      <c r="AK38" s="30">
        <f t="shared" ca="1" si="1"/>
        <v>7.7798643546777457</v>
      </c>
      <c r="AL38" s="30"/>
      <c r="AM38" s="30"/>
      <c r="AP38" s="30">
        <v>1</v>
      </c>
    </row>
    <row r="39" spans="1:42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>
        <f>1</f>
        <v>1</v>
      </c>
      <c r="M39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1.1991797034060969</v>
      </c>
      <c r="N39" s="30">
        <f ca="1">(+M39+O39+R39+U39+V39+W39+X39+Y39+Z39+AA39+AC39+AH39+AI39+AJ39+AK39)*CUSTOS!$M$5</f>
        <v>1.8506590841276158</v>
      </c>
      <c r="O39" s="30">
        <v>1</v>
      </c>
      <c r="P39" s="30">
        <v>1</v>
      </c>
      <c r="Q39" s="30">
        <f>1</f>
        <v>1</v>
      </c>
      <c r="R39" s="30">
        <v>1</v>
      </c>
      <c r="S39" s="30">
        <v>1</v>
      </c>
      <c r="T39" s="30"/>
      <c r="U39" s="30">
        <f>TRANSICAO!$U$39*CUSTOS!$T$3</f>
        <v>10.458399999999999</v>
      </c>
      <c r="V39" s="30">
        <f>TRANSICAO!$V$39*CUSTOS!$T$3</f>
        <v>2.4434</v>
      </c>
      <c r="W39" s="30">
        <f>TRANSICAO!$W$39*CUSTOS!$T$3</f>
        <v>1.7430000000000001</v>
      </c>
      <c r="X39" s="30">
        <f>TRANSICAO!$X$39*CUSTOS!$T$3</f>
        <v>0</v>
      </c>
      <c r="Y39" s="30">
        <f>TRANSICAO!$Y$39*CUSTOS!$T$3</f>
        <v>0</v>
      </c>
      <c r="Z39" s="30">
        <f>TRANSICAO!$Z$39*CUSTOS!$T$3</f>
        <v>0</v>
      </c>
      <c r="AA39" s="30">
        <f>TRANSICAO!$AA$39*CUSTOS!$T$3</f>
        <v>0</v>
      </c>
      <c r="AB39" s="30">
        <f>TRANSICAO!$AB$39*CUSTOS!$T$3</f>
        <v>0</v>
      </c>
      <c r="AC39" s="30">
        <f>TRANSICAO!$AC$39*CUSTOS!$T$3</f>
        <v>107.0586</v>
      </c>
      <c r="AD39" s="30">
        <f>TRANSICAO!$AD$39*CUSTOS!$T$3</f>
        <v>0</v>
      </c>
      <c r="AE39" s="30">
        <v>0</v>
      </c>
      <c r="AF39" s="30">
        <v>0</v>
      </c>
      <c r="AG39" s="30"/>
      <c r="AH39" s="30">
        <v>22.3018</v>
      </c>
      <c r="AI39" s="30">
        <v>22.3018</v>
      </c>
      <c r="AJ39" s="30">
        <f ca="1">$N$85</f>
        <v>7.7798643546777457</v>
      </c>
      <c r="AK39" s="30">
        <f t="shared" ca="1" si="1"/>
        <v>7.7798643546777457</v>
      </c>
      <c r="AL39" s="30"/>
      <c r="AM39" s="30"/>
      <c r="AP39" s="30">
        <v>1</v>
      </c>
    </row>
    <row r="40" spans="1:42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>
        <f>1</f>
        <v>1</v>
      </c>
      <c r="M40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1.1991797034060969</v>
      </c>
      <c r="N40" s="30">
        <f ca="1">(+M40+O40+R40+U40+V40+W40+X40+Y40+Z40+AA40+AC40+AH40+AI40+AJ40+AK40)*CUSTOS!$M$5</f>
        <v>2.6620160841276159</v>
      </c>
      <c r="O40" s="30">
        <v>1</v>
      </c>
      <c r="P40" s="30">
        <v>1</v>
      </c>
      <c r="Q40" s="30">
        <f>1</f>
        <v>1</v>
      </c>
      <c r="R40" s="30">
        <v>1</v>
      </c>
      <c r="S40" s="30">
        <v>1</v>
      </c>
      <c r="T40" s="30"/>
      <c r="U40" s="30">
        <f>TRANSICAO!$U$40*CUSTOS!$T$3</f>
        <v>17.430700000000002</v>
      </c>
      <c r="V40" s="30">
        <f>TRANSICAO!$V$40*CUSTOS!$T$3</f>
        <v>4.0724</v>
      </c>
      <c r="W40" s="30">
        <f>TRANSICAO!$W$40*CUSTOS!$T$3</f>
        <v>2.9049999999999998</v>
      </c>
      <c r="X40" s="30">
        <f>TRANSICAO!$X$40*CUSTOS!$T$3</f>
        <v>0</v>
      </c>
      <c r="Y40" s="30">
        <f>TRANSICAO!$Y$40*CUSTOS!$T$3</f>
        <v>0</v>
      </c>
      <c r="Z40" s="30">
        <f>TRANSICAO!$Z$40*CUSTOS!$T$3</f>
        <v>0</v>
      </c>
      <c r="AA40" s="30">
        <f>TRANSICAO!$AA$40*CUSTOS!$T$3</f>
        <v>0</v>
      </c>
      <c r="AB40" s="30">
        <f>TRANSICAO!$AB$40*CUSTOS!$T$3</f>
        <v>0</v>
      </c>
      <c r="AC40" s="30">
        <f>TRANSICAO!$AC$40*CUSTOS!$T$3</f>
        <v>178.43100000000001</v>
      </c>
      <c r="AD40" s="30">
        <f>TRANSICAO!$AD$40*CUSTOS!$T$3</f>
        <v>0</v>
      </c>
      <c r="AE40" s="30">
        <v>0</v>
      </c>
      <c r="AF40" s="30">
        <v>0</v>
      </c>
      <c r="AG40" s="30"/>
      <c r="AH40" s="30">
        <v>22.3018</v>
      </c>
      <c r="AI40" s="30">
        <v>22.3018</v>
      </c>
      <c r="AJ40" s="30">
        <f ca="1">$N$85</f>
        <v>7.7798643546777457</v>
      </c>
      <c r="AK40" s="30">
        <f t="shared" ca="1" si="1"/>
        <v>7.7798643546777457</v>
      </c>
      <c r="AL40" s="30"/>
      <c r="AM40" s="30"/>
      <c r="AP40" s="30">
        <v>1</v>
      </c>
    </row>
    <row r="41" spans="1:42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>
        <v>0</v>
      </c>
      <c r="M41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CUSTOS!$M$24)</f>
        <v>1.1991797034060969</v>
      </c>
      <c r="N41" s="30">
        <f ca="1">(+M41+O41+R41+U41+V41+W41+X41+Y41+Z41+AA41+AC41+AH41+AI41+AJ41+AK41)*CUSTOS!$M$5</f>
        <v>2.6520160841276157</v>
      </c>
      <c r="O41" s="30">
        <f>1 - CUSTOS!$M$24</f>
        <v>1</v>
      </c>
      <c r="P41" s="30">
        <v>0</v>
      </c>
      <c r="Q41" s="30">
        <v>0</v>
      </c>
      <c r="R41" s="30">
        <v>0</v>
      </c>
      <c r="S41" s="30">
        <f>1 - CUSTOS!$M$24</f>
        <v>1</v>
      </c>
      <c r="T41" s="30"/>
      <c r="U41" s="30">
        <f>TRANSICAO!$U$41*CUSTOS!$T$3</f>
        <v>17.430700000000002</v>
      </c>
      <c r="V41" s="30">
        <f>TRANSICAO!$V$41*CUSTOS!$T$3</f>
        <v>4.0724</v>
      </c>
      <c r="W41" s="30">
        <f>TRANSICAO!$W$41*CUSTOS!$T$3</f>
        <v>2.9049999999999998</v>
      </c>
      <c r="X41" s="30">
        <f>TRANSICAO!$X$41*CUSTOS!$T$3</f>
        <v>0</v>
      </c>
      <c r="Y41" s="30">
        <f>TRANSICAO!$Y$41*CUSTOS!$T$3</f>
        <v>0</v>
      </c>
      <c r="Z41" s="30">
        <f>TRANSICAO!$Z$41*CUSTOS!$T$3</f>
        <v>0</v>
      </c>
      <c r="AA41" s="30">
        <f>TRANSICAO!$AA$41*CUSTOS!$T$3</f>
        <v>0</v>
      </c>
      <c r="AB41" s="30">
        <f>TRANSICAO!$AB$41*CUSTOS!$T$3</f>
        <v>0</v>
      </c>
      <c r="AC41" s="30">
        <f>TRANSICAO!$AC$41*CUSTOS!$T$3</f>
        <v>178.43100000000001</v>
      </c>
      <c r="AD41" s="30">
        <f>TRANSICAO!$AD$41*CUSTOS!$T$3</f>
        <v>0</v>
      </c>
      <c r="AE41" s="30">
        <v>0</v>
      </c>
      <c r="AF41" s="30">
        <v>0</v>
      </c>
      <c r="AG41" s="30"/>
      <c r="AH41" s="30">
        <f>(1 - CUSTOS!$M$24)*22.3018</f>
        <v>22.3018</v>
      </c>
      <c r="AI41" s="30">
        <f>(1 - CUSTOS!$M$24)*22.3018</f>
        <v>22.3018</v>
      </c>
      <c r="AJ41" s="30">
        <f ca="1">$N$85*(1-CUSTOS!$M$24)</f>
        <v>7.7798643546777457</v>
      </c>
      <c r="AK41" s="30">
        <f t="shared" ca="1" si="1"/>
        <v>7.7798643546777457</v>
      </c>
      <c r="AL41" s="30"/>
      <c r="AM41" s="30"/>
      <c r="AP41" s="30">
        <f>IF((1 - CUSTOS!$M$24)&lt;&gt;0,1/(1 - CUSTOS!$M$24),1)</f>
        <v>1</v>
      </c>
    </row>
    <row r="42" spans="1:42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>
        <v>0</v>
      </c>
      <c r="M42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CUSTOS!$M$25)</f>
        <v>1.1991797034060969</v>
      </c>
      <c r="N42" s="30">
        <f ca="1">(+M42+O42+R42+U42+V42+W42+X42+Y42+Z42+AA42+AC42+AH42+AI42+AJ42+AK42)*CUSTOS!$M$5</f>
        <v>2.6520160841276157</v>
      </c>
      <c r="O42" s="30">
        <f>1 - CUSTOS!$M$25</f>
        <v>1</v>
      </c>
      <c r="P42" s="30">
        <v>0</v>
      </c>
      <c r="Q42" s="30">
        <v>0</v>
      </c>
      <c r="R42" s="30">
        <v>0</v>
      </c>
      <c r="S42" s="30">
        <f>1 - CUSTOS!$M$25</f>
        <v>1</v>
      </c>
      <c r="T42" s="30"/>
      <c r="U42" s="30">
        <f>TRANSICAO!$U$42*CUSTOS!$T$3</f>
        <v>17.430700000000002</v>
      </c>
      <c r="V42" s="30">
        <f>TRANSICAO!$V$42*CUSTOS!$T$3</f>
        <v>4.0724</v>
      </c>
      <c r="W42" s="30">
        <f>TRANSICAO!$W$42*CUSTOS!$T$3</f>
        <v>2.9049999999999998</v>
      </c>
      <c r="X42" s="30">
        <f>TRANSICAO!$X$42*CUSTOS!$T$3</f>
        <v>0</v>
      </c>
      <c r="Y42" s="30">
        <f>TRANSICAO!$Y$42*CUSTOS!$T$3</f>
        <v>0</v>
      </c>
      <c r="Z42" s="30">
        <f>TRANSICAO!$Z$42*CUSTOS!$T$3</f>
        <v>0</v>
      </c>
      <c r="AA42" s="30">
        <f>TRANSICAO!$AA$42*CUSTOS!$T$3</f>
        <v>0</v>
      </c>
      <c r="AB42" s="30">
        <f>TRANSICAO!$AB$42*CUSTOS!$T$3</f>
        <v>0</v>
      </c>
      <c r="AC42" s="30">
        <f>TRANSICAO!$AC$42*CUSTOS!$T$3</f>
        <v>178.43100000000001</v>
      </c>
      <c r="AD42" s="30">
        <f>TRANSICAO!$AD$42*CUSTOS!$T$3</f>
        <v>0</v>
      </c>
      <c r="AE42" s="30">
        <v>0</v>
      </c>
      <c r="AF42" s="30">
        <v>0</v>
      </c>
      <c r="AG42" s="30"/>
      <c r="AH42" s="30">
        <f>(1 - CUSTOS!$M$25)*22.3018</f>
        <v>22.3018</v>
      </c>
      <c r="AI42" s="30">
        <f>(1 - CUSTOS!$M$25)*22.3018</f>
        <v>22.3018</v>
      </c>
      <c r="AJ42" s="30">
        <f ca="1">$N$85*(1-CUSTOS!$M$25)</f>
        <v>7.7798643546777457</v>
      </c>
      <c r="AK42" s="30">
        <f t="shared" ca="1" si="1"/>
        <v>7.7798643546777457</v>
      </c>
      <c r="AL42" s="30"/>
      <c r="AM42" s="30"/>
      <c r="AP42" s="30">
        <f>IF((1 - CUSTOS!$M$25)&lt;&gt;0,1/(1 - CUSTOS!$M$25),1)</f>
        <v>1</v>
      </c>
    </row>
    <row r="43" spans="1:42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>
        <v>0</v>
      </c>
      <c r="M43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CUSTOS!$M$26)</f>
        <v>1.1991797034060969</v>
      </c>
      <c r="N43" s="30">
        <f ca="1">(+M43+O43+R43+U43+V43+W43+X43+Y43+Z43+AA43+AC43+AH43+AI43+AJ43+AK43)*CUSTOS!$M$5</f>
        <v>2.6520160841276157</v>
      </c>
      <c r="O43" s="30">
        <f>1 - CUSTOS!$M$26</f>
        <v>1</v>
      </c>
      <c r="P43" s="30">
        <v>0</v>
      </c>
      <c r="Q43" s="30">
        <v>0</v>
      </c>
      <c r="R43" s="30">
        <v>0</v>
      </c>
      <c r="S43" s="30">
        <f>1 - CUSTOS!$M$26</f>
        <v>1</v>
      </c>
      <c r="T43" s="30"/>
      <c r="U43" s="30">
        <f>TRANSICAO!$U$43*CUSTOS!$T$3</f>
        <v>17.430700000000002</v>
      </c>
      <c r="V43" s="30">
        <f>TRANSICAO!$V$43*CUSTOS!$T$3</f>
        <v>4.0724</v>
      </c>
      <c r="W43" s="30">
        <f>TRANSICAO!$W$43*CUSTOS!$T$3</f>
        <v>2.9049999999999998</v>
      </c>
      <c r="X43" s="30">
        <f>TRANSICAO!$X$43*CUSTOS!$T$3</f>
        <v>0</v>
      </c>
      <c r="Y43" s="30">
        <f>TRANSICAO!$Y$43*CUSTOS!$T$3</f>
        <v>0</v>
      </c>
      <c r="Z43" s="30">
        <f>TRANSICAO!$Z$43*CUSTOS!$T$3</f>
        <v>0</v>
      </c>
      <c r="AA43" s="30">
        <f>TRANSICAO!$AA$43*CUSTOS!$T$3</f>
        <v>0</v>
      </c>
      <c r="AB43" s="30">
        <f>TRANSICAO!$AB$43*CUSTOS!$T$3</f>
        <v>0</v>
      </c>
      <c r="AC43" s="30">
        <f>TRANSICAO!$AC$43*CUSTOS!$T$3</f>
        <v>178.43100000000001</v>
      </c>
      <c r="AD43" s="30">
        <f>TRANSICAO!$AD$43*CUSTOS!$T$3</f>
        <v>0</v>
      </c>
      <c r="AE43" s="30">
        <v>0</v>
      </c>
      <c r="AF43" s="30">
        <v>0</v>
      </c>
      <c r="AG43" s="30"/>
      <c r="AH43" s="30">
        <f>(1 - CUSTOS!$M$26)*22.3018</f>
        <v>22.3018</v>
      </c>
      <c r="AI43" s="30">
        <f>(1 - CUSTOS!$M$26)*22.3018</f>
        <v>22.3018</v>
      </c>
      <c r="AJ43" s="30">
        <f ca="1">$N$85*(1-CUSTOS!$M$26)</f>
        <v>7.7798643546777457</v>
      </c>
      <c r="AK43" s="30">
        <f t="shared" ca="1" si="1"/>
        <v>7.7798643546777457</v>
      </c>
      <c r="AL43" s="30"/>
      <c r="AM43" s="30"/>
      <c r="AP43" s="30">
        <f>IF((1 - CUSTOS!$M$26)&lt;&gt;0,1/(1 - CUSTOS!$M$26),1)</f>
        <v>1</v>
      </c>
    </row>
    <row r="44" spans="1:42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>
        <v>0</v>
      </c>
      <c r="M44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CUSTOS!$M$27)</f>
        <v>1.1991797034060969</v>
      </c>
      <c r="N44" s="30">
        <f ca="1">(+M44+O44+R44+U44+V44+W44+X44+Y44+Z44+AA44+AC44+AH44+AI44+AJ44+AK44)*CUSTOS!$M$5</f>
        <v>2.6520160841276157</v>
      </c>
      <c r="O44" s="30">
        <f>1 - CUSTOS!$M$27</f>
        <v>1</v>
      </c>
      <c r="P44" s="30">
        <v>0</v>
      </c>
      <c r="Q44" s="30">
        <v>0</v>
      </c>
      <c r="R44" s="30">
        <v>0</v>
      </c>
      <c r="S44" s="30">
        <f>1 - CUSTOS!$M$27</f>
        <v>1</v>
      </c>
      <c r="T44" s="30"/>
      <c r="U44" s="30">
        <f>TRANSICAO!$U$44*CUSTOS!$T$3</f>
        <v>17.430700000000002</v>
      </c>
      <c r="V44" s="30">
        <f>TRANSICAO!$V$44*CUSTOS!$T$3</f>
        <v>4.0724</v>
      </c>
      <c r="W44" s="30">
        <f>TRANSICAO!$W$44*CUSTOS!$T$3</f>
        <v>2.9049999999999998</v>
      </c>
      <c r="X44" s="30">
        <f>TRANSICAO!$X$44*CUSTOS!$T$3</f>
        <v>0</v>
      </c>
      <c r="Y44" s="30">
        <f>TRANSICAO!$Y$44*CUSTOS!$T$3</f>
        <v>0</v>
      </c>
      <c r="Z44" s="30">
        <f>TRANSICAO!$Z$44*CUSTOS!$T$3</f>
        <v>0</v>
      </c>
      <c r="AA44" s="30">
        <f>TRANSICAO!$AA$44*CUSTOS!$T$3</f>
        <v>0</v>
      </c>
      <c r="AB44" s="30">
        <f>TRANSICAO!$AB$44*CUSTOS!$T$3</f>
        <v>0</v>
      </c>
      <c r="AC44" s="30">
        <f>TRANSICAO!$AC$44*CUSTOS!$T$3</f>
        <v>178.43100000000001</v>
      </c>
      <c r="AD44" s="30">
        <f>TRANSICAO!$AD$44*CUSTOS!$T$3</f>
        <v>0</v>
      </c>
      <c r="AE44" s="30">
        <v>0</v>
      </c>
      <c r="AF44" s="30">
        <v>0</v>
      </c>
      <c r="AG44" s="30"/>
      <c r="AH44" s="30">
        <f>(1 - CUSTOS!$M$27)*22.3018</f>
        <v>22.3018</v>
      </c>
      <c r="AI44" s="30">
        <f>(1 - CUSTOS!$M$27)*22.3018</f>
        <v>22.3018</v>
      </c>
      <c r="AJ44" s="30">
        <f ca="1">$N$85*(1-CUSTOS!$M$27)</f>
        <v>7.7798643546777457</v>
      </c>
      <c r="AK44" s="30">
        <f t="shared" ca="1" si="1"/>
        <v>7.7798643546777457</v>
      </c>
      <c r="AL44" s="30"/>
      <c r="AM44" s="30"/>
      <c r="AP44" s="30">
        <f>IF((1 - CUSTOS!$M$27)&lt;&gt;0,1/(1 - CUSTOS!$M$27),1)</f>
        <v>1</v>
      </c>
    </row>
    <row r="45" spans="1:42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>
        <f>1</f>
        <v>1</v>
      </c>
      <c r="M45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1.1991797034060969</v>
      </c>
      <c r="N45" s="30">
        <f ca="1">(+M45+O45+R45+U45+V45+W45+X45+Y45+Z45+AA45+AC45+AH45+AI45+AJ45+AK45)*CUSTOS!$M$5</f>
        <v>2.6620160841276159</v>
      </c>
      <c r="O45" s="30">
        <v>1</v>
      </c>
      <c r="P45" s="30">
        <v>1</v>
      </c>
      <c r="Q45" s="30">
        <f>1</f>
        <v>1</v>
      </c>
      <c r="R45" s="30">
        <v>1</v>
      </c>
      <c r="S45" s="30">
        <v>1</v>
      </c>
      <c r="T45" s="30"/>
      <c r="U45" s="30">
        <f>TRANSICAO!$U$45*CUSTOS!$T$3</f>
        <v>17.430700000000002</v>
      </c>
      <c r="V45" s="30">
        <f>TRANSICAO!$V$45*CUSTOS!$T$3</f>
        <v>4.0724</v>
      </c>
      <c r="W45" s="30">
        <f>TRANSICAO!$W$45*CUSTOS!$T$3</f>
        <v>2.9049999999999998</v>
      </c>
      <c r="X45" s="30">
        <f>TRANSICAO!$X$45*CUSTOS!$T$3</f>
        <v>0</v>
      </c>
      <c r="Y45" s="30">
        <f>TRANSICAO!$Y$45*CUSTOS!$T$3</f>
        <v>0</v>
      </c>
      <c r="Z45" s="30">
        <f>TRANSICAO!$Z$45*CUSTOS!$T$3</f>
        <v>0</v>
      </c>
      <c r="AA45" s="30">
        <f>TRANSICAO!$AA$45*CUSTOS!$T$3</f>
        <v>0</v>
      </c>
      <c r="AB45" s="30">
        <f>TRANSICAO!$AB$45*CUSTOS!$T$3</f>
        <v>0</v>
      </c>
      <c r="AC45" s="30">
        <f>TRANSICAO!$AC$45*CUSTOS!$T$3</f>
        <v>178.43100000000001</v>
      </c>
      <c r="AD45" s="30">
        <f>TRANSICAO!$AD$45*CUSTOS!$T$3</f>
        <v>0</v>
      </c>
      <c r="AE45" s="30">
        <v>0</v>
      </c>
      <c r="AF45" s="30">
        <v>0</v>
      </c>
      <c r="AG45" s="30"/>
      <c r="AH45" s="30">
        <v>22.3018</v>
      </c>
      <c r="AI45" s="30">
        <v>22.3018</v>
      </c>
      <c r="AJ45" s="30">
        <f ca="1">$N$85</f>
        <v>7.7798643546777457</v>
      </c>
      <c r="AK45" s="30">
        <f t="shared" ca="1" si="1"/>
        <v>7.7798643546777457</v>
      </c>
      <c r="AL45" s="30"/>
      <c r="AM45" s="30"/>
      <c r="AP45" s="30">
        <v>1</v>
      </c>
    </row>
    <row r="46" spans="1:42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>
        <v>0</v>
      </c>
      <c r="M46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CUSTOS!$M$24)</f>
        <v>1.1991797034060969</v>
      </c>
      <c r="N46" s="30">
        <f ca="1">(+M46+O46+R46+U46+V46+W46+X46+Y46+Z46+AA46+AC46+AH46+AI46+AJ46+AK46)*CUSTOS!$M$5</f>
        <v>2.6520160841276157</v>
      </c>
      <c r="O46" s="30">
        <f>1 - CUSTOS!$M$24</f>
        <v>1</v>
      </c>
      <c r="P46" s="30">
        <v>0</v>
      </c>
      <c r="Q46" s="30">
        <v>0</v>
      </c>
      <c r="R46" s="30">
        <v>0</v>
      </c>
      <c r="S46" s="30">
        <f>1 - CUSTOS!$M$24</f>
        <v>1</v>
      </c>
      <c r="T46" s="30"/>
      <c r="U46" s="30">
        <f>TRANSICAO!$U$46*CUSTOS!$T$3</f>
        <v>17.430700000000002</v>
      </c>
      <c r="V46" s="30">
        <f>TRANSICAO!$V$46*CUSTOS!$T$3</f>
        <v>4.0724</v>
      </c>
      <c r="W46" s="30">
        <f>TRANSICAO!$W$46*CUSTOS!$T$3</f>
        <v>2.9049999999999998</v>
      </c>
      <c r="X46" s="30">
        <f>TRANSICAO!$X$46*CUSTOS!$T$3</f>
        <v>0</v>
      </c>
      <c r="Y46" s="30">
        <f>TRANSICAO!$Y$46*CUSTOS!$T$3</f>
        <v>0</v>
      </c>
      <c r="Z46" s="30">
        <f>TRANSICAO!$Z$46*CUSTOS!$T$3</f>
        <v>0</v>
      </c>
      <c r="AA46" s="30">
        <f>TRANSICAO!$AA$46*CUSTOS!$T$3</f>
        <v>0</v>
      </c>
      <c r="AB46" s="30">
        <f>TRANSICAO!$AB$46*CUSTOS!$T$3</f>
        <v>0</v>
      </c>
      <c r="AC46" s="30">
        <f>TRANSICAO!$AC$46*CUSTOS!$T$3</f>
        <v>178.43100000000001</v>
      </c>
      <c r="AD46" s="30">
        <f>TRANSICAO!$AD$46*CUSTOS!$T$3</f>
        <v>0</v>
      </c>
      <c r="AE46" s="30">
        <v>0</v>
      </c>
      <c r="AF46" s="30">
        <v>0</v>
      </c>
      <c r="AG46" s="30"/>
      <c r="AH46" s="30">
        <f>(1 - CUSTOS!$M$24)*22.3018</f>
        <v>22.3018</v>
      </c>
      <c r="AI46" s="30">
        <f>(1 - CUSTOS!$M$24)*22.3018</f>
        <v>22.3018</v>
      </c>
      <c r="AJ46" s="30">
        <f ca="1">$N$85*(1-CUSTOS!$M$24)</f>
        <v>7.7798643546777457</v>
      </c>
      <c r="AK46" s="30">
        <f t="shared" ca="1" si="1"/>
        <v>7.7798643546777457</v>
      </c>
      <c r="AL46" s="30"/>
      <c r="AM46" s="30"/>
      <c r="AP46" s="30">
        <f>IF((1 - CUSTOS!$M$24)&lt;&gt;0,1/(1 - CUSTOS!$M$24),1)</f>
        <v>1</v>
      </c>
    </row>
    <row r="47" spans="1:42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>
        <v>0</v>
      </c>
      <c r="M47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CUSTOS!$M$25)</f>
        <v>1.1991797034060969</v>
      </c>
      <c r="N47" s="30">
        <f ca="1">(+M47+O47+R47+U47+V47+W47+X47+Y47+Z47+AA47+AC47+AH47+AI47+AJ47+AK47)*CUSTOS!$M$5</f>
        <v>2.6520160841276157</v>
      </c>
      <c r="O47" s="30">
        <f>1 - CUSTOS!$M$25</f>
        <v>1</v>
      </c>
      <c r="P47" s="30">
        <v>0</v>
      </c>
      <c r="Q47" s="30">
        <v>0</v>
      </c>
      <c r="R47" s="30">
        <v>0</v>
      </c>
      <c r="S47" s="30">
        <f>1 - CUSTOS!$M$25</f>
        <v>1</v>
      </c>
      <c r="T47" s="30"/>
      <c r="U47" s="30">
        <f>TRANSICAO!$U$47*CUSTOS!$T$3</f>
        <v>17.430700000000002</v>
      </c>
      <c r="V47" s="30">
        <f>TRANSICAO!$V$47*CUSTOS!$T$3</f>
        <v>4.0724</v>
      </c>
      <c r="W47" s="30">
        <f>TRANSICAO!$W$47*CUSTOS!$T$3</f>
        <v>2.9049999999999998</v>
      </c>
      <c r="X47" s="30">
        <f>TRANSICAO!$X$47*CUSTOS!$T$3</f>
        <v>0</v>
      </c>
      <c r="Y47" s="30">
        <f>TRANSICAO!$Y$47*CUSTOS!$T$3</f>
        <v>0</v>
      </c>
      <c r="Z47" s="30">
        <f>TRANSICAO!$Z$47*CUSTOS!$T$3</f>
        <v>0</v>
      </c>
      <c r="AA47" s="30">
        <f>TRANSICAO!$AA$47*CUSTOS!$T$3</f>
        <v>0</v>
      </c>
      <c r="AB47" s="30">
        <f>TRANSICAO!$AB$47*CUSTOS!$T$3</f>
        <v>0</v>
      </c>
      <c r="AC47" s="30">
        <f>TRANSICAO!$AC$47*CUSTOS!$T$3</f>
        <v>178.43100000000001</v>
      </c>
      <c r="AD47" s="30">
        <f>TRANSICAO!$AD$47*CUSTOS!$T$3</f>
        <v>0</v>
      </c>
      <c r="AE47" s="30">
        <v>0</v>
      </c>
      <c r="AF47" s="30">
        <v>0</v>
      </c>
      <c r="AG47" s="30"/>
      <c r="AH47" s="30">
        <f>(1 - CUSTOS!$M$25)*22.3018</f>
        <v>22.3018</v>
      </c>
      <c r="AI47" s="30">
        <f>(1 - CUSTOS!$M$25)*22.3018</f>
        <v>22.3018</v>
      </c>
      <c r="AJ47" s="30">
        <f ca="1">$N$85*(1-CUSTOS!$M$25)</f>
        <v>7.7798643546777457</v>
      </c>
      <c r="AK47" s="30">
        <f t="shared" ca="1" si="1"/>
        <v>7.7798643546777457</v>
      </c>
      <c r="AL47" s="30"/>
      <c r="AM47" s="30"/>
      <c r="AP47" s="30">
        <f>IF((1 - CUSTOS!$M$25)&lt;&gt;0,1/(1 - CUSTOS!$M$25),1)</f>
        <v>1</v>
      </c>
    </row>
    <row r="48" spans="1:42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>
        <v>0</v>
      </c>
      <c r="M48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CUSTOS!$M$26)</f>
        <v>1.1991797034060969</v>
      </c>
      <c r="N48" s="30">
        <f ca="1">(+M48+O48+R48+U48+V48+W48+X48+Y48+Z48+AA48+AC48+AH48+AI48+AJ48+AK48)*CUSTOS!$M$5</f>
        <v>2.6520160841276157</v>
      </c>
      <c r="O48" s="30">
        <f>1 - CUSTOS!$M$26</f>
        <v>1</v>
      </c>
      <c r="P48" s="30">
        <v>0</v>
      </c>
      <c r="Q48" s="30">
        <v>0</v>
      </c>
      <c r="R48" s="30">
        <v>0</v>
      </c>
      <c r="S48" s="30">
        <f>1 - CUSTOS!$M$26</f>
        <v>1</v>
      </c>
      <c r="T48" s="30"/>
      <c r="U48" s="30">
        <f>TRANSICAO!$U$48*CUSTOS!$T$3</f>
        <v>17.430700000000002</v>
      </c>
      <c r="V48" s="30">
        <f>TRANSICAO!$V$48*CUSTOS!$T$3</f>
        <v>4.0724</v>
      </c>
      <c r="W48" s="30">
        <f>TRANSICAO!$W$48*CUSTOS!$T$3</f>
        <v>2.9049999999999998</v>
      </c>
      <c r="X48" s="30">
        <f>TRANSICAO!$X$48*CUSTOS!$T$3</f>
        <v>0</v>
      </c>
      <c r="Y48" s="30">
        <f>TRANSICAO!$Y$48*CUSTOS!$T$3</f>
        <v>0</v>
      </c>
      <c r="Z48" s="30">
        <f>TRANSICAO!$Z$48*CUSTOS!$T$3</f>
        <v>0</v>
      </c>
      <c r="AA48" s="30">
        <f>TRANSICAO!$AA$48*CUSTOS!$T$3</f>
        <v>0</v>
      </c>
      <c r="AB48" s="30">
        <f>TRANSICAO!$AB$48*CUSTOS!$T$3</f>
        <v>0</v>
      </c>
      <c r="AC48" s="30">
        <f>TRANSICAO!$AC$48*CUSTOS!$T$3</f>
        <v>178.43100000000001</v>
      </c>
      <c r="AD48" s="30">
        <f>TRANSICAO!$AD$48*CUSTOS!$T$3</f>
        <v>0</v>
      </c>
      <c r="AE48" s="30">
        <v>0</v>
      </c>
      <c r="AF48" s="30">
        <v>0</v>
      </c>
      <c r="AG48" s="30"/>
      <c r="AH48" s="30">
        <f>(1 - CUSTOS!$M$26)*22.3018</f>
        <v>22.3018</v>
      </c>
      <c r="AI48" s="30">
        <f>(1 - CUSTOS!$M$26)*22.3018</f>
        <v>22.3018</v>
      </c>
      <c r="AJ48" s="30">
        <f ca="1">$N$85*(1-CUSTOS!$M$26)</f>
        <v>7.7798643546777457</v>
      </c>
      <c r="AK48" s="30">
        <f t="shared" ca="1" si="1"/>
        <v>7.7798643546777457</v>
      </c>
      <c r="AL48" s="30"/>
      <c r="AM48" s="30"/>
      <c r="AP48" s="30">
        <f>IF((1 - CUSTOS!$M$26)&lt;&gt;0,1/(1 - CUSTOS!$M$26),1)</f>
        <v>1</v>
      </c>
    </row>
    <row r="49" spans="1:42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>
        <v>0</v>
      </c>
      <c r="M49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CUSTOS!$M$27)</f>
        <v>1.1991797034060969</v>
      </c>
      <c r="N49" s="30">
        <f ca="1">(+M49+O49+R49+U49+V49+W49+X49+Y49+Z49+AA49+AC49+AH49+AI49+AJ49+AK49)*CUSTOS!$M$5</f>
        <v>2.6520160841276157</v>
      </c>
      <c r="O49" s="30">
        <f>1 - CUSTOS!$M$27</f>
        <v>1</v>
      </c>
      <c r="P49" s="30">
        <v>0</v>
      </c>
      <c r="Q49" s="30">
        <v>0</v>
      </c>
      <c r="R49" s="30">
        <v>0</v>
      </c>
      <c r="S49" s="30">
        <f>1 - CUSTOS!$M$27</f>
        <v>1</v>
      </c>
      <c r="T49" s="30"/>
      <c r="U49" s="30">
        <f>TRANSICAO!$U$49*CUSTOS!$T$3</f>
        <v>17.430700000000002</v>
      </c>
      <c r="V49" s="30">
        <f>TRANSICAO!$V$49*CUSTOS!$T$3</f>
        <v>4.0724</v>
      </c>
      <c r="W49" s="30">
        <f>TRANSICAO!$W$49*CUSTOS!$T$3</f>
        <v>2.9049999999999998</v>
      </c>
      <c r="X49" s="30">
        <f>TRANSICAO!$X$49*CUSTOS!$T$3</f>
        <v>0</v>
      </c>
      <c r="Y49" s="30">
        <f>TRANSICAO!$Y$49*CUSTOS!$T$3</f>
        <v>0</v>
      </c>
      <c r="Z49" s="30">
        <f>TRANSICAO!$Z$49*CUSTOS!$T$3</f>
        <v>0</v>
      </c>
      <c r="AA49" s="30">
        <f>TRANSICAO!$AA$49*CUSTOS!$T$3</f>
        <v>0</v>
      </c>
      <c r="AB49" s="30">
        <f>TRANSICAO!$AB$49*CUSTOS!$T$3</f>
        <v>0</v>
      </c>
      <c r="AC49" s="30">
        <f>TRANSICAO!$AC$49*CUSTOS!$T$3</f>
        <v>178.43100000000001</v>
      </c>
      <c r="AD49" s="30">
        <f>TRANSICAO!$AD$49*CUSTOS!$T$3</f>
        <v>0</v>
      </c>
      <c r="AE49" s="30">
        <v>0</v>
      </c>
      <c r="AF49" s="30">
        <v>0</v>
      </c>
      <c r="AG49" s="30"/>
      <c r="AH49" s="30">
        <f>(1 - CUSTOS!$M$27)*22.3018</f>
        <v>22.3018</v>
      </c>
      <c r="AI49" s="30">
        <f>(1 - CUSTOS!$M$27)*22.3018</f>
        <v>22.3018</v>
      </c>
      <c r="AJ49" s="30">
        <f ca="1">$N$85*(1-CUSTOS!$M$27)</f>
        <v>7.7798643546777457</v>
      </c>
      <c r="AK49" s="30">
        <f t="shared" ca="1" si="1"/>
        <v>7.7798643546777457</v>
      </c>
      <c r="AL49" s="30"/>
      <c r="AM49" s="30"/>
      <c r="AP49" s="30">
        <f>IF((1 - CUSTOS!$M$27)&lt;&gt;0,1/(1 - CUSTOS!$M$27),1)</f>
        <v>1</v>
      </c>
    </row>
    <row r="50" spans="1:42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>
        <f>1*(1 - CUSTOS!$M$28)</f>
        <v>1</v>
      </c>
      <c r="M50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1.1991797034060969</v>
      </c>
      <c r="N50" s="30">
        <f ca="1">(+M50+O50+R50+U50+V50+W50+X50+Y50+Z50+AA50+AC50+AH50+AI50+AJ50+AK50)*CUSTOS!$M$5</f>
        <v>6.7187960841276162</v>
      </c>
      <c r="O50" s="30">
        <f>1 - CUSTOS!$M$28</f>
        <v>1</v>
      </c>
      <c r="P50" s="30">
        <f>1 - CUSTOS!$M$28</f>
        <v>1</v>
      </c>
      <c r="Q50" s="30">
        <f>1*(1 - CUSTOS!$M$28)</f>
        <v>1</v>
      </c>
      <c r="R50" s="30">
        <f>1 - CUSTOS!$M$28</f>
        <v>1</v>
      </c>
      <c r="S50" s="30">
        <f>1 - CUSTOS!$M$28</f>
        <v>1</v>
      </c>
      <c r="T50" s="30"/>
      <c r="U50" s="30">
        <f>TRANSICAO!$U$50*CUSTOS!$T$3</f>
        <v>52.292099999999998</v>
      </c>
      <c r="V50" s="30">
        <f>TRANSICAO!$V$50*CUSTOS!$T$3</f>
        <v>12.2172</v>
      </c>
      <c r="W50" s="30">
        <f>TRANSICAO!$W$50*CUSTOS!$T$3</f>
        <v>8.7149000000000001</v>
      </c>
      <c r="X50" s="30">
        <f>TRANSICAO!$X$50*CUSTOS!$T$3</f>
        <v>0</v>
      </c>
      <c r="Y50" s="30">
        <f>TRANSICAO!$Y$50*CUSTOS!$T$3</f>
        <v>0</v>
      </c>
      <c r="Z50" s="30">
        <f>TRANSICAO!$Z$50*CUSTOS!$T$3</f>
        <v>0</v>
      </c>
      <c r="AA50" s="30">
        <f>TRANSICAO!$AA$50*CUSTOS!$T$3</f>
        <v>0</v>
      </c>
      <c r="AB50" s="30">
        <f>TRANSICAO!$AB$50*CUSTOS!$T$3</f>
        <v>0</v>
      </c>
      <c r="AC50" s="30">
        <f>TRANSICAO!$AC$50*CUSTOS!$T$3</f>
        <v>535.29290000000003</v>
      </c>
      <c r="AD50" s="30">
        <f>TRANSICAO!$AD$50*CUSTOS!$T$3</f>
        <v>0</v>
      </c>
      <c r="AE50" s="30">
        <v>0</v>
      </c>
      <c r="AF50" s="30">
        <v>0</v>
      </c>
      <c r="AG50" s="30"/>
      <c r="AH50" s="30">
        <f>(1 - CUSTOS!$M$28)*22.3018</f>
        <v>22.3018</v>
      </c>
      <c r="AI50" s="30">
        <f>(1 - CUSTOS!$M$28)*22.3018</f>
        <v>22.3018</v>
      </c>
      <c r="AJ50" s="30">
        <f ca="1">$N$85*(1-CUSTOS!$M$28)</f>
        <v>7.7798643546777457</v>
      </c>
      <c r="AK50" s="30">
        <f t="shared" ca="1" si="1"/>
        <v>7.7798643546777457</v>
      </c>
      <c r="AL50" s="30"/>
      <c r="AM50" s="30"/>
      <c r="AP50" s="30">
        <f>IF((1 - CUSTOS!$M$28)&lt;&gt;0,1/(1 - CUSTOS!$M$28),1)</f>
        <v>1</v>
      </c>
    </row>
    <row r="51" spans="1:42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>
        <f>1*(1 - CUSTOS!$M$28)</f>
        <v>1</v>
      </c>
      <c r="M51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1.1991797034060969</v>
      </c>
      <c r="N51" s="30">
        <f ca="1">(+M51+O51+R51+U51+V51+W51+X51+Y51+Z51+AA51+AC51+AH51+AI51+AJ51+AK51)*CUSTOS!$M$5</f>
        <v>4.2847290841276156</v>
      </c>
      <c r="O51" s="30">
        <f>1 - CUSTOS!$M$28</f>
        <v>1</v>
      </c>
      <c r="P51" s="30">
        <f>1 - CUSTOS!$M$28</f>
        <v>1</v>
      </c>
      <c r="Q51" s="30">
        <f>1*(1 - CUSTOS!$M$28)</f>
        <v>1</v>
      </c>
      <c r="R51" s="30">
        <f>1 - CUSTOS!$M$28</f>
        <v>1</v>
      </c>
      <c r="S51" s="30">
        <f>1 - CUSTOS!$M$28</f>
        <v>1</v>
      </c>
      <c r="T51" s="30"/>
      <c r="U51" s="30">
        <f>TRANSICAO!$U$51*CUSTOS!$T$3</f>
        <v>31.375299999999999</v>
      </c>
      <c r="V51" s="30">
        <f>TRANSICAO!$V$51*CUSTOS!$T$3</f>
        <v>7.3303000000000003</v>
      </c>
      <c r="W51" s="30">
        <f>TRANSICAO!$W$51*CUSTOS!$T$3</f>
        <v>5.2290000000000001</v>
      </c>
      <c r="X51" s="30">
        <f>TRANSICAO!$X$51*CUSTOS!$T$3</f>
        <v>0</v>
      </c>
      <c r="Y51" s="30">
        <f>TRANSICAO!$Y$51*CUSTOS!$T$3</f>
        <v>0</v>
      </c>
      <c r="Z51" s="30">
        <f>TRANSICAO!$Z$51*CUSTOS!$T$3</f>
        <v>0</v>
      </c>
      <c r="AA51" s="30">
        <f>TRANSICAO!$AA$51*CUSTOS!$T$3</f>
        <v>0</v>
      </c>
      <c r="AB51" s="30">
        <f>TRANSICAO!$AB$51*CUSTOS!$T$3</f>
        <v>0</v>
      </c>
      <c r="AC51" s="30">
        <f>TRANSICAO!$AC$51*CUSTOS!$T$3</f>
        <v>321.17579999999998</v>
      </c>
      <c r="AD51" s="30">
        <f>TRANSICAO!$AD$51*CUSTOS!$T$3</f>
        <v>0</v>
      </c>
      <c r="AE51" s="30">
        <v>0</v>
      </c>
      <c r="AF51" s="30">
        <v>0</v>
      </c>
      <c r="AG51" s="30"/>
      <c r="AH51" s="30">
        <f>(1 - CUSTOS!$M$28)*22.3018</f>
        <v>22.3018</v>
      </c>
      <c r="AI51" s="30">
        <f>(1 - CUSTOS!$M$28)*22.3018</f>
        <v>22.3018</v>
      </c>
      <c r="AJ51" s="30">
        <f ca="1">$N$85*(1-CUSTOS!$M$28)</f>
        <v>7.7798643546777457</v>
      </c>
      <c r="AK51" s="30">
        <f t="shared" ca="1" si="1"/>
        <v>7.7798643546777457</v>
      </c>
      <c r="AL51" s="30"/>
      <c r="AM51" s="30"/>
      <c r="AP51" s="30">
        <f>IF((1 - CUSTOS!$M$28)&lt;&gt;0,1/(1 - CUSTOS!$M$28),1)</f>
        <v>1</v>
      </c>
    </row>
    <row r="52" spans="1:42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>
        <f>1*(1 - CUSTOS!$M$28)</f>
        <v>1</v>
      </c>
      <c r="M52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1.1991797034060969</v>
      </c>
      <c r="N52" s="30">
        <f ca="1">(+M52+O52+R52+U52+V52+W52+X52+Y52+Z52+AA52+AC52+AH52+AI52+AJ52+AK52)*CUSTOS!$M$5</f>
        <v>1.8506590841276158</v>
      </c>
      <c r="O52" s="30">
        <f>1 - CUSTOS!$M$28</f>
        <v>1</v>
      </c>
      <c r="P52" s="30">
        <f>1 - CUSTOS!$M$28</f>
        <v>1</v>
      </c>
      <c r="Q52" s="30">
        <f>1*(1 - CUSTOS!$M$28)</f>
        <v>1</v>
      </c>
      <c r="R52" s="30">
        <f>1 - CUSTOS!$M$28</f>
        <v>1</v>
      </c>
      <c r="S52" s="30">
        <f>1 - CUSTOS!$M$28</f>
        <v>1</v>
      </c>
      <c r="T52" s="30"/>
      <c r="U52" s="30">
        <f>TRANSICAO!$U$52*CUSTOS!$T$3</f>
        <v>10.458399999999999</v>
      </c>
      <c r="V52" s="30">
        <f>TRANSICAO!$V$52*CUSTOS!$T$3</f>
        <v>2.4434</v>
      </c>
      <c r="W52" s="30">
        <f>TRANSICAO!$W$52*CUSTOS!$T$3</f>
        <v>1.7430000000000001</v>
      </c>
      <c r="X52" s="30">
        <f>TRANSICAO!$X$52*CUSTOS!$T$3</f>
        <v>0</v>
      </c>
      <c r="Y52" s="30">
        <f>TRANSICAO!$Y$52*CUSTOS!$T$3</f>
        <v>0</v>
      </c>
      <c r="Z52" s="30">
        <f>TRANSICAO!$Z$52*CUSTOS!$T$3</f>
        <v>0</v>
      </c>
      <c r="AA52" s="30">
        <f>TRANSICAO!$AA$52*CUSTOS!$T$3</f>
        <v>0</v>
      </c>
      <c r="AB52" s="30">
        <f>TRANSICAO!$AB$52*CUSTOS!$T$3</f>
        <v>0</v>
      </c>
      <c r="AC52" s="30">
        <f>TRANSICAO!$AC$52*CUSTOS!$T$3</f>
        <v>107.0586</v>
      </c>
      <c r="AD52" s="30">
        <f>TRANSICAO!$AD$52*CUSTOS!$T$3</f>
        <v>0</v>
      </c>
      <c r="AE52" s="30">
        <v>0</v>
      </c>
      <c r="AF52" s="30">
        <v>0</v>
      </c>
      <c r="AG52" s="30"/>
      <c r="AH52" s="30">
        <f>(1 - CUSTOS!$M$28)*22.3018</f>
        <v>22.3018</v>
      </c>
      <c r="AI52" s="30">
        <f>(1 - CUSTOS!$M$28)*22.3018</f>
        <v>22.3018</v>
      </c>
      <c r="AJ52" s="30">
        <f ca="1">$N$85*(1-CUSTOS!$M$28)</f>
        <v>7.7798643546777457</v>
      </c>
      <c r="AK52" s="30">
        <f t="shared" ca="1" si="1"/>
        <v>7.7798643546777457</v>
      </c>
      <c r="AL52" s="30"/>
      <c r="AM52" s="30"/>
      <c r="AP52" s="30">
        <f>IF((1 - CUSTOS!$M$28)&lt;&gt;0,1/(1 - CUSTOS!$M$28),1)</f>
        <v>1</v>
      </c>
    </row>
    <row r="53" spans="1:42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>
        <f>1*(1 - CUSTOS!$M$28)</f>
        <v>1</v>
      </c>
      <c r="M53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1.1991797034060969</v>
      </c>
      <c r="N53" s="30">
        <f ca="1">(+M53+O53+R53+U53+V53+W53+X53+Y53+Z53+AA53+AC53+AH53+AI53+AJ53+AK53)*CUSTOS!$M$5</f>
        <v>2.6620160841276159</v>
      </c>
      <c r="O53" s="30">
        <f>1 - CUSTOS!$M$28</f>
        <v>1</v>
      </c>
      <c r="P53" s="30">
        <f>1 - CUSTOS!$M$28</f>
        <v>1</v>
      </c>
      <c r="Q53" s="30">
        <f>1*(1 - CUSTOS!$M$28)</f>
        <v>1</v>
      </c>
      <c r="R53" s="30">
        <f>1 - CUSTOS!$M$28</f>
        <v>1</v>
      </c>
      <c r="S53" s="30">
        <f>1 - CUSTOS!$M$28</f>
        <v>1</v>
      </c>
      <c r="T53" s="30"/>
      <c r="U53" s="30">
        <f>TRANSICAO!$U$53*CUSTOS!$T$3</f>
        <v>17.430700000000002</v>
      </c>
      <c r="V53" s="30">
        <f>TRANSICAO!$V$53*CUSTOS!$T$3</f>
        <v>4.0724</v>
      </c>
      <c r="W53" s="30">
        <f>TRANSICAO!$W$53*CUSTOS!$T$3</f>
        <v>2.9049999999999998</v>
      </c>
      <c r="X53" s="30">
        <f>TRANSICAO!$X$53*CUSTOS!$T$3</f>
        <v>0</v>
      </c>
      <c r="Y53" s="30">
        <f>TRANSICAO!$Y$53*CUSTOS!$T$3</f>
        <v>0</v>
      </c>
      <c r="Z53" s="30">
        <f>TRANSICAO!$Z$53*CUSTOS!$T$3</f>
        <v>0</v>
      </c>
      <c r="AA53" s="30">
        <f>TRANSICAO!$AA$53*CUSTOS!$T$3</f>
        <v>0</v>
      </c>
      <c r="AB53" s="30">
        <f>TRANSICAO!$AB$53*CUSTOS!$T$3</f>
        <v>0</v>
      </c>
      <c r="AC53" s="30">
        <f>TRANSICAO!$AC$53*CUSTOS!$T$3</f>
        <v>178.43100000000001</v>
      </c>
      <c r="AD53" s="30">
        <f>TRANSICAO!$AD$53*CUSTOS!$T$3</f>
        <v>0</v>
      </c>
      <c r="AE53" s="30">
        <v>0</v>
      </c>
      <c r="AF53" s="30">
        <v>0</v>
      </c>
      <c r="AG53" s="30"/>
      <c r="AH53" s="30">
        <f>(1 - CUSTOS!$M$28)*22.3018</f>
        <v>22.3018</v>
      </c>
      <c r="AI53" s="30">
        <f>(1 - CUSTOS!$M$28)*22.3018</f>
        <v>22.3018</v>
      </c>
      <c r="AJ53" s="30">
        <f ca="1">$N$85*(1-CUSTOS!$M$28)</f>
        <v>7.7798643546777457</v>
      </c>
      <c r="AK53" s="30">
        <f t="shared" ca="1" si="1"/>
        <v>7.7798643546777457</v>
      </c>
      <c r="AL53" s="30"/>
      <c r="AM53" s="30"/>
      <c r="AP53" s="30">
        <f>IF((1 - CUSTOS!$M$28)&lt;&gt;0,1/(1 - CUSTOS!$M$28),1)</f>
        <v>1</v>
      </c>
    </row>
    <row r="54" spans="1:42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>
        <f>1*(1 - CUSTOS!$M$29)</f>
        <v>1</v>
      </c>
      <c r="M54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1.1991797034060969</v>
      </c>
      <c r="N54" s="30">
        <f ca="1">(+M54+O54+R54+U54+V54+W54+X54+Y54+Z54+AA54+AC54+AH54+AI54+AJ54+AK54)*CUSTOS!$M$5</f>
        <v>6.7187960841276162</v>
      </c>
      <c r="O54" s="30">
        <f>1 - CUSTOS!$M$29</f>
        <v>1</v>
      </c>
      <c r="P54" s="30">
        <f>1 - CUSTOS!$M$29</f>
        <v>1</v>
      </c>
      <c r="Q54" s="30">
        <f>1*(1 - CUSTOS!$M$29)</f>
        <v>1</v>
      </c>
      <c r="R54" s="30">
        <f>1 - CUSTOS!$M$29</f>
        <v>1</v>
      </c>
      <c r="S54" s="30">
        <f>1 - CUSTOS!$M$29</f>
        <v>1</v>
      </c>
      <c r="T54" s="30"/>
      <c r="U54" s="30">
        <f>TRANSICAO!$U$54*CUSTOS!$T$3</f>
        <v>52.292099999999998</v>
      </c>
      <c r="V54" s="30">
        <f>TRANSICAO!$V$54*CUSTOS!$T$3</f>
        <v>12.2172</v>
      </c>
      <c r="W54" s="30">
        <f>TRANSICAO!$W$54*CUSTOS!$T$3</f>
        <v>8.7149000000000001</v>
      </c>
      <c r="X54" s="30">
        <f>TRANSICAO!$X$54*CUSTOS!$T$3</f>
        <v>0</v>
      </c>
      <c r="Y54" s="30">
        <f>TRANSICAO!$Y$54*CUSTOS!$T$3</f>
        <v>0</v>
      </c>
      <c r="Z54" s="30">
        <f>TRANSICAO!$Z$54*CUSTOS!$T$3</f>
        <v>0</v>
      </c>
      <c r="AA54" s="30">
        <f>TRANSICAO!$AA$54*CUSTOS!$T$3</f>
        <v>0</v>
      </c>
      <c r="AB54" s="30">
        <f>TRANSICAO!$AB$54*CUSTOS!$T$3</f>
        <v>0</v>
      </c>
      <c r="AC54" s="30">
        <f>TRANSICAO!$AC$54*CUSTOS!$T$3</f>
        <v>535.29290000000003</v>
      </c>
      <c r="AD54" s="30">
        <f>TRANSICAO!$AD$54*CUSTOS!$T$3</f>
        <v>0</v>
      </c>
      <c r="AE54" s="30">
        <v>0</v>
      </c>
      <c r="AF54" s="30">
        <v>0</v>
      </c>
      <c r="AG54" s="30"/>
      <c r="AH54" s="30">
        <f>(1 - CUSTOS!$M$29)*22.3018</f>
        <v>22.3018</v>
      </c>
      <c r="AI54" s="30">
        <f>(1 - CUSTOS!$M$29)*22.3018</f>
        <v>22.3018</v>
      </c>
      <c r="AJ54" s="30">
        <f ca="1">$N$85*(1-CUSTOS!$M$29)</f>
        <v>7.7798643546777457</v>
      </c>
      <c r="AK54" s="30">
        <f t="shared" ca="1" si="1"/>
        <v>7.7798643546777457</v>
      </c>
      <c r="AL54" s="30"/>
      <c r="AM54" s="30"/>
      <c r="AP54" s="30">
        <f>IF((1 - CUSTOS!$M$29)&lt;&gt;0,1/(1 - CUSTOS!$M$29),1)</f>
        <v>1</v>
      </c>
    </row>
    <row r="55" spans="1:42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>
        <f>1*(1 - CUSTOS!$M$29)</f>
        <v>1</v>
      </c>
      <c r="M55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1.1991797034060969</v>
      </c>
      <c r="N55" s="30">
        <f ca="1">(+M55+O55+R55+U55+V55+W55+X55+Y55+Z55+AA55+AC55+AH55+AI55+AJ55+AK55)*CUSTOS!$M$5</f>
        <v>4.2847290841276156</v>
      </c>
      <c r="O55" s="30">
        <f>1 - CUSTOS!$M$29</f>
        <v>1</v>
      </c>
      <c r="P55" s="30">
        <f>1 - CUSTOS!$M$29</f>
        <v>1</v>
      </c>
      <c r="Q55" s="30">
        <f>1*(1 - CUSTOS!$M$29)</f>
        <v>1</v>
      </c>
      <c r="R55" s="30">
        <f>1 - CUSTOS!$M$29</f>
        <v>1</v>
      </c>
      <c r="S55" s="30">
        <f>1 - CUSTOS!$M$29</f>
        <v>1</v>
      </c>
      <c r="T55" s="30"/>
      <c r="U55" s="30">
        <f>TRANSICAO!$U$55*CUSTOS!$T$3</f>
        <v>31.375299999999999</v>
      </c>
      <c r="V55" s="30">
        <f>TRANSICAO!$V$55*CUSTOS!$T$3</f>
        <v>7.3303000000000003</v>
      </c>
      <c r="W55" s="30">
        <f>TRANSICAO!$W$55*CUSTOS!$T$3</f>
        <v>5.2290000000000001</v>
      </c>
      <c r="X55" s="30">
        <f>TRANSICAO!$X$55*CUSTOS!$T$3</f>
        <v>0</v>
      </c>
      <c r="Y55" s="30">
        <f>TRANSICAO!$Y$55*CUSTOS!$T$3</f>
        <v>0</v>
      </c>
      <c r="Z55" s="30">
        <f>TRANSICAO!$Z$55*CUSTOS!$T$3</f>
        <v>0</v>
      </c>
      <c r="AA55" s="30">
        <f>TRANSICAO!$AA$55*CUSTOS!$T$3</f>
        <v>0</v>
      </c>
      <c r="AB55" s="30">
        <f>TRANSICAO!$AB$55*CUSTOS!$T$3</f>
        <v>0</v>
      </c>
      <c r="AC55" s="30">
        <f>TRANSICAO!$AC$55*CUSTOS!$T$3</f>
        <v>321.17579999999998</v>
      </c>
      <c r="AD55" s="30">
        <f>TRANSICAO!$AD$55*CUSTOS!$T$3</f>
        <v>0</v>
      </c>
      <c r="AE55" s="30">
        <v>0</v>
      </c>
      <c r="AF55" s="30">
        <v>0</v>
      </c>
      <c r="AG55" s="30"/>
      <c r="AH55" s="30">
        <f>(1 - CUSTOS!$M$29)*22.3018</f>
        <v>22.3018</v>
      </c>
      <c r="AI55" s="30">
        <f>(1 - CUSTOS!$M$29)*22.3018</f>
        <v>22.3018</v>
      </c>
      <c r="AJ55" s="30">
        <f ca="1">$N$85*(1-CUSTOS!$M$29)</f>
        <v>7.7798643546777457</v>
      </c>
      <c r="AK55" s="30">
        <f t="shared" ca="1" si="1"/>
        <v>7.7798643546777457</v>
      </c>
      <c r="AL55" s="30"/>
      <c r="AM55" s="30"/>
      <c r="AP55" s="30">
        <f>IF((1 - CUSTOS!$M$29)&lt;&gt;0,1/(1 - CUSTOS!$M$29),1)</f>
        <v>1</v>
      </c>
    </row>
    <row r="56" spans="1:42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>
        <f>1*(1 - CUSTOS!$M$29)</f>
        <v>1</v>
      </c>
      <c r="M56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1.1991797034060969</v>
      </c>
      <c r="N56" s="30">
        <f ca="1">(+M56+O56+R56+U56+V56+W56+X56+Y56+Z56+AA56+AC56+AH56+AI56+AJ56+AK56)*CUSTOS!$M$5</f>
        <v>1.8506590841276158</v>
      </c>
      <c r="O56" s="30">
        <f>1 - CUSTOS!$M$29</f>
        <v>1</v>
      </c>
      <c r="P56" s="30">
        <f>1 - CUSTOS!$M$29</f>
        <v>1</v>
      </c>
      <c r="Q56" s="30">
        <f>1*(1 - CUSTOS!$M$29)</f>
        <v>1</v>
      </c>
      <c r="R56" s="30">
        <f>1 - CUSTOS!$M$29</f>
        <v>1</v>
      </c>
      <c r="S56" s="30">
        <f>1 - CUSTOS!$M$29</f>
        <v>1</v>
      </c>
      <c r="T56" s="30"/>
      <c r="U56" s="30">
        <f>TRANSICAO!$U$56*CUSTOS!$T$3</f>
        <v>10.458399999999999</v>
      </c>
      <c r="V56" s="30">
        <f>TRANSICAO!$V$56*CUSTOS!$T$3</f>
        <v>2.4434</v>
      </c>
      <c r="W56" s="30">
        <f>TRANSICAO!$W$56*CUSTOS!$T$3</f>
        <v>1.7430000000000001</v>
      </c>
      <c r="X56" s="30">
        <f>TRANSICAO!$X$56*CUSTOS!$T$3</f>
        <v>0</v>
      </c>
      <c r="Y56" s="30">
        <f>TRANSICAO!$Y$56*CUSTOS!$T$3</f>
        <v>0</v>
      </c>
      <c r="Z56" s="30">
        <f>TRANSICAO!$Z$56*CUSTOS!$T$3</f>
        <v>0</v>
      </c>
      <c r="AA56" s="30">
        <f>TRANSICAO!$AA$56*CUSTOS!$T$3</f>
        <v>0</v>
      </c>
      <c r="AB56" s="30">
        <f>TRANSICAO!$AB$56*CUSTOS!$T$3</f>
        <v>0</v>
      </c>
      <c r="AC56" s="30">
        <f>TRANSICAO!$AC$56*CUSTOS!$T$3</f>
        <v>107.0586</v>
      </c>
      <c r="AD56" s="30">
        <f>TRANSICAO!$AD$56*CUSTOS!$T$3</f>
        <v>0</v>
      </c>
      <c r="AE56" s="30">
        <v>0</v>
      </c>
      <c r="AF56" s="30">
        <v>0</v>
      </c>
      <c r="AG56" s="30"/>
      <c r="AH56" s="30">
        <f>(1 - CUSTOS!$M$29)*22.3018</f>
        <v>22.3018</v>
      </c>
      <c r="AI56" s="30">
        <f>(1 - CUSTOS!$M$29)*22.3018</f>
        <v>22.3018</v>
      </c>
      <c r="AJ56" s="30">
        <f ca="1">$N$85*(1-CUSTOS!$M$29)</f>
        <v>7.7798643546777457</v>
      </c>
      <c r="AK56" s="30">
        <f t="shared" ca="1" si="1"/>
        <v>7.7798643546777457</v>
      </c>
      <c r="AL56" s="30"/>
      <c r="AM56" s="30"/>
      <c r="AP56" s="30">
        <f>IF((1 - CUSTOS!$M$29)&lt;&gt;0,1/(1 - CUSTOS!$M$29),1)</f>
        <v>1</v>
      </c>
    </row>
    <row r="57" spans="1:42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>
        <f>1*(1 - CUSTOS!$M$29)</f>
        <v>1</v>
      </c>
      <c r="M57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1.1991797034060969</v>
      </c>
      <c r="N57" s="30">
        <f ca="1">(+M57+O57+R57+U57+V57+W57+X57+Y57+Z57+AA57+AC57+AH57+AI57+AJ57+AK57)*CUSTOS!$M$5</f>
        <v>2.6620160841276159</v>
      </c>
      <c r="O57" s="30">
        <f>1 - CUSTOS!$M$29</f>
        <v>1</v>
      </c>
      <c r="P57" s="30">
        <f>1 - CUSTOS!$M$29</f>
        <v>1</v>
      </c>
      <c r="Q57" s="30">
        <f>1*(1 - CUSTOS!$M$29)</f>
        <v>1</v>
      </c>
      <c r="R57" s="30">
        <f>1 - CUSTOS!$M$29</f>
        <v>1</v>
      </c>
      <c r="S57" s="30">
        <f>1 - CUSTOS!$M$29</f>
        <v>1</v>
      </c>
      <c r="T57" s="30"/>
      <c r="U57" s="30">
        <f>TRANSICAO!$U$57*CUSTOS!$T$3</f>
        <v>17.430700000000002</v>
      </c>
      <c r="V57" s="30">
        <f>TRANSICAO!$V$57*CUSTOS!$T$3</f>
        <v>4.0724</v>
      </c>
      <c r="W57" s="30">
        <f>TRANSICAO!$W$57*CUSTOS!$T$3</f>
        <v>2.9049999999999998</v>
      </c>
      <c r="X57" s="30">
        <f>TRANSICAO!$X$57*CUSTOS!$T$3</f>
        <v>0</v>
      </c>
      <c r="Y57" s="30">
        <f>TRANSICAO!$Y$57*CUSTOS!$T$3</f>
        <v>0</v>
      </c>
      <c r="Z57" s="30">
        <f>TRANSICAO!$Z$57*CUSTOS!$T$3</f>
        <v>0</v>
      </c>
      <c r="AA57" s="30">
        <f>TRANSICAO!$AA$57*CUSTOS!$T$3</f>
        <v>0</v>
      </c>
      <c r="AB57" s="30">
        <f>TRANSICAO!$AB$57*CUSTOS!$T$3</f>
        <v>0</v>
      </c>
      <c r="AC57" s="30">
        <f>TRANSICAO!$AC$57*CUSTOS!$T$3</f>
        <v>178.43100000000001</v>
      </c>
      <c r="AD57" s="30">
        <f>TRANSICAO!$AD$57*CUSTOS!$T$3</f>
        <v>0</v>
      </c>
      <c r="AE57" s="30">
        <v>0</v>
      </c>
      <c r="AF57" s="30">
        <v>0</v>
      </c>
      <c r="AG57" s="30"/>
      <c r="AH57" s="30">
        <f>(1 - CUSTOS!$M$29)*22.3018</f>
        <v>22.3018</v>
      </c>
      <c r="AI57" s="30">
        <f>(1 - CUSTOS!$M$29)*22.3018</f>
        <v>22.3018</v>
      </c>
      <c r="AJ57" s="30">
        <f ca="1">$N$85*(1-CUSTOS!$M$29)</f>
        <v>7.7798643546777457</v>
      </c>
      <c r="AK57" s="30">
        <f t="shared" ca="1" si="1"/>
        <v>7.7798643546777457</v>
      </c>
      <c r="AL57" s="30"/>
      <c r="AM57" s="30"/>
      <c r="AP57" s="30">
        <f>IF((1 - CUSTOS!$M$29)&lt;&gt;0,1/(1 - CUSTOS!$M$29),1)</f>
        <v>1</v>
      </c>
    </row>
    <row r="58" spans="1:42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>
        <f>1*(1 - CUSTOS!$M$30)</f>
        <v>1</v>
      </c>
      <c r="M58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1.1991797034060969</v>
      </c>
      <c r="N58" s="30">
        <f ca="1">(+M58+O58+R58+U58+V58+W58+X58+Y58+Z58+AA58+AC58+AH58+AI58+AJ58+AK58)*CUSTOS!$M$5</f>
        <v>6.7187960841276162</v>
      </c>
      <c r="O58" s="30">
        <f>1 - CUSTOS!$M$30</f>
        <v>1</v>
      </c>
      <c r="P58" s="30">
        <f>1 - CUSTOS!$M$30</f>
        <v>1</v>
      </c>
      <c r="Q58" s="30">
        <f>1*(1 - CUSTOS!$M$30)</f>
        <v>1</v>
      </c>
      <c r="R58" s="30">
        <f>1 - CUSTOS!$M$30</f>
        <v>1</v>
      </c>
      <c r="S58" s="30">
        <f>1 - CUSTOS!$M$30</f>
        <v>1</v>
      </c>
      <c r="T58" s="30"/>
      <c r="U58" s="30">
        <f>TRANSICAO!$U$58*CUSTOS!$T$3</f>
        <v>52.292099999999998</v>
      </c>
      <c r="V58" s="30">
        <f>TRANSICAO!$V$58*CUSTOS!$T$3</f>
        <v>12.2172</v>
      </c>
      <c r="W58" s="30">
        <f>TRANSICAO!$W$58*CUSTOS!$T$3</f>
        <v>8.7149000000000001</v>
      </c>
      <c r="X58" s="30">
        <f>TRANSICAO!$X$58*CUSTOS!$T$3</f>
        <v>0</v>
      </c>
      <c r="Y58" s="30">
        <f>TRANSICAO!$Y$58*CUSTOS!$T$3</f>
        <v>0</v>
      </c>
      <c r="Z58" s="30">
        <f>TRANSICAO!$Z$58*CUSTOS!$T$3</f>
        <v>0</v>
      </c>
      <c r="AA58" s="30">
        <f>TRANSICAO!$AA$58*CUSTOS!$T$3</f>
        <v>0</v>
      </c>
      <c r="AB58" s="30">
        <f>TRANSICAO!$AB$58*CUSTOS!$T$3</f>
        <v>0</v>
      </c>
      <c r="AC58" s="30">
        <f>TRANSICAO!$AC$58*CUSTOS!$T$3</f>
        <v>535.29290000000003</v>
      </c>
      <c r="AD58" s="30">
        <f>TRANSICAO!$AD$58*CUSTOS!$T$3</f>
        <v>0</v>
      </c>
      <c r="AE58" s="30">
        <v>0</v>
      </c>
      <c r="AF58" s="30">
        <v>0</v>
      </c>
      <c r="AG58" s="30"/>
      <c r="AH58" s="30">
        <f>(1 - CUSTOS!$M$30)*22.3018</f>
        <v>22.3018</v>
      </c>
      <c r="AI58" s="30">
        <f>(1 - CUSTOS!$M$30)*22.3018</f>
        <v>22.3018</v>
      </c>
      <c r="AJ58" s="30">
        <f ca="1">$N$85*(1-CUSTOS!$M$30)</f>
        <v>7.7798643546777457</v>
      </c>
      <c r="AK58" s="30">
        <f t="shared" ca="1" si="1"/>
        <v>7.7798643546777457</v>
      </c>
      <c r="AL58" s="30"/>
      <c r="AM58" s="30"/>
      <c r="AP58" s="30">
        <f>IF((1 - CUSTOS!$M$30)&lt;&gt;0,1/(1 - CUSTOS!$M$30),1)</f>
        <v>1</v>
      </c>
    </row>
    <row r="59" spans="1:42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>
        <f>1*(1 - CUSTOS!$M$30)</f>
        <v>1</v>
      </c>
      <c r="M59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1.1991797034060969</v>
      </c>
      <c r="N59" s="30">
        <f ca="1">(+M59+O59+R59+U59+V59+W59+X59+Y59+Z59+AA59+AC59+AH59+AI59+AJ59+AK59)*CUSTOS!$M$5</f>
        <v>4.2847290841276156</v>
      </c>
      <c r="O59" s="30">
        <f>1 - CUSTOS!$M$30</f>
        <v>1</v>
      </c>
      <c r="P59" s="30">
        <f>1 - CUSTOS!$M$30</f>
        <v>1</v>
      </c>
      <c r="Q59" s="30">
        <f>1*(1 - CUSTOS!$M$30)</f>
        <v>1</v>
      </c>
      <c r="R59" s="30">
        <f>1 - CUSTOS!$M$30</f>
        <v>1</v>
      </c>
      <c r="S59" s="30">
        <f>1 - CUSTOS!$M$30</f>
        <v>1</v>
      </c>
      <c r="T59" s="30"/>
      <c r="U59" s="30">
        <f>TRANSICAO!$U$59*CUSTOS!$T$3</f>
        <v>31.375299999999999</v>
      </c>
      <c r="V59" s="30">
        <f>TRANSICAO!$V$59*CUSTOS!$T$3</f>
        <v>7.3303000000000003</v>
      </c>
      <c r="W59" s="30">
        <f>TRANSICAO!$W$59*CUSTOS!$T$3</f>
        <v>5.2290000000000001</v>
      </c>
      <c r="X59" s="30">
        <f>TRANSICAO!$X$59*CUSTOS!$T$3</f>
        <v>0</v>
      </c>
      <c r="Y59" s="30">
        <f>TRANSICAO!$Y$59*CUSTOS!$T$3</f>
        <v>0</v>
      </c>
      <c r="Z59" s="30">
        <f>TRANSICAO!$Z$59*CUSTOS!$T$3</f>
        <v>0</v>
      </c>
      <c r="AA59" s="30">
        <f>TRANSICAO!$AA$59*CUSTOS!$T$3</f>
        <v>0</v>
      </c>
      <c r="AB59" s="30">
        <f>TRANSICAO!$AB$59*CUSTOS!$T$3</f>
        <v>0</v>
      </c>
      <c r="AC59" s="30">
        <f>TRANSICAO!$AC$59*CUSTOS!$T$3</f>
        <v>321.17579999999998</v>
      </c>
      <c r="AD59" s="30">
        <f>TRANSICAO!$AD$59*CUSTOS!$T$3</f>
        <v>0</v>
      </c>
      <c r="AE59" s="30">
        <v>0</v>
      </c>
      <c r="AF59" s="30">
        <v>0</v>
      </c>
      <c r="AG59" s="30"/>
      <c r="AH59" s="30">
        <f>(1 - CUSTOS!$M$30)*22.3018</f>
        <v>22.3018</v>
      </c>
      <c r="AI59" s="30">
        <f>(1 - CUSTOS!$M$30)*22.3018</f>
        <v>22.3018</v>
      </c>
      <c r="AJ59" s="30">
        <f ca="1">$N$85*(1-CUSTOS!$M$30)</f>
        <v>7.7798643546777457</v>
      </c>
      <c r="AK59" s="30">
        <f t="shared" ca="1" si="1"/>
        <v>7.7798643546777457</v>
      </c>
      <c r="AL59" s="30"/>
      <c r="AM59" s="30"/>
      <c r="AP59" s="30">
        <f>IF((1 - CUSTOS!$M$30)&lt;&gt;0,1/(1 - CUSTOS!$M$30),1)</f>
        <v>1</v>
      </c>
    </row>
    <row r="60" spans="1:42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>
        <f>1*(1 - CUSTOS!$M$30)</f>
        <v>1</v>
      </c>
      <c r="M60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1.1991797034060969</v>
      </c>
      <c r="N60" s="30">
        <f ca="1">(+M60+O60+R60+U60+V60+W60+X60+Y60+Z60+AA60+AC60+AH60+AI60+AJ60+AK60)*CUSTOS!$M$5</f>
        <v>1.8506590841276158</v>
      </c>
      <c r="O60" s="30">
        <f>1 - CUSTOS!$M$30</f>
        <v>1</v>
      </c>
      <c r="P60" s="30">
        <f>1 - CUSTOS!$M$30</f>
        <v>1</v>
      </c>
      <c r="Q60" s="30">
        <f>1*(1 - CUSTOS!$M$30)</f>
        <v>1</v>
      </c>
      <c r="R60" s="30">
        <f>1 - CUSTOS!$M$30</f>
        <v>1</v>
      </c>
      <c r="S60" s="30">
        <f>1 - CUSTOS!$M$30</f>
        <v>1</v>
      </c>
      <c r="T60" s="30"/>
      <c r="U60" s="30">
        <f>TRANSICAO!$U$60*CUSTOS!$T$3</f>
        <v>10.458399999999999</v>
      </c>
      <c r="V60" s="30">
        <f>TRANSICAO!$V$60*CUSTOS!$T$3</f>
        <v>2.4434</v>
      </c>
      <c r="W60" s="30">
        <f>TRANSICAO!$W$60*CUSTOS!$T$3</f>
        <v>1.7430000000000001</v>
      </c>
      <c r="X60" s="30">
        <f>TRANSICAO!$X$60*CUSTOS!$T$3</f>
        <v>0</v>
      </c>
      <c r="Y60" s="30">
        <f>TRANSICAO!$Y$60*CUSTOS!$T$3</f>
        <v>0</v>
      </c>
      <c r="Z60" s="30">
        <f>TRANSICAO!$Z$60*CUSTOS!$T$3</f>
        <v>0</v>
      </c>
      <c r="AA60" s="30">
        <f>TRANSICAO!$AA$60*CUSTOS!$T$3</f>
        <v>0</v>
      </c>
      <c r="AB60" s="30">
        <f>TRANSICAO!$AB$60*CUSTOS!$T$3</f>
        <v>0</v>
      </c>
      <c r="AC60" s="30">
        <f>TRANSICAO!$AC$60*CUSTOS!$T$3</f>
        <v>107.0586</v>
      </c>
      <c r="AD60" s="30">
        <f>TRANSICAO!$AD$60*CUSTOS!$T$3</f>
        <v>0</v>
      </c>
      <c r="AE60" s="30">
        <v>0</v>
      </c>
      <c r="AF60" s="30">
        <v>0</v>
      </c>
      <c r="AG60" s="30"/>
      <c r="AH60" s="30">
        <f>(1 - CUSTOS!$M$30)*22.3018</f>
        <v>22.3018</v>
      </c>
      <c r="AI60" s="30">
        <f>(1 - CUSTOS!$M$30)*22.3018</f>
        <v>22.3018</v>
      </c>
      <c r="AJ60" s="30">
        <f ca="1">$N$85*(1-CUSTOS!$M$30)</f>
        <v>7.7798643546777457</v>
      </c>
      <c r="AK60" s="30">
        <f t="shared" ca="1" si="1"/>
        <v>7.7798643546777457</v>
      </c>
      <c r="AL60" s="30"/>
      <c r="AM60" s="30"/>
      <c r="AP60" s="30">
        <f>IF((1 - CUSTOS!$M$30)&lt;&gt;0,1/(1 - CUSTOS!$M$30),1)</f>
        <v>1</v>
      </c>
    </row>
    <row r="61" spans="1:42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>
        <f>1*(1 - CUSTOS!$M$30)</f>
        <v>1</v>
      </c>
      <c r="M61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1.1991797034060969</v>
      </c>
      <c r="N61" s="30">
        <f ca="1">(+M61+O61+R61+U61+V61+W61+X61+Y61+Z61+AA61+AC61+AH61+AI61+AJ61+AK61)*CUSTOS!$M$5</f>
        <v>2.6620160841276159</v>
      </c>
      <c r="O61" s="30">
        <f>1 - CUSTOS!$M$30</f>
        <v>1</v>
      </c>
      <c r="P61" s="30">
        <f>1 - CUSTOS!$M$30</f>
        <v>1</v>
      </c>
      <c r="Q61" s="30">
        <f>1*(1 - CUSTOS!$M$30)</f>
        <v>1</v>
      </c>
      <c r="R61" s="30">
        <f>1 - CUSTOS!$M$30</f>
        <v>1</v>
      </c>
      <c r="S61" s="30">
        <f>1 - CUSTOS!$M$30</f>
        <v>1</v>
      </c>
      <c r="T61" s="30"/>
      <c r="U61" s="30">
        <f>TRANSICAO!$U$61*CUSTOS!$T$3</f>
        <v>17.430700000000002</v>
      </c>
      <c r="V61" s="30">
        <f>TRANSICAO!$V$61*CUSTOS!$T$3</f>
        <v>4.0724</v>
      </c>
      <c r="W61" s="30">
        <f>TRANSICAO!$W$61*CUSTOS!$T$3</f>
        <v>2.9049999999999998</v>
      </c>
      <c r="X61" s="30">
        <f>TRANSICAO!$X$61*CUSTOS!$T$3</f>
        <v>0</v>
      </c>
      <c r="Y61" s="30">
        <f>TRANSICAO!$Y$61*CUSTOS!$T$3</f>
        <v>0</v>
      </c>
      <c r="Z61" s="30">
        <f>TRANSICAO!$Z$61*CUSTOS!$T$3</f>
        <v>0</v>
      </c>
      <c r="AA61" s="30">
        <f>TRANSICAO!$AA$61*CUSTOS!$T$3</f>
        <v>0</v>
      </c>
      <c r="AB61" s="30">
        <f>TRANSICAO!$AB$61*CUSTOS!$T$3</f>
        <v>0</v>
      </c>
      <c r="AC61" s="30">
        <f>TRANSICAO!$AC$61*CUSTOS!$T$3</f>
        <v>178.43100000000001</v>
      </c>
      <c r="AD61" s="30">
        <f>TRANSICAO!$AD$61*CUSTOS!$T$3</f>
        <v>0</v>
      </c>
      <c r="AE61" s="30">
        <v>0</v>
      </c>
      <c r="AF61" s="30">
        <v>0</v>
      </c>
      <c r="AG61" s="30"/>
      <c r="AH61" s="30">
        <f>(1 - CUSTOS!$M$30)*22.3018</f>
        <v>22.3018</v>
      </c>
      <c r="AI61" s="30">
        <f>(1 - CUSTOS!$M$30)*22.3018</f>
        <v>22.3018</v>
      </c>
      <c r="AJ61" s="30">
        <f ca="1">$N$85*(1-CUSTOS!$M$30)</f>
        <v>7.7798643546777457</v>
      </c>
      <c r="AK61" s="30">
        <f t="shared" ca="1" si="1"/>
        <v>7.7798643546777457</v>
      </c>
      <c r="AL61" s="30"/>
      <c r="AM61" s="30"/>
      <c r="AP61" s="30">
        <f>IF((1 - CUSTOS!$M$30)&lt;&gt;0,1/(1 - CUSTOS!$M$30),1)</f>
        <v>1</v>
      </c>
    </row>
    <row r="62" spans="1:42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>
        <f>1*(1 - CUSTOS!$M$28)</f>
        <v>1</v>
      </c>
      <c r="M62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1.1991797034060969</v>
      </c>
      <c r="N62" s="30">
        <f ca="1">(+M62+O62+R62+U62+V62+W62+X62+Y62+Z62+AA62+AC62+AH62+AI62+AJ62+AK62)*CUSTOS!$M$5</f>
        <v>2.6620160841276159</v>
      </c>
      <c r="O62" s="30">
        <f>1 - CUSTOS!$M$28</f>
        <v>1</v>
      </c>
      <c r="P62" s="30">
        <f>1 - CUSTOS!$M$28</f>
        <v>1</v>
      </c>
      <c r="Q62" s="30">
        <f>1*(1 - CUSTOS!$M$28)</f>
        <v>1</v>
      </c>
      <c r="R62" s="30">
        <f>1 - CUSTOS!$M$28</f>
        <v>1</v>
      </c>
      <c r="S62" s="30">
        <f>1 - CUSTOS!$M$28</f>
        <v>1</v>
      </c>
      <c r="T62" s="30"/>
      <c r="U62" s="30">
        <f>TRANSICAO!$U$62*CUSTOS!$T$3</f>
        <v>17.430700000000002</v>
      </c>
      <c r="V62" s="30">
        <f>TRANSICAO!$V$62*CUSTOS!$T$3</f>
        <v>4.0724</v>
      </c>
      <c r="W62" s="30">
        <f>TRANSICAO!$W$62*CUSTOS!$T$3</f>
        <v>2.9049999999999998</v>
      </c>
      <c r="X62" s="30">
        <f>TRANSICAO!$X$62*CUSTOS!$T$3</f>
        <v>0</v>
      </c>
      <c r="Y62" s="30">
        <f>TRANSICAO!$Y$62*CUSTOS!$T$3</f>
        <v>0</v>
      </c>
      <c r="Z62" s="30">
        <f>TRANSICAO!$Z$62*CUSTOS!$T$3</f>
        <v>0</v>
      </c>
      <c r="AA62" s="30">
        <f>TRANSICAO!$AA$62*CUSTOS!$T$3</f>
        <v>0</v>
      </c>
      <c r="AB62" s="30">
        <f>TRANSICAO!$AB$62*CUSTOS!$T$3</f>
        <v>0</v>
      </c>
      <c r="AC62" s="30">
        <f>TRANSICAO!$AC$62*CUSTOS!$T$3</f>
        <v>178.43100000000001</v>
      </c>
      <c r="AD62" s="30">
        <f>TRANSICAO!$AD$62*CUSTOS!$T$3</f>
        <v>0</v>
      </c>
      <c r="AE62" s="30">
        <v>0</v>
      </c>
      <c r="AF62" s="30">
        <v>0</v>
      </c>
      <c r="AG62" s="30"/>
      <c r="AH62" s="30">
        <f>(1 - CUSTOS!$M$28)*22.3018</f>
        <v>22.3018</v>
      </c>
      <c r="AI62" s="30">
        <f>(1 - CUSTOS!$M$28)*22.3018</f>
        <v>22.3018</v>
      </c>
      <c r="AJ62" s="30">
        <f ca="1">$N$85*(1-CUSTOS!$M$28)</f>
        <v>7.7798643546777457</v>
      </c>
      <c r="AK62" s="30">
        <f t="shared" ca="1" si="1"/>
        <v>7.7798643546777457</v>
      </c>
      <c r="AL62" s="30"/>
      <c r="AM62" s="30"/>
      <c r="AP62" s="30">
        <f>IF((1 - CUSTOS!$M$28)&lt;&gt;0,1/(1 - CUSTOS!$M$28),1)</f>
        <v>1</v>
      </c>
    </row>
    <row r="63" spans="1:42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>
        <f>1*(1 - CUSTOS!$M$29)</f>
        <v>1</v>
      </c>
      <c r="M63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1.1991797034060969</v>
      </c>
      <c r="N63" s="30">
        <f ca="1">(+M63+O63+R63+U63+V63+W63+X63+Y63+Z63+AA63+AC63+AH63+AI63+AJ63+AK63)*CUSTOS!$M$5</f>
        <v>2.6620160841276159</v>
      </c>
      <c r="O63" s="30">
        <f>1 - CUSTOS!$M$29</f>
        <v>1</v>
      </c>
      <c r="P63" s="30">
        <f>1 - CUSTOS!$M$29</f>
        <v>1</v>
      </c>
      <c r="Q63" s="30">
        <f>1*(1 - CUSTOS!$M$29)</f>
        <v>1</v>
      </c>
      <c r="R63" s="30">
        <f>1 - CUSTOS!$M$29</f>
        <v>1</v>
      </c>
      <c r="S63" s="30">
        <f>1 - CUSTOS!$M$29</f>
        <v>1</v>
      </c>
      <c r="T63" s="30"/>
      <c r="U63" s="30">
        <f>TRANSICAO!$U$63*CUSTOS!$T$3</f>
        <v>17.430700000000002</v>
      </c>
      <c r="V63" s="30">
        <f>TRANSICAO!$V$63*CUSTOS!$T$3</f>
        <v>4.0724</v>
      </c>
      <c r="W63" s="30">
        <f>TRANSICAO!$W$63*CUSTOS!$T$3</f>
        <v>2.9049999999999998</v>
      </c>
      <c r="X63" s="30">
        <f>TRANSICAO!$X$63*CUSTOS!$T$3</f>
        <v>0</v>
      </c>
      <c r="Y63" s="30">
        <f>TRANSICAO!$Y$63*CUSTOS!$T$3</f>
        <v>0</v>
      </c>
      <c r="Z63" s="30">
        <f>TRANSICAO!$Z$63*CUSTOS!$T$3</f>
        <v>0</v>
      </c>
      <c r="AA63" s="30">
        <f>TRANSICAO!$AA$63*CUSTOS!$T$3</f>
        <v>0</v>
      </c>
      <c r="AB63" s="30">
        <f>TRANSICAO!$AB$63*CUSTOS!$T$3</f>
        <v>0</v>
      </c>
      <c r="AC63" s="30">
        <f>TRANSICAO!$AC$63*CUSTOS!$T$3</f>
        <v>178.43100000000001</v>
      </c>
      <c r="AD63" s="30">
        <f>TRANSICAO!$AD$63*CUSTOS!$T$3</f>
        <v>0</v>
      </c>
      <c r="AE63" s="30">
        <v>0</v>
      </c>
      <c r="AF63" s="30">
        <v>0</v>
      </c>
      <c r="AG63" s="30"/>
      <c r="AH63" s="30">
        <f>(1 - CUSTOS!$M$29)*22.3018</f>
        <v>22.3018</v>
      </c>
      <c r="AI63" s="30">
        <f>(1 - CUSTOS!$M$29)*22.3018</f>
        <v>22.3018</v>
      </c>
      <c r="AJ63" s="30">
        <f ca="1">$N$85*(1-CUSTOS!$M$29)</f>
        <v>7.7798643546777457</v>
      </c>
      <c r="AK63" s="30">
        <f t="shared" ca="1" si="1"/>
        <v>7.7798643546777457</v>
      </c>
      <c r="AL63" s="30"/>
      <c r="AM63" s="30"/>
      <c r="AP63" s="30">
        <f>IF((1 - CUSTOS!$M$29)&lt;&gt;0,1/(1 - CUSTOS!$M$29),1)</f>
        <v>1</v>
      </c>
    </row>
    <row r="64" spans="1:42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>
        <f>1*(1 - CUSTOS!$M$30)</f>
        <v>1</v>
      </c>
      <c r="M64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1.1991797034060969</v>
      </c>
      <c r="N64" s="30">
        <f ca="1">(+M64+O64+R64+U64+V64+W64+X64+Y64+Z64+AA64+AC64+AH64+AI64+AJ64+AK64)*CUSTOS!$M$5</f>
        <v>2.6620160841276159</v>
      </c>
      <c r="O64" s="30">
        <f>1 - CUSTOS!$M$30</f>
        <v>1</v>
      </c>
      <c r="P64" s="30">
        <f>1 - CUSTOS!$M$30</f>
        <v>1</v>
      </c>
      <c r="Q64" s="30">
        <f>1*(1 - CUSTOS!$M$30)</f>
        <v>1</v>
      </c>
      <c r="R64" s="30">
        <f>1 - CUSTOS!$M$30</f>
        <v>1</v>
      </c>
      <c r="S64" s="30">
        <f>1 - CUSTOS!$M$30</f>
        <v>1</v>
      </c>
      <c r="T64" s="30"/>
      <c r="U64" s="30">
        <f>TRANSICAO!$U$64*CUSTOS!$T$3</f>
        <v>17.430700000000002</v>
      </c>
      <c r="V64" s="30">
        <f>TRANSICAO!$V$64*CUSTOS!$T$3</f>
        <v>4.0724</v>
      </c>
      <c r="W64" s="30">
        <f>TRANSICAO!$W$64*CUSTOS!$T$3</f>
        <v>2.9049999999999998</v>
      </c>
      <c r="X64" s="30">
        <f>TRANSICAO!$X$64*CUSTOS!$T$3</f>
        <v>0</v>
      </c>
      <c r="Y64" s="30">
        <f>TRANSICAO!$Y$64*CUSTOS!$T$3</f>
        <v>0</v>
      </c>
      <c r="Z64" s="30">
        <f>TRANSICAO!$Z$64*CUSTOS!$T$3</f>
        <v>0</v>
      </c>
      <c r="AA64" s="30">
        <f>TRANSICAO!$AA$64*CUSTOS!$T$3</f>
        <v>0</v>
      </c>
      <c r="AB64" s="30">
        <f>TRANSICAO!$AB$64*CUSTOS!$T$3</f>
        <v>0</v>
      </c>
      <c r="AC64" s="30">
        <f>TRANSICAO!$AC$64*CUSTOS!$T$3</f>
        <v>178.43100000000001</v>
      </c>
      <c r="AD64" s="30">
        <f>TRANSICAO!$AD$64*CUSTOS!$T$3</f>
        <v>0</v>
      </c>
      <c r="AE64" s="30">
        <v>0</v>
      </c>
      <c r="AF64" s="30">
        <v>0</v>
      </c>
      <c r="AG64" s="30"/>
      <c r="AH64" s="30">
        <f>(1 - CUSTOS!$M$30)*22.3018</f>
        <v>22.3018</v>
      </c>
      <c r="AI64" s="30">
        <f>(1 - CUSTOS!$M$30)*22.3018</f>
        <v>22.3018</v>
      </c>
      <c r="AJ64" s="30">
        <f ca="1">$N$85*(1-CUSTOS!$M$30)</f>
        <v>7.7798643546777457</v>
      </c>
      <c r="AK64" s="30">
        <f t="shared" ca="1" si="1"/>
        <v>7.7798643546777457</v>
      </c>
      <c r="AL64" s="30"/>
      <c r="AM64" s="30"/>
      <c r="AP64" s="30">
        <f>IF((1 - CUSTOS!$M$30)&lt;&gt;0,1/(1 - CUSTOS!$M$30),1)</f>
        <v>1</v>
      </c>
    </row>
    <row r="65" spans="1:42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>
        <f>1*(1 - CUSTOS!$M$31)</f>
        <v>1</v>
      </c>
      <c r="M65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1.1991797034060969</v>
      </c>
      <c r="N65" s="30">
        <f ca="1">(+M65+O65+R65+U65+V65+W65+X65+Y65+Z65+AA65+AC65+AH65+AI65+AJ65+AK65)*CUSTOS!$M$5</f>
        <v>7.2258950841276155</v>
      </c>
      <c r="O65" s="30">
        <f>1 - CUSTOS!$M$31</f>
        <v>1</v>
      </c>
      <c r="P65" s="30">
        <f>1 - CUSTOS!$M$31</f>
        <v>1</v>
      </c>
      <c r="Q65" s="30">
        <f>1*(1 - CUSTOS!$M$31)</f>
        <v>1</v>
      </c>
      <c r="R65" s="30">
        <f>1 - CUSTOS!$M$31</f>
        <v>1</v>
      </c>
      <c r="S65" s="30">
        <f>1 - CUSTOS!$M$31</f>
        <v>1</v>
      </c>
      <c r="T65" s="30"/>
      <c r="U65" s="30">
        <f>TRANSICAO!$U$65*CUSTOS!$T$3</f>
        <v>56.649799999999999</v>
      </c>
      <c r="V65" s="30">
        <f>TRANSICAO!$V$65*CUSTOS!$T$3</f>
        <v>13.235300000000001</v>
      </c>
      <c r="W65" s="30">
        <f>TRANSICAO!$W$65*CUSTOS!$T$3</f>
        <v>9.4412000000000003</v>
      </c>
      <c r="X65" s="30">
        <f>TRANSICAO!$X$65*CUSTOS!$T$3</f>
        <v>0</v>
      </c>
      <c r="Y65" s="30">
        <f>TRANSICAO!$Y$65*CUSTOS!$T$3</f>
        <v>0</v>
      </c>
      <c r="Z65" s="30">
        <f>TRANSICAO!$Z$65*CUSTOS!$T$3</f>
        <v>0</v>
      </c>
      <c r="AA65" s="30">
        <f>TRANSICAO!$AA$65*CUSTOS!$T$3</f>
        <v>0</v>
      </c>
      <c r="AB65" s="30">
        <f>TRANSICAO!$AB$65*CUSTOS!$T$3</f>
        <v>0</v>
      </c>
      <c r="AC65" s="30">
        <f>TRANSICAO!$AC$65*CUSTOS!$T$3</f>
        <v>579.90070000000003</v>
      </c>
      <c r="AD65" s="30">
        <f>TRANSICAO!$AD$65*CUSTOS!$T$3</f>
        <v>0</v>
      </c>
      <c r="AE65" s="30">
        <v>0</v>
      </c>
      <c r="AF65" s="30">
        <v>0</v>
      </c>
      <c r="AG65" s="30"/>
      <c r="AH65" s="30">
        <f>(1 - CUSTOS!$M$31)*22.3018</f>
        <v>22.3018</v>
      </c>
      <c r="AI65" s="30">
        <f>(1 - CUSTOS!$M$31)*22.3018</f>
        <v>22.3018</v>
      </c>
      <c r="AJ65" s="30">
        <f ca="1">$N$85*(1-CUSTOS!$M$31)</f>
        <v>7.7798643546777457</v>
      </c>
      <c r="AK65" s="30">
        <f t="shared" ca="1" si="1"/>
        <v>7.7798643546777457</v>
      </c>
      <c r="AL65" s="30"/>
      <c r="AM65" s="30"/>
      <c r="AP65" s="30">
        <f>IF((1 - CUSTOS!$M$31)&lt;&gt;0,1/(1 - CUSTOS!$M$31),1)</f>
        <v>1</v>
      </c>
    </row>
    <row r="66" spans="1:42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>
        <f>1*(1 - CUSTOS!$M$31)</f>
        <v>1</v>
      </c>
      <c r="M66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1.1991797034060969</v>
      </c>
      <c r="N66" s="30">
        <f ca="1">(+M66+O66+R66+U66+V66+W66+X66+Y66+Z66+AA66+AC66+AH66+AI66+AJ66+AK66)*CUSTOS!$M$5</f>
        <v>4.5889870841276164</v>
      </c>
      <c r="O66" s="30">
        <f>1 - CUSTOS!$M$31</f>
        <v>1</v>
      </c>
      <c r="P66" s="30">
        <f>1 - CUSTOS!$M$31</f>
        <v>1</v>
      </c>
      <c r="Q66" s="30">
        <f>1*(1 - CUSTOS!$M$31)</f>
        <v>1</v>
      </c>
      <c r="R66" s="30">
        <f>1 - CUSTOS!$M$31</f>
        <v>1</v>
      </c>
      <c r="S66" s="30">
        <f>1 - CUSTOS!$M$31</f>
        <v>1</v>
      </c>
      <c r="T66" s="30"/>
      <c r="U66" s="30">
        <f>TRANSICAO!$U$66*CUSTOS!$T$3</f>
        <v>33.989899999999999</v>
      </c>
      <c r="V66" s="30">
        <f>TRANSICAO!$V$66*CUSTOS!$T$3</f>
        <v>7.9412000000000003</v>
      </c>
      <c r="W66" s="30">
        <f>TRANSICAO!$W$66*CUSTOS!$T$3</f>
        <v>5.6646999999999998</v>
      </c>
      <c r="X66" s="30">
        <f>TRANSICAO!$X$66*CUSTOS!$T$3</f>
        <v>0</v>
      </c>
      <c r="Y66" s="30">
        <f>TRANSICAO!$Y$66*CUSTOS!$T$3</f>
        <v>0</v>
      </c>
      <c r="Z66" s="30">
        <f>TRANSICAO!$Z$66*CUSTOS!$T$3</f>
        <v>0</v>
      </c>
      <c r="AA66" s="30">
        <f>TRANSICAO!$AA$66*CUSTOS!$T$3</f>
        <v>0</v>
      </c>
      <c r="AB66" s="30">
        <f>TRANSICAO!$AB$66*CUSTOS!$T$3</f>
        <v>0</v>
      </c>
      <c r="AC66" s="30">
        <f>TRANSICAO!$AC$66*CUSTOS!$T$3</f>
        <v>347.94040000000001</v>
      </c>
      <c r="AD66" s="30">
        <f>TRANSICAO!$AD$66*CUSTOS!$T$3</f>
        <v>0</v>
      </c>
      <c r="AE66" s="30">
        <v>0</v>
      </c>
      <c r="AF66" s="30">
        <v>0</v>
      </c>
      <c r="AG66" s="30"/>
      <c r="AH66" s="30">
        <f>(1 - CUSTOS!$M$31)*22.3018</f>
        <v>22.3018</v>
      </c>
      <c r="AI66" s="30">
        <f>(1 - CUSTOS!$M$31)*22.3018</f>
        <v>22.3018</v>
      </c>
      <c r="AJ66" s="30">
        <f ca="1">$N$85*(1-CUSTOS!$M$31)</f>
        <v>7.7798643546777457</v>
      </c>
      <c r="AK66" s="30">
        <f t="shared" ca="1" si="1"/>
        <v>7.7798643546777457</v>
      </c>
      <c r="AL66" s="30"/>
      <c r="AM66" s="30"/>
      <c r="AP66" s="30">
        <f>IF((1 - CUSTOS!$M$31)&lt;&gt;0,1/(1 - CUSTOS!$M$31),1)</f>
        <v>1</v>
      </c>
    </row>
    <row r="67" spans="1:42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>
        <f>1*(1 - CUSTOS!$M$31)</f>
        <v>1</v>
      </c>
      <c r="M67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1.1991797034060969</v>
      </c>
      <c r="N67" s="30">
        <f ca="1">(+M67+O67+R67+U67+V67+W67+X67+Y67+Z67+AA67+AC67+AH67+AI67+AJ67+AK67)*CUSTOS!$M$5</f>
        <v>1.9520790841276165</v>
      </c>
      <c r="O67" s="30">
        <f>1 - CUSTOS!$M$31</f>
        <v>1</v>
      </c>
      <c r="P67" s="30">
        <f>1 - CUSTOS!$M$31</f>
        <v>1</v>
      </c>
      <c r="Q67" s="30">
        <f>1*(1 - CUSTOS!$M$31)</f>
        <v>1</v>
      </c>
      <c r="R67" s="30">
        <f>1 - CUSTOS!$M$31</f>
        <v>1</v>
      </c>
      <c r="S67" s="30">
        <f>1 - CUSTOS!$M$31</f>
        <v>1</v>
      </c>
      <c r="T67" s="30"/>
      <c r="U67" s="30">
        <f>TRANSICAO!$U$67*CUSTOS!$T$3</f>
        <v>11.33</v>
      </c>
      <c r="V67" s="30">
        <f>TRANSICAO!$V$67*CUSTOS!$T$3</f>
        <v>2.6471</v>
      </c>
      <c r="W67" s="30">
        <f>TRANSICAO!$W$67*CUSTOS!$T$3</f>
        <v>1.8882000000000001</v>
      </c>
      <c r="X67" s="30">
        <f>TRANSICAO!$X$67*CUSTOS!$T$3</f>
        <v>0</v>
      </c>
      <c r="Y67" s="30">
        <f>TRANSICAO!$Y$67*CUSTOS!$T$3</f>
        <v>0</v>
      </c>
      <c r="Z67" s="30">
        <f>TRANSICAO!$Z$67*CUSTOS!$T$3</f>
        <v>0</v>
      </c>
      <c r="AA67" s="30">
        <f>TRANSICAO!$AA$67*CUSTOS!$T$3</f>
        <v>0</v>
      </c>
      <c r="AB67" s="30">
        <f>TRANSICAO!$AB$67*CUSTOS!$T$3</f>
        <v>0</v>
      </c>
      <c r="AC67" s="30">
        <f>TRANSICAO!$AC$67*CUSTOS!$T$3</f>
        <v>115.98009999999999</v>
      </c>
      <c r="AD67" s="30">
        <f>TRANSICAO!$AD$67*CUSTOS!$T$3</f>
        <v>0</v>
      </c>
      <c r="AE67" s="30">
        <v>0</v>
      </c>
      <c r="AF67" s="30">
        <v>0</v>
      </c>
      <c r="AG67" s="30"/>
      <c r="AH67" s="30">
        <f>(1 - CUSTOS!$M$31)*22.3018</f>
        <v>22.3018</v>
      </c>
      <c r="AI67" s="30">
        <f>(1 - CUSTOS!$M$31)*22.3018</f>
        <v>22.3018</v>
      </c>
      <c r="AJ67" s="30">
        <f ca="1">$N$85*(1-CUSTOS!$M$31)</f>
        <v>7.7798643546777457</v>
      </c>
      <c r="AK67" s="30">
        <f t="shared" ca="1" si="1"/>
        <v>7.7798643546777457</v>
      </c>
      <c r="AL67" s="30"/>
      <c r="AM67" s="30"/>
      <c r="AP67" s="30">
        <f>IF((1 - CUSTOS!$M$31)&lt;&gt;0,1/(1 - CUSTOS!$M$31),1)</f>
        <v>1</v>
      </c>
    </row>
    <row r="68" spans="1:42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>
        <f>1*(1 - CUSTOS!$M$31)</f>
        <v>1</v>
      </c>
      <c r="M68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1.1991797034060969</v>
      </c>
      <c r="N68" s="30">
        <f ca="1">(+M68+O68+R68+U68+V68+W68+X68+Y68+Z68+AA68+AC68+AH68+AI68+AJ68+AK68)*CUSTOS!$M$5</f>
        <v>2.6620160841276159</v>
      </c>
      <c r="O68" s="30">
        <f>1 - CUSTOS!$M$31</f>
        <v>1</v>
      </c>
      <c r="P68" s="30">
        <f>1 - CUSTOS!$M$31</f>
        <v>1</v>
      </c>
      <c r="Q68" s="30">
        <f>1*(1 - CUSTOS!$M$31)</f>
        <v>1</v>
      </c>
      <c r="R68" s="30">
        <f>1 - CUSTOS!$M$31</f>
        <v>1</v>
      </c>
      <c r="S68" s="30">
        <f>1 - CUSTOS!$M$31</f>
        <v>1</v>
      </c>
      <c r="T68" s="30"/>
      <c r="U68" s="30">
        <f>TRANSICAO!$U$68*CUSTOS!$T$3</f>
        <v>17.430700000000002</v>
      </c>
      <c r="V68" s="30">
        <f>TRANSICAO!$V$68*CUSTOS!$T$3</f>
        <v>4.0724</v>
      </c>
      <c r="W68" s="30">
        <f>TRANSICAO!$W$68*CUSTOS!$T$3</f>
        <v>2.9049999999999998</v>
      </c>
      <c r="X68" s="30">
        <f>TRANSICAO!$X$68*CUSTOS!$T$3</f>
        <v>0</v>
      </c>
      <c r="Y68" s="30">
        <f>TRANSICAO!$Y$68*CUSTOS!$T$3</f>
        <v>0</v>
      </c>
      <c r="Z68" s="30">
        <f>TRANSICAO!$Z$68*CUSTOS!$T$3</f>
        <v>0</v>
      </c>
      <c r="AA68" s="30">
        <f>TRANSICAO!$AA$68*CUSTOS!$T$3</f>
        <v>0</v>
      </c>
      <c r="AB68" s="30">
        <f>TRANSICAO!$AB$68*CUSTOS!$T$3</f>
        <v>0</v>
      </c>
      <c r="AC68" s="30">
        <f>TRANSICAO!$AC$68*CUSTOS!$T$3</f>
        <v>178.43100000000001</v>
      </c>
      <c r="AD68" s="30">
        <f>TRANSICAO!$AD$68*CUSTOS!$T$3</f>
        <v>0</v>
      </c>
      <c r="AE68" s="30">
        <v>0</v>
      </c>
      <c r="AF68" s="30">
        <v>0</v>
      </c>
      <c r="AG68" s="30"/>
      <c r="AH68" s="30">
        <f>(1 - CUSTOS!$M$31)*22.3018</f>
        <v>22.3018</v>
      </c>
      <c r="AI68" s="30">
        <f>(1 - CUSTOS!$M$31)*22.3018</f>
        <v>22.3018</v>
      </c>
      <c r="AJ68" s="30">
        <f ca="1">$N$85*(1-CUSTOS!$M$31)</f>
        <v>7.7798643546777457</v>
      </c>
      <c r="AK68" s="30">
        <f t="shared" ca="1" si="1"/>
        <v>7.7798643546777457</v>
      </c>
      <c r="AL68" s="30"/>
      <c r="AM68" s="30"/>
      <c r="AP68" s="30">
        <f>IF((1 - CUSTOS!$M$31)&lt;&gt;0,1/(1 - CUSTOS!$M$31),1)</f>
        <v>1</v>
      </c>
    </row>
    <row r="69" spans="1:42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>
        <f>1*(1 - CUSTOS!$M$31)</f>
        <v>1</v>
      </c>
      <c r="M69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1.1991797034060969</v>
      </c>
      <c r="N69" s="30">
        <f ca="1">(+M69+O69+R69+U69+V69+W69+X69+Y69+Z69+AA69+AC69+AH69+AI69+AJ69+AK69)*CUSTOS!$M$5</f>
        <v>2.6620160841276159</v>
      </c>
      <c r="O69" s="30">
        <f>1 - CUSTOS!$M$31</f>
        <v>1</v>
      </c>
      <c r="P69" s="30">
        <f>1 - CUSTOS!$M$31</f>
        <v>1</v>
      </c>
      <c r="Q69" s="30">
        <f>1*(1 - CUSTOS!$M$31)</f>
        <v>1</v>
      </c>
      <c r="R69" s="30">
        <f>1 - CUSTOS!$M$31</f>
        <v>1</v>
      </c>
      <c r="S69" s="30">
        <f>1 - CUSTOS!$M$31</f>
        <v>1</v>
      </c>
      <c r="T69" s="30"/>
      <c r="U69" s="30">
        <f>TRANSICAO!$U$69*CUSTOS!$T$3</f>
        <v>17.430700000000002</v>
      </c>
      <c r="V69" s="30">
        <f>TRANSICAO!$V$69*CUSTOS!$T$3</f>
        <v>4.0724</v>
      </c>
      <c r="W69" s="30">
        <f>TRANSICAO!$W$69*CUSTOS!$T$3</f>
        <v>2.9049999999999998</v>
      </c>
      <c r="X69" s="30">
        <f>TRANSICAO!$X$69*CUSTOS!$T$3</f>
        <v>0</v>
      </c>
      <c r="Y69" s="30">
        <f>TRANSICAO!$Y$69*CUSTOS!$T$3</f>
        <v>0</v>
      </c>
      <c r="Z69" s="30">
        <f>TRANSICAO!$Z$69*CUSTOS!$T$3</f>
        <v>0</v>
      </c>
      <c r="AA69" s="30">
        <f>TRANSICAO!$AA$69*CUSTOS!$T$3</f>
        <v>0</v>
      </c>
      <c r="AB69" s="30">
        <f>TRANSICAO!$AB$69*CUSTOS!$T$3</f>
        <v>0</v>
      </c>
      <c r="AC69" s="30">
        <f>TRANSICAO!$AC$69*CUSTOS!$T$3</f>
        <v>178.43100000000001</v>
      </c>
      <c r="AD69" s="30">
        <f>TRANSICAO!$AD$69*CUSTOS!$T$3</f>
        <v>0</v>
      </c>
      <c r="AE69" s="30">
        <v>0</v>
      </c>
      <c r="AF69" s="30">
        <v>0</v>
      </c>
      <c r="AG69" s="30"/>
      <c r="AH69" s="30">
        <f>(1 - CUSTOS!$M$31)*22.3018</f>
        <v>22.3018</v>
      </c>
      <c r="AI69" s="30">
        <f>(1 - CUSTOS!$M$31)*22.3018</f>
        <v>22.3018</v>
      </c>
      <c r="AJ69" s="30">
        <f ca="1">$N$85*(1-CUSTOS!$M$31)</f>
        <v>7.7798643546777457</v>
      </c>
      <c r="AK69" s="30">
        <f t="shared" ref="AK69:AK71" ca="1" si="2">AJ69</f>
        <v>7.7798643546777457</v>
      </c>
      <c r="AL69" s="30"/>
      <c r="AM69" s="30"/>
      <c r="AP69" s="30">
        <f>IF((1 - CUSTOS!$M$31)&lt;&gt;0,1/(1 - CUSTOS!$M$31),1)</f>
        <v>1</v>
      </c>
    </row>
    <row r="70" spans="1:42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>
        <f>1*(1 - CUSTOS!$M$32)</f>
        <v>0.55000000000000004</v>
      </c>
      <c r="M70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CUSTOS!$M$32)</f>
        <v>0.65954883687335331</v>
      </c>
      <c r="N70" s="30">
        <f ca="1">(+M70+O70+R70+U70+V70+W70+X70+Y70+Z70+AA70+AC70+AH70+AI70+AJ70+AK70)*CUSTOS!$M$5</f>
        <v>1.4641088462701888</v>
      </c>
      <c r="O70" s="30">
        <f>1 - CUSTOS!$M$32</f>
        <v>0.55000000000000004</v>
      </c>
      <c r="P70" s="30">
        <f>1 - CUSTOS!$M$32</f>
        <v>0.55000000000000004</v>
      </c>
      <c r="Q70" s="30">
        <f>1*(1 - CUSTOS!$M$32)</f>
        <v>0.55000000000000004</v>
      </c>
      <c r="R70" s="30">
        <f>1 - CUSTOS!$M$32</f>
        <v>0.55000000000000004</v>
      </c>
      <c r="S70" s="30">
        <f>1 - CUSTOS!$M$32</f>
        <v>0.55000000000000004</v>
      </c>
      <c r="T70" s="30"/>
      <c r="U70" s="30">
        <f>TRANSICAO!$U$70*CUSTOS!$T$3</f>
        <v>9.5868850000000023</v>
      </c>
      <c r="V70" s="30">
        <f>TRANSICAO!$V$70*CUSTOS!$T$3</f>
        <v>2.2398200000000004</v>
      </c>
      <c r="W70" s="30">
        <f>TRANSICAO!$W$70*CUSTOS!$T$3</f>
        <v>1.59775</v>
      </c>
      <c r="X70" s="30">
        <f>TRANSICAO!$X$70*CUSTOS!$T$3</f>
        <v>0</v>
      </c>
      <c r="Y70" s="30">
        <f>TRANSICAO!$Y$70*CUSTOS!$T$3</f>
        <v>0</v>
      </c>
      <c r="Z70" s="30">
        <f>TRANSICAO!$Z$70*CUSTOS!$T$3</f>
        <v>0</v>
      </c>
      <c r="AA70" s="30">
        <f>TRANSICAO!$AA$70*CUSTOS!$T$3</f>
        <v>0</v>
      </c>
      <c r="AB70" s="30">
        <f>TRANSICAO!$AB$70*CUSTOS!$T$3</f>
        <v>0</v>
      </c>
      <c r="AC70" s="30">
        <f>TRANSICAO!$AC$70*CUSTOS!$T$3</f>
        <v>98.137050000000016</v>
      </c>
      <c r="AD70" s="30">
        <f>TRANSICAO!$AD$70*CUSTOS!$T$3</f>
        <v>0</v>
      </c>
      <c r="AE70" s="30">
        <v>0</v>
      </c>
      <c r="AF70" s="30">
        <v>0</v>
      </c>
      <c r="AG70" s="30"/>
      <c r="AH70" s="30">
        <f>(1 - CUSTOS!$M$32)*22.3018</f>
        <v>12.26599</v>
      </c>
      <c r="AI70" s="30">
        <f>(1 - CUSTOS!$M$32)*22.3018</f>
        <v>12.26599</v>
      </c>
      <c r="AJ70" s="30">
        <f ca="1">$N$85*(1-CUSTOS!$M$32)</f>
        <v>4.2789253950727604</v>
      </c>
      <c r="AK70" s="30">
        <f t="shared" ca="1" si="2"/>
        <v>4.2789253950727604</v>
      </c>
      <c r="AL70" s="30"/>
      <c r="AM70" s="30"/>
      <c r="AP70" s="30">
        <f>IF((1 - CUSTOS!$M$32)&lt;&gt;0,1/(1 - CUSTOS!$M$32),1)</f>
        <v>1.8181818181818181</v>
      </c>
    </row>
    <row r="71" spans="1:42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>
        <f>1*(1 - CUSTOS!$M$33)</f>
        <v>0.6</v>
      </c>
      <c r="M71" s="30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CUSTOS!$M$33)</f>
        <v>0.71950782204365815</v>
      </c>
      <c r="N71" s="30">
        <f ca="1">(+M71+O71+R71+U71+V71+W71+X71+Y71+Z71+AA71+AC71+AH71+AI71+AJ71+AK71)*CUSTOS!$M$5</f>
        <v>1.5972096504765696</v>
      </c>
      <c r="O71" s="30">
        <f>1 - CUSTOS!$M$33</f>
        <v>0.6</v>
      </c>
      <c r="P71" s="30">
        <f>1 - CUSTOS!$M$33</f>
        <v>0.6</v>
      </c>
      <c r="Q71" s="30">
        <f>1*(1 - CUSTOS!$M$33)</f>
        <v>0.6</v>
      </c>
      <c r="R71" s="30">
        <f>1 - CUSTOS!$M$33</f>
        <v>0.6</v>
      </c>
      <c r="S71" s="30">
        <f>1 - CUSTOS!$M$33</f>
        <v>0.6</v>
      </c>
      <c r="T71" s="30"/>
      <c r="U71" s="30">
        <f>TRANSICAO!$U$71*CUSTOS!$T$3</f>
        <v>10.45842</v>
      </c>
      <c r="V71" s="30">
        <f>TRANSICAO!$V$71*CUSTOS!$T$3</f>
        <v>2.4434399999999998</v>
      </c>
      <c r="W71" s="30">
        <f>TRANSICAO!$W$71*CUSTOS!$T$3</f>
        <v>1.7429999999999999</v>
      </c>
      <c r="X71" s="30">
        <f>TRANSICAO!$X$71*CUSTOS!$T$3</f>
        <v>0</v>
      </c>
      <c r="Y71" s="30">
        <f>TRANSICAO!$Y$71*CUSTOS!$T$3</f>
        <v>0</v>
      </c>
      <c r="Z71" s="30">
        <f>TRANSICAO!$Z$71*CUSTOS!$T$3</f>
        <v>0</v>
      </c>
      <c r="AA71" s="30">
        <f>TRANSICAO!$AA$71*CUSTOS!$T$3</f>
        <v>0</v>
      </c>
      <c r="AB71" s="30">
        <f>TRANSICAO!$AB$71*CUSTOS!$T$3</f>
        <v>0</v>
      </c>
      <c r="AC71" s="30">
        <f>TRANSICAO!$AC$71*CUSTOS!$T$3</f>
        <v>107.0586</v>
      </c>
      <c r="AD71" s="30">
        <f>TRANSICAO!$AD$71*CUSTOS!$T$3</f>
        <v>0</v>
      </c>
      <c r="AE71" s="30">
        <v>0</v>
      </c>
      <c r="AF71" s="30">
        <v>0</v>
      </c>
      <c r="AG71" s="30"/>
      <c r="AH71" s="30">
        <f>(1 - CUSTOS!$M$33)*22.3018</f>
        <v>13.381079999999999</v>
      </c>
      <c r="AI71" s="30">
        <f>(1 - CUSTOS!$M$33)*22.3018</f>
        <v>13.381079999999999</v>
      </c>
      <c r="AJ71" s="30">
        <f ca="1">$N$85*(1-CUSTOS!$M$33)</f>
        <v>4.6679186128066474</v>
      </c>
      <c r="AK71" s="30">
        <f t="shared" ca="1" si="2"/>
        <v>4.6679186128066474</v>
      </c>
      <c r="AL71" s="30"/>
      <c r="AM71" s="30"/>
      <c r="AP71" s="30">
        <f>IF((1 - CUSTOS!$M$33)&lt;&gt;0,1/(1 - CUSTOS!$M$33),1)</f>
        <v>1.6666666666666667</v>
      </c>
    </row>
    <row r="73" spans="1:42" ht="11.25" customHeight="1" x14ac:dyDescent="0.25">
      <c r="K73" s="31" t="s">
        <v>951</v>
      </c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</row>
    <row r="74" spans="1:42" ht="11.25" customHeight="1" x14ac:dyDescent="0.25">
      <c r="K74" s="31" t="s">
        <v>952</v>
      </c>
      <c r="L74" s="30">
        <f>IF(ISERROR(+SUMPRODUCT($L$12:$L$12,$I$12:$I$12)),0,+SUMPRODUCT($L$12:$L$12,$I$12:$I$12))</f>
        <v>0</v>
      </c>
      <c r="M74" s="30">
        <f>IF(ISERROR(+SUMPRODUCT($M$12:$M$12,$I$12:$I$12)),0,+SUMPRODUCT($M$12:$M$12,$I$12:$I$12))</f>
        <v>118992.43148635194</v>
      </c>
      <c r="N74" s="30">
        <f>IF(ISERROR(+SUMPRODUCT($N$12:$N$12,$I$12:$I$12)),0,+SUMPRODUCT($N$12:$N$12,$I$12:$I$12))</f>
        <v>44750.826560126428</v>
      </c>
      <c r="O74" s="30">
        <f>IF(ISERROR(+SUMPRODUCT($O$12:$O$12,$I$12:$I$12)),0,+SUMPRODUCT($O$12:$O$12,$I$12:$I$12))</f>
        <v>5097.5749861327531</v>
      </c>
      <c r="P74" s="30">
        <f>IF(ISERROR(+SUMPRODUCT($P$12:$P$12,$I$12:$I$12)),0,+SUMPRODUCT($P$12:$P$12,$I$12:$I$12))</f>
        <v>0</v>
      </c>
      <c r="Q74" s="30">
        <f>IF(ISERROR(+SUMPRODUCT($Q$12:$Q$12,$I$12:$I$12)),0,+SUMPRODUCT($Q$12:$Q$12,$I$12:$I$12))</f>
        <v>0</v>
      </c>
      <c r="R74" s="30">
        <f>IF(ISERROR(+SUMPRODUCT($R$12:$R$12,$I$12:$I$12)),0,+SUMPRODUCT($R$12:$R$12,$I$12:$I$12))</f>
        <v>0</v>
      </c>
      <c r="S74" s="30">
        <f>IF(ISERROR(+SUMPRODUCT($S$12:$S$12,$I$12:$I$12)),0,+SUMPRODUCT($S$12:$S$12,$I$12:$I$12))</f>
        <v>0</v>
      </c>
      <c r="T74" s="30"/>
      <c r="U74" s="30">
        <f>IF(ISERROR(+SUMPRODUCT($U$12:$U$12,$I$12:$I$12)),0,+SUMPRODUCT($U$12:$U$12,$I$12:$I$12))</f>
        <v>0</v>
      </c>
      <c r="V74" s="30">
        <f>IF(ISERROR(+SUMPRODUCT($V$12:$V$12,$I$12:$I$12)),0,+SUMPRODUCT($V$12:$V$12,$I$12:$I$12))</f>
        <v>0</v>
      </c>
      <c r="W74" s="30">
        <f>IF(ISERROR(+SUMPRODUCT($W$12:$W$12,$I$12:$I$12)),0,+SUMPRODUCT($W$12:$W$12,$I$12:$I$12))</f>
        <v>296721.34398308449</v>
      </c>
      <c r="X74" s="30">
        <f>IF(ISERROR(+SUMPRODUCT($X$12:$X$12,$I$12:$I$12)),0,+SUMPRODUCT($X$12:$X$12,$I$12:$I$12))</f>
        <v>0</v>
      </c>
      <c r="Y74" s="30">
        <f>IF(ISERROR(+SUMPRODUCT($Y$12:$Y$12,$I$12:$I$12)),0,+SUMPRODUCT($Y$12:$Y$12,$I$12:$I$12))</f>
        <v>0</v>
      </c>
      <c r="Z74" s="30">
        <f>IF(ISERROR(+SUMPRODUCT($Z$12:$Z$12,$I$12:$I$12)),0,+SUMPRODUCT($Z$12:$Z$12,$I$12:$I$12))</f>
        <v>0</v>
      </c>
      <c r="AA74" s="30">
        <f>IF(ISERROR(+SUMPRODUCT($AA$12:$AA$12,$I$12:$I$12)),0,+SUMPRODUCT($AA$12:$AA$12,$I$12:$I$12))</f>
        <v>0</v>
      </c>
      <c r="AB74" s="30"/>
      <c r="AC74" s="30">
        <f>IF(ISERROR(+SUMPRODUCT($AC$12:$AC$12,$I$12:$I$12)),0,+SUMPRODUCT($AC$12:$AC$12,$I$12:$I$12))</f>
        <v>7618570.8924127771</v>
      </c>
      <c r="AD74" s="30"/>
      <c r="AE74" s="30">
        <f>IF(ISERROR(+SUMPRODUCT($AE$12:$AE$12,$I$12:$I$12)),0,+SUMPRODUCT($AE$12:$AE$12,$I$12:$I$12))</f>
        <v>0</v>
      </c>
      <c r="AF74" s="30">
        <f>IF(ISERROR(+SUMPRODUCT($AF$12:$AF$12,$I$12:$I$12)),0,+SUMPRODUCT($AF$12:$AF$12,$I$12:$I$12))</f>
        <v>0</v>
      </c>
      <c r="AG74" s="30"/>
      <c r="AH74" s="30">
        <f>IF(ISERROR(+SUMPRODUCT($AH$12:$AH$12,$I$12:$I$12)),0,+SUMPRODUCT($AH$12:$AH$12,$I$12:$I$12))</f>
        <v>756793.82485728827</v>
      </c>
      <c r="AI74" s="30">
        <f>IF(ISERROR(+SUMPRODUCT($AI$12:$AI$12,$I$12:$I$12)),0,+SUMPRODUCT($AI$12:$AI$12,$I$12:$I$12))</f>
        <v>163939.31862301572</v>
      </c>
      <c r="AJ74" s="30">
        <f>IF(ISERROR(+SUMPRODUCT($AJ$12:$AJ$12,$I$12:$I$12)),0,+SUMPRODUCT($AJ$12:$AJ$12,$I$12:$I$12))</f>
        <v>0</v>
      </c>
      <c r="AK74" s="30">
        <f>IF(ISERROR(+SUMPRODUCT($AK$12:$AK$12,$I$12:$I$12)),0,+SUMPRODUCT($AK$12:$AK$12,$I$12:$I$12))</f>
        <v>0</v>
      </c>
      <c r="AL74" s="30"/>
      <c r="AM74" s="30"/>
    </row>
    <row r="75" spans="1:42" ht="11.25" customHeight="1" x14ac:dyDescent="0.25">
      <c r="K75" s="31" t="s">
        <v>953</v>
      </c>
      <c r="L75" s="30">
        <f>IF(ISERROR(+SUMPRODUCT($L$5:$L$8,$I$5:$I$8)+SUMPRODUCT($L$9:$L$11,$I$9:$I$11)+SUMPRODUCT($L$13:$L$16,$I$13:$I$16)+SUMPRODUCT($L$17:$L$19,$I$17:$I$19)+SUMPRODUCT($L$20:$L$22,$I$20:$I$22)+SUMPRODUCT($L$23:$L$25,$I$23:$I$25)+SUMPRODUCT($L$26:$L$28,$I$26:$I$28)+SUMPRODUCT($L$29:$L$29,$I$29:$I$29)+SUMPRODUCT($L$30:$L$34,$I$30:$I$34)+SUMPRODUCT($L$35:$L$36,$I$35:$I$36)+SUMPRODUCT($L$37:$L$39,$I$37:$I$39)+SUMPRODUCT($L$40:$L$44,$I$40:$I$44)+SUMPRODUCT($L$45:$L$49,$I$45:$I$49)+SUMPRODUCT($L$50:$L$52,$I$50:$I$52)+SUMPRODUCT($L$53:$L$53,$I$53:$I$53)+SUMPRODUCT($L$54:$L$56,$I$54:$I$56)+SUMPRODUCT($L$57:$L$57,$I$57:$I$57)+SUMPRODUCT($L$58:$L$60,$I$58:$I$60)+SUMPRODUCT($L$61:$L$61,$I$61:$I$61)+SUMPRODUCT($L$62:$L$64,$I$62:$I$64)+SUMPRODUCT($L$65:$L$67,$I$65:$I$67)+SUMPRODUCT($L$68:$L$68,$I$68:$I$68)+SUMPRODUCT($L$69:$L$69,$I$69:$I$69)+SUMPRODUCT($L$70:$L$71,$I$70:$I$71)),0,+SUMPRODUCT($L$5:$L$8,$I$5:$I$8)+SUMPRODUCT($L$9:$L$11,$I$9:$I$11)+SUMPRODUCT($L$13:$L$16,$I$13:$I$16)+SUMPRODUCT($L$17:$L$19,$I$17:$I$19)+SUMPRODUCT($L$20:$L$22,$I$20:$I$22)+SUMPRODUCT($L$23:$L$25,$I$23:$I$25)+SUMPRODUCT($L$26:$L$28,$I$26:$I$28)+SUMPRODUCT($L$29:$L$29,$I$29:$I$29)+SUMPRODUCT($L$30:$L$34,$I$30:$I$34)+SUMPRODUCT($L$35:$L$36,$I$35:$I$36)+SUMPRODUCT($L$37:$L$39,$I$37:$I$39)+SUMPRODUCT($L$40:$L$44,$I$40:$I$44)+SUMPRODUCT($L$45:$L$49,$I$45:$I$49)+SUMPRODUCT($L$50:$L$52,$I$50:$I$52)+SUMPRODUCT($L$53:$L$53,$I$53:$I$53)+SUMPRODUCT($L$54:$L$56,$I$54:$I$56)+SUMPRODUCT($L$57:$L$57,$I$57:$I$57)+SUMPRODUCT($L$58:$L$60,$I$58:$I$60)+SUMPRODUCT($L$61:$L$61,$I$61:$I$61)+SUMPRODUCT($L$62:$L$64,$I$62:$I$64)+SUMPRODUCT($L$65:$L$67,$I$65:$I$67)+SUMPRODUCT($L$68:$L$68,$I$68:$I$68)+SUMPRODUCT($L$69:$L$69,$I$69:$I$69)+SUMPRODUCT($L$70:$L$71,$I$70:$I$71))</f>
        <v>2199239.9343300001</v>
      </c>
      <c r="M75" s="30">
        <f>IF(ISERROR(+SUMPRODUCT($M$5:$M$8,$I$5:$I$8)+SUMPRODUCT($M$9:$M$11,$I$9:$I$11)+SUMPRODUCT($M$13:$M$16,$I$13:$I$16)+SUMPRODUCT($M$17:$M$19,$I$17:$I$19)+SUMPRODUCT($M$20:$M$22,$I$20:$I$22)+SUMPRODUCT($M$23:$M$25,$I$23:$I$25)+SUMPRODUCT($M$26:$M$28,$I$26:$I$28)+SUMPRODUCT($M$29:$M$29,$I$29:$I$29)+SUMPRODUCT($M$30:$M$34,$I$30:$I$34)+SUMPRODUCT($M$35:$M$36,$I$35:$I$36)+SUMPRODUCT($M$37:$M$39,$I$37:$I$39)+SUMPRODUCT($M$40:$M$44,$I$40:$I$44)+SUMPRODUCT($M$45:$M$49,$I$45:$I$49)+SUMPRODUCT($M$50:$M$52,$I$50:$I$52)+SUMPRODUCT($M$53:$M$53,$I$53:$I$53)+SUMPRODUCT($M$54:$M$56,$I$54:$I$56)+SUMPRODUCT($M$57:$M$57,$I$57:$I$57)+SUMPRODUCT($M$58:$M$60,$I$58:$I$60)+SUMPRODUCT($M$61:$M$61,$I$61:$I$61)+SUMPRODUCT($M$62:$M$64,$I$62:$I$64)+SUMPRODUCT($M$65:$M$67,$I$65:$I$67)+SUMPRODUCT($M$68:$M$68,$I$68:$I$68)+SUMPRODUCT($M$69:$M$69,$I$69:$I$69)+SUMPRODUCT($M$70:$M$71,$I$70:$I$71)),0,+SUMPRODUCT($M$5:$M$8,$I$5:$I$8)+SUMPRODUCT($M$9:$M$11,$I$9:$I$11)+SUMPRODUCT($M$13:$M$16,$I$13:$I$16)+SUMPRODUCT($M$17:$M$19,$I$17:$I$19)+SUMPRODUCT($M$20:$M$22,$I$20:$I$22)+SUMPRODUCT($M$23:$M$25,$I$23:$I$25)+SUMPRODUCT($M$26:$M$28,$I$26:$I$28)+SUMPRODUCT($M$29:$M$29,$I$29:$I$29)+SUMPRODUCT($M$30:$M$34,$I$30:$I$34)+SUMPRODUCT($M$35:$M$36,$I$35:$I$36)+SUMPRODUCT($M$37:$M$39,$I$37:$I$39)+SUMPRODUCT($M$40:$M$44,$I$40:$I$44)+SUMPRODUCT($M$45:$M$49,$I$45:$I$49)+SUMPRODUCT($M$50:$M$52,$I$50:$I$52)+SUMPRODUCT($M$53:$M$53,$I$53:$I$53)+SUMPRODUCT($M$54:$M$56,$I$54:$I$56)+SUMPRODUCT($M$57:$M$57,$I$57:$I$57)+SUMPRODUCT($M$58:$M$60,$I$58:$I$60)+SUMPRODUCT($M$61:$M$61,$I$61:$I$61)+SUMPRODUCT($M$62:$M$64,$I$62:$I$64)+SUMPRODUCT($M$65:$M$67,$I$65:$I$67)+SUMPRODUCT($M$68:$M$68,$I$68:$I$68)+SUMPRODUCT($M$69:$M$69,$I$69:$I$69)+SUMPRODUCT($M$70:$M$71,$I$70:$I$71))</f>
        <v>2713096.634250117</v>
      </c>
      <c r="N75" s="30">
        <f ca="1">IF(ISERROR(+SUMPRODUCT($N$5:$N$8,$I$5:$I$8)+SUMPRODUCT($N$9:$N$11,$I$9:$I$11)+SUMPRODUCT($N$13:$N$16,$I$13:$I$16)+SUMPRODUCT($N$17:$N$19,$I$17:$I$19)+SUMPRODUCT($N$20:$N$22,$I$20:$I$22)+SUMPRODUCT($N$23:$N$25,$I$23:$I$25)+SUMPRODUCT($N$26:$N$28,$I$26:$I$28)+SUMPRODUCT($N$29:$N$29,$I$29:$I$29)+SUMPRODUCT($N$30:$N$34,$I$30:$I$34)+SUMPRODUCT($N$35:$N$36,$I$35:$I$36)+SUMPRODUCT($N$37:$N$39,$I$37:$I$39)+SUMPRODUCT($N$40:$N$44,$I$40:$I$44)+SUMPRODUCT($N$45:$N$49,$I$45:$I$49)+SUMPRODUCT($N$50:$N$52,$I$50:$I$52)+SUMPRODUCT($N$53:$N$53,$I$53:$I$53)+SUMPRODUCT($N$54:$N$56,$I$54:$I$56)+SUMPRODUCT($N$57:$N$57,$I$57:$I$57)+SUMPRODUCT($N$58:$N$60,$I$58:$I$60)+SUMPRODUCT($N$61:$N$61,$I$61:$I$61)+SUMPRODUCT($N$62:$N$64,$I$62:$I$64)+SUMPRODUCT($N$65:$N$67,$I$65:$I$67)+SUMPRODUCT($N$68:$N$68,$I$68:$I$68)+SUMPRODUCT($N$69:$N$69,$I$69:$I$69)+SUMPRODUCT($N$70:$N$71,$I$70:$I$71)),0,+SUMPRODUCT($N$5:$N$8,$I$5:$I$8)+SUMPRODUCT($N$9:$N$11,$I$9:$I$11)+SUMPRODUCT($N$13:$N$16,$I$13:$I$16)+SUMPRODUCT($N$17:$N$19,$I$17:$I$19)+SUMPRODUCT($N$20:$N$22,$I$20:$I$22)+SUMPRODUCT($N$23:$N$25,$I$23:$I$25)+SUMPRODUCT($N$26:$N$28,$I$26:$I$28)+SUMPRODUCT($N$29:$N$29,$I$29:$I$29)+SUMPRODUCT($N$30:$N$34,$I$30:$I$34)+SUMPRODUCT($N$35:$N$36,$I$35:$I$36)+SUMPRODUCT($N$37:$N$39,$I$37:$I$39)+SUMPRODUCT($N$40:$N$44,$I$40:$I$44)+SUMPRODUCT($N$45:$N$49,$I$45:$I$49)+SUMPRODUCT($N$50:$N$52,$I$50:$I$52)+SUMPRODUCT($N$53:$N$53,$I$53:$I$53)+SUMPRODUCT($N$54:$N$56,$I$54:$I$56)+SUMPRODUCT($N$57:$N$57,$I$57:$I$57)+SUMPRODUCT($N$58:$N$60,$I$58:$I$60)+SUMPRODUCT($N$61:$N$61,$I$61:$I$61)+SUMPRODUCT($N$62:$N$64,$I$62:$I$64)+SUMPRODUCT($N$65:$N$67,$I$65:$I$67)+SUMPRODUCT($N$68:$N$68,$I$68:$I$68)+SUMPRODUCT($N$69:$N$69,$I$69:$I$69)+SUMPRODUCT($N$70:$N$71,$I$70:$I$71))</f>
        <v>5189714.9258676581</v>
      </c>
      <c r="O75" s="30">
        <f>IF(ISERROR(+SUMPRODUCT($O$5:$O$8,$I$5:$I$8)+SUMPRODUCT($O$9:$O$11,$I$9:$I$11)+SUMPRODUCT($O$13:$O$16,$I$13:$I$16)+SUMPRODUCT($O$17:$O$19,$I$17:$I$19)+SUMPRODUCT($O$20:$O$22,$I$20:$I$22)+SUMPRODUCT($O$23:$O$25,$I$23:$I$25)+SUMPRODUCT($O$26:$O$28,$I$26:$I$28)+SUMPRODUCT($O$29:$O$29,$I$29:$I$29)+SUMPRODUCT($O$30:$O$34,$I$30:$I$34)+SUMPRODUCT($O$35:$O$36,$I$35:$I$36)+SUMPRODUCT($O$37:$O$39,$I$37:$I$39)+SUMPRODUCT($O$40:$O$44,$I$40:$I$44)+SUMPRODUCT($O$45:$O$49,$I$45:$I$49)+SUMPRODUCT($O$50:$O$52,$I$50:$I$52)+SUMPRODUCT($O$53:$O$53,$I$53:$I$53)+SUMPRODUCT($O$54:$O$56,$I$54:$I$56)+SUMPRODUCT($O$57:$O$57,$I$57:$I$57)+SUMPRODUCT($O$58:$O$60,$I$58:$I$60)+SUMPRODUCT($O$61:$O$61,$I$61:$I$61)+SUMPRODUCT($O$62:$O$64,$I$62:$I$64)+SUMPRODUCT($O$65:$O$67,$I$65:$I$67)+SUMPRODUCT($O$68:$O$68,$I$68:$I$68)+SUMPRODUCT($O$69:$O$69,$I$69:$I$69)+SUMPRODUCT($O$70:$O$71,$I$70:$I$71)),0,+SUMPRODUCT($O$5:$O$8,$I$5:$I$8)+SUMPRODUCT($O$9:$O$11,$I$9:$I$11)+SUMPRODUCT($O$13:$O$16,$I$13:$I$16)+SUMPRODUCT($O$17:$O$19,$I$17:$I$19)+SUMPRODUCT($O$20:$O$22,$I$20:$I$22)+SUMPRODUCT($O$23:$O$25,$I$23:$I$25)+SUMPRODUCT($O$26:$O$28,$I$26:$I$28)+SUMPRODUCT($O$29:$O$29,$I$29:$I$29)+SUMPRODUCT($O$30:$O$34,$I$30:$I$34)+SUMPRODUCT($O$35:$O$36,$I$35:$I$36)+SUMPRODUCT($O$37:$O$39,$I$37:$I$39)+SUMPRODUCT($O$40:$O$44,$I$40:$I$44)+SUMPRODUCT($O$45:$O$49,$I$45:$I$49)+SUMPRODUCT($O$50:$O$52,$I$50:$I$52)+SUMPRODUCT($O$53:$O$53,$I$53:$I$53)+SUMPRODUCT($O$54:$O$56,$I$54:$I$56)+SUMPRODUCT($O$57:$O$57,$I$57:$I$57)+SUMPRODUCT($O$58:$O$60,$I$58:$I$60)+SUMPRODUCT($O$61:$O$61,$I$61:$I$61)+SUMPRODUCT($O$62:$O$64,$I$62:$I$64)+SUMPRODUCT($O$65:$O$67,$I$65:$I$67)+SUMPRODUCT($O$68:$O$68,$I$68:$I$68)+SUMPRODUCT($O$69:$O$69,$I$69:$I$69)+SUMPRODUCT($O$70:$O$71,$I$70:$I$71))</f>
        <v>2810884.3021499999</v>
      </c>
      <c r="P75" s="30">
        <f>IF(ISERROR(+SUMPRODUCT($P$5:$P$8,$I$5:$I$8)+SUMPRODUCT($P$9:$P$11,$I$9:$I$11)+SUMPRODUCT($P$13:$P$16,$I$13:$I$16)+SUMPRODUCT($P$17:$P$19,$I$17:$I$19)+SUMPRODUCT($P$20:$P$22,$I$20:$I$22)+SUMPRODUCT($P$23:$P$25,$I$23:$I$25)+SUMPRODUCT($P$26:$P$28,$I$26:$I$28)+SUMPRODUCT($P$29:$P$29,$I$29:$I$29)+SUMPRODUCT($P$30:$P$34,$I$30:$I$34)+SUMPRODUCT($P$35:$P$36,$I$35:$I$36)+SUMPRODUCT($P$37:$P$39,$I$37:$I$39)+SUMPRODUCT($P$40:$P$44,$I$40:$I$44)+SUMPRODUCT($P$45:$P$49,$I$45:$I$49)+SUMPRODUCT($P$50:$P$52,$I$50:$I$52)+SUMPRODUCT($P$53:$P$53,$I$53:$I$53)+SUMPRODUCT($P$54:$P$56,$I$54:$I$56)+SUMPRODUCT($P$57:$P$57,$I$57:$I$57)+SUMPRODUCT($P$58:$P$60,$I$58:$I$60)+SUMPRODUCT($P$61:$P$61,$I$61:$I$61)+SUMPRODUCT($P$62:$P$64,$I$62:$I$64)+SUMPRODUCT($P$65:$P$67,$I$65:$I$67)+SUMPRODUCT($P$68:$P$68,$I$68:$I$68)+SUMPRODUCT($P$69:$P$69,$I$69:$I$69)+SUMPRODUCT($P$70:$P$71,$I$70:$I$71)),0,+SUMPRODUCT($P$5:$P$8,$I$5:$I$8)+SUMPRODUCT($P$9:$P$11,$I$9:$I$11)+SUMPRODUCT($P$13:$P$16,$I$13:$I$16)+SUMPRODUCT($P$17:$P$19,$I$17:$I$19)+SUMPRODUCT($P$20:$P$22,$I$20:$I$22)+SUMPRODUCT($P$23:$P$25,$I$23:$I$25)+SUMPRODUCT($P$26:$P$28,$I$26:$I$28)+SUMPRODUCT($P$29:$P$29,$I$29:$I$29)+SUMPRODUCT($P$30:$P$34,$I$30:$I$34)+SUMPRODUCT($P$35:$P$36,$I$35:$I$36)+SUMPRODUCT($P$37:$P$39,$I$37:$I$39)+SUMPRODUCT($P$40:$P$44,$I$40:$I$44)+SUMPRODUCT($P$45:$P$49,$I$45:$I$49)+SUMPRODUCT($P$50:$P$52,$I$50:$I$52)+SUMPRODUCT($P$53:$P$53,$I$53:$I$53)+SUMPRODUCT($P$54:$P$56,$I$54:$I$56)+SUMPRODUCT($P$57:$P$57,$I$57:$I$57)+SUMPRODUCT($P$58:$P$60,$I$58:$I$60)+SUMPRODUCT($P$61:$P$61,$I$61:$I$61)+SUMPRODUCT($P$62:$P$64,$I$62:$I$64)+SUMPRODUCT($P$65:$P$67,$I$65:$I$67)+SUMPRODUCT($P$68:$P$68,$I$68:$I$68)+SUMPRODUCT($P$69:$P$69,$I$69:$I$69)+SUMPRODUCT($P$70:$P$71,$I$70:$I$71))</f>
        <v>2404831.2321500001</v>
      </c>
      <c r="Q75" s="30">
        <f>IF(ISERROR(+SUMPRODUCT($Q$5:$Q$8,$I$5:$I$8)+SUMPRODUCT($Q$9:$Q$11,$I$9:$I$11)+SUMPRODUCT($Q$13:$Q$16,$I$13:$I$16)+SUMPRODUCT($Q$17:$Q$19,$I$17:$I$19)+SUMPRODUCT($Q$20:$Q$22,$I$20:$I$22)+SUMPRODUCT($Q$23:$Q$25,$I$23:$I$25)+SUMPRODUCT($Q$26:$Q$28,$I$26:$I$28)+SUMPRODUCT($Q$29:$Q$29,$I$29:$I$29)+SUMPRODUCT($Q$30:$Q$34,$I$30:$I$34)+SUMPRODUCT($Q$35:$Q$36,$I$35:$I$36)+SUMPRODUCT($Q$37:$Q$39,$I$37:$I$39)+SUMPRODUCT($Q$40:$Q$44,$I$40:$I$44)+SUMPRODUCT($Q$45:$Q$49,$I$45:$I$49)+SUMPRODUCT($Q$50:$Q$52,$I$50:$I$52)+SUMPRODUCT($Q$53:$Q$53,$I$53:$I$53)+SUMPRODUCT($Q$54:$Q$56,$I$54:$I$56)+SUMPRODUCT($Q$57:$Q$57,$I$57:$I$57)+SUMPRODUCT($Q$58:$Q$60,$I$58:$I$60)+SUMPRODUCT($Q$61:$Q$61,$I$61:$I$61)+SUMPRODUCT($Q$62:$Q$64,$I$62:$I$64)+SUMPRODUCT($Q$65:$Q$67,$I$65:$I$67)+SUMPRODUCT($Q$68:$Q$68,$I$68:$I$68)+SUMPRODUCT($Q$69:$Q$69,$I$69:$I$69)+SUMPRODUCT($Q$70:$Q$71,$I$70:$I$71)),0,+SUMPRODUCT($Q$5:$Q$8,$I$5:$I$8)+SUMPRODUCT($Q$9:$Q$11,$I$9:$I$11)+SUMPRODUCT($Q$13:$Q$16,$I$13:$I$16)+SUMPRODUCT($Q$17:$Q$19,$I$17:$I$19)+SUMPRODUCT($Q$20:$Q$22,$I$20:$I$22)+SUMPRODUCT($Q$23:$Q$25,$I$23:$I$25)+SUMPRODUCT($Q$26:$Q$28,$I$26:$I$28)+SUMPRODUCT($Q$29:$Q$29,$I$29:$I$29)+SUMPRODUCT($Q$30:$Q$34,$I$30:$I$34)+SUMPRODUCT($Q$35:$Q$36,$I$35:$I$36)+SUMPRODUCT($Q$37:$Q$39,$I$37:$I$39)+SUMPRODUCT($Q$40:$Q$44,$I$40:$I$44)+SUMPRODUCT($Q$45:$Q$49,$I$45:$I$49)+SUMPRODUCT($Q$50:$Q$52,$I$50:$I$52)+SUMPRODUCT($Q$53:$Q$53,$I$53:$I$53)+SUMPRODUCT($Q$54:$Q$56,$I$54:$I$56)+SUMPRODUCT($Q$57:$Q$57,$I$57:$I$57)+SUMPRODUCT($Q$58:$Q$60,$I$58:$I$60)+SUMPRODUCT($Q$61:$Q$61,$I$61:$I$61)+SUMPRODUCT($Q$62:$Q$64,$I$62:$I$64)+SUMPRODUCT($Q$65:$Q$67,$I$65:$I$67)+SUMPRODUCT($Q$68:$Q$68,$I$68:$I$68)+SUMPRODUCT($Q$69:$Q$69,$I$69:$I$69)+SUMPRODUCT($Q$70:$Q$71,$I$70:$I$71))</f>
        <v>2199239.9343300001</v>
      </c>
      <c r="R75" s="30">
        <f>IF(ISERROR(+SUMPRODUCT($R$5:$R$8,$I$5:$I$8)+SUMPRODUCT($R$9:$R$11,$I$9:$I$11)+SUMPRODUCT($R$13:$R$16,$I$13:$I$16)+SUMPRODUCT($R$17:$R$19,$I$17:$I$19)+SUMPRODUCT($R$20:$R$22,$I$20:$I$22)+SUMPRODUCT($R$23:$R$25,$I$23:$I$25)+SUMPRODUCT($R$26:$R$28,$I$26:$I$28)+SUMPRODUCT($R$29:$R$29,$I$29:$I$29)+SUMPRODUCT($R$30:$R$34,$I$30:$I$34)+SUMPRODUCT($R$35:$R$36,$I$35:$I$36)+SUMPRODUCT($R$37:$R$39,$I$37:$I$39)+SUMPRODUCT($R$40:$R$44,$I$40:$I$44)+SUMPRODUCT($R$45:$R$49,$I$45:$I$49)+SUMPRODUCT($R$50:$R$52,$I$50:$I$52)+SUMPRODUCT($R$53:$R$53,$I$53:$I$53)+SUMPRODUCT($R$54:$R$56,$I$54:$I$56)+SUMPRODUCT($R$57:$R$57,$I$57:$I$57)+SUMPRODUCT($R$58:$R$60,$I$58:$I$60)+SUMPRODUCT($R$61:$R$61,$I$61:$I$61)+SUMPRODUCT($R$62:$R$64,$I$62:$I$64)+SUMPRODUCT($R$65:$R$67,$I$65:$I$67)+SUMPRODUCT($R$68:$R$68,$I$68:$I$68)+SUMPRODUCT($R$69:$R$69,$I$69:$I$69)+SUMPRODUCT($R$70:$R$71,$I$70:$I$71)),0,+SUMPRODUCT($R$5:$R$8,$I$5:$I$8)+SUMPRODUCT($R$9:$R$11,$I$9:$I$11)+SUMPRODUCT($R$13:$R$16,$I$13:$I$16)+SUMPRODUCT($R$17:$R$19,$I$17:$I$19)+SUMPRODUCT($R$20:$R$22,$I$20:$I$22)+SUMPRODUCT($R$23:$R$25,$I$23:$I$25)+SUMPRODUCT($R$26:$R$28,$I$26:$I$28)+SUMPRODUCT($R$29:$R$29,$I$29:$I$29)+SUMPRODUCT($R$30:$R$34,$I$30:$I$34)+SUMPRODUCT($R$35:$R$36,$I$35:$I$36)+SUMPRODUCT($R$37:$R$39,$I$37:$I$39)+SUMPRODUCT($R$40:$R$44,$I$40:$I$44)+SUMPRODUCT($R$45:$R$49,$I$45:$I$49)+SUMPRODUCT($R$50:$R$52,$I$50:$I$52)+SUMPRODUCT($R$53:$R$53,$I$53:$I$53)+SUMPRODUCT($R$54:$R$56,$I$54:$I$56)+SUMPRODUCT($R$57:$R$57,$I$57:$I$57)+SUMPRODUCT($R$58:$R$60,$I$58:$I$60)+SUMPRODUCT($R$61:$R$61,$I$61:$I$61)+SUMPRODUCT($R$62:$R$64,$I$62:$I$64)+SUMPRODUCT($R$65:$R$67,$I$65:$I$67)+SUMPRODUCT($R$68:$R$68,$I$68:$I$68)+SUMPRODUCT($R$69:$R$69,$I$69:$I$69)+SUMPRODUCT($R$70:$R$71,$I$70:$I$71))</f>
        <v>2404831.2321500001</v>
      </c>
      <c r="S75" s="30">
        <f>IF(ISERROR(+SUMPRODUCT($S$5:$S$8,$I$5:$I$8)+SUMPRODUCT($S$9:$S$11,$I$9:$I$11)+SUMPRODUCT($S$13:$S$16,$I$13:$I$16)+SUMPRODUCT($S$17:$S$19,$I$17:$I$19)+SUMPRODUCT($S$20:$S$22,$I$20:$I$22)+SUMPRODUCT($S$23:$S$25,$I$23:$I$25)+SUMPRODUCT($S$26:$S$28,$I$26:$I$28)+SUMPRODUCT($S$29:$S$29,$I$29:$I$29)+SUMPRODUCT($S$30:$S$34,$I$30:$I$34)+SUMPRODUCT($S$35:$S$36,$I$35:$I$36)+SUMPRODUCT($S$37:$S$39,$I$37:$I$39)+SUMPRODUCT($S$40:$S$44,$I$40:$I$44)+SUMPRODUCT($S$45:$S$49,$I$45:$I$49)+SUMPRODUCT($S$50:$S$52,$I$50:$I$52)+SUMPRODUCT($S$53:$S$53,$I$53:$I$53)+SUMPRODUCT($S$54:$S$56,$I$54:$I$56)+SUMPRODUCT($S$57:$S$57,$I$57:$I$57)+SUMPRODUCT($S$58:$S$60,$I$58:$I$60)+SUMPRODUCT($S$61:$S$61,$I$61:$I$61)+SUMPRODUCT($S$62:$S$64,$I$62:$I$64)+SUMPRODUCT($S$65:$S$67,$I$65:$I$67)+SUMPRODUCT($S$68:$S$68,$I$68:$I$68)+SUMPRODUCT($S$69:$S$69,$I$69:$I$69)+SUMPRODUCT($S$70:$S$71,$I$70:$I$71)),0,+SUMPRODUCT($S$5:$S$8,$I$5:$I$8)+SUMPRODUCT($S$9:$S$11,$I$9:$I$11)+SUMPRODUCT($S$13:$S$16,$I$13:$I$16)+SUMPRODUCT($S$17:$S$19,$I$17:$I$19)+SUMPRODUCT($S$20:$S$22,$I$20:$I$22)+SUMPRODUCT($S$23:$S$25,$I$23:$I$25)+SUMPRODUCT($S$26:$S$28,$I$26:$I$28)+SUMPRODUCT($S$29:$S$29,$I$29:$I$29)+SUMPRODUCT($S$30:$S$34,$I$30:$I$34)+SUMPRODUCT($S$35:$S$36,$I$35:$I$36)+SUMPRODUCT($S$37:$S$39,$I$37:$I$39)+SUMPRODUCT($S$40:$S$44,$I$40:$I$44)+SUMPRODUCT($S$45:$S$49,$I$45:$I$49)+SUMPRODUCT($S$50:$S$52,$I$50:$I$52)+SUMPRODUCT($S$53:$S$53,$I$53:$I$53)+SUMPRODUCT($S$54:$S$56,$I$54:$I$56)+SUMPRODUCT($S$57:$S$57,$I$57:$I$57)+SUMPRODUCT($S$58:$S$60,$I$58:$I$60)+SUMPRODUCT($S$61:$S$61,$I$61:$I$61)+SUMPRODUCT($S$62:$S$64,$I$62:$I$64)+SUMPRODUCT($S$65:$S$67,$I$65:$I$67)+SUMPRODUCT($S$68:$S$68,$I$68:$I$68)+SUMPRODUCT($S$69:$S$69,$I$69:$I$69)+SUMPRODUCT($S$70:$S$71,$I$70:$I$71))</f>
        <v>2697168.34815</v>
      </c>
      <c r="T75" s="30"/>
      <c r="U75" s="30">
        <f>IF(ISERROR(+SUMPRODUCT($U$5:$U$8,$I$5:$I$8)+SUMPRODUCT($U$9:$U$11,$I$9:$I$11)+SUMPRODUCT($U$13:$U$16,$I$13:$I$16)+SUMPRODUCT($U$17:$U$19,$I$17:$I$19)+SUMPRODUCT($U$20:$U$22,$I$20:$I$22)+SUMPRODUCT($U$23:$U$25,$I$23:$I$25)+SUMPRODUCT($U$26:$U$28,$I$26:$I$28)+SUMPRODUCT($U$29:$U$29,$I$29:$I$29)+SUMPRODUCT($U$30:$U$34,$I$30:$I$34)+SUMPRODUCT($U$35:$U$36,$I$35:$I$36)+SUMPRODUCT($U$37:$U$39,$I$37:$I$39)+SUMPRODUCT($U$40:$U$44,$I$40:$I$44)+SUMPRODUCT($U$45:$U$49,$I$45:$I$49)+SUMPRODUCT($U$50:$U$52,$I$50:$I$52)+SUMPRODUCT($U$53:$U$53,$I$53:$I$53)+SUMPRODUCT($U$54:$U$56,$I$54:$I$56)+SUMPRODUCT($U$57:$U$57,$I$57:$I$57)+SUMPRODUCT($U$58:$U$60,$I$58:$I$60)+SUMPRODUCT($U$61:$U$61,$I$61:$I$61)+SUMPRODUCT($U$62:$U$64,$I$62:$I$64)+SUMPRODUCT($U$65:$U$67,$I$65:$I$67)+SUMPRODUCT($U$68:$U$68,$I$68:$I$68)+SUMPRODUCT($U$69:$U$69,$I$69:$I$69)+SUMPRODUCT($U$70:$U$71,$I$70:$I$71)),0,+SUMPRODUCT($U$5:$U$8,$I$5:$I$8)+SUMPRODUCT($U$9:$U$11,$I$9:$I$11)+SUMPRODUCT($U$13:$U$16,$I$13:$I$16)+SUMPRODUCT($U$17:$U$19,$I$17:$I$19)+SUMPRODUCT($U$20:$U$22,$I$20:$I$22)+SUMPRODUCT($U$23:$U$25,$I$23:$I$25)+SUMPRODUCT($U$26:$U$28,$I$26:$I$28)+SUMPRODUCT($U$29:$U$29,$I$29:$I$29)+SUMPRODUCT($U$30:$U$34,$I$30:$I$34)+SUMPRODUCT($U$35:$U$36,$I$35:$I$36)+SUMPRODUCT($U$37:$U$39,$I$37:$I$39)+SUMPRODUCT($U$40:$U$44,$I$40:$I$44)+SUMPRODUCT($U$45:$U$49,$I$45:$I$49)+SUMPRODUCT($U$50:$U$52,$I$50:$I$52)+SUMPRODUCT($U$53:$U$53,$I$53:$I$53)+SUMPRODUCT($U$54:$U$56,$I$54:$I$56)+SUMPRODUCT($U$57:$U$57,$I$57:$I$57)+SUMPRODUCT($U$58:$U$60,$I$58:$I$60)+SUMPRODUCT($U$61:$U$61,$I$61:$I$61)+SUMPRODUCT($U$62:$U$64,$I$62:$I$64)+SUMPRODUCT($U$65:$U$67,$I$65:$I$67)+SUMPRODUCT($U$68:$U$68,$I$68:$I$68)+SUMPRODUCT($U$69:$U$69,$I$69:$I$69)+SUMPRODUCT($U$70:$U$71,$I$70:$I$71))</f>
        <v>54865768.994181506</v>
      </c>
      <c r="V75" s="30">
        <f>IF(ISERROR(+SUMPRODUCT($V$5:$V$8,$I$5:$I$8)+SUMPRODUCT($V$9:$V$11,$I$9:$I$11)+SUMPRODUCT($V$13:$V$16,$I$13:$I$16)+SUMPRODUCT($V$17:$V$19,$I$17:$I$19)+SUMPRODUCT($V$20:$V$22,$I$20:$I$22)+SUMPRODUCT($V$23:$V$25,$I$23:$I$25)+SUMPRODUCT($V$26:$V$28,$I$26:$I$28)+SUMPRODUCT($V$29:$V$29,$I$29:$I$29)+SUMPRODUCT($V$30:$V$34,$I$30:$I$34)+SUMPRODUCT($V$35:$V$36,$I$35:$I$36)+SUMPRODUCT($V$37:$V$39,$I$37:$I$39)+SUMPRODUCT($V$40:$V$44,$I$40:$I$44)+SUMPRODUCT($V$45:$V$49,$I$45:$I$49)+SUMPRODUCT($V$50:$V$52,$I$50:$I$52)+SUMPRODUCT($V$53:$V$53,$I$53:$I$53)+SUMPRODUCT($V$54:$V$56,$I$54:$I$56)+SUMPRODUCT($V$57:$V$57,$I$57:$I$57)+SUMPRODUCT($V$58:$V$60,$I$58:$I$60)+SUMPRODUCT($V$61:$V$61,$I$61:$I$61)+SUMPRODUCT($V$62:$V$64,$I$62:$I$64)+SUMPRODUCT($V$65:$V$67,$I$65:$I$67)+SUMPRODUCT($V$68:$V$68,$I$68:$I$68)+SUMPRODUCT($V$69:$V$69,$I$69:$I$69)+SUMPRODUCT($V$70:$V$71,$I$70:$I$71)),0,+SUMPRODUCT($V$5:$V$8,$I$5:$I$8)+SUMPRODUCT($V$9:$V$11,$I$9:$I$11)+SUMPRODUCT($V$13:$V$16,$I$13:$I$16)+SUMPRODUCT($V$17:$V$19,$I$17:$I$19)+SUMPRODUCT($V$20:$V$22,$I$20:$I$22)+SUMPRODUCT($V$23:$V$25,$I$23:$I$25)+SUMPRODUCT($V$26:$V$28,$I$26:$I$28)+SUMPRODUCT($V$29:$V$29,$I$29:$I$29)+SUMPRODUCT($V$30:$V$34,$I$30:$I$34)+SUMPRODUCT($V$35:$V$36,$I$35:$I$36)+SUMPRODUCT($V$37:$V$39,$I$37:$I$39)+SUMPRODUCT($V$40:$V$44,$I$40:$I$44)+SUMPRODUCT($V$45:$V$49,$I$45:$I$49)+SUMPRODUCT($V$50:$V$52,$I$50:$I$52)+SUMPRODUCT($V$53:$V$53,$I$53:$I$53)+SUMPRODUCT($V$54:$V$56,$I$54:$I$56)+SUMPRODUCT($V$57:$V$57,$I$57:$I$57)+SUMPRODUCT($V$58:$V$60,$I$58:$I$60)+SUMPRODUCT($V$61:$V$61,$I$61:$I$61)+SUMPRODUCT($V$62:$V$64,$I$62:$I$64)+SUMPRODUCT($V$65:$V$67,$I$65:$I$67)+SUMPRODUCT($V$68:$V$68,$I$68:$I$68)+SUMPRODUCT($V$69:$V$69,$I$69:$I$69)+SUMPRODUCT($V$70:$V$71,$I$70:$I$71))</f>
        <v>12635074.250850361</v>
      </c>
      <c r="W75" s="30">
        <f>IF(ISERROR(+SUMPRODUCT($W$5:$W$8,$I$5:$I$8)+SUMPRODUCT($W$9:$W$11,$I$9:$I$11)+SUMPRODUCT($W$13:$W$16,$I$13:$I$16)+SUMPRODUCT($W$17:$W$19,$I$17:$I$19)+SUMPRODUCT($W$20:$W$22,$I$20:$I$22)+SUMPRODUCT($W$23:$W$25,$I$23:$I$25)+SUMPRODUCT($W$26:$W$28,$I$26:$I$28)+SUMPRODUCT($W$29:$W$29,$I$29:$I$29)+SUMPRODUCT($W$30:$W$34,$I$30:$I$34)+SUMPRODUCT($W$35:$W$36,$I$35:$I$36)+SUMPRODUCT($W$37:$W$39,$I$37:$I$39)+SUMPRODUCT($W$40:$W$44,$I$40:$I$44)+SUMPRODUCT($W$45:$W$49,$I$45:$I$49)+SUMPRODUCT($W$50:$W$52,$I$50:$I$52)+SUMPRODUCT($W$53:$W$53,$I$53:$I$53)+SUMPRODUCT($W$54:$W$56,$I$54:$I$56)+SUMPRODUCT($W$57:$W$57,$I$57:$I$57)+SUMPRODUCT($W$58:$W$60,$I$58:$I$60)+SUMPRODUCT($W$61:$W$61,$I$61:$I$61)+SUMPRODUCT($W$62:$W$64,$I$62:$I$64)+SUMPRODUCT($W$65:$W$67,$I$65:$I$67)+SUMPRODUCT($W$68:$W$68,$I$68:$I$68)+SUMPRODUCT($W$69:$W$69,$I$69:$I$69)+SUMPRODUCT($W$70:$W$71,$I$70:$I$71)),0,+SUMPRODUCT($W$5:$W$8,$I$5:$I$8)+SUMPRODUCT($W$9:$W$11,$I$9:$I$11)+SUMPRODUCT($W$13:$W$16,$I$13:$I$16)+SUMPRODUCT($W$17:$W$19,$I$17:$I$19)+SUMPRODUCT($W$20:$W$22,$I$20:$I$22)+SUMPRODUCT($W$23:$W$25,$I$23:$I$25)+SUMPRODUCT($W$26:$W$28,$I$26:$I$28)+SUMPRODUCT($W$29:$W$29,$I$29:$I$29)+SUMPRODUCT($W$30:$W$34,$I$30:$I$34)+SUMPRODUCT($W$35:$W$36,$I$35:$I$36)+SUMPRODUCT($W$37:$W$39,$I$37:$I$39)+SUMPRODUCT($W$40:$W$44,$I$40:$I$44)+SUMPRODUCT($W$45:$W$49,$I$45:$I$49)+SUMPRODUCT($W$50:$W$52,$I$50:$I$52)+SUMPRODUCT($W$53:$W$53,$I$53:$I$53)+SUMPRODUCT($W$54:$W$56,$I$54:$I$56)+SUMPRODUCT($W$57:$W$57,$I$57:$I$57)+SUMPRODUCT($W$58:$W$60,$I$58:$I$60)+SUMPRODUCT($W$61:$W$61,$I$61:$I$61)+SUMPRODUCT($W$62:$W$64,$I$62:$I$64)+SUMPRODUCT($W$65:$W$67,$I$65:$I$67)+SUMPRODUCT($W$68:$W$68,$I$68:$I$68)+SUMPRODUCT($W$69:$W$69,$I$69:$I$69)+SUMPRODUCT($W$70:$W$71,$I$70:$I$71))</f>
        <v>8553206.145206349</v>
      </c>
      <c r="X75" s="30">
        <f>IF(ISERROR(+SUMPRODUCT($X$5:$X$8,$I$5:$I$8)+SUMPRODUCT($X$9:$X$11,$I$9:$I$11)+SUMPRODUCT($X$13:$X$16,$I$13:$I$16)+SUMPRODUCT($X$17:$X$19,$I$17:$I$19)+SUMPRODUCT($X$20:$X$22,$I$20:$I$22)+SUMPRODUCT($X$23:$X$25,$I$23:$I$25)+SUMPRODUCT($X$26:$X$28,$I$26:$I$28)+SUMPRODUCT($X$29:$X$29,$I$29:$I$29)+SUMPRODUCT($X$30:$X$34,$I$30:$I$34)+SUMPRODUCT($X$35:$X$36,$I$35:$I$36)+SUMPRODUCT($X$37:$X$39,$I$37:$I$39)+SUMPRODUCT($X$40:$X$44,$I$40:$I$44)+SUMPRODUCT($X$45:$X$49,$I$45:$I$49)+SUMPRODUCT($X$50:$X$52,$I$50:$I$52)+SUMPRODUCT($X$53:$X$53,$I$53:$I$53)+SUMPRODUCT($X$54:$X$56,$I$54:$I$56)+SUMPRODUCT($X$57:$X$57,$I$57:$I$57)+SUMPRODUCT($X$58:$X$60,$I$58:$I$60)+SUMPRODUCT($X$61:$X$61,$I$61:$I$61)+SUMPRODUCT($X$62:$X$64,$I$62:$I$64)+SUMPRODUCT($X$65:$X$67,$I$65:$I$67)+SUMPRODUCT($X$68:$X$68,$I$68:$I$68)+SUMPRODUCT($X$69:$X$69,$I$69:$I$69)+SUMPRODUCT($X$70:$X$71,$I$70:$I$71)),0,+SUMPRODUCT($X$5:$X$8,$I$5:$I$8)+SUMPRODUCT($X$9:$X$11,$I$9:$I$11)+SUMPRODUCT($X$13:$X$16,$I$13:$I$16)+SUMPRODUCT($X$17:$X$19,$I$17:$I$19)+SUMPRODUCT($X$20:$X$22,$I$20:$I$22)+SUMPRODUCT($X$23:$X$25,$I$23:$I$25)+SUMPRODUCT($X$26:$X$28,$I$26:$I$28)+SUMPRODUCT($X$29:$X$29,$I$29:$I$29)+SUMPRODUCT($X$30:$X$34,$I$30:$I$34)+SUMPRODUCT($X$35:$X$36,$I$35:$I$36)+SUMPRODUCT($X$37:$X$39,$I$37:$I$39)+SUMPRODUCT($X$40:$X$44,$I$40:$I$44)+SUMPRODUCT($X$45:$X$49,$I$45:$I$49)+SUMPRODUCT($X$50:$X$52,$I$50:$I$52)+SUMPRODUCT($X$53:$X$53,$I$53:$I$53)+SUMPRODUCT($X$54:$X$56,$I$54:$I$56)+SUMPRODUCT($X$57:$X$57,$I$57:$I$57)+SUMPRODUCT($X$58:$X$60,$I$58:$I$60)+SUMPRODUCT($X$61:$X$61,$I$61:$I$61)+SUMPRODUCT($X$62:$X$64,$I$62:$I$64)+SUMPRODUCT($X$65:$X$67,$I$65:$I$67)+SUMPRODUCT($X$68:$X$68,$I$68:$I$68)+SUMPRODUCT($X$69:$X$69,$I$69:$I$69)+SUMPRODUCT($X$70:$X$71,$I$70:$I$71))</f>
        <v>0</v>
      </c>
      <c r="Y75" s="30">
        <f>IF(ISERROR(+SUMPRODUCT($Y$5:$Y$8,$I$5:$I$8)+SUMPRODUCT($Y$9:$Y$11,$I$9:$I$11)+SUMPRODUCT($Y$13:$Y$16,$I$13:$I$16)+SUMPRODUCT($Y$17:$Y$19,$I$17:$I$19)+SUMPRODUCT($Y$20:$Y$22,$I$20:$I$22)+SUMPRODUCT($Y$23:$Y$25,$I$23:$I$25)+SUMPRODUCT($Y$26:$Y$28,$I$26:$I$28)+SUMPRODUCT($Y$29:$Y$29,$I$29:$I$29)+SUMPRODUCT($Y$30:$Y$34,$I$30:$I$34)+SUMPRODUCT($Y$35:$Y$36,$I$35:$I$36)+SUMPRODUCT($Y$37:$Y$39,$I$37:$I$39)+SUMPRODUCT($Y$40:$Y$44,$I$40:$I$44)+SUMPRODUCT($Y$45:$Y$49,$I$45:$I$49)+SUMPRODUCT($Y$50:$Y$52,$I$50:$I$52)+SUMPRODUCT($Y$53:$Y$53,$I$53:$I$53)+SUMPRODUCT($Y$54:$Y$56,$I$54:$I$56)+SUMPRODUCT($Y$57:$Y$57,$I$57:$I$57)+SUMPRODUCT($Y$58:$Y$60,$I$58:$I$60)+SUMPRODUCT($Y$61:$Y$61,$I$61:$I$61)+SUMPRODUCT($Y$62:$Y$64,$I$62:$I$64)+SUMPRODUCT($Y$65:$Y$67,$I$65:$I$67)+SUMPRODUCT($Y$68:$Y$68,$I$68:$I$68)+SUMPRODUCT($Y$69:$Y$69,$I$69:$I$69)+SUMPRODUCT($Y$70:$Y$71,$I$70:$I$71)),0,+SUMPRODUCT($Y$5:$Y$8,$I$5:$I$8)+SUMPRODUCT($Y$9:$Y$11,$I$9:$I$11)+SUMPRODUCT($Y$13:$Y$16,$I$13:$I$16)+SUMPRODUCT($Y$17:$Y$19,$I$17:$I$19)+SUMPRODUCT($Y$20:$Y$22,$I$20:$I$22)+SUMPRODUCT($Y$23:$Y$25,$I$23:$I$25)+SUMPRODUCT($Y$26:$Y$28,$I$26:$I$28)+SUMPRODUCT($Y$29:$Y$29,$I$29:$I$29)+SUMPRODUCT($Y$30:$Y$34,$I$30:$I$34)+SUMPRODUCT($Y$35:$Y$36,$I$35:$I$36)+SUMPRODUCT($Y$37:$Y$39,$I$37:$I$39)+SUMPRODUCT($Y$40:$Y$44,$I$40:$I$44)+SUMPRODUCT($Y$45:$Y$49,$I$45:$I$49)+SUMPRODUCT($Y$50:$Y$52,$I$50:$I$52)+SUMPRODUCT($Y$53:$Y$53,$I$53:$I$53)+SUMPRODUCT($Y$54:$Y$56,$I$54:$I$56)+SUMPRODUCT($Y$57:$Y$57,$I$57:$I$57)+SUMPRODUCT($Y$58:$Y$60,$I$58:$I$60)+SUMPRODUCT($Y$61:$Y$61,$I$61:$I$61)+SUMPRODUCT($Y$62:$Y$64,$I$62:$I$64)+SUMPRODUCT($Y$65:$Y$67,$I$65:$I$67)+SUMPRODUCT($Y$68:$Y$68,$I$68:$I$68)+SUMPRODUCT($Y$69:$Y$69,$I$69:$I$69)+SUMPRODUCT($Y$70:$Y$71,$I$70:$I$71))</f>
        <v>0</v>
      </c>
      <c r="Z75" s="30">
        <f>IF(ISERROR(+SUMPRODUCT($Z$5:$Z$8,$I$5:$I$8)+SUMPRODUCT($Z$9:$Z$11,$I$9:$I$11)+SUMPRODUCT($Z$13:$Z$16,$I$13:$I$16)+SUMPRODUCT($Z$17:$Z$19,$I$17:$I$19)+SUMPRODUCT($Z$20:$Z$22,$I$20:$I$22)+SUMPRODUCT($Z$23:$Z$25,$I$23:$I$25)+SUMPRODUCT($Z$26:$Z$28,$I$26:$I$28)+SUMPRODUCT($Z$29:$Z$29,$I$29:$I$29)+SUMPRODUCT($Z$30:$Z$34,$I$30:$I$34)+SUMPRODUCT($Z$35:$Z$36,$I$35:$I$36)+SUMPRODUCT($Z$37:$Z$39,$I$37:$I$39)+SUMPRODUCT($Z$40:$Z$44,$I$40:$I$44)+SUMPRODUCT($Z$45:$Z$49,$I$45:$I$49)+SUMPRODUCT($Z$50:$Z$52,$I$50:$I$52)+SUMPRODUCT($Z$53:$Z$53,$I$53:$I$53)+SUMPRODUCT($Z$54:$Z$56,$I$54:$I$56)+SUMPRODUCT($Z$57:$Z$57,$I$57:$I$57)+SUMPRODUCT($Z$58:$Z$60,$I$58:$I$60)+SUMPRODUCT($Z$61:$Z$61,$I$61:$I$61)+SUMPRODUCT($Z$62:$Z$64,$I$62:$I$64)+SUMPRODUCT($Z$65:$Z$67,$I$65:$I$67)+SUMPRODUCT($Z$68:$Z$68,$I$68:$I$68)+SUMPRODUCT($Z$69:$Z$69,$I$69:$I$69)+SUMPRODUCT($Z$70:$Z$71,$I$70:$I$71)),0,+SUMPRODUCT($Z$5:$Z$8,$I$5:$I$8)+SUMPRODUCT($Z$9:$Z$11,$I$9:$I$11)+SUMPRODUCT($Z$13:$Z$16,$I$13:$I$16)+SUMPRODUCT($Z$17:$Z$19,$I$17:$I$19)+SUMPRODUCT($Z$20:$Z$22,$I$20:$I$22)+SUMPRODUCT($Z$23:$Z$25,$I$23:$I$25)+SUMPRODUCT($Z$26:$Z$28,$I$26:$I$28)+SUMPRODUCT($Z$29:$Z$29,$I$29:$I$29)+SUMPRODUCT($Z$30:$Z$34,$I$30:$I$34)+SUMPRODUCT($Z$35:$Z$36,$I$35:$I$36)+SUMPRODUCT($Z$37:$Z$39,$I$37:$I$39)+SUMPRODUCT($Z$40:$Z$44,$I$40:$I$44)+SUMPRODUCT($Z$45:$Z$49,$I$45:$I$49)+SUMPRODUCT($Z$50:$Z$52,$I$50:$I$52)+SUMPRODUCT($Z$53:$Z$53,$I$53:$I$53)+SUMPRODUCT($Z$54:$Z$56,$I$54:$I$56)+SUMPRODUCT($Z$57:$Z$57,$I$57:$I$57)+SUMPRODUCT($Z$58:$Z$60,$I$58:$I$60)+SUMPRODUCT($Z$61:$Z$61,$I$61:$I$61)+SUMPRODUCT($Z$62:$Z$64,$I$62:$I$64)+SUMPRODUCT($Z$65:$Z$67,$I$65:$I$67)+SUMPRODUCT($Z$68:$Z$68,$I$68:$I$68)+SUMPRODUCT($Z$69:$Z$69,$I$69:$I$69)+SUMPRODUCT($Z$70:$Z$71,$I$70:$I$71))</f>
        <v>0</v>
      </c>
      <c r="AA75" s="30">
        <f>IF(ISERROR(+SUMPRODUCT($AA$5:$AA$8,$I$5:$I$8)+SUMPRODUCT($AA$9:$AA$11,$I$9:$I$11)+SUMPRODUCT($AA$13:$AA$16,$I$13:$I$16)+SUMPRODUCT($AA$17:$AA$19,$I$17:$I$19)+SUMPRODUCT($AA$20:$AA$22,$I$20:$I$22)+SUMPRODUCT($AA$23:$AA$25,$I$23:$I$25)+SUMPRODUCT($AA$26:$AA$28,$I$26:$I$28)+SUMPRODUCT($AA$29:$AA$29,$I$29:$I$29)+SUMPRODUCT($AA$30:$AA$34,$I$30:$I$34)+SUMPRODUCT($AA$35:$AA$36,$I$35:$I$36)+SUMPRODUCT($AA$37:$AA$39,$I$37:$I$39)+SUMPRODUCT($AA$40:$AA$44,$I$40:$I$44)+SUMPRODUCT($AA$45:$AA$49,$I$45:$I$49)+SUMPRODUCT($AA$50:$AA$52,$I$50:$I$52)+SUMPRODUCT($AA$53:$AA$53,$I$53:$I$53)+SUMPRODUCT($AA$54:$AA$56,$I$54:$I$56)+SUMPRODUCT($AA$57:$AA$57,$I$57:$I$57)+SUMPRODUCT($AA$58:$AA$60,$I$58:$I$60)+SUMPRODUCT($AA$61:$AA$61,$I$61:$I$61)+SUMPRODUCT($AA$62:$AA$64,$I$62:$I$64)+SUMPRODUCT($AA$65:$AA$67,$I$65:$I$67)+SUMPRODUCT($AA$68:$AA$68,$I$68:$I$68)+SUMPRODUCT($AA$69:$AA$69,$I$69:$I$69)+SUMPRODUCT($AA$70:$AA$71,$I$70:$I$71)),0,+SUMPRODUCT($AA$5:$AA$8,$I$5:$I$8)+SUMPRODUCT($AA$9:$AA$11,$I$9:$I$11)+SUMPRODUCT($AA$13:$AA$16,$I$13:$I$16)+SUMPRODUCT($AA$17:$AA$19,$I$17:$I$19)+SUMPRODUCT($AA$20:$AA$22,$I$20:$I$22)+SUMPRODUCT($AA$23:$AA$25,$I$23:$I$25)+SUMPRODUCT($AA$26:$AA$28,$I$26:$I$28)+SUMPRODUCT($AA$29:$AA$29,$I$29:$I$29)+SUMPRODUCT($AA$30:$AA$34,$I$30:$I$34)+SUMPRODUCT($AA$35:$AA$36,$I$35:$I$36)+SUMPRODUCT($AA$37:$AA$39,$I$37:$I$39)+SUMPRODUCT($AA$40:$AA$44,$I$40:$I$44)+SUMPRODUCT($AA$45:$AA$49,$I$45:$I$49)+SUMPRODUCT($AA$50:$AA$52,$I$50:$I$52)+SUMPRODUCT($AA$53:$AA$53,$I$53:$I$53)+SUMPRODUCT($AA$54:$AA$56,$I$54:$I$56)+SUMPRODUCT($AA$57:$AA$57,$I$57:$I$57)+SUMPRODUCT($AA$58:$AA$60,$I$58:$I$60)+SUMPRODUCT($AA$61:$AA$61,$I$61:$I$61)+SUMPRODUCT($AA$62:$AA$64,$I$62:$I$64)+SUMPRODUCT($AA$65:$AA$67,$I$65:$I$67)+SUMPRODUCT($AA$68:$AA$68,$I$68:$I$68)+SUMPRODUCT($AA$69:$AA$69,$I$69:$I$69)+SUMPRODUCT($AA$70:$AA$71,$I$70:$I$71))</f>
        <v>0</v>
      </c>
      <c r="AB75" s="30"/>
      <c r="AC75" s="30">
        <f>IF(ISERROR(+SUMPRODUCT($AC$5:$AC$8,$I$5:$I$8)+SUMPRODUCT($AC$9:$AC$11,$I$9:$I$11)+SUMPRODUCT($AC$13:$AC$16,$I$13:$I$16)+SUMPRODUCT($AC$17:$AC$19,$I$17:$I$19)+SUMPRODUCT($AC$20:$AC$22,$I$20:$I$22)+SUMPRODUCT($AC$23:$AC$25,$I$23:$I$25)+SUMPRODUCT($AC$26:$AC$28,$I$26:$I$28)+SUMPRODUCT($AC$29:$AC$29,$I$29:$I$29)+SUMPRODUCT($AC$30:$AC$34,$I$30:$I$34)+SUMPRODUCT($AC$35:$AC$36,$I$35:$I$36)+SUMPRODUCT($AC$37:$AC$39,$I$37:$I$39)+SUMPRODUCT($AC$40:$AC$44,$I$40:$I$44)+SUMPRODUCT($AC$45:$AC$49,$I$45:$I$49)+SUMPRODUCT($AC$50:$AC$52,$I$50:$I$52)+SUMPRODUCT($AC$53:$AC$53,$I$53:$I$53)+SUMPRODUCT($AC$54:$AC$56,$I$54:$I$56)+SUMPRODUCT($AC$57:$AC$57,$I$57:$I$57)+SUMPRODUCT($AC$58:$AC$60,$I$58:$I$60)+SUMPRODUCT($AC$61:$AC$61,$I$61:$I$61)+SUMPRODUCT($AC$62:$AC$64,$I$62:$I$64)+SUMPRODUCT($AC$65:$AC$67,$I$65:$I$67)+SUMPRODUCT($AC$68:$AC$68,$I$68:$I$68)+SUMPRODUCT($AC$69:$AC$69,$I$69:$I$69)+SUMPRODUCT($AC$70:$AC$71,$I$70:$I$71)),0,+SUMPRODUCT($AC$5:$AC$8,$I$5:$I$8)+SUMPRODUCT($AC$9:$AC$11,$I$9:$I$11)+SUMPRODUCT($AC$13:$AC$16,$I$13:$I$16)+SUMPRODUCT($AC$17:$AC$19,$I$17:$I$19)+SUMPRODUCT($AC$20:$AC$22,$I$20:$I$22)+SUMPRODUCT($AC$23:$AC$25,$I$23:$I$25)+SUMPRODUCT($AC$26:$AC$28,$I$26:$I$28)+SUMPRODUCT($AC$29:$AC$29,$I$29:$I$29)+SUMPRODUCT($AC$30:$AC$34,$I$30:$I$34)+SUMPRODUCT($AC$35:$AC$36,$I$35:$I$36)+SUMPRODUCT($AC$37:$AC$39,$I$37:$I$39)+SUMPRODUCT($AC$40:$AC$44,$I$40:$I$44)+SUMPRODUCT($AC$45:$AC$49,$I$45:$I$49)+SUMPRODUCT($AC$50:$AC$52,$I$50:$I$52)+SUMPRODUCT($AC$53:$AC$53,$I$53:$I$53)+SUMPRODUCT($AC$54:$AC$56,$I$54:$I$56)+SUMPRODUCT($AC$57:$AC$57,$I$57:$I$57)+SUMPRODUCT($AC$58:$AC$60,$I$58:$I$60)+SUMPRODUCT($AC$61:$AC$61,$I$61:$I$61)+SUMPRODUCT($AC$62:$AC$64,$I$62:$I$64)+SUMPRODUCT($AC$65:$AC$67,$I$65:$I$67)+SUMPRODUCT($AC$68:$AC$68,$I$68:$I$68)+SUMPRODUCT($AC$69:$AC$69,$I$69:$I$69)+SUMPRODUCT($AC$70:$AC$71,$I$70:$I$71))</f>
        <v>403600938.45539737</v>
      </c>
      <c r="AD75" s="30"/>
      <c r="AE75" s="30">
        <f>IF(ISERROR(+SUMPRODUCT($AE$5:$AE$8,$I$5:$I$8)+SUMPRODUCT($AE$9:$AE$11,$I$9:$I$11)+SUMPRODUCT($AE$13:$AE$16,$I$13:$I$16)+SUMPRODUCT($AE$17:$AE$19,$I$17:$I$19)+SUMPRODUCT($AE$20:$AE$22,$I$20:$I$22)+SUMPRODUCT($AE$23:$AE$25,$I$23:$I$25)+SUMPRODUCT($AE$26:$AE$28,$I$26:$I$28)+SUMPRODUCT($AE$29:$AE$29,$I$29:$I$29)+SUMPRODUCT($AE$30:$AE$34,$I$30:$I$34)+SUMPRODUCT($AE$35:$AE$36,$I$35:$I$36)+SUMPRODUCT($AE$37:$AE$39,$I$37:$I$39)+SUMPRODUCT($AE$40:$AE$44,$I$40:$I$44)+SUMPRODUCT($AE$45:$AE$49,$I$45:$I$49)+SUMPRODUCT($AE$50:$AE$52,$I$50:$I$52)+SUMPRODUCT($AE$53:$AE$53,$I$53:$I$53)+SUMPRODUCT($AE$54:$AE$56,$I$54:$I$56)+SUMPRODUCT($AE$57:$AE$57,$I$57:$I$57)+SUMPRODUCT($AE$58:$AE$60,$I$58:$I$60)+SUMPRODUCT($AE$61:$AE$61,$I$61:$I$61)+SUMPRODUCT($AE$62:$AE$64,$I$62:$I$64)+SUMPRODUCT($AE$65:$AE$67,$I$65:$I$67)+SUMPRODUCT($AE$68:$AE$68,$I$68:$I$68)+SUMPRODUCT($AE$69:$AE$69,$I$69:$I$69)+SUMPRODUCT($AE$70:$AE$71,$I$70:$I$71)),0,+SUMPRODUCT($AE$5:$AE$8,$I$5:$I$8)+SUMPRODUCT($AE$9:$AE$11,$I$9:$I$11)+SUMPRODUCT($AE$13:$AE$16,$I$13:$I$16)+SUMPRODUCT($AE$17:$AE$19,$I$17:$I$19)+SUMPRODUCT($AE$20:$AE$22,$I$20:$I$22)+SUMPRODUCT($AE$23:$AE$25,$I$23:$I$25)+SUMPRODUCT($AE$26:$AE$28,$I$26:$I$28)+SUMPRODUCT($AE$29:$AE$29,$I$29:$I$29)+SUMPRODUCT($AE$30:$AE$34,$I$30:$I$34)+SUMPRODUCT($AE$35:$AE$36,$I$35:$I$36)+SUMPRODUCT($AE$37:$AE$39,$I$37:$I$39)+SUMPRODUCT($AE$40:$AE$44,$I$40:$I$44)+SUMPRODUCT($AE$45:$AE$49,$I$45:$I$49)+SUMPRODUCT($AE$50:$AE$52,$I$50:$I$52)+SUMPRODUCT($AE$53:$AE$53,$I$53:$I$53)+SUMPRODUCT($AE$54:$AE$56,$I$54:$I$56)+SUMPRODUCT($AE$57:$AE$57,$I$57:$I$57)+SUMPRODUCT($AE$58:$AE$60,$I$58:$I$60)+SUMPRODUCT($AE$61:$AE$61,$I$61:$I$61)+SUMPRODUCT($AE$62:$AE$64,$I$62:$I$64)+SUMPRODUCT($AE$65:$AE$67,$I$65:$I$67)+SUMPRODUCT($AE$68:$AE$68,$I$68:$I$68)+SUMPRODUCT($AE$69:$AE$69,$I$69:$I$69)+SUMPRODUCT($AE$70:$AE$71,$I$70:$I$71))</f>
        <v>0</v>
      </c>
      <c r="AF75" s="30">
        <f>IF(ISERROR(+SUMPRODUCT($AF$5:$AF$8,$I$5:$I$8)+SUMPRODUCT($AF$9:$AF$11,$I$9:$I$11)+SUMPRODUCT($AF$13:$AF$16,$I$13:$I$16)+SUMPRODUCT($AF$17:$AF$19,$I$17:$I$19)+SUMPRODUCT($AF$20:$AF$22,$I$20:$I$22)+SUMPRODUCT($AF$23:$AF$25,$I$23:$I$25)+SUMPRODUCT($AF$26:$AF$28,$I$26:$I$28)+SUMPRODUCT($AF$29:$AF$29,$I$29:$I$29)+SUMPRODUCT($AF$30:$AF$34,$I$30:$I$34)+SUMPRODUCT($AF$35:$AF$36,$I$35:$I$36)+SUMPRODUCT($AF$37:$AF$39,$I$37:$I$39)+SUMPRODUCT($AF$40:$AF$44,$I$40:$I$44)+SUMPRODUCT($AF$45:$AF$49,$I$45:$I$49)+SUMPRODUCT($AF$50:$AF$52,$I$50:$I$52)+SUMPRODUCT($AF$53:$AF$53,$I$53:$I$53)+SUMPRODUCT($AF$54:$AF$56,$I$54:$I$56)+SUMPRODUCT($AF$57:$AF$57,$I$57:$I$57)+SUMPRODUCT($AF$58:$AF$60,$I$58:$I$60)+SUMPRODUCT($AF$61:$AF$61,$I$61:$I$61)+SUMPRODUCT($AF$62:$AF$64,$I$62:$I$64)+SUMPRODUCT($AF$65:$AF$67,$I$65:$I$67)+SUMPRODUCT($AF$68:$AF$68,$I$68:$I$68)+SUMPRODUCT($AF$69:$AF$69,$I$69:$I$69)+SUMPRODUCT($AF$70:$AF$71,$I$70:$I$71)),0,+SUMPRODUCT($AF$5:$AF$8,$I$5:$I$8)+SUMPRODUCT($AF$9:$AF$11,$I$9:$I$11)+SUMPRODUCT($AF$13:$AF$16,$I$13:$I$16)+SUMPRODUCT($AF$17:$AF$19,$I$17:$I$19)+SUMPRODUCT($AF$20:$AF$22,$I$20:$I$22)+SUMPRODUCT($AF$23:$AF$25,$I$23:$I$25)+SUMPRODUCT($AF$26:$AF$28,$I$26:$I$28)+SUMPRODUCT($AF$29:$AF$29,$I$29:$I$29)+SUMPRODUCT($AF$30:$AF$34,$I$30:$I$34)+SUMPRODUCT($AF$35:$AF$36,$I$35:$I$36)+SUMPRODUCT($AF$37:$AF$39,$I$37:$I$39)+SUMPRODUCT($AF$40:$AF$44,$I$40:$I$44)+SUMPRODUCT($AF$45:$AF$49,$I$45:$I$49)+SUMPRODUCT($AF$50:$AF$52,$I$50:$I$52)+SUMPRODUCT($AF$53:$AF$53,$I$53:$I$53)+SUMPRODUCT($AF$54:$AF$56,$I$54:$I$56)+SUMPRODUCT($AF$57:$AF$57,$I$57:$I$57)+SUMPRODUCT($AF$58:$AF$60,$I$58:$I$60)+SUMPRODUCT($AF$61:$AF$61,$I$61:$I$61)+SUMPRODUCT($AF$62:$AF$64,$I$62:$I$64)+SUMPRODUCT($AF$65:$AF$67,$I$65:$I$67)+SUMPRODUCT($AF$68:$AF$68,$I$68:$I$68)+SUMPRODUCT($AF$69:$AF$69,$I$69:$I$69)+SUMPRODUCT($AF$70:$AF$71,$I$70:$I$71))</f>
        <v>0</v>
      </c>
      <c r="AG75" s="30"/>
      <c r="AH75" s="30">
        <f>IF(ISERROR(+SUMPRODUCT($AH$5:$AH$8,$I$5:$I$8)+SUMPRODUCT($AH$9:$AH$11,$I$9:$I$11)+SUMPRODUCT($AH$13:$AH$16,$I$13:$I$16)+SUMPRODUCT($AH$17:$AH$19,$I$17:$I$19)+SUMPRODUCT($AH$20:$AH$22,$I$20:$I$22)+SUMPRODUCT($AH$23:$AH$25,$I$23:$I$25)+SUMPRODUCT($AH$26:$AH$28,$I$26:$I$28)+SUMPRODUCT($AH$29:$AH$29,$I$29:$I$29)+SUMPRODUCT($AH$30:$AH$34,$I$30:$I$34)+SUMPRODUCT($AH$35:$AH$36,$I$35:$I$36)+SUMPRODUCT($AH$37:$AH$39,$I$37:$I$39)+SUMPRODUCT($AH$40:$AH$44,$I$40:$I$44)+SUMPRODUCT($AH$45:$AH$49,$I$45:$I$49)+SUMPRODUCT($AH$50:$AH$52,$I$50:$I$52)+SUMPRODUCT($AH$53:$AH$53,$I$53:$I$53)+SUMPRODUCT($AH$54:$AH$56,$I$54:$I$56)+SUMPRODUCT($AH$57:$AH$57,$I$57:$I$57)+SUMPRODUCT($AH$58:$AH$60,$I$58:$I$60)+SUMPRODUCT($AH$61:$AH$61,$I$61:$I$61)+SUMPRODUCT($AH$62:$AH$64,$I$62:$I$64)+SUMPRODUCT($AH$65:$AH$67,$I$65:$I$67)+SUMPRODUCT($AH$68:$AH$68,$I$68:$I$68)+SUMPRODUCT($AH$69:$AH$69,$I$69:$I$69)+SUMPRODUCT($AH$70:$AH$71,$I$70:$I$71)),0,+SUMPRODUCT($AH$5:$AH$8,$I$5:$I$8)+SUMPRODUCT($AH$9:$AH$11,$I$9:$I$11)+SUMPRODUCT($AH$13:$AH$16,$I$13:$I$16)+SUMPRODUCT($AH$17:$AH$19,$I$17:$I$19)+SUMPRODUCT($AH$20:$AH$22,$I$20:$I$22)+SUMPRODUCT($AH$23:$AH$25,$I$23:$I$25)+SUMPRODUCT($AH$26:$AH$28,$I$26:$I$28)+SUMPRODUCT($AH$29:$AH$29,$I$29:$I$29)+SUMPRODUCT($AH$30:$AH$34,$I$30:$I$34)+SUMPRODUCT($AH$35:$AH$36,$I$35:$I$36)+SUMPRODUCT($AH$37:$AH$39,$I$37:$I$39)+SUMPRODUCT($AH$40:$AH$44,$I$40:$I$44)+SUMPRODUCT($AH$45:$AH$49,$I$45:$I$49)+SUMPRODUCT($AH$50:$AH$52,$I$50:$I$52)+SUMPRODUCT($AH$53:$AH$53,$I$53:$I$53)+SUMPRODUCT($AH$54:$AH$56,$I$54:$I$56)+SUMPRODUCT($AH$57:$AH$57,$I$57:$I$57)+SUMPRODUCT($AH$58:$AH$60,$I$58:$I$60)+SUMPRODUCT($AH$61:$AH$61,$I$61:$I$61)+SUMPRODUCT($AH$62:$AH$64,$I$62:$I$64)+SUMPRODUCT($AH$65:$AH$67,$I$65:$I$67)+SUMPRODUCT($AH$68:$AH$68,$I$68:$I$68)+SUMPRODUCT($AH$69:$AH$69,$I$69:$I$69)+SUMPRODUCT($AH$70:$AH$71,$I$70:$I$71))</f>
        <v>46820540.356886968</v>
      </c>
      <c r="AI75" s="30">
        <f>IF(ISERROR(+SUMPRODUCT($AI$5:$AI$8,$I$5:$I$8)+SUMPRODUCT($AI$9:$AI$11,$I$9:$I$11)+SUMPRODUCT($AI$13:$AI$16,$I$13:$I$16)+SUMPRODUCT($AI$17:$AI$19,$I$17:$I$19)+SUMPRODUCT($AI$20:$AI$22,$I$20:$I$22)+SUMPRODUCT($AI$23:$AI$25,$I$23:$I$25)+SUMPRODUCT($AI$26:$AI$28,$I$26:$I$28)+SUMPRODUCT($AI$29:$AI$29,$I$29:$I$29)+SUMPRODUCT($AI$30:$AI$34,$I$30:$I$34)+SUMPRODUCT($AI$35:$AI$36,$I$35:$I$36)+SUMPRODUCT($AI$37:$AI$39,$I$37:$I$39)+SUMPRODUCT($AI$40:$AI$44,$I$40:$I$44)+SUMPRODUCT($AI$45:$AI$49,$I$45:$I$49)+SUMPRODUCT($AI$50:$AI$52,$I$50:$I$52)+SUMPRODUCT($AI$53:$AI$53,$I$53:$I$53)+SUMPRODUCT($AI$54:$AI$56,$I$54:$I$56)+SUMPRODUCT($AI$57:$AI$57,$I$57:$I$57)+SUMPRODUCT($AI$58:$AI$60,$I$58:$I$60)+SUMPRODUCT($AI$61:$AI$61,$I$61:$I$61)+SUMPRODUCT($AI$62:$AI$64,$I$62:$I$64)+SUMPRODUCT($AI$65:$AI$67,$I$65:$I$67)+SUMPRODUCT($AI$68:$AI$68,$I$68:$I$68)+SUMPRODUCT($AI$69:$AI$69,$I$69:$I$69)+SUMPRODUCT($AI$70:$AI$71,$I$70:$I$71)),0,+SUMPRODUCT($AI$5:$AI$8,$I$5:$I$8)+SUMPRODUCT($AI$9:$AI$11,$I$9:$I$11)+SUMPRODUCT($AI$13:$AI$16,$I$13:$I$16)+SUMPRODUCT($AI$17:$AI$19,$I$17:$I$19)+SUMPRODUCT($AI$20:$AI$22,$I$20:$I$22)+SUMPRODUCT($AI$23:$AI$25,$I$23:$I$25)+SUMPRODUCT($AI$26:$AI$28,$I$26:$I$28)+SUMPRODUCT($AI$29:$AI$29,$I$29:$I$29)+SUMPRODUCT($AI$30:$AI$34,$I$30:$I$34)+SUMPRODUCT($AI$35:$AI$36,$I$35:$I$36)+SUMPRODUCT($AI$37:$AI$39,$I$37:$I$39)+SUMPRODUCT($AI$40:$AI$44,$I$40:$I$44)+SUMPRODUCT($AI$45:$AI$49,$I$45:$I$49)+SUMPRODUCT($AI$50:$AI$52,$I$50:$I$52)+SUMPRODUCT($AI$53:$AI$53,$I$53:$I$53)+SUMPRODUCT($AI$54:$AI$56,$I$54:$I$56)+SUMPRODUCT($AI$57:$AI$57,$I$57:$I$57)+SUMPRODUCT($AI$58:$AI$60,$I$58:$I$60)+SUMPRODUCT($AI$61:$AI$61,$I$61:$I$61)+SUMPRODUCT($AI$62:$AI$64,$I$62:$I$64)+SUMPRODUCT($AI$65:$AI$67,$I$65:$I$67)+SUMPRODUCT($AI$68:$AI$68,$I$68:$I$68)+SUMPRODUCT($AI$69:$AI$69,$I$69:$I$69)+SUMPRODUCT($AI$70:$AI$71,$I$70:$I$71))</f>
        <v>46820540.356886968</v>
      </c>
      <c r="AJ75" s="30">
        <f ca="1">IF(ISERROR(+SUMPRODUCT($AJ$5:$AJ$8,$I$5:$I$8)+SUMPRODUCT($AJ$9:$AJ$11,$I$9:$I$11)+SUMPRODUCT($AJ$13:$AJ$16,$I$13:$I$16)+SUMPRODUCT($AJ$17:$AJ$19,$I$17:$I$19)+SUMPRODUCT($AJ$20:$AJ$22,$I$20:$I$22)+SUMPRODUCT($AJ$23:$AJ$25,$I$23:$I$25)+SUMPRODUCT($AJ$26:$AJ$28,$I$26:$I$28)+SUMPRODUCT($AJ$29:$AJ$29,$I$29:$I$29)+SUMPRODUCT($AJ$30:$AJ$34,$I$30:$I$34)+SUMPRODUCT($AJ$35:$AJ$36,$I$35:$I$36)+SUMPRODUCT($AJ$37:$AJ$39,$I$37:$I$39)+SUMPRODUCT($AJ$40:$AJ$44,$I$40:$I$44)+SUMPRODUCT($AJ$45:$AJ$49,$I$45:$I$49)+SUMPRODUCT($AJ$50:$AJ$52,$I$50:$I$52)+SUMPRODUCT($AJ$53:$AJ$53,$I$53:$I$53)+SUMPRODUCT($AJ$54:$AJ$56,$I$54:$I$56)+SUMPRODUCT($AJ$57:$AJ$57,$I$57:$I$57)+SUMPRODUCT($AJ$58:$AJ$60,$I$58:$I$60)+SUMPRODUCT($AJ$61:$AJ$61,$I$61:$I$61)+SUMPRODUCT($AJ$62:$AJ$64,$I$62:$I$64)+SUMPRODUCT($AJ$65:$AJ$67,$I$65:$I$67)+SUMPRODUCT($AJ$68:$AJ$68,$I$68:$I$68)+SUMPRODUCT($AJ$69:$AJ$69,$I$69:$I$69)+SUMPRODUCT($AJ$70:$AJ$71,$I$70:$I$71)),0,+SUMPRODUCT($AJ$5:$AJ$8,$I$5:$I$8)+SUMPRODUCT($AJ$9:$AJ$11,$I$9:$I$11)+SUMPRODUCT($AJ$13:$AJ$16,$I$13:$I$16)+SUMPRODUCT($AJ$17:$AJ$19,$I$17:$I$19)+SUMPRODUCT($AJ$20:$AJ$22,$I$20:$I$22)+SUMPRODUCT($AJ$23:$AJ$25,$I$23:$I$25)+SUMPRODUCT($AJ$26:$AJ$28,$I$26:$I$28)+SUMPRODUCT($AJ$29:$AJ$29,$I$29:$I$29)+SUMPRODUCT($AJ$30:$AJ$34,$I$30:$I$34)+SUMPRODUCT($AJ$35:$AJ$36,$I$35:$I$36)+SUMPRODUCT($AJ$37:$AJ$39,$I$37:$I$39)+SUMPRODUCT($AJ$40:$AJ$44,$I$40:$I$44)+SUMPRODUCT($AJ$45:$AJ$49,$I$45:$I$49)+SUMPRODUCT($AJ$50:$AJ$52,$I$50:$I$52)+SUMPRODUCT($AJ$53:$AJ$53,$I$53:$I$53)+SUMPRODUCT($AJ$54:$AJ$56,$I$54:$I$56)+SUMPRODUCT($AJ$57:$AJ$57,$I$57:$I$57)+SUMPRODUCT($AJ$58:$AJ$60,$I$58:$I$60)+SUMPRODUCT($AJ$61:$AJ$61,$I$61:$I$61)+SUMPRODUCT($AJ$62:$AJ$64,$I$62:$I$64)+SUMPRODUCT($AJ$65:$AJ$67,$I$65:$I$67)+SUMPRODUCT($AJ$68:$AJ$68,$I$68:$I$68)+SUMPRODUCT($AJ$69:$AJ$69,$I$69:$I$69)+SUMPRODUCT($AJ$70:$AJ$71,$I$70:$I$71))</f>
        <v>18476335.151221171</v>
      </c>
      <c r="AK75" s="30">
        <f ca="1">IF(ISERROR(+SUMPRODUCT($AK$5:$AK$8,$I$5:$I$8)+SUMPRODUCT($AK$9:$AK$11,$I$9:$I$11)+SUMPRODUCT($AK$13:$AK$16,$I$13:$I$16)+SUMPRODUCT($AK$17:$AK$19,$I$17:$I$19)+SUMPRODUCT($AK$20:$AK$22,$I$20:$I$22)+SUMPRODUCT($AK$23:$AK$25,$I$23:$I$25)+SUMPRODUCT($AK$26:$AK$28,$I$26:$I$28)+SUMPRODUCT($AK$29:$AK$29,$I$29:$I$29)+SUMPRODUCT($AK$30:$AK$34,$I$30:$I$34)+SUMPRODUCT($AK$35:$AK$36,$I$35:$I$36)+SUMPRODUCT($AK$37:$AK$39,$I$37:$I$39)+SUMPRODUCT($AK$40:$AK$44,$I$40:$I$44)+SUMPRODUCT($AK$45:$AK$49,$I$45:$I$49)+SUMPRODUCT($AK$50:$AK$52,$I$50:$I$52)+SUMPRODUCT($AK$53:$AK$53,$I$53:$I$53)+SUMPRODUCT($AK$54:$AK$56,$I$54:$I$56)+SUMPRODUCT($AK$57:$AK$57,$I$57:$I$57)+SUMPRODUCT($AK$58:$AK$60,$I$58:$I$60)+SUMPRODUCT($AK$61:$AK$61,$I$61:$I$61)+SUMPRODUCT($AK$62:$AK$64,$I$62:$I$64)+SUMPRODUCT($AK$65:$AK$67,$I$65:$I$67)+SUMPRODUCT($AK$68:$AK$68,$I$68:$I$68)+SUMPRODUCT($AK$69:$AK$69,$I$69:$I$69)+SUMPRODUCT($AK$70:$AK$71,$I$70:$I$71)),0,+SUMPRODUCT($AK$5:$AK$8,$I$5:$I$8)+SUMPRODUCT($AK$9:$AK$11,$I$9:$I$11)+SUMPRODUCT($AK$13:$AK$16,$I$13:$I$16)+SUMPRODUCT($AK$17:$AK$19,$I$17:$I$19)+SUMPRODUCT($AK$20:$AK$22,$I$20:$I$22)+SUMPRODUCT($AK$23:$AK$25,$I$23:$I$25)+SUMPRODUCT($AK$26:$AK$28,$I$26:$I$28)+SUMPRODUCT($AK$29:$AK$29,$I$29:$I$29)+SUMPRODUCT($AK$30:$AK$34,$I$30:$I$34)+SUMPRODUCT($AK$35:$AK$36,$I$35:$I$36)+SUMPRODUCT($AK$37:$AK$39,$I$37:$I$39)+SUMPRODUCT($AK$40:$AK$44,$I$40:$I$44)+SUMPRODUCT($AK$45:$AK$49,$I$45:$I$49)+SUMPRODUCT($AK$50:$AK$52,$I$50:$I$52)+SUMPRODUCT($AK$53:$AK$53,$I$53:$I$53)+SUMPRODUCT($AK$54:$AK$56,$I$54:$I$56)+SUMPRODUCT($AK$57:$AK$57,$I$57:$I$57)+SUMPRODUCT($AK$58:$AK$60,$I$58:$I$60)+SUMPRODUCT($AK$61:$AK$61,$I$61:$I$61)+SUMPRODUCT($AK$62:$AK$64,$I$62:$I$64)+SUMPRODUCT($AK$65:$AK$67,$I$65:$I$67)+SUMPRODUCT($AK$68:$AK$68,$I$68:$I$68)+SUMPRODUCT($AK$69:$AK$69,$I$69:$I$69)+SUMPRODUCT($AK$70:$AK$71,$I$70:$I$71))</f>
        <v>18476335.151221171</v>
      </c>
      <c r="AL75" s="30"/>
      <c r="AM75" s="30"/>
    </row>
    <row r="76" spans="1:42" ht="11.25" customHeight="1" x14ac:dyDescent="0.25">
      <c r="K76" s="31" t="s">
        <v>899</v>
      </c>
      <c r="L76" s="30">
        <f>CUSTOS!$D$2</f>
        <v>9196083.9939750805</v>
      </c>
      <c r="M76" s="30">
        <f>CUSTOS!$D$3</f>
        <v>2819440.2570200874</v>
      </c>
      <c r="N76" s="30">
        <f>CUSTOS!$D$4</f>
        <v>7769668.5333095053</v>
      </c>
      <c r="O76" s="30">
        <f>CUSTOS!$D$5</f>
        <v>72430.71428571429</v>
      </c>
      <c r="P76" s="30">
        <f>CUSTOS!$D$6</f>
        <v>0</v>
      </c>
      <c r="Q76" s="30">
        <f>CUSTOS!$D$7</f>
        <v>80903572.193443432</v>
      </c>
      <c r="R76" s="30">
        <f>CUSTOS!$D$8</f>
        <v>35275305.42148526</v>
      </c>
      <c r="S76" s="30">
        <f>CUSTOS!$D$9</f>
        <v>0</v>
      </c>
      <c r="T76" s="30">
        <f>CUSTOS!$D$10</f>
        <v>136036501.11351907</v>
      </c>
      <c r="U76" s="30">
        <f>CUSTOS!$D$11</f>
        <v>66354216.574999996</v>
      </c>
      <c r="V76" s="30">
        <f>IF(SUM(V73:V75)&lt;&gt;0,CUSTOS!$D$12+CUSTOS!$D$16+CUSTOS!$D$17-'TR TUSD'!$Z$74-'TR TUSD'!$AA$74,0)</f>
        <v>14020374.309999999</v>
      </c>
      <c r="W76" s="30">
        <f>CUSTOS!$D$13</f>
        <v>13787977.046372</v>
      </c>
      <c r="X76" s="30">
        <f>CUSTOS!$D$14</f>
        <v>0</v>
      </c>
      <c r="Y76" s="30">
        <f>IF(SUM(V73:V75)=0,CUSTOS!$D$15+CUSTOS!$D$16+CUSTOS!$D$17-'TR TUSD'!$Z$74-'TR TUSD'!$AA$74,CUSTOS!$D$15)</f>
        <v>0</v>
      </c>
      <c r="Z76" s="30">
        <f>Z74</f>
        <v>0</v>
      </c>
      <c r="AA76" s="30">
        <f>AA74</f>
        <v>0</v>
      </c>
      <c r="AB76" s="30">
        <f>CUSTOS!$D$18</f>
        <v>94162567.931371987</v>
      </c>
      <c r="AC76" s="30">
        <f>CUSTOS!$D$19</f>
        <v>672726400.49279642</v>
      </c>
      <c r="AD76" s="30">
        <f>CUSTOS!$D$20</f>
        <v>672726400.49279642</v>
      </c>
      <c r="AE76" s="30">
        <f>CUSTOS!$D$21</f>
        <v>0</v>
      </c>
      <c r="AF76" s="30">
        <f>CUSTOS!$D$22</f>
        <v>0</v>
      </c>
      <c r="AG76" s="30">
        <f>CUSTOS!$D$23</f>
        <v>0</v>
      </c>
      <c r="AH76" s="30">
        <f>CUSTOS!$D$24</f>
        <v>57619491.4859313</v>
      </c>
      <c r="AI76" s="30">
        <f>CUSTOS!$D$25</f>
        <v>2188458.5078138295</v>
      </c>
      <c r="AJ76" s="30">
        <f>CUSTOS!$D$26</f>
        <v>19167895.694794998</v>
      </c>
      <c r="AK76" s="30">
        <f>CUSTOS!$D$27</f>
        <v>0</v>
      </c>
      <c r="AL76" s="30">
        <f>CUSTOS!$D$28</f>
        <v>78975845.688540131</v>
      </c>
      <c r="AM76" s="30">
        <f>CUSTOS!$D$29</f>
        <v>981901315.22622764</v>
      </c>
    </row>
    <row r="77" spans="1:42" ht="11.25" customHeight="1" x14ac:dyDescent="0.25">
      <c r="K77" s="31" t="s">
        <v>900</v>
      </c>
      <c r="L77" s="30">
        <f>CUSTOS!$E$2</f>
        <v>-947132.87540617387</v>
      </c>
      <c r="M77" s="30">
        <f>CUSTOS!$E$3</f>
        <v>-105920.11826814646</v>
      </c>
      <c r="N77" s="30">
        <f>CUSTOS!$E$4</f>
        <v>-3759.7021670353647</v>
      </c>
      <c r="O77" s="30">
        <f>CUSTOS!$E$5</f>
        <v>-2345.145174379415</v>
      </c>
      <c r="P77" s="30">
        <f>CUSTOS!$E$6</f>
        <v>0</v>
      </c>
      <c r="Q77" s="30">
        <f>CUSTOS!$E$7</f>
        <v>-1886172.7669576753</v>
      </c>
      <c r="R77" s="30">
        <f>CUSTOS!$E$8</f>
        <v>-1067406.6347898261</v>
      </c>
      <c r="S77" s="30">
        <f>CUSTOS!$E$9</f>
        <v>0</v>
      </c>
      <c r="T77" s="30">
        <f>CUSTOS!$E$10</f>
        <v>-4012737.2427632371</v>
      </c>
      <c r="U77" s="30">
        <f>CUSTOS!$E$11</f>
        <v>13547919.948633119</v>
      </c>
      <c r="V77" s="30">
        <f>CUSTOS!$E$12</f>
        <v>0</v>
      </c>
      <c r="W77" s="30">
        <f>CUSTOS!$E$13</f>
        <v>0</v>
      </c>
      <c r="X77" s="30">
        <f>CUSTOS!$E$14</f>
        <v>0</v>
      </c>
      <c r="Y77" s="30">
        <f>CUSTOS!$E$15</f>
        <v>0</v>
      </c>
      <c r="Z77" s="30">
        <f>CUSTOS!$E$16</f>
        <v>0</v>
      </c>
      <c r="AA77" s="30">
        <f>CUSTOS!$E$17</f>
        <v>0</v>
      </c>
      <c r="AB77" s="30">
        <f>CUSTOS!$E$18</f>
        <v>13547919.948633119</v>
      </c>
      <c r="AC77" s="30">
        <f>CUSTOS!$E$19</f>
        <v>37946865.750737622</v>
      </c>
      <c r="AD77" s="30">
        <f>CUSTOS!$E$20</f>
        <v>37946865.750737622</v>
      </c>
      <c r="AE77" s="30">
        <f>CUSTOS!$E$21</f>
        <v>-81038980.485481143</v>
      </c>
      <c r="AF77" s="30">
        <f>CUSTOS!$E$22</f>
        <v>0</v>
      </c>
      <c r="AG77" s="30">
        <f>CUSTOS!$E$23</f>
        <v>-81038980.485481143</v>
      </c>
      <c r="AH77" s="30">
        <f>CUSTOS!$E$24</f>
        <v>-4279028.37978708</v>
      </c>
      <c r="AI77" s="30">
        <f>CUSTOS!$E$25</f>
        <v>-162522.71273876732</v>
      </c>
      <c r="AJ77" s="30">
        <f>CUSTOS!$E$26</f>
        <v>-1423476.1110110257</v>
      </c>
      <c r="AK77" s="30">
        <f>CUSTOS!$E$27</f>
        <v>0</v>
      </c>
      <c r="AL77" s="30">
        <f>CUSTOS!$E$28</f>
        <v>-5865027.2035368728</v>
      </c>
      <c r="AM77" s="30">
        <f>CUSTOS!$E$29</f>
        <v>-39421959.232410513</v>
      </c>
    </row>
    <row r="78" spans="1:42" ht="11.25" customHeight="1" x14ac:dyDescent="0.25">
      <c r="K78" s="31" t="s">
        <v>901</v>
      </c>
      <c r="L78" s="30">
        <f>CUSTOS!$F$2</f>
        <v>597884.03521849692</v>
      </c>
      <c r="M78" s="30">
        <f>CUSTOS!$F$3</f>
        <v>0</v>
      </c>
      <c r="N78" s="30">
        <f>CUSTOS!$F$4</f>
        <v>0</v>
      </c>
      <c r="O78" s="30">
        <f>CUSTOS!$F$5</f>
        <v>0</v>
      </c>
      <c r="P78" s="30">
        <f>CUSTOS!$F$6</f>
        <v>0</v>
      </c>
      <c r="Q78" s="30">
        <f>CUSTOS!$F$7</f>
        <v>7068141.1884434102</v>
      </c>
      <c r="R78" s="30">
        <f>CUSTOS!$F$8</f>
        <v>4134879.6753578046</v>
      </c>
      <c r="S78" s="30">
        <f>CUSTOS!$F$9</f>
        <v>0</v>
      </c>
      <c r="T78" s="30">
        <f>CUSTOS!$F$10</f>
        <v>11800904.899019711</v>
      </c>
      <c r="U78" s="30">
        <f>CUSTOS!$F$11</f>
        <v>3714194.3638990573</v>
      </c>
      <c r="V78" s="30">
        <f>CUSTOS!$F$12</f>
        <v>784794.06328454765</v>
      </c>
      <c r="W78" s="30">
        <f>CUSTOS!$F$13</f>
        <v>0</v>
      </c>
      <c r="X78" s="30">
        <f>CUSTOS!$F$14</f>
        <v>0</v>
      </c>
      <c r="Y78" s="30">
        <f>CUSTOS!$F$15</f>
        <v>0</v>
      </c>
      <c r="Z78" s="30">
        <f>CUSTOS!$F$16</f>
        <v>0</v>
      </c>
      <c r="AA78" s="30">
        <f>CUSTOS!$F$17</f>
        <v>0</v>
      </c>
      <c r="AB78" s="30">
        <f>CUSTOS!$F$18</f>
        <v>4498988.4271836048</v>
      </c>
      <c r="AC78" s="30">
        <f>CUSTOS!$F$19</f>
        <v>0</v>
      </c>
      <c r="AD78" s="30">
        <f>CUSTOS!$F$20</f>
        <v>0</v>
      </c>
      <c r="AE78" s="30">
        <f>CUSTOS!$F$21</f>
        <v>0</v>
      </c>
      <c r="AF78" s="30">
        <f>CUSTOS!$F$22</f>
        <v>0</v>
      </c>
      <c r="AG78" s="30">
        <f>CUSTOS!$F$23</f>
        <v>0</v>
      </c>
      <c r="AH78" s="30">
        <f>CUSTOS!$F$24</f>
        <v>4177088.773730055</v>
      </c>
      <c r="AI78" s="30">
        <f>CUSTOS!$F$25</f>
        <v>158650.92226638595</v>
      </c>
      <c r="AJ78" s="30">
        <f>CUSTOS!$F$26</f>
        <v>1389564.5355062915</v>
      </c>
      <c r="AK78" s="30">
        <f>CUSTOS!$F$27</f>
        <v>0</v>
      </c>
      <c r="AL78" s="30">
        <f>CUSTOS!$F$28</f>
        <v>5725304.2315027323</v>
      </c>
      <c r="AM78" s="30">
        <f>CUSTOS!$F$29</f>
        <v>22025197.557706051</v>
      </c>
    </row>
    <row r="79" spans="1:42" ht="11.25" customHeight="1" x14ac:dyDescent="0.25">
      <c r="K79" s="31" t="s">
        <v>954</v>
      </c>
      <c r="L79" s="30">
        <v>0</v>
      </c>
      <c r="M79" s="30">
        <f>5104.4761*(1+CUSTOS!$M$4)</f>
        <v>5858.4338554054148</v>
      </c>
      <c r="N79" s="30">
        <f>12634.8415*(1+CUSTOS!$M$4)</f>
        <v>14501.073518843852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/>
      <c r="U79" s="30">
        <v>0</v>
      </c>
      <c r="V79" s="30">
        <v>0</v>
      </c>
      <c r="W79" s="30">
        <v>0</v>
      </c>
      <c r="X79" s="30">
        <v>0</v>
      </c>
      <c r="Y79" s="30">
        <v>0</v>
      </c>
      <c r="Z79" s="30">
        <v>0</v>
      </c>
      <c r="AA79" s="30">
        <v>0</v>
      </c>
      <c r="AB79" s="30"/>
      <c r="AC79" s="30">
        <f>1258379.6793*(1+CUSTOS!$M$4)</f>
        <v>1444248.9242265879</v>
      </c>
      <c r="AD79" s="30"/>
      <c r="AE79" s="30">
        <v>0</v>
      </c>
      <c r="AF79" s="30">
        <v>0</v>
      </c>
      <c r="AG79" s="30"/>
      <c r="AH79" s="30">
        <v>0</v>
      </c>
      <c r="AI79" s="30">
        <v>0</v>
      </c>
      <c r="AJ79" s="30">
        <v>0</v>
      </c>
      <c r="AK79" s="30">
        <v>0</v>
      </c>
      <c r="AL79" s="30"/>
      <c r="AM79" s="30"/>
    </row>
    <row r="80" spans="1:42" ht="11.25" customHeight="1" x14ac:dyDescent="0.25">
      <c r="K80" s="31" t="s">
        <v>955</v>
      </c>
      <c r="L80" s="30">
        <f t="shared" ref="L80:S80" si="3">IF((L75+L73)&lt;&gt;0,(L76-L74-L79)/(L75+L73),0)</f>
        <v>4.1814828161424202</v>
      </c>
      <c r="M80" s="30">
        <f t="shared" si="3"/>
        <v>0.99317855385681741</v>
      </c>
      <c r="N80" s="30">
        <f t="shared" ca="1" si="3"/>
        <v>1.485711015608713</v>
      </c>
      <c r="O80" s="30">
        <f t="shared" si="3"/>
        <v>2.3954432862312944E-2</v>
      </c>
      <c r="P80" s="30">
        <f t="shared" si="3"/>
        <v>0</v>
      </c>
      <c r="Q80" s="30">
        <f t="shared" si="3"/>
        <v>36.787060352326115</v>
      </c>
      <c r="R80" s="30">
        <f t="shared" si="3"/>
        <v>14.668516006400978</v>
      </c>
      <c r="S80" s="30">
        <f t="shared" si="3"/>
        <v>0</v>
      </c>
      <c r="T80" s="30"/>
      <c r="U80" s="30">
        <f>IF(U75&lt;&gt;0,(U76-U74-U73-U79)/U75,0)</f>
        <v>1.2093918993833266</v>
      </c>
      <c r="V80" s="30">
        <f>IF(V75&lt;&gt;0,(V76-V74-V73-V79)/V75,0)</f>
        <v>1.1096392495719924</v>
      </c>
      <c r="W80" s="30">
        <f>IF(W75&lt;&gt;0,(W76-W74-W73-W79)/W75,0)</f>
        <v>1.5773331629508429</v>
      </c>
      <c r="X80" s="30">
        <f>IF(X75&lt;&gt;0,(X76-X74-X73-X79)/X75,0)</f>
        <v>0</v>
      </c>
      <c r="Y80" s="30">
        <f>IF(Y75&lt;&gt;0,(Y76-Y74-Y73-Y79)/Y75,0)</f>
        <v>0</v>
      </c>
      <c r="Z80" s="30"/>
      <c r="AA80" s="30"/>
      <c r="AB80" s="30"/>
      <c r="AC80" s="30">
        <f>IF(AC75&lt;&gt;0,(AC76-AC74-AC73-AC79)/AC75,0)</f>
        <v>1.6443558907866602</v>
      </c>
      <c r="AD80" s="30"/>
      <c r="AE80" s="30">
        <f>IF((AE75+AE73)&lt;&gt;0,(AE76-AE74-AE79)/(AE75+AE73),0)</f>
        <v>0</v>
      </c>
      <c r="AF80" s="30">
        <f>IF((AF75+AF73)&lt;&gt;0,(AF76-AF74-AF79)/(AF75+AF73),0)</f>
        <v>0</v>
      </c>
      <c r="AG80" s="30"/>
      <c r="AH80" s="30">
        <f>IF(AH75&lt;&gt;0,(AH76-AH74-AH73-AH79)/AH75,0)</f>
        <v>1.2144818754256415</v>
      </c>
      <c r="AI80" s="30">
        <f>IF(AI75&lt;&gt;0,(AI76-AI74-AI73-AI79)/AI75,0)</f>
        <v>4.3239979157844582E-2</v>
      </c>
      <c r="AJ80" s="30">
        <f ca="1">IF((AJ75+AJ73)&lt;&gt;0,(AJ76-AJ74-AJ79)/(AJ75+AJ73),0)</f>
        <v>1.0374295301483594</v>
      </c>
      <c r="AK80" s="30">
        <f ca="1">IF((AK75+AK73)&lt;&gt;0,(AK76-AK74-AK79)/(AK75+AK73),0)</f>
        <v>0</v>
      </c>
      <c r="AL80" s="30"/>
      <c r="AM80" s="30"/>
    </row>
    <row r="82" spans="11:39" ht="11.25" customHeight="1" x14ac:dyDescent="0.25">
      <c r="K82" s="35" t="s">
        <v>1545</v>
      </c>
      <c r="L82" s="35" t="s">
        <v>1546</v>
      </c>
      <c r="M82" s="35" t="s">
        <v>1547</v>
      </c>
      <c r="N82" s="35" t="s">
        <v>1548</v>
      </c>
      <c r="O82" s="35" t="s">
        <v>1549</v>
      </c>
      <c r="P82" s="35" t="s">
        <v>1550</v>
      </c>
    </row>
    <row r="83" spans="11:39" ht="11.25" customHeight="1" x14ac:dyDescent="0.25">
      <c r="K83" s="33" t="s">
        <v>39</v>
      </c>
      <c r="L83" s="33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34686979.918722421</v>
      </c>
      <c r="M83" s="33">
        <f>+'TUSD BE'!$I$7+'TUSD BE'!$I$8</f>
        <v>337527.24300000002</v>
      </c>
      <c r="N83" s="33">
        <f ca="1">IF(AND($L$91&lt;&gt;0,M83&lt;&gt;0),(L83/$L$91*$AJ$76)/M83,0)</f>
        <v>2.087041757245125</v>
      </c>
      <c r="O83" s="33"/>
      <c r="P83" s="33"/>
    </row>
    <row r="84" spans="11:39" ht="11.25" customHeight="1" x14ac:dyDescent="0.25">
      <c r="K84" s="33" t="s">
        <v>41</v>
      </c>
      <c r="L84" s="33">
        <f ca="1">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</f>
        <v>216208237.36195919</v>
      </c>
      <c r="M84" s="33">
        <f>+'TUSD BE'!$I$15+'TUSD BE'!$I$16+'TUSD BE'!$I$31+'TUSD BE'!$I$32+'TUSD BE'!$I$33+'TUSD BE'!$I$34</f>
        <v>753393.8</v>
      </c>
      <c r="N84" s="33">
        <f ca="1">IF(AND($L$91&lt;&gt;0,M84&lt;&gt;0),(L84/$L$91*$AJ$76)/M84,0)</f>
        <v>5.8280554600474597</v>
      </c>
      <c r="O84" s="33"/>
      <c r="P84" s="33"/>
    </row>
    <row r="85" spans="11:39" ht="11.25" customHeight="1" x14ac:dyDescent="0.25">
      <c r="K85" s="33" t="s">
        <v>104</v>
      </c>
      <c r="L85" s="33">
        <f ca="1">+$L$86+$L$87+$L$88+$L$89+$L$90</f>
        <v>692950383.35098314</v>
      </c>
      <c r="M85" s="33">
        <f>+$M$86+$M$87+$M$88+$M$89+$M$90</f>
        <v>1808854.3389999999</v>
      </c>
      <c r="N85" s="33">
        <f ca="1">IF(AND($L$91&lt;&gt;0,M85&lt;&gt;0),(L85/$L$91*$AJ$76)/M85,0)</f>
        <v>7.7798643546777457</v>
      </c>
      <c r="O85" s="33"/>
      <c r="P85" s="33"/>
    </row>
    <row r="86" spans="11:39" ht="11.25" customHeight="1" x14ac:dyDescent="0.25">
      <c r="K86" s="33" t="s">
        <v>104</v>
      </c>
      <c r="L86" s="33"/>
      <c r="M86" s="33"/>
      <c r="N86" s="33">
        <f ca="1">IF(AND($L$91&lt;&gt;0,M86&lt;&gt;0),(L86/$L$91*$AJ$76)/M86,0)</f>
        <v>0</v>
      </c>
      <c r="O86" s="33"/>
      <c r="P86" s="33"/>
    </row>
    <row r="87" spans="11:39" ht="11.25" customHeight="1" x14ac:dyDescent="0.25">
      <c r="K87" s="33" t="s">
        <v>22</v>
      </c>
      <c r="L87" s="33">
        <f ca="1">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477010661.06410515</v>
      </c>
      <c r="M87" s="33">
        <f>+'TUSD BE'!$I$37+'TUSD BE'!$I$38+'TUSD BE'!$I$39+'TUSD BE'!$I$40+'TUSD BE'!$I$41+'TUSD BE'!$I$42+'TUSD BE'!$I$43+'TUSD BE'!$I$44+'TUSD BE'!$I$45+'TUSD BE'!$I$46+'TUSD BE'!$I$47+'TUSD BE'!$I$48+'TUSD BE'!$I$49</f>
        <v>1196190.4629999998</v>
      </c>
      <c r="N87" s="33"/>
      <c r="O87" s="33"/>
      <c r="P87" s="33"/>
    </row>
    <row r="88" spans="11:39" ht="11.25" customHeight="1" x14ac:dyDescent="0.25">
      <c r="K88" s="33" t="s">
        <v>44</v>
      </c>
      <c r="L88" s="33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</f>
        <v>25194122.64909552</v>
      </c>
      <c r="M88" s="33">
        <f>+'TUSD BE'!$I$50+'TUSD BE'!$I$51+'TUSD BE'!$I$52+'TUSD BE'!$I$53+'TUSD BE'!$I$54+'TUSD BE'!$I$55+'TUSD BE'!$I$56+'TUSD BE'!$I$57+'TUSD BE'!$I$58+'TUSD BE'!$I$59+'TUSD BE'!$I$60+'TUSD BE'!$I$61+'TUSD BE'!$I$62+'TUSD BE'!$I$63+'TUSD BE'!$I$64</f>
        <v>61142.29</v>
      </c>
      <c r="N88" s="33"/>
      <c r="O88" s="33"/>
      <c r="P88" s="33"/>
    </row>
    <row r="89" spans="11:39" ht="11.25" customHeight="1" x14ac:dyDescent="0.25">
      <c r="K89" s="33" t="s">
        <v>37</v>
      </c>
      <c r="L89" s="33">
        <f ca="1">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BE'!$I$67+(+'TUSD BE'!$L$68+'TUSD BE'!$M$68+'TUSD BE'!$N$68+'TUSD BE'!$O$68+'TUSD BE'!$P$68+'TUSD BE'!$Q$68+'TUSD BE'!$R$68+'TUSD BE'!$S$68+'TUSD BE'!$U$68+'TUSD BE'!$V$68+'TUSD BE'!$W$68+'TUSD BE'!$X$68+'TUSD BE'!$Y$68+'TUSD BE'!$Z$68+'TUSD BE'!$AA$68+'TUSD BE'!$AC$68+'TUSD BE'!$AH$68+'TUSD BE'!$AI$68)*'TUSD BE'!$I$68+(+'TUSD BE'!$L$69+'TUSD BE'!$M$69+'TUSD BE'!$N$69+'TUSD BE'!$O$69+'TUSD BE'!$P$69+'TUSD BE'!$Q$69+'TUSD BE'!$R$69+'TUSD BE'!$S$69+'TUSD BE'!$U$69+'TUSD BE'!$V$69+'TUSD BE'!$W$69+'TUSD BE'!$X$69+'TUSD BE'!$Y$69+'TUSD BE'!$Z$69+'TUSD BE'!$AA$69+'TUSD BE'!$AC$69+'TUSD BE'!$AH$69+'TUSD BE'!$AI$69)*'TUSD BE'!$I$69</f>
        <v>145935968.33824453</v>
      </c>
      <c r="M89" s="33">
        <f>+'TUSD BE'!$I$65+'TUSD BE'!$I$66+'TUSD BE'!$I$67+'TUSD BE'!$I$68+'TUSD BE'!$I$69</f>
        <v>353985.85300000006</v>
      </c>
      <c r="N89" s="33"/>
      <c r="O89" s="33"/>
      <c r="P89" s="33"/>
    </row>
    <row r="90" spans="11:39" ht="11.25" customHeight="1" x14ac:dyDescent="0.25">
      <c r="K90" s="33" t="s">
        <v>47</v>
      </c>
      <c r="L90" s="33">
        <f ca="1">+(+'TUSD BE'!$L$70+'TUSD BE'!$M$70+'TUSD BE'!$N$70+'TUSD BE'!$O$70+'TUSD BE'!$P$70+'TUSD BE'!$Q$70+'TUSD BE'!$R$70+'TUSD BE'!$S$70+'TUSD BE'!$U$70+'TUSD BE'!$V$70+'TUSD BE'!$W$70+'TUSD BE'!$X$70+'TUSD BE'!$Y$70+'TUSD BE'!$Z$70+'TUSD BE'!$AA$70+'TUSD BE'!$AC$70+'TUSD BE'!$AH$70+'TUSD BE'!$AI$70)*'TUSD BE'!$I$70+(+'TUSD BE'!$L$71+'TUSD BE'!$M$71+'TUSD BE'!$N$71+'TUSD BE'!$O$71+'TUSD BE'!$P$71+'TUSD BE'!$Q$71+'TUSD BE'!$R$71+'TUSD BE'!$S$71+'TUSD BE'!$U$71+'TUSD BE'!$V$71+'TUSD BE'!$W$71+'TUSD BE'!$X$71+'TUSD BE'!$Y$71+'TUSD BE'!$Z$71+'TUSD BE'!$AA$71+'TUSD BE'!$AC$71+'TUSD BE'!$AH$71+'TUSD BE'!$AI$71)*'TUSD BE'!$I$71</f>
        <v>44809631.299537905</v>
      </c>
      <c r="M90" s="33">
        <f>+'TUSD BE'!$I$70+'TUSD BE'!$I$71</f>
        <v>197535.73299999998</v>
      </c>
      <c r="N90" s="33"/>
      <c r="O90" s="33"/>
      <c r="P90" s="33"/>
    </row>
    <row r="91" spans="11:39" ht="11.25" customHeight="1" x14ac:dyDescent="0.25">
      <c r="K91" s="33"/>
      <c r="L91" s="33">
        <f ca="1">SUM($L$83:$L$90,-$L$85)</f>
        <v>943845600.63166451</v>
      </c>
      <c r="M91" s="33">
        <f>SUM($M$83:$M$90,-$M$85)</f>
        <v>2899775.3820000002</v>
      </c>
      <c r="N91" s="33"/>
      <c r="O91" s="33"/>
      <c r="P91" s="33"/>
    </row>
    <row r="96" spans="11:39" ht="11.25" customHeight="1" x14ac:dyDescent="0.25">
      <c r="K96" s="31" t="s">
        <v>950</v>
      </c>
      <c r="L96" s="30"/>
      <c r="M96" s="30">
        <v>5858.4339</v>
      </c>
      <c r="N96" s="30">
        <v>14501.0735</v>
      </c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>
        <v>1444248.9242</v>
      </c>
      <c r="AD96" s="30"/>
      <c r="AE96" s="30"/>
      <c r="AF96" s="30"/>
      <c r="AG96" s="30"/>
      <c r="AH96" s="30"/>
      <c r="AI96" s="30"/>
      <c r="AJ96" s="30"/>
      <c r="AK96" s="30"/>
      <c r="AL96" s="30"/>
      <c r="AM96" s="30"/>
    </row>
  </sheetData>
  <mergeCells count="92">
    <mergeCell ref="B9:B11"/>
    <mergeCell ref="C9:C11"/>
    <mergeCell ref="D9:D11"/>
    <mergeCell ref="E9:E11"/>
    <mergeCell ref="F9:F11"/>
    <mergeCell ref="B13:B16"/>
    <mergeCell ref="C13:C16"/>
    <mergeCell ref="D13:D16"/>
    <mergeCell ref="E13:E15"/>
    <mergeCell ref="E33:E34"/>
    <mergeCell ref="F13:F15"/>
    <mergeCell ref="B17:B28"/>
    <mergeCell ref="C17:C28"/>
    <mergeCell ref="D17:D28"/>
    <mergeCell ref="A5:A12"/>
    <mergeCell ref="B5:B8"/>
    <mergeCell ref="C5:C8"/>
    <mergeCell ref="D5:D8"/>
    <mergeCell ref="E5:E7"/>
    <mergeCell ref="F5:F7"/>
    <mergeCell ref="E17:E28"/>
    <mergeCell ref="F17:F19"/>
    <mergeCell ref="F20:F22"/>
    <mergeCell ref="F23:F25"/>
    <mergeCell ref="F26:F28"/>
    <mergeCell ref="A13:A34"/>
    <mergeCell ref="F33:F34"/>
    <mergeCell ref="A35:A36"/>
    <mergeCell ref="B35:B36"/>
    <mergeCell ref="C35:C36"/>
    <mergeCell ref="D35:D36"/>
    <mergeCell ref="B30:B34"/>
    <mergeCell ref="C30:C34"/>
    <mergeCell ref="D30:D34"/>
    <mergeCell ref="E30:E32"/>
    <mergeCell ref="F30:F32"/>
    <mergeCell ref="F37:F39"/>
    <mergeCell ref="B40:B44"/>
    <mergeCell ref="C40:C44"/>
    <mergeCell ref="B45:B49"/>
    <mergeCell ref="C45:C49"/>
    <mergeCell ref="A37:A49"/>
    <mergeCell ref="B37:B39"/>
    <mergeCell ref="C37:C39"/>
    <mergeCell ref="D37:D39"/>
    <mergeCell ref="E37:E39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F1:F4"/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6E6-D098-4F14-92FD-C92E3BECF5EE}">
  <dimension ref="A1:AP81"/>
  <sheetViews>
    <sheetView showGridLines="0" topLeftCell="X31" workbookViewId="0">
      <selection activeCell="AO77" sqref="AO77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7.8554687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0" width="11.7109375" style="9" bestFit="1" customWidth="1"/>
    <col min="21" max="23" width="10.85546875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956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P1" s="105" t="s">
        <v>949</v>
      </c>
    </row>
    <row r="2" spans="1:42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P2" s="106"/>
    </row>
    <row r="3" spans="1:42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/>
      <c r="U3" s="105" t="s">
        <v>868</v>
      </c>
      <c r="V3" s="105"/>
      <c r="W3" s="105"/>
      <c r="X3" s="105"/>
      <c r="Y3" s="105"/>
      <c r="Z3" s="105"/>
      <c r="AA3" s="105"/>
      <c r="AB3" s="105"/>
      <c r="AC3" s="105" t="s">
        <v>876</v>
      </c>
      <c r="AD3" s="105"/>
      <c r="AE3" s="105" t="s">
        <v>878</v>
      </c>
      <c r="AF3" s="105"/>
      <c r="AG3" s="105"/>
      <c r="AH3" s="105" t="s">
        <v>881</v>
      </c>
      <c r="AI3" s="105"/>
      <c r="AJ3" s="105"/>
      <c r="AK3" s="105"/>
      <c r="AL3" s="105"/>
      <c r="AM3" s="105" t="s">
        <v>867</v>
      </c>
      <c r="AP3" s="106"/>
    </row>
    <row r="4" spans="1:42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867</v>
      </c>
      <c r="U4" s="32" t="s">
        <v>869</v>
      </c>
      <c r="V4" s="32" t="s">
        <v>870</v>
      </c>
      <c r="W4" s="32" t="s">
        <v>871</v>
      </c>
      <c r="X4" s="32" t="s">
        <v>872</v>
      </c>
      <c r="Y4" s="32" t="s">
        <v>873</v>
      </c>
      <c r="Z4" s="32" t="s">
        <v>874</v>
      </c>
      <c r="AA4" s="32" t="s">
        <v>875</v>
      </c>
      <c r="AB4" s="32" t="s">
        <v>867</v>
      </c>
      <c r="AC4" s="32" t="s">
        <v>877</v>
      </c>
      <c r="AD4" s="32" t="s">
        <v>867</v>
      </c>
      <c r="AE4" s="32" t="s">
        <v>879</v>
      </c>
      <c r="AF4" s="32" t="s">
        <v>880</v>
      </c>
      <c r="AG4" s="32" t="s">
        <v>867</v>
      </c>
      <c r="AH4" s="32" t="s">
        <v>882</v>
      </c>
      <c r="AI4" s="32" t="s">
        <v>883</v>
      </c>
      <c r="AJ4" s="32" t="s">
        <v>884</v>
      </c>
      <c r="AK4" s="32" t="s">
        <v>885</v>
      </c>
      <c r="AL4" s="32" t="s">
        <v>867</v>
      </c>
      <c r="AM4" s="107"/>
      <c r="AP4" s="106"/>
    </row>
    <row r="5" spans="1:42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>
        <f>'TR TUSD'!$L$5*'TR TUSD'!$L$80</f>
        <v>0</v>
      </c>
      <c r="M5" s="30">
        <f>'TR TUSD'!$M$5*'TR TUSD'!$M$80</f>
        <v>0</v>
      </c>
      <c r="N5" s="30">
        <f ca="1">'TR TUSD'!$N$5*'TR TUSD'!$N$80</f>
        <v>0</v>
      </c>
      <c r="O5" s="30">
        <f>'TR TUSD'!$O$5*'TR TUSD'!$O$80</f>
        <v>0</v>
      </c>
      <c r="P5" s="30">
        <f>'TR TUSD'!$P$5*'TR TUSD'!$P$80</f>
        <v>0</v>
      </c>
      <c r="Q5" s="30">
        <f>'TR TUSD'!$Q$5*'TR TUSD'!$Q$80</f>
        <v>0</v>
      </c>
      <c r="R5" s="30">
        <f>'TR TUSD'!$R$5*'TR TUSD'!$R$80</f>
        <v>0</v>
      </c>
      <c r="S5" s="30">
        <f>'TR TUSD'!$S$5*'TR TUSD'!$S$80</f>
        <v>0</v>
      </c>
      <c r="T5" s="30">
        <f ca="1">SUM($L$5:$S$5)</f>
        <v>0</v>
      </c>
      <c r="U5" s="30">
        <f>'TR TUSD'!$U$5*'TR TUSD'!$U$80</f>
        <v>5.694421758246393</v>
      </c>
      <c r="V5" s="30">
        <f>'TR TUSD'!$V$5*'TR TUSD'!$V$80</f>
        <v>1.10775286284772</v>
      </c>
      <c r="W5" s="30">
        <f>'TR TUSD'!$W$5*'TR TUSD'!$W$80</f>
        <v>0.98567549352798178</v>
      </c>
      <c r="X5" s="30">
        <f>'TR TUSD'!$X$5*'TR TUSD'!$X$80</f>
        <v>0</v>
      </c>
      <c r="Y5" s="30">
        <f>'TR TUSD'!$Y$5*'TR TUSD'!$Y$80</f>
        <v>0</v>
      </c>
      <c r="Z5" s="30">
        <f>'TR TUSD'!$Z$5</f>
        <v>0</v>
      </c>
      <c r="AA5" s="30">
        <f>'TR TUSD'!$AA$5</f>
        <v>0</v>
      </c>
      <c r="AB5" s="30">
        <f>SUM($U$5:$AA$5)</f>
        <v>7.7878501146220946</v>
      </c>
      <c r="AC5" s="30">
        <f>'TR TUSD'!$AC$5*'TR TUSD'!$AC$80</f>
        <v>23.274377713783466</v>
      </c>
      <c r="AD5" s="30">
        <f>SUM($AC$5:$AC$5)</f>
        <v>23.274377713783466</v>
      </c>
      <c r="AE5" s="30">
        <v>0</v>
      </c>
      <c r="AF5" s="30">
        <v>0</v>
      </c>
      <c r="AG5" s="30">
        <f>SUM($AE$5:$AF$5)</f>
        <v>0</v>
      </c>
      <c r="AH5" s="30">
        <f>'TR TUSD'!$AH$5*'TR TUSD'!$AH$80</f>
        <v>0</v>
      </c>
      <c r="AI5" s="30">
        <f>'TR TUSD'!$AI$5*'TR TUSD'!$AI$80</f>
        <v>0</v>
      </c>
      <c r="AJ5" s="30">
        <f ca="1">'TR TUSD'!$AJ$5*'TR TUSD'!$AJ$80</f>
        <v>0</v>
      </c>
      <c r="AK5" s="30">
        <f ca="1">'TR TUSD'!$AK$5*'TR TUSD'!$AK$80</f>
        <v>0</v>
      </c>
      <c r="AL5" s="30">
        <f ca="1">SUM($AH$5:$AK$5)</f>
        <v>0</v>
      </c>
      <c r="AM5" s="30">
        <f ca="1">SUMIF($L$4:$AL$4,"SUBTOTAL",$L$5:$AL$5)</f>
        <v>31.062227828405561</v>
      </c>
      <c r="AP5" s="30">
        <v>1</v>
      </c>
    </row>
    <row r="6" spans="1:42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>
        <f>'TR TUSD'!$L$6*'TR TUSD'!$L$80</f>
        <v>0</v>
      </c>
      <c r="M6" s="30">
        <f>'TR TUSD'!$M$6*'TR TUSD'!$M$80</f>
        <v>0</v>
      </c>
      <c r="N6" s="30">
        <f ca="1">'TR TUSD'!$N$6*'TR TUSD'!$N$80</f>
        <v>0</v>
      </c>
      <c r="O6" s="30">
        <f>'TR TUSD'!$O$6*'TR TUSD'!$O$80</f>
        <v>0</v>
      </c>
      <c r="P6" s="30">
        <f>'TR TUSD'!$P$6*'TR TUSD'!$P$80</f>
        <v>0</v>
      </c>
      <c r="Q6" s="30">
        <f>'TR TUSD'!$Q$6*'TR TUSD'!$Q$80</f>
        <v>0</v>
      </c>
      <c r="R6" s="30">
        <f>'TR TUSD'!$R$6*'TR TUSD'!$R$80</f>
        <v>0</v>
      </c>
      <c r="S6" s="30">
        <f>'TR TUSD'!$S$6*'TR TUSD'!$S$80</f>
        <v>0</v>
      </c>
      <c r="T6" s="30">
        <f ca="1">SUM($L$6:$S$6)</f>
        <v>0</v>
      </c>
      <c r="U6" s="30">
        <f>'TR TUSD'!$U$6*'TR TUSD'!$U$80</f>
        <v>5.4444404526438603</v>
      </c>
      <c r="V6" s="30">
        <f>'TR TUSD'!$V$6*'TR TUSD'!$V$80</f>
        <v>1.0812324847829495</v>
      </c>
      <c r="W6" s="30">
        <f>'TR TUSD'!$W$6*'TR TUSD'!$W$80</f>
        <v>0.79040164795466739</v>
      </c>
      <c r="X6" s="30">
        <f>'TR TUSD'!$X$6*'TR TUSD'!$X$80</f>
        <v>0</v>
      </c>
      <c r="Y6" s="30">
        <f>'TR TUSD'!$Y$6*'TR TUSD'!$Y$80</f>
        <v>0</v>
      </c>
      <c r="Z6" s="30">
        <f>'TR TUSD'!$Z$6</f>
        <v>0</v>
      </c>
      <c r="AA6" s="30">
        <f>'TR TUSD'!$AA$6</f>
        <v>0</v>
      </c>
      <c r="AB6" s="30">
        <f>SUM($U$6:$AA$6)</f>
        <v>7.316074585381477</v>
      </c>
      <c r="AC6" s="30">
        <f>'TR TUSD'!$AC$6*'TR TUSD'!$AC$80</f>
        <v>2.8347051201271234</v>
      </c>
      <c r="AD6" s="30">
        <f>SUM($AC$6:$AC$6)</f>
        <v>2.8347051201271234</v>
      </c>
      <c r="AE6" s="30">
        <v>0</v>
      </c>
      <c r="AF6" s="30">
        <v>0</v>
      </c>
      <c r="AG6" s="30">
        <f>SUM($AE$6:$AF$6)</f>
        <v>0</v>
      </c>
      <c r="AH6" s="30">
        <f>'TR TUSD'!$AH$6*'TR TUSD'!$AH$80</f>
        <v>0</v>
      </c>
      <c r="AI6" s="30">
        <f>'TR TUSD'!$AI$6*'TR TUSD'!$AI$80</f>
        <v>0</v>
      </c>
      <c r="AJ6" s="30">
        <f ca="1">'TR TUSD'!$AJ$6*'TR TUSD'!$AJ$80</f>
        <v>0</v>
      </c>
      <c r="AK6" s="30">
        <f ca="1">'TR TUSD'!$AK$6*'TR TUSD'!$AK$80</f>
        <v>0</v>
      </c>
      <c r="AL6" s="30">
        <f ca="1">SUM($AH$6:$AK$6)</f>
        <v>0</v>
      </c>
      <c r="AM6" s="30">
        <f ca="1">SUMIF($L$4:$AL$4,"SUBTOTAL",$L$6:$AL$6)</f>
        <v>10.150779705508601</v>
      </c>
      <c r="AP6" s="30">
        <v>1</v>
      </c>
    </row>
    <row r="7" spans="1:42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>
        <f>'TR TUSD'!$L$7*'TR TUSD'!$L$80</f>
        <v>2.5925193460083005</v>
      </c>
      <c r="M7" s="30">
        <f>'TR TUSD'!$M$7*'TR TUSD'!$M$80</f>
        <v>0.17449298481132339</v>
      </c>
      <c r="N7" s="30">
        <f ca="1">'TR TUSD'!$N$7*'TR TUSD'!$N$80</f>
        <v>0.20376192248182046</v>
      </c>
      <c r="O7" s="30">
        <f>'TR TUSD'!$O$7*'TR TUSD'!$O$80</f>
        <v>2.3954432862312944E-2</v>
      </c>
      <c r="P7" s="30">
        <f>'TR TUSD'!$P$7*'TR TUSD'!$P$80</f>
        <v>0</v>
      </c>
      <c r="Q7" s="30">
        <f>'TR TUSD'!$Q$7*'TR TUSD'!$Q$80</f>
        <v>22.807977418442192</v>
      </c>
      <c r="R7" s="30">
        <f>'TR TUSD'!$R$7*'TR TUSD'!$R$80</f>
        <v>14.668516006400978</v>
      </c>
      <c r="S7" s="30">
        <f>'TR TUSD'!$S$7*'TR TUSD'!$S$80</f>
        <v>0</v>
      </c>
      <c r="T7" s="30">
        <f ca="1">SUM($L$7:$S$7)</f>
        <v>40.471222111006924</v>
      </c>
      <c r="U7" s="30">
        <f>'TR TUSD'!$U$7*'TR TUSD'!$U$80</f>
        <v>0</v>
      </c>
      <c r="V7" s="30">
        <f>'TR TUSD'!$V$7*'TR TUSD'!$V$80</f>
        <v>0</v>
      </c>
      <c r="W7" s="30">
        <f>'TR TUSD'!$W$7*'TR TUSD'!$W$80</f>
        <v>0</v>
      </c>
      <c r="X7" s="30">
        <f>'TR TUSD'!$X$7*'TR TUSD'!$X$80</f>
        <v>0</v>
      </c>
      <c r="Y7" s="30">
        <f>'TR TUSD'!$Y$7*'TR TUSD'!$Y$80</f>
        <v>0</v>
      </c>
      <c r="Z7" s="30">
        <f>'TR TUSD'!$Z$7</f>
        <v>0</v>
      </c>
      <c r="AA7" s="30">
        <f>'TR TUSD'!$AA$7</f>
        <v>0</v>
      </c>
      <c r="AB7" s="30">
        <f>SUM($U$7:$AA$7)</f>
        <v>0</v>
      </c>
      <c r="AC7" s="30">
        <f>'TR TUSD'!$AC$7*'TR TUSD'!$AC$80</f>
        <v>0</v>
      </c>
      <c r="AD7" s="30">
        <f>SUM($AC$7:$AC$7)</f>
        <v>0</v>
      </c>
      <c r="AE7" s="30">
        <v>0</v>
      </c>
      <c r="AF7" s="30">
        <v>0</v>
      </c>
      <c r="AG7" s="30">
        <f>SUM($AE$7:$AF$7)</f>
        <v>0</v>
      </c>
      <c r="AH7" s="30">
        <f>'TR TUSD'!$AH$7*'TR TUSD'!$AH$80</f>
        <v>4.4723295062549244</v>
      </c>
      <c r="AI7" s="30">
        <f>'TR TUSD'!$AI$7*'TR TUSD'!$AI$80</f>
        <v>0.15923122324876268</v>
      </c>
      <c r="AJ7" s="30">
        <f ca="1">'TR TUSD'!$AJ$7*'TR TUSD'!$AJ$80</f>
        <v>2.1651587496188163</v>
      </c>
      <c r="AK7" s="30">
        <f ca="1">'TR TUSD'!$AK$7*'TR TUSD'!$AK$80</f>
        <v>0</v>
      </c>
      <c r="AL7" s="30">
        <f ca="1">SUM($AH$7:$AK$7)</f>
        <v>6.796719479122503</v>
      </c>
      <c r="AM7" s="30">
        <f ca="1">SUMIF($L$4:$AL$4,"SUBTOTAL",$L$7:$AL$7)</f>
        <v>47.267941590129425</v>
      </c>
      <c r="AP7" s="30">
        <v>1</v>
      </c>
    </row>
    <row r="8" spans="1:42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>
        <f>'TR TUSD'!$L$8*'TR TUSD'!$L$80</f>
        <v>0</v>
      </c>
      <c r="M8" s="30">
        <f>'TR TUSD'!$M$8*'TR TUSD'!$M$80</f>
        <v>0.17449298481132339</v>
      </c>
      <c r="N8" s="30">
        <f ca="1">'TR TUSD'!$N$8*'TR TUSD'!$N$80</f>
        <v>0.18890481232573331</v>
      </c>
      <c r="O8" s="30">
        <f>'TR TUSD'!$O$8*'TR TUSD'!$O$80</f>
        <v>2.3954432862312944E-2</v>
      </c>
      <c r="P8" s="30">
        <f>'TR TUSD'!$P$8*'TR TUSD'!$P$80</f>
        <v>0</v>
      </c>
      <c r="Q8" s="30">
        <f>'TR TUSD'!$Q$8*'TR TUSD'!$Q$80</f>
        <v>0</v>
      </c>
      <c r="R8" s="30">
        <f>'TR TUSD'!$R$8*'TR TUSD'!$R$80</f>
        <v>0</v>
      </c>
      <c r="S8" s="30">
        <f>'TR TUSD'!$S$8*'TR TUSD'!$S$80</f>
        <v>0</v>
      </c>
      <c r="T8" s="30">
        <f ca="1">SUM($L$8:$S$8)</f>
        <v>0.38735222999936963</v>
      </c>
      <c r="U8" s="30">
        <f>'TR TUSD'!$U$8*'TR TUSD'!$U$80</f>
        <v>0</v>
      </c>
      <c r="V8" s="30">
        <f>'TR TUSD'!$V$8*'TR TUSD'!$V$80</f>
        <v>0</v>
      </c>
      <c r="W8" s="30">
        <f>'TR TUSD'!$W$8*'TR TUSD'!$W$80</f>
        <v>0</v>
      </c>
      <c r="X8" s="30">
        <f>'TR TUSD'!$X$8*'TR TUSD'!$X$80</f>
        <v>0</v>
      </c>
      <c r="Y8" s="30">
        <f>'TR TUSD'!$Y$8*'TR TUSD'!$Y$80</f>
        <v>0</v>
      </c>
      <c r="Z8" s="30">
        <f>'TR TUSD'!$Z$8</f>
        <v>0</v>
      </c>
      <c r="AA8" s="30">
        <f>'TR TUSD'!$AA$8</f>
        <v>0</v>
      </c>
      <c r="AB8" s="30">
        <f>SUM($U$8:$AA$8)</f>
        <v>0</v>
      </c>
      <c r="AC8" s="30">
        <f>'TR TUSD'!$AC$8*'TR TUSD'!$AC$80</f>
        <v>0</v>
      </c>
      <c r="AD8" s="30">
        <f>SUM($AC$8:$AC$8)</f>
        <v>0</v>
      </c>
      <c r="AE8" s="30">
        <v>0</v>
      </c>
      <c r="AF8" s="30">
        <v>0</v>
      </c>
      <c r="AG8" s="30">
        <f>SUM($AE$8:$AF$8)</f>
        <v>0</v>
      </c>
      <c r="AH8" s="30">
        <f>'TR TUSD'!$AH$8*'TR TUSD'!$AH$80</f>
        <v>4.4723295062549244</v>
      </c>
      <c r="AI8" s="30">
        <f>'TR TUSD'!$AI$8*'TR TUSD'!$AI$80</f>
        <v>0.15923122324876268</v>
      </c>
      <c r="AJ8" s="30">
        <f ca="1">'TR TUSD'!$AJ$8*'TR TUSD'!$AJ$80</f>
        <v>2.1651587496188163</v>
      </c>
      <c r="AK8" s="30">
        <f ca="1">'TR TUSD'!$AK$8*'TR TUSD'!$AK$80</f>
        <v>0</v>
      </c>
      <c r="AL8" s="30">
        <f ca="1">SUM($AH$8:$AK$8)</f>
        <v>6.796719479122503</v>
      </c>
      <c r="AM8" s="30">
        <f ca="1">SUMIF($L$4:$AL$4,"SUBTOTAL",$L$8:$AL$8)</f>
        <v>7.1840717091218727</v>
      </c>
      <c r="AP8" s="30">
        <v>1</v>
      </c>
    </row>
    <row r="9" spans="1:42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>
        <f>'TR TUSD'!$L$9*'TR TUSD'!$L$80</f>
        <v>0</v>
      </c>
      <c r="M9" s="30">
        <f>'TR TUSD'!$M$9*'TR TUSD'!$M$80</f>
        <v>0</v>
      </c>
      <c r="N9" s="30">
        <f ca="1">'TR TUSD'!$N$9*'TR TUSD'!$N$80</f>
        <v>0</v>
      </c>
      <c r="O9" s="30">
        <f>'TR TUSD'!$O$9*'TR TUSD'!$O$80</f>
        <v>0</v>
      </c>
      <c r="P9" s="30">
        <f>'TR TUSD'!$P$9*'TR TUSD'!$P$80</f>
        <v>0</v>
      </c>
      <c r="Q9" s="30">
        <f>'TR TUSD'!$Q$9*'TR TUSD'!$Q$80</f>
        <v>0</v>
      </c>
      <c r="R9" s="30">
        <f>'TR TUSD'!$R$9*'TR TUSD'!$R$80</f>
        <v>0</v>
      </c>
      <c r="S9" s="30">
        <f>'TR TUSD'!$S$9*'TR TUSD'!$S$80</f>
        <v>0</v>
      </c>
      <c r="T9" s="30">
        <f ca="1">SUM($L$9:$S$9)</f>
        <v>0</v>
      </c>
      <c r="U9" s="30">
        <f>'TR TUSD'!$U$9*'TR TUSD'!$U$80</f>
        <v>5.694421758246393</v>
      </c>
      <c r="V9" s="30">
        <f>'TR TUSD'!$V$9*'TR TUSD'!$V$80</f>
        <v>1.10775286284772</v>
      </c>
      <c r="W9" s="30">
        <f>'TR TUSD'!$W$9*'TR TUSD'!$W$80</f>
        <v>0.98567549352798178</v>
      </c>
      <c r="X9" s="30">
        <f>'TR TUSD'!$X$9*'TR TUSD'!$X$80</f>
        <v>0</v>
      </c>
      <c r="Y9" s="30">
        <f>'TR TUSD'!$Y$9*'TR TUSD'!$Y$80</f>
        <v>0</v>
      </c>
      <c r="Z9" s="30">
        <f>'TR TUSD'!$Z$9</f>
        <v>0</v>
      </c>
      <c r="AA9" s="30">
        <f>'TR TUSD'!$AA$9</f>
        <v>0</v>
      </c>
      <c r="AB9" s="30">
        <f>SUM($U$9:$AA$9)</f>
        <v>7.7878501146220946</v>
      </c>
      <c r="AC9" s="30">
        <f>'TR TUSD'!$AC$9*'TR TUSD'!$AC$80</f>
        <v>23.274377713783466</v>
      </c>
      <c r="AD9" s="30">
        <f>SUM($AC$9:$AC$9)</f>
        <v>23.274377713783466</v>
      </c>
      <c r="AE9" s="30">
        <v>0</v>
      </c>
      <c r="AF9" s="30">
        <v>0</v>
      </c>
      <c r="AG9" s="30">
        <f>SUM($AE$9:$AF$9)</f>
        <v>0</v>
      </c>
      <c r="AH9" s="30">
        <f>'TR TUSD'!$AH$9*'TR TUSD'!$AH$80</f>
        <v>0</v>
      </c>
      <c r="AI9" s="30">
        <f>'TR TUSD'!$AI$9*'TR TUSD'!$AI$80</f>
        <v>0</v>
      </c>
      <c r="AJ9" s="30">
        <f ca="1">'TR TUSD'!$AJ$9*'TR TUSD'!$AJ$80</f>
        <v>0</v>
      </c>
      <c r="AK9" s="30">
        <f ca="1">'TR TUSD'!$AK$9*'TR TUSD'!$AK$80</f>
        <v>0</v>
      </c>
      <c r="AL9" s="30">
        <f ca="1">SUM($AH$9:$AK$9)</f>
        <v>0</v>
      </c>
      <c r="AM9" s="30">
        <f ca="1">SUMIF($L$4:$AL$4,"SUBTOTAL",$L$9:$AL$9)</f>
        <v>31.062227828405561</v>
      </c>
      <c r="AP9" s="30">
        <v>1</v>
      </c>
    </row>
    <row r="10" spans="1:42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>
        <f>'TR TUSD'!$L$10*'TR TUSD'!$L$80</f>
        <v>0</v>
      </c>
      <c r="M10" s="30">
        <f>'TR TUSD'!$M$10*'TR TUSD'!$M$80</f>
        <v>0</v>
      </c>
      <c r="N10" s="30">
        <f ca="1">'TR TUSD'!$N$10*'TR TUSD'!$N$80</f>
        <v>0</v>
      </c>
      <c r="O10" s="30">
        <f>'TR TUSD'!$O$10*'TR TUSD'!$O$80</f>
        <v>0</v>
      </c>
      <c r="P10" s="30">
        <f>'TR TUSD'!$P$10*'TR TUSD'!$P$80</f>
        <v>0</v>
      </c>
      <c r="Q10" s="30">
        <f>'TR TUSD'!$Q$10*'TR TUSD'!$Q$80</f>
        <v>0</v>
      </c>
      <c r="R10" s="30">
        <f>'TR TUSD'!$R$10*'TR TUSD'!$R$80</f>
        <v>0</v>
      </c>
      <c r="S10" s="30">
        <f>'TR TUSD'!$S$10*'TR TUSD'!$S$80</f>
        <v>0</v>
      </c>
      <c r="T10" s="30">
        <f ca="1">SUM($L$10:$S$10)</f>
        <v>0</v>
      </c>
      <c r="U10" s="30">
        <f>'TR TUSD'!$U$10*'TR TUSD'!$U$80</f>
        <v>5.4444404526438603</v>
      </c>
      <c r="V10" s="30">
        <f>'TR TUSD'!$V$10*'TR TUSD'!$V$80</f>
        <v>1.0812324847829495</v>
      </c>
      <c r="W10" s="30">
        <f>'TR TUSD'!$W$10*'TR TUSD'!$W$80</f>
        <v>0.79040164795466739</v>
      </c>
      <c r="X10" s="30">
        <f>'TR TUSD'!$X$10*'TR TUSD'!$X$80</f>
        <v>0</v>
      </c>
      <c r="Y10" s="30">
        <f>'TR TUSD'!$Y$10*'TR TUSD'!$Y$80</f>
        <v>0</v>
      </c>
      <c r="Z10" s="30">
        <f>'TR TUSD'!$Z$10</f>
        <v>0</v>
      </c>
      <c r="AA10" s="30">
        <f>'TR TUSD'!$AA$10</f>
        <v>0</v>
      </c>
      <c r="AB10" s="30">
        <f>SUM($U$10:$AA$10)</f>
        <v>7.316074585381477</v>
      </c>
      <c r="AC10" s="30">
        <f>'TR TUSD'!$AC$10*'TR TUSD'!$AC$80</f>
        <v>2.8347051201271234</v>
      </c>
      <c r="AD10" s="30">
        <f>SUM($AC$10:$AC$10)</f>
        <v>2.8347051201271234</v>
      </c>
      <c r="AE10" s="30">
        <v>0</v>
      </c>
      <c r="AF10" s="30">
        <v>0</v>
      </c>
      <c r="AG10" s="30">
        <f>SUM($AE$10:$AF$10)</f>
        <v>0</v>
      </c>
      <c r="AH10" s="30">
        <f>'TR TUSD'!$AH$10*'TR TUSD'!$AH$80</f>
        <v>0</v>
      </c>
      <c r="AI10" s="30">
        <f>'TR TUSD'!$AI$10*'TR TUSD'!$AI$80</f>
        <v>0</v>
      </c>
      <c r="AJ10" s="30">
        <f ca="1">'TR TUSD'!$AJ$10*'TR TUSD'!$AJ$80</f>
        <v>0</v>
      </c>
      <c r="AK10" s="30">
        <f ca="1">'TR TUSD'!$AK$10*'TR TUSD'!$AK$80</f>
        <v>0</v>
      </c>
      <c r="AL10" s="30">
        <f ca="1">SUM($AH$10:$AK$10)</f>
        <v>0</v>
      </c>
      <c r="AM10" s="30">
        <f ca="1">SUMIF($L$4:$AL$4,"SUBTOTAL",$L$10:$AL$10)</f>
        <v>10.150779705508601</v>
      </c>
      <c r="AP10" s="30">
        <v>1</v>
      </c>
    </row>
    <row r="11" spans="1:42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>
        <f>'TR TUSD'!$L$11*'TR TUSD'!$L$80</f>
        <v>0</v>
      </c>
      <c r="M11" s="30">
        <f>'TR TUSD'!$M$11*'TR TUSD'!$M$80</f>
        <v>0</v>
      </c>
      <c r="N11" s="30">
        <f ca="1">'TR TUSD'!$N$11*'TR TUSD'!$N$80</f>
        <v>0</v>
      </c>
      <c r="O11" s="30">
        <f>'TR TUSD'!$O$11*'TR TUSD'!$O$80</f>
        <v>0</v>
      </c>
      <c r="P11" s="30">
        <f>'TR TUSD'!$P$11*'TR TUSD'!$P$80</f>
        <v>0</v>
      </c>
      <c r="Q11" s="30">
        <f>'TR TUSD'!$Q$11*'TR TUSD'!$Q$80</f>
        <v>0</v>
      </c>
      <c r="R11" s="30">
        <f>'TR TUSD'!$R$11*'TR TUSD'!$R$80</f>
        <v>0</v>
      </c>
      <c r="S11" s="30">
        <f>'TR TUSD'!$S$11*'TR TUSD'!$S$80</f>
        <v>0</v>
      </c>
      <c r="T11" s="30">
        <f ca="1">SUM($L$11:$S$11)</f>
        <v>0</v>
      </c>
      <c r="U11" s="30">
        <f>'TR TUSD'!$U$11*'TR TUSD'!$U$80</f>
        <v>0</v>
      </c>
      <c r="V11" s="30">
        <f>'TR TUSD'!$V$11*'TR TUSD'!$V$80</f>
        <v>0</v>
      </c>
      <c r="W11" s="30">
        <f>'TR TUSD'!$W$11*'TR TUSD'!$W$80</f>
        <v>0</v>
      </c>
      <c r="X11" s="30">
        <f>'TR TUSD'!$X$11*'TR TUSD'!$X$80</f>
        <v>0</v>
      </c>
      <c r="Y11" s="30">
        <f>'TR TUSD'!$Y$11*'TR TUSD'!$Y$80</f>
        <v>0</v>
      </c>
      <c r="Z11" s="30">
        <f>'TR TUSD'!$Z$11</f>
        <v>0</v>
      </c>
      <c r="AA11" s="30">
        <f>'TR TUSD'!$AA$11</f>
        <v>0</v>
      </c>
      <c r="AB11" s="30">
        <f>SUM($U$11:$AA$11)</f>
        <v>0</v>
      </c>
      <c r="AC11" s="30">
        <f>'TR TUSD'!$AC$11*'TR TUSD'!$AC$80</f>
        <v>0</v>
      </c>
      <c r="AD11" s="30">
        <f>SUM($AC$11:$AC$11)</f>
        <v>0</v>
      </c>
      <c r="AE11" s="30">
        <v>0</v>
      </c>
      <c r="AF11" s="30">
        <v>0</v>
      </c>
      <c r="AG11" s="30">
        <f>SUM($AE$11:$AF$11)</f>
        <v>0</v>
      </c>
      <c r="AH11" s="30">
        <f>'TR TUSD'!$AH$11*'TR TUSD'!$AH$80</f>
        <v>4.4723295062549244</v>
      </c>
      <c r="AI11" s="30">
        <f>'TR TUSD'!$AI$11*'TR TUSD'!$AI$80</f>
        <v>0.15923122324876268</v>
      </c>
      <c r="AJ11" s="30">
        <f ca="1">'TR TUSD'!$AJ$11*'TR TUSD'!$AJ$80</f>
        <v>0</v>
      </c>
      <c r="AK11" s="30">
        <f ca="1">'TR TUSD'!$AK$11*'TR TUSD'!$AK$80</f>
        <v>0</v>
      </c>
      <c r="AL11" s="30">
        <f ca="1">SUM($AH$11:$AK$11)</f>
        <v>4.6315607295036871</v>
      </c>
      <c r="AM11" s="30">
        <f ca="1">SUMIF($L$4:$AL$4,"SUBTOTAL",$L$11:$AL$11)</f>
        <v>4.6315607295036871</v>
      </c>
      <c r="AP11" s="30">
        <v>1</v>
      </c>
    </row>
    <row r="12" spans="1:42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>
        <f>'TR TUSD'!$L$12</f>
        <v>0</v>
      </c>
      <c r="M12" s="30">
        <f>'TR TUSD'!$M$12</f>
        <v>0.1776398838644237</v>
      </c>
      <c r="N12" s="30">
        <f>'TR TUSD'!$N$12</f>
        <v>6.6807035823027217E-2</v>
      </c>
      <c r="O12" s="30">
        <f>'TR TUSD'!$O$12</f>
        <v>7.6100018901679081E-3</v>
      </c>
      <c r="P12" s="30">
        <f>'TR TUSD'!$P$12</f>
        <v>0</v>
      </c>
      <c r="Q12" s="30">
        <f>'TR TUSD'!$Q$12</f>
        <v>0</v>
      </c>
      <c r="R12" s="30">
        <f>'TR TUSD'!$R$12</f>
        <v>0</v>
      </c>
      <c r="S12" s="30">
        <f>'TR TUSD'!$S$12</f>
        <v>0</v>
      </c>
      <c r="T12" s="30">
        <f>SUM($L$12:$S$12)</f>
        <v>0.25205692157761883</v>
      </c>
      <c r="U12" s="30">
        <f>'TR TUSD'!$U$12</f>
        <v>0</v>
      </c>
      <c r="V12" s="30">
        <f>'TR TUSD'!$V$12</f>
        <v>0</v>
      </c>
      <c r="W12" s="30">
        <f>'TR TUSD'!$W$12</f>
        <v>0.4429655266881109</v>
      </c>
      <c r="X12" s="30">
        <f>'TR TUSD'!$X$12</f>
        <v>0</v>
      </c>
      <c r="Y12" s="30">
        <f>'TR TUSD'!$Y$12</f>
        <v>0</v>
      </c>
      <c r="Z12" s="30">
        <f>'TR TUSD'!$Z$12</f>
        <v>0</v>
      </c>
      <c r="AA12" s="30">
        <f>'TR TUSD'!$AA$12</f>
        <v>0</v>
      </c>
      <c r="AB12" s="30">
        <f>SUM($U$12:$AA$12)</f>
        <v>0.4429655266881109</v>
      </c>
      <c r="AC12" s="30">
        <f>'TR TUSD'!$AC$12</f>
        <v>11.373513690207355</v>
      </c>
      <c r="AD12" s="30">
        <f>SUM($AC$12:$AC$12)</f>
        <v>11.373513690207355</v>
      </c>
      <c r="AE12" s="30">
        <v>0</v>
      </c>
      <c r="AF12" s="30">
        <v>0</v>
      </c>
      <c r="AG12" s="30">
        <f>SUM($AE$12:$AF$12)</f>
        <v>0</v>
      </c>
      <c r="AH12" s="30">
        <f>'TR TUSD'!$AH$12</f>
        <v>1.1297925882990396</v>
      </c>
      <c r="AI12" s="30">
        <f>'TR TUSD'!$AI$12</f>
        <v>0.24473961206806238</v>
      </c>
      <c r="AJ12" s="30">
        <f>'TR TUSD'!$AJ$12</f>
        <v>0</v>
      </c>
      <c r="AK12" s="30">
        <f>'TR TUSD'!$AK$12</f>
        <v>0</v>
      </c>
      <c r="AL12" s="30">
        <f>SUM($AH$12:$AK$12)</f>
        <v>1.3745322003671019</v>
      </c>
      <c r="AM12" s="30">
        <f>SUMIF($L$4:$AL$4,"SUBTOTAL",$L$12:$AL$12)</f>
        <v>13.443068338840188</v>
      </c>
      <c r="AP12" s="30"/>
    </row>
    <row r="13" spans="1:42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>
        <f>'TR TUSD'!$L$13*'TR TUSD'!$L$80</f>
        <v>0</v>
      </c>
      <c r="M13" s="30">
        <f>'TR TUSD'!$M$13*'TR TUSD'!$M$80</f>
        <v>0</v>
      </c>
      <c r="N13" s="30">
        <f ca="1">'TR TUSD'!$N$13*'TR TUSD'!$N$80</f>
        <v>0</v>
      </c>
      <c r="O13" s="30">
        <f>'TR TUSD'!$O$13*'TR TUSD'!$O$80</f>
        <v>0</v>
      </c>
      <c r="P13" s="30">
        <f>'TR TUSD'!$P$13*'TR TUSD'!$P$80</f>
        <v>0</v>
      </c>
      <c r="Q13" s="30">
        <f>'TR TUSD'!$Q$13*'TR TUSD'!$Q$80</f>
        <v>0</v>
      </c>
      <c r="R13" s="30">
        <f>'TR TUSD'!$R$13*'TR TUSD'!$R$80</f>
        <v>0</v>
      </c>
      <c r="S13" s="30">
        <f>'TR TUSD'!$S$13*'TR TUSD'!$S$80</f>
        <v>0</v>
      </c>
      <c r="T13" s="30">
        <f ca="1">SUM($L$13:$S$13)</f>
        <v>0</v>
      </c>
      <c r="U13" s="30">
        <f>'TR TUSD'!$U$13*'TR TUSD'!$U$80</f>
        <v>5.184300255086506</v>
      </c>
      <c r="V13" s="30">
        <f>'TR TUSD'!$V$13*'TR TUSD'!$V$80</f>
        <v>1.0840065829068795</v>
      </c>
      <c r="W13" s="30">
        <f>'TR TUSD'!$W$13*'TR TUSD'!$W$80</f>
        <v>1.233159066794969</v>
      </c>
      <c r="X13" s="30">
        <f>'TR TUSD'!$X$13*'TR TUSD'!$X$80</f>
        <v>0</v>
      </c>
      <c r="Y13" s="30">
        <f>'TR TUSD'!$Y$13*'TR TUSD'!$Y$80</f>
        <v>0</v>
      </c>
      <c r="Z13" s="30">
        <f>'TR TUSD'!$Z$13</f>
        <v>0</v>
      </c>
      <c r="AA13" s="30">
        <f>'TR TUSD'!$AA$13</f>
        <v>0</v>
      </c>
      <c r="AB13" s="30">
        <f>SUM($U$13:$AA$13)</f>
        <v>7.501465904788355</v>
      </c>
      <c r="AC13" s="30">
        <f>'TR TUSD'!$AC$13*'TR TUSD'!$AC$80</f>
        <v>66.584080907678839</v>
      </c>
      <c r="AD13" s="30">
        <f>SUM($AC$13:$AC$13)</f>
        <v>66.584080907678839</v>
      </c>
      <c r="AE13" s="30">
        <v>0</v>
      </c>
      <c r="AF13" s="30">
        <v>0</v>
      </c>
      <c r="AG13" s="30">
        <f>SUM($AE$13:$AF$13)</f>
        <v>0</v>
      </c>
      <c r="AH13" s="30">
        <f>'TR TUSD'!$AH$13*'TR TUSD'!$AH$80</f>
        <v>0</v>
      </c>
      <c r="AI13" s="30">
        <f>'TR TUSD'!$AI$13*'TR TUSD'!$AI$80</f>
        <v>0</v>
      </c>
      <c r="AJ13" s="30">
        <f ca="1">'TR TUSD'!$AJ$13*'TR TUSD'!$AJ$80</f>
        <v>0</v>
      </c>
      <c r="AK13" s="30">
        <f ca="1">'TR TUSD'!$AK$13*'TR TUSD'!$AK$80</f>
        <v>0</v>
      </c>
      <c r="AL13" s="30">
        <f ca="1">SUM($AH$13:$AK$13)</f>
        <v>0</v>
      </c>
      <c r="AM13" s="30">
        <f ca="1">SUMIF($L$4:$AL$4,"SUBTOTAL",$L$13:$AL$13)</f>
        <v>74.0855468124672</v>
      </c>
      <c r="AP13" s="30">
        <v>1</v>
      </c>
    </row>
    <row r="14" spans="1:42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>
        <f>'TR TUSD'!$L$14*'TR TUSD'!$L$80</f>
        <v>0</v>
      </c>
      <c r="M14" s="30">
        <f>'TR TUSD'!$M$14*'TR TUSD'!$M$80</f>
        <v>0</v>
      </c>
      <c r="N14" s="30">
        <f ca="1">'TR TUSD'!$N$14*'TR TUSD'!$N$80</f>
        <v>0</v>
      </c>
      <c r="O14" s="30">
        <f>'TR TUSD'!$O$14*'TR TUSD'!$O$80</f>
        <v>0</v>
      </c>
      <c r="P14" s="30">
        <f>'TR TUSD'!$P$14*'TR TUSD'!$P$80</f>
        <v>0</v>
      </c>
      <c r="Q14" s="30">
        <f>'TR TUSD'!$Q$14*'TR TUSD'!$Q$80</f>
        <v>0</v>
      </c>
      <c r="R14" s="30">
        <f>'TR TUSD'!$R$14*'TR TUSD'!$R$80</f>
        <v>0</v>
      </c>
      <c r="S14" s="30">
        <f>'TR TUSD'!$S$14*'TR TUSD'!$S$80</f>
        <v>0</v>
      </c>
      <c r="T14" s="30">
        <f ca="1">SUM($L$14:$S$14)</f>
        <v>0</v>
      </c>
      <c r="U14" s="30">
        <f>'TR TUSD'!$U$14*'TR TUSD'!$U$80</f>
        <v>5.2191307417887458</v>
      </c>
      <c r="V14" s="30">
        <f>'TR TUSD'!$V$14*'TR TUSD'!$V$80</f>
        <v>1.1050897286487473</v>
      </c>
      <c r="W14" s="30">
        <f>'TR TUSD'!$W$14*'TR TUSD'!$W$80</f>
        <v>0.91311816803224288</v>
      </c>
      <c r="X14" s="30">
        <f>'TR TUSD'!$X$14*'TR TUSD'!$X$80</f>
        <v>0</v>
      </c>
      <c r="Y14" s="30">
        <f>'TR TUSD'!$Y$14*'TR TUSD'!$Y$80</f>
        <v>0</v>
      </c>
      <c r="Z14" s="30">
        <f>'TR TUSD'!$Z$14</f>
        <v>0</v>
      </c>
      <c r="AA14" s="30">
        <f>'TR TUSD'!$AA$14</f>
        <v>0</v>
      </c>
      <c r="AB14" s="30">
        <f>SUM($U$14:$AA$14)</f>
        <v>7.237338638469736</v>
      </c>
      <c r="AC14" s="30">
        <f>'TR TUSD'!$AC$14*'TR TUSD'!$AC$80</f>
        <v>19.055782675970288</v>
      </c>
      <c r="AD14" s="30">
        <f>SUM($AC$14:$AC$14)</f>
        <v>19.055782675970288</v>
      </c>
      <c r="AE14" s="30">
        <v>0</v>
      </c>
      <c r="AF14" s="30">
        <v>0</v>
      </c>
      <c r="AG14" s="30">
        <f>SUM($AE$14:$AF$14)</f>
        <v>0</v>
      </c>
      <c r="AH14" s="30">
        <f>'TR TUSD'!$AH$14*'TR TUSD'!$AH$80</f>
        <v>0</v>
      </c>
      <c r="AI14" s="30">
        <f>'TR TUSD'!$AI$14*'TR TUSD'!$AI$80</f>
        <v>0</v>
      </c>
      <c r="AJ14" s="30">
        <f ca="1">'TR TUSD'!$AJ$14*'TR TUSD'!$AJ$80</f>
        <v>0</v>
      </c>
      <c r="AK14" s="30">
        <f ca="1">'TR TUSD'!$AK$14*'TR TUSD'!$AK$80</f>
        <v>0</v>
      </c>
      <c r="AL14" s="30">
        <f ca="1">SUM($AH$14:$AK$14)</f>
        <v>0</v>
      </c>
      <c r="AM14" s="30">
        <f ca="1">SUMIF($L$4:$AL$4,"SUBTOTAL",$L$14:$AL$14)</f>
        <v>26.293121314440025</v>
      </c>
      <c r="AP14" s="30">
        <v>1</v>
      </c>
    </row>
    <row r="15" spans="1:42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>
        <f>'TR TUSD'!$L$15*'TR TUSD'!$L$80</f>
        <v>3.5124455655596329</v>
      </c>
      <c r="M15" s="30">
        <f>'TR TUSD'!$M$15*'TR TUSD'!$M$80</f>
        <v>0.77909684500108889</v>
      </c>
      <c r="N15" s="30">
        <f ca="1">'TR TUSD'!$N$15*'TR TUSD'!$N$80</f>
        <v>0.47845776386321393</v>
      </c>
      <c r="O15" s="30">
        <f>'TR TUSD'!$O$15*'TR TUSD'!$O$80</f>
        <v>2.3954432862312944E-2</v>
      </c>
      <c r="P15" s="30">
        <f>'TR TUSD'!$P$15*'TR TUSD'!$P$80</f>
        <v>0</v>
      </c>
      <c r="Q15" s="30">
        <f>'TR TUSD'!$Q$15*'TR TUSD'!$Q$80</f>
        <v>30.901130695953935</v>
      </c>
      <c r="R15" s="30">
        <f>'TR TUSD'!$R$15*'TR TUSD'!$R$80</f>
        <v>14.668516006400978</v>
      </c>
      <c r="S15" s="30">
        <f>'TR TUSD'!$S$15*'TR TUSD'!$S$80</f>
        <v>0</v>
      </c>
      <c r="T15" s="30">
        <f ca="1">SUM($L$15:$S$15)</f>
        <v>50.363601309641162</v>
      </c>
      <c r="U15" s="30">
        <f>'TR TUSD'!$U$15*'TR TUSD'!$U$80</f>
        <v>0</v>
      </c>
      <c r="V15" s="30">
        <f>'TR TUSD'!$V$15*'TR TUSD'!$V$80</f>
        <v>0</v>
      </c>
      <c r="W15" s="30">
        <f>'TR TUSD'!$W$15*'TR TUSD'!$W$80</f>
        <v>0</v>
      </c>
      <c r="X15" s="30">
        <f>'TR TUSD'!$X$15*'TR TUSD'!$X$80</f>
        <v>0</v>
      </c>
      <c r="Y15" s="30">
        <f>'TR TUSD'!$Y$15*'TR TUSD'!$Y$80</f>
        <v>0</v>
      </c>
      <c r="Z15" s="30">
        <f>'TR TUSD'!$Z$15</f>
        <v>0</v>
      </c>
      <c r="AA15" s="30">
        <f>'TR TUSD'!$AA$15</f>
        <v>0</v>
      </c>
      <c r="AB15" s="30">
        <f>SUM($U$15:$AA$15)</f>
        <v>0</v>
      </c>
      <c r="AC15" s="30">
        <f>'TR TUSD'!$AC$15*'TR TUSD'!$AC$80</f>
        <v>0</v>
      </c>
      <c r="AD15" s="30">
        <f>SUM($AC$15:$AC$15)</f>
        <v>0</v>
      </c>
      <c r="AE15" s="30">
        <v>0</v>
      </c>
      <c r="AF15" s="30">
        <v>0</v>
      </c>
      <c r="AG15" s="30">
        <f>SUM($AE$15:$AF$15)</f>
        <v>0</v>
      </c>
      <c r="AH15" s="30">
        <f>'TR TUSD'!$AH$15*'TR TUSD'!$AH$80</f>
        <v>10.78666367296792</v>
      </c>
      <c r="AI15" s="30">
        <f>'TR TUSD'!$AI$15*'TR TUSD'!$AI$80</f>
        <v>0.38404452288622826</v>
      </c>
      <c r="AJ15" s="30">
        <f ca="1">'TR TUSD'!$AJ$15*'TR TUSD'!$AJ$80</f>
        <v>6.0461968375956161</v>
      </c>
      <c r="AK15" s="30">
        <f ca="1">'TR TUSD'!$AK$15*'TR TUSD'!$AK$80</f>
        <v>0</v>
      </c>
      <c r="AL15" s="30">
        <f ca="1">SUM($AH$15:$AK$15)</f>
        <v>17.216905033449763</v>
      </c>
      <c r="AM15" s="30">
        <f ca="1">SUMIF($L$4:$AL$4,"SUBTOTAL",$L$15:$AL$15)</f>
        <v>67.580506343090917</v>
      </c>
      <c r="AP15" s="30">
        <v>1</v>
      </c>
    </row>
    <row r="16" spans="1:42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>
        <f>'TR TUSD'!$L$16*'TR TUSD'!$L$80</f>
        <v>0</v>
      </c>
      <c r="M16" s="30">
        <f>'TR TUSD'!$M$16*'TR TUSD'!$M$80</f>
        <v>0.77909684500108889</v>
      </c>
      <c r="N16" s="30">
        <f ca="1">'TR TUSD'!$N$16*'TR TUSD'!$N$80</f>
        <v>0.46360065370712678</v>
      </c>
      <c r="O16" s="30">
        <f>'TR TUSD'!$O$16*'TR TUSD'!$O$80</f>
        <v>2.3954432862312944E-2</v>
      </c>
      <c r="P16" s="30">
        <f>'TR TUSD'!$P$16*'TR TUSD'!$P$80</f>
        <v>0</v>
      </c>
      <c r="Q16" s="30">
        <f>'TR TUSD'!$Q$16*'TR TUSD'!$Q$80</f>
        <v>0</v>
      </c>
      <c r="R16" s="30">
        <f>'TR TUSD'!$R$16*'TR TUSD'!$R$80</f>
        <v>0</v>
      </c>
      <c r="S16" s="30">
        <f>'TR TUSD'!$S$16*'TR TUSD'!$S$80</f>
        <v>0</v>
      </c>
      <c r="T16" s="30">
        <f ca="1">SUM($L$16:$S$16)</f>
        <v>1.2666519315705287</v>
      </c>
      <c r="U16" s="30">
        <f>'TR TUSD'!$U$16*'TR TUSD'!$U$80</f>
        <v>0</v>
      </c>
      <c r="V16" s="30">
        <f>'TR TUSD'!$V$16*'TR TUSD'!$V$80</f>
        <v>0</v>
      </c>
      <c r="W16" s="30">
        <f>'TR TUSD'!$W$16*'TR TUSD'!$W$80</f>
        <v>0</v>
      </c>
      <c r="X16" s="30">
        <f>'TR TUSD'!$X$16*'TR TUSD'!$X$80</f>
        <v>0</v>
      </c>
      <c r="Y16" s="30">
        <f>'TR TUSD'!$Y$16*'TR TUSD'!$Y$80</f>
        <v>0</v>
      </c>
      <c r="Z16" s="30">
        <f>'TR TUSD'!$Z$16</f>
        <v>0</v>
      </c>
      <c r="AA16" s="30">
        <f>'TR TUSD'!$AA$16</f>
        <v>0</v>
      </c>
      <c r="AB16" s="30">
        <f>SUM($U$16:$AA$16)</f>
        <v>0</v>
      </c>
      <c r="AC16" s="30">
        <f>'TR TUSD'!$AC$16*'TR TUSD'!$AC$80</f>
        <v>0</v>
      </c>
      <c r="AD16" s="30">
        <f>SUM($AC$16:$AC$16)</f>
        <v>0</v>
      </c>
      <c r="AE16" s="30">
        <v>0</v>
      </c>
      <c r="AF16" s="30">
        <v>0</v>
      </c>
      <c r="AG16" s="30">
        <f>SUM($AE$16:$AF$16)</f>
        <v>0</v>
      </c>
      <c r="AH16" s="30">
        <f>'TR TUSD'!$AH$16*'TR TUSD'!$AH$80</f>
        <v>10.78666367296792</v>
      </c>
      <c r="AI16" s="30">
        <f>'TR TUSD'!$AI$16*'TR TUSD'!$AI$80</f>
        <v>0.38404452288622826</v>
      </c>
      <c r="AJ16" s="30">
        <f ca="1">'TR TUSD'!$AJ$16*'TR TUSD'!$AJ$80</f>
        <v>6.0461968375956161</v>
      </c>
      <c r="AK16" s="30">
        <f ca="1">'TR TUSD'!$AK$16*'TR TUSD'!$AK$80</f>
        <v>0</v>
      </c>
      <c r="AL16" s="30">
        <f ca="1">SUM($AH$16:$AK$16)</f>
        <v>17.216905033449763</v>
      </c>
      <c r="AM16" s="30">
        <f ca="1">SUMIF($L$4:$AL$4,"SUBTOTAL",$L$16:$AL$16)</f>
        <v>18.483556965020291</v>
      </c>
      <c r="AP16" s="30">
        <v>1</v>
      </c>
    </row>
    <row r="17" spans="1:42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>
        <f>'TR TUSD'!$L$17*'TR TUSD'!$L$80</f>
        <v>0</v>
      </c>
      <c r="M17" s="30">
        <f>'TR TUSD'!$M$17*'TR TUSD'!$M$80</f>
        <v>0</v>
      </c>
      <c r="N17" s="30">
        <f ca="1">'TR TUSD'!$N$17*'TR TUSD'!$N$80</f>
        <v>0</v>
      </c>
      <c r="O17" s="30">
        <f>'TR TUSD'!$O$17*'TR TUSD'!$O$80</f>
        <v>0</v>
      </c>
      <c r="P17" s="30">
        <f>'TR TUSD'!$P$17*'TR TUSD'!$P$80</f>
        <v>0</v>
      </c>
      <c r="Q17" s="30">
        <f>'TR TUSD'!$Q$17*'TR TUSD'!$Q$80</f>
        <v>0</v>
      </c>
      <c r="R17" s="30">
        <f>'TR TUSD'!$R$17*'TR TUSD'!$R$80</f>
        <v>0</v>
      </c>
      <c r="S17" s="30">
        <f>'TR TUSD'!$S$17*'TR TUSD'!$S$80</f>
        <v>0</v>
      </c>
      <c r="T17" s="30">
        <f ca="1">SUM($L$17:$S$17)</f>
        <v>0</v>
      </c>
      <c r="U17" s="30">
        <f>'TR TUSD'!$U$17*'TR TUSD'!$U$80</f>
        <v>5.184300255086506</v>
      </c>
      <c r="V17" s="30">
        <f>'TR TUSD'!$V$17*'TR TUSD'!$V$80</f>
        <v>1.0840065829068795</v>
      </c>
      <c r="W17" s="30">
        <f>'TR TUSD'!$W$17*'TR TUSD'!$W$80</f>
        <v>1.233159066794969</v>
      </c>
      <c r="X17" s="30">
        <f>'TR TUSD'!$X$17*'TR TUSD'!$X$80</f>
        <v>0</v>
      </c>
      <c r="Y17" s="30">
        <f>'TR TUSD'!$Y$17*'TR TUSD'!$Y$80</f>
        <v>0</v>
      </c>
      <c r="Z17" s="30">
        <f>'TR TUSD'!$Z$17</f>
        <v>0</v>
      </c>
      <c r="AA17" s="30">
        <f>'TR TUSD'!$AA$17</f>
        <v>0</v>
      </c>
      <c r="AB17" s="30">
        <f>SUM($U$17:$AA$17)</f>
        <v>7.501465904788355</v>
      </c>
      <c r="AC17" s="30">
        <f>'TR TUSD'!$AC$17*'TR TUSD'!$AC$80</f>
        <v>25.87870857361138</v>
      </c>
      <c r="AD17" s="30">
        <f>SUM($AC$17:$AC$17)</f>
        <v>25.87870857361138</v>
      </c>
      <c r="AE17" s="30">
        <v>0</v>
      </c>
      <c r="AF17" s="30">
        <v>0</v>
      </c>
      <c r="AG17" s="30">
        <f>SUM($AE$17:$AF$17)</f>
        <v>0</v>
      </c>
      <c r="AH17" s="30">
        <f>'TR TUSD'!$AH$17*'TR TUSD'!$AH$80</f>
        <v>0</v>
      </c>
      <c r="AI17" s="30">
        <f>'TR TUSD'!$AI$17*'TR TUSD'!$AI$80</f>
        <v>0</v>
      </c>
      <c r="AJ17" s="30">
        <f ca="1">'TR TUSD'!$AJ$17*'TR TUSD'!$AJ$80</f>
        <v>0</v>
      </c>
      <c r="AK17" s="30">
        <f ca="1">'TR TUSD'!$AK$17*'TR TUSD'!$AK$80</f>
        <v>0</v>
      </c>
      <c r="AL17" s="30">
        <f ca="1">SUM($AH$17:$AK$17)</f>
        <v>0</v>
      </c>
      <c r="AM17" s="30">
        <f ca="1">SUMIF($L$4:$AL$4,"SUBTOTAL",$L$17:$AL$17)</f>
        <v>33.380174478399738</v>
      </c>
      <c r="AP17" s="30">
        <v>1</v>
      </c>
    </row>
    <row r="18" spans="1:42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>
        <f>'TR TUSD'!$L$18*'TR TUSD'!$L$80</f>
        <v>0</v>
      </c>
      <c r="M18" s="30">
        <f>'TR TUSD'!$M$18*'TR TUSD'!$M$80</f>
        <v>0</v>
      </c>
      <c r="N18" s="30">
        <f ca="1">'TR TUSD'!$N$18*'TR TUSD'!$N$80</f>
        <v>0</v>
      </c>
      <c r="O18" s="30">
        <f>'TR TUSD'!$O$18*'TR TUSD'!$O$80</f>
        <v>0</v>
      </c>
      <c r="P18" s="30">
        <f>'TR TUSD'!$P$18*'TR TUSD'!$P$80</f>
        <v>0</v>
      </c>
      <c r="Q18" s="30">
        <f>'TR TUSD'!$Q$18*'TR TUSD'!$Q$80</f>
        <v>0</v>
      </c>
      <c r="R18" s="30">
        <f>'TR TUSD'!$R$18*'TR TUSD'!$R$80</f>
        <v>0</v>
      </c>
      <c r="S18" s="30">
        <f>'TR TUSD'!$S$18*'TR TUSD'!$S$80</f>
        <v>0</v>
      </c>
      <c r="T18" s="30">
        <f ca="1">SUM($L$18:$S$18)</f>
        <v>0</v>
      </c>
      <c r="U18" s="30">
        <f>'TR TUSD'!$U$18*'TR TUSD'!$U$80</f>
        <v>5.2191307417887458</v>
      </c>
      <c r="V18" s="30">
        <f>'TR TUSD'!$V$18*'TR TUSD'!$V$80</f>
        <v>1.1050897286487473</v>
      </c>
      <c r="W18" s="30">
        <f>'TR TUSD'!$W$18*'TR TUSD'!$W$80</f>
        <v>0.91311816803224288</v>
      </c>
      <c r="X18" s="30">
        <f>'TR TUSD'!$X$18*'TR TUSD'!$X$80</f>
        <v>0</v>
      </c>
      <c r="Y18" s="30">
        <f>'TR TUSD'!$Y$18*'TR TUSD'!$Y$80</f>
        <v>0</v>
      </c>
      <c r="Z18" s="30">
        <f>'TR TUSD'!$Z$18</f>
        <v>0</v>
      </c>
      <c r="AA18" s="30">
        <f>'TR TUSD'!$AA$18</f>
        <v>0</v>
      </c>
      <c r="AB18" s="30">
        <f>SUM($U$18:$AA$18)</f>
        <v>7.237338638469736</v>
      </c>
      <c r="AC18" s="30">
        <f>'TR TUSD'!$AC$18*'TR TUSD'!$AC$80</f>
        <v>7.4061789321031171</v>
      </c>
      <c r="AD18" s="30">
        <f>SUM($AC$18:$AC$18)</f>
        <v>7.4061789321031171</v>
      </c>
      <c r="AE18" s="30">
        <v>0</v>
      </c>
      <c r="AF18" s="30">
        <v>0</v>
      </c>
      <c r="AG18" s="30">
        <f>SUM($AE$18:$AF$18)</f>
        <v>0</v>
      </c>
      <c r="AH18" s="30">
        <f>'TR TUSD'!$AH$18*'TR TUSD'!$AH$80</f>
        <v>0</v>
      </c>
      <c r="AI18" s="30">
        <f>'TR TUSD'!$AI$18*'TR TUSD'!$AI$80</f>
        <v>0</v>
      </c>
      <c r="AJ18" s="30">
        <f ca="1">'TR TUSD'!$AJ$18*'TR TUSD'!$AJ$80</f>
        <v>0</v>
      </c>
      <c r="AK18" s="30">
        <f ca="1">'TR TUSD'!$AK$18*'TR TUSD'!$AK$80</f>
        <v>0</v>
      </c>
      <c r="AL18" s="30">
        <f ca="1">SUM($AH$18:$AK$18)</f>
        <v>0</v>
      </c>
      <c r="AM18" s="30">
        <f ca="1">SUMIF($L$4:$AL$4,"SUBTOTAL",$L$18:$AL$18)</f>
        <v>14.643517570572854</v>
      </c>
      <c r="AP18" s="30">
        <v>1</v>
      </c>
    </row>
    <row r="19" spans="1:42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>
        <f>'TR TUSD'!$L$19*'TR TUSD'!$L$80</f>
        <v>0</v>
      </c>
      <c r="M19" s="30">
        <f>'TR TUSD'!$M$19*'TR TUSD'!$M$80</f>
        <v>0</v>
      </c>
      <c r="N19" s="30">
        <f ca="1">'TR TUSD'!$N$19*'TR TUSD'!$N$80</f>
        <v>0</v>
      </c>
      <c r="O19" s="30">
        <f>'TR TUSD'!$O$19*'TR TUSD'!$O$80</f>
        <v>0</v>
      </c>
      <c r="P19" s="30">
        <f>'TR TUSD'!$P$19*'TR TUSD'!$P$80</f>
        <v>0</v>
      </c>
      <c r="Q19" s="30">
        <f>'TR TUSD'!$Q$19*'TR TUSD'!$Q$80</f>
        <v>0</v>
      </c>
      <c r="R19" s="30">
        <f>'TR TUSD'!$R$19*'TR TUSD'!$R$80</f>
        <v>0</v>
      </c>
      <c r="S19" s="30">
        <f>'TR TUSD'!$S$19*'TR TUSD'!$S$80</f>
        <v>0</v>
      </c>
      <c r="T19" s="30">
        <f ca="1">SUM($L$19:$S$19)</f>
        <v>0</v>
      </c>
      <c r="U19" s="30">
        <f>'TR TUSD'!$U$19*'TR TUSD'!$U$80</f>
        <v>0</v>
      </c>
      <c r="V19" s="30">
        <f>'TR TUSD'!$V$19*'TR TUSD'!$V$80</f>
        <v>0</v>
      </c>
      <c r="W19" s="30">
        <f>'TR TUSD'!$W$19*'TR TUSD'!$W$80</f>
        <v>0</v>
      </c>
      <c r="X19" s="30">
        <f>'TR TUSD'!$X$19*'TR TUSD'!$X$80</f>
        <v>0</v>
      </c>
      <c r="Y19" s="30">
        <f>'TR TUSD'!$Y$19*'TR TUSD'!$Y$80</f>
        <v>0</v>
      </c>
      <c r="Z19" s="30">
        <f>'TR TUSD'!$Z$19</f>
        <v>0</v>
      </c>
      <c r="AA19" s="30">
        <f>'TR TUSD'!$AA$19</f>
        <v>0</v>
      </c>
      <c r="AB19" s="30">
        <f>SUM($U$19:$AA$19)</f>
        <v>0</v>
      </c>
      <c r="AC19" s="30">
        <f>'TR TUSD'!$AC$19*'TR TUSD'!$AC$80</f>
        <v>0</v>
      </c>
      <c r="AD19" s="30">
        <f>SUM($AC$19:$AC$19)</f>
        <v>0</v>
      </c>
      <c r="AE19" s="30">
        <v>0</v>
      </c>
      <c r="AF19" s="30">
        <v>0</v>
      </c>
      <c r="AG19" s="30">
        <f>SUM($AE$19:$AF$19)</f>
        <v>0</v>
      </c>
      <c r="AH19" s="30">
        <f>'TR TUSD'!$AH$19*'TR TUSD'!$AH$80</f>
        <v>10.78666367296792</v>
      </c>
      <c r="AI19" s="30">
        <f>'TR TUSD'!$AI$19*'TR TUSD'!$AI$80</f>
        <v>0.38404452288622826</v>
      </c>
      <c r="AJ19" s="30">
        <f ca="1">'TR TUSD'!$AJ$19*'TR TUSD'!$AJ$80</f>
        <v>0</v>
      </c>
      <c r="AK19" s="30">
        <f ca="1">'TR TUSD'!$AK$19*'TR TUSD'!$AK$80</f>
        <v>0</v>
      </c>
      <c r="AL19" s="30">
        <f ca="1">SUM($AH$19:$AK$19)</f>
        <v>11.170708195854148</v>
      </c>
      <c r="AM19" s="30">
        <f ca="1">SUMIF($L$4:$AL$4,"SUBTOTAL",$L$19:$AL$19)</f>
        <v>11.170708195854148</v>
      </c>
      <c r="AP19" s="30">
        <v>1</v>
      </c>
    </row>
    <row r="20" spans="1:42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>
        <f>'TR TUSD'!$L$20*'TR TUSD'!$L$80</f>
        <v>0</v>
      </c>
      <c r="M20" s="30">
        <f>'TR TUSD'!$M$20*'TR TUSD'!$M$80</f>
        <v>0</v>
      </c>
      <c r="N20" s="30">
        <f ca="1">'TR TUSD'!$N$20*'TR TUSD'!$N$80</f>
        <v>0</v>
      </c>
      <c r="O20" s="30">
        <f>'TR TUSD'!$O$20*'TR TUSD'!$O$80</f>
        <v>0</v>
      </c>
      <c r="P20" s="30">
        <f>'TR TUSD'!$P$20*'TR TUSD'!$P$80</f>
        <v>0</v>
      </c>
      <c r="Q20" s="30">
        <f>'TR TUSD'!$Q$20*'TR TUSD'!$Q$80</f>
        <v>0</v>
      </c>
      <c r="R20" s="30">
        <f>'TR TUSD'!$R$20*'TR TUSD'!$R$80</f>
        <v>0</v>
      </c>
      <c r="S20" s="30">
        <f>'TR TUSD'!$S$20*'TR TUSD'!$S$80</f>
        <v>0</v>
      </c>
      <c r="T20" s="30">
        <f ca="1">SUM($L$20:$S$20)</f>
        <v>0</v>
      </c>
      <c r="U20" s="30">
        <f>'TR TUSD'!$U$20*'TR TUSD'!$U$80</f>
        <v>5.184300255086506</v>
      </c>
      <c r="V20" s="30">
        <f>'TR TUSD'!$V$20*'TR TUSD'!$V$80</f>
        <v>1.0840065829068795</v>
      </c>
      <c r="W20" s="30">
        <f>'TR TUSD'!$W$20*'TR TUSD'!$W$80</f>
        <v>1.233159066794969</v>
      </c>
      <c r="X20" s="30">
        <f>'TR TUSD'!$X$20*'TR TUSD'!$X$80</f>
        <v>0</v>
      </c>
      <c r="Y20" s="30">
        <f>'TR TUSD'!$Y$20*'TR TUSD'!$Y$80</f>
        <v>0</v>
      </c>
      <c r="Z20" s="30">
        <f>'TR TUSD'!$Z$20</f>
        <v>0</v>
      </c>
      <c r="AA20" s="30">
        <f>'TR TUSD'!$AA$20</f>
        <v>0</v>
      </c>
      <c r="AB20" s="30">
        <f>SUM($U$20:$AA$20)</f>
        <v>7.501465904788355</v>
      </c>
      <c r="AC20" s="30">
        <f>'TR TUSD'!$AC$20*'TR TUSD'!$AC$80</f>
        <v>25.87870857361138</v>
      </c>
      <c r="AD20" s="30">
        <f>SUM($AC$20:$AC$20)</f>
        <v>25.87870857361138</v>
      </c>
      <c r="AE20" s="30">
        <v>0</v>
      </c>
      <c r="AF20" s="30">
        <v>0</v>
      </c>
      <c r="AG20" s="30">
        <f>SUM($AE$20:$AF$20)</f>
        <v>0</v>
      </c>
      <c r="AH20" s="30">
        <f>'TR TUSD'!$AH$20*'TR TUSD'!$AH$80</f>
        <v>0</v>
      </c>
      <c r="AI20" s="30">
        <f>'TR TUSD'!$AI$20*'TR TUSD'!$AI$80</f>
        <v>0</v>
      </c>
      <c r="AJ20" s="30">
        <f ca="1">'TR TUSD'!$AJ$20*'TR TUSD'!$AJ$80</f>
        <v>0</v>
      </c>
      <c r="AK20" s="30">
        <f ca="1">'TR TUSD'!$AK$20*'TR TUSD'!$AK$80</f>
        <v>0</v>
      </c>
      <c r="AL20" s="30">
        <f ca="1">SUM($AH$20:$AK$20)</f>
        <v>0</v>
      </c>
      <c r="AM20" s="30">
        <f ca="1">SUMIF($L$4:$AL$4,"SUBTOTAL",$L$20:$AL$20)</f>
        <v>33.380174478399738</v>
      </c>
      <c r="AP20" s="30">
        <v>1</v>
      </c>
    </row>
    <row r="21" spans="1:42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>
        <f>'TR TUSD'!$L$21*'TR TUSD'!$L$80</f>
        <v>0</v>
      </c>
      <c r="M21" s="30">
        <f>'TR TUSD'!$M$21*'TR TUSD'!$M$80</f>
        <v>0</v>
      </c>
      <c r="N21" s="30">
        <f ca="1">'TR TUSD'!$N$21*'TR TUSD'!$N$80</f>
        <v>0</v>
      </c>
      <c r="O21" s="30">
        <f>'TR TUSD'!$O$21*'TR TUSD'!$O$80</f>
        <v>0</v>
      </c>
      <c r="P21" s="30">
        <f>'TR TUSD'!$P$21*'TR TUSD'!$P$80</f>
        <v>0</v>
      </c>
      <c r="Q21" s="30">
        <f>'TR TUSD'!$Q$21*'TR TUSD'!$Q$80</f>
        <v>0</v>
      </c>
      <c r="R21" s="30">
        <f>'TR TUSD'!$R$21*'TR TUSD'!$R$80</f>
        <v>0</v>
      </c>
      <c r="S21" s="30">
        <f>'TR TUSD'!$S$21*'TR TUSD'!$S$80</f>
        <v>0</v>
      </c>
      <c r="T21" s="30">
        <f ca="1">SUM($L$21:$S$21)</f>
        <v>0</v>
      </c>
      <c r="U21" s="30">
        <f>'TR TUSD'!$U$21*'TR TUSD'!$U$80</f>
        <v>5.2191307417887458</v>
      </c>
      <c r="V21" s="30">
        <f>'TR TUSD'!$V$21*'TR TUSD'!$V$80</f>
        <v>1.1050897286487473</v>
      </c>
      <c r="W21" s="30">
        <f>'TR TUSD'!$W$21*'TR TUSD'!$W$80</f>
        <v>0.91311816803224288</v>
      </c>
      <c r="X21" s="30">
        <f>'TR TUSD'!$X$21*'TR TUSD'!$X$80</f>
        <v>0</v>
      </c>
      <c r="Y21" s="30">
        <f>'TR TUSD'!$Y$21*'TR TUSD'!$Y$80</f>
        <v>0</v>
      </c>
      <c r="Z21" s="30">
        <f>'TR TUSD'!$Z$21</f>
        <v>0</v>
      </c>
      <c r="AA21" s="30">
        <f>'TR TUSD'!$AA$21</f>
        <v>0</v>
      </c>
      <c r="AB21" s="30">
        <f>SUM($U$21:$AA$21)</f>
        <v>7.237338638469736</v>
      </c>
      <c r="AC21" s="30">
        <f>'TR TUSD'!$AC$21*'TR TUSD'!$AC$80</f>
        <v>7.4061789321031171</v>
      </c>
      <c r="AD21" s="30">
        <f>SUM($AC$21:$AC$21)</f>
        <v>7.4061789321031171</v>
      </c>
      <c r="AE21" s="30">
        <v>0</v>
      </c>
      <c r="AF21" s="30">
        <v>0</v>
      </c>
      <c r="AG21" s="30">
        <f>SUM($AE$21:$AF$21)</f>
        <v>0</v>
      </c>
      <c r="AH21" s="30">
        <f>'TR TUSD'!$AH$21*'TR TUSD'!$AH$80</f>
        <v>0</v>
      </c>
      <c r="AI21" s="30">
        <f>'TR TUSD'!$AI$21*'TR TUSD'!$AI$80</f>
        <v>0</v>
      </c>
      <c r="AJ21" s="30">
        <f ca="1">'TR TUSD'!$AJ$21*'TR TUSD'!$AJ$80</f>
        <v>0</v>
      </c>
      <c r="AK21" s="30">
        <f ca="1">'TR TUSD'!$AK$21*'TR TUSD'!$AK$80</f>
        <v>0</v>
      </c>
      <c r="AL21" s="30">
        <f ca="1">SUM($AH$21:$AK$21)</f>
        <v>0</v>
      </c>
      <c r="AM21" s="30">
        <f ca="1">SUMIF($L$4:$AL$4,"SUBTOTAL",$L$21:$AL$21)</f>
        <v>14.643517570572854</v>
      </c>
      <c r="AP21" s="30">
        <v>1</v>
      </c>
    </row>
    <row r="22" spans="1:42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>
        <f>'TR TUSD'!$L$22*'TR TUSD'!$L$80</f>
        <v>0</v>
      </c>
      <c r="M22" s="30">
        <f>'TR TUSD'!$M$22*'TR TUSD'!$M$80</f>
        <v>0</v>
      </c>
      <c r="N22" s="30">
        <f ca="1">'TR TUSD'!$N$22*'TR TUSD'!$N$80</f>
        <v>0</v>
      </c>
      <c r="O22" s="30">
        <f>'TR TUSD'!$O$22*'TR TUSD'!$O$80</f>
        <v>0</v>
      </c>
      <c r="P22" s="30">
        <f>'TR TUSD'!$P$22*'TR TUSD'!$P$80</f>
        <v>0</v>
      </c>
      <c r="Q22" s="30">
        <f>'TR TUSD'!$Q$22*'TR TUSD'!$Q$80</f>
        <v>0</v>
      </c>
      <c r="R22" s="30">
        <f>'TR TUSD'!$R$22*'TR TUSD'!$R$80</f>
        <v>0</v>
      </c>
      <c r="S22" s="30">
        <f>'TR TUSD'!$S$22*'TR TUSD'!$S$80</f>
        <v>0</v>
      </c>
      <c r="T22" s="30">
        <f ca="1">SUM($L$22:$S$22)</f>
        <v>0</v>
      </c>
      <c r="U22" s="30">
        <f>'TR TUSD'!$U$22*'TR TUSD'!$U$80</f>
        <v>0</v>
      </c>
      <c r="V22" s="30">
        <f>'TR TUSD'!$V$22*'TR TUSD'!$V$80</f>
        <v>0</v>
      </c>
      <c r="W22" s="30">
        <f>'TR TUSD'!$W$22*'TR TUSD'!$W$80</f>
        <v>0</v>
      </c>
      <c r="X22" s="30">
        <f>'TR TUSD'!$X$22*'TR TUSD'!$X$80</f>
        <v>0</v>
      </c>
      <c r="Y22" s="30">
        <f>'TR TUSD'!$Y$22*'TR TUSD'!$Y$80</f>
        <v>0</v>
      </c>
      <c r="Z22" s="30">
        <f>'TR TUSD'!$Z$22</f>
        <v>0</v>
      </c>
      <c r="AA22" s="30">
        <f>'TR TUSD'!$AA$22</f>
        <v>0</v>
      </c>
      <c r="AB22" s="30">
        <f>SUM($U$22:$AA$22)</f>
        <v>0</v>
      </c>
      <c r="AC22" s="30">
        <f>'TR TUSD'!$AC$22*'TR TUSD'!$AC$80</f>
        <v>0</v>
      </c>
      <c r="AD22" s="30">
        <f>SUM($AC$22:$AC$22)</f>
        <v>0</v>
      </c>
      <c r="AE22" s="30">
        <v>0</v>
      </c>
      <c r="AF22" s="30">
        <v>0</v>
      </c>
      <c r="AG22" s="30">
        <f>SUM($AE$22:$AF$22)</f>
        <v>0</v>
      </c>
      <c r="AH22" s="30">
        <f>'TR TUSD'!$AH$22*'TR TUSD'!$AH$80</f>
        <v>10.78666367296792</v>
      </c>
      <c r="AI22" s="30">
        <f>'TR TUSD'!$AI$22*'TR TUSD'!$AI$80</f>
        <v>0.38404452288622826</v>
      </c>
      <c r="AJ22" s="30">
        <f ca="1">'TR TUSD'!$AJ$22*'TR TUSD'!$AJ$80</f>
        <v>0</v>
      </c>
      <c r="AK22" s="30">
        <f ca="1">'TR TUSD'!$AK$22*'TR TUSD'!$AK$80</f>
        <v>0</v>
      </c>
      <c r="AL22" s="30">
        <f ca="1">SUM($AH$22:$AK$22)</f>
        <v>11.170708195854148</v>
      </c>
      <c r="AM22" s="30">
        <f ca="1">SUMIF($L$4:$AL$4,"SUBTOTAL",$L$22:$AL$22)</f>
        <v>11.170708195854148</v>
      </c>
      <c r="AP22" s="30">
        <v>1</v>
      </c>
    </row>
    <row r="23" spans="1:42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>
        <f>'TR TUSD'!$L$23*'TR TUSD'!$L$80</f>
        <v>0</v>
      </c>
      <c r="M23" s="30">
        <f>'TR TUSD'!$M$23*'TR TUSD'!$M$80</f>
        <v>0</v>
      </c>
      <c r="N23" s="30">
        <f ca="1">'TR TUSD'!$N$23*'TR TUSD'!$N$80</f>
        <v>0</v>
      </c>
      <c r="O23" s="30">
        <f>'TR TUSD'!$O$23*'TR TUSD'!$O$80</f>
        <v>0</v>
      </c>
      <c r="P23" s="30">
        <f>'TR TUSD'!$P$23*'TR TUSD'!$P$80</f>
        <v>0</v>
      </c>
      <c r="Q23" s="30">
        <f>'TR TUSD'!$Q$23*'TR TUSD'!$Q$80</f>
        <v>0</v>
      </c>
      <c r="R23" s="30">
        <f>'TR TUSD'!$R$23*'TR TUSD'!$R$80</f>
        <v>0</v>
      </c>
      <c r="S23" s="30">
        <f>'TR TUSD'!$S$23*'TR TUSD'!$S$80</f>
        <v>0</v>
      </c>
      <c r="T23" s="30">
        <f ca="1">SUM($L$23:$S$23)</f>
        <v>0</v>
      </c>
      <c r="U23" s="30">
        <f>'TR TUSD'!$U$23*'TR TUSD'!$U$80</f>
        <v>5.184300255086506</v>
      </c>
      <c r="V23" s="30">
        <f>'TR TUSD'!$V$23*'TR TUSD'!$V$80</f>
        <v>1.0840065829068795</v>
      </c>
      <c r="W23" s="30">
        <f>'TR TUSD'!$W$23*'TR TUSD'!$W$80</f>
        <v>1.233159066794969</v>
      </c>
      <c r="X23" s="30">
        <f>'TR TUSD'!$X$23*'TR TUSD'!$X$80</f>
        <v>0</v>
      </c>
      <c r="Y23" s="30">
        <f>'TR TUSD'!$Y$23*'TR TUSD'!$Y$80</f>
        <v>0</v>
      </c>
      <c r="Z23" s="30">
        <f>'TR TUSD'!$Z$23</f>
        <v>0</v>
      </c>
      <c r="AA23" s="30">
        <f>'TR TUSD'!$AA$23</f>
        <v>0</v>
      </c>
      <c r="AB23" s="30">
        <f>SUM($U$23:$AA$23)</f>
        <v>7.501465904788355</v>
      </c>
      <c r="AC23" s="30">
        <f>'TR TUSD'!$AC$23*'TR TUSD'!$AC$80</f>
        <v>25.87870857361138</v>
      </c>
      <c r="AD23" s="30">
        <f>SUM($AC$23:$AC$23)</f>
        <v>25.87870857361138</v>
      </c>
      <c r="AE23" s="30">
        <v>0</v>
      </c>
      <c r="AF23" s="30">
        <v>0</v>
      </c>
      <c r="AG23" s="30">
        <f>SUM($AE$23:$AF$23)</f>
        <v>0</v>
      </c>
      <c r="AH23" s="30">
        <f>'TR TUSD'!$AH$23*'TR TUSD'!$AH$80</f>
        <v>0</v>
      </c>
      <c r="AI23" s="30">
        <f>'TR TUSD'!$AI$23*'TR TUSD'!$AI$80</f>
        <v>0</v>
      </c>
      <c r="AJ23" s="30">
        <f ca="1">'TR TUSD'!$AJ$23*'TR TUSD'!$AJ$80</f>
        <v>0</v>
      </c>
      <c r="AK23" s="30">
        <f ca="1">'TR TUSD'!$AK$23*'TR TUSD'!$AK$80</f>
        <v>0</v>
      </c>
      <c r="AL23" s="30">
        <f ca="1">SUM($AH$23:$AK$23)</f>
        <v>0</v>
      </c>
      <c r="AM23" s="30">
        <f ca="1">SUMIF($L$4:$AL$4,"SUBTOTAL",$L$23:$AL$23)</f>
        <v>33.380174478399738</v>
      </c>
      <c r="AP23" s="30">
        <v>1</v>
      </c>
    </row>
    <row r="24" spans="1:42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>
        <f>'TR TUSD'!$L$24*'TR TUSD'!$L$80</f>
        <v>0</v>
      </c>
      <c r="M24" s="30">
        <f>'TR TUSD'!$M$24*'TR TUSD'!$M$80</f>
        <v>0</v>
      </c>
      <c r="N24" s="30">
        <f ca="1">'TR TUSD'!$N$24*'TR TUSD'!$N$80</f>
        <v>0</v>
      </c>
      <c r="O24" s="30">
        <f>'TR TUSD'!$O$24*'TR TUSD'!$O$80</f>
        <v>0</v>
      </c>
      <c r="P24" s="30">
        <f>'TR TUSD'!$P$24*'TR TUSD'!$P$80</f>
        <v>0</v>
      </c>
      <c r="Q24" s="30">
        <f>'TR TUSD'!$Q$24*'TR TUSD'!$Q$80</f>
        <v>0</v>
      </c>
      <c r="R24" s="30">
        <f>'TR TUSD'!$R$24*'TR TUSD'!$R$80</f>
        <v>0</v>
      </c>
      <c r="S24" s="30">
        <f>'TR TUSD'!$S$24*'TR TUSD'!$S$80</f>
        <v>0</v>
      </c>
      <c r="T24" s="30">
        <f ca="1">SUM($L$24:$S$24)</f>
        <v>0</v>
      </c>
      <c r="U24" s="30">
        <f>'TR TUSD'!$U$24*'TR TUSD'!$U$80</f>
        <v>5.2191307417887458</v>
      </c>
      <c r="V24" s="30">
        <f>'TR TUSD'!$V$24*'TR TUSD'!$V$80</f>
        <v>1.1050897286487473</v>
      </c>
      <c r="W24" s="30">
        <f>'TR TUSD'!$W$24*'TR TUSD'!$W$80</f>
        <v>0.91311816803224288</v>
      </c>
      <c r="X24" s="30">
        <f>'TR TUSD'!$X$24*'TR TUSD'!$X$80</f>
        <v>0</v>
      </c>
      <c r="Y24" s="30">
        <f>'TR TUSD'!$Y$24*'TR TUSD'!$Y$80</f>
        <v>0</v>
      </c>
      <c r="Z24" s="30">
        <f>'TR TUSD'!$Z$24</f>
        <v>0</v>
      </c>
      <c r="AA24" s="30">
        <f>'TR TUSD'!$AA$24</f>
        <v>0</v>
      </c>
      <c r="AB24" s="30">
        <f>SUM($U$24:$AA$24)</f>
        <v>7.237338638469736</v>
      </c>
      <c r="AC24" s="30">
        <f>'TR TUSD'!$AC$24*'TR TUSD'!$AC$80</f>
        <v>7.4061789321031171</v>
      </c>
      <c r="AD24" s="30">
        <f>SUM($AC$24:$AC$24)</f>
        <v>7.4061789321031171</v>
      </c>
      <c r="AE24" s="30">
        <v>0</v>
      </c>
      <c r="AF24" s="30">
        <v>0</v>
      </c>
      <c r="AG24" s="30">
        <f>SUM($AE$24:$AF$24)</f>
        <v>0</v>
      </c>
      <c r="AH24" s="30">
        <f>'TR TUSD'!$AH$24*'TR TUSD'!$AH$80</f>
        <v>0</v>
      </c>
      <c r="AI24" s="30">
        <f>'TR TUSD'!$AI$24*'TR TUSD'!$AI$80</f>
        <v>0</v>
      </c>
      <c r="AJ24" s="30">
        <f ca="1">'TR TUSD'!$AJ$24*'TR TUSD'!$AJ$80</f>
        <v>0</v>
      </c>
      <c r="AK24" s="30">
        <f ca="1">'TR TUSD'!$AK$24*'TR TUSD'!$AK$80</f>
        <v>0</v>
      </c>
      <c r="AL24" s="30">
        <f ca="1">SUM($AH$24:$AK$24)</f>
        <v>0</v>
      </c>
      <c r="AM24" s="30">
        <f ca="1">SUMIF($L$4:$AL$4,"SUBTOTAL",$L$24:$AL$24)</f>
        <v>14.643517570572854</v>
      </c>
      <c r="AP24" s="30">
        <v>1</v>
      </c>
    </row>
    <row r="25" spans="1:42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>
        <f>'TR TUSD'!$L$25*'TR TUSD'!$L$80</f>
        <v>0</v>
      </c>
      <c r="M25" s="30">
        <f>'TR TUSD'!$M$25*'TR TUSD'!$M$80</f>
        <v>0</v>
      </c>
      <c r="N25" s="30">
        <f ca="1">'TR TUSD'!$N$25*'TR TUSD'!$N$80</f>
        <v>0</v>
      </c>
      <c r="O25" s="30">
        <f>'TR TUSD'!$O$25*'TR TUSD'!$O$80</f>
        <v>0</v>
      </c>
      <c r="P25" s="30">
        <f>'TR TUSD'!$P$25*'TR TUSD'!$P$80</f>
        <v>0</v>
      </c>
      <c r="Q25" s="30">
        <f>'TR TUSD'!$Q$25*'TR TUSD'!$Q$80</f>
        <v>0</v>
      </c>
      <c r="R25" s="30">
        <f>'TR TUSD'!$R$25*'TR TUSD'!$R$80</f>
        <v>0</v>
      </c>
      <c r="S25" s="30">
        <f>'TR TUSD'!$S$25*'TR TUSD'!$S$80</f>
        <v>0</v>
      </c>
      <c r="T25" s="30">
        <f ca="1">SUM($L$25:$S$25)</f>
        <v>0</v>
      </c>
      <c r="U25" s="30">
        <f>'TR TUSD'!$U$25*'TR TUSD'!$U$80</f>
        <v>0</v>
      </c>
      <c r="V25" s="30">
        <f>'TR TUSD'!$V$25*'TR TUSD'!$V$80</f>
        <v>0</v>
      </c>
      <c r="W25" s="30">
        <f>'TR TUSD'!$W$25*'TR TUSD'!$W$80</f>
        <v>0</v>
      </c>
      <c r="X25" s="30">
        <f>'TR TUSD'!$X$25*'TR TUSD'!$X$80</f>
        <v>0</v>
      </c>
      <c r="Y25" s="30">
        <f>'TR TUSD'!$Y$25*'TR TUSD'!$Y$80</f>
        <v>0</v>
      </c>
      <c r="Z25" s="30">
        <f>'TR TUSD'!$Z$25</f>
        <v>0</v>
      </c>
      <c r="AA25" s="30">
        <f>'TR TUSD'!$AA$25</f>
        <v>0</v>
      </c>
      <c r="AB25" s="30">
        <f>SUM($U$25:$AA$25)</f>
        <v>0</v>
      </c>
      <c r="AC25" s="30">
        <f>'TR TUSD'!$AC$25*'TR TUSD'!$AC$80</f>
        <v>0</v>
      </c>
      <c r="AD25" s="30">
        <f>SUM($AC$25:$AC$25)</f>
        <v>0</v>
      </c>
      <c r="AE25" s="30">
        <v>0</v>
      </c>
      <c r="AF25" s="30">
        <v>0</v>
      </c>
      <c r="AG25" s="30">
        <f>SUM($AE$25:$AF$25)</f>
        <v>0</v>
      </c>
      <c r="AH25" s="30">
        <f>'TR TUSD'!$AH$25*'TR TUSD'!$AH$80</f>
        <v>10.78666367296792</v>
      </c>
      <c r="AI25" s="30">
        <f>'TR TUSD'!$AI$25*'TR TUSD'!$AI$80</f>
        <v>0.38404452288622826</v>
      </c>
      <c r="AJ25" s="30">
        <f ca="1">'TR TUSD'!$AJ$25*'TR TUSD'!$AJ$80</f>
        <v>0</v>
      </c>
      <c r="AK25" s="30">
        <f ca="1">'TR TUSD'!$AK$25*'TR TUSD'!$AK$80</f>
        <v>0</v>
      </c>
      <c r="AL25" s="30">
        <f ca="1">SUM($AH$25:$AK$25)</f>
        <v>11.170708195854148</v>
      </c>
      <c r="AM25" s="30">
        <f ca="1">SUMIF($L$4:$AL$4,"SUBTOTAL",$L$25:$AL$25)</f>
        <v>11.170708195854148</v>
      </c>
      <c r="AP25" s="30">
        <v>1</v>
      </c>
    </row>
    <row r="26" spans="1:42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>
        <f>'TR TUSD'!$L$26*'TR TUSD'!$L$80</f>
        <v>0</v>
      </c>
      <c r="M26" s="30">
        <f>'TR TUSD'!$M$26*'TR TUSD'!$M$80</f>
        <v>0</v>
      </c>
      <c r="N26" s="30">
        <f ca="1">'TR TUSD'!$N$26*'TR TUSD'!$N$80</f>
        <v>0</v>
      </c>
      <c r="O26" s="30">
        <f>'TR TUSD'!$O$26*'TR TUSD'!$O$80</f>
        <v>0</v>
      </c>
      <c r="P26" s="30">
        <f>'TR TUSD'!$P$26*'TR TUSD'!$P$80</f>
        <v>0</v>
      </c>
      <c r="Q26" s="30">
        <f>'TR TUSD'!$Q$26*'TR TUSD'!$Q$80</f>
        <v>0</v>
      </c>
      <c r="R26" s="30">
        <f>'TR TUSD'!$R$26*'TR TUSD'!$R$80</f>
        <v>0</v>
      </c>
      <c r="S26" s="30">
        <f>'TR TUSD'!$S$26*'TR TUSD'!$S$80</f>
        <v>0</v>
      </c>
      <c r="T26" s="30">
        <f ca="1">SUM($L$26:$S$26)</f>
        <v>0</v>
      </c>
      <c r="U26" s="30">
        <f>'TR TUSD'!$U$26*'TR TUSD'!$U$80</f>
        <v>5.184300255086506</v>
      </c>
      <c r="V26" s="30">
        <f>'TR TUSD'!$V$26*'TR TUSD'!$V$80</f>
        <v>1.0840065829068795</v>
      </c>
      <c r="W26" s="30">
        <f>'TR TUSD'!$W$26*'TR TUSD'!$W$80</f>
        <v>1.233159066794969</v>
      </c>
      <c r="X26" s="30">
        <f>'TR TUSD'!$X$26*'TR TUSD'!$X$80</f>
        <v>0</v>
      </c>
      <c r="Y26" s="30">
        <f>'TR TUSD'!$Y$26*'TR TUSD'!$Y$80</f>
        <v>0</v>
      </c>
      <c r="Z26" s="30">
        <f>'TR TUSD'!$Z$26</f>
        <v>0</v>
      </c>
      <c r="AA26" s="30">
        <f>'TR TUSD'!$AA$26</f>
        <v>0</v>
      </c>
      <c r="AB26" s="30">
        <f>SUM($U$26:$AA$26)</f>
        <v>7.501465904788355</v>
      </c>
      <c r="AC26" s="30">
        <f>'TR TUSD'!$AC$26*'TR TUSD'!$AC$80</f>
        <v>25.87870857361138</v>
      </c>
      <c r="AD26" s="30">
        <f>SUM($AC$26:$AC$26)</f>
        <v>25.87870857361138</v>
      </c>
      <c r="AE26" s="30">
        <v>0</v>
      </c>
      <c r="AF26" s="30">
        <v>0</v>
      </c>
      <c r="AG26" s="30">
        <f>SUM($AE$26:$AF$26)</f>
        <v>0</v>
      </c>
      <c r="AH26" s="30">
        <f>'TR TUSD'!$AH$26*'TR TUSD'!$AH$80</f>
        <v>0</v>
      </c>
      <c r="AI26" s="30">
        <f>'TR TUSD'!$AI$26*'TR TUSD'!$AI$80</f>
        <v>0</v>
      </c>
      <c r="AJ26" s="30">
        <f ca="1">'TR TUSD'!$AJ$26*'TR TUSD'!$AJ$80</f>
        <v>0</v>
      </c>
      <c r="AK26" s="30">
        <f ca="1">'TR TUSD'!$AK$26*'TR TUSD'!$AK$80</f>
        <v>0</v>
      </c>
      <c r="AL26" s="30">
        <f ca="1">SUM($AH$26:$AK$26)</f>
        <v>0</v>
      </c>
      <c r="AM26" s="30">
        <f ca="1">SUMIF($L$4:$AL$4,"SUBTOTAL",$L$26:$AL$26)</f>
        <v>33.380174478399738</v>
      </c>
      <c r="AP26" s="30">
        <v>1</v>
      </c>
    </row>
    <row r="27" spans="1:42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>
        <f>'TR TUSD'!$L$27*'TR TUSD'!$L$80</f>
        <v>0</v>
      </c>
      <c r="M27" s="30">
        <f>'TR TUSD'!$M$27*'TR TUSD'!$M$80</f>
        <v>0</v>
      </c>
      <c r="N27" s="30">
        <f ca="1">'TR TUSD'!$N$27*'TR TUSD'!$N$80</f>
        <v>0</v>
      </c>
      <c r="O27" s="30">
        <f>'TR TUSD'!$O$27*'TR TUSD'!$O$80</f>
        <v>0</v>
      </c>
      <c r="P27" s="30">
        <f>'TR TUSD'!$P$27*'TR TUSD'!$P$80</f>
        <v>0</v>
      </c>
      <c r="Q27" s="30">
        <f>'TR TUSD'!$Q$27*'TR TUSD'!$Q$80</f>
        <v>0</v>
      </c>
      <c r="R27" s="30">
        <f>'TR TUSD'!$R$27*'TR TUSD'!$R$80</f>
        <v>0</v>
      </c>
      <c r="S27" s="30">
        <f>'TR TUSD'!$S$27*'TR TUSD'!$S$80</f>
        <v>0</v>
      </c>
      <c r="T27" s="30">
        <f ca="1">SUM($L$27:$S$27)</f>
        <v>0</v>
      </c>
      <c r="U27" s="30">
        <f>'TR TUSD'!$U$27*'TR TUSD'!$U$80</f>
        <v>5.2191307417887458</v>
      </c>
      <c r="V27" s="30">
        <f>'TR TUSD'!$V$27*'TR TUSD'!$V$80</f>
        <v>1.1050897286487473</v>
      </c>
      <c r="W27" s="30">
        <f>'TR TUSD'!$W$27*'TR TUSD'!$W$80</f>
        <v>0.91311816803224288</v>
      </c>
      <c r="X27" s="30">
        <f>'TR TUSD'!$X$27*'TR TUSD'!$X$80</f>
        <v>0</v>
      </c>
      <c r="Y27" s="30">
        <f>'TR TUSD'!$Y$27*'TR TUSD'!$Y$80</f>
        <v>0</v>
      </c>
      <c r="Z27" s="30">
        <f>'TR TUSD'!$Z$27</f>
        <v>0</v>
      </c>
      <c r="AA27" s="30">
        <f>'TR TUSD'!$AA$27</f>
        <v>0</v>
      </c>
      <c r="AB27" s="30">
        <f>SUM($U$27:$AA$27)</f>
        <v>7.237338638469736</v>
      </c>
      <c r="AC27" s="30">
        <f>'TR TUSD'!$AC$27*'TR TUSD'!$AC$80</f>
        <v>7.4061789321031171</v>
      </c>
      <c r="AD27" s="30">
        <f>SUM($AC$27:$AC$27)</f>
        <v>7.4061789321031171</v>
      </c>
      <c r="AE27" s="30">
        <v>0</v>
      </c>
      <c r="AF27" s="30">
        <v>0</v>
      </c>
      <c r="AG27" s="30">
        <f>SUM($AE$27:$AF$27)</f>
        <v>0</v>
      </c>
      <c r="AH27" s="30">
        <f>'TR TUSD'!$AH$27*'TR TUSD'!$AH$80</f>
        <v>0</v>
      </c>
      <c r="AI27" s="30">
        <f>'TR TUSD'!$AI$27*'TR TUSD'!$AI$80</f>
        <v>0</v>
      </c>
      <c r="AJ27" s="30">
        <f ca="1">'TR TUSD'!$AJ$27*'TR TUSD'!$AJ$80</f>
        <v>0</v>
      </c>
      <c r="AK27" s="30">
        <f ca="1">'TR TUSD'!$AK$27*'TR TUSD'!$AK$80</f>
        <v>0</v>
      </c>
      <c r="AL27" s="30">
        <f ca="1">SUM($AH$27:$AK$27)</f>
        <v>0</v>
      </c>
      <c r="AM27" s="30">
        <f ca="1">SUMIF($L$4:$AL$4,"SUBTOTAL",$L$27:$AL$27)</f>
        <v>14.643517570572854</v>
      </c>
      <c r="AP27" s="30">
        <v>1</v>
      </c>
    </row>
    <row r="28" spans="1:42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>
        <f>'TR TUSD'!$L$28*'TR TUSD'!$L$80</f>
        <v>0</v>
      </c>
      <c r="M28" s="30">
        <f>'TR TUSD'!$M$28*'TR TUSD'!$M$80</f>
        <v>0</v>
      </c>
      <c r="N28" s="30">
        <f ca="1">'TR TUSD'!$N$28*'TR TUSD'!$N$80</f>
        <v>0</v>
      </c>
      <c r="O28" s="30">
        <f>'TR TUSD'!$O$28*'TR TUSD'!$O$80</f>
        <v>0</v>
      </c>
      <c r="P28" s="30">
        <f>'TR TUSD'!$P$28*'TR TUSD'!$P$80</f>
        <v>0</v>
      </c>
      <c r="Q28" s="30">
        <f>'TR TUSD'!$Q$28*'TR TUSD'!$Q$80</f>
        <v>0</v>
      </c>
      <c r="R28" s="30">
        <f>'TR TUSD'!$R$28*'TR TUSD'!$R$80</f>
        <v>0</v>
      </c>
      <c r="S28" s="30">
        <f>'TR TUSD'!$S$28*'TR TUSD'!$S$80</f>
        <v>0</v>
      </c>
      <c r="T28" s="30">
        <f ca="1">SUM($L$28:$S$28)</f>
        <v>0</v>
      </c>
      <c r="U28" s="30">
        <f>'TR TUSD'!$U$28*'TR TUSD'!$U$80</f>
        <v>0</v>
      </c>
      <c r="V28" s="30">
        <f>'TR TUSD'!$V$28*'TR TUSD'!$V$80</f>
        <v>0</v>
      </c>
      <c r="W28" s="30">
        <f>'TR TUSD'!$W$28*'TR TUSD'!$W$80</f>
        <v>0</v>
      </c>
      <c r="X28" s="30">
        <f>'TR TUSD'!$X$28*'TR TUSD'!$X$80</f>
        <v>0</v>
      </c>
      <c r="Y28" s="30">
        <f>'TR TUSD'!$Y$28*'TR TUSD'!$Y$80</f>
        <v>0</v>
      </c>
      <c r="Z28" s="30">
        <f>'TR TUSD'!$Z$28</f>
        <v>0</v>
      </c>
      <c r="AA28" s="30">
        <f>'TR TUSD'!$AA$28</f>
        <v>0</v>
      </c>
      <c r="AB28" s="30">
        <f>SUM($U$28:$AA$28)</f>
        <v>0</v>
      </c>
      <c r="AC28" s="30">
        <f>'TR TUSD'!$AC$28*'TR TUSD'!$AC$80</f>
        <v>0</v>
      </c>
      <c r="AD28" s="30">
        <f>SUM($AC$28:$AC$28)</f>
        <v>0</v>
      </c>
      <c r="AE28" s="30">
        <v>0</v>
      </c>
      <c r="AF28" s="30">
        <v>0</v>
      </c>
      <c r="AG28" s="30">
        <f>SUM($AE$28:$AF$28)</f>
        <v>0</v>
      </c>
      <c r="AH28" s="30">
        <f>'TR TUSD'!$AH$28*'TR TUSD'!$AH$80</f>
        <v>10.78666367296792</v>
      </c>
      <c r="AI28" s="30">
        <f>'TR TUSD'!$AI$28*'TR TUSD'!$AI$80</f>
        <v>0.38404452288622826</v>
      </c>
      <c r="AJ28" s="30">
        <f ca="1">'TR TUSD'!$AJ$28*'TR TUSD'!$AJ$80</f>
        <v>0</v>
      </c>
      <c r="AK28" s="30">
        <f ca="1">'TR TUSD'!$AK$28*'TR TUSD'!$AK$80</f>
        <v>0</v>
      </c>
      <c r="AL28" s="30">
        <f ca="1">SUM($AH$28:$AK$28)</f>
        <v>11.170708195854148</v>
      </c>
      <c r="AM28" s="30">
        <f ca="1">SUMIF($L$4:$AL$4,"SUBTOTAL",$L$28:$AL$28)</f>
        <v>11.170708195854148</v>
      </c>
      <c r="AP28" s="30">
        <v>1</v>
      </c>
    </row>
    <row r="29" spans="1:42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>
        <f>'TR TUSD'!$L$29*'TR TUSD'!$L$80</f>
        <v>0</v>
      </c>
      <c r="M29" s="30">
        <f>'TR TUSD'!$M$29*'TR TUSD'!$M$80</f>
        <v>3.515852080653134E-2</v>
      </c>
      <c r="N29" s="30">
        <f ca="1">'TR TUSD'!$N$29*'TR TUSD'!$N$80</f>
        <v>0.13207970928761459</v>
      </c>
      <c r="O29" s="30">
        <f>'TR TUSD'!$O$29*'TR TUSD'!$O$80</f>
        <v>0</v>
      </c>
      <c r="P29" s="30">
        <f>'TR TUSD'!$P$29*'TR TUSD'!$P$80</f>
        <v>0</v>
      </c>
      <c r="Q29" s="30">
        <f>'TR TUSD'!$Q$29*'TR TUSD'!$Q$80</f>
        <v>0</v>
      </c>
      <c r="R29" s="30">
        <f>'TR TUSD'!$R$29*'TR TUSD'!$R$80</f>
        <v>0</v>
      </c>
      <c r="S29" s="30">
        <f>'TR TUSD'!$S$29*'TR TUSD'!$S$80</f>
        <v>0</v>
      </c>
      <c r="T29" s="30">
        <f ca="1">SUM($L$29:$S$29)</f>
        <v>0.16723823009414593</v>
      </c>
      <c r="U29" s="30">
        <f>'TR TUSD'!$U$29*'TR TUSD'!$U$80</f>
        <v>0</v>
      </c>
      <c r="V29" s="30">
        <f>'TR TUSD'!$V$29*'TR TUSD'!$V$80</f>
        <v>0</v>
      </c>
      <c r="W29" s="30">
        <f>'TR TUSD'!$W$29*'TR TUSD'!$W$80</f>
        <v>0</v>
      </c>
      <c r="X29" s="30">
        <f>'TR TUSD'!$X$29*'TR TUSD'!$X$80</f>
        <v>0</v>
      </c>
      <c r="Y29" s="30">
        <f>'TR TUSD'!$Y$29*'TR TUSD'!$Y$80</f>
        <v>0</v>
      </c>
      <c r="Z29" s="30">
        <f>'TR TUSD'!$Z$29*'TR TUSD'!$Z$80</f>
        <v>0</v>
      </c>
      <c r="AA29" s="30">
        <f>'TR TUSD'!$AA$29*'TR TUSD'!$AA$80</f>
        <v>0</v>
      </c>
      <c r="AB29" s="30">
        <f>SUM($U$29:$AA$29)</f>
        <v>0</v>
      </c>
      <c r="AC29" s="30">
        <f>'TR TUSD'!$AC$29*'TR TUSD'!$AC$80</f>
        <v>14.555345038476279</v>
      </c>
      <c r="AD29" s="30">
        <f>SUM($AC$29:$AC$29)</f>
        <v>14.555345038476279</v>
      </c>
      <c r="AE29" s="30">
        <v>0</v>
      </c>
      <c r="AF29" s="30">
        <v>0</v>
      </c>
      <c r="AG29" s="30">
        <f>SUM($AE$29:$AF$29)</f>
        <v>0</v>
      </c>
      <c r="AH29" s="30">
        <f>'TR TUSD'!$AH$29*'TR TUSD'!$AH$80</f>
        <v>0</v>
      </c>
      <c r="AI29" s="30">
        <f>'TR TUSD'!$AI$29*'TR TUSD'!$AI$80</f>
        <v>0</v>
      </c>
      <c r="AJ29" s="30">
        <f ca="1">'TR TUSD'!$AJ$29*'TR TUSD'!$AJ$80</f>
        <v>0</v>
      </c>
      <c r="AK29" s="30">
        <f ca="1">'TR TUSD'!$AK$29*'TR TUSD'!$AK$80</f>
        <v>0</v>
      </c>
      <c r="AL29" s="30">
        <f ca="1">SUM($AH$29:$AK$29)</f>
        <v>0</v>
      </c>
      <c r="AM29" s="30">
        <f ca="1">SUMIF($L$4:$AL$4,"SUBTOTAL",$L$29:$AL$29)</f>
        <v>14.722583268570425</v>
      </c>
      <c r="AP29" s="30"/>
    </row>
    <row r="30" spans="1:42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>
        <f>'TR TUSD'!$L$30*'TR TUSD'!$L$80</f>
        <v>0</v>
      </c>
      <c r="M30" s="30">
        <f>'TR TUSD'!$M$30*'TR TUSD'!$M$80</f>
        <v>0</v>
      </c>
      <c r="N30" s="30">
        <f ca="1">'TR TUSD'!$N$30*'TR TUSD'!$N$80</f>
        <v>0</v>
      </c>
      <c r="O30" s="30">
        <f>'TR TUSD'!$O$30*'TR TUSD'!$O$80</f>
        <v>0</v>
      </c>
      <c r="P30" s="30">
        <f>'TR TUSD'!$P$30*'TR TUSD'!$P$80</f>
        <v>0</v>
      </c>
      <c r="Q30" s="30">
        <f>'TR TUSD'!$Q$30*'TR TUSD'!$Q$80</f>
        <v>0</v>
      </c>
      <c r="R30" s="30">
        <f>'TR TUSD'!$R$30*'TR TUSD'!$R$80</f>
        <v>0</v>
      </c>
      <c r="S30" s="30">
        <f>'TR TUSD'!$S$30*'TR TUSD'!$S$80</f>
        <v>0</v>
      </c>
      <c r="T30" s="30">
        <f ca="1">SUM($L$30:$S$30)</f>
        <v>0</v>
      </c>
      <c r="U30" s="30">
        <f>'TR TUSD'!$U$30*'TR TUSD'!$U$80</f>
        <v>5.2191307417887458</v>
      </c>
      <c r="V30" s="30">
        <f>'TR TUSD'!$V$30*'TR TUSD'!$V$80</f>
        <v>1.1050897286487473</v>
      </c>
      <c r="W30" s="30">
        <f>'TR TUSD'!$W$30*'TR TUSD'!$W$80</f>
        <v>0.91311816803224288</v>
      </c>
      <c r="X30" s="30">
        <f>'TR TUSD'!$X$30*'TR TUSD'!$X$80</f>
        <v>0</v>
      </c>
      <c r="Y30" s="30">
        <f>'TR TUSD'!$Y$30*'TR TUSD'!$Y$80</f>
        <v>0</v>
      </c>
      <c r="Z30" s="30">
        <f>'TR TUSD'!$Z$30</f>
        <v>0</v>
      </c>
      <c r="AA30" s="30">
        <f>'TR TUSD'!$AA$30</f>
        <v>0</v>
      </c>
      <c r="AB30" s="30">
        <f>SUM($U$30:$AA$30)</f>
        <v>7.237338638469736</v>
      </c>
      <c r="AC30" s="30">
        <f>'TR TUSD'!$AC$30*'TR TUSD'!$AC$80</f>
        <v>19.055782675970288</v>
      </c>
      <c r="AD30" s="30">
        <f>SUM($AC$30:$AC$30)</f>
        <v>19.055782675970288</v>
      </c>
      <c r="AE30" s="30">
        <v>0</v>
      </c>
      <c r="AF30" s="30">
        <v>0</v>
      </c>
      <c r="AG30" s="30">
        <f>SUM($AE$30:$AF$30)</f>
        <v>0</v>
      </c>
      <c r="AH30" s="30">
        <f>'TR TUSD'!$AH$30*'TR TUSD'!$AH$80</f>
        <v>0</v>
      </c>
      <c r="AI30" s="30">
        <f>'TR TUSD'!$AI$30*'TR TUSD'!$AI$80</f>
        <v>0</v>
      </c>
      <c r="AJ30" s="30">
        <f ca="1">'TR TUSD'!$AJ$30*'TR TUSD'!$AJ$80</f>
        <v>0</v>
      </c>
      <c r="AK30" s="30">
        <f ca="1">'TR TUSD'!$AK$30*'TR TUSD'!$AK$80</f>
        <v>0</v>
      </c>
      <c r="AL30" s="30">
        <f ca="1">SUM($AH$30:$AK$30)</f>
        <v>0</v>
      </c>
      <c r="AM30" s="30">
        <f ca="1">SUMIF($L$4:$AL$4,"SUBTOTAL",$L$30:$AL$30)</f>
        <v>26.293121314440025</v>
      </c>
      <c r="AP30" s="30">
        <v>1</v>
      </c>
    </row>
    <row r="31" spans="1:42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>
        <f>'TR TUSD'!$L$31*'TR TUSD'!$L$80</f>
        <v>3.5124455655596329</v>
      </c>
      <c r="M31" s="30">
        <f>'TR TUSD'!$M$31*'TR TUSD'!$M$80</f>
        <v>0.77909684500108889</v>
      </c>
      <c r="N31" s="30">
        <f ca="1">'TR TUSD'!$N$31*'TR TUSD'!$N$80</f>
        <v>17.107120820696075</v>
      </c>
      <c r="O31" s="30">
        <f>'TR TUSD'!$O$31*'TR TUSD'!$O$80</f>
        <v>2.3954432862312944E-2</v>
      </c>
      <c r="P31" s="30">
        <f>'TR TUSD'!$P$31*'TR TUSD'!$P$80</f>
        <v>0</v>
      </c>
      <c r="Q31" s="30">
        <f>'TR TUSD'!$Q$31*'TR TUSD'!$Q$80</f>
        <v>30.901130695953935</v>
      </c>
      <c r="R31" s="30">
        <f>'TR TUSD'!$R$31*'TR TUSD'!$R$80</f>
        <v>14.668516006400978</v>
      </c>
      <c r="S31" s="30">
        <f>'TR TUSD'!$S$31*'TR TUSD'!$S$80</f>
        <v>0</v>
      </c>
      <c r="T31" s="30">
        <f ca="1">SUM($L$31:$S$31)</f>
        <v>66.992264366474018</v>
      </c>
      <c r="U31" s="30">
        <f>'TR TUSD'!$U$31*'TR TUSD'!$U$80</f>
        <v>124.68395101558319</v>
      </c>
      <c r="V31" s="30">
        <f>'TR TUSD'!$V$31*'TR TUSD'!$V$80</f>
        <v>26.069198745894649</v>
      </c>
      <c r="W31" s="30">
        <f>'TR TUSD'!$W$31*'TR TUSD'!$W$80</f>
        <v>29.659384129546176</v>
      </c>
      <c r="X31" s="30">
        <f>'TR TUSD'!$X$31*'TR TUSD'!$X$80</f>
        <v>0</v>
      </c>
      <c r="Y31" s="30">
        <f>'TR TUSD'!$Y$31*'TR TUSD'!$Y$80</f>
        <v>0</v>
      </c>
      <c r="Z31" s="30">
        <f>'TR TUSD'!$Z$31</f>
        <v>0</v>
      </c>
      <c r="AA31" s="30">
        <f>'TR TUSD'!$AA$31</f>
        <v>0</v>
      </c>
      <c r="AB31" s="30">
        <f>SUM($U$31:$AA$31)</f>
        <v>180.412533891024</v>
      </c>
      <c r="AC31" s="30">
        <f>'TR TUSD'!$AC$31*'TR TUSD'!$AC$80</f>
        <v>1601.3495712546151</v>
      </c>
      <c r="AD31" s="30">
        <f>SUM($AC$31:$AC$31)</f>
        <v>1601.3495712546151</v>
      </c>
      <c r="AE31" s="30">
        <v>0</v>
      </c>
      <c r="AF31" s="30">
        <v>0</v>
      </c>
      <c r="AG31" s="30">
        <f>SUM($AE$31:$AF$31)</f>
        <v>0</v>
      </c>
      <c r="AH31" s="30">
        <f>'TR TUSD'!$AH$31*'TR TUSD'!$AH$80</f>
        <v>10.78666367296792</v>
      </c>
      <c r="AI31" s="30">
        <f>'TR TUSD'!$AI$31*'TR TUSD'!$AI$80</f>
        <v>0.38404452288622826</v>
      </c>
      <c r="AJ31" s="30">
        <f ca="1">'TR TUSD'!$AJ$31*'TR TUSD'!$AJ$80</f>
        <v>6.0461968375956161</v>
      </c>
      <c r="AK31" s="30">
        <f ca="1">'TR TUSD'!$AK$31*'TR TUSD'!$AK$80</f>
        <v>0</v>
      </c>
      <c r="AL31" s="30">
        <f ca="1">SUM($AH$31:$AK$31)</f>
        <v>17.216905033449763</v>
      </c>
      <c r="AM31" s="30">
        <f ca="1">SUMIF($L$4:$AL$4,"SUBTOTAL",$L$31:$AL$31)</f>
        <v>1865.9712745455629</v>
      </c>
      <c r="AP31" s="30">
        <v>1</v>
      </c>
    </row>
    <row r="32" spans="1:42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>
        <f>'TR TUSD'!$L$32*'TR TUSD'!$L$80</f>
        <v>3.5124455655596329</v>
      </c>
      <c r="M32" s="30">
        <f>'TR TUSD'!$M$32*'TR TUSD'!$M$80</f>
        <v>0.77909684500108889</v>
      </c>
      <c r="N32" s="30">
        <f ca="1">'TR TUSD'!$N$32*'TR TUSD'!$N$80</f>
        <v>0.47845776386321393</v>
      </c>
      <c r="O32" s="30">
        <f>'TR TUSD'!$O$32*'TR TUSD'!$O$80</f>
        <v>2.3954432862312944E-2</v>
      </c>
      <c r="P32" s="30">
        <f>'TR TUSD'!$P$32*'TR TUSD'!$P$80</f>
        <v>0</v>
      </c>
      <c r="Q32" s="30">
        <f>'TR TUSD'!$Q$32*'TR TUSD'!$Q$80</f>
        <v>30.901130695953935</v>
      </c>
      <c r="R32" s="30">
        <f>'TR TUSD'!$R$32*'TR TUSD'!$R$80</f>
        <v>14.668516006400978</v>
      </c>
      <c r="S32" s="30">
        <f>'TR TUSD'!$S$32*'TR TUSD'!$S$80</f>
        <v>0</v>
      </c>
      <c r="T32" s="30">
        <f ca="1">SUM($L$32:$S$32)</f>
        <v>50.363601309641162</v>
      </c>
      <c r="U32" s="30">
        <f>'TR TUSD'!$U$32*'TR TUSD'!$U$80</f>
        <v>0</v>
      </c>
      <c r="V32" s="30">
        <f>'TR TUSD'!$V$32*'TR TUSD'!$V$80</f>
        <v>0</v>
      </c>
      <c r="W32" s="30">
        <f>'TR TUSD'!$W$32*'TR TUSD'!$W$80</f>
        <v>0</v>
      </c>
      <c r="X32" s="30">
        <f>'TR TUSD'!$X$32*'TR TUSD'!$X$80</f>
        <v>0</v>
      </c>
      <c r="Y32" s="30">
        <f>'TR TUSD'!$Y$32*'TR TUSD'!$Y$80</f>
        <v>0</v>
      </c>
      <c r="Z32" s="30">
        <f>'TR TUSD'!$Z$32</f>
        <v>0</v>
      </c>
      <c r="AA32" s="30">
        <f>'TR TUSD'!$AA$32</f>
        <v>0</v>
      </c>
      <c r="AB32" s="30">
        <f>SUM($U$32:$AA$32)</f>
        <v>0</v>
      </c>
      <c r="AC32" s="30">
        <f>'TR TUSD'!$AC$32*'TR TUSD'!$AC$80</f>
        <v>0</v>
      </c>
      <c r="AD32" s="30">
        <f>SUM($AC$32:$AC$32)</f>
        <v>0</v>
      </c>
      <c r="AE32" s="30">
        <v>0</v>
      </c>
      <c r="AF32" s="30">
        <v>0</v>
      </c>
      <c r="AG32" s="30">
        <f>SUM($AE$32:$AF$32)</f>
        <v>0</v>
      </c>
      <c r="AH32" s="30">
        <f>'TR TUSD'!$AH$32*'TR TUSD'!$AH$80</f>
        <v>10.78666367296792</v>
      </c>
      <c r="AI32" s="30">
        <f>'TR TUSD'!$AI$32*'TR TUSD'!$AI$80</f>
        <v>0.38404452288622826</v>
      </c>
      <c r="AJ32" s="30">
        <f ca="1">'TR TUSD'!$AJ$32*'TR TUSD'!$AJ$80</f>
        <v>6.0461968375956161</v>
      </c>
      <c r="AK32" s="30">
        <f ca="1">'TR TUSD'!$AK$32*'TR TUSD'!$AK$80</f>
        <v>0</v>
      </c>
      <c r="AL32" s="30">
        <f ca="1">SUM($AH$32:$AK$32)</f>
        <v>17.216905033449763</v>
      </c>
      <c r="AM32" s="30">
        <f ca="1">SUMIF($L$4:$AL$4,"SUBTOTAL",$L$32:$AL$32)</f>
        <v>67.580506343090917</v>
      </c>
      <c r="AP32" s="30">
        <v>1</v>
      </c>
    </row>
    <row r="33" spans="1:42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>
        <f>'TR TUSD'!$L$33*'TR TUSD'!$L$80</f>
        <v>0</v>
      </c>
      <c r="M33" s="30">
        <f>'TR TUSD'!$M$33*'TR TUSD'!$M$80</f>
        <v>0.77909684500108889</v>
      </c>
      <c r="N33" s="30">
        <f ca="1">'TR TUSD'!$N$33*'TR TUSD'!$N$80</f>
        <v>17.092263710539985</v>
      </c>
      <c r="O33" s="30">
        <f>'TR TUSD'!$O$33*'TR TUSD'!$O$80</f>
        <v>2.3954432862312944E-2</v>
      </c>
      <c r="P33" s="30">
        <f>'TR TUSD'!$P$33*'TR TUSD'!$P$80</f>
        <v>0</v>
      </c>
      <c r="Q33" s="30">
        <f>'TR TUSD'!$Q$33*'TR TUSD'!$Q$80</f>
        <v>0</v>
      </c>
      <c r="R33" s="30">
        <f>'TR TUSD'!$R$33*'TR TUSD'!$R$80</f>
        <v>0</v>
      </c>
      <c r="S33" s="30">
        <f>'TR TUSD'!$S$33*'TR TUSD'!$S$80</f>
        <v>0</v>
      </c>
      <c r="T33" s="30">
        <f ca="1">SUM($L$33:$S$33)</f>
        <v>17.895314988403388</v>
      </c>
      <c r="U33" s="30">
        <f>'TR TUSD'!$U$33*'TR TUSD'!$U$80</f>
        <v>124.68395101558319</v>
      </c>
      <c r="V33" s="30">
        <f>'TR TUSD'!$V$33*'TR TUSD'!$V$80</f>
        <v>26.069198745894649</v>
      </c>
      <c r="W33" s="30">
        <f>'TR TUSD'!$W$33*'TR TUSD'!$W$80</f>
        <v>29.659384129546176</v>
      </c>
      <c r="X33" s="30">
        <f>'TR TUSD'!$X$33*'TR TUSD'!$X$80</f>
        <v>0</v>
      </c>
      <c r="Y33" s="30">
        <f>'TR TUSD'!$Y$33*'TR TUSD'!$Y$80</f>
        <v>0</v>
      </c>
      <c r="Z33" s="30">
        <f>'TR TUSD'!$Z$33</f>
        <v>0</v>
      </c>
      <c r="AA33" s="30">
        <f>'TR TUSD'!$AA$33</f>
        <v>0</v>
      </c>
      <c r="AB33" s="30">
        <f>SUM($U$33:$AA$33)</f>
        <v>180.412533891024</v>
      </c>
      <c r="AC33" s="30">
        <f>'TR TUSD'!$AC$33*'TR TUSD'!$AC$80</f>
        <v>1601.3495712546151</v>
      </c>
      <c r="AD33" s="30">
        <f>SUM($AC$33:$AC$33)</f>
        <v>1601.3495712546151</v>
      </c>
      <c r="AE33" s="30">
        <v>0</v>
      </c>
      <c r="AF33" s="30">
        <v>0</v>
      </c>
      <c r="AG33" s="30">
        <f>SUM($AE$33:$AF$33)</f>
        <v>0</v>
      </c>
      <c r="AH33" s="30">
        <f>'TR TUSD'!$AH$33*'TR TUSD'!$AH$80</f>
        <v>10.78666367296792</v>
      </c>
      <c r="AI33" s="30">
        <f>'TR TUSD'!$AI$33*'TR TUSD'!$AI$80</f>
        <v>0.38404452288622826</v>
      </c>
      <c r="AJ33" s="30">
        <f ca="1">'TR TUSD'!$AJ$33*'TR TUSD'!$AJ$80</f>
        <v>6.0461968375956161</v>
      </c>
      <c r="AK33" s="30">
        <f ca="1">'TR TUSD'!$AK$33*'TR TUSD'!$AK$80</f>
        <v>0</v>
      </c>
      <c r="AL33" s="30">
        <f ca="1">SUM($AH$33:$AK$33)</f>
        <v>17.216905033449763</v>
      </c>
      <c r="AM33" s="30">
        <f ca="1">SUMIF($L$4:$AL$4,"SUBTOTAL",$L$33:$AL$33)</f>
        <v>1816.8743251674923</v>
      </c>
      <c r="AP33" s="30">
        <v>1</v>
      </c>
    </row>
    <row r="34" spans="1:42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>
        <f>'TR TUSD'!$L$34*'TR TUSD'!$L$80</f>
        <v>0</v>
      </c>
      <c r="M34" s="30">
        <f>'TR TUSD'!$M$34*'TR TUSD'!$M$80</f>
        <v>0.77909684500108889</v>
      </c>
      <c r="N34" s="30">
        <f ca="1">'TR TUSD'!$N$34*'TR TUSD'!$N$80</f>
        <v>0.46360065370712678</v>
      </c>
      <c r="O34" s="30">
        <f>'TR TUSD'!$O$34*'TR TUSD'!$O$80</f>
        <v>2.3954432862312944E-2</v>
      </c>
      <c r="P34" s="30">
        <f>'TR TUSD'!$P$34*'TR TUSD'!$P$80</f>
        <v>0</v>
      </c>
      <c r="Q34" s="30">
        <f>'TR TUSD'!$Q$34*'TR TUSD'!$Q$80</f>
        <v>0</v>
      </c>
      <c r="R34" s="30">
        <f>'TR TUSD'!$R$34*'TR TUSD'!$R$80</f>
        <v>0</v>
      </c>
      <c r="S34" s="30">
        <f>'TR TUSD'!$S$34*'TR TUSD'!$S$80</f>
        <v>0</v>
      </c>
      <c r="T34" s="30">
        <f ca="1">SUM($L$34:$S$34)</f>
        <v>1.2666519315705287</v>
      </c>
      <c r="U34" s="30">
        <f>'TR TUSD'!$U$34*'TR TUSD'!$U$80</f>
        <v>0</v>
      </c>
      <c r="V34" s="30">
        <f>'TR TUSD'!$V$34*'TR TUSD'!$V$80</f>
        <v>0</v>
      </c>
      <c r="W34" s="30">
        <f>'TR TUSD'!$W$34*'TR TUSD'!$W$80</f>
        <v>0</v>
      </c>
      <c r="X34" s="30">
        <f>'TR TUSD'!$X$34*'TR TUSD'!$X$80</f>
        <v>0</v>
      </c>
      <c r="Y34" s="30">
        <f>'TR TUSD'!$Y$34*'TR TUSD'!$Y$80</f>
        <v>0</v>
      </c>
      <c r="Z34" s="30">
        <f>'TR TUSD'!$Z$34</f>
        <v>0</v>
      </c>
      <c r="AA34" s="30">
        <f>'TR TUSD'!$AA$34</f>
        <v>0</v>
      </c>
      <c r="AB34" s="30">
        <f>SUM($U$34:$AA$34)</f>
        <v>0</v>
      </c>
      <c r="AC34" s="30">
        <f>'TR TUSD'!$AC$34*'TR TUSD'!$AC$80</f>
        <v>0</v>
      </c>
      <c r="AD34" s="30">
        <f>SUM($AC$34:$AC$34)</f>
        <v>0</v>
      </c>
      <c r="AE34" s="30">
        <v>0</v>
      </c>
      <c r="AF34" s="30">
        <v>0</v>
      </c>
      <c r="AG34" s="30">
        <f>SUM($AE$34:$AF$34)</f>
        <v>0</v>
      </c>
      <c r="AH34" s="30">
        <f>'TR TUSD'!$AH$34*'TR TUSD'!$AH$80</f>
        <v>10.78666367296792</v>
      </c>
      <c r="AI34" s="30">
        <f>'TR TUSD'!$AI$34*'TR TUSD'!$AI$80</f>
        <v>0.38404452288622826</v>
      </c>
      <c r="AJ34" s="30">
        <f ca="1">'TR TUSD'!$AJ$34*'TR TUSD'!$AJ$80</f>
        <v>6.0461968375956161</v>
      </c>
      <c r="AK34" s="30">
        <f ca="1">'TR TUSD'!$AK$34*'TR TUSD'!$AK$80</f>
        <v>0</v>
      </c>
      <c r="AL34" s="30">
        <f ca="1">SUM($AH$34:$AK$34)</f>
        <v>17.216905033449763</v>
      </c>
      <c r="AM34" s="30">
        <f ca="1">SUMIF($L$4:$AL$4,"SUBTOTAL",$L$34:$AL$34)</f>
        <v>18.483556965020291</v>
      </c>
      <c r="AP34" s="30">
        <v>1</v>
      </c>
    </row>
    <row r="35" spans="1:42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>
        <f>'TR TUSD'!$L$35*'TR TUSD'!$L$80</f>
        <v>0</v>
      </c>
      <c r="M35" s="30">
        <f>'TR TUSD'!$M$35*'TR TUSD'!$M$80</f>
        <v>1.7181988981722941E-2</v>
      </c>
      <c r="N35" s="30">
        <f ca="1">'TR TUSD'!$N$35*'TR TUSD'!$N$80</f>
        <v>6.4628429178979013E-2</v>
      </c>
      <c r="O35" s="30">
        <f>'TR TUSD'!$O$35*'TR TUSD'!$O$80</f>
        <v>0</v>
      </c>
      <c r="P35" s="30">
        <f>'TR TUSD'!$P$35*'TR TUSD'!$P$80</f>
        <v>0</v>
      </c>
      <c r="Q35" s="30">
        <f>'TR TUSD'!$Q$35*'TR TUSD'!$Q$80</f>
        <v>0</v>
      </c>
      <c r="R35" s="30">
        <f>'TR TUSD'!$R$35*'TR TUSD'!$R$80</f>
        <v>0</v>
      </c>
      <c r="S35" s="30">
        <f>'TR TUSD'!$S$35*'TR TUSD'!$S$80</f>
        <v>0</v>
      </c>
      <c r="T35" s="30">
        <f ca="1">SUM($L$35:$S$35)</f>
        <v>8.1810418160701948E-2</v>
      </c>
      <c r="U35" s="30">
        <f>'TR TUSD'!$U$35*'TR TUSD'!$U$80</f>
        <v>0</v>
      </c>
      <c r="V35" s="30">
        <f>'TR TUSD'!$V$35*'TR TUSD'!$V$80</f>
        <v>0</v>
      </c>
      <c r="W35" s="30">
        <f>'TR TUSD'!$W$35*'TR TUSD'!$W$80</f>
        <v>0</v>
      </c>
      <c r="X35" s="30">
        <f>'TR TUSD'!$X$35*'TR TUSD'!$X$80</f>
        <v>0</v>
      </c>
      <c r="Y35" s="30">
        <f>'TR TUSD'!$Y$35*'TR TUSD'!$Y$80</f>
        <v>0</v>
      </c>
      <c r="Z35" s="30">
        <f>'TR TUSD'!$Z$35*'TR TUSD'!$Z$80</f>
        <v>0</v>
      </c>
      <c r="AA35" s="30">
        <f>'TR TUSD'!$AA$35*'TR TUSD'!$AA$80</f>
        <v>0</v>
      </c>
      <c r="AB35" s="30">
        <f>SUM($U$35:$AA$35)</f>
        <v>0</v>
      </c>
      <c r="AC35" s="30">
        <f>'TR TUSD'!$AC$35*'TR TUSD'!$AC$80</f>
        <v>7.1322292406980594</v>
      </c>
      <c r="AD35" s="30">
        <f>SUM($AC$35:$AC$35)</f>
        <v>7.1322292406980594</v>
      </c>
      <c r="AE35" s="30">
        <v>0</v>
      </c>
      <c r="AF35" s="30">
        <v>0</v>
      </c>
      <c r="AG35" s="30">
        <f>SUM($AE$35:$AF$35)</f>
        <v>0</v>
      </c>
      <c r="AH35" s="30">
        <f>'TR TUSD'!$AH$35*'TR TUSD'!$AH$80</f>
        <v>0</v>
      </c>
      <c r="AI35" s="30">
        <f>'TR TUSD'!$AI$35*'TR TUSD'!$AI$80</f>
        <v>0</v>
      </c>
      <c r="AJ35" s="30">
        <f ca="1">'TR TUSD'!$AJ$35*'TR TUSD'!$AJ$80</f>
        <v>0</v>
      </c>
      <c r="AK35" s="30">
        <f ca="1">'TR TUSD'!$AK$35*'TR TUSD'!$AK$80</f>
        <v>0</v>
      </c>
      <c r="AL35" s="30">
        <f ca="1">SUM($AH$35:$AK$35)</f>
        <v>0</v>
      </c>
      <c r="AM35" s="30">
        <f ca="1">SUMIF($L$4:$AL$4,"SUBTOTAL",$L$35:$AL$35)</f>
        <v>7.214039658858761</v>
      </c>
      <c r="AP35" s="30"/>
    </row>
    <row r="36" spans="1:42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>
        <f>'TR TUSD'!$L$36*'TR TUSD'!$L$80</f>
        <v>0</v>
      </c>
      <c r="M36" s="30">
        <f>'TR TUSD'!$M$36*'TR TUSD'!$M$80</f>
        <v>1.7181988981722941E-2</v>
      </c>
      <c r="N36" s="30">
        <f ca="1">'TR TUSD'!$N$36*'TR TUSD'!$N$80</f>
        <v>6.4628429178979013E-2</v>
      </c>
      <c r="O36" s="30">
        <f>'TR TUSD'!$O$36*'TR TUSD'!$O$80</f>
        <v>0</v>
      </c>
      <c r="P36" s="30">
        <f>'TR TUSD'!$P$36*'TR TUSD'!$P$80</f>
        <v>0</v>
      </c>
      <c r="Q36" s="30">
        <f>'TR TUSD'!$Q$36*'TR TUSD'!$Q$80</f>
        <v>0</v>
      </c>
      <c r="R36" s="30">
        <f>'TR TUSD'!$R$36*'TR TUSD'!$R$80</f>
        <v>0</v>
      </c>
      <c r="S36" s="30">
        <f>'TR TUSD'!$S$36*'TR TUSD'!$S$80</f>
        <v>0</v>
      </c>
      <c r="T36" s="30">
        <f ca="1">SUM($L$36:$S$36)</f>
        <v>8.1810418160701948E-2</v>
      </c>
      <c r="U36" s="30">
        <f>'TR TUSD'!$U$36*'TR TUSD'!$U$80</f>
        <v>0</v>
      </c>
      <c r="V36" s="30">
        <f>'TR TUSD'!$V$36*'TR TUSD'!$V$80</f>
        <v>0</v>
      </c>
      <c r="W36" s="30">
        <f>'TR TUSD'!$W$36*'TR TUSD'!$W$80</f>
        <v>0</v>
      </c>
      <c r="X36" s="30">
        <f>'TR TUSD'!$X$36*'TR TUSD'!$X$80</f>
        <v>0</v>
      </c>
      <c r="Y36" s="30">
        <f>'TR TUSD'!$Y$36*'TR TUSD'!$Y$80</f>
        <v>0</v>
      </c>
      <c r="Z36" s="30">
        <f>'TR TUSD'!$Z$36*'TR TUSD'!$Z$80</f>
        <v>0</v>
      </c>
      <c r="AA36" s="30">
        <f>'TR TUSD'!$AA$36*'TR TUSD'!$AA$80</f>
        <v>0</v>
      </c>
      <c r="AB36" s="30">
        <f>SUM($U$36:$AA$36)</f>
        <v>0</v>
      </c>
      <c r="AC36" s="30">
        <f>'TR TUSD'!$AC$36*'TR TUSD'!$AC$80</f>
        <v>21.537937893112755</v>
      </c>
      <c r="AD36" s="30">
        <f>SUM($AC$36:$AC$36)</f>
        <v>21.537937893112755</v>
      </c>
      <c r="AE36" s="30">
        <v>0</v>
      </c>
      <c r="AF36" s="30">
        <v>0</v>
      </c>
      <c r="AG36" s="30">
        <f>SUM($AE$36:$AF$36)</f>
        <v>0</v>
      </c>
      <c r="AH36" s="30">
        <f>'TR TUSD'!$AH$36*'TR TUSD'!$AH$80</f>
        <v>0</v>
      </c>
      <c r="AI36" s="30">
        <f>'TR TUSD'!$AI$36*'TR TUSD'!$AI$80</f>
        <v>0</v>
      </c>
      <c r="AJ36" s="30">
        <f ca="1">'TR TUSD'!$AJ$36*'TR TUSD'!$AJ$80</f>
        <v>0</v>
      </c>
      <c r="AK36" s="30">
        <f ca="1">'TR TUSD'!$AK$36*'TR TUSD'!$AK$80</f>
        <v>0</v>
      </c>
      <c r="AL36" s="30">
        <f ca="1">SUM($AH$36:$AK$36)</f>
        <v>0</v>
      </c>
      <c r="AM36" s="30">
        <f ca="1">SUMIF($L$4:$AL$4,"SUBTOTAL",$L$36:$AL$36)</f>
        <v>21.619748311273458</v>
      </c>
      <c r="AP36" s="30"/>
    </row>
    <row r="37" spans="1:42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>
        <f>'TR TUSD'!$L$37*'TR TUSD'!$L$80</f>
        <v>4.1814828161424202</v>
      </c>
      <c r="M37" s="30">
        <f>'TR TUSD'!$M$37*'TR TUSD'!$M$80</f>
        <v>1.1909995636433146</v>
      </c>
      <c r="N37" s="30">
        <f ca="1">'TR TUSD'!$N$37*'TR TUSD'!$N$80</f>
        <v>9.9821893538170841</v>
      </c>
      <c r="O37" s="30">
        <f>'TR TUSD'!$O$37*'TR TUSD'!$O$80</f>
        <v>2.3954432862312944E-2</v>
      </c>
      <c r="P37" s="30">
        <f>'TR TUSD'!$P$37*'TR TUSD'!$P$80</f>
        <v>0</v>
      </c>
      <c r="Q37" s="30">
        <f>'TR TUSD'!$Q$37*'TR TUSD'!$Q$80</f>
        <v>36.787060352326115</v>
      </c>
      <c r="R37" s="30">
        <f>'TR TUSD'!$R$37*'TR TUSD'!$R$80</f>
        <v>14.668516006400978</v>
      </c>
      <c r="S37" s="30">
        <f>'TR TUSD'!$S$37*'TR TUSD'!$S$80</f>
        <v>0</v>
      </c>
      <c r="T37" s="30">
        <f ca="1">SUM($L$37:$S$37)</f>
        <v>66.834202525192225</v>
      </c>
      <c r="U37" s="30">
        <f>'TR TUSD'!$U$37*'TR TUSD'!$U$80</f>
        <v>63.241642141742851</v>
      </c>
      <c r="V37" s="30">
        <f>'TR TUSD'!$V$37*'TR TUSD'!$V$80</f>
        <v>13.556684639870946</v>
      </c>
      <c r="W37" s="30">
        <f>'TR TUSD'!$W$37*'TR TUSD'!$W$80</f>
        <v>13.746300781800301</v>
      </c>
      <c r="X37" s="30">
        <f>'TR TUSD'!$X$37*'TR TUSD'!$X$80</f>
        <v>0</v>
      </c>
      <c r="Y37" s="30">
        <f>'TR TUSD'!$Y$37*'TR TUSD'!$Y$80</f>
        <v>0</v>
      </c>
      <c r="Z37" s="30">
        <f>'TR TUSD'!$Z$37</f>
        <v>0</v>
      </c>
      <c r="AA37" s="30">
        <f>'TR TUSD'!$AA$37</f>
        <v>0</v>
      </c>
      <c r="AB37" s="30">
        <f>SUM($U$37:$AA$37)</f>
        <v>90.544627563414096</v>
      </c>
      <c r="AC37" s="30">
        <f>'TR TUSD'!$AC$37*'TR TUSD'!$AC$80</f>
        <v>880.21203341127466</v>
      </c>
      <c r="AD37" s="30">
        <f>SUM($AC$37:$AC$37)</f>
        <v>880.21203341127466</v>
      </c>
      <c r="AE37" s="30">
        <v>0</v>
      </c>
      <c r="AF37" s="30">
        <v>0</v>
      </c>
      <c r="AG37" s="30">
        <f>SUM($AE$37:$AF$37)</f>
        <v>0</v>
      </c>
      <c r="AH37" s="30">
        <f>'TR TUSD'!$AH$37*'TR TUSD'!$AH$80</f>
        <v>27.08513188936757</v>
      </c>
      <c r="AI37" s="30">
        <f>'TR TUSD'!$AI$37*'TR TUSD'!$AI$80</f>
        <v>0.96432936718241835</v>
      </c>
      <c r="AJ37" s="30">
        <f ca="1">'TR TUSD'!$AJ$37*'TR TUSD'!$AJ$80</f>
        <v>8.0710610220913033</v>
      </c>
      <c r="AK37" s="30">
        <f ca="1">'TR TUSD'!$AK$37*'TR TUSD'!$AK$80</f>
        <v>0</v>
      </c>
      <c r="AL37" s="30">
        <f ca="1">SUM($AH$37:$AK$37)</f>
        <v>36.120522278641289</v>
      </c>
      <c r="AM37" s="30">
        <f ca="1">SUMIF($L$4:$AL$4,"SUBTOTAL",$L$37:$AL$37)</f>
        <v>1073.7113857785223</v>
      </c>
      <c r="AP37" s="30">
        <v>1</v>
      </c>
    </row>
    <row r="38" spans="1:42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>
        <f>'TR TUSD'!$L$38*'TR TUSD'!$L$80</f>
        <v>4.1814828161424202</v>
      </c>
      <c r="M38" s="30">
        <f>'TR TUSD'!$M$38*'TR TUSD'!$M$80</f>
        <v>1.1909995636433146</v>
      </c>
      <c r="N38" s="30">
        <f ca="1">'TR TUSD'!$N$38*'TR TUSD'!$N$80</f>
        <v>6.3658691991874301</v>
      </c>
      <c r="O38" s="30">
        <f>'TR TUSD'!$O$38*'TR TUSD'!$O$80</f>
        <v>2.3954432862312944E-2</v>
      </c>
      <c r="P38" s="30">
        <f>'TR TUSD'!$P$38*'TR TUSD'!$P$80</f>
        <v>0</v>
      </c>
      <c r="Q38" s="30">
        <f>'TR TUSD'!$Q$38*'TR TUSD'!$Q$80</f>
        <v>36.787060352326115</v>
      </c>
      <c r="R38" s="30">
        <f>'TR TUSD'!$R$38*'TR TUSD'!$R$80</f>
        <v>14.668516006400978</v>
      </c>
      <c r="S38" s="30">
        <f>'TR TUSD'!$S$38*'TR TUSD'!$S$80</f>
        <v>0</v>
      </c>
      <c r="T38" s="30">
        <f ca="1">SUM($L$38:$S$38)</f>
        <v>63.21788237056257</v>
      </c>
      <c r="U38" s="30">
        <f>'TR TUSD'!$U$38*'TR TUSD'!$U$80</f>
        <v>37.945033660721684</v>
      </c>
      <c r="V38" s="30">
        <f>'TR TUSD'!$V$38*'TR TUSD'!$V$80</f>
        <v>8.1339885911375767</v>
      </c>
      <c r="W38" s="30">
        <f>'TR TUSD'!$W$38*'TR TUSD'!$W$80</f>
        <v>8.2478751090699571</v>
      </c>
      <c r="X38" s="30">
        <f>'TR TUSD'!$X$38*'TR TUSD'!$X$80</f>
        <v>0</v>
      </c>
      <c r="Y38" s="30">
        <f>'TR TUSD'!$Y$38*'TR TUSD'!$Y$80</f>
        <v>0</v>
      </c>
      <c r="Z38" s="30">
        <f>'TR TUSD'!$Z$38</f>
        <v>0</v>
      </c>
      <c r="AA38" s="30">
        <f>'TR TUSD'!$AA$38</f>
        <v>0</v>
      </c>
      <c r="AB38" s="30">
        <f>SUM($U$38:$AA$38)</f>
        <v>54.326897360929216</v>
      </c>
      <c r="AC38" s="30">
        <f>'TR TUSD'!$AC$38*'TR TUSD'!$AC$80</f>
        <v>528.1273187081182</v>
      </c>
      <c r="AD38" s="30">
        <f>SUM($AC$38:$AC$38)</f>
        <v>528.1273187081182</v>
      </c>
      <c r="AE38" s="30">
        <v>0</v>
      </c>
      <c r="AF38" s="30">
        <v>0</v>
      </c>
      <c r="AG38" s="30">
        <f>SUM($AE$38:$AF$38)</f>
        <v>0</v>
      </c>
      <c r="AH38" s="30">
        <f>'TR TUSD'!$AH$38*'TR TUSD'!$AH$80</f>
        <v>27.08513188936757</v>
      </c>
      <c r="AI38" s="30">
        <f>'TR TUSD'!$AI$38*'TR TUSD'!$AI$80</f>
        <v>0.96432936718241835</v>
      </c>
      <c r="AJ38" s="30">
        <f ca="1">'TR TUSD'!$AJ$38*'TR TUSD'!$AJ$80</f>
        <v>8.0710610220913033</v>
      </c>
      <c r="AK38" s="30">
        <f ca="1">'TR TUSD'!$AK$38*'TR TUSD'!$AK$80</f>
        <v>0</v>
      </c>
      <c r="AL38" s="30">
        <f ca="1">SUM($AH$38:$AK$38)</f>
        <v>36.120522278641289</v>
      </c>
      <c r="AM38" s="30">
        <f ca="1">SUMIF($L$4:$AL$4,"SUBTOTAL",$L$38:$AL$38)</f>
        <v>681.79262071825121</v>
      </c>
      <c r="AP38" s="30">
        <v>1</v>
      </c>
    </row>
    <row r="39" spans="1:42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>
        <f>'TR TUSD'!$L$39*'TR TUSD'!$L$80</f>
        <v>4.1814828161424202</v>
      </c>
      <c r="M39" s="30">
        <f>'TR TUSD'!$M$39*'TR TUSD'!$M$80</f>
        <v>1.1909995636433146</v>
      </c>
      <c r="N39" s="30">
        <f ca="1">'TR TUSD'!$N$39*'TR TUSD'!$N$80</f>
        <v>2.7495445874247308</v>
      </c>
      <c r="O39" s="30">
        <f>'TR TUSD'!$O$39*'TR TUSD'!$O$80</f>
        <v>2.3954432862312944E-2</v>
      </c>
      <c r="P39" s="30">
        <f>'TR TUSD'!$P$39*'TR TUSD'!$P$80</f>
        <v>0</v>
      </c>
      <c r="Q39" s="30">
        <f>'TR TUSD'!$Q$39*'TR TUSD'!$Q$80</f>
        <v>36.787060352326115</v>
      </c>
      <c r="R39" s="30">
        <f>'TR TUSD'!$R$39*'TR TUSD'!$R$80</f>
        <v>14.668516006400978</v>
      </c>
      <c r="S39" s="30">
        <f>'TR TUSD'!$S$39*'TR TUSD'!$S$80</f>
        <v>0</v>
      </c>
      <c r="T39" s="30">
        <f ca="1">SUM($L$39:$S$39)</f>
        <v>59.601557758799871</v>
      </c>
      <c r="U39" s="30">
        <f>'TR TUSD'!$U$39*'TR TUSD'!$U$80</f>
        <v>12.648304240510582</v>
      </c>
      <c r="V39" s="30">
        <f>'TR TUSD'!$V$39*'TR TUSD'!$V$80</f>
        <v>2.7112925424042063</v>
      </c>
      <c r="W39" s="30">
        <f>'TR TUSD'!$W$39*'TR TUSD'!$W$80</f>
        <v>2.7492917030233195</v>
      </c>
      <c r="X39" s="30">
        <f>'TR TUSD'!$X$39*'TR TUSD'!$X$80</f>
        <v>0</v>
      </c>
      <c r="Y39" s="30">
        <f>'TR TUSD'!$Y$39*'TR TUSD'!$Y$80</f>
        <v>0</v>
      </c>
      <c r="Z39" s="30">
        <f>'TR TUSD'!$Z$39</f>
        <v>0</v>
      </c>
      <c r="AA39" s="30">
        <f>'TR TUSD'!$AA$39</f>
        <v>0</v>
      </c>
      <c r="AB39" s="30">
        <f>SUM($U$39:$AA$39)</f>
        <v>18.10888848593811</v>
      </c>
      <c r="AC39" s="30">
        <f>'TR TUSD'!$AC$39*'TR TUSD'!$AC$80</f>
        <v>176.04243956937273</v>
      </c>
      <c r="AD39" s="30">
        <f>SUM($AC$39:$AC$39)</f>
        <v>176.04243956937273</v>
      </c>
      <c r="AE39" s="30">
        <v>0</v>
      </c>
      <c r="AF39" s="30">
        <v>0</v>
      </c>
      <c r="AG39" s="30">
        <f>SUM($AE$39:$AF$39)</f>
        <v>0</v>
      </c>
      <c r="AH39" s="30">
        <f>'TR TUSD'!$AH$39*'TR TUSD'!$AH$80</f>
        <v>27.08513188936757</v>
      </c>
      <c r="AI39" s="30">
        <f>'TR TUSD'!$AI$39*'TR TUSD'!$AI$80</f>
        <v>0.96432936718241835</v>
      </c>
      <c r="AJ39" s="30">
        <f ca="1">'TR TUSD'!$AJ$39*'TR TUSD'!$AJ$80</f>
        <v>8.0710610220913033</v>
      </c>
      <c r="AK39" s="30">
        <f ca="1">'TR TUSD'!$AK$39*'TR TUSD'!$AK$80</f>
        <v>0</v>
      </c>
      <c r="AL39" s="30">
        <f ca="1">SUM($AH$39:$AK$39)</f>
        <v>36.120522278641289</v>
      </c>
      <c r="AM39" s="30">
        <f ca="1">SUMIF($L$4:$AL$4,"SUBTOTAL",$L$39:$AL$39)</f>
        <v>289.87340809275202</v>
      </c>
      <c r="AP39" s="30">
        <v>1</v>
      </c>
    </row>
    <row r="40" spans="1:42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>
        <f>'TR TUSD'!$L$40*'TR TUSD'!$L$80</f>
        <v>4.1814828161424202</v>
      </c>
      <c r="M40" s="30">
        <f>'TR TUSD'!$M$40*'TR TUSD'!$M$80</f>
        <v>1.1909995636433146</v>
      </c>
      <c r="N40" s="30">
        <f ca="1">'TR TUSD'!$N$40*'TR TUSD'!$N$80</f>
        <v>3.9549866199159696</v>
      </c>
      <c r="O40" s="30">
        <f>'TR TUSD'!$O$40*'TR TUSD'!$O$80</f>
        <v>2.3954432862312944E-2</v>
      </c>
      <c r="P40" s="30">
        <f>'TR TUSD'!$P$40*'TR TUSD'!$P$80</f>
        <v>0</v>
      </c>
      <c r="Q40" s="30">
        <f>'TR TUSD'!$Q$40*'TR TUSD'!$Q$80</f>
        <v>36.787060352326115</v>
      </c>
      <c r="R40" s="30">
        <f>'TR TUSD'!$R$40*'TR TUSD'!$R$80</f>
        <v>14.668516006400978</v>
      </c>
      <c r="S40" s="30">
        <f>'TR TUSD'!$S$40*'TR TUSD'!$S$80</f>
        <v>0</v>
      </c>
      <c r="T40" s="30">
        <f ca="1">SUM($L$40:$S$40)</f>
        <v>60.806999791291112</v>
      </c>
      <c r="U40" s="30">
        <f>'TR TUSD'!$U$40*'TR TUSD'!$U$80</f>
        <v>21.080547380580953</v>
      </c>
      <c r="V40" s="30">
        <f>'TR TUSD'!$V$40*'TR TUSD'!$V$80</f>
        <v>4.5188948799569824</v>
      </c>
      <c r="W40" s="30">
        <f>'TR TUSD'!$W$40*'TR TUSD'!$W$80</f>
        <v>4.5821528383721981</v>
      </c>
      <c r="X40" s="30">
        <f>'TR TUSD'!$X$40*'TR TUSD'!$X$80</f>
        <v>0</v>
      </c>
      <c r="Y40" s="30">
        <f>'TR TUSD'!$Y$40*'TR TUSD'!$Y$80</f>
        <v>0</v>
      </c>
      <c r="Z40" s="30">
        <f>'TR TUSD'!$Z$40</f>
        <v>0</v>
      </c>
      <c r="AA40" s="30">
        <f>'TR TUSD'!$AA$40</f>
        <v>0</v>
      </c>
      <c r="AB40" s="30">
        <f>SUM($U$40:$AA$40)</f>
        <v>30.181595098910133</v>
      </c>
      <c r="AC40" s="30">
        <f>'TR TUSD'!$AC$40*'TR TUSD'!$AC$80</f>
        <v>293.40406594895461</v>
      </c>
      <c r="AD40" s="30">
        <f>SUM($AC$40:$AC$40)</f>
        <v>293.40406594895461</v>
      </c>
      <c r="AE40" s="30">
        <v>0</v>
      </c>
      <c r="AF40" s="30">
        <v>0</v>
      </c>
      <c r="AG40" s="30">
        <f>SUM($AE$40:$AF$40)</f>
        <v>0</v>
      </c>
      <c r="AH40" s="30">
        <f>'TR TUSD'!$AH$40*'TR TUSD'!$AH$80</f>
        <v>27.08513188936757</v>
      </c>
      <c r="AI40" s="30">
        <f>'TR TUSD'!$AI$40*'TR TUSD'!$AI$80</f>
        <v>0.96432936718241835</v>
      </c>
      <c r="AJ40" s="30">
        <f ca="1">'TR TUSD'!$AJ$40*'TR TUSD'!$AJ$80</f>
        <v>8.0710610220913033</v>
      </c>
      <c r="AK40" s="30">
        <f ca="1">'TR TUSD'!$AK$40*'TR TUSD'!$AK$80</f>
        <v>0</v>
      </c>
      <c r="AL40" s="30">
        <f ca="1">SUM($AH$40:$AK$40)</f>
        <v>36.120522278641289</v>
      </c>
      <c r="AM40" s="30">
        <f ca="1">SUMIF($L$4:$AL$4,"SUBTOTAL",$L$40:$AL$40)</f>
        <v>420.5131831177971</v>
      </c>
      <c r="AP40" s="30">
        <v>1</v>
      </c>
    </row>
    <row r="41" spans="1:42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>
        <f>'TR TUSD'!$L$41*'TR TUSD'!$L$80</f>
        <v>0</v>
      </c>
      <c r="M41" s="30">
        <f>'TR TUSD'!$M$41*'TR TUSD'!$M$80</f>
        <v>1.1909995636433146</v>
      </c>
      <c r="N41" s="30">
        <f ca="1">'TR TUSD'!$N$41*'TR TUSD'!$N$80</f>
        <v>3.9401295097598821</v>
      </c>
      <c r="O41" s="30">
        <f>'TR TUSD'!$O$41*'TR TUSD'!$O$80</f>
        <v>2.3954432862312944E-2</v>
      </c>
      <c r="P41" s="30">
        <f>'TR TUSD'!$P$41*'TR TUSD'!$P$80</f>
        <v>0</v>
      </c>
      <c r="Q41" s="30">
        <f>'TR TUSD'!$Q$41*'TR TUSD'!$Q$80</f>
        <v>0</v>
      </c>
      <c r="R41" s="30">
        <f>'TR TUSD'!$R$41*'TR TUSD'!$R$80</f>
        <v>0</v>
      </c>
      <c r="S41" s="30">
        <f>'TR TUSD'!$S$41*'TR TUSD'!$S$80</f>
        <v>0</v>
      </c>
      <c r="T41" s="30">
        <f ca="1">SUM($L$41:$S$41)</f>
        <v>5.1550835062655098</v>
      </c>
      <c r="U41" s="30">
        <f>'TR TUSD'!$U$41*'TR TUSD'!$U$80</f>
        <v>21.080547380580953</v>
      </c>
      <c r="V41" s="30">
        <f>'TR TUSD'!$V$41*'TR TUSD'!$V$80</f>
        <v>4.5188948799569824</v>
      </c>
      <c r="W41" s="30">
        <f>'TR TUSD'!$W$41*'TR TUSD'!$W$80</f>
        <v>4.5821528383721981</v>
      </c>
      <c r="X41" s="30">
        <f>'TR TUSD'!$X$41*'TR TUSD'!$X$80</f>
        <v>0</v>
      </c>
      <c r="Y41" s="30">
        <f>'TR TUSD'!$Y$41*'TR TUSD'!$Y$80</f>
        <v>0</v>
      </c>
      <c r="Z41" s="30">
        <f>'TR TUSD'!$Z$41</f>
        <v>0</v>
      </c>
      <c r="AA41" s="30">
        <f>'TR TUSD'!$AA$41</f>
        <v>0</v>
      </c>
      <c r="AB41" s="30">
        <f>SUM($U$41:$AA$41)</f>
        <v>30.181595098910133</v>
      </c>
      <c r="AC41" s="30">
        <f>'TR TUSD'!$AC$41*'TR TUSD'!$AC$80</f>
        <v>293.40406594895461</v>
      </c>
      <c r="AD41" s="30">
        <f>SUM($AC$41:$AC$41)</f>
        <v>293.40406594895461</v>
      </c>
      <c r="AE41" s="30">
        <v>0</v>
      </c>
      <c r="AF41" s="30">
        <v>0</v>
      </c>
      <c r="AG41" s="30">
        <f>SUM($AE$41:$AF$41)</f>
        <v>0</v>
      </c>
      <c r="AH41" s="30">
        <f>'TR TUSD'!$AH$41*'TR TUSD'!$AH$80</f>
        <v>27.08513188936757</v>
      </c>
      <c r="AI41" s="30">
        <f>'TR TUSD'!$AI$41*'TR TUSD'!$AI$80</f>
        <v>0.96432936718241835</v>
      </c>
      <c r="AJ41" s="30">
        <f ca="1">'TR TUSD'!$AJ$41*'TR TUSD'!$AJ$80</f>
        <v>8.0710610220913033</v>
      </c>
      <c r="AK41" s="30">
        <f ca="1">'TR TUSD'!$AK$41*'TR TUSD'!$AK$80</f>
        <v>0</v>
      </c>
      <c r="AL41" s="30">
        <f ca="1">SUM($AH$41:$AK$41)</f>
        <v>36.120522278641289</v>
      </c>
      <c r="AM41" s="30">
        <f ca="1">SUMIF($L$4:$AL$4,"SUBTOTAL",$L$41:$AL$41)</f>
        <v>364.86126683277155</v>
      </c>
      <c r="AP41" s="30">
        <f>IF((1 - CUSTOS!$M$24)&lt;&gt;0,1/(1 - CUSTOS!$M$24),1)</f>
        <v>1</v>
      </c>
    </row>
    <row r="42" spans="1:42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>
        <f>'TR TUSD'!$L$42*'TR TUSD'!$L$80</f>
        <v>0</v>
      </c>
      <c r="M42" s="30">
        <f>'TR TUSD'!$M$42*'TR TUSD'!$M$80</f>
        <v>1.1909995636433146</v>
      </c>
      <c r="N42" s="30">
        <f ca="1">'TR TUSD'!$N$42*'TR TUSD'!$N$80</f>
        <v>3.9401295097598821</v>
      </c>
      <c r="O42" s="30">
        <f>'TR TUSD'!$O$42*'TR TUSD'!$O$80</f>
        <v>2.3954432862312944E-2</v>
      </c>
      <c r="P42" s="30">
        <f>'TR TUSD'!$P$42*'TR TUSD'!$P$80</f>
        <v>0</v>
      </c>
      <c r="Q42" s="30">
        <f>'TR TUSD'!$Q$42*'TR TUSD'!$Q$80</f>
        <v>0</v>
      </c>
      <c r="R42" s="30">
        <f>'TR TUSD'!$R$42*'TR TUSD'!$R$80</f>
        <v>0</v>
      </c>
      <c r="S42" s="30">
        <f>'TR TUSD'!$S$42*'TR TUSD'!$S$80</f>
        <v>0</v>
      </c>
      <c r="T42" s="30">
        <f ca="1">SUM($L$42:$S$42)</f>
        <v>5.1550835062655098</v>
      </c>
      <c r="U42" s="30">
        <f>'TR TUSD'!$U$42*'TR TUSD'!$U$80</f>
        <v>21.080547380580953</v>
      </c>
      <c r="V42" s="30">
        <f>'TR TUSD'!$V$42*'TR TUSD'!$V$80</f>
        <v>4.5188948799569824</v>
      </c>
      <c r="W42" s="30">
        <f>'TR TUSD'!$W$42*'TR TUSD'!$W$80</f>
        <v>4.5821528383721981</v>
      </c>
      <c r="X42" s="30">
        <f>'TR TUSD'!$X$42*'TR TUSD'!$X$80</f>
        <v>0</v>
      </c>
      <c r="Y42" s="30">
        <f>'TR TUSD'!$Y$42*'TR TUSD'!$Y$80</f>
        <v>0</v>
      </c>
      <c r="Z42" s="30">
        <f>'TR TUSD'!$Z$42</f>
        <v>0</v>
      </c>
      <c r="AA42" s="30">
        <f>'TR TUSD'!$AA$42</f>
        <v>0</v>
      </c>
      <c r="AB42" s="30">
        <f>SUM($U$42:$AA$42)</f>
        <v>30.181595098910133</v>
      </c>
      <c r="AC42" s="30">
        <f>'TR TUSD'!$AC$42*'TR TUSD'!$AC$80</f>
        <v>293.40406594895461</v>
      </c>
      <c r="AD42" s="30">
        <f>SUM($AC$42:$AC$42)</f>
        <v>293.40406594895461</v>
      </c>
      <c r="AE42" s="30">
        <v>0</v>
      </c>
      <c r="AF42" s="30">
        <v>0</v>
      </c>
      <c r="AG42" s="30">
        <f>SUM($AE$42:$AF$42)</f>
        <v>0</v>
      </c>
      <c r="AH42" s="30">
        <f>'TR TUSD'!$AH$42*'TR TUSD'!$AH$80</f>
        <v>27.08513188936757</v>
      </c>
      <c r="AI42" s="30">
        <f>'TR TUSD'!$AI$42*'TR TUSD'!$AI$80</f>
        <v>0.96432936718241835</v>
      </c>
      <c r="AJ42" s="30">
        <f ca="1">'TR TUSD'!$AJ$42*'TR TUSD'!$AJ$80</f>
        <v>8.0710610220913033</v>
      </c>
      <c r="AK42" s="30">
        <f ca="1">'TR TUSD'!$AK$42*'TR TUSD'!$AK$80</f>
        <v>0</v>
      </c>
      <c r="AL42" s="30">
        <f ca="1">SUM($AH$42:$AK$42)</f>
        <v>36.120522278641289</v>
      </c>
      <c r="AM42" s="30">
        <f ca="1">SUMIF($L$4:$AL$4,"SUBTOTAL",$L$42:$AL$42)</f>
        <v>364.86126683277155</v>
      </c>
      <c r="AP42" s="30">
        <f>IF((1 - CUSTOS!$M$25)&lt;&gt;0,1/(1 - CUSTOS!$M$25),1)</f>
        <v>1</v>
      </c>
    </row>
    <row r="43" spans="1:42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>
        <f>'TR TUSD'!$L$43*'TR TUSD'!$L$80</f>
        <v>0</v>
      </c>
      <c r="M43" s="30">
        <f>'TR TUSD'!$M$43*'TR TUSD'!$M$80</f>
        <v>1.1909995636433146</v>
      </c>
      <c r="N43" s="30">
        <f ca="1">'TR TUSD'!$N$43*'TR TUSD'!$N$80</f>
        <v>3.9401295097598821</v>
      </c>
      <c r="O43" s="30">
        <f>'TR TUSD'!$O$43*'TR TUSD'!$O$80</f>
        <v>2.3954432862312944E-2</v>
      </c>
      <c r="P43" s="30">
        <f>'TR TUSD'!$P$43*'TR TUSD'!$P$80</f>
        <v>0</v>
      </c>
      <c r="Q43" s="30">
        <f>'TR TUSD'!$Q$43*'TR TUSD'!$Q$80</f>
        <v>0</v>
      </c>
      <c r="R43" s="30">
        <f>'TR TUSD'!$R$43*'TR TUSD'!$R$80</f>
        <v>0</v>
      </c>
      <c r="S43" s="30">
        <f>'TR TUSD'!$S$43*'TR TUSD'!$S$80</f>
        <v>0</v>
      </c>
      <c r="T43" s="30">
        <f ca="1">SUM($L$43:$S$43)</f>
        <v>5.1550835062655098</v>
      </c>
      <c r="U43" s="30">
        <f>'TR TUSD'!$U$43*'TR TUSD'!$U$80</f>
        <v>21.080547380580953</v>
      </c>
      <c r="V43" s="30">
        <f>'TR TUSD'!$V$43*'TR TUSD'!$V$80</f>
        <v>4.5188948799569824</v>
      </c>
      <c r="W43" s="30">
        <f>'TR TUSD'!$W$43*'TR TUSD'!$W$80</f>
        <v>4.5821528383721981</v>
      </c>
      <c r="X43" s="30">
        <f>'TR TUSD'!$X$43*'TR TUSD'!$X$80</f>
        <v>0</v>
      </c>
      <c r="Y43" s="30">
        <f>'TR TUSD'!$Y$43*'TR TUSD'!$Y$80</f>
        <v>0</v>
      </c>
      <c r="Z43" s="30">
        <f>'TR TUSD'!$Z$43</f>
        <v>0</v>
      </c>
      <c r="AA43" s="30">
        <f>'TR TUSD'!$AA$43</f>
        <v>0</v>
      </c>
      <c r="AB43" s="30">
        <f>SUM($U$43:$AA$43)</f>
        <v>30.181595098910133</v>
      </c>
      <c r="AC43" s="30">
        <f>'TR TUSD'!$AC$43*'TR TUSD'!$AC$80</f>
        <v>293.40406594895461</v>
      </c>
      <c r="AD43" s="30">
        <f>SUM($AC$43:$AC$43)</f>
        <v>293.40406594895461</v>
      </c>
      <c r="AE43" s="30">
        <v>0</v>
      </c>
      <c r="AF43" s="30">
        <v>0</v>
      </c>
      <c r="AG43" s="30">
        <f>SUM($AE$43:$AF$43)</f>
        <v>0</v>
      </c>
      <c r="AH43" s="30">
        <f>'TR TUSD'!$AH$43*'TR TUSD'!$AH$80</f>
        <v>27.08513188936757</v>
      </c>
      <c r="AI43" s="30">
        <f>'TR TUSD'!$AI$43*'TR TUSD'!$AI$80</f>
        <v>0.96432936718241835</v>
      </c>
      <c r="AJ43" s="30">
        <f ca="1">'TR TUSD'!$AJ$43*'TR TUSD'!$AJ$80</f>
        <v>8.0710610220913033</v>
      </c>
      <c r="AK43" s="30">
        <f ca="1">'TR TUSD'!$AK$43*'TR TUSD'!$AK$80</f>
        <v>0</v>
      </c>
      <c r="AL43" s="30">
        <f ca="1">SUM($AH$43:$AK$43)</f>
        <v>36.120522278641289</v>
      </c>
      <c r="AM43" s="30">
        <f ca="1">SUMIF($L$4:$AL$4,"SUBTOTAL",$L$43:$AL$43)</f>
        <v>364.86126683277155</v>
      </c>
      <c r="AP43" s="30">
        <f>IF((1 - CUSTOS!$M$26)&lt;&gt;0,1/(1 - CUSTOS!$M$26),1)</f>
        <v>1</v>
      </c>
    </row>
    <row r="44" spans="1:42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>
        <f>'TR TUSD'!$L$44*'TR TUSD'!$L$80</f>
        <v>0</v>
      </c>
      <c r="M44" s="30">
        <f>'TR TUSD'!$M$44*'TR TUSD'!$M$80</f>
        <v>1.1909995636433146</v>
      </c>
      <c r="N44" s="30">
        <f ca="1">'TR TUSD'!$N$44*'TR TUSD'!$N$80</f>
        <v>3.9401295097598821</v>
      </c>
      <c r="O44" s="30">
        <f>'TR TUSD'!$O$44*'TR TUSD'!$O$80</f>
        <v>2.3954432862312944E-2</v>
      </c>
      <c r="P44" s="30">
        <f>'TR TUSD'!$P$44*'TR TUSD'!$P$80</f>
        <v>0</v>
      </c>
      <c r="Q44" s="30">
        <f>'TR TUSD'!$Q$44*'TR TUSD'!$Q$80</f>
        <v>0</v>
      </c>
      <c r="R44" s="30">
        <f>'TR TUSD'!$R$44*'TR TUSD'!$R$80</f>
        <v>0</v>
      </c>
      <c r="S44" s="30">
        <f>'TR TUSD'!$S$44*'TR TUSD'!$S$80</f>
        <v>0</v>
      </c>
      <c r="T44" s="30">
        <f ca="1">SUM($L$44:$S$44)</f>
        <v>5.1550835062655098</v>
      </c>
      <c r="U44" s="30">
        <f>'TR TUSD'!$U$44*'TR TUSD'!$U$80</f>
        <v>21.080547380580953</v>
      </c>
      <c r="V44" s="30">
        <f>'TR TUSD'!$V$44*'TR TUSD'!$V$80</f>
        <v>4.5188948799569824</v>
      </c>
      <c r="W44" s="30">
        <f>'TR TUSD'!$W$44*'TR TUSD'!$W$80</f>
        <v>4.5821528383721981</v>
      </c>
      <c r="X44" s="30">
        <f>'TR TUSD'!$X$44*'TR TUSD'!$X$80</f>
        <v>0</v>
      </c>
      <c r="Y44" s="30">
        <f>'TR TUSD'!$Y$44*'TR TUSD'!$Y$80</f>
        <v>0</v>
      </c>
      <c r="Z44" s="30">
        <f>'TR TUSD'!$Z$44</f>
        <v>0</v>
      </c>
      <c r="AA44" s="30">
        <f>'TR TUSD'!$AA$44</f>
        <v>0</v>
      </c>
      <c r="AB44" s="30">
        <f>SUM($U$44:$AA$44)</f>
        <v>30.181595098910133</v>
      </c>
      <c r="AC44" s="30">
        <f>'TR TUSD'!$AC$44*'TR TUSD'!$AC$80</f>
        <v>293.40406594895461</v>
      </c>
      <c r="AD44" s="30">
        <f>SUM($AC$44:$AC$44)</f>
        <v>293.40406594895461</v>
      </c>
      <c r="AE44" s="30">
        <v>0</v>
      </c>
      <c r="AF44" s="30">
        <v>0</v>
      </c>
      <c r="AG44" s="30">
        <f>SUM($AE$44:$AF$44)</f>
        <v>0</v>
      </c>
      <c r="AH44" s="30">
        <f>'TR TUSD'!$AH$44*'TR TUSD'!$AH$80</f>
        <v>27.08513188936757</v>
      </c>
      <c r="AI44" s="30">
        <f>'TR TUSD'!$AI$44*'TR TUSD'!$AI$80</f>
        <v>0.96432936718241835</v>
      </c>
      <c r="AJ44" s="30">
        <f ca="1">'TR TUSD'!$AJ$44*'TR TUSD'!$AJ$80</f>
        <v>8.0710610220913033</v>
      </c>
      <c r="AK44" s="30">
        <f ca="1">'TR TUSD'!$AK$44*'TR TUSD'!$AK$80</f>
        <v>0</v>
      </c>
      <c r="AL44" s="30">
        <f ca="1">SUM($AH$44:$AK$44)</f>
        <v>36.120522278641289</v>
      </c>
      <c r="AM44" s="30">
        <f ca="1">SUMIF($L$4:$AL$4,"SUBTOTAL",$L$44:$AL$44)</f>
        <v>364.86126683277155</v>
      </c>
      <c r="AP44" s="30">
        <f>IF((1 - CUSTOS!$M$27)&lt;&gt;0,1/(1 - CUSTOS!$M$27),1)</f>
        <v>1</v>
      </c>
    </row>
    <row r="45" spans="1:42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>
        <f>'TR TUSD'!$L$45*'TR TUSD'!$L$80</f>
        <v>4.1814828161424202</v>
      </c>
      <c r="M45" s="30">
        <f>'TR TUSD'!$M$45*'TR TUSD'!$M$80</f>
        <v>1.1909995636433146</v>
      </c>
      <c r="N45" s="30">
        <f ca="1">'TR TUSD'!$N$45*'TR TUSD'!$N$80</f>
        <v>3.9549866199159696</v>
      </c>
      <c r="O45" s="30">
        <f>'TR TUSD'!$O$45*'TR TUSD'!$O$80</f>
        <v>2.3954432862312944E-2</v>
      </c>
      <c r="P45" s="30">
        <f>'TR TUSD'!$P$45*'TR TUSD'!$P$80</f>
        <v>0</v>
      </c>
      <c r="Q45" s="30">
        <f>'TR TUSD'!$Q$45*'TR TUSD'!$Q$80</f>
        <v>36.787060352326115</v>
      </c>
      <c r="R45" s="30">
        <f>'TR TUSD'!$R$45*'TR TUSD'!$R$80</f>
        <v>14.668516006400978</v>
      </c>
      <c r="S45" s="30">
        <f>'TR TUSD'!$S$45*'TR TUSD'!$S$80</f>
        <v>0</v>
      </c>
      <c r="T45" s="30">
        <f ca="1">SUM($L$45:$S$45)</f>
        <v>60.806999791291112</v>
      </c>
      <c r="U45" s="30">
        <f>'TR TUSD'!$U$45*'TR TUSD'!$U$80</f>
        <v>21.080547380580953</v>
      </c>
      <c r="V45" s="30">
        <f>'TR TUSD'!$V$45*'TR TUSD'!$V$80</f>
        <v>4.5188948799569824</v>
      </c>
      <c r="W45" s="30">
        <f>'TR TUSD'!$W$45*'TR TUSD'!$W$80</f>
        <v>4.5821528383721981</v>
      </c>
      <c r="X45" s="30">
        <f>'TR TUSD'!$X$45*'TR TUSD'!$X$80</f>
        <v>0</v>
      </c>
      <c r="Y45" s="30">
        <f>'TR TUSD'!$Y$45*'TR TUSD'!$Y$80</f>
        <v>0</v>
      </c>
      <c r="Z45" s="30">
        <f>'TR TUSD'!$Z$45</f>
        <v>0</v>
      </c>
      <c r="AA45" s="30">
        <f>'TR TUSD'!$AA$45</f>
        <v>0</v>
      </c>
      <c r="AB45" s="30">
        <f>SUM($U$45:$AA$45)</f>
        <v>30.181595098910133</v>
      </c>
      <c r="AC45" s="30">
        <f>'TR TUSD'!$AC$45*'TR TUSD'!$AC$80</f>
        <v>293.40406594895461</v>
      </c>
      <c r="AD45" s="30">
        <f>SUM($AC$45:$AC$45)</f>
        <v>293.40406594895461</v>
      </c>
      <c r="AE45" s="30">
        <v>0</v>
      </c>
      <c r="AF45" s="30">
        <v>0</v>
      </c>
      <c r="AG45" s="30">
        <f>SUM($AE$45:$AF$45)</f>
        <v>0</v>
      </c>
      <c r="AH45" s="30">
        <f>'TR TUSD'!$AH$45*'TR TUSD'!$AH$80</f>
        <v>27.08513188936757</v>
      </c>
      <c r="AI45" s="30">
        <f>'TR TUSD'!$AI$45*'TR TUSD'!$AI$80</f>
        <v>0.96432936718241835</v>
      </c>
      <c r="AJ45" s="30">
        <f ca="1">'TR TUSD'!$AJ$45*'TR TUSD'!$AJ$80</f>
        <v>8.0710610220913033</v>
      </c>
      <c r="AK45" s="30">
        <f ca="1">'TR TUSD'!$AK$45*'TR TUSD'!$AK$80</f>
        <v>0</v>
      </c>
      <c r="AL45" s="30">
        <f ca="1">SUM($AH$45:$AK$45)</f>
        <v>36.120522278641289</v>
      </c>
      <c r="AM45" s="30">
        <f ca="1">SUMIF($L$4:$AL$4,"SUBTOTAL",$L$45:$AL$45)</f>
        <v>420.5131831177971</v>
      </c>
      <c r="AP45" s="30">
        <v>1</v>
      </c>
    </row>
    <row r="46" spans="1:42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>
        <f>'TR TUSD'!$L$46*'TR TUSD'!$L$80</f>
        <v>0</v>
      </c>
      <c r="M46" s="30">
        <f>'TR TUSD'!$M$46*'TR TUSD'!$M$80</f>
        <v>1.1909995636433146</v>
      </c>
      <c r="N46" s="30">
        <f ca="1">'TR TUSD'!$N$46*'TR TUSD'!$N$80</f>
        <v>3.9401295097598821</v>
      </c>
      <c r="O46" s="30">
        <f>'TR TUSD'!$O$46*'TR TUSD'!$O$80</f>
        <v>2.3954432862312944E-2</v>
      </c>
      <c r="P46" s="30">
        <f>'TR TUSD'!$P$46*'TR TUSD'!$P$80</f>
        <v>0</v>
      </c>
      <c r="Q46" s="30">
        <f>'TR TUSD'!$Q$46*'TR TUSD'!$Q$80</f>
        <v>0</v>
      </c>
      <c r="R46" s="30">
        <f>'TR TUSD'!$R$46*'TR TUSD'!$R$80</f>
        <v>0</v>
      </c>
      <c r="S46" s="30">
        <f>'TR TUSD'!$S$46*'TR TUSD'!$S$80</f>
        <v>0</v>
      </c>
      <c r="T46" s="30">
        <f ca="1">SUM($L$46:$S$46)</f>
        <v>5.1550835062655098</v>
      </c>
      <c r="U46" s="30">
        <f>'TR TUSD'!$U$46*'TR TUSD'!$U$80</f>
        <v>21.080547380580953</v>
      </c>
      <c r="V46" s="30">
        <f>'TR TUSD'!$V$46*'TR TUSD'!$V$80</f>
        <v>4.5188948799569824</v>
      </c>
      <c r="W46" s="30">
        <f>'TR TUSD'!$W$46*'TR TUSD'!$W$80</f>
        <v>4.5821528383721981</v>
      </c>
      <c r="X46" s="30">
        <f>'TR TUSD'!$X$46*'TR TUSD'!$X$80</f>
        <v>0</v>
      </c>
      <c r="Y46" s="30">
        <f>'TR TUSD'!$Y$46*'TR TUSD'!$Y$80</f>
        <v>0</v>
      </c>
      <c r="Z46" s="30">
        <f>'TR TUSD'!$Z$46</f>
        <v>0</v>
      </c>
      <c r="AA46" s="30">
        <f>'TR TUSD'!$AA$46</f>
        <v>0</v>
      </c>
      <c r="AB46" s="30">
        <f>SUM($U$46:$AA$46)</f>
        <v>30.181595098910133</v>
      </c>
      <c r="AC46" s="30">
        <f>'TR TUSD'!$AC$46*'TR TUSD'!$AC$80</f>
        <v>293.40406594895461</v>
      </c>
      <c r="AD46" s="30">
        <f>SUM($AC$46:$AC$46)</f>
        <v>293.40406594895461</v>
      </c>
      <c r="AE46" s="30">
        <v>0</v>
      </c>
      <c r="AF46" s="30">
        <v>0</v>
      </c>
      <c r="AG46" s="30">
        <f>SUM($AE$46:$AF$46)</f>
        <v>0</v>
      </c>
      <c r="AH46" s="30">
        <f>'TR TUSD'!$AH$46*'TR TUSD'!$AH$80</f>
        <v>27.08513188936757</v>
      </c>
      <c r="AI46" s="30">
        <f>'TR TUSD'!$AI$46*'TR TUSD'!$AI$80</f>
        <v>0.96432936718241835</v>
      </c>
      <c r="AJ46" s="30">
        <f ca="1">'TR TUSD'!$AJ$46*'TR TUSD'!$AJ$80</f>
        <v>8.0710610220913033</v>
      </c>
      <c r="AK46" s="30">
        <f ca="1">'TR TUSD'!$AK$46*'TR TUSD'!$AK$80</f>
        <v>0</v>
      </c>
      <c r="AL46" s="30">
        <f ca="1">SUM($AH$46:$AK$46)</f>
        <v>36.120522278641289</v>
      </c>
      <c r="AM46" s="30">
        <f ca="1">SUMIF($L$4:$AL$4,"SUBTOTAL",$L$46:$AL$46)</f>
        <v>364.86126683277155</v>
      </c>
      <c r="AP46" s="30">
        <f>IF((1 - CUSTOS!$M$24)&lt;&gt;0,1/(1 - CUSTOS!$M$24),1)</f>
        <v>1</v>
      </c>
    </row>
    <row r="47" spans="1:42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>
        <f>'TR TUSD'!$L$47*'TR TUSD'!$L$80</f>
        <v>0</v>
      </c>
      <c r="M47" s="30">
        <f>'TR TUSD'!$M$47*'TR TUSD'!$M$80</f>
        <v>1.1909995636433146</v>
      </c>
      <c r="N47" s="30">
        <f ca="1">'TR TUSD'!$N$47*'TR TUSD'!$N$80</f>
        <v>3.9401295097598821</v>
      </c>
      <c r="O47" s="30">
        <f>'TR TUSD'!$O$47*'TR TUSD'!$O$80</f>
        <v>2.3954432862312944E-2</v>
      </c>
      <c r="P47" s="30">
        <f>'TR TUSD'!$P$47*'TR TUSD'!$P$80</f>
        <v>0</v>
      </c>
      <c r="Q47" s="30">
        <f>'TR TUSD'!$Q$47*'TR TUSD'!$Q$80</f>
        <v>0</v>
      </c>
      <c r="R47" s="30">
        <f>'TR TUSD'!$R$47*'TR TUSD'!$R$80</f>
        <v>0</v>
      </c>
      <c r="S47" s="30">
        <f>'TR TUSD'!$S$47*'TR TUSD'!$S$80</f>
        <v>0</v>
      </c>
      <c r="T47" s="30">
        <f ca="1">SUM($L$47:$S$47)</f>
        <v>5.1550835062655098</v>
      </c>
      <c r="U47" s="30">
        <f>'TR TUSD'!$U$47*'TR TUSD'!$U$80</f>
        <v>21.080547380580953</v>
      </c>
      <c r="V47" s="30">
        <f>'TR TUSD'!$V$47*'TR TUSD'!$V$80</f>
        <v>4.5188948799569824</v>
      </c>
      <c r="W47" s="30">
        <f>'TR TUSD'!$W$47*'TR TUSD'!$W$80</f>
        <v>4.5821528383721981</v>
      </c>
      <c r="X47" s="30">
        <f>'TR TUSD'!$X$47*'TR TUSD'!$X$80</f>
        <v>0</v>
      </c>
      <c r="Y47" s="30">
        <f>'TR TUSD'!$Y$47*'TR TUSD'!$Y$80</f>
        <v>0</v>
      </c>
      <c r="Z47" s="30">
        <f>'TR TUSD'!$Z$47</f>
        <v>0</v>
      </c>
      <c r="AA47" s="30">
        <f>'TR TUSD'!$AA$47</f>
        <v>0</v>
      </c>
      <c r="AB47" s="30">
        <f>SUM($U$47:$AA$47)</f>
        <v>30.181595098910133</v>
      </c>
      <c r="AC47" s="30">
        <f>'TR TUSD'!$AC$47*'TR TUSD'!$AC$80</f>
        <v>293.40406594895461</v>
      </c>
      <c r="AD47" s="30">
        <f>SUM($AC$47:$AC$47)</f>
        <v>293.40406594895461</v>
      </c>
      <c r="AE47" s="30">
        <v>0</v>
      </c>
      <c r="AF47" s="30">
        <v>0</v>
      </c>
      <c r="AG47" s="30">
        <f>SUM($AE$47:$AF$47)</f>
        <v>0</v>
      </c>
      <c r="AH47" s="30">
        <f>'TR TUSD'!$AH$47*'TR TUSD'!$AH$80</f>
        <v>27.08513188936757</v>
      </c>
      <c r="AI47" s="30">
        <f>'TR TUSD'!$AI$47*'TR TUSD'!$AI$80</f>
        <v>0.96432936718241835</v>
      </c>
      <c r="AJ47" s="30">
        <f ca="1">'TR TUSD'!$AJ$47*'TR TUSD'!$AJ$80</f>
        <v>8.0710610220913033</v>
      </c>
      <c r="AK47" s="30">
        <f ca="1">'TR TUSD'!$AK$47*'TR TUSD'!$AK$80</f>
        <v>0</v>
      </c>
      <c r="AL47" s="30">
        <f ca="1">SUM($AH$47:$AK$47)</f>
        <v>36.120522278641289</v>
      </c>
      <c r="AM47" s="30">
        <f ca="1">SUMIF($L$4:$AL$4,"SUBTOTAL",$L$47:$AL$47)</f>
        <v>364.86126683277155</v>
      </c>
      <c r="AP47" s="30">
        <f>IF((1 - CUSTOS!$M$25)&lt;&gt;0,1/(1 - CUSTOS!$M$25),1)</f>
        <v>1</v>
      </c>
    </row>
    <row r="48" spans="1:42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>
        <f>'TR TUSD'!$L$48*'TR TUSD'!$L$80</f>
        <v>0</v>
      </c>
      <c r="M48" s="30">
        <f>'TR TUSD'!$M$48*'TR TUSD'!$M$80</f>
        <v>1.1909995636433146</v>
      </c>
      <c r="N48" s="30">
        <f ca="1">'TR TUSD'!$N$48*'TR TUSD'!$N$80</f>
        <v>3.9401295097598821</v>
      </c>
      <c r="O48" s="30">
        <f>'TR TUSD'!$O$48*'TR TUSD'!$O$80</f>
        <v>2.3954432862312944E-2</v>
      </c>
      <c r="P48" s="30">
        <f>'TR TUSD'!$P$48*'TR TUSD'!$P$80</f>
        <v>0</v>
      </c>
      <c r="Q48" s="30">
        <f>'TR TUSD'!$Q$48*'TR TUSD'!$Q$80</f>
        <v>0</v>
      </c>
      <c r="R48" s="30">
        <f>'TR TUSD'!$R$48*'TR TUSD'!$R$80</f>
        <v>0</v>
      </c>
      <c r="S48" s="30">
        <f>'TR TUSD'!$S$48*'TR TUSD'!$S$80</f>
        <v>0</v>
      </c>
      <c r="T48" s="30">
        <f ca="1">SUM($L$48:$S$48)</f>
        <v>5.1550835062655098</v>
      </c>
      <c r="U48" s="30">
        <f>'TR TUSD'!$U$48*'TR TUSD'!$U$80</f>
        <v>21.080547380580953</v>
      </c>
      <c r="V48" s="30">
        <f>'TR TUSD'!$V$48*'TR TUSD'!$V$80</f>
        <v>4.5188948799569824</v>
      </c>
      <c r="W48" s="30">
        <f>'TR TUSD'!$W$48*'TR TUSD'!$W$80</f>
        <v>4.5821528383721981</v>
      </c>
      <c r="X48" s="30">
        <f>'TR TUSD'!$X$48*'TR TUSD'!$X$80</f>
        <v>0</v>
      </c>
      <c r="Y48" s="30">
        <f>'TR TUSD'!$Y$48*'TR TUSD'!$Y$80</f>
        <v>0</v>
      </c>
      <c r="Z48" s="30">
        <f>'TR TUSD'!$Z$48</f>
        <v>0</v>
      </c>
      <c r="AA48" s="30">
        <f>'TR TUSD'!$AA$48</f>
        <v>0</v>
      </c>
      <c r="AB48" s="30">
        <f>SUM($U$48:$AA$48)</f>
        <v>30.181595098910133</v>
      </c>
      <c r="AC48" s="30">
        <f>'TR TUSD'!$AC$48*'TR TUSD'!$AC$80</f>
        <v>293.40406594895461</v>
      </c>
      <c r="AD48" s="30">
        <f>SUM($AC$48:$AC$48)</f>
        <v>293.40406594895461</v>
      </c>
      <c r="AE48" s="30">
        <v>0</v>
      </c>
      <c r="AF48" s="30">
        <v>0</v>
      </c>
      <c r="AG48" s="30">
        <f>SUM($AE$48:$AF$48)</f>
        <v>0</v>
      </c>
      <c r="AH48" s="30">
        <f>'TR TUSD'!$AH$48*'TR TUSD'!$AH$80</f>
        <v>27.08513188936757</v>
      </c>
      <c r="AI48" s="30">
        <f>'TR TUSD'!$AI$48*'TR TUSD'!$AI$80</f>
        <v>0.96432936718241835</v>
      </c>
      <c r="AJ48" s="30">
        <f ca="1">'TR TUSD'!$AJ$48*'TR TUSD'!$AJ$80</f>
        <v>8.0710610220913033</v>
      </c>
      <c r="AK48" s="30">
        <f ca="1">'TR TUSD'!$AK$48*'TR TUSD'!$AK$80</f>
        <v>0</v>
      </c>
      <c r="AL48" s="30">
        <f ca="1">SUM($AH$48:$AK$48)</f>
        <v>36.120522278641289</v>
      </c>
      <c r="AM48" s="30">
        <f ca="1">SUMIF($L$4:$AL$4,"SUBTOTAL",$L$48:$AL$48)</f>
        <v>364.86126683277155</v>
      </c>
      <c r="AP48" s="30">
        <f>IF((1 - CUSTOS!$M$26)&lt;&gt;0,1/(1 - CUSTOS!$M$26),1)</f>
        <v>1</v>
      </c>
    </row>
    <row r="49" spans="1:42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>
        <f>'TR TUSD'!$L$49*'TR TUSD'!$L$80</f>
        <v>0</v>
      </c>
      <c r="M49" s="30">
        <f>'TR TUSD'!$M$49*'TR TUSD'!$M$80</f>
        <v>1.1909995636433146</v>
      </c>
      <c r="N49" s="30">
        <f ca="1">'TR TUSD'!$N$49*'TR TUSD'!$N$80</f>
        <v>3.9401295097598821</v>
      </c>
      <c r="O49" s="30">
        <f>'TR TUSD'!$O$49*'TR TUSD'!$O$80</f>
        <v>2.3954432862312944E-2</v>
      </c>
      <c r="P49" s="30">
        <f>'TR TUSD'!$P$49*'TR TUSD'!$P$80</f>
        <v>0</v>
      </c>
      <c r="Q49" s="30">
        <f>'TR TUSD'!$Q$49*'TR TUSD'!$Q$80</f>
        <v>0</v>
      </c>
      <c r="R49" s="30">
        <f>'TR TUSD'!$R$49*'TR TUSD'!$R$80</f>
        <v>0</v>
      </c>
      <c r="S49" s="30">
        <f>'TR TUSD'!$S$49*'TR TUSD'!$S$80</f>
        <v>0</v>
      </c>
      <c r="T49" s="30">
        <f ca="1">SUM($L$49:$S$49)</f>
        <v>5.1550835062655098</v>
      </c>
      <c r="U49" s="30">
        <f>'TR TUSD'!$U$49*'TR TUSD'!$U$80</f>
        <v>21.080547380580953</v>
      </c>
      <c r="V49" s="30">
        <f>'TR TUSD'!$V$49*'TR TUSD'!$V$80</f>
        <v>4.5188948799569824</v>
      </c>
      <c r="W49" s="30">
        <f>'TR TUSD'!$W$49*'TR TUSD'!$W$80</f>
        <v>4.5821528383721981</v>
      </c>
      <c r="X49" s="30">
        <f>'TR TUSD'!$X$49*'TR TUSD'!$X$80</f>
        <v>0</v>
      </c>
      <c r="Y49" s="30">
        <f>'TR TUSD'!$Y$49*'TR TUSD'!$Y$80</f>
        <v>0</v>
      </c>
      <c r="Z49" s="30">
        <f>'TR TUSD'!$Z$49</f>
        <v>0</v>
      </c>
      <c r="AA49" s="30">
        <f>'TR TUSD'!$AA$49</f>
        <v>0</v>
      </c>
      <c r="AB49" s="30">
        <f>SUM($U$49:$AA$49)</f>
        <v>30.181595098910133</v>
      </c>
      <c r="AC49" s="30">
        <f>'TR TUSD'!$AC$49*'TR TUSD'!$AC$80</f>
        <v>293.40406594895461</v>
      </c>
      <c r="AD49" s="30">
        <f>SUM($AC$49:$AC$49)</f>
        <v>293.40406594895461</v>
      </c>
      <c r="AE49" s="30">
        <v>0</v>
      </c>
      <c r="AF49" s="30">
        <v>0</v>
      </c>
      <c r="AG49" s="30">
        <f>SUM($AE$49:$AF$49)</f>
        <v>0</v>
      </c>
      <c r="AH49" s="30">
        <f>'TR TUSD'!$AH$49*'TR TUSD'!$AH$80</f>
        <v>27.08513188936757</v>
      </c>
      <c r="AI49" s="30">
        <f>'TR TUSD'!$AI$49*'TR TUSD'!$AI$80</f>
        <v>0.96432936718241835</v>
      </c>
      <c r="AJ49" s="30">
        <f ca="1">'TR TUSD'!$AJ$49*'TR TUSD'!$AJ$80</f>
        <v>8.0710610220913033</v>
      </c>
      <c r="AK49" s="30">
        <f ca="1">'TR TUSD'!$AK$49*'TR TUSD'!$AK$80</f>
        <v>0</v>
      </c>
      <c r="AL49" s="30">
        <f ca="1">SUM($AH$49:$AK$49)</f>
        <v>36.120522278641289</v>
      </c>
      <c r="AM49" s="30">
        <f ca="1">SUMIF($L$4:$AL$4,"SUBTOTAL",$L$49:$AL$49)</f>
        <v>364.86126683277155</v>
      </c>
      <c r="AP49" s="30">
        <f>IF((1 - CUSTOS!$M$27)&lt;&gt;0,1/(1 - CUSTOS!$M$27),1)</f>
        <v>1</v>
      </c>
    </row>
    <row r="50" spans="1:42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>
        <f>'TR TUSD'!$L$50*'TR TUSD'!$L$80</f>
        <v>4.1814828161424202</v>
      </c>
      <c r="M50" s="30">
        <f>'TR TUSD'!$M$50*'TR TUSD'!$M$80</f>
        <v>1.1909995636433146</v>
      </c>
      <c r="N50" s="30">
        <f ca="1">'TR TUSD'!$N$50*'TR TUSD'!$N$80</f>
        <v>9.9821893538170841</v>
      </c>
      <c r="O50" s="30">
        <f>'TR TUSD'!$O$50*'TR TUSD'!$O$80</f>
        <v>2.3954432862312944E-2</v>
      </c>
      <c r="P50" s="30">
        <f>'TR TUSD'!$P$50*'TR TUSD'!$P$80</f>
        <v>0</v>
      </c>
      <c r="Q50" s="30">
        <f>'TR TUSD'!$Q$50*'TR TUSD'!$Q$80</f>
        <v>36.787060352326115</v>
      </c>
      <c r="R50" s="30">
        <f>'TR TUSD'!$R$50*'TR TUSD'!$R$80</f>
        <v>14.668516006400978</v>
      </c>
      <c r="S50" s="30">
        <f>'TR TUSD'!$S$50*'TR TUSD'!$S$80</f>
        <v>0</v>
      </c>
      <c r="T50" s="30">
        <f ca="1">SUM($L$50:$S$50)</f>
        <v>66.834202525192225</v>
      </c>
      <c r="U50" s="30">
        <f>'TR TUSD'!$U$50*'TR TUSD'!$U$80</f>
        <v>63.241642141742851</v>
      </c>
      <c r="V50" s="30">
        <f>'TR TUSD'!$V$50*'TR TUSD'!$V$80</f>
        <v>13.556684639870946</v>
      </c>
      <c r="W50" s="30">
        <f>'TR TUSD'!$W$50*'TR TUSD'!$W$80</f>
        <v>13.746300781800301</v>
      </c>
      <c r="X50" s="30">
        <f>'TR TUSD'!$X$50*'TR TUSD'!$X$80</f>
        <v>0</v>
      </c>
      <c r="Y50" s="30">
        <f>'TR TUSD'!$Y$50*'TR TUSD'!$Y$80</f>
        <v>0</v>
      </c>
      <c r="Z50" s="30">
        <f>'TR TUSD'!$Z$50</f>
        <v>0</v>
      </c>
      <c r="AA50" s="30">
        <f>'TR TUSD'!$AA$50</f>
        <v>0</v>
      </c>
      <c r="AB50" s="30">
        <f>SUM($U$50:$AA$50)</f>
        <v>90.544627563414096</v>
      </c>
      <c r="AC50" s="30">
        <f>'TR TUSD'!$AC$50*'TR TUSD'!$AC$80</f>
        <v>880.21203341127466</v>
      </c>
      <c r="AD50" s="30">
        <f>SUM($AC$50:$AC$50)</f>
        <v>880.21203341127466</v>
      </c>
      <c r="AE50" s="30">
        <v>0</v>
      </c>
      <c r="AF50" s="30">
        <v>0</v>
      </c>
      <c r="AG50" s="30">
        <f>SUM($AE$50:$AF$50)</f>
        <v>0</v>
      </c>
      <c r="AH50" s="30">
        <f>'TR TUSD'!$AH$50*'TR TUSD'!$AH$80</f>
        <v>27.08513188936757</v>
      </c>
      <c r="AI50" s="30">
        <f>'TR TUSD'!$AI$50*'TR TUSD'!$AI$80</f>
        <v>0.96432936718241835</v>
      </c>
      <c r="AJ50" s="30">
        <f ca="1">'TR TUSD'!$AJ$50*'TR TUSD'!$AJ$80</f>
        <v>8.0710610220913033</v>
      </c>
      <c r="AK50" s="30">
        <f ca="1">'TR TUSD'!$AK$50*'TR TUSD'!$AK$80</f>
        <v>0</v>
      </c>
      <c r="AL50" s="30">
        <f ca="1">SUM($AH$50:$AK$50)</f>
        <v>36.120522278641289</v>
      </c>
      <c r="AM50" s="30">
        <f ca="1">SUMIF($L$4:$AL$4,"SUBTOTAL",$L$50:$AL$50)</f>
        <v>1073.7113857785223</v>
      </c>
      <c r="AP50" s="30">
        <f>IF((1 - CUSTOS!$M$28)&lt;&gt;0,1/(1 - CUSTOS!$M$28),1)</f>
        <v>1</v>
      </c>
    </row>
    <row r="51" spans="1:42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>
        <f>'TR TUSD'!$L$51*'TR TUSD'!$L$80</f>
        <v>4.1814828161424202</v>
      </c>
      <c r="M51" s="30">
        <f>'TR TUSD'!$M$51*'TR TUSD'!$M$80</f>
        <v>1.1909995636433146</v>
      </c>
      <c r="N51" s="30">
        <f ca="1">'TR TUSD'!$N$51*'TR TUSD'!$N$80</f>
        <v>6.3658691991874301</v>
      </c>
      <c r="O51" s="30">
        <f>'TR TUSD'!$O$51*'TR TUSD'!$O$80</f>
        <v>2.3954432862312944E-2</v>
      </c>
      <c r="P51" s="30">
        <f>'TR TUSD'!$P$51*'TR TUSD'!$P$80</f>
        <v>0</v>
      </c>
      <c r="Q51" s="30">
        <f>'TR TUSD'!$Q$51*'TR TUSD'!$Q$80</f>
        <v>36.787060352326115</v>
      </c>
      <c r="R51" s="30">
        <f>'TR TUSD'!$R$51*'TR TUSD'!$R$80</f>
        <v>14.668516006400978</v>
      </c>
      <c r="S51" s="30">
        <f>'TR TUSD'!$S$51*'TR TUSD'!$S$80</f>
        <v>0</v>
      </c>
      <c r="T51" s="30">
        <f ca="1">SUM($L$51:$S$51)</f>
        <v>63.21788237056257</v>
      </c>
      <c r="U51" s="30">
        <f>'TR TUSD'!$U$51*'TR TUSD'!$U$80</f>
        <v>37.945033660721684</v>
      </c>
      <c r="V51" s="30">
        <f>'TR TUSD'!$V$51*'TR TUSD'!$V$80</f>
        <v>8.1339885911375767</v>
      </c>
      <c r="W51" s="30">
        <f>'TR TUSD'!$W$51*'TR TUSD'!$W$80</f>
        <v>8.2478751090699571</v>
      </c>
      <c r="X51" s="30">
        <f>'TR TUSD'!$X$51*'TR TUSD'!$X$80</f>
        <v>0</v>
      </c>
      <c r="Y51" s="30">
        <f>'TR TUSD'!$Y$51*'TR TUSD'!$Y$80</f>
        <v>0</v>
      </c>
      <c r="Z51" s="30">
        <f>'TR TUSD'!$Z$51</f>
        <v>0</v>
      </c>
      <c r="AA51" s="30">
        <f>'TR TUSD'!$AA$51</f>
        <v>0</v>
      </c>
      <c r="AB51" s="30">
        <f>SUM($U$51:$AA$51)</f>
        <v>54.326897360929216</v>
      </c>
      <c r="AC51" s="30">
        <f>'TR TUSD'!$AC$51*'TR TUSD'!$AC$80</f>
        <v>528.1273187081182</v>
      </c>
      <c r="AD51" s="30">
        <f>SUM($AC$51:$AC$51)</f>
        <v>528.1273187081182</v>
      </c>
      <c r="AE51" s="30">
        <v>0</v>
      </c>
      <c r="AF51" s="30">
        <v>0</v>
      </c>
      <c r="AG51" s="30">
        <f>SUM($AE$51:$AF$51)</f>
        <v>0</v>
      </c>
      <c r="AH51" s="30">
        <f>'TR TUSD'!$AH$51*'TR TUSD'!$AH$80</f>
        <v>27.08513188936757</v>
      </c>
      <c r="AI51" s="30">
        <f>'TR TUSD'!$AI$51*'TR TUSD'!$AI$80</f>
        <v>0.96432936718241835</v>
      </c>
      <c r="AJ51" s="30">
        <f ca="1">'TR TUSD'!$AJ$51*'TR TUSD'!$AJ$80</f>
        <v>8.0710610220913033</v>
      </c>
      <c r="AK51" s="30">
        <f ca="1">'TR TUSD'!$AK$51*'TR TUSD'!$AK$80</f>
        <v>0</v>
      </c>
      <c r="AL51" s="30">
        <f ca="1">SUM($AH$51:$AK$51)</f>
        <v>36.120522278641289</v>
      </c>
      <c r="AM51" s="30">
        <f ca="1">SUMIF($L$4:$AL$4,"SUBTOTAL",$L$51:$AL$51)</f>
        <v>681.79262071825121</v>
      </c>
      <c r="AP51" s="30">
        <f>IF((1 - CUSTOS!$M$28)&lt;&gt;0,1/(1 - CUSTOS!$M$28),1)</f>
        <v>1</v>
      </c>
    </row>
    <row r="52" spans="1:42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>
        <f>'TR TUSD'!$L$52*'TR TUSD'!$L$80</f>
        <v>4.1814828161424202</v>
      </c>
      <c r="M52" s="30">
        <f>'TR TUSD'!$M$52*'TR TUSD'!$M$80</f>
        <v>1.1909995636433146</v>
      </c>
      <c r="N52" s="30">
        <f ca="1">'TR TUSD'!$N$52*'TR TUSD'!$N$80</f>
        <v>2.7495445874247308</v>
      </c>
      <c r="O52" s="30">
        <f>'TR TUSD'!$O$52*'TR TUSD'!$O$80</f>
        <v>2.3954432862312944E-2</v>
      </c>
      <c r="P52" s="30">
        <f>'TR TUSD'!$P$52*'TR TUSD'!$P$80</f>
        <v>0</v>
      </c>
      <c r="Q52" s="30">
        <f>'TR TUSD'!$Q$52*'TR TUSD'!$Q$80</f>
        <v>36.787060352326115</v>
      </c>
      <c r="R52" s="30">
        <f>'TR TUSD'!$R$52*'TR TUSD'!$R$80</f>
        <v>14.668516006400978</v>
      </c>
      <c r="S52" s="30">
        <f>'TR TUSD'!$S$52*'TR TUSD'!$S$80</f>
        <v>0</v>
      </c>
      <c r="T52" s="30">
        <f ca="1">SUM($L$52:$S$52)</f>
        <v>59.601557758799871</v>
      </c>
      <c r="U52" s="30">
        <f>'TR TUSD'!$U$52*'TR TUSD'!$U$80</f>
        <v>12.648304240510582</v>
      </c>
      <c r="V52" s="30">
        <f>'TR TUSD'!$V$52*'TR TUSD'!$V$80</f>
        <v>2.7112925424042063</v>
      </c>
      <c r="W52" s="30">
        <f>'TR TUSD'!$W$52*'TR TUSD'!$W$80</f>
        <v>2.7492917030233195</v>
      </c>
      <c r="X52" s="30">
        <f>'TR TUSD'!$X$52*'TR TUSD'!$X$80</f>
        <v>0</v>
      </c>
      <c r="Y52" s="30">
        <f>'TR TUSD'!$Y$52*'TR TUSD'!$Y$80</f>
        <v>0</v>
      </c>
      <c r="Z52" s="30">
        <f>'TR TUSD'!$Z$52</f>
        <v>0</v>
      </c>
      <c r="AA52" s="30">
        <f>'TR TUSD'!$AA$52</f>
        <v>0</v>
      </c>
      <c r="AB52" s="30">
        <f>SUM($U$52:$AA$52)</f>
        <v>18.10888848593811</v>
      </c>
      <c r="AC52" s="30">
        <f>'TR TUSD'!$AC$52*'TR TUSD'!$AC$80</f>
        <v>176.04243956937273</v>
      </c>
      <c r="AD52" s="30">
        <f>SUM($AC$52:$AC$52)</f>
        <v>176.04243956937273</v>
      </c>
      <c r="AE52" s="30">
        <v>0</v>
      </c>
      <c r="AF52" s="30">
        <v>0</v>
      </c>
      <c r="AG52" s="30">
        <f>SUM($AE$52:$AF$52)</f>
        <v>0</v>
      </c>
      <c r="AH52" s="30">
        <f>'TR TUSD'!$AH$52*'TR TUSD'!$AH$80</f>
        <v>27.08513188936757</v>
      </c>
      <c r="AI52" s="30">
        <f>'TR TUSD'!$AI$52*'TR TUSD'!$AI$80</f>
        <v>0.96432936718241835</v>
      </c>
      <c r="AJ52" s="30">
        <f ca="1">'TR TUSD'!$AJ$52*'TR TUSD'!$AJ$80</f>
        <v>8.0710610220913033</v>
      </c>
      <c r="AK52" s="30">
        <f ca="1">'TR TUSD'!$AK$52*'TR TUSD'!$AK$80</f>
        <v>0</v>
      </c>
      <c r="AL52" s="30">
        <f ca="1">SUM($AH$52:$AK$52)</f>
        <v>36.120522278641289</v>
      </c>
      <c r="AM52" s="30">
        <f ca="1">SUMIF($L$4:$AL$4,"SUBTOTAL",$L$52:$AL$52)</f>
        <v>289.87340809275202</v>
      </c>
      <c r="AP52" s="30">
        <f>IF((1 - CUSTOS!$M$28)&lt;&gt;0,1/(1 - CUSTOS!$M$28),1)</f>
        <v>1</v>
      </c>
    </row>
    <row r="53" spans="1:42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>
        <f>'TR TUSD'!$L$53*'TR TUSD'!$L$80</f>
        <v>4.1814828161424202</v>
      </c>
      <c r="M53" s="30">
        <f>'TR TUSD'!$M$53*'TR TUSD'!$M$80</f>
        <v>1.1909995636433146</v>
      </c>
      <c r="N53" s="30">
        <f ca="1">'TR TUSD'!$N$53*'TR TUSD'!$N$80</f>
        <v>3.9549866199159696</v>
      </c>
      <c r="O53" s="30">
        <f>'TR TUSD'!$O$53*'TR TUSD'!$O$80</f>
        <v>2.3954432862312944E-2</v>
      </c>
      <c r="P53" s="30">
        <f>'TR TUSD'!$P$53*'TR TUSD'!$P$80</f>
        <v>0</v>
      </c>
      <c r="Q53" s="30">
        <f>'TR TUSD'!$Q$53*'TR TUSD'!$Q$80</f>
        <v>36.787060352326115</v>
      </c>
      <c r="R53" s="30">
        <f>'TR TUSD'!$R$53*'TR TUSD'!$R$80</f>
        <v>14.668516006400978</v>
      </c>
      <c r="S53" s="30">
        <f>'TR TUSD'!$S$53*'TR TUSD'!$S$80</f>
        <v>0</v>
      </c>
      <c r="T53" s="30">
        <f ca="1">SUM($L$53:$S$53)</f>
        <v>60.806999791291112</v>
      </c>
      <c r="U53" s="30">
        <f>'TR TUSD'!$U$53*'TR TUSD'!$U$80</f>
        <v>21.080547380580953</v>
      </c>
      <c r="V53" s="30">
        <f>'TR TUSD'!$V$53*'TR TUSD'!$V$80</f>
        <v>4.5188948799569824</v>
      </c>
      <c r="W53" s="30">
        <f>'TR TUSD'!$W$53*'TR TUSD'!$W$80</f>
        <v>4.5821528383721981</v>
      </c>
      <c r="X53" s="30">
        <f>'TR TUSD'!$X$53*'TR TUSD'!$X$80</f>
        <v>0</v>
      </c>
      <c r="Y53" s="30">
        <f>'TR TUSD'!$Y$53*'TR TUSD'!$Y$80</f>
        <v>0</v>
      </c>
      <c r="Z53" s="30">
        <f>'TR TUSD'!$Z$53</f>
        <v>0</v>
      </c>
      <c r="AA53" s="30">
        <f>'TR TUSD'!$AA$53</f>
        <v>0</v>
      </c>
      <c r="AB53" s="30">
        <f>SUM($U$53:$AA$53)</f>
        <v>30.181595098910133</v>
      </c>
      <c r="AC53" s="30">
        <f>'TR TUSD'!$AC$53*'TR TUSD'!$AC$80</f>
        <v>293.40406594895461</v>
      </c>
      <c r="AD53" s="30">
        <f>SUM($AC$53:$AC$53)</f>
        <v>293.40406594895461</v>
      </c>
      <c r="AE53" s="30">
        <v>0</v>
      </c>
      <c r="AF53" s="30">
        <v>0</v>
      </c>
      <c r="AG53" s="30">
        <f>SUM($AE$53:$AF$53)</f>
        <v>0</v>
      </c>
      <c r="AH53" s="30">
        <f>'TR TUSD'!$AH$53*'TR TUSD'!$AH$80</f>
        <v>27.08513188936757</v>
      </c>
      <c r="AI53" s="30">
        <f>'TR TUSD'!$AI$53*'TR TUSD'!$AI$80</f>
        <v>0.96432936718241835</v>
      </c>
      <c r="AJ53" s="30">
        <f ca="1">'TR TUSD'!$AJ$53*'TR TUSD'!$AJ$80</f>
        <v>8.0710610220913033</v>
      </c>
      <c r="AK53" s="30">
        <f ca="1">'TR TUSD'!$AK$53*'TR TUSD'!$AK$80</f>
        <v>0</v>
      </c>
      <c r="AL53" s="30">
        <f ca="1">SUM($AH$53:$AK$53)</f>
        <v>36.120522278641289</v>
      </c>
      <c r="AM53" s="30">
        <f ca="1">SUMIF($L$4:$AL$4,"SUBTOTAL",$L$53:$AL$53)</f>
        <v>420.5131831177971</v>
      </c>
      <c r="AP53" s="30">
        <f>IF((1 - CUSTOS!$M$28)&lt;&gt;0,1/(1 - CUSTOS!$M$28),1)</f>
        <v>1</v>
      </c>
    </row>
    <row r="54" spans="1:42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>
        <f>'TR TUSD'!$L$54*'TR TUSD'!$L$80</f>
        <v>4.1814828161424202</v>
      </c>
      <c r="M54" s="30">
        <f>'TR TUSD'!$M$54*'TR TUSD'!$M$80</f>
        <v>1.1909995636433146</v>
      </c>
      <c r="N54" s="30">
        <f ca="1">'TR TUSD'!$N$54*'TR TUSD'!$N$80</f>
        <v>9.9821893538170841</v>
      </c>
      <c r="O54" s="30">
        <f>'TR TUSD'!$O$54*'TR TUSD'!$O$80</f>
        <v>2.3954432862312944E-2</v>
      </c>
      <c r="P54" s="30">
        <f>'TR TUSD'!$P$54*'TR TUSD'!$P$80</f>
        <v>0</v>
      </c>
      <c r="Q54" s="30">
        <f>'TR TUSD'!$Q$54*'TR TUSD'!$Q$80</f>
        <v>36.787060352326115</v>
      </c>
      <c r="R54" s="30">
        <f>'TR TUSD'!$R$54*'TR TUSD'!$R$80</f>
        <v>14.668516006400978</v>
      </c>
      <c r="S54" s="30">
        <f>'TR TUSD'!$S$54*'TR TUSD'!$S$80</f>
        <v>0</v>
      </c>
      <c r="T54" s="30">
        <f ca="1">SUM($L$54:$S$54)</f>
        <v>66.834202525192225</v>
      </c>
      <c r="U54" s="30">
        <f>'TR TUSD'!$U$54*'TR TUSD'!$U$80</f>
        <v>63.241642141742851</v>
      </c>
      <c r="V54" s="30">
        <f>'TR TUSD'!$V$54*'TR TUSD'!$V$80</f>
        <v>13.556684639870946</v>
      </c>
      <c r="W54" s="30">
        <f>'TR TUSD'!$W$54*'TR TUSD'!$W$80</f>
        <v>13.746300781800301</v>
      </c>
      <c r="X54" s="30">
        <f>'TR TUSD'!$X$54*'TR TUSD'!$X$80</f>
        <v>0</v>
      </c>
      <c r="Y54" s="30">
        <f>'TR TUSD'!$Y$54*'TR TUSD'!$Y$80</f>
        <v>0</v>
      </c>
      <c r="Z54" s="30">
        <f>'TR TUSD'!$Z$54</f>
        <v>0</v>
      </c>
      <c r="AA54" s="30">
        <f>'TR TUSD'!$AA$54</f>
        <v>0</v>
      </c>
      <c r="AB54" s="30">
        <f>SUM($U$54:$AA$54)</f>
        <v>90.544627563414096</v>
      </c>
      <c r="AC54" s="30">
        <f>'TR TUSD'!$AC$54*'TR TUSD'!$AC$80</f>
        <v>880.21203341127466</v>
      </c>
      <c r="AD54" s="30">
        <f>SUM($AC$54:$AC$54)</f>
        <v>880.21203341127466</v>
      </c>
      <c r="AE54" s="30">
        <v>0</v>
      </c>
      <c r="AF54" s="30">
        <v>0</v>
      </c>
      <c r="AG54" s="30">
        <f>SUM($AE$54:$AF$54)</f>
        <v>0</v>
      </c>
      <c r="AH54" s="30">
        <f>'TR TUSD'!$AH$54*'TR TUSD'!$AH$80</f>
        <v>27.08513188936757</v>
      </c>
      <c r="AI54" s="30">
        <f>'TR TUSD'!$AI$54*'TR TUSD'!$AI$80</f>
        <v>0.96432936718241835</v>
      </c>
      <c r="AJ54" s="30">
        <f ca="1">'TR TUSD'!$AJ$54*'TR TUSD'!$AJ$80</f>
        <v>8.0710610220913033</v>
      </c>
      <c r="AK54" s="30">
        <f ca="1">'TR TUSD'!$AK$54*'TR TUSD'!$AK$80</f>
        <v>0</v>
      </c>
      <c r="AL54" s="30">
        <f ca="1">SUM($AH$54:$AK$54)</f>
        <v>36.120522278641289</v>
      </c>
      <c r="AM54" s="30">
        <f ca="1">SUMIF($L$4:$AL$4,"SUBTOTAL",$L$54:$AL$54)</f>
        <v>1073.7113857785223</v>
      </c>
      <c r="AP54" s="30">
        <f>IF((1 - CUSTOS!$M$29)&lt;&gt;0,1/(1 - CUSTOS!$M$29),1)</f>
        <v>1</v>
      </c>
    </row>
    <row r="55" spans="1:42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>
        <f>'TR TUSD'!$L$55*'TR TUSD'!$L$80</f>
        <v>4.1814828161424202</v>
      </c>
      <c r="M55" s="30">
        <f>'TR TUSD'!$M$55*'TR TUSD'!$M$80</f>
        <v>1.1909995636433146</v>
      </c>
      <c r="N55" s="30">
        <f ca="1">'TR TUSD'!$N$55*'TR TUSD'!$N$80</f>
        <v>6.3658691991874301</v>
      </c>
      <c r="O55" s="30">
        <f>'TR TUSD'!$O$55*'TR TUSD'!$O$80</f>
        <v>2.3954432862312944E-2</v>
      </c>
      <c r="P55" s="30">
        <f>'TR TUSD'!$P$55*'TR TUSD'!$P$80</f>
        <v>0</v>
      </c>
      <c r="Q55" s="30">
        <f>'TR TUSD'!$Q$55*'TR TUSD'!$Q$80</f>
        <v>36.787060352326115</v>
      </c>
      <c r="R55" s="30">
        <f>'TR TUSD'!$R$55*'TR TUSD'!$R$80</f>
        <v>14.668516006400978</v>
      </c>
      <c r="S55" s="30">
        <f>'TR TUSD'!$S$55*'TR TUSD'!$S$80</f>
        <v>0</v>
      </c>
      <c r="T55" s="30">
        <f ca="1">SUM($L$55:$S$55)</f>
        <v>63.21788237056257</v>
      </c>
      <c r="U55" s="30">
        <f>'TR TUSD'!$U$55*'TR TUSD'!$U$80</f>
        <v>37.945033660721684</v>
      </c>
      <c r="V55" s="30">
        <f>'TR TUSD'!$V$55*'TR TUSD'!$V$80</f>
        <v>8.1339885911375767</v>
      </c>
      <c r="W55" s="30">
        <f>'TR TUSD'!$W$55*'TR TUSD'!$W$80</f>
        <v>8.2478751090699571</v>
      </c>
      <c r="X55" s="30">
        <f>'TR TUSD'!$X$55*'TR TUSD'!$X$80</f>
        <v>0</v>
      </c>
      <c r="Y55" s="30">
        <f>'TR TUSD'!$Y$55*'TR TUSD'!$Y$80</f>
        <v>0</v>
      </c>
      <c r="Z55" s="30">
        <f>'TR TUSD'!$Z$55</f>
        <v>0</v>
      </c>
      <c r="AA55" s="30">
        <f>'TR TUSD'!$AA$55</f>
        <v>0</v>
      </c>
      <c r="AB55" s="30">
        <f>SUM($U$55:$AA$55)</f>
        <v>54.326897360929216</v>
      </c>
      <c r="AC55" s="30">
        <f>'TR TUSD'!$AC$55*'TR TUSD'!$AC$80</f>
        <v>528.1273187081182</v>
      </c>
      <c r="AD55" s="30">
        <f>SUM($AC$55:$AC$55)</f>
        <v>528.1273187081182</v>
      </c>
      <c r="AE55" s="30">
        <v>0</v>
      </c>
      <c r="AF55" s="30">
        <v>0</v>
      </c>
      <c r="AG55" s="30">
        <f>SUM($AE$55:$AF$55)</f>
        <v>0</v>
      </c>
      <c r="AH55" s="30">
        <f>'TR TUSD'!$AH$55*'TR TUSD'!$AH$80</f>
        <v>27.08513188936757</v>
      </c>
      <c r="AI55" s="30">
        <f>'TR TUSD'!$AI$55*'TR TUSD'!$AI$80</f>
        <v>0.96432936718241835</v>
      </c>
      <c r="AJ55" s="30">
        <f ca="1">'TR TUSD'!$AJ$55*'TR TUSD'!$AJ$80</f>
        <v>8.0710610220913033</v>
      </c>
      <c r="AK55" s="30">
        <f ca="1">'TR TUSD'!$AK$55*'TR TUSD'!$AK$80</f>
        <v>0</v>
      </c>
      <c r="AL55" s="30">
        <f ca="1">SUM($AH$55:$AK$55)</f>
        <v>36.120522278641289</v>
      </c>
      <c r="AM55" s="30">
        <f ca="1">SUMIF($L$4:$AL$4,"SUBTOTAL",$L$55:$AL$55)</f>
        <v>681.79262071825121</v>
      </c>
      <c r="AP55" s="30">
        <f>IF((1 - CUSTOS!$M$29)&lt;&gt;0,1/(1 - CUSTOS!$M$29),1)</f>
        <v>1</v>
      </c>
    </row>
    <row r="56" spans="1:42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>
        <f>'TR TUSD'!$L$56*'TR TUSD'!$L$80</f>
        <v>4.1814828161424202</v>
      </c>
      <c r="M56" s="30">
        <f>'TR TUSD'!$M$56*'TR TUSD'!$M$80</f>
        <v>1.1909995636433146</v>
      </c>
      <c r="N56" s="30">
        <f ca="1">'TR TUSD'!$N$56*'TR TUSD'!$N$80</f>
        <v>2.7495445874247308</v>
      </c>
      <c r="O56" s="30">
        <f>'TR TUSD'!$O$56*'TR TUSD'!$O$80</f>
        <v>2.3954432862312944E-2</v>
      </c>
      <c r="P56" s="30">
        <f>'TR TUSD'!$P$56*'TR TUSD'!$P$80</f>
        <v>0</v>
      </c>
      <c r="Q56" s="30">
        <f>'TR TUSD'!$Q$56*'TR TUSD'!$Q$80</f>
        <v>36.787060352326115</v>
      </c>
      <c r="R56" s="30">
        <f>'TR TUSD'!$R$56*'TR TUSD'!$R$80</f>
        <v>14.668516006400978</v>
      </c>
      <c r="S56" s="30">
        <f>'TR TUSD'!$S$56*'TR TUSD'!$S$80</f>
        <v>0</v>
      </c>
      <c r="T56" s="30">
        <f ca="1">SUM($L$56:$S$56)</f>
        <v>59.601557758799871</v>
      </c>
      <c r="U56" s="30">
        <f>'TR TUSD'!$U$56*'TR TUSD'!$U$80</f>
        <v>12.648304240510582</v>
      </c>
      <c r="V56" s="30">
        <f>'TR TUSD'!$V$56*'TR TUSD'!$V$80</f>
        <v>2.7112925424042063</v>
      </c>
      <c r="W56" s="30">
        <f>'TR TUSD'!$W$56*'TR TUSD'!$W$80</f>
        <v>2.7492917030233195</v>
      </c>
      <c r="X56" s="30">
        <f>'TR TUSD'!$X$56*'TR TUSD'!$X$80</f>
        <v>0</v>
      </c>
      <c r="Y56" s="30">
        <f>'TR TUSD'!$Y$56*'TR TUSD'!$Y$80</f>
        <v>0</v>
      </c>
      <c r="Z56" s="30">
        <f>'TR TUSD'!$Z$56</f>
        <v>0</v>
      </c>
      <c r="AA56" s="30">
        <f>'TR TUSD'!$AA$56</f>
        <v>0</v>
      </c>
      <c r="AB56" s="30">
        <f>SUM($U$56:$AA$56)</f>
        <v>18.10888848593811</v>
      </c>
      <c r="AC56" s="30">
        <f>'TR TUSD'!$AC$56*'TR TUSD'!$AC$80</f>
        <v>176.04243956937273</v>
      </c>
      <c r="AD56" s="30">
        <f>SUM($AC$56:$AC$56)</f>
        <v>176.04243956937273</v>
      </c>
      <c r="AE56" s="30">
        <v>0</v>
      </c>
      <c r="AF56" s="30">
        <v>0</v>
      </c>
      <c r="AG56" s="30">
        <f>SUM($AE$56:$AF$56)</f>
        <v>0</v>
      </c>
      <c r="AH56" s="30">
        <f>'TR TUSD'!$AH$56*'TR TUSD'!$AH$80</f>
        <v>27.08513188936757</v>
      </c>
      <c r="AI56" s="30">
        <f>'TR TUSD'!$AI$56*'TR TUSD'!$AI$80</f>
        <v>0.96432936718241835</v>
      </c>
      <c r="AJ56" s="30">
        <f ca="1">'TR TUSD'!$AJ$56*'TR TUSD'!$AJ$80</f>
        <v>8.0710610220913033</v>
      </c>
      <c r="AK56" s="30">
        <f ca="1">'TR TUSD'!$AK$56*'TR TUSD'!$AK$80</f>
        <v>0</v>
      </c>
      <c r="AL56" s="30">
        <f ca="1">SUM($AH$56:$AK$56)</f>
        <v>36.120522278641289</v>
      </c>
      <c r="AM56" s="30">
        <f ca="1">SUMIF($L$4:$AL$4,"SUBTOTAL",$L$56:$AL$56)</f>
        <v>289.87340809275202</v>
      </c>
      <c r="AP56" s="30">
        <f>IF((1 - CUSTOS!$M$29)&lt;&gt;0,1/(1 - CUSTOS!$M$29),1)</f>
        <v>1</v>
      </c>
    </row>
    <row r="57" spans="1:42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>
        <f>'TR TUSD'!$L$57*'TR TUSD'!$L$80</f>
        <v>4.1814828161424202</v>
      </c>
      <c r="M57" s="30">
        <f>'TR TUSD'!$M$57*'TR TUSD'!$M$80</f>
        <v>1.1909995636433146</v>
      </c>
      <c r="N57" s="30">
        <f ca="1">'TR TUSD'!$N$57*'TR TUSD'!$N$80</f>
        <v>3.9549866199159696</v>
      </c>
      <c r="O57" s="30">
        <f>'TR TUSD'!$O$57*'TR TUSD'!$O$80</f>
        <v>2.3954432862312944E-2</v>
      </c>
      <c r="P57" s="30">
        <f>'TR TUSD'!$P$57*'TR TUSD'!$P$80</f>
        <v>0</v>
      </c>
      <c r="Q57" s="30">
        <f>'TR TUSD'!$Q$57*'TR TUSD'!$Q$80</f>
        <v>36.787060352326115</v>
      </c>
      <c r="R57" s="30">
        <f>'TR TUSD'!$R$57*'TR TUSD'!$R$80</f>
        <v>14.668516006400978</v>
      </c>
      <c r="S57" s="30">
        <f>'TR TUSD'!$S$57*'TR TUSD'!$S$80</f>
        <v>0</v>
      </c>
      <c r="T57" s="30">
        <f ca="1">SUM($L$57:$S$57)</f>
        <v>60.806999791291112</v>
      </c>
      <c r="U57" s="30">
        <f>'TR TUSD'!$U$57*'TR TUSD'!$U$80</f>
        <v>21.080547380580953</v>
      </c>
      <c r="V57" s="30">
        <f>'TR TUSD'!$V$57*'TR TUSD'!$V$80</f>
        <v>4.5188948799569824</v>
      </c>
      <c r="W57" s="30">
        <f>'TR TUSD'!$W$57*'TR TUSD'!$W$80</f>
        <v>4.5821528383721981</v>
      </c>
      <c r="X57" s="30">
        <f>'TR TUSD'!$X$57*'TR TUSD'!$X$80</f>
        <v>0</v>
      </c>
      <c r="Y57" s="30">
        <f>'TR TUSD'!$Y$57*'TR TUSD'!$Y$80</f>
        <v>0</v>
      </c>
      <c r="Z57" s="30">
        <f>'TR TUSD'!$Z$57</f>
        <v>0</v>
      </c>
      <c r="AA57" s="30">
        <f>'TR TUSD'!$AA$57</f>
        <v>0</v>
      </c>
      <c r="AB57" s="30">
        <f>SUM($U$57:$AA$57)</f>
        <v>30.181595098910133</v>
      </c>
      <c r="AC57" s="30">
        <f>'TR TUSD'!$AC$57*'TR TUSD'!$AC$80</f>
        <v>293.40406594895461</v>
      </c>
      <c r="AD57" s="30">
        <f>SUM($AC$57:$AC$57)</f>
        <v>293.40406594895461</v>
      </c>
      <c r="AE57" s="30">
        <v>0</v>
      </c>
      <c r="AF57" s="30">
        <v>0</v>
      </c>
      <c r="AG57" s="30">
        <f>SUM($AE$57:$AF$57)</f>
        <v>0</v>
      </c>
      <c r="AH57" s="30">
        <f>'TR TUSD'!$AH$57*'TR TUSD'!$AH$80</f>
        <v>27.08513188936757</v>
      </c>
      <c r="AI57" s="30">
        <f>'TR TUSD'!$AI$57*'TR TUSD'!$AI$80</f>
        <v>0.96432936718241835</v>
      </c>
      <c r="AJ57" s="30">
        <f ca="1">'TR TUSD'!$AJ$57*'TR TUSD'!$AJ$80</f>
        <v>8.0710610220913033</v>
      </c>
      <c r="AK57" s="30">
        <f ca="1">'TR TUSD'!$AK$57*'TR TUSD'!$AK$80</f>
        <v>0</v>
      </c>
      <c r="AL57" s="30">
        <f ca="1">SUM($AH$57:$AK$57)</f>
        <v>36.120522278641289</v>
      </c>
      <c r="AM57" s="30">
        <f ca="1">SUMIF($L$4:$AL$4,"SUBTOTAL",$L$57:$AL$57)</f>
        <v>420.5131831177971</v>
      </c>
      <c r="AP57" s="30">
        <f>IF((1 - CUSTOS!$M$29)&lt;&gt;0,1/(1 - CUSTOS!$M$29),1)</f>
        <v>1</v>
      </c>
    </row>
    <row r="58" spans="1:42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>
        <f>'TR TUSD'!$L$58*'TR TUSD'!$L$80</f>
        <v>4.1814828161424202</v>
      </c>
      <c r="M58" s="30">
        <f>'TR TUSD'!$M$58*'TR TUSD'!$M$80</f>
        <v>1.1909995636433146</v>
      </c>
      <c r="N58" s="30">
        <f ca="1">'TR TUSD'!$N$58*'TR TUSD'!$N$80</f>
        <v>9.9821893538170841</v>
      </c>
      <c r="O58" s="30">
        <f>'TR TUSD'!$O$58*'TR TUSD'!$O$80</f>
        <v>2.3954432862312944E-2</v>
      </c>
      <c r="P58" s="30">
        <f>'TR TUSD'!$P$58*'TR TUSD'!$P$80</f>
        <v>0</v>
      </c>
      <c r="Q58" s="30">
        <f>'TR TUSD'!$Q$58*'TR TUSD'!$Q$80</f>
        <v>36.787060352326115</v>
      </c>
      <c r="R58" s="30">
        <f>'TR TUSD'!$R$58*'TR TUSD'!$R$80</f>
        <v>14.668516006400978</v>
      </c>
      <c r="S58" s="30">
        <f>'TR TUSD'!$S$58*'TR TUSD'!$S$80</f>
        <v>0</v>
      </c>
      <c r="T58" s="30">
        <f ca="1">SUM($L$58:$S$58)</f>
        <v>66.834202525192225</v>
      </c>
      <c r="U58" s="30">
        <f>'TR TUSD'!$U$58*'TR TUSD'!$U$80</f>
        <v>63.241642141742851</v>
      </c>
      <c r="V58" s="30">
        <f>'TR TUSD'!$V$58*'TR TUSD'!$V$80</f>
        <v>13.556684639870946</v>
      </c>
      <c r="W58" s="30">
        <f>'TR TUSD'!$W$58*'TR TUSD'!$W$80</f>
        <v>13.746300781800301</v>
      </c>
      <c r="X58" s="30">
        <f>'TR TUSD'!$X$58*'TR TUSD'!$X$80</f>
        <v>0</v>
      </c>
      <c r="Y58" s="30">
        <f>'TR TUSD'!$Y$58*'TR TUSD'!$Y$80</f>
        <v>0</v>
      </c>
      <c r="Z58" s="30">
        <f>'TR TUSD'!$Z$58</f>
        <v>0</v>
      </c>
      <c r="AA58" s="30">
        <f>'TR TUSD'!$AA$58</f>
        <v>0</v>
      </c>
      <c r="AB58" s="30">
        <f>SUM($U$58:$AA$58)</f>
        <v>90.544627563414096</v>
      </c>
      <c r="AC58" s="30">
        <f>'TR TUSD'!$AC$58*'TR TUSD'!$AC$80</f>
        <v>880.21203341127466</v>
      </c>
      <c r="AD58" s="30">
        <f>SUM($AC$58:$AC$58)</f>
        <v>880.21203341127466</v>
      </c>
      <c r="AE58" s="30">
        <v>0</v>
      </c>
      <c r="AF58" s="30">
        <v>0</v>
      </c>
      <c r="AG58" s="30">
        <f>SUM($AE$58:$AF$58)</f>
        <v>0</v>
      </c>
      <c r="AH58" s="30">
        <f>'TR TUSD'!$AH$58*'TR TUSD'!$AH$80</f>
        <v>27.08513188936757</v>
      </c>
      <c r="AI58" s="30">
        <f>'TR TUSD'!$AI$58*'TR TUSD'!$AI$80</f>
        <v>0.96432936718241835</v>
      </c>
      <c r="AJ58" s="30">
        <f ca="1">'TR TUSD'!$AJ$58*'TR TUSD'!$AJ$80</f>
        <v>8.0710610220913033</v>
      </c>
      <c r="AK58" s="30">
        <f ca="1">'TR TUSD'!$AK$58*'TR TUSD'!$AK$80</f>
        <v>0</v>
      </c>
      <c r="AL58" s="30">
        <f ca="1">SUM($AH$58:$AK$58)</f>
        <v>36.120522278641289</v>
      </c>
      <c r="AM58" s="30">
        <f ca="1">SUMIF($L$4:$AL$4,"SUBTOTAL",$L$58:$AL$58)</f>
        <v>1073.7113857785223</v>
      </c>
      <c r="AP58" s="30">
        <f>IF((1 - CUSTOS!$M$30)&lt;&gt;0,1/(1 - CUSTOS!$M$30),1)</f>
        <v>1</v>
      </c>
    </row>
    <row r="59" spans="1:42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>
        <f>'TR TUSD'!$L$59*'TR TUSD'!$L$80</f>
        <v>4.1814828161424202</v>
      </c>
      <c r="M59" s="30">
        <f>'TR TUSD'!$M$59*'TR TUSD'!$M$80</f>
        <v>1.1909995636433146</v>
      </c>
      <c r="N59" s="30">
        <f ca="1">'TR TUSD'!$N$59*'TR TUSD'!$N$80</f>
        <v>6.3658691991874301</v>
      </c>
      <c r="O59" s="30">
        <f>'TR TUSD'!$O$59*'TR TUSD'!$O$80</f>
        <v>2.3954432862312944E-2</v>
      </c>
      <c r="P59" s="30">
        <f>'TR TUSD'!$P$59*'TR TUSD'!$P$80</f>
        <v>0</v>
      </c>
      <c r="Q59" s="30">
        <f>'TR TUSD'!$Q$59*'TR TUSD'!$Q$80</f>
        <v>36.787060352326115</v>
      </c>
      <c r="R59" s="30">
        <f>'TR TUSD'!$R$59*'TR TUSD'!$R$80</f>
        <v>14.668516006400978</v>
      </c>
      <c r="S59" s="30">
        <f>'TR TUSD'!$S$59*'TR TUSD'!$S$80</f>
        <v>0</v>
      </c>
      <c r="T59" s="30">
        <f ca="1">SUM($L$59:$S$59)</f>
        <v>63.21788237056257</v>
      </c>
      <c r="U59" s="30">
        <f>'TR TUSD'!$U$59*'TR TUSD'!$U$80</f>
        <v>37.945033660721684</v>
      </c>
      <c r="V59" s="30">
        <f>'TR TUSD'!$V$59*'TR TUSD'!$V$80</f>
        <v>8.1339885911375767</v>
      </c>
      <c r="W59" s="30">
        <f>'TR TUSD'!$W$59*'TR TUSD'!$W$80</f>
        <v>8.2478751090699571</v>
      </c>
      <c r="X59" s="30">
        <f>'TR TUSD'!$X$59*'TR TUSD'!$X$80</f>
        <v>0</v>
      </c>
      <c r="Y59" s="30">
        <f>'TR TUSD'!$Y$59*'TR TUSD'!$Y$80</f>
        <v>0</v>
      </c>
      <c r="Z59" s="30">
        <f>'TR TUSD'!$Z$59</f>
        <v>0</v>
      </c>
      <c r="AA59" s="30">
        <f>'TR TUSD'!$AA$59</f>
        <v>0</v>
      </c>
      <c r="AB59" s="30">
        <f>SUM($U$59:$AA$59)</f>
        <v>54.326897360929216</v>
      </c>
      <c r="AC59" s="30">
        <f>'TR TUSD'!$AC$59*'TR TUSD'!$AC$80</f>
        <v>528.1273187081182</v>
      </c>
      <c r="AD59" s="30">
        <f>SUM($AC$59:$AC$59)</f>
        <v>528.1273187081182</v>
      </c>
      <c r="AE59" s="30">
        <v>0</v>
      </c>
      <c r="AF59" s="30">
        <v>0</v>
      </c>
      <c r="AG59" s="30">
        <f>SUM($AE$59:$AF$59)</f>
        <v>0</v>
      </c>
      <c r="AH59" s="30">
        <f>'TR TUSD'!$AH$59*'TR TUSD'!$AH$80</f>
        <v>27.08513188936757</v>
      </c>
      <c r="AI59" s="30">
        <f>'TR TUSD'!$AI$59*'TR TUSD'!$AI$80</f>
        <v>0.96432936718241835</v>
      </c>
      <c r="AJ59" s="30">
        <f ca="1">'TR TUSD'!$AJ$59*'TR TUSD'!$AJ$80</f>
        <v>8.0710610220913033</v>
      </c>
      <c r="AK59" s="30">
        <f ca="1">'TR TUSD'!$AK$59*'TR TUSD'!$AK$80</f>
        <v>0</v>
      </c>
      <c r="AL59" s="30">
        <f ca="1">SUM($AH$59:$AK$59)</f>
        <v>36.120522278641289</v>
      </c>
      <c r="AM59" s="30">
        <f ca="1">SUMIF($L$4:$AL$4,"SUBTOTAL",$L$59:$AL$59)</f>
        <v>681.79262071825121</v>
      </c>
      <c r="AP59" s="30">
        <f>IF((1 - CUSTOS!$M$30)&lt;&gt;0,1/(1 - CUSTOS!$M$30),1)</f>
        <v>1</v>
      </c>
    </row>
    <row r="60" spans="1:42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>
        <f>'TR TUSD'!$L$60*'TR TUSD'!$L$80</f>
        <v>4.1814828161424202</v>
      </c>
      <c r="M60" s="30">
        <f>'TR TUSD'!$M$60*'TR TUSD'!$M$80</f>
        <v>1.1909995636433146</v>
      </c>
      <c r="N60" s="30">
        <f ca="1">'TR TUSD'!$N$60*'TR TUSD'!$N$80</f>
        <v>2.7495445874247308</v>
      </c>
      <c r="O60" s="30">
        <f>'TR TUSD'!$O$60*'TR TUSD'!$O$80</f>
        <v>2.3954432862312944E-2</v>
      </c>
      <c r="P60" s="30">
        <f>'TR TUSD'!$P$60*'TR TUSD'!$P$80</f>
        <v>0</v>
      </c>
      <c r="Q60" s="30">
        <f>'TR TUSD'!$Q$60*'TR TUSD'!$Q$80</f>
        <v>36.787060352326115</v>
      </c>
      <c r="R60" s="30">
        <f>'TR TUSD'!$R$60*'TR TUSD'!$R$80</f>
        <v>14.668516006400978</v>
      </c>
      <c r="S60" s="30">
        <f>'TR TUSD'!$S$60*'TR TUSD'!$S$80</f>
        <v>0</v>
      </c>
      <c r="T60" s="30">
        <f ca="1">SUM($L$60:$S$60)</f>
        <v>59.601557758799871</v>
      </c>
      <c r="U60" s="30">
        <f>'TR TUSD'!$U$60*'TR TUSD'!$U$80</f>
        <v>12.648304240510582</v>
      </c>
      <c r="V60" s="30">
        <f>'TR TUSD'!$V$60*'TR TUSD'!$V$80</f>
        <v>2.7112925424042063</v>
      </c>
      <c r="W60" s="30">
        <f>'TR TUSD'!$W$60*'TR TUSD'!$W$80</f>
        <v>2.7492917030233195</v>
      </c>
      <c r="X60" s="30">
        <f>'TR TUSD'!$X$60*'TR TUSD'!$X$80</f>
        <v>0</v>
      </c>
      <c r="Y60" s="30">
        <f>'TR TUSD'!$Y$60*'TR TUSD'!$Y$80</f>
        <v>0</v>
      </c>
      <c r="Z60" s="30">
        <f>'TR TUSD'!$Z$60</f>
        <v>0</v>
      </c>
      <c r="AA60" s="30">
        <f>'TR TUSD'!$AA$60</f>
        <v>0</v>
      </c>
      <c r="AB60" s="30">
        <f>SUM($U$60:$AA$60)</f>
        <v>18.10888848593811</v>
      </c>
      <c r="AC60" s="30">
        <f>'TR TUSD'!$AC$60*'TR TUSD'!$AC$80</f>
        <v>176.04243956937273</v>
      </c>
      <c r="AD60" s="30">
        <f>SUM($AC$60:$AC$60)</f>
        <v>176.04243956937273</v>
      </c>
      <c r="AE60" s="30">
        <v>0</v>
      </c>
      <c r="AF60" s="30">
        <v>0</v>
      </c>
      <c r="AG60" s="30">
        <f>SUM($AE$60:$AF$60)</f>
        <v>0</v>
      </c>
      <c r="AH60" s="30">
        <f>'TR TUSD'!$AH$60*'TR TUSD'!$AH$80</f>
        <v>27.08513188936757</v>
      </c>
      <c r="AI60" s="30">
        <f>'TR TUSD'!$AI$60*'TR TUSD'!$AI$80</f>
        <v>0.96432936718241835</v>
      </c>
      <c r="AJ60" s="30">
        <f ca="1">'TR TUSD'!$AJ$60*'TR TUSD'!$AJ$80</f>
        <v>8.0710610220913033</v>
      </c>
      <c r="AK60" s="30">
        <f ca="1">'TR TUSD'!$AK$60*'TR TUSD'!$AK$80</f>
        <v>0</v>
      </c>
      <c r="AL60" s="30">
        <f ca="1">SUM($AH$60:$AK$60)</f>
        <v>36.120522278641289</v>
      </c>
      <c r="AM60" s="30">
        <f ca="1">SUMIF($L$4:$AL$4,"SUBTOTAL",$L$60:$AL$60)</f>
        <v>289.87340809275202</v>
      </c>
      <c r="AP60" s="30">
        <f>IF((1 - CUSTOS!$M$30)&lt;&gt;0,1/(1 - CUSTOS!$M$30),1)</f>
        <v>1</v>
      </c>
    </row>
    <row r="61" spans="1:42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>
        <f>'TR TUSD'!$L$61*'TR TUSD'!$L$80</f>
        <v>4.1814828161424202</v>
      </c>
      <c r="M61" s="30">
        <f>'TR TUSD'!$M$61*'TR TUSD'!$M$80</f>
        <v>1.1909995636433146</v>
      </c>
      <c r="N61" s="30">
        <f ca="1">'TR TUSD'!$N$61*'TR TUSD'!$N$80</f>
        <v>3.9549866199159696</v>
      </c>
      <c r="O61" s="30">
        <f>'TR TUSD'!$O$61*'TR TUSD'!$O$80</f>
        <v>2.3954432862312944E-2</v>
      </c>
      <c r="P61" s="30">
        <f>'TR TUSD'!$P$61*'TR TUSD'!$P$80</f>
        <v>0</v>
      </c>
      <c r="Q61" s="30">
        <f>'TR TUSD'!$Q$61*'TR TUSD'!$Q$80</f>
        <v>36.787060352326115</v>
      </c>
      <c r="R61" s="30">
        <f>'TR TUSD'!$R$61*'TR TUSD'!$R$80</f>
        <v>14.668516006400978</v>
      </c>
      <c r="S61" s="30">
        <f>'TR TUSD'!$S$61*'TR TUSD'!$S$80</f>
        <v>0</v>
      </c>
      <c r="T61" s="30">
        <f ca="1">SUM($L$61:$S$61)</f>
        <v>60.806999791291112</v>
      </c>
      <c r="U61" s="30">
        <f>'TR TUSD'!$U$61*'TR TUSD'!$U$80</f>
        <v>21.080547380580953</v>
      </c>
      <c r="V61" s="30">
        <f>'TR TUSD'!$V$61*'TR TUSD'!$V$80</f>
        <v>4.5188948799569824</v>
      </c>
      <c r="W61" s="30">
        <f>'TR TUSD'!$W$61*'TR TUSD'!$W$80</f>
        <v>4.5821528383721981</v>
      </c>
      <c r="X61" s="30">
        <f>'TR TUSD'!$X$61*'TR TUSD'!$X$80</f>
        <v>0</v>
      </c>
      <c r="Y61" s="30">
        <f>'TR TUSD'!$Y$61*'TR TUSD'!$Y$80</f>
        <v>0</v>
      </c>
      <c r="Z61" s="30">
        <f>'TR TUSD'!$Z$61</f>
        <v>0</v>
      </c>
      <c r="AA61" s="30">
        <f>'TR TUSD'!$AA$61</f>
        <v>0</v>
      </c>
      <c r="AB61" s="30">
        <f>SUM($U$61:$AA$61)</f>
        <v>30.181595098910133</v>
      </c>
      <c r="AC61" s="30">
        <f>'TR TUSD'!$AC$61*'TR TUSD'!$AC$80</f>
        <v>293.40406594895461</v>
      </c>
      <c r="AD61" s="30">
        <f>SUM($AC$61:$AC$61)</f>
        <v>293.40406594895461</v>
      </c>
      <c r="AE61" s="30">
        <v>0</v>
      </c>
      <c r="AF61" s="30">
        <v>0</v>
      </c>
      <c r="AG61" s="30">
        <f>SUM($AE$61:$AF$61)</f>
        <v>0</v>
      </c>
      <c r="AH61" s="30">
        <f>'TR TUSD'!$AH$61*'TR TUSD'!$AH$80</f>
        <v>27.08513188936757</v>
      </c>
      <c r="AI61" s="30">
        <f>'TR TUSD'!$AI$61*'TR TUSD'!$AI$80</f>
        <v>0.96432936718241835</v>
      </c>
      <c r="AJ61" s="30">
        <f ca="1">'TR TUSD'!$AJ$61*'TR TUSD'!$AJ$80</f>
        <v>8.0710610220913033</v>
      </c>
      <c r="AK61" s="30">
        <f ca="1">'TR TUSD'!$AK$61*'TR TUSD'!$AK$80</f>
        <v>0</v>
      </c>
      <c r="AL61" s="30">
        <f ca="1">SUM($AH$61:$AK$61)</f>
        <v>36.120522278641289</v>
      </c>
      <c r="AM61" s="30">
        <f ca="1">SUMIF($L$4:$AL$4,"SUBTOTAL",$L$61:$AL$61)</f>
        <v>420.5131831177971</v>
      </c>
      <c r="AP61" s="30">
        <f>IF((1 - CUSTOS!$M$30)&lt;&gt;0,1/(1 - CUSTOS!$M$30),1)</f>
        <v>1</v>
      </c>
    </row>
    <row r="62" spans="1:42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>
        <f>'TR TUSD'!$L$62*'TR TUSD'!$L$80</f>
        <v>4.1814828161424202</v>
      </c>
      <c r="M62" s="30">
        <f>'TR TUSD'!$M$62*'TR TUSD'!$M$80</f>
        <v>1.1909995636433146</v>
      </c>
      <c r="N62" s="30">
        <f ca="1">'TR TUSD'!$N$62*'TR TUSD'!$N$80</f>
        <v>3.9549866199159696</v>
      </c>
      <c r="O62" s="30">
        <f>'TR TUSD'!$O$62*'TR TUSD'!$O$80</f>
        <v>2.3954432862312944E-2</v>
      </c>
      <c r="P62" s="30">
        <f>'TR TUSD'!$P$62*'TR TUSD'!$P$80</f>
        <v>0</v>
      </c>
      <c r="Q62" s="30">
        <f>'TR TUSD'!$Q$62*'TR TUSD'!$Q$80</f>
        <v>36.787060352326115</v>
      </c>
      <c r="R62" s="30">
        <f>'TR TUSD'!$R$62*'TR TUSD'!$R$80</f>
        <v>14.668516006400978</v>
      </c>
      <c r="S62" s="30">
        <f>'TR TUSD'!$S$62*'TR TUSD'!$S$80</f>
        <v>0</v>
      </c>
      <c r="T62" s="30">
        <f ca="1">SUM($L$62:$S$62)</f>
        <v>60.806999791291112</v>
      </c>
      <c r="U62" s="30">
        <f>'TR TUSD'!$U$62*'TR TUSD'!$U$80</f>
        <v>21.080547380580953</v>
      </c>
      <c r="V62" s="30">
        <f>'TR TUSD'!$V$62*'TR TUSD'!$V$80</f>
        <v>4.5188948799569824</v>
      </c>
      <c r="W62" s="30">
        <f>'TR TUSD'!$W$62*'TR TUSD'!$W$80</f>
        <v>4.5821528383721981</v>
      </c>
      <c r="X62" s="30">
        <f>'TR TUSD'!$X$62*'TR TUSD'!$X$80</f>
        <v>0</v>
      </c>
      <c r="Y62" s="30">
        <f>'TR TUSD'!$Y$62*'TR TUSD'!$Y$80</f>
        <v>0</v>
      </c>
      <c r="Z62" s="30">
        <f>'TR TUSD'!$Z$62</f>
        <v>0</v>
      </c>
      <c r="AA62" s="30">
        <f>'TR TUSD'!$AA$62</f>
        <v>0</v>
      </c>
      <c r="AB62" s="30">
        <f>SUM($U$62:$AA$62)</f>
        <v>30.181595098910133</v>
      </c>
      <c r="AC62" s="30">
        <f>'TR TUSD'!$AC$62*'TR TUSD'!$AC$80</f>
        <v>293.40406594895461</v>
      </c>
      <c r="AD62" s="30">
        <f>SUM($AC$62:$AC$62)</f>
        <v>293.40406594895461</v>
      </c>
      <c r="AE62" s="30">
        <v>0</v>
      </c>
      <c r="AF62" s="30">
        <v>0</v>
      </c>
      <c r="AG62" s="30">
        <f>SUM($AE$62:$AF$62)</f>
        <v>0</v>
      </c>
      <c r="AH62" s="30">
        <f>'TR TUSD'!$AH$62*'TR TUSD'!$AH$80</f>
        <v>27.08513188936757</v>
      </c>
      <c r="AI62" s="30">
        <f>'TR TUSD'!$AI$62*'TR TUSD'!$AI$80</f>
        <v>0.96432936718241835</v>
      </c>
      <c r="AJ62" s="30">
        <f ca="1">'TR TUSD'!$AJ$62*'TR TUSD'!$AJ$80</f>
        <v>8.0710610220913033</v>
      </c>
      <c r="AK62" s="30">
        <f ca="1">'TR TUSD'!$AK$62*'TR TUSD'!$AK$80</f>
        <v>0</v>
      </c>
      <c r="AL62" s="30">
        <f ca="1">SUM($AH$62:$AK$62)</f>
        <v>36.120522278641289</v>
      </c>
      <c r="AM62" s="30">
        <f ca="1">SUMIF($L$4:$AL$4,"SUBTOTAL",$L$62:$AL$62)</f>
        <v>420.5131831177971</v>
      </c>
      <c r="AP62" s="30">
        <f>IF((1 - CUSTOS!$M$28)&lt;&gt;0,1/(1 - CUSTOS!$M$28),1)</f>
        <v>1</v>
      </c>
    </row>
    <row r="63" spans="1:42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>
        <f>'TR TUSD'!$L$63*'TR TUSD'!$L$80</f>
        <v>4.1814828161424202</v>
      </c>
      <c r="M63" s="30">
        <f>'TR TUSD'!$M$63*'TR TUSD'!$M$80</f>
        <v>1.1909995636433146</v>
      </c>
      <c r="N63" s="30">
        <f ca="1">'TR TUSD'!$N$63*'TR TUSD'!$N$80</f>
        <v>3.9549866199159696</v>
      </c>
      <c r="O63" s="30">
        <f>'TR TUSD'!$O$63*'TR TUSD'!$O$80</f>
        <v>2.3954432862312944E-2</v>
      </c>
      <c r="P63" s="30">
        <f>'TR TUSD'!$P$63*'TR TUSD'!$P$80</f>
        <v>0</v>
      </c>
      <c r="Q63" s="30">
        <f>'TR TUSD'!$Q$63*'TR TUSD'!$Q$80</f>
        <v>36.787060352326115</v>
      </c>
      <c r="R63" s="30">
        <f>'TR TUSD'!$R$63*'TR TUSD'!$R$80</f>
        <v>14.668516006400978</v>
      </c>
      <c r="S63" s="30">
        <f>'TR TUSD'!$S$63*'TR TUSD'!$S$80</f>
        <v>0</v>
      </c>
      <c r="T63" s="30">
        <f ca="1">SUM($L$63:$S$63)</f>
        <v>60.806999791291112</v>
      </c>
      <c r="U63" s="30">
        <f>'TR TUSD'!$U$63*'TR TUSD'!$U$80</f>
        <v>21.080547380580953</v>
      </c>
      <c r="V63" s="30">
        <f>'TR TUSD'!$V$63*'TR TUSD'!$V$80</f>
        <v>4.5188948799569824</v>
      </c>
      <c r="W63" s="30">
        <f>'TR TUSD'!$W$63*'TR TUSD'!$W$80</f>
        <v>4.5821528383721981</v>
      </c>
      <c r="X63" s="30">
        <f>'TR TUSD'!$X$63*'TR TUSD'!$X$80</f>
        <v>0</v>
      </c>
      <c r="Y63" s="30">
        <f>'TR TUSD'!$Y$63*'TR TUSD'!$Y$80</f>
        <v>0</v>
      </c>
      <c r="Z63" s="30">
        <f>'TR TUSD'!$Z$63</f>
        <v>0</v>
      </c>
      <c r="AA63" s="30">
        <f>'TR TUSD'!$AA$63</f>
        <v>0</v>
      </c>
      <c r="AB63" s="30">
        <f>SUM($U$63:$AA$63)</f>
        <v>30.181595098910133</v>
      </c>
      <c r="AC63" s="30">
        <f>'TR TUSD'!$AC$63*'TR TUSD'!$AC$80</f>
        <v>293.40406594895461</v>
      </c>
      <c r="AD63" s="30">
        <f>SUM($AC$63:$AC$63)</f>
        <v>293.40406594895461</v>
      </c>
      <c r="AE63" s="30">
        <v>0</v>
      </c>
      <c r="AF63" s="30">
        <v>0</v>
      </c>
      <c r="AG63" s="30">
        <f>SUM($AE$63:$AF$63)</f>
        <v>0</v>
      </c>
      <c r="AH63" s="30">
        <f>'TR TUSD'!$AH$63*'TR TUSD'!$AH$80</f>
        <v>27.08513188936757</v>
      </c>
      <c r="AI63" s="30">
        <f>'TR TUSD'!$AI$63*'TR TUSD'!$AI$80</f>
        <v>0.96432936718241835</v>
      </c>
      <c r="AJ63" s="30">
        <f ca="1">'TR TUSD'!$AJ$63*'TR TUSD'!$AJ$80</f>
        <v>8.0710610220913033</v>
      </c>
      <c r="AK63" s="30">
        <f ca="1">'TR TUSD'!$AK$63*'TR TUSD'!$AK$80</f>
        <v>0</v>
      </c>
      <c r="AL63" s="30">
        <f ca="1">SUM($AH$63:$AK$63)</f>
        <v>36.120522278641289</v>
      </c>
      <c r="AM63" s="30">
        <f ca="1">SUMIF($L$4:$AL$4,"SUBTOTAL",$L$63:$AL$63)</f>
        <v>420.5131831177971</v>
      </c>
      <c r="AP63" s="30">
        <f>IF((1 - CUSTOS!$M$29)&lt;&gt;0,1/(1 - CUSTOS!$M$29),1)</f>
        <v>1</v>
      </c>
    </row>
    <row r="64" spans="1:42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>
        <f>'TR TUSD'!$L$64*'TR TUSD'!$L$80</f>
        <v>4.1814828161424202</v>
      </c>
      <c r="M64" s="30">
        <f>'TR TUSD'!$M$64*'TR TUSD'!$M$80</f>
        <v>1.1909995636433146</v>
      </c>
      <c r="N64" s="30">
        <f ca="1">'TR TUSD'!$N$64*'TR TUSD'!$N$80</f>
        <v>3.9549866199159696</v>
      </c>
      <c r="O64" s="30">
        <f>'TR TUSD'!$O$64*'TR TUSD'!$O$80</f>
        <v>2.3954432862312944E-2</v>
      </c>
      <c r="P64" s="30">
        <f>'TR TUSD'!$P$64*'TR TUSD'!$P$80</f>
        <v>0</v>
      </c>
      <c r="Q64" s="30">
        <f>'TR TUSD'!$Q$64*'TR TUSD'!$Q$80</f>
        <v>36.787060352326115</v>
      </c>
      <c r="R64" s="30">
        <f>'TR TUSD'!$R$64*'TR TUSD'!$R$80</f>
        <v>14.668516006400978</v>
      </c>
      <c r="S64" s="30">
        <f>'TR TUSD'!$S$64*'TR TUSD'!$S$80</f>
        <v>0</v>
      </c>
      <c r="T64" s="30">
        <f ca="1">SUM($L$64:$S$64)</f>
        <v>60.806999791291112</v>
      </c>
      <c r="U64" s="30">
        <f>'TR TUSD'!$U$64*'TR TUSD'!$U$80</f>
        <v>21.080547380580953</v>
      </c>
      <c r="V64" s="30">
        <f>'TR TUSD'!$V$64*'TR TUSD'!$V$80</f>
        <v>4.5188948799569824</v>
      </c>
      <c r="W64" s="30">
        <f>'TR TUSD'!$W$64*'TR TUSD'!$W$80</f>
        <v>4.5821528383721981</v>
      </c>
      <c r="X64" s="30">
        <f>'TR TUSD'!$X$64*'TR TUSD'!$X$80</f>
        <v>0</v>
      </c>
      <c r="Y64" s="30">
        <f>'TR TUSD'!$Y$64*'TR TUSD'!$Y$80</f>
        <v>0</v>
      </c>
      <c r="Z64" s="30">
        <f>'TR TUSD'!$Z$64</f>
        <v>0</v>
      </c>
      <c r="AA64" s="30">
        <f>'TR TUSD'!$AA$64</f>
        <v>0</v>
      </c>
      <c r="AB64" s="30">
        <f>SUM($U$64:$AA$64)</f>
        <v>30.181595098910133</v>
      </c>
      <c r="AC64" s="30">
        <f>'TR TUSD'!$AC$64*'TR TUSD'!$AC$80</f>
        <v>293.40406594895461</v>
      </c>
      <c r="AD64" s="30">
        <f>SUM($AC$64:$AC$64)</f>
        <v>293.40406594895461</v>
      </c>
      <c r="AE64" s="30">
        <v>0</v>
      </c>
      <c r="AF64" s="30">
        <v>0</v>
      </c>
      <c r="AG64" s="30">
        <f>SUM($AE$64:$AF$64)</f>
        <v>0</v>
      </c>
      <c r="AH64" s="30">
        <f>'TR TUSD'!$AH$64*'TR TUSD'!$AH$80</f>
        <v>27.08513188936757</v>
      </c>
      <c r="AI64" s="30">
        <f>'TR TUSD'!$AI$64*'TR TUSD'!$AI$80</f>
        <v>0.96432936718241835</v>
      </c>
      <c r="AJ64" s="30">
        <f ca="1">'TR TUSD'!$AJ$64*'TR TUSD'!$AJ$80</f>
        <v>8.0710610220913033</v>
      </c>
      <c r="AK64" s="30">
        <f ca="1">'TR TUSD'!$AK$64*'TR TUSD'!$AK$80</f>
        <v>0</v>
      </c>
      <c r="AL64" s="30">
        <f ca="1">SUM($AH$64:$AK$64)</f>
        <v>36.120522278641289</v>
      </c>
      <c r="AM64" s="30">
        <f ca="1">SUMIF($L$4:$AL$4,"SUBTOTAL",$L$64:$AL$64)</f>
        <v>420.5131831177971</v>
      </c>
      <c r="AP64" s="30">
        <f>IF((1 - CUSTOS!$M$30)&lt;&gt;0,1/(1 - CUSTOS!$M$30),1)</f>
        <v>1</v>
      </c>
    </row>
    <row r="65" spans="1:42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>
        <f>'TR TUSD'!$L$65*'TR TUSD'!$L$80</f>
        <v>4.1814828161424202</v>
      </c>
      <c r="M65" s="30">
        <f>'TR TUSD'!$M$65*'TR TUSD'!$M$80</f>
        <v>1.1909995636433146</v>
      </c>
      <c r="N65" s="30">
        <f ca="1">'TR TUSD'!$N$65*'TR TUSD'!$N$80</f>
        <v>10.735591924121247</v>
      </c>
      <c r="O65" s="30">
        <f>'TR TUSD'!$O$65*'TR TUSD'!$O$80</f>
        <v>2.3954432862312944E-2</v>
      </c>
      <c r="P65" s="30">
        <f>'TR TUSD'!$P$65*'TR TUSD'!$P$80</f>
        <v>0</v>
      </c>
      <c r="Q65" s="30">
        <f>'TR TUSD'!$Q$65*'TR TUSD'!$Q$80</f>
        <v>36.787060352326115</v>
      </c>
      <c r="R65" s="30">
        <f>'TR TUSD'!$R$65*'TR TUSD'!$R$80</f>
        <v>14.668516006400978</v>
      </c>
      <c r="S65" s="30">
        <f>'TR TUSD'!$S$65*'TR TUSD'!$S$80</f>
        <v>0</v>
      </c>
      <c r="T65" s="30">
        <f ca="1">SUM($L$65:$S$65)</f>
        <v>67.587605095496386</v>
      </c>
      <c r="U65" s="30">
        <f>'TR TUSD'!$U$65*'TR TUSD'!$U$80</f>
        <v>68.511809221685567</v>
      </c>
      <c r="V65" s="30">
        <f>'TR TUSD'!$V$65*'TR TUSD'!$V$80</f>
        <v>14.686408359860192</v>
      </c>
      <c r="W65" s="30">
        <f>'TR TUSD'!$W$65*'TR TUSD'!$W$80</f>
        <v>14.891917858051498</v>
      </c>
      <c r="X65" s="30">
        <f>'TR TUSD'!$X$65*'TR TUSD'!$X$80</f>
        <v>0</v>
      </c>
      <c r="Y65" s="30">
        <f>'TR TUSD'!$Y$65*'TR TUSD'!$Y$80</f>
        <v>0</v>
      </c>
      <c r="Z65" s="30">
        <f>'TR TUSD'!$Z$65</f>
        <v>0</v>
      </c>
      <c r="AA65" s="30">
        <f>'TR TUSD'!$AA$65</f>
        <v>0</v>
      </c>
      <c r="AB65" s="30">
        <f>SUM($U$65:$AA$65)</f>
        <v>98.090135439597262</v>
      </c>
      <c r="AC65" s="30">
        <f>'TR TUSD'!$AC$65*'TR TUSD'!$AC$80</f>
        <v>953.56313211630788</v>
      </c>
      <c r="AD65" s="30">
        <f>SUM($AC$65:$AC$65)</f>
        <v>953.56313211630788</v>
      </c>
      <c r="AE65" s="30">
        <v>0</v>
      </c>
      <c r="AF65" s="30">
        <v>0</v>
      </c>
      <c r="AG65" s="30">
        <f>SUM($AE$65:$AF$65)</f>
        <v>0</v>
      </c>
      <c r="AH65" s="30">
        <f>'TR TUSD'!$AH$65*'TR TUSD'!$AH$80</f>
        <v>27.08513188936757</v>
      </c>
      <c r="AI65" s="30">
        <f>'TR TUSD'!$AI$65*'TR TUSD'!$AI$80</f>
        <v>0.96432936718241835</v>
      </c>
      <c r="AJ65" s="30">
        <f ca="1">'TR TUSD'!$AJ$65*'TR TUSD'!$AJ$80</f>
        <v>8.0710610220913033</v>
      </c>
      <c r="AK65" s="30">
        <f ca="1">'TR TUSD'!$AK$65*'TR TUSD'!$AK$80</f>
        <v>0</v>
      </c>
      <c r="AL65" s="30">
        <f ca="1">SUM($AH$65:$AK$65)</f>
        <v>36.120522278641289</v>
      </c>
      <c r="AM65" s="30">
        <f ca="1">SUMIF($L$4:$AL$4,"SUBTOTAL",$L$65:$AL$65)</f>
        <v>1155.3613949300429</v>
      </c>
      <c r="AP65" s="30">
        <f>IF((1 - CUSTOS!$M$31)&lt;&gt;0,1/(1 - CUSTOS!$M$31),1)</f>
        <v>1</v>
      </c>
    </row>
    <row r="66" spans="1:42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>
        <f>'TR TUSD'!$L$66*'TR TUSD'!$L$80</f>
        <v>4.1814828161424202</v>
      </c>
      <c r="M66" s="30">
        <f>'TR TUSD'!$M$66*'TR TUSD'!$M$80</f>
        <v>1.1909995636433146</v>
      </c>
      <c r="N66" s="30">
        <f ca="1">'TR TUSD'!$N$66*'TR TUSD'!$N$80</f>
        <v>6.8179086613745072</v>
      </c>
      <c r="O66" s="30">
        <f>'TR TUSD'!$O$66*'TR TUSD'!$O$80</f>
        <v>2.3954432862312944E-2</v>
      </c>
      <c r="P66" s="30">
        <f>'TR TUSD'!$P$66*'TR TUSD'!$P$80</f>
        <v>0</v>
      </c>
      <c r="Q66" s="30">
        <f>'TR TUSD'!$Q$66*'TR TUSD'!$Q$80</f>
        <v>36.787060352326115</v>
      </c>
      <c r="R66" s="30">
        <f>'TR TUSD'!$R$66*'TR TUSD'!$R$80</f>
        <v>14.668516006400978</v>
      </c>
      <c r="S66" s="30">
        <f>'TR TUSD'!$S$66*'TR TUSD'!$S$80</f>
        <v>0</v>
      </c>
      <c r="T66" s="30">
        <f ca="1">SUM($L$66:$S$66)</f>
        <v>63.669921832749651</v>
      </c>
      <c r="U66" s="30">
        <f>'TR TUSD'!$U$66*'TR TUSD'!$U$80</f>
        <v>41.10710972084933</v>
      </c>
      <c r="V66" s="30">
        <f>'TR TUSD'!$V$66*'TR TUSD'!$V$80</f>
        <v>8.8118672087011074</v>
      </c>
      <c r="W66" s="30">
        <f>'TR TUSD'!$W$66*'TR TUSD'!$W$80</f>
        <v>8.9351191681676401</v>
      </c>
      <c r="X66" s="30">
        <f>'TR TUSD'!$X$66*'TR TUSD'!$X$80</f>
        <v>0</v>
      </c>
      <c r="Y66" s="30">
        <f>'TR TUSD'!$Y$66*'TR TUSD'!$Y$80</f>
        <v>0</v>
      </c>
      <c r="Z66" s="30">
        <f>'TR TUSD'!$Z$66</f>
        <v>0</v>
      </c>
      <c r="AA66" s="30">
        <f>'TR TUSD'!$AA$66</f>
        <v>0</v>
      </c>
      <c r="AB66" s="30">
        <f>SUM($U$66:$AA$66)</f>
        <v>58.854096097718077</v>
      </c>
      <c r="AC66" s="30">
        <f>'TR TUSD'!$AC$66*'TR TUSD'!$AC$80</f>
        <v>572.13784638266691</v>
      </c>
      <c r="AD66" s="30">
        <f>SUM($AC$66:$AC$66)</f>
        <v>572.13784638266691</v>
      </c>
      <c r="AE66" s="30">
        <v>0</v>
      </c>
      <c r="AF66" s="30">
        <v>0</v>
      </c>
      <c r="AG66" s="30">
        <f>SUM($AE$66:$AF$66)</f>
        <v>0</v>
      </c>
      <c r="AH66" s="30">
        <f>'TR TUSD'!$AH$66*'TR TUSD'!$AH$80</f>
        <v>27.08513188936757</v>
      </c>
      <c r="AI66" s="30">
        <f>'TR TUSD'!$AI$66*'TR TUSD'!$AI$80</f>
        <v>0.96432936718241835</v>
      </c>
      <c r="AJ66" s="30">
        <f ca="1">'TR TUSD'!$AJ$66*'TR TUSD'!$AJ$80</f>
        <v>8.0710610220913033</v>
      </c>
      <c r="AK66" s="30">
        <f ca="1">'TR TUSD'!$AK$66*'TR TUSD'!$AK$80</f>
        <v>0</v>
      </c>
      <c r="AL66" s="30">
        <f ca="1">SUM($AH$66:$AK$66)</f>
        <v>36.120522278641289</v>
      </c>
      <c r="AM66" s="30">
        <f ca="1">SUMIF($L$4:$AL$4,"SUBTOTAL",$L$66:$AL$66)</f>
        <v>730.78238659177589</v>
      </c>
      <c r="AP66" s="30">
        <f>IF((1 - CUSTOS!$M$31)&lt;&gt;0,1/(1 - CUSTOS!$M$31),1)</f>
        <v>1</v>
      </c>
    </row>
    <row r="67" spans="1:42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>
        <f>'TR TUSD'!$L$67*'TR TUSD'!$L$80</f>
        <v>4.1814828161424202</v>
      </c>
      <c r="M67" s="30">
        <f>'TR TUSD'!$M$67*'TR TUSD'!$M$80</f>
        <v>1.1909995636433146</v>
      </c>
      <c r="N67" s="30">
        <f ca="1">'TR TUSD'!$N$67*'TR TUSD'!$N$80</f>
        <v>2.9002253986277675</v>
      </c>
      <c r="O67" s="30">
        <f>'TR TUSD'!$O$67*'TR TUSD'!$O$80</f>
        <v>2.3954432862312944E-2</v>
      </c>
      <c r="P67" s="30">
        <f>'TR TUSD'!$P$67*'TR TUSD'!$P$80</f>
        <v>0</v>
      </c>
      <c r="Q67" s="30">
        <f>'TR TUSD'!$Q$67*'TR TUSD'!$Q$80</f>
        <v>36.787060352326115</v>
      </c>
      <c r="R67" s="30">
        <f>'TR TUSD'!$R$67*'TR TUSD'!$R$80</f>
        <v>14.668516006400978</v>
      </c>
      <c r="S67" s="30">
        <f>'TR TUSD'!$S$67*'TR TUSD'!$S$80</f>
        <v>0</v>
      </c>
      <c r="T67" s="30">
        <f ca="1">SUM($L$67:$S$67)</f>
        <v>59.752238570002909</v>
      </c>
      <c r="U67" s="30">
        <f>'TR TUSD'!$U$67*'TR TUSD'!$U$80</f>
        <v>13.702410220013091</v>
      </c>
      <c r="V67" s="30">
        <f>'TR TUSD'!$V$67*'TR TUSD'!$V$80</f>
        <v>2.937326057542021</v>
      </c>
      <c r="W67" s="30">
        <f>'TR TUSD'!$W$67*'TR TUSD'!$W$80</f>
        <v>2.9783204782837815</v>
      </c>
      <c r="X67" s="30">
        <f>'TR TUSD'!$X$67*'TR TUSD'!$X$80</f>
        <v>0</v>
      </c>
      <c r="Y67" s="30">
        <f>'TR TUSD'!$Y$67*'TR TUSD'!$Y$80</f>
        <v>0</v>
      </c>
      <c r="Z67" s="30">
        <f>'TR TUSD'!$Z$67</f>
        <v>0</v>
      </c>
      <c r="AA67" s="30">
        <f>'TR TUSD'!$AA$67</f>
        <v>0</v>
      </c>
      <c r="AB67" s="30">
        <f>SUM($U$67:$AA$67)</f>
        <v>19.618056755838893</v>
      </c>
      <c r="AC67" s="30">
        <f>'TR TUSD'!$AC$67*'TR TUSD'!$AC$80</f>
        <v>190.71256064902593</v>
      </c>
      <c r="AD67" s="30">
        <f>SUM($AC$67:$AC$67)</f>
        <v>190.71256064902593</v>
      </c>
      <c r="AE67" s="30">
        <v>0</v>
      </c>
      <c r="AF67" s="30">
        <v>0</v>
      </c>
      <c r="AG67" s="30">
        <f>SUM($AE$67:$AF$67)</f>
        <v>0</v>
      </c>
      <c r="AH67" s="30">
        <f>'TR TUSD'!$AH$67*'TR TUSD'!$AH$80</f>
        <v>27.08513188936757</v>
      </c>
      <c r="AI67" s="30">
        <f>'TR TUSD'!$AI$67*'TR TUSD'!$AI$80</f>
        <v>0.96432936718241835</v>
      </c>
      <c r="AJ67" s="30">
        <f ca="1">'TR TUSD'!$AJ$67*'TR TUSD'!$AJ$80</f>
        <v>8.0710610220913033</v>
      </c>
      <c r="AK67" s="30">
        <f ca="1">'TR TUSD'!$AK$67*'TR TUSD'!$AK$80</f>
        <v>0</v>
      </c>
      <c r="AL67" s="30">
        <f ca="1">SUM($AH$67:$AK$67)</f>
        <v>36.120522278641289</v>
      </c>
      <c r="AM67" s="30">
        <f ca="1">SUMIF($L$4:$AL$4,"SUBTOTAL",$L$67:$AL$67)</f>
        <v>306.20337825350896</v>
      </c>
      <c r="AP67" s="30">
        <f>IF((1 - CUSTOS!$M$31)&lt;&gt;0,1/(1 - CUSTOS!$M$31),1)</f>
        <v>1</v>
      </c>
    </row>
    <row r="68" spans="1:42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>
        <f>'TR TUSD'!$L$68*'TR TUSD'!$L$80</f>
        <v>4.1814828161424202</v>
      </c>
      <c r="M68" s="30">
        <f>'TR TUSD'!$M$68*'TR TUSD'!$M$80</f>
        <v>1.1909995636433146</v>
      </c>
      <c r="N68" s="30">
        <f ca="1">'TR TUSD'!$N$68*'TR TUSD'!$N$80</f>
        <v>3.9549866199159696</v>
      </c>
      <c r="O68" s="30">
        <f>'TR TUSD'!$O$68*'TR TUSD'!$O$80</f>
        <v>2.3954432862312944E-2</v>
      </c>
      <c r="P68" s="30">
        <f>'TR TUSD'!$P$68*'TR TUSD'!$P$80</f>
        <v>0</v>
      </c>
      <c r="Q68" s="30">
        <f>'TR TUSD'!$Q$68*'TR TUSD'!$Q$80</f>
        <v>36.787060352326115</v>
      </c>
      <c r="R68" s="30">
        <f>'TR TUSD'!$R$68*'TR TUSD'!$R$80</f>
        <v>14.668516006400978</v>
      </c>
      <c r="S68" s="30">
        <f>'TR TUSD'!$S$68*'TR TUSD'!$S$80</f>
        <v>0</v>
      </c>
      <c r="T68" s="30">
        <f ca="1">SUM($L$68:$S$68)</f>
        <v>60.806999791291112</v>
      </c>
      <c r="U68" s="30">
        <f>'TR TUSD'!$U$68*'TR TUSD'!$U$80</f>
        <v>21.080547380580953</v>
      </c>
      <c r="V68" s="30">
        <f>'TR TUSD'!$V$68*'TR TUSD'!$V$80</f>
        <v>4.5188948799569824</v>
      </c>
      <c r="W68" s="30">
        <f>'TR TUSD'!$W$68*'TR TUSD'!$W$80</f>
        <v>4.5821528383721981</v>
      </c>
      <c r="X68" s="30">
        <f>'TR TUSD'!$X$68*'TR TUSD'!$X$80</f>
        <v>0</v>
      </c>
      <c r="Y68" s="30">
        <f>'TR TUSD'!$Y$68*'TR TUSD'!$Y$80</f>
        <v>0</v>
      </c>
      <c r="Z68" s="30">
        <f>'TR TUSD'!$Z$68</f>
        <v>0</v>
      </c>
      <c r="AA68" s="30">
        <f>'TR TUSD'!$AA$68</f>
        <v>0</v>
      </c>
      <c r="AB68" s="30">
        <f>SUM($U$68:$AA$68)</f>
        <v>30.181595098910133</v>
      </c>
      <c r="AC68" s="30">
        <f>'TR TUSD'!$AC$68*'TR TUSD'!$AC$80</f>
        <v>293.40406594895461</v>
      </c>
      <c r="AD68" s="30">
        <f>SUM($AC$68:$AC$68)</f>
        <v>293.40406594895461</v>
      </c>
      <c r="AE68" s="30">
        <v>0</v>
      </c>
      <c r="AF68" s="30">
        <v>0</v>
      </c>
      <c r="AG68" s="30">
        <f>SUM($AE$68:$AF$68)</f>
        <v>0</v>
      </c>
      <c r="AH68" s="30">
        <f>'TR TUSD'!$AH$68*'TR TUSD'!$AH$80</f>
        <v>27.08513188936757</v>
      </c>
      <c r="AI68" s="30">
        <f>'TR TUSD'!$AI$68*'TR TUSD'!$AI$80</f>
        <v>0.96432936718241835</v>
      </c>
      <c r="AJ68" s="30">
        <f ca="1">'TR TUSD'!$AJ$68*'TR TUSD'!$AJ$80</f>
        <v>8.0710610220913033</v>
      </c>
      <c r="AK68" s="30">
        <f ca="1">'TR TUSD'!$AK$68*'TR TUSD'!$AK$80</f>
        <v>0</v>
      </c>
      <c r="AL68" s="30">
        <f ca="1">SUM($AH$68:$AK$68)</f>
        <v>36.120522278641289</v>
      </c>
      <c r="AM68" s="30">
        <f ca="1">SUMIF($L$4:$AL$4,"SUBTOTAL",$L$68:$AL$68)</f>
        <v>420.5131831177971</v>
      </c>
      <c r="AP68" s="30">
        <f>IF((1 - CUSTOS!$M$31)&lt;&gt;0,1/(1 - CUSTOS!$M$31),1)</f>
        <v>1</v>
      </c>
    </row>
    <row r="69" spans="1:42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>
        <f>'TR TUSD'!$L$69*'TR TUSD'!$L$80</f>
        <v>4.1814828161424202</v>
      </c>
      <c r="M69" s="30">
        <f>'TR TUSD'!$M$69*'TR TUSD'!$M$80</f>
        <v>1.1909995636433146</v>
      </c>
      <c r="N69" s="30">
        <f ca="1">'TR TUSD'!$N$69*'TR TUSD'!$N$80</f>
        <v>3.9549866199159696</v>
      </c>
      <c r="O69" s="30">
        <f>'TR TUSD'!$O$69*'TR TUSD'!$O$80</f>
        <v>2.3954432862312944E-2</v>
      </c>
      <c r="P69" s="30">
        <f>'TR TUSD'!$P$69*'TR TUSD'!$P$80</f>
        <v>0</v>
      </c>
      <c r="Q69" s="30">
        <f>'TR TUSD'!$Q$69*'TR TUSD'!$Q$80</f>
        <v>36.787060352326115</v>
      </c>
      <c r="R69" s="30">
        <f>'TR TUSD'!$R$69*'TR TUSD'!$R$80</f>
        <v>14.668516006400978</v>
      </c>
      <c r="S69" s="30">
        <f>'TR TUSD'!$S$69*'TR TUSD'!$S$80</f>
        <v>0</v>
      </c>
      <c r="T69" s="30">
        <f ca="1">SUM($L$69:$S$69)</f>
        <v>60.806999791291112</v>
      </c>
      <c r="U69" s="30">
        <f>'TR TUSD'!$U$69*'TR TUSD'!$U$80</f>
        <v>21.080547380580953</v>
      </c>
      <c r="V69" s="30">
        <f>'TR TUSD'!$V$69*'TR TUSD'!$V$80</f>
        <v>4.5188948799569824</v>
      </c>
      <c r="W69" s="30">
        <f>'TR TUSD'!$W$69*'TR TUSD'!$W$80</f>
        <v>4.5821528383721981</v>
      </c>
      <c r="X69" s="30">
        <f>'TR TUSD'!$X$69*'TR TUSD'!$X$80</f>
        <v>0</v>
      </c>
      <c r="Y69" s="30">
        <f>'TR TUSD'!$Y$69*'TR TUSD'!$Y$80</f>
        <v>0</v>
      </c>
      <c r="Z69" s="30">
        <f>'TR TUSD'!$Z$69</f>
        <v>0</v>
      </c>
      <c r="AA69" s="30">
        <f>'TR TUSD'!$AA$69</f>
        <v>0</v>
      </c>
      <c r="AB69" s="30">
        <f>SUM($U$69:$AA$69)</f>
        <v>30.181595098910133</v>
      </c>
      <c r="AC69" s="30">
        <f>'TR TUSD'!$AC$69*'TR TUSD'!$AC$80</f>
        <v>293.40406594895461</v>
      </c>
      <c r="AD69" s="30">
        <f>SUM($AC$69:$AC$69)</f>
        <v>293.40406594895461</v>
      </c>
      <c r="AE69" s="30">
        <v>0</v>
      </c>
      <c r="AF69" s="30">
        <v>0</v>
      </c>
      <c r="AG69" s="30">
        <f>SUM($AE$69:$AF$69)</f>
        <v>0</v>
      </c>
      <c r="AH69" s="30">
        <f>'TR TUSD'!$AH$69*'TR TUSD'!$AH$80</f>
        <v>27.08513188936757</v>
      </c>
      <c r="AI69" s="30">
        <f>'TR TUSD'!$AI$69*'TR TUSD'!$AI$80</f>
        <v>0.96432936718241835</v>
      </c>
      <c r="AJ69" s="30">
        <f ca="1">'TR TUSD'!$AJ$69*'TR TUSD'!$AJ$80</f>
        <v>8.0710610220913033</v>
      </c>
      <c r="AK69" s="30">
        <f ca="1">'TR TUSD'!$AK$69*'TR TUSD'!$AK$80</f>
        <v>0</v>
      </c>
      <c r="AL69" s="30">
        <f ca="1">SUM($AH$69:$AK$69)</f>
        <v>36.120522278641289</v>
      </c>
      <c r="AM69" s="30">
        <f ca="1">SUMIF($L$4:$AL$4,"SUBTOTAL",$L$69:$AL$69)</f>
        <v>420.5131831177971</v>
      </c>
      <c r="AP69" s="30">
        <f>IF((1 - CUSTOS!$M$31)&lt;&gt;0,1/(1 - CUSTOS!$M$31),1)</f>
        <v>1</v>
      </c>
    </row>
    <row r="70" spans="1:42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>
        <f>'TR TUSD'!$L$70*'TR TUSD'!$L$80</f>
        <v>2.2998155488783314</v>
      </c>
      <c r="M70" s="30">
        <f>'TR TUSD'!$M$70*'TR TUSD'!$M$80</f>
        <v>0.65504976000382298</v>
      </c>
      <c r="N70" s="30">
        <f ca="1">'TR TUSD'!$N$70*'TR TUSD'!$N$80</f>
        <v>2.1752426409537833</v>
      </c>
      <c r="O70" s="30">
        <f>'TR TUSD'!$O$70*'TR TUSD'!$O$80</f>
        <v>1.317493807427212E-2</v>
      </c>
      <c r="P70" s="30">
        <f>'TR TUSD'!$P$70*'TR TUSD'!$P$80</f>
        <v>0</v>
      </c>
      <c r="Q70" s="30">
        <f>'TR TUSD'!$Q$70*'TR TUSD'!$Q$80</f>
        <v>20.232883193779365</v>
      </c>
      <c r="R70" s="30">
        <f>'TR TUSD'!$R$70*'TR TUSD'!$R$80</f>
        <v>8.0676838035205378</v>
      </c>
      <c r="S70" s="30">
        <f>'TR TUSD'!$S$70*'TR TUSD'!$S$80</f>
        <v>0</v>
      </c>
      <c r="T70" s="30">
        <f ca="1">SUM($L$70:$S$70)</f>
        <v>33.443849885210113</v>
      </c>
      <c r="U70" s="30">
        <f>'TR TUSD'!$U$70*'TR TUSD'!$U$80</f>
        <v>11.594301059319525</v>
      </c>
      <c r="V70" s="30">
        <f>'TR TUSD'!$V$70*'TR TUSD'!$V$80</f>
        <v>2.4853921839763404</v>
      </c>
      <c r="W70" s="30">
        <f>'TR TUSD'!$W$70*'TR TUSD'!$W$80</f>
        <v>2.5201840611047093</v>
      </c>
      <c r="X70" s="30">
        <f>'TR TUSD'!$X$70*'TR TUSD'!$X$80</f>
        <v>0</v>
      </c>
      <c r="Y70" s="30">
        <f>'TR TUSD'!$Y$70*'TR TUSD'!$Y$80</f>
        <v>0</v>
      </c>
      <c r="Z70" s="30">
        <f>'TR TUSD'!$Z$70</f>
        <v>0</v>
      </c>
      <c r="AA70" s="30">
        <f>'TR TUSD'!$AA$70</f>
        <v>0</v>
      </c>
      <c r="AB70" s="30">
        <f>SUM($U$70:$AA$70)</f>
        <v>16.599877304400575</v>
      </c>
      <c r="AC70" s="30">
        <f>'TR TUSD'!$AC$70*'TR TUSD'!$AC$80</f>
        <v>161.37223627192503</v>
      </c>
      <c r="AD70" s="30">
        <f>SUM($AC$70:$AC$70)</f>
        <v>161.37223627192503</v>
      </c>
      <c r="AE70" s="30">
        <v>0</v>
      </c>
      <c r="AF70" s="30">
        <v>0</v>
      </c>
      <c r="AG70" s="30">
        <f>SUM($AE$70:$AF$70)</f>
        <v>0</v>
      </c>
      <c r="AH70" s="30">
        <f>'TR TUSD'!$AH$70*'TR TUSD'!$AH$80</f>
        <v>14.896822539152165</v>
      </c>
      <c r="AI70" s="30">
        <f>'TR TUSD'!$AI$70*'TR TUSD'!$AI$80</f>
        <v>0.53038115195033009</v>
      </c>
      <c r="AJ70" s="30">
        <f ca="1">'TR TUSD'!$AJ$70*'TR TUSD'!$AJ$80</f>
        <v>4.4390835621502172</v>
      </c>
      <c r="AK70" s="30">
        <f ca="1">'TR TUSD'!$AK$70*'TR TUSD'!$AK$80</f>
        <v>0</v>
      </c>
      <c r="AL70" s="30">
        <f ca="1">SUM($AH$70:$AK$70)</f>
        <v>19.866287253252711</v>
      </c>
      <c r="AM70" s="30">
        <f ca="1">SUMIF($L$4:$AL$4,"SUBTOTAL",$L$70:$AL$70)</f>
        <v>231.28225071478846</v>
      </c>
      <c r="AP70" s="30">
        <f>IF((1 - CUSTOS!$M$32)&lt;&gt;0,1/(1 - CUSTOS!$M$32),1)</f>
        <v>1.8181818181818181</v>
      </c>
    </row>
    <row r="71" spans="1:42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>
        <f>'TR TUSD'!$L$71*'TR TUSD'!$L$80</f>
        <v>2.5088896896854522</v>
      </c>
      <c r="M71" s="30">
        <f>'TR TUSD'!$M$71*'TR TUSD'!$M$80</f>
        <v>0.71459973818598876</v>
      </c>
      <c r="N71" s="30">
        <f ca="1">'TR TUSD'!$N$71*'TR TUSD'!$N$80</f>
        <v>2.3729919719495816</v>
      </c>
      <c r="O71" s="30">
        <f>'TR TUSD'!$O$71*'TR TUSD'!$O$80</f>
        <v>1.4372659717387767E-2</v>
      </c>
      <c r="P71" s="30">
        <f>'TR TUSD'!$P$71*'TR TUSD'!$P$80</f>
        <v>0</v>
      </c>
      <c r="Q71" s="30">
        <f>'TR TUSD'!$Q$71*'TR TUSD'!$Q$80</f>
        <v>22.072236211395669</v>
      </c>
      <c r="R71" s="30">
        <f>'TR TUSD'!$R$71*'TR TUSD'!$R$80</f>
        <v>8.8011096038405867</v>
      </c>
      <c r="S71" s="30">
        <f>'TR TUSD'!$S$71*'TR TUSD'!$S$80</f>
        <v>0</v>
      </c>
      <c r="T71" s="30">
        <f ca="1">SUM($L$71:$S$71)</f>
        <v>36.484199874774667</v>
      </c>
      <c r="U71" s="30">
        <f>'TR TUSD'!$U$71*'TR TUSD'!$U$80</f>
        <v>12.64832842834857</v>
      </c>
      <c r="V71" s="30">
        <f>'TR TUSD'!$V$71*'TR TUSD'!$V$80</f>
        <v>2.7113369279741892</v>
      </c>
      <c r="W71" s="30">
        <f>'TR TUSD'!$W$71*'TR TUSD'!$W$80</f>
        <v>2.749291703023319</v>
      </c>
      <c r="X71" s="30">
        <f>'TR TUSD'!$X$71*'TR TUSD'!$X$80</f>
        <v>0</v>
      </c>
      <c r="Y71" s="30">
        <f>'TR TUSD'!$Y$71*'TR TUSD'!$Y$80</f>
        <v>0</v>
      </c>
      <c r="Z71" s="30">
        <f>'TR TUSD'!$Z$71</f>
        <v>0</v>
      </c>
      <c r="AA71" s="30">
        <f>'TR TUSD'!$AA$71</f>
        <v>0</v>
      </c>
      <c r="AB71" s="30">
        <f>SUM($U$71:$AA$71)</f>
        <v>18.108957059346078</v>
      </c>
      <c r="AC71" s="30">
        <f>'TR TUSD'!$AC$71*'TR TUSD'!$AC$80</f>
        <v>176.04243956937273</v>
      </c>
      <c r="AD71" s="30">
        <f>SUM($AC$71:$AC$71)</f>
        <v>176.04243956937273</v>
      </c>
      <c r="AE71" s="30">
        <v>0</v>
      </c>
      <c r="AF71" s="30">
        <v>0</v>
      </c>
      <c r="AG71" s="30">
        <f>SUM($AE$71:$AF$71)</f>
        <v>0</v>
      </c>
      <c r="AH71" s="30">
        <f>'TR TUSD'!$AH$71*'TR TUSD'!$AH$80</f>
        <v>16.251079133620539</v>
      </c>
      <c r="AI71" s="30">
        <f>'TR TUSD'!$AI$71*'TR TUSD'!$AI$80</f>
        <v>0.57859762030945094</v>
      </c>
      <c r="AJ71" s="30">
        <f ca="1">'TR TUSD'!$AJ$71*'TR TUSD'!$AJ$80</f>
        <v>4.8426366132547818</v>
      </c>
      <c r="AK71" s="30">
        <f ca="1">'TR TUSD'!$AK$71*'TR TUSD'!$AK$80</f>
        <v>0</v>
      </c>
      <c r="AL71" s="30">
        <f ca="1">SUM($AH$71:$AK$71)</f>
        <v>21.672313367184774</v>
      </c>
      <c r="AM71" s="30">
        <f ca="1">SUMIF($L$4:$AL$4,"SUBTOTAL",$L$71:$AL$71)</f>
        <v>252.30790987067826</v>
      </c>
      <c r="AP71" s="30">
        <f>IF((1 - CUSTOS!$M$33)&lt;&gt;0,1/(1 - CUSTOS!$M$33),1)</f>
        <v>1.6666666666666667</v>
      </c>
    </row>
    <row r="73" spans="1:42" ht="11.25" customHeight="1" x14ac:dyDescent="0.25">
      <c r="K73" s="31" t="s">
        <v>957</v>
      </c>
      <c r="L73" s="30">
        <f>SUMPRODUCT($I$5:$I71,$L$5:$L71)</f>
        <v>9196083.9939750805</v>
      </c>
      <c r="M73" s="30">
        <f>SUMPRODUCT($I$5:$I71,$M$5:$M71)</f>
        <v>2813581.8231646819</v>
      </c>
      <c r="N73" s="30">
        <f ca="1">SUMPRODUCT($I$5:$I71,$N$5:$N71)</f>
        <v>7755167.4597906601</v>
      </c>
      <c r="O73" s="30">
        <f>SUMPRODUCT($I$5:$I71,$O$5:$O71)</f>
        <v>72430.71428571429</v>
      </c>
      <c r="P73" s="30">
        <f>SUMPRODUCT($I$5:$I71,$P$5:$P71)</f>
        <v>0</v>
      </c>
      <c r="Q73" s="30">
        <f>SUMPRODUCT($I$5:$I71,$Q$5:$Q71)</f>
        <v>80903572.193443418</v>
      </c>
      <c r="R73" s="30">
        <f>SUMPRODUCT($I$5:$I71,$R$5:$R71)</f>
        <v>35275305.42148526</v>
      </c>
      <c r="S73" s="30">
        <f>SUMPRODUCT($I$5:$I71,$S$5:$S71)</f>
        <v>0</v>
      </c>
      <c r="T73" s="30">
        <f ca="1">SUMPRODUCT($I$5:$I71,$T$5:$T71)</f>
        <v>136016141.60614485</v>
      </c>
      <c r="U73" s="30">
        <f>SUMPRODUCT($I$5:$I71,$U$5:$U71)</f>
        <v>66354216.574999996</v>
      </c>
      <c r="V73" s="30">
        <f>SUMPRODUCT($I$5:$I71,$V$5:$V71)</f>
        <v>14020374.309999999</v>
      </c>
      <c r="W73" s="30">
        <f>SUMPRODUCT($I$5:$I71,$W$5:$W71)</f>
        <v>13787977.046372</v>
      </c>
      <c r="X73" s="30">
        <f>SUMPRODUCT($I$5:$I71,$X$5:$X71)</f>
        <v>0</v>
      </c>
      <c r="Y73" s="30">
        <f>SUMPRODUCT($I$5:$I71,$Y$5:$Y71)</f>
        <v>0</v>
      </c>
      <c r="Z73" s="30">
        <f>SUMPRODUCT($I$5:$I71,$Z$5:$Z71)</f>
        <v>0</v>
      </c>
      <c r="AA73" s="30">
        <f>SUMPRODUCT($I$5:$I71,$AA$5:$AA71)</f>
        <v>0</v>
      </c>
      <c r="AB73" s="30">
        <f>SUMPRODUCT($I$5:$I71,$AB$5:$AB71)</f>
        <v>94162567.931371987</v>
      </c>
      <c r="AC73" s="30">
        <f>SUMPRODUCT($I$5:$I71,$AC$5:$AC71)</f>
        <v>671282151.56856966</v>
      </c>
      <c r="AD73" s="30">
        <f>SUMPRODUCT($I$5:$I71,$AD$5:$AD71)</f>
        <v>671282151.56856966</v>
      </c>
      <c r="AE73" s="30">
        <f>SUMPRODUCT($I$5:$I71,$AE$5:$AE71)</f>
        <v>0</v>
      </c>
      <c r="AF73" s="30">
        <f>SUMPRODUCT($I$5:$I71,$AF$5:$AF71)</f>
        <v>0</v>
      </c>
      <c r="AG73" s="30">
        <f>SUMPRODUCT($I$5:$I71,$AG$5:$AG71)</f>
        <v>0</v>
      </c>
      <c r="AH73" s="30">
        <f>SUMPRODUCT($I$5:$I71,$AH$5:$AH71)</f>
        <v>57619491.485931307</v>
      </c>
      <c r="AI73" s="30">
        <f>SUMPRODUCT($I$5:$I71,$AI$5:$AI71)</f>
        <v>2188458.5078138295</v>
      </c>
      <c r="AJ73" s="30">
        <f ca="1">SUMPRODUCT($I$5:$I71,$AJ$5:$AJ71)</f>
        <v>19167895.694794998</v>
      </c>
      <c r="AK73" s="30">
        <f ca="1">SUMPRODUCT($I$5:$I71,$AK$5:$AK71)</f>
        <v>0</v>
      </c>
      <c r="AL73" s="30">
        <f ca="1">SUMPRODUCT($I$5:$I71,$AL$5:$AL71)</f>
        <v>78975845.688540116</v>
      </c>
      <c r="AM73" s="30">
        <f ca="1">SUMPRODUCT($I$5:$I71,$AM$5:$AM71)</f>
        <v>980436706.79462659</v>
      </c>
    </row>
    <row r="74" spans="1:42" ht="11.25" customHeight="1" x14ac:dyDescent="0.25">
      <c r="K74" s="31" t="s">
        <v>899</v>
      </c>
      <c r="L74" s="30">
        <f>'TR TUSD'!$L$76</f>
        <v>9196083.9939750805</v>
      </c>
      <c r="M74" s="30">
        <f>'TR TUSD'!$M$76</f>
        <v>2819440.2570200874</v>
      </c>
      <c r="N74" s="30">
        <f>'TR TUSD'!$N$76</f>
        <v>7769668.5333095053</v>
      </c>
      <c r="O74" s="30">
        <f>'TR TUSD'!$O$76</f>
        <v>72430.71428571429</v>
      </c>
      <c r="P74" s="30">
        <f>'TR TUSD'!$P$76</f>
        <v>0</v>
      </c>
      <c r="Q74" s="30">
        <f>'TR TUSD'!$Q$76</f>
        <v>80903572.193443432</v>
      </c>
      <c r="R74" s="30">
        <f>'TR TUSD'!$R$76</f>
        <v>35275305.42148526</v>
      </c>
      <c r="S74" s="30">
        <f>'TR TUSD'!$S$76</f>
        <v>0</v>
      </c>
      <c r="T74" s="30">
        <f>'TR TUSD'!$T$76</f>
        <v>136036501.11351907</v>
      </c>
      <c r="U74" s="30">
        <f>'TR TUSD'!$U$76</f>
        <v>66354216.574999996</v>
      </c>
      <c r="V74" s="30">
        <f>'TR TUSD'!$V$76</f>
        <v>14020374.309999999</v>
      </c>
      <c r="W74" s="30">
        <f>'TR TUSD'!$W$76</f>
        <v>13787977.046372</v>
      </c>
      <c r="X74" s="30">
        <f>'TR TUSD'!$X$76</f>
        <v>0</v>
      </c>
      <c r="Y74" s="30">
        <f>'TR TUSD'!$Y$76</f>
        <v>0</v>
      </c>
      <c r="Z74" s="30">
        <f>'TR TUSD'!$Z$76</f>
        <v>0</v>
      </c>
      <c r="AA74" s="30">
        <f>'TR TUSD'!$AA$76</f>
        <v>0</v>
      </c>
      <c r="AB74" s="30">
        <f>'TR TUSD'!$AB$76</f>
        <v>94162567.931371987</v>
      </c>
      <c r="AC74" s="30">
        <f>'TR TUSD'!$AC$76</f>
        <v>672726400.49279642</v>
      </c>
      <c r="AD74" s="30">
        <f>'TR TUSD'!$AD$76</f>
        <v>672726400.49279642</v>
      </c>
      <c r="AE74" s="30">
        <f>'TR TUSD'!$AE$76</f>
        <v>0</v>
      </c>
      <c r="AF74" s="30">
        <f>'TR TUSD'!$AF$76</f>
        <v>0</v>
      </c>
      <c r="AG74" s="30">
        <f>'TR TUSD'!$AG$76</f>
        <v>0</v>
      </c>
      <c r="AH74" s="30">
        <f>'TR TUSD'!$AH$76</f>
        <v>57619491.4859313</v>
      </c>
      <c r="AI74" s="30">
        <f>'TR TUSD'!$AI$76</f>
        <v>2188458.5078138295</v>
      </c>
      <c r="AJ74" s="30">
        <f>'TR TUSD'!$AJ$76</f>
        <v>19167895.694794998</v>
      </c>
      <c r="AK74" s="30">
        <f>'TR TUSD'!$AK$76</f>
        <v>0</v>
      </c>
      <c r="AL74" s="30">
        <f>'TR TUSD'!$AL$76</f>
        <v>78975845.688540131</v>
      </c>
      <c r="AM74" s="30">
        <f>CUSTOS!$D$29</f>
        <v>981901315.22622764</v>
      </c>
    </row>
    <row r="75" spans="1:42" ht="11.25" customHeight="1" x14ac:dyDescent="0.25">
      <c r="K75" s="31" t="s">
        <v>900</v>
      </c>
      <c r="L75" s="30">
        <f>CUSTOS!$E$2</f>
        <v>-947132.87540617387</v>
      </c>
      <c r="M75" s="30">
        <f>CUSTOS!$E$3</f>
        <v>-105920.11826814646</v>
      </c>
      <c r="N75" s="30">
        <f>CUSTOS!$E$4</f>
        <v>-3759.7021670353647</v>
      </c>
      <c r="O75" s="30">
        <f>CUSTOS!$E$5</f>
        <v>-2345.145174379415</v>
      </c>
      <c r="P75" s="30">
        <f>CUSTOS!$E$6</f>
        <v>0</v>
      </c>
      <c r="Q75" s="30">
        <f>CUSTOS!$E$7</f>
        <v>-1886172.7669576753</v>
      </c>
      <c r="R75" s="30">
        <f>CUSTOS!$E$8</f>
        <v>-1067406.6347898261</v>
      </c>
      <c r="S75" s="30">
        <f>CUSTOS!$E$9</f>
        <v>0</v>
      </c>
      <c r="T75" s="30">
        <f>CUSTOS!$E$10</f>
        <v>-4012737.2427632371</v>
      </c>
      <c r="U75" s="30">
        <f>CUSTOS!$E$11</f>
        <v>13547919.948633119</v>
      </c>
      <c r="V75" s="30">
        <f>CUSTOS!$E$12</f>
        <v>0</v>
      </c>
      <c r="W75" s="30">
        <f>CUSTOS!$E$13</f>
        <v>0</v>
      </c>
      <c r="X75" s="30">
        <f>CUSTOS!$E$14</f>
        <v>0</v>
      </c>
      <c r="Y75" s="30">
        <f>CUSTOS!$E$15</f>
        <v>0</v>
      </c>
      <c r="Z75" s="30">
        <f>CUSTOS!$E$16</f>
        <v>0</v>
      </c>
      <c r="AA75" s="30">
        <f>CUSTOS!$E$17</f>
        <v>0</v>
      </c>
      <c r="AB75" s="30">
        <f>CUSTOS!$E$18</f>
        <v>13547919.948633119</v>
      </c>
      <c r="AC75" s="30">
        <f>CUSTOS!$E$19</f>
        <v>37946865.750737622</v>
      </c>
      <c r="AD75" s="30">
        <f>CUSTOS!$E$20</f>
        <v>37946865.750737622</v>
      </c>
      <c r="AE75" s="30">
        <f>CUSTOS!$E$21</f>
        <v>-81038980.485481143</v>
      </c>
      <c r="AF75" s="30">
        <f>CUSTOS!$E$22</f>
        <v>0</v>
      </c>
      <c r="AG75" s="30">
        <f>CUSTOS!$E$23</f>
        <v>-81038980.485481143</v>
      </c>
      <c r="AH75" s="30">
        <f>CUSTOS!$E$24</f>
        <v>-4279028.37978708</v>
      </c>
      <c r="AI75" s="30">
        <f>CUSTOS!$E$25</f>
        <v>-162522.71273876732</v>
      </c>
      <c r="AJ75" s="30">
        <f>CUSTOS!$E$26</f>
        <v>-1423476.1110110257</v>
      </c>
      <c r="AK75" s="30">
        <f>CUSTOS!$E$27</f>
        <v>0</v>
      </c>
      <c r="AL75" s="30">
        <f>CUSTOS!$E$28</f>
        <v>-5865027.2035368728</v>
      </c>
      <c r="AM75" s="30">
        <f>CUSTOS!$E$29</f>
        <v>-39421959.232410513</v>
      </c>
    </row>
    <row r="76" spans="1:42" ht="11.25" customHeight="1" x14ac:dyDescent="0.25">
      <c r="K76" s="31" t="s">
        <v>901</v>
      </c>
      <c r="L76" s="30">
        <f>CUSTOS!$F$2</f>
        <v>597884.03521849692</v>
      </c>
      <c r="M76" s="30">
        <f>CUSTOS!$F$3</f>
        <v>0</v>
      </c>
      <c r="N76" s="30">
        <f>CUSTOS!$F$4</f>
        <v>0</v>
      </c>
      <c r="O76" s="30">
        <f>CUSTOS!$F$5</f>
        <v>0</v>
      </c>
      <c r="P76" s="30">
        <f>CUSTOS!$F$6</f>
        <v>0</v>
      </c>
      <c r="Q76" s="30">
        <f>CUSTOS!$F$7</f>
        <v>7068141.1884434102</v>
      </c>
      <c r="R76" s="30">
        <f>CUSTOS!$F$8</f>
        <v>4134879.6753578046</v>
      </c>
      <c r="S76" s="30">
        <f>CUSTOS!$F$9</f>
        <v>0</v>
      </c>
      <c r="T76" s="30">
        <f>CUSTOS!$F$10</f>
        <v>11800904.899019711</v>
      </c>
      <c r="U76" s="30">
        <f>CUSTOS!$F$11</f>
        <v>3714194.3638990573</v>
      </c>
      <c r="V76" s="30">
        <f>CUSTOS!$F$12</f>
        <v>784794.06328454765</v>
      </c>
      <c r="W76" s="30">
        <f>CUSTOS!$F$13</f>
        <v>0</v>
      </c>
      <c r="X76" s="30">
        <f>CUSTOS!$F$14</f>
        <v>0</v>
      </c>
      <c r="Y76" s="30">
        <f>CUSTOS!$F$15</f>
        <v>0</v>
      </c>
      <c r="Z76" s="30">
        <f>CUSTOS!$F$16</f>
        <v>0</v>
      </c>
      <c r="AA76" s="30">
        <f>CUSTOS!$F$17</f>
        <v>0</v>
      </c>
      <c r="AB76" s="30">
        <f>CUSTOS!$F$18</f>
        <v>4498988.4271836048</v>
      </c>
      <c r="AC76" s="30">
        <f>CUSTOS!$F$19</f>
        <v>0</v>
      </c>
      <c r="AD76" s="30">
        <f>CUSTOS!$F$20</f>
        <v>0</v>
      </c>
      <c r="AE76" s="30">
        <f>CUSTOS!$F$21</f>
        <v>0</v>
      </c>
      <c r="AF76" s="30">
        <f>CUSTOS!$F$22</f>
        <v>0</v>
      </c>
      <c r="AG76" s="30">
        <f>CUSTOS!$F$23</f>
        <v>0</v>
      </c>
      <c r="AH76" s="30">
        <f>CUSTOS!$F$24</f>
        <v>4177088.773730055</v>
      </c>
      <c r="AI76" s="30">
        <f>CUSTOS!$F$25</f>
        <v>158650.92226638595</v>
      </c>
      <c r="AJ76" s="30">
        <f>CUSTOS!$F$26</f>
        <v>1389564.5355062915</v>
      </c>
      <c r="AK76" s="30">
        <f>CUSTOS!$F$27</f>
        <v>0</v>
      </c>
      <c r="AL76" s="30">
        <f>CUSTOS!$F$28</f>
        <v>5725304.2315027323</v>
      </c>
      <c r="AM76" s="30">
        <f>CUSTOS!$F$29</f>
        <v>22025197.557706051</v>
      </c>
    </row>
    <row r="77" spans="1:42" ht="11.25" customHeight="1" x14ac:dyDescent="0.25">
      <c r="K77" s="31" t="s">
        <v>954</v>
      </c>
      <c r="L77" s="30">
        <v>0</v>
      </c>
      <c r="M77" s="30">
        <f>5104.4761*(1+CUSTOS!$M$4)</f>
        <v>5858.4338554054148</v>
      </c>
      <c r="N77" s="30">
        <f>12634.8415*(1+CUSTOS!$M$4)</f>
        <v>14501.073518843852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f>SUM($L$77:$S$77)</f>
        <v>20359.507374249268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f>SUM($U$77:$AA$77)</f>
        <v>0</v>
      </c>
      <c r="AC77" s="30">
        <f>1258379.6793*(1+CUSTOS!$M$4)</f>
        <v>1444248.9242265879</v>
      </c>
      <c r="AD77" s="30">
        <f>SUM($AC$77:$AC$77)</f>
        <v>1444248.9242265879</v>
      </c>
      <c r="AE77" s="30">
        <v>0</v>
      </c>
      <c r="AF77" s="30">
        <v>0</v>
      </c>
      <c r="AG77" s="30">
        <f>SUM($AE$77:$AF$77)</f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f>SUM($AH$77:$AK$77)</f>
        <v>0</v>
      </c>
      <c r="AM77" s="30">
        <f>SUMIF($L$4:$AL$4,"SUBTOTAL",$L$77:$AL$77)</f>
        <v>1464608.431600837</v>
      </c>
      <c r="AO77" s="9">
        <f>AM77/12</f>
        <v>122050.70263340308</v>
      </c>
    </row>
    <row r="78" spans="1:42" ht="11.25" customHeight="1" x14ac:dyDescent="0.25">
      <c r="K78" s="31" t="s">
        <v>958</v>
      </c>
      <c r="L78" s="30">
        <f t="shared" ref="L78:R78" si="0">IF((L73-(0))&lt;&gt;0,(L75)/(L73-(0)),0)</f>
        <v>-0.10299306487703884</v>
      </c>
      <c r="M78" s="30">
        <f t="shared" si="0"/>
        <v>-3.7646006025518326E-2</v>
      </c>
      <c r="N78" s="30">
        <f t="shared" ca="1" si="0"/>
        <v>-4.8479961090831851E-4</v>
      </c>
      <c r="O78" s="30">
        <f t="shared" si="0"/>
        <v>-3.2377772295998947E-2</v>
      </c>
      <c r="P78" s="30">
        <f t="shared" si="0"/>
        <v>0</v>
      </c>
      <c r="Q78" s="30">
        <f t="shared" si="0"/>
        <v>-2.3313837891456347E-2</v>
      </c>
      <c r="R78" s="30">
        <f t="shared" si="0"/>
        <v>-3.0259316596581383E-2</v>
      </c>
      <c r="S78" s="30">
        <f>IF((R73-(0)&lt;&gt;0),(S75)/(R73-(0)),0)</f>
        <v>0</v>
      </c>
      <c r="T78" s="30"/>
      <c r="U78" s="30">
        <f t="shared" ref="U78:AA78" si="1">IF((U73-(0))&lt;&gt;0,(U75)/(U73-(0)),0)</f>
        <v>0.20417572006625895</v>
      </c>
      <c r="V78" s="30">
        <f t="shared" si="1"/>
        <v>0</v>
      </c>
      <c r="W78" s="30">
        <f t="shared" si="1"/>
        <v>0</v>
      </c>
      <c r="X78" s="30">
        <f t="shared" si="1"/>
        <v>0</v>
      </c>
      <c r="Y78" s="30">
        <f t="shared" si="1"/>
        <v>0</v>
      </c>
      <c r="Z78" s="30">
        <f t="shared" si="1"/>
        <v>0</v>
      </c>
      <c r="AA78" s="30">
        <f t="shared" si="1"/>
        <v>0</v>
      </c>
      <c r="AB78" s="30"/>
      <c r="AC78" s="30">
        <f>IF((AC73-(0))&lt;&gt;0,(AC75)/(AC73-(0)),0)</f>
        <v>5.6528935950506128E-2</v>
      </c>
      <c r="AD78" s="30"/>
      <c r="AE78" s="30">
        <f ca="1">IF(($AM73-(0))&lt;&gt;0,(AE75)/($AM73-(0)),0)</f>
        <v>-8.2656004129450136E-2</v>
      </c>
      <c r="AF78" s="30">
        <f ca="1">IF(($AM73-(0))&lt;&gt;0,(AF75)/($AM73-(0)),0)</f>
        <v>0</v>
      </c>
      <c r="AG78" s="30"/>
      <c r="AH78" s="30">
        <f>IF((AH73-(0))&lt;&gt;0,(AH75)/(AH73-(0)),0)</f>
        <v>-7.426355681795406E-2</v>
      </c>
      <c r="AI78" s="30">
        <f>IF((AI73-(0))&lt;&gt;0,(AI75)/(AI73-(0)),0)</f>
        <v>-7.4263556817954074E-2</v>
      </c>
      <c r="AJ78" s="30">
        <f ca="1">IF((AJ73-(0))&lt;&gt;0,(AJ75)/(AJ73-(0)),0)</f>
        <v>-7.4263556817954088E-2</v>
      </c>
      <c r="AK78" s="30">
        <f ca="1">IF((AK73-(0))&lt;&gt;0,(AK75)/(AK73-(0)),0)</f>
        <v>0</v>
      </c>
      <c r="AL78" s="30"/>
      <c r="AM78" s="30"/>
    </row>
    <row r="81" spans="11:39" ht="11.25" customHeight="1" x14ac:dyDescent="0.25">
      <c r="K81" s="31" t="s">
        <v>950</v>
      </c>
      <c r="L81" s="30"/>
      <c r="M81" s="30">
        <v>5858.4339</v>
      </c>
      <c r="N81" s="30">
        <v>14501.0735</v>
      </c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>
        <v>1444248.9242</v>
      </c>
      <c r="AD81" s="30"/>
      <c r="AE81" s="30"/>
      <c r="AF81" s="30"/>
      <c r="AG81" s="30"/>
      <c r="AH81" s="30"/>
      <c r="AI81" s="30"/>
      <c r="AJ81" s="30"/>
      <c r="AK81" s="30"/>
      <c r="AL81" s="30"/>
      <c r="AM81" s="30"/>
    </row>
  </sheetData>
  <mergeCells count="92">
    <mergeCell ref="E65:E67"/>
    <mergeCell ref="F65:F67"/>
    <mergeCell ref="A70:A71"/>
    <mergeCell ref="B70:B71"/>
    <mergeCell ref="C70:C71"/>
    <mergeCell ref="D65:D67"/>
    <mergeCell ref="B62:B64"/>
    <mergeCell ref="C62:C64"/>
    <mergeCell ref="A65:A69"/>
    <mergeCell ref="B65:B67"/>
    <mergeCell ref="C65:C67"/>
    <mergeCell ref="A50:A64"/>
    <mergeCell ref="B50:B52"/>
    <mergeCell ref="C50:C52"/>
    <mergeCell ref="B58:B60"/>
    <mergeCell ref="C58:C60"/>
    <mergeCell ref="B54:B56"/>
    <mergeCell ref="C54:C56"/>
    <mergeCell ref="D58:D60"/>
    <mergeCell ref="E58:E60"/>
    <mergeCell ref="F58:F60"/>
    <mergeCell ref="D50:D52"/>
    <mergeCell ref="E50:E52"/>
    <mergeCell ref="F50:F52"/>
    <mergeCell ref="D54:D56"/>
    <mergeCell ref="E54:E56"/>
    <mergeCell ref="F54:F56"/>
    <mergeCell ref="F37:F39"/>
    <mergeCell ref="B40:B44"/>
    <mergeCell ref="C40:C44"/>
    <mergeCell ref="B45:B49"/>
    <mergeCell ref="C45:C49"/>
    <mergeCell ref="A37:A49"/>
    <mergeCell ref="B37:B39"/>
    <mergeCell ref="C37:C39"/>
    <mergeCell ref="D37:D39"/>
    <mergeCell ref="E37:E39"/>
    <mergeCell ref="F30:F32"/>
    <mergeCell ref="E33:E34"/>
    <mergeCell ref="F33:F34"/>
    <mergeCell ref="A35:A36"/>
    <mergeCell ref="B35:B36"/>
    <mergeCell ref="C35:C36"/>
    <mergeCell ref="D35:D36"/>
    <mergeCell ref="A13:A34"/>
    <mergeCell ref="B30:B34"/>
    <mergeCell ref="C30:C34"/>
    <mergeCell ref="D30:D34"/>
    <mergeCell ref="E30:E32"/>
    <mergeCell ref="F13:F15"/>
    <mergeCell ref="B17:B28"/>
    <mergeCell ref="C17:C28"/>
    <mergeCell ref="D17:D28"/>
    <mergeCell ref="E17:E28"/>
    <mergeCell ref="F17:F19"/>
    <mergeCell ref="F20:F22"/>
    <mergeCell ref="F23:F25"/>
    <mergeCell ref="F26:F28"/>
    <mergeCell ref="B13:B16"/>
    <mergeCell ref="C13:C16"/>
    <mergeCell ref="D13:D16"/>
    <mergeCell ref="E13:E15"/>
    <mergeCell ref="A1:A4"/>
    <mergeCell ref="C9:C11"/>
    <mergeCell ref="D9:D11"/>
    <mergeCell ref="E9:E11"/>
    <mergeCell ref="B1:B4"/>
    <mergeCell ref="C1:C4"/>
    <mergeCell ref="D1:D4"/>
    <mergeCell ref="E1:E4"/>
    <mergeCell ref="F9:F11"/>
    <mergeCell ref="F5:F7"/>
    <mergeCell ref="B9:B11"/>
    <mergeCell ref="A5:A12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73">
    <cfRule type="cellIs" dxfId="1641" priority="55" operator="notEqual">
      <formula>$L$74-$L$77</formula>
    </cfRule>
    <cfRule type="cellIs" dxfId="1640" priority="56" operator="equal">
      <formula>$L$74-$L$77</formula>
    </cfRule>
  </conditionalFormatting>
  <conditionalFormatting sqref="M73">
    <cfRule type="cellIs" dxfId="1639" priority="53" operator="notEqual">
      <formula>$M$74-$M$77</formula>
    </cfRule>
    <cfRule type="cellIs" dxfId="1638" priority="54" operator="equal">
      <formula>$M$74-$M$77</formula>
    </cfRule>
  </conditionalFormatting>
  <conditionalFormatting sqref="N73">
    <cfRule type="cellIs" dxfId="1637" priority="51" operator="notEqual">
      <formula>$N$74-$N$77</formula>
    </cfRule>
    <cfRule type="cellIs" dxfId="1636" priority="52" operator="equal">
      <formula>$N$74-$N$77</formula>
    </cfRule>
  </conditionalFormatting>
  <conditionalFormatting sqref="O73">
    <cfRule type="cellIs" dxfId="1635" priority="49" operator="notEqual">
      <formula>$O$74-$O$77</formula>
    </cfRule>
    <cfRule type="cellIs" dxfId="1634" priority="50" operator="equal">
      <formula>$O$74-$O$77</formula>
    </cfRule>
  </conditionalFormatting>
  <conditionalFormatting sqref="P73">
    <cfRule type="cellIs" dxfId="1633" priority="47" operator="notEqual">
      <formula>$P$74-$P$77</formula>
    </cfRule>
    <cfRule type="cellIs" dxfId="1632" priority="48" operator="equal">
      <formula>$P$74-$P$77</formula>
    </cfRule>
  </conditionalFormatting>
  <conditionalFormatting sqref="Q73">
    <cfRule type="cellIs" dxfId="1631" priority="45" operator="notEqual">
      <formula>$Q$74-$Q$77</formula>
    </cfRule>
    <cfRule type="cellIs" dxfId="1630" priority="46" operator="equal">
      <formula>$Q$74-$Q$77</formula>
    </cfRule>
  </conditionalFormatting>
  <conditionalFormatting sqref="R73">
    <cfRule type="cellIs" dxfId="1629" priority="43" operator="notEqual">
      <formula>$R$74-$R$77</formula>
    </cfRule>
    <cfRule type="cellIs" dxfId="1628" priority="44" operator="equal">
      <formula>$R$74-$R$77</formula>
    </cfRule>
  </conditionalFormatting>
  <conditionalFormatting sqref="S73">
    <cfRule type="cellIs" dxfId="1627" priority="41" operator="notEqual">
      <formula>$S$74-$S$77</formula>
    </cfRule>
    <cfRule type="cellIs" dxfId="1626" priority="42" operator="equal">
      <formula>$S$74-$S$77</formula>
    </cfRule>
  </conditionalFormatting>
  <conditionalFormatting sqref="T73">
    <cfRule type="cellIs" dxfId="1625" priority="39" operator="notEqual">
      <formula>$T$74-$T$77</formula>
    </cfRule>
    <cfRule type="cellIs" dxfId="1624" priority="40" operator="equal">
      <formula>$T$74-$T$77</formula>
    </cfRule>
  </conditionalFormatting>
  <conditionalFormatting sqref="U73">
    <cfRule type="cellIs" dxfId="1623" priority="37" operator="notEqual">
      <formula>$U$74-$U$77</formula>
    </cfRule>
    <cfRule type="cellIs" dxfId="1622" priority="38" operator="equal">
      <formula>$U$74-$U$77</formula>
    </cfRule>
  </conditionalFormatting>
  <conditionalFormatting sqref="V73">
    <cfRule type="cellIs" dxfId="1621" priority="35" operator="notEqual">
      <formula>$V$74-$V$77</formula>
    </cfRule>
    <cfRule type="cellIs" dxfId="1620" priority="36" operator="equal">
      <formula>$V$74-$V$77</formula>
    </cfRule>
  </conditionalFormatting>
  <conditionalFormatting sqref="W73">
    <cfRule type="cellIs" dxfId="1619" priority="33" operator="notEqual">
      <formula>$W$74-$W$77</formula>
    </cfRule>
    <cfRule type="cellIs" dxfId="1618" priority="34" operator="equal">
      <formula>$W$74-$W$77</formula>
    </cfRule>
  </conditionalFormatting>
  <conditionalFormatting sqref="X73">
    <cfRule type="cellIs" dxfId="1617" priority="31" operator="notEqual">
      <formula>$X$74-$X$77</formula>
    </cfRule>
    <cfRule type="cellIs" dxfId="1616" priority="32" operator="equal">
      <formula>$X$74-$X$77</formula>
    </cfRule>
  </conditionalFormatting>
  <conditionalFormatting sqref="Y73">
    <cfRule type="cellIs" dxfId="1615" priority="29" operator="notEqual">
      <formula>$Y$74-$Y$77</formula>
    </cfRule>
    <cfRule type="cellIs" dxfId="1614" priority="30" operator="equal">
      <formula>$Y$74-$Y$77</formula>
    </cfRule>
  </conditionalFormatting>
  <conditionalFormatting sqref="Z73">
    <cfRule type="cellIs" dxfId="1613" priority="27" operator="notEqual">
      <formula>$Z$74-$Z$77</formula>
    </cfRule>
    <cfRule type="cellIs" dxfId="1612" priority="28" operator="equal">
      <formula>$Z$74-$Z$77</formula>
    </cfRule>
  </conditionalFormatting>
  <conditionalFormatting sqref="AA73">
    <cfRule type="cellIs" dxfId="1611" priority="25" operator="notEqual">
      <formula>$AA$74-$AA$77</formula>
    </cfRule>
    <cfRule type="cellIs" dxfId="1610" priority="26" operator="equal">
      <formula>$AA$74-$AA$77</formula>
    </cfRule>
  </conditionalFormatting>
  <conditionalFormatting sqref="AB73">
    <cfRule type="cellIs" dxfId="1609" priority="23" operator="notEqual">
      <formula>$AB$74-$AB$77</formula>
    </cfRule>
    <cfRule type="cellIs" dxfId="1608" priority="24" operator="equal">
      <formula>$AB$74-$AB$77</formula>
    </cfRule>
  </conditionalFormatting>
  <conditionalFormatting sqref="AC73">
    <cfRule type="cellIs" dxfId="1607" priority="21" operator="notEqual">
      <formula>$AC$74-$AC$77</formula>
    </cfRule>
    <cfRule type="cellIs" dxfId="1606" priority="22" operator="equal">
      <formula>$AC$74-$AC$77</formula>
    </cfRule>
  </conditionalFormatting>
  <conditionalFormatting sqref="AD73">
    <cfRule type="cellIs" dxfId="1605" priority="19" operator="notEqual">
      <formula>$AD$74-$AD$77</formula>
    </cfRule>
    <cfRule type="cellIs" dxfId="1604" priority="20" operator="equal">
      <formula>$AD$74-$AD$77</formula>
    </cfRule>
  </conditionalFormatting>
  <conditionalFormatting sqref="AE73">
    <cfRule type="cellIs" dxfId="1603" priority="17" operator="notEqual">
      <formula>$AE$74-$AE$77</formula>
    </cfRule>
    <cfRule type="cellIs" dxfId="1602" priority="18" operator="equal">
      <formula>$AE$74-$AE$77</formula>
    </cfRule>
  </conditionalFormatting>
  <conditionalFormatting sqref="AF73">
    <cfRule type="cellIs" dxfId="1601" priority="16" operator="equal">
      <formula>$AF$74-$AF$77</formula>
    </cfRule>
  </conditionalFormatting>
  <conditionalFormatting sqref="AF73">
    <cfRule type="cellIs" dxfId="1600" priority="15" operator="notEqual">
      <formula>$AF$74-$AF$77</formula>
    </cfRule>
  </conditionalFormatting>
  <conditionalFormatting sqref="AG73">
    <cfRule type="cellIs" dxfId="1599" priority="14" operator="equal">
      <formula>$AG$74-$AG$77</formula>
    </cfRule>
  </conditionalFormatting>
  <conditionalFormatting sqref="AG73">
    <cfRule type="cellIs" dxfId="1598" priority="13" operator="notEqual">
      <formula>$AG$74-$AG$77</formula>
    </cfRule>
  </conditionalFormatting>
  <conditionalFormatting sqref="AH73">
    <cfRule type="cellIs" dxfId="1597" priority="12" operator="equal">
      <formula>$AH$74-$AH$77</formula>
    </cfRule>
  </conditionalFormatting>
  <conditionalFormatting sqref="AH73">
    <cfRule type="cellIs" dxfId="1596" priority="11" operator="notEqual">
      <formula>$AH$74-$AH$77</formula>
    </cfRule>
  </conditionalFormatting>
  <conditionalFormatting sqref="AI73">
    <cfRule type="cellIs" dxfId="1595" priority="10" operator="equal">
      <formula>$AI$74-$AI$77</formula>
    </cfRule>
  </conditionalFormatting>
  <conditionalFormatting sqref="AI73">
    <cfRule type="cellIs" dxfId="1594" priority="9" operator="notEqual">
      <formula>$AI$74-$AI$77</formula>
    </cfRule>
  </conditionalFormatting>
  <conditionalFormatting sqref="AJ73">
    <cfRule type="cellIs" dxfId="1593" priority="8" operator="equal">
      <formula>$AJ$74-$AJ$77</formula>
    </cfRule>
  </conditionalFormatting>
  <conditionalFormatting sqref="AJ73">
    <cfRule type="cellIs" dxfId="1592" priority="7" operator="notEqual">
      <formula>$AJ$74-$AJ$77</formula>
    </cfRule>
  </conditionalFormatting>
  <conditionalFormatting sqref="AK73">
    <cfRule type="cellIs" dxfId="1591" priority="6" operator="equal">
      <formula>$AK$74-$AK$77</formula>
    </cfRule>
  </conditionalFormatting>
  <conditionalFormatting sqref="AK73">
    <cfRule type="cellIs" dxfId="1590" priority="5" operator="notEqual">
      <formula>$AK$74-$AK$77</formula>
    </cfRule>
  </conditionalFormatting>
  <conditionalFormatting sqref="AL73">
    <cfRule type="cellIs" dxfId="1589" priority="4" operator="equal">
      <formula>$AL$74-$AL$77</formula>
    </cfRule>
  </conditionalFormatting>
  <conditionalFormatting sqref="AL73">
    <cfRule type="cellIs" dxfId="1588" priority="3" operator="notEqual">
      <formula>$AL$74-$AL$77</formula>
    </cfRule>
  </conditionalFormatting>
  <conditionalFormatting sqref="AM73">
    <cfRule type="cellIs" dxfId="1587" priority="2" operator="equal">
      <formula>$AM$74-$AM$77</formula>
    </cfRule>
  </conditionalFormatting>
  <conditionalFormatting sqref="AM73">
    <cfRule type="cellIs" dxfId="1586" priority="1" operator="notEqual">
      <formula>$AM$74-$AM$77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68BF-F929-4597-8906-ED0026E8C1AF}">
  <dimension ref="A1:AP84"/>
  <sheetViews>
    <sheetView showGridLines="0" topLeftCell="AH52" workbookViewId="0">
      <selection activeCell="AO73" sqref="AO73:AP7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7.8554687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0" width="11.7109375" style="9" bestFit="1" customWidth="1"/>
    <col min="21" max="23" width="10.85546875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959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O1" s="36"/>
      <c r="AP1" s="109" t="s">
        <v>949</v>
      </c>
    </row>
    <row r="2" spans="1:42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O2" s="36"/>
      <c r="AP2" s="110"/>
    </row>
    <row r="3" spans="1:42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/>
      <c r="U3" s="105" t="s">
        <v>868</v>
      </c>
      <c r="V3" s="105"/>
      <c r="W3" s="105"/>
      <c r="X3" s="105"/>
      <c r="Y3" s="105"/>
      <c r="Z3" s="105"/>
      <c r="AA3" s="105"/>
      <c r="AB3" s="105"/>
      <c r="AC3" s="105" t="s">
        <v>876</v>
      </c>
      <c r="AD3" s="105"/>
      <c r="AE3" s="105" t="s">
        <v>878</v>
      </c>
      <c r="AF3" s="105"/>
      <c r="AG3" s="105"/>
      <c r="AH3" s="105" t="s">
        <v>881</v>
      </c>
      <c r="AI3" s="105"/>
      <c r="AJ3" s="105"/>
      <c r="AK3" s="105"/>
      <c r="AL3" s="105"/>
      <c r="AM3" s="105" t="s">
        <v>867</v>
      </c>
      <c r="AO3" s="36"/>
      <c r="AP3" s="110"/>
    </row>
    <row r="4" spans="1:42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867</v>
      </c>
      <c r="U4" s="32" t="s">
        <v>869</v>
      </c>
      <c r="V4" s="32" t="s">
        <v>870</v>
      </c>
      <c r="W4" s="32" t="s">
        <v>871</v>
      </c>
      <c r="X4" s="32" t="s">
        <v>872</v>
      </c>
      <c r="Y4" s="32" t="s">
        <v>873</v>
      </c>
      <c r="Z4" s="32" t="s">
        <v>874</v>
      </c>
      <c r="AA4" s="32" t="s">
        <v>875</v>
      </c>
      <c r="AB4" s="32" t="s">
        <v>867</v>
      </c>
      <c r="AC4" s="32" t="s">
        <v>877</v>
      </c>
      <c r="AD4" s="32" t="s">
        <v>867</v>
      </c>
      <c r="AE4" s="32" t="s">
        <v>879</v>
      </c>
      <c r="AF4" s="32" t="s">
        <v>880</v>
      </c>
      <c r="AG4" s="32" t="s">
        <v>867</v>
      </c>
      <c r="AH4" s="32" t="s">
        <v>882</v>
      </c>
      <c r="AI4" s="32" t="s">
        <v>883</v>
      </c>
      <c r="AJ4" s="32" t="s">
        <v>884</v>
      </c>
      <c r="AK4" s="32" t="s">
        <v>885</v>
      </c>
      <c r="AL4" s="32" t="s">
        <v>867</v>
      </c>
      <c r="AM4" s="107"/>
      <c r="AO4" s="37" t="s">
        <v>961</v>
      </c>
      <c r="AP4" s="111"/>
    </row>
    <row r="5" spans="1:42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>
        <f>'TUSD BE'!$L$5*'TUSD BE'!$L$78</f>
        <v>0</v>
      </c>
      <c r="M5" s="30">
        <f>'TUSD BE'!$M$5*'TUSD BE'!$M$78</f>
        <v>0</v>
      </c>
      <c r="N5" s="30">
        <f ca="1">'TUSD BE'!$N$5*'TUSD BE'!$N$78</f>
        <v>0</v>
      </c>
      <c r="O5" s="30">
        <f>'TUSD BE'!$O$5*'TUSD BE'!$O$78</f>
        <v>0</v>
      </c>
      <c r="P5" s="30">
        <f>'TUSD BE'!$P$5*'TUSD BE'!$P$78</f>
        <v>0</v>
      </c>
      <c r="Q5" s="30">
        <f>'TUSD BE'!$Q$5*'TUSD BE'!$Q$78</f>
        <v>0</v>
      </c>
      <c r="R5" s="30">
        <f>'TUSD BE'!$R$5*'TUSD BE'!$R$78</f>
        <v>0</v>
      </c>
      <c r="S5" s="30">
        <f>'TUSD BE'!$R$5*'TUSD BE'!$S$78</f>
        <v>0</v>
      </c>
      <c r="T5" s="30">
        <f ca="1">SUM($L$5:$S$5)</f>
        <v>0</v>
      </c>
      <c r="U5" s="30">
        <f>'TUSD BE'!$U$5*'TUSD BE'!$U$78</f>
        <v>1.1626626628509296</v>
      </c>
      <c r="V5" s="30">
        <f>'TUSD BE'!$V$5*'TUSD BE'!$V$78</f>
        <v>0</v>
      </c>
      <c r="W5" s="30">
        <f>'TUSD BE'!$W$5*'TUSD BE'!$W$78</f>
        <v>0</v>
      </c>
      <c r="X5" s="30">
        <f>'TUSD BE'!$X$5*'TUSD BE'!$X$78</f>
        <v>0</v>
      </c>
      <c r="Y5" s="30">
        <f>'TUSD BE'!$Y$5*'TUSD BE'!$Y$78</f>
        <v>0</v>
      </c>
      <c r="Z5" s="30">
        <f>'TUSD BE'!$Z$5*'TUSD BE'!$Z$78</f>
        <v>0</v>
      </c>
      <c r="AA5" s="30">
        <f>'TUSD BE'!$AA$5*'TUSD BE'!$AA$78</f>
        <v>0</v>
      </c>
      <c r="AB5" s="30">
        <f>SUM($U$5:$AA$5)</f>
        <v>1.1626626628509296</v>
      </c>
      <c r="AC5" s="30">
        <f>'TUSD BE'!$AC$5*'TUSD BE'!$AC$78</f>
        <v>1.3156758070703527</v>
      </c>
      <c r="AD5" s="30">
        <f>SUM($AC$5:$AC$5)</f>
        <v>1.3156758070703527</v>
      </c>
      <c r="AE5" s="30">
        <f ca="1">$AO$5*$AO$75</f>
        <v>-2.5894357270358461</v>
      </c>
      <c r="AF5" s="30">
        <f ca="1">$AP$5*$AP$75</f>
        <v>0</v>
      </c>
      <c r="AG5" s="30">
        <f ca="1">SUM($AE$5:$AF$5)</f>
        <v>-2.5894357270358461</v>
      </c>
      <c r="AH5" s="30">
        <f>'TUSD BE'!$AH$5*'TUSD BE'!$AH$78</f>
        <v>0</v>
      </c>
      <c r="AI5" s="30">
        <f>'TUSD BE'!$AI$5*'TUSD BE'!$AI$78</f>
        <v>0</v>
      </c>
      <c r="AJ5" s="30">
        <f ca="1">'TUSD BE'!$AJ$5*'TUSD BE'!$AJ$78</f>
        <v>0</v>
      </c>
      <c r="AK5" s="30">
        <f ca="1">'TUSD BE'!$AK$5*'TUSD BE'!$AK$78</f>
        <v>0</v>
      </c>
      <c r="AL5" s="30">
        <f ca="1">SUM($AH$5:$AK$5)</f>
        <v>0</v>
      </c>
      <c r="AM5" s="30">
        <f ca="1">SUMIF($L$4:$AL$4,"SUBTOTAL",$L$5:$AL$5)</f>
        <v>-0.11109725711456386</v>
      </c>
      <c r="AO5" s="36">
        <f ca="1">+'TUSD BE'!$T$5+'TUSD BE'!$AB$5+'TUSD BE'!$AD$5+'TUSD BE'!$AL$5</f>
        <v>31.062227828405561</v>
      </c>
      <c r="AP5" s="36">
        <f ca="1">+'TUSD BE'!$T$5+'TUSD BE'!$AB$5+'TUSD BE'!$AD$5+'TUSD BE'!$AL$5</f>
        <v>31.062227828405561</v>
      </c>
    </row>
    <row r="6" spans="1:42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>
        <f>'TUSD BE'!$L$6*'TUSD BE'!$L$78</f>
        <v>0</v>
      </c>
      <c r="M6" s="30">
        <f>'TUSD BE'!$M$6*'TUSD BE'!$M$78</f>
        <v>0</v>
      </c>
      <c r="N6" s="30">
        <f ca="1">'TUSD BE'!$N$6*'TUSD BE'!$N$78</f>
        <v>0</v>
      </c>
      <c r="O6" s="30">
        <f>'TUSD BE'!$O$6*'TUSD BE'!$O$78</f>
        <v>0</v>
      </c>
      <c r="P6" s="30">
        <f>'TUSD BE'!$P$6*'TUSD BE'!$P$78</f>
        <v>0</v>
      </c>
      <c r="Q6" s="30">
        <f>'TUSD BE'!$Q$6*'TUSD BE'!$Q$78</f>
        <v>0</v>
      </c>
      <c r="R6" s="30">
        <f>'TUSD BE'!$R$6*'TUSD BE'!$R$78</f>
        <v>0</v>
      </c>
      <c r="S6" s="30">
        <f>'TUSD BE'!$R$6*'TUSD BE'!$S$78</f>
        <v>0</v>
      </c>
      <c r="T6" s="30">
        <f ca="1">SUM($L$6:$S$6)</f>
        <v>0</v>
      </c>
      <c r="U6" s="30">
        <f>'TUSD BE'!$U$6*'TUSD BE'!$U$78</f>
        <v>1.1116225497764289</v>
      </c>
      <c r="V6" s="30">
        <f>'TUSD BE'!$V$6*'TUSD BE'!$V$78</f>
        <v>0</v>
      </c>
      <c r="W6" s="30">
        <f>'TUSD BE'!$W$6*'TUSD BE'!$W$78</f>
        <v>0</v>
      </c>
      <c r="X6" s="30">
        <f>'TUSD BE'!$X$6*'TUSD BE'!$X$78</f>
        <v>0</v>
      </c>
      <c r="Y6" s="30">
        <f>'TUSD BE'!$Y$6*'TUSD BE'!$Y$78</f>
        <v>0</v>
      </c>
      <c r="Z6" s="30">
        <f>'TUSD BE'!$Z$6*'TUSD BE'!$Z$78</f>
        <v>0</v>
      </c>
      <c r="AA6" s="30">
        <f>'TUSD BE'!$AA$6*'TUSD BE'!$AA$78</f>
        <v>0</v>
      </c>
      <c r="AB6" s="30">
        <f>SUM($U$6:$AA$6)</f>
        <v>1.1116225497764289</v>
      </c>
      <c r="AC6" s="30">
        <f>'TUSD BE'!$AC$6*'TUSD BE'!$AC$78</f>
        <v>0.16024286417423794</v>
      </c>
      <c r="AD6" s="30">
        <f>SUM($AC$6:$AC$6)</f>
        <v>0.16024286417423794</v>
      </c>
      <c r="AE6" s="30">
        <f ca="1">$AO$6*$AO$75</f>
        <v>-0.8461978893438431</v>
      </c>
      <c r="AF6" s="30">
        <f ca="1">$AP$6*$AP$75</f>
        <v>0</v>
      </c>
      <c r="AG6" s="30">
        <f ca="1">SUM($AE$6:$AF$6)</f>
        <v>-0.8461978893438431</v>
      </c>
      <c r="AH6" s="30">
        <f>'TUSD BE'!$AH$6*'TUSD BE'!$AH$78</f>
        <v>0</v>
      </c>
      <c r="AI6" s="30">
        <f>'TUSD BE'!$AI$6*'TUSD BE'!$AI$78</f>
        <v>0</v>
      </c>
      <c r="AJ6" s="30">
        <f ca="1">'TUSD BE'!$AJ$6*'TUSD BE'!$AJ$78</f>
        <v>0</v>
      </c>
      <c r="AK6" s="30">
        <f ca="1">'TUSD BE'!$AK$6*'TUSD BE'!$AK$78</f>
        <v>0</v>
      </c>
      <c r="AL6" s="30">
        <f ca="1">SUM($AH$6:$AK$6)</f>
        <v>0</v>
      </c>
      <c r="AM6" s="30">
        <f ca="1">SUMIF($L$4:$AL$4,"SUBTOTAL",$L$6:$AL$6)</f>
        <v>0.42566752460682378</v>
      </c>
      <c r="AO6" s="36">
        <f ca="1">+'TUSD BE'!$T$6+'TUSD BE'!$AB$6+'TUSD BE'!$AD$6+'TUSD BE'!$AL$6</f>
        <v>10.150779705508601</v>
      </c>
      <c r="AP6" s="36">
        <f ca="1">+'TUSD BE'!$T$6+'TUSD BE'!$AB$6+'TUSD BE'!$AD$6+'TUSD BE'!$AL$6</f>
        <v>10.150779705508601</v>
      </c>
    </row>
    <row r="7" spans="1:42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>
        <f>'TUSD BE'!$L$7*'TUSD BE'!$L$78</f>
        <v>-0.26701151319841121</v>
      </c>
      <c r="M7" s="30">
        <f>'TUSD BE'!$M$7*'TUSD BE'!$M$78</f>
        <v>-6.5689639576177582E-3</v>
      </c>
      <c r="N7" s="30">
        <f ca="1">'TUSD BE'!$N$7*'TUSD BE'!$N$78</f>
        <v>-9.8783700737117521E-5</v>
      </c>
      <c r="O7" s="30">
        <f>'TUSD BE'!$O$7*'TUSD BE'!$O$78</f>
        <v>-7.7559117269576281E-4</v>
      </c>
      <c r="P7" s="30">
        <f>'TUSD BE'!$P$7*'TUSD BE'!$P$78</f>
        <v>0</v>
      </c>
      <c r="Q7" s="30">
        <f>'TUSD BE'!$Q$7*'TUSD BE'!$Q$78</f>
        <v>-0.53174148816555833</v>
      </c>
      <c r="R7" s="30">
        <f>'TUSD BE'!$R$7*'TUSD BE'!$R$78</f>
        <v>-0.4438592698397088</v>
      </c>
      <c r="S7" s="30">
        <f>'TUSD BE'!$R$7*'TUSD BE'!$S$78</f>
        <v>0</v>
      </c>
      <c r="T7" s="30">
        <f ca="1">SUM($L$7:$S$7)</f>
        <v>-1.2500556100347291</v>
      </c>
      <c r="U7" s="30">
        <f>'TUSD BE'!$U$7*'TUSD BE'!$U$78</f>
        <v>0</v>
      </c>
      <c r="V7" s="30">
        <f>'TUSD BE'!$V$7*'TUSD BE'!$V$78</f>
        <v>0</v>
      </c>
      <c r="W7" s="30">
        <f>'TUSD BE'!$W$7*'TUSD BE'!$W$78</f>
        <v>0</v>
      </c>
      <c r="X7" s="30">
        <f>'TUSD BE'!$X$7*'TUSD BE'!$X$78</f>
        <v>0</v>
      </c>
      <c r="Y7" s="30">
        <f>'TUSD BE'!$Y$7*'TUSD BE'!$Y$78</f>
        <v>0</v>
      </c>
      <c r="Z7" s="30">
        <f>'TUSD BE'!$Z$7*'TUSD BE'!$Z$78</f>
        <v>0</v>
      </c>
      <c r="AA7" s="30">
        <f>'TUSD BE'!$AA$7*'TUSD BE'!$AA$78</f>
        <v>0</v>
      </c>
      <c r="AB7" s="30">
        <f>SUM($U$7:$AA$7)</f>
        <v>0</v>
      </c>
      <c r="AC7" s="30">
        <f>'TUSD BE'!$AC$7*'TUSD BE'!$AC$78</f>
        <v>0</v>
      </c>
      <c r="AD7" s="30">
        <f>SUM($AC$7:$AC$7)</f>
        <v>0</v>
      </c>
      <c r="AE7" s="30">
        <f ca="1">$AO$7*$AO$75</f>
        <v>-3.9403901540183699</v>
      </c>
      <c r="AF7" s="30">
        <f ca="1">$AP$7*$AP$75</f>
        <v>0</v>
      </c>
      <c r="AG7" s="30">
        <f ca="1">SUM($AE$7:$AF$7)</f>
        <v>-3.9403901540183699</v>
      </c>
      <c r="AH7" s="30">
        <f>'TUSD BE'!$AH$7*'TUSD BE'!$AH$78</f>
        <v>-0.332131096396375</v>
      </c>
      <c r="AI7" s="30">
        <f>'TUSD BE'!$AI$7*'TUSD BE'!$AI$78</f>
        <v>-1.1825076994926817E-2</v>
      </c>
      <c r="AJ7" s="30">
        <f ca="1">'TUSD BE'!$AJ$7*'TUSD BE'!$AJ$78</f>
        <v>-0.16079238982220739</v>
      </c>
      <c r="AK7" s="30">
        <f ca="1">'TUSD BE'!$AK$7*'TUSD BE'!$AK$78</f>
        <v>0</v>
      </c>
      <c r="AL7" s="30">
        <f ca="1">SUM($AH$7:$AK$7)</f>
        <v>-0.50474856321350914</v>
      </c>
      <c r="AM7" s="30">
        <f ca="1">SUMIF($L$4:$AL$4,"SUBTOTAL",$L$7:$AL$7)</f>
        <v>-5.6951943272666075</v>
      </c>
      <c r="AO7" s="36">
        <f ca="1">+'TUSD BE'!$T$7+'TUSD BE'!$AB$7+'TUSD BE'!$AD$7+'TUSD BE'!$AL$7</f>
        <v>47.267941590129425</v>
      </c>
      <c r="AP7" s="36">
        <f ca="1">+'TUSD BE'!$T$7+'TUSD BE'!$AB$7+'TUSD BE'!$AD$7+'TUSD BE'!$AL$7</f>
        <v>47.267941590129425</v>
      </c>
    </row>
    <row r="8" spans="1:42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>
        <f>'TUSD BE'!$L$8*'TUSD BE'!$L$78</f>
        <v>0</v>
      </c>
      <c r="M8" s="30">
        <f>'TUSD BE'!$M$8*'TUSD BE'!$M$78</f>
        <v>-6.5689639576177582E-3</v>
      </c>
      <c r="N8" s="30">
        <f ca="1">'TUSD BE'!$N$8*'TUSD BE'!$N$78</f>
        <v>-9.1580979514224438E-5</v>
      </c>
      <c r="O8" s="30">
        <f>'TUSD BE'!$O$8*'TUSD BE'!$O$78</f>
        <v>-7.7559117269576281E-4</v>
      </c>
      <c r="P8" s="30">
        <f>'TUSD BE'!$P$8*'TUSD BE'!$P$78</f>
        <v>0</v>
      </c>
      <c r="Q8" s="30">
        <f>'TUSD BE'!$Q$8*'TUSD BE'!$Q$78</f>
        <v>0</v>
      </c>
      <c r="R8" s="30">
        <f>'TUSD BE'!$R$8*'TUSD BE'!$R$78</f>
        <v>0</v>
      </c>
      <c r="S8" s="30">
        <f>'TUSD BE'!$R$8*'TUSD BE'!$S$78</f>
        <v>0</v>
      </c>
      <c r="T8" s="30">
        <f ca="1">SUM($L$8:$S$8)</f>
        <v>-7.4361361098277453E-3</v>
      </c>
      <c r="U8" s="30">
        <f>'TUSD BE'!$U$8*'TUSD BE'!$U$78</f>
        <v>0</v>
      </c>
      <c r="V8" s="30">
        <f>'TUSD BE'!$V$8*'TUSD BE'!$V$78</f>
        <v>0</v>
      </c>
      <c r="W8" s="30">
        <f>'TUSD BE'!$W$8*'TUSD BE'!$W$78</f>
        <v>0</v>
      </c>
      <c r="X8" s="30">
        <f>'TUSD BE'!$X$8*'TUSD BE'!$X$78</f>
        <v>0</v>
      </c>
      <c r="Y8" s="30">
        <f>'TUSD BE'!$Y$8*'TUSD BE'!$Y$78</f>
        <v>0</v>
      </c>
      <c r="Z8" s="30">
        <f>'TUSD BE'!$Z$8*'TUSD BE'!$Z$78</f>
        <v>0</v>
      </c>
      <c r="AA8" s="30">
        <f>'TUSD BE'!$AA$8*'TUSD BE'!$AA$78</f>
        <v>0</v>
      </c>
      <c r="AB8" s="30">
        <f>SUM($U$8:$AA$8)</f>
        <v>0</v>
      </c>
      <c r="AC8" s="30">
        <f>'TUSD BE'!$AC$8*'TUSD BE'!$AC$78</f>
        <v>0</v>
      </c>
      <c r="AD8" s="30">
        <f>SUM($AC$8:$AC$8)</f>
        <v>0</v>
      </c>
      <c r="AE8" s="30">
        <f ca="1">$AO$8*$AO$75</f>
        <v>-0.59888466635274606</v>
      </c>
      <c r="AF8" s="30">
        <f ca="1">$AP$8*$AP$75</f>
        <v>0</v>
      </c>
      <c r="AG8" s="30">
        <f ca="1">SUM($AE$8:$AF$8)</f>
        <v>-0.59888466635274606</v>
      </c>
      <c r="AH8" s="30">
        <f>'TUSD BE'!$AH$8*'TUSD BE'!$AH$78</f>
        <v>-0.332131096396375</v>
      </c>
      <c r="AI8" s="30">
        <f>'TUSD BE'!$AI$8*'TUSD BE'!$AI$78</f>
        <v>-1.1825076994926817E-2</v>
      </c>
      <c r="AJ8" s="30">
        <f ca="1">'TUSD BE'!$AJ$8*'TUSD BE'!$AJ$78</f>
        <v>-0.16079238982220739</v>
      </c>
      <c r="AK8" s="30">
        <f ca="1">'TUSD BE'!$AK$8*'TUSD BE'!$AK$78</f>
        <v>0</v>
      </c>
      <c r="AL8" s="30">
        <f ca="1">SUM($AH$8:$AK$8)</f>
        <v>-0.50474856321350914</v>
      </c>
      <c r="AM8" s="30">
        <f ca="1">SUMIF($L$4:$AL$4,"SUBTOTAL",$L$8:$AL$8)</f>
        <v>-1.1110693656760828</v>
      </c>
      <c r="AO8" s="36">
        <f ca="1">+'TUSD BE'!$T$8+'TUSD BE'!$AB$8+'TUSD BE'!$AD$8+'TUSD BE'!$AL$8</f>
        <v>7.1840717091218727</v>
      </c>
      <c r="AP8" s="36">
        <f ca="1">+'TUSD BE'!$T$8+'TUSD BE'!$AB$8+'TUSD BE'!$AD$8+'TUSD BE'!$AL$8</f>
        <v>7.1840717091218727</v>
      </c>
    </row>
    <row r="9" spans="1:42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>
        <f>'TUSD BE'!$L$9*'TUSD BE'!$L$78</f>
        <v>0</v>
      </c>
      <c r="M9" s="30">
        <f>'TUSD BE'!$M$9*'TUSD BE'!$M$78</f>
        <v>0</v>
      </c>
      <c r="N9" s="30">
        <f ca="1">'TUSD BE'!$N$9*'TUSD BE'!$N$78</f>
        <v>0</v>
      </c>
      <c r="O9" s="30">
        <f>'TUSD BE'!$O$9*'TUSD BE'!$O$78</f>
        <v>0</v>
      </c>
      <c r="P9" s="30">
        <f>'TUSD BE'!$P$9*'TUSD BE'!$P$78</f>
        <v>0</v>
      </c>
      <c r="Q9" s="30">
        <f>'TUSD BE'!$Q$9*'TUSD BE'!$Q$78</f>
        <v>0</v>
      </c>
      <c r="R9" s="30">
        <f>'TUSD BE'!$R$9*'TUSD BE'!$R$78</f>
        <v>0</v>
      </c>
      <c r="S9" s="30">
        <f>'TUSD BE'!$R$9*'TUSD BE'!$S$78</f>
        <v>0</v>
      </c>
      <c r="T9" s="30">
        <f ca="1">SUM($L$9:$S$9)</f>
        <v>0</v>
      </c>
      <c r="U9" s="30">
        <f>'TUSD BE'!$U$9*'TUSD BE'!$U$78</f>
        <v>1.1626626628509296</v>
      </c>
      <c r="V9" s="30">
        <f>'TUSD BE'!$V$9*'TUSD BE'!$V$78</f>
        <v>0</v>
      </c>
      <c r="W9" s="30">
        <f>'TUSD BE'!$W$9*'TUSD BE'!$W$78</f>
        <v>0</v>
      </c>
      <c r="X9" s="30">
        <f>'TUSD BE'!$X$9*'TUSD BE'!$X$78</f>
        <v>0</v>
      </c>
      <c r="Y9" s="30">
        <f>'TUSD BE'!$Y$9*'TUSD BE'!$Y$78</f>
        <v>0</v>
      </c>
      <c r="Z9" s="30">
        <f>'TUSD BE'!$Z$9*'TUSD BE'!$Z$78</f>
        <v>0</v>
      </c>
      <c r="AA9" s="30">
        <f>'TUSD BE'!$AA$9*'TUSD BE'!$AA$78</f>
        <v>0</v>
      </c>
      <c r="AB9" s="30">
        <f>SUM($U$9:$AA$9)</f>
        <v>1.1626626628509296</v>
      </c>
      <c r="AC9" s="30">
        <f>'TUSD BE'!$AC$9*'TUSD BE'!$AC$78</f>
        <v>1.3156758070703527</v>
      </c>
      <c r="AD9" s="30">
        <f>SUM($AC$9:$AC$9)</f>
        <v>1.3156758070703527</v>
      </c>
      <c r="AE9" s="30">
        <v>0</v>
      </c>
      <c r="AF9" s="30">
        <f ca="1">$AP$9*$AP$75</f>
        <v>0</v>
      </c>
      <c r="AG9" s="30">
        <f ca="1">SUM($AE$9:$AF$9)</f>
        <v>0</v>
      </c>
      <c r="AH9" s="30">
        <f>'TUSD BE'!$AH$9*'TUSD BE'!$AH$78</f>
        <v>0</v>
      </c>
      <c r="AI9" s="30">
        <f>'TUSD BE'!$AI$9*'TUSD BE'!$AI$78</f>
        <v>0</v>
      </c>
      <c r="AJ9" s="30">
        <f ca="1">'TUSD BE'!$AJ$9*'TUSD BE'!$AJ$78</f>
        <v>0</v>
      </c>
      <c r="AK9" s="30">
        <f ca="1">'TUSD BE'!$AK$9*'TUSD BE'!$AK$78</f>
        <v>0</v>
      </c>
      <c r="AL9" s="30">
        <f ca="1">SUM($AH$9:$AK$9)</f>
        <v>0</v>
      </c>
      <c r="AM9" s="30">
        <f ca="1">SUMIF($L$4:$AL$4,"SUBTOTAL",$L$9:$AL$9)</f>
        <v>2.4783384699212823</v>
      </c>
      <c r="AO9" s="36"/>
      <c r="AP9" s="36">
        <f ca="1">+'TUSD BE'!$T$9+'TUSD BE'!$AB$9+'TUSD BE'!$AD$9+'TUSD BE'!$AL$9</f>
        <v>31.062227828405561</v>
      </c>
    </row>
    <row r="10" spans="1:42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>
        <f>'TUSD BE'!$L$10*'TUSD BE'!$L$78</f>
        <v>0</v>
      </c>
      <c r="M10" s="30">
        <f>'TUSD BE'!$M$10*'TUSD BE'!$M$78</f>
        <v>0</v>
      </c>
      <c r="N10" s="30">
        <f ca="1">'TUSD BE'!$N$10*'TUSD BE'!$N$78</f>
        <v>0</v>
      </c>
      <c r="O10" s="30">
        <f>'TUSD BE'!$O$10*'TUSD BE'!$O$78</f>
        <v>0</v>
      </c>
      <c r="P10" s="30">
        <f>'TUSD BE'!$P$10*'TUSD BE'!$P$78</f>
        <v>0</v>
      </c>
      <c r="Q10" s="30">
        <f>'TUSD BE'!$Q$10*'TUSD BE'!$Q$78</f>
        <v>0</v>
      </c>
      <c r="R10" s="30">
        <f>'TUSD BE'!$R$10*'TUSD BE'!$R$78</f>
        <v>0</v>
      </c>
      <c r="S10" s="30">
        <f>'TUSD BE'!$R$10*'TUSD BE'!$S$78</f>
        <v>0</v>
      </c>
      <c r="T10" s="30">
        <f ca="1">SUM($L$10:$S$10)</f>
        <v>0</v>
      </c>
      <c r="U10" s="30">
        <f>'TUSD BE'!$U$10*'TUSD BE'!$U$78</f>
        <v>1.1116225497764289</v>
      </c>
      <c r="V10" s="30">
        <f>'TUSD BE'!$V$10*'TUSD BE'!$V$78</f>
        <v>0</v>
      </c>
      <c r="W10" s="30">
        <f>'TUSD BE'!$W$10*'TUSD BE'!$W$78</f>
        <v>0</v>
      </c>
      <c r="X10" s="30">
        <f>'TUSD BE'!$X$10*'TUSD BE'!$X$78</f>
        <v>0</v>
      </c>
      <c r="Y10" s="30">
        <f>'TUSD BE'!$Y$10*'TUSD BE'!$Y$78</f>
        <v>0</v>
      </c>
      <c r="Z10" s="30">
        <f>'TUSD BE'!$Z$10*'TUSD BE'!$Z$78</f>
        <v>0</v>
      </c>
      <c r="AA10" s="30">
        <f>'TUSD BE'!$AA$10*'TUSD BE'!$AA$78</f>
        <v>0</v>
      </c>
      <c r="AB10" s="30">
        <f>SUM($U$10:$AA$10)</f>
        <v>1.1116225497764289</v>
      </c>
      <c r="AC10" s="30">
        <f>'TUSD BE'!$AC$10*'TUSD BE'!$AC$78</f>
        <v>0.16024286417423794</v>
      </c>
      <c r="AD10" s="30">
        <f>SUM($AC$10:$AC$10)</f>
        <v>0.16024286417423794</v>
      </c>
      <c r="AE10" s="30">
        <v>0</v>
      </c>
      <c r="AF10" s="30">
        <f ca="1">$AP$10*$AP$75</f>
        <v>0</v>
      </c>
      <c r="AG10" s="30">
        <f ca="1">SUM($AE$10:$AF$10)</f>
        <v>0</v>
      </c>
      <c r="AH10" s="30">
        <f>'TUSD BE'!$AH$10*'TUSD BE'!$AH$78</f>
        <v>0</v>
      </c>
      <c r="AI10" s="30">
        <f>'TUSD BE'!$AI$10*'TUSD BE'!$AI$78</f>
        <v>0</v>
      </c>
      <c r="AJ10" s="30">
        <f ca="1">'TUSD BE'!$AJ$10*'TUSD BE'!$AJ$78</f>
        <v>0</v>
      </c>
      <c r="AK10" s="30">
        <f ca="1">'TUSD BE'!$AK$10*'TUSD BE'!$AK$78</f>
        <v>0</v>
      </c>
      <c r="AL10" s="30">
        <f ca="1">SUM($AH$10:$AK$10)</f>
        <v>0</v>
      </c>
      <c r="AM10" s="30">
        <f ca="1">SUMIF($L$4:$AL$4,"SUBTOTAL",$L$10:$AL$10)</f>
        <v>1.2718654139506669</v>
      </c>
      <c r="AO10" s="36"/>
      <c r="AP10" s="36">
        <f ca="1">+'TUSD BE'!$T$10+'TUSD BE'!$AB$10+'TUSD BE'!$AD$10+'TUSD BE'!$AL$10</f>
        <v>10.150779705508601</v>
      </c>
    </row>
    <row r="11" spans="1:42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>
        <f>'TUSD BE'!$L$11*'TUSD BE'!$L$78</f>
        <v>0</v>
      </c>
      <c r="M11" s="30">
        <f>'TUSD BE'!$M$11*'TUSD BE'!$M$78</f>
        <v>0</v>
      </c>
      <c r="N11" s="30">
        <f ca="1">'TUSD BE'!$N$11*'TUSD BE'!$N$78</f>
        <v>0</v>
      </c>
      <c r="O11" s="30">
        <f>'TUSD BE'!$O$11*'TUSD BE'!$O$78</f>
        <v>0</v>
      </c>
      <c r="P11" s="30">
        <f>'TUSD BE'!$P$11*'TUSD BE'!$P$78</f>
        <v>0</v>
      </c>
      <c r="Q11" s="30">
        <f>'TUSD BE'!$Q$11*'TUSD BE'!$Q$78</f>
        <v>0</v>
      </c>
      <c r="R11" s="30">
        <f>'TUSD BE'!$R$11*'TUSD BE'!$R$78</f>
        <v>0</v>
      </c>
      <c r="S11" s="30">
        <f>'TUSD BE'!$R$11*'TUSD BE'!$S$78</f>
        <v>0</v>
      </c>
      <c r="T11" s="30">
        <f ca="1">SUM($L$11:$S$11)</f>
        <v>0</v>
      </c>
      <c r="U11" s="30">
        <f>'TUSD BE'!$U$11*'TUSD BE'!$U$78</f>
        <v>0</v>
      </c>
      <c r="V11" s="30">
        <f>'TUSD BE'!$V$11*'TUSD BE'!$V$78</f>
        <v>0</v>
      </c>
      <c r="W11" s="30">
        <f>'TUSD BE'!$W$11*'TUSD BE'!$W$78</f>
        <v>0</v>
      </c>
      <c r="X11" s="30">
        <f>'TUSD BE'!$X$11*'TUSD BE'!$X$78</f>
        <v>0</v>
      </c>
      <c r="Y11" s="30">
        <f>'TUSD BE'!$Y$11*'TUSD BE'!$Y$78</f>
        <v>0</v>
      </c>
      <c r="Z11" s="30">
        <f>'TUSD BE'!$Z$11*'TUSD BE'!$Z$78</f>
        <v>0</v>
      </c>
      <c r="AA11" s="30">
        <f>'TUSD BE'!$AA$11*'TUSD BE'!$AA$78</f>
        <v>0</v>
      </c>
      <c r="AB11" s="30">
        <f>SUM($U$11:$AA$11)</f>
        <v>0</v>
      </c>
      <c r="AC11" s="30">
        <f>'TUSD BE'!$AC$11*'TUSD BE'!$AC$78</f>
        <v>0</v>
      </c>
      <c r="AD11" s="30">
        <f>SUM($AC$11:$AC$11)</f>
        <v>0</v>
      </c>
      <c r="AE11" s="30">
        <v>0</v>
      </c>
      <c r="AF11" s="30">
        <f ca="1">$AP$11*$AP$75</f>
        <v>0</v>
      </c>
      <c r="AG11" s="30">
        <f ca="1">SUM($AE$11:$AF$11)</f>
        <v>0</v>
      </c>
      <c r="AH11" s="30">
        <f>'TUSD BE'!$AH$11*'TUSD BE'!$AH$78</f>
        <v>-0.332131096396375</v>
      </c>
      <c r="AI11" s="30">
        <f>'TUSD BE'!$AI$11*'TUSD BE'!$AI$78</f>
        <v>-1.1825076994926817E-2</v>
      </c>
      <c r="AJ11" s="30">
        <f ca="1">'TUSD BE'!$AJ$11*'TUSD BE'!$AJ$78</f>
        <v>0</v>
      </c>
      <c r="AK11" s="30">
        <f ca="1">'TUSD BE'!$AK$11*'TUSD BE'!$AK$78</f>
        <v>0</v>
      </c>
      <c r="AL11" s="30">
        <f ca="1">SUM($AH$11:$AK$11)</f>
        <v>-0.3439561733913018</v>
      </c>
      <c r="AM11" s="30">
        <f ca="1">SUMIF($L$4:$AL$4,"SUBTOTAL",$L$11:$AL$11)</f>
        <v>-0.3439561733913018</v>
      </c>
      <c r="AO11" s="36"/>
      <c r="AP11" s="36">
        <f ca="1">+'TUSD BE'!$T$11+'TUSD BE'!$AB$11+'TUSD BE'!$AD$11+'TUSD BE'!$AL$11</f>
        <v>4.6315607295036871</v>
      </c>
    </row>
    <row r="12" spans="1:42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>
        <f>'TUSD BE'!$L$12*'TUSD BE'!$L$78</f>
        <v>0</v>
      </c>
      <c r="M12" s="30">
        <f>'TUSD BE'!$M$12*'TUSD BE'!$M$78</f>
        <v>-6.6874321383324706E-3</v>
      </c>
      <c r="N12" s="30">
        <f ca="1">'TUSD BE'!$N$12*'TUSD BE'!$N$78</f>
        <v>-3.2388024972941692E-5</v>
      </c>
      <c r="O12" s="30">
        <f>'TUSD BE'!$O$12*'TUSD BE'!$O$78</f>
        <v>-2.463949083719781E-4</v>
      </c>
      <c r="P12" s="30">
        <f>'TUSD BE'!$P$12*'TUSD BE'!$P$78</f>
        <v>0</v>
      </c>
      <c r="Q12" s="30">
        <f>'TUSD BE'!$Q$12*'TUSD BE'!$Q$78</f>
        <v>0</v>
      </c>
      <c r="R12" s="30">
        <f>'TUSD BE'!$R$12*'TUSD BE'!$R$78</f>
        <v>0</v>
      </c>
      <c r="S12" s="30">
        <f>'TUSD BE'!$R$12*'TUSD BE'!$S$78</f>
        <v>0</v>
      </c>
      <c r="T12" s="30">
        <f ca="1">SUM($L$12:$S$12)</f>
        <v>-6.9662150716773901E-3</v>
      </c>
      <c r="U12" s="30">
        <f>'TUSD BE'!$U$12*'TUSD BE'!$U$78</f>
        <v>0</v>
      </c>
      <c r="V12" s="30">
        <f>'TUSD BE'!$V$12*'TUSD BE'!$V$78</f>
        <v>0</v>
      </c>
      <c r="W12" s="30">
        <f>'TUSD BE'!$W$12*'TUSD BE'!$W$78</f>
        <v>0</v>
      </c>
      <c r="X12" s="30">
        <f>'TUSD BE'!$X$12*'TUSD BE'!$X$78</f>
        <v>0</v>
      </c>
      <c r="Y12" s="30">
        <f>'TUSD BE'!$Y$12*'TUSD BE'!$Y$78</f>
        <v>0</v>
      </c>
      <c r="Z12" s="30">
        <f>'TUSD BE'!$Z$12*'TUSD BE'!$Z$78</f>
        <v>0</v>
      </c>
      <c r="AA12" s="30">
        <f>'TUSD BE'!$AA$12*'TUSD BE'!$AA$78</f>
        <v>0</v>
      </c>
      <c r="AB12" s="30">
        <f>SUM($U$12:$AA$12)</f>
        <v>0</v>
      </c>
      <c r="AC12" s="30">
        <f>'TUSD BE'!$AC$12*'TUSD BE'!$AC$78</f>
        <v>0.64293262692593622</v>
      </c>
      <c r="AD12" s="30">
        <f>SUM($AC$12:$AC$12)</f>
        <v>0.64293262692593622</v>
      </c>
      <c r="AE12" s="30">
        <f ca="1">$AO$12*$AO$75</f>
        <v>-1.1206524409606076</v>
      </c>
      <c r="AF12" s="30">
        <f ca="1">$AP$12*$AP$75</f>
        <v>0</v>
      </c>
      <c r="AG12" s="30">
        <f ca="1">SUM($AE$12:$AF$12)</f>
        <v>-1.1206524409606076</v>
      </c>
      <c r="AH12" s="30">
        <f>'TUSD BE'!$AH$12*'TUSD BE'!$AH$78</f>
        <v>-8.3902416073649108E-2</v>
      </c>
      <c r="AI12" s="30">
        <f>'TUSD BE'!$AI$12*'TUSD BE'!$AI$78</f>
        <v>-1.8175234086420588E-2</v>
      </c>
      <c r="AJ12" s="30">
        <f ca="1">'TUSD BE'!$AJ$12*'TUSD BE'!$AJ$78</f>
        <v>0</v>
      </c>
      <c r="AK12" s="30">
        <f ca="1">'TUSD BE'!$AK$12*'TUSD BE'!$AK$78</f>
        <v>0</v>
      </c>
      <c r="AL12" s="30">
        <f ca="1">SUM($AH$12:$AK$12)</f>
        <v>-0.1020776501600697</v>
      </c>
      <c r="AM12" s="30">
        <f ca="1">SUMIF($L$4:$AL$4,"SUBTOTAL",$L$12:$AL$12)</f>
        <v>-0.58676367926641837</v>
      </c>
      <c r="AO12" s="36">
        <f>+'TUSD BE'!$T$12+'TUSD BE'!$AB$12+'TUSD BE'!$AD$12+'TUSD BE'!$AL$12</f>
        <v>13.443068338840188</v>
      </c>
      <c r="AP12" s="36">
        <f>+'TUSD BE'!$T$12+'TUSD BE'!$AB$12+'TUSD BE'!$AD$12+'TUSD BE'!$AL$12</f>
        <v>13.443068338840188</v>
      </c>
    </row>
    <row r="13" spans="1:42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>
        <f>'TUSD BE'!$L$13*'TUSD BE'!$L$78</f>
        <v>0</v>
      </c>
      <c r="M13" s="30">
        <f>'TUSD BE'!$M$13*'TUSD BE'!$M$78</f>
        <v>0</v>
      </c>
      <c r="N13" s="30">
        <f ca="1">'TUSD BE'!$N$13*'TUSD BE'!$N$78</f>
        <v>0</v>
      </c>
      <c r="O13" s="30">
        <f>'TUSD BE'!$O$13*'TUSD BE'!$O$78</f>
        <v>0</v>
      </c>
      <c r="P13" s="30">
        <f>'TUSD BE'!$P$13*'TUSD BE'!$P$78</f>
        <v>0</v>
      </c>
      <c r="Q13" s="30">
        <f>'TUSD BE'!$Q$13*'TUSD BE'!$Q$78</f>
        <v>0</v>
      </c>
      <c r="R13" s="30">
        <f>'TUSD BE'!$R$13*'TUSD BE'!$R$78</f>
        <v>0</v>
      </c>
      <c r="S13" s="30">
        <f>'TUSD BE'!$R$13*'TUSD BE'!$S$78</f>
        <v>0</v>
      </c>
      <c r="T13" s="30">
        <f ca="1">SUM($L$13:$S$13)</f>
        <v>0</v>
      </c>
      <c r="U13" s="30">
        <f>'TUSD BE'!$U$13*'TUSD BE'!$U$78</f>
        <v>1.0585082376219772</v>
      </c>
      <c r="V13" s="30">
        <f>'TUSD BE'!$V$13*'TUSD BE'!$V$78</f>
        <v>0</v>
      </c>
      <c r="W13" s="30">
        <f>'TUSD BE'!$W$13*'TUSD BE'!$W$78</f>
        <v>0</v>
      </c>
      <c r="X13" s="30">
        <f>'TUSD BE'!$X$13*'TUSD BE'!$X$78</f>
        <v>0</v>
      </c>
      <c r="Y13" s="30">
        <f>'TUSD BE'!$Y$13*'TUSD BE'!$Y$78</f>
        <v>0</v>
      </c>
      <c r="Z13" s="30">
        <f>'TUSD BE'!$Z$13*'TUSD BE'!$Z$78</f>
        <v>0</v>
      </c>
      <c r="AA13" s="30">
        <f>'TUSD BE'!$AA$13*'TUSD BE'!$AA$78</f>
        <v>0</v>
      </c>
      <c r="AB13" s="30">
        <f>SUM($U$13:$AA$13)</f>
        <v>1.0585082376219772</v>
      </c>
      <c r="AC13" s="30">
        <f>'TUSD BE'!$AC$13*'TUSD BE'!$AC$78</f>
        <v>3.7639272449534951</v>
      </c>
      <c r="AD13" s="30">
        <f>SUM($AC$13:$AC$13)</f>
        <v>3.7639272449534951</v>
      </c>
      <c r="AE13" s="30">
        <f ca="1">$AO$13*$AO$75</f>
        <v>-6.1759820587548768</v>
      </c>
      <c r="AF13" s="30">
        <f ca="1">$AP$13*$AP$75</f>
        <v>0</v>
      </c>
      <c r="AG13" s="30">
        <f ca="1">SUM($AE$13:$AF$13)</f>
        <v>-6.1759820587548768</v>
      </c>
      <c r="AH13" s="30">
        <f>'TUSD BE'!$AH$13*'TUSD BE'!$AH$78</f>
        <v>0</v>
      </c>
      <c r="AI13" s="30">
        <f>'TUSD BE'!$AI$13*'TUSD BE'!$AI$78</f>
        <v>0</v>
      </c>
      <c r="AJ13" s="30">
        <f ca="1">'TUSD BE'!$AJ$13*'TUSD BE'!$AJ$78</f>
        <v>0</v>
      </c>
      <c r="AK13" s="30">
        <f ca="1">'TUSD BE'!$AK$13*'TUSD BE'!$AK$78</f>
        <v>0</v>
      </c>
      <c r="AL13" s="30">
        <f ca="1">SUM($AH$13:$AK$13)</f>
        <v>0</v>
      </c>
      <c r="AM13" s="30">
        <f ca="1">SUMIF($L$4:$AL$4,"SUBTOTAL",$L$13:$AL$13)</f>
        <v>-1.3535465761794043</v>
      </c>
      <c r="AO13" s="36">
        <f ca="1">+'TUSD BE'!$T$13+'TUSD BE'!$AB$13+'TUSD BE'!$AD$13+'TUSD BE'!$AL$13</f>
        <v>74.0855468124672</v>
      </c>
      <c r="AP13" s="36">
        <f ca="1">+'TUSD BE'!$T$13+'TUSD BE'!$AB$13+'TUSD BE'!$AD$13+'TUSD BE'!$AL$13</f>
        <v>74.0855468124672</v>
      </c>
    </row>
    <row r="14" spans="1:42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>
        <f>'TUSD BE'!$L$14*'TUSD BE'!$L$78</f>
        <v>0</v>
      </c>
      <c r="M14" s="30">
        <f>'TUSD BE'!$M$14*'TUSD BE'!$M$78</f>
        <v>0</v>
      </c>
      <c r="N14" s="30">
        <f ca="1">'TUSD BE'!$N$14*'TUSD BE'!$N$78</f>
        <v>0</v>
      </c>
      <c r="O14" s="30">
        <f>'TUSD BE'!$O$14*'TUSD BE'!$O$78</f>
        <v>0</v>
      </c>
      <c r="P14" s="30">
        <f>'TUSD BE'!$P$14*'TUSD BE'!$P$78</f>
        <v>0</v>
      </c>
      <c r="Q14" s="30">
        <f>'TUSD BE'!$Q$14*'TUSD BE'!$Q$78</f>
        <v>0</v>
      </c>
      <c r="R14" s="30">
        <f>'TUSD BE'!$R$14*'TUSD BE'!$R$78</f>
        <v>0</v>
      </c>
      <c r="S14" s="30">
        <f>'TUSD BE'!$R$14*'TUSD BE'!$S$78</f>
        <v>0</v>
      </c>
      <c r="T14" s="30">
        <f ca="1">SUM($L$14:$S$14)</f>
        <v>0</v>
      </c>
      <c r="U14" s="30">
        <f>'TUSD BE'!$U$14*'TUSD BE'!$U$78</f>
        <v>1.0656197773246654</v>
      </c>
      <c r="V14" s="30">
        <f>'TUSD BE'!$V$14*'TUSD BE'!$V$78</f>
        <v>0</v>
      </c>
      <c r="W14" s="30">
        <f>'TUSD BE'!$W$14*'TUSD BE'!$W$78</f>
        <v>0</v>
      </c>
      <c r="X14" s="30">
        <f>'TUSD BE'!$X$14*'TUSD BE'!$X$78</f>
        <v>0</v>
      </c>
      <c r="Y14" s="30">
        <f>'TUSD BE'!$Y$14*'TUSD BE'!$Y$78</f>
        <v>0</v>
      </c>
      <c r="Z14" s="30">
        <f>'TUSD BE'!$Z$14*'TUSD BE'!$Z$78</f>
        <v>0</v>
      </c>
      <c r="AA14" s="30">
        <f>'TUSD BE'!$AA$14*'TUSD BE'!$AA$78</f>
        <v>0</v>
      </c>
      <c r="AB14" s="30">
        <f>SUM($U$14:$AA$14)</f>
        <v>1.0656197773246654</v>
      </c>
      <c r="AC14" s="30">
        <f>'TUSD BE'!$AC$14*'TUSD BE'!$AC$78</f>
        <v>1.0772031183766886</v>
      </c>
      <c r="AD14" s="30">
        <f>SUM($AC$14:$AC$14)</f>
        <v>1.0772031183766886</v>
      </c>
      <c r="AE14" s="30">
        <f ca="1">$AO$14*$AO$75</f>
        <v>-2.1918694332876352</v>
      </c>
      <c r="AF14" s="30">
        <f ca="1">$AP$14*$AP$75</f>
        <v>0</v>
      </c>
      <c r="AG14" s="30">
        <f ca="1">SUM($AE$14:$AF$14)</f>
        <v>-2.1918694332876352</v>
      </c>
      <c r="AH14" s="30">
        <f>'TUSD BE'!$AH$14*'TUSD BE'!$AH$78</f>
        <v>0</v>
      </c>
      <c r="AI14" s="30">
        <f>'TUSD BE'!$AI$14*'TUSD BE'!$AI$78</f>
        <v>0</v>
      </c>
      <c r="AJ14" s="30">
        <f ca="1">'TUSD BE'!$AJ$14*'TUSD BE'!$AJ$78</f>
        <v>0</v>
      </c>
      <c r="AK14" s="30">
        <f ca="1">'TUSD BE'!$AK$14*'TUSD BE'!$AK$78</f>
        <v>0</v>
      </c>
      <c r="AL14" s="30">
        <f ca="1">SUM($AH$14:$AK$14)</f>
        <v>0</v>
      </c>
      <c r="AM14" s="30">
        <f ca="1">SUMIF($L$4:$AL$4,"SUBTOTAL",$L$14:$AL$14)</f>
        <v>-4.9046537586281413E-2</v>
      </c>
      <c r="AO14" s="36">
        <f ca="1">+'TUSD BE'!$T$14+'TUSD BE'!$AB$14+'TUSD BE'!$AD$14+'TUSD BE'!$AL$14</f>
        <v>26.293121314440025</v>
      </c>
      <c r="AP14" s="36">
        <f ca="1">+'TUSD BE'!$T$14+'TUSD BE'!$AB$14+'TUSD BE'!$AD$14+'TUSD BE'!$AL$14</f>
        <v>26.293121314440025</v>
      </c>
    </row>
    <row r="15" spans="1:42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>
        <f>'TUSD BE'!$L$15*'TUSD BE'!$L$78</f>
        <v>-0.36175753401075067</v>
      </c>
      <c r="M15" s="30">
        <f>'TUSD BE'!$M$15*'TUSD BE'!$M$78</f>
        <v>-2.932988452137331E-2</v>
      </c>
      <c r="N15" s="30">
        <f ca="1">'TUSD BE'!$N$15*'TUSD BE'!$N$78</f>
        <v>-2.3195613775695026E-4</v>
      </c>
      <c r="O15" s="30">
        <f>'TUSD BE'!$O$15*'TUSD BE'!$O$78</f>
        <v>-7.7559117269576281E-4</v>
      </c>
      <c r="P15" s="30">
        <f>'TUSD BE'!$P$15*'TUSD BE'!$P$78</f>
        <v>0</v>
      </c>
      <c r="Q15" s="30">
        <f>'TUSD BE'!$Q$15*'TUSD BE'!$Q$78</f>
        <v>-0.72042395170817564</v>
      </c>
      <c r="R15" s="30">
        <f>'TUSD BE'!$R$15*'TUSD BE'!$R$78</f>
        <v>-0.4438592698397088</v>
      </c>
      <c r="S15" s="30">
        <f>'TUSD BE'!$R$15*'TUSD BE'!$S$78</f>
        <v>0</v>
      </c>
      <c r="T15" s="30">
        <f ca="1">SUM($L$15:$S$15)</f>
        <v>-1.5563781873904612</v>
      </c>
      <c r="U15" s="30">
        <f>'TUSD BE'!$U$15*'TUSD BE'!$U$78</f>
        <v>0</v>
      </c>
      <c r="V15" s="30">
        <f>'TUSD BE'!$V$15*'TUSD BE'!$V$78</f>
        <v>0</v>
      </c>
      <c r="W15" s="30">
        <f>'TUSD BE'!$W$15*'TUSD BE'!$W$78</f>
        <v>0</v>
      </c>
      <c r="X15" s="30">
        <f>'TUSD BE'!$X$15*'TUSD BE'!$X$78</f>
        <v>0</v>
      </c>
      <c r="Y15" s="30">
        <f>'TUSD BE'!$Y$15*'TUSD BE'!$Y$78</f>
        <v>0</v>
      </c>
      <c r="Z15" s="30">
        <f>'TUSD BE'!$Z$15*'TUSD BE'!$Z$78</f>
        <v>0</v>
      </c>
      <c r="AA15" s="30">
        <f>'TUSD BE'!$AA$15*'TUSD BE'!$AA$78</f>
        <v>0</v>
      </c>
      <c r="AB15" s="30">
        <f>SUM($U$15:$AA$15)</f>
        <v>0</v>
      </c>
      <c r="AC15" s="30">
        <f>'TUSD BE'!$AC$15*'TUSD BE'!$AC$78</f>
        <v>0</v>
      </c>
      <c r="AD15" s="30">
        <f>SUM($AC$15:$AC$15)</f>
        <v>0</v>
      </c>
      <c r="AE15" s="30">
        <f ca="1">$AO$15*$AO$75</f>
        <v>-5.6337033693360432</v>
      </c>
      <c r="AF15" s="30">
        <f ca="1">$AP$15*$AP$75</f>
        <v>0</v>
      </c>
      <c r="AG15" s="30">
        <f ca="1">SUM($AE$15:$AF$15)</f>
        <v>-5.6337033693360432</v>
      </c>
      <c r="AH15" s="30">
        <f>'TUSD BE'!$AH$15*'TUSD BE'!$AH$78</f>
        <v>-0.8010560105536142</v>
      </c>
      <c r="AI15" s="30">
        <f>'TUSD BE'!$AI$15*'TUSD BE'!$AI$78</f>
        <v>-2.8520512245985476E-2</v>
      </c>
      <c r="AJ15" s="30">
        <f ca="1">'TUSD BE'!$AJ$15*'TUSD BE'!$AJ$78</f>
        <v>-0.44901208238131635</v>
      </c>
      <c r="AK15" s="30">
        <f ca="1">'TUSD BE'!$AK$15*'TUSD BE'!$AK$78</f>
        <v>0</v>
      </c>
      <c r="AL15" s="30">
        <f ca="1">SUM($AH$15:$AK$15)</f>
        <v>-1.2785886051809161</v>
      </c>
      <c r="AM15" s="30">
        <f ca="1">SUMIF($L$4:$AL$4,"SUBTOTAL",$L$15:$AL$15)</f>
        <v>-8.4686701619074203</v>
      </c>
      <c r="AO15" s="36">
        <f ca="1">+'TUSD BE'!$T$15+'TUSD BE'!$AB$15+'TUSD BE'!$AD$15+'TUSD BE'!$AL$15</f>
        <v>67.580506343090917</v>
      </c>
      <c r="AP15" s="36">
        <f ca="1">+'TUSD BE'!$T$15+'TUSD BE'!$AB$15+'TUSD BE'!$AD$15+'TUSD BE'!$AL$15</f>
        <v>67.580506343090917</v>
      </c>
    </row>
    <row r="16" spans="1:42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>
        <f>'TUSD BE'!$L$16*'TUSD BE'!$L$78</f>
        <v>0</v>
      </c>
      <c r="M16" s="30">
        <f>'TUSD BE'!$M$16*'TUSD BE'!$M$78</f>
        <v>-2.932988452137331E-2</v>
      </c>
      <c r="N16" s="30">
        <f ca="1">'TUSD BE'!$N$16*'TUSD BE'!$N$78</f>
        <v>-2.2475341653405717E-4</v>
      </c>
      <c r="O16" s="30">
        <f>'TUSD BE'!$O$16*'TUSD BE'!$O$78</f>
        <v>-7.7559117269576281E-4</v>
      </c>
      <c r="P16" s="30">
        <f>'TUSD BE'!$P$16*'TUSD BE'!$P$78</f>
        <v>0</v>
      </c>
      <c r="Q16" s="30">
        <f>'TUSD BE'!$Q$16*'TUSD BE'!$Q$78</f>
        <v>0</v>
      </c>
      <c r="R16" s="30">
        <f>'TUSD BE'!$R$16*'TUSD BE'!$R$78</f>
        <v>0</v>
      </c>
      <c r="S16" s="30">
        <f>'TUSD BE'!$R$16*'TUSD BE'!$S$78</f>
        <v>0</v>
      </c>
      <c r="T16" s="30">
        <f ca="1">SUM($L$16:$S$16)</f>
        <v>-3.0330229110603131E-2</v>
      </c>
      <c r="U16" s="30">
        <f>'TUSD BE'!$U$16*'TUSD BE'!$U$78</f>
        <v>0</v>
      </c>
      <c r="V16" s="30">
        <f>'TUSD BE'!$V$16*'TUSD BE'!$V$78</f>
        <v>0</v>
      </c>
      <c r="W16" s="30">
        <f>'TUSD BE'!$W$16*'TUSD BE'!$W$78</f>
        <v>0</v>
      </c>
      <c r="X16" s="30">
        <f>'TUSD BE'!$X$16*'TUSD BE'!$X$78</f>
        <v>0</v>
      </c>
      <c r="Y16" s="30">
        <f>'TUSD BE'!$Y$16*'TUSD BE'!$Y$78</f>
        <v>0</v>
      </c>
      <c r="Z16" s="30">
        <f>'TUSD BE'!$Z$16*'TUSD BE'!$Z$78</f>
        <v>0</v>
      </c>
      <c r="AA16" s="30">
        <f>'TUSD BE'!$AA$16*'TUSD BE'!$AA$78</f>
        <v>0</v>
      </c>
      <c r="AB16" s="30">
        <f>SUM($U$16:$AA$16)</f>
        <v>0</v>
      </c>
      <c r="AC16" s="30">
        <f>'TUSD BE'!$AC$16*'TUSD BE'!$AC$78</f>
        <v>0</v>
      </c>
      <c r="AD16" s="30">
        <f>SUM($AC$16:$AC$16)</f>
        <v>0</v>
      </c>
      <c r="AE16" s="30">
        <f ca="1">$AO$16*$AO$75</f>
        <v>-1.5408419200427508</v>
      </c>
      <c r="AF16" s="30">
        <f ca="1">$AP$16*$AP$75</f>
        <v>0</v>
      </c>
      <c r="AG16" s="30">
        <f ca="1">SUM($AE$16:$AF$16)</f>
        <v>-1.5408419200427508</v>
      </c>
      <c r="AH16" s="30">
        <f>'TUSD BE'!$AH$16*'TUSD BE'!$AH$78</f>
        <v>-0.8010560105536142</v>
      </c>
      <c r="AI16" s="30">
        <f>'TUSD BE'!$AI$16*'TUSD BE'!$AI$78</f>
        <v>-2.8520512245985476E-2</v>
      </c>
      <c r="AJ16" s="30">
        <f ca="1">'TUSD BE'!$AJ$16*'TUSD BE'!$AJ$78</f>
        <v>-0.44901208238131635</v>
      </c>
      <c r="AK16" s="30">
        <f ca="1">'TUSD BE'!$AK$16*'TUSD BE'!$AK$78</f>
        <v>0</v>
      </c>
      <c r="AL16" s="30">
        <f ca="1">SUM($AH$16:$AK$16)</f>
        <v>-1.2785886051809161</v>
      </c>
      <c r="AM16" s="30">
        <f ca="1">SUMIF($L$4:$AL$4,"SUBTOTAL",$L$16:$AL$16)</f>
        <v>-2.84976075433427</v>
      </c>
      <c r="AO16" s="36">
        <f ca="1">+'TUSD BE'!$T$16+'TUSD BE'!$AB$16+'TUSD BE'!$AD$16+'TUSD BE'!$AL$16</f>
        <v>18.483556965020291</v>
      </c>
      <c r="AP16" s="36">
        <f ca="1">+'TUSD BE'!$T$16+'TUSD BE'!$AB$16+'TUSD BE'!$AD$16+'TUSD BE'!$AL$16</f>
        <v>18.483556965020291</v>
      </c>
    </row>
    <row r="17" spans="1:42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>
        <f>'TUSD BE'!$L$17*'TUSD BE'!$L$78</f>
        <v>0</v>
      </c>
      <c r="M17" s="30">
        <f>'TUSD BE'!$M$17*'TUSD BE'!$M$78</f>
        <v>0</v>
      </c>
      <c r="N17" s="30">
        <f ca="1">'TUSD BE'!$N$17*'TUSD BE'!$N$78</f>
        <v>0</v>
      </c>
      <c r="O17" s="30">
        <f>'TUSD BE'!$O$17*'TUSD BE'!$O$78</f>
        <v>0</v>
      </c>
      <c r="P17" s="30">
        <f>'TUSD BE'!$P$17*'TUSD BE'!$P$78</f>
        <v>0</v>
      </c>
      <c r="Q17" s="30">
        <f>'TUSD BE'!$Q$17*'TUSD BE'!$Q$78</f>
        <v>0</v>
      </c>
      <c r="R17" s="30">
        <f>'TUSD BE'!$R$17*'TUSD BE'!$R$78</f>
        <v>0</v>
      </c>
      <c r="S17" s="30">
        <f>'TUSD BE'!$R$17*'TUSD BE'!$S$78</f>
        <v>0</v>
      </c>
      <c r="T17" s="30">
        <f ca="1">SUM($L$17:$S$17)</f>
        <v>0</v>
      </c>
      <c r="U17" s="30">
        <f>'TUSD BE'!$U$17*'TUSD BE'!$U$78</f>
        <v>1.0585082376219772</v>
      </c>
      <c r="V17" s="30">
        <f>'TUSD BE'!$V$17*'TUSD BE'!$V$78</f>
        <v>0</v>
      </c>
      <c r="W17" s="30">
        <f>'TUSD BE'!$W$17*'TUSD BE'!$W$78</f>
        <v>0</v>
      </c>
      <c r="X17" s="30">
        <f>'TUSD BE'!$X$17*'TUSD BE'!$X$78</f>
        <v>0</v>
      </c>
      <c r="Y17" s="30">
        <f>'TUSD BE'!$Y$17*'TUSD BE'!$Y$78</f>
        <v>0</v>
      </c>
      <c r="Z17" s="30">
        <f>'TUSD BE'!$Z$17*'TUSD BE'!$Z$78</f>
        <v>0</v>
      </c>
      <c r="AA17" s="30">
        <f>'TUSD BE'!$AA$17*'TUSD BE'!$AA$78</f>
        <v>0</v>
      </c>
      <c r="AB17" s="30">
        <f>SUM($U$17:$AA$17)</f>
        <v>1.0585082376219772</v>
      </c>
      <c r="AC17" s="30">
        <f>'TUSD BE'!$AC$17*'TUSD BE'!$AC$78</f>
        <v>1.4628958594394914</v>
      </c>
      <c r="AD17" s="30">
        <f>SUM($AC$17:$AC$17)</f>
        <v>1.4628958594394914</v>
      </c>
      <c r="AE17" s="30">
        <v>0</v>
      </c>
      <c r="AF17" s="30">
        <f ca="1">$AP$17*$AP$75</f>
        <v>0</v>
      </c>
      <c r="AG17" s="30">
        <f ca="1">SUM($AE$17:$AF$17)</f>
        <v>0</v>
      </c>
      <c r="AH17" s="30">
        <f>'TUSD BE'!$AH$17*'TUSD BE'!$AH$78</f>
        <v>0</v>
      </c>
      <c r="AI17" s="30">
        <f>'TUSD BE'!$AI$17*'TUSD BE'!$AI$78</f>
        <v>0</v>
      </c>
      <c r="AJ17" s="30">
        <f ca="1">'TUSD BE'!$AJ$17*'TUSD BE'!$AJ$78</f>
        <v>0</v>
      </c>
      <c r="AK17" s="30">
        <f ca="1">'TUSD BE'!$AK$17*'TUSD BE'!$AK$78</f>
        <v>0</v>
      </c>
      <c r="AL17" s="30">
        <f ca="1">SUM($AH$17:$AK$17)</f>
        <v>0</v>
      </c>
      <c r="AM17" s="30">
        <f ca="1">SUMIF($L$4:$AL$4,"SUBTOTAL",$L$17:$AL$17)</f>
        <v>2.5214040970614686</v>
      </c>
      <c r="AO17" s="36"/>
      <c r="AP17" s="36">
        <f ca="1">+'TUSD BE'!$T$17+'TUSD BE'!$AB$17+'TUSD BE'!$AD$17+'TUSD BE'!$AL$17</f>
        <v>33.380174478399738</v>
      </c>
    </row>
    <row r="18" spans="1:42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>
        <f>'TUSD BE'!$L$18*'TUSD BE'!$L$78</f>
        <v>0</v>
      </c>
      <c r="M18" s="30">
        <f>'TUSD BE'!$M$18*'TUSD BE'!$M$78</f>
        <v>0</v>
      </c>
      <c r="N18" s="30">
        <f ca="1">'TUSD BE'!$N$18*'TUSD BE'!$N$78</f>
        <v>0</v>
      </c>
      <c r="O18" s="30">
        <f>'TUSD BE'!$O$18*'TUSD BE'!$O$78</f>
        <v>0</v>
      </c>
      <c r="P18" s="30">
        <f>'TUSD BE'!$P$18*'TUSD BE'!$P$78</f>
        <v>0</v>
      </c>
      <c r="Q18" s="30">
        <f>'TUSD BE'!$Q$18*'TUSD BE'!$Q$78</f>
        <v>0</v>
      </c>
      <c r="R18" s="30">
        <f>'TUSD BE'!$R$18*'TUSD BE'!$R$78</f>
        <v>0</v>
      </c>
      <c r="S18" s="30">
        <f>'TUSD BE'!$R$18*'TUSD BE'!$S$78</f>
        <v>0</v>
      </c>
      <c r="T18" s="30">
        <f ca="1">SUM($L$18:$S$18)</f>
        <v>0</v>
      </c>
      <c r="U18" s="30">
        <f>'TUSD BE'!$U$18*'TUSD BE'!$U$78</f>
        <v>1.0656197773246654</v>
      </c>
      <c r="V18" s="30">
        <f>'TUSD BE'!$V$18*'TUSD BE'!$V$78</f>
        <v>0</v>
      </c>
      <c r="W18" s="30">
        <f>'TUSD BE'!$W$18*'TUSD BE'!$W$78</f>
        <v>0</v>
      </c>
      <c r="X18" s="30">
        <f>'TUSD BE'!$X$18*'TUSD BE'!$X$78</f>
        <v>0</v>
      </c>
      <c r="Y18" s="30">
        <f>'TUSD BE'!$Y$18*'TUSD BE'!$Y$78</f>
        <v>0</v>
      </c>
      <c r="Z18" s="30">
        <f>'TUSD BE'!$Z$18*'TUSD BE'!$Z$78</f>
        <v>0</v>
      </c>
      <c r="AA18" s="30">
        <f>'TUSD BE'!$AA$18*'TUSD BE'!$AA$78</f>
        <v>0</v>
      </c>
      <c r="AB18" s="30">
        <f>SUM($U$18:$AA$18)</f>
        <v>1.0656197773246654</v>
      </c>
      <c r="AC18" s="30">
        <f>'TUSD BE'!$AC$18*'TUSD BE'!$AC$78</f>
        <v>0.41866341449084499</v>
      </c>
      <c r="AD18" s="30">
        <f>SUM($AC$18:$AC$18)</f>
        <v>0.41866341449084499</v>
      </c>
      <c r="AE18" s="30">
        <v>0</v>
      </c>
      <c r="AF18" s="30">
        <f ca="1">$AP$18*$AP$75</f>
        <v>0</v>
      </c>
      <c r="AG18" s="30">
        <f ca="1">SUM($AE$18:$AF$18)</f>
        <v>0</v>
      </c>
      <c r="AH18" s="30">
        <f>'TUSD BE'!$AH$18*'TUSD BE'!$AH$78</f>
        <v>0</v>
      </c>
      <c r="AI18" s="30">
        <f>'TUSD BE'!$AI$18*'TUSD BE'!$AI$78</f>
        <v>0</v>
      </c>
      <c r="AJ18" s="30">
        <f ca="1">'TUSD BE'!$AJ$18*'TUSD BE'!$AJ$78</f>
        <v>0</v>
      </c>
      <c r="AK18" s="30">
        <f ca="1">'TUSD BE'!$AK$18*'TUSD BE'!$AK$78</f>
        <v>0</v>
      </c>
      <c r="AL18" s="30">
        <f ca="1">SUM($AH$18:$AK$18)</f>
        <v>0</v>
      </c>
      <c r="AM18" s="30">
        <f ca="1">SUMIF($L$4:$AL$4,"SUBTOTAL",$L$18:$AL$18)</f>
        <v>1.4842831918155104</v>
      </c>
      <c r="AO18" s="36"/>
      <c r="AP18" s="36">
        <f ca="1">+'TUSD BE'!$T$18+'TUSD BE'!$AB$18+'TUSD BE'!$AD$18+'TUSD BE'!$AL$18</f>
        <v>14.643517570572854</v>
      </c>
    </row>
    <row r="19" spans="1:42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>
        <f>'TUSD BE'!$L$19*'TUSD BE'!$L$78</f>
        <v>0</v>
      </c>
      <c r="M19" s="30">
        <f>'TUSD BE'!$M$19*'TUSD BE'!$M$78</f>
        <v>0</v>
      </c>
      <c r="N19" s="30">
        <f ca="1">'TUSD BE'!$N$19*'TUSD BE'!$N$78</f>
        <v>0</v>
      </c>
      <c r="O19" s="30">
        <f>'TUSD BE'!$O$19*'TUSD BE'!$O$78</f>
        <v>0</v>
      </c>
      <c r="P19" s="30">
        <f>'TUSD BE'!$P$19*'TUSD BE'!$P$78</f>
        <v>0</v>
      </c>
      <c r="Q19" s="30">
        <f>'TUSD BE'!$Q$19*'TUSD BE'!$Q$78</f>
        <v>0</v>
      </c>
      <c r="R19" s="30">
        <f>'TUSD BE'!$R$19*'TUSD BE'!$R$78</f>
        <v>0</v>
      </c>
      <c r="S19" s="30">
        <f>'TUSD BE'!$R$19*'TUSD BE'!$S$78</f>
        <v>0</v>
      </c>
      <c r="T19" s="30">
        <f ca="1">SUM($L$19:$S$19)</f>
        <v>0</v>
      </c>
      <c r="U19" s="30">
        <f>'TUSD BE'!$U$19*'TUSD BE'!$U$78</f>
        <v>0</v>
      </c>
      <c r="V19" s="30">
        <f>'TUSD BE'!$V$19*'TUSD BE'!$V$78</f>
        <v>0</v>
      </c>
      <c r="W19" s="30">
        <f>'TUSD BE'!$W$19*'TUSD BE'!$W$78</f>
        <v>0</v>
      </c>
      <c r="X19" s="30">
        <f>'TUSD BE'!$X$19*'TUSD BE'!$X$78</f>
        <v>0</v>
      </c>
      <c r="Y19" s="30">
        <f>'TUSD BE'!$Y$19*'TUSD BE'!$Y$78</f>
        <v>0</v>
      </c>
      <c r="Z19" s="30">
        <f>'TUSD BE'!$Z$19*'TUSD BE'!$Z$78</f>
        <v>0</v>
      </c>
      <c r="AA19" s="30">
        <f>'TUSD BE'!$AA$19*'TUSD BE'!$AA$78</f>
        <v>0</v>
      </c>
      <c r="AB19" s="30">
        <f>SUM($U$19:$AA$19)</f>
        <v>0</v>
      </c>
      <c r="AC19" s="30">
        <f>'TUSD BE'!$AC$19*'TUSD BE'!$AC$78</f>
        <v>0</v>
      </c>
      <c r="AD19" s="30">
        <f>SUM($AC$19:$AC$19)</f>
        <v>0</v>
      </c>
      <c r="AE19" s="30">
        <v>0</v>
      </c>
      <c r="AF19" s="30">
        <f ca="1">$AP$19*$AP$75</f>
        <v>0</v>
      </c>
      <c r="AG19" s="30">
        <f ca="1">SUM($AE$19:$AF$19)</f>
        <v>0</v>
      </c>
      <c r="AH19" s="30">
        <f>'TUSD BE'!$AH$19*'TUSD BE'!$AH$78</f>
        <v>-0.8010560105536142</v>
      </c>
      <c r="AI19" s="30">
        <f>'TUSD BE'!$AI$19*'TUSD BE'!$AI$78</f>
        <v>-2.8520512245985476E-2</v>
      </c>
      <c r="AJ19" s="30">
        <f ca="1">'TUSD BE'!$AJ$19*'TUSD BE'!$AJ$78</f>
        <v>0</v>
      </c>
      <c r="AK19" s="30">
        <f ca="1">'TUSD BE'!$AK$19*'TUSD BE'!$AK$78</f>
        <v>0</v>
      </c>
      <c r="AL19" s="30">
        <f ca="1">SUM($AH$19:$AK$19)</f>
        <v>-0.8295765227995997</v>
      </c>
      <c r="AM19" s="30">
        <f ca="1">SUMIF($L$4:$AL$4,"SUBTOTAL",$L$19:$AL$19)</f>
        <v>-0.8295765227995997</v>
      </c>
      <c r="AO19" s="36"/>
      <c r="AP19" s="36">
        <f ca="1">+'TUSD BE'!$T$19+'TUSD BE'!$AB$19+'TUSD BE'!$AD$19+'TUSD BE'!$AL$19</f>
        <v>11.170708195854148</v>
      </c>
    </row>
    <row r="20" spans="1:42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>
        <f>'TUSD BE'!$L$20*'TUSD BE'!$L$78</f>
        <v>0</v>
      </c>
      <c r="M20" s="30">
        <f>'TUSD BE'!$M$20*'TUSD BE'!$M$78</f>
        <v>0</v>
      </c>
      <c r="N20" s="30">
        <f ca="1">'TUSD BE'!$N$20*'TUSD BE'!$N$78</f>
        <v>0</v>
      </c>
      <c r="O20" s="30">
        <f>'TUSD BE'!$O$20*'TUSD BE'!$O$78</f>
        <v>0</v>
      </c>
      <c r="P20" s="30">
        <f>'TUSD BE'!$P$20*'TUSD BE'!$P$78</f>
        <v>0</v>
      </c>
      <c r="Q20" s="30">
        <f>'TUSD BE'!$Q$20*'TUSD BE'!$Q$78</f>
        <v>0</v>
      </c>
      <c r="R20" s="30">
        <f>'TUSD BE'!$R$20*'TUSD BE'!$R$78</f>
        <v>0</v>
      </c>
      <c r="S20" s="30">
        <f>'TUSD BE'!$R$20*'TUSD BE'!$S$78</f>
        <v>0</v>
      </c>
      <c r="T20" s="30">
        <f ca="1">SUM($L$20:$S$20)</f>
        <v>0</v>
      </c>
      <c r="U20" s="30">
        <f>'TUSD BE'!$U$20*'TUSD BE'!$U$78</f>
        <v>1.0585082376219772</v>
      </c>
      <c r="V20" s="30">
        <f>'TUSD BE'!$V$20*'TUSD BE'!$V$78</f>
        <v>0</v>
      </c>
      <c r="W20" s="30">
        <f>'TUSD BE'!$W$20*'TUSD BE'!$W$78</f>
        <v>0</v>
      </c>
      <c r="X20" s="30">
        <f>'TUSD BE'!$X$20*'TUSD BE'!$X$78</f>
        <v>0</v>
      </c>
      <c r="Y20" s="30">
        <f>'TUSD BE'!$Y$20*'TUSD BE'!$Y$78</f>
        <v>0</v>
      </c>
      <c r="Z20" s="30">
        <f>'TUSD BE'!$Z$20*'TUSD BE'!$Z$78</f>
        <v>0</v>
      </c>
      <c r="AA20" s="30">
        <f>'TUSD BE'!$AA$20*'TUSD BE'!$AA$78</f>
        <v>0</v>
      </c>
      <c r="AB20" s="30">
        <f>SUM($U$20:$AA$20)</f>
        <v>1.0585082376219772</v>
      </c>
      <c r="AC20" s="30">
        <f>'TUSD BE'!$AC$20*'TUSD BE'!$AC$78</f>
        <v>1.4628958594394914</v>
      </c>
      <c r="AD20" s="30">
        <f>SUM($AC$20:$AC$20)</f>
        <v>1.4628958594394914</v>
      </c>
      <c r="AE20" s="30">
        <v>0</v>
      </c>
      <c r="AF20" s="30">
        <f ca="1">$AP$20*$AP$75</f>
        <v>0</v>
      </c>
      <c r="AG20" s="30">
        <f ca="1">SUM($AE$20:$AF$20)</f>
        <v>0</v>
      </c>
      <c r="AH20" s="30">
        <f>'TUSD BE'!$AH$20*'TUSD BE'!$AH$78</f>
        <v>0</v>
      </c>
      <c r="AI20" s="30">
        <f>'TUSD BE'!$AI$20*'TUSD BE'!$AI$78</f>
        <v>0</v>
      </c>
      <c r="AJ20" s="30">
        <f ca="1">'TUSD BE'!$AJ$20*'TUSD BE'!$AJ$78</f>
        <v>0</v>
      </c>
      <c r="AK20" s="30">
        <f ca="1">'TUSD BE'!$AK$20*'TUSD BE'!$AK$78</f>
        <v>0</v>
      </c>
      <c r="AL20" s="30">
        <f ca="1">SUM($AH$20:$AK$20)</f>
        <v>0</v>
      </c>
      <c r="AM20" s="30">
        <f ca="1">SUMIF($L$4:$AL$4,"SUBTOTAL",$L$20:$AL$20)</f>
        <v>2.5214040970614686</v>
      </c>
      <c r="AO20" s="36"/>
      <c r="AP20" s="36">
        <f ca="1">+'TUSD BE'!$T$20+'TUSD BE'!$AB$20+'TUSD BE'!$AD$20+'TUSD BE'!$AL$20</f>
        <v>33.380174478399738</v>
      </c>
    </row>
    <row r="21" spans="1:42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>
        <f>'TUSD BE'!$L$21*'TUSD BE'!$L$78</f>
        <v>0</v>
      </c>
      <c r="M21" s="30">
        <f>'TUSD BE'!$M$21*'TUSD BE'!$M$78</f>
        <v>0</v>
      </c>
      <c r="N21" s="30">
        <f ca="1">'TUSD BE'!$N$21*'TUSD BE'!$N$78</f>
        <v>0</v>
      </c>
      <c r="O21" s="30">
        <f>'TUSD BE'!$O$21*'TUSD BE'!$O$78</f>
        <v>0</v>
      </c>
      <c r="P21" s="30">
        <f>'TUSD BE'!$P$21*'TUSD BE'!$P$78</f>
        <v>0</v>
      </c>
      <c r="Q21" s="30">
        <f>'TUSD BE'!$Q$21*'TUSD BE'!$Q$78</f>
        <v>0</v>
      </c>
      <c r="R21" s="30">
        <f>'TUSD BE'!$R$21*'TUSD BE'!$R$78</f>
        <v>0</v>
      </c>
      <c r="S21" s="30">
        <f>'TUSD BE'!$R$21*'TUSD BE'!$S$78</f>
        <v>0</v>
      </c>
      <c r="T21" s="30">
        <f ca="1">SUM($L$21:$S$21)</f>
        <v>0</v>
      </c>
      <c r="U21" s="30">
        <f>'TUSD BE'!$U$21*'TUSD BE'!$U$78</f>
        <v>1.0656197773246654</v>
      </c>
      <c r="V21" s="30">
        <f>'TUSD BE'!$V$21*'TUSD BE'!$V$78</f>
        <v>0</v>
      </c>
      <c r="W21" s="30">
        <f>'TUSD BE'!$W$21*'TUSD BE'!$W$78</f>
        <v>0</v>
      </c>
      <c r="X21" s="30">
        <f>'TUSD BE'!$X$21*'TUSD BE'!$X$78</f>
        <v>0</v>
      </c>
      <c r="Y21" s="30">
        <f>'TUSD BE'!$Y$21*'TUSD BE'!$Y$78</f>
        <v>0</v>
      </c>
      <c r="Z21" s="30">
        <f>'TUSD BE'!$Z$21*'TUSD BE'!$Z$78</f>
        <v>0</v>
      </c>
      <c r="AA21" s="30">
        <f>'TUSD BE'!$AA$21*'TUSD BE'!$AA$78</f>
        <v>0</v>
      </c>
      <c r="AB21" s="30">
        <f>SUM($U$21:$AA$21)</f>
        <v>1.0656197773246654</v>
      </c>
      <c r="AC21" s="30">
        <f>'TUSD BE'!$AC$21*'TUSD BE'!$AC$78</f>
        <v>0.41866341449084499</v>
      </c>
      <c r="AD21" s="30">
        <f>SUM($AC$21:$AC$21)</f>
        <v>0.41866341449084499</v>
      </c>
      <c r="AE21" s="30">
        <v>0</v>
      </c>
      <c r="AF21" s="30">
        <f ca="1">$AP$21*$AP$75</f>
        <v>0</v>
      </c>
      <c r="AG21" s="30">
        <f ca="1">SUM($AE$21:$AF$21)</f>
        <v>0</v>
      </c>
      <c r="AH21" s="30">
        <f>'TUSD BE'!$AH$21*'TUSD BE'!$AH$78</f>
        <v>0</v>
      </c>
      <c r="AI21" s="30">
        <f>'TUSD BE'!$AI$21*'TUSD BE'!$AI$78</f>
        <v>0</v>
      </c>
      <c r="AJ21" s="30">
        <f ca="1">'TUSD BE'!$AJ$21*'TUSD BE'!$AJ$78</f>
        <v>0</v>
      </c>
      <c r="AK21" s="30">
        <f ca="1">'TUSD BE'!$AK$21*'TUSD BE'!$AK$78</f>
        <v>0</v>
      </c>
      <c r="AL21" s="30">
        <f ca="1">SUM($AH$21:$AK$21)</f>
        <v>0</v>
      </c>
      <c r="AM21" s="30">
        <f ca="1">SUMIF($L$4:$AL$4,"SUBTOTAL",$L$21:$AL$21)</f>
        <v>1.4842831918155104</v>
      </c>
      <c r="AO21" s="36"/>
      <c r="AP21" s="36">
        <f ca="1">+'TUSD BE'!$T$21+'TUSD BE'!$AB$21+'TUSD BE'!$AD$21+'TUSD BE'!$AL$21</f>
        <v>14.643517570572854</v>
      </c>
    </row>
    <row r="22" spans="1:42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>
        <f>'TUSD BE'!$L$22*'TUSD BE'!$L$78</f>
        <v>0</v>
      </c>
      <c r="M22" s="30">
        <f>'TUSD BE'!$M$22*'TUSD BE'!$M$78</f>
        <v>0</v>
      </c>
      <c r="N22" s="30">
        <f ca="1">'TUSD BE'!$N$22*'TUSD BE'!$N$78</f>
        <v>0</v>
      </c>
      <c r="O22" s="30">
        <f>'TUSD BE'!$O$22*'TUSD BE'!$O$78</f>
        <v>0</v>
      </c>
      <c r="P22" s="30">
        <f>'TUSD BE'!$P$22*'TUSD BE'!$P$78</f>
        <v>0</v>
      </c>
      <c r="Q22" s="30">
        <f>'TUSD BE'!$Q$22*'TUSD BE'!$Q$78</f>
        <v>0</v>
      </c>
      <c r="R22" s="30">
        <f>'TUSD BE'!$R$22*'TUSD BE'!$R$78</f>
        <v>0</v>
      </c>
      <c r="S22" s="30">
        <f>'TUSD BE'!$R$22*'TUSD BE'!$S$78</f>
        <v>0</v>
      </c>
      <c r="T22" s="30">
        <f ca="1">SUM($L$22:$S$22)</f>
        <v>0</v>
      </c>
      <c r="U22" s="30">
        <f>'TUSD BE'!$U$22*'TUSD BE'!$U$78</f>
        <v>0</v>
      </c>
      <c r="V22" s="30">
        <f>'TUSD BE'!$V$22*'TUSD BE'!$V$78</f>
        <v>0</v>
      </c>
      <c r="W22" s="30">
        <f>'TUSD BE'!$W$22*'TUSD BE'!$W$78</f>
        <v>0</v>
      </c>
      <c r="X22" s="30">
        <f>'TUSD BE'!$X$22*'TUSD BE'!$X$78</f>
        <v>0</v>
      </c>
      <c r="Y22" s="30">
        <f>'TUSD BE'!$Y$22*'TUSD BE'!$Y$78</f>
        <v>0</v>
      </c>
      <c r="Z22" s="30">
        <f>'TUSD BE'!$Z$22*'TUSD BE'!$Z$78</f>
        <v>0</v>
      </c>
      <c r="AA22" s="30">
        <f>'TUSD BE'!$AA$22*'TUSD BE'!$AA$78</f>
        <v>0</v>
      </c>
      <c r="AB22" s="30">
        <f>SUM($U$22:$AA$22)</f>
        <v>0</v>
      </c>
      <c r="AC22" s="30">
        <f>'TUSD BE'!$AC$22*'TUSD BE'!$AC$78</f>
        <v>0</v>
      </c>
      <c r="AD22" s="30">
        <f>SUM($AC$22:$AC$22)</f>
        <v>0</v>
      </c>
      <c r="AE22" s="30">
        <v>0</v>
      </c>
      <c r="AF22" s="30">
        <f ca="1">$AP$22*$AP$75</f>
        <v>0</v>
      </c>
      <c r="AG22" s="30">
        <f ca="1">SUM($AE$22:$AF$22)</f>
        <v>0</v>
      </c>
      <c r="AH22" s="30">
        <f>'TUSD BE'!$AH$22*'TUSD BE'!$AH$78</f>
        <v>-0.8010560105536142</v>
      </c>
      <c r="AI22" s="30">
        <f>'TUSD BE'!$AI$22*'TUSD BE'!$AI$78</f>
        <v>-2.8520512245985476E-2</v>
      </c>
      <c r="AJ22" s="30">
        <f ca="1">'TUSD BE'!$AJ$22*'TUSD BE'!$AJ$78</f>
        <v>0</v>
      </c>
      <c r="AK22" s="30">
        <f ca="1">'TUSD BE'!$AK$22*'TUSD BE'!$AK$78</f>
        <v>0</v>
      </c>
      <c r="AL22" s="30">
        <f ca="1">SUM($AH$22:$AK$22)</f>
        <v>-0.8295765227995997</v>
      </c>
      <c r="AM22" s="30">
        <f ca="1">SUMIF($L$4:$AL$4,"SUBTOTAL",$L$22:$AL$22)</f>
        <v>-0.8295765227995997</v>
      </c>
      <c r="AO22" s="36"/>
      <c r="AP22" s="36">
        <f ca="1">+'TUSD BE'!$T$22+'TUSD BE'!$AB$22+'TUSD BE'!$AD$22+'TUSD BE'!$AL$22</f>
        <v>11.170708195854148</v>
      </c>
    </row>
    <row r="23" spans="1:42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>
        <f>'TUSD BE'!$L$23*'TUSD BE'!$L$78</f>
        <v>0</v>
      </c>
      <c r="M23" s="30">
        <f>'TUSD BE'!$M$23*'TUSD BE'!$M$78</f>
        <v>0</v>
      </c>
      <c r="N23" s="30">
        <f ca="1">'TUSD BE'!$N$23*'TUSD BE'!$N$78</f>
        <v>0</v>
      </c>
      <c r="O23" s="30">
        <f>'TUSD BE'!$O$23*'TUSD BE'!$O$78</f>
        <v>0</v>
      </c>
      <c r="P23" s="30">
        <f>'TUSD BE'!$P$23*'TUSD BE'!$P$78</f>
        <v>0</v>
      </c>
      <c r="Q23" s="30">
        <f>'TUSD BE'!$Q$23*'TUSD BE'!$Q$78</f>
        <v>0</v>
      </c>
      <c r="R23" s="30">
        <f>'TUSD BE'!$R$23*'TUSD BE'!$R$78</f>
        <v>0</v>
      </c>
      <c r="S23" s="30">
        <f>'TUSD BE'!$R$23*'TUSD BE'!$S$78</f>
        <v>0</v>
      </c>
      <c r="T23" s="30">
        <f ca="1">SUM($L$23:$S$23)</f>
        <v>0</v>
      </c>
      <c r="U23" s="30">
        <f>'TUSD BE'!$U$23*'TUSD BE'!$U$78</f>
        <v>1.0585082376219772</v>
      </c>
      <c r="V23" s="30">
        <f>'TUSD BE'!$V$23*'TUSD BE'!$V$78</f>
        <v>0</v>
      </c>
      <c r="W23" s="30">
        <f>'TUSD BE'!$W$23*'TUSD BE'!$W$78</f>
        <v>0</v>
      </c>
      <c r="X23" s="30">
        <f>'TUSD BE'!$X$23*'TUSD BE'!$X$78</f>
        <v>0</v>
      </c>
      <c r="Y23" s="30">
        <f>'TUSD BE'!$Y$23*'TUSD BE'!$Y$78</f>
        <v>0</v>
      </c>
      <c r="Z23" s="30">
        <f>'TUSD BE'!$Z$23*'TUSD BE'!$Z$78</f>
        <v>0</v>
      </c>
      <c r="AA23" s="30">
        <f>'TUSD BE'!$AA$23*'TUSD BE'!$AA$78</f>
        <v>0</v>
      </c>
      <c r="AB23" s="30">
        <f>SUM($U$23:$AA$23)</f>
        <v>1.0585082376219772</v>
      </c>
      <c r="AC23" s="30">
        <f>'TUSD BE'!$AC$23*'TUSD BE'!$AC$78</f>
        <v>1.4628958594394914</v>
      </c>
      <c r="AD23" s="30">
        <f>SUM($AC$23:$AC$23)</f>
        <v>1.4628958594394914</v>
      </c>
      <c r="AE23" s="30">
        <v>0</v>
      </c>
      <c r="AF23" s="30">
        <f ca="1">$AP$23*$AP$75</f>
        <v>0</v>
      </c>
      <c r="AG23" s="30">
        <f ca="1">SUM($AE$23:$AF$23)</f>
        <v>0</v>
      </c>
      <c r="AH23" s="30">
        <f>'TUSD BE'!$AH$23*'TUSD BE'!$AH$78</f>
        <v>0</v>
      </c>
      <c r="AI23" s="30">
        <f>'TUSD BE'!$AI$23*'TUSD BE'!$AI$78</f>
        <v>0</v>
      </c>
      <c r="AJ23" s="30">
        <f ca="1">'TUSD BE'!$AJ$23*'TUSD BE'!$AJ$78</f>
        <v>0</v>
      </c>
      <c r="AK23" s="30">
        <f ca="1">'TUSD BE'!$AK$23*'TUSD BE'!$AK$78</f>
        <v>0</v>
      </c>
      <c r="AL23" s="30">
        <f ca="1">SUM($AH$23:$AK$23)</f>
        <v>0</v>
      </c>
      <c r="AM23" s="30">
        <f ca="1">SUMIF($L$4:$AL$4,"SUBTOTAL",$L$23:$AL$23)</f>
        <v>2.5214040970614686</v>
      </c>
      <c r="AO23" s="36"/>
      <c r="AP23" s="36">
        <f ca="1">+'TUSD BE'!$T$23+'TUSD BE'!$AB$23+'TUSD BE'!$AD$23+'TUSD BE'!$AL$23</f>
        <v>33.380174478399738</v>
      </c>
    </row>
    <row r="24" spans="1:42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>
        <f>'TUSD BE'!$L$24*'TUSD BE'!$L$78</f>
        <v>0</v>
      </c>
      <c r="M24" s="30">
        <f>'TUSD BE'!$M$24*'TUSD BE'!$M$78</f>
        <v>0</v>
      </c>
      <c r="N24" s="30">
        <f ca="1">'TUSD BE'!$N$24*'TUSD BE'!$N$78</f>
        <v>0</v>
      </c>
      <c r="O24" s="30">
        <f>'TUSD BE'!$O$24*'TUSD BE'!$O$78</f>
        <v>0</v>
      </c>
      <c r="P24" s="30">
        <f>'TUSD BE'!$P$24*'TUSD BE'!$P$78</f>
        <v>0</v>
      </c>
      <c r="Q24" s="30">
        <f>'TUSD BE'!$Q$24*'TUSD BE'!$Q$78</f>
        <v>0</v>
      </c>
      <c r="R24" s="30">
        <f>'TUSD BE'!$R$24*'TUSD BE'!$R$78</f>
        <v>0</v>
      </c>
      <c r="S24" s="30">
        <f>'TUSD BE'!$R$24*'TUSD BE'!$S$78</f>
        <v>0</v>
      </c>
      <c r="T24" s="30">
        <f ca="1">SUM($L$24:$S$24)</f>
        <v>0</v>
      </c>
      <c r="U24" s="30">
        <f>'TUSD BE'!$U$24*'TUSD BE'!$U$78</f>
        <v>1.0656197773246654</v>
      </c>
      <c r="V24" s="30">
        <f>'TUSD BE'!$V$24*'TUSD BE'!$V$78</f>
        <v>0</v>
      </c>
      <c r="W24" s="30">
        <f>'TUSD BE'!$W$24*'TUSD BE'!$W$78</f>
        <v>0</v>
      </c>
      <c r="X24" s="30">
        <f>'TUSD BE'!$X$24*'TUSD BE'!$X$78</f>
        <v>0</v>
      </c>
      <c r="Y24" s="30">
        <f>'TUSD BE'!$Y$24*'TUSD BE'!$Y$78</f>
        <v>0</v>
      </c>
      <c r="Z24" s="30">
        <f>'TUSD BE'!$Z$24*'TUSD BE'!$Z$78</f>
        <v>0</v>
      </c>
      <c r="AA24" s="30">
        <f>'TUSD BE'!$AA$24*'TUSD BE'!$AA$78</f>
        <v>0</v>
      </c>
      <c r="AB24" s="30">
        <f>SUM($U$24:$AA$24)</f>
        <v>1.0656197773246654</v>
      </c>
      <c r="AC24" s="30">
        <f>'TUSD BE'!$AC$24*'TUSD BE'!$AC$78</f>
        <v>0.41866341449084499</v>
      </c>
      <c r="AD24" s="30">
        <f>SUM($AC$24:$AC$24)</f>
        <v>0.41866341449084499</v>
      </c>
      <c r="AE24" s="30">
        <v>0</v>
      </c>
      <c r="AF24" s="30">
        <f ca="1">$AP$24*$AP$75</f>
        <v>0</v>
      </c>
      <c r="AG24" s="30">
        <f ca="1">SUM($AE$24:$AF$24)</f>
        <v>0</v>
      </c>
      <c r="AH24" s="30">
        <f>'TUSD BE'!$AH$24*'TUSD BE'!$AH$78</f>
        <v>0</v>
      </c>
      <c r="AI24" s="30">
        <f>'TUSD BE'!$AI$24*'TUSD BE'!$AI$78</f>
        <v>0</v>
      </c>
      <c r="AJ24" s="30">
        <f ca="1">'TUSD BE'!$AJ$24*'TUSD BE'!$AJ$78</f>
        <v>0</v>
      </c>
      <c r="AK24" s="30">
        <f ca="1">'TUSD BE'!$AK$24*'TUSD BE'!$AK$78</f>
        <v>0</v>
      </c>
      <c r="AL24" s="30">
        <f ca="1">SUM($AH$24:$AK$24)</f>
        <v>0</v>
      </c>
      <c r="AM24" s="30">
        <f ca="1">SUMIF($L$4:$AL$4,"SUBTOTAL",$L$24:$AL$24)</f>
        <v>1.4842831918155104</v>
      </c>
      <c r="AO24" s="36"/>
      <c r="AP24" s="36">
        <f ca="1">+'TUSD BE'!$T$24+'TUSD BE'!$AB$24+'TUSD BE'!$AD$24+'TUSD BE'!$AL$24</f>
        <v>14.643517570572854</v>
      </c>
    </row>
    <row r="25" spans="1:42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>
        <f>'TUSD BE'!$L$25*'TUSD BE'!$L$78</f>
        <v>0</v>
      </c>
      <c r="M25" s="30">
        <f>'TUSD BE'!$M$25*'TUSD BE'!$M$78</f>
        <v>0</v>
      </c>
      <c r="N25" s="30">
        <f ca="1">'TUSD BE'!$N$25*'TUSD BE'!$N$78</f>
        <v>0</v>
      </c>
      <c r="O25" s="30">
        <f>'TUSD BE'!$O$25*'TUSD BE'!$O$78</f>
        <v>0</v>
      </c>
      <c r="P25" s="30">
        <f>'TUSD BE'!$P$25*'TUSD BE'!$P$78</f>
        <v>0</v>
      </c>
      <c r="Q25" s="30">
        <f>'TUSD BE'!$Q$25*'TUSD BE'!$Q$78</f>
        <v>0</v>
      </c>
      <c r="R25" s="30">
        <f>'TUSD BE'!$R$25*'TUSD BE'!$R$78</f>
        <v>0</v>
      </c>
      <c r="S25" s="30">
        <f>'TUSD BE'!$R$25*'TUSD BE'!$S$78</f>
        <v>0</v>
      </c>
      <c r="T25" s="30">
        <f ca="1">SUM($L$25:$S$25)</f>
        <v>0</v>
      </c>
      <c r="U25" s="30">
        <f>'TUSD BE'!$U$25*'TUSD BE'!$U$78</f>
        <v>0</v>
      </c>
      <c r="V25" s="30">
        <f>'TUSD BE'!$V$25*'TUSD BE'!$V$78</f>
        <v>0</v>
      </c>
      <c r="W25" s="30">
        <f>'TUSD BE'!$W$25*'TUSD BE'!$W$78</f>
        <v>0</v>
      </c>
      <c r="X25" s="30">
        <f>'TUSD BE'!$X$25*'TUSD BE'!$X$78</f>
        <v>0</v>
      </c>
      <c r="Y25" s="30">
        <f>'TUSD BE'!$Y$25*'TUSD BE'!$Y$78</f>
        <v>0</v>
      </c>
      <c r="Z25" s="30">
        <f>'TUSD BE'!$Z$25*'TUSD BE'!$Z$78</f>
        <v>0</v>
      </c>
      <c r="AA25" s="30">
        <f>'TUSD BE'!$AA$25*'TUSD BE'!$AA$78</f>
        <v>0</v>
      </c>
      <c r="AB25" s="30">
        <f>SUM($U$25:$AA$25)</f>
        <v>0</v>
      </c>
      <c r="AC25" s="30">
        <f>'TUSD BE'!$AC$25*'TUSD BE'!$AC$78</f>
        <v>0</v>
      </c>
      <c r="AD25" s="30">
        <f>SUM($AC$25:$AC$25)</f>
        <v>0</v>
      </c>
      <c r="AE25" s="30">
        <v>0</v>
      </c>
      <c r="AF25" s="30">
        <f ca="1">$AP$25*$AP$75</f>
        <v>0</v>
      </c>
      <c r="AG25" s="30">
        <f ca="1">SUM($AE$25:$AF$25)</f>
        <v>0</v>
      </c>
      <c r="AH25" s="30">
        <f>'TUSD BE'!$AH$25*'TUSD BE'!$AH$78</f>
        <v>-0.8010560105536142</v>
      </c>
      <c r="AI25" s="30">
        <f>'TUSD BE'!$AI$25*'TUSD BE'!$AI$78</f>
        <v>-2.8520512245985476E-2</v>
      </c>
      <c r="AJ25" s="30">
        <f ca="1">'TUSD BE'!$AJ$25*'TUSD BE'!$AJ$78</f>
        <v>0</v>
      </c>
      <c r="AK25" s="30">
        <f ca="1">'TUSD BE'!$AK$25*'TUSD BE'!$AK$78</f>
        <v>0</v>
      </c>
      <c r="AL25" s="30">
        <f ca="1">SUM($AH$25:$AK$25)</f>
        <v>-0.8295765227995997</v>
      </c>
      <c r="AM25" s="30">
        <f ca="1">SUMIF($L$4:$AL$4,"SUBTOTAL",$L$25:$AL$25)</f>
        <v>-0.8295765227995997</v>
      </c>
      <c r="AO25" s="36"/>
      <c r="AP25" s="36">
        <f ca="1">+'TUSD BE'!$T$25+'TUSD BE'!$AB$25+'TUSD BE'!$AD$25+'TUSD BE'!$AL$25</f>
        <v>11.170708195854148</v>
      </c>
    </row>
    <row r="26" spans="1:42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>
        <f>'TUSD BE'!$L$26*'TUSD BE'!$L$78</f>
        <v>0</v>
      </c>
      <c r="M26" s="30">
        <f>'TUSD BE'!$M$26*'TUSD BE'!$M$78</f>
        <v>0</v>
      </c>
      <c r="N26" s="30">
        <f ca="1">'TUSD BE'!$N$26*'TUSD BE'!$N$78</f>
        <v>0</v>
      </c>
      <c r="O26" s="30">
        <f>'TUSD BE'!$O$26*'TUSD BE'!$O$78</f>
        <v>0</v>
      </c>
      <c r="P26" s="30">
        <f>'TUSD BE'!$P$26*'TUSD BE'!$P$78</f>
        <v>0</v>
      </c>
      <c r="Q26" s="30">
        <f>'TUSD BE'!$Q$26*'TUSD BE'!$Q$78</f>
        <v>0</v>
      </c>
      <c r="R26" s="30">
        <f>'TUSD BE'!$R$26*'TUSD BE'!$R$78</f>
        <v>0</v>
      </c>
      <c r="S26" s="30">
        <f>'TUSD BE'!$R$26*'TUSD BE'!$S$78</f>
        <v>0</v>
      </c>
      <c r="T26" s="30">
        <f ca="1">SUM($L$26:$S$26)</f>
        <v>0</v>
      </c>
      <c r="U26" s="30">
        <f>'TUSD BE'!$U$26*'TUSD BE'!$U$78</f>
        <v>1.0585082376219772</v>
      </c>
      <c r="V26" s="30">
        <f>'TUSD BE'!$V$26*'TUSD BE'!$V$78</f>
        <v>0</v>
      </c>
      <c r="W26" s="30">
        <f>'TUSD BE'!$W$26*'TUSD BE'!$W$78</f>
        <v>0</v>
      </c>
      <c r="X26" s="30">
        <f>'TUSD BE'!$X$26*'TUSD BE'!$X$78</f>
        <v>0</v>
      </c>
      <c r="Y26" s="30">
        <f>'TUSD BE'!$Y$26*'TUSD BE'!$Y$78</f>
        <v>0</v>
      </c>
      <c r="Z26" s="30">
        <f>'TUSD BE'!$Z$26*'TUSD BE'!$Z$78</f>
        <v>0</v>
      </c>
      <c r="AA26" s="30">
        <f>'TUSD BE'!$AA$26*'TUSD BE'!$AA$78</f>
        <v>0</v>
      </c>
      <c r="AB26" s="30">
        <f>SUM($U$26:$AA$26)</f>
        <v>1.0585082376219772</v>
      </c>
      <c r="AC26" s="30">
        <f>'TUSD BE'!$AC$26*'TUSD BE'!$AC$78</f>
        <v>1.4628958594394914</v>
      </c>
      <c r="AD26" s="30">
        <f>SUM($AC$26:$AC$26)</f>
        <v>1.4628958594394914</v>
      </c>
      <c r="AE26" s="30">
        <v>0</v>
      </c>
      <c r="AF26" s="30">
        <f ca="1">$AP$26*$AP$75</f>
        <v>0</v>
      </c>
      <c r="AG26" s="30">
        <f ca="1">SUM($AE$26:$AF$26)</f>
        <v>0</v>
      </c>
      <c r="AH26" s="30">
        <f>'TUSD BE'!$AH$26*'TUSD BE'!$AH$78</f>
        <v>0</v>
      </c>
      <c r="AI26" s="30">
        <f>'TUSD BE'!$AI$26*'TUSD BE'!$AI$78</f>
        <v>0</v>
      </c>
      <c r="AJ26" s="30">
        <f ca="1">'TUSD BE'!$AJ$26*'TUSD BE'!$AJ$78</f>
        <v>0</v>
      </c>
      <c r="AK26" s="30">
        <f ca="1">'TUSD BE'!$AK$26*'TUSD BE'!$AK$78</f>
        <v>0</v>
      </c>
      <c r="AL26" s="30">
        <f ca="1">SUM($AH$26:$AK$26)</f>
        <v>0</v>
      </c>
      <c r="AM26" s="30">
        <f ca="1">SUMIF($L$4:$AL$4,"SUBTOTAL",$L$26:$AL$26)</f>
        <v>2.5214040970614686</v>
      </c>
      <c r="AO26" s="36"/>
      <c r="AP26" s="36">
        <f ca="1">+'TUSD BE'!$T$26+'TUSD BE'!$AB$26+'TUSD BE'!$AD$26+'TUSD BE'!$AL$26</f>
        <v>33.380174478399738</v>
      </c>
    </row>
    <row r="27" spans="1:42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>
        <f>'TUSD BE'!$L$27*'TUSD BE'!$L$78</f>
        <v>0</v>
      </c>
      <c r="M27" s="30">
        <f>'TUSD BE'!$M$27*'TUSD BE'!$M$78</f>
        <v>0</v>
      </c>
      <c r="N27" s="30">
        <f ca="1">'TUSD BE'!$N$27*'TUSD BE'!$N$78</f>
        <v>0</v>
      </c>
      <c r="O27" s="30">
        <f>'TUSD BE'!$O$27*'TUSD BE'!$O$78</f>
        <v>0</v>
      </c>
      <c r="P27" s="30">
        <f>'TUSD BE'!$P$27*'TUSD BE'!$P$78</f>
        <v>0</v>
      </c>
      <c r="Q27" s="30">
        <f>'TUSD BE'!$Q$27*'TUSD BE'!$Q$78</f>
        <v>0</v>
      </c>
      <c r="R27" s="30">
        <f>'TUSD BE'!$R$27*'TUSD BE'!$R$78</f>
        <v>0</v>
      </c>
      <c r="S27" s="30">
        <f>'TUSD BE'!$R$27*'TUSD BE'!$S$78</f>
        <v>0</v>
      </c>
      <c r="T27" s="30">
        <f ca="1">SUM($L$27:$S$27)</f>
        <v>0</v>
      </c>
      <c r="U27" s="30">
        <f>'TUSD BE'!$U$27*'TUSD BE'!$U$78</f>
        <v>1.0656197773246654</v>
      </c>
      <c r="V27" s="30">
        <f>'TUSD BE'!$V$27*'TUSD BE'!$V$78</f>
        <v>0</v>
      </c>
      <c r="W27" s="30">
        <f>'TUSD BE'!$W$27*'TUSD BE'!$W$78</f>
        <v>0</v>
      </c>
      <c r="X27" s="30">
        <f>'TUSD BE'!$X$27*'TUSD BE'!$X$78</f>
        <v>0</v>
      </c>
      <c r="Y27" s="30">
        <f>'TUSD BE'!$Y$27*'TUSD BE'!$Y$78</f>
        <v>0</v>
      </c>
      <c r="Z27" s="30">
        <f>'TUSD BE'!$Z$27*'TUSD BE'!$Z$78</f>
        <v>0</v>
      </c>
      <c r="AA27" s="30">
        <f>'TUSD BE'!$AA$27*'TUSD BE'!$AA$78</f>
        <v>0</v>
      </c>
      <c r="AB27" s="30">
        <f>SUM($U$27:$AA$27)</f>
        <v>1.0656197773246654</v>
      </c>
      <c r="AC27" s="30">
        <f>'TUSD BE'!$AC$27*'TUSD BE'!$AC$78</f>
        <v>0.41866341449084499</v>
      </c>
      <c r="AD27" s="30">
        <f>SUM($AC$27:$AC$27)</f>
        <v>0.41866341449084499</v>
      </c>
      <c r="AE27" s="30">
        <v>0</v>
      </c>
      <c r="AF27" s="30">
        <f ca="1">$AP$27*$AP$75</f>
        <v>0</v>
      </c>
      <c r="AG27" s="30">
        <f ca="1">SUM($AE$27:$AF$27)</f>
        <v>0</v>
      </c>
      <c r="AH27" s="30">
        <f>'TUSD BE'!$AH$27*'TUSD BE'!$AH$78</f>
        <v>0</v>
      </c>
      <c r="AI27" s="30">
        <f>'TUSD BE'!$AI$27*'TUSD BE'!$AI$78</f>
        <v>0</v>
      </c>
      <c r="AJ27" s="30">
        <f ca="1">'TUSD BE'!$AJ$27*'TUSD BE'!$AJ$78</f>
        <v>0</v>
      </c>
      <c r="AK27" s="30">
        <f ca="1">'TUSD BE'!$AK$27*'TUSD BE'!$AK$78</f>
        <v>0</v>
      </c>
      <c r="AL27" s="30">
        <f ca="1">SUM($AH$27:$AK$27)</f>
        <v>0</v>
      </c>
      <c r="AM27" s="30">
        <f ca="1">SUMIF($L$4:$AL$4,"SUBTOTAL",$L$27:$AL$27)</f>
        <v>1.4842831918155104</v>
      </c>
      <c r="AO27" s="36"/>
      <c r="AP27" s="36">
        <f ca="1">+'TUSD BE'!$T$27+'TUSD BE'!$AB$27+'TUSD BE'!$AD$27+'TUSD BE'!$AL$27</f>
        <v>14.643517570572854</v>
      </c>
    </row>
    <row r="28" spans="1:42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>
        <f>'TUSD BE'!$L$28*'TUSD BE'!$L$78</f>
        <v>0</v>
      </c>
      <c r="M28" s="30">
        <f>'TUSD BE'!$M$28*'TUSD BE'!$M$78</f>
        <v>0</v>
      </c>
      <c r="N28" s="30">
        <f ca="1">'TUSD BE'!$N$28*'TUSD BE'!$N$78</f>
        <v>0</v>
      </c>
      <c r="O28" s="30">
        <f>'TUSD BE'!$O$28*'TUSD BE'!$O$78</f>
        <v>0</v>
      </c>
      <c r="P28" s="30">
        <f>'TUSD BE'!$P$28*'TUSD BE'!$P$78</f>
        <v>0</v>
      </c>
      <c r="Q28" s="30">
        <f>'TUSD BE'!$Q$28*'TUSD BE'!$Q$78</f>
        <v>0</v>
      </c>
      <c r="R28" s="30">
        <f>'TUSD BE'!$R$28*'TUSD BE'!$R$78</f>
        <v>0</v>
      </c>
      <c r="S28" s="30">
        <f>'TUSD BE'!$R$28*'TUSD BE'!$S$78</f>
        <v>0</v>
      </c>
      <c r="T28" s="30">
        <f ca="1">SUM($L$28:$S$28)</f>
        <v>0</v>
      </c>
      <c r="U28" s="30">
        <f>'TUSD BE'!$U$28*'TUSD BE'!$U$78</f>
        <v>0</v>
      </c>
      <c r="V28" s="30">
        <f>'TUSD BE'!$V$28*'TUSD BE'!$V$78</f>
        <v>0</v>
      </c>
      <c r="W28" s="30">
        <f>'TUSD BE'!$W$28*'TUSD BE'!$W$78</f>
        <v>0</v>
      </c>
      <c r="X28" s="30">
        <f>'TUSD BE'!$X$28*'TUSD BE'!$X$78</f>
        <v>0</v>
      </c>
      <c r="Y28" s="30">
        <f>'TUSD BE'!$Y$28*'TUSD BE'!$Y$78</f>
        <v>0</v>
      </c>
      <c r="Z28" s="30">
        <f>'TUSD BE'!$Z$28*'TUSD BE'!$Z$78</f>
        <v>0</v>
      </c>
      <c r="AA28" s="30">
        <f>'TUSD BE'!$AA$28*'TUSD BE'!$AA$78</f>
        <v>0</v>
      </c>
      <c r="AB28" s="30">
        <f>SUM($U$28:$AA$28)</f>
        <v>0</v>
      </c>
      <c r="AC28" s="30">
        <f>'TUSD BE'!$AC$28*'TUSD BE'!$AC$78</f>
        <v>0</v>
      </c>
      <c r="AD28" s="30">
        <f>SUM($AC$28:$AC$28)</f>
        <v>0</v>
      </c>
      <c r="AE28" s="30">
        <v>0</v>
      </c>
      <c r="AF28" s="30">
        <f ca="1">$AP$28*$AP$75</f>
        <v>0</v>
      </c>
      <c r="AG28" s="30">
        <f ca="1">SUM($AE$28:$AF$28)</f>
        <v>0</v>
      </c>
      <c r="AH28" s="30">
        <f>'TUSD BE'!$AH$28*'TUSD BE'!$AH$78</f>
        <v>-0.8010560105536142</v>
      </c>
      <c r="AI28" s="30">
        <f>'TUSD BE'!$AI$28*'TUSD BE'!$AI$78</f>
        <v>-2.8520512245985476E-2</v>
      </c>
      <c r="AJ28" s="30">
        <f ca="1">'TUSD BE'!$AJ$28*'TUSD BE'!$AJ$78</f>
        <v>0</v>
      </c>
      <c r="AK28" s="30">
        <f ca="1">'TUSD BE'!$AK$28*'TUSD BE'!$AK$78</f>
        <v>0</v>
      </c>
      <c r="AL28" s="30">
        <f ca="1">SUM($AH$28:$AK$28)</f>
        <v>-0.8295765227995997</v>
      </c>
      <c r="AM28" s="30">
        <f ca="1">SUMIF($L$4:$AL$4,"SUBTOTAL",$L$28:$AL$28)</f>
        <v>-0.8295765227995997</v>
      </c>
      <c r="AO28" s="36"/>
      <c r="AP28" s="36">
        <f ca="1">+'TUSD BE'!$T$28+'TUSD BE'!$AB$28+'TUSD BE'!$AD$28+'TUSD BE'!$AL$28</f>
        <v>11.170708195854148</v>
      </c>
    </row>
    <row r="29" spans="1:42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>
        <f>'TUSD BE'!$L$29*'TUSD BE'!$L$78</f>
        <v>0</v>
      </c>
      <c r="M29" s="30">
        <f>'TUSD BE'!$M$29*'TUSD BE'!$M$78</f>
        <v>-1.3235778861309902E-3</v>
      </c>
      <c r="N29" s="30">
        <f ca="1">'TUSD BE'!$N$29*'TUSD BE'!$N$78</f>
        <v>-6.4032191671519381E-5</v>
      </c>
      <c r="O29" s="30">
        <f>'TUSD BE'!$O$29*'TUSD BE'!$O$78</f>
        <v>0</v>
      </c>
      <c r="P29" s="30">
        <f>'TUSD BE'!$P$29*'TUSD BE'!$P$78</f>
        <v>0</v>
      </c>
      <c r="Q29" s="30">
        <f>'TUSD BE'!$Q$29*'TUSD BE'!$Q$78</f>
        <v>0</v>
      </c>
      <c r="R29" s="30">
        <f>'TUSD BE'!$R$29*'TUSD BE'!$R$78</f>
        <v>0</v>
      </c>
      <c r="S29" s="30">
        <f>'TUSD BE'!$R$29*'TUSD BE'!$S$78</f>
        <v>0</v>
      </c>
      <c r="T29" s="30">
        <f ca="1">SUM($L$29:$S$29)</f>
        <v>-1.3876100778025097E-3</v>
      </c>
      <c r="U29" s="30">
        <f>'TUSD BE'!$U$29*'TUSD BE'!$U$78</f>
        <v>0</v>
      </c>
      <c r="V29" s="30">
        <f>'TUSD BE'!$V$29*'TUSD BE'!$V$78</f>
        <v>0</v>
      </c>
      <c r="W29" s="30">
        <f>'TUSD BE'!$W$29*'TUSD BE'!$W$78</f>
        <v>0</v>
      </c>
      <c r="X29" s="30">
        <f>'TUSD BE'!$X$29*'TUSD BE'!$X$78</f>
        <v>0</v>
      </c>
      <c r="Y29" s="30">
        <f>'TUSD BE'!$Y$29*'TUSD BE'!$Y$78</f>
        <v>0</v>
      </c>
      <c r="Z29" s="30">
        <f>'TUSD BE'!$Z$29*'TUSD BE'!$Z$78</f>
        <v>0</v>
      </c>
      <c r="AA29" s="30">
        <f>'TUSD BE'!$AA$29*'TUSD BE'!$AA$78</f>
        <v>0</v>
      </c>
      <c r="AB29" s="30">
        <f>SUM($U$29:$AA$29)</f>
        <v>0</v>
      </c>
      <c r="AC29" s="30">
        <f>'TUSD BE'!$AC$29*'TUSD BE'!$AC$78</f>
        <v>0.82279816741754275</v>
      </c>
      <c r="AD29" s="30">
        <f>SUM($AC$29:$AC$29)</f>
        <v>0.82279816741754275</v>
      </c>
      <c r="AE29" s="30">
        <f ca="1">$AO$29*$AO$75</f>
        <v>-1.2273164475032865</v>
      </c>
      <c r="AF29" s="30">
        <f ca="1">$AP$29*$AP$75</f>
        <v>0</v>
      </c>
      <c r="AG29" s="30">
        <f ca="1">SUM($AE$29:$AF$29)</f>
        <v>-1.2273164475032865</v>
      </c>
      <c r="AH29" s="30">
        <f>'TUSD BE'!$AH$29*'TUSD BE'!$AH$78</f>
        <v>0</v>
      </c>
      <c r="AI29" s="30">
        <f>'TUSD BE'!$AI$29*'TUSD BE'!$AI$78</f>
        <v>0</v>
      </c>
      <c r="AJ29" s="30">
        <f ca="1">'TUSD BE'!$AJ$29*'TUSD BE'!$AJ$78</f>
        <v>0</v>
      </c>
      <c r="AK29" s="30">
        <f ca="1">'TUSD BE'!$AK$29*'TUSD BE'!$AK$78</f>
        <v>0</v>
      </c>
      <c r="AL29" s="30">
        <f ca="1">SUM($AH$29:$AK$29)</f>
        <v>0</v>
      </c>
      <c r="AM29" s="30">
        <f ca="1">SUMIF($L$4:$AL$4,"SUBTOTAL",$L$29:$AL$29)</f>
        <v>-0.40590589016354628</v>
      </c>
      <c r="AO29" s="36">
        <f ca="1">+'TUSD BE'!$T$29+'TUSD BE'!$AB$29+'TUSD BE'!$AD$29+'TUSD BE'!$AL$29</f>
        <v>14.722583268570425</v>
      </c>
      <c r="AP29" s="36">
        <f ca="1">+'TUSD BE'!$T$29+'TUSD BE'!$AB$29+'TUSD BE'!$AD$29+'TUSD BE'!$AL$29</f>
        <v>14.722583268570425</v>
      </c>
    </row>
    <row r="30" spans="1:42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>
        <f>'TUSD BE'!$L$30*'TUSD BE'!$L$78</f>
        <v>0</v>
      </c>
      <c r="M30" s="30">
        <f>'TUSD BE'!$M$30*'TUSD BE'!$M$78</f>
        <v>0</v>
      </c>
      <c r="N30" s="30">
        <f ca="1">'TUSD BE'!$N$30*'TUSD BE'!$N$78</f>
        <v>0</v>
      </c>
      <c r="O30" s="30">
        <f>'TUSD BE'!$O$30*'TUSD BE'!$O$78</f>
        <v>0</v>
      </c>
      <c r="P30" s="30">
        <f>'TUSD BE'!$P$30*'TUSD BE'!$P$78</f>
        <v>0</v>
      </c>
      <c r="Q30" s="30">
        <f>'TUSD BE'!$Q$30*'TUSD BE'!$Q$78</f>
        <v>0</v>
      </c>
      <c r="R30" s="30">
        <f>'TUSD BE'!$R$30*'TUSD BE'!$R$78</f>
        <v>0</v>
      </c>
      <c r="S30" s="30">
        <f>'TUSD BE'!$R$30*'TUSD BE'!$S$78</f>
        <v>0</v>
      </c>
      <c r="T30" s="30">
        <f ca="1">SUM($L$30:$S$30)</f>
        <v>0</v>
      </c>
      <c r="U30" s="30">
        <f>'TUSD BE'!$U$30*'TUSD BE'!$U$78</f>
        <v>1.0656197773246654</v>
      </c>
      <c r="V30" s="30">
        <f>'TUSD BE'!$V$30*'TUSD BE'!$V$78</f>
        <v>0</v>
      </c>
      <c r="W30" s="30">
        <f>'TUSD BE'!$W$30*'TUSD BE'!$W$78</f>
        <v>0</v>
      </c>
      <c r="X30" s="30">
        <f>'TUSD BE'!$X$30*'TUSD BE'!$X$78</f>
        <v>0</v>
      </c>
      <c r="Y30" s="30">
        <f>'TUSD BE'!$Y$30*'TUSD BE'!$Y$78</f>
        <v>0</v>
      </c>
      <c r="Z30" s="30">
        <f>'TUSD BE'!$Z$30*'TUSD BE'!$Z$78</f>
        <v>0</v>
      </c>
      <c r="AA30" s="30">
        <f>'TUSD BE'!$AA$30*'TUSD BE'!$AA$78</f>
        <v>0</v>
      </c>
      <c r="AB30" s="30">
        <f>SUM($U$30:$AA$30)</f>
        <v>1.0656197773246654</v>
      </c>
      <c r="AC30" s="30">
        <f>'TUSD BE'!$AC$30*'TUSD BE'!$AC$78</f>
        <v>1.0772031183766886</v>
      </c>
      <c r="AD30" s="30">
        <f>SUM($AC$30:$AC$30)</f>
        <v>1.0772031183766886</v>
      </c>
      <c r="AE30" s="30">
        <f ca="1">$AO$30*$AO$75</f>
        <v>-2.1918694332876352</v>
      </c>
      <c r="AF30" s="30">
        <f ca="1">$AP$30*$AP$75</f>
        <v>0</v>
      </c>
      <c r="AG30" s="30">
        <f ca="1">SUM($AE$30:$AF$30)</f>
        <v>-2.1918694332876352</v>
      </c>
      <c r="AH30" s="30">
        <f>'TUSD BE'!$AH$30*'TUSD BE'!$AH$78</f>
        <v>0</v>
      </c>
      <c r="AI30" s="30">
        <f>'TUSD BE'!$AI$30*'TUSD BE'!$AI$78</f>
        <v>0</v>
      </c>
      <c r="AJ30" s="30">
        <f ca="1">'TUSD BE'!$AJ$30*'TUSD BE'!$AJ$78</f>
        <v>0</v>
      </c>
      <c r="AK30" s="30">
        <f ca="1">'TUSD BE'!$AK$30*'TUSD BE'!$AK$78</f>
        <v>0</v>
      </c>
      <c r="AL30" s="30">
        <f ca="1">SUM($AH$30:$AK$30)</f>
        <v>0</v>
      </c>
      <c r="AM30" s="30">
        <f ca="1">SUMIF($L$4:$AL$4,"SUBTOTAL",$L$30:$AL$30)</f>
        <v>-4.9046537586281413E-2</v>
      </c>
      <c r="AO30" s="36">
        <f ca="1">+'TUSD BE'!$T$30+'TUSD BE'!$AB$30+'TUSD BE'!$AD$30+'TUSD BE'!$AL$30</f>
        <v>26.293121314440025</v>
      </c>
      <c r="AP30" s="36">
        <f ca="1">+'TUSD BE'!$T$30+'TUSD BE'!$AB$30+'TUSD BE'!$AD$30+'TUSD BE'!$AL$30</f>
        <v>26.293121314440025</v>
      </c>
    </row>
    <row r="31" spans="1:42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>
        <f>'TUSD BE'!$L$31*'TUSD BE'!$L$78</f>
        <v>-0.36175753401075067</v>
      </c>
      <c r="M31" s="30">
        <f>'TUSD BE'!$M$31*'TUSD BE'!$M$78</f>
        <v>-2.932988452137331E-2</v>
      </c>
      <c r="N31" s="30">
        <f ca="1">'TUSD BE'!$N$31*'TUSD BE'!$N$78</f>
        <v>-8.2935255176350507E-3</v>
      </c>
      <c r="O31" s="30">
        <f>'TUSD BE'!$O$31*'TUSD BE'!$O$78</f>
        <v>-7.7559117269576281E-4</v>
      </c>
      <c r="P31" s="30">
        <f>'TUSD BE'!$P$31*'TUSD BE'!$P$78</f>
        <v>0</v>
      </c>
      <c r="Q31" s="30">
        <f>'TUSD BE'!$Q$31*'TUSD BE'!$Q$78</f>
        <v>-0.72042395170817564</v>
      </c>
      <c r="R31" s="30">
        <f>'TUSD BE'!$R$31*'TUSD BE'!$R$78</f>
        <v>-0.4438592698397088</v>
      </c>
      <c r="S31" s="30">
        <f>'TUSD BE'!$R$31*'TUSD BE'!$S$78</f>
        <v>0</v>
      </c>
      <c r="T31" s="30">
        <f ca="1">SUM($L$31:$S$31)</f>
        <v>-1.5644397567703392</v>
      </c>
      <c r="U31" s="30">
        <f>'TUSD BE'!$U$31*'TUSD BE'!$U$78</f>
        <v>25.457435479312856</v>
      </c>
      <c r="V31" s="30">
        <f>'TUSD BE'!$V$31*'TUSD BE'!$V$78</f>
        <v>0</v>
      </c>
      <c r="W31" s="30">
        <f>'TUSD BE'!$W$31*'TUSD BE'!$W$78</f>
        <v>0</v>
      </c>
      <c r="X31" s="30">
        <f>'TUSD BE'!$X$31*'TUSD BE'!$X$78</f>
        <v>0</v>
      </c>
      <c r="Y31" s="30">
        <f>'TUSD BE'!$Y$31*'TUSD BE'!$Y$78</f>
        <v>0</v>
      </c>
      <c r="Z31" s="30">
        <f>'TUSD BE'!$Z$31*'TUSD BE'!$Z$78</f>
        <v>0</v>
      </c>
      <c r="AA31" s="30">
        <f>'TUSD BE'!$AA$31*'TUSD BE'!$AA$78</f>
        <v>0</v>
      </c>
      <c r="AB31" s="30">
        <f>SUM($U$31:$AA$31)</f>
        <v>25.457435479312856</v>
      </c>
      <c r="AC31" s="30">
        <f>'TUSD BE'!$AC$31*'TUSD BE'!$AC$78</f>
        <v>90.522587347822579</v>
      </c>
      <c r="AD31" s="30">
        <f>SUM($AC$31:$AC$31)</f>
        <v>90.522587347822579</v>
      </c>
      <c r="AE31" s="30">
        <f ca="1">$AO$31*$AO$75</f>
        <v>-155.55267673081494</v>
      </c>
      <c r="AF31" s="30">
        <f ca="1">$AP$31*$AP$75</f>
        <v>0</v>
      </c>
      <c r="AG31" s="30">
        <f ca="1">SUM($AE$31:$AF$31)</f>
        <v>-155.55267673081494</v>
      </c>
      <c r="AH31" s="30">
        <f>'TUSD BE'!$AH$31*'TUSD BE'!$AH$78</f>
        <v>-0.8010560105536142</v>
      </c>
      <c r="AI31" s="30">
        <f>'TUSD BE'!$AI$31*'TUSD BE'!$AI$78</f>
        <v>-2.8520512245985476E-2</v>
      </c>
      <c r="AJ31" s="30">
        <f ca="1">'TUSD BE'!$AJ$31*'TUSD BE'!$AJ$78</f>
        <v>-0.44901208238131635</v>
      </c>
      <c r="AK31" s="30">
        <f ca="1">'TUSD BE'!$AK$31*'TUSD BE'!$AK$78</f>
        <v>0</v>
      </c>
      <c r="AL31" s="30">
        <f ca="1">SUM($AH$31:$AK$31)</f>
        <v>-1.2785886051809161</v>
      </c>
      <c r="AM31" s="30">
        <f ca="1">SUMIF($L$4:$AL$4,"SUBTOTAL",$L$31:$AL$31)</f>
        <v>-42.41568226563075</v>
      </c>
      <c r="AO31" s="36">
        <f ca="1">+'TUSD BE'!$T$31+'TUSD BE'!$AB$31+'TUSD BE'!$AD$31+'TUSD BE'!$AL$31</f>
        <v>1865.9712745455629</v>
      </c>
      <c r="AP31" s="36">
        <f ca="1">+'TUSD BE'!$T$31+'TUSD BE'!$AB$31+'TUSD BE'!$AD$31+'TUSD BE'!$AL$31</f>
        <v>1865.9712745455629</v>
      </c>
    </row>
    <row r="32" spans="1:42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>
        <f>'TUSD BE'!$L$32*'TUSD BE'!$L$78</f>
        <v>-0.36175753401075067</v>
      </c>
      <c r="M32" s="30">
        <f>'TUSD BE'!$M$32*'TUSD BE'!$M$78</f>
        <v>-2.932988452137331E-2</v>
      </c>
      <c r="N32" s="30">
        <f ca="1">'TUSD BE'!$N$32*'TUSD BE'!$N$78</f>
        <v>-2.3195613775695026E-4</v>
      </c>
      <c r="O32" s="30">
        <f>'TUSD BE'!$O$32*'TUSD BE'!$O$78</f>
        <v>-7.7559117269576281E-4</v>
      </c>
      <c r="P32" s="30">
        <f>'TUSD BE'!$P$32*'TUSD BE'!$P$78</f>
        <v>0</v>
      </c>
      <c r="Q32" s="30">
        <f>'TUSD BE'!$Q$32*'TUSD BE'!$Q$78</f>
        <v>-0.72042395170817564</v>
      </c>
      <c r="R32" s="30">
        <f>'TUSD BE'!$R$32*'TUSD BE'!$R$78</f>
        <v>-0.4438592698397088</v>
      </c>
      <c r="S32" s="30">
        <f>'TUSD BE'!$R$32*'TUSD BE'!$S$78</f>
        <v>0</v>
      </c>
      <c r="T32" s="30">
        <f ca="1">SUM($L$32:$S$32)</f>
        <v>-1.5563781873904612</v>
      </c>
      <c r="U32" s="30">
        <f>'TUSD BE'!$U$32*'TUSD BE'!$U$78</f>
        <v>0</v>
      </c>
      <c r="V32" s="30">
        <f>'TUSD BE'!$V$32*'TUSD BE'!$V$78</f>
        <v>0</v>
      </c>
      <c r="W32" s="30">
        <f>'TUSD BE'!$W$32*'TUSD BE'!$W$78</f>
        <v>0</v>
      </c>
      <c r="X32" s="30">
        <f>'TUSD BE'!$X$32*'TUSD BE'!$X$78</f>
        <v>0</v>
      </c>
      <c r="Y32" s="30">
        <f>'TUSD BE'!$Y$32*'TUSD BE'!$Y$78</f>
        <v>0</v>
      </c>
      <c r="Z32" s="30">
        <f>'TUSD BE'!$Z$32*'TUSD BE'!$Z$78</f>
        <v>0</v>
      </c>
      <c r="AA32" s="30">
        <f>'TUSD BE'!$AA$32*'TUSD BE'!$AA$78</f>
        <v>0</v>
      </c>
      <c r="AB32" s="30">
        <f>SUM($U$32:$AA$32)</f>
        <v>0</v>
      </c>
      <c r="AC32" s="30">
        <f>'TUSD BE'!$AC$32*'TUSD BE'!$AC$78</f>
        <v>0</v>
      </c>
      <c r="AD32" s="30">
        <f>SUM($AC$32:$AC$32)</f>
        <v>0</v>
      </c>
      <c r="AE32" s="30">
        <f ca="1">$AO$32*$AO$75</f>
        <v>-5.6337033693360432</v>
      </c>
      <c r="AF32" s="30">
        <f ca="1">$AP$32*$AP$75</f>
        <v>0</v>
      </c>
      <c r="AG32" s="30">
        <f ca="1">SUM($AE$32:$AF$32)</f>
        <v>-5.6337033693360432</v>
      </c>
      <c r="AH32" s="30">
        <f>'TUSD BE'!$AH$32*'TUSD BE'!$AH$78</f>
        <v>-0.8010560105536142</v>
      </c>
      <c r="AI32" s="30">
        <f>'TUSD BE'!$AI$32*'TUSD BE'!$AI$78</f>
        <v>-2.8520512245985476E-2</v>
      </c>
      <c r="AJ32" s="30">
        <f ca="1">'TUSD BE'!$AJ$32*'TUSD BE'!$AJ$78</f>
        <v>-0.44901208238131635</v>
      </c>
      <c r="AK32" s="30">
        <f ca="1">'TUSD BE'!$AK$32*'TUSD BE'!$AK$78</f>
        <v>0</v>
      </c>
      <c r="AL32" s="30">
        <f ca="1">SUM($AH$32:$AK$32)</f>
        <v>-1.2785886051809161</v>
      </c>
      <c r="AM32" s="30">
        <f ca="1">SUMIF($L$4:$AL$4,"SUBTOTAL",$L$32:$AL$32)</f>
        <v>-8.4686701619074203</v>
      </c>
      <c r="AO32" s="36">
        <f ca="1">+'TUSD BE'!$T$32+'TUSD BE'!$AB$32+'TUSD BE'!$AD$32+'TUSD BE'!$AL$32</f>
        <v>67.580506343090917</v>
      </c>
      <c r="AP32" s="36">
        <f ca="1">+'TUSD BE'!$T$32+'TUSD BE'!$AB$32+'TUSD BE'!$AD$32+'TUSD BE'!$AL$32</f>
        <v>67.580506343090917</v>
      </c>
    </row>
    <row r="33" spans="1:42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>
        <f>'TUSD BE'!$L$33*'TUSD BE'!$L$78</f>
        <v>0</v>
      </c>
      <c r="M33" s="30">
        <f>'TUSD BE'!$M$33*'TUSD BE'!$M$78</f>
        <v>-2.932988452137331E-2</v>
      </c>
      <c r="N33" s="30">
        <f ca="1">'TUSD BE'!$N$33*'TUSD BE'!$N$78</f>
        <v>-8.2863227964121572E-3</v>
      </c>
      <c r="O33" s="30">
        <f>'TUSD BE'!$O$33*'TUSD BE'!$O$78</f>
        <v>-7.7559117269576281E-4</v>
      </c>
      <c r="P33" s="30">
        <f>'TUSD BE'!$P$33*'TUSD BE'!$P$78</f>
        <v>0</v>
      </c>
      <c r="Q33" s="30">
        <f>'TUSD BE'!$Q$33*'TUSD BE'!$Q$78</f>
        <v>0</v>
      </c>
      <c r="R33" s="30">
        <f>'TUSD BE'!$R$33*'TUSD BE'!$R$78</f>
        <v>0</v>
      </c>
      <c r="S33" s="30">
        <f>'TUSD BE'!$R$33*'TUSD BE'!$S$78</f>
        <v>0</v>
      </c>
      <c r="T33" s="30">
        <f ca="1">SUM($L$33:$S$33)</f>
        <v>-3.8391798490481223E-2</v>
      </c>
      <c r="U33" s="30">
        <f>'TUSD BE'!$U$33*'TUSD BE'!$U$78</f>
        <v>25.457435479312856</v>
      </c>
      <c r="V33" s="30">
        <f>'TUSD BE'!$V$33*'TUSD BE'!$V$78</f>
        <v>0</v>
      </c>
      <c r="W33" s="30">
        <f>'TUSD BE'!$W$33*'TUSD BE'!$W$78</f>
        <v>0</v>
      </c>
      <c r="X33" s="30">
        <f>'TUSD BE'!$X$33*'TUSD BE'!$X$78</f>
        <v>0</v>
      </c>
      <c r="Y33" s="30">
        <f>'TUSD BE'!$Y$33*'TUSD BE'!$Y$78</f>
        <v>0</v>
      </c>
      <c r="Z33" s="30">
        <f>'TUSD BE'!$Z$33*'TUSD BE'!$Z$78</f>
        <v>0</v>
      </c>
      <c r="AA33" s="30">
        <f>'TUSD BE'!$AA$33*'TUSD BE'!$AA$78</f>
        <v>0</v>
      </c>
      <c r="AB33" s="30">
        <f>SUM($U$33:$AA$33)</f>
        <v>25.457435479312856</v>
      </c>
      <c r="AC33" s="30">
        <f>'TUSD BE'!$AC$33*'TUSD BE'!$AC$78</f>
        <v>90.522587347822579</v>
      </c>
      <c r="AD33" s="30">
        <f>SUM($AC$33:$AC$33)</f>
        <v>90.522587347822579</v>
      </c>
      <c r="AE33" s="30">
        <f ca="1">$AO$33*$AO$75</f>
        <v>-151.45981528152166</v>
      </c>
      <c r="AF33" s="30">
        <f ca="1">$AP$33*$AP$75</f>
        <v>0</v>
      </c>
      <c r="AG33" s="30">
        <f ca="1">SUM($AE$33:$AF$33)</f>
        <v>-151.45981528152166</v>
      </c>
      <c r="AH33" s="30">
        <f>'TUSD BE'!$AH$33*'TUSD BE'!$AH$78</f>
        <v>-0.8010560105536142</v>
      </c>
      <c r="AI33" s="30">
        <f>'TUSD BE'!$AI$33*'TUSD BE'!$AI$78</f>
        <v>-2.8520512245985476E-2</v>
      </c>
      <c r="AJ33" s="30">
        <f ca="1">'TUSD BE'!$AJ$33*'TUSD BE'!$AJ$78</f>
        <v>-0.44901208238131635</v>
      </c>
      <c r="AK33" s="30">
        <f ca="1">'TUSD BE'!$AK$33*'TUSD BE'!$AK$78</f>
        <v>0</v>
      </c>
      <c r="AL33" s="30">
        <f ca="1">SUM($AH$33:$AK$33)</f>
        <v>-1.2785886051809161</v>
      </c>
      <c r="AM33" s="30">
        <f ca="1">SUMIF($L$4:$AL$4,"SUBTOTAL",$L$33:$AL$33)</f>
        <v>-36.796772858057608</v>
      </c>
      <c r="AO33" s="36">
        <f ca="1">+'TUSD BE'!$T$33+'TUSD BE'!$AB$33+'TUSD BE'!$AD$33+'TUSD BE'!$AL$33</f>
        <v>1816.8743251674923</v>
      </c>
      <c r="AP33" s="36">
        <f ca="1">+'TUSD BE'!$T$33+'TUSD BE'!$AB$33+'TUSD BE'!$AD$33+'TUSD BE'!$AL$33</f>
        <v>1816.8743251674923</v>
      </c>
    </row>
    <row r="34" spans="1:42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>
        <f>'TUSD BE'!$L$34*'TUSD BE'!$L$78</f>
        <v>0</v>
      </c>
      <c r="M34" s="30">
        <f>'TUSD BE'!$M$34*'TUSD BE'!$M$78</f>
        <v>-2.932988452137331E-2</v>
      </c>
      <c r="N34" s="30">
        <f ca="1">'TUSD BE'!$N$34*'TUSD BE'!$N$78</f>
        <v>-2.2475341653405717E-4</v>
      </c>
      <c r="O34" s="30">
        <f>'TUSD BE'!$O$34*'TUSD BE'!$O$78</f>
        <v>-7.7559117269576281E-4</v>
      </c>
      <c r="P34" s="30">
        <f>'TUSD BE'!$P$34*'TUSD BE'!$P$78</f>
        <v>0</v>
      </c>
      <c r="Q34" s="30">
        <f>'TUSD BE'!$Q$34*'TUSD BE'!$Q$78</f>
        <v>0</v>
      </c>
      <c r="R34" s="30">
        <f>'TUSD BE'!$R$34*'TUSD BE'!$R$78</f>
        <v>0</v>
      </c>
      <c r="S34" s="30">
        <f>'TUSD BE'!$R$34*'TUSD BE'!$S$78</f>
        <v>0</v>
      </c>
      <c r="T34" s="30">
        <f ca="1">SUM($L$34:$S$34)</f>
        <v>-3.0330229110603131E-2</v>
      </c>
      <c r="U34" s="30">
        <f>'TUSD BE'!$U$34*'TUSD BE'!$U$78</f>
        <v>0</v>
      </c>
      <c r="V34" s="30">
        <f>'TUSD BE'!$V$34*'TUSD BE'!$V$78</f>
        <v>0</v>
      </c>
      <c r="W34" s="30">
        <f>'TUSD BE'!$W$34*'TUSD BE'!$W$78</f>
        <v>0</v>
      </c>
      <c r="X34" s="30">
        <f>'TUSD BE'!$X$34*'TUSD BE'!$X$78</f>
        <v>0</v>
      </c>
      <c r="Y34" s="30">
        <f>'TUSD BE'!$Y$34*'TUSD BE'!$Y$78</f>
        <v>0</v>
      </c>
      <c r="Z34" s="30">
        <f>'TUSD BE'!$Z$34*'TUSD BE'!$Z$78</f>
        <v>0</v>
      </c>
      <c r="AA34" s="30">
        <f>'TUSD BE'!$AA$34*'TUSD BE'!$AA$78</f>
        <v>0</v>
      </c>
      <c r="AB34" s="30">
        <f>SUM($U$34:$AA$34)</f>
        <v>0</v>
      </c>
      <c r="AC34" s="30">
        <f>'TUSD BE'!$AC$34*'TUSD BE'!$AC$78</f>
        <v>0</v>
      </c>
      <c r="AD34" s="30">
        <f>SUM($AC$34:$AC$34)</f>
        <v>0</v>
      </c>
      <c r="AE34" s="30">
        <f ca="1">$AO$34*$AO$75</f>
        <v>-1.5408419200427508</v>
      </c>
      <c r="AF34" s="30">
        <f ca="1">$AP$34*$AP$75</f>
        <v>0</v>
      </c>
      <c r="AG34" s="30">
        <f ca="1">SUM($AE$34:$AF$34)</f>
        <v>-1.5408419200427508</v>
      </c>
      <c r="AH34" s="30">
        <f>'TUSD BE'!$AH$34*'TUSD BE'!$AH$78</f>
        <v>-0.8010560105536142</v>
      </c>
      <c r="AI34" s="30">
        <f>'TUSD BE'!$AI$34*'TUSD BE'!$AI$78</f>
        <v>-2.8520512245985476E-2</v>
      </c>
      <c r="AJ34" s="30">
        <f ca="1">'TUSD BE'!$AJ$34*'TUSD BE'!$AJ$78</f>
        <v>-0.44901208238131635</v>
      </c>
      <c r="AK34" s="30">
        <f ca="1">'TUSD BE'!$AK$34*'TUSD BE'!$AK$78</f>
        <v>0</v>
      </c>
      <c r="AL34" s="30">
        <f ca="1">SUM($AH$34:$AK$34)</f>
        <v>-1.2785886051809161</v>
      </c>
      <c r="AM34" s="30">
        <f ca="1">SUMIF($L$4:$AL$4,"SUBTOTAL",$L$34:$AL$34)</f>
        <v>-2.84976075433427</v>
      </c>
      <c r="AO34" s="36">
        <f ca="1">+'TUSD BE'!$T$34+'TUSD BE'!$AB$34+'TUSD BE'!$AD$34+'TUSD BE'!$AL$34</f>
        <v>18.483556965020291</v>
      </c>
      <c r="AP34" s="36">
        <f ca="1">+'TUSD BE'!$T$34+'TUSD BE'!$AB$34+'TUSD BE'!$AD$34+'TUSD BE'!$AL$34</f>
        <v>18.483556965020291</v>
      </c>
    </row>
    <row r="35" spans="1:42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>
        <f>'TUSD BE'!$L$35*'TUSD BE'!$L$78</f>
        <v>0</v>
      </c>
      <c r="M35" s="30">
        <f>'TUSD BE'!$M$35*'TUSD BE'!$M$78</f>
        <v>-6.4683326073633138E-4</v>
      </c>
      <c r="N35" s="30">
        <f ca="1">'TUSD BE'!$N$35*'TUSD BE'!$N$78</f>
        <v>-3.1331837319584845E-5</v>
      </c>
      <c r="O35" s="30">
        <f>'TUSD BE'!$O$35*'TUSD BE'!$O$78</f>
        <v>0</v>
      </c>
      <c r="P35" s="30">
        <f>'TUSD BE'!$P$35*'TUSD BE'!$P$78</f>
        <v>0</v>
      </c>
      <c r="Q35" s="30">
        <f>'TUSD BE'!$Q$35*'TUSD BE'!$Q$78</f>
        <v>0</v>
      </c>
      <c r="R35" s="30">
        <f>'TUSD BE'!$R$35*'TUSD BE'!$R$78</f>
        <v>0</v>
      </c>
      <c r="S35" s="30">
        <f>'TUSD BE'!$R$35*'TUSD BE'!$S$78</f>
        <v>0</v>
      </c>
      <c r="T35" s="30">
        <f ca="1">SUM($L$35:$S$35)</f>
        <v>-6.7816509805591625E-4</v>
      </c>
      <c r="U35" s="30">
        <f>'TUSD BE'!$U$35*'TUSD BE'!$U$78</f>
        <v>0</v>
      </c>
      <c r="V35" s="30">
        <f>'TUSD BE'!$V$35*'TUSD BE'!$V$78</f>
        <v>0</v>
      </c>
      <c r="W35" s="30">
        <f>'TUSD BE'!$W$35*'TUSD BE'!$W$78</f>
        <v>0</v>
      </c>
      <c r="X35" s="30">
        <f>'TUSD BE'!$X$35*'TUSD BE'!$X$78</f>
        <v>0</v>
      </c>
      <c r="Y35" s="30">
        <f>'TUSD BE'!$Y$35*'TUSD BE'!$Y$78</f>
        <v>0</v>
      </c>
      <c r="Z35" s="30">
        <f>'TUSD BE'!$Z$35*'TUSD BE'!$Z$78</f>
        <v>0</v>
      </c>
      <c r="AA35" s="30">
        <f>'TUSD BE'!$AA$35*'TUSD BE'!$AA$78</f>
        <v>0</v>
      </c>
      <c r="AB35" s="30">
        <f>SUM($U$35:$AA$35)</f>
        <v>0</v>
      </c>
      <c r="AC35" s="30">
        <f>'TUSD BE'!$AC$35*'TUSD BE'!$AC$78</f>
        <v>0.40317732993174754</v>
      </c>
      <c r="AD35" s="30">
        <f>SUM($AC$35:$AC$35)</f>
        <v>0.40317732993174754</v>
      </c>
      <c r="AE35" s="30">
        <f ca="1">$AO$35*$AO$75</f>
        <v>-0.60138287994332928</v>
      </c>
      <c r="AF35" s="30">
        <f ca="1">$AP$35*$AP$75</f>
        <v>0</v>
      </c>
      <c r="AG35" s="30">
        <f ca="1">SUM($AE$35:$AF$35)</f>
        <v>-0.60138287994332928</v>
      </c>
      <c r="AH35" s="30">
        <f>'TUSD BE'!$AH$35*'TUSD BE'!$AH$78</f>
        <v>0</v>
      </c>
      <c r="AI35" s="30">
        <f>'TUSD BE'!$AI$35*'TUSD BE'!$AI$78</f>
        <v>0</v>
      </c>
      <c r="AJ35" s="30">
        <f ca="1">'TUSD BE'!$AJ$35*'TUSD BE'!$AJ$78</f>
        <v>0</v>
      </c>
      <c r="AK35" s="30">
        <f ca="1">'TUSD BE'!$AK$35*'TUSD BE'!$AK$78</f>
        <v>0</v>
      </c>
      <c r="AL35" s="30">
        <f ca="1">SUM($AH$35:$AK$35)</f>
        <v>0</v>
      </c>
      <c r="AM35" s="30">
        <f ca="1">SUMIF($L$4:$AL$4,"SUBTOTAL",$L$35:$AL$35)</f>
        <v>-0.19888371510963765</v>
      </c>
      <c r="AO35" s="36">
        <f ca="1">+'TUSD BE'!$T$35+'TUSD BE'!$AB$35+'TUSD BE'!$AD$35+'TUSD BE'!$AL$35</f>
        <v>7.214039658858761</v>
      </c>
      <c r="AP35" s="36">
        <f ca="1">+'TUSD BE'!$T$35+'TUSD BE'!$AB$35+'TUSD BE'!$AD$35+'TUSD BE'!$AL$35</f>
        <v>7.214039658858761</v>
      </c>
    </row>
    <row r="36" spans="1:42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>
        <f>'TUSD BE'!$L$36*'TUSD BE'!$L$78</f>
        <v>0</v>
      </c>
      <c r="M36" s="30">
        <f>'TUSD BE'!$M$36*'TUSD BE'!$M$78</f>
        <v>-6.4683326073633138E-4</v>
      </c>
      <c r="N36" s="30">
        <f ca="1">'TUSD BE'!$N$36*'TUSD BE'!$N$78</f>
        <v>-3.1331837319584845E-5</v>
      </c>
      <c r="O36" s="30">
        <f>'TUSD BE'!$O$36*'TUSD BE'!$O$78</f>
        <v>0</v>
      </c>
      <c r="P36" s="30">
        <f>'TUSD BE'!$P$36*'TUSD BE'!$P$78</f>
        <v>0</v>
      </c>
      <c r="Q36" s="30">
        <f>'TUSD BE'!$Q$36*'TUSD BE'!$Q$78</f>
        <v>0</v>
      </c>
      <c r="R36" s="30">
        <f>'TUSD BE'!$R$36*'TUSD BE'!$R$78</f>
        <v>0</v>
      </c>
      <c r="S36" s="30">
        <f>'TUSD BE'!$R$36*'TUSD BE'!$S$78</f>
        <v>0</v>
      </c>
      <c r="T36" s="30">
        <f ca="1">SUM($L$36:$S$36)</f>
        <v>-6.7816509805591625E-4</v>
      </c>
      <c r="U36" s="30">
        <f>'TUSD BE'!$U$36*'TUSD BE'!$U$78</f>
        <v>0</v>
      </c>
      <c r="V36" s="30">
        <f>'TUSD BE'!$V$36*'TUSD BE'!$V$78</f>
        <v>0</v>
      </c>
      <c r="W36" s="30">
        <f>'TUSD BE'!$W$36*'TUSD BE'!$W$78</f>
        <v>0</v>
      </c>
      <c r="X36" s="30">
        <f>'TUSD BE'!$X$36*'TUSD BE'!$X$78</f>
        <v>0</v>
      </c>
      <c r="Y36" s="30">
        <f>'TUSD BE'!$Y$36*'TUSD BE'!$Y$78</f>
        <v>0</v>
      </c>
      <c r="Z36" s="30">
        <f>'TUSD BE'!$Z$36*'TUSD BE'!$Z$78</f>
        <v>0</v>
      </c>
      <c r="AA36" s="30">
        <f>'TUSD BE'!$AA$36*'TUSD BE'!$AA$78</f>
        <v>0</v>
      </c>
      <c r="AB36" s="30">
        <f>SUM($U$36:$AA$36)</f>
        <v>0</v>
      </c>
      <c r="AC36" s="30">
        <f>'TUSD BE'!$AC$36*'TUSD BE'!$AC$78</f>
        <v>1.2175167116657497</v>
      </c>
      <c r="AD36" s="30">
        <f>SUM($AC$36:$AC$36)</f>
        <v>1.2175167116657497</v>
      </c>
      <c r="AE36" s="30">
        <f ca="1">$AO$36*$AO$75</f>
        <v>-1.8022837574946735</v>
      </c>
      <c r="AF36" s="30">
        <f ca="1">$AP$36*$AP$75</f>
        <v>0</v>
      </c>
      <c r="AG36" s="30">
        <f ca="1">SUM($AE$36:$AF$36)</f>
        <v>-1.8022837574946735</v>
      </c>
      <c r="AH36" s="30">
        <f>'TUSD BE'!$AH$36*'TUSD BE'!$AH$78</f>
        <v>0</v>
      </c>
      <c r="AI36" s="30">
        <f>'TUSD BE'!$AI$36*'TUSD BE'!$AI$78</f>
        <v>0</v>
      </c>
      <c r="AJ36" s="30">
        <f ca="1">'TUSD BE'!$AJ$36*'TUSD BE'!$AJ$78</f>
        <v>0</v>
      </c>
      <c r="AK36" s="30">
        <f ca="1">'TUSD BE'!$AK$36*'TUSD BE'!$AK$78</f>
        <v>0</v>
      </c>
      <c r="AL36" s="30">
        <f ca="1">SUM($AH$36:$AK$36)</f>
        <v>0</v>
      </c>
      <c r="AM36" s="30">
        <f ca="1">SUMIF($L$4:$AL$4,"SUBTOTAL",$L$36:$AL$36)</f>
        <v>-0.58544521092697965</v>
      </c>
      <c r="AO36" s="36">
        <f ca="1">+'TUSD BE'!$T$36+'TUSD BE'!$AB$36+'TUSD BE'!$AD$36+'TUSD BE'!$AL$36</f>
        <v>21.619748311273458</v>
      </c>
      <c r="AP36" s="36">
        <f ca="1">+'TUSD BE'!$T$36+'TUSD BE'!$AB$36+'TUSD BE'!$AD$36+'TUSD BE'!$AL$36</f>
        <v>21.619748311273458</v>
      </c>
    </row>
    <row r="37" spans="1:42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>
        <f>'TUSD BE'!$L$37*'TUSD BE'!$L$78</f>
        <v>-0.43066373096517935</v>
      </c>
      <c r="M37" s="30">
        <f>'TUSD BE'!$M$37*'TUSD BE'!$M$78</f>
        <v>-4.483637674930592E-2</v>
      </c>
      <c r="N37" s="30">
        <f ca="1">'TUSD BE'!$N$37*'TUSD BE'!$N$78</f>
        <v>-4.8393615147436821E-3</v>
      </c>
      <c r="O37" s="30">
        <f>'TUSD BE'!$O$37*'TUSD BE'!$O$78</f>
        <v>-7.7559117269576281E-4</v>
      </c>
      <c r="P37" s="30">
        <f>'TUSD BE'!$P$37*'TUSD BE'!$P$78</f>
        <v>0</v>
      </c>
      <c r="Q37" s="30">
        <f>'TUSD BE'!$Q$37*'TUSD BE'!$Q$78</f>
        <v>-0.857647561557352</v>
      </c>
      <c r="R37" s="30">
        <f>'TUSD BE'!$R$37*'TUSD BE'!$R$78</f>
        <v>-0.4438592698397088</v>
      </c>
      <c r="S37" s="30">
        <f>'TUSD BE'!$R$37*'TUSD BE'!$S$78</f>
        <v>0</v>
      </c>
      <c r="T37" s="30">
        <f ca="1">SUM($L$37:$S$37)</f>
        <v>-1.7826218917989856</v>
      </c>
      <c r="U37" s="30">
        <f>'TUSD BE'!$U$37*'TUSD BE'!$U$78</f>
        <v>12.912407822463013</v>
      </c>
      <c r="V37" s="30">
        <f>'TUSD BE'!$V$37*'TUSD BE'!$V$78</f>
        <v>0</v>
      </c>
      <c r="W37" s="30">
        <f>'TUSD BE'!$W$37*'TUSD BE'!$W$78</f>
        <v>0</v>
      </c>
      <c r="X37" s="30">
        <f>'TUSD BE'!$X$37*'TUSD BE'!$X$78</f>
        <v>0</v>
      </c>
      <c r="Y37" s="30">
        <f>'TUSD BE'!$Y$37*'TUSD BE'!$Y$78</f>
        <v>0</v>
      </c>
      <c r="Z37" s="30">
        <f>'TUSD BE'!$Z$37*'TUSD BE'!$Z$78</f>
        <v>0</v>
      </c>
      <c r="AA37" s="30">
        <f>'TUSD BE'!$AA$37*'TUSD BE'!$AA$78</f>
        <v>0</v>
      </c>
      <c r="AB37" s="30">
        <f>SUM($U$37:$AA$37)</f>
        <v>12.912407822463013</v>
      </c>
      <c r="AC37" s="30">
        <f>'TUSD BE'!$AC$37*'TUSD BE'!$AC$78</f>
        <v>49.757449659570703</v>
      </c>
      <c r="AD37" s="30">
        <f>SUM($AC$37:$AC$37)</f>
        <v>49.757449659570703</v>
      </c>
      <c r="AE37" s="30">
        <f ca="1">$AO$37*$AO$75</f>
        <v>-89.507637321414492</v>
      </c>
      <c r="AF37" s="30">
        <f ca="1">$AP$37*$AP$75</f>
        <v>0</v>
      </c>
      <c r="AG37" s="30">
        <f ca="1">SUM($AE$37:$AF$37)</f>
        <v>-89.507637321414492</v>
      </c>
      <c r="AH37" s="30">
        <f>'TUSD BE'!$AH$37*'TUSD BE'!$AH$78</f>
        <v>-2.011438230987828</v>
      </c>
      <c r="AI37" s="30">
        <f>'TUSD BE'!$AI$37*'TUSD BE'!$AI$78</f>
        <v>-7.1614528750973225E-2</v>
      </c>
      <c r="AJ37" s="30">
        <f ca="1">'TUSD BE'!$AJ$37*'TUSD BE'!$AJ$78</f>
        <v>-0.59938569879525205</v>
      </c>
      <c r="AK37" s="30">
        <f ca="1">'TUSD BE'!$AK$37*'TUSD BE'!$AK$78</f>
        <v>0</v>
      </c>
      <c r="AL37" s="30">
        <f ca="1">SUM($AH$37:$AK$37)</f>
        <v>-2.6824384585340533</v>
      </c>
      <c r="AM37" s="30">
        <f ca="1">SUMIF($L$4:$AL$4,"SUBTOTAL",$L$37:$AL$37)</f>
        <v>-31.302840189713816</v>
      </c>
      <c r="AO37" s="36">
        <f ca="1">+'TUSD BE'!$T$37+'TUSD BE'!$AB$37+'TUSD BE'!$AD$37+'TUSD BE'!$AL$37</f>
        <v>1073.7113857785223</v>
      </c>
      <c r="AP37" s="36">
        <f ca="1">+'TUSD BE'!$T$37+'TUSD BE'!$AB$37+'TUSD BE'!$AD$37+'TUSD BE'!$AL$37</f>
        <v>1073.7113857785223</v>
      </c>
    </row>
    <row r="38" spans="1:42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>
        <f>'TUSD BE'!$L$38*'TUSD BE'!$L$78</f>
        <v>-0.43066373096517935</v>
      </c>
      <c r="M38" s="30">
        <f>'TUSD BE'!$M$38*'TUSD BE'!$M$78</f>
        <v>-4.483637674930592E-2</v>
      </c>
      <c r="N38" s="30">
        <f ca="1">'TUSD BE'!$N$38*'TUSD BE'!$N$78</f>
        <v>-3.0861709108593151E-3</v>
      </c>
      <c r="O38" s="30">
        <f>'TUSD BE'!$O$38*'TUSD BE'!$O$78</f>
        <v>-7.7559117269576281E-4</v>
      </c>
      <c r="P38" s="30">
        <f>'TUSD BE'!$P$38*'TUSD BE'!$P$78</f>
        <v>0</v>
      </c>
      <c r="Q38" s="30">
        <f>'TUSD BE'!$Q$38*'TUSD BE'!$Q$78</f>
        <v>-0.857647561557352</v>
      </c>
      <c r="R38" s="30">
        <f>'TUSD BE'!$R$38*'TUSD BE'!$R$78</f>
        <v>-0.4438592698397088</v>
      </c>
      <c r="S38" s="30">
        <f>'TUSD BE'!$R$38*'TUSD BE'!$S$78</f>
        <v>0</v>
      </c>
      <c r="T38" s="30">
        <f ca="1">SUM($L$38:$S$38)</f>
        <v>-1.7808687011951012</v>
      </c>
      <c r="U38" s="30">
        <f>'TUSD BE'!$U$38*'TUSD BE'!$U$78</f>
        <v>7.7474545706162834</v>
      </c>
      <c r="V38" s="30">
        <f>'TUSD BE'!$V$38*'TUSD BE'!$V$78</f>
        <v>0</v>
      </c>
      <c r="W38" s="30">
        <f>'TUSD BE'!$W$38*'TUSD BE'!$W$78</f>
        <v>0</v>
      </c>
      <c r="X38" s="30">
        <f>'TUSD BE'!$X$38*'TUSD BE'!$X$78</f>
        <v>0</v>
      </c>
      <c r="Y38" s="30">
        <f>'TUSD BE'!$Y$38*'TUSD BE'!$Y$78</f>
        <v>0</v>
      </c>
      <c r="Z38" s="30">
        <f>'TUSD BE'!$Z$38*'TUSD BE'!$Z$78</f>
        <v>0</v>
      </c>
      <c r="AA38" s="30">
        <f>'TUSD BE'!$AA$38*'TUSD BE'!$AA$78</f>
        <v>0</v>
      </c>
      <c r="AB38" s="30">
        <f>SUM($U$38:$AA$38)</f>
        <v>7.7474545706162834</v>
      </c>
      <c r="AC38" s="30">
        <f>'TUSD BE'!$AC$38*'TUSD BE'!$AC$78</f>
        <v>29.854475372963751</v>
      </c>
      <c r="AD38" s="30">
        <f>SUM($AC$38:$AC$38)</f>
        <v>29.854475372963751</v>
      </c>
      <c r="AE38" s="30">
        <f ca="1">$AO$38*$AO$75</f>
        <v>-56.836173511765189</v>
      </c>
      <c r="AF38" s="30">
        <f ca="1">$AP$38*$AP$75</f>
        <v>0</v>
      </c>
      <c r="AG38" s="30">
        <f ca="1">SUM($AE$38:$AF$38)</f>
        <v>-56.836173511765189</v>
      </c>
      <c r="AH38" s="30">
        <f>'TUSD BE'!$AH$38*'TUSD BE'!$AH$78</f>
        <v>-2.011438230987828</v>
      </c>
      <c r="AI38" s="30">
        <f>'TUSD BE'!$AI$38*'TUSD BE'!$AI$78</f>
        <v>-7.1614528750973225E-2</v>
      </c>
      <c r="AJ38" s="30">
        <f ca="1">'TUSD BE'!$AJ$38*'TUSD BE'!$AJ$78</f>
        <v>-0.59938569879525205</v>
      </c>
      <c r="AK38" s="30">
        <f ca="1">'TUSD BE'!$AK$38*'TUSD BE'!$AK$78</f>
        <v>0</v>
      </c>
      <c r="AL38" s="30">
        <f ca="1">SUM($AH$38:$AK$38)</f>
        <v>-2.6824384585340533</v>
      </c>
      <c r="AM38" s="30">
        <f ca="1">SUMIF($L$4:$AL$4,"SUBTOTAL",$L$38:$AL$38)</f>
        <v>-23.697550727914308</v>
      </c>
      <c r="AO38" s="36">
        <f ca="1">+'TUSD BE'!$T$38+'TUSD BE'!$AB$38+'TUSD BE'!$AD$38+'TUSD BE'!$AL$38</f>
        <v>681.79262071825121</v>
      </c>
      <c r="AP38" s="36">
        <f ca="1">+'TUSD BE'!$T$38+'TUSD BE'!$AB$38+'TUSD BE'!$AD$38+'TUSD BE'!$AL$38</f>
        <v>681.79262071825121</v>
      </c>
    </row>
    <row r="39" spans="1:42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>
        <f>'TUSD BE'!$L$39*'TUSD BE'!$L$78</f>
        <v>-0.43066373096517935</v>
      </c>
      <c r="M39" s="30">
        <f>'TUSD BE'!$M$39*'TUSD BE'!$M$78</f>
        <v>-4.483637674930592E-2</v>
      </c>
      <c r="N39" s="30">
        <f ca="1">'TUSD BE'!$N$39*'TUSD BE'!$N$78</f>
        <v>-1.3329781461585827E-3</v>
      </c>
      <c r="O39" s="30">
        <f>'TUSD BE'!$O$39*'TUSD BE'!$O$78</f>
        <v>-7.7559117269576281E-4</v>
      </c>
      <c r="P39" s="30">
        <f>'TUSD BE'!$P$39*'TUSD BE'!$P$78</f>
        <v>0</v>
      </c>
      <c r="Q39" s="30">
        <f>'TUSD BE'!$Q$39*'TUSD BE'!$Q$78</f>
        <v>-0.857647561557352</v>
      </c>
      <c r="R39" s="30">
        <f>'TUSD BE'!$R$39*'TUSD BE'!$R$78</f>
        <v>-0.4438592698397088</v>
      </c>
      <c r="S39" s="30">
        <f>'TUSD BE'!$R$39*'TUSD BE'!$S$78</f>
        <v>0</v>
      </c>
      <c r="T39" s="30">
        <f ca="1">SUM($L$39:$S$39)</f>
        <v>-1.7791155084304004</v>
      </c>
      <c r="U39" s="30">
        <f>'TUSD BE'!$U$39*'TUSD BE'!$U$78</f>
        <v>2.5824766259233645</v>
      </c>
      <c r="V39" s="30">
        <f>'TUSD BE'!$V$39*'TUSD BE'!$V$78</f>
        <v>0</v>
      </c>
      <c r="W39" s="30">
        <f>'TUSD BE'!$W$39*'TUSD BE'!$W$78</f>
        <v>0</v>
      </c>
      <c r="X39" s="30">
        <f>'TUSD BE'!$X$39*'TUSD BE'!$X$78</f>
        <v>0</v>
      </c>
      <c r="Y39" s="30">
        <f>'TUSD BE'!$Y$39*'TUSD BE'!$Y$78</f>
        <v>0</v>
      </c>
      <c r="Z39" s="30">
        <f>'TUSD BE'!$Z$39*'TUSD BE'!$Z$78</f>
        <v>0</v>
      </c>
      <c r="AA39" s="30">
        <f>'TUSD BE'!$AA$39*'TUSD BE'!$AA$78</f>
        <v>0</v>
      </c>
      <c r="AB39" s="30">
        <f>SUM($U$39:$AA$39)</f>
        <v>2.5824766259233645</v>
      </c>
      <c r="AC39" s="30">
        <f>'TUSD BE'!$AC$39*'TUSD BE'!$AC$78</f>
        <v>9.9514917909879159</v>
      </c>
      <c r="AD39" s="30">
        <f>SUM($AC$39:$AC$39)</f>
        <v>9.9514917909879159</v>
      </c>
      <c r="AE39" s="30">
        <f ca="1">$AO$39*$AO$75</f>
        <v>-24.164672391804515</v>
      </c>
      <c r="AF39" s="30">
        <f ca="1">$AP$39*$AP$75</f>
        <v>0</v>
      </c>
      <c r="AG39" s="30">
        <f ca="1">SUM($AE$39:$AF$39)</f>
        <v>-24.164672391804515</v>
      </c>
      <c r="AH39" s="30">
        <f>'TUSD BE'!$AH$39*'TUSD BE'!$AH$78</f>
        <v>-2.011438230987828</v>
      </c>
      <c r="AI39" s="30">
        <f>'TUSD BE'!$AI$39*'TUSD BE'!$AI$78</f>
        <v>-7.1614528750973225E-2</v>
      </c>
      <c r="AJ39" s="30">
        <f ca="1">'TUSD BE'!$AJ$39*'TUSD BE'!$AJ$78</f>
        <v>-0.59938569879525205</v>
      </c>
      <c r="AK39" s="30">
        <f ca="1">'TUSD BE'!$AK$39*'TUSD BE'!$AK$78</f>
        <v>0</v>
      </c>
      <c r="AL39" s="30">
        <f ca="1">SUM($AH$39:$AK$39)</f>
        <v>-2.6824384585340533</v>
      </c>
      <c r="AM39" s="30">
        <f ca="1">SUMIF($L$4:$AL$4,"SUBTOTAL",$L$39:$AL$39)</f>
        <v>-16.092257941857689</v>
      </c>
      <c r="AO39" s="36">
        <f ca="1">+'TUSD BE'!$T$39+'TUSD BE'!$AB$39+'TUSD BE'!$AD$39+'TUSD BE'!$AL$39</f>
        <v>289.87340809275202</v>
      </c>
      <c r="AP39" s="36">
        <f ca="1">+'TUSD BE'!$T$39+'TUSD BE'!$AB$39+'TUSD BE'!$AD$39+'TUSD BE'!$AL$39</f>
        <v>289.87340809275202</v>
      </c>
    </row>
    <row r="40" spans="1:42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>
        <f>'TUSD BE'!$L$40*'TUSD BE'!$L$78</f>
        <v>-0.43066373096517935</v>
      </c>
      <c r="M40" s="30">
        <f>'TUSD BE'!$M$40*'TUSD BE'!$M$78</f>
        <v>-4.483637674930592E-2</v>
      </c>
      <c r="N40" s="30">
        <f ca="1">'TUSD BE'!$N$40*'TUSD BE'!$N$78</f>
        <v>-1.9173759744828679E-3</v>
      </c>
      <c r="O40" s="30">
        <f>'TUSD BE'!$O$40*'TUSD BE'!$O$78</f>
        <v>-7.7559117269576281E-4</v>
      </c>
      <c r="P40" s="30">
        <f>'TUSD BE'!$P$40*'TUSD BE'!$P$78</f>
        <v>0</v>
      </c>
      <c r="Q40" s="30">
        <f>'TUSD BE'!$Q$40*'TUSD BE'!$Q$78</f>
        <v>-0.857647561557352</v>
      </c>
      <c r="R40" s="30">
        <f>'TUSD BE'!$R$40*'TUSD BE'!$R$78</f>
        <v>-0.4438592698397088</v>
      </c>
      <c r="S40" s="30">
        <f>'TUSD BE'!$R$40*'TUSD BE'!$S$78</f>
        <v>0</v>
      </c>
      <c r="T40" s="30">
        <f ca="1">SUM($L$40:$S$40)</f>
        <v>-1.7796999062587247</v>
      </c>
      <c r="U40" s="30">
        <f>'TUSD BE'!$U$40*'TUSD BE'!$U$78</f>
        <v>4.3041359408210047</v>
      </c>
      <c r="V40" s="30">
        <f>'TUSD BE'!$V$40*'TUSD BE'!$V$78</f>
        <v>0</v>
      </c>
      <c r="W40" s="30">
        <f>'TUSD BE'!$W$40*'TUSD BE'!$W$78</f>
        <v>0</v>
      </c>
      <c r="X40" s="30">
        <f>'TUSD BE'!$X$40*'TUSD BE'!$X$78</f>
        <v>0</v>
      </c>
      <c r="Y40" s="30">
        <f>'TUSD BE'!$Y$40*'TUSD BE'!$Y$78</f>
        <v>0</v>
      </c>
      <c r="Z40" s="30">
        <f>'TUSD BE'!$Z$40*'TUSD BE'!$Z$78</f>
        <v>0</v>
      </c>
      <c r="AA40" s="30">
        <f>'TUSD BE'!$AA$40*'TUSD BE'!$AA$78</f>
        <v>0</v>
      </c>
      <c r="AB40" s="30">
        <f>SUM($U$40:$AA$40)</f>
        <v>4.3041359408210047</v>
      </c>
      <c r="AC40" s="30">
        <f>'TUSD BE'!$AC$40*'TUSD BE'!$AC$78</f>
        <v>16.585819651646531</v>
      </c>
      <c r="AD40" s="30">
        <f>SUM($AC$40:$AC$40)</f>
        <v>16.585819651646531</v>
      </c>
      <c r="AE40" s="30">
        <f ca="1">$AO$40*$AO$75</f>
        <v>-35.055175889831986</v>
      </c>
      <c r="AF40" s="30">
        <f ca="1">$AP$40*$AP$75</f>
        <v>0</v>
      </c>
      <c r="AG40" s="30">
        <f ca="1">SUM($AE$40:$AF$40)</f>
        <v>-35.055175889831986</v>
      </c>
      <c r="AH40" s="30">
        <f>'TUSD BE'!$AH$40*'TUSD BE'!$AH$78</f>
        <v>-2.011438230987828</v>
      </c>
      <c r="AI40" s="30">
        <f>'TUSD BE'!$AI$40*'TUSD BE'!$AI$78</f>
        <v>-7.1614528750973225E-2</v>
      </c>
      <c r="AJ40" s="30">
        <f ca="1">'TUSD BE'!$AJ$40*'TUSD BE'!$AJ$78</f>
        <v>-0.59938569879525205</v>
      </c>
      <c r="AK40" s="30">
        <f ca="1">'TUSD BE'!$AK$40*'TUSD BE'!$AK$78</f>
        <v>0</v>
      </c>
      <c r="AL40" s="30">
        <f ca="1">SUM($AH$40:$AK$40)</f>
        <v>-2.6824384585340533</v>
      </c>
      <c r="AM40" s="30">
        <f ca="1">SUMIF($L$4:$AL$4,"SUBTOTAL",$L$40:$AL$40)</f>
        <v>-18.627358662157231</v>
      </c>
      <c r="AO40" s="36">
        <f ca="1">+'TUSD BE'!$T$40+'TUSD BE'!$AB$40+'TUSD BE'!$AD$40+'TUSD BE'!$AL$40</f>
        <v>420.5131831177971</v>
      </c>
      <c r="AP40" s="36">
        <f ca="1">+'TUSD BE'!$T$40+'TUSD BE'!$AB$40+'TUSD BE'!$AD$40+'TUSD BE'!$AL$40</f>
        <v>420.5131831177971</v>
      </c>
    </row>
    <row r="41" spans="1:42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>
        <f>'TUSD BE'!$L$41*'TUSD BE'!$L$78</f>
        <v>0</v>
      </c>
      <c r="M41" s="30">
        <f>'TUSD BE'!$M$41*'TUSD BE'!$M$78</f>
        <v>-4.483637674930592E-2</v>
      </c>
      <c r="N41" s="30">
        <f ca="1">'TUSD BE'!$N$41*'TUSD BE'!$N$78</f>
        <v>-1.9101732532599747E-3</v>
      </c>
      <c r="O41" s="30">
        <f>'TUSD BE'!$O$41*'TUSD BE'!$O$78</f>
        <v>-7.7559117269576281E-4</v>
      </c>
      <c r="P41" s="30">
        <f>'TUSD BE'!$P$41*'TUSD BE'!$P$78</f>
        <v>0</v>
      </c>
      <c r="Q41" s="30">
        <f>'TUSD BE'!$Q$41*'TUSD BE'!$Q$78</f>
        <v>0</v>
      </c>
      <c r="R41" s="30">
        <f>'TUSD BE'!$R$41*'TUSD BE'!$R$78</f>
        <v>0</v>
      </c>
      <c r="S41" s="30">
        <f>'TUSD BE'!$R$41*'TUSD BE'!$S$78</f>
        <v>0</v>
      </c>
      <c r="T41" s="30">
        <f ca="1">SUM($L$41:$S$41)</f>
        <v>-4.7522141175261656E-2</v>
      </c>
      <c r="U41" s="30">
        <f>'TUSD BE'!$U$41*'TUSD BE'!$U$78</f>
        <v>4.3041359408210047</v>
      </c>
      <c r="V41" s="30">
        <f>'TUSD BE'!$V$41*'TUSD BE'!$V$78</f>
        <v>0</v>
      </c>
      <c r="W41" s="30">
        <f>'TUSD BE'!$W$41*'TUSD BE'!$W$78</f>
        <v>0</v>
      </c>
      <c r="X41" s="30">
        <f>'TUSD BE'!$X$41*'TUSD BE'!$X$78</f>
        <v>0</v>
      </c>
      <c r="Y41" s="30">
        <f>'TUSD BE'!$Y$41*'TUSD BE'!$Y$78</f>
        <v>0</v>
      </c>
      <c r="Z41" s="30">
        <f>'TUSD BE'!$Z$41*'TUSD BE'!$Z$78</f>
        <v>0</v>
      </c>
      <c r="AA41" s="30">
        <f>'TUSD BE'!$AA$41*'TUSD BE'!$AA$78</f>
        <v>0</v>
      </c>
      <c r="AB41" s="30">
        <f>SUM($U$41:$AA$41)</f>
        <v>4.3041359408210047</v>
      </c>
      <c r="AC41" s="30">
        <f>'TUSD BE'!$AC$41*'TUSD BE'!$AC$78</f>
        <v>16.585819651646531</v>
      </c>
      <c r="AD41" s="30">
        <f>SUM($AC$41:$AC$41)</f>
        <v>16.585819651646531</v>
      </c>
      <c r="AE41" s="30">
        <f ca="1">$AO$41*$AO$75</f>
        <v>-30.415873741173119</v>
      </c>
      <c r="AF41" s="30">
        <f ca="1">$AP$41*$AP$75</f>
        <v>0</v>
      </c>
      <c r="AG41" s="30">
        <f ca="1">SUM($AE$41:$AF$41)</f>
        <v>-30.415873741173119</v>
      </c>
      <c r="AH41" s="30">
        <f>'TUSD BE'!$AH$41*'TUSD BE'!$AH$78</f>
        <v>-2.011438230987828</v>
      </c>
      <c r="AI41" s="30">
        <f>'TUSD BE'!$AI$41*'TUSD BE'!$AI$78</f>
        <v>-7.1614528750973225E-2</v>
      </c>
      <c r="AJ41" s="30">
        <f ca="1">'TUSD BE'!$AJ$41*'TUSD BE'!$AJ$78</f>
        <v>-0.59938569879525205</v>
      </c>
      <c r="AK41" s="30">
        <f ca="1">'TUSD BE'!$AK$41*'TUSD BE'!$AK$78</f>
        <v>0</v>
      </c>
      <c r="AL41" s="30">
        <f ca="1">SUM($AH$41:$AK$41)</f>
        <v>-2.6824384585340533</v>
      </c>
      <c r="AM41" s="30">
        <f ca="1">SUMIF($L$4:$AL$4,"SUBTOTAL",$L$41:$AL$41)</f>
        <v>-12.255878748414899</v>
      </c>
      <c r="AO41" s="36">
        <f ca="1">+'TUSD BE'!$T$41+'TUSD BE'!$AB$41+'TUSD BE'!$AD$41+'TUSD BE'!$AL$41</f>
        <v>364.86126683277155</v>
      </c>
      <c r="AP41" s="36">
        <f ca="1">+'TUSD BE'!$T$41+'TUSD BE'!$AB$41+'TUSD BE'!$AD$41+'TUSD BE'!$AL$41</f>
        <v>364.86126683277155</v>
      </c>
    </row>
    <row r="42" spans="1:42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>
        <f>'TUSD BE'!$L$42*'TUSD BE'!$L$78</f>
        <v>0</v>
      </c>
      <c r="M42" s="30">
        <f>'TUSD BE'!$M$42*'TUSD BE'!$M$78</f>
        <v>-4.483637674930592E-2</v>
      </c>
      <c r="N42" s="30">
        <f ca="1">'TUSD BE'!$N$42*'TUSD BE'!$N$78</f>
        <v>-1.9101732532599747E-3</v>
      </c>
      <c r="O42" s="30">
        <f>'TUSD BE'!$O$42*'TUSD BE'!$O$78</f>
        <v>-7.7559117269576281E-4</v>
      </c>
      <c r="P42" s="30">
        <f>'TUSD BE'!$P$42*'TUSD BE'!$P$78</f>
        <v>0</v>
      </c>
      <c r="Q42" s="30">
        <f>'TUSD BE'!$Q$42*'TUSD BE'!$Q$78</f>
        <v>0</v>
      </c>
      <c r="R42" s="30">
        <f>'TUSD BE'!$R$42*'TUSD BE'!$R$78</f>
        <v>0</v>
      </c>
      <c r="S42" s="30">
        <f>'TUSD BE'!$R$42*'TUSD BE'!$S$78</f>
        <v>0</v>
      </c>
      <c r="T42" s="30">
        <f ca="1">SUM($L$42:$S$42)</f>
        <v>-4.7522141175261656E-2</v>
      </c>
      <c r="U42" s="30">
        <f>'TUSD BE'!$U$42*'TUSD BE'!$U$78</f>
        <v>4.3041359408210047</v>
      </c>
      <c r="V42" s="30">
        <f>'TUSD BE'!$V$42*'TUSD BE'!$V$78</f>
        <v>0</v>
      </c>
      <c r="W42" s="30">
        <f>'TUSD BE'!$W$42*'TUSD BE'!$W$78</f>
        <v>0</v>
      </c>
      <c r="X42" s="30">
        <f>'TUSD BE'!$X$42*'TUSD BE'!$X$78</f>
        <v>0</v>
      </c>
      <c r="Y42" s="30">
        <f>'TUSD BE'!$Y$42*'TUSD BE'!$Y$78</f>
        <v>0</v>
      </c>
      <c r="Z42" s="30">
        <f>'TUSD BE'!$Z$42*'TUSD BE'!$Z$78</f>
        <v>0</v>
      </c>
      <c r="AA42" s="30">
        <f>'TUSD BE'!$AA$42*'TUSD BE'!$AA$78</f>
        <v>0</v>
      </c>
      <c r="AB42" s="30">
        <f>SUM($U$42:$AA$42)</f>
        <v>4.3041359408210047</v>
      </c>
      <c r="AC42" s="30">
        <f>'TUSD BE'!$AC$42*'TUSD BE'!$AC$78</f>
        <v>16.585819651646531</v>
      </c>
      <c r="AD42" s="30">
        <f>SUM($AC$42:$AC$42)</f>
        <v>16.585819651646531</v>
      </c>
      <c r="AE42" s="30">
        <f ca="1">$AO$42*$AO$75</f>
        <v>-30.415873741173119</v>
      </c>
      <c r="AF42" s="30">
        <f ca="1">$AP$42*$AP$75</f>
        <v>0</v>
      </c>
      <c r="AG42" s="30">
        <f ca="1">SUM($AE$42:$AF$42)</f>
        <v>-30.415873741173119</v>
      </c>
      <c r="AH42" s="30">
        <f>'TUSD BE'!$AH$42*'TUSD BE'!$AH$78</f>
        <v>-2.011438230987828</v>
      </c>
      <c r="AI42" s="30">
        <f>'TUSD BE'!$AI$42*'TUSD BE'!$AI$78</f>
        <v>-7.1614528750973225E-2</v>
      </c>
      <c r="AJ42" s="30">
        <f ca="1">'TUSD BE'!$AJ$42*'TUSD BE'!$AJ$78</f>
        <v>-0.59938569879525205</v>
      </c>
      <c r="AK42" s="30">
        <f ca="1">'TUSD BE'!$AK$42*'TUSD BE'!$AK$78</f>
        <v>0</v>
      </c>
      <c r="AL42" s="30">
        <f ca="1">SUM($AH$42:$AK$42)</f>
        <v>-2.6824384585340533</v>
      </c>
      <c r="AM42" s="30">
        <f ca="1">SUMIF($L$4:$AL$4,"SUBTOTAL",$L$42:$AL$42)</f>
        <v>-12.255878748414899</v>
      </c>
      <c r="AO42" s="36">
        <f ca="1">+'TUSD BE'!$T$42+'TUSD BE'!$AB$42+'TUSD BE'!$AD$42+'TUSD BE'!$AL$42</f>
        <v>364.86126683277155</v>
      </c>
      <c r="AP42" s="36">
        <f ca="1">+'TUSD BE'!$T$42+'TUSD BE'!$AB$42+'TUSD BE'!$AD$42+'TUSD BE'!$AL$42</f>
        <v>364.86126683277155</v>
      </c>
    </row>
    <row r="43" spans="1:42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>
        <f>'TUSD BE'!$L$43*'TUSD BE'!$L$78</f>
        <v>0</v>
      </c>
      <c r="M43" s="30">
        <f>'TUSD BE'!$M$43*'TUSD BE'!$M$78</f>
        <v>-4.483637674930592E-2</v>
      </c>
      <c r="N43" s="30">
        <f ca="1">'TUSD BE'!$N$43*'TUSD BE'!$N$78</f>
        <v>-1.9101732532599747E-3</v>
      </c>
      <c r="O43" s="30">
        <f>'TUSD BE'!$O$43*'TUSD BE'!$O$78</f>
        <v>-7.7559117269576281E-4</v>
      </c>
      <c r="P43" s="30">
        <f>'TUSD BE'!$P$43*'TUSD BE'!$P$78</f>
        <v>0</v>
      </c>
      <c r="Q43" s="30">
        <f>'TUSD BE'!$Q$43*'TUSD BE'!$Q$78</f>
        <v>0</v>
      </c>
      <c r="R43" s="30">
        <f>'TUSD BE'!$R$43*'TUSD BE'!$R$78</f>
        <v>0</v>
      </c>
      <c r="S43" s="30">
        <f>'TUSD BE'!$R$43*'TUSD BE'!$S$78</f>
        <v>0</v>
      </c>
      <c r="T43" s="30">
        <f ca="1">SUM($L$43:$S$43)</f>
        <v>-4.7522141175261656E-2</v>
      </c>
      <c r="U43" s="30">
        <f>'TUSD BE'!$U$43*'TUSD BE'!$U$78</f>
        <v>4.3041359408210047</v>
      </c>
      <c r="V43" s="30">
        <f>'TUSD BE'!$V$43*'TUSD BE'!$V$78</f>
        <v>0</v>
      </c>
      <c r="W43" s="30">
        <f>'TUSD BE'!$W$43*'TUSD BE'!$W$78</f>
        <v>0</v>
      </c>
      <c r="X43" s="30">
        <f>'TUSD BE'!$X$43*'TUSD BE'!$X$78</f>
        <v>0</v>
      </c>
      <c r="Y43" s="30">
        <f>'TUSD BE'!$Y$43*'TUSD BE'!$Y$78</f>
        <v>0</v>
      </c>
      <c r="Z43" s="30">
        <f>'TUSD BE'!$Z$43*'TUSD BE'!$Z$78</f>
        <v>0</v>
      </c>
      <c r="AA43" s="30">
        <f>'TUSD BE'!$AA$43*'TUSD BE'!$AA$78</f>
        <v>0</v>
      </c>
      <c r="AB43" s="30">
        <f>SUM($U$43:$AA$43)</f>
        <v>4.3041359408210047</v>
      </c>
      <c r="AC43" s="30">
        <f>'TUSD BE'!$AC$43*'TUSD BE'!$AC$78</f>
        <v>16.585819651646531</v>
      </c>
      <c r="AD43" s="30">
        <f>SUM($AC$43:$AC$43)</f>
        <v>16.585819651646531</v>
      </c>
      <c r="AE43" s="30">
        <f ca="1">$AO$43*$AO$75</f>
        <v>-30.415873741173119</v>
      </c>
      <c r="AF43" s="30">
        <f ca="1">$AP$43*$AP$75</f>
        <v>0</v>
      </c>
      <c r="AG43" s="30">
        <f ca="1">SUM($AE$43:$AF$43)</f>
        <v>-30.415873741173119</v>
      </c>
      <c r="AH43" s="30">
        <f>'TUSD BE'!$AH$43*'TUSD BE'!$AH$78</f>
        <v>-2.011438230987828</v>
      </c>
      <c r="AI43" s="30">
        <f>'TUSD BE'!$AI$43*'TUSD BE'!$AI$78</f>
        <v>-7.1614528750973225E-2</v>
      </c>
      <c r="AJ43" s="30">
        <f ca="1">'TUSD BE'!$AJ$43*'TUSD BE'!$AJ$78</f>
        <v>-0.59938569879525205</v>
      </c>
      <c r="AK43" s="30">
        <f ca="1">'TUSD BE'!$AK$43*'TUSD BE'!$AK$78</f>
        <v>0</v>
      </c>
      <c r="AL43" s="30">
        <f ca="1">SUM($AH$43:$AK$43)</f>
        <v>-2.6824384585340533</v>
      </c>
      <c r="AM43" s="30">
        <f ca="1">SUMIF($L$4:$AL$4,"SUBTOTAL",$L$43:$AL$43)</f>
        <v>-12.255878748414899</v>
      </c>
      <c r="AO43" s="36">
        <f ca="1">+'TUSD BE'!$T$43+'TUSD BE'!$AB$43+'TUSD BE'!$AD$43+'TUSD BE'!$AL$43</f>
        <v>364.86126683277155</v>
      </c>
      <c r="AP43" s="36">
        <f ca="1">+'TUSD BE'!$T$43+'TUSD BE'!$AB$43+'TUSD BE'!$AD$43+'TUSD BE'!$AL$43</f>
        <v>364.86126683277155</v>
      </c>
    </row>
    <row r="44" spans="1:42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>
        <f>'TUSD BE'!$L$44*'TUSD BE'!$L$78</f>
        <v>0</v>
      </c>
      <c r="M44" s="30">
        <f>'TUSD BE'!$M$44*'TUSD BE'!$M$78</f>
        <v>-4.483637674930592E-2</v>
      </c>
      <c r="N44" s="30">
        <f ca="1">'TUSD BE'!$N$44*'TUSD BE'!$N$78</f>
        <v>-1.9101732532599747E-3</v>
      </c>
      <c r="O44" s="30">
        <f>'TUSD BE'!$O$44*'TUSD BE'!$O$78</f>
        <v>-7.7559117269576281E-4</v>
      </c>
      <c r="P44" s="30">
        <f>'TUSD BE'!$P$44*'TUSD BE'!$P$78</f>
        <v>0</v>
      </c>
      <c r="Q44" s="30">
        <f>'TUSD BE'!$Q$44*'TUSD BE'!$Q$78</f>
        <v>0</v>
      </c>
      <c r="R44" s="30">
        <f>'TUSD BE'!$R$44*'TUSD BE'!$R$78</f>
        <v>0</v>
      </c>
      <c r="S44" s="30">
        <f>'TUSD BE'!$R$44*'TUSD BE'!$S$78</f>
        <v>0</v>
      </c>
      <c r="T44" s="30">
        <f ca="1">SUM($L$44:$S$44)</f>
        <v>-4.7522141175261656E-2</v>
      </c>
      <c r="U44" s="30">
        <f>'TUSD BE'!$U$44*'TUSD BE'!$U$78</f>
        <v>4.3041359408210047</v>
      </c>
      <c r="V44" s="30">
        <f>'TUSD BE'!$V$44*'TUSD BE'!$V$78</f>
        <v>0</v>
      </c>
      <c r="W44" s="30">
        <f>'TUSD BE'!$W$44*'TUSD BE'!$W$78</f>
        <v>0</v>
      </c>
      <c r="X44" s="30">
        <f>'TUSD BE'!$X$44*'TUSD BE'!$X$78</f>
        <v>0</v>
      </c>
      <c r="Y44" s="30">
        <f>'TUSD BE'!$Y$44*'TUSD BE'!$Y$78</f>
        <v>0</v>
      </c>
      <c r="Z44" s="30">
        <f>'TUSD BE'!$Z$44*'TUSD BE'!$Z$78</f>
        <v>0</v>
      </c>
      <c r="AA44" s="30">
        <f>'TUSD BE'!$AA$44*'TUSD BE'!$AA$78</f>
        <v>0</v>
      </c>
      <c r="AB44" s="30">
        <f>SUM($U$44:$AA$44)</f>
        <v>4.3041359408210047</v>
      </c>
      <c r="AC44" s="30">
        <f>'TUSD BE'!$AC$44*'TUSD BE'!$AC$78</f>
        <v>16.585819651646531</v>
      </c>
      <c r="AD44" s="30">
        <f>SUM($AC$44:$AC$44)</f>
        <v>16.585819651646531</v>
      </c>
      <c r="AE44" s="30">
        <f ca="1">$AO$44*$AO$75</f>
        <v>-30.415873741173119</v>
      </c>
      <c r="AF44" s="30">
        <f ca="1">$AP$44*$AP$75</f>
        <v>0</v>
      </c>
      <c r="AG44" s="30">
        <f ca="1">SUM($AE$44:$AF$44)</f>
        <v>-30.415873741173119</v>
      </c>
      <c r="AH44" s="30">
        <f>'TUSD BE'!$AH$44*'TUSD BE'!$AH$78</f>
        <v>-2.011438230987828</v>
      </c>
      <c r="AI44" s="30">
        <f>'TUSD BE'!$AI$44*'TUSD BE'!$AI$78</f>
        <v>-7.1614528750973225E-2</v>
      </c>
      <c r="AJ44" s="30">
        <f ca="1">'TUSD BE'!$AJ$44*'TUSD BE'!$AJ$78</f>
        <v>-0.59938569879525205</v>
      </c>
      <c r="AK44" s="30">
        <f ca="1">'TUSD BE'!$AK$44*'TUSD BE'!$AK$78</f>
        <v>0</v>
      </c>
      <c r="AL44" s="30">
        <f ca="1">SUM($AH$44:$AK$44)</f>
        <v>-2.6824384585340533</v>
      </c>
      <c r="AM44" s="30">
        <f ca="1">SUMIF($L$4:$AL$4,"SUBTOTAL",$L$44:$AL$44)</f>
        <v>-12.255878748414899</v>
      </c>
      <c r="AO44" s="36">
        <f ca="1">+'TUSD BE'!$T$44+'TUSD BE'!$AB$44+'TUSD BE'!$AD$44+'TUSD BE'!$AL$44</f>
        <v>364.86126683277155</v>
      </c>
      <c r="AP44" s="36">
        <f ca="1">+'TUSD BE'!$T$44+'TUSD BE'!$AB$44+'TUSD BE'!$AD$44+'TUSD BE'!$AL$44</f>
        <v>364.86126683277155</v>
      </c>
    </row>
    <row r="45" spans="1:42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>
        <f>'TUSD BE'!$L$45*'TUSD BE'!$L$78</f>
        <v>-0.43066373096517935</v>
      </c>
      <c r="M45" s="30">
        <f>'TUSD BE'!$M$45*'TUSD BE'!$M$78</f>
        <v>-4.483637674930592E-2</v>
      </c>
      <c r="N45" s="30">
        <f ca="1">'TUSD BE'!$N$45*'TUSD BE'!$N$78</f>
        <v>-1.9173759744828679E-3</v>
      </c>
      <c r="O45" s="30">
        <f>'TUSD BE'!$O$45*'TUSD BE'!$O$78</f>
        <v>-7.7559117269576281E-4</v>
      </c>
      <c r="P45" s="30">
        <f>'TUSD BE'!$P$45*'TUSD BE'!$P$78</f>
        <v>0</v>
      </c>
      <c r="Q45" s="30">
        <f>'TUSD BE'!$Q$45*'TUSD BE'!$Q$78</f>
        <v>-0.857647561557352</v>
      </c>
      <c r="R45" s="30">
        <f>'TUSD BE'!$R$45*'TUSD BE'!$R$78</f>
        <v>-0.4438592698397088</v>
      </c>
      <c r="S45" s="30">
        <f>'TUSD BE'!$R$45*'TUSD BE'!$S$78</f>
        <v>0</v>
      </c>
      <c r="T45" s="30">
        <f ca="1">SUM($L$45:$S$45)</f>
        <v>-1.7796999062587247</v>
      </c>
      <c r="U45" s="30">
        <f>'TUSD BE'!$U$45*'TUSD BE'!$U$78</f>
        <v>4.3041359408210047</v>
      </c>
      <c r="V45" s="30">
        <f>'TUSD BE'!$V$45*'TUSD BE'!$V$78</f>
        <v>0</v>
      </c>
      <c r="W45" s="30">
        <f>'TUSD BE'!$W$45*'TUSD BE'!$W$78</f>
        <v>0</v>
      </c>
      <c r="X45" s="30">
        <f>'TUSD BE'!$X$45*'TUSD BE'!$X$78</f>
        <v>0</v>
      </c>
      <c r="Y45" s="30">
        <f>'TUSD BE'!$Y$45*'TUSD BE'!$Y$78</f>
        <v>0</v>
      </c>
      <c r="Z45" s="30">
        <f>'TUSD BE'!$Z$45*'TUSD BE'!$Z$78</f>
        <v>0</v>
      </c>
      <c r="AA45" s="30">
        <f>'TUSD BE'!$AA$45*'TUSD BE'!$AA$78</f>
        <v>0</v>
      </c>
      <c r="AB45" s="30">
        <f>SUM($U$45:$AA$45)</f>
        <v>4.3041359408210047</v>
      </c>
      <c r="AC45" s="30">
        <f>'TUSD BE'!$AC$45*'TUSD BE'!$AC$78</f>
        <v>16.585819651646531</v>
      </c>
      <c r="AD45" s="30">
        <f>SUM($AC$45:$AC$45)</f>
        <v>16.585819651646531</v>
      </c>
      <c r="AE45" s="30">
        <f ca="1">$AO$45*$AO$75</f>
        <v>-35.055175889831986</v>
      </c>
      <c r="AF45" s="30">
        <f ca="1">$AP$45*$AP$75</f>
        <v>0</v>
      </c>
      <c r="AG45" s="30">
        <f ca="1">SUM($AE$45:$AF$45)</f>
        <v>-35.055175889831986</v>
      </c>
      <c r="AH45" s="30">
        <f>'TUSD BE'!$AH$45*'TUSD BE'!$AH$78</f>
        <v>-2.011438230987828</v>
      </c>
      <c r="AI45" s="30">
        <f>'TUSD BE'!$AI$45*'TUSD BE'!$AI$78</f>
        <v>-7.1614528750973225E-2</v>
      </c>
      <c r="AJ45" s="30">
        <f ca="1">'TUSD BE'!$AJ$45*'TUSD BE'!$AJ$78</f>
        <v>-0.59938569879525205</v>
      </c>
      <c r="AK45" s="30">
        <f ca="1">'TUSD BE'!$AK$45*'TUSD BE'!$AK$78</f>
        <v>0</v>
      </c>
      <c r="AL45" s="30">
        <f ca="1">SUM($AH$45:$AK$45)</f>
        <v>-2.6824384585340533</v>
      </c>
      <c r="AM45" s="30">
        <f ca="1">SUMIF($L$4:$AL$4,"SUBTOTAL",$L$45:$AL$45)</f>
        <v>-18.627358662157231</v>
      </c>
      <c r="AO45" s="36">
        <f ca="1">+'TUSD BE'!$T$45+'TUSD BE'!$AB$45+'TUSD BE'!$AD$45+'TUSD BE'!$AL$45</f>
        <v>420.5131831177971</v>
      </c>
      <c r="AP45" s="36">
        <f ca="1">+'TUSD BE'!$T$45+'TUSD BE'!$AB$45+'TUSD BE'!$AD$45+'TUSD BE'!$AL$45</f>
        <v>420.5131831177971</v>
      </c>
    </row>
    <row r="46" spans="1:42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>
        <f>'TUSD BE'!$L$46*'TUSD BE'!$L$78</f>
        <v>0</v>
      </c>
      <c r="M46" s="30">
        <f>'TUSD BE'!$M$46*'TUSD BE'!$M$78</f>
        <v>-4.483637674930592E-2</v>
      </c>
      <c r="N46" s="30">
        <f ca="1">'TUSD BE'!$N$46*'TUSD BE'!$N$78</f>
        <v>-1.9101732532599747E-3</v>
      </c>
      <c r="O46" s="30">
        <f>'TUSD BE'!$O$46*'TUSD BE'!$O$78</f>
        <v>-7.7559117269576281E-4</v>
      </c>
      <c r="P46" s="30">
        <f>'TUSD BE'!$P$46*'TUSD BE'!$P$78</f>
        <v>0</v>
      </c>
      <c r="Q46" s="30">
        <f>'TUSD BE'!$Q$46*'TUSD BE'!$Q$78</f>
        <v>0</v>
      </c>
      <c r="R46" s="30">
        <f>'TUSD BE'!$R$46*'TUSD BE'!$R$78</f>
        <v>0</v>
      </c>
      <c r="S46" s="30">
        <f>'TUSD BE'!$R$46*'TUSD BE'!$S$78</f>
        <v>0</v>
      </c>
      <c r="T46" s="30">
        <f ca="1">SUM($L$46:$S$46)</f>
        <v>-4.7522141175261656E-2</v>
      </c>
      <c r="U46" s="30">
        <f>'TUSD BE'!$U$46*'TUSD BE'!$U$78</f>
        <v>4.3041359408210047</v>
      </c>
      <c r="V46" s="30">
        <f>'TUSD BE'!$V$46*'TUSD BE'!$V$78</f>
        <v>0</v>
      </c>
      <c r="W46" s="30">
        <f>'TUSD BE'!$W$46*'TUSD BE'!$W$78</f>
        <v>0</v>
      </c>
      <c r="X46" s="30">
        <f>'TUSD BE'!$X$46*'TUSD BE'!$X$78</f>
        <v>0</v>
      </c>
      <c r="Y46" s="30">
        <f>'TUSD BE'!$Y$46*'TUSD BE'!$Y$78</f>
        <v>0</v>
      </c>
      <c r="Z46" s="30">
        <f>'TUSD BE'!$Z$46*'TUSD BE'!$Z$78</f>
        <v>0</v>
      </c>
      <c r="AA46" s="30">
        <f>'TUSD BE'!$AA$46*'TUSD BE'!$AA$78</f>
        <v>0</v>
      </c>
      <c r="AB46" s="30">
        <f>SUM($U$46:$AA$46)</f>
        <v>4.3041359408210047</v>
      </c>
      <c r="AC46" s="30">
        <f>'TUSD BE'!$AC$46*'TUSD BE'!$AC$78</f>
        <v>16.585819651646531</v>
      </c>
      <c r="AD46" s="30">
        <f>SUM($AC$46:$AC$46)</f>
        <v>16.585819651646531</v>
      </c>
      <c r="AE46" s="30">
        <f ca="1">$AO$46*$AO$75</f>
        <v>-30.415873741173119</v>
      </c>
      <c r="AF46" s="30">
        <f ca="1">$AP$46*$AP$75</f>
        <v>0</v>
      </c>
      <c r="AG46" s="30">
        <f ca="1">SUM($AE$46:$AF$46)</f>
        <v>-30.415873741173119</v>
      </c>
      <c r="AH46" s="30">
        <f>'TUSD BE'!$AH$46*'TUSD BE'!$AH$78</f>
        <v>-2.011438230987828</v>
      </c>
      <c r="AI46" s="30">
        <f>'TUSD BE'!$AI$46*'TUSD BE'!$AI$78</f>
        <v>-7.1614528750973225E-2</v>
      </c>
      <c r="AJ46" s="30">
        <f ca="1">'TUSD BE'!$AJ$46*'TUSD BE'!$AJ$78</f>
        <v>-0.59938569879525205</v>
      </c>
      <c r="AK46" s="30">
        <f ca="1">'TUSD BE'!$AK$46*'TUSD BE'!$AK$78</f>
        <v>0</v>
      </c>
      <c r="AL46" s="30">
        <f ca="1">SUM($AH$46:$AK$46)</f>
        <v>-2.6824384585340533</v>
      </c>
      <c r="AM46" s="30">
        <f ca="1">SUMIF($L$4:$AL$4,"SUBTOTAL",$L$46:$AL$46)</f>
        <v>-12.255878748414899</v>
      </c>
      <c r="AO46" s="36">
        <f ca="1">+'TUSD BE'!$T$46+'TUSD BE'!$AB$46+'TUSD BE'!$AD$46+'TUSD BE'!$AL$46</f>
        <v>364.86126683277155</v>
      </c>
      <c r="AP46" s="36">
        <f ca="1">+'TUSD BE'!$T$46+'TUSD BE'!$AB$46+'TUSD BE'!$AD$46+'TUSD BE'!$AL$46</f>
        <v>364.86126683277155</v>
      </c>
    </row>
    <row r="47" spans="1:42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>
        <f>'TUSD BE'!$L$47*'TUSD BE'!$L$78</f>
        <v>0</v>
      </c>
      <c r="M47" s="30">
        <f>'TUSD BE'!$M$47*'TUSD BE'!$M$78</f>
        <v>-4.483637674930592E-2</v>
      </c>
      <c r="N47" s="30">
        <f ca="1">'TUSD BE'!$N$47*'TUSD BE'!$N$78</f>
        <v>-1.9101732532599747E-3</v>
      </c>
      <c r="O47" s="30">
        <f>'TUSD BE'!$O$47*'TUSD BE'!$O$78</f>
        <v>-7.7559117269576281E-4</v>
      </c>
      <c r="P47" s="30">
        <f>'TUSD BE'!$P$47*'TUSD BE'!$P$78</f>
        <v>0</v>
      </c>
      <c r="Q47" s="30">
        <f>'TUSD BE'!$Q$47*'TUSD BE'!$Q$78</f>
        <v>0</v>
      </c>
      <c r="R47" s="30">
        <f>'TUSD BE'!$R$47*'TUSD BE'!$R$78</f>
        <v>0</v>
      </c>
      <c r="S47" s="30">
        <f>'TUSD BE'!$R$47*'TUSD BE'!$S$78</f>
        <v>0</v>
      </c>
      <c r="T47" s="30">
        <f ca="1">SUM($L$47:$S$47)</f>
        <v>-4.7522141175261656E-2</v>
      </c>
      <c r="U47" s="30">
        <f>'TUSD BE'!$U$47*'TUSD BE'!$U$78</f>
        <v>4.3041359408210047</v>
      </c>
      <c r="V47" s="30">
        <f>'TUSD BE'!$V$47*'TUSD BE'!$V$78</f>
        <v>0</v>
      </c>
      <c r="W47" s="30">
        <f>'TUSD BE'!$W$47*'TUSD BE'!$W$78</f>
        <v>0</v>
      </c>
      <c r="X47" s="30">
        <f>'TUSD BE'!$X$47*'TUSD BE'!$X$78</f>
        <v>0</v>
      </c>
      <c r="Y47" s="30">
        <f>'TUSD BE'!$Y$47*'TUSD BE'!$Y$78</f>
        <v>0</v>
      </c>
      <c r="Z47" s="30">
        <f>'TUSD BE'!$Z$47*'TUSD BE'!$Z$78</f>
        <v>0</v>
      </c>
      <c r="AA47" s="30">
        <f>'TUSD BE'!$AA$47*'TUSD BE'!$AA$78</f>
        <v>0</v>
      </c>
      <c r="AB47" s="30">
        <f>SUM($U$47:$AA$47)</f>
        <v>4.3041359408210047</v>
      </c>
      <c r="AC47" s="30">
        <f>'TUSD BE'!$AC$47*'TUSD BE'!$AC$78</f>
        <v>16.585819651646531</v>
      </c>
      <c r="AD47" s="30">
        <f>SUM($AC$47:$AC$47)</f>
        <v>16.585819651646531</v>
      </c>
      <c r="AE47" s="30">
        <f ca="1">$AO$47*$AO$75</f>
        <v>-30.415873741173119</v>
      </c>
      <c r="AF47" s="30">
        <f ca="1">$AP$47*$AP$75</f>
        <v>0</v>
      </c>
      <c r="AG47" s="30">
        <f ca="1">SUM($AE$47:$AF$47)</f>
        <v>-30.415873741173119</v>
      </c>
      <c r="AH47" s="30">
        <f>'TUSD BE'!$AH$47*'TUSD BE'!$AH$78</f>
        <v>-2.011438230987828</v>
      </c>
      <c r="AI47" s="30">
        <f>'TUSD BE'!$AI$47*'TUSD BE'!$AI$78</f>
        <v>-7.1614528750973225E-2</v>
      </c>
      <c r="AJ47" s="30">
        <f ca="1">'TUSD BE'!$AJ$47*'TUSD BE'!$AJ$78</f>
        <v>-0.59938569879525205</v>
      </c>
      <c r="AK47" s="30">
        <f ca="1">'TUSD BE'!$AK$47*'TUSD BE'!$AK$78</f>
        <v>0</v>
      </c>
      <c r="AL47" s="30">
        <f ca="1">SUM($AH$47:$AK$47)</f>
        <v>-2.6824384585340533</v>
      </c>
      <c r="AM47" s="30">
        <f ca="1">SUMIF($L$4:$AL$4,"SUBTOTAL",$L$47:$AL$47)</f>
        <v>-12.255878748414899</v>
      </c>
      <c r="AO47" s="36">
        <f ca="1">+'TUSD BE'!$T$47+'TUSD BE'!$AB$47+'TUSD BE'!$AD$47+'TUSD BE'!$AL$47</f>
        <v>364.86126683277155</v>
      </c>
      <c r="AP47" s="36">
        <f ca="1">+'TUSD BE'!$T$47+'TUSD BE'!$AB$47+'TUSD BE'!$AD$47+'TUSD BE'!$AL$47</f>
        <v>364.86126683277155</v>
      </c>
    </row>
    <row r="48" spans="1:42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>
        <f>'TUSD BE'!$L$48*'TUSD BE'!$L$78</f>
        <v>0</v>
      </c>
      <c r="M48" s="30">
        <f>'TUSD BE'!$M$48*'TUSD BE'!$M$78</f>
        <v>-4.483637674930592E-2</v>
      </c>
      <c r="N48" s="30">
        <f ca="1">'TUSD BE'!$N$48*'TUSD BE'!$N$78</f>
        <v>-1.9101732532599747E-3</v>
      </c>
      <c r="O48" s="30">
        <f>'TUSD BE'!$O$48*'TUSD BE'!$O$78</f>
        <v>-7.7559117269576281E-4</v>
      </c>
      <c r="P48" s="30">
        <f>'TUSD BE'!$P$48*'TUSD BE'!$P$78</f>
        <v>0</v>
      </c>
      <c r="Q48" s="30">
        <f>'TUSD BE'!$Q$48*'TUSD BE'!$Q$78</f>
        <v>0</v>
      </c>
      <c r="R48" s="30">
        <f>'TUSD BE'!$R$48*'TUSD BE'!$R$78</f>
        <v>0</v>
      </c>
      <c r="S48" s="30">
        <f>'TUSD BE'!$R$48*'TUSD BE'!$S$78</f>
        <v>0</v>
      </c>
      <c r="T48" s="30">
        <f ca="1">SUM($L$48:$S$48)</f>
        <v>-4.7522141175261656E-2</v>
      </c>
      <c r="U48" s="30">
        <f>'TUSD BE'!$U$48*'TUSD BE'!$U$78</f>
        <v>4.3041359408210047</v>
      </c>
      <c r="V48" s="30">
        <f>'TUSD BE'!$V$48*'TUSD BE'!$V$78</f>
        <v>0</v>
      </c>
      <c r="W48" s="30">
        <f>'TUSD BE'!$W$48*'TUSD BE'!$W$78</f>
        <v>0</v>
      </c>
      <c r="X48" s="30">
        <f>'TUSD BE'!$X$48*'TUSD BE'!$X$78</f>
        <v>0</v>
      </c>
      <c r="Y48" s="30">
        <f>'TUSD BE'!$Y$48*'TUSD BE'!$Y$78</f>
        <v>0</v>
      </c>
      <c r="Z48" s="30">
        <f>'TUSD BE'!$Z$48*'TUSD BE'!$Z$78</f>
        <v>0</v>
      </c>
      <c r="AA48" s="30">
        <f>'TUSD BE'!$AA$48*'TUSD BE'!$AA$78</f>
        <v>0</v>
      </c>
      <c r="AB48" s="30">
        <f>SUM($U$48:$AA$48)</f>
        <v>4.3041359408210047</v>
      </c>
      <c r="AC48" s="30">
        <f>'TUSD BE'!$AC$48*'TUSD BE'!$AC$78</f>
        <v>16.585819651646531</v>
      </c>
      <c r="AD48" s="30">
        <f>SUM($AC$48:$AC$48)</f>
        <v>16.585819651646531</v>
      </c>
      <c r="AE48" s="30">
        <f ca="1">$AO$48*$AO$75</f>
        <v>-30.415873741173119</v>
      </c>
      <c r="AF48" s="30">
        <f ca="1">$AP$48*$AP$75</f>
        <v>0</v>
      </c>
      <c r="AG48" s="30">
        <f ca="1">SUM($AE$48:$AF$48)</f>
        <v>-30.415873741173119</v>
      </c>
      <c r="AH48" s="30">
        <f>'TUSD BE'!$AH$48*'TUSD BE'!$AH$78</f>
        <v>-2.011438230987828</v>
      </c>
      <c r="AI48" s="30">
        <f>'TUSD BE'!$AI$48*'TUSD BE'!$AI$78</f>
        <v>-7.1614528750973225E-2</v>
      </c>
      <c r="AJ48" s="30">
        <f ca="1">'TUSD BE'!$AJ$48*'TUSD BE'!$AJ$78</f>
        <v>-0.59938569879525205</v>
      </c>
      <c r="AK48" s="30">
        <f ca="1">'TUSD BE'!$AK$48*'TUSD BE'!$AK$78</f>
        <v>0</v>
      </c>
      <c r="AL48" s="30">
        <f ca="1">SUM($AH$48:$AK$48)</f>
        <v>-2.6824384585340533</v>
      </c>
      <c r="AM48" s="30">
        <f ca="1">SUMIF($L$4:$AL$4,"SUBTOTAL",$L$48:$AL$48)</f>
        <v>-12.255878748414899</v>
      </c>
      <c r="AO48" s="36">
        <f ca="1">+'TUSD BE'!$T$48+'TUSD BE'!$AB$48+'TUSD BE'!$AD$48+'TUSD BE'!$AL$48</f>
        <v>364.86126683277155</v>
      </c>
      <c r="AP48" s="36">
        <f ca="1">+'TUSD BE'!$T$48+'TUSD BE'!$AB$48+'TUSD BE'!$AD$48+'TUSD BE'!$AL$48</f>
        <v>364.86126683277155</v>
      </c>
    </row>
    <row r="49" spans="1:42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>
        <f>'TUSD BE'!$L$49*'TUSD BE'!$L$78</f>
        <v>0</v>
      </c>
      <c r="M49" s="30">
        <f>'TUSD BE'!$M$49*'TUSD BE'!$M$78</f>
        <v>-4.483637674930592E-2</v>
      </c>
      <c r="N49" s="30">
        <f ca="1">'TUSD BE'!$N$49*'TUSD BE'!$N$78</f>
        <v>-1.9101732532599747E-3</v>
      </c>
      <c r="O49" s="30">
        <f>'TUSD BE'!$O$49*'TUSD BE'!$O$78</f>
        <v>-7.7559117269576281E-4</v>
      </c>
      <c r="P49" s="30">
        <f>'TUSD BE'!$P$49*'TUSD BE'!$P$78</f>
        <v>0</v>
      </c>
      <c r="Q49" s="30">
        <f>'TUSD BE'!$Q$49*'TUSD BE'!$Q$78</f>
        <v>0</v>
      </c>
      <c r="R49" s="30">
        <f>'TUSD BE'!$R$49*'TUSD BE'!$R$78</f>
        <v>0</v>
      </c>
      <c r="S49" s="30">
        <f>'TUSD BE'!$R$49*'TUSD BE'!$S$78</f>
        <v>0</v>
      </c>
      <c r="T49" s="30">
        <f ca="1">SUM($L$49:$S$49)</f>
        <v>-4.7522141175261656E-2</v>
      </c>
      <c r="U49" s="30">
        <f>'TUSD BE'!$U$49*'TUSD BE'!$U$78</f>
        <v>4.3041359408210047</v>
      </c>
      <c r="V49" s="30">
        <f>'TUSD BE'!$V$49*'TUSD BE'!$V$78</f>
        <v>0</v>
      </c>
      <c r="W49" s="30">
        <f>'TUSD BE'!$W$49*'TUSD BE'!$W$78</f>
        <v>0</v>
      </c>
      <c r="X49" s="30">
        <f>'TUSD BE'!$X$49*'TUSD BE'!$X$78</f>
        <v>0</v>
      </c>
      <c r="Y49" s="30">
        <f>'TUSD BE'!$Y$49*'TUSD BE'!$Y$78</f>
        <v>0</v>
      </c>
      <c r="Z49" s="30">
        <f>'TUSD BE'!$Z$49*'TUSD BE'!$Z$78</f>
        <v>0</v>
      </c>
      <c r="AA49" s="30">
        <f>'TUSD BE'!$AA$49*'TUSD BE'!$AA$78</f>
        <v>0</v>
      </c>
      <c r="AB49" s="30">
        <f>SUM($U$49:$AA$49)</f>
        <v>4.3041359408210047</v>
      </c>
      <c r="AC49" s="30">
        <f>'TUSD BE'!$AC$49*'TUSD BE'!$AC$78</f>
        <v>16.585819651646531</v>
      </c>
      <c r="AD49" s="30">
        <f>SUM($AC$49:$AC$49)</f>
        <v>16.585819651646531</v>
      </c>
      <c r="AE49" s="30">
        <f ca="1">$AO$49*$AO$75</f>
        <v>-30.415873741173119</v>
      </c>
      <c r="AF49" s="30">
        <f ca="1">$AP$49*$AP$75</f>
        <v>0</v>
      </c>
      <c r="AG49" s="30">
        <f ca="1">SUM($AE$49:$AF$49)</f>
        <v>-30.415873741173119</v>
      </c>
      <c r="AH49" s="30">
        <f>'TUSD BE'!$AH$49*'TUSD BE'!$AH$78</f>
        <v>-2.011438230987828</v>
      </c>
      <c r="AI49" s="30">
        <f>'TUSD BE'!$AI$49*'TUSD BE'!$AI$78</f>
        <v>-7.1614528750973225E-2</v>
      </c>
      <c r="AJ49" s="30">
        <f ca="1">'TUSD BE'!$AJ$49*'TUSD BE'!$AJ$78</f>
        <v>-0.59938569879525205</v>
      </c>
      <c r="AK49" s="30">
        <f ca="1">'TUSD BE'!$AK$49*'TUSD BE'!$AK$78</f>
        <v>0</v>
      </c>
      <c r="AL49" s="30">
        <f ca="1">SUM($AH$49:$AK$49)</f>
        <v>-2.6824384585340533</v>
      </c>
      <c r="AM49" s="30">
        <f ca="1">SUMIF($L$4:$AL$4,"SUBTOTAL",$L$49:$AL$49)</f>
        <v>-12.255878748414899</v>
      </c>
      <c r="AO49" s="36">
        <f ca="1">+'TUSD BE'!$T$49+'TUSD BE'!$AB$49+'TUSD BE'!$AD$49+'TUSD BE'!$AL$49</f>
        <v>364.86126683277155</v>
      </c>
      <c r="AP49" s="36">
        <f ca="1">+'TUSD BE'!$T$49+'TUSD BE'!$AB$49+'TUSD BE'!$AD$49+'TUSD BE'!$AL$49</f>
        <v>364.86126683277155</v>
      </c>
    </row>
    <row r="50" spans="1:42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>
        <f>'TUSD BE'!$L$50*'TUSD BE'!$L$78</f>
        <v>-0.43066373096517935</v>
      </c>
      <c r="M50" s="30">
        <f>'TUSD BE'!$M$50*'TUSD BE'!$M$78</f>
        <v>-4.483637674930592E-2</v>
      </c>
      <c r="N50" s="30">
        <f ca="1">'TUSD BE'!$N$50*'TUSD BE'!$N$78</f>
        <v>-4.8393615147436821E-3</v>
      </c>
      <c r="O50" s="30">
        <f>'TUSD BE'!$O$50*'TUSD BE'!$O$78</f>
        <v>-7.7559117269576281E-4</v>
      </c>
      <c r="P50" s="30">
        <f>'TUSD BE'!$P$50*'TUSD BE'!$P$78</f>
        <v>0</v>
      </c>
      <c r="Q50" s="30">
        <f>'TUSD BE'!$Q$50*'TUSD BE'!$Q$78</f>
        <v>-0.857647561557352</v>
      </c>
      <c r="R50" s="30">
        <f>'TUSD BE'!$R$50*'TUSD BE'!$R$78</f>
        <v>-0.4438592698397088</v>
      </c>
      <c r="S50" s="30">
        <f>'TUSD BE'!$R$50*'TUSD BE'!$S$78</f>
        <v>0</v>
      </c>
      <c r="T50" s="30">
        <f ca="1">SUM($L$50:$S$50)</f>
        <v>-1.7826218917989856</v>
      </c>
      <c r="U50" s="30">
        <f>'TUSD BE'!$U$50*'TUSD BE'!$U$78</f>
        <v>12.912407822463013</v>
      </c>
      <c r="V50" s="30">
        <f>'TUSD BE'!$V$50*'TUSD BE'!$V$78</f>
        <v>0</v>
      </c>
      <c r="W50" s="30">
        <f>'TUSD BE'!$W$50*'TUSD BE'!$W$78</f>
        <v>0</v>
      </c>
      <c r="X50" s="30">
        <f>'TUSD BE'!$X$50*'TUSD BE'!$X$78</f>
        <v>0</v>
      </c>
      <c r="Y50" s="30">
        <f>'TUSD BE'!$Y$50*'TUSD BE'!$Y$78</f>
        <v>0</v>
      </c>
      <c r="Z50" s="30">
        <f>'TUSD BE'!$Z$50*'TUSD BE'!$Z$78</f>
        <v>0</v>
      </c>
      <c r="AA50" s="30">
        <f>'TUSD BE'!$AA$50*'TUSD BE'!$AA$78</f>
        <v>0</v>
      </c>
      <c r="AB50" s="30">
        <f>SUM($U$50:$AA$50)</f>
        <v>12.912407822463013</v>
      </c>
      <c r="AC50" s="30">
        <f>'TUSD BE'!$AC$50*'TUSD BE'!$AC$78</f>
        <v>49.757449659570703</v>
      </c>
      <c r="AD50" s="30">
        <f>SUM($AC$50:$AC$50)</f>
        <v>49.757449659570703</v>
      </c>
      <c r="AE50" s="30">
        <f ca="1">$AO$50*$AO$75</f>
        <v>-89.507637321414492</v>
      </c>
      <c r="AF50" s="30">
        <f ca="1">$AP$50*$AP$75</f>
        <v>0</v>
      </c>
      <c r="AG50" s="30">
        <f ca="1">SUM($AE$50:$AF$50)</f>
        <v>-89.507637321414492</v>
      </c>
      <c r="AH50" s="30">
        <f>'TUSD BE'!$AH$50*'TUSD BE'!$AH$78</f>
        <v>-2.011438230987828</v>
      </c>
      <c r="AI50" s="30">
        <f>'TUSD BE'!$AI$50*'TUSD BE'!$AI$78</f>
        <v>-7.1614528750973225E-2</v>
      </c>
      <c r="AJ50" s="30">
        <f ca="1">'TUSD BE'!$AJ$50*'TUSD BE'!$AJ$78</f>
        <v>-0.59938569879525205</v>
      </c>
      <c r="AK50" s="30">
        <f ca="1">'TUSD BE'!$AK$50*'TUSD BE'!$AK$78</f>
        <v>0</v>
      </c>
      <c r="AL50" s="30">
        <f ca="1">SUM($AH$50:$AK$50)</f>
        <v>-2.6824384585340533</v>
      </c>
      <c r="AM50" s="30">
        <f ca="1">SUMIF($L$4:$AL$4,"SUBTOTAL",$L$50:$AL$50)</f>
        <v>-31.302840189713816</v>
      </c>
      <c r="AO50" s="36">
        <f ca="1">+'TUSD BE'!$T$50+'TUSD BE'!$AB$50+'TUSD BE'!$AD$50+'TUSD BE'!$AL$50</f>
        <v>1073.7113857785223</v>
      </c>
      <c r="AP50" s="36">
        <f ca="1">+'TUSD BE'!$T$50+'TUSD BE'!$AB$50+'TUSD BE'!$AD$50+'TUSD BE'!$AL$50</f>
        <v>1073.7113857785223</v>
      </c>
    </row>
    <row r="51" spans="1:42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>
        <f>'TUSD BE'!$L$51*'TUSD BE'!$L$78</f>
        <v>-0.43066373096517935</v>
      </c>
      <c r="M51" s="30">
        <f>'TUSD BE'!$M$51*'TUSD BE'!$M$78</f>
        <v>-4.483637674930592E-2</v>
      </c>
      <c r="N51" s="30">
        <f ca="1">'TUSD BE'!$N$51*'TUSD BE'!$N$78</f>
        <v>-3.0861709108593151E-3</v>
      </c>
      <c r="O51" s="30">
        <f>'TUSD BE'!$O$51*'TUSD BE'!$O$78</f>
        <v>-7.7559117269576281E-4</v>
      </c>
      <c r="P51" s="30">
        <f>'TUSD BE'!$P$51*'TUSD BE'!$P$78</f>
        <v>0</v>
      </c>
      <c r="Q51" s="30">
        <f>'TUSD BE'!$Q$51*'TUSD BE'!$Q$78</f>
        <v>-0.857647561557352</v>
      </c>
      <c r="R51" s="30">
        <f>'TUSD BE'!$R$51*'TUSD BE'!$R$78</f>
        <v>-0.4438592698397088</v>
      </c>
      <c r="S51" s="30">
        <f>'TUSD BE'!$R$51*'TUSD BE'!$S$78</f>
        <v>0</v>
      </c>
      <c r="T51" s="30">
        <f ca="1">SUM($L$51:$S$51)</f>
        <v>-1.7808687011951012</v>
      </c>
      <c r="U51" s="30">
        <f>'TUSD BE'!$U$51*'TUSD BE'!$U$78</f>
        <v>7.7474545706162834</v>
      </c>
      <c r="V51" s="30">
        <f>'TUSD BE'!$V$51*'TUSD BE'!$V$78</f>
        <v>0</v>
      </c>
      <c r="W51" s="30">
        <f>'TUSD BE'!$W$51*'TUSD BE'!$W$78</f>
        <v>0</v>
      </c>
      <c r="X51" s="30">
        <f>'TUSD BE'!$X$51*'TUSD BE'!$X$78</f>
        <v>0</v>
      </c>
      <c r="Y51" s="30">
        <f>'TUSD BE'!$Y$51*'TUSD BE'!$Y$78</f>
        <v>0</v>
      </c>
      <c r="Z51" s="30">
        <f>'TUSD BE'!$Z$51*'TUSD BE'!$Z$78</f>
        <v>0</v>
      </c>
      <c r="AA51" s="30">
        <f>'TUSD BE'!$AA$51*'TUSD BE'!$AA$78</f>
        <v>0</v>
      </c>
      <c r="AB51" s="30">
        <f>SUM($U$51:$AA$51)</f>
        <v>7.7474545706162834</v>
      </c>
      <c r="AC51" s="30">
        <f>'TUSD BE'!$AC$51*'TUSD BE'!$AC$78</f>
        <v>29.854475372963751</v>
      </c>
      <c r="AD51" s="30">
        <f>SUM($AC$51:$AC$51)</f>
        <v>29.854475372963751</v>
      </c>
      <c r="AE51" s="30">
        <f ca="1">$AO$51*$AO$75</f>
        <v>-56.836173511765189</v>
      </c>
      <c r="AF51" s="30">
        <f ca="1">$AP$51*$AP$75</f>
        <v>0</v>
      </c>
      <c r="AG51" s="30">
        <f ca="1">SUM($AE$51:$AF$51)</f>
        <v>-56.836173511765189</v>
      </c>
      <c r="AH51" s="30">
        <f>'TUSD BE'!$AH$51*'TUSD BE'!$AH$78</f>
        <v>-2.011438230987828</v>
      </c>
      <c r="AI51" s="30">
        <f>'TUSD BE'!$AI$51*'TUSD BE'!$AI$78</f>
        <v>-7.1614528750973225E-2</v>
      </c>
      <c r="AJ51" s="30">
        <f ca="1">'TUSD BE'!$AJ$51*'TUSD BE'!$AJ$78</f>
        <v>-0.59938569879525205</v>
      </c>
      <c r="AK51" s="30">
        <f ca="1">'TUSD BE'!$AK$51*'TUSD BE'!$AK$78</f>
        <v>0</v>
      </c>
      <c r="AL51" s="30">
        <f ca="1">SUM($AH$51:$AK$51)</f>
        <v>-2.6824384585340533</v>
      </c>
      <c r="AM51" s="30">
        <f ca="1">SUMIF($L$4:$AL$4,"SUBTOTAL",$L$51:$AL$51)</f>
        <v>-23.697550727914308</v>
      </c>
      <c r="AO51" s="36">
        <f ca="1">+'TUSD BE'!$T$51+'TUSD BE'!$AB$51+'TUSD BE'!$AD$51+'TUSD BE'!$AL$51</f>
        <v>681.79262071825121</v>
      </c>
      <c r="AP51" s="36">
        <f ca="1">+'TUSD BE'!$T$51+'TUSD BE'!$AB$51+'TUSD BE'!$AD$51+'TUSD BE'!$AL$51</f>
        <v>681.79262071825121</v>
      </c>
    </row>
    <row r="52" spans="1:42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>
        <f>'TUSD BE'!$L$52*'TUSD BE'!$L$78</f>
        <v>-0.43066373096517935</v>
      </c>
      <c r="M52" s="30">
        <f>'TUSD BE'!$M$52*'TUSD BE'!$M$78</f>
        <v>-4.483637674930592E-2</v>
      </c>
      <c r="N52" s="30">
        <f ca="1">'TUSD BE'!$N$52*'TUSD BE'!$N$78</f>
        <v>-1.3329781461585827E-3</v>
      </c>
      <c r="O52" s="30">
        <f>'TUSD BE'!$O$52*'TUSD BE'!$O$78</f>
        <v>-7.7559117269576281E-4</v>
      </c>
      <c r="P52" s="30">
        <f>'TUSD BE'!$P$52*'TUSD BE'!$P$78</f>
        <v>0</v>
      </c>
      <c r="Q52" s="30">
        <f>'TUSD BE'!$Q$52*'TUSD BE'!$Q$78</f>
        <v>-0.857647561557352</v>
      </c>
      <c r="R52" s="30">
        <f>'TUSD BE'!$R$52*'TUSD BE'!$R$78</f>
        <v>-0.4438592698397088</v>
      </c>
      <c r="S52" s="30">
        <f>'TUSD BE'!$R$52*'TUSD BE'!$S$78</f>
        <v>0</v>
      </c>
      <c r="T52" s="30">
        <f ca="1">SUM($L$52:$S$52)</f>
        <v>-1.7791155084304004</v>
      </c>
      <c r="U52" s="30">
        <f>'TUSD BE'!$U$52*'TUSD BE'!$U$78</f>
        <v>2.5824766259233645</v>
      </c>
      <c r="V52" s="30">
        <f>'TUSD BE'!$V$52*'TUSD BE'!$V$78</f>
        <v>0</v>
      </c>
      <c r="W52" s="30">
        <f>'TUSD BE'!$W$52*'TUSD BE'!$W$78</f>
        <v>0</v>
      </c>
      <c r="X52" s="30">
        <f>'TUSD BE'!$X$52*'TUSD BE'!$X$78</f>
        <v>0</v>
      </c>
      <c r="Y52" s="30">
        <f>'TUSD BE'!$Y$52*'TUSD BE'!$Y$78</f>
        <v>0</v>
      </c>
      <c r="Z52" s="30">
        <f>'TUSD BE'!$Z$52*'TUSD BE'!$Z$78</f>
        <v>0</v>
      </c>
      <c r="AA52" s="30">
        <f>'TUSD BE'!$AA$52*'TUSD BE'!$AA$78</f>
        <v>0</v>
      </c>
      <c r="AB52" s="30">
        <f>SUM($U$52:$AA$52)</f>
        <v>2.5824766259233645</v>
      </c>
      <c r="AC52" s="30">
        <f>'TUSD BE'!$AC$52*'TUSD BE'!$AC$78</f>
        <v>9.9514917909879159</v>
      </c>
      <c r="AD52" s="30">
        <f>SUM($AC$52:$AC$52)</f>
        <v>9.9514917909879159</v>
      </c>
      <c r="AE52" s="30">
        <f ca="1">$AO$52*$AO$75</f>
        <v>-24.164672391804515</v>
      </c>
      <c r="AF52" s="30">
        <f ca="1">$AP$52*$AP$75</f>
        <v>0</v>
      </c>
      <c r="AG52" s="30">
        <f ca="1">SUM($AE$52:$AF$52)</f>
        <v>-24.164672391804515</v>
      </c>
      <c r="AH52" s="30">
        <f>'TUSD BE'!$AH$52*'TUSD BE'!$AH$78</f>
        <v>-2.011438230987828</v>
      </c>
      <c r="AI52" s="30">
        <f>'TUSD BE'!$AI$52*'TUSD BE'!$AI$78</f>
        <v>-7.1614528750973225E-2</v>
      </c>
      <c r="AJ52" s="30">
        <f ca="1">'TUSD BE'!$AJ$52*'TUSD BE'!$AJ$78</f>
        <v>-0.59938569879525205</v>
      </c>
      <c r="AK52" s="30">
        <f ca="1">'TUSD BE'!$AK$52*'TUSD BE'!$AK$78</f>
        <v>0</v>
      </c>
      <c r="AL52" s="30">
        <f ca="1">SUM($AH$52:$AK$52)</f>
        <v>-2.6824384585340533</v>
      </c>
      <c r="AM52" s="30">
        <f ca="1">SUMIF($L$4:$AL$4,"SUBTOTAL",$L$52:$AL$52)</f>
        <v>-16.092257941857689</v>
      </c>
      <c r="AO52" s="36">
        <f ca="1">+'TUSD BE'!$T$52+'TUSD BE'!$AB$52+'TUSD BE'!$AD$52+'TUSD BE'!$AL$52</f>
        <v>289.87340809275202</v>
      </c>
      <c r="AP52" s="36">
        <f ca="1">+'TUSD BE'!$T$52+'TUSD BE'!$AB$52+'TUSD BE'!$AD$52+'TUSD BE'!$AL$52</f>
        <v>289.87340809275202</v>
      </c>
    </row>
    <row r="53" spans="1:42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>
        <f>'TUSD BE'!$L$53*'TUSD BE'!$L$78</f>
        <v>-0.43066373096517935</v>
      </c>
      <c r="M53" s="30">
        <f>'TUSD BE'!$M$53*'TUSD BE'!$M$78</f>
        <v>-4.483637674930592E-2</v>
      </c>
      <c r="N53" s="30">
        <f ca="1">'TUSD BE'!$N$53*'TUSD BE'!$N$78</f>
        <v>-1.9173759744828679E-3</v>
      </c>
      <c r="O53" s="30">
        <f>'TUSD BE'!$O$53*'TUSD BE'!$O$78</f>
        <v>-7.7559117269576281E-4</v>
      </c>
      <c r="P53" s="30">
        <f>'TUSD BE'!$P$53*'TUSD BE'!$P$78</f>
        <v>0</v>
      </c>
      <c r="Q53" s="30">
        <f>'TUSD BE'!$Q$53*'TUSD BE'!$Q$78</f>
        <v>-0.857647561557352</v>
      </c>
      <c r="R53" s="30">
        <f>'TUSD BE'!$R$53*'TUSD BE'!$R$78</f>
        <v>-0.4438592698397088</v>
      </c>
      <c r="S53" s="30">
        <f>'TUSD BE'!$R$53*'TUSD BE'!$S$78</f>
        <v>0</v>
      </c>
      <c r="T53" s="30">
        <f ca="1">SUM($L$53:$S$53)</f>
        <v>-1.7796999062587247</v>
      </c>
      <c r="U53" s="30">
        <f>'TUSD BE'!$U$53*'TUSD BE'!$U$78</f>
        <v>4.3041359408210047</v>
      </c>
      <c r="V53" s="30">
        <f>'TUSD BE'!$V$53*'TUSD BE'!$V$78</f>
        <v>0</v>
      </c>
      <c r="W53" s="30">
        <f>'TUSD BE'!$W$53*'TUSD BE'!$W$78</f>
        <v>0</v>
      </c>
      <c r="X53" s="30">
        <f>'TUSD BE'!$X$53*'TUSD BE'!$X$78</f>
        <v>0</v>
      </c>
      <c r="Y53" s="30">
        <f>'TUSD BE'!$Y$53*'TUSD BE'!$Y$78</f>
        <v>0</v>
      </c>
      <c r="Z53" s="30">
        <f>'TUSD BE'!$Z$53*'TUSD BE'!$Z$78</f>
        <v>0</v>
      </c>
      <c r="AA53" s="30">
        <f>'TUSD BE'!$AA$53*'TUSD BE'!$AA$78</f>
        <v>0</v>
      </c>
      <c r="AB53" s="30">
        <f>SUM($U$53:$AA$53)</f>
        <v>4.3041359408210047</v>
      </c>
      <c r="AC53" s="30">
        <f>'TUSD BE'!$AC$53*'TUSD BE'!$AC$78</f>
        <v>16.585819651646531</v>
      </c>
      <c r="AD53" s="30">
        <f>SUM($AC$53:$AC$53)</f>
        <v>16.585819651646531</v>
      </c>
      <c r="AE53" s="30">
        <f ca="1">$AO$53*$AO$75</f>
        <v>-35.055175889831986</v>
      </c>
      <c r="AF53" s="30">
        <f ca="1">$AP$53*$AP$75</f>
        <v>0</v>
      </c>
      <c r="AG53" s="30">
        <f ca="1">SUM($AE$53:$AF$53)</f>
        <v>-35.055175889831986</v>
      </c>
      <c r="AH53" s="30">
        <f>'TUSD BE'!$AH$53*'TUSD BE'!$AH$78</f>
        <v>-2.011438230987828</v>
      </c>
      <c r="AI53" s="30">
        <f>'TUSD BE'!$AI$53*'TUSD BE'!$AI$78</f>
        <v>-7.1614528750973225E-2</v>
      </c>
      <c r="AJ53" s="30">
        <f ca="1">'TUSD BE'!$AJ$53*'TUSD BE'!$AJ$78</f>
        <v>-0.59938569879525205</v>
      </c>
      <c r="AK53" s="30">
        <f ca="1">'TUSD BE'!$AK$53*'TUSD BE'!$AK$78</f>
        <v>0</v>
      </c>
      <c r="AL53" s="30">
        <f ca="1">SUM($AH$53:$AK$53)</f>
        <v>-2.6824384585340533</v>
      </c>
      <c r="AM53" s="30">
        <f ca="1">SUMIF($L$4:$AL$4,"SUBTOTAL",$L$53:$AL$53)</f>
        <v>-18.627358662157231</v>
      </c>
      <c r="AO53" s="36">
        <f ca="1">+'TUSD BE'!$T$53+'TUSD BE'!$AB$53+'TUSD BE'!$AD$53+'TUSD BE'!$AL$53</f>
        <v>420.5131831177971</v>
      </c>
      <c r="AP53" s="36">
        <f ca="1">+'TUSD BE'!$T$53+'TUSD BE'!$AB$53+'TUSD BE'!$AD$53+'TUSD BE'!$AL$53</f>
        <v>420.5131831177971</v>
      </c>
    </row>
    <row r="54" spans="1:42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>
        <f>'TUSD BE'!$L$54*'TUSD BE'!$L$78</f>
        <v>-0.43066373096517935</v>
      </c>
      <c r="M54" s="30">
        <f>'TUSD BE'!$M$54*'TUSD BE'!$M$78</f>
        <v>-4.483637674930592E-2</v>
      </c>
      <c r="N54" s="30">
        <f ca="1">'TUSD BE'!$N$54*'TUSD BE'!$N$78</f>
        <v>-4.8393615147436821E-3</v>
      </c>
      <c r="O54" s="30">
        <f>'TUSD BE'!$O$54*'TUSD BE'!$O$78</f>
        <v>-7.7559117269576281E-4</v>
      </c>
      <c r="P54" s="30">
        <f>'TUSD BE'!$P$54*'TUSD BE'!$P$78</f>
        <v>0</v>
      </c>
      <c r="Q54" s="30">
        <f>'TUSD BE'!$Q$54*'TUSD BE'!$Q$78</f>
        <v>-0.857647561557352</v>
      </c>
      <c r="R54" s="30">
        <f>'TUSD BE'!$R$54*'TUSD BE'!$R$78</f>
        <v>-0.4438592698397088</v>
      </c>
      <c r="S54" s="30">
        <f>'TUSD BE'!$R$54*'TUSD BE'!$S$78</f>
        <v>0</v>
      </c>
      <c r="T54" s="30">
        <f ca="1">SUM($L$54:$S$54)</f>
        <v>-1.7826218917989856</v>
      </c>
      <c r="U54" s="30">
        <f>'TUSD BE'!$U$54*'TUSD BE'!$U$78</f>
        <v>12.912407822463013</v>
      </c>
      <c r="V54" s="30">
        <f>'TUSD BE'!$V$54*'TUSD BE'!$V$78</f>
        <v>0</v>
      </c>
      <c r="W54" s="30">
        <f>'TUSD BE'!$W$54*'TUSD BE'!$W$78</f>
        <v>0</v>
      </c>
      <c r="X54" s="30">
        <f>'TUSD BE'!$X$54*'TUSD BE'!$X$78</f>
        <v>0</v>
      </c>
      <c r="Y54" s="30">
        <f>'TUSD BE'!$Y$54*'TUSD BE'!$Y$78</f>
        <v>0</v>
      </c>
      <c r="Z54" s="30">
        <f>'TUSD BE'!$Z$54*'TUSD BE'!$Z$78</f>
        <v>0</v>
      </c>
      <c r="AA54" s="30">
        <f>'TUSD BE'!$AA$54*'TUSD BE'!$AA$78</f>
        <v>0</v>
      </c>
      <c r="AB54" s="30">
        <f>SUM($U$54:$AA$54)</f>
        <v>12.912407822463013</v>
      </c>
      <c r="AC54" s="30">
        <f>'TUSD BE'!$AC$54*'TUSD BE'!$AC$78</f>
        <v>49.757449659570703</v>
      </c>
      <c r="AD54" s="30">
        <f>SUM($AC$54:$AC$54)</f>
        <v>49.757449659570703</v>
      </c>
      <c r="AE54" s="30">
        <f ca="1">$AO$54*$AO$75</f>
        <v>-89.507637321414492</v>
      </c>
      <c r="AF54" s="30">
        <f ca="1">$AP$54*$AP$75</f>
        <v>0</v>
      </c>
      <c r="AG54" s="30">
        <f ca="1">SUM($AE$54:$AF$54)</f>
        <v>-89.507637321414492</v>
      </c>
      <c r="AH54" s="30">
        <f>'TUSD BE'!$AH$54*'TUSD BE'!$AH$78</f>
        <v>-2.011438230987828</v>
      </c>
      <c r="AI54" s="30">
        <f>'TUSD BE'!$AI$54*'TUSD BE'!$AI$78</f>
        <v>-7.1614528750973225E-2</v>
      </c>
      <c r="AJ54" s="30">
        <f ca="1">'TUSD BE'!$AJ$54*'TUSD BE'!$AJ$78</f>
        <v>-0.59938569879525205</v>
      </c>
      <c r="AK54" s="30">
        <f ca="1">'TUSD BE'!$AK$54*'TUSD BE'!$AK$78</f>
        <v>0</v>
      </c>
      <c r="AL54" s="30">
        <f ca="1">SUM($AH$54:$AK$54)</f>
        <v>-2.6824384585340533</v>
      </c>
      <c r="AM54" s="30">
        <f ca="1">SUMIF($L$4:$AL$4,"SUBTOTAL",$L$54:$AL$54)</f>
        <v>-31.302840189713816</v>
      </c>
      <c r="AO54" s="36">
        <f ca="1">+'TUSD BE'!$T$54+'TUSD BE'!$AB$54+'TUSD BE'!$AD$54+'TUSD BE'!$AL$54</f>
        <v>1073.7113857785223</v>
      </c>
      <c r="AP54" s="36">
        <f ca="1">+'TUSD BE'!$T$54+'TUSD BE'!$AB$54+'TUSD BE'!$AD$54+'TUSD BE'!$AL$54</f>
        <v>1073.7113857785223</v>
      </c>
    </row>
    <row r="55" spans="1:42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>
        <f>'TUSD BE'!$L$55*'TUSD BE'!$L$78</f>
        <v>-0.43066373096517935</v>
      </c>
      <c r="M55" s="30">
        <f>'TUSD BE'!$M$55*'TUSD BE'!$M$78</f>
        <v>-4.483637674930592E-2</v>
      </c>
      <c r="N55" s="30">
        <f ca="1">'TUSD BE'!$N$55*'TUSD BE'!$N$78</f>
        <v>-3.0861709108593151E-3</v>
      </c>
      <c r="O55" s="30">
        <f>'TUSD BE'!$O$55*'TUSD BE'!$O$78</f>
        <v>-7.7559117269576281E-4</v>
      </c>
      <c r="P55" s="30">
        <f>'TUSD BE'!$P$55*'TUSD BE'!$P$78</f>
        <v>0</v>
      </c>
      <c r="Q55" s="30">
        <f>'TUSD BE'!$Q$55*'TUSD BE'!$Q$78</f>
        <v>-0.857647561557352</v>
      </c>
      <c r="R55" s="30">
        <f>'TUSD BE'!$R$55*'TUSD BE'!$R$78</f>
        <v>-0.4438592698397088</v>
      </c>
      <c r="S55" s="30">
        <f>'TUSD BE'!$R$55*'TUSD BE'!$S$78</f>
        <v>0</v>
      </c>
      <c r="T55" s="30">
        <f ca="1">SUM($L$55:$S$55)</f>
        <v>-1.7808687011951012</v>
      </c>
      <c r="U55" s="30">
        <f>'TUSD BE'!$U$55*'TUSD BE'!$U$78</f>
        <v>7.7474545706162834</v>
      </c>
      <c r="V55" s="30">
        <f>'TUSD BE'!$V$55*'TUSD BE'!$V$78</f>
        <v>0</v>
      </c>
      <c r="W55" s="30">
        <f>'TUSD BE'!$W$55*'TUSD BE'!$W$78</f>
        <v>0</v>
      </c>
      <c r="X55" s="30">
        <f>'TUSD BE'!$X$55*'TUSD BE'!$X$78</f>
        <v>0</v>
      </c>
      <c r="Y55" s="30">
        <f>'TUSD BE'!$Y$55*'TUSD BE'!$Y$78</f>
        <v>0</v>
      </c>
      <c r="Z55" s="30">
        <f>'TUSD BE'!$Z$55*'TUSD BE'!$Z$78</f>
        <v>0</v>
      </c>
      <c r="AA55" s="30">
        <f>'TUSD BE'!$AA$55*'TUSD BE'!$AA$78</f>
        <v>0</v>
      </c>
      <c r="AB55" s="30">
        <f>SUM($U$55:$AA$55)</f>
        <v>7.7474545706162834</v>
      </c>
      <c r="AC55" s="30">
        <f>'TUSD BE'!$AC$55*'TUSD BE'!$AC$78</f>
        <v>29.854475372963751</v>
      </c>
      <c r="AD55" s="30">
        <f>SUM($AC$55:$AC$55)</f>
        <v>29.854475372963751</v>
      </c>
      <c r="AE55" s="30">
        <f ca="1">$AO$55*$AO$75</f>
        <v>-56.836173511765189</v>
      </c>
      <c r="AF55" s="30">
        <f ca="1">$AP$55*$AP$75</f>
        <v>0</v>
      </c>
      <c r="AG55" s="30">
        <f ca="1">SUM($AE$55:$AF$55)</f>
        <v>-56.836173511765189</v>
      </c>
      <c r="AH55" s="30">
        <f>'TUSD BE'!$AH$55*'TUSD BE'!$AH$78</f>
        <v>-2.011438230987828</v>
      </c>
      <c r="AI55" s="30">
        <f>'TUSD BE'!$AI$55*'TUSD BE'!$AI$78</f>
        <v>-7.1614528750973225E-2</v>
      </c>
      <c r="AJ55" s="30">
        <f ca="1">'TUSD BE'!$AJ$55*'TUSD BE'!$AJ$78</f>
        <v>-0.59938569879525205</v>
      </c>
      <c r="AK55" s="30">
        <f ca="1">'TUSD BE'!$AK$55*'TUSD BE'!$AK$78</f>
        <v>0</v>
      </c>
      <c r="AL55" s="30">
        <f ca="1">SUM($AH$55:$AK$55)</f>
        <v>-2.6824384585340533</v>
      </c>
      <c r="AM55" s="30">
        <f ca="1">SUMIF($L$4:$AL$4,"SUBTOTAL",$L$55:$AL$55)</f>
        <v>-23.697550727914308</v>
      </c>
      <c r="AO55" s="36">
        <f ca="1">+'TUSD BE'!$T$55+'TUSD BE'!$AB$55+'TUSD BE'!$AD$55+'TUSD BE'!$AL$55</f>
        <v>681.79262071825121</v>
      </c>
      <c r="AP55" s="36">
        <f ca="1">+'TUSD BE'!$T$55+'TUSD BE'!$AB$55+'TUSD BE'!$AD$55+'TUSD BE'!$AL$55</f>
        <v>681.79262071825121</v>
      </c>
    </row>
    <row r="56" spans="1:42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>
        <f>'TUSD BE'!$L$56*'TUSD BE'!$L$78</f>
        <v>-0.43066373096517935</v>
      </c>
      <c r="M56" s="30">
        <f>'TUSD BE'!$M$56*'TUSD BE'!$M$78</f>
        <v>-4.483637674930592E-2</v>
      </c>
      <c r="N56" s="30">
        <f ca="1">'TUSD BE'!$N$56*'TUSD BE'!$N$78</f>
        <v>-1.3329781461585827E-3</v>
      </c>
      <c r="O56" s="30">
        <f>'TUSD BE'!$O$56*'TUSD BE'!$O$78</f>
        <v>-7.7559117269576281E-4</v>
      </c>
      <c r="P56" s="30">
        <f>'TUSD BE'!$P$56*'TUSD BE'!$P$78</f>
        <v>0</v>
      </c>
      <c r="Q56" s="30">
        <f>'TUSD BE'!$Q$56*'TUSD BE'!$Q$78</f>
        <v>-0.857647561557352</v>
      </c>
      <c r="R56" s="30">
        <f>'TUSD BE'!$R$56*'TUSD BE'!$R$78</f>
        <v>-0.4438592698397088</v>
      </c>
      <c r="S56" s="30">
        <f>'TUSD BE'!$R$56*'TUSD BE'!$S$78</f>
        <v>0</v>
      </c>
      <c r="T56" s="30">
        <f ca="1">SUM($L$56:$S$56)</f>
        <v>-1.7791155084304004</v>
      </c>
      <c r="U56" s="30">
        <f>'TUSD BE'!$U$56*'TUSD BE'!$U$78</f>
        <v>2.5824766259233645</v>
      </c>
      <c r="V56" s="30">
        <f>'TUSD BE'!$V$56*'TUSD BE'!$V$78</f>
        <v>0</v>
      </c>
      <c r="W56" s="30">
        <f>'TUSD BE'!$W$56*'TUSD BE'!$W$78</f>
        <v>0</v>
      </c>
      <c r="X56" s="30">
        <f>'TUSD BE'!$X$56*'TUSD BE'!$X$78</f>
        <v>0</v>
      </c>
      <c r="Y56" s="30">
        <f>'TUSD BE'!$Y$56*'TUSD BE'!$Y$78</f>
        <v>0</v>
      </c>
      <c r="Z56" s="30">
        <f>'TUSD BE'!$Z$56*'TUSD BE'!$Z$78</f>
        <v>0</v>
      </c>
      <c r="AA56" s="30">
        <f>'TUSD BE'!$AA$56*'TUSD BE'!$AA$78</f>
        <v>0</v>
      </c>
      <c r="AB56" s="30">
        <f>SUM($U$56:$AA$56)</f>
        <v>2.5824766259233645</v>
      </c>
      <c r="AC56" s="30">
        <f>'TUSD BE'!$AC$56*'TUSD BE'!$AC$78</f>
        <v>9.9514917909879159</v>
      </c>
      <c r="AD56" s="30">
        <f>SUM($AC$56:$AC$56)</f>
        <v>9.9514917909879159</v>
      </c>
      <c r="AE56" s="30">
        <f ca="1">$AO$56*$AO$75</f>
        <v>-24.164672391804515</v>
      </c>
      <c r="AF56" s="30">
        <f ca="1">$AP$56*$AP$75</f>
        <v>0</v>
      </c>
      <c r="AG56" s="30">
        <f ca="1">SUM($AE$56:$AF$56)</f>
        <v>-24.164672391804515</v>
      </c>
      <c r="AH56" s="30">
        <f>'TUSD BE'!$AH$56*'TUSD BE'!$AH$78</f>
        <v>-2.011438230987828</v>
      </c>
      <c r="AI56" s="30">
        <f>'TUSD BE'!$AI$56*'TUSD BE'!$AI$78</f>
        <v>-7.1614528750973225E-2</v>
      </c>
      <c r="AJ56" s="30">
        <f ca="1">'TUSD BE'!$AJ$56*'TUSD BE'!$AJ$78</f>
        <v>-0.59938569879525205</v>
      </c>
      <c r="AK56" s="30">
        <f ca="1">'TUSD BE'!$AK$56*'TUSD BE'!$AK$78</f>
        <v>0</v>
      </c>
      <c r="AL56" s="30">
        <f ca="1">SUM($AH$56:$AK$56)</f>
        <v>-2.6824384585340533</v>
      </c>
      <c r="AM56" s="30">
        <f ca="1">SUMIF($L$4:$AL$4,"SUBTOTAL",$L$56:$AL$56)</f>
        <v>-16.092257941857689</v>
      </c>
      <c r="AO56" s="36">
        <f ca="1">+'TUSD BE'!$T$56+'TUSD BE'!$AB$56+'TUSD BE'!$AD$56+'TUSD BE'!$AL$56</f>
        <v>289.87340809275202</v>
      </c>
      <c r="AP56" s="36">
        <f ca="1">+'TUSD BE'!$T$56+'TUSD BE'!$AB$56+'TUSD BE'!$AD$56+'TUSD BE'!$AL$56</f>
        <v>289.87340809275202</v>
      </c>
    </row>
    <row r="57" spans="1:42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>
        <f>'TUSD BE'!$L$57*'TUSD BE'!$L$78</f>
        <v>-0.43066373096517935</v>
      </c>
      <c r="M57" s="30">
        <f>'TUSD BE'!$M$57*'TUSD BE'!$M$78</f>
        <v>-4.483637674930592E-2</v>
      </c>
      <c r="N57" s="30">
        <f ca="1">'TUSD BE'!$N$57*'TUSD BE'!$N$78</f>
        <v>-1.9173759744828679E-3</v>
      </c>
      <c r="O57" s="30">
        <f>'TUSD BE'!$O$57*'TUSD BE'!$O$78</f>
        <v>-7.7559117269576281E-4</v>
      </c>
      <c r="P57" s="30">
        <f>'TUSD BE'!$P$57*'TUSD BE'!$P$78</f>
        <v>0</v>
      </c>
      <c r="Q57" s="30">
        <f>'TUSD BE'!$Q$57*'TUSD BE'!$Q$78</f>
        <v>-0.857647561557352</v>
      </c>
      <c r="R57" s="30">
        <f>'TUSD BE'!$R$57*'TUSD BE'!$R$78</f>
        <v>-0.4438592698397088</v>
      </c>
      <c r="S57" s="30">
        <f>'TUSD BE'!$R$57*'TUSD BE'!$S$78</f>
        <v>0</v>
      </c>
      <c r="T57" s="30">
        <f ca="1">SUM($L$57:$S$57)</f>
        <v>-1.7796999062587247</v>
      </c>
      <c r="U57" s="30">
        <f>'TUSD BE'!$U$57*'TUSD BE'!$U$78</f>
        <v>4.3041359408210047</v>
      </c>
      <c r="V57" s="30">
        <f>'TUSD BE'!$V$57*'TUSD BE'!$V$78</f>
        <v>0</v>
      </c>
      <c r="W57" s="30">
        <f>'TUSD BE'!$W$57*'TUSD BE'!$W$78</f>
        <v>0</v>
      </c>
      <c r="X57" s="30">
        <f>'TUSD BE'!$X$57*'TUSD BE'!$X$78</f>
        <v>0</v>
      </c>
      <c r="Y57" s="30">
        <f>'TUSD BE'!$Y$57*'TUSD BE'!$Y$78</f>
        <v>0</v>
      </c>
      <c r="Z57" s="30">
        <f>'TUSD BE'!$Z$57*'TUSD BE'!$Z$78</f>
        <v>0</v>
      </c>
      <c r="AA57" s="30">
        <f>'TUSD BE'!$AA$57*'TUSD BE'!$AA$78</f>
        <v>0</v>
      </c>
      <c r="AB57" s="30">
        <f>SUM($U$57:$AA$57)</f>
        <v>4.3041359408210047</v>
      </c>
      <c r="AC57" s="30">
        <f>'TUSD BE'!$AC$57*'TUSD BE'!$AC$78</f>
        <v>16.585819651646531</v>
      </c>
      <c r="AD57" s="30">
        <f>SUM($AC$57:$AC$57)</f>
        <v>16.585819651646531</v>
      </c>
      <c r="AE57" s="30">
        <f ca="1">$AO$57*$AO$75</f>
        <v>-35.055175889831986</v>
      </c>
      <c r="AF57" s="30">
        <f ca="1">$AP$57*$AP$75</f>
        <v>0</v>
      </c>
      <c r="AG57" s="30">
        <f ca="1">SUM($AE$57:$AF$57)</f>
        <v>-35.055175889831986</v>
      </c>
      <c r="AH57" s="30">
        <f>'TUSD BE'!$AH$57*'TUSD BE'!$AH$78</f>
        <v>-2.011438230987828</v>
      </c>
      <c r="AI57" s="30">
        <f>'TUSD BE'!$AI$57*'TUSD BE'!$AI$78</f>
        <v>-7.1614528750973225E-2</v>
      </c>
      <c r="AJ57" s="30">
        <f ca="1">'TUSD BE'!$AJ$57*'TUSD BE'!$AJ$78</f>
        <v>-0.59938569879525205</v>
      </c>
      <c r="AK57" s="30">
        <f ca="1">'TUSD BE'!$AK$57*'TUSD BE'!$AK$78</f>
        <v>0</v>
      </c>
      <c r="AL57" s="30">
        <f ca="1">SUM($AH$57:$AK$57)</f>
        <v>-2.6824384585340533</v>
      </c>
      <c r="AM57" s="30">
        <f ca="1">SUMIF($L$4:$AL$4,"SUBTOTAL",$L$57:$AL$57)</f>
        <v>-18.627358662157231</v>
      </c>
      <c r="AO57" s="36">
        <f ca="1">+'TUSD BE'!$T$57+'TUSD BE'!$AB$57+'TUSD BE'!$AD$57+'TUSD BE'!$AL$57</f>
        <v>420.5131831177971</v>
      </c>
      <c r="AP57" s="36">
        <f ca="1">+'TUSD BE'!$T$57+'TUSD BE'!$AB$57+'TUSD BE'!$AD$57+'TUSD BE'!$AL$57</f>
        <v>420.5131831177971</v>
      </c>
    </row>
    <row r="58" spans="1:42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>
        <f>'TUSD BE'!$L$58*'TUSD BE'!$L$78</f>
        <v>-0.43066373096517935</v>
      </c>
      <c r="M58" s="30">
        <f>'TUSD BE'!$M$58*'TUSD BE'!$M$78</f>
        <v>-4.483637674930592E-2</v>
      </c>
      <c r="N58" s="30">
        <f ca="1">'TUSD BE'!$N$58*'TUSD BE'!$N$78</f>
        <v>-4.8393615147436821E-3</v>
      </c>
      <c r="O58" s="30">
        <f>'TUSD BE'!$O$58*'TUSD BE'!$O$78</f>
        <v>-7.7559117269576281E-4</v>
      </c>
      <c r="P58" s="30">
        <f>'TUSD BE'!$P$58*'TUSD BE'!$P$78</f>
        <v>0</v>
      </c>
      <c r="Q58" s="30">
        <f>'TUSD BE'!$Q$58*'TUSD BE'!$Q$78</f>
        <v>-0.857647561557352</v>
      </c>
      <c r="R58" s="30">
        <f>'TUSD BE'!$R$58*'TUSD BE'!$R$78</f>
        <v>-0.4438592698397088</v>
      </c>
      <c r="S58" s="30">
        <f>'TUSD BE'!$R$58*'TUSD BE'!$S$78</f>
        <v>0</v>
      </c>
      <c r="T58" s="30">
        <f ca="1">SUM($L$58:$S$58)</f>
        <v>-1.7826218917989856</v>
      </c>
      <c r="U58" s="30">
        <f>'TUSD BE'!$U$58*'TUSD BE'!$U$78</f>
        <v>12.912407822463013</v>
      </c>
      <c r="V58" s="30">
        <f>'TUSD BE'!$V$58*'TUSD BE'!$V$78</f>
        <v>0</v>
      </c>
      <c r="W58" s="30">
        <f>'TUSD BE'!$W$58*'TUSD BE'!$W$78</f>
        <v>0</v>
      </c>
      <c r="X58" s="30">
        <f>'TUSD BE'!$X$58*'TUSD BE'!$X$78</f>
        <v>0</v>
      </c>
      <c r="Y58" s="30">
        <f>'TUSD BE'!$Y$58*'TUSD BE'!$Y$78</f>
        <v>0</v>
      </c>
      <c r="Z58" s="30">
        <f>'TUSD BE'!$Z$58*'TUSD BE'!$Z$78</f>
        <v>0</v>
      </c>
      <c r="AA58" s="30">
        <f>'TUSD BE'!$AA$58*'TUSD BE'!$AA$78</f>
        <v>0</v>
      </c>
      <c r="AB58" s="30">
        <f>SUM($U$58:$AA$58)</f>
        <v>12.912407822463013</v>
      </c>
      <c r="AC58" s="30">
        <f>'TUSD BE'!$AC$58*'TUSD BE'!$AC$78</f>
        <v>49.757449659570703</v>
      </c>
      <c r="AD58" s="30">
        <f>SUM($AC$58:$AC$58)</f>
        <v>49.757449659570703</v>
      </c>
      <c r="AE58" s="30">
        <f ca="1">$AO$58*$AO$75</f>
        <v>-89.507637321414492</v>
      </c>
      <c r="AF58" s="30">
        <f ca="1">$AP$58*$AP$75</f>
        <v>0</v>
      </c>
      <c r="AG58" s="30">
        <f ca="1">SUM($AE$58:$AF$58)</f>
        <v>-89.507637321414492</v>
      </c>
      <c r="AH58" s="30">
        <f>'TUSD BE'!$AH$58*'TUSD BE'!$AH$78</f>
        <v>-2.011438230987828</v>
      </c>
      <c r="AI58" s="30">
        <f>'TUSD BE'!$AI$58*'TUSD BE'!$AI$78</f>
        <v>-7.1614528750973225E-2</v>
      </c>
      <c r="AJ58" s="30">
        <f ca="1">'TUSD BE'!$AJ$58*'TUSD BE'!$AJ$78</f>
        <v>-0.59938569879525205</v>
      </c>
      <c r="AK58" s="30">
        <f ca="1">'TUSD BE'!$AK$58*'TUSD BE'!$AK$78</f>
        <v>0</v>
      </c>
      <c r="AL58" s="30">
        <f ca="1">SUM($AH$58:$AK$58)</f>
        <v>-2.6824384585340533</v>
      </c>
      <c r="AM58" s="30">
        <f ca="1">SUMIF($L$4:$AL$4,"SUBTOTAL",$L$58:$AL$58)</f>
        <v>-31.302840189713816</v>
      </c>
      <c r="AO58" s="36">
        <f ca="1">+'TUSD BE'!$T$58+'TUSD BE'!$AB$58+'TUSD BE'!$AD$58+'TUSD BE'!$AL$58</f>
        <v>1073.7113857785223</v>
      </c>
      <c r="AP58" s="36">
        <f ca="1">+'TUSD BE'!$T$58+'TUSD BE'!$AB$58+'TUSD BE'!$AD$58+'TUSD BE'!$AL$58</f>
        <v>1073.7113857785223</v>
      </c>
    </row>
    <row r="59" spans="1:42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>
        <f>'TUSD BE'!$L$59*'TUSD BE'!$L$78</f>
        <v>-0.43066373096517935</v>
      </c>
      <c r="M59" s="30">
        <f>'TUSD BE'!$M$59*'TUSD BE'!$M$78</f>
        <v>-4.483637674930592E-2</v>
      </c>
      <c r="N59" s="30">
        <f ca="1">'TUSD BE'!$N$59*'TUSD BE'!$N$78</f>
        <v>-3.0861709108593151E-3</v>
      </c>
      <c r="O59" s="30">
        <f>'TUSD BE'!$O$59*'TUSD BE'!$O$78</f>
        <v>-7.7559117269576281E-4</v>
      </c>
      <c r="P59" s="30">
        <f>'TUSD BE'!$P$59*'TUSD BE'!$P$78</f>
        <v>0</v>
      </c>
      <c r="Q59" s="30">
        <f>'TUSD BE'!$Q$59*'TUSD BE'!$Q$78</f>
        <v>-0.857647561557352</v>
      </c>
      <c r="R59" s="30">
        <f>'TUSD BE'!$R$59*'TUSD BE'!$R$78</f>
        <v>-0.4438592698397088</v>
      </c>
      <c r="S59" s="30">
        <f>'TUSD BE'!$R$59*'TUSD BE'!$S$78</f>
        <v>0</v>
      </c>
      <c r="T59" s="30">
        <f ca="1">SUM($L$59:$S$59)</f>
        <v>-1.7808687011951012</v>
      </c>
      <c r="U59" s="30">
        <f>'TUSD BE'!$U$59*'TUSD BE'!$U$78</f>
        <v>7.7474545706162834</v>
      </c>
      <c r="V59" s="30">
        <f>'TUSD BE'!$V$59*'TUSD BE'!$V$78</f>
        <v>0</v>
      </c>
      <c r="W59" s="30">
        <f>'TUSD BE'!$W$59*'TUSD BE'!$W$78</f>
        <v>0</v>
      </c>
      <c r="X59" s="30">
        <f>'TUSD BE'!$X$59*'TUSD BE'!$X$78</f>
        <v>0</v>
      </c>
      <c r="Y59" s="30">
        <f>'TUSD BE'!$Y$59*'TUSD BE'!$Y$78</f>
        <v>0</v>
      </c>
      <c r="Z59" s="30">
        <f>'TUSD BE'!$Z$59*'TUSD BE'!$Z$78</f>
        <v>0</v>
      </c>
      <c r="AA59" s="30">
        <f>'TUSD BE'!$AA$59*'TUSD BE'!$AA$78</f>
        <v>0</v>
      </c>
      <c r="AB59" s="30">
        <f>SUM($U$59:$AA$59)</f>
        <v>7.7474545706162834</v>
      </c>
      <c r="AC59" s="30">
        <f>'TUSD BE'!$AC$59*'TUSD BE'!$AC$78</f>
        <v>29.854475372963751</v>
      </c>
      <c r="AD59" s="30">
        <f>SUM($AC$59:$AC$59)</f>
        <v>29.854475372963751</v>
      </c>
      <c r="AE59" s="30">
        <f ca="1">$AO$59*$AO$75</f>
        <v>-56.836173511765189</v>
      </c>
      <c r="AF59" s="30">
        <f ca="1">$AP$59*$AP$75</f>
        <v>0</v>
      </c>
      <c r="AG59" s="30">
        <f ca="1">SUM($AE$59:$AF$59)</f>
        <v>-56.836173511765189</v>
      </c>
      <c r="AH59" s="30">
        <f>'TUSD BE'!$AH$59*'TUSD BE'!$AH$78</f>
        <v>-2.011438230987828</v>
      </c>
      <c r="AI59" s="30">
        <f>'TUSD BE'!$AI$59*'TUSD BE'!$AI$78</f>
        <v>-7.1614528750973225E-2</v>
      </c>
      <c r="AJ59" s="30">
        <f ca="1">'TUSD BE'!$AJ$59*'TUSD BE'!$AJ$78</f>
        <v>-0.59938569879525205</v>
      </c>
      <c r="AK59" s="30">
        <f ca="1">'TUSD BE'!$AK$59*'TUSD BE'!$AK$78</f>
        <v>0</v>
      </c>
      <c r="AL59" s="30">
        <f ca="1">SUM($AH$59:$AK$59)</f>
        <v>-2.6824384585340533</v>
      </c>
      <c r="AM59" s="30">
        <f ca="1">SUMIF($L$4:$AL$4,"SUBTOTAL",$L$59:$AL$59)</f>
        <v>-23.697550727914308</v>
      </c>
      <c r="AO59" s="36">
        <f ca="1">+'TUSD BE'!$T$59+'TUSD BE'!$AB$59+'TUSD BE'!$AD$59+'TUSD BE'!$AL$59</f>
        <v>681.79262071825121</v>
      </c>
      <c r="AP59" s="36">
        <f ca="1">+'TUSD BE'!$T$59+'TUSD BE'!$AB$59+'TUSD BE'!$AD$59+'TUSD BE'!$AL$59</f>
        <v>681.79262071825121</v>
      </c>
    </row>
    <row r="60" spans="1:42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>
        <f>'TUSD BE'!$L$60*'TUSD BE'!$L$78</f>
        <v>-0.43066373096517935</v>
      </c>
      <c r="M60" s="30">
        <f>'TUSD BE'!$M$60*'TUSD BE'!$M$78</f>
        <v>-4.483637674930592E-2</v>
      </c>
      <c r="N60" s="30">
        <f ca="1">'TUSD BE'!$N$60*'TUSD BE'!$N$78</f>
        <v>-1.3329781461585827E-3</v>
      </c>
      <c r="O60" s="30">
        <f>'TUSD BE'!$O$60*'TUSD BE'!$O$78</f>
        <v>-7.7559117269576281E-4</v>
      </c>
      <c r="P60" s="30">
        <f>'TUSD BE'!$P$60*'TUSD BE'!$P$78</f>
        <v>0</v>
      </c>
      <c r="Q60" s="30">
        <f>'TUSD BE'!$Q$60*'TUSD BE'!$Q$78</f>
        <v>-0.857647561557352</v>
      </c>
      <c r="R60" s="30">
        <f>'TUSD BE'!$R$60*'TUSD BE'!$R$78</f>
        <v>-0.4438592698397088</v>
      </c>
      <c r="S60" s="30">
        <f>'TUSD BE'!$R$60*'TUSD BE'!$S$78</f>
        <v>0</v>
      </c>
      <c r="T60" s="30">
        <f ca="1">SUM($L$60:$S$60)</f>
        <v>-1.7791155084304004</v>
      </c>
      <c r="U60" s="30">
        <f>'TUSD BE'!$U$60*'TUSD BE'!$U$78</f>
        <v>2.5824766259233645</v>
      </c>
      <c r="V60" s="30">
        <f>'TUSD BE'!$V$60*'TUSD BE'!$V$78</f>
        <v>0</v>
      </c>
      <c r="W60" s="30">
        <f>'TUSD BE'!$W$60*'TUSD BE'!$W$78</f>
        <v>0</v>
      </c>
      <c r="X60" s="30">
        <f>'TUSD BE'!$X$60*'TUSD BE'!$X$78</f>
        <v>0</v>
      </c>
      <c r="Y60" s="30">
        <f>'TUSD BE'!$Y$60*'TUSD BE'!$Y$78</f>
        <v>0</v>
      </c>
      <c r="Z60" s="30">
        <f>'TUSD BE'!$Z$60*'TUSD BE'!$Z$78</f>
        <v>0</v>
      </c>
      <c r="AA60" s="30">
        <f>'TUSD BE'!$AA$60*'TUSD BE'!$AA$78</f>
        <v>0</v>
      </c>
      <c r="AB60" s="30">
        <f>SUM($U$60:$AA$60)</f>
        <v>2.5824766259233645</v>
      </c>
      <c r="AC60" s="30">
        <f>'TUSD BE'!$AC$60*'TUSD BE'!$AC$78</f>
        <v>9.9514917909879159</v>
      </c>
      <c r="AD60" s="30">
        <f>SUM($AC$60:$AC$60)</f>
        <v>9.9514917909879159</v>
      </c>
      <c r="AE60" s="30">
        <f ca="1">$AO$60*$AO$75</f>
        <v>-24.164672391804515</v>
      </c>
      <c r="AF60" s="30">
        <f ca="1">$AP$60*$AP$75</f>
        <v>0</v>
      </c>
      <c r="AG60" s="30">
        <f ca="1">SUM($AE$60:$AF$60)</f>
        <v>-24.164672391804515</v>
      </c>
      <c r="AH60" s="30">
        <f>'TUSD BE'!$AH$60*'TUSD BE'!$AH$78</f>
        <v>-2.011438230987828</v>
      </c>
      <c r="AI60" s="30">
        <f>'TUSD BE'!$AI$60*'TUSD BE'!$AI$78</f>
        <v>-7.1614528750973225E-2</v>
      </c>
      <c r="AJ60" s="30">
        <f ca="1">'TUSD BE'!$AJ$60*'TUSD BE'!$AJ$78</f>
        <v>-0.59938569879525205</v>
      </c>
      <c r="AK60" s="30">
        <f ca="1">'TUSD BE'!$AK$60*'TUSD BE'!$AK$78</f>
        <v>0</v>
      </c>
      <c r="AL60" s="30">
        <f ca="1">SUM($AH$60:$AK$60)</f>
        <v>-2.6824384585340533</v>
      </c>
      <c r="AM60" s="30">
        <f ca="1">SUMIF($L$4:$AL$4,"SUBTOTAL",$L$60:$AL$60)</f>
        <v>-16.092257941857689</v>
      </c>
      <c r="AO60" s="36">
        <f ca="1">+'TUSD BE'!$T$60+'TUSD BE'!$AB$60+'TUSD BE'!$AD$60+'TUSD BE'!$AL$60</f>
        <v>289.87340809275202</v>
      </c>
      <c r="AP60" s="36">
        <f ca="1">+'TUSD BE'!$T$60+'TUSD BE'!$AB$60+'TUSD BE'!$AD$60+'TUSD BE'!$AL$60</f>
        <v>289.87340809275202</v>
      </c>
    </row>
    <row r="61" spans="1:42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>
        <f>'TUSD BE'!$L$61*'TUSD BE'!$L$78</f>
        <v>-0.43066373096517935</v>
      </c>
      <c r="M61" s="30">
        <f>'TUSD BE'!$M$61*'TUSD BE'!$M$78</f>
        <v>-4.483637674930592E-2</v>
      </c>
      <c r="N61" s="30">
        <f ca="1">'TUSD BE'!$N$61*'TUSD BE'!$N$78</f>
        <v>-1.9173759744828679E-3</v>
      </c>
      <c r="O61" s="30">
        <f>'TUSD BE'!$O$61*'TUSD BE'!$O$78</f>
        <v>-7.7559117269576281E-4</v>
      </c>
      <c r="P61" s="30">
        <f>'TUSD BE'!$P$61*'TUSD BE'!$P$78</f>
        <v>0</v>
      </c>
      <c r="Q61" s="30">
        <f>'TUSD BE'!$Q$61*'TUSD BE'!$Q$78</f>
        <v>-0.857647561557352</v>
      </c>
      <c r="R61" s="30">
        <f>'TUSD BE'!$R$61*'TUSD BE'!$R$78</f>
        <v>-0.4438592698397088</v>
      </c>
      <c r="S61" s="30">
        <f>'TUSD BE'!$R$61*'TUSD BE'!$S$78</f>
        <v>0</v>
      </c>
      <c r="T61" s="30">
        <f ca="1">SUM($L$61:$S$61)</f>
        <v>-1.7796999062587247</v>
      </c>
      <c r="U61" s="30">
        <f>'TUSD BE'!$U$61*'TUSD BE'!$U$78</f>
        <v>4.3041359408210047</v>
      </c>
      <c r="V61" s="30">
        <f>'TUSD BE'!$V$61*'TUSD BE'!$V$78</f>
        <v>0</v>
      </c>
      <c r="W61" s="30">
        <f>'TUSD BE'!$W$61*'TUSD BE'!$W$78</f>
        <v>0</v>
      </c>
      <c r="X61" s="30">
        <f>'TUSD BE'!$X$61*'TUSD BE'!$X$78</f>
        <v>0</v>
      </c>
      <c r="Y61" s="30">
        <f>'TUSD BE'!$Y$61*'TUSD BE'!$Y$78</f>
        <v>0</v>
      </c>
      <c r="Z61" s="30">
        <f>'TUSD BE'!$Z$61*'TUSD BE'!$Z$78</f>
        <v>0</v>
      </c>
      <c r="AA61" s="30">
        <f>'TUSD BE'!$AA$61*'TUSD BE'!$AA$78</f>
        <v>0</v>
      </c>
      <c r="AB61" s="30">
        <f>SUM($U$61:$AA$61)</f>
        <v>4.3041359408210047</v>
      </c>
      <c r="AC61" s="30">
        <f>'TUSD BE'!$AC$61*'TUSD BE'!$AC$78</f>
        <v>16.585819651646531</v>
      </c>
      <c r="AD61" s="30">
        <f>SUM($AC$61:$AC$61)</f>
        <v>16.585819651646531</v>
      </c>
      <c r="AE61" s="30">
        <f ca="1">$AO$61*$AO$75</f>
        <v>-35.055175889831986</v>
      </c>
      <c r="AF61" s="30">
        <f ca="1">$AP$61*$AP$75</f>
        <v>0</v>
      </c>
      <c r="AG61" s="30">
        <f ca="1">SUM($AE$61:$AF$61)</f>
        <v>-35.055175889831986</v>
      </c>
      <c r="AH61" s="30">
        <f>'TUSD BE'!$AH$61*'TUSD BE'!$AH$78</f>
        <v>-2.011438230987828</v>
      </c>
      <c r="AI61" s="30">
        <f>'TUSD BE'!$AI$61*'TUSD BE'!$AI$78</f>
        <v>-7.1614528750973225E-2</v>
      </c>
      <c r="AJ61" s="30">
        <f ca="1">'TUSD BE'!$AJ$61*'TUSD BE'!$AJ$78</f>
        <v>-0.59938569879525205</v>
      </c>
      <c r="AK61" s="30">
        <f ca="1">'TUSD BE'!$AK$61*'TUSD BE'!$AK$78</f>
        <v>0</v>
      </c>
      <c r="AL61" s="30">
        <f ca="1">SUM($AH$61:$AK$61)</f>
        <v>-2.6824384585340533</v>
      </c>
      <c r="AM61" s="30">
        <f ca="1">SUMIF($L$4:$AL$4,"SUBTOTAL",$L$61:$AL$61)</f>
        <v>-18.627358662157231</v>
      </c>
      <c r="AO61" s="36">
        <f ca="1">+'TUSD BE'!$T$61+'TUSD BE'!$AB$61+'TUSD BE'!$AD$61+'TUSD BE'!$AL$61</f>
        <v>420.5131831177971</v>
      </c>
      <c r="AP61" s="36">
        <f ca="1">+'TUSD BE'!$T$61+'TUSD BE'!$AB$61+'TUSD BE'!$AD$61+'TUSD BE'!$AL$61</f>
        <v>420.5131831177971</v>
      </c>
    </row>
    <row r="62" spans="1:42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>
        <f>'TUSD BE'!$L$62*'TUSD BE'!$L$78</f>
        <v>-0.43066373096517935</v>
      </c>
      <c r="M62" s="30">
        <f>'TUSD BE'!$M$62*'TUSD BE'!$M$78</f>
        <v>-4.483637674930592E-2</v>
      </c>
      <c r="N62" s="30">
        <f ca="1">'TUSD BE'!$N$62*'TUSD BE'!$N$78</f>
        <v>-1.9173759744828679E-3</v>
      </c>
      <c r="O62" s="30">
        <f>'TUSD BE'!$O$62*'TUSD BE'!$O$78</f>
        <v>-7.7559117269576281E-4</v>
      </c>
      <c r="P62" s="30">
        <f>'TUSD BE'!$P$62*'TUSD BE'!$P$78</f>
        <v>0</v>
      </c>
      <c r="Q62" s="30">
        <f>'TUSD BE'!$Q$62*'TUSD BE'!$Q$78</f>
        <v>-0.857647561557352</v>
      </c>
      <c r="R62" s="30">
        <f>'TUSD BE'!$R$62*'TUSD BE'!$R$78</f>
        <v>-0.4438592698397088</v>
      </c>
      <c r="S62" s="30">
        <f>'TUSD BE'!$R$62*'TUSD BE'!$S$78</f>
        <v>0</v>
      </c>
      <c r="T62" s="30">
        <f ca="1">SUM($L$62:$S$62)</f>
        <v>-1.7796999062587247</v>
      </c>
      <c r="U62" s="30">
        <f>'TUSD BE'!$U$62*'TUSD BE'!$U$78</f>
        <v>4.3041359408210047</v>
      </c>
      <c r="V62" s="30">
        <f>'TUSD BE'!$V$62*'TUSD BE'!$V$78</f>
        <v>0</v>
      </c>
      <c r="W62" s="30">
        <f>'TUSD BE'!$W$62*'TUSD BE'!$W$78</f>
        <v>0</v>
      </c>
      <c r="X62" s="30">
        <f>'TUSD BE'!$X$62*'TUSD BE'!$X$78</f>
        <v>0</v>
      </c>
      <c r="Y62" s="30">
        <f>'TUSD BE'!$Y$62*'TUSD BE'!$Y$78</f>
        <v>0</v>
      </c>
      <c r="Z62" s="30">
        <f>'TUSD BE'!$Z$62*'TUSD BE'!$Z$78</f>
        <v>0</v>
      </c>
      <c r="AA62" s="30">
        <f>'TUSD BE'!$AA$62*'TUSD BE'!$AA$78</f>
        <v>0</v>
      </c>
      <c r="AB62" s="30">
        <f>SUM($U$62:$AA$62)</f>
        <v>4.3041359408210047</v>
      </c>
      <c r="AC62" s="30">
        <f>'TUSD BE'!$AC$62*'TUSD BE'!$AC$78</f>
        <v>16.585819651646531</v>
      </c>
      <c r="AD62" s="30">
        <f>SUM($AC$62:$AC$62)</f>
        <v>16.585819651646531</v>
      </c>
      <c r="AE62" s="30">
        <f ca="1">$AO$62*$AO$75</f>
        <v>-35.055175889831986</v>
      </c>
      <c r="AF62" s="30">
        <f ca="1">$AP$62*$AP$75</f>
        <v>0</v>
      </c>
      <c r="AG62" s="30">
        <f ca="1">SUM($AE$62:$AF$62)</f>
        <v>-35.055175889831986</v>
      </c>
      <c r="AH62" s="30">
        <f>'TUSD BE'!$AH$62*'TUSD BE'!$AH$78</f>
        <v>-2.011438230987828</v>
      </c>
      <c r="AI62" s="30">
        <f>'TUSD BE'!$AI$62*'TUSD BE'!$AI$78</f>
        <v>-7.1614528750973225E-2</v>
      </c>
      <c r="AJ62" s="30">
        <f ca="1">'TUSD BE'!$AJ$62*'TUSD BE'!$AJ$78</f>
        <v>-0.59938569879525205</v>
      </c>
      <c r="AK62" s="30">
        <f ca="1">'TUSD BE'!$AK$62*'TUSD BE'!$AK$78</f>
        <v>0</v>
      </c>
      <c r="AL62" s="30">
        <f ca="1">SUM($AH$62:$AK$62)</f>
        <v>-2.6824384585340533</v>
      </c>
      <c r="AM62" s="30">
        <f ca="1">SUMIF($L$4:$AL$4,"SUBTOTAL",$L$62:$AL$62)</f>
        <v>-18.627358662157231</v>
      </c>
      <c r="AO62" s="36">
        <f ca="1">+'TUSD BE'!$T$62+'TUSD BE'!$AB$62+'TUSD BE'!$AD$62+'TUSD BE'!$AL$62</f>
        <v>420.5131831177971</v>
      </c>
      <c r="AP62" s="36">
        <f ca="1">+'TUSD BE'!$T$62+'TUSD BE'!$AB$62+'TUSD BE'!$AD$62+'TUSD BE'!$AL$62</f>
        <v>420.5131831177971</v>
      </c>
    </row>
    <row r="63" spans="1:42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>
        <f>'TUSD BE'!$L$63*'TUSD BE'!$L$78</f>
        <v>-0.43066373096517935</v>
      </c>
      <c r="M63" s="30">
        <f>'TUSD BE'!$M$63*'TUSD BE'!$M$78</f>
        <v>-4.483637674930592E-2</v>
      </c>
      <c r="N63" s="30">
        <f ca="1">'TUSD BE'!$N$63*'TUSD BE'!$N$78</f>
        <v>-1.9173759744828679E-3</v>
      </c>
      <c r="O63" s="30">
        <f>'TUSD BE'!$O$63*'TUSD BE'!$O$78</f>
        <v>-7.7559117269576281E-4</v>
      </c>
      <c r="P63" s="30">
        <f>'TUSD BE'!$P$63*'TUSD BE'!$P$78</f>
        <v>0</v>
      </c>
      <c r="Q63" s="30">
        <f>'TUSD BE'!$Q$63*'TUSD BE'!$Q$78</f>
        <v>-0.857647561557352</v>
      </c>
      <c r="R63" s="30">
        <f>'TUSD BE'!$R$63*'TUSD BE'!$R$78</f>
        <v>-0.4438592698397088</v>
      </c>
      <c r="S63" s="30">
        <f>'TUSD BE'!$R$63*'TUSD BE'!$S$78</f>
        <v>0</v>
      </c>
      <c r="T63" s="30">
        <f ca="1">SUM($L$63:$S$63)</f>
        <v>-1.7796999062587247</v>
      </c>
      <c r="U63" s="30">
        <f>'TUSD BE'!$U$63*'TUSD BE'!$U$78</f>
        <v>4.3041359408210047</v>
      </c>
      <c r="V63" s="30">
        <f>'TUSD BE'!$V$63*'TUSD BE'!$V$78</f>
        <v>0</v>
      </c>
      <c r="W63" s="30">
        <f>'TUSD BE'!$W$63*'TUSD BE'!$W$78</f>
        <v>0</v>
      </c>
      <c r="X63" s="30">
        <f>'TUSD BE'!$X$63*'TUSD BE'!$X$78</f>
        <v>0</v>
      </c>
      <c r="Y63" s="30">
        <f>'TUSD BE'!$Y$63*'TUSD BE'!$Y$78</f>
        <v>0</v>
      </c>
      <c r="Z63" s="30">
        <f>'TUSD BE'!$Z$63*'TUSD BE'!$Z$78</f>
        <v>0</v>
      </c>
      <c r="AA63" s="30">
        <f>'TUSD BE'!$AA$63*'TUSD BE'!$AA$78</f>
        <v>0</v>
      </c>
      <c r="AB63" s="30">
        <f>SUM($U$63:$AA$63)</f>
        <v>4.3041359408210047</v>
      </c>
      <c r="AC63" s="30">
        <f>'TUSD BE'!$AC$63*'TUSD BE'!$AC$78</f>
        <v>16.585819651646531</v>
      </c>
      <c r="AD63" s="30">
        <f>SUM($AC$63:$AC$63)</f>
        <v>16.585819651646531</v>
      </c>
      <c r="AE63" s="30">
        <f ca="1">$AO$63*$AO$75</f>
        <v>-35.055175889831986</v>
      </c>
      <c r="AF63" s="30">
        <f ca="1">$AP$63*$AP$75</f>
        <v>0</v>
      </c>
      <c r="AG63" s="30">
        <f ca="1">SUM($AE$63:$AF$63)</f>
        <v>-35.055175889831986</v>
      </c>
      <c r="AH63" s="30">
        <f>'TUSD BE'!$AH$63*'TUSD BE'!$AH$78</f>
        <v>-2.011438230987828</v>
      </c>
      <c r="AI63" s="30">
        <f>'TUSD BE'!$AI$63*'TUSD BE'!$AI$78</f>
        <v>-7.1614528750973225E-2</v>
      </c>
      <c r="AJ63" s="30">
        <f ca="1">'TUSD BE'!$AJ$63*'TUSD BE'!$AJ$78</f>
        <v>-0.59938569879525205</v>
      </c>
      <c r="AK63" s="30">
        <f ca="1">'TUSD BE'!$AK$63*'TUSD BE'!$AK$78</f>
        <v>0</v>
      </c>
      <c r="AL63" s="30">
        <f ca="1">SUM($AH$63:$AK$63)</f>
        <v>-2.6824384585340533</v>
      </c>
      <c r="AM63" s="30">
        <f ca="1">SUMIF($L$4:$AL$4,"SUBTOTAL",$L$63:$AL$63)</f>
        <v>-18.627358662157231</v>
      </c>
      <c r="AO63" s="36">
        <f ca="1">+'TUSD BE'!$T$63+'TUSD BE'!$AB$63+'TUSD BE'!$AD$63+'TUSD BE'!$AL$63</f>
        <v>420.5131831177971</v>
      </c>
      <c r="AP63" s="36">
        <f ca="1">+'TUSD BE'!$T$63+'TUSD BE'!$AB$63+'TUSD BE'!$AD$63+'TUSD BE'!$AL$63</f>
        <v>420.5131831177971</v>
      </c>
    </row>
    <row r="64" spans="1:42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>
        <f>'TUSD BE'!$L$64*'TUSD BE'!$L$78</f>
        <v>-0.43066373096517935</v>
      </c>
      <c r="M64" s="30">
        <f>'TUSD BE'!$M$64*'TUSD BE'!$M$78</f>
        <v>-4.483637674930592E-2</v>
      </c>
      <c r="N64" s="30">
        <f ca="1">'TUSD BE'!$N$64*'TUSD BE'!$N$78</f>
        <v>-1.9173759744828679E-3</v>
      </c>
      <c r="O64" s="30">
        <f>'TUSD BE'!$O$64*'TUSD BE'!$O$78</f>
        <v>-7.7559117269576281E-4</v>
      </c>
      <c r="P64" s="30">
        <f>'TUSD BE'!$P$64*'TUSD BE'!$P$78</f>
        <v>0</v>
      </c>
      <c r="Q64" s="30">
        <f>'TUSD BE'!$Q$64*'TUSD BE'!$Q$78</f>
        <v>-0.857647561557352</v>
      </c>
      <c r="R64" s="30">
        <f>'TUSD BE'!$R$64*'TUSD BE'!$R$78</f>
        <v>-0.4438592698397088</v>
      </c>
      <c r="S64" s="30">
        <f>'TUSD BE'!$R$64*'TUSD BE'!$S$78</f>
        <v>0</v>
      </c>
      <c r="T64" s="30">
        <f ca="1">SUM($L$64:$S$64)</f>
        <v>-1.7796999062587247</v>
      </c>
      <c r="U64" s="30">
        <f>'TUSD BE'!$U$64*'TUSD BE'!$U$78</f>
        <v>4.3041359408210047</v>
      </c>
      <c r="V64" s="30">
        <f>'TUSD BE'!$V$64*'TUSD BE'!$V$78</f>
        <v>0</v>
      </c>
      <c r="W64" s="30">
        <f>'TUSD BE'!$W$64*'TUSD BE'!$W$78</f>
        <v>0</v>
      </c>
      <c r="X64" s="30">
        <f>'TUSD BE'!$X$64*'TUSD BE'!$X$78</f>
        <v>0</v>
      </c>
      <c r="Y64" s="30">
        <f>'TUSD BE'!$Y$64*'TUSD BE'!$Y$78</f>
        <v>0</v>
      </c>
      <c r="Z64" s="30">
        <f>'TUSD BE'!$Z$64*'TUSD BE'!$Z$78</f>
        <v>0</v>
      </c>
      <c r="AA64" s="30">
        <f>'TUSD BE'!$AA$64*'TUSD BE'!$AA$78</f>
        <v>0</v>
      </c>
      <c r="AB64" s="30">
        <f>SUM($U$64:$AA$64)</f>
        <v>4.3041359408210047</v>
      </c>
      <c r="AC64" s="30">
        <f>'TUSD BE'!$AC$64*'TUSD BE'!$AC$78</f>
        <v>16.585819651646531</v>
      </c>
      <c r="AD64" s="30">
        <f>SUM($AC$64:$AC$64)</f>
        <v>16.585819651646531</v>
      </c>
      <c r="AE64" s="30">
        <f ca="1">$AO$64*$AO$75</f>
        <v>-35.055175889831986</v>
      </c>
      <c r="AF64" s="30">
        <f ca="1">$AP$64*$AP$75</f>
        <v>0</v>
      </c>
      <c r="AG64" s="30">
        <f ca="1">SUM($AE$64:$AF$64)</f>
        <v>-35.055175889831986</v>
      </c>
      <c r="AH64" s="30">
        <f>'TUSD BE'!$AH$64*'TUSD BE'!$AH$78</f>
        <v>-2.011438230987828</v>
      </c>
      <c r="AI64" s="30">
        <f>'TUSD BE'!$AI$64*'TUSD BE'!$AI$78</f>
        <v>-7.1614528750973225E-2</v>
      </c>
      <c r="AJ64" s="30">
        <f ca="1">'TUSD BE'!$AJ$64*'TUSD BE'!$AJ$78</f>
        <v>-0.59938569879525205</v>
      </c>
      <c r="AK64" s="30">
        <f ca="1">'TUSD BE'!$AK$64*'TUSD BE'!$AK$78</f>
        <v>0</v>
      </c>
      <c r="AL64" s="30">
        <f ca="1">SUM($AH$64:$AK$64)</f>
        <v>-2.6824384585340533</v>
      </c>
      <c r="AM64" s="30">
        <f ca="1">SUMIF($L$4:$AL$4,"SUBTOTAL",$L$64:$AL$64)</f>
        <v>-18.627358662157231</v>
      </c>
      <c r="AO64" s="36">
        <f ca="1">+'TUSD BE'!$T$64+'TUSD BE'!$AB$64+'TUSD BE'!$AD$64+'TUSD BE'!$AL$64</f>
        <v>420.5131831177971</v>
      </c>
      <c r="AP64" s="36">
        <f ca="1">+'TUSD BE'!$T$64+'TUSD BE'!$AB$64+'TUSD BE'!$AD$64+'TUSD BE'!$AL$64</f>
        <v>420.5131831177971</v>
      </c>
    </row>
    <row r="65" spans="1:42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>
        <f>'TUSD BE'!$L$65*'TUSD BE'!$L$78</f>
        <v>-0.43066373096517935</v>
      </c>
      <c r="M65" s="30">
        <f>'TUSD BE'!$M$65*'TUSD BE'!$M$78</f>
        <v>-4.483637674930592E-2</v>
      </c>
      <c r="N65" s="30">
        <f ca="1">'TUSD BE'!$N$65*'TUSD BE'!$N$78</f>
        <v>-5.2046107876844664E-3</v>
      </c>
      <c r="O65" s="30">
        <f>'TUSD BE'!$O$65*'TUSD BE'!$O$78</f>
        <v>-7.7559117269576281E-4</v>
      </c>
      <c r="P65" s="30">
        <f>'TUSD BE'!$P$65*'TUSD BE'!$P$78</f>
        <v>0</v>
      </c>
      <c r="Q65" s="30">
        <f>'TUSD BE'!$Q$65*'TUSD BE'!$Q$78</f>
        <v>-0.857647561557352</v>
      </c>
      <c r="R65" s="30">
        <f>'TUSD BE'!$R$65*'TUSD BE'!$R$78</f>
        <v>-0.4438592698397088</v>
      </c>
      <c r="S65" s="30">
        <f>'TUSD BE'!$R$65*'TUSD BE'!$S$78</f>
        <v>0</v>
      </c>
      <c r="T65" s="30">
        <f ca="1">SUM($L$65:$S$65)</f>
        <v>-1.7829871410719262</v>
      </c>
      <c r="U65" s="30">
        <f>'TUSD BE'!$U$65*'TUSD BE'!$U$78</f>
        <v>13.98844798087981</v>
      </c>
      <c r="V65" s="30">
        <f>'TUSD BE'!$V$65*'TUSD BE'!$V$78</f>
        <v>0</v>
      </c>
      <c r="W65" s="30">
        <f>'TUSD BE'!$W$65*'TUSD BE'!$W$78</f>
        <v>0</v>
      </c>
      <c r="X65" s="30">
        <f>'TUSD BE'!$X$65*'TUSD BE'!$X$78</f>
        <v>0</v>
      </c>
      <c r="Y65" s="30">
        <f>'TUSD BE'!$Y$65*'TUSD BE'!$Y$78</f>
        <v>0</v>
      </c>
      <c r="Z65" s="30">
        <f>'TUSD BE'!$Z$65*'TUSD BE'!$Z$78</f>
        <v>0</v>
      </c>
      <c r="AA65" s="30">
        <f>'TUSD BE'!$AA$65*'TUSD BE'!$AA$78</f>
        <v>0</v>
      </c>
      <c r="AB65" s="30">
        <f>SUM($U$65:$AA$65)</f>
        <v>13.98844798087981</v>
      </c>
      <c r="AC65" s="30">
        <f>'TUSD BE'!$AC$65*'TUSD BE'!$AC$78</f>
        <v>53.903909220166781</v>
      </c>
      <c r="AD65" s="30">
        <f>SUM($AC$65:$AC$65)</f>
        <v>53.903909220166781</v>
      </c>
      <c r="AE65" s="30">
        <f ca="1">$AO$65*$AO$75</f>
        <v>-96.314214492173861</v>
      </c>
      <c r="AF65" s="30">
        <f ca="1">$AP$65*$AP$75</f>
        <v>0</v>
      </c>
      <c r="AG65" s="30">
        <f ca="1">SUM($AE$65:$AF$65)</f>
        <v>-96.314214492173861</v>
      </c>
      <c r="AH65" s="30">
        <f>'TUSD BE'!$AH$65*'TUSD BE'!$AH$78</f>
        <v>-2.011438230987828</v>
      </c>
      <c r="AI65" s="30">
        <f>'TUSD BE'!$AI$65*'TUSD BE'!$AI$78</f>
        <v>-7.1614528750973225E-2</v>
      </c>
      <c r="AJ65" s="30">
        <f ca="1">'TUSD BE'!$AJ$65*'TUSD BE'!$AJ$78</f>
        <v>-0.59938569879525205</v>
      </c>
      <c r="AK65" s="30">
        <f ca="1">'TUSD BE'!$AK$65*'TUSD BE'!$AK$78</f>
        <v>0</v>
      </c>
      <c r="AL65" s="30">
        <f ca="1">SUM($AH$65:$AK$65)</f>
        <v>-2.6824384585340533</v>
      </c>
      <c r="AM65" s="30">
        <f ca="1">SUMIF($L$4:$AL$4,"SUBTOTAL",$L$65:$AL$65)</f>
        <v>-32.887282890733246</v>
      </c>
      <c r="AO65" s="36">
        <f ca="1">+'TUSD BE'!$T$65+'TUSD BE'!$AB$65+'TUSD BE'!$AD$65+'TUSD BE'!$AL$65</f>
        <v>1155.3613949300429</v>
      </c>
      <c r="AP65" s="36">
        <f ca="1">+'TUSD BE'!$T$65+'TUSD BE'!$AB$65+'TUSD BE'!$AD$65+'TUSD BE'!$AL$65</f>
        <v>1155.3613949300429</v>
      </c>
    </row>
    <row r="66" spans="1:42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>
        <f>'TUSD BE'!$L$66*'TUSD BE'!$L$78</f>
        <v>-0.43066373096517935</v>
      </c>
      <c r="M66" s="30">
        <f>'TUSD BE'!$M$66*'TUSD BE'!$M$78</f>
        <v>-4.483637674930592E-2</v>
      </c>
      <c r="N66" s="30">
        <f ca="1">'TUSD BE'!$N$66*'TUSD BE'!$N$78</f>
        <v>-3.3053194662428158E-3</v>
      </c>
      <c r="O66" s="30">
        <f>'TUSD BE'!$O$66*'TUSD BE'!$O$78</f>
        <v>-7.7559117269576281E-4</v>
      </c>
      <c r="P66" s="30">
        <f>'TUSD BE'!$P$66*'TUSD BE'!$P$78</f>
        <v>0</v>
      </c>
      <c r="Q66" s="30">
        <f>'TUSD BE'!$Q$66*'TUSD BE'!$Q$78</f>
        <v>-0.857647561557352</v>
      </c>
      <c r="R66" s="30">
        <f>'TUSD BE'!$R$66*'TUSD BE'!$R$78</f>
        <v>-0.4438592698397088</v>
      </c>
      <c r="S66" s="30">
        <f>'TUSD BE'!$R$66*'TUSD BE'!$S$78</f>
        <v>0</v>
      </c>
      <c r="T66" s="30">
        <f ca="1">SUM($L$66:$S$66)</f>
        <v>-1.7810878497504847</v>
      </c>
      <c r="U66" s="30">
        <f>'TUSD BE'!$U$66*'TUSD BE'!$U$78</f>
        <v>8.393073727097125</v>
      </c>
      <c r="V66" s="30">
        <f>'TUSD BE'!$V$66*'TUSD BE'!$V$78</f>
        <v>0</v>
      </c>
      <c r="W66" s="30">
        <f>'TUSD BE'!$W$66*'TUSD BE'!$W$78</f>
        <v>0</v>
      </c>
      <c r="X66" s="30">
        <f>'TUSD BE'!$X$66*'TUSD BE'!$X$78</f>
        <v>0</v>
      </c>
      <c r="Y66" s="30">
        <f>'TUSD BE'!$Y$66*'TUSD BE'!$Y$78</f>
        <v>0</v>
      </c>
      <c r="Z66" s="30">
        <f>'TUSD BE'!$Z$66*'TUSD BE'!$Z$78</f>
        <v>0</v>
      </c>
      <c r="AA66" s="30">
        <f>'TUSD BE'!$AA$66*'TUSD BE'!$AA$78</f>
        <v>0</v>
      </c>
      <c r="AB66" s="30">
        <f>SUM($U$66:$AA$66)</f>
        <v>8.393073727097125</v>
      </c>
      <c r="AC66" s="30">
        <f>'TUSD BE'!$AC$66*'TUSD BE'!$AC$78</f>
        <v>32.342343673026292</v>
      </c>
      <c r="AD66" s="30">
        <f>SUM($AC$66:$AC$66)</f>
        <v>32.342343673026292</v>
      </c>
      <c r="AE66" s="30">
        <f ca="1">$AO$66*$AO$75</f>
        <v>-60.92009983903332</v>
      </c>
      <c r="AF66" s="30">
        <f ca="1">$AP$66*$AP$75</f>
        <v>0</v>
      </c>
      <c r="AG66" s="30">
        <f ca="1">SUM($AE$66:$AF$66)</f>
        <v>-60.92009983903332</v>
      </c>
      <c r="AH66" s="30">
        <f>'TUSD BE'!$AH$66*'TUSD BE'!$AH$78</f>
        <v>-2.011438230987828</v>
      </c>
      <c r="AI66" s="30">
        <f>'TUSD BE'!$AI$66*'TUSD BE'!$AI$78</f>
        <v>-7.1614528750973225E-2</v>
      </c>
      <c r="AJ66" s="30">
        <f ca="1">'TUSD BE'!$AJ$66*'TUSD BE'!$AJ$78</f>
        <v>-0.59938569879525205</v>
      </c>
      <c r="AK66" s="30">
        <f ca="1">'TUSD BE'!$AK$66*'TUSD BE'!$AK$78</f>
        <v>0</v>
      </c>
      <c r="AL66" s="30">
        <f ca="1">SUM($AH$66:$AK$66)</f>
        <v>-2.6824384585340533</v>
      </c>
      <c r="AM66" s="30">
        <f ca="1">SUMIF($L$4:$AL$4,"SUBTOTAL",$L$66:$AL$66)</f>
        <v>-24.648208747194442</v>
      </c>
      <c r="AO66" s="36">
        <f ca="1">+'TUSD BE'!$T$66+'TUSD BE'!$AB$66+'TUSD BE'!$AD$66+'TUSD BE'!$AL$66</f>
        <v>730.78238659177589</v>
      </c>
      <c r="AP66" s="36">
        <f ca="1">+'TUSD BE'!$T$66+'TUSD BE'!$AB$66+'TUSD BE'!$AD$66+'TUSD BE'!$AL$66</f>
        <v>730.78238659177589</v>
      </c>
    </row>
    <row r="67" spans="1:42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>
        <f>'TUSD BE'!$L$67*'TUSD BE'!$L$78</f>
        <v>-0.43066373096517935</v>
      </c>
      <c r="M67" s="30">
        <f>'TUSD BE'!$M$67*'TUSD BE'!$M$78</f>
        <v>-4.483637674930592E-2</v>
      </c>
      <c r="N67" s="30">
        <f ca="1">'TUSD BE'!$N$67*'TUSD BE'!$N$78</f>
        <v>-1.4060281448011647E-3</v>
      </c>
      <c r="O67" s="30">
        <f>'TUSD BE'!$O$67*'TUSD BE'!$O$78</f>
        <v>-7.7559117269576281E-4</v>
      </c>
      <c r="P67" s="30">
        <f>'TUSD BE'!$P$67*'TUSD BE'!$P$78</f>
        <v>0</v>
      </c>
      <c r="Q67" s="30">
        <f>'TUSD BE'!$Q$67*'TUSD BE'!$Q$78</f>
        <v>-0.857647561557352</v>
      </c>
      <c r="R67" s="30">
        <f>'TUSD BE'!$R$67*'TUSD BE'!$R$78</f>
        <v>-0.4438592698397088</v>
      </c>
      <c r="S67" s="30">
        <f>'TUSD BE'!$R$67*'TUSD BE'!$S$78</f>
        <v>0</v>
      </c>
      <c r="T67" s="30">
        <f ca="1">SUM($L$67:$S$67)</f>
        <v>-1.779188558429043</v>
      </c>
      <c r="U67" s="30">
        <f>'TUSD BE'!$U$67*'TUSD BE'!$U$78</f>
        <v>2.7976994733144385</v>
      </c>
      <c r="V67" s="30">
        <f>'TUSD BE'!$V$67*'TUSD BE'!$V$78</f>
        <v>0</v>
      </c>
      <c r="W67" s="30">
        <f>'TUSD BE'!$W$67*'TUSD BE'!$W$78</f>
        <v>0</v>
      </c>
      <c r="X67" s="30">
        <f>'TUSD BE'!$X$67*'TUSD BE'!$X$78</f>
        <v>0</v>
      </c>
      <c r="Y67" s="30">
        <f>'TUSD BE'!$Y$67*'TUSD BE'!$Y$78</f>
        <v>0</v>
      </c>
      <c r="Z67" s="30">
        <f>'TUSD BE'!$Z$67*'TUSD BE'!$Z$78</f>
        <v>0</v>
      </c>
      <c r="AA67" s="30">
        <f>'TUSD BE'!$AA$67*'TUSD BE'!$AA$78</f>
        <v>0</v>
      </c>
      <c r="AB67" s="30">
        <f>SUM($U$67:$AA$67)</f>
        <v>2.7976994733144385</v>
      </c>
      <c r="AC67" s="30">
        <f>'TUSD BE'!$AC$67*'TUSD BE'!$AC$78</f>
        <v>10.780778125885803</v>
      </c>
      <c r="AD67" s="30">
        <f>SUM($AC$67:$AC$67)</f>
        <v>10.780778125885803</v>
      </c>
      <c r="AE67" s="30">
        <f ca="1">$AO$67*$AO$75</f>
        <v>-25.52598518589279</v>
      </c>
      <c r="AF67" s="30">
        <f ca="1">$AP$67*$AP$75</f>
        <v>0</v>
      </c>
      <c r="AG67" s="30">
        <f ca="1">SUM($AE$67:$AF$67)</f>
        <v>-25.52598518589279</v>
      </c>
      <c r="AH67" s="30">
        <f>'TUSD BE'!$AH$67*'TUSD BE'!$AH$78</f>
        <v>-2.011438230987828</v>
      </c>
      <c r="AI67" s="30">
        <f>'TUSD BE'!$AI$67*'TUSD BE'!$AI$78</f>
        <v>-7.1614528750973225E-2</v>
      </c>
      <c r="AJ67" s="30">
        <f ca="1">'TUSD BE'!$AJ$67*'TUSD BE'!$AJ$78</f>
        <v>-0.59938569879525205</v>
      </c>
      <c r="AK67" s="30">
        <f ca="1">'TUSD BE'!$AK$67*'TUSD BE'!$AK$78</f>
        <v>0</v>
      </c>
      <c r="AL67" s="30">
        <f ca="1">SUM($AH$67:$AK$67)</f>
        <v>-2.6824384585340533</v>
      </c>
      <c r="AM67" s="30">
        <f ca="1">SUMIF($L$4:$AL$4,"SUBTOTAL",$L$67:$AL$67)</f>
        <v>-16.409134603655644</v>
      </c>
      <c r="AO67" s="36">
        <f ca="1">+'TUSD BE'!$T$67+'TUSD BE'!$AB$67+'TUSD BE'!$AD$67+'TUSD BE'!$AL$67</f>
        <v>306.20337825350896</v>
      </c>
      <c r="AP67" s="36">
        <f ca="1">+'TUSD BE'!$T$67+'TUSD BE'!$AB$67+'TUSD BE'!$AD$67+'TUSD BE'!$AL$67</f>
        <v>306.20337825350896</v>
      </c>
    </row>
    <row r="68" spans="1:42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>
        <f>'TUSD BE'!$L$68*'TUSD BE'!$L$78</f>
        <v>-0.43066373096517935</v>
      </c>
      <c r="M68" s="30">
        <f>'TUSD BE'!$M$68*'TUSD BE'!$M$78</f>
        <v>-4.483637674930592E-2</v>
      </c>
      <c r="N68" s="30">
        <f ca="1">'TUSD BE'!$N$68*'TUSD BE'!$N$78</f>
        <v>-1.9173759744828679E-3</v>
      </c>
      <c r="O68" s="30">
        <f>'TUSD BE'!$O$68*'TUSD BE'!$O$78</f>
        <v>-7.7559117269576281E-4</v>
      </c>
      <c r="P68" s="30">
        <f>'TUSD BE'!$P$68*'TUSD BE'!$P$78</f>
        <v>0</v>
      </c>
      <c r="Q68" s="30">
        <f>'TUSD BE'!$Q$68*'TUSD BE'!$Q$78</f>
        <v>-0.857647561557352</v>
      </c>
      <c r="R68" s="30">
        <f>'TUSD BE'!$R$68*'TUSD BE'!$R$78</f>
        <v>-0.4438592698397088</v>
      </c>
      <c r="S68" s="30">
        <f>'TUSD BE'!$R$68*'TUSD BE'!$S$78</f>
        <v>0</v>
      </c>
      <c r="T68" s="30">
        <f ca="1">SUM($L$68:$S$68)</f>
        <v>-1.7796999062587247</v>
      </c>
      <c r="U68" s="30">
        <f>'TUSD BE'!$U$68*'TUSD BE'!$U$78</f>
        <v>4.3041359408210047</v>
      </c>
      <c r="V68" s="30">
        <f>'TUSD BE'!$V$68*'TUSD BE'!$V$78</f>
        <v>0</v>
      </c>
      <c r="W68" s="30">
        <f>'TUSD BE'!$W$68*'TUSD BE'!$W$78</f>
        <v>0</v>
      </c>
      <c r="X68" s="30">
        <f>'TUSD BE'!$X$68*'TUSD BE'!$X$78</f>
        <v>0</v>
      </c>
      <c r="Y68" s="30">
        <f>'TUSD BE'!$Y$68*'TUSD BE'!$Y$78</f>
        <v>0</v>
      </c>
      <c r="Z68" s="30">
        <f>'TUSD BE'!$Z$68*'TUSD BE'!$Z$78</f>
        <v>0</v>
      </c>
      <c r="AA68" s="30">
        <f>'TUSD BE'!$AA$68*'TUSD BE'!$AA$78</f>
        <v>0</v>
      </c>
      <c r="AB68" s="30">
        <f>SUM($U$68:$AA$68)</f>
        <v>4.3041359408210047</v>
      </c>
      <c r="AC68" s="30">
        <f>'TUSD BE'!$AC$68*'TUSD BE'!$AC$78</f>
        <v>16.585819651646531</v>
      </c>
      <c r="AD68" s="30">
        <f>SUM($AC$68:$AC$68)</f>
        <v>16.585819651646531</v>
      </c>
      <c r="AE68" s="30">
        <f ca="1">$AO$68*$AO$75</f>
        <v>-35.055175889831986</v>
      </c>
      <c r="AF68" s="30">
        <f ca="1">$AP$68*$AP$75</f>
        <v>0</v>
      </c>
      <c r="AG68" s="30">
        <f ca="1">SUM($AE$68:$AF$68)</f>
        <v>-35.055175889831986</v>
      </c>
      <c r="AH68" s="30">
        <f>'TUSD BE'!$AH$68*'TUSD BE'!$AH$78</f>
        <v>-2.011438230987828</v>
      </c>
      <c r="AI68" s="30">
        <f>'TUSD BE'!$AI$68*'TUSD BE'!$AI$78</f>
        <v>-7.1614528750973225E-2</v>
      </c>
      <c r="AJ68" s="30">
        <f ca="1">'TUSD BE'!$AJ$68*'TUSD BE'!$AJ$78</f>
        <v>-0.59938569879525205</v>
      </c>
      <c r="AK68" s="30">
        <f ca="1">'TUSD BE'!$AK$68*'TUSD BE'!$AK$78</f>
        <v>0</v>
      </c>
      <c r="AL68" s="30">
        <f ca="1">SUM($AH$68:$AK$68)</f>
        <v>-2.6824384585340533</v>
      </c>
      <c r="AM68" s="30">
        <f ca="1">SUMIF($L$4:$AL$4,"SUBTOTAL",$L$68:$AL$68)</f>
        <v>-18.627358662157231</v>
      </c>
      <c r="AO68" s="36">
        <f ca="1">+'TUSD BE'!$T$68+'TUSD BE'!$AB$68+'TUSD BE'!$AD$68+'TUSD BE'!$AL$68</f>
        <v>420.5131831177971</v>
      </c>
      <c r="AP68" s="36">
        <f ca="1">+'TUSD BE'!$T$68+'TUSD BE'!$AB$68+'TUSD BE'!$AD$68+'TUSD BE'!$AL$68</f>
        <v>420.5131831177971</v>
      </c>
    </row>
    <row r="69" spans="1:42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>
        <f>'TUSD BE'!$L$69*'TUSD BE'!$L$78</f>
        <v>-0.43066373096517935</v>
      </c>
      <c r="M69" s="30">
        <f>'TUSD BE'!$M$69*'TUSD BE'!$M$78</f>
        <v>-4.483637674930592E-2</v>
      </c>
      <c r="N69" s="30">
        <f ca="1">'TUSD BE'!$N$69*'TUSD BE'!$N$78</f>
        <v>-1.9173759744828679E-3</v>
      </c>
      <c r="O69" s="30">
        <f>'TUSD BE'!$O$69*'TUSD BE'!$O$78</f>
        <v>-7.7559117269576281E-4</v>
      </c>
      <c r="P69" s="30">
        <f>'TUSD BE'!$P$69*'TUSD BE'!$P$78</f>
        <v>0</v>
      </c>
      <c r="Q69" s="30">
        <f>'TUSD BE'!$Q$69*'TUSD BE'!$Q$78</f>
        <v>-0.857647561557352</v>
      </c>
      <c r="R69" s="30">
        <f>'TUSD BE'!$R$69*'TUSD BE'!$R$78</f>
        <v>-0.4438592698397088</v>
      </c>
      <c r="S69" s="30">
        <f>'TUSD BE'!$R$69*'TUSD BE'!$S$78</f>
        <v>0</v>
      </c>
      <c r="T69" s="30">
        <f ca="1">SUM($L$69:$S$69)</f>
        <v>-1.7796999062587247</v>
      </c>
      <c r="U69" s="30">
        <f>'TUSD BE'!$U$69*'TUSD BE'!$U$78</f>
        <v>4.3041359408210047</v>
      </c>
      <c r="V69" s="30">
        <f>'TUSD BE'!$V$69*'TUSD BE'!$V$78</f>
        <v>0</v>
      </c>
      <c r="W69" s="30">
        <f>'TUSD BE'!$W$69*'TUSD BE'!$W$78</f>
        <v>0</v>
      </c>
      <c r="X69" s="30">
        <f>'TUSD BE'!$X$69*'TUSD BE'!$X$78</f>
        <v>0</v>
      </c>
      <c r="Y69" s="30">
        <f>'TUSD BE'!$Y$69*'TUSD BE'!$Y$78</f>
        <v>0</v>
      </c>
      <c r="Z69" s="30">
        <f>'TUSD BE'!$Z$69*'TUSD BE'!$Z$78</f>
        <v>0</v>
      </c>
      <c r="AA69" s="30">
        <f>'TUSD BE'!$AA$69*'TUSD BE'!$AA$78</f>
        <v>0</v>
      </c>
      <c r="AB69" s="30">
        <f>SUM($U$69:$AA$69)</f>
        <v>4.3041359408210047</v>
      </c>
      <c r="AC69" s="30">
        <f>'TUSD BE'!$AC$69*'TUSD BE'!$AC$78</f>
        <v>16.585819651646531</v>
      </c>
      <c r="AD69" s="30">
        <f>SUM($AC$69:$AC$69)</f>
        <v>16.585819651646531</v>
      </c>
      <c r="AE69" s="30">
        <f ca="1">$AO$69*$AO$75</f>
        <v>-35.055175889831986</v>
      </c>
      <c r="AF69" s="30">
        <f ca="1">$AP$69*$AP$75</f>
        <v>0</v>
      </c>
      <c r="AG69" s="30">
        <f ca="1">SUM($AE$69:$AF$69)</f>
        <v>-35.055175889831986</v>
      </c>
      <c r="AH69" s="30">
        <f>'TUSD BE'!$AH$69*'TUSD BE'!$AH$78</f>
        <v>-2.011438230987828</v>
      </c>
      <c r="AI69" s="30">
        <f>'TUSD BE'!$AI$69*'TUSD BE'!$AI$78</f>
        <v>-7.1614528750973225E-2</v>
      </c>
      <c r="AJ69" s="30">
        <f ca="1">'TUSD BE'!$AJ$69*'TUSD BE'!$AJ$78</f>
        <v>-0.59938569879525205</v>
      </c>
      <c r="AK69" s="30">
        <f ca="1">'TUSD BE'!$AK$69*'TUSD BE'!$AK$78</f>
        <v>0</v>
      </c>
      <c r="AL69" s="30">
        <f ca="1">SUM($AH$69:$AK$69)</f>
        <v>-2.6824384585340533</v>
      </c>
      <c r="AM69" s="30">
        <f ca="1">SUMIF($L$4:$AL$4,"SUBTOTAL",$L$69:$AL$69)</f>
        <v>-18.627358662157231</v>
      </c>
      <c r="AO69" s="36">
        <f ca="1">+'TUSD BE'!$T$69+'TUSD BE'!$AB$69+'TUSD BE'!$AD$69+'TUSD BE'!$AL$69</f>
        <v>420.5131831177971</v>
      </c>
      <c r="AP69" s="36">
        <f ca="1">+'TUSD BE'!$T$69+'TUSD BE'!$AB$69+'TUSD BE'!$AD$69+'TUSD BE'!$AL$69</f>
        <v>420.5131831177971</v>
      </c>
    </row>
    <row r="70" spans="1:42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>
        <f>'TUSD BE'!$L$70*'TUSD BE'!$L$78</f>
        <v>-0.23686505203084868</v>
      </c>
      <c r="M70" s="30">
        <f>'TUSD BE'!$M$70*'TUSD BE'!$M$78</f>
        <v>-2.4660007212118255E-2</v>
      </c>
      <c r="N70" s="30">
        <f ca="1">'TUSD BE'!$N$70*'TUSD BE'!$N$78</f>
        <v>-1.0545567859655772E-3</v>
      </c>
      <c r="O70" s="30">
        <f>'TUSD BE'!$O$70*'TUSD BE'!$O$78</f>
        <v>-4.2657514498266959E-4</v>
      </c>
      <c r="P70" s="30">
        <f>'TUSD BE'!$P$70*'TUSD BE'!$P$78</f>
        <v>0</v>
      </c>
      <c r="Q70" s="30">
        <f>'TUSD BE'!$Q$70*'TUSD BE'!$Q$78</f>
        <v>-0.47170615885654366</v>
      </c>
      <c r="R70" s="30">
        <f>'TUSD BE'!$R$70*'TUSD BE'!$R$78</f>
        <v>-0.24412259841183984</v>
      </c>
      <c r="S70" s="30">
        <f>'TUSD BE'!$R$70*'TUSD BE'!$S$78</f>
        <v>0</v>
      </c>
      <c r="T70" s="30">
        <f ca="1">SUM($L$70:$S$70)</f>
        <v>-0.97883494844229868</v>
      </c>
      <c r="U70" s="30">
        <f>'TUSD BE'!$U$70*'TUSD BE'!$U$78</f>
        <v>2.3672747674515531</v>
      </c>
      <c r="V70" s="30">
        <f>'TUSD BE'!$V$70*'TUSD BE'!$V$78</f>
        <v>0</v>
      </c>
      <c r="W70" s="30">
        <f>'TUSD BE'!$W$70*'TUSD BE'!$W$78</f>
        <v>0</v>
      </c>
      <c r="X70" s="30">
        <f>'TUSD BE'!$X$70*'TUSD BE'!$X$78</f>
        <v>0</v>
      </c>
      <c r="Y70" s="30">
        <f>'TUSD BE'!$Y$70*'TUSD BE'!$Y$78</f>
        <v>0</v>
      </c>
      <c r="Z70" s="30">
        <f>'TUSD BE'!$Z$70*'TUSD BE'!$Z$78</f>
        <v>0</v>
      </c>
      <c r="AA70" s="30">
        <f>'TUSD BE'!$AA$70*'TUSD BE'!$AA$78</f>
        <v>0</v>
      </c>
      <c r="AB70" s="30">
        <f>SUM($U$70:$AA$70)</f>
        <v>2.3672747674515531</v>
      </c>
      <c r="AC70" s="30">
        <f>'TUSD BE'!$AC$70*'TUSD BE'!$AC$78</f>
        <v>9.1222008084055926</v>
      </c>
      <c r="AD70" s="30">
        <f>SUM($AC$70:$AC$70)</f>
        <v>9.1222008084055926</v>
      </c>
      <c r="AE70" s="30">
        <f ca="1">$AO$70*$AO$75</f>
        <v>-19.280346739407594</v>
      </c>
      <c r="AF70" s="30">
        <f ca="1">$AP$70*$AP$75</f>
        <v>0</v>
      </c>
      <c r="AG70" s="30">
        <f ca="1">SUM($AE$70:$AF$70)</f>
        <v>-19.280346739407594</v>
      </c>
      <c r="AH70" s="30">
        <f>'TUSD BE'!$AH$70*'TUSD BE'!$AH$78</f>
        <v>-1.1062910270433055</v>
      </c>
      <c r="AI70" s="30">
        <f>'TUSD BE'!$AI$70*'TUSD BE'!$AI$78</f>
        <v>-3.9387990813035269E-2</v>
      </c>
      <c r="AJ70" s="30">
        <f ca="1">'TUSD BE'!$AJ$70*'TUSD BE'!$AJ$78</f>
        <v>-0.32966213433738867</v>
      </c>
      <c r="AK70" s="30">
        <f ca="1">'TUSD BE'!$AK$70*'TUSD BE'!$AK$78</f>
        <v>0</v>
      </c>
      <c r="AL70" s="30">
        <f ca="1">SUM($AH$70:$AK$70)</f>
        <v>-1.4753411521937294</v>
      </c>
      <c r="AM70" s="30">
        <f ca="1">SUMIF($L$4:$AL$4,"SUBTOTAL",$L$70:$AL$70)</f>
        <v>-10.245047264186477</v>
      </c>
      <c r="AO70" s="36">
        <f ca="1">+'TUSD BE'!$T$70+'TUSD BE'!$AB$70+'TUSD BE'!$AD$70+'TUSD BE'!$AL$70</f>
        <v>231.28225071478846</v>
      </c>
      <c r="AP70" s="36">
        <f ca="1">+'TUSD BE'!$T$70+'TUSD BE'!$AB$70+'TUSD BE'!$AD$70+'TUSD BE'!$AL$70</f>
        <v>231.28225071478846</v>
      </c>
    </row>
    <row r="71" spans="1:42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>
        <f>'TUSD BE'!$L$71*'TUSD BE'!$L$78</f>
        <v>-0.2583982385791076</v>
      </c>
      <c r="M71" s="30">
        <f>'TUSD BE'!$M$71*'TUSD BE'!$M$78</f>
        <v>-2.6901826049583553E-2</v>
      </c>
      <c r="N71" s="30">
        <f ca="1">'TUSD BE'!$N$71*'TUSD BE'!$N$78</f>
        <v>-1.1504255846897205E-3</v>
      </c>
      <c r="O71" s="30">
        <f>'TUSD BE'!$O$71*'TUSD BE'!$O$78</f>
        <v>-4.6535470361745766E-4</v>
      </c>
      <c r="P71" s="30">
        <f>'TUSD BE'!$P$71*'TUSD BE'!$P$78</f>
        <v>0</v>
      </c>
      <c r="Q71" s="30">
        <f>'TUSD BE'!$Q$71*'TUSD BE'!$Q$78</f>
        <v>-0.5145885369344112</v>
      </c>
      <c r="R71" s="30">
        <f>'TUSD BE'!$R$71*'TUSD BE'!$R$78</f>
        <v>-0.26631556190382527</v>
      </c>
      <c r="S71" s="30">
        <f>'TUSD BE'!$R$71*'TUSD BE'!$S$78</f>
        <v>0</v>
      </c>
      <c r="T71" s="30">
        <f ca="1">SUM($L$71:$S$71)</f>
        <v>-1.0678199437552349</v>
      </c>
      <c r="U71" s="30">
        <f>'TUSD BE'!$U$71*'TUSD BE'!$U$78</f>
        <v>2.5824815644926025</v>
      </c>
      <c r="V71" s="30">
        <f>'TUSD BE'!$V$71*'TUSD BE'!$V$78</f>
        <v>0</v>
      </c>
      <c r="W71" s="30">
        <f>'TUSD BE'!$W$71*'TUSD BE'!$W$78</f>
        <v>0</v>
      </c>
      <c r="X71" s="30">
        <f>'TUSD BE'!$X$71*'TUSD BE'!$X$78</f>
        <v>0</v>
      </c>
      <c r="Y71" s="30">
        <f>'TUSD BE'!$Y$71*'TUSD BE'!$Y$78</f>
        <v>0</v>
      </c>
      <c r="Z71" s="30">
        <f>'TUSD BE'!$Z$71*'TUSD BE'!$Z$78</f>
        <v>0</v>
      </c>
      <c r="AA71" s="30">
        <f>'TUSD BE'!$AA$71*'TUSD BE'!$AA$78</f>
        <v>0</v>
      </c>
      <c r="AB71" s="30">
        <f>SUM($U$71:$AA$71)</f>
        <v>2.5824815644926025</v>
      </c>
      <c r="AC71" s="30">
        <f>'TUSD BE'!$AC$71*'TUSD BE'!$AC$78</f>
        <v>9.9514917909879159</v>
      </c>
      <c r="AD71" s="30">
        <f>SUM($AC$71:$AC$71)</f>
        <v>9.9514917909879159</v>
      </c>
      <c r="AE71" s="30">
        <f ca="1">$AO$71*$AO$75</f>
        <v>-21.033105533899192</v>
      </c>
      <c r="AF71" s="30">
        <f ca="1">$AP$71*$AP$75</f>
        <v>0</v>
      </c>
      <c r="AG71" s="30">
        <f ca="1">SUM($AE$71:$AF$71)</f>
        <v>-21.033105533899192</v>
      </c>
      <c r="AH71" s="30">
        <f>'TUSD BE'!$AH$71*'TUSD BE'!$AH$78</f>
        <v>-1.2068629385926966</v>
      </c>
      <c r="AI71" s="30">
        <f>'TUSD BE'!$AI$71*'TUSD BE'!$AI$78</f>
        <v>-4.2968717250583925E-2</v>
      </c>
      <c r="AJ71" s="30">
        <f ca="1">'TUSD BE'!$AJ$71*'TUSD BE'!$AJ$78</f>
        <v>-0.35963141927715125</v>
      </c>
      <c r="AK71" s="30">
        <f ca="1">'TUSD BE'!$AK$71*'TUSD BE'!$AK$78</f>
        <v>0</v>
      </c>
      <c r="AL71" s="30">
        <f ca="1">SUM($AH$71:$AK$71)</f>
        <v>-1.6094630751204317</v>
      </c>
      <c r="AM71" s="30">
        <f ca="1">SUMIF($L$4:$AL$4,"SUBTOTAL",$L$71:$AL$71)</f>
        <v>-11.176415197294341</v>
      </c>
      <c r="AO71" s="36">
        <f ca="1">+'TUSD BE'!$T$71+'TUSD BE'!$AB$71+'TUSD BE'!$AD$71+'TUSD BE'!$AL$71</f>
        <v>252.30790987067826</v>
      </c>
      <c r="AP71" s="36">
        <f ca="1">+'TUSD BE'!$T$71+'TUSD BE'!$AB$71+'TUSD BE'!$AD$71+'TUSD BE'!$AL$71</f>
        <v>252.30790987067826</v>
      </c>
    </row>
    <row r="73" spans="1:42" ht="11.25" customHeight="1" x14ac:dyDescent="0.25">
      <c r="K73" s="31" t="s">
        <v>957</v>
      </c>
      <c r="L73" s="30">
        <f>SUMPRODUCT($I$5:$I71,$L$5:$L71)</f>
        <v>-947132.87540617387</v>
      </c>
      <c r="M73" s="30">
        <f>SUMPRODUCT($I$5:$I71,$M$5:$M71)</f>
        <v>-105920.11826814647</v>
      </c>
      <c r="N73" s="30">
        <f ca="1">SUMPRODUCT($I$5:$I71,$N$5:$N71)</f>
        <v>-3759.7021670353665</v>
      </c>
      <c r="O73" s="30">
        <f>SUMPRODUCT($I$5:$I71,$O$5:$O71)</f>
        <v>-2345.1451743794159</v>
      </c>
      <c r="P73" s="30">
        <f>SUMPRODUCT($I$5:$I71,$P$5:$P71)</f>
        <v>0</v>
      </c>
      <c r="Q73" s="30">
        <f>SUMPRODUCT($I$5:$I71,$Q$5:$Q71)</f>
        <v>-1886172.7669576756</v>
      </c>
      <c r="R73" s="30">
        <f>SUMPRODUCT($I$5:$I71,$R$5:$R71)</f>
        <v>-1067406.6347898263</v>
      </c>
      <c r="S73" s="30">
        <f>SUMPRODUCT($I$5:$I71,$S$5:$S71)</f>
        <v>0</v>
      </c>
      <c r="T73" s="30">
        <f ca="1">SUMPRODUCT($I$5:$I71,$T$5:$T71)</f>
        <v>-4012737.2427632371</v>
      </c>
      <c r="U73" s="30">
        <f>SUMPRODUCT($I$5:$I71,$U$5:$U71)</f>
        <v>13547919.948633119</v>
      </c>
      <c r="V73" s="30">
        <f>SUMPRODUCT($I$5:$I71,$V$5:$V71)</f>
        <v>0</v>
      </c>
      <c r="W73" s="30">
        <f>SUMPRODUCT($I$5:$I71,$W$5:$W71)</f>
        <v>0</v>
      </c>
      <c r="X73" s="30">
        <f>SUMPRODUCT($I$5:$I71,$X$5:$X71)</f>
        <v>0</v>
      </c>
      <c r="Y73" s="30">
        <f>SUMPRODUCT($I$5:$I71,$Y$5:$Y71)</f>
        <v>0</v>
      </c>
      <c r="Z73" s="30">
        <f>SUMPRODUCT($I$5:$I71,$Z$5:$Z71)</f>
        <v>0</v>
      </c>
      <c r="AA73" s="30">
        <f>SUMPRODUCT($I$5:$I71,$AA$5:$AA71)</f>
        <v>0</v>
      </c>
      <c r="AB73" s="30">
        <f>SUMPRODUCT($I$5:$I71,$AB$5:$AB71)</f>
        <v>13547919.948633119</v>
      </c>
      <c r="AC73" s="30">
        <f>SUMPRODUCT($I$5:$I71,$AC$5:$AC71)</f>
        <v>37946865.750737622</v>
      </c>
      <c r="AD73" s="30">
        <f>SUMPRODUCT($I$5:$I71,$AD$5:$AD71)</f>
        <v>37946865.750737622</v>
      </c>
      <c r="AE73" s="30">
        <f ca="1">SUMPRODUCT($I$5:$I71,$AE$5:$AE71)</f>
        <v>-81038980.485481143</v>
      </c>
      <c r="AF73" s="30">
        <f ca="1">SUMPRODUCT($I$5:$I71,$AF$5:$AF71)</f>
        <v>0</v>
      </c>
      <c r="AG73" s="30">
        <f ca="1">SUMPRODUCT($I$5:$I71,$AG$5:$AG71)</f>
        <v>-81038980.485481143</v>
      </c>
      <c r="AH73" s="30">
        <f>SUMPRODUCT($I$5:$I71,$AH$5:$AH71)</f>
        <v>-4279028.37978708</v>
      </c>
      <c r="AI73" s="30">
        <f>SUMPRODUCT($I$5:$I71,$AI$5:$AI71)</f>
        <v>-162522.71273876732</v>
      </c>
      <c r="AJ73" s="30">
        <f ca="1">SUMPRODUCT($I$5:$I71,$AJ$5:$AJ71)</f>
        <v>-1423476.1110110262</v>
      </c>
      <c r="AK73" s="30">
        <f ca="1">SUMPRODUCT($I$5:$I71,$AK$5:$AK71)</f>
        <v>0</v>
      </c>
      <c r="AL73" s="30">
        <f ca="1">SUMPRODUCT($I$5:$I71,$AL$5:$AL71)</f>
        <v>-5865027.2035368737</v>
      </c>
      <c r="AM73" s="30">
        <f ca="1">SUMPRODUCT($I$5:$I71,$AM$5:$AM71)</f>
        <v>-39421959.232410513</v>
      </c>
      <c r="AO73" s="33">
        <f ca="1">SUMPRODUCT($I$5:$I71,$AO$5:$AO71)</f>
        <v>972123481.78390634</v>
      </c>
      <c r="AP73" s="33">
        <f ca="1">SUMPRODUCT($I$5:$I71,$AP$5:$AP71)</f>
        <v>980436706.79462659</v>
      </c>
    </row>
    <row r="74" spans="1:42" ht="11.25" customHeight="1" x14ac:dyDescent="0.25">
      <c r="K74" s="31" t="s">
        <v>899</v>
      </c>
      <c r="L74" s="30">
        <f>'TR TUSD'!$L$76</f>
        <v>9196083.9939750805</v>
      </c>
      <c r="M74" s="30">
        <f>'TR TUSD'!$M$76</f>
        <v>2819440.2570200874</v>
      </c>
      <c r="N74" s="30">
        <f>'TR TUSD'!$N$76</f>
        <v>7769668.5333095053</v>
      </c>
      <c r="O74" s="30">
        <f>'TR TUSD'!$O$76</f>
        <v>72430.71428571429</v>
      </c>
      <c r="P74" s="30">
        <f>'TR TUSD'!$P$76</f>
        <v>0</v>
      </c>
      <c r="Q74" s="30">
        <f>'TR TUSD'!$Q$76</f>
        <v>80903572.193443432</v>
      </c>
      <c r="R74" s="30">
        <f>'TR TUSD'!$R$76</f>
        <v>35275305.42148526</v>
      </c>
      <c r="S74" s="30">
        <f>'TR TUSD'!$S$76</f>
        <v>0</v>
      </c>
      <c r="T74" s="30">
        <f>'TR TUSD'!$T$76</f>
        <v>136036501.11351907</v>
      </c>
      <c r="U74" s="30">
        <f>'TR TUSD'!$U$76</f>
        <v>66354216.574999996</v>
      </c>
      <c r="V74" s="30">
        <f>'TR TUSD'!$V$76</f>
        <v>14020374.309999999</v>
      </c>
      <c r="W74" s="30">
        <f>'TR TUSD'!$W$76</f>
        <v>13787977.046372</v>
      </c>
      <c r="X74" s="30">
        <f>'TR TUSD'!$X$76</f>
        <v>0</v>
      </c>
      <c r="Y74" s="30">
        <f>'TR TUSD'!$Y$76</f>
        <v>0</v>
      </c>
      <c r="Z74" s="30">
        <f>'TR TUSD'!$Z$76</f>
        <v>0</v>
      </c>
      <c r="AA74" s="30">
        <f>'TR TUSD'!$AA$76</f>
        <v>0</v>
      </c>
      <c r="AB74" s="30">
        <f>'TR TUSD'!$AB$76</f>
        <v>94162567.931371987</v>
      </c>
      <c r="AC74" s="30">
        <f>'TR TUSD'!$AC$76</f>
        <v>672726400.49279642</v>
      </c>
      <c r="AD74" s="30">
        <f>'TR TUSD'!$AD$76</f>
        <v>672726400.49279642</v>
      </c>
      <c r="AE74" s="30">
        <f>'TR TUSD'!$AE$76</f>
        <v>0</v>
      </c>
      <c r="AF74" s="30">
        <f>'TR TUSD'!$AF$76</f>
        <v>0</v>
      </c>
      <c r="AG74" s="30">
        <f>'TR TUSD'!$AG$76</f>
        <v>0</v>
      </c>
      <c r="AH74" s="30">
        <f>'TR TUSD'!$AH$76</f>
        <v>57619491.4859313</v>
      </c>
      <c r="AI74" s="30">
        <f>'TR TUSD'!$AI$76</f>
        <v>2188458.5078138295</v>
      </c>
      <c r="AJ74" s="30">
        <f>'TR TUSD'!$AJ$76</f>
        <v>19167895.694794998</v>
      </c>
      <c r="AK74" s="30">
        <f>'TR TUSD'!$AK$76</f>
        <v>0</v>
      </c>
      <c r="AL74" s="30">
        <f>'TR TUSD'!$AL$76</f>
        <v>78975845.688540131</v>
      </c>
      <c r="AM74" s="30">
        <f>'TUSD BE'!$AM$74</f>
        <v>981901315.22622764</v>
      </c>
      <c r="AO74" s="33">
        <f>$AE$75</f>
        <v>-81038980.485481143</v>
      </c>
      <c r="AP74" s="33">
        <f>$AF$75</f>
        <v>0</v>
      </c>
    </row>
    <row r="75" spans="1:42" ht="11.25" customHeight="1" x14ac:dyDescent="0.25">
      <c r="K75" s="31" t="s">
        <v>900</v>
      </c>
      <c r="L75" s="30">
        <f>CUSTOS!$E$2</f>
        <v>-947132.87540617387</v>
      </c>
      <c r="M75" s="30">
        <f>CUSTOS!$E$3</f>
        <v>-105920.11826814646</v>
      </c>
      <c r="N75" s="30">
        <f>CUSTOS!$E$4</f>
        <v>-3759.7021670353647</v>
      </c>
      <c r="O75" s="30">
        <f>CUSTOS!$E$5</f>
        <v>-2345.145174379415</v>
      </c>
      <c r="P75" s="30">
        <f>CUSTOS!$E$6</f>
        <v>0</v>
      </c>
      <c r="Q75" s="30">
        <f>CUSTOS!$E$7</f>
        <v>-1886172.7669576753</v>
      </c>
      <c r="R75" s="30">
        <f>CUSTOS!$E$8</f>
        <v>-1067406.6347898261</v>
      </c>
      <c r="S75" s="30">
        <f>CUSTOS!$E$9</f>
        <v>0</v>
      </c>
      <c r="T75" s="30">
        <f>CUSTOS!$E$10</f>
        <v>-4012737.2427632371</v>
      </c>
      <c r="U75" s="30">
        <f>CUSTOS!$E$11</f>
        <v>13547919.948633119</v>
      </c>
      <c r="V75" s="30">
        <f>CUSTOS!$E$12</f>
        <v>0</v>
      </c>
      <c r="W75" s="30">
        <f>CUSTOS!$E$13</f>
        <v>0</v>
      </c>
      <c r="X75" s="30">
        <f>CUSTOS!$E$14</f>
        <v>0</v>
      </c>
      <c r="Y75" s="30">
        <f>CUSTOS!$E$15</f>
        <v>0</v>
      </c>
      <c r="Z75" s="30">
        <f>CUSTOS!$E$16</f>
        <v>0</v>
      </c>
      <c r="AA75" s="30">
        <f>CUSTOS!$E$17</f>
        <v>0</v>
      </c>
      <c r="AB75" s="30">
        <f>CUSTOS!$E$18</f>
        <v>13547919.948633119</v>
      </c>
      <c r="AC75" s="30">
        <f>CUSTOS!$E$19</f>
        <v>37946865.750737622</v>
      </c>
      <c r="AD75" s="30">
        <f>CUSTOS!$E$20</f>
        <v>37946865.750737622</v>
      </c>
      <c r="AE75" s="30">
        <f>CUSTOS!$E$21</f>
        <v>-81038980.485481143</v>
      </c>
      <c r="AF75" s="30">
        <f>CUSTOS!$E$22</f>
        <v>0</v>
      </c>
      <c r="AG75" s="30">
        <f>CUSTOS!$E$23</f>
        <v>-81038980.485481143</v>
      </c>
      <c r="AH75" s="30">
        <f>CUSTOS!$E$24</f>
        <v>-4279028.37978708</v>
      </c>
      <c r="AI75" s="30">
        <f>CUSTOS!$E$25</f>
        <v>-162522.71273876732</v>
      </c>
      <c r="AJ75" s="30">
        <f>CUSTOS!$E$26</f>
        <v>-1423476.1110110257</v>
      </c>
      <c r="AK75" s="30">
        <f>CUSTOS!$E$27</f>
        <v>0</v>
      </c>
      <c r="AL75" s="30">
        <f>CUSTOS!$E$28</f>
        <v>-5865027.2035368728</v>
      </c>
      <c r="AM75" s="30">
        <f>CUSTOS!$E$29</f>
        <v>-39421959.232410513</v>
      </c>
      <c r="AO75" s="33">
        <f ca="1">IF(AO73&lt;&gt;0,AO74/AO73,0)</f>
        <v>-8.3362846391458037E-2</v>
      </c>
      <c r="AP75" s="33">
        <f ca="1">IF(AP73&lt;&gt;0,AP74/AP73,0)</f>
        <v>0</v>
      </c>
    </row>
    <row r="76" spans="1:42" ht="11.25" customHeight="1" x14ac:dyDescent="0.25">
      <c r="K76" s="31" t="s">
        <v>901</v>
      </c>
      <c r="L76" s="30">
        <f>CUSTOS!$F$2</f>
        <v>597884.03521849692</v>
      </c>
      <c r="M76" s="30">
        <f>CUSTOS!$F$3</f>
        <v>0</v>
      </c>
      <c r="N76" s="30">
        <f>CUSTOS!$F$4</f>
        <v>0</v>
      </c>
      <c r="O76" s="30">
        <f>CUSTOS!$F$5</f>
        <v>0</v>
      </c>
      <c r="P76" s="30">
        <f>CUSTOS!$F$6</f>
        <v>0</v>
      </c>
      <c r="Q76" s="30">
        <f>CUSTOS!$F$7</f>
        <v>7068141.1884434102</v>
      </c>
      <c r="R76" s="30">
        <f>CUSTOS!$F$8</f>
        <v>4134879.6753578046</v>
      </c>
      <c r="S76" s="30">
        <f>CUSTOS!$F$9</f>
        <v>0</v>
      </c>
      <c r="T76" s="30">
        <f>CUSTOS!$F$10</f>
        <v>11800904.899019711</v>
      </c>
      <c r="U76" s="30">
        <f>CUSTOS!$F$11</f>
        <v>3714194.3638990573</v>
      </c>
      <c r="V76" s="30">
        <f>CUSTOS!$F$12</f>
        <v>784794.06328454765</v>
      </c>
      <c r="W76" s="30">
        <f>CUSTOS!$F$13</f>
        <v>0</v>
      </c>
      <c r="X76" s="30">
        <f>CUSTOS!$F$14</f>
        <v>0</v>
      </c>
      <c r="Y76" s="30">
        <f>CUSTOS!$F$15</f>
        <v>0</v>
      </c>
      <c r="Z76" s="30">
        <f>CUSTOS!$F$16</f>
        <v>0</v>
      </c>
      <c r="AA76" s="30">
        <f>CUSTOS!$F$17</f>
        <v>0</v>
      </c>
      <c r="AB76" s="30">
        <f>CUSTOS!$F$18</f>
        <v>4498988.4271836048</v>
      </c>
      <c r="AC76" s="30">
        <f>CUSTOS!$F$19</f>
        <v>0</v>
      </c>
      <c r="AD76" s="30">
        <f>CUSTOS!$F$20</f>
        <v>0</v>
      </c>
      <c r="AE76" s="30">
        <f>CUSTOS!$F$21</f>
        <v>0</v>
      </c>
      <c r="AF76" s="30">
        <f>CUSTOS!$F$22</f>
        <v>0</v>
      </c>
      <c r="AG76" s="30">
        <f>CUSTOS!$F$23</f>
        <v>0</v>
      </c>
      <c r="AH76" s="30">
        <f>CUSTOS!$F$24</f>
        <v>4177088.773730055</v>
      </c>
      <c r="AI76" s="30">
        <f>CUSTOS!$F$25</f>
        <v>158650.92226638595</v>
      </c>
      <c r="AJ76" s="30">
        <f>CUSTOS!$F$26</f>
        <v>1389564.5355062915</v>
      </c>
      <c r="AK76" s="30">
        <f>CUSTOS!$F$27</f>
        <v>0</v>
      </c>
      <c r="AL76" s="30">
        <f>CUSTOS!$F$28</f>
        <v>5725304.2315027323</v>
      </c>
      <c r="AM76" s="30">
        <f>CUSTOS!$F$29</f>
        <v>22025197.557706051</v>
      </c>
    </row>
    <row r="77" spans="1:42" ht="11.25" customHeight="1" x14ac:dyDescent="0.25">
      <c r="K77" s="31" t="s">
        <v>954</v>
      </c>
      <c r="L77" s="30">
        <v>0</v>
      </c>
      <c r="M77" s="30">
        <f>5104.4761*(1+CUSTOS!$M$4)</f>
        <v>5858.4338554054148</v>
      </c>
      <c r="N77" s="30">
        <f>12634.8415*(1+CUSTOS!$M$4)</f>
        <v>14501.073518843852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f>SUM($L$77:$S$77)</f>
        <v>20359.507374249268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f>SUM($U$77:$AA$77)</f>
        <v>0</v>
      </c>
      <c r="AC77" s="30">
        <f>1258379.6793*(1+CUSTOS!$M$4)</f>
        <v>1444248.9242265879</v>
      </c>
      <c r="AD77" s="30">
        <f>SUM($AC$77:$AC$77)</f>
        <v>1444248.9242265879</v>
      </c>
      <c r="AE77" s="30">
        <v>0</v>
      </c>
      <c r="AF77" s="30">
        <v>0</v>
      </c>
      <c r="AG77" s="30">
        <f>SUM($AE$77:$AF$77)</f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f>SUM($AH$77:$AK$77)</f>
        <v>0</v>
      </c>
      <c r="AM77" s="30"/>
    </row>
    <row r="78" spans="1:42" ht="11.25" customHeight="1" x14ac:dyDescent="0.25">
      <c r="K78" s="31" t="s">
        <v>960</v>
      </c>
      <c r="L78" s="30">
        <f t="shared" ref="L78:R78" si="0">IF((L74-(0))&lt;&gt;0,(L76)/(L74-(0)),0)</f>
        <v>6.50150689804712E-2</v>
      </c>
      <c r="M78" s="30">
        <f t="shared" si="0"/>
        <v>0</v>
      </c>
      <c r="N78" s="30">
        <f t="shared" si="0"/>
        <v>0</v>
      </c>
      <c r="O78" s="30">
        <f t="shared" si="0"/>
        <v>0</v>
      </c>
      <c r="P78" s="30">
        <f t="shared" si="0"/>
        <v>0</v>
      </c>
      <c r="Q78" s="30">
        <f t="shared" si="0"/>
        <v>8.7365007462751124E-2</v>
      </c>
      <c r="R78" s="30">
        <f t="shared" si="0"/>
        <v>0.1172174025413075</v>
      </c>
      <c r="S78" s="30">
        <f>IF((R73-(0)&lt;&gt;0),(S75)/(R73-(0)),0)</f>
        <v>0</v>
      </c>
      <c r="T78" s="30"/>
      <c r="U78" s="30">
        <f t="shared" ref="U78:AA78" si="1">IF((U74-(0))&lt;&gt;0,(U76)/(U74-(0)),0)</f>
        <v>5.5975257573886252E-2</v>
      </c>
      <c r="V78" s="30">
        <f t="shared" si="1"/>
        <v>5.5975257573886252E-2</v>
      </c>
      <c r="W78" s="30">
        <f t="shared" si="1"/>
        <v>0</v>
      </c>
      <c r="X78" s="30">
        <f t="shared" si="1"/>
        <v>0</v>
      </c>
      <c r="Y78" s="30">
        <f t="shared" si="1"/>
        <v>0</v>
      </c>
      <c r="Z78" s="30">
        <f t="shared" si="1"/>
        <v>0</v>
      </c>
      <c r="AA78" s="30">
        <f t="shared" si="1"/>
        <v>0</v>
      </c>
      <c r="AB78" s="30"/>
      <c r="AC78" s="30">
        <f>IF((AC74-(0))&lt;&gt;0,(AC76)/(AC74-(0)),0)</f>
        <v>0</v>
      </c>
      <c r="AD78" s="30"/>
      <c r="AE78" s="30">
        <f ca="1">IF(($AM73-(0))&lt;&gt;0,(AE75)/($AM73-(0)),0)</f>
        <v>2.0556812006150995</v>
      </c>
      <c r="AF78" s="30">
        <f ca="1">IF(($AM73-(0))&lt;&gt;0,(AF75)/($AM73-(0)),0)</f>
        <v>0</v>
      </c>
      <c r="AG78" s="30"/>
      <c r="AH78" s="30">
        <f>IF((AH74-(0))&lt;&gt;0,(AH76)/(AH74-(0)),0)</f>
        <v>7.2494370672291628E-2</v>
      </c>
      <c r="AI78" s="30">
        <f>IF((AI74-(0))&lt;&gt;0,(AI76)/(AI74-(0)),0)</f>
        <v>7.2494370672291614E-2</v>
      </c>
      <c r="AJ78" s="30">
        <f>IF((AJ74-(0))&lt;&gt;0,(AJ76)/(AJ74-(0)),0)</f>
        <v>7.2494370672291628E-2</v>
      </c>
      <c r="AK78" s="30">
        <f>IF((AK74-(0))&lt;&gt;0,(AK76)/(AK74-(0)),0)</f>
        <v>0</v>
      </c>
      <c r="AL78" s="30"/>
      <c r="AM78" s="30"/>
    </row>
    <row r="84" spans="11:39" ht="11.25" customHeight="1" x14ac:dyDescent="0.25">
      <c r="K84" s="31" t="s">
        <v>950</v>
      </c>
      <c r="L84" s="30"/>
      <c r="M84" s="30">
        <v>5858.4339</v>
      </c>
      <c r="N84" s="30">
        <v>14501.0735</v>
      </c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>
        <v>1444248.9242</v>
      </c>
      <c r="AD84" s="30"/>
      <c r="AE84" s="30"/>
      <c r="AF84" s="30"/>
      <c r="AG84" s="30"/>
      <c r="AH84" s="30"/>
      <c r="AI84" s="30"/>
      <c r="AJ84" s="30"/>
      <c r="AK84" s="30"/>
      <c r="AL84" s="30"/>
      <c r="AM84" s="30"/>
    </row>
  </sheetData>
  <mergeCells count="92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F9:F11"/>
    <mergeCell ref="F5:F7"/>
    <mergeCell ref="B9:B11"/>
    <mergeCell ref="A5:A12"/>
    <mergeCell ref="B5:B8"/>
    <mergeCell ref="C5:C8"/>
    <mergeCell ref="D5:D8"/>
    <mergeCell ref="E5:E7"/>
    <mergeCell ref="B13:B16"/>
    <mergeCell ref="C13:C16"/>
    <mergeCell ref="D13:D16"/>
    <mergeCell ref="E13:E15"/>
    <mergeCell ref="A1:A4"/>
    <mergeCell ref="C9:C11"/>
    <mergeCell ref="D9:D11"/>
    <mergeCell ref="E9:E11"/>
    <mergeCell ref="B1:B4"/>
    <mergeCell ref="C1:C4"/>
    <mergeCell ref="D1:D4"/>
    <mergeCell ref="E1:E4"/>
    <mergeCell ref="E17:E28"/>
    <mergeCell ref="F17:F19"/>
    <mergeCell ref="F20:F22"/>
    <mergeCell ref="F23:F25"/>
    <mergeCell ref="F26:F28"/>
    <mergeCell ref="F30:F32"/>
    <mergeCell ref="E33:E34"/>
    <mergeCell ref="F33:F34"/>
    <mergeCell ref="A35:A36"/>
    <mergeCell ref="B35:B36"/>
    <mergeCell ref="C35:C36"/>
    <mergeCell ref="D35:D36"/>
    <mergeCell ref="A13:A34"/>
    <mergeCell ref="B30:B34"/>
    <mergeCell ref="C30:C34"/>
    <mergeCell ref="D30:D34"/>
    <mergeCell ref="E30:E32"/>
    <mergeCell ref="F13:F15"/>
    <mergeCell ref="B17:B28"/>
    <mergeCell ref="C17:C28"/>
    <mergeCell ref="D17:D28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D58:D60"/>
    <mergeCell ref="E58:E60"/>
    <mergeCell ref="F58:F60"/>
    <mergeCell ref="D50:D52"/>
    <mergeCell ref="E50:E52"/>
    <mergeCell ref="F50:F52"/>
    <mergeCell ref="D54:D56"/>
    <mergeCell ref="E54:E56"/>
    <mergeCell ref="F54:F56"/>
    <mergeCell ref="B62:B64"/>
    <mergeCell ref="C62:C64"/>
    <mergeCell ref="A65:A69"/>
    <mergeCell ref="B65:B67"/>
    <mergeCell ref="C65:C67"/>
    <mergeCell ref="A50:A64"/>
    <mergeCell ref="B50:B52"/>
    <mergeCell ref="C50:C52"/>
    <mergeCell ref="B58:B60"/>
    <mergeCell ref="C58:C60"/>
    <mergeCell ref="B54:B56"/>
    <mergeCell ref="C54:C56"/>
    <mergeCell ref="E65:E67"/>
    <mergeCell ref="F65:F67"/>
    <mergeCell ref="A70:A71"/>
    <mergeCell ref="B70:B71"/>
    <mergeCell ref="C70:C71"/>
    <mergeCell ref="D65:D67"/>
  </mergeCells>
  <conditionalFormatting sqref="L73">
    <cfRule type="cellIs" dxfId="1585" priority="55" operator="notEqual">
      <formula>$L$75</formula>
    </cfRule>
    <cfRule type="cellIs" dxfId="1584" priority="56" operator="equal">
      <formula>$L$75</formula>
    </cfRule>
  </conditionalFormatting>
  <conditionalFormatting sqref="M73">
    <cfRule type="cellIs" dxfId="1583" priority="53" operator="notEqual">
      <formula>$M$75</formula>
    </cfRule>
    <cfRule type="cellIs" dxfId="1582" priority="54" operator="equal">
      <formula>$M$75</formula>
    </cfRule>
  </conditionalFormatting>
  <conditionalFormatting sqref="N73">
    <cfRule type="cellIs" dxfId="1581" priority="51" operator="notEqual">
      <formula>$N$75</formula>
    </cfRule>
    <cfRule type="cellIs" dxfId="1580" priority="52" operator="equal">
      <formula>$N$75</formula>
    </cfRule>
  </conditionalFormatting>
  <conditionalFormatting sqref="O73">
    <cfRule type="cellIs" dxfId="1579" priority="49" operator="notEqual">
      <formula>$O$75</formula>
    </cfRule>
    <cfRule type="cellIs" dxfId="1578" priority="50" operator="equal">
      <formula>$O$75</formula>
    </cfRule>
  </conditionalFormatting>
  <conditionalFormatting sqref="P73">
    <cfRule type="cellIs" dxfId="1577" priority="47" operator="notEqual">
      <formula>$P$75</formula>
    </cfRule>
    <cfRule type="cellIs" dxfId="1576" priority="48" operator="equal">
      <formula>$P$75</formula>
    </cfRule>
  </conditionalFormatting>
  <conditionalFormatting sqref="Q73">
    <cfRule type="cellIs" dxfId="1575" priority="45" operator="notEqual">
      <formula>$Q$75</formula>
    </cfRule>
    <cfRule type="cellIs" dxfId="1574" priority="46" operator="equal">
      <formula>$Q$75</formula>
    </cfRule>
  </conditionalFormatting>
  <conditionalFormatting sqref="R73">
    <cfRule type="cellIs" dxfId="1573" priority="43" operator="notEqual">
      <formula>$R$75</formula>
    </cfRule>
    <cfRule type="cellIs" dxfId="1572" priority="44" operator="equal">
      <formula>$R$75</formula>
    </cfRule>
  </conditionalFormatting>
  <conditionalFormatting sqref="S73">
    <cfRule type="cellIs" dxfId="1571" priority="41" operator="notEqual">
      <formula>$S$75</formula>
    </cfRule>
    <cfRule type="cellIs" dxfId="1570" priority="42" operator="equal">
      <formula>$S$75</formula>
    </cfRule>
  </conditionalFormatting>
  <conditionalFormatting sqref="T73">
    <cfRule type="cellIs" dxfId="1569" priority="39" operator="notEqual">
      <formula>$T$75</formula>
    </cfRule>
    <cfRule type="cellIs" dxfId="1568" priority="40" operator="equal">
      <formula>$T$75</formula>
    </cfRule>
  </conditionalFormatting>
  <conditionalFormatting sqref="U73">
    <cfRule type="cellIs" dxfId="1567" priority="37" operator="notEqual">
      <formula>$U$75</formula>
    </cfRule>
    <cfRule type="cellIs" dxfId="1566" priority="38" operator="equal">
      <formula>$U$75</formula>
    </cfRule>
  </conditionalFormatting>
  <conditionalFormatting sqref="V73">
    <cfRule type="cellIs" dxfId="1565" priority="35" operator="notEqual">
      <formula>$V$75</formula>
    </cfRule>
    <cfRule type="cellIs" dxfId="1564" priority="36" operator="equal">
      <formula>$V$75</formula>
    </cfRule>
  </conditionalFormatting>
  <conditionalFormatting sqref="W73">
    <cfRule type="cellIs" dxfId="1563" priority="33" operator="notEqual">
      <formula>$W$75</formula>
    </cfRule>
    <cfRule type="cellIs" dxfId="1562" priority="34" operator="equal">
      <formula>$W$75</formula>
    </cfRule>
  </conditionalFormatting>
  <conditionalFormatting sqref="X73">
    <cfRule type="cellIs" dxfId="1561" priority="31" operator="notEqual">
      <formula>$X$75</formula>
    </cfRule>
    <cfRule type="cellIs" dxfId="1560" priority="32" operator="equal">
      <formula>$X$75</formula>
    </cfRule>
  </conditionalFormatting>
  <conditionalFormatting sqref="Y73">
    <cfRule type="cellIs" dxfId="1559" priority="29" operator="notEqual">
      <formula>$Y$75</formula>
    </cfRule>
    <cfRule type="cellIs" dxfId="1558" priority="30" operator="equal">
      <formula>$Y$75</formula>
    </cfRule>
  </conditionalFormatting>
  <conditionalFormatting sqref="Z73">
    <cfRule type="cellIs" dxfId="1557" priority="27" operator="notEqual">
      <formula>$Z$75</formula>
    </cfRule>
    <cfRule type="cellIs" dxfId="1556" priority="28" operator="equal">
      <formula>$Z$75</formula>
    </cfRule>
  </conditionalFormatting>
  <conditionalFormatting sqref="AA73">
    <cfRule type="cellIs" dxfId="1555" priority="25" operator="notEqual">
      <formula>$AA$75</formula>
    </cfRule>
    <cfRule type="cellIs" dxfId="1554" priority="26" operator="equal">
      <formula>$AA$75</formula>
    </cfRule>
  </conditionalFormatting>
  <conditionalFormatting sqref="AB73">
    <cfRule type="cellIs" dxfId="1553" priority="23" operator="notEqual">
      <formula>$AB$75</formula>
    </cfRule>
    <cfRule type="cellIs" dxfId="1552" priority="24" operator="equal">
      <formula>$AB$75</formula>
    </cfRule>
  </conditionalFormatting>
  <conditionalFormatting sqref="AC73">
    <cfRule type="cellIs" dxfId="1551" priority="21" operator="notEqual">
      <formula>$AC$75</formula>
    </cfRule>
    <cfRule type="cellIs" dxfId="1550" priority="22" operator="equal">
      <formula>$AC$75</formula>
    </cfRule>
  </conditionalFormatting>
  <conditionalFormatting sqref="AD73">
    <cfRule type="cellIs" dxfId="1549" priority="19" operator="notEqual">
      <formula>$AD$75</formula>
    </cfRule>
    <cfRule type="cellIs" dxfId="1548" priority="20" operator="equal">
      <formula>$AD$75</formula>
    </cfRule>
  </conditionalFormatting>
  <conditionalFormatting sqref="AE73">
    <cfRule type="cellIs" dxfId="1547" priority="17" operator="notEqual">
      <formula>$AE$75</formula>
    </cfRule>
    <cfRule type="cellIs" dxfId="1546" priority="18" operator="equal">
      <formula>$AE$75</formula>
    </cfRule>
  </conditionalFormatting>
  <conditionalFormatting sqref="AF73">
    <cfRule type="cellIs" dxfId="1545" priority="16" operator="equal">
      <formula>$AF$75</formula>
    </cfRule>
  </conditionalFormatting>
  <conditionalFormatting sqref="AF73">
    <cfRule type="cellIs" dxfId="1544" priority="15" operator="notEqual">
      <formula>$AF$75</formula>
    </cfRule>
  </conditionalFormatting>
  <conditionalFormatting sqref="AG73">
    <cfRule type="cellIs" dxfId="1543" priority="14" operator="equal">
      <formula>$AG$75</formula>
    </cfRule>
  </conditionalFormatting>
  <conditionalFormatting sqref="AG73">
    <cfRule type="cellIs" dxfId="1542" priority="13" operator="notEqual">
      <formula>$AG$75</formula>
    </cfRule>
  </conditionalFormatting>
  <conditionalFormatting sqref="AH73">
    <cfRule type="cellIs" dxfId="1541" priority="12" operator="equal">
      <formula>$AH$75</formula>
    </cfRule>
  </conditionalFormatting>
  <conditionalFormatting sqref="AH73">
    <cfRule type="cellIs" dxfId="1540" priority="11" operator="notEqual">
      <formula>$AH$75</formula>
    </cfRule>
  </conditionalFormatting>
  <conditionalFormatting sqref="AI73">
    <cfRule type="cellIs" dxfId="1539" priority="10" operator="equal">
      <formula>$AI$75</formula>
    </cfRule>
  </conditionalFormatting>
  <conditionalFormatting sqref="AI73">
    <cfRule type="cellIs" dxfId="1538" priority="9" operator="notEqual">
      <formula>$AI$75</formula>
    </cfRule>
  </conditionalFormatting>
  <conditionalFormatting sqref="AJ73">
    <cfRule type="cellIs" dxfId="1537" priority="8" operator="equal">
      <formula>$AJ$75</formula>
    </cfRule>
  </conditionalFormatting>
  <conditionalFormatting sqref="AJ73">
    <cfRule type="cellIs" dxfId="1536" priority="7" operator="notEqual">
      <formula>$AJ$75</formula>
    </cfRule>
  </conditionalFormatting>
  <conditionalFormatting sqref="AK73">
    <cfRule type="cellIs" dxfId="1535" priority="6" operator="equal">
      <formula>$AK$75</formula>
    </cfRule>
  </conditionalFormatting>
  <conditionalFormatting sqref="AK73">
    <cfRule type="cellIs" dxfId="1534" priority="5" operator="notEqual">
      <formula>$AK$75</formula>
    </cfRule>
  </conditionalFormatting>
  <conditionalFormatting sqref="AL73">
    <cfRule type="cellIs" dxfId="1533" priority="4" operator="equal">
      <formula>$AL$75</formula>
    </cfRule>
  </conditionalFormatting>
  <conditionalFormatting sqref="AL73">
    <cfRule type="cellIs" dxfId="1532" priority="3" operator="notEqual">
      <formula>$AL$75</formula>
    </cfRule>
  </conditionalFormatting>
  <conditionalFormatting sqref="AM73">
    <cfRule type="cellIs" dxfId="1531" priority="2" operator="equal">
      <formula>$AM$75</formula>
    </cfRule>
  </conditionalFormatting>
  <conditionalFormatting sqref="AM73">
    <cfRule type="cellIs" dxfId="1530" priority="1" operator="notEqual">
      <formula>$AM$75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4633F-85C5-4B88-962D-DEAE82D4C21A}">
  <dimension ref="A1:AP83"/>
  <sheetViews>
    <sheetView showGridLines="0" topLeftCell="AH52" workbookViewId="0">
      <selection activeCell="AO73" sqref="AO73:AP7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7.85546875" style="9" bestFit="1" customWidth="1"/>
    <col min="16" max="16" width="4.85546875" style="9" bestFit="1" customWidth="1"/>
    <col min="17" max="18" width="10.85546875" style="9" bestFit="1" customWidth="1"/>
    <col min="19" max="19" width="8.7109375" style="9" bestFit="1" customWidth="1"/>
    <col min="20" max="20" width="11.7109375" style="9" bestFit="1" customWidth="1"/>
    <col min="21" max="21" width="10.85546875" style="9" bestFit="1" customWidth="1"/>
    <col min="22" max="22" width="8.7109375" style="9" bestFit="1" customWidth="1"/>
    <col min="23" max="23" width="10.85546875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962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O1" s="36"/>
      <c r="AP1" s="109" t="s">
        <v>949</v>
      </c>
    </row>
    <row r="2" spans="1:42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O2" s="36"/>
      <c r="AP2" s="110"/>
    </row>
    <row r="3" spans="1:42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/>
      <c r="U3" s="105" t="s">
        <v>868</v>
      </c>
      <c r="V3" s="105"/>
      <c r="W3" s="105"/>
      <c r="X3" s="105"/>
      <c r="Y3" s="105"/>
      <c r="Z3" s="105"/>
      <c r="AA3" s="105"/>
      <c r="AB3" s="105"/>
      <c r="AC3" s="105" t="s">
        <v>876</v>
      </c>
      <c r="AD3" s="105"/>
      <c r="AE3" s="105" t="s">
        <v>878</v>
      </c>
      <c r="AF3" s="105"/>
      <c r="AG3" s="105"/>
      <c r="AH3" s="105" t="s">
        <v>881</v>
      </c>
      <c r="AI3" s="105"/>
      <c r="AJ3" s="105"/>
      <c r="AK3" s="105"/>
      <c r="AL3" s="105"/>
      <c r="AM3" s="105" t="s">
        <v>867</v>
      </c>
      <c r="AO3" s="36"/>
      <c r="AP3" s="110"/>
    </row>
    <row r="4" spans="1:42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867</v>
      </c>
      <c r="U4" s="32" t="s">
        <v>869</v>
      </c>
      <c r="V4" s="32" t="s">
        <v>870</v>
      </c>
      <c r="W4" s="32" t="s">
        <v>871</v>
      </c>
      <c r="X4" s="32" t="s">
        <v>872</v>
      </c>
      <c r="Y4" s="32" t="s">
        <v>873</v>
      </c>
      <c r="Z4" s="32" t="s">
        <v>874</v>
      </c>
      <c r="AA4" s="32" t="s">
        <v>875</v>
      </c>
      <c r="AB4" s="32" t="s">
        <v>867</v>
      </c>
      <c r="AC4" s="32" t="s">
        <v>877</v>
      </c>
      <c r="AD4" s="32" t="s">
        <v>867</v>
      </c>
      <c r="AE4" s="32" t="s">
        <v>879</v>
      </c>
      <c r="AF4" s="32" t="s">
        <v>880</v>
      </c>
      <c r="AG4" s="32" t="s">
        <v>867</v>
      </c>
      <c r="AH4" s="32" t="s">
        <v>882</v>
      </c>
      <c r="AI4" s="32" t="s">
        <v>883</v>
      </c>
      <c r="AJ4" s="32" t="s">
        <v>884</v>
      </c>
      <c r="AK4" s="32" t="s">
        <v>885</v>
      </c>
      <c r="AL4" s="32" t="s">
        <v>867</v>
      </c>
      <c r="AM4" s="107"/>
      <c r="AO4" s="37" t="s">
        <v>961</v>
      </c>
      <c r="AP4" s="111"/>
    </row>
    <row r="5" spans="1:42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>
        <f>'TUSD BE'!$L$5*'TUSD BF'!$L$78</f>
        <v>0</v>
      </c>
      <c r="M5" s="30">
        <f>'TUSD BE'!$M$5*'TUSD BF'!$M$78</f>
        <v>0</v>
      </c>
      <c r="N5" s="30">
        <f ca="1">'TUSD BE'!$N$5*'TUSD BF'!$N$78</f>
        <v>0</v>
      </c>
      <c r="O5" s="30">
        <f>'TUSD BE'!$O$5*'TUSD BF'!$O$78</f>
        <v>0</v>
      </c>
      <c r="P5" s="30">
        <f>'TUSD BE'!$P$5*'TUSD BF'!$P$78</f>
        <v>0</v>
      </c>
      <c r="Q5" s="30">
        <f>'TUSD BE'!$Q$5*'TUSD BF'!$Q$78</f>
        <v>0</v>
      </c>
      <c r="R5" s="30">
        <f>'TUSD BE'!$R$5*'TUSD BF'!$R$78</f>
        <v>0</v>
      </c>
      <c r="S5" s="30">
        <f>'TUSD BE'!$R$5*'TUSD BF'!$S$78</f>
        <v>0</v>
      </c>
      <c r="T5" s="30">
        <f ca="1">SUM($L$5:$S$5)</f>
        <v>0</v>
      </c>
      <c r="U5" s="30">
        <f>'TUSD BE'!$U$5*'TUSD BF'!$U$78</f>
        <v>0.31874672465218407</v>
      </c>
      <c r="V5" s="30">
        <f>'TUSD BE'!$V$5*'TUSD BF'!$V$78</f>
        <v>6.2006751826111019E-2</v>
      </c>
      <c r="W5" s="30">
        <f>'TUSD BE'!$W$5*'TUSD BF'!$W$78</f>
        <v>0</v>
      </c>
      <c r="X5" s="30">
        <f>'TUSD BE'!$X$5*'TUSD BF'!$X$78</f>
        <v>0</v>
      </c>
      <c r="Y5" s="30">
        <f>'TUSD BE'!$Y$5*'TUSD BF'!$Y$78</f>
        <v>0</v>
      </c>
      <c r="Z5" s="30">
        <f>'TUSD BE'!$Z$5*'TUSD BF'!$Z$78</f>
        <v>0</v>
      </c>
      <c r="AA5" s="30">
        <f>'TUSD BE'!$AA$5*'TUSD BF'!$AA$78</f>
        <v>0</v>
      </c>
      <c r="AB5" s="30">
        <f>SUM($U$5:$AA$5)</f>
        <v>0.38075347647829511</v>
      </c>
      <c r="AC5" s="30">
        <f>'TUSD BE'!$AC$5*'TUSD BF'!$AC$78</f>
        <v>0</v>
      </c>
      <c r="AD5" s="30">
        <f>SUM($AC$5:$AC$5)</f>
        <v>0</v>
      </c>
      <c r="AE5" s="30">
        <f ca="1">$AO$5*$AO$75</f>
        <v>0</v>
      </c>
      <c r="AF5" s="30">
        <f ca="1">$AP$5*$AP$75</f>
        <v>0</v>
      </c>
      <c r="AG5" s="30">
        <f ca="1">SUM($AE$5:$AF$5)</f>
        <v>0</v>
      </c>
      <c r="AH5" s="30">
        <f>'TUSD BE'!$AH$5*'TUSD BF'!$AH$78</f>
        <v>0</v>
      </c>
      <c r="AI5" s="30">
        <f>'TUSD BE'!$AI$5*'TUSD BF'!$AI$78</f>
        <v>0</v>
      </c>
      <c r="AJ5" s="30">
        <f ca="1">'TUSD BE'!$AJ$5*'TUSD BF'!$AJ$78</f>
        <v>0</v>
      </c>
      <c r="AK5" s="30">
        <f ca="1">'TUSD BE'!$AK$5*'TUSD BF'!$AK$78</f>
        <v>0</v>
      </c>
      <c r="AL5" s="30">
        <f ca="1">SUM($AH$5:$AK$5)</f>
        <v>0</v>
      </c>
      <c r="AM5" s="30">
        <f ca="1">SUMIF($L$4:$AL$4,"SUBTOTAL",$L$5:$AL$5)</f>
        <v>0.38075347647829511</v>
      </c>
      <c r="AO5" s="36">
        <f ca="1">+'TUSD BE'!$T$5+'TUSD BE'!$AB$5+'TUSD BE'!$AD$5+'TUSD BE'!$AL$5</f>
        <v>31.062227828405561</v>
      </c>
      <c r="AP5" s="36">
        <f ca="1">+'TUSD BE'!$T$5+'TUSD BE'!$AB$5+'TUSD BE'!$AD$5+'TUSD BE'!$AL$5</f>
        <v>31.062227828405561</v>
      </c>
    </row>
    <row r="6" spans="1:42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>
        <f>'TUSD BE'!$L$6*'TUSD BF'!$L$78</f>
        <v>0</v>
      </c>
      <c r="M6" s="30">
        <f>'TUSD BE'!$M$6*'TUSD BF'!$M$78</f>
        <v>0</v>
      </c>
      <c r="N6" s="30">
        <f ca="1">'TUSD BE'!$N$6*'TUSD BF'!$N$78</f>
        <v>0</v>
      </c>
      <c r="O6" s="30">
        <f>'TUSD BE'!$O$6*'TUSD BF'!$O$78</f>
        <v>0</v>
      </c>
      <c r="P6" s="30">
        <f>'TUSD BE'!$P$6*'TUSD BF'!$P$78</f>
        <v>0</v>
      </c>
      <c r="Q6" s="30">
        <f>'TUSD BE'!$Q$6*'TUSD BF'!$Q$78</f>
        <v>0</v>
      </c>
      <c r="R6" s="30">
        <f>'TUSD BE'!$R$6*'TUSD BF'!$R$78</f>
        <v>0</v>
      </c>
      <c r="S6" s="30">
        <f>'TUSD BE'!$R$6*'TUSD BF'!$S$78</f>
        <v>0</v>
      </c>
      <c r="T6" s="30">
        <f ca="1">SUM($L$6:$S$6)</f>
        <v>0</v>
      </c>
      <c r="U6" s="30">
        <f>'TUSD BE'!$U$6*'TUSD BF'!$U$78</f>
        <v>0.30475395668242594</v>
      </c>
      <c r="V6" s="30">
        <f>'TUSD BE'!$V$6*'TUSD BF'!$V$78</f>
        <v>6.052226683297865E-2</v>
      </c>
      <c r="W6" s="30">
        <f>'TUSD BE'!$W$6*'TUSD BF'!$W$78</f>
        <v>0</v>
      </c>
      <c r="X6" s="30">
        <f>'TUSD BE'!$X$6*'TUSD BF'!$X$78</f>
        <v>0</v>
      </c>
      <c r="Y6" s="30">
        <f>'TUSD BE'!$Y$6*'TUSD BF'!$Y$78</f>
        <v>0</v>
      </c>
      <c r="Z6" s="30">
        <f>'TUSD BE'!$Z$6*'TUSD BF'!$Z$78</f>
        <v>0</v>
      </c>
      <c r="AA6" s="30">
        <f>'TUSD BE'!$AA$6*'TUSD BF'!$AA$78</f>
        <v>0</v>
      </c>
      <c r="AB6" s="30">
        <f>SUM($U$6:$AA$6)</f>
        <v>0.36527622351540456</v>
      </c>
      <c r="AC6" s="30">
        <f>'TUSD BE'!$AC$6*'TUSD BF'!$AC$78</f>
        <v>0</v>
      </c>
      <c r="AD6" s="30">
        <f>SUM($AC$6:$AC$6)</f>
        <v>0</v>
      </c>
      <c r="AE6" s="30">
        <f ca="1">$AO$6*$AO$75</f>
        <v>0</v>
      </c>
      <c r="AF6" s="30">
        <f ca="1">$AP$6*$AP$75</f>
        <v>0</v>
      </c>
      <c r="AG6" s="30">
        <f ca="1">SUM($AE$6:$AF$6)</f>
        <v>0</v>
      </c>
      <c r="AH6" s="30">
        <f>'TUSD BE'!$AH$6*'TUSD BF'!$AH$78</f>
        <v>0</v>
      </c>
      <c r="AI6" s="30">
        <f>'TUSD BE'!$AI$6*'TUSD BF'!$AI$78</f>
        <v>0</v>
      </c>
      <c r="AJ6" s="30">
        <f ca="1">'TUSD BE'!$AJ$6*'TUSD BF'!$AJ$78</f>
        <v>0</v>
      </c>
      <c r="AK6" s="30">
        <f ca="1">'TUSD BE'!$AK$6*'TUSD BF'!$AK$78</f>
        <v>0</v>
      </c>
      <c r="AL6" s="30">
        <f ca="1">SUM($AH$6:$AK$6)</f>
        <v>0</v>
      </c>
      <c r="AM6" s="30">
        <f ca="1">SUMIF($L$4:$AL$4,"SUBTOTAL",$L$6:$AL$6)</f>
        <v>0.36527622351540456</v>
      </c>
      <c r="AO6" s="36">
        <f ca="1">+'TUSD BE'!$T$6+'TUSD BE'!$AB$6+'TUSD BE'!$AD$6+'TUSD BE'!$AL$6</f>
        <v>10.150779705508601</v>
      </c>
      <c r="AP6" s="36">
        <f ca="1">+'TUSD BE'!$T$6+'TUSD BE'!$AB$6+'TUSD BE'!$AD$6+'TUSD BE'!$AL$6</f>
        <v>10.150779705508601</v>
      </c>
    </row>
    <row r="7" spans="1:42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>
        <f>'TUSD BE'!$L$7*'TUSD BF'!$L$78</f>
        <v>0.16855282411393574</v>
      </c>
      <c r="M7" s="30">
        <f>'TUSD BE'!$M$7*'TUSD BF'!$M$78</f>
        <v>0</v>
      </c>
      <c r="N7" s="30">
        <f ca="1">'TUSD BE'!$N$7*'TUSD BF'!$N$78</f>
        <v>0</v>
      </c>
      <c r="O7" s="30">
        <f>'TUSD BE'!$O$7*'TUSD BF'!$O$78</f>
        <v>0</v>
      </c>
      <c r="P7" s="30">
        <f>'TUSD BE'!$P$7*'TUSD BF'!$P$78</f>
        <v>0</v>
      </c>
      <c r="Q7" s="30">
        <f>'TUSD BE'!$Q$7*'TUSD BF'!$Q$78</f>
        <v>1.9926191173724612</v>
      </c>
      <c r="R7" s="30">
        <f>'TUSD BE'!$R$7*'TUSD BF'!$R$78</f>
        <v>1.7194053454059157</v>
      </c>
      <c r="S7" s="30">
        <f>'TUSD BE'!$R$7*'TUSD BF'!$S$78</f>
        <v>0</v>
      </c>
      <c r="T7" s="30">
        <f ca="1">SUM($L$7:$S$7)</f>
        <v>3.8805772868923123</v>
      </c>
      <c r="U7" s="30">
        <f>'TUSD BE'!$U$7*'TUSD BF'!$U$78</f>
        <v>0</v>
      </c>
      <c r="V7" s="30">
        <f>'TUSD BE'!$V$7*'TUSD BF'!$V$78</f>
        <v>0</v>
      </c>
      <c r="W7" s="30">
        <f>'TUSD BE'!$W$7*'TUSD BF'!$W$78</f>
        <v>0</v>
      </c>
      <c r="X7" s="30">
        <f>'TUSD BE'!$X$7*'TUSD BF'!$X$78</f>
        <v>0</v>
      </c>
      <c r="Y7" s="30">
        <f>'TUSD BE'!$Y$7*'TUSD BF'!$Y$78</f>
        <v>0</v>
      </c>
      <c r="Z7" s="30">
        <f>'TUSD BE'!$Z$7*'TUSD BF'!$Z$78</f>
        <v>0</v>
      </c>
      <c r="AA7" s="30">
        <f>'TUSD BE'!$AA$7*'TUSD BF'!$AA$78</f>
        <v>0</v>
      </c>
      <c r="AB7" s="30">
        <f>SUM($U$7:$AA$7)</f>
        <v>0</v>
      </c>
      <c r="AC7" s="30">
        <f>'TUSD BE'!$AC$7*'TUSD BF'!$AC$78</f>
        <v>0</v>
      </c>
      <c r="AD7" s="30">
        <f>SUM($AC$7:$AC$7)</f>
        <v>0</v>
      </c>
      <c r="AE7" s="30">
        <f ca="1">$AO$7*$AO$75</f>
        <v>0</v>
      </c>
      <c r="AF7" s="30">
        <f ca="1">$AP$7*$AP$75</f>
        <v>0</v>
      </c>
      <c r="AG7" s="30">
        <f ca="1">SUM($AE$7:$AF$7)</f>
        <v>0</v>
      </c>
      <c r="AH7" s="30">
        <f>'TUSD BE'!$AH$7*'TUSD BF'!$AH$78</f>
        <v>0.32421871299507149</v>
      </c>
      <c r="AI7" s="30">
        <f>'TUSD BE'!$AI$7*'TUSD BF'!$AI$78</f>
        <v>1.154336732079822E-2</v>
      </c>
      <c r="AJ7" s="30">
        <f ca="1">'TUSD BE'!$AJ$7*'TUSD BF'!$AJ$78</f>
        <v>0.15696182095922193</v>
      </c>
      <c r="AK7" s="30">
        <f ca="1">'TUSD BE'!$AK$7*'TUSD BF'!$AK$78</f>
        <v>0</v>
      </c>
      <c r="AL7" s="30">
        <f ca="1">SUM($AH$7:$AK$7)</f>
        <v>0.49272390127509169</v>
      </c>
      <c r="AM7" s="30">
        <f ca="1">SUMIF($L$4:$AL$4,"SUBTOTAL",$L$7:$AL$7)</f>
        <v>4.373301188167404</v>
      </c>
      <c r="AO7" s="36">
        <f ca="1">+'TUSD BE'!$T$7+'TUSD BE'!$AB$7+'TUSD BE'!$AD$7+'TUSD BE'!$AL$7</f>
        <v>47.267941590129425</v>
      </c>
      <c r="AP7" s="36">
        <f ca="1">+'TUSD BE'!$T$7+'TUSD BE'!$AB$7+'TUSD BE'!$AD$7+'TUSD BE'!$AL$7</f>
        <v>47.267941590129425</v>
      </c>
    </row>
    <row r="8" spans="1:42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>
        <f>'TUSD BE'!$L$8*'TUSD BF'!$L$78</f>
        <v>0</v>
      </c>
      <c r="M8" s="30">
        <f>'TUSD BE'!$M$8*'TUSD BF'!$M$78</f>
        <v>0</v>
      </c>
      <c r="N8" s="30">
        <f ca="1">'TUSD BE'!$N$8*'TUSD BF'!$N$78</f>
        <v>0</v>
      </c>
      <c r="O8" s="30">
        <f>'TUSD BE'!$O$8*'TUSD BF'!$O$78</f>
        <v>0</v>
      </c>
      <c r="P8" s="30">
        <f>'TUSD BE'!$P$8*'TUSD BF'!$P$78</f>
        <v>0</v>
      </c>
      <c r="Q8" s="30">
        <f>'TUSD BE'!$Q$8*'TUSD BF'!$Q$78</f>
        <v>0</v>
      </c>
      <c r="R8" s="30">
        <f>'TUSD BE'!$R$8*'TUSD BF'!$R$78</f>
        <v>0</v>
      </c>
      <c r="S8" s="30">
        <f>'TUSD BE'!$R$8*'TUSD BF'!$S$78</f>
        <v>0</v>
      </c>
      <c r="T8" s="30">
        <f ca="1">SUM($L$8:$S$8)</f>
        <v>0</v>
      </c>
      <c r="U8" s="30">
        <f>'TUSD BE'!$U$8*'TUSD BF'!$U$78</f>
        <v>0</v>
      </c>
      <c r="V8" s="30">
        <f>'TUSD BE'!$V$8*'TUSD BF'!$V$78</f>
        <v>0</v>
      </c>
      <c r="W8" s="30">
        <f>'TUSD BE'!$W$8*'TUSD BF'!$W$78</f>
        <v>0</v>
      </c>
      <c r="X8" s="30">
        <f>'TUSD BE'!$X$8*'TUSD BF'!$X$78</f>
        <v>0</v>
      </c>
      <c r="Y8" s="30">
        <f>'TUSD BE'!$Y$8*'TUSD BF'!$Y$78</f>
        <v>0</v>
      </c>
      <c r="Z8" s="30">
        <f>'TUSD BE'!$Z$8*'TUSD BF'!$Z$78</f>
        <v>0</v>
      </c>
      <c r="AA8" s="30">
        <f>'TUSD BE'!$AA$8*'TUSD BF'!$AA$78</f>
        <v>0</v>
      </c>
      <c r="AB8" s="30">
        <f>SUM($U$8:$AA$8)</f>
        <v>0</v>
      </c>
      <c r="AC8" s="30">
        <f>'TUSD BE'!$AC$8*'TUSD BF'!$AC$78</f>
        <v>0</v>
      </c>
      <c r="AD8" s="30">
        <f>SUM($AC$8:$AC$8)</f>
        <v>0</v>
      </c>
      <c r="AE8" s="30">
        <f ca="1">$AO$8*$AO$75</f>
        <v>0</v>
      </c>
      <c r="AF8" s="30">
        <f ca="1">$AP$8*$AP$75</f>
        <v>0</v>
      </c>
      <c r="AG8" s="30">
        <f ca="1">SUM($AE$8:$AF$8)</f>
        <v>0</v>
      </c>
      <c r="AH8" s="30">
        <f>'TUSD BE'!$AH$8*'TUSD BF'!$AH$78</f>
        <v>0.32421871299507149</v>
      </c>
      <c r="AI8" s="30">
        <f>'TUSD BE'!$AI$8*'TUSD BF'!$AI$78</f>
        <v>1.154336732079822E-2</v>
      </c>
      <c r="AJ8" s="30">
        <f ca="1">'TUSD BE'!$AJ$8*'TUSD BF'!$AJ$78</f>
        <v>0.15696182095922193</v>
      </c>
      <c r="AK8" s="30">
        <f ca="1">'TUSD BE'!$AK$8*'TUSD BF'!$AK$78</f>
        <v>0</v>
      </c>
      <c r="AL8" s="30">
        <f ca="1">SUM($AH$8:$AK$8)</f>
        <v>0.49272390127509169</v>
      </c>
      <c r="AM8" s="30">
        <f ca="1">SUMIF($L$4:$AL$4,"SUBTOTAL",$L$8:$AL$8)</f>
        <v>0.49272390127509169</v>
      </c>
      <c r="AO8" s="36">
        <f ca="1">+'TUSD BE'!$T$8+'TUSD BE'!$AB$8+'TUSD BE'!$AD$8+'TUSD BE'!$AL$8</f>
        <v>7.1840717091218727</v>
      </c>
      <c r="AP8" s="36">
        <f ca="1">+'TUSD BE'!$T$8+'TUSD BE'!$AB$8+'TUSD BE'!$AD$8+'TUSD BE'!$AL$8</f>
        <v>7.1840717091218727</v>
      </c>
    </row>
    <row r="9" spans="1:42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>
        <f>'TUSD BE'!$L$9*'TUSD BF'!$L$78</f>
        <v>0</v>
      </c>
      <c r="M9" s="30">
        <f>'TUSD BE'!$M$9*'TUSD BF'!$M$78</f>
        <v>0</v>
      </c>
      <c r="N9" s="30">
        <f ca="1">'TUSD BE'!$N$9*'TUSD BF'!$N$78</f>
        <v>0</v>
      </c>
      <c r="O9" s="30">
        <f>'TUSD BE'!$O$9*'TUSD BF'!$O$78</f>
        <v>0</v>
      </c>
      <c r="P9" s="30">
        <f>'TUSD BE'!$P$9*'TUSD BF'!$P$78</f>
        <v>0</v>
      </c>
      <c r="Q9" s="30">
        <f>'TUSD BE'!$Q$9*'TUSD BF'!$Q$78</f>
        <v>0</v>
      </c>
      <c r="R9" s="30">
        <f>'TUSD BE'!$R$9*'TUSD BF'!$R$78</f>
        <v>0</v>
      </c>
      <c r="S9" s="30">
        <f>'TUSD BE'!$R$9*'TUSD BF'!$S$78</f>
        <v>0</v>
      </c>
      <c r="T9" s="30">
        <f ca="1">SUM($L$9:$S$9)</f>
        <v>0</v>
      </c>
      <c r="U9" s="30">
        <f>'TUSD BE'!$U$9*'TUSD BF'!$U$78</f>
        <v>0.31874672465218407</v>
      </c>
      <c r="V9" s="30">
        <f>'TUSD BE'!$V$9*'TUSD BF'!$V$78</f>
        <v>6.2006751826111019E-2</v>
      </c>
      <c r="W9" s="30">
        <f>'TUSD BE'!$W$9*'TUSD BF'!$W$78</f>
        <v>0</v>
      </c>
      <c r="X9" s="30">
        <f>'TUSD BE'!$X$9*'TUSD BF'!$X$78</f>
        <v>0</v>
      </c>
      <c r="Y9" s="30">
        <f>'TUSD BE'!$Y$9*'TUSD BF'!$Y$78</f>
        <v>0</v>
      </c>
      <c r="Z9" s="30">
        <f>'TUSD BE'!$Z$9*'TUSD BF'!$Z$78</f>
        <v>0</v>
      </c>
      <c r="AA9" s="30">
        <f>'TUSD BE'!$AA$9*'TUSD BF'!$AA$78</f>
        <v>0</v>
      </c>
      <c r="AB9" s="30">
        <f>SUM($U$9:$AA$9)</f>
        <v>0.38075347647829511</v>
      </c>
      <c r="AC9" s="30">
        <f>'TUSD BE'!$AC$9*'TUSD BF'!$AC$78</f>
        <v>0</v>
      </c>
      <c r="AD9" s="30">
        <f>SUM($AC$9:$AC$9)</f>
        <v>0</v>
      </c>
      <c r="AE9" s="30">
        <v>0</v>
      </c>
      <c r="AF9" s="30">
        <f ca="1">$AP$9*$AP$75</f>
        <v>0</v>
      </c>
      <c r="AG9" s="30">
        <f ca="1">SUM($AE$9:$AF$9)</f>
        <v>0</v>
      </c>
      <c r="AH9" s="30">
        <f>'TUSD BE'!$AH$9*'TUSD BF'!$AH$78</f>
        <v>0</v>
      </c>
      <c r="AI9" s="30">
        <f>'TUSD BE'!$AI$9*'TUSD BF'!$AI$78</f>
        <v>0</v>
      </c>
      <c r="AJ9" s="30">
        <f ca="1">'TUSD BE'!$AJ$9*'TUSD BF'!$AJ$78</f>
        <v>0</v>
      </c>
      <c r="AK9" s="30">
        <f ca="1">'TUSD BE'!$AK$9*'TUSD BF'!$AK$78</f>
        <v>0</v>
      </c>
      <c r="AL9" s="30">
        <f ca="1">SUM($AH$9:$AK$9)</f>
        <v>0</v>
      </c>
      <c r="AM9" s="30">
        <f ca="1">SUMIF($L$4:$AL$4,"SUBTOTAL",$L$9:$AL$9)</f>
        <v>0.38075347647829511</v>
      </c>
      <c r="AO9" s="36"/>
      <c r="AP9" s="36">
        <f ca="1">+'TUSD BE'!$T$9+'TUSD BE'!$AB$9+'TUSD BE'!$AD$9+'TUSD BE'!$AL$9</f>
        <v>31.062227828405561</v>
      </c>
    </row>
    <row r="10" spans="1:42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>
        <f>'TUSD BE'!$L$10*'TUSD BF'!$L$78</f>
        <v>0</v>
      </c>
      <c r="M10" s="30">
        <f>'TUSD BE'!$M$10*'TUSD BF'!$M$78</f>
        <v>0</v>
      </c>
      <c r="N10" s="30">
        <f ca="1">'TUSD BE'!$N$10*'TUSD BF'!$N$78</f>
        <v>0</v>
      </c>
      <c r="O10" s="30">
        <f>'TUSD BE'!$O$10*'TUSD BF'!$O$78</f>
        <v>0</v>
      </c>
      <c r="P10" s="30">
        <f>'TUSD BE'!$P$10*'TUSD BF'!$P$78</f>
        <v>0</v>
      </c>
      <c r="Q10" s="30">
        <f>'TUSD BE'!$Q$10*'TUSD BF'!$Q$78</f>
        <v>0</v>
      </c>
      <c r="R10" s="30">
        <f>'TUSD BE'!$R$10*'TUSD BF'!$R$78</f>
        <v>0</v>
      </c>
      <c r="S10" s="30">
        <f>'TUSD BE'!$R$10*'TUSD BF'!$S$78</f>
        <v>0</v>
      </c>
      <c r="T10" s="30">
        <f ca="1">SUM($L$10:$S$10)</f>
        <v>0</v>
      </c>
      <c r="U10" s="30">
        <f>'TUSD BE'!$U$10*'TUSD BF'!$U$78</f>
        <v>0.30475395668242594</v>
      </c>
      <c r="V10" s="30">
        <f>'TUSD BE'!$V$10*'TUSD BF'!$V$78</f>
        <v>6.052226683297865E-2</v>
      </c>
      <c r="W10" s="30">
        <f>'TUSD BE'!$W$10*'TUSD BF'!$W$78</f>
        <v>0</v>
      </c>
      <c r="X10" s="30">
        <f>'TUSD BE'!$X$10*'TUSD BF'!$X$78</f>
        <v>0</v>
      </c>
      <c r="Y10" s="30">
        <f>'TUSD BE'!$Y$10*'TUSD BF'!$Y$78</f>
        <v>0</v>
      </c>
      <c r="Z10" s="30">
        <f>'TUSD BE'!$Z$10*'TUSD BF'!$Z$78</f>
        <v>0</v>
      </c>
      <c r="AA10" s="30">
        <f>'TUSD BE'!$AA$10*'TUSD BF'!$AA$78</f>
        <v>0</v>
      </c>
      <c r="AB10" s="30">
        <f>SUM($U$10:$AA$10)</f>
        <v>0.36527622351540456</v>
      </c>
      <c r="AC10" s="30">
        <f>'TUSD BE'!$AC$10*'TUSD BF'!$AC$78</f>
        <v>0</v>
      </c>
      <c r="AD10" s="30">
        <f>SUM($AC$10:$AC$10)</f>
        <v>0</v>
      </c>
      <c r="AE10" s="30">
        <v>0</v>
      </c>
      <c r="AF10" s="30">
        <f ca="1">$AP$10*$AP$75</f>
        <v>0</v>
      </c>
      <c r="AG10" s="30">
        <f ca="1">SUM($AE$10:$AF$10)</f>
        <v>0</v>
      </c>
      <c r="AH10" s="30">
        <f>'TUSD BE'!$AH$10*'TUSD BF'!$AH$78</f>
        <v>0</v>
      </c>
      <c r="AI10" s="30">
        <f>'TUSD BE'!$AI$10*'TUSD BF'!$AI$78</f>
        <v>0</v>
      </c>
      <c r="AJ10" s="30">
        <f ca="1">'TUSD BE'!$AJ$10*'TUSD BF'!$AJ$78</f>
        <v>0</v>
      </c>
      <c r="AK10" s="30">
        <f ca="1">'TUSD BE'!$AK$10*'TUSD BF'!$AK$78</f>
        <v>0</v>
      </c>
      <c r="AL10" s="30">
        <f ca="1">SUM($AH$10:$AK$10)</f>
        <v>0</v>
      </c>
      <c r="AM10" s="30">
        <f ca="1">SUMIF($L$4:$AL$4,"SUBTOTAL",$L$10:$AL$10)</f>
        <v>0.36527622351540456</v>
      </c>
      <c r="AO10" s="36"/>
      <c r="AP10" s="36">
        <f ca="1">+'TUSD BE'!$T$10+'TUSD BE'!$AB$10+'TUSD BE'!$AD$10+'TUSD BE'!$AL$10</f>
        <v>10.150779705508601</v>
      </c>
    </row>
    <row r="11" spans="1:42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>
        <f>'TUSD BE'!$L$11*'TUSD BF'!$L$78</f>
        <v>0</v>
      </c>
      <c r="M11" s="30">
        <f>'TUSD BE'!$M$11*'TUSD BF'!$M$78</f>
        <v>0</v>
      </c>
      <c r="N11" s="30">
        <f ca="1">'TUSD BE'!$N$11*'TUSD BF'!$N$78</f>
        <v>0</v>
      </c>
      <c r="O11" s="30">
        <f>'TUSD BE'!$O$11*'TUSD BF'!$O$78</f>
        <v>0</v>
      </c>
      <c r="P11" s="30">
        <f>'TUSD BE'!$P$11*'TUSD BF'!$P$78</f>
        <v>0</v>
      </c>
      <c r="Q11" s="30">
        <f>'TUSD BE'!$Q$11*'TUSD BF'!$Q$78</f>
        <v>0</v>
      </c>
      <c r="R11" s="30">
        <f>'TUSD BE'!$R$11*'TUSD BF'!$R$78</f>
        <v>0</v>
      </c>
      <c r="S11" s="30">
        <f>'TUSD BE'!$R$11*'TUSD BF'!$S$78</f>
        <v>0</v>
      </c>
      <c r="T11" s="30">
        <f ca="1">SUM($L$11:$S$11)</f>
        <v>0</v>
      </c>
      <c r="U11" s="30">
        <f>'TUSD BE'!$U$11*'TUSD BF'!$U$78</f>
        <v>0</v>
      </c>
      <c r="V11" s="30">
        <f>'TUSD BE'!$V$11*'TUSD BF'!$V$78</f>
        <v>0</v>
      </c>
      <c r="W11" s="30">
        <f>'TUSD BE'!$W$11*'TUSD BF'!$W$78</f>
        <v>0</v>
      </c>
      <c r="X11" s="30">
        <f>'TUSD BE'!$X$11*'TUSD BF'!$X$78</f>
        <v>0</v>
      </c>
      <c r="Y11" s="30">
        <f>'TUSD BE'!$Y$11*'TUSD BF'!$Y$78</f>
        <v>0</v>
      </c>
      <c r="Z11" s="30">
        <f>'TUSD BE'!$Z$11*'TUSD BF'!$Z$78</f>
        <v>0</v>
      </c>
      <c r="AA11" s="30">
        <f>'TUSD BE'!$AA$11*'TUSD BF'!$AA$78</f>
        <v>0</v>
      </c>
      <c r="AB11" s="30">
        <f>SUM($U$11:$AA$11)</f>
        <v>0</v>
      </c>
      <c r="AC11" s="30">
        <f>'TUSD BE'!$AC$11*'TUSD BF'!$AC$78</f>
        <v>0</v>
      </c>
      <c r="AD11" s="30">
        <f>SUM($AC$11:$AC$11)</f>
        <v>0</v>
      </c>
      <c r="AE11" s="30">
        <v>0</v>
      </c>
      <c r="AF11" s="30">
        <f ca="1">$AP$11*$AP$75</f>
        <v>0</v>
      </c>
      <c r="AG11" s="30">
        <f ca="1">SUM($AE$11:$AF$11)</f>
        <v>0</v>
      </c>
      <c r="AH11" s="30">
        <f>'TUSD BE'!$AH$11*'TUSD BF'!$AH$78</f>
        <v>0.32421871299507149</v>
      </c>
      <c r="AI11" s="30">
        <f>'TUSD BE'!$AI$11*'TUSD BF'!$AI$78</f>
        <v>1.154336732079822E-2</v>
      </c>
      <c r="AJ11" s="30">
        <f ca="1">'TUSD BE'!$AJ$11*'TUSD BF'!$AJ$78</f>
        <v>0</v>
      </c>
      <c r="AK11" s="30">
        <f ca="1">'TUSD BE'!$AK$11*'TUSD BF'!$AK$78</f>
        <v>0</v>
      </c>
      <c r="AL11" s="30">
        <f ca="1">SUM($AH$11:$AK$11)</f>
        <v>0.33576208031586974</v>
      </c>
      <c r="AM11" s="30">
        <f ca="1">SUMIF($L$4:$AL$4,"SUBTOTAL",$L$11:$AL$11)</f>
        <v>0.33576208031586974</v>
      </c>
      <c r="AO11" s="36"/>
      <c r="AP11" s="36">
        <f ca="1">+'TUSD BE'!$T$11+'TUSD BE'!$AB$11+'TUSD BE'!$AD$11+'TUSD BE'!$AL$11</f>
        <v>4.6315607295036871</v>
      </c>
    </row>
    <row r="12" spans="1:42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>
        <f>'TUSD BE'!$L$12*'TUSD BF'!$L$78</f>
        <v>0</v>
      </c>
      <c r="M12" s="30">
        <f>'TUSD BE'!$M$12*'TUSD BF'!$M$78</f>
        <v>0</v>
      </c>
      <c r="N12" s="30">
        <f>'TUSD BE'!$N$12*'TUSD BF'!$N$78</f>
        <v>0</v>
      </c>
      <c r="O12" s="30">
        <f>'TUSD BE'!$O$12*'TUSD BF'!$O$78</f>
        <v>0</v>
      </c>
      <c r="P12" s="30">
        <f>'TUSD BE'!$P$12*'TUSD BF'!$P$78</f>
        <v>0</v>
      </c>
      <c r="Q12" s="30">
        <f>'TUSD BE'!$Q$12*'TUSD BF'!$Q$78</f>
        <v>0</v>
      </c>
      <c r="R12" s="30">
        <f>'TUSD BE'!$R$12*'TUSD BF'!$R$78</f>
        <v>0</v>
      </c>
      <c r="S12" s="30">
        <f>'TUSD BE'!$R$12*'TUSD BF'!$S$78</f>
        <v>0</v>
      </c>
      <c r="T12" s="30">
        <f>SUM($L$12:$S$12)</f>
        <v>0</v>
      </c>
      <c r="U12" s="30">
        <f>'TUSD BE'!$U$12*'TUSD BF'!$U$78</f>
        <v>0</v>
      </c>
      <c r="V12" s="30">
        <f>'TUSD BE'!$V$12*'TUSD BF'!$V$78</f>
        <v>0</v>
      </c>
      <c r="W12" s="30">
        <f>'TUSD BE'!$W$12*'TUSD BF'!$W$78</f>
        <v>0</v>
      </c>
      <c r="X12" s="30">
        <f>'TUSD BE'!$X$12*'TUSD BF'!$X$78</f>
        <v>0</v>
      </c>
      <c r="Y12" s="30">
        <f>'TUSD BE'!$Y$12*'TUSD BF'!$Y$78</f>
        <v>0</v>
      </c>
      <c r="Z12" s="30">
        <f>'TUSD BE'!$Z$12*'TUSD BF'!$Z$78</f>
        <v>0</v>
      </c>
      <c r="AA12" s="30">
        <f>'TUSD BE'!$AA$12*'TUSD BF'!$AA$78</f>
        <v>0</v>
      </c>
      <c r="AB12" s="30">
        <f>SUM($U$12:$AA$12)</f>
        <v>0</v>
      </c>
      <c r="AC12" s="30">
        <f>'TUSD BE'!$AC$12*'TUSD BF'!$AC$78</f>
        <v>0</v>
      </c>
      <c r="AD12" s="30">
        <f>SUM($AC$12:$AC$12)</f>
        <v>0</v>
      </c>
      <c r="AE12" s="30">
        <f ca="1">$AO$12*$AO$75</f>
        <v>0</v>
      </c>
      <c r="AF12" s="30">
        <f ca="1">$AP$12*$AP$75</f>
        <v>0</v>
      </c>
      <c r="AG12" s="30">
        <f ca="1">SUM($AE$12:$AF$12)</f>
        <v>0</v>
      </c>
      <c r="AH12" s="30">
        <f>'TUSD BE'!$AH$12*'TUSD BF'!$AH$78</f>
        <v>8.190360267895834E-2</v>
      </c>
      <c r="AI12" s="30">
        <f>'TUSD BE'!$AI$12*'TUSD BF'!$AI$78</f>
        <v>1.7742244155454969E-2</v>
      </c>
      <c r="AJ12" s="30">
        <f>'TUSD BE'!$AJ$12*'TUSD BF'!$AJ$78</f>
        <v>0</v>
      </c>
      <c r="AK12" s="30">
        <f>'TUSD BE'!$AK$12*'TUSD BF'!$AK$78</f>
        <v>0</v>
      </c>
      <c r="AL12" s="30">
        <f>SUM($AH$12:$AK$12)</f>
        <v>9.9645846834413312E-2</v>
      </c>
      <c r="AM12" s="30">
        <f ca="1">SUMIF($L$4:$AL$4,"SUBTOTAL",$L$12:$AL$12)</f>
        <v>9.9645846834413312E-2</v>
      </c>
      <c r="AO12" s="36">
        <f>+'TUSD BE'!$T$12+'TUSD BE'!$AB$12+'TUSD BE'!$AD$12+'TUSD BE'!$AL$12</f>
        <v>13.443068338840188</v>
      </c>
      <c r="AP12" s="36">
        <f>+'TUSD BE'!$T$12+'TUSD BE'!$AB$12+'TUSD BE'!$AD$12+'TUSD BE'!$AL$12</f>
        <v>13.443068338840188</v>
      </c>
    </row>
    <row r="13" spans="1:42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>
        <f>'TUSD BE'!$L$13*'TUSD BF'!$L$78</f>
        <v>0</v>
      </c>
      <c r="M13" s="30">
        <f>'TUSD BE'!$M$13*'TUSD BF'!$M$78</f>
        <v>0</v>
      </c>
      <c r="N13" s="30">
        <f ca="1">'TUSD BE'!$N$13*'TUSD BF'!$N$78</f>
        <v>0</v>
      </c>
      <c r="O13" s="30">
        <f>'TUSD BE'!$O$13*'TUSD BF'!$O$78</f>
        <v>0</v>
      </c>
      <c r="P13" s="30">
        <f>'TUSD BE'!$P$13*'TUSD BF'!$P$78</f>
        <v>0</v>
      </c>
      <c r="Q13" s="30">
        <f>'TUSD BE'!$Q$13*'TUSD BF'!$Q$78</f>
        <v>0</v>
      </c>
      <c r="R13" s="30">
        <f>'TUSD BE'!$R$13*'TUSD BF'!$R$78</f>
        <v>0</v>
      </c>
      <c r="S13" s="30">
        <f>'TUSD BE'!$R$13*'TUSD BF'!$S$78</f>
        <v>0</v>
      </c>
      <c r="T13" s="30">
        <f ca="1">SUM($L$13:$S$13)</f>
        <v>0</v>
      </c>
      <c r="U13" s="30">
        <f>'TUSD BE'!$U$13*'TUSD BF'!$U$78</f>
        <v>0.29019254211883139</v>
      </c>
      <c r="V13" s="30">
        <f>'TUSD BE'!$V$13*'TUSD BF'!$V$78</f>
        <v>6.067754769000086E-2</v>
      </c>
      <c r="W13" s="30">
        <f>'TUSD BE'!$W$13*'TUSD BF'!$W$78</f>
        <v>0</v>
      </c>
      <c r="X13" s="30">
        <f>'TUSD BE'!$X$13*'TUSD BF'!$X$78</f>
        <v>0</v>
      </c>
      <c r="Y13" s="30">
        <f>'TUSD BE'!$Y$13*'TUSD BF'!$Y$78</f>
        <v>0</v>
      </c>
      <c r="Z13" s="30">
        <f>'TUSD BE'!$Z$13*'TUSD BF'!$Z$78</f>
        <v>0</v>
      </c>
      <c r="AA13" s="30">
        <f>'TUSD BE'!$AA$13*'TUSD BF'!$AA$78</f>
        <v>0</v>
      </c>
      <c r="AB13" s="30">
        <f>SUM($U$13:$AA$13)</f>
        <v>0.35087008980883228</v>
      </c>
      <c r="AC13" s="30">
        <f>'TUSD BE'!$AC$13*'TUSD BF'!$AC$78</f>
        <v>0</v>
      </c>
      <c r="AD13" s="30">
        <f>SUM($AC$13:$AC$13)</f>
        <v>0</v>
      </c>
      <c r="AE13" s="30">
        <f ca="1">$AO$13*$AO$75</f>
        <v>0</v>
      </c>
      <c r="AF13" s="30">
        <f ca="1">$AP$13*$AP$75</f>
        <v>0</v>
      </c>
      <c r="AG13" s="30">
        <f ca="1">SUM($AE$13:$AF$13)</f>
        <v>0</v>
      </c>
      <c r="AH13" s="30">
        <f>'TUSD BE'!$AH$13*'TUSD BF'!$AH$78</f>
        <v>0</v>
      </c>
      <c r="AI13" s="30">
        <f>'TUSD BE'!$AI$13*'TUSD BF'!$AI$78</f>
        <v>0</v>
      </c>
      <c r="AJ13" s="30">
        <f ca="1">'TUSD BE'!$AJ$13*'TUSD BF'!$AJ$78</f>
        <v>0</v>
      </c>
      <c r="AK13" s="30">
        <f ca="1">'TUSD BE'!$AK$13*'TUSD BF'!$AK$78</f>
        <v>0</v>
      </c>
      <c r="AL13" s="30">
        <f ca="1">SUM($AH$13:$AK$13)</f>
        <v>0</v>
      </c>
      <c r="AM13" s="30">
        <f ca="1">SUMIF($L$4:$AL$4,"SUBTOTAL",$L$13:$AL$13)</f>
        <v>0.35087008980883228</v>
      </c>
      <c r="AO13" s="36">
        <f ca="1">+'TUSD BE'!$T$13+'TUSD BE'!$AB$13+'TUSD BE'!$AD$13+'TUSD BE'!$AL$13</f>
        <v>74.0855468124672</v>
      </c>
      <c r="AP13" s="36">
        <f ca="1">+'TUSD BE'!$T$13+'TUSD BE'!$AB$13+'TUSD BE'!$AD$13+'TUSD BE'!$AL$13</f>
        <v>74.0855468124672</v>
      </c>
    </row>
    <row r="14" spans="1:42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>
        <f>'TUSD BE'!$L$14*'TUSD BF'!$L$78</f>
        <v>0</v>
      </c>
      <c r="M14" s="30">
        <f>'TUSD BE'!$M$14*'TUSD BF'!$M$78</f>
        <v>0</v>
      </c>
      <c r="N14" s="30">
        <f ca="1">'TUSD BE'!$N$14*'TUSD BF'!$N$78</f>
        <v>0</v>
      </c>
      <c r="O14" s="30">
        <f>'TUSD BE'!$O$14*'TUSD BF'!$O$78</f>
        <v>0</v>
      </c>
      <c r="P14" s="30">
        <f>'TUSD BE'!$P$14*'TUSD BF'!$P$78</f>
        <v>0</v>
      </c>
      <c r="Q14" s="30">
        <f>'TUSD BE'!$Q$14*'TUSD BF'!$Q$78</f>
        <v>0</v>
      </c>
      <c r="R14" s="30">
        <f>'TUSD BE'!$R$14*'TUSD BF'!$R$78</f>
        <v>0</v>
      </c>
      <c r="S14" s="30">
        <f>'TUSD BE'!$R$14*'TUSD BF'!$S$78</f>
        <v>0</v>
      </c>
      <c r="T14" s="30">
        <f ca="1">SUM($L$14:$S$14)</f>
        <v>0</v>
      </c>
      <c r="U14" s="30">
        <f>'TUSD BE'!$U$14*'TUSD BF'!$U$78</f>
        <v>0.29214218758341304</v>
      </c>
      <c r="V14" s="30">
        <f>'TUSD BE'!$V$14*'TUSD BF'!$V$78</f>
        <v>6.1857682203369693E-2</v>
      </c>
      <c r="W14" s="30">
        <f>'TUSD BE'!$W$14*'TUSD BF'!$W$78</f>
        <v>0</v>
      </c>
      <c r="X14" s="30">
        <f>'TUSD BE'!$X$14*'TUSD BF'!$X$78</f>
        <v>0</v>
      </c>
      <c r="Y14" s="30">
        <f>'TUSD BE'!$Y$14*'TUSD BF'!$Y$78</f>
        <v>0</v>
      </c>
      <c r="Z14" s="30">
        <f>'TUSD BE'!$Z$14*'TUSD BF'!$Z$78</f>
        <v>0</v>
      </c>
      <c r="AA14" s="30">
        <f>'TUSD BE'!$AA$14*'TUSD BF'!$AA$78</f>
        <v>0</v>
      </c>
      <c r="AB14" s="30">
        <f>SUM($U$14:$AA$14)</f>
        <v>0.35399986978678272</v>
      </c>
      <c r="AC14" s="30">
        <f>'TUSD BE'!$AC$14*'TUSD BF'!$AC$78</f>
        <v>0</v>
      </c>
      <c r="AD14" s="30">
        <f>SUM($AC$14:$AC$14)</f>
        <v>0</v>
      </c>
      <c r="AE14" s="30">
        <f ca="1">$AO$14*$AO$75</f>
        <v>0</v>
      </c>
      <c r="AF14" s="30">
        <f ca="1">$AP$14*$AP$75</f>
        <v>0</v>
      </c>
      <c r="AG14" s="30">
        <f ca="1">SUM($AE$14:$AF$14)</f>
        <v>0</v>
      </c>
      <c r="AH14" s="30">
        <f>'TUSD BE'!$AH$14*'TUSD BF'!$AH$78</f>
        <v>0</v>
      </c>
      <c r="AI14" s="30">
        <f>'TUSD BE'!$AI$14*'TUSD BF'!$AI$78</f>
        <v>0</v>
      </c>
      <c r="AJ14" s="30">
        <f ca="1">'TUSD BE'!$AJ$14*'TUSD BF'!$AJ$78</f>
        <v>0</v>
      </c>
      <c r="AK14" s="30">
        <f ca="1">'TUSD BE'!$AK$14*'TUSD BF'!$AK$78</f>
        <v>0</v>
      </c>
      <c r="AL14" s="30">
        <f ca="1">SUM($AH$14:$AK$14)</f>
        <v>0</v>
      </c>
      <c r="AM14" s="30">
        <f ca="1">SUMIF($L$4:$AL$4,"SUBTOTAL",$L$14:$AL$14)</f>
        <v>0.35399986978678272</v>
      </c>
      <c r="AO14" s="36">
        <f ca="1">+'TUSD BE'!$T$14+'TUSD BE'!$AB$14+'TUSD BE'!$AD$14+'TUSD BE'!$AL$14</f>
        <v>26.293121314440025</v>
      </c>
      <c r="AP14" s="36">
        <f ca="1">+'TUSD BE'!$T$14+'TUSD BE'!$AB$14+'TUSD BE'!$AD$14+'TUSD BE'!$AL$14</f>
        <v>26.293121314440025</v>
      </c>
    </row>
    <row r="15" spans="1:42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>
        <f>'TUSD BE'!$L$15*'TUSD BF'!$L$78</f>
        <v>0.2283618907350097</v>
      </c>
      <c r="M15" s="30">
        <f>'TUSD BE'!$M$15*'TUSD BF'!$M$78</f>
        <v>0</v>
      </c>
      <c r="N15" s="30">
        <f ca="1">'TUSD BE'!$N$15*'TUSD BF'!$N$78</f>
        <v>0</v>
      </c>
      <c r="O15" s="30">
        <f>'TUSD BE'!$O$15*'TUSD BF'!$O$78</f>
        <v>0</v>
      </c>
      <c r="P15" s="30">
        <f>'TUSD BE'!$P$15*'TUSD BF'!$P$78</f>
        <v>0</v>
      </c>
      <c r="Q15" s="30">
        <f>'TUSD BE'!$Q$15*'TUSD BF'!$Q$78</f>
        <v>2.6996775138594633</v>
      </c>
      <c r="R15" s="30">
        <f>'TUSD BE'!$R$15*'TUSD BF'!$R$78</f>
        <v>1.7194053454059157</v>
      </c>
      <c r="S15" s="30">
        <f>'TUSD BE'!$R$15*'TUSD BF'!$S$78</f>
        <v>0</v>
      </c>
      <c r="T15" s="30">
        <f ca="1">SUM($L$15:$S$15)</f>
        <v>4.647444750000389</v>
      </c>
      <c r="U15" s="30">
        <f>'TUSD BE'!$U$15*'TUSD BF'!$U$78</f>
        <v>0</v>
      </c>
      <c r="V15" s="30">
        <f>'TUSD BE'!$V$15*'TUSD BF'!$V$78</f>
        <v>0</v>
      </c>
      <c r="W15" s="30">
        <f>'TUSD BE'!$W$15*'TUSD BF'!$W$78</f>
        <v>0</v>
      </c>
      <c r="X15" s="30">
        <f>'TUSD BE'!$X$15*'TUSD BF'!$X$78</f>
        <v>0</v>
      </c>
      <c r="Y15" s="30">
        <f>'TUSD BE'!$Y$15*'TUSD BF'!$Y$78</f>
        <v>0</v>
      </c>
      <c r="Z15" s="30">
        <f>'TUSD BE'!$Z$15*'TUSD BF'!$Z$78</f>
        <v>0</v>
      </c>
      <c r="AA15" s="30">
        <f>'TUSD BE'!$AA$15*'TUSD BF'!$AA$78</f>
        <v>0</v>
      </c>
      <c r="AB15" s="30">
        <f>SUM($U$15:$AA$15)</f>
        <v>0</v>
      </c>
      <c r="AC15" s="30">
        <f>'TUSD BE'!$AC$15*'TUSD BF'!$AC$78</f>
        <v>0</v>
      </c>
      <c r="AD15" s="30">
        <f>SUM($AC$15:$AC$15)</f>
        <v>0</v>
      </c>
      <c r="AE15" s="30">
        <f ca="1">$AO$15*$AO$75</f>
        <v>0</v>
      </c>
      <c r="AF15" s="30">
        <f ca="1">$AP$15*$AP$75</f>
        <v>0</v>
      </c>
      <c r="AG15" s="30">
        <f ca="1">SUM($AE$15:$AF$15)</f>
        <v>0</v>
      </c>
      <c r="AH15" s="30">
        <f>'TUSD BE'!$AH$15*'TUSD BF'!$AH$78</f>
        <v>0.78197239462547907</v>
      </c>
      <c r="AI15" s="30">
        <f>'TUSD BE'!$AI$15*'TUSD BF'!$AI$78</f>
        <v>2.784106599677761E-2</v>
      </c>
      <c r="AJ15" s="30">
        <f ca="1">'TUSD BE'!$AJ$15*'TUSD BF'!$AJ$78</f>
        <v>0.438315234702294</v>
      </c>
      <c r="AK15" s="30">
        <f ca="1">'TUSD BE'!$AK$15*'TUSD BF'!$AK$78</f>
        <v>0</v>
      </c>
      <c r="AL15" s="30">
        <f ca="1">SUM($AH$15:$AK$15)</f>
        <v>1.2481286953245507</v>
      </c>
      <c r="AM15" s="30">
        <f ca="1">SUMIF($L$4:$AL$4,"SUBTOTAL",$L$15:$AL$15)</f>
        <v>5.8955734453249402</v>
      </c>
      <c r="AO15" s="36">
        <f ca="1">+'TUSD BE'!$T$15+'TUSD BE'!$AB$15+'TUSD BE'!$AD$15+'TUSD BE'!$AL$15</f>
        <v>67.580506343090917</v>
      </c>
      <c r="AP15" s="36">
        <f ca="1">+'TUSD BE'!$T$15+'TUSD BE'!$AB$15+'TUSD BE'!$AD$15+'TUSD BE'!$AL$15</f>
        <v>67.580506343090917</v>
      </c>
    </row>
    <row r="16" spans="1:42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>
        <f>'TUSD BE'!$L$16*'TUSD BF'!$L$78</f>
        <v>0</v>
      </c>
      <c r="M16" s="30">
        <f>'TUSD BE'!$M$16*'TUSD BF'!$M$78</f>
        <v>0</v>
      </c>
      <c r="N16" s="30">
        <f ca="1">'TUSD BE'!$N$16*'TUSD BF'!$N$78</f>
        <v>0</v>
      </c>
      <c r="O16" s="30">
        <f>'TUSD BE'!$O$16*'TUSD BF'!$O$78</f>
        <v>0</v>
      </c>
      <c r="P16" s="30">
        <f>'TUSD BE'!$P$16*'TUSD BF'!$P$78</f>
        <v>0</v>
      </c>
      <c r="Q16" s="30">
        <f>'TUSD BE'!$Q$16*'TUSD BF'!$Q$78</f>
        <v>0</v>
      </c>
      <c r="R16" s="30">
        <f>'TUSD BE'!$R$16*'TUSD BF'!$R$78</f>
        <v>0</v>
      </c>
      <c r="S16" s="30">
        <f>'TUSD BE'!$R$16*'TUSD BF'!$S$78</f>
        <v>0</v>
      </c>
      <c r="T16" s="30">
        <f ca="1">SUM($L$16:$S$16)</f>
        <v>0</v>
      </c>
      <c r="U16" s="30">
        <f>'TUSD BE'!$U$16*'TUSD BF'!$U$78</f>
        <v>0</v>
      </c>
      <c r="V16" s="30">
        <f>'TUSD BE'!$V$16*'TUSD BF'!$V$78</f>
        <v>0</v>
      </c>
      <c r="W16" s="30">
        <f>'TUSD BE'!$W$16*'TUSD BF'!$W$78</f>
        <v>0</v>
      </c>
      <c r="X16" s="30">
        <f>'TUSD BE'!$X$16*'TUSD BF'!$X$78</f>
        <v>0</v>
      </c>
      <c r="Y16" s="30">
        <f>'TUSD BE'!$Y$16*'TUSD BF'!$Y$78</f>
        <v>0</v>
      </c>
      <c r="Z16" s="30">
        <f>'TUSD BE'!$Z$16*'TUSD BF'!$Z$78</f>
        <v>0</v>
      </c>
      <c r="AA16" s="30">
        <f>'TUSD BE'!$AA$16*'TUSD BF'!$AA$78</f>
        <v>0</v>
      </c>
      <c r="AB16" s="30">
        <f>SUM($U$16:$AA$16)</f>
        <v>0</v>
      </c>
      <c r="AC16" s="30">
        <f>'TUSD BE'!$AC$16*'TUSD BF'!$AC$78</f>
        <v>0</v>
      </c>
      <c r="AD16" s="30">
        <f>SUM($AC$16:$AC$16)</f>
        <v>0</v>
      </c>
      <c r="AE16" s="30">
        <f ca="1">$AO$16*$AO$75</f>
        <v>0</v>
      </c>
      <c r="AF16" s="30">
        <f ca="1">$AP$16*$AP$75</f>
        <v>0</v>
      </c>
      <c r="AG16" s="30">
        <f ca="1">SUM($AE$16:$AF$16)</f>
        <v>0</v>
      </c>
      <c r="AH16" s="30">
        <f>'TUSD BE'!$AH$16*'TUSD BF'!$AH$78</f>
        <v>0.78197239462547907</v>
      </c>
      <c r="AI16" s="30">
        <f>'TUSD BE'!$AI$16*'TUSD BF'!$AI$78</f>
        <v>2.784106599677761E-2</v>
      </c>
      <c r="AJ16" s="30">
        <f ca="1">'TUSD BE'!$AJ$16*'TUSD BF'!$AJ$78</f>
        <v>0.438315234702294</v>
      </c>
      <c r="AK16" s="30">
        <f ca="1">'TUSD BE'!$AK$16*'TUSD BF'!$AK$78</f>
        <v>0</v>
      </c>
      <c r="AL16" s="30">
        <f ca="1">SUM($AH$16:$AK$16)</f>
        <v>1.2481286953245507</v>
      </c>
      <c r="AM16" s="30">
        <f ca="1">SUMIF($L$4:$AL$4,"SUBTOTAL",$L$16:$AL$16)</f>
        <v>1.2481286953245507</v>
      </c>
      <c r="AO16" s="36">
        <f ca="1">+'TUSD BE'!$T$16+'TUSD BE'!$AB$16+'TUSD BE'!$AD$16+'TUSD BE'!$AL$16</f>
        <v>18.483556965020291</v>
      </c>
      <c r="AP16" s="36">
        <f ca="1">+'TUSD BE'!$T$16+'TUSD BE'!$AB$16+'TUSD BE'!$AD$16+'TUSD BE'!$AL$16</f>
        <v>18.483556965020291</v>
      </c>
    </row>
    <row r="17" spans="1:42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>
        <f>'TUSD BE'!$L$17*'TUSD BF'!$L$78</f>
        <v>0</v>
      </c>
      <c r="M17" s="30">
        <f>'TUSD BE'!$M$17*'TUSD BF'!$M$78</f>
        <v>0</v>
      </c>
      <c r="N17" s="30">
        <f ca="1">'TUSD BE'!$N$17*'TUSD BF'!$N$78</f>
        <v>0</v>
      </c>
      <c r="O17" s="30">
        <f>'TUSD BE'!$O$17*'TUSD BF'!$O$78</f>
        <v>0</v>
      </c>
      <c r="P17" s="30">
        <f>'TUSD BE'!$P$17*'TUSD BF'!$P$78</f>
        <v>0</v>
      </c>
      <c r="Q17" s="30">
        <f>'TUSD BE'!$Q$17*'TUSD BF'!$Q$78</f>
        <v>0</v>
      </c>
      <c r="R17" s="30">
        <f>'TUSD BE'!$R$17*'TUSD BF'!$R$78</f>
        <v>0</v>
      </c>
      <c r="S17" s="30">
        <f>'TUSD BE'!$R$17*'TUSD BF'!$S$78</f>
        <v>0</v>
      </c>
      <c r="T17" s="30">
        <f ca="1">SUM($L$17:$S$17)</f>
        <v>0</v>
      </c>
      <c r="U17" s="30">
        <f>'TUSD BE'!$U$17*'TUSD BF'!$U$78</f>
        <v>0.29019254211883139</v>
      </c>
      <c r="V17" s="30">
        <f>'TUSD BE'!$V$17*'TUSD BF'!$V$78</f>
        <v>6.067754769000086E-2</v>
      </c>
      <c r="W17" s="30">
        <f>'TUSD BE'!$W$17*'TUSD BF'!$W$78</f>
        <v>0</v>
      </c>
      <c r="X17" s="30">
        <f>'TUSD BE'!$X$17*'TUSD BF'!$X$78</f>
        <v>0</v>
      </c>
      <c r="Y17" s="30">
        <f>'TUSD BE'!$Y$17*'TUSD BF'!$Y$78</f>
        <v>0</v>
      </c>
      <c r="Z17" s="30">
        <f>'TUSD BE'!$Z$17*'TUSD BF'!$Z$78</f>
        <v>0</v>
      </c>
      <c r="AA17" s="30">
        <f>'TUSD BE'!$AA$17*'TUSD BF'!$AA$78</f>
        <v>0</v>
      </c>
      <c r="AB17" s="30">
        <f>SUM($U$17:$AA$17)</f>
        <v>0.35087008980883228</v>
      </c>
      <c r="AC17" s="30">
        <f>'TUSD BE'!$AC$17*'TUSD BF'!$AC$78</f>
        <v>0</v>
      </c>
      <c r="AD17" s="30">
        <f>SUM($AC$17:$AC$17)</f>
        <v>0</v>
      </c>
      <c r="AE17" s="30">
        <v>0</v>
      </c>
      <c r="AF17" s="30">
        <f ca="1">$AP$17*$AP$75</f>
        <v>0</v>
      </c>
      <c r="AG17" s="30">
        <f ca="1">SUM($AE$17:$AF$17)</f>
        <v>0</v>
      </c>
      <c r="AH17" s="30">
        <f>'TUSD BE'!$AH$17*'TUSD BF'!$AH$78</f>
        <v>0</v>
      </c>
      <c r="AI17" s="30">
        <f>'TUSD BE'!$AI$17*'TUSD BF'!$AI$78</f>
        <v>0</v>
      </c>
      <c r="AJ17" s="30">
        <f ca="1">'TUSD BE'!$AJ$17*'TUSD BF'!$AJ$78</f>
        <v>0</v>
      </c>
      <c r="AK17" s="30">
        <f ca="1">'TUSD BE'!$AK$17*'TUSD BF'!$AK$78</f>
        <v>0</v>
      </c>
      <c r="AL17" s="30">
        <f ca="1">SUM($AH$17:$AK$17)</f>
        <v>0</v>
      </c>
      <c r="AM17" s="30">
        <f ca="1">SUMIF($L$4:$AL$4,"SUBTOTAL",$L$17:$AL$17)</f>
        <v>0.35087008980883228</v>
      </c>
      <c r="AO17" s="36"/>
      <c r="AP17" s="36">
        <f ca="1">+'TUSD BE'!$T$17+'TUSD BE'!$AB$17+'TUSD BE'!$AD$17+'TUSD BE'!$AL$17</f>
        <v>33.380174478399738</v>
      </c>
    </row>
    <row r="18" spans="1:42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>
        <f>'TUSD BE'!$L$18*'TUSD BF'!$L$78</f>
        <v>0</v>
      </c>
      <c r="M18" s="30">
        <f>'TUSD BE'!$M$18*'TUSD BF'!$M$78</f>
        <v>0</v>
      </c>
      <c r="N18" s="30">
        <f ca="1">'TUSD BE'!$N$18*'TUSD BF'!$N$78</f>
        <v>0</v>
      </c>
      <c r="O18" s="30">
        <f>'TUSD BE'!$O$18*'TUSD BF'!$O$78</f>
        <v>0</v>
      </c>
      <c r="P18" s="30">
        <f>'TUSD BE'!$P$18*'TUSD BF'!$P$78</f>
        <v>0</v>
      </c>
      <c r="Q18" s="30">
        <f>'TUSD BE'!$Q$18*'TUSD BF'!$Q$78</f>
        <v>0</v>
      </c>
      <c r="R18" s="30">
        <f>'TUSD BE'!$R$18*'TUSD BF'!$R$78</f>
        <v>0</v>
      </c>
      <c r="S18" s="30">
        <f>'TUSD BE'!$R$18*'TUSD BF'!$S$78</f>
        <v>0</v>
      </c>
      <c r="T18" s="30">
        <f ca="1">SUM($L$18:$S$18)</f>
        <v>0</v>
      </c>
      <c r="U18" s="30">
        <f>'TUSD BE'!$U$18*'TUSD BF'!$U$78</f>
        <v>0.29214218758341304</v>
      </c>
      <c r="V18" s="30">
        <f>'TUSD BE'!$V$18*'TUSD BF'!$V$78</f>
        <v>6.1857682203369693E-2</v>
      </c>
      <c r="W18" s="30">
        <f>'TUSD BE'!$W$18*'TUSD BF'!$W$78</f>
        <v>0</v>
      </c>
      <c r="X18" s="30">
        <f>'TUSD BE'!$X$18*'TUSD BF'!$X$78</f>
        <v>0</v>
      </c>
      <c r="Y18" s="30">
        <f>'TUSD BE'!$Y$18*'TUSD BF'!$Y$78</f>
        <v>0</v>
      </c>
      <c r="Z18" s="30">
        <f>'TUSD BE'!$Z$18*'TUSD BF'!$Z$78</f>
        <v>0</v>
      </c>
      <c r="AA18" s="30">
        <f>'TUSD BE'!$AA$18*'TUSD BF'!$AA$78</f>
        <v>0</v>
      </c>
      <c r="AB18" s="30">
        <f>SUM($U$18:$AA$18)</f>
        <v>0.35399986978678272</v>
      </c>
      <c r="AC18" s="30">
        <f>'TUSD BE'!$AC$18*'TUSD BF'!$AC$78</f>
        <v>0</v>
      </c>
      <c r="AD18" s="30">
        <f>SUM($AC$18:$AC$18)</f>
        <v>0</v>
      </c>
      <c r="AE18" s="30">
        <v>0</v>
      </c>
      <c r="AF18" s="30">
        <f ca="1">$AP$18*$AP$75</f>
        <v>0</v>
      </c>
      <c r="AG18" s="30">
        <f ca="1">SUM($AE$18:$AF$18)</f>
        <v>0</v>
      </c>
      <c r="AH18" s="30">
        <f>'TUSD BE'!$AH$18*'TUSD BF'!$AH$78</f>
        <v>0</v>
      </c>
      <c r="AI18" s="30">
        <f>'TUSD BE'!$AI$18*'TUSD BF'!$AI$78</f>
        <v>0</v>
      </c>
      <c r="AJ18" s="30">
        <f ca="1">'TUSD BE'!$AJ$18*'TUSD BF'!$AJ$78</f>
        <v>0</v>
      </c>
      <c r="AK18" s="30">
        <f ca="1">'TUSD BE'!$AK$18*'TUSD BF'!$AK$78</f>
        <v>0</v>
      </c>
      <c r="AL18" s="30">
        <f ca="1">SUM($AH$18:$AK$18)</f>
        <v>0</v>
      </c>
      <c r="AM18" s="30">
        <f ca="1">SUMIF($L$4:$AL$4,"SUBTOTAL",$L$18:$AL$18)</f>
        <v>0.35399986978678272</v>
      </c>
      <c r="AO18" s="36"/>
      <c r="AP18" s="36">
        <f ca="1">+'TUSD BE'!$T$18+'TUSD BE'!$AB$18+'TUSD BE'!$AD$18+'TUSD BE'!$AL$18</f>
        <v>14.643517570572854</v>
      </c>
    </row>
    <row r="19" spans="1:42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>
        <f>'TUSD BE'!$L$19*'TUSD BF'!$L$78</f>
        <v>0</v>
      </c>
      <c r="M19" s="30">
        <f>'TUSD BE'!$M$19*'TUSD BF'!$M$78</f>
        <v>0</v>
      </c>
      <c r="N19" s="30">
        <f ca="1">'TUSD BE'!$N$19*'TUSD BF'!$N$78</f>
        <v>0</v>
      </c>
      <c r="O19" s="30">
        <f>'TUSD BE'!$O$19*'TUSD BF'!$O$78</f>
        <v>0</v>
      </c>
      <c r="P19" s="30">
        <f>'TUSD BE'!$P$19*'TUSD BF'!$P$78</f>
        <v>0</v>
      </c>
      <c r="Q19" s="30">
        <f>'TUSD BE'!$Q$19*'TUSD BF'!$Q$78</f>
        <v>0</v>
      </c>
      <c r="R19" s="30">
        <f>'TUSD BE'!$R$19*'TUSD BF'!$R$78</f>
        <v>0</v>
      </c>
      <c r="S19" s="30">
        <f>'TUSD BE'!$R$19*'TUSD BF'!$S$78</f>
        <v>0</v>
      </c>
      <c r="T19" s="30">
        <f ca="1">SUM($L$19:$S$19)</f>
        <v>0</v>
      </c>
      <c r="U19" s="30">
        <f>'TUSD BE'!$U$19*'TUSD BF'!$U$78</f>
        <v>0</v>
      </c>
      <c r="V19" s="30">
        <f>'TUSD BE'!$V$19*'TUSD BF'!$V$78</f>
        <v>0</v>
      </c>
      <c r="W19" s="30">
        <f>'TUSD BE'!$W$19*'TUSD BF'!$W$78</f>
        <v>0</v>
      </c>
      <c r="X19" s="30">
        <f>'TUSD BE'!$X$19*'TUSD BF'!$X$78</f>
        <v>0</v>
      </c>
      <c r="Y19" s="30">
        <f>'TUSD BE'!$Y$19*'TUSD BF'!$Y$78</f>
        <v>0</v>
      </c>
      <c r="Z19" s="30">
        <f>'TUSD BE'!$Z$19*'TUSD BF'!$Z$78</f>
        <v>0</v>
      </c>
      <c r="AA19" s="30">
        <f>'TUSD BE'!$AA$19*'TUSD BF'!$AA$78</f>
        <v>0</v>
      </c>
      <c r="AB19" s="30">
        <f>SUM($U$19:$AA$19)</f>
        <v>0</v>
      </c>
      <c r="AC19" s="30">
        <f>'TUSD BE'!$AC$19*'TUSD BF'!$AC$78</f>
        <v>0</v>
      </c>
      <c r="AD19" s="30">
        <f>SUM($AC$19:$AC$19)</f>
        <v>0</v>
      </c>
      <c r="AE19" s="30">
        <v>0</v>
      </c>
      <c r="AF19" s="30">
        <f ca="1">$AP$19*$AP$75</f>
        <v>0</v>
      </c>
      <c r="AG19" s="30">
        <f ca="1">SUM($AE$19:$AF$19)</f>
        <v>0</v>
      </c>
      <c r="AH19" s="30">
        <f>'TUSD BE'!$AH$19*'TUSD BF'!$AH$78</f>
        <v>0.78197239462547907</v>
      </c>
      <c r="AI19" s="30">
        <f>'TUSD BE'!$AI$19*'TUSD BF'!$AI$78</f>
        <v>2.784106599677761E-2</v>
      </c>
      <c r="AJ19" s="30">
        <f ca="1">'TUSD BE'!$AJ$19*'TUSD BF'!$AJ$78</f>
        <v>0</v>
      </c>
      <c r="AK19" s="30">
        <f ca="1">'TUSD BE'!$AK$19*'TUSD BF'!$AK$78</f>
        <v>0</v>
      </c>
      <c r="AL19" s="30">
        <f ca="1">SUM($AH$19:$AK$19)</f>
        <v>0.80981346062225668</v>
      </c>
      <c r="AM19" s="30">
        <f ca="1">SUMIF($L$4:$AL$4,"SUBTOTAL",$L$19:$AL$19)</f>
        <v>0.80981346062225668</v>
      </c>
      <c r="AO19" s="36"/>
      <c r="AP19" s="36">
        <f ca="1">+'TUSD BE'!$T$19+'TUSD BE'!$AB$19+'TUSD BE'!$AD$19+'TUSD BE'!$AL$19</f>
        <v>11.170708195854148</v>
      </c>
    </row>
    <row r="20" spans="1:42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>
        <f>'TUSD BE'!$L$20*'TUSD BF'!$L$78</f>
        <v>0</v>
      </c>
      <c r="M20" s="30">
        <f>'TUSD BE'!$M$20*'TUSD BF'!$M$78</f>
        <v>0</v>
      </c>
      <c r="N20" s="30">
        <f ca="1">'TUSD BE'!$N$20*'TUSD BF'!$N$78</f>
        <v>0</v>
      </c>
      <c r="O20" s="30">
        <f>'TUSD BE'!$O$20*'TUSD BF'!$O$78</f>
        <v>0</v>
      </c>
      <c r="P20" s="30">
        <f>'TUSD BE'!$P$20*'TUSD BF'!$P$78</f>
        <v>0</v>
      </c>
      <c r="Q20" s="30">
        <f>'TUSD BE'!$Q$20*'TUSD BF'!$Q$78</f>
        <v>0</v>
      </c>
      <c r="R20" s="30">
        <f>'TUSD BE'!$R$20*'TUSD BF'!$R$78</f>
        <v>0</v>
      </c>
      <c r="S20" s="30">
        <f>'TUSD BE'!$R$20*'TUSD BF'!$S$78</f>
        <v>0</v>
      </c>
      <c r="T20" s="30">
        <f ca="1">SUM($L$20:$S$20)</f>
        <v>0</v>
      </c>
      <c r="U20" s="30">
        <f>'TUSD BE'!$U$20*'TUSD BF'!$U$78</f>
        <v>0.29019254211883139</v>
      </c>
      <c r="V20" s="30">
        <f>'TUSD BE'!$V$20*'TUSD BF'!$V$78</f>
        <v>6.067754769000086E-2</v>
      </c>
      <c r="W20" s="30">
        <f>'TUSD BE'!$W$20*'TUSD BF'!$W$78</f>
        <v>0</v>
      </c>
      <c r="X20" s="30">
        <f>'TUSD BE'!$X$20*'TUSD BF'!$X$78</f>
        <v>0</v>
      </c>
      <c r="Y20" s="30">
        <f>'TUSD BE'!$Y$20*'TUSD BF'!$Y$78</f>
        <v>0</v>
      </c>
      <c r="Z20" s="30">
        <f>'TUSD BE'!$Z$20*'TUSD BF'!$Z$78</f>
        <v>0</v>
      </c>
      <c r="AA20" s="30">
        <f>'TUSD BE'!$AA$20*'TUSD BF'!$AA$78</f>
        <v>0</v>
      </c>
      <c r="AB20" s="30">
        <f>SUM($U$20:$AA$20)</f>
        <v>0.35087008980883228</v>
      </c>
      <c r="AC20" s="30">
        <f>'TUSD BE'!$AC$20*'TUSD BF'!$AC$78</f>
        <v>0</v>
      </c>
      <c r="AD20" s="30">
        <f>SUM($AC$20:$AC$20)</f>
        <v>0</v>
      </c>
      <c r="AE20" s="30">
        <v>0</v>
      </c>
      <c r="AF20" s="30">
        <f ca="1">$AP$20*$AP$75</f>
        <v>0</v>
      </c>
      <c r="AG20" s="30">
        <f ca="1">SUM($AE$20:$AF$20)</f>
        <v>0</v>
      </c>
      <c r="AH20" s="30">
        <f>'TUSD BE'!$AH$20*'TUSD BF'!$AH$78</f>
        <v>0</v>
      </c>
      <c r="AI20" s="30">
        <f>'TUSD BE'!$AI$20*'TUSD BF'!$AI$78</f>
        <v>0</v>
      </c>
      <c r="AJ20" s="30">
        <f ca="1">'TUSD BE'!$AJ$20*'TUSD BF'!$AJ$78</f>
        <v>0</v>
      </c>
      <c r="AK20" s="30">
        <f ca="1">'TUSD BE'!$AK$20*'TUSD BF'!$AK$78</f>
        <v>0</v>
      </c>
      <c r="AL20" s="30">
        <f ca="1">SUM($AH$20:$AK$20)</f>
        <v>0</v>
      </c>
      <c r="AM20" s="30">
        <f ca="1">SUMIF($L$4:$AL$4,"SUBTOTAL",$L$20:$AL$20)</f>
        <v>0.35087008980883228</v>
      </c>
      <c r="AO20" s="36"/>
      <c r="AP20" s="36">
        <f ca="1">+'TUSD BE'!$T$20+'TUSD BE'!$AB$20+'TUSD BE'!$AD$20+'TUSD BE'!$AL$20</f>
        <v>33.380174478399738</v>
      </c>
    </row>
    <row r="21" spans="1:42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>
        <f>'TUSD BE'!$L$21*'TUSD BF'!$L$78</f>
        <v>0</v>
      </c>
      <c r="M21" s="30">
        <f>'TUSD BE'!$M$21*'TUSD BF'!$M$78</f>
        <v>0</v>
      </c>
      <c r="N21" s="30">
        <f ca="1">'TUSD BE'!$N$21*'TUSD BF'!$N$78</f>
        <v>0</v>
      </c>
      <c r="O21" s="30">
        <f>'TUSD BE'!$O$21*'TUSD BF'!$O$78</f>
        <v>0</v>
      </c>
      <c r="P21" s="30">
        <f>'TUSD BE'!$P$21*'TUSD BF'!$P$78</f>
        <v>0</v>
      </c>
      <c r="Q21" s="30">
        <f>'TUSD BE'!$Q$21*'TUSD BF'!$Q$78</f>
        <v>0</v>
      </c>
      <c r="R21" s="30">
        <f>'TUSD BE'!$R$21*'TUSD BF'!$R$78</f>
        <v>0</v>
      </c>
      <c r="S21" s="30">
        <f>'TUSD BE'!$R$21*'TUSD BF'!$S$78</f>
        <v>0</v>
      </c>
      <c r="T21" s="30">
        <f ca="1">SUM($L$21:$S$21)</f>
        <v>0</v>
      </c>
      <c r="U21" s="30">
        <f>'TUSD BE'!$U$21*'TUSD BF'!$U$78</f>
        <v>0.29214218758341304</v>
      </c>
      <c r="V21" s="30">
        <f>'TUSD BE'!$V$21*'TUSD BF'!$V$78</f>
        <v>6.1857682203369693E-2</v>
      </c>
      <c r="W21" s="30">
        <f>'TUSD BE'!$W$21*'TUSD BF'!$W$78</f>
        <v>0</v>
      </c>
      <c r="X21" s="30">
        <f>'TUSD BE'!$X$21*'TUSD BF'!$X$78</f>
        <v>0</v>
      </c>
      <c r="Y21" s="30">
        <f>'TUSD BE'!$Y$21*'TUSD BF'!$Y$78</f>
        <v>0</v>
      </c>
      <c r="Z21" s="30">
        <f>'TUSD BE'!$Z$21*'TUSD BF'!$Z$78</f>
        <v>0</v>
      </c>
      <c r="AA21" s="30">
        <f>'TUSD BE'!$AA$21*'TUSD BF'!$AA$78</f>
        <v>0</v>
      </c>
      <c r="AB21" s="30">
        <f>SUM($U$21:$AA$21)</f>
        <v>0.35399986978678272</v>
      </c>
      <c r="AC21" s="30">
        <f>'TUSD BE'!$AC$21*'TUSD BF'!$AC$78</f>
        <v>0</v>
      </c>
      <c r="AD21" s="30">
        <f>SUM($AC$21:$AC$21)</f>
        <v>0</v>
      </c>
      <c r="AE21" s="30">
        <v>0</v>
      </c>
      <c r="AF21" s="30">
        <f ca="1">$AP$21*$AP$75</f>
        <v>0</v>
      </c>
      <c r="AG21" s="30">
        <f ca="1">SUM($AE$21:$AF$21)</f>
        <v>0</v>
      </c>
      <c r="AH21" s="30">
        <f>'TUSD BE'!$AH$21*'TUSD BF'!$AH$78</f>
        <v>0</v>
      </c>
      <c r="AI21" s="30">
        <f>'TUSD BE'!$AI$21*'TUSD BF'!$AI$78</f>
        <v>0</v>
      </c>
      <c r="AJ21" s="30">
        <f ca="1">'TUSD BE'!$AJ$21*'TUSD BF'!$AJ$78</f>
        <v>0</v>
      </c>
      <c r="AK21" s="30">
        <f ca="1">'TUSD BE'!$AK$21*'TUSD BF'!$AK$78</f>
        <v>0</v>
      </c>
      <c r="AL21" s="30">
        <f ca="1">SUM($AH$21:$AK$21)</f>
        <v>0</v>
      </c>
      <c r="AM21" s="30">
        <f ca="1">SUMIF($L$4:$AL$4,"SUBTOTAL",$L$21:$AL$21)</f>
        <v>0.35399986978678272</v>
      </c>
      <c r="AO21" s="36"/>
      <c r="AP21" s="36">
        <f ca="1">+'TUSD BE'!$T$21+'TUSD BE'!$AB$21+'TUSD BE'!$AD$21+'TUSD BE'!$AL$21</f>
        <v>14.643517570572854</v>
      </c>
    </row>
    <row r="22" spans="1:42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>
        <f>'TUSD BE'!$L$22*'TUSD BF'!$L$78</f>
        <v>0</v>
      </c>
      <c r="M22" s="30">
        <f>'TUSD BE'!$M$22*'TUSD BF'!$M$78</f>
        <v>0</v>
      </c>
      <c r="N22" s="30">
        <f ca="1">'TUSD BE'!$N$22*'TUSD BF'!$N$78</f>
        <v>0</v>
      </c>
      <c r="O22" s="30">
        <f>'TUSD BE'!$O$22*'TUSD BF'!$O$78</f>
        <v>0</v>
      </c>
      <c r="P22" s="30">
        <f>'TUSD BE'!$P$22*'TUSD BF'!$P$78</f>
        <v>0</v>
      </c>
      <c r="Q22" s="30">
        <f>'TUSD BE'!$Q$22*'TUSD BF'!$Q$78</f>
        <v>0</v>
      </c>
      <c r="R22" s="30">
        <f>'TUSD BE'!$R$22*'TUSD BF'!$R$78</f>
        <v>0</v>
      </c>
      <c r="S22" s="30">
        <f>'TUSD BE'!$R$22*'TUSD BF'!$S$78</f>
        <v>0</v>
      </c>
      <c r="T22" s="30">
        <f ca="1">SUM($L$22:$S$22)</f>
        <v>0</v>
      </c>
      <c r="U22" s="30">
        <f>'TUSD BE'!$U$22*'TUSD BF'!$U$78</f>
        <v>0</v>
      </c>
      <c r="V22" s="30">
        <f>'TUSD BE'!$V$22*'TUSD BF'!$V$78</f>
        <v>0</v>
      </c>
      <c r="W22" s="30">
        <f>'TUSD BE'!$W$22*'TUSD BF'!$W$78</f>
        <v>0</v>
      </c>
      <c r="X22" s="30">
        <f>'TUSD BE'!$X$22*'TUSD BF'!$X$78</f>
        <v>0</v>
      </c>
      <c r="Y22" s="30">
        <f>'TUSD BE'!$Y$22*'TUSD BF'!$Y$78</f>
        <v>0</v>
      </c>
      <c r="Z22" s="30">
        <f>'TUSD BE'!$Z$22*'TUSD BF'!$Z$78</f>
        <v>0</v>
      </c>
      <c r="AA22" s="30">
        <f>'TUSD BE'!$AA$22*'TUSD BF'!$AA$78</f>
        <v>0</v>
      </c>
      <c r="AB22" s="30">
        <f>SUM($U$22:$AA$22)</f>
        <v>0</v>
      </c>
      <c r="AC22" s="30">
        <f>'TUSD BE'!$AC$22*'TUSD BF'!$AC$78</f>
        <v>0</v>
      </c>
      <c r="AD22" s="30">
        <f>SUM($AC$22:$AC$22)</f>
        <v>0</v>
      </c>
      <c r="AE22" s="30">
        <v>0</v>
      </c>
      <c r="AF22" s="30">
        <f ca="1">$AP$22*$AP$75</f>
        <v>0</v>
      </c>
      <c r="AG22" s="30">
        <f ca="1">SUM($AE$22:$AF$22)</f>
        <v>0</v>
      </c>
      <c r="AH22" s="30">
        <f>'TUSD BE'!$AH$22*'TUSD BF'!$AH$78</f>
        <v>0.78197239462547907</v>
      </c>
      <c r="AI22" s="30">
        <f>'TUSD BE'!$AI$22*'TUSD BF'!$AI$78</f>
        <v>2.784106599677761E-2</v>
      </c>
      <c r="AJ22" s="30">
        <f ca="1">'TUSD BE'!$AJ$22*'TUSD BF'!$AJ$78</f>
        <v>0</v>
      </c>
      <c r="AK22" s="30">
        <f ca="1">'TUSD BE'!$AK$22*'TUSD BF'!$AK$78</f>
        <v>0</v>
      </c>
      <c r="AL22" s="30">
        <f ca="1">SUM($AH$22:$AK$22)</f>
        <v>0.80981346062225668</v>
      </c>
      <c r="AM22" s="30">
        <f ca="1">SUMIF($L$4:$AL$4,"SUBTOTAL",$L$22:$AL$22)</f>
        <v>0.80981346062225668</v>
      </c>
      <c r="AO22" s="36"/>
      <c r="AP22" s="36">
        <f ca="1">+'TUSD BE'!$T$22+'TUSD BE'!$AB$22+'TUSD BE'!$AD$22+'TUSD BE'!$AL$22</f>
        <v>11.170708195854148</v>
      </c>
    </row>
    <row r="23" spans="1:42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>
        <f>'TUSD BE'!$L$23*'TUSD BF'!$L$78</f>
        <v>0</v>
      </c>
      <c r="M23" s="30">
        <f>'TUSD BE'!$M$23*'TUSD BF'!$M$78</f>
        <v>0</v>
      </c>
      <c r="N23" s="30">
        <f ca="1">'TUSD BE'!$N$23*'TUSD BF'!$N$78</f>
        <v>0</v>
      </c>
      <c r="O23" s="30">
        <f>'TUSD BE'!$O$23*'TUSD BF'!$O$78</f>
        <v>0</v>
      </c>
      <c r="P23" s="30">
        <f>'TUSD BE'!$P$23*'TUSD BF'!$P$78</f>
        <v>0</v>
      </c>
      <c r="Q23" s="30">
        <f>'TUSD BE'!$Q$23*'TUSD BF'!$Q$78</f>
        <v>0</v>
      </c>
      <c r="R23" s="30">
        <f>'TUSD BE'!$R$23*'TUSD BF'!$R$78</f>
        <v>0</v>
      </c>
      <c r="S23" s="30">
        <f>'TUSD BE'!$R$23*'TUSD BF'!$S$78</f>
        <v>0</v>
      </c>
      <c r="T23" s="30">
        <f ca="1">SUM($L$23:$S$23)</f>
        <v>0</v>
      </c>
      <c r="U23" s="30">
        <f>'TUSD BE'!$U$23*'TUSD BF'!$U$78</f>
        <v>0.29019254211883139</v>
      </c>
      <c r="V23" s="30">
        <f>'TUSD BE'!$V$23*'TUSD BF'!$V$78</f>
        <v>6.067754769000086E-2</v>
      </c>
      <c r="W23" s="30">
        <f>'TUSD BE'!$W$23*'TUSD BF'!$W$78</f>
        <v>0</v>
      </c>
      <c r="X23" s="30">
        <f>'TUSD BE'!$X$23*'TUSD BF'!$X$78</f>
        <v>0</v>
      </c>
      <c r="Y23" s="30">
        <f>'TUSD BE'!$Y$23*'TUSD BF'!$Y$78</f>
        <v>0</v>
      </c>
      <c r="Z23" s="30">
        <f>'TUSD BE'!$Z$23*'TUSD BF'!$Z$78</f>
        <v>0</v>
      </c>
      <c r="AA23" s="30">
        <f>'TUSD BE'!$AA$23*'TUSD BF'!$AA$78</f>
        <v>0</v>
      </c>
      <c r="AB23" s="30">
        <f>SUM($U$23:$AA$23)</f>
        <v>0.35087008980883228</v>
      </c>
      <c r="AC23" s="30">
        <f>'TUSD BE'!$AC$23*'TUSD BF'!$AC$78</f>
        <v>0</v>
      </c>
      <c r="AD23" s="30">
        <f>SUM($AC$23:$AC$23)</f>
        <v>0</v>
      </c>
      <c r="AE23" s="30">
        <v>0</v>
      </c>
      <c r="AF23" s="30">
        <f ca="1">$AP$23*$AP$75</f>
        <v>0</v>
      </c>
      <c r="AG23" s="30">
        <f ca="1">SUM($AE$23:$AF$23)</f>
        <v>0</v>
      </c>
      <c r="AH23" s="30">
        <f>'TUSD BE'!$AH$23*'TUSD BF'!$AH$78</f>
        <v>0</v>
      </c>
      <c r="AI23" s="30">
        <f>'TUSD BE'!$AI$23*'TUSD BF'!$AI$78</f>
        <v>0</v>
      </c>
      <c r="AJ23" s="30">
        <f ca="1">'TUSD BE'!$AJ$23*'TUSD BF'!$AJ$78</f>
        <v>0</v>
      </c>
      <c r="AK23" s="30">
        <f ca="1">'TUSD BE'!$AK$23*'TUSD BF'!$AK$78</f>
        <v>0</v>
      </c>
      <c r="AL23" s="30">
        <f ca="1">SUM($AH$23:$AK$23)</f>
        <v>0</v>
      </c>
      <c r="AM23" s="30">
        <f ca="1">SUMIF($L$4:$AL$4,"SUBTOTAL",$L$23:$AL$23)</f>
        <v>0.35087008980883228</v>
      </c>
      <c r="AO23" s="36"/>
      <c r="AP23" s="36">
        <f ca="1">+'TUSD BE'!$T$23+'TUSD BE'!$AB$23+'TUSD BE'!$AD$23+'TUSD BE'!$AL$23</f>
        <v>33.380174478399738</v>
      </c>
    </row>
    <row r="24" spans="1:42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>
        <f>'TUSD BE'!$L$24*'TUSD BF'!$L$78</f>
        <v>0</v>
      </c>
      <c r="M24" s="30">
        <f>'TUSD BE'!$M$24*'TUSD BF'!$M$78</f>
        <v>0</v>
      </c>
      <c r="N24" s="30">
        <f ca="1">'TUSD BE'!$N$24*'TUSD BF'!$N$78</f>
        <v>0</v>
      </c>
      <c r="O24" s="30">
        <f>'TUSD BE'!$O$24*'TUSD BF'!$O$78</f>
        <v>0</v>
      </c>
      <c r="P24" s="30">
        <f>'TUSD BE'!$P$24*'TUSD BF'!$P$78</f>
        <v>0</v>
      </c>
      <c r="Q24" s="30">
        <f>'TUSD BE'!$Q$24*'TUSD BF'!$Q$78</f>
        <v>0</v>
      </c>
      <c r="R24" s="30">
        <f>'TUSD BE'!$R$24*'TUSD BF'!$R$78</f>
        <v>0</v>
      </c>
      <c r="S24" s="30">
        <f>'TUSD BE'!$R$24*'TUSD BF'!$S$78</f>
        <v>0</v>
      </c>
      <c r="T24" s="30">
        <f ca="1">SUM($L$24:$S$24)</f>
        <v>0</v>
      </c>
      <c r="U24" s="30">
        <f>'TUSD BE'!$U$24*'TUSD BF'!$U$78</f>
        <v>0.29214218758341304</v>
      </c>
      <c r="V24" s="30">
        <f>'TUSD BE'!$V$24*'TUSD BF'!$V$78</f>
        <v>6.1857682203369693E-2</v>
      </c>
      <c r="W24" s="30">
        <f>'TUSD BE'!$W$24*'TUSD BF'!$W$78</f>
        <v>0</v>
      </c>
      <c r="X24" s="30">
        <f>'TUSD BE'!$X$24*'TUSD BF'!$X$78</f>
        <v>0</v>
      </c>
      <c r="Y24" s="30">
        <f>'TUSD BE'!$Y$24*'TUSD BF'!$Y$78</f>
        <v>0</v>
      </c>
      <c r="Z24" s="30">
        <f>'TUSD BE'!$Z$24*'TUSD BF'!$Z$78</f>
        <v>0</v>
      </c>
      <c r="AA24" s="30">
        <f>'TUSD BE'!$AA$24*'TUSD BF'!$AA$78</f>
        <v>0</v>
      </c>
      <c r="AB24" s="30">
        <f>SUM($U$24:$AA$24)</f>
        <v>0.35399986978678272</v>
      </c>
      <c r="AC24" s="30">
        <f>'TUSD BE'!$AC$24*'TUSD BF'!$AC$78</f>
        <v>0</v>
      </c>
      <c r="AD24" s="30">
        <f>SUM($AC$24:$AC$24)</f>
        <v>0</v>
      </c>
      <c r="AE24" s="30">
        <v>0</v>
      </c>
      <c r="AF24" s="30">
        <f ca="1">$AP$24*$AP$75</f>
        <v>0</v>
      </c>
      <c r="AG24" s="30">
        <f ca="1">SUM($AE$24:$AF$24)</f>
        <v>0</v>
      </c>
      <c r="AH24" s="30">
        <f>'TUSD BE'!$AH$24*'TUSD BF'!$AH$78</f>
        <v>0</v>
      </c>
      <c r="AI24" s="30">
        <f>'TUSD BE'!$AI$24*'TUSD BF'!$AI$78</f>
        <v>0</v>
      </c>
      <c r="AJ24" s="30">
        <f ca="1">'TUSD BE'!$AJ$24*'TUSD BF'!$AJ$78</f>
        <v>0</v>
      </c>
      <c r="AK24" s="30">
        <f ca="1">'TUSD BE'!$AK$24*'TUSD BF'!$AK$78</f>
        <v>0</v>
      </c>
      <c r="AL24" s="30">
        <f ca="1">SUM($AH$24:$AK$24)</f>
        <v>0</v>
      </c>
      <c r="AM24" s="30">
        <f ca="1">SUMIF($L$4:$AL$4,"SUBTOTAL",$L$24:$AL$24)</f>
        <v>0.35399986978678272</v>
      </c>
      <c r="AO24" s="36"/>
      <c r="AP24" s="36">
        <f ca="1">+'TUSD BE'!$T$24+'TUSD BE'!$AB$24+'TUSD BE'!$AD$24+'TUSD BE'!$AL$24</f>
        <v>14.643517570572854</v>
      </c>
    </row>
    <row r="25" spans="1:42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>
        <f>'TUSD BE'!$L$25*'TUSD BF'!$L$78</f>
        <v>0</v>
      </c>
      <c r="M25" s="30">
        <f>'TUSD BE'!$M$25*'TUSD BF'!$M$78</f>
        <v>0</v>
      </c>
      <c r="N25" s="30">
        <f ca="1">'TUSD BE'!$N$25*'TUSD BF'!$N$78</f>
        <v>0</v>
      </c>
      <c r="O25" s="30">
        <f>'TUSD BE'!$O$25*'TUSD BF'!$O$78</f>
        <v>0</v>
      </c>
      <c r="P25" s="30">
        <f>'TUSD BE'!$P$25*'TUSD BF'!$P$78</f>
        <v>0</v>
      </c>
      <c r="Q25" s="30">
        <f>'TUSD BE'!$Q$25*'TUSD BF'!$Q$78</f>
        <v>0</v>
      </c>
      <c r="R25" s="30">
        <f>'TUSD BE'!$R$25*'TUSD BF'!$R$78</f>
        <v>0</v>
      </c>
      <c r="S25" s="30">
        <f>'TUSD BE'!$R$25*'TUSD BF'!$S$78</f>
        <v>0</v>
      </c>
      <c r="T25" s="30">
        <f ca="1">SUM($L$25:$S$25)</f>
        <v>0</v>
      </c>
      <c r="U25" s="30">
        <f>'TUSD BE'!$U$25*'TUSD BF'!$U$78</f>
        <v>0</v>
      </c>
      <c r="V25" s="30">
        <f>'TUSD BE'!$V$25*'TUSD BF'!$V$78</f>
        <v>0</v>
      </c>
      <c r="W25" s="30">
        <f>'TUSD BE'!$W$25*'TUSD BF'!$W$78</f>
        <v>0</v>
      </c>
      <c r="X25" s="30">
        <f>'TUSD BE'!$X$25*'TUSD BF'!$X$78</f>
        <v>0</v>
      </c>
      <c r="Y25" s="30">
        <f>'TUSD BE'!$Y$25*'TUSD BF'!$Y$78</f>
        <v>0</v>
      </c>
      <c r="Z25" s="30">
        <f>'TUSD BE'!$Z$25*'TUSD BF'!$Z$78</f>
        <v>0</v>
      </c>
      <c r="AA25" s="30">
        <f>'TUSD BE'!$AA$25*'TUSD BF'!$AA$78</f>
        <v>0</v>
      </c>
      <c r="AB25" s="30">
        <f>SUM($U$25:$AA$25)</f>
        <v>0</v>
      </c>
      <c r="AC25" s="30">
        <f>'TUSD BE'!$AC$25*'TUSD BF'!$AC$78</f>
        <v>0</v>
      </c>
      <c r="AD25" s="30">
        <f>SUM($AC$25:$AC$25)</f>
        <v>0</v>
      </c>
      <c r="AE25" s="30">
        <v>0</v>
      </c>
      <c r="AF25" s="30">
        <f ca="1">$AP$25*$AP$75</f>
        <v>0</v>
      </c>
      <c r="AG25" s="30">
        <f ca="1">SUM($AE$25:$AF$25)</f>
        <v>0</v>
      </c>
      <c r="AH25" s="30">
        <f>'TUSD BE'!$AH$25*'TUSD BF'!$AH$78</f>
        <v>0.78197239462547907</v>
      </c>
      <c r="AI25" s="30">
        <f>'TUSD BE'!$AI$25*'TUSD BF'!$AI$78</f>
        <v>2.784106599677761E-2</v>
      </c>
      <c r="AJ25" s="30">
        <f ca="1">'TUSD BE'!$AJ$25*'TUSD BF'!$AJ$78</f>
        <v>0</v>
      </c>
      <c r="AK25" s="30">
        <f ca="1">'TUSD BE'!$AK$25*'TUSD BF'!$AK$78</f>
        <v>0</v>
      </c>
      <c r="AL25" s="30">
        <f ca="1">SUM($AH$25:$AK$25)</f>
        <v>0.80981346062225668</v>
      </c>
      <c r="AM25" s="30">
        <f ca="1">SUMIF($L$4:$AL$4,"SUBTOTAL",$L$25:$AL$25)</f>
        <v>0.80981346062225668</v>
      </c>
      <c r="AO25" s="36"/>
      <c r="AP25" s="36">
        <f ca="1">+'TUSD BE'!$T$25+'TUSD BE'!$AB$25+'TUSD BE'!$AD$25+'TUSD BE'!$AL$25</f>
        <v>11.170708195854148</v>
      </c>
    </row>
    <row r="26" spans="1:42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>
        <f>'TUSD BE'!$L$26*'TUSD BF'!$L$78</f>
        <v>0</v>
      </c>
      <c r="M26" s="30">
        <f>'TUSD BE'!$M$26*'TUSD BF'!$M$78</f>
        <v>0</v>
      </c>
      <c r="N26" s="30">
        <f ca="1">'TUSD BE'!$N$26*'TUSD BF'!$N$78</f>
        <v>0</v>
      </c>
      <c r="O26" s="30">
        <f>'TUSD BE'!$O$26*'TUSD BF'!$O$78</f>
        <v>0</v>
      </c>
      <c r="P26" s="30">
        <f>'TUSD BE'!$P$26*'TUSD BF'!$P$78</f>
        <v>0</v>
      </c>
      <c r="Q26" s="30">
        <f>'TUSD BE'!$Q$26*'TUSD BF'!$Q$78</f>
        <v>0</v>
      </c>
      <c r="R26" s="30">
        <f>'TUSD BE'!$R$26*'TUSD BF'!$R$78</f>
        <v>0</v>
      </c>
      <c r="S26" s="30">
        <f>'TUSD BE'!$R$26*'TUSD BF'!$S$78</f>
        <v>0</v>
      </c>
      <c r="T26" s="30">
        <f ca="1">SUM($L$26:$S$26)</f>
        <v>0</v>
      </c>
      <c r="U26" s="30">
        <f>'TUSD BE'!$U$26*'TUSD BF'!$U$78</f>
        <v>0.29019254211883139</v>
      </c>
      <c r="V26" s="30">
        <f>'TUSD BE'!$V$26*'TUSD BF'!$V$78</f>
        <v>6.067754769000086E-2</v>
      </c>
      <c r="W26" s="30">
        <f>'TUSD BE'!$W$26*'TUSD BF'!$W$78</f>
        <v>0</v>
      </c>
      <c r="X26" s="30">
        <f>'TUSD BE'!$X$26*'TUSD BF'!$X$78</f>
        <v>0</v>
      </c>
      <c r="Y26" s="30">
        <f>'TUSD BE'!$Y$26*'TUSD BF'!$Y$78</f>
        <v>0</v>
      </c>
      <c r="Z26" s="30">
        <f>'TUSD BE'!$Z$26*'TUSD BF'!$Z$78</f>
        <v>0</v>
      </c>
      <c r="AA26" s="30">
        <f>'TUSD BE'!$AA$26*'TUSD BF'!$AA$78</f>
        <v>0</v>
      </c>
      <c r="AB26" s="30">
        <f>SUM($U$26:$AA$26)</f>
        <v>0.35087008980883228</v>
      </c>
      <c r="AC26" s="30">
        <f>'TUSD BE'!$AC$26*'TUSD BF'!$AC$78</f>
        <v>0</v>
      </c>
      <c r="AD26" s="30">
        <f>SUM($AC$26:$AC$26)</f>
        <v>0</v>
      </c>
      <c r="AE26" s="30">
        <v>0</v>
      </c>
      <c r="AF26" s="30">
        <f ca="1">$AP$26*$AP$75</f>
        <v>0</v>
      </c>
      <c r="AG26" s="30">
        <f ca="1">SUM($AE$26:$AF$26)</f>
        <v>0</v>
      </c>
      <c r="AH26" s="30">
        <f>'TUSD BE'!$AH$26*'TUSD BF'!$AH$78</f>
        <v>0</v>
      </c>
      <c r="AI26" s="30">
        <f>'TUSD BE'!$AI$26*'TUSD BF'!$AI$78</f>
        <v>0</v>
      </c>
      <c r="AJ26" s="30">
        <f ca="1">'TUSD BE'!$AJ$26*'TUSD BF'!$AJ$78</f>
        <v>0</v>
      </c>
      <c r="AK26" s="30">
        <f ca="1">'TUSD BE'!$AK$26*'TUSD BF'!$AK$78</f>
        <v>0</v>
      </c>
      <c r="AL26" s="30">
        <f ca="1">SUM($AH$26:$AK$26)</f>
        <v>0</v>
      </c>
      <c r="AM26" s="30">
        <f ca="1">SUMIF($L$4:$AL$4,"SUBTOTAL",$L$26:$AL$26)</f>
        <v>0.35087008980883228</v>
      </c>
      <c r="AO26" s="36"/>
      <c r="AP26" s="36">
        <f ca="1">+'TUSD BE'!$T$26+'TUSD BE'!$AB$26+'TUSD BE'!$AD$26+'TUSD BE'!$AL$26</f>
        <v>33.380174478399738</v>
      </c>
    </row>
    <row r="27" spans="1:42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>
        <f>'TUSD BE'!$L$27*'TUSD BF'!$L$78</f>
        <v>0</v>
      </c>
      <c r="M27" s="30">
        <f>'TUSD BE'!$M$27*'TUSD BF'!$M$78</f>
        <v>0</v>
      </c>
      <c r="N27" s="30">
        <f ca="1">'TUSD BE'!$N$27*'TUSD BF'!$N$78</f>
        <v>0</v>
      </c>
      <c r="O27" s="30">
        <f>'TUSD BE'!$O$27*'TUSD BF'!$O$78</f>
        <v>0</v>
      </c>
      <c r="P27" s="30">
        <f>'TUSD BE'!$P$27*'TUSD BF'!$P$78</f>
        <v>0</v>
      </c>
      <c r="Q27" s="30">
        <f>'TUSD BE'!$Q$27*'TUSD BF'!$Q$78</f>
        <v>0</v>
      </c>
      <c r="R27" s="30">
        <f>'TUSD BE'!$R$27*'TUSD BF'!$R$78</f>
        <v>0</v>
      </c>
      <c r="S27" s="30">
        <f>'TUSD BE'!$R$27*'TUSD BF'!$S$78</f>
        <v>0</v>
      </c>
      <c r="T27" s="30">
        <f ca="1">SUM($L$27:$S$27)</f>
        <v>0</v>
      </c>
      <c r="U27" s="30">
        <f>'TUSD BE'!$U$27*'TUSD BF'!$U$78</f>
        <v>0.29214218758341304</v>
      </c>
      <c r="V27" s="30">
        <f>'TUSD BE'!$V$27*'TUSD BF'!$V$78</f>
        <v>6.1857682203369693E-2</v>
      </c>
      <c r="W27" s="30">
        <f>'TUSD BE'!$W$27*'TUSD BF'!$W$78</f>
        <v>0</v>
      </c>
      <c r="X27" s="30">
        <f>'TUSD BE'!$X$27*'TUSD BF'!$X$78</f>
        <v>0</v>
      </c>
      <c r="Y27" s="30">
        <f>'TUSD BE'!$Y$27*'TUSD BF'!$Y$78</f>
        <v>0</v>
      </c>
      <c r="Z27" s="30">
        <f>'TUSD BE'!$Z$27*'TUSD BF'!$Z$78</f>
        <v>0</v>
      </c>
      <c r="AA27" s="30">
        <f>'TUSD BE'!$AA$27*'TUSD BF'!$AA$78</f>
        <v>0</v>
      </c>
      <c r="AB27" s="30">
        <f>SUM($U$27:$AA$27)</f>
        <v>0.35399986978678272</v>
      </c>
      <c r="AC27" s="30">
        <f>'TUSD BE'!$AC$27*'TUSD BF'!$AC$78</f>
        <v>0</v>
      </c>
      <c r="AD27" s="30">
        <f>SUM($AC$27:$AC$27)</f>
        <v>0</v>
      </c>
      <c r="AE27" s="30">
        <v>0</v>
      </c>
      <c r="AF27" s="30">
        <f ca="1">$AP$27*$AP$75</f>
        <v>0</v>
      </c>
      <c r="AG27" s="30">
        <f ca="1">SUM($AE$27:$AF$27)</f>
        <v>0</v>
      </c>
      <c r="AH27" s="30">
        <f>'TUSD BE'!$AH$27*'TUSD BF'!$AH$78</f>
        <v>0</v>
      </c>
      <c r="AI27" s="30">
        <f>'TUSD BE'!$AI$27*'TUSD BF'!$AI$78</f>
        <v>0</v>
      </c>
      <c r="AJ27" s="30">
        <f ca="1">'TUSD BE'!$AJ$27*'TUSD BF'!$AJ$78</f>
        <v>0</v>
      </c>
      <c r="AK27" s="30">
        <f ca="1">'TUSD BE'!$AK$27*'TUSD BF'!$AK$78</f>
        <v>0</v>
      </c>
      <c r="AL27" s="30">
        <f ca="1">SUM($AH$27:$AK$27)</f>
        <v>0</v>
      </c>
      <c r="AM27" s="30">
        <f ca="1">SUMIF($L$4:$AL$4,"SUBTOTAL",$L$27:$AL$27)</f>
        <v>0.35399986978678272</v>
      </c>
      <c r="AO27" s="36"/>
      <c r="AP27" s="36">
        <f ca="1">+'TUSD BE'!$T$27+'TUSD BE'!$AB$27+'TUSD BE'!$AD$27+'TUSD BE'!$AL$27</f>
        <v>14.643517570572854</v>
      </c>
    </row>
    <row r="28" spans="1:42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>
        <f>'TUSD BE'!$L$28*'TUSD BF'!$L$78</f>
        <v>0</v>
      </c>
      <c r="M28" s="30">
        <f>'TUSD BE'!$M$28*'TUSD BF'!$M$78</f>
        <v>0</v>
      </c>
      <c r="N28" s="30">
        <f ca="1">'TUSD BE'!$N$28*'TUSD BF'!$N$78</f>
        <v>0</v>
      </c>
      <c r="O28" s="30">
        <f>'TUSD BE'!$O$28*'TUSD BF'!$O$78</f>
        <v>0</v>
      </c>
      <c r="P28" s="30">
        <f>'TUSD BE'!$P$28*'TUSD BF'!$P$78</f>
        <v>0</v>
      </c>
      <c r="Q28" s="30">
        <f>'TUSD BE'!$Q$28*'TUSD BF'!$Q$78</f>
        <v>0</v>
      </c>
      <c r="R28" s="30">
        <f>'TUSD BE'!$R$28*'TUSD BF'!$R$78</f>
        <v>0</v>
      </c>
      <c r="S28" s="30">
        <f>'TUSD BE'!$R$28*'TUSD BF'!$S$78</f>
        <v>0</v>
      </c>
      <c r="T28" s="30">
        <f ca="1">SUM($L$28:$S$28)</f>
        <v>0</v>
      </c>
      <c r="U28" s="30">
        <f>'TUSD BE'!$U$28*'TUSD BF'!$U$78</f>
        <v>0</v>
      </c>
      <c r="V28" s="30">
        <f>'TUSD BE'!$V$28*'TUSD BF'!$V$78</f>
        <v>0</v>
      </c>
      <c r="W28" s="30">
        <f>'TUSD BE'!$W$28*'TUSD BF'!$W$78</f>
        <v>0</v>
      </c>
      <c r="X28" s="30">
        <f>'TUSD BE'!$X$28*'TUSD BF'!$X$78</f>
        <v>0</v>
      </c>
      <c r="Y28" s="30">
        <f>'TUSD BE'!$Y$28*'TUSD BF'!$Y$78</f>
        <v>0</v>
      </c>
      <c r="Z28" s="30">
        <f>'TUSD BE'!$Z$28*'TUSD BF'!$Z$78</f>
        <v>0</v>
      </c>
      <c r="AA28" s="30">
        <f>'TUSD BE'!$AA$28*'TUSD BF'!$AA$78</f>
        <v>0</v>
      </c>
      <c r="AB28" s="30">
        <f>SUM($U$28:$AA$28)</f>
        <v>0</v>
      </c>
      <c r="AC28" s="30">
        <f>'TUSD BE'!$AC$28*'TUSD BF'!$AC$78</f>
        <v>0</v>
      </c>
      <c r="AD28" s="30">
        <f>SUM($AC$28:$AC$28)</f>
        <v>0</v>
      </c>
      <c r="AE28" s="30">
        <v>0</v>
      </c>
      <c r="AF28" s="30">
        <f ca="1">$AP$28*$AP$75</f>
        <v>0</v>
      </c>
      <c r="AG28" s="30">
        <f ca="1">SUM($AE$28:$AF$28)</f>
        <v>0</v>
      </c>
      <c r="AH28" s="30">
        <f>'TUSD BE'!$AH$28*'TUSD BF'!$AH$78</f>
        <v>0.78197239462547907</v>
      </c>
      <c r="AI28" s="30">
        <f>'TUSD BE'!$AI$28*'TUSD BF'!$AI$78</f>
        <v>2.784106599677761E-2</v>
      </c>
      <c r="AJ28" s="30">
        <f ca="1">'TUSD BE'!$AJ$28*'TUSD BF'!$AJ$78</f>
        <v>0</v>
      </c>
      <c r="AK28" s="30">
        <f ca="1">'TUSD BE'!$AK$28*'TUSD BF'!$AK$78</f>
        <v>0</v>
      </c>
      <c r="AL28" s="30">
        <f ca="1">SUM($AH$28:$AK$28)</f>
        <v>0.80981346062225668</v>
      </c>
      <c r="AM28" s="30">
        <f ca="1">SUMIF($L$4:$AL$4,"SUBTOTAL",$L$28:$AL$28)</f>
        <v>0.80981346062225668</v>
      </c>
      <c r="AO28" s="36"/>
      <c r="AP28" s="36">
        <f ca="1">+'TUSD BE'!$T$28+'TUSD BE'!$AB$28+'TUSD BE'!$AD$28+'TUSD BE'!$AL$28</f>
        <v>11.170708195854148</v>
      </c>
    </row>
    <row r="29" spans="1:42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>
        <f>'TUSD BE'!$L$29*'TUSD BF'!$L$78</f>
        <v>0</v>
      </c>
      <c r="M29" s="30">
        <f>'TUSD BE'!$M$29*'TUSD BF'!$M$78</f>
        <v>0</v>
      </c>
      <c r="N29" s="30">
        <f ca="1">'TUSD BE'!$N$29*'TUSD BF'!$N$78</f>
        <v>0</v>
      </c>
      <c r="O29" s="30">
        <f>'TUSD BE'!$O$29*'TUSD BF'!$O$78</f>
        <v>0</v>
      </c>
      <c r="P29" s="30">
        <f>'TUSD BE'!$P$29*'TUSD BF'!$P$78</f>
        <v>0</v>
      </c>
      <c r="Q29" s="30">
        <f>'TUSD BE'!$Q$29*'TUSD BF'!$Q$78</f>
        <v>0</v>
      </c>
      <c r="R29" s="30">
        <f>'TUSD BE'!$R$29*'TUSD BF'!$R$78</f>
        <v>0</v>
      </c>
      <c r="S29" s="30">
        <f>'TUSD BE'!$R$29*'TUSD BF'!$S$78</f>
        <v>0</v>
      </c>
      <c r="T29" s="30">
        <f ca="1">SUM($L$29:$S$29)</f>
        <v>0</v>
      </c>
      <c r="U29" s="30">
        <f>'TUSD BE'!$U$29*'TUSD BF'!$U$78</f>
        <v>0</v>
      </c>
      <c r="V29" s="30">
        <f>'TUSD BE'!$V$29*'TUSD BF'!$V$78</f>
        <v>0</v>
      </c>
      <c r="W29" s="30">
        <f>'TUSD BE'!$W$29*'TUSD BF'!$W$78</f>
        <v>0</v>
      </c>
      <c r="X29" s="30">
        <f>'TUSD BE'!$X$29*'TUSD BF'!$X$78</f>
        <v>0</v>
      </c>
      <c r="Y29" s="30">
        <f>'TUSD BE'!$Y$29*'TUSD BF'!$Y$78</f>
        <v>0</v>
      </c>
      <c r="Z29" s="30">
        <f>'TUSD BE'!$Z$29*'TUSD BF'!$Z$78</f>
        <v>0</v>
      </c>
      <c r="AA29" s="30">
        <f>'TUSD BE'!$AA$29*'TUSD BF'!$AA$78</f>
        <v>0</v>
      </c>
      <c r="AB29" s="30">
        <f>SUM($U$29:$AA$29)</f>
        <v>0</v>
      </c>
      <c r="AC29" s="30">
        <f>'TUSD BE'!$AC$29*'TUSD BF'!$AC$78</f>
        <v>0</v>
      </c>
      <c r="AD29" s="30">
        <f>SUM($AC$29:$AC$29)</f>
        <v>0</v>
      </c>
      <c r="AE29" s="30">
        <f ca="1">$AO$29*$AO$75</f>
        <v>0</v>
      </c>
      <c r="AF29" s="30">
        <f ca="1">$AP$29*$AP$75</f>
        <v>0</v>
      </c>
      <c r="AG29" s="30">
        <f ca="1">SUM($AE$29:$AF$29)</f>
        <v>0</v>
      </c>
      <c r="AH29" s="30">
        <f>'TUSD BE'!$AH$29*'TUSD BF'!$AH$78</f>
        <v>0</v>
      </c>
      <c r="AI29" s="30">
        <f>'TUSD BE'!$AI$29*'TUSD BF'!$AI$78</f>
        <v>0</v>
      </c>
      <c r="AJ29" s="30">
        <f ca="1">'TUSD BE'!$AJ$29*'TUSD BF'!$AJ$78</f>
        <v>0</v>
      </c>
      <c r="AK29" s="30">
        <f ca="1">'TUSD BE'!$AK$29*'TUSD BF'!$AK$78</f>
        <v>0</v>
      </c>
      <c r="AL29" s="30">
        <f ca="1">SUM($AH$29:$AK$29)</f>
        <v>0</v>
      </c>
      <c r="AM29" s="30">
        <f ca="1">SUMIF($L$4:$AL$4,"SUBTOTAL",$L$29:$AL$29)</f>
        <v>0</v>
      </c>
      <c r="AO29" s="36">
        <f ca="1">+'TUSD BE'!$T$29+'TUSD BE'!$AB$29+'TUSD BE'!$AD$29+'TUSD BE'!$AL$29</f>
        <v>14.722583268570425</v>
      </c>
      <c r="AP29" s="36">
        <f ca="1">+'TUSD BE'!$T$29+'TUSD BE'!$AB$29+'TUSD BE'!$AD$29+'TUSD BE'!$AL$29</f>
        <v>14.722583268570425</v>
      </c>
    </row>
    <row r="30" spans="1:42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>
        <f>'TUSD BE'!$L$30*'TUSD BF'!$L$78</f>
        <v>0</v>
      </c>
      <c r="M30" s="30">
        <f>'TUSD BE'!$M$30*'TUSD BF'!$M$78</f>
        <v>0</v>
      </c>
      <c r="N30" s="30">
        <f ca="1">'TUSD BE'!$N$30*'TUSD BF'!$N$78</f>
        <v>0</v>
      </c>
      <c r="O30" s="30">
        <f>'TUSD BE'!$O$30*'TUSD BF'!$O$78</f>
        <v>0</v>
      </c>
      <c r="P30" s="30">
        <f>'TUSD BE'!$P$30*'TUSD BF'!$P$78</f>
        <v>0</v>
      </c>
      <c r="Q30" s="30">
        <f>'TUSD BE'!$Q$30*'TUSD BF'!$Q$78</f>
        <v>0</v>
      </c>
      <c r="R30" s="30">
        <f>'TUSD BE'!$R$30*'TUSD BF'!$R$78</f>
        <v>0</v>
      </c>
      <c r="S30" s="30">
        <f>'TUSD BE'!$R$30*'TUSD BF'!$S$78</f>
        <v>0</v>
      </c>
      <c r="T30" s="30">
        <f ca="1">SUM($L$30:$S$30)</f>
        <v>0</v>
      </c>
      <c r="U30" s="30">
        <f>'TUSD BE'!$U$30*'TUSD BF'!$U$78</f>
        <v>0.29214218758341304</v>
      </c>
      <c r="V30" s="30">
        <f>'TUSD BE'!$V$30*'TUSD BF'!$V$78</f>
        <v>6.1857682203369693E-2</v>
      </c>
      <c r="W30" s="30">
        <f>'TUSD BE'!$W$30*'TUSD BF'!$W$78</f>
        <v>0</v>
      </c>
      <c r="X30" s="30">
        <f>'TUSD BE'!$X$30*'TUSD BF'!$X$78</f>
        <v>0</v>
      </c>
      <c r="Y30" s="30">
        <f>'TUSD BE'!$Y$30*'TUSD BF'!$Y$78</f>
        <v>0</v>
      </c>
      <c r="Z30" s="30">
        <f>'TUSD BE'!$Z$30*'TUSD BF'!$Z$78</f>
        <v>0</v>
      </c>
      <c r="AA30" s="30">
        <f>'TUSD BE'!$AA$30*'TUSD BF'!$AA$78</f>
        <v>0</v>
      </c>
      <c r="AB30" s="30">
        <f>SUM($U$30:$AA$30)</f>
        <v>0.35399986978678272</v>
      </c>
      <c r="AC30" s="30">
        <f>'TUSD BE'!$AC$30*'TUSD BF'!$AC$78</f>
        <v>0</v>
      </c>
      <c r="AD30" s="30">
        <f>SUM($AC$30:$AC$30)</f>
        <v>0</v>
      </c>
      <c r="AE30" s="30">
        <f ca="1">$AO$30*$AO$75</f>
        <v>0</v>
      </c>
      <c r="AF30" s="30">
        <f ca="1">$AP$30*$AP$75</f>
        <v>0</v>
      </c>
      <c r="AG30" s="30">
        <f ca="1">SUM($AE$30:$AF$30)</f>
        <v>0</v>
      </c>
      <c r="AH30" s="30">
        <f>'TUSD BE'!$AH$30*'TUSD BF'!$AH$78</f>
        <v>0</v>
      </c>
      <c r="AI30" s="30">
        <f>'TUSD BE'!$AI$30*'TUSD BF'!$AI$78</f>
        <v>0</v>
      </c>
      <c r="AJ30" s="30">
        <f ca="1">'TUSD BE'!$AJ$30*'TUSD BF'!$AJ$78</f>
        <v>0</v>
      </c>
      <c r="AK30" s="30">
        <f ca="1">'TUSD BE'!$AK$30*'TUSD BF'!$AK$78</f>
        <v>0</v>
      </c>
      <c r="AL30" s="30">
        <f ca="1">SUM($AH$30:$AK$30)</f>
        <v>0</v>
      </c>
      <c r="AM30" s="30">
        <f ca="1">SUMIF($L$4:$AL$4,"SUBTOTAL",$L$30:$AL$30)</f>
        <v>0.35399986978678272</v>
      </c>
      <c r="AO30" s="36">
        <f ca="1">+'TUSD BE'!$T$30+'TUSD BE'!$AB$30+'TUSD BE'!$AD$30+'TUSD BE'!$AL$30</f>
        <v>26.293121314440025</v>
      </c>
      <c r="AP30" s="36">
        <f ca="1">+'TUSD BE'!$T$30+'TUSD BE'!$AB$30+'TUSD BE'!$AD$30+'TUSD BE'!$AL$30</f>
        <v>26.293121314440025</v>
      </c>
    </row>
    <row r="31" spans="1:42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>
        <f>'TUSD BE'!$L$31*'TUSD BF'!$L$78</f>
        <v>0.2283618907350097</v>
      </c>
      <c r="M31" s="30">
        <f>'TUSD BE'!$M$31*'TUSD BF'!$M$78</f>
        <v>0</v>
      </c>
      <c r="N31" s="30">
        <f ca="1">'TUSD BE'!$N$31*'TUSD BF'!$N$78</f>
        <v>0</v>
      </c>
      <c r="O31" s="30">
        <f>'TUSD BE'!$O$31*'TUSD BF'!$O$78</f>
        <v>0</v>
      </c>
      <c r="P31" s="30">
        <f>'TUSD BE'!$P$31*'TUSD BF'!$P$78</f>
        <v>0</v>
      </c>
      <c r="Q31" s="30">
        <f>'TUSD BE'!$Q$31*'TUSD BF'!$Q$78</f>
        <v>2.6996775138594633</v>
      </c>
      <c r="R31" s="30">
        <f>'TUSD BE'!$R$31*'TUSD BF'!$R$78</f>
        <v>1.7194053454059157</v>
      </c>
      <c r="S31" s="30">
        <f>'TUSD BE'!$R$31*'TUSD BF'!$S$78</f>
        <v>0</v>
      </c>
      <c r="T31" s="30">
        <f ca="1">SUM($L$31:$S$31)</f>
        <v>4.647444750000389</v>
      </c>
      <c r="U31" s="30">
        <f>'TUSD BE'!$U$31*'TUSD BF'!$U$78</f>
        <v>6.9792162734270855</v>
      </c>
      <c r="V31" s="30">
        <f>'TUSD BE'!$V$31*'TUSD BF'!$V$78</f>
        <v>1.4592301145462854</v>
      </c>
      <c r="W31" s="30">
        <f>'TUSD BE'!$W$31*'TUSD BF'!$W$78</f>
        <v>0</v>
      </c>
      <c r="X31" s="30">
        <f>'TUSD BE'!$X$31*'TUSD BF'!$X$78</f>
        <v>0</v>
      </c>
      <c r="Y31" s="30">
        <f>'TUSD BE'!$Y$31*'TUSD BF'!$Y$78</f>
        <v>0</v>
      </c>
      <c r="Z31" s="30">
        <f>'TUSD BE'!$Z$31*'TUSD BF'!$Z$78</f>
        <v>0</v>
      </c>
      <c r="AA31" s="30">
        <f>'TUSD BE'!$AA$31*'TUSD BF'!$AA$78</f>
        <v>0</v>
      </c>
      <c r="AB31" s="30">
        <f>SUM($U$31:$AA$31)</f>
        <v>8.4384463879733715</v>
      </c>
      <c r="AC31" s="30">
        <f>'TUSD BE'!$AC$31*'TUSD BF'!$AC$78</f>
        <v>0</v>
      </c>
      <c r="AD31" s="30">
        <f>SUM($AC$31:$AC$31)</f>
        <v>0</v>
      </c>
      <c r="AE31" s="30">
        <f ca="1">$AO$31*$AO$75</f>
        <v>0</v>
      </c>
      <c r="AF31" s="30">
        <f ca="1">$AP$31*$AP$75</f>
        <v>0</v>
      </c>
      <c r="AG31" s="30">
        <f ca="1">SUM($AE$31:$AF$31)</f>
        <v>0</v>
      </c>
      <c r="AH31" s="30">
        <f>'TUSD BE'!$AH$31*'TUSD BF'!$AH$78</f>
        <v>0.78197239462547907</v>
      </c>
      <c r="AI31" s="30">
        <f>'TUSD BE'!$AI$31*'TUSD BF'!$AI$78</f>
        <v>2.784106599677761E-2</v>
      </c>
      <c r="AJ31" s="30">
        <f ca="1">'TUSD BE'!$AJ$31*'TUSD BF'!$AJ$78</f>
        <v>0.438315234702294</v>
      </c>
      <c r="AK31" s="30">
        <f ca="1">'TUSD BE'!$AK$31*'TUSD BF'!$AK$78</f>
        <v>0</v>
      </c>
      <c r="AL31" s="30">
        <f ca="1">SUM($AH$31:$AK$31)</f>
        <v>1.2481286953245507</v>
      </c>
      <c r="AM31" s="30">
        <f ca="1">SUMIF($L$4:$AL$4,"SUBTOTAL",$L$31:$AL$31)</f>
        <v>14.334019833298312</v>
      </c>
      <c r="AO31" s="36">
        <f ca="1">+'TUSD BE'!$T$31+'TUSD BE'!$AB$31+'TUSD BE'!$AD$31+'TUSD BE'!$AL$31</f>
        <v>1865.9712745455629</v>
      </c>
      <c r="AP31" s="36">
        <f ca="1">+'TUSD BE'!$T$31+'TUSD BE'!$AB$31+'TUSD BE'!$AD$31+'TUSD BE'!$AL$31</f>
        <v>1865.9712745455629</v>
      </c>
    </row>
    <row r="32" spans="1:42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>
        <f>'TUSD BE'!$L$32*'TUSD BF'!$L$78</f>
        <v>0.2283618907350097</v>
      </c>
      <c r="M32" s="30">
        <f>'TUSD BE'!$M$32*'TUSD BF'!$M$78</f>
        <v>0</v>
      </c>
      <c r="N32" s="30">
        <f ca="1">'TUSD BE'!$N$32*'TUSD BF'!$N$78</f>
        <v>0</v>
      </c>
      <c r="O32" s="30">
        <f>'TUSD BE'!$O$32*'TUSD BF'!$O$78</f>
        <v>0</v>
      </c>
      <c r="P32" s="30">
        <f>'TUSD BE'!$P$32*'TUSD BF'!$P$78</f>
        <v>0</v>
      </c>
      <c r="Q32" s="30">
        <f>'TUSD BE'!$Q$32*'TUSD BF'!$Q$78</f>
        <v>2.6996775138594633</v>
      </c>
      <c r="R32" s="30">
        <f>'TUSD BE'!$R$32*'TUSD BF'!$R$78</f>
        <v>1.7194053454059157</v>
      </c>
      <c r="S32" s="30">
        <f>'TUSD BE'!$R$32*'TUSD BF'!$S$78</f>
        <v>0</v>
      </c>
      <c r="T32" s="30">
        <f ca="1">SUM($L$32:$S$32)</f>
        <v>4.647444750000389</v>
      </c>
      <c r="U32" s="30">
        <f>'TUSD BE'!$U$32*'TUSD BF'!$U$78</f>
        <v>0</v>
      </c>
      <c r="V32" s="30">
        <f>'TUSD BE'!$V$32*'TUSD BF'!$V$78</f>
        <v>0</v>
      </c>
      <c r="W32" s="30">
        <f>'TUSD BE'!$W$32*'TUSD BF'!$W$78</f>
        <v>0</v>
      </c>
      <c r="X32" s="30">
        <f>'TUSD BE'!$X$32*'TUSD BF'!$X$78</f>
        <v>0</v>
      </c>
      <c r="Y32" s="30">
        <f>'TUSD BE'!$Y$32*'TUSD BF'!$Y$78</f>
        <v>0</v>
      </c>
      <c r="Z32" s="30">
        <f>'TUSD BE'!$Z$32*'TUSD BF'!$Z$78</f>
        <v>0</v>
      </c>
      <c r="AA32" s="30">
        <f>'TUSD BE'!$AA$32*'TUSD BF'!$AA$78</f>
        <v>0</v>
      </c>
      <c r="AB32" s="30">
        <f>SUM($U$32:$AA$32)</f>
        <v>0</v>
      </c>
      <c r="AC32" s="30">
        <f>'TUSD BE'!$AC$32*'TUSD BF'!$AC$78</f>
        <v>0</v>
      </c>
      <c r="AD32" s="30">
        <f>SUM($AC$32:$AC$32)</f>
        <v>0</v>
      </c>
      <c r="AE32" s="30">
        <f ca="1">$AO$32*$AO$75</f>
        <v>0</v>
      </c>
      <c r="AF32" s="30">
        <f ca="1">$AP$32*$AP$75</f>
        <v>0</v>
      </c>
      <c r="AG32" s="30">
        <f ca="1">SUM($AE$32:$AF$32)</f>
        <v>0</v>
      </c>
      <c r="AH32" s="30">
        <f>'TUSD BE'!$AH$32*'TUSD BF'!$AH$78</f>
        <v>0.78197239462547907</v>
      </c>
      <c r="AI32" s="30">
        <f>'TUSD BE'!$AI$32*'TUSD BF'!$AI$78</f>
        <v>2.784106599677761E-2</v>
      </c>
      <c r="AJ32" s="30">
        <f ca="1">'TUSD BE'!$AJ$32*'TUSD BF'!$AJ$78</f>
        <v>0.438315234702294</v>
      </c>
      <c r="AK32" s="30">
        <f ca="1">'TUSD BE'!$AK$32*'TUSD BF'!$AK$78</f>
        <v>0</v>
      </c>
      <c r="AL32" s="30">
        <f ca="1">SUM($AH$32:$AK$32)</f>
        <v>1.2481286953245507</v>
      </c>
      <c r="AM32" s="30">
        <f ca="1">SUMIF($L$4:$AL$4,"SUBTOTAL",$L$32:$AL$32)</f>
        <v>5.8955734453249402</v>
      </c>
      <c r="AO32" s="36">
        <f ca="1">+'TUSD BE'!$T$32+'TUSD BE'!$AB$32+'TUSD BE'!$AD$32+'TUSD BE'!$AL$32</f>
        <v>67.580506343090917</v>
      </c>
      <c r="AP32" s="36">
        <f ca="1">+'TUSD BE'!$T$32+'TUSD BE'!$AB$32+'TUSD BE'!$AD$32+'TUSD BE'!$AL$32</f>
        <v>67.580506343090917</v>
      </c>
    </row>
    <row r="33" spans="1:42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>
        <f>'TUSD BE'!$L$33*'TUSD BF'!$L$78</f>
        <v>0</v>
      </c>
      <c r="M33" s="30">
        <f>'TUSD BE'!$M$33*'TUSD BF'!$M$78</f>
        <v>0</v>
      </c>
      <c r="N33" s="30">
        <f ca="1">'TUSD BE'!$N$33*'TUSD BF'!$N$78</f>
        <v>0</v>
      </c>
      <c r="O33" s="30">
        <f>'TUSD BE'!$O$33*'TUSD BF'!$O$78</f>
        <v>0</v>
      </c>
      <c r="P33" s="30">
        <f>'TUSD BE'!$P$33*'TUSD BF'!$P$78</f>
        <v>0</v>
      </c>
      <c r="Q33" s="30">
        <f>'TUSD BE'!$Q$33*'TUSD BF'!$Q$78</f>
        <v>0</v>
      </c>
      <c r="R33" s="30">
        <f>'TUSD BE'!$R$33*'TUSD BF'!$R$78</f>
        <v>0</v>
      </c>
      <c r="S33" s="30">
        <f>'TUSD BE'!$R$33*'TUSD BF'!$S$78</f>
        <v>0</v>
      </c>
      <c r="T33" s="30">
        <f ca="1">SUM($L$33:$S$33)</f>
        <v>0</v>
      </c>
      <c r="U33" s="30">
        <f>'TUSD BE'!$U$33*'TUSD BF'!$U$78</f>
        <v>6.9792162734270855</v>
      </c>
      <c r="V33" s="30">
        <f>'TUSD BE'!$V$33*'TUSD BF'!$V$78</f>
        <v>1.4592301145462854</v>
      </c>
      <c r="W33" s="30">
        <f>'TUSD BE'!$W$33*'TUSD BF'!$W$78</f>
        <v>0</v>
      </c>
      <c r="X33" s="30">
        <f>'TUSD BE'!$X$33*'TUSD BF'!$X$78</f>
        <v>0</v>
      </c>
      <c r="Y33" s="30">
        <f>'TUSD BE'!$Y$33*'TUSD BF'!$Y$78</f>
        <v>0</v>
      </c>
      <c r="Z33" s="30">
        <f>'TUSD BE'!$Z$33*'TUSD BF'!$Z$78</f>
        <v>0</v>
      </c>
      <c r="AA33" s="30">
        <f>'TUSD BE'!$AA$33*'TUSD BF'!$AA$78</f>
        <v>0</v>
      </c>
      <c r="AB33" s="30">
        <f>SUM($U$33:$AA$33)</f>
        <v>8.4384463879733715</v>
      </c>
      <c r="AC33" s="30">
        <f>'TUSD BE'!$AC$33*'TUSD BF'!$AC$78</f>
        <v>0</v>
      </c>
      <c r="AD33" s="30">
        <f>SUM($AC$33:$AC$33)</f>
        <v>0</v>
      </c>
      <c r="AE33" s="30">
        <f ca="1">$AO$33*$AO$75</f>
        <v>0</v>
      </c>
      <c r="AF33" s="30">
        <f ca="1">$AP$33*$AP$75</f>
        <v>0</v>
      </c>
      <c r="AG33" s="30">
        <f ca="1">SUM($AE$33:$AF$33)</f>
        <v>0</v>
      </c>
      <c r="AH33" s="30">
        <f>'TUSD BE'!$AH$33*'TUSD BF'!$AH$78</f>
        <v>0.78197239462547907</v>
      </c>
      <c r="AI33" s="30">
        <f>'TUSD BE'!$AI$33*'TUSD BF'!$AI$78</f>
        <v>2.784106599677761E-2</v>
      </c>
      <c r="AJ33" s="30">
        <f ca="1">'TUSD BE'!$AJ$33*'TUSD BF'!$AJ$78</f>
        <v>0.438315234702294</v>
      </c>
      <c r="AK33" s="30">
        <f ca="1">'TUSD BE'!$AK$33*'TUSD BF'!$AK$78</f>
        <v>0</v>
      </c>
      <c r="AL33" s="30">
        <f ca="1">SUM($AH$33:$AK$33)</f>
        <v>1.2481286953245507</v>
      </c>
      <c r="AM33" s="30">
        <f ca="1">SUMIF($L$4:$AL$4,"SUBTOTAL",$L$33:$AL$33)</f>
        <v>9.6865750832979227</v>
      </c>
      <c r="AO33" s="36">
        <f ca="1">+'TUSD BE'!$T$33+'TUSD BE'!$AB$33+'TUSD BE'!$AD$33+'TUSD BE'!$AL$33</f>
        <v>1816.8743251674923</v>
      </c>
      <c r="AP33" s="36">
        <f ca="1">+'TUSD BE'!$T$33+'TUSD BE'!$AB$33+'TUSD BE'!$AD$33+'TUSD BE'!$AL$33</f>
        <v>1816.8743251674923</v>
      </c>
    </row>
    <row r="34" spans="1:42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>
        <f>'TUSD BE'!$L$34*'TUSD BF'!$L$78</f>
        <v>0</v>
      </c>
      <c r="M34" s="30">
        <f>'TUSD BE'!$M$34*'TUSD BF'!$M$78</f>
        <v>0</v>
      </c>
      <c r="N34" s="30">
        <f ca="1">'TUSD BE'!$N$34*'TUSD BF'!$N$78</f>
        <v>0</v>
      </c>
      <c r="O34" s="30">
        <f>'TUSD BE'!$O$34*'TUSD BF'!$O$78</f>
        <v>0</v>
      </c>
      <c r="P34" s="30">
        <f>'TUSD BE'!$P$34*'TUSD BF'!$P$78</f>
        <v>0</v>
      </c>
      <c r="Q34" s="30">
        <f>'TUSD BE'!$Q$34*'TUSD BF'!$Q$78</f>
        <v>0</v>
      </c>
      <c r="R34" s="30">
        <f>'TUSD BE'!$R$34*'TUSD BF'!$R$78</f>
        <v>0</v>
      </c>
      <c r="S34" s="30">
        <f>'TUSD BE'!$R$34*'TUSD BF'!$S$78</f>
        <v>0</v>
      </c>
      <c r="T34" s="30">
        <f ca="1">SUM($L$34:$S$34)</f>
        <v>0</v>
      </c>
      <c r="U34" s="30">
        <f>'TUSD BE'!$U$34*'TUSD BF'!$U$78</f>
        <v>0</v>
      </c>
      <c r="V34" s="30">
        <f>'TUSD BE'!$V$34*'TUSD BF'!$V$78</f>
        <v>0</v>
      </c>
      <c r="W34" s="30">
        <f>'TUSD BE'!$W$34*'TUSD BF'!$W$78</f>
        <v>0</v>
      </c>
      <c r="X34" s="30">
        <f>'TUSD BE'!$X$34*'TUSD BF'!$X$78</f>
        <v>0</v>
      </c>
      <c r="Y34" s="30">
        <f>'TUSD BE'!$Y$34*'TUSD BF'!$Y$78</f>
        <v>0</v>
      </c>
      <c r="Z34" s="30">
        <f>'TUSD BE'!$Z$34*'TUSD BF'!$Z$78</f>
        <v>0</v>
      </c>
      <c r="AA34" s="30">
        <f>'TUSD BE'!$AA$34*'TUSD BF'!$AA$78</f>
        <v>0</v>
      </c>
      <c r="AB34" s="30">
        <f>SUM($U$34:$AA$34)</f>
        <v>0</v>
      </c>
      <c r="AC34" s="30">
        <f>'TUSD BE'!$AC$34*'TUSD BF'!$AC$78</f>
        <v>0</v>
      </c>
      <c r="AD34" s="30">
        <f>SUM($AC$34:$AC$34)</f>
        <v>0</v>
      </c>
      <c r="AE34" s="30">
        <f ca="1">$AO$34*$AO$75</f>
        <v>0</v>
      </c>
      <c r="AF34" s="30">
        <f ca="1">$AP$34*$AP$75</f>
        <v>0</v>
      </c>
      <c r="AG34" s="30">
        <f ca="1">SUM($AE$34:$AF$34)</f>
        <v>0</v>
      </c>
      <c r="AH34" s="30">
        <f>'TUSD BE'!$AH$34*'TUSD BF'!$AH$78</f>
        <v>0.78197239462547907</v>
      </c>
      <c r="AI34" s="30">
        <f>'TUSD BE'!$AI$34*'TUSD BF'!$AI$78</f>
        <v>2.784106599677761E-2</v>
      </c>
      <c r="AJ34" s="30">
        <f ca="1">'TUSD BE'!$AJ$34*'TUSD BF'!$AJ$78</f>
        <v>0.438315234702294</v>
      </c>
      <c r="AK34" s="30">
        <f ca="1">'TUSD BE'!$AK$34*'TUSD BF'!$AK$78</f>
        <v>0</v>
      </c>
      <c r="AL34" s="30">
        <f ca="1">SUM($AH$34:$AK$34)</f>
        <v>1.2481286953245507</v>
      </c>
      <c r="AM34" s="30">
        <f ca="1">SUMIF($L$4:$AL$4,"SUBTOTAL",$L$34:$AL$34)</f>
        <v>1.2481286953245507</v>
      </c>
      <c r="AO34" s="36">
        <f ca="1">+'TUSD BE'!$T$34+'TUSD BE'!$AB$34+'TUSD BE'!$AD$34+'TUSD BE'!$AL$34</f>
        <v>18.483556965020291</v>
      </c>
      <c r="AP34" s="36">
        <f ca="1">+'TUSD BE'!$T$34+'TUSD BE'!$AB$34+'TUSD BE'!$AD$34+'TUSD BE'!$AL$34</f>
        <v>18.483556965020291</v>
      </c>
    </row>
    <row r="35" spans="1:42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>
        <f>'TUSD BE'!$L$35*'TUSD BF'!$L$78</f>
        <v>0</v>
      </c>
      <c r="M35" s="30">
        <f>'TUSD BE'!$M$35*'TUSD BF'!$M$78</f>
        <v>0</v>
      </c>
      <c r="N35" s="30">
        <f ca="1">'TUSD BE'!$N$35*'TUSD BF'!$N$78</f>
        <v>0</v>
      </c>
      <c r="O35" s="30">
        <f>'TUSD BE'!$O$35*'TUSD BF'!$O$78</f>
        <v>0</v>
      </c>
      <c r="P35" s="30">
        <f>'TUSD BE'!$P$35*'TUSD BF'!$P$78</f>
        <v>0</v>
      </c>
      <c r="Q35" s="30">
        <f>'TUSD BE'!$Q$35*'TUSD BF'!$Q$78</f>
        <v>0</v>
      </c>
      <c r="R35" s="30">
        <f>'TUSD BE'!$R$35*'TUSD BF'!$R$78</f>
        <v>0</v>
      </c>
      <c r="S35" s="30">
        <f>'TUSD BE'!$R$35*'TUSD BF'!$S$78</f>
        <v>0</v>
      </c>
      <c r="T35" s="30">
        <f ca="1">SUM($L$35:$S$35)</f>
        <v>0</v>
      </c>
      <c r="U35" s="30">
        <f>'TUSD BE'!$U$35*'TUSD BF'!$U$78</f>
        <v>0</v>
      </c>
      <c r="V35" s="30">
        <f>'TUSD BE'!$V$35*'TUSD BF'!$V$78</f>
        <v>0</v>
      </c>
      <c r="W35" s="30">
        <f>'TUSD BE'!$W$35*'TUSD BF'!$W$78</f>
        <v>0</v>
      </c>
      <c r="X35" s="30">
        <f>'TUSD BE'!$X$35*'TUSD BF'!$X$78</f>
        <v>0</v>
      </c>
      <c r="Y35" s="30">
        <f>'TUSD BE'!$Y$35*'TUSD BF'!$Y$78</f>
        <v>0</v>
      </c>
      <c r="Z35" s="30">
        <f>'TUSD BE'!$Z$35*'TUSD BF'!$Z$78</f>
        <v>0</v>
      </c>
      <c r="AA35" s="30">
        <f>'TUSD BE'!$AA$35*'TUSD BF'!$AA$78</f>
        <v>0</v>
      </c>
      <c r="AB35" s="30">
        <f>SUM($U$35:$AA$35)</f>
        <v>0</v>
      </c>
      <c r="AC35" s="30">
        <f>'TUSD BE'!$AC$35*'TUSD BF'!$AC$78</f>
        <v>0</v>
      </c>
      <c r="AD35" s="30">
        <f>SUM($AC$35:$AC$35)</f>
        <v>0</v>
      </c>
      <c r="AE35" s="30">
        <f ca="1">$AO$35*$AO$75</f>
        <v>0</v>
      </c>
      <c r="AF35" s="30">
        <f ca="1">$AP$35*$AP$75</f>
        <v>0</v>
      </c>
      <c r="AG35" s="30">
        <f ca="1">SUM($AE$35:$AF$35)</f>
        <v>0</v>
      </c>
      <c r="AH35" s="30">
        <f>'TUSD BE'!$AH$35*'TUSD BF'!$AH$78</f>
        <v>0</v>
      </c>
      <c r="AI35" s="30">
        <f>'TUSD BE'!$AI$35*'TUSD BF'!$AI$78</f>
        <v>0</v>
      </c>
      <c r="AJ35" s="30">
        <f ca="1">'TUSD BE'!$AJ$35*'TUSD BF'!$AJ$78</f>
        <v>0</v>
      </c>
      <c r="AK35" s="30">
        <f ca="1">'TUSD BE'!$AK$35*'TUSD BF'!$AK$78</f>
        <v>0</v>
      </c>
      <c r="AL35" s="30">
        <f ca="1">SUM($AH$35:$AK$35)</f>
        <v>0</v>
      </c>
      <c r="AM35" s="30">
        <f ca="1">SUMIF($L$4:$AL$4,"SUBTOTAL",$L$35:$AL$35)</f>
        <v>0</v>
      </c>
      <c r="AO35" s="36">
        <f ca="1">+'TUSD BE'!$T$35+'TUSD BE'!$AB$35+'TUSD BE'!$AD$35+'TUSD BE'!$AL$35</f>
        <v>7.214039658858761</v>
      </c>
      <c r="AP35" s="36">
        <f ca="1">+'TUSD BE'!$T$35+'TUSD BE'!$AB$35+'TUSD BE'!$AD$35+'TUSD BE'!$AL$35</f>
        <v>7.214039658858761</v>
      </c>
    </row>
    <row r="36" spans="1:42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>
        <f>'TUSD BE'!$L$36*'TUSD BF'!$L$78</f>
        <v>0</v>
      </c>
      <c r="M36" s="30">
        <f>'TUSD BE'!$M$36*'TUSD BF'!$M$78</f>
        <v>0</v>
      </c>
      <c r="N36" s="30">
        <f ca="1">'TUSD BE'!$N$36*'TUSD BF'!$N$78</f>
        <v>0</v>
      </c>
      <c r="O36" s="30">
        <f>'TUSD BE'!$O$36*'TUSD BF'!$O$78</f>
        <v>0</v>
      </c>
      <c r="P36" s="30">
        <f>'TUSD BE'!$P$36*'TUSD BF'!$P$78</f>
        <v>0</v>
      </c>
      <c r="Q36" s="30">
        <f>'TUSD BE'!$Q$36*'TUSD BF'!$Q$78</f>
        <v>0</v>
      </c>
      <c r="R36" s="30">
        <f>'TUSD BE'!$R$36*'TUSD BF'!$R$78</f>
        <v>0</v>
      </c>
      <c r="S36" s="30">
        <f>'TUSD BE'!$R$36*'TUSD BF'!$S$78</f>
        <v>0</v>
      </c>
      <c r="T36" s="30">
        <f ca="1">SUM($L$36:$S$36)</f>
        <v>0</v>
      </c>
      <c r="U36" s="30">
        <f>'TUSD BE'!$U$36*'TUSD BF'!$U$78</f>
        <v>0</v>
      </c>
      <c r="V36" s="30">
        <f>'TUSD BE'!$V$36*'TUSD BF'!$V$78</f>
        <v>0</v>
      </c>
      <c r="W36" s="30">
        <f>'TUSD BE'!$W$36*'TUSD BF'!$W$78</f>
        <v>0</v>
      </c>
      <c r="X36" s="30">
        <f>'TUSD BE'!$X$36*'TUSD BF'!$X$78</f>
        <v>0</v>
      </c>
      <c r="Y36" s="30">
        <f>'TUSD BE'!$Y$36*'TUSD BF'!$Y$78</f>
        <v>0</v>
      </c>
      <c r="Z36" s="30">
        <f>'TUSD BE'!$Z$36*'TUSD BF'!$Z$78</f>
        <v>0</v>
      </c>
      <c r="AA36" s="30">
        <f>'TUSD BE'!$AA$36*'TUSD BF'!$AA$78</f>
        <v>0</v>
      </c>
      <c r="AB36" s="30">
        <f>SUM($U$36:$AA$36)</f>
        <v>0</v>
      </c>
      <c r="AC36" s="30">
        <f>'TUSD BE'!$AC$36*'TUSD BF'!$AC$78</f>
        <v>0</v>
      </c>
      <c r="AD36" s="30">
        <f>SUM($AC$36:$AC$36)</f>
        <v>0</v>
      </c>
      <c r="AE36" s="30">
        <f ca="1">$AO$36*$AO$75</f>
        <v>0</v>
      </c>
      <c r="AF36" s="30">
        <f ca="1">$AP$36*$AP$75</f>
        <v>0</v>
      </c>
      <c r="AG36" s="30">
        <f ca="1">SUM($AE$36:$AF$36)</f>
        <v>0</v>
      </c>
      <c r="AH36" s="30">
        <f>'TUSD BE'!$AH$36*'TUSD BF'!$AH$78</f>
        <v>0</v>
      </c>
      <c r="AI36" s="30">
        <f>'TUSD BE'!$AI$36*'TUSD BF'!$AI$78</f>
        <v>0</v>
      </c>
      <c r="AJ36" s="30">
        <f ca="1">'TUSD BE'!$AJ$36*'TUSD BF'!$AJ$78</f>
        <v>0</v>
      </c>
      <c r="AK36" s="30">
        <f ca="1">'TUSD BE'!$AK$36*'TUSD BF'!$AK$78</f>
        <v>0</v>
      </c>
      <c r="AL36" s="30">
        <f ca="1">SUM($AH$36:$AK$36)</f>
        <v>0</v>
      </c>
      <c r="AM36" s="30">
        <f ca="1">SUMIF($L$4:$AL$4,"SUBTOTAL",$L$36:$AL$36)</f>
        <v>0</v>
      </c>
      <c r="AO36" s="36">
        <f ca="1">+'TUSD BE'!$T$36+'TUSD BE'!$AB$36+'TUSD BE'!$AD$36+'TUSD BE'!$AL$36</f>
        <v>21.619748311273458</v>
      </c>
      <c r="AP36" s="36">
        <f ca="1">+'TUSD BE'!$T$36+'TUSD BE'!$AB$36+'TUSD BE'!$AD$36+'TUSD BE'!$AL$36</f>
        <v>21.619748311273458</v>
      </c>
    </row>
    <row r="37" spans="1:42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>
        <f>'TUSD BE'!$L$37*'TUSD BF'!$L$78</f>
        <v>0.2718593937321544</v>
      </c>
      <c r="M37" s="30">
        <f>'TUSD BE'!$M$37*'TUSD BF'!$M$78</f>
        <v>0</v>
      </c>
      <c r="N37" s="30">
        <f ca="1">'TUSD BE'!$N$37*'TUSD BF'!$N$78</f>
        <v>0</v>
      </c>
      <c r="O37" s="30">
        <f>'TUSD BE'!$O$37*'TUSD BF'!$O$78</f>
        <v>0</v>
      </c>
      <c r="P37" s="30">
        <f>'TUSD BE'!$P$37*'TUSD BF'!$P$78</f>
        <v>0</v>
      </c>
      <c r="Q37" s="30">
        <f>'TUSD BE'!$Q$37*'TUSD BF'!$Q$78</f>
        <v>3.213901802213647</v>
      </c>
      <c r="R37" s="30">
        <f>'TUSD BE'!$R$37*'TUSD BF'!$R$78</f>
        <v>1.7194053454059157</v>
      </c>
      <c r="S37" s="30">
        <f>'TUSD BE'!$R$37*'TUSD BF'!$S$78</f>
        <v>0</v>
      </c>
      <c r="T37" s="30">
        <f ca="1">SUM($L$37:$S$37)</f>
        <v>5.2051665413517174</v>
      </c>
      <c r="U37" s="30">
        <f>'TUSD BE'!$U$37*'TUSD BF'!$U$78</f>
        <v>3.5399672082795957</v>
      </c>
      <c r="V37" s="30">
        <f>'TUSD BE'!$V$37*'TUSD BF'!$V$78</f>
        <v>0.75883891456472363</v>
      </c>
      <c r="W37" s="30">
        <f>'TUSD BE'!$W$37*'TUSD BF'!$W$78</f>
        <v>0</v>
      </c>
      <c r="X37" s="30">
        <f>'TUSD BE'!$X$37*'TUSD BF'!$X$78</f>
        <v>0</v>
      </c>
      <c r="Y37" s="30">
        <f>'TUSD BE'!$Y$37*'TUSD BF'!$Y$78</f>
        <v>0</v>
      </c>
      <c r="Z37" s="30">
        <f>'TUSD BE'!$Z$37*'TUSD BF'!$Z$78</f>
        <v>0</v>
      </c>
      <c r="AA37" s="30">
        <f>'TUSD BE'!$AA$37*'TUSD BF'!$AA$78</f>
        <v>0</v>
      </c>
      <c r="AB37" s="30">
        <f>SUM($U$37:$AA$37)</f>
        <v>4.2988061228443195</v>
      </c>
      <c r="AC37" s="30">
        <f>'TUSD BE'!$AC$37*'TUSD BF'!$AC$78</f>
        <v>0</v>
      </c>
      <c r="AD37" s="30">
        <f>SUM($AC$37:$AC$37)</f>
        <v>0</v>
      </c>
      <c r="AE37" s="30">
        <f ca="1">$AO$37*$AO$75</f>
        <v>0</v>
      </c>
      <c r="AF37" s="30">
        <f ca="1">$AP$37*$AP$75</f>
        <v>0</v>
      </c>
      <c r="AG37" s="30">
        <f ca="1">SUM($AE$37:$AF$37)</f>
        <v>0</v>
      </c>
      <c r="AH37" s="30">
        <f>'TUSD BE'!$AH$37*'TUSD BF'!$AH$78</f>
        <v>1.963519590895719</v>
      </c>
      <c r="AI37" s="30">
        <f>'TUSD BE'!$AI$37*'TUSD BF'!$AI$78</f>
        <v>6.9908450594698635E-2</v>
      </c>
      <c r="AJ37" s="30">
        <f ca="1">'TUSD BE'!$AJ$37*'TUSD BF'!$AJ$78</f>
        <v>0.58510648945417187</v>
      </c>
      <c r="AK37" s="30">
        <f ca="1">'TUSD BE'!$AK$37*'TUSD BF'!$AK$78</f>
        <v>0</v>
      </c>
      <c r="AL37" s="30">
        <f ca="1">SUM($AH$37:$AK$37)</f>
        <v>2.6185345309445895</v>
      </c>
      <c r="AM37" s="30">
        <f ca="1">SUMIF($L$4:$AL$4,"SUBTOTAL",$L$37:$AL$37)</f>
        <v>12.122507195140628</v>
      </c>
      <c r="AO37" s="36">
        <f ca="1">+'TUSD BE'!$T$37+'TUSD BE'!$AB$37+'TUSD BE'!$AD$37+'TUSD BE'!$AL$37</f>
        <v>1073.7113857785223</v>
      </c>
      <c r="AP37" s="36">
        <f ca="1">+'TUSD BE'!$T$37+'TUSD BE'!$AB$37+'TUSD BE'!$AD$37+'TUSD BE'!$AL$37</f>
        <v>1073.7113857785223</v>
      </c>
    </row>
    <row r="38" spans="1:42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>
        <f>'TUSD BE'!$L$38*'TUSD BF'!$L$78</f>
        <v>0.2718593937321544</v>
      </c>
      <c r="M38" s="30">
        <f>'TUSD BE'!$M$38*'TUSD BF'!$M$78</f>
        <v>0</v>
      </c>
      <c r="N38" s="30">
        <f ca="1">'TUSD BE'!$N$38*'TUSD BF'!$N$78</f>
        <v>0</v>
      </c>
      <c r="O38" s="30">
        <f>'TUSD BE'!$O$38*'TUSD BF'!$O$78</f>
        <v>0</v>
      </c>
      <c r="P38" s="30">
        <f>'TUSD BE'!$P$38*'TUSD BF'!$P$78</f>
        <v>0</v>
      </c>
      <c r="Q38" s="30">
        <f>'TUSD BE'!$Q$38*'TUSD BF'!$Q$78</f>
        <v>3.213901802213647</v>
      </c>
      <c r="R38" s="30">
        <f>'TUSD BE'!$R$38*'TUSD BF'!$R$78</f>
        <v>1.7194053454059157</v>
      </c>
      <c r="S38" s="30">
        <f>'TUSD BE'!$R$38*'TUSD BF'!$S$78</f>
        <v>0</v>
      </c>
      <c r="T38" s="30">
        <f ca="1">SUM($L$38:$S$38)</f>
        <v>5.2051665413517174</v>
      </c>
      <c r="U38" s="30">
        <f>'TUSD BE'!$U$38*'TUSD BF'!$U$78</f>
        <v>2.1239830328086802</v>
      </c>
      <c r="V38" s="30">
        <f>'TUSD BE'!$V$38*'TUSD BF'!$V$78</f>
        <v>0.455302106491978</v>
      </c>
      <c r="W38" s="30">
        <f>'TUSD BE'!$W$38*'TUSD BF'!$W$78</f>
        <v>0</v>
      </c>
      <c r="X38" s="30">
        <f>'TUSD BE'!$X$38*'TUSD BF'!$X$78</f>
        <v>0</v>
      </c>
      <c r="Y38" s="30">
        <f>'TUSD BE'!$Y$38*'TUSD BF'!$Y$78</f>
        <v>0</v>
      </c>
      <c r="Z38" s="30">
        <f>'TUSD BE'!$Z$38*'TUSD BF'!$Z$78</f>
        <v>0</v>
      </c>
      <c r="AA38" s="30">
        <f>'TUSD BE'!$AA$38*'TUSD BF'!$AA$78</f>
        <v>0</v>
      </c>
      <c r="AB38" s="30">
        <f>SUM($U$38:$AA$38)</f>
        <v>2.5792851393006582</v>
      </c>
      <c r="AC38" s="30">
        <f>'TUSD BE'!$AC$38*'TUSD BF'!$AC$78</f>
        <v>0</v>
      </c>
      <c r="AD38" s="30">
        <f>SUM($AC$38:$AC$38)</f>
        <v>0</v>
      </c>
      <c r="AE38" s="30">
        <f ca="1">$AO$38*$AO$75</f>
        <v>0</v>
      </c>
      <c r="AF38" s="30">
        <f ca="1">$AP$38*$AP$75</f>
        <v>0</v>
      </c>
      <c r="AG38" s="30">
        <f ca="1">SUM($AE$38:$AF$38)</f>
        <v>0</v>
      </c>
      <c r="AH38" s="30">
        <f>'TUSD BE'!$AH$38*'TUSD BF'!$AH$78</f>
        <v>1.963519590895719</v>
      </c>
      <c r="AI38" s="30">
        <f>'TUSD BE'!$AI$38*'TUSD BF'!$AI$78</f>
        <v>6.9908450594698635E-2</v>
      </c>
      <c r="AJ38" s="30">
        <f ca="1">'TUSD BE'!$AJ$38*'TUSD BF'!$AJ$78</f>
        <v>0.58510648945417187</v>
      </c>
      <c r="AK38" s="30">
        <f ca="1">'TUSD BE'!$AK$38*'TUSD BF'!$AK$78</f>
        <v>0</v>
      </c>
      <c r="AL38" s="30">
        <f ca="1">SUM($AH$38:$AK$38)</f>
        <v>2.6185345309445895</v>
      </c>
      <c r="AM38" s="30">
        <f ca="1">SUMIF($L$4:$AL$4,"SUBTOTAL",$L$38:$AL$38)</f>
        <v>10.402986211596966</v>
      </c>
      <c r="AO38" s="36">
        <f ca="1">+'TUSD BE'!$T$38+'TUSD BE'!$AB$38+'TUSD BE'!$AD$38+'TUSD BE'!$AL$38</f>
        <v>681.79262071825121</v>
      </c>
      <c r="AP38" s="36">
        <f ca="1">+'TUSD BE'!$T$38+'TUSD BE'!$AB$38+'TUSD BE'!$AD$38+'TUSD BE'!$AL$38</f>
        <v>681.79262071825121</v>
      </c>
    </row>
    <row r="39" spans="1:42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>
        <f>'TUSD BE'!$L$39*'TUSD BF'!$L$78</f>
        <v>0.2718593937321544</v>
      </c>
      <c r="M39" s="30">
        <f>'TUSD BE'!$M$39*'TUSD BF'!$M$78</f>
        <v>0</v>
      </c>
      <c r="N39" s="30">
        <f ca="1">'TUSD BE'!$N$39*'TUSD BF'!$N$78</f>
        <v>0</v>
      </c>
      <c r="O39" s="30">
        <f>'TUSD BE'!$O$39*'TUSD BF'!$O$78</f>
        <v>0</v>
      </c>
      <c r="P39" s="30">
        <f>'TUSD BE'!$P$39*'TUSD BF'!$P$78</f>
        <v>0</v>
      </c>
      <c r="Q39" s="30">
        <f>'TUSD BE'!$Q$39*'TUSD BF'!$Q$78</f>
        <v>3.213901802213647</v>
      </c>
      <c r="R39" s="30">
        <f>'TUSD BE'!$R$39*'TUSD BF'!$R$78</f>
        <v>1.7194053454059157</v>
      </c>
      <c r="S39" s="30">
        <f>'TUSD BE'!$R$39*'TUSD BF'!$S$78</f>
        <v>0</v>
      </c>
      <c r="T39" s="30">
        <f ca="1">SUM($L$39:$S$39)</f>
        <v>5.2051665413517174</v>
      </c>
      <c r="U39" s="30">
        <f>'TUSD BE'!$U$39*'TUSD BF'!$U$78</f>
        <v>0.70799208773545752</v>
      </c>
      <c r="V39" s="30">
        <f>'TUSD BE'!$V$39*'TUSD BF'!$V$78</f>
        <v>0.15176529841923236</v>
      </c>
      <c r="W39" s="30">
        <f>'TUSD BE'!$W$39*'TUSD BF'!$W$78</f>
        <v>0</v>
      </c>
      <c r="X39" s="30">
        <f>'TUSD BE'!$X$39*'TUSD BF'!$X$78</f>
        <v>0</v>
      </c>
      <c r="Y39" s="30">
        <f>'TUSD BE'!$Y$39*'TUSD BF'!$Y$78</f>
        <v>0</v>
      </c>
      <c r="Z39" s="30">
        <f>'TUSD BE'!$Z$39*'TUSD BF'!$Z$78</f>
        <v>0</v>
      </c>
      <c r="AA39" s="30">
        <f>'TUSD BE'!$AA$39*'TUSD BF'!$AA$78</f>
        <v>0</v>
      </c>
      <c r="AB39" s="30">
        <f>SUM($U$39:$AA$39)</f>
        <v>0.85975738615468988</v>
      </c>
      <c r="AC39" s="30">
        <f>'TUSD BE'!$AC$39*'TUSD BF'!$AC$78</f>
        <v>0</v>
      </c>
      <c r="AD39" s="30">
        <f>SUM($AC$39:$AC$39)</f>
        <v>0</v>
      </c>
      <c r="AE39" s="30">
        <f ca="1">$AO$39*$AO$75</f>
        <v>0</v>
      </c>
      <c r="AF39" s="30">
        <f ca="1">$AP$39*$AP$75</f>
        <v>0</v>
      </c>
      <c r="AG39" s="30">
        <f ca="1">SUM($AE$39:$AF$39)</f>
        <v>0</v>
      </c>
      <c r="AH39" s="30">
        <f>'TUSD BE'!$AH$39*'TUSD BF'!$AH$78</f>
        <v>1.963519590895719</v>
      </c>
      <c r="AI39" s="30">
        <f>'TUSD BE'!$AI$39*'TUSD BF'!$AI$78</f>
        <v>6.9908450594698635E-2</v>
      </c>
      <c r="AJ39" s="30">
        <f ca="1">'TUSD BE'!$AJ$39*'TUSD BF'!$AJ$78</f>
        <v>0.58510648945417187</v>
      </c>
      <c r="AK39" s="30">
        <f ca="1">'TUSD BE'!$AK$39*'TUSD BF'!$AK$78</f>
        <v>0</v>
      </c>
      <c r="AL39" s="30">
        <f ca="1">SUM($AH$39:$AK$39)</f>
        <v>2.6185345309445895</v>
      </c>
      <c r="AM39" s="30">
        <f ca="1">SUMIF($L$4:$AL$4,"SUBTOTAL",$L$39:$AL$39)</f>
        <v>8.6834584584509962</v>
      </c>
      <c r="AO39" s="36">
        <f ca="1">+'TUSD BE'!$T$39+'TUSD BE'!$AB$39+'TUSD BE'!$AD$39+'TUSD BE'!$AL$39</f>
        <v>289.87340809275202</v>
      </c>
      <c r="AP39" s="36">
        <f ca="1">+'TUSD BE'!$T$39+'TUSD BE'!$AB$39+'TUSD BE'!$AD$39+'TUSD BE'!$AL$39</f>
        <v>289.87340809275202</v>
      </c>
    </row>
    <row r="40" spans="1:42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>
        <f>'TUSD BE'!$L$40*'TUSD BF'!$L$78</f>
        <v>0.2718593937321544</v>
      </c>
      <c r="M40" s="30">
        <f>'TUSD BE'!$M$40*'TUSD BF'!$M$78</f>
        <v>0</v>
      </c>
      <c r="N40" s="30">
        <f ca="1">'TUSD BE'!$N$40*'TUSD BF'!$N$78</f>
        <v>0</v>
      </c>
      <c r="O40" s="30">
        <f>'TUSD BE'!$O$40*'TUSD BF'!$O$78</f>
        <v>0</v>
      </c>
      <c r="P40" s="30">
        <f>'TUSD BE'!$P$40*'TUSD BF'!$P$78</f>
        <v>0</v>
      </c>
      <c r="Q40" s="30">
        <f>'TUSD BE'!$Q$40*'TUSD BF'!$Q$78</f>
        <v>3.213901802213647</v>
      </c>
      <c r="R40" s="30">
        <f>'TUSD BE'!$R$40*'TUSD BF'!$R$78</f>
        <v>1.7194053454059157</v>
      </c>
      <c r="S40" s="30">
        <f>'TUSD BE'!$R$40*'TUSD BF'!$S$78</f>
        <v>0</v>
      </c>
      <c r="T40" s="30">
        <f ca="1">SUM($L$40:$S$40)</f>
        <v>5.2051665413517174</v>
      </c>
      <c r="U40" s="30">
        <f>'TUSD BE'!$U$40*'TUSD BF'!$U$78</f>
        <v>1.179989069426532</v>
      </c>
      <c r="V40" s="30">
        <f>'TUSD BE'!$V$40*'TUSD BF'!$V$78</f>
        <v>0.25294630485490788</v>
      </c>
      <c r="W40" s="30">
        <f>'TUSD BE'!$W$40*'TUSD BF'!$W$78</f>
        <v>0</v>
      </c>
      <c r="X40" s="30">
        <f>'TUSD BE'!$X$40*'TUSD BF'!$X$78</f>
        <v>0</v>
      </c>
      <c r="Y40" s="30">
        <f>'TUSD BE'!$Y$40*'TUSD BF'!$Y$78</f>
        <v>0</v>
      </c>
      <c r="Z40" s="30">
        <f>'TUSD BE'!$Z$40*'TUSD BF'!$Z$78</f>
        <v>0</v>
      </c>
      <c r="AA40" s="30">
        <f>'TUSD BE'!$AA$40*'TUSD BF'!$AA$78</f>
        <v>0</v>
      </c>
      <c r="AB40" s="30">
        <f>SUM($U$40:$AA$40)</f>
        <v>1.4329353742814399</v>
      </c>
      <c r="AC40" s="30">
        <f>'TUSD BE'!$AC$40*'TUSD BF'!$AC$78</f>
        <v>0</v>
      </c>
      <c r="AD40" s="30">
        <f>SUM($AC$40:$AC$40)</f>
        <v>0</v>
      </c>
      <c r="AE40" s="30">
        <f ca="1">$AO$40*$AO$75</f>
        <v>0</v>
      </c>
      <c r="AF40" s="30">
        <f ca="1">$AP$40*$AP$75</f>
        <v>0</v>
      </c>
      <c r="AG40" s="30">
        <f ca="1">SUM($AE$40:$AF$40)</f>
        <v>0</v>
      </c>
      <c r="AH40" s="30">
        <f>'TUSD BE'!$AH$40*'TUSD BF'!$AH$78</f>
        <v>1.963519590895719</v>
      </c>
      <c r="AI40" s="30">
        <f>'TUSD BE'!$AI$40*'TUSD BF'!$AI$78</f>
        <v>6.9908450594698635E-2</v>
      </c>
      <c r="AJ40" s="30">
        <f ca="1">'TUSD BE'!$AJ$40*'TUSD BF'!$AJ$78</f>
        <v>0.58510648945417187</v>
      </c>
      <c r="AK40" s="30">
        <f ca="1">'TUSD BE'!$AK$40*'TUSD BF'!$AK$78</f>
        <v>0</v>
      </c>
      <c r="AL40" s="30">
        <f ca="1">SUM($AH$40:$AK$40)</f>
        <v>2.6185345309445895</v>
      </c>
      <c r="AM40" s="30">
        <f ca="1">SUMIF($L$4:$AL$4,"SUBTOTAL",$L$40:$AL$40)</f>
        <v>9.2566364465777475</v>
      </c>
      <c r="AO40" s="36">
        <f ca="1">+'TUSD BE'!$T$40+'TUSD BE'!$AB$40+'TUSD BE'!$AD$40+'TUSD BE'!$AL$40</f>
        <v>420.5131831177971</v>
      </c>
      <c r="AP40" s="36">
        <f ca="1">+'TUSD BE'!$T$40+'TUSD BE'!$AB$40+'TUSD BE'!$AD$40+'TUSD BE'!$AL$40</f>
        <v>420.5131831177971</v>
      </c>
    </row>
    <row r="41" spans="1:42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>
        <f>'TUSD BE'!$L$41*'TUSD BF'!$L$78</f>
        <v>0</v>
      </c>
      <c r="M41" s="30">
        <f>'TUSD BE'!$M$41*'TUSD BF'!$M$78</f>
        <v>0</v>
      </c>
      <c r="N41" s="30">
        <f ca="1">'TUSD BE'!$N$41*'TUSD BF'!$N$78</f>
        <v>0</v>
      </c>
      <c r="O41" s="30">
        <f>'TUSD BE'!$O$41*'TUSD BF'!$O$78</f>
        <v>0</v>
      </c>
      <c r="P41" s="30">
        <f>'TUSD BE'!$P$41*'TUSD BF'!$P$78</f>
        <v>0</v>
      </c>
      <c r="Q41" s="30">
        <f>'TUSD BE'!$Q$41*'TUSD BF'!$Q$78</f>
        <v>0</v>
      </c>
      <c r="R41" s="30">
        <f>'TUSD BE'!$R$41*'TUSD BF'!$R$78</f>
        <v>0</v>
      </c>
      <c r="S41" s="30">
        <f>'TUSD BE'!$R$41*'TUSD BF'!$S$78</f>
        <v>0</v>
      </c>
      <c r="T41" s="30">
        <f ca="1">SUM($L$41:$S$41)</f>
        <v>0</v>
      </c>
      <c r="U41" s="30">
        <f>'TUSD BE'!$U$41*'TUSD BF'!$U$78</f>
        <v>1.179989069426532</v>
      </c>
      <c r="V41" s="30">
        <f>'TUSD BE'!$V$41*'TUSD BF'!$V$78</f>
        <v>0.25294630485490788</v>
      </c>
      <c r="W41" s="30">
        <f>'TUSD BE'!$W$41*'TUSD BF'!$W$78</f>
        <v>0</v>
      </c>
      <c r="X41" s="30">
        <f>'TUSD BE'!$X$41*'TUSD BF'!$X$78</f>
        <v>0</v>
      </c>
      <c r="Y41" s="30">
        <f>'TUSD BE'!$Y$41*'TUSD BF'!$Y$78</f>
        <v>0</v>
      </c>
      <c r="Z41" s="30">
        <f>'TUSD BE'!$Z$41*'TUSD BF'!$Z$78</f>
        <v>0</v>
      </c>
      <c r="AA41" s="30">
        <f>'TUSD BE'!$AA$41*'TUSD BF'!$AA$78</f>
        <v>0</v>
      </c>
      <c r="AB41" s="30">
        <f>SUM($U$41:$AA$41)</f>
        <v>1.4329353742814399</v>
      </c>
      <c r="AC41" s="30">
        <f>'TUSD BE'!$AC$41*'TUSD BF'!$AC$78</f>
        <v>0</v>
      </c>
      <c r="AD41" s="30">
        <f>SUM($AC$41:$AC$41)</f>
        <v>0</v>
      </c>
      <c r="AE41" s="30">
        <f ca="1">$AO$41*$AO$75</f>
        <v>0</v>
      </c>
      <c r="AF41" s="30">
        <f ca="1">$AP$41*$AP$75</f>
        <v>0</v>
      </c>
      <c r="AG41" s="30">
        <f ca="1">SUM($AE$41:$AF$41)</f>
        <v>0</v>
      </c>
      <c r="AH41" s="30">
        <f>'TUSD BE'!$AH$41*'TUSD BF'!$AH$78</f>
        <v>1.963519590895719</v>
      </c>
      <c r="AI41" s="30">
        <f>'TUSD BE'!$AI$41*'TUSD BF'!$AI$78</f>
        <v>6.9908450594698635E-2</v>
      </c>
      <c r="AJ41" s="30">
        <f ca="1">'TUSD BE'!$AJ$41*'TUSD BF'!$AJ$78</f>
        <v>0.58510648945417187</v>
      </c>
      <c r="AK41" s="30">
        <f ca="1">'TUSD BE'!$AK$41*'TUSD BF'!$AK$78</f>
        <v>0</v>
      </c>
      <c r="AL41" s="30">
        <f ca="1">SUM($AH$41:$AK$41)</f>
        <v>2.6185345309445895</v>
      </c>
      <c r="AM41" s="30">
        <f ca="1">SUMIF($L$4:$AL$4,"SUBTOTAL",$L$41:$AL$41)</f>
        <v>4.0514699052260292</v>
      </c>
      <c r="AO41" s="36">
        <f ca="1">+'TUSD BE'!$T$41+'TUSD BE'!$AB$41+'TUSD BE'!$AD$41+'TUSD BE'!$AL$41</f>
        <v>364.86126683277155</v>
      </c>
      <c r="AP41" s="36">
        <f ca="1">+'TUSD BE'!$T$41+'TUSD BE'!$AB$41+'TUSD BE'!$AD$41+'TUSD BE'!$AL$41</f>
        <v>364.86126683277155</v>
      </c>
    </row>
    <row r="42" spans="1:42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>
        <f>'TUSD BE'!$L$42*'TUSD BF'!$L$78</f>
        <v>0</v>
      </c>
      <c r="M42" s="30">
        <f>'TUSD BE'!$M$42*'TUSD BF'!$M$78</f>
        <v>0</v>
      </c>
      <c r="N42" s="30">
        <f ca="1">'TUSD BE'!$N$42*'TUSD BF'!$N$78</f>
        <v>0</v>
      </c>
      <c r="O42" s="30">
        <f>'TUSD BE'!$O$42*'TUSD BF'!$O$78</f>
        <v>0</v>
      </c>
      <c r="P42" s="30">
        <f>'TUSD BE'!$P$42*'TUSD BF'!$P$78</f>
        <v>0</v>
      </c>
      <c r="Q42" s="30">
        <f>'TUSD BE'!$Q$42*'TUSD BF'!$Q$78</f>
        <v>0</v>
      </c>
      <c r="R42" s="30">
        <f>'TUSD BE'!$R$42*'TUSD BF'!$R$78</f>
        <v>0</v>
      </c>
      <c r="S42" s="30">
        <f>'TUSD BE'!$R$42*'TUSD BF'!$S$78</f>
        <v>0</v>
      </c>
      <c r="T42" s="30">
        <f ca="1">SUM($L$42:$S$42)</f>
        <v>0</v>
      </c>
      <c r="U42" s="30">
        <f>'TUSD BE'!$U$42*'TUSD BF'!$U$78</f>
        <v>1.179989069426532</v>
      </c>
      <c r="V42" s="30">
        <f>'TUSD BE'!$V$42*'TUSD BF'!$V$78</f>
        <v>0.25294630485490788</v>
      </c>
      <c r="W42" s="30">
        <f>'TUSD BE'!$W$42*'TUSD BF'!$W$78</f>
        <v>0</v>
      </c>
      <c r="X42" s="30">
        <f>'TUSD BE'!$X$42*'TUSD BF'!$X$78</f>
        <v>0</v>
      </c>
      <c r="Y42" s="30">
        <f>'TUSD BE'!$Y$42*'TUSD BF'!$Y$78</f>
        <v>0</v>
      </c>
      <c r="Z42" s="30">
        <f>'TUSD BE'!$Z$42*'TUSD BF'!$Z$78</f>
        <v>0</v>
      </c>
      <c r="AA42" s="30">
        <f>'TUSD BE'!$AA$42*'TUSD BF'!$AA$78</f>
        <v>0</v>
      </c>
      <c r="AB42" s="30">
        <f>SUM($U$42:$AA$42)</f>
        <v>1.4329353742814399</v>
      </c>
      <c r="AC42" s="30">
        <f>'TUSD BE'!$AC$42*'TUSD BF'!$AC$78</f>
        <v>0</v>
      </c>
      <c r="AD42" s="30">
        <f>SUM($AC$42:$AC$42)</f>
        <v>0</v>
      </c>
      <c r="AE42" s="30">
        <f ca="1">$AO$42*$AO$75</f>
        <v>0</v>
      </c>
      <c r="AF42" s="30">
        <f ca="1">$AP$42*$AP$75</f>
        <v>0</v>
      </c>
      <c r="AG42" s="30">
        <f ca="1">SUM($AE$42:$AF$42)</f>
        <v>0</v>
      </c>
      <c r="AH42" s="30">
        <f>'TUSD BE'!$AH$42*'TUSD BF'!$AH$78</f>
        <v>1.963519590895719</v>
      </c>
      <c r="AI42" s="30">
        <f>'TUSD BE'!$AI$42*'TUSD BF'!$AI$78</f>
        <v>6.9908450594698635E-2</v>
      </c>
      <c r="AJ42" s="30">
        <f ca="1">'TUSD BE'!$AJ$42*'TUSD BF'!$AJ$78</f>
        <v>0.58510648945417187</v>
      </c>
      <c r="AK42" s="30">
        <f ca="1">'TUSD BE'!$AK$42*'TUSD BF'!$AK$78</f>
        <v>0</v>
      </c>
      <c r="AL42" s="30">
        <f ca="1">SUM($AH$42:$AK$42)</f>
        <v>2.6185345309445895</v>
      </c>
      <c r="AM42" s="30">
        <f ca="1">SUMIF($L$4:$AL$4,"SUBTOTAL",$L$42:$AL$42)</f>
        <v>4.0514699052260292</v>
      </c>
      <c r="AO42" s="36">
        <f ca="1">+'TUSD BE'!$T$42+'TUSD BE'!$AB$42+'TUSD BE'!$AD$42+'TUSD BE'!$AL$42</f>
        <v>364.86126683277155</v>
      </c>
      <c r="AP42" s="36">
        <f ca="1">+'TUSD BE'!$T$42+'TUSD BE'!$AB$42+'TUSD BE'!$AD$42+'TUSD BE'!$AL$42</f>
        <v>364.86126683277155</v>
      </c>
    </row>
    <row r="43" spans="1:42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>
        <f>'TUSD BE'!$L$43*'TUSD BF'!$L$78</f>
        <v>0</v>
      </c>
      <c r="M43" s="30">
        <f>'TUSD BE'!$M$43*'TUSD BF'!$M$78</f>
        <v>0</v>
      </c>
      <c r="N43" s="30">
        <f ca="1">'TUSD BE'!$N$43*'TUSD BF'!$N$78</f>
        <v>0</v>
      </c>
      <c r="O43" s="30">
        <f>'TUSD BE'!$O$43*'TUSD BF'!$O$78</f>
        <v>0</v>
      </c>
      <c r="P43" s="30">
        <f>'TUSD BE'!$P$43*'TUSD BF'!$P$78</f>
        <v>0</v>
      </c>
      <c r="Q43" s="30">
        <f>'TUSD BE'!$Q$43*'TUSD BF'!$Q$78</f>
        <v>0</v>
      </c>
      <c r="R43" s="30">
        <f>'TUSD BE'!$R$43*'TUSD BF'!$R$78</f>
        <v>0</v>
      </c>
      <c r="S43" s="30">
        <f>'TUSD BE'!$R$43*'TUSD BF'!$S$78</f>
        <v>0</v>
      </c>
      <c r="T43" s="30">
        <f ca="1">SUM($L$43:$S$43)</f>
        <v>0</v>
      </c>
      <c r="U43" s="30">
        <f>'TUSD BE'!$U$43*'TUSD BF'!$U$78</f>
        <v>1.179989069426532</v>
      </c>
      <c r="V43" s="30">
        <f>'TUSD BE'!$V$43*'TUSD BF'!$V$78</f>
        <v>0.25294630485490788</v>
      </c>
      <c r="W43" s="30">
        <f>'TUSD BE'!$W$43*'TUSD BF'!$W$78</f>
        <v>0</v>
      </c>
      <c r="X43" s="30">
        <f>'TUSD BE'!$X$43*'TUSD BF'!$X$78</f>
        <v>0</v>
      </c>
      <c r="Y43" s="30">
        <f>'TUSD BE'!$Y$43*'TUSD BF'!$Y$78</f>
        <v>0</v>
      </c>
      <c r="Z43" s="30">
        <f>'TUSD BE'!$Z$43*'TUSD BF'!$Z$78</f>
        <v>0</v>
      </c>
      <c r="AA43" s="30">
        <f>'TUSD BE'!$AA$43*'TUSD BF'!$AA$78</f>
        <v>0</v>
      </c>
      <c r="AB43" s="30">
        <f>SUM($U$43:$AA$43)</f>
        <v>1.4329353742814399</v>
      </c>
      <c r="AC43" s="30">
        <f>'TUSD BE'!$AC$43*'TUSD BF'!$AC$78</f>
        <v>0</v>
      </c>
      <c r="AD43" s="30">
        <f>SUM($AC$43:$AC$43)</f>
        <v>0</v>
      </c>
      <c r="AE43" s="30">
        <f ca="1">$AO$43*$AO$75</f>
        <v>0</v>
      </c>
      <c r="AF43" s="30">
        <f ca="1">$AP$43*$AP$75</f>
        <v>0</v>
      </c>
      <c r="AG43" s="30">
        <f ca="1">SUM($AE$43:$AF$43)</f>
        <v>0</v>
      </c>
      <c r="AH43" s="30">
        <f>'TUSD BE'!$AH$43*'TUSD BF'!$AH$78</f>
        <v>1.963519590895719</v>
      </c>
      <c r="AI43" s="30">
        <f>'TUSD BE'!$AI$43*'TUSD BF'!$AI$78</f>
        <v>6.9908450594698635E-2</v>
      </c>
      <c r="AJ43" s="30">
        <f ca="1">'TUSD BE'!$AJ$43*'TUSD BF'!$AJ$78</f>
        <v>0.58510648945417187</v>
      </c>
      <c r="AK43" s="30">
        <f ca="1">'TUSD BE'!$AK$43*'TUSD BF'!$AK$78</f>
        <v>0</v>
      </c>
      <c r="AL43" s="30">
        <f ca="1">SUM($AH$43:$AK$43)</f>
        <v>2.6185345309445895</v>
      </c>
      <c r="AM43" s="30">
        <f ca="1">SUMIF($L$4:$AL$4,"SUBTOTAL",$L$43:$AL$43)</f>
        <v>4.0514699052260292</v>
      </c>
      <c r="AO43" s="36">
        <f ca="1">+'TUSD BE'!$T$43+'TUSD BE'!$AB$43+'TUSD BE'!$AD$43+'TUSD BE'!$AL$43</f>
        <v>364.86126683277155</v>
      </c>
      <c r="AP43" s="36">
        <f ca="1">+'TUSD BE'!$T$43+'TUSD BE'!$AB$43+'TUSD BE'!$AD$43+'TUSD BE'!$AL$43</f>
        <v>364.86126683277155</v>
      </c>
    </row>
    <row r="44" spans="1:42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>
        <f>'TUSD BE'!$L$44*'TUSD BF'!$L$78</f>
        <v>0</v>
      </c>
      <c r="M44" s="30">
        <f>'TUSD BE'!$M$44*'TUSD BF'!$M$78</f>
        <v>0</v>
      </c>
      <c r="N44" s="30">
        <f ca="1">'TUSD BE'!$N$44*'TUSD BF'!$N$78</f>
        <v>0</v>
      </c>
      <c r="O44" s="30">
        <f>'TUSD BE'!$O$44*'TUSD BF'!$O$78</f>
        <v>0</v>
      </c>
      <c r="P44" s="30">
        <f>'TUSD BE'!$P$44*'TUSD BF'!$P$78</f>
        <v>0</v>
      </c>
      <c r="Q44" s="30">
        <f>'TUSD BE'!$Q$44*'TUSD BF'!$Q$78</f>
        <v>0</v>
      </c>
      <c r="R44" s="30">
        <f>'TUSD BE'!$R$44*'TUSD BF'!$R$78</f>
        <v>0</v>
      </c>
      <c r="S44" s="30">
        <f>'TUSD BE'!$R$44*'TUSD BF'!$S$78</f>
        <v>0</v>
      </c>
      <c r="T44" s="30">
        <f ca="1">SUM($L$44:$S$44)</f>
        <v>0</v>
      </c>
      <c r="U44" s="30">
        <f>'TUSD BE'!$U$44*'TUSD BF'!$U$78</f>
        <v>1.179989069426532</v>
      </c>
      <c r="V44" s="30">
        <f>'TUSD BE'!$V$44*'TUSD BF'!$V$78</f>
        <v>0.25294630485490788</v>
      </c>
      <c r="W44" s="30">
        <f>'TUSD BE'!$W$44*'TUSD BF'!$W$78</f>
        <v>0</v>
      </c>
      <c r="X44" s="30">
        <f>'TUSD BE'!$X$44*'TUSD BF'!$X$78</f>
        <v>0</v>
      </c>
      <c r="Y44" s="30">
        <f>'TUSD BE'!$Y$44*'TUSD BF'!$Y$78</f>
        <v>0</v>
      </c>
      <c r="Z44" s="30">
        <f>'TUSD BE'!$Z$44*'TUSD BF'!$Z$78</f>
        <v>0</v>
      </c>
      <c r="AA44" s="30">
        <f>'TUSD BE'!$AA$44*'TUSD BF'!$AA$78</f>
        <v>0</v>
      </c>
      <c r="AB44" s="30">
        <f>SUM($U$44:$AA$44)</f>
        <v>1.4329353742814399</v>
      </c>
      <c r="AC44" s="30">
        <f>'TUSD BE'!$AC$44*'TUSD BF'!$AC$78</f>
        <v>0</v>
      </c>
      <c r="AD44" s="30">
        <f>SUM($AC$44:$AC$44)</f>
        <v>0</v>
      </c>
      <c r="AE44" s="30">
        <f ca="1">$AO$44*$AO$75</f>
        <v>0</v>
      </c>
      <c r="AF44" s="30">
        <f ca="1">$AP$44*$AP$75</f>
        <v>0</v>
      </c>
      <c r="AG44" s="30">
        <f ca="1">SUM($AE$44:$AF$44)</f>
        <v>0</v>
      </c>
      <c r="AH44" s="30">
        <f>'TUSD BE'!$AH$44*'TUSD BF'!$AH$78</f>
        <v>1.963519590895719</v>
      </c>
      <c r="AI44" s="30">
        <f>'TUSD BE'!$AI$44*'TUSD BF'!$AI$78</f>
        <v>6.9908450594698635E-2</v>
      </c>
      <c r="AJ44" s="30">
        <f ca="1">'TUSD BE'!$AJ$44*'TUSD BF'!$AJ$78</f>
        <v>0.58510648945417187</v>
      </c>
      <c r="AK44" s="30">
        <f ca="1">'TUSD BE'!$AK$44*'TUSD BF'!$AK$78</f>
        <v>0</v>
      </c>
      <c r="AL44" s="30">
        <f ca="1">SUM($AH$44:$AK$44)</f>
        <v>2.6185345309445895</v>
      </c>
      <c r="AM44" s="30">
        <f ca="1">SUMIF($L$4:$AL$4,"SUBTOTAL",$L$44:$AL$44)</f>
        <v>4.0514699052260292</v>
      </c>
      <c r="AO44" s="36">
        <f ca="1">+'TUSD BE'!$T$44+'TUSD BE'!$AB$44+'TUSD BE'!$AD$44+'TUSD BE'!$AL$44</f>
        <v>364.86126683277155</v>
      </c>
      <c r="AP44" s="36">
        <f ca="1">+'TUSD BE'!$T$44+'TUSD BE'!$AB$44+'TUSD BE'!$AD$44+'TUSD BE'!$AL$44</f>
        <v>364.86126683277155</v>
      </c>
    </row>
    <row r="45" spans="1:42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>
        <f>'TUSD BE'!$L$45*'TUSD BF'!$L$78</f>
        <v>0.2718593937321544</v>
      </c>
      <c r="M45" s="30">
        <f>'TUSD BE'!$M$45*'TUSD BF'!$M$78</f>
        <v>0</v>
      </c>
      <c r="N45" s="30">
        <f ca="1">'TUSD BE'!$N$45*'TUSD BF'!$N$78</f>
        <v>0</v>
      </c>
      <c r="O45" s="30">
        <f>'TUSD BE'!$O$45*'TUSD BF'!$O$78</f>
        <v>0</v>
      </c>
      <c r="P45" s="30">
        <f>'TUSD BE'!$P$45*'TUSD BF'!$P$78</f>
        <v>0</v>
      </c>
      <c r="Q45" s="30">
        <f>'TUSD BE'!$Q$45*'TUSD BF'!$Q$78</f>
        <v>3.213901802213647</v>
      </c>
      <c r="R45" s="30">
        <f>'TUSD BE'!$R$45*'TUSD BF'!$R$78</f>
        <v>1.7194053454059157</v>
      </c>
      <c r="S45" s="30">
        <f>'TUSD BE'!$R$45*'TUSD BF'!$S$78</f>
        <v>0</v>
      </c>
      <c r="T45" s="30">
        <f ca="1">SUM($L$45:$S$45)</f>
        <v>5.2051665413517174</v>
      </c>
      <c r="U45" s="30">
        <f>'TUSD BE'!$U$45*'TUSD BF'!$U$78</f>
        <v>1.179989069426532</v>
      </c>
      <c r="V45" s="30">
        <f>'TUSD BE'!$V$45*'TUSD BF'!$V$78</f>
        <v>0.25294630485490788</v>
      </c>
      <c r="W45" s="30">
        <f>'TUSD BE'!$W$45*'TUSD BF'!$W$78</f>
        <v>0</v>
      </c>
      <c r="X45" s="30">
        <f>'TUSD BE'!$X$45*'TUSD BF'!$X$78</f>
        <v>0</v>
      </c>
      <c r="Y45" s="30">
        <f>'TUSD BE'!$Y$45*'TUSD BF'!$Y$78</f>
        <v>0</v>
      </c>
      <c r="Z45" s="30">
        <f>'TUSD BE'!$Z$45*'TUSD BF'!$Z$78</f>
        <v>0</v>
      </c>
      <c r="AA45" s="30">
        <f>'TUSD BE'!$AA$45*'TUSD BF'!$AA$78</f>
        <v>0</v>
      </c>
      <c r="AB45" s="30">
        <f>SUM($U$45:$AA$45)</f>
        <v>1.4329353742814399</v>
      </c>
      <c r="AC45" s="30">
        <f>'TUSD BE'!$AC$45*'TUSD BF'!$AC$78</f>
        <v>0</v>
      </c>
      <c r="AD45" s="30">
        <f>SUM($AC$45:$AC$45)</f>
        <v>0</v>
      </c>
      <c r="AE45" s="30">
        <f ca="1">$AO$45*$AO$75</f>
        <v>0</v>
      </c>
      <c r="AF45" s="30">
        <f ca="1">$AP$45*$AP$75</f>
        <v>0</v>
      </c>
      <c r="AG45" s="30">
        <f ca="1">SUM($AE$45:$AF$45)</f>
        <v>0</v>
      </c>
      <c r="AH45" s="30">
        <f>'TUSD BE'!$AH$45*'TUSD BF'!$AH$78</f>
        <v>1.963519590895719</v>
      </c>
      <c r="AI45" s="30">
        <f>'TUSD BE'!$AI$45*'TUSD BF'!$AI$78</f>
        <v>6.9908450594698635E-2</v>
      </c>
      <c r="AJ45" s="30">
        <f ca="1">'TUSD BE'!$AJ$45*'TUSD BF'!$AJ$78</f>
        <v>0.58510648945417187</v>
      </c>
      <c r="AK45" s="30">
        <f ca="1">'TUSD BE'!$AK$45*'TUSD BF'!$AK$78</f>
        <v>0</v>
      </c>
      <c r="AL45" s="30">
        <f ca="1">SUM($AH$45:$AK$45)</f>
        <v>2.6185345309445895</v>
      </c>
      <c r="AM45" s="30">
        <f ca="1">SUMIF($L$4:$AL$4,"SUBTOTAL",$L$45:$AL$45)</f>
        <v>9.2566364465777475</v>
      </c>
      <c r="AO45" s="36">
        <f ca="1">+'TUSD BE'!$T$45+'TUSD BE'!$AB$45+'TUSD BE'!$AD$45+'TUSD BE'!$AL$45</f>
        <v>420.5131831177971</v>
      </c>
      <c r="AP45" s="36">
        <f ca="1">+'TUSD BE'!$T$45+'TUSD BE'!$AB$45+'TUSD BE'!$AD$45+'TUSD BE'!$AL$45</f>
        <v>420.5131831177971</v>
      </c>
    </row>
    <row r="46" spans="1:42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>
        <f>'TUSD BE'!$L$46*'TUSD BF'!$L$78</f>
        <v>0</v>
      </c>
      <c r="M46" s="30">
        <f>'TUSD BE'!$M$46*'TUSD BF'!$M$78</f>
        <v>0</v>
      </c>
      <c r="N46" s="30">
        <f ca="1">'TUSD BE'!$N$46*'TUSD BF'!$N$78</f>
        <v>0</v>
      </c>
      <c r="O46" s="30">
        <f>'TUSD BE'!$O$46*'TUSD BF'!$O$78</f>
        <v>0</v>
      </c>
      <c r="P46" s="30">
        <f>'TUSD BE'!$P$46*'TUSD BF'!$P$78</f>
        <v>0</v>
      </c>
      <c r="Q46" s="30">
        <f>'TUSD BE'!$Q$46*'TUSD BF'!$Q$78</f>
        <v>0</v>
      </c>
      <c r="R46" s="30">
        <f>'TUSD BE'!$R$46*'TUSD BF'!$R$78</f>
        <v>0</v>
      </c>
      <c r="S46" s="30">
        <f>'TUSD BE'!$R$46*'TUSD BF'!$S$78</f>
        <v>0</v>
      </c>
      <c r="T46" s="30">
        <f ca="1">SUM($L$46:$S$46)</f>
        <v>0</v>
      </c>
      <c r="U46" s="30">
        <f>'TUSD BE'!$U$46*'TUSD BF'!$U$78</f>
        <v>1.179989069426532</v>
      </c>
      <c r="V46" s="30">
        <f>'TUSD BE'!$V$46*'TUSD BF'!$V$78</f>
        <v>0.25294630485490788</v>
      </c>
      <c r="W46" s="30">
        <f>'TUSD BE'!$W$46*'TUSD BF'!$W$78</f>
        <v>0</v>
      </c>
      <c r="X46" s="30">
        <f>'TUSD BE'!$X$46*'TUSD BF'!$X$78</f>
        <v>0</v>
      </c>
      <c r="Y46" s="30">
        <f>'TUSD BE'!$Y$46*'TUSD BF'!$Y$78</f>
        <v>0</v>
      </c>
      <c r="Z46" s="30">
        <f>'TUSD BE'!$Z$46*'TUSD BF'!$Z$78</f>
        <v>0</v>
      </c>
      <c r="AA46" s="30">
        <f>'TUSD BE'!$AA$46*'TUSD BF'!$AA$78</f>
        <v>0</v>
      </c>
      <c r="AB46" s="30">
        <f>SUM($U$46:$AA$46)</f>
        <v>1.4329353742814399</v>
      </c>
      <c r="AC46" s="30">
        <f>'TUSD BE'!$AC$46*'TUSD BF'!$AC$78</f>
        <v>0</v>
      </c>
      <c r="AD46" s="30">
        <f>SUM($AC$46:$AC$46)</f>
        <v>0</v>
      </c>
      <c r="AE46" s="30">
        <f ca="1">$AO$46*$AO$75</f>
        <v>0</v>
      </c>
      <c r="AF46" s="30">
        <f ca="1">$AP$46*$AP$75</f>
        <v>0</v>
      </c>
      <c r="AG46" s="30">
        <f ca="1">SUM($AE$46:$AF$46)</f>
        <v>0</v>
      </c>
      <c r="AH46" s="30">
        <f>'TUSD BE'!$AH$46*'TUSD BF'!$AH$78</f>
        <v>1.963519590895719</v>
      </c>
      <c r="AI46" s="30">
        <f>'TUSD BE'!$AI$46*'TUSD BF'!$AI$78</f>
        <v>6.9908450594698635E-2</v>
      </c>
      <c r="AJ46" s="30">
        <f ca="1">'TUSD BE'!$AJ$46*'TUSD BF'!$AJ$78</f>
        <v>0.58510648945417187</v>
      </c>
      <c r="AK46" s="30">
        <f ca="1">'TUSD BE'!$AK$46*'TUSD BF'!$AK$78</f>
        <v>0</v>
      </c>
      <c r="AL46" s="30">
        <f ca="1">SUM($AH$46:$AK$46)</f>
        <v>2.6185345309445895</v>
      </c>
      <c r="AM46" s="30">
        <f ca="1">SUMIF($L$4:$AL$4,"SUBTOTAL",$L$46:$AL$46)</f>
        <v>4.0514699052260292</v>
      </c>
      <c r="AO46" s="36">
        <f ca="1">+'TUSD BE'!$T$46+'TUSD BE'!$AB$46+'TUSD BE'!$AD$46+'TUSD BE'!$AL$46</f>
        <v>364.86126683277155</v>
      </c>
      <c r="AP46" s="36">
        <f ca="1">+'TUSD BE'!$T$46+'TUSD BE'!$AB$46+'TUSD BE'!$AD$46+'TUSD BE'!$AL$46</f>
        <v>364.86126683277155</v>
      </c>
    </row>
    <row r="47" spans="1:42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>
        <f>'TUSD BE'!$L$47*'TUSD BF'!$L$78</f>
        <v>0</v>
      </c>
      <c r="M47" s="30">
        <f>'TUSD BE'!$M$47*'TUSD BF'!$M$78</f>
        <v>0</v>
      </c>
      <c r="N47" s="30">
        <f ca="1">'TUSD BE'!$N$47*'TUSD BF'!$N$78</f>
        <v>0</v>
      </c>
      <c r="O47" s="30">
        <f>'TUSD BE'!$O$47*'TUSD BF'!$O$78</f>
        <v>0</v>
      </c>
      <c r="P47" s="30">
        <f>'TUSD BE'!$P$47*'TUSD BF'!$P$78</f>
        <v>0</v>
      </c>
      <c r="Q47" s="30">
        <f>'TUSD BE'!$Q$47*'TUSD BF'!$Q$78</f>
        <v>0</v>
      </c>
      <c r="R47" s="30">
        <f>'TUSD BE'!$R$47*'TUSD BF'!$R$78</f>
        <v>0</v>
      </c>
      <c r="S47" s="30">
        <f>'TUSD BE'!$R$47*'TUSD BF'!$S$78</f>
        <v>0</v>
      </c>
      <c r="T47" s="30">
        <f ca="1">SUM($L$47:$S$47)</f>
        <v>0</v>
      </c>
      <c r="U47" s="30">
        <f>'TUSD BE'!$U$47*'TUSD BF'!$U$78</f>
        <v>1.179989069426532</v>
      </c>
      <c r="V47" s="30">
        <f>'TUSD BE'!$V$47*'TUSD BF'!$V$78</f>
        <v>0.25294630485490788</v>
      </c>
      <c r="W47" s="30">
        <f>'TUSD BE'!$W$47*'TUSD BF'!$W$78</f>
        <v>0</v>
      </c>
      <c r="X47" s="30">
        <f>'TUSD BE'!$X$47*'TUSD BF'!$X$78</f>
        <v>0</v>
      </c>
      <c r="Y47" s="30">
        <f>'TUSD BE'!$Y$47*'TUSD BF'!$Y$78</f>
        <v>0</v>
      </c>
      <c r="Z47" s="30">
        <f>'TUSD BE'!$Z$47*'TUSD BF'!$Z$78</f>
        <v>0</v>
      </c>
      <c r="AA47" s="30">
        <f>'TUSD BE'!$AA$47*'TUSD BF'!$AA$78</f>
        <v>0</v>
      </c>
      <c r="AB47" s="30">
        <f>SUM($U$47:$AA$47)</f>
        <v>1.4329353742814399</v>
      </c>
      <c r="AC47" s="30">
        <f>'TUSD BE'!$AC$47*'TUSD BF'!$AC$78</f>
        <v>0</v>
      </c>
      <c r="AD47" s="30">
        <f>SUM($AC$47:$AC$47)</f>
        <v>0</v>
      </c>
      <c r="AE47" s="30">
        <f ca="1">$AO$47*$AO$75</f>
        <v>0</v>
      </c>
      <c r="AF47" s="30">
        <f ca="1">$AP$47*$AP$75</f>
        <v>0</v>
      </c>
      <c r="AG47" s="30">
        <f ca="1">SUM($AE$47:$AF$47)</f>
        <v>0</v>
      </c>
      <c r="AH47" s="30">
        <f>'TUSD BE'!$AH$47*'TUSD BF'!$AH$78</f>
        <v>1.963519590895719</v>
      </c>
      <c r="AI47" s="30">
        <f>'TUSD BE'!$AI$47*'TUSD BF'!$AI$78</f>
        <v>6.9908450594698635E-2</v>
      </c>
      <c r="AJ47" s="30">
        <f ca="1">'TUSD BE'!$AJ$47*'TUSD BF'!$AJ$78</f>
        <v>0.58510648945417187</v>
      </c>
      <c r="AK47" s="30">
        <f ca="1">'TUSD BE'!$AK$47*'TUSD BF'!$AK$78</f>
        <v>0</v>
      </c>
      <c r="AL47" s="30">
        <f ca="1">SUM($AH$47:$AK$47)</f>
        <v>2.6185345309445895</v>
      </c>
      <c r="AM47" s="30">
        <f ca="1">SUMIF($L$4:$AL$4,"SUBTOTAL",$L$47:$AL$47)</f>
        <v>4.0514699052260292</v>
      </c>
      <c r="AO47" s="36">
        <f ca="1">+'TUSD BE'!$T$47+'TUSD BE'!$AB$47+'TUSD BE'!$AD$47+'TUSD BE'!$AL$47</f>
        <v>364.86126683277155</v>
      </c>
      <c r="AP47" s="36">
        <f ca="1">+'TUSD BE'!$T$47+'TUSD BE'!$AB$47+'TUSD BE'!$AD$47+'TUSD BE'!$AL$47</f>
        <v>364.86126683277155</v>
      </c>
    </row>
    <row r="48" spans="1:42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>
        <f>'TUSD BE'!$L$48*'TUSD BF'!$L$78</f>
        <v>0</v>
      </c>
      <c r="M48" s="30">
        <f>'TUSD BE'!$M$48*'TUSD BF'!$M$78</f>
        <v>0</v>
      </c>
      <c r="N48" s="30">
        <f ca="1">'TUSD BE'!$N$48*'TUSD BF'!$N$78</f>
        <v>0</v>
      </c>
      <c r="O48" s="30">
        <f>'TUSD BE'!$O$48*'TUSD BF'!$O$78</f>
        <v>0</v>
      </c>
      <c r="P48" s="30">
        <f>'TUSD BE'!$P$48*'TUSD BF'!$P$78</f>
        <v>0</v>
      </c>
      <c r="Q48" s="30">
        <f>'TUSD BE'!$Q$48*'TUSD BF'!$Q$78</f>
        <v>0</v>
      </c>
      <c r="R48" s="30">
        <f>'TUSD BE'!$R$48*'TUSD BF'!$R$78</f>
        <v>0</v>
      </c>
      <c r="S48" s="30">
        <f>'TUSD BE'!$R$48*'TUSD BF'!$S$78</f>
        <v>0</v>
      </c>
      <c r="T48" s="30">
        <f ca="1">SUM($L$48:$S$48)</f>
        <v>0</v>
      </c>
      <c r="U48" s="30">
        <f>'TUSD BE'!$U$48*'TUSD BF'!$U$78</f>
        <v>1.179989069426532</v>
      </c>
      <c r="V48" s="30">
        <f>'TUSD BE'!$V$48*'TUSD BF'!$V$78</f>
        <v>0.25294630485490788</v>
      </c>
      <c r="W48" s="30">
        <f>'TUSD BE'!$W$48*'TUSD BF'!$W$78</f>
        <v>0</v>
      </c>
      <c r="X48" s="30">
        <f>'TUSD BE'!$X$48*'TUSD BF'!$X$78</f>
        <v>0</v>
      </c>
      <c r="Y48" s="30">
        <f>'TUSD BE'!$Y$48*'TUSD BF'!$Y$78</f>
        <v>0</v>
      </c>
      <c r="Z48" s="30">
        <f>'TUSD BE'!$Z$48*'TUSD BF'!$Z$78</f>
        <v>0</v>
      </c>
      <c r="AA48" s="30">
        <f>'TUSD BE'!$AA$48*'TUSD BF'!$AA$78</f>
        <v>0</v>
      </c>
      <c r="AB48" s="30">
        <f>SUM($U$48:$AA$48)</f>
        <v>1.4329353742814399</v>
      </c>
      <c r="AC48" s="30">
        <f>'TUSD BE'!$AC$48*'TUSD BF'!$AC$78</f>
        <v>0</v>
      </c>
      <c r="AD48" s="30">
        <f>SUM($AC$48:$AC$48)</f>
        <v>0</v>
      </c>
      <c r="AE48" s="30">
        <f ca="1">$AO$48*$AO$75</f>
        <v>0</v>
      </c>
      <c r="AF48" s="30">
        <f ca="1">$AP$48*$AP$75</f>
        <v>0</v>
      </c>
      <c r="AG48" s="30">
        <f ca="1">SUM($AE$48:$AF$48)</f>
        <v>0</v>
      </c>
      <c r="AH48" s="30">
        <f>'TUSD BE'!$AH$48*'TUSD BF'!$AH$78</f>
        <v>1.963519590895719</v>
      </c>
      <c r="AI48" s="30">
        <f>'TUSD BE'!$AI$48*'TUSD BF'!$AI$78</f>
        <v>6.9908450594698635E-2</v>
      </c>
      <c r="AJ48" s="30">
        <f ca="1">'TUSD BE'!$AJ$48*'TUSD BF'!$AJ$78</f>
        <v>0.58510648945417187</v>
      </c>
      <c r="AK48" s="30">
        <f ca="1">'TUSD BE'!$AK$48*'TUSD BF'!$AK$78</f>
        <v>0</v>
      </c>
      <c r="AL48" s="30">
        <f ca="1">SUM($AH$48:$AK$48)</f>
        <v>2.6185345309445895</v>
      </c>
      <c r="AM48" s="30">
        <f ca="1">SUMIF($L$4:$AL$4,"SUBTOTAL",$L$48:$AL$48)</f>
        <v>4.0514699052260292</v>
      </c>
      <c r="AO48" s="36">
        <f ca="1">+'TUSD BE'!$T$48+'TUSD BE'!$AB$48+'TUSD BE'!$AD$48+'TUSD BE'!$AL$48</f>
        <v>364.86126683277155</v>
      </c>
      <c r="AP48" s="36">
        <f ca="1">+'TUSD BE'!$T$48+'TUSD BE'!$AB$48+'TUSD BE'!$AD$48+'TUSD BE'!$AL$48</f>
        <v>364.86126683277155</v>
      </c>
    </row>
    <row r="49" spans="1:42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>
        <f>'TUSD BE'!$L$49*'TUSD BF'!$L$78</f>
        <v>0</v>
      </c>
      <c r="M49" s="30">
        <f>'TUSD BE'!$M$49*'TUSD BF'!$M$78</f>
        <v>0</v>
      </c>
      <c r="N49" s="30">
        <f ca="1">'TUSD BE'!$N$49*'TUSD BF'!$N$78</f>
        <v>0</v>
      </c>
      <c r="O49" s="30">
        <f>'TUSD BE'!$O$49*'TUSD BF'!$O$78</f>
        <v>0</v>
      </c>
      <c r="P49" s="30">
        <f>'TUSD BE'!$P$49*'TUSD BF'!$P$78</f>
        <v>0</v>
      </c>
      <c r="Q49" s="30">
        <f>'TUSD BE'!$Q$49*'TUSD BF'!$Q$78</f>
        <v>0</v>
      </c>
      <c r="R49" s="30">
        <f>'TUSD BE'!$R$49*'TUSD BF'!$R$78</f>
        <v>0</v>
      </c>
      <c r="S49" s="30">
        <f>'TUSD BE'!$R$49*'TUSD BF'!$S$78</f>
        <v>0</v>
      </c>
      <c r="T49" s="30">
        <f ca="1">SUM($L$49:$S$49)</f>
        <v>0</v>
      </c>
      <c r="U49" s="30">
        <f>'TUSD BE'!$U$49*'TUSD BF'!$U$78</f>
        <v>1.179989069426532</v>
      </c>
      <c r="V49" s="30">
        <f>'TUSD BE'!$V$49*'TUSD BF'!$V$78</f>
        <v>0.25294630485490788</v>
      </c>
      <c r="W49" s="30">
        <f>'TUSD BE'!$W$49*'TUSD BF'!$W$78</f>
        <v>0</v>
      </c>
      <c r="X49" s="30">
        <f>'TUSD BE'!$X$49*'TUSD BF'!$X$78</f>
        <v>0</v>
      </c>
      <c r="Y49" s="30">
        <f>'TUSD BE'!$Y$49*'TUSD BF'!$Y$78</f>
        <v>0</v>
      </c>
      <c r="Z49" s="30">
        <f>'TUSD BE'!$Z$49*'TUSD BF'!$Z$78</f>
        <v>0</v>
      </c>
      <c r="AA49" s="30">
        <f>'TUSD BE'!$AA$49*'TUSD BF'!$AA$78</f>
        <v>0</v>
      </c>
      <c r="AB49" s="30">
        <f>SUM($U$49:$AA$49)</f>
        <v>1.4329353742814399</v>
      </c>
      <c r="AC49" s="30">
        <f>'TUSD BE'!$AC$49*'TUSD BF'!$AC$78</f>
        <v>0</v>
      </c>
      <c r="AD49" s="30">
        <f>SUM($AC$49:$AC$49)</f>
        <v>0</v>
      </c>
      <c r="AE49" s="30">
        <f ca="1">$AO$49*$AO$75</f>
        <v>0</v>
      </c>
      <c r="AF49" s="30">
        <f ca="1">$AP$49*$AP$75</f>
        <v>0</v>
      </c>
      <c r="AG49" s="30">
        <f ca="1">SUM($AE$49:$AF$49)</f>
        <v>0</v>
      </c>
      <c r="AH49" s="30">
        <f>'TUSD BE'!$AH$49*'TUSD BF'!$AH$78</f>
        <v>1.963519590895719</v>
      </c>
      <c r="AI49" s="30">
        <f>'TUSD BE'!$AI$49*'TUSD BF'!$AI$78</f>
        <v>6.9908450594698635E-2</v>
      </c>
      <c r="AJ49" s="30">
        <f ca="1">'TUSD BE'!$AJ$49*'TUSD BF'!$AJ$78</f>
        <v>0.58510648945417187</v>
      </c>
      <c r="AK49" s="30">
        <f ca="1">'TUSD BE'!$AK$49*'TUSD BF'!$AK$78</f>
        <v>0</v>
      </c>
      <c r="AL49" s="30">
        <f ca="1">SUM($AH$49:$AK$49)</f>
        <v>2.6185345309445895</v>
      </c>
      <c r="AM49" s="30">
        <f ca="1">SUMIF($L$4:$AL$4,"SUBTOTAL",$L$49:$AL$49)</f>
        <v>4.0514699052260292</v>
      </c>
      <c r="AO49" s="36">
        <f ca="1">+'TUSD BE'!$T$49+'TUSD BE'!$AB$49+'TUSD BE'!$AD$49+'TUSD BE'!$AL$49</f>
        <v>364.86126683277155</v>
      </c>
      <c r="AP49" s="36">
        <f ca="1">+'TUSD BE'!$T$49+'TUSD BE'!$AB$49+'TUSD BE'!$AD$49+'TUSD BE'!$AL$49</f>
        <v>364.86126683277155</v>
      </c>
    </row>
    <row r="50" spans="1:42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>
        <f>'TUSD BE'!$L$50*'TUSD BF'!$L$78</f>
        <v>0.2718593937321544</v>
      </c>
      <c r="M50" s="30">
        <f>'TUSD BE'!$M$50*'TUSD BF'!$M$78</f>
        <v>0</v>
      </c>
      <c r="N50" s="30">
        <f ca="1">'TUSD BE'!$N$50*'TUSD BF'!$N$78</f>
        <v>0</v>
      </c>
      <c r="O50" s="30">
        <f>'TUSD BE'!$O$50*'TUSD BF'!$O$78</f>
        <v>0</v>
      </c>
      <c r="P50" s="30">
        <f>'TUSD BE'!$P$50*'TUSD BF'!$P$78</f>
        <v>0</v>
      </c>
      <c r="Q50" s="30">
        <f>'TUSD BE'!$Q$50*'TUSD BF'!$Q$78</f>
        <v>3.213901802213647</v>
      </c>
      <c r="R50" s="30">
        <f>'TUSD BE'!$R$50*'TUSD BF'!$R$78</f>
        <v>1.7194053454059157</v>
      </c>
      <c r="S50" s="30">
        <f>'TUSD BE'!$R$50*'TUSD BF'!$S$78</f>
        <v>0</v>
      </c>
      <c r="T50" s="30">
        <f ca="1">SUM($L$50:$S$50)</f>
        <v>5.2051665413517174</v>
      </c>
      <c r="U50" s="30">
        <f>'TUSD BE'!$U$50*'TUSD BF'!$U$78</f>
        <v>3.5399672082795957</v>
      </c>
      <c r="V50" s="30">
        <f>'TUSD BE'!$V$50*'TUSD BF'!$V$78</f>
        <v>0.75883891456472363</v>
      </c>
      <c r="W50" s="30">
        <f>'TUSD BE'!$W$50*'TUSD BF'!$W$78</f>
        <v>0</v>
      </c>
      <c r="X50" s="30">
        <f>'TUSD BE'!$X$50*'TUSD BF'!$X$78</f>
        <v>0</v>
      </c>
      <c r="Y50" s="30">
        <f>'TUSD BE'!$Y$50*'TUSD BF'!$Y$78</f>
        <v>0</v>
      </c>
      <c r="Z50" s="30">
        <f>'TUSD BE'!$Z$50*'TUSD BF'!$Z$78</f>
        <v>0</v>
      </c>
      <c r="AA50" s="30">
        <f>'TUSD BE'!$AA$50*'TUSD BF'!$AA$78</f>
        <v>0</v>
      </c>
      <c r="AB50" s="30">
        <f>SUM($U$50:$AA$50)</f>
        <v>4.2988061228443195</v>
      </c>
      <c r="AC50" s="30">
        <f>'TUSD BE'!$AC$50*'TUSD BF'!$AC$78</f>
        <v>0</v>
      </c>
      <c r="AD50" s="30">
        <f>SUM($AC$50:$AC$50)</f>
        <v>0</v>
      </c>
      <c r="AE50" s="30">
        <f ca="1">$AO$50*$AO$75</f>
        <v>0</v>
      </c>
      <c r="AF50" s="30">
        <f ca="1">$AP$50*$AP$75</f>
        <v>0</v>
      </c>
      <c r="AG50" s="30">
        <f ca="1">SUM($AE$50:$AF$50)</f>
        <v>0</v>
      </c>
      <c r="AH50" s="30">
        <f>'TUSD BE'!$AH$50*'TUSD BF'!$AH$78</f>
        <v>1.963519590895719</v>
      </c>
      <c r="AI50" s="30">
        <f>'TUSD BE'!$AI$50*'TUSD BF'!$AI$78</f>
        <v>6.9908450594698635E-2</v>
      </c>
      <c r="AJ50" s="30">
        <f ca="1">'TUSD BE'!$AJ$50*'TUSD BF'!$AJ$78</f>
        <v>0.58510648945417187</v>
      </c>
      <c r="AK50" s="30">
        <f ca="1">'TUSD BE'!$AK$50*'TUSD BF'!$AK$78</f>
        <v>0</v>
      </c>
      <c r="AL50" s="30">
        <f ca="1">SUM($AH$50:$AK$50)</f>
        <v>2.6185345309445895</v>
      </c>
      <c r="AM50" s="30">
        <f ca="1">SUMIF($L$4:$AL$4,"SUBTOTAL",$L$50:$AL$50)</f>
        <v>12.122507195140628</v>
      </c>
      <c r="AO50" s="36">
        <f ca="1">+'TUSD BE'!$T$50+'TUSD BE'!$AB$50+'TUSD BE'!$AD$50+'TUSD BE'!$AL$50</f>
        <v>1073.7113857785223</v>
      </c>
      <c r="AP50" s="36">
        <f ca="1">+'TUSD BE'!$T$50+'TUSD BE'!$AB$50+'TUSD BE'!$AD$50+'TUSD BE'!$AL$50</f>
        <v>1073.7113857785223</v>
      </c>
    </row>
    <row r="51" spans="1:42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>
        <f>'TUSD BE'!$L$51*'TUSD BF'!$L$78</f>
        <v>0.2718593937321544</v>
      </c>
      <c r="M51" s="30">
        <f>'TUSD BE'!$M$51*'TUSD BF'!$M$78</f>
        <v>0</v>
      </c>
      <c r="N51" s="30">
        <f ca="1">'TUSD BE'!$N$51*'TUSD BF'!$N$78</f>
        <v>0</v>
      </c>
      <c r="O51" s="30">
        <f>'TUSD BE'!$O$51*'TUSD BF'!$O$78</f>
        <v>0</v>
      </c>
      <c r="P51" s="30">
        <f>'TUSD BE'!$P$51*'TUSD BF'!$P$78</f>
        <v>0</v>
      </c>
      <c r="Q51" s="30">
        <f>'TUSD BE'!$Q$51*'TUSD BF'!$Q$78</f>
        <v>3.213901802213647</v>
      </c>
      <c r="R51" s="30">
        <f>'TUSD BE'!$R$51*'TUSD BF'!$R$78</f>
        <v>1.7194053454059157</v>
      </c>
      <c r="S51" s="30">
        <f>'TUSD BE'!$R$51*'TUSD BF'!$S$78</f>
        <v>0</v>
      </c>
      <c r="T51" s="30">
        <f ca="1">SUM($L$51:$S$51)</f>
        <v>5.2051665413517174</v>
      </c>
      <c r="U51" s="30">
        <f>'TUSD BE'!$U$51*'TUSD BF'!$U$78</f>
        <v>2.1239830328086802</v>
      </c>
      <c r="V51" s="30">
        <f>'TUSD BE'!$V$51*'TUSD BF'!$V$78</f>
        <v>0.455302106491978</v>
      </c>
      <c r="W51" s="30">
        <f>'TUSD BE'!$W$51*'TUSD BF'!$W$78</f>
        <v>0</v>
      </c>
      <c r="X51" s="30">
        <f>'TUSD BE'!$X$51*'TUSD BF'!$X$78</f>
        <v>0</v>
      </c>
      <c r="Y51" s="30">
        <f>'TUSD BE'!$Y$51*'TUSD BF'!$Y$78</f>
        <v>0</v>
      </c>
      <c r="Z51" s="30">
        <f>'TUSD BE'!$Z$51*'TUSD BF'!$Z$78</f>
        <v>0</v>
      </c>
      <c r="AA51" s="30">
        <f>'TUSD BE'!$AA$51*'TUSD BF'!$AA$78</f>
        <v>0</v>
      </c>
      <c r="AB51" s="30">
        <f>SUM($U$51:$AA$51)</f>
        <v>2.5792851393006582</v>
      </c>
      <c r="AC51" s="30">
        <f>'TUSD BE'!$AC$51*'TUSD BF'!$AC$78</f>
        <v>0</v>
      </c>
      <c r="AD51" s="30">
        <f>SUM($AC$51:$AC$51)</f>
        <v>0</v>
      </c>
      <c r="AE51" s="30">
        <f ca="1">$AO$51*$AO$75</f>
        <v>0</v>
      </c>
      <c r="AF51" s="30">
        <f ca="1">$AP$51*$AP$75</f>
        <v>0</v>
      </c>
      <c r="AG51" s="30">
        <f ca="1">SUM($AE$51:$AF$51)</f>
        <v>0</v>
      </c>
      <c r="AH51" s="30">
        <f>'TUSD BE'!$AH$51*'TUSD BF'!$AH$78</f>
        <v>1.963519590895719</v>
      </c>
      <c r="AI51" s="30">
        <f>'TUSD BE'!$AI$51*'TUSD BF'!$AI$78</f>
        <v>6.9908450594698635E-2</v>
      </c>
      <c r="AJ51" s="30">
        <f ca="1">'TUSD BE'!$AJ$51*'TUSD BF'!$AJ$78</f>
        <v>0.58510648945417187</v>
      </c>
      <c r="AK51" s="30">
        <f ca="1">'TUSD BE'!$AK$51*'TUSD BF'!$AK$78</f>
        <v>0</v>
      </c>
      <c r="AL51" s="30">
        <f ca="1">SUM($AH$51:$AK$51)</f>
        <v>2.6185345309445895</v>
      </c>
      <c r="AM51" s="30">
        <f ca="1">SUMIF($L$4:$AL$4,"SUBTOTAL",$L$51:$AL$51)</f>
        <v>10.402986211596966</v>
      </c>
      <c r="AO51" s="36">
        <f ca="1">+'TUSD BE'!$T$51+'TUSD BE'!$AB$51+'TUSD BE'!$AD$51+'TUSD BE'!$AL$51</f>
        <v>681.79262071825121</v>
      </c>
      <c r="AP51" s="36">
        <f ca="1">+'TUSD BE'!$T$51+'TUSD BE'!$AB$51+'TUSD BE'!$AD$51+'TUSD BE'!$AL$51</f>
        <v>681.79262071825121</v>
      </c>
    </row>
    <row r="52" spans="1:42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>
        <f>'TUSD BE'!$L$52*'TUSD BF'!$L$78</f>
        <v>0.2718593937321544</v>
      </c>
      <c r="M52" s="30">
        <f>'TUSD BE'!$M$52*'TUSD BF'!$M$78</f>
        <v>0</v>
      </c>
      <c r="N52" s="30">
        <f ca="1">'TUSD BE'!$N$52*'TUSD BF'!$N$78</f>
        <v>0</v>
      </c>
      <c r="O52" s="30">
        <f>'TUSD BE'!$O$52*'TUSD BF'!$O$78</f>
        <v>0</v>
      </c>
      <c r="P52" s="30">
        <f>'TUSD BE'!$P$52*'TUSD BF'!$P$78</f>
        <v>0</v>
      </c>
      <c r="Q52" s="30">
        <f>'TUSD BE'!$Q$52*'TUSD BF'!$Q$78</f>
        <v>3.213901802213647</v>
      </c>
      <c r="R52" s="30">
        <f>'TUSD BE'!$R$52*'TUSD BF'!$R$78</f>
        <v>1.7194053454059157</v>
      </c>
      <c r="S52" s="30">
        <f>'TUSD BE'!$R$52*'TUSD BF'!$S$78</f>
        <v>0</v>
      </c>
      <c r="T52" s="30">
        <f ca="1">SUM($L$52:$S$52)</f>
        <v>5.2051665413517174</v>
      </c>
      <c r="U52" s="30">
        <f>'TUSD BE'!$U$52*'TUSD BF'!$U$78</f>
        <v>0.70799208773545752</v>
      </c>
      <c r="V52" s="30">
        <f>'TUSD BE'!$V$52*'TUSD BF'!$V$78</f>
        <v>0.15176529841923236</v>
      </c>
      <c r="W52" s="30">
        <f>'TUSD BE'!$W$52*'TUSD BF'!$W$78</f>
        <v>0</v>
      </c>
      <c r="X52" s="30">
        <f>'TUSD BE'!$X$52*'TUSD BF'!$X$78</f>
        <v>0</v>
      </c>
      <c r="Y52" s="30">
        <f>'TUSD BE'!$Y$52*'TUSD BF'!$Y$78</f>
        <v>0</v>
      </c>
      <c r="Z52" s="30">
        <f>'TUSD BE'!$Z$52*'TUSD BF'!$Z$78</f>
        <v>0</v>
      </c>
      <c r="AA52" s="30">
        <f>'TUSD BE'!$AA$52*'TUSD BF'!$AA$78</f>
        <v>0</v>
      </c>
      <c r="AB52" s="30">
        <f>SUM($U$52:$AA$52)</f>
        <v>0.85975738615468988</v>
      </c>
      <c r="AC52" s="30">
        <f>'TUSD BE'!$AC$52*'TUSD BF'!$AC$78</f>
        <v>0</v>
      </c>
      <c r="AD52" s="30">
        <f>SUM($AC$52:$AC$52)</f>
        <v>0</v>
      </c>
      <c r="AE52" s="30">
        <f ca="1">$AO$52*$AO$75</f>
        <v>0</v>
      </c>
      <c r="AF52" s="30">
        <f ca="1">$AP$52*$AP$75</f>
        <v>0</v>
      </c>
      <c r="AG52" s="30">
        <f ca="1">SUM($AE$52:$AF$52)</f>
        <v>0</v>
      </c>
      <c r="AH52" s="30">
        <f>'TUSD BE'!$AH$52*'TUSD BF'!$AH$78</f>
        <v>1.963519590895719</v>
      </c>
      <c r="AI52" s="30">
        <f>'TUSD BE'!$AI$52*'TUSD BF'!$AI$78</f>
        <v>6.9908450594698635E-2</v>
      </c>
      <c r="AJ52" s="30">
        <f ca="1">'TUSD BE'!$AJ$52*'TUSD BF'!$AJ$78</f>
        <v>0.58510648945417187</v>
      </c>
      <c r="AK52" s="30">
        <f ca="1">'TUSD BE'!$AK$52*'TUSD BF'!$AK$78</f>
        <v>0</v>
      </c>
      <c r="AL52" s="30">
        <f ca="1">SUM($AH$52:$AK$52)</f>
        <v>2.6185345309445895</v>
      </c>
      <c r="AM52" s="30">
        <f ca="1">SUMIF($L$4:$AL$4,"SUBTOTAL",$L$52:$AL$52)</f>
        <v>8.6834584584509962</v>
      </c>
      <c r="AO52" s="36">
        <f ca="1">+'TUSD BE'!$T$52+'TUSD BE'!$AB$52+'TUSD BE'!$AD$52+'TUSD BE'!$AL$52</f>
        <v>289.87340809275202</v>
      </c>
      <c r="AP52" s="36">
        <f ca="1">+'TUSD BE'!$T$52+'TUSD BE'!$AB$52+'TUSD BE'!$AD$52+'TUSD BE'!$AL$52</f>
        <v>289.87340809275202</v>
      </c>
    </row>
    <row r="53" spans="1:42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>
        <f>'TUSD BE'!$L$53*'TUSD BF'!$L$78</f>
        <v>0.2718593937321544</v>
      </c>
      <c r="M53" s="30">
        <f>'TUSD BE'!$M$53*'TUSD BF'!$M$78</f>
        <v>0</v>
      </c>
      <c r="N53" s="30">
        <f ca="1">'TUSD BE'!$N$53*'TUSD BF'!$N$78</f>
        <v>0</v>
      </c>
      <c r="O53" s="30">
        <f>'TUSD BE'!$O$53*'TUSD BF'!$O$78</f>
        <v>0</v>
      </c>
      <c r="P53" s="30">
        <f>'TUSD BE'!$P$53*'TUSD BF'!$P$78</f>
        <v>0</v>
      </c>
      <c r="Q53" s="30">
        <f>'TUSD BE'!$Q$53*'TUSD BF'!$Q$78</f>
        <v>3.213901802213647</v>
      </c>
      <c r="R53" s="30">
        <f>'TUSD BE'!$R$53*'TUSD BF'!$R$78</f>
        <v>1.7194053454059157</v>
      </c>
      <c r="S53" s="30">
        <f>'TUSD BE'!$R$53*'TUSD BF'!$S$78</f>
        <v>0</v>
      </c>
      <c r="T53" s="30">
        <f ca="1">SUM($L$53:$S$53)</f>
        <v>5.2051665413517174</v>
      </c>
      <c r="U53" s="30">
        <f>'TUSD BE'!$U$53*'TUSD BF'!$U$78</f>
        <v>1.179989069426532</v>
      </c>
      <c r="V53" s="30">
        <f>'TUSD BE'!$V$53*'TUSD BF'!$V$78</f>
        <v>0.25294630485490788</v>
      </c>
      <c r="W53" s="30">
        <f>'TUSD BE'!$W$53*'TUSD BF'!$W$78</f>
        <v>0</v>
      </c>
      <c r="X53" s="30">
        <f>'TUSD BE'!$X$53*'TUSD BF'!$X$78</f>
        <v>0</v>
      </c>
      <c r="Y53" s="30">
        <f>'TUSD BE'!$Y$53*'TUSD BF'!$Y$78</f>
        <v>0</v>
      </c>
      <c r="Z53" s="30">
        <f>'TUSD BE'!$Z$53*'TUSD BF'!$Z$78</f>
        <v>0</v>
      </c>
      <c r="AA53" s="30">
        <f>'TUSD BE'!$AA$53*'TUSD BF'!$AA$78</f>
        <v>0</v>
      </c>
      <c r="AB53" s="30">
        <f>SUM($U$53:$AA$53)</f>
        <v>1.4329353742814399</v>
      </c>
      <c r="AC53" s="30">
        <f>'TUSD BE'!$AC$53*'TUSD BF'!$AC$78</f>
        <v>0</v>
      </c>
      <c r="AD53" s="30">
        <f>SUM($AC$53:$AC$53)</f>
        <v>0</v>
      </c>
      <c r="AE53" s="30">
        <f ca="1">$AO$53*$AO$75</f>
        <v>0</v>
      </c>
      <c r="AF53" s="30">
        <f ca="1">$AP$53*$AP$75</f>
        <v>0</v>
      </c>
      <c r="AG53" s="30">
        <f ca="1">SUM($AE$53:$AF$53)</f>
        <v>0</v>
      </c>
      <c r="AH53" s="30">
        <f>'TUSD BE'!$AH$53*'TUSD BF'!$AH$78</f>
        <v>1.963519590895719</v>
      </c>
      <c r="AI53" s="30">
        <f>'TUSD BE'!$AI$53*'TUSD BF'!$AI$78</f>
        <v>6.9908450594698635E-2</v>
      </c>
      <c r="AJ53" s="30">
        <f ca="1">'TUSD BE'!$AJ$53*'TUSD BF'!$AJ$78</f>
        <v>0.58510648945417187</v>
      </c>
      <c r="AK53" s="30">
        <f ca="1">'TUSD BE'!$AK$53*'TUSD BF'!$AK$78</f>
        <v>0</v>
      </c>
      <c r="AL53" s="30">
        <f ca="1">SUM($AH$53:$AK$53)</f>
        <v>2.6185345309445895</v>
      </c>
      <c r="AM53" s="30">
        <f ca="1">SUMIF($L$4:$AL$4,"SUBTOTAL",$L$53:$AL$53)</f>
        <v>9.2566364465777475</v>
      </c>
      <c r="AO53" s="36">
        <f ca="1">+'TUSD BE'!$T$53+'TUSD BE'!$AB$53+'TUSD BE'!$AD$53+'TUSD BE'!$AL$53</f>
        <v>420.5131831177971</v>
      </c>
      <c r="AP53" s="36">
        <f ca="1">+'TUSD BE'!$T$53+'TUSD BE'!$AB$53+'TUSD BE'!$AD$53+'TUSD BE'!$AL$53</f>
        <v>420.5131831177971</v>
      </c>
    </row>
    <row r="54" spans="1:42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>
        <f>'TUSD BE'!$L$54*'TUSD BF'!$L$78</f>
        <v>0.2718593937321544</v>
      </c>
      <c r="M54" s="30">
        <f>'TUSD BE'!$M$54*'TUSD BF'!$M$78</f>
        <v>0</v>
      </c>
      <c r="N54" s="30">
        <f ca="1">'TUSD BE'!$N$54*'TUSD BF'!$N$78</f>
        <v>0</v>
      </c>
      <c r="O54" s="30">
        <f>'TUSD BE'!$O$54*'TUSD BF'!$O$78</f>
        <v>0</v>
      </c>
      <c r="P54" s="30">
        <f>'TUSD BE'!$P$54*'TUSD BF'!$P$78</f>
        <v>0</v>
      </c>
      <c r="Q54" s="30">
        <f>'TUSD BE'!$Q$54*'TUSD BF'!$Q$78</f>
        <v>3.213901802213647</v>
      </c>
      <c r="R54" s="30">
        <f>'TUSD BE'!$R$54*'TUSD BF'!$R$78</f>
        <v>1.7194053454059157</v>
      </c>
      <c r="S54" s="30">
        <f>'TUSD BE'!$R$54*'TUSD BF'!$S$78</f>
        <v>0</v>
      </c>
      <c r="T54" s="30">
        <f ca="1">SUM($L$54:$S$54)</f>
        <v>5.2051665413517174</v>
      </c>
      <c r="U54" s="30">
        <f>'TUSD BE'!$U$54*'TUSD BF'!$U$78</f>
        <v>3.5399672082795957</v>
      </c>
      <c r="V54" s="30">
        <f>'TUSD BE'!$V$54*'TUSD BF'!$V$78</f>
        <v>0.75883891456472363</v>
      </c>
      <c r="W54" s="30">
        <f>'TUSD BE'!$W$54*'TUSD BF'!$W$78</f>
        <v>0</v>
      </c>
      <c r="X54" s="30">
        <f>'TUSD BE'!$X$54*'TUSD BF'!$X$78</f>
        <v>0</v>
      </c>
      <c r="Y54" s="30">
        <f>'TUSD BE'!$Y$54*'TUSD BF'!$Y$78</f>
        <v>0</v>
      </c>
      <c r="Z54" s="30">
        <f>'TUSD BE'!$Z$54*'TUSD BF'!$Z$78</f>
        <v>0</v>
      </c>
      <c r="AA54" s="30">
        <f>'TUSD BE'!$AA$54*'TUSD BF'!$AA$78</f>
        <v>0</v>
      </c>
      <c r="AB54" s="30">
        <f>SUM($U$54:$AA$54)</f>
        <v>4.2988061228443195</v>
      </c>
      <c r="AC54" s="30">
        <f>'TUSD BE'!$AC$54*'TUSD BF'!$AC$78</f>
        <v>0</v>
      </c>
      <c r="AD54" s="30">
        <f>SUM($AC$54:$AC$54)</f>
        <v>0</v>
      </c>
      <c r="AE54" s="30">
        <f ca="1">$AO$54*$AO$75</f>
        <v>0</v>
      </c>
      <c r="AF54" s="30">
        <f ca="1">$AP$54*$AP$75</f>
        <v>0</v>
      </c>
      <c r="AG54" s="30">
        <f ca="1">SUM($AE$54:$AF$54)</f>
        <v>0</v>
      </c>
      <c r="AH54" s="30">
        <f>'TUSD BE'!$AH$54*'TUSD BF'!$AH$78</f>
        <v>1.963519590895719</v>
      </c>
      <c r="AI54" s="30">
        <f>'TUSD BE'!$AI$54*'TUSD BF'!$AI$78</f>
        <v>6.9908450594698635E-2</v>
      </c>
      <c r="AJ54" s="30">
        <f ca="1">'TUSD BE'!$AJ$54*'TUSD BF'!$AJ$78</f>
        <v>0.58510648945417187</v>
      </c>
      <c r="AK54" s="30">
        <f ca="1">'TUSD BE'!$AK$54*'TUSD BF'!$AK$78</f>
        <v>0</v>
      </c>
      <c r="AL54" s="30">
        <f ca="1">SUM($AH$54:$AK$54)</f>
        <v>2.6185345309445895</v>
      </c>
      <c r="AM54" s="30">
        <f ca="1">SUMIF($L$4:$AL$4,"SUBTOTAL",$L$54:$AL$54)</f>
        <v>12.122507195140628</v>
      </c>
      <c r="AO54" s="36">
        <f ca="1">+'TUSD BE'!$T$54+'TUSD BE'!$AB$54+'TUSD BE'!$AD$54+'TUSD BE'!$AL$54</f>
        <v>1073.7113857785223</v>
      </c>
      <c r="AP54" s="36">
        <f ca="1">+'TUSD BE'!$T$54+'TUSD BE'!$AB$54+'TUSD BE'!$AD$54+'TUSD BE'!$AL$54</f>
        <v>1073.7113857785223</v>
      </c>
    </row>
    <row r="55" spans="1:42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>
        <f>'TUSD BE'!$L$55*'TUSD BF'!$L$78</f>
        <v>0.2718593937321544</v>
      </c>
      <c r="M55" s="30">
        <f>'TUSD BE'!$M$55*'TUSD BF'!$M$78</f>
        <v>0</v>
      </c>
      <c r="N55" s="30">
        <f ca="1">'TUSD BE'!$N$55*'TUSD BF'!$N$78</f>
        <v>0</v>
      </c>
      <c r="O55" s="30">
        <f>'TUSD BE'!$O$55*'TUSD BF'!$O$78</f>
        <v>0</v>
      </c>
      <c r="P55" s="30">
        <f>'TUSD BE'!$P$55*'TUSD BF'!$P$78</f>
        <v>0</v>
      </c>
      <c r="Q55" s="30">
        <f>'TUSD BE'!$Q$55*'TUSD BF'!$Q$78</f>
        <v>3.213901802213647</v>
      </c>
      <c r="R55" s="30">
        <f>'TUSD BE'!$R$55*'TUSD BF'!$R$78</f>
        <v>1.7194053454059157</v>
      </c>
      <c r="S55" s="30">
        <f>'TUSD BE'!$R$55*'TUSD BF'!$S$78</f>
        <v>0</v>
      </c>
      <c r="T55" s="30">
        <f ca="1">SUM($L$55:$S$55)</f>
        <v>5.2051665413517174</v>
      </c>
      <c r="U55" s="30">
        <f>'TUSD BE'!$U$55*'TUSD BF'!$U$78</f>
        <v>2.1239830328086802</v>
      </c>
      <c r="V55" s="30">
        <f>'TUSD BE'!$V$55*'TUSD BF'!$V$78</f>
        <v>0.455302106491978</v>
      </c>
      <c r="W55" s="30">
        <f>'TUSD BE'!$W$55*'TUSD BF'!$W$78</f>
        <v>0</v>
      </c>
      <c r="X55" s="30">
        <f>'TUSD BE'!$X$55*'TUSD BF'!$X$78</f>
        <v>0</v>
      </c>
      <c r="Y55" s="30">
        <f>'TUSD BE'!$Y$55*'TUSD BF'!$Y$78</f>
        <v>0</v>
      </c>
      <c r="Z55" s="30">
        <f>'TUSD BE'!$Z$55*'TUSD BF'!$Z$78</f>
        <v>0</v>
      </c>
      <c r="AA55" s="30">
        <f>'TUSD BE'!$AA$55*'TUSD BF'!$AA$78</f>
        <v>0</v>
      </c>
      <c r="AB55" s="30">
        <f>SUM($U$55:$AA$55)</f>
        <v>2.5792851393006582</v>
      </c>
      <c r="AC55" s="30">
        <f>'TUSD BE'!$AC$55*'TUSD BF'!$AC$78</f>
        <v>0</v>
      </c>
      <c r="AD55" s="30">
        <f>SUM($AC$55:$AC$55)</f>
        <v>0</v>
      </c>
      <c r="AE55" s="30">
        <f ca="1">$AO$55*$AO$75</f>
        <v>0</v>
      </c>
      <c r="AF55" s="30">
        <f ca="1">$AP$55*$AP$75</f>
        <v>0</v>
      </c>
      <c r="AG55" s="30">
        <f ca="1">SUM($AE$55:$AF$55)</f>
        <v>0</v>
      </c>
      <c r="AH55" s="30">
        <f>'TUSD BE'!$AH$55*'TUSD BF'!$AH$78</f>
        <v>1.963519590895719</v>
      </c>
      <c r="AI55" s="30">
        <f>'TUSD BE'!$AI$55*'TUSD BF'!$AI$78</f>
        <v>6.9908450594698635E-2</v>
      </c>
      <c r="AJ55" s="30">
        <f ca="1">'TUSD BE'!$AJ$55*'TUSD BF'!$AJ$78</f>
        <v>0.58510648945417187</v>
      </c>
      <c r="AK55" s="30">
        <f ca="1">'TUSD BE'!$AK$55*'TUSD BF'!$AK$78</f>
        <v>0</v>
      </c>
      <c r="AL55" s="30">
        <f ca="1">SUM($AH$55:$AK$55)</f>
        <v>2.6185345309445895</v>
      </c>
      <c r="AM55" s="30">
        <f ca="1">SUMIF($L$4:$AL$4,"SUBTOTAL",$L$55:$AL$55)</f>
        <v>10.402986211596966</v>
      </c>
      <c r="AO55" s="36">
        <f ca="1">+'TUSD BE'!$T$55+'TUSD BE'!$AB$55+'TUSD BE'!$AD$55+'TUSD BE'!$AL$55</f>
        <v>681.79262071825121</v>
      </c>
      <c r="AP55" s="36">
        <f ca="1">+'TUSD BE'!$T$55+'TUSD BE'!$AB$55+'TUSD BE'!$AD$55+'TUSD BE'!$AL$55</f>
        <v>681.79262071825121</v>
      </c>
    </row>
    <row r="56" spans="1:42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>
        <f>'TUSD BE'!$L$56*'TUSD BF'!$L$78</f>
        <v>0.2718593937321544</v>
      </c>
      <c r="M56" s="30">
        <f>'TUSD BE'!$M$56*'TUSD BF'!$M$78</f>
        <v>0</v>
      </c>
      <c r="N56" s="30">
        <f ca="1">'TUSD BE'!$N$56*'TUSD BF'!$N$78</f>
        <v>0</v>
      </c>
      <c r="O56" s="30">
        <f>'TUSD BE'!$O$56*'TUSD BF'!$O$78</f>
        <v>0</v>
      </c>
      <c r="P56" s="30">
        <f>'TUSD BE'!$P$56*'TUSD BF'!$P$78</f>
        <v>0</v>
      </c>
      <c r="Q56" s="30">
        <f>'TUSD BE'!$Q$56*'TUSD BF'!$Q$78</f>
        <v>3.213901802213647</v>
      </c>
      <c r="R56" s="30">
        <f>'TUSD BE'!$R$56*'TUSD BF'!$R$78</f>
        <v>1.7194053454059157</v>
      </c>
      <c r="S56" s="30">
        <f>'TUSD BE'!$R$56*'TUSD BF'!$S$78</f>
        <v>0</v>
      </c>
      <c r="T56" s="30">
        <f ca="1">SUM($L$56:$S$56)</f>
        <v>5.2051665413517174</v>
      </c>
      <c r="U56" s="30">
        <f>'TUSD BE'!$U$56*'TUSD BF'!$U$78</f>
        <v>0.70799208773545752</v>
      </c>
      <c r="V56" s="30">
        <f>'TUSD BE'!$V$56*'TUSD BF'!$V$78</f>
        <v>0.15176529841923236</v>
      </c>
      <c r="W56" s="30">
        <f>'TUSD BE'!$W$56*'TUSD BF'!$W$78</f>
        <v>0</v>
      </c>
      <c r="X56" s="30">
        <f>'TUSD BE'!$X$56*'TUSD BF'!$X$78</f>
        <v>0</v>
      </c>
      <c r="Y56" s="30">
        <f>'TUSD BE'!$Y$56*'TUSD BF'!$Y$78</f>
        <v>0</v>
      </c>
      <c r="Z56" s="30">
        <f>'TUSD BE'!$Z$56*'TUSD BF'!$Z$78</f>
        <v>0</v>
      </c>
      <c r="AA56" s="30">
        <f>'TUSD BE'!$AA$56*'TUSD BF'!$AA$78</f>
        <v>0</v>
      </c>
      <c r="AB56" s="30">
        <f>SUM($U$56:$AA$56)</f>
        <v>0.85975738615468988</v>
      </c>
      <c r="AC56" s="30">
        <f>'TUSD BE'!$AC$56*'TUSD BF'!$AC$78</f>
        <v>0</v>
      </c>
      <c r="AD56" s="30">
        <f>SUM($AC$56:$AC$56)</f>
        <v>0</v>
      </c>
      <c r="AE56" s="30">
        <f ca="1">$AO$56*$AO$75</f>
        <v>0</v>
      </c>
      <c r="AF56" s="30">
        <f ca="1">$AP$56*$AP$75</f>
        <v>0</v>
      </c>
      <c r="AG56" s="30">
        <f ca="1">SUM($AE$56:$AF$56)</f>
        <v>0</v>
      </c>
      <c r="AH56" s="30">
        <f>'TUSD BE'!$AH$56*'TUSD BF'!$AH$78</f>
        <v>1.963519590895719</v>
      </c>
      <c r="AI56" s="30">
        <f>'TUSD BE'!$AI$56*'TUSD BF'!$AI$78</f>
        <v>6.9908450594698635E-2</v>
      </c>
      <c r="AJ56" s="30">
        <f ca="1">'TUSD BE'!$AJ$56*'TUSD BF'!$AJ$78</f>
        <v>0.58510648945417187</v>
      </c>
      <c r="AK56" s="30">
        <f ca="1">'TUSD BE'!$AK$56*'TUSD BF'!$AK$78</f>
        <v>0</v>
      </c>
      <c r="AL56" s="30">
        <f ca="1">SUM($AH$56:$AK$56)</f>
        <v>2.6185345309445895</v>
      </c>
      <c r="AM56" s="30">
        <f ca="1">SUMIF($L$4:$AL$4,"SUBTOTAL",$L$56:$AL$56)</f>
        <v>8.6834584584509962</v>
      </c>
      <c r="AO56" s="36">
        <f ca="1">+'TUSD BE'!$T$56+'TUSD BE'!$AB$56+'TUSD BE'!$AD$56+'TUSD BE'!$AL$56</f>
        <v>289.87340809275202</v>
      </c>
      <c r="AP56" s="36">
        <f ca="1">+'TUSD BE'!$T$56+'TUSD BE'!$AB$56+'TUSD BE'!$AD$56+'TUSD BE'!$AL$56</f>
        <v>289.87340809275202</v>
      </c>
    </row>
    <row r="57" spans="1:42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>
        <f>'TUSD BE'!$L$57*'TUSD BF'!$L$78</f>
        <v>0.2718593937321544</v>
      </c>
      <c r="M57" s="30">
        <f>'TUSD BE'!$M$57*'TUSD BF'!$M$78</f>
        <v>0</v>
      </c>
      <c r="N57" s="30">
        <f ca="1">'TUSD BE'!$N$57*'TUSD BF'!$N$78</f>
        <v>0</v>
      </c>
      <c r="O57" s="30">
        <f>'TUSD BE'!$O$57*'TUSD BF'!$O$78</f>
        <v>0</v>
      </c>
      <c r="P57" s="30">
        <f>'TUSD BE'!$P$57*'TUSD BF'!$P$78</f>
        <v>0</v>
      </c>
      <c r="Q57" s="30">
        <f>'TUSD BE'!$Q$57*'TUSD BF'!$Q$78</f>
        <v>3.213901802213647</v>
      </c>
      <c r="R57" s="30">
        <f>'TUSD BE'!$R$57*'TUSD BF'!$R$78</f>
        <v>1.7194053454059157</v>
      </c>
      <c r="S57" s="30">
        <f>'TUSD BE'!$R$57*'TUSD BF'!$S$78</f>
        <v>0</v>
      </c>
      <c r="T57" s="30">
        <f ca="1">SUM($L$57:$S$57)</f>
        <v>5.2051665413517174</v>
      </c>
      <c r="U57" s="30">
        <f>'TUSD BE'!$U$57*'TUSD BF'!$U$78</f>
        <v>1.179989069426532</v>
      </c>
      <c r="V57" s="30">
        <f>'TUSD BE'!$V$57*'TUSD BF'!$V$78</f>
        <v>0.25294630485490788</v>
      </c>
      <c r="W57" s="30">
        <f>'TUSD BE'!$W$57*'TUSD BF'!$W$78</f>
        <v>0</v>
      </c>
      <c r="X57" s="30">
        <f>'TUSD BE'!$X$57*'TUSD BF'!$X$78</f>
        <v>0</v>
      </c>
      <c r="Y57" s="30">
        <f>'TUSD BE'!$Y$57*'TUSD BF'!$Y$78</f>
        <v>0</v>
      </c>
      <c r="Z57" s="30">
        <f>'TUSD BE'!$Z$57*'TUSD BF'!$Z$78</f>
        <v>0</v>
      </c>
      <c r="AA57" s="30">
        <f>'TUSD BE'!$AA$57*'TUSD BF'!$AA$78</f>
        <v>0</v>
      </c>
      <c r="AB57" s="30">
        <f>SUM($U$57:$AA$57)</f>
        <v>1.4329353742814399</v>
      </c>
      <c r="AC57" s="30">
        <f>'TUSD BE'!$AC$57*'TUSD BF'!$AC$78</f>
        <v>0</v>
      </c>
      <c r="AD57" s="30">
        <f>SUM($AC$57:$AC$57)</f>
        <v>0</v>
      </c>
      <c r="AE57" s="30">
        <f ca="1">$AO$57*$AO$75</f>
        <v>0</v>
      </c>
      <c r="AF57" s="30">
        <f ca="1">$AP$57*$AP$75</f>
        <v>0</v>
      </c>
      <c r="AG57" s="30">
        <f ca="1">SUM($AE$57:$AF$57)</f>
        <v>0</v>
      </c>
      <c r="AH57" s="30">
        <f>'TUSD BE'!$AH$57*'TUSD BF'!$AH$78</f>
        <v>1.963519590895719</v>
      </c>
      <c r="AI57" s="30">
        <f>'TUSD BE'!$AI$57*'TUSD BF'!$AI$78</f>
        <v>6.9908450594698635E-2</v>
      </c>
      <c r="AJ57" s="30">
        <f ca="1">'TUSD BE'!$AJ$57*'TUSD BF'!$AJ$78</f>
        <v>0.58510648945417187</v>
      </c>
      <c r="AK57" s="30">
        <f ca="1">'TUSD BE'!$AK$57*'TUSD BF'!$AK$78</f>
        <v>0</v>
      </c>
      <c r="AL57" s="30">
        <f ca="1">SUM($AH$57:$AK$57)</f>
        <v>2.6185345309445895</v>
      </c>
      <c r="AM57" s="30">
        <f ca="1">SUMIF($L$4:$AL$4,"SUBTOTAL",$L$57:$AL$57)</f>
        <v>9.2566364465777475</v>
      </c>
      <c r="AO57" s="36">
        <f ca="1">+'TUSD BE'!$T$57+'TUSD BE'!$AB$57+'TUSD BE'!$AD$57+'TUSD BE'!$AL$57</f>
        <v>420.5131831177971</v>
      </c>
      <c r="AP57" s="36">
        <f ca="1">+'TUSD BE'!$T$57+'TUSD BE'!$AB$57+'TUSD BE'!$AD$57+'TUSD BE'!$AL$57</f>
        <v>420.5131831177971</v>
      </c>
    </row>
    <row r="58" spans="1:42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>
        <f>'TUSD BE'!$L$58*'TUSD BF'!$L$78</f>
        <v>0.2718593937321544</v>
      </c>
      <c r="M58" s="30">
        <f>'TUSD BE'!$M$58*'TUSD BF'!$M$78</f>
        <v>0</v>
      </c>
      <c r="N58" s="30">
        <f ca="1">'TUSD BE'!$N$58*'TUSD BF'!$N$78</f>
        <v>0</v>
      </c>
      <c r="O58" s="30">
        <f>'TUSD BE'!$O$58*'TUSD BF'!$O$78</f>
        <v>0</v>
      </c>
      <c r="P58" s="30">
        <f>'TUSD BE'!$P$58*'TUSD BF'!$P$78</f>
        <v>0</v>
      </c>
      <c r="Q58" s="30">
        <f>'TUSD BE'!$Q$58*'TUSD BF'!$Q$78</f>
        <v>3.213901802213647</v>
      </c>
      <c r="R58" s="30">
        <f>'TUSD BE'!$R$58*'TUSD BF'!$R$78</f>
        <v>1.7194053454059157</v>
      </c>
      <c r="S58" s="30">
        <f>'TUSD BE'!$R$58*'TUSD BF'!$S$78</f>
        <v>0</v>
      </c>
      <c r="T58" s="30">
        <f ca="1">SUM($L$58:$S$58)</f>
        <v>5.2051665413517174</v>
      </c>
      <c r="U58" s="30">
        <f>'TUSD BE'!$U$58*'TUSD BF'!$U$78</f>
        <v>3.5399672082795957</v>
      </c>
      <c r="V58" s="30">
        <f>'TUSD BE'!$V$58*'TUSD BF'!$V$78</f>
        <v>0.75883891456472363</v>
      </c>
      <c r="W58" s="30">
        <f>'TUSD BE'!$W$58*'TUSD BF'!$W$78</f>
        <v>0</v>
      </c>
      <c r="X58" s="30">
        <f>'TUSD BE'!$X$58*'TUSD BF'!$X$78</f>
        <v>0</v>
      </c>
      <c r="Y58" s="30">
        <f>'TUSD BE'!$Y$58*'TUSD BF'!$Y$78</f>
        <v>0</v>
      </c>
      <c r="Z58" s="30">
        <f>'TUSD BE'!$Z$58*'TUSD BF'!$Z$78</f>
        <v>0</v>
      </c>
      <c r="AA58" s="30">
        <f>'TUSD BE'!$AA$58*'TUSD BF'!$AA$78</f>
        <v>0</v>
      </c>
      <c r="AB58" s="30">
        <f>SUM($U$58:$AA$58)</f>
        <v>4.2988061228443195</v>
      </c>
      <c r="AC58" s="30">
        <f>'TUSD BE'!$AC$58*'TUSD BF'!$AC$78</f>
        <v>0</v>
      </c>
      <c r="AD58" s="30">
        <f>SUM($AC$58:$AC$58)</f>
        <v>0</v>
      </c>
      <c r="AE58" s="30">
        <f ca="1">$AO$58*$AO$75</f>
        <v>0</v>
      </c>
      <c r="AF58" s="30">
        <f ca="1">$AP$58*$AP$75</f>
        <v>0</v>
      </c>
      <c r="AG58" s="30">
        <f ca="1">SUM($AE$58:$AF$58)</f>
        <v>0</v>
      </c>
      <c r="AH58" s="30">
        <f>'TUSD BE'!$AH$58*'TUSD BF'!$AH$78</f>
        <v>1.963519590895719</v>
      </c>
      <c r="AI58" s="30">
        <f>'TUSD BE'!$AI$58*'TUSD BF'!$AI$78</f>
        <v>6.9908450594698635E-2</v>
      </c>
      <c r="AJ58" s="30">
        <f ca="1">'TUSD BE'!$AJ$58*'TUSD BF'!$AJ$78</f>
        <v>0.58510648945417187</v>
      </c>
      <c r="AK58" s="30">
        <f ca="1">'TUSD BE'!$AK$58*'TUSD BF'!$AK$78</f>
        <v>0</v>
      </c>
      <c r="AL58" s="30">
        <f ca="1">SUM($AH$58:$AK$58)</f>
        <v>2.6185345309445895</v>
      </c>
      <c r="AM58" s="30">
        <f ca="1">SUMIF($L$4:$AL$4,"SUBTOTAL",$L$58:$AL$58)</f>
        <v>12.122507195140628</v>
      </c>
      <c r="AO58" s="36">
        <f ca="1">+'TUSD BE'!$T$58+'TUSD BE'!$AB$58+'TUSD BE'!$AD$58+'TUSD BE'!$AL$58</f>
        <v>1073.7113857785223</v>
      </c>
      <c r="AP58" s="36">
        <f ca="1">+'TUSD BE'!$T$58+'TUSD BE'!$AB$58+'TUSD BE'!$AD$58+'TUSD BE'!$AL$58</f>
        <v>1073.7113857785223</v>
      </c>
    </row>
    <row r="59" spans="1:42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>
        <f>'TUSD BE'!$L$59*'TUSD BF'!$L$78</f>
        <v>0.2718593937321544</v>
      </c>
      <c r="M59" s="30">
        <f>'TUSD BE'!$M$59*'TUSD BF'!$M$78</f>
        <v>0</v>
      </c>
      <c r="N59" s="30">
        <f ca="1">'TUSD BE'!$N$59*'TUSD BF'!$N$78</f>
        <v>0</v>
      </c>
      <c r="O59" s="30">
        <f>'TUSD BE'!$O$59*'TUSD BF'!$O$78</f>
        <v>0</v>
      </c>
      <c r="P59" s="30">
        <f>'TUSD BE'!$P$59*'TUSD BF'!$P$78</f>
        <v>0</v>
      </c>
      <c r="Q59" s="30">
        <f>'TUSD BE'!$Q$59*'TUSD BF'!$Q$78</f>
        <v>3.213901802213647</v>
      </c>
      <c r="R59" s="30">
        <f>'TUSD BE'!$R$59*'TUSD BF'!$R$78</f>
        <v>1.7194053454059157</v>
      </c>
      <c r="S59" s="30">
        <f>'TUSD BE'!$R$59*'TUSD BF'!$S$78</f>
        <v>0</v>
      </c>
      <c r="T59" s="30">
        <f ca="1">SUM($L$59:$S$59)</f>
        <v>5.2051665413517174</v>
      </c>
      <c r="U59" s="30">
        <f>'TUSD BE'!$U$59*'TUSD BF'!$U$78</f>
        <v>2.1239830328086802</v>
      </c>
      <c r="V59" s="30">
        <f>'TUSD BE'!$V$59*'TUSD BF'!$V$78</f>
        <v>0.455302106491978</v>
      </c>
      <c r="W59" s="30">
        <f>'TUSD BE'!$W$59*'TUSD BF'!$W$78</f>
        <v>0</v>
      </c>
      <c r="X59" s="30">
        <f>'TUSD BE'!$X$59*'TUSD BF'!$X$78</f>
        <v>0</v>
      </c>
      <c r="Y59" s="30">
        <f>'TUSD BE'!$Y$59*'TUSD BF'!$Y$78</f>
        <v>0</v>
      </c>
      <c r="Z59" s="30">
        <f>'TUSD BE'!$Z$59*'TUSD BF'!$Z$78</f>
        <v>0</v>
      </c>
      <c r="AA59" s="30">
        <f>'TUSD BE'!$AA$59*'TUSD BF'!$AA$78</f>
        <v>0</v>
      </c>
      <c r="AB59" s="30">
        <f>SUM($U$59:$AA$59)</f>
        <v>2.5792851393006582</v>
      </c>
      <c r="AC59" s="30">
        <f>'TUSD BE'!$AC$59*'TUSD BF'!$AC$78</f>
        <v>0</v>
      </c>
      <c r="AD59" s="30">
        <f>SUM($AC$59:$AC$59)</f>
        <v>0</v>
      </c>
      <c r="AE59" s="30">
        <f ca="1">$AO$59*$AO$75</f>
        <v>0</v>
      </c>
      <c r="AF59" s="30">
        <f ca="1">$AP$59*$AP$75</f>
        <v>0</v>
      </c>
      <c r="AG59" s="30">
        <f ca="1">SUM($AE$59:$AF$59)</f>
        <v>0</v>
      </c>
      <c r="AH59" s="30">
        <f>'TUSD BE'!$AH$59*'TUSD BF'!$AH$78</f>
        <v>1.963519590895719</v>
      </c>
      <c r="AI59" s="30">
        <f>'TUSD BE'!$AI$59*'TUSD BF'!$AI$78</f>
        <v>6.9908450594698635E-2</v>
      </c>
      <c r="AJ59" s="30">
        <f ca="1">'TUSD BE'!$AJ$59*'TUSD BF'!$AJ$78</f>
        <v>0.58510648945417187</v>
      </c>
      <c r="AK59" s="30">
        <f ca="1">'TUSD BE'!$AK$59*'TUSD BF'!$AK$78</f>
        <v>0</v>
      </c>
      <c r="AL59" s="30">
        <f ca="1">SUM($AH$59:$AK$59)</f>
        <v>2.6185345309445895</v>
      </c>
      <c r="AM59" s="30">
        <f ca="1">SUMIF($L$4:$AL$4,"SUBTOTAL",$L$59:$AL$59)</f>
        <v>10.402986211596966</v>
      </c>
      <c r="AO59" s="36">
        <f ca="1">+'TUSD BE'!$T$59+'TUSD BE'!$AB$59+'TUSD BE'!$AD$59+'TUSD BE'!$AL$59</f>
        <v>681.79262071825121</v>
      </c>
      <c r="AP59" s="36">
        <f ca="1">+'TUSD BE'!$T$59+'TUSD BE'!$AB$59+'TUSD BE'!$AD$59+'TUSD BE'!$AL$59</f>
        <v>681.79262071825121</v>
      </c>
    </row>
    <row r="60" spans="1:42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>
        <f>'TUSD BE'!$L$60*'TUSD BF'!$L$78</f>
        <v>0.2718593937321544</v>
      </c>
      <c r="M60" s="30">
        <f>'TUSD BE'!$M$60*'TUSD BF'!$M$78</f>
        <v>0</v>
      </c>
      <c r="N60" s="30">
        <f ca="1">'TUSD BE'!$N$60*'TUSD BF'!$N$78</f>
        <v>0</v>
      </c>
      <c r="O60" s="30">
        <f>'TUSD BE'!$O$60*'TUSD BF'!$O$78</f>
        <v>0</v>
      </c>
      <c r="P60" s="30">
        <f>'TUSD BE'!$P$60*'TUSD BF'!$P$78</f>
        <v>0</v>
      </c>
      <c r="Q60" s="30">
        <f>'TUSD BE'!$Q$60*'TUSD BF'!$Q$78</f>
        <v>3.213901802213647</v>
      </c>
      <c r="R60" s="30">
        <f>'TUSD BE'!$R$60*'TUSD BF'!$R$78</f>
        <v>1.7194053454059157</v>
      </c>
      <c r="S60" s="30">
        <f>'TUSD BE'!$R$60*'TUSD BF'!$S$78</f>
        <v>0</v>
      </c>
      <c r="T60" s="30">
        <f ca="1">SUM($L$60:$S$60)</f>
        <v>5.2051665413517174</v>
      </c>
      <c r="U60" s="30">
        <f>'TUSD BE'!$U$60*'TUSD BF'!$U$78</f>
        <v>0.70799208773545752</v>
      </c>
      <c r="V60" s="30">
        <f>'TUSD BE'!$V$60*'TUSD BF'!$V$78</f>
        <v>0.15176529841923236</v>
      </c>
      <c r="W60" s="30">
        <f>'TUSD BE'!$W$60*'TUSD BF'!$W$78</f>
        <v>0</v>
      </c>
      <c r="X60" s="30">
        <f>'TUSD BE'!$X$60*'TUSD BF'!$X$78</f>
        <v>0</v>
      </c>
      <c r="Y60" s="30">
        <f>'TUSD BE'!$Y$60*'TUSD BF'!$Y$78</f>
        <v>0</v>
      </c>
      <c r="Z60" s="30">
        <f>'TUSD BE'!$Z$60*'TUSD BF'!$Z$78</f>
        <v>0</v>
      </c>
      <c r="AA60" s="30">
        <f>'TUSD BE'!$AA$60*'TUSD BF'!$AA$78</f>
        <v>0</v>
      </c>
      <c r="AB60" s="30">
        <f>SUM($U$60:$AA$60)</f>
        <v>0.85975738615468988</v>
      </c>
      <c r="AC60" s="30">
        <f>'TUSD BE'!$AC$60*'TUSD BF'!$AC$78</f>
        <v>0</v>
      </c>
      <c r="AD60" s="30">
        <f>SUM($AC$60:$AC$60)</f>
        <v>0</v>
      </c>
      <c r="AE60" s="30">
        <f ca="1">$AO$60*$AO$75</f>
        <v>0</v>
      </c>
      <c r="AF60" s="30">
        <f ca="1">$AP$60*$AP$75</f>
        <v>0</v>
      </c>
      <c r="AG60" s="30">
        <f ca="1">SUM($AE$60:$AF$60)</f>
        <v>0</v>
      </c>
      <c r="AH60" s="30">
        <f>'TUSD BE'!$AH$60*'TUSD BF'!$AH$78</f>
        <v>1.963519590895719</v>
      </c>
      <c r="AI60" s="30">
        <f>'TUSD BE'!$AI$60*'TUSD BF'!$AI$78</f>
        <v>6.9908450594698635E-2</v>
      </c>
      <c r="AJ60" s="30">
        <f ca="1">'TUSD BE'!$AJ$60*'TUSD BF'!$AJ$78</f>
        <v>0.58510648945417187</v>
      </c>
      <c r="AK60" s="30">
        <f ca="1">'TUSD BE'!$AK$60*'TUSD BF'!$AK$78</f>
        <v>0</v>
      </c>
      <c r="AL60" s="30">
        <f ca="1">SUM($AH$60:$AK$60)</f>
        <v>2.6185345309445895</v>
      </c>
      <c r="AM60" s="30">
        <f ca="1">SUMIF($L$4:$AL$4,"SUBTOTAL",$L$60:$AL$60)</f>
        <v>8.6834584584509962</v>
      </c>
      <c r="AO60" s="36">
        <f ca="1">+'TUSD BE'!$T$60+'TUSD BE'!$AB$60+'TUSD BE'!$AD$60+'TUSD BE'!$AL$60</f>
        <v>289.87340809275202</v>
      </c>
      <c r="AP60" s="36">
        <f ca="1">+'TUSD BE'!$T$60+'TUSD BE'!$AB$60+'TUSD BE'!$AD$60+'TUSD BE'!$AL$60</f>
        <v>289.87340809275202</v>
      </c>
    </row>
    <row r="61" spans="1:42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>
        <f>'TUSD BE'!$L$61*'TUSD BF'!$L$78</f>
        <v>0.2718593937321544</v>
      </c>
      <c r="M61" s="30">
        <f>'TUSD BE'!$M$61*'TUSD BF'!$M$78</f>
        <v>0</v>
      </c>
      <c r="N61" s="30">
        <f ca="1">'TUSD BE'!$N$61*'TUSD BF'!$N$78</f>
        <v>0</v>
      </c>
      <c r="O61" s="30">
        <f>'TUSD BE'!$O$61*'TUSD BF'!$O$78</f>
        <v>0</v>
      </c>
      <c r="P61" s="30">
        <f>'TUSD BE'!$P$61*'TUSD BF'!$P$78</f>
        <v>0</v>
      </c>
      <c r="Q61" s="30">
        <f>'TUSD BE'!$Q$61*'TUSD BF'!$Q$78</f>
        <v>3.213901802213647</v>
      </c>
      <c r="R61" s="30">
        <f>'TUSD BE'!$R$61*'TUSD BF'!$R$78</f>
        <v>1.7194053454059157</v>
      </c>
      <c r="S61" s="30">
        <f>'TUSD BE'!$R$61*'TUSD BF'!$S$78</f>
        <v>0</v>
      </c>
      <c r="T61" s="30">
        <f ca="1">SUM($L$61:$S$61)</f>
        <v>5.2051665413517174</v>
      </c>
      <c r="U61" s="30">
        <f>'TUSD BE'!$U$61*'TUSD BF'!$U$78</f>
        <v>1.179989069426532</v>
      </c>
      <c r="V61" s="30">
        <f>'TUSD BE'!$V$61*'TUSD BF'!$V$78</f>
        <v>0.25294630485490788</v>
      </c>
      <c r="W61" s="30">
        <f>'TUSD BE'!$W$61*'TUSD BF'!$W$78</f>
        <v>0</v>
      </c>
      <c r="X61" s="30">
        <f>'TUSD BE'!$X$61*'TUSD BF'!$X$78</f>
        <v>0</v>
      </c>
      <c r="Y61" s="30">
        <f>'TUSD BE'!$Y$61*'TUSD BF'!$Y$78</f>
        <v>0</v>
      </c>
      <c r="Z61" s="30">
        <f>'TUSD BE'!$Z$61*'TUSD BF'!$Z$78</f>
        <v>0</v>
      </c>
      <c r="AA61" s="30">
        <f>'TUSD BE'!$AA$61*'TUSD BF'!$AA$78</f>
        <v>0</v>
      </c>
      <c r="AB61" s="30">
        <f>SUM($U$61:$AA$61)</f>
        <v>1.4329353742814399</v>
      </c>
      <c r="AC61" s="30">
        <f>'TUSD BE'!$AC$61*'TUSD BF'!$AC$78</f>
        <v>0</v>
      </c>
      <c r="AD61" s="30">
        <f>SUM($AC$61:$AC$61)</f>
        <v>0</v>
      </c>
      <c r="AE61" s="30">
        <f ca="1">$AO$61*$AO$75</f>
        <v>0</v>
      </c>
      <c r="AF61" s="30">
        <f ca="1">$AP$61*$AP$75</f>
        <v>0</v>
      </c>
      <c r="AG61" s="30">
        <f ca="1">SUM($AE$61:$AF$61)</f>
        <v>0</v>
      </c>
      <c r="AH61" s="30">
        <f>'TUSD BE'!$AH$61*'TUSD BF'!$AH$78</f>
        <v>1.963519590895719</v>
      </c>
      <c r="AI61" s="30">
        <f>'TUSD BE'!$AI$61*'TUSD BF'!$AI$78</f>
        <v>6.9908450594698635E-2</v>
      </c>
      <c r="AJ61" s="30">
        <f ca="1">'TUSD BE'!$AJ$61*'TUSD BF'!$AJ$78</f>
        <v>0.58510648945417187</v>
      </c>
      <c r="AK61" s="30">
        <f ca="1">'TUSD BE'!$AK$61*'TUSD BF'!$AK$78</f>
        <v>0</v>
      </c>
      <c r="AL61" s="30">
        <f ca="1">SUM($AH$61:$AK$61)</f>
        <v>2.6185345309445895</v>
      </c>
      <c r="AM61" s="30">
        <f ca="1">SUMIF($L$4:$AL$4,"SUBTOTAL",$L$61:$AL$61)</f>
        <v>9.2566364465777475</v>
      </c>
      <c r="AO61" s="36">
        <f ca="1">+'TUSD BE'!$T$61+'TUSD BE'!$AB$61+'TUSD BE'!$AD$61+'TUSD BE'!$AL$61</f>
        <v>420.5131831177971</v>
      </c>
      <c r="AP61" s="36">
        <f ca="1">+'TUSD BE'!$T$61+'TUSD BE'!$AB$61+'TUSD BE'!$AD$61+'TUSD BE'!$AL$61</f>
        <v>420.5131831177971</v>
      </c>
    </row>
    <row r="62" spans="1:42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>
        <f>'TUSD BE'!$L$62*'TUSD BF'!$L$78</f>
        <v>0.2718593937321544</v>
      </c>
      <c r="M62" s="30">
        <f>'TUSD BE'!$M$62*'TUSD BF'!$M$78</f>
        <v>0</v>
      </c>
      <c r="N62" s="30">
        <f ca="1">'TUSD BE'!$N$62*'TUSD BF'!$N$78</f>
        <v>0</v>
      </c>
      <c r="O62" s="30">
        <f>'TUSD BE'!$O$62*'TUSD BF'!$O$78</f>
        <v>0</v>
      </c>
      <c r="P62" s="30">
        <f>'TUSD BE'!$P$62*'TUSD BF'!$P$78</f>
        <v>0</v>
      </c>
      <c r="Q62" s="30">
        <f>'TUSD BE'!$Q$62*'TUSD BF'!$Q$78</f>
        <v>3.213901802213647</v>
      </c>
      <c r="R62" s="30">
        <f>'TUSD BE'!$R$62*'TUSD BF'!$R$78</f>
        <v>1.7194053454059157</v>
      </c>
      <c r="S62" s="30">
        <f>'TUSD BE'!$R$62*'TUSD BF'!$S$78</f>
        <v>0</v>
      </c>
      <c r="T62" s="30">
        <f ca="1">SUM($L$62:$S$62)</f>
        <v>5.2051665413517174</v>
      </c>
      <c r="U62" s="30">
        <f>'TUSD BE'!$U$62*'TUSD BF'!$U$78</f>
        <v>1.179989069426532</v>
      </c>
      <c r="V62" s="30">
        <f>'TUSD BE'!$V$62*'TUSD BF'!$V$78</f>
        <v>0.25294630485490788</v>
      </c>
      <c r="W62" s="30">
        <f>'TUSD BE'!$W$62*'TUSD BF'!$W$78</f>
        <v>0</v>
      </c>
      <c r="X62" s="30">
        <f>'TUSD BE'!$X$62*'TUSD BF'!$X$78</f>
        <v>0</v>
      </c>
      <c r="Y62" s="30">
        <f>'TUSD BE'!$Y$62*'TUSD BF'!$Y$78</f>
        <v>0</v>
      </c>
      <c r="Z62" s="30">
        <f>'TUSD BE'!$Z$62*'TUSD BF'!$Z$78</f>
        <v>0</v>
      </c>
      <c r="AA62" s="30">
        <f>'TUSD BE'!$AA$62*'TUSD BF'!$AA$78</f>
        <v>0</v>
      </c>
      <c r="AB62" s="30">
        <f>SUM($U$62:$AA$62)</f>
        <v>1.4329353742814399</v>
      </c>
      <c r="AC62" s="30">
        <f>'TUSD BE'!$AC$62*'TUSD BF'!$AC$78</f>
        <v>0</v>
      </c>
      <c r="AD62" s="30">
        <f>SUM($AC$62:$AC$62)</f>
        <v>0</v>
      </c>
      <c r="AE62" s="30">
        <f ca="1">$AO$62*$AO$75</f>
        <v>0</v>
      </c>
      <c r="AF62" s="30">
        <f ca="1">$AP$62*$AP$75</f>
        <v>0</v>
      </c>
      <c r="AG62" s="30">
        <f ca="1">SUM($AE$62:$AF$62)</f>
        <v>0</v>
      </c>
      <c r="AH62" s="30">
        <f>'TUSD BE'!$AH$62*'TUSD BF'!$AH$78</f>
        <v>1.963519590895719</v>
      </c>
      <c r="AI62" s="30">
        <f>'TUSD BE'!$AI$62*'TUSD BF'!$AI$78</f>
        <v>6.9908450594698635E-2</v>
      </c>
      <c r="AJ62" s="30">
        <f ca="1">'TUSD BE'!$AJ$62*'TUSD BF'!$AJ$78</f>
        <v>0.58510648945417187</v>
      </c>
      <c r="AK62" s="30">
        <f ca="1">'TUSD BE'!$AK$62*'TUSD BF'!$AK$78</f>
        <v>0</v>
      </c>
      <c r="AL62" s="30">
        <f ca="1">SUM($AH$62:$AK$62)</f>
        <v>2.6185345309445895</v>
      </c>
      <c r="AM62" s="30">
        <f ca="1">SUMIF($L$4:$AL$4,"SUBTOTAL",$L$62:$AL$62)</f>
        <v>9.2566364465777475</v>
      </c>
      <c r="AO62" s="36">
        <f ca="1">+'TUSD BE'!$T$62+'TUSD BE'!$AB$62+'TUSD BE'!$AD$62+'TUSD BE'!$AL$62</f>
        <v>420.5131831177971</v>
      </c>
      <c r="AP62" s="36">
        <f ca="1">+'TUSD BE'!$T$62+'TUSD BE'!$AB$62+'TUSD BE'!$AD$62+'TUSD BE'!$AL$62</f>
        <v>420.5131831177971</v>
      </c>
    </row>
    <row r="63" spans="1:42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>
        <f>'TUSD BE'!$L$63*'TUSD BF'!$L$78</f>
        <v>0.2718593937321544</v>
      </c>
      <c r="M63" s="30">
        <f>'TUSD BE'!$M$63*'TUSD BF'!$M$78</f>
        <v>0</v>
      </c>
      <c r="N63" s="30">
        <f ca="1">'TUSD BE'!$N$63*'TUSD BF'!$N$78</f>
        <v>0</v>
      </c>
      <c r="O63" s="30">
        <f>'TUSD BE'!$O$63*'TUSD BF'!$O$78</f>
        <v>0</v>
      </c>
      <c r="P63" s="30">
        <f>'TUSD BE'!$P$63*'TUSD BF'!$P$78</f>
        <v>0</v>
      </c>
      <c r="Q63" s="30">
        <f>'TUSD BE'!$Q$63*'TUSD BF'!$Q$78</f>
        <v>3.213901802213647</v>
      </c>
      <c r="R63" s="30">
        <f>'TUSD BE'!$R$63*'TUSD BF'!$R$78</f>
        <v>1.7194053454059157</v>
      </c>
      <c r="S63" s="30">
        <f>'TUSD BE'!$R$63*'TUSD BF'!$S$78</f>
        <v>0</v>
      </c>
      <c r="T63" s="30">
        <f ca="1">SUM($L$63:$S$63)</f>
        <v>5.2051665413517174</v>
      </c>
      <c r="U63" s="30">
        <f>'TUSD BE'!$U$63*'TUSD BF'!$U$78</f>
        <v>1.179989069426532</v>
      </c>
      <c r="V63" s="30">
        <f>'TUSD BE'!$V$63*'TUSD BF'!$V$78</f>
        <v>0.25294630485490788</v>
      </c>
      <c r="W63" s="30">
        <f>'TUSD BE'!$W$63*'TUSD BF'!$W$78</f>
        <v>0</v>
      </c>
      <c r="X63" s="30">
        <f>'TUSD BE'!$X$63*'TUSD BF'!$X$78</f>
        <v>0</v>
      </c>
      <c r="Y63" s="30">
        <f>'TUSD BE'!$Y$63*'TUSD BF'!$Y$78</f>
        <v>0</v>
      </c>
      <c r="Z63" s="30">
        <f>'TUSD BE'!$Z$63*'TUSD BF'!$Z$78</f>
        <v>0</v>
      </c>
      <c r="AA63" s="30">
        <f>'TUSD BE'!$AA$63*'TUSD BF'!$AA$78</f>
        <v>0</v>
      </c>
      <c r="AB63" s="30">
        <f>SUM($U$63:$AA$63)</f>
        <v>1.4329353742814399</v>
      </c>
      <c r="AC63" s="30">
        <f>'TUSD BE'!$AC$63*'TUSD BF'!$AC$78</f>
        <v>0</v>
      </c>
      <c r="AD63" s="30">
        <f>SUM($AC$63:$AC$63)</f>
        <v>0</v>
      </c>
      <c r="AE63" s="30">
        <f ca="1">$AO$63*$AO$75</f>
        <v>0</v>
      </c>
      <c r="AF63" s="30">
        <f ca="1">$AP$63*$AP$75</f>
        <v>0</v>
      </c>
      <c r="AG63" s="30">
        <f ca="1">SUM($AE$63:$AF$63)</f>
        <v>0</v>
      </c>
      <c r="AH63" s="30">
        <f>'TUSD BE'!$AH$63*'TUSD BF'!$AH$78</f>
        <v>1.963519590895719</v>
      </c>
      <c r="AI63" s="30">
        <f>'TUSD BE'!$AI$63*'TUSD BF'!$AI$78</f>
        <v>6.9908450594698635E-2</v>
      </c>
      <c r="AJ63" s="30">
        <f ca="1">'TUSD BE'!$AJ$63*'TUSD BF'!$AJ$78</f>
        <v>0.58510648945417187</v>
      </c>
      <c r="AK63" s="30">
        <f ca="1">'TUSD BE'!$AK$63*'TUSD BF'!$AK$78</f>
        <v>0</v>
      </c>
      <c r="AL63" s="30">
        <f ca="1">SUM($AH$63:$AK$63)</f>
        <v>2.6185345309445895</v>
      </c>
      <c r="AM63" s="30">
        <f ca="1">SUMIF($L$4:$AL$4,"SUBTOTAL",$L$63:$AL$63)</f>
        <v>9.2566364465777475</v>
      </c>
      <c r="AO63" s="36">
        <f ca="1">+'TUSD BE'!$T$63+'TUSD BE'!$AB$63+'TUSD BE'!$AD$63+'TUSD BE'!$AL$63</f>
        <v>420.5131831177971</v>
      </c>
      <c r="AP63" s="36">
        <f ca="1">+'TUSD BE'!$T$63+'TUSD BE'!$AB$63+'TUSD BE'!$AD$63+'TUSD BE'!$AL$63</f>
        <v>420.5131831177971</v>
      </c>
    </row>
    <row r="64" spans="1:42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>
        <f>'TUSD BE'!$L$64*'TUSD BF'!$L$78</f>
        <v>0.2718593937321544</v>
      </c>
      <c r="M64" s="30">
        <f>'TUSD BE'!$M$64*'TUSD BF'!$M$78</f>
        <v>0</v>
      </c>
      <c r="N64" s="30">
        <f ca="1">'TUSD BE'!$N$64*'TUSD BF'!$N$78</f>
        <v>0</v>
      </c>
      <c r="O64" s="30">
        <f>'TUSD BE'!$O$64*'TUSD BF'!$O$78</f>
        <v>0</v>
      </c>
      <c r="P64" s="30">
        <f>'TUSD BE'!$P$64*'TUSD BF'!$P$78</f>
        <v>0</v>
      </c>
      <c r="Q64" s="30">
        <f>'TUSD BE'!$Q$64*'TUSD BF'!$Q$78</f>
        <v>3.213901802213647</v>
      </c>
      <c r="R64" s="30">
        <f>'TUSD BE'!$R$64*'TUSD BF'!$R$78</f>
        <v>1.7194053454059157</v>
      </c>
      <c r="S64" s="30">
        <f>'TUSD BE'!$R$64*'TUSD BF'!$S$78</f>
        <v>0</v>
      </c>
      <c r="T64" s="30">
        <f ca="1">SUM($L$64:$S$64)</f>
        <v>5.2051665413517174</v>
      </c>
      <c r="U64" s="30">
        <f>'TUSD BE'!$U$64*'TUSD BF'!$U$78</f>
        <v>1.179989069426532</v>
      </c>
      <c r="V64" s="30">
        <f>'TUSD BE'!$V$64*'TUSD BF'!$V$78</f>
        <v>0.25294630485490788</v>
      </c>
      <c r="W64" s="30">
        <f>'TUSD BE'!$W$64*'TUSD BF'!$W$78</f>
        <v>0</v>
      </c>
      <c r="X64" s="30">
        <f>'TUSD BE'!$X$64*'TUSD BF'!$X$78</f>
        <v>0</v>
      </c>
      <c r="Y64" s="30">
        <f>'TUSD BE'!$Y$64*'TUSD BF'!$Y$78</f>
        <v>0</v>
      </c>
      <c r="Z64" s="30">
        <f>'TUSD BE'!$Z$64*'TUSD BF'!$Z$78</f>
        <v>0</v>
      </c>
      <c r="AA64" s="30">
        <f>'TUSD BE'!$AA$64*'TUSD BF'!$AA$78</f>
        <v>0</v>
      </c>
      <c r="AB64" s="30">
        <f>SUM($U$64:$AA$64)</f>
        <v>1.4329353742814399</v>
      </c>
      <c r="AC64" s="30">
        <f>'TUSD BE'!$AC$64*'TUSD BF'!$AC$78</f>
        <v>0</v>
      </c>
      <c r="AD64" s="30">
        <f>SUM($AC$64:$AC$64)</f>
        <v>0</v>
      </c>
      <c r="AE64" s="30">
        <f ca="1">$AO$64*$AO$75</f>
        <v>0</v>
      </c>
      <c r="AF64" s="30">
        <f ca="1">$AP$64*$AP$75</f>
        <v>0</v>
      </c>
      <c r="AG64" s="30">
        <f ca="1">SUM($AE$64:$AF$64)</f>
        <v>0</v>
      </c>
      <c r="AH64" s="30">
        <f>'TUSD BE'!$AH$64*'TUSD BF'!$AH$78</f>
        <v>1.963519590895719</v>
      </c>
      <c r="AI64" s="30">
        <f>'TUSD BE'!$AI$64*'TUSD BF'!$AI$78</f>
        <v>6.9908450594698635E-2</v>
      </c>
      <c r="AJ64" s="30">
        <f ca="1">'TUSD BE'!$AJ$64*'TUSD BF'!$AJ$78</f>
        <v>0.58510648945417187</v>
      </c>
      <c r="AK64" s="30">
        <f ca="1">'TUSD BE'!$AK$64*'TUSD BF'!$AK$78</f>
        <v>0</v>
      </c>
      <c r="AL64" s="30">
        <f ca="1">SUM($AH$64:$AK$64)</f>
        <v>2.6185345309445895</v>
      </c>
      <c r="AM64" s="30">
        <f ca="1">SUMIF($L$4:$AL$4,"SUBTOTAL",$L$64:$AL$64)</f>
        <v>9.2566364465777475</v>
      </c>
      <c r="AO64" s="36">
        <f ca="1">+'TUSD BE'!$T$64+'TUSD BE'!$AB$64+'TUSD BE'!$AD$64+'TUSD BE'!$AL$64</f>
        <v>420.5131831177971</v>
      </c>
      <c r="AP64" s="36">
        <f ca="1">+'TUSD BE'!$T$64+'TUSD BE'!$AB$64+'TUSD BE'!$AD$64+'TUSD BE'!$AL$64</f>
        <v>420.5131831177971</v>
      </c>
    </row>
    <row r="65" spans="1:42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>
        <f>'TUSD BE'!$L$65*'TUSD BF'!$L$78</f>
        <v>0.2718593937321544</v>
      </c>
      <c r="M65" s="30">
        <f>'TUSD BE'!$M$65*'TUSD BF'!$M$78</f>
        <v>0</v>
      </c>
      <c r="N65" s="30">
        <f ca="1">'TUSD BE'!$N$65*'TUSD BF'!$N$78</f>
        <v>0</v>
      </c>
      <c r="O65" s="30">
        <f>'TUSD BE'!$O$65*'TUSD BF'!$O$78</f>
        <v>0</v>
      </c>
      <c r="P65" s="30">
        <f>'TUSD BE'!$P$65*'TUSD BF'!$P$78</f>
        <v>0</v>
      </c>
      <c r="Q65" s="30">
        <f>'TUSD BE'!$Q$65*'TUSD BF'!$Q$78</f>
        <v>3.213901802213647</v>
      </c>
      <c r="R65" s="30">
        <f>'TUSD BE'!$R$65*'TUSD BF'!$R$78</f>
        <v>1.7194053454059157</v>
      </c>
      <c r="S65" s="30">
        <f>'TUSD BE'!$R$65*'TUSD BF'!$S$78</f>
        <v>0</v>
      </c>
      <c r="T65" s="30">
        <f ca="1">SUM($L$65:$S$65)</f>
        <v>5.2051665413517174</v>
      </c>
      <c r="U65" s="30">
        <f>'TUSD BE'!$U$65*'TUSD BF'!$U$78</f>
        <v>3.834966168036805</v>
      </c>
      <c r="V65" s="30">
        <f>'TUSD BE'!$V$65*'TUSD BF'!$V$78</f>
        <v>0.82207549077845055</v>
      </c>
      <c r="W65" s="30">
        <f>'TUSD BE'!$W$65*'TUSD BF'!$W$78</f>
        <v>0</v>
      </c>
      <c r="X65" s="30">
        <f>'TUSD BE'!$X$65*'TUSD BF'!$X$78</f>
        <v>0</v>
      </c>
      <c r="Y65" s="30">
        <f>'TUSD BE'!$Y$65*'TUSD BF'!$Y$78</f>
        <v>0</v>
      </c>
      <c r="Z65" s="30">
        <f>'TUSD BE'!$Z$65*'TUSD BF'!$Z$78</f>
        <v>0</v>
      </c>
      <c r="AA65" s="30">
        <f>'TUSD BE'!$AA$65*'TUSD BF'!$AA$78</f>
        <v>0</v>
      </c>
      <c r="AB65" s="30">
        <f>SUM($U$65:$AA$65)</f>
        <v>4.6570416588152552</v>
      </c>
      <c r="AC65" s="30">
        <f>'TUSD BE'!$AC$65*'TUSD BF'!$AC$78</f>
        <v>0</v>
      </c>
      <c r="AD65" s="30">
        <f>SUM($AC$65:$AC$65)</f>
        <v>0</v>
      </c>
      <c r="AE65" s="30">
        <f ca="1">$AO$65*$AO$75</f>
        <v>0</v>
      </c>
      <c r="AF65" s="30">
        <f ca="1">$AP$65*$AP$75</f>
        <v>0</v>
      </c>
      <c r="AG65" s="30">
        <f ca="1">SUM($AE$65:$AF$65)</f>
        <v>0</v>
      </c>
      <c r="AH65" s="30">
        <f>'TUSD BE'!$AH$65*'TUSD BF'!$AH$78</f>
        <v>1.963519590895719</v>
      </c>
      <c r="AI65" s="30">
        <f>'TUSD BE'!$AI$65*'TUSD BF'!$AI$78</f>
        <v>6.9908450594698635E-2</v>
      </c>
      <c r="AJ65" s="30">
        <f ca="1">'TUSD BE'!$AJ$65*'TUSD BF'!$AJ$78</f>
        <v>0.58510648945417187</v>
      </c>
      <c r="AK65" s="30">
        <f ca="1">'TUSD BE'!$AK$65*'TUSD BF'!$AK$78</f>
        <v>0</v>
      </c>
      <c r="AL65" s="30">
        <f ca="1">SUM($AH$65:$AK$65)</f>
        <v>2.6185345309445895</v>
      </c>
      <c r="AM65" s="30">
        <f ca="1">SUMIF($L$4:$AL$4,"SUBTOTAL",$L$65:$AL$65)</f>
        <v>12.480742731111562</v>
      </c>
      <c r="AO65" s="36">
        <f ca="1">+'TUSD BE'!$T$65+'TUSD BE'!$AB$65+'TUSD BE'!$AD$65+'TUSD BE'!$AL$65</f>
        <v>1155.3613949300429</v>
      </c>
      <c r="AP65" s="36">
        <f ca="1">+'TUSD BE'!$T$65+'TUSD BE'!$AB$65+'TUSD BE'!$AD$65+'TUSD BE'!$AL$65</f>
        <v>1155.3613949300429</v>
      </c>
    </row>
    <row r="66" spans="1:42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>
        <f>'TUSD BE'!$L$66*'TUSD BF'!$L$78</f>
        <v>0.2718593937321544</v>
      </c>
      <c r="M66" s="30">
        <f>'TUSD BE'!$M$66*'TUSD BF'!$M$78</f>
        <v>0</v>
      </c>
      <c r="N66" s="30">
        <f ca="1">'TUSD BE'!$N$66*'TUSD BF'!$N$78</f>
        <v>0</v>
      </c>
      <c r="O66" s="30">
        <f>'TUSD BE'!$O$66*'TUSD BF'!$O$78</f>
        <v>0</v>
      </c>
      <c r="P66" s="30">
        <f>'TUSD BE'!$P$66*'TUSD BF'!$P$78</f>
        <v>0</v>
      </c>
      <c r="Q66" s="30">
        <f>'TUSD BE'!$Q$66*'TUSD BF'!$Q$78</f>
        <v>3.213901802213647</v>
      </c>
      <c r="R66" s="30">
        <f>'TUSD BE'!$R$66*'TUSD BF'!$R$78</f>
        <v>1.7194053454059157</v>
      </c>
      <c r="S66" s="30">
        <f>'TUSD BE'!$R$66*'TUSD BF'!$S$78</f>
        <v>0</v>
      </c>
      <c r="T66" s="30">
        <f ca="1">SUM($L$66:$S$66)</f>
        <v>5.2051665413517174</v>
      </c>
      <c r="U66" s="30">
        <f>'TUSD BE'!$U$66*'TUSD BF'!$U$78</f>
        <v>2.3009810547425444</v>
      </c>
      <c r="V66" s="30">
        <f>'TUSD BE'!$V$66*'TUSD BF'!$V$78</f>
        <v>0.49324653671392654</v>
      </c>
      <c r="W66" s="30">
        <f>'TUSD BE'!$W$66*'TUSD BF'!$W$78</f>
        <v>0</v>
      </c>
      <c r="X66" s="30">
        <f>'TUSD BE'!$X$66*'TUSD BF'!$X$78</f>
        <v>0</v>
      </c>
      <c r="Y66" s="30">
        <f>'TUSD BE'!$Y$66*'TUSD BF'!$Y$78</f>
        <v>0</v>
      </c>
      <c r="Z66" s="30">
        <f>'TUSD BE'!$Z$66*'TUSD BF'!$Z$78</f>
        <v>0</v>
      </c>
      <c r="AA66" s="30">
        <f>'TUSD BE'!$AA$66*'TUSD BF'!$AA$78</f>
        <v>0</v>
      </c>
      <c r="AB66" s="30">
        <f>SUM($U$66:$AA$66)</f>
        <v>2.7942275914564711</v>
      </c>
      <c r="AC66" s="30">
        <f>'TUSD BE'!$AC$66*'TUSD BF'!$AC$78</f>
        <v>0</v>
      </c>
      <c r="AD66" s="30">
        <f>SUM($AC$66:$AC$66)</f>
        <v>0</v>
      </c>
      <c r="AE66" s="30">
        <f ca="1">$AO$66*$AO$75</f>
        <v>0</v>
      </c>
      <c r="AF66" s="30">
        <f ca="1">$AP$66*$AP$75</f>
        <v>0</v>
      </c>
      <c r="AG66" s="30">
        <f ca="1">SUM($AE$66:$AF$66)</f>
        <v>0</v>
      </c>
      <c r="AH66" s="30">
        <f>'TUSD BE'!$AH$66*'TUSD BF'!$AH$78</f>
        <v>1.963519590895719</v>
      </c>
      <c r="AI66" s="30">
        <f>'TUSD BE'!$AI$66*'TUSD BF'!$AI$78</f>
        <v>6.9908450594698635E-2</v>
      </c>
      <c r="AJ66" s="30">
        <f ca="1">'TUSD BE'!$AJ$66*'TUSD BF'!$AJ$78</f>
        <v>0.58510648945417187</v>
      </c>
      <c r="AK66" s="30">
        <f ca="1">'TUSD BE'!$AK$66*'TUSD BF'!$AK$78</f>
        <v>0</v>
      </c>
      <c r="AL66" s="30">
        <f ca="1">SUM($AH$66:$AK$66)</f>
        <v>2.6185345309445895</v>
      </c>
      <c r="AM66" s="30">
        <f ca="1">SUMIF($L$4:$AL$4,"SUBTOTAL",$L$66:$AL$66)</f>
        <v>10.617928663752778</v>
      </c>
      <c r="AO66" s="36">
        <f ca="1">+'TUSD BE'!$T$66+'TUSD BE'!$AB$66+'TUSD BE'!$AD$66+'TUSD BE'!$AL$66</f>
        <v>730.78238659177589</v>
      </c>
      <c r="AP66" s="36">
        <f ca="1">+'TUSD BE'!$T$66+'TUSD BE'!$AB$66+'TUSD BE'!$AD$66+'TUSD BE'!$AL$66</f>
        <v>730.78238659177589</v>
      </c>
    </row>
    <row r="67" spans="1:42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>
        <f>'TUSD BE'!$L$67*'TUSD BF'!$L$78</f>
        <v>0.2718593937321544</v>
      </c>
      <c r="M67" s="30">
        <f>'TUSD BE'!$M$67*'TUSD BF'!$M$78</f>
        <v>0</v>
      </c>
      <c r="N67" s="30">
        <f ca="1">'TUSD BE'!$N$67*'TUSD BF'!$N$78</f>
        <v>0</v>
      </c>
      <c r="O67" s="30">
        <f>'TUSD BE'!$O$67*'TUSD BF'!$O$78</f>
        <v>0</v>
      </c>
      <c r="P67" s="30">
        <f>'TUSD BE'!$P$67*'TUSD BF'!$P$78</f>
        <v>0</v>
      </c>
      <c r="Q67" s="30">
        <f>'TUSD BE'!$Q$67*'TUSD BF'!$Q$78</f>
        <v>3.213901802213647</v>
      </c>
      <c r="R67" s="30">
        <f>'TUSD BE'!$R$67*'TUSD BF'!$R$78</f>
        <v>1.7194053454059157</v>
      </c>
      <c r="S67" s="30">
        <f>'TUSD BE'!$R$67*'TUSD BF'!$S$78</f>
        <v>0</v>
      </c>
      <c r="T67" s="30">
        <f ca="1">SUM($L$67:$S$67)</f>
        <v>5.2051665413517174</v>
      </c>
      <c r="U67" s="30">
        <f>'TUSD BE'!$U$67*'TUSD BF'!$U$78</f>
        <v>0.76699594144828409</v>
      </c>
      <c r="V67" s="30">
        <f>'TUSD BE'!$V$67*'TUSD BF'!$V$78</f>
        <v>0.16441758264940246</v>
      </c>
      <c r="W67" s="30">
        <f>'TUSD BE'!$W$67*'TUSD BF'!$W$78</f>
        <v>0</v>
      </c>
      <c r="X67" s="30">
        <f>'TUSD BE'!$X$67*'TUSD BF'!$X$78</f>
        <v>0</v>
      </c>
      <c r="Y67" s="30">
        <f>'TUSD BE'!$Y$67*'TUSD BF'!$Y$78</f>
        <v>0</v>
      </c>
      <c r="Z67" s="30">
        <f>'TUSD BE'!$Z$67*'TUSD BF'!$Z$78</f>
        <v>0</v>
      </c>
      <c r="AA67" s="30">
        <f>'TUSD BE'!$AA$67*'TUSD BF'!$AA$78</f>
        <v>0</v>
      </c>
      <c r="AB67" s="30">
        <f>SUM($U$67:$AA$67)</f>
        <v>0.93141352409768652</v>
      </c>
      <c r="AC67" s="30">
        <f>'TUSD BE'!$AC$67*'TUSD BF'!$AC$78</f>
        <v>0</v>
      </c>
      <c r="AD67" s="30">
        <f>SUM($AC$67:$AC$67)</f>
        <v>0</v>
      </c>
      <c r="AE67" s="30">
        <f ca="1">$AO$67*$AO$75</f>
        <v>0</v>
      </c>
      <c r="AF67" s="30">
        <f ca="1">$AP$67*$AP$75</f>
        <v>0</v>
      </c>
      <c r="AG67" s="30">
        <f ca="1">SUM($AE$67:$AF$67)</f>
        <v>0</v>
      </c>
      <c r="AH67" s="30">
        <f>'TUSD BE'!$AH$67*'TUSD BF'!$AH$78</f>
        <v>1.963519590895719</v>
      </c>
      <c r="AI67" s="30">
        <f>'TUSD BE'!$AI$67*'TUSD BF'!$AI$78</f>
        <v>6.9908450594698635E-2</v>
      </c>
      <c r="AJ67" s="30">
        <f ca="1">'TUSD BE'!$AJ$67*'TUSD BF'!$AJ$78</f>
        <v>0.58510648945417187</v>
      </c>
      <c r="AK67" s="30">
        <f ca="1">'TUSD BE'!$AK$67*'TUSD BF'!$AK$78</f>
        <v>0</v>
      </c>
      <c r="AL67" s="30">
        <f ca="1">SUM($AH$67:$AK$67)</f>
        <v>2.6185345309445895</v>
      </c>
      <c r="AM67" s="30">
        <f ca="1">SUMIF($L$4:$AL$4,"SUBTOTAL",$L$67:$AL$67)</f>
        <v>8.7551145963939927</v>
      </c>
      <c r="AO67" s="36">
        <f ca="1">+'TUSD BE'!$T$67+'TUSD BE'!$AB$67+'TUSD BE'!$AD$67+'TUSD BE'!$AL$67</f>
        <v>306.20337825350896</v>
      </c>
      <c r="AP67" s="36">
        <f ca="1">+'TUSD BE'!$T$67+'TUSD BE'!$AB$67+'TUSD BE'!$AD$67+'TUSD BE'!$AL$67</f>
        <v>306.20337825350896</v>
      </c>
    </row>
    <row r="68" spans="1:42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>
        <f>'TUSD BE'!$L$68*'TUSD BF'!$L$78</f>
        <v>0.2718593937321544</v>
      </c>
      <c r="M68" s="30">
        <f>'TUSD BE'!$M$68*'TUSD BF'!$M$78</f>
        <v>0</v>
      </c>
      <c r="N68" s="30">
        <f ca="1">'TUSD BE'!$N$68*'TUSD BF'!$N$78</f>
        <v>0</v>
      </c>
      <c r="O68" s="30">
        <f>'TUSD BE'!$O$68*'TUSD BF'!$O$78</f>
        <v>0</v>
      </c>
      <c r="P68" s="30">
        <f>'TUSD BE'!$P$68*'TUSD BF'!$P$78</f>
        <v>0</v>
      </c>
      <c r="Q68" s="30">
        <f>'TUSD BE'!$Q$68*'TUSD BF'!$Q$78</f>
        <v>3.213901802213647</v>
      </c>
      <c r="R68" s="30">
        <f>'TUSD BE'!$R$68*'TUSD BF'!$R$78</f>
        <v>1.7194053454059157</v>
      </c>
      <c r="S68" s="30">
        <f>'TUSD BE'!$R$68*'TUSD BF'!$S$78</f>
        <v>0</v>
      </c>
      <c r="T68" s="30">
        <f ca="1">SUM($L$68:$S$68)</f>
        <v>5.2051665413517174</v>
      </c>
      <c r="U68" s="30">
        <f>'TUSD BE'!$U$68*'TUSD BF'!$U$78</f>
        <v>1.179989069426532</v>
      </c>
      <c r="V68" s="30">
        <f>'TUSD BE'!$V$68*'TUSD BF'!$V$78</f>
        <v>0.25294630485490788</v>
      </c>
      <c r="W68" s="30">
        <f>'TUSD BE'!$W$68*'TUSD BF'!$W$78</f>
        <v>0</v>
      </c>
      <c r="X68" s="30">
        <f>'TUSD BE'!$X$68*'TUSD BF'!$X$78</f>
        <v>0</v>
      </c>
      <c r="Y68" s="30">
        <f>'TUSD BE'!$Y$68*'TUSD BF'!$Y$78</f>
        <v>0</v>
      </c>
      <c r="Z68" s="30">
        <f>'TUSD BE'!$Z$68*'TUSD BF'!$Z$78</f>
        <v>0</v>
      </c>
      <c r="AA68" s="30">
        <f>'TUSD BE'!$AA$68*'TUSD BF'!$AA$78</f>
        <v>0</v>
      </c>
      <c r="AB68" s="30">
        <f>SUM($U$68:$AA$68)</f>
        <v>1.4329353742814399</v>
      </c>
      <c r="AC68" s="30">
        <f>'TUSD BE'!$AC$68*'TUSD BF'!$AC$78</f>
        <v>0</v>
      </c>
      <c r="AD68" s="30">
        <f>SUM($AC$68:$AC$68)</f>
        <v>0</v>
      </c>
      <c r="AE68" s="30">
        <f ca="1">$AO$68*$AO$75</f>
        <v>0</v>
      </c>
      <c r="AF68" s="30">
        <f ca="1">$AP$68*$AP$75</f>
        <v>0</v>
      </c>
      <c r="AG68" s="30">
        <f ca="1">SUM($AE$68:$AF$68)</f>
        <v>0</v>
      </c>
      <c r="AH68" s="30">
        <f>'TUSD BE'!$AH$68*'TUSD BF'!$AH$78</f>
        <v>1.963519590895719</v>
      </c>
      <c r="AI68" s="30">
        <f>'TUSD BE'!$AI$68*'TUSD BF'!$AI$78</f>
        <v>6.9908450594698635E-2</v>
      </c>
      <c r="AJ68" s="30">
        <f ca="1">'TUSD BE'!$AJ$68*'TUSD BF'!$AJ$78</f>
        <v>0.58510648945417187</v>
      </c>
      <c r="AK68" s="30">
        <f ca="1">'TUSD BE'!$AK$68*'TUSD BF'!$AK$78</f>
        <v>0</v>
      </c>
      <c r="AL68" s="30">
        <f ca="1">SUM($AH$68:$AK$68)</f>
        <v>2.6185345309445895</v>
      </c>
      <c r="AM68" s="30">
        <f ca="1">SUMIF($L$4:$AL$4,"SUBTOTAL",$L$68:$AL$68)</f>
        <v>9.2566364465777475</v>
      </c>
      <c r="AO68" s="36">
        <f ca="1">+'TUSD BE'!$T$68+'TUSD BE'!$AB$68+'TUSD BE'!$AD$68+'TUSD BE'!$AL$68</f>
        <v>420.5131831177971</v>
      </c>
      <c r="AP68" s="36">
        <f ca="1">+'TUSD BE'!$T$68+'TUSD BE'!$AB$68+'TUSD BE'!$AD$68+'TUSD BE'!$AL$68</f>
        <v>420.5131831177971</v>
      </c>
    </row>
    <row r="69" spans="1:42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>
        <f>'TUSD BE'!$L$69*'TUSD BF'!$L$78</f>
        <v>0.2718593937321544</v>
      </c>
      <c r="M69" s="30">
        <f>'TUSD BE'!$M$69*'TUSD BF'!$M$78</f>
        <v>0</v>
      </c>
      <c r="N69" s="30">
        <f ca="1">'TUSD BE'!$N$69*'TUSD BF'!$N$78</f>
        <v>0</v>
      </c>
      <c r="O69" s="30">
        <f>'TUSD BE'!$O$69*'TUSD BF'!$O$78</f>
        <v>0</v>
      </c>
      <c r="P69" s="30">
        <f>'TUSD BE'!$P$69*'TUSD BF'!$P$78</f>
        <v>0</v>
      </c>
      <c r="Q69" s="30">
        <f>'TUSD BE'!$Q$69*'TUSD BF'!$Q$78</f>
        <v>3.213901802213647</v>
      </c>
      <c r="R69" s="30">
        <f>'TUSD BE'!$R$69*'TUSD BF'!$R$78</f>
        <v>1.7194053454059157</v>
      </c>
      <c r="S69" s="30">
        <f>'TUSD BE'!$R$69*'TUSD BF'!$S$78</f>
        <v>0</v>
      </c>
      <c r="T69" s="30">
        <f ca="1">SUM($L$69:$S$69)</f>
        <v>5.2051665413517174</v>
      </c>
      <c r="U69" s="30">
        <f>'TUSD BE'!$U$69*'TUSD BF'!$U$78</f>
        <v>1.179989069426532</v>
      </c>
      <c r="V69" s="30">
        <f>'TUSD BE'!$V$69*'TUSD BF'!$V$78</f>
        <v>0.25294630485490788</v>
      </c>
      <c r="W69" s="30">
        <f>'TUSD BE'!$W$69*'TUSD BF'!$W$78</f>
        <v>0</v>
      </c>
      <c r="X69" s="30">
        <f>'TUSD BE'!$X$69*'TUSD BF'!$X$78</f>
        <v>0</v>
      </c>
      <c r="Y69" s="30">
        <f>'TUSD BE'!$Y$69*'TUSD BF'!$Y$78</f>
        <v>0</v>
      </c>
      <c r="Z69" s="30">
        <f>'TUSD BE'!$Z$69*'TUSD BF'!$Z$78</f>
        <v>0</v>
      </c>
      <c r="AA69" s="30">
        <f>'TUSD BE'!$AA$69*'TUSD BF'!$AA$78</f>
        <v>0</v>
      </c>
      <c r="AB69" s="30">
        <f>SUM($U$69:$AA$69)</f>
        <v>1.4329353742814399</v>
      </c>
      <c r="AC69" s="30">
        <f>'TUSD BE'!$AC$69*'TUSD BF'!$AC$78</f>
        <v>0</v>
      </c>
      <c r="AD69" s="30">
        <f>SUM($AC$69:$AC$69)</f>
        <v>0</v>
      </c>
      <c r="AE69" s="30">
        <f ca="1">$AO$69*$AO$75</f>
        <v>0</v>
      </c>
      <c r="AF69" s="30">
        <f ca="1">$AP$69*$AP$75</f>
        <v>0</v>
      </c>
      <c r="AG69" s="30">
        <f ca="1">SUM($AE$69:$AF$69)</f>
        <v>0</v>
      </c>
      <c r="AH69" s="30">
        <f>'TUSD BE'!$AH$69*'TUSD BF'!$AH$78</f>
        <v>1.963519590895719</v>
      </c>
      <c r="AI69" s="30">
        <f>'TUSD BE'!$AI$69*'TUSD BF'!$AI$78</f>
        <v>6.9908450594698635E-2</v>
      </c>
      <c r="AJ69" s="30">
        <f ca="1">'TUSD BE'!$AJ$69*'TUSD BF'!$AJ$78</f>
        <v>0.58510648945417187</v>
      </c>
      <c r="AK69" s="30">
        <f ca="1">'TUSD BE'!$AK$69*'TUSD BF'!$AK$78</f>
        <v>0</v>
      </c>
      <c r="AL69" s="30">
        <f ca="1">SUM($AH$69:$AK$69)</f>
        <v>2.6185345309445895</v>
      </c>
      <c r="AM69" s="30">
        <f ca="1">SUMIF($L$4:$AL$4,"SUBTOTAL",$L$69:$AL$69)</f>
        <v>9.2566364465777475</v>
      </c>
      <c r="AO69" s="36">
        <f ca="1">+'TUSD BE'!$T$69+'TUSD BE'!$AB$69+'TUSD BE'!$AD$69+'TUSD BE'!$AL$69</f>
        <v>420.5131831177971</v>
      </c>
      <c r="AP69" s="36">
        <f ca="1">+'TUSD BE'!$T$69+'TUSD BE'!$AB$69+'TUSD BE'!$AD$69+'TUSD BE'!$AL$69</f>
        <v>420.5131831177971</v>
      </c>
    </row>
    <row r="70" spans="1:42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>
        <f>'TUSD BE'!$L$70*'TUSD BF'!$L$78</f>
        <v>0.14952266655268495</v>
      </c>
      <c r="M70" s="30">
        <f>'TUSD BE'!$M$70*'TUSD BF'!$M$78</f>
        <v>0</v>
      </c>
      <c r="N70" s="30">
        <f ca="1">'TUSD BE'!$N$70*'TUSD BF'!$N$78</f>
        <v>0</v>
      </c>
      <c r="O70" s="30">
        <f>'TUSD BE'!$O$70*'TUSD BF'!$O$78</f>
        <v>0</v>
      </c>
      <c r="P70" s="30">
        <f>'TUSD BE'!$P$70*'TUSD BF'!$P$78</f>
        <v>0</v>
      </c>
      <c r="Q70" s="30">
        <f>'TUSD BE'!$Q$70*'TUSD BF'!$Q$78</f>
        <v>1.767645991217506</v>
      </c>
      <c r="R70" s="30">
        <f>'TUSD BE'!$R$70*'TUSD BF'!$R$78</f>
        <v>0.94567293997325363</v>
      </c>
      <c r="S70" s="30">
        <f>'TUSD BE'!$R$70*'TUSD BF'!$S$78</f>
        <v>0</v>
      </c>
      <c r="T70" s="30">
        <f ca="1">SUM($L$70:$S$70)</f>
        <v>2.8628415977434445</v>
      </c>
      <c r="U70" s="30">
        <f>'TUSD BE'!$U$70*'TUSD BF'!$U$78</f>
        <v>0.64899398818459264</v>
      </c>
      <c r="V70" s="30">
        <f>'TUSD BE'!$V$70*'TUSD BF'!$V$78</f>
        <v>0.13912046767019934</v>
      </c>
      <c r="W70" s="30">
        <f>'TUSD BE'!$W$70*'TUSD BF'!$W$78</f>
        <v>0</v>
      </c>
      <c r="X70" s="30">
        <f>'TUSD BE'!$X$70*'TUSD BF'!$X$78</f>
        <v>0</v>
      </c>
      <c r="Y70" s="30">
        <f>'TUSD BE'!$Y$70*'TUSD BF'!$Y$78</f>
        <v>0</v>
      </c>
      <c r="Z70" s="30">
        <f>'TUSD BE'!$Z$70*'TUSD BF'!$Z$78</f>
        <v>0</v>
      </c>
      <c r="AA70" s="30">
        <f>'TUSD BE'!$AA$70*'TUSD BF'!$AA$78</f>
        <v>0</v>
      </c>
      <c r="AB70" s="30">
        <f>SUM($U$70:$AA$70)</f>
        <v>0.78811445585479201</v>
      </c>
      <c r="AC70" s="30">
        <f>'TUSD BE'!$AC$70*'TUSD BF'!$AC$78</f>
        <v>0</v>
      </c>
      <c r="AD70" s="30">
        <f>SUM($AC$70:$AC$70)</f>
        <v>0</v>
      </c>
      <c r="AE70" s="30">
        <f ca="1">$AO$70*$AO$75</f>
        <v>0</v>
      </c>
      <c r="AF70" s="30">
        <f ca="1">$AP$70*$AP$75</f>
        <v>0</v>
      </c>
      <c r="AG70" s="30">
        <f ca="1">SUM($AE$70:$AF$70)</f>
        <v>0</v>
      </c>
      <c r="AH70" s="30">
        <f>'TUSD BE'!$AH$70*'TUSD BF'!$AH$78</f>
        <v>1.0799357749926457</v>
      </c>
      <c r="AI70" s="30">
        <f>'TUSD BE'!$AI$70*'TUSD BF'!$AI$78</f>
        <v>3.8449647827084252E-2</v>
      </c>
      <c r="AJ70" s="30">
        <f ca="1">'TUSD BE'!$AJ$70*'TUSD BF'!$AJ$78</f>
        <v>0.32180856919979456</v>
      </c>
      <c r="AK70" s="30">
        <f ca="1">'TUSD BE'!$AK$70*'TUSD BF'!$AK$78</f>
        <v>0</v>
      </c>
      <c r="AL70" s="30">
        <f ca="1">SUM($AH$70:$AK$70)</f>
        <v>1.4401939920195244</v>
      </c>
      <c r="AM70" s="30">
        <f ca="1">SUMIF($L$4:$AL$4,"SUBTOTAL",$L$70:$AL$70)</f>
        <v>5.091150045617761</v>
      </c>
      <c r="AO70" s="36">
        <f ca="1">+'TUSD BE'!$T$70+'TUSD BE'!$AB$70+'TUSD BE'!$AD$70+'TUSD BE'!$AL$70</f>
        <v>231.28225071478846</v>
      </c>
      <c r="AP70" s="36">
        <f ca="1">+'TUSD BE'!$T$70+'TUSD BE'!$AB$70+'TUSD BE'!$AD$70+'TUSD BE'!$AL$70</f>
        <v>231.28225071478846</v>
      </c>
    </row>
    <row r="71" spans="1:42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>
        <f>'TUSD BE'!$L$71*'TUSD BF'!$L$78</f>
        <v>0.16311563623929265</v>
      </c>
      <c r="M71" s="30">
        <f>'TUSD BE'!$M$71*'TUSD BF'!$M$78</f>
        <v>0</v>
      </c>
      <c r="N71" s="30">
        <f ca="1">'TUSD BE'!$N$71*'TUSD BF'!$N$78</f>
        <v>0</v>
      </c>
      <c r="O71" s="30">
        <f>'TUSD BE'!$O$71*'TUSD BF'!$O$78</f>
        <v>0</v>
      </c>
      <c r="P71" s="30">
        <f>'TUSD BE'!$P$71*'TUSD BF'!$P$78</f>
        <v>0</v>
      </c>
      <c r="Q71" s="30">
        <f>'TUSD BE'!$Q$71*'TUSD BF'!$Q$78</f>
        <v>1.9283410813281883</v>
      </c>
      <c r="R71" s="30">
        <f>'TUSD BE'!$R$71*'TUSD BF'!$R$78</f>
        <v>1.0316432072435493</v>
      </c>
      <c r="S71" s="30">
        <f>'TUSD BE'!$R$71*'TUSD BF'!$S$78</f>
        <v>0</v>
      </c>
      <c r="T71" s="30">
        <f ca="1">SUM($L$71:$S$71)</f>
        <v>3.1230999248110303</v>
      </c>
      <c r="U71" s="30">
        <f>'TUSD BE'!$U$71*'TUSD BF'!$U$78</f>
        <v>0.70799344165591904</v>
      </c>
      <c r="V71" s="30">
        <f>'TUSD BE'!$V$71*'TUSD BF'!$V$78</f>
        <v>0.15176778291294471</v>
      </c>
      <c r="W71" s="30">
        <f>'TUSD BE'!$W$71*'TUSD BF'!$W$78</f>
        <v>0</v>
      </c>
      <c r="X71" s="30">
        <f>'TUSD BE'!$X$71*'TUSD BF'!$X$78</f>
        <v>0</v>
      </c>
      <c r="Y71" s="30">
        <f>'TUSD BE'!$Y$71*'TUSD BF'!$Y$78</f>
        <v>0</v>
      </c>
      <c r="Z71" s="30">
        <f>'TUSD BE'!$Z$71*'TUSD BF'!$Z$78</f>
        <v>0</v>
      </c>
      <c r="AA71" s="30">
        <f>'TUSD BE'!$AA$71*'TUSD BF'!$AA$78</f>
        <v>0</v>
      </c>
      <c r="AB71" s="30">
        <f>SUM($U$71:$AA$71)</f>
        <v>0.85976122456886372</v>
      </c>
      <c r="AC71" s="30">
        <f>'TUSD BE'!$AC$71*'TUSD BF'!$AC$78</f>
        <v>0</v>
      </c>
      <c r="AD71" s="30">
        <f>SUM($AC$71:$AC$71)</f>
        <v>0</v>
      </c>
      <c r="AE71" s="30">
        <f ca="1">$AO$71*$AO$75</f>
        <v>0</v>
      </c>
      <c r="AF71" s="30">
        <f ca="1">$AP$71*$AP$75</f>
        <v>0</v>
      </c>
      <c r="AG71" s="30">
        <f ca="1">SUM($AE$71:$AF$71)</f>
        <v>0</v>
      </c>
      <c r="AH71" s="30">
        <f>'TUSD BE'!$AH$71*'TUSD BF'!$AH$78</f>
        <v>1.1781117545374313</v>
      </c>
      <c r="AI71" s="30">
        <f>'TUSD BE'!$AI$71*'TUSD BF'!$AI$78</f>
        <v>4.1945070356819179E-2</v>
      </c>
      <c r="AJ71" s="30">
        <f ca="1">'TUSD BE'!$AJ$71*'TUSD BF'!$AJ$78</f>
        <v>0.35106389367250312</v>
      </c>
      <c r="AK71" s="30">
        <f ca="1">'TUSD BE'!$AK$71*'TUSD BF'!$AK$78</f>
        <v>0</v>
      </c>
      <c r="AL71" s="30">
        <f ca="1">SUM($AH$71:$AK$71)</f>
        <v>1.5711207185667537</v>
      </c>
      <c r="AM71" s="30">
        <f ca="1">SUMIF($L$4:$AL$4,"SUBTOTAL",$L$71:$AL$71)</f>
        <v>5.5539818679466482</v>
      </c>
      <c r="AO71" s="36">
        <f ca="1">+'TUSD BE'!$T$71+'TUSD BE'!$AB$71+'TUSD BE'!$AD$71+'TUSD BE'!$AL$71</f>
        <v>252.30790987067826</v>
      </c>
      <c r="AP71" s="36">
        <f ca="1">+'TUSD BE'!$T$71+'TUSD BE'!$AB$71+'TUSD BE'!$AD$71+'TUSD BE'!$AL$71</f>
        <v>252.30790987067826</v>
      </c>
    </row>
    <row r="73" spans="1:42" ht="11.25" customHeight="1" x14ac:dyDescent="0.25">
      <c r="K73" s="31" t="s">
        <v>957</v>
      </c>
      <c r="L73" s="30">
        <f>SUMPRODUCT($I$5:$I71,$L$5:$L71)</f>
        <v>597884.03521849692</v>
      </c>
      <c r="M73" s="30">
        <f>SUMPRODUCT($I$5:$I71,$M$5:$M71)</f>
        <v>0</v>
      </c>
      <c r="N73" s="30">
        <f ca="1">SUMPRODUCT($I$5:$I71,$N$5:$N71)</f>
        <v>0</v>
      </c>
      <c r="O73" s="30">
        <f>SUMPRODUCT($I$5:$I71,$O$5:$O71)</f>
        <v>0</v>
      </c>
      <c r="P73" s="30">
        <f>SUMPRODUCT($I$5:$I71,$P$5:$P71)</f>
        <v>0</v>
      </c>
      <c r="Q73" s="30">
        <f>SUMPRODUCT($I$5:$I71,$Q$5:$Q71)</f>
        <v>7068141.1884434093</v>
      </c>
      <c r="R73" s="30">
        <f>SUMPRODUCT($I$5:$I71,$R$5:$R71)</f>
        <v>4134879.6753578046</v>
      </c>
      <c r="S73" s="30">
        <f>SUMPRODUCT($I$5:$I71,$S$5:$S71)</f>
        <v>0</v>
      </c>
      <c r="T73" s="30">
        <f ca="1">SUMPRODUCT($I$5:$I71,$T$5:$T71)</f>
        <v>11800904.899019709</v>
      </c>
      <c r="U73" s="30">
        <f>SUMPRODUCT($I$5:$I71,$U$5:$U71)</f>
        <v>3714194.3638990577</v>
      </c>
      <c r="V73" s="30">
        <f>SUMPRODUCT($I$5:$I71,$V$5:$V71)</f>
        <v>784794.06328454753</v>
      </c>
      <c r="W73" s="30">
        <f>SUMPRODUCT($I$5:$I71,$W$5:$W71)</f>
        <v>0</v>
      </c>
      <c r="X73" s="30">
        <f>SUMPRODUCT($I$5:$I71,$X$5:$X71)</f>
        <v>0</v>
      </c>
      <c r="Y73" s="30">
        <f>SUMPRODUCT($I$5:$I71,$Y$5:$Y71)</f>
        <v>0</v>
      </c>
      <c r="Z73" s="30">
        <f>SUMPRODUCT($I$5:$I71,$Z$5:$Z71)</f>
        <v>0</v>
      </c>
      <c r="AA73" s="30">
        <f>SUMPRODUCT($I$5:$I71,$AA$5:$AA71)</f>
        <v>0</v>
      </c>
      <c r="AB73" s="30">
        <f>SUMPRODUCT($I$5:$I71,$AB$5:$AB71)</f>
        <v>4498988.4271836039</v>
      </c>
      <c r="AC73" s="30">
        <f>SUMPRODUCT($I$5:$I71,$AC$5:$AC71)</f>
        <v>0</v>
      </c>
      <c r="AD73" s="30">
        <f>SUMPRODUCT($I$5:$I71,$AD$5:$AD71)</f>
        <v>0</v>
      </c>
      <c r="AE73" s="30">
        <f ca="1">SUMPRODUCT($I$5:$I71,$AE$5:$AE71)</f>
        <v>0</v>
      </c>
      <c r="AF73" s="30">
        <f ca="1">SUMPRODUCT($I$5:$I71,$AF$5:$AF71)</f>
        <v>0</v>
      </c>
      <c r="AG73" s="30">
        <f ca="1">SUMPRODUCT($I$5:$I71,$AG$5:$AG71)</f>
        <v>0</v>
      </c>
      <c r="AH73" s="30">
        <f>SUMPRODUCT($I$5:$I71,$AH$5:$AH71)</f>
        <v>4177088.7737300559</v>
      </c>
      <c r="AI73" s="30">
        <f>SUMPRODUCT($I$5:$I71,$AI$5:$AI71)</f>
        <v>158650.9222663859</v>
      </c>
      <c r="AJ73" s="30">
        <f ca="1">SUMPRODUCT($I$5:$I71,$AJ$5:$AJ71)</f>
        <v>1389564.5355062918</v>
      </c>
      <c r="AK73" s="30">
        <f ca="1">SUMPRODUCT($I$5:$I71,$AK$5:$AK71)</f>
        <v>0</v>
      </c>
      <c r="AL73" s="30">
        <f ca="1">SUMPRODUCT($I$5:$I71,$AL$5:$AL71)</f>
        <v>5725304.2315027341</v>
      </c>
      <c r="AM73" s="30">
        <f ca="1">SUMPRODUCT($I$5:$I71,$AM$5:$AM71)</f>
        <v>22025197.557706051</v>
      </c>
      <c r="AO73" s="33">
        <f ca="1">SUMPRODUCT($I$5:$I71,$AO$5:$AO71)</f>
        <v>972123481.78390634</v>
      </c>
      <c r="AP73" s="33">
        <f ca="1">SUMPRODUCT($I$5:$I71,$AP$5:$AP71)</f>
        <v>980436706.79462659</v>
      </c>
    </row>
    <row r="74" spans="1:42" ht="11.25" customHeight="1" x14ac:dyDescent="0.25">
      <c r="K74" s="31" t="s">
        <v>899</v>
      </c>
      <c r="L74" s="30">
        <f>'TR TUSD'!$L$76</f>
        <v>9196083.9939750805</v>
      </c>
      <c r="M74" s="30">
        <f>'TR TUSD'!$M$76</f>
        <v>2819440.2570200874</v>
      </c>
      <c r="N74" s="30">
        <f>'TR TUSD'!$N$76</f>
        <v>7769668.5333095053</v>
      </c>
      <c r="O74" s="30">
        <f>'TR TUSD'!$O$76</f>
        <v>72430.71428571429</v>
      </c>
      <c r="P74" s="30">
        <f>'TR TUSD'!$P$76</f>
        <v>0</v>
      </c>
      <c r="Q74" s="30">
        <f>'TR TUSD'!$Q$76</f>
        <v>80903572.193443432</v>
      </c>
      <c r="R74" s="30">
        <f>'TR TUSD'!$R$76</f>
        <v>35275305.42148526</v>
      </c>
      <c r="S74" s="30">
        <f>'TR TUSD'!$S$76</f>
        <v>0</v>
      </c>
      <c r="T74" s="30">
        <f>'TR TUSD'!$T$76</f>
        <v>136036501.11351907</v>
      </c>
      <c r="U74" s="30">
        <f>'TR TUSD'!$U$76</f>
        <v>66354216.574999996</v>
      </c>
      <c r="V74" s="30">
        <f>'TR TUSD'!$V$76</f>
        <v>14020374.309999999</v>
      </c>
      <c r="W74" s="30">
        <f>'TR TUSD'!$W$76</f>
        <v>13787977.046372</v>
      </c>
      <c r="X74" s="30">
        <f>'TR TUSD'!$X$76</f>
        <v>0</v>
      </c>
      <c r="Y74" s="30">
        <f>'TR TUSD'!$Y$76</f>
        <v>0</v>
      </c>
      <c r="Z74" s="30">
        <f>'TR TUSD'!$Z$76</f>
        <v>0</v>
      </c>
      <c r="AA74" s="30">
        <f>'TR TUSD'!$AA$76</f>
        <v>0</v>
      </c>
      <c r="AB74" s="30">
        <f>'TR TUSD'!$AB$76</f>
        <v>94162567.931371987</v>
      </c>
      <c r="AC74" s="30">
        <f>'TR TUSD'!$AC$76</f>
        <v>672726400.49279642</v>
      </c>
      <c r="AD74" s="30">
        <f>'TR TUSD'!$AD$76</f>
        <v>672726400.49279642</v>
      </c>
      <c r="AE74" s="30">
        <f>'TR TUSD'!$AE$76</f>
        <v>0</v>
      </c>
      <c r="AF74" s="30">
        <f>'TR TUSD'!$AF$76</f>
        <v>0</v>
      </c>
      <c r="AG74" s="30">
        <f>'TR TUSD'!$AG$76</f>
        <v>0</v>
      </c>
      <c r="AH74" s="30">
        <f>'TR TUSD'!$AH$76</f>
        <v>57619491.4859313</v>
      </c>
      <c r="AI74" s="30">
        <f>'TR TUSD'!$AI$76</f>
        <v>2188458.5078138295</v>
      </c>
      <c r="AJ74" s="30">
        <f>'TR TUSD'!$AJ$76</f>
        <v>19167895.694794998</v>
      </c>
      <c r="AK74" s="30">
        <f>'TR TUSD'!$AK$76</f>
        <v>0</v>
      </c>
      <c r="AL74" s="30">
        <f>'TR TUSD'!$AL$76</f>
        <v>78975845.688540131</v>
      </c>
      <c r="AM74" s="30">
        <f>CUSTOS!$D$29</f>
        <v>981901315.22622764</v>
      </c>
      <c r="AO74" s="33">
        <f>$AE$76</f>
        <v>0</v>
      </c>
      <c r="AP74" s="33">
        <f>$AF$76</f>
        <v>0</v>
      </c>
    </row>
    <row r="75" spans="1:42" ht="11.25" customHeight="1" x14ac:dyDescent="0.25">
      <c r="K75" s="31" t="s">
        <v>900</v>
      </c>
      <c r="L75" s="30">
        <f>CUSTOS!$E$2</f>
        <v>-947132.87540617387</v>
      </c>
      <c r="M75" s="30">
        <f>CUSTOS!$E$3</f>
        <v>-105920.11826814646</v>
      </c>
      <c r="N75" s="30">
        <f>CUSTOS!$E$4</f>
        <v>-3759.7021670353647</v>
      </c>
      <c r="O75" s="30">
        <f>CUSTOS!$E$5</f>
        <v>-2345.145174379415</v>
      </c>
      <c r="P75" s="30">
        <f>CUSTOS!$E$6</f>
        <v>0</v>
      </c>
      <c r="Q75" s="30">
        <f>CUSTOS!$E$7</f>
        <v>-1886172.7669576753</v>
      </c>
      <c r="R75" s="30">
        <f>CUSTOS!$E$8</f>
        <v>-1067406.6347898261</v>
      </c>
      <c r="S75" s="30">
        <f>CUSTOS!$E$9</f>
        <v>0</v>
      </c>
      <c r="T75" s="30">
        <f>CUSTOS!$E$10</f>
        <v>-4012737.2427632371</v>
      </c>
      <c r="U75" s="30">
        <f>CUSTOS!$E$11</f>
        <v>13547919.948633119</v>
      </c>
      <c r="V75" s="30">
        <f>CUSTOS!$E$12</f>
        <v>0</v>
      </c>
      <c r="W75" s="30">
        <f>CUSTOS!$E$13</f>
        <v>0</v>
      </c>
      <c r="X75" s="30">
        <f>CUSTOS!$E$14</f>
        <v>0</v>
      </c>
      <c r="Y75" s="30">
        <f>CUSTOS!$E$15</f>
        <v>0</v>
      </c>
      <c r="Z75" s="30">
        <f>CUSTOS!$E$16</f>
        <v>0</v>
      </c>
      <c r="AA75" s="30">
        <f>CUSTOS!$E$17</f>
        <v>0</v>
      </c>
      <c r="AB75" s="30">
        <f>CUSTOS!$E$18</f>
        <v>13547919.948633119</v>
      </c>
      <c r="AC75" s="30">
        <f>CUSTOS!$E$19</f>
        <v>37946865.750737622</v>
      </c>
      <c r="AD75" s="30">
        <f>CUSTOS!$E$20</f>
        <v>37946865.750737622</v>
      </c>
      <c r="AE75" s="30">
        <f>CUSTOS!$E$21</f>
        <v>-81038980.485481143</v>
      </c>
      <c r="AF75" s="30">
        <f>CUSTOS!$E$22</f>
        <v>0</v>
      </c>
      <c r="AG75" s="30">
        <f>CUSTOS!$E$23</f>
        <v>-81038980.485481143</v>
      </c>
      <c r="AH75" s="30">
        <f>CUSTOS!$E$24</f>
        <v>-4279028.37978708</v>
      </c>
      <c r="AI75" s="30">
        <f>CUSTOS!$E$25</f>
        <v>-162522.71273876732</v>
      </c>
      <c r="AJ75" s="30">
        <f>CUSTOS!$E$26</f>
        <v>-1423476.1110110257</v>
      </c>
      <c r="AK75" s="30">
        <f>CUSTOS!$E$27</f>
        <v>0</v>
      </c>
      <c r="AL75" s="30">
        <f>CUSTOS!$E$28</f>
        <v>-5865027.2035368728</v>
      </c>
      <c r="AM75" s="30">
        <f>CUSTOS!$E$29</f>
        <v>-39421959.232410513</v>
      </c>
      <c r="AO75" s="33">
        <f ca="1">IF(AO73&lt;&gt;0,AO74/AO73,0)</f>
        <v>0</v>
      </c>
      <c r="AP75" s="33">
        <f ca="1">IF(AP73&lt;&gt;0,AP74/AP73,0)</f>
        <v>0</v>
      </c>
    </row>
    <row r="76" spans="1:42" ht="11.25" customHeight="1" x14ac:dyDescent="0.25">
      <c r="K76" s="31" t="s">
        <v>901</v>
      </c>
      <c r="L76" s="30">
        <f>CUSTOS!$F$2</f>
        <v>597884.03521849692</v>
      </c>
      <c r="M76" s="30">
        <f>CUSTOS!$F$3</f>
        <v>0</v>
      </c>
      <c r="N76" s="30">
        <f>CUSTOS!$F$4</f>
        <v>0</v>
      </c>
      <c r="O76" s="30">
        <f>CUSTOS!$F$5</f>
        <v>0</v>
      </c>
      <c r="P76" s="30">
        <f>CUSTOS!$F$6</f>
        <v>0</v>
      </c>
      <c r="Q76" s="30">
        <f>CUSTOS!$F$7</f>
        <v>7068141.1884434102</v>
      </c>
      <c r="R76" s="30">
        <f>CUSTOS!$F$8</f>
        <v>4134879.6753578046</v>
      </c>
      <c r="S76" s="30">
        <f>CUSTOS!$F$9</f>
        <v>0</v>
      </c>
      <c r="T76" s="30">
        <f>CUSTOS!$F$10</f>
        <v>11800904.899019711</v>
      </c>
      <c r="U76" s="30">
        <f>CUSTOS!$F$11</f>
        <v>3714194.3638990573</v>
      </c>
      <c r="V76" s="30">
        <f>CUSTOS!$F$12</f>
        <v>784794.06328454765</v>
      </c>
      <c r="W76" s="30">
        <f>CUSTOS!$F$13</f>
        <v>0</v>
      </c>
      <c r="X76" s="30">
        <f>CUSTOS!$F$14</f>
        <v>0</v>
      </c>
      <c r="Y76" s="30">
        <f>CUSTOS!$F$15</f>
        <v>0</v>
      </c>
      <c r="Z76" s="30">
        <f>CUSTOS!$F$16</f>
        <v>0</v>
      </c>
      <c r="AA76" s="30">
        <f>CUSTOS!$F$17</f>
        <v>0</v>
      </c>
      <c r="AB76" s="30">
        <f>CUSTOS!$F$18</f>
        <v>4498988.4271836048</v>
      </c>
      <c r="AC76" s="30">
        <f>CUSTOS!$F$19</f>
        <v>0</v>
      </c>
      <c r="AD76" s="30">
        <f>CUSTOS!$F$20</f>
        <v>0</v>
      </c>
      <c r="AE76" s="30">
        <f>CUSTOS!$F$21</f>
        <v>0</v>
      </c>
      <c r="AF76" s="30">
        <f>CUSTOS!$F$22</f>
        <v>0</v>
      </c>
      <c r="AG76" s="30">
        <f>CUSTOS!$F$23</f>
        <v>0</v>
      </c>
      <c r="AH76" s="30">
        <f>CUSTOS!$F$24</f>
        <v>4177088.773730055</v>
      </c>
      <c r="AI76" s="30">
        <f>CUSTOS!$F$25</f>
        <v>158650.92226638595</v>
      </c>
      <c r="AJ76" s="30">
        <f>CUSTOS!$F$26</f>
        <v>1389564.5355062915</v>
      </c>
      <c r="AK76" s="30">
        <f>CUSTOS!$F$27</f>
        <v>0</v>
      </c>
      <c r="AL76" s="30">
        <f>CUSTOS!$F$28</f>
        <v>5725304.2315027323</v>
      </c>
      <c r="AM76" s="30">
        <f>CUSTOS!$F$29</f>
        <v>22025197.557706051</v>
      </c>
    </row>
    <row r="77" spans="1:42" ht="11.25" customHeight="1" x14ac:dyDescent="0.25">
      <c r="K77" s="31" t="s">
        <v>954</v>
      </c>
      <c r="L77" s="30">
        <v>0</v>
      </c>
      <c r="M77" s="30">
        <f>5104.4761*(1+CUSTOS!$M$4)</f>
        <v>5858.4338554054148</v>
      </c>
      <c r="N77" s="30">
        <f>12634.8415*(1+CUSTOS!$M$4)</f>
        <v>14501.073518843852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/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/>
      <c r="AC77" s="30">
        <f>1258379.6793*(1+CUSTOS!$M$4)</f>
        <v>1444248.9242265879</v>
      </c>
      <c r="AD77" s="30"/>
      <c r="AE77" s="30">
        <v>0</v>
      </c>
      <c r="AF77" s="30">
        <v>0</v>
      </c>
      <c r="AG77" s="30"/>
      <c r="AH77" s="30">
        <v>0</v>
      </c>
      <c r="AI77" s="30">
        <v>0</v>
      </c>
      <c r="AJ77" s="30">
        <v>0</v>
      </c>
      <c r="AK77" s="30">
        <v>0</v>
      </c>
      <c r="AL77" s="30"/>
      <c r="AM77" s="30"/>
    </row>
    <row r="83" spans="11:39" ht="11.25" customHeight="1" x14ac:dyDescent="0.25">
      <c r="K83" s="31" t="s">
        <v>950</v>
      </c>
      <c r="L83" s="30"/>
      <c r="M83" s="30">
        <v>5858.4339</v>
      </c>
      <c r="N83" s="30">
        <v>14501.0735</v>
      </c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>
        <v>1444248.9242</v>
      </c>
      <c r="AD83" s="30"/>
      <c r="AE83" s="30"/>
      <c r="AF83" s="30"/>
      <c r="AG83" s="30"/>
      <c r="AH83" s="30"/>
      <c r="AI83" s="30"/>
      <c r="AJ83" s="30"/>
      <c r="AK83" s="30"/>
      <c r="AL83" s="30"/>
      <c r="AM83" s="30"/>
    </row>
  </sheetData>
  <mergeCells count="92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F9:F11"/>
    <mergeCell ref="F5:F7"/>
    <mergeCell ref="B9:B11"/>
    <mergeCell ref="A5:A12"/>
    <mergeCell ref="B5:B8"/>
    <mergeCell ref="C5:C8"/>
    <mergeCell ref="D5:D8"/>
    <mergeCell ref="E5:E7"/>
    <mergeCell ref="B13:B16"/>
    <mergeCell ref="C13:C16"/>
    <mergeCell ref="D13:D16"/>
    <mergeCell ref="E13:E15"/>
    <mergeCell ref="A1:A4"/>
    <mergeCell ref="C9:C11"/>
    <mergeCell ref="D9:D11"/>
    <mergeCell ref="E9:E11"/>
    <mergeCell ref="B1:B4"/>
    <mergeCell ref="C1:C4"/>
    <mergeCell ref="D1:D4"/>
    <mergeCell ref="E1:E4"/>
    <mergeCell ref="E17:E28"/>
    <mergeCell ref="F17:F19"/>
    <mergeCell ref="F20:F22"/>
    <mergeCell ref="F23:F25"/>
    <mergeCell ref="F26:F28"/>
    <mergeCell ref="F30:F32"/>
    <mergeCell ref="E33:E34"/>
    <mergeCell ref="F33:F34"/>
    <mergeCell ref="A35:A36"/>
    <mergeCell ref="B35:B36"/>
    <mergeCell ref="C35:C36"/>
    <mergeCell ref="D35:D36"/>
    <mergeCell ref="A13:A34"/>
    <mergeCell ref="B30:B34"/>
    <mergeCell ref="C30:C34"/>
    <mergeCell ref="D30:D34"/>
    <mergeCell ref="E30:E32"/>
    <mergeCell ref="F13:F15"/>
    <mergeCell ref="B17:B28"/>
    <mergeCell ref="C17:C28"/>
    <mergeCell ref="D17:D28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D58:D60"/>
    <mergeCell ref="E58:E60"/>
    <mergeCell ref="F58:F60"/>
    <mergeCell ref="D50:D52"/>
    <mergeCell ref="E50:E52"/>
    <mergeCell ref="F50:F52"/>
    <mergeCell ref="D54:D56"/>
    <mergeCell ref="E54:E56"/>
    <mergeCell ref="F54:F56"/>
    <mergeCell ref="B62:B64"/>
    <mergeCell ref="C62:C64"/>
    <mergeCell ref="A65:A69"/>
    <mergeCell ref="B65:B67"/>
    <mergeCell ref="C65:C67"/>
    <mergeCell ref="A50:A64"/>
    <mergeCell ref="B50:B52"/>
    <mergeCell ref="C50:C52"/>
    <mergeCell ref="B58:B60"/>
    <mergeCell ref="C58:C60"/>
    <mergeCell ref="B54:B56"/>
    <mergeCell ref="C54:C56"/>
    <mergeCell ref="E65:E67"/>
    <mergeCell ref="F65:F67"/>
    <mergeCell ref="A70:A71"/>
    <mergeCell ref="B70:B71"/>
    <mergeCell ref="C70:C71"/>
    <mergeCell ref="D65:D67"/>
  </mergeCells>
  <conditionalFormatting sqref="L73">
    <cfRule type="cellIs" dxfId="1529" priority="55" operator="notEqual">
      <formula>$L$76</formula>
    </cfRule>
    <cfRule type="cellIs" dxfId="1528" priority="56" operator="equal">
      <formula>$L$76</formula>
    </cfRule>
  </conditionalFormatting>
  <conditionalFormatting sqref="M73">
    <cfRule type="cellIs" dxfId="1527" priority="53" operator="notEqual">
      <formula>$M$76</formula>
    </cfRule>
    <cfRule type="cellIs" dxfId="1526" priority="54" operator="equal">
      <formula>$M$76</formula>
    </cfRule>
  </conditionalFormatting>
  <conditionalFormatting sqref="N73">
    <cfRule type="cellIs" dxfId="1525" priority="51" operator="notEqual">
      <formula>$N$76</formula>
    </cfRule>
    <cfRule type="cellIs" dxfId="1524" priority="52" operator="equal">
      <formula>$N$76</formula>
    </cfRule>
  </conditionalFormatting>
  <conditionalFormatting sqref="O73">
    <cfRule type="cellIs" dxfId="1523" priority="49" operator="notEqual">
      <formula>$O$76</formula>
    </cfRule>
    <cfRule type="cellIs" dxfId="1522" priority="50" operator="equal">
      <formula>$O$76</formula>
    </cfRule>
  </conditionalFormatting>
  <conditionalFormatting sqref="P73">
    <cfRule type="cellIs" dxfId="1521" priority="47" operator="notEqual">
      <formula>$P$76</formula>
    </cfRule>
    <cfRule type="cellIs" dxfId="1520" priority="48" operator="equal">
      <formula>$P$76</formula>
    </cfRule>
  </conditionalFormatting>
  <conditionalFormatting sqref="Q73">
    <cfRule type="cellIs" dxfId="1519" priority="45" operator="notEqual">
      <formula>$Q$76</formula>
    </cfRule>
    <cfRule type="cellIs" dxfId="1518" priority="46" operator="equal">
      <formula>$Q$76</formula>
    </cfRule>
  </conditionalFormatting>
  <conditionalFormatting sqref="R73">
    <cfRule type="cellIs" dxfId="1517" priority="43" operator="notEqual">
      <formula>$R$76</formula>
    </cfRule>
    <cfRule type="cellIs" dxfId="1516" priority="44" operator="equal">
      <formula>$R$76</formula>
    </cfRule>
  </conditionalFormatting>
  <conditionalFormatting sqref="S73">
    <cfRule type="cellIs" dxfId="1515" priority="41" operator="notEqual">
      <formula>$S$76</formula>
    </cfRule>
    <cfRule type="cellIs" dxfId="1514" priority="42" operator="equal">
      <formula>$S$76</formula>
    </cfRule>
  </conditionalFormatting>
  <conditionalFormatting sqref="T73">
    <cfRule type="cellIs" dxfId="1513" priority="39" operator="notEqual">
      <formula>$T$76</formula>
    </cfRule>
    <cfRule type="cellIs" dxfId="1512" priority="40" operator="equal">
      <formula>$T$76</formula>
    </cfRule>
  </conditionalFormatting>
  <conditionalFormatting sqref="U73">
    <cfRule type="cellIs" dxfId="1511" priority="37" operator="notEqual">
      <formula>$U$76</formula>
    </cfRule>
    <cfRule type="cellIs" dxfId="1510" priority="38" operator="equal">
      <formula>$U$76</formula>
    </cfRule>
  </conditionalFormatting>
  <conditionalFormatting sqref="V73">
    <cfRule type="cellIs" dxfId="1509" priority="35" operator="notEqual">
      <formula>$V$76</formula>
    </cfRule>
    <cfRule type="cellIs" dxfId="1508" priority="36" operator="equal">
      <formula>$V$76</formula>
    </cfRule>
  </conditionalFormatting>
  <conditionalFormatting sqref="W73">
    <cfRule type="cellIs" dxfId="1507" priority="33" operator="notEqual">
      <formula>$W$76</formula>
    </cfRule>
    <cfRule type="cellIs" dxfId="1506" priority="34" operator="equal">
      <formula>$W$76</formula>
    </cfRule>
  </conditionalFormatting>
  <conditionalFormatting sqref="X73">
    <cfRule type="cellIs" dxfId="1505" priority="31" operator="notEqual">
      <formula>$X$76</formula>
    </cfRule>
    <cfRule type="cellIs" dxfId="1504" priority="32" operator="equal">
      <formula>$X$76</formula>
    </cfRule>
  </conditionalFormatting>
  <conditionalFormatting sqref="Y73">
    <cfRule type="cellIs" dxfId="1503" priority="29" operator="notEqual">
      <formula>$Y$76</formula>
    </cfRule>
    <cfRule type="cellIs" dxfId="1502" priority="30" operator="equal">
      <formula>$Y$76</formula>
    </cfRule>
  </conditionalFormatting>
  <conditionalFormatting sqref="Z73">
    <cfRule type="cellIs" dxfId="1501" priority="27" operator="notEqual">
      <formula>$Z$76</formula>
    </cfRule>
    <cfRule type="cellIs" dxfId="1500" priority="28" operator="equal">
      <formula>$Z$76</formula>
    </cfRule>
  </conditionalFormatting>
  <conditionalFormatting sqref="AA73">
    <cfRule type="cellIs" dxfId="1499" priority="25" operator="notEqual">
      <formula>$AA$76</formula>
    </cfRule>
    <cfRule type="cellIs" dxfId="1498" priority="26" operator="equal">
      <formula>$AA$76</formula>
    </cfRule>
  </conditionalFormatting>
  <conditionalFormatting sqref="AB73">
    <cfRule type="cellIs" dxfId="1497" priority="23" operator="notEqual">
      <formula>$AB$76</formula>
    </cfRule>
    <cfRule type="cellIs" dxfId="1496" priority="24" operator="equal">
      <formula>$AB$76</formula>
    </cfRule>
  </conditionalFormatting>
  <conditionalFormatting sqref="AC73">
    <cfRule type="cellIs" dxfId="1495" priority="21" operator="notEqual">
      <formula>$AC$76</formula>
    </cfRule>
    <cfRule type="cellIs" dxfId="1494" priority="22" operator="equal">
      <formula>$AC$76</formula>
    </cfRule>
  </conditionalFormatting>
  <conditionalFormatting sqref="AD73">
    <cfRule type="cellIs" dxfId="1493" priority="19" operator="notEqual">
      <formula>$AD$76</formula>
    </cfRule>
    <cfRule type="cellIs" dxfId="1492" priority="20" operator="equal">
      <formula>$AD$76</formula>
    </cfRule>
  </conditionalFormatting>
  <conditionalFormatting sqref="AE73">
    <cfRule type="cellIs" dxfId="1491" priority="17" operator="notEqual">
      <formula>$AE$76</formula>
    </cfRule>
    <cfRule type="cellIs" dxfId="1490" priority="18" operator="equal">
      <formula>$AE$76</formula>
    </cfRule>
  </conditionalFormatting>
  <conditionalFormatting sqref="AF73">
    <cfRule type="cellIs" dxfId="1489" priority="16" operator="equal">
      <formula>$AF$76</formula>
    </cfRule>
  </conditionalFormatting>
  <conditionalFormatting sqref="AF73">
    <cfRule type="cellIs" dxfId="1488" priority="15" operator="notEqual">
      <formula>$AF$76</formula>
    </cfRule>
  </conditionalFormatting>
  <conditionalFormatting sqref="AG73">
    <cfRule type="cellIs" dxfId="1487" priority="14" operator="equal">
      <formula>$AG$76</formula>
    </cfRule>
  </conditionalFormatting>
  <conditionalFormatting sqref="AG73">
    <cfRule type="cellIs" dxfId="1486" priority="13" operator="notEqual">
      <formula>$AG$76</formula>
    </cfRule>
  </conditionalFormatting>
  <conditionalFormatting sqref="AH73">
    <cfRule type="cellIs" dxfId="1485" priority="12" operator="equal">
      <formula>$AH$76</formula>
    </cfRule>
  </conditionalFormatting>
  <conditionalFormatting sqref="AH73">
    <cfRule type="cellIs" dxfId="1484" priority="11" operator="notEqual">
      <formula>$AH$76</formula>
    </cfRule>
  </conditionalFormatting>
  <conditionalFormatting sqref="AI73">
    <cfRule type="cellIs" dxfId="1483" priority="10" operator="equal">
      <formula>$AI$76</formula>
    </cfRule>
  </conditionalFormatting>
  <conditionalFormatting sqref="AI73">
    <cfRule type="cellIs" dxfId="1482" priority="9" operator="notEqual">
      <formula>$AI$76</formula>
    </cfRule>
  </conditionalFormatting>
  <conditionalFormatting sqref="AJ73">
    <cfRule type="cellIs" dxfId="1481" priority="8" operator="equal">
      <formula>$AJ$76</formula>
    </cfRule>
  </conditionalFormatting>
  <conditionalFormatting sqref="AJ73">
    <cfRule type="cellIs" dxfId="1480" priority="7" operator="notEqual">
      <formula>$AJ$76</formula>
    </cfRule>
  </conditionalFormatting>
  <conditionalFormatting sqref="AK73">
    <cfRule type="cellIs" dxfId="1479" priority="6" operator="equal">
      <formula>$AK$76</formula>
    </cfRule>
  </conditionalFormatting>
  <conditionalFormatting sqref="AK73">
    <cfRule type="cellIs" dxfId="1478" priority="5" operator="notEqual">
      <formula>$AK$76</formula>
    </cfRule>
  </conditionalFormatting>
  <conditionalFormatting sqref="AL73">
    <cfRule type="cellIs" dxfId="1477" priority="4" operator="equal">
      <formula>$AL$76</formula>
    </cfRule>
  </conditionalFormatting>
  <conditionalFormatting sqref="AL73">
    <cfRule type="cellIs" dxfId="1476" priority="3" operator="notEqual">
      <formula>$AL$76</formula>
    </cfRule>
  </conditionalFormatting>
  <conditionalFormatting sqref="AM73">
    <cfRule type="cellIs" dxfId="1475" priority="2" operator="equal">
      <formula>$AM$76</formula>
    </cfRule>
  </conditionalFormatting>
  <conditionalFormatting sqref="AM73">
    <cfRule type="cellIs" dxfId="1474" priority="1" operator="notEqual">
      <formula>$AM$76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A7C45-2F98-4C94-9D8E-62220774676B}">
  <dimension ref="A1:AA58"/>
  <sheetViews>
    <sheetView showGridLines="0" topLeftCell="A31" workbookViewId="0">
      <selection activeCell="K52" sqref="K52:AA58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1.42578125" style="9" bestFit="1" customWidth="1"/>
    <col min="25" max="25" width="11" style="9" bestFit="1" customWidth="1"/>
    <col min="26" max="26" width="10.85546875" style="9" bestFit="1" customWidth="1"/>
    <col min="27" max="27" width="12.28515625" style="9" bestFit="1" customWidth="1"/>
    <col min="28" max="16384" width="9.140625" style="9"/>
  </cols>
  <sheetData>
    <row r="1" spans="1:27" ht="11.25" customHeight="1" x14ac:dyDescent="0.25">
      <c r="A1" s="113" t="s">
        <v>83</v>
      </c>
      <c r="B1" s="113" t="s">
        <v>84</v>
      </c>
      <c r="C1" s="113" t="s">
        <v>85</v>
      </c>
      <c r="D1" s="113" t="s">
        <v>86</v>
      </c>
      <c r="E1" s="113" t="s">
        <v>87</v>
      </c>
      <c r="F1" s="113" t="s">
        <v>15</v>
      </c>
      <c r="G1" s="113" t="s">
        <v>89</v>
      </c>
      <c r="H1" s="113" t="s">
        <v>90</v>
      </c>
      <c r="I1" s="113" t="s">
        <v>947</v>
      </c>
      <c r="J1" s="102"/>
      <c r="L1" s="114" t="s">
        <v>963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02"/>
      <c r="L2" s="114" t="s">
        <v>886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02"/>
      <c r="L3" s="114" t="s">
        <v>859</v>
      </c>
      <c r="M3" s="114"/>
      <c r="N3" s="114"/>
      <c r="O3" s="114"/>
      <c r="P3" s="114"/>
      <c r="Q3" s="114" t="s">
        <v>889</v>
      </c>
      <c r="R3" s="114"/>
      <c r="S3" s="114" t="s">
        <v>868</v>
      </c>
      <c r="T3" s="114"/>
      <c r="U3" s="114"/>
      <c r="V3" s="114"/>
      <c r="W3" s="114" t="s">
        <v>878</v>
      </c>
      <c r="X3" s="114"/>
      <c r="Y3" s="114" t="s">
        <v>881</v>
      </c>
      <c r="Z3" s="114"/>
      <c r="AA3" s="114" t="s">
        <v>867</v>
      </c>
    </row>
    <row r="4" spans="1:27" ht="11.25" customHeight="1" x14ac:dyDescent="0.25">
      <c r="A4" s="113"/>
      <c r="B4" s="113"/>
      <c r="C4" s="113"/>
      <c r="D4" s="113"/>
      <c r="E4" s="113"/>
      <c r="F4" s="113"/>
      <c r="G4" s="113"/>
      <c r="H4" s="113"/>
      <c r="I4" s="113"/>
      <c r="J4" s="102"/>
      <c r="L4" s="40" t="s">
        <v>861</v>
      </c>
      <c r="M4" s="40" t="s">
        <v>887</v>
      </c>
      <c r="N4" s="40" t="s">
        <v>888</v>
      </c>
      <c r="O4" s="40" t="s">
        <v>946</v>
      </c>
      <c r="P4" s="40" t="s">
        <v>867</v>
      </c>
      <c r="Q4" s="40" t="s">
        <v>890</v>
      </c>
      <c r="R4" s="40" t="s">
        <v>867</v>
      </c>
      <c r="S4" s="40" t="s">
        <v>891</v>
      </c>
      <c r="T4" s="40" t="s">
        <v>892</v>
      </c>
      <c r="U4" s="40" t="s">
        <v>893</v>
      </c>
      <c r="V4" s="40" t="s">
        <v>867</v>
      </c>
      <c r="W4" s="40" t="s">
        <v>879</v>
      </c>
      <c r="X4" s="40" t="s">
        <v>867</v>
      </c>
      <c r="Y4" s="40" t="s">
        <v>894</v>
      </c>
      <c r="Z4" s="40" t="s">
        <v>867</v>
      </c>
      <c r="AA4" s="115"/>
    </row>
    <row r="5" spans="1:27" ht="11.25" customHeight="1" x14ac:dyDescent="0.25">
      <c r="A5" s="112" t="s">
        <v>39</v>
      </c>
      <c r="B5" s="112" t="s">
        <v>92</v>
      </c>
      <c r="C5" s="112" t="s">
        <v>25</v>
      </c>
      <c r="D5" s="112" t="s">
        <v>25</v>
      </c>
      <c r="E5" s="112" t="s">
        <v>25</v>
      </c>
      <c r="F5" s="112" t="s">
        <v>25</v>
      </c>
      <c r="G5" s="38" t="s">
        <v>94</v>
      </c>
      <c r="H5" s="38" t="s">
        <v>93</v>
      </c>
      <c r="I5" s="38">
        <f>'MERCADO TE'!$U$2</f>
        <v>4826.8779999999997</v>
      </c>
      <c r="J5" s="15"/>
      <c r="L5" s="36">
        <v>1</v>
      </c>
      <c r="M5" s="36">
        <v>1</v>
      </c>
      <c r="N5" s="36">
        <v>1</v>
      </c>
      <c r="O5" s="36">
        <v>1</v>
      </c>
      <c r="P5" s="36"/>
      <c r="Q5" s="36">
        <v>1.72</v>
      </c>
      <c r="R5" s="36"/>
      <c r="S5" s="36">
        <v>1</v>
      </c>
      <c r="T5" s="36">
        <v>1</v>
      </c>
      <c r="U5" s="36">
        <v>1</v>
      </c>
      <c r="V5" s="36"/>
      <c r="W5" s="36"/>
      <c r="X5" s="36"/>
      <c r="Y5" s="36">
        <v>1</v>
      </c>
      <c r="Z5" s="36"/>
      <c r="AA5" s="36"/>
    </row>
    <row r="6" spans="1:27" ht="11.25" customHeight="1" x14ac:dyDescent="0.25">
      <c r="A6" s="112"/>
      <c r="B6" s="112"/>
      <c r="C6" s="112"/>
      <c r="D6" s="112"/>
      <c r="E6" s="112"/>
      <c r="F6" s="112"/>
      <c r="G6" s="38" t="s">
        <v>95</v>
      </c>
      <c r="H6" s="38" t="s">
        <v>93</v>
      </c>
      <c r="I6" s="38">
        <f>'MERCADO TE'!$U$3</f>
        <v>85647.175000000017</v>
      </c>
      <c r="J6" s="15"/>
      <c r="L6" s="36">
        <v>1</v>
      </c>
      <c r="M6" s="36">
        <v>1</v>
      </c>
      <c r="N6" s="36">
        <v>1</v>
      </c>
      <c r="O6" s="36">
        <v>1</v>
      </c>
      <c r="P6" s="36"/>
      <c r="Q6" s="36">
        <v>1</v>
      </c>
      <c r="R6" s="36"/>
      <c r="S6" s="36">
        <v>1</v>
      </c>
      <c r="T6" s="36">
        <v>1</v>
      </c>
      <c r="U6" s="36">
        <v>1</v>
      </c>
      <c r="V6" s="36"/>
      <c r="W6" s="36"/>
      <c r="X6" s="36"/>
      <c r="Y6" s="36">
        <v>1</v>
      </c>
      <c r="Z6" s="36"/>
      <c r="AA6" s="36"/>
    </row>
    <row r="7" spans="1:27" ht="11.25" customHeight="1" x14ac:dyDescent="0.25">
      <c r="A7" s="112"/>
      <c r="B7" s="39" t="s">
        <v>96</v>
      </c>
      <c r="C7" s="39" t="s">
        <v>25</v>
      </c>
      <c r="D7" s="39" t="s">
        <v>25</v>
      </c>
      <c r="E7" s="39" t="s">
        <v>97</v>
      </c>
      <c r="F7" s="39" t="s">
        <v>25</v>
      </c>
      <c r="G7" s="38" t="s">
        <v>98</v>
      </c>
      <c r="H7" s="38" t="s">
        <v>93</v>
      </c>
      <c r="I7" s="38">
        <f>'MERCADO TE'!$U$4</f>
        <v>285935.57</v>
      </c>
      <c r="J7" s="15"/>
      <c r="L7" s="36">
        <v>1</v>
      </c>
      <c r="M7" s="36">
        <v>1</v>
      </c>
      <c r="N7" s="36">
        <v>1</v>
      </c>
      <c r="O7" s="36">
        <v>1</v>
      </c>
      <c r="P7" s="36"/>
      <c r="Q7" s="36">
        <v>1.06</v>
      </c>
      <c r="R7" s="36"/>
      <c r="S7" s="36">
        <v>1</v>
      </c>
      <c r="T7" s="36">
        <v>1</v>
      </c>
      <c r="U7" s="36">
        <v>1</v>
      </c>
      <c r="V7" s="36"/>
      <c r="W7" s="36"/>
      <c r="X7" s="36"/>
      <c r="Y7" s="36">
        <v>1</v>
      </c>
      <c r="Z7" s="36"/>
      <c r="AA7" s="36"/>
    </row>
    <row r="8" spans="1:27" ht="11.25" customHeight="1" x14ac:dyDescent="0.25">
      <c r="A8" s="112"/>
      <c r="B8" s="39" t="s">
        <v>102</v>
      </c>
      <c r="C8" s="39" t="s">
        <v>25</v>
      </c>
      <c r="D8" s="39" t="s">
        <v>25</v>
      </c>
      <c r="E8" s="39" t="s">
        <v>97</v>
      </c>
      <c r="F8" s="39" t="s">
        <v>25</v>
      </c>
      <c r="G8" s="38" t="s">
        <v>98</v>
      </c>
      <c r="H8" s="38" t="s">
        <v>93</v>
      </c>
      <c r="I8" s="38">
        <f>'MERCADO TE'!$U$5</f>
        <v>0</v>
      </c>
      <c r="J8" s="15"/>
      <c r="L8" s="36">
        <v>1</v>
      </c>
      <c r="M8" s="36">
        <v>1</v>
      </c>
      <c r="N8" s="36">
        <v>1</v>
      </c>
      <c r="O8" s="36">
        <v>1</v>
      </c>
      <c r="P8" s="36"/>
      <c r="Q8" s="36">
        <v>1.06</v>
      </c>
      <c r="R8" s="36"/>
      <c r="S8" s="36">
        <v>1</v>
      </c>
      <c r="T8" s="36">
        <v>1</v>
      </c>
      <c r="U8" s="36">
        <v>1</v>
      </c>
      <c r="V8" s="36"/>
      <c r="W8" s="36"/>
      <c r="X8" s="36"/>
      <c r="Y8" s="36">
        <v>1</v>
      </c>
      <c r="Z8" s="36"/>
      <c r="AA8" s="36"/>
    </row>
    <row r="9" spans="1:27" ht="11.25" customHeight="1" x14ac:dyDescent="0.25">
      <c r="A9" s="112"/>
      <c r="B9" s="39" t="s">
        <v>96</v>
      </c>
      <c r="C9" s="39" t="s">
        <v>25</v>
      </c>
      <c r="D9" s="39" t="s">
        <v>25</v>
      </c>
      <c r="E9" s="39" t="s">
        <v>25</v>
      </c>
      <c r="F9" s="39" t="s">
        <v>25</v>
      </c>
      <c r="G9" s="38" t="s">
        <v>98</v>
      </c>
      <c r="H9" s="38" t="s">
        <v>93</v>
      </c>
      <c r="I9" s="38">
        <f>'MERCADO TE'!$U$6</f>
        <v>0</v>
      </c>
      <c r="J9" s="15"/>
      <c r="L9" s="36">
        <v>1</v>
      </c>
      <c r="M9" s="36"/>
      <c r="N9" s="36">
        <v>1</v>
      </c>
      <c r="O9" s="36">
        <v>1</v>
      </c>
      <c r="P9" s="36"/>
      <c r="Q9" s="36">
        <v>1.06</v>
      </c>
      <c r="R9" s="36"/>
      <c r="S9" s="36">
        <v>1</v>
      </c>
      <c r="T9" s="36">
        <v>1</v>
      </c>
      <c r="U9" s="36">
        <v>1</v>
      </c>
      <c r="V9" s="36"/>
      <c r="W9" s="36"/>
      <c r="X9" s="36"/>
      <c r="Y9" s="36"/>
      <c r="Z9" s="36"/>
      <c r="AA9" s="36"/>
    </row>
    <row r="10" spans="1:27" ht="11.25" customHeight="1" x14ac:dyDescent="0.25">
      <c r="A10" s="112" t="s">
        <v>41</v>
      </c>
      <c r="B10" s="112" t="s">
        <v>92</v>
      </c>
      <c r="C10" s="112" t="s">
        <v>25</v>
      </c>
      <c r="D10" s="112" t="s">
        <v>25</v>
      </c>
      <c r="E10" s="112" t="s">
        <v>25</v>
      </c>
      <c r="F10" s="112" t="s">
        <v>25</v>
      </c>
      <c r="G10" s="38" t="s">
        <v>94</v>
      </c>
      <c r="H10" s="38" t="s">
        <v>93</v>
      </c>
      <c r="I10" s="38">
        <f>'MERCADO TE'!$U$7</f>
        <v>30551.196</v>
      </c>
      <c r="J10" s="15"/>
      <c r="L10" s="36">
        <v>1</v>
      </c>
      <c r="M10" s="36">
        <v>1</v>
      </c>
      <c r="N10" s="36">
        <v>1</v>
      </c>
      <c r="O10" s="36">
        <v>1</v>
      </c>
      <c r="P10" s="36"/>
      <c r="Q10" s="36">
        <v>1.72</v>
      </c>
      <c r="R10" s="36"/>
      <c r="S10" s="36">
        <v>1</v>
      </c>
      <c r="T10" s="36">
        <v>1</v>
      </c>
      <c r="U10" s="36">
        <v>1</v>
      </c>
      <c r="V10" s="36"/>
      <c r="W10" s="36"/>
      <c r="X10" s="36"/>
      <c r="Y10" s="36">
        <v>1</v>
      </c>
      <c r="Z10" s="36"/>
      <c r="AA10" s="36"/>
    </row>
    <row r="11" spans="1:27" ht="11.25" customHeight="1" x14ac:dyDescent="0.25">
      <c r="A11" s="112"/>
      <c r="B11" s="112"/>
      <c r="C11" s="112"/>
      <c r="D11" s="112"/>
      <c r="E11" s="112"/>
      <c r="F11" s="112"/>
      <c r="G11" s="38" t="s">
        <v>95</v>
      </c>
      <c r="H11" s="38" t="s">
        <v>93</v>
      </c>
      <c r="I11" s="38">
        <f>'MERCADO TE'!$U$8</f>
        <v>446699.41099999991</v>
      </c>
      <c r="J11" s="15"/>
      <c r="L11" s="36">
        <v>1</v>
      </c>
      <c r="M11" s="36">
        <v>1</v>
      </c>
      <c r="N11" s="36">
        <v>1</v>
      </c>
      <c r="O11" s="36">
        <v>1</v>
      </c>
      <c r="P11" s="36"/>
      <c r="Q11" s="36">
        <v>1</v>
      </c>
      <c r="R11" s="36"/>
      <c r="S11" s="36">
        <v>1</v>
      </c>
      <c r="T11" s="36">
        <v>1</v>
      </c>
      <c r="U11" s="36">
        <v>1</v>
      </c>
      <c r="V11" s="36"/>
      <c r="W11" s="36"/>
      <c r="X11" s="36"/>
      <c r="Y11" s="36">
        <v>1</v>
      </c>
      <c r="Z11" s="36"/>
      <c r="AA11" s="36"/>
    </row>
    <row r="12" spans="1:27" ht="11.25" customHeight="1" x14ac:dyDescent="0.25">
      <c r="A12" s="112"/>
      <c r="B12" s="39" t="s">
        <v>96</v>
      </c>
      <c r="C12" s="39" t="s">
        <v>25</v>
      </c>
      <c r="D12" s="39" t="s">
        <v>25</v>
      </c>
      <c r="E12" s="39" t="s">
        <v>97</v>
      </c>
      <c r="F12" s="39" t="s">
        <v>25</v>
      </c>
      <c r="G12" s="38" t="s">
        <v>98</v>
      </c>
      <c r="H12" s="38" t="s">
        <v>93</v>
      </c>
      <c r="I12" s="38">
        <f>'MERCADO TE'!$U$9</f>
        <v>-942.74</v>
      </c>
      <c r="J12" s="15"/>
      <c r="L12" s="36">
        <v>1</v>
      </c>
      <c r="M12" s="36">
        <v>1</v>
      </c>
      <c r="N12" s="36">
        <v>1</v>
      </c>
      <c r="O12" s="36">
        <v>1</v>
      </c>
      <c r="P12" s="36"/>
      <c r="Q12" s="36">
        <v>1.06</v>
      </c>
      <c r="R12" s="36"/>
      <c r="S12" s="36">
        <v>1</v>
      </c>
      <c r="T12" s="36">
        <v>1</v>
      </c>
      <c r="U12" s="36">
        <v>1</v>
      </c>
      <c r="V12" s="36"/>
      <c r="W12" s="36"/>
      <c r="X12" s="36"/>
      <c r="Y12" s="36">
        <v>1</v>
      </c>
      <c r="Z12" s="36"/>
      <c r="AA12" s="36"/>
    </row>
    <row r="13" spans="1:27" ht="11.25" customHeight="1" x14ac:dyDescent="0.25">
      <c r="A13" s="112"/>
      <c r="B13" s="39" t="s">
        <v>103</v>
      </c>
      <c r="C13" s="39" t="s">
        <v>25</v>
      </c>
      <c r="D13" s="39" t="s">
        <v>25</v>
      </c>
      <c r="E13" s="39" t="s">
        <v>25</v>
      </c>
      <c r="F13" s="39" t="s">
        <v>25</v>
      </c>
      <c r="G13" s="38" t="s">
        <v>98</v>
      </c>
      <c r="H13" s="38" t="s">
        <v>93</v>
      </c>
      <c r="I13" s="38">
        <f>'MERCADO TE'!$U$10</f>
        <v>0</v>
      </c>
      <c r="J13" s="15"/>
      <c r="L13" s="36">
        <v>1</v>
      </c>
      <c r="M13" s="36">
        <v>1</v>
      </c>
      <c r="N13" s="36">
        <v>1</v>
      </c>
      <c r="O13" s="36">
        <v>1</v>
      </c>
      <c r="P13" s="36"/>
      <c r="Q13" s="36">
        <v>1.06</v>
      </c>
      <c r="R13" s="36"/>
      <c r="S13" s="36">
        <v>1</v>
      </c>
      <c r="T13" s="36">
        <v>1</v>
      </c>
      <c r="U13" s="36">
        <v>1</v>
      </c>
      <c r="V13" s="36"/>
      <c r="W13" s="36"/>
      <c r="X13" s="36"/>
      <c r="Y13" s="36">
        <v>1</v>
      </c>
      <c r="Z13" s="36"/>
      <c r="AA13" s="36"/>
    </row>
    <row r="14" spans="1:27" ht="11.25" customHeight="1" x14ac:dyDescent="0.25">
      <c r="A14" s="112"/>
      <c r="B14" s="39" t="s">
        <v>102</v>
      </c>
      <c r="C14" s="39" t="s">
        <v>25</v>
      </c>
      <c r="D14" s="39" t="s">
        <v>25</v>
      </c>
      <c r="E14" s="39" t="s">
        <v>97</v>
      </c>
      <c r="F14" s="39" t="s">
        <v>25</v>
      </c>
      <c r="G14" s="38" t="s">
        <v>98</v>
      </c>
      <c r="H14" s="38" t="s">
        <v>93</v>
      </c>
      <c r="I14" s="38">
        <f>'MERCADO TE'!$U$11</f>
        <v>12597.896999999997</v>
      </c>
      <c r="J14" s="15"/>
      <c r="L14" s="36">
        <v>1</v>
      </c>
      <c r="M14" s="36">
        <v>1</v>
      </c>
      <c r="N14" s="36">
        <v>1</v>
      </c>
      <c r="O14" s="36">
        <v>1</v>
      </c>
      <c r="P14" s="36"/>
      <c r="Q14" s="36">
        <v>1.06</v>
      </c>
      <c r="R14" s="36"/>
      <c r="S14" s="36">
        <v>1</v>
      </c>
      <c r="T14" s="36">
        <v>1</v>
      </c>
      <c r="U14" s="36">
        <v>1</v>
      </c>
      <c r="V14" s="36"/>
      <c r="W14" s="36"/>
      <c r="X14" s="36"/>
      <c r="Y14" s="36">
        <v>1</v>
      </c>
      <c r="Z14" s="36"/>
      <c r="AA14" s="36"/>
    </row>
    <row r="15" spans="1:27" ht="11.25" customHeight="1" x14ac:dyDescent="0.25">
      <c r="A15" s="112"/>
      <c r="B15" s="39" t="s">
        <v>96</v>
      </c>
      <c r="C15" s="39" t="s">
        <v>25</v>
      </c>
      <c r="D15" s="39" t="s">
        <v>25</v>
      </c>
      <c r="E15" s="39" t="s">
        <v>25</v>
      </c>
      <c r="F15" s="39" t="s">
        <v>25</v>
      </c>
      <c r="G15" s="38" t="s">
        <v>98</v>
      </c>
      <c r="H15" s="38" t="s">
        <v>93</v>
      </c>
      <c r="I15" s="38">
        <f>'MERCADO TE'!$U$12</f>
        <v>0</v>
      </c>
      <c r="J15" s="15"/>
      <c r="L15" s="36">
        <v>1</v>
      </c>
      <c r="M15" s="36"/>
      <c r="N15" s="36">
        <v>1</v>
      </c>
      <c r="O15" s="36">
        <v>1</v>
      </c>
      <c r="P15" s="36"/>
      <c r="Q15" s="36">
        <v>1.06</v>
      </c>
      <c r="R15" s="36"/>
      <c r="S15" s="36">
        <v>1</v>
      </c>
      <c r="T15" s="36">
        <v>1</v>
      </c>
      <c r="U15" s="36">
        <v>1</v>
      </c>
      <c r="V15" s="36"/>
      <c r="W15" s="36"/>
      <c r="X15" s="36"/>
      <c r="Y15" s="36"/>
      <c r="Z15" s="36"/>
      <c r="AA15" s="36"/>
    </row>
    <row r="16" spans="1:27" ht="11.25" customHeight="1" x14ac:dyDescent="0.25">
      <c r="A16" s="112" t="s">
        <v>22</v>
      </c>
      <c r="B16" s="112" t="s">
        <v>92</v>
      </c>
      <c r="C16" s="112" t="s">
        <v>24</v>
      </c>
      <c r="D16" s="112" t="s">
        <v>24</v>
      </c>
      <c r="E16" s="112" t="s">
        <v>25</v>
      </c>
      <c r="F16" s="112" t="s">
        <v>25</v>
      </c>
      <c r="G16" s="38" t="s">
        <v>94</v>
      </c>
      <c r="H16" s="38" t="s">
        <v>93</v>
      </c>
      <c r="I16" s="38">
        <f>'MERCADO TE'!$U$13</f>
        <v>118.41800000000002</v>
      </c>
      <c r="J16" s="15"/>
      <c r="L16" s="36">
        <v>1</v>
      </c>
      <c r="M16" s="36">
        <v>1</v>
      </c>
      <c r="N16" s="36">
        <v>1</v>
      </c>
      <c r="O16" s="36">
        <v>1</v>
      </c>
      <c r="P16" s="36"/>
      <c r="Q16" s="36">
        <v>1.72</v>
      </c>
      <c r="R16" s="36"/>
      <c r="S16" s="36">
        <v>1</v>
      </c>
      <c r="T16" s="36">
        <v>1</v>
      </c>
      <c r="U16" s="36">
        <v>1</v>
      </c>
      <c r="V16" s="36"/>
      <c r="W16" s="36"/>
      <c r="X16" s="36"/>
      <c r="Y16" s="36">
        <v>1</v>
      </c>
      <c r="Z16" s="36"/>
      <c r="AA16" s="36"/>
    </row>
    <row r="17" spans="1:27" ht="11.25" customHeight="1" x14ac:dyDescent="0.25">
      <c r="A17" s="112"/>
      <c r="B17" s="112"/>
      <c r="C17" s="112"/>
      <c r="D17" s="112"/>
      <c r="E17" s="112"/>
      <c r="F17" s="112"/>
      <c r="G17" s="38" t="s">
        <v>107</v>
      </c>
      <c r="H17" s="38" t="s">
        <v>93</v>
      </c>
      <c r="I17" s="38">
        <f>'MERCADO TE'!$U$14</f>
        <v>76.346000000000004</v>
      </c>
      <c r="J17" s="15"/>
      <c r="L17" s="36">
        <v>1</v>
      </c>
      <c r="M17" s="36">
        <v>1</v>
      </c>
      <c r="N17" s="36">
        <v>1</v>
      </c>
      <c r="O17" s="36">
        <v>1</v>
      </c>
      <c r="P17" s="36"/>
      <c r="Q17" s="36">
        <v>1</v>
      </c>
      <c r="R17" s="36"/>
      <c r="S17" s="36">
        <v>1</v>
      </c>
      <c r="T17" s="36">
        <v>1</v>
      </c>
      <c r="U17" s="36">
        <v>1</v>
      </c>
      <c r="V17" s="36"/>
      <c r="W17" s="36"/>
      <c r="X17" s="36"/>
      <c r="Y17" s="36">
        <v>1</v>
      </c>
      <c r="Z17" s="36"/>
      <c r="AA17" s="36"/>
    </row>
    <row r="18" spans="1:27" ht="11.25" customHeight="1" x14ac:dyDescent="0.25">
      <c r="A18" s="112"/>
      <c r="B18" s="112"/>
      <c r="C18" s="112"/>
      <c r="D18" s="112"/>
      <c r="E18" s="112"/>
      <c r="F18" s="112"/>
      <c r="G18" s="38" t="s">
        <v>95</v>
      </c>
      <c r="H18" s="38" t="s">
        <v>93</v>
      </c>
      <c r="I18" s="38">
        <f>'MERCADO TE'!$U$15</f>
        <v>1353.7170000000001</v>
      </c>
      <c r="J18" s="15"/>
      <c r="L18" s="36">
        <v>1</v>
      </c>
      <c r="M18" s="36">
        <v>1</v>
      </c>
      <c r="N18" s="36">
        <v>1</v>
      </c>
      <c r="O18" s="36">
        <v>1</v>
      </c>
      <c r="P18" s="36"/>
      <c r="Q18" s="36">
        <v>1</v>
      </c>
      <c r="R18" s="36"/>
      <c r="S18" s="36">
        <v>1</v>
      </c>
      <c r="T18" s="36">
        <v>1</v>
      </c>
      <c r="U18" s="36">
        <v>1</v>
      </c>
      <c r="V18" s="36"/>
      <c r="W18" s="36"/>
      <c r="X18" s="36"/>
      <c r="Y18" s="36">
        <v>1</v>
      </c>
      <c r="Z18" s="36"/>
      <c r="AA18" s="36"/>
    </row>
    <row r="19" spans="1:27" ht="11.25" customHeight="1" x14ac:dyDescent="0.25">
      <c r="A19" s="112"/>
      <c r="B19" s="112" t="s">
        <v>103</v>
      </c>
      <c r="C19" s="112" t="s">
        <v>24</v>
      </c>
      <c r="D19" s="39" t="s">
        <v>24</v>
      </c>
      <c r="E19" s="39" t="s">
        <v>25</v>
      </c>
      <c r="F19" s="39" t="s">
        <v>25</v>
      </c>
      <c r="G19" s="38" t="s">
        <v>98</v>
      </c>
      <c r="H19" s="38" t="s">
        <v>93</v>
      </c>
      <c r="I19" s="38">
        <f>'MERCADO TE'!$U$16</f>
        <v>902304.86599999992</v>
      </c>
      <c r="J19" s="15"/>
      <c r="L19" s="36">
        <v>1</v>
      </c>
      <c r="M19" s="36">
        <v>1</v>
      </c>
      <c r="N19" s="36">
        <v>1</v>
      </c>
      <c r="O19" s="36">
        <v>1</v>
      </c>
      <c r="P19" s="36"/>
      <c r="Q19" s="36">
        <v>1.06</v>
      </c>
      <c r="R19" s="36"/>
      <c r="S19" s="36">
        <v>1</v>
      </c>
      <c r="T19" s="36">
        <v>1</v>
      </c>
      <c r="U19" s="36">
        <v>1</v>
      </c>
      <c r="V19" s="36"/>
      <c r="W19" s="36"/>
      <c r="X19" s="36"/>
      <c r="Y19" s="36">
        <v>1</v>
      </c>
      <c r="Z19" s="36"/>
      <c r="AA19" s="36"/>
    </row>
    <row r="20" spans="1:27" ht="11.25" customHeight="1" x14ac:dyDescent="0.25">
      <c r="A20" s="112"/>
      <c r="B20" s="112"/>
      <c r="C20" s="112"/>
      <c r="D20" s="39" t="s">
        <v>29</v>
      </c>
      <c r="E20" s="39" t="s">
        <v>25</v>
      </c>
      <c r="F20" s="39" t="s">
        <v>25</v>
      </c>
      <c r="G20" s="38" t="s">
        <v>98</v>
      </c>
      <c r="H20" s="38" t="s">
        <v>93</v>
      </c>
      <c r="I20" s="38">
        <f>'MERCADO TE'!$U$17</f>
        <v>83676.410999999993</v>
      </c>
      <c r="J20" s="15"/>
      <c r="L20" s="36">
        <f>1 - CUSTOS!$M$24</f>
        <v>1</v>
      </c>
      <c r="M20" s="36">
        <f>1 - CUSTOS!$M$24</f>
        <v>1</v>
      </c>
      <c r="N20" s="36">
        <f>1 - CUSTOS!$M$24</f>
        <v>1</v>
      </c>
      <c r="O20" s="36">
        <f>1 - CUSTOS!$M$24</f>
        <v>1</v>
      </c>
      <c r="P20" s="36"/>
      <c r="Q20" s="36">
        <f>(1 - CUSTOS!$M$24)*1.06</f>
        <v>1.06</v>
      </c>
      <c r="R20" s="36"/>
      <c r="S20" s="36">
        <f>1 - CUSTOS!$M$24</f>
        <v>1</v>
      </c>
      <c r="T20" s="36">
        <f>1 - CUSTOS!$M$24</f>
        <v>1</v>
      </c>
      <c r="U20" s="36">
        <f>1 - CUSTOS!$M$24</f>
        <v>1</v>
      </c>
      <c r="V20" s="36"/>
      <c r="W20" s="36"/>
      <c r="X20" s="36"/>
      <c r="Y20" s="36">
        <f>1 - CUSTOS!$M$24</f>
        <v>1</v>
      </c>
      <c r="Z20" s="36"/>
      <c r="AA20" s="36"/>
    </row>
    <row r="21" spans="1:27" ht="11.25" customHeight="1" x14ac:dyDescent="0.25">
      <c r="A21" s="112"/>
      <c r="B21" s="112"/>
      <c r="C21" s="112"/>
      <c r="D21" s="39" t="s">
        <v>30</v>
      </c>
      <c r="E21" s="39" t="s">
        <v>25</v>
      </c>
      <c r="F21" s="39" t="s">
        <v>25</v>
      </c>
      <c r="G21" s="38" t="s">
        <v>98</v>
      </c>
      <c r="H21" s="38" t="s">
        <v>93</v>
      </c>
      <c r="I21" s="38">
        <f>'MERCADO TE'!$U$18</f>
        <v>134463.81899999996</v>
      </c>
      <c r="J21" s="15"/>
      <c r="L21" s="36">
        <f>1 - CUSTOS!$M$25</f>
        <v>1</v>
      </c>
      <c r="M21" s="36">
        <f>1 - CUSTOS!$M$25</f>
        <v>1</v>
      </c>
      <c r="N21" s="36">
        <f>1 - CUSTOS!$M$25</f>
        <v>1</v>
      </c>
      <c r="O21" s="36">
        <f>1 - CUSTOS!$M$25</f>
        <v>1</v>
      </c>
      <c r="P21" s="36"/>
      <c r="Q21" s="36">
        <f>(1 - CUSTOS!$M$25)*1.06</f>
        <v>1.06</v>
      </c>
      <c r="R21" s="36"/>
      <c r="S21" s="36">
        <f>1 - CUSTOS!$M$25</f>
        <v>1</v>
      </c>
      <c r="T21" s="36">
        <f>1 - CUSTOS!$M$25</f>
        <v>1</v>
      </c>
      <c r="U21" s="36">
        <f>1 - CUSTOS!$M$25</f>
        <v>1</v>
      </c>
      <c r="V21" s="36"/>
      <c r="W21" s="36"/>
      <c r="X21" s="36"/>
      <c r="Y21" s="36">
        <f>1 - CUSTOS!$M$25</f>
        <v>1</v>
      </c>
      <c r="Z21" s="36"/>
      <c r="AA21" s="36"/>
    </row>
    <row r="22" spans="1:27" ht="11.25" customHeight="1" x14ac:dyDescent="0.25">
      <c r="A22" s="112"/>
      <c r="B22" s="112"/>
      <c r="C22" s="112"/>
      <c r="D22" s="39" t="s">
        <v>31</v>
      </c>
      <c r="E22" s="39" t="s">
        <v>25</v>
      </c>
      <c r="F22" s="39" t="s">
        <v>25</v>
      </c>
      <c r="G22" s="38" t="s">
        <v>98</v>
      </c>
      <c r="H22" s="38" t="s">
        <v>93</v>
      </c>
      <c r="I22" s="38">
        <f>'MERCADO TE'!$U$19</f>
        <v>58132.979000000007</v>
      </c>
      <c r="J22" s="15"/>
      <c r="L22" s="36">
        <f>1 - CUSTOS!$M$26</f>
        <v>1</v>
      </c>
      <c r="M22" s="36">
        <f>1 - CUSTOS!$M$26</f>
        <v>1</v>
      </c>
      <c r="N22" s="36">
        <f>1 - CUSTOS!$M$26</f>
        <v>1</v>
      </c>
      <c r="O22" s="36">
        <f>1 - CUSTOS!$M$26</f>
        <v>1</v>
      </c>
      <c r="P22" s="36"/>
      <c r="Q22" s="36">
        <f>(1 - CUSTOS!$M$26)*1.06</f>
        <v>1.06</v>
      </c>
      <c r="R22" s="36"/>
      <c r="S22" s="36">
        <f>1 - CUSTOS!$M$26</f>
        <v>1</v>
      </c>
      <c r="T22" s="36">
        <f>1 - CUSTOS!$M$26</f>
        <v>1</v>
      </c>
      <c r="U22" s="36">
        <f>1 - CUSTOS!$M$26</f>
        <v>1</v>
      </c>
      <c r="V22" s="36"/>
      <c r="W22" s="36"/>
      <c r="X22" s="36"/>
      <c r="Y22" s="36">
        <f>1 - CUSTOS!$M$26</f>
        <v>1</v>
      </c>
      <c r="Z22" s="36"/>
      <c r="AA22" s="36"/>
    </row>
    <row r="23" spans="1:27" ht="11.25" customHeight="1" x14ac:dyDescent="0.25">
      <c r="A23" s="112"/>
      <c r="B23" s="112"/>
      <c r="C23" s="112"/>
      <c r="D23" s="39" t="s">
        <v>32</v>
      </c>
      <c r="E23" s="39" t="s">
        <v>25</v>
      </c>
      <c r="F23" s="39" t="s">
        <v>25</v>
      </c>
      <c r="G23" s="38" t="s">
        <v>98</v>
      </c>
      <c r="H23" s="38" t="s">
        <v>93</v>
      </c>
      <c r="I23" s="38">
        <f>'MERCADO TE'!$U$20</f>
        <v>16063.907000000001</v>
      </c>
      <c r="J23" s="15"/>
      <c r="L23" s="36">
        <f>1 - CUSTOS!$M$27</f>
        <v>1</v>
      </c>
      <c r="M23" s="36">
        <f>1 - CUSTOS!$M$27</f>
        <v>1</v>
      </c>
      <c r="N23" s="36">
        <f>1 - CUSTOS!$M$27</f>
        <v>1</v>
      </c>
      <c r="O23" s="36">
        <f>1 - CUSTOS!$M$27</f>
        <v>1</v>
      </c>
      <c r="P23" s="36"/>
      <c r="Q23" s="36">
        <f>(1 - CUSTOS!$M$27)*1.06</f>
        <v>1.06</v>
      </c>
      <c r="R23" s="36"/>
      <c r="S23" s="36">
        <f>1 - CUSTOS!$M$27</f>
        <v>1</v>
      </c>
      <c r="T23" s="36">
        <f>1 - CUSTOS!$M$27</f>
        <v>1</v>
      </c>
      <c r="U23" s="36">
        <f>1 - CUSTOS!$M$27</f>
        <v>1</v>
      </c>
      <c r="V23" s="36"/>
      <c r="W23" s="36"/>
      <c r="X23" s="36"/>
      <c r="Y23" s="36">
        <f>1 - CUSTOS!$M$27</f>
        <v>1</v>
      </c>
      <c r="Z23" s="36"/>
      <c r="AA23" s="36"/>
    </row>
    <row r="24" spans="1:27" ht="11.25" customHeight="1" x14ac:dyDescent="0.25">
      <c r="A24" s="112"/>
      <c r="B24" s="112" t="s">
        <v>108</v>
      </c>
      <c r="C24" s="112" t="s">
        <v>24</v>
      </c>
      <c r="D24" s="39" t="s">
        <v>24</v>
      </c>
      <c r="E24" s="39" t="s">
        <v>25</v>
      </c>
      <c r="F24" s="39" t="s">
        <v>25</v>
      </c>
      <c r="G24" s="38" t="s">
        <v>98</v>
      </c>
      <c r="H24" s="38" t="s">
        <v>93</v>
      </c>
      <c r="I24" s="38">
        <f>'MERCADO TE'!$U$21</f>
        <v>0</v>
      </c>
      <c r="J24" s="15"/>
      <c r="L24" s="36">
        <v>1</v>
      </c>
      <c r="M24" s="36">
        <v>1</v>
      </c>
      <c r="N24" s="36">
        <v>1</v>
      </c>
      <c r="O24" s="36">
        <v>1</v>
      </c>
      <c r="P24" s="36"/>
      <c r="Q24" s="36">
        <v>1.06</v>
      </c>
      <c r="R24" s="36"/>
      <c r="S24" s="36">
        <v>1</v>
      </c>
      <c r="T24" s="36">
        <v>1</v>
      </c>
      <c r="U24" s="36">
        <v>1</v>
      </c>
      <c r="V24" s="36"/>
      <c r="W24" s="36"/>
      <c r="X24" s="36"/>
      <c r="Y24" s="36">
        <v>1</v>
      </c>
      <c r="Z24" s="36"/>
      <c r="AA24" s="36"/>
    </row>
    <row r="25" spans="1:27" ht="11.25" customHeight="1" x14ac:dyDescent="0.25">
      <c r="A25" s="112"/>
      <c r="B25" s="112"/>
      <c r="C25" s="112"/>
      <c r="D25" s="39" t="s">
        <v>29</v>
      </c>
      <c r="E25" s="39" t="s">
        <v>25</v>
      </c>
      <c r="F25" s="39" t="s">
        <v>25</v>
      </c>
      <c r="G25" s="38" t="s">
        <v>98</v>
      </c>
      <c r="H25" s="38" t="s">
        <v>93</v>
      </c>
      <c r="I25" s="38">
        <f>'MERCADO TE'!$U$22</f>
        <v>0</v>
      </c>
      <c r="J25" s="15"/>
      <c r="L25" s="36">
        <f>1 - CUSTOS!$M$24</f>
        <v>1</v>
      </c>
      <c r="M25" s="36">
        <f>1 - CUSTOS!$M$24</f>
        <v>1</v>
      </c>
      <c r="N25" s="36">
        <f>1 - CUSTOS!$M$24</f>
        <v>1</v>
      </c>
      <c r="O25" s="36">
        <f>1 - CUSTOS!$M$24</f>
        <v>1</v>
      </c>
      <c r="P25" s="36"/>
      <c r="Q25" s="36">
        <f>(1 - CUSTOS!$M$24)*1.06</f>
        <v>1.06</v>
      </c>
      <c r="R25" s="36"/>
      <c r="S25" s="36">
        <f>1 - CUSTOS!$M$24</f>
        <v>1</v>
      </c>
      <c r="T25" s="36">
        <f>1 - CUSTOS!$M$24</f>
        <v>1</v>
      </c>
      <c r="U25" s="36">
        <f>1 - CUSTOS!$M$24</f>
        <v>1</v>
      </c>
      <c r="V25" s="36"/>
      <c r="W25" s="36"/>
      <c r="X25" s="36"/>
      <c r="Y25" s="36">
        <f>1 - CUSTOS!$M$24</f>
        <v>1</v>
      </c>
      <c r="Z25" s="36"/>
      <c r="AA25" s="36"/>
    </row>
    <row r="26" spans="1:27" ht="11.25" customHeight="1" x14ac:dyDescent="0.25">
      <c r="A26" s="112"/>
      <c r="B26" s="112"/>
      <c r="C26" s="112"/>
      <c r="D26" s="39" t="s">
        <v>30</v>
      </c>
      <c r="E26" s="39" t="s">
        <v>25</v>
      </c>
      <c r="F26" s="39" t="s">
        <v>25</v>
      </c>
      <c r="G26" s="38" t="s">
        <v>98</v>
      </c>
      <c r="H26" s="38" t="s">
        <v>93</v>
      </c>
      <c r="I26" s="38">
        <f>'MERCADO TE'!$U$23</f>
        <v>0</v>
      </c>
      <c r="J26" s="15"/>
      <c r="L26" s="36">
        <f>1 - CUSTOS!$M$25</f>
        <v>1</v>
      </c>
      <c r="M26" s="36">
        <f>1 - CUSTOS!$M$25</f>
        <v>1</v>
      </c>
      <c r="N26" s="36">
        <f>1 - CUSTOS!$M$25</f>
        <v>1</v>
      </c>
      <c r="O26" s="36">
        <f>1 - CUSTOS!$M$25</f>
        <v>1</v>
      </c>
      <c r="P26" s="36"/>
      <c r="Q26" s="36">
        <f>(1 - CUSTOS!$M$25)*1.06</f>
        <v>1.06</v>
      </c>
      <c r="R26" s="36"/>
      <c r="S26" s="36">
        <f>1 - CUSTOS!$M$25</f>
        <v>1</v>
      </c>
      <c r="T26" s="36">
        <f>1 - CUSTOS!$M$25</f>
        <v>1</v>
      </c>
      <c r="U26" s="36">
        <f>1 - CUSTOS!$M$25</f>
        <v>1</v>
      </c>
      <c r="V26" s="36"/>
      <c r="W26" s="36"/>
      <c r="X26" s="36"/>
      <c r="Y26" s="36">
        <f>1 - CUSTOS!$M$25</f>
        <v>1</v>
      </c>
      <c r="Z26" s="36"/>
      <c r="AA26" s="36"/>
    </row>
    <row r="27" spans="1:27" ht="11.25" customHeight="1" x14ac:dyDescent="0.25">
      <c r="A27" s="112"/>
      <c r="B27" s="112"/>
      <c r="C27" s="112"/>
      <c r="D27" s="39" t="s">
        <v>31</v>
      </c>
      <c r="E27" s="39" t="s">
        <v>25</v>
      </c>
      <c r="F27" s="39" t="s">
        <v>25</v>
      </c>
      <c r="G27" s="38" t="s">
        <v>98</v>
      </c>
      <c r="H27" s="38" t="s">
        <v>93</v>
      </c>
      <c r="I27" s="38">
        <f>'MERCADO TE'!$U$24</f>
        <v>0</v>
      </c>
      <c r="J27" s="15"/>
      <c r="L27" s="36">
        <f>1 - CUSTOS!$M$26</f>
        <v>1</v>
      </c>
      <c r="M27" s="36">
        <f>1 - CUSTOS!$M$26</f>
        <v>1</v>
      </c>
      <c r="N27" s="36">
        <f>1 - CUSTOS!$M$26</f>
        <v>1</v>
      </c>
      <c r="O27" s="36">
        <f>1 - CUSTOS!$M$26</f>
        <v>1</v>
      </c>
      <c r="P27" s="36"/>
      <c r="Q27" s="36">
        <f>(1 - CUSTOS!$M$26)*1.06</f>
        <v>1.06</v>
      </c>
      <c r="R27" s="36"/>
      <c r="S27" s="36">
        <f>1 - CUSTOS!$M$26</f>
        <v>1</v>
      </c>
      <c r="T27" s="36">
        <f>1 - CUSTOS!$M$26</f>
        <v>1</v>
      </c>
      <c r="U27" s="36">
        <f>1 - CUSTOS!$M$26</f>
        <v>1</v>
      </c>
      <c r="V27" s="36"/>
      <c r="W27" s="36"/>
      <c r="X27" s="36"/>
      <c r="Y27" s="36">
        <f>1 - CUSTOS!$M$26</f>
        <v>1</v>
      </c>
      <c r="Z27" s="36"/>
      <c r="AA27" s="36"/>
    </row>
    <row r="28" spans="1:27" ht="11.25" customHeight="1" x14ac:dyDescent="0.25">
      <c r="A28" s="112"/>
      <c r="B28" s="112"/>
      <c r="C28" s="112"/>
      <c r="D28" s="39" t="s">
        <v>32</v>
      </c>
      <c r="E28" s="39" t="s">
        <v>25</v>
      </c>
      <c r="F28" s="39" t="s">
        <v>25</v>
      </c>
      <c r="G28" s="38" t="s">
        <v>98</v>
      </c>
      <c r="H28" s="38" t="s">
        <v>93</v>
      </c>
      <c r="I28" s="38">
        <f>'MERCADO TE'!$U$25</f>
        <v>0</v>
      </c>
      <c r="J28" s="15"/>
      <c r="L28" s="36">
        <f>1 - CUSTOS!$M$27</f>
        <v>1</v>
      </c>
      <c r="M28" s="36">
        <f>1 - CUSTOS!$M$27</f>
        <v>1</v>
      </c>
      <c r="N28" s="36">
        <f>1 - CUSTOS!$M$27</f>
        <v>1</v>
      </c>
      <c r="O28" s="36">
        <f>1 - CUSTOS!$M$27</f>
        <v>1</v>
      </c>
      <c r="P28" s="36"/>
      <c r="Q28" s="36">
        <f>(1 - CUSTOS!$M$27)*1.06</f>
        <v>1.06</v>
      </c>
      <c r="R28" s="36"/>
      <c r="S28" s="36">
        <f>1 - CUSTOS!$M$27</f>
        <v>1</v>
      </c>
      <c r="T28" s="36">
        <f>1 - CUSTOS!$M$27</f>
        <v>1</v>
      </c>
      <c r="U28" s="36">
        <f>1 - CUSTOS!$M$27</f>
        <v>1</v>
      </c>
      <c r="V28" s="36"/>
      <c r="W28" s="36"/>
      <c r="X28" s="36"/>
      <c r="Y28" s="36">
        <f>1 - CUSTOS!$M$27</f>
        <v>1</v>
      </c>
      <c r="Z28" s="36"/>
      <c r="AA28" s="36"/>
    </row>
    <row r="29" spans="1:27" ht="11.25" customHeight="1" x14ac:dyDescent="0.25">
      <c r="A29" s="112" t="s">
        <v>44</v>
      </c>
      <c r="B29" s="112" t="s">
        <v>92</v>
      </c>
      <c r="C29" s="112" t="s">
        <v>45</v>
      </c>
      <c r="D29" s="112" t="s">
        <v>25</v>
      </c>
      <c r="E29" s="112" t="s">
        <v>25</v>
      </c>
      <c r="F29" s="112" t="s">
        <v>25</v>
      </c>
      <c r="G29" s="38" t="s">
        <v>94</v>
      </c>
      <c r="H29" s="38" t="s">
        <v>93</v>
      </c>
      <c r="I29" s="38">
        <f>'MERCADO TE'!$U$26</f>
        <v>0.61099999999999999</v>
      </c>
      <c r="J29" s="15"/>
      <c r="L29" s="36">
        <f>1 - CUSTOS!$M$28</f>
        <v>1</v>
      </c>
      <c r="M29" s="36">
        <f>1 - CUSTOS!$M$28</f>
        <v>1</v>
      </c>
      <c r="N29" s="36">
        <f>1 - CUSTOS!$M$28</f>
        <v>1</v>
      </c>
      <c r="O29" s="36">
        <f>1 - CUSTOS!$M$28</f>
        <v>1</v>
      </c>
      <c r="P29" s="36"/>
      <c r="Q29" s="36">
        <f>(1 - CUSTOS!$M$28)*1.72</f>
        <v>1.72</v>
      </c>
      <c r="R29" s="36"/>
      <c r="S29" s="36">
        <f>1 - CUSTOS!$M$28</f>
        <v>1</v>
      </c>
      <c r="T29" s="36">
        <f>1 - CUSTOS!$M$28</f>
        <v>1</v>
      </c>
      <c r="U29" s="36">
        <f>1 - CUSTOS!$M$28</f>
        <v>1</v>
      </c>
      <c r="V29" s="36"/>
      <c r="W29" s="36"/>
      <c r="X29" s="36"/>
      <c r="Y29" s="36">
        <f>1 - CUSTOS!$M$28</f>
        <v>1</v>
      </c>
      <c r="Z29" s="36"/>
      <c r="AA29" s="36"/>
    </row>
    <row r="30" spans="1:27" ht="11.25" customHeight="1" x14ac:dyDescent="0.25">
      <c r="A30" s="112"/>
      <c r="B30" s="112"/>
      <c r="C30" s="112"/>
      <c r="D30" s="112"/>
      <c r="E30" s="112"/>
      <c r="F30" s="112"/>
      <c r="G30" s="38" t="s">
        <v>107</v>
      </c>
      <c r="H30" s="38" t="s">
        <v>93</v>
      </c>
      <c r="I30" s="38">
        <f>'MERCADO TE'!$U$27</f>
        <v>0.81099999999999994</v>
      </c>
      <c r="J30" s="15"/>
      <c r="L30" s="36">
        <f>1 - CUSTOS!$M$28</f>
        <v>1</v>
      </c>
      <c r="M30" s="36">
        <f>1 - CUSTOS!$M$28</f>
        <v>1</v>
      </c>
      <c r="N30" s="36">
        <f>1 - CUSTOS!$M$28</f>
        <v>1</v>
      </c>
      <c r="O30" s="36">
        <f>1 - CUSTOS!$M$28</f>
        <v>1</v>
      </c>
      <c r="P30" s="36"/>
      <c r="Q30" s="36">
        <f>(1 - CUSTOS!$M$28)*1</f>
        <v>1</v>
      </c>
      <c r="R30" s="36"/>
      <c r="S30" s="36">
        <f>1 - CUSTOS!$M$28</f>
        <v>1</v>
      </c>
      <c r="T30" s="36">
        <f>1 - CUSTOS!$M$28</f>
        <v>1</v>
      </c>
      <c r="U30" s="36">
        <f>1 - CUSTOS!$M$28</f>
        <v>1</v>
      </c>
      <c r="V30" s="36"/>
      <c r="W30" s="36"/>
      <c r="X30" s="36"/>
      <c r="Y30" s="36">
        <f>1 - CUSTOS!$M$28</f>
        <v>1</v>
      </c>
      <c r="Z30" s="36"/>
      <c r="AA30" s="36"/>
    </row>
    <row r="31" spans="1:27" ht="11.25" customHeight="1" x14ac:dyDescent="0.25">
      <c r="A31" s="112"/>
      <c r="B31" s="112"/>
      <c r="C31" s="112"/>
      <c r="D31" s="112"/>
      <c r="E31" s="112"/>
      <c r="F31" s="112"/>
      <c r="G31" s="38" t="s">
        <v>95</v>
      </c>
      <c r="H31" s="38" t="s">
        <v>93</v>
      </c>
      <c r="I31" s="38">
        <f>'MERCADO TE'!$U$28</f>
        <v>184.815</v>
      </c>
      <c r="J31" s="15"/>
      <c r="L31" s="36">
        <f>1 - CUSTOS!$M$28</f>
        <v>1</v>
      </c>
      <c r="M31" s="36">
        <f>1 - CUSTOS!$M$28</f>
        <v>1</v>
      </c>
      <c r="N31" s="36">
        <f>1 - CUSTOS!$M$28</f>
        <v>1</v>
      </c>
      <c r="O31" s="36">
        <f>1 - CUSTOS!$M$28</f>
        <v>1</v>
      </c>
      <c r="P31" s="36"/>
      <c r="Q31" s="36">
        <f>(1 - CUSTOS!$M$28)*1</f>
        <v>1</v>
      </c>
      <c r="R31" s="36"/>
      <c r="S31" s="36">
        <f>1 - CUSTOS!$M$28</f>
        <v>1</v>
      </c>
      <c r="T31" s="36">
        <f>1 - CUSTOS!$M$28</f>
        <v>1</v>
      </c>
      <c r="U31" s="36">
        <f>1 - CUSTOS!$M$28</f>
        <v>1</v>
      </c>
      <c r="V31" s="36"/>
      <c r="W31" s="36"/>
      <c r="X31" s="36"/>
      <c r="Y31" s="36">
        <f>1 - CUSTOS!$M$28</f>
        <v>1</v>
      </c>
      <c r="Z31" s="36"/>
      <c r="AA31" s="36"/>
    </row>
    <row r="32" spans="1:27" ht="11.25" customHeight="1" x14ac:dyDescent="0.25">
      <c r="A32" s="112"/>
      <c r="B32" s="39" t="s">
        <v>103</v>
      </c>
      <c r="C32" s="39" t="s">
        <v>45</v>
      </c>
      <c r="D32" s="39" t="s">
        <v>25</v>
      </c>
      <c r="E32" s="39" t="s">
        <v>25</v>
      </c>
      <c r="F32" s="39" t="s">
        <v>25</v>
      </c>
      <c r="G32" s="38" t="s">
        <v>98</v>
      </c>
      <c r="H32" s="38" t="s">
        <v>93</v>
      </c>
      <c r="I32" s="38">
        <f>'MERCADO TE'!$U$29</f>
        <v>60956.053</v>
      </c>
      <c r="J32" s="15"/>
      <c r="L32" s="36">
        <f>1 - CUSTOS!$M$28</f>
        <v>1</v>
      </c>
      <c r="M32" s="36">
        <f>1 - CUSTOS!$M$28</f>
        <v>1</v>
      </c>
      <c r="N32" s="36">
        <f>1 - CUSTOS!$M$28</f>
        <v>1</v>
      </c>
      <c r="O32" s="36">
        <f>1 - CUSTOS!$M$28</f>
        <v>1</v>
      </c>
      <c r="P32" s="36"/>
      <c r="Q32" s="36">
        <f>(1 - CUSTOS!$M$28)*1.06</f>
        <v>1.06</v>
      </c>
      <c r="R32" s="36"/>
      <c r="S32" s="36">
        <f>1 - CUSTOS!$M$28</f>
        <v>1</v>
      </c>
      <c r="T32" s="36">
        <f>1 - CUSTOS!$M$28</f>
        <v>1</v>
      </c>
      <c r="U32" s="36">
        <f>1 - CUSTOS!$M$28</f>
        <v>1</v>
      </c>
      <c r="V32" s="36"/>
      <c r="W32" s="36"/>
      <c r="X32" s="36"/>
      <c r="Y32" s="36">
        <f>1 - CUSTOS!$M$28</f>
        <v>1</v>
      </c>
      <c r="Z32" s="36"/>
      <c r="AA32" s="36"/>
    </row>
    <row r="33" spans="1:27" ht="11.25" customHeight="1" x14ac:dyDescent="0.25">
      <c r="A33" s="112"/>
      <c r="B33" s="112" t="s">
        <v>92</v>
      </c>
      <c r="C33" s="112" t="s">
        <v>45</v>
      </c>
      <c r="D33" s="112" t="s">
        <v>110</v>
      </c>
      <c r="E33" s="112" t="s">
        <v>25</v>
      </c>
      <c r="F33" s="112" t="s">
        <v>25</v>
      </c>
      <c r="G33" s="38" t="s">
        <v>94</v>
      </c>
      <c r="H33" s="38" t="s">
        <v>93</v>
      </c>
      <c r="I33" s="38">
        <f>'MERCADO TE'!$U$30</f>
        <v>0</v>
      </c>
      <c r="J33" s="15"/>
      <c r="L33" s="36">
        <f>1 - CUSTOS!$M$29</f>
        <v>1</v>
      </c>
      <c r="M33" s="36">
        <f>1 - CUSTOS!$M$29</f>
        <v>1</v>
      </c>
      <c r="N33" s="36">
        <f>1 - CUSTOS!$M$29</f>
        <v>1</v>
      </c>
      <c r="O33" s="36">
        <f>1 - CUSTOS!$M$29</f>
        <v>1</v>
      </c>
      <c r="P33" s="36"/>
      <c r="Q33" s="36">
        <f>(1 - CUSTOS!$M$29)*1.72</f>
        <v>1.72</v>
      </c>
      <c r="R33" s="36"/>
      <c r="S33" s="36">
        <f>1 - CUSTOS!$M$29</f>
        <v>1</v>
      </c>
      <c r="T33" s="36">
        <f>1 - CUSTOS!$M$29</f>
        <v>1</v>
      </c>
      <c r="U33" s="36">
        <f>1 - CUSTOS!$M$29</f>
        <v>1</v>
      </c>
      <c r="V33" s="36"/>
      <c r="W33" s="36"/>
      <c r="X33" s="36"/>
      <c r="Y33" s="36">
        <f>1 - CUSTOS!$M$29</f>
        <v>1</v>
      </c>
      <c r="Z33" s="36"/>
      <c r="AA33" s="36"/>
    </row>
    <row r="34" spans="1:27" ht="11.25" customHeight="1" x14ac:dyDescent="0.25">
      <c r="A34" s="112"/>
      <c r="B34" s="112"/>
      <c r="C34" s="112"/>
      <c r="D34" s="112"/>
      <c r="E34" s="112"/>
      <c r="F34" s="112"/>
      <c r="G34" s="38" t="s">
        <v>107</v>
      </c>
      <c r="H34" s="38" t="s">
        <v>93</v>
      </c>
      <c r="I34" s="38">
        <f>'MERCADO TE'!$U$31</f>
        <v>0</v>
      </c>
      <c r="J34" s="15"/>
      <c r="L34" s="36">
        <f>1 - CUSTOS!$M$29</f>
        <v>1</v>
      </c>
      <c r="M34" s="36">
        <f>1 - CUSTOS!$M$29</f>
        <v>1</v>
      </c>
      <c r="N34" s="36">
        <f>1 - CUSTOS!$M$29</f>
        <v>1</v>
      </c>
      <c r="O34" s="36">
        <f>1 - CUSTOS!$M$29</f>
        <v>1</v>
      </c>
      <c r="P34" s="36"/>
      <c r="Q34" s="36">
        <f>(1 - CUSTOS!$M$29)*1</f>
        <v>1</v>
      </c>
      <c r="R34" s="36"/>
      <c r="S34" s="36">
        <f>1 - CUSTOS!$M$29</f>
        <v>1</v>
      </c>
      <c r="T34" s="36">
        <f>1 - CUSTOS!$M$29</f>
        <v>1</v>
      </c>
      <c r="U34" s="36">
        <f>1 - CUSTOS!$M$29</f>
        <v>1</v>
      </c>
      <c r="V34" s="36"/>
      <c r="W34" s="36"/>
      <c r="X34" s="36"/>
      <c r="Y34" s="36">
        <f>1 - CUSTOS!$M$29</f>
        <v>1</v>
      </c>
      <c r="Z34" s="36"/>
      <c r="AA34" s="36"/>
    </row>
    <row r="35" spans="1:27" ht="11.25" customHeight="1" x14ac:dyDescent="0.25">
      <c r="A35" s="112"/>
      <c r="B35" s="112"/>
      <c r="C35" s="112"/>
      <c r="D35" s="112"/>
      <c r="E35" s="112"/>
      <c r="F35" s="112"/>
      <c r="G35" s="38" t="s">
        <v>95</v>
      </c>
      <c r="H35" s="38" t="s">
        <v>93</v>
      </c>
      <c r="I35" s="38">
        <f>'MERCADO TE'!$U$32</f>
        <v>0</v>
      </c>
      <c r="J35" s="15"/>
      <c r="L35" s="36">
        <f>1 - CUSTOS!$M$29</f>
        <v>1</v>
      </c>
      <c r="M35" s="36">
        <f>1 - CUSTOS!$M$29</f>
        <v>1</v>
      </c>
      <c r="N35" s="36">
        <f>1 - CUSTOS!$M$29</f>
        <v>1</v>
      </c>
      <c r="O35" s="36">
        <f>1 - CUSTOS!$M$29</f>
        <v>1</v>
      </c>
      <c r="P35" s="36"/>
      <c r="Q35" s="36">
        <f>(1 - CUSTOS!$M$29)*1</f>
        <v>1</v>
      </c>
      <c r="R35" s="36"/>
      <c r="S35" s="36">
        <f>1 - CUSTOS!$M$29</f>
        <v>1</v>
      </c>
      <c r="T35" s="36">
        <f>1 - CUSTOS!$M$29</f>
        <v>1</v>
      </c>
      <c r="U35" s="36">
        <f>1 - CUSTOS!$M$29</f>
        <v>1</v>
      </c>
      <c r="V35" s="36"/>
      <c r="W35" s="36"/>
      <c r="X35" s="36"/>
      <c r="Y35" s="36">
        <f>1 - CUSTOS!$M$29</f>
        <v>1</v>
      </c>
      <c r="Z35" s="36"/>
      <c r="AA35" s="36"/>
    </row>
    <row r="36" spans="1:27" ht="11.25" customHeight="1" x14ac:dyDescent="0.25">
      <c r="A36" s="112"/>
      <c r="B36" s="39" t="s">
        <v>103</v>
      </c>
      <c r="C36" s="39" t="s">
        <v>45</v>
      </c>
      <c r="D36" s="39" t="s">
        <v>110</v>
      </c>
      <c r="E36" s="39" t="s">
        <v>25</v>
      </c>
      <c r="F36" s="39" t="s">
        <v>25</v>
      </c>
      <c r="G36" s="38" t="s">
        <v>98</v>
      </c>
      <c r="H36" s="38" t="s">
        <v>93</v>
      </c>
      <c r="I36" s="38">
        <f>'MERCADO TE'!$U$33</f>
        <v>0</v>
      </c>
      <c r="J36" s="15"/>
      <c r="L36" s="36">
        <f>1 - CUSTOS!$M$29</f>
        <v>1</v>
      </c>
      <c r="M36" s="36">
        <f>1 - CUSTOS!$M$29</f>
        <v>1</v>
      </c>
      <c r="N36" s="36">
        <f>1 - CUSTOS!$M$29</f>
        <v>1</v>
      </c>
      <c r="O36" s="36">
        <f>1 - CUSTOS!$M$29</f>
        <v>1</v>
      </c>
      <c r="P36" s="36"/>
      <c r="Q36" s="36">
        <f>(1 - CUSTOS!$M$29)*1.06</f>
        <v>1.06</v>
      </c>
      <c r="R36" s="36"/>
      <c r="S36" s="36">
        <f>1 - CUSTOS!$M$29</f>
        <v>1</v>
      </c>
      <c r="T36" s="36">
        <f>1 - CUSTOS!$M$29</f>
        <v>1</v>
      </c>
      <c r="U36" s="36">
        <f>1 - CUSTOS!$M$29</f>
        <v>1</v>
      </c>
      <c r="V36" s="36"/>
      <c r="W36" s="36"/>
      <c r="X36" s="36"/>
      <c r="Y36" s="36">
        <f>1 - CUSTOS!$M$29</f>
        <v>1</v>
      </c>
      <c r="Z36" s="36"/>
      <c r="AA36" s="36"/>
    </row>
    <row r="37" spans="1:27" ht="11.25" customHeight="1" x14ac:dyDescent="0.25">
      <c r="A37" s="112"/>
      <c r="B37" s="112" t="s">
        <v>92</v>
      </c>
      <c r="C37" s="112" t="s">
        <v>45</v>
      </c>
      <c r="D37" s="112" t="s">
        <v>111</v>
      </c>
      <c r="E37" s="112" t="s">
        <v>25</v>
      </c>
      <c r="F37" s="112" t="s">
        <v>25</v>
      </c>
      <c r="G37" s="38" t="s">
        <v>94</v>
      </c>
      <c r="H37" s="38" t="s">
        <v>93</v>
      </c>
      <c r="I37" s="38">
        <f>'MERCADO TE'!$U$34</f>
        <v>0</v>
      </c>
      <c r="J37" s="15"/>
      <c r="L37" s="36">
        <f>1 - CUSTOS!$M$30</f>
        <v>1</v>
      </c>
      <c r="M37" s="36">
        <f>1 - CUSTOS!$M$30</f>
        <v>1</v>
      </c>
      <c r="N37" s="36">
        <f>1 - CUSTOS!$M$30</f>
        <v>1</v>
      </c>
      <c r="O37" s="36">
        <f>1 - CUSTOS!$M$30</f>
        <v>1</v>
      </c>
      <c r="P37" s="36"/>
      <c r="Q37" s="36">
        <f>(1 - CUSTOS!$M$30)*1.72</f>
        <v>1.72</v>
      </c>
      <c r="R37" s="36"/>
      <c r="S37" s="36">
        <f>1 - CUSTOS!$M$30</f>
        <v>1</v>
      </c>
      <c r="T37" s="36">
        <f>1 - CUSTOS!$M$30</f>
        <v>1</v>
      </c>
      <c r="U37" s="36">
        <f>1 - CUSTOS!$M$30</f>
        <v>1</v>
      </c>
      <c r="V37" s="36"/>
      <c r="W37" s="36"/>
      <c r="X37" s="36"/>
      <c r="Y37" s="36">
        <f>1 - CUSTOS!$M$30</f>
        <v>1</v>
      </c>
      <c r="Z37" s="36"/>
      <c r="AA37" s="36"/>
    </row>
    <row r="38" spans="1:27" ht="11.25" customHeight="1" x14ac:dyDescent="0.25">
      <c r="A38" s="112"/>
      <c r="B38" s="112"/>
      <c r="C38" s="112"/>
      <c r="D38" s="112"/>
      <c r="E38" s="112"/>
      <c r="F38" s="112"/>
      <c r="G38" s="38" t="s">
        <v>107</v>
      </c>
      <c r="H38" s="38" t="s">
        <v>93</v>
      </c>
      <c r="I38" s="38">
        <f>'MERCADO TE'!$U$35</f>
        <v>0</v>
      </c>
      <c r="J38" s="15"/>
      <c r="L38" s="36">
        <f>1 - CUSTOS!$M$30</f>
        <v>1</v>
      </c>
      <c r="M38" s="36">
        <f>1 - CUSTOS!$M$30</f>
        <v>1</v>
      </c>
      <c r="N38" s="36">
        <f>1 - CUSTOS!$M$30</f>
        <v>1</v>
      </c>
      <c r="O38" s="36">
        <f>1 - CUSTOS!$M$30</f>
        <v>1</v>
      </c>
      <c r="P38" s="36"/>
      <c r="Q38" s="36">
        <f>(1 - CUSTOS!$M$30)*1</f>
        <v>1</v>
      </c>
      <c r="R38" s="36"/>
      <c r="S38" s="36">
        <f>1 - CUSTOS!$M$30</f>
        <v>1</v>
      </c>
      <c r="T38" s="36">
        <f>1 - CUSTOS!$M$30</f>
        <v>1</v>
      </c>
      <c r="U38" s="36">
        <f>1 - CUSTOS!$M$30</f>
        <v>1</v>
      </c>
      <c r="V38" s="36"/>
      <c r="W38" s="36"/>
      <c r="X38" s="36"/>
      <c r="Y38" s="36">
        <f>1 - CUSTOS!$M$30</f>
        <v>1</v>
      </c>
      <c r="Z38" s="36"/>
      <c r="AA38" s="36"/>
    </row>
    <row r="39" spans="1:27" ht="11.25" customHeight="1" x14ac:dyDescent="0.25">
      <c r="A39" s="112"/>
      <c r="B39" s="112"/>
      <c r="C39" s="112"/>
      <c r="D39" s="112"/>
      <c r="E39" s="112"/>
      <c r="F39" s="112"/>
      <c r="G39" s="38" t="s">
        <v>95</v>
      </c>
      <c r="H39" s="38" t="s">
        <v>93</v>
      </c>
      <c r="I39" s="38">
        <f>'MERCADO TE'!$U$36</f>
        <v>0</v>
      </c>
      <c r="J39" s="15"/>
      <c r="L39" s="36">
        <f>1 - CUSTOS!$M$30</f>
        <v>1</v>
      </c>
      <c r="M39" s="36">
        <f>1 - CUSTOS!$M$30</f>
        <v>1</v>
      </c>
      <c r="N39" s="36">
        <f>1 - CUSTOS!$M$30</f>
        <v>1</v>
      </c>
      <c r="O39" s="36">
        <f>1 - CUSTOS!$M$30</f>
        <v>1</v>
      </c>
      <c r="P39" s="36"/>
      <c r="Q39" s="36">
        <f>(1 - CUSTOS!$M$30)*1</f>
        <v>1</v>
      </c>
      <c r="R39" s="36"/>
      <c r="S39" s="36">
        <f>1 - CUSTOS!$M$30</f>
        <v>1</v>
      </c>
      <c r="T39" s="36">
        <f>1 - CUSTOS!$M$30</f>
        <v>1</v>
      </c>
      <c r="U39" s="36">
        <f>1 - CUSTOS!$M$30</f>
        <v>1</v>
      </c>
      <c r="V39" s="36"/>
      <c r="W39" s="36"/>
      <c r="X39" s="36"/>
      <c r="Y39" s="36">
        <f>1 - CUSTOS!$M$30</f>
        <v>1</v>
      </c>
      <c r="Z39" s="36"/>
      <c r="AA39" s="36"/>
    </row>
    <row r="40" spans="1:27" ht="11.25" customHeight="1" x14ac:dyDescent="0.25">
      <c r="A40" s="112"/>
      <c r="B40" s="39" t="s">
        <v>103</v>
      </c>
      <c r="C40" s="39" t="s">
        <v>45</v>
      </c>
      <c r="D40" s="39" t="s">
        <v>111</v>
      </c>
      <c r="E40" s="39" t="s">
        <v>25</v>
      </c>
      <c r="F40" s="39" t="s">
        <v>25</v>
      </c>
      <c r="G40" s="38" t="s">
        <v>98</v>
      </c>
      <c r="H40" s="38" t="s">
        <v>93</v>
      </c>
      <c r="I40" s="38">
        <f>'MERCADO TE'!$U$37</f>
        <v>0</v>
      </c>
      <c r="J40" s="15"/>
      <c r="L40" s="36">
        <f>1 - CUSTOS!$M$30</f>
        <v>1</v>
      </c>
      <c r="M40" s="36">
        <f>1 - CUSTOS!$M$30</f>
        <v>1</v>
      </c>
      <c r="N40" s="36">
        <f>1 - CUSTOS!$M$30</f>
        <v>1</v>
      </c>
      <c r="O40" s="36">
        <f>1 - CUSTOS!$M$30</f>
        <v>1</v>
      </c>
      <c r="P40" s="36"/>
      <c r="Q40" s="36">
        <f>(1 - CUSTOS!$M$30)*1.06</f>
        <v>1.06</v>
      </c>
      <c r="R40" s="36"/>
      <c r="S40" s="36">
        <f>1 - CUSTOS!$M$30</f>
        <v>1</v>
      </c>
      <c r="T40" s="36">
        <f>1 - CUSTOS!$M$30</f>
        <v>1</v>
      </c>
      <c r="U40" s="36">
        <f>1 - CUSTOS!$M$30</f>
        <v>1</v>
      </c>
      <c r="V40" s="36"/>
      <c r="W40" s="36"/>
      <c r="X40" s="36"/>
      <c r="Y40" s="36">
        <f>1 - CUSTOS!$M$30</f>
        <v>1</v>
      </c>
      <c r="Z40" s="36"/>
      <c r="AA40" s="36"/>
    </row>
    <row r="41" spans="1:27" ht="11.25" customHeight="1" x14ac:dyDescent="0.25">
      <c r="A41" s="112"/>
      <c r="B41" s="112" t="s">
        <v>108</v>
      </c>
      <c r="C41" s="112" t="s">
        <v>45</v>
      </c>
      <c r="D41" s="39" t="s">
        <v>25</v>
      </c>
      <c r="E41" s="39" t="s">
        <v>25</v>
      </c>
      <c r="F41" s="39" t="s">
        <v>25</v>
      </c>
      <c r="G41" s="38" t="s">
        <v>98</v>
      </c>
      <c r="H41" s="38" t="s">
        <v>93</v>
      </c>
      <c r="I41" s="38">
        <f>'MERCADO TE'!$U$38</f>
        <v>0</v>
      </c>
      <c r="J41" s="15"/>
      <c r="L41" s="36">
        <f>1 - CUSTOS!$M$28</f>
        <v>1</v>
      </c>
      <c r="M41" s="36">
        <f>1 - CUSTOS!$M$28</f>
        <v>1</v>
      </c>
      <c r="N41" s="36">
        <f>1 - CUSTOS!$M$28</f>
        <v>1</v>
      </c>
      <c r="O41" s="36">
        <f>1 - CUSTOS!$M$28</f>
        <v>1</v>
      </c>
      <c r="P41" s="36"/>
      <c r="Q41" s="36">
        <f>(1 - CUSTOS!$M$28)*1.06</f>
        <v>1.06</v>
      </c>
      <c r="R41" s="36"/>
      <c r="S41" s="36">
        <f>1 - CUSTOS!$M$28</f>
        <v>1</v>
      </c>
      <c r="T41" s="36">
        <f>1 - CUSTOS!$M$28</f>
        <v>1</v>
      </c>
      <c r="U41" s="36">
        <f>1 - CUSTOS!$M$28</f>
        <v>1</v>
      </c>
      <c r="V41" s="36"/>
      <c r="W41" s="36"/>
      <c r="X41" s="36"/>
      <c r="Y41" s="36">
        <f>1 - CUSTOS!$M$28</f>
        <v>1</v>
      </c>
      <c r="Z41" s="36"/>
      <c r="AA41" s="36"/>
    </row>
    <row r="42" spans="1:27" ht="11.25" customHeight="1" x14ac:dyDescent="0.25">
      <c r="A42" s="112"/>
      <c r="B42" s="112"/>
      <c r="C42" s="112"/>
      <c r="D42" s="39" t="s">
        <v>110</v>
      </c>
      <c r="E42" s="39" t="s">
        <v>25</v>
      </c>
      <c r="F42" s="39" t="s">
        <v>25</v>
      </c>
      <c r="G42" s="38" t="s">
        <v>98</v>
      </c>
      <c r="H42" s="38" t="s">
        <v>93</v>
      </c>
      <c r="I42" s="38">
        <f>'MERCADO TE'!$U$39</f>
        <v>0</v>
      </c>
      <c r="J42" s="15"/>
      <c r="L42" s="36">
        <f>1 - CUSTOS!$M$29</f>
        <v>1</v>
      </c>
      <c r="M42" s="36">
        <f>1 - CUSTOS!$M$29</f>
        <v>1</v>
      </c>
      <c r="N42" s="36">
        <f>1 - CUSTOS!$M$29</f>
        <v>1</v>
      </c>
      <c r="O42" s="36">
        <f>1 - CUSTOS!$M$29</f>
        <v>1</v>
      </c>
      <c r="P42" s="36"/>
      <c r="Q42" s="36">
        <f>(1 - CUSTOS!$M$29)*1.06</f>
        <v>1.06</v>
      </c>
      <c r="R42" s="36"/>
      <c r="S42" s="36">
        <f>1 - CUSTOS!$M$29</f>
        <v>1</v>
      </c>
      <c r="T42" s="36">
        <f>1 - CUSTOS!$M$29</f>
        <v>1</v>
      </c>
      <c r="U42" s="36">
        <f>1 - CUSTOS!$M$29</f>
        <v>1</v>
      </c>
      <c r="V42" s="36"/>
      <c r="W42" s="36"/>
      <c r="X42" s="36"/>
      <c r="Y42" s="36">
        <f>1 - CUSTOS!$M$29</f>
        <v>1</v>
      </c>
      <c r="Z42" s="36"/>
      <c r="AA42" s="36"/>
    </row>
    <row r="43" spans="1:27" ht="11.25" customHeight="1" x14ac:dyDescent="0.25">
      <c r="A43" s="112"/>
      <c r="B43" s="112"/>
      <c r="C43" s="112"/>
      <c r="D43" s="39" t="s">
        <v>111</v>
      </c>
      <c r="E43" s="39" t="s">
        <v>25</v>
      </c>
      <c r="F43" s="39" t="s">
        <v>25</v>
      </c>
      <c r="G43" s="38" t="s">
        <v>98</v>
      </c>
      <c r="H43" s="38" t="s">
        <v>93</v>
      </c>
      <c r="I43" s="38">
        <f>'MERCADO TE'!$U$40</f>
        <v>0</v>
      </c>
      <c r="J43" s="15"/>
      <c r="L43" s="36">
        <f>1 - CUSTOS!$M$30</f>
        <v>1</v>
      </c>
      <c r="M43" s="36">
        <f>1 - CUSTOS!$M$30</f>
        <v>1</v>
      </c>
      <c r="N43" s="36">
        <f>1 - CUSTOS!$M$30</f>
        <v>1</v>
      </c>
      <c r="O43" s="36">
        <f>1 - CUSTOS!$M$30</f>
        <v>1</v>
      </c>
      <c r="P43" s="36"/>
      <c r="Q43" s="36">
        <f>(1 - CUSTOS!$M$30)*1.06</f>
        <v>1.06</v>
      </c>
      <c r="R43" s="36"/>
      <c r="S43" s="36">
        <f>1 - CUSTOS!$M$30</f>
        <v>1</v>
      </c>
      <c r="T43" s="36">
        <f>1 - CUSTOS!$M$30</f>
        <v>1</v>
      </c>
      <c r="U43" s="36">
        <f>1 - CUSTOS!$M$30</f>
        <v>1</v>
      </c>
      <c r="V43" s="36"/>
      <c r="W43" s="36"/>
      <c r="X43" s="36"/>
      <c r="Y43" s="36">
        <f>1 - CUSTOS!$M$30</f>
        <v>1</v>
      </c>
      <c r="Z43" s="36"/>
      <c r="AA43" s="36"/>
    </row>
    <row r="44" spans="1:27" ht="11.25" customHeight="1" x14ac:dyDescent="0.25">
      <c r="A44" s="112" t="s">
        <v>37</v>
      </c>
      <c r="B44" s="112" t="s">
        <v>92</v>
      </c>
      <c r="C44" s="112" t="s">
        <v>25</v>
      </c>
      <c r="D44" s="112" t="s">
        <v>25</v>
      </c>
      <c r="E44" s="112" t="s">
        <v>25</v>
      </c>
      <c r="F44" s="112" t="s">
        <v>25</v>
      </c>
      <c r="G44" s="38" t="s">
        <v>94</v>
      </c>
      <c r="H44" s="38" t="s">
        <v>93</v>
      </c>
      <c r="I44" s="38">
        <f>'MERCADO TE'!$U$41</f>
        <v>102.03199999999998</v>
      </c>
      <c r="J44" s="15"/>
      <c r="L44" s="36">
        <f>1 - CUSTOS!$M$31</f>
        <v>1</v>
      </c>
      <c r="M44" s="36">
        <f>1 - CUSTOS!$M$31</f>
        <v>1</v>
      </c>
      <c r="N44" s="36">
        <f>1 - CUSTOS!$M$31</f>
        <v>1</v>
      </c>
      <c r="O44" s="36">
        <f>1 - CUSTOS!$M$31</f>
        <v>1</v>
      </c>
      <c r="P44" s="36"/>
      <c r="Q44" s="36">
        <f>(1 - CUSTOS!$M$31)*1.72</f>
        <v>1.72</v>
      </c>
      <c r="R44" s="36"/>
      <c r="S44" s="36">
        <f>1 - CUSTOS!$M$31</f>
        <v>1</v>
      </c>
      <c r="T44" s="36">
        <f>1 - CUSTOS!$M$31</f>
        <v>1</v>
      </c>
      <c r="U44" s="36">
        <f>1 - CUSTOS!$M$31</f>
        <v>1</v>
      </c>
      <c r="V44" s="36"/>
      <c r="W44" s="36"/>
      <c r="X44" s="36"/>
      <c r="Y44" s="36">
        <f>1 - CUSTOS!$M$31</f>
        <v>1</v>
      </c>
      <c r="Z44" s="36"/>
      <c r="AA44" s="36"/>
    </row>
    <row r="45" spans="1:27" ht="11.25" customHeight="1" x14ac:dyDescent="0.25">
      <c r="A45" s="112"/>
      <c r="B45" s="112"/>
      <c r="C45" s="112"/>
      <c r="D45" s="112"/>
      <c r="E45" s="112"/>
      <c r="F45" s="112"/>
      <c r="G45" s="38" t="s">
        <v>107</v>
      </c>
      <c r="H45" s="38" t="s">
        <v>93</v>
      </c>
      <c r="I45" s="38">
        <f>'MERCADO TE'!$U$42</f>
        <v>72.591000000000008</v>
      </c>
      <c r="J45" s="15"/>
      <c r="L45" s="36">
        <f>1 - CUSTOS!$M$31</f>
        <v>1</v>
      </c>
      <c r="M45" s="36">
        <f>1 - CUSTOS!$M$31</f>
        <v>1</v>
      </c>
      <c r="N45" s="36">
        <f>1 - CUSTOS!$M$31</f>
        <v>1</v>
      </c>
      <c r="O45" s="36">
        <f>1 - CUSTOS!$M$31</f>
        <v>1</v>
      </c>
      <c r="P45" s="36"/>
      <c r="Q45" s="36">
        <f>(1 - CUSTOS!$M$31)*1</f>
        <v>1</v>
      </c>
      <c r="R45" s="36"/>
      <c r="S45" s="36">
        <f>1 - CUSTOS!$M$31</f>
        <v>1</v>
      </c>
      <c r="T45" s="36">
        <f>1 - CUSTOS!$M$31</f>
        <v>1</v>
      </c>
      <c r="U45" s="36">
        <f>1 - CUSTOS!$M$31</f>
        <v>1</v>
      </c>
      <c r="V45" s="36"/>
      <c r="W45" s="36"/>
      <c r="X45" s="36"/>
      <c r="Y45" s="36">
        <f>1 - CUSTOS!$M$31</f>
        <v>1</v>
      </c>
      <c r="Z45" s="36"/>
      <c r="AA45" s="36"/>
    </row>
    <row r="46" spans="1:27" ht="11.25" customHeight="1" x14ac:dyDescent="0.25">
      <c r="A46" s="112"/>
      <c r="B46" s="112"/>
      <c r="C46" s="112"/>
      <c r="D46" s="112"/>
      <c r="E46" s="112"/>
      <c r="F46" s="112"/>
      <c r="G46" s="38" t="s">
        <v>95</v>
      </c>
      <c r="H46" s="38" t="s">
        <v>93</v>
      </c>
      <c r="I46" s="38">
        <f>'MERCADO TE'!$U$43</f>
        <v>1401.5319999999997</v>
      </c>
      <c r="J46" s="15"/>
      <c r="L46" s="36">
        <f>1 - CUSTOS!$M$31</f>
        <v>1</v>
      </c>
      <c r="M46" s="36">
        <f>1 - CUSTOS!$M$31</f>
        <v>1</v>
      </c>
      <c r="N46" s="36">
        <f>1 - CUSTOS!$M$31</f>
        <v>1</v>
      </c>
      <c r="O46" s="36">
        <f>1 - CUSTOS!$M$31</f>
        <v>1</v>
      </c>
      <c r="P46" s="36"/>
      <c r="Q46" s="36">
        <f>(1 - CUSTOS!$M$31)*1</f>
        <v>1</v>
      </c>
      <c r="R46" s="36"/>
      <c r="S46" s="36">
        <f>1 - CUSTOS!$M$31</f>
        <v>1</v>
      </c>
      <c r="T46" s="36">
        <f>1 - CUSTOS!$M$31</f>
        <v>1</v>
      </c>
      <c r="U46" s="36">
        <f>1 - CUSTOS!$M$31</f>
        <v>1</v>
      </c>
      <c r="V46" s="36"/>
      <c r="W46" s="36"/>
      <c r="X46" s="36"/>
      <c r="Y46" s="36">
        <f>1 - CUSTOS!$M$31</f>
        <v>1</v>
      </c>
      <c r="Z46" s="36"/>
      <c r="AA46" s="36"/>
    </row>
    <row r="47" spans="1:27" ht="11.25" customHeight="1" x14ac:dyDescent="0.25">
      <c r="A47" s="112"/>
      <c r="B47" s="39" t="s">
        <v>103</v>
      </c>
      <c r="C47" s="39" t="s">
        <v>25</v>
      </c>
      <c r="D47" s="39" t="s">
        <v>25</v>
      </c>
      <c r="E47" s="39" t="s">
        <v>25</v>
      </c>
      <c r="F47" s="39" t="s">
        <v>25</v>
      </c>
      <c r="G47" s="38" t="s">
        <v>98</v>
      </c>
      <c r="H47" s="38" t="s">
        <v>93</v>
      </c>
      <c r="I47" s="38">
        <f>'MERCADO TE'!$U$44</f>
        <v>352409.69800000003</v>
      </c>
      <c r="J47" s="15"/>
      <c r="L47" s="36">
        <f>1 - CUSTOS!$M$31</f>
        <v>1</v>
      </c>
      <c r="M47" s="36">
        <f>1 - CUSTOS!$M$31</f>
        <v>1</v>
      </c>
      <c r="N47" s="36">
        <f>1 - CUSTOS!$M$31</f>
        <v>1</v>
      </c>
      <c r="O47" s="36">
        <f>1 - CUSTOS!$M$31</f>
        <v>1</v>
      </c>
      <c r="P47" s="36"/>
      <c r="Q47" s="36">
        <f>(1 - CUSTOS!$M$31)*1.06</f>
        <v>1.06</v>
      </c>
      <c r="R47" s="36"/>
      <c r="S47" s="36">
        <f>1 - CUSTOS!$M$31</f>
        <v>1</v>
      </c>
      <c r="T47" s="36">
        <f>1 - CUSTOS!$M$31</f>
        <v>1</v>
      </c>
      <c r="U47" s="36">
        <f>1 - CUSTOS!$M$31</f>
        <v>1</v>
      </c>
      <c r="V47" s="36"/>
      <c r="W47" s="36"/>
      <c r="X47" s="36"/>
      <c r="Y47" s="36">
        <f>1 - CUSTOS!$M$31</f>
        <v>1</v>
      </c>
      <c r="Z47" s="36"/>
      <c r="AA47" s="36"/>
    </row>
    <row r="48" spans="1:27" ht="11.25" customHeight="1" x14ac:dyDescent="0.25">
      <c r="A48" s="112"/>
      <c r="B48" s="39" t="s">
        <v>108</v>
      </c>
      <c r="C48" s="39" t="s">
        <v>25</v>
      </c>
      <c r="D48" s="39" t="s">
        <v>25</v>
      </c>
      <c r="E48" s="39" t="s">
        <v>25</v>
      </c>
      <c r="F48" s="39" t="s">
        <v>25</v>
      </c>
      <c r="G48" s="38" t="s">
        <v>98</v>
      </c>
      <c r="H48" s="38" t="s">
        <v>93</v>
      </c>
      <c r="I48" s="38">
        <f>'MERCADO TE'!$U$45</f>
        <v>0</v>
      </c>
      <c r="J48" s="15"/>
      <c r="L48" s="36">
        <f>1 - CUSTOS!$M$31</f>
        <v>1</v>
      </c>
      <c r="M48" s="36">
        <f>1 - CUSTOS!$M$31</f>
        <v>1</v>
      </c>
      <c r="N48" s="36">
        <f>1 - CUSTOS!$M$31</f>
        <v>1</v>
      </c>
      <c r="O48" s="36">
        <f>1 - CUSTOS!$M$31</f>
        <v>1</v>
      </c>
      <c r="P48" s="36"/>
      <c r="Q48" s="36">
        <f>(1 - CUSTOS!$M$31)*1.06</f>
        <v>1.06</v>
      </c>
      <c r="R48" s="36"/>
      <c r="S48" s="36">
        <f>1 - CUSTOS!$M$31</f>
        <v>1</v>
      </c>
      <c r="T48" s="36">
        <f>1 - CUSTOS!$M$31</f>
        <v>1</v>
      </c>
      <c r="U48" s="36">
        <f>1 - CUSTOS!$M$31</f>
        <v>1</v>
      </c>
      <c r="V48" s="36"/>
      <c r="W48" s="36"/>
      <c r="X48" s="36"/>
      <c r="Y48" s="36">
        <f>1 - CUSTOS!$M$31</f>
        <v>1</v>
      </c>
      <c r="Z48" s="36"/>
      <c r="AA48" s="36"/>
    </row>
    <row r="49" spans="1:27" ht="11.25" customHeight="1" x14ac:dyDescent="0.25">
      <c r="A49" s="112" t="s">
        <v>47</v>
      </c>
      <c r="B49" s="112" t="s">
        <v>103</v>
      </c>
      <c r="C49" s="112" t="s">
        <v>48</v>
      </c>
      <c r="D49" s="39" t="s">
        <v>49</v>
      </c>
      <c r="E49" s="39" t="s">
        <v>25</v>
      </c>
      <c r="F49" s="39" t="s">
        <v>25</v>
      </c>
      <c r="G49" s="38" t="s">
        <v>98</v>
      </c>
      <c r="H49" s="38" t="s">
        <v>93</v>
      </c>
      <c r="I49" s="38">
        <f>'MERCADO TE'!$U$46</f>
        <v>197535.73299999998</v>
      </c>
      <c r="J49" s="15"/>
      <c r="L49" s="36">
        <f>1 - CUSTOS!$M$32</f>
        <v>0.55000000000000004</v>
      </c>
      <c r="M49" s="36">
        <f>1 - CUSTOS!$M$32</f>
        <v>0.55000000000000004</v>
      </c>
      <c r="N49" s="36">
        <f>1 - CUSTOS!$M$32</f>
        <v>0.55000000000000004</v>
      </c>
      <c r="O49" s="36">
        <f>1 - CUSTOS!$M$32</f>
        <v>0.55000000000000004</v>
      </c>
      <c r="P49" s="36"/>
      <c r="Q49" s="36">
        <f>(1 - CUSTOS!$M$32)*1.06</f>
        <v>0.58300000000000007</v>
      </c>
      <c r="R49" s="36"/>
      <c r="S49" s="36">
        <f>1 - CUSTOS!$M$32</f>
        <v>0.55000000000000004</v>
      </c>
      <c r="T49" s="36">
        <f>1 - CUSTOS!$M$32</f>
        <v>0.55000000000000004</v>
      </c>
      <c r="U49" s="36">
        <f>1 - CUSTOS!$M$32</f>
        <v>0.55000000000000004</v>
      </c>
      <c r="V49" s="36"/>
      <c r="W49" s="36"/>
      <c r="X49" s="36"/>
      <c r="Y49" s="36">
        <f>1 - CUSTOS!$M$32</f>
        <v>0.55000000000000004</v>
      </c>
      <c r="Z49" s="36"/>
      <c r="AA49" s="36"/>
    </row>
    <row r="50" spans="1:27" ht="11.25" customHeight="1" x14ac:dyDescent="0.25">
      <c r="A50" s="112"/>
      <c r="B50" s="112"/>
      <c r="C50" s="112"/>
      <c r="D50" s="38" t="s">
        <v>112</v>
      </c>
      <c r="E50" s="38" t="s">
        <v>25</v>
      </c>
      <c r="F50" s="38" t="s">
        <v>25</v>
      </c>
      <c r="G50" s="38" t="s">
        <v>98</v>
      </c>
      <c r="H50" s="38" t="s">
        <v>93</v>
      </c>
      <c r="I50" s="38">
        <f>'MERCADO TE'!$U$47</f>
        <v>0</v>
      </c>
      <c r="J50" s="15"/>
      <c r="L50" s="36">
        <f>1 - CUSTOS!$M$33</f>
        <v>0.6</v>
      </c>
      <c r="M50" s="36">
        <f>1 - CUSTOS!$M$33</f>
        <v>0.6</v>
      </c>
      <c r="N50" s="36">
        <f>1 - CUSTOS!$M$33</f>
        <v>0.6</v>
      </c>
      <c r="O50" s="36">
        <f>1 - CUSTOS!$M$33</f>
        <v>0.6</v>
      </c>
      <c r="P50" s="36"/>
      <c r="Q50" s="36">
        <f>(1 - CUSTOS!$M$33)*1.06</f>
        <v>0.63600000000000001</v>
      </c>
      <c r="R50" s="36"/>
      <c r="S50" s="36">
        <f>1 - CUSTOS!$M$33</f>
        <v>0.6</v>
      </c>
      <c r="T50" s="36">
        <f>1 - CUSTOS!$M$33</f>
        <v>0.6</v>
      </c>
      <c r="U50" s="36">
        <f>1 - CUSTOS!$M$33</f>
        <v>0.6</v>
      </c>
      <c r="V50" s="36"/>
      <c r="W50" s="36"/>
      <c r="X50" s="36"/>
      <c r="Y50" s="36">
        <f>1 - CUSTOS!$M$33</f>
        <v>0.6</v>
      </c>
      <c r="Z50" s="36"/>
      <c r="AA50" s="36"/>
    </row>
    <row r="52" spans="1:27" ht="11.25" customHeight="1" x14ac:dyDescent="0.25">
      <c r="K52" s="41" t="s">
        <v>964</v>
      </c>
      <c r="L52" s="36">
        <f t="shared" ref="L52:AA52" si="0">SUMPRODUCT($I$5:$I$50,L$5:L$50)</f>
        <v>2585278.6461499999</v>
      </c>
      <c r="M52" s="36">
        <f t="shared" si="0"/>
        <v>2585278.6461499999</v>
      </c>
      <c r="N52" s="36">
        <f t="shared" si="0"/>
        <v>2585278.6461499999</v>
      </c>
      <c r="O52" s="36">
        <f t="shared" si="0"/>
        <v>2585278.6461499999</v>
      </c>
      <c r="P52" s="36">
        <f t="shared" si="0"/>
        <v>0</v>
      </c>
      <c r="Q52" s="36">
        <f t="shared" si="0"/>
        <v>2731764.6101390002</v>
      </c>
      <c r="R52" s="36">
        <f t="shared" si="0"/>
        <v>0</v>
      </c>
      <c r="S52" s="36">
        <f t="shared" si="0"/>
        <v>2585278.6461499999</v>
      </c>
      <c r="T52" s="36">
        <f t="shared" si="0"/>
        <v>2585278.6461499999</v>
      </c>
      <c r="U52" s="36">
        <f t="shared" si="0"/>
        <v>2585278.6461499999</v>
      </c>
      <c r="V52" s="36">
        <f t="shared" si="0"/>
        <v>0</v>
      </c>
      <c r="W52" s="36">
        <f t="shared" si="0"/>
        <v>0</v>
      </c>
      <c r="X52" s="36">
        <f t="shared" si="0"/>
        <v>0</v>
      </c>
      <c r="Y52" s="36">
        <f t="shared" si="0"/>
        <v>2585278.6461499999</v>
      </c>
      <c r="Z52" s="36">
        <f t="shared" si="0"/>
        <v>0</v>
      </c>
      <c r="AA52" s="36">
        <f t="shared" si="0"/>
        <v>0</v>
      </c>
    </row>
    <row r="53" spans="1:27" ht="11.25" customHeight="1" x14ac:dyDescent="0.25">
      <c r="K53" s="41" t="s">
        <v>899</v>
      </c>
      <c r="L53" s="36">
        <f>CUSTOS!$D$30</f>
        <v>6780086.7341029542</v>
      </c>
      <c r="M53" s="36">
        <f>CUSTOS!$D$31</f>
        <v>44173415.506152324</v>
      </c>
      <c r="N53" s="36">
        <f>CUSTOS!$D$32</f>
        <v>0</v>
      </c>
      <c r="O53" s="36">
        <f>CUSTOS!$D$33</f>
        <v>9633157.0101621784</v>
      </c>
      <c r="P53" s="36">
        <f>CUSTOS!$D$34</f>
        <v>60586659.250417456</v>
      </c>
      <c r="Q53" s="36">
        <f>CUSTOS!$D$35</f>
        <v>578739872.88881707</v>
      </c>
      <c r="R53" s="36">
        <f>CUSTOS!$D$36</f>
        <v>578739872.88881707</v>
      </c>
      <c r="S53" s="36">
        <f>CUSTOS!$D$37</f>
        <v>0</v>
      </c>
      <c r="T53" s="36">
        <f>CUSTOS!$D$38</f>
        <v>0</v>
      </c>
      <c r="U53" s="36">
        <f>CUSTOS!$D$39</f>
        <v>9.9999999999999995E-7</v>
      </c>
      <c r="V53" s="36">
        <f>CUSTOS!$D$40</f>
        <v>9.9999999999999995E-7</v>
      </c>
      <c r="W53" s="36">
        <f>CUSTOS!$D$41</f>
        <v>0</v>
      </c>
      <c r="X53" s="36">
        <f>CUSTOS!$D$42</f>
        <v>0</v>
      </c>
      <c r="Y53" s="36">
        <f>CUSTOS!$D$43</f>
        <v>14737425.722460933</v>
      </c>
      <c r="Z53" s="36">
        <f>CUSTOS!$D$44</f>
        <v>14737425.722460933</v>
      </c>
      <c r="AA53" s="36">
        <f>CUSTOS!$D$45</f>
        <v>654063957.86169648</v>
      </c>
    </row>
    <row r="54" spans="1:27" ht="11.25" customHeight="1" x14ac:dyDescent="0.25">
      <c r="K54" s="41" t="s">
        <v>900</v>
      </c>
      <c r="L54" s="36">
        <f>CUSTOS!$E$30</f>
        <v>-3280.8486845495613</v>
      </c>
      <c r="M54" s="36">
        <f>CUSTOS!$E$31</f>
        <v>-77114544.237402737</v>
      </c>
      <c r="N54" s="36">
        <f>CUSTOS!$E$32</f>
        <v>0</v>
      </c>
      <c r="O54" s="36">
        <f>CUSTOS!$E$33</f>
        <v>-481434.36160427966</v>
      </c>
      <c r="P54" s="36">
        <f>CUSTOS!$E$34</f>
        <v>-77599259.44769156</v>
      </c>
      <c r="Q54" s="36">
        <f>CUSTOS!$E$35</f>
        <v>-42979281.433094189</v>
      </c>
      <c r="R54" s="36">
        <f>CUSTOS!$E$36</f>
        <v>-42979281.433094189</v>
      </c>
      <c r="S54" s="36">
        <f>CUSTOS!$E$37</f>
        <v>0</v>
      </c>
      <c r="T54" s="36">
        <f>CUSTOS!$E$38</f>
        <v>0</v>
      </c>
      <c r="U54" s="36">
        <f>CUSTOS!$E$39</f>
        <v>0</v>
      </c>
      <c r="V54" s="36">
        <f>CUSTOS!$E$40</f>
        <v>0</v>
      </c>
      <c r="W54" s="36">
        <f>CUSTOS!$E$41</f>
        <v>-53981673.611668848</v>
      </c>
      <c r="X54" s="36">
        <f>CUSTOS!$E$42</f>
        <v>-53981673.611668848</v>
      </c>
      <c r="Y54" s="36">
        <f>CUSTOS!$E$43</f>
        <v>-1094453.6524903555</v>
      </c>
      <c r="Z54" s="36">
        <f>CUSTOS!$E$44</f>
        <v>-1094453.6524903555</v>
      </c>
      <c r="AA54" s="36">
        <f>CUSTOS!$E$45</f>
        <v>-175654668.14494494</v>
      </c>
    </row>
    <row r="55" spans="1:27" ht="11.25" customHeight="1" x14ac:dyDescent="0.25">
      <c r="K55" s="41" t="s">
        <v>901</v>
      </c>
      <c r="L55" s="36">
        <f>CUSTOS!$F$30</f>
        <v>0</v>
      </c>
      <c r="M55" s="36">
        <f>CUSTOS!$F$31</f>
        <v>88617019.98359926</v>
      </c>
      <c r="N55" s="36">
        <f>CUSTOS!$F$32</f>
        <v>0</v>
      </c>
      <c r="O55" s="36">
        <f>CUSTOS!$F$33</f>
        <v>626300.36751540366</v>
      </c>
      <c r="P55" s="36">
        <f>CUSTOS!$F$34</f>
        <v>89243320.351114661</v>
      </c>
      <c r="Q55" s="36">
        <f>CUSTOS!$F$35</f>
        <v>41955382.868036844</v>
      </c>
      <c r="R55" s="36">
        <f>CUSTOS!$F$36</f>
        <v>41955382.868036844</v>
      </c>
      <c r="S55" s="36">
        <f>CUSTOS!$F$37</f>
        <v>0</v>
      </c>
      <c r="T55" s="36">
        <f>CUSTOS!$F$38</f>
        <v>0</v>
      </c>
      <c r="U55" s="36">
        <f>CUSTOS!$F$39</f>
        <v>0</v>
      </c>
      <c r="V55" s="36">
        <f>CUSTOS!$F$40</f>
        <v>0</v>
      </c>
      <c r="W55" s="36">
        <f>CUSTOS!$F$41</f>
        <v>0</v>
      </c>
      <c r="X55" s="36">
        <f>CUSTOS!$F$42</f>
        <v>0</v>
      </c>
      <c r="Y55" s="36">
        <f>CUSTOS!$F$43</f>
        <v>1068380.4030794483</v>
      </c>
      <c r="Z55" s="36">
        <f>CUSTOS!$F$44</f>
        <v>1068380.4030794483</v>
      </c>
      <c r="AA55" s="36">
        <f>CUSTOS!$F$45</f>
        <v>132267083.62223095</v>
      </c>
    </row>
    <row r="56" spans="1:27" ht="11.25" customHeight="1" x14ac:dyDescent="0.25">
      <c r="K56" s="41" t="s">
        <v>965</v>
      </c>
      <c r="L56" s="36">
        <f>IF(SUMPRODUCT($I$5:$I$50,$L$5:$L$50)&lt;&gt;0,L53/SUMPRODUCT($I$5:$I$50,$L$5:$L$50),0)</f>
        <v>2.6225748408976601</v>
      </c>
      <c r="M56" s="36">
        <f>IF(SUMPRODUCT($I$5:$I$50,$M$5:$M$50)&lt;&gt;0,M53/SUMPRODUCT($I$5:$I$50,$M$5:$M$50),0)</f>
        <v>17.086520082442728</v>
      </c>
      <c r="N56" s="36">
        <f>IF(SUMPRODUCT($I$5:$I$50,$N$5:$N$50)&lt;&gt;0,N53/SUMPRODUCT($I$5:$I$50,$N$5:$N$50),0)</f>
        <v>0</v>
      </c>
      <c r="O56" s="36">
        <f>IF(SUMPRODUCT($I$5:$I$50,$O$5:$O$50)&lt;&gt;0,O53/SUMPRODUCT($I$5:$I$50,$O$5:$O$50),0)</f>
        <v>3.7261581162664563</v>
      </c>
      <c r="P56" s="36"/>
      <c r="Q56" s="36">
        <f>IF((CUSTOS!$M$12-CUSTOS!$M$13)&lt;&gt;0,(CUSTOS!$M$12*CUSTOS!$M$14)/(CUSTOS!$M$12-CUSTOS!$M$13),0)</f>
        <v>220.33789786456316</v>
      </c>
      <c r="R56" s="36"/>
      <c r="S56" s="36">
        <f>IF(SUMPRODUCT($I$5:$I$50,$S$5:$S$50)&lt;&gt;0,S53/SUMPRODUCT($I$5:$I$50,$S$5:$S$50),0)</f>
        <v>0</v>
      </c>
      <c r="T56" s="36">
        <f>IF(SUMPRODUCT($I$5:$I$50,$T$5:$T$50)&lt;&gt;0,T53/SUMPRODUCT($I$5:$I$50,$T$5:$T$50),0)</f>
        <v>0</v>
      </c>
      <c r="U56" s="36">
        <f>IF(SUMPRODUCT($I$5:$I$50,$U$5:$U$50)&lt;&gt;0,U53/SUMPRODUCT($I$5:$I$50,$U$5:$U$50),0)</f>
        <v>3.8680550024625049E-13</v>
      </c>
      <c r="V56" s="36"/>
      <c r="W56" s="36">
        <f>IF(SUMPRODUCT($I$5:$I$50,$W$5:$W$50)&lt;&gt;0,W53/SUMPRODUCT($I$5:$I$50,$W$5:$W$50),0)</f>
        <v>0</v>
      </c>
      <c r="X56" s="36"/>
      <c r="Y56" s="36">
        <f>IF(SUMPRODUCT($I$5:$I$50,$Y$5:$Y$50)&lt;&gt;0,Y53/SUMPRODUCT($I$5:$I$50,$Y$5:$Y$50),0)</f>
        <v>5.700517328918461</v>
      </c>
      <c r="Z56" s="36"/>
      <c r="AA56" s="36"/>
    </row>
    <row r="57" spans="1:27" ht="11.25" customHeight="1" x14ac:dyDescent="0.25">
      <c r="K57" s="41" t="s">
        <v>966</v>
      </c>
      <c r="L57" s="36">
        <f>IF(L52&lt;&gt;0,(L53-L56*(+ $I$7*L$7+ $I$8*L$8+ $I$9*L$9+ $I$12*L$12+ $I$14*L$14+ $I$15*L$15))/(L52-(+ $I$7*L$7+ $I$8*L$8+ $I$9*L$9+ $I$12*L$12+ $I$14*L$14+ $I$15*L$15)),0)</f>
        <v>2.6225748408976601</v>
      </c>
      <c r="M57" s="36">
        <f>IF(M52&lt;&gt;0,(M53-M56*(+ $I$7*M$7+ $I$8*M$8+ $I$9*M$9+ $I$12*M$12+ $I$14*M$14+ $I$15*M$15))/(M52-(+ $I$7*M$7+ $I$8*M$8+ $I$9*M$9+ $I$12*M$12+ $I$14*M$14+ $I$15*M$15)),0)</f>
        <v>17.086520082442728</v>
      </c>
      <c r="N57" s="36">
        <f>IF(N52&lt;&gt;0,(N53-N56*(+ $I$7*N$7+ $I$8*N$8+ $I$9*N$9+ $I$12*N$12+ $I$14*N$14+ $I$15*N$15))/(N52-(+ $I$7*N$7+ $I$8*N$8+ $I$9*N$9+ $I$12*N$12+ $I$14*N$14+ $I$15*N$15)),0)</f>
        <v>0</v>
      </c>
      <c r="O57" s="36">
        <f>IF(O52&lt;&gt;0,(O53-O56*(+ $I$7*O$7+ $I$8*O$8+ $I$9*O$9+ $I$12*O$12+ $I$14*O$14+ $I$15*O$15))/(O52-(+ $I$7*O$7+ $I$8*O$8+ $I$9*O$9+ $I$12*O$12+ $I$14*O$14+ $I$15*O$15)),0)</f>
        <v>3.7261581162664563</v>
      </c>
      <c r="P57" s="36"/>
      <c r="Q57" s="36">
        <f>IF(Q52&lt;&gt;0,(Q53-Q56*(+ $I$7+ $I$8+ $I$9+ $I$12+ $I$14+ $I$15))/(Q52-(+ $I$7*Q$7+ $I$8*Q$8+ $I$9*Q$9+ $I$12*Q$12+ $I$14*Q$14+ $I$15*Q$15)),0)</f>
        <v>212.37654329195246</v>
      </c>
      <c r="R57" s="36"/>
      <c r="S57" s="36">
        <f>IF(S52&lt;&gt;0,(S53-S56*(+ $I$7*S$7+ $I$8*S$8+ $I$9*S$9+ $I$12*S$12+ $I$14*S$14+ $I$15*S$15))/(S52-(+ $I$7*S$7+ $I$8*S$8+ $I$9*S$9+ $I$12*S$12+ $I$14*S$14+ $I$15*S$15)),0)</f>
        <v>0</v>
      </c>
      <c r="T57" s="36">
        <f>IF(T52&lt;&gt;0,(T53-T56*(+ $I$7*T$7+ $I$8*T$8+ $I$9*T$9+ $I$12*T$12+ $I$14*T$14+ $I$15*T$15))/(T52-(+ $I$7*T$7+ $I$8*T$8+ $I$9*T$9+ $I$12*T$12+ $I$14*T$14+ $I$15*T$15)),0)</f>
        <v>0</v>
      </c>
      <c r="U57" s="36">
        <f>IF(U52&lt;&gt;0,(U53-U56*(+ $I$7*U$7+ $I$8*U$8+ $I$9*U$9+ $I$12*U$12+ $I$14*U$14+ $I$15*U$15))/(U52-(+ $I$7*U$7+ $I$8*U$8+ $I$9*U$9+ $I$12*U$12+ $I$14*U$14+ $I$15*U$15)),0)</f>
        <v>3.8680550024625049E-13</v>
      </c>
      <c r="V57" s="36"/>
      <c r="W57" s="36">
        <f>IF(W52&lt;&gt;0,(W53-W56*(+ $I$7*W$7+ $I$8*W$8+ $I$9*W$9+ $I$12*W$12+ $I$14*W$14+ $I$15*W$15))/(W52-(+ $I$7*W$7+ $I$8*W$8+ $I$9*W$9+ $I$12*W$12+ $I$14*W$14+ $I$15*W$15)),0)</f>
        <v>0</v>
      </c>
      <c r="X57" s="36"/>
      <c r="Y57" s="36">
        <f>IF(Y52&lt;&gt;0,(Y53-Y56*(+ $I$7*Y$7+ $I$8*Y$8+ $I$9*Y$9+ $I$12*Y$12+ $I$14*Y$14+ $I$15*Y$15))/(Y52-(+ $I$7*Y$7+ $I$8*Y$8+ $I$9*Y$9+ $I$12*Y$12+ $I$14*Y$14+ $I$15*Y$15)),0)</f>
        <v>5.700517328918461</v>
      </c>
      <c r="Z57" s="36"/>
      <c r="AA57" s="36"/>
    </row>
    <row r="58" spans="1:27" ht="11.25" customHeight="1" x14ac:dyDescent="0.25">
      <c r="K58" s="41" t="s">
        <v>967</v>
      </c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</sheetData>
  <mergeCells count="67"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E44:E46"/>
    <mergeCell ref="F44:F46"/>
    <mergeCell ref="A49:A50"/>
    <mergeCell ref="B49:B50"/>
    <mergeCell ref="C49:C50"/>
    <mergeCell ref="B41:B43"/>
    <mergeCell ref="C41:C43"/>
    <mergeCell ref="A44:A48"/>
    <mergeCell ref="B44:B46"/>
    <mergeCell ref="C44:C46"/>
    <mergeCell ref="D44:D46"/>
    <mergeCell ref="F33:F35"/>
    <mergeCell ref="B37:B39"/>
    <mergeCell ref="C37:C39"/>
    <mergeCell ref="D37:D39"/>
    <mergeCell ref="E37:E39"/>
    <mergeCell ref="F37:F39"/>
    <mergeCell ref="A29:A43"/>
    <mergeCell ref="B29:B31"/>
    <mergeCell ref="C29:C31"/>
    <mergeCell ref="D29:D31"/>
    <mergeCell ref="E29:E31"/>
    <mergeCell ref="F29:F31"/>
    <mergeCell ref="B33:B35"/>
    <mergeCell ref="C33:C35"/>
    <mergeCell ref="D33:D35"/>
    <mergeCell ref="E33:E35"/>
    <mergeCell ref="A16:A28"/>
    <mergeCell ref="B16:B18"/>
    <mergeCell ref="C16:C18"/>
    <mergeCell ref="D16:D18"/>
    <mergeCell ref="E16:E18"/>
    <mergeCell ref="F16:F18"/>
    <mergeCell ref="B19:B23"/>
    <mergeCell ref="C19:C23"/>
    <mergeCell ref="B24:B28"/>
    <mergeCell ref="C24:C28"/>
    <mergeCell ref="F10:F11"/>
    <mergeCell ref="A5:A9"/>
    <mergeCell ref="B5:B6"/>
    <mergeCell ref="C5:C6"/>
    <mergeCell ref="D5:D6"/>
    <mergeCell ref="E5:E6"/>
    <mergeCell ref="F5:F6"/>
    <mergeCell ref="A10:A15"/>
    <mergeCell ref="B10:B11"/>
    <mergeCell ref="C10:C11"/>
    <mergeCell ref="D10:D11"/>
    <mergeCell ref="E10:E1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6F23-DEF7-474E-A06A-B93369EA0D1A}">
  <dimension ref="A1:AA58"/>
  <sheetViews>
    <sheetView showGridLines="0" topLeftCell="Q31" workbookViewId="0">
      <selection activeCell="AA52" sqref="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1.42578125" style="9" bestFit="1" customWidth="1"/>
    <col min="25" max="25" width="11" style="9" bestFit="1" customWidth="1"/>
    <col min="26" max="26" width="10.85546875" style="9" bestFit="1" customWidth="1"/>
    <col min="27" max="27" width="12.28515625" style="9" bestFit="1" customWidth="1"/>
    <col min="28" max="16384" width="9.140625" style="9"/>
  </cols>
  <sheetData>
    <row r="1" spans="1:27" ht="11.25" customHeight="1" x14ac:dyDescent="0.25">
      <c r="A1" s="113" t="s">
        <v>83</v>
      </c>
      <c r="B1" s="113" t="s">
        <v>84</v>
      </c>
      <c r="C1" s="113" t="s">
        <v>85</v>
      </c>
      <c r="D1" s="113" t="s">
        <v>86</v>
      </c>
      <c r="E1" s="113" t="s">
        <v>87</v>
      </c>
      <c r="F1" s="113" t="s">
        <v>15</v>
      </c>
      <c r="G1" s="113" t="s">
        <v>89</v>
      </c>
      <c r="H1" s="113" t="s">
        <v>90</v>
      </c>
      <c r="I1" s="113" t="s">
        <v>947</v>
      </c>
      <c r="J1" s="102"/>
      <c r="L1" s="114" t="s">
        <v>968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02"/>
      <c r="L2" s="114" t="s">
        <v>886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02"/>
      <c r="L3" s="114" t="s">
        <v>859</v>
      </c>
      <c r="M3" s="114"/>
      <c r="N3" s="114"/>
      <c r="O3" s="114"/>
      <c r="P3" s="114"/>
      <c r="Q3" s="114" t="s">
        <v>889</v>
      </c>
      <c r="R3" s="114"/>
      <c r="S3" s="114" t="s">
        <v>868</v>
      </c>
      <c r="T3" s="114"/>
      <c r="U3" s="114"/>
      <c r="V3" s="114"/>
      <c r="W3" s="114" t="s">
        <v>878</v>
      </c>
      <c r="X3" s="114"/>
      <c r="Y3" s="114" t="s">
        <v>881</v>
      </c>
      <c r="Z3" s="114"/>
      <c r="AA3" s="114" t="s">
        <v>867</v>
      </c>
    </row>
    <row r="4" spans="1:27" ht="11.25" customHeight="1" x14ac:dyDescent="0.25">
      <c r="A4" s="113"/>
      <c r="B4" s="113"/>
      <c r="C4" s="113"/>
      <c r="D4" s="113"/>
      <c r="E4" s="113"/>
      <c r="F4" s="113"/>
      <c r="G4" s="113"/>
      <c r="H4" s="113"/>
      <c r="I4" s="113"/>
      <c r="J4" s="102"/>
      <c r="L4" s="40" t="s">
        <v>861</v>
      </c>
      <c r="M4" s="40" t="s">
        <v>887</v>
      </c>
      <c r="N4" s="40" t="s">
        <v>888</v>
      </c>
      <c r="O4" s="40" t="s">
        <v>946</v>
      </c>
      <c r="P4" s="40" t="s">
        <v>867</v>
      </c>
      <c r="Q4" s="40" t="s">
        <v>890</v>
      </c>
      <c r="R4" s="40" t="s">
        <v>867</v>
      </c>
      <c r="S4" s="40" t="s">
        <v>891</v>
      </c>
      <c r="T4" s="40" t="s">
        <v>892</v>
      </c>
      <c r="U4" s="40" t="s">
        <v>893</v>
      </c>
      <c r="V4" s="40" t="s">
        <v>867</v>
      </c>
      <c r="W4" s="40" t="s">
        <v>879</v>
      </c>
      <c r="X4" s="40" t="s">
        <v>867</v>
      </c>
      <c r="Y4" s="40" t="s">
        <v>894</v>
      </c>
      <c r="Z4" s="40" t="s">
        <v>867</v>
      </c>
      <c r="AA4" s="115"/>
    </row>
    <row r="5" spans="1:27" ht="11.25" customHeight="1" x14ac:dyDescent="0.25">
      <c r="A5" s="112" t="s">
        <v>39</v>
      </c>
      <c r="B5" s="112" t="s">
        <v>92</v>
      </c>
      <c r="C5" s="112" t="s">
        <v>25</v>
      </c>
      <c r="D5" s="112" t="s">
        <v>25</v>
      </c>
      <c r="E5" s="112" t="s">
        <v>25</v>
      </c>
      <c r="F5" s="112" t="s">
        <v>25</v>
      </c>
      <c r="G5" s="38" t="s">
        <v>94</v>
      </c>
      <c r="H5" s="38" t="s">
        <v>93</v>
      </c>
      <c r="I5" s="38">
        <f>'MERCADO TE'!$U$2</f>
        <v>4826.8779999999997</v>
      </c>
      <c r="J5" s="15"/>
      <c r="L5" s="36">
        <f>'TR TE'!$L$5*'TR TE'!$L$57</f>
        <v>2.6225748408976601</v>
      </c>
      <c r="M5" s="36">
        <f>'TR TE'!$M$5*'TR TE'!$M$57</f>
        <v>17.086520082442728</v>
      </c>
      <c r="N5" s="36">
        <f>'TR TE'!$N$5*'TR TE'!$N$57</f>
        <v>0</v>
      </c>
      <c r="O5" s="36">
        <f>'TR TE'!$O$5*'TR TE'!$O$57</f>
        <v>3.7261581162664563</v>
      </c>
      <c r="P5" s="36">
        <f>SUM($L$5:$O$5)</f>
        <v>23.435253039606845</v>
      </c>
      <c r="Q5" s="36">
        <f>'TR TE'!$Q$5*'TR TE'!$Q$57</f>
        <v>365.28765446215823</v>
      </c>
      <c r="R5" s="36">
        <f>SUM($Q$5:$Q$5)</f>
        <v>365.28765446215823</v>
      </c>
      <c r="S5" s="36">
        <f>'TR TE'!$S$5*'TR TE'!$S$57</f>
        <v>0</v>
      </c>
      <c r="T5" s="36">
        <f>'TR TE'!$T$5*'TR TE'!$T$57</f>
        <v>0</v>
      </c>
      <c r="U5" s="36">
        <f>'TR TE'!$U$5*'TR TE'!$U$57</f>
        <v>3.8680550024625049E-13</v>
      </c>
      <c r="V5" s="36">
        <f>SUM($S$5:$U$5)</f>
        <v>3.8680550024625049E-13</v>
      </c>
      <c r="W5" s="36"/>
      <c r="X5" s="36">
        <f>SUM($W$5:$W$5)</f>
        <v>0</v>
      </c>
      <c r="Y5" s="36">
        <f>'TR TE'!$Y$5*'TR TE'!$Y$57</f>
        <v>5.700517328918461</v>
      </c>
      <c r="Z5" s="36">
        <f>SUM($Y$5:$Y$5)</f>
        <v>5.700517328918461</v>
      </c>
      <c r="AA5" s="36">
        <f>SUMIF($L$4:$Z$4,"SUBTOTAL",$L$5:$Z$5)</f>
        <v>394.42342483068393</v>
      </c>
    </row>
    <row r="6" spans="1:27" ht="11.25" customHeight="1" x14ac:dyDescent="0.25">
      <c r="A6" s="112"/>
      <c r="B6" s="112"/>
      <c r="C6" s="112"/>
      <c r="D6" s="112"/>
      <c r="E6" s="112"/>
      <c r="F6" s="112"/>
      <c r="G6" s="38" t="s">
        <v>95</v>
      </c>
      <c r="H6" s="38" t="s">
        <v>93</v>
      </c>
      <c r="I6" s="38">
        <f>'MERCADO TE'!$U$3</f>
        <v>85647.175000000017</v>
      </c>
      <c r="J6" s="15"/>
      <c r="L6" s="36">
        <f>'TR TE'!$L$6*'TR TE'!$L$57</f>
        <v>2.6225748408976601</v>
      </c>
      <c r="M6" s="36">
        <f>'TR TE'!$M$6*'TR TE'!$M$57</f>
        <v>17.086520082442728</v>
      </c>
      <c r="N6" s="36">
        <f>'TR TE'!$N$6*'TR TE'!$N$57</f>
        <v>0</v>
      </c>
      <c r="O6" s="36">
        <f>'TR TE'!$O$6*'TR TE'!$O$57</f>
        <v>3.7261581162664563</v>
      </c>
      <c r="P6" s="36">
        <f>SUM($L$6:$O$6)</f>
        <v>23.435253039606845</v>
      </c>
      <c r="Q6" s="36">
        <f>'TR TE'!$Q$6*'TR TE'!$Q$57</f>
        <v>212.37654329195246</v>
      </c>
      <c r="R6" s="36">
        <f>SUM($Q$6:$Q$6)</f>
        <v>212.37654329195246</v>
      </c>
      <c r="S6" s="36">
        <f>'TR TE'!$S$6*'TR TE'!$S$57</f>
        <v>0</v>
      </c>
      <c r="T6" s="36">
        <f>'TR TE'!$T$6*'TR TE'!$T$57</f>
        <v>0</v>
      </c>
      <c r="U6" s="36">
        <f>'TR TE'!$U$6*'TR TE'!$U$57</f>
        <v>3.8680550024625049E-13</v>
      </c>
      <c r="V6" s="36">
        <f>SUM($S$6:$U$6)</f>
        <v>3.8680550024625049E-13</v>
      </c>
      <c r="W6" s="36"/>
      <c r="X6" s="36">
        <f>SUM($W$6:$W$6)</f>
        <v>0</v>
      </c>
      <c r="Y6" s="36">
        <f>'TR TE'!$Y$6*'TR TE'!$Y$57</f>
        <v>5.700517328918461</v>
      </c>
      <c r="Z6" s="36">
        <f>SUM($Y$6:$Y$6)</f>
        <v>5.700517328918461</v>
      </c>
      <c r="AA6" s="36">
        <f>SUMIF($L$4:$Z$4,"SUBTOTAL",$L$6:$Z$6)</f>
        <v>241.51231366047816</v>
      </c>
    </row>
    <row r="7" spans="1:27" ht="11.25" customHeight="1" x14ac:dyDescent="0.25">
      <c r="A7" s="112"/>
      <c r="B7" s="39" t="s">
        <v>96</v>
      </c>
      <c r="C7" s="39" t="s">
        <v>25</v>
      </c>
      <c r="D7" s="39" t="s">
        <v>25</v>
      </c>
      <c r="E7" s="39" t="s">
        <v>97</v>
      </c>
      <c r="F7" s="39" t="s">
        <v>25</v>
      </c>
      <c r="G7" s="38" t="s">
        <v>98</v>
      </c>
      <c r="H7" s="38" t="s">
        <v>93</v>
      </c>
      <c r="I7" s="38">
        <f>'MERCADO TE'!$U$4</f>
        <v>285935.57</v>
      </c>
      <c r="J7" s="15"/>
      <c r="L7" s="36">
        <f>'TR TE'!$L$56</f>
        <v>2.6225748408976601</v>
      </c>
      <c r="M7" s="36">
        <f>'TR TE'!$M$56</f>
        <v>17.086520082442728</v>
      </c>
      <c r="N7" s="36">
        <f>'TR TE'!$N$56</f>
        <v>0</v>
      </c>
      <c r="O7" s="36">
        <f>'TR TE'!$O$56</f>
        <v>3.7261581162664563</v>
      </c>
      <c r="P7" s="36">
        <f>SUM($L$7:$O$7)</f>
        <v>23.435253039606845</v>
      </c>
      <c r="Q7" s="36">
        <f>'TR TE'!$Q$56</f>
        <v>220.33789786456316</v>
      </c>
      <c r="R7" s="36">
        <f>SUM($Q$7:$Q$7)</f>
        <v>220.33789786456316</v>
      </c>
      <c r="S7" s="36">
        <f>'TR TE'!$S$56</f>
        <v>0</v>
      </c>
      <c r="T7" s="36">
        <f>'TR TE'!$T$56</f>
        <v>0</v>
      </c>
      <c r="U7" s="36">
        <f>'TR TE'!$U$56</f>
        <v>3.8680550024625049E-13</v>
      </c>
      <c r="V7" s="36">
        <f>SUM($S$7:$U$7)</f>
        <v>3.8680550024625049E-13</v>
      </c>
      <c r="W7" s="36"/>
      <c r="X7" s="36">
        <f>SUM($W$7:$W$7)</f>
        <v>0</v>
      </c>
      <c r="Y7" s="36">
        <f>'TR TE'!$Y$56</f>
        <v>5.700517328918461</v>
      </c>
      <c r="Z7" s="36">
        <f>SUM($Y$7:$Y$7)</f>
        <v>5.700517328918461</v>
      </c>
      <c r="AA7" s="36">
        <f>SUMIF($L$4:$Z$4,"SUBTOTAL",$L$7:$Z$7)</f>
        <v>249.47366823308886</v>
      </c>
    </row>
    <row r="8" spans="1:27" ht="11.25" customHeight="1" x14ac:dyDescent="0.25">
      <c r="A8" s="112"/>
      <c r="B8" s="39" t="s">
        <v>102</v>
      </c>
      <c r="C8" s="39" t="s">
        <v>25</v>
      </c>
      <c r="D8" s="39" t="s">
        <v>25</v>
      </c>
      <c r="E8" s="39" t="s">
        <v>97</v>
      </c>
      <c r="F8" s="39" t="s">
        <v>25</v>
      </c>
      <c r="G8" s="38" t="s">
        <v>98</v>
      </c>
      <c r="H8" s="38" t="s">
        <v>93</v>
      </c>
      <c r="I8" s="38">
        <f>'MERCADO TE'!$U$5</f>
        <v>0</v>
      </c>
      <c r="J8" s="15"/>
      <c r="L8" s="36">
        <f>'TR TE'!$L$56</f>
        <v>2.6225748408976601</v>
      </c>
      <c r="M8" s="36">
        <f>'TR TE'!$M$56</f>
        <v>17.086520082442728</v>
      </c>
      <c r="N8" s="36">
        <f>'TR TE'!$N$56</f>
        <v>0</v>
      </c>
      <c r="O8" s="36">
        <f>'TR TE'!$O$56</f>
        <v>3.7261581162664563</v>
      </c>
      <c r="P8" s="36">
        <f>SUM($L$8:$O$8)</f>
        <v>23.435253039606845</v>
      </c>
      <c r="Q8" s="36">
        <f>'TR TE'!$Q$56</f>
        <v>220.33789786456316</v>
      </c>
      <c r="R8" s="36">
        <f>SUM($Q$8:$Q$8)</f>
        <v>220.33789786456316</v>
      </c>
      <c r="S8" s="36">
        <f>'TR TE'!$S$56</f>
        <v>0</v>
      </c>
      <c r="T8" s="36">
        <f>'TR TE'!$T$56</f>
        <v>0</v>
      </c>
      <c r="U8" s="36">
        <f>'TR TE'!$U$56</f>
        <v>3.8680550024625049E-13</v>
      </c>
      <c r="V8" s="36">
        <f>SUM($S$8:$U$8)</f>
        <v>3.8680550024625049E-13</v>
      </c>
      <c r="W8" s="36"/>
      <c r="X8" s="36">
        <f>SUM($W$8:$W$8)</f>
        <v>0</v>
      </c>
      <c r="Y8" s="36">
        <f>'TR TE'!$Y$56</f>
        <v>5.700517328918461</v>
      </c>
      <c r="Z8" s="36">
        <f>SUM($Y$8:$Y$8)</f>
        <v>5.700517328918461</v>
      </c>
      <c r="AA8" s="36">
        <f>SUMIF($L$4:$Z$4,"SUBTOTAL",$L$8:$Z$8)</f>
        <v>249.47366823308886</v>
      </c>
    </row>
    <row r="9" spans="1:27" ht="11.25" customHeight="1" x14ac:dyDescent="0.25">
      <c r="A9" s="112"/>
      <c r="B9" s="39" t="s">
        <v>96</v>
      </c>
      <c r="C9" s="39" t="s">
        <v>25</v>
      </c>
      <c r="D9" s="39" t="s">
        <v>25</v>
      </c>
      <c r="E9" s="39" t="s">
        <v>25</v>
      </c>
      <c r="F9" s="39" t="s">
        <v>25</v>
      </c>
      <c r="G9" s="38" t="s">
        <v>98</v>
      </c>
      <c r="H9" s="38" t="s">
        <v>93</v>
      </c>
      <c r="I9" s="38">
        <f>'MERCADO TE'!$U$6</f>
        <v>0</v>
      </c>
      <c r="J9" s="15"/>
      <c r="L9" s="36">
        <f>'TR TE'!$L$56</f>
        <v>2.6225748408976601</v>
      </c>
      <c r="M9" s="36">
        <v>0</v>
      </c>
      <c r="N9" s="36">
        <f>'TR TE'!$N$56</f>
        <v>0</v>
      </c>
      <c r="O9" s="36">
        <f>'TR TE'!$O$56</f>
        <v>3.7261581162664563</v>
      </c>
      <c r="P9" s="36">
        <f>SUM($L$9:$O$9)</f>
        <v>6.3487329571641169</v>
      </c>
      <c r="Q9" s="36">
        <f>'TR TE'!$Q$56</f>
        <v>220.33789786456316</v>
      </c>
      <c r="R9" s="36">
        <f>SUM($Q$9:$Q$9)</f>
        <v>220.33789786456316</v>
      </c>
      <c r="S9" s="36">
        <f>'TR TE'!$S$56</f>
        <v>0</v>
      </c>
      <c r="T9" s="36">
        <f>'TR TE'!$T$56</f>
        <v>0</v>
      </c>
      <c r="U9" s="36">
        <f>'TR TE'!$U$56</f>
        <v>3.8680550024625049E-13</v>
      </c>
      <c r="V9" s="36">
        <f>SUM($S$9:$U$9)</f>
        <v>3.8680550024625049E-13</v>
      </c>
      <c r="W9" s="36"/>
      <c r="X9" s="36">
        <f>SUM($W$9:$W$9)</f>
        <v>0</v>
      </c>
      <c r="Y9" s="36">
        <v>0</v>
      </c>
      <c r="Z9" s="36">
        <f>SUM($Y$9:$Y$9)</f>
        <v>0</v>
      </c>
      <c r="AA9" s="36">
        <f>SUMIF($L$4:$Z$4,"SUBTOTAL",$L$9:$Z$9)</f>
        <v>226.68663082172768</v>
      </c>
    </row>
    <row r="10" spans="1:27" ht="11.25" customHeight="1" x14ac:dyDescent="0.25">
      <c r="A10" s="112" t="s">
        <v>41</v>
      </c>
      <c r="B10" s="112" t="s">
        <v>92</v>
      </c>
      <c r="C10" s="112" t="s">
        <v>25</v>
      </c>
      <c r="D10" s="112" t="s">
        <v>25</v>
      </c>
      <c r="E10" s="112" t="s">
        <v>25</v>
      </c>
      <c r="F10" s="112" t="s">
        <v>25</v>
      </c>
      <c r="G10" s="38" t="s">
        <v>94</v>
      </c>
      <c r="H10" s="38" t="s">
        <v>93</v>
      </c>
      <c r="I10" s="38">
        <f>'MERCADO TE'!$U$7</f>
        <v>30551.196</v>
      </c>
      <c r="J10" s="15"/>
      <c r="L10" s="36">
        <f>'TR TE'!$L$10*'TR TE'!$L$57</f>
        <v>2.6225748408976601</v>
      </c>
      <c r="M10" s="36">
        <f>'TR TE'!$M$10*'TR TE'!$M$57</f>
        <v>17.086520082442728</v>
      </c>
      <c r="N10" s="36">
        <f>'TR TE'!$N$10*'TR TE'!$N$57</f>
        <v>0</v>
      </c>
      <c r="O10" s="36">
        <f>'TR TE'!$O$10*'TR TE'!$O$57</f>
        <v>3.7261581162664563</v>
      </c>
      <c r="P10" s="36">
        <f>SUM($L$10:$O$10)</f>
        <v>23.435253039606845</v>
      </c>
      <c r="Q10" s="36">
        <f>'TR TE'!$Q$10*'TR TE'!$Q$57</f>
        <v>365.28765446215823</v>
      </c>
      <c r="R10" s="36">
        <f>SUM($Q$10:$Q$10)</f>
        <v>365.28765446215823</v>
      </c>
      <c r="S10" s="36">
        <f>'TR TE'!$S$10*'TR TE'!$S$57</f>
        <v>0</v>
      </c>
      <c r="T10" s="36">
        <f>'TR TE'!$T$10*'TR TE'!$T$57</f>
        <v>0</v>
      </c>
      <c r="U10" s="36">
        <f>'TR TE'!$U$10*'TR TE'!$U$57</f>
        <v>3.8680550024625049E-13</v>
      </c>
      <c r="V10" s="36">
        <f>SUM($S$10:$U$10)</f>
        <v>3.8680550024625049E-13</v>
      </c>
      <c r="W10" s="36"/>
      <c r="X10" s="36">
        <f>SUM($W$10:$W$10)</f>
        <v>0</v>
      </c>
      <c r="Y10" s="36">
        <f>'TR TE'!$Y$10*'TR TE'!$Y$57</f>
        <v>5.700517328918461</v>
      </c>
      <c r="Z10" s="36">
        <f>SUM($Y$10:$Y$10)</f>
        <v>5.700517328918461</v>
      </c>
      <c r="AA10" s="36">
        <f>SUMIF($L$4:$Z$4,"SUBTOTAL",$L$10:$Z$10)</f>
        <v>394.42342483068393</v>
      </c>
    </row>
    <row r="11" spans="1:27" ht="11.25" customHeight="1" x14ac:dyDescent="0.25">
      <c r="A11" s="112"/>
      <c r="B11" s="112"/>
      <c r="C11" s="112"/>
      <c r="D11" s="112"/>
      <c r="E11" s="112"/>
      <c r="F11" s="112"/>
      <c r="G11" s="38" t="s">
        <v>95</v>
      </c>
      <c r="H11" s="38" t="s">
        <v>93</v>
      </c>
      <c r="I11" s="38">
        <f>'MERCADO TE'!$U$8</f>
        <v>446699.41099999991</v>
      </c>
      <c r="J11" s="15"/>
      <c r="L11" s="36">
        <f>'TR TE'!$L$11*'TR TE'!$L$57</f>
        <v>2.6225748408976601</v>
      </c>
      <c r="M11" s="36">
        <f>'TR TE'!$M$11*'TR TE'!$M$57</f>
        <v>17.086520082442728</v>
      </c>
      <c r="N11" s="36">
        <f>'TR TE'!$N$11*'TR TE'!$N$57</f>
        <v>0</v>
      </c>
      <c r="O11" s="36">
        <f>'TR TE'!$O$11*'TR TE'!$O$57</f>
        <v>3.7261581162664563</v>
      </c>
      <c r="P11" s="36">
        <f>SUM($L$11:$O$11)</f>
        <v>23.435253039606845</v>
      </c>
      <c r="Q11" s="36">
        <f>'TR TE'!$Q$11*'TR TE'!$Q$57</f>
        <v>212.37654329195246</v>
      </c>
      <c r="R11" s="36">
        <f>SUM($Q$11:$Q$11)</f>
        <v>212.37654329195246</v>
      </c>
      <c r="S11" s="36">
        <f>'TR TE'!$S$11*'TR TE'!$S$57</f>
        <v>0</v>
      </c>
      <c r="T11" s="36">
        <f>'TR TE'!$T$11*'TR TE'!$T$57</f>
        <v>0</v>
      </c>
      <c r="U11" s="36">
        <f>'TR TE'!$U$11*'TR TE'!$U$57</f>
        <v>3.8680550024625049E-13</v>
      </c>
      <c r="V11" s="36">
        <f>SUM($S$11:$U$11)</f>
        <v>3.8680550024625049E-13</v>
      </c>
      <c r="W11" s="36"/>
      <c r="X11" s="36">
        <f>SUM($W$11:$W$11)</f>
        <v>0</v>
      </c>
      <c r="Y11" s="36">
        <f>'TR TE'!$Y$11*'TR TE'!$Y$57</f>
        <v>5.700517328918461</v>
      </c>
      <c r="Z11" s="36">
        <f>SUM($Y$11:$Y$11)</f>
        <v>5.700517328918461</v>
      </c>
      <c r="AA11" s="36">
        <f>SUMIF($L$4:$Z$4,"SUBTOTAL",$L$11:$Z$11)</f>
        <v>241.51231366047816</v>
      </c>
    </row>
    <row r="12" spans="1:27" ht="11.25" customHeight="1" x14ac:dyDescent="0.25">
      <c r="A12" s="112"/>
      <c r="B12" s="39" t="s">
        <v>96</v>
      </c>
      <c r="C12" s="39" t="s">
        <v>25</v>
      </c>
      <c r="D12" s="39" t="s">
        <v>25</v>
      </c>
      <c r="E12" s="39" t="s">
        <v>97</v>
      </c>
      <c r="F12" s="39" t="s">
        <v>25</v>
      </c>
      <c r="G12" s="38" t="s">
        <v>98</v>
      </c>
      <c r="H12" s="38" t="s">
        <v>93</v>
      </c>
      <c r="I12" s="38">
        <f>'MERCADO TE'!$U$9</f>
        <v>-942.74</v>
      </c>
      <c r="J12" s="15"/>
      <c r="L12" s="36">
        <f>'TR TE'!$L$56</f>
        <v>2.6225748408976601</v>
      </c>
      <c r="M12" s="36">
        <f>'TR TE'!$M$56</f>
        <v>17.086520082442728</v>
      </c>
      <c r="N12" s="36">
        <f>'TR TE'!$N$56</f>
        <v>0</v>
      </c>
      <c r="O12" s="36">
        <f>'TR TE'!$O$56</f>
        <v>3.7261581162664563</v>
      </c>
      <c r="P12" s="36">
        <f>SUM($L$12:$O$12)</f>
        <v>23.435253039606845</v>
      </c>
      <c r="Q12" s="36">
        <f>'TR TE'!$Q$56</f>
        <v>220.33789786456316</v>
      </c>
      <c r="R12" s="36">
        <f>SUM($Q$12:$Q$12)</f>
        <v>220.33789786456316</v>
      </c>
      <c r="S12" s="36">
        <f>'TR TE'!$S$56</f>
        <v>0</v>
      </c>
      <c r="T12" s="36">
        <f>'TR TE'!$T$56</f>
        <v>0</v>
      </c>
      <c r="U12" s="36">
        <f>'TR TE'!$U$56</f>
        <v>3.8680550024625049E-13</v>
      </c>
      <c r="V12" s="36">
        <f>SUM($S$12:$U$12)</f>
        <v>3.8680550024625049E-13</v>
      </c>
      <c r="W12" s="36"/>
      <c r="X12" s="36">
        <f>SUM($W$12:$W$12)</f>
        <v>0</v>
      </c>
      <c r="Y12" s="36">
        <f>'TR TE'!$Y$56</f>
        <v>5.700517328918461</v>
      </c>
      <c r="Z12" s="36">
        <f>SUM($Y$12:$Y$12)</f>
        <v>5.700517328918461</v>
      </c>
      <c r="AA12" s="36">
        <f>SUMIF($L$4:$Z$4,"SUBTOTAL",$L$12:$Z$12)</f>
        <v>249.47366823308886</v>
      </c>
    </row>
    <row r="13" spans="1:27" ht="11.25" customHeight="1" x14ac:dyDescent="0.25">
      <c r="A13" s="112"/>
      <c r="B13" s="39" t="s">
        <v>103</v>
      </c>
      <c r="C13" s="39" t="s">
        <v>25</v>
      </c>
      <c r="D13" s="39" t="s">
        <v>25</v>
      </c>
      <c r="E13" s="39" t="s">
        <v>25</v>
      </c>
      <c r="F13" s="39" t="s">
        <v>25</v>
      </c>
      <c r="G13" s="38" t="s">
        <v>98</v>
      </c>
      <c r="H13" s="38" t="s">
        <v>93</v>
      </c>
      <c r="I13" s="38">
        <f>'MERCADO TE'!$U$10</f>
        <v>0</v>
      </c>
      <c r="J13" s="15"/>
      <c r="L13" s="36">
        <f>'TR TE'!$L$13*'TR TE'!$L$57</f>
        <v>2.6225748408976601</v>
      </c>
      <c r="M13" s="36">
        <f>'TR TE'!$M$13*'TR TE'!$M$57</f>
        <v>17.086520082442728</v>
      </c>
      <c r="N13" s="36">
        <f>'TR TE'!$N$13*'TR TE'!$N$57</f>
        <v>0</v>
      </c>
      <c r="O13" s="36">
        <f>'TR TE'!$O$13*'TR TE'!$O$57</f>
        <v>3.7261581162664563</v>
      </c>
      <c r="P13" s="36">
        <f>SUM($L$13:$O$13)</f>
        <v>23.435253039606845</v>
      </c>
      <c r="Q13" s="36">
        <f>'TR TE'!$Q$13*'TR TE'!$Q$57</f>
        <v>225.11913588946962</v>
      </c>
      <c r="R13" s="36">
        <f>SUM($Q$13:$Q$13)</f>
        <v>225.11913588946962</v>
      </c>
      <c r="S13" s="36">
        <f>'TR TE'!$S$13*'TR TE'!$S$57</f>
        <v>0</v>
      </c>
      <c r="T13" s="36">
        <f>'TR TE'!$T$13*'TR TE'!$T$57</f>
        <v>0</v>
      </c>
      <c r="U13" s="36">
        <f>'TR TE'!$U$13*'TR TE'!$U$57</f>
        <v>3.8680550024625049E-13</v>
      </c>
      <c r="V13" s="36">
        <f>SUM($S$13:$U$13)</f>
        <v>3.8680550024625049E-13</v>
      </c>
      <c r="W13" s="36"/>
      <c r="X13" s="36">
        <f>SUM($W$13:$W$13)</f>
        <v>0</v>
      </c>
      <c r="Y13" s="36">
        <f>'TR TE'!$Y$13*'TR TE'!$Y$57</f>
        <v>5.700517328918461</v>
      </c>
      <c r="Z13" s="36">
        <f>SUM($Y$13:$Y$13)</f>
        <v>5.700517328918461</v>
      </c>
      <c r="AA13" s="36">
        <f>SUMIF($L$4:$Z$4,"SUBTOTAL",$L$13:$Z$13)</f>
        <v>254.25490625799532</v>
      </c>
    </row>
    <row r="14" spans="1:27" ht="11.25" customHeight="1" x14ac:dyDescent="0.25">
      <c r="A14" s="112"/>
      <c r="B14" s="39" t="s">
        <v>102</v>
      </c>
      <c r="C14" s="39" t="s">
        <v>25</v>
      </c>
      <c r="D14" s="39" t="s">
        <v>25</v>
      </c>
      <c r="E14" s="39" t="s">
        <v>97</v>
      </c>
      <c r="F14" s="39" t="s">
        <v>25</v>
      </c>
      <c r="G14" s="38" t="s">
        <v>98</v>
      </c>
      <c r="H14" s="38" t="s">
        <v>93</v>
      </c>
      <c r="I14" s="38">
        <f>'MERCADO TE'!$U$11</f>
        <v>12597.896999999997</v>
      </c>
      <c r="J14" s="15"/>
      <c r="L14" s="36">
        <f>'TR TE'!$L$56</f>
        <v>2.6225748408976601</v>
      </c>
      <c r="M14" s="36">
        <f>'TR TE'!$M$56</f>
        <v>17.086520082442728</v>
      </c>
      <c r="N14" s="36">
        <f>'TR TE'!$N$56</f>
        <v>0</v>
      </c>
      <c r="O14" s="36">
        <f>'TR TE'!$O$56</f>
        <v>3.7261581162664563</v>
      </c>
      <c r="P14" s="36">
        <f>SUM($L$14:$O$14)</f>
        <v>23.435253039606845</v>
      </c>
      <c r="Q14" s="36">
        <f>'TR TE'!$Q$56</f>
        <v>220.33789786456316</v>
      </c>
      <c r="R14" s="36">
        <f>SUM($Q$14:$Q$14)</f>
        <v>220.33789786456316</v>
      </c>
      <c r="S14" s="36">
        <f>'TR TE'!$S$56</f>
        <v>0</v>
      </c>
      <c r="T14" s="36">
        <f>'TR TE'!$T$56</f>
        <v>0</v>
      </c>
      <c r="U14" s="36">
        <f>'TR TE'!$U$56</f>
        <v>3.8680550024625049E-13</v>
      </c>
      <c r="V14" s="36">
        <f>SUM($S$14:$U$14)</f>
        <v>3.8680550024625049E-13</v>
      </c>
      <c r="W14" s="36"/>
      <c r="X14" s="36">
        <f>SUM($W$14:$W$14)</f>
        <v>0</v>
      </c>
      <c r="Y14" s="36">
        <f>'TR TE'!$Y$56</f>
        <v>5.700517328918461</v>
      </c>
      <c r="Z14" s="36">
        <f>SUM($Y$14:$Y$14)</f>
        <v>5.700517328918461</v>
      </c>
      <c r="AA14" s="36">
        <f>SUMIF($L$4:$Z$4,"SUBTOTAL",$L$14:$Z$14)</f>
        <v>249.47366823308886</v>
      </c>
    </row>
    <row r="15" spans="1:27" ht="11.25" customHeight="1" x14ac:dyDescent="0.25">
      <c r="A15" s="112"/>
      <c r="B15" s="39" t="s">
        <v>96</v>
      </c>
      <c r="C15" s="39" t="s">
        <v>25</v>
      </c>
      <c r="D15" s="39" t="s">
        <v>25</v>
      </c>
      <c r="E15" s="39" t="s">
        <v>25</v>
      </c>
      <c r="F15" s="39" t="s">
        <v>25</v>
      </c>
      <c r="G15" s="38" t="s">
        <v>98</v>
      </c>
      <c r="H15" s="38" t="s">
        <v>93</v>
      </c>
      <c r="I15" s="38">
        <f>'MERCADO TE'!$U$12</f>
        <v>0</v>
      </c>
      <c r="J15" s="15"/>
      <c r="L15" s="36">
        <f>'TR TE'!$L$56</f>
        <v>2.6225748408976601</v>
      </c>
      <c r="M15" s="36">
        <v>0</v>
      </c>
      <c r="N15" s="36">
        <f>'TR TE'!$N$56</f>
        <v>0</v>
      </c>
      <c r="O15" s="36">
        <f>'TR TE'!$O$56</f>
        <v>3.7261581162664563</v>
      </c>
      <c r="P15" s="36">
        <f>SUM($L$15:$O$15)</f>
        <v>6.3487329571641169</v>
      </c>
      <c r="Q15" s="36">
        <f>'TR TE'!$Q$56</f>
        <v>220.33789786456316</v>
      </c>
      <c r="R15" s="36">
        <f>SUM($Q$15:$Q$15)</f>
        <v>220.33789786456316</v>
      </c>
      <c r="S15" s="36">
        <f>'TR TE'!$S$56</f>
        <v>0</v>
      </c>
      <c r="T15" s="36">
        <f>'TR TE'!$T$56</f>
        <v>0</v>
      </c>
      <c r="U15" s="36">
        <f>'TR TE'!$U$56</f>
        <v>3.8680550024625049E-13</v>
      </c>
      <c r="V15" s="36">
        <f>SUM($S$15:$U$15)</f>
        <v>3.8680550024625049E-13</v>
      </c>
      <c r="W15" s="36"/>
      <c r="X15" s="36">
        <f>SUM($W$15:$W$15)</f>
        <v>0</v>
      </c>
      <c r="Y15" s="36">
        <v>0</v>
      </c>
      <c r="Z15" s="36">
        <f>SUM($Y$15:$Y$15)</f>
        <v>0</v>
      </c>
      <c r="AA15" s="36">
        <f>SUMIF($L$4:$Z$4,"SUBTOTAL",$L$15:$Z$15)</f>
        <v>226.68663082172768</v>
      </c>
    </row>
    <row r="16" spans="1:27" ht="11.25" customHeight="1" x14ac:dyDescent="0.25">
      <c r="A16" s="112" t="s">
        <v>22</v>
      </c>
      <c r="B16" s="112" t="s">
        <v>92</v>
      </c>
      <c r="C16" s="112" t="s">
        <v>24</v>
      </c>
      <c r="D16" s="112" t="s">
        <v>24</v>
      </c>
      <c r="E16" s="112" t="s">
        <v>25</v>
      </c>
      <c r="F16" s="112" t="s">
        <v>25</v>
      </c>
      <c r="G16" s="38" t="s">
        <v>94</v>
      </c>
      <c r="H16" s="38" t="s">
        <v>93</v>
      </c>
      <c r="I16" s="38">
        <f>'MERCADO TE'!$U$13</f>
        <v>118.41800000000002</v>
      </c>
      <c r="J16" s="15"/>
      <c r="L16" s="36">
        <f>'TR TE'!$L$16*'TR TE'!$L$57</f>
        <v>2.6225748408976601</v>
      </c>
      <c r="M16" s="36">
        <f>'TR TE'!$M$16*'TR TE'!$M$57</f>
        <v>17.086520082442728</v>
      </c>
      <c r="N16" s="36">
        <f>'TR TE'!$N$16*'TR TE'!$N$57</f>
        <v>0</v>
      </c>
      <c r="O16" s="36">
        <f>'TR TE'!$O$16*'TR TE'!$O$57</f>
        <v>3.7261581162664563</v>
      </c>
      <c r="P16" s="36">
        <f>SUM($L$16:$O$16)</f>
        <v>23.435253039606845</v>
      </c>
      <c r="Q16" s="36">
        <f>'TR TE'!$Q$16*'TR TE'!$Q$57</f>
        <v>365.28765446215823</v>
      </c>
      <c r="R16" s="36">
        <f>SUM($Q$16:$Q$16)</f>
        <v>365.28765446215823</v>
      </c>
      <c r="S16" s="36">
        <f>'TR TE'!$S$16*'TR TE'!$S$57</f>
        <v>0</v>
      </c>
      <c r="T16" s="36">
        <f>'TR TE'!$T$16*'TR TE'!$T$57</f>
        <v>0</v>
      </c>
      <c r="U16" s="36">
        <f>'TR TE'!$U$16*'TR TE'!$U$57</f>
        <v>3.8680550024625049E-13</v>
      </c>
      <c r="V16" s="36">
        <f>SUM($S$16:$U$16)</f>
        <v>3.8680550024625049E-13</v>
      </c>
      <c r="W16" s="36"/>
      <c r="X16" s="36">
        <f>SUM($W$16:$W$16)</f>
        <v>0</v>
      </c>
      <c r="Y16" s="36">
        <f>'TR TE'!$Y$16*'TR TE'!$Y$57</f>
        <v>5.700517328918461</v>
      </c>
      <c r="Z16" s="36">
        <f>SUM($Y$16:$Y$16)</f>
        <v>5.700517328918461</v>
      </c>
      <c r="AA16" s="36">
        <f>SUMIF($L$4:$Z$4,"SUBTOTAL",$L$16:$Z$16)</f>
        <v>394.42342483068393</v>
      </c>
    </row>
    <row r="17" spans="1:27" ht="11.25" customHeight="1" x14ac:dyDescent="0.25">
      <c r="A17" s="112"/>
      <c r="B17" s="112"/>
      <c r="C17" s="112"/>
      <c r="D17" s="112"/>
      <c r="E17" s="112"/>
      <c r="F17" s="112"/>
      <c r="G17" s="38" t="s">
        <v>107</v>
      </c>
      <c r="H17" s="38" t="s">
        <v>93</v>
      </c>
      <c r="I17" s="38">
        <f>'MERCADO TE'!$U$14</f>
        <v>76.346000000000004</v>
      </c>
      <c r="J17" s="15"/>
      <c r="L17" s="36">
        <f>'TR TE'!$L$17*'TR TE'!$L$57</f>
        <v>2.6225748408976601</v>
      </c>
      <c r="M17" s="36">
        <f>'TR TE'!$M$17*'TR TE'!$M$57</f>
        <v>17.086520082442728</v>
      </c>
      <c r="N17" s="36">
        <f>'TR TE'!$N$17*'TR TE'!$N$57</f>
        <v>0</v>
      </c>
      <c r="O17" s="36">
        <f>'TR TE'!$O$17*'TR TE'!$O$57</f>
        <v>3.7261581162664563</v>
      </c>
      <c r="P17" s="36">
        <f>SUM($L$17:$O$17)</f>
        <v>23.435253039606845</v>
      </c>
      <c r="Q17" s="36">
        <f>'TR TE'!$Q$17*'TR TE'!$Q$57</f>
        <v>212.37654329195246</v>
      </c>
      <c r="R17" s="36">
        <f>SUM($Q$17:$Q$17)</f>
        <v>212.37654329195246</v>
      </c>
      <c r="S17" s="36">
        <f>'TR TE'!$S$17*'TR TE'!$S$57</f>
        <v>0</v>
      </c>
      <c r="T17" s="36">
        <f>'TR TE'!$T$17*'TR TE'!$T$57</f>
        <v>0</v>
      </c>
      <c r="U17" s="36">
        <f>'TR TE'!$U$17*'TR TE'!$U$57</f>
        <v>3.8680550024625049E-13</v>
      </c>
      <c r="V17" s="36">
        <f>SUM($S$17:$U$17)</f>
        <v>3.8680550024625049E-13</v>
      </c>
      <c r="W17" s="36"/>
      <c r="X17" s="36">
        <f>SUM($W$17:$W$17)</f>
        <v>0</v>
      </c>
      <c r="Y17" s="36">
        <f>'TR TE'!$Y$17*'TR TE'!$Y$57</f>
        <v>5.700517328918461</v>
      </c>
      <c r="Z17" s="36">
        <f>SUM($Y$17:$Y$17)</f>
        <v>5.700517328918461</v>
      </c>
      <c r="AA17" s="36">
        <f>SUMIF($L$4:$Z$4,"SUBTOTAL",$L$17:$Z$17)</f>
        <v>241.51231366047816</v>
      </c>
    </row>
    <row r="18" spans="1:27" ht="11.25" customHeight="1" x14ac:dyDescent="0.25">
      <c r="A18" s="112"/>
      <c r="B18" s="112"/>
      <c r="C18" s="112"/>
      <c r="D18" s="112"/>
      <c r="E18" s="112"/>
      <c r="F18" s="112"/>
      <c r="G18" s="38" t="s">
        <v>95</v>
      </c>
      <c r="H18" s="38" t="s">
        <v>93</v>
      </c>
      <c r="I18" s="38">
        <f>'MERCADO TE'!$U$15</f>
        <v>1353.7170000000001</v>
      </c>
      <c r="J18" s="15"/>
      <c r="L18" s="36">
        <f>'TR TE'!$L$18*'TR TE'!$L$57</f>
        <v>2.6225748408976601</v>
      </c>
      <c r="M18" s="36">
        <f>'TR TE'!$M$18*'TR TE'!$M$57</f>
        <v>17.086520082442728</v>
      </c>
      <c r="N18" s="36">
        <f>'TR TE'!$N$18*'TR TE'!$N$57</f>
        <v>0</v>
      </c>
      <c r="O18" s="36">
        <f>'TR TE'!$O$18*'TR TE'!$O$57</f>
        <v>3.7261581162664563</v>
      </c>
      <c r="P18" s="36">
        <f>SUM($L$18:$O$18)</f>
        <v>23.435253039606845</v>
      </c>
      <c r="Q18" s="36">
        <f>'TR TE'!$Q$18*'TR TE'!$Q$57</f>
        <v>212.37654329195246</v>
      </c>
      <c r="R18" s="36">
        <f>SUM($Q$18:$Q$18)</f>
        <v>212.37654329195246</v>
      </c>
      <c r="S18" s="36">
        <f>'TR TE'!$S$18*'TR TE'!$S$57</f>
        <v>0</v>
      </c>
      <c r="T18" s="36">
        <f>'TR TE'!$T$18*'TR TE'!$T$57</f>
        <v>0</v>
      </c>
      <c r="U18" s="36">
        <f>'TR TE'!$U$18*'TR TE'!$U$57</f>
        <v>3.8680550024625049E-13</v>
      </c>
      <c r="V18" s="36">
        <f>SUM($S$18:$U$18)</f>
        <v>3.8680550024625049E-13</v>
      </c>
      <c r="W18" s="36"/>
      <c r="X18" s="36">
        <f>SUM($W$18:$W$18)</f>
        <v>0</v>
      </c>
      <c r="Y18" s="36">
        <f>'TR TE'!$Y$18*'TR TE'!$Y$57</f>
        <v>5.700517328918461</v>
      </c>
      <c r="Z18" s="36">
        <f>SUM($Y$18:$Y$18)</f>
        <v>5.700517328918461</v>
      </c>
      <c r="AA18" s="36">
        <f>SUMIF($L$4:$Z$4,"SUBTOTAL",$L$18:$Z$18)</f>
        <v>241.51231366047816</v>
      </c>
    </row>
    <row r="19" spans="1:27" ht="11.25" customHeight="1" x14ac:dyDescent="0.25">
      <c r="A19" s="112"/>
      <c r="B19" s="112" t="s">
        <v>103</v>
      </c>
      <c r="C19" s="112" t="s">
        <v>24</v>
      </c>
      <c r="D19" s="39" t="s">
        <v>24</v>
      </c>
      <c r="E19" s="39" t="s">
        <v>25</v>
      </c>
      <c r="F19" s="39" t="s">
        <v>25</v>
      </c>
      <c r="G19" s="38" t="s">
        <v>98</v>
      </c>
      <c r="H19" s="38" t="s">
        <v>93</v>
      </c>
      <c r="I19" s="38">
        <f>'MERCADO TE'!$U$16</f>
        <v>902304.86599999992</v>
      </c>
      <c r="J19" s="15"/>
      <c r="L19" s="36">
        <f>'TR TE'!$L$19*'TR TE'!$L$57</f>
        <v>2.6225748408976601</v>
      </c>
      <c r="M19" s="36">
        <f>'TR TE'!$M$19*'TR TE'!$M$57</f>
        <v>17.086520082442728</v>
      </c>
      <c r="N19" s="36">
        <f>'TR TE'!$N$19*'TR TE'!$N$57</f>
        <v>0</v>
      </c>
      <c r="O19" s="36">
        <f>'TR TE'!$O$19*'TR TE'!$O$57</f>
        <v>3.7261581162664563</v>
      </c>
      <c r="P19" s="36">
        <f>SUM($L$19:$O$19)</f>
        <v>23.435253039606845</v>
      </c>
      <c r="Q19" s="36">
        <f>'TR TE'!$Q$19*'TR TE'!$Q$57</f>
        <v>225.11913588946962</v>
      </c>
      <c r="R19" s="36">
        <f>SUM($Q$19:$Q$19)</f>
        <v>225.11913588946962</v>
      </c>
      <c r="S19" s="36">
        <f>'TR TE'!$S$19*'TR TE'!$S$57</f>
        <v>0</v>
      </c>
      <c r="T19" s="36">
        <f>'TR TE'!$T$19*'TR TE'!$T$57</f>
        <v>0</v>
      </c>
      <c r="U19" s="36">
        <f>'TR TE'!$U$19*'TR TE'!$U$57</f>
        <v>3.8680550024625049E-13</v>
      </c>
      <c r="V19" s="36">
        <f>SUM($S$19:$U$19)</f>
        <v>3.8680550024625049E-13</v>
      </c>
      <c r="W19" s="36"/>
      <c r="X19" s="36">
        <f>SUM($W$19:$W$19)</f>
        <v>0</v>
      </c>
      <c r="Y19" s="36">
        <f>'TR TE'!$Y$19*'TR TE'!$Y$57</f>
        <v>5.700517328918461</v>
      </c>
      <c r="Z19" s="36">
        <f>SUM($Y$19:$Y$19)</f>
        <v>5.700517328918461</v>
      </c>
      <c r="AA19" s="36">
        <f>SUMIF($L$4:$Z$4,"SUBTOTAL",$L$19:$Z$19)</f>
        <v>254.25490625799532</v>
      </c>
    </row>
    <row r="20" spans="1:27" ht="11.25" customHeight="1" x14ac:dyDescent="0.25">
      <c r="A20" s="112"/>
      <c r="B20" s="112"/>
      <c r="C20" s="112"/>
      <c r="D20" s="39" t="s">
        <v>29</v>
      </c>
      <c r="E20" s="39" t="s">
        <v>25</v>
      </c>
      <c r="F20" s="39" t="s">
        <v>25</v>
      </c>
      <c r="G20" s="38" t="s">
        <v>98</v>
      </c>
      <c r="H20" s="38" t="s">
        <v>93</v>
      </c>
      <c r="I20" s="38">
        <f>'MERCADO TE'!$U$17</f>
        <v>83676.410999999993</v>
      </c>
      <c r="J20" s="15"/>
      <c r="L20" s="36">
        <f>'TR TE'!$L$20*'TR TE'!$L$57</f>
        <v>2.6225748408976601</v>
      </c>
      <c r="M20" s="36">
        <f>'TR TE'!$M$20*'TR TE'!$M$57</f>
        <v>17.086520082442728</v>
      </c>
      <c r="N20" s="36">
        <f>'TR TE'!$N$20*'TR TE'!$N$57</f>
        <v>0</v>
      </c>
      <c r="O20" s="36">
        <f>'TR TE'!$O$20*'TR TE'!$O$57</f>
        <v>3.7261581162664563</v>
      </c>
      <c r="P20" s="36">
        <f>SUM($L$20:$O$20)</f>
        <v>23.435253039606845</v>
      </c>
      <c r="Q20" s="36">
        <f>'TR TE'!$Q$20*'TR TE'!$Q$57</f>
        <v>225.11913588946962</v>
      </c>
      <c r="R20" s="36">
        <f>SUM($Q$20:$Q$20)</f>
        <v>225.11913588946962</v>
      </c>
      <c r="S20" s="36">
        <f>'TR TE'!$S$20*'TR TE'!$S$57</f>
        <v>0</v>
      </c>
      <c r="T20" s="36">
        <f>'TR TE'!$T$20*'TR TE'!$T$57</f>
        <v>0</v>
      </c>
      <c r="U20" s="36">
        <f>'TR TE'!$U$20*'TR TE'!$U$57</f>
        <v>3.8680550024625049E-13</v>
      </c>
      <c r="V20" s="36">
        <f>SUM($S$20:$U$20)</f>
        <v>3.8680550024625049E-13</v>
      </c>
      <c r="W20" s="36"/>
      <c r="X20" s="36">
        <f>SUM($W$20:$W$20)</f>
        <v>0</v>
      </c>
      <c r="Y20" s="36">
        <f>'TR TE'!$Y$20*'TR TE'!$Y$57</f>
        <v>5.700517328918461</v>
      </c>
      <c r="Z20" s="36">
        <f>SUM($Y$20:$Y$20)</f>
        <v>5.700517328918461</v>
      </c>
      <c r="AA20" s="36">
        <f>SUMIF($L$4:$Z$4,"SUBTOTAL",$L$20:$Z$20)</f>
        <v>254.25490625799532</v>
      </c>
    </row>
    <row r="21" spans="1:27" ht="11.25" customHeight="1" x14ac:dyDescent="0.25">
      <c r="A21" s="112"/>
      <c r="B21" s="112"/>
      <c r="C21" s="112"/>
      <c r="D21" s="39" t="s">
        <v>30</v>
      </c>
      <c r="E21" s="39" t="s">
        <v>25</v>
      </c>
      <c r="F21" s="39" t="s">
        <v>25</v>
      </c>
      <c r="G21" s="38" t="s">
        <v>98</v>
      </c>
      <c r="H21" s="38" t="s">
        <v>93</v>
      </c>
      <c r="I21" s="38">
        <f>'MERCADO TE'!$U$18</f>
        <v>134463.81899999996</v>
      </c>
      <c r="J21" s="15"/>
      <c r="L21" s="36">
        <f>'TR TE'!$L$21*'TR TE'!$L$57</f>
        <v>2.6225748408976601</v>
      </c>
      <c r="M21" s="36">
        <f>'TR TE'!$M$21*'TR TE'!$M$57</f>
        <v>17.086520082442728</v>
      </c>
      <c r="N21" s="36">
        <f>'TR TE'!$N$21*'TR TE'!$N$57</f>
        <v>0</v>
      </c>
      <c r="O21" s="36">
        <f>'TR TE'!$O$21*'TR TE'!$O$57</f>
        <v>3.7261581162664563</v>
      </c>
      <c r="P21" s="36">
        <f>SUM($L$21:$O$21)</f>
        <v>23.435253039606845</v>
      </c>
      <c r="Q21" s="36">
        <f>'TR TE'!$Q$21*'TR TE'!$Q$57</f>
        <v>225.11913588946962</v>
      </c>
      <c r="R21" s="36">
        <f>SUM($Q$21:$Q$21)</f>
        <v>225.11913588946962</v>
      </c>
      <c r="S21" s="36">
        <f>'TR TE'!$S$21*'TR TE'!$S$57</f>
        <v>0</v>
      </c>
      <c r="T21" s="36">
        <f>'TR TE'!$T$21*'TR TE'!$T$57</f>
        <v>0</v>
      </c>
      <c r="U21" s="36">
        <f>'TR TE'!$U$21*'TR TE'!$U$57</f>
        <v>3.8680550024625049E-13</v>
      </c>
      <c r="V21" s="36">
        <f>SUM($S$21:$U$21)</f>
        <v>3.8680550024625049E-13</v>
      </c>
      <c r="W21" s="36"/>
      <c r="X21" s="36">
        <f>SUM($W$21:$W$21)</f>
        <v>0</v>
      </c>
      <c r="Y21" s="36">
        <f>'TR TE'!$Y$21*'TR TE'!$Y$57</f>
        <v>5.700517328918461</v>
      </c>
      <c r="Z21" s="36">
        <f>SUM($Y$21:$Y$21)</f>
        <v>5.700517328918461</v>
      </c>
      <c r="AA21" s="36">
        <f>SUMIF($L$4:$Z$4,"SUBTOTAL",$L$21:$Z$21)</f>
        <v>254.25490625799532</v>
      </c>
    </row>
    <row r="22" spans="1:27" ht="11.25" customHeight="1" x14ac:dyDescent="0.25">
      <c r="A22" s="112"/>
      <c r="B22" s="112"/>
      <c r="C22" s="112"/>
      <c r="D22" s="39" t="s">
        <v>31</v>
      </c>
      <c r="E22" s="39" t="s">
        <v>25</v>
      </c>
      <c r="F22" s="39" t="s">
        <v>25</v>
      </c>
      <c r="G22" s="38" t="s">
        <v>98</v>
      </c>
      <c r="H22" s="38" t="s">
        <v>93</v>
      </c>
      <c r="I22" s="38">
        <f>'MERCADO TE'!$U$19</f>
        <v>58132.979000000007</v>
      </c>
      <c r="J22" s="15"/>
      <c r="L22" s="36">
        <f>'TR TE'!$L$22*'TR TE'!$L$57</f>
        <v>2.6225748408976601</v>
      </c>
      <c r="M22" s="36">
        <f>'TR TE'!$M$22*'TR TE'!$M$57</f>
        <v>17.086520082442728</v>
      </c>
      <c r="N22" s="36">
        <f>'TR TE'!$N$22*'TR TE'!$N$57</f>
        <v>0</v>
      </c>
      <c r="O22" s="36">
        <f>'TR TE'!$O$22*'TR TE'!$O$57</f>
        <v>3.7261581162664563</v>
      </c>
      <c r="P22" s="36">
        <f>SUM($L$22:$O$22)</f>
        <v>23.435253039606845</v>
      </c>
      <c r="Q22" s="36">
        <f>'TR TE'!$Q$22*'TR TE'!$Q$57</f>
        <v>225.11913588946962</v>
      </c>
      <c r="R22" s="36">
        <f>SUM($Q$22:$Q$22)</f>
        <v>225.11913588946962</v>
      </c>
      <c r="S22" s="36">
        <f>'TR TE'!$S$22*'TR TE'!$S$57</f>
        <v>0</v>
      </c>
      <c r="T22" s="36">
        <f>'TR TE'!$T$22*'TR TE'!$T$57</f>
        <v>0</v>
      </c>
      <c r="U22" s="36">
        <f>'TR TE'!$U$22*'TR TE'!$U$57</f>
        <v>3.8680550024625049E-13</v>
      </c>
      <c r="V22" s="36">
        <f>SUM($S$22:$U$22)</f>
        <v>3.8680550024625049E-13</v>
      </c>
      <c r="W22" s="36"/>
      <c r="X22" s="36">
        <f>SUM($W$22:$W$22)</f>
        <v>0</v>
      </c>
      <c r="Y22" s="36">
        <f>'TR TE'!$Y$22*'TR TE'!$Y$57</f>
        <v>5.700517328918461</v>
      </c>
      <c r="Z22" s="36">
        <f>SUM($Y$22:$Y$22)</f>
        <v>5.700517328918461</v>
      </c>
      <c r="AA22" s="36">
        <f>SUMIF($L$4:$Z$4,"SUBTOTAL",$L$22:$Z$22)</f>
        <v>254.25490625799532</v>
      </c>
    </row>
    <row r="23" spans="1:27" ht="11.25" customHeight="1" x14ac:dyDescent="0.25">
      <c r="A23" s="112"/>
      <c r="B23" s="112"/>
      <c r="C23" s="112"/>
      <c r="D23" s="39" t="s">
        <v>32</v>
      </c>
      <c r="E23" s="39" t="s">
        <v>25</v>
      </c>
      <c r="F23" s="39" t="s">
        <v>25</v>
      </c>
      <c r="G23" s="38" t="s">
        <v>98</v>
      </c>
      <c r="H23" s="38" t="s">
        <v>93</v>
      </c>
      <c r="I23" s="38">
        <f>'MERCADO TE'!$U$20</f>
        <v>16063.907000000001</v>
      </c>
      <c r="J23" s="15"/>
      <c r="L23" s="36">
        <f>'TR TE'!$L$23*'TR TE'!$L$57</f>
        <v>2.6225748408976601</v>
      </c>
      <c r="M23" s="36">
        <f>'TR TE'!$M$23*'TR TE'!$M$57</f>
        <v>17.086520082442728</v>
      </c>
      <c r="N23" s="36">
        <f>'TR TE'!$N$23*'TR TE'!$N$57</f>
        <v>0</v>
      </c>
      <c r="O23" s="36">
        <f>'TR TE'!$O$23*'TR TE'!$O$57</f>
        <v>3.7261581162664563</v>
      </c>
      <c r="P23" s="36">
        <f>SUM($L$23:$O$23)</f>
        <v>23.435253039606845</v>
      </c>
      <c r="Q23" s="36">
        <f>'TR TE'!$Q$23*'TR TE'!$Q$57</f>
        <v>225.11913588946962</v>
      </c>
      <c r="R23" s="36">
        <f>SUM($Q$23:$Q$23)</f>
        <v>225.11913588946962</v>
      </c>
      <c r="S23" s="36">
        <f>'TR TE'!$S$23*'TR TE'!$S$57</f>
        <v>0</v>
      </c>
      <c r="T23" s="36">
        <f>'TR TE'!$T$23*'TR TE'!$T$57</f>
        <v>0</v>
      </c>
      <c r="U23" s="36">
        <f>'TR TE'!$U$23*'TR TE'!$U$57</f>
        <v>3.8680550024625049E-13</v>
      </c>
      <c r="V23" s="36">
        <f>SUM($S$23:$U$23)</f>
        <v>3.8680550024625049E-13</v>
      </c>
      <c r="W23" s="36"/>
      <c r="X23" s="36">
        <f>SUM($W$23:$W$23)</f>
        <v>0</v>
      </c>
      <c r="Y23" s="36">
        <f>'TR TE'!$Y$23*'TR TE'!$Y$57</f>
        <v>5.700517328918461</v>
      </c>
      <c r="Z23" s="36">
        <f>SUM($Y$23:$Y$23)</f>
        <v>5.700517328918461</v>
      </c>
      <c r="AA23" s="36">
        <f>SUMIF($L$4:$Z$4,"SUBTOTAL",$L$23:$Z$23)</f>
        <v>254.25490625799532</v>
      </c>
    </row>
    <row r="24" spans="1:27" ht="11.25" customHeight="1" x14ac:dyDescent="0.25">
      <c r="A24" s="112"/>
      <c r="B24" s="112" t="s">
        <v>108</v>
      </c>
      <c r="C24" s="112" t="s">
        <v>24</v>
      </c>
      <c r="D24" s="39" t="s">
        <v>24</v>
      </c>
      <c r="E24" s="39" t="s">
        <v>25</v>
      </c>
      <c r="F24" s="39" t="s">
        <v>25</v>
      </c>
      <c r="G24" s="38" t="s">
        <v>98</v>
      </c>
      <c r="H24" s="38" t="s">
        <v>93</v>
      </c>
      <c r="I24" s="38">
        <f>'MERCADO TE'!$U$21</f>
        <v>0</v>
      </c>
      <c r="J24" s="15"/>
      <c r="L24" s="36">
        <f>'TR TE'!$L$24*'TR TE'!$L$57</f>
        <v>2.6225748408976601</v>
      </c>
      <c r="M24" s="36">
        <f>'TR TE'!$M$24*'TR TE'!$M$57</f>
        <v>17.086520082442728</v>
      </c>
      <c r="N24" s="36">
        <f>'TR TE'!$N$24*'TR TE'!$N$57</f>
        <v>0</v>
      </c>
      <c r="O24" s="36">
        <f>'TR TE'!$O$24*'TR TE'!$O$57</f>
        <v>3.7261581162664563</v>
      </c>
      <c r="P24" s="36">
        <f>SUM($L$24:$O$24)</f>
        <v>23.435253039606845</v>
      </c>
      <c r="Q24" s="36">
        <f>'TR TE'!$Q$24*'TR TE'!$Q$57</f>
        <v>225.11913588946962</v>
      </c>
      <c r="R24" s="36">
        <f>SUM($Q$24:$Q$24)</f>
        <v>225.11913588946962</v>
      </c>
      <c r="S24" s="36">
        <f>'TR TE'!$S$24*'TR TE'!$S$57</f>
        <v>0</v>
      </c>
      <c r="T24" s="36">
        <f>'TR TE'!$T$24*'TR TE'!$T$57</f>
        <v>0</v>
      </c>
      <c r="U24" s="36">
        <f>'TR TE'!$U$24*'TR TE'!$U$57</f>
        <v>3.8680550024625049E-13</v>
      </c>
      <c r="V24" s="36">
        <f>SUM($S$24:$U$24)</f>
        <v>3.8680550024625049E-13</v>
      </c>
      <c r="W24" s="36"/>
      <c r="X24" s="36">
        <f>SUM($W$24:$W$24)</f>
        <v>0</v>
      </c>
      <c r="Y24" s="36">
        <f>'TR TE'!$Y$24*'TR TE'!$Y$57</f>
        <v>5.700517328918461</v>
      </c>
      <c r="Z24" s="36">
        <f>SUM($Y$24:$Y$24)</f>
        <v>5.700517328918461</v>
      </c>
      <c r="AA24" s="36">
        <f>SUMIF($L$4:$Z$4,"SUBTOTAL",$L$24:$Z$24)</f>
        <v>254.25490625799532</v>
      </c>
    </row>
    <row r="25" spans="1:27" ht="11.25" customHeight="1" x14ac:dyDescent="0.25">
      <c r="A25" s="112"/>
      <c r="B25" s="112"/>
      <c r="C25" s="112"/>
      <c r="D25" s="39" t="s">
        <v>29</v>
      </c>
      <c r="E25" s="39" t="s">
        <v>25</v>
      </c>
      <c r="F25" s="39" t="s">
        <v>25</v>
      </c>
      <c r="G25" s="38" t="s">
        <v>98</v>
      </c>
      <c r="H25" s="38" t="s">
        <v>93</v>
      </c>
      <c r="I25" s="38">
        <f>'MERCADO TE'!$U$22</f>
        <v>0</v>
      </c>
      <c r="J25" s="15"/>
      <c r="L25" s="36">
        <f>'TR TE'!$L$25*'TR TE'!$L$57</f>
        <v>2.6225748408976601</v>
      </c>
      <c r="M25" s="36">
        <f>'TR TE'!$M$25*'TR TE'!$M$57</f>
        <v>17.086520082442728</v>
      </c>
      <c r="N25" s="36">
        <f>'TR TE'!$N$25*'TR TE'!$N$57</f>
        <v>0</v>
      </c>
      <c r="O25" s="36">
        <f>'TR TE'!$O$25*'TR TE'!$O$57</f>
        <v>3.7261581162664563</v>
      </c>
      <c r="P25" s="36">
        <f>SUM($L$25:$O$25)</f>
        <v>23.435253039606845</v>
      </c>
      <c r="Q25" s="36">
        <f>'TR TE'!$Q$25*'TR TE'!$Q$57</f>
        <v>225.11913588946962</v>
      </c>
      <c r="R25" s="36">
        <f>SUM($Q$25:$Q$25)</f>
        <v>225.11913588946962</v>
      </c>
      <c r="S25" s="36">
        <f>'TR TE'!$S$25*'TR TE'!$S$57</f>
        <v>0</v>
      </c>
      <c r="T25" s="36">
        <f>'TR TE'!$T$25*'TR TE'!$T$57</f>
        <v>0</v>
      </c>
      <c r="U25" s="36">
        <f>'TR TE'!$U$25*'TR TE'!$U$57</f>
        <v>3.8680550024625049E-13</v>
      </c>
      <c r="V25" s="36">
        <f>SUM($S$25:$U$25)</f>
        <v>3.8680550024625049E-13</v>
      </c>
      <c r="W25" s="36"/>
      <c r="X25" s="36">
        <f>SUM($W$25:$W$25)</f>
        <v>0</v>
      </c>
      <c r="Y25" s="36">
        <f>'TR TE'!$Y$25*'TR TE'!$Y$57</f>
        <v>5.700517328918461</v>
      </c>
      <c r="Z25" s="36">
        <f>SUM($Y$25:$Y$25)</f>
        <v>5.700517328918461</v>
      </c>
      <c r="AA25" s="36">
        <f>SUMIF($L$4:$Z$4,"SUBTOTAL",$L$25:$Z$25)</f>
        <v>254.25490625799532</v>
      </c>
    </row>
    <row r="26" spans="1:27" ht="11.25" customHeight="1" x14ac:dyDescent="0.25">
      <c r="A26" s="112"/>
      <c r="B26" s="112"/>
      <c r="C26" s="112"/>
      <c r="D26" s="39" t="s">
        <v>30</v>
      </c>
      <c r="E26" s="39" t="s">
        <v>25</v>
      </c>
      <c r="F26" s="39" t="s">
        <v>25</v>
      </c>
      <c r="G26" s="38" t="s">
        <v>98</v>
      </c>
      <c r="H26" s="38" t="s">
        <v>93</v>
      </c>
      <c r="I26" s="38">
        <f>'MERCADO TE'!$U$23</f>
        <v>0</v>
      </c>
      <c r="J26" s="15"/>
      <c r="L26" s="36">
        <f>'TR TE'!$L$26*'TR TE'!$L$57</f>
        <v>2.6225748408976601</v>
      </c>
      <c r="M26" s="36">
        <f>'TR TE'!$M$26*'TR TE'!$M$57</f>
        <v>17.086520082442728</v>
      </c>
      <c r="N26" s="36">
        <f>'TR TE'!$N$26*'TR TE'!$N$57</f>
        <v>0</v>
      </c>
      <c r="O26" s="36">
        <f>'TR TE'!$O$26*'TR TE'!$O$57</f>
        <v>3.7261581162664563</v>
      </c>
      <c r="P26" s="36">
        <f>SUM($L$26:$O$26)</f>
        <v>23.435253039606845</v>
      </c>
      <c r="Q26" s="36">
        <f>'TR TE'!$Q$26*'TR TE'!$Q$57</f>
        <v>225.11913588946962</v>
      </c>
      <c r="R26" s="36">
        <f>SUM($Q$26:$Q$26)</f>
        <v>225.11913588946962</v>
      </c>
      <c r="S26" s="36">
        <f>'TR TE'!$S$26*'TR TE'!$S$57</f>
        <v>0</v>
      </c>
      <c r="T26" s="36">
        <f>'TR TE'!$T$26*'TR TE'!$T$57</f>
        <v>0</v>
      </c>
      <c r="U26" s="36">
        <f>'TR TE'!$U$26*'TR TE'!$U$57</f>
        <v>3.8680550024625049E-13</v>
      </c>
      <c r="V26" s="36">
        <f>SUM($S$26:$U$26)</f>
        <v>3.8680550024625049E-13</v>
      </c>
      <c r="W26" s="36"/>
      <c r="X26" s="36">
        <f>SUM($W$26:$W$26)</f>
        <v>0</v>
      </c>
      <c r="Y26" s="36">
        <f>'TR TE'!$Y$26*'TR TE'!$Y$57</f>
        <v>5.700517328918461</v>
      </c>
      <c r="Z26" s="36">
        <f>SUM($Y$26:$Y$26)</f>
        <v>5.700517328918461</v>
      </c>
      <c r="AA26" s="36">
        <f>SUMIF($L$4:$Z$4,"SUBTOTAL",$L$26:$Z$26)</f>
        <v>254.25490625799532</v>
      </c>
    </row>
    <row r="27" spans="1:27" ht="11.25" customHeight="1" x14ac:dyDescent="0.25">
      <c r="A27" s="112"/>
      <c r="B27" s="112"/>
      <c r="C27" s="112"/>
      <c r="D27" s="39" t="s">
        <v>31</v>
      </c>
      <c r="E27" s="39" t="s">
        <v>25</v>
      </c>
      <c r="F27" s="39" t="s">
        <v>25</v>
      </c>
      <c r="G27" s="38" t="s">
        <v>98</v>
      </c>
      <c r="H27" s="38" t="s">
        <v>93</v>
      </c>
      <c r="I27" s="38">
        <f>'MERCADO TE'!$U$24</f>
        <v>0</v>
      </c>
      <c r="J27" s="15"/>
      <c r="L27" s="36">
        <f>'TR TE'!$L$27*'TR TE'!$L$57</f>
        <v>2.6225748408976601</v>
      </c>
      <c r="M27" s="36">
        <f>'TR TE'!$M$27*'TR TE'!$M$57</f>
        <v>17.086520082442728</v>
      </c>
      <c r="N27" s="36">
        <f>'TR TE'!$N$27*'TR TE'!$N$57</f>
        <v>0</v>
      </c>
      <c r="O27" s="36">
        <f>'TR TE'!$O$27*'TR TE'!$O$57</f>
        <v>3.7261581162664563</v>
      </c>
      <c r="P27" s="36">
        <f>SUM($L$27:$O$27)</f>
        <v>23.435253039606845</v>
      </c>
      <c r="Q27" s="36">
        <f>'TR TE'!$Q$27*'TR TE'!$Q$57</f>
        <v>225.11913588946962</v>
      </c>
      <c r="R27" s="36">
        <f>SUM($Q$27:$Q$27)</f>
        <v>225.11913588946962</v>
      </c>
      <c r="S27" s="36">
        <f>'TR TE'!$S$27*'TR TE'!$S$57</f>
        <v>0</v>
      </c>
      <c r="T27" s="36">
        <f>'TR TE'!$T$27*'TR TE'!$T$57</f>
        <v>0</v>
      </c>
      <c r="U27" s="36">
        <f>'TR TE'!$U$27*'TR TE'!$U$57</f>
        <v>3.8680550024625049E-13</v>
      </c>
      <c r="V27" s="36">
        <f>SUM($S$27:$U$27)</f>
        <v>3.8680550024625049E-13</v>
      </c>
      <c r="W27" s="36"/>
      <c r="X27" s="36">
        <f>SUM($W$27:$W$27)</f>
        <v>0</v>
      </c>
      <c r="Y27" s="36">
        <f>'TR TE'!$Y$27*'TR TE'!$Y$57</f>
        <v>5.700517328918461</v>
      </c>
      <c r="Z27" s="36">
        <f>SUM($Y$27:$Y$27)</f>
        <v>5.700517328918461</v>
      </c>
      <c r="AA27" s="36">
        <f>SUMIF($L$4:$Z$4,"SUBTOTAL",$L$27:$Z$27)</f>
        <v>254.25490625799532</v>
      </c>
    </row>
    <row r="28" spans="1:27" ht="11.25" customHeight="1" x14ac:dyDescent="0.25">
      <c r="A28" s="112"/>
      <c r="B28" s="112"/>
      <c r="C28" s="112"/>
      <c r="D28" s="39" t="s">
        <v>32</v>
      </c>
      <c r="E28" s="39" t="s">
        <v>25</v>
      </c>
      <c r="F28" s="39" t="s">
        <v>25</v>
      </c>
      <c r="G28" s="38" t="s">
        <v>98</v>
      </c>
      <c r="H28" s="38" t="s">
        <v>93</v>
      </c>
      <c r="I28" s="38">
        <f>'MERCADO TE'!$U$25</f>
        <v>0</v>
      </c>
      <c r="J28" s="15"/>
      <c r="L28" s="36">
        <f>'TR TE'!$L$28*'TR TE'!$L$57</f>
        <v>2.6225748408976601</v>
      </c>
      <c r="M28" s="36">
        <f>'TR TE'!$M$28*'TR TE'!$M$57</f>
        <v>17.086520082442728</v>
      </c>
      <c r="N28" s="36">
        <f>'TR TE'!$N$28*'TR TE'!$N$57</f>
        <v>0</v>
      </c>
      <c r="O28" s="36">
        <f>'TR TE'!$O$28*'TR TE'!$O$57</f>
        <v>3.7261581162664563</v>
      </c>
      <c r="P28" s="36">
        <f>SUM($L$28:$O$28)</f>
        <v>23.435253039606845</v>
      </c>
      <c r="Q28" s="36">
        <f>'TR TE'!$Q$28*'TR TE'!$Q$57</f>
        <v>225.11913588946962</v>
      </c>
      <c r="R28" s="36">
        <f>SUM($Q$28:$Q$28)</f>
        <v>225.11913588946962</v>
      </c>
      <c r="S28" s="36">
        <f>'TR TE'!$S$28*'TR TE'!$S$57</f>
        <v>0</v>
      </c>
      <c r="T28" s="36">
        <f>'TR TE'!$T$28*'TR TE'!$T$57</f>
        <v>0</v>
      </c>
      <c r="U28" s="36">
        <f>'TR TE'!$U$28*'TR TE'!$U$57</f>
        <v>3.8680550024625049E-13</v>
      </c>
      <c r="V28" s="36">
        <f>SUM($S$28:$U$28)</f>
        <v>3.8680550024625049E-13</v>
      </c>
      <c r="W28" s="36"/>
      <c r="X28" s="36">
        <f>SUM($W$28:$W$28)</f>
        <v>0</v>
      </c>
      <c r="Y28" s="36">
        <f>'TR TE'!$Y$28*'TR TE'!$Y$57</f>
        <v>5.700517328918461</v>
      </c>
      <c r="Z28" s="36">
        <f>SUM($Y$28:$Y$28)</f>
        <v>5.700517328918461</v>
      </c>
      <c r="AA28" s="36">
        <f>SUMIF($L$4:$Z$4,"SUBTOTAL",$L$28:$Z$28)</f>
        <v>254.25490625799532</v>
      </c>
    </row>
    <row r="29" spans="1:27" ht="11.25" customHeight="1" x14ac:dyDescent="0.25">
      <c r="A29" s="112" t="s">
        <v>44</v>
      </c>
      <c r="B29" s="112" t="s">
        <v>92</v>
      </c>
      <c r="C29" s="112" t="s">
        <v>45</v>
      </c>
      <c r="D29" s="112" t="s">
        <v>25</v>
      </c>
      <c r="E29" s="112" t="s">
        <v>25</v>
      </c>
      <c r="F29" s="112" t="s">
        <v>25</v>
      </c>
      <c r="G29" s="38" t="s">
        <v>94</v>
      </c>
      <c r="H29" s="38" t="s">
        <v>93</v>
      </c>
      <c r="I29" s="38">
        <f>'MERCADO TE'!$U$26</f>
        <v>0.61099999999999999</v>
      </c>
      <c r="J29" s="15"/>
      <c r="L29" s="36">
        <f>'TR TE'!$L$29*'TR TE'!$L$57</f>
        <v>2.6225748408976601</v>
      </c>
      <c r="M29" s="36">
        <f>'TR TE'!$M$29*'TR TE'!$M$57</f>
        <v>17.086520082442728</v>
      </c>
      <c r="N29" s="36">
        <f>'TR TE'!$N$29*'TR TE'!$N$57</f>
        <v>0</v>
      </c>
      <c r="O29" s="36">
        <f>'TR TE'!$O$29*'TR TE'!$O$57</f>
        <v>3.7261581162664563</v>
      </c>
      <c r="P29" s="36">
        <f>SUM($L$29:$O$29)</f>
        <v>23.435253039606845</v>
      </c>
      <c r="Q29" s="36">
        <f>'TR TE'!$Q$29*'TR TE'!$Q$57</f>
        <v>365.28765446215823</v>
      </c>
      <c r="R29" s="36">
        <f>SUM($Q$29:$Q$29)</f>
        <v>365.28765446215823</v>
      </c>
      <c r="S29" s="36">
        <f>'TR TE'!$S$29*'TR TE'!$S$57</f>
        <v>0</v>
      </c>
      <c r="T29" s="36">
        <f>'TR TE'!$T$29*'TR TE'!$T$57</f>
        <v>0</v>
      </c>
      <c r="U29" s="36">
        <f>'TR TE'!$U$29*'TR TE'!$U$57</f>
        <v>3.8680550024625049E-13</v>
      </c>
      <c r="V29" s="36">
        <f>SUM($S$29:$U$29)</f>
        <v>3.8680550024625049E-13</v>
      </c>
      <c r="W29" s="36"/>
      <c r="X29" s="36">
        <f>SUM($W$29:$W$29)</f>
        <v>0</v>
      </c>
      <c r="Y29" s="36">
        <f>'TR TE'!$Y$29*'TR TE'!$Y$57</f>
        <v>5.700517328918461</v>
      </c>
      <c r="Z29" s="36">
        <f>SUM($Y$29:$Y$29)</f>
        <v>5.700517328918461</v>
      </c>
      <c r="AA29" s="36">
        <f>SUMIF($L$4:$Z$4,"SUBTOTAL",$L$29:$Z$29)</f>
        <v>394.42342483068393</v>
      </c>
    </row>
    <row r="30" spans="1:27" ht="11.25" customHeight="1" x14ac:dyDescent="0.25">
      <c r="A30" s="112"/>
      <c r="B30" s="112"/>
      <c r="C30" s="112"/>
      <c r="D30" s="112"/>
      <c r="E30" s="112"/>
      <c r="F30" s="112"/>
      <c r="G30" s="38" t="s">
        <v>107</v>
      </c>
      <c r="H30" s="38" t="s">
        <v>93</v>
      </c>
      <c r="I30" s="38">
        <f>'MERCADO TE'!$U$27</f>
        <v>0.81099999999999994</v>
      </c>
      <c r="J30" s="15"/>
      <c r="L30" s="36">
        <f>'TR TE'!$L$30*'TR TE'!$L$57</f>
        <v>2.6225748408976601</v>
      </c>
      <c r="M30" s="36">
        <f>'TR TE'!$M$30*'TR TE'!$M$57</f>
        <v>17.086520082442728</v>
      </c>
      <c r="N30" s="36">
        <f>'TR TE'!$N$30*'TR TE'!$N$57</f>
        <v>0</v>
      </c>
      <c r="O30" s="36">
        <f>'TR TE'!$O$30*'TR TE'!$O$57</f>
        <v>3.7261581162664563</v>
      </c>
      <c r="P30" s="36">
        <f>SUM($L$30:$O$30)</f>
        <v>23.435253039606845</v>
      </c>
      <c r="Q30" s="36">
        <f>'TR TE'!$Q$30*'TR TE'!$Q$57</f>
        <v>212.37654329195246</v>
      </c>
      <c r="R30" s="36">
        <f>SUM($Q$30:$Q$30)</f>
        <v>212.37654329195246</v>
      </c>
      <c r="S30" s="36">
        <f>'TR TE'!$S$30*'TR TE'!$S$57</f>
        <v>0</v>
      </c>
      <c r="T30" s="36">
        <f>'TR TE'!$T$30*'TR TE'!$T$57</f>
        <v>0</v>
      </c>
      <c r="U30" s="36">
        <f>'TR TE'!$U$30*'TR TE'!$U$57</f>
        <v>3.8680550024625049E-13</v>
      </c>
      <c r="V30" s="36">
        <f>SUM($S$30:$U$30)</f>
        <v>3.8680550024625049E-13</v>
      </c>
      <c r="W30" s="36"/>
      <c r="X30" s="36">
        <f>SUM($W$30:$W$30)</f>
        <v>0</v>
      </c>
      <c r="Y30" s="36">
        <f>'TR TE'!$Y$30*'TR TE'!$Y$57</f>
        <v>5.700517328918461</v>
      </c>
      <c r="Z30" s="36">
        <f>SUM($Y$30:$Y$30)</f>
        <v>5.700517328918461</v>
      </c>
      <c r="AA30" s="36">
        <f>SUMIF($L$4:$Z$4,"SUBTOTAL",$L$30:$Z$30)</f>
        <v>241.51231366047816</v>
      </c>
    </row>
    <row r="31" spans="1:27" ht="11.25" customHeight="1" x14ac:dyDescent="0.25">
      <c r="A31" s="112"/>
      <c r="B31" s="112"/>
      <c r="C31" s="112"/>
      <c r="D31" s="112"/>
      <c r="E31" s="112"/>
      <c r="F31" s="112"/>
      <c r="G31" s="38" t="s">
        <v>95</v>
      </c>
      <c r="H31" s="38" t="s">
        <v>93</v>
      </c>
      <c r="I31" s="38">
        <f>'MERCADO TE'!$U$28</f>
        <v>184.815</v>
      </c>
      <c r="J31" s="15"/>
      <c r="L31" s="36">
        <f>'TR TE'!$L$31*'TR TE'!$L$57</f>
        <v>2.6225748408976601</v>
      </c>
      <c r="M31" s="36">
        <f>'TR TE'!$M$31*'TR TE'!$M$57</f>
        <v>17.086520082442728</v>
      </c>
      <c r="N31" s="36">
        <f>'TR TE'!$N$31*'TR TE'!$N$57</f>
        <v>0</v>
      </c>
      <c r="O31" s="36">
        <f>'TR TE'!$O$31*'TR TE'!$O$57</f>
        <v>3.7261581162664563</v>
      </c>
      <c r="P31" s="36">
        <f>SUM($L$31:$O$31)</f>
        <v>23.435253039606845</v>
      </c>
      <c r="Q31" s="36">
        <f>'TR TE'!$Q$31*'TR TE'!$Q$57</f>
        <v>212.37654329195246</v>
      </c>
      <c r="R31" s="36">
        <f>SUM($Q$31:$Q$31)</f>
        <v>212.37654329195246</v>
      </c>
      <c r="S31" s="36">
        <f>'TR TE'!$S$31*'TR TE'!$S$57</f>
        <v>0</v>
      </c>
      <c r="T31" s="36">
        <f>'TR TE'!$T$31*'TR TE'!$T$57</f>
        <v>0</v>
      </c>
      <c r="U31" s="36">
        <f>'TR TE'!$U$31*'TR TE'!$U$57</f>
        <v>3.8680550024625049E-13</v>
      </c>
      <c r="V31" s="36">
        <f>SUM($S$31:$U$31)</f>
        <v>3.8680550024625049E-13</v>
      </c>
      <c r="W31" s="36"/>
      <c r="X31" s="36">
        <f>SUM($W$31:$W$31)</f>
        <v>0</v>
      </c>
      <c r="Y31" s="36">
        <f>'TR TE'!$Y$31*'TR TE'!$Y$57</f>
        <v>5.700517328918461</v>
      </c>
      <c r="Z31" s="36">
        <f>SUM($Y$31:$Y$31)</f>
        <v>5.700517328918461</v>
      </c>
      <c r="AA31" s="36">
        <f>SUMIF($L$4:$Z$4,"SUBTOTAL",$L$31:$Z$31)</f>
        <v>241.51231366047816</v>
      </c>
    </row>
    <row r="32" spans="1:27" ht="11.25" customHeight="1" x14ac:dyDescent="0.25">
      <c r="A32" s="112"/>
      <c r="B32" s="39" t="s">
        <v>103</v>
      </c>
      <c r="C32" s="39" t="s">
        <v>45</v>
      </c>
      <c r="D32" s="39" t="s">
        <v>25</v>
      </c>
      <c r="E32" s="39" t="s">
        <v>25</v>
      </c>
      <c r="F32" s="39" t="s">
        <v>25</v>
      </c>
      <c r="G32" s="38" t="s">
        <v>98</v>
      </c>
      <c r="H32" s="38" t="s">
        <v>93</v>
      </c>
      <c r="I32" s="38">
        <f>'MERCADO TE'!$U$29</f>
        <v>60956.053</v>
      </c>
      <c r="J32" s="15"/>
      <c r="L32" s="36">
        <f>'TR TE'!$L$32*'TR TE'!$L$57</f>
        <v>2.6225748408976601</v>
      </c>
      <c r="M32" s="36">
        <f>'TR TE'!$M$32*'TR TE'!$M$57</f>
        <v>17.086520082442728</v>
      </c>
      <c r="N32" s="36">
        <f>'TR TE'!$N$32*'TR TE'!$N$57</f>
        <v>0</v>
      </c>
      <c r="O32" s="36">
        <f>'TR TE'!$O$32*'TR TE'!$O$57</f>
        <v>3.7261581162664563</v>
      </c>
      <c r="P32" s="36">
        <f>SUM($L$32:$O$32)</f>
        <v>23.435253039606845</v>
      </c>
      <c r="Q32" s="36">
        <f>'TR TE'!$Q$32*'TR TE'!$Q$57</f>
        <v>225.11913588946962</v>
      </c>
      <c r="R32" s="36">
        <f>SUM($Q$32:$Q$32)</f>
        <v>225.11913588946962</v>
      </c>
      <c r="S32" s="36">
        <f>'TR TE'!$S$32*'TR TE'!$S$57</f>
        <v>0</v>
      </c>
      <c r="T32" s="36">
        <f>'TR TE'!$T$32*'TR TE'!$T$57</f>
        <v>0</v>
      </c>
      <c r="U32" s="36">
        <f>'TR TE'!$U$32*'TR TE'!$U$57</f>
        <v>3.8680550024625049E-13</v>
      </c>
      <c r="V32" s="36">
        <f>SUM($S$32:$U$32)</f>
        <v>3.8680550024625049E-13</v>
      </c>
      <c r="W32" s="36"/>
      <c r="X32" s="36">
        <f>SUM($W$32:$W$32)</f>
        <v>0</v>
      </c>
      <c r="Y32" s="36">
        <f>'TR TE'!$Y$32*'TR TE'!$Y$57</f>
        <v>5.700517328918461</v>
      </c>
      <c r="Z32" s="36">
        <f>SUM($Y$32:$Y$32)</f>
        <v>5.700517328918461</v>
      </c>
      <c r="AA32" s="36">
        <f>SUMIF($L$4:$Z$4,"SUBTOTAL",$L$32:$Z$32)</f>
        <v>254.25490625799532</v>
      </c>
    </row>
    <row r="33" spans="1:27" ht="11.25" customHeight="1" x14ac:dyDescent="0.25">
      <c r="A33" s="112"/>
      <c r="B33" s="112" t="s">
        <v>92</v>
      </c>
      <c r="C33" s="112" t="s">
        <v>45</v>
      </c>
      <c r="D33" s="112" t="s">
        <v>110</v>
      </c>
      <c r="E33" s="112" t="s">
        <v>25</v>
      </c>
      <c r="F33" s="112" t="s">
        <v>25</v>
      </c>
      <c r="G33" s="38" t="s">
        <v>94</v>
      </c>
      <c r="H33" s="38" t="s">
        <v>93</v>
      </c>
      <c r="I33" s="38">
        <f>'MERCADO TE'!$U$30</f>
        <v>0</v>
      </c>
      <c r="J33" s="15"/>
      <c r="L33" s="36">
        <f>'TR TE'!$L$33*'TR TE'!$L$57</f>
        <v>2.6225748408976601</v>
      </c>
      <c r="M33" s="36">
        <f>'TR TE'!$M$33*'TR TE'!$M$57</f>
        <v>17.086520082442728</v>
      </c>
      <c r="N33" s="36">
        <f>'TR TE'!$N$33*'TR TE'!$N$57</f>
        <v>0</v>
      </c>
      <c r="O33" s="36">
        <f>'TR TE'!$O$33*'TR TE'!$O$57</f>
        <v>3.7261581162664563</v>
      </c>
      <c r="P33" s="36">
        <f>SUM($L$33:$O$33)</f>
        <v>23.435253039606845</v>
      </c>
      <c r="Q33" s="36">
        <f>'TR TE'!$Q$33*'TR TE'!$Q$57</f>
        <v>365.28765446215823</v>
      </c>
      <c r="R33" s="36">
        <f>SUM($Q$33:$Q$33)</f>
        <v>365.28765446215823</v>
      </c>
      <c r="S33" s="36">
        <f>'TR TE'!$S$33*'TR TE'!$S$57</f>
        <v>0</v>
      </c>
      <c r="T33" s="36">
        <f>'TR TE'!$T$33*'TR TE'!$T$57</f>
        <v>0</v>
      </c>
      <c r="U33" s="36">
        <f>'TR TE'!$U$33*'TR TE'!$U$57</f>
        <v>3.8680550024625049E-13</v>
      </c>
      <c r="V33" s="36">
        <f>SUM($S$33:$U$33)</f>
        <v>3.8680550024625049E-13</v>
      </c>
      <c r="W33" s="36"/>
      <c r="X33" s="36">
        <f>SUM($W$33:$W$33)</f>
        <v>0</v>
      </c>
      <c r="Y33" s="36">
        <f>'TR TE'!$Y$33*'TR TE'!$Y$57</f>
        <v>5.700517328918461</v>
      </c>
      <c r="Z33" s="36">
        <f>SUM($Y$33:$Y$33)</f>
        <v>5.700517328918461</v>
      </c>
      <c r="AA33" s="36">
        <f>SUMIF($L$4:$Z$4,"SUBTOTAL",$L$33:$Z$33)</f>
        <v>394.42342483068393</v>
      </c>
    </row>
    <row r="34" spans="1:27" ht="11.25" customHeight="1" x14ac:dyDescent="0.25">
      <c r="A34" s="112"/>
      <c r="B34" s="112"/>
      <c r="C34" s="112"/>
      <c r="D34" s="112"/>
      <c r="E34" s="112"/>
      <c r="F34" s="112"/>
      <c r="G34" s="38" t="s">
        <v>107</v>
      </c>
      <c r="H34" s="38" t="s">
        <v>93</v>
      </c>
      <c r="I34" s="38">
        <f>'MERCADO TE'!$U$31</f>
        <v>0</v>
      </c>
      <c r="J34" s="15"/>
      <c r="L34" s="36">
        <f>'TR TE'!$L$34*'TR TE'!$L$57</f>
        <v>2.6225748408976601</v>
      </c>
      <c r="M34" s="36">
        <f>'TR TE'!$M$34*'TR TE'!$M$57</f>
        <v>17.086520082442728</v>
      </c>
      <c r="N34" s="36">
        <f>'TR TE'!$N$34*'TR TE'!$N$57</f>
        <v>0</v>
      </c>
      <c r="O34" s="36">
        <f>'TR TE'!$O$34*'TR TE'!$O$57</f>
        <v>3.7261581162664563</v>
      </c>
      <c r="P34" s="36">
        <f>SUM($L$34:$O$34)</f>
        <v>23.435253039606845</v>
      </c>
      <c r="Q34" s="36">
        <f>'TR TE'!$Q$34*'TR TE'!$Q$57</f>
        <v>212.37654329195246</v>
      </c>
      <c r="R34" s="36">
        <f>SUM($Q$34:$Q$34)</f>
        <v>212.37654329195246</v>
      </c>
      <c r="S34" s="36">
        <f>'TR TE'!$S$34*'TR TE'!$S$57</f>
        <v>0</v>
      </c>
      <c r="T34" s="36">
        <f>'TR TE'!$T$34*'TR TE'!$T$57</f>
        <v>0</v>
      </c>
      <c r="U34" s="36">
        <f>'TR TE'!$U$34*'TR TE'!$U$57</f>
        <v>3.8680550024625049E-13</v>
      </c>
      <c r="V34" s="36">
        <f>SUM($S$34:$U$34)</f>
        <v>3.8680550024625049E-13</v>
      </c>
      <c r="W34" s="36"/>
      <c r="X34" s="36">
        <f>SUM($W$34:$W$34)</f>
        <v>0</v>
      </c>
      <c r="Y34" s="36">
        <f>'TR TE'!$Y$34*'TR TE'!$Y$57</f>
        <v>5.700517328918461</v>
      </c>
      <c r="Z34" s="36">
        <f>SUM($Y$34:$Y$34)</f>
        <v>5.700517328918461</v>
      </c>
      <c r="AA34" s="36">
        <f>SUMIF($L$4:$Z$4,"SUBTOTAL",$L$34:$Z$34)</f>
        <v>241.51231366047816</v>
      </c>
    </row>
    <row r="35" spans="1:27" ht="11.25" customHeight="1" x14ac:dyDescent="0.25">
      <c r="A35" s="112"/>
      <c r="B35" s="112"/>
      <c r="C35" s="112"/>
      <c r="D35" s="112"/>
      <c r="E35" s="112"/>
      <c r="F35" s="112"/>
      <c r="G35" s="38" t="s">
        <v>95</v>
      </c>
      <c r="H35" s="38" t="s">
        <v>93</v>
      </c>
      <c r="I35" s="38">
        <f>'MERCADO TE'!$U$32</f>
        <v>0</v>
      </c>
      <c r="J35" s="15"/>
      <c r="L35" s="36">
        <f>'TR TE'!$L$35*'TR TE'!$L$57</f>
        <v>2.6225748408976601</v>
      </c>
      <c r="M35" s="36">
        <f>'TR TE'!$M$35*'TR TE'!$M$57</f>
        <v>17.086520082442728</v>
      </c>
      <c r="N35" s="36">
        <f>'TR TE'!$N$35*'TR TE'!$N$57</f>
        <v>0</v>
      </c>
      <c r="O35" s="36">
        <f>'TR TE'!$O$35*'TR TE'!$O$57</f>
        <v>3.7261581162664563</v>
      </c>
      <c r="P35" s="36">
        <f>SUM($L$35:$O$35)</f>
        <v>23.435253039606845</v>
      </c>
      <c r="Q35" s="36">
        <f>'TR TE'!$Q$35*'TR TE'!$Q$57</f>
        <v>212.37654329195246</v>
      </c>
      <c r="R35" s="36">
        <f>SUM($Q$35:$Q$35)</f>
        <v>212.37654329195246</v>
      </c>
      <c r="S35" s="36">
        <f>'TR TE'!$S$35*'TR TE'!$S$57</f>
        <v>0</v>
      </c>
      <c r="T35" s="36">
        <f>'TR TE'!$T$35*'TR TE'!$T$57</f>
        <v>0</v>
      </c>
      <c r="U35" s="36">
        <f>'TR TE'!$U$35*'TR TE'!$U$57</f>
        <v>3.8680550024625049E-13</v>
      </c>
      <c r="V35" s="36">
        <f>SUM($S$35:$U$35)</f>
        <v>3.8680550024625049E-13</v>
      </c>
      <c r="W35" s="36"/>
      <c r="X35" s="36">
        <f>SUM($W$35:$W$35)</f>
        <v>0</v>
      </c>
      <c r="Y35" s="36">
        <f>'TR TE'!$Y$35*'TR TE'!$Y$57</f>
        <v>5.700517328918461</v>
      </c>
      <c r="Z35" s="36">
        <f>SUM($Y$35:$Y$35)</f>
        <v>5.700517328918461</v>
      </c>
      <c r="AA35" s="36">
        <f>SUMIF($L$4:$Z$4,"SUBTOTAL",$L$35:$Z$35)</f>
        <v>241.51231366047816</v>
      </c>
    </row>
    <row r="36" spans="1:27" ht="11.25" customHeight="1" x14ac:dyDescent="0.25">
      <c r="A36" s="112"/>
      <c r="B36" s="39" t="s">
        <v>103</v>
      </c>
      <c r="C36" s="39" t="s">
        <v>45</v>
      </c>
      <c r="D36" s="39" t="s">
        <v>110</v>
      </c>
      <c r="E36" s="39" t="s">
        <v>25</v>
      </c>
      <c r="F36" s="39" t="s">
        <v>25</v>
      </c>
      <c r="G36" s="38" t="s">
        <v>98</v>
      </c>
      <c r="H36" s="38" t="s">
        <v>93</v>
      </c>
      <c r="I36" s="38">
        <f>'MERCADO TE'!$U$33</f>
        <v>0</v>
      </c>
      <c r="J36" s="15"/>
      <c r="L36" s="36">
        <f>'TR TE'!$L$36*'TR TE'!$L$57</f>
        <v>2.6225748408976601</v>
      </c>
      <c r="M36" s="36">
        <f>'TR TE'!$M$36*'TR TE'!$M$57</f>
        <v>17.086520082442728</v>
      </c>
      <c r="N36" s="36">
        <f>'TR TE'!$N$36*'TR TE'!$N$57</f>
        <v>0</v>
      </c>
      <c r="O36" s="36">
        <f>'TR TE'!$O$36*'TR TE'!$O$57</f>
        <v>3.7261581162664563</v>
      </c>
      <c r="P36" s="36">
        <f>SUM($L$36:$O$36)</f>
        <v>23.435253039606845</v>
      </c>
      <c r="Q36" s="36">
        <f>'TR TE'!$Q$36*'TR TE'!$Q$57</f>
        <v>225.11913588946962</v>
      </c>
      <c r="R36" s="36">
        <f>SUM($Q$36:$Q$36)</f>
        <v>225.11913588946962</v>
      </c>
      <c r="S36" s="36">
        <f>'TR TE'!$S$36*'TR TE'!$S$57</f>
        <v>0</v>
      </c>
      <c r="T36" s="36">
        <f>'TR TE'!$T$36*'TR TE'!$T$57</f>
        <v>0</v>
      </c>
      <c r="U36" s="36">
        <f>'TR TE'!$U$36*'TR TE'!$U$57</f>
        <v>3.8680550024625049E-13</v>
      </c>
      <c r="V36" s="36">
        <f>SUM($S$36:$U$36)</f>
        <v>3.8680550024625049E-13</v>
      </c>
      <c r="W36" s="36"/>
      <c r="X36" s="36">
        <f>SUM($W$36:$W$36)</f>
        <v>0</v>
      </c>
      <c r="Y36" s="36">
        <f>'TR TE'!$Y$36*'TR TE'!$Y$57</f>
        <v>5.700517328918461</v>
      </c>
      <c r="Z36" s="36">
        <f>SUM($Y$36:$Y$36)</f>
        <v>5.700517328918461</v>
      </c>
      <c r="AA36" s="36">
        <f>SUMIF($L$4:$Z$4,"SUBTOTAL",$L$36:$Z$36)</f>
        <v>254.25490625799532</v>
      </c>
    </row>
    <row r="37" spans="1:27" ht="11.25" customHeight="1" x14ac:dyDescent="0.25">
      <c r="A37" s="112"/>
      <c r="B37" s="112" t="s">
        <v>92</v>
      </c>
      <c r="C37" s="112" t="s">
        <v>45</v>
      </c>
      <c r="D37" s="112" t="s">
        <v>111</v>
      </c>
      <c r="E37" s="112" t="s">
        <v>25</v>
      </c>
      <c r="F37" s="112" t="s">
        <v>25</v>
      </c>
      <c r="G37" s="38" t="s">
        <v>94</v>
      </c>
      <c r="H37" s="38" t="s">
        <v>93</v>
      </c>
      <c r="I37" s="38">
        <f>'MERCADO TE'!$U$34</f>
        <v>0</v>
      </c>
      <c r="J37" s="15"/>
      <c r="L37" s="36">
        <f>'TR TE'!$L$37*'TR TE'!$L$57</f>
        <v>2.6225748408976601</v>
      </c>
      <c r="M37" s="36">
        <f>'TR TE'!$M$37*'TR TE'!$M$57</f>
        <v>17.086520082442728</v>
      </c>
      <c r="N37" s="36">
        <f>'TR TE'!$N$37*'TR TE'!$N$57</f>
        <v>0</v>
      </c>
      <c r="O37" s="36">
        <f>'TR TE'!$O$37*'TR TE'!$O$57</f>
        <v>3.7261581162664563</v>
      </c>
      <c r="P37" s="36">
        <f>SUM($L$37:$O$37)</f>
        <v>23.435253039606845</v>
      </c>
      <c r="Q37" s="36">
        <f>'TR TE'!$Q$37*'TR TE'!$Q$57</f>
        <v>365.28765446215823</v>
      </c>
      <c r="R37" s="36">
        <f>SUM($Q$37:$Q$37)</f>
        <v>365.28765446215823</v>
      </c>
      <c r="S37" s="36">
        <f>'TR TE'!$S$37*'TR TE'!$S$57</f>
        <v>0</v>
      </c>
      <c r="T37" s="36">
        <f>'TR TE'!$T$37*'TR TE'!$T$57</f>
        <v>0</v>
      </c>
      <c r="U37" s="36">
        <f>'TR TE'!$U$37*'TR TE'!$U$57</f>
        <v>3.8680550024625049E-13</v>
      </c>
      <c r="V37" s="36">
        <f>SUM($S$37:$U$37)</f>
        <v>3.8680550024625049E-13</v>
      </c>
      <c r="W37" s="36"/>
      <c r="X37" s="36">
        <f>SUM($W$37:$W$37)</f>
        <v>0</v>
      </c>
      <c r="Y37" s="36">
        <f>'TR TE'!$Y$37*'TR TE'!$Y$57</f>
        <v>5.700517328918461</v>
      </c>
      <c r="Z37" s="36">
        <f>SUM($Y$37:$Y$37)</f>
        <v>5.700517328918461</v>
      </c>
      <c r="AA37" s="36">
        <f>SUMIF($L$4:$Z$4,"SUBTOTAL",$L$37:$Z$37)</f>
        <v>394.42342483068393</v>
      </c>
    </row>
    <row r="38" spans="1:27" ht="11.25" customHeight="1" x14ac:dyDescent="0.25">
      <c r="A38" s="112"/>
      <c r="B38" s="112"/>
      <c r="C38" s="112"/>
      <c r="D38" s="112"/>
      <c r="E38" s="112"/>
      <c r="F38" s="112"/>
      <c r="G38" s="38" t="s">
        <v>107</v>
      </c>
      <c r="H38" s="38" t="s">
        <v>93</v>
      </c>
      <c r="I38" s="38">
        <f>'MERCADO TE'!$U$35</f>
        <v>0</v>
      </c>
      <c r="J38" s="15"/>
      <c r="L38" s="36">
        <f>'TR TE'!$L$38*'TR TE'!$L$57</f>
        <v>2.6225748408976601</v>
      </c>
      <c r="M38" s="36">
        <f>'TR TE'!$M$38*'TR TE'!$M$57</f>
        <v>17.086520082442728</v>
      </c>
      <c r="N38" s="36">
        <f>'TR TE'!$N$38*'TR TE'!$N$57</f>
        <v>0</v>
      </c>
      <c r="O38" s="36">
        <f>'TR TE'!$O$38*'TR TE'!$O$57</f>
        <v>3.7261581162664563</v>
      </c>
      <c r="P38" s="36">
        <f>SUM($L$38:$O$38)</f>
        <v>23.435253039606845</v>
      </c>
      <c r="Q38" s="36">
        <f>'TR TE'!$Q$38*'TR TE'!$Q$57</f>
        <v>212.37654329195246</v>
      </c>
      <c r="R38" s="36">
        <f>SUM($Q$38:$Q$38)</f>
        <v>212.37654329195246</v>
      </c>
      <c r="S38" s="36">
        <f>'TR TE'!$S$38*'TR TE'!$S$57</f>
        <v>0</v>
      </c>
      <c r="T38" s="36">
        <f>'TR TE'!$T$38*'TR TE'!$T$57</f>
        <v>0</v>
      </c>
      <c r="U38" s="36">
        <f>'TR TE'!$U$38*'TR TE'!$U$57</f>
        <v>3.8680550024625049E-13</v>
      </c>
      <c r="V38" s="36">
        <f>SUM($S$38:$U$38)</f>
        <v>3.8680550024625049E-13</v>
      </c>
      <c r="W38" s="36"/>
      <c r="X38" s="36">
        <f>SUM($W$38:$W$38)</f>
        <v>0</v>
      </c>
      <c r="Y38" s="36">
        <f>'TR TE'!$Y$38*'TR TE'!$Y$57</f>
        <v>5.700517328918461</v>
      </c>
      <c r="Z38" s="36">
        <f>SUM($Y$38:$Y$38)</f>
        <v>5.700517328918461</v>
      </c>
      <c r="AA38" s="36">
        <f>SUMIF($L$4:$Z$4,"SUBTOTAL",$L$38:$Z$38)</f>
        <v>241.51231366047816</v>
      </c>
    </row>
    <row r="39" spans="1:27" ht="11.25" customHeight="1" x14ac:dyDescent="0.25">
      <c r="A39" s="112"/>
      <c r="B39" s="112"/>
      <c r="C39" s="112"/>
      <c r="D39" s="112"/>
      <c r="E39" s="112"/>
      <c r="F39" s="112"/>
      <c r="G39" s="38" t="s">
        <v>95</v>
      </c>
      <c r="H39" s="38" t="s">
        <v>93</v>
      </c>
      <c r="I39" s="38">
        <f>'MERCADO TE'!$U$36</f>
        <v>0</v>
      </c>
      <c r="J39" s="15"/>
      <c r="L39" s="36">
        <f>'TR TE'!$L$39*'TR TE'!$L$57</f>
        <v>2.6225748408976601</v>
      </c>
      <c r="M39" s="36">
        <f>'TR TE'!$M$39*'TR TE'!$M$57</f>
        <v>17.086520082442728</v>
      </c>
      <c r="N39" s="36">
        <f>'TR TE'!$N$39*'TR TE'!$N$57</f>
        <v>0</v>
      </c>
      <c r="O39" s="36">
        <f>'TR TE'!$O$39*'TR TE'!$O$57</f>
        <v>3.7261581162664563</v>
      </c>
      <c r="P39" s="36">
        <f>SUM($L$39:$O$39)</f>
        <v>23.435253039606845</v>
      </c>
      <c r="Q39" s="36">
        <f>'TR TE'!$Q$39*'TR TE'!$Q$57</f>
        <v>212.37654329195246</v>
      </c>
      <c r="R39" s="36">
        <f>SUM($Q$39:$Q$39)</f>
        <v>212.37654329195246</v>
      </c>
      <c r="S39" s="36">
        <f>'TR TE'!$S$39*'TR TE'!$S$57</f>
        <v>0</v>
      </c>
      <c r="T39" s="36">
        <f>'TR TE'!$T$39*'TR TE'!$T$57</f>
        <v>0</v>
      </c>
      <c r="U39" s="36">
        <f>'TR TE'!$U$39*'TR TE'!$U$57</f>
        <v>3.8680550024625049E-13</v>
      </c>
      <c r="V39" s="36">
        <f>SUM($S$39:$U$39)</f>
        <v>3.8680550024625049E-13</v>
      </c>
      <c r="W39" s="36"/>
      <c r="X39" s="36">
        <f>SUM($W$39:$W$39)</f>
        <v>0</v>
      </c>
      <c r="Y39" s="36">
        <f>'TR TE'!$Y$39*'TR TE'!$Y$57</f>
        <v>5.700517328918461</v>
      </c>
      <c r="Z39" s="36">
        <f>SUM($Y$39:$Y$39)</f>
        <v>5.700517328918461</v>
      </c>
      <c r="AA39" s="36">
        <f>SUMIF($L$4:$Z$4,"SUBTOTAL",$L$39:$Z$39)</f>
        <v>241.51231366047816</v>
      </c>
    </row>
    <row r="40" spans="1:27" ht="11.25" customHeight="1" x14ac:dyDescent="0.25">
      <c r="A40" s="112"/>
      <c r="B40" s="39" t="s">
        <v>103</v>
      </c>
      <c r="C40" s="39" t="s">
        <v>45</v>
      </c>
      <c r="D40" s="39" t="s">
        <v>111</v>
      </c>
      <c r="E40" s="39" t="s">
        <v>25</v>
      </c>
      <c r="F40" s="39" t="s">
        <v>25</v>
      </c>
      <c r="G40" s="38" t="s">
        <v>98</v>
      </c>
      <c r="H40" s="38" t="s">
        <v>93</v>
      </c>
      <c r="I40" s="38">
        <f>'MERCADO TE'!$U$37</f>
        <v>0</v>
      </c>
      <c r="J40" s="15"/>
      <c r="L40" s="36">
        <f>'TR TE'!$L$40*'TR TE'!$L$57</f>
        <v>2.6225748408976601</v>
      </c>
      <c r="M40" s="36">
        <f>'TR TE'!$M$40*'TR TE'!$M$57</f>
        <v>17.086520082442728</v>
      </c>
      <c r="N40" s="36">
        <f>'TR TE'!$N$40*'TR TE'!$N$57</f>
        <v>0</v>
      </c>
      <c r="O40" s="36">
        <f>'TR TE'!$O$40*'TR TE'!$O$57</f>
        <v>3.7261581162664563</v>
      </c>
      <c r="P40" s="36">
        <f>SUM($L$40:$O$40)</f>
        <v>23.435253039606845</v>
      </c>
      <c r="Q40" s="36">
        <f>'TR TE'!$Q$40*'TR TE'!$Q$57</f>
        <v>225.11913588946962</v>
      </c>
      <c r="R40" s="36">
        <f>SUM($Q$40:$Q$40)</f>
        <v>225.11913588946962</v>
      </c>
      <c r="S40" s="36">
        <f>'TR TE'!$S$40*'TR TE'!$S$57</f>
        <v>0</v>
      </c>
      <c r="T40" s="36">
        <f>'TR TE'!$T$40*'TR TE'!$T$57</f>
        <v>0</v>
      </c>
      <c r="U40" s="36">
        <f>'TR TE'!$U$40*'TR TE'!$U$57</f>
        <v>3.8680550024625049E-13</v>
      </c>
      <c r="V40" s="36">
        <f>SUM($S$40:$U$40)</f>
        <v>3.8680550024625049E-13</v>
      </c>
      <c r="W40" s="36"/>
      <c r="X40" s="36">
        <f>SUM($W$40:$W$40)</f>
        <v>0</v>
      </c>
      <c r="Y40" s="36">
        <f>'TR TE'!$Y$40*'TR TE'!$Y$57</f>
        <v>5.700517328918461</v>
      </c>
      <c r="Z40" s="36">
        <f>SUM($Y$40:$Y$40)</f>
        <v>5.700517328918461</v>
      </c>
      <c r="AA40" s="36">
        <f>SUMIF($L$4:$Z$4,"SUBTOTAL",$L$40:$Z$40)</f>
        <v>254.25490625799532</v>
      </c>
    </row>
    <row r="41" spans="1:27" ht="11.25" customHeight="1" x14ac:dyDescent="0.25">
      <c r="A41" s="112"/>
      <c r="B41" s="112" t="s">
        <v>108</v>
      </c>
      <c r="C41" s="112" t="s">
        <v>45</v>
      </c>
      <c r="D41" s="39" t="s">
        <v>25</v>
      </c>
      <c r="E41" s="39" t="s">
        <v>25</v>
      </c>
      <c r="F41" s="39" t="s">
        <v>25</v>
      </c>
      <c r="G41" s="38" t="s">
        <v>98</v>
      </c>
      <c r="H41" s="38" t="s">
        <v>93</v>
      </c>
      <c r="I41" s="38">
        <f>'MERCADO TE'!$U$38</f>
        <v>0</v>
      </c>
      <c r="J41" s="15"/>
      <c r="L41" s="36">
        <f>'TR TE'!$L$41*'TR TE'!$L$57</f>
        <v>2.6225748408976601</v>
      </c>
      <c r="M41" s="36">
        <f>'TR TE'!$M$41*'TR TE'!$M$57</f>
        <v>17.086520082442728</v>
      </c>
      <c r="N41" s="36">
        <f>'TR TE'!$N$41*'TR TE'!$N$57</f>
        <v>0</v>
      </c>
      <c r="O41" s="36">
        <f>'TR TE'!$O$41*'TR TE'!$O$57</f>
        <v>3.7261581162664563</v>
      </c>
      <c r="P41" s="36">
        <f>SUM($L$41:$O$41)</f>
        <v>23.435253039606845</v>
      </c>
      <c r="Q41" s="36">
        <f>'TR TE'!$Q$41*'TR TE'!$Q$57</f>
        <v>225.11913588946962</v>
      </c>
      <c r="R41" s="36">
        <f>SUM($Q$41:$Q$41)</f>
        <v>225.11913588946962</v>
      </c>
      <c r="S41" s="36">
        <f>'TR TE'!$S$41*'TR TE'!$S$57</f>
        <v>0</v>
      </c>
      <c r="T41" s="36">
        <f>'TR TE'!$T$41*'TR TE'!$T$57</f>
        <v>0</v>
      </c>
      <c r="U41" s="36">
        <f>'TR TE'!$U$41*'TR TE'!$U$57</f>
        <v>3.8680550024625049E-13</v>
      </c>
      <c r="V41" s="36">
        <f>SUM($S$41:$U$41)</f>
        <v>3.8680550024625049E-13</v>
      </c>
      <c r="W41" s="36"/>
      <c r="X41" s="36">
        <f>SUM($W$41:$W$41)</f>
        <v>0</v>
      </c>
      <c r="Y41" s="36">
        <f>'TR TE'!$Y$41*'TR TE'!$Y$57</f>
        <v>5.700517328918461</v>
      </c>
      <c r="Z41" s="36">
        <f>SUM($Y$41:$Y$41)</f>
        <v>5.700517328918461</v>
      </c>
      <c r="AA41" s="36">
        <f>SUMIF($L$4:$Z$4,"SUBTOTAL",$L$41:$Z$41)</f>
        <v>254.25490625799532</v>
      </c>
    </row>
    <row r="42" spans="1:27" ht="11.25" customHeight="1" x14ac:dyDescent="0.25">
      <c r="A42" s="112"/>
      <c r="B42" s="112"/>
      <c r="C42" s="112"/>
      <c r="D42" s="39" t="s">
        <v>110</v>
      </c>
      <c r="E42" s="39" t="s">
        <v>25</v>
      </c>
      <c r="F42" s="39" t="s">
        <v>25</v>
      </c>
      <c r="G42" s="38" t="s">
        <v>98</v>
      </c>
      <c r="H42" s="38" t="s">
        <v>93</v>
      </c>
      <c r="I42" s="38">
        <f>'MERCADO TE'!$U$39</f>
        <v>0</v>
      </c>
      <c r="J42" s="15"/>
      <c r="L42" s="36">
        <f>'TR TE'!$L$42*'TR TE'!$L$57</f>
        <v>2.6225748408976601</v>
      </c>
      <c r="M42" s="36">
        <f>'TR TE'!$M$42*'TR TE'!$M$57</f>
        <v>17.086520082442728</v>
      </c>
      <c r="N42" s="36">
        <f>'TR TE'!$N$42*'TR TE'!$N$57</f>
        <v>0</v>
      </c>
      <c r="O42" s="36">
        <f>'TR TE'!$O$42*'TR TE'!$O$57</f>
        <v>3.7261581162664563</v>
      </c>
      <c r="P42" s="36">
        <f>SUM($L$42:$O$42)</f>
        <v>23.435253039606845</v>
      </c>
      <c r="Q42" s="36">
        <f>'TR TE'!$Q$42*'TR TE'!$Q$57</f>
        <v>225.11913588946962</v>
      </c>
      <c r="R42" s="36">
        <f>SUM($Q$42:$Q$42)</f>
        <v>225.11913588946962</v>
      </c>
      <c r="S42" s="36">
        <f>'TR TE'!$S$42*'TR TE'!$S$57</f>
        <v>0</v>
      </c>
      <c r="T42" s="36">
        <f>'TR TE'!$T$42*'TR TE'!$T$57</f>
        <v>0</v>
      </c>
      <c r="U42" s="36">
        <f>'TR TE'!$U$42*'TR TE'!$U$57</f>
        <v>3.8680550024625049E-13</v>
      </c>
      <c r="V42" s="36">
        <f>SUM($S$42:$U$42)</f>
        <v>3.8680550024625049E-13</v>
      </c>
      <c r="W42" s="36"/>
      <c r="X42" s="36">
        <f>SUM($W$42:$W$42)</f>
        <v>0</v>
      </c>
      <c r="Y42" s="36">
        <f>'TR TE'!$Y$42*'TR TE'!$Y$57</f>
        <v>5.700517328918461</v>
      </c>
      <c r="Z42" s="36">
        <f>SUM($Y$42:$Y$42)</f>
        <v>5.700517328918461</v>
      </c>
      <c r="AA42" s="36">
        <f>SUMIF($L$4:$Z$4,"SUBTOTAL",$L$42:$Z$42)</f>
        <v>254.25490625799532</v>
      </c>
    </row>
    <row r="43" spans="1:27" ht="11.25" customHeight="1" x14ac:dyDescent="0.25">
      <c r="A43" s="112"/>
      <c r="B43" s="112"/>
      <c r="C43" s="112"/>
      <c r="D43" s="39" t="s">
        <v>111</v>
      </c>
      <c r="E43" s="39" t="s">
        <v>25</v>
      </c>
      <c r="F43" s="39" t="s">
        <v>25</v>
      </c>
      <c r="G43" s="38" t="s">
        <v>98</v>
      </c>
      <c r="H43" s="38" t="s">
        <v>93</v>
      </c>
      <c r="I43" s="38">
        <f>'MERCADO TE'!$U$40</f>
        <v>0</v>
      </c>
      <c r="J43" s="15"/>
      <c r="L43" s="36">
        <f>'TR TE'!$L$43*'TR TE'!$L$57</f>
        <v>2.6225748408976601</v>
      </c>
      <c r="M43" s="36">
        <f>'TR TE'!$M$43*'TR TE'!$M$57</f>
        <v>17.086520082442728</v>
      </c>
      <c r="N43" s="36">
        <f>'TR TE'!$N$43*'TR TE'!$N$57</f>
        <v>0</v>
      </c>
      <c r="O43" s="36">
        <f>'TR TE'!$O$43*'TR TE'!$O$57</f>
        <v>3.7261581162664563</v>
      </c>
      <c r="P43" s="36">
        <f>SUM($L$43:$O$43)</f>
        <v>23.435253039606845</v>
      </c>
      <c r="Q43" s="36">
        <f>'TR TE'!$Q$43*'TR TE'!$Q$57</f>
        <v>225.11913588946962</v>
      </c>
      <c r="R43" s="36">
        <f>SUM($Q$43:$Q$43)</f>
        <v>225.11913588946962</v>
      </c>
      <c r="S43" s="36">
        <f>'TR TE'!$S$43*'TR TE'!$S$57</f>
        <v>0</v>
      </c>
      <c r="T43" s="36">
        <f>'TR TE'!$T$43*'TR TE'!$T$57</f>
        <v>0</v>
      </c>
      <c r="U43" s="36">
        <f>'TR TE'!$U$43*'TR TE'!$U$57</f>
        <v>3.8680550024625049E-13</v>
      </c>
      <c r="V43" s="36">
        <f>SUM($S$43:$U$43)</f>
        <v>3.8680550024625049E-13</v>
      </c>
      <c r="W43" s="36"/>
      <c r="X43" s="36">
        <f>SUM($W$43:$W$43)</f>
        <v>0</v>
      </c>
      <c r="Y43" s="36">
        <f>'TR TE'!$Y$43*'TR TE'!$Y$57</f>
        <v>5.700517328918461</v>
      </c>
      <c r="Z43" s="36">
        <f>SUM($Y$43:$Y$43)</f>
        <v>5.700517328918461</v>
      </c>
      <c r="AA43" s="36">
        <f>SUMIF($L$4:$Z$4,"SUBTOTAL",$L$43:$Z$43)</f>
        <v>254.25490625799532</v>
      </c>
    </row>
    <row r="44" spans="1:27" ht="11.25" customHeight="1" x14ac:dyDescent="0.25">
      <c r="A44" s="112" t="s">
        <v>37</v>
      </c>
      <c r="B44" s="112" t="s">
        <v>92</v>
      </c>
      <c r="C44" s="112" t="s">
        <v>25</v>
      </c>
      <c r="D44" s="112" t="s">
        <v>25</v>
      </c>
      <c r="E44" s="112" t="s">
        <v>25</v>
      </c>
      <c r="F44" s="112" t="s">
        <v>25</v>
      </c>
      <c r="G44" s="38" t="s">
        <v>94</v>
      </c>
      <c r="H44" s="38" t="s">
        <v>93</v>
      </c>
      <c r="I44" s="38">
        <f>'MERCADO TE'!$U$41</f>
        <v>102.03199999999998</v>
      </c>
      <c r="J44" s="15"/>
      <c r="L44" s="36">
        <f>'TR TE'!$L$44*'TR TE'!$L$57</f>
        <v>2.6225748408976601</v>
      </c>
      <c r="M44" s="36">
        <f>'TR TE'!$M$44*'TR TE'!$M$57</f>
        <v>17.086520082442728</v>
      </c>
      <c r="N44" s="36">
        <f>'TR TE'!$N$44*'TR TE'!$N$57</f>
        <v>0</v>
      </c>
      <c r="O44" s="36">
        <f>'TR TE'!$O$44*'TR TE'!$O$57</f>
        <v>3.7261581162664563</v>
      </c>
      <c r="P44" s="36">
        <f>SUM($L$44:$O$44)</f>
        <v>23.435253039606845</v>
      </c>
      <c r="Q44" s="36">
        <f>'TR TE'!$Q$44*'TR TE'!$Q$57</f>
        <v>365.28765446215823</v>
      </c>
      <c r="R44" s="36">
        <f>SUM($Q$44:$Q$44)</f>
        <v>365.28765446215823</v>
      </c>
      <c r="S44" s="36">
        <f>'TR TE'!$S$44*'TR TE'!$S$57</f>
        <v>0</v>
      </c>
      <c r="T44" s="36">
        <f>'TR TE'!$T$44*'TR TE'!$T$57</f>
        <v>0</v>
      </c>
      <c r="U44" s="36">
        <f>'TR TE'!$U$44*'TR TE'!$U$57</f>
        <v>3.8680550024625049E-13</v>
      </c>
      <c r="V44" s="36">
        <f>SUM($S$44:$U$44)</f>
        <v>3.8680550024625049E-13</v>
      </c>
      <c r="W44" s="36"/>
      <c r="X44" s="36">
        <f>SUM($W$44:$W$44)</f>
        <v>0</v>
      </c>
      <c r="Y44" s="36">
        <f>'TR TE'!$Y$44*'TR TE'!$Y$57</f>
        <v>5.700517328918461</v>
      </c>
      <c r="Z44" s="36">
        <f>SUM($Y$44:$Y$44)</f>
        <v>5.700517328918461</v>
      </c>
      <c r="AA44" s="36">
        <f>SUMIF($L$4:$Z$4,"SUBTOTAL",$L$44:$Z$44)</f>
        <v>394.42342483068393</v>
      </c>
    </row>
    <row r="45" spans="1:27" ht="11.25" customHeight="1" x14ac:dyDescent="0.25">
      <c r="A45" s="112"/>
      <c r="B45" s="112"/>
      <c r="C45" s="112"/>
      <c r="D45" s="112"/>
      <c r="E45" s="112"/>
      <c r="F45" s="112"/>
      <c r="G45" s="38" t="s">
        <v>107</v>
      </c>
      <c r="H45" s="38" t="s">
        <v>93</v>
      </c>
      <c r="I45" s="38">
        <f>'MERCADO TE'!$U$42</f>
        <v>72.591000000000008</v>
      </c>
      <c r="J45" s="15"/>
      <c r="L45" s="36">
        <f>'TR TE'!$L$45*'TR TE'!$L$57</f>
        <v>2.6225748408976601</v>
      </c>
      <c r="M45" s="36">
        <f>'TR TE'!$M$45*'TR TE'!$M$57</f>
        <v>17.086520082442728</v>
      </c>
      <c r="N45" s="36">
        <f>'TR TE'!$N$45*'TR TE'!$N$57</f>
        <v>0</v>
      </c>
      <c r="O45" s="36">
        <f>'TR TE'!$O$45*'TR TE'!$O$57</f>
        <v>3.7261581162664563</v>
      </c>
      <c r="P45" s="36">
        <f>SUM($L$45:$O$45)</f>
        <v>23.435253039606845</v>
      </c>
      <c r="Q45" s="36">
        <f>'TR TE'!$Q$45*'TR TE'!$Q$57</f>
        <v>212.37654329195246</v>
      </c>
      <c r="R45" s="36">
        <f>SUM($Q$45:$Q$45)</f>
        <v>212.37654329195246</v>
      </c>
      <c r="S45" s="36">
        <f>'TR TE'!$S$45*'TR TE'!$S$57</f>
        <v>0</v>
      </c>
      <c r="T45" s="36">
        <f>'TR TE'!$T$45*'TR TE'!$T$57</f>
        <v>0</v>
      </c>
      <c r="U45" s="36">
        <f>'TR TE'!$U$45*'TR TE'!$U$57</f>
        <v>3.8680550024625049E-13</v>
      </c>
      <c r="V45" s="36">
        <f>SUM($S$45:$U$45)</f>
        <v>3.8680550024625049E-13</v>
      </c>
      <c r="W45" s="36"/>
      <c r="X45" s="36">
        <f>SUM($W$45:$W$45)</f>
        <v>0</v>
      </c>
      <c r="Y45" s="36">
        <f>'TR TE'!$Y$45*'TR TE'!$Y$57</f>
        <v>5.700517328918461</v>
      </c>
      <c r="Z45" s="36">
        <f>SUM($Y$45:$Y$45)</f>
        <v>5.700517328918461</v>
      </c>
      <c r="AA45" s="36">
        <f>SUMIF($L$4:$Z$4,"SUBTOTAL",$L$45:$Z$45)</f>
        <v>241.51231366047816</v>
      </c>
    </row>
    <row r="46" spans="1:27" ht="11.25" customHeight="1" x14ac:dyDescent="0.25">
      <c r="A46" s="112"/>
      <c r="B46" s="112"/>
      <c r="C46" s="112"/>
      <c r="D46" s="112"/>
      <c r="E46" s="112"/>
      <c r="F46" s="112"/>
      <c r="G46" s="38" t="s">
        <v>95</v>
      </c>
      <c r="H46" s="38" t="s">
        <v>93</v>
      </c>
      <c r="I46" s="38">
        <f>'MERCADO TE'!$U$43</f>
        <v>1401.5319999999997</v>
      </c>
      <c r="J46" s="15"/>
      <c r="L46" s="36">
        <f>'TR TE'!$L$46*'TR TE'!$L$57</f>
        <v>2.6225748408976601</v>
      </c>
      <c r="M46" s="36">
        <f>'TR TE'!$M$46*'TR TE'!$M$57</f>
        <v>17.086520082442728</v>
      </c>
      <c r="N46" s="36">
        <f>'TR TE'!$N$46*'TR TE'!$N$57</f>
        <v>0</v>
      </c>
      <c r="O46" s="36">
        <f>'TR TE'!$O$46*'TR TE'!$O$57</f>
        <v>3.7261581162664563</v>
      </c>
      <c r="P46" s="36">
        <f>SUM($L$46:$O$46)</f>
        <v>23.435253039606845</v>
      </c>
      <c r="Q46" s="36">
        <f>'TR TE'!$Q$46*'TR TE'!$Q$57</f>
        <v>212.37654329195246</v>
      </c>
      <c r="R46" s="36">
        <f>SUM($Q$46:$Q$46)</f>
        <v>212.37654329195246</v>
      </c>
      <c r="S46" s="36">
        <f>'TR TE'!$S$46*'TR TE'!$S$57</f>
        <v>0</v>
      </c>
      <c r="T46" s="36">
        <f>'TR TE'!$T$46*'TR TE'!$T$57</f>
        <v>0</v>
      </c>
      <c r="U46" s="36">
        <f>'TR TE'!$U$46*'TR TE'!$U$57</f>
        <v>3.8680550024625049E-13</v>
      </c>
      <c r="V46" s="36">
        <f>SUM($S$46:$U$46)</f>
        <v>3.8680550024625049E-13</v>
      </c>
      <c r="W46" s="36"/>
      <c r="X46" s="36">
        <f>SUM($W$46:$W$46)</f>
        <v>0</v>
      </c>
      <c r="Y46" s="36">
        <f>'TR TE'!$Y$46*'TR TE'!$Y$57</f>
        <v>5.700517328918461</v>
      </c>
      <c r="Z46" s="36">
        <f>SUM($Y$46:$Y$46)</f>
        <v>5.700517328918461</v>
      </c>
      <c r="AA46" s="36">
        <f>SUMIF($L$4:$Z$4,"SUBTOTAL",$L$46:$Z$46)</f>
        <v>241.51231366047816</v>
      </c>
    </row>
    <row r="47" spans="1:27" ht="11.25" customHeight="1" x14ac:dyDescent="0.25">
      <c r="A47" s="112"/>
      <c r="B47" s="39" t="s">
        <v>103</v>
      </c>
      <c r="C47" s="39" t="s">
        <v>25</v>
      </c>
      <c r="D47" s="39" t="s">
        <v>25</v>
      </c>
      <c r="E47" s="39" t="s">
        <v>25</v>
      </c>
      <c r="F47" s="39" t="s">
        <v>25</v>
      </c>
      <c r="G47" s="38" t="s">
        <v>98</v>
      </c>
      <c r="H47" s="38" t="s">
        <v>93</v>
      </c>
      <c r="I47" s="38">
        <f>'MERCADO TE'!$U$44</f>
        <v>352409.69800000003</v>
      </c>
      <c r="J47" s="15"/>
      <c r="L47" s="36">
        <f>'TR TE'!$L$47*'TR TE'!$L$57</f>
        <v>2.6225748408976601</v>
      </c>
      <c r="M47" s="36">
        <f>'TR TE'!$M$47*'TR TE'!$M$57</f>
        <v>17.086520082442728</v>
      </c>
      <c r="N47" s="36">
        <f>'TR TE'!$N$47*'TR TE'!$N$57</f>
        <v>0</v>
      </c>
      <c r="O47" s="36">
        <f>'TR TE'!$O$47*'TR TE'!$O$57</f>
        <v>3.7261581162664563</v>
      </c>
      <c r="P47" s="36">
        <f>SUM($L$47:$O$47)</f>
        <v>23.435253039606845</v>
      </c>
      <c r="Q47" s="36">
        <f>'TR TE'!$Q$47*'TR TE'!$Q$57</f>
        <v>225.11913588946962</v>
      </c>
      <c r="R47" s="36">
        <f>SUM($Q$47:$Q$47)</f>
        <v>225.11913588946962</v>
      </c>
      <c r="S47" s="36">
        <f>'TR TE'!$S$47*'TR TE'!$S$57</f>
        <v>0</v>
      </c>
      <c r="T47" s="36">
        <f>'TR TE'!$T$47*'TR TE'!$T$57</f>
        <v>0</v>
      </c>
      <c r="U47" s="36">
        <f>'TR TE'!$U$47*'TR TE'!$U$57</f>
        <v>3.8680550024625049E-13</v>
      </c>
      <c r="V47" s="36">
        <f>SUM($S$47:$U$47)</f>
        <v>3.8680550024625049E-13</v>
      </c>
      <c r="W47" s="36"/>
      <c r="X47" s="36">
        <f>SUM($W$47:$W$47)</f>
        <v>0</v>
      </c>
      <c r="Y47" s="36">
        <f>'TR TE'!$Y$47*'TR TE'!$Y$57</f>
        <v>5.700517328918461</v>
      </c>
      <c r="Z47" s="36">
        <f>SUM($Y$47:$Y$47)</f>
        <v>5.700517328918461</v>
      </c>
      <c r="AA47" s="36">
        <f>SUMIF($L$4:$Z$4,"SUBTOTAL",$L$47:$Z$47)</f>
        <v>254.25490625799532</v>
      </c>
    </row>
    <row r="48" spans="1:27" ht="11.25" customHeight="1" x14ac:dyDescent="0.25">
      <c r="A48" s="112"/>
      <c r="B48" s="39" t="s">
        <v>108</v>
      </c>
      <c r="C48" s="39" t="s">
        <v>25</v>
      </c>
      <c r="D48" s="39" t="s">
        <v>25</v>
      </c>
      <c r="E48" s="39" t="s">
        <v>25</v>
      </c>
      <c r="F48" s="39" t="s">
        <v>25</v>
      </c>
      <c r="G48" s="38" t="s">
        <v>98</v>
      </c>
      <c r="H48" s="38" t="s">
        <v>93</v>
      </c>
      <c r="I48" s="38">
        <f>'MERCADO TE'!$U$45</f>
        <v>0</v>
      </c>
      <c r="J48" s="15"/>
      <c r="L48" s="36">
        <f>'TR TE'!$L$48*'TR TE'!$L$57</f>
        <v>2.6225748408976601</v>
      </c>
      <c r="M48" s="36">
        <f>'TR TE'!$M$48*'TR TE'!$M$57</f>
        <v>17.086520082442728</v>
      </c>
      <c r="N48" s="36">
        <f>'TR TE'!$N$48*'TR TE'!$N$57</f>
        <v>0</v>
      </c>
      <c r="O48" s="36">
        <f>'TR TE'!$O$48*'TR TE'!$O$57</f>
        <v>3.7261581162664563</v>
      </c>
      <c r="P48" s="36">
        <f>SUM($L$48:$O$48)</f>
        <v>23.435253039606845</v>
      </c>
      <c r="Q48" s="36">
        <f>'TR TE'!$Q$48*'TR TE'!$Q$57</f>
        <v>225.11913588946962</v>
      </c>
      <c r="R48" s="36">
        <f>SUM($Q$48:$Q$48)</f>
        <v>225.11913588946962</v>
      </c>
      <c r="S48" s="36">
        <f>'TR TE'!$S$48*'TR TE'!$S$57</f>
        <v>0</v>
      </c>
      <c r="T48" s="36">
        <f>'TR TE'!$T$48*'TR TE'!$T$57</f>
        <v>0</v>
      </c>
      <c r="U48" s="36">
        <f>'TR TE'!$U$48*'TR TE'!$U$57</f>
        <v>3.8680550024625049E-13</v>
      </c>
      <c r="V48" s="36">
        <f>SUM($S$48:$U$48)</f>
        <v>3.8680550024625049E-13</v>
      </c>
      <c r="W48" s="36"/>
      <c r="X48" s="36">
        <f>SUM($W$48:$W$48)</f>
        <v>0</v>
      </c>
      <c r="Y48" s="36">
        <f>'TR TE'!$Y$48*'TR TE'!$Y$57</f>
        <v>5.700517328918461</v>
      </c>
      <c r="Z48" s="36">
        <f>SUM($Y$48:$Y$48)</f>
        <v>5.700517328918461</v>
      </c>
      <c r="AA48" s="36">
        <f>SUMIF($L$4:$Z$4,"SUBTOTAL",$L$48:$Z$48)</f>
        <v>254.25490625799532</v>
      </c>
    </row>
    <row r="49" spans="1:27" ht="11.25" customHeight="1" x14ac:dyDescent="0.25">
      <c r="A49" s="112" t="s">
        <v>47</v>
      </c>
      <c r="B49" s="112" t="s">
        <v>103</v>
      </c>
      <c r="C49" s="112" t="s">
        <v>48</v>
      </c>
      <c r="D49" s="39" t="s">
        <v>49</v>
      </c>
      <c r="E49" s="39" t="s">
        <v>25</v>
      </c>
      <c r="F49" s="39" t="s">
        <v>25</v>
      </c>
      <c r="G49" s="38" t="s">
        <v>98</v>
      </c>
      <c r="H49" s="38" t="s">
        <v>93</v>
      </c>
      <c r="I49" s="38">
        <f>'MERCADO TE'!$U$46</f>
        <v>197535.73299999998</v>
      </c>
      <c r="J49" s="15"/>
      <c r="L49" s="36">
        <f>'TR TE'!$L$49*'TR TE'!$L$57</f>
        <v>1.4424161624937133</v>
      </c>
      <c r="M49" s="36">
        <f>'TR TE'!$M$49*'TR TE'!$M$57</f>
        <v>9.3975860453435018</v>
      </c>
      <c r="N49" s="36">
        <f>'TR TE'!$N$49*'TR TE'!$N$57</f>
        <v>0</v>
      </c>
      <c r="O49" s="36">
        <f>'TR TE'!$O$49*'TR TE'!$O$57</f>
        <v>2.0493869639465512</v>
      </c>
      <c r="P49" s="36">
        <f>SUM($L$49:$O$49)</f>
        <v>12.889389171783767</v>
      </c>
      <c r="Q49" s="36">
        <f>'TR TE'!$Q$49*'TR TE'!$Q$57</f>
        <v>123.8155247392083</v>
      </c>
      <c r="R49" s="36">
        <f>SUM($Q$49:$Q$49)</f>
        <v>123.8155247392083</v>
      </c>
      <c r="S49" s="36">
        <f>'TR TE'!$S$49*'TR TE'!$S$57</f>
        <v>0</v>
      </c>
      <c r="T49" s="36">
        <f>'TR TE'!$T$49*'TR TE'!$T$57</f>
        <v>0</v>
      </c>
      <c r="U49" s="36">
        <f>'TR TE'!$U$49*'TR TE'!$U$57</f>
        <v>2.1274302513543779E-13</v>
      </c>
      <c r="V49" s="36">
        <f>SUM($S$49:$U$49)</f>
        <v>2.1274302513543779E-13</v>
      </c>
      <c r="W49" s="36"/>
      <c r="X49" s="36">
        <f>SUM($W$49:$W$49)</f>
        <v>0</v>
      </c>
      <c r="Y49" s="36">
        <f>'TR TE'!$Y$49*'TR TE'!$Y$57</f>
        <v>3.1352845309051536</v>
      </c>
      <c r="Z49" s="36">
        <f>SUM($Y$49:$Y$49)</f>
        <v>3.1352845309051536</v>
      </c>
      <c r="AA49" s="36">
        <f>SUMIF($L$4:$Z$4,"SUBTOTAL",$L$49:$Z$49)</f>
        <v>139.84019844189743</v>
      </c>
    </row>
    <row r="50" spans="1:27" ht="11.25" customHeight="1" x14ac:dyDescent="0.25">
      <c r="A50" s="112"/>
      <c r="B50" s="112"/>
      <c r="C50" s="112"/>
      <c r="D50" s="38" t="s">
        <v>112</v>
      </c>
      <c r="E50" s="38" t="s">
        <v>25</v>
      </c>
      <c r="F50" s="38" t="s">
        <v>25</v>
      </c>
      <c r="G50" s="38" t="s">
        <v>98</v>
      </c>
      <c r="H50" s="38" t="s">
        <v>93</v>
      </c>
      <c r="I50" s="38">
        <f>'MERCADO TE'!$U$47</f>
        <v>0</v>
      </c>
      <c r="J50" s="15"/>
      <c r="L50" s="36">
        <f>'TR TE'!$L$50*'TR TE'!$L$57</f>
        <v>1.5735449045385961</v>
      </c>
      <c r="M50" s="36">
        <f>'TR TE'!$M$50*'TR TE'!$M$57</f>
        <v>10.251912049465636</v>
      </c>
      <c r="N50" s="36">
        <f>'TR TE'!$N$50*'TR TE'!$N$57</f>
        <v>0</v>
      </c>
      <c r="O50" s="36">
        <f>'TR TE'!$O$50*'TR TE'!$O$57</f>
        <v>2.2356948697598735</v>
      </c>
      <c r="P50" s="36">
        <f>SUM($L$50:$O$50)</f>
        <v>14.061151823764105</v>
      </c>
      <c r="Q50" s="36">
        <f>'TR TE'!$Q$50*'TR TE'!$Q$57</f>
        <v>135.07148153368178</v>
      </c>
      <c r="R50" s="36">
        <f>SUM($Q$50:$Q$50)</f>
        <v>135.07148153368178</v>
      </c>
      <c r="S50" s="36">
        <f>'TR TE'!$S$50*'TR TE'!$S$57</f>
        <v>0</v>
      </c>
      <c r="T50" s="36">
        <f>'TR TE'!$T$50*'TR TE'!$T$57</f>
        <v>0</v>
      </c>
      <c r="U50" s="36">
        <f>'TR TE'!$U$50*'TR TE'!$U$57</f>
        <v>2.3208330014775028E-13</v>
      </c>
      <c r="V50" s="36">
        <f>SUM($S$50:$U$50)</f>
        <v>2.3208330014775028E-13</v>
      </c>
      <c r="W50" s="36"/>
      <c r="X50" s="36">
        <f>SUM($W$50:$W$50)</f>
        <v>0</v>
      </c>
      <c r="Y50" s="36">
        <f>'TR TE'!$Y$50*'TR TE'!$Y$57</f>
        <v>3.4203103973510767</v>
      </c>
      <c r="Z50" s="36">
        <f>SUM($Y$50:$Y$50)</f>
        <v>3.4203103973510767</v>
      </c>
      <c r="AA50" s="36">
        <f>SUMIF($L$4:$Z$4,"SUBTOTAL",$L$50:$Z$50)</f>
        <v>152.55294375479718</v>
      </c>
    </row>
    <row r="52" spans="1:27" ht="11.25" customHeight="1" x14ac:dyDescent="0.25">
      <c r="K52" s="41" t="s">
        <v>964</v>
      </c>
      <c r="L52" s="36">
        <f t="shared" ref="L52:AA52" si="0">SUMPRODUCT($I$5:$I$50,L$5:L$50)</f>
        <v>6780086.734102956</v>
      </c>
      <c r="M52" s="36">
        <f t="shared" si="0"/>
        <v>44173415.506152332</v>
      </c>
      <c r="N52" s="36">
        <f t="shared" si="0"/>
        <v>0</v>
      </c>
      <c r="O52" s="36">
        <f t="shared" si="0"/>
        <v>9633157.0101621766</v>
      </c>
      <c r="P52" s="36">
        <f t="shared" si="0"/>
        <v>60586659.250417456</v>
      </c>
      <c r="Q52" s="36">
        <f t="shared" si="0"/>
        <v>578739872.88881707</v>
      </c>
      <c r="R52" s="36">
        <f t="shared" si="0"/>
        <v>578739872.88881707</v>
      </c>
      <c r="S52" s="36">
        <f t="shared" si="0"/>
        <v>0</v>
      </c>
      <c r="T52" s="36">
        <f t="shared" si="0"/>
        <v>0</v>
      </c>
      <c r="U52" s="36">
        <f t="shared" si="0"/>
        <v>9.9999999999999995E-7</v>
      </c>
      <c r="V52" s="36">
        <f t="shared" si="0"/>
        <v>9.9999999999999995E-7</v>
      </c>
      <c r="W52" s="36">
        <f t="shared" si="0"/>
        <v>0</v>
      </c>
      <c r="X52" s="36">
        <f t="shared" si="0"/>
        <v>0</v>
      </c>
      <c r="Y52" s="36">
        <f t="shared" si="0"/>
        <v>14737425.722460929</v>
      </c>
      <c r="Z52" s="36">
        <f t="shared" si="0"/>
        <v>14737425.722460929</v>
      </c>
      <c r="AA52" s="36">
        <f t="shared" si="0"/>
        <v>654063957.86169648</v>
      </c>
    </row>
    <row r="53" spans="1:27" ht="11.25" customHeight="1" x14ac:dyDescent="0.25">
      <c r="K53" s="41" t="s">
        <v>899</v>
      </c>
      <c r="L53" s="36">
        <f>CUSTOS!$D$30</f>
        <v>6780086.7341029542</v>
      </c>
      <c r="M53" s="36">
        <f>CUSTOS!$D$31</f>
        <v>44173415.506152324</v>
      </c>
      <c r="N53" s="36">
        <f>CUSTOS!$D$32</f>
        <v>0</v>
      </c>
      <c r="O53" s="36">
        <f>CUSTOS!$D$33</f>
        <v>9633157.0101621784</v>
      </c>
      <c r="P53" s="36">
        <f>CUSTOS!$D$34</f>
        <v>60586659.250417456</v>
      </c>
      <c r="Q53" s="36">
        <f>CUSTOS!$D$35</f>
        <v>578739872.88881707</v>
      </c>
      <c r="R53" s="36">
        <f>CUSTOS!$D$36</f>
        <v>578739872.88881707</v>
      </c>
      <c r="S53" s="36">
        <f>CUSTOS!$D$37</f>
        <v>0</v>
      </c>
      <c r="T53" s="36">
        <f>CUSTOS!$D$38</f>
        <v>0</v>
      </c>
      <c r="U53" s="36">
        <f>CUSTOS!$D$39</f>
        <v>9.9999999999999995E-7</v>
      </c>
      <c r="V53" s="36">
        <f>CUSTOS!$D$40</f>
        <v>9.9999999999999995E-7</v>
      </c>
      <c r="W53" s="36">
        <f>CUSTOS!$D$41</f>
        <v>0</v>
      </c>
      <c r="X53" s="36">
        <f>CUSTOS!$D$42</f>
        <v>0</v>
      </c>
      <c r="Y53" s="36">
        <f>CUSTOS!$D$43</f>
        <v>14737425.722460933</v>
      </c>
      <c r="Z53" s="36">
        <f>CUSTOS!$D$44</f>
        <v>14737425.722460933</v>
      </c>
      <c r="AA53" s="36">
        <f>CUSTOS!$D$45</f>
        <v>654063957.86169648</v>
      </c>
    </row>
    <row r="54" spans="1:27" ht="11.25" customHeight="1" x14ac:dyDescent="0.25">
      <c r="K54" s="41" t="s">
        <v>900</v>
      </c>
      <c r="L54" s="36">
        <f>CUSTOS!$E$30</f>
        <v>-3280.8486845495613</v>
      </c>
      <c r="M54" s="36">
        <f>CUSTOS!$E$31</f>
        <v>-77114544.237402737</v>
      </c>
      <c r="N54" s="36">
        <f>CUSTOS!$E$32</f>
        <v>0</v>
      </c>
      <c r="O54" s="36">
        <f>CUSTOS!$E$33</f>
        <v>-481434.36160427966</v>
      </c>
      <c r="P54" s="36">
        <f>CUSTOS!$E$34</f>
        <v>-77599259.44769156</v>
      </c>
      <c r="Q54" s="36">
        <f>CUSTOS!$E$35</f>
        <v>-42979281.433094189</v>
      </c>
      <c r="R54" s="36">
        <f>CUSTOS!$E$36</f>
        <v>-42979281.433094189</v>
      </c>
      <c r="S54" s="36">
        <f>CUSTOS!$E$37</f>
        <v>0</v>
      </c>
      <c r="T54" s="36">
        <f>CUSTOS!$E$38</f>
        <v>0</v>
      </c>
      <c r="U54" s="36">
        <f>CUSTOS!$E$39</f>
        <v>0</v>
      </c>
      <c r="V54" s="36">
        <f>CUSTOS!$E$40</f>
        <v>0</v>
      </c>
      <c r="W54" s="36">
        <f>CUSTOS!$E$41</f>
        <v>-53981673.611668848</v>
      </c>
      <c r="X54" s="36">
        <f>CUSTOS!$E$42</f>
        <v>-53981673.611668848</v>
      </c>
      <c r="Y54" s="36">
        <f>CUSTOS!$E$43</f>
        <v>-1094453.6524903555</v>
      </c>
      <c r="Z54" s="36">
        <f>CUSTOS!$E$44</f>
        <v>-1094453.6524903555</v>
      </c>
      <c r="AA54" s="36">
        <f>CUSTOS!$E$45</f>
        <v>-175654668.14494494</v>
      </c>
    </row>
    <row r="55" spans="1:27" ht="11.25" customHeight="1" x14ac:dyDescent="0.25">
      <c r="K55" s="41" t="s">
        <v>901</v>
      </c>
      <c r="L55" s="36">
        <f>CUSTOS!$F$30</f>
        <v>0</v>
      </c>
      <c r="M55" s="36">
        <f>CUSTOS!$F$31</f>
        <v>88617019.98359926</v>
      </c>
      <c r="N55" s="36">
        <f>CUSTOS!$F$32</f>
        <v>0</v>
      </c>
      <c r="O55" s="36">
        <f>CUSTOS!$F$33</f>
        <v>626300.36751540366</v>
      </c>
      <c r="P55" s="36">
        <f>CUSTOS!$F$34</f>
        <v>89243320.351114661</v>
      </c>
      <c r="Q55" s="36">
        <f>CUSTOS!$F$35</f>
        <v>41955382.868036844</v>
      </c>
      <c r="R55" s="36">
        <f>CUSTOS!$F$36</f>
        <v>41955382.868036844</v>
      </c>
      <c r="S55" s="36">
        <f>CUSTOS!$F$37</f>
        <v>0</v>
      </c>
      <c r="T55" s="36">
        <f>CUSTOS!$F$38</f>
        <v>0</v>
      </c>
      <c r="U55" s="36">
        <f>CUSTOS!$F$39</f>
        <v>0</v>
      </c>
      <c r="V55" s="36">
        <f>CUSTOS!$F$40</f>
        <v>0</v>
      </c>
      <c r="W55" s="36">
        <f>CUSTOS!$F$41</f>
        <v>0</v>
      </c>
      <c r="X55" s="36">
        <f>CUSTOS!$F$42</f>
        <v>0</v>
      </c>
      <c r="Y55" s="36">
        <f>CUSTOS!$F$43</f>
        <v>1068380.4030794483</v>
      </c>
      <c r="Z55" s="36">
        <f>CUSTOS!$F$44</f>
        <v>1068380.4030794483</v>
      </c>
      <c r="AA55" s="36">
        <f>CUSTOS!$F$45</f>
        <v>132267083.62223095</v>
      </c>
    </row>
    <row r="56" spans="1:27" ht="11.25" customHeight="1" x14ac:dyDescent="0.25">
      <c r="K56" s="41" t="s">
        <v>965</v>
      </c>
      <c r="L56" s="36">
        <f>'TR TE'!$L$56*L57</f>
        <v>-1.2690503166594461E-3</v>
      </c>
      <c r="M56" s="36">
        <f>'TR TE'!$M$56*M57</f>
        <v>-29.828329860010179</v>
      </c>
      <c r="N56" s="36">
        <f>'TR TE'!$N$56*N57</f>
        <v>0</v>
      </c>
      <c r="O56" s="36">
        <f>'TR TE'!$O$56*O57</f>
        <v>-0.18622145907607765</v>
      </c>
      <c r="P56" s="36"/>
      <c r="Q56" s="36">
        <f>'TR TE'!$Q$56*Q57</f>
        <v>-16.363075997213549</v>
      </c>
      <c r="R56" s="36"/>
      <c r="S56" s="36">
        <f>'TR TE'!$S$56*S57</f>
        <v>0</v>
      </c>
      <c r="T56" s="36">
        <f>'TR TE'!$T$56*T57</f>
        <v>0</v>
      </c>
      <c r="U56" s="36">
        <f>'TR TE'!$U$56*U57</f>
        <v>0</v>
      </c>
      <c r="V56" s="36"/>
      <c r="W56" s="36"/>
      <c r="X56" s="36"/>
      <c r="Y56" s="36">
        <f>'TR TE'!$Y$56*Y57</f>
        <v>-0.42334069254786799</v>
      </c>
      <c r="Z56" s="36"/>
      <c r="AA56" s="36"/>
    </row>
    <row r="57" spans="1:27" ht="11.25" customHeight="1" x14ac:dyDescent="0.25">
      <c r="K57" s="41" t="s">
        <v>958</v>
      </c>
      <c r="L57" s="36">
        <f>IF(L53&lt;&gt;0,L54/L53,0)</f>
        <v>-4.8389479562957791E-4</v>
      </c>
      <c r="M57" s="36">
        <f>IF(M53&lt;&gt;0,M54/M53,0)</f>
        <v>-1.7457229275527151</v>
      </c>
      <c r="N57" s="36">
        <f>IF(N53&lt;&gt;0,N54/N53,0)</f>
        <v>0</v>
      </c>
      <c r="O57" s="36">
        <f>IF(O53&lt;&gt;0,O54/O53,0)</f>
        <v>-4.9976800035170868E-2</v>
      </c>
      <c r="P57" s="36"/>
      <c r="Q57" s="36">
        <f>IF(Q53&lt;&gt;0,Q54/Q53,0)</f>
        <v>-7.4263556817954074E-2</v>
      </c>
      <c r="R57" s="36"/>
      <c r="S57" s="36">
        <f>IF(S53&lt;&gt;0,S54/S53,0)</f>
        <v>0</v>
      </c>
      <c r="T57" s="36">
        <f>IF(T53&lt;&gt;0,T54/T53,0)</f>
        <v>0</v>
      </c>
      <c r="U57" s="36">
        <f>IF(U53&lt;&gt;0,U54/U53,0)</f>
        <v>0</v>
      </c>
      <c r="V57" s="36"/>
      <c r="W57" s="36">
        <f>IF(($AA53-(+ $I$7*$AA$7+ $I$8*$AA$8+ $I$9*$AA$9+ $I$12*$AA$12+ $I$14*$AA$14+ $I$15*$AA$15))&lt;&gt;0,W54/($AA53-(+ $I$7*$AA$7+ $I$8*$AA$8+ $I$9*$AA$9+ $I$12*$AA$12+ $I$14*$AA$14+ $I$15*$AA$15)),0)</f>
        <v>-9.3100277528498393E-2</v>
      </c>
      <c r="X57" s="36"/>
      <c r="Y57" s="36">
        <f>IF(Y53&lt;&gt;0,Y54/Y53,0)</f>
        <v>-7.4263556817954088E-2</v>
      </c>
      <c r="Z57" s="36"/>
      <c r="AA57" s="36"/>
    </row>
    <row r="58" spans="1:27" ht="11.25" customHeight="1" x14ac:dyDescent="0.25">
      <c r="K58" s="41" t="s">
        <v>967</v>
      </c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10:F11"/>
    <mergeCell ref="Y3:Z3"/>
    <mergeCell ref="AA3:AA4"/>
    <mergeCell ref="A5:A9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10:A15"/>
    <mergeCell ref="B10:B11"/>
    <mergeCell ref="C10:C11"/>
    <mergeCell ref="D10:D11"/>
    <mergeCell ref="E10:E11"/>
    <mergeCell ref="F16:F18"/>
    <mergeCell ref="B19:B23"/>
    <mergeCell ref="C19:C23"/>
    <mergeCell ref="B24:B28"/>
    <mergeCell ref="C24:C28"/>
    <mergeCell ref="A16:A28"/>
    <mergeCell ref="B16:B18"/>
    <mergeCell ref="C16:C18"/>
    <mergeCell ref="D16:D18"/>
    <mergeCell ref="E16:E18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E44:E46"/>
    <mergeCell ref="F44:F46"/>
    <mergeCell ref="A49:A50"/>
    <mergeCell ref="B49:B50"/>
    <mergeCell ref="C49:C50"/>
    <mergeCell ref="D44:D46"/>
  </mergeCells>
  <conditionalFormatting sqref="L52">
    <cfRule type="cellIs" dxfId="1473" priority="31" operator="notEqual">
      <formula>$L$53</formula>
    </cfRule>
    <cfRule type="cellIs" dxfId="1472" priority="32" operator="equal">
      <formula>$L$53</formula>
    </cfRule>
  </conditionalFormatting>
  <conditionalFormatting sqref="M52">
    <cfRule type="cellIs" dxfId="1471" priority="29" operator="notEqual">
      <formula>$M$53</formula>
    </cfRule>
    <cfRule type="cellIs" dxfId="1470" priority="30" operator="equal">
      <formula>$M$53</formula>
    </cfRule>
  </conditionalFormatting>
  <conditionalFormatting sqref="N52">
    <cfRule type="cellIs" dxfId="1469" priority="27" operator="notEqual">
      <formula>$N$53</formula>
    </cfRule>
    <cfRule type="cellIs" dxfId="1468" priority="28" operator="equal">
      <formula>$N$53</formula>
    </cfRule>
  </conditionalFormatting>
  <conditionalFormatting sqref="O52">
    <cfRule type="cellIs" dxfId="1467" priority="25" operator="notEqual">
      <formula>$O$53</formula>
    </cfRule>
    <cfRule type="cellIs" dxfId="1466" priority="26" operator="equal">
      <formula>$O$53</formula>
    </cfRule>
  </conditionalFormatting>
  <conditionalFormatting sqref="P52">
    <cfRule type="cellIs" dxfId="1465" priority="23" operator="notEqual">
      <formula>$P$53</formula>
    </cfRule>
    <cfRule type="cellIs" dxfId="1464" priority="24" operator="equal">
      <formula>$P$53</formula>
    </cfRule>
  </conditionalFormatting>
  <conditionalFormatting sqref="Q52">
    <cfRule type="cellIs" dxfId="1463" priority="21" operator="notEqual">
      <formula>$Q$53</formula>
    </cfRule>
    <cfRule type="cellIs" dxfId="1462" priority="22" operator="equal">
      <formula>$Q$53</formula>
    </cfRule>
  </conditionalFormatting>
  <conditionalFormatting sqref="R52">
    <cfRule type="cellIs" dxfId="1461" priority="19" operator="notEqual">
      <formula>$R$53</formula>
    </cfRule>
    <cfRule type="cellIs" dxfId="1460" priority="20" operator="equal">
      <formula>$R$53</formula>
    </cfRule>
  </conditionalFormatting>
  <conditionalFormatting sqref="S52">
    <cfRule type="cellIs" dxfId="1459" priority="17" operator="notEqual">
      <formula>$S$53</formula>
    </cfRule>
    <cfRule type="cellIs" dxfId="1458" priority="18" operator="equal">
      <formula>$S$53</formula>
    </cfRule>
  </conditionalFormatting>
  <conditionalFormatting sqref="T52">
    <cfRule type="cellIs" dxfId="1457" priority="15" operator="notEqual">
      <formula>$T$53</formula>
    </cfRule>
    <cfRule type="cellIs" dxfId="1456" priority="16" operator="equal">
      <formula>$T$53</formula>
    </cfRule>
  </conditionalFormatting>
  <conditionalFormatting sqref="U52">
    <cfRule type="cellIs" dxfId="1455" priority="13" operator="notEqual">
      <formula>$U$53</formula>
    </cfRule>
    <cfRule type="cellIs" dxfId="1454" priority="14" operator="equal">
      <formula>$U$53</formula>
    </cfRule>
  </conditionalFormatting>
  <conditionalFormatting sqref="V52">
    <cfRule type="cellIs" dxfId="1453" priority="11" operator="notEqual">
      <formula>$V$53</formula>
    </cfRule>
    <cfRule type="cellIs" dxfId="1452" priority="12" operator="equal">
      <formula>$V$53</formula>
    </cfRule>
  </conditionalFormatting>
  <conditionalFormatting sqref="W52">
    <cfRule type="cellIs" dxfId="1451" priority="9" operator="notEqual">
      <formula>$W$53</formula>
    </cfRule>
    <cfRule type="cellIs" dxfId="1450" priority="10" operator="equal">
      <formula>$W$53</formula>
    </cfRule>
  </conditionalFormatting>
  <conditionalFormatting sqref="X52">
    <cfRule type="cellIs" dxfId="1449" priority="7" operator="notEqual">
      <formula>$X$53</formula>
    </cfRule>
    <cfRule type="cellIs" dxfId="1448" priority="8" operator="equal">
      <formula>$X$53</formula>
    </cfRule>
  </conditionalFormatting>
  <conditionalFormatting sqref="Y52">
    <cfRule type="cellIs" dxfId="1447" priority="5" operator="notEqual">
      <formula>$Y$53</formula>
    </cfRule>
    <cfRule type="cellIs" dxfId="1446" priority="6" operator="equal">
      <formula>$Y$53</formula>
    </cfRule>
  </conditionalFormatting>
  <conditionalFormatting sqref="Z52">
    <cfRule type="cellIs" dxfId="1445" priority="3" operator="notEqual">
      <formula>$Z$53</formula>
    </cfRule>
    <cfRule type="cellIs" dxfId="1444" priority="4" operator="equal">
      <formula>$Z$53</formula>
    </cfRule>
  </conditionalFormatting>
  <conditionalFormatting sqref="AA52">
    <cfRule type="cellIs" dxfId="1443" priority="1" operator="notEqual">
      <formula>$AA$53</formula>
    </cfRule>
    <cfRule type="cellIs" dxfId="1442" priority="2" operator="equal">
      <formula>$AA$53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2A14-ACF8-4893-B2D3-FB24B2F2201F}">
  <dimension ref="A1:AA58"/>
  <sheetViews>
    <sheetView showGridLines="0" topLeftCell="Q31" workbookViewId="0">
      <selection activeCell="AA52" sqref="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1.42578125" style="9" bestFit="1" customWidth="1"/>
    <col min="25" max="25" width="11" style="9" bestFit="1" customWidth="1"/>
    <col min="26" max="26" width="10.85546875" style="9" bestFit="1" customWidth="1"/>
    <col min="27" max="27" width="12.28515625" style="9" bestFit="1" customWidth="1"/>
    <col min="28" max="16384" width="9.140625" style="9"/>
  </cols>
  <sheetData>
    <row r="1" spans="1:27" ht="11.25" customHeight="1" x14ac:dyDescent="0.25">
      <c r="A1" s="113" t="s">
        <v>83</v>
      </c>
      <c r="B1" s="113" t="s">
        <v>84</v>
      </c>
      <c r="C1" s="113" t="s">
        <v>85</v>
      </c>
      <c r="D1" s="113" t="s">
        <v>86</v>
      </c>
      <c r="E1" s="113" t="s">
        <v>87</v>
      </c>
      <c r="F1" s="113" t="s">
        <v>15</v>
      </c>
      <c r="G1" s="113" t="s">
        <v>89</v>
      </c>
      <c r="H1" s="113" t="s">
        <v>90</v>
      </c>
      <c r="I1" s="113" t="s">
        <v>947</v>
      </c>
      <c r="J1" s="102"/>
      <c r="L1" s="114" t="s">
        <v>969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02"/>
      <c r="L2" s="114" t="s">
        <v>886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02"/>
      <c r="L3" s="114" t="s">
        <v>859</v>
      </c>
      <c r="M3" s="114"/>
      <c r="N3" s="114"/>
      <c r="O3" s="114"/>
      <c r="P3" s="114"/>
      <c r="Q3" s="114" t="s">
        <v>889</v>
      </c>
      <c r="R3" s="114"/>
      <c r="S3" s="114" t="s">
        <v>868</v>
      </c>
      <c r="T3" s="114"/>
      <c r="U3" s="114"/>
      <c r="V3" s="114"/>
      <c r="W3" s="114" t="s">
        <v>878</v>
      </c>
      <c r="X3" s="114"/>
      <c r="Y3" s="114" t="s">
        <v>881</v>
      </c>
      <c r="Z3" s="114"/>
      <c r="AA3" s="114" t="s">
        <v>867</v>
      </c>
    </row>
    <row r="4" spans="1:27" ht="11.25" customHeight="1" x14ac:dyDescent="0.25">
      <c r="A4" s="113"/>
      <c r="B4" s="113"/>
      <c r="C4" s="113"/>
      <c r="D4" s="113"/>
      <c r="E4" s="113"/>
      <c r="F4" s="113"/>
      <c r="G4" s="113"/>
      <c r="H4" s="113"/>
      <c r="I4" s="113"/>
      <c r="J4" s="102"/>
      <c r="L4" s="40" t="s">
        <v>861</v>
      </c>
      <c r="M4" s="40" t="s">
        <v>887</v>
      </c>
      <c r="N4" s="40" t="s">
        <v>888</v>
      </c>
      <c r="O4" s="40" t="s">
        <v>946</v>
      </c>
      <c r="P4" s="40" t="s">
        <v>867</v>
      </c>
      <c r="Q4" s="40" t="s">
        <v>890</v>
      </c>
      <c r="R4" s="40" t="s">
        <v>867</v>
      </c>
      <c r="S4" s="40" t="s">
        <v>891</v>
      </c>
      <c r="T4" s="40" t="s">
        <v>892</v>
      </c>
      <c r="U4" s="40" t="s">
        <v>893</v>
      </c>
      <c r="V4" s="40" t="s">
        <v>867</v>
      </c>
      <c r="W4" s="40" t="s">
        <v>879</v>
      </c>
      <c r="X4" s="40" t="s">
        <v>867</v>
      </c>
      <c r="Y4" s="40" t="s">
        <v>894</v>
      </c>
      <c r="Z4" s="40" t="s">
        <v>867</v>
      </c>
      <c r="AA4" s="115"/>
    </row>
    <row r="5" spans="1:27" ht="11.25" customHeight="1" x14ac:dyDescent="0.25">
      <c r="A5" s="112" t="s">
        <v>39</v>
      </c>
      <c r="B5" s="112" t="s">
        <v>92</v>
      </c>
      <c r="C5" s="112" t="s">
        <v>25</v>
      </c>
      <c r="D5" s="112" t="s">
        <v>25</v>
      </c>
      <c r="E5" s="112" t="s">
        <v>25</v>
      </c>
      <c r="F5" s="112" t="s">
        <v>25</v>
      </c>
      <c r="G5" s="38" t="s">
        <v>94</v>
      </c>
      <c r="H5" s="38" t="s">
        <v>93</v>
      </c>
      <c r="I5" s="38">
        <f>'MERCADO TE'!$U$2</f>
        <v>4826.8779999999997</v>
      </c>
      <c r="J5" s="15"/>
      <c r="L5" s="36">
        <f>'TE BE'!$L$5*'TE BE'!$L$57</f>
        <v>-1.2690503166594461E-3</v>
      </c>
      <c r="M5" s="36">
        <f>'TE BE'!$M$5*'TE BE'!$M$57</f>
        <v>-29.828329860010179</v>
      </c>
      <c r="N5" s="36">
        <f>'TE BE'!$N$5*'TE BE'!$N$57</f>
        <v>0</v>
      </c>
      <c r="O5" s="36">
        <f>'TE BE'!$O$5*'TE BE'!$O$57</f>
        <v>-0.18622145907607765</v>
      </c>
      <c r="P5" s="36">
        <f>SUM($L$5:$O$5)</f>
        <v>-30.015820369402913</v>
      </c>
      <c r="Q5" s="36">
        <f>'TE BE'!$Q$5*'TE BE'!$Q$57</f>
        <v>-27.127560482047663</v>
      </c>
      <c r="R5" s="36">
        <f>SUM($Q$5:$Q$5)</f>
        <v>-27.127560482047663</v>
      </c>
      <c r="S5" s="36">
        <f>'TE BE'!$S$5*'TE BE'!$S$57</f>
        <v>0</v>
      </c>
      <c r="T5" s="36">
        <f>'TE BE'!$T$5*'TE BE'!$T$57</f>
        <v>0</v>
      </c>
      <c r="U5" s="36">
        <f>'TE BE'!$U$5*'TE BE'!$U$57</f>
        <v>0</v>
      </c>
      <c r="V5" s="36">
        <f>SUM($S$5:$U$5)</f>
        <v>0</v>
      </c>
      <c r="W5" s="36">
        <f>'TE BE'!$AA$5*'TE BE'!$W$57</f>
        <v>-36.720930315477496</v>
      </c>
      <c r="X5" s="36">
        <f>SUM($W$5:$W$5)</f>
        <v>-36.720930315477496</v>
      </c>
      <c r="Y5" s="36">
        <f>'TE BE'!$Y$5*'TE BE'!$Y$57</f>
        <v>-0.42334069254786799</v>
      </c>
      <c r="Z5" s="36">
        <f>SUM($Y$5:$Y$5)</f>
        <v>-0.42334069254786799</v>
      </c>
      <c r="AA5" s="36">
        <f>SUMIF($L$4:$Z$4,"SUBTOTAL",$L$5:$Z$5)</f>
        <v>-94.287651859475943</v>
      </c>
    </row>
    <row r="6" spans="1:27" ht="11.25" customHeight="1" x14ac:dyDescent="0.25">
      <c r="A6" s="112"/>
      <c r="B6" s="112"/>
      <c r="C6" s="112"/>
      <c r="D6" s="112"/>
      <c r="E6" s="112"/>
      <c r="F6" s="112"/>
      <c r="G6" s="38" t="s">
        <v>95</v>
      </c>
      <c r="H6" s="38" t="s">
        <v>93</v>
      </c>
      <c r="I6" s="38">
        <f>'MERCADO TE'!$U$3</f>
        <v>85647.175000000017</v>
      </c>
      <c r="J6" s="15"/>
      <c r="L6" s="36">
        <f>'TE BE'!$L$6*'TE BE'!$L$57</f>
        <v>-1.2690503166594461E-3</v>
      </c>
      <c r="M6" s="36">
        <f>'TE BE'!$M$6*'TE BE'!$M$57</f>
        <v>-29.828329860010179</v>
      </c>
      <c r="N6" s="36">
        <f>'TE BE'!$N$6*'TE BE'!$N$57</f>
        <v>0</v>
      </c>
      <c r="O6" s="36">
        <f>'TE BE'!$O$6*'TE BE'!$O$57</f>
        <v>-0.18622145907607765</v>
      </c>
      <c r="P6" s="36">
        <f>SUM($L$6:$O$6)</f>
        <v>-30.015820369402913</v>
      </c>
      <c r="Q6" s="36">
        <f>'TE BE'!$Q$6*'TE BE'!$Q$57</f>
        <v>-15.771837489562595</v>
      </c>
      <c r="R6" s="36">
        <f>SUM($Q$6:$Q$6)</f>
        <v>-15.771837489562595</v>
      </c>
      <c r="S6" s="36">
        <f>'TE BE'!$S$6*'TE BE'!$S$57</f>
        <v>0</v>
      </c>
      <c r="T6" s="36">
        <f>'TE BE'!$T$6*'TE BE'!$T$57</f>
        <v>0</v>
      </c>
      <c r="U6" s="36">
        <f>'TE BE'!$U$6*'TE BE'!$U$57</f>
        <v>0</v>
      </c>
      <c r="V6" s="36">
        <f>SUM($S$6:$U$6)</f>
        <v>0</v>
      </c>
      <c r="W6" s="36">
        <f>'TE BE'!$AA$6*'TE BE'!$W$57</f>
        <v>-22.484863428340269</v>
      </c>
      <c r="X6" s="36">
        <f>SUM($W$6:$W$6)</f>
        <v>-22.484863428340269</v>
      </c>
      <c r="Y6" s="36">
        <f>'TE BE'!$Y$6*'TE BE'!$Y$57</f>
        <v>-0.42334069254786799</v>
      </c>
      <c r="Z6" s="36">
        <f>SUM($Y$6:$Y$6)</f>
        <v>-0.42334069254786799</v>
      </c>
      <c r="AA6" s="36">
        <f>SUMIF($L$4:$Z$4,"SUBTOTAL",$L$6:$Z$6)</f>
        <v>-68.695861979853646</v>
      </c>
    </row>
    <row r="7" spans="1:27" ht="11.25" customHeight="1" x14ac:dyDescent="0.25">
      <c r="A7" s="112"/>
      <c r="B7" s="39" t="s">
        <v>96</v>
      </c>
      <c r="C7" s="39" t="s">
        <v>25</v>
      </c>
      <c r="D7" s="39" t="s">
        <v>25</v>
      </c>
      <c r="E7" s="39" t="s">
        <v>97</v>
      </c>
      <c r="F7" s="39" t="s">
        <v>25</v>
      </c>
      <c r="G7" s="38" t="s">
        <v>98</v>
      </c>
      <c r="H7" s="38" t="s">
        <v>93</v>
      </c>
      <c r="I7" s="38">
        <f>'MERCADO TE'!$U$4</f>
        <v>285935.57</v>
      </c>
      <c r="J7" s="15"/>
      <c r="L7" s="36">
        <f>'TE BE'!$L$7*'TE BE'!$L$57</f>
        <v>-1.2690503166594461E-3</v>
      </c>
      <c r="M7" s="36">
        <f>'TE BE'!$M$7*'TE BE'!$M$57</f>
        <v>-29.828329860010179</v>
      </c>
      <c r="N7" s="36">
        <f>'TE BE'!$N$7*'TE BE'!$N$57</f>
        <v>0</v>
      </c>
      <c r="O7" s="36">
        <f>'TE BE'!$O$7*'TE BE'!$O$57</f>
        <v>-0.18622145907607765</v>
      </c>
      <c r="P7" s="36">
        <f>SUM($L$7:$O$7)</f>
        <v>-30.015820369402913</v>
      </c>
      <c r="Q7" s="36">
        <f>'TE BE'!$Q$7*'TE BE'!$Q$57</f>
        <v>-16.363075997213549</v>
      </c>
      <c r="R7" s="36">
        <f>SUM($Q$7:$Q$7)</f>
        <v>-16.363075997213549</v>
      </c>
      <c r="S7" s="36">
        <f>'TE BE'!$S$7*'TE BE'!$S$57</f>
        <v>0</v>
      </c>
      <c r="T7" s="36">
        <f>'TE BE'!$T$7*'TE BE'!$T$57</f>
        <v>0</v>
      </c>
      <c r="U7" s="36">
        <f>'TE BE'!$U$7*'TE BE'!$U$57</f>
        <v>0</v>
      </c>
      <c r="V7" s="36">
        <f>SUM($S$7:$U$7)</f>
        <v>0</v>
      </c>
      <c r="W7" s="36">
        <v>0</v>
      </c>
      <c r="X7" s="36">
        <f>SUM($W$7:$W$7)</f>
        <v>0</v>
      </c>
      <c r="Y7" s="36">
        <f>'TE BE'!$Y$7*'TE BE'!$Y$57</f>
        <v>-0.42334069254786799</v>
      </c>
      <c r="Z7" s="36">
        <f>SUM($Y$7:$Y$7)</f>
        <v>-0.42334069254786799</v>
      </c>
      <c r="AA7" s="36">
        <f>SUMIF($L$4:$Z$4,"SUBTOTAL",$L$7:$Z$7)</f>
        <v>-46.802237059164327</v>
      </c>
    </row>
    <row r="8" spans="1:27" ht="11.25" customHeight="1" x14ac:dyDescent="0.25">
      <c r="A8" s="112"/>
      <c r="B8" s="39" t="s">
        <v>102</v>
      </c>
      <c r="C8" s="39" t="s">
        <v>25</v>
      </c>
      <c r="D8" s="39" t="s">
        <v>25</v>
      </c>
      <c r="E8" s="39" t="s">
        <v>97</v>
      </c>
      <c r="F8" s="39" t="s">
        <v>25</v>
      </c>
      <c r="G8" s="38" t="s">
        <v>98</v>
      </c>
      <c r="H8" s="38" t="s">
        <v>93</v>
      </c>
      <c r="I8" s="38">
        <f>'MERCADO TE'!$U$5</f>
        <v>0</v>
      </c>
      <c r="J8" s="15"/>
      <c r="L8" s="36">
        <f>'TE BE'!$L$8*'TE BE'!$L$57</f>
        <v>-1.2690503166594461E-3</v>
      </c>
      <c r="M8" s="36">
        <f>'TE BE'!$M$8*'TE BE'!$M$57</f>
        <v>-29.828329860010179</v>
      </c>
      <c r="N8" s="36">
        <f>'TE BE'!$N$8*'TE BE'!$N$57</f>
        <v>0</v>
      </c>
      <c r="O8" s="36">
        <f>'TE BE'!$O$8*'TE BE'!$O$57</f>
        <v>-0.18622145907607765</v>
      </c>
      <c r="P8" s="36">
        <f>SUM($L$8:$O$8)</f>
        <v>-30.015820369402913</v>
      </c>
      <c r="Q8" s="36">
        <f>'TE BE'!$Q$8*'TE BE'!$Q$57</f>
        <v>-16.363075997213549</v>
      </c>
      <c r="R8" s="36">
        <f>SUM($Q$8:$Q$8)</f>
        <v>-16.363075997213549</v>
      </c>
      <c r="S8" s="36">
        <f>'TE BE'!$S$8*'TE BE'!$S$57</f>
        <v>0</v>
      </c>
      <c r="T8" s="36">
        <f>'TE BE'!$T$8*'TE BE'!$T$57</f>
        <v>0</v>
      </c>
      <c r="U8" s="36">
        <f>'TE BE'!$U$8*'TE BE'!$U$57</f>
        <v>0</v>
      </c>
      <c r="V8" s="36">
        <f>SUM($S$8:$U$8)</f>
        <v>0</v>
      </c>
      <c r="W8" s="36">
        <v>0</v>
      </c>
      <c r="X8" s="36">
        <f>SUM($W$8:$W$8)</f>
        <v>0</v>
      </c>
      <c r="Y8" s="36">
        <f>'TE BE'!$Y$8*'TE BE'!$Y$57</f>
        <v>-0.42334069254786799</v>
      </c>
      <c r="Z8" s="36">
        <f>SUM($Y$8:$Y$8)</f>
        <v>-0.42334069254786799</v>
      </c>
      <c r="AA8" s="36">
        <f>SUMIF($L$4:$Z$4,"SUBTOTAL",$L$8:$Z$8)</f>
        <v>-46.802237059164327</v>
      </c>
    </row>
    <row r="9" spans="1:27" ht="11.25" customHeight="1" x14ac:dyDescent="0.25">
      <c r="A9" s="112"/>
      <c r="B9" s="39" t="s">
        <v>96</v>
      </c>
      <c r="C9" s="39" t="s">
        <v>25</v>
      </c>
      <c r="D9" s="39" t="s">
        <v>25</v>
      </c>
      <c r="E9" s="39" t="s">
        <v>25</v>
      </c>
      <c r="F9" s="39" t="s">
        <v>25</v>
      </c>
      <c r="G9" s="38" t="s">
        <v>98</v>
      </c>
      <c r="H9" s="38" t="s">
        <v>93</v>
      </c>
      <c r="I9" s="38">
        <f>'MERCADO TE'!$U$6</f>
        <v>0</v>
      </c>
      <c r="J9" s="15"/>
      <c r="L9" s="36">
        <f>'TE BE'!$L$9*'TE BE'!$L$57</f>
        <v>-1.2690503166594461E-3</v>
      </c>
      <c r="M9" s="36">
        <f>'TE BE'!$M$9*'TE BE'!$M$57</f>
        <v>0</v>
      </c>
      <c r="N9" s="36">
        <f>'TE BE'!$N$9*'TE BE'!$N$57</f>
        <v>0</v>
      </c>
      <c r="O9" s="36">
        <f>'TE BE'!$O$9*'TE BE'!$O$57</f>
        <v>-0.18622145907607765</v>
      </c>
      <c r="P9" s="36">
        <f>SUM($L$9:$O$9)</f>
        <v>-0.18749050939273709</v>
      </c>
      <c r="Q9" s="36">
        <f>'TE BE'!$Q$9*'TE BE'!$Q$57</f>
        <v>-16.363075997213549</v>
      </c>
      <c r="R9" s="36">
        <f>SUM($Q$9:$Q$9)</f>
        <v>-16.363075997213549</v>
      </c>
      <c r="S9" s="36">
        <f>'TE BE'!$S$9*'TE BE'!$S$57</f>
        <v>0</v>
      </c>
      <c r="T9" s="36">
        <f>'TE BE'!$T$9*'TE BE'!$T$57</f>
        <v>0</v>
      </c>
      <c r="U9" s="36">
        <f>'TE BE'!$U$9*'TE BE'!$U$57</f>
        <v>0</v>
      </c>
      <c r="V9" s="36">
        <f>SUM($S$9:$U$9)</f>
        <v>0</v>
      </c>
      <c r="W9" s="36">
        <v>0</v>
      </c>
      <c r="X9" s="36">
        <f>SUM($W$9:$W$9)</f>
        <v>0</v>
      </c>
      <c r="Y9" s="36">
        <f>'TE BE'!$Y$9*'TE BE'!$Y$57</f>
        <v>0</v>
      </c>
      <c r="Z9" s="36">
        <f>SUM($Y$9:$Y$9)</f>
        <v>0</v>
      </c>
      <c r="AA9" s="36">
        <f>SUMIF($L$4:$Z$4,"SUBTOTAL",$L$9:$Z$9)</f>
        <v>-16.550566506606287</v>
      </c>
    </row>
    <row r="10" spans="1:27" ht="11.25" customHeight="1" x14ac:dyDescent="0.25">
      <c r="A10" s="112" t="s">
        <v>41</v>
      </c>
      <c r="B10" s="112" t="s">
        <v>92</v>
      </c>
      <c r="C10" s="112" t="s">
        <v>25</v>
      </c>
      <c r="D10" s="112" t="s">
        <v>25</v>
      </c>
      <c r="E10" s="112" t="s">
        <v>25</v>
      </c>
      <c r="F10" s="112" t="s">
        <v>25</v>
      </c>
      <c r="G10" s="38" t="s">
        <v>94</v>
      </c>
      <c r="H10" s="38" t="s">
        <v>93</v>
      </c>
      <c r="I10" s="38">
        <f>'MERCADO TE'!$U$7</f>
        <v>30551.196</v>
      </c>
      <c r="J10" s="15"/>
      <c r="L10" s="36">
        <f>'TE BE'!$L$10*'TE BE'!$L$57</f>
        <v>-1.2690503166594461E-3</v>
      </c>
      <c r="M10" s="36">
        <f>'TE BE'!$M$10*'TE BE'!$M$57</f>
        <v>-29.828329860010179</v>
      </c>
      <c r="N10" s="36">
        <f>'TE BE'!$N$10*'TE BE'!$N$57</f>
        <v>0</v>
      </c>
      <c r="O10" s="36">
        <f>'TE BE'!$O$10*'TE BE'!$O$57</f>
        <v>-0.18622145907607765</v>
      </c>
      <c r="P10" s="36">
        <f>SUM($L$10:$O$10)</f>
        <v>-30.015820369402913</v>
      </c>
      <c r="Q10" s="36">
        <f>'TE BE'!$Q$10*'TE BE'!$Q$57</f>
        <v>-27.127560482047663</v>
      </c>
      <c r="R10" s="36">
        <f>SUM($Q$10:$Q$10)</f>
        <v>-27.127560482047663</v>
      </c>
      <c r="S10" s="36">
        <f>'TE BE'!$S$10*'TE BE'!$S$57</f>
        <v>0</v>
      </c>
      <c r="T10" s="36">
        <f>'TE BE'!$T$10*'TE BE'!$T$57</f>
        <v>0</v>
      </c>
      <c r="U10" s="36">
        <f>'TE BE'!$U$10*'TE BE'!$U$57</f>
        <v>0</v>
      </c>
      <c r="V10" s="36">
        <f>SUM($S$10:$U$10)</f>
        <v>0</v>
      </c>
      <c r="W10" s="36">
        <f>'TE BE'!$AA$10*'TE BE'!$W$57</f>
        <v>-36.720930315477496</v>
      </c>
      <c r="X10" s="36">
        <f>SUM($W$10:$W$10)</f>
        <v>-36.720930315477496</v>
      </c>
      <c r="Y10" s="36">
        <f>'TE BE'!$Y$10*'TE BE'!$Y$57</f>
        <v>-0.42334069254786799</v>
      </c>
      <c r="Z10" s="36">
        <f>SUM($Y$10:$Y$10)</f>
        <v>-0.42334069254786799</v>
      </c>
      <c r="AA10" s="36">
        <f>SUMIF($L$4:$Z$4,"SUBTOTAL",$L$10:$Z$10)</f>
        <v>-94.287651859475943</v>
      </c>
    </row>
    <row r="11" spans="1:27" ht="11.25" customHeight="1" x14ac:dyDescent="0.25">
      <c r="A11" s="112"/>
      <c r="B11" s="112"/>
      <c r="C11" s="112"/>
      <c r="D11" s="112"/>
      <c r="E11" s="112"/>
      <c r="F11" s="112"/>
      <c r="G11" s="38" t="s">
        <v>95</v>
      </c>
      <c r="H11" s="38" t="s">
        <v>93</v>
      </c>
      <c r="I11" s="38">
        <f>'MERCADO TE'!$U$8</f>
        <v>446699.41099999991</v>
      </c>
      <c r="J11" s="15"/>
      <c r="L11" s="36">
        <f>'TE BE'!$L$11*'TE BE'!$L$57</f>
        <v>-1.2690503166594461E-3</v>
      </c>
      <c r="M11" s="36">
        <f>'TE BE'!$M$11*'TE BE'!$M$57</f>
        <v>-29.828329860010179</v>
      </c>
      <c r="N11" s="36">
        <f>'TE BE'!$N$11*'TE BE'!$N$57</f>
        <v>0</v>
      </c>
      <c r="O11" s="36">
        <f>'TE BE'!$O$11*'TE BE'!$O$57</f>
        <v>-0.18622145907607765</v>
      </c>
      <c r="P11" s="36">
        <f>SUM($L$11:$O$11)</f>
        <v>-30.015820369402913</v>
      </c>
      <c r="Q11" s="36">
        <f>'TE BE'!$Q$11*'TE BE'!$Q$57</f>
        <v>-15.771837489562595</v>
      </c>
      <c r="R11" s="36">
        <f>SUM($Q$11:$Q$11)</f>
        <v>-15.771837489562595</v>
      </c>
      <c r="S11" s="36">
        <f>'TE BE'!$S$11*'TE BE'!$S$57</f>
        <v>0</v>
      </c>
      <c r="T11" s="36">
        <f>'TE BE'!$T$11*'TE BE'!$T$57</f>
        <v>0</v>
      </c>
      <c r="U11" s="36">
        <f>'TE BE'!$U$11*'TE BE'!$U$57</f>
        <v>0</v>
      </c>
      <c r="V11" s="36">
        <f>SUM($S$11:$U$11)</f>
        <v>0</v>
      </c>
      <c r="W11" s="36">
        <f>'TE BE'!$AA$11*'TE BE'!$W$57</f>
        <v>-22.484863428340269</v>
      </c>
      <c r="X11" s="36">
        <f>SUM($W$11:$W$11)</f>
        <v>-22.484863428340269</v>
      </c>
      <c r="Y11" s="36">
        <f>'TE BE'!$Y$11*'TE BE'!$Y$57</f>
        <v>-0.42334069254786799</v>
      </c>
      <c r="Z11" s="36">
        <f>SUM($Y$11:$Y$11)</f>
        <v>-0.42334069254786799</v>
      </c>
      <c r="AA11" s="36">
        <f>SUMIF($L$4:$Z$4,"SUBTOTAL",$L$11:$Z$11)</f>
        <v>-68.695861979853646</v>
      </c>
    </row>
    <row r="12" spans="1:27" ht="11.25" customHeight="1" x14ac:dyDescent="0.25">
      <c r="A12" s="112"/>
      <c r="B12" s="39" t="s">
        <v>96</v>
      </c>
      <c r="C12" s="39" t="s">
        <v>25</v>
      </c>
      <c r="D12" s="39" t="s">
        <v>25</v>
      </c>
      <c r="E12" s="39" t="s">
        <v>97</v>
      </c>
      <c r="F12" s="39" t="s">
        <v>25</v>
      </c>
      <c r="G12" s="38" t="s">
        <v>98</v>
      </c>
      <c r="H12" s="38" t="s">
        <v>93</v>
      </c>
      <c r="I12" s="38">
        <f>'MERCADO TE'!$U$9</f>
        <v>-942.74</v>
      </c>
      <c r="J12" s="15"/>
      <c r="L12" s="36">
        <f>'TE BE'!$L$12*'TE BE'!$L$57</f>
        <v>-1.2690503166594461E-3</v>
      </c>
      <c r="M12" s="36">
        <f>'TE BE'!$M$12*'TE BE'!$M$57</f>
        <v>-29.828329860010179</v>
      </c>
      <c r="N12" s="36">
        <f>'TE BE'!$N$12*'TE BE'!$N$57</f>
        <v>0</v>
      </c>
      <c r="O12" s="36">
        <f>'TE BE'!$O$12*'TE BE'!$O$57</f>
        <v>-0.18622145907607765</v>
      </c>
      <c r="P12" s="36">
        <f>SUM($L$12:$O$12)</f>
        <v>-30.015820369402913</v>
      </c>
      <c r="Q12" s="36">
        <f>'TE BE'!$Q$12*'TE BE'!$Q$57</f>
        <v>-16.363075997213549</v>
      </c>
      <c r="R12" s="36">
        <f>SUM($Q$12:$Q$12)</f>
        <v>-16.363075997213549</v>
      </c>
      <c r="S12" s="36">
        <f>'TE BE'!$S$12*'TE BE'!$S$57</f>
        <v>0</v>
      </c>
      <c r="T12" s="36">
        <f>'TE BE'!$T$12*'TE BE'!$T$57</f>
        <v>0</v>
      </c>
      <c r="U12" s="36">
        <f>'TE BE'!$U$12*'TE BE'!$U$57</f>
        <v>0</v>
      </c>
      <c r="V12" s="36">
        <f>SUM($S$12:$U$12)</f>
        <v>0</v>
      </c>
      <c r="W12" s="36">
        <v>0</v>
      </c>
      <c r="X12" s="36">
        <f>SUM($W$12:$W$12)</f>
        <v>0</v>
      </c>
      <c r="Y12" s="36">
        <f>'TE BE'!$Y$12*'TE BE'!$Y$57</f>
        <v>-0.42334069254786799</v>
      </c>
      <c r="Z12" s="36">
        <f>SUM($Y$12:$Y$12)</f>
        <v>-0.42334069254786799</v>
      </c>
      <c r="AA12" s="36">
        <f>SUMIF($L$4:$Z$4,"SUBTOTAL",$L$12:$Z$12)</f>
        <v>-46.802237059164327</v>
      </c>
    </row>
    <row r="13" spans="1:27" ht="11.25" customHeight="1" x14ac:dyDescent="0.25">
      <c r="A13" s="112"/>
      <c r="B13" s="39" t="s">
        <v>103</v>
      </c>
      <c r="C13" s="39" t="s">
        <v>25</v>
      </c>
      <c r="D13" s="39" t="s">
        <v>25</v>
      </c>
      <c r="E13" s="39" t="s">
        <v>25</v>
      </c>
      <c r="F13" s="39" t="s">
        <v>25</v>
      </c>
      <c r="G13" s="38" t="s">
        <v>98</v>
      </c>
      <c r="H13" s="38" t="s">
        <v>93</v>
      </c>
      <c r="I13" s="38">
        <f>'MERCADO TE'!$U$10</f>
        <v>0</v>
      </c>
      <c r="J13" s="15"/>
      <c r="L13" s="36">
        <f>'TE BE'!$L$13*'TE BE'!$L$57</f>
        <v>-1.2690503166594461E-3</v>
      </c>
      <c r="M13" s="36">
        <f>'TE BE'!$M$13*'TE BE'!$M$57</f>
        <v>-29.828329860010179</v>
      </c>
      <c r="N13" s="36">
        <f>'TE BE'!$N$13*'TE BE'!$N$57</f>
        <v>0</v>
      </c>
      <c r="O13" s="36">
        <f>'TE BE'!$O$13*'TE BE'!$O$57</f>
        <v>-0.18622145907607765</v>
      </c>
      <c r="P13" s="36">
        <f>SUM($L$13:$O$13)</f>
        <v>-30.015820369402913</v>
      </c>
      <c r="Q13" s="36">
        <f>'TE BE'!$Q$13*'TE BE'!$Q$57</f>
        <v>-16.718147738936352</v>
      </c>
      <c r="R13" s="36">
        <f>SUM($Q$13:$Q$13)</f>
        <v>-16.718147738936352</v>
      </c>
      <c r="S13" s="36">
        <f>'TE BE'!$S$13*'TE BE'!$S$57</f>
        <v>0</v>
      </c>
      <c r="T13" s="36">
        <f>'TE BE'!$T$13*'TE BE'!$T$57</f>
        <v>0</v>
      </c>
      <c r="U13" s="36">
        <f>'TE BE'!$U$13*'TE BE'!$U$57</f>
        <v>0</v>
      </c>
      <c r="V13" s="36">
        <f>SUM($S$13:$U$13)</f>
        <v>0</v>
      </c>
      <c r="W13" s="36">
        <f>'TE BE'!$AA$13*'TE BE'!$W$57</f>
        <v>-23.671202335601706</v>
      </c>
      <c r="X13" s="36">
        <f>SUM($W$13:$W$13)</f>
        <v>-23.671202335601706</v>
      </c>
      <c r="Y13" s="36">
        <f>'TE BE'!$Y$13*'TE BE'!$Y$57</f>
        <v>-0.42334069254786799</v>
      </c>
      <c r="Z13" s="36">
        <f>SUM($Y$13:$Y$13)</f>
        <v>-0.42334069254786799</v>
      </c>
      <c r="AA13" s="36">
        <f>SUMIF($L$4:$Z$4,"SUBTOTAL",$L$13:$Z$13)</f>
        <v>-70.828511136488842</v>
      </c>
    </row>
    <row r="14" spans="1:27" ht="11.25" customHeight="1" x14ac:dyDescent="0.25">
      <c r="A14" s="112"/>
      <c r="B14" s="39" t="s">
        <v>102</v>
      </c>
      <c r="C14" s="39" t="s">
        <v>25</v>
      </c>
      <c r="D14" s="39" t="s">
        <v>25</v>
      </c>
      <c r="E14" s="39" t="s">
        <v>97</v>
      </c>
      <c r="F14" s="39" t="s">
        <v>25</v>
      </c>
      <c r="G14" s="38" t="s">
        <v>98</v>
      </c>
      <c r="H14" s="38" t="s">
        <v>93</v>
      </c>
      <c r="I14" s="38">
        <f>'MERCADO TE'!$U$11</f>
        <v>12597.896999999997</v>
      </c>
      <c r="J14" s="15"/>
      <c r="L14" s="36">
        <f>'TE BE'!$L$14*'TE BE'!$L$57</f>
        <v>-1.2690503166594461E-3</v>
      </c>
      <c r="M14" s="36">
        <f>'TE BE'!$M$14*'TE BE'!$M$57</f>
        <v>-29.828329860010179</v>
      </c>
      <c r="N14" s="36">
        <f>'TE BE'!$N$14*'TE BE'!$N$57</f>
        <v>0</v>
      </c>
      <c r="O14" s="36">
        <f>'TE BE'!$O$14*'TE BE'!$O$57</f>
        <v>-0.18622145907607765</v>
      </c>
      <c r="P14" s="36">
        <f>SUM($L$14:$O$14)</f>
        <v>-30.015820369402913</v>
      </c>
      <c r="Q14" s="36">
        <f>'TE BE'!$Q$14*'TE BE'!$Q$57</f>
        <v>-16.363075997213549</v>
      </c>
      <c r="R14" s="36">
        <f>SUM($Q$14:$Q$14)</f>
        <v>-16.363075997213549</v>
      </c>
      <c r="S14" s="36">
        <f>'TE BE'!$S$14*'TE BE'!$S$57</f>
        <v>0</v>
      </c>
      <c r="T14" s="36">
        <f>'TE BE'!$T$14*'TE BE'!$T$57</f>
        <v>0</v>
      </c>
      <c r="U14" s="36">
        <f>'TE BE'!$U$14*'TE BE'!$U$57</f>
        <v>0</v>
      </c>
      <c r="V14" s="36">
        <f>SUM($S$14:$U$14)</f>
        <v>0</v>
      </c>
      <c r="W14" s="36">
        <v>0</v>
      </c>
      <c r="X14" s="36">
        <f>SUM($W$14:$W$14)</f>
        <v>0</v>
      </c>
      <c r="Y14" s="36">
        <f>'TE BE'!$Y$14*'TE BE'!$Y$57</f>
        <v>-0.42334069254786799</v>
      </c>
      <c r="Z14" s="36">
        <f>SUM($Y$14:$Y$14)</f>
        <v>-0.42334069254786799</v>
      </c>
      <c r="AA14" s="36">
        <f>SUMIF($L$4:$Z$4,"SUBTOTAL",$L$14:$Z$14)</f>
        <v>-46.802237059164327</v>
      </c>
    </row>
    <row r="15" spans="1:27" ht="11.25" customHeight="1" x14ac:dyDescent="0.25">
      <c r="A15" s="112"/>
      <c r="B15" s="39" t="s">
        <v>96</v>
      </c>
      <c r="C15" s="39" t="s">
        <v>25</v>
      </c>
      <c r="D15" s="39" t="s">
        <v>25</v>
      </c>
      <c r="E15" s="39" t="s">
        <v>25</v>
      </c>
      <c r="F15" s="39" t="s">
        <v>25</v>
      </c>
      <c r="G15" s="38" t="s">
        <v>98</v>
      </c>
      <c r="H15" s="38" t="s">
        <v>93</v>
      </c>
      <c r="I15" s="38">
        <f>'MERCADO TE'!$U$12</f>
        <v>0</v>
      </c>
      <c r="J15" s="15"/>
      <c r="L15" s="36">
        <f>'TE BE'!$L$15*'TE BE'!$L$57</f>
        <v>-1.2690503166594461E-3</v>
      </c>
      <c r="M15" s="36">
        <f>'TE BE'!$M$15*'TE BE'!$M$57</f>
        <v>0</v>
      </c>
      <c r="N15" s="36">
        <f>'TE BE'!$N$15*'TE BE'!$N$57</f>
        <v>0</v>
      </c>
      <c r="O15" s="36">
        <f>'TE BE'!$O$15*'TE BE'!$O$57</f>
        <v>-0.18622145907607765</v>
      </c>
      <c r="P15" s="36">
        <f>SUM($L$15:$O$15)</f>
        <v>-0.18749050939273709</v>
      </c>
      <c r="Q15" s="36">
        <f>'TE BE'!$Q$15*'TE BE'!$Q$57</f>
        <v>-16.363075997213549</v>
      </c>
      <c r="R15" s="36">
        <f>SUM($Q$15:$Q$15)</f>
        <v>-16.363075997213549</v>
      </c>
      <c r="S15" s="36">
        <f>'TE BE'!$S$15*'TE BE'!$S$57</f>
        <v>0</v>
      </c>
      <c r="T15" s="36">
        <f>'TE BE'!$T$15*'TE BE'!$T$57</f>
        <v>0</v>
      </c>
      <c r="U15" s="36">
        <f>'TE BE'!$U$15*'TE BE'!$U$57</f>
        <v>0</v>
      </c>
      <c r="V15" s="36">
        <f>SUM($S$15:$U$15)</f>
        <v>0</v>
      </c>
      <c r="W15" s="36">
        <v>0</v>
      </c>
      <c r="X15" s="36">
        <f>SUM($W$15:$W$15)</f>
        <v>0</v>
      </c>
      <c r="Y15" s="36">
        <f>'TE BE'!$Y$15*'TE BE'!$Y$57</f>
        <v>0</v>
      </c>
      <c r="Z15" s="36">
        <f>SUM($Y$15:$Y$15)</f>
        <v>0</v>
      </c>
      <c r="AA15" s="36">
        <f>SUMIF($L$4:$Z$4,"SUBTOTAL",$L$15:$Z$15)</f>
        <v>-16.550566506606287</v>
      </c>
    </row>
    <row r="16" spans="1:27" ht="11.25" customHeight="1" x14ac:dyDescent="0.25">
      <c r="A16" s="112" t="s">
        <v>22</v>
      </c>
      <c r="B16" s="112" t="s">
        <v>92</v>
      </c>
      <c r="C16" s="112" t="s">
        <v>24</v>
      </c>
      <c r="D16" s="112" t="s">
        <v>24</v>
      </c>
      <c r="E16" s="112" t="s">
        <v>25</v>
      </c>
      <c r="F16" s="112" t="s">
        <v>25</v>
      </c>
      <c r="G16" s="38" t="s">
        <v>94</v>
      </c>
      <c r="H16" s="38" t="s">
        <v>93</v>
      </c>
      <c r="I16" s="38">
        <f>'MERCADO TE'!$U$13</f>
        <v>118.41800000000002</v>
      </c>
      <c r="J16" s="15"/>
      <c r="L16" s="36">
        <f>'TE BE'!$L$16*'TE BE'!$L$57</f>
        <v>-1.2690503166594461E-3</v>
      </c>
      <c r="M16" s="36">
        <f>'TE BE'!$M$16*'TE BE'!$M$57</f>
        <v>-29.828329860010179</v>
      </c>
      <c r="N16" s="36">
        <f>'TE BE'!$N$16*'TE BE'!$N$57</f>
        <v>0</v>
      </c>
      <c r="O16" s="36">
        <f>'TE BE'!$O$16*'TE BE'!$O$57</f>
        <v>-0.18622145907607765</v>
      </c>
      <c r="P16" s="36">
        <f>SUM($L$16:$O$16)</f>
        <v>-30.015820369402913</v>
      </c>
      <c r="Q16" s="36">
        <f>'TE BE'!$Q$16*'TE BE'!$Q$57</f>
        <v>-27.127560482047663</v>
      </c>
      <c r="R16" s="36">
        <f>SUM($Q$16:$Q$16)</f>
        <v>-27.127560482047663</v>
      </c>
      <c r="S16" s="36">
        <f>'TE BE'!$S$16*'TE BE'!$S$57</f>
        <v>0</v>
      </c>
      <c r="T16" s="36">
        <f>'TE BE'!$T$16*'TE BE'!$T$57</f>
        <v>0</v>
      </c>
      <c r="U16" s="36">
        <f>'TE BE'!$U$16*'TE BE'!$U$57</f>
        <v>0</v>
      </c>
      <c r="V16" s="36">
        <f>SUM($S$16:$U$16)</f>
        <v>0</v>
      </c>
      <c r="W16" s="36">
        <f>'TE BE'!$AA$16*'TE BE'!$W$57</f>
        <v>-36.720930315477496</v>
      </c>
      <c r="X16" s="36">
        <f>SUM($W$16:$W$16)</f>
        <v>-36.720930315477496</v>
      </c>
      <c r="Y16" s="36">
        <f>'TE BE'!$Y$16*'TE BE'!$Y$57</f>
        <v>-0.42334069254786799</v>
      </c>
      <c r="Z16" s="36">
        <f>SUM($Y$16:$Y$16)</f>
        <v>-0.42334069254786799</v>
      </c>
      <c r="AA16" s="36">
        <f>SUMIF($L$4:$Z$4,"SUBTOTAL",$L$16:$Z$16)</f>
        <v>-94.287651859475943</v>
      </c>
    </row>
    <row r="17" spans="1:27" ht="11.25" customHeight="1" x14ac:dyDescent="0.25">
      <c r="A17" s="112"/>
      <c r="B17" s="112"/>
      <c r="C17" s="112"/>
      <c r="D17" s="112"/>
      <c r="E17" s="112"/>
      <c r="F17" s="112"/>
      <c r="G17" s="38" t="s">
        <v>107</v>
      </c>
      <c r="H17" s="38" t="s">
        <v>93</v>
      </c>
      <c r="I17" s="38">
        <f>'MERCADO TE'!$U$14</f>
        <v>76.346000000000004</v>
      </c>
      <c r="J17" s="15"/>
      <c r="L17" s="36">
        <f>'TE BE'!$L$17*'TE BE'!$L$57</f>
        <v>-1.2690503166594461E-3</v>
      </c>
      <c r="M17" s="36">
        <f>'TE BE'!$M$17*'TE BE'!$M$57</f>
        <v>-29.828329860010179</v>
      </c>
      <c r="N17" s="36">
        <f>'TE BE'!$N$17*'TE BE'!$N$57</f>
        <v>0</v>
      </c>
      <c r="O17" s="36">
        <f>'TE BE'!$O$17*'TE BE'!$O$57</f>
        <v>-0.18622145907607765</v>
      </c>
      <c r="P17" s="36">
        <f>SUM($L$17:$O$17)</f>
        <v>-30.015820369402913</v>
      </c>
      <c r="Q17" s="36">
        <f>'TE BE'!$Q$17*'TE BE'!$Q$57</f>
        <v>-15.771837489562595</v>
      </c>
      <c r="R17" s="36">
        <f>SUM($Q$17:$Q$17)</f>
        <v>-15.771837489562595</v>
      </c>
      <c r="S17" s="36">
        <f>'TE BE'!$S$17*'TE BE'!$S$57</f>
        <v>0</v>
      </c>
      <c r="T17" s="36">
        <f>'TE BE'!$T$17*'TE BE'!$T$57</f>
        <v>0</v>
      </c>
      <c r="U17" s="36">
        <f>'TE BE'!$U$17*'TE BE'!$U$57</f>
        <v>0</v>
      </c>
      <c r="V17" s="36">
        <f>SUM($S$17:$U$17)</f>
        <v>0</v>
      </c>
      <c r="W17" s="36">
        <f>'TE BE'!$AA$17*'TE BE'!$W$57</f>
        <v>-22.484863428340269</v>
      </c>
      <c r="X17" s="36">
        <f>SUM($W$17:$W$17)</f>
        <v>-22.484863428340269</v>
      </c>
      <c r="Y17" s="36">
        <f>'TE BE'!$Y$17*'TE BE'!$Y$57</f>
        <v>-0.42334069254786799</v>
      </c>
      <c r="Z17" s="36">
        <f>SUM($Y$17:$Y$17)</f>
        <v>-0.42334069254786799</v>
      </c>
      <c r="AA17" s="36">
        <f>SUMIF($L$4:$Z$4,"SUBTOTAL",$L$17:$Z$17)</f>
        <v>-68.695861979853646</v>
      </c>
    </row>
    <row r="18" spans="1:27" ht="11.25" customHeight="1" x14ac:dyDescent="0.25">
      <c r="A18" s="112"/>
      <c r="B18" s="112"/>
      <c r="C18" s="112"/>
      <c r="D18" s="112"/>
      <c r="E18" s="112"/>
      <c r="F18" s="112"/>
      <c r="G18" s="38" t="s">
        <v>95</v>
      </c>
      <c r="H18" s="38" t="s">
        <v>93</v>
      </c>
      <c r="I18" s="38">
        <f>'MERCADO TE'!$U$15</f>
        <v>1353.7170000000001</v>
      </c>
      <c r="J18" s="15"/>
      <c r="L18" s="36">
        <f>'TE BE'!$L$18*'TE BE'!$L$57</f>
        <v>-1.2690503166594461E-3</v>
      </c>
      <c r="M18" s="36">
        <f>'TE BE'!$M$18*'TE BE'!$M$57</f>
        <v>-29.828329860010179</v>
      </c>
      <c r="N18" s="36">
        <f>'TE BE'!$N$18*'TE BE'!$N$57</f>
        <v>0</v>
      </c>
      <c r="O18" s="36">
        <f>'TE BE'!$O$18*'TE BE'!$O$57</f>
        <v>-0.18622145907607765</v>
      </c>
      <c r="P18" s="36">
        <f>SUM($L$18:$O$18)</f>
        <v>-30.015820369402913</v>
      </c>
      <c r="Q18" s="36">
        <f>'TE BE'!$Q$18*'TE BE'!$Q$57</f>
        <v>-15.771837489562595</v>
      </c>
      <c r="R18" s="36">
        <f>SUM($Q$18:$Q$18)</f>
        <v>-15.771837489562595</v>
      </c>
      <c r="S18" s="36">
        <f>'TE BE'!$S$18*'TE BE'!$S$57</f>
        <v>0</v>
      </c>
      <c r="T18" s="36">
        <f>'TE BE'!$T$18*'TE BE'!$T$57</f>
        <v>0</v>
      </c>
      <c r="U18" s="36">
        <f>'TE BE'!$U$18*'TE BE'!$U$57</f>
        <v>0</v>
      </c>
      <c r="V18" s="36">
        <f>SUM($S$18:$U$18)</f>
        <v>0</v>
      </c>
      <c r="W18" s="36">
        <f>'TE BE'!$AA$18*'TE BE'!$W$57</f>
        <v>-22.484863428340269</v>
      </c>
      <c r="X18" s="36">
        <f>SUM($W$18:$W$18)</f>
        <v>-22.484863428340269</v>
      </c>
      <c r="Y18" s="36">
        <f>'TE BE'!$Y$18*'TE BE'!$Y$57</f>
        <v>-0.42334069254786799</v>
      </c>
      <c r="Z18" s="36">
        <f>SUM($Y$18:$Y$18)</f>
        <v>-0.42334069254786799</v>
      </c>
      <c r="AA18" s="36">
        <f>SUMIF($L$4:$Z$4,"SUBTOTAL",$L$18:$Z$18)</f>
        <v>-68.695861979853646</v>
      </c>
    </row>
    <row r="19" spans="1:27" ht="11.25" customHeight="1" x14ac:dyDescent="0.25">
      <c r="A19" s="112"/>
      <c r="B19" s="112" t="s">
        <v>103</v>
      </c>
      <c r="C19" s="112" t="s">
        <v>24</v>
      </c>
      <c r="D19" s="39" t="s">
        <v>24</v>
      </c>
      <c r="E19" s="39" t="s">
        <v>25</v>
      </c>
      <c r="F19" s="39" t="s">
        <v>25</v>
      </c>
      <c r="G19" s="38" t="s">
        <v>98</v>
      </c>
      <c r="H19" s="38" t="s">
        <v>93</v>
      </c>
      <c r="I19" s="38">
        <f>'MERCADO TE'!$U$16</f>
        <v>902304.86599999992</v>
      </c>
      <c r="J19" s="15"/>
      <c r="L19" s="36">
        <f>'TE BE'!$L$19*'TE BE'!$L$57</f>
        <v>-1.2690503166594461E-3</v>
      </c>
      <c r="M19" s="36">
        <f>'TE BE'!$M$19*'TE BE'!$M$57</f>
        <v>-29.828329860010179</v>
      </c>
      <c r="N19" s="36">
        <f>'TE BE'!$N$19*'TE BE'!$N$57</f>
        <v>0</v>
      </c>
      <c r="O19" s="36">
        <f>'TE BE'!$O$19*'TE BE'!$O$57</f>
        <v>-0.18622145907607765</v>
      </c>
      <c r="P19" s="36">
        <f>SUM($L$19:$O$19)</f>
        <v>-30.015820369402913</v>
      </c>
      <c r="Q19" s="36">
        <f>'TE BE'!$Q$19*'TE BE'!$Q$57</f>
        <v>-16.718147738936352</v>
      </c>
      <c r="R19" s="36">
        <f>SUM($Q$19:$Q$19)</f>
        <v>-16.718147738936352</v>
      </c>
      <c r="S19" s="36">
        <f>'TE BE'!$S$19*'TE BE'!$S$57</f>
        <v>0</v>
      </c>
      <c r="T19" s="36">
        <f>'TE BE'!$T$19*'TE BE'!$T$57</f>
        <v>0</v>
      </c>
      <c r="U19" s="36">
        <f>'TE BE'!$U$19*'TE BE'!$U$57</f>
        <v>0</v>
      </c>
      <c r="V19" s="36">
        <f>SUM($S$19:$U$19)</f>
        <v>0</v>
      </c>
      <c r="W19" s="36">
        <f>'TE BE'!$AA$19*'TE BE'!$W$57</f>
        <v>-23.671202335601706</v>
      </c>
      <c r="X19" s="36">
        <f>SUM($W$19:$W$19)</f>
        <v>-23.671202335601706</v>
      </c>
      <c r="Y19" s="36">
        <f>'TE BE'!$Y$19*'TE BE'!$Y$57</f>
        <v>-0.42334069254786799</v>
      </c>
      <c r="Z19" s="36">
        <f>SUM($Y$19:$Y$19)</f>
        <v>-0.42334069254786799</v>
      </c>
      <c r="AA19" s="36">
        <f>SUMIF($L$4:$Z$4,"SUBTOTAL",$L$19:$Z$19)</f>
        <v>-70.828511136488842</v>
      </c>
    </row>
    <row r="20" spans="1:27" ht="11.25" customHeight="1" x14ac:dyDescent="0.25">
      <c r="A20" s="112"/>
      <c r="B20" s="112"/>
      <c r="C20" s="112"/>
      <c r="D20" s="39" t="s">
        <v>29</v>
      </c>
      <c r="E20" s="39" t="s">
        <v>25</v>
      </c>
      <c r="F20" s="39" t="s">
        <v>25</v>
      </c>
      <c r="G20" s="38" t="s">
        <v>98</v>
      </c>
      <c r="H20" s="38" t="s">
        <v>93</v>
      </c>
      <c r="I20" s="38">
        <f>'MERCADO TE'!$U$17</f>
        <v>83676.410999999993</v>
      </c>
      <c r="J20" s="15"/>
      <c r="L20" s="36">
        <f>'TE BE'!$L$20*'TE BE'!$L$57</f>
        <v>-1.2690503166594461E-3</v>
      </c>
      <c r="M20" s="36">
        <f>'TE BE'!$M$20*'TE BE'!$M$57</f>
        <v>-29.828329860010179</v>
      </c>
      <c r="N20" s="36">
        <f>'TE BE'!$N$20*'TE BE'!$N$57</f>
        <v>0</v>
      </c>
      <c r="O20" s="36">
        <f>'TE BE'!$O$20*'TE BE'!$O$57</f>
        <v>-0.18622145907607765</v>
      </c>
      <c r="P20" s="36">
        <f>SUM($L$20:$O$20)</f>
        <v>-30.015820369402913</v>
      </c>
      <c r="Q20" s="36">
        <f>'TE BE'!$Q$20*'TE BE'!$Q$57</f>
        <v>-16.718147738936352</v>
      </c>
      <c r="R20" s="36">
        <f>SUM($Q$20:$Q$20)</f>
        <v>-16.718147738936352</v>
      </c>
      <c r="S20" s="36">
        <f>'TE BE'!$S$20*'TE BE'!$S$57</f>
        <v>0</v>
      </c>
      <c r="T20" s="36">
        <f>'TE BE'!$T$20*'TE BE'!$T$57</f>
        <v>0</v>
      </c>
      <c r="U20" s="36">
        <f>'TE BE'!$U$20*'TE BE'!$U$57</f>
        <v>0</v>
      </c>
      <c r="V20" s="36">
        <f>SUM($S$20:$U$20)</f>
        <v>0</v>
      </c>
      <c r="W20" s="36">
        <f>'TE BE'!$AA$20*'TE BE'!$W$57</f>
        <v>-23.671202335601706</v>
      </c>
      <c r="X20" s="36">
        <f>SUM($W$20:$W$20)</f>
        <v>-23.671202335601706</v>
      </c>
      <c r="Y20" s="36">
        <f>'TE BE'!$Y$20*'TE BE'!$Y$57</f>
        <v>-0.42334069254786799</v>
      </c>
      <c r="Z20" s="36">
        <f>SUM($Y$20:$Y$20)</f>
        <v>-0.42334069254786799</v>
      </c>
      <c r="AA20" s="36">
        <f>SUMIF($L$4:$Z$4,"SUBTOTAL",$L$20:$Z$20)</f>
        <v>-70.828511136488842</v>
      </c>
    </row>
    <row r="21" spans="1:27" ht="11.25" customHeight="1" x14ac:dyDescent="0.25">
      <c r="A21" s="112"/>
      <c r="B21" s="112"/>
      <c r="C21" s="112"/>
      <c r="D21" s="39" t="s">
        <v>30</v>
      </c>
      <c r="E21" s="39" t="s">
        <v>25</v>
      </c>
      <c r="F21" s="39" t="s">
        <v>25</v>
      </c>
      <c r="G21" s="38" t="s">
        <v>98</v>
      </c>
      <c r="H21" s="38" t="s">
        <v>93</v>
      </c>
      <c r="I21" s="38">
        <f>'MERCADO TE'!$U$18</f>
        <v>134463.81899999996</v>
      </c>
      <c r="J21" s="15"/>
      <c r="L21" s="36">
        <f>'TE BE'!$L$21*'TE BE'!$L$57</f>
        <v>-1.2690503166594461E-3</v>
      </c>
      <c r="M21" s="36">
        <f>'TE BE'!$M$21*'TE BE'!$M$57</f>
        <v>-29.828329860010179</v>
      </c>
      <c r="N21" s="36">
        <f>'TE BE'!$N$21*'TE BE'!$N$57</f>
        <v>0</v>
      </c>
      <c r="O21" s="36">
        <f>'TE BE'!$O$21*'TE BE'!$O$57</f>
        <v>-0.18622145907607765</v>
      </c>
      <c r="P21" s="36">
        <f>SUM($L$21:$O$21)</f>
        <v>-30.015820369402913</v>
      </c>
      <c r="Q21" s="36">
        <f>'TE BE'!$Q$21*'TE BE'!$Q$57</f>
        <v>-16.718147738936352</v>
      </c>
      <c r="R21" s="36">
        <f>SUM($Q$21:$Q$21)</f>
        <v>-16.718147738936352</v>
      </c>
      <c r="S21" s="36">
        <f>'TE BE'!$S$21*'TE BE'!$S$57</f>
        <v>0</v>
      </c>
      <c r="T21" s="36">
        <f>'TE BE'!$T$21*'TE BE'!$T$57</f>
        <v>0</v>
      </c>
      <c r="U21" s="36">
        <f>'TE BE'!$U$21*'TE BE'!$U$57</f>
        <v>0</v>
      </c>
      <c r="V21" s="36">
        <f>SUM($S$21:$U$21)</f>
        <v>0</v>
      </c>
      <c r="W21" s="36">
        <f>'TE BE'!$AA$21*'TE BE'!$W$57</f>
        <v>-23.671202335601706</v>
      </c>
      <c r="X21" s="36">
        <f>SUM($W$21:$W$21)</f>
        <v>-23.671202335601706</v>
      </c>
      <c r="Y21" s="36">
        <f>'TE BE'!$Y$21*'TE BE'!$Y$57</f>
        <v>-0.42334069254786799</v>
      </c>
      <c r="Z21" s="36">
        <f>SUM($Y$21:$Y$21)</f>
        <v>-0.42334069254786799</v>
      </c>
      <c r="AA21" s="36">
        <f>SUMIF($L$4:$Z$4,"SUBTOTAL",$L$21:$Z$21)</f>
        <v>-70.828511136488842</v>
      </c>
    </row>
    <row r="22" spans="1:27" ht="11.25" customHeight="1" x14ac:dyDescent="0.25">
      <c r="A22" s="112"/>
      <c r="B22" s="112"/>
      <c r="C22" s="112"/>
      <c r="D22" s="39" t="s">
        <v>31</v>
      </c>
      <c r="E22" s="39" t="s">
        <v>25</v>
      </c>
      <c r="F22" s="39" t="s">
        <v>25</v>
      </c>
      <c r="G22" s="38" t="s">
        <v>98</v>
      </c>
      <c r="H22" s="38" t="s">
        <v>93</v>
      </c>
      <c r="I22" s="38">
        <f>'MERCADO TE'!$U$19</f>
        <v>58132.979000000007</v>
      </c>
      <c r="J22" s="15"/>
      <c r="L22" s="36">
        <f>'TE BE'!$L$22*'TE BE'!$L$57</f>
        <v>-1.2690503166594461E-3</v>
      </c>
      <c r="M22" s="36">
        <f>'TE BE'!$M$22*'TE BE'!$M$57</f>
        <v>-29.828329860010179</v>
      </c>
      <c r="N22" s="36">
        <f>'TE BE'!$N$22*'TE BE'!$N$57</f>
        <v>0</v>
      </c>
      <c r="O22" s="36">
        <f>'TE BE'!$O$22*'TE BE'!$O$57</f>
        <v>-0.18622145907607765</v>
      </c>
      <c r="P22" s="36">
        <f>SUM($L$22:$O$22)</f>
        <v>-30.015820369402913</v>
      </c>
      <c r="Q22" s="36">
        <f>'TE BE'!$Q$22*'TE BE'!$Q$57</f>
        <v>-16.718147738936352</v>
      </c>
      <c r="R22" s="36">
        <f>SUM($Q$22:$Q$22)</f>
        <v>-16.718147738936352</v>
      </c>
      <c r="S22" s="36">
        <f>'TE BE'!$S$22*'TE BE'!$S$57</f>
        <v>0</v>
      </c>
      <c r="T22" s="36">
        <f>'TE BE'!$T$22*'TE BE'!$T$57</f>
        <v>0</v>
      </c>
      <c r="U22" s="36">
        <f>'TE BE'!$U$22*'TE BE'!$U$57</f>
        <v>0</v>
      </c>
      <c r="V22" s="36">
        <f>SUM($S$22:$U$22)</f>
        <v>0</v>
      </c>
      <c r="W22" s="36">
        <f>'TE BE'!$AA$22*'TE BE'!$W$57</f>
        <v>-23.671202335601706</v>
      </c>
      <c r="X22" s="36">
        <f>SUM($W$22:$W$22)</f>
        <v>-23.671202335601706</v>
      </c>
      <c r="Y22" s="36">
        <f>'TE BE'!$Y$22*'TE BE'!$Y$57</f>
        <v>-0.42334069254786799</v>
      </c>
      <c r="Z22" s="36">
        <f>SUM($Y$22:$Y$22)</f>
        <v>-0.42334069254786799</v>
      </c>
      <c r="AA22" s="36">
        <f>SUMIF($L$4:$Z$4,"SUBTOTAL",$L$22:$Z$22)</f>
        <v>-70.828511136488842</v>
      </c>
    </row>
    <row r="23" spans="1:27" ht="11.25" customHeight="1" x14ac:dyDescent="0.25">
      <c r="A23" s="112"/>
      <c r="B23" s="112"/>
      <c r="C23" s="112"/>
      <c r="D23" s="39" t="s">
        <v>32</v>
      </c>
      <c r="E23" s="39" t="s">
        <v>25</v>
      </c>
      <c r="F23" s="39" t="s">
        <v>25</v>
      </c>
      <c r="G23" s="38" t="s">
        <v>98</v>
      </c>
      <c r="H23" s="38" t="s">
        <v>93</v>
      </c>
      <c r="I23" s="38">
        <f>'MERCADO TE'!$U$20</f>
        <v>16063.907000000001</v>
      </c>
      <c r="J23" s="15"/>
      <c r="L23" s="36">
        <f>'TE BE'!$L$23*'TE BE'!$L$57</f>
        <v>-1.2690503166594461E-3</v>
      </c>
      <c r="M23" s="36">
        <f>'TE BE'!$M$23*'TE BE'!$M$57</f>
        <v>-29.828329860010179</v>
      </c>
      <c r="N23" s="36">
        <f>'TE BE'!$N$23*'TE BE'!$N$57</f>
        <v>0</v>
      </c>
      <c r="O23" s="36">
        <f>'TE BE'!$O$23*'TE BE'!$O$57</f>
        <v>-0.18622145907607765</v>
      </c>
      <c r="P23" s="36">
        <f>SUM($L$23:$O$23)</f>
        <v>-30.015820369402913</v>
      </c>
      <c r="Q23" s="36">
        <f>'TE BE'!$Q$23*'TE BE'!$Q$57</f>
        <v>-16.718147738936352</v>
      </c>
      <c r="R23" s="36">
        <f>SUM($Q$23:$Q$23)</f>
        <v>-16.718147738936352</v>
      </c>
      <c r="S23" s="36">
        <f>'TE BE'!$S$23*'TE BE'!$S$57</f>
        <v>0</v>
      </c>
      <c r="T23" s="36">
        <f>'TE BE'!$T$23*'TE BE'!$T$57</f>
        <v>0</v>
      </c>
      <c r="U23" s="36">
        <f>'TE BE'!$U$23*'TE BE'!$U$57</f>
        <v>0</v>
      </c>
      <c r="V23" s="36">
        <f>SUM($S$23:$U$23)</f>
        <v>0</v>
      </c>
      <c r="W23" s="36">
        <f>'TE BE'!$AA$23*'TE BE'!$W$57</f>
        <v>-23.671202335601706</v>
      </c>
      <c r="X23" s="36">
        <f>SUM($W$23:$W$23)</f>
        <v>-23.671202335601706</v>
      </c>
      <c r="Y23" s="36">
        <f>'TE BE'!$Y$23*'TE BE'!$Y$57</f>
        <v>-0.42334069254786799</v>
      </c>
      <c r="Z23" s="36">
        <f>SUM($Y$23:$Y$23)</f>
        <v>-0.42334069254786799</v>
      </c>
      <c r="AA23" s="36">
        <f>SUMIF($L$4:$Z$4,"SUBTOTAL",$L$23:$Z$23)</f>
        <v>-70.828511136488842</v>
      </c>
    </row>
    <row r="24" spans="1:27" ht="11.25" customHeight="1" x14ac:dyDescent="0.25">
      <c r="A24" s="112"/>
      <c r="B24" s="112" t="s">
        <v>108</v>
      </c>
      <c r="C24" s="112" t="s">
        <v>24</v>
      </c>
      <c r="D24" s="39" t="s">
        <v>24</v>
      </c>
      <c r="E24" s="39" t="s">
        <v>25</v>
      </c>
      <c r="F24" s="39" t="s">
        <v>25</v>
      </c>
      <c r="G24" s="38" t="s">
        <v>98</v>
      </c>
      <c r="H24" s="38" t="s">
        <v>93</v>
      </c>
      <c r="I24" s="38">
        <f>'MERCADO TE'!$U$21</f>
        <v>0</v>
      </c>
      <c r="J24" s="15"/>
      <c r="L24" s="36">
        <f>'TE BE'!$L$24*'TE BE'!$L$57</f>
        <v>-1.2690503166594461E-3</v>
      </c>
      <c r="M24" s="36">
        <f>'TE BE'!$M$24*'TE BE'!$M$57</f>
        <v>-29.828329860010179</v>
      </c>
      <c r="N24" s="36">
        <f>'TE BE'!$N$24*'TE BE'!$N$57</f>
        <v>0</v>
      </c>
      <c r="O24" s="36">
        <f>'TE BE'!$O$24*'TE BE'!$O$57</f>
        <v>-0.18622145907607765</v>
      </c>
      <c r="P24" s="36">
        <f>SUM($L$24:$O$24)</f>
        <v>-30.015820369402913</v>
      </c>
      <c r="Q24" s="36">
        <f>'TE BE'!$Q$24*'TE BE'!$Q$57</f>
        <v>-16.718147738936352</v>
      </c>
      <c r="R24" s="36">
        <f>SUM($Q$24:$Q$24)</f>
        <v>-16.718147738936352</v>
      </c>
      <c r="S24" s="36">
        <f>'TE BE'!$S$24*'TE BE'!$S$57</f>
        <v>0</v>
      </c>
      <c r="T24" s="36">
        <f>'TE BE'!$T$24*'TE BE'!$T$57</f>
        <v>0</v>
      </c>
      <c r="U24" s="36">
        <f>'TE BE'!$U$24*'TE BE'!$U$57</f>
        <v>0</v>
      </c>
      <c r="V24" s="36">
        <f>SUM($S$24:$U$24)</f>
        <v>0</v>
      </c>
      <c r="W24" s="36">
        <f>'TE BE'!$AA$24*'TE BE'!$W$57</f>
        <v>-23.671202335601706</v>
      </c>
      <c r="X24" s="36">
        <f>SUM($W$24:$W$24)</f>
        <v>-23.671202335601706</v>
      </c>
      <c r="Y24" s="36">
        <f>'TE BE'!$Y$24*'TE BE'!$Y$57</f>
        <v>-0.42334069254786799</v>
      </c>
      <c r="Z24" s="36">
        <f>SUM($Y$24:$Y$24)</f>
        <v>-0.42334069254786799</v>
      </c>
      <c r="AA24" s="36">
        <f>SUMIF($L$4:$Z$4,"SUBTOTAL",$L$24:$Z$24)</f>
        <v>-70.828511136488842</v>
      </c>
    </row>
    <row r="25" spans="1:27" ht="11.25" customHeight="1" x14ac:dyDescent="0.25">
      <c r="A25" s="112"/>
      <c r="B25" s="112"/>
      <c r="C25" s="112"/>
      <c r="D25" s="39" t="s">
        <v>29</v>
      </c>
      <c r="E25" s="39" t="s">
        <v>25</v>
      </c>
      <c r="F25" s="39" t="s">
        <v>25</v>
      </c>
      <c r="G25" s="38" t="s">
        <v>98</v>
      </c>
      <c r="H25" s="38" t="s">
        <v>93</v>
      </c>
      <c r="I25" s="38">
        <f>'MERCADO TE'!$U$22</f>
        <v>0</v>
      </c>
      <c r="J25" s="15"/>
      <c r="L25" s="36">
        <f>'TE BE'!$L$25*'TE BE'!$L$57</f>
        <v>-1.2690503166594461E-3</v>
      </c>
      <c r="M25" s="36">
        <f>'TE BE'!$M$25*'TE BE'!$M$57</f>
        <v>-29.828329860010179</v>
      </c>
      <c r="N25" s="36">
        <f>'TE BE'!$N$25*'TE BE'!$N$57</f>
        <v>0</v>
      </c>
      <c r="O25" s="36">
        <f>'TE BE'!$O$25*'TE BE'!$O$57</f>
        <v>-0.18622145907607765</v>
      </c>
      <c r="P25" s="36">
        <f>SUM($L$25:$O$25)</f>
        <v>-30.015820369402913</v>
      </c>
      <c r="Q25" s="36">
        <f>'TE BE'!$Q$25*'TE BE'!$Q$57</f>
        <v>-16.718147738936352</v>
      </c>
      <c r="R25" s="36">
        <f>SUM($Q$25:$Q$25)</f>
        <v>-16.718147738936352</v>
      </c>
      <c r="S25" s="36">
        <f>'TE BE'!$S$25*'TE BE'!$S$57</f>
        <v>0</v>
      </c>
      <c r="T25" s="36">
        <f>'TE BE'!$T$25*'TE BE'!$T$57</f>
        <v>0</v>
      </c>
      <c r="U25" s="36">
        <f>'TE BE'!$U$25*'TE BE'!$U$57</f>
        <v>0</v>
      </c>
      <c r="V25" s="36">
        <f>SUM($S$25:$U$25)</f>
        <v>0</v>
      </c>
      <c r="W25" s="36">
        <f>'TE BE'!$AA$25*'TE BE'!$W$57</f>
        <v>-23.671202335601706</v>
      </c>
      <c r="X25" s="36">
        <f>SUM($W$25:$W$25)</f>
        <v>-23.671202335601706</v>
      </c>
      <c r="Y25" s="36">
        <f>'TE BE'!$Y$25*'TE BE'!$Y$57</f>
        <v>-0.42334069254786799</v>
      </c>
      <c r="Z25" s="36">
        <f>SUM($Y$25:$Y$25)</f>
        <v>-0.42334069254786799</v>
      </c>
      <c r="AA25" s="36">
        <f>SUMIF($L$4:$Z$4,"SUBTOTAL",$L$25:$Z$25)</f>
        <v>-70.828511136488842</v>
      </c>
    </row>
    <row r="26" spans="1:27" ht="11.25" customHeight="1" x14ac:dyDescent="0.25">
      <c r="A26" s="112"/>
      <c r="B26" s="112"/>
      <c r="C26" s="112"/>
      <c r="D26" s="39" t="s">
        <v>30</v>
      </c>
      <c r="E26" s="39" t="s">
        <v>25</v>
      </c>
      <c r="F26" s="39" t="s">
        <v>25</v>
      </c>
      <c r="G26" s="38" t="s">
        <v>98</v>
      </c>
      <c r="H26" s="38" t="s">
        <v>93</v>
      </c>
      <c r="I26" s="38">
        <f>'MERCADO TE'!$U$23</f>
        <v>0</v>
      </c>
      <c r="J26" s="15"/>
      <c r="L26" s="36">
        <f>'TE BE'!$L$26*'TE BE'!$L$57</f>
        <v>-1.2690503166594461E-3</v>
      </c>
      <c r="M26" s="36">
        <f>'TE BE'!$M$26*'TE BE'!$M$57</f>
        <v>-29.828329860010179</v>
      </c>
      <c r="N26" s="36">
        <f>'TE BE'!$N$26*'TE BE'!$N$57</f>
        <v>0</v>
      </c>
      <c r="O26" s="36">
        <f>'TE BE'!$O$26*'TE BE'!$O$57</f>
        <v>-0.18622145907607765</v>
      </c>
      <c r="P26" s="36">
        <f>SUM($L$26:$O$26)</f>
        <v>-30.015820369402913</v>
      </c>
      <c r="Q26" s="36">
        <f>'TE BE'!$Q$26*'TE BE'!$Q$57</f>
        <v>-16.718147738936352</v>
      </c>
      <c r="R26" s="36">
        <f>SUM($Q$26:$Q$26)</f>
        <v>-16.718147738936352</v>
      </c>
      <c r="S26" s="36">
        <f>'TE BE'!$S$26*'TE BE'!$S$57</f>
        <v>0</v>
      </c>
      <c r="T26" s="36">
        <f>'TE BE'!$T$26*'TE BE'!$T$57</f>
        <v>0</v>
      </c>
      <c r="U26" s="36">
        <f>'TE BE'!$U$26*'TE BE'!$U$57</f>
        <v>0</v>
      </c>
      <c r="V26" s="36">
        <f>SUM($S$26:$U$26)</f>
        <v>0</v>
      </c>
      <c r="W26" s="36">
        <f>'TE BE'!$AA$26*'TE BE'!$W$57</f>
        <v>-23.671202335601706</v>
      </c>
      <c r="X26" s="36">
        <f>SUM($W$26:$W$26)</f>
        <v>-23.671202335601706</v>
      </c>
      <c r="Y26" s="36">
        <f>'TE BE'!$Y$26*'TE BE'!$Y$57</f>
        <v>-0.42334069254786799</v>
      </c>
      <c r="Z26" s="36">
        <f>SUM($Y$26:$Y$26)</f>
        <v>-0.42334069254786799</v>
      </c>
      <c r="AA26" s="36">
        <f>SUMIF($L$4:$Z$4,"SUBTOTAL",$L$26:$Z$26)</f>
        <v>-70.828511136488842</v>
      </c>
    </row>
    <row r="27" spans="1:27" ht="11.25" customHeight="1" x14ac:dyDescent="0.25">
      <c r="A27" s="112"/>
      <c r="B27" s="112"/>
      <c r="C27" s="112"/>
      <c r="D27" s="39" t="s">
        <v>31</v>
      </c>
      <c r="E27" s="39" t="s">
        <v>25</v>
      </c>
      <c r="F27" s="39" t="s">
        <v>25</v>
      </c>
      <c r="G27" s="38" t="s">
        <v>98</v>
      </c>
      <c r="H27" s="38" t="s">
        <v>93</v>
      </c>
      <c r="I27" s="38">
        <f>'MERCADO TE'!$U$24</f>
        <v>0</v>
      </c>
      <c r="J27" s="15"/>
      <c r="L27" s="36">
        <f>'TE BE'!$L$27*'TE BE'!$L$57</f>
        <v>-1.2690503166594461E-3</v>
      </c>
      <c r="M27" s="36">
        <f>'TE BE'!$M$27*'TE BE'!$M$57</f>
        <v>-29.828329860010179</v>
      </c>
      <c r="N27" s="36">
        <f>'TE BE'!$N$27*'TE BE'!$N$57</f>
        <v>0</v>
      </c>
      <c r="O27" s="36">
        <f>'TE BE'!$O$27*'TE BE'!$O$57</f>
        <v>-0.18622145907607765</v>
      </c>
      <c r="P27" s="36">
        <f>SUM($L$27:$O$27)</f>
        <v>-30.015820369402913</v>
      </c>
      <c r="Q27" s="36">
        <f>'TE BE'!$Q$27*'TE BE'!$Q$57</f>
        <v>-16.718147738936352</v>
      </c>
      <c r="R27" s="36">
        <f>SUM($Q$27:$Q$27)</f>
        <v>-16.718147738936352</v>
      </c>
      <c r="S27" s="36">
        <f>'TE BE'!$S$27*'TE BE'!$S$57</f>
        <v>0</v>
      </c>
      <c r="T27" s="36">
        <f>'TE BE'!$T$27*'TE BE'!$T$57</f>
        <v>0</v>
      </c>
      <c r="U27" s="36">
        <f>'TE BE'!$U$27*'TE BE'!$U$57</f>
        <v>0</v>
      </c>
      <c r="V27" s="36">
        <f>SUM($S$27:$U$27)</f>
        <v>0</v>
      </c>
      <c r="W27" s="36">
        <f>'TE BE'!$AA$27*'TE BE'!$W$57</f>
        <v>-23.671202335601706</v>
      </c>
      <c r="X27" s="36">
        <f>SUM($W$27:$W$27)</f>
        <v>-23.671202335601706</v>
      </c>
      <c r="Y27" s="36">
        <f>'TE BE'!$Y$27*'TE BE'!$Y$57</f>
        <v>-0.42334069254786799</v>
      </c>
      <c r="Z27" s="36">
        <f>SUM($Y$27:$Y$27)</f>
        <v>-0.42334069254786799</v>
      </c>
      <c r="AA27" s="36">
        <f>SUMIF($L$4:$Z$4,"SUBTOTAL",$L$27:$Z$27)</f>
        <v>-70.828511136488842</v>
      </c>
    </row>
    <row r="28" spans="1:27" ht="11.25" customHeight="1" x14ac:dyDescent="0.25">
      <c r="A28" s="112"/>
      <c r="B28" s="112"/>
      <c r="C28" s="112"/>
      <c r="D28" s="39" t="s">
        <v>32</v>
      </c>
      <c r="E28" s="39" t="s">
        <v>25</v>
      </c>
      <c r="F28" s="39" t="s">
        <v>25</v>
      </c>
      <c r="G28" s="38" t="s">
        <v>98</v>
      </c>
      <c r="H28" s="38" t="s">
        <v>93</v>
      </c>
      <c r="I28" s="38">
        <f>'MERCADO TE'!$U$25</f>
        <v>0</v>
      </c>
      <c r="J28" s="15"/>
      <c r="L28" s="36">
        <f>'TE BE'!$L$28*'TE BE'!$L$57</f>
        <v>-1.2690503166594461E-3</v>
      </c>
      <c r="M28" s="36">
        <f>'TE BE'!$M$28*'TE BE'!$M$57</f>
        <v>-29.828329860010179</v>
      </c>
      <c r="N28" s="36">
        <f>'TE BE'!$N$28*'TE BE'!$N$57</f>
        <v>0</v>
      </c>
      <c r="O28" s="36">
        <f>'TE BE'!$O$28*'TE BE'!$O$57</f>
        <v>-0.18622145907607765</v>
      </c>
      <c r="P28" s="36">
        <f>SUM($L$28:$O$28)</f>
        <v>-30.015820369402913</v>
      </c>
      <c r="Q28" s="36">
        <f>'TE BE'!$Q$28*'TE BE'!$Q$57</f>
        <v>-16.718147738936352</v>
      </c>
      <c r="R28" s="36">
        <f>SUM($Q$28:$Q$28)</f>
        <v>-16.718147738936352</v>
      </c>
      <c r="S28" s="36">
        <f>'TE BE'!$S$28*'TE BE'!$S$57</f>
        <v>0</v>
      </c>
      <c r="T28" s="36">
        <f>'TE BE'!$T$28*'TE BE'!$T$57</f>
        <v>0</v>
      </c>
      <c r="U28" s="36">
        <f>'TE BE'!$U$28*'TE BE'!$U$57</f>
        <v>0</v>
      </c>
      <c r="V28" s="36">
        <f>SUM($S$28:$U$28)</f>
        <v>0</v>
      </c>
      <c r="W28" s="36">
        <f>'TE BE'!$AA$28*'TE BE'!$W$57</f>
        <v>-23.671202335601706</v>
      </c>
      <c r="X28" s="36">
        <f>SUM($W$28:$W$28)</f>
        <v>-23.671202335601706</v>
      </c>
      <c r="Y28" s="36">
        <f>'TE BE'!$Y$28*'TE BE'!$Y$57</f>
        <v>-0.42334069254786799</v>
      </c>
      <c r="Z28" s="36">
        <f>SUM($Y$28:$Y$28)</f>
        <v>-0.42334069254786799</v>
      </c>
      <c r="AA28" s="36">
        <f>SUMIF($L$4:$Z$4,"SUBTOTAL",$L$28:$Z$28)</f>
        <v>-70.828511136488842</v>
      </c>
    </row>
    <row r="29" spans="1:27" ht="11.25" customHeight="1" x14ac:dyDescent="0.25">
      <c r="A29" s="112" t="s">
        <v>44</v>
      </c>
      <c r="B29" s="112" t="s">
        <v>92</v>
      </c>
      <c r="C29" s="112" t="s">
        <v>45</v>
      </c>
      <c r="D29" s="112" t="s">
        <v>25</v>
      </c>
      <c r="E29" s="112" t="s">
        <v>25</v>
      </c>
      <c r="F29" s="112" t="s">
        <v>25</v>
      </c>
      <c r="G29" s="38" t="s">
        <v>94</v>
      </c>
      <c r="H29" s="38" t="s">
        <v>93</v>
      </c>
      <c r="I29" s="38">
        <f>'MERCADO TE'!$U$26</f>
        <v>0.61099999999999999</v>
      </c>
      <c r="J29" s="15"/>
      <c r="L29" s="36">
        <f>'TE BE'!$L$29*'TE BE'!$L$57</f>
        <v>-1.2690503166594461E-3</v>
      </c>
      <c r="M29" s="36">
        <f>'TE BE'!$M$29*'TE BE'!$M$57</f>
        <v>-29.828329860010179</v>
      </c>
      <c r="N29" s="36">
        <f>'TE BE'!$N$29*'TE BE'!$N$57</f>
        <v>0</v>
      </c>
      <c r="O29" s="36">
        <f>'TE BE'!$O$29*'TE BE'!$O$57</f>
        <v>-0.18622145907607765</v>
      </c>
      <c r="P29" s="36">
        <f>SUM($L$29:$O$29)</f>
        <v>-30.015820369402913</v>
      </c>
      <c r="Q29" s="36">
        <f>'TE BE'!$Q$29*'TE BE'!$Q$57</f>
        <v>-27.127560482047663</v>
      </c>
      <c r="R29" s="36">
        <f>SUM($Q$29:$Q$29)</f>
        <v>-27.127560482047663</v>
      </c>
      <c r="S29" s="36">
        <f>'TE BE'!$S$29*'TE BE'!$S$57</f>
        <v>0</v>
      </c>
      <c r="T29" s="36">
        <f>'TE BE'!$T$29*'TE BE'!$T$57</f>
        <v>0</v>
      </c>
      <c r="U29" s="36">
        <f>'TE BE'!$U$29*'TE BE'!$U$57</f>
        <v>0</v>
      </c>
      <c r="V29" s="36">
        <f>SUM($S$29:$U$29)</f>
        <v>0</v>
      </c>
      <c r="W29" s="36">
        <f>'TE BE'!$AA$29*'TE BE'!$W$57</f>
        <v>-36.720930315477496</v>
      </c>
      <c r="X29" s="36">
        <f>SUM($W$29:$W$29)</f>
        <v>-36.720930315477496</v>
      </c>
      <c r="Y29" s="36">
        <f>'TE BE'!$Y$29*'TE BE'!$Y$57</f>
        <v>-0.42334069254786799</v>
      </c>
      <c r="Z29" s="36">
        <f>SUM($Y$29:$Y$29)</f>
        <v>-0.42334069254786799</v>
      </c>
      <c r="AA29" s="36">
        <f>SUMIF($L$4:$Z$4,"SUBTOTAL",$L$29:$Z$29)</f>
        <v>-94.287651859475943</v>
      </c>
    </row>
    <row r="30" spans="1:27" ht="11.25" customHeight="1" x14ac:dyDescent="0.25">
      <c r="A30" s="112"/>
      <c r="B30" s="112"/>
      <c r="C30" s="112"/>
      <c r="D30" s="112"/>
      <c r="E30" s="112"/>
      <c r="F30" s="112"/>
      <c r="G30" s="38" t="s">
        <v>107</v>
      </c>
      <c r="H30" s="38" t="s">
        <v>93</v>
      </c>
      <c r="I30" s="38">
        <f>'MERCADO TE'!$U$27</f>
        <v>0.81099999999999994</v>
      </c>
      <c r="J30" s="15"/>
      <c r="L30" s="36">
        <f>'TE BE'!$L$30*'TE BE'!$L$57</f>
        <v>-1.2690503166594461E-3</v>
      </c>
      <c r="M30" s="36">
        <f>'TE BE'!$M$30*'TE BE'!$M$57</f>
        <v>-29.828329860010179</v>
      </c>
      <c r="N30" s="36">
        <f>'TE BE'!$N$30*'TE BE'!$N$57</f>
        <v>0</v>
      </c>
      <c r="O30" s="36">
        <f>'TE BE'!$O$30*'TE BE'!$O$57</f>
        <v>-0.18622145907607765</v>
      </c>
      <c r="P30" s="36">
        <f>SUM($L$30:$O$30)</f>
        <v>-30.015820369402913</v>
      </c>
      <c r="Q30" s="36">
        <f>'TE BE'!$Q$30*'TE BE'!$Q$57</f>
        <v>-15.771837489562595</v>
      </c>
      <c r="R30" s="36">
        <f>SUM($Q$30:$Q$30)</f>
        <v>-15.771837489562595</v>
      </c>
      <c r="S30" s="36">
        <f>'TE BE'!$S$30*'TE BE'!$S$57</f>
        <v>0</v>
      </c>
      <c r="T30" s="36">
        <f>'TE BE'!$T$30*'TE BE'!$T$57</f>
        <v>0</v>
      </c>
      <c r="U30" s="36">
        <f>'TE BE'!$U$30*'TE BE'!$U$57</f>
        <v>0</v>
      </c>
      <c r="V30" s="36">
        <f>SUM($S$30:$U$30)</f>
        <v>0</v>
      </c>
      <c r="W30" s="36">
        <f>'TE BE'!$AA$30*'TE BE'!$W$57</f>
        <v>-22.484863428340269</v>
      </c>
      <c r="X30" s="36">
        <f>SUM($W$30:$W$30)</f>
        <v>-22.484863428340269</v>
      </c>
      <c r="Y30" s="36">
        <f>'TE BE'!$Y$30*'TE BE'!$Y$57</f>
        <v>-0.42334069254786799</v>
      </c>
      <c r="Z30" s="36">
        <f>SUM($Y$30:$Y$30)</f>
        <v>-0.42334069254786799</v>
      </c>
      <c r="AA30" s="36">
        <f>SUMIF($L$4:$Z$4,"SUBTOTAL",$L$30:$Z$30)</f>
        <v>-68.695861979853646</v>
      </c>
    </row>
    <row r="31" spans="1:27" ht="11.25" customHeight="1" x14ac:dyDescent="0.25">
      <c r="A31" s="112"/>
      <c r="B31" s="112"/>
      <c r="C31" s="112"/>
      <c r="D31" s="112"/>
      <c r="E31" s="112"/>
      <c r="F31" s="112"/>
      <c r="G31" s="38" t="s">
        <v>95</v>
      </c>
      <c r="H31" s="38" t="s">
        <v>93</v>
      </c>
      <c r="I31" s="38">
        <f>'MERCADO TE'!$U$28</f>
        <v>184.815</v>
      </c>
      <c r="J31" s="15"/>
      <c r="L31" s="36">
        <f>'TE BE'!$L$31*'TE BE'!$L$57</f>
        <v>-1.2690503166594461E-3</v>
      </c>
      <c r="M31" s="36">
        <f>'TE BE'!$M$31*'TE BE'!$M$57</f>
        <v>-29.828329860010179</v>
      </c>
      <c r="N31" s="36">
        <f>'TE BE'!$N$31*'TE BE'!$N$57</f>
        <v>0</v>
      </c>
      <c r="O31" s="36">
        <f>'TE BE'!$O$31*'TE BE'!$O$57</f>
        <v>-0.18622145907607765</v>
      </c>
      <c r="P31" s="36">
        <f>SUM($L$31:$O$31)</f>
        <v>-30.015820369402913</v>
      </c>
      <c r="Q31" s="36">
        <f>'TE BE'!$Q$31*'TE BE'!$Q$57</f>
        <v>-15.771837489562595</v>
      </c>
      <c r="R31" s="36">
        <f>SUM($Q$31:$Q$31)</f>
        <v>-15.771837489562595</v>
      </c>
      <c r="S31" s="36">
        <f>'TE BE'!$S$31*'TE BE'!$S$57</f>
        <v>0</v>
      </c>
      <c r="T31" s="36">
        <f>'TE BE'!$T$31*'TE BE'!$T$57</f>
        <v>0</v>
      </c>
      <c r="U31" s="36">
        <f>'TE BE'!$U$31*'TE BE'!$U$57</f>
        <v>0</v>
      </c>
      <c r="V31" s="36">
        <f>SUM($S$31:$U$31)</f>
        <v>0</v>
      </c>
      <c r="W31" s="36">
        <f>'TE BE'!$AA$31*'TE BE'!$W$57</f>
        <v>-22.484863428340269</v>
      </c>
      <c r="X31" s="36">
        <f>SUM($W$31:$W$31)</f>
        <v>-22.484863428340269</v>
      </c>
      <c r="Y31" s="36">
        <f>'TE BE'!$Y$31*'TE BE'!$Y$57</f>
        <v>-0.42334069254786799</v>
      </c>
      <c r="Z31" s="36">
        <f>SUM($Y$31:$Y$31)</f>
        <v>-0.42334069254786799</v>
      </c>
      <c r="AA31" s="36">
        <f>SUMIF($L$4:$Z$4,"SUBTOTAL",$L$31:$Z$31)</f>
        <v>-68.695861979853646</v>
      </c>
    </row>
    <row r="32" spans="1:27" ht="11.25" customHeight="1" x14ac:dyDescent="0.25">
      <c r="A32" s="112"/>
      <c r="B32" s="39" t="s">
        <v>103</v>
      </c>
      <c r="C32" s="39" t="s">
        <v>45</v>
      </c>
      <c r="D32" s="39" t="s">
        <v>25</v>
      </c>
      <c r="E32" s="39" t="s">
        <v>25</v>
      </c>
      <c r="F32" s="39" t="s">
        <v>25</v>
      </c>
      <c r="G32" s="38" t="s">
        <v>98</v>
      </c>
      <c r="H32" s="38" t="s">
        <v>93</v>
      </c>
      <c r="I32" s="38">
        <f>'MERCADO TE'!$U$29</f>
        <v>60956.053</v>
      </c>
      <c r="J32" s="15"/>
      <c r="L32" s="36">
        <f>'TE BE'!$L$32*'TE BE'!$L$57</f>
        <v>-1.2690503166594461E-3</v>
      </c>
      <c r="M32" s="36">
        <f>'TE BE'!$M$32*'TE BE'!$M$57</f>
        <v>-29.828329860010179</v>
      </c>
      <c r="N32" s="36">
        <f>'TE BE'!$N$32*'TE BE'!$N$57</f>
        <v>0</v>
      </c>
      <c r="O32" s="36">
        <f>'TE BE'!$O$32*'TE BE'!$O$57</f>
        <v>-0.18622145907607765</v>
      </c>
      <c r="P32" s="36">
        <f>SUM($L$32:$O$32)</f>
        <v>-30.015820369402913</v>
      </c>
      <c r="Q32" s="36">
        <f>'TE BE'!$Q$32*'TE BE'!$Q$57</f>
        <v>-16.718147738936352</v>
      </c>
      <c r="R32" s="36">
        <f>SUM($Q$32:$Q$32)</f>
        <v>-16.718147738936352</v>
      </c>
      <c r="S32" s="36">
        <f>'TE BE'!$S$32*'TE BE'!$S$57</f>
        <v>0</v>
      </c>
      <c r="T32" s="36">
        <f>'TE BE'!$T$32*'TE BE'!$T$57</f>
        <v>0</v>
      </c>
      <c r="U32" s="36">
        <f>'TE BE'!$U$32*'TE BE'!$U$57</f>
        <v>0</v>
      </c>
      <c r="V32" s="36">
        <f>SUM($S$32:$U$32)</f>
        <v>0</v>
      </c>
      <c r="W32" s="36">
        <f>'TE BE'!$AA$32*'TE BE'!$W$57</f>
        <v>-23.671202335601706</v>
      </c>
      <c r="X32" s="36">
        <f>SUM($W$32:$W$32)</f>
        <v>-23.671202335601706</v>
      </c>
      <c r="Y32" s="36">
        <f>'TE BE'!$Y$32*'TE BE'!$Y$57</f>
        <v>-0.42334069254786799</v>
      </c>
      <c r="Z32" s="36">
        <f>SUM($Y$32:$Y$32)</f>
        <v>-0.42334069254786799</v>
      </c>
      <c r="AA32" s="36">
        <f>SUMIF($L$4:$Z$4,"SUBTOTAL",$L$32:$Z$32)</f>
        <v>-70.828511136488842</v>
      </c>
    </row>
    <row r="33" spans="1:27" ht="11.25" customHeight="1" x14ac:dyDescent="0.25">
      <c r="A33" s="112"/>
      <c r="B33" s="112" t="s">
        <v>92</v>
      </c>
      <c r="C33" s="112" t="s">
        <v>45</v>
      </c>
      <c r="D33" s="112" t="s">
        <v>110</v>
      </c>
      <c r="E33" s="112" t="s">
        <v>25</v>
      </c>
      <c r="F33" s="112" t="s">
        <v>25</v>
      </c>
      <c r="G33" s="38" t="s">
        <v>94</v>
      </c>
      <c r="H33" s="38" t="s">
        <v>93</v>
      </c>
      <c r="I33" s="38">
        <f>'MERCADO TE'!$U$30</f>
        <v>0</v>
      </c>
      <c r="J33" s="15"/>
      <c r="L33" s="36">
        <f>'TE BE'!$L$33*'TE BE'!$L$57</f>
        <v>-1.2690503166594461E-3</v>
      </c>
      <c r="M33" s="36">
        <f>'TE BE'!$M$33*'TE BE'!$M$57</f>
        <v>-29.828329860010179</v>
      </c>
      <c r="N33" s="36">
        <f>'TE BE'!$N$33*'TE BE'!$N$57</f>
        <v>0</v>
      </c>
      <c r="O33" s="36">
        <f>'TE BE'!$O$33*'TE BE'!$O$57</f>
        <v>-0.18622145907607765</v>
      </c>
      <c r="P33" s="36">
        <f>SUM($L$33:$O$33)</f>
        <v>-30.015820369402913</v>
      </c>
      <c r="Q33" s="36">
        <f>'TE BE'!$Q$33*'TE BE'!$Q$57</f>
        <v>-27.127560482047663</v>
      </c>
      <c r="R33" s="36">
        <f>SUM($Q$33:$Q$33)</f>
        <v>-27.127560482047663</v>
      </c>
      <c r="S33" s="36">
        <f>'TE BE'!$S$33*'TE BE'!$S$57</f>
        <v>0</v>
      </c>
      <c r="T33" s="36">
        <f>'TE BE'!$T$33*'TE BE'!$T$57</f>
        <v>0</v>
      </c>
      <c r="U33" s="36">
        <f>'TE BE'!$U$33*'TE BE'!$U$57</f>
        <v>0</v>
      </c>
      <c r="V33" s="36">
        <f>SUM($S$33:$U$33)</f>
        <v>0</v>
      </c>
      <c r="W33" s="36">
        <f>'TE BE'!$AA$33*'TE BE'!$W$57</f>
        <v>-36.720930315477496</v>
      </c>
      <c r="X33" s="36">
        <f>SUM($W$33:$W$33)</f>
        <v>-36.720930315477496</v>
      </c>
      <c r="Y33" s="36">
        <f>'TE BE'!$Y$33*'TE BE'!$Y$57</f>
        <v>-0.42334069254786799</v>
      </c>
      <c r="Z33" s="36">
        <f>SUM($Y$33:$Y$33)</f>
        <v>-0.42334069254786799</v>
      </c>
      <c r="AA33" s="36">
        <f>SUMIF($L$4:$Z$4,"SUBTOTAL",$L$33:$Z$33)</f>
        <v>-94.287651859475943</v>
      </c>
    </row>
    <row r="34" spans="1:27" ht="11.25" customHeight="1" x14ac:dyDescent="0.25">
      <c r="A34" s="112"/>
      <c r="B34" s="112"/>
      <c r="C34" s="112"/>
      <c r="D34" s="112"/>
      <c r="E34" s="112"/>
      <c r="F34" s="112"/>
      <c r="G34" s="38" t="s">
        <v>107</v>
      </c>
      <c r="H34" s="38" t="s">
        <v>93</v>
      </c>
      <c r="I34" s="38">
        <f>'MERCADO TE'!$U$31</f>
        <v>0</v>
      </c>
      <c r="J34" s="15"/>
      <c r="L34" s="36">
        <f>'TE BE'!$L$34*'TE BE'!$L$57</f>
        <v>-1.2690503166594461E-3</v>
      </c>
      <c r="M34" s="36">
        <f>'TE BE'!$M$34*'TE BE'!$M$57</f>
        <v>-29.828329860010179</v>
      </c>
      <c r="N34" s="36">
        <f>'TE BE'!$N$34*'TE BE'!$N$57</f>
        <v>0</v>
      </c>
      <c r="O34" s="36">
        <f>'TE BE'!$O$34*'TE BE'!$O$57</f>
        <v>-0.18622145907607765</v>
      </c>
      <c r="P34" s="36">
        <f>SUM($L$34:$O$34)</f>
        <v>-30.015820369402913</v>
      </c>
      <c r="Q34" s="36">
        <f>'TE BE'!$Q$34*'TE BE'!$Q$57</f>
        <v>-15.771837489562595</v>
      </c>
      <c r="R34" s="36">
        <f>SUM($Q$34:$Q$34)</f>
        <v>-15.771837489562595</v>
      </c>
      <c r="S34" s="36">
        <f>'TE BE'!$S$34*'TE BE'!$S$57</f>
        <v>0</v>
      </c>
      <c r="T34" s="36">
        <f>'TE BE'!$T$34*'TE BE'!$T$57</f>
        <v>0</v>
      </c>
      <c r="U34" s="36">
        <f>'TE BE'!$U$34*'TE BE'!$U$57</f>
        <v>0</v>
      </c>
      <c r="V34" s="36">
        <f>SUM($S$34:$U$34)</f>
        <v>0</v>
      </c>
      <c r="W34" s="36">
        <f>'TE BE'!$AA$34*'TE BE'!$W$57</f>
        <v>-22.484863428340269</v>
      </c>
      <c r="X34" s="36">
        <f>SUM($W$34:$W$34)</f>
        <v>-22.484863428340269</v>
      </c>
      <c r="Y34" s="36">
        <f>'TE BE'!$Y$34*'TE BE'!$Y$57</f>
        <v>-0.42334069254786799</v>
      </c>
      <c r="Z34" s="36">
        <f>SUM($Y$34:$Y$34)</f>
        <v>-0.42334069254786799</v>
      </c>
      <c r="AA34" s="36">
        <f>SUMIF($L$4:$Z$4,"SUBTOTAL",$L$34:$Z$34)</f>
        <v>-68.695861979853646</v>
      </c>
    </row>
    <row r="35" spans="1:27" ht="11.25" customHeight="1" x14ac:dyDescent="0.25">
      <c r="A35" s="112"/>
      <c r="B35" s="112"/>
      <c r="C35" s="112"/>
      <c r="D35" s="112"/>
      <c r="E35" s="112"/>
      <c r="F35" s="112"/>
      <c r="G35" s="38" t="s">
        <v>95</v>
      </c>
      <c r="H35" s="38" t="s">
        <v>93</v>
      </c>
      <c r="I35" s="38">
        <f>'MERCADO TE'!$U$32</f>
        <v>0</v>
      </c>
      <c r="J35" s="15"/>
      <c r="L35" s="36">
        <f>'TE BE'!$L$35*'TE BE'!$L$57</f>
        <v>-1.2690503166594461E-3</v>
      </c>
      <c r="M35" s="36">
        <f>'TE BE'!$M$35*'TE BE'!$M$57</f>
        <v>-29.828329860010179</v>
      </c>
      <c r="N35" s="36">
        <f>'TE BE'!$N$35*'TE BE'!$N$57</f>
        <v>0</v>
      </c>
      <c r="O35" s="36">
        <f>'TE BE'!$O$35*'TE BE'!$O$57</f>
        <v>-0.18622145907607765</v>
      </c>
      <c r="P35" s="36">
        <f>SUM($L$35:$O$35)</f>
        <v>-30.015820369402913</v>
      </c>
      <c r="Q35" s="36">
        <f>'TE BE'!$Q$35*'TE BE'!$Q$57</f>
        <v>-15.771837489562595</v>
      </c>
      <c r="R35" s="36">
        <f>SUM($Q$35:$Q$35)</f>
        <v>-15.771837489562595</v>
      </c>
      <c r="S35" s="36">
        <f>'TE BE'!$S$35*'TE BE'!$S$57</f>
        <v>0</v>
      </c>
      <c r="T35" s="36">
        <f>'TE BE'!$T$35*'TE BE'!$T$57</f>
        <v>0</v>
      </c>
      <c r="U35" s="36">
        <f>'TE BE'!$U$35*'TE BE'!$U$57</f>
        <v>0</v>
      </c>
      <c r="V35" s="36">
        <f>SUM($S$35:$U$35)</f>
        <v>0</v>
      </c>
      <c r="W35" s="36">
        <f>'TE BE'!$AA$35*'TE BE'!$W$57</f>
        <v>-22.484863428340269</v>
      </c>
      <c r="X35" s="36">
        <f>SUM($W$35:$W$35)</f>
        <v>-22.484863428340269</v>
      </c>
      <c r="Y35" s="36">
        <f>'TE BE'!$Y$35*'TE BE'!$Y$57</f>
        <v>-0.42334069254786799</v>
      </c>
      <c r="Z35" s="36">
        <f>SUM($Y$35:$Y$35)</f>
        <v>-0.42334069254786799</v>
      </c>
      <c r="AA35" s="36">
        <f>SUMIF($L$4:$Z$4,"SUBTOTAL",$L$35:$Z$35)</f>
        <v>-68.695861979853646</v>
      </c>
    </row>
    <row r="36" spans="1:27" ht="11.25" customHeight="1" x14ac:dyDescent="0.25">
      <c r="A36" s="112"/>
      <c r="B36" s="39" t="s">
        <v>103</v>
      </c>
      <c r="C36" s="39" t="s">
        <v>45</v>
      </c>
      <c r="D36" s="39" t="s">
        <v>110</v>
      </c>
      <c r="E36" s="39" t="s">
        <v>25</v>
      </c>
      <c r="F36" s="39" t="s">
        <v>25</v>
      </c>
      <c r="G36" s="38" t="s">
        <v>98</v>
      </c>
      <c r="H36" s="38" t="s">
        <v>93</v>
      </c>
      <c r="I36" s="38">
        <f>'MERCADO TE'!$U$33</f>
        <v>0</v>
      </c>
      <c r="J36" s="15"/>
      <c r="L36" s="36">
        <f>'TE BE'!$L$36*'TE BE'!$L$57</f>
        <v>-1.2690503166594461E-3</v>
      </c>
      <c r="M36" s="36">
        <f>'TE BE'!$M$36*'TE BE'!$M$57</f>
        <v>-29.828329860010179</v>
      </c>
      <c r="N36" s="36">
        <f>'TE BE'!$N$36*'TE BE'!$N$57</f>
        <v>0</v>
      </c>
      <c r="O36" s="36">
        <f>'TE BE'!$O$36*'TE BE'!$O$57</f>
        <v>-0.18622145907607765</v>
      </c>
      <c r="P36" s="36">
        <f>SUM($L$36:$O$36)</f>
        <v>-30.015820369402913</v>
      </c>
      <c r="Q36" s="36">
        <f>'TE BE'!$Q$36*'TE BE'!$Q$57</f>
        <v>-16.718147738936352</v>
      </c>
      <c r="R36" s="36">
        <f>SUM($Q$36:$Q$36)</f>
        <v>-16.718147738936352</v>
      </c>
      <c r="S36" s="36">
        <f>'TE BE'!$S$36*'TE BE'!$S$57</f>
        <v>0</v>
      </c>
      <c r="T36" s="36">
        <f>'TE BE'!$T$36*'TE BE'!$T$57</f>
        <v>0</v>
      </c>
      <c r="U36" s="36">
        <f>'TE BE'!$U$36*'TE BE'!$U$57</f>
        <v>0</v>
      </c>
      <c r="V36" s="36">
        <f>SUM($S$36:$U$36)</f>
        <v>0</v>
      </c>
      <c r="W36" s="36">
        <f>'TE BE'!$AA$36*'TE BE'!$W$57</f>
        <v>-23.671202335601706</v>
      </c>
      <c r="X36" s="36">
        <f>SUM($W$36:$W$36)</f>
        <v>-23.671202335601706</v>
      </c>
      <c r="Y36" s="36">
        <f>'TE BE'!$Y$36*'TE BE'!$Y$57</f>
        <v>-0.42334069254786799</v>
      </c>
      <c r="Z36" s="36">
        <f>SUM($Y$36:$Y$36)</f>
        <v>-0.42334069254786799</v>
      </c>
      <c r="AA36" s="36">
        <f>SUMIF($L$4:$Z$4,"SUBTOTAL",$L$36:$Z$36)</f>
        <v>-70.828511136488842</v>
      </c>
    </row>
    <row r="37" spans="1:27" ht="11.25" customHeight="1" x14ac:dyDescent="0.25">
      <c r="A37" s="112"/>
      <c r="B37" s="112" t="s">
        <v>92</v>
      </c>
      <c r="C37" s="112" t="s">
        <v>45</v>
      </c>
      <c r="D37" s="112" t="s">
        <v>111</v>
      </c>
      <c r="E37" s="112" t="s">
        <v>25</v>
      </c>
      <c r="F37" s="112" t="s">
        <v>25</v>
      </c>
      <c r="G37" s="38" t="s">
        <v>94</v>
      </c>
      <c r="H37" s="38" t="s">
        <v>93</v>
      </c>
      <c r="I37" s="38">
        <f>'MERCADO TE'!$U$34</f>
        <v>0</v>
      </c>
      <c r="J37" s="15"/>
      <c r="L37" s="36">
        <f>'TE BE'!$L$37*'TE BE'!$L$57</f>
        <v>-1.2690503166594461E-3</v>
      </c>
      <c r="M37" s="36">
        <f>'TE BE'!$M$37*'TE BE'!$M$57</f>
        <v>-29.828329860010179</v>
      </c>
      <c r="N37" s="36">
        <f>'TE BE'!$N$37*'TE BE'!$N$57</f>
        <v>0</v>
      </c>
      <c r="O37" s="36">
        <f>'TE BE'!$O$37*'TE BE'!$O$57</f>
        <v>-0.18622145907607765</v>
      </c>
      <c r="P37" s="36">
        <f>SUM($L$37:$O$37)</f>
        <v>-30.015820369402913</v>
      </c>
      <c r="Q37" s="36">
        <f>'TE BE'!$Q$37*'TE BE'!$Q$57</f>
        <v>-27.127560482047663</v>
      </c>
      <c r="R37" s="36">
        <f>SUM($Q$37:$Q$37)</f>
        <v>-27.127560482047663</v>
      </c>
      <c r="S37" s="36">
        <f>'TE BE'!$S$37*'TE BE'!$S$57</f>
        <v>0</v>
      </c>
      <c r="T37" s="36">
        <f>'TE BE'!$T$37*'TE BE'!$T$57</f>
        <v>0</v>
      </c>
      <c r="U37" s="36">
        <f>'TE BE'!$U$37*'TE BE'!$U$57</f>
        <v>0</v>
      </c>
      <c r="V37" s="36">
        <f>SUM($S$37:$U$37)</f>
        <v>0</v>
      </c>
      <c r="W37" s="36">
        <f>'TE BE'!$AA$37*'TE BE'!$W$57</f>
        <v>-36.720930315477496</v>
      </c>
      <c r="X37" s="36">
        <f>SUM($W$37:$W$37)</f>
        <v>-36.720930315477496</v>
      </c>
      <c r="Y37" s="36">
        <f>'TE BE'!$Y$37*'TE BE'!$Y$57</f>
        <v>-0.42334069254786799</v>
      </c>
      <c r="Z37" s="36">
        <f>SUM($Y$37:$Y$37)</f>
        <v>-0.42334069254786799</v>
      </c>
      <c r="AA37" s="36">
        <f>SUMIF($L$4:$Z$4,"SUBTOTAL",$L$37:$Z$37)</f>
        <v>-94.287651859475943</v>
      </c>
    </row>
    <row r="38" spans="1:27" ht="11.25" customHeight="1" x14ac:dyDescent="0.25">
      <c r="A38" s="112"/>
      <c r="B38" s="112"/>
      <c r="C38" s="112"/>
      <c r="D38" s="112"/>
      <c r="E38" s="112"/>
      <c r="F38" s="112"/>
      <c r="G38" s="38" t="s">
        <v>107</v>
      </c>
      <c r="H38" s="38" t="s">
        <v>93</v>
      </c>
      <c r="I38" s="38">
        <f>'MERCADO TE'!$U$35</f>
        <v>0</v>
      </c>
      <c r="J38" s="15"/>
      <c r="L38" s="36">
        <f>'TE BE'!$L$38*'TE BE'!$L$57</f>
        <v>-1.2690503166594461E-3</v>
      </c>
      <c r="M38" s="36">
        <f>'TE BE'!$M$38*'TE BE'!$M$57</f>
        <v>-29.828329860010179</v>
      </c>
      <c r="N38" s="36">
        <f>'TE BE'!$N$38*'TE BE'!$N$57</f>
        <v>0</v>
      </c>
      <c r="O38" s="36">
        <f>'TE BE'!$O$38*'TE BE'!$O$57</f>
        <v>-0.18622145907607765</v>
      </c>
      <c r="P38" s="36">
        <f>SUM($L$38:$O$38)</f>
        <v>-30.015820369402913</v>
      </c>
      <c r="Q38" s="36">
        <f>'TE BE'!$Q$38*'TE BE'!$Q$57</f>
        <v>-15.771837489562595</v>
      </c>
      <c r="R38" s="36">
        <f>SUM($Q$38:$Q$38)</f>
        <v>-15.771837489562595</v>
      </c>
      <c r="S38" s="36">
        <f>'TE BE'!$S$38*'TE BE'!$S$57</f>
        <v>0</v>
      </c>
      <c r="T38" s="36">
        <f>'TE BE'!$T$38*'TE BE'!$T$57</f>
        <v>0</v>
      </c>
      <c r="U38" s="36">
        <f>'TE BE'!$U$38*'TE BE'!$U$57</f>
        <v>0</v>
      </c>
      <c r="V38" s="36">
        <f>SUM($S$38:$U$38)</f>
        <v>0</v>
      </c>
      <c r="W38" s="36">
        <f>'TE BE'!$AA$38*'TE BE'!$W$57</f>
        <v>-22.484863428340269</v>
      </c>
      <c r="X38" s="36">
        <f>SUM($W$38:$W$38)</f>
        <v>-22.484863428340269</v>
      </c>
      <c r="Y38" s="36">
        <f>'TE BE'!$Y$38*'TE BE'!$Y$57</f>
        <v>-0.42334069254786799</v>
      </c>
      <c r="Z38" s="36">
        <f>SUM($Y$38:$Y$38)</f>
        <v>-0.42334069254786799</v>
      </c>
      <c r="AA38" s="36">
        <f>SUMIF($L$4:$Z$4,"SUBTOTAL",$L$38:$Z$38)</f>
        <v>-68.695861979853646</v>
      </c>
    </row>
    <row r="39" spans="1:27" ht="11.25" customHeight="1" x14ac:dyDescent="0.25">
      <c r="A39" s="112"/>
      <c r="B39" s="112"/>
      <c r="C39" s="112"/>
      <c r="D39" s="112"/>
      <c r="E39" s="112"/>
      <c r="F39" s="112"/>
      <c r="G39" s="38" t="s">
        <v>95</v>
      </c>
      <c r="H39" s="38" t="s">
        <v>93</v>
      </c>
      <c r="I39" s="38">
        <f>'MERCADO TE'!$U$36</f>
        <v>0</v>
      </c>
      <c r="J39" s="15"/>
      <c r="L39" s="36">
        <f>'TE BE'!$L$39*'TE BE'!$L$57</f>
        <v>-1.2690503166594461E-3</v>
      </c>
      <c r="M39" s="36">
        <f>'TE BE'!$M$39*'TE BE'!$M$57</f>
        <v>-29.828329860010179</v>
      </c>
      <c r="N39" s="36">
        <f>'TE BE'!$N$39*'TE BE'!$N$57</f>
        <v>0</v>
      </c>
      <c r="O39" s="36">
        <f>'TE BE'!$O$39*'TE BE'!$O$57</f>
        <v>-0.18622145907607765</v>
      </c>
      <c r="P39" s="36">
        <f>SUM($L$39:$O$39)</f>
        <v>-30.015820369402913</v>
      </c>
      <c r="Q39" s="36">
        <f>'TE BE'!$Q$39*'TE BE'!$Q$57</f>
        <v>-15.771837489562595</v>
      </c>
      <c r="R39" s="36">
        <f>SUM($Q$39:$Q$39)</f>
        <v>-15.771837489562595</v>
      </c>
      <c r="S39" s="36">
        <f>'TE BE'!$S$39*'TE BE'!$S$57</f>
        <v>0</v>
      </c>
      <c r="T39" s="36">
        <f>'TE BE'!$T$39*'TE BE'!$T$57</f>
        <v>0</v>
      </c>
      <c r="U39" s="36">
        <f>'TE BE'!$U$39*'TE BE'!$U$57</f>
        <v>0</v>
      </c>
      <c r="V39" s="36">
        <f>SUM($S$39:$U$39)</f>
        <v>0</v>
      </c>
      <c r="W39" s="36">
        <f>'TE BE'!$AA$39*'TE BE'!$W$57</f>
        <v>-22.484863428340269</v>
      </c>
      <c r="X39" s="36">
        <f>SUM($W$39:$W$39)</f>
        <v>-22.484863428340269</v>
      </c>
      <c r="Y39" s="36">
        <f>'TE BE'!$Y$39*'TE BE'!$Y$57</f>
        <v>-0.42334069254786799</v>
      </c>
      <c r="Z39" s="36">
        <f>SUM($Y$39:$Y$39)</f>
        <v>-0.42334069254786799</v>
      </c>
      <c r="AA39" s="36">
        <f>SUMIF($L$4:$Z$4,"SUBTOTAL",$L$39:$Z$39)</f>
        <v>-68.695861979853646</v>
      </c>
    </row>
    <row r="40" spans="1:27" ht="11.25" customHeight="1" x14ac:dyDescent="0.25">
      <c r="A40" s="112"/>
      <c r="B40" s="39" t="s">
        <v>103</v>
      </c>
      <c r="C40" s="39" t="s">
        <v>45</v>
      </c>
      <c r="D40" s="39" t="s">
        <v>111</v>
      </c>
      <c r="E40" s="39" t="s">
        <v>25</v>
      </c>
      <c r="F40" s="39" t="s">
        <v>25</v>
      </c>
      <c r="G40" s="38" t="s">
        <v>98</v>
      </c>
      <c r="H40" s="38" t="s">
        <v>93</v>
      </c>
      <c r="I40" s="38">
        <f>'MERCADO TE'!$U$37</f>
        <v>0</v>
      </c>
      <c r="J40" s="15"/>
      <c r="L40" s="36">
        <f>'TE BE'!$L$40*'TE BE'!$L$57</f>
        <v>-1.2690503166594461E-3</v>
      </c>
      <c r="M40" s="36">
        <f>'TE BE'!$M$40*'TE BE'!$M$57</f>
        <v>-29.828329860010179</v>
      </c>
      <c r="N40" s="36">
        <f>'TE BE'!$N$40*'TE BE'!$N$57</f>
        <v>0</v>
      </c>
      <c r="O40" s="36">
        <f>'TE BE'!$O$40*'TE BE'!$O$57</f>
        <v>-0.18622145907607765</v>
      </c>
      <c r="P40" s="36">
        <f>SUM($L$40:$O$40)</f>
        <v>-30.015820369402913</v>
      </c>
      <c r="Q40" s="36">
        <f>'TE BE'!$Q$40*'TE BE'!$Q$57</f>
        <v>-16.718147738936352</v>
      </c>
      <c r="R40" s="36">
        <f>SUM($Q$40:$Q$40)</f>
        <v>-16.718147738936352</v>
      </c>
      <c r="S40" s="36">
        <f>'TE BE'!$S$40*'TE BE'!$S$57</f>
        <v>0</v>
      </c>
      <c r="T40" s="36">
        <f>'TE BE'!$T$40*'TE BE'!$T$57</f>
        <v>0</v>
      </c>
      <c r="U40" s="36">
        <f>'TE BE'!$U$40*'TE BE'!$U$57</f>
        <v>0</v>
      </c>
      <c r="V40" s="36">
        <f>SUM($S$40:$U$40)</f>
        <v>0</v>
      </c>
      <c r="W40" s="36">
        <f>'TE BE'!$AA$40*'TE BE'!$W$57</f>
        <v>-23.671202335601706</v>
      </c>
      <c r="X40" s="36">
        <f>SUM($W$40:$W$40)</f>
        <v>-23.671202335601706</v>
      </c>
      <c r="Y40" s="36">
        <f>'TE BE'!$Y$40*'TE BE'!$Y$57</f>
        <v>-0.42334069254786799</v>
      </c>
      <c r="Z40" s="36">
        <f>SUM($Y$40:$Y$40)</f>
        <v>-0.42334069254786799</v>
      </c>
      <c r="AA40" s="36">
        <f>SUMIF($L$4:$Z$4,"SUBTOTAL",$L$40:$Z$40)</f>
        <v>-70.828511136488842</v>
      </c>
    </row>
    <row r="41" spans="1:27" ht="11.25" customHeight="1" x14ac:dyDescent="0.25">
      <c r="A41" s="112"/>
      <c r="B41" s="112" t="s">
        <v>108</v>
      </c>
      <c r="C41" s="112" t="s">
        <v>45</v>
      </c>
      <c r="D41" s="39" t="s">
        <v>25</v>
      </c>
      <c r="E41" s="39" t="s">
        <v>25</v>
      </c>
      <c r="F41" s="39" t="s">
        <v>25</v>
      </c>
      <c r="G41" s="38" t="s">
        <v>98</v>
      </c>
      <c r="H41" s="38" t="s">
        <v>93</v>
      </c>
      <c r="I41" s="38">
        <f>'MERCADO TE'!$U$38</f>
        <v>0</v>
      </c>
      <c r="J41" s="15"/>
      <c r="L41" s="36">
        <f>'TE BE'!$L$41*'TE BE'!$L$57</f>
        <v>-1.2690503166594461E-3</v>
      </c>
      <c r="M41" s="36">
        <f>'TE BE'!$M$41*'TE BE'!$M$57</f>
        <v>-29.828329860010179</v>
      </c>
      <c r="N41" s="36">
        <f>'TE BE'!$N$41*'TE BE'!$N$57</f>
        <v>0</v>
      </c>
      <c r="O41" s="36">
        <f>'TE BE'!$O$41*'TE BE'!$O$57</f>
        <v>-0.18622145907607765</v>
      </c>
      <c r="P41" s="36">
        <f>SUM($L$41:$O$41)</f>
        <v>-30.015820369402913</v>
      </c>
      <c r="Q41" s="36">
        <f>'TE BE'!$Q$41*'TE BE'!$Q$57</f>
        <v>-16.718147738936352</v>
      </c>
      <c r="R41" s="36">
        <f>SUM($Q$41:$Q$41)</f>
        <v>-16.718147738936352</v>
      </c>
      <c r="S41" s="36">
        <f>'TE BE'!$S$41*'TE BE'!$S$57</f>
        <v>0</v>
      </c>
      <c r="T41" s="36">
        <f>'TE BE'!$T$41*'TE BE'!$T$57</f>
        <v>0</v>
      </c>
      <c r="U41" s="36">
        <f>'TE BE'!$U$41*'TE BE'!$U$57</f>
        <v>0</v>
      </c>
      <c r="V41" s="36">
        <f>SUM($S$41:$U$41)</f>
        <v>0</v>
      </c>
      <c r="W41" s="36">
        <f>'TE BE'!$AA$41*'TE BE'!$W$57</f>
        <v>-23.671202335601706</v>
      </c>
      <c r="X41" s="36">
        <f>SUM($W$41:$W$41)</f>
        <v>-23.671202335601706</v>
      </c>
      <c r="Y41" s="36">
        <f>'TE BE'!$Y$41*'TE BE'!$Y$57</f>
        <v>-0.42334069254786799</v>
      </c>
      <c r="Z41" s="36">
        <f>SUM($Y$41:$Y$41)</f>
        <v>-0.42334069254786799</v>
      </c>
      <c r="AA41" s="36">
        <f>SUMIF($L$4:$Z$4,"SUBTOTAL",$L$41:$Z$41)</f>
        <v>-70.828511136488842</v>
      </c>
    </row>
    <row r="42" spans="1:27" ht="11.25" customHeight="1" x14ac:dyDescent="0.25">
      <c r="A42" s="112"/>
      <c r="B42" s="112"/>
      <c r="C42" s="112"/>
      <c r="D42" s="39" t="s">
        <v>110</v>
      </c>
      <c r="E42" s="39" t="s">
        <v>25</v>
      </c>
      <c r="F42" s="39" t="s">
        <v>25</v>
      </c>
      <c r="G42" s="38" t="s">
        <v>98</v>
      </c>
      <c r="H42" s="38" t="s">
        <v>93</v>
      </c>
      <c r="I42" s="38">
        <f>'MERCADO TE'!$U$39</f>
        <v>0</v>
      </c>
      <c r="J42" s="15"/>
      <c r="L42" s="36">
        <f>'TE BE'!$L$42*'TE BE'!$L$57</f>
        <v>-1.2690503166594461E-3</v>
      </c>
      <c r="M42" s="36">
        <f>'TE BE'!$M$42*'TE BE'!$M$57</f>
        <v>-29.828329860010179</v>
      </c>
      <c r="N42" s="36">
        <f>'TE BE'!$N$42*'TE BE'!$N$57</f>
        <v>0</v>
      </c>
      <c r="O42" s="36">
        <f>'TE BE'!$O$42*'TE BE'!$O$57</f>
        <v>-0.18622145907607765</v>
      </c>
      <c r="P42" s="36">
        <f>SUM($L$42:$O$42)</f>
        <v>-30.015820369402913</v>
      </c>
      <c r="Q42" s="36">
        <f>'TE BE'!$Q$42*'TE BE'!$Q$57</f>
        <v>-16.718147738936352</v>
      </c>
      <c r="R42" s="36">
        <f>SUM($Q$42:$Q$42)</f>
        <v>-16.718147738936352</v>
      </c>
      <c r="S42" s="36">
        <f>'TE BE'!$S$42*'TE BE'!$S$57</f>
        <v>0</v>
      </c>
      <c r="T42" s="36">
        <f>'TE BE'!$T$42*'TE BE'!$T$57</f>
        <v>0</v>
      </c>
      <c r="U42" s="36">
        <f>'TE BE'!$U$42*'TE BE'!$U$57</f>
        <v>0</v>
      </c>
      <c r="V42" s="36">
        <f>SUM($S$42:$U$42)</f>
        <v>0</v>
      </c>
      <c r="W42" s="36">
        <f>'TE BE'!$AA$42*'TE BE'!$W$57</f>
        <v>-23.671202335601706</v>
      </c>
      <c r="X42" s="36">
        <f>SUM($W$42:$W$42)</f>
        <v>-23.671202335601706</v>
      </c>
      <c r="Y42" s="36">
        <f>'TE BE'!$Y$42*'TE BE'!$Y$57</f>
        <v>-0.42334069254786799</v>
      </c>
      <c r="Z42" s="36">
        <f>SUM($Y$42:$Y$42)</f>
        <v>-0.42334069254786799</v>
      </c>
      <c r="AA42" s="36">
        <f>SUMIF($L$4:$Z$4,"SUBTOTAL",$L$42:$Z$42)</f>
        <v>-70.828511136488842</v>
      </c>
    </row>
    <row r="43" spans="1:27" ht="11.25" customHeight="1" x14ac:dyDescent="0.25">
      <c r="A43" s="112"/>
      <c r="B43" s="112"/>
      <c r="C43" s="112"/>
      <c r="D43" s="39" t="s">
        <v>111</v>
      </c>
      <c r="E43" s="39" t="s">
        <v>25</v>
      </c>
      <c r="F43" s="39" t="s">
        <v>25</v>
      </c>
      <c r="G43" s="38" t="s">
        <v>98</v>
      </c>
      <c r="H43" s="38" t="s">
        <v>93</v>
      </c>
      <c r="I43" s="38">
        <f>'MERCADO TE'!$U$40</f>
        <v>0</v>
      </c>
      <c r="J43" s="15"/>
      <c r="L43" s="36">
        <f>'TE BE'!$L$43*'TE BE'!$L$57</f>
        <v>-1.2690503166594461E-3</v>
      </c>
      <c r="M43" s="36">
        <f>'TE BE'!$M$43*'TE BE'!$M$57</f>
        <v>-29.828329860010179</v>
      </c>
      <c r="N43" s="36">
        <f>'TE BE'!$N$43*'TE BE'!$N$57</f>
        <v>0</v>
      </c>
      <c r="O43" s="36">
        <f>'TE BE'!$O$43*'TE BE'!$O$57</f>
        <v>-0.18622145907607765</v>
      </c>
      <c r="P43" s="36">
        <f>SUM($L$43:$O$43)</f>
        <v>-30.015820369402913</v>
      </c>
      <c r="Q43" s="36">
        <f>'TE BE'!$Q$43*'TE BE'!$Q$57</f>
        <v>-16.718147738936352</v>
      </c>
      <c r="R43" s="36">
        <f>SUM($Q$43:$Q$43)</f>
        <v>-16.718147738936352</v>
      </c>
      <c r="S43" s="36">
        <f>'TE BE'!$S$43*'TE BE'!$S$57</f>
        <v>0</v>
      </c>
      <c r="T43" s="36">
        <f>'TE BE'!$T$43*'TE BE'!$T$57</f>
        <v>0</v>
      </c>
      <c r="U43" s="36">
        <f>'TE BE'!$U$43*'TE BE'!$U$57</f>
        <v>0</v>
      </c>
      <c r="V43" s="36">
        <f>SUM($S$43:$U$43)</f>
        <v>0</v>
      </c>
      <c r="W43" s="36">
        <f>'TE BE'!$AA$43*'TE BE'!$W$57</f>
        <v>-23.671202335601706</v>
      </c>
      <c r="X43" s="36">
        <f>SUM($W$43:$W$43)</f>
        <v>-23.671202335601706</v>
      </c>
      <c r="Y43" s="36">
        <f>'TE BE'!$Y$43*'TE BE'!$Y$57</f>
        <v>-0.42334069254786799</v>
      </c>
      <c r="Z43" s="36">
        <f>SUM($Y$43:$Y$43)</f>
        <v>-0.42334069254786799</v>
      </c>
      <c r="AA43" s="36">
        <f>SUMIF($L$4:$Z$4,"SUBTOTAL",$L$43:$Z$43)</f>
        <v>-70.828511136488842</v>
      </c>
    </row>
    <row r="44" spans="1:27" ht="11.25" customHeight="1" x14ac:dyDescent="0.25">
      <c r="A44" s="112" t="s">
        <v>37</v>
      </c>
      <c r="B44" s="112" t="s">
        <v>92</v>
      </c>
      <c r="C44" s="112" t="s">
        <v>25</v>
      </c>
      <c r="D44" s="112" t="s">
        <v>25</v>
      </c>
      <c r="E44" s="112" t="s">
        <v>25</v>
      </c>
      <c r="F44" s="112" t="s">
        <v>25</v>
      </c>
      <c r="G44" s="38" t="s">
        <v>94</v>
      </c>
      <c r="H44" s="38" t="s">
        <v>93</v>
      </c>
      <c r="I44" s="38">
        <f>'MERCADO TE'!$U$41</f>
        <v>102.03199999999998</v>
      </c>
      <c r="J44" s="15"/>
      <c r="L44" s="36">
        <f>'TE BE'!$L$44*'TE BE'!$L$57</f>
        <v>-1.2690503166594461E-3</v>
      </c>
      <c r="M44" s="36">
        <f>'TE BE'!$M$44*'TE BE'!$M$57</f>
        <v>-29.828329860010179</v>
      </c>
      <c r="N44" s="36">
        <f>'TE BE'!$N$44*'TE BE'!$N$57</f>
        <v>0</v>
      </c>
      <c r="O44" s="36">
        <f>'TE BE'!$O$44*'TE BE'!$O$57</f>
        <v>-0.18622145907607765</v>
      </c>
      <c r="P44" s="36">
        <f>SUM($L$44:$O$44)</f>
        <v>-30.015820369402913</v>
      </c>
      <c r="Q44" s="36">
        <f>'TE BE'!$Q$44*'TE BE'!$Q$57</f>
        <v>-27.127560482047663</v>
      </c>
      <c r="R44" s="36">
        <f>SUM($Q$44:$Q$44)</f>
        <v>-27.127560482047663</v>
      </c>
      <c r="S44" s="36">
        <f>'TE BE'!$S$44*'TE BE'!$S$57</f>
        <v>0</v>
      </c>
      <c r="T44" s="36">
        <f>'TE BE'!$T$44*'TE BE'!$T$57</f>
        <v>0</v>
      </c>
      <c r="U44" s="36">
        <f>'TE BE'!$U$44*'TE BE'!$U$57</f>
        <v>0</v>
      </c>
      <c r="V44" s="36">
        <f>SUM($S$44:$U$44)</f>
        <v>0</v>
      </c>
      <c r="W44" s="36">
        <f>'TE BE'!$AA$44*'TE BE'!$W$57</f>
        <v>-36.720930315477496</v>
      </c>
      <c r="X44" s="36">
        <f>SUM($W$44:$W$44)</f>
        <v>-36.720930315477496</v>
      </c>
      <c r="Y44" s="36">
        <f>'TE BE'!$Y$44*'TE BE'!$Y$57</f>
        <v>-0.42334069254786799</v>
      </c>
      <c r="Z44" s="36">
        <f>SUM($Y$44:$Y$44)</f>
        <v>-0.42334069254786799</v>
      </c>
      <c r="AA44" s="36">
        <f>SUMIF($L$4:$Z$4,"SUBTOTAL",$L$44:$Z$44)</f>
        <v>-94.287651859475943</v>
      </c>
    </row>
    <row r="45" spans="1:27" ht="11.25" customHeight="1" x14ac:dyDescent="0.25">
      <c r="A45" s="112"/>
      <c r="B45" s="112"/>
      <c r="C45" s="112"/>
      <c r="D45" s="112"/>
      <c r="E45" s="112"/>
      <c r="F45" s="112"/>
      <c r="G45" s="38" t="s">
        <v>107</v>
      </c>
      <c r="H45" s="38" t="s">
        <v>93</v>
      </c>
      <c r="I45" s="38">
        <f>'MERCADO TE'!$U$42</f>
        <v>72.591000000000008</v>
      </c>
      <c r="J45" s="15"/>
      <c r="L45" s="36">
        <f>'TE BE'!$L$45*'TE BE'!$L$57</f>
        <v>-1.2690503166594461E-3</v>
      </c>
      <c r="M45" s="36">
        <f>'TE BE'!$M$45*'TE BE'!$M$57</f>
        <v>-29.828329860010179</v>
      </c>
      <c r="N45" s="36">
        <f>'TE BE'!$N$45*'TE BE'!$N$57</f>
        <v>0</v>
      </c>
      <c r="O45" s="36">
        <f>'TE BE'!$O$45*'TE BE'!$O$57</f>
        <v>-0.18622145907607765</v>
      </c>
      <c r="P45" s="36">
        <f>SUM($L$45:$O$45)</f>
        <v>-30.015820369402913</v>
      </c>
      <c r="Q45" s="36">
        <f>'TE BE'!$Q$45*'TE BE'!$Q$57</f>
        <v>-15.771837489562595</v>
      </c>
      <c r="R45" s="36">
        <f>SUM($Q$45:$Q$45)</f>
        <v>-15.771837489562595</v>
      </c>
      <c r="S45" s="36">
        <f>'TE BE'!$S$45*'TE BE'!$S$57</f>
        <v>0</v>
      </c>
      <c r="T45" s="36">
        <f>'TE BE'!$T$45*'TE BE'!$T$57</f>
        <v>0</v>
      </c>
      <c r="U45" s="36">
        <f>'TE BE'!$U$45*'TE BE'!$U$57</f>
        <v>0</v>
      </c>
      <c r="V45" s="36">
        <f>SUM($S$45:$U$45)</f>
        <v>0</v>
      </c>
      <c r="W45" s="36">
        <f>'TE BE'!$AA$45*'TE BE'!$W$57</f>
        <v>-22.484863428340269</v>
      </c>
      <c r="X45" s="36">
        <f>SUM($W$45:$W$45)</f>
        <v>-22.484863428340269</v>
      </c>
      <c r="Y45" s="36">
        <f>'TE BE'!$Y$45*'TE BE'!$Y$57</f>
        <v>-0.42334069254786799</v>
      </c>
      <c r="Z45" s="36">
        <f>SUM($Y$45:$Y$45)</f>
        <v>-0.42334069254786799</v>
      </c>
      <c r="AA45" s="36">
        <f>SUMIF($L$4:$Z$4,"SUBTOTAL",$L$45:$Z$45)</f>
        <v>-68.695861979853646</v>
      </c>
    </row>
    <row r="46" spans="1:27" ht="11.25" customHeight="1" x14ac:dyDescent="0.25">
      <c r="A46" s="112"/>
      <c r="B46" s="112"/>
      <c r="C46" s="112"/>
      <c r="D46" s="112"/>
      <c r="E46" s="112"/>
      <c r="F46" s="112"/>
      <c r="G46" s="38" t="s">
        <v>95</v>
      </c>
      <c r="H46" s="38" t="s">
        <v>93</v>
      </c>
      <c r="I46" s="38">
        <f>'MERCADO TE'!$U$43</f>
        <v>1401.5319999999997</v>
      </c>
      <c r="J46" s="15"/>
      <c r="L46" s="36">
        <f>'TE BE'!$L$46*'TE BE'!$L$57</f>
        <v>-1.2690503166594461E-3</v>
      </c>
      <c r="M46" s="36">
        <f>'TE BE'!$M$46*'TE BE'!$M$57</f>
        <v>-29.828329860010179</v>
      </c>
      <c r="N46" s="36">
        <f>'TE BE'!$N$46*'TE BE'!$N$57</f>
        <v>0</v>
      </c>
      <c r="O46" s="36">
        <f>'TE BE'!$O$46*'TE BE'!$O$57</f>
        <v>-0.18622145907607765</v>
      </c>
      <c r="P46" s="36">
        <f>SUM($L$46:$O$46)</f>
        <v>-30.015820369402913</v>
      </c>
      <c r="Q46" s="36">
        <f>'TE BE'!$Q$46*'TE BE'!$Q$57</f>
        <v>-15.771837489562595</v>
      </c>
      <c r="R46" s="36">
        <f>SUM($Q$46:$Q$46)</f>
        <v>-15.771837489562595</v>
      </c>
      <c r="S46" s="36">
        <f>'TE BE'!$S$46*'TE BE'!$S$57</f>
        <v>0</v>
      </c>
      <c r="T46" s="36">
        <f>'TE BE'!$T$46*'TE BE'!$T$57</f>
        <v>0</v>
      </c>
      <c r="U46" s="36">
        <f>'TE BE'!$U$46*'TE BE'!$U$57</f>
        <v>0</v>
      </c>
      <c r="V46" s="36">
        <f>SUM($S$46:$U$46)</f>
        <v>0</v>
      </c>
      <c r="W46" s="36">
        <f>'TE BE'!$AA$46*'TE BE'!$W$57</f>
        <v>-22.484863428340269</v>
      </c>
      <c r="X46" s="36">
        <f>SUM($W$46:$W$46)</f>
        <v>-22.484863428340269</v>
      </c>
      <c r="Y46" s="36">
        <f>'TE BE'!$Y$46*'TE BE'!$Y$57</f>
        <v>-0.42334069254786799</v>
      </c>
      <c r="Z46" s="36">
        <f>SUM($Y$46:$Y$46)</f>
        <v>-0.42334069254786799</v>
      </c>
      <c r="AA46" s="36">
        <f>SUMIF($L$4:$Z$4,"SUBTOTAL",$L$46:$Z$46)</f>
        <v>-68.695861979853646</v>
      </c>
    </row>
    <row r="47" spans="1:27" ht="11.25" customHeight="1" x14ac:dyDescent="0.25">
      <c r="A47" s="112"/>
      <c r="B47" s="39" t="s">
        <v>103</v>
      </c>
      <c r="C47" s="39" t="s">
        <v>25</v>
      </c>
      <c r="D47" s="39" t="s">
        <v>25</v>
      </c>
      <c r="E47" s="39" t="s">
        <v>25</v>
      </c>
      <c r="F47" s="39" t="s">
        <v>25</v>
      </c>
      <c r="G47" s="38" t="s">
        <v>98</v>
      </c>
      <c r="H47" s="38" t="s">
        <v>93</v>
      </c>
      <c r="I47" s="38">
        <f>'MERCADO TE'!$U$44</f>
        <v>352409.69800000003</v>
      </c>
      <c r="J47" s="15"/>
      <c r="L47" s="36">
        <f>'TE BE'!$L$47*'TE BE'!$L$57</f>
        <v>-1.2690503166594461E-3</v>
      </c>
      <c r="M47" s="36">
        <f>'TE BE'!$M$47*'TE BE'!$M$57</f>
        <v>-29.828329860010179</v>
      </c>
      <c r="N47" s="36">
        <f>'TE BE'!$N$47*'TE BE'!$N$57</f>
        <v>0</v>
      </c>
      <c r="O47" s="36">
        <f>'TE BE'!$O$47*'TE BE'!$O$57</f>
        <v>-0.18622145907607765</v>
      </c>
      <c r="P47" s="36">
        <f>SUM($L$47:$O$47)</f>
        <v>-30.015820369402913</v>
      </c>
      <c r="Q47" s="36">
        <f>'TE BE'!$Q$47*'TE BE'!$Q$57</f>
        <v>-16.718147738936352</v>
      </c>
      <c r="R47" s="36">
        <f>SUM($Q$47:$Q$47)</f>
        <v>-16.718147738936352</v>
      </c>
      <c r="S47" s="36">
        <f>'TE BE'!$S$47*'TE BE'!$S$57</f>
        <v>0</v>
      </c>
      <c r="T47" s="36">
        <f>'TE BE'!$T$47*'TE BE'!$T$57</f>
        <v>0</v>
      </c>
      <c r="U47" s="36">
        <f>'TE BE'!$U$47*'TE BE'!$U$57</f>
        <v>0</v>
      </c>
      <c r="V47" s="36">
        <f>SUM($S$47:$U$47)</f>
        <v>0</v>
      </c>
      <c r="W47" s="36">
        <f>'TE BE'!$AA$47*'TE BE'!$W$57</f>
        <v>-23.671202335601706</v>
      </c>
      <c r="X47" s="36">
        <f>SUM($W$47:$W$47)</f>
        <v>-23.671202335601706</v>
      </c>
      <c r="Y47" s="36">
        <f>'TE BE'!$Y$47*'TE BE'!$Y$57</f>
        <v>-0.42334069254786799</v>
      </c>
      <c r="Z47" s="36">
        <f>SUM($Y$47:$Y$47)</f>
        <v>-0.42334069254786799</v>
      </c>
      <c r="AA47" s="36">
        <f>SUMIF($L$4:$Z$4,"SUBTOTAL",$L$47:$Z$47)</f>
        <v>-70.828511136488842</v>
      </c>
    </row>
    <row r="48" spans="1:27" ht="11.25" customHeight="1" x14ac:dyDescent="0.25">
      <c r="A48" s="112"/>
      <c r="B48" s="39" t="s">
        <v>108</v>
      </c>
      <c r="C48" s="39" t="s">
        <v>25</v>
      </c>
      <c r="D48" s="39" t="s">
        <v>25</v>
      </c>
      <c r="E48" s="39" t="s">
        <v>25</v>
      </c>
      <c r="F48" s="39" t="s">
        <v>25</v>
      </c>
      <c r="G48" s="38" t="s">
        <v>98</v>
      </c>
      <c r="H48" s="38" t="s">
        <v>93</v>
      </c>
      <c r="I48" s="38">
        <f>'MERCADO TE'!$U$45</f>
        <v>0</v>
      </c>
      <c r="J48" s="15"/>
      <c r="L48" s="36">
        <f>'TE BE'!$L$48*'TE BE'!$L$57</f>
        <v>-1.2690503166594461E-3</v>
      </c>
      <c r="M48" s="36">
        <f>'TE BE'!$M$48*'TE BE'!$M$57</f>
        <v>-29.828329860010179</v>
      </c>
      <c r="N48" s="36">
        <f>'TE BE'!$N$48*'TE BE'!$N$57</f>
        <v>0</v>
      </c>
      <c r="O48" s="36">
        <f>'TE BE'!$O$48*'TE BE'!$O$57</f>
        <v>-0.18622145907607765</v>
      </c>
      <c r="P48" s="36">
        <f>SUM($L$48:$O$48)</f>
        <v>-30.015820369402913</v>
      </c>
      <c r="Q48" s="36">
        <f>'TE BE'!$Q$48*'TE BE'!$Q$57</f>
        <v>-16.718147738936352</v>
      </c>
      <c r="R48" s="36">
        <f>SUM($Q$48:$Q$48)</f>
        <v>-16.718147738936352</v>
      </c>
      <c r="S48" s="36">
        <f>'TE BE'!$S$48*'TE BE'!$S$57</f>
        <v>0</v>
      </c>
      <c r="T48" s="36">
        <f>'TE BE'!$T$48*'TE BE'!$T$57</f>
        <v>0</v>
      </c>
      <c r="U48" s="36">
        <f>'TE BE'!$U$48*'TE BE'!$U$57</f>
        <v>0</v>
      </c>
      <c r="V48" s="36">
        <f>SUM($S$48:$U$48)</f>
        <v>0</v>
      </c>
      <c r="W48" s="36">
        <f>'TE BE'!$AA$48*'TE BE'!$W$57</f>
        <v>-23.671202335601706</v>
      </c>
      <c r="X48" s="36">
        <f>SUM($W$48:$W$48)</f>
        <v>-23.671202335601706</v>
      </c>
      <c r="Y48" s="36">
        <f>'TE BE'!$Y$48*'TE BE'!$Y$57</f>
        <v>-0.42334069254786799</v>
      </c>
      <c r="Z48" s="36">
        <f>SUM($Y$48:$Y$48)</f>
        <v>-0.42334069254786799</v>
      </c>
      <c r="AA48" s="36">
        <f>SUMIF($L$4:$Z$4,"SUBTOTAL",$L$48:$Z$48)</f>
        <v>-70.828511136488842</v>
      </c>
    </row>
    <row r="49" spans="1:27" ht="11.25" customHeight="1" x14ac:dyDescent="0.25">
      <c r="A49" s="112" t="s">
        <v>47</v>
      </c>
      <c r="B49" s="112" t="s">
        <v>103</v>
      </c>
      <c r="C49" s="112" t="s">
        <v>48</v>
      </c>
      <c r="D49" s="39" t="s">
        <v>49</v>
      </c>
      <c r="E49" s="39" t="s">
        <v>25</v>
      </c>
      <c r="F49" s="39" t="s">
        <v>25</v>
      </c>
      <c r="G49" s="38" t="s">
        <v>98</v>
      </c>
      <c r="H49" s="38" t="s">
        <v>93</v>
      </c>
      <c r="I49" s="38">
        <f>'MERCADO TE'!$U$46</f>
        <v>197535.73299999998</v>
      </c>
      <c r="J49" s="15"/>
      <c r="L49" s="36">
        <f>'TE BE'!$L$49*'TE BE'!$L$57</f>
        <v>-6.9797767416269541E-4</v>
      </c>
      <c r="M49" s="36">
        <f>'TE BE'!$M$49*'TE BE'!$M$57</f>
        <v>-16.4055814230056</v>
      </c>
      <c r="N49" s="36">
        <f>'TE BE'!$N$49*'TE BE'!$N$57</f>
        <v>0</v>
      </c>
      <c r="O49" s="36">
        <f>'TE BE'!$O$49*'TE BE'!$O$57</f>
        <v>-0.10242180249184271</v>
      </c>
      <c r="P49" s="36">
        <f>SUM($L$49:$O$49)</f>
        <v>-16.508701203171608</v>
      </c>
      <c r="Q49" s="36">
        <f>'TE BE'!$Q$49*'TE BE'!$Q$57</f>
        <v>-9.1949812564149944</v>
      </c>
      <c r="R49" s="36">
        <f>SUM($Q$49:$Q$49)</f>
        <v>-9.1949812564149944</v>
      </c>
      <c r="S49" s="36">
        <f>'TE BE'!$S$49*'TE BE'!$S$57</f>
        <v>0</v>
      </c>
      <c r="T49" s="36">
        <f>'TE BE'!$T$49*'TE BE'!$T$57</f>
        <v>0</v>
      </c>
      <c r="U49" s="36">
        <f>'TE BE'!$U$49*'TE BE'!$U$57</f>
        <v>0</v>
      </c>
      <c r="V49" s="36">
        <f>SUM($S$49:$U$49)</f>
        <v>0</v>
      </c>
      <c r="W49" s="36">
        <f>'TE BE'!$AA$49*'TE BE'!$W$57</f>
        <v>-13.019161284580939</v>
      </c>
      <c r="X49" s="36">
        <f>SUM($W$49:$W$49)</f>
        <v>-13.019161284580939</v>
      </c>
      <c r="Y49" s="36">
        <f>'TE BE'!$Y$49*'TE BE'!$Y$57</f>
        <v>-0.23283738090132741</v>
      </c>
      <c r="Z49" s="36">
        <f>SUM($Y$49:$Y$49)</f>
        <v>-0.23283738090132741</v>
      </c>
      <c r="AA49" s="36">
        <f>SUMIF($L$4:$Z$4,"SUBTOTAL",$L$49:$Z$49)</f>
        <v>-38.955681125068871</v>
      </c>
    </row>
    <row r="50" spans="1:27" ht="11.25" customHeight="1" x14ac:dyDescent="0.25">
      <c r="A50" s="112"/>
      <c r="B50" s="112"/>
      <c r="C50" s="112"/>
      <c r="D50" s="38" t="s">
        <v>112</v>
      </c>
      <c r="E50" s="38" t="s">
        <v>25</v>
      </c>
      <c r="F50" s="38" t="s">
        <v>25</v>
      </c>
      <c r="G50" s="38" t="s">
        <v>98</v>
      </c>
      <c r="H50" s="38" t="s">
        <v>93</v>
      </c>
      <c r="I50" s="38">
        <f>'MERCADO TE'!$U$47</f>
        <v>0</v>
      </c>
      <c r="J50" s="15"/>
      <c r="L50" s="36">
        <f>'TE BE'!$L$50*'TE BE'!$L$57</f>
        <v>-7.6143018999566764E-4</v>
      </c>
      <c r="M50" s="36">
        <f>'TE BE'!$M$50*'TE BE'!$M$57</f>
        <v>-17.896997916006104</v>
      </c>
      <c r="N50" s="36">
        <f>'TE BE'!$N$50*'TE BE'!$N$57</f>
        <v>0</v>
      </c>
      <c r="O50" s="36">
        <f>'TE BE'!$O$50*'TE BE'!$O$57</f>
        <v>-0.11173287544564657</v>
      </c>
      <c r="P50" s="36">
        <f>SUM($L$50:$O$50)</f>
        <v>-18.009492221641747</v>
      </c>
      <c r="Q50" s="36">
        <f>'TE BE'!$Q$50*'TE BE'!$Q$57</f>
        <v>-10.030888643361811</v>
      </c>
      <c r="R50" s="36">
        <f>SUM($Q$50:$Q$50)</f>
        <v>-10.030888643361811</v>
      </c>
      <c r="S50" s="36">
        <f>'TE BE'!$S$50*'TE BE'!$S$57</f>
        <v>0</v>
      </c>
      <c r="T50" s="36">
        <f>'TE BE'!$T$50*'TE BE'!$T$57</f>
        <v>0</v>
      </c>
      <c r="U50" s="36">
        <f>'TE BE'!$U$50*'TE BE'!$U$57</f>
        <v>0</v>
      </c>
      <c r="V50" s="36">
        <f>SUM($S$50:$U$50)</f>
        <v>0</v>
      </c>
      <c r="W50" s="36">
        <f>'TE BE'!$AA$50*'TE BE'!$W$57</f>
        <v>-14.202721401361023</v>
      </c>
      <c r="X50" s="36">
        <f>SUM($W$50:$W$50)</f>
        <v>-14.202721401361023</v>
      </c>
      <c r="Y50" s="36">
        <f>'TE BE'!$Y$50*'TE BE'!$Y$57</f>
        <v>-0.25400441552872083</v>
      </c>
      <c r="Z50" s="36">
        <f>SUM($Y$50:$Y$50)</f>
        <v>-0.25400441552872083</v>
      </c>
      <c r="AA50" s="36">
        <f>SUMIF($L$4:$Z$4,"SUBTOTAL",$L$50:$Z$50)</f>
        <v>-42.4971066818933</v>
      </c>
    </row>
    <row r="52" spans="1:27" ht="11.25" customHeight="1" x14ac:dyDescent="0.25">
      <c r="K52" s="41" t="s">
        <v>964</v>
      </c>
      <c r="L52" s="36">
        <f t="shared" ref="L52:AA52" si="0">SUMPRODUCT($I$5:$I$50,L$5:L$50)</f>
        <v>-3280.8486845495613</v>
      </c>
      <c r="M52" s="36">
        <f t="shared" si="0"/>
        <v>-77114544.237402707</v>
      </c>
      <c r="N52" s="36">
        <f t="shared" si="0"/>
        <v>0</v>
      </c>
      <c r="O52" s="36">
        <f t="shared" si="0"/>
        <v>-481434.36160427966</v>
      </c>
      <c r="P52" s="36">
        <f t="shared" si="0"/>
        <v>-77599259.44769156</v>
      </c>
      <c r="Q52" s="36">
        <f t="shared" si="0"/>
        <v>-42979281.433094189</v>
      </c>
      <c r="R52" s="36">
        <f t="shared" si="0"/>
        <v>-42979281.433094189</v>
      </c>
      <c r="S52" s="36">
        <f t="shared" si="0"/>
        <v>0</v>
      </c>
      <c r="T52" s="36">
        <f t="shared" si="0"/>
        <v>0</v>
      </c>
      <c r="U52" s="36">
        <f t="shared" si="0"/>
        <v>0</v>
      </c>
      <c r="V52" s="36">
        <f t="shared" si="0"/>
        <v>0</v>
      </c>
      <c r="W52" s="36">
        <f t="shared" si="0"/>
        <v>-53981673.611668833</v>
      </c>
      <c r="X52" s="36">
        <f t="shared" si="0"/>
        <v>-53981673.611668833</v>
      </c>
      <c r="Y52" s="36">
        <f t="shared" si="0"/>
        <v>-1094453.6524903555</v>
      </c>
      <c r="Z52" s="36">
        <f t="shared" si="0"/>
        <v>-1094453.6524903555</v>
      </c>
      <c r="AA52" s="36">
        <f t="shared" si="0"/>
        <v>-175654668.14494494</v>
      </c>
    </row>
    <row r="53" spans="1:27" ht="11.25" customHeight="1" x14ac:dyDescent="0.25">
      <c r="K53" s="41" t="s">
        <v>899</v>
      </c>
      <c r="L53" s="36">
        <f>CUSTOS!$D$30</f>
        <v>6780086.7341029542</v>
      </c>
      <c r="M53" s="36">
        <f>CUSTOS!$D$31</f>
        <v>44173415.506152324</v>
      </c>
      <c r="N53" s="36">
        <f>CUSTOS!$D$32</f>
        <v>0</v>
      </c>
      <c r="O53" s="36">
        <f>CUSTOS!$D$33</f>
        <v>9633157.0101621784</v>
      </c>
      <c r="P53" s="36">
        <f>CUSTOS!$D$34</f>
        <v>60586659.250417456</v>
      </c>
      <c r="Q53" s="36">
        <f>CUSTOS!$D$35</f>
        <v>578739872.88881707</v>
      </c>
      <c r="R53" s="36">
        <f>CUSTOS!$D$36</f>
        <v>578739872.88881707</v>
      </c>
      <c r="S53" s="36">
        <f>CUSTOS!$D$37</f>
        <v>0</v>
      </c>
      <c r="T53" s="36">
        <f>CUSTOS!$D$38</f>
        <v>0</v>
      </c>
      <c r="U53" s="36">
        <f>CUSTOS!$D$39</f>
        <v>9.9999999999999995E-7</v>
      </c>
      <c r="V53" s="36">
        <f>CUSTOS!$D$40</f>
        <v>9.9999999999999995E-7</v>
      </c>
      <c r="W53" s="36">
        <f>CUSTOS!$D$41</f>
        <v>0</v>
      </c>
      <c r="X53" s="36">
        <f>CUSTOS!$D$42</f>
        <v>0</v>
      </c>
      <c r="Y53" s="36">
        <f>CUSTOS!$D$43</f>
        <v>14737425.722460933</v>
      </c>
      <c r="Z53" s="36">
        <f>CUSTOS!$D$44</f>
        <v>14737425.722460933</v>
      </c>
      <c r="AA53" s="36">
        <f>CUSTOS!$D$45</f>
        <v>654063957.86169648</v>
      </c>
    </row>
    <row r="54" spans="1:27" ht="11.25" customHeight="1" x14ac:dyDescent="0.25">
      <c r="K54" s="41" t="s">
        <v>900</v>
      </c>
      <c r="L54" s="36">
        <f>CUSTOS!$E$30</f>
        <v>-3280.8486845495613</v>
      </c>
      <c r="M54" s="36">
        <f>CUSTOS!$E$31</f>
        <v>-77114544.237402737</v>
      </c>
      <c r="N54" s="36">
        <f>CUSTOS!$E$32</f>
        <v>0</v>
      </c>
      <c r="O54" s="36">
        <f>CUSTOS!$E$33</f>
        <v>-481434.36160427966</v>
      </c>
      <c r="P54" s="36">
        <f>CUSTOS!$E$34</f>
        <v>-77599259.44769156</v>
      </c>
      <c r="Q54" s="36">
        <f>CUSTOS!$E$35</f>
        <v>-42979281.433094189</v>
      </c>
      <c r="R54" s="36">
        <f>CUSTOS!$E$36</f>
        <v>-42979281.433094189</v>
      </c>
      <c r="S54" s="36">
        <f>CUSTOS!$E$37</f>
        <v>0</v>
      </c>
      <c r="T54" s="36">
        <f>CUSTOS!$E$38</f>
        <v>0</v>
      </c>
      <c r="U54" s="36">
        <f>CUSTOS!$E$39</f>
        <v>0</v>
      </c>
      <c r="V54" s="36">
        <f>CUSTOS!$E$40</f>
        <v>0</v>
      </c>
      <c r="W54" s="36">
        <f>CUSTOS!$E$41</f>
        <v>-53981673.611668848</v>
      </c>
      <c r="X54" s="36">
        <f>CUSTOS!$E$42</f>
        <v>-53981673.611668848</v>
      </c>
      <c r="Y54" s="36">
        <f>CUSTOS!$E$43</f>
        <v>-1094453.6524903555</v>
      </c>
      <c r="Z54" s="36">
        <f>CUSTOS!$E$44</f>
        <v>-1094453.6524903555</v>
      </c>
      <c r="AA54" s="36">
        <f>CUSTOS!$E$45</f>
        <v>-175654668.14494494</v>
      </c>
    </row>
    <row r="55" spans="1:27" ht="11.25" customHeight="1" x14ac:dyDescent="0.25">
      <c r="K55" s="41" t="s">
        <v>901</v>
      </c>
      <c r="L55" s="36">
        <f>CUSTOS!$F$30</f>
        <v>0</v>
      </c>
      <c r="M55" s="36">
        <f>CUSTOS!$F$31</f>
        <v>88617019.98359926</v>
      </c>
      <c r="N55" s="36">
        <f>CUSTOS!$F$32</f>
        <v>0</v>
      </c>
      <c r="O55" s="36">
        <f>CUSTOS!$F$33</f>
        <v>626300.36751540366</v>
      </c>
      <c r="P55" s="36">
        <f>CUSTOS!$F$34</f>
        <v>89243320.351114661</v>
      </c>
      <c r="Q55" s="36">
        <f>CUSTOS!$F$35</f>
        <v>41955382.868036844</v>
      </c>
      <c r="R55" s="36">
        <f>CUSTOS!$F$36</f>
        <v>41955382.868036844</v>
      </c>
      <c r="S55" s="36">
        <f>CUSTOS!$F$37</f>
        <v>0</v>
      </c>
      <c r="T55" s="36">
        <f>CUSTOS!$F$38</f>
        <v>0</v>
      </c>
      <c r="U55" s="36">
        <f>CUSTOS!$F$39</f>
        <v>0</v>
      </c>
      <c r="V55" s="36">
        <f>CUSTOS!$F$40</f>
        <v>0</v>
      </c>
      <c r="W55" s="36">
        <f>CUSTOS!$F$41</f>
        <v>0</v>
      </c>
      <c r="X55" s="36">
        <f>CUSTOS!$F$42</f>
        <v>0</v>
      </c>
      <c r="Y55" s="36">
        <f>CUSTOS!$F$43</f>
        <v>1068380.4030794483</v>
      </c>
      <c r="Z55" s="36">
        <f>CUSTOS!$F$44</f>
        <v>1068380.4030794483</v>
      </c>
      <c r="AA55" s="36">
        <f>CUSTOS!$F$45</f>
        <v>132267083.62223095</v>
      </c>
    </row>
    <row r="56" spans="1:27" ht="11.25" customHeight="1" x14ac:dyDescent="0.25">
      <c r="K56" s="41" t="s">
        <v>965</v>
      </c>
      <c r="L56" s="36">
        <f>'TR TE'!$L$56*L57</f>
        <v>0</v>
      </c>
      <c r="M56" s="36">
        <f>'TR TE'!$M$56*M57</f>
        <v>34.277550745088085</v>
      </c>
      <c r="N56" s="36">
        <f>'TR TE'!$N$56*N57</f>
        <v>0</v>
      </c>
      <c r="O56" s="36">
        <f>'TR TE'!$O$56*O57</f>
        <v>0.24225642696120622</v>
      </c>
      <c r="P56" s="36"/>
      <c r="Q56" s="36">
        <f>'TR TE'!$Q$56*Q57</f>
        <v>15.973257240947175</v>
      </c>
      <c r="R56" s="36"/>
      <c r="S56" s="36">
        <f>'TR TE'!$S$56*S57</f>
        <v>0</v>
      </c>
      <c r="T56" s="36">
        <f>'TR TE'!$T$56*T57</f>
        <v>0</v>
      </c>
      <c r="U56" s="36">
        <f>'TR TE'!$U$56*U57</f>
        <v>0</v>
      </c>
      <c r="V56" s="36"/>
      <c r="W56" s="36"/>
      <c r="X56" s="36"/>
      <c r="Y56" s="36">
        <f>'TR TE'!$Y$56*Y57</f>
        <v>0.41325541626643675</v>
      </c>
      <c r="Z56" s="36"/>
      <c r="AA56" s="36"/>
    </row>
    <row r="57" spans="1:27" ht="11.25" customHeight="1" x14ac:dyDescent="0.25">
      <c r="K57" s="41" t="s">
        <v>960</v>
      </c>
      <c r="L57" s="36">
        <f>IF(L53&lt;&gt;0,L55/L53,0)</f>
        <v>0</v>
      </c>
      <c r="M57" s="36">
        <f>IF(M53&lt;&gt;0,M55/M53,0)</f>
        <v>2.0061165515095154</v>
      </c>
      <c r="N57" s="36">
        <f>IF(N53&lt;&gt;0,N55/N53,0)</f>
        <v>0</v>
      </c>
      <c r="O57" s="36">
        <f>IF(O53&lt;&gt;0,O55/O53,0)</f>
        <v>6.5015068980471186E-2</v>
      </c>
      <c r="P57" s="36"/>
      <c r="Q57" s="36">
        <f>IF(Q53&lt;&gt;0,Q55/Q53,0)</f>
        <v>7.2494370672291628E-2</v>
      </c>
      <c r="R57" s="36"/>
      <c r="S57" s="36">
        <f>IF(S53&lt;&gt;0,S55/S53,0)</f>
        <v>0</v>
      </c>
      <c r="T57" s="36">
        <f>IF(T53&lt;&gt;0,T55/T53,0)</f>
        <v>0</v>
      </c>
      <c r="U57" s="36">
        <f>IF(U53&lt;&gt;0,U55/U53,0)</f>
        <v>0</v>
      </c>
      <c r="V57" s="36"/>
      <c r="W57" s="36">
        <f>IF($AA53&lt;&gt;0,W55/($AA53-SUM('TR TE'!$L56:'TR TE'!$Z56)*0),0)</f>
        <v>0</v>
      </c>
      <c r="X57" s="36"/>
      <c r="Y57" s="36">
        <f>IF(Y53&lt;&gt;0,Y55/Y53,0)</f>
        <v>7.2494370672291641E-2</v>
      </c>
      <c r="Z57" s="36"/>
      <c r="AA57" s="36"/>
    </row>
    <row r="58" spans="1:27" ht="11.25" customHeight="1" x14ac:dyDescent="0.25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mergeCells count="67">
    <mergeCell ref="E44:E46"/>
    <mergeCell ref="F44:F46"/>
    <mergeCell ref="A49:A50"/>
    <mergeCell ref="B49:B50"/>
    <mergeCell ref="C49:C50"/>
    <mergeCell ref="D44:D46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A16:A28"/>
    <mergeCell ref="B16:B18"/>
    <mergeCell ref="C16:C18"/>
    <mergeCell ref="D16:D18"/>
    <mergeCell ref="E16:E18"/>
    <mergeCell ref="F16:F18"/>
    <mergeCell ref="B19:B23"/>
    <mergeCell ref="C19:C23"/>
    <mergeCell ref="B24:B28"/>
    <mergeCell ref="C24:C28"/>
    <mergeCell ref="A10:A15"/>
    <mergeCell ref="B10:B11"/>
    <mergeCell ref="C10:C11"/>
    <mergeCell ref="D10:D11"/>
    <mergeCell ref="E10:E11"/>
    <mergeCell ref="F10:F11"/>
    <mergeCell ref="Y3:Z3"/>
    <mergeCell ref="AA3:AA4"/>
    <mergeCell ref="A5:A9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52">
    <cfRule type="cellIs" dxfId="1441" priority="31" operator="notEqual">
      <formula>$L$54</formula>
    </cfRule>
    <cfRule type="cellIs" dxfId="1440" priority="32" operator="equal">
      <formula>$L$54</formula>
    </cfRule>
  </conditionalFormatting>
  <conditionalFormatting sqref="M52">
    <cfRule type="cellIs" dxfId="1439" priority="29" operator="notEqual">
      <formula>$M$54</formula>
    </cfRule>
    <cfRule type="cellIs" dxfId="1438" priority="30" operator="equal">
      <formula>$M$54</formula>
    </cfRule>
  </conditionalFormatting>
  <conditionalFormatting sqref="N52">
    <cfRule type="cellIs" dxfId="1437" priority="27" operator="notEqual">
      <formula>$N$54</formula>
    </cfRule>
    <cfRule type="cellIs" dxfId="1436" priority="28" operator="equal">
      <formula>$N$54</formula>
    </cfRule>
  </conditionalFormatting>
  <conditionalFormatting sqref="O52">
    <cfRule type="cellIs" dxfId="1435" priority="25" operator="notEqual">
      <formula>$O$54</formula>
    </cfRule>
    <cfRule type="cellIs" dxfId="1434" priority="26" operator="equal">
      <formula>$O$54</formula>
    </cfRule>
  </conditionalFormatting>
  <conditionalFormatting sqref="P52">
    <cfRule type="cellIs" dxfId="1433" priority="23" operator="notEqual">
      <formula>$P$54</formula>
    </cfRule>
    <cfRule type="cellIs" dxfId="1432" priority="24" operator="equal">
      <formula>$P$54</formula>
    </cfRule>
  </conditionalFormatting>
  <conditionalFormatting sqref="Q52">
    <cfRule type="cellIs" dxfId="1431" priority="21" operator="notEqual">
      <formula>$Q$54</formula>
    </cfRule>
    <cfRule type="cellIs" dxfId="1430" priority="22" operator="equal">
      <formula>$Q$54</formula>
    </cfRule>
  </conditionalFormatting>
  <conditionalFormatting sqref="R52">
    <cfRule type="cellIs" dxfId="1429" priority="19" operator="notEqual">
      <formula>$R$54</formula>
    </cfRule>
    <cfRule type="cellIs" dxfId="1428" priority="20" operator="equal">
      <formula>$R$54</formula>
    </cfRule>
  </conditionalFormatting>
  <conditionalFormatting sqref="S52">
    <cfRule type="cellIs" dxfId="1427" priority="17" operator="notEqual">
      <formula>$S$54</formula>
    </cfRule>
    <cfRule type="cellIs" dxfId="1426" priority="18" operator="equal">
      <formula>$S$54</formula>
    </cfRule>
  </conditionalFormatting>
  <conditionalFormatting sqref="T52">
    <cfRule type="cellIs" dxfId="1425" priority="15" operator="notEqual">
      <formula>$T$54</formula>
    </cfRule>
    <cfRule type="cellIs" dxfId="1424" priority="16" operator="equal">
      <formula>$T$54</formula>
    </cfRule>
  </conditionalFormatting>
  <conditionalFormatting sqref="U52">
    <cfRule type="cellIs" dxfId="1423" priority="13" operator="notEqual">
      <formula>$U$54</formula>
    </cfRule>
    <cfRule type="cellIs" dxfId="1422" priority="14" operator="equal">
      <formula>$U$54</formula>
    </cfRule>
  </conditionalFormatting>
  <conditionalFormatting sqref="V52">
    <cfRule type="cellIs" dxfId="1421" priority="11" operator="notEqual">
      <formula>$V$54</formula>
    </cfRule>
    <cfRule type="cellIs" dxfId="1420" priority="12" operator="equal">
      <formula>$V$54</formula>
    </cfRule>
  </conditionalFormatting>
  <conditionalFormatting sqref="W52">
    <cfRule type="cellIs" dxfId="1419" priority="9" operator="notEqual">
      <formula>$W$54</formula>
    </cfRule>
    <cfRule type="cellIs" dxfId="1418" priority="10" operator="equal">
      <formula>$W$54</formula>
    </cfRule>
  </conditionalFormatting>
  <conditionalFormatting sqref="X52">
    <cfRule type="cellIs" dxfId="1417" priority="7" operator="notEqual">
      <formula>$X$54</formula>
    </cfRule>
    <cfRule type="cellIs" dxfId="1416" priority="8" operator="equal">
      <formula>$X$54</formula>
    </cfRule>
  </conditionalFormatting>
  <conditionalFormatting sqref="Y52">
    <cfRule type="cellIs" dxfId="1415" priority="5" operator="notEqual">
      <formula>$Y$54</formula>
    </cfRule>
    <cfRule type="cellIs" dxfId="1414" priority="6" operator="equal">
      <formula>$Y$54</formula>
    </cfRule>
  </conditionalFormatting>
  <conditionalFormatting sqref="Z52">
    <cfRule type="cellIs" dxfId="1413" priority="3" operator="notEqual">
      <formula>$Z$54</formula>
    </cfRule>
    <cfRule type="cellIs" dxfId="1412" priority="4" operator="equal">
      <formula>$Z$54</formula>
    </cfRule>
  </conditionalFormatting>
  <conditionalFormatting sqref="AA52">
    <cfRule type="cellIs" dxfId="1411" priority="1" operator="notEqual">
      <formula>$AA$54</formula>
    </cfRule>
    <cfRule type="cellIs" dxfId="1410" priority="2" operator="equal">
      <formula>$AA$54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275B-0EA8-4083-B79C-E57F2AA56FA1}">
  <dimension ref="A1:AA58"/>
  <sheetViews>
    <sheetView showGridLines="0" topLeftCell="Q31" workbookViewId="0">
      <selection activeCell="AA52" sqref="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1.4257812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1.42578125" style="9" bestFit="1" customWidth="1"/>
    <col min="25" max="25" width="11" style="9" bestFit="1" customWidth="1"/>
    <col min="26" max="26" width="10.85546875" style="9" bestFit="1" customWidth="1"/>
    <col min="27" max="27" width="12.28515625" style="9" bestFit="1" customWidth="1"/>
    <col min="28" max="16384" width="9.140625" style="9"/>
  </cols>
  <sheetData>
    <row r="1" spans="1:27" ht="11.25" customHeight="1" x14ac:dyDescent="0.25">
      <c r="A1" s="113" t="s">
        <v>83</v>
      </c>
      <c r="B1" s="113" t="s">
        <v>84</v>
      </c>
      <c r="C1" s="113" t="s">
        <v>85</v>
      </c>
      <c r="D1" s="113" t="s">
        <v>86</v>
      </c>
      <c r="E1" s="113" t="s">
        <v>87</v>
      </c>
      <c r="F1" s="113" t="s">
        <v>15</v>
      </c>
      <c r="G1" s="113" t="s">
        <v>89</v>
      </c>
      <c r="H1" s="113" t="s">
        <v>90</v>
      </c>
      <c r="I1" s="113" t="s">
        <v>947</v>
      </c>
      <c r="J1" s="102"/>
      <c r="L1" s="114" t="s">
        <v>970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02"/>
      <c r="L2" s="114" t="s">
        <v>886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02"/>
      <c r="L3" s="114" t="s">
        <v>859</v>
      </c>
      <c r="M3" s="114"/>
      <c r="N3" s="114"/>
      <c r="O3" s="114"/>
      <c r="P3" s="114"/>
      <c r="Q3" s="114" t="s">
        <v>889</v>
      </c>
      <c r="R3" s="114"/>
      <c r="S3" s="114" t="s">
        <v>868</v>
      </c>
      <c r="T3" s="114"/>
      <c r="U3" s="114"/>
      <c r="V3" s="114"/>
      <c r="W3" s="114" t="s">
        <v>878</v>
      </c>
      <c r="X3" s="114"/>
      <c r="Y3" s="114" t="s">
        <v>881</v>
      </c>
      <c r="Z3" s="114"/>
      <c r="AA3" s="114" t="s">
        <v>867</v>
      </c>
    </row>
    <row r="4" spans="1:27" ht="11.25" customHeight="1" x14ac:dyDescent="0.25">
      <c r="A4" s="113"/>
      <c r="B4" s="113"/>
      <c r="C4" s="113"/>
      <c r="D4" s="113"/>
      <c r="E4" s="113"/>
      <c r="F4" s="113"/>
      <c r="G4" s="113"/>
      <c r="H4" s="113"/>
      <c r="I4" s="113"/>
      <c r="J4" s="102"/>
      <c r="L4" s="40" t="s">
        <v>861</v>
      </c>
      <c r="M4" s="40" t="s">
        <v>887</v>
      </c>
      <c r="N4" s="40" t="s">
        <v>888</v>
      </c>
      <c r="O4" s="40" t="s">
        <v>946</v>
      </c>
      <c r="P4" s="40" t="s">
        <v>867</v>
      </c>
      <c r="Q4" s="40" t="s">
        <v>890</v>
      </c>
      <c r="R4" s="40" t="s">
        <v>867</v>
      </c>
      <c r="S4" s="40" t="s">
        <v>891</v>
      </c>
      <c r="T4" s="40" t="s">
        <v>892</v>
      </c>
      <c r="U4" s="40" t="s">
        <v>893</v>
      </c>
      <c r="V4" s="40" t="s">
        <v>867</v>
      </c>
      <c r="W4" s="40" t="s">
        <v>879</v>
      </c>
      <c r="X4" s="40" t="s">
        <v>867</v>
      </c>
      <c r="Y4" s="40" t="s">
        <v>894</v>
      </c>
      <c r="Z4" s="40" t="s">
        <v>867</v>
      </c>
      <c r="AA4" s="115"/>
    </row>
    <row r="5" spans="1:27" ht="11.25" customHeight="1" x14ac:dyDescent="0.25">
      <c r="A5" s="112" t="s">
        <v>39</v>
      </c>
      <c r="B5" s="112" t="s">
        <v>92</v>
      </c>
      <c r="C5" s="112" t="s">
        <v>25</v>
      </c>
      <c r="D5" s="112" t="s">
        <v>25</v>
      </c>
      <c r="E5" s="112" t="s">
        <v>25</v>
      </c>
      <c r="F5" s="112" t="s">
        <v>25</v>
      </c>
      <c r="G5" s="38" t="s">
        <v>94</v>
      </c>
      <c r="H5" s="38" t="s">
        <v>93</v>
      </c>
      <c r="I5" s="38">
        <f>'MERCADO TE'!$U$2</f>
        <v>4826.8779999999997</v>
      </c>
      <c r="J5" s="15"/>
      <c r="L5" s="36">
        <f>'TE BE'!$L$5*'TE BF'!$L$57</f>
        <v>0</v>
      </c>
      <c r="M5" s="36">
        <f>'TE BE'!$M$5*'TE BF'!$M$57</f>
        <v>34.277550745088085</v>
      </c>
      <c r="N5" s="36">
        <f>'TE BE'!$N$5*'TE BF'!$N$57</f>
        <v>0</v>
      </c>
      <c r="O5" s="36">
        <f>'TE BE'!$O$5*'TE BF'!$O$57</f>
        <v>0.24225642696120622</v>
      </c>
      <c r="P5" s="36">
        <f>SUM($L$5:$O$5)</f>
        <v>34.519807172049291</v>
      </c>
      <c r="Q5" s="36">
        <f>'TE BE'!$Q$5*'TE BF'!$Q$57</f>
        <v>26.48129862459168</v>
      </c>
      <c r="R5" s="36">
        <f>SUM($Q$5:$Q$5)</f>
        <v>26.48129862459168</v>
      </c>
      <c r="S5" s="36">
        <f>'TE BE'!$S$5*'TE BF'!$S$57</f>
        <v>0</v>
      </c>
      <c r="T5" s="36">
        <f>'TE BE'!$T$5*'TE BF'!$T$57</f>
        <v>0</v>
      </c>
      <c r="U5" s="36">
        <f>'TE BE'!$U$5*'TE BF'!$U$57</f>
        <v>0</v>
      </c>
      <c r="V5" s="36">
        <f>SUM($S$5:$U$5)</f>
        <v>0</v>
      </c>
      <c r="W5" s="36">
        <f>'TE BE'!$AA$5*'TE BF'!$W$57</f>
        <v>0</v>
      </c>
      <c r="X5" s="36">
        <f>SUM($W$5:$W$5)</f>
        <v>0</v>
      </c>
      <c r="Y5" s="36">
        <f>'TE BE'!$Y$5*'TE BF'!$Y$57</f>
        <v>0.41325541626643675</v>
      </c>
      <c r="Z5" s="36">
        <f>SUM($Y$5:$Y$5)</f>
        <v>0.41325541626643675</v>
      </c>
      <c r="AA5" s="36">
        <f>SUMIF($L$4:$Z$4,"SUBTOTAL",$L$5:$Z$5)</f>
        <v>61.414361212907409</v>
      </c>
    </row>
    <row r="6" spans="1:27" ht="11.25" customHeight="1" x14ac:dyDescent="0.25">
      <c r="A6" s="112"/>
      <c r="B6" s="112"/>
      <c r="C6" s="112"/>
      <c r="D6" s="112"/>
      <c r="E6" s="112"/>
      <c r="F6" s="112"/>
      <c r="G6" s="38" t="s">
        <v>95</v>
      </c>
      <c r="H6" s="38" t="s">
        <v>93</v>
      </c>
      <c r="I6" s="38">
        <f>'MERCADO TE'!$U$3</f>
        <v>85647.175000000017</v>
      </c>
      <c r="J6" s="15"/>
      <c r="L6" s="36">
        <f>'TE BE'!$L$6*'TE BF'!$L$57</f>
        <v>0</v>
      </c>
      <c r="M6" s="36">
        <f>'TE BE'!$M$6*'TE BF'!$M$57</f>
        <v>34.277550745088085</v>
      </c>
      <c r="N6" s="36">
        <f>'TE BE'!$N$6*'TE BF'!$N$57</f>
        <v>0</v>
      </c>
      <c r="O6" s="36">
        <f>'TE BE'!$O$6*'TE BF'!$O$57</f>
        <v>0.24225642696120622</v>
      </c>
      <c r="P6" s="36">
        <f>SUM($L$6:$O$6)</f>
        <v>34.519807172049291</v>
      </c>
      <c r="Q6" s="36">
        <f>'TE BE'!$Q$6*'TE BF'!$Q$57</f>
        <v>15.396103851506792</v>
      </c>
      <c r="R6" s="36">
        <f>SUM($Q$6:$Q$6)</f>
        <v>15.396103851506792</v>
      </c>
      <c r="S6" s="36">
        <f>'TE BE'!$S$6*'TE BF'!$S$57</f>
        <v>0</v>
      </c>
      <c r="T6" s="36">
        <f>'TE BE'!$T$6*'TE BF'!$T$57</f>
        <v>0</v>
      </c>
      <c r="U6" s="36">
        <f>'TE BE'!$U$6*'TE BF'!$U$57</f>
        <v>0</v>
      </c>
      <c r="V6" s="36">
        <f>SUM($S$6:$U$6)</f>
        <v>0</v>
      </c>
      <c r="W6" s="36">
        <f>'TE BE'!$AA$6*'TE BF'!$W$57</f>
        <v>0</v>
      </c>
      <c r="X6" s="36">
        <f>SUM($W$6:$W$6)</f>
        <v>0</v>
      </c>
      <c r="Y6" s="36">
        <f>'TE BE'!$Y$6*'TE BF'!$Y$57</f>
        <v>0.41325541626643675</v>
      </c>
      <c r="Z6" s="36">
        <f>SUM($Y$6:$Y$6)</f>
        <v>0.41325541626643675</v>
      </c>
      <c r="AA6" s="36">
        <f>SUMIF($L$4:$Z$4,"SUBTOTAL",$L$6:$Z$6)</f>
        <v>50.329166439822522</v>
      </c>
    </row>
    <row r="7" spans="1:27" ht="11.25" customHeight="1" x14ac:dyDescent="0.25">
      <c r="A7" s="112"/>
      <c r="B7" s="39" t="s">
        <v>96</v>
      </c>
      <c r="C7" s="39" t="s">
        <v>25</v>
      </c>
      <c r="D7" s="39" t="s">
        <v>25</v>
      </c>
      <c r="E7" s="39" t="s">
        <v>97</v>
      </c>
      <c r="F7" s="39" t="s">
        <v>25</v>
      </c>
      <c r="G7" s="38" t="s">
        <v>98</v>
      </c>
      <c r="H7" s="38" t="s">
        <v>93</v>
      </c>
      <c r="I7" s="38">
        <f>'MERCADO TE'!$U$4</f>
        <v>285935.57</v>
      </c>
      <c r="J7" s="15"/>
      <c r="L7" s="36">
        <f>'TE BE'!$L$7*'TE BF'!$L$57</f>
        <v>0</v>
      </c>
      <c r="M7" s="36">
        <f>'TE BE'!$M$7*'TE BF'!$M$57</f>
        <v>34.277550745088085</v>
      </c>
      <c r="N7" s="36">
        <f>'TE BE'!$N$7*'TE BF'!$N$57</f>
        <v>0</v>
      </c>
      <c r="O7" s="36">
        <f>'TE BE'!$O$7*'TE BF'!$O$57</f>
        <v>0.24225642696120622</v>
      </c>
      <c r="P7" s="36">
        <f>SUM($L$7:$O$7)</f>
        <v>34.519807172049291</v>
      </c>
      <c r="Q7" s="36">
        <f>'TE BE'!$Q$7*'TE BF'!$Q$57</f>
        <v>15.973257240947175</v>
      </c>
      <c r="R7" s="36">
        <f>SUM($Q$7:$Q$7)</f>
        <v>15.973257240947175</v>
      </c>
      <c r="S7" s="36">
        <f>'TE BE'!$S$7*'TE BF'!$S$57</f>
        <v>0</v>
      </c>
      <c r="T7" s="36">
        <f>'TE BE'!$T$7*'TE BF'!$T$57</f>
        <v>0</v>
      </c>
      <c r="U7" s="36">
        <f>'TE BE'!$U$7*'TE BF'!$U$57</f>
        <v>0</v>
      </c>
      <c r="V7" s="36">
        <f>SUM($S$7:$U$7)</f>
        <v>0</v>
      </c>
      <c r="W7" s="36">
        <v>0</v>
      </c>
      <c r="X7" s="36">
        <f>SUM($W$7:$W$7)</f>
        <v>0</v>
      </c>
      <c r="Y7" s="36">
        <f>'TE BE'!$Y$7*'TE BF'!$Y$57</f>
        <v>0.41325541626643675</v>
      </c>
      <c r="Z7" s="36">
        <f>SUM($Y$7:$Y$7)</f>
        <v>0.41325541626643675</v>
      </c>
      <c r="AA7" s="36">
        <f>SUMIF($L$4:$Z$4,"SUBTOTAL",$L$7:$Z$7)</f>
        <v>50.906319829262905</v>
      </c>
    </row>
    <row r="8" spans="1:27" ht="11.25" customHeight="1" x14ac:dyDescent="0.25">
      <c r="A8" s="112"/>
      <c r="B8" s="39" t="s">
        <v>102</v>
      </c>
      <c r="C8" s="39" t="s">
        <v>25</v>
      </c>
      <c r="D8" s="39" t="s">
        <v>25</v>
      </c>
      <c r="E8" s="39" t="s">
        <v>97</v>
      </c>
      <c r="F8" s="39" t="s">
        <v>25</v>
      </c>
      <c r="G8" s="38" t="s">
        <v>98</v>
      </c>
      <c r="H8" s="38" t="s">
        <v>93</v>
      </c>
      <c r="I8" s="38">
        <f>'MERCADO TE'!$U$5</f>
        <v>0</v>
      </c>
      <c r="J8" s="15"/>
      <c r="L8" s="36">
        <f>'TE BE'!$L$8*'TE BF'!$L$57</f>
        <v>0</v>
      </c>
      <c r="M8" s="36">
        <f>'TE BE'!$M$8*'TE BF'!$M$57</f>
        <v>34.277550745088085</v>
      </c>
      <c r="N8" s="36">
        <f>'TE BE'!$N$8*'TE BF'!$N$57</f>
        <v>0</v>
      </c>
      <c r="O8" s="36">
        <f>'TE BE'!$O$8*'TE BF'!$O$57</f>
        <v>0.24225642696120622</v>
      </c>
      <c r="P8" s="36">
        <f>SUM($L$8:$O$8)</f>
        <v>34.519807172049291</v>
      </c>
      <c r="Q8" s="36">
        <f>'TE BE'!$Q$8*'TE BF'!$Q$57</f>
        <v>15.973257240947175</v>
      </c>
      <c r="R8" s="36">
        <f>SUM($Q$8:$Q$8)</f>
        <v>15.973257240947175</v>
      </c>
      <c r="S8" s="36">
        <f>'TE BE'!$S$8*'TE BF'!$S$57</f>
        <v>0</v>
      </c>
      <c r="T8" s="36">
        <f>'TE BE'!$T$8*'TE BF'!$T$57</f>
        <v>0</v>
      </c>
      <c r="U8" s="36">
        <f>'TE BE'!$U$8*'TE BF'!$U$57</f>
        <v>0</v>
      </c>
      <c r="V8" s="36">
        <f>SUM($S$8:$U$8)</f>
        <v>0</v>
      </c>
      <c r="W8" s="36">
        <v>0</v>
      </c>
      <c r="X8" s="36">
        <f>SUM($W$8:$W$8)</f>
        <v>0</v>
      </c>
      <c r="Y8" s="36">
        <f>'TE BE'!$Y$8*'TE BF'!$Y$57</f>
        <v>0.41325541626643675</v>
      </c>
      <c r="Z8" s="36">
        <f>SUM($Y$8:$Y$8)</f>
        <v>0.41325541626643675</v>
      </c>
      <c r="AA8" s="36">
        <f>SUMIF($L$4:$Z$4,"SUBTOTAL",$L$8:$Z$8)</f>
        <v>50.906319829262905</v>
      </c>
    </row>
    <row r="9" spans="1:27" ht="11.25" customHeight="1" x14ac:dyDescent="0.25">
      <c r="A9" s="112"/>
      <c r="B9" s="39" t="s">
        <v>96</v>
      </c>
      <c r="C9" s="39" t="s">
        <v>25</v>
      </c>
      <c r="D9" s="39" t="s">
        <v>25</v>
      </c>
      <c r="E9" s="39" t="s">
        <v>25</v>
      </c>
      <c r="F9" s="39" t="s">
        <v>25</v>
      </c>
      <c r="G9" s="38" t="s">
        <v>98</v>
      </c>
      <c r="H9" s="38" t="s">
        <v>93</v>
      </c>
      <c r="I9" s="38">
        <f>'MERCADO TE'!$U$6</f>
        <v>0</v>
      </c>
      <c r="J9" s="15"/>
      <c r="L9" s="36">
        <f>'TE BE'!$L$9*'TE BF'!$L$57</f>
        <v>0</v>
      </c>
      <c r="M9" s="36">
        <f>'TE BE'!$M$9*'TE BF'!$M$57</f>
        <v>0</v>
      </c>
      <c r="N9" s="36">
        <f>'TE BE'!$N$9*'TE BF'!$N$57</f>
        <v>0</v>
      </c>
      <c r="O9" s="36">
        <f>'TE BE'!$O$9*'TE BF'!$O$57</f>
        <v>0.24225642696120622</v>
      </c>
      <c r="P9" s="36">
        <f>SUM($L$9:$O$9)</f>
        <v>0.24225642696120622</v>
      </c>
      <c r="Q9" s="36">
        <f>'TE BE'!$Q$9*'TE BF'!$Q$57</f>
        <v>15.973257240947175</v>
      </c>
      <c r="R9" s="36">
        <f>SUM($Q$9:$Q$9)</f>
        <v>15.973257240947175</v>
      </c>
      <c r="S9" s="36">
        <f>'TE BE'!$S$9*'TE BF'!$S$57</f>
        <v>0</v>
      </c>
      <c r="T9" s="36">
        <f>'TE BE'!$T$9*'TE BF'!$T$57</f>
        <v>0</v>
      </c>
      <c r="U9" s="36">
        <f>'TE BE'!$U$9*'TE BF'!$U$57</f>
        <v>0</v>
      </c>
      <c r="V9" s="36">
        <f>SUM($S$9:$U$9)</f>
        <v>0</v>
      </c>
      <c r="W9" s="36">
        <v>0</v>
      </c>
      <c r="X9" s="36">
        <f>SUM($W$9:$W$9)</f>
        <v>0</v>
      </c>
      <c r="Y9" s="36">
        <f>'TE BE'!$Y$9*'TE BF'!$Y$57</f>
        <v>0</v>
      </c>
      <c r="Z9" s="36">
        <f>SUM($Y$9:$Y$9)</f>
        <v>0</v>
      </c>
      <c r="AA9" s="36">
        <f>SUMIF($L$4:$Z$4,"SUBTOTAL",$L$9:$Z$9)</f>
        <v>16.215513667908382</v>
      </c>
    </row>
    <row r="10" spans="1:27" ht="11.25" customHeight="1" x14ac:dyDescent="0.25">
      <c r="A10" s="112" t="s">
        <v>41</v>
      </c>
      <c r="B10" s="112" t="s">
        <v>92</v>
      </c>
      <c r="C10" s="112" t="s">
        <v>25</v>
      </c>
      <c r="D10" s="112" t="s">
        <v>25</v>
      </c>
      <c r="E10" s="112" t="s">
        <v>25</v>
      </c>
      <c r="F10" s="112" t="s">
        <v>25</v>
      </c>
      <c r="G10" s="38" t="s">
        <v>94</v>
      </c>
      <c r="H10" s="38" t="s">
        <v>93</v>
      </c>
      <c r="I10" s="38">
        <f>'MERCADO TE'!$U$7</f>
        <v>30551.196</v>
      </c>
      <c r="J10" s="15"/>
      <c r="L10" s="36">
        <f>'TE BE'!$L$10*'TE BF'!$L$57</f>
        <v>0</v>
      </c>
      <c r="M10" s="36">
        <f>'TE BE'!$M$10*'TE BF'!$M$57</f>
        <v>34.277550745088085</v>
      </c>
      <c r="N10" s="36">
        <f>'TE BE'!$N$10*'TE BF'!$N$57</f>
        <v>0</v>
      </c>
      <c r="O10" s="36">
        <f>'TE BE'!$O$10*'TE BF'!$O$57</f>
        <v>0.24225642696120622</v>
      </c>
      <c r="P10" s="36">
        <f>SUM($L$10:$O$10)</f>
        <v>34.519807172049291</v>
      </c>
      <c r="Q10" s="36">
        <f>'TE BE'!$Q$10*'TE BF'!$Q$57</f>
        <v>26.48129862459168</v>
      </c>
      <c r="R10" s="36">
        <f>SUM($Q$10:$Q$10)</f>
        <v>26.48129862459168</v>
      </c>
      <c r="S10" s="36">
        <f>'TE BE'!$S$10*'TE BF'!$S$57</f>
        <v>0</v>
      </c>
      <c r="T10" s="36">
        <f>'TE BE'!$T$10*'TE BF'!$T$57</f>
        <v>0</v>
      </c>
      <c r="U10" s="36">
        <f>'TE BE'!$U$10*'TE BF'!$U$57</f>
        <v>0</v>
      </c>
      <c r="V10" s="36">
        <f>SUM($S$10:$U$10)</f>
        <v>0</v>
      </c>
      <c r="W10" s="36">
        <f>'TE BE'!$AA$10*'TE BF'!$W$57</f>
        <v>0</v>
      </c>
      <c r="X10" s="36">
        <f>SUM($W$10:$W$10)</f>
        <v>0</v>
      </c>
      <c r="Y10" s="36">
        <f>'TE BE'!$Y$10*'TE BF'!$Y$57</f>
        <v>0.41325541626643675</v>
      </c>
      <c r="Z10" s="36">
        <f>SUM($Y$10:$Y$10)</f>
        <v>0.41325541626643675</v>
      </c>
      <c r="AA10" s="36">
        <f>SUMIF($L$4:$Z$4,"SUBTOTAL",$L$10:$Z$10)</f>
        <v>61.414361212907409</v>
      </c>
    </row>
    <row r="11" spans="1:27" ht="11.25" customHeight="1" x14ac:dyDescent="0.25">
      <c r="A11" s="112"/>
      <c r="B11" s="112"/>
      <c r="C11" s="112"/>
      <c r="D11" s="112"/>
      <c r="E11" s="112"/>
      <c r="F11" s="112"/>
      <c r="G11" s="38" t="s">
        <v>95</v>
      </c>
      <c r="H11" s="38" t="s">
        <v>93</v>
      </c>
      <c r="I11" s="38">
        <f>'MERCADO TE'!$U$8</f>
        <v>446699.41099999991</v>
      </c>
      <c r="J11" s="15"/>
      <c r="L11" s="36">
        <f>'TE BE'!$L$11*'TE BF'!$L$57</f>
        <v>0</v>
      </c>
      <c r="M11" s="36">
        <f>'TE BE'!$M$11*'TE BF'!$M$57</f>
        <v>34.277550745088085</v>
      </c>
      <c r="N11" s="36">
        <f>'TE BE'!$N$11*'TE BF'!$N$57</f>
        <v>0</v>
      </c>
      <c r="O11" s="36">
        <f>'TE BE'!$O$11*'TE BF'!$O$57</f>
        <v>0.24225642696120622</v>
      </c>
      <c r="P11" s="36">
        <f>SUM($L$11:$O$11)</f>
        <v>34.519807172049291</v>
      </c>
      <c r="Q11" s="36">
        <f>'TE BE'!$Q$11*'TE BF'!$Q$57</f>
        <v>15.396103851506792</v>
      </c>
      <c r="R11" s="36">
        <f>SUM($Q$11:$Q$11)</f>
        <v>15.396103851506792</v>
      </c>
      <c r="S11" s="36">
        <f>'TE BE'!$S$11*'TE BF'!$S$57</f>
        <v>0</v>
      </c>
      <c r="T11" s="36">
        <f>'TE BE'!$T$11*'TE BF'!$T$57</f>
        <v>0</v>
      </c>
      <c r="U11" s="36">
        <f>'TE BE'!$U$11*'TE BF'!$U$57</f>
        <v>0</v>
      </c>
      <c r="V11" s="36">
        <f>SUM($S$11:$U$11)</f>
        <v>0</v>
      </c>
      <c r="W11" s="36">
        <f>'TE BE'!$AA$11*'TE BF'!$W$57</f>
        <v>0</v>
      </c>
      <c r="X11" s="36">
        <f>SUM($W$11:$W$11)</f>
        <v>0</v>
      </c>
      <c r="Y11" s="36">
        <f>'TE BE'!$Y$11*'TE BF'!$Y$57</f>
        <v>0.41325541626643675</v>
      </c>
      <c r="Z11" s="36">
        <f>SUM($Y$11:$Y$11)</f>
        <v>0.41325541626643675</v>
      </c>
      <c r="AA11" s="36">
        <f>SUMIF($L$4:$Z$4,"SUBTOTAL",$L$11:$Z$11)</f>
        <v>50.329166439822522</v>
      </c>
    </row>
    <row r="12" spans="1:27" ht="11.25" customHeight="1" x14ac:dyDescent="0.25">
      <c r="A12" s="112"/>
      <c r="B12" s="39" t="s">
        <v>96</v>
      </c>
      <c r="C12" s="39" t="s">
        <v>25</v>
      </c>
      <c r="D12" s="39" t="s">
        <v>25</v>
      </c>
      <c r="E12" s="39" t="s">
        <v>97</v>
      </c>
      <c r="F12" s="39" t="s">
        <v>25</v>
      </c>
      <c r="G12" s="38" t="s">
        <v>98</v>
      </c>
      <c r="H12" s="38" t="s">
        <v>93</v>
      </c>
      <c r="I12" s="38">
        <f>'MERCADO TE'!$U$9</f>
        <v>-942.74</v>
      </c>
      <c r="J12" s="15"/>
      <c r="L12" s="36">
        <f>'TE BE'!$L$12*'TE BF'!$L$57</f>
        <v>0</v>
      </c>
      <c r="M12" s="36">
        <f>'TE BE'!$M$12*'TE BF'!$M$57</f>
        <v>34.277550745088085</v>
      </c>
      <c r="N12" s="36">
        <f>'TE BE'!$N$12*'TE BF'!$N$57</f>
        <v>0</v>
      </c>
      <c r="O12" s="36">
        <f>'TE BE'!$O$12*'TE BF'!$O$57</f>
        <v>0.24225642696120622</v>
      </c>
      <c r="P12" s="36">
        <f>SUM($L$12:$O$12)</f>
        <v>34.519807172049291</v>
      </c>
      <c r="Q12" s="36">
        <f>'TE BE'!$Q$12*'TE BF'!$Q$57</f>
        <v>15.973257240947175</v>
      </c>
      <c r="R12" s="36">
        <f>SUM($Q$12:$Q$12)</f>
        <v>15.973257240947175</v>
      </c>
      <c r="S12" s="36">
        <f>'TE BE'!$S$12*'TE BF'!$S$57</f>
        <v>0</v>
      </c>
      <c r="T12" s="36">
        <f>'TE BE'!$T$12*'TE BF'!$T$57</f>
        <v>0</v>
      </c>
      <c r="U12" s="36">
        <f>'TE BE'!$U$12*'TE BF'!$U$57</f>
        <v>0</v>
      </c>
      <c r="V12" s="36">
        <f>SUM($S$12:$U$12)</f>
        <v>0</v>
      </c>
      <c r="W12" s="36">
        <v>0</v>
      </c>
      <c r="X12" s="36">
        <f>SUM($W$12:$W$12)</f>
        <v>0</v>
      </c>
      <c r="Y12" s="36">
        <f>'TE BE'!$Y$12*'TE BF'!$Y$57</f>
        <v>0.41325541626643675</v>
      </c>
      <c r="Z12" s="36">
        <f>SUM($Y$12:$Y$12)</f>
        <v>0.41325541626643675</v>
      </c>
      <c r="AA12" s="36">
        <f>SUMIF($L$4:$Z$4,"SUBTOTAL",$L$12:$Z$12)</f>
        <v>50.906319829262905</v>
      </c>
    </row>
    <row r="13" spans="1:27" ht="11.25" customHeight="1" x14ac:dyDescent="0.25">
      <c r="A13" s="112"/>
      <c r="B13" s="39" t="s">
        <v>103</v>
      </c>
      <c r="C13" s="39" t="s">
        <v>25</v>
      </c>
      <c r="D13" s="39" t="s">
        <v>25</v>
      </c>
      <c r="E13" s="39" t="s">
        <v>25</v>
      </c>
      <c r="F13" s="39" t="s">
        <v>25</v>
      </c>
      <c r="G13" s="38" t="s">
        <v>98</v>
      </c>
      <c r="H13" s="38" t="s">
        <v>93</v>
      </c>
      <c r="I13" s="38">
        <f>'MERCADO TE'!$U$10</f>
        <v>0</v>
      </c>
      <c r="J13" s="15"/>
      <c r="L13" s="36">
        <f>'TE BE'!$L$13*'TE BF'!$L$57</f>
        <v>0</v>
      </c>
      <c r="M13" s="36">
        <f>'TE BE'!$M$13*'TE BF'!$M$57</f>
        <v>34.277550745088085</v>
      </c>
      <c r="N13" s="36">
        <f>'TE BE'!$N$13*'TE BF'!$N$57</f>
        <v>0</v>
      </c>
      <c r="O13" s="36">
        <f>'TE BE'!$O$13*'TE BF'!$O$57</f>
        <v>0.24225642696120622</v>
      </c>
      <c r="P13" s="36">
        <f>SUM($L$13:$O$13)</f>
        <v>34.519807172049291</v>
      </c>
      <c r="Q13" s="36">
        <f>'TE BE'!$Q$13*'TE BF'!$Q$57</f>
        <v>16.319870082597198</v>
      </c>
      <c r="R13" s="36">
        <f>SUM($Q$13:$Q$13)</f>
        <v>16.319870082597198</v>
      </c>
      <c r="S13" s="36">
        <f>'TE BE'!$S$13*'TE BF'!$S$57</f>
        <v>0</v>
      </c>
      <c r="T13" s="36">
        <f>'TE BE'!$T$13*'TE BF'!$T$57</f>
        <v>0</v>
      </c>
      <c r="U13" s="36">
        <f>'TE BE'!$U$13*'TE BF'!$U$57</f>
        <v>0</v>
      </c>
      <c r="V13" s="36">
        <f>SUM($S$13:$U$13)</f>
        <v>0</v>
      </c>
      <c r="W13" s="36">
        <f>'TE BE'!$AA$13*'TE BF'!$W$57</f>
        <v>0</v>
      </c>
      <c r="X13" s="36">
        <f>SUM($W$13:$W$13)</f>
        <v>0</v>
      </c>
      <c r="Y13" s="36">
        <f>'TE BE'!$Y$13*'TE BF'!$Y$57</f>
        <v>0.41325541626643675</v>
      </c>
      <c r="Z13" s="36">
        <f>SUM($Y$13:$Y$13)</f>
        <v>0.41325541626643675</v>
      </c>
      <c r="AA13" s="36">
        <f>SUMIF($L$4:$Z$4,"SUBTOTAL",$L$13:$Z$13)</f>
        <v>51.252932670912926</v>
      </c>
    </row>
    <row r="14" spans="1:27" ht="11.25" customHeight="1" x14ac:dyDescent="0.25">
      <c r="A14" s="112"/>
      <c r="B14" s="39" t="s">
        <v>102</v>
      </c>
      <c r="C14" s="39" t="s">
        <v>25</v>
      </c>
      <c r="D14" s="39" t="s">
        <v>25</v>
      </c>
      <c r="E14" s="39" t="s">
        <v>97</v>
      </c>
      <c r="F14" s="39" t="s">
        <v>25</v>
      </c>
      <c r="G14" s="38" t="s">
        <v>98</v>
      </c>
      <c r="H14" s="38" t="s">
        <v>93</v>
      </c>
      <c r="I14" s="38">
        <f>'MERCADO TE'!$U$11</f>
        <v>12597.896999999997</v>
      </c>
      <c r="J14" s="15"/>
      <c r="L14" s="36">
        <f>'TE BE'!$L$14*'TE BF'!$L$57</f>
        <v>0</v>
      </c>
      <c r="M14" s="36">
        <f>'TE BE'!$M$14*'TE BF'!$M$57</f>
        <v>34.277550745088085</v>
      </c>
      <c r="N14" s="36">
        <f>'TE BE'!$N$14*'TE BF'!$N$57</f>
        <v>0</v>
      </c>
      <c r="O14" s="36">
        <f>'TE BE'!$O$14*'TE BF'!$O$57</f>
        <v>0.24225642696120622</v>
      </c>
      <c r="P14" s="36">
        <f>SUM($L$14:$O$14)</f>
        <v>34.519807172049291</v>
      </c>
      <c r="Q14" s="36">
        <f>'TE BE'!$Q$14*'TE BF'!$Q$57</f>
        <v>15.973257240947175</v>
      </c>
      <c r="R14" s="36">
        <f>SUM($Q$14:$Q$14)</f>
        <v>15.973257240947175</v>
      </c>
      <c r="S14" s="36">
        <f>'TE BE'!$S$14*'TE BF'!$S$57</f>
        <v>0</v>
      </c>
      <c r="T14" s="36">
        <f>'TE BE'!$T$14*'TE BF'!$T$57</f>
        <v>0</v>
      </c>
      <c r="U14" s="36">
        <f>'TE BE'!$U$14*'TE BF'!$U$57</f>
        <v>0</v>
      </c>
      <c r="V14" s="36">
        <f>SUM($S$14:$U$14)</f>
        <v>0</v>
      </c>
      <c r="W14" s="36">
        <v>0</v>
      </c>
      <c r="X14" s="36">
        <f>SUM($W$14:$W$14)</f>
        <v>0</v>
      </c>
      <c r="Y14" s="36">
        <f>'TE BE'!$Y$14*'TE BF'!$Y$57</f>
        <v>0.41325541626643675</v>
      </c>
      <c r="Z14" s="36">
        <f>SUM($Y$14:$Y$14)</f>
        <v>0.41325541626643675</v>
      </c>
      <c r="AA14" s="36">
        <f>SUMIF($L$4:$Z$4,"SUBTOTAL",$L$14:$Z$14)</f>
        <v>50.906319829262905</v>
      </c>
    </row>
    <row r="15" spans="1:27" ht="11.25" customHeight="1" x14ac:dyDescent="0.25">
      <c r="A15" s="112"/>
      <c r="B15" s="39" t="s">
        <v>96</v>
      </c>
      <c r="C15" s="39" t="s">
        <v>25</v>
      </c>
      <c r="D15" s="39" t="s">
        <v>25</v>
      </c>
      <c r="E15" s="39" t="s">
        <v>25</v>
      </c>
      <c r="F15" s="39" t="s">
        <v>25</v>
      </c>
      <c r="G15" s="38" t="s">
        <v>98</v>
      </c>
      <c r="H15" s="38" t="s">
        <v>93</v>
      </c>
      <c r="I15" s="38">
        <f>'MERCADO TE'!$U$12</f>
        <v>0</v>
      </c>
      <c r="J15" s="15"/>
      <c r="L15" s="36">
        <f>'TE BE'!$L$15*'TE BF'!$L$57</f>
        <v>0</v>
      </c>
      <c r="M15" s="36">
        <f>'TE BE'!$M$15*'TE BF'!$M$57</f>
        <v>0</v>
      </c>
      <c r="N15" s="36">
        <f>'TE BE'!$N$15*'TE BF'!$N$57</f>
        <v>0</v>
      </c>
      <c r="O15" s="36">
        <f>'TE BE'!$O$15*'TE BF'!$O$57</f>
        <v>0.24225642696120622</v>
      </c>
      <c r="P15" s="36">
        <f>SUM($L$15:$O$15)</f>
        <v>0.24225642696120622</v>
      </c>
      <c r="Q15" s="36">
        <f>'TE BE'!$Q$15*'TE BF'!$Q$57</f>
        <v>15.973257240947175</v>
      </c>
      <c r="R15" s="36">
        <f>SUM($Q$15:$Q$15)</f>
        <v>15.973257240947175</v>
      </c>
      <c r="S15" s="36">
        <f>'TE BE'!$S$15*'TE BF'!$S$57</f>
        <v>0</v>
      </c>
      <c r="T15" s="36">
        <f>'TE BE'!$T$15*'TE BF'!$T$57</f>
        <v>0</v>
      </c>
      <c r="U15" s="36">
        <f>'TE BE'!$U$15*'TE BF'!$U$57</f>
        <v>0</v>
      </c>
      <c r="V15" s="36">
        <f>SUM($S$15:$U$15)</f>
        <v>0</v>
      </c>
      <c r="W15" s="36">
        <v>0</v>
      </c>
      <c r="X15" s="36">
        <f>SUM($W$15:$W$15)</f>
        <v>0</v>
      </c>
      <c r="Y15" s="36">
        <f>'TE BE'!$Y$15*'TE BF'!$Y$57</f>
        <v>0</v>
      </c>
      <c r="Z15" s="36">
        <f>SUM($Y$15:$Y$15)</f>
        <v>0</v>
      </c>
      <c r="AA15" s="36">
        <f>SUMIF($L$4:$Z$4,"SUBTOTAL",$L$15:$Z$15)</f>
        <v>16.215513667908382</v>
      </c>
    </row>
    <row r="16" spans="1:27" ht="11.25" customHeight="1" x14ac:dyDescent="0.25">
      <c r="A16" s="112" t="s">
        <v>22</v>
      </c>
      <c r="B16" s="112" t="s">
        <v>92</v>
      </c>
      <c r="C16" s="112" t="s">
        <v>24</v>
      </c>
      <c r="D16" s="112" t="s">
        <v>24</v>
      </c>
      <c r="E16" s="112" t="s">
        <v>25</v>
      </c>
      <c r="F16" s="112" t="s">
        <v>25</v>
      </c>
      <c r="G16" s="38" t="s">
        <v>94</v>
      </c>
      <c r="H16" s="38" t="s">
        <v>93</v>
      </c>
      <c r="I16" s="38">
        <f>'MERCADO TE'!$U$13</f>
        <v>118.41800000000002</v>
      </c>
      <c r="J16" s="15"/>
      <c r="L16" s="36">
        <f>'TE BE'!$L$16*'TE BF'!$L$57</f>
        <v>0</v>
      </c>
      <c r="M16" s="36">
        <f>'TE BE'!$M$16*'TE BF'!$M$57</f>
        <v>34.277550745088085</v>
      </c>
      <c r="N16" s="36">
        <f>'TE BE'!$N$16*'TE BF'!$N$57</f>
        <v>0</v>
      </c>
      <c r="O16" s="36">
        <f>'TE BE'!$O$16*'TE BF'!$O$57</f>
        <v>0.24225642696120622</v>
      </c>
      <c r="P16" s="36">
        <f>SUM($L$16:$O$16)</f>
        <v>34.519807172049291</v>
      </c>
      <c r="Q16" s="36">
        <f>'TE BE'!$Q$16*'TE BF'!$Q$57</f>
        <v>26.48129862459168</v>
      </c>
      <c r="R16" s="36">
        <f>SUM($Q$16:$Q$16)</f>
        <v>26.48129862459168</v>
      </c>
      <c r="S16" s="36">
        <f>'TE BE'!$S$16*'TE BF'!$S$57</f>
        <v>0</v>
      </c>
      <c r="T16" s="36">
        <f>'TE BE'!$T$16*'TE BF'!$T$57</f>
        <v>0</v>
      </c>
      <c r="U16" s="36">
        <f>'TE BE'!$U$16*'TE BF'!$U$57</f>
        <v>0</v>
      </c>
      <c r="V16" s="36">
        <f>SUM($S$16:$U$16)</f>
        <v>0</v>
      </c>
      <c r="W16" s="36">
        <f>'TE BE'!$AA$16*'TE BF'!$W$57</f>
        <v>0</v>
      </c>
      <c r="X16" s="36">
        <f>SUM($W$16:$W$16)</f>
        <v>0</v>
      </c>
      <c r="Y16" s="36">
        <f>'TE BE'!$Y$16*'TE BF'!$Y$57</f>
        <v>0.41325541626643675</v>
      </c>
      <c r="Z16" s="36">
        <f>SUM($Y$16:$Y$16)</f>
        <v>0.41325541626643675</v>
      </c>
      <c r="AA16" s="36">
        <f>SUMIF($L$4:$Z$4,"SUBTOTAL",$L$16:$Z$16)</f>
        <v>61.414361212907409</v>
      </c>
    </row>
    <row r="17" spans="1:27" ht="11.25" customHeight="1" x14ac:dyDescent="0.25">
      <c r="A17" s="112"/>
      <c r="B17" s="112"/>
      <c r="C17" s="112"/>
      <c r="D17" s="112"/>
      <c r="E17" s="112"/>
      <c r="F17" s="112"/>
      <c r="G17" s="38" t="s">
        <v>107</v>
      </c>
      <c r="H17" s="38" t="s">
        <v>93</v>
      </c>
      <c r="I17" s="38">
        <f>'MERCADO TE'!$U$14</f>
        <v>76.346000000000004</v>
      </c>
      <c r="J17" s="15"/>
      <c r="L17" s="36">
        <f>'TE BE'!$L$17*'TE BF'!$L$57</f>
        <v>0</v>
      </c>
      <c r="M17" s="36">
        <f>'TE BE'!$M$17*'TE BF'!$M$57</f>
        <v>34.277550745088085</v>
      </c>
      <c r="N17" s="36">
        <f>'TE BE'!$N$17*'TE BF'!$N$57</f>
        <v>0</v>
      </c>
      <c r="O17" s="36">
        <f>'TE BE'!$O$17*'TE BF'!$O$57</f>
        <v>0.24225642696120622</v>
      </c>
      <c r="P17" s="36">
        <f>SUM($L$17:$O$17)</f>
        <v>34.519807172049291</v>
      </c>
      <c r="Q17" s="36">
        <f>'TE BE'!$Q$17*'TE BF'!$Q$57</f>
        <v>15.396103851506792</v>
      </c>
      <c r="R17" s="36">
        <f>SUM($Q$17:$Q$17)</f>
        <v>15.396103851506792</v>
      </c>
      <c r="S17" s="36">
        <f>'TE BE'!$S$17*'TE BF'!$S$57</f>
        <v>0</v>
      </c>
      <c r="T17" s="36">
        <f>'TE BE'!$T$17*'TE BF'!$T$57</f>
        <v>0</v>
      </c>
      <c r="U17" s="36">
        <f>'TE BE'!$U$17*'TE BF'!$U$57</f>
        <v>0</v>
      </c>
      <c r="V17" s="36">
        <f>SUM($S$17:$U$17)</f>
        <v>0</v>
      </c>
      <c r="W17" s="36">
        <f>'TE BE'!$AA$17*'TE BF'!$W$57</f>
        <v>0</v>
      </c>
      <c r="X17" s="36">
        <f>SUM($W$17:$W$17)</f>
        <v>0</v>
      </c>
      <c r="Y17" s="36">
        <f>'TE BE'!$Y$17*'TE BF'!$Y$57</f>
        <v>0.41325541626643675</v>
      </c>
      <c r="Z17" s="36">
        <f>SUM($Y$17:$Y$17)</f>
        <v>0.41325541626643675</v>
      </c>
      <c r="AA17" s="36">
        <f>SUMIF($L$4:$Z$4,"SUBTOTAL",$L$17:$Z$17)</f>
        <v>50.329166439822522</v>
      </c>
    </row>
    <row r="18" spans="1:27" ht="11.25" customHeight="1" x14ac:dyDescent="0.25">
      <c r="A18" s="112"/>
      <c r="B18" s="112"/>
      <c r="C18" s="112"/>
      <c r="D18" s="112"/>
      <c r="E18" s="112"/>
      <c r="F18" s="112"/>
      <c r="G18" s="38" t="s">
        <v>95</v>
      </c>
      <c r="H18" s="38" t="s">
        <v>93</v>
      </c>
      <c r="I18" s="38">
        <f>'MERCADO TE'!$U$15</f>
        <v>1353.7170000000001</v>
      </c>
      <c r="J18" s="15"/>
      <c r="L18" s="36">
        <f>'TE BE'!$L$18*'TE BF'!$L$57</f>
        <v>0</v>
      </c>
      <c r="M18" s="36">
        <f>'TE BE'!$M$18*'TE BF'!$M$57</f>
        <v>34.277550745088085</v>
      </c>
      <c r="N18" s="36">
        <f>'TE BE'!$N$18*'TE BF'!$N$57</f>
        <v>0</v>
      </c>
      <c r="O18" s="36">
        <f>'TE BE'!$O$18*'TE BF'!$O$57</f>
        <v>0.24225642696120622</v>
      </c>
      <c r="P18" s="36">
        <f>SUM($L$18:$O$18)</f>
        <v>34.519807172049291</v>
      </c>
      <c r="Q18" s="36">
        <f>'TE BE'!$Q$18*'TE BF'!$Q$57</f>
        <v>15.396103851506792</v>
      </c>
      <c r="R18" s="36">
        <f>SUM($Q$18:$Q$18)</f>
        <v>15.396103851506792</v>
      </c>
      <c r="S18" s="36">
        <f>'TE BE'!$S$18*'TE BF'!$S$57</f>
        <v>0</v>
      </c>
      <c r="T18" s="36">
        <f>'TE BE'!$T$18*'TE BF'!$T$57</f>
        <v>0</v>
      </c>
      <c r="U18" s="36">
        <f>'TE BE'!$U$18*'TE BF'!$U$57</f>
        <v>0</v>
      </c>
      <c r="V18" s="36">
        <f>SUM($S$18:$U$18)</f>
        <v>0</v>
      </c>
      <c r="W18" s="36">
        <f>'TE BE'!$AA$18*'TE BF'!$W$57</f>
        <v>0</v>
      </c>
      <c r="X18" s="36">
        <f>SUM($W$18:$W$18)</f>
        <v>0</v>
      </c>
      <c r="Y18" s="36">
        <f>'TE BE'!$Y$18*'TE BF'!$Y$57</f>
        <v>0.41325541626643675</v>
      </c>
      <c r="Z18" s="36">
        <f>SUM($Y$18:$Y$18)</f>
        <v>0.41325541626643675</v>
      </c>
      <c r="AA18" s="36">
        <f>SUMIF($L$4:$Z$4,"SUBTOTAL",$L$18:$Z$18)</f>
        <v>50.329166439822522</v>
      </c>
    </row>
    <row r="19" spans="1:27" ht="11.25" customHeight="1" x14ac:dyDescent="0.25">
      <c r="A19" s="112"/>
      <c r="B19" s="112" t="s">
        <v>103</v>
      </c>
      <c r="C19" s="112" t="s">
        <v>24</v>
      </c>
      <c r="D19" s="39" t="s">
        <v>24</v>
      </c>
      <c r="E19" s="39" t="s">
        <v>25</v>
      </c>
      <c r="F19" s="39" t="s">
        <v>25</v>
      </c>
      <c r="G19" s="38" t="s">
        <v>98</v>
      </c>
      <c r="H19" s="38" t="s">
        <v>93</v>
      </c>
      <c r="I19" s="38">
        <f>'MERCADO TE'!$U$16</f>
        <v>902304.86599999992</v>
      </c>
      <c r="J19" s="15"/>
      <c r="L19" s="36">
        <f>'TE BE'!$L$19*'TE BF'!$L$57</f>
        <v>0</v>
      </c>
      <c r="M19" s="36">
        <f>'TE BE'!$M$19*'TE BF'!$M$57</f>
        <v>34.277550745088085</v>
      </c>
      <c r="N19" s="36">
        <f>'TE BE'!$N$19*'TE BF'!$N$57</f>
        <v>0</v>
      </c>
      <c r="O19" s="36">
        <f>'TE BE'!$O$19*'TE BF'!$O$57</f>
        <v>0.24225642696120622</v>
      </c>
      <c r="P19" s="36">
        <f>SUM($L$19:$O$19)</f>
        <v>34.519807172049291</v>
      </c>
      <c r="Q19" s="36">
        <f>'TE BE'!$Q$19*'TE BF'!$Q$57</f>
        <v>16.319870082597198</v>
      </c>
      <c r="R19" s="36">
        <f>SUM($Q$19:$Q$19)</f>
        <v>16.319870082597198</v>
      </c>
      <c r="S19" s="36">
        <f>'TE BE'!$S$19*'TE BF'!$S$57</f>
        <v>0</v>
      </c>
      <c r="T19" s="36">
        <f>'TE BE'!$T$19*'TE BF'!$T$57</f>
        <v>0</v>
      </c>
      <c r="U19" s="36">
        <f>'TE BE'!$U$19*'TE BF'!$U$57</f>
        <v>0</v>
      </c>
      <c r="V19" s="36">
        <f>SUM($S$19:$U$19)</f>
        <v>0</v>
      </c>
      <c r="W19" s="36">
        <f>'TE BE'!$AA$19*'TE BF'!$W$57</f>
        <v>0</v>
      </c>
      <c r="X19" s="36">
        <f>SUM($W$19:$W$19)</f>
        <v>0</v>
      </c>
      <c r="Y19" s="36">
        <f>'TE BE'!$Y$19*'TE BF'!$Y$57</f>
        <v>0.41325541626643675</v>
      </c>
      <c r="Z19" s="36">
        <f>SUM($Y$19:$Y$19)</f>
        <v>0.41325541626643675</v>
      </c>
      <c r="AA19" s="36">
        <f>SUMIF($L$4:$Z$4,"SUBTOTAL",$L$19:$Z$19)</f>
        <v>51.252932670912926</v>
      </c>
    </row>
    <row r="20" spans="1:27" ht="11.25" customHeight="1" x14ac:dyDescent="0.25">
      <c r="A20" s="112"/>
      <c r="B20" s="112"/>
      <c r="C20" s="112"/>
      <c r="D20" s="39" t="s">
        <v>29</v>
      </c>
      <c r="E20" s="39" t="s">
        <v>25</v>
      </c>
      <c r="F20" s="39" t="s">
        <v>25</v>
      </c>
      <c r="G20" s="38" t="s">
        <v>98</v>
      </c>
      <c r="H20" s="38" t="s">
        <v>93</v>
      </c>
      <c r="I20" s="38">
        <f>'MERCADO TE'!$U$17</f>
        <v>83676.410999999993</v>
      </c>
      <c r="J20" s="15"/>
      <c r="L20" s="36">
        <f>'TE BE'!$L$20*'TE BF'!$L$57</f>
        <v>0</v>
      </c>
      <c r="M20" s="36">
        <f>'TE BE'!$M$20*'TE BF'!$M$57</f>
        <v>34.277550745088085</v>
      </c>
      <c r="N20" s="36">
        <f>'TE BE'!$N$20*'TE BF'!$N$57</f>
        <v>0</v>
      </c>
      <c r="O20" s="36">
        <f>'TE BE'!$O$20*'TE BF'!$O$57</f>
        <v>0.24225642696120622</v>
      </c>
      <c r="P20" s="36">
        <f>SUM($L$20:$O$20)</f>
        <v>34.519807172049291</v>
      </c>
      <c r="Q20" s="36">
        <f>'TE BE'!$Q$20*'TE BF'!$Q$57</f>
        <v>16.319870082597198</v>
      </c>
      <c r="R20" s="36">
        <f>SUM($Q$20:$Q$20)</f>
        <v>16.319870082597198</v>
      </c>
      <c r="S20" s="36">
        <f>'TE BE'!$S$20*'TE BF'!$S$57</f>
        <v>0</v>
      </c>
      <c r="T20" s="36">
        <f>'TE BE'!$T$20*'TE BF'!$T$57</f>
        <v>0</v>
      </c>
      <c r="U20" s="36">
        <f>'TE BE'!$U$20*'TE BF'!$U$57</f>
        <v>0</v>
      </c>
      <c r="V20" s="36">
        <f>SUM($S$20:$U$20)</f>
        <v>0</v>
      </c>
      <c r="W20" s="36">
        <f>'TE BE'!$AA$20*'TE BF'!$W$57</f>
        <v>0</v>
      </c>
      <c r="X20" s="36">
        <f>SUM($W$20:$W$20)</f>
        <v>0</v>
      </c>
      <c r="Y20" s="36">
        <f>'TE BE'!$Y$20*'TE BF'!$Y$57</f>
        <v>0.41325541626643675</v>
      </c>
      <c r="Z20" s="36">
        <f>SUM($Y$20:$Y$20)</f>
        <v>0.41325541626643675</v>
      </c>
      <c r="AA20" s="36">
        <f>SUMIF($L$4:$Z$4,"SUBTOTAL",$L$20:$Z$20)</f>
        <v>51.252932670912926</v>
      </c>
    </row>
    <row r="21" spans="1:27" ht="11.25" customHeight="1" x14ac:dyDescent="0.25">
      <c r="A21" s="112"/>
      <c r="B21" s="112"/>
      <c r="C21" s="112"/>
      <c r="D21" s="39" t="s">
        <v>30</v>
      </c>
      <c r="E21" s="39" t="s">
        <v>25</v>
      </c>
      <c r="F21" s="39" t="s">
        <v>25</v>
      </c>
      <c r="G21" s="38" t="s">
        <v>98</v>
      </c>
      <c r="H21" s="38" t="s">
        <v>93</v>
      </c>
      <c r="I21" s="38">
        <f>'MERCADO TE'!$U$18</f>
        <v>134463.81899999996</v>
      </c>
      <c r="J21" s="15"/>
      <c r="L21" s="36">
        <f>'TE BE'!$L$21*'TE BF'!$L$57</f>
        <v>0</v>
      </c>
      <c r="M21" s="36">
        <f>'TE BE'!$M$21*'TE BF'!$M$57</f>
        <v>34.277550745088085</v>
      </c>
      <c r="N21" s="36">
        <f>'TE BE'!$N$21*'TE BF'!$N$57</f>
        <v>0</v>
      </c>
      <c r="O21" s="36">
        <f>'TE BE'!$O$21*'TE BF'!$O$57</f>
        <v>0.24225642696120622</v>
      </c>
      <c r="P21" s="36">
        <f>SUM($L$21:$O$21)</f>
        <v>34.519807172049291</v>
      </c>
      <c r="Q21" s="36">
        <f>'TE BE'!$Q$21*'TE BF'!$Q$57</f>
        <v>16.319870082597198</v>
      </c>
      <c r="R21" s="36">
        <f>SUM($Q$21:$Q$21)</f>
        <v>16.319870082597198</v>
      </c>
      <c r="S21" s="36">
        <f>'TE BE'!$S$21*'TE BF'!$S$57</f>
        <v>0</v>
      </c>
      <c r="T21" s="36">
        <f>'TE BE'!$T$21*'TE BF'!$T$57</f>
        <v>0</v>
      </c>
      <c r="U21" s="36">
        <f>'TE BE'!$U$21*'TE BF'!$U$57</f>
        <v>0</v>
      </c>
      <c r="V21" s="36">
        <f>SUM($S$21:$U$21)</f>
        <v>0</v>
      </c>
      <c r="W21" s="36">
        <f>'TE BE'!$AA$21*'TE BF'!$W$57</f>
        <v>0</v>
      </c>
      <c r="X21" s="36">
        <f>SUM($W$21:$W$21)</f>
        <v>0</v>
      </c>
      <c r="Y21" s="36">
        <f>'TE BE'!$Y$21*'TE BF'!$Y$57</f>
        <v>0.41325541626643675</v>
      </c>
      <c r="Z21" s="36">
        <f>SUM($Y$21:$Y$21)</f>
        <v>0.41325541626643675</v>
      </c>
      <c r="AA21" s="36">
        <f>SUMIF($L$4:$Z$4,"SUBTOTAL",$L$21:$Z$21)</f>
        <v>51.252932670912926</v>
      </c>
    </row>
    <row r="22" spans="1:27" ht="11.25" customHeight="1" x14ac:dyDescent="0.25">
      <c r="A22" s="112"/>
      <c r="B22" s="112"/>
      <c r="C22" s="112"/>
      <c r="D22" s="39" t="s">
        <v>31</v>
      </c>
      <c r="E22" s="39" t="s">
        <v>25</v>
      </c>
      <c r="F22" s="39" t="s">
        <v>25</v>
      </c>
      <c r="G22" s="38" t="s">
        <v>98</v>
      </c>
      <c r="H22" s="38" t="s">
        <v>93</v>
      </c>
      <c r="I22" s="38">
        <f>'MERCADO TE'!$U$19</f>
        <v>58132.979000000007</v>
      </c>
      <c r="J22" s="15"/>
      <c r="L22" s="36">
        <f>'TE BE'!$L$22*'TE BF'!$L$57</f>
        <v>0</v>
      </c>
      <c r="M22" s="36">
        <f>'TE BE'!$M$22*'TE BF'!$M$57</f>
        <v>34.277550745088085</v>
      </c>
      <c r="N22" s="36">
        <f>'TE BE'!$N$22*'TE BF'!$N$57</f>
        <v>0</v>
      </c>
      <c r="O22" s="36">
        <f>'TE BE'!$O$22*'TE BF'!$O$57</f>
        <v>0.24225642696120622</v>
      </c>
      <c r="P22" s="36">
        <f>SUM($L$22:$O$22)</f>
        <v>34.519807172049291</v>
      </c>
      <c r="Q22" s="36">
        <f>'TE BE'!$Q$22*'TE BF'!$Q$57</f>
        <v>16.319870082597198</v>
      </c>
      <c r="R22" s="36">
        <f>SUM($Q$22:$Q$22)</f>
        <v>16.319870082597198</v>
      </c>
      <c r="S22" s="36">
        <f>'TE BE'!$S$22*'TE BF'!$S$57</f>
        <v>0</v>
      </c>
      <c r="T22" s="36">
        <f>'TE BE'!$T$22*'TE BF'!$T$57</f>
        <v>0</v>
      </c>
      <c r="U22" s="36">
        <f>'TE BE'!$U$22*'TE BF'!$U$57</f>
        <v>0</v>
      </c>
      <c r="V22" s="36">
        <f>SUM($S$22:$U$22)</f>
        <v>0</v>
      </c>
      <c r="W22" s="36">
        <f>'TE BE'!$AA$22*'TE BF'!$W$57</f>
        <v>0</v>
      </c>
      <c r="X22" s="36">
        <f>SUM($W$22:$W$22)</f>
        <v>0</v>
      </c>
      <c r="Y22" s="36">
        <f>'TE BE'!$Y$22*'TE BF'!$Y$57</f>
        <v>0.41325541626643675</v>
      </c>
      <c r="Z22" s="36">
        <f>SUM($Y$22:$Y$22)</f>
        <v>0.41325541626643675</v>
      </c>
      <c r="AA22" s="36">
        <f>SUMIF($L$4:$Z$4,"SUBTOTAL",$L$22:$Z$22)</f>
        <v>51.252932670912926</v>
      </c>
    </row>
    <row r="23" spans="1:27" ht="11.25" customHeight="1" x14ac:dyDescent="0.25">
      <c r="A23" s="112"/>
      <c r="B23" s="112"/>
      <c r="C23" s="112"/>
      <c r="D23" s="39" t="s">
        <v>32</v>
      </c>
      <c r="E23" s="39" t="s">
        <v>25</v>
      </c>
      <c r="F23" s="39" t="s">
        <v>25</v>
      </c>
      <c r="G23" s="38" t="s">
        <v>98</v>
      </c>
      <c r="H23" s="38" t="s">
        <v>93</v>
      </c>
      <c r="I23" s="38">
        <f>'MERCADO TE'!$U$20</f>
        <v>16063.907000000001</v>
      </c>
      <c r="J23" s="15"/>
      <c r="L23" s="36">
        <f>'TE BE'!$L$23*'TE BF'!$L$57</f>
        <v>0</v>
      </c>
      <c r="M23" s="36">
        <f>'TE BE'!$M$23*'TE BF'!$M$57</f>
        <v>34.277550745088085</v>
      </c>
      <c r="N23" s="36">
        <f>'TE BE'!$N$23*'TE BF'!$N$57</f>
        <v>0</v>
      </c>
      <c r="O23" s="36">
        <f>'TE BE'!$O$23*'TE BF'!$O$57</f>
        <v>0.24225642696120622</v>
      </c>
      <c r="P23" s="36">
        <f>SUM($L$23:$O$23)</f>
        <v>34.519807172049291</v>
      </c>
      <c r="Q23" s="36">
        <f>'TE BE'!$Q$23*'TE BF'!$Q$57</f>
        <v>16.319870082597198</v>
      </c>
      <c r="R23" s="36">
        <f>SUM($Q$23:$Q$23)</f>
        <v>16.319870082597198</v>
      </c>
      <c r="S23" s="36">
        <f>'TE BE'!$S$23*'TE BF'!$S$57</f>
        <v>0</v>
      </c>
      <c r="T23" s="36">
        <f>'TE BE'!$T$23*'TE BF'!$T$57</f>
        <v>0</v>
      </c>
      <c r="U23" s="36">
        <f>'TE BE'!$U$23*'TE BF'!$U$57</f>
        <v>0</v>
      </c>
      <c r="V23" s="36">
        <f>SUM($S$23:$U$23)</f>
        <v>0</v>
      </c>
      <c r="W23" s="36">
        <f>'TE BE'!$AA$23*'TE BF'!$W$57</f>
        <v>0</v>
      </c>
      <c r="X23" s="36">
        <f>SUM($W$23:$W$23)</f>
        <v>0</v>
      </c>
      <c r="Y23" s="36">
        <f>'TE BE'!$Y$23*'TE BF'!$Y$57</f>
        <v>0.41325541626643675</v>
      </c>
      <c r="Z23" s="36">
        <f>SUM($Y$23:$Y$23)</f>
        <v>0.41325541626643675</v>
      </c>
      <c r="AA23" s="36">
        <f>SUMIF($L$4:$Z$4,"SUBTOTAL",$L$23:$Z$23)</f>
        <v>51.252932670912926</v>
      </c>
    </row>
    <row r="24" spans="1:27" ht="11.25" customHeight="1" x14ac:dyDescent="0.25">
      <c r="A24" s="112"/>
      <c r="B24" s="112" t="s">
        <v>108</v>
      </c>
      <c r="C24" s="112" t="s">
        <v>24</v>
      </c>
      <c r="D24" s="39" t="s">
        <v>24</v>
      </c>
      <c r="E24" s="39" t="s">
        <v>25</v>
      </c>
      <c r="F24" s="39" t="s">
        <v>25</v>
      </c>
      <c r="G24" s="38" t="s">
        <v>98</v>
      </c>
      <c r="H24" s="38" t="s">
        <v>93</v>
      </c>
      <c r="I24" s="38">
        <f>'MERCADO TE'!$U$21</f>
        <v>0</v>
      </c>
      <c r="J24" s="15"/>
      <c r="L24" s="36">
        <f>'TE BE'!$L$24*'TE BF'!$L$57</f>
        <v>0</v>
      </c>
      <c r="M24" s="36">
        <f>'TE BE'!$M$24*'TE BF'!$M$57</f>
        <v>34.277550745088085</v>
      </c>
      <c r="N24" s="36">
        <f>'TE BE'!$N$24*'TE BF'!$N$57</f>
        <v>0</v>
      </c>
      <c r="O24" s="36">
        <f>'TE BE'!$O$24*'TE BF'!$O$57</f>
        <v>0.24225642696120622</v>
      </c>
      <c r="P24" s="36">
        <f>SUM($L$24:$O$24)</f>
        <v>34.519807172049291</v>
      </c>
      <c r="Q24" s="36">
        <f>'TE BE'!$Q$24*'TE BF'!$Q$57</f>
        <v>16.319870082597198</v>
      </c>
      <c r="R24" s="36">
        <f>SUM($Q$24:$Q$24)</f>
        <v>16.319870082597198</v>
      </c>
      <c r="S24" s="36">
        <f>'TE BE'!$S$24*'TE BF'!$S$57</f>
        <v>0</v>
      </c>
      <c r="T24" s="36">
        <f>'TE BE'!$T$24*'TE BF'!$T$57</f>
        <v>0</v>
      </c>
      <c r="U24" s="36">
        <f>'TE BE'!$U$24*'TE BF'!$U$57</f>
        <v>0</v>
      </c>
      <c r="V24" s="36">
        <f>SUM($S$24:$U$24)</f>
        <v>0</v>
      </c>
      <c r="W24" s="36">
        <f>'TE BE'!$AA$24*'TE BF'!$W$57</f>
        <v>0</v>
      </c>
      <c r="X24" s="36">
        <f>SUM($W$24:$W$24)</f>
        <v>0</v>
      </c>
      <c r="Y24" s="36">
        <f>'TE BE'!$Y$24*'TE BF'!$Y$57</f>
        <v>0.41325541626643675</v>
      </c>
      <c r="Z24" s="36">
        <f>SUM($Y$24:$Y$24)</f>
        <v>0.41325541626643675</v>
      </c>
      <c r="AA24" s="36">
        <f>SUMIF($L$4:$Z$4,"SUBTOTAL",$L$24:$Z$24)</f>
        <v>51.252932670912926</v>
      </c>
    </row>
    <row r="25" spans="1:27" ht="11.25" customHeight="1" x14ac:dyDescent="0.25">
      <c r="A25" s="112"/>
      <c r="B25" s="112"/>
      <c r="C25" s="112"/>
      <c r="D25" s="39" t="s">
        <v>29</v>
      </c>
      <c r="E25" s="39" t="s">
        <v>25</v>
      </c>
      <c r="F25" s="39" t="s">
        <v>25</v>
      </c>
      <c r="G25" s="38" t="s">
        <v>98</v>
      </c>
      <c r="H25" s="38" t="s">
        <v>93</v>
      </c>
      <c r="I25" s="38">
        <f>'MERCADO TE'!$U$22</f>
        <v>0</v>
      </c>
      <c r="J25" s="15"/>
      <c r="L25" s="36">
        <f>'TE BE'!$L$25*'TE BF'!$L$57</f>
        <v>0</v>
      </c>
      <c r="M25" s="36">
        <f>'TE BE'!$M$25*'TE BF'!$M$57</f>
        <v>34.277550745088085</v>
      </c>
      <c r="N25" s="36">
        <f>'TE BE'!$N$25*'TE BF'!$N$57</f>
        <v>0</v>
      </c>
      <c r="O25" s="36">
        <f>'TE BE'!$O$25*'TE BF'!$O$57</f>
        <v>0.24225642696120622</v>
      </c>
      <c r="P25" s="36">
        <f>SUM($L$25:$O$25)</f>
        <v>34.519807172049291</v>
      </c>
      <c r="Q25" s="36">
        <f>'TE BE'!$Q$25*'TE BF'!$Q$57</f>
        <v>16.319870082597198</v>
      </c>
      <c r="R25" s="36">
        <f>SUM($Q$25:$Q$25)</f>
        <v>16.319870082597198</v>
      </c>
      <c r="S25" s="36">
        <f>'TE BE'!$S$25*'TE BF'!$S$57</f>
        <v>0</v>
      </c>
      <c r="T25" s="36">
        <f>'TE BE'!$T$25*'TE BF'!$T$57</f>
        <v>0</v>
      </c>
      <c r="U25" s="36">
        <f>'TE BE'!$U$25*'TE BF'!$U$57</f>
        <v>0</v>
      </c>
      <c r="V25" s="36">
        <f>SUM($S$25:$U$25)</f>
        <v>0</v>
      </c>
      <c r="W25" s="36">
        <f>'TE BE'!$AA$25*'TE BF'!$W$57</f>
        <v>0</v>
      </c>
      <c r="X25" s="36">
        <f>SUM($W$25:$W$25)</f>
        <v>0</v>
      </c>
      <c r="Y25" s="36">
        <f>'TE BE'!$Y$25*'TE BF'!$Y$57</f>
        <v>0.41325541626643675</v>
      </c>
      <c r="Z25" s="36">
        <f>SUM($Y$25:$Y$25)</f>
        <v>0.41325541626643675</v>
      </c>
      <c r="AA25" s="36">
        <f>SUMIF($L$4:$Z$4,"SUBTOTAL",$L$25:$Z$25)</f>
        <v>51.252932670912926</v>
      </c>
    </row>
    <row r="26" spans="1:27" ht="11.25" customHeight="1" x14ac:dyDescent="0.25">
      <c r="A26" s="112"/>
      <c r="B26" s="112"/>
      <c r="C26" s="112"/>
      <c r="D26" s="39" t="s">
        <v>30</v>
      </c>
      <c r="E26" s="39" t="s">
        <v>25</v>
      </c>
      <c r="F26" s="39" t="s">
        <v>25</v>
      </c>
      <c r="G26" s="38" t="s">
        <v>98</v>
      </c>
      <c r="H26" s="38" t="s">
        <v>93</v>
      </c>
      <c r="I26" s="38">
        <f>'MERCADO TE'!$U$23</f>
        <v>0</v>
      </c>
      <c r="J26" s="15"/>
      <c r="L26" s="36">
        <f>'TE BE'!$L$26*'TE BF'!$L$57</f>
        <v>0</v>
      </c>
      <c r="M26" s="36">
        <f>'TE BE'!$M$26*'TE BF'!$M$57</f>
        <v>34.277550745088085</v>
      </c>
      <c r="N26" s="36">
        <f>'TE BE'!$N$26*'TE BF'!$N$57</f>
        <v>0</v>
      </c>
      <c r="O26" s="36">
        <f>'TE BE'!$O$26*'TE BF'!$O$57</f>
        <v>0.24225642696120622</v>
      </c>
      <c r="P26" s="36">
        <f>SUM($L$26:$O$26)</f>
        <v>34.519807172049291</v>
      </c>
      <c r="Q26" s="36">
        <f>'TE BE'!$Q$26*'TE BF'!$Q$57</f>
        <v>16.319870082597198</v>
      </c>
      <c r="R26" s="36">
        <f>SUM($Q$26:$Q$26)</f>
        <v>16.319870082597198</v>
      </c>
      <c r="S26" s="36">
        <f>'TE BE'!$S$26*'TE BF'!$S$57</f>
        <v>0</v>
      </c>
      <c r="T26" s="36">
        <f>'TE BE'!$T$26*'TE BF'!$T$57</f>
        <v>0</v>
      </c>
      <c r="U26" s="36">
        <f>'TE BE'!$U$26*'TE BF'!$U$57</f>
        <v>0</v>
      </c>
      <c r="V26" s="36">
        <f>SUM($S$26:$U$26)</f>
        <v>0</v>
      </c>
      <c r="W26" s="36">
        <f>'TE BE'!$AA$26*'TE BF'!$W$57</f>
        <v>0</v>
      </c>
      <c r="X26" s="36">
        <f>SUM($W$26:$W$26)</f>
        <v>0</v>
      </c>
      <c r="Y26" s="36">
        <f>'TE BE'!$Y$26*'TE BF'!$Y$57</f>
        <v>0.41325541626643675</v>
      </c>
      <c r="Z26" s="36">
        <f>SUM($Y$26:$Y$26)</f>
        <v>0.41325541626643675</v>
      </c>
      <c r="AA26" s="36">
        <f>SUMIF($L$4:$Z$4,"SUBTOTAL",$L$26:$Z$26)</f>
        <v>51.252932670912926</v>
      </c>
    </row>
    <row r="27" spans="1:27" ht="11.25" customHeight="1" x14ac:dyDescent="0.25">
      <c r="A27" s="112"/>
      <c r="B27" s="112"/>
      <c r="C27" s="112"/>
      <c r="D27" s="39" t="s">
        <v>31</v>
      </c>
      <c r="E27" s="39" t="s">
        <v>25</v>
      </c>
      <c r="F27" s="39" t="s">
        <v>25</v>
      </c>
      <c r="G27" s="38" t="s">
        <v>98</v>
      </c>
      <c r="H27" s="38" t="s">
        <v>93</v>
      </c>
      <c r="I27" s="38">
        <f>'MERCADO TE'!$U$24</f>
        <v>0</v>
      </c>
      <c r="J27" s="15"/>
      <c r="L27" s="36">
        <f>'TE BE'!$L$27*'TE BF'!$L$57</f>
        <v>0</v>
      </c>
      <c r="M27" s="36">
        <f>'TE BE'!$M$27*'TE BF'!$M$57</f>
        <v>34.277550745088085</v>
      </c>
      <c r="N27" s="36">
        <f>'TE BE'!$N$27*'TE BF'!$N$57</f>
        <v>0</v>
      </c>
      <c r="O27" s="36">
        <f>'TE BE'!$O$27*'TE BF'!$O$57</f>
        <v>0.24225642696120622</v>
      </c>
      <c r="P27" s="36">
        <f>SUM($L$27:$O$27)</f>
        <v>34.519807172049291</v>
      </c>
      <c r="Q27" s="36">
        <f>'TE BE'!$Q$27*'TE BF'!$Q$57</f>
        <v>16.319870082597198</v>
      </c>
      <c r="R27" s="36">
        <f>SUM($Q$27:$Q$27)</f>
        <v>16.319870082597198</v>
      </c>
      <c r="S27" s="36">
        <f>'TE BE'!$S$27*'TE BF'!$S$57</f>
        <v>0</v>
      </c>
      <c r="T27" s="36">
        <f>'TE BE'!$T$27*'TE BF'!$T$57</f>
        <v>0</v>
      </c>
      <c r="U27" s="36">
        <f>'TE BE'!$U$27*'TE BF'!$U$57</f>
        <v>0</v>
      </c>
      <c r="V27" s="36">
        <f>SUM($S$27:$U$27)</f>
        <v>0</v>
      </c>
      <c r="W27" s="36">
        <f>'TE BE'!$AA$27*'TE BF'!$W$57</f>
        <v>0</v>
      </c>
      <c r="X27" s="36">
        <f>SUM($W$27:$W$27)</f>
        <v>0</v>
      </c>
      <c r="Y27" s="36">
        <f>'TE BE'!$Y$27*'TE BF'!$Y$57</f>
        <v>0.41325541626643675</v>
      </c>
      <c r="Z27" s="36">
        <f>SUM($Y$27:$Y$27)</f>
        <v>0.41325541626643675</v>
      </c>
      <c r="AA27" s="36">
        <f>SUMIF($L$4:$Z$4,"SUBTOTAL",$L$27:$Z$27)</f>
        <v>51.252932670912926</v>
      </c>
    </row>
    <row r="28" spans="1:27" ht="11.25" customHeight="1" x14ac:dyDescent="0.25">
      <c r="A28" s="112"/>
      <c r="B28" s="112"/>
      <c r="C28" s="112"/>
      <c r="D28" s="39" t="s">
        <v>32</v>
      </c>
      <c r="E28" s="39" t="s">
        <v>25</v>
      </c>
      <c r="F28" s="39" t="s">
        <v>25</v>
      </c>
      <c r="G28" s="38" t="s">
        <v>98</v>
      </c>
      <c r="H28" s="38" t="s">
        <v>93</v>
      </c>
      <c r="I28" s="38">
        <f>'MERCADO TE'!$U$25</f>
        <v>0</v>
      </c>
      <c r="J28" s="15"/>
      <c r="L28" s="36">
        <f>'TE BE'!$L$28*'TE BF'!$L$57</f>
        <v>0</v>
      </c>
      <c r="M28" s="36">
        <f>'TE BE'!$M$28*'TE BF'!$M$57</f>
        <v>34.277550745088085</v>
      </c>
      <c r="N28" s="36">
        <f>'TE BE'!$N$28*'TE BF'!$N$57</f>
        <v>0</v>
      </c>
      <c r="O28" s="36">
        <f>'TE BE'!$O$28*'TE BF'!$O$57</f>
        <v>0.24225642696120622</v>
      </c>
      <c r="P28" s="36">
        <f>SUM($L$28:$O$28)</f>
        <v>34.519807172049291</v>
      </c>
      <c r="Q28" s="36">
        <f>'TE BE'!$Q$28*'TE BF'!$Q$57</f>
        <v>16.319870082597198</v>
      </c>
      <c r="R28" s="36">
        <f>SUM($Q$28:$Q$28)</f>
        <v>16.319870082597198</v>
      </c>
      <c r="S28" s="36">
        <f>'TE BE'!$S$28*'TE BF'!$S$57</f>
        <v>0</v>
      </c>
      <c r="T28" s="36">
        <f>'TE BE'!$T$28*'TE BF'!$T$57</f>
        <v>0</v>
      </c>
      <c r="U28" s="36">
        <f>'TE BE'!$U$28*'TE BF'!$U$57</f>
        <v>0</v>
      </c>
      <c r="V28" s="36">
        <f>SUM($S$28:$U$28)</f>
        <v>0</v>
      </c>
      <c r="W28" s="36">
        <f>'TE BE'!$AA$28*'TE BF'!$W$57</f>
        <v>0</v>
      </c>
      <c r="X28" s="36">
        <f>SUM($W$28:$W$28)</f>
        <v>0</v>
      </c>
      <c r="Y28" s="36">
        <f>'TE BE'!$Y$28*'TE BF'!$Y$57</f>
        <v>0.41325541626643675</v>
      </c>
      <c r="Z28" s="36">
        <f>SUM($Y$28:$Y$28)</f>
        <v>0.41325541626643675</v>
      </c>
      <c r="AA28" s="36">
        <f>SUMIF($L$4:$Z$4,"SUBTOTAL",$L$28:$Z$28)</f>
        <v>51.252932670912926</v>
      </c>
    </row>
    <row r="29" spans="1:27" ht="11.25" customHeight="1" x14ac:dyDescent="0.25">
      <c r="A29" s="112" t="s">
        <v>44</v>
      </c>
      <c r="B29" s="112" t="s">
        <v>92</v>
      </c>
      <c r="C29" s="112" t="s">
        <v>45</v>
      </c>
      <c r="D29" s="112" t="s">
        <v>25</v>
      </c>
      <c r="E29" s="112" t="s">
        <v>25</v>
      </c>
      <c r="F29" s="112" t="s">
        <v>25</v>
      </c>
      <c r="G29" s="38" t="s">
        <v>94</v>
      </c>
      <c r="H29" s="38" t="s">
        <v>93</v>
      </c>
      <c r="I29" s="38">
        <f>'MERCADO TE'!$U$26</f>
        <v>0.61099999999999999</v>
      </c>
      <c r="J29" s="15"/>
      <c r="L29" s="36">
        <f>'TE BE'!$L$29*'TE BF'!$L$57</f>
        <v>0</v>
      </c>
      <c r="M29" s="36">
        <f>'TE BE'!$M$29*'TE BF'!$M$57</f>
        <v>34.277550745088085</v>
      </c>
      <c r="N29" s="36">
        <f>'TE BE'!$N$29*'TE BF'!$N$57</f>
        <v>0</v>
      </c>
      <c r="O29" s="36">
        <f>'TE BE'!$O$29*'TE BF'!$O$57</f>
        <v>0.24225642696120622</v>
      </c>
      <c r="P29" s="36">
        <f>SUM($L$29:$O$29)</f>
        <v>34.519807172049291</v>
      </c>
      <c r="Q29" s="36">
        <f>'TE BE'!$Q$29*'TE BF'!$Q$57</f>
        <v>26.48129862459168</v>
      </c>
      <c r="R29" s="36">
        <f>SUM($Q$29:$Q$29)</f>
        <v>26.48129862459168</v>
      </c>
      <c r="S29" s="36">
        <f>'TE BE'!$S$29*'TE BF'!$S$57</f>
        <v>0</v>
      </c>
      <c r="T29" s="36">
        <f>'TE BE'!$T$29*'TE BF'!$T$57</f>
        <v>0</v>
      </c>
      <c r="U29" s="36">
        <f>'TE BE'!$U$29*'TE BF'!$U$57</f>
        <v>0</v>
      </c>
      <c r="V29" s="36">
        <f>SUM($S$29:$U$29)</f>
        <v>0</v>
      </c>
      <c r="W29" s="36">
        <f>'TE BE'!$AA$29*'TE BF'!$W$57</f>
        <v>0</v>
      </c>
      <c r="X29" s="36">
        <f>SUM($W$29:$W$29)</f>
        <v>0</v>
      </c>
      <c r="Y29" s="36">
        <f>'TE BE'!$Y$29*'TE BF'!$Y$57</f>
        <v>0.41325541626643675</v>
      </c>
      <c r="Z29" s="36">
        <f>SUM($Y$29:$Y$29)</f>
        <v>0.41325541626643675</v>
      </c>
      <c r="AA29" s="36">
        <f>SUMIF($L$4:$Z$4,"SUBTOTAL",$L$29:$Z$29)</f>
        <v>61.414361212907409</v>
      </c>
    </row>
    <row r="30" spans="1:27" ht="11.25" customHeight="1" x14ac:dyDescent="0.25">
      <c r="A30" s="112"/>
      <c r="B30" s="112"/>
      <c r="C30" s="112"/>
      <c r="D30" s="112"/>
      <c r="E30" s="112"/>
      <c r="F30" s="112"/>
      <c r="G30" s="38" t="s">
        <v>107</v>
      </c>
      <c r="H30" s="38" t="s">
        <v>93</v>
      </c>
      <c r="I30" s="38">
        <f>'MERCADO TE'!$U$27</f>
        <v>0.81099999999999994</v>
      </c>
      <c r="J30" s="15"/>
      <c r="L30" s="36">
        <f>'TE BE'!$L$30*'TE BF'!$L$57</f>
        <v>0</v>
      </c>
      <c r="M30" s="36">
        <f>'TE BE'!$M$30*'TE BF'!$M$57</f>
        <v>34.277550745088085</v>
      </c>
      <c r="N30" s="36">
        <f>'TE BE'!$N$30*'TE BF'!$N$57</f>
        <v>0</v>
      </c>
      <c r="O30" s="36">
        <f>'TE BE'!$O$30*'TE BF'!$O$57</f>
        <v>0.24225642696120622</v>
      </c>
      <c r="P30" s="36">
        <f>SUM($L$30:$O$30)</f>
        <v>34.519807172049291</v>
      </c>
      <c r="Q30" s="36">
        <f>'TE BE'!$Q$30*'TE BF'!$Q$57</f>
        <v>15.396103851506792</v>
      </c>
      <c r="R30" s="36">
        <f>SUM($Q$30:$Q$30)</f>
        <v>15.396103851506792</v>
      </c>
      <c r="S30" s="36">
        <f>'TE BE'!$S$30*'TE BF'!$S$57</f>
        <v>0</v>
      </c>
      <c r="T30" s="36">
        <f>'TE BE'!$T$30*'TE BF'!$T$57</f>
        <v>0</v>
      </c>
      <c r="U30" s="36">
        <f>'TE BE'!$U$30*'TE BF'!$U$57</f>
        <v>0</v>
      </c>
      <c r="V30" s="36">
        <f>SUM($S$30:$U$30)</f>
        <v>0</v>
      </c>
      <c r="W30" s="36">
        <f>'TE BE'!$AA$30*'TE BF'!$W$57</f>
        <v>0</v>
      </c>
      <c r="X30" s="36">
        <f>SUM($W$30:$W$30)</f>
        <v>0</v>
      </c>
      <c r="Y30" s="36">
        <f>'TE BE'!$Y$30*'TE BF'!$Y$57</f>
        <v>0.41325541626643675</v>
      </c>
      <c r="Z30" s="36">
        <f>SUM($Y$30:$Y$30)</f>
        <v>0.41325541626643675</v>
      </c>
      <c r="AA30" s="36">
        <f>SUMIF($L$4:$Z$4,"SUBTOTAL",$L$30:$Z$30)</f>
        <v>50.329166439822522</v>
      </c>
    </row>
    <row r="31" spans="1:27" ht="11.25" customHeight="1" x14ac:dyDescent="0.25">
      <c r="A31" s="112"/>
      <c r="B31" s="112"/>
      <c r="C31" s="112"/>
      <c r="D31" s="112"/>
      <c r="E31" s="112"/>
      <c r="F31" s="112"/>
      <c r="G31" s="38" t="s">
        <v>95</v>
      </c>
      <c r="H31" s="38" t="s">
        <v>93</v>
      </c>
      <c r="I31" s="38">
        <f>'MERCADO TE'!$U$28</f>
        <v>184.815</v>
      </c>
      <c r="J31" s="15"/>
      <c r="L31" s="36">
        <f>'TE BE'!$L$31*'TE BF'!$L$57</f>
        <v>0</v>
      </c>
      <c r="M31" s="36">
        <f>'TE BE'!$M$31*'TE BF'!$M$57</f>
        <v>34.277550745088085</v>
      </c>
      <c r="N31" s="36">
        <f>'TE BE'!$N$31*'TE BF'!$N$57</f>
        <v>0</v>
      </c>
      <c r="O31" s="36">
        <f>'TE BE'!$O$31*'TE BF'!$O$57</f>
        <v>0.24225642696120622</v>
      </c>
      <c r="P31" s="36">
        <f>SUM($L$31:$O$31)</f>
        <v>34.519807172049291</v>
      </c>
      <c r="Q31" s="36">
        <f>'TE BE'!$Q$31*'TE BF'!$Q$57</f>
        <v>15.396103851506792</v>
      </c>
      <c r="R31" s="36">
        <f>SUM($Q$31:$Q$31)</f>
        <v>15.396103851506792</v>
      </c>
      <c r="S31" s="36">
        <f>'TE BE'!$S$31*'TE BF'!$S$57</f>
        <v>0</v>
      </c>
      <c r="T31" s="36">
        <f>'TE BE'!$T$31*'TE BF'!$T$57</f>
        <v>0</v>
      </c>
      <c r="U31" s="36">
        <f>'TE BE'!$U$31*'TE BF'!$U$57</f>
        <v>0</v>
      </c>
      <c r="V31" s="36">
        <f>SUM($S$31:$U$31)</f>
        <v>0</v>
      </c>
      <c r="W31" s="36">
        <f>'TE BE'!$AA$31*'TE BF'!$W$57</f>
        <v>0</v>
      </c>
      <c r="X31" s="36">
        <f>SUM($W$31:$W$31)</f>
        <v>0</v>
      </c>
      <c r="Y31" s="36">
        <f>'TE BE'!$Y$31*'TE BF'!$Y$57</f>
        <v>0.41325541626643675</v>
      </c>
      <c r="Z31" s="36">
        <f>SUM($Y$31:$Y$31)</f>
        <v>0.41325541626643675</v>
      </c>
      <c r="AA31" s="36">
        <f>SUMIF($L$4:$Z$4,"SUBTOTAL",$L$31:$Z$31)</f>
        <v>50.329166439822522</v>
      </c>
    </row>
    <row r="32" spans="1:27" ht="11.25" customHeight="1" x14ac:dyDescent="0.25">
      <c r="A32" s="112"/>
      <c r="B32" s="39" t="s">
        <v>103</v>
      </c>
      <c r="C32" s="39" t="s">
        <v>45</v>
      </c>
      <c r="D32" s="39" t="s">
        <v>25</v>
      </c>
      <c r="E32" s="39" t="s">
        <v>25</v>
      </c>
      <c r="F32" s="39" t="s">
        <v>25</v>
      </c>
      <c r="G32" s="38" t="s">
        <v>98</v>
      </c>
      <c r="H32" s="38" t="s">
        <v>93</v>
      </c>
      <c r="I32" s="38">
        <f>'MERCADO TE'!$U$29</f>
        <v>60956.053</v>
      </c>
      <c r="J32" s="15"/>
      <c r="L32" s="36">
        <f>'TE BE'!$L$32*'TE BF'!$L$57</f>
        <v>0</v>
      </c>
      <c r="M32" s="36">
        <f>'TE BE'!$M$32*'TE BF'!$M$57</f>
        <v>34.277550745088085</v>
      </c>
      <c r="N32" s="36">
        <f>'TE BE'!$N$32*'TE BF'!$N$57</f>
        <v>0</v>
      </c>
      <c r="O32" s="36">
        <f>'TE BE'!$O$32*'TE BF'!$O$57</f>
        <v>0.24225642696120622</v>
      </c>
      <c r="P32" s="36">
        <f>SUM($L$32:$O$32)</f>
        <v>34.519807172049291</v>
      </c>
      <c r="Q32" s="36">
        <f>'TE BE'!$Q$32*'TE BF'!$Q$57</f>
        <v>16.319870082597198</v>
      </c>
      <c r="R32" s="36">
        <f>SUM($Q$32:$Q$32)</f>
        <v>16.319870082597198</v>
      </c>
      <c r="S32" s="36">
        <f>'TE BE'!$S$32*'TE BF'!$S$57</f>
        <v>0</v>
      </c>
      <c r="T32" s="36">
        <f>'TE BE'!$T$32*'TE BF'!$T$57</f>
        <v>0</v>
      </c>
      <c r="U32" s="36">
        <f>'TE BE'!$U$32*'TE BF'!$U$57</f>
        <v>0</v>
      </c>
      <c r="V32" s="36">
        <f>SUM($S$32:$U$32)</f>
        <v>0</v>
      </c>
      <c r="W32" s="36">
        <f>'TE BE'!$AA$32*'TE BF'!$W$57</f>
        <v>0</v>
      </c>
      <c r="X32" s="36">
        <f>SUM($W$32:$W$32)</f>
        <v>0</v>
      </c>
      <c r="Y32" s="36">
        <f>'TE BE'!$Y$32*'TE BF'!$Y$57</f>
        <v>0.41325541626643675</v>
      </c>
      <c r="Z32" s="36">
        <f>SUM($Y$32:$Y$32)</f>
        <v>0.41325541626643675</v>
      </c>
      <c r="AA32" s="36">
        <f>SUMIF($L$4:$Z$4,"SUBTOTAL",$L$32:$Z$32)</f>
        <v>51.252932670912926</v>
      </c>
    </row>
    <row r="33" spans="1:27" ht="11.25" customHeight="1" x14ac:dyDescent="0.25">
      <c r="A33" s="112"/>
      <c r="B33" s="112" t="s">
        <v>92</v>
      </c>
      <c r="C33" s="112" t="s">
        <v>45</v>
      </c>
      <c r="D33" s="112" t="s">
        <v>110</v>
      </c>
      <c r="E33" s="112" t="s">
        <v>25</v>
      </c>
      <c r="F33" s="112" t="s">
        <v>25</v>
      </c>
      <c r="G33" s="38" t="s">
        <v>94</v>
      </c>
      <c r="H33" s="38" t="s">
        <v>93</v>
      </c>
      <c r="I33" s="38">
        <f>'MERCADO TE'!$U$30</f>
        <v>0</v>
      </c>
      <c r="J33" s="15"/>
      <c r="L33" s="36">
        <f>'TE BE'!$L$33*'TE BF'!$L$57</f>
        <v>0</v>
      </c>
      <c r="M33" s="36">
        <f>'TE BE'!$M$33*'TE BF'!$M$57</f>
        <v>34.277550745088085</v>
      </c>
      <c r="N33" s="36">
        <f>'TE BE'!$N$33*'TE BF'!$N$57</f>
        <v>0</v>
      </c>
      <c r="O33" s="36">
        <f>'TE BE'!$O$33*'TE BF'!$O$57</f>
        <v>0.24225642696120622</v>
      </c>
      <c r="P33" s="36">
        <f>SUM($L$33:$O$33)</f>
        <v>34.519807172049291</v>
      </c>
      <c r="Q33" s="36">
        <f>'TE BE'!$Q$33*'TE BF'!$Q$57</f>
        <v>26.48129862459168</v>
      </c>
      <c r="R33" s="36">
        <f>SUM($Q$33:$Q$33)</f>
        <v>26.48129862459168</v>
      </c>
      <c r="S33" s="36">
        <f>'TE BE'!$S$33*'TE BF'!$S$57</f>
        <v>0</v>
      </c>
      <c r="T33" s="36">
        <f>'TE BE'!$T$33*'TE BF'!$T$57</f>
        <v>0</v>
      </c>
      <c r="U33" s="36">
        <f>'TE BE'!$U$33*'TE BF'!$U$57</f>
        <v>0</v>
      </c>
      <c r="V33" s="36">
        <f>SUM($S$33:$U$33)</f>
        <v>0</v>
      </c>
      <c r="W33" s="36">
        <f>'TE BE'!$AA$33*'TE BF'!$W$57</f>
        <v>0</v>
      </c>
      <c r="X33" s="36">
        <f>SUM($W$33:$W$33)</f>
        <v>0</v>
      </c>
      <c r="Y33" s="36">
        <f>'TE BE'!$Y$33*'TE BF'!$Y$57</f>
        <v>0.41325541626643675</v>
      </c>
      <c r="Z33" s="36">
        <f>SUM($Y$33:$Y$33)</f>
        <v>0.41325541626643675</v>
      </c>
      <c r="AA33" s="36">
        <f>SUMIF($L$4:$Z$4,"SUBTOTAL",$L$33:$Z$33)</f>
        <v>61.414361212907409</v>
      </c>
    </row>
    <row r="34" spans="1:27" ht="11.25" customHeight="1" x14ac:dyDescent="0.25">
      <c r="A34" s="112"/>
      <c r="B34" s="112"/>
      <c r="C34" s="112"/>
      <c r="D34" s="112"/>
      <c r="E34" s="112"/>
      <c r="F34" s="112"/>
      <c r="G34" s="38" t="s">
        <v>107</v>
      </c>
      <c r="H34" s="38" t="s">
        <v>93</v>
      </c>
      <c r="I34" s="38">
        <f>'MERCADO TE'!$U$31</f>
        <v>0</v>
      </c>
      <c r="J34" s="15"/>
      <c r="L34" s="36">
        <f>'TE BE'!$L$34*'TE BF'!$L$57</f>
        <v>0</v>
      </c>
      <c r="M34" s="36">
        <f>'TE BE'!$M$34*'TE BF'!$M$57</f>
        <v>34.277550745088085</v>
      </c>
      <c r="N34" s="36">
        <f>'TE BE'!$N$34*'TE BF'!$N$57</f>
        <v>0</v>
      </c>
      <c r="O34" s="36">
        <f>'TE BE'!$O$34*'TE BF'!$O$57</f>
        <v>0.24225642696120622</v>
      </c>
      <c r="P34" s="36">
        <f>SUM($L$34:$O$34)</f>
        <v>34.519807172049291</v>
      </c>
      <c r="Q34" s="36">
        <f>'TE BE'!$Q$34*'TE BF'!$Q$57</f>
        <v>15.396103851506792</v>
      </c>
      <c r="R34" s="36">
        <f>SUM($Q$34:$Q$34)</f>
        <v>15.396103851506792</v>
      </c>
      <c r="S34" s="36">
        <f>'TE BE'!$S$34*'TE BF'!$S$57</f>
        <v>0</v>
      </c>
      <c r="T34" s="36">
        <f>'TE BE'!$T$34*'TE BF'!$T$57</f>
        <v>0</v>
      </c>
      <c r="U34" s="36">
        <f>'TE BE'!$U$34*'TE BF'!$U$57</f>
        <v>0</v>
      </c>
      <c r="V34" s="36">
        <f>SUM($S$34:$U$34)</f>
        <v>0</v>
      </c>
      <c r="W34" s="36">
        <f>'TE BE'!$AA$34*'TE BF'!$W$57</f>
        <v>0</v>
      </c>
      <c r="X34" s="36">
        <f>SUM($W$34:$W$34)</f>
        <v>0</v>
      </c>
      <c r="Y34" s="36">
        <f>'TE BE'!$Y$34*'TE BF'!$Y$57</f>
        <v>0.41325541626643675</v>
      </c>
      <c r="Z34" s="36">
        <f>SUM($Y$34:$Y$34)</f>
        <v>0.41325541626643675</v>
      </c>
      <c r="AA34" s="36">
        <f>SUMIF($L$4:$Z$4,"SUBTOTAL",$L$34:$Z$34)</f>
        <v>50.329166439822522</v>
      </c>
    </row>
    <row r="35" spans="1:27" ht="11.25" customHeight="1" x14ac:dyDescent="0.25">
      <c r="A35" s="112"/>
      <c r="B35" s="112"/>
      <c r="C35" s="112"/>
      <c r="D35" s="112"/>
      <c r="E35" s="112"/>
      <c r="F35" s="112"/>
      <c r="G35" s="38" t="s">
        <v>95</v>
      </c>
      <c r="H35" s="38" t="s">
        <v>93</v>
      </c>
      <c r="I35" s="38">
        <f>'MERCADO TE'!$U$32</f>
        <v>0</v>
      </c>
      <c r="J35" s="15"/>
      <c r="L35" s="36">
        <f>'TE BE'!$L$35*'TE BF'!$L$57</f>
        <v>0</v>
      </c>
      <c r="M35" s="36">
        <f>'TE BE'!$M$35*'TE BF'!$M$57</f>
        <v>34.277550745088085</v>
      </c>
      <c r="N35" s="36">
        <f>'TE BE'!$N$35*'TE BF'!$N$57</f>
        <v>0</v>
      </c>
      <c r="O35" s="36">
        <f>'TE BE'!$O$35*'TE BF'!$O$57</f>
        <v>0.24225642696120622</v>
      </c>
      <c r="P35" s="36">
        <f>SUM($L$35:$O$35)</f>
        <v>34.519807172049291</v>
      </c>
      <c r="Q35" s="36">
        <f>'TE BE'!$Q$35*'TE BF'!$Q$57</f>
        <v>15.396103851506792</v>
      </c>
      <c r="R35" s="36">
        <f>SUM($Q$35:$Q$35)</f>
        <v>15.396103851506792</v>
      </c>
      <c r="S35" s="36">
        <f>'TE BE'!$S$35*'TE BF'!$S$57</f>
        <v>0</v>
      </c>
      <c r="T35" s="36">
        <f>'TE BE'!$T$35*'TE BF'!$T$57</f>
        <v>0</v>
      </c>
      <c r="U35" s="36">
        <f>'TE BE'!$U$35*'TE BF'!$U$57</f>
        <v>0</v>
      </c>
      <c r="V35" s="36">
        <f>SUM($S$35:$U$35)</f>
        <v>0</v>
      </c>
      <c r="W35" s="36">
        <f>'TE BE'!$AA$35*'TE BF'!$W$57</f>
        <v>0</v>
      </c>
      <c r="X35" s="36">
        <f>SUM($W$35:$W$35)</f>
        <v>0</v>
      </c>
      <c r="Y35" s="36">
        <f>'TE BE'!$Y$35*'TE BF'!$Y$57</f>
        <v>0.41325541626643675</v>
      </c>
      <c r="Z35" s="36">
        <f>SUM($Y$35:$Y$35)</f>
        <v>0.41325541626643675</v>
      </c>
      <c r="AA35" s="36">
        <f>SUMIF($L$4:$Z$4,"SUBTOTAL",$L$35:$Z$35)</f>
        <v>50.329166439822522</v>
      </c>
    </row>
    <row r="36" spans="1:27" ht="11.25" customHeight="1" x14ac:dyDescent="0.25">
      <c r="A36" s="112"/>
      <c r="B36" s="39" t="s">
        <v>103</v>
      </c>
      <c r="C36" s="39" t="s">
        <v>45</v>
      </c>
      <c r="D36" s="39" t="s">
        <v>110</v>
      </c>
      <c r="E36" s="39" t="s">
        <v>25</v>
      </c>
      <c r="F36" s="39" t="s">
        <v>25</v>
      </c>
      <c r="G36" s="38" t="s">
        <v>98</v>
      </c>
      <c r="H36" s="38" t="s">
        <v>93</v>
      </c>
      <c r="I36" s="38">
        <f>'MERCADO TE'!$U$33</f>
        <v>0</v>
      </c>
      <c r="J36" s="15"/>
      <c r="L36" s="36">
        <f>'TE BE'!$L$36*'TE BF'!$L$57</f>
        <v>0</v>
      </c>
      <c r="M36" s="36">
        <f>'TE BE'!$M$36*'TE BF'!$M$57</f>
        <v>34.277550745088085</v>
      </c>
      <c r="N36" s="36">
        <f>'TE BE'!$N$36*'TE BF'!$N$57</f>
        <v>0</v>
      </c>
      <c r="O36" s="36">
        <f>'TE BE'!$O$36*'TE BF'!$O$57</f>
        <v>0.24225642696120622</v>
      </c>
      <c r="P36" s="36">
        <f>SUM($L$36:$O$36)</f>
        <v>34.519807172049291</v>
      </c>
      <c r="Q36" s="36">
        <f>'TE BE'!$Q$36*'TE BF'!$Q$57</f>
        <v>16.319870082597198</v>
      </c>
      <c r="R36" s="36">
        <f>SUM($Q$36:$Q$36)</f>
        <v>16.319870082597198</v>
      </c>
      <c r="S36" s="36">
        <f>'TE BE'!$S$36*'TE BF'!$S$57</f>
        <v>0</v>
      </c>
      <c r="T36" s="36">
        <f>'TE BE'!$T$36*'TE BF'!$T$57</f>
        <v>0</v>
      </c>
      <c r="U36" s="36">
        <f>'TE BE'!$U$36*'TE BF'!$U$57</f>
        <v>0</v>
      </c>
      <c r="V36" s="36">
        <f>SUM($S$36:$U$36)</f>
        <v>0</v>
      </c>
      <c r="W36" s="36">
        <f>'TE BE'!$AA$36*'TE BF'!$W$57</f>
        <v>0</v>
      </c>
      <c r="X36" s="36">
        <f>SUM($W$36:$W$36)</f>
        <v>0</v>
      </c>
      <c r="Y36" s="36">
        <f>'TE BE'!$Y$36*'TE BF'!$Y$57</f>
        <v>0.41325541626643675</v>
      </c>
      <c r="Z36" s="36">
        <f>SUM($Y$36:$Y$36)</f>
        <v>0.41325541626643675</v>
      </c>
      <c r="AA36" s="36">
        <f>SUMIF($L$4:$Z$4,"SUBTOTAL",$L$36:$Z$36)</f>
        <v>51.252932670912926</v>
      </c>
    </row>
    <row r="37" spans="1:27" ht="11.25" customHeight="1" x14ac:dyDescent="0.25">
      <c r="A37" s="112"/>
      <c r="B37" s="112" t="s">
        <v>92</v>
      </c>
      <c r="C37" s="112" t="s">
        <v>45</v>
      </c>
      <c r="D37" s="112" t="s">
        <v>111</v>
      </c>
      <c r="E37" s="112" t="s">
        <v>25</v>
      </c>
      <c r="F37" s="112" t="s">
        <v>25</v>
      </c>
      <c r="G37" s="38" t="s">
        <v>94</v>
      </c>
      <c r="H37" s="38" t="s">
        <v>93</v>
      </c>
      <c r="I37" s="38">
        <f>'MERCADO TE'!$U$34</f>
        <v>0</v>
      </c>
      <c r="J37" s="15"/>
      <c r="L37" s="36">
        <f>'TE BE'!$L$37*'TE BF'!$L$57</f>
        <v>0</v>
      </c>
      <c r="M37" s="36">
        <f>'TE BE'!$M$37*'TE BF'!$M$57</f>
        <v>34.277550745088085</v>
      </c>
      <c r="N37" s="36">
        <f>'TE BE'!$N$37*'TE BF'!$N$57</f>
        <v>0</v>
      </c>
      <c r="O37" s="36">
        <f>'TE BE'!$O$37*'TE BF'!$O$57</f>
        <v>0.24225642696120622</v>
      </c>
      <c r="P37" s="36">
        <f>SUM($L$37:$O$37)</f>
        <v>34.519807172049291</v>
      </c>
      <c r="Q37" s="36">
        <f>'TE BE'!$Q$37*'TE BF'!$Q$57</f>
        <v>26.48129862459168</v>
      </c>
      <c r="R37" s="36">
        <f>SUM($Q$37:$Q$37)</f>
        <v>26.48129862459168</v>
      </c>
      <c r="S37" s="36">
        <f>'TE BE'!$S$37*'TE BF'!$S$57</f>
        <v>0</v>
      </c>
      <c r="T37" s="36">
        <f>'TE BE'!$T$37*'TE BF'!$T$57</f>
        <v>0</v>
      </c>
      <c r="U37" s="36">
        <f>'TE BE'!$U$37*'TE BF'!$U$57</f>
        <v>0</v>
      </c>
      <c r="V37" s="36">
        <f>SUM($S$37:$U$37)</f>
        <v>0</v>
      </c>
      <c r="W37" s="36">
        <f>'TE BE'!$AA$37*'TE BF'!$W$57</f>
        <v>0</v>
      </c>
      <c r="X37" s="36">
        <f>SUM($W$37:$W$37)</f>
        <v>0</v>
      </c>
      <c r="Y37" s="36">
        <f>'TE BE'!$Y$37*'TE BF'!$Y$57</f>
        <v>0.41325541626643675</v>
      </c>
      <c r="Z37" s="36">
        <f>SUM($Y$37:$Y$37)</f>
        <v>0.41325541626643675</v>
      </c>
      <c r="AA37" s="36">
        <f>SUMIF($L$4:$Z$4,"SUBTOTAL",$L$37:$Z$37)</f>
        <v>61.414361212907409</v>
      </c>
    </row>
    <row r="38" spans="1:27" ht="11.25" customHeight="1" x14ac:dyDescent="0.25">
      <c r="A38" s="112"/>
      <c r="B38" s="112"/>
      <c r="C38" s="112"/>
      <c r="D38" s="112"/>
      <c r="E38" s="112"/>
      <c r="F38" s="112"/>
      <c r="G38" s="38" t="s">
        <v>107</v>
      </c>
      <c r="H38" s="38" t="s">
        <v>93</v>
      </c>
      <c r="I38" s="38">
        <f>'MERCADO TE'!$U$35</f>
        <v>0</v>
      </c>
      <c r="J38" s="15"/>
      <c r="L38" s="36">
        <f>'TE BE'!$L$38*'TE BF'!$L$57</f>
        <v>0</v>
      </c>
      <c r="M38" s="36">
        <f>'TE BE'!$M$38*'TE BF'!$M$57</f>
        <v>34.277550745088085</v>
      </c>
      <c r="N38" s="36">
        <f>'TE BE'!$N$38*'TE BF'!$N$57</f>
        <v>0</v>
      </c>
      <c r="O38" s="36">
        <f>'TE BE'!$O$38*'TE BF'!$O$57</f>
        <v>0.24225642696120622</v>
      </c>
      <c r="P38" s="36">
        <f>SUM($L$38:$O$38)</f>
        <v>34.519807172049291</v>
      </c>
      <c r="Q38" s="36">
        <f>'TE BE'!$Q$38*'TE BF'!$Q$57</f>
        <v>15.396103851506792</v>
      </c>
      <c r="R38" s="36">
        <f>SUM($Q$38:$Q$38)</f>
        <v>15.396103851506792</v>
      </c>
      <c r="S38" s="36">
        <f>'TE BE'!$S$38*'TE BF'!$S$57</f>
        <v>0</v>
      </c>
      <c r="T38" s="36">
        <f>'TE BE'!$T$38*'TE BF'!$T$57</f>
        <v>0</v>
      </c>
      <c r="U38" s="36">
        <f>'TE BE'!$U$38*'TE BF'!$U$57</f>
        <v>0</v>
      </c>
      <c r="V38" s="36">
        <f>SUM($S$38:$U$38)</f>
        <v>0</v>
      </c>
      <c r="W38" s="36">
        <f>'TE BE'!$AA$38*'TE BF'!$W$57</f>
        <v>0</v>
      </c>
      <c r="X38" s="36">
        <f>SUM($W$38:$W$38)</f>
        <v>0</v>
      </c>
      <c r="Y38" s="36">
        <f>'TE BE'!$Y$38*'TE BF'!$Y$57</f>
        <v>0.41325541626643675</v>
      </c>
      <c r="Z38" s="36">
        <f>SUM($Y$38:$Y$38)</f>
        <v>0.41325541626643675</v>
      </c>
      <c r="AA38" s="36">
        <f>SUMIF($L$4:$Z$4,"SUBTOTAL",$L$38:$Z$38)</f>
        <v>50.329166439822522</v>
      </c>
    </row>
    <row r="39" spans="1:27" ht="11.25" customHeight="1" x14ac:dyDescent="0.25">
      <c r="A39" s="112"/>
      <c r="B39" s="112"/>
      <c r="C39" s="112"/>
      <c r="D39" s="112"/>
      <c r="E39" s="112"/>
      <c r="F39" s="112"/>
      <c r="G39" s="38" t="s">
        <v>95</v>
      </c>
      <c r="H39" s="38" t="s">
        <v>93</v>
      </c>
      <c r="I39" s="38">
        <f>'MERCADO TE'!$U$36</f>
        <v>0</v>
      </c>
      <c r="J39" s="15"/>
      <c r="L39" s="36">
        <f>'TE BE'!$L$39*'TE BF'!$L$57</f>
        <v>0</v>
      </c>
      <c r="M39" s="36">
        <f>'TE BE'!$M$39*'TE BF'!$M$57</f>
        <v>34.277550745088085</v>
      </c>
      <c r="N39" s="36">
        <f>'TE BE'!$N$39*'TE BF'!$N$57</f>
        <v>0</v>
      </c>
      <c r="O39" s="36">
        <f>'TE BE'!$O$39*'TE BF'!$O$57</f>
        <v>0.24225642696120622</v>
      </c>
      <c r="P39" s="36">
        <f>SUM($L$39:$O$39)</f>
        <v>34.519807172049291</v>
      </c>
      <c r="Q39" s="36">
        <f>'TE BE'!$Q$39*'TE BF'!$Q$57</f>
        <v>15.396103851506792</v>
      </c>
      <c r="R39" s="36">
        <f>SUM($Q$39:$Q$39)</f>
        <v>15.396103851506792</v>
      </c>
      <c r="S39" s="36">
        <f>'TE BE'!$S$39*'TE BF'!$S$57</f>
        <v>0</v>
      </c>
      <c r="T39" s="36">
        <f>'TE BE'!$T$39*'TE BF'!$T$57</f>
        <v>0</v>
      </c>
      <c r="U39" s="36">
        <f>'TE BE'!$U$39*'TE BF'!$U$57</f>
        <v>0</v>
      </c>
      <c r="V39" s="36">
        <f>SUM($S$39:$U$39)</f>
        <v>0</v>
      </c>
      <c r="W39" s="36">
        <f>'TE BE'!$AA$39*'TE BF'!$W$57</f>
        <v>0</v>
      </c>
      <c r="X39" s="36">
        <f>SUM($W$39:$W$39)</f>
        <v>0</v>
      </c>
      <c r="Y39" s="36">
        <f>'TE BE'!$Y$39*'TE BF'!$Y$57</f>
        <v>0.41325541626643675</v>
      </c>
      <c r="Z39" s="36">
        <f>SUM($Y$39:$Y$39)</f>
        <v>0.41325541626643675</v>
      </c>
      <c r="AA39" s="36">
        <f>SUMIF($L$4:$Z$4,"SUBTOTAL",$L$39:$Z$39)</f>
        <v>50.329166439822522</v>
      </c>
    </row>
    <row r="40" spans="1:27" ht="11.25" customHeight="1" x14ac:dyDescent="0.25">
      <c r="A40" s="112"/>
      <c r="B40" s="39" t="s">
        <v>103</v>
      </c>
      <c r="C40" s="39" t="s">
        <v>45</v>
      </c>
      <c r="D40" s="39" t="s">
        <v>111</v>
      </c>
      <c r="E40" s="39" t="s">
        <v>25</v>
      </c>
      <c r="F40" s="39" t="s">
        <v>25</v>
      </c>
      <c r="G40" s="38" t="s">
        <v>98</v>
      </c>
      <c r="H40" s="38" t="s">
        <v>93</v>
      </c>
      <c r="I40" s="38">
        <f>'MERCADO TE'!$U$37</f>
        <v>0</v>
      </c>
      <c r="J40" s="15"/>
      <c r="L40" s="36">
        <f>'TE BE'!$L$40*'TE BF'!$L$57</f>
        <v>0</v>
      </c>
      <c r="M40" s="36">
        <f>'TE BE'!$M$40*'TE BF'!$M$57</f>
        <v>34.277550745088085</v>
      </c>
      <c r="N40" s="36">
        <f>'TE BE'!$N$40*'TE BF'!$N$57</f>
        <v>0</v>
      </c>
      <c r="O40" s="36">
        <f>'TE BE'!$O$40*'TE BF'!$O$57</f>
        <v>0.24225642696120622</v>
      </c>
      <c r="P40" s="36">
        <f>SUM($L$40:$O$40)</f>
        <v>34.519807172049291</v>
      </c>
      <c r="Q40" s="36">
        <f>'TE BE'!$Q$40*'TE BF'!$Q$57</f>
        <v>16.319870082597198</v>
      </c>
      <c r="R40" s="36">
        <f>SUM($Q$40:$Q$40)</f>
        <v>16.319870082597198</v>
      </c>
      <c r="S40" s="36">
        <f>'TE BE'!$S$40*'TE BF'!$S$57</f>
        <v>0</v>
      </c>
      <c r="T40" s="36">
        <f>'TE BE'!$T$40*'TE BF'!$T$57</f>
        <v>0</v>
      </c>
      <c r="U40" s="36">
        <f>'TE BE'!$U$40*'TE BF'!$U$57</f>
        <v>0</v>
      </c>
      <c r="V40" s="36">
        <f>SUM($S$40:$U$40)</f>
        <v>0</v>
      </c>
      <c r="W40" s="36">
        <f>'TE BE'!$AA$40*'TE BF'!$W$57</f>
        <v>0</v>
      </c>
      <c r="X40" s="36">
        <f>SUM($W$40:$W$40)</f>
        <v>0</v>
      </c>
      <c r="Y40" s="36">
        <f>'TE BE'!$Y$40*'TE BF'!$Y$57</f>
        <v>0.41325541626643675</v>
      </c>
      <c r="Z40" s="36">
        <f>SUM($Y$40:$Y$40)</f>
        <v>0.41325541626643675</v>
      </c>
      <c r="AA40" s="36">
        <f>SUMIF($L$4:$Z$4,"SUBTOTAL",$L$40:$Z$40)</f>
        <v>51.252932670912926</v>
      </c>
    </row>
    <row r="41" spans="1:27" ht="11.25" customHeight="1" x14ac:dyDescent="0.25">
      <c r="A41" s="112"/>
      <c r="B41" s="112" t="s">
        <v>108</v>
      </c>
      <c r="C41" s="112" t="s">
        <v>45</v>
      </c>
      <c r="D41" s="39" t="s">
        <v>25</v>
      </c>
      <c r="E41" s="39" t="s">
        <v>25</v>
      </c>
      <c r="F41" s="39" t="s">
        <v>25</v>
      </c>
      <c r="G41" s="38" t="s">
        <v>98</v>
      </c>
      <c r="H41" s="38" t="s">
        <v>93</v>
      </c>
      <c r="I41" s="38">
        <f>'MERCADO TE'!$U$38</f>
        <v>0</v>
      </c>
      <c r="J41" s="15"/>
      <c r="L41" s="36">
        <f>'TE BE'!$L$41*'TE BF'!$L$57</f>
        <v>0</v>
      </c>
      <c r="M41" s="36">
        <f>'TE BE'!$M$41*'TE BF'!$M$57</f>
        <v>34.277550745088085</v>
      </c>
      <c r="N41" s="36">
        <f>'TE BE'!$N$41*'TE BF'!$N$57</f>
        <v>0</v>
      </c>
      <c r="O41" s="36">
        <f>'TE BE'!$O$41*'TE BF'!$O$57</f>
        <v>0.24225642696120622</v>
      </c>
      <c r="P41" s="36">
        <f>SUM($L$41:$O$41)</f>
        <v>34.519807172049291</v>
      </c>
      <c r="Q41" s="36">
        <f>'TE BE'!$Q$41*'TE BF'!$Q$57</f>
        <v>16.319870082597198</v>
      </c>
      <c r="R41" s="36">
        <f>SUM($Q$41:$Q$41)</f>
        <v>16.319870082597198</v>
      </c>
      <c r="S41" s="36">
        <f>'TE BE'!$S$41*'TE BF'!$S$57</f>
        <v>0</v>
      </c>
      <c r="T41" s="36">
        <f>'TE BE'!$T$41*'TE BF'!$T$57</f>
        <v>0</v>
      </c>
      <c r="U41" s="36">
        <f>'TE BE'!$U$41*'TE BF'!$U$57</f>
        <v>0</v>
      </c>
      <c r="V41" s="36">
        <f>SUM($S$41:$U$41)</f>
        <v>0</v>
      </c>
      <c r="W41" s="36">
        <f>'TE BE'!$AA$41*'TE BF'!$W$57</f>
        <v>0</v>
      </c>
      <c r="X41" s="36">
        <f>SUM($W$41:$W$41)</f>
        <v>0</v>
      </c>
      <c r="Y41" s="36">
        <f>'TE BE'!$Y$41*'TE BF'!$Y$57</f>
        <v>0.41325541626643675</v>
      </c>
      <c r="Z41" s="36">
        <f>SUM($Y$41:$Y$41)</f>
        <v>0.41325541626643675</v>
      </c>
      <c r="AA41" s="36">
        <f>SUMIF($L$4:$Z$4,"SUBTOTAL",$L$41:$Z$41)</f>
        <v>51.252932670912926</v>
      </c>
    </row>
    <row r="42" spans="1:27" ht="11.25" customHeight="1" x14ac:dyDescent="0.25">
      <c r="A42" s="112"/>
      <c r="B42" s="112"/>
      <c r="C42" s="112"/>
      <c r="D42" s="39" t="s">
        <v>110</v>
      </c>
      <c r="E42" s="39" t="s">
        <v>25</v>
      </c>
      <c r="F42" s="39" t="s">
        <v>25</v>
      </c>
      <c r="G42" s="38" t="s">
        <v>98</v>
      </c>
      <c r="H42" s="38" t="s">
        <v>93</v>
      </c>
      <c r="I42" s="38">
        <f>'MERCADO TE'!$U$39</f>
        <v>0</v>
      </c>
      <c r="J42" s="15"/>
      <c r="L42" s="36">
        <f>'TE BE'!$L$42*'TE BF'!$L$57</f>
        <v>0</v>
      </c>
      <c r="M42" s="36">
        <f>'TE BE'!$M$42*'TE BF'!$M$57</f>
        <v>34.277550745088085</v>
      </c>
      <c r="N42" s="36">
        <f>'TE BE'!$N$42*'TE BF'!$N$57</f>
        <v>0</v>
      </c>
      <c r="O42" s="36">
        <f>'TE BE'!$O$42*'TE BF'!$O$57</f>
        <v>0.24225642696120622</v>
      </c>
      <c r="P42" s="36">
        <f>SUM($L$42:$O$42)</f>
        <v>34.519807172049291</v>
      </c>
      <c r="Q42" s="36">
        <f>'TE BE'!$Q$42*'TE BF'!$Q$57</f>
        <v>16.319870082597198</v>
      </c>
      <c r="R42" s="36">
        <f>SUM($Q$42:$Q$42)</f>
        <v>16.319870082597198</v>
      </c>
      <c r="S42" s="36">
        <f>'TE BE'!$S$42*'TE BF'!$S$57</f>
        <v>0</v>
      </c>
      <c r="T42" s="36">
        <f>'TE BE'!$T$42*'TE BF'!$T$57</f>
        <v>0</v>
      </c>
      <c r="U42" s="36">
        <f>'TE BE'!$U$42*'TE BF'!$U$57</f>
        <v>0</v>
      </c>
      <c r="V42" s="36">
        <f>SUM($S$42:$U$42)</f>
        <v>0</v>
      </c>
      <c r="W42" s="36">
        <f>'TE BE'!$AA$42*'TE BF'!$W$57</f>
        <v>0</v>
      </c>
      <c r="X42" s="36">
        <f>SUM($W$42:$W$42)</f>
        <v>0</v>
      </c>
      <c r="Y42" s="36">
        <f>'TE BE'!$Y$42*'TE BF'!$Y$57</f>
        <v>0.41325541626643675</v>
      </c>
      <c r="Z42" s="36">
        <f>SUM($Y$42:$Y$42)</f>
        <v>0.41325541626643675</v>
      </c>
      <c r="AA42" s="36">
        <f>SUMIF($L$4:$Z$4,"SUBTOTAL",$L$42:$Z$42)</f>
        <v>51.252932670912926</v>
      </c>
    </row>
    <row r="43" spans="1:27" ht="11.25" customHeight="1" x14ac:dyDescent="0.25">
      <c r="A43" s="112"/>
      <c r="B43" s="112"/>
      <c r="C43" s="112"/>
      <c r="D43" s="39" t="s">
        <v>111</v>
      </c>
      <c r="E43" s="39" t="s">
        <v>25</v>
      </c>
      <c r="F43" s="39" t="s">
        <v>25</v>
      </c>
      <c r="G43" s="38" t="s">
        <v>98</v>
      </c>
      <c r="H43" s="38" t="s">
        <v>93</v>
      </c>
      <c r="I43" s="38">
        <f>'MERCADO TE'!$U$40</f>
        <v>0</v>
      </c>
      <c r="J43" s="15"/>
      <c r="L43" s="36">
        <f>'TE BE'!$L$43*'TE BF'!$L$57</f>
        <v>0</v>
      </c>
      <c r="M43" s="36">
        <f>'TE BE'!$M$43*'TE BF'!$M$57</f>
        <v>34.277550745088085</v>
      </c>
      <c r="N43" s="36">
        <f>'TE BE'!$N$43*'TE BF'!$N$57</f>
        <v>0</v>
      </c>
      <c r="O43" s="36">
        <f>'TE BE'!$O$43*'TE BF'!$O$57</f>
        <v>0.24225642696120622</v>
      </c>
      <c r="P43" s="36">
        <f>SUM($L$43:$O$43)</f>
        <v>34.519807172049291</v>
      </c>
      <c r="Q43" s="36">
        <f>'TE BE'!$Q$43*'TE BF'!$Q$57</f>
        <v>16.319870082597198</v>
      </c>
      <c r="R43" s="36">
        <f>SUM($Q$43:$Q$43)</f>
        <v>16.319870082597198</v>
      </c>
      <c r="S43" s="36">
        <f>'TE BE'!$S$43*'TE BF'!$S$57</f>
        <v>0</v>
      </c>
      <c r="T43" s="36">
        <f>'TE BE'!$T$43*'TE BF'!$T$57</f>
        <v>0</v>
      </c>
      <c r="U43" s="36">
        <f>'TE BE'!$U$43*'TE BF'!$U$57</f>
        <v>0</v>
      </c>
      <c r="V43" s="36">
        <f>SUM($S$43:$U$43)</f>
        <v>0</v>
      </c>
      <c r="W43" s="36">
        <f>'TE BE'!$AA$43*'TE BF'!$W$57</f>
        <v>0</v>
      </c>
      <c r="X43" s="36">
        <f>SUM($W$43:$W$43)</f>
        <v>0</v>
      </c>
      <c r="Y43" s="36">
        <f>'TE BE'!$Y$43*'TE BF'!$Y$57</f>
        <v>0.41325541626643675</v>
      </c>
      <c r="Z43" s="36">
        <f>SUM($Y$43:$Y$43)</f>
        <v>0.41325541626643675</v>
      </c>
      <c r="AA43" s="36">
        <f>SUMIF($L$4:$Z$4,"SUBTOTAL",$L$43:$Z$43)</f>
        <v>51.252932670912926</v>
      </c>
    </row>
    <row r="44" spans="1:27" ht="11.25" customHeight="1" x14ac:dyDescent="0.25">
      <c r="A44" s="112" t="s">
        <v>37</v>
      </c>
      <c r="B44" s="112" t="s">
        <v>92</v>
      </c>
      <c r="C44" s="112" t="s">
        <v>25</v>
      </c>
      <c r="D44" s="112" t="s">
        <v>25</v>
      </c>
      <c r="E44" s="112" t="s">
        <v>25</v>
      </c>
      <c r="F44" s="112" t="s">
        <v>25</v>
      </c>
      <c r="G44" s="38" t="s">
        <v>94</v>
      </c>
      <c r="H44" s="38" t="s">
        <v>93</v>
      </c>
      <c r="I44" s="38">
        <f>'MERCADO TE'!$U$41</f>
        <v>102.03199999999998</v>
      </c>
      <c r="J44" s="15"/>
      <c r="L44" s="36">
        <f>'TE BE'!$L$44*'TE BF'!$L$57</f>
        <v>0</v>
      </c>
      <c r="M44" s="36">
        <f>'TE BE'!$M$44*'TE BF'!$M$57</f>
        <v>34.277550745088085</v>
      </c>
      <c r="N44" s="36">
        <f>'TE BE'!$N$44*'TE BF'!$N$57</f>
        <v>0</v>
      </c>
      <c r="O44" s="36">
        <f>'TE BE'!$O$44*'TE BF'!$O$57</f>
        <v>0.24225642696120622</v>
      </c>
      <c r="P44" s="36">
        <f>SUM($L$44:$O$44)</f>
        <v>34.519807172049291</v>
      </c>
      <c r="Q44" s="36">
        <f>'TE BE'!$Q$44*'TE BF'!$Q$57</f>
        <v>26.48129862459168</v>
      </c>
      <c r="R44" s="36">
        <f>SUM($Q$44:$Q$44)</f>
        <v>26.48129862459168</v>
      </c>
      <c r="S44" s="36">
        <f>'TE BE'!$S$44*'TE BF'!$S$57</f>
        <v>0</v>
      </c>
      <c r="T44" s="36">
        <f>'TE BE'!$T$44*'TE BF'!$T$57</f>
        <v>0</v>
      </c>
      <c r="U44" s="36">
        <f>'TE BE'!$U$44*'TE BF'!$U$57</f>
        <v>0</v>
      </c>
      <c r="V44" s="36">
        <f>SUM($S$44:$U$44)</f>
        <v>0</v>
      </c>
      <c r="W44" s="36">
        <f>'TE BE'!$AA$44*'TE BF'!$W$57</f>
        <v>0</v>
      </c>
      <c r="X44" s="36">
        <f>SUM($W$44:$W$44)</f>
        <v>0</v>
      </c>
      <c r="Y44" s="36">
        <f>'TE BE'!$Y$44*'TE BF'!$Y$57</f>
        <v>0.41325541626643675</v>
      </c>
      <c r="Z44" s="36">
        <f>SUM($Y$44:$Y$44)</f>
        <v>0.41325541626643675</v>
      </c>
      <c r="AA44" s="36">
        <f>SUMIF($L$4:$Z$4,"SUBTOTAL",$L$44:$Z$44)</f>
        <v>61.414361212907409</v>
      </c>
    </row>
    <row r="45" spans="1:27" ht="11.25" customHeight="1" x14ac:dyDescent="0.25">
      <c r="A45" s="112"/>
      <c r="B45" s="112"/>
      <c r="C45" s="112"/>
      <c r="D45" s="112"/>
      <c r="E45" s="112"/>
      <c r="F45" s="112"/>
      <c r="G45" s="38" t="s">
        <v>107</v>
      </c>
      <c r="H45" s="38" t="s">
        <v>93</v>
      </c>
      <c r="I45" s="38">
        <f>'MERCADO TE'!$U$42</f>
        <v>72.591000000000008</v>
      </c>
      <c r="J45" s="15"/>
      <c r="L45" s="36">
        <f>'TE BE'!$L$45*'TE BF'!$L$57</f>
        <v>0</v>
      </c>
      <c r="M45" s="36">
        <f>'TE BE'!$M$45*'TE BF'!$M$57</f>
        <v>34.277550745088085</v>
      </c>
      <c r="N45" s="36">
        <f>'TE BE'!$N$45*'TE BF'!$N$57</f>
        <v>0</v>
      </c>
      <c r="O45" s="36">
        <f>'TE BE'!$O$45*'TE BF'!$O$57</f>
        <v>0.24225642696120622</v>
      </c>
      <c r="P45" s="36">
        <f>SUM($L$45:$O$45)</f>
        <v>34.519807172049291</v>
      </c>
      <c r="Q45" s="36">
        <f>'TE BE'!$Q$45*'TE BF'!$Q$57</f>
        <v>15.396103851506792</v>
      </c>
      <c r="R45" s="36">
        <f>SUM($Q$45:$Q$45)</f>
        <v>15.396103851506792</v>
      </c>
      <c r="S45" s="36">
        <f>'TE BE'!$S$45*'TE BF'!$S$57</f>
        <v>0</v>
      </c>
      <c r="T45" s="36">
        <f>'TE BE'!$T$45*'TE BF'!$T$57</f>
        <v>0</v>
      </c>
      <c r="U45" s="36">
        <f>'TE BE'!$U$45*'TE BF'!$U$57</f>
        <v>0</v>
      </c>
      <c r="V45" s="36">
        <f>SUM($S$45:$U$45)</f>
        <v>0</v>
      </c>
      <c r="W45" s="36">
        <f>'TE BE'!$AA$45*'TE BF'!$W$57</f>
        <v>0</v>
      </c>
      <c r="X45" s="36">
        <f>SUM($W$45:$W$45)</f>
        <v>0</v>
      </c>
      <c r="Y45" s="36">
        <f>'TE BE'!$Y$45*'TE BF'!$Y$57</f>
        <v>0.41325541626643675</v>
      </c>
      <c r="Z45" s="36">
        <f>SUM($Y$45:$Y$45)</f>
        <v>0.41325541626643675</v>
      </c>
      <c r="AA45" s="36">
        <f>SUMIF($L$4:$Z$4,"SUBTOTAL",$L$45:$Z$45)</f>
        <v>50.329166439822522</v>
      </c>
    </row>
    <row r="46" spans="1:27" ht="11.25" customHeight="1" x14ac:dyDescent="0.25">
      <c r="A46" s="112"/>
      <c r="B46" s="112"/>
      <c r="C46" s="112"/>
      <c r="D46" s="112"/>
      <c r="E46" s="112"/>
      <c r="F46" s="112"/>
      <c r="G46" s="38" t="s">
        <v>95</v>
      </c>
      <c r="H46" s="38" t="s">
        <v>93</v>
      </c>
      <c r="I46" s="38">
        <f>'MERCADO TE'!$U$43</f>
        <v>1401.5319999999997</v>
      </c>
      <c r="J46" s="15"/>
      <c r="L46" s="36">
        <f>'TE BE'!$L$46*'TE BF'!$L$57</f>
        <v>0</v>
      </c>
      <c r="M46" s="36">
        <f>'TE BE'!$M$46*'TE BF'!$M$57</f>
        <v>34.277550745088085</v>
      </c>
      <c r="N46" s="36">
        <f>'TE BE'!$N$46*'TE BF'!$N$57</f>
        <v>0</v>
      </c>
      <c r="O46" s="36">
        <f>'TE BE'!$O$46*'TE BF'!$O$57</f>
        <v>0.24225642696120622</v>
      </c>
      <c r="P46" s="36">
        <f>SUM($L$46:$O$46)</f>
        <v>34.519807172049291</v>
      </c>
      <c r="Q46" s="36">
        <f>'TE BE'!$Q$46*'TE BF'!$Q$57</f>
        <v>15.396103851506792</v>
      </c>
      <c r="R46" s="36">
        <f>SUM($Q$46:$Q$46)</f>
        <v>15.396103851506792</v>
      </c>
      <c r="S46" s="36">
        <f>'TE BE'!$S$46*'TE BF'!$S$57</f>
        <v>0</v>
      </c>
      <c r="T46" s="36">
        <f>'TE BE'!$T$46*'TE BF'!$T$57</f>
        <v>0</v>
      </c>
      <c r="U46" s="36">
        <f>'TE BE'!$U$46*'TE BF'!$U$57</f>
        <v>0</v>
      </c>
      <c r="V46" s="36">
        <f>SUM($S$46:$U$46)</f>
        <v>0</v>
      </c>
      <c r="W46" s="36">
        <f>'TE BE'!$AA$46*'TE BF'!$W$57</f>
        <v>0</v>
      </c>
      <c r="X46" s="36">
        <f>SUM($W$46:$W$46)</f>
        <v>0</v>
      </c>
      <c r="Y46" s="36">
        <f>'TE BE'!$Y$46*'TE BF'!$Y$57</f>
        <v>0.41325541626643675</v>
      </c>
      <c r="Z46" s="36">
        <f>SUM($Y$46:$Y$46)</f>
        <v>0.41325541626643675</v>
      </c>
      <c r="AA46" s="36">
        <f>SUMIF($L$4:$Z$4,"SUBTOTAL",$L$46:$Z$46)</f>
        <v>50.329166439822522</v>
      </c>
    </row>
    <row r="47" spans="1:27" ht="11.25" customHeight="1" x14ac:dyDescent="0.25">
      <c r="A47" s="112"/>
      <c r="B47" s="39" t="s">
        <v>103</v>
      </c>
      <c r="C47" s="39" t="s">
        <v>25</v>
      </c>
      <c r="D47" s="39" t="s">
        <v>25</v>
      </c>
      <c r="E47" s="39" t="s">
        <v>25</v>
      </c>
      <c r="F47" s="39" t="s">
        <v>25</v>
      </c>
      <c r="G47" s="38" t="s">
        <v>98</v>
      </c>
      <c r="H47" s="38" t="s">
        <v>93</v>
      </c>
      <c r="I47" s="38">
        <f>'MERCADO TE'!$U$44</f>
        <v>352409.69800000003</v>
      </c>
      <c r="J47" s="15"/>
      <c r="L47" s="36">
        <f>'TE BE'!$L$47*'TE BF'!$L$57</f>
        <v>0</v>
      </c>
      <c r="M47" s="36">
        <f>'TE BE'!$M$47*'TE BF'!$M$57</f>
        <v>34.277550745088085</v>
      </c>
      <c r="N47" s="36">
        <f>'TE BE'!$N$47*'TE BF'!$N$57</f>
        <v>0</v>
      </c>
      <c r="O47" s="36">
        <f>'TE BE'!$O$47*'TE BF'!$O$57</f>
        <v>0.24225642696120622</v>
      </c>
      <c r="P47" s="36">
        <f>SUM($L$47:$O$47)</f>
        <v>34.519807172049291</v>
      </c>
      <c r="Q47" s="36">
        <f>'TE BE'!$Q$47*'TE BF'!$Q$57</f>
        <v>16.319870082597198</v>
      </c>
      <c r="R47" s="36">
        <f>SUM($Q$47:$Q$47)</f>
        <v>16.319870082597198</v>
      </c>
      <c r="S47" s="36">
        <f>'TE BE'!$S$47*'TE BF'!$S$57</f>
        <v>0</v>
      </c>
      <c r="T47" s="36">
        <f>'TE BE'!$T$47*'TE BF'!$T$57</f>
        <v>0</v>
      </c>
      <c r="U47" s="36">
        <f>'TE BE'!$U$47*'TE BF'!$U$57</f>
        <v>0</v>
      </c>
      <c r="V47" s="36">
        <f>SUM($S$47:$U$47)</f>
        <v>0</v>
      </c>
      <c r="W47" s="36">
        <f>'TE BE'!$AA$47*'TE BF'!$W$57</f>
        <v>0</v>
      </c>
      <c r="X47" s="36">
        <f>SUM($W$47:$W$47)</f>
        <v>0</v>
      </c>
      <c r="Y47" s="36">
        <f>'TE BE'!$Y$47*'TE BF'!$Y$57</f>
        <v>0.41325541626643675</v>
      </c>
      <c r="Z47" s="36">
        <f>SUM($Y$47:$Y$47)</f>
        <v>0.41325541626643675</v>
      </c>
      <c r="AA47" s="36">
        <f>SUMIF($L$4:$Z$4,"SUBTOTAL",$L$47:$Z$47)</f>
        <v>51.252932670912926</v>
      </c>
    </row>
    <row r="48" spans="1:27" ht="11.25" customHeight="1" x14ac:dyDescent="0.25">
      <c r="A48" s="112"/>
      <c r="B48" s="39" t="s">
        <v>108</v>
      </c>
      <c r="C48" s="39" t="s">
        <v>25</v>
      </c>
      <c r="D48" s="39" t="s">
        <v>25</v>
      </c>
      <c r="E48" s="39" t="s">
        <v>25</v>
      </c>
      <c r="F48" s="39" t="s">
        <v>25</v>
      </c>
      <c r="G48" s="38" t="s">
        <v>98</v>
      </c>
      <c r="H48" s="38" t="s">
        <v>93</v>
      </c>
      <c r="I48" s="38">
        <f>'MERCADO TE'!$U$45</f>
        <v>0</v>
      </c>
      <c r="J48" s="15"/>
      <c r="L48" s="36">
        <f>'TE BE'!$L$48*'TE BF'!$L$57</f>
        <v>0</v>
      </c>
      <c r="M48" s="36">
        <f>'TE BE'!$M$48*'TE BF'!$M$57</f>
        <v>34.277550745088085</v>
      </c>
      <c r="N48" s="36">
        <f>'TE BE'!$N$48*'TE BF'!$N$57</f>
        <v>0</v>
      </c>
      <c r="O48" s="36">
        <f>'TE BE'!$O$48*'TE BF'!$O$57</f>
        <v>0.24225642696120622</v>
      </c>
      <c r="P48" s="36">
        <f>SUM($L$48:$O$48)</f>
        <v>34.519807172049291</v>
      </c>
      <c r="Q48" s="36">
        <f>'TE BE'!$Q$48*'TE BF'!$Q$57</f>
        <v>16.319870082597198</v>
      </c>
      <c r="R48" s="36">
        <f>SUM($Q$48:$Q$48)</f>
        <v>16.319870082597198</v>
      </c>
      <c r="S48" s="36">
        <f>'TE BE'!$S$48*'TE BF'!$S$57</f>
        <v>0</v>
      </c>
      <c r="T48" s="36">
        <f>'TE BE'!$T$48*'TE BF'!$T$57</f>
        <v>0</v>
      </c>
      <c r="U48" s="36">
        <f>'TE BE'!$U$48*'TE BF'!$U$57</f>
        <v>0</v>
      </c>
      <c r="V48" s="36">
        <f>SUM($S$48:$U$48)</f>
        <v>0</v>
      </c>
      <c r="W48" s="36">
        <f>'TE BE'!$AA$48*'TE BF'!$W$57</f>
        <v>0</v>
      </c>
      <c r="X48" s="36">
        <f>SUM($W$48:$W$48)</f>
        <v>0</v>
      </c>
      <c r="Y48" s="36">
        <f>'TE BE'!$Y$48*'TE BF'!$Y$57</f>
        <v>0.41325541626643675</v>
      </c>
      <c r="Z48" s="36">
        <f>SUM($Y$48:$Y$48)</f>
        <v>0.41325541626643675</v>
      </c>
      <c r="AA48" s="36">
        <f>SUMIF($L$4:$Z$4,"SUBTOTAL",$L$48:$Z$48)</f>
        <v>51.252932670912926</v>
      </c>
    </row>
    <row r="49" spans="1:27" ht="11.25" customHeight="1" x14ac:dyDescent="0.25">
      <c r="A49" s="112" t="s">
        <v>47</v>
      </c>
      <c r="B49" s="112" t="s">
        <v>103</v>
      </c>
      <c r="C49" s="112" t="s">
        <v>48</v>
      </c>
      <c r="D49" s="39" t="s">
        <v>49</v>
      </c>
      <c r="E49" s="39" t="s">
        <v>25</v>
      </c>
      <c r="F49" s="39" t="s">
        <v>25</v>
      </c>
      <c r="G49" s="38" t="s">
        <v>98</v>
      </c>
      <c r="H49" s="38" t="s">
        <v>93</v>
      </c>
      <c r="I49" s="38">
        <f>'MERCADO TE'!$U$46</f>
        <v>197535.73299999998</v>
      </c>
      <c r="J49" s="15"/>
      <c r="L49" s="36">
        <f>'TE BE'!$L$49*'TE BF'!$L$57</f>
        <v>0</v>
      </c>
      <c r="M49" s="36">
        <f>'TE BE'!$M$49*'TE BF'!$M$57</f>
        <v>18.852652909798451</v>
      </c>
      <c r="N49" s="36">
        <f>'TE BE'!$N$49*'TE BF'!$N$57</f>
        <v>0</v>
      </c>
      <c r="O49" s="36">
        <f>'TE BE'!$O$49*'TE BF'!$O$57</f>
        <v>0.13324103482866345</v>
      </c>
      <c r="P49" s="36">
        <f>SUM($L$49:$O$49)</f>
        <v>18.985893944627115</v>
      </c>
      <c r="Q49" s="36">
        <f>'TE BE'!$Q$49*'TE BF'!$Q$57</f>
        <v>8.9759285454284612</v>
      </c>
      <c r="R49" s="36">
        <f>SUM($Q$49:$Q$49)</f>
        <v>8.9759285454284612</v>
      </c>
      <c r="S49" s="36">
        <f>'TE BE'!$S$49*'TE BF'!$S$57</f>
        <v>0</v>
      </c>
      <c r="T49" s="36">
        <f>'TE BE'!$T$49*'TE BF'!$T$57</f>
        <v>0</v>
      </c>
      <c r="U49" s="36">
        <f>'TE BE'!$U$49*'TE BF'!$U$57</f>
        <v>0</v>
      </c>
      <c r="V49" s="36">
        <f>SUM($S$49:$U$49)</f>
        <v>0</v>
      </c>
      <c r="W49" s="36">
        <f>'TE BE'!$AA$49*'TE BF'!$W$57</f>
        <v>0</v>
      </c>
      <c r="X49" s="36">
        <f>SUM($W$49:$W$49)</f>
        <v>0</v>
      </c>
      <c r="Y49" s="36">
        <f>'TE BE'!$Y$49*'TE BF'!$Y$57</f>
        <v>0.22729047894654023</v>
      </c>
      <c r="Z49" s="36">
        <f>SUM($Y$49:$Y$49)</f>
        <v>0.22729047894654023</v>
      </c>
      <c r="AA49" s="36">
        <f>SUMIF($L$4:$Z$4,"SUBTOTAL",$L$49:$Z$49)</f>
        <v>28.189112969002114</v>
      </c>
    </row>
    <row r="50" spans="1:27" ht="11.25" customHeight="1" x14ac:dyDescent="0.25">
      <c r="A50" s="112"/>
      <c r="B50" s="112"/>
      <c r="C50" s="112"/>
      <c r="D50" s="38" t="s">
        <v>112</v>
      </c>
      <c r="E50" s="38" t="s">
        <v>25</v>
      </c>
      <c r="F50" s="38" t="s">
        <v>25</v>
      </c>
      <c r="G50" s="38" t="s">
        <v>98</v>
      </c>
      <c r="H50" s="38" t="s">
        <v>93</v>
      </c>
      <c r="I50" s="38">
        <f>'MERCADO TE'!$U$47</f>
        <v>0</v>
      </c>
      <c r="J50" s="15"/>
      <c r="L50" s="36">
        <f>'TE BE'!$L$50*'TE BF'!$L$57</f>
        <v>0</v>
      </c>
      <c r="M50" s="36">
        <f>'TE BE'!$M$50*'TE BF'!$M$57</f>
        <v>20.566530447052848</v>
      </c>
      <c r="N50" s="36">
        <f>'TE BE'!$N$50*'TE BF'!$N$57</f>
        <v>0</v>
      </c>
      <c r="O50" s="36">
        <f>'TE BE'!$O$50*'TE BF'!$O$57</f>
        <v>0.14535385617672372</v>
      </c>
      <c r="P50" s="36">
        <f>SUM($L$50:$O$50)</f>
        <v>20.711884303229571</v>
      </c>
      <c r="Q50" s="36">
        <f>'TE BE'!$Q$50*'TE BF'!$Q$57</f>
        <v>9.7919220495583197</v>
      </c>
      <c r="R50" s="36">
        <f>SUM($Q$50:$Q$50)</f>
        <v>9.7919220495583197</v>
      </c>
      <c r="S50" s="36">
        <f>'TE BE'!$S$50*'TE BF'!$S$57</f>
        <v>0</v>
      </c>
      <c r="T50" s="36">
        <f>'TE BE'!$T$50*'TE BF'!$T$57</f>
        <v>0</v>
      </c>
      <c r="U50" s="36">
        <f>'TE BE'!$U$50*'TE BF'!$U$57</f>
        <v>0</v>
      </c>
      <c r="V50" s="36">
        <f>SUM($S$50:$U$50)</f>
        <v>0</v>
      </c>
      <c r="W50" s="36">
        <f>'TE BE'!$AA$50*'TE BF'!$W$57</f>
        <v>0</v>
      </c>
      <c r="X50" s="36">
        <f>SUM($W$50:$W$50)</f>
        <v>0</v>
      </c>
      <c r="Y50" s="36">
        <f>'TE BE'!$Y$50*'TE BF'!$Y$57</f>
        <v>0.24795324975986208</v>
      </c>
      <c r="Z50" s="36">
        <f>SUM($Y$50:$Y$50)</f>
        <v>0.24795324975986208</v>
      </c>
      <c r="AA50" s="36">
        <f>SUMIF($L$4:$Z$4,"SUBTOTAL",$L$50:$Z$50)</f>
        <v>30.751759602547754</v>
      </c>
    </row>
    <row r="52" spans="1:27" ht="11.25" customHeight="1" x14ac:dyDescent="0.25">
      <c r="K52" s="41" t="s">
        <v>964</v>
      </c>
      <c r="L52" s="36">
        <f t="shared" ref="L52:AA52" si="0">SUMPRODUCT($I$5:$I$50,L$5:L$50)</f>
        <v>0</v>
      </c>
      <c r="M52" s="36">
        <f t="shared" si="0"/>
        <v>88617019.983599216</v>
      </c>
      <c r="N52" s="36">
        <f t="shared" si="0"/>
        <v>0</v>
      </c>
      <c r="O52" s="36">
        <f t="shared" si="0"/>
        <v>626300.36751540354</v>
      </c>
      <c r="P52" s="36">
        <f t="shared" si="0"/>
        <v>89243320.351114675</v>
      </c>
      <c r="Q52" s="36">
        <f t="shared" si="0"/>
        <v>41955382.868036851</v>
      </c>
      <c r="R52" s="36">
        <f t="shared" si="0"/>
        <v>41955382.868036851</v>
      </c>
      <c r="S52" s="36">
        <f t="shared" si="0"/>
        <v>0</v>
      </c>
      <c r="T52" s="36">
        <f t="shared" si="0"/>
        <v>0</v>
      </c>
      <c r="U52" s="36">
        <f t="shared" si="0"/>
        <v>0</v>
      </c>
      <c r="V52" s="36">
        <f t="shared" si="0"/>
        <v>0</v>
      </c>
      <c r="W52" s="36">
        <f t="shared" si="0"/>
        <v>0</v>
      </c>
      <c r="X52" s="36">
        <f t="shared" si="0"/>
        <v>0</v>
      </c>
      <c r="Y52" s="36">
        <f t="shared" si="0"/>
        <v>1068380.4030794483</v>
      </c>
      <c r="Z52" s="36">
        <f t="shared" si="0"/>
        <v>1068380.4030794483</v>
      </c>
      <c r="AA52" s="36">
        <f t="shared" si="0"/>
        <v>132267083.62223096</v>
      </c>
    </row>
    <row r="53" spans="1:27" ht="11.25" customHeight="1" x14ac:dyDescent="0.25">
      <c r="K53" s="41" t="s">
        <v>899</v>
      </c>
      <c r="L53" s="36">
        <f>CUSTOS!$D$30</f>
        <v>6780086.7341029542</v>
      </c>
      <c r="M53" s="36">
        <f>CUSTOS!$D$31</f>
        <v>44173415.506152324</v>
      </c>
      <c r="N53" s="36">
        <f>CUSTOS!$D$32</f>
        <v>0</v>
      </c>
      <c r="O53" s="36">
        <f>CUSTOS!$D$33</f>
        <v>9633157.0101621784</v>
      </c>
      <c r="P53" s="36">
        <f>CUSTOS!$D$34</f>
        <v>60586659.250417456</v>
      </c>
      <c r="Q53" s="36">
        <f>CUSTOS!$D$35</f>
        <v>578739872.88881707</v>
      </c>
      <c r="R53" s="36">
        <f>CUSTOS!$D$36</f>
        <v>578739872.88881707</v>
      </c>
      <c r="S53" s="36">
        <f>CUSTOS!$D$37</f>
        <v>0</v>
      </c>
      <c r="T53" s="36">
        <f>CUSTOS!$D$38</f>
        <v>0</v>
      </c>
      <c r="U53" s="36">
        <f>CUSTOS!$D$39</f>
        <v>9.9999999999999995E-7</v>
      </c>
      <c r="V53" s="36">
        <f>CUSTOS!$D$40</f>
        <v>9.9999999999999995E-7</v>
      </c>
      <c r="W53" s="36">
        <f>CUSTOS!$D$41</f>
        <v>0</v>
      </c>
      <c r="X53" s="36">
        <f>CUSTOS!$D$42</f>
        <v>0</v>
      </c>
      <c r="Y53" s="36">
        <f>CUSTOS!$D$43</f>
        <v>14737425.722460933</v>
      </c>
      <c r="Z53" s="36">
        <f>CUSTOS!$D$44</f>
        <v>14737425.722460933</v>
      </c>
      <c r="AA53" s="36">
        <f>CUSTOS!$D$45</f>
        <v>654063957.86169648</v>
      </c>
    </row>
    <row r="54" spans="1:27" ht="11.25" customHeight="1" x14ac:dyDescent="0.25">
      <c r="K54" s="41" t="s">
        <v>900</v>
      </c>
      <c r="L54" s="36">
        <f>CUSTOS!$E$30</f>
        <v>-3280.8486845495613</v>
      </c>
      <c r="M54" s="36">
        <f>CUSTOS!$E$31</f>
        <v>-77114544.237402737</v>
      </c>
      <c r="N54" s="36">
        <f>CUSTOS!$E$32</f>
        <v>0</v>
      </c>
      <c r="O54" s="36">
        <f>CUSTOS!$E$33</f>
        <v>-481434.36160427966</v>
      </c>
      <c r="P54" s="36">
        <f>CUSTOS!$E$34</f>
        <v>-77599259.44769156</v>
      </c>
      <c r="Q54" s="36">
        <f>CUSTOS!$E$35</f>
        <v>-42979281.433094189</v>
      </c>
      <c r="R54" s="36">
        <f>CUSTOS!$E$36</f>
        <v>-42979281.433094189</v>
      </c>
      <c r="S54" s="36">
        <f>CUSTOS!$E$37</f>
        <v>0</v>
      </c>
      <c r="T54" s="36">
        <f>CUSTOS!$E$38</f>
        <v>0</v>
      </c>
      <c r="U54" s="36">
        <f>CUSTOS!$E$39</f>
        <v>0</v>
      </c>
      <c r="V54" s="36">
        <f>CUSTOS!$E$40</f>
        <v>0</v>
      </c>
      <c r="W54" s="36">
        <f>CUSTOS!$E$41</f>
        <v>-53981673.611668848</v>
      </c>
      <c r="X54" s="36">
        <f>CUSTOS!$E$42</f>
        <v>-53981673.611668848</v>
      </c>
      <c r="Y54" s="36">
        <f>CUSTOS!$E$43</f>
        <v>-1094453.6524903555</v>
      </c>
      <c r="Z54" s="36">
        <f>CUSTOS!$E$44</f>
        <v>-1094453.6524903555</v>
      </c>
      <c r="AA54" s="36">
        <f>CUSTOS!$E$45</f>
        <v>-175654668.14494494</v>
      </c>
    </row>
    <row r="55" spans="1:27" ht="11.25" customHeight="1" x14ac:dyDescent="0.25">
      <c r="K55" s="41" t="s">
        <v>901</v>
      </c>
      <c r="L55" s="36">
        <f>CUSTOS!$F$30</f>
        <v>0</v>
      </c>
      <c r="M55" s="36">
        <f>CUSTOS!$F$31</f>
        <v>88617019.98359926</v>
      </c>
      <c r="N55" s="36">
        <f>CUSTOS!$F$32</f>
        <v>0</v>
      </c>
      <c r="O55" s="36">
        <f>CUSTOS!$F$33</f>
        <v>626300.36751540366</v>
      </c>
      <c r="P55" s="36">
        <f>CUSTOS!$F$34</f>
        <v>89243320.351114661</v>
      </c>
      <c r="Q55" s="36">
        <f>CUSTOS!$F$35</f>
        <v>41955382.868036844</v>
      </c>
      <c r="R55" s="36">
        <f>CUSTOS!$F$36</f>
        <v>41955382.868036844</v>
      </c>
      <c r="S55" s="36">
        <f>CUSTOS!$F$37</f>
        <v>0</v>
      </c>
      <c r="T55" s="36">
        <f>CUSTOS!$F$38</f>
        <v>0</v>
      </c>
      <c r="U55" s="36">
        <f>CUSTOS!$F$39</f>
        <v>0</v>
      </c>
      <c r="V55" s="36">
        <f>CUSTOS!$F$40</f>
        <v>0</v>
      </c>
      <c r="W55" s="36">
        <f>CUSTOS!$F$41</f>
        <v>0</v>
      </c>
      <c r="X55" s="36">
        <f>CUSTOS!$F$42</f>
        <v>0</v>
      </c>
      <c r="Y55" s="36">
        <f>CUSTOS!$F$43</f>
        <v>1068380.4030794483</v>
      </c>
      <c r="Z55" s="36">
        <f>CUSTOS!$F$44</f>
        <v>1068380.4030794483</v>
      </c>
      <c r="AA55" s="36">
        <f>CUSTOS!$F$45</f>
        <v>132267083.62223095</v>
      </c>
    </row>
    <row r="56" spans="1:27" ht="11.25" customHeight="1" x14ac:dyDescent="0.25"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</row>
    <row r="57" spans="1:27" ht="11.25" customHeight="1" x14ac:dyDescent="0.25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1:27" ht="11.25" customHeight="1" x14ac:dyDescent="0.25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mergeCells count="67">
    <mergeCell ref="E44:E46"/>
    <mergeCell ref="F44:F46"/>
    <mergeCell ref="A49:A50"/>
    <mergeCell ref="B49:B50"/>
    <mergeCell ref="C49:C50"/>
    <mergeCell ref="D44:D46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A16:A28"/>
    <mergeCell ref="B16:B18"/>
    <mergeCell ref="C16:C18"/>
    <mergeCell ref="D16:D18"/>
    <mergeCell ref="E16:E18"/>
    <mergeCell ref="F16:F18"/>
    <mergeCell ref="B19:B23"/>
    <mergeCell ref="C19:C23"/>
    <mergeCell ref="B24:B28"/>
    <mergeCell ref="C24:C28"/>
    <mergeCell ref="A10:A15"/>
    <mergeCell ref="B10:B11"/>
    <mergeCell ref="C10:C11"/>
    <mergeCell ref="D10:D11"/>
    <mergeCell ref="E10:E11"/>
    <mergeCell ref="F10:F11"/>
    <mergeCell ref="Y3:Z3"/>
    <mergeCell ref="AA3:AA4"/>
    <mergeCell ref="A5:A9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52">
    <cfRule type="cellIs" dxfId="1409" priority="31" operator="notEqual">
      <formula>$L$55</formula>
    </cfRule>
    <cfRule type="cellIs" dxfId="1408" priority="32" operator="equal">
      <formula>$L$55</formula>
    </cfRule>
  </conditionalFormatting>
  <conditionalFormatting sqref="M52">
    <cfRule type="cellIs" dxfId="1407" priority="29" operator="notEqual">
      <formula>$M$55</formula>
    </cfRule>
    <cfRule type="cellIs" dxfId="1406" priority="30" operator="equal">
      <formula>$M$55</formula>
    </cfRule>
  </conditionalFormatting>
  <conditionalFormatting sqref="N52">
    <cfRule type="cellIs" dxfId="1405" priority="27" operator="notEqual">
      <formula>$N$55</formula>
    </cfRule>
    <cfRule type="cellIs" dxfId="1404" priority="28" operator="equal">
      <formula>$N$55</formula>
    </cfRule>
  </conditionalFormatting>
  <conditionalFormatting sqref="O52">
    <cfRule type="cellIs" dxfId="1403" priority="25" operator="notEqual">
      <formula>$O$55</formula>
    </cfRule>
    <cfRule type="cellIs" dxfId="1402" priority="26" operator="equal">
      <formula>$O$55</formula>
    </cfRule>
  </conditionalFormatting>
  <conditionalFormatting sqref="P52">
    <cfRule type="cellIs" dxfId="1401" priority="23" operator="notEqual">
      <formula>$P$55</formula>
    </cfRule>
    <cfRule type="cellIs" dxfId="1400" priority="24" operator="equal">
      <formula>$P$55</formula>
    </cfRule>
  </conditionalFormatting>
  <conditionalFormatting sqref="Q52">
    <cfRule type="cellIs" dxfId="1399" priority="21" operator="notEqual">
      <formula>$Q$55</formula>
    </cfRule>
    <cfRule type="cellIs" dxfId="1398" priority="22" operator="equal">
      <formula>$Q$55</formula>
    </cfRule>
  </conditionalFormatting>
  <conditionalFormatting sqref="R52">
    <cfRule type="cellIs" dxfId="1397" priority="19" operator="notEqual">
      <formula>$R$55</formula>
    </cfRule>
    <cfRule type="cellIs" dxfId="1396" priority="20" operator="equal">
      <formula>$R$55</formula>
    </cfRule>
  </conditionalFormatting>
  <conditionalFormatting sqref="S52">
    <cfRule type="cellIs" dxfId="1395" priority="17" operator="notEqual">
      <formula>$S$55</formula>
    </cfRule>
    <cfRule type="cellIs" dxfId="1394" priority="18" operator="equal">
      <formula>$S$55</formula>
    </cfRule>
  </conditionalFormatting>
  <conditionalFormatting sqref="T52">
    <cfRule type="cellIs" dxfId="1393" priority="15" operator="notEqual">
      <formula>$T$55</formula>
    </cfRule>
    <cfRule type="cellIs" dxfId="1392" priority="16" operator="equal">
      <formula>$T$55</formula>
    </cfRule>
  </conditionalFormatting>
  <conditionalFormatting sqref="U52">
    <cfRule type="cellIs" dxfId="1391" priority="13" operator="notEqual">
      <formula>$U$55</formula>
    </cfRule>
    <cfRule type="cellIs" dxfId="1390" priority="14" operator="equal">
      <formula>$U$55</formula>
    </cfRule>
  </conditionalFormatting>
  <conditionalFormatting sqref="V52">
    <cfRule type="cellIs" dxfId="1389" priority="11" operator="notEqual">
      <formula>$V$55</formula>
    </cfRule>
    <cfRule type="cellIs" dxfId="1388" priority="12" operator="equal">
      <formula>$V$55</formula>
    </cfRule>
  </conditionalFormatting>
  <conditionalFormatting sqref="W52">
    <cfRule type="cellIs" dxfId="1387" priority="9" operator="notEqual">
      <formula>$W$55</formula>
    </cfRule>
    <cfRule type="cellIs" dxfId="1386" priority="10" operator="equal">
      <formula>$W$55</formula>
    </cfRule>
  </conditionalFormatting>
  <conditionalFormatting sqref="X52">
    <cfRule type="cellIs" dxfId="1385" priority="7" operator="notEqual">
      <formula>$X$55</formula>
    </cfRule>
    <cfRule type="cellIs" dxfId="1384" priority="8" operator="equal">
      <formula>$X$55</formula>
    </cfRule>
  </conditionalFormatting>
  <conditionalFormatting sqref="Y52">
    <cfRule type="cellIs" dxfId="1383" priority="5" operator="notEqual">
      <formula>$Y$55</formula>
    </cfRule>
    <cfRule type="cellIs" dxfId="1382" priority="6" operator="equal">
      <formula>$Y$55</formula>
    </cfRule>
  </conditionalFormatting>
  <conditionalFormatting sqref="Z52">
    <cfRule type="cellIs" dxfId="1381" priority="3" operator="notEqual">
      <formula>$Z$55</formula>
    </cfRule>
    <cfRule type="cellIs" dxfId="1380" priority="4" operator="equal">
      <formula>$Z$55</formula>
    </cfRule>
  </conditionalFormatting>
  <conditionalFormatting sqref="AA52">
    <cfRule type="cellIs" dxfId="1379" priority="1" operator="notEqual">
      <formula>$AA$55</formula>
    </cfRule>
    <cfRule type="cellIs" dxfId="1378" priority="2" operator="equal">
      <formula>$AA$55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0D312-84D5-40A1-AF50-6585E12DA1C7}">
  <dimension ref="A1:AX1866"/>
  <sheetViews>
    <sheetView showGridLines="0" topLeftCell="AJ1" workbookViewId="0">
      <selection activeCell="AX8" sqref="AX8:AX10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15.57031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6" width="13.140625" style="3" bestFit="1" customWidth="1"/>
    <col min="47" max="47" width="13.5703125" style="3" bestFit="1" customWidth="1"/>
    <col min="48" max="48" width="9.28515625" style="3" bestFit="1" customWidth="1"/>
    <col min="49" max="16384" width="9.140625" style="3"/>
  </cols>
  <sheetData>
    <row r="1" spans="1:50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986</v>
      </c>
      <c r="W1" s="1" t="s">
        <v>987</v>
      </c>
      <c r="X1" s="1" t="s">
        <v>988</v>
      </c>
      <c r="Y1" s="1" t="s">
        <v>989</v>
      </c>
      <c r="Z1" s="1" t="s">
        <v>990</v>
      </c>
      <c r="AA1" s="1" t="s">
        <v>991</v>
      </c>
      <c r="AB1" s="1" t="s">
        <v>992</v>
      </c>
      <c r="AC1" s="1" t="s">
        <v>993</v>
      </c>
      <c r="AD1" s="1" t="s">
        <v>994</v>
      </c>
      <c r="AE1" s="1" t="s">
        <v>995</v>
      </c>
      <c r="AF1" s="1" t="s">
        <v>996</v>
      </c>
      <c r="AG1" s="1" t="s">
        <v>997</v>
      </c>
      <c r="AI1" s="50" t="s">
        <v>83</v>
      </c>
      <c r="AJ1" s="50" t="s">
        <v>998</v>
      </c>
      <c r="AK1" s="50" t="s">
        <v>999</v>
      </c>
      <c r="AL1" s="50" t="s">
        <v>1000</v>
      </c>
      <c r="AN1" s="50" t="s">
        <v>83</v>
      </c>
      <c r="AO1" s="50" t="s">
        <v>1001</v>
      </c>
      <c r="AP1" s="50" t="s">
        <v>1002</v>
      </c>
      <c r="AQ1" s="50" t="s">
        <v>1000</v>
      </c>
      <c r="AS1" s="50" t="s">
        <v>83</v>
      </c>
      <c r="AT1" s="50" t="s">
        <v>1003</v>
      </c>
      <c r="AU1" s="50" t="s">
        <v>1004</v>
      </c>
      <c r="AV1" s="50" t="s">
        <v>1000</v>
      </c>
      <c r="AX1" s="50" t="s">
        <v>1622</v>
      </c>
    </row>
    <row r="2" spans="1:50" ht="11.25" customHeight="1" x14ac:dyDescent="0.25">
      <c r="A2" s="3" t="s">
        <v>27</v>
      </c>
      <c r="B2" s="3" t="s">
        <v>39</v>
      </c>
      <c r="C2" s="3" t="s">
        <v>40</v>
      </c>
      <c r="D2" s="3" t="s">
        <v>38</v>
      </c>
      <c r="E2" s="3" t="s">
        <v>25</v>
      </c>
      <c r="F2" s="3" t="s">
        <v>58</v>
      </c>
      <c r="G2" s="3" t="s">
        <v>25</v>
      </c>
      <c r="H2" s="3" t="s">
        <v>25</v>
      </c>
      <c r="I2" s="6">
        <v>44287</v>
      </c>
      <c r="J2" s="4">
        <v>0</v>
      </c>
      <c r="K2" s="4">
        <v>0</v>
      </c>
      <c r="L2" s="4">
        <v>8611.0249999999996</v>
      </c>
      <c r="M2" s="4">
        <v>8611.0249999999996</v>
      </c>
      <c r="N2" s="4">
        <v>0</v>
      </c>
      <c r="O2" s="4">
        <v>0</v>
      </c>
      <c r="P2" s="4">
        <v>0</v>
      </c>
      <c r="Q2" s="3" t="s">
        <v>59</v>
      </c>
      <c r="R2" s="3">
        <v>0</v>
      </c>
      <c r="S2" s="4">
        <v>0</v>
      </c>
      <c r="T2" s="4">
        <v>1</v>
      </c>
      <c r="U2" s="4">
        <v>0</v>
      </c>
      <c r="V2" s="4">
        <f>IF(ISERROR(VLOOKUP($S$2,'TAR FIN'!$A$1:$O$113,15,0)),0,VLOOKUP($S$2,'TAR FIN'!$A$1:$O$113,15,0))</f>
        <v>0</v>
      </c>
      <c r="W2" s="4">
        <f>IF(ISERROR(VLOOKUP($T$2,'TAR FIN'!$A$1:$O$113,15,0)),0,VLOOKUP($T$2,'TAR FIN'!$A$1:$O$113,15,0))</f>
        <v>6.53</v>
      </c>
      <c r="X2" s="4">
        <f>IF(ISERROR(VLOOKUP($U$2,'TAR FIN'!$A$1:$O$113,15,0)),0,VLOOKUP($U$2,'TAR FIN'!$A$1:$O$113,15,0))</f>
        <v>0</v>
      </c>
      <c r="Y2" s="4"/>
      <c r="Z2" s="4">
        <f ca="1">('TUSD BE'!$AM$8+'TUSD BF'!$AM$8+'TUSD CVA'!$AM$8)*1</f>
        <v>6.5657262447208815</v>
      </c>
      <c r="AA2" s="4"/>
      <c r="AB2" s="4">
        <f>$K$2*$V$2</f>
        <v>0</v>
      </c>
      <c r="AC2" s="4">
        <f>$M$2*$W$2</f>
        <v>56229.99325</v>
      </c>
      <c r="AD2" s="4">
        <f>$O$2*$X$2</f>
        <v>0</v>
      </c>
      <c r="AE2" s="4">
        <f>$K$2*$Y$2</f>
        <v>0</v>
      </c>
      <c r="AF2" s="4">
        <f ca="1">$M$2*$Z$2</f>
        <v>56537.632836447629</v>
      </c>
      <c r="AG2" s="4">
        <f>$O$2*$AA$2</f>
        <v>0</v>
      </c>
      <c r="AI2" s="51" t="s">
        <v>39</v>
      </c>
      <c r="AJ2" s="52">
        <f t="shared" ref="AJ2:AJ7" si="0">SUMIF($B$2:$B$1866,AI2,$AB$2:$AB$1866)+SUMIF($B$2:$B$1866,AI2,$AC$2:$AC$1866)</f>
        <v>34879766.31803225</v>
      </c>
      <c r="AK2" s="52">
        <f t="shared" ref="AK2:AK7" ca="1" si="1">SUMIF($B$2:$B$1866,AI2,$AE$2:$AE$1866)+SUMIF($B$2:$B$1866,AI2,$AF$2:$AF$1866)</f>
        <v>39035864.253358416</v>
      </c>
      <c r="AL2" s="53">
        <f t="shared" ref="AL2:AL10" ca="1" si="2">IF(AJ2&lt;&gt;0,AK2/AJ2-1,0)</f>
        <v>0.11915498221608023</v>
      </c>
      <c r="AN2" s="51" t="s">
        <v>39</v>
      </c>
      <c r="AO2" s="52">
        <f t="shared" ref="AO2:AO7" si="3">SUMIF($B$2:$B$1866,AN2,$AD$2:$AD$1866)</f>
        <v>84820715.923514009</v>
      </c>
      <c r="AP2" s="52">
        <f t="shared" ref="AP2:AP7" si="4">SUMIF($B$2:$B$1866,AN2,$AG$2:$AG$1866)</f>
        <v>91783814.117118672</v>
      </c>
      <c r="AQ2" s="53">
        <f t="shared" ref="AQ2:AQ10" si="5">IF(AO2&lt;&gt;0,AP2/AO2-1,0)</f>
        <v>8.2091952629632869E-2</v>
      </c>
      <c r="AS2" s="51" t="s">
        <v>39</v>
      </c>
      <c r="AT2" s="52">
        <f t="shared" ref="AT2:AT7" si="6">SUMIF($B$2:$B$1866,AS2,$AB$2:$AB$1866)+SUMIF($B$2:$B$1866,AS2,$AC$2:$AC$1866)+SUMIF($B$2:$B$1866,AS2,$AD$2:$AD$1866)</f>
        <v>119700482.24154626</v>
      </c>
      <c r="AU2" s="52">
        <f t="shared" ref="AU2:AU7" ca="1" si="7">SUMIF($B$2:$B$1866,AS2,$AE$2:$AE$1866)+SUMIF($B$2:$B$1866,AS2,$AF$2:$AF$1866)+SUMIF($B$2:$B$1866,AS2,$AG$2:$AG$1866)</f>
        <v>130819678.37047708</v>
      </c>
      <c r="AV2" s="53">
        <f t="shared" ref="AV2:AV10" ca="1" si="8">IF(AT2&lt;&gt;0,AU2/AT2-1,0)</f>
        <v>9.2891823998612955E-2</v>
      </c>
      <c r="AX2" s="53">
        <f ca="1">+AU2/EFEITO2!AU2-1</f>
        <v>-2.1026703781974909E-2</v>
      </c>
    </row>
    <row r="3" spans="1:50" ht="11.25" customHeight="1" x14ac:dyDescent="0.25">
      <c r="A3" s="3" t="s">
        <v>27</v>
      </c>
      <c r="B3" s="3" t="s">
        <v>39</v>
      </c>
      <c r="C3" s="3" t="s">
        <v>40</v>
      </c>
      <c r="D3" s="3" t="s">
        <v>38</v>
      </c>
      <c r="E3" s="3" t="s">
        <v>25</v>
      </c>
      <c r="F3" s="3" t="s">
        <v>58</v>
      </c>
      <c r="G3" s="3" t="s">
        <v>25</v>
      </c>
      <c r="H3" s="3" t="s">
        <v>25</v>
      </c>
      <c r="I3" s="6">
        <v>44317</v>
      </c>
      <c r="J3" s="4">
        <v>0</v>
      </c>
      <c r="K3" s="4">
        <v>0</v>
      </c>
      <c r="L3" s="4">
        <v>9286.5879999999997</v>
      </c>
      <c r="M3" s="4">
        <v>9286.5879999999997</v>
      </c>
      <c r="N3" s="4">
        <v>0</v>
      </c>
      <c r="O3" s="4">
        <v>0</v>
      </c>
      <c r="P3" s="4">
        <v>0</v>
      </c>
      <c r="Q3" s="3" t="s">
        <v>59</v>
      </c>
      <c r="R3" s="3">
        <v>0</v>
      </c>
      <c r="S3" s="4">
        <v>0</v>
      </c>
      <c r="T3" s="4">
        <v>1</v>
      </c>
      <c r="U3" s="4">
        <v>0</v>
      </c>
      <c r="V3" s="4">
        <f>IF(ISERROR(VLOOKUP($S$3,'TAR FIN'!$A$1:$O$113,15,0)),0,VLOOKUP($S$3,'TAR FIN'!$A$1:$O$113,15,0))</f>
        <v>0</v>
      </c>
      <c r="W3" s="4">
        <f>IF(ISERROR(VLOOKUP($T$3,'TAR FIN'!$A$1:$O$113,15,0)),0,VLOOKUP($T$3,'TAR FIN'!$A$1:$O$113,15,0))</f>
        <v>6.53</v>
      </c>
      <c r="X3" s="4">
        <f>IF(ISERROR(VLOOKUP($U$3,'TAR FIN'!$A$1:$O$113,15,0)),0,VLOOKUP($U$3,'TAR FIN'!$A$1:$O$113,15,0))</f>
        <v>0</v>
      </c>
      <c r="Y3" s="4"/>
      <c r="Z3" s="4">
        <f ca="1">('TUSD BE'!$AM$8+'TUSD BF'!$AM$8+'TUSD CVA'!$AM$8)*1</f>
        <v>6.5657262447208815</v>
      </c>
      <c r="AA3" s="4"/>
      <c r="AB3" s="4">
        <f>$K$3*$V$3</f>
        <v>0</v>
      </c>
      <c r="AC3" s="4">
        <f>$M$3*$W$3</f>
        <v>60641.41964</v>
      </c>
      <c r="AD3" s="4">
        <f>$O$3*$X$3</f>
        <v>0</v>
      </c>
      <c r="AE3" s="4">
        <f>$K$3*$Y$3</f>
        <v>0</v>
      </c>
      <c r="AF3" s="4">
        <f ca="1">$M$3*$Z$3</f>
        <v>60973.194555510003</v>
      </c>
      <c r="AG3" s="4">
        <f>$O$3*$AA$3</f>
        <v>0</v>
      </c>
      <c r="AI3" s="51" t="s">
        <v>41</v>
      </c>
      <c r="AJ3" s="52">
        <f t="shared" si="0"/>
        <v>167759150.94274139</v>
      </c>
      <c r="AK3" s="52">
        <f t="shared" ca="1" si="1"/>
        <v>196514384.23578468</v>
      </c>
      <c r="AL3" s="53">
        <f t="shared" ca="1" si="2"/>
        <v>0.17140783755431532</v>
      </c>
      <c r="AN3" s="51" t="s">
        <v>41</v>
      </c>
      <c r="AO3" s="52">
        <f t="shared" si="3"/>
        <v>109159185.6551187</v>
      </c>
      <c r="AP3" s="52">
        <f t="shared" si="4"/>
        <v>110509393.11854991</v>
      </c>
      <c r="AQ3" s="53">
        <f t="shared" si="5"/>
        <v>1.236916028026358E-2</v>
      </c>
      <c r="AS3" s="51" t="s">
        <v>41</v>
      </c>
      <c r="AT3" s="52">
        <f t="shared" si="6"/>
        <v>276918336.5978601</v>
      </c>
      <c r="AU3" s="52">
        <f t="shared" ca="1" si="7"/>
        <v>307023777.35433459</v>
      </c>
      <c r="AV3" s="53">
        <f t="shared" ca="1" si="8"/>
        <v>0.10871595260299971</v>
      </c>
      <c r="AX3" s="53">
        <f ca="1">+AU3/EFEITO2!AU3-1</f>
        <v>-4.5097335642857561E-2</v>
      </c>
    </row>
    <row r="4" spans="1:50" ht="11.25" customHeight="1" x14ac:dyDescent="0.25">
      <c r="A4" s="3" t="s">
        <v>27</v>
      </c>
      <c r="B4" s="3" t="s">
        <v>39</v>
      </c>
      <c r="C4" s="3" t="s">
        <v>40</v>
      </c>
      <c r="D4" s="3" t="s">
        <v>38</v>
      </c>
      <c r="E4" s="3" t="s">
        <v>25</v>
      </c>
      <c r="F4" s="3" t="s">
        <v>58</v>
      </c>
      <c r="G4" s="3" t="s">
        <v>25</v>
      </c>
      <c r="H4" s="3" t="s">
        <v>25</v>
      </c>
      <c r="I4" s="6">
        <v>44348</v>
      </c>
      <c r="J4" s="4">
        <v>0</v>
      </c>
      <c r="K4" s="4">
        <v>0</v>
      </c>
      <c r="L4" s="4">
        <v>8567.4310000000005</v>
      </c>
      <c r="M4" s="4">
        <v>8567.4310000000005</v>
      </c>
      <c r="N4" s="4">
        <v>0</v>
      </c>
      <c r="O4" s="4">
        <v>0</v>
      </c>
      <c r="P4" s="4">
        <v>0</v>
      </c>
      <c r="Q4" s="3" t="s">
        <v>59</v>
      </c>
      <c r="R4" s="3">
        <v>0</v>
      </c>
      <c r="S4" s="4">
        <v>0</v>
      </c>
      <c r="T4" s="4">
        <v>1</v>
      </c>
      <c r="U4" s="4">
        <v>0</v>
      </c>
      <c r="V4" s="4">
        <f>IF(ISERROR(VLOOKUP($S$4,'TAR FIN'!$A$1:$O$113,15,0)),0,VLOOKUP($S$4,'TAR FIN'!$A$1:$O$113,15,0))</f>
        <v>0</v>
      </c>
      <c r="W4" s="4">
        <f>IF(ISERROR(VLOOKUP($T$4,'TAR FIN'!$A$1:$O$113,15,0)),0,VLOOKUP($T$4,'TAR FIN'!$A$1:$O$113,15,0))</f>
        <v>6.53</v>
      </c>
      <c r="X4" s="4">
        <f>IF(ISERROR(VLOOKUP($U$4,'TAR FIN'!$A$1:$O$113,15,0)),0,VLOOKUP($U$4,'TAR FIN'!$A$1:$O$113,15,0))</f>
        <v>0</v>
      </c>
      <c r="Y4" s="4"/>
      <c r="Z4" s="4">
        <f ca="1">('TUSD BE'!$AM$8+'TUSD BF'!$AM$8+'TUSD CVA'!$AM$8)*1</f>
        <v>6.5657262447208815</v>
      </c>
      <c r="AA4" s="4"/>
      <c r="AB4" s="4">
        <f>$K$4*$V$4</f>
        <v>0</v>
      </c>
      <c r="AC4" s="4">
        <f>$M$4*$W$4</f>
        <v>55945.324430000008</v>
      </c>
      <c r="AD4" s="4">
        <f>$O$4*$X$4</f>
        <v>0</v>
      </c>
      <c r="AE4" s="4">
        <f>$K$4*$Y$4</f>
        <v>0</v>
      </c>
      <c r="AF4" s="4">
        <f ca="1">$M$4*$Z$4</f>
        <v>56251.406566535268</v>
      </c>
      <c r="AG4" s="4">
        <f>$O$4*$AA$4</f>
        <v>0</v>
      </c>
      <c r="AI4" s="51" t="s">
        <v>22</v>
      </c>
      <c r="AJ4" s="52">
        <f t="shared" si="0"/>
        <v>367748909.31855983</v>
      </c>
      <c r="AK4" s="52">
        <f t="shared" ca="1" si="1"/>
        <v>435143392.47544432</v>
      </c>
      <c r="AL4" s="53">
        <f t="shared" ca="1" si="2"/>
        <v>0.18326222443940554</v>
      </c>
      <c r="AN4" s="51" t="s">
        <v>22</v>
      </c>
      <c r="AO4" s="52">
        <f t="shared" si="3"/>
        <v>253492832.40086997</v>
      </c>
      <c r="AP4" s="52">
        <f t="shared" si="4"/>
        <v>253968960.79306641</v>
      </c>
      <c r="AQ4" s="53">
        <f t="shared" si="5"/>
        <v>1.8782716169405411E-3</v>
      </c>
      <c r="AS4" s="51" t="s">
        <v>22</v>
      </c>
      <c r="AT4" s="52">
        <f t="shared" si="6"/>
        <v>621241741.71942973</v>
      </c>
      <c r="AU4" s="52">
        <f t="shared" ca="1" si="7"/>
        <v>689112353.2685107</v>
      </c>
      <c r="AV4" s="53">
        <f t="shared" ca="1" si="8"/>
        <v>0.10924992155426239</v>
      </c>
      <c r="AX4" s="53">
        <f ca="1">+AU4/EFEITO2!AU4-1</f>
        <v>-4.7487256762107299E-2</v>
      </c>
    </row>
    <row r="5" spans="1:50" ht="11.25" customHeight="1" x14ac:dyDescent="0.25">
      <c r="A5" s="3" t="s">
        <v>27</v>
      </c>
      <c r="B5" s="3" t="s">
        <v>39</v>
      </c>
      <c r="C5" s="3" t="s">
        <v>40</v>
      </c>
      <c r="D5" s="3" t="s">
        <v>38</v>
      </c>
      <c r="E5" s="3" t="s">
        <v>25</v>
      </c>
      <c r="F5" s="3" t="s">
        <v>58</v>
      </c>
      <c r="G5" s="3" t="s">
        <v>25</v>
      </c>
      <c r="H5" s="3" t="s">
        <v>25</v>
      </c>
      <c r="I5" s="6">
        <v>44378</v>
      </c>
      <c r="J5" s="4">
        <v>0</v>
      </c>
      <c r="K5" s="4">
        <v>0</v>
      </c>
      <c r="L5" s="4">
        <v>8502.1830000000009</v>
      </c>
      <c r="M5" s="4">
        <v>8502.1830000000009</v>
      </c>
      <c r="N5" s="4">
        <v>0</v>
      </c>
      <c r="O5" s="4">
        <v>0</v>
      </c>
      <c r="P5" s="4">
        <v>0</v>
      </c>
      <c r="Q5" s="3" t="s">
        <v>59</v>
      </c>
      <c r="R5" s="3">
        <v>0</v>
      </c>
      <c r="S5" s="4">
        <v>0</v>
      </c>
      <c r="T5" s="4">
        <v>1</v>
      </c>
      <c r="U5" s="4">
        <v>0</v>
      </c>
      <c r="V5" s="4">
        <f>IF(ISERROR(VLOOKUP($S$5,'TAR FIN'!$A$1:$O$113,15,0)),0,VLOOKUP($S$5,'TAR FIN'!$A$1:$O$113,15,0))</f>
        <v>0</v>
      </c>
      <c r="W5" s="4">
        <f>IF(ISERROR(VLOOKUP($T$5,'TAR FIN'!$A$1:$O$113,15,0)),0,VLOOKUP($T$5,'TAR FIN'!$A$1:$O$113,15,0))</f>
        <v>6.53</v>
      </c>
      <c r="X5" s="4">
        <f>IF(ISERROR(VLOOKUP($U$5,'TAR FIN'!$A$1:$O$113,15,0)),0,VLOOKUP($U$5,'TAR FIN'!$A$1:$O$113,15,0))</f>
        <v>0</v>
      </c>
      <c r="Y5" s="4"/>
      <c r="Z5" s="4">
        <f ca="1">('TUSD BE'!$AM$8+'TUSD BF'!$AM$8+'TUSD CVA'!$AM$8)*1</f>
        <v>6.5657262447208815</v>
      </c>
      <c r="AA5" s="4"/>
      <c r="AB5" s="4">
        <f>$K$5*$V$5</f>
        <v>0</v>
      </c>
      <c r="AC5" s="4">
        <f>$M$5*$W$5</f>
        <v>55519.254990000009</v>
      </c>
      <c r="AD5" s="4">
        <f>$O$5*$X$5</f>
        <v>0</v>
      </c>
      <c r="AE5" s="4">
        <f>$K$5*$Y$5</f>
        <v>0</v>
      </c>
      <c r="AF5" s="4">
        <f ca="1">$M$5*$Z$5</f>
        <v>55823.006060519721</v>
      </c>
      <c r="AG5" s="4">
        <f>$O$5*$AA$5</f>
        <v>0</v>
      </c>
      <c r="AI5" s="51" t="s">
        <v>44</v>
      </c>
      <c r="AJ5" s="52">
        <f t="shared" si="0"/>
        <v>17844995.865965005</v>
      </c>
      <c r="AK5" s="52">
        <f t="shared" ca="1" si="1"/>
        <v>22638007.716254152</v>
      </c>
      <c r="AL5" s="53">
        <f t="shared" ca="1" si="2"/>
        <v>0.26859136792688498</v>
      </c>
      <c r="AN5" s="51" t="s">
        <v>44</v>
      </c>
      <c r="AO5" s="52">
        <f t="shared" si="3"/>
        <v>12079879.382932998</v>
      </c>
      <c r="AP5" s="52">
        <f t="shared" si="4"/>
        <v>12927824.702370265</v>
      </c>
      <c r="AQ5" s="53">
        <f t="shared" si="5"/>
        <v>7.0194849845544249E-2</v>
      </c>
      <c r="AS5" s="51" t="s">
        <v>44</v>
      </c>
      <c r="AT5" s="52">
        <f t="shared" si="6"/>
        <v>29924875.248898003</v>
      </c>
      <c r="AU5" s="52">
        <f t="shared" ca="1" si="7"/>
        <v>35565832.418624416</v>
      </c>
      <c r="AV5" s="53">
        <f t="shared" ca="1" si="8"/>
        <v>0.1885039494002283</v>
      </c>
      <c r="AX5" s="53">
        <f ca="1">+AU5/EFEITO2!AU5-1</f>
        <v>-4.7440726087211615E-2</v>
      </c>
    </row>
    <row r="6" spans="1:50" ht="11.25" customHeight="1" x14ac:dyDescent="0.25">
      <c r="A6" s="3" t="s">
        <v>27</v>
      </c>
      <c r="B6" s="3" t="s">
        <v>39</v>
      </c>
      <c r="C6" s="3" t="s">
        <v>40</v>
      </c>
      <c r="D6" s="3" t="s">
        <v>38</v>
      </c>
      <c r="E6" s="3" t="s">
        <v>25</v>
      </c>
      <c r="F6" s="3" t="s">
        <v>58</v>
      </c>
      <c r="G6" s="3" t="s">
        <v>25</v>
      </c>
      <c r="H6" s="3" t="s">
        <v>25</v>
      </c>
      <c r="I6" s="6">
        <v>44409</v>
      </c>
      <c r="J6" s="4">
        <v>0</v>
      </c>
      <c r="K6" s="4">
        <v>0</v>
      </c>
      <c r="L6" s="4">
        <v>8514.0499999999993</v>
      </c>
      <c r="M6" s="4">
        <v>8514.0499999999993</v>
      </c>
      <c r="N6" s="4">
        <v>0</v>
      </c>
      <c r="O6" s="4">
        <v>0</v>
      </c>
      <c r="P6" s="4">
        <v>0</v>
      </c>
      <c r="Q6" s="3" t="s">
        <v>59</v>
      </c>
      <c r="R6" s="3">
        <v>0</v>
      </c>
      <c r="S6" s="4">
        <v>0</v>
      </c>
      <c r="T6" s="4">
        <v>1</v>
      </c>
      <c r="U6" s="4">
        <v>0</v>
      </c>
      <c r="V6" s="4">
        <f>IF(ISERROR(VLOOKUP($S$6,'TAR FIN'!$A$1:$O$113,15,0)),0,VLOOKUP($S$6,'TAR FIN'!$A$1:$O$113,15,0))</f>
        <v>0</v>
      </c>
      <c r="W6" s="4">
        <f>IF(ISERROR(VLOOKUP($T$6,'TAR FIN'!$A$1:$O$113,15,0)),0,VLOOKUP($T$6,'TAR FIN'!$A$1:$O$113,15,0))</f>
        <v>6.53</v>
      </c>
      <c r="X6" s="4">
        <f>IF(ISERROR(VLOOKUP($U$6,'TAR FIN'!$A$1:$O$113,15,0)),0,VLOOKUP($U$6,'TAR FIN'!$A$1:$O$113,15,0))</f>
        <v>0</v>
      </c>
      <c r="Y6" s="4"/>
      <c r="Z6" s="4">
        <f ca="1">('TUSD BE'!$AM$8+'TUSD BF'!$AM$8+'TUSD CVA'!$AM$8)*1</f>
        <v>6.5657262447208815</v>
      </c>
      <c r="AA6" s="4"/>
      <c r="AB6" s="4">
        <f>$K$6*$V$6</f>
        <v>0</v>
      </c>
      <c r="AC6" s="4">
        <f>$M$6*$W$6</f>
        <v>55596.746499999994</v>
      </c>
      <c r="AD6" s="4">
        <f>$O$6*$X$6</f>
        <v>0</v>
      </c>
      <c r="AE6" s="4">
        <f>$K$6*$Y$6</f>
        <v>0</v>
      </c>
      <c r="AF6" s="4">
        <f ca="1">$M$6*$Z$6</f>
        <v>55900.921533865818</v>
      </c>
      <c r="AG6" s="4">
        <f>$O$6*$AA$6</f>
        <v>0</v>
      </c>
      <c r="AI6" s="51" t="s">
        <v>37</v>
      </c>
      <c r="AJ6" s="52">
        <f t="shared" si="0"/>
        <v>121962312.146144</v>
      </c>
      <c r="AK6" s="52">
        <f t="shared" ca="1" si="1"/>
        <v>145159178.92049003</v>
      </c>
      <c r="AL6" s="53">
        <f t="shared" ca="1" si="2"/>
        <v>0.19019700730623956</v>
      </c>
      <c r="AN6" s="51" t="s">
        <v>37</v>
      </c>
      <c r="AO6" s="52">
        <f t="shared" si="3"/>
        <v>82551481.244398743</v>
      </c>
      <c r="AP6" s="52">
        <f t="shared" si="4"/>
        <v>82887779.660933569</v>
      </c>
      <c r="AQ6" s="53">
        <f t="shared" si="5"/>
        <v>4.0738023287456571E-3</v>
      </c>
      <c r="AS6" s="51" t="s">
        <v>37</v>
      </c>
      <c r="AT6" s="52">
        <f t="shared" si="6"/>
        <v>204513793.39054275</v>
      </c>
      <c r="AU6" s="52">
        <f t="shared" ca="1" si="7"/>
        <v>228046958.58142358</v>
      </c>
      <c r="AV6" s="53">
        <f t="shared" ca="1" si="8"/>
        <v>0.1150688410827212</v>
      </c>
      <c r="AX6" s="53">
        <f ca="1">+AU6/EFEITO2!AU6-1</f>
        <v>-4.7440561789677593E-2</v>
      </c>
    </row>
    <row r="7" spans="1:50" ht="11.25" customHeight="1" x14ac:dyDescent="0.25">
      <c r="A7" s="3" t="s">
        <v>27</v>
      </c>
      <c r="B7" s="3" t="s">
        <v>39</v>
      </c>
      <c r="C7" s="3" t="s">
        <v>40</v>
      </c>
      <c r="D7" s="3" t="s">
        <v>38</v>
      </c>
      <c r="E7" s="3" t="s">
        <v>25</v>
      </c>
      <c r="F7" s="3" t="s">
        <v>58</v>
      </c>
      <c r="G7" s="3" t="s">
        <v>25</v>
      </c>
      <c r="H7" s="3" t="s">
        <v>25</v>
      </c>
      <c r="I7" s="6">
        <v>44440</v>
      </c>
      <c r="J7" s="4">
        <v>0</v>
      </c>
      <c r="K7" s="4">
        <v>0</v>
      </c>
      <c r="L7" s="4">
        <v>8410.0169999999998</v>
      </c>
      <c r="M7" s="4">
        <v>8410.0169999999998</v>
      </c>
      <c r="N7" s="4">
        <v>0</v>
      </c>
      <c r="O7" s="4">
        <v>0</v>
      </c>
      <c r="P7" s="4">
        <v>0</v>
      </c>
      <c r="Q7" s="3" t="s">
        <v>59</v>
      </c>
      <c r="R7" s="3">
        <v>0</v>
      </c>
      <c r="S7" s="4">
        <v>0</v>
      </c>
      <c r="T7" s="4">
        <v>1</v>
      </c>
      <c r="U7" s="4">
        <v>0</v>
      </c>
      <c r="V7" s="4">
        <f>IF(ISERROR(VLOOKUP($S$7,'TAR FIN'!$A$1:$O$113,15,0)),0,VLOOKUP($S$7,'TAR FIN'!$A$1:$O$113,15,0))</f>
        <v>0</v>
      </c>
      <c r="W7" s="4">
        <f>IF(ISERROR(VLOOKUP($T$7,'TAR FIN'!$A$1:$O$113,15,0)),0,VLOOKUP($T$7,'TAR FIN'!$A$1:$O$113,15,0))</f>
        <v>6.53</v>
      </c>
      <c r="X7" s="4">
        <f>IF(ISERROR(VLOOKUP($U$7,'TAR FIN'!$A$1:$O$113,15,0)),0,VLOOKUP($U$7,'TAR FIN'!$A$1:$O$113,15,0))</f>
        <v>0</v>
      </c>
      <c r="Y7" s="4"/>
      <c r="Z7" s="4">
        <f ca="1">('TUSD BE'!$AM$8+'TUSD BF'!$AM$8+'TUSD CVA'!$AM$8)*1</f>
        <v>6.5657262447208815</v>
      </c>
      <c r="AA7" s="4"/>
      <c r="AB7" s="4">
        <f>$K$7*$V$7</f>
        <v>0</v>
      </c>
      <c r="AC7" s="4">
        <f>$M$7*$W$7</f>
        <v>54917.411010000003</v>
      </c>
      <c r="AD7" s="4">
        <f>$O$7*$X$7</f>
        <v>0</v>
      </c>
      <c r="AE7" s="4">
        <f>$K$7*$Y$7</f>
        <v>0</v>
      </c>
      <c r="AF7" s="4">
        <f ca="1">$M$7*$Z$7</f>
        <v>55217.86933544877</v>
      </c>
      <c r="AG7" s="4">
        <f>$O$7*$AA$7</f>
        <v>0</v>
      </c>
      <c r="AI7" s="51" t="s">
        <v>47</v>
      </c>
      <c r="AJ7" s="52">
        <f t="shared" si="0"/>
        <v>37612778.920529991</v>
      </c>
      <c r="AK7" s="52">
        <f t="shared" ca="1" si="1"/>
        <v>44668430.05995889</v>
      </c>
      <c r="AL7" s="53">
        <f t="shared" ca="1" si="2"/>
        <v>0.18758654217856119</v>
      </c>
      <c r="AN7" s="51" t="s">
        <v>47</v>
      </c>
      <c r="AO7" s="52">
        <f t="shared" si="3"/>
        <v>25448528.482390001</v>
      </c>
      <c r="AP7" s="52">
        <f t="shared" si="4"/>
        <v>25496654.169482555</v>
      </c>
      <c r="AQ7" s="53">
        <f t="shared" si="5"/>
        <v>1.8910990128901961E-3</v>
      </c>
      <c r="AS7" s="51" t="s">
        <v>47</v>
      </c>
      <c r="AT7" s="52">
        <f t="shared" si="6"/>
        <v>63061307.402919993</v>
      </c>
      <c r="AU7" s="52">
        <f t="shared" ca="1" si="7"/>
        <v>70165084.229441449</v>
      </c>
      <c r="AV7" s="53">
        <f t="shared" ca="1" si="8"/>
        <v>0.11264874007658965</v>
      </c>
      <c r="AX7" s="53">
        <f ca="1">+AU7/EFEITO2!AU7-1</f>
        <v>-4.7439895472461524E-2</v>
      </c>
    </row>
    <row r="8" spans="1:50" ht="11.25" customHeight="1" x14ac:dyDescent="0.25">
      <c r="A8" s="3" t="s">
        <v>27</v>
      </c>
      <c r="B8" s="3" t="s">
        <v>39</v>
      </c>
      <c r="C8" s="3" t="s">
        <v>40</v>
      </c>
      <c r="D8" s="3" t="s">
        <v>38</v>
      </c>
      <c r="E8" s="3" t="s">
        <v>25</v>
      </c>
      <c r="F8" s="3" t="s">
        <v>58</v>
      </c>
      <c r="G8" s="3" t="s">
        <v>25</v>
      </c>
      <c r="H8" s="3" t="s">
        <v>25</v>
      </c>
      <c r="I8" s="6">
        <v>44470</v>
      </c>
      <c r="J8" s="4">
        <v>0</v>
      </c>
      <c r="K8" s="4">
        <v>0</v>
      </c>
      <c r="L8" s="4">
        <v>10005.154</v>
      </c>
      <c r="M8" s="4">
        <v>10005.154</v>
      </c>
      <c r="N8" s="4">
        <v>0</v>
      </c>
      <c r="O8" s="4">
        <v>0</v>
      </c>
      <c r="P8" s="4">
        <v>0</v>
      </c>
      <c r="Q8" s="3" t="s">
        <v>59</v>
      </c>
      <c r="R8" s="3">
        <v>0</v>
      </c>
      <c r="S8" s="4">
        <v>0</v>
      </c>
      <c r="T8" s="4">
        <v>1</v>
      </c>
      <c r="U8" s="4">
        <v>0</v>
      </c>
      <c r="V8" s="4">
        <f>IF(ISERROR(VLOOKUP($S$8,'TAR FIN'!$A$1:$O$113,15,0)),0,VLOOKUP($S$8,'TAR FIN'!$A$1:$O$113,15,0))</f>
        <v>0</v>
      </c>
      <c r="W8" s="4">
        <f>IF(ISERROR(VLOOKUP($T$8,'TAR FIN'!$A$1:$O$113,15,0)),0,VLOOKUP($T$8,'TAR FIN'!$A$1:$O$113,15,0))</f>
        <v>6.53</v>
      </c>
      <c r="X8" s="4">
        <f>IF(ISERROR(VLOOKUP($U$8,'TAR FIN'!$A$1:$O$113,15,0)),0,VLOOKUP($U$8,'TAR FIN'!$A$1:$O$113,15,0))</f>
        <v>0</v>
      </c>
      <c r="Y8" s="4"/>
      <c r="Z8" s="4">
        <f ca="1">('TUSD BE'!$AM$8+'TUSD BF'!$AM$8+'TUSD CVA'!$AM$8)*1</f>
        <v>6.5657262447208815</v>
      </c>
      <c r="AA8" s="4"/>
      <c r="AB8" s="4">
        <f>$K$8*$V$8</f>
        <v>0</v>
      </c>
      <c r="AC8" s="4">
        <f>$M$8*$W$8</f>
        <v>65333.655620000005</v>
      </c>
      <c r="AD8" s="4">
        <f>$O$8*$X$8</f>
        <v>0</v>
      </c>
      <c r="AE8" s="4">
        <f>$K$8*$Y$8</f>
        <v>0</v>
      </c>
      <c r="AF8" s="4">
        <f ca="1">$M$8*$Z$8</f>
        <v>65691.102200274108</v>
      </c>
      <c r="AG8" s="4">
        <f>$O$8*$AA$8</f>
        <v>0</v>
      </c>
      <c r="AI8" s="51" t="s">
        <v>1005</v>
      </c>
      <c r="AJ8" s="52">
        <f>+$AJ$2+$AJ$3</f>
        <v>202638917.26077366</v>
      </c>
      <c r="AK8" s="52">
        <f ca="1">+$AK$2+$AK$3</f>
        <v>235550248.4891431</v>
      </c>
      <c r="AL8" s="53">
        <f t="shared" ca="1" si="2"/>
        <v>0.16241367489156211</v>
      </c>
      <c r="AN8" s="51" t="s">
        <v>1005</v>
      </c>
      <c r="AO8" s="52">
        <f>+$AO$2+$AO$3</f>
        <v>193979901.57863271</v>
      </c>
      <c r="AP8" s="52">
        <f>+$AP$2+$AP$3</f>
        <v>202293207.2356686</v>
      </c>
      <c r="AQ8" s="53">
        <f t="shared" si="5"/>
        <v>4.2856530956976391E-2</v>
      </c>
      <c r="AS8" s="51" t="s">
        <v>1005</v>
      </c>
      <c r="AT8" s="52">
        <f>+$AT$2+$AT$3</f>
        <v>396618818.83940637</v>
      </c>
      <c r="AU8" s="52">
        <f ca="1">+$AU$2+$AU$3</f>
        <v>437843455.72481167</v>
      </c>
      <c r="AV8" s="53">
        <f t="shared" ca="1" si="8"/>
        <v>0.10394019377607355</v>
      </c>
      <c r="AX8" s="53">
        <f ca="1">+AU8/EFEITO2!AU8-1</f>
        <v>-3.8030382445872979E-2</v>
      </c>
    </row>
    <row r="9" spans="1:50" ht="11.25" customHeight="1" x14ac:dyDescent="0.25">
      <c r="A9" s="3" t="s">
        <v>27</v>
      </c>
      <c r="B9" s="3" t="s">
        <v>39</v>
      </c>
      <c r="C9" s="3" t="s">
        <v>40</v>
      </c>
      <c r="D9" s="3" t="s">
        <v>38</v>
      </c>
      <c r="E9" s="3" t="s">
        <v>25</v>
      </c>
      <c r="F9" s="3" t="s">
        <v>58</v>
      </c>
      <c r="G9" s="3" t="s">
        <v>25</v>
      </c>
      <c r="H9" s="3" t="s">
        <v>25</v>
      </c>
      <c r="I9" s="6">
        <v>44501</v>
      </c>
      <c r="J9" s="4">
        <v>0</v>
      </c>
      <c r="K9" s="4">
        <v>0</v>
      </c>
      <c r="L9" s="4">
        <v>10221.031000000001</v>
      </c>
      <c r="M9" s="4">
        <v>10221.031000000001</v>
      </c>
      <c r="N9" s="4">
        <v>0</v>
      </c>
      <c r="O9" s="4">
        <v>0</v>
      </c>
      <c r="P9" s="4">
        <v>0</v>
      </c>
      <c r="Q9" s="3" t="s">
        <v>59</v>
      </c>
      <c r="R9" s="3">
        <v>0</v>
      </c>
      <c r="S9" s="4">
        <v>0</v>
      </c>
      <c r="T9" s="4">
        <v>1</v>
      </c>
      <c r="U9" s="4">
        <v>0</v>
      </c>
      <c r="V9" s="4">
        <f>IF(ISERROR(VLOOKUP($S$9,'TAR FIN'!$A$1:$O$113,15,0)),0,VLOOKUP($S$9,'TAR FIN'!$A$1:$O$113,15,0))</f>
        <v>0</v>
      </c>
      <c r="W9" s="4">
        <f>IF(ISERROR(VLOOKUP($T$9,'TAR FIN'!$A$1:$O$113,15,0)),0,VLOOKUP($T$9,'TAR FIN'!$A$1:$O$113,15,0))</f>
        <v>6.53</v>
      </c>
      <c r="X9" s="4">
        <f>IF(ISERROR(VLOOKUP($U$9,'TAR FIN'!$A$1:$O$113,15,0)),0,VLOOKUP($U$9,'TAR FIN'!$A$1:$O$113,15,0))</f>
        <v>0</v>
      </c>
      <c r="Y9" s="4"/>
      <c r="Z9" s="4">
        <f ca="1">('TUSD BE'!$AM$8+'TUSD BF'!$AM$8+'TUSD CVA'!$AM$8)*1</f>
        <v>6.5657262447208815</v>
      </c>
      <c r="AA9" s="4"/>
      <c r="AB9" s="4">
        <f>$K$9*$V$9</f>
        <v>0</v>
      </c>
      <c r="AC9" s="4">
        <f>$M$9*$W$9</f>
        <v>66743.332430000009</v>
      </c>
      <c r="AD9" s="4">
        <f>$O$9*$X$9</f>
        <v>0</v>
      </c>
      <c r="AE9" s="4">
        <f>$K$9*$Y$9</f>
        <v>0</v>
      </c>
      <c r="AF9" s="4">
        <f ca="1">$M$9*$Z$9</f>
        <v>67108.491484805723</v>
      </c>
      <c r="AG9" s="4">
        <f>$O$9*$AA$9</f>
        <v>0</v>
      </c>
      <c r="AI9" s="51" t="s">
        <v>104</v>
      </c>
      <c r="AJ9" s="52">
        <f>+$AJ$4+$AJ$5+$AJ$6+$AJ$7</f>
        <v>545168996.25119877</v>
      </c>
      <c r="AK9" s="52">
        <f ca="1">+$AK$4+$AK$5+$AK$6+$AK$7</f>
        <v>647609009.17214751</v>
      </c>
      <c r="AL9" s="53">
        <f t="shared" ca="1" si="2"/>
        <v>0.18790505994538842</v>
      </c>
      <c r="AN9" s="51" t="s">
        <v>104</v>
      </c>
      <c r="AO9" s="52">
        <f>+$AO$4+$AO$5+$AO$6+$AO$7</f>
        <v>373572721.51059169</v>
      </c>
      <c r="AP9" s="52">
        <f>+$AP$4+$AP$5+$AP$6+$AP$7</f>
        <v>375281219.32585275</v>
      </c>
      <c r="AQ9" s="53">
        <f t="shared" si="5"/>
        <v>4.5734008852480468E-3</v>
      </c>
      <c r="AS9" s="51" t="s">
        <v>104</v>
      </c>
      <c r="AT9" s="52">
        <f>+$AT$4+$AT$5+$AT$6+$AT$7</f>
        <v>918741717.76179051</v>
      </c>
      <c r="AU9" s="52">
        <f ca="1">+$AU$4+$AU$5+$AU$6+$AU$7</f>
        <v>1022890228.4980001</v>
      </c>
      <c r="AV9" s="53">
        <f t="shared" ca="1" si="8"/>
        <v>0.11335994515404502</v>
      </c>
      <c r="AX9" s="53">
        <f ca="1">+AU9/EFEITO2!AU9-1</f>
        <v>-4.7471980303681938E-2</v>
      </c>
    </row>
    <row r="10" spans="1:50" ht="11.25" customHeight="1" x14ac:dyDescent="0.25">
      <c r="A10" s="3" t="s">
        <v>27</v>
      </c>
      <c r="B10" s="3" t="s">
        <v>39</v>
      </c>
      <c r="C10" s="3" t="s">
        <v>40</v>
      </c>
      <c r="D10" s="3" t="s">
        <v>38</v>
      </c>
      <c r="E10" s="3" t="s">
        <v>25</v>
      </c>
      <c r="F10" s="3" t="s">
        <v>58</v>
      </c>
      <c r="G10" s="3" t="s">
        <v>25</v>
      </c>
      <c r="H10" s="3" t="s">
        <v>25</v>
      </c>
      <c r="I10" s="6">
        <v>44531</v>
      </c>
      <c r="J10" s="4">
        <v>0</v>
      </c>
      <c r="K10" s="4">
        <v>0</v>
      </c>
      <c r="L10" s="4">
        <v>8846.6949999999997</v>
      </c>
      <c r="M10" s="4">
        <v>8846.6949999999997</v>
      </c>
      <c r="N10" s="4">
        <v>0</v>
      </c>
      <c r="O10" s="4">
        <v>0</v>
      </c>
      <c r="P10" s="4">
        <v>0</v>
      </c>
      <c r="Q10" s="3" t="s">
        <v>59</v>
      </c>
      <c r="R10" s="3">
        <v>0</v>
      </c>
      <c r="S10" s="4">
        <v>0</v>
      </c>
      <c r="T10" s="4">
        <v>1</v>
      </c>
      <c r="U10" s="4">
        <v>0</v>
      </c>
      <c r="V10" s="4">
        <f>IF(ISERROR(VLOOKUP($S$10,'TAR FIN'!$A$1:$O$113,15,0)),0,VLOOKUP($S$10,'TAR FIN'!$A$1:$O$113,15,0))</f>
        <v>0</v>
      </c>
      <c r="W10" s="4">
        <f>IF(ISERROR(VLOOKUP($T$10,'TAR FIN'!$A$1:$O$113,15,0)),0,VLOOKUP($T$10,'TAR FIN'!$A$1:$O$113,15,0))</f>
        <v>6.53</v>
      </c>
      <c r="X10" s="4">
        <f>IF(ISERROR(VLOOKUP($U$10,'TAR FIN'!$A$1:$O$113,15,0)),0,VLOOKUP($U$10,'TAR FIN'!$A$1:$O$113,15,0))</f>
        <v>0</v>
      </c>
      <c r="Y10" s="4"/>
      <c r="Z10" s="4">
        <f ca="1">('TUSD BE'!$AM$8+'TUSD BF'!$AM$8+'TUSD CVA'!$AM$8)*1</f>
        <v>6.5657262447208815</v>
      </c>
      <c r="AA10" s="4"/>
      <c r="AB10" s="4">
        <f>$K$10*$V$10</f>
        <v>0</v>
      </c>
      <c r="AC10" s="4">
        <f>$M$10*$W$10</f>
        <v>57768.91835</v>
      </c>
      <c r="AD10" s="4">
        <f>$O$10*$X$10</f>
        <v>0</v>
      </c>
      <c r="AE10" s="4">
        <f>$K$10*$Y$10</f>
        <v>0</v>
      </c>
      <c r="AF10" s="4">
        <f ca="1">$M$10*$Z$10</f>
        <v>58084.977540540996</v>
      </c>
      <c r="AG10" s="4">
        <f>$O$10*$AA$10</f>
        <v>0</v>
      </c>
      <c r="AI10" s="51" t="s">
        <v>1006</v>
      </c>
      <c r="AJ10" s="52">
        <f>AJ9+AJ8</f>
        <v>747807913.51197243</v>
      </c>
      <c r="AK10" s="52">
        <f ca="1">AK9+AK8</f>
        <v>883159257.66129065</v>
      </c>
      <c r="AL10" s="53">
        <f t="shared" ca="1" si="2"/>
        <v>0.18099747502491659</v>
      </c>
      <c r="AN10" s="51" t="s">
        <v>1006</v>
      </c>
      <c r="AO10" s="52">
        <f>AO9+AO8</f>
        <v>567552623.08922434</v>
      </c>
      <c r="AP10" s="52">
        <f>AP9+AP8</f>
        <v>577574426.56152129</v>
      </c>
      <c r="AQ10" s="53">
        <f t="shared" si="5"/>
        <v>1.7657928207163609E-2</v>
      </c>
      <c r="AS10" s="51" t="s">
        <v>1006</v>
      </c>
      <c r="AT10" s="52">
        <f>AT9+AT8</f>
        <v>1315360536.6011968</v>
      </c>
      <c r="AU10" s="52">
        <f ca="1">AU9+AU8</f>
        <v>1460733684.2228117</v>
      </c>
      <c r="AV10" s="53">
        <f t="shared" ca="1" si="8"/>
        <v>0.11051962072486177</v>
      </c>
      <c r="AX10" s="53">
        <f ca="1">+AU10/EFEITO2!AU10-1</f>
        <v>-4.4661443559080194E-2</v>
      </c>
    </row>
    <row r="11" spans="1:50" ht="11.25" customHeight="1" x14ac:dyDescent="0.25">
      <c r="A11" s="3" t="s">
        <v>27</v>
      </c>
      <c r="B11" s="3" t="s">
        <v>39</v>
      </c>
      <c r="C11" s="3" t="s">
        <v>40</v>
      </c>
      <c r="D11" s="3" t="s">
        <v>38</v>
      </c>
      <c r="E11" s="3" t="s">
        <v>25</v>
      </c>
      <c r="F11" s="3" t="s">
        <v>58</v>
      </c>
      <c r="G11" s="3" t="s">
        <v>25</v>
      </c>
      <c r="H11" s="3" t="s">
        <v>25</v>
      </c>
      <c r="I11" s="6">
        <v>44562</v>
      </c>
      <c r="J11" s="4">
        <v>0</v>
      </c>
      <c r="K11" s="4">
        <v>0</v>
      </c>
      <c r="L11" s="4">
        <v>10539.724</v>
      </c>
      <c r="M11" s="4">
        <v>10539.724</v>
      </c>
      <c r="N11" s="4">
        <v>0</v>
      </c>
      <c r="O11" s="4">
        <v>0</v>
      </c>
      <c r="P11" s="4">
        <v>0</v>
      </c>
      <c r="Q11" s="3" t="s">
        <v>59</v>
      </c>
      <c r="R11" s="3">
        <v>0</v>
      </c>
      <c r="S11" s="4">
        <v>0</v>
      </c>
      <c r="T11" s="4">
        <v>1</v>
      </c>
      <c r="U11" s="4">
        <v>0</v>
      </c>
      <c r="V11" s="4">
        <f>IF(ISERROR(VLOOKUP($S$11,'TAR FIN'!$A$1:$O$113,15,0)),0,VLOOKUP($S$11,'TAR FIN'!$A$1:$O$113,15,0))</f>
        <v>0</v>
      </c>
      <c r="W11" s="4">
        <f>IF(ISERROR(VLOOKUP($T$11,'TAR FIN'!$A$1:$O$113,15,0)),0,VLOOKUP($T$11,'TAR FIN'!$A$1:$O$113,15,0))</f>
        <v>6.53</v>
      </c>
      <c r="X11" s="4">
        <f>IF(ISERROR(VLOOKUP($U$11,'TAR FIN'!$A$1:$O$113,15,0)),0,VLOOKUP($U$11,'TAR FIN'!$A$1:$O$113,15,0))</f>
        <v>0</v>
      </c>
      <c r="Y11" s="4"/>
      <c r="Z11" s="4">
        <f ca="1">('TUSD BE'!$AM$8+'TUSD BF'!$AM$8+'TUSD CVA'!$AM$8)*1</f>
        <v>6.5657262447208815</v>
      </c>
      <c r="AA11" s="4"/>
      <c r="AB11" s="4">
        <f>$K$11*$V$11</f>
        <v>0</v>
      </c>
      <c r="AC11" s="4">
        <f>$M$11*$W$11</f>
        <v>68824.397720000008</v>
      </c>
      <c r="AD11" s="4">
        <f>$O$11*$X$11</f>
        <v>0</v>
      </c>
      <c r="AE11" s="4">
        <f>$K$11*$Y$11</f>
        <v>0</v>
      </c>
      <c r="AF11" s="4">
        <f ca="1">$M$11*$Z$11</f>
        <v>69200.942478914556</v>
      </c>
      <c r="AG11" s="4">
        <f>$O$11*$AA$11</f>
        <v>0</v>
      </c>
      <c r="AX11"/>
    </row>
    <row r="12" spans="1:50" ht="11.25" customHeight="1" x14ac:dyDescent="0.25">
      <c r="A12" s="3" t="s">
        <v>27</v>
      </c>
      <c r="B12" s="3" t="s">
        <v>39</v>
      </c>
      <c r="C12" s="3" t="s">
        <v>40</v>
      </c>
      <c r="D12" s="3" t="s">
        <v>38</v>
      </c>
      <c r="E12" s="3" t="s">
        <v>25</v>
      </c>
      <c r="F12" s="3" t="s">
        <v>58</v>
      </c>
      <c r="G12" s="3" t="s">
        <v>25</v>
      </c>
      <c r="H12" s="3" t="s">
        <v>25</v>
      </c>
      <c r="I12" s="6">
        <v>44593</v>
      </c>
      <c r="J12" s="4">
        <v>0</v>
      </c>
      <c r="K12" s="4">
        <v>0</v>
      </c>
      <c r="L12" s="4">
        <v>11106.028</v>
      </c>
      <c r="M12" s="4">
        <v>11106.028</v>
      </c>
      <c r="N12" s="4">
        <v>0</v>
      </c>
      <c r="O12" s="4">
        <v>0</v>
      </c>
      <c r="P12" s="4">
        <v>0</v>
      </c>
      <c r="Q12" s="3" t="s">
        <v>59</v>
      </c>
      <c r="R12" s="3">
        <v>0</v>
      </c>
      <c r="S12" s="4">
        <v>0</v>
      </c>
      <c r="T12" s="4">
        <v>1</v>
      </c>
      <c r="U12" s="4">
        <v>0</v>
      </c>
      <c r="V12" s="4">
        <f>IF(ISERROR(VLOOKUP($S$12,'TAR FIN'!$A$1:$O$113,15,0)),0,VLOOKUP($S$12,'TAR FIN'!$A$1:$O$113,15,0))</f>
        <v>0</v>
      </c>
      <c r="W12" s="4">
        <f>IF(ISERROR(VLOOKUP($T$12,'TAR FIN'!$A$1:$O$113,15,0)),0,VLOOKUP($T$12,'TAR FIN'!$A$1:$O$113,15,0))</f>
        <v>6.53</v>
      </c>
      <c r="X12" s="4">
        <f>IF(ISERROR(VLOOKUP($U$12,'TAR FIN'!$A$1:$O$113,15,0)),0,VLOOKUP($U$12,'TAR FIN'!$A$1:$O$113,15,0))</f>
        <v>0</v>
      </c>
      <c r="Y12" s="4"/>
      <c r="Z12" s="4">
        <f ca="1">('TUSD BE'!$AM$8+'TUSD BF'!$AM$8+'TUSD CVA'!$AM$8)*1</f>
        <v>6.5657262447208815</v>
      </c>
      <c r="AA12" s="4"/>
      <c r="AB12" s="4">
        <f>$K$12*$V$12</f>
        <v>0</v>
      </c>
      <c r="AC12" s="4">
        <f>$M$12*$W$12</f>
        <v>72522.362840000002</v>
      </c>
      <c r="AD12" s="4">
        <f>$O$12*$X$12</f>
        <v>0</v>
      </c>
      <c r="AE12" s="4">
        <f>$K$12*$Y$12</f>
        <v>0</v>
      </c>
      <c r="AF12" s="4">
        <f ca="1">$M$12*$Z$12</f>
        <v>72919.139514204959</v>
      </c>
      <c r="AG12" s="4">
        <f>$O$12*$AA$12</f>
        <v>0</v>
      </c>
      <c r="AU12" s="62">
        <f ca="1">+AU10+SUBSIDIO!AJ2+SUBSIDIO!AJ3+SUBSIDIO!AJ5+SUBSIDIO!AJ6+SUBSIDIO!AJ7+SUBSIDIO!AJ8+'TUSD BE'!AM77</f>
        <v>1575180926.8905051</v>
      </c>
    </row>
    <row r="13" spans="1:50" ht="11.25" customHeight="1" x14ac:dyDescent="0.25">
      <c r="A13" s="3" t="s">
        <v>56</v>
      </c>
      <c r="B13" s="3" t="s">
        <v>39</v>
      </c>
      <c r="C13" s="3" t="s">
        <v>40</v>
      </c>
      <c r="D13" s="3" t="s">
        <v>38</v>
      </c>
      <c r="E13" s="3" t="s">
        <v>25</v>
      </c>
      <c r="F13" s="3" t="s">
        <v>58</v>
      </c>
      <c r="G13" s="3" t="s">
        <v>25</v>
      </c>
      <c r="H13" s="3" t="s">
        <v>25</v>
      </c>
      <c r="I13" s="6">
        <v>44621</v>
      </c>
      <c r="J13" s="4">
        <v>0</v>
      </c>
      <c r="K13" s="4">
        <v>0</v>
      </c>
      <c r="L13" s="4">
        <v>11106.028</v>
      </c>
      <c r="M13" s="4">
        <v>11106.028</v>
      </c>
      <c r="N13" s="4">
        <v>0</v>
      </c>
      <c r="O13" s="4">
        <v>0</v>
      </c>
      <c r="P13" s="4">
        <v>0</v>
      </c>
      <c r="Q13" s="3" t="s">
        <v>59</v>
      </c>
      <c r="R13" s="3">
        <v>0</v>
      </c>
      <c r="S13" s="4">
        <v>0</v>
      </c>
      <c r="T13" s="4">
        <v>1</v>
      </c>
      <c r="U13" s="4">
        <v>0</v>
      </c>
      <c r="V13" s="4">
        <f>IF(ISERROR(VLOOKUP($S$13,'TAR FIN'!$A$1:$O$113,15,0)),0,VLOOKUP($S$13,'TAR FIN'!$A$1:$O$113,15,0))</f>
        <v>0</v>
      </c>
      <c r="W13" s="4">
        <f>IF(ISERROR(VLOOKUP($T$13,'TAR FIN'!$A$1:$O$113,15,0)),0,VLOOKUP($T$13,'TAR FIN'!$A$1:$O$113,15,0))</f>
        <v>6.53</v>
      </c>
      <c r="X13" s="4">
        <f>IF(ISERROR(VLOOKUP($U$13,'TAR FIN'!$A$1:$O$113,15,0)),0,VLOOKUP($U$13,'TAR FIN'!$A$1:$O$113,15,0))</f>
        <v>0</v>
      </c>
      <c r="Y13" s="4"/>
      <c r="Z13" s="4">
        <f ca="1">('TUSD BE'!$AM$8+'TUSD BF'!$AM$8+'TUSD CVA'!$AM$8)*1</f>
        <v>6.5657262447208815</v>
      </c>
      <c r="AA13" s="4"/>
      <c r="AB13" s="4">
        <f>$K$13*$V$13</f>
        <v>0</v>
      </c>
      <c r="AC13" s="4">
        <f>$M$13*$W$13</f>
        <v>72522.362840000002</v>
      </c>
      <c r="AD13" s="4">
        <f>$O$13*$X$13</f>
        <v>0</v>
      </c>
      <c r="AE13" s="4">
        <f>$K$13*$Y$13</f>
        <v>0</v>
      </c>
      <c r="AF13" s="4">
        <f ca="1">$M$13*$Z$13</f>
        <v>72919.139514204959</v>
      </c>
      <c r="AG13" s="4">
        <f>$O$13*$AA$13</f>
        <v>0</v>
      </c>
      <c r="AU13" s="62">
        <f>+CUSTOS!D46+CUSTOS!E46+CUSTOS!F46</f>
        <v>1575180926.8905058</v>
      </c>
    </row>
    <row r="14" spans="1:50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60</v>
      </c>
      <c r="G14" s="3" t="s">
        <v>25</v>
      </c>
      <c r="H14" s="3" t="s">
        <v>35</v>
      </c>
      <c r="I14" s="6">
        <v>44287</v>
      </c>
      <c r="J14" s="4">
        <v>1500</v>
      </c>
      <c r="K14" s="4">
        <v>752.88340500000004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57</v>
      </c>
      <c r="R14" s="3">
        <v>0</v>
      </c>
      <c r="S14" s="4">
        <v>5</v>
      </c>
      <c r="T14" s="4">
        <v>0</v>
      </c>
      <c r="U14" s="4">
        <v>0</v>
      </c>
      <c r="V14" s="4">
        <f>IF(ISERROR(VLOOKUP($S$14,'TAR FIN'!$A$1:$O$113,15,0)),0,VLOOKUP($S$14,'TAR FIN'!$A$1:$O$113,15,0))</f>
        <v>11.59</v>
      </c>
      <c r="W14" s="4">
        <f>IF(ISERROR(VLOOKUP($T$14,'TAR FIN'!$A$1:$O$113,15,0)),0,VLOOKUP($T$14,'TAR FIN'!$A$1:$O$113,15,0))</f>
        <v>0</v>
      </c>
      <c r="X14" s="4">
        <f>IF(ISERROR(VLOOKUP($U$14,'TAR FIN'!$A$1:$O$113,15,0)),0,VLOOKUP($U$14,'TAR FIN'!$A$1:$O$113,15,0))</f>
        <v>0</v>
      </c>
      <c r="Y14" s="4">
        <f ca="1">('TUSD BE'!$AM$6+'TUSD BF'!$AM$6+'TUSD CVA'!$AM$6)*1</f>
        <v>10.94172345363083</v>
      </c>
      <c r="Z14" s="4">
        <f ca="1">('TUSD BE'!$AM$7+'TUSD BF'!$AM$7+'TUSD CVA'!$AM$7)*1</f>
        <v>45.946048451030222</v>
      </c>
      <c r="AA14" s="4"/>
      <c r="AB14" s="4">
        <f>$K$14*$V$14</f>
        <v>8725.9186639500003</v>
      </c>
      <c r="AC14" s="4">
        <f>$M$14*$W$14</f>
        <v>0</v>
      </c>
      <c r="AD14" s="4">
        <f>$O$14*$X$14</f>
        <v>0</v>
      </c>
      <c r="AE14" s="4">
        <f ca="1">$K$14*$Y$14</f>
        <v>8237.8420103379394</v>
      </c>
      <c r="AF14" s="4">
        <f ca="1">$M$14*$Z$14</f>
        <v>0</v>
      </c>
      <c r="AG14" s="4">
        <f>$O$14*$AA$14</f>
        <v>0</v>
      </c>
    </row>
    <row r="15" spans="1:50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60</v>
      </c>
      <c r="G15" s="3" t="s">
        <v>25</v>
      </c>
      <c r="H15" s="3" t="s">
        <v>35</v>
      </c>
      <c r="I15" s="6">
        <v>44317</v>
      </c>
      <c r="J15" s="4">
        <v>1500</v>
      </c>
      <c r="K15" s="4">
        <v>754.02548999999999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57</v>
      </c>
      <c r="R15" s="3">
        <v>0</v>
      </c>
      <c r="S15" s="4">
        <v>5</v>
      </c>
      <c r="T15" s="4">
        <v>0</v>
      </c>
      <c r="U15" s="4">
        <v>0</v>
      </c>
      <c r="V15" s="4">
        <f>IF(ISERROR(VLOOKUP($S$15,'TAR FIN'!$A$1:$O$113,15,0)),0,VLOOKUP($S$15,'TAR FIN'!$A$1:$O$113,15,0))</f>
        <v>11.59</v>
      </c>
      <c r="W15" s="4">
        <f>IF(ISERROR(VLOOKUP($T$15,'TAR FIN'!$A$1:$O$113,15,0)),0,VLOOKUP($T$15,'TAR FIN'!$A$1:$O$113,15,0))</f>
        <v>0</v>
      </c>
      <c r="X15" s="4">
        <f>IF(ISERROR(VLOOKUP($U$15,'TAR FIN'!$A$1:$O$113,15,0)),0,VLOOKUP($U$15,'TAR FIN'!$A$1:$O$113,15,0))</f>
        <v>0</v>
      </c>
      <c r="Y15" s="4">
        <f ca="1">('TUSD BE'!$AM$6+'TUSD BF'!$AM$6+'TUSD CVA'!$AM$6)*1</f>
        <v>10.94172345363083</v>
      </c>
      <c r="Z15" s="4">
        <f ca="1">('TUSD BE'!$AM$7+'TUSD BF'!$AM$7+'TUSD CVA'!$AM$7)*1</f>
        <v>45.946048451030222</v>
      </c>
      <c r="AA15" s="4"/>
      <c r="AB15" s="4">
        <f>$K$15*$V$15</f>
        <v>8739.1554290999993</v>
      </c>
      <c r="AC15" s="4">
        <f>$M$15*$W$15</f>
        <v>0</v>
      </c>
      <c r="AD15" s="4">
        <f>$O$15*$X$15</f>
        <v>0</v>
      </c>
      <c r="AE15" s="4">
        <f ca="1">$K$15*$Y$15</f>
        <v>8250.3383885684798</v>
      </c>
      <c r="AF15" s="4">
        <f ca="1">$M$15*$Z$15</f>
        <v>0</v>
      </c>
      <c r="AG15" s="4">
        <f>$O$15*$AA$15</f>
        <v>0</v>
      </c>
    </row>
    <row r="16" spans="1:50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60</v>
      </c>
      <c r="G16" s="3" t="s">
        <v>25</v>
      </c>
      <c r="H16" s="3" t="s">
        <v>35</v>
      </c>
      <c r="I16" s="6">
        <v>44348</v>
      </c>
      <c r="J16" s="4">
        <v>1500</v>
      </c>
      <c r="K16" s="4">
        <v>750.61864500000001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57</v>
      </c>
      <c r="R16" s="3">
        <v>0</v>
      </c>
      <c r="S16" s="4">
        <v>5</v>
      </c>
      <c r="T16" s="4">
        <v>0</v>
      </c>
      <c r="U16" s="4">
        <v>0</v>
      </c>
      <c r="V16" s="4">
        <f>IF(ISERROR(VLOOKUP($S$16,'TAR FIN'!$A$1:$O$113,15,0)),0,VLOOKUP($S$16,'TAR FIN'!$A$1:$O$113,15,0))</f>
        <v>11.59</v>
      </c>
      <c r="W16" s="4">
        <f>IF(ISERROR(VLOOKUP($T$16,'TAR FIN'!$A$1:$O$113,15,0)),0,VLOOKUP($T$16,'TAR FIN'!$A$1:$O$113,15,0))</f>
        <v>0</v>
      </c>
      <c r="X16" s="4">
        <f>IF(ISERROR(VLOOKUP($U$16,'TAR FIN'!$A$1:$O$113,15,0)),0,VLOOKUP($U$16,'TAR FIN'!$A$1:$O$113,15,0))</f>
        <v>0</v>
      </c>
      <c r="Y16" s="4">
        <f ca="1">('TUSD BE'!$AM$6+'TUSD BF'!$AM$6+'TUSD CVA'!$AM$6)*1</f>
        <v>10.94172345363083</v>
      </c>
      <c r="Z16" s="4">
        <f ca="1">('TUSD BE'!$AM$7+'TUSD BF'!$AM$7+'TUSD CVA'!$AM$7)*1</f>
        <v>45.946048451030222</v>
      </c>
      <c r="AA16" s="4"/>
      <c r="AB16" s="4">
        <f>$K$16*$V$16</f>
        <v>8699.67009555</v>
      </c>
      <c r="AC16" s="4">
        <f>$M$16*$W$16</f>
        <v>0</v>
      </c>
      <c r="AD16" s="4">
        <f>$O$16*$X$16</f>
        <v>0</v>
      </c>
      <c r="AE16" s="4">
        <f ca="1">$K$16*$Y$16</f>
        <v>8213.0616327290936</v>
      </c>
      <c r="AF16" s="4">
        <f ca="1">$M$16*$Z$16</f>
        <v>0</v>
      </c>
      <c r="AG16" s="4">
        <f>$O$16*$AA$16</f>
        <v>0</v>
      </c>
    </row>
    <row r="17" spans="1:33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60</v>
      </c>
      <c r="G17" s="3" t="s">
        <v>25</v>
      </c>
      <c r="H17" s="3" t="s">
        <v>35</v>
      </c>
      <c r="I17" s="6">
        <v>44378</v>
      </c>
      <c r="J17" s="4">
        <v>1500</v>
      </c>
      <c r="K17" s="4">
        <v>784.87662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57</v>
      </c>
      <c r="R17" s="3">
        <v>0</v>
      </c>
      <c r="S17" s="4">
        <v>5</v>
      </c>
      <c r="T17" s="4">
        <v>0</v>
      </c>
      <c r="U17" s="4">
        <v>0</v>
      </c>
      <c r="V17" s="4">
        <f>IF(ISERROR(VLOOKUP($S$17,'TAR FIN'!$A$1:$O$113,15,0)),0,VLOOKUP($S$17,'TAR FIN'!$A$1:$O$113,15,0))</f>
        <v>11.59</v>
      </c>
      <c r="W17" s="4">
        <f>IF(ISERROR(VLOOKUP($T$17,'TAR FIN'!$A$1:$O$113,15,0)),0,VLOOKUP($T$17,'TAR FIN'!$A$1:$O$113,15,0))</f>
        <v>0</v>
      </c>
      <c r="X17" s="4">
        <f>IF(ISERROR(VLOOKUP($U$17,'TAR FIN'!$A$1:$O$113,15,0)),0,VLOOKUP($U$17,'TAR FIN'!$A$1:$O$113,15,0))</f>
        <v>0</v>
      </c>
      <c r="Y17" s="4">
        <f ca="1">('TUSD BE'!$AM$6+'TUSD BF'!$AM$6+'TUSD CVA'!$AM$6)*1</f>
        <v>10.94172345363083</v>
      </c>
      <c r="Z17" s="4">
        <f ca="1">('TUSD BE'!$AM$7+'TUSD BF'!$AM$7+'TUSD CVA'!$AM$7)*1</f>
        <v>45.946048451030222</v>
      </c>
      <c r="AA17" s="4"/>
      <c r="AB17" s="4">
        <f>$K$17*$V$17</f>
        <v>9096.7200257999993</v>
      </c>
      <c r="AC17" s="4">
        <f>$M$17*$W$17</f>
        <v>0</v>
      </c>
      <c r="AD17" s="4">
        <f>$O$17*$X$17</f>
        <v>0</v>
      </c>
      <c r="AE17" s="4">
        <f ca="1">$K$17*$Y$17</f>
        <v>8587.9029212604928</v>
      </c>
      <c r="AF17" s="4">
        <f ca="1">$M$17*$Z$17</f>
        <v>0</v>
      </c>
      <c r="AG17" s="4">
        <f>$O$17*$AA$17</f>
        <v>0</v>
      </c>
    </row>
    <row r="18" spans="1:33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60</v>
      </c>
      <c r="G18" s="3" t="s">
        <v>25</v>
      </c>
      <c r="H18" s="3" t="s">
        <v>35</v>
      </c>
      <c r="I18" s="6">
        <v>44409</v>
      </c>
      <c r="J18" s="4">
        <v>1500</v>
      </c>
      <c r="K18" s="4">
        <v>749.76273000000003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57</v>
      </c>
      <c r="R18" s="3">
        <v>0</v>
      </c>
      <c r="S18" s="4">
        <v>5</v>
      </c>
      <c r="T18" s="4">
        <v>0</v>
      </c>
      <c r="U18" s="4">
        <v>0</v>
      </c>
      <c r="V18" s="4">
        <f>IF(ISERROR(VLOOKUP($S$18,'TAR FIN'!$A$1:$O$113,15,0)),0,VLOOKUP($S$18,'TAR FIN'!$A$1:$O$113,15,0))</f>
        <v>11.59</v>
      </c>
      <c r="W18" s="4">
        <f>IF(ISERROR(VLOOKUP($T$18,'TAR FIN'!$A$1:$O$113,15,0)),0,VLOOKUP($T$18,'TAR FIN'!$A$1:$O$113,15,0))</f>
        <v>0</v>
      </c>
      <c r="X18" s="4">
        <f>IF(ISERROR(VLOOKUP($U$18,'TAR FIN'!$A$1:$O$113,15,0)),0,VLOOKUP($U$18,'TAR FIN'!$A$1:$O$113,15,0))</f>
        <v>0</v>
      </c>
      <c r="Y18" s="4">
        <f ca="1">('TUSD BE'!$AM$6+'TUSD BF'!$AM$6+'TUSD CVA'!$AM$6)*1</f>
        <v>10.94172345363083</v>
      </c>
      <c r="Z18" s="4">
        <f ca="1">('TUSD BE'!$AM$7+'TUSD BF'!$AM$7+'TUSD CVA'!$AM$7)*1</f>
        <v>45.946048451030222</v>
      </c>
      <c r="AA18" s="4"/>
      <c r="AB18" s="4">
        <f>$K$18*$V$18</f>
        <v>8689.7500407000007</v>
      </c>
      <c r="AC18" s="4">
        <f>$M$18*$W$18</f>
        <v>0</v>
      </c>
      <c r="AD18" s="4">
        <f>$O$18*$X$18</f>
        <v>0</v>
      </c>
      <c r="AE18" s="4">
        <f ca="1">$K$18*$Y$18</f>
        <v>8203.6964474992801</v>
      </c>
      <c r="AF18" s="4">
        <f ca="1">$M$18*$Z$18</f>
        <v>0</v>
      </c>
      <c r="AG18" s="4">
        <f>$O$18*$AA$18</f>
        <v>0</v>
      </c>
    </row>
    <row r="19" spans="1:33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60</v>
      </c>
      <c r="G19" s="3" t="s">
        <v>25</v>
      </c>
      <c r="H19" s="3" t="s">
        <v>35</v>
      </c>
      <c r="I19" s="6">
        <v>44440</v>
      </c>
      <c r="J19" s="4">
        <v>11100</v>
      </c>
      <c r="K19" s="4">
        <v>5550.6575640000001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57</v>
      </c>
      <c r="R19" s="3">
        <v>0</v>
      </c>
      <c r="S19" s="4">
        <v>5</v>
      </c>
      <c r="T19" s="4">
        <v>0</v>
      </c>
      <c r="U19" s="4">
        <v>0</v>
      </c>
      <c r="V19" s="4">
        <f>IF(ISERROR(VLOOKUP($S$19,'TAR FIN'!$A$1:$O$113,15,0)),0,VLOOKUP($S$19,'TAR FIN'!$A$1:$O$113,15,0))</f>
        <v>11.59</v>
      </c>
      <c r="W19" s="4">
        <f>IF(ISERROR(VLOOKUP($T$19,'TAR FIN'!$A$1:$O$113,15,0)),0,VLOOKUP($T$19,'TAR FIN'!$A$1:$O$113,15,0))</f>
        <v>0</v>
      </c>
      <c r="X19" s="4">
        <f>IF(ISERROR(VLOOKUP($U$19,'TAR FIN'!$A$1:$O$113,15,0)),0,VLOOKUP($U$19,'TAR FIN'!$A$1:$O$113,15,0))</f>
        <v>0</v>
      </c>
      <c r="Y19" s="4">
        <f ca="1">('TUSD BE'!$AM$6+'TUSD BF'!$AM$6+'TUSD CVA'!$AM$6)*1</f>
        <v>10.94172345363083</v>
      </c>
      <c r="Z19" s="4">
        <f ca="1">('TUSD BE'!$AM$7+'TUSD BF'!$AM$7+'TUSD CVA'!$AM$7)*1</f>
        <v>45.946048451030222</v>
      </c>
      <c r="AA19" s="4"/>
      <c r="AB19" s="4">
        <f>$K$19*$V$19</f>
        <v>64332.12116676</v>
      </c>
      <c r="AC19" s="4">
        <f>$M$19*$W$19</f>
        <v>0</v>
      </c>
      <c r="AD19" s="4">
        <f>$O$19*$X$19</f>
        <v>0</v>
      </c>
      <c r="AE19" s="4">
        <f ca="1">$K$19*$Y$19</f>
        <v>60733.760051092169</v>
      </c>
      <c r="AF19" s="4">
        <f ca="1">$M$19*$Z$19</f>
        <v>0</v>
      </c>
      <c r="AG19" s="4">
        <f>$O$19*$AA$19</f>
        <v>0</v>
      </c>
    </row>
    <row r="20" spans="1:33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60</v>
      </c>
      <c r="G20" s="3" t="s">
        <v>25</v>
      </c>
      <c r="H20" s="3" t="s">
        <v>35</v>
      </c>
      <c r="I20" s="6">
        <v>44470</v>
      </c>
      <c r="J20" s="4">
        <v>11100</v>
      </c>
      <c r="K20" s="4">
        <v>5551.2183359999999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57</v>
      </c>
      <c r="R20" s="3">
        <v>0</v>
      </c>
      <c r="S20" s="4">
        <v>5</v>
      </c>
      <c r="T20" s="4">
        <v>0</v>
      </c>
      <c r="U20" s="4">
        <v>0</v>
      </c>
      <c r="V20" s="4">
        <f>IF(ISERROR(VLOOKUP($S$20,'TAR FIN'!$A$1:$O$113,15,0)),0,VLOOKUP($S$20,'TAR FIN'!$A$1:$O$113,15,0))</f>
        <v>11.59</v>
      </c>
      <c r="W20" s="4">
        <f>IF(ISERROR(VLOOKUP($T$20,'TAR FIN'!$A$1:$O$113,15,0)),0,VLOOKUP($T$20,'TAR FIN'!$A$1:$O$113,15,0))</f>
        <v>0</v>
      </c>
      <c r="X20" s="4">
        <f>IF(ISERROR(VLOOKUP($U$20,'TAR FIN'!$A$1:$O$113,15,0)),0,VLOOKUP($U$20,'TAR FIN'!$A$1:$O$113,15,0))</f>
        <v>0</v>
      </c>
      <c r="Y20" s="4">
        <f ca="1">('TUSD BE'!$AM$6+'TUSD BF'!$AM$6+'TUSD CVA'!$AM$6)*1</f>
        <v>10.94172345363083</v>
      </c>
      <c r="Z20" s="4">
        <f ca="1">('TUSD BE'!$AM$7+'TUSD BF'!$AM$7+'TUSD CVA'!$AM$7)*1</f>
        <v>45.946048451030222</v>
      </c>
      <c r="AA20" s="4"/>
      <c r="AB20" s="4">
        <f>$K$20*$V$20</f>
        <v>64338.620514239999</v>
      </c>
      <c r="AC20" s="4">
        <f>$M$20*$W$20</f>
        <v>0</v>
      </c>
      <c r="AD20" s="4">
        <f>$O$20*$X$20</f>
        <v>0</v>
      </c>
      <c r="AE20" s="4">
        <f ca="1">$K$20*$Y$20</f>
        <v>60739.895863236707</v>
      </c>
      <c r="AF20" s="4">
        <f ca="1">$M$20*$Z$20</f>
        <v>0</v>
      </c>
      <c r="AG20" s="4">
        <f>$O$20*$AA$20</f>
        <v>0</v>
      </c>
    </row>
    <row r="21" spans="1:33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60</v>
      </c>
      <c r="G21" s="3" t="s">
        <v>25</v>
      </c>
      <c r="H21" s="3" t="s">
        <v>35</v>
      </c>
      <c r="I21" s="6">
        <v>44501</v>
      </c>
      <c r="J21" s="4">
        <v>16522</v>
      </c>
      <c r="K21" s="4">
        <v>14758.487485940001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57</v>
      </c>
      <c r="R21" s="3">
        <v>0</v>
      </c>
      <c r="S21" s="4">
        <v>5</v>
      </c>
      <c r="T21" s="4">
        <v>0</v>
      </c>
      <c r="U21" s="4">
        <v>0</v>
      </c>
      <c r="V21" s="4">
        <f>IF(ISERROR(VLOOKUP($S$21,'TAR FIN'!$A$1:$O$113,15,0)),0,VLOOKUP($S$21,'TAR FIN'!$A$1:$O$113,15,0))</f>
        <v>11.59</v>
      </c>
      <c r="W21" s="4">
        <f>IF(ISERROR(VLOOKUP($T$21,'TAR FIN'!$A$1:$O$113,15,0)),0,VLOOKUP($T$21,'TAR FIN'!$A$1:$O$113,15,0))</f>
        <v>0</v>
      </c>
      <c r="X21" s="4">
        <f>IF(ISERROR(VLOOKUP($U$21,'TAR FIN'!$A$1:$O$113,15,0)),0,VLOOKUP($U$21,'TAR FIN'!$A$1:$O$113,15,0))</f>
        <v>0</v>
      </c>
      <c r="Y21" s="4">
        <f ca="1">('TUSD BE'!$AM$6+'TUSD BF'!$AM$6+'TUSD CVA'!$AM$6)*1</f>
        <v>10.94172345363083</v>
      </c>
      <c r="Z21" s="4">
        <f ca="1">('TUSD BE'!$AM$7+'TUSD BF'!$AM$7+'TUSD CVA'!$AM$7)*1</f>
        <v>45.946048451030222</v>
      </c>
      <c r="AA21" s="4"/>
      <c r="AB21" s="4">
        <f>$K$21*$V$21</f>
        <v>171050.86996204461</v>
      </c>
      <c r="AC21" s="4">
        <f>$M$21*$W$21</f>
        <v>0</v>
      </c>
      <c r="AD21" s="4">
        <f>$O$21*$X$21</f>
        <v>0</v>
      </c>
      <c r="AE21" s="4">
        <f ca="1">$K$21*$Y$21</f>
        <v>161483.2886650268</v>
      </c>
      <c r="AF21" s="4">
        <f ca="1">$M$21*$Z$21</f>
        <v>0</v>
      </c>
      <c r="AG21" s="4">
        <f>$O$21*$AA$21</f>
        <v>0</v>
      </c>
    </row>
    <row r="22" spans="1:33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60</v>
      </c>
      <c r="G22" s="3" t="s">
        <v>25</v>
      </c>
      <c r="H22" s="3" t="s">
        <v>35</v>
      </c>
      <c r="I22" s="6">
        <v>44531</v>
      </c>
      <c r="J22" s="4">
        <v>16610</v>
      </c>
      <c r="K22" s="4">
        <v>14474.657599599999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57</v>
      </c>
      <c r="R22" s="3">
        <v>0</v>
      </c>
      <c r="S22" s="4">
        <v>5</v>
      </c>
      <c r="T22" s="4">
        <v>0</v>
      </c>
      <c r="U22" s="4">
        <v>0</v>
      </c>
      <c r="V22" s="4">
        <f>IF(ISERROR(VLOOKUP($S$22,'TAR FIN'!$A$1:$O$113,15,0)),0,VLOOKUP($S$22,'TAR FIN'!$A$1:$O$113,15,0))</f>
        <v>11.59</v>
      </c>
      <c r="W22" s="4">
        <f>IF(ISERROR(VLOOKUP($T$22,'TAR FIN'!$A$1:$O$113,15,0)),0,VLOOKUP($T$22,'TAR FIN'!$A$1:$O$113,15,0))</f>
        <v>0</v>
      </c>
      <c r="X22" s="4">
        <f>IF(ISERROR(VLOOKUP($U$22,'TAR FIN'!$A$1:$O$113,15,0)),0,VLOOKUP($U$22,'TAR FIN'!$A$1:$O$113,15,0))</f>
        <v>0</v>
      </c>
      <c r="Y22" s="4">
        <f ca="1">('TUSD BE'!$AM$6+'TUSD BF'!$AM$6+'TUSD CVA'!$AM$6)*1</f>
        <v>10.94172345363083</v>
      </c>
      <c r="Z22" s="4">
        <f ca="1">('TUSD BE'!$AM$7+'TUSD BF'!$AM$7+'TUSD CVA'!$AM$7)*1</f>
        <v>45.946048451030222</v>
      </c>
      <c r="AA22" s="4"/>
      <c r="AB22" s="4">
        <f>$K$22*$V$22</f>
        <v>167761.28157936397</v>
      </c>
      <c r="AC22" s="4">
        <f>$M$22*$W$22</f>
        <v>0</v>
      </c>
      <c r="AD22" s="4">
        <f>$O$22*$X$22</f>
        <v>0</v>
      </c>
      <c r="AE22" s="4">
        <f ca="1">$K$22*$Y$22</f>
        <v>158377.70054081906</v>
      </c>
      <c r="AF22" s="4">
        <f ca="1">$M$22*$Z$22</f>
        <v>0</v>
      </c>
      <c r="AG22" s="4">
        <f>$O$22*$AA$22</f>
        <v>0</v>
      </c>
    </row>
    <row r="23" spans="1:33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60</v>
      </c>
      <c r="G23" s="3" t="s">
        <v>25</v>
      </c>
      <c r="H23" s="3" t="s">
        <v>35</v>
      </c>
      <c r="I23" s="6">
        <v>44562</v>
      </c>
      <c r="J23" s="4">
        <v>11100</v>
      </c>
      <c r="K23" s="4">
        <v>10350.295122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57</v>
      </c>
      <c r="R23" s="3">
        <v>0</v>
      </c>
      <c r="S23" s="4">
        <v>5</v>
      </c>
      <c r="T23" s="4">
        <v>0</v>
      </c>
      <c r="U23" s="4">
        <v>0</v>
      </c>
      <c r="V23" s="4">
        <f>IF(ISERROR(VLOOKUP($S$23,'TAR FIN'!$A$1:$O$113,15,0)),0,VLOOKUP($S$23,'TAR FIN'!$A$1:$O$113,15,0))</f>
        <v>11.59</v>
      </c>
      <c r="W23" s="4">
        <f>IF(ISERROR(VLOOKUP($T$23,'TAR FIN'!$A$1:$O$113,15,0)),0,VLOOKUP($T$23,'TAR FIN'!$A$1:$O$113,15,0))</f>
        <v>0</v>
      </c>
      <c r="X23" s="4">
        <f>IF(ISERROR(VLOOKUP($U$23,'TAR FIN'!$A$1:$O$113,15,0)),0,VLOOKUP($U$23,'TAR FIN'!$A$1:$O$113,15,0))</f>
        <v>0</v>
      </c>
      <c r="Y23" s="4">
        <f ca="1">('TUSD BE'!$AM$6+'TUSD BF'!$AM$6+'TUSD CVA'!$AM$6)*1</f>
        <v>10.94172345363083</v>
      </c>
      <c r="Z23" s="4">
        <f ca="1">('TUSD BE'!$AM$7+'TUSD BF'!$AM$7+'TUSD CVA'!$AM$7)*1</f>
        <v>45.946048451030222</v>
      </c>
      <c r="AA23" s="4"/>
      <c r="AB23" s="4">
        <f>$K$23*$V$23</f>
        <v>119959.92046397999</v>
      </c>
      <c r="AC23" s="4">
        <f>$M$23*$W$23</f>
        <v>0</v>
      </c>
      <c r="AD23" s="4">
        <f>$O$23*$X$23</f>
        <v>0</v>
      </c>
      <c r="AE23" s="4">
        <f ca="1">$K$23*$Y$23</f>
        <v>113250.06688838817</v>
      </c>
      <c r="AF23" s="4">
        <f ca="1">$M$23*$Z$23</f>
        <v>0</v>
      </c>
      <c r="AG23" s="4">
        <f>$O$23*$AA$23</f>
        <v>0</v>
      </c>
    </row>
    <row r="24" spans="1:33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60</v>
      </c>
      <c r="G24" s="3" t="s">
        <v>25</v>
      </c>
      <c r="H24" s="3" t="s">
        <v>35</v>
      </c>
      <c r="I24" s="6">
        <v>44593</v>
      </c>
      <c r="J24" s="4">
        <v>16543</v>
      </c>
      <c r="K24" s="4">
        <v>14361.89908338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57</v>
      </c>
      <c r="R24" s="3">
        <v>0</v>
      </c>
      <c r="S24" s="4">
        <v>5</v>
      </c>
      <c r="T24" s="4">
        <v>0</v>
      </c>
      <c r="U24" s="4">
        <v>0</v>
      </c>
      <c r="V24" s="4">
        <f>IF(ISERROR(VLOOKUP($S$24,'TAR FIN'!$A$1:$O$113,15,0)),0,VLOOKUP($S$24,'TAR FIN'!$A$1:$O$113,15,0))</f>
        <v>11.59</v>
      </c>
      <c r="W24" s="4">
        <f>IF(ISERROR(VLOOKUP($T$24,'TAR FIN'!$A$1:$O$113,15,0)),0,VLOOKUP($T$24,'TAR FIN'!$A$1:$O$113,15,0))</f>
        <v>0</v>
      </c>
      <c r="X24" s="4">
        <f>IF(ISERROR(VLOOKUP($U$24,'TAR FIN'!$A$1:$O$113,15,0)),0,VLOOKUP($U$24,'TAR FIN'!$A$1:$O$113,15,0))</f>
        <v>0</v>
      </c>
      <c r="Y24" s="4">
        <f ca="1">('TUSD BE'!$AM$6+'TUSD BF'!$AM$6+'TUSD CVA'!$AM$6)*1</f>
        <v>10.94172345363083</v>
      </c>
      <c r="Z24" s="4">
        <f ca="1">('TUSD BE'!$AM$7+'TUSD BF'!$AM$7+'TUSD CVA'!$AM$7)*1</f>
        <v>45.946048451030222</v>
      </c>
      <c r="AA24" s="4"/>
      <c r="AB24" s="4">
        <f>$K$24*$V$24</f>
        <v>166454.4103763742</v>
      </c>
      <c r="AC24" s="4">
        <f>$M$24*$W$24</f>
        <v>0</v>
      </c>
      <c r="AD24" s="4">
        <f>$O$24*$X$24</f>
        <v>0</v>
      </c>
      <c r="AE24" s="4">
        <f ca="1">$K$24*$Y$24</f>
        <v>157143.92803929807</v>
      </c>
      <c r="AF24" s="4">
        <f ca="1">$M$24*$Z$24</f>
        <v>0</v>
      </c>
      <c r="AG24" s="4">
        <f>$O$24*$AA$24</f>
        <v>0</v>
      </c>
    </row>
    <row r="25" spans="1:33" ht="11.25" customHeight="1" x14ac:dyDescent="0.25">
      <c r="A25" s="3" t="s">
        <v>56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60</v>
      </c>
      <c r="G25" s="3" t="s">
        <v>25</v>
      </c>
      <c r="H25" s="3" t="s">
        <v>35</v>
      </c>
      <c r="I25" s="6">
        <v>44621</v>
      </c>
      <c r="J25" s="4">
        <v>16543</v>
      </c>
      <c r="K25" s="4">
        <v>14361.89908338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57</v>
      </c>
      <c r="R25" s="3">
        <v>0</v>
      </c>
      <c r="S25" s="4">
        <v>5</v>
      </c>
      <c r="T25" s="4">
        <v>0</v>
      </c>
      <c r="U25" s="4">
        <v>0</v>
      </c>
      <c r="V25" s="4">
        <f>IF(ISERROR(VLOOKUP($S$25,'TAR FIN'!$A$1:$O$113,15,0)),0,VLOOKUP($S$25,'TAR FIN'!$A$1:$O$113,15,0))</f>
        <v>11.59</v>
      </c>
      <c r="W25" s="4">
        <f>IF(ISERROR(VLOOKUP($T$25,'TAR FIN'!$A$1:$O$113,15,0)),0,VLOOKUP($T$25,'TAR FIN'!$A$1:$O$113,15,0))</f>
        <v>0</v>
      </c>
      <c r="X25" s="4">
        <f>IF(ISERROR(VLOOKUP($U$25,'TAR FIN'!$A$1:$O$113,15,0)),0,VLOOKUP($U$25,'TAR FIN'!$A$1:$O$113,15,0))</f>
        <v>0</v>
      </c>
      <c r="Y25" s="4">
        <f ca="1">('TUSD BE'!$AM$6+'TUSD BF'!$AM$6+'TUSD CVA'!$AM$6)*1</f>
        <v>10.94172345363083</v>
      </c>
      <c r="Z25" s="4">
        <f ca="1">('TUSD BE'!$AM$7+'TUSD BF'!$AM$7+'TUSD CVA'!$AM$7)*1</f>
        <v>45.946048451030222</v>
      </c>
      <c r="AA25" s="4"/>
      <c r="AB25" s="4">
        <f>$K$25*$V$25</f>
        <v>166454.4103763742</v>
      </c>
      <c r="AC25" s="4">
        <f>$M$25*$W$25</f>
        <v>0</v>
      </c>
      <c r="AD25" s="4">
        <f>$O$25*$X$25</f>
        <v>0</v>
      </c>
      <c r="AE25" s="4">
        <f ca="1">$K$25*$Y$25</f>
        <v>157143.92803929807</v>
      </c>
      <c r="AF25" s="4">
        <f ca="1">$M$25*$Z$25</f>
        <v>0</v>
      </c>
      <c r="AG25" s="4">
        <f>$O$25*$AA$25</f>
        <v>0</v>
      </c>
    </row>
    <row r="26" spans="1:33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60</v>
      </c>
      <c r="G26" s="3" t="s">
        <v>25</v>
      </c>
      <c r="H26" s="3" t="s">
        <v>25</v>
      </c>
      <c r="I26" s="6">
        <v>44287</v>
      </c>
      <c r="J26" s="4">
        <v>0</v>
      </c>
      <c r="K26" s="4">
        <v>0</v>
      </c>
      <c r="L26" s="4">
        <v>370.19499999999999</v>
      </c>
      <c r="M26" s="4">
        <v>370.19499999999999</v>
      </c>
      <c r="N26" s="4">
        <v>0</v>
      </c>
      <c r="O26" s="4">
        <v>0</v>
      </c>
      <c r="P26" s="4">
        <v>1</v>
      </c>
      <c r="Q26" s="3" t="s">
        <v>57</v>
      </c>
      <c r="R26" s="3">
        <v>0</v>
      </c>
      <c r="S26" s="4">
        <v>0</v>
      </c>
      <c r="T26" s="4">
        <v>6</v>
      </c>
      <c r="U26" s="4">
        <v>0</v>
      </c>
      <c r="V26" s="4">
        <f>IF(ISERROR(VLOOKUP($S$26,'TAR FIN'!$A$1:$O$113,15,0)),0,VLOOKUP($S$26,'TAR FIN'!$A$1:$O$113,15,0))</f>
        <v>0</v>
      </c>
      <c r="W26" s="4">
        <f>IF(ISERROR(VLOOKUP($T$26,'TAR FIN'!$A$1:$O$113,15,0)),0,VLOOKUP($T$26,'TAR FIN'!$A$1:$O$113,15,0))</f>
        <v>35.86</v>
      </c>
      <c r="X26" s="4">
        <f>IF(ISERROR(VLOOKUP($U$26,'TAR FIN'!$A$1:$O$113,15,0)),0,VLOOKUP($U$26,'TAR FIN'!$A$1:$O$113,15,0))</f>
        <v>0</v>
      </c>
      <c r="Y26" s="4"/>
      <c r="Z26" s="4">
        <f ca="1">('TUSD BE'!$AM$7+'TUSD BF'!$AM$7+'TUSD CVA'!$AM$7)*1</f>
        <v>45.946048451030222</v>
      </c>
      <c r="AA26" s="4"/>
      <c r="AB26" s="4">
        <f>$K$26*$V$26</f>
        <v>0</v>
      </c>
      <c r="AC26" s="4">
        <f>$M$26*$W$26</f>
        <v>13275.1927</v>
      </c>
      <c r="AD26" s="4">
        <f>$O$26*$X$26</f>
        <v>0</v>
      </c>
      <c r="AE26" s="4">
        <f>$K$26*$Y$26</f>
        <v>0</v>
      </c>
      <c r="AF26" s="4">
        <f ca="1">$M$26*$Z$26</f>
        <v>17008.997406329134</v>
      </c>
      <c r="AG26" s="4">
        <f>$O$26*$AA$26</f>
        <v>0</v>
      </c>
    </row>
    <row r="27" spans="1:33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60</v>
      </c>
      <c r="G27" s="3" t="s">
        <v>25</v>
      </c>
      <c r="H27" s="3" t="s">
        <v>25</v>
      </c>
      <c r="I27" s="6">
        <v>44317</v>
      </c>
      <c r="J27" s="4">
        <v>0</v>
      </c>
      <c r="K27" s="4">
        <v>0</v>
      </c>
      <c r="L27" s="4">
        <v>324.17899999999997</v>
      </c>
      <c r="M27" s="4">
        <v>324.17899999999997</v>
      </c>
      <c r="N27" s="4">
        <v>0</v>
      </c>
      <c r="O27" s="4">
        <v>0</v>
      </c>
      <c r="P27" s="4">
        <v>1</v>
      </c>
      <c r="Q27" s="3" t="s">
        <v>57</v>
      </c>
      <c r="R27" s="3">
        <v>0</v>
      </c>
      <c r="S27" s="4">
        <v>0</v>
      </c>
      <c r="T27" s="4">
        <v>6</v>
      </c>
      <c r="U27" s="4">
        <v>0</v>
      </c>
      <c r="V27" s="4">
        <f>IF(ISERROR(VLOOKUP($S$27,'TAR FIN'!$A$1:$O$113,15,0)),0,VLOOKUP($S$27,'TAR FIN'!$A$1:$O$113,15,0))</f>
        <v>0</v>
      </c>
      <c r="W27" s="4">
        <f>IF(ISERROR(VLOOKUP($T$27,'TAR FIN'!$A$1:$O$113,15,0)),0,VLOOKUP($T$27,'TAR FIN'!$A$1:$O$113,15,0))</f>
        <v>35.86</v>
      </c>
      <c r="X27" s="4">
        <f>IF(ISERROR(VLOOKUP($U$27,'TAR FIN'!$A$1:$O$113,15,0)),0,VLOOKUP($U$27,'TAR FIN'!$A$1:$O$113,15,0))</f>
        <v>0</v>
      </c>
      <c r="Y27" s="4"/>
      <c r="Z27" s="4">
        <f ca="1">('TUSD BE'!$AM$7+'TUSD BF'!$AM$7+'TUSD CVA'!$AM$7)*1</f>
        <v>45.946048451030222</v>
      </c>
      <c r="AA27" s="4"/>
      <c r="AB27" s="4">
        <f>$K$27*$V$27</f>
        <v>0</v>
      </c>
      <c r="AC27" s="4">
        <f>$M$27*$W$27</f>
        <v>11625.058939999999</v>
      </c>
      <c r="AD27" s="4">
        <f>$O$27*$X$27</f>
        <v>0</v>
      </c>
      <c r="AE27" s="4">
        <f>$K$27*$Y$27</f>
        <v>0</v>
      </c>
      <c r="AF27" s="4">
        <f ca="1">$M$27*$Z$27</f>
        <v>14894.744040806525</v>
      </c>
      <c r="AG27" s="4">
        <f>$O$27*$AA$27</f>
        <v>0</v>
      </c>
    </row>
    <row r="28" spans="1:33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60</v>
      </c>
      <c r="G28" s="3" t="s">
        <v>25</v>
      </c>
      <c r="H28" s="3" t="s">
        <v>25</v>
      </c>
      <c r="I28" s="6">
        <v>44348</v>
      </c>
      <c r="J28" s="4">
        <v>0</v>
      </c>
      <c r="K28" s="4">
        <v>0</v>
      </c>
      <c r="L28" s="4">
        <v>327.90800000000002</v>
      </c>
      <c r="M28" s="4">
        <v>327.90800000000002</v>
      </c>
      <c r="N28" s="4">
        <v>0</v>
      </c>
      <c r="O28" s="4">
        <v>0</v>
      </c>
      <c r="P28" s="4">
        <v>1</v>
      </c>
      <c r="Q28" s="3" t="s">
        <v>57</v>
      </c>
      <c r="R28" s="3">
        <v>0</v>
      </c>
      <c r="S28" s="4">
        <v>0</v>
      </c>
      <c r="T28" s="4">
        <v>6</v>
      </c>
      <c r="U28" s="4">
        <v>0</v>
      </c>
      <c r="V28" s="4">
        <f>IF(ISERROR(VLOOKUP($S$28,'TAR FIN'!$A$1:$O$113,15,0)),0,VLOOKUP($S$28,'TAR FIN'!$A$1:$O$113,15,0))</f>
        <v>0</v>
      </c>
      <c r="W28" s="4">
        <f>IF(ISERROR(VLOOKUP($T$28,'TAR FIN'!$A$1:$O$113,15,0)),0,VLOOKUP($T$28,'TAR FIN'!$A$1:$O$113,15,0))</f>
        <v>35.86</v>
      </c>
      <c r="X28" s="4">
        <f>IF(ISERROR(VLOOKUP($U$28,'TAR FIN'!$A$1:$O$113,15,0)),0,VLOOKUP($U$28,'TAR FIN'!$A$1:$O$113,15,0))</f>
        <v>0</v>
      </c>
      <c r="Y28" s="4"/>
      <c r="Z28" s="4">
        <f ca="1">('TUSD BE'!$AM$7+'TUSD BF'!$AM$7+'TUSD CVA'!$AM$7)*1</f>
        <v>45.946048451030222</v>
      </c>
      <c r="AA28" s="4"/>
      <c r="AB28" s="4">
        <f>$K$28*$V$28</f>
        <v>0</v>
      </c>
      <c r="AC28" s="4">
        <f>$M$28*$W$28</f>
        <v>11758.78088</v>
      </c>
      <c r="AD28" s="4">
        <f>$O$28*$X$28</f>
        <v>0</v>
      </c>
      <c r="AE28" s="4">
        <f>$K$28*$Y$28</f>
        <v>0</v>
      </c>
      <c r="AF28" s="4">
        <f ca="1">$M$28*$Z$28</f>
        <v>15066.076855480418</v>
      </c>
      <c r="AG28" s="4">
        <f>$O$28*$AA$28</f>
        <v>0</v>
      </c>
    </row>
    <row r="29" spans="1:33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60</v>
      </c>
      <c r="G29" s="3" t="s">
        <v>25</v>
      </c>
      <c r="H29" s="3" t="s">
        <v>25</v>
      </c>
      <c r="I29" s="6">
        <v>44378</v>
      </c>
      <c r="J29" s="4">
        <v>0</v>
      </c>
      <c r="K29" s="4">
        <v>0</v>
      </c>
      <c r="L29" s="4">
        <v>364.52300000000002</v>
      </c>
      <c r="M29" s="4">
        <v>364.52300000000002</v>
      </c>
      <c r="N29" s="4">
        <v>0</v>
      </c>
      <c r="O29" s="4">
        <v>0</v>
      </c>
      <c r="P29" s="4">
        <v>1</v>
      </c>
      <c r="Q29" s="3" t="s">
        <v>57</v>
      </c>
      <c r="R29" s="3">
        <v>0</v>
      </c>
      <c r="S29" s="4">
        <v>0</v>
      </c>
      <c r="T29" s="4">
        <v>6</v>
      </c>
      <c r="U29" s="4">
        <v>0</v>
      </c>
      <c r="V29" s="4">
        <f>IF(ISERROR(VLOOKUP($S$29,'TAR FIN'!$A$1:$O$113,15,0)),0,VLOOKUP($S$29,'TAR FIN'!$A$1:$O$113,15,0))</f>
        <v>0</v>
      </c>
      <c r="W29" s="4">
        <f>IF(ISERROR(VLOOKUP($T$29,'TAR FIN'!$A$1:$O$113,15,0)),0,VLOOKUP($T$29,'TAR FIN'!$A$1:$O$113,15,0))</f>
        <v>35.86</v>
      </c>
      <c r="X29" s="4">
        <f>IF(ISERROR(VLOOKUP($U$29,'TAR FIN'!$A$1:$O$113,15,0)),0,VLOOKUP($U$29,'TAR FIN'!$A$1:$O$113,15,0))</f>
        <v>0</v>
      </c>
      <c r="Y29" s="4"/>
      <c r="Z29" s="4">
        <f ca="1">('TUSD BE'!$AM$7+'TUSD BF'!$AM$7+'TUSD CVA'!$AM$7)*1</f>
        <v>45.946048451030222</v>
      </c>
      <c r="AA29" s="4"/>
      <c r="AB29" s="4">
        <f>$K$29*$V$29</f>
        <v>0</v>
      </c>
      <c r="AC29" s="4">
        <f>$M$29*$W$29</f>
        <v>13071.79478</v>
      </c>
      <c r="AD29" s="4">
        <f>$O$29*$X$29</f>
        <v>0</v>
      </c>
      <c r="AE29" s="4">
        <f>$K$29*$Y$29</f>
        <v>0</v>
      </c>
      <c r="AF29" s="4">
        <f ca="1">$M$29*$Z$29</f>
        <v>16748.39141951489</v>
      </c>
      <c r="AG29" s="4">
        <f>$O$29*$AA$29</f>
        <v>0</v>
      </c>
    </row>
    <row r="30" spans="1:33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60</v>
      </c>
      <c r="G30" s="3" t="s">
        <v>25</v>
      </c>
      <c r="H30" s="3" t="s">
        <v>25</v>
      </c>
      <c r="I30" s="6">
        <v>44409</v>
      </c>
      <c r="J30" s="4">
        <v>0</v>
      </c>
      <c r="K30" s="4">
        <v>0</v>
      </c>
      <c r="L30" s="4">
        <v>414.50400000000002</v>
      </c>
      <c r="M30" s="4">
        <v>414.50400000000002</v>
      </c>
      <c r="N30" s="4">
        <v>0</v>
      </c>
      <c r="O30" s="4">
        <v>0</v>
      </c>
      <c r="P30" s="4">
        <v>1</v>
      </c>
      <c r="Q30" s="3" t="s">
        <v>57</v>
      </c>
      <c r="R30" s="3">
        <v>0</v>
      </c>
      <c r="S30" s="4">
        <v>0</v>
      </c>
      <c r="T30" s="4">
        <v>6</v>
      </c>
      <c r="U30" s="4">
        <v>0</v>
      </c>
      <c r="V30" s="4">
        <f>IF(ISERROR(VLOOKUP($S$30,'TAR FIN'!$A$1:$O$113,15,0)),0,VLOOKUP($S$30,'TAR FIN'!$A$1:$O$113,15,0))</f>
        <v>0</v>
      </c>
      <c r="W30" s="4">
        <f>IF(ISERROR(VLOOKUP($T$30,'TAR FIN'!$A$1:$O$113,15,0)),0,VLOOKUP($T$30,'TAR FIN'!$A$1:$O$113,15,0))</f>
        <v>35.86</v>
      </c>
      <c r="X30" s="4">
        <f>IF(ISERROR(VLOOKUP($U$30,'TAR FIN'!$A$1:$O$113,15,0)),0,VLOOKUP($U$30,'TAR FIN'!$A$1:$O$113,15,0))</f>
        <v>0</v>
      </c>
      <c r="Y30" s="4"/>
      <c r="Z30" s="4">
        <f ca="1">('TUSD BE'!$AM$7+'TUSD BF'!$AM$7+'TUSD CVA'!$AM$7)*1</f>
        <v>45.946048451030222</v>
      </c>
      <c r="AA30" s="4"/>
      <c r="AB30" s="4">
        <f>$K$30*$V$30</f>
        <v>0</v>
      </c>
      <c r="AC30" s="4">
        <f>$M$30*$W$30</f>
        <v>14864.113440000001</v>
      </c>
      <c r="AD30" s="4">
        <f>$O$30*$X$30</f>
        <v>0</v>
      </c>
      <c r="AE30" s="4">
        <f>$K$30*$Y$30</f>
        <v>0</v>
      </c>
      <c r="AF30" s="4">
        <f ca="1">$M$30*$Z$30</f>
        <v>19044.820867145831</v>
      </c>
      <c r="AG30" s="4">
        <f>$O$30*$AA$30</f>
        <v>0</v>
      </c>
    </row>
    <row r="31" spans="1:33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60</v>
      </c>
      <c r="G31" s="3" t="s">
        <v>25</v>
      </c>
      <c r="H31" s="3" t="s">
        <v>25</v>
      </c>
      <c r="I31" s="6">
        <v>44440</v>
      </c>
      <c r="J31" s="4">
        <v>0</v>
      </c>
      <c r="K31" s="4">
        <v>0</v>
      </c>
      <c r="L31" s="4">
        <v>6877.1030000000001</v>
      </c>
      <c r="M31" s="4">
        <v>6877.1030000000001</v>
      </c>
      <c r="N31" s="4">
        <v>0</v>
      </c>
      <c r="O31" s="4">
        <v>0</v>
      </c>
      <c r="P31" s="4">
        <v>2</v>
      </c>
      <c r="Q31" s="3" t="s">
        <v>57</v>
      </c>
      <c r="R31" s="3">
        <v>0</v>
      </c>
      <c r="S31" s="4">
        <v>0</v>
      </c>
      <c r="T31" s="4">
        <v>6</v>
      </c>
      <c r="U31" s="4">
        <v>0</v>
      </c>
      <c r="V31" s="4">
        <f>IF(ISERROR(VLOOKUP($S$31,'TAR FIN'!$A$1:$O$113,15,0)),0,VLOOKUP($S$31,'TAR FIN'!$A$1:$O$113,15,0))</f>
        <v>0</v>
      </c>
      <c r="W31" s="4">
        <f>IF(ISERROR(VLOOKUP($T$31,'TAR FIN'!$A$1:$O$113,15,0)),0,VLOOKUP($T$31,'TAR FIN'!$A$1:$O$113,15,0))</f>
        <v>35.86</v>
      </c>
      <c r="X31" s="4">
        <f>IF(ISERROR(VLOOKUP($U$31,'TAR FIN'!$A$1:$O$113,15,0)),0,VLOOKUP($U$31,'TAR FIN'!$A$1:$O$113,15,0))</f>
        <v>0</v>
      </c>
      <c r="Y31" s="4"/>
      <c r="Z31" s="4">
        <f ca="1">('TUSD BE'!$AM$7+'TUSD BF'!$AM$7+'TUSD CVA'!$AM$7)*1</f>
        <v>45.946048451030222</v>
      </c>
      <c r="AA31" s="4"/>
      <c r="AB31" s="4">
        <f>$K$31*$V$31</f>
        <v>0</v>
      </c>
      <c r="AC31" s="4">
        <f>$M$31*$W$31</f>
        <v>246612.91357999999</v>
      </c>
      <c r="AD31" s="4">
        <f>$O$31*$X$31</f>
        <v>0</v>
      </c>
      <c r="AE31" s="4">
        <f>$K$31*$Y$31</f>
        <v>0</v>
      </c>
      <c r="AF31" s="4">
        <f ca="1">$M$31*$Z$31</f>
        <v>315975.7076407253</v>
      </c>
      <c r="AG31" s="4">
        <f>$O$31*$AA$31</f>
        <v>0</v>
      </c>
    </row>
    <row r="32" spans="1:33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60</v>
      </c>
      <c r="G32" s="3" t="s">
        <v>25</v>
      </c>
      <c r="H32" s="3" t="s">
        <v>25</v>
      </c>
      <c r="I32" s="6">
        <v>44470</v>
      </c>
      <c r="J32" s="4">
        <v>0</v>
      </c>
      <c r="K32" s="4">
        <v>0</v>
      </c>
      <c r="L32" s="4">
        <v>6822.4920000000002</v>
      </c>
      <c r="M32" s="4">
        <v>6822.4920000000002</v>
      </c>
      <c r="N32" s="4">
        <v>0</v>
      </c>
      <c r="O32" s="4">
        <v>0</v>
      </c>
      <c r="P32" s="4">
        <v>2</v>
      </c>
      <c r="Q32" s="3" t="s">
        <v>57</v>
      </c>
      <c r="R32" s="3">
        <v>0</v>
      </c>
      <c r="S32" s="4">
        <v>0</v>
      </c>
      <c r="T32" s="4">
        <v>6</v>
      </c>
      <c r="U32" s="4">
        <v>0</v>
      </c>
      <c r="V32" s="4">
        <f>IF(ISERROR(VLOOKUP($S$32,'TAR FIN'!$A$1:$O$113,15,0)),0,VLOOKUP($S$32,'TAR FIN'!$A$1:$O$113,15,0))</f>
        <v>0</v>
      </c>
      <c r="W32" s="4">
        <f>IF(ISERROR(VLOOKUP($T$32,'TAR FIN'!$A$1:$O$113,15,0)),0,VLOOKUP($T$32,'TAR FIN'!$A$1:$O$113,15,0))</f>
        <v>35.86</v>
      </c>
      <c r="X32" s="4">
        <f>IF(ISERROR(VLOOKUP($U$32,'TAR FIN'!$A$1:$O$113,15,0)),0,VLOOKUP($U$32,'TAR FIN'!$A$1:$O$113,15,0))</f>
        <v>0</v>
      </c>
      <c r="Y32" s="4"/>
      <c r="Z32" s="4">
        <f ca="1">('TUSD BE'!$AM$7+'TUSD BF'!$AM$7+'TUSD CVA'!$AM$7)*1</f>
        <v>45.946048451030222</v>
      </c>
      <c r="AA32" s="4"/>
      <c r="AB32" s="4">
        <f>$K$32*$V$32</f>
        <v>0</v>
      </c>
      <c r="AC32" s="4">
        <f>$M$32*$W$32</f>
        <v>244654.56312000001</v>
      </c>
      <c r="AD32" s="4">
        <f>$O$32*$X$32</f>
        <v>0</v>
      </c>
      <c r="AE32" s="4">
        <f>$K$32*$Y$32</f>
        <v>0</v>
      </c>
      <c r="AF32" s="4">
        <f ca="1">$M$32*$Z$32</f>
        <v>313466.54798876611</v>
      </c>
      <c r="AG32" s="4">
        <f>$O$32*$AA$32</f>
        <v>0</v>
      </c>
    </row>
    <row r="33" spans="1:33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60</v>
      </c>
      <c r="G33" s="3" t="s">
        <v>25</v>
      </c>
      <c r="H33" s="3" t="s">
        <v>25</v>
      </c>
      <c r="I33" s="6">
        <v>44501</v>
      </c>
      <c r="J33" s="4">
        <v>0</v>
      </c>
      <c r="K33" s="4">
        <v>0</v>
      </c>
      <c r="L33" s="4">
        <v>10120.803</v>
      </c>
      <c r="M33" s="4">
        <v>10120.803</v>
      </c>
      <c r="N33" s="4">
        <v>0</v>
      </c>
      <c r="O33" s="4">
        <v>0</v>
      </c>
      <c r="P33" s="4">
        <v>3</v>
      </c>
      <c r="Q33" s="3" t="s">
        <v>57</v>
      </c>
      <c r="R33" s="3">
        <v>0</v>
      </c>
      <c r="S33" s="4">
        <v>0</v>
      </c>
      <c r="T33" s="4">
        <v>6</v>
      </c>
      <c r="U33" s="4">
        <v>0</v>
      </c>
      <c r="V33" s="4">
        <f>IF(ISERROR(VLOOKUP($S$33,'TAR FIN'!$A$1:$O$113,15,0)),0,VLOOKUP($S$33,'TAR FIN'!$A$1:$O$113,15,0))</f>
        <v>0</v>
      </c>
      <c r="W33" s="4">
        <f>IF(ISERROR(VLOOKUP($T$33,'TAR FIN'!$A$1:$O$113,15,0)),0,VLOOKUP($T$33,'TAR FIN'!$A$1:$O$113,15,0))</f>
        <v>35.86</v>
      </c>
      <c r="X33" s="4">
        <f>IF(ISERROR(VLOOKUP($U$33,'TAR FIN'!$A$1:$O$113,15,0)),0,VLOOKUP($U$33,'TAR FIN'!$A$1:$O$113,15,0))</f>
        <v>0</v>
      </c>
      <c r="Y33" s="4"/>
      <c r="Z33" s="4">
        <f ca="1">('TUSD BE'!$AM$7+'TUSD BF'!$AM$7+'TUSD CVA'!$AM$7)*1</f>
        <v>45.946048451030222</v>
      </c>
      <c r="AA33" s="4"/>
      <c r="AB33" s="4">
        <f>$K$33*$V$33</f>
        <v>0</v>
      </c>
      <c r="AC33" s="4">
        <f>$M$33*$W$33</f>
        <v>362931.99557999999</v>
      </c>
      <c r="AD33" s="4">
        <f>$O$33*$X$33</f>
        <v>0</v>
      </c>
      <c r="AE33" s="4">
        <f>$K$33*$Y$33</f>
        <v>0</v>
      </c>
      <c r="AF33" s="4">
        <f ca="1">$M$33*$Z$33</f>
        <v>465010.90500133199</v>
      </c>
      <c r="AG33" s="4">
        <f>$O$33*$AA$33</f>
        <v>0</v>
      </c>
    </row>
    <row r="34" spans="1:33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60</v>
      </c>
      <c r="G34" s="3" t="s">
        <v>25</v>
      </c>
      <c r="H34" s="3" t="s">
        <v>25</v>
      </c>
      <c r="I34" s="6">
        <v>44531</v>
      </c>
      <c r="J34" s="4">
        <v>0</v>
      </c>
      <c r="K34" s="4">
        <v>0</v>
      </c>
      <c r="L34" s="4">
        <v>10300.243</v>
      </c>
      <c r="M34" s="4">
        <v>10300.243</v>
      </c>
      <c r="N34" s="4">
        <v>0</v>
      </c>
      <c r="O34" s="4">
        <v>0</v>
      </c>
      <c r="P34" s="4">
        <v>3</v>
      </c>
      <c r="Q34" s="3" t="s">
        <v>57</v>
      </c>
      <c r="R34" s="3">
        <v>0</v>
      </c>
      <c r="S34" s="4">
        <v>0</v>
      </c>
      <c r="T34" s="4">
        <v>6</v>
      </c>
      <c r="U34" s="4">
        <v>0</v>
      </c>
      <c r="V34" s="4">
        <f>IF(ISERROR(VLOOKUP($S$34,'TAR FIN'!$A$1:$O$113,15,0)),0,VLOOKUP($S$34,'TAR FIN'!$A$1:$O$113,15,0))</f>
        <v>0</v>
      </c>
      <c r="W34" s="4">
        <f>IF(ISERROR(VLOOKUP($T$34,'TAR FIN'!$A$1:$O$113,15,0)),0,VLOOKUP($T$34,'TAR FIN'!$A$1:$O$113,15,0))</f>
        <v>35.86</v>
      </c>
      <c r="X34" s="4">
        <f>IF(ISERROR(VLOOKUP($U$34,'TAR FIN'!$A$1:$O$113,15,0)),0,VLOOKUP($U$34,'TAR FIN'!$A$1:$O$113,15,0))</f>
        <v>0</v>
      </c>
      <c r="Y34" s="4"/>
      <c r="Z34" s="4">
        <f ca="1">('TUSD BE'!$AM$7+'TUSD BF'!$AM$7+'TUSD CVA'!$AM$7)*1</f>
        <v>45.946048451030222</v>
      </c>
      <c r="AA34" s="4"/>
      <c r="AB34" s="4">
        <f>$K$34*$V$34</f>
        <v>0</v>
      </c>
      <c r="AC34" s="4">
        <f>$M$34*$W$34</f>
        <v>369366.71398</v>
      </c>
      <c r="AD34" s="4">
        <f>$O$34*$X$34</f>
        <v>0</v>
      </c>
      <c r="AE34" s="4">
        <f>$K$34*$Y$34</f>
        <v>0</v>
      </c>
      <c r="AF34" s="4">
        <f ca="1">$M$34*$Z$34</f>
        <v>473255.46393538493</v>
      </c>
      <c r="AG34" s="4">
        <f>$O$34*$AA$34</f>
        <v>0</v>
      </c>
    </row>
    <row r="35" spans="1:33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60</v>
      </c>
      <c r="G35" s="3" t="s">
        <v>25</v>
      </c>
      <c r="H35" s="3" t="s">
        <v>25</v>
      </c>
      <c r="I35" s="6">
        <v>44562</v>
      </c>
      <c r="J35" s="4">
        <v>0</v>
      </c>
      <c r="K35" s="4">
        <v>0</v>
      </c>
      <c r="L35" s="4">
        <v>7118.0290000000005</v>
      </c>
      <c r="M35" s="4">
        <v>7118.0290000000005</v>
      </c>
      <c r="N35" s="4">
        <v>0</v>
      </c>
      <c r="O35" s="4">
        <v>0</v>
      </c>
      <c r="P35" s="4">
        <v>2</v>
      </c>
      <c r="Q35" s="3" t="s">
        <v>57</v>
      </c>
      <c r="R35" s="3">
        <v>0</v>
      </c>
      <c r="S35" s="4">
        <v>0</v>
      </c>
      <c r="T35" s="4">
        <v>6</v>
      </c>
      <c r="U35" s="4">
        <v>0</v>
      </c>
      <c r="V35" s="4">
        <f>IF(ISERROR(VLOOKUP($S$35,'TAR FIN'!$A$1:$O$113,15,0)),0,VLOOKUP($S$35,'TAR FIN'!$A$1:$O$113,15,0))</f>
        <v>0</v>
      </c>
      <c r="W35" s="4">
        <f>IF(ISERROR(VLOOKUP($T$35,'TAR FIN'!$A$1:$O$113,15,0)),0,VLOOKUP($T$35,'TAR FIN'!$A$1:$O$113,15,0))</f>
        <v>35.86</v>
      </c>
      <c r="X35" s="4">
        <f>IF(ISERROR(VLOOKUP($U$35,'TAR FIN'!$A$1:$O$113,15,0)),0,VLOOKUP($U$35,'TAR FIN'!$A$1:$O$113,15,0))</f>
        <v>0</v>
      </c>
      <c r="Y35" s="4"/>
      <c r="Z35" s="4">
        <f ca="1">('TUSD BE'!$AM$7+'TUSD BF'!$AM$7+'TUSD CVA'!$AM$7)*1</f>
        <v>45.946048451030222</v>
      </c>
      <c r="AA35" s="4"/>
      <c r="AB35" s="4">
        <f>$K$35*$V$35</f>
        <v>0</v>
      </c>
      <c r="AC35" s="4">
        <f>$M$35*$W$35</f>
        <v>255252.51994</v>
      </c>
      <c r="AD35" s="4">
        <f>$O$35*$X$35</f>
        <v>0</v>
      </c>
      <c r="AE35" s="4">
        <f>$K$35*$Y$35</f>
        <v>0</v>
      </c>
      <c r="AF35" s="4">
        <f ca="1">$M$35*$Z$35</f>
        <v>327045.30530983821</v>
      </c>
      <c r="AG35" s="4">
        <f>$O$35*$AA$35</f>
        <v>0</v>
      </c>
    </row>
    <row r="36" spans="1:33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60</v>
      </c>
      <c r="G36" s="3" t="s">
        <v>25</v>
      </c>
      <c r="H36" s="3" t="s">
        <v>25</v>
      </c>
      <c r="I36" s="6">
        <v>44593</v>
      </c>
      <c r="J36" s="4">
        <v>0</v>
      </c>
      <c r="K36" s="4">
        <v>0</v>
      </c>
      <c r="L36" s="4">
        <v>10378.311</v>
      </c>
      <c r="M36" s="4">
        <v>10378.311</v>
      </c>
      <c r="N36" s="4">
        <v>0</v>
      </c>
      <c r="O36" s="4">
        <v>0</v>
      </c>
      <c r="P36" s="4">
        <v>3</v>
      </c>
      <c r="Q36" s="3" t="s">
        <v>57</v>
      </c>
      <c r="R36" s="3">
        <v>0</v>
      </c>
      <c r="S36" s="4">
        <v>0</v>
      </c>
      <c r="T36" s="4">
        <v>6</v>
      </c>
      <c r="U36" s="4">
        <v>0</v>
      </c>
      <c r="V36" s="4">
        <f>IF(ISERROR(VLOOKUP($S$36,'TAR FIN'!$A$1:$O$113,15,0)),0,VLOOKUP($S$36,'TAR FIN'!$A$1:$O$113,15,0))</f>
        <v>0</v>
      </c>
      <c r="W36" s="4">
        <f>IF(ISERROR(VLOOKUP($T$36,'TAR FIN'!$A$1:$O$113,15,0)),0,VLOOKUP($T$36,'TAR FIN'!$A$1:$O$113,15,0))</f>
        <v>35.86</v>
      </c>
      <c r="X36" s="4">
        <f>IF(ISERROR(VLOOKUP($U$36,'TAR FIN'!$A$1:$O$113,15,0)),0,VLOOKUP($U$36,'TAR FIN'!$A$1:$O$113,15,0))</f>
        <v>0</v>
      </c>
      <c r="Y36" s="4"/>
      <c r="Z36" s="4">
        <f ca="1">('TUSD BE'!$AM$7+'TUSD BF'!$AM$7+'TUSD CVA'!$AM$7)*1</f>
        <v>45.946048451030222</v>
      </c>
      <c r="AA36" s="4"/>
      <c r="AB36" s="4">
        <f>$K$36*$V$36</f>
        <v>0</v>
      </c>
      <c r="AC36" s="4">
        <f>$M$36*$W$36</f>
        <v>372166.23245999997</v>
      </c>
      <c r="AD36" s="4">
        <f>$O$36*$X$36</f>
        <v>0</v>
      </c>
      <c r="AE36" s="4">
        <f>$K$36*$Y$36</f>
        <v>0</v>
      </c>
      <c r="AF36" s="4">
        <f ca="1">$M$36*$Z$36</f>
        <v>476842.3800458599</v>
      </c>
      <c r="AG36" s="4">
        <f>$O$36*$AA$36</f>
        <v>0</v>
      </c>
    </row>
    <row r="37" spans="1:33" ht="11.25" customHeight="1" x14ac:dyDescent="0.25">
      <c r="A37" s="3" t="s">
        <v>27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60</v>
      </c>
      <c r="G37" s="3" t="s">
        <v>25</v>
      </c>
      <c r="H37" s="3" t="s">
        <v>25</v>
      </c>
      <c r="I37" s="6">
        <v>44593</v>
      </c>
      <c r="J37" s="4">
        <v>0</v>
      </c>
      <c r="K37" s="4">
        <v>0</v>
      </c>
      <c r="L37" s="4">
        <v>-2009.1769999999999</v>
      </c>
      <c r="M37" s="4">
        <v>-2009.1769999999999</v>
      </c>
      <c r="N37" s="4">
        <v>0</v>
      </c>
      <c r="O37" s="4">
        <v>0</v>
      </c>
      <c r="P37" s="4">
        <v>0</v>
      </c>
      <c r="Q37" s="3" t="s">
        <v>57</v>
      </c>
      <c r="R37" s="3">
        <v>0</v>
      </c>
      <c r="S37" s="4">
        <v>0</v>
      </c>
      <c r="T37" s="4">
        <v>6</v>
      </c>
      <c r="U37" s="4">
        <v>0</v>
      </c>
      <c r="V37" s="4">
        <f>IF(ISERROR(VLOOKUP($S$37,'TAR FIN'!$A$1:$O$113,15,0)),0,VLOOKUP($S$37,'TAR FIN'!$A$1:$O$113,15,0))</f>
        <v>0</v>
      </c>
      <c r="W37" s="4">
        <f>IF(ISERROR(VLOOKUP($T$37,'TAR FIN'!$A$1:$O$113,15,0)),0,VLOOKUP($T$37,'TAR FIN'!$A$1:$O$113,15,0))</f>
        <v>35.86</v>
      </c>
      <c r="X37" s="4">
        <f>IF(ISERROR(VLOOKUP($U$37,'TAR FIN'!$A$1:$O$113,15,0)),0,VLOOKUP($U$37,'TAR FIN'!$A$1:$O$113,15,0))</f>
        <v>0</v>
      </c>
      <c r="Y37" s="4"/>
      <c r="Z37" s="4">
        <f ca="1">('TUSD BE'!$AM$7+'TUSD BF'!$AM$7+'TUSD CVA'!$AM$7)*1</f>
        <v>45.946048451030222</v>
      </c>
      <c r="AA37" s="4"/>
      <c r="AB37" s="4">
        <f>$K$37*$V$37</f>
        <v>0</v>
      </c>
      <c r="AC37" s="4">
        <f>$M$37*$W$37</f>
        <v>-72049.087220000001</v>
      </c>
      <c r="AD37" s="4">
        <f>$O$37*$X$37</f>
        <v>0</v>
      </c>
      <c r="AE37" s="4">
        <f>$K$37*$Y$37</f>
        <v>0</v>
      </c>
      <c r="AF37" s="4">
        <f ca="1">$M$37*$Z$37</f>
        <v>-92313.743788695545</v>
      </c>
      <c r="AG37" s="4">
        <f>$O$37*$AA$37</f>
        <v>0</v>
      </c>
    </row>
    <row r="38" spans="1:33" ht="11.25" customHeight="1" x14ac:dyDescent="0.25">
      <c r="A38" s="3" t="s">
        <v>56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60</v>
      </c>
      <c r="G38" s="3" t="s">
        <v>25</v>
      </c>
      <c r="H38" s="3" t="s">
        <v>25</v>
      </c>
      <c r="I38" s="6">
        <v>44621</v>
      </c>
      <c r="J38" s="4">
        <v>0</v>
      </c>
      <c r="K38" s="4">
        <v>0</v>
      </c>
      <c r="L38" s="4">
        <v>10378.311</v>
      </c>
      <c r="M38" s="4">
        <v>10378.311</v>
      </c>
      <c r="N38" s="4">
        <v>0</v>
      </c>
      <c r="O38" s="4">
        <v>0</v>
      </c>
      <c r="P38" s="4">
        <v>3</v>
      </c>
      <c r="Q38" s="3" t="s">
        <v>57</v>
      </c>
      <c r="R38" s="3">
        <v>0</v>
      </c>
      <c r="S38" s="4">
        <v>0</v>
      </c>
      <c r="T38" s="4">
        <v>6</v>
      </c>
      <c r="U38" s="4">
        <v>0</v>
      </c>
      <c r="V38" s="4">
        <f>IF(ISERROR(VLOOKUP($S$38,'TAR FIN'!$A$1:$O$113,15,0)),0,VLOOKUP($S$38,'TAR FIN'!$A$1:$O$113,15,0))</f>
        <v>0</v>
      </c>
      <c r="W38" s="4">
        <f>IF(ISERROR(VLOOKUP($T$38,'TAR FIN'!$A$1:$O$113,15,0)),0,VLOOKUP($T$38,'TAR FIN'!$A$1:$O$113,15,0))</f>
        <v>35.86</v>
      </c>
      <c r="X38" s="4">
        <f>IF(ISERROR(VLOOKUP($U$38,'TAR FIN'!$A$1:$O$113,15,0)),0,VLOOKUP($U$38,'TAR FIN'!$A$1:$O$113,15,0))</f>
        <v>0</v>
      </c>
      <c r="Y38" s="4"/>
      <c r="Z38" s="4">
        <f ca="1">('TUSD BE'!$AM$7+'TUSD BF'!$AM$7+'TUSD CVA'!$AM$7)*1</f>
        <v>45.946048451030222</v>
      </c>
      <c r="AA38" s="4"/>
      <c r="AB38" s="4">
        <f>$K$38*$V$38</f>
        <v>0</v>
      </c>
      <c r="AC38" s="4">
        <f>$M$38*$W$38</f>
        <v>372166.23245999997</v>
      </c>
      <c r="AD38" s="4">
        <f>$O$38*$X$38</f>
        <v>0</v>
      </c>
      <c r="AE38" s="4">
        <f>$K$38*$Y$38</f>
        <v>0</v>
      </c>
      <c r="AF38" s="4">
        <f ca="1">$M$38*$Z$38</f>
        <v>476842.3800458599</v>
      </c>
      <c r="AG38" s="4">
        <f>$O$38*$AA$38</f>
        <v>0</v>
      </c>
    </row>
    <row r="39" spans="1:33" ht="11.25" customHeight="1" x14ac:dyDescent="0.25">
      <c r="A39" s="3" t="s">
        <v>56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60</v>
      </c>
      <c r="G39" s="3" t="s">
        <v>25</v>
      </c>
      <c r="H39" s="3" t="s">
        <v>25</v>
      </c>
      <c r="I39" s="6">
        <v>44621</v>
      </c>
      <c r="J39" s="4">
        <v>0</v>
      </c>
      <c r="K39" s="4">
        <v>0</v>
      </c>
      <c r="L39" s="4">
        <v>-2009.1769999999999</v>
      </c>
      <c r="M39" s="4">
        <v>-2009.1769999999999</v>
      </c>
      <c r="N39" s="4">
        <v>0</v>
      </c>
      <c r="O39" s="4">
        <v>0</v>
      </c>
      <c r="P39" s="4">
        <v>0</v>
      </c>
      <c r="Q39" s="3" t="s">
        <v>57</v>
      </c>
      <c r="R39" s="3">
        <v>0</v>
      </c>
      <c r="S39" s="4">
        <v>0</v>
      </c>
      <c r="T39" s="4">
        <v>6</v>
      </c>
      <c r="U39" s="4">
        <v>0</v>
      </c>
      <c r="V39" s="4">
        <f>IF(ISERROR(VLOOKUP($S$39,'TAR FIN'!$A$1:$O$113,15,0)),0,VLOOKUP($S$39,'TAR FIN'!$A$1:$O$113,15,0))</f>
        <v>0</v>
      </c>
      <c r="W39" s="4">
        <f>IF(ISERROR(VLOOKUP($T$39,'TAR FIN'!$A$1:$O$113,15,0)),0,VLOOKUP($T$39,'TAR FIN'!$A$1:$O$113,15,0))</f>
        <v>35.86</v>
      </c>
      <c r="X39" s="4">
        <f>IF(ISERROR(VLOOKUP($U$39,'TAR FIN'!$A$1:$O$113,15,0)),0,VLOOKUP($U$39,'TAR FIN'!$A$1:$O$113,15,0))</f>
        <v>0</v>
      </c>
      <c r="Y39" s="4"/>
      <c r="Z39" s="4">
        <f ca="1">('TUSD BE'!$AM$7+'TUSD BF'!$AM$7+'TUSD CVA'!$AM$7)*1</f>
        <v>45.946048451030222</v>
      </c>
      <c r="AA39" s="4"/>
      <c r="AB39" s="4">
        <f>$K$39*$V$39</f>
        <v>0</v>
      </c>
      <c r="AC39" s="4">
        <f>$M$39*$W$39</f>
        <v>-72049.087220000001</v>
      </c>
      <c r="AD39" s="4">
        <f>$O$39*$X$39</f>
        <v>0</v>
      </c>
      <c r="AE39" s="4">
        <f>$K$39*$Y$39</f>
        <v>0</v>
      </c>
      <c r="AF39" s="4">
        <f ca="1">$M$39*$Z$39</f>
        <v>-92313.743788695545</v>
      </c>
      <c r="AG39" s="4">
        <f>$O$39*$AA$39</f>
        <v>0</v>
      </c>
    </row>
    <row r="40" spans="1:33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60</v>
      </c>
      <c r="G40" s="3" t="s">
        <v>25</v>
      </c>
      <c r="H40" s="3" t="s">
        <v>34</v>
      </c>
      <c r="I40" s="6">
        <v>44287</v>
      </c>
      <c r="J40" s="4">
        <v>1210</v>
      </c>
      <c r="K40" s="4">
        <v>607.32558370000004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57</v>
      </c>
      <c r="R40" s="3">
        <v>0</v>
      </c>
      <c r="S40" s="4">
        <v>4</v>
      </c>
      <c r="T40" s="4">
        <v>0</v>
      </c>
      <c r="U40" s="4">
        <v>0</v>
      </c>
      <c r="V40" s="4">
        <f>IF(ISERROR(VLOOKUP($S$40,'TAR FIN'!$A$1:$O$113,15,0)),0,VLOOKUP($S$40,'TAR FIN'!$A$1:$O$113,15,0))</f>
        <v>28.34</v>
      </c>
      <c r="W40" s="4">
        <f>IF(ISERROR(VLOOKUP($T$40,'TAR FIN'!$A$1:$O$113,15,0)),0,VLOOKUP($T$40,'TAR FIN'!$A$1:$O$113,15,0))</f>
        <v>0</v>
      </c>
      <c r="X40" s="4">
        <f>IF(ISERROR(VLOOKUP($U$40,'TAR FIN'!$A$1:$O$113,15,0)),0,VLOOKUP($U$40,'TAR FIN'!$A$1:$O$113,15,0))</f>
        <v>0</v>
      </c>
      <c r="Y40" s="4">
        <f ca="1">('TUSD BE'!$AM$5+'TUSD BF'!$AM$5+'TUSD CVA'!$AM$5)*1</f>
        <v>31.331884047769289</v>
      </c>
      <c r="Z40" s="4">
        <f ca="1">('TUSD BE'!$AM$7+'TUSD BF'!$AM$7+'TUSD CVA'!$AM$7)*1</f>
        <v>45.946048451030222</v>
      </c>
      <c r="AA40" s="4"/>
      <c r="AB40" s="4">
        <f>$K$40*$V$40</f>
        <v>17211.607042058</v>
      </c>
      <c r="AC40" s="4">
        <f>$M$40*$W$40</f>
        <v>0</v>
      </c>
      <c r="AD40" s="4">
        <f>$O$40*$X$40</f>
        <v>0</v>
      </c>
      <c r="AE40" s="4">
        <f ca="1">$K$40*$Y$40</f>
        <v>19028.654767732205</v>
      </c>
      <c r="AF40" s="4">
        <f ca="1">$M$40*$Z$40</f>
        <v>0</v>
      </c>
      <c r="AG40" s="4">
        <f>$O$40*$AA$40</f>
        <v>0</v>
      </c>
    </row>
    <row r="41" spans="1:33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60</v>
      </c>
      <c r="G41" s="3" t="s">
        <v>25</v>
      </c>
      <c r="H41" s="3" t="s">
        <v>34</v>
      </c>
      <c r="I41" s="6">
        <v>44317</v>
      </c>
      <c r="J41" s="4">
        <v>1210</v>
      </c>
      <c r="K41" s="4">
        <v>608.3789855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57</v>
      </c>
      <c r="R41" s="3">
        <v>0</v>
      </c>
      <c r="S41" s="4">
        <v>4</v>
      </c>
      <c r="T41" s="4">
        <v>0</v>
      </c>
      <c r="U41" s="4">
        <v>0</v>
      </c>
      <c r="V41" s="4">
        <f>IF(ISERROR(VLOOKUP($S$41,'TAR FIN'!$A$1:$O$113,15,0)),0,VLOOKUP($S$41,'TAR FIN'!$A$1:$O$113,15,0))</f>
        <v>28.34</v>
      </c>
      <c r="W41" s="4">
        <f>IF(ISERROR(VLOOKUP($T$41,'TAR FIN'!$A$1:$O$113,15,0)),0,VLOOKUP($T$41,'TAR FIN'!$A$1:$O$113,15,0))</f>
        <v>0</v>
      </c>
      <c r="X41" s="4">
        <f>IF(ISERROR(VLOOKUP($U$41,'TAR FIN'!$A$1:$O$113,15,0)),0,VLOOKUP($U$41,'TAR FIN'!$A$1:$O$113,15,0))</f>
        <v>0</v>
      </c>
      <c r="Y41" s="4">
        <f ca="1">('TUSD BE'!$AM$5+'TUSD BF'!$AM$5+'TUSD CVA'!$AM$5)*1</f>
        <v>31.331884047769289</v>
      </c>
      <c r="Z41" s="4">
        <f ca="1">('TUSD BE'!$AM$7+'TUSD BF'!$AM$7+'TUSD CVA'!$AM$7)*1</f>
        <v>45.946048451030222</v>
      </c>
      <c r="AA41" s="4"/>
      <c r="AB41" s="4">
        <f>$K$41*$V$41</f>
        <v>17241.46044907</v>
      </c>
      <c r="AC41" s="4">
        <f>$M$41*$W$41</f>
        <v>0</v>
      </c>
      <c r="AD41" s="4">
        <f>$O$41*$X$41</f>
        <v>0</v>
      </c>
      <c r="AE41" s="4">
        <f ca="1">$K$41*$Y$41</f>
        <v>19061.659830785513</v>
      </c>
      <c r="AF41" s="4">
        <f ca="1">$M$41*$Z$41</f>
        <v>0</v>
      </c>
      <c r="AG41" s="4">
        <f>$O$41*$AA$41</f>
        <v>0</v>
      </c>
    </row>
    <row r="42" spans="1:33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60</v>
      </c>
      <c r="G42" s="3" t="s">
        <v>25</v>
      </c>
      <c r="H42" s="3" t="s">
        <v>34</v>
      </c>
      <c r="I42" s="6">
        <v>44348</v>
      </c>
      <c r="J42" s="4">
        <v>1210</v>
      </c>
      <c r="K42" s="4">
        <v>605.55787050000004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57</v>
      </c>
      <c r="R42" s="3">
        <v>0</v>
      </c>
      <c r="S42" s="4">
        <v>4</v>
      </c>
      <c r="T42" s="4">
        <v>0</v>
      </c>
      <c r="U42" s="4">
        <v>0</v>
      </c>
      <c r="V42" s="4">
        <f>IF(ISERROR(VLOOKUP($S$42,'TAR FIN'!$A$1:$O$113,15,0)),0,VLOOKUP($S$42,'TAR FIN'!$A$1:$O$113,15,0))</f>
        <v>28.34</v>
      </c>
      <c r="W42" s="4">
        <f>IF(ISERROR(VLOOKUP($T$42,'TAR FIN'!$A$1:$O$113,15,0)),0,VLOOKUP($T$42,'TAR FIN'!$A$1:$O$113,15,0))</f>
        <v>0</v>
      </c>
      <c r="X42" s="4">
        <f>IF(ISERROR(VLOOKUP($U$42,'TAR FIN'!$A$1:$O$113,15,0)),0,VLOOKUP($U$42,'TAR FIN'!$A$1:$O$113,15,0))</f>
        <v>0</v>
      </c>
      <c r="Y42" s="4">
        <f ca="1">('TUSD BE'!$AM$5+'TUSD BF'!$AM$5+'TUSD CVA'!$AM$5)*1</f>
        <v>31.331884047769289</v>
      </c>
      <c r="Z42" s="4">
        <f ca="1">('TUSD BE'!$AM$7+'TUSD BF'!$AM$7+'TUSD CVA'!$AM$7)*1</f>
        <v>45.946048451030222</v>
      </c>
      <c r="AA42" s="4"/>
      <c r="AB42" s="4">
        <f>$K$42*$V$42</f>
        <v>17161.510049970002</v>
      </c>
      <c r="AC42" s="4">
        <f>$M$42*$W$42</f>
        <v>0</v>
      </c>
      <c r="AD42" s="4">
        <f>$O$42*$X$42</f>
        <v>0</v>
      </c>
      <c r="AE42" s="4">
        <f ca="1">$K$42*$Y$42</f>
        <v>18973.268982720092</v>
      </c>
      <c r="AF42" s="4">
        <f ca="1">$M$42*$Z$42</f>
        <v>0</v>
      </c>
      <c r="AG42" s="4">
        <f>$O$42*$AA$42</f>
        <v>0</v>
      </c>
    </row>
    <row r="43" spans="1:33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60</v>
      </c>
      <c r="G43" s="3" t="s">
        <v>25</v>
      </c>
      <c r="H43" s="3" t="s">
        <v>34</v>
      </c>
      <c r="I43" s="6">
        <v>44378</v>
      </c>
      <c r="J43" s="4">
        <v>1210</v>
      </c>
      <c r="K43" s="4">
        <v>635.23677469999996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0</v>
      </c>
      <c r="S43" s="4">
        <v>4</v>
      </c>
      <c r="T43" s="4">
        <v>0</v>
      </c>
      <c r="U43" s="4">
        <v>0</v>
      </c>
      <c r="V43" s="4">
        <f>IF(ISERROR(VLOOKUP($S$43,'TAR FIN'!$A$1:$O$113,15,0)),0,VLOOKUP($S$43,'TAR FIN'!$A$1:$O$113,15,0))</f>
        <v>28.34</v>
      </c>
      <c r="W43" s="4">
        <f>IF(ISERROR(VLOOKUP($T$43,'TAR FIN'!$A$1:$O$113,15,0)),0,VLOOKUP($T$43,'TAR FIN'!$A$1:$O$113,15,0))</f>
        <v>0</v>
      </c>
      <c r="X43" s="4">
        <f>IF(ISERROR(VLOOKUP($U$43,'TAR FIN'!$A$1:$O$113,15,0)),0,VLOOKUP($U$43,'TAR FIN'!$A$1:$O$113,15,0))</f>
        <v>0</v>
      </c>
      <c r="Y43" s="4">
        <f ca="1">('TUSD BE'!$AM$5+'TUSD BF'!$AM$5+'TUSD CVA'!$AM$5)*1</f>
        <v>31.331884047769289</v>
      </c>
      <c r="Z43" s="4">
        <f ca="1">('TUSD BE'!$AM$7+'TUSD BF'!$AM$7+'TUSD CVA'!$AM$7)*1</f>
        <v>45.946048451030222</v>
      </c>
      <c r="AA43" s="4"/>
      <c r="AB43" s="4">
        <f>$K$43*$V$43</f>
        <v>18002.610194998</v>
      </c>
      <c r="AC43" s="4">
        <f>$M$43*$W$43</f>
        <v>0</v>
      </c>
      <c r="AD43" s="4">
        <f>$O$43*$X$43</f>
        <v>0</v>
      </c>
      <c r="AE43" s="4">
        <f ca="1">$K$43*$Y$43</f>
        <v>19903.164967779343</v>
      </c>
      <c r="AF43" s="4">
        <f ca="1">$M$43*$Z$43</f>
        <v>0</v>
      </c>
      <c r="AG43" s="4">
        <f>$O$43*$AA$43</f>
        <v>0</v>
      </c>
    </row>
    <row r="44" spans="1:33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60</v>
      </c>
      <c r="G44" s="3" t="s">
        <v>25</v>
      </c>
      <c r="H44" s="3" t="s">
        <v>34</v>
      </c>
      <c r="I44" s="6">
        <v>44409</v>
      </c>
      <c r="J44" s="4">
        <v>1210</v>
      </c>
      <c r="K44" s="4">
        <v>604.80840860000001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57</v>
      </c>
      <c r="R44" s="3">
        <v>0</v>
      </c>
      <c r="S44" s="4">
        <v>4</v>
      </c>
      <c r="T44" s="4">
        <v>0</v>
      </c>
      <c r="U44" s="4">
        <v>0</v>
      </c>
      <c r="V44" s="4">
        <f>IF(ISERROR(VLOOKUP($S$44,'TAR FIN'!$A$1:$O$113,15,0)),0,VLOOKUP($S$44,'TAR FIN'!$A$1:$O$113,15,0))</f>
        <v>28.34</v>
      </c>
      <c r="W44" s="4">
        <f>IF(ISERROR(VLOOKUP($T$44,'TAR FIN'!$A$1:$O$113,15,0)),0,VLOOKUP($T$44,'TAR FIN'!$A$1:$O$113,15,0))</f>
        <v>0</v>
      </c>
      <c r="X44" s="4">
        <f>IF(ISERROR(VLOOKUP($U$44,'TAR FIN'!$A$1:$O$113,15,0)),0,VLOOKUP($U$44,'TAR FIN'!$A$1:$O$113,15,0))</f>
        <v>0</v>
      </c>
      <c r="Y44" s="4">
        <f ca="1">('TUSD BE'!$AM$5+'TUSD BF'!$AM$5+'TUSD CVA'!$AM$5)*1</f>
        <v>31.331884047769289</v>
      </c>
      <c r="Z44" s="4">
        <f ca="1">('TUSD BE'!$AM$7+'TUSD BF'!$AM$7+'TUSD CVA'!$AM$7)*1</f>
        <v>45.946048451030222</v>
      </c>
      <c r="AA44" s="4"/>
      <c r="AB44" s="4">
        <f>$K$44*$V$44</f>
        <v>17140.270299724001</v>
      </c>
      <c r="AC44" s="4">
        <f>$M$44*$W$44</f>
        <v>0</v>
      </c>
      <c r="AD44" s="4">
        <f>$O$44*$X$44</f>
        <v>0</v>
      </c>
      <c r="AE44" s="4">
        <f ca="1">$K$44*$Y$44</f>
        <v>18949.786929371072</v>
      </c>
      <c r="AF44" s="4">
        <f ca="1">$M$44*$Z$44</f>
        <v>0</v>
      </c>
      <c r="AG44" s="4">
        <f>$O$44*$AA$44</f>
        <v>0</v>
      </c>
    </row>
    <row r="45" spans="1:33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60</v>
      </c>
      <c r="G45" s="3" t="s">
        <v>25</v>
      </c>
      <c r="H45" s="3" t="s">
        <v>34</v>
      </c>
      <c r="I45" s="6">
        <v>44440</v>
      </c>
      <c r="J45" s="4">
        <v>4910</v>
      </c>
      <c r="K45" s="4">
        <v>2455.5318020999998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57</v>
      </c>
      <c r="R45" s="3">
        <v>0</v>
      </c>
      <c r="S45" s="4">
        <v>4</v>
      </c>
      <c r="T45" s="4">
        <v>0</v>
      </c>
      <c r="U45" s="4">
        <v>0</v>
      </c>
      <c r="V45" s="4">
        <f>IF(ISERROR(VLOOKUP($S$45,'TAR FIN'!$A$1:$O$113,15,0)),0,VLOOKUP($S$45,'TAR FIN'!$A$1:$O$113,15,0))</f>
        <v>28.34</v>
      </c>
      <c r="W45" s="4">
        <f>IF(ISERROR(VLOOKUP($T$45,'TAR FIN'!$A$1:$O$113,15,0)),0,VLOOKUP($T$45,'TAR FIN'!$A$1:$O$113,15,0))</f>
        <v>0</v>
      </c>
      <c r="X45" s="4">
        <f>IF(ISERROR(VLOOKUP($U$45,'TAR FIN'!$A$1:$O$113,15,0)),0,VLOOKUP($U$45,'TAR FIN'!$A$1:$O$113,15,0))</f>
        <v>0</v>
      </c>
      <c r="Y45" s="4">
        <f ca="1">('TUSD BE'!$AM$5+'TUSD BF'!$AM$5+'TUSD CVA'!$AM$5)*1</f>
        <v>31.331884047769289</v>
      </c>
      <c r="Z45" s="4">
        <f ca="1">('TUSD BE'!$AM$7+'TUSD BF'!$AM$7+'TUSD CVA'!$AM$7)*1</f>
        <v>45.946048451030222</v>
      </c>
      <c r="AA45" s="4"/>
      <c r="AB45" s="4">
        <f>$K$45*$V$45</f>
        <v>69589.771271513993</v>
      </c>
      <c r="AC45" s="4">
        <f>$M$45*$W$45</f>
        <v>0</v>
      </c>
      <c r="AD45" s="4">
        <f>$O$45*$X$45</f>
        <v>0</v>
      </c>
      <c r="AE45" s="4">
        <f ca="1">$K$45*$Y$45</f>
        <v>76936.437699007161</v>
      </c>
      <c r="AF45" s="4">
        <f ca="1">$M$45*$Z$45</f>
        <v>0</v>
      </c>
      <c r="AG45" s="4">
        <f>$O$45*$AA$45</f>
        <v>0</v>
      </c>
    </row>
    <row r="46" spans="1:33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60</v>
      </c>
      <c r="G46" s="3" t="s">
        <v>25</v>
      </c>
      <c r="H46" s="3" t="s">
        <v>34</v>
      </c>
      <c r="I46" s="6">
        <v>44470</v>
      </c>
      <c r="J46" s="4">
        <v>4910</v>
      </c>
      <c r="K46" s="4">
        <v>2455.9827365000001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0</v>
      </c>
      <c r="S46" s="4">
        <v>4</v>
      </c>
      <c r="T46" s="4">
        <v>0</v>
      </c>
      <c r="U46" s="4">
        <v>0</v>
      </c>
      <c r="V46" s="4">
        <f>IF(ISERROR(VLOOKUP($S$46,'TAR FIN'!$A$1:$O$113,15,0)),0,VLOOKUP($S$46,'TAR FIN'!$A$1:$O$113,15,0))</f>
        <v>28.34</v>
      </c>
      <c r="W46" s="4">
        <f>IF(ISERROR(VLOOKUP($T$46,'TAR FIN'!$A$1:$O$113,15,0)),0,VLOOKUP($T$46,'TAR FIN'!$A$1:$O$113,15,0))</f>
        <v>0</v>
      </c>
      <c r="X46" s="4">
        <f>IF(ISERROR(VLOOKUP($U$46,'TAR FIN'!$A$1:$O$113,15,0)),0,VLOOKUP($U$46,'TAR FIN'!$A$1:$O$113,15,0))</f>
        <v>0</v>
      </c>
      <c r="Y46" s="4">
        <f ca="1">('TUSD BE'!$AM$5+'TUSD BF'!$AM$5+'TUSD CVA'!$AM$5)*1</f>
        <v>31.331884047769289</v>
      </c>
      <c r="Z46" s="4">
        <f ca="1">('TUSD BE'!$AM$7+'TUSD BF'!$AM$7+'TUSD CVA'!$AM$7)*1</f>
        <v>45.946048451030222</v>
      </c>
      <c r="AA46" s="4"/>
      <c r="AB46" s="4">
        <f>$K$46*$V$46</f>
        <v>69602.550752409996</v>
      </c>
      <c r="AC46" s="4">
        <f>$M$46*$W$46</f>
        <v>0</v>
      </c>
      <c r="AD46" s="4">
        <f>$O$46*$X$46</f>
        <v>0</v>
      </c>
      <c r="AE46" s="4">
        <f ca="1">$K$46*$Y$46</f>
        <v>76950.566323341118</v>
      </c>
      <c r="AF46" s="4">
        <f ca="1">$M$46*$Z$46</f>
        <v>0</v>
      </c>
      <c r="AG46" s="4">
        <f>$O$46*$AA$46</f>
        <v>0</v>
      </c>
    </row>
    <row r="47" spans="1:33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60</v>
      </c>
      <c r="G47" s="3" t="s">
        <v>25</v>
      </c>
      <c r="H47" s="3" t="s">
        <v>34</v>
      </c>
      <c r="I47" s="6">
        <v>44501</v>
      </c>
      <c r="J47" s="4">
        <v>8848</v>
      </c>
      <c r="K47" s="4">
        <v>7471.7574825600004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57</v>
      </c>
      <c r="R47" s="3">
        <v>0</v>
      </c>
      <c r="S47" s="4">
        <v>4</v>
      </c>
      <c r="T47" s="4">
        <v>0</v>
      </c>
      <c r="U47" s="4">
        <v>0</v>
      </c>
      <c r="V47" s="4">
        <f>IF(ISERROR(VLOOKUP($S$47,'TAR FIN'!$A$1:$O$113,15,0)),0,VLOOKUP($S$47,'TAR FIN'!$A$1:$O$113,15,0))</f>
        <v>28.34</v>
      </c>
      <c r="W47" s="4">
        <f>IF(ISERROR(VLOOKUP($T$47,'TAR FIN'!$A$1:$O$113,15,0)),0,VLOOKUP($T$47,'TAR FIN'!$A$1:$O$113,15,0))</f>
        <v>0</v>
      </c>
      <c r="X47" s="4">
        <f>IF(ISERROR(VLOOKUP($U$47,'TAR FIN'!$A$1:$O$113,15,0)),0,VLOOKUP($U$47,'TAR FIN'!$A$1:$O$113,15,0))</f>
        <v>0</v>
      </c>
      <c r="Y47" s="4">
        <f ca="1">('TUSD BE'!$AM$5+'TUSD BF'!$AM$5+'TUSD CVA'!$AM$5)*1</f>
        <v>31.331884047769289</v>
      </c>
      <c r="Z47" s="4">
        <f ca="1">('TUSD BE'!$AM$7+'TUSD BF'!$AM$7+'TUSD CVA'!$AM$7)*1</f>
        <v>45.946048451030222</v>
      </c>
      <c r="AA47" s="4"/>
      <c r="AB47" s="4">
        <f>$K$47*$V$47</f>
        <v>211749.60705575041</v>
      </c>
      <c r="AC47" s="4">
        <f>$M$47*$W$47</f>
        <v>0</v>
      </c>
      <c r="AD47" s="4">
        <f>$O$47*$X$47</f>
        <v>0</v>
      </c>
      <c r="AE47" s="4">
        <f ca="1">$K$47*$Y$47</f>
        <v>234104.2390766225</v>
      </c>
      <c r="AF47" s="4">
        <f ca="1">$M$47*$Z$47</f>
        <v>0</v>
      </c>
      <c r="AG47" s="4">
        <f>$O$47*$AA$47</f>
        <v>0</v>
      </c>
    </row>
    <row r="48" spans="1:33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60</v>
      </c>
      <c r="G48" s="3" t="s">
        <v>25</v>
      </c>
      <c r="H48" s="3" t="s">
        <v>34</v>
      </c>
      <c r="I48" s="6">
        <v>44531</v>
      </c>
      <c r="J48" s="4">
        <v>9134</v>
      </c>
      <c r="K48" s="4">
        <v>7379.7821435799997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57</v>
      </c>
      <c r="R48" s="3">
        <v>0</v>
      </c>
      <c r="S48" s="4">
        <v>4</v>
      </c>
      <c r="T48" s="4">
        <v>0</v>
      </c>
      <c r="U48" s="4">
        <v>0</v>
      </c>
      <c r="V48" s="4">
        <f>IF(ISERROR(VLOOKUP($S$48,'TAR FIN'!$A$1:$O$113,15,0)),0,VLOOKUP($S$48,'TAR FIN'!$A$1:$O$113,15,0))</f>
        <v>28.34</v>
      </c>
      <c r="W48" s="4">
        <f>IF(ISERROR(VLOOKUP($T$48,'TAR FIN'!$A$1:$O$113,15,0)),0,VLOOKUP($T$48,'TAR FIN'!$A$1:$O$113,15,0))</f>
        <v>0</v>
      </c>
      <c r="X48" s="4">
        <f>IF(ISERROR(VLOOKUP($U$48,'TAR FIN'!$A$1:$O$113,15,0)),0,VLOOKUP($U$48,'TAR FIN'!$A$1:$O$113,15,0))</f>
        <v>0</v>
      </c>
      <c r="Y48" s="4">
        <f ca="1">('TUSD BE'!$AM$5+'TUSD BF'!$AM$5+'TUSD CVA'!$AM$5)*1</f>
        <v>31.331884047769289</v>
      </c>
      <c r="Z48" s="4">
        <f ca="1">('TUSD BE'!$AM$7+'TUSD BF'!$AM$7+'TUSD CVA'!$AM$7)*1</f>
        <v>45.946048451030222</v>
      </c>
      <c r="AA48" s="4"/>
      <c r="AB48" s="4">
        <f>$K$48*$V$48</f>
        <v>209143.02594905719</v>
      </c>
      <c r="AC48" s="4">
        <f>$M$48*$W$48</f>
        <v>0</v>
      </c>
      <c r="AD48" s="4">
        <f>$O$48*$X$48</f>
        <v>0</v>
      </c>
      <c r="AE48" s="4">
        <f ca="1">$K$48*$Y$48</f>
        <v>231222.47842044683</v>
      </c>
      <c r="AF48" s="4">
        <f ca="1">$M$48*$Z$48</f>
        <v>0</v>
      </c>
      <c r="AG48" s="4">
        <f>$O$48*$AA$48</f>
        <v>0</v>
      </c>
    </row>
    <row r="49" spans="1:33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60</v>
      </c>
      <c r="G49" s="3" t="s">
        <v>25</v>
      </c>
      <c r="H49" s="3" t="s">
        <v>34</v>
      </c>
      <c r="I49" s="6">
        <v>44562</v>
      </c>
      <c r="J49" s="4">
        <v>4960</v>
      </c>
      <c r="K49" s="4">
        <v>4349.5840096000002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0</v>
      </c>
      <c r="S49" s="4">
        <v>4</v>
      </c>
      <c r="T49" s="4">
        <v>0</v>
      </c>
      <c r="U49" s="4">
        <v>0</v>
      </c>
      <c r="V49" s="4">
        <f>IF(ISERROR(VLOOKUP($S$49,'TAR FIN'!$A$1:$O$113,15,0)),0,VLOOKUP($S$49,'TAR FIN'!$A$1:$O$113,15,0))</f>
        <v>28.34</v>
      </c>
      <c r="W49" s="4">
        <f>IF(ISERROR(VLOOKUP($T$49,'TAR FIN'!$A$1:$O$113,15,0)),0,VLOOKUP($T$49,'TAR FIN'!$A$1:$O$113,15,0))</f>
        <v>0</v>
      </c>
      <c r="X49" s="4">
        <f>IF(ISERROR(VLOOKUP($U$49,'TAR FIN'!$A$1:$O$113,15,0)),0,VLOOKUP($U$49,'TAR FIN'!$A$1:$O$113,15,0))</f>
        <v>0</v>
      </c>
      <c r="Y49" s="4">
        <f ca="1">('TUSD BE'!$AM$5+'TUSD BF'!$AM$5+'TUSD CVA'!$AM$5)*1</f>
        <v>31.331884047769289</v>
      </c>
      <c r="Z49" s="4">
        <f ca="1">('TUSD BE'!$AM$7+'TUSD BF'!$AM$7+'TUSD CVA'!$AM$7)*1</f>
        <v>45.946048451030222</v>
      </c>
      <c r="AA49" s="4"/>
      <c r="AB49" s="4">
        <f>$K$49*$V$49</f>
        <v>123267.21083206401</v>
      </c>
      <c r="AC49" s="4">
        <f>$M$49*$W$49</f>
        <v>0</v>
      </c>
      <c r="AD49" s="4">
        <f>$O$49*$X$49</f>
        <v>0</v>
      </c>
      <c r="AE49" s="4">
        <f ca="1">$K$49*$Y$49</f>
        <v>136280.66184481862</v>
      </c>
      <c r="AF49" s="4">
        <f ca="1">$M$49*$Z$49</f>
        <v>0</v>
      </c>
      <c r="AG49" s="4">
        <f>$O$49*$AA$49</f>
        <v>0</v>
      </c>
    </row>
    <row r="50" spans="1:3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60</v>
      </c>
      <c r="G50" s="3" t="s">
        <v>25</v>
      </c>
      <c r="H50" s="3" t="s">
        <v>34</v>
      </c>
      <c r="I50" s="6">
        <v>44593</v>
      </c>
      <c r="J50" s="4">
        <v>8824</v>
      </c>
      <c r="K50" s="4">
        <v>7312.3944441599997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0</v>
      </c>
      <c r="S50" s="4">
        <v>4</v>
      </c>
      <c r="T50" s="4">
        <v>0</v>
      </c>
      <c r="U50" s="4">
        <v>0</v>
      </c>
      <c r="V50" s="4">
        <f>IF(ISERROR(VLOOKUP($S$50,'TAR FIN'!$A$1:$O$113,15,0)),0,VLOOKUP($S$50,'TAR FIN'!$A$1:$O$113,15,0))</f>
        <v>28.34</v>
      </c>
      <c r="W50" s="4">
        <f>IF(ISERROR(VLOOKUP($T$50,'TAR FIN'!$A$1:$O$113,15,0)),0,VLOOKUP($T$50,'TAR FIN'!$A$1:$O$113,15,0))</f>
        <v>0</v>
      </c>
      <c r="X50" s="4">
        <f>IF(ISERROR(VLOOKUP($U$50,'TAR FIN'!$A$1:$O$113,15,0)),0,VLOOKUP($U$50,'TAR FIN'!$A$1:$O$113,15,0))</f>
        <v>0</v>
      </c>
      <c r="Y50" s="4">
        <f ca="1">('TUSD BE'!$AM$5+'TUSD BF'!$AM$5+'TUSD CVA'!$AM$5)*1</f>
        <v>31.331884047769289</v>
      </c>
      <c r="Z50" s="4">
        <f ca="1">('TUSD BE'!$AM$7+'TUSD BF'!$AM$7+'TUSD CVA'!$AM$7)*1</f>
        <v>45.946048451030222</v>
      </c>
      <c r="AA50" s="4"/>
      <c r="AB50" s="4">
        <f>$K$50*$V$50</f>
        <v>207233.25854749439</v>
      </c>
      <c r="AC50" s="4">
        <f>$M$50*$W$50</f>
        <v>0</v>
      </c>
      <c r="AD50" s="4">
        <f>$O$50*$X$50</f>
        <v>0</v>
      </c>
      <c r="AE50" s="4">
        <f ca="1">$K$50*$Y$50</f>
        <v>229111.09483597346</v>
      </c>
      <c r="AF50" s="4">
        <f ca="1">$M$50*$Z$50</f>
        <v>0</v>
      </c>
      <c r="AG50" s="4">
        <f>$O$50*$AA$50</f>
        <v>0</v>
      </c>
    </row>
    <row r="51" spans="1:33" ht="11.25" customHeight="1" x14ac:dyDescent="0.25">
      <c r="A51" s="3" t="s">
        <v>56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60</v>
      </c>
      <c r="G51" s="3" t="s">
        <v>25</v>
      </c>
      <c r="H51" s="3" t="s">
        <v>34</v>
      </c>
      <c r="I51" s="6">
        <v>44621</v>
      </c>
      <c r="J51" s="4">
        <v>8824</v>
      </c>
      <c r="K51" s="4">
        <v>7312.3944441599997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0</v>
      </c>
      <c r="S51" s="4">
        <v>4</v>
      </c>
      <c r="T51" s="4">
        <v>0</v>
      </c>
      <c r="U51" s="4">
        <v>0</v>
      </c>
      <c r="V51" s="4">
        <f>IF(ISERROR(VLOOKUP($S$51,'TAR FIN'!$A$1:$O$113,15,0)),0,VLOOKUP($S$51,'TAR FIN'!$A$1:$O$113,15,0))</f>
        <v>28.34</v>
      </c>
      <c r="W51" s="4">
        <f>IF(ISERROR(VLOOKUP($T$51,'TAR FIN'!$A$1:$O$113,15,0)),0,VLOOKUP($T$51,'TAR FIN'!$A$1:$O$113,15,0))</f>
        <v>0</v>
      </c>
      <c r="X51" s="4">
        <f>IF(ISERROR(VLOOKUP($U$51,'TAR FIN'!$A$1:$O$113,15,0)),0,VLOOKUP($U$51,'TAR FIN'!$A$1:$O$113,15,0))</f>
        <v>0</v>
      </c>
      <c r="Y51" s="4">
        <f ca="1">('TUSD BE'!$AM$5+'TUSD BF'!$AM$5+'TUSD CVA'!$AM$5)*1</f>
        <v>31.331884047769289</v>
      </c>
      <c r="Z51" s="4">
        <f ca="1">('TUSD BE'!$AM$7+'TUSD BF'!$AM$7+'TUSD CVA'!$AM$7)*1</f>
        <v>45.946048451030222</v>
      </c>
      <c r="AA51" s="4"/>
      <c r="AB51" s="4">
        <f>$K$51*$V$51</f>
        <v>207233.25854749439</v>
      </c>
      <c r="AC51" s="4">
        <f>$M$51*$W$51</f>
        <v>0</v>
      </c>
      <c r="AD51" s="4">
        <f>$O$51*$X$51</f>
        <v>0</v>
      </c>
      <c r="AE51" s="4">
        <f ca="1">$K$51*$Y$51</f>
        <v>229111.09483597346</v>
      </c>
      <c r="AF51" s="4">
        <f ca="1">$M$51*$Z$51</f>
        <v>0</v>
      </c>
      <c r="AG51" s="4">
        <f>$O$51*$AA$51</f>
        <v>0</v>
      </c>
    </row>
    <row r="52" spans="1:3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44287</v>
      </c>
      <c r="J52" s="4">
        <v>10839</v>
      </c>
      <c r="K52" s="4">
        <v>10839</v>
      </c>
      <c r="L52" s="4">
        <v>3980.9520000000002</v>
      </c>
      <c r="M52" s="4">
        <v>3980.9520000000002</v>
      </c>
      <c r="N52" s="4">
        <v>3980.9520000000002</v>
      </c>
      <c r="O52" s="4">
        <v>3980.9520000000002</v>
      </c>
      <c r="P52" s="4">
        <v>0</v>
      </c>
      <c r="Q52" s="3" t="s">
        <v>26</v>
      </c>
      <c r="R52" s="3">
        <v>0</v>
      </c>
      <c r="S52" s="4">
        <v>5</v>
      </c>
      <c r="T52" s="4">
        <v>6</v>
      </c>
      <c r="U52" s="4">
        <v>87</v>
      </c>
      <c r="V52" s="4">
        <f>IF(ISERROR(VLOOKUP($S$52,'TAR FIN'!$A$1:$O$113,15,0)),0,VLOOKUP($S$52,'TAR FIN'!$A$1:$O$113,15,0))</f>
        <v>11.59</v>
      </c>
      <c r="W52" s="4">
        <f>IF(ISERROR(VLOOKUP($T$52,'TAR FIN'!$A$1:$O$113,15,0)),0,VLOOKUP($T$52,'TAR FIN'!$A$1:$O$113,15,0))</f>
        <v>35.86</v>
      </c>
      <c r="X52" s="4">
        <f>IF(ISERROR(VLOOKUP($U$52,'TAR FIN'!$A$1:$O$113,15,0)),0,VLOOKUP($U$52,'TAR FIN'!$A$1:$O$113,15,0))</f>
        <v>222.31</v>
      </c>
      <c r="Y52" s="4">
        <f ca="1">('TUSD BE'!$AM$6+'TUSD BF'!$AM$6+'TUSD CVA'!$AM$6)*1</f>
        <v>10.94172345363083</v>
      </c>
      <c r="Z52" s="4">
        <f ca="1">('TUSD BE'!$AM$7+'TUSD BF'!$AM$7+'TUSD CVA'!$AM$7)*1</f>
        <v>45.946048451030222</v>
      </c>
      <c r="AA52" s="4">
        <f>('TE BE'!$AA$6+'TE BF'!$AA$6+'TE CVA'!$AA$6)*1</f>
        <v>223.14561812044704</v>
      </c>
      <c r="AB52" s="4">
        <f>$K$52*$V$52</f>
        <v>125624.01</v>
      </c>
      <c r="AC52" s="4">
        <f>$M$52*$W$52</f>
        <v>142756.93872000001</v>
      </c>
      <c r="AD52" s="4">
        <f>$O$52*$X$52</f>
        <v>885005.43912000011</v>
      </c>
      <c r="AE52" s="4">
        <f ca="1">$K$52*$Y$52</f>
        <v>118597.34051390456</v>
      </c>
      <c r="AF52" s="4">
        <f ca="1">$M$52*$Z$52</f>
        <v>182909.01347322567</v>
      </c>
      <c r="AG52" s="4">
        <f>$O$52*$AA$52</f>
        <v>888331.99474782997</v>
      </c>
    </row>
    <row r="53" spans="1:3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44287</v>
      </c>
      <c r="J53" s="4">
        <v>34410</v>
      </c>
      <c r="K53" s="4">
        <v>34410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0</v>
      </c>
      <c r="S53" s="4">
        <v>5</v>
      </c>
      <c r="T53" s="4">
        <v>0</v>
      </c>
      <c r="U53" s="4">
        <v>0</v>
      </c>
      <c r="V53" s="4">
        <f>IF(ISERROR(VLOOKUP($S$53,'TAR FIN'!$A$1:$O$113,15,0)),0,VLOOKUP($S$53,'TAR FIN'!$A$1:$O$113,15,0))</f>
        <v>11.59</v>
      </c>
      <c r="W53" s="4">
        <f>IF(ISERROR(VLOOKUP($T$53,'TAR FIN'!$A$1:$O$113,15,0)),0,VLOOKUP($T$53,'TAR FIN'!$A$1:$O$113,15,0))</f>
        <v>0</v>
      </c>
      <c r="X53" s="4">
        <f>IF(ISERROR(VLOOKUP($U$53,'TAR FIN'!$A$1:$O$113,15,0)),0,VLOOKUP($U$53,'TAR FIN'!$A$1:$O$113,15,0))</f>
        <v>0</v>
      </c>
      <c r="Y53" s="4">
        <f ca="1">('TUSD BE'!$AM$6+'TUSD BF'!$AM$6+'TUSD CVA'!$AM$6)*1</f>
        <v>10.94172345363083</v>
      </c>
      <c r="Z53" s="4">
        <f ca="1">('TUSD BE'!$AM$7+'TUSD BF'!$AM$7+'TUSD CVA'!$AM$7)*1</f>
        <v>45.946048451030222</v>
      </c>
      <c r="AA53" s="4"/>
      <c r="AB53" s="4">
        <f>$K$53*$V$53</f>
        <v>398811.9</v>
      </c>
      <c r="AC53" s="4">
        <f>$M$53*$W$53</f>
        <v>0</v>
      </c>
      <c r="AD53" s="4">
        <f>$O$53*$X$53</f>
        <v>0</v>
      </c>
      <c r="AE53" s="4">
        <f ca="1">$K$53*$Y$53</f>
        <v>376504.70403943688</v>
      </c>
      <c r="AF53" s="4">
        <f ca="1">$M$53*$Z$53</f>
        <v>0</v>
      </c>
      <c r="AG53" s="4">
        <f>$O$53*$AA$53</f>
        <v>0</v>
      </c>
    </row>
    <row r="54" spans="1:3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44317</v>
      </c>
      <c r="J54" s="4">
        <v>10942</v>
      </c>
      <c r="K54" s="4">
        <v>10942</v>
      </c>
      <c r="L54" s="4">
        <v>4029.835</v>
      </c>
      <c r="M54" s="4">
        <v>4029.835</v>
      </c>
      <c r="N54" s="4">
        <v>4029.835</v>
      </c>
      <c r="O54" s="4">
        <v>4029.835</v>
      </c>
      <c r="P54" s="4">
        <v>0</v>
      </c>
      <c r="Q54" s="3" t="s">
        <v>26</v>
      </c>
      <c r="R54" s="3">
        <v>0</v>
      </c>
      <c r="S54" s="4">
        <v>5</v>
      </c>
      <c r="T54" s="4">
        <v>6</v>
      </c>
      <c r="U54" s="4">
        <v>87</v>
      </c>
      <c r="V54" s="4">
        <f>IF(ISERROR(VLOOKUP($S$54,'TAR FIN'!$A$1:$O$113,15,0)),0,VLOOKUP($S$54,'TAR FIN'!$A$1:$O$113,15,0))</f>
        <v>11.59</v>
      </c>
      <c r="W54" s="4">
        <f>IF(ISERROR(VLOOKUP($T$54,'TAR FIN'!$A$1:$O$113,15,0)),0,VLOOKUP($T$54,'TAR FIN'!$A$1:$O$113,15,0))</f>
        <v>35.86</v>
      </c>
      <c r="X54" s="4">
        <f>IF(ISERROR(VLOOKUP($U$54,'TAR FIN'!$A$1:$O$113,15,0)),0,VLOOKUP($U$54,'TAR FIN'!$A$1:$O$113,15,0))</f>
        <v>222.31</v>
      </c>
      <c r="Y54" s="4">
        <f ca="1">('TUSD BE'!$AM$6+'TUSD BF'!$AM$6+'TUSD CVA'!$AM$6)*1</f>
        <v>10.94172345363083</v>
      </c>
      <c r="Z54" s="4">
        <f ca="1">('TUSD BE'!$AM$7+'TUSD BF'!$AM$7+'TUSD CVA'!$AM$7)*1</f>
        <v>45.946048451030222</v>
      </c>
      <c r="AA54" s="4">
        <f>('TE BE'!$AA$6+'TE BF'!$AA$6+'TE CVA'!$AA$6)*1</f>
        <v>223.14561812044704</v>
      </c>
      <c r="AB54" s="4">
        <f>$K$54*$V$54</f>
        <v>126817.78</v>
      </c>
      <c r="AC54" s="4">
        <f>$M$54*$W$54</f>
        <v>144509.88310000001</v>
      </c>
      <c r="AD54" s="4">
        <f>$O$54*$X$54</f>
        <v>895872.61884999997</v>
      </c>
      <c r="AE54" s="4">
        <f ca="1">$K$54*$Y$54</f>
        <v>119724.33802962855</v>
      </c>
      <c r="AF54" s="4">
        <f ca="1">$M$54*$Z$54</f>
        <v>185154.99415965739</v>
      </c>
      <c r="AG54" s="4">
        <f>$O$54*$AA$54</f>
        <v>899240.02199841174</v>
      </c>
    </row>
    <row r="55" spans="1:3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44317</v>
      </c>
      <c r="J55" s="4">
        <v>34444</v>
      </c>
      <c r="K55" s="4">
        <v>34444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0</v>
      </c>
      <c r="S55" s="4">
        <v>5</v>
      </c>
      <c r="T55" s="4">
        <v>0</v>
      </c>
      <c r="U55" s="4">
        <v>0</v>
      </c>
      <c r="V55" s="4">
        <f>IF(ISERROR(VLOOKUP($S$55,'TAR FIN'!$A$1:$O$113,15,0)),0,VLOOKUP($S$55,'TAR FIN'!$A$1:$O$113,15,0))</f>
        <v>11.59</v>
      </c>
      <c r="W55" s="4">
        <f>IF(ISERROR(VLOOKUP($T$55,'TAR FIN'!$A$1:$O$113,15,0)),0,VLOOKUP($T$55,'TAR FIN'!$A$1:$O$113,15,0))</f>
        <v>0</v>
      </c>
      <c r="X55" s="4">
        <f>IF(ISERROR(VLOOKUP($U$55,'TAR FIN'!$A$1:$O$113,15,0)),0,VLOOKUP($U$55,'TAR FIN'!$A$1:$O$113,15,0))</f>
        <v>0</v>
      </c>
      <c r="Y55" s="4">
        <f ca="1">('TUSD BE'!$AM$6+'TUSD BF'!$AM$6+'TUSD CVA'!$AM$6)*1</f>
        <v>10.94172345363083</v>
      </c>
      <c r="Z55" s="4">
        <f ca="1">('TUSD BE'!$AM$7+'TUSD BF'!$AM$7+'TUSD CVA'!$AM$7)*1</f>
        <v>45.946048451030222</v>
      </c>
      <c r="AA55" s="4"/>
      <c r="AB55" s="4">
        <f>$K$55*$V$55</f>
        <v>399205.96</v>
      </c>
      <c r="AC55" s="4">
        <f>$M$55*$W$55</f>
        <v>0</v>
      </c>
      <c r="AD55" s="4">
        <f>$O$55*$X$55</f>
        <v>0</v>
      </c>
      <c r="AE55" s="4">
        <f ca="1">$K$55*$Y$55</f>
        <v>376876.72263686033</v>
      </c>
      <c r="AF55" s="4">
        <f ca="1">$M$55*$Z$55</f>
        <v>0</v>
      </c>
      <c r="AG55" s="4">
        <f>$O$55*$AA$55</f>
        <v>0</v>
      </c>
    </row>
    <row r="56" spans="1:3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44348</v>
      </c>
      <c r="J56" s="4">
        <v>10325</v>
      </c>
      <c r="K56" s="4">
        <v>10325</v>
      </c>
      <c r="L56" s="4">
        <v>3862.712</v>
      </c>
      <c r="M56" s="4">
        <v>3862.712</v>
      </c>
      <c r="N56" s="4">
        <v>3862.712</v>
      </c>
      <c r="O56" s="4">
        <v>3862.712</v>
      </c>
      <c r="P56" s="4">
        <v>0</v>
      </c>
      <c r="Q56" s="3" t="s">
        <v>26</v>
      </c>
      <c r="R56" s="3">
        <v>0</v>
      </c>
      <c r="S56" s="4">
        <v>5</v>
      </c>
      <c r="T56" s="4">
        <v>6</v>
      </c>
      <c r="U56" s="4">
        <v>87</v>
      </c>
      <c r="V56" s="4">
        <f>IF(ISERROR(VLOOKUP($S$56,'TAR FIN'!$A$1:$O$113,15,0)),0,VLOOKUP($S$56,'TAR FIN'!$A$1:$O$113,15,0))</f>
        <v>11.59</v>
      </c>
      <c r="W56" s="4">
        <f>IF(ISERROR(VLOOKUP($T$56,'TAR FIN'!$A$1:$O$113,15,0)),0,VLOOKUP($T$56,'TAR FIN'!$A$1:$O$113,15,0))</f>
        <v>35.86</v>
      </c>
      <c r="X56" s="4">
        <f>IF(ISERROR(VLOOKUP($U$56,'TAR FIN'!$A$1:$O$113,15,0)),0,VLOOKUP($U$56,'TAR FIN'!$A$1:$O$113,15,0))</f>
        <v>222.31</v>
      </c>
      <c r="Y56" s="4">
        <f ca="1">('TUSD BE'!$AM$6+'TUSD BF'!$AM$6+'TUSD CVA'!$AM$6)*1</f>
        <v>10.94172345363083</v>
      </c>
      <c r="Z56" s="4">
        <f ca="1">('TUSD BE'!$AM$7+'TUSD BF'!$AM$7+'TUSD CVA'!$AM$7)*1</f>
        <v>45.946048451030222</v>
      </c>
      <c r="AA56" s="4">
        <f>('TE BE'!$AA$6+'TE BF'!$AA$6+'TE CVA'!$AA$6)*1</f>
        <v>223.14561812044704</v>
      </c>
      <c r="AB56" s="4">
        <f>$K$56*$V$56</f>
        <v>119666.75</v>
      </c>
      <c r="AC56" s="4">
        <f>$M$56*$W$56</f>
        <v>138516.85232000001</v>
      </c>
      <c r="AD56" s="4">
        <f>$O$56*$X$56</f>
        <v>858719.50471999997</v>
      </c>
      <c r="AE56" s="4">
        <f ca="1">$K$56*$Y$56</f>
        <v>112973.29465873832</v>
      </c>
      <c r="AF56" s="4">
        <f ca="1">$M$56*$Z$56</f>
        <v>177476.35270437587</v>
      </c>
      <c r="AG56" s="4">
        <f>$O$56*$AA$56</f>
        <v>861947.25686126819</v>
      </c>
    </row>
    <row r="57" spans="1:3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44348</v>
      </c>
      <c r="J57" s="4">
        <v>34262</v>
      </c>
      <c r="K57" s="4">
        <v>34262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0</v>
      </c>
      <c r="S57" s="4">
        <v>5</v>
      </c>
      <c r="T57" s="4">
        <v>0</v>
      </c>
      <c r="U57" s="4">
        <v>0</v>
      </c>
      <c r="V57" s="4">
        <f>IF(ISERROR(VLOOKUP($S$57,'TAR FIN'!$A$1:$O$113,15,0)),0,VLOOKUP($S$57,'TAR FIN'!$A$1:$O$113,15,0))</f>
        <v>11.59</v>
      </c>
      <c r="W57" s="4">
        <f>IF(ISERROR(VLOOKUP($T$57,'TAR FIN'!$A$1:$O$113,15,0)),0,VLOOKUP($T$57,'TAR FIN'!$A$1:$O$113,15,0))</f>
        <v>0</v>
      </c>
      <c r="X57" s="4">
        <f>IF(ISERROR(VLOOKUP($U$57,'TAR FIN'!$A$1:$O$113,15,0)),0,VLOOKUP($U$57,'TAR FIN'!$A$1:$O$113,15,0))</f>
        <v>0</v>
      </c>
      <c r="Y57" s="4">
        <f ca="1">('TUSD BE'!$AM$6+'TUSD BF'!$AM$6+'TUSD CVA'!$AM$6)*1</f>
        <v>10.94172345363083</v>
      </c>
      <c r="Z57" s="4">
        <f ca="1">('TUSD BE'!$AM$7+'TUSD BF'!$AM$7+'TUSD CVA'!$AM$7)*1</f>
        <v>45.946048451030222</v>
      </c>
      <c r="AA57" s="4"/>
      <c r="AB57" s="4">
        <f>$K$57*$V$57</f>
        <v>397096.58</v>
      </c>
      <c r="AC57" s="4">
        <f>$M$57*$W$57</f>
        <v>0</v>
      </c>
      <c r="AD57" s="4">
        <f>$O$57*$X$57</f>
        <v>0</v>
      </c>
      <c r="AE57" s="4">
        <f ca="1">$K$57*$Y$57</f>
        <v>374885.32896829949</v>
      </c>
      <c r="AF57" s="4">
        <f ca="1">$M$57*$Z$57</f>
        <v>0</v>
      </c>
      <c r="AG57" s="4">
        <f>$O$57*$AA$57</f>
        <v>0</v>
      </c>
    </row>
    <row r="58" spans="1:3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44378</v>
      </c>
      <c r="J58" s="4">
        <v>10465</v>
      </c>
      <c r="K58" s="4">
        <v>10465</v>
      </c>
      <c r="L58" s="4">
        <v>3960.0239999999999</v>
      </c>
      <c r="M58" s="4">
        <v>3960.0239999999999</v>
      </c>
      <c r="N58" s="4">
        <v>3960.0239999999999</v>
      </c>
      <c r="O58" s="4">
        <v>3960.0239999999999</v>
      </c>
      <c r="P58" s="4">
        <v>0</v>
      </c>
      <c r="Q58" s="3" t="s">
        <v>26</v>
      </c>
      <c r="R58" s="3">
        <v>0</v>
      </c>
      <c r="S58" s="4">
        <v>5</v>
      </c>
      <c r="T58" s="4">
        <v>6</v>
      </c>
      <c r="U58" s="4">
        <v>87</v>
      </c>
      <c r="V58" s="4">
        <f>IF(ISERROR(VLOOKUP($S$58,'TAR FIN'!$A$1:$O$113,15,0)),0,VLOOKUP($S$58,'TAR FIN'!$A$1:$O$113,15,0))</f>
        <v>11.59</v>
      </c>
      <c r="W58" s="4">
        <f>IF(ISERROR(VLOOKUP($T$58,'TAR FIN'!$A$1:$O$113,15,0)),0,VLOOKUP($T$58,'TAR FIN'!$A$1:$O$113,15,0))</f>
        <v>35.86</v>
      </c>
      <c r="X58" s="4">
        <f>IF(ISERROR(VLOOKUP($U$58,'TAR FIN'!$A$1:$O$113,15,0)),0,VLOOKUP($U$58,'TAR FIN'!$A$1:$O$113,15,0))</f>
        <v>222.31</v>
      </c>
      <c r="Y58" s="4">
        <f ca="1">('TUSD BE'!$AM$6+'TUSD BF'!$AM$6+'TUSD CVA'!$AM$6)*1</f>
        <v>10.94172345363083</v>
      </c>
      <c r="Z58" s="4">
        <f ca="1">('TUSD BE'!$AM$7+'TUSD BF'!$AM$7+'TUSD CVA'!$AM$7)*1</f>
        <v>45.946048451030222</v>
      </c>
      <c r="AA58" s="4">
        <f>('TE BE'!$AA$6+'TE BF'!$AA$6+'TE CVA'!$AA$6)*1</f>
        <v>223.14561812044704</v>
      </c>
      <c r="AB58" s="4">
        <f>$K$58*$V$58</f>
        <v>121289.34999999999</v>
      </c>
      <c r="AC58" s="4">
        <f>$M$58*$W$58</f>
        <v>142006.46064</v>
      </c>
      <c r="AD58" s="4">
        <f>$O$58*$X$58</f>
        <v>880352.93544000003</v>
      </c>
      <c r="AE58" s="4">
        <f ca="1">$K$58*$Y$58</f>
        <v>114505.13594224663</v>
      </c>
      <c r="AF58" s="4">
        <f ca="1">$M$58*$Z$58</f>
        <v>181947.4545712425</v>
      </c>
      <c r="AG58" s="4">
        <f>$O$58*$AA$58</f>
        <v>883662.00325180509</v>
      </c>
    </row>
    <row r="59" spans="1:3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44378</v>
      </c>
      <c r="J59" s="4">
        <v>34325</v>
      </c>
      <c r="K59" s="4">
        <v>34325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0</v>
      </c>
      <c r="S59" s="4">
        <v>5</v>
      </c>
      <c r="T59" s="4">
        <v>0</v>
      </c>
      <c r="U59" s="4">
        <v>0</v>
      </c>
      <c r="V59" s="4">
        <f>IF(ISERROR(VLOOKUP($S$59,'TAR FIN'!$A$1:$O$113,15,0)),0,VLOOKUP($S$59,'TAR FIN'!$A$1:$O$113,15,0))</f>
        <v>11.59</v>
      </c>
      <c r="W59" s="4">
        <f>IF(ISERROR(VLOOKUP($T$59,'TAR FIN'!$A$1:$O$113,15,0)),0,VLOOKUP($T$59,'TAR FIN'!$A$1:$O$113,15,0))</f>
        <v>0</v>
      </c>
      <c r="X59" s="4">
        <f>IF(ISERROR(VLOOKUP($U$59,'TAR FIN'!$A$1:$O$113,15,0)),0,VLOOKUP($U$59,'TAR FIN'!$A$1:$O$113,15,0))</f>
        <v>0</v>
      </c>
      <c r="Y59" s="4">
        <f ca="1">('TUSD BE'!$AM$6+'TUSD BF'!$AM$6+'TUSD CVA'!$AM$6)*1</f>
        <v>10.94172345363083</v>
      </c>
      <c r="Z59" s="4">
        <f ca="1">('TUSD BE'!$AM$7+'TUSD BF'!$AM$7+'TUSD CVA'!$AM$7)*1</f>
        <v>45.946048451030222</v>
      </c>
      <c r="AA59" s="4"/>
      <c r="AB59" s="4">
        <f>$K$59*$V$59</f>
        <v>397826.75</v>
      </c>
      <c r="AC59" s="4">
        <f>$M$59*$W$59</f>
        <v>0</v>
      </c>
      <c r="AD59" s="4">
        <f>$O$59*$X$59</f>
        <v>0</v>
      </c>
      <c r="AE59" s="4">
        <f ca="1">$K$59*$Y$59</f>
        <v>375574.65754587826</v>
      </c>
      <c r="AF59" s="4">
        <f ca="1">$M$59*$Z$59</f>
        <v>0</v>
      </c>
      <c r="AG59" s="4">
        <f>$O$59*$AA$59</f>
        <v>0</v>
      </c>
    </row>
    <row r="60" spans="1:3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44409</v>
      </c>
      <c r="J60" s="4">
        <v>10675</v>
      </c>
      <c r="K60" s="4">
        <v>10675</v>
      </c>
      <c r="L60" s="4">
        <v>3964.2350000000001</v>
      </c>
      <c r="M60" s="4">
        <v>3964.2350000000001</v>
      </c>
      <c r="N60" s="4">
        <v>3964.2350000000001</v>
      </c>
      <c r="O60" s="4">
        <v>3964.2350000000001</v>
      </c>
      <c r="P60" s="4">
        <v>0</v>
      </c>
      <c r="Q60" s="3" t="s">
        <v>26</v>
      </c>
      <c r="R60" s="3">
        <v>0</v>
      </c>
      <c r="S60" s="4">
        <v>5</v>
      </c>
      <c r="T60" s="4">
        <v>6</v>
      </c>
      <c r="U60" s="4">
        <v>87</v>
      </c>
      <c r="V60" s="4">
        <f>IF(ISERROR(VLOOKUP($S$60,'TAR FIN'!$A$1:$O$113,15,0)),0,VLOOKUP($S$60,'TAR FIN'!$A$1:$O$113,15,0))</f>
        <v>11.59</v>
      </c>
      <c r="W60" s="4">
        <f>IF(ISERROR(VLOOKUP($T$60,'TAR FIN'!$A$1:$O$113,15,0)),0,VLOOKUP($T$60,'TAR FIN'!$A$1:$O$113,15,0))</f>
        <v>35.86</v>
      </c>
      <c r="X60" s="4">
        <f>IF(ISERROR(VLOOKUP($U$60,'TAR FIN'!$A$1:$O$113,15,0)),0,VLOOKUP($U$60,'TAR FIN'!$A$1:$O$113,15,0))</f>
        <v>222.31</v>
      </c>
      <c r="Y60" s="4">
        <f ca="1">('TUSD BE'!$AM$6+'TUSD BF'!$AM$6+'TUSD CVA'!$AM$6)*1</f>
        <v>10.94172345363083</v>
      </c>
      <c r="Z60" s="4">
        <f ca="1">('TUSD BE'!$AM$7+'TUSD BF'!$AM$7+'TUSD CVA'!$AM$7)*1</f>
        <v>45.946048451030222</v>
      </c>
      <c r="AA60" s="4">
        <f>('TE BE'!$AA$6+'TE BF'!$AA$6+'TE CVA'!$AA$6)*1</f>
        <v>223.14561812044704</v>
      </c>
      <c r="AB60" s="4">
        <f>$K$60*$V$60</f>
        <v>123723.25</v>
      </c>
      <c r="AC60" s="4">
        <f>$M$60*$W$60</f>
        <v>142157.46710000001</v>
      </c>
      <c r="AD60" s="4">
        <f>$O$60*$X$60</f>
        <v>881289.08285000001</v>
      </c>
      <c r="AE60" s="4">
        <f ca="1">$K$60*$Y$60</f>
        <v>116802.89786750912</v>
      </c>
      <c r="AF60" s="4">
        <f ca="1">$M$60*$Z$60</f>
        <v>182140.9333812698</v>
      </c>
      <c r="AG60" s="4">
        <f>$O$60*$AA$60</f>
        <v>884601.6694497104</v>
      </c>
    </row>
    <row r="61" spans="1:3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44409</v>
      </c>
      <c r="J61" s="4">
        <v>34324</v>
      </c>
      <c r="K61" s="4">
        <v>34324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0</v>
      </c>
      <c r="S61" s="4">
        <v>5</v>
      </c>
      <c r="T61" s="4">
        <v>0</v>
      </c>
      <c r="U61" s="4">
        <v>0</v>
      </c>
      <c r="V61" s="4">
        <f>IF(ISERROR(VLOOKUP($S$61,'TAR FIN'!$A$1:$O$113,15,0)),0,VLOOKUP($S$61,'TAR FIN'!$A$1:$O$113,15,0))</f>
        <v>11.59</v>
      </c>
      <c r="W61" s="4">
        <f>IF(ISERROR(VLOOKUP($T$61,'TAR FIN'!$A$1:$O$113,15,0)),0,VLOOKUP($T$61,'TAR FIN'!$A$1:$O$113,15,0))</f>
        <v>0</v>
      </c>
      <c r="X61" s="4">
        <f>IF(ISERROR(VLOOKUP($U$61,'TAR FIN'!$A$1:$O$113,15,0)),0,VLOOKUP($U$61,'TAR FIN'!$A$1:$O$113,15,0))</f>
        <v>0</v>
      </c>
      <c r="Y61" s="4">
        <f ca="1">('TUSD BE'!$AM$6+'TUSD BF'!$AM$6+'TUSD CVA'!$AM$6)*1</f>
        <v>10.94172345363083</v>
      </c>
      <c r="Z61" s="4">
        <f ca="1">('TUSD BE'!$AM$7+'TUSD BF'!$AM$7+'TUSD CVA'!$AM$7)*1</f>
        <v>45.946048451030222</v>
      </c>
      <c r="AA61" s="4"/>
      <c r="AB61" s="4">
        <f>$K$61*$V$61</f>
        <v>397815.16</v>
      </c>
      <c r="AC61" s="4">
        <f>$M$61*$W$61</f>
        <v>0</v>
      </c>
      <c r="AD61" s="4">
        <f>$O$61*$X$61</f>
        <v>0</v>
      </c>
      <c r="AE61" s="4">
        <f ca="1">$K$61*$Y$61</f>
        <v>375563.71582242462</v>
      </c>
      <c r="AF61" s="4">
        <f ca="1">$M$61*$Z$61</f>
        <v>0</v>
      </c>
      <c r="AG61" s="4">
        <f>$O$61*$AA$61</f>
        <v>0</v>
      </c>
    </row>
    <row r="62" spans="1:33" ht="11.25" customHeight="1" x14ac:dyDescent="0.25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44440</v>
      </c>
      <c r="J62" s="4">
        <v>10672</v>
      </c>
      <c r="K62" s="4">
        <v>10672</v>
      </c>
      <c r="L62" s="4">
        <v>3601.9229999999998</v>
      </c>
      <c r="M62" s="4">
        <v>3601.9229999999998</v>
      </c>
      <c r="N62" s="4">
        <v>3601.9229999999998</v>
      </c>
      <c r="O62" s="4">
        <v>3601.9229999999998</v>
      </c>
      <c r="P62" s="4">
        <v>0</v>
      </c>
      <c r="Q62" s="3" t="s">
        <v>26</v>
      </c>
      <c r="R62" s="3">
        <v>0</v>
      </c>
      <c r="S62" s="4">
        <v>5</v>
      </c>
      <c r="T62" s="4">
        <v>6</v>
      </c>
      <c r="U62" s="4">
        <v>87</v>
      </c>
      <c r="V62" s="4">
        <f>IF(ISERROR(VLOOKUP($S$62,'TAR FIN'!$A$1:$O$113,15,0)),0,VLOOKUP($S$62,'TAR FIN'!$A$1:$O$113,15,0))</f>
        <v>11.59</v>
      </c>
      <c r="W62" s="4">
        <f>IF(ISERROR(VLOOKUP($T$62,'TAR FIN'!$A$1:$O$113,15,0)),0,VLOOKUP($T$62,'TAR FIN'!$A$1:$O$113,15,0))</f>
        <v>35.86</v>
      </c>
      <c r="X62" s="4">
        <f>IF(ISERROR(VLOOKUP($U$62,'TAR FIN'!$A$1:$O$113,15,0)),0,VLOOKUP($U$62,'TAR FIN'!$A$1:$O$113,15,0))</f>
        <v>222.31</v>
      </c>
      <c r="Y62" s="4">
        <f ca="1">('TUSD BE'!$AM$6+'TUSD BF'!$AM$6+'TUSD CVA'!$AM$6)*1</f>
        <v>10.94172345363083</v>
      </c>
      <c r="Z62" s="4">
        <f ca="1">('TUSD BE'!$AM$7+'TUSD BF'!$AM$7+'TUSD CVA'!$AM$7)*1</f>
        <v>45.946048451030222</v>
      </c>
      <c r="AA62" s="4">
        <f>('TE BE'!$AA$6+'TE BF'!$AA$6+'TE CVA'!$AA$6)*1</f>
        <v>223.14561812044704</v>
      </c>
      <c r="AB62" s="4">
        <f>$K$62*$V$62</f>
        <v>123688.48</v>
      </c>
      <c r="AC62" s="4">
        <f>$M$62*$W$62</f>
        <v>129164.95877999999</v>
      </c>
      <c r="AD62" s="4">
        <f>$O$62*$X$62</f>
        <v>800743.50212999992</v>
      </c>
      <c r="AE62" s="4">
        <f ca="1">$K$62*$Y$62</f>
        <v>116770.07269714822</v>
      </c>
      <c r="AF62" s="4">
        <f ca="1">$M$62*$Z$62</f>
        <v>165494.12867488011</v>
      </c>
      <c r="AG62" s="4">
        <f>$O$62*$AA$62</f>
        <v>803753.33425725496</v>
      </c>
    </row>
    <row r="63" spans="1:3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44440</v>
      </c>
      <c r="J63" s="4">
        <v>34304</v>
      </c>
      <c r="K63" s="4">
        <v>34304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0</v>
      </c>
      <c r="S63" s="4">
        <v>5</v>
      </c>
      <c r="T63" s="4">
        <v>0</v>
      </c>
      <c r="U63" s="4">
        <v>0</v>
      </c>
      <c r="V63" s="4">
        <f>IF(ISERROR(VLOOKUP($S$63,'TAR FIN'!$A$1:$O$113,15,0)),0,VLOOKUP($S$63,'TAR FIN'!$A$1:$O$113,15,0))</f>
        <v>11.59</v>
      </c>
      <c r="W63" s="4">
        <f>IF(ISERROR(VLOOKUP($T$63,'TAR FIN'!$A$1:$O$113,15,0)),0,VLOOKUP($T$63,'TAR FIN'!$A$1:$O$113,15,0))</f>
        <v>0</v>
      </c>
      <c r="X63" s="4">
        <f>IF(ISERROR(VLOOKUP($U$63,'TAR FIN'!$A$1:$O$113,15,0)),0,VLOOKUP($U$63,'TAR FIN'!$A$1:$O$113,15,0))</f>
        <v>0</v>
      </c>
      <c r="Y63" s="4">
        <f ca="1">('TUSD BE'!$AM$6+'TUSD BF'!$AM$6+'TUSD CVA'!$AM$6)*1</f>
        <v>10.94172345363083</v>
      </c>
      <c r="Z63" s="4">
        <f ca="1">('TUSD BE'!$AM$7+'TUSD BF'!$AM$7+'TUSD CVA'!$AM$7)*1</f>
        <v>45.946048451030222</v>
      </c>
      <c r="AA63" s="4"/>
      <c r="AB63" s="4">
        <f>$K$63*$V$63</f>
        <v>397583.35999999999</v>
      </c>
      <c r="AC63" s="4">
        <f>$M$63*$W$63</f>
        <v>0</v>
      </c>
      <c r="AD63" s="4">
        <f>$O$63*$X$63</f>
        <v>0</v>
      </c>
      <c r="AE63" s="4">
        <f ca="1">$K$63*$Y$63</f>
        <v>375344.88135335199</v>
      </c>
      <c r="AF63" s="4">
        <f ca="1">$M$63*$Z$63</f>
        <v>0</v>
      </c>
      <c r="AG63" s="4">
        <f>$O$63*$AA$63</f>
        <v>0</v>
      </c>
    </row>
    <row r="64" spans="1:33" ht="11.25" customHeight="1" x14ac:dyDescent="0.25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44470</v>
      </c>
      <c r="J64" s="4">
        <v>11408</v>
      </c>
      <c r="K64" s="4">
        <v>11408</v>
      </c>
      <c r="L64" s="4">
        <v>3525.7629999999999</v>
      </c>
      <c r="M64" s="4">
        <v>3525.7629999999999</v>
      </c>
      <c r="N64" s="4">
        <v>3525.7629999999999</v>
      </c>
      <c r="O64" s="4">
        <v>3525.7629999999999</v>
      </c>
      <c r="P64" s="4">
        <v>0</v>
      </c>
      <c r="Q64" s="3" t="s">
        <v>26</v>
      </c>
      <c r="R64" s="3">
        <v>0</v>
      </c>
      <c r="S64" s="4">
        <v>5</v>
      </c>
      <c r="T64" s="4">
        <v>6</v>
      </c>
      <c r="U64" s="4">
        <v>87</v>
      </c>
      <c r="V64" s="4">
        <f>IF(ISERROR(VLOOKUP($S$64,'TAR FIN'!$A$1:$O$113,15,0)),0,VLOOKUP($S$64,'TAR FIN'!$A$1:$O$113,15,0))</f>
        <v>11.59</v>
      </c>
      <c r="W64" s="4">
        <f>IF(ISERROR(VLOOKUP($T$64,'TAR FIN'!$A$1:$O$113,15,0)),0,VLOOKUP($T$64,'TAR FIN'!$A$1:$O$113,15,0))</f>
        <v>35.86</v>
      </c>
      <c r="X64" s="4">
        <f>IF(ISERROR(VLOOKUP($U$64,'TAR FIN'!$A$1:$O$113,15,0)),0,VLOOKUP($U$64,'TAR FIN'!$A$1:$O$113,15,0))</f>
        <v>222.31</v>
      </c>
      <c r="Y64" s="4">
        <f ca="1">('TUSD BE'!$AM$6+'TUSD BF'!$AM$6+'TUSD CVA'!$AM$6)*1</f>
        <v>10.94172345363083</v>
      </c>
      <c r="Z64" s="4">
        <f ca="1">('TUSD BE'!$AM$7+'TUSD BF'!$AM$7+'TUSD CVA'!$AM$7)*1</f>
        <v>45.946048451030222</v>
      </c>
      <c r="AA64" s="4">
        <f>('TE BE'!$AA$6+'TE BF'!$AA$6+'TE CVA'!$AA$6)*1</f>
        <v>223.14561812044704</v>
      </c>
      <c r="AB64" s="4">
        <f>$K$64*$V$64</f>
        <v>132218.72</v>
      </c>
      <c r="AC64" s="4">
        <f>$M$64*$W$64</f>
        <v>126433.86117999999</v>
      </c>
      <c r="AD64" s="4">
        <f>$O$64*$X$64</f>
        <v>783812.37252999994</v>
      </c>
      <c r="AE64" s="4">
        <f ca="1">$K$64*$Y$64</f>
        <v>124823.18115902052</v>
      </c>
      <c r="AF64" s="4">
        <f ca="1">$M$64*$Z$64</f>
        <v>161994.87762484967</v>
      </c>
      <c r="AG64" s="4">
        <f>$O$64*$AA$64</f>
        <v>786758.56398120173</v>
      </c>
    </row>
    <row r="65" spans="1:3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44470</v>
      </c>
      <c r="J65" s="4">
        <v>34372</v>
      </c>
      <c r="K65" s="4">
        <v>34372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0</v>
      </c>
      <c r="S65" s="4">
        <v>5</v>
      </c>
      <c r="T65" s="4">
        <v>0</v>
      </c>
      <c r="U65" s="4">
        <v>0</v>
      </c>
      <c r="V65" s="4">
        <f>IF(ISERROR(VLOOKUP($S$65,'TAR FIN'!$A$1:$O$113,15,0)),0,VLOOKUP($S$65,'TAR FIN'!$A$1:$O$113,15,0))</f>
        <v>11.59</v>
      </c>
      <c r="W65" s="4">
        <f>IF(ISERROR(VLOOKUP($T$65,'TAR FIN'!$A$1:$O$113,15,0)),0,VLOOKUP($T$65,'TAR FIN'!$A$1:$O$113,15,0))</f>
        <v>0</v>
      </c>
      <c r="X65" s="4">
        <f>IF(ISERROR(VLOOKUP($U$65,'TAR FIN'!$A$1:$O$113,15,0)),0,VLOOKUP($U$65,'TAR FIN'!$A$1:$O$113,15,0))</f>
        <v>0</v>
      </c>
      <c r="Y65" s="4">
        <f ca="1">('TUSD BE'!$AM$6+'TUSD BF'!$AM$6+'TUSD CVA'!$AM$6)*1</f>
        <v>10.94172345363083</v>
      </c>
      <c r="Z65" s="4">
        <f ca="1">('TUSD BE'!$AM$7+'TUSD BF'!$AM$7+'TUSD CVA'!$AM$7)*1</f>
        <v>45.946048451030222</v>
      </c>
      <c r="AA65" s="4"/>
      <c r="AB65" s="4">
        <f>$K$65*$V$65</f>
        <v>398371.48</v>
      </c>
      <c r="AC65" s="4">
        <f>$M$65*$W$65</f>
        <v>0</v>
      </c>
      <c r="AD65" s="4">
        <f>$O$65*$X$65</f>
        <v>0</v>
      </c>
      <c r="AE65" s="4">
        <f ca="1">$K$65*$Y$65</f>
        <v>376088.91854819888</v>
      </c>
      <c r="AF65" s="4">
        <f ca="1">$M$65*$Z$65</f>
        <v>0</v>
      </c>
      <c r="AG65" s="4">
        <f>$O$65*$AA$65</f>
        <v>0</v>
      </c>
    </row>
    <row r="66" spans="1:3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35</v>
      </c>
      <c r="I66" s="6">
        <v>44501</v>
      </c>
      <c r="J66" s="4">
        <v>13314</v>
      </c>
      <c r="K66" s="4">
        <v>13314</v>
      </c>
      <c r="L66" s="4">
        <v>3538.7069999999999</v>
      </c>
      <c r="M66" s="4">
        <v>3538.7069999999999</v>
      </c>
      <c r="N66" s="4">
        <v>3538.7069999999999</v>
      </c>
      <c r="O66" s="4">
        <v>3538.7069999999999</v>
      </c>
      <c r="P66" s="4">
        <v>0</v>
      </c>
      <c r="Q66" s="3" t="s">
        <v>26</v>
      </c>
      <c r="R66" s="3">
        <v>0</v>
      </c>
      <c r="S66" s="4">
        <v>5</v>
      </c>
      <c r="T66" s="4">
        <v>6</v>
      </c>
      <c r="U66" s="4">
        <v>87</v>
      </c>
      <c r="V66" s="4">
        <f>IF(ISERROR(VLOOKUP($S$66,'TAR FIN'!$A$1:$O$113,15,0)),0,VLOOKUP($S$66,'TAR FIN'!$A$1:$O$113,15,0))</f>
        <v>11.59</v>
      </c>
      <c r="W66" s="4">
        <f>IF(ISERROR(VLOOKUP($T$66,'TAR FIN'!$A$1:$O$113,15,0)),0,VLOOKUP($T$66,'TAR FIN'!$A$1:$O$113,15,0))</f>
        <v>35.86</v>
      </c>
      <c r="X66" s="4">
        <f>IF(ISERROR(VLOOKUP($U$66,'TAR FIN'!$A$1:$O$113,15,0)),0,VLOOKUP($U$66,'TAR FIN'!$A$1:$O$113,15,0))</f>
        <v>222.31</v>
      </c>
      <c r="Y66" s="4">
        <f ca="1">('TUSD BE'!$AM$6+'TUSD BF'!$AM$6+'TUSD CVA'!$AM$6)*1</f>
        <v>10.94172345363083</v>
      </c>
      <c r="Z66" s="4">
        <f ca="1">('TUSD BE'!$AM$7+'TUSD BF'!$AM$7+'TUSD CVA'!$AM$7)*1</f>
        <v>45.946048451030222</v>
      </c>
      <c r="AA66" s="4">
        <f>('TE BE'!$AA$6+'TE BF'!$AA$6+'TE CVA'!$AA$6)*1</f>
        <v>223.14561812044704</v>
      </c>
      <c r="AB66" s="4">
        <f>$K$66*$V$66</f>
        <v>154309.26</v>
      </c>
      <c r="AC66" s="4">
        <f>$M$66*$W$66</f>
        <v>126898.03301999999</v>
      </c>
      <c r="AD66" s="4">
        <f>$O$66*$X$66</f>
        <v>786689.95316999999</v>
      </c>
      <c r="AE66" s="4">
        <f ca="1">$K$66*$Y$66</f>
        <v>145678.10606164086</v>
      </c>
      <c r="AF66" s="4">
        <f ca="1">$M$66*$Z$66</f>
        <v>162589.60327599981</v>
      </c>
      <c r="AG66" s="4">
        <f>$O$66*$AA$66</f>
        <v>789646.96086215274</v>
      </c>
    </row>
    <row r="67" spans="1:3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35</v>
      </c>
      <c r="I67" s="6">
        <v>44501</v>
      </c>
      <c r="J67" s="4">
        <v>29000</v>
      </c>
      <c r="K67" s="4">
        <v>29000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0</v>
      </c>
      <c r="S67" s="4">
        <v>5</v>
      </c>
      <c r="T67" s="4">
        <v>0</v>
      </c>
      <c r="U67" s="4">
        <v>0</v>
      </c>
      <c r="V67" s="4">
        <f>IF(ISERROR(VLOOKUP($S$67,'TAR FIN'!$A$1:$O$113,15,0)),0,VLOOKUP($S$67,'TAR FIN'!$A$1:$O$113,15,0))</f>
        <v>11.59</v>
      </c>
      <c r="W67" s="4">
        <f>IF(ISERROR(VLOOKUP($T$67,'TAR FIN'!$A$1:$O$113,15,0)),0,VLOOKUP($T$67,'TAR FIN'!$A$1:$O$113,15,0))</f>
        <v>0</v>
      </c>
      <c r="X67" s="4">
        <f>IF(ISERROR(VLOOKUP($U$67,'TAR FIN'!$A$1:$O$113,15,0)),0,VLOOKUP($U$67,'TAR FIN'!$A$1:$O$113,15,0))</f>
        <v>0</v>
      </c>
      <c r="Y67" s="4">
        <f ca="1">('TUSD BE'!$AM$6+'TUSD BF'!$AM$6+'TUSD CVA'!$AM$6)*1</f>
        <v>10.94172345363083</v>
      </c>
      <c r="Z67" s="4">
        <f ca="1">('TUSD BE'!$AM$7+'TUSD BF'!$AM$7+'TUSD CVA'!$AM$7)*1</f>
        <v>45.946048451030222</v>
      </c>
      <c r="AA67" s="4"/>
      <c r="AB67" s="4">
        <f>$K$67*$V$67</f>
        <v>336110</v>
      </c>
      <c r="AC67" s="4">
        <f>$M$67*$W$67</f>
        <v>0</v>
      </c>
      <c r="AD67" s="4">
        <f>$O$67*$X$67</f>
        <v>0</v>
      </c>
      <c r="AE67" s="4">
        <f ca="1">$K$67*$Y$67</f>
        <v>317309.98015529406</v>
      </c>
      <c r="AF67" s="4">
        <f ca="1">$M$67*$Z$67</f>
        <v>0</v>
      </c>
      <c r="AG67" s="4">
        <f>$O$67*$AA$67</f>
        <v>0</v>
      </c>
    </row>
    <row r="68" spans="1:3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35</v>
      </c>
      <c r="I68" s="6">
        <v>44531</v>
      </c>
      <c r="J68" s="4">
        <v>10912</v>
      </c>
      <c r="K68" s="4">
        <v>10912</v>
      </c>
      <c r="L68" s="4">
        <v>3660.768</v>
      </c>
      <c r="M68" s="4">
        <v>3660.768</v>
      </c>
      <c r="N68" s="4">
        <v>3660.768</v>
      </c>
      <c r="O68" s="4">
        <v>3660.768</v>
      </c>
      <c r="P68" s="4">
        <v>0</v>
      </c>
      <c r="Q68" s="3" t="s">
        <v>26</v>
      </c>
      <c r="R68" s="3">
        <v>0</v>
      </c>
      <c r="S68" s="4">
        <v>5</v>
      </c>
      <c r="T68" s="4">
        <v>6</v>
      </c>
      <c r="U68" s="4">
        <v>87</v>
      </c>
      <c r="V68" s="4">
        <f>IF(ISERROR(VLOOKUP($S$68,'TAR FIN'!$A$1:$O$113,15,0)),0,VLOOKUP($S$68,'TAR FIN'!$A$1:$O$113,15,0))</f>
        <v>11.59</v>
      </c>
      <c r="W68" s="4">
        <f>IF(ISERROR(VLOOKUP($T$68,'TAR FIN'!$A$1:$O$113,15,0)),0,VLOOKUP($T$68,'TAR FIN'!$A$1:$O$113,15,0))</f>
        <v>35.86</v>
      </c>
      <c r="X68" s="4">
        <f>IF(ISERROR(VLOOKUP($U$68,'TAR FIN'!$A$1:$O$113,15,0)),0,VLOOKUP($U$68,'TAR FIN'!$A$1:$O$113,15,0))</f>
        <v>222.31</v>
      </c>
      <c r="Y68" s="4">
        <f ca="1">('TUSD BE'!$AM$6+'TUSD BF'!$AM$6+'TUSD CVA'!$AM$6)*1</f>
        <v>10.94172345363083</v>
      </c>
      <c r="Z68" s="4">
        <f ca="1">('TUSD BE'!$AM$7+'TUSD BF'!$AM$7+'TUSD CVA'!$AM$7)*1</f>
        <v>45.946048451030222</v>
      </c>
      <c r="AA68" s="4">
        <f>('TE BE'!$AA$6+'TE BF'!$AA$6+'TE CVA'!$AA$6)*1</f>
        <v>223.14561812044704</v>
      </c>
      <c r="AB68" s="4">
        <f>$K$68*$V$68</f>
        <v>126470.08</v>
      </c>
      <c r="AC68" s="4">
        <f>$M$68*$W$68</f>
        <v>131275.14048</v>
      </c>
      <c r="AD68" s="4">
        <f>$O$68*$X$68</f>
        <v>813825.33408000006</v>
      </c>
      <c r="AE68" s="4">
        <f ca="1">$K$68*$Y$68</f>
        <v>119396.08632601962</v>
      </c>
      <c r="AF68" s="4">
        <f ca="1">$M$68*$Z$68</f>
        <v>168197.82389598101</v>
      </c>
      <c r="AG68" s="4">
        <f>$O$68*$AA$68</f>
        <v>816884.33815555263</v>
      </c>
    </row>
    <row r="69" spans="1:3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35</v>
      </c>
      <c r="I69" s="6">
        <v>44531</v>
      </c>
      <c r="J69" s="4">
        <v>29000</v>
      </c>
      <c r="K69" s="4">
        <v>29000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R69" s="3">
        <v>0</v>
      </c>
      <c r="S69" s="4">
        <v>5</v>
      </c>
      <c r="T69" s="4">
        <v>0</v>
      </c>
      <c r="U69" s="4">
        <v>0</v>
      </c>
      <c r="V69" s="4">
        <f>IF(ISERROR(VLOOKUP($S$69,'TAR FIN'!$A$1:$O$113,15,0)),0,VLOOKUP($S$69,'TAR FIN'!$A$1:$O$113,15,0))</f>
        <v>11.59</v>
      </c>
      <c r="W69" s="4">
        <f>IF(ISERROR(VLOOKUP($T$69,'TAR FIN'!$A$1:$O$113,15,0)),0,VLOOKUP($T$69,'TAR FIN'!$A$1:$O$113,15,0))</f>
        <v>0</v>
      </c>
      <c r="X69" s="4">
        <f>IF(ISERROR(VLOOKUP($U$69,'TAR FIN'!$A$1:$O$113,15,0)),0,VLOOKUP($U$69,'TAR FIN'!$A$1:$O$113,15,0))</f>
        <v>0</v>
      </c>
      <c r="Y69" s="4">
        <f ca="1">('TUSD BE'!$AM$6+'TUSD BF'!$AM$6+'TUSD CVA'!$AM$6)*1</f>
        <v>10.94172345363083</v>
      </c>
      <c r="Z69" s="4">
        <f ca="1">('TUSD BE'!$AM$7+'TUSD BF'!$AM$7+'TUSD CVA'!$AM$7)*1</f>
        <v>45.946048451030222</v>
      </c>
      <c r="AA69" s="4"/>
      <c r="AB69" s="4">
        <f>$K$69*$V$69</f>
        <v>336110</v>
      </c>
      <c r="AC69" s="4">
        <f>$M$69*$W$69</f>
        <v>0</v>
      </c>
      <c r="AD69" s="4">
        <f>$O$69*$X$69</f>
        <v>0</v>
      </c>
      <c r="AE69" s="4">
        <f ca="1">$K$69*$Y$69</f>
        <v>317309.98015529406</v>
      </c>
      <c r="AF69" s="4">
        <f ca="1">$M$69*$Z$69</f>
        <v>0</v>
      </c>
      <c r="AG69" s="4">
        <f>$O$69*$AA$69</f>
        <v>0</v>
      </c>
    </row>
    <row r="70" spans="1:3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35</v>
      </c>
      <c r="I70" s="6">
        <v>44562</v>
      </c>
      <c r="J70" s="4">
        <v>10869</v>
      </c>
      <c r="K70" s="4">
        <v>10869</v>
      </c>
      <c r="L70" s="4">
        <v>3110.2190000000001</v>
      </c>
      <c r="M70" s="4">
        <v>3110.2190000000001</v>
      </c>
      <c r="N70" s="4">
        <v>3110.2190000000001</v>
      </c>
      <c r="O70" s="4">
        <v>3110.2190000000001</v>
      </c>
      <c r="P70" s="4">
        <v>0</v>
      </c>
      <c r="Q70" s="3" t="s">
        <v>26</v>
      </c>
      <c r="R70" s="3">
        <v>0</v>
      </c>
      <c r="S70" s="4">
        <v>5</v>
      </c>
      <c r="T70" s="4">
        <v>6</v>
      </c>
      <c r="U70" s="4">
        <v>87</v>
      </c>
      <c r="V70" s="4">
        <f>IF(ISERROR(VLOOKUP($S$70,'TAR FIN'!$A$1:$O$113,15,0)),0,VLOOKUP($S$70,'TAR FIN'!$A$1:$O$113,15,0))</f>
        <v>11.59</v>
      </c>
      <c r="W70" s="4">
        <f>IF(ISERROR(VLOOKUP($T$70,'TAR FIN'!$A$1:$O$113,15,0)),0,VLOOKUP($T$70,'TAR FIN'!$A$1:$O$113,15,0))</f>
        <v>35.86</v>
      </c>
      <c r="X70" s="4">
        <f>IF(ISERROR(VLOOKUP($U$70,'TAR FIN'!$A$1:$O$113,15,0)),0,VLOOKUP($U$70,'TAR FIN'!$A$1:$O$113,15,0))</f>
        <v>222.31</v>
      </c>
      <c r="Y70" s="4">
        <f ca="1">('TUSD BE'!$AM$6+'TUSD BF'!$AM$6+'TUSD CVA'!$AM$6)*1</f>
        <v>10.94172345363083</v>
      </c>
      <c r="Z70" s="4">
        <f ca="1">('TUSD BE'!$AM$7+'TUSD BF'!$AM$7+'TUSD CVA'!$AM$7)*1</f>
        <v>45.946048451030222</v>
      </c>
      <c r="AA70" s="4">
        <f>('TE BE'!$AA$6+'TE BF'!$AA$6+'TE CVA'!$AA$6)*1</f>
        <v>223.14561812044704</v>
      </c>
      <c r="AB70" s="4">
        <f>$K$70*$V$70</f>
        <v>125971.70999999999</v>
      </c>
      <c r="AC70" s="4">
        <f>$M$70*$W$70</f>
        <v>111532.45334000001</v>
      </c>
      <c r="AD70" s="4">
        <f>$O$70*$X$70</f>
        <v>691432.78589000006</v>
      </c>
      <c r="AE70" s="4">
        <f ca="1">$K$70*$Y$70</f>
        <v>118925.59221751349</v>
      </c>
      <c r="AF70" s="4">
        <f ca="1">$M$70*$Z$70</f>
        <v>142902.27286731478</v>
      </c>
      <c r="AG70" s="4">
        <f>$O$70*$AA$70</f>
        <v>694031.74124495871</v>
      </c>
    </row>
    <row r="71" spans="1:33" ht="11.25" customHeight="1" x14ac:dyDescent="0.25">
      <c r="A71" s="3" t="s">
        <v>27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35</v>
      </c>
      <c r="I71" s="6">
        <v>44562</v>
      </c>
      <c r="J71" s="4">
        <v>0</v>
      </c>
      <c r="K71" s="4">
        <v>0</v>
      </c>
      <c r="L71" s="4">
        <v>56</v>
      </c>
      <c r="M71" s="4">
        <v>56</v>
      </c>
      <c r="N71" s="4">
        <v>56</v>
      </c>
      <c r="O71" s="4">
        <v>56</v>
      </c>
      <c r="P71" s="4">
        <v>0</v>
      </c>
      <c r="Q71" s="3" t="s">
        <v>26</v>
      </c>
      <c r="R71" s="3">
        <v>0</v>
      </c>
      <c r="S71" s="4">
        <v>0</v>
      </c>
      <c r="T71" s="4">
        <v>6</v>
      </c>
      <c r="U71" s="4">
        <v>87</v>
      </c>
      <c r="V71" s="4">
        <f>IF(ISERROR(VLOOKUP($S$71,'TAR FIN'!$A$1:$O$113,15,0)),0,VLOOKUP($S$71,'TAR FIN'!$A$1:$O$113,15,0))</f>
        <v>0</v>
      </c>
      <c r="W71" s="4">
        <f>IF(ISERROR(VLOOKUP($T$71,'TAR FIN'!$A$1:$O$113,15,0)),0,VLOOKUP($T$71,'TAR FIN'!$A$1:$O$113,15,0))</f>
        <v>35.86</v>
      </c>
      <c r="X71" s="4">
        <f>IF(ISERROR(VLOOKUP($U$71,'TAR FIN'!$A$1:$O$113,15,0)),0,VLOOKUP($U$71,'TAR FIN'!$A$1:$O$113,15,0))</f>
        <v>222.31</v>
      </c>
      <c r="Y71" s="4">
        <f ca="1">('TUSD BE'!$AM$6+'TUSD BF'!$AM$6+'TUSD CVA'!$AM$6)*1</f>
        <v>10.94172345363083</v>
      </c>
      <c r="Z71" s="4">
        <f ca="1">('TUSD BE'!$AM$7+'TUSD BF'!$AM$7+'TUSD CVA'!$AM$7)*1</f>
        <v>45.946048451030222</v>
      </c>
      <c r="AA71" s="4">
        <f>('TE BE'!$AA$6+'TE BF'!$AA$6+'TE CVA'!$AA$6)*1</f>
        <v>223.14561812044704</v>
      </c>
      <c r="AB71" s="4">
        <f>$K$71*$V$71</f>
        <v>0</v>
      </c>
      <c r="AC71" s="4">
        <f>$M$71*$W$71</f>
        <v>2008.1599999999999</v>
      </c>
      <c r="AD71" s="4">
        <f>$O$71*$X$71</f>
        <v>12449.36</v>
      </c>
      <c r="AE71" s="4">
        <f ca="1">$K$71*$Y$71</f>
        <v>0</v>
      </c>
      <c r="AF71" s="4">
        <f ca="1">$M$71*$Z$71</f>
        <v>2572.9787132576926</v>
      </c>
      <c r="AG71" s="4">
        <f>$O$71*$AA$71</f>
        <v>12496.154614745034</v>
      </c>
    </row>
    <row r="72" spans="1:3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35</v>
      </c>
      <c r="I72" s="6">
        <v>44562</v>
      </c>
      <c r="J72" s="4">
        <v>34485</v>
      </c>
      <c r="K72" s="4">
        <v>34485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R72" s="3">
        <v>0</v>
      </c>
      <c r="S72" s="4">
        <v>5</v>
      </c>
      <c r="T72" s="4">
        <v>0</v>
      </c>
      <c r="U72" s="4">
        <v>0</v>
      </c>
      <c r="V72" s="4">
        <f>IF(ISERROR(VLOOKUP($S$72,'TAR FIN'!$A$1:$O$113,15,0)),0,VLOOKUP($S$72,'TAR FIN'!$A$1:$O$113,15,0))</f>
        <v>11.59</v>
      </c>
      <c r="W72" s="4">
        <f>IF(ISERROR(VLOOKUP($T$72,'TAR FIN'!$A$1:$O$113,15,0)),0,VLOOKUP($T$72,'TAR FIN'!$A$1:$O$113,15,0))</f>
        <v>0</v>
      </c>
      <c r="X72" s="4">
        <f>IF(ISERROR(VLOOKUP($U$72,'TAR FIN'!$A$1:$O$113,15,0)),0,VLOOKUP($U$72,'TAR FIN'!$A$1:$O$113,15,0))</f>
        <v>0</v>
      </c>
      <c r="Y72" s="4">
        <f ca="1">('TUSD BE'!$AM$6+'TUSD BF'!$AM$6+'TUSD CVA'!$AM$6)*1</f>
        <v>10.94172345363083</v>
      </c>
      <c r="Z72" s="4">
        <f ca="1">('TUSD BE'!$AM$7+'TUSD BF'!$AM$7+'TUSD CVA'!$AM$7)*1</f>
        <v>45.946048451030222</v>
      </c>
      <c r="AA72" s="4"/>
      <c r="AB72" s="4">
        <f>$K$72*$V$72</f>
        <v>399681.15</v>
      </c>
      <c r="AC72" s="4">
        <f>$M$72*$W$72</f>
        <v>0</v>
      </c>
      <c r="AD72" s="4">
        <f>$O$72*$X$72</f>
        <v>0</v>
      </c>
      <c r="AE72" s="4">
        <f ca="1">$K$72*$Y$72</f>
        <v>377325.33329845918</v>
      </c>
      <c r="AF72" s="4">
        <f ca="1">$M$72*$Z$72</f>
        <v>0</v>
      </c>
      <c r="AG72" s="4">
        <f>$O$72*$AA$72</f>
        <v>0</v>
      </c>
    </row>
    <row r="73" spans="1:3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35</v>
      </c>
      <c r="I73" s="6">
        <v>44593</v>
      </c>
      <c r="J73" s="4">
        <v>10836</v>
      </c>
      <c r="K73" s="4">
        <v>10836</v>
      </c>
      <c r="L73" s="4">
        <v>3208.0810000000001</v>
      </c>
      <c r="M73" s="4">
        <v>3208.0810000000001</v>
      </c>
      <c r="N73" s="4">
        <v>3208.0810000000001</v>
      </c>
      <c r="O73" s="4">
        <v>3208.0810000000001</v>
      </c>
      <c r="P73" s="4">
        <v>0</v>
      </c>
      <c r="Q73" s="3" t="s">
        <v>26</v>
      </c>
      <c r="R73" s="3">
        <v>0</v>
      </c>
      <c r="S73" s="4">
        <v>5</v>
      </c>
      <c r="T73" s="4">
        <v>6</v>
      </c>
      <c r="U73" s="4">
        <v>87</v>
      </c>
      <c r="V73" s="4">
        <f>IF(ISERROR(VLOOKUP($S$73,'TAR FIN'!$A$1:$O$113,15,0)),0,VLOOKUP($S$73,'TAR FIN'!$A$1:$O$113,15,0))</f>
        <v>11.59</v>
      </c>
      <c r="W73" s="4">
        <f>IF(ISERROR(VLOOKUP($T$73,'TAR FIN'!$A$1:$O$113,15,0)),0,VLOOKUP($T$73,'TAR FIN'!$A$1:$O$113,15,0))</f>
        <v>35.86</v>
      </c>
      <c r="X73" s="4">
        <f>IF(ISERROR(VLOOKUP($U$73,'TAR FIN'!$A$1:$O$113,15,0)),0,VLOOKUP($U$73,'TAR FIN'!$A$1:$O$113,15,0))</f>
        <v>222.31</v>
      </c>
      <c r="Y73" s="4">
        <f ca="1">('TUSD BE'!$AM$6+'TUSD BF'!$AM$6+'TUSD CVA'!$AM$6)*1</f>
        <v>10.94172345363083</v>
      </c>
      <c r="Z73" s="4">
        <f ca="1">('TUSD BE'!$AM$7+'TUSD BF'!$AM$7+'TUSD CVA'!$AM$7)*1</f>
        <v>45.946048451030222</v>
      </c>
      <c r="AA73" s="4">
        <f>('TE BE'!$AA$6+'TE BF'!$AA$6+'TE CVA'!$AA$6)*1</f>
        <v>223.14561812044704</v>
      </c>
      <c r="AB73" s="4">
        <f>$K$73*$V$73</f>
        <v>125589.24</v>
      </c>
      <c r="AC73" s="4">
        <f>$M$73*$W$73</f>
        <v>115041.78466</v>
      </c>
      <c r="AD73" s="4">
        <f>$O$73*$X$73</f>
        <v>713188.48710999999</v>
      </c>
      <c r="AE73" s="4">
        <f ca="1">$K$73*$Y$73</f>
        <v>118564.51534354368</v>
      </c>
      <c r="AF73" s="4">
        <f ca="1">$M$73*$Z$73</f>
        <v>147398.6450608295</v>
      </c>
      <c r="AG73" s="4">
        <f>$O$73*$AA$73</f>
        <v>715869.21772546193</v>
      </c>
    </row>
    <row r="74" spans="1:33" ht="11.25" customHeight="1" x14ac:dyDescent="0.25">
      <c r="A74" s="3" t="s">
        <v>21</v>
      </c>
      <c r="B74" s="3" t="s">
        <v>39</v>
      </c>
      <c r="C74" s="3" t="s">
        <v>40</v>
      </c>
      <c r="D74" s="3" t="s">
        <v>38</v>
      </c>
      <c r="E74" s="3" t="s">
        <v>25</v>
      </c>
      <c r="F74" s="3" t="s">
        <v>25</v>
      </c>
      <c r="G74" s="3" t="s">
        <v>25</v>
      </c>
      <c r="H74" s="3" t="s">
        <v>35</v>
      </c>
      <c r="I74" s="6">
        <v>44593</v>
      </c>
      <c r="J74" s="4">
        <v>29000</v>
      </c>
      <c r="K74" s="4">
        <v>29000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R74" s="3">
        <v>0</v>
      </c>
      <c r="S74" s="4">
        <v>5</v>
      </c>
      <c r="T74" s="4">
        <v>0</v>
      </c>
      <c r="U74" s="4">
        <v>0</v>
      </c>
      <c r="V74" s="4">
        <f>IF(ISERROR(VLOOKUP($S$74,'TAR FIN'!$A$1:$O$113,15,0)),0,VLOOKUP($S$74,'TAR FIN'!$A$1:$O$113,15,0))</f>
        <v>11.59</v>
      </c>
      <c r="W74" s="4">
        <f>IF(ISERROR(VLOOKUP($T$74,'TAR FIN'!$A$1:$O$113,15,0)),0,VLOOKUP($T$74,'TAR FIN'!$A$1:$O$113,15,0))</f>
        <v>0</v>
      </c>
      <c r="X74" s="4">
        <f>IF(ISERROR(VLOOKUP($U$74,'TAR FIN'!$A$1:$O$113,15,0)),0,VLOOKUP($U$74,'TAR FIN'!$A$1:$O$113,15,0))</f>
        <v>0</v>
      </c>
      <c r="Y74" s="4">
        <f ca="1">('TUSD BE'!$AM$6+'TUSD BF'!$AM$6+'TUSD CVA'!$AM$6)*1</f>
        <v>10.94172345363083</v>
      </c>
      <c r="Z74" s="4">
        <f ca="1">('TUSD BE'!$AM$7+'TUSD BF'!$AM$7+'TUSD CVA'!$AM$7)*1</f>
        <v>45.946048451030222</v>
      </c>
      <c r="AA74" s="4"/>
      <c r="AB74" s="4">
        <f>$K$74*$V$74</f>
        <v>336110</v>
      </c>
      <c r="AC74" s="4">
        <f>$M$74*$W$74</f>
        <v>0</v>
      </c>
      <c r="AD74" s="4">
        <f>$O$74*$X$74</f>
        <v>0</v>
      </c>
      <c r="AE74" s="4">
        <f ca="1">$K$74*$Y$74</f>
        <v>317309.98015529406</v>
      </c>
      <c r="AF74" s="4">
        <f ca="1">$M$74*$Z$74</f>
        <v>0</v>
      </c>
      <c r="AG74" s="4">
        <f>$O$74*$AA$74</f>
        <v>0</v>
      </c>
    </row>
    <row r="75" spans="1:33" ht="11.25" customHeight="1" x14ac:dyDescent="0.25">
      <c r="A75" s="3" t="s">
        <v>56</v>
      </c>
      <c r="B75" s="3" t="s">
        <v>39</v>
      </c>
      <c r="C75" s="3" t="s">
        <v>40</v>
      </c>
      <c r="D75" s="3" t="s">
        <v>38</v>
      </c>
      <c r="E75" s="3" t="s">
        <v>25</v>
      </c>
      <c r="F75" s="3" t="s">
        <v>25</v>
      </c>
      <c r="G75" s="3" t="s">
        <v>25</v>
      </c>
      <c r="H75" s="3" t="s">
        <v>35</v>
      </c>
      <c r="I75" s="6">
        <v>44621</v>
      </c>
      <c r="J75" s="4">
        <v>10836</v>
      </c>
      <c r="K75" s="4">
        <v>10836</v>
      </c>
      <c r="L75" s="4">
        <v>3208.0810000000001</v>
      </c>
      <c r="M75" s="4">
        <v>3208.0810000000001</v>
      </c>
      <c r="N75" s="4">
        <v>3208.0810000000001</v>
      </c>
      <c r="O75" s="4">
        <v>3208.0810000000001</v>
      </c>
      <c r="P75" s="4">
        <v>0</v>
      </c>
      <c r="Q75" s="3" t="s">
        <v>26</v>
      </c>
      <c r="R75" s="3">
        <v>0</v>
      </c>
      <c r="S75" s="4">
        <v>5</v>
      </c>
      <c r="T75" s="4">
        <v>6</v>
      </c>
      <c r="U75" s="4">
        <v>87</v>
      </c>
      <c r="V75" s="4">
        <f>IF(ISERROR(VLOOKUP($S$75,'TAR FIN'!$A$1:$O$113,15,0)),0,VLOOKUP($S$75,'TAR FIN'!$A$1:$O$113,15,0))</f>
        <v>11.59</v>
      </c>
      <c r="W75" s="4">
        <f>IF(ISERROR(VLOOKUP($T$75,'TAR FIN'!$A$1:$O$113,15,0)),0,VLOOKUP($T$75,'TAR FIN'!$A$1:$O$113,15,0))</f>
        <v>35.86</v>
      </c>
      <c r="X75" s="4">
        <f>IF(ISERROR(VLOOKUP($U$75,'TAR FIN'!$A$1:$O$113,15,0)),0,VLOOKUP($U$75,'TAR FIN'!$A$1:$O$113,15,0))</f>
        <v>222.31</v>
      </c>
      <c r="Y75" s="4">
        <f ca="1">('TUSD BE'!$AM$6+'TUSD BF'!$AM$6+'TUSD CVA'!$AM$6)*1</f>
        <v>10.94172345363083</v>
      </c>
      <c r="Z75" s="4">
        <f ca="1">('TUSD BE'!$AM$7+'TUSD BF'!$AM$7+'TUSD CVA'!$AM$7)*1</f>
        <v>45.946048451030222</v>
      </c>
      <c r="AA75" s="4">
        <f>('TE BE'!$AA$6+'TE BF'!$AA$6+'TE CVA'!$AA$6)*1</f>
        <v>223.14561812044704</v>
      </c>
      <c r="AB75" s="4">
        <f>$K$75*$V$75</f>
        <v>125589.24</v>
      </c>
      <c r="AC75" s="4">
        <f>$M$75*$W$75</f>
        <v>115041.78466</v>
      </c>
      <c r="AD75" s="4">
        <f>$O$75*$X$75</f>
        <v>713188.48710999999</v>
      </c>
      <c r="AE75" s="4">
        <f ca="1">$K$75*$Y$75</f>
        <v>118564.51534354368</v>
      </c>
      <c r="AF75" s="4">
        <f ca="1">$M$75*$Z$75</f>
        <v>147398.6450608295</v>
      </c>
      <c r="AG75" s="4">
        <f>$O$75*$AA$75</f>
        <v>715869.21772546193</v>
      </c>
    </row>
    <row r="76" spans="1:33" ht="11.25" customHeight="1" x14ac:dyDescent="0.25">
      <c r="A76" s="3" t="s">
        <v>56</v>
      </c>
      <c r="B76" s="3" t="s">
        <v>39</v>
      </c>
      <c r="C76" s="3" t="s">
        <v>40</v>
      </c>
      <c r="D76" s="3" t="s">
        <v>38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44621</v>
      </c>
      <c r="J76" s="4">
        <v>29000</v>
      </c>
      <c r="K76" s="4">
        <v>29000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R76" s="3">
        <v>0</v>
      </c>
      <c r="S76" s="4">
        <v>5</v>
      </c>
      <c r="T76" s="4">
        <v>0</v>
      </c>
      <c r="U76" s="4">
        <v>0</v>
      </c>
      <c r="V76" s="4">
        <f>IF(ISERROR(VLOOKUP($S$76,'TAR FIN'!$A$1:$O$113,15,0)),0,VLOOKUP($S$76,'TAR FIN'!$A$1:$O$113,15,0))</f>
        <v>11.59</v>
      </c>
      <c r="W76" s="4">
        <f>IF(ISERROR(VLOOKUP($T$76,'TAR FIN'!$A$1:$O$113,15,0)),0,VLOOKUP($T$76,'TAR FIN'!$A$1:$O$113,15,0))</f>
        <v>0</v>
      </c>
      <c r="X76" s="4">
        <f>IF(ISERROR(VLOOKUP($U$76,'TAR FIN'!$A$1:$O$113,15,0)),0,VLOOKUP($U$76,'TAR FIN'!$A$1:$O$113,15,0))</f>
        <v>0</v>
      </c>
      <c r="Y76" s="4">
        <f ca="1">('TUSD BE'!$AM$6+'TUSD BF'!$AM$6+'TUSD CVA'!$AM$6)*1</f>
        <v>10.94172345363083</v>
      </c>
      <c r="Z76" s="4">
        <f ca="1">('TUSD BE'!$AM$7+'TUSD BF'!$AM$7+'TUSD CVA'!$AM$7)*1</f>
        <v>45.946048451030222</v>
      </c>
      <c r="AA76" s="4"/>
      <c r="AB76" s="4">
        <f>$K$76*$V$76</f>
        <v>336110</v>
      </c>
      <c r="AC76" s="4">
        <f>$M$76*$W$76</f>
        <v>0</v>
      </c>
      <c r="AD76" s="4">
        <f>$O$76*$X$76</f>
        <v>0</v>
      </c>
      <c r="AE76" s="4">
        <f ca="1">$K$76*$Y$76</f>
        <v>317309.98015529406</v>
      </c>
      <c r="AF76" s="4">
        <f ca="1">$M$76*$Z$76</f>
        <v>0</v>
      </c>
      <c r="AG76" s="4">
        <f>$O$76*$AA$76</f>
        <v>0</v>
      </c>
    </row>
    <row r="77" spans="1:33" ht="11.25" customHeight="1" x14ac:dyDescent="0.25">
      <c r="A77" s="3" t="s">
        <v>21</v>
      </c>
      <c r="B77" s="3" t="s">
        <v>39</v>
      </c>
      <c r="C77" s="3" t="s">
        <v>40</v>
      </c>
      <c r="D77" s="3" t="s">
        <v>38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44287</v>
      </c>
      <c r="J77" s="4">
        <v>0</v>
      </c>
      <c r="K77" s="4">
        <v>0</v>
      </c>
      <c r="L77" s="4">
        <v>17535.516</v>
      </c>
      <c r="M77" s="4">
        <v>17535.516</v>
      </c>
      <c r="N77" s="4">
        <v>0</v>
      </c>
      <c r="O77" s="4">
        <v>0</v>
      </c>
      <c r="P77" s="4">
        <v>5</v>
      </c>
      <c r="Q77" s="3" t="s">
        <v>57</v>
      </c>
      <c r="R77" s="3">
        <v>0</v>
      </c>
      <c r="S77" s="4">
        <v>0</v>
      </c>
      <c r="T77" s="4">
        <v>6</v>
      </c>
      <c r="U77" s="4">
        <v>0</v>
      </c>
      <c r="V77" s="4">
        <f>IF(ISERROR(VLOOKUP($S$77,'TAR FIN'!$A$1:$O$113,15,0)),0,VLOOKUP($S$77,'TAR FIN'!$A$1:$O$113,15,0))</f>
        <v>0</v>
      </c>
      <c r="W77" s="4">
        <f>IF(ISERROR(VLOOKUP($T$77,'TAR FIN'!$A$1:$O$113,15,0)),0,VLOOKUP($T$77,'TAR FIN'!$A$1:$O$113,15,0))</f>
        <v>35.86</v>
      </c>
      <c r="X77" s="4">
        <f>IF(ISERROR(VLOOKUP($U$77,'TAR FIN'!$A$1:$O$113,15,0)),0,VLOOKUP($U$77,'TAR FIN'!$A$1:$O$113,15,0))</f>
        <v>0</v>
      </c>
      <c r="Y77" s="4"/>
      <c r="Z77" s="4">
        <f ca="1">('TUSD BE'!$AM$7+'TUSD BF'!$AM$7+'TUSD CVA'!$AM$7)*1</f>
        <v>45.946048451030222</v>
      </c>
      <c r="AA77" s="4"/>
      <c r="AB77" s="4">
        <f>$K$77*$V$77</f>
        <v>0</v>
      </c>
      <c r="AC77" s="4">
        <f>$M$77*$W$77</f>
        <v>628823.60375999997</v>
      </c>
      <c r="AD77" s="4">
        <f>$O$77*$X$77</f>
        <v>0</v>
      </c>
      <c r="AE77" s="4">
        <f>$K$77*$Y$77</f>
        <v>0</v>
      </c>
      <c r="AF77" s="4">
        <f ca="1">$M$77*$Z$77</f>
        <v>805687.66774981562</v>
      </c>
      <c r="AG77" s="4">
        <f>$O$77*$AA$77</f>
        <v>0</v>
      </c>
    </row>
    <row r="78" spans="1:33" ht="11.25" customHeight="1" x14ac:dyDescent="0.25">
      <c r="A78" s="3" t="s">
        <v>27</v>
      </c>
      <c r="B78" s="3" t="s">
        <v>39</v>
      </c>
      <c r="C78" s="3" t="s">
        <v>40</v>
      </c>
      <c r="D78" s="3" t="s">
        <v>38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44287</v>
      </c>
      <c r="J78" s="4">
        <v>0</v>
      </c>
      <c r="K78" s="4">
        <v>0</v>
      </c>
      <c r="L78" s="4">
        <v>-8611.0249999999996</v>
      </c>
      <c r="M78" s="4">
        <v>-8611.0249999999996</v>
      </c>
      <c r="N78" s="4">
        <v>0</v>
      </c>
      <c r="O78" s="4">
        <v>0</v>
      </c>
      <c r="P78" s="4">
        <v>0</v>
      </c>
      <c r="Q78" s="3" t="s">
        <v>57</v>
      </c>
      <c r="R78" s="3">
        <v>0</v>
      </c>
      <c r="S78" s="4">
        <v>0</v>
      </c>
      <c r="T78" s="4">
        <v>6</v>
      </c>
      <c r="U78" s="4">
        <v>0</v>
      </c>
      <c r="V78" s="4">
        <f>IF(ISERROR(VLOOKUP($S$78,'TAR FIN'!$A$1:$O$113,15,0)),0,VLOOKUP($S$78,'TAR FIN'!$A$1:$O$113,15,0))</f>
        <v>0</v>
      </c>
      <c r="W78" s="4">
        <f>IF(ISERROR(VLOOKUP($T$78,'TAR FIN'!$A$1:$O$113,15,0)),0,VLOOKUP($T$78,'TAR FIN'!$A$1:$O$113,15,0))</f>
        <v>35.86</v>
      </c>
      <c r="X78" s="4">
        <f>IF(ISERROR(VLOOKUP($U$78,'TAR FIN'!$A$1:$O$113,15,0)),0,VLOOKUP($U$78,'TAR FIN'!$A$1:$O$113,15,0))</f>
        <v>0</v>
      </c>
      <c r="Y78" s="4"/>
      <c r="Z78" s="4">
        <f ca="1">('TUSD BE'!$AM$7+'TUSD BF'!$AM$7+'TUSD CVA'!$AM$7)*1</f>
        <v>45.946048451030222</v>
      </c>
      <c r="AA78" s="4"/>
      <c r="AB78" s="4">
        <f>$K$78*$V$78</f>
        <v>0</v>
      </c>
      <c r="AC78" s="4">
        <f>$M$78*$W$78</f>
        <v>-308791.35649999999</v>
      </c>
      <c r="AD78" s="4">
        <f>$O$78*$X$78</f>
        <v>0</v>
      </c>
      <c r="AE78" s="4">
        <f>$K$78*$Y$78</f>
        <v>0</v>
      </c>
      <c r="AF78" s="4">
        <f ca="1">$M$78*$Z$78</f>
        <v>-395642.57186303253</v>
      </c>
      <c r="AG78" s="4">
        <f>$O$78*$AA$78</f>
        <v>0</v>
      </c>
    </row>
    <row r="79" spans="1:33" ht="11.25" customHeight="1" x14ac:dyDescent="0.25">
      <c r="A79" s="3" t="s">
        <v>21</v>
      </c>
      <c r="B79" s="3" t="s">
        <v>39</v>
      </c>
      <c r="C79" s="3" t="s">
        <v>40</v>
      </c>
      <c r="D79" s="3" t="s">
        <v>38</v>
      </c>
      <c r="E79" s="3" t="s">
        <v>25</v>
      </c>
      <c r="F79" s="3" t="s">
        <v>25</v>
      </c>
      <c r="G79" s="3" t="s">
        <v>25</v>
      </c>
      <c r="H79" s="3" t="s">
        <v>25</v>
      </c>
      <c r="I79" s="6">
        <v>44317</v>
      </c>
      <c r="J79" s="4">
        <v>0</v>
      </c>
      <c r="K79" s="4">
        <v>0</v>
      </c>
      <c r="L79" s="4">
        <v>16297.62</v>
      </c>
      <c r="M79" s="4">
        <v>16297.62</v>
      </c>
      <c r="N79" s="4">
        <v>0</v>
      </c>
      <c r="O79" s="4">
        <v>0</v>
      </c>
      <c r="P79" s="4">
        <v>5</v>
      </c>
      <c r="Q79" s="3" t="s">
        <v>57</v>
      </c>
      <c r="R79" s="3">
        <v>0</v>
      </c>
      <c r="S79" s="4">
        <v>0</v>
      </c>
      <c r="T79" s="4">
        <v>6</v>
      </c>
      <c r="U79" s="4">
        <v>0</v>
      </c>
      <c r="V79" s="4">
        <f>IF(ISERROR(VLOOKUP($S$79,'TAR FIN'!$A$1:$O$113,15,0)),0,VLOOKUP($S$79,'TAR FIN'!$A$1:$O$113,15,0))</f>
        <v>0</v>
      </c>
      <c r="W79" s="4">
        <f>IF(ISERROR(VLOOKUP($T$79,'TAR FIN'!$A$1:$O$113,15,0)),0,VLOOKUP($T$79,'TAR FIN'!$A$1:$O$113,15,0))</f>
        <v>35.86</v>
      </c>
      <c r="X79" s="4">
        <f>IF(ISERROR(VLOOKUP($U$79,'TAR FIN'!$A$1:$O$113,15,0)),0,VLOOKUP($U$79,'TAR FIN'!$A$1:$O$113,15,0))</f>
        <v>0</v>
      </c>
      <c r="Y79" s="4"/>
      <c r="Z79" s="4">
        <f ca="1">('TUSD BE'!$AM$7+'TUSD BF'!$AM$7+'TUSD CVA'!$AM$7)*1</f>
        <v>45.946048451030222</v>
      </c>
      <c r="AA79" s="4"/>
      <c r="AB79" s="4">
        <f>$K$79*$V$79</f>
        <v>0</v>
      </c>
      <c r="AC79" s="4">
        <f>$M$79*$W$79</f>
        <v>584432.65320000006</v>
      </c>
      <c r="AD79" s="4">
        <f>$O$79*$X$79</f>
        <v>0</v>
      </c>
      <c r="AE79" s="4">
        <f>$K$79*$Y$79</f>
        <v>0</v>
      </c>
      <c r="AF79" s="4">
        <f ca="1">$M$79*$Z$79</f>
        <v>748811.2381564792</v>
      </c>
      <c r="AG79" s="4">
        <f>$O$79*$AA$79</f>
        <v>0</v>
      </c>
    </row>
    <row r="80" spans="1:33" ht="11.25" customHeight="1" x14ac:dyDescent="0.25">
      <c r="A80" s="3" t="s">
        <v>27</v>
      </c>
      <c r="B80" s="3" t="s">
        <v>39</v>
      </c>
      <c r="C80" s="3" t="s">
        <v>40</v>
      </c>
      <c r="D80" s="3" t="s">
        <v>38</v>
      </c>
      <c r="E80" s="3" t="s">
        <v>25</v>
      </c>
      <c r="F80" s="3" t="s">
        <v>25</v>
      </c>
      <c r="G80" s="3" t="s">
        <v>25</v>
      </c>
      <c r="H80" s="3" t="s">
        <v>25</v>
      </c>
      <c r="I80" s="6">
        <v>44317</v>
      </c>
      <c r="J80" s="4">
        <v>0</v>
      </c>
      <c r="K80" s="4">
        <v>0</v>
      </c>
      <c r="L80" s="4">
        <v>-9286.5879999999997</v>
      </c>
      <c r="M80" s="4">
        <v>-9286.5879999999997</v>
      </c>
      <c r="N80" s="4">
        <v>0</v>
      </c>
      <c r="O80" s="4">
        <v>0</v>
      </c>
      <c r="P80" s="4">
        <v>0</v>
      </c>
      <c r="Q80" s="3" t="s">
        <v>57</v>
      </c>
      <c r="R80" s="3">
        <v>0</v>
      </c>
      <c r="S80" s="4">
        <v>0</v>
      </c>
      <c r="T80" s="4">
        <v>6</v>
      </c>
      <c r="U80" s="4">
        <v>0</v>
      </c>
      <c r="V80" s="4">
        <f>IF(ISERROR(VLOOKUP($S$80,'TAR FIN'!$A$1:$O$113,15,0)),0,VLOOKUP($S$80,'TAR FIN'!$A$1:$O$113,15,0))</f>
        <v>0</v>
      </c>
      <c r="W80" s="4">
        <f>IF(ISERROR(VLOOKUP($T$80,'TAR FIN'!$A$1:$O$113,15,0)),0,VLOOKUP($T$80,'TAR FIN'!$A$1:$O$113,15,0))</f>
        <v>35.86</v>
      </c>
      <c r="X80" s="4">
        <f>IF(ISERROR(VLOOKUP($U$80,'TAR FIN'!$A$1:$O$113,15,0)),0,VLOOKUP($U$80,'TAR FIN'!$A$1:$O$113,15,0))</f>
        <v>0</v>
      </c>
      <c r="Y80" s="4"/>
      <c r="Z80" s="4">
        <f ca="1">('TUSD BE'!$AM$7+'TUSD BF'!$AM$7+'TUSD CVA'!$AM$7)*1</f>
        <v>45.946048451030222</v>
      </c>
      <c r="AA80" s="4"/>
      <c r="AB80" s="4">
        <f>$K$80*$V$80</f>
        <v>0</v>
      </c>
      <c r="AC80" s="4">
        <f>$M$80*$W$80</f>
        <v>-333017.04567999998</v>
      </c>
      <c r="AD80" s="4">
        <f>$O$80*$X$80</f>
        <v>0</v>
      </c>
      <c r="AE80" s="4">
        <f>$K$80*$Y$80</f>
        <v>0</v>
      </c>
      <c r="AF80" s="4">
        <f ca="1">$M$80*$Z$80</f>
        <v>-426682.02219275583</v>
      </c>
      <c r="AG80" s="4">
        <f>$O$80*$AA$80</f>
        <v>0</v>
      </c>
    </row>
    <row r="81" spans="1:33" ht="11.25" customHeight="1" x14ac:dyDescent="0.25">
      <c r="A81" s="3" t="s">
        <v>21</v>
      </c>
      <c r="B81" s="3" t="s">
        <v>39</v>
      </c>
      <c r="C81" s="3" t="s">
        <v>40</v>
      </c>
      <c r="D81" s="3" t="s">
        <v>38</v>
      </c>
      <c r="E81" s="3" t="s">
        <v>25</v>
      </c>
      <c r="F81" s="3" t="s">
        <v>25</v>
      </c>
      <c r="G81" s="3" t="s">
        <v>25</v>
      </c>
      <c r="H81" s="3" t="s">
        <v>25</v>
      </c>
      <c r="I81" s="6">
        <v>44348</v>
      </c>
      <c r="J81" s="4">
        <v>0</v>
      </c>
      <c r="K81" s="4">
        <v>0</v>
      </c>
      <c r="L81" s="4">
        <v>16579.490000000002</v>
      </c>
      <c r="M81" s="4">
        <v>16579.490000000002</v>
      </c>
      <c r="N81" s="4">
        <v>0</v>
      </c>
      <c r="O81" s="4">
        <v>0</v>
      </c>
      <c r="P81" s="4">
        <v>5</v>
      </c>
      <c r="Q81" s="3" t="s">
        <v>57</v>
      </c>
      <c r="R81" s="3">
        <v>0</v>
      </c>
      <c r="S81" s="4">
        <v>0</v>
      </c>
      <c r="T81" s="4">
        <v>6</v>
      </c>
      <c r="U81" s="4">
        <v>0</v>
      </c>
      <c r="V81" s="4">
        <f>IF(ISERROR(VLOOKUP($S$81,'TAR FIN'!$A$1:$O$113,15,0)),0,VLOOKUP($S$81,'TAR FIN'!$A$1:$O$113,15,0))</f>
        <v>0</v>
      </c>
      <c r="W81" s="4">
        <f>IF(ISERROR(VLOOKUP($T$81,'TAR FIN'!$A$1:$O$113,15,0)),0,VLOOKUP($T$81,'TAR FIN'!$A$1:$O$113,15,0))</f>
        <v>35.86</v>
      </c>
      <c r="X81" s="4">
        <f>IF(ISERROR(VLOOKUP($U$81,'TAR FIN'!$A$1:$O$113,15,0)),0,VLOOKUP($U$81,'TAR FIN'!$A$1:$O$113,15,0))</f>
        <v>0</v>
      </c>
      <c r="Y81" s="4"/>
      <c r="Z81" s="4">
        <f ca="1">('TUSD BE'!$AM$7+'TUSD BF'!$AM$7+'TUSD CVA'!$AM$7)*1</f>
        <v>45.946048451030222</v>
      </c>
      <c r="AA81" s="4"/>
      <c r="AB81" s="4">
        <f>$K$81*$V$81</f>
        <v>0</v>
      </c>
      <c r="AC81" s="4">
        <f>$M$81*$W$81</f>
        <v>594540.51140000008</v>
      </c>
      <c r="AD81" s="4">
        <f>$O$81*$X$81</f>
        <v>0</v>
      </c>
      <c r="AE81" s="4">
        <f>$K$81*$Y$81</f>
        <v>0</v>
      </c>
      <c r="AF81" s="4">
        <f ca="1">$M$81*$Z$81</f>
        <v>761762.05083337112</v>
      </c>
      <c r="AG81" s="4">
        <f>$O$81*$AA$81</f>
        <v>0</v>
      </c>
    </row>
    <row r="82" spans="1:33" ht="11.25" customHeight="1" x14ac:dyDescent="0.25">
      <c r="A82" s="3" t="s">
        <v>27</v>
      </c>
      <c r="B82" s="3" t="s">
        <v>39</v>
      </c>
      <c r="C82" s="3" t="s">
        <v>40</v>
      </c>
      <c r="D82" s="3" t="s">
        <v>38</v>
      </c>
      <c r="E82" s="3" t="s">
        <v>25</v>
      </c>
      <c r="F82" s="3" t="s">
        <v>25</v>
      </c>
      <c r="G82" s="3" t="s">
        <v>25</v>
      </c>
      <c r="H82" s="3" t="s">
        <v>25</v>
      </c>
      <c r="I82" s="6">
        <v>44348</v>
      </c>
      <c r="J82" s="4">
        <v>0</v>
      </c>
      <c r="K82" s="4">
        <v>0</v>
      </c>
      <c r="L82" s="4">
        <v>-8567.4310000000005</v>
      </c>
      <c r="M82" s="4">
        <v>-8567.4310000000005</v>
      </c>
      <c r="N82" s="4">
        <v>0</v>
      </c>
      <c r="O82" s="4">
        <v>0</v>
      </c>
      <c r="P82" s="4">
        <v>0</v>
      </c>
      <c r="Q82" s="3" t="s">
        <v>57</v>
      </c>
      <c r="R82" s="3">
        <v>0</v>
      </c>
      <c r="S82" s="4">
        <v>0</v>
      </c>
      <c r="T82" s="4">
        <v>6</v>
      </c>
      <c r="U82" s="4">
        <v>0</v>
      </c>
      <c r="V82" s="4">
        <f>IF(ISERROR(VLOOKUP($S$82,'TAR FIN'!$A$1:$O$113,15,0)),0,VLOOKUP($S$82,'TAR FIN'!$A$1:$O$113,15,0))</f>
        <v>0</v>
      </c>
      <c r="W82" s="4">
        <f>IF(ISERROR(VLOOKUP($T$82,'TAR FIN'!$A$1:$O$113,15,0)),0,VLOOKUP($T$82,'TAR FIN'!$A$1:$O$113,15,0))</f>
        <v>35.86</v>
      </c>
      <c r="X82" s="4">
        <f>IF(ISERROR(VLOOKUP($U$82,'TAR FIN'!$A$1:$O$113,15,0)),0,VLOOKUP($U$82,'TAR FIN'!$A$1:$O$113,15,0))</f>
        <v>0</v>
      </c>
      <c r="Y82" s="4"/>
      <c r="Z82" s="4">
        <f ca="1">('TUSD BE'!$AM$7+'TUSD BF'!$AM$7+'TUSD CVA'!$AM$7)*1</f>
        <v>45.946048451030222</v>
      </c>
      <c r="AA82" s="4"/>
      <c r="AB82" s="4">
        <f>$K$82*$V$82</f>
        <v>0</v>
      </c>
      <c r="AC82" s="4">
        <f>$M$82*$W$82</f>
        <v>-307228.07566000003</v>
      </c>
      <c r="AD82" s="4">
        <f>$O$82*$X$82</f>
        <v>0</v>
      </c>
      <c r="AE82" s="4">
        <f>$K$82*$Y$82</f>
        <v>0</v>
      </c>
      <c r="AF82" s="4">
        <f ca="1">$M$82*$Z$82</f>
        <v>-393639.59982685832</v>
      </c>
      <c r="AG82" s="4">
        <f>$O$82*$AA$82</f>
        <v>0</v>
      </c>
    </row>
    <row r="83" spans="1:33" ht="11.25" customHeight="1" x14ac:dyDescent="0.25">
      <c r="A83" s="3" t="s">
        <v>21</v>
      </c>
      <c r="B83" s="3" t="s">
        <v>39</v>
      </c>
      <c r="C83" s="3" t="s">
        <v>40</v>
      </c>
      <c r="D83" s="3" t="s">
        <v>38</v>
      </c>
      <c r="E83" s="3" t="s">
        <v>25</v>
      </c>
      <c r="F83" s="3" t="s">
        <v>25</v>
      </c>
      <c r="G83" s="3" t="s">
        <v>25</v>
      </c>
      <c r="H83" s="3" t="s">
        <v>25</v>
      </c>
      <c r="I83" s="6">
        <v>44378</v>
      </c>
      <c r="J83" s="4">
        <v>0</v>
      </c>
      <c r="K83" s="4">
        <v>0</v>
      </c>
      <c r="L83" s="4">
        <v>16228.864</v>
      </c>
      <c r="M83" s="4">
        <v>16228.864</v>
      </c>
      <c r="N83" s="4">
        <v>0</v>
      </c>
      <c r="O83" s="4">
        <v>0</v>
      </c>
      <c r="P83" s="4">
        <v>5</v>
      </c>
      <c r="Q83" s="3" t="s">
        <v>57</v>
      </c>
      <c r="R83" s="3">
        <v>0</v>
      </c>
      <c r="S83" s="4">
        <v>0</v>
      </c>
      <c r="T83" s="4">
        <v>6</v>
      </c>
      <c r="U83" s="4">
        <v>0</v>
      </c>
      <c r="V83" s="4">
        <f>IF(ISERROR(VLOOKUP($S$83,'TAR FIN'!$A$1:$O$113,15,0)),0,VLOOKUP($S$83,'TAR FIN'!$A$1:$O$113,15,0))</f>
        <v>0</v>
      </c>
      <c r="W83" s="4">
        <f>IF(ISERROR(VLOOKUP($T$83,'TAR FIN'!$A$1:$O$113,15,0)),0,VLOOKUP($T$83,'TAR FIN'!$A$1:$O$113,15,0))</f>
        <v>35.86</v>
      </c>
      <c r="X83" s="4">
        <f>IF(ISERROR(VLOOKUP($U$83,'TAR FIN'!$A$1:$O$113,15,0)),0,VLOOKUP($U$83,'TAR FIN'!$A$1:$O$113,15,0))</f>
        <v>0</v>
      </c>
      <c r="Y83" s="4"/>
      <c r="Z83" s="4">
        <f ca="1">('TUSD BE'!$AM$7+'TUSD BF'!$AM$7+'TUSD CVA'!$AM$7)*1</f>
        <v>45.946048451030222</v>
      </c>
      <c r="AA83" s="4"/>
      <c r="AB83" s="4">
        <f>$K$83*$V$83</f>
        <v>0</v>
      </c>
      <c r="AC83" s="4">
        <f>$M$83*$W$83</f>
        <v>581967.06303999992</v>
      </c>
      <c r="AD83" s="4">
        <f>$O$83*$X$83</f>
        <v>0</v>
      </c>
      <c r="AE83" s="4">
        <f>$K$83*$Y$83</f>
        <v>0</v>
      </c>
      <c r="AF83" s="4">
        <f ca="1">$M$83*$Z$83</f>
        <v>745652.17164918012</v>
      </c>
      <c r="AG83" s="4">
        <f>$O$83*$AA$83</f>
        <v>0</v>
      </c>
    </row>
    <row r="84" spans="1:33" ht="11.25" customHeight="1" x14ac:dyDescent="0.25">
      <c r="A84" s="3" t="s">
        <v>27</v>
      </c>
      <c r="B84" s="3" t="s">
        <v>39</v>
      </c>
      <c r="C84" s="3" t="s">
        <v>40</v>
      </c>
      <c r="D84" s="3" t="s">
        <v>38</v>
      </c>
      <c r="E84" s="3" t="s">
        <v>25</v>
      </c>
      <c r="F84" s="3" t="s">
        <v>25</v>
      </c>
      <c r="G84" s="3" t="s">
        <v>25</v>
      </c>
      <c r="H84" s="3" t="s">
        <v>25</v>
      </c>
      <c r="I84" s="6">
        <v>44378</v>
      </c>
      <c r="J84" s="4">
        <v>0</v>
      </c>
      <c r="K84" s="4">
        <v>0</v>
      </c>
      <c r="L84" s="4">
        <v>-8502.1830000000009</v>
      </c>
      <c r="M84" s="4">
        <v>-8502.1830000000009</v>
      </c>
      <c r="N84" s="4">
        <v>0</v>
      </c>
      <c r="O84" s="4">
        <v>0</v>
      </c>
      <c r="P84" s="4">
        <v>0</v>
      </c>
      <c r="Q84" s="3" t="s">
        <v>57</v>
      </c>
      <c r="R84" s="3">
        <v>0</v>
      </c>
      <c r="S84" s="4">
        <v>0</v>
      </c>
      <c r="T84" s="4">
        <v>6</v>
      </c>
      <c r="U84" s="4">
        <v>0</v>
      </c>
      <c r="V84" s="4">
        <f>IF(ISERROR(VLOOKUP($S$84,'TAR FIN'!$A$1:$O$113,15,0)),0,VLOOKUP($S$84,'TAR FIN'!$A$1:$O$113,15,0))</f>
        <v>0</v>
      </c>
      <c r="W84" s="4">
        <f>IF(ISERROR(VLOOKUP($T$84,'TAR FIN'!$A$1:$O$113,15,0)),0,VLOOKUP($T$84,'TAR FIN'!$A$1:$O$113,15,0))</f>
        <v>35.86</v>
      </c>
      <c r="X84" s="4">
        <f>IF(ISERROR(VLOOKUP($U$84,'TAR FIN'!$A$1:$O$113,15,0)),0,VLOOKUP($U$84,'TAR FIN'!$A$1:$O$113,15,0))</f>
        <v>0</v>
      </c>
      <c r="Y84" s="4"/>
      <c r="Z84" s="4">
        <f ca="1">('TUSD BE'!$AM$7+'TUSD BF'!$AM$7+'TUSD CVA'!$AM$7)*1</f>
        <v>45.946048451030222</v>
      </c>
      <c r="AA84" s="4"/>
      <c r="AB84" s="4">
        <f>$K$84*$V$84</f>
        <v>0</v>
      </c>
      <c r="AC84" s="4">
        <f>$M$84*$W$84</f>
        <v>-304888.28238000005</v>
      </c>
      <c r="AD84" s="4">
        <f>$O$84*$X$84</f>
        <v>0</v>
      </c>
      <c r="AE84" s="4">
        <f>$K$84*$Y$84</f>
        <v>0</v>
      </c>
      <c r="AF84" s="4">
        <f ca="1">$M$84*$Z$84</f>
        <v>-390641.71205752552</v>
      </c>
      <c r="AG84" s="4">
        <f>$O$84*$AA$84</f>
        <v>0</v>
      </c>
    </row>
    <row r="85" spans="1:33" ht="11.25" customHeight="1" x14ac:dyDescent="0.25">
      <c r="A85" s="3" t="s">
        <v>21</v>
      </c>
      <c r="B85" s="3" t="s">
        <v>39</v>
      </c>
      <c r="C85" s="3" t="s">
        <v>40</v>
      </c>
      <c r="D85" s="3" t="s">
        <v>38</v>
      </c>
      <c r="E85" s="3" t="s">
        <v>25</v>
      </c>
      <c r="F85" s="3" t="s">
        <v>25</v>
      </c>
      <c r="G85" s="3" t="s">
        <v>25</v>
      </c>
      <c r="H85" s="3" t="s">
        <v>25</v>
      </c>
      <c r="I85" s="6">
        <v>44409</v>
      </c>
      <c r="J85" s="4">
        <v>0</v>
      </c>
      <c r="K85" s="4">
        <v>0</v>
      </c>
      <c r="L85" s="4">
        <v>16190.949000000001</v>
      </c>
      <c r="M85" s="4">
        <v>16190.949000000001</v>
      </c>
      <c r="N85" s="4">
        <v>0</v>
      </c>
      <c r="O85" s="4">
        <v>0</v>
      </c>
      <c r="P85" s="4">
        <v>5</v>
      </c>
      <c r="Q85" s="3" t="s">
        <v>57</v>
      </c>
      <c r="R85" s="3">
        <v>0</v>
      </c>
      <c r="S85" s="4">
        <v>0</v>
      </c>
      <c r="T85" s="4">
        <v>6</v>
      </c>
      <c r="U85" s="4">
        <v>0</v>
      </c>
      <c r="V85" s="4">
        <f>IF(ISERROR(VLOOKUP($S$85,'TAR FIN'!$A$1:$O$113,15,0)),0,VLOOKUP($S$85,'TAR FIN'!$A$1:$O$113,15,0))</f>
        <v>0</v>
      </c>
      <c r="W85" s="4">
        <f>IF(ISERROR(VLOOKUP($T$85,'TAR FIN'!$A$1:$O$113,15,0)),0,VLOOKUP($T$85,'TAR FIN'!$A$1:$O$113,15,0))</f>
        <v>35.86</v>
      </c>
      <c r="X85" s="4">
        <f>IF(ISERROR(VLOOKUP($U$85,'TAR FIN'!$A$1:$O$113,15,0)),0,VLOOKUP($U$85,'TAR FIN'!$A$1:$O$113,15,0))</f>
        <v>0</v>
      </c>
      <c r="Y85" s="4"/>
      <c r="Z85" s="4">
        <f ca="1">('TUSD BE'!$AM$7+'TUSD BF'!$AM$7+'TUSD CVA'!$AM$7)*1</f>
        <v>45.946048451030222</v>
      </c>
      <c r="AA85" s="4"/>
      <c r="AB85" s="4">
        <f>$K$85*$V$85</f>
        <v>0</v>
      </c>
      <c r="AC85" s="4">
        <f>$M$85*$W$85</f>
        <v>580607.43114</v>
      </c>
      <c r="AD85" s="4">
        <f>$O$85*$X$85</f>
        <v>0</v>
      </c>
      <c r="AE85" s="4">
        <f>$K$85*$Y$85</f>
        <v>0</v>
      </c>
      <c r="AF85" s="4">
        <f ca="1">$M$85*$Z$85</f>
        <v>743910.1272221593</v>
      </c>
      <c r="AG85" s="4">
        <f>$O$85*$AA$85</f>
        <v>0</v>
      </c>
    </row>
    <row r="86" spans="1:33" ht="11.25" customHeight="1" x14ac:dyDescent="0.25">
      <c r="A86" s="3" t="s">
        <v>27</v>
      </c>
      <c r="B86" s="3" t="s">
        <v>39</v>
      </c>
      <c r="C86" s="3" t="s">
        <v>40</v>
      </c>
      <c r="D86" s="3" t="s">
        <v>38</v>
      </c>
      <c r="E86" s="3" t="s">
        <v>25</v>
      </c>
      <c r="F86" s="3" t="s">
        <v>25</v>
      </c>
      <c r="G86" s="3" t="s">
        <v>25</v>
      </c>
      <c r="H86" s="3" t="s">
        <v>25</v>
      </c>
      <c r="I86" s="6">
        <v>44409</v>
      </c>
      <c r="J86" s="4">
        <v>0</v>
      </c>
      <c r="K86" s="4">
        <v>0</v>
      </c>
      <c r="L86" s="4">
        <v>-8514.0499999999993</v>
      </c>
      <c r="M86" s="4">
        <v>-8514.0499999999993</v>
      </c>
      <c r="N86" s="4">
        <v>0</v>
      </c>
      <c r="O86" s="4">
        <v>0</v>
      </c>
      <c r="P86" s="4">
        <v>0</v>
      </c>
      <c r="Q86" s="3" t="s">
        <v>57</v>
      </c>
      <c r="R86" s="3">
        <v>0</v>
      </c>
      <c r="S86" s="4">
        <v>0</v>
      </c>
      <c r="T86" s="4">
        <v>6</v>
      </c>
      <c r="U86" s="4">
        <v>0</v>
      </c>
      <c r="V86" s="4">
        <f>IF(ISERROR(VLOOKUP($S$86,'TAR FIN'!$A$1:$O$113,15,0)),0,VLOOKUP($S$86,'TAR FIN'!$A$1:$O$113,15,0))</f>
        <v>0</v>
      </c>
      <c r="W86" s="4">
        <f>IF(ISERROR(VLOOKUP($T$86,'TAR FIN'!$A$1:$O$113,15,0)),0,VLOOKUP($T$86,'TAR FIN'!$A$1:$O$113,15,0))</f>
        <v>35.86</v>
      </c>
      <c r="X86" s="4">
        <f>IF(ISERROR(VLOOKUP($U$86,'TAR FIN'!$A$1:$O$113,15,0)),0,VLOOKUP($U$86,'TAR FIN'!$A$1:$O$113,15,0))</f>
        <v>0</v>
      </c>
      <c r="Y86" s="4"/>
      <c r="Z86" s="4">
        <f ca="1">('TUSD BE'!$AM$7+'TUSD BF'!$AM$7+'TUSD CVA'!$AM$7)*1</f>
        <v>45.946048451030222</v>
      </c>
      <c r="AA86" s="4"/>
      <c r="AB86" s="4">
        <f>$K$86*$V$86</f>
        <v>0</v>
      </c>
      <c r="AC86" s="4">
        <f>$M$86*$W$86</f>
        <v>-305313.83299999998</v>
      </c>
      <c r="AD86" s="4">
        <f>$O$86*$X$86</f>
        <v>0</v>
      </c>
      <c r="AE86" s="4">
        <f>$K$86*$Y$86</f>
        <v>0</v>
      </c>
      <c r="AF86" s="4">
        <f ca="1">$M$86*$Z$86</f>
        <v>-391186.95381449384</v>
      </c>
      <c r="AG86" s="4">
        <f>$O$86*$AA$86</f>
        <v>0</v>
      </c>
    </row>
    <row r="87" spans="1:33" ht="11.25" customHeight="1" x14ac:dyDescent="0.25">
      <c r="A87" s="3" t="s">
        <v>21</v>
      </c>
      <c r="B87" s="3" t="s">
        <v>39</v>
      </c>
      <c r="C87" s="3" t="s">
        <v>40</v>
      </c>
      <c r="D87" s="3" t="s">
        <v>38</v>
      </c>
      <c r="E87" s="3" t="s">
        <v>25</v>
      </c>
      <c r="F87" s="3" t="s">
        <v>25</v>
      </c>
      <c r="G87" s="3" t="s">
        <v>25</v>
      </c>
      <c r="H87" s="3" t="s">
        <v>25</v>
      </c>
      <c r="I87" s="6">
        <v>44440</v>
      </c>
      <c r="J87" s="4">
        <v>0</v>
      </c>
      <c r="K87" s="4">
        <v>0</v>
      </c>
      <c r="L87" s="4">
        <v>16741.626</v>
      </c>
      <c r="M87" s="4">
        <v>16741.626</v>
      </c>
      <c r="N87" s="4">
        <v>0</v>
      </c>
      <c r="O87" s="4">
        <v>0</v>
      </c>
      <c r="P87" s="4">
        <v>5</v>
      </c>
      <c r="Q87" s="3" t="s">
        <v>57</v>
      </c>
      <c r="R87" s="3">
        <v>0</v>
      </c>
      <c r="S87" s="4">
        <v>0</v>
      </c>
      <c r="T87" s="4">
        <v>6</v>
      </c>
      <c r="U87" s="4">
        <v>0</v>
      </c>
      <c r="V87" s="4">
        <f>IF(ISERROR(VLOOKUP($S$87,'TAR FIN'!$A$1:$O$113,15,0)),0,VLOOKUP($S$87,'TAR FIN'!$A$1:$O$113,15,0))</f>
        <v>0</v>
      </c>
      <c r="W87" s="4">
        <f>IF(ISERROR(VLOOKUP($T$87,'TAR FIN'!$A$1:$O$113,15,0)),0,VLOOKUP($T$87,'TAR FIN'!$A$1:$O$113,15,0))</f>
        <v>35.86</v>
      </c>
      <c r="X87" s="4">
        <f>IF(ISERROR(VLOOKUP($U$87,'TAR FIN'!$A$1:$O$113,15,0)),0,VLOOKUP($U$87,'TAR FIN'!$A$1:$O$113,15,0))</f>
        <v>0</v>
      </c>
      <c r="Y87" s="4"/>
      <c r="Z87" s="4">
        <f ca="1">('TUSD BE'!$AM$7+'TUSD BF'!$AM$7+'TUSD CVA'!$AM$7)*1</f>
        <v>45.946048451030222</v>
      </c>
      <c r="AA87" s="4"/>
      <c r="AB87" s="4">
        <f>$K$87*$V$87</f>
        <v>0</v>
      </c>
      <c r="AC87" s="4">
        <f>$M$87*$W$87</f>
        <v>600354.70836000005</v>
      </c>
      <c r="AD87" s="4">
        <f>$O$87*$X$87</f>
        <v>0</v>
      </c>
      <c r="AE87" s="4">
        <f>$K$87*$Y$87</f>
        <v>0</v>
      </c>
      <c r="AF87" s="4">
        <f ca="1">$M$87*$Z$87</f>
        <v>769211.55934502732</v>
      </c>
      <c r="AG87" s="4">
        <f>$O$87*$AA$87</f>
        <v>0</v>
      </c>
    </row>
    <row r="88" spans="1:33" ht="11.25" customHeight="1" x14ac:dyDescent="0.25">
      <c r="A88" s="3" t="s">
        <v>27</v>
      </c>
      <c r="B88" s="3" t="s">
        <v>39</v>
      </c>
      <c r="C88" s="3" t="s">
        <v>40</v>
      </c>
      <c r="D88" s="3" t="s">
        <v>38</v>
      </c>
      <c r="E88" s="3" t="s">
        <v>25</v>
      </c>
      <c r="F88" s="3" t="s">
        <v>25</v>
      </c>
      <c r="G88" s="3" t="s">
        <v>25</v>
      </c>
      <c r="H88" s="3" t="s">
        <v>25</v>
      </c>
      <c r="I88" s="6">
        <v>44440</v>
      </c>
      <c r="J88" s="4">
        <v>0</v>
      </c>
      <c r="K88" s="4">
        <v>0</v>
      </c>
      <c r="L88" s="4">
        <v>-8410.0169999999998</v>
      </c>
      <c r="M88" s="4">
        <v>-8410.0169999999998</v>
      </c>
      <c r="N88" s="4">
        <v>0</v>
      </c>
      <c r="O88" s="4">
        <v>0</v>
      </c>
      <c r="P88" s="4">
        <v>0</v>
      </c>
      <c r="Q88" s="3" t="s">
        <v>57</v>
      </c>
      <c r="R88" s="3">
        <v>0</v>
      </c>
      <c r="S88" s="4">
        <v>0</v>
      </c>
      <c r="T88" s="4">
        <v>6</v>
      </c>
      <c r="U88" s="4">
        <v>0</v>
      </c>
      <c r="V88" s="4">
        <f>IF(ISERROR(VLOOKUP($S$88,'TAR FIN'!$A$1:$O$113,15,0)),0,VLOOKUP($S$88,'TAR FIN'!$A$1:$O$113,15,0))</f>
        <v>0</v>
      </c>
      <c r="W88" s="4">
        <f>IF(ISERROR(VLOOKUP($T$88,'TAR FIN'!$A$1:$O$113,15,0)),0,VLOOKUP($T$88,'TAR FIN'!$A$1:$O$113,15,0))</f>
        <v>35.86</v>
      </c>
      <c r="X88" s="4">
        <f>IF(ISERROR(VLOOKUP($U$88,'TAR FIN'!$A$1:$O$113,15,0)),0,VLOOKUP($U$88,'TAR FIN'!$A$1:$O$113,15,0))</f>
        <v>0</v>
      </c>
      <c r="Y88" s="4"/>
      <c r="Z88" s="4">
        <f ca="1">('TUSD BE'!$AM$7+'TUSD BF'!$AM$7+'TUSD CVA'!$AM$7)*1</f>
        <v>45.946048451030222</v>
      </c>
      <c r="AA88" s="4"/>
      <c r="AB88" s="4">
        <f>$K$88*$V$88</f>
        <v>0</v>
      </c>
      <c r="AC88" s="4">
        <f>$M$88*$W$88</f>
        <v>-301583.20961999998</v>
      </c>
      <c r="AD88" s="4">
        <f>$O$88*$X$88</f>
        <v>0</v>
      </c>
      <c r="AE88" s="4">
        <f>$K$88*$Y$88</f>
        <v>0</v>
      </c>
      <c r="AF88" s="4">
        <f ca="1">$M$88*$Z$88</f>
        <v>-386407.04855598783</v>
      </c>
      <c r="AG88" s="4">
        <f>$O$88*$AA$88</f>
        <v>0</v>
      </c>
    </row>
    <row r="89" spans="1:33" ht="11.25" customHeight="1" x14ac:dyDescent="0.25">
      <c r="A89" s="3" t="s">
        <v>21</v>
      </c>
      <c r="B89" s="3" t="s">
        <v>39</v>
      </c>
      <c r="C89" s="3" t="s">
        <v>40</v>
      </c>
      <c r="D89" s="3" t="s">
        <v>38</v>
      </c>
      <c r="E89" s="3" t="s">
        <v>25</v>
      </c>
      <c r="F89" s="3" t="s">
        <v>25</v>
      </c>
      <c r="G89" s="3" t="s">
        <v>25</v>
      </c>
      <c r="H89" s="3" t="s">
        <v>25</v>
      </c>
      <c r="I89" s="6">
        <v>44470</v>
      </c>
      <c r="J89" s="4">
        <v>0</v>
      </c>
      <c r="K89" s="4">
        <v>0</v>
      </c>
      <c r="L89" s="4">
        <v>16446.648000000001</v>
      </c>
      <c r="M89" s="4">
        <v>16446.648000000001</v>
      </c>
      <c r="N89" s="4">
        <v>0</v>
      </c>
      <c r="O89" s="4">
        <v>0</v>
      </c>
      <c r="P89" s="4">
        <v>5</v>
      </c>
      <c r="Q89" s="3" t="s">
        <v>57</v>
      </c>
      <c r="R89" s="3">
        <v>0</v>
      </c>
      <c r="S89" s="4">
        <v>0</v>
      </c>
      <c r="T89" s="4">
        <v>6</v>
      </c>
      <c r="U89" s="4">
        <v>0</v>
      </c>
      <c r="V89" s="4">
        <f>IF(ISERROR(VLOOKUP($S$89,'TAR FIN'!$A$1:$O$113,15,0)),0,VLOOKUP($S$89,'TAR FIN'!$A$1:$O$113,15,0))</f>
        <v>0</v>
      </c>
      <c r="W89" s="4">
        <f>IF(ISERROR(VLOOKUP($T$89,'TAR FIN'!$A$1:$O$113,15,0)),0,VLOOKUP($T$89,'TAR FIN'!$A$1:$O$113,15,0))</f>
        <v>35.86</v>
      </c>
      <c r="X89" s="4">
        <f>IF(ISERROR(VLOOKUP($U$89,'TAR FIN'!$A$1:$O$113,15,0)),0,VLOOKUP($U$89,'TAR FIN'!$A$1:$O$113,15,0))</f>
        <v>0</v>
      </c>
      <c r="Y89" s="4"/>
      <c r="Z89" s="4">
        <f ca="1">('TUSD BE'!$AM$7+'TUSD BF'!$AM$7+'TUSD CVA'!$AM$7)*1</f>
        <v>45.946048451030222</v>
      </c>
      <c r="AA89" s="4"/>
      <c r="AB89" s="4">
        <f>$K$89*$V$89</f>
        <v>0</v>
      </c>
      <c r="AC89" s="4">
        <f>$M$89*$W$89</f>
        <v>589776.79728000006</v>
      </c>
      <c r="AD89" s="4">
        <f>$O$89*$X$89</f>
        <v>0</v>
      </c>
      <c r="AE89" s="4">
        <f>$K$89*$Y$89</f>
        <v>0</v>
      </c>
      <c r="AF89" s="4">
        <f ca="1">$M$89*$Z$89</f>
        <v>755658.4858650394</v>
      </c>
      <c r="AG89" s="4">
        <f>$O$89*$AA$89</f>
        <v>0</v>
      </c>
    </row>
    <row r="90" spans="1:33" ht="11.25" customHeight="1" x14ac:dyDescent="0.25">
      <c r="A90" s="3" t="s">
        <v>27</v>
      </c>
      <c r="B90" s="3" t="s">
        <v>39</v>
      </c>
      <c r="C90" s="3" t="s">
        <v>40</v>
      </c>
      <c r="D90" s="3" t="s">
        <v>38</v>
      </c>
      <c r="E90" s="3" t="s">
        <v>25</v>
      </c>
      <c r="F90" s="3" t="s">
        <v>25</v>
      </c>
      <c r="G90" s="3" t="s">
        <v>25</v>
      </c>
      <c r="H90" s="3" t="s">
        <v>25</v>
      </c>
      <c r="I90" s="6">
        <v>44470</v>
      </c>
      <c r="J90" s="4">
        <v>0</v>
      </c>
      <c r="K90" s="4">
        <v>0</v>
      </c>
      <c r="L90" s="4">
        <v>-10005.154</v>
      </c>
      <c r="M90" s="4">
        <v>-10005.154</v>
      </c>
      <c r="N90" s="4">
        <v>0</v>
      </c>
      <c r="O90" s="4">
        <v>0</v>
      </c>
      <c r="P90" s="4">
        <v>0</v>
      </c>
      <c r="Q90" s="3" t="s">
        <v>57</v>
      </c>
      <c r="R90" s="3">
        <v>0</v>
      </c>
      <c r="S90" s="4">
        <v>0</v>
      </c>
      <c r="T90" s="4">
        <v>6</v>
      </c>
      <c r="U90" s="4">
        <v>0</v>
      </c>
      <c r="V90" s="4">
        <f>IF(ISERROR(VLOOKUP($S$90,'TAR FIN'!$A$1:$O$113,15,0)),0,VLOOKUP($S$90,'TAR FIN'!$A$1:$O$113,15,0))</f>
        <v>0</v>
      </c>
      <c r="W90" s="4">
        <f>IF(ISERROR(VLOOKUP($T$90,'TAR FIN'!$A$1:$O$113,15,0)),0,VLOOKUP($T$90,'TAR FIN'!$A$1:$O$113,15,0))</f>
        <v>35.86</v>
      </c>
      <c r="X90" s="4">
        <f>IF(ISERROR(VLOOKUP($U$90,'TAR FIN'!$A$1:$O$113,15,0)),0,VLOOKUP($U$90,'TAR FIN'!$A$1:$O$113,15,0))</f>
        <v>0</v>
      </c>
      <c r="Y90" s="4"/>
      <c r="Z90" s="4">
        <f ca="1">('TUSD BE'!$AM$7+'TUSD BF'!$AM$7+'TUSD CVA'!$AM$7)*1</f>
        <v>45.946048451030222</v>
      </c>
      <c r="AA90" s="4"/>
      <c r="AB90" s="4">
        <f>$K$90*$V$90</f>
        <v>0</v>
      </c>
      <c r="AC90" s="4">
        <f>$M$90*$W$90</f>
        <v>-358784.82244000002</v>
      </c>
      <c r="AD90" s="4">
        <f>$O$90*$X$90</f>
        <v>0</v>
      </c>
      <c r="AE90" s="4">
        <f>$K$90*$Y$90</f>
        <v>0</v>
      </c>
      <c r="AF90" s="4">
        <f ca="1">$M$90*$Z$90</f>
        <v>-459697.29044401884</v>
      </c>
      <c r="AG90" s="4">
        <f>$O$90*$AA$90</f>
        <v>0</v>
      </c>
    </row>
    <row r="91" spans="1:33" ht="11.25" customHeight="1" x14ac:dyDescent="0.25">
      <c r="A91" s="3" t="s">
        <v>21</v>
      </c>
      <c r="B91" s="3" t="s">
        <v>39</v>
      </c>
      <c r="C91" s="3" t="s">
        <v>40</v>
      </c>
      <c r="D91" s="3" t="s">
        <v>38</v>
      </c>
      <c r="E91" s="3" t="s">
        <v>25</v>
      </c>
      <c r="F91" s="3" t="s">
        <v>25</v>
      </c>
      <c r="G91" s="3" t="s">
        <v>25</v>
      </c>
      <c r="H91" s="3" t="s">
        <v>25</v>
      </c>
      <c r="I91" s="6">
        <v>44501</v>
      </c>
      <c r="J91" s="4">
        <v>0</v>
      </c>
      <c r="K91" s="4">
        <v>0</v>
      </c>
      <c r="L91" s="4">
        <v>13548.636</v>
      </c>
      <c r="M91" s="4">
        <v>13548.636</v>
      </c>
      <c r="N91" s="4">
        <v>0</v>
      </c>
      <c r="O91" s="4">
        <v>0</v>
      </c>
      <c r="P91" s="4">
        <v>4</v>
      </c>
      <c r="Q91" s="3" t="s">
        <v>57</v>
      </c>
      <c r="R91" s="3">
        <v>0</v>
      </c>
      <c r="S91" s="4">
        <v>0</v>
      </c>
      <c r="T91" s="4">
        <v>6</v>
      </c>
      <c r="U91" s="4">
        <v>0</v>
      </c>
      <c r="V91" s="4">
        <f>IF(ISERROR(VLOOKUP($S$91,'TAR FIN'!$A$1:$O$113,15,0)),0,VLOOKUP($S$91,'TAR FIN'!$A$1:$O$113,15,0))</f>
        <v>0</v>
      </c>
      <c r="W91" s="4">
        <f>IF(ISERROR(VLOOKUP($T$91,'TAR FIN'!$A$1:$O$113,15,0)),0,VLOOKUP($T$91,'TAR FIN'!$A$1:$O$113,15,0))</f>
        <v>35.86</v>
      </c>
      <c r="X91" s="4">
        <f>IF(ISERROR(VLOOKUP($U$91,'TAR FIN'!$A$1:$O$113,15,0)),0,VLOOKUP($U$91,'TAR FIN'!$A$1:$O$113,15,0))</f>
        <v>0</v>
      </c>
      <c r="Y91" s="4"/>
      <c r="Z91" s="4">
        <f ca="1">('TUSD BE'!$AM$7+'TUSD BF'!$AM$7+'TUSD CVA'!$AM$7)*1</f>
        <v>45.946048451030222</v>
      </c>
      <c r="AA91" s="4"/>
      <c r="AB91" s="4">
        <f>$K$91*$V$91</f>
        <v>0</v>
      </c>
      <c r="AC91" s="4">
        <f>$M$91*$W$91</f>
        <v>485854.08695999999</v>
      </c>
      <c r="AD91" s="4">
        <f>$O$91*$X$91</f>
        <v>0</v>
      </c>
      <c r="AE91" s="4">
        <f>$K$91*$Y$91</f>
        <v>0</v>
      </c>
      <c r="AF91" s="4">
        <f ca="1">$M$91*$Z$91</f>
        <v>622506.28610137233</v>
      </c>
      <c r="AG91" s="4">
        <f>$O$91*$AA$91</f>
        <v>0</v>
      </c>
    </row>
    <row r="92" spans="1:33" ht="11.25" customHeight="1" x14ac:dyDescent="0.25">
      <c r="A92" s="3" t="s">
        <v>27</v>
      </c>
      <c r="B92" s="3" t="s">
        <v>39</v>
      </c>
      <c r="C92" s="3" t="s">
        <v>40</v>
      </c>
      <c r="D92" s="3" t="s">
        <v>38</v>
      </c>
      <c r="E92" s="3" t="s">
        <v>25</v>
      </c>
      <c r="F92" s="3" t="s">
        <v>25</v>
      </c>
      <c r="G92" s="3" t="s">
        <v>25</v>
      </c>
      <c r="H92" s="3" t="s">
        <v>25</v>
      </c>
      <c r="I92" s="6">
        <v>44501</v>
      </c>
      <c r="J92" s="4">
        <v>0</v>
      </c>
      <c r="K92" s="4">
        <v>0</v>
      </c>
      <c r="L92" s="4">
        <v>-10221.031000000001</v>
      </c>
      <c r="M92" s="4">
        <v>-10221.031000000001</v>
      </c>
      <c r="N92" s="4">
        <v>0</v>
      </c>
      <c r="O92" s="4">
        <v>0</v>
      </c>
      <c r="P92" s="4">
        <v>0</v>
      </c>
      <c r="Q92" s="3" t="s">
        <v>57</v>
      </c>
      <c r="R92" s="3">
        <v>0</v>
      </c>
      <c r="S92" s="4">
        <v>0</v>
      </c>
      <c r="T92" s="4">
        <v>6</v>
      </c>
      <c r="U92" s="4">
        <v>0</v>
      </c>
      <c r="V92" s="4">
        <f>IF(ISERROR(VLOOKUP($S$92,'TAR FIN'!$A$1:$O$113,15,0)),0,VLOOKUP($S$92,'TAR FIN'!$A$1:$O$113,15,0))</f>
        <v>0</v>
      </c>
      <c r="W92" s="4">
        <f>IF(ISERROR(VLOOKUP($T$92,'TAR FIN'!$A$1:$O$113,15,0)),0,VLOOKUP($T$92,'TAR FIN'!$A$1:$O$113,15,0))</f>
        <v>35.86</v>
      </c>
      <c r="X92" s="4">
        <f>IF(ISERROR(VLOOKUP($U$92,'TAR FIN'!$A$1:$O$113,15,0)),0,VLOOKUP($U$92,'TAR FIN'!$A$1:$O$113,15,0))</f>
        <v>0</v>
      </c>
      <c r="Y92" s="4"/>
      <c r="Z92" s="4">
        <f ca="1">('TUSD BE'!$AM$7+'TUSD BF'!$AM$7+'TUSD CVA'!$AM$7)*1</f>
        <v>45.946048451030222</v>
      </c>
      <c r="AA92" s="4"/>
      <c r="AB92" s="4">
        <f>$K$92*$V$92</f>
        <v>0</v>
      </c>
      <c r="AC92" s="4">
        <f>$M$92*$W$92</f>
        <v>-366526.17166000005</v>
      </c>
      <c r="AD92" s="4">
        <f>$O$92*$X$92</f>
        <v>0</v>
      </c>
      <c r="AE92" s="4">
        <f>$K$92*$Y$92</f>
        <v>0</v>
      </c>
      <c r="AF92" s="4">
        <f ca="1">$M$92*$Z$92</f>
        <v>-469615.9855454819</v>
      </c>
      <c r="AG92" s="4">
        <f>$O$92*$AA$92</f>
        <v>0</v>
      </c>
    </row>
    <row r="93" spans="1:33" ht="11.25" customHeight="1" x14ac:dyDescent="0.25">
      <c r="A93" s="3" t="s">
        <v>21</v>
      </c>
      <c r="B93" s="3" t="s">
        <v>39</v>
      </c>
      <c r="C93" s="3" t="s">
        <v>40</v>
      </c>
      <c r="D93" s="3" t="s">
        <v>38</v>
      </c>
      <c r="E93" s="3" t="s">
        <v>25</v>
      </c>
      <c r="F93" s="3" t="s">
        <v>25</v>
      </c>
      <c r="G93" s="3" t="s">
        <v>25</v>
      </c>
      <c r="H93" s="3" t="s">
        <v>25</v>
      </c>
      <c r="I93" s="6">
        <v>44531</v>
      </c>
      <c r="J93" s="4">
        <v>0</v>
      </c>
      <c r="K93" s="4">
        <v>0</v>
      </c>
      <c r="L93" s="4">
        <v>13127.984</v>
      </c>
      <c r="M93" s="4">
        <v>13127.984</v>
      </c>
      <c r="N93" s="4">
        <v>0</v>
      </c>
      <c r="O93" s="4">
        <v>0</v>
      </c>
      <c r="P93" s="4">
        <v>4</v>
      </c>
      <c r="Q93" s="3" t="s">
        <v>57</v>
      </c>
      <c r="R93" s="3">
        <v>0</v>
      </c>
      <c r="S93" s="4">
        <v>0</v>
      </c>
      <c r="T93" s="4">
        <v>6</v>
      </c>
      <c r="U93" s="4">
        <v>0</v>
      </c>
      <c r="V93" s="4">
        <f>IF(ISERROR(VLOOKUP($S$93,'TAR FIN'!$A$1:$O$113,15,0)),0,VLOOKUP($S$93,'TAR FIN'!$A$1:$O$113,15,0))</f>
        <v>0</v>
      </c>
      <c r="W93" s="4">
        <f>IF(ISERROR(VLOOKUP($T$93,'TAR FIN'!$A$1:$O$113,15,0)),0,VLOOKUP($T$93,'TAR FIN'!$A$1:$O$113,15,0))</f>
        <v>35.86</v>
      </c>
      <c r="X93" s="4">
        <f>IF(ISERROR(VLOOKUP($U$93,'TAR FIN'!$A$1:$O$113,15,0)),0,VLOOKUP($U$93,'TAR FIN'!$A$1:$O$113,15,0))</f>
        <v>0</v>
      </c>
      <c r="Y93" s="4"/>
      <c r="Z93" s="4">
        <f ca="1">('TUSD BE'!$AM$7+'TUSD BF'!$AM$7+'TUSD CVA'!$AM$7)*1</f>
        <v>45.946048451030222</v>
      </c>
      <c r="AA93" s="4"/>
      <c r="AB93" s="4">
        <f>$K$93*$V$93</f>
        <v>0</v>
      </c>
      <c r="AC93" s="4">
        <f>$M$93*$W$93</f>
        <v>470769.50624000002</v>
      </c>
      <c r="AD93" s="4">
        <f>$O$93*$X$93</f>
        <v>0</v>
      </c>
      <c r="AE93" s="4">
        <f>$K$93*$Y$93</f>
        <v>0</v>
      </c>
      <c r="AF93" s="4">
        <f ca="1">$M$93*$Z$93</f>
        <v>603178.98892834957</v>
      </c>
      <c r="AG93" s="4">
        <f>$O$93*$AA$93</f>
        <v>0</v>
      </c>
    </row>
    <row r="94" spans="1:33" ht="11.25" customHeight="1" x14ac:dyDescent="0.25">
      <c r="A94" s="3" t="s">
        <v>27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25</v>
      </c>
      <c r="G94" s="3" t="s">
        <v>25</v>
      </c>
      <c r="H94" s="3" t="s">
        <v>25</v>
      </c>
      <c r="I94" s="6">
        <v>44531</v>
      </c>
      <c r="J94" s="4">
        <v>0</v>
      </c>
      <c r="K94" s="4">
        <v>0</v>
      </c>
      <c r="L94" s="4">
        <v>-8846.6949999999997</v>
      </c>
      <c r="M94" s="4">
        <v>-8846.6949999999997</v>
      </c>
      <c r="N94" s="4">
        <v>0</v>
      </c>
      <c r="O94" s="4">
        <v>0</v>
      </c>
      <c r="P94" s="4">
        <v>0</v>
      </c>
      <c r="Q94" s="3" t="s">
        <v>57</v>
      </c>
      <c r="R94" s="3">
        <v>0</v>
      </c>
      <c r="S94" s="4">
        <v>0</v>
      </c>
      <c r="T94" s="4">
        <v>6</v>
      </c>
      <c r="U94" s="4">
        <v>0</v>
      </c>
      <c r="V94" s="4">
        <f>IF(ISERROR(VLOOKUP($S$94,'TAR FIN'!$A$1:$O$113,15,0)),0,VLOOKUP($S$94,'TAR FIN'!$A$1:$O$113,15,0))</f>
        <v>0</v>
      </c>
      <c r="W94" s="4">
        <f>IF(ISERROR(VLOOKUP($T$94,'TAR FIN'!$A$1:$O$113,15,0)),0,VLOOKUP($T$94,'TAR FIN'!$A$1:$O$113,15,0))</f>
        <v>35.86</v>
      </c>
      <c r="X94" s="4">
        <f>IF(ISERROR(VLOOKUP($U$94,'TAR FIN'!$A$1:$O$113,15,0)),0,VLOOKUP($U$94,'TAR FIN'!$A$1:$O$113,15,0))</f>
        <v>0</v>
      </c>
      <c r="Y94" s="4"/>
      <c r="Z94" s="4">
        <f ca="1">('TUSD BE'!$AM$7+'TUSD BF'!$AM$7+'TUSD CVA'!$AM$7)*1</f>
        <v>45.946048451030222</v>
      </c>
      <c r="AA94" s="4"/>
      <c r="AB94" s="4">
        <f>$K$94*$V$94</f>
        <v>0</v>
      </c>
      <c r="AC94" s="4">
        <f>$M$94*$W$94</f>
        <v>-317242.48269999999</v>
      </c>
      <c r="AD94" s="4">
        <f>$O$94*$X$94</f>
        <v>0</v>
      </c>
      <c r="AE94" s="4">
        <f>$K$94*$Y$94</f>
        <v>0</v>
      </c>
      <c r="AF94" s="4">
        <f ca="1">$M$94*$Z$94</f>
        <v>-406470.67710148677</v>
      </c>
      <c r="AG94" s="4">
        <f>$O$94*$AA$94</f>
        <v>0</v>
      </c>
    </row>
    <row r="95" spans="1:33" ht="11.25" customHeight="1" x14ac:dyDescent="0.25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25</v>
      </c>
      <c r="G95" s="3" t="s">
        <v>25</v>
      </c>
      <c r="H95" s="3" t="s">
        <v>25</v>
      </c>
      <c r="I95" s="6">
        <v>44562</v>
      </c>
      <c r="J95" s="4">
        <v>0</v>
      </c>
      <c r="K95" s="4">
        <v>0</v>
      </c>
      <c r="L95" s="4">
        <v>16015.737999999999</v>
      </c>
      <c r="M95" s="4">
        <v>16015.737999999999</v>
      </c>
      <c r="N95" s="4">
        <v>0</v>
      </c>
      <c r="O95" s="4">
        <v>0</v>
      </c>
      <c r="P95" s="4">
        <v>5</v>
      </c>
      <c r="Q95" s="3" t="s">
        <v>57</v>
      </c>
      <c r="R95" s="3">
        <v>0</v>
      </c>
      <c r="S95" s="4">
        <v>0</v>
      </c>
      <c r="T95" s="4">
        <v>6</v>
      </c>
      <c r="U95" s="4">
        <v>0</v>
      </c>
      <c r="V95" s="4">
        <f>IF(ISERROR(VLOOKUP($S$95,'TAR FIN'!$A$1:$O$113,15,0)),0,VLOOKUP($S$95,'TAR FIN'!$A$1:$O$113,15,0))</f>
        <v>0</v>
      </c>
      <c r="W95" s="4">
        <f>IF(ISERROR(VLOOKUP($T$95,'TAR FIN'!$A$1:$O$113,15,0)),0,VLOOKUP($T$95,'TAR FIN'!$A$1:$O$113,15,0))</f>
        <v>35.86</v>
      </c>
      <c r="X95" s="4">
        <f>IF(ISERROR(VLOOKUP($U$95,'TAR FIN'!$A$1:$O$113,15,0)),0,VLOOKUP($U$95,'TAR FIN'!$A$1:$O$113,15,0))</f>
        <v>0</v>
      </c>
      <c r="Y95" s="4"/>
      <c r="Z95" s="4">
        <f ca="1">('TUSD BE'!$AM$7+'TUSD BF'!$AM$7+'TUSD CVA'!$AM$7)*1</f>
        <v>45.946048451030222</v>
      </c>
      <c r="AA95" s="4"/>
      <c r="AB95" s="4">
        <f>$K$95*$V$95</f>
        <v>0</v>
      </c>
      <c r="AC95" s="4">
        <f>$M$95*$W$95</f>
        <v>574324.36468</v>
      </c>
      <c r="AD95" s="4">
        <f>$O$95*$X$95</f>
        <v>0</v>
      </c>
      <c r="AE95" s="4">
        <f>$K$95*$Y$95</f>
        <v>0</v>
      </c>
      <c r="AF95" s="4">
        <f ca="1">$M$95*$Z$95</f>
        <v>735859.87412700581</v>
      </c>
      <c r="AG95" s="4">
        <f>$O$95*$AA$95</f>
        <v>0</v>
      </c>
    </row>
    <row r="96" spans="1:33" ht="11.25" customHeight="1" x14ac:dyDescent="0.25">
      <c r="A96" s="3" t="s">
        <v>27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25</v>
      </c>
      <c r="G96" s="3" t="s">
        <v>25</v>
      </c>
      <c r="H96" s="3" t="s">
        <v>25</v>
      </c>
      <c r="I96" s="6">
        <v>44562</v>
      </c>
      <c r="J96" s="4">
        <v>0</v>
      </c>
      <c r="K96" s="4">
        <v>0</v>
      </c>
      <c r="L96" s="4">
        <v>-10539.724</v>
      </c>
      <c r="M96" s="4">
        <v>-10539.724</v>
      </c>
      <c r="N96" s="4">
        <v>0</v>
      </c>
      <c r="O96" s="4">
        <v>0</v>
      </c>
      <c r="P96" s="4">
        <v>0</v>
      </c>
      <c r="Q96" s="3" t="s">
        <v>57</v>
      </c>
      <c r="R96" s="3">
        <v>0</v>
      </c>
      <c r="S96" s="4">
        <v>0</v>
      </c>
      <c r="T96" s="4">
        <v>6</v>
      </c>
      <c r="U96" s="4">
        <v>0</v>
      </c>
      <c r="V96" s="4">
        <f>IF(ISERROR(VLOOKUP($S$96,'TAR FIN'!$A$1:$O$113,15,0)),0,VLOOKUP($S$96,'TAR FIN'!$A$1:$O$113,15,0))</f>
        <v>0</v>
      </c>
      <c r="W96" s="4">
        <f>IF(ISERROR(VLOOKUP($T$96,'TAR FIN'!$A$1:$O$113,15,0)),0,VLOOKUP($T$96,'TAR FIN'!$A$1:$O$113,15,0))</f>
        <v>35.86</v>
      </c>
      <c r="X96" s="4">
        <f>IF(ISERROR(VLOOKUP($U$96,'TAR FIN'!$A$1:$O$113,15,0)),0,VLOOKUP($U$96,'TAR FIN'!$A$1:$O$113,15,0))</f>
        <v>0</v>
      </c>
      <c r="Y96" s="4"/>
      <c r="Z96" s="4">
        <f ca="1">('TUSD BE'!$AM$7+'TUSD BF'!$AM$7+'TUSD CVA'!$AM$7)*1</f>
        <v>45.946048451030222</v>
      </c>
      <c r="AA96" s="4"/>
      <c r="AB96" s="4">
        <f>$K$96*$V$96</f>
        <v>0</v>
      </c>
      <c r="AC96" s="4">
        <f>$M$96*$W$96</f>
        <v>-377954.50264000002</v>
      </c>
      <c r="AD96" s="4">
        <f>$O$96*$X$96</f>
        <v>0</v>
      </c>
      <c r="AE96" s="4">
        <f>$K$96*$Y$96</f>
        <v>0</v>
      </c>
      <c r="AF96" s="4">
        <f ca="1">$M$96*$Z$96</f>
        <v>-484258.66956448607</v>
      </c>
      <c r="AG96" s="4">
        <f>$O$96*$AA$96</f>
        <v>0</v>
      </c>
    </row>
    <row r="97" spans="1:33" ht="11.25" customHeight="1" x14ac:dyDescent="0.25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25</v>
      </c>
      <c r="G97" s="3" t="s">
        <v>25</v>
      </c>
      <c r="H97" s="3" t="s">
        <v>25</v>
      </c>
      <c r="I97" s="6">
        <v>44593</v>
      </c>
      <c r="J97" s="4">
        <v>0</v>
      </c>
      <c r="K97" s="4">
        <v>0</v>
      </c>
      <c r="L97" s="4">
        <v>12271.759</v>
      </c>
      <c r="M97" s="4">
        <v>12271.759</v>
      </c>
      <c r="N97" s="4">
        <v>0</v>
      </c>
      <c r="O97" s="4">
        <v>0</v>
      </c>
      <c r="P97" s="4">
        <v>4</v>
      </c>
      <c r="Q97" s="3" t="s">
        <v>57</v>
      </c>
      <c r="R97" s="3">
        <v>0</v>
      </c>
      <c r="S97" s="4">
        <v>0</v>
      </c>
      <c r="T97" s="4">
        <v>6</v>
      </c>
      <c r="U97" s="4">
        <v>0</v>
      </c>
      <c r="V97" s="4">
        <f>IF(ISERROR(VLOOKUP($S$97,'TAR FIN'!$A$1:$O$113,15,0)),0,VLOOKUP($S$97,'TAR FIN'!$A$1:$O$113,15,0))</f>
        <v>0</v>
      </c>
      <c r="W97" s="4">
        <f>IF(ISERROR(VLOOKUP($T$97,'TAR FIN'!$A$1:$O$113,15,0)),0,VLOOKUP($T$97,'TAR FIN'!$A$1:$O$113,15,0))</f>
        <v>35.86</v>
      </c>
      <c r="X97" s="4">
        <f>IF(ISERROR(VLOOKUP($U$97,'TAR FIN'!$A$1:$O$113,15,0)),0,VLOOKUP($U$97,'TAR FIN'!$A$1:$O$113,15,0))</f>
        <v>0</v>
      </c>
      <c r="Y97" s="4"/>
      <c r="Z97" s="4">
        <f ca="1">('TUSD BE'!$AM$7+'TUSD BF'!$AM$7+'TUSD CVA'!$AM$7)*1</f>
        <v>45.946048451030222</v>
      </c>
      <c r="AA97" s="4"/>
      <c r="AB97" s="4">
        <f>$K$97*$V$97</f>
        <v>0</v>
      </c>
      <c r="AC97" s="4">
        <f>$M$97*$W$97</f>
        <v>440065.27773999999</v>
      </c>
      <c r="AD97" s="4">
        <f>$O$97*$X$97</f>
        <v>0</v>
      </c>
      <c r="AE97" s="4">
        <f>$K$97*$Y$97</f>
        <v>0</v>
      </c>
      <c r="AF97" s="4">
        <f ca="1">$M$97*$Z$97</f>
        <v>563838.8335933662</v>
      </c>
      <c r="AG97" s="4">
        <f>$O$97*$AA$97</f>
        <v>0</v>
      </c>
    </row>
    <row r="98" spans="1:33" ht="11.25" customHeight="1" x14ac:dyDescent="0.25">
      <c r="A98" s="3" t="s">
        <v>27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25</v>
      </c>
      <c r="G98" s="3" t="s">
        <v>25</v>
      </c>
      <c r="H98" s="3" t="s">
        <v>25</v>
      </c>
      <c r="I98" s="6">
        <v>44593</v>
      </c>
      <c r="J98" s="4">
        <v>0</v>
      </c>
      <c r="K98" s="4">
        <v>0</v>
      </c>
      <c r="L98" s="4">
        <v>-9096.8510000000006</v>
      </c>
      <c r="M98" s="4">
        <v>-9096.8510000000006</v>
      </c>
      <c r="N98" s="4">
        <v>0</v>
      </c>
      <c r="O98" s="4">
        <v>0</v>
      </c>
      <c r="P98" s="4">
        <v>0</v>
      </c>
      <c r="Q98" s="3" t="s">
        <v>57</v>
      </c>
      <c r="R98" s="3">
        <v>0</v>
      </c>
      <c r="S98" s="4">
        <v>0</v>
      </c>
      <c r="T98" s="4">
        <v>6</v>
      </c>
      <c r="U98" s="4">
        <v>0</v>
      </c>
      <c r="V98" s="4">
        <f>IF(ISERROR(VLOOKUP($S$98,'TAR FIN'!$A$1:$O$113,15,0)),0,VLOOKUP($S$98,'TAR FIN'!$A$1:$O$113,15,0))</f>
        <v>0</v>
      </c>
      <c r="W98" s="4">
        <f>IF(ISERROR(VLOOKUP($T$98,'TAR FIN'!$A$1:$O$113,15,0)),0,VLOOKUP($T$98,'TAR FIN'!$A$1:$O$113,15,0))</f>
        <v>35.86</v>
      </c>
      <c r="X98" s="4">
        <f>IF(ISERROR(VLOOKUP($U$98,'TAR FIN'!$A$1:$O$113,15,0)),0,VLOOKUP($U$98,'TAR FIN'!$A$1:$O$113,15,0))</f>
        <v>0</v>
      </c>
      <c r="Y98" s="4"/>
      <c r="Z98" s="4">
        <f ca="1">('TUSD BE'!$AM$7+'TUSD BF'!$AM$7+'TUSD CVA'!$AM$7)*1</f>
        <v>45.946048451030222</v>
      </c>
      <c r="AA98" s="4"/>
      <c r="AB98" s="4">
        <f>$K$98*$V$98</f>
        <v>0</v>
      </c>
      <c r="AC98" s="4">
        <f>$M$98*$W$98</f>
        <v>-326213.07686000003</v>
      </c>
      <c r="AD98" s="4">
        <f>$O$98*$X$98</f>
        <v>0</v>
      </c>
      <c r="AE98" s="4">
        <f>$K$98*$Y$98</f>
        <v>0</v>
      </c>
      <c r="AF98" s="4">
        <f ca="1">$M$98*$Z$98</f>
        <v>-417964.35679780273</v>
      </c>
      <c r="AG98" s="4">
        <f>$O$98*$AA$98</f>
        <v>0</v>
      </c>
    </row>
    <row r="99" spans="1:33" ht="11.25" customHeight="1" x14ac:dyDescent="0.25">
      <c r="A99" s="3" t="s">
        <v>56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25</v>
      </c>
      <c r="G99" s="3" t="s">
        <v>25</v>
      </c>
      <c r="H99" s="3" t="s">
        <v>25</v>
      </c>
      <c r="I99" s="6">
        <v>44621</v>
      </c>
      <c r="J99" s="4">
        <v>0</v>
      </c>
      <c r="K99" s="4">
        <v>0</v>
      </c>
      <c r="L99" s="4">
        <v>12271.759</v>
      </c>
      <c r="M99" s="4">
        <v>12271.759</v>
      </c>
      <c r="N99" s="4">
        <v>0</v>
      </c>
      <c r="O99" s="4">
        <v>0</v>
      </c>
      <c r="P99" s="4">
        <v>4</v>
      </c>
      <c r="Q99" s="3" t="s">
        <v>57</v>
      </c>
      <c r="R99" s="3">
        <v>0</v>
      </c>
      <c r="S99" s="4">
        <v>0</v>
      </c>
      <c r="T99" s="4">
        <v>6</v>
      </c>
      <c r="U99" s="4">
        <v>0</v>
      </c>
      <c r="V99" s="4">
        <f>IF(ISERROR(VLOOKUP($S$99,'TAR FIN'!$A$1:$O$113,15,0)),0,VLOOKUP($S$99,'TAR FIN'!$A$1:$O$113,15,0))</f>
        <v>0</v>
      </c>
      <c r="W99" s="4">
        <f>IF(ISERROR(VLOOKUP($T$99,'TAR FIN'!$A$1:$O$113,15,0)),0,VLOOKUP($T$99,'TAR FIN'!$A$1:$O$113,15,0))</f>
        <v>35.86</v>
      </c>
      <c r="X99" s="4">
        <f>IF(ISERROR(VLOOKUP($U$99,'TAR FIN'!$A$1:$O$113,15,0)),0,VLOOKUP($U$99,'TAR FIN'!$A$1:$O$113,15,0))</f>
        <v>0</v>
      </c>
      <c r="Y99" s="4"/>
      <c r="Z99" s="4">
        <f ca="1">('TUSD BE'!$AM$7+'TUSD BF'!$AM$7+'TUSD CVA'!$AM$7)*1</f>
        <v>45.946048451030222</v>
      </c>
      <c r="AA99" s="4"/>
      <c r="AB99" s="4">
        <f>$K$99*$V$99</f>
        <v>0</v>
      </c>
      <c r="AC99" s="4">
        <f>$M$99*$W$99</f>
        <v>440065.27773999999</v>
      </c>
      <c r="AD99" s="4">
        <f>$O$99*$X$99</f>
        <v>0</v>
      </c>
      <c r="AE99" s="4">
        <f>$K$99*$Y$99</f>
        <v>0</v>
      </c>
      <c r="AF99" s="4">
        <f ca="1">$M$99*$Z$99</f>
        <v>563838.8335933662</v>
      </c>
      <c r="AG99" s="4">
        <f>$O$99*$AA$99</f>
        <v>0</v>
      </c>
    </row>
    <row r="100" spans="1:33" ht="11.25" customHeight="1" x14ac:dyDescent="0.25">
      <c r="A100" s="3" t="s">
        <v>56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25</v>
      </c>
      <c r="G100" s="3" t="s">
        <v>25</v>
      </c>
      <c r="H100" s="3" t="s">
        <v>25</v>
      </c>
      <c r="I100" s="6">
        <v>44621</v>
      </c>
      <c r="J100" s="4">
        <v>0</v>
      </c>
      <c r="K100" s="4">
        <v>0</v>
      </c>
      <c r="L100" s="4">
        <v>-9096.8510000000006</v>
      </c>
      <c r="M100" s="4">
        <v>-9096.8510000000006</v>
      </c>
      <c r="N100" s="4">
        <v>0</v>
      </c>
      <c r="O100" s="4">
        <v>0</v>
      </c>
      <c r="P100" s="4">
        <v>0</v>
      </c>
      <c r="Q100" s="3" t="s">
        <v>57</v>
      </c>
      <c r="R100" s="3">
        <v>0</v>
      </c>
      <c r="S100" s="4">
        <v>0</v>
      </c>
      <c r="T100" s="4">
        <v>6</v>
      </c>
      <c r="U100" s="4">
        <v>0</v>
      </c>
      <c r="V100" s="4">
        <f>IF(ISERROR(VLOOKUP($S$100,'TAR FIN'!$A$1:$O$113,15,0)),0,VLOOKUP($S$100,'TAR FIN'!$A$1:$O$113,15,0))</f>
        <v>0</v>
      </c>
      <c r="W100" s="4">
        <f>IF(ISERROR(VLOOKUP($T$100,'TAR FIN'!$A$1:$O$113,15,0)),0,VLOOKUP($T$100,'TAR FIN'!$A$1:$O$113,15,0))</f>
        <v>35.86</v>
      </c>
      <c r="X100" s="4">
        <f>IF(ISERROR(VLOOKUP($U$100,'TAR FIN'!$A$1:$O$113,15,0)),0,VLOOKUP($U$100,'TAR FIN'!$A$1:$O$113,15,0))</f>
        <v>0</v>
      </c>
      <c r="Y100" s="4"/>
      <c r="Z100" s="4">
        <f ca="1">('TUSD BE'!$AM$7+'TUSD BF'!$AM$7+'TUSD CVA'!$AM$7)*1</f>
        <v>45.946048451030222</v>
      </c>
      <c r="AA100" s="4"/>
      <c r="AB100" s="4">
        <f>$K$100*$V$100</f>
        <v>0</v>
      </c>
      <c r="AC100" s="4">
        <f>$M$100*$W$100</f>
        <v>-326213.07686000003</v>
      </c>
      <c r="AD100" s="4">
        <f>$O$100*$X$100</f>
        <v>0</v>
      </c>
      <c r="AE100" s="4">
        <f>$K$100*$Y$100</f>
        <v>0</v>
      </c>
      <c r="AF100" s="4">
        <f ca="1">$M$100*$Z$100</f>
        <v>-417964.35679780273</v>
      </c>
      <c r="AG100" s="4">
        <f>$O$100*$AA$100</f>
        <v>0</v>
      </c>
    </row>
    <row r="101" spans="1:33" ht="11.25" customHeight="1" x14ac:dyDescent="0.25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44287</v>
      </c>
      <c r="J101" s="4">
        <v>6274</v>
      </c>
      <c r="K101" s="4">
        <v>6274</v>
      </c>
      <c r="L101" s="4">
        <v>293.60500000000002</v>
      </c>
      <c r="M101" s="4">
        <v>293.60500000000002</v>
      </c>
      <c r="N101" s="4">
        <v>293.60500000000002</v>
      </c>
      <c r="O101" s="4">
        <v>293.60500000000002</v>
      </c>
      <c r="P101" s="4">
        <v>0</v>
      </c>
      <c r="Q101" s="3" t="s">
        <v>26</v>
      </c>
      <c r="R101" s="3">
        <v>0</v>
      </c>
      <c r="S101" s="4">
        <v>4</v>
      </c>
      <c r="T101" s="4">
        <v>6</v>
      </c>
      <c r="U101" s="4">
        <v>86</v>
      </c>
      <c r="V101" s="4">
        <f>IF(ISERROR(VLOOKUP($S$101,'TAR FIN'!$A$1:$O$113,15,0)),0,VLOOKUP($S$101,'TAR FIN'!$A$1:$O$113,15,0))</f>
        <v>28.34</v>
      </c>
      <c r="W101" s="4">
        <f>IF(ISERROR(VLOOKUP($T$101,'TAR FIN'!$A$1:$O$113,15,0)),0,VLOOKUP($T$101,'TAR FIN'!$A$1:$O$113,15,0))</f>
        <v>35.86</v>
      </c>
      <c r="X101" s="4">
        <f>IF(ISERROR(VLOOKUP($U$101,'TAR FIN'!$A$1:$O$113,15,0)),0,VLOOKUP($U$101,'TAR FIN'!$A$1:$O$113,15,0))</f>
        <v>365.5</v>
      </c>
      <c r="Y101" s="4">
        <f ca="1">('TUSD BE'!$AM$5+'TUSD BF'!$AM$5+'TUSD CVA'!$AM$5)*1</f>
        <v>31.331884047769289</v>
      </c>
      <c r="Z101" s="4">
        <f ca="1">('TUSD BE'!$AM$7+'TUSD BF'!$AM$7+'TUSD CVA'!$AM$7)*1</f>
        <v>45.946048451030222</v>
      </c>
      <c r="AA101" s="4">
        <f>('TE BE'!$AA$5+'TE BF'!$AA$5+'TE CVA'!$AA$5)*1</f>
        <v>361.55013418411539</v>
      </c>
      <c r="AB101" s="4">
        <f>$K$101*$V$101</f>
        <v>177805.16</v>
      </c>
      <c r="AC101" s="4">
        <f>$M$101*$W$101</f>
        <v>10528.675300000001</v>
      </c>
      <c r="AD101" s="4">
        <f>$O$101*$X$101</f>
        <v>107312.6275</v>
      </c>
      <c r="AE101" s="4">
        <f ca="1">$K$101*$Y$101</f>
        <v>196576.24051570453</v>
      </c>
      <c r="AF101" s="4">
        <f ca="1">$M$101*$Z$101</f>
        <v>13489.98955546473</v>
      </c>
      <c r="AG101" s="4">
        <f>$O$101*$AA$101</f>
        <v>106152.92714712721</v>
      </c>
    </row>
    <row r="102" spans="1:33" ht="11.25" customHeight="1" x14ac:dyDescent="0.25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44287</v>
      </c>
      <c r="J102" s="4">
        <v>32410</v>
      </c>
      <c r="K102" s="4">
        <v>32410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R102" s="3">
        <v>0</v>
      </c>
      <c r="S102" s="4">
        <v>4</v>
      </c>
      <c r="T102" s="4">
        <v>0</v>
      </c>
      <c r="U102" s="4">
        <v>0</v>
      </c>
      <c r="V102" s="4">
        <f>IF(ISERROR(VLOOKUP($S$102,'TAR FIN'!$A$1:$O$113,15,0)),0,VLOOKUP($S$102,'TAR FIN'!$A$1:$O$113,15,0))</f>
        <v>28.34</v>
      </c>
      <c r="W102" s="4">
        <f>IF(ISERROR(VLOOKUP($T$102,'TAR FIN'!$A$1:$O$113,15,0)),0,VLOOKUP($T$102,'TAR FIN'!$A$1:$O$113,15,0))</f>
        <v>0</v>
      </c>
      <c r="X102" s="4">
        <f>IF(ISERROR(VLOOKUP($U$102,'TAR FIN'!$A$1:$O$113,15,0)),0,VLOOKUP($U$102,'TAR FIN'!$A$1:$O$113,15,0))</f>
        <v>0</v>
      </c>
      <c r="Y102" s="4">
        <f ca="1">('TUSD BE'!$AM$5+'TUSD BF'!$AM$5+'TUSD CVA'!$AM$5)*1</f>
        <v>31.331884047769289</v>
      </c>
      <c r="Z102" s="4">
        <f ca="1">('TUSD BE'!$AM$7+'TUSD BF'!$AM$7+'TUSD CVA'!$AM$7)*1</f>
        <v>45.946048451030222</v>
      </c>
      <c r="AA102" s="4"/>
      <c r="AB102" s="4">
        <f>$K$102*$V$102</f>
        <v>918499.4</v>
      </c>
      <c r="AC102" s="4">
        <f>$M$102*$W$102</f>
        <v>0</v>
      </c>
      <c r="AD102" s="4">
        <f>$O$102*$X$102</f>
        <v>0</v>
      </c>
      <c r="AE102" s="4">
        <f ca="1">$K$102*$Y$102</f>
        <v>1015466.3619882027</v>
      </c>
      <c r="AF102" s="4">
        <f ca="1">$M$102*$Z$102</f>
        <v>0</v>
      </c>
      <c r="AG102" s="4">
        <f>$O$102*$AA$102</f>
        <v>0</v>
      </c>
    </row>
    <row r="103" spans="1:33" ht="11.25" customHeight="1" x14ac:dyDescent="0.25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44317</v>
      </c>
      <c r="J103" s="4">
        <v>6455</v>
      </c>
      <c r="K103" s="4">
        <v>6455</v>
      </c>
      <c r="L103" s="4">
        <v>309.166</v>
      </c>
      <c r="M103" s="4">
        <v>309.166</v>
      </c>
      <c r="N103" s="4">
        <v>309.166</v>
      </c>
      <c r="O103" s="4">
        <v>309.166</v>
      </c>
      <c r="P103" s="4">
        <v>0</v>
      </c>
      <c r="Q103" s="3" t="s">
        <v>26</v>
      </c>
      <c r="R103" s="3">
        <v>0</v>
      </c>
      <c r="S103" s="4">
        <v>4</v>
      </c>
      <c r="T103" s="4">
        <v>6</v>
      </c>
      <c r="U103" s="4">
        <v>86</v>
      </c>
      <c r="V103" s="4">
        <f>IF(ISERROR(VLOOKUP($S$103,'TAR FIN'!$A$1:$O$113,15,0)),0,VLOOKUP($S$103,'TAR FIN'!$A$1:$O$113,15,0))</f>
        <v>28.34</v>
      </c>
      <c r="W103" s="4">
        <f>IF(ISERROR(VLOOKUP($T$103,'TAR FIN'!$A$1:$O$113,15,0)),0,VLOOKUP($T$103,'TAR FIN'!$A$1:$O$113,15,0))</f>
        <v>35.86</v>
      </c>
      <c r="X103" s="4">
        <f>IF(ISERROR(VLOOKUP($U$103,'TAR FIN'!$A$1:$O$113,15,0)),0,VLOOKUP($U$103,'TAR FIN'!$A$1:$O$113,15,0))</f>
        <v>365.5</v>
      </c>
      <c r="Y103" s="4">
        <f ca="1">('TUSD BE'!$AM$5+'TUSD BF'!$AM$5+'TUSD CVA'!$AM$5)*1</f>
        <v>31.331884047769289</v>
      </c>
      <c r="Z103" s="4">
        <f ca="1">('TUSD BE'!$AM$7+'TUSD BF'!$AM$7+'TUSD CVA'!$AM$7)*1</f>
        <v>45.946048451030222</v>
      </c>
      <c r="AA103" s="4">
        <f>('TE BE'!$AA$5+'TE BF'!$AA$5+'TE CVA'!$AA$5)*1</f>
        <v>361.55013418411539</v>
      </c>
      <c r="AB103" s="4">
        <f>$K$103*$V$103</f>
        <v>182934.7</v>
      </c>
      <c r="AC103" s="4">
        <f>$M$103*$W$103</f>
        <v>11086.69276</v>
      </c>
      <c r="AD103" s="4">
        <f>$O$103*$X$103</f>
        <v>113000.173</v>
      </c>
      <c r="AE103" s="4">
        <f ca="1">$K$103*$Y$103</f>
        <v>202247.31152835075</v>
      </c>
      <c r="AF103" s="4">
        <f ca="1">$M$103*$Z$103</f>
        <v>14204.95601541121</v>
      </c>
      <c r="AG103" s="4">
        <f>$O$103*$AA$103</f>
        <v>111779.00878516622</v>
      </c>
    </row>
    <row r="104" spans="1:33" ht="11.25" customHeight="1" x14ac:dyDescent="0.25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44317</v>
      </c>
      <c r="J104" s="4">
        <v>31136</v>
      </c>
      <c r="K104" s="4">
        <v>31136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0</v>
      </c>
      <c r="S104" s="4">
        <v>4</v>
      </c>
      <c r="T104" s="4">
        <v>0</v>
      </c>
      <c r="U104" s="4">
        <v>0</v>
      </c>
      <c r="V104" s="4">
        <f>IF(ISERROR(VLOOKUP($S$104,'TAR FIN'!$A$1:$O$113,15,0)),0,VLOOKUP($S$104,'TAR FIN'!$A$1:$O$113,15,0))</f>
        <v>28.34</v>
      </c>
      <c r="W104" s="4">
        <f>IF(ISERROR(VLOOKUP($T$104,'TAR FIN'!$A$1:$O$113,15,0)),0,VLOOKUP($T$104,'TAR FIN'!$A$1:$O$113,15,0))</f>
        <v>0</v>
      </c>
      <c r="X104" s="4">
        <f>IF(ISERROR(VLOOKUP($U$104,'TAR FIN'!$A$1:$O$113,15,0)),0,VLOOKUP($U$104,'TAR FIN'!$A$1:$O$113,15,0))</f>
        <v>0</v>
      </c>
      <c r="Y104" s="4">
        <f ca="1">('TUSD BE'!$AM$5+'TUSD BF'!$AM$5+'TUSD CVA'!$AM$5)*1</f>
        <v>31.331884047769289</v>
      </c>
      <c r="Z104" s="4">
        <f ca="1">('TUSD BE'!$AM$7+'TUSD BF'!$AM$7+'TUSD CVA'!$AM$7)*1</f>
        <v>45.946048451030222</v>
      </c>
      <c r="AA104" s="4"/>
      <c r="AB104" s="4">
        <f>$K$104*$V$104</f>
        <v>882394.24</v>
      </c>
      <c r="AC104" s="4">
        <f>$M$104*$W$104</f>
        <v>0</v>
      </c>
      <c r="AD104" s="4">
        <f>$O$104*$X$104</f>
        <v>0</v>
      </c>
      <c r="AE104" s="4">
        <f ca="1">$K$104*$Y$104</f>
        <v>975549.54171134462</v>
      </c>
      <c r="AF104" s="4">
        <f ca="1">$M$104*$Z$104</f>
        <v>0</v>
      </c>
      <c r="AG104" s="4">
        <f>$O$104*$AA$104</f>
        <v>0</v>
      </c>
    </row>
    <row r="105" spans="1:33" ht="11.25" customHeight="1" x14ac:dyDescent="0.25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44348</v>
      </c>
      <c r="J105" s="4">
        <v>6320</v>
      </c>
      <c r="K105" s="4">
        <v>6320</v>
      </c>
      <c r="L105" s="4">
        <v>309.36700000000002</v>
      </c>
      <c r="M105" s="4">
        <v>309.36700000000002</v>
      </c>
      <c r="N105" s="4">
        <v>309.36700000000002</v>
      </c>
      <c r="O105" s="4">
        <v>309.36700000000002</v>
      </c>
      <c r="P105" s="4">
        <v>0</v>
      </c>
      <c r="Q105" s="3" t="s">
        <v>26</v>
      </c>
      <c r="R105" s="3">
        <v>0</v>
      </c>
      <c r="S105" s="4">
        <v>4</v>
      </c>
      <c r="T105" s="4">
        <v>6</v>
      </c>
      <c r="U105" s="4">
        <v>86</v>
      </c>
      <c r="V105" s="4">
        <f>IF(ISERROR(VLOOKUP($S$105,'TAR FIN'!$A$1:$O$113,15,0)),0,VLOOKUP($S$105,'TAR FIN'!$A$1:$O$113,15,0))</f>
        <v>28.34</v>
      </c>
      <c r="W105" s="4">
        <f>IF(ISERROR(VLOOKUP($T$105,'TAR FIN'!$A$1:$O$113,15,0)),0,VLOOKUP($T$105,'TAR FIN'!$A$1:$O$113,15,0))</f>
        <v>35.86</v>
      </c>
      <c r="X105" s="4">
        <f>IF(ISERROR(VLOOKUP($U$105,'TAR FIN'!$A$1:$O$113,15,0)),0,VLOOKUP($U$105,'TAR FIN'!$A$1:$O$113,15,0))</f>
        <v>365.5</v>
      </c>
      <c r="Y105" s="4">
        <f ca="1">('TUSD BE'!$AM$5+'TUSD BF'!$AM$5+'TUSD CVA'!$AM$5)*1</f>
        <v>31.331884047769289</v>
      </c>
      <c r="Z105" s="4">
        <f ca="1">('TUSD BE'!$AM$7+'TUSD BF'!$AM$7+'TUSD CVA'!$AM$7)*1</f>
        <v>45.946048451030222</v>
      </c>
      <c r="AA105" s="4">
        <f>('TE BE'!$AA$5+'TE BF'!$AA$5+'TE CVA'!$AA$5)*1</f>
        <v>361.55013418411539</v>
      </c>
      <c r="AB105" s="4">
        <f>$K$105*$V$105</f>
        <v>179108.8</v>
      </c>
      <c r="AC105" s="4">
        <f>$M$105*$W$105</f>
        <v>11093.90062</v>
      </c>
      <c r="AD105" s="4">
        <f>$O$105*$X$105</f>
        <v>113073.6385</v>
      </c>
      <c r="AE105" s="4">
        <f ca="1">$K$105*$Y$105</f>
        <v>198017.50718190192</v>
      </c>
      <c r="AF105" s="4">
        <f ca="1">$M$105*$Z$105</f>
        <v>14214.191171149867</v>
      </c>
      <c r="AG105" s="4">
        <f>$O$105*$AA$105</f>
        <v>111851.68036213724</v>
      </c>
    </row>
    <row r="106" spans="1:33" ht="11.25" customHeight="1" x14ac:dyDescent="0.25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44348</v>
      </c>
      <c r="J106" s="4">
        <v>31168</v>
      </c>
      <c r="K106" s="4">
        <v>31168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0</v>
      </c>
      <c r="S106" s="4">
        <v>4</v>
      </c>
      <c r="T106" s="4">
        <v>0</v>
      </c>
      <c r="U106" s="4">
        <v>0</v>
      </c>
      <c r="V106" s="4">
        <f>IF(ISERROR(VLOOKUP($S$106,'TAR FIN'!$A$1:$O$113,15,0)),0,VLOOKUP($S$106,'TAR FIN'!$A$1:$O$113,15,0))</f>
        <v>28.34</v>
      </c>
      <c r="W106" s="4">
        <f>IF(ISERROR(VLOOKUP($T$106,'TAR FIN'!$A$1:$O$113,15,0)),0,VLOOKUP($T$106,'TAR FIN'!$A$1:$O$113,15,0))</f>
        <v>0</v>
      </c>
      <c r="X106" s="4">
        <f>IF(ISERROR(VLOOKUP($U$106,'TAR FIN'!$A$1:$O$113,15,0)),0,VLOOKUP($U$106,'TAR FIN'!$A$1:$O$113,15,0))</f>
        <v>0</v>
      </c>
      <c r="Y106" s="4">
        <f ca="1">('TUSD BE'!$AM$5+'TUSD BF'!$AM$5+'TUSD CVA'!$AM$5)*1</f>
        <v>31.331884047769289</v>
      </c>
      <c r="Z106" s="4">
        <f ca="1">('TUSD BE'!$AM$7+'TUSD BF'!$AM$7+'TUSD CVA'!$AM$7)*1</f>
        <v>45.946048451030222</v>
      </c>
      <c r="AA106" s="4"/>
      <c r="AB106" s="4">
        <f>$K$106*$V$106</f>
        <v>883301.12</v>
      </c>
      <c r="AC106" s="4">
        <f>$M$106*$W$106</f>
        <v>0</v>
      </c>
      <c r="AD106" s="4">
        <f>$O$106*$X$106</f>
        <v>0</v>
      </c>
      <c r="AE106" s="4">
        <f ca="1">$K$106*$Y$106</f>
        <v>976552.16200087324</v>
      </c>
      <c r="AF106" s="4">
        <f ca="1">$M$106*$Z$106</f>
        <v>0</v>
      </c>
      <c r="AG106" s="4">
        <f>$O$106*$AA$106</f>
        <v>0</v>
      </c>
    </row>
    <row r="107" spans="1:33" ht="11.25" customHeight="1" x14ac:dyDescent="0.25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44378</v>
      </c>
      <c r="J107" s="4">
        <v>6300</v>
      </c>
      <c r="K107" s="4">
        <v>6300</v>
      </c>
      <c r="L107" s="4">
        <v>302.17500000000001</v>
      </c>
      <c r="M107" s="4">
        <v>302.17500000000001</v>
      </c>
      <c r="N107" s="4">
        <v>302.17500000000001</v>
      </c>
      <c r="O107" s="4">
        <v>302.17500000000001</v>
      </c>
      <c r="P107" s="4">
        <v>0</v>
      </c>
      <c r="Q107" s="3" t="s">
        <v>26</v>
      </c>
      <c r="R107" s="3">
        <v>0</v>
      </c>
      <c r="S107" s="4">
        <v>4</v>
      </c>
      <c r="T107" s="4">
        <v>6</v>
      </c>
      <c r="U107" s="4">
        <v>86</v>
      </c>
      <c r="V107" s="4">
        <f>IF(ISERROR(VLOOKUP($S$107,'TAR FIN'!$A$1:$O$113,15,0)),0,VLOOKUP($S$107,'TAR FIN'!$A$1:$O$113,15,0))</f>
        <v>28.34</v>
      </c>
      <c r="W107" s="4">
        <f>IF(ISERROR(VLOOKUP($T$107,'TAR FIN'!$A$1:$O$113,15,0)),0,VLOOKUP($T$107,'TAR FIN'!$A$1:$O$113,15,0))</f>
        <v>35.86</v>
      </c>
      <c r="X107" s="4">
        <f>IF(ISERROR(VLOOKUP($U$107,'TAR FIN'!$A$1:$O$113,15,0)),0,VLOOKUP($U$107,'TAR FIN'!$A$1:$O$113,15,0))</f>
        <v>365.5</v>
      </c>
      <c r="Y107" s="4">
        <f ca="1">('TUSD BE'!$AM$5+'TUSD BF'!$AM$5+'TUSD CVA'!$AM$5)*1</f>
        <v>31.331884047769289</v>
      </c>
      <c r="Z107" s="4">
        <f ca="1">('TUSD BE'!$AM$7+'TUSD BF'!$AM$7+'TUSD CVA'!$AM$7)*1</f>
        <v>45.946048451030222</v>
      </c>
      <c r="AA107" s="4">
        <f>('TE BE'!$AA$5+'TE BF'!$AA$5+'TE CVA'!$AA$5)*1</f>
        <v>361.55013418411539</v>
      </c>
      <c r="AB107" s="4">
        <f>$K$107*$V$107</f>
        <v>178542</v>
      </c>
      <c r="AC107" s="4">
        <f>$M$107*$W$107</f>
        <v>10835.995500000001</v>
      </c>
      <c r="AD107" s="4">
        <f>$O$107*$X$107</f>
        <v>110444.96250000001</v>
      </c>
      <c r="AE107" s="4">
        <f ca="1">$K$107*$Y$107</f>
        <v>197390.86950094652</v>
      </c>
      <c r="AF107" s="4">
        <f ca="1">$M$107*$Z$107</f>
        <v>13883.747190690057</v>
      </c>
      <c r="AG107" s="4">
        <f>$O$107*$AA$107</f>
        <v>109251.41179708508</v>
      </c>
    </row>
    <row r="108" spans="1:33" ht="11.25" customHeight="1" x14ac:dyDescent="0.25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44378</v>
      </c>
      <c r="J108" s="4">
        <v>31096</v>
      </c>
      <c r="K108" s="4">
        <v>31096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0</v>
      </c>
      <c r="S108" s="4">
        <v>4</v>
      </c>
      <c r="T108" s="4">
        <v>0</v>
      </c>
      <c r="U108" s="4">
        <v>0</v>
      </c>
      <c r="V108" s="4">
        <f>IF(ISERROR(VLOOKUP($S$108,'TAR FIN'!$A$1:$O$113,15,0)),0,VLOOKUP($S$108,'TAR FIN'!$A$1:$O$113,15,0))</f>
        <v>28.34</v>
      </c>
      <c r="W108" s="4">
        <f>IF(ISERROR(VLOOKUP($T$108,'TAR FIN'!$A$1:$O$113,15,0)),0,VLOOKUP($T$108,'TAR FIN'!$A$1:$O$113,15,0))</f>
        <v>0</v>
      </c>
      <c r="X108" s="4">
        <f>IF(ISERROR(VLOOKUP($U$108,'TAR FIN'!$A$1:$O$113,15,0)),0,VLOOKUP($U$108,'TAR FIN'!$A$1:$O$113,15,0))</f>
        <v>0</v>
      </c>
      <c r="Y108" s="4">
        <f ca="1">('TUSD BE'!$AM$5+'TUSD BF'!$AM$5+'TUSD CVA'!$AM$5)*1</f>
        <v>31.331884047769289</v>
      </c>
      <c r="Z108" s="4">
        <f ca="1">('TUSD BE'!$AM$7+'TUSD BF'!$AM$7+'TUSD CVA'!$AM$7)*1</f>
        <v>45.946048451030222</v>
      </c>
      <c r="AA108" s="4"/>
      <c r="AB108" s="4">
        <f>$K$108*$V$108</f>
        <v>881260.64</v>
      </c>
      <c r="AC108" s="4">
        <f>$M$108*$W$108</f>
        <v>0</v>
      </c>
      <c r="AD108" s="4">
        <f>$O$108*$X$108</f>
        <v>0</v>
      </c>
      <c r="AE108" s="4">
        <f ca="1">$K$108*$Y$108</f>
        <v>974296.2663494338</v>
      </c>
      <c r="AF108" s="4">
        <f ca="1">$M$108*$Z$108</f>
        <v>0</v>
      </c>
      <c r="AG108" s="4">
        <f>$O$108*$AA$108</f>
        <v>0</v>
      </c>
    </row>
    <row r="109" spans="1:33" ht="11.25" customHeight="1" x14ac:dyDescent="0.25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44409</v>
      </c>
      <c r="J109" s="4">
        <v>6720</v>
      </c>
      <c r="K109" s="4">
        <v>6720</v>
      </c>
      <c r="L109" s="4">
        <v>314.81799999999998</v>
      </c>
      <c r="M109" s="4">
        <v>314.81799999999998</v>
      </c>
      <c r="N109" s="4">
        <v>314.81799999999998</v>
      </c>
      <c r="O109" s="4">
        <v>314.81799999999998</v>
      </c>
      <c r="P109" s="4">
        <v>0</v>
      </c>
      <c r="Q109" s="3" t="s">
        <v>26</v>
      </c>
      <c r="R109" s="3">
        <v>0</v>
      </c>
      <c r="S109" s="4">
        <v>4</v>
      </c>
      <c r="T109" s="4">
        <v>6</v>
      </c>
      <c r="U109" s="4">
        <v>86</v>
      </c>
      <c r="V109" s="4">
        <f>IF(ISERROR(VLOOKUP($S$109,'TAR FIN'!$A$1:$O$113,15,0)),0,VLOOKUP($S$109,'TAR FIN'!$A$1:$O$113,15,0))</f>
        <v>28.34</v>
      </c>
      <c r="W109" s="4">
        <f>IF(ISERROR(VLOOKUP($T$109,'TAR FIN'!$A$1:$O$113,15,0)),0,VLOOKUP($T$109,'TAR FIN'!$A$1:$O$113,15,0))</f>
        <v>35.86</v>
      </c>
      <c r="X109" s="4">
        <f>IF(ISERROR(VLOOKUP($U$109,'TAR FIN'!$A$1:$O$113,15,0)),0,VLOOKUP($U$109,'TAR FIN'!$A$1:$O$113,15,0))</f>
        <v>365.5</v>
      </c>
      <c r="Y109" s="4">
        <f ca="1">('TUSD BE'!$AM$5+'TUSD BF'!$AM$5+'TUSD CVA'!$AM$5)*1</f>
        <v>31.331884047769289</v>
      </c>
      <c r="Z109" s="4">
        <f ca="1">('TUSD BE'!$AM$7+'TUSD BF'!$AM$7+'TUSD CVA'!$AM$7)*1</f>
        <v>45.946048451030222</v>
      </c>
      <c r="AA109" s="4">
        <f>('TE BE'!$AA$5+'TE BF'!$AA$5+'TE CVA'!$AA$5)*1</f>
        <v>361.55013418411539</v>
      </c>
      <c r="AB109" s="4">
        <f>$K$109*$V$109</f>
        <v>190444.79999999999</v>
      </c>
      <c r="AC109" s="4">
        <f>$M$109*$W$109</f>
        <v>11289.373479999998</v>
      </c>
      <c r="AD109" s="4">
        <f>$O$109*$X$109</f>
        <v>115065.97899999999</v>
      </c>
      <c r="AE109" s="4">
        <f ca="1">$K$109*$Y$109</f>
        <v>210550.26080100963</v>
      </c>
      <c r="AF109" s="4">
        <f ca="1">$M$109*$Z$109</f>
        <v>14464.643081256432</v>
      </c>
      <c r="AG109" s="4">
        <f>$O$109*$AA$109</f>
        <v>113822.49014357483</v>
      </c>
    </row>
    <row r="110" spans="1:33" ht="11.25" customHeight="1" x14ac:dyDescent="0.25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25</v>
      </c>
      <c r="G110" s="3" t="s">
        <v>25</v>
      </c>
      <c r="H110" s="3" t="s">
        <v>34</v>
      </c>
      <c r="I110" s="6">
        <v>44409</v>
      </c>
      <c r="J110" s="4">
        <v>31080</v>
      </c>
      <c r="K110" s="4">
        <v>31080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0</v>
      </c>
      <c r="S110" s="4">
        <v>4</v>
      </c>
      <c r="T110" s="4">
        <v>0</v>
      </c>
      <c r="U110" s="4">
        <v>0</v>
      </c>
      <c r="V110" s="4">
        <f>IF(ISERROR(VLOOKUP($S$110,'TAR FIN'!$A$1:$O$113,15,0)),0,VLOOKUP($S$110,'TAR FIN'!$A$1:$O$113,15,0))</f>
        <v>28.34</v>
      </c>
      <c r="W110" s="4">
        <f>IF(ISERROR(VLOOKUP($T$110,'TAR FIN'!$A$1:$O$113,15,0)),0,VLOOKUP($T$110,'TAR FIN'!$A$1:$O$113,15,0))</f>
        <v>0</v>
      </c>
      <c r="X110" s="4">
        <f>IF(ISERROR(VLOOKUP($U$110,'TAR FIN'!$A$1:$O$113,15,0)),0,VLOOKUP($U$110,'TAR FIN'!$A$1:$O$113,15,0))</f>
        <v>0</v>
      </c>
      <c r="Y110" s="4">
        <f ca="1">('TUSD BE'!$AM$5+'TUSD BF'!$AM$5+'TUSD CVA'!$AM$5)*1</f>
        <v>31.331884047769289</v>
      </c>
      <c r="Z110" s="4">
        <f ca="1">('TUSD BE'!$AM$7+'TUSD BF'!$AM$7+'TUSD CVA'!$AM$7)*1</f>
        <v>45.946048451030222</v>
      </c>
      <c r="AA110" s="4"/>
      <c r="AB110" s="4">
        <f>$K$110*$V$110</f>
        <v>880807.2</v>
      </c>
      <c r="AC110" s="4">
        <f>$M$110*$W$110</f>
        <v>0</v>
      </c>
      <c r="AD110" s="4">
        <f>$O$110*$X$110</f>
        <v>0</v>
      </c>
      <c r="AE110" s="4">
        <f ca="1">$K$110*$Y$110</f>
        <v>973794.95620466955</v>
      </c>
      <c r="AF110" s="4">
        <f ca="1">$M$110*$Z$110</f>
        <v>0</v>
      </c>
      <c r="AG110" s="4">
        <f>$O$110*$AA$110</f>
        <v>0</v>
      </c>
    </row>
    <row r="111" spans="1:33" ht="11.25" customHeight="1" x14ac:dyDescent="0.25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25</v>
      </c>
      <c r="G111" s="3" t="s">
        <v>25</v>
      </c>
      <c r="H111" s="3" t="s">
        <v>34</v>
      </c>
      <c r="I111" s="6">
        <v>44440</v>
      </c>
      <c r="J111" s="4">
        <v>6359</v>
      </c>
      <c r="K111" s="4">
        <v>6359</v>
      </c>
      <c r="L111" s="4">
        <v>284.125</v>
      </c>
      <c r="M111" s="4">
        <v>284.125</v>
      </c>
      <c r="N111" s="4">
        <v>284.125</v>
      </c>
      <c r="O111" s="4">
        <v>284.125</v>
      </c>
      <c r="P111" s="4">
        <v>0</v>
      </c>
      <c r="Q111" s="3" t="s">
        <v>26</v>
      </c>
      <c r="R111" s="3">
        <v>0</v>
      </c>
      <c r="S111" s="4">
        <v>4</v>
      </c>
      <c r="T111" s="4">
        <v>6</v>
      </c>
      <c r="U111" s="4">
        <v>86</v>
      </c>
      <c r="V111" s="4">
        <f>IF(ISERROR(VLOOKUP($S$111,'TAR FIN'!$A$1:$O$113,15,0)),0,VLOOKUP($S$111,'TAR FIN'!$A$1:$O$113,15,0))</f>
        <v>28.34</v>
      </c>
      <c r="W111" s="4">
        <f>IF(ISERROR(VLOOKUP($T$111,'TAR FIN'!$A$1:$O$113,15,0)),0,VLOOKUP($T$111,'TAR FIN'!$A$1:$O$113,15,0))</f>
        <v>35.86</v>
      </c>
      <c r="X111" s="4">
        <f>IF(ISERROR(VLOOKUP($U$111,'TAR FIN'!$A$1:$O$113,15,0)),0,VLOOKUP($U$111,'TAR FIN'!$A$1:$O$113,15,0))</f>
        <v>365.5</v>
      </c>
      <c r="Y111" s="4">
        <f ca="1">('TUSD BE'!$AM$5+'TUSD BF'!$AM$5+'TUSD CVA'!$AM$5)*1</f>
        <v>31.331884047769289</v>
      </c>
      <c r="Z111" s="4">
        <f ca="1">('TUSD BE'!$AM$7+'TUSD BF'!$AM$7+'TUSD CVA'!$AM$7)*1</f>
        <v>45.946048451030222</v>
      </c>
      <c r="AA111" s="4">
        <f>('TE BE'!$AA$5+'TE BF'!$AA$5+'TE CVA'!$AA$5)*1</f>
        <v>361.55013418411539</v>
      </c>
      <c r="AB111" s="4">
        <f>$K$111*$V$111</f>
        <v>180214.06</v>
      </c>
      <c r="AC111" s="4">
        <f>$M$111*$W$111</f>
        <v>10188.7225</v>
      </c>
      <c r="AD111" s="4">
        <f>$O$111*$X$111</f>
        <v>103847.6875</v>
      </c>
      <c r="AE111" s="4">
        <f ca="1">$K$111*$Y$111</f>
        <v>199239.4506597649</v>
      </c>
      <c r="AF111" s="4">
        <f ca="1">$M$111*$Z$111</f>
        <v>13054.421016148963</v>
      </c>
      <c r="AG111" s="4">
        <f>$O$111*$AA$111</f>
        <v>102725.43187506178</v>
      </c>
    </row>
    <row r="112" spans="1:33" ht="11.25" customHeight="1" x14ac:dyDescent="0.25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25</v>
      </c>
      <c r="G112" s="3" t="s">
        <v>25</v>
      </c>
      <c r="H112" s="3" t="s">
        <v>34</v>
      </c>
      <c r="I112" s="6">
        <v>44440</v>
      </c>
      <c r="J112" s="4">
        <v>31120</v>
      </c>
      <c r="K112" s="4">
        <v>31120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0</v>
      </c>
      <c r="S112" s="4">
        <v>4</v>
      </c>
      <c r="T112" s="4">
        <v>0</v>
      </c>
      <c r="U112" s="4">
        <v>0</v>
      </c>
      <c r="V112" s="4">
        <f>IF(ISERROR(VLOOKUP($S$112,'TAR FIN'!$A$1:$O$113,15,0)),0,VLOOKUP($S$112,'TAR FIN'!$A$1:$O$113,15,0))</f>
        <v>28.34</v>
      </c>
      <c r="W112" s="4">
        <f>IF(ISERROR(VLOOKUP($T$112,'TAR FIN'!$A$1:$O$113,15,0)),0,VLOOKUP($T$112,'TAR FIN'!$A$1:$O$113,15,0))</f>
        <v>0</v>
      </c>
      <c r="X112" s="4">
        <f>IF(ISERROR(VLOOKUP($U$112,'TAR FIN'!$A$1:$O$113,15,0)),0,VLOOKUP($U$112,'TAR FIN'!$A$1:$O$113,15,0))</f>
        <v>0</v>
      </c>
      <c r="Y112" s="4">
        <f ca="1">('TUSD BE'!$AM$5+'TUSD BF'!$AM$5+'TUSD CVA'!$AM$5)*1</f>
        <v>31.331884047769289</v>
      </c>
      <c r="Z112" s="4">
        <f ca="1">('TUSD BE'!$AM$7+'TUSD BF'!$AM$7+'TUSD CVA'!$AM$7)*1</f>
        <v>45.946048451030222</v>
      </c>
      <c r="AA112" s="4"/>
      <c r="AB112" s="4">
        <f>$K$112*$V$112</f>
        <v>881940.8</v>
      </c>
      <c r="AC112" s="4">
        <f>$M$112*$W$112</f>
        <v>0</v>
      </c>
      <c r="AD112" s="4">
        <f>$O$112*$X$112</f>
        <v>0</v>
      </c>
      <c r="AE112" s="4">
        <f ca="1">$K$112*$Y$112</f>
        <v>975048.23156658025</v>
      </c>
      <c r="AF112" s="4">
        <f ca="1">$M$112*$Z$112</f>
        <v>0</v>
      </c>
      <c r="AG112" s="4">
        <f>$O$112*$AA$112</f>
        <v>0</v>
      </c>
    </row>
    <row r="113" spans="1:33" ht="11.25" customHeight="1" x14ac:dyDescent="0.25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25</v>
      </c>
      <c r="G113" s="3" t="s">
        <v>25</v>
      </c>
      <c r="H113" s="3" t="s">
        <v>34</v>
      </c>
      <c r="I113" s="6">
        <v>44470</v>
      </c>
      <c r="J113" s="4">
        <v>6431</v>
      </c>
      <c r="K113" s="4">
        <v>6431</v>
      </c>
      <c r="L113" s="4">
        <v>281.93299999999999</v>
      </c>
      <c r="M113" s="4">
        <v>281.93299999999999</v>
      </c>
      <c r="N113" s="4">
        <v>281.93299999999999</v>
      </c>
      <c r="O113" s="4">
        <v>281.93299999999999</v>
      </c>
      <c r="P113" s="4">
        <v>0</v>
      </c>
      <c r="Q113" s="3" t="s">
        <v>26</v>
      </c>
      <c r="R113" s="3">
        <v>0</v>
      </c>
      <c r="S113" s="4">
        <v>4</v>
      </c>
      <c r="T113" s="4">
        <v>6</v>
      </c>
      <c r="U113" s="4">
        <v>86</v>
      </c>
      <c r="V113" s="4">
        <f>IF(ISERROR(VLOOKUP($S$113,'TAR FIN'!$A$1:$O$113,15,0)),0,VLOOKUP($S$113,'TAR FIN'!$A$1:$O$113,15,0))</f>
        <v>28.34</v>
      </c>
      <c r="W113" s="4">
        <f>IF(ISERROR(VLOOKUP($T$113,'TAR FIN'!$A$1:$O$113,15,0)),0,VLOOKUP($T$113,'TAR FIN'!$A$1:$O$113,15,0))</f>
        <v>35.86</v>
      </c>
      <c r="X113" s="4">
        <f>IF(ISERROR(VLOOKUP($U$113,'TAR FIN'!$A$1:$O$113,15,0)),0,VLOOKUP($U$113,'TAR FIN'!$A$1:$O$113,15,0))</f>
        <v>365.5</v>
      </c>
      <c r="Y113" s="4">
        <f ca="1">('TUSD BE'!$AM$5+'TUSD BF'!$AM$5+'TUSD CVA'!$AM$5)*1</f>
        <v>31.331884047769289</v>
      </c>
      <c r="Z113" s="4">
        <f ca="1">('TUSD BE'!$AM$7+'TUSD BF'!$AM$7+'TUSD CVA'!$AM$7)*1</f>
        <v>45.946048451030222</v>
      </c>
      <c r="AA113" s="4">
        <f>('TE BE'!$AA$5+'TE BF'!$AA$5+'TE CVA'!$AA$5)*1</f>
        <v>361.55013418411539</v>
      </c>
      <c r="AB113" s="4">
        <f>$K$113*$V$113</f>
        <v>182254.54</v>
      </c>
      <c r="AC113" s="4">
        <f>$M$113*$W$113</f>
        <v>10110.11738</v>
      </c>
      <c r="AD113" s="4">
        <f>$O$113*$X$113</f>
        <v>103046.51149999999</v>
      </c>
      <c r="AE113" s="4">
        <f ca="1">$K$113*$Y$113</f>
        <v>201495.34631120431</v>
      </c>
      <c r="AF113" s="4">
        <f ca="1">$M$113*$Z$113</f>
        <v>12953.707277944304</v>
      </c>
      <c r="AG113" s="4">
        <f>$O$113*$AA$113</f>
        <v>101932.9139809302</v>
      </c>
    </row>
    <row r="114" spans="1:33" ht="11.25" customHeight="1" x14ac:dyDescent="0.25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25</v>
      </c>
      <c r="G114" s="3" t="s">
        <v>25</v>
      </c>
      <c r="H114" s="3" t="s">
        <v>34</v>
      </c>
      <c r="I114" s="6">
        <v>44470</v>
      </c>
      <c r="J114" s="4">
        <v>31092</v>
      </c>
      <c r="K114" s="4">
        <v>31092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0</v>
      </c>
      <c r="S114" s="4">
        <v>4</v>
      </c>
      <c r="T114" s="4">
        <v>0</v>
      </c>
      <c r="U114" s="4">
        <v>0</v>
      </c>
      <c r="V114" s="4">
        <f>IF(ISERROR(VLOOKUP($S$114,'TAR FIN'!$A$1:$O$113,15,0)),0,VLOOKUP($S$114,'TAR FIN'!$A$1:$O$113,15,0))</f>
        <v>28.34</v>
      </c>
      <c r="W114" s="4">
        <f>IF(ISERROR(VLOOKUP($T$114,'TAR FIN'!$A$1:$O$113,15,0)),0,VLOOKUP($T$114,'TAR FIN'!$A$1:$O$113,15,0))</f>
        <v>0</v>
      </c>
      <c r="X114" s="4">
        <f>IF(ISERROR(VLOOKUP($U$114,'TAR FIN'!$A$1:$O$113,15,0)),0,VLOOKUP($U$114,'TAR FIN'!$A$1:$O$113,15,0))</f>
        <v>0</v>
      </c>
      <c r="Y114" s="4">
        <f ca="1">('TUSD BE'!$AM$5+'TUSD BF'!$AM$5+'TUSD CVA'!$AM$5)*1</f>
        <v>31.331884047769289</v>
      </c>
      <c r="Z114" s="4">
        <f ca="1">('TUSD BE'!$AM$7+'TUSD BF'!$AM$7+'TUSD CVA'!$AM$7)*1</f>
        <v>45.946048451030222</v>
      </c>
      <c r="AA114" s="4"/>
      <c r="AB114" s="4">
        <f>$K$114*$V$114</f>
        <v>881147.28</v>
      </c>
      <c r="AC114" s="4">
        <f>$M$114*$W$114</f>
        <v>0</v>
      </c>
      <c r="AD114" s="4">
        <f>$O$114*$X$114</f>
        <v>0</v>
      </c>
      <c r="AE114" s="4">
        <f ca="1">$K$114*$Y$114</f>
        <v>974170.93881324271</v>
      </c>
      <c r="AF114" s="4">
        <f ca="1">$M$114*$Z$114</f>
        <v>0</v>
      </c>
      <c r="AG114" s="4">
        <f>$O$114*$AA$114</f>
        <v>0</v>
      </c>
    </row>
    <row r="115" spans="1:33" ht="11.25" customHeight="1" x14ac:dyDescent="0.25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25</v>
      </c>
      <c r="G115" s="3" t="s">
        <v>25</v>
      </c>
      <c r="H115" s="3" t="s">
        <v>34</v>
      </c>
      <c r="I115" s="6">
        <v>44501</v>
      </c>
      <c r="J115" s="4">
        <v>6518</v>
      </c>
      <c r="K115" s="4">
        <v>6518</v>
      </c>
      <c r="L115" s="4">
        <v>262.976</v>
      </c>
      <c r="M115" s="4">
        <v>262.976</v>
      </c>
      <c r="N115" s="4">
        <v>262.976</v>
      </c>
      <c r="O115" s="4">
        <v>262.976</v>
      </c>
      <c r="P115" s="4">
        <v>0</v>
      </c>
      <c r="Q115" s="3" t="s">
        <v>26</v>
      </c>
      <c r="R115" s="3">
        <v>0</v>
      </c>
      <c r="S115" s="4">
        <v>4</v>
      </c>
      <c r="T115" s="4">
        <v>6</v>
      </c>
      <c r="U115" s="4">
        <v>86</v>
      </c>
      <c r="V115" s="4">
        <f>IF(ISERROR(VLOOKUP($S$115,'TAR FIN'!$A$1:$O$113,15,0)),0,VLOOKUP($S$115,'TAR FIN'!$A$1:$O$113,15,0))</f>
        <v>28.34</v>
      </c>
      <c r="W115" s="4">
        <f>IF(ISERROR(VLOOKUP($T$115,'TAR FIN'!$A$1:$O$113,15,0)),0,VLOOKUP($T$115,'TAR FIN'!$A$1:$O$113,15,0))</f>
        <v>35.86</v>
      </c>
      <c r="X115" s="4">
        <f>IF(ISERROR(VLOOKUP($U$115,'TAR FIN'!$A$1:$O$113,15,0)),0,VLOOKUP($U$115,'TAR FIN'!$A$1:$O$113,15,0))</f>
        <v>365.5</v>
      </c>
      <c r="Y115" s="4">
        <f ca="1">('TUSD BE'!$AM$5+'TUSD BF'!$AM$5+'TUSD CVA'!$AM$5)*1</f>
        <v>31.331884047769289</v>
      </c>
      <c r="Z115" s="4">
        <f ca="1">('TUSD BE'!$AM$7+'TUSD BF'!$AM$7+'TUSD CVA'!$AM$7)*1</f>
        <v>45.946048451030222</v>
      </c>
      <c r="AA115" s="4">
        <f>('TE BE'!$AA$5+'TE BF'!$AA$5+'TE CVA'!$AA$5)*1</f>
        <v>361.55013418411539</v>
      </c>
      <c r="AB115" s="4">
        <f>$K$115*$V$115</f>
        <v>184720.12</v>
      </c>
      <c r="AC115" s="4">
        <f>$M$115*$W$115</f>
        <v>9430.3193599999995</v>
      </c>
      <c r="AD115" s="4">
        <f>$O$115*$X$115</f>
        <v>96117.728000000003</v>
      </c>
      <c r="AE115" s="4">
        <f ca="1">$K$115*$Y$115</f>
        <v>204221.22022336023</v>
      </c>
      <c r="AF115" s="4">
        <f ca="1">$M$115*$Z$115</f>
        <v>12082.708037458124</v>
      </c>
      <c r="AG115" s="4">
        <f>$O$115*$AA$115</f>
        <v>95079.008087201932</v>
      </c>
    </row>
    <row r="116" spans="1:33" ht="11.25" customHeight="1" x14ac:dyDescent="0.25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25</v>
      </c>
      <c r="G116" s="3" t="s">
        <v>25</v>
      </c>
      <c r="H116" s="3" t="s">
        <v>34</v>
      </c>
      <c r="I116" s="6">
        <v>44501</v>
      </c>
      <c r="J116" s="4">
        <v>27208</v>
      </c>
      <c r="K116" s="4">
        <v>27208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R116" s="3">
        <v>0</v>
      </c>
      <c r="S116" s="4">
        <v>4</v>
      </c>
      <c r="T116" s="4">
        <v>0</v>
      </c>
      <c r="U116" s="4">
        <v>0</v>
      </c>
      <c r="V116" s="4">
        <f>IF(ISERROR(VLOOKUP($S$116,'TAR FIN'!$A$1:$O$113,15,0)),0,VLOOKUP($S$116,'TAR FIN'!$A$1:$O$113,15,0))</f>
        <v>28.34</v>
      </c>
      <c r="W116" s="4">
        <f>IF(ISERROR(VLOOKUP($T$116,'TAR FIN'!$A$1:$O$113,15,0)),0,VLOOKUP($T$116,'TAR FIN'!$A$1:$O$113,15,0))</f>
        <v>0</v>
      </c>
      <c r="X116" s="4">
        <f>IF(ISERROR(VLOOKUP($U$116,'TAR FIN'!$A$1:$O$113,15,0)),0,VLOOKUP($U$116,'TAR FIN'!$A$1:$O$113,15,0))</f>
        <v>0</v>
      </c>
      <c r="Y116" s="4">
        <f ca="1">('TUSD BE'!$AM$5+'TUSD BF'!$AM$5+'TUSD CVA'!$AM$5)*1</f>
        <v>31.331884047769289</v>
      </c>
      <c r="Z116" s="4">
        <f ca="1">('TUSD BE'!$AM$7+'TUSD BF'!$AM$7+'TUSD CVA'!$AM$7)*1</f>
        <v>45.946048451030222</v>
      </c>
      <c r="AA116" s="4"/>
      <c r="AB116" s="4">
        <f>$K$116*$V$116</f>
        <v>771074.72</v>
      </c>
      <c r="AC116" s="4">
        <f>$M$116*$W$116</f>
        <v>0</v>
      </c>
      <c r="AD116" s="4">
        <f>$O$116*$X$116</f>
        <v>0</v>
      </c>
      <c r="AE116" s="4">
        <f ca="1">$K$116*$Y$116</f>
        <v>852477.90117170685</v>
      </c>
      <c r="AF116" s="4">
        <f ca="1">$M$116*$Z$116</f>
        <v>0</v>
      </c>
      <c r="AG116" s="4">
        <f>$O$116*$AA$116</f>
        <v>0</v>
      </c>
    </row>
    <row r="117" spans="1:33" ht="11.25" customHeight="1" x14ac:dyDescent="0.25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25</v>
      </c>
      <c r="G117" s="3" t="s">
        <v>25</v>
      </c>
      <c r="H117" s="3" t="s">
        <v>34</v>
      </c>
      <c r="I117" s="6">
        <v>44531</v>
      </c>
      <c r="J117" s="4">
        <v>6547</v>
      </c>
      <c r="K117" s="4">
        <v>6547</v>
      </c>
      <c r="L117" s="4">
        <v>276.64299999999997</v>
      </c>
      <c r="M117" s="4">
        <v>276.64299999999997</v>
      </c>
      <c r="N117" s="4">
        <v>276.64299999999997</v>
      </c>
      <c r="O117" s="4">
        <v>276.64299999999997</v>
      </c>
      <c r="P117" s="4">
        <v>0</v>
      </c>
      <c r="Q117" s="3" t="s">
        <v>26</v>
      </c>
      <c r="R117" s="3">
        <v>0</v>
      </c>
      <c r="S117" s="4">
        <v>4</v>
      </c>
      <c r="T117" s="4">
        <v>6</v>
      </c>
      <c r="U117" s="4">
        <v>86</v>
      </c>
      <c r="V117" s="4">
        <f>IF(ISERROR(VLOOKUP($S$117,'TAR FIN'!$A$1:$O$113,15,0)),0,VLOOKUP($S$117,'TAR FIN'!$A$1:$O$113,15,0))</f>
        <v>28.34</v>
      </c>
      <c r="W117" s="4">
        <f>IF(ISERROR(VLOOKUP($T$117,'TAR FIN'!$A$1:$O$113,15,0)),0,VLOOKUP($T$117,'TAR FIN'!$A$1:$O$113,15,0))</f>
        <v>35.86</v>
      </c>
      <c r="X117" s="4">
        <f>IF(ISERROR(VLOOKUP($U$117,'TAR FIN'!$A$1:$O$113,15,0)),0,VLOOKUP($U$117,'TAR FIN'!$A$1:$O$113,15,0))</f>
        <v>365.5</v>
      </c>
      <c r="Y117" s="4">
        <f ca="1">('TUSD BE'!$AM$5+'TUSD BF'!$AM$5+'TUSD CVA'!$AM$5)*1</f>
        <v>31.331884047769289</v>
      </c>
      <c r="Z117" s="4">
        <f ca="1">('TUSD BE'!$AM$7+'TUSD BF'!$AM$7+'TUSD CVA'!$AM$7)*1</f>
        <v>45.946048451030222</v>
      </c>
      <c r="AA117" s="4">
        <f>('TE BE'!$AA$5+'TE BF'!$AA$5+'TE CVA'!$AA$5)*1</f>
        <v>361.55013418411539</v>
      </c>
      <c r="AB117" s="4">
        <f>$K$117*$V$117</f>
        <v>185541.98</v>
      </c>
      <c r="AC117" s="4">
        <f>$M$117*$W$117</f>
        <v>9920.4179799999984</v>
      </c>
      <c r="AD117" s="4">
        <f>$O$117*$X$117</f>
        <v>101113.01649999998</v>
      </c>
      <c r="AE117" s="4">
        <f ca="1">$K$117*$Y$117</f>
        <v>205129.84486074554</v>
      </c>
      <c r="AF117" s="4">
        <f ca="1">$M$117*$Z$117</f>
        <v>12710.652681638352</v>
      </c>
      <c r="AG117" s="4">
        <f>$O$117*$AA$117</f>
        <v>100020.31377109622</v>
      </c>
    </row>
    <row r="118" spans="1:33" ht="11.25" customHeight="1" x14ac:dyDescent="0.25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44531</v>
      </c>
      <c r="J118" s="4">
        <v>27200</v>
      </c>
      <c r="K118" s="4">
        <v>27200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R118" s="3">
        <v>0</v>
      </c>
      <c r="S118" s="4">
        <v>4</v>
      </c>
      <c r="T118" s="4">
        <v>0</v>
      </c>
      <c r="U118" s="4">
        <v>0</v>
      </c>
      <c r="V118" s="4">
        <f>IF(ISERROR(VLOOKUP($S$118,'TAR FIN'!$A$1:$O$113,15,0)),0,VLOOKUP($S$118,'TAR FIN'!$A$1:$O$113,15,0))</f>
        <v>28.34</v>
      </c>
      <c r="W118" s="4">
        <f>IF(ISERROR(VLOOKUP($T$118,'TAR FIN'!$A$1:$O$113,15,0)),0,VLOOKUP($T$118,'TAR FIN'!$A$1:$O$113,15,0))</f>
        <v>0</v>
      </c>
      <c r="X118" s="4">
        <f>IF(ISERROR(VLOOKUP($U$118,'TAR FIN'!$A$1:$O$113,15,0)),0,VLOOKUP($U$118,'TAR FIN'!$A$1:$O$113,15,0))</f>
        <v>0</v>
      </c>
      <c r="Y118" s="4">
        <f ca="1">('TUSD BE'!$AM$5+'TUSD BF'!$AM$5+'TUSD CVA'!$AM$5)*1</f>
        <v>31.331884047769289</v>
      </c>
      <c r="Z118" s="4">
        <f ca="1">('TUSD BE'!$AM$7+'TUSD BF'!$AM$7+'TUSD CVA'!$AM$7)*1</f>
        <v>45.946048451030222</v>
      </c>
      <c r="AA118" s="4"/>
      <c r="AB118" s="4">
        <f>$K$118*$V$118</f>
        <v>770848</v>
      </c>
      <c r="AC118" s="4">
        <f>$M$118*$W$118</f>
        <v>0</v>
      </c>
      <c r="AD118" s="4">
        <f>$O$118*$X$118</f>
        <v>0</v>
      </c>
      <c r="AE118" s="4">
        <f ca="1">$K$118*$Y$118</f>
        <v>852227.24609932466</v>
      </c>
      <c r="AF118" s="4">
        <f ca="1">$M$118*$Z$118</f>
        <v>0</v>
      </c>
      <c r="AG118" s="4">
        <f>$O$118*$AA$118</f>
        <v>0</v>
      </c>
    </row>
    <row r="119" spans="1:33" ht="11.25" customHeight="1" x14ac:dyDescent="0.25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44562</v>
      </c>
      <c r="J119" s="4">
        <v>6448</v>
      </c>
      <c r="K119" s="4">
        <v>6448</v>
      </c>
      <c r="L119" s="4">
        <v>264.197</v>
      </c>
      <c r="M119" s="4">
        <v>264.197</v>
      </c>
      <c r="N119" s="4">
        <v>264.197</v>
      </c>
      <c r="O119" s="4">
        <v>264.197</v>
      </c>
      <c r="P119" s="4">
        <v>0</v>
      </c>
      <c r="Q119" s="3" t="s">
        <v>26</v>
      </c>
      <c r="R119" s="3">
        <v>0</v>
      </c>
      <c r="S119" s="4">
        <v>4</v>
      </c>
      <c r="T119" s="4">
        <v>6</v>
      </c>
      <c r="U119" s="4">
        <v>86</v>
      </c>
      <c r="V119" s="4">
        <f>IF(ISERROR(VLOOKUP($S$119,'TAR FIN'!$A$1:$O$113,15,0)),0,VLOOKUP($S$119,'TAR FIN'!$A$1:$O$113,15,0))</f>
        <v>28.34</v>
      </c>
      <c r="W119" s="4">
        <f>IF(ISERROR(VLOOKUP($T$119,'TAR FIN'!$A$1:$O$113,15,0)),0,VLOOKUP($T$119,'TAR FIN'!$A$1:$O$113,15,0))</f>
        <v>35.86</v>
      </c>
      <c r="X119" s="4">
        <f>IF(ISERROR(VLOOKUP($U$119,'TAR FIN'!$A$1:$O$113,15,0)),0,VLOOKUP($U$119,'TAR FIN'!$A$1:$O$113,15,0))</f>
        <v>365.5</v>
      </c>
      <c r="Y119" s="4">
        <f ca="1">('TUSD BE'!$AM$5+'TUSD BF'!$AM$5+'TUSD CVA'!$AM$5)*1</f>
        <v>31.331884047769289</v>
      </c>
      <c r="Z119" s="4">
        <f ca="1">('TUSD BE'!$AM$7+'TUSD BF'!$AM$7+'TUSD CVA'!$AM$7)*1</f>
        <v>45.946048451030222</v>
      </c>
      <c r="AA119" s="4">
        <f>('TE BE'!$AA$5+'TE BF'!$AA$5+'TE CVA'!$AA$5)*1</f>
        <v>361.55013418411539</v>
      </c>
      <c r="AB119" s="4">
        <f>$K$119*$V$119</f>
        <v>182736.32</v>
      </c>
      <c r="AC119" s="4">
        <f>$M$119*$W$119</f>
        <v>9474.1044199999997</v>
      </c>
      <c r="AD119" s="4">
        <f>$O$119*$X$119</f>
        <v>96564.003500000006</v>
      </c>
      <c r="AE119" s="4">
        <f ca="1">$K$119*$Y$119</f>
        <v>202027.98834001637</v>
      </c>
      <c r="AF119" s="4">
        <f ca="1">$M$119*$Z$119</f>
        <v>12138.808162616831</v>
      </c>
      <c r="AG119" s="4">
        <f>$O$119*$AA$119</f>
        <v>95520.460801040739</v>
      </c>
    </row>
    <row r="120" spans="1:33" ht="11.25" customHeight="1" x14ac:dyDescent="0.25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44562</v>
      </c>
      <c r="J120" s="4">
        <v>31099</v>
      </c>
      <c r="K120" s="4">
        <v>31099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0</v>
      </c>
      <c r="S120" s="4">
        <v>4</v>
      </c>
      <c r="T120" s="4">
        <v>0</v>
      </c>
      <c r="U120" s="4">
        <v>0</v>
      </c>
      <c r="V120" s="4">
        <f>IF(ISERROR(VLOOKUP($S$120,'TAR FIN'!$A$1:$O$113,15,0)),0,VLOOKUP($S$120,'TAR FIN'!$A$1:$O$113,15,0))</f>
        <v>28.34</v>
      </c>
      <c r="W120" s="4">
        <f>IF(ISERROR(VLOOKUP($T$120,'TAR FIN'!$A$1:$O$113,15,0)),0,VLOOKUP($T$120,'TAR FIN'!$A$1:$O$113,15,0))</f>
        <v>0</v>
      </c>
      <c r="X120" s="4">
        <f>IF(ISERROR(VLOOKUP($U$120,'TAR FIN'!$A$1:$O$113,15,0)),0,VLOOKUP($U$120,'TAR FIN'!$A$1:$O$113,15,0))</f>
        <v>0</v>
      </c>
      <c r="Y120" s="4">
        <f ca="1">('TUSD BE'!$AM$5+'TUSD BF'!$AM$5+'TUSD CVA'!$AM$5)*1</f>
        <v>31.331884047769289</v>
      </c>
      <c r="Z120" s="4">
        <f ca="1">('TUSD BE'!$AM$7+'TUSD BF'!$AM$7+'TUSD CVA'!$AM$7)*1</f>
        <v>45.946048451030222</v>
      </c>
      <c r="AA120" s="4"/>
      <c r="AB120" s="4">
        <f>$K$120*$V$120</f>
        <v>881345.66</v>
      </c>
      <c r="AC120" s="4">
        <f>$M$120*$W$120</f>
        <v>0</v>
      </c>
      <c r="AD120" s="4">
        <f>$O$120*$X$120</f>
        <v>0</v>
      </c>
      <c r="AE120" s="4">
        <f ca="1">$K$120*$Y$120</f>
        <v>974390.26200157718</v>
      </c>
      <c r="AF120" s="4">
        <f ca="1">$M$120*$Z$120</f>
        <v>0</v>
      </c>
      <c r="AG120" s="4">
        <f>$O$120*$AA$120</f>
        <v>0</v>
      </c>
    </row>
    <row r="121" spans="1:33" ht="11.25" customHeight="1" x14ac:dyDescent="0.25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44593</v>
      </c>
      <c r="J121" s="4">
        <v>6230</v>
      </c>
      <c r="K121" s="4">
        <v>6230</v>
      </c>
      <c r="L121" s="4">
        <v>255.58500000000001</v>
      </c>
      <c r="M121" s="4">
        <v>255.58500000000001</v>
      </c>
      <c r="N121" s="4">
        <v>255.58500000000001</v>
      </c>
      <c r="O121" s="4">
        <v>255.58500000000001</v>
      </c>
      <c r="P121" s="4">
        <v>0</v>
      </c>
      <c r="Q121" s="3" t="s">
        <v>26</v>
      </c>
      <c r="R121" s="3">
        <v>0</v>
      </c>
      <c r="S121" s="4">
        <v>4</v>
      </c>
      <c r="T121" s="4">
        <v>6</v>
      </c>
      <c r="U121" s="4">
        <v>86</v>
      </c>
      <c r="V121" s="4">
        <f>IF(ISERROR(VLOOKUP($S$121,'TAR FIN'!$A$1:$O$113,15,0)),0,VLOOKUP($S$121,'TAR FIN'!$A$1:$O$113,15,0))</f>
        <v>28.34</v>
      </c>
      <c r="W121" s="4">
        <f>IF(ISERROR(VLOOKUP($T$121,'TAR FIN'!$A$1:$O$113,15,0)),0,VLOOKUP($T$121,'TAR FIN'!$A$1:$O$113,15,0))</f>
        <v>35.86</v>
      </c>
      <c r="X121" s="4">
        <f>IF(ISERROR(VLOOKUP($U$121,'TAR FIN'!$A$1:$O$113,15,0)),0,VLOOKUP($U$121,'TAR FIN'!$A$1:$O$113,15,0))</f>
        <v>365.5</v>
      </c>
      <c r="Y121" s="4">
        <f ca="1">('TUSD BE'!$AM$5+'TUSD BF'!$AM$5+'TUSD CVA'!$AM$5)*1</f>
        <v>31.331884047769289</v>
      </c>
      <c r="Z121" s="4">
        <f ca="1">('TUSD BE'!$AM$7+'TUSD BF'!$AM$7+'TUSD CVA'!$AM$7)*1</f>
        <v>45.946048451030222</v>
      </c>
      <c r="AA121" s="4">
        <f>('TE BE'!$AA$5+'TE BF'!$AA$5+'TE CVA'!$AA$5)*1</f>
        <v>361.55013418411539</v>
      </c>
      <c r="AB121" s="4">
        <f>$K$121*$V$121</f>
        <v>176558.2</v>
      </c>
      <c r="AC121" s="4">
        <f>$M$121*$W$121</f>
        <v>9165.2780999999995</v>
      </c>
      <c r="AD121" s="4">
        <f>$O$121*$X$121</f>
        <v>93416.317500000005</v>
      </c>
      <c r="AE121" s="4">
        <f ca="1">$K$121*$Y$121</f>
        <v>195197.63761760268</v>
      </c>
      <c r="AF121" s="4">
        <f ca="1">$M$121*$Z$121</f>
        <v>11743.12079335656</v>
      </c>
      <c r="AG121" s="4">
        <f>$O$121*$AA$121</f>
        <v>92406.791045447142</v>
      </c>
    </row>
    <row r="122" spans="1:33" ht="11.25" customHeight="1" x14ac:dyDescent="0.25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25</v>
      </c>
      <c r="G122" s="3" t="s">
        <v>25</v>
      </c>
      <c r="H122" s="3" t="s">
        <v>34</v>
      </c>
      <c r="I122" s="6">
        <v>44593</v>
      </c>
      <c r="J122" s="4">
        <v>27200</v>
      </c>
      <c r="K122" s="4">
        <v>27200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R122" s="3">
        <v>0</v>
      </c>
      <c r="S122" s="4">
        <v>4</v>
      </c>
      <c r="T122" s="4">
        <v>0</v>
      </c>
      <c r="U122" s="4">
        <v>0</v>
      </c>
      <c r="V122" s="4">
        <f>IF(ISERROR(VLOOKUP($S$122,'TAR FIN'!$A$1:$O$113,15,0)),0,VLOOKUP($S$122,'TAR FIN'!$A$1:$O$113,15,0))</f>
        <v>28.34</v>
      </c>
      <c r="W122" s="4">
        <f>IF(ISERROR(VLOOKUP($T$122,'TAR FIN'!$A$1:$O$113,15,0)),0,VLOOKUP($T$122,'TAR FIN'!$A$1:$O$113,15,0))</f>
        <v>0</v>
      </c>
      <c r="X122" s="4">
        <f>IF(ISERROR(VLOOKUP($U$122,'TAR FIN'!$A$1:$O$113,15,0)),0,VLOOKUP($U$122,'TAR FIN'!$A$1:$O$113,15,0))</f>
        <v>0</v>
      </c>
      <c r="Y122" s="4">
        <f ca="1">('TUSD BE'!$AM$5+'TUSD BF'!$AM$5+'TUSD CVA'!$AM$5)*1</f>
        <v>31.331884047769289</v>
      </c>
      <c r="Z122" s="4">
        <f ca="1">('TUSD BE'!$AM$7+'TUSD BF'!$AM$7+'TUSD CVA'!$AM$7)*1</f>
        <v>45.946048451030222</v>
      </c>
      <c r="AA122" s="4"/>
      <c r="AB122" s="4">
        <f>$K$122*$V$122</f>
        <v>770848</v>
      </c>
      <c r="AC122" s="4">
        <f>$M$122*$W$122</f>
        <v>0</v>
      </c>
      <c r="AD122" s="4">
        <f>$O$122*$X$122</f>
        <v>0</v>
      </c>
      <c r="AE122" s="4">
        <f ca="1">$K$122*$Y$122</f>
        <v>852227.24609932466</v>
      </c>
      <c r="AF122" s="4">
        <f ca="1">$M$122*$Z$122</f>
        <v>0</v>
      </c>
      <c r="AG122" s="4">
        <f>$O$122*$AA$122</f>
        <v>0</v>
      </c>
    </row>
    <row r="123" spans="1:33" ht="11.25" customHeight="1" x14ac:dyDescent="0.25">
      <c r="A123" s="3" t="s">
        <v>56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25</v>
      </c>
      <c r="G123" s="3" t="s">
        <v>25</v>
      </c>
      <c r="H123" s="3" t="s">
        <v>34</v>
      </c>
      <c r="I123" s="6">
        <v>44621</v>
      </c>
      <c r="J123" s="4">
        <v>6230</v>
      </c>
      <c r="K123" s="4">
        <v>6230</v>
      </c>
      <c r="L123" s="4">
        <v>255.58500000000001</v>
      </c>
      <c r="M123" s="4">
        <v>255.58500000000001</v>
      </c>
      <c r="N123" s="4">
        <v>255.58500000000001</v>
      </c>
      <c r="O123" s="4">
        <v>255.58500000000001</v>
      </c>
      <c r="P123" s="4">
        <v>0</v>
      </c>
      <c r="Q123" s="3" t="s">
        <v>26</v>
      </c>
      <c r="R123" s="3">
        <v>0</v>
      </c>
      <c r="S123" s="4">
        <v>4</v>
      </c>
      <c r="T123" s="4">
        <v>6</v>
      </c>
      <c r="U123" s="4">
        <v>86</v>
      </c>
      <c r="V123" s="4">
        <f>IF(ISERROR(VLOOKUP($S$123,'TAR FIN'!$A$1:$O$113,15,0)),0,VLOOKUP($S$123,'TAR FIN'!$A$1:$O$113,15,0))</f>
        <v>28.34</v>
      </c>
      <c r="W123" s="4">
        <f>IF(ISERROR(VLOOKUP($T$123,'TAR FIN'!$A$1:$O$113,15,0)),0,VLOOKUP($T$123,'TAR FIN'!$A$1:$O$113,15,0))</f>
        <v>35.86</v>
      </c>
      <c r="X123" s="4">
        <f>IF(ISERROR(VLOOKUP($U$123,'TAR FIN'!$A$1:$O$113,15,0)),0,VLOOKUP($U$123,'TAR FIN'!$A$1:$O$113,15,0))</f>
        <v>365.5</v>
      </c>
      <c r="Y123" s="4">
        <f ca="1">('TUSD BE'!$AM$5+'TUSD BF'!$AM$5+'TUSD CVA'!$AM$5)*1</f>
        <v>31.331884047769289</v>
      </c>
      <c r="Z123" s="4">
        <f ca="1">('TUSD BE'!$AM$7+'TUSD BF'!$AM$7+'TUSD CVA'!$AM$7)*1</f>
        <v>45.946048451030222</v>
      </c>
      <c r="AA123" s="4">
        <f>('TE BE'!$AA$5+'TE BF'!$AA$5+'TE CVA'!$AA$5)*1</f>
        <v>361.55013418411539</v>
      </c>
      <c r="AB123" s="4">
        <f>$K$123*$V$123</f>
        <v>176558.2</v>
      </c>
      <c r="AC123" s="4">
        <f>$M$123*$W$123</f>
        <v>9165.2780999999995</v>
      </c>
      <c r="AD123" s="4">
        <f>$O$123*$X$123</f>
        <v>93416.317500000005</v>
      </c>
      <c r="AE123" s="4">
        <f ca="1">$K$123*$Y$123</f>
        <v>195197.63761760268</v>
      </c>
      <c r="AF123" s="4">
        <f ca="1">$M$123*$Z$123</f>
        <v>11743.12079335656</v>
      </c>
      <c r="AG123" s="4">
        <f>$O$123*$AA$123</f>
        <v>92406.791045447142</v>
      </c>
    </row>
    <row r="124" spans="1:33" ht="11.25" customHeight="1" x14ac:dyDescent="0.25">
      <c r="A124" s="3" t="s">
        <v>56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25</v>
      </c>
      <c r="G124" s="3" t="s">
        <v>25</v>
      </c>
      <c r="H124" s="3" t="s">
        <v>34</v>
      </c>
      <c r="I124" s="6">
        <v>44621</v>
      </c>
      <c r="J124" s="4">
        <v>27200</v>
      </c>
      <c r="K124" s="4">
        <v>27200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R124" s="3">
        <v>0</v>
      </c>
      <c r="S124" s="4">
        <v>4</v>
      </c>
      <c r="T124" s="4">
        <v>0</v>
      </c>
      <c r="U124" s="4">
        <v>0</v>
      </c>
      <c r="V124" s="4">
        <f>IF(ISERROR(VLOOKUP($S$124,'TAR FIN'!$A$1:$O$113,15,0)),0,VLOOKUP($S$124,'TAR FIN'!$A$1:$O$113,15,0))</f>
        <v>28.34</v>
      </c>
      <c r="W124" s="4">
        <f>IF(ISERROR(VLOOKUP($T$124,'TAR FIN'!$A$1:$O$113,15,0)),0,VLOOKUP($T$124,'TAR FIN'!$A$1:$O$113,15,0))</f>
        <v>0</v>
      </c>
      <c r="X124" s="4">
        <f>IF(ISERROR(VLOOKUP($U$124,'TAR FIN'!$A$1:$O$113,15,0)),0,VLOOKUP($U$124,'TAR FIN'!$A$1:$O$113,15,0))</f>
        <v>0</v>
      </c>
      <c r="Y124" s="4">
        <f ca="1">('TUSD BE'!$AM$5+'TUSD BF'!$AM$5+'TUSD CVA'!$AM$5)*1</f>
        <v>31.331884047769289</v>
      </c>
      <c r="Z124" s="4">
        <f ca="1">('TUSD BE'!$AM$7+'TUSD BF'!$AM$7+'TUSD CVA'!$AM$7)*1</f>
        <v>45.946048451030222</v>
      </c>
      <c r="AA124" s="4"/>
      <c r="AB124" s="4">
        <f>$K$124*$V$124</f>
        <v>770848</v>
      </c>
      <c r="AC124" s="4">
        <f>$M$124*$W$124</f>
        <v>0</v>
      </c>
      <c r="AD124" s="4">
        <f>$O$124*$X$124</f>
        <v>0</v>
      </c>
      <c r="AE124" s="4">
        <f ca="1">$K$124*$Y$124</f>
        <v>852227.24609932466</v>
      </c>
      <c r="AF124" s="4">
        <f ca="1">$M$124*$Z$124</f>
        <v>0</v>
      </c>
      <c r="AG124" s="4">
        <f>$O$124*$AA$124</f>
        <v>0</v>
      </c>
    </row>
    <row r="125" spans="1:33" ht="11.25" customHeight="1" x14ac:dyDescent="0.25">
      <c r="A125" s="3" t="s">
        <v>21</v>
      </c>
      <c r="B125" s="3" t="s">
        <v>39</v>
      </c>
      <c r="C125" s="3" t="s">
        <v>40</v>
      </c>
      <c r="D125" s="3" t="s">
        <v>46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44287</v>
      </c>
      <c r="J125" s="4">
        <v>3550</v>
      </c>
      <c r="K125" s="4">
        <v>3550</v>
      </c>
      <c r="L125" s="4">
        <v>448</v>
      </c>
      <c r="M125" s="4">
        <v>448</v>
      </c>
      <c r="N125" s="4">
        <v>448</v>
      </c>
      <c r="O125" s="4">
        <v>448</v>
      </c>
      <c r="P125" s="4">
        <v>0</v>
      </c>
      <c r="Q125" s="3" t="s">
        <v>26</v>
      </c>
      <c r="R125" s="3">
        <v>0</v>
      </c>
      <c r="S125" s="4">
        <v>5</v>
      </c>
      <c r="T125" s="4">
        <v>6</v>
      </c>
      <c r="U125" s="4">
        <v>87</v>
      </c>
      <c r="V125" s="4">
        <f>IF(ISERROR(VLOOKUP($S$125,'TAR FIN'!$A$1:$O$113,15,0)),0,VLOOKUP($S$125,'TAR FIN'!$A$1:$O$113,15,0))</f>
        <v>11.59</v>
      </c>
      <c r="W125" s="4">
        <f>IF(ISERROR(VLOOKUP($T$125,'TAR FIN'!$A$1:$O$113,15,0)),0,VLOOKUP($T$125,'TAR FIN'!$A$1:$O$113,15,0))</f>
        <v>35.86</v>
      </c>
      <c r="X125" s="4">
        <f>IF(ISERROR(VLOOKUP($U$125,'TAR FIN'!$A$1:$O$113,15,0)),0,VLOOKUP($U$125,'TAR FIN'!$A$1:$O$113,15,0))</f>
        <v>222.31</v>
      </c>
      <c r="Y125" s="4">
        <f ca="1">('TUSD BE'!$AM$6+'TUSD BF'!$AM$6+'TUSD CVA'!$AM$6)*1</f>
        <v>10.94172345363083</v>
      </c>
      <c r="Z125" s="4">
        <f ca="1">('TUSD BE'!$AM$7+'TUSD BF'!$AM$7+'TUSD CVA'!$AM$7)*1</f>
        <v>45.946048451030222</v>
      </c>
      <c r="AA125" s="4">
        <f>('TE BE'!$AA$6+'TE BF'!$AA$6+'TE CVA'!$AA$6)*1</f>
        <v>223.14561812044704</v>
      </c>
      <c r="AB125" s="4">
        <f>$K$125*$V$125</f>
        <v>41144.5</v>
      </c>
      <c r="AC125" s="4">
        <f>$M$125*$W$125</f>
        <v>16065.279999999999</v>
      </c>
      <c r="AD125" s="4">
        <f>$O$125*$X$125</f>
        <v>99594.880000000005</v>
      </c>
      <c r="AE125" s="4">
        <f ca="1">$K$125*$Y$125</f>
        <v>38843.118260389449</v>
      </c>
      <c r="AF125" s="4">
        <f ca="1">$M$125*$Z$125</f>
        <v>20583.82970606154</v>
      </c>
      <c r="AG125" s="4">
        <f>$O$125*$AA$125</f>
        <v>99969.236917960268</v>
      </c>
    </row>
    <row r="126" spans="1:33" ht="11.25" customHeight="1" x14ac:dyDescent="0.25">
      <c r="A126" s="3" t="s">
        <v>21</v>
      </c>
      <c r="B126" s="3" t="s">
        <v>39</v>
      </c>
      <c r="C126" s="3" t="s">
        <v>40</v>
      </c>
      <c r="D126" s="3" t="s">
        <v>46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44317</v>
      </c>
      <c r="J126" s="4">
        <v>3550</v>
      </c>
      <c r="K126" s="4">
        <v>3550</v>
      </c>
      <c r="L126" s="4">
        <v>423.5</v>
      </c>
      <c r="M126" s="4">
        <v>423.5</v>
      </c>
      <c r="N126" s="4">
        <v>423.5</v>
      </c>
      <c r="O126" s="4">
        <v>423.5</v>
      </c>
      <c r="P126" s="4">
        <v>0</v>
      </c>
      <c r="Q126" s="3" t="s">
        <v>26</v>
      </c>
      <c r="R126" s="3">
        <v>0</v>
      </c>
      <c r="S126" s="4">
        <v>5</v>
      </c>
      <c r="T126" s="4">
        <v>6</v>
      </c>
      <c r="U126" s="4">
        <v>87</v>
      </c>
      <c r="V126" s="4">
        <f>IF(ISERROR(VLOOKUP($S$126,'TAR FIN'!$A$1:$O$113,15,0)),0,VLOOKUP($S$126,'TAR FIN'!$A$1:$O$113,15,0))</f>
        <v>11.59</v>
      </c>
      <c r="W126" s="4">
        <f>IF(ISERROR(VLOOKUP($T$126,'TAR FIN'!$A$1:$O$113,15,0)),0,VLOOKUP($T$126,'TAR FIN'!$A$1:$O$113,15,0))</f>
        <v>35.86</v>
      </c>
      <c r="X126" s="4">
        <f>IF(ISERROR(VLOOKUP($U$126,'TAR FIN'!$A$1:$O$113,15,0)),0,VLOOKUP($U$126,'TAR FIN'!$A$1:$O$113,15,0))</f>
        <v>222.31</v>
      </c>
      <c r="Y126" s="4">
        <f ca="1">('TUSD BE'!$AM$6+'TUSD BF'!$AM$6+'TUSD CVA'!$AM$6)*1</f>
        <v>10.94172345363083</v>
      </c>
      <c r="Z126" s="4">
        <f ca="1">('TUSD BE'!$AM$7+'TUSD BF'!$AM$7+'TUSD CVA'!$AM$7)*1</f>
        <v>45.946048451030222</v>
      </c>
      <c r="AA126" s="4">
        <f>('TE BE'!$AA$6+'TE BF'!$AA$6+'TE CVA'!$AA$6)*1</f>
        <v>223.14561812044704</v>
      </c>
      <c r="AB126" s="4">
        <f>$K$126*$V$126</f>
        <v>41144.5</v>
      </c>
      <c r="AC126" s="4">
        <f>$M$126*$W$126</f>
        <v>15186.71</v>
      </c>
      <c r="AD126" s="4">
        <f>$O$126*$X$126</f>
        <v>94148.285000000003</v>
      </c>
      <c r="AE126" s="4">
        <f ca="1">$K$126*$Y$126</f>
        <v>38843.118260389449</v>
      </c>
      <c r="AF126" s="4">
        <f ca="1">$M$126*$Z$126</f>
        <v>19458.151519011299</v>
      </c>
      <c r="AG126" s="4">
        <f>$O$126*$AA$126</f>
        <v>94502.169274009328</v>
      </c>
    </row>
    <row r="127" spans="1:33" ht="11.25" customHeight="1" x14ac:dyDescent="0.25">
      <c r="A127" s="3" t="s">
        <v>21</v>
      </c>
      <c r="B127" s="3" t="s">
        <v>39</v>
      </c>
      <c r="C127" s="3" t="s">
        <v>40</v>
      </c>
      <c r="D127" s="3" t="s">
        <v>46</v>
      </c>
      <c r="E127" s="3" t="s">
        <v>25</v>
      </c>
      <c r="F127" s="3" t="s">
        <v>25</v>
      </c>
      <c r="G127" s="3" t="s">
        <v>25</v>
      </c>
      <c r="H127" s="3" t="s">
        <v>35</v>
      </c>
      <c r="I127" s="6">
        <v>44348</v>
      </c>
      <c r="J127" s="4">
        <v>3550</v>
      </c>
      <c r="K127" s="4">
        <v>3550</v>
      </c>
      <c r="L127" s="4">
        <v>402.5</v>
      </c>
      <c r="M127" s="4">
        <v>402.5</v>
      </c>
      <c r="N127" s="4">
        <v>402.5</v>
      </c>
      <c r="O127" s="4">
        <v>402.5</v>
      </c>
      <c r="P127" s="4">
        <v>0</v>
      </c>
      <c r="Q127" s="3" t="s">
        <v>26</v>
      </c>
      <c r="R127" s="3">
        <v>0</v>
      </c>
      <c r="S127" s="4">
        <v>5</v>
      </c>
      <c r="T127" s="4">
        <v>6</v>
      </c>
      <c r="U127" s="4">
        <v>87</v>
      </c>
      <c r="V127" s="4">
        <f>IF(ISERROR(VLOOKUP($S$127,'TAR FIN'!$A$1:$O$113,15,0)),0,VLOOKUP($S$127,'TAR FIN'!$A$1:$O$113,15,0))</f>
        <v>11.59</v>
      </c>
      <c r="W127" s="4">
        <f>IF(ISERROR(VLOOKUP($T$127,'TAR FIN'!$A$1:$O$113,15,0)),0,VLOOKUP($T$127,'TAR FIN'!$A$1:$O$113,15,0))</f>
        <v>35.86</v>
      </c>
      <c r="X127" s="4">
        <f>IF(ISERROR(VLOOKUP($U$127,'TAR FIN'!$A$1:$O$113,15,0)),0,VLOOKUP($U$127,'TAR FIN'!$A$1:$O$113,15,0))</f>
        <v>222.31</v>
      </c>
      <c r="Y127" s="4">
        <f ca="1">('TUSD BE'!$AM$6+'TUSD BF'!$AM$6+'TUSD CVA'!$AM$6)*1</f>
        <v>10.94172345363083</v>
      </c>
      <c r="Z127" s="4">
        <f ca="1">('TUSD BE'!$AM$7+'TUSD BF'!$AM$7+'TUSD CVA'!$AM$7)*1</f>
        <v>45.946048451030222</v>
      </c>
      <c r="AA127" s="4">
        <f>('TE BE'!$AA$6+'TE BF'!$AA$6+'TE CVA'!$AA$6)*1</f>
        <v>223.14561812044704</v>
      </c>
      <c r="AB127" s="4">
        <f>$K$127*$V$127</f>
        <v>41144.5</v>
      </c>
      <c r="AC127" s="4">
        <f>$M$127*$W$127</f>
        <v>14433.65</v>
      </c>
      <c r="AD127" s="4">
        <f>$O$127*$X$127</f>
        <v>89479.774999999994</v>
      </c>
      <c r="AE127" s="4">
        <f ca="1">$K$127*$Y$127</f>
        <v>38843.118260389449</v>
      </c>
      <c r="AF127" s="4">
        <f ca="1">$M$127*$Z$127</f>
        <v>18493.284501539663</v>
      </c>
      <c r="AG127" s="4">
        <f>$O$127*$AA$127</f>
        <v>89816.111293479931</v>
      </c>
    </row>
    <row r="128" spans="1:33" ht="11.25" customHeight="1" x14ac:dyDescent="0.25">
      <c r="A128" s="3" t="s">
        <v>21</v>
      </c>
      <c r="B128" s="3" t="s">
        <v>39</v>
      </c>
      <c r="C128" s="3" t="s">
        <v>40</v>
      </c>
      <c r="D128" s="3" t="s">
        <v>46</v>
      </c>
      <c r="E128" s="3" t="s">
        <v>25</v>
      </c>
      <c r="F128" s="3" t="s">
        <v>25</v>
      </c>
      <c r="G128" s="3" t="s">
        <v>25</v>
      </c>
      <c r="H128" s="3" t="s">
        <v>35</v>
      </c>
      <c r="I128" s="6">
        <v>44378</v>
      </c>
      <c r="J128" s="4">
        <v>3550</v>
      </c>
      <c r="K128" s="4">
        <v>3550</v>
      </c>
      <c r="L128" s="4">
        <v>395.5</v>
      </c>
      <c r="M128" s="4">
        <v>395.5</v>
      </c>
      <c r="N128" s="4">
        <v>395.5</v>
      </c>
      <c r="O128" s="4">
        <v>395.5</v>
      </c>
      <c r="P128" s="4">
        <v>0</v>
      </c>
      <c r="Q128" s="3" t="s">
        <v>26</v>
      </c>
      <c r="R128" s="3">
        <v>0</v>
      </c>
      <c r="S128" s="4">
        <v>5</v>
      </c>
      <c r="T128" s="4">
        <v>6</v>
      </c>
      <c r="U128" s="4">
        <v>87</v>
      </c>
      <c r="V128" s="4">
        <f>IF(ISERROR(VLOOKUP($S$128,'TAR FIN'!$A$1:$O$113,15,0)),0,VLOOKUP($S$128,'TAR FIN'!$A$1:$O$113,15,0))</f>
        <v>11.59</v>
      </c>
      <c r="W128" s="4">
        <f>IF(ISERROR(VLOOKUP($T$128,'TAR FIN'!$A$1:$O$113,15,0)),0,VLOOKUP($T$128,'TAR FIN'!$A$1:$O$113,15,0))</f>
        <v>35.86</v>
      </c>
      <c r="X128" s="4">
        <f>IF(ISERROR(VLOOKUP($U$128,'TAR FIN'!$A$1:$O$113,15,0)),0,VLOOKUP($U$128,'TAR FIN'!$A$1:$O$113,15,0))</f>
        <v>222.31</v>
      </c>
      <c r="Y128" s="4">
        <f ca="1">('TUSD BE'!$AM$6+'TUSD BF'!$AM$6+'TUSD CVA'!$AM$6)*1</f>
        <v>10.94172345363083</v>
      </c>
      <c r="Z128" s="4">
        <f ca="1">('TUSD BE'!$AM$7+'TUSD BF'!$AM$7+'TUSD CVA'!$AM$7)*1</f>
        <v>45.946048451030222</v>
      </c>
      <c r="AA128" s="4">
        <f>('TE BE'!$AA$6+'TE BF'!$AA$6+'TE CVA'!$AA$6)*1</f>
        <v>223.14561812044704</v>
      </c>
      <c r="AB128" s="4">
        <f>$K$128*$V$128</f>
        <v>41144.5</v>
      </c>
      <c r="AC128" s="4">
        <f>$M$128*$W$128</f>
        <v>14182.63</v>
      </c>
      <c r="AD128" s="4">
        <f>$O$128*$X$128</f>
        <v>87923.604999999996</v>
      </c>
      <c r="AE128" s="4">
        <f ca="1">$K$128*$Y$128</f>
        <v>38843.118260389449</v>
      </c>
      <c r="AF128" s="4">
        <f ca="1">$M$128*$Z$128</f>
        <v>18171.662162382454</v>
      </c>
      <c r="AG128" s="4">
        <f>$O$128*$AA$128</f>
        <v>88254.091966636799</v>
      </c>
    </row>
    <row r="129" spans="1:33" ht="11.25" customHeight="1" x14ac:dyDescent="0.25">
      <c r="A129" s="3" t="s">
        <v>21</v>
      </c>
      <c r="B129" s="3" t="s">
        <v>39</v>
      </c>
      <c r="C129" s="3" t="s">
        <v>40</v>
      </c>
      <c r="D129" s="3" t="s">
        <v>46</v>
      </c>
      <c r="E129" s="3" t="s">
        <v>25</v>
      </c>
      <c r="F129" s="3" t="s">
        <v>25</v>
      </c>
      <c r="G129" s="3" t="s">
        <v>25</v>
      </c>
      <c r="H129" s="3" t="s">
        <v>35</v>
      </c>
      <c r="I129" s="6">
        <v>44409</v>
      </c>
      <c r="J129" s="4">
        <v>3550</v>
      </c>
      <c r="K129" s="4">
        <v>3550</v>
      </c>
      <c r="L129" s="4">
        <v>402.5</v>
      </c>
      <c r="M129" s="4">
        <v>402.5</v>
      </c>
      <c r="N129" s="4">
        <v>402.5</v>
      </c>
      <c r="O129" s="4">
        <v>402.5</v>
      </c>
      <c r="P129" s="4">
        <v>0</v>
      </c>
      <c r="Q129" s="3" t="s">
        <v>26</v>
      </c>
      <c r="R129" s="3">
        <v>0</v>
      </c>
      <c r="S129" s="4">
        <v>5</v>
      </c>
      <c r="T129" s="4">
        <v>6</v>
      </c>
      <c r="U129" s="4">
        <v>87</v>
      </c>
      <c r="V129" s="4">
        <f>IF(ISERROR(VLOOKUP($S$129,'TAR FIN'!$A$1:$O$113,15,0)),0,VLOOKUP($S$129,'TAR FIN'!$A$1:$O$113,15,0))</f>
        <v>11.59</v>
      </c>
      <c r="W129" s="4">
        <f>IF(ISERROR(VLOOKUP($T$129,'TAR FIN'!$A$1:$O$113,15,0)),0,VLOOKUP($T$129,'TAR FIN'!$A$1:$O$113,15,0))</f>
        <v>35.86</v>
      </c>
      <c r="X129" s="4">
        <f>IF(ISERROR(VLOOKUP($U$129,'TAR FIN'!$A$1:$O$113,15,0)),0,VLOOKUP($U$129,'TAR FIN'!$A$1:$O$113,15,0))</f>
        <v>222.31</v>
      </c>
      <c r="Y129" s="4">
        <f ca="1">('TUSD BE'!$AM$6+'TUSD BF'!$AM$6+'TUSD CVA'!$AM$6)*1</f>
        <v>10.94172345363083</v>
      </c>
      <c r="Z129" s="4">
        <f ca="1">('TUSD BE'!$AM$7+'TUSD BF'!$AM$7+'TUSD CVA'!$AM$7)*1</f>
        <v>45.946048451030222</v>
      </c>
      <c r="AA129" s="4">
        <f>('TE BE'!$AA$6+'TE BF'!$AA$6+'TE CVA'!$AA$6)*1</f>
        <v>223.14561812044704</v>
      </c>
      <c r="AB129" s="4">
        <f>$K$129*$V$129</f>
        <v>41144.5</v>
      </c>
      <c r="AC129" s="4">
        <f>$M$129*$W$129</f>
        <v>14433.65</v>
      </c>
      <c r="AD129" s="4">
        <f>$O$129*$X$129</f>
        <v>89479.774999999994</v>
      </c>
      <c r="AE129" s="4">
        <f ca="1">$K$129*$Y$129</f>
        <v>38843.118260389449</v>
      </c>
      <c r="AF129" s="4">
        <f ca="1">$M$129*$Z$129</f>
        <v>18493.284501539663</v>
      </c>
      <c r="AG129" s="4">
        <f>$O$129*$AA$129</f>
        <v>89816.111293479931</v>
      </c>
    </row>
    <row r="130" spans="1:33" ht="11.25" customHeight="1" x14ac:dyDescent="0.25">
      <c r="A130" s="3" t="s">
        <v>21</v>
      </c>
      <c r="B130" s="3" t="s">
        <v>39</v>
      </c>
      <c r="C130" s="3" t="s">
        <v>40</v>
      </c>
      <c r="D130" s="3" t="s">
        <v>46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44440</v>
      </c>
      <c r="J130" s="4">
        <v>3550</v>
      </c>
      <c r="K130" s="4">
        <v>3550</v>
      </c>
      <c r="L130" s="4">
        <v>409.5</v>
      </c>
      <c r="M130" s="4">
        <v>409.5</v>
      </c>
      <c r="N130" s="4">
        <v>409.5</v>
      </c>
      <c r="O130" s="4">
        <v>409.5</v>
      </c>
      <c r="P130" s="4">
        <v>0</v>
      </c>
      <c r="Q130" s="3" t="s">
        <v>26</v>
      </c>
      <c r="R130" s="3">
        <v>0</v>
      </c>
      <c r="S130" s="4">
        <v>5</v>
      </c>
      <c r="T130" s="4">
        <v>6</v>
      </c>
      <c r="U130" s="4">
        <v>87</v>
      </c>
      <c r="V130" s="4">
        <f>IF(ISERROR(VLOOKUP($S$130,'TAR FIN'!$A$1:$O$113,15,0)),0,VLOOKUP($S$130,'TAR FIN'!$A$1:$O$113,15,0))</f>
        <v>11.59</v>
      </c>
      <c r="W130" s="4">
        <f>IF(ISERROR(VLOOKUP($T$130,'TAR FIN'!$A$1:$O$113,15,0)),0,VLOOKUP($T$130,'TAR FIN'!$A$1:$O$113,15,0))</f>
        <v>35.86</v>
      </c>
      <c r="X130" s="4">
        <f>IF(ISERROR(VLOOKUP($U$130,'TAR FIN'!$A$1:$O$113,15,0)),0,VLOOKUP($U$130,'TAR FIN'!$A$1:$O$113,15,0))</f>
        <v>222.31</v>
      </c>
      <c r="Y130" s="4">
        <f ca="1">('TUSD BE'!$AM$6+'TUSD BF'!$AM$6+'TUSD CVA'!$AM$6)*1</f>
        <v>10.94172345363083</v>
      </c>
      <c r="Z130" s="4">
        <f ca="1">('TUSD BE'!$AM$7+'TUSD BF'!$AM$7+'TUSD CVA'!$AM$7)*1</f>
        <v>45.946048451030222</v>
      </c>
      <c r="AA130" s="4">
        <f>('TE BE'!$AA$6+'TE BF'!$AA$6+'TE CVA'!$AA$6)*1</f>
        <v>223.14561812044704</v>
      </c>
      <c r="AB130" s="4">
        <f>$K$130*$V$130</f>
        <v>41144.5</v>
      </c>
      <c r="AC130" s="4">
        <f>$M$130*$W$130</f>
        <v>14684.67</v>
      </c>
      <c r="AD130" s="4">
        <f>$O$130*$X$130</f>
        <v>91035.945000000007</v>
      </c>
      <c r="AE130" s="4">
        <f ca="1">$K$130*$Y$130</f>
        <v>38843.118260389449</v>
      </c>
      <c r="AF130" s="4">
        <f ca="1">$M$130*$Z$130</f>
        <v>18814.906840696876</v>
      </c>
      <c r="AG130" s="4">
        <f>$O$130*$AA$130</f>
        <v>91378.130620323063</v>
      </c>
    </row>
    <row r="131" spans="1:33" ht="11.25" customHeight="1" x14ac:dyDescent="0.25">
      <c r="A131" s="3" t="s">
        <v>21</v>
      </c>
      <c r="B131" s="3" t="s">
        <v>39</v>
      </c>
      <c r="C131" s="3" t="s">
        <v>40</v>
      </c>
      <c r="D131" s="3" t="s">
        <v>46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44470</v>
      </c>
      <c r="J131" s="4">
        <v>3550</v>
      </c>
      <c r="K131" s="4">
        <v>3550</v>
      </c>
      <c r="L131" s="4">
        <v>511</v>
      </c>
      <c r="M131" s="4">
        <v>511</v>
      </c>
      <c r="N131" s="4">
        <v>511</v>
      </c>
      <c r="O131" s="4">
        <v>511</v>
      </c>
      <c r="P131" s="4">
        <v>0</v>
      </c>
      <c r="Q131" s="3" t="s">
        <v>26</v>
      </c>
      <c r="R131" s="3">
        <v>0</v>
      </c>
      <c r="S131" s="4">
        <v>5</v>
      </c>
      <c r="T131" s="4">
        <v>6</v>
      </c>
      <c r="U131" s="4">
        <v>87</v>
      </c>
      <c r="V131" s="4">
        <f>IF(ISERROR(VLOOKUP($S$131,'TAR FIN'!$A$1:$O$113,15,0)),0,VLOOKUP($S$131,'TAR FIN'!$A$1:$O$113,15,0))</f>
        <v>11.59</v>
      </c>
      <c r="W131" s="4">
        <f>IF(ISERROR(VLOOKUP($T$131,'TAR FIN'!$A$1:$O$113,15,0)),0,VLOOKUP($T$131,'TAR FIN'!$A$1:$O$113,15,0))</f>
        <v>35.86</v>
      </c>
      <c r="X131" s="4">
        <f>IF(ISERROR(VLOOKUP($U$131,'TAR FIN'!$A$1:$O$113,15,0)),0,VLOOKUP($U$131,'TAR FIN'!$A$1:$O$113,15,0))</f>
        <v>222.31</v>
      </c>
      <c r="Y131" s="4">
        <f ca="1">('TUSD BE'!$AM$6+'TUSD BF'!$AM$6+'TUSD CVA'!$AM$6)*1</f>
        <v>10.94172345363083</v>
      </c>
      <c r="Z131" s="4">
        <f ca="1">('TUSD BE'!$AM$7+'TUSD BF'!$AM$7+'TUSD CVA'!$AM$7)*1</f>
        <v>45.946048451030222</v>
      </c>
      <c r="AA131" s="4">
        <f>('TE BE'!$AA$6+'TE BF'!$AA$6+'TE CVA'!$AA$6)*1</f>
        <v>223.14561812044704</v>
      </c>
      <c r="AB131" s="4">
        <f>$K$131*$V$131</f>
        <v>41144.5</v>
      </c>
      <c r="AC131" s="4">
        <f>$M$131*$W$131</f>
        <v>18324.46</v>
      </c>
      <c r="AD131" s="4">
        <f>$O$131*$X$131</f>
        <v>113600.41</v>
      </c>
      <c r="AE131" s="4">
        <f ca="1">$K$131*$Y$131</f>
        <v>38843.118260389449</v>
      </c>
      <c r="AF131" s="4">
        <f ca="1">$M$131*$Z$131</f>
        <v>23478.430758476443</v>
      </c>
      <c r="AG131" s="4">
        <f>$O$131*$AA$131</f>
        <v>114027.41085954844</v>
      </c>
    </row>
    <row r="132" spans="1:33" ht="11.25" customHeight="1" x14ac:dyDescent="0.25">
      <c r="A132" s="3" t="s">
        <v>21</v>
      </c>
      <c r="B132" s="3" t="s">
        <v>39</v>
      </c>
      <c r="C132" s="3" t="s">
        <v>40</v>
      </c>
      <c r="D132" s="3" t="s">
        <v>46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44501</v>
      </c>
      <c r="J132" s="4">
        <v>3550</v>
      </c>
      <c r="K132" s="4">
        <v>3550</v>
      </c>
      <c r="L132" s="4">
        <v>542.5</v>
      </c>
      <c r="M132" s="4">
        <v>542.5</v>
      </c>
      <c r="N132" s="4">
        <v>542.5</v>
      </c>
      <c r="O132" s="4">
        <v>542.5</v>
      </c>
      <c r="P132" s="4">
        <v>0</v>
      </c>
      <c r="Q132" s="3" t="s">
        <v>26</v>
      </c>
      <c r="R132" s="3">
        <v>0</v>
      </c>
      <c r="S132" s="4">
        <v>5</v>
      </c>
      <c r="T132" s="4">
        <v>6</v>
      </c>
      <c r="U132" s="4">
        <v>87</v>
      </c>
      <c r="V132" s="4">
        <f>IF(ISERROR(VLOOKUP($S$132,'TAR FIN'!$A$1:$O$113,15,0)),0,VLOOKUP($S$132,'TAR FIN'!$A$1:$O$113,15,0))</f>
        <v>11.59</v>
      </c>
      <c r="W132" s="4">
        <f>IF(ISERROR(VLOOKUP($T$132,'TAR FIN'!$A$1:$O$113,15,0)),0,VLOOKUP($T$132,'TAR FIN'!$A$1:$O$113,15,0))</f>
        <v>35.86</v>
      </c>
      <c r="X132" s="4">
        <f>IF(ISERROR(VLOOKUP($U$132,'TAR FIN'!$A$1:$O$113,15,0)),0,VLOOKUP($U$132,'TAR FIN'!$A$1:$O$113,15,0))</f>
        <v>222.31</v>
      </c>
      <c r="Y132" s="4">
        <f ca="1">('TUSD BE'!$AM$6+'TUSD BF'!$AM$6+'TUSD CVA'!$AM$6)*1</f>
        <v>10.94172345363083</v>
      </c>
      <c r="Z132" s="4">
        <f ca="1">('TUSD BE'!$AM$7+'TUSD BF'!$AM$7+'TUSD CVA'!$AM$7)*1</f>
        <v>45.946048451030222</v>
      </c>
      <c r="AA132" s="4">
        <f>('TE BE'!$AA$6+'TE BF'!$AA$6+'TE CVA'!$AA$6)*1</f>
        <v>223.14561812044704</v>
      </c>
      <c r="AB132" s="4">
        <f>$K$132*$V$132</f>
        <v>41144.5</v>
      </c>
      <c r="AC132" s="4">
        <f>$M$132*$W$132</f>
        <v>19454.05</v>
      </c>
      <c r="AD132" s="4">
        <f>$O$132*$X$132</f>
        <v>120603.175</v>
      </c>
      <c r="AE132" s="4">
        <f ca="1">$K$132*$Y$132</f>
        <v>38843.118260389449</v>
      </c>
      <c r="AF132" s="4">
        <f ca="1">$M$132*$Z$132</f>
        <v>24925.731284683894</v>
      </c>
      <c r="AG132" s="4">
        <f>$O$132*$AA$132</f>
        <v>121056.49783034252</v>
      </c>
    </row>
    <row r="133" spans="1:33" ht="11.25" customHeight="1" x14ac:dyDescent="0.25">
      <c r="A133" s="3" t="s">
        <v>21</v>
      </c>
      <c r="B133" s="3" t="s">
        <v>39</v>
      </c>
      <c r="C133" s="3" t="s">
        <v>40</v>
      </c>
      <c r="D133" s="3" t="s">
        <v>46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44531</v>
      </c>
      <c r="J133" s="4">
        <v>3550</v>
      </c>
      <c r="K133" s="4">
        <v>3550</v>
      </c>
      <c r="L133" s="4">
        <v>500.5</v>
      </c>
      <c r="M133" s="4">
        <v>500.5</v>
      </c>
      <c r="N133" s="4">
        <v>500.5</v>
      </c>
      <c r="O133" s="4">
        <v>500.5</v>
      </c>
      <c r="P133" s="4">
        <v>0</v>
      </c>
      <c r="Q133" s="3" t="s">
        <v>26</v>
      </c>
      <c r="R133" s="3">
        <v>0</v>
      </c>
      <c r="S133" s="4">
        <v>5</v>
      </c>
      <c r="T133" s="4">
        <v>6</v>
      </c>
      <c r="U133" s="4">
        <v>87</v>
      </c>
      <c r="V133" s="4">
        <f>IF(ISERROR(VLOOKUP($S$133,'TAR FIN'!$A$1:$O$113,15,0)),0,VLOOKUP($S$133,'TAR FIN'!$A$1:$O$113,15,0))</f>
        <v>11.59</v>
      </c>
      <c r="W133" s="4">
        <f>IF(ISERROR(VLOOKUP($T$133,'TAR FIN'!$A$1:$O$113,15,0)),0,VLOOKUP($T$133,'TAR FIN'!$A$1:$O$113,15,0))</f>
        <v>35.86</v>
      </c>
      <c r="X133" s="4">
        <f>IF(ISERROR(VLOOKUP($U$133,'TAR FIN'!$A$1:$O$113,15,0)),0,VLOOKUP($U$133,'TAR FIN'!$A$1:$O$113,15,0))</f>
        <v>222.31</v>
      </c>
      <c r="Y133" s="4">
        <f ca="1">('TUSD BE'!$AM$6+'TUSD BF'!$AM$6+'TUSD CVA'!$AM$6)*1</f>
        <v>10.94172345363083</v>
      </c>
      <c r="Z133" s="4">
        <f ca="1">('TUSD BE'!$AM$7+'TUSD BF'!$AM$7+'TUSD CVA'!$AM$7)*1</f>
        <v>45.946048451030222</v>
      </c>
      <c r="AA133" s="4">
        <f>('TE BE'!$AA$6+'TE BF'!$AA$6+'TE CVA'!$AA$6)*1</f>
        <v>223.14561812044704</v>
      </c>
      <c r="AB133" s="4">
        <f>$K$133*$V$133</f>
        <v>41144.5</v>
      </c>
      <c r="AC133" s="4">
        <f>$M$133*$W$133</f>
        <v>17947.93</v>
      </c>
      <c r="AD133" s="4">
        <f>$O$133*$X$133</f>
        <v>111266.155</v>
      </c>
      <c r="AE133" s="4">
        <f ca="1">$K$133*$Y$133</f>
        <v>38843.118260389449</v>
      </c>
      <c r="AF133" s="4">
        <f ca="1">$M$133*$Z$133</f>
        <v>22995.997249740627</v>
      </c>
      <c r="AG133" s="4">
        <f>$O$133*$AA$133</f>
        <v>111684.38186928374</v>
      </c>
    </row>
    <row r="134" spans="1:33" ht="11.25" customHeight="1" x14ac:dyDescent="0.25">
      <c r="A134" s="3" t="s">
        <v>21</v>
      </c>
      <c r="B134" s="3" t="s">
        <v>39</v>
      </c>
      <c r="C134" s="3" t="s">
        <v>40</v>
      </c>
      <c r="D134" s="3" t="s">
        <v>46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44287</v>
      </c>
      <c r="J134" s="4">
        <v>2950</v>
      </c>
      <c r="K134" s="4">
        <v>2950</v>
      </c>
      <c r="L134" s="4">
        <v>49</v>
      </c>
      <c r="M134" s="4">
        <v>49</v>
      </c>
      <c r="N134" s="4">
        <v>49</v>
      </c>
      <c r="O134" s="4">
        <v>49</v>
      </c>
      <c r="P134" s="4">
        <v>0</v>
      </c>
      <c r="Q134" s="3" t="s">
        <v>26</v>
      </c>
      <c r="R134" s="3">
        <v>0</v>
      </c>
      <c r="S134" s="4">
        <v>4</v>
      </c>
      <c r="T134" s="4">
        <v>6</v>
      </c>
      <c r="U134" s="4">
        <v>86</v>
      </c>
      <c r="V134" s="4">
        <f>IF(ISERROR(VLOOKUP($S$134,'TAR FIN'!$A$1:$O$113,15,0)),0,VLOOKUP($S$134,'TAR FIN'!$A$1:$O$113,15,0))</f>
        <v>28.34</v>
      </c>
      <c r="W134" s="4">
        <f>IF(ISERROR(VLOOKUP($T$134,'TAR FIN'!$A$1:$O$113,15,0)),0,VLOOKUP($T$134,'TAR FIN'!$A$1:$O$113,15,0))</f>
        <v>35.86</v>
      </c>
      <c r="X134" s="4">
        <f>IF(ISERROR(VLOOKUP($U$134,'TAR FIN'!$A$1:$O$113,15,0)),0,VLOOKUP($U$134,'TAR FIN'!$A$1:$O$113,15,0))</f>
        <v>365.5</v>
      </c>
      <c r="Y134" s="4">
        <f ca="1">('TUSD BE'!$AM$5+'TUSD BF'!$AM$5+'TUSD CVA'!$AM$5)*1</f>
        <v>31.331884047769289</v>
      </c>
      <c r="Z134" s="4">
        <f ca="1">('TUSD BE'!$AM$7+'TUSD BF'!$AM$7+'TUSD CVA'!$AM$7)*1</f>
        <v>45.946048451030222</v>
      </c>
      <c r="AA134" s="4">
        <f>('TE BE'!$AA$5+'TE BF'!$AA$5+'TE CVA'!$AA$5)*1</f>
        <v>361.55013418411539</v>
      </c>
      <c r="AB134" s="4">
        <f>$K$134*$V$134</f>
        <v>83603</v>
      </c>
      <c r="AC134" s="4">
        <f>$M$134*$W$134</f>
        <v>1757.1399999999999</v>
      </c>
      <c r="AD134" s="4">
        <f>$O$134*$X$134</f>
        <v>17909.5</v>
      </c>
      <c r="AE134" s="4">
        <f ca="1">$K$134*$Y$134</f>
        <v>92429.057940919403</v>
      </c>
      <c r="AF134" s="4">
        <f ca="1">$M$134*$Z$134</f>
        <v>2251.3563741004809</v>
      </c>
      <c r="AG134" s="4">
        <f>$O$134*$AA$134</f>
        <v>17715.956575021653</v>
      </c>
    </row>
    <row r="135" spans="1:33" ht="11.25" customHeight="1" x14ac:dyDescent="0.25">
      <c r="A135" s="3" t="s">
        <v>21</v>
      </c>
      <c r="B135" s="3" t="s">
        <v>39</v>
      </c>
      <c r="C135" s="3" t="s">
        <v>40</v>
      </c>
      <c r="D135" s="3" t="s">
        <v>46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44317</v>
      </c>
      <c r="J135" s="4">
        <v>2950</v>
      </c>
      <c r="K135" s="4">
        <v>2950</v>
      </c>
      <c r="L135" s="4">
        <v>52.5</v>
      </c>
      <c r="M135" s="4">
        <v>52.5</v>
      </c>
      <c r="N135" s="4">
        <v>52.5</v>
      </c>
      <c r="O135" s="4">
        <v>52.5</v>
      </c>
      <c r="P135" s="4">
        <v>0</v>
      </c>
      <c r="Q135" s="3" t="s">
        <v>26</v>
      </c>
      <c r="R135" s="3">
        <v>0</v>
      </c>
      <c r="S135" s="4">
        <v>4</v>
      </c>
      <c r="T135" s="4">
        <v>6</v>
      </c>
      <c r="U135" s="4">
        <v>86</v>
      </c>
      <c r="V135" s="4">
        <f>IF(ISERROR(VLOOKUP($S$135,'TAR FIN'!$A$1:$O$113,15,0)),0,VLOOKUP($S$135,'TAR FIN'!$A$1:$O$113,15,0))</f>
        <v>28.34</v>
      </c>
      <c r="W135" s="4">
        <f>IF(ISERROR(VLOOKUP($T$135,'TAR FIN'!$A$1:$O$113,15,0)),0,VLOOKUP($T$135,'TAR FIN'!$A$1:$O$113,15,0))</f>
        <v>35.86</v>
      </c>
      <c r="X135" s="4">
        <f>IF(ISERROR(VLOOKUP($U$135,'TAR FIN'!$A$1:$O$113,15,0)),0,VLOOKUP($U$135,'TAR FIN'!$A$1:$O$113,15,0))</f>
        <v>365.5</v>
      </c>
      <c r="Y135" s="4">
        <f ca="1">('TUSD BE'!$AM$5+'TUSD BF'!$AM$5+'TUSD CVA'!$AM$5)*1</f>
        <v>31.331884047769289</v>
      </c>
      <c r="Z135" s="4">
        <f ca="1">('TUSD BE'!$AM$7+'TUSD BF'!$AM$7+'TUSD CVA'!$AM$7)*1</f>
        <v>45.946048451030222</v>
      </c>
      <c r="AA135" s="4">
        <f>('TE BE'!$AA$5+'TE BF'!$AA$5+'TE CVA'!$AA$5)*1</f>
        <v>361.55013418411539</v>
      </c>
      <c r="AB135" s="4">
        <f>$K$135*$V$135</f>
        <v>83603</v>
      </c>
      <c r="AC135" s="4">
        <f>$M$135*$W$135</f>
        <v>1882.6499999999999</v>
      </c>
      <c r="AD135" s="4">
        <f>$O$135*$X$135</f>
        <v>19188.75</v>
      </c>
      <c r="AE135" s="4">
        <f ca="1">$K$135*$Y$135</f>
        <v>92429.057940919403</v>
      </c>
      <c r="AF135" s="4">
        <f ca="1">$M$135*$Z$135</f>
        <v>2412.1675436790865</v>
      </c>
      <c r="AG135" s="4">
        <f>$O$135*$AA$135</f>
        <v>18981.382044666057</v>
      </c>
    </row>
    <row r="136" spans="1:33" ht="11.25" customHeight="1" x14ac:dyDescent="0.25">
      <c r="A136" s="3" t="s">
        <v>21</v>
      </c>
      <c r="B136" s="3" t="s">
        <v>39</v>
      </c>
      <c r="C136" s="3" t="s">
        <v>40</v>
      </c>
      <c r="D136" s="3" t="s">
        <v>46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44348</v>
      </c>
      <c r="J136" s="4">
        <v>2950</v>
      </c>
      <c r="K136" s="4">
        <v>2950</v>
      </c>
      <c r="L136" s="4">
        <v>52.5</v>
      </c>
      <c r="M136" s="4">
        <v>52.5</v>
      </c>
      <c r="N136" s="4">
        <v>52.5</v>
      </c>
      <c r="O136" s="4">
        <v>52.5</v>
      </c>
      <c r="P136" s="4">
        <v>0</v>
      </c>
      <c r="Q136" s="3" t="s">
        <v>26</v>
      </c>
      <c r="R136" s="3">
        <v>0</v>
      </c>
      <c r="S136" s="4">
        <v>4</v>
      </c>
      <c r="T136" s="4">
        <v>6</v>
      </c>
      <c r="U136" s="4">
        <v>86</v>
      </c>
      <c r="V136" s="4">
        <f>IF(ISERROR(VLOOKUP($S$136,'TAR FIN'!$A$1:$O$113,15,0)),0,VLOOKUP($S$136,'TAR FIN'!$A$1:$O$113,15,0))</f>
        <v>28.34</v>
      </c>
      <c r="W136" s="4">
        <f>IF(ISERROR(VLOOKUP($T$136,'TAR FIN'!$A$1:$O$113,15,0)),0,VLOOKUP($T$136,'TAR FIN'!$A$1:$O$113,15,0))</f>
        <v>35.86</v>
      </c>
      <c r="X136" s="4">
        <f>IF(ISERROR(VLOOKUP($U$136,'TAR FIN'!$A$1:$O$113,15,0)),0,VLOOKUP($U$136,'TAR FIN'!$A$1:$O$113,15,0))</f>
        <v>365.5</v>
      </c>
      <c r="Y136" s="4">
        <f ca="1">('TUSD BE'!$AM$5+'TUSD BF'!$AM$5+'TUSD CVA'!$AM$5)*1</f>
        <v>31.331884047769289</v>
      </c>
      <c r="Z136" s="4">
        <f ca="1">('TUSD BE'!$AM$7+'TUSD BF'!$AM$7+'TUSD CVA'!$AM$7)*1</f>
        <v>45.946048451030222</v>
      </c>
      <c r="AA136" s="4">
        <f>('TE BE'!$AA$5+'TE BF'!$AA$5+'TE CVA'!$AA$5)*1</f>
        <v>361.55013418411539</v>
      </c>
      <c r="AB136" s="4">
        <f>$K$136*$V$136</f>
        <v>83603</v>
      </c>
      <c r="AC136" s="4">
        <f>$M$136*$W$136</f>
        <v>1882.6499999999999</v>
      </c>
      <c r="AD136" s="4">
        <f>$O$136*$X$136</f>
        <v>19188.75</v>
      </c>
      <c r="AE136" s="4">
        <f ca="1">$K$136*$Y$136</f>
        <v>92429.057940919403</v>
      </c>
      <c r="AF136" s="4">
        <f ca="1">$M$136*$Z$136</f>
        <v>2412.1675436790865</v>
      </c>
      <c r="AG136" s="4">
        <f>$O$136*$AA$136</f>
        <v>18981.382044666057</v>
      </c>
    </row>
    <row r="137" spans="1:33" ht="11.25" customHeight="1" x14ac:dyDescent="0.25">
      <c r="A137" s="3" t="s">
        <v>21</v>
      </c>
      <c r="B137" s="3" t="s">
        <v>39</v>
      </c>
      <c r="C137" s="3" t="s">
        <v>40</v>
      </c>
      <c r="D137" s="3" t="s">
        <v>46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44378</v>
      </c>
      <c r="J137" s="4">
        <v>2950</v>
      </c>
      <c r="K137" s="4">
        <v>2950</v>
      </c>
      <c r="L137" s="4">
        <v>49</v>
      </c>
      <c r="M137" s="4">
        <v>49</v>
      </c>
      <c r="N137" s="4">
        <v>49</v>
      </c>
      <c r="O137" s="4">
        <v>49</v>
      </c>
      <c r="P137" s="4">
        <v>0</v>
      </c>
      <c r="Q137" s="3" t="s">
        <v>26</v>
      </c>
      <c r="R137" s="3">
        <v>0</v>
      </c>
      <c r="S137" s="4">
        <v>4</v>
      </c>
      <c r="T137" s="4">
        <v>6</v>
      </c>
      <c r="U137" s="4">
        <v>86</v>
      </c>
      <c r="V137" s="4">
        <f>IF(ISERROR(VLOOKUP($S$137,'TAR FIN'!$A$1:$O$113,15,0)),0,VLOOKUP($S$137,'TAR FIN'!$A$1:$O$113,15,0))</f>
        <v>28.34</v>
      </c>
      <c r="W137" s="4">
        <f>IF(ISERROR(VLOOKUP($T$137,'TAR FIN'!$A$1:$O$113,15,0)),0,VLOOKUP($T$137,'TAR FIN'!$A$1:$O$113,15,0))</f>
        <v>35.86</v>
      </c>
      <c r="X137" s="4">
        <f>IF(ISERROR(VLOOKUP($U$137,'TAR FIN'!$A$1:$O$113,15,0)),0,VLOOKUP($U$137,'TAR FIN'!$A$1:$O$113,15,0))</f>
        <v>365.5</v>
      </c>
      <c r="Y137" s="4">
        <f ca="1">('TUSD BE'!$AM$5+'TUSD BF'!$AM$5+'TUSD CVA'!$AM$5)*1</f>
        <v>31.331884047769289</v>
      </c>
      <c r="Z137" s="4">
        <f ca="1">('TUSD BE'!$AM$7+'TUSD BF'!$AM$7+'TUSD CVA'!$AM$7)*1</f>
        <v>45.946048451030222</v>
      </c>
      <c r="AA137" s="4">
        <f>('TE BE'!$AA$5+'TE BF'!$AA$5+'TE CVA'!$AA$5)*1</f>
        <v>361.55013418411539</v>
      </c>
      <c r="AB137" s="4">
        <f>$K$137*$V$137</f>
        <v>83603</v>
      </c>
      <c r="AC137" s="4">
        <f>$M$137*$W$137</f>
        <v>1757.1399999999999</v>
      </c>
      <c r="AD137" s="4">
        <f>$O$137*$X$137</f>
        <v>17909.5</v>
      </c>
      <c r="AE137" s="4">
        <f ca="1">$K$137*$Y$137</f>
        <v>92429.057940919403</v>
      </c>
      <c r="AF137" s="4">
        <f ca="1">$M$137*$Z$137</f>
        <v>2251.3563741004809</v>
      </c>
      <c r="AG137" s="4">
        <f>$O$137*$AA$137</f>
        <v>17715.956575021653</v>
      </c>
    </row>
    <row r="138" spans="1:33" ht="11.25" customHeight="1" x14ac:dyDescent="0.25">
      <c r="A138" s="3" t="s">
        <v>21</v>
      </c>
      <c r="B138" s="3" t="s">
        <v>39</v>
      </c>
      <c r="C138" s="3" t="s">
        <v>40</v>
      </c>
      <c r="D138" s="3" t="s">
        <v>46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44409</v>
      </c>
      <c r="J138" s="4">
        <v>2950</v>
      </c>
      <c r="K138" s="4">
        <v>2950</v>
      </c>
      <c r="L138" s="4">
        <v>45.5</v>
      </c>
      <c r="M138" s="4">
        <v>45.5</v>
      </c>
      <c r="N138" s="4">
        <v>45.5</v>
      </c>
      <c r="O138" s="4">
        <v>45.5</v>
      </c>
      <c r="P138" s="4">
        <v>0</v>
      </c>
      <c r="Q138" s="3" t="s">
        <v>26</v>
      </c>
      <c r="R138" s="3">
        <v>0</v>
      </c>
      <c r="S138" s="4">
        <v>4</v>
      </c>
      <c r="T138" s="4">
        <v>6</v>
      </c>
      <c r="U138" s="4">
        <v>86</v>
      </c>
      <c r="V138" s="4">
        <f>IF(ISERROR(VLOOKUP($S$138,'TAR FIN'!$A$1:$O$113,15,0)),0,VLOOKUP($S$138,'TAR FIN'!$A$1:$O$113,15,0))</f>
        <v>28.34</v>
      </c>
      <c r="W138" s="4">
        <f>IF(ISERROR(VLOOKUP($T$138,'TAR FIN'!$A$1:$O$113,15,0)),0,VLOOKUP($T$138,'TAR FIN'!$A$1:$O$113,15,0))</f>
        <v>35.86</v>
      </c>
      <c r="X138" s="4">
        <f>IF(ISERROR(VLOOKUP($U$138,'TAR FIN'!$A$1:$O$113,15,0)),0,VLOOKUP($U$138,'TAR FIN'!$A$1:$O$113,15,0))</f>
        <v>365.5</v>
      </c>
      <c r="Y138" s="4">
        <f ca="1">('TUSD BE'!$AM$5+'TUSD BF'!$AM$5+'TUSD CVA'!$AM$5)*1</f>
        <v>31.331884047769289</v>
      </c>
      <c r="Z138" s="4">
        <f ca="1">('TUSD BE'!$AM$7+'TUSD BF'!$AM$7+'TUSD CVA'!$AM$7)*1</f>
        <v>45.946048451030222</v>
      </c>
      <c r="AA138" s="4">
        <f>('TE BE'!$AA$5+'TE BF'!$AA$5+'TE CVA'!$AA$5)*1</f>
        <v>361.55013418411539</v>
      </c>
      <c r="AB138" s="4">
        <f>$K$138*$V$138</f>
        <v>83603</v>
      </c>
      <c r="AC138" s="4">
        <f>$M$138*$W$138</f>
        <v>1631.6299999999999</v>
      </c>
      <c r="AD138" s="4">
        <f>$O$138*$X$138</f>
        <v>16630.25</v>
      </c>
      <c r="AE138" s="4">
        <f ca="1">$K$138*$Y$138</f>
        <v>92429.057940919403</v>
      </c>
      <c r="AF138" s="4">
        <f ca="1">$M$138*$Z$138</f>
        <v>2090.5452045218749</v>
      </c>
      <c r="AG138" s="4">
        <f>$O$138*$AA$138</f>
        <v>16450.531105377249</v>
      </c>
    </row>
    <row r="139" spans="1:33" ht="11.25" customHeight="1" x14ac:dyDescent="0.25">
      <c r="A139" s="3" t="s">
        <v>21</v>
      </c>
      <c r="B139" s="3" t="s">
        <v>39</v>
      </c>
      <c r="C139" s="3" t="s">
        <v>40</v>
      </c>
      <c r="D139" s="3" t="s">
        <v>46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44440</v>
      </c>
      <c r="J139" s="4">
        <v>2950</v>
      </c>
      <c r="K139" s="4">
        <v>2950</v>
      </c>
      <c r="L139" s="4">
        <v>52.5</v>
      </c>
      <c r="M139" s="4">
        <v>52.5</v>
      </c>
      <c r="N139" s="4">
        <v>52.5</v>
      </c>
      <c r="O139" s="4">
        <v>52.5</v>
      </c>
      <c r="P139" s="4">
        <v>0</v>
      </c>
      <c r="Q139" s="3" t="s">
        <v>26</v>
      </c>
      <c r="R139" s="3">
        <v>0</v>
      </c>
      <c r="S139" s="4">
        <v>4</v>
      </c>
      <c r="T139" s="4">
        <v>6</v>
      </c>
      <c r="U139" s="4">
        <v>86</v>
      </c>
      <c r="V139" s="4">
        <f>IF(ISERROR(VLOOKUP($S$139,'TAR FIN'!$A$1:$O$113,15,0)),0,VLOOKUP($S$139,'TAR FIN'!$A$1:$O$113,15,0))</f>
        <v>28.34</v>
      </c>
      <c r="W139" s="4">
        <f>IF(ISERROR(VLOOKUP($T$139,'TAR FIN'!$A$1:$O$113,15,0)),0,VLOOKUP($T$139,'TAR FIN'!$A$1:$O$113,15,0))</f>
        <v>35.86</v>
      </c>
      <c r="X139" s="4">
        <f>IF(ISERROR(VLOOKUP($U$139,'TAR FIN'!$A$1:$O$113,15,0)),0,VLOOKUP($U$139,'TAR FIN'!$A$1:$O$113,15,0))</f>
        <v>365.5</v>
      </c>
      <c r="Y139" s="4">
        <f ca="1">('TUSD BE'!$AM$5+'TUSD BF'!$AM$5+'TUSD CVA'!$AM$5)*1</f>
        <v>31.331884047769289</v>
      </c>
      <c r="Z139" s="4">
        <f ca="1">('TUSD BE'!$AM$7+'TUSD BF'!$AM$7+'TUSD CVA'!$AM$7)*1</f>
        <v>45.946048451030222</v>
      </c>
      <c r="AA139" s="4">
        <f>('TE BE'!$AA$5+'TE BF'!$AA$5+'TE CVA'!$AA$5)*1</f>
        <v>361.55013418411539</v>
      </c>
      <c r="AB139" s="4">
        <f>$K$139*$V$139</f>
        <v>83603</v>
      </c>
      <c r="AC139" s="4">
        <f>$M$139*$W$139</f>
        <v>1882.6499999999999</v>
      </c>
      <c r="AD139" s="4">
        <f>$O$139*$X$139</f>
        <v>19188.75</v>
      </c>
      <c r="AE139" s="4">
        <f ca="1">$K$139*$Y$139</f>
        <v>92429.057940919403</v>
      </c>
      <c r="AF139" s="4">
        <f ca="1">$M$139*$Z$139</f>
        <v>2412.1675436790865</v>
      </c>
      <c r="AG139" s="4">
        <f>$O$139*$AA$139</f>
        <v>18981.382044666057</v>
      </c>
    </row>
    <row r="140" spans="1:33" ht="11.25" customHeight="1" x14ac:dyDescent="0.25">
      <c r="A140" s="3" t="s">
        <v>21</v>
      </c>
      <c r="B140" s="3" t="s">
        <v>39</v>
      </c>
      <c r="C140" s="3" t="s">
        <v>40</v>
      </c>
      <c r="D140" s="3" t="s">
        <v>46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44470</v>
      </c>
      <c r="J140" s="4">
        <v>2950</v>
      </c>
      <c r="K140" s="4">
        <v>2950</v>
      </c>
      <c r="L140" s="4">
        <v>52.5</v>
      </c>
      <c r="M140" s="4">
        <v>52.5</v>
      </c>
      <c r="N140" s="4">
        <v>52.5</v>
      </c>
      <c r="O140" s="4">
        <v>52.5</v>
      </c>
      <c r="P140" s="4">
        <v>0</v>
      </c>
      <c r="Q140" s="3" t="s">
        <v>26</v>
      </c>
      <c r="R140" s="3">
        <v>0</v>
      </c>
      <c r="S140" s="4">
        <v>4</v>
      </c>
      <c r="T140" s="4">
        <v>6</v>
      </c>
      <c r="U140" s="4">
        <v>86</v>
      </c>
      <c r="V140" s="4">
        <f>IF(ISERROR(VLOOKUP($S$140,'TAR FIN'!$A$1:$O$113,15,0)),0,VLOOKUP($S$140,'TAR FIN'!$A$1:$O$113,15,0))</f>
        <v>28.34</v>
      </c>
      <c r="W140" s="4">
        <f>IF(ISERROR(VLOOKUP($T$140,'TAR FIN'!$A$1:$O$113,15,0)),0,VLOOKUP($T$140,'TAR FIN'!$A$1:$O$113,15,0))</f>
        <v>35.86</v>
      </c>
      <c r="X140" s="4">
        <f>IF(ISERROR(VLOOKUP($U$140,'TAR FIN'!$A$1:$O$113,15,0)),0,VLOOKUP($U$140,'TAR FIN'!$A$1:$O$113,15,0))</f>
        <v>365.5</v>
      </c>
      <c r="Y140" s="4">
        <f ca="1">('TUSD BE'!$AM$5+'TUSD BF'!$AM$5+'TUSD CVA'!$AM$5)*1</f>
        <v>31.331884047769289</v>
      </c>
      <c r="Z140" s="4">
        <f ca="1">('TUSD BE'!$AM$7+'TUSD BF'!$AM$7+'TUSD CVA'!$AM$7)*1</f>
        <v>45.946048451030222</v>
      </c>
      <c r="AA140" s="4">
        <f>('TE BE'!$AA$5+'TE BF'!$AA$5+'TE CVA'!$AA$5)*1</f>
        <v>361.55013418411539</v>
      </c>
      <c r="AB140" s="4">
        <f>$K$140*$V$140</f>
        <v>83603</v>
      </c>
      <c r="AC140" s="4">
        <f>$M$140*$W$140</f>
        <v>1882.6499999999999</v>
      </c>
      <c r="AD140" s="4">
        <f>$O$140*$X$140</f>
        <v>19188.75</v>
      </c>
      <c r="AE140" s="4">
        <f ca="1">$K$140*$Y$140</f>
        <v>92429.057940919403</v>
      </c>
      <c r="AF140" s="4">
        <f ca="1">$M$140*$Z$140</f>
        <v>2412.1675436790865</v>
      </c>
      <c r="AG140" s="4">
        <f>$O$140*$AA$140</f>
        <v>18981.382044666057</v>
      </c>
    </row>
    <row r="141" spans="1:33" ht="11.25" customHeight="1" x14ac:dyDescent="0.25">
      <c r="A141" s="3" t="s">
        <v>21</v>
      </c>
      <c r="B141" s="3" t="s">
        <v>39</v>
      </c>
      <c r="C141" s="3" t="s">
        <v>40</v>
      </c>
      <c r="D141" s="3" t="s">
        <v>46</v>
      </c>
      <c r="E141" s="3" t="s">
        <v>25</v>
      </c>
      <c r="F141" s="3" t="s">
        <v>25</v>
      </c>
      <c r="G141" s="3" t="s">
        <v>25</v>
      </c>
      <c r="H141" s="3" t="s">
        <v>34</v>
      </c>
      <c r="I141" s="6">
        <v>44501</v>
      </c>
      <c r="J141" s="4">
        <v>2950</v>
      </c>
      <c r="K141" s="4">
        <v>2950</v>
      </c>
      <c r="L141" s="4">
        <v>52.5</v>
      </c>
      <c r="M141" s="4">
        <v>52.5</v>
      </c>
      <c r="N141" s="4">
        <v>52.5</v>
      </c>
      <c r="O141" s="4">
        <v>52.5</v>
      </c>
      <c r="P141" s="4">
        <v>0</v>
      </c>
      <c r="Q141" s="3" t="s">
        <v>26</v>
      </c>
      <c r="R141" s="3">
        <v>0</v>
      </c>
      <c r="S141" s="4">
        <v>4</v>
      </c>
      <c r="T141" s="4">
        <v>6</v>
      </c>
      <c r="U141" s="4">
        <v>86</v>
      </c>
      <c r="V141" s="4">
        <f>IF(ISERROR(VLOOKUP($S$141,'TAR FIN'!$A$1:$O$113,15,0)),0,VLOOKUP($S$141,'TAR FIN'!$A$1:$O$113,15,0))</f>
        <v>28.34</v>
      </c>
      <c r="W141" s="4">
        <f>IF(ISERROR(VLOOKUP($T$141,'TAR FIN'!$A$1:$O$113,15,0)),0,VLOOKUP($T$141,'TAR FIN'!$A$1:$O$113,15,0))</f>
        <v>35.86</v>
      </c>
      <c r="X141" s="4">
        <f>IF(ISERROR(VLOOKUP($U$141,'TAR FIN'!$A$1:$O$113,15,0)),0,VLOOKUP($U$141,'TAR FIN'!$A$1:$O$113,15,0))</f>
        <v>365.5</v>
      </c>
      <c r="Y141" s="4">
        <f ca="1">('TUSD BE'!$AM$5+'TUSD BF'!$AM$5+'TUSD CVA'!$AM$5)*1</f>
        <v>31.331884047769289</v>
      </c>
      <c r="Z141" s="4">
        <f ca="1">('TUSD BE'!$AM$7+'TUSD BF'!$AM$7+'TUSD CVA'!$AM$7)*1</f>
        <v>45.946048451030222</v>
      </c>
      <c r="AA141" s="4">
        <f>('TE BE'!$AA$5+'TE BF'!$AA$5+'TE CVA'!$AA$5)*1</f>
        <v>361.55013418411539</v>
      </c>
      <c r="AB141" s="4">
        <f>$K$141*$V$141</f>
        <v>83603</v>
      </c>
      <c r="AC141" s="4">
        <f>$M$141*$W$141</f>
        <v>1882.6499999999999</v>
      </c>
      <c r="AD141" s="4">
        <f>$O$141*$X$141</f>
        <v>19188.75</v>
      </c>
      <c r="AE141" s="4">
        <f ca="1">$K$141*$Y$141</f>
        <v>92429.057940919403</v>
      </c>
      <c r="AF141" s="4">
        <f ca="1">$M$141*$Z$141</f>
        <v>2412.1675436790865</v>
      </c>
      <c r="AG141" s="4">
        <f>$O$141*$AA$141</f>
        <v>18981.382044666057</v>
      </c>
    </row>
    <row r="142" spans="1:33" ht="11.25" customHeight="1" x14ac:dyDescent="0.25">
      <c r="A142" s="3" t="s">
        <v>21</v>
      </c>
      <c r="B142" s="3" t="s">
        <v>39</v>
      </c>
      <c r="C142" s="3" t="s">
        <v>40</v>
      </c>
      <c r="D142" s="3" t="s">
        <v>46</v>
      </c>
      <c r="E142" s="3" t="s">
        <v>25</v>
      </c>
      <c r="F142" s="3" t="s">
        <v>25</v>
      </c>
      <c r="G142" s="3" t="s">
        <v>25</v>
      </c>
      <c r="H142" s="3" t="s">
        <v>34</v>
      </c>
      <c r="I142" s="6">
        <v>44531</v>
      </c>
      <c r="J142" s="4">
        <v>2950</v>
      </c>
      <c r="K142" s="4">
        <v>2950</v>
      </c>
      <c r="L142" s="4">
        <v>59.5</v>
      </c>
      <c r="M142" s="4">
        <v>59.5</v>
      </c>
      <c r="N142" s="4">
        <v>59.5</v>
      </c>
      <c r="O142" s="4">
        <v>59.5</v>
      </c>
      <c r="P142" s="4">
        <v>0</v>
      </c>
      <c r="Q142" s="3" t="s">
        <v>26</v>
      </c>
      <c r="R142" s="3">
        <v>0</v>
      </c>
      <c r="S142" s="4">
        <v>4</v>
      </c>
      <c r="T142" s="4">
        <v>6</v>
      </c>
      <c r="U142" s="4">
        <v>86</v>
      </c>
      <c r="V142" s="4">
        <f>IF(ISERROR(VLOOKUP($S$142,'TAR FIN'!$A$1:$O$113,15,0)),0,VLOOKUP($S$142,'TAR FIN'!$A$1:$O$113,15,0))</f>
        <v>28.34</v>
      </c>
      <c r="W142" s="4">
        <f>IF(ISERROR(VLOOKUP($T$142,'TAR FIN'!$A$1:$O$113,15,0)),0,VLOOKUP($T$142,'TAR FIN'!$A$1:$O$113,15,0))</f>
        <v>35.86</v>
      </c>
      <c r="X142" s="4">
        <f>IF(ISERROR(VLOOKUP($U$142,'TAR FIN'!$A$1:$O$113,15,0)),0,VLOOKUP($U$142,'TAR FIN'!$A$1:$O$113,15,0))</f>
        <v>365.5</v>
      </c>
      <c r="Y142" s="4">
        <f ca="1">('TUSD BE'!$AM$5+'TUSD BF'!$AM$5+'TUSD CVA'!$AM$5)*1</f>
        <v>31.331884047769289</v>
      </c>
      <c r="Z142" s="4">
        <f ca="1">('TUSD BE'!$AM$7+'TUSD BF'!$AM$7+'TUSD CVA'!$AM$7)*1</f>
        <v>45.946048451030222</v>
      </c>
      <c r="AA142" s="4">
        <f>('TE BE'!$AA$5+'TE BF'!$AA$5+'TE CVA'!$AA$5)*1</f>
        <v>361.55013418411539</v>
      </c>
      <c r="AB142" s="4">
        <f>$K$142*$V$142</f>
        <v>83603</v>
      </c>
      <c r="AC142" s="4">
        <f>$M$142*$W$142</f>
        <v>2133.67</v>
      </c>
      <c r="AD142" s="4">
        <f>$O$142*$X$142</f>
        <v>21747.25</v>
      </c>
      <c r="AE142" s="4">
        <f ca="1">$K$142*$Y$142</f>
        <v>92429.057940919403</v>
      </c>
      <c r="AF142" s="4">
        <f ca="1">$M$142*$Z$142</f>
        <v>2733.7898828362981</v>
      </c>
      <c r="AG142" s="4">
        <f>$O$142*$AA$142</f>
        <v>21512.232983954866</v>
      </c>
    </row>
    <row r="143" spans="1:33" ht="11.25" customHeight="1" x14ac:dyDescent="0.25">
      <c r="A143" s="3" t="s">
        <v>21</v>
      </c>
      <c r="B143" s="3" t="s">
        <v>39</v>
      </c>
      <c r="C143" s="3" t="s">
        <v>40</v>
      </c>
      <c r="D143" s="3" t="s">
        <v>45</v>
      </c>
      <c r="E143" s="3" t="s">
        <v>53</v>
      </c>
      <c r="F143" s="3" t="s">
        <v>55</v>
      </c>
      <c r="G143" s="3" t="s">
        <v>25</v>
      </c>
      <c r="H143" s="3" t="s">
        <v>35</v>
      </c>
      <c r="I143" s="6">
        <v>44287</v>
      </c>
      <c r="J143" s="4">
        <v>0</v>
      </c>
      <c r="K143" s="4">
        <v>0</v>
      </c>
      <c r="L143" s="4">
        <v>514.35</v>
      </c>
      <c r="M143" s="4">
        <v>51.435000000000002</v>
      </c>
      <c r="N143" s="4">
        <v>514.35</v>
      </c>
      <c r="O143" s="4">
        <v>51.435000000000002</v>
      </c>
      <c r="P143" s="4">
        <v>0</v>
      </c>
      <c r="Q143" s="3" t="s">
        <v>26</v>
      </c>
      <c r="R143" s="3">
        <v>0</v>
      </c>
      <c r="S143" s="4">
        <v>0</v>
      </c>
      <c r="T143" s="4">
        <v>6</v>
      </c>
      <c r="U143" s="4">
        <v>87</v>
      </c>
      <c r="V143" s="4">
        <f>IF(ISERROR(VLOOKUP($S$143,'TAR FIN'!$A$1:$O$113,15,0)),0,VLOOKUP($S$143,'TAR FIN'!$A$1:$O$113,15,0))</f>
        <v>0</v>
      </c>
      <c r="W143" s="4">
        <f>IF(ISERROR(VLOOKUP($T$143,'TAR FIN'!$A$1:$O$113,15,0)),0,VLOOKUP($T$143,'TAR FIN'!$A$1:$O$113,15,0))</f>
        <v>35.86</v>
      </c>
      <c r="X143" s="4">
        <f>IF(ISERROR(VLOOKUP($U$143,'TAR FIN'!$A$1:$O$113,15,0)),0,VLOOKUP($U$143,'TAR FIN'!$A$1:$O$113,15,0))</f>
        <v>222.31</v>
      </c>
      <c r="Y143" s="4">
        <f ca="1">('TUSD BE'!$AM$6+'TUSD BF'!$AM$6+'TUSD CVA'!$AM$6)*1</f>
        <v>10.94172345363083</v>
      </c>
      <c r="Z143" s="4">
        <f ca="1">('TUSD BE'!$AM$7+'TUSD BF'!$AM$7+'TUSD CVA'!$AM$7)*1</f>
        <v>45.946048451030222</v>
      </c>
      <c r="AA143" s="4">
        <f>('TE BE'!$AA$6+'TE BF'!$AA$6+'TE CVA'!$AA$6)*1</f>
        <v>223.14561812044704</v>
      </c>
      <c r="AB143" s="4">
        <f>$K$143*$V$143</f>
        <v>0</v>
      </c>
      <c r="AC143" s="4">
        <f>$M$143*$W$143</f>
        <v>1844.4591</v>
      </c>
      <c r="AD143" s="4">
        <f>$O$143*$X$143</f>
        <v>11434.514850000001</v>
      </c>
      <c r="AE143" s="4">
        <f ca="1">$K$143*$Y$143</f>
        <v>0</v>
      </c>
      <c r="AF143" s="4">
        <f ca="1">$M$143*$Z$143</f>
        <v>2363.2350020787394</v>
      </c>
      <c r="AG143" s="4">
        <f>$O$143*$AA$143</f>
        <v>11477.494868025195</v>
      </c>
    </row>
    <row r="144" spans="1:33" ht="11.25" customHeight="1" x14ac:dyDescent="0.25">
      <c r="A144" s="3" t="s">
        <v>21</v>
      </c>
      <c r="B144" s="3" t="s">
        <v>39</v>
      </c>
      <c r="C144" s="3" t="s">
        <v>40</v>
      </c>
      <c r="D144" s="3" t="s">
        <v>45</v>
      </c>
      <c r="E144" s="3" t="s">
        <v>53</v>
      </c>
      <c r="F144" s="3" t="s">
        <v>55</v>
      </c>
      <c r="G144" s="3" t="s">
        <v>25</v>
      </c>
      <c r="H144" s="3" t="s">
        <v>35</v>
      </c>
      <c r="I144" s="6">
        <v>44317</v>
      </c>
      <c r="J144" s="4">
        <v>0</v>
      </c>
      <c r="K144" s="4">
        <v>0</v>
      </c>
      <c r="L144" s="4">
        <v>134.13</v>
      </c>
      <c r="M144" s="4">
        <v>13.413</v>
      </c>
      <c r="N144" s="4">
        <v>134.13</v>
      </c>
      <c r="O144" s="4">
        <v>13.413</v>
      </c>
      <c r="P144" s="4">
        <v>0</v>
      </c>
      <c r="Q144" s="3" t="s">
        <v>26</v>
      </c>
      <c r="R144" s="3">
        <v>0</v>
      </c>
      <c r="S144" s="4">
        <v>0</v>
      </c>
      <c r="T144" s="4">
        <v>6</v>
      </c>
      <c r="U144" s="4">
        <v>87</v>
      </c>
      <c r="V144" s="4">
        <f>IF(ISERROR(VLOOKUP($S$144,'TAR FIN'!$A$1:$O$113,15,0)),0,VLOOKUP($S$144,'TAR FIN'!$A$1:$O$113,15,0))</f>
        <v>0</v>
      </c>
      <c r="W144" s="4">
        <f>IF(ISERROR(VLOOKUP($T$144,'TAR FIN'!$A$1:$O$113,15,0)),0,VLOOKUP($T$144,'TAR FIN'!$A$1:$O$113,15,0))</f>
        <v>35.86</v>
      </c>
      <c r="X144" s="4">
        <f>IF(ISERROR(VLOOKUP($U$144,'TAR FIN'!$A$1:$O$113,15,0)),0,VLOOKUP($U$144,'TAR FIN'!$A$1:$O$113,15,0))</f>
        <v>222.31</v>
      </c>
      <c r="Y144" s="4">
        <f ca="1">('TUSD BE'!$AM$6+'TUSD BF'!$AM$6+'TUSD CVA'!$AM$6)*1</f>
        <v>10.94172345363083</v>
      </c>
      <c r="Z144" s="4">
        <f ca="1">('TUSD BE'!$AM$7+'TUSD BF'!$AM$7+'TUSD CVA'!$AM$7)*1</f>
        <v>45.946048451030222</v>
      </c>
      <c r="AA144" s="4">
        <f>('TE BE'!$AA$6+'TE BF'!$AA$6+'TE CVA'!$AA$6)*1</f>
        <v>223.14561812044704</v>
      </c>
      <c r="AB144" s="4">
        <f>$K$144*$V$144</f>
        <v>0</v>
      </c>
      <c r="AC144" s="4">
        <f>$M$144*$W$144</f>
        <v>480.99018000000001</v>
      </c>
      <c r="AD144" s="4">
        <f>$O$144*$X$144</f>
        <v>2981.8440300000002</v>
      </c>
      <c r="AE144" s="4">
        <f ca="1">$K$144*$Y$144</f>
        <v>0</v>
      </c>
      <c r="AF144" s="4">
        <f ca="1">$M$144*$Z$144</f>
        <v>616.27434787366838</v>
      </c>
      <c r="AG144" s="4">
        <f>$O$144*$AA$144</f>
        <v>2993.0521758495561</v>
      </c>
    </row>
    <row r="145" spans="1:33" ht="11.25" customHeight="1" x14ac:dyDescent="0.25">
      <c r="A145" s="3" t="s">
        <v>21</v>
      </c>
      <c r="B145" s="3" t="s">
        <v>39</v>
      </c>
      <c r="C145" s="3" t="s">
        <v>40</v>
      </c>
      <c r="D145" s="3" t="s">
        <v>45</v>
      </c>
      <c r="E145" s="3" t="s">
        <v>53</v>
      </c>
      <c r="F145" s="3" t="s">
        <v>55</v>
      </c>
      <c r="G145" s="3" t="s">
        <v>25</v>
      </c>
      <c r="H145" s="3" t="s">
        <v>35</v>
      </c>
      <c r="I145" s="6">
        <v>44348</v>
      </c>
      <c r="J145" s="4">
        <v>0</v>
      </c>
      <c r="K145" s="4">
        <v>0</v>
      </c>
      <c r="L145" s="4">
        <v>122.04</v>
      </c>
      <c r="M145" s="4">
        <v>12.204000000000001</v>
      </c>
      <c r="N145" s="4">
        <v>122.04</v>
      </c>
      <c r="O145" s="4">
        <v>12.204000000000001</v>
      </c>
      <c r="P145" s="4">
        <v>0</v>
      </c>
      <c r="Q145" s="3" t="s">
        <v>26</v>
      </c>
      <c r="R145" s="3">
        <v>0</v>
      </c>
      <c r="S145" s="4">
        <v>0</v>
      </c>
      <c r="T145" s="4">
        <v>6</v>
      </c>
      <c r="U145" s="4">
        <v>87</v>
      </c>
      <c r="V145" s="4">
        <f>IF(ISERROR(VLOOKUP($S$145,'TAR FIN'!$A$1:$O$113,15,0)),0,VLOOKUP($S$145,'TAR FIN'!$A$1:$O$113,15,0))</f>
        <v>0</v>
      </c>
      <c r="W145" s="4">
        <f>IF(ISERROR(VLOOKUP($T$145,'TAR FIN'!$A$1:$O$113,15,0)),0,VLOOKUP($T$145,'TAR FIN'!$A$1:$O$113,15,0))</f>
        <v>35.86</v>
      </c>
      <c r="X145" s="4">
        <f>IF(ISERROR(VLOOKUP($U$145,'TAR FIN'!$A$1:$O$113,15,0)),0,VLOOKUP($U$145,'TAR FIN'!$A$1:$O$113,15,0))</f>
        <v>222.31</v>
      </c>
      <c r="Y145" s="4">
        <f ca="1">('TUSD BE'!$AM$6+'TUSD BF'!$AM$6+'TUSD CVA'!$AM$6)*1</f>
        <v>10.94172345363083</v>
      </c>
      <c r="Z145" s="4">
        <f ca="1">('TUSD BE'!$AM$7+'TUSD BF'!$AM$7+'TUSD CVA'!$AM$7)*1</f>
        <v>45.946048451030222</v>
      </c>
      <c r="AA145" s="4">
        <f>('TE BE'!$AA$6+'TE BF'!$AA$6+'TE CVA'!$AA$6)*1</f>
        <v>223.14561812044704</v>
      </c>
      <c r="AB145" s="4">
        <f>$K$145*$V$145</f>
        <v>0</v>
      </c>
      <c r="AC145" s="4">
        <f>$M$145*$W$145</f>
        <v>437.63544000000002</v>
      </c>
      <c r="AD145" s="4">
        <f>$O$145*$X$145</f>
        <v>2713.0712400000002</v>
      </c>
      <c r="AE145" s="4">
        <f ca="1">$K$145*$Y$145</f>
        <v>0</v>
      </c>
      <c r="AF145" s="4">
        <f ca="1">$M$145*$Z$145</f>
        <v>560.72557529637288</v>
      </c>
      <c r="AG145" s="4">
        <f>$O$145*$AA$145</f>
        <v>2723.2691235419356</v>
      </c>
    </row>
    <row r="146" spans="1:33" ht="11.25" customHeight="1" x14ac:dyDescent="0.25">
      <c r="A146" s="3" t="s">
        <v>21</v>
      </c>
      <c r="B146" s="3" t="s">
        <v>39</v>
      </c>
      <c r="C146" s="3" t="s">
        <v>40</v>
      </c>
      <c r="D146" s="3" t="s">
        <v>45</v>
      </c>
      <c r="E146" s="3" t="s">
        <v>53</v>
      </c>
      <c r="F146" s="3" t="s">
        <v>55</v>
      </c>
      <c r="G146" s="3" t="s">
        <v>25</v>
      </c>
      <c r="H146" s="3" t="s">
        <v>35</v>
      </c>
      <c r="I146" s="6">
        <v>44378</v>
      </c>
      <c r="J146" s="4">
        <v>0</v>
      </c>
      <c r="K146" s="4">
        <v>0</v>
      </c>
      <c r="L146" s="4">
        <v>100.842</v>
      </c>
      <c r="M146" s="4">
        <v>10.084199999999999</v>
      </c>
      <c r="N146" s="4">
        <v>100.842</v>
      </c>
      <c r="O146" s="4">
        <v>10.084199999999999</v>
      </c>
      <c r="P146" s="4">
        <v>0</v>
      </c>
      <c r="Q146" s="3" t="s">
        <v>26</v>
      </c>
      <c r="R146" s="3">
        <v>0</v>
      </c>
      <c r="S146" s="4">
        <v>0</v>
      </c>
      <c r="T146" s="4">
        <v>6</v>
      </c>
      <c r="U146" s="4">
        <v>87</v>
      </c>
      <c r="V146" s="4">
        <f>IF(ISERROR(VLOOKUP($S$146,'TAR FIN'!$A$1:$O$113,15,0)),0,VLOOKUP($S$146,'TAR FIN'!$A$1:$O$113,15,0))</f>
        <v>0</v>
      </c>
      <c r="W146" s="4">
        <f>IF(ISERROR(VLOOKUP($T$146,'TAR FIN'!$A$1:$O$113,15,0)),0,VLOOKUP($T$146,'TAR FIN'!$A$1:$O$113,15,0))</f>
        <v>35.86</v>
      </c>
      <c r="X146" s="4">
        <f>IF(ISERROR(VLOOKUP($U$146,'TAR FIN'!$A$1:$O$113,15,0)),0,VLOOKUP($U$146,'TAR FIN'!$A$1:$O$113,15,0))</f>
        <v>222.31</v>
      </c>
      <c r="Y146" s="4">
        <f ca="1">('TUSD BE'!$AM$6+'TUSD BF'!$AM$6+'TUSD CVA'!$AM$6)*1</f>
        <v>10.94172345363083</v>
      </c>
      <c r="Z146" s="4">
        <f ca="1">('TUSD BE'!$AM$7+'TUSD BF'!$AM$7+'TUSD CVA'!$AM$7)*1</f>
        <v>45.946048451030222</v>
      </c>
      <c r="AA146" s="4">
        <f>('TE BE'!$AA$6+'TE BF'!$AA$6+'TE CVA'!$AA$6)*1</f>
        <v>223.14561812044704</v>
      </c>
      <c r="AB146" s="4">
        <f>$K$146*$V$146</f>
        <v>0</v>
      </c>
      <c r="AC146" s="4">
        <f>$M$146*$W$146</f>
        <v>361.61941199999995</v>
      </c>
      <c r="AD146" s="4">
        <f>$O$146*$X$146</f>
        <v>2241.8185019999996</v>
      </c>
      <c r="AE146" s="4">
        <f ca="1">$K$146*$Y$146</f>
        <v>0</v>
      </c>
      <c r="AF146" s="4">
        <f ca="1">$M$146*$Z$146</f>
        <v>463.32914178987892</v>
      </c>
      <c r="AG146" s="4">
        <f>$O$146*$AA$146</f>
        <v>2250.245042250212</v>
      </c>
    </row>
    <row r="147" spans="1:33" ht="11.25" customHeight="1" x14ac:dyDescent="0.25">
      <c r="A147" s="3" t="s">
        <v>21</v>
      </c>
      <c r="B147" s="3" t="s">
        <v>39</v>
      </c>
      <c r="C147" s="3" t="s">
        <v>40</v>
      </c>
      <c r="D147" s="3" t="s">
        <v>45</v>
      </c>
      <c r="E147" s="3" t="s">
        <v>53</v>
      </c>
      <c r="F147" s="3" t="s">
        <v>55</v>
      </c>
      <c r="G147" s="3" t="s">
        <v>25</v>
      </c>
      <c r="H147" s="3" t="s">
        <v>35</v>
      </c>
      <c r="I147" s="6">
        <v>44409</v>
      </c>
      <c r="J147" s="4">
        <v>0</v>
      </c>
      <c r="K147" s="4">
        <v>0</v>
      </c>
      <c r="L147" s="4">
        <v>111.054</v>
      </c>
      <c r="M147" s="4">
        <v>11.105399999999999</v>
      </c>
      <c r="N147" s="4">
        <v>111.054</v>
      </c>
      <c r="O147" s="4">
        <v>11.105399999999999</v>
      </c>
      <c r="P147" s="4">
        <v>0</v>
      </c>
      <c r="Q147" s="3" t="s">
        <v>26</v>
      </c>
      <c r="R147" s="3">
        <v>0</v>
      </c>
      <c r="S147" s="4">
        <v>0</v>
      </c>
      <c r="T147" s="4">
        <v>6</v>
      </c>
      <c r="U147" s="4">
        <v>87</v>
      </c>
      <c r="V147" s="4">
        <f>IF(ISERROR(VLOOKUP($S$147,'TAR FIN'!$A$1:$O$113,15,0)),0,VLOOKUP($S$147,'TAR FIN'!$A$1:$O$113,15,0))</f>
        <v>0</v>
      </c>
      <c r="W147" s="4">
        <f>IF(ISERROR(VLOOKUP($T$147,'TAR FIN'!$A$1:$O$113,15,0)),0,VLOOKUP($T$147,'TAR FIN'!$A$1:$O$113,15,0))</f>
        <v>35.86</v>
      </c>
      <c r="X147" s="4">
        <f>IF(ISERROR(VLOOKUP($U$147,'TAR FIN'!$A$1:$O$113,15,0)),0,VLOOKUP($U$147,'TAR FIN'!$A$1:$O$113,15,0))</f>
        <v>222.31</v>
      </c>
      <c r="Y147" s="4">
        <f ca="1">('TUSD BE'!$AM$6+'TUSD BF'!$AM$6+'TUSD CVA'!$AM$6)*1</f>
        <v>10.94172345363083</v>
      </c>
      <c r="Z147" s="4">
        <f ca="1">('TUSD BE'!$AM$7+'TUSD BF'!$AM$7+'TUSD CVA'!$AM$7)*1</f>
        <v>45.946048451030222</v>
      </c>
      <c r="AA147" s="4">
        <f>('TE BE'!$AA$6+'TE BF'!$AA$6+'TE CVA'!$AA$6)*1</f>
        <v>223.14561812044704</v>
      </c>
      <c r="AB147" s="4">
        <f>$K$147*$V$147</f>
        <v>0</v>
      </c>
      <c r="AC147" s="4">
        <f>$M$147*$W$147</f>
        <v>398.239644</v>
      </c>
      <c r="AD147" s="4">
        <f>$O$147*$X$147</f>
        <v>2468.8414739999998</v>
      </c>
      <c r="AE147" s="4">
        <f ca="1">$K$147*$Y$147</f>
        <v>0</v>
      </c>
      <c r="AF147" s="4">
        <f ca="1">$M$147*$Z$147</f>
        <v>510.24924646807102</v>
      </c>
      <c r="AG147" s="4">
        <f>$O$147*$AA$147</f>
        <v>2478.1213474748124</v>
      </c>
    </row>
    <row r="148" spans="1:33" ht="11.25" customHeight="1" x14ac:dyDescent="0.25">
      <c r="A148" s="3" t="s">
        <v>21</v>
      </c>
      <c r="B148" s="3" t="s">
        <v>39</v>
      </c>
      <c r="C148" s="3" t="s">
        <v>40</v>
      </c>
      <c r="D148" s="3" t="s">
        <v>45</v>
      </c>
      <c r="E148" s="3" t="s">
        <v>53</v>
      </c>
      <c r="F148" s="3" t="s">
        <v>55</v>
      </c>
      <c r="G148" s="3" t="s">
        <v>25</v>
      </c>
      <c r="H148" s="3" t="s">
        <v>35</v>
      </c>
      <c r="I148" s="6">
        <v>44440</v>
      </c>
      <c r="J148" s="4">
        <v>0</v>
      </c>
      <c r="K148" s="4">
        <v>0</v>
      </c>
      <c r="L148" s="4">
        <v>440.58600000000001</v>
      </c>
      <c r="M148" s="4">
        <v>44.058599999999998</v>
      </c>
      <c r="N148" s="4">
        <v>440.58600000000001</v>
      </c>
      <c r="O148" s="4">
        <v>44.058599999999998</v>
      </c>
      <c r="P148" s="4">
        <v>0</v>
      </c>
      <c r="Q148" s="3" t="s">
        <v>26</v>
      </c>
      <c r="R148" s="3">
        <v>0</v>
      </c>
      <c r="S148" s="4">
        <v>0</v>
      </c>
      <c r="T148" s="4">
        <v>6</v>
      </c>
      <c r="U148" s="4">
        <v>87</v>
      </c>
      <c r="V148" s="4">
        <f>IF(ISERROR(VLOOKUP($S$148,'TAR FIN'!$A$1:$O$113,15,0)),0,VLOOKUP($S$148,'TAR FIN'!$A$1:$O$113,15,0))</f>
        <v>0</v>
      </c>
      <c r="W148" s="4">
        <f>IF(ISERROR(VLOOKUP($T$148,'TAR FIN'!$A$1:$O$113,15,0)),0,VLOOKUP($T$148,'TAR FIN'!$A$1:$O$113,15,0))</f>
        <v>35.86</v>
      </c>
      <c r="X148" s="4">
        <f>IF(ISERROR(VLOOKUP($U$148,'TAR FIN'!$A$1:$O$113,15,0)),0,VLOOKUP($U$148,'TAR FIN'!$A$1:$O$113,15,0))</f>
        <v>222.31</v>
      </c>
      <c r="Y148" s="4">
        <f ca="1">('TUSD BE'!$AM$6+'TUSD BF'!$AM$6+'TUSD CVA'!$AM$6)*1</f>
        <v>10.94172345363083</v>
      </c>
      <c r="Z148" s="4">
        <f ca="1">('TUSD BE'!$AM$7+'TUSD BF'!$AM$7+'TUSD CVA'!$AM$7)*1</f>
        <v>45.946048451030222</v>
      </c>
      <c r="AA148" s="4">
        <f>('TE BE'!$AA$6+'TE BF'!$AA$6+'TE CVA'!$AA$6)*1</f>
        <v>223.14561812044704</v>
      </c>
      <c r="AB148" s="4">
        <f>$K$148*$V$148</f>
        <v>0</v>
      </c>
      <c r="AC148" s="4">
        <f>$M$148*$W$148</f>
        <v>1579.9413959999999</v>
      </c>
      <c r="AD148" s="4">
        <f>$O$148*$X$148</f>
        <v>9794.6673659999997</v>
      </c>
      <c r="AE148" s="4">
        <f ca="1">$K$148*$Y$148</f>
        <v>0</v>
      </c>
      <c r="AF148" s="4">
        <f ca="1">$M$148*$Z$148</f>
        <v>2024.3185702845601</v>
      </c>
      <c r="AG148" s="4">
        <f>$O$148*$AA$148</f>
        <v>9831.4835305215274</v>
      </c>
    </row>
    <row r="149" spans="1:33" ht="11.25" customHeight="1" x14ac:dyDescent="0.25">
      <c r="A149" s="3" t="s">
        <v>21</v>
      </c>
      <c r="B149" s="3" t="s">
        <v>39</v>
      </c>
      <c r="C149" s="3" t="s">
        <v>40</v>
      </c>
      <c r="D149" s="3" t="s">
        <v>45</v>
      </c>
      <c r="E149" s="3" t="s">
        <v>53</v>
      </c>
      <c r="F149" s="3" t="s">
        <v>55</v>
      </c>
      <c r="G149" s="3" t="s">
        <v>25</v>
      </c>
      <c r="H149" s="3" t="s">
        <v>35</v>
      </c>
      <c r="I149" s="6">
        <v>44470</v>
      </c>
      <c r="J149" s="4">
        <v>0</v>
      </c>
      <c r="K149" s="4">
        <v>0</v>
      </c>
      <c r="L149" s="4">
        <v>884.274</v>
      </c>
      <c r="M149" s="4">
        <v>88.427400000000006</v>
      </c>
      <c r="N149" s="4">
        <v>884.274</v>
      </c>
      <c r="O149" s="4">
        <v>88.427400000000006</v>
      </c>
      <c r="P149" s="4">
        <v>0</v>
      </c>
      <c r="Q149" s="3" t="s">
        <v>26</v>
      </c>
      <c r="R149" s="3">
        <v>0</v>
      </c>
      <c r="S149" s="4">
        <v>0</v>
      </c>
      <c r="T149" s="4">
        <v>6</v>
      </c>
      <c r="U149" s="4">
        <v>87</v>
      </c>
      <c r="V149" s="4">
        <f>IF(ISERROR(VLOOKUP($S$149,'TAR FIN'!$A$1:$O$113,15,0)),0,VLOOKUP($S$149,'TAR FIN'!$A$1:$O$113,15,0))</f>
        <v>0</v>
      </c>
      <c r="W149" s="4">
        <f>IF(ISERROR(VLOOKUP($T$149,'TAR FIN'!$A$1:$O$113,15,0)),0,VLOOKUP($T$149,'TAR FIN'!$A$1:$O$113,15,0))</f>
        <v>35.86</v>
      </c>
      <c r="X149" s="4">
        <f>IF(ISERROR(VLOOKUP($U$149,'TAR FIN'!$A$1:$O$113,15,0)),0,VLOOKUP($U$149,'TAR FIN'!$A$1:$O$113,15,0))</f>
        <v>222.31</v>
      </c>
      <c r="Y149" s="4">
        <f ca="1">('TUSD BE'!$AM$6+'TUSD BF'!$AM$6+'TUSD CVA'!$AM$6)*1</f>
        <v>10.94172345363083</v>
      </c>
      <c r="Z149" s="4">
        <f ca="1">('TUSD BE'!$AM$7+'TUSD BF'!$AM$7+'TUSD CVA'!$AM$7)*1</f>
        <v>45.946048451030222</v>
      </c>
      <c r="AA149" s="4">
        <f>('TE BE'!$AA$6+'TE BF'!$AA$6+'TE CVA'!$AA$6)*1</f>
        <v>223.14561812044704</v>
      </c>
      <c r="AB149" s="4">
        <f>$K$149*$V$149</f>
        <v>0</v>
      </c>
      <c r="AC149" s="4">
        <f>$M$149*$W$149</f>
        <v>3171.0065640000003</v>
      </c>
      <c r="AD149" s="4">
        <f>$O$149*$X$149</f>
        <v>19658.295294000003</v>
      </c>
      <c r="AE149" s="4">
        <f ca="1">$K$149*$Y$149</f>
        <v>0</v>
      </c>
      <c r="AF149" s="4">
        <f ca="1">$M$149*$Z$149</f>
        <v>4062.88960479863</v>
      </c>
      <c r="AG149" s="4">
        <f>$O$149*$AA$149</f>
        <v>19732.18683178402</v>
      </c>
    </row>
    <row r="150" spans="1:33" ht="11.25" customHeight="1" x14ac:dyDescent="0.25">
      <c r="A150" s="3" t="s">
        <v>21</v>
      </c>
      <c r="B150" s="3" t="s">
        <v>39</v>
      </c>
      <c r="C150" s="3" t="s">
        <v>40</v>
      </c>
      <c r="D150" s="3" t="s">
        <v>45</v>
      </c>
      <c r="E150" s="3" t="s">
        <v>53</v>
      </c>
      <c r="F150" s="3" t="s">
        <v>55</v>
      </c>
      <c r="G150" s="3" t="s">
        <v>25</v>
      </c>
      <c r="H150" s="3" t="s">
        <v>35</v>
      </c>
      <c r="I150" s="6">
        <v>44501</v>
      </c>
      <c r="J150" s="4">
        <v>0</v>
      </c>
      <c r="K150" s="4">
        <v>0</v>
      </c>
      <c r="L150" s="4">
        <v>960.69</v>
      </c>
      <c r="M150" s="4">
        <v>96.069000000000003</v>
      </c>
      <c r="N150" s="4">
        <v>960.69</v>
      </c>
      <c r="O150" s="4">
        <v>96.069000000000003</v>
      </c>
      <c r="P150" s="4">
        <v>0</v>
      </c>
      <c r="Q150" s="3" t="s">
        <v>26</v>
      </c>
      <c r="R150" s="3">
        <v>0</v>
      </c>
      <c r="S150" s="4">
        <v>0</v>
      </c>
      <c r="T150" s="4">
        <v>6</v>
      </c>
      <c r="U150" s="4">
        <v>87</v>
      </c>
      <c r="V150" s="4">
        <f>IF(ISERROR(VLOOKUP($S$150,'TAR FIN'!$A$1:$O$113,15,0)),0,VLOOKUP($S$150,'TAR FIN'!$A$1:$O$113,15,0))</f>
        <v>0</v>
      </c>
      <c r="W150" s="4">
        <f>IF(ISERROR(VLOOKUP($T$150,'TAR FIN'!$A$1:$O$113,15,0)),0,VLOOKUP($T$150,'TAR FIN'!$A$1:$O$113,15,0))</f>
        <v>35.86</v>
      </c>
      <c r="X150" s="4">
        <f>IF(ISERROR(VLOOKUP($U$150,'TAR FIN'!$A$1:$O$113,15,0)),0,VLOOKUP($U$150,'TAR FIN'!$A$1:$O$113,15,0))</f>
        <v>222.31</v>
      </c>
      <c r="Y150" s="4">
        <f ca="1">('TUSD BE'!$AM$6+'TUSD BF'!$AM$6+'TUSD CVA'!$AM$6)*1</f>
        <v>10.94172345363083</v>
      </c>
      <c r="Z150" s="4">
        <f ca="1">('TUSD BE'!$AM$7+'TUSD BF'!$AM$7+'TUSD CVA'!$AM$7)*1</f>
        <v>45.946048451030222</v>
      </c>
      <c r="AA150" s="4">
        <f>('TE BE'!$AA$6+'TE BF'!$AA$6+'TE CVA'!$AA$6)*1</f>
        <v>223.14561812044704</v>
      </c>
      <c r="AB150" s="4">
        <f>$K$150*$V$150</f>
        <v>0</v>
      </c>
      <c r="AC150" s="4">
        <f>$M$150*$W$150</f>
        <v>3445.0343400000002</v>
      </c>
      <c r="AD150" s="4">
        <f>$O$150*$X$150</f>
        <v>21357.099389999999</v>
      </c>
      <c r="AE150" s="4">
        <f ca="1">$K$150*$Y$150</f>
        <v>0</v>
      </c>
      <c r="AF150" s="4">
        <f ca="1">$M$150*$Z$150</f>
        <v>4413.9909286420225</v>
      </c>
      <c r="AG150" s="4">
        <f>$O$150*$AA$150</f>
        <v>21437.376387213226</v>
      </c>
    </row>
    <row r="151" spans="1:33" ht="11.25" customHeight="1" x14ac:dyDescent="0.25">
      <c r="A151" s="3" t="s">
        <v>21</v>
      </c>
      <c r="B151" s="3" t="s">
        <v>39</v>
      </c>
      <c r="C151" s="3" t="s">
        <v>40</v>
      </c>
      <c r="D151" s="3" t="s">
        <v>45</v>
      </c>
      <c r="E151" s="3" t="s">
        <v>53</v>
      </c>
      <c r="F151" s="3" t="s">
        <v>55</v>
      </c>
      <c r="G151" s="3" t="s">
        <v>25</v>
      </c>
      <c r="H151" s="3" t="s">
        <v>35</v>
      </c>
      <c r="I151" s="6">
        <v>44531</v>
      </c>
      <c r="J151" s="4">
        <v>0</v>
      </c>
      <c r="K151" s="4">
        <v>0</v>
      </c>
      <c r="L151" s="4">
        <v>745.42200000000003</v>
      </c>
      <c r="M151" s="4">
        <v>74.542199999999994</v>
      </c>
      <c r="N151" s="4">
        <v>745.42200000000003</v>
      </c>
      <c r="O151" s="4">
        <v>74.542199999999994</v>
      </c>
      <c r="P151" s="4">
        <v>0</v>
      </c>
      <c r="Q151" s="3" t="s">
        <v>26</v>
      </c>
      <c r="R151" s="3">
        <v>0</v>
      </c>
      <c r="S151" s="4">
        <v>0</v>
      </c>
      <c r="T151" s="4">
        <v>6</v>
      </c>
      <c r="U151" s="4">
        <v>87</v>
      </c>
      <c r="V151" s="4">
        <f>IF(ISERROR(VLOOKUP($S$151,'TAR FIN'!$A$1:$O$113,15,0)),0,VLOOKUP($S$151,'TAR FIN'!$A$1:$O$113,15,0))</f>
        <v>0</v>
      </c>
      <c r="W151" s="4">
        <f>IF(ISERROR(VLOOKUP($T$151,'TAR FIN'!$A$1:$O$113,15,0)),0,VLOOKUP($T$151,'TAR FIN'!$A$1:$O$113,15,0))</f>
        <v>35.86</v>
      </c>
      <c r="X151" s="4">
        <f>IF(ISERROR(VLOOKUP($U$151,'TAR FIN'!$A$1:$O$113,15,0)),0,VLOOKUP($U$151,'TAR FIN'!$A$1:$O$113,15,0))</f>
        <v>222.31</v>
      </c>
      <c r="Y151" s="4">
        <f ca="1">('TUSD BE'!$AM$6+'TUSD BF'!$AM$6+'TUSD CVA'!$AM$6)*1</f>
        <v>10.94172345363083</v>
      </c>
      <c r="Z151" s="4">
        <f ca="1">('TUSD BE'!$AM$7+'TUSD BF'!$AM$7+'TUSD CVA'!$AM$7)*1</f>
        <v>45.946048451030222</v>
      </c>
      <c r="AA151" s="4">
        <f>('TE BE'!$AA$6+'TE BF'!$AA$6+'TE CVA'!$AA$6)*1</f>
        <v>223.14561812044704</v>
      </c>
      <c r="AB151" s="4">
        <f>$K$151*$V$151</f>
        <v>0</v>
      </c>
      <c r="AC151" s="4">
        <f>$M$151*$W$151</f>
        <v>2673.0832919999998</v>
      </c>
      <c r="AD151" s="4">
        <f>$O$151*$X$151</f>
        <v>16571.476481999998</v>
      </c>
      <c r="AE151" s="4">
        <f ca="1">$K$151*$Y$151</f>
        <v>0</v>
      </c>
      <c r="AF151" s="4">
        <f ca="1">$M$151*$Z$151</f>
        <v>3424.9195328463848</v>
      </c>
      <c r="AG151" s="4">
        <f>$O$151*$AA$151</f>
        <v>16633.765295057987</v>
      </c>
    </row>
    <row r="152" spans="1:33" ht="11.25" customHeight="1" x14ac:dyDescent="0.25">
      <c r="A152" s="3" t="s">
        <v>21</v>
      </c>
      <c r="B152" s="3" t="s">
        <v>39</v>
      </c>
      <c r="C152" s="3" t="s">
        <v>40</v>
      </c>
      <c r="D152" s="3" t="s">
        <v>45</v>
      </c>
      <c r="E152" s="3" t="s">
        <v>53</v>
      </c>
      <c r="F152" s="3" t="s">
        <v>55</v>
      </c>
      <c r="G152" s="3" t="s">
        <v>25</v>
      </c>
      <c r="H152" s="3" t="s">
        <v>35</v>
      </c>
      <c r="I152" s="6">
        <v>44562</v>
      </c>
      <c r="J152" s="4">
        <v>0</v>
      </c>
      <c r="K152" s="4">
        <v>0</v>
      </c>
      <c r="L152" s="4">
        <v>593.84</v>
      </c>
      <c r="M152" s="4">
        <v>59.384</v>
      </c>
      <c r="N152" s="4">
        <v>593.84</v>
      </c>
      <c r="O152" s="4">
        <v>59.384</v>
      </c>
      <c r="P152" s="4">
        <v>0</v>
      </c>
      <c r="Q152" s="3" t="s">
        <v>26</v>
      </c>
      <c r="R152" s="3">
        <v>0</v>
      </c>
      <c r="S152" s="4">
        <v>0</v>
      </c>
      <c r="T152" s="4">
        <v>6</v>
      </c>
      <c r="U152" s="4">
        <v>87</v>
      </c>
      <c r="V152" s="4">
        <f>IF(ISERROR(VLOOKUP($S$152,'TAR FIN'!$A$1:$O$113,15,0)),0,VLOOKUP($S$152,'TAR FIN'!$A$1:$O$113,15,0))</f>
        <v>0</v>
      </c>
      <c r="W152" s="4">
        <f>IF(ISERROR(VLOOKUP($T$152,'TAR FIN'!$A$1:$O$113,15,0)),0,VLOOKUP($T$152,'TAR FIN'!$A$1:$O$113,15,0))</f>
        <v>35.86</v>
      </c>
      <c r="X152" s="4">
        <f>IF(ISERROR(VLOOKUP($U$152,'TAR FIN'!$A$1:$O$113,15,0)),0,VLOOKUP($U$152,'TAR FIN'!$A$1:$O$113,15,0))</f>
        <v>222.31</v>
      </c>
      <c r="Y152" s="4">
        <f ca="1">('TUSD BE'!$AM$6+'TUSD BF'!$AM$6+'TUSD CVA'!$AM$6)*1</f>
        <v>10.94172345363083</v>
      </c>
      <c r="Z152" s="4">
        <f ca="1">('TUSD BE'!$AM$7+'TUSD BF'!$AM$7+'TUSD CVA'!$AM$7)*1</f>
        <v>45.946048451030222</v>
      </c>
      <c r="AA152" s="4">
        <f>('TE BE'!$AA$6+'TE BF'!$AA$6+'TE CVA'!$AA$6)*1</f>
        <v>223.14561812044704</v>
      </c>
      <c r="AB152" s="4">
        <f>$K$152*$V$152</f>
        <v>0</v>
      </c>
      <c r="AC152" s="4">
        <f>$M$152*$W$152</f>
        <v>2129.5102400000001</v>
      </c>
      <c r="AD152" s="4">
        <f>$O$152*$X$152</f>
        <v>13201.65704</v>
      </c>
      <c r="AE152" s="4">
        <f ca="1">$K$152*$Y$152</f>
        <v>0</v>
      </c>
      <c r="AF152" s="4">
        <f ca="1">$M$152*$Z$152</f>
        <v>2728.4601412159786</v>
      </c>
      <c r="AG152" s="4">
        <f>$O$152*$AA$152</f>
        <v>13251.279386464626</v>
      </c>
    </row>
    <row r="153" spans="1:33" ht="11.25" customHeight="1" x14ac:dyDescent="0.25">
      <c r="A153" s="3" t="s">
        <v>21</v>
      </c>
      <c r="B153" s="3" t="s">
        <v>39</v>
      </c>
      <c r="C153" s="3" t="s">
        <v>40</v>
      </c>
      <c r="D153" s="3" t="s">
        <v>45</v>
      </c>
      <c r="E153" s="3" t="s">
        <v>53</v>
      </c>
      <c r="F153" s="3" t="s">
        <v>55</v>
      </c>
      <c r="G153" s="3" t="s">
        <v>25</v>
      </c>
      <c r="H153" s="3" t="s">
        <v>35</v>
      </c>
      <c r="I153" s="6">
        <v>44593</v>
      </c>
      <c r="J153" s="4">
        <v>0</v>
      </c>
      <c r="K153" s="4">
        <v>0</v>
      </c>
      <c r="L153" s="4">
        <v>1122.606</v>
      </c>
      <c r="M153" s="4">
        <v>112.2606</v>
      </c>
      <c r="N153" s="4">
        <v>1122.606</v>
      </c>
      <c r="O153" s="4">
        <v>112.2606</v>
      </c>
      <c r="P153" s="4">
        <v>0</v>
      </c>
      <c r="Q153" s="3" t="s">
        <v>26</v>
      </c>
      <c r="R153" s="3">
        <v>0</v>
      </c>
      <c r="S153" s="4">
        <v>0</v>
      </c>
      <c r="T153" s="4">
        <v>6</v>
      </c>
      <c r="U153" s="4">
        <v>87</v>
      </c>
      <c r="V153" s="4">
        <f>IF(ISERROR(VLOOKUP($S$153,'TAR FIN'!$A$1:$O$113,15,0)),0,VLOOKUP($S$153,'TAR FIN'!$A$1:$O$113,15,0))</f>
        <v>0</v>
      </c>
      <c r="W153" s="4">
        <f>IF(ISERROR(VLOOKUP($T$153,'TAR FIN'!$A$1:$O$113,15,0)),0,VLOOKUP($T$153,'TAR FIN'!$A$1:$O$113,15,0))</f>
        <v>35.86</v>
      </c>
      <c r="X153" s="4">
        <f>IF(ISERROR(VLOOKUP($U$153,'TAR FIN'!$A$1:$O$113,15,0)),0,VLOOKUP($U$153,'TAR FIN'!$A$1:$O$113,15,0))</f>
        <v>222.31</v>
      </c>
      <c r="Y153" s="4">
        <f ca="1">('TUSD BE'!$AM$6+'TUSD BF'!$AM$6+'TUSD CVA'!$AM$6)*1</f>
        <v>10.94172345363083</v>
      </c>
      <c r="Z153" s="4">
        <f ca="1">('TUSD BE'!$AM$7+'TUSD BF'!$AM$7+'TUSD CVA'!$AM$7)*1</f>
        <v>45.946048451030222</v>
      </c>
      <c r="AA153" s="4">
        <f>('TE BE'!$AA$6+'TE BF'!$AA$6+'TE CVA'!$AA$6)*1</f>
        <v>223.14561812044704</v>
      </c>
      <c r="AB153" s="4">
        <f>$K$153*$V$153</f>
        <v>0</v>
      </c>
      <c r="AC153" s="4">
        <f>$M$153*$W$153</f>
        <v>4025.6651159999997</v>
      </c>
      <c r="AD153" s="4">
        <f>$O$153*$X$153</f>
        <v>24956.653986000001</v>
      </c>
      <c r="AE153" s="4">
        <f ca="1">$K$153*$Y$153</f>
        <v>0</v>
      </c>
      <c r="AF153" s="4">
        <f ca="1">$M$153*$Z$153</f>
        <v>5157.9309667417228</v>
      </c>
      <c r="AG153" s="4">
        <f>$O$153*$AA$153</f>
        <v>25050.460977572257</v>
      </c>
    </row>
    <row r="154" spans="1:33" ht="11.25" customHeight="1" x14ac:dyDescent="0.25">
      <c r="A154" s="3" t="s">
        <v>56</v>
      </c>
      <c r="B154" s="3" t="s">
        <v>39</v>
      </c>
      <c r="C154" s="3" t="s">
        <v>40</v>
      </c>
      <c r="D154" s="3" t="s">
        <v>45</v>
      </c>
      <c r="E154" s="3" t="s">
        <v>53</v>
      </c>
      <c r="F154" s="3" t="s">
        <v>55</v>
      </c>
      <c r="G154" s="3" t="s">
        <v>25</v>
      </c>
      <c r="H154" s="3" t="s">
        <v>35</v>
      </c>
      <c r="I154" s="6">
        <v>44621</v>
      </c>
      <c r="J154" s="4">
        <v>0</v>
      </c>
      <c r="K154" s="4">
        <v>0</v>
      </c>
      <c r="L154" s="4">
        <v>1122.606</v>
      </c>
      <c r="M154" s="4">
        <v>112.2606</v>
      </c>
      <c r="N154" s="4">
        <v>1122.606</v>
      </c>
      <c r="O154" s="4">
        <v>112.2606</v>
      </c>
      <c r="P154" s="4">
        <v>0</v>
      </c>
      <c r="Q154" s="3" t="s">
        <v>26</v>
      </c>
      <c r="R154" s="3">
        <v>0</v>
      </c>
      <c r="S154" s="4">
        <v>0</v>
      </c>
      <c r="T154" s="4">
        <v>6</v>
      </c>
      <c r="U154" s="4">
        <v>87</v>
      </c>
      <c r="V154" s="4">
        <f>IF(ISERROR(VLOOKUP($S$154,'TAR FIN'!$A$1:$O$113,15,0)),0,VLOOKUP($S$154,'TAR FIN'!$A$1:$O$113,15,0))</f>
        <v>0</v>
      </c>
      <c r="W154" s="4">
        <f>IF(ISERROR(VLOOKUP($T$154,'TAR FIN'!$A$1:$O$113,15,0)),0,VLOOKUP($T$154,'TAR FIN'!$A$1:$O$113,15,0))</f>
        <v>35.86</v>
      </c>
      <c r="X154" s="4">
        <f>IF(ISERROR(VLOOKUP($U$154,'TAR FIN'!$A$1:$O$113,15,0)),0,VLOOKUP($U$154,'TAR FIN'!$A$1:$O$113,15,0))</f>
        <v>222.31</v>
      </c>
      <c r="Y154" s="4">
        <f ca="1">('TUSD BE'!$AM$6+'TUSD BF'!$AM$6+'TUSD CVA'!$AM$6)*1</f>
        <v>10.94172345363083</v>
      </c>
      <c r="Z154" s="4">
        <f ca="1">('TUSD BE'!$AM$7+'TUSD BF'!$AM$7+'TUSD CVA'!$AM$7)*1</f>
        <v>45.946048451030222</v>
      </c>
      <c r="AA154" s="4">
        <f>('TE BE'!$AA$6+'TE BF'!$AA$6+'TE CVA'!$AA$6)*1</f>
        <v>223.14561812044704</v>
      </c>
      <c r="AB154" s="4">
        <f>$K$154*$V$154</f>
        <v>0</v>
      </c>
      <c r="AC154" s="4">
        <f>$M$154*$W$154</f>
        <v>4025.6651159999997</v>
      </c>
      <c r="AD154" s="4">
        <f>$O$154*$X$154</f>
        <v>24956.653986000001</v>
      </c>
      <c r="AE154" s="4">
        <f ca="1">$K$154*$Y$154</f>
        <v>0</v>
      </c>
      <c r="AF154" s="4">
        <f ca="1">$M$154*$Z$154</f>
        <v>5157.9309667417228</v>
      </c>
      <c r="AG154" s="4">
        <f>$O$154*$AA$154</f>
        <v>25050.460977572257</v>
      </c>
    </row>
    <row r="155" spans="1:33" ht="11.25" customHeight="1" x14ac:dyDescent="0.25">
      <c r="A155" s="3" t="s">
        <v>21</v>
      </c>
      <c r="B155" s="3" t="s">
        <v>39</v>
      </c>
      <c r="C155" s="3" t="s">
        <v>40</v>
      </c>
      <c r="D155" s="3" t="s">
        <v>45</v>
      </c>
      <c r="E155" s="3" t="s">
        <v>53</v>
      </c>
      <c r="F155" s="3" t="s">
        <v>25</v>
      </c>
      <c r="G155" s="3" t="s">
        <v>25</v>
      </c>
      <c r="H155" s="3" t="s">
        <v>35</v>
      </c>
      <c r="I155" s="6">
        <v>44287</v>
      </c>
      <c r="J155" s="4">
        <v>3768</v>
      </c>
      <c r="K155" s="56">
        <v>3768</v>
      </c>
      <c r="L155" s="4">
        <v>434.34</v>
      </c>
      <c r="M155" s="56">
        <v>434.34</v>
      </c>
      <c r="N155" s="4">
        <v>434.34</v>
      </c>
      <c r="O155" s="56">
        <v>434.34</v>
      </c>
      <c r="P155" s="4">
        <v>0</v>
      </c>
      <c r="Q155" s="3" t="s">
        <v>26</v>
      </c>
      <c r="R155" s="3">
        <v>0</v>
      </c>
      <c r="S155" s="4">
        <v>5</v>
      </c>
      <c r="T155" s="4">
        <v>6</v>
      </c>
      <c r="U155" s="4">
        <v>87</v>
      </c>
      <c r="V155" s="56">
        <f>IF(ISERROR(VLOOKUP($S$155,'TAR FIN'!$A$1:$O$113,15,0)),0,VLOOKUP($S$155,'TAR FIN'!$A$1:$O$113,15,0))*(1-0.04)</f>
        <v>11.1264</v>
      </c>
      <c r="W155" s="56">
        <f>IF(ISERROR(VLOOKUP($T$155,'TAR FIN'!$A$1:$O$113,15,0)),0,VLOOKUP($T$155,'TAR FIN'!$A$1:$O$113,15,0))*(1-0.04)</f>
        <v>34.425599999999996</v>
      </c>
      <c r="X155" s="56">
        <f>IF(ISERROR(VLOOKUP($U$155,'TAR FIN'!$A$1:$O$113,15,0)),0,VLOOKUP($U$155,'TAR FIN'!$A$1:$O$113,15,0))*(1-0.04)</f>
        <v>213.41759999999999</v>
      </c>
      <c r="Y155" s="56">
        <f ca="1">('TUSD BE'!$AM$6+'TUSD BF'!$AM$6+'TUSD CVA'!$AM$6)*1*(1-0.02)</f>
        <v>10.722888984558214</v>
      </c>
      <c r="Z155" s="56">
        <f ca="1">('TUSD BE'!$AM$7+'TUSD BF'!$AM$7+'TUSD CVA'!$AM$7)*1*(1-0.02)</f>
        <v>45.027127482009618</v>
      </c>
      <c r="AA155" s="56">
        <f>('TE BE'!$AA$6+'TE BF'!$AA$6+'TE CVA'!$AA$6)*1*(1-0.02)</f>
        <v>218.68270575803808</v>
      </c>
      <c r="AB155" s="4">
        <f>$K$155*$V$155</f>
        <v>41924.275200000004</v>
      </c>
      <c r="AC155" s="4">
        <f>$M$155*$W$155</f>
        <v>14952.415103999998</v>
      </c>
      <c r="AD155" s="4">
        <f>$O$155*$X$155</f>
        <v>92695.800383999987</v>
      </c>
      <c r="AE155" s="4">
        <f ca="1">$K$155*$Y$155</f>
        <v>40403.845693815347</v>
      </c>
      <c r="AF155" s="4">
        <f ca="1">$M$155*$Z$155</f>
        <v>19557.082550536055</v>
      </c>
      <c r="AG155" s="4">
        <f>$O$155*$AA$155</f>
        <v>94982.646418946257</v>
      </c>
    </row>
    <row r="156" spans="1:33" ht="11.25" customHeight="1" x14ac:dyDescent="0.25">
      <c r="A156" s="3" t="s">
        <v>21</v>
      </c>
      <c r="B156" s="3" t="s">
        <v>39</v>
      </c>
      <c r="C156" s="3" t="s">
        <v>40</v>
      </c>
      <c r="D156" s="3" t="s">
        <v>45</v>
      </c>
      <c r="E156" s="3" t="s">
        <v>53</v>
      </c>
      <c r="F156" s="3" t="s">
        <v>25</v>
      </c>
      <c r="G156" s="3" t="s">
        <v>25</v>
      </c>
      <c r="H156" s="3" t="s">
        <v>35</v>
      </c>
      <c r="I156" s="6">
        <v>44317</v>
      </c>
      <c r="J156" s="4">
        <v>1056</v>
      </c>
      <c r="K156" s="56">
        <v>1056</v>
      </c>
      <c r="L156" s="4">
        <v>10.164</v>
      </c>
      <c r="M156" s="56">
        <v>10.164</v>
      </c>
      <c r="N156" s="4">
        <v>10.164</v>
      </c>
      <c r="O156" s="56">
        <v>10.164</v>
      </c>
      <c r="P156" s="4">
        <v>0</v>
      </c>
      <c r="Q156" s="3" t="s">
        <v>26</v>
      </c>
      <c r="R156" s="3">
        <v>0</v>
      </c>
      <c r="S156" s="4">
        <v>5</v>
      </c>
      <c r="T156" s="4">
        <v>6</v>
      </c>
      <c r="U156" s="4">
        <v>87</v>
      </c>
      <c r="V156" s="56">
        <f>IF(ISERROR(VLOOKUP($S$156,'TAR FIN'!$A$1:$O$113,15,0)),0,VLOOKUP($S$156,'TAR FIN'!$A$1:$O$113,15,0))*(1-0.04)</f>
        <v>11.1264</v>
      </c>
      <c r="W156" s="56">
        <f>IF(ISERROR(VLOOKUP($T$156,'TAR FIN'!$A$1:$O$113,15,0)),0,VLOOKUP($T$156,'TAR FIN'!$A$1:$O$113,15,0))*(1-0.04)</f>
        <v>34.425599999999996</v>
      </c>
      <c r="X156" s="56">
        <f>IF(ISERROR(VLOOKUP($U$156,'TAR FIN'!$A$1:$O$113,15,0)),0,VLOOKUP($U$156,'TAR FIN'!$A$1:$O$113,15,0))*(1-0.04)</f>
        <v>213.41759999999999</v>
      </c>
      <c r="Y156" s="56">
        <f ca="1">('TUSD BE'!$AM$6+'TUSD BF'!$AM$6+'TUSD CVA'!$AM$6)*1*(1-0.02)</f>
        <v>10.722888984558214</v>
      </c>
      <c r="Z156" s="56">
        <f ca="1">('TUSD BE'!$AM$7+'TUSD BF'!$AM$7+'TUSD CVA'!$AM$7)*1*(1-0.02)</f>
        <v>45.027127482009618</v>
      </c>
      <c r="AA156" s="56">
        <f>('TE BE'!$AA$6+'TE BF'!$AA$6+'TE CVA'!$AA$6)*1*(1-0.02)</f>
        <v>218.68270575803808</v>
      </c>
      <c r="AB156" s="4">
        <f>$K$156*$V$156</f>
        <v>11749.4784</v>
      </c>
      <c r="AC156" s="4">
        <f>$M$156*$W$156</f>
        <v>349.90179839999996</v>
      </c>
      <c r="AD156" s="4">
        <f>$O$156*$X$156</f>
        <v>2169.1764863999997</v>
      </c>
      <c r="AE156" s="4">
        <f ca="1">$K$156*$Y$156</f>
        <v>11323.370767693474</v>
      </c>
      <c r="AF156" s="4">
        <f ca="1">$M$156*$Z$156</f>
        <v>457.65572372714576</v>
      </c>
      <c r="AG156" s="4">
        <f>$O$156*$AA$156</f>
        <v>2222.6910213246988</v>
      </c>
    </row>
    <row r="157" spans="1:33" ht="11.25" customHeight="1" x14ac:dyDescent="0.25">
      <c r="A157" s="3" t="s">
        <v>21</v>
      </c>
      <c r="B157" s="3" t="s">
        <v>39</v>
      </c>
      <c r="C157" s="3" t="s">
        <v>40</v>
      </c>
      <c r="D157" s="3" t="s">
        <v>45</v>
      </c>
      <c r="E157" s="3" t="s">
        <v>53</v>
      </c>
      <c r="F157" s="3" t="s">
        <v>25</v>
      </c>
      <c r="G157" s="3" t="s">
        <v>25</v>
      </c>
      <c r="H157" s="3" t="s">
        <v>35</v>
      </c>
      <c r="I157" s="6">
        <v>44348</v>
      </c>
      <c r="J157" s="4">
        <v>1032</v>
      </c>
      <c r="K157" s="56">
        <v>1032</v>
      </c>
      <c r="L157" s="4">
        <v>8.5500000000000007</v>
      </c>
      <c r="M157" s="56">
        <v>8.5500000000000007</v>
      </c>
      <c r="N157" s="4">
        <v>8.5500000000000007</v>
      </c>
      <c r="O157" s="56">
        <v>8.5500000000000007</v>
      </c>
      <c r="P157" s="4">
        <v>0</v>
      </c>
      <c r="Q157" s="3" t="s">
        <v>26</v>
      </c>
      <c r="R157" s="3">
        <v>0</v>
      </c>
      <c r="S157" s="4">
        <v>5</v>
      </c>
      <c r="T157" s="4">
        <v>6</v>
      </c>
      <c r="U157" s="4">
        <v>87</v>
      </c>
      <c r="V157" s="56">
        <f>IF(ISERROR(VLOOKUP($S$157,'TAR FIN'!$A$1:$O$113,15,0)),0,VLOOKUP($S$157,'TAR FIN'!$A$1:$O$113,15,0))*(1-0.04)</f>
        <v>11.1264</v>
      </c>
      <c r="W157" s="56">
        <f>IF(ISERROR(VLOOKUP($T$157,'TAR FIN'!$A$1:$O$113,15,0)),0,VLOOKUP($T$157,'TAR FIN'!$A$1:$O$113,15,0))*(1-0.04)</f>
        <v>34.425599999999996</v>
      </c>
      <c r="X157" s="56">
        <f>IF(ISERROR(VLOOKUP($U$157,'TAR FIN'!$A$1:$O$113,15,0)),0,VLOOKUP($U$157,'TAR FIN'!$A$1:$O$113,15,0))*(1-0.04)</f>
        <v>213.41759999999999</v>
      </c>
      <c r="Y157" s="56">
        <f ca="1">('TUSD BE'!$AM$6+'TUSD BF'!$AM$6+'TUSD CVA'!$AM$6)*1*(1-0.02)</f>
        <v>10.722888984558214</v>
      </c>
      <c r="Z157" s="56">
        <f ca="1">('TUSD BE'!$AM$7+'TUSD BF'!$AM$7+'TUSD CVA'!$AM$7)*1*(1-0.02)</f>
        <v>45.027127482009618</v>
      </c>
      <c r="AA157" s="56">
        <f>('TE BE'!$AA$6+'TE BF'!$AA$6+'TE CVA'!$AA$6)*1*(1-0.02)</f>
        <v>218.68270575803808</v>
      </c>
      <c r="AB157" s="4">
        <f>$K$157*$V$157</f>
        <v>11482.444800000001</v>
      </c>
      <c r="AC157" s="4">
        <f>$M$157*$W$157</f>
        <v>294.33887999999996</v>
      </c>
      <c r="AD157" s="4">
        <f>$O$157*$X$157</f>
        <v>1824.7204800000002</v>
      </c>
      <c r="AE157" s="4">
        <f ca="1">$K$157*$Y$157</f>
        <v>11066.021432064077</v>
      </c>
      <c r="AF157" s="4">
        <f ca="1">$M$157*$Z$157</f>
        <v>384.98193997118227</v>
      </c>
      <c r="AG157" s="4">
        <f>$O$157*$AA$157</f>
        <v>1869.7371342312258</v>
      </c>
    </row>
    <row r="158" spans="1:33" ht="11.25" customHeight="1" x14ac:dyDescent="0.25">
      <c r="A158" s="3" t="s">
        <v>21</v>
      </c>
      <c r="B158" s="3" t="s">
        <v>39</v>
      </c>
      <c r="C158" s="3" t="s">
        <v>40</v>
      </c>
      <c r="D158" s="3" t="s">
        <v>45</v>
      </c>
      <c r="E158" s="3" t="s">
        <v>53</v>
      </c>
      <c r="F158" s="3" t="s">
        <v>25</v>
      </c>
      <c r="G158" s="3" t="s">
        <v>25</v>
      </c>
      <c r="H158" s="3" t="s">
        <v>35</v>
      </c>
      <c r="I158" s="6">
        <v>44378</v>
      </c>
      <c r="J158" s="4">
        <v>1056</v>
      </c>
      <c r="K158" s="56">
        <v>1056</v>
      </c>
      <c r="L158" s="4">
        <v>8.8260000000000005</v>
      </c>
      <c r="M158" s="56">
        <v>8.8260000000000005</v>
      </c>
      <c r="N158" s="4">
        <v>8.8260000000000005</v>
      </c>
      <c r="O158" s="56">
        <v>8.8260000000000005</v>
      </c>
      <c r="P158" s="4">
        <v>0</v>
      </c>
      <c r="Q158" s="3" t="s">
        <v>26</v>
      </c>
      <c r="R158" s="3">
        <v>0</v>
      </c>
      <c r="S158" s="4">
        <v>5</v>
      </c>
      <c r="T158" s="4">
        <v>6</v>
      </c>
      <c r="U158" s="4">
        <v>87</v>
      </c>
      <c r="V158" s="56">
        <f>IF(ISERROR(VLOOKUP($S$158,'TAR FIN'!$A$1:$O$113,15,0)),0,VLOOKUP($S$158,'TAR FIN'!$A$1:$O$113,15,0))*(1-0.04)</f>
        <v>11.1264</v>
      </c>
      <c r="W158" s="56">
        <f>IF(ISERROR(VLOOKUP($T$158,'TAR FIN'!$A$1:$O$113,15,0)),0,VLOOKUP($T$158,'TAR FIN'!$A$1:$O$113,15,0))*(1-0.04)</f>
        <v>34.425599999999996</v>
      </c>
      <c r="X158" s="56">
        <f>IF(ISERROR(VLOOKUP($U$158,'TAR FIN'!$A$1:$O$113,15,0)),0,VLOOKUP($U$158,'TAR FIN'!$A$1:$O$113,15,0))*(1-0.04)</f>
        <v>213.41759999999999</v>
      </c>
      <c r="Y158" s="56">
        <f ca="1">('TUSD BE'!$AM$6+'TUSD BF'!$AM$6+'TUSD CVA'!$AM$6)*1*(1-0.02)</f>
        <v>10.722888984558214</v>
      </c>
      <c r="Z158" s="56">
        <f ca="1">('TUSD BE'!$AM$7+'TUSD BF'!$AM$7+'TUSD CVA'!$AM$7)*1*(1-0.02)</f>
        <v>45.027127482009618</v>
      </c>
      <c r="AA158" s="56">
        <f>('TE BE'!$AA$6+'TE BF'!$AA$6+'TE CVA'!$AA$6)*1*(1-0.02)</f>
        <v>218.68270575803808</v>
      </c>
      <c r="AB158" s="4">
        <f>$K$158*$V$158</f>
        <v>11749.4784</v>
      </c>
      <c r="AC158" s="4">
        <f>$M$158*$W$158</f>
        <v>303.84034559999998</v>
      </c>
      <c r="AD158" s="4">
        <f>$O$158*$X$158</f>
        <v>1883.6237376000001</v>
      </c>
      <c r="AE158" s="4">
        <f ca="1">$K$158*$Y$158</f>
        <v>11323.370767693474</v>
      </c>
      <c r="AF158" s="4">
        <f ca="1">$M$158*$Z$158</f>
        <v>397.40942715621691</v>
      </c>
      <c r="AG158" s="4">
        <f>$O$158*$AA$158</f>
        <v>1930.0935610204442</v>
      </c>
    </row>
    <row r="159" spans="1:33" ht="11.25" customHeight="1" x14ac:dyDescent="0.25">
      <c r="A159" s="3" t="s">
        <v>21</v>
      </c>
      <c r="B159" s="3" t="s">
        <v>39</v>
      </c>
      <c r="C159" s="3" t="s">
        <v>40</v>
      </c>
      <c r="D159" s="3" t="s">
        <v>45</v>
      </c>
      <c r="E159" s="3" t="s">
        <v>53</v>
      </c>
      <c r="F159" s="3" t="s">
        <v>25</v>
      </c>
      <c r="G159" s="3" t="s">
        <v>25</v>
      </c>
      <c r="H159" s="3" t="s">
        <v>35</v>
      </c>
      <c r="I159" s="6">
        <v>44409</v>
      </c>
      <c r="J159" s="4">
        <v>1056</v>
      </c>
      <c r="K159" s="56">
        <v>1056</v>
      </c>
      <c r="L159" s="4">
        <v>8.34</v>
      </c>
      <c r="M159" s="56">
        <v>8.34</v>
      </c>
      <c r="N159" s="4">
        <v>8.34</v>
      </c>
      <c r="O159" s="56">
        <v>8.34</v>
      </c>
      <c r="P159" s="4">
        <v>0</v>
      </c>
      <c r="Q159" s="3" t="s">
        <v>26</v>
      </c>
      <c r="R159" s="3">
        <v>0</v>
      </c>
      <c r="S159" s="4">
        <v>5</v>
      </c>
      <c r="T159" s="4">
        <v>6</v>
      </c>
      <c r="U159" s="4">
        <v>87</v>
      </c>
      <c r="V159" s="56">
        <f>IF(ISERROR(VLOOKUP($S$159,'TAR FIN'!$A$1:$O$113,15,0)),0,VLOOKUP($S$159,'TAR FIN'!$A$1:$O$113,15,0))*(1-0.04)</f>
        <v>11.1264</v>
      </c>
      <c r="W159" s="56">
        <f>IF(ISERROR(VLOOKUP($T$159,'TAR FIN'!$A$1:$O$113,15,0)),0,VLOOKUP($T$159,'TAR FIN'!$A$1:$O$113,15,0))*(1-0.04)</f>
        <v>34.425599999999996</v>
      </c>
      <c r="X159" s="56">
        <f>IF(ISERROR(VLOOKUP($U$159,'TAR FIN'!$A$1:$O$113,15,0)),0,VLOOKUP($U$159,'TAR FIN'!$A$1:$O$113,15,0))*(1-0.04)</f>
        <v>213.41759999999999</v>
      </c>
      <c r="Y159" s="56">
        <f ca="1">('TUSD BE'!$AM$6+'TUSD BF'!$AM$6+'TUSD CVA'!$AM$6)*1*(1-0.02)</f>
        <v>10.722888984558214</v>
      </c>
      <c r="Z159" s="56">
        <f ca="1">('TUSD BE'!$AM$7+'TUSD BF'!$AM$7+'TUSD CVA'!$AM$7)*1*(1-0.02)</f>
        <v>45.027127482009618</v>
      </c>
      <c r="AA159" s="56">
        <f>('TE BE'!$AA$6+'TE BF'!$AA$6+'TE CVA'!$AA$6)*1*(1-0.02)</f>
        <v>218.68270575803808</v>
      </c>
      <c r="AB159" s="4">
        <f>$K$159*$V$159</f>
        <v>11749.4784</v>
      </c>
      <c r="AC159" s="4">
        <f>$M$159*$W$159</f>
        <v>287.10950399999996</v>
      </c>
      <c r="AD159" s="4">
        <f>$O$159*$X$159</f>
        <v>1779.9027839999999</v>
      </c>
      <c r="AE159" s="4">
        <f ca="1">$K$159*$Y$159</f>
        <v>11323.370767693474</v>
      </c>
      <c r="AF159" s="4">
        <f ca="1">$M$159*$Z$159</f>
        <v>375.52624319996022</v>
      </c>
      <c r="AG159" s="4">
        <f>$O$159*$AA$159</f>
        <v>1823.8137660220375</v>
      </c>
    </row>
    <row r="160" spans="1:33" ht="11.25" customHeight="1" x14ac:dyDescent="0.25">
      <c r="A160" s="3" t="s">
        <v>21</v>
      </c>
      <c r="B160" s="3" t="s">
        <v>39</v>
      </c>
      <c r="C160" s="3" t="s">
        <v>40</v>
      </c>
      <c r="D160" s="3" t="s">
        <v>45</v>
      </c>
      <c r="E160" s="3" t="s">
        <v>53</v>
      </c>
      <c r="F160" s="3" t="s">
        <v>25</v>
      </c>
      <c r="G160" s="3" t="s">
        <v>25</v>
      </c>
      <c r="H160" s="3" t="s">
        <v>35</v>
      </c>
      <c r="I160" s="6">
        <v>44440</v>
      </c>
      <c r="J160" s="4">
        <v>3000</v>
      </c>
      <c r="K160" s="56">
        <v>3000</v>
      </c>
      <c r="L160" s="4">
        <v>296.262</v>
      </c>
      <c r="M160" s="56">
        <v>296.262</v>
      </c>
      <c r="N160" s="4">
        <v>296.262</v>
      </c>
      <c r="O160" s="56">
        <v>296.262</v>
      </c>
      <c r="P160" s="4">
        <v>0</v>
      </c>
      <c r="Q160" s="3" t="s">
        <v>26</v>
      </c>
      <c r="R160" s="3">
        <v>0</v>
      </c>
      <c r="S160" s="4">
        <v>5</v>
      </c>
      <c r="T160" s="4">
        <v>6</v>
      </c>
      <c r="U160" s="4">
        <v>87</v>
      </c>
      <c r="V160" s="56">
        <f>IF(ISERROR(VLOOKUP($S$160,'TAR FIN'!$A$1:$O$113,15,0)),0,VLOOKUP($S$160,'TAR FIN'!$A$1:$O$113,15,0))*(1-0.04)</f>
        <v>11.1264</v>
      </c>
      <c r="W160" s="56">
        <f>IF(ISERROR(VLOOKUP($T$160,'TAR FIN'!$A$1:$O$113,15,0)),0,VLOOKUP($T$160,'TAR FIN'!$A$1:$O$113,15,0))*(1-0.04)</f>
        <v>34.425599999999996</v>
      </c>
      <c r="X160" s="56">
        <f>IF(ISERROR(VLOOKUP($U$160,'TAR FIN'!$A$1:$O$113,15,0)),0,VLOOKUP($U$160,'TAR FIN'!$A$1:$O$113,15,0))*(1-0.04)</f>
        <v>213.41759999999999</v>
      </c>
      <c r="Y160" s="56">
        <f ca="1">('TUSD BE'!$AM$6+'TUSD BF'!$AM$6+'TUSD CVA'!$AM$6)*1*(1-0.02)</f>
        <v>10.722888984558214</v>
      </c>
      <c r="Z160" s="56">
        <f ca="1">('TUSD BE'!$AM$7+'TUSD BF'!$AM$7+'TUSD CVA'!$AM$7)*1*(1-0.02)</f>
        <v>45.027127482009618</v>
      </c>
      <c r="AA160" s="56">
        <f>('TE BE'!$AA$6+'TE BF'!$AA$6+'TE CVA'!$AA$6)*1*(1-0.02)</f>
        <v>218.68270575803808</v>
      </c>
      <c r="AB160" s="4">
        <f>$K$160*$V$160</f>
        <v>33379.200000000004</v>
      </c>
      <c r="AC160" s="4">
        <f>$M$160*$W$160</f>
        <v>10198.997107199999</v>
      </c>
      <c r="AD160" s="4">
        <f>$O$160*$X$160</f>
        <v>63227.525011199999</v>
      </c>
      <c r="AE160" s="4">
        <f ca="1">$K$160*$Y$160</f>
        <v>32168.666953674641</v>
      </c>
      <c r="AF160" s="4">
        <f ca="1">$M$160*$Z$160</f>
        <v>13339.826842075134</v>
      </c>
      <c r="AG160" s="4">
        <f>$O$160*$AA$160</f>
        <v>64787.37577328788</v>
      </c>
    </row>
    <row r="161" spans="1:33" ht="11.25" customHeight="1" x14ac:dyDescent="0.25">
      <c r="A161" s="3" t="s">
        <v>21</v>
      </c>
      <c r="B161" s="3" t="s">
        <v>39</v>
      </c>
      <c r="C161" s="3" t="s">
        <v>40</v>
      </c>
      <c r="D161" s="3" t="s">
        <v>45</v>
      </c>
      <c r="E161" s="3" t="s">
        <v>53</v>
      </c>
      <c r="F161" s="3" t="s">
        <v>25</v>
      </c>
      <c r="G161" s="3" t="s">
        <v>25</v>
      </c>
      <c r="H161" s="3" t="s">
        <v>35</v>
      </c>
      <c r="I161" s="6">
        <v>44470</v>
      </c>
      <c r="J161" s="4">
        <v>3792</v>
      </c>
      <c r="K161" s="56">
        <v>3792</v>
      </c>
      <c r="L161" s="4">
        <v>887.95799999999997</v>
      </c>
      <c r="M161" s="56">
        <v>887.95799999999997</v>
      </c>
      <c r="N161" s="4">
        <v>887.95799999999997</v>
      </c>
      <c r="O161" s="56">
        <v>887.95799999999997</v>
      </c>
      <c r="P161" s="4">
        <v>0</v>
      </c>
      <c r="Q161" s="3" t="s">
        <v>26</v>
      </c>
      <c r="R161" s="3">
        <v>0</v>
      </c>
      <c r="S161" s="4">
        <v>5</v>
      </c>
      <c r="T161" s="4">
        <v>6</v>
      </c>
      <c r="U161" s="4">
        <v>87</v>
      </c>
      <c r="V161" s="56">
        <f>IF(ISERROR(VLOOKUP($S$161,'TAR FIN'!$A$1:$O$113,15,0)),0,VLOOKUP($S$161,'TAR FIN'!$A$1:$O$113,15,0))*(1-0.04)</f>
        <v>11.1264</v>
      </c>
      <c r="W161" s="56">
        <f>IF(ISERROR(VLOOKUP($T$161,'TAR FIN'!$A$1:$O$113,15,0)),0,VLOOKUP($T$161,'TAR FIN'!$A$1:$O$113,15,0))*(1-0.04)</f>
        <v>34.425599999999996</v>
      </c>
      <c r="X161" s="56">
        <f>IF(ISERROR(VLOOKUP($U$161,'TAR FIN'!$A$1:$O$113,15,0)),0,VLOOKUP($U$161,'TAR FIN'!$A$1:$O$113,15,0))*(1-0.04)</f>
        <v>213.41759999999999</v>
      </c>
      <c r="Y161" s="56">
        <f ca="1">('TUSD BE'!$AM$6+'TUSD BF'!$AM$6+'TUSD CVA'!$AM$6)*1*(1-0.02)</f>
        <v>10.722888984558214</v>
      </c>
      <c r="Z161" s="56">
        <f ca="1">('TUSD BE'!$AM$7+'TUSD BF'!$AM$7+'TUSD CVA'!$AM$7)*1*(1-0.02)</f>
        <v>45.027127482009618</v>
      </c>
      <c r="AA161" s="56">
        <f>('TE BE'!$AA$6+'TE BF'!$AA$6+'TE CVA'!$AA$6)*1*(1-0.02)</f>
        <v>218.68270575803808</v>
      </c>
      <c r="AB161" s="4">
        <f>$K$161*$V$161</f>
        <v>42191.308799999999</v>
      </c>
      <c r="AC161" s="4">
        <f>$M$161*$W$161</f>
        <v>30568.486924799996</v>
      </c>
      <c r="AD161" s="4">
        <f>$O$161*$X$161</f>
        <v>189505.8652608</v>
      </c>
      <c r="AE161" s="4">
        <f ca="1">$K$161*$Y$161</f>
        <v>40661.195029444745</v>
      </c>
      <c r="AF161" s="4">
        <f ca="1">$M$161*$Z$161</f>
        <v>39982.198064670294</v>
      </c>
      <c r="AG161" s="4">
        <f>$O$161*$AA$161</f>
        <v>194181.05803949598</v>
      </c>
    </row>
    <row r="162" spans="1:33" ht="11.25" customHeight="1" x14ac:dyDescent="0.25">
      <c r="A162" s="3" t="s">
        <v>21</v>
      </c>
      <c r="B162" s="3" t="s">
        <v>39</v>
      </c>
      <c r="C162" s="3" t="s">
        <v>40</v>
      </c>
      <c r="D162" s="3" t="s">
        <v>45</v>
      </c>
      <c r="E162" s="3" t="s">
        <v>53</v>
      </c>
      <c r="F162" s="3" t="s">
        <v>25</v>
      </c>
      <c r="G162" s="3" t="s">
        <v>25</v>
      </c>
      <c r="H162" s="3" t="s">
        <v>35</v>
      </c>
      <c r="I162" s="6">
        <v>44501</v>
      </c>
      <c r="J162" s="4">
        <v>4536</v>
      </c>
      <c r="K162" s="56">
        <v>4536</v>
      </c>
      <c r="L162" s="4">
        <v>1033.596</v>
      </c>
      <c r="M162" s="56">
        <v>1033.596</v>
      </c>
      <c r="N162" s="4">
        <v>1033.596</v>
      </c>
      <c r="O162" s="56">
        <v>1033.596</v>
      </c>
      <c r="P162" s="4">
        <v>0</v>
      </c>
      <c r="Q162" s="3" t="s">
        <v>26</v>
      </c>
      <c r="R162" s="3">
        <v>0</v>
      </c>
      <c r="S162" s="4">
        <v>5</v>
      </c>
      <c r="T162" s="4">
        <v>6</v>
      </c>
      <c r="U162" s="4">
        <v>87</v>
      </c>
      <c r="V162" s="56">
        <f>IF(ISERROR(VLOOKUP($S$162,'TAR FIN'!$A$1:$O$113,15,0)),0,VLOOKUP($S$162,'TAR FIN'!$A$1:$O$113,15,0))*(1-0.04)</f>
        <v>11.1264</v>
      </c>
      <c r="W162" s="56">
        <f>IF(ISERROR(VLOOKUP($T$162,'TAR FIN'!$A$1:$O$113,15,0)),0,VLOOKUP($T$162,'TAR FIN'!$A$1:$O$113,15,0))*(1-0.04)</f>
        <v>34.425599999999996</v>
      </c>
      <c r="X162" s="56">
        <f>IF(ISERROR(VLOOKUP($U$162,'TAR FIN'!$A$1:$O$113,15,0)),0,VLOOKUP($U$162,'TAR FIN'!$A$1:$O$113,15,0))*(1-0.04)</f>
        <v>213.41759999999999</v>
      </c>
      <c r="Y162" s="56">
        <f ca="1">('TUSD BE'!$AM$6+'TUSD BF'!$AM$6+'TUSD CVA'!$AM$6)*1*(1-0.02)</f>
        <v>10.722888984558214</v>
      </c>
      <c r="Z162" s="56">
        <f ca="1">('TUSD BE'!$AM$7+'TUSD BF'!$AM$7+'TUSD CVA'!$AM$7)*1*(1-0.02)</f>
        <v>45.027127482009618</v>
      </c>
      <c r="AA162" s="56">
        <f>('TE BE'!$AA$6+'TE BF'!$AA$6+'TE CVA'!$AA$6)*1*(1-0.02)</f>
        <v>218.68270575803808</v>
      </c>
      <c r="AB162" s="4">
        <f>$K$162*$V$162</f>
        <v>50469.350400000003</v>
      </c>
      <c r="AC162" s="4">
        <f>$M$162*$W$162</f>
        <v>35582.162457599996</v>
      </c>
      <c r="AD162" s="4">
        <f>$O$162*$X$162</f>
        <v>220587.5776896</v>
      </c>
      <c r="AE162" s="4">
        <f ca="1">$K$162*$Y$162</f>
        <v>48639.02443395606</v>
      </c>
      <c r="AF162" s="4">
        <f ca="1">$M$162*$Z$162</f>
        <v>46539.858856895211</v>
      </c>
      <c r="AG162" s="4">
        <f>$O$162*$AA$162</f>
        <v>226029.56994068512</v>
      </c>
    </row>
    <row r="163" spans="1:33" ht="11.25" customHeight="1" x14ac:dyDescent="0.25">
      <c r="A163" s="3" t="s">
        <v>21</v>
      </c>
      <c r="B163" s="3" t="s">
        <v>39</v>
      </c>
      <c r="C163" s="3" t="s">
        <v>40</v>
      </c>
      <c r="D163" s="3" t="s">
        <v>45</v>
      </c>
      <c r="E163" s="3" t="s">
        <v>53</v>
      </c>
      <c r="F163" s="3" t="s">
        <v>25</v>
      </c>
      <c r="G163" s="3" t="s">
        <v>25</v>
      </c>
      <c r="H163" s="3" t="s">
        <v>35</v>
      </c>
      <c r="I163" s="6">
        <v>44531</v>
      </c>
      <c r="J163" s="4">
        <v>4560</v>
      </c>
      <c r="K163" s="56">
        <v>4560</v>
      </c>
      <c r="L163" s="4">
        <v>696.81</v>
      </c>
      <c r="M163" s="56">
        <v>696.81</v>
      </c>
      <c r="N163" s="4">
        <v>696.81</v>
      </c>
      <c r="O163" s="56">
        <v>696.81</v>
      </c>
      <c r="P163" s="4">
        <v>0</v>
      </c>
      <c r="Q163" s="3" t="s">
        <v>26</v>
      </c>
      <c r="R163" s="3">
        <v>0</v>
      </c>
      <c r="S163" s="4">
        <v>5</v>
      </c>
      <c r="T163" s="4">
        <v>6</v>
      </c>
      <c r="U163" s="4">
        <v>87</v>
      </c>
      <c r="V163" s="56">
        <f>IF(ISERROR(VLOOKUP($S$163,'TAR FIN'!$A$1:$O$113,15,0)),0,VLOOKUP($S$163,'TAR FIN'!$A$1:$O$113,15,0))*(1-0.04)</f>
        <v>11.1264</v>
      </c>
      <c r="W163" s="56">
        <f>IF(ISERROR(VLOOKUP($T$163,'TAR FIN'!$A$1:$O$113,15,0)),0,VLOOKUP($T$163,'TAR FIN'!$A$1:$O$113,15,0))*(1-0.04)</f>
        <v>34.425599999999996</v>
      </c>
      <c r="X163" s="56">
        <f>IF(ISERROR(VLOOKUP($U$163,'TAR FIN'!$A$1:$O$113,15,0)),0,VLOOKUP($U$163,'TAR FIN'!$A$1:$O$113,15,0))*(1-0.04)</f>
        <v>213.41759999999999</v>
      </c>
      <c r="Y163" s="56">
        <f ca="1">('TUSD BE'!$AM$6+'TUSD BF'!$AM$6+'TUSD CVA'!$AM$6)*1*(1-0.02)</f>
        <v>10.722888984558214</v>
      </c>
      <c r="Z163" s="56">
        <f ca="1">('TUSD BE'!$AM$7+'TUSD BF'!$AM$7+'TUSD CVA'!$AM$7)*1*(1-0.02)</f>
        <v>45.027127482009618</v>
      </c>
      <c r="AA163" s="56">
        <f>('TE BE'!$AA$6+'TE BF'!$AA$6+'TE CVA'!$AA$6)*1*(1-0.02)</f>
        <v>218.68270575803808</v>
      </c>
      <c r="AB163" s="4">
        <f>$K$163*$V$163</f>
        <v>50736.383999999998</v>
      </c>
      <c r="AC163" s="4">
        <f>$M$163*$W$163</f>
        <v>23988.102335999996</v>
      </c>
      <c r="AD163" s="4">
        <f>$O$163*$X$163</f>
        <v>148711.51785599999</v>
      </c>
      <c r="AE163" s="4">
        <f ca="1">$K$163*$Y$163</f>
        <v>48896.373769585458</v>
      </c>
      <c r="AF163" s="4">
        <f ca="1">$M$163*$Z$163</f>
        <v>31375.35270073912</v>
      </c>
      <c r="AG163" s="4">
        <f>$O$163*$AA$163</f>
        <v>152380.2961992585</v>
      </c>
    </row>
    <row r="164" spans="1:33" ht="11.25" customHeight="1" x14ac:dyDescent="0.25">
      <c r="A164" s="3" t="s">
        <v>21</v>
      </c>
      <c r="B164" s="3" t="s">
        <v>39</v>
      </c>
      <c r="C164" s="3" t="s">
        <v>40</v>
      </c>
      <c r="D164" s="3" t="s">
        <v>45</v>
      </c>
      <c r="E164" s="3" t="s">
        <v>53</v>
      </c>
      <c r="F164" s="3" t="s">
        <v>25</v>
      </c>
      <c r="G164" s="3" t="s">
        <v>25</v>
      </c>
      <c r="H164" s="3" t="s">
        <v>35</v>
      </c>
      <c r="I164" s="6">
        <v>44562</v>
      </c>
      <c r="J164" s="4">
        <v>453</v>
      </c>
      <c r="K164" s="56">
        <v>453</v>
      </c>
      <c r="L164" s="4">
        <v>518.57899999999995</v>
      </c>
      <c r="M164" s="56">
        <v>518.57899999999995</v>
      </c>
      <c r="N164" s="4">
        <v>518.57899999999995</v>
      </c>
      <c r="O164" s="56">
        <v>518.57899999999995</v>
      </c>
      <c r="P164" s="4">
        <v>0</v>
      </c>
      <c r="Q164" s="3" t="s">
        <v>26</v>
      </c>
      <c r="R164" s="3">
        <v>0</v>
      </c>
      <c r="S164" s="4">
        <v>5</v>
      </c>
      <c r="T164" s="4">
        <v>6</v>
      </c>
      <c r="U164" s="4">
        <v>87</v>
      </c>
      <c r="V164" s="56">
        <f>IF(ISERROR(VLOOKUP($S$164,'TAR FIN'!$A$1:$O$113,15,0)),0,VLOOKUP($S$164,'TAR FIN'!$A$1:$O$113,15,0))*(1-0.04)</f>
        <v>11.1264</v>
      </c>
      <c r="W164" s="56">
        <f>IF(ISERROR(VLOOKUP($T$164,'TAR FIN'!$A$1:$O$113,15,0)),0,VLOOKUP($T$164,'TAR FIN'!$A$1:$O$113,15,0))*(1-0.04)</f>
        <v>34.425599999999996</v>
      </c>
      <c r="X164" s="56">
        <f>IF(ISERROR(VLOOKUP($U$164,'TAR FIN'!$A$1:$O$113,15,0)),0,VLOOKUP($U$164,'TAR FIN'!$A$1:$O$113,15,0))*(1-0.04)</f>
        <v>213.41759999999999</v>
      </c>
      <c r="Y164" s="56">
        <f ca="1">('TUSD BE'!$AM$6+'TUSD BF'!$AM$6+'TUSD CVA'!$AM$6)*1*(1-0.02)</f>
        <v>10.722888984558214</v>
      </c>
      <c r="Z164" s="56">
        <f ca="1">('TUSD BE'!$AM$7+'TUSD BF'!$AM$7+'TUSD CVA'!$AM$7)*1*(1-0.02)</f>
        <v>45.027127482009618</v>
      </c>
      <c r="AA164" s="56">
        <f>('TE BE'!$AA$6+'TE BF'!$AA$6+'TE CVA'!$AA$6)*1*(1-0.02)</f>
        <v>218.68270575803808</v>
      </c>
      <c r="AB164" s="4">
        <f>$K$164*$V$164</f>
        <v>5040.2592000000004</v>
      </c>
      <c r="AC164" s="4">
        <f>$M$164*$W$164</f>
        <v>17852.393222399995</v>
      </c>
      <c r="AD164" s="4">
        <f>$O$164*$X$164</f>
        <v>110673.88559039998</v>
      </c>
      <c r="AE164" s="4">
        <f ca="1">$K$164*$Y$164</f>
        <v>4857.4687100048704</v>
      </c>
      <c r="AF164" s="4">
        <f ca="1">$M$164*$Z$164</f>
        <v>23350.122742493062</v>
      </c>
      <c r="AG164" s="4">
        <f>$O$164*$AA$164</f>
        <v>113404.25886929761</v>
      </c>
    </row>
    <row r="165" spans="1:33" ht="11.25" customHeight="1" x14ac:dyDescent="0.25">
      <c r="A165" s="3" t="s">
        <v>21</v>
      </c>
      <c r="B165" s="3" t="s">
        <v>39</v>
      </c>
      <c r="C165" s="3" t="s">
        <v>40</v>
      </c>
      <c r="D165" s="3" t="s">
        <v>45</v>
      </c>
      <c r="E165" s="3" t="s">
        <v>53</v>
      </c>
      <c r="F165" s="3" t="s">
        <v>25</v>
      </c>
      <c r="G165" s="3" t="s">
        <v>25</v>
      </c>
      <c r="H165" s="3" t="s">
        <v>35</v>
      </c>
      <c r="I165" s="6">
        <v>44593</v>
      </c>
      <c r="J165" s="4">
        <v>3816</v>
      </c>
      <c r="K165" s="56">
        <v>3816</v>
      </c>
      <c r="L165" s="4">
        <v>1235.4000000000001</v>
      </c>
      <c r="M165" s="56">
        <v>1235.4000000000001</v>
      </c>
      <c r="N165" s="4">
        <v>1235.4000000000001</v>
      </c>
      <c r="O165" s="56">
        <v>1235.4000000000001</v>
      </c>
      <c r="P165" s="4">
        <v>0</v>
      </c>
      <c r="Q165" s="3" t="s">
        <v>26</v>
      </c>
      <c r="R165" s="3">
        <v>0</v>
      </c>
      <c r="S165" s="4">
        <v>5</v>
      </c>
      <c r="T165" s="4">
        <v>6</v>
      </c>
      <c r="U165" s="4">
        <v>87</v>
      </c>
      <c r="V165" s="56">
        <f>IF(ISERROR(VLOOKUP($S$165,'TAR FIN'!$A$1:$O$113,15,0)),0,VLOOKUP($S$165,'TAR FIN'!$A$1:$O$113,15,0))*(1-0.04)</f>
        <v>11.1264</v>
      </c>
      <c r="W165" s="56">
        <f>IF(ISERROR(VLOOKUP($T$165,'TAR FIN'!$A$1:$O$113,15,0)),0,VLOOKUP($T$165,'TAR FIN'!$A$1:$O$113,15,0))*(1-0.04)</f>
        <v>34.425599999999996</v>
      </c>
      <c r="X165" s="56">
        <f>IF(ISERROR(VLOOKUP($U$165,'TAR FIN'!$A$1:$O$113,15,0)),0,VLOOKUP($U$165,'TAR FIN'!$A$1:$O$113,15,0))*(1-0.04)</f>
        <v>213.41759999999999</v>
      </c>
      <c r="Y165" s="56">
        <f ca="1">('TUSD BE'!$AM$6+'TUSD BF'!$AM$6+'TUSD CVA'!$AM$6)*1*(1-0.02)</f>
        <v>10.722888984558214</v>
      </c>
      <c r="Z165" s="56">
        <f ca="1">('TUSD BE'!$AM$7+'TUSD BF'!$AM$7+'TUSD CVA'!$AM$7)*1*(1-0.02)</f>
        <v>45.027127482009618</v>
      </c>
      <c r="AA165" s="56">
        <f>('TE BE'!$AA$6+'TE BF'!$AA$6+'TE CVA'!$AA$6)*1*(1-0.02)</f>
        <v>218.68270575803808</v>
      </c>
      <c r="AB165" s="4">
        <f>$K$165*$V$165</f>
        <v>42458.342400000001</v>
      </c>
      <c r="AC165" s="4">
        <f>$M$165*$W$165</f>
        <v>42529.38624</v>
      </c>
      <c r="AD165" s="4">
        <f>$O$165*$X$165</f>
        <v>263656.10304000002</v>
      </c>
      <c r="AE165" s="4">
        <f ca="1">$K$165*$Y$165</f>
        <v>40918.544365074144</v>
      </c>
      <c r="AF165" s="4">
        <f ca="1">$M$165*$Z$165</f>
        <v>55626.513291274685</v>
      </c>
      <c r="AG165" s="4">
        <f>$O$165*$AA$165</f>
        <v>270160.61469348025</v>
      </c>
    </row>
    <row r="166" spans="1:33" ht="11.25" customHeight="1" x14ac:dyDescent="0.25">
      <c r="A166" s="3" t="s">
        <v>56</v>
      </c>
      <c r="B166" s="3" t="s">
        <v>39</v>
      </c>
      <c r="C166" s="3" t="s">
        <v>40</v>
      </c>
      <c r="D166" s="3" t="s">
        <v>45</v>
      </c>
      <c r="E166" s="3" t="s">
        <v>53</v>
      </c>
      <c r="F166" s="3" t="s">
        <v>25</v>
      </c>
      <c r="G166" s="3" t="s">
        <v>25</v>
      </c>
      <c r="H166" s="3" t="s">
        <v>35</v>
      </c>
      <c r="I166" s="6">
        <v>44621</v>
      </c>
      <c r="J166" s="4">
        <v>3816</v>
      </c>
      <c r="K166" s="56">
        <v>3816</v>
      </c>
      <c r="L166" s="4">
        <v>1235.4000000000001</v>
      </c>
      <c r="M166" s="56">
        <v>1235.4000000000001</v>
      </c>
      <c r="N166" s="4">
        <v>1235.4000000000001</v>
      </c>
      <c r="O166" s="56">
        <v>1235.4000000000001</v>
      </c>
      <c r="P166" s="4">
        <v>0</v>
      </c>
      <c r="Q166" s="3" t="s">
        <v>26</v>
      </c>
      <c r="R166" s="3">
        <v>0</v>
      </c>
      <c r="S166" s="4">
        <v>5</v>
      </c>
      <c r="T166" s="4">
        <v>6</v>
      </c>
      <c r="U166" s="4">
        <v>87</v>
      </c>
      <c r="V166" s="56">
        <f>IF(ISERROR(VLOOKUP($S$166,'TAR FIN'!$A$1:$O$113,15,0)),0,VLOOKUP($S$166,'TAR FIN'!$A$1:$O$113,15,0))*(1-0.04)</f>
        <v>11.1264</v>
      </c>
      <c r="W166" s="56">
        <f>IF(ISERROR(VLOOKUP($T$166,'TAR FIN'!$A$1:$O$113,15,0)),0,VLOOKUP($T$166,'TAR FIN'!$A$1:$O$113,15,0))*(1-0.04)</f>
        <v>34.425599999999996</v>
      </c>
      <c r="X166" s="56">
        <f>IF(ISERROR(VLOOKUP($U$166,'TAR FIN'!$A$1:$O$113,15,0)),0,VLOOKUP($U$166,'TAR FIN'!$A$1:$O$113,15,0))*(1-0.04)</f>
        <v>213.41759999999999</v>
      </c>
      <c r="Y166" s="56">
        <f ca="1">('TUSD BE'!$AM$6+'TUSD BF'!$AM$6+'TUSD CVA'!$AM$6)*1*(1-0.02)</f>
        <v>10.722888984558214</v>
      </c>
      <c r="Z166" s="56">
        <f ca="1">('TUSD BE'!$AM$7+'TUSD BF'!$AM$7+'TUSD CVA'!$AM$7)*1*(1-0.02)</f>
        <v>45.027127482009618</v>
      </c>
      <c r="AA166" s="56">
        <f>('TE BE'!$AA$6+'TE BF'!$AA$6+'TE CVA'!$AA$6)*1*(1-0.02)</f>
        <v>218.68270575803808</v>
      </c>
      <c r="AB166" s="4">
        <f>$K$166*$V$166</f>
        <v>42458.342400000001</v>
      </c>
      <c r="AC166" s="4">
        <f>$M$166*$W$166</f>
        <v>42529.38624</v>
      </c>
      <c r="AD166" s="4">
        <f>$O$166*$X$166</f>
        <v>263656.10304000002</v>
      </c>
      <c r="AE166" s="4">
        <f ca="1">$K$166*$Y$166</f>
        <v>40918.544365074144</v>
      </c>
      <c r="AF166" s="4">
        <f ca="1">$M$166*$Z$166</f>
        <v>55626.513291274685</v>
      </c>
      <c r="AG166" s="4">
        <f>$O$166*$AA$166</f>
        <v>270160.61469348025</v>
      </c>
    </row>
    <row r="167" spans="1:33" ht="11.25" customHeight="1" x14ac:dyDescent="0.25">
      <c r="A167" s="3" t="s">
        <v>21</v>
      </c>
      <c r="B167" s="3" t="s">
        <v>39</v>
      </c>
      <c r="C167" s="3" t="s">
        <v>40</v>
      </c>
      <c r="D167" s="3" t="s">
        <v>45</v>
      </c>
      <c r="E167" s="3" t="s">
        <v>53</v>
      </c>
      <c r="F167" s="3" t="s">
        <v>25</v>
      </c>
      <c r="G167" s="3" t="s">
        <v>25</v>
      </c>
      <c r="H167" s="3" t="s">
        <v>34</v>
      </c>
      <c r="I167" s="6">
        <v>44287</v>
      </c>
      <c r="J167" s="4">
        <v>24</v>
      </c>
      <c r="K167" s="56">
        <v>24</v>
      </c>
      <c r="L167" s="4">
        <v>1.1160000000000001</v>
      </c>
      <c r="M167" s="56">
        <v>1.1160000000000001</v>
      </c>
      <c r="N167" s="4">
        <v>1.1160000000000001</v>
      </c>
      <c r="O167" s="56">
        <v>1.1160000000000001</v>
      </c>
      <c r="P167" s="4">
        <v>0</v>
      </c>
      <c r="Q167" s="3" t="s">
        <v>26</v>
      </c>
      <c r="R167" s="3">
        <v>0</v>
      </c>
      <c r="S167" s="4">
        <v>4</v>
      </c>
      <c r="T167" s="4">
        <v>6</v>
      </c>
      <c r="U167" s="4">
        <v>86</v>
      </c>
      <c r="V167" s="56">
        <f>IF(ISERROR(VLOOKUP($S$167,'TAR FIN'!$A$1:$O$113,15,0)),0,VLOOKUP($S$167,'TAR FIN'!$A$1:$O$113,15,0))*(1-0.04)</f>
        <v>27.206399999999999</v>
      </c>
      <c r="W167" s="56">
        <f>IF(ISERROR(VLOOKUP($T$167,'TAR FIN'!$A$1:$O$113,15,0)),0,VLOOKUP($T$167,'TAR FIN'!$A$1:$O$113,15,0))*(1-0.04)</f>
        <v>34.425599999999996</v>
      </c>
      <c r="X167" s="56">
        <f>IF(ISERROR(VLOOKUP($U$167,'TAR FIN'!$A$1:$O$113,15,0)),0,VLOOKUP($U$167,'TAR FIN'!$A$1:$O$113,15,0))*(1-0.04)</f>
        <v>350.88</v>
      </c>
      <c r="Y167" s="56">
        <f ca="1">('TUSD BE'!$AM$5+'TUSD BF'!$AM$5+'TUSD CVA'!$AM$5)*1*(1-0.02)</f>
        <v>30.705246366813903</v>
      </c>
      <c r="Z167" s="56">
        <f ca="1">('TUSD BE'!$AM$7+'TUSD BF'!$AM$7+'TUSD CVA'!$AM$7)*1*(1-0.02)</f>
        <v>45.027127482009618</v>
      </c>
      <c r="AA167" s="56">
        <f>('TE BE'!$AA$5+'TE BF'!$AA$5+'TE CVA'!$AA$5)*1*(1-0.02)</f>
        <v>354.31913150043306</v>
      </c>
      <c r="AB167" s="4">
        <f>$K$167*$V$167</f>
        <v>652.95359999999994</v>
      </c>
      <c r="AC167" s="4">
        <f>$M$167*$W$167</f>
        <v>38.418969599999997</v>
      </c>
      <c r="AD167" s="4">
        <f>$O$167*$X$167</f>
        <v>391.58208000000002</v>
      </c>
      <c r="AE167" s="4">
        <f ca="1">$K$167*$Y$167</f>
        <v>736.92591280353372</v>
      </c>
      <c r="AF167" s="4">
        <f ca="1">$M$167*$Z$167</f>
        <v>50.250274269922741</v>
      </c>
      <c r="AG167" s="4">
        <f>$O$167*$AA$167</f>
        <v>395.4201507544833</v>
      </c>
    </row>
    <row r="168" spans="1:33" ht="11.25" customHeight="1" x14ac:dyDescent="0.25">
      <c r="A168" s="3" t="s">
        <v>21</v>
      </c>
      <c r="B168" s="3" t="s">
        <v>39</v>
      </c>
      <c r="C168" s="3" t="s">
        <v>40</v>
      </c>
      <c r="D168" s="3" t="s">
        <v>45</v>
      </c>
      <c r="E168" s="3" t="s">
        <v>53</v>
      </c>
      <c r="F168" s="3" t="s">
        <v>25</v>
      </c>
      <c r="G168" s="3" t="s">
        <v>25</v>
      </c>
      <c r="H168" s="3" t="s">
        <v>34</v>
      </c>
      <c r="I168" s="6">
        <v>44317</v>
      </c>
      <c r="J168" s="4">
        <v>24</v>
      </c>
      <c r="K168" s="56">
        <v>24</v>
      </c>
      <c r="L168" s="4">
        <v>1.0920000000000001</v>
      </c>
      <c r="M168" s="56">
        <v>1.0920000000000001</v>
      </c>
      <c r="N168" s="4">
        <v>1.0920000000000001</v>
      </c>
      <c r="O168" s="56">
        <v>1.0920000000000001</v>
      </c>
      <c r="P168" s="4">
        <v>0</v>
      </c>
      <c r="Q168" s="3" t="s">
        <v>26</v>
      </c>
      <c r="R168" s="3">
        <v>0</v>
      </c>
      <c r="S168" s="4">
        <v>4</v>
      </c>
      <c r="T168" s="4">
        <v>6</v>
      </c>
      <c r="U168" s="4">
        <v>86</v>
      </c>
      <c r="V168" s="56">
        <f>IF(ISERROR(VLOOKUP($S$168,'TAR FIN'!$A$1:$O$113,15,0)),0,VLOOKUP($S$168,'TAR FIN'!$A$1:$O$113,15,0))*(1-0.04)</f>
        <v>27.206399999999999</v>
      </c>
      <c r="W168" s="56">
        <f>IF(ISERROR(VLOOKUP($T$168,'TAR FIN'!$A$1:$O$113,15,0)),0,VLOOKUP($T$168,'TAR FIN'!$A$1:$O$113,15,0))*(1-0.04)</f>
        <v>34.425599999999996</v>
      </c>
      <c r="X168" s="56">
        <f>IF(ISERROR(VLOOKUP($U$168,'TAR FIN'!$A$1:$O$113,15,0)),0,VLOOKUP($U$168,'TAR FIN'!$A$1:$O$113,15,0))*(1-0.04)</f>
        <v>350.88</v>
      </c>
      <c r="Y168" s="56">
        <f ca="1">('TUSD BE'!$AM$5+'TUSD BF'!$AM$5+'TUSD CVA'!$AM$5)*1*(1-0.02)</f>
        <v>30.705246366813903</v>
      </c>
      <c r="Z168" s="56">
        <f ca="1">('TUSD BE'!$AM$7+'TUSD BF'!$AM$7+'TUSD CVA'!$AM$7)*1*(1-0.02)</f>
        <v>45.027127482009618</v>
      </c>
      <c r="AA168" s="56">
        <f>('TE BE'!$AA$5+'TE BF'!$AA$5+'TE CVA'!$AA$5)*1*(1-0.02)</f>
        <v>354.31913150043306</v>
      </c>
      <c r="AB168" s="4">
        <f>$K$168*$V$168</f>
        <v>652.95359999999994</v>
      </c>
      <c r="AC168" s="4">
        <f>$M$168*$W$168</f>
        <v>37.592755199999999</v>
      </c>
      <c r="AD168" s="4">
        <f>$O$168*$X$168</f>
        <v>383.16096000000005</v>
      </c>
      <c r="AE168" s="4">
        <f ca="1">$K$168*$Y$168</f>
        <v>736.92591280353372</v>
      </c>
      <c r="AF168" s="4">
        <f ca="1">$M$168*$Z$168</f>
        <v>49.169623210354509</v>
      </c>
      <c r="AG168" s="4">
        <f>$O$168*$AA$168</f>
        <v>386.91649159847293</v>
      </c>
    </row>
    <row r="169" spans="1:33" ht="11.25" customHeight="1" x14ac:dyDescent="0.25">
      <c r="A169" s="3" t="s">
        <v>21</v>
      </c>
      <c r="B169" s="3" t="s">
        <v>39</v>
      </c>
      <c r="C169" s="3" t="s">
        <v>40</v>
      </c>
      <c r="D169" s="3" t="s">
        <v>45</v>
      </c>
      <c r="E169" s="3" t="s">
        <v>53</v>
      </c>
      <c r="F169" s="3" t="s">
        <v>25</v>
      </c>
      <c r="G169" s="3" t="s">
        <v>25</v>
      </c>
      <c r="H169" s="3" t="s">
        <v>34</v>
      </c>
      <c r="I169" s="6">
        <v>44348</v>
      </c>
      <c r="J169" s="4">
        <v>24</v>
      </c>
      <c r="K169" s="56">
        <v>24</v>
      </c>
      <c r="L169" s="4">
        <v>1.08</v>
      </c>
      <c r="M169" s="56">
        <v>1.08</v>
      </c>
      <c r="N169" s="4">
        <v>1.08</v>
      </c>
      <c r="O169" s="56">
        <v>1.08</v>
      </c>
      <c r="P169" s="4">
        <v>0</v>
      </c>
      <c r="Q169" s="3" t="s">
        <v>26</v>
      </c>
      <c r="R169" s="3">
        <v>0</v>
      </c>
      <c r="S169" s="4">
        <v>4</v>
      </c>
      <c r="T169" s="4">
        <v>6</v>
      </c>
      <c r="U169" s="4">
        <v>86</v>
      </c>
      <c r="V169" s="56">
        <f>IF(ISERROR(VLOOKUP($S$169,'TAR FIN'!$A$1:$O$113,15,0)),0,VLOOKUP($S$169,'TAR FIN'!$A$1:$O$113,15,0))*(1-0.04)</f>
        <v>27.206399999999999</v>
      </c>
      <c r="W169" s="56">
        <f>IF(ISERROR(VLOOKUP($T$169,'TAR FIN'!$A$1:$O$113,15,0)),0,VLOOKUP($T$169,'TAR FIN'!$A$1:$O$113,15,0))*(1-0.04)</f>
        <v>34.425599999999996</v>
      </c>
      <c r="X169" s="56">
        <f>IF(ISERROR(VLOOKUP($U$169,'TAR FIN'!$A$1:$O$113,15,0)),0,VLOOKUP($U$169,'TAR FIN'!$A$1:$O$113,15,0))*(1-0.04)</f>
        <v>350.88</v>
      </c>
      <c r="Y169" s="56">
        <f ca="1">('TUSD BE'!$AM$5+'TUSD BF'!$AM$5+'TUSD CVA'!$AM$5)*1*(1-0.02)</f>
        <v>30.705246366813903</v>
      </c>
      <c r="Z169" s="56">
        <f ca="1">('TUSD BE'!$AM$7+'TUSD BF'!$AM$7+'TUSD CVA'!$AM$7)*1*(1-0.02)</f>
        <v>45.027127482009618</v>
      </c>
      <c r="AA169" s="56">
        <f>('TE BE'!$AA$5+'TE BF'!$AA$5+'TE CVA'!$AA$5)*1*(1-0.02)</f>
        <v>354.31913150043306</v>
      </c>
      <c r="AB169" s="4">
        <f>$K$169*$V$169</f>
        <v>652.95359999999994</v>
      </c>
      <c r="AC169" s="4">
        <f>$M$169*$W$169</f>
        <v>37.179648</v>
      </c>
      <c r="AD169" s="4">
        <f>$O$169*$X$169</f>
        <v>378.9504</v>
      </c>
      <c r="AE169" s="4">
        <f ca="1">$K$169*$Y$169</f>
        <v>736.92591280353372</v>
      </c>
      <c r="AF169" s="4">
        <f ca="1">$M$169*$Z$169</f>
        <v>48.629297680570389</v>
      </c>
      <c r="AG169" s="4">
        <f>$O$169*$AA$169</f>
        <v>382.66466202046774</v>
      </c>
    </row>
    <row r="170" spans="1:33" ht="11.25" customHeight="1" x14ac:dyDescent="0.25">
      <c r="A170" s="3" t="s">
        <v>21</v>
      </c>
      <c r="B170" s="3" t="s">
        <v>39</v>
      </c>
      <c r="C170" s="3" t="s">
        <v>40</v>
      </c>
      <c r="D170" s="3" t="s">
        <v>45</v>
      </c>
      <c r="E170" s="3" t="s">
        <v>53</v>
      </c>
      <c r="F170" s="3" t="s">
        <v>25</v>
      </c>
      <c r="G170" s="3" t="s">
        <v>25</v>
      </c>
      <c r="H170" s="3" t="s">
        <v>34</v>
      </c>
      <c r="I170" s="6">
        <v>44378</v>
      </c>
      <c r="J170" s="4">
        <v>24</v>
      </c>
      <c r="K170" s="56">
        <v>24</v>
      </c>
      <c r="L170" s="4">
        <v>1.1759999999999999</v>
      </c>
      <c r="M170" s="56">
        <v>1.1759999999999999</v>
      </c>
      <c r="N170" s="4">
        <v>1.1759999999999999</v>
      </c>
      <c r="O170" s="56">
        <v>1.1759999999999999</v>
      </c>
      <c r="P170" s="4">
        <v>0</v>
      </c>
      <c r="Q170" s="3" t="s">
        <v>26</v>
      </c>
      <c r="R170" s="3">
        <v>0</v>
      </c>
      <c r="S170" s="4">
        <v>4</v>
      </c>
      <c r="T170" s="4">
        <v>6</v>
      </c>
      <c r="U170" s="4">
        <v>86</v>
      </c>
      <c r="V170" s="56">
        <f>IF(ISERROR(VLOOKUP($S$170,'TAR FIN'!$A$1:$O$113,15,0)),0,VLOOKUP($S$170,'TAR FIN'!$A$1:$O$113,15,0))*(1-0.04)</f>
        <v>27.206399999999999</v>
      </c>
      <c r="W170" s="56">
        <f>IF(ISERROR(VLOOKUP($T$170,'TAR FIN'!$A$1:$O$113,15,0)),0,VLOOKUP($T$170,'TAR FIN'!$A$1:$O$113,15,0))*(1-0.04)</f>
        <v>34.425599999999996</v>
      </c>
      <c r="X170" s="56">
        <f>IF(ISERROR(VLOOKUP($U$170,'TAR FIN'!$A$1:$O$113,15,0)),0,VLOOKUP($U$170,'TAR FIN'!$A$1:$O$113,15,0))*(1-0.04)</f>
        <v>350.88</v>
      </c>
      <c r="Y170" s="56">
        <f ca="1">('TUSD BE'!$AM$5+'TUSD BF'!$AM$5+'TUSD CVA'!$AM$5)*1*(1-0.02)</f>
        <v>30.705246366813903</v>
      </c>
      <c r="Z170" s="56">
        <f ca="1">('TUSD BE'!$AM$7+'TUSD BF'!$AM$7+'TUSD CVA'!$AM$7)*1*(1-0.02)</f>
        <v>45.027127482009618</v>
      </c>
      <c r="AA170" s="56">
        <f>('TE BE'!$AA$5+'TE BF'!$AA$5+'TE CVA'!$AA$5)*1*(1-0.02)</f>
        <v>354.31913150043306</v>
      </c>
      <c r="AB170" s="4">
        <f>$K$170*$V$170</f>
        <v>652.95359999999994</v>
      </c>
      <c r="AC170" s="4">
        <f>$M$170*$W$170</f>
        <v>40.484505599999991</v>
      </c>
      <c r="AD170" s="4">
        <f>$O$170*$X$170</f>
        <v>412.63487999999995</v>
      </c>
      <c r="AE170" s="4">
        <f ca="1">$K$170*$Y$170</f>
        <v>736.92591280353372</v>
      </c>
      <c r="AF170" s="4">
        <f ca="1">$M$170*$Z$170</f>
        <v>52.951901918843305</v>
      </c>
      <c r="AG170" s="4">
        <f>$O$170*$AA$170</f>
        <v>416.67929864450923</v>
      </c>
    </row>
    <row r="171" spans="1:33" ht="11.25" customHeight="1" x14ac:dyDescent="0.25">
      <c r="A171" s="3" t="s">
        <v>21</v>
      </c>
      <c r="B171" s="3" t="s">
        <v>39</v>
      </c>
      <c r="C171" s="3" t="s">
        <v>40</v>
      </c>
      <c r="D171" s="3" t="s">
        <v>45</v>
      </c>
      <c r="E171" s="3" t="s">
        <v>53</v>
      </c>
      <c r="F171" s="3" t="s">
        <v>25</v>
      </c>
      <c r="G171" s="3" t="s">
        <v>25</v>
      </c>
      <c r="H171" s="3" t="s">
        <v>34</v>
      </c>
      <c r="I171" s="6">
        <v>44409</v>
      </c>
      <c r="J171" s="4">
        <v>24</v>
      </c>
      <c r="K171" s="56">
        <v>24</v>
      </c>
      <c r="L171" s="4">
        <v>1.17</v>
      </c>
      <c r="M171" s="56">
        <v>1.17</v>
      </c>
      <c r="N171" s="4">
        <v>1.17</v>
      </c>
      <c r="O171" s="56">
        <v>1.17</v>
      </c>
      <c r="P171" s="4">
        <v>0</v>
      </c>
      <c r="Q171" s="3" t="s">
        <v>26</v>
      </c>
      <c r="R171" s="3">
        <v>0</v>
      </c>
      <c r="S171" s="4">
        <v>4</v>
      </c>
      <c r="T171" s="4">
        <v>6</v>
      </c>
      <c r="U171" s="4">
        <v>86</v>
      </c>
      <c r="V171" s="56">
        <f>IF(ISERROR(VLOOKUP($S$171,'TAR FIN'!$A$1:$O$113,15,0)),0,VLOOKUP($S$171,'TAR FIN'!$A$1:$O$113,15,0))*(1-0.04)</f>
        <v>27.206399999999999</v>
      </c>
      <c r="W171" s="56">
        <f>IF(ISERROR(VLOOKUP($T$171,'TAR FIN'!$A$1:$O$113,15,0)),0,VLOOKUP($T$171,'TAR FIN'!$A$1:$O$113,15,0))*(1-0.04)</f>
        <v>34.425599999999996</v>
      </c>
      <c r="X171" s="56">
        <f>IF(ISERROR(VLOOKUP($U$171,'TAR FIN'!$A$1:$O$113,15,0)),0,VLOOKUP($U$171,'TAR FIN'!$A$1:$O$113,15,0))*(1-0.04)</f>
        <v>350.88</v>
      </c>
      <c r="Y171" s="56">
        <f ca="1">('TUSD BE'!$AM$5+'TUSD BF'!$AM$5+'TUSD CVA'!$AM$5)*1*(1-0.02)</f>
        <v>30.705246366813903</v>
      </c>
      <c r="Z171" s="56">
        <f ca="1">('TUSD BE'!$AM$7+'TUSD BF'!$AM$7+'TUSD CVA'!$AM$7)*1*(1-0.02)</f>
        <v>45.027127482009618</v>
      </c>
      <c r="AA171" s="56">
        <f>('TE BE'!$AA$5+'TE BF'!$AA$5+'TE CVA'!$AA$5)*1*(1-0.02)</f>
        <v>354.31913150043306</v>
      </c>
      <c r="AB171" s="4">
        <f>$K$171*$V$171</f>
        <v>652.95359999999994</v>
      </c>
      <c r="AC171" s="4">
        <f>$M$171*$W$171</f>
        <v>40.277951999999992</v>
      </c>
      <c r="AD171" s="4">
        <f>$O$171*$X$171</f>
        <v>410.52959999999996</v>
      </c>
      <c r="AE171" s="4">
        <f ca="1">$K$171*$Y$171</f>
        <v>736.92591280353372</v>
      </c>
      <c r="AF171" s="4">
        <f ca="1">$M$171*$Z$171</f>
        <v>52.681739153951249</v>
      </c>
      <c r="AG171" s="4">
        <f>$O$171*$AA$171</f>
        <v>414.55338385550664</v>
      </c>
    </row>
    <row r="172" spans="1:33" ht="11.25" customHeight="1" x14ac:dyDescent="0.25">
      <c r="A172" s="3" t="s">
        <v>21</v>
      </c>
      <c r="B172" s="3" t="s">
        <v>39</v>
      </c>
      <c r="C172" s="3" t="s">
        <v>40</v>
      </c>
      <c r="D172" s="3" t="s">
        <v>45</v>
      </c>
      <c r="E172" s="3" t="s">
        <v>53</v>
      </c>
      <c r="F172" s="3" t="s">
        <v>25</v>
      </c>
      <c r="G172" s="3" t="s">
        <v>25</v>
      </c>
      <c r="H172" s="3" t="s">
        <v>34</v>
      </c>
      <c r="I172" s="6">
        <v>44440</v>
      </c>
      <c r="J172" s="4">
        <v>24</v>
      </c>
      <c r="K172" s="56">
        <v>24</v>
      </c>
      <c r="L172" s="4">
        <v>1.1519999999999999</v>
      </c>
      <c r="M172" s="56">
        <v>1.1519999999999999</v>
      </c>
      <c r="N172" s="4">
        <v>1.1519999999999999</v>
      </c>
      <c r="O172" s="56">
        <v>1.1519999999999999</v>
      </c>
      <c r="P172" s="4">
        <v>0</v>
      </c>
      <c r="Q172" s="3" t="s">
        <v>26</v>
      </c>
      <c r="R172" s="3">
        <v>0</v>
      </c>
      <c r="S172" s="4">
        <v>4</v>
      </c>
      <c r="T172" s="4">
        <v>6</v>
      </c>
      <c r="U172" s="4">
        <v>86</v>
      </c>
      <c r="V172" s="56">
        <f>IF(ISERROR(VLOOKUP($S$172,'TAR FIN'!$A$1:$O$113,15,0)),0,VLOOKUP($S$172,'TAR FIN'!$A$1:$O$113,15,0))*(1-0.04)</f>
        <v>27.206399999999999</v>
      </c>
      <c r="W172" s="56">
        <f>IF(ISERROR(VLOOKUP($T$172,'TAR FIN'!$A$1:$O$113,15,0)),0,VLOOKUP($T$172,'TAR FIN'!$A$1:$O$113,15,0))*(1-0.04)</f>
        <v>34.425599999999996</v>
      </c>
      <c r="X172" s="56">
        <f>IF(ISERROR(VLOOKUP($U$172,'TAR FIN'!$A$1:$O$113,15,0)),0,VLOOKUP($U$172,'TAR FIN'!$A$1:$O$113,15,0))*(1-0.04)</f>
        <v>350.88</v>
      </c>
      <c r="Y172" s="56">
        <f ca="1">('TUSD BE'!$AM$5+'TUSD BF'!$AM$5+'TUSD CVA'!$AM$5)*1*(1-0.02)</f>
        <v>30.705246366813903</v>
      </c>
      <c r="Z172" s="56">
        <f ca="1">('TUSD BE'!$AM$7+'TUSD BF'!$AM$7+'TUSD CVA'!$AM$7)*1*(1-0.02)</f>
        <v>45.027127482009618</v>
      </c>
      <c r="AA172" s="56">
        <f>('TE BE'!$AA$5+'TE BF'!$AA$5+'TE CVA'!$AA$5)*1*(1-0.02)</f>
        <v>354.31913150043306</v>
      </c>
      <c r="AB172" s="4">
        <f>$K$172*$V$172</f>
        <v>652.95359999999994</v>
      </c>
      <c r="AC172" s="4">
        <f>$M$172*$W$172</f>
        <v>39.658291199999994</v>
      </c>
      <c r="AD172" s="4">
        <f>$O$172*$X$172</f>
        <v>404.21375999999998</v>
      </c>
      <c r="AE172" s="4">
        <f ca="1">$K$172*$Y$172</f>
        <v>736.92591280353372</v>
      </c>
      <c r="AF172" s="4">
        <f ca="1">$M$172*$Z$172</f>
        <v>51.871250859275079</v>
      </c>
      <c r="AG172" s="4">
        <f>$O$172*$AA$172</f>
        <v>408.17563948849886</v>
      </c>
    </row>
    <row r="173" spans="1:33" ht="11.25" customHeight="1" x14ac:dyDescent="0.25">
      <c r="A173" s="3" t="s">
        <v>21</v>
      </c>
      <c r="B173" s="3" t="s">
        <v>39</v>
      </c>
      <c r="C173" s="3" t="s">
        <v>40</v>
      </c>
      <c r="D173" s="3" t="s">
        <v>45</v>
      </c>
      <c r="E173" s="3" t="s">
        <v>53</v>
      </c>
      <c r="F173" s="3" t="s">
        <v>25</v>
      </c>
      <c r="G173" s="3" t="s">
        <v>25</v>
      </c>
      <c r="H173" s="3" t="s">
        <v>34</v>
      </c>
      <c r="I173" s="6">
        <v>44470</v>
      </c>
      <c r="J173" s="4">
        <v>24</v>
      </c>
      <c r="K173" s="56">
        <v>24</v>
      </c>
      <c r="L173" s="4">
        <v>1.08</v>
      </c>
      <c r="M173" s="56">
        <v>1.08</v>
      </c>
      <c r="N173" s="4">
        <v>1.08</v>
      </c>
      <c r="O173" s="56">
        <v>1.08</v>
      </c>
      <c r="P173" s="4">
        <v>0</v>
      </c>
      <c r="Q173" s="3" t="s">
        <v>26</v>
      </c>
      <c r="R173" s="3">
        <v>0</v>
      </c>
      <c r="S173" s="4">
        <v>4</v>
      </c>
      <c r="T173" s="4">
        <v>6</v>
      </c>
      <c r="U173" s="4">
        <v>86</v>
      </c>
      <c r="V173" s="56">
        <f>IF(ISERROR(VLOOKUP($S$173,'TAR FIN'!$A$1:$O$113,15,0)),0,VLOOKUP($S$173,'TAR FIN'!$A$1:$O$113,15,0))*(1-0.04)</f>
        <v>27.206399999999999</v>
      </c>
      <c r="W173" s="56">
        <f>IF(ISERROR(VLOOKUP($T$173,'TAR FIN'!$A$1:$O$113,15,0)),0,VLOOKUP($T$173,'TAR FIN'!$A$1:$O$113,15,0))*(1-0.04)</f>
        <v>34.425599999999996</v>
      </c>
      <c r="X173" s="56">
        <f>IF(ISERROR(VLOOKUP($U$173,'TAR FIN'!$A$1:$O$113,15,0)),0,VLOOKUP($U$173,'TAR FIN'!$A$1:$O$113,15,0))*(1-0.04)</f>
        <v>350.88</v>
      </c>
      <c r="Y173" s="56">
        <f ca="1">('TUSD BE'!$AM$5+'TUSD BF'!$AM$5+'TUSD CVA'!$AM$5)*1*(1-0.02)</f>
        <v>30.705246366813903</v>
      </c>
      <c r="Z173" s="56">
        <f ca="1">('TUSD BE'!$AM$7+'TUSD BF'!$AM$7+'TUSD CVA'!$AM$7)*1*(1-0.02)</f>
        <v>45.027127482009618</v>
      </c>
      <c r="AA173" s="56">
        <f>('TE BE'!$AA$5+'TE BF'!$AA$5+'TE CVA'!$AA$5)*1*(1-0.02)</f>
        <v>354.31913150043306</v>
      </c>
      <c r="AB173" s="4">
        <f>$K$173*$V$173</f>
        <v>652.95359999999994</v>
      </c>
      <c r="AC173" s="4">
        <f>$M$173*$W$173</f>
        <v>37.179648</v>
      </c>
      <c r="AD173" s="4">
        <f>$O$173*$X$173</f>
        <v>378.9504</v>
      </c>
      <c r="AE173" s="4">
        <f ca="1">$K$173*$Y$173</f>
        <v>736.92591280353372</v>
      </c>
      <c r="AF173" s="4">
        <f ca="1">$M$173*$Z$173</f>
        <v>48.629297680570389</v>
      </c>
      <c r="AG173" s="4">
        <f>$O$173*$AA$173</f>
        <v>382.66466202046774</v>
      </c>
    </row>
    <row r="174" spans="1:33" ht="11.25" customHeight="1" x14ac:dyDescent="0.25">
      <c r="A174" s="3" t="s">
        <v>21</v>
      </c>
      <c r="B174" s="3" t="s">
        <v>39</v>
      </c>
      <c r="C174" s="3" t="s">
        <v>40</v>
      </c>
      <c r="D174" s="3" t="s">
        <v>45</v>
      </c>
      <c r="E174" s="3" t="s">
        <v>53</v>
      </c>
      <c r="F174" s="3" t="s">
        <v>25</v>
      </c>
      <c r="G174" s="3" t="s">
        <v>25</v>
      </c>
      <c r="H174" s="3" t="s">
        <v>34</v>
      </c>
      <c r="I174" s="6">
        <v>44501</v>
      </c>
      <c r="J174" s="4">
        <v>24</v>
      </c>
      <c r="K174" s="56">
        <v>24</v>
      </c>
      <c r="L174" s="4">
        <v>1.0740000000000001</v>
      </c>
      <c r="M174" s="56">
        <v>1.0740000000000001</v>
      </c>
      <c r="N174" s="4">
        <v>1.0740000000000001</v>
      </c>
      <c r="O174" s="56">
        <v>1.0740000000000001</v>
      </c>
      <c r="P174" s="4">
        <v>0</v>
      </c>
      <c r="Q174" s="3" t="s">
        <v>26</v>
      </c>
      <c r="R174" s="3">
        <v>0</v>
      </c>
      <c r="S174" s="4">
        <v>4</v>
      </c>
      <c r="T174" s="4">
        <v>6</v>
      </c>
      <c r="U174" s="4">
        <v>86</v>
      </c>
      <c r="V174" s="56">
        <f>IF(ISERROR(VLOOKUP($S$174,'TAR FIN'!$A$1:$O$113,15,0)),0,VLOOKUP($S$174,'TAR FIN'!$A$1:$O$113,15,0))*(1-0.04)</f>
        <v>27.206399999999999</v>
      </c>
      <c r="W174" s="56">
        <f>IF(ISERROR(VLOOKUP($T$174,'TAR FIN'!$A$1:$O$113,15,0)),0,VLOOKUP($T$174,'TAR FIN'!$A$1:$O$113,15,0))*(1-0.04)</f>
        <v>34.425599999999996</v>
      </c>
      <c r="X174" s="56">
        <f>IF(ISERROR(VLOOKUP($U$174,'TAR FIN'!$A$1:$O$113,15,0)),0,VLOOKUP($U$174,'TAR FIN'!$A$1:$O$113,15,0))*(1-0.04)</f>
        <v>350.88</v>
      </c>
      <c r="Y174" s="56">
        <f ca="1">('TUSD BE'!$AM$5+'TUSD BF'!$AM$5+'TUSD CVA'!$AM$5)*1*(1-0.02)</f>
        <v>30.705246366813903</v>
      </c>
      <c r="Z174" s="56">
        <f ca="1">('TUSD BE'!$AM$7+'TUSD BF'!$AM$7+'TUSD CVA'!$AM$7)*1*(1-0.02)</f>
        <v>45.027127482009618</v>
      </c>
      <c r="AA174" s="56">
        <f>('TE BE'!$AA$5+'TE BF'!$AA$5+'TE CVA'!$AA$5)*1*(1-0.02)</f>
        <v>354.31913150043306</v>
      </c>
      <c r="AB174" s="4">
        <f>$K$174*$V$174</f>
        <v>652.95359999999994</v>
      </c>
      <c r="AC174" s="4">
        <f>$M$174*$W$174</f>
        <v>36.973094400000001</v>
      </c>
      <c r="AD174" s="4">
        <f>$O$174*$X$174</f>
        <v>376.84512000000001</v>
      </c>
      <c r="AE174" s="4">
        <f ca="1">$K$174*$Y$174</f>
        <v>736.92591280353372</v>
      </c>
      <c r="AF174" s="4">
        <f ca="1">$M$174*$Z$174</f>
        <v>48.359134915678332</v>
      </c>
      <c r="AG174" s="4">
        <f>$O$174*$AA$174</f>
        <v>380.53874723146515</v>
      </c>
    </row>
    <row r="175" spans="1:33" ht="11.25" customHeight="1" x14ac:dyDescent="0.25">
      <c r="A175" s="3" t="s">
        <v>21</v>
      </c>
      <c r="B175" s="3" t="s">
        <v>39</v>
      </c>
      <c r="C175" s="3" t="s">
        <v>40</v>
      </c>
      <c r="D175" s="3" t="s">
        <v>45</v>
      </c>
      <c r="E175" s="3" t="s">
        <v>53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24</v>
      </c>
      <c r="K175" s="56">
        <v>24</v>
      </c>
      <c r="L175" s="4">
        <v>1.23</v>
      </c>
      <c r="M175" s="56">
        <v>1.23</v>
      </c>
      <c r="N175" s="4">
        <v>1.23</v>
      </c>
      <c r="O175" s="56">
        <v>1.23</v>
      </c>
      <c r="P175" s="4">
        <v>0</v>
      </c>
      <c r="Q175" s="3" t="s">
        <v>26</v>
      </c>
      <c r="R175" s="3">
        <v>0</v>
      </c>
      <c r="S175" s="4">
        <v>4</v>
      </c>
      <c r="T175" s="4">
        <v>6</v>
      </c>
      <c r="U175" s="4">
        <v>86</v>
      </c>
      <c r="V175" s="56">
        <f>IF(ISERROR(VLOOKUP($S$175,'TAR FIN'!$A$1:$O$113,15,0)),0,VLOOKUP($S$175,'TAR FIN'!$A$1:$O$113,15,0))*(1-0.04)</f>
        <v>27.206399999999999</v>
      </c>
      <c r="W175" s="56">
        <f>IF(ISERROR(VLOOKUP($T$175,'TAR FIN'!$A$1:$O$113,15,0)),0,VLOOKUP($T$175,'TAR FIN'!$A$1:$O$113,15,0))*(1-0.04)</f>
        <v>34.425599999999996</v>
      </c>
      <c r="X175" s="56">
        <f>IF(ISERROR(VLOOKUP($U$175,'TAR FIN'!$A$1:$O$113,15,0)),0,VLOOKUP($U$175,'TAR FIN'!$A$1:$O$113,15,0))*(1-0.04)</f>
        <v>350.88</v>
      </c>
      <c r="Y175" s="56">
        <f ca="1">('TUSD BE'!$AM$5+'TUSD BF'!$AM$5+'TUSD CVA'!$AM$5)*1*(1-0.02)</f>
        <v>30.705246366813903</v>
      </c>
      <c r="Z175" s="56">
        <f ca="1">('TUSD BE'!$AM$7+'TUSD BF'!$AM$7+'TUSD CVA'!$AM$7)*1*(1-0.02)</f>
        <v>45.027127482009618</v>
      </c>
      <c r="AA175" s="56">
        <f>('TE BE'!$AA$5+'TE BF'!$AA$5+'TE CVA'!$AA$5)*1*(1-0.02)</f>
        <v>354.31913150043306</v>
      </c>
      <c r="AB175" s="4">
        <f>$K$175*$V$175</f>
        <v>652.95359999999994</v>
      </c>
      <c r="AC175" s="4">
        <f>$M$175*$W$175</f>
        <v>42.343487999999994</v>
      </c>
      <c r="AD175" s="4">
        <f>$O$175*$X$175</f>
        <v>431.58240000000001</v>
      </c>
      <c r="AE175" s="4">
        <f ca="1">$K$175*$Y$175</f>
        <v>736.92591280353372</v>
      </c>
      <c r="AF175" s="4">
        <f ca="1">$M$175*$Z$175</f>
        <v>55.383366802871826</v>
      </c>
      <c r="AG175" s="4">
        <f>$O$175*$AA$175</f>
        <v>435.81253174553268</v>
      </c>
    </row>
    <row r="176" spans="1:33" ht="11.25" customHeight="1" x14ac:dyDescent="0.25">
      <c r="A176" s="3" t="s">
        <v>21</v>
      </c>
      <c r="B176" s="3" t="s">
        <v>39</v>
      </c>
      <c r="C176" s="3" t="s">
        <v>40</v>
      </c>
      <c r="D176" s="3" t="s">
        <v>45</v>
      </c>
      <c r="E176" s="3" t="s">
        <v>53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2</v>
      </c>
      <c r="K176" s="56">
        <v>2</v>
      </c>
      <c r="L176" s="4">
        <v>1.153</v>
      </c>
      <c r="M176" s="56">
        <v>1.153</v>
      </c>
      <c r="N176" s="4">
        <v>1.153</v>
      </c>
      <c r="O176" s="56">
        <v>1.153</v>
      </c>
      <c r="P176" s="4">
        <v>0</v>
      </c>
      <c r="Q176" s="3" t="s">
        <v>26</v>
      </c>
      <c r="R176" s="3">
        <v>0</v>
      </c>
      <c r="S176" s="4">
        <v>4</v>
      </c>
      <c r="T176" s="4">
        <v>6</v>
      </c>
      <c r="U176" s="4">
        <v>86</v>
      </c>
      <c r="V176" s="56">
        <f>IF(ISERROR(VLOOKUP($S$176,'TAR FIN'!$A$1:$O$113,15,0)),0,VLOOKUP($S$176,'TAR FIN'!$A$1:$O$113,15,0))*(1-0.04)</f>
        <v>27.206399999999999</v>
      </c>
      <c r="W176" s="56">
        <f>IF(ISERROR(VLOOKUP($T$176,'TAR FIN'!$A$1:$O$113,15,0)),0,VLOOKUP($T$176,'TAR FIN'!$A$1:$O$113,15,0))*(1-0.04)</f>
        <v>34.425599999999996</v>
      </c>
      <c r="X176" s="56">
        <f>IF(ISERROR(VLOOKUP($U$176,'TAR FIN'!$A$1:$O$113,15,0)),0,VLOOKUP($U$176,'TAR FIN'!$A$1:$O$113,15,0))*(1-0.04)</f>
        <v>350.88</v>
      </c>
      <c r="Y176" s="56">
        <f ca="1">('TUSD BE'!$AM$5+'TUSD BF'!$AM$5+'TUSD CVA'!$AM$5)*1*(1-0.02)</f>
        <v>30.705246366813903</v>
      </c>
      <c r="Z176" s="56">
        <f ca="1">('TUSD BE'!$AM$7+'TUSD BF'!$AM$7+'TUSD CVA'!$AM$7)*1*(1-0.02)</f>
        <v>45.027127482009618</v>
      </c>
      <c r="AA176" s="56">
        <f>('TE BE'!$AA$5+'TE BF'!$AA$5+'TE CVA'!$AA$5)*1*(1-0.02)</f>
        <v>354.31913150043306</v>
      </c>
      <c r="AB176" s="4">
        <f>$K$176*$V$176</f>
        <v>54.412799999999997</v>
      </c>
      <c r="AC176" s="4">
        <f>$M$176*$W$176</f>
        <v>39.692716799999999</v>
      </c>
      <c r="AD176" s="4">
        <f>$O$176*$X$176</f>
        <v>404.56464</v>
      </c>
      <c r="AE176" s="4">
        <f ca="1">$K$176*$Y$176</f>
        <v>61.410492733627805</v>
      </c>
      <c r="AF176" s="4">
        <f ca="1">$M$176*$Z$176</f>
        <v>51.916277986757088</v>
      </c>
      <c r="AG176" s="4">
        <f>$O$176*$AA$176</f>
        <v>408.52995861999932</v>
      </c>
    </row>
    <row r="177" spans="1:33" ht="11.25" customHeight="1" x14ac:dyDescent="0.25">
      <c r="A177" s="3" t="s">
        <v>21</v>
      </c>
      <c r="B177" s="3" t="s">
        <v>39</v>
      </c>
      <c r="C177" s="3" t="s">
        <v>40</v>
      </c>
      <c r="D177" s="3" t="s">
        <v>45</v>
      </c>
      <c r="E177" s="3" t="s">
        <v>53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24</v>
      </c>
      <c r="K177" s="56">
        <v>24</v>
      </c>
      <c r="L177" s="4">
        <v>10.164</v>
      </c>
      <c r="M177" s="56">
        <v>10.164</v>
      </c>
      <c r="N177" s="4">
        <v>10.164</v>
      </c>
      <c r="O177" s="56">
        <v>10.164</v>
      </c>
      <c r="P177" s="4">
        <v>0</v>
      </c>
      <c r="Q177" s="3" t="s">
        <v>26</v>
      </c>
      <c r="R177" s="3">
        <v>0</v>
      </c>
      <c r="S177" s="4">
        <v>4</v>
      </c>
      <c r="T177" s="4">
        <v>6</v>
      </c>
      <c r="U177" s="4">
        <v>86</v>
      </c>
      <c r="V177" s="56">
        <f>IF(ISERROR(VLOOKUP($S$177,'TAR FIN'!$A$1:$O$113,15,0)),0,VLOOKUP($S$177,'TAR FIN'!$A$1:$O$113,15,0))*(1-0.04)</f>
        <v>27.206399999999999</v>
      </c>
      <c r="W177" s="56">
        <f>IF(ISERROR(VLOOKUP($T$177,'TAR FIN'!$A$1:$O$113,15,0)),0,VLOOKUP($T$177,'TAR FIN'!$A$1:$O$113,15,0))*(1-0.04)</f>
        <v>34.425599999999996</v>
      </c>
      <c r="X177" s="56">
        <f>IF(ISERROR(VLOOKUP($U$177,'TAR FIN'!$A$1:$O$113,15,0)),0,VLOOKUP($U$177,'TAR FIN'!$A$1:$O$113,15,0))*(1-0.04)</f>
        <v>350.88</v>
      </c>
      <c r="Y177" s="56">
        <f ca="1">('TUSD BE'!$AM$5+'TUSD BF'!$AM$5+'TUSD CVA'!$AM$5)*1*(1-0.02)</f>
        <v>30.705246366813903</v>
      </c>
      <c r="Z177" s="56">
        <f ca="1">('TUSD BE'!$AM$7+'TUSD BF'!$AM$7+'TUSD CVA'!$AM$7)*1*(1-0.02)</f>
        <v>45.027127482009618</v>
      </c>
      <c r="AA177" s="56">
        <f>('TE BE'!$AA$5+'TE BF'!$AA$5+'TE CVA'!$AA$5)*1*(1-0.02)</f>
        <v>354.31913150043306</v>
      </c>
      <c r="AB177" s="4">
        <f>$K$177*$V$177</f>
        <v>652.95359999999994</v>
      </c>
      <c r="AC177" s="4">
        <f>$M$177*$W$177</f>
        <v>349.90179839999996</v>
      </c>
      <c r="AD177" s="4">
        <f>$O$177*$X$177</f>
        <v>3566.3443199999997</v>
      </c>
      <c r="AE177" s="4">
        <f ca="1">$K$177*$Y$177</f>
        <v>736.92591280353372</v>
      </c>
      <c r="AF177" s="4">
        <f ca="1">$M$177*$Z$177</f>
        <v>457.65572372714576</v>
      </c>
      <c r="AG177" s="4">
        <f>$O$177*$AA$177</f>
        <v>3601.2996525704016</v>
      </c>
    </row>
    <row r="178" spans="1:33" ht="11.25" customHeight="1" x14ac:dyDescent="0.25">
      <c r="A178" s="3" t="s">
        <v>56</v>
      </c>
      <c r="B178" s="3" t="s">
        <v>39</v>
      </c>
      <c r="C178" s="3" t="s">
        <v>40</v>
      </c>
      <c r="D178" s="3" t="s">
        <v>45</v>
      </c>
      <c r="E178" s="3" t="s">
        <v>53</v>
      </c>
      <c r="F178" s="3" t="s">
        <v>25</v>
      </c>
      <c r="G178" s="3" t="s">
        <v>25</v>
      </c>
      <c r="H178" s="3" t="s">
        <v>34</v>
      </c>
      <c r="I178" s="6">
        <v>44621</v>
      </c>
      <c r="J178" s="4">
        <v>24</v>
      </c>
      <c r="K178" s="56">
        <v>24</v>
      </c>
      <c r="L178" s="4">
        <v>10.164</v>
      </c>
      <c r="M178" s="56">
        <v>10.164</v>
      </c>
      <c r="N178" s="4">
        <v>10.164</v>
      </c>
      <c r="O178" s="56">
        <v>10.164</v>
      </c>
      <c r="P178" s="4">
        <v>0</v>
      </c>
      <c r="Q178" s="3" t="s">
        <v>26</v>
      </c>
      <c r="R178" s="3">
        <v>0</v>
      </c>
      <c r="S178" s="4">
        <v>4</v>
      </c>
      <c r="T178" s="4">
        <v>6</v>
      </c>
      <c r="U178" s="4">
        <v>86</v>
      </c>
      <c r="V178" s="56">
        <f>IF(ISERROR(VLOOKUP($S$178,'TAR FIN'!$A$1:$O$113,15,0)),0,VLOOKUP($S$178,'TAR FIN'!$A$1:$O$113,15,0))*(1-0.04)</f>
        <v>27.206399999999999</v>
      </c>
      <c r="W178" s="56">
        <f>IF(ISERROR(VLOOKUP($T$178,'TAR FIN'!$A$1:$O$113,15,0)),0,VLOOKUP($T$178,'TAR FIN'!$A$1:$O$113,15,0))*(1-0.04)</f>
        <v>34.425599999999996</v>
      </c>
      <c r="X178" s="56">
        <f>IF(ISERROR(VLOOKUP($U$178,'TAR FIN'!$A$1:$O$113,15,0)),0,VLOOKUP($U$178,'TAR FIN'!$A$1:$O$113,15,0))*(1-0.04)</f>
        <v>350.88</v>
      </c>
      <c r="Y178" s="56">
        <f ca="1">('TUSD BE'!$AM$5+'TUSD BF'!$AM$5+'TUSD CVA'!$AM$5)*1*(1-0.02)</f>
        <v>30.705246366813903</v>
      </c>
      <c r="Z178" s="56">
        <f ca="1">('TUSD BE'!$AM$7+'TUSD BF'!$AM$7+'TUSD CVA'!$AM$7)*1*(1-0.02)</f>
        <v>45.027127482009618</v>
      </c>
      <c r="AA178" s="56">
        <f>('TE BE'!$AA$5+'TE BF'!$AA$5+'TE CVA'!$AA$5)*1*(1-0.02)</f>
        <v>354.31913150043306</v>
      </c>
      <c r="AB178" s="4">
        <f>$K$178*$V$178</f>
        <v>652.95359999999994</v>
      </c>
      <c r="AC178" s="4">
        <f>$M$178*$W$178</f>
        <v>349.90179839999996</v>
      </c>
      <c r="AD178" s="4">
        <f>$O$178*$X$178</f>
        <v>3566.3443199999997</v>
      </c>
      <c r="AE178" s="4">
        <f ca="1">$K$178*$Y$178</f>
        <v>736.92591280353372</v>
      </c>
      <c r="AF178" s="4">
        <f ca="1">$M$178*$Z$178</f>
        <v>457.65572372714576</v>
      </c>
      <c r="AG178" s="4">
        <f>$O$178*$AA$178</f>
        <v>3601.2996525704016</v>
      </c>
    </row>
    <row r="179" spans="1:33" ht="11.25" customHeight="1" x14ac:dyDescent="0.25">
      <c r="A179" s="3" t="s">
        <v>21</v>
      </c>
      <c r="B179" s="3" t="s">
        <v>39</v>
      </c>
      <c r="C179" s="3" t="s">
        <v>40</v>
      </c>
      <c r="D179" s="3" t="s">
        <v>50</v>
      </c>
      <c r="E179" s="3" t="s">
        <v>51</v>
      </c>
      <c r="F179" s="3" t="s">
        <v>25</v>
      </c>
      <c r="G179" s="3" t="s">
        <v>25</v>
      </c>
      <c r="H179" s="3" t="s">
        <v>35</v>
      </c>
      <c r="I179" s="6">
        <v>44287</v>
      </c>
      <c r="J179" s="4">
        <v>9600</v>
      </c>
      <c r="K179" s="57">
        <v>9600</v>
      </c>
      <c r="L179" s="4">
        <v>6170.4849999999997</v>
      </c>
      <c r="M179" s="56">
        <v>6170.4849999999997</v>
      </c>
      <c r="N179" s="4">
        <v>6170.4849999999997</v>
      </c>
      <c r="O179" s="56">
        <v>6170.4849999999997</v>
      </c>
      <c r="P179" s="4">
        <v>0</v>
      </c>
      <c r="Q179" s="3" t="s">
        <v>26</v>
      </c>
      <c r="R179" s="3">
        <v>0</v>
      </c>
      <c r="S179" s="4">
        <v>5</v>
      </c>
      <c r="T179" s="4">
        <v>6</v>
      </c>
      <c r="U179" s="4">
        <v>87</v>
      </c>
      <c r="V179" s="56">
        <f>IF(ISERROR(VLOOKUP($S$179,'TAR FIN'!$A$1:$O$113,15,0)),0,VLOOKUP($S$179,'TAR FIN'!$A$1:$O$113,15,0))*(1-0.06)</f>
        <v>10.894599999999999</v>
      </c>
      <c r="W179" s="56">
        <f>IF(ISERROR(VLOOKUP($T$179,'TAR FIN'!$A$1:$O$113,15,0)),0,VLOOKUP($T$179,'TAR FIN'!$A$1:$O$113,15,0))*(1-0.06)</f>
        <v>33.708399999999997</v>
      </c>
      <c r="X179" s="56">
        <f>IF(ISERROR(VLOOKUP($U$179,'TAR FIN'!$A$1:$O$113,15,0)),0,VLOOKUP($U$179,'TAR FIN'!$A$1:$O$113,15,0))*(1-0.06)</f>
        <v>208.97139999999999</v>
      </c>
      <c r="Y179" s="56">
        <f ca="1">('TUSD BE'!$AM$6+'TUSD BF'!$AM$6+'TUSD CVA'!$AM$6)*1*(1-0.03)</f>
        <v>10.613471750021905</v>
      </c>
      <c r="Z179" s="56">
        <f ca="1">('TUSD BE'!$AM$7+'TUSD BF'!$AM$7+'TUSD CVA'!$AM$7)*1*(1-0.03)</f>
        <v>44.567666997499316</v>
      </c>
      <c r="AA179" s="56">
        <f>('TE BE'!$AA$6+'TE BF'!$AA$6+'TE CVA'!$AA$6)*1*(1-0.03)</f>
        <v>216.45124957683362</v>
      </c>
      <c r="AB179" s="4">
        <f>$K$179*$V$179</f>
        <v>104588.15999999999</v>
      </c>
      <c r="AC179" s="4">
        <f>$M$179*$W$179</f>
        <v>207997.17657399998</v>
      </c>
      <c r="AD179" s="4">
        <f>$O$179*$X$179</f>
        <v>1289454.8891289998</v>
      </c>
      <c r="AE179" s="4">
        <f ca="1">$K$179*$Y$179</f>
        <v>101889.32880021028</v>
      </c>
      <c r="AF179" s="4">
        <f ca="1">$M$179*$Z$179</f>
        <v>275004.12069306453</v>
      </c>
      <c r="AG179" s="4">
        <f>$O$179*$AA$179</f>
        <v>1335609.1887451082</v>
      </c>
    </row>
    <row r="180" spans="1:33" ht="11.25" customHeight="1" x14ac:dyDescent="0.25">
      <c r="A180" s="3" t="s">
        <v>21</v>
      </c>
      <c r="B180" s="3" t="s">
        <v>39</v>
      </c>
      <c r="C180" s="3" t="s">
        <v>40</v>
      </c>
      <c r="D180" s="3" t="s">
        <v>50</v>
      </c>
      <c r="E180" s="3" t="s">
        <v>51</v>
      </c>
      <c r="F180" s="3" t="s">
        <v>25</v>
      </c>
      <c r="G180" s="3" t="s">
        <v>25</v>
      </c>
      <c r="H180" s="3" t="s">
        <v>35</v>
      </c>
      <c r="I180" s="6">
        <v>44317</v>
      </c>
      <c r="J180" s="4">
        <v>9600</v>
      </c>
      <c r="K180" s="57">
        <v>9600</v>
      </c>
      <c r="L180" s="4">
        <v>6371.0889999999999</v>
      </c>
      <c r="M180" s="56">
        <v>6371.0889999999999</v>
      </c>
      <c r="N180" s="4">
        <v>6371.0889999999999</v>
      </c>
      <c r="O180" s="56">
        <v>6371.0889999999999</v>
      </c>
      <c r="P180" s="4">
        <v>0</v>
      </c>
      <c r="Q180" s="3" t="s">
        <v>26</v>
      </c>
      <c r="R180" s="3">
        <v>0</v>
      </c>
      <c r="S180" s="4">
        <v>5</v>
      </c>
      <c r="T180" s="4">
        <v>6</v>
      </c>
      <c r="U180" s="4">
        <v>87</v>
      </c>
      <c r="V180" s="56">
        <f>IF(ISERROR(VLOOKUP($S$180,'TAR FIN'!$A$1:$O$113,15,0)),0,VLOOKUP($S$180,'TAR FIN'!$A$1:$O$113,15,0))*(1-0.06)</f>
        <v>10.894599999999999</v>
      </c>
      <c r="W180" s="56">
        <f>IF(ISERROR(VLOOKUP($T$180,'TAR FIN'!$A$1:$O$113,15,0)),0,VLOOKUP($T$180,'TAR FIN'!$A$1:$O$113,15,0))*(1-0.06)</f>
        <v>33.708399999999997</v>
      </c>
      <c r="X180" s="56">
        <f>IF(ISERROR(VLOOKUP($U$180,'TAR FIN'!$A$1:$O$113,15,0)),0,VLOOKUP($U$180,'TAR FIN'!$A$1:$O$113,15,0))*(1-0.06)</f>
        <v>208.97139999999999</v>
      </c>
      <c r="Y180" s="56">
        <f ca="1">('TUSD BE'!$AM$6+'TUSD BF'!$AM$6+'TUSD CVA'!$AM$6)*1*(1-0.03)</f>
        <v>10.613471750021905</v>
      </c>
      <c r="Z180" s="56">
        <f ca="1">('TUSD BE'!$AM$7+'TUSD BF'!$AM$7+'TUSD CVA'!$AM$7)*1*(1-0.03)</f>
        <v>44.567666997499316</v>
      </c>
      <c r="AA180" s="56">
        <f>('TE BE'!$AA$6+'TE BF'!$AA$6+'TE CVA'!$AA$6)*1*(1-0.03)</f>
        <v>216.45124957683362</v>
      </c>
      <c r="AB180" s="4">
        <f>$K$180*$V$180</f>
        <v>104588.15999999999</v>
      </c>
      <c r="AC180" s="4">
        <f>$M$180*$W$180</f>
        <v>214759.21644759999</v>
      </c>
      <c r="AD180" s="4">
        <f>$O$180*$X$180</f>
        <v>1331375.3878545999</v>
      </c>
      <c r="AE180" s="4">
        <f ca="1">$K$180*$Y$180</f>
        <v>101889.32880021028</v>
      </c>
      <c r="AF180" s="4">
        <f ca="1">$M$180*$Z$180</f>
        <v>283944.5729634309</v>
      </c>
      <c r="AG180" s="4">
        <f>$O$180*$AA$180</f>
        <v>1379030.1752152194</v>
      </c>
    </row>
    <row r="181" spans="1:33" ht="11.25" customHeight="1" x14ac:dyDescent="0.25">
      <c r="A181" s="3" t="s">
        <v>21</v>
      </c>
      <c r="B181" s="3" t="s">
        <v>39</v>
      </c>
      <c r="C181" s="3" t="s">
        <v>40</v>
      </c>
      <c r="D181" s="3" t="s">
        <v>50</v>
      </c>
      <c r="E181" s="3" t="s">
        <v>51</v>
      </c>
      <c r="F181" s="3" t="s">
        <v>25</v>
      </c>
      <c r="G181" s="3" t="s">
        <v>25</v>
      </c>
      <c r="H181" s="3" t="s">
        <v>35</v>
      </c>
      <c r="I181" s="6">
        <v>44348</v>
      </c>
      <c r="J181" s="4">
        <v>9600</v>
      </c>
      <c r="K181" s="57">
        <v>9600</v>
      </c>
      <c r="L181" s="4">
        <v>5900.6350000000002</v>
      </c>
      <c r="M181" s="56">
        <v>5900.6350000000002</v>
      </c>
      <c r="N181" s="4">
        <v>5900.6350000000002</v>
      </c>
      <c r="O181" s="56">
        <v>5900.6350000000002</v>
      </c>
      <c r="P181" s="4">
        <v>0</v>
      </c>
      <c r="Q181" s="3" t="s">
        <v>26</v>
      </c>
      <c r="R181" s="3">
        <v>0</v>
      </c>
      <c r="S181" s="4">
        <v>5</v>
      </c>
      <c r="T181" s="4">
        <v>6</v>
      </c>
      <c r="U181" s="4">
        <v>87</v>
      </c>
      <c r="V181" s="56">
        <f>IF(ISERROR(VLOOKUP($S$181,'TAR FIN'!$A$1:$O$113,15,0)),0,VLOOKUP($S$181,'TAR FIN'!$A$1:$O$113,15,0))*(1-0.06)</f>
        <v>10.894599999999999</v>
      </c>
      <c r="W181" s="56">
        <f>IF(ISERROR(VLOOKUP($T$181,'TAR FIN'!$A$1:$O$113,15,0)),0,VLOOKUP($T$181,'TAR FIN'!$A$1:$O$113,15,0))*(1-0.06)</f>
        <v>33.708399999999997</v>
      </c>
      <c r="X181" s="56">
        <f>IF(ISERROR(VLOOKUP($U$181,'TAR FIN'!$A$1:$O$113,15,0)),0,VLOOKUP($U$181,'TAR FIN'!$A$1:$O$113,15,0))*(1-0.06)</f>
        <v>208.97139999999999</v>
      </c>
      <c r="Y181" s="56">
        <f ca="1">('TUSD BE'!$AM$6+'TUSD BF'!$AM$6+'TUSD CVA'!$AM$6)*1*(1-0.03)</f>
        <v>10.613471750021905</v>
      </c>
      <c r="Z181" s="56">
        <f ca="1">('TUSD BE'!$AM$7+'TUSD BF'!$AM$7+'TUSD CVA'!$AM$7)*1*(1-0.03)</f>
        <v>44.567666997499316</v>
      </c>
      <c r="AA181" s="56">
        <f>('TE BE'!$AA$6+'TE BF'!$AA$6+'TE CVA'!$AA$6)*1*(1-0.03)</f>
        <v>216.45124957683362</v>
      </c>
      <c r="AB181" s="4">
        <f>$K$181*$V$181</f>
        <v>104588.15999999999</v>
      </c>
      <c r="AC181" s="4">
        <f>$M$181*$W$181</f>
        <v>198900.96483399998</v>
      </c>
      <c r="AD181" s="4">
        <f>$O$181*$X$181</f>
        <v>1233063.9568389999</v>
      </c>
      <c r="AE181" s="4">
        <f ca="1">$K$181*$Y$181</f>
        <v>101889.32880021028</v>
      </c>
      <c r="AF181" s="4">
        <f ca="1">$M$181*$Z$181</f>
        <v>262977.53575378936</v>
      </c>
      <c r="AG181" s="4">
        <f>$O$181*$AA$181</f>
        <v>1277199.8190467998</v>
      </c>
    </row>
    <row r="182" spans="1:33" ht="11.25" customHeight="1" x14ac:dyDescent="0.25">
      <c r="A182" s="3" t="s">
        <v>21</v>
      </c>
      <c r="B182" s="3" t="s">
        <v>39</v>
      </c>
      <c r="C182" s="3" t="s">
        <v>40</v>
      </c>
      <c r="D182" s="3" t="s">
        <v>50</v>
      </c>
      <c r="E182" s="3" t="s">
        <v>51</v>
      </c>
      <c r="F182" s="3" t="s">
        <v>25</v>
      </c>
      <c r="G182" s="3" t="s">
        <v>25</v>
      </c>
      <c r="H182" s="3" t="s">
        <v>35</v>
      </c>
      <c r="I182" s="6">
        <v>44378</v>
      </c>
      <c r="J182" s="4">
        <v>9600</v>
      </c>
      <c r="K182" s="57">
        <v>9600</v>
      </c>
      <c r="L182" s="4">
        <v>6235.5010000000002</v>
      </c>
      <c r="M182" s="56">
        <v>6235.5010000000002</v>
      </c>
      <c r="N182" s="4">
        <v>6235.5010000000002</v>
      </c>
      <c r="O182" s="56">
        <v>6235.5010000000002</v>
      </c>
      <c r="P182" s="4">
        <v>0</v>
      </c>
      <c r="Q182" s="3" t="s">
        <v>26</v>
      </c>
      <c r="R182" s="3">
        <v>0</v>
      </c>
      <c r="S182" s="4">
        <v>5</v>
      </c>
      <c r="T182" s="4">
        <v>6</v>
      </c>
      <c r="U182" s="4">
        <v>87</v>
      </c>
      <c r="V182" s="56">
        <f>IF(ISERROR(VLOOKUP($S$182,'TAR FIN'!$A$1:$O$113,15,0)),0,VLOOKUP($S$182,'TAR FIN'!$A$1:$O$113,15,0))*(1-0.06)</f>
        <v>10.894599999999999</v>
      </c>
      <c r="W182" s="56">
        <f>IF(ISERROR(VLOOKUP($T$182,'TAR FIN'!$A$1:$O$113,15,0)),0,VLOOKUP($T$182,'TAR FIN'!$A$1:$O$113,15,0))*(1-0.06)</f>
        <v>33.708399999999997</v>
      </c>
      <c r="X182" s="56">
        <f>IF(ISERROR(VLOOKUP($U$182,'TAR FIN'!$A$1:$O$113,15,0)),0,VLOOKUP($U$182,'TAR FIN'!$A$1:$O$113,15,0))*(1-0.06)</f>
        <v>208.97139999999999</v>
      </c>
      <c r="Y182" s="56">
        <f ca="1">('TUSD BE'!$AM$6+'TUSD BF'!$AM$6+'TUSD CVA'!$AM$6)*1*(1-0.03)</f>
        <v>10.613471750021905</v>
      </c>
      <c r="Z182" s="56">
        <f ca="1">('TUSD BE'!$AM$7+'TUSD BF'!$AM$7+'TUSD CVA'!$AM$7)*1*(1-0.03)</f>
        <v>44.567666997499316</v>
      </c>
      <c r="AA182" s="56">
        <f>('TE BE'!$AA$6+'TE BF'!$AA$6+'TE CVA'!$AA$6)*1*(1-0.03)</f>
        <v>216.45124957683362</v>
      </c>
      <c r="AB182" s="4">
        <f>$K$182*$V$182</f>
        <v>104588.15999999999</v>
      </c>
      <c r="AC182" s="4">
        <f>$M$182*$W$182</f>
        <v>210188.76190839999</v>
      </c>
      <c r="AD182" s="4">
        <f>$O$182*$X$182</f>
        <v>1303041.3736713999</v>
      </c>
      <c r="AE182" s="4">
        <f ca="1">$K$182*$Y$182</f>
        <v>101889.32880021028</v>
      </c>
      <c r="AF182" s="4">
        <f ca="1">$M$182*$Z$182</f>
        <v>277901.732130574</v>
      </c>
      <c r="AG182" s="4">
        <f>$O$182*$AA$182</f>
        <v>1349681.9831875956</v>
      </c>
    </row>
    <row r="183" spans="1:33" ht="11.25" customHeight="1" x14ac:dyDescent="0.25">
      <c r="A183" s="3" t="s">
        <v>21</v>
      </c>
      <c r="B183" s="3" t="s">
        <v>39</v>
      </c>
      <c r="C183" s="3" t="s">
        <v>40</v>
      </c>
      <c r="D183" s="3" t="s">
        <v>50</v>
      </c>
      <c r="E183" s="3" t="s">
        <v>51</v>
      </c>
      <c r="F183" s="3" t="s">
        <v>25</v>
      </c>
      <c r="G183" s="3" t="s">
        <v>25</v>
      </c>
      <c r="H183" s="3" t="s">
        <v>34</v>
      </c>
      <c r="I183" s="6">
        <v>44287</v>
      </c>
      <c r="J183" s="4">
        <v>3763</v>
      </c>
      <c r="K183" s="57">
        <v>3763</v>
      </c>
      <c r="L183" s="4">
        <v>218.589</v>
      </c>
      <c r="M183" s="56">
        <v>218.589</v>
      </c>
      <c r="N183" s="4">
        <v>218.589</v>
      </c>
      <c r="O183" s="56">
        <v>218.589</v>
      </c>
      <c r="P183" s="4">
        <v>0</v>
      </c>
      <c r="Q183" s="3" t="s">
        <v>26</v>
      </c>
      <c r="R183" s="3">
        <v>0</v>
      </c>
      <c r="S183" s="4">
        <v>4</v>
      </c>
      <c r="T183" s="4">
        <v>6</v>
      </c>
      <c r="U183" s="4">
        <v>86</v>
      </c>
      <c r="V183" s="56">
        <f>IF(ISERROR(VLOOKUP($S$183,'TAR FIN'!$A$1:$O$113,15,0)),0,VLOOKUP($S$183,'TAR FIN'!$A$1:$O$113,15,0))*(1-0.06)</f>
        <v>26.639599999999998</v>
      </c>
      <c r="W183" s="56">
        <f>IF(ISERROR(VLOOKUP($T$183,'TAR FIN'!$A$1:$O$113,15,0)),0,VLOOKUP($T$183,'TAR FIN'!$A$1:$O$113,15,0))*(1-0.06)</f>
        <v>33.708399999999997</v>
      </c>
      <c r="X183" s="56">
        <f>IF(ISERROR(VLOOKUP($U$183,'TAR FIN'!$A$1:$O$113,15,0)),0,VLOOKUP($U$183,'TAR FIN'!$A$1:$O$113,15,0))*(1-0.06)</f>
        <v>343.57</v>
      </c>
      <c r="Y183" s="56">
        <f ca="1">('TUSD BE'!$AM$5+'TUSD BF'!$AM$5+'TUSD CVA'!$AM$5)*1*(1-0.03)</f>
        <v>30.391927526336211</v>
      </c>
      <c r="Z183" s="56">
        <f ca="1">('TUSD BE'!$AM$7+'TUSD BF'!$AM$7+'TUSD CVA'!$AM$7)*1*(1-0.03)</f>
        <v>44.567666997499316</v>
      </c>
      <c r="AA183" s="56">
        <f>('TE BE'!$AA$5+'TE BF'!$AA$5+'TE CVA'!$AA$5)*1*(1-0.03)</f>
        <v>350.70363015859192</v>
      </c>
      <c r="AB183" s="4">
        <f>$K$183*$V$183</f>
        <v>100244.81479999999</v>
      </c>
      <c r="AC183" s="4">
        <f>$M$183*$W$183</f>
        <v>7368.2854475999993</v>
      </c>
      <c r="AD183" s="4">
        <f>$O$183*$X$183</f>
        <v>75100.622730000003</v>
      </c>
      <c r="AE183" s="4">
        <f ca="1">$K$183*$Y$183</f>
        <v>114364.82328160317</v>
      </c>
      <c r="AF183" s="4">
        <f ca="1">$M$183*$Z$183</f>
        <v>9742.0017613163782</v>
      </c>
      <c r="AG183" s="4">
        <f>$O$183*$AA$183</f>
        <v>76659.955812736443</v>
      </c>
    </row>
    <row r="184" spans="1:33" ht="11.25" customHeight="1" x14ac:dyDescent="0.25">
      <c r="A184" s="3" t="s">
        <v>21</v>
      </c>
      <c r="B184" s="3" t="s">
        <v>39</v>
      </c>
      <c r="C184" s="3" t="s">
        <v>40</v>
      </c>
      <c r="D184" s="3" t="s">
        <v>50</v>
      </c>
      <c r="E184" s="3" t="s">
        <v>51</v>
      </c>
      <c r="F184" s="3" t="s">
        <v>25</v>
      </c>
      <c r="G184" s="3" t="s">
        <v>25</v>
      </c>
      <c r="H184" s="3" t="s">
        <v>34</v>
      </c>
      <c r="I184" s="6">
        <v>44317</v>
      </c>
      <c r="J184" s="4">
        <v>3700</v>
      </c>
      <c r="K184" s="57">
        <v>3700</v>
      </c>
      <c r="L184" s="4">
        <v>229.916</v>
      </c>
      <c r="M184" s="56">
        <v>229.916</v>
      </c>
      <c r="N184" s="4">
        <v>229.916</v>
      </c>
      <c r="O184" s="56">
        <v>229.916</v>
      </c>
      <c r="P184" s="4">
        <v>0</v>
      </c>
      <c r="Q184" s="3" t="s">
        <v>26</v>
      </c>
      <c r="R184" s="3">
        <v>0</v>
      </c>
      <c r="S184" s="4">
        <v>4</v>
      </c>
      <c r="T184" s="4">
        <v>6</v>
      </c>
      <c r="U184" s="4">
        <v>86</v>
      </c>
      <c r="V184" s="56">
        <f>IF(ISERROR(VLOOKUP($S$184,'TAR FIN'!$A$1:$O$113,15,0)),0,VLOOKUP($S$184,'TAR FIN'!$A$1:$O$113,15,0))*(1-0.06)</f>
        <v>26.639599999999998</v>
      </c>
      <c r="W184" s="56">
        <f>IF(ISERROR(VLOOKUP($T$184,'TAR FIN'!$A$1:$O$113,15,0)),0,VLOOKUP($T$184,'TAR FIN'!$A$1:$O$113,15,0))*(1-0.06)</f>
        <v>33.708399999999997</v>
      </c>
      <c r="X184" s="56">
        <f>IF(ISERROR(VLOOKUP($U$184,'TAR FIN'!$A$1:$O$113,15,0)),0,VLOOKUP($U$184,'TAR FIN'!$A$1:$O$113,15,0))*(1-0.06)</f>
        <v>343.57</v>
      </c>
      <c r="Y184" s="56">
        <f ca="1">('TUSD BE'!$AM$5+'TUSD BF'!$AM$5+'TUSD CVA'!$AM$5)*1*(1-0.03)</f>
        <v>30.391927526336211</v>
      </c>
      <c r="Z184" s="56">
        <f ca="1">('TUSD BE'!$AM$7+'TUSD BF'!$AM$7+'TUSD CVA'!$AM$7)*1*(1-0.03)</f>
        <v>44.567666997499316</v>
      </c>
      <c r="AA184" s="56">
        <f>('TE BE'!$AA$5+'TE BF'!$AA$5+'TE CVA'!$AA$5)*1*(1-0.03)</f>
        <v>350.70363015859192</v>
      </c>
      <c r="AB184" s="4">
        <f>$K$184*$V$184</f>
        <v>98566.51999999999</v>
      </c>
      <c r="AC184" s="4">
        <f>$M$184*$W$184</f>
        <v>7750.1004943999997</v>
      </c>
      <c r="AD184" s="4">
        <f>$O$184*$X$184</f>
        <v>78992.240120000002</v>
      </c>
      <c r="AE184" s="4">
        <f ca="1">$K$184*$Y$184</f>
        <v>112450.13184744398</v>
      </c>
      <c r="AF184" s="4">
        <f ca="1">$M$184*$Z$184</f>
        <v>10246.819725397052</v>
      </c>
      <c r="AG184" s="4">
        <f>$O$184*$AA$184</f>
        <v>80632.375831542813</v>
      </c>
    </row>
    <row r="185" spans="1:33" ht="11.25" customHeight="1" x14ac:dyDescent="0.25">
      <c r="A185" s="3" t="s">
        <v>21</v>
      </c>
      <c r="B185" s="3" t="s">
        <v>39</v>
      </c>
      <c r="C185" s="3" t="s">
        <v>40</v>
      </c>
      <c r="D185" s="3" t="s">
        <v>50</v>
      </c>
      <c r="E185" s="3" t="s">
        <v>51</v>
      </c>
      <c r="F185" s="3" t="s">
        <v>25</v>
      </c>
      <c r="G185" s="3" t="s">
        <v>25</v>
      </c>
      <c r="H185" s="3" t="s">
        <v>34</v>
      </c>
      <c r="I185" s="6">
        <v>44348</v>
      </c>
      <c r="J185" s="4">
        <v>3700</v>
      </c>
      <c r="K185" s="57">
        <v>3700</v>
      </c>
      <c r="L185" s="4">
        <v>229.82</v>
      </c>
      <c r="M185" s="56">
        <v>229.82</v>
      </c>
      <c r="N185" s="4">
        <v>229.82</v>
      </c>
      <c r="O185" s="56">
        <v>229.82</v>
      </c>
      <c r="P185" s="4">
        <v>0</v>
      </c>
      <c r="Q185" s="3" t="s">
        <v>26</v>
      </c>
      <c r="R185" s="3">
        <v>0</v>
      </c>
      <c r="S185" s="4">
        <v>4</v>
      </c>
      <c r="T185" s="4">
        <v>6</v>
      </c>
      <c r="U185" s="4">
        <v>86</v>
      </c>
      <c r="V185" s="56">
        <f>IF(ISERROR(VLOOKUP($S$185,'TAR FIN'!$A$1:$O$113,15,0)),0,VLOOKUP($S$185,'TAR FIN'!$A$1:$O$113,15,0))*(1-0.06)</f>
        <v>26.639599999999998</v>
      </c>
      <c r="W185" s="56">
        <f>IF(ISERROR(VLOOKUP($T$185,'TAR FIN'!$A$1:$O$113,15,0)),0,VLOOKUP($T$185,'TAR FIN'!$A$1:$O$113,15,0))*(1-0.06)</f>
        <v>33.708399999999997</v>
      </c>
      <c r="X185" s="56">
        <f>IF(ISERROR(VLOOKUP($U$185,'TAR FIN'!$A$1:$O$113,15,0)),0,VLOOKUP($U$185,'TAR FIN'!$A$1:$O$113,15,0))*(1-0.06)</f>
        <v>343.57</v>
      </c>
      <c r="Y185" s="56">
        <f ca="1">('TUSD BE'!$AM$5+'TUSD BF'!$AM$5+'TUSD CVA'!$AM$5)*1*(1-0.03)</f>
        <v>30.391927526336211</v>
      </c>
      <c r="Z185" s="56">
        <f ca="1">('TUSD BE'!$AM$7+'TUSD BF'!$AM$7+'TUSD CVA'!$AM$7)*1*(1-0.03)</f>
        <v>44.567666997499316</v>
      </c>
      <c r="AA185" s="56">
        <f>('TE BE'!$AA$5+'TE BF'!$AA$5+'TE CVA'!$AA$5)*1*(1-0.03)</f>
        <v>350.70363015859192</v>
      </c>
      <c r="AB185" s="4">
        <f>$K$185*$V$185</f>
        <v>98566.51999999999</v>
      </c>
      <c r="AC185" s="4">
        <f>$M$185*$W$185</f>
        <v>7746.8644879999993</v>
      </c>
      <c r="AD185" s="4">
        <f>$O$185*$X$185</f>
        <v>78959.257400000002</v>
      </c>
      <c r="AE185" s="4">
        <f ca="1">$K$185*$Y$185</f>
        <v>112450.13184744398</v>
      </c>
      <c r="AF185" s="4">
        <f ca="1">$M$185*$Z$185</f>
        <v>10242.541229365292</v>
      </c>
      <c r="AG185" s="4">
        <f>$O$185*$AA$185</f>
        <v>80598.708283047599</v>
      </c>
    </row>
    <row r="186" spans="1:33" ht="11.25" customHeight="1" x14ac:dyDescent="0.25">
      <c r="A186" s="3" t="s">
        <v>21</v>
      </c>
      <c r="B186" s="3" t="s">
        <v>39</v>
      </c>
      <c r="C186" s="3" t="s">
        <v>40</v>
      </c>
      <c r="D186" s="3" t="s">
        <v>50</v>
      </c>
      <c r="E186" s="3" t="s">
        <v>51</v>
      </c>
      <c r="F186" s="3" t="s">
        <v>25</v>
      </c>
      <c r="G186" s="3" t="s">
        <v>25</v>
      </c>
      <c r="H186" s="3" t="s">
        <v>34</v>
      </c>
      <c r="I186" s="6">
        <v>44378</v>
      </c>
      <c r="J186" s="4">
        <v>3746</v>
      </c>
      <c r="K186" s="57">
        <v>3746</v>
      </c>
      <c r="L186" s="4">
        <v>241.227</v>
      </c>
      <c r="M186" s="56">
        <v>241.227</v>
      </c>
      <c r="N186" s="4">
        <v>241.227</v>
      </c>
      <c r="O186" s="56">
        <v>241.227</v>
      </c>
      <c r="P186" s="4">
        <v>0</v>
      </c>
      <c r="Q186" s="3" t="s">
        <v>26</v>
      </c>
      <c r="R186" s="3">
        <v>0</v>
      </c>
      <c r="S186" s="4">
        <v>4</v>
      </c>
      <c r="T186" s="4">
        <v>6</v>
      </c>
      <c r="U186" s="4">
        <v>86</v>
      </c>
      <c r="V186" s="56">
        <f>IF(ISERROR(VLOOKUP($S$186,'TAR FIN'!$A$1:$O$113,15,0)),0,VLOOKUP($S$186,'TAR FIN'!$A$1:$O$113,15,0))*(1-0.06)</f>
        <v>26.639599999999998</v>
      </c>
      <c r="W186" s="56">
        <f>IF(ISERROR(VLOOKUP($T$186,'TAR FIN'!$A$1:$O$113,15,0)),0,VLOOKUP($T$186,'TAR FIN'!$A$1:$O$113,15,0))*(1-0.06)</f>
        <v>33.708399999999997</v>
      </c>
      <c r="X186" s="56">
        <f>IF(ISERROR(VLOOKUP($U$186,'TAR FIN'!$A$1:$O$113,15,0)),0,VLOOKUP($U$186,'TAR FIN'!$A$1:$O$113,15,0))*(1-0.06)</f>
        <v>343.57</v>
      </c>
      <c r="Y186" s="56">
        <f ca="1">('TUSD BE'!$AM$5+'TUSD BF'!$AM$5+'TUSD CVA'!$AM$5)*1*(1-0.03)</f>
        <v>30.391927526336211</v>
      </c>
      <c r="Z186" s="56">
        <f ca="1">('TUSD BE'!$AM$7+'TUSD BF'!$AM$7+'TUSD CVA'!$AM$7)*1*(1-0.03)</f>
        <v>44.567666997499316</v>
      </c>
      <c r="AA186" s="56">
        <f>('TE BE'!$AA$5+'TE BF'!$AA$5+'TE CVA'!$AA$5)*1*(1-0.03)</f>
        <v>350.70363015859192</v>
      </c>
      <c r="AB186" s="4">
        <f>$K$186*$V$186</f>
        <v>99791.941599999991</v>
      </c>
      <c r="AC186" s="4">
        <f>$M$186*$W$186</f>
        <v>8131.3762067999996</v>
      </c>
      <c r="AD186" s="4">
        <f>$O$186*$X$186</f>
        <v>82878.360390000002</v>
      </c>
      <c r="AE186" s="4">
        <f ca="1">$K$186*$Y$186</f>
        <v>113848.16051365544</v>
      </c>
      <c r="AF186" s="4">
        <f ca="1">$M$186*$Z$186</f>
        <v>10750.924606805767</v>
      </c>
      <c r="AG186" s="4">
        <f>$O$186*$AA$186</f>
        <v>84599.184592266654</v>
      </c>
    </row>
    <row r="187" spans="1:33" ht="11.25" customHeight="1" x14ac:dyDescent="0.25">
      <c r="A187" s="3" t="s">
        <v>21</v>
      </c>
      <c r="B187" s="3" t="s">
        <v>39</v>
      </c>
      <c r="C187" s="3" t="s">
        <v>61</v>
      </c>
      <c r="D187" s="3" t="s">
        <v>25</v>
      </c>
      <c r="E187" s="3" t="s">
        <v>25</v>
      </c>
      <c r="F187" s="3" t="s">
        <v>64</v>
      </c>
      <c r="G187" s="3" t="s">
        <v>65</v>
      </c>
      <c r="H187" s="3" t="s">
        <v>25</v>
      </c>
      <c r="I187" s="6">
        <v>44287</v>
      </c>
      <c r="J187" s="4">
        <v>0</v>
      </c>
      <c r="K187" s="4">
        <v>0</v>
      </c>
      <c r="L187" s="4">
        <v>0</v>
      </c>
      <c r="M187" s="4">
        <v>0</v>
      </c>
      <c r="N187" s="4">
        <v>31409.545999999998</v>
      </c>
      <c r="O187" s="4">
        <v>31409.545999999998</v>
      </c>
      <c r="P187" s="4">
        <v>0</v>
      </c>
      <c r="Q187" s="3" t="s">
        <v>66</v>
      </c>
      <c r="R187" s="3">
        <v>46</v>
      </c>
      <c r="S187" s="4">
        <v>0</v>
      </c>
      <c r="T187" s="4">
        <v>0</v>
      </c>
      <c r="U187" s="4">
        <v>90</v>
      </c>
      <c r="V187" s="4">
        <f>IF(ISERROR(VLOOKUP($S$187,'TAR FIN'!$A$1:$O$113,15,0)),0,VLOOKUP($S$187,'TAR FIN'!$A$1:$O$113,15,0))</f>
        <v>0</v>
      </c>
      <c r="W187" s="4">
        <f>IF(ISERROR(VLOOKUP($T$187,'TAR FIN'!$A$1:$O$113,15,0)),0,VLOOKUP($T$187,'TAR FIN'!$A$1:$O$113,15,0))</f>
        <v>0</v>
      </c>
      <c r="X187" s="4">
        <f>IF(ISERROR(VLOOKUP($U$187,'TAR FIN'!$A$1:$O$113,15,0)),0,VLOOKUP($U$187,'TAR FIN'!$A$1:$O$113,15,0))</f>
        <v>230.1</v>
      </c>
      <c r="Y187" s="4">
        <f ca="1">0.72*('TUSD BE'!$AM$9+'TUSD BF'!$AM$9+'TUSD CVA'!$AM$9)*1+('TUSD BE'!$AM$10+'TUSD BF'!$AM$10+'TUSD CVA'!$AM$10)*1</f>
        <v>36.211271580834378</v>
      </c>
      <c r="Z187" s="4">
        <f ca="1">('TUSD BE'!$AM$11+'TUSD BF'!$AM$11+'TUSD CVA'!$AM$11)*1</f>
        <v>4.6233666364282548</v>
      </c>
      <c r="AA187" s="4">
        <f>('TE BE'!$AA$7+'TE BF'!$AA$7+'TE CVA'!$AA$7)*1</f>
        <v>253.57775100318744</v>
      </c>
      <c r="AB187" s="4">
        <f>$K$187*$V$187</f>
        <v>0</v>
      </c>
      <c r="AC187" s="4">
        <f>$M$187*$W$187</f>
        <v>0</v>
      </c>
      <c r="AD187" s="4">
        <f>$O$187*$X$187</f>
        <v>7227336.5345999999</v>
      </c>
      <c r="AE187" s="4">
        <f ca="1">$K$187*$Y$187</f>
        <v>0</v>
      </c>
      <c r="AF187" s="4">
        <f ca="1">$M$187*$Z$187</f>
        <v>0</v>
      </c>
      <c r="AG187" s="4">
        <f>$O$187*$AA$187</f>
        <v>7964762.0347111616</v>
      </c>
    </row>
    <row r="188" spans="1:33" ht="11.25" customHeight="1" x14ac:dyDescent="0.25">
      <c r="A188" s="3" t="s">
        <v>21</v>
      </c>
      <c r="B188" s="3" t="s">
        <v>39</v>
      </c>
      <c r="C188" s="3" t="s">
        <v>61</v>
      </c>
      <c r="D188" s="3" t="s">
        <v>25</v>
      </c>
      <c r="E188" s="3" t="s">
        <v>25</v>
      </c>
      <c r="F188" s="3" t="s">
        <v>64</v>
      </c>
      <c r="G188" s="3" t="s">
        <v>65</v>
      </c>
      <c r="H188" s="3" t="s">
        <v>25</v>
      </c>
      <c r="I188" s="6">
        <v>44317</v>
      </c>
      <c r="J188" s="4">
        <v>0</v>
      </c>
      <c r="K188" s="4">
        <v>0</v>
      </c>
      <c r="L188" s="4">
        <v>0</v>
      </c>
      <c r="M188" s="4">
        <v>0</v>
      </c>
      <c r="N188" s="4">
        <v>28670.883999999998</v>
      </c>
      <c r="O188" s="4">
        <v>28670.883999999998</v>
      </c>
      <c r="P188" s="4">
        <v>0</v>
      </c>
      <c r="Q188" s="3" t="s">
        <v>66</v>
      </c>
      <c r="R188" s="3">
        <v>46</v>
      </c>
      <c r="S188" s="4">
        <v>0</v>
      </c>
      <c r="T188" s="4">
        <v>0</v>
      </c>
      <c r="U188" s="4">
        <v>90</v>
      </c>
      <c r="V188" s="4">
        <f>IF(ISERROR(VLOOKUP($S$188,'TAR FIN'!$A$1:$O$113,15,0)),0,VLOOKUP($S$188,'TAR FIN'!$A$1:$O$113,15,0))</f>
        <v>0</v>
      </c>
      <c r="W188" s="4">
        <f>IF(ISERROR(VLOOKUP($T$188,'TAR FIN'!$A$1:$O$113,15,0)),0,VLOOKUP($T$188,'TAR FIN'!$A$1:$O$113,15,0))</f>
        <v>0</v>
      </c>
      <c r="X188" s="4">
        <f>IF(ISERROR(VLOOKUP($U$188,'TAR FIN'!$A$1:$O$113,15,0)),0,VLOOKUP($U$188,'TAR FIN'!$A$1:$O$113,15,0))</f>
        <v>230.1</v>
      </c>
      <c r="Y188" s="4">
        <f ca="1">0.72*('TUSD BE'!$AM$9+'TUSD BF'!$AM$9+'TUSD CVA'!$AM$9)*1+('TUSD BE'!$AM$10+'TUSD BF'!$AM$10+'TUSD CVA'!$AM$10)*1</f>
        <v>36.211271580834378</v>
      </c>
      <c r="Z188" s="4">
        <f ca="1">('TUSD BE'!$AM$11+'TUSD BF'!$AM$11+'TUSD CVA'!$AM$11)*1</f>
        <v>4.6233666364282548</v>
      </c>
      <c r="AA188" s="4">
        <f>('TE BE'!$AA$7+'TE BF'!$AA$7+'TE CVA'!$AA$7)*1</f>
        <v>253.57775100318744</v>
      </c>
      <c r="AB188" s="4">
        <f>$K$188*$V$188</f>
        <v>0</v>
      </c>
      <c r="AC188" s="4">
        <f>$M$188*$W$188</f>
        <v>0</v>
      </c>
      <c r="AD188" s="4">
        <f>$O$188*$X$188</f>
        <v>6597170.4083999991</v>
      </c>
      <c r="AE188" s="4">
        <f ca="1">$K$188*$Y$188</f>
        <v>0</v>
      </c>
      <c r="AF188" s="4">
        <f ca="1">$M$188*$Z$188</f>
        <v>0</v>
      </c>
      <c r="AG188" s="4">
        <f>$O$188*$AA$188</f>
        <v>7270298.2839932702</v>
      </c>
    </row>
    <row r="189" spans="1:33" ht="11.25" customHeight="1" x14ac:dyDescent="0.25">
      <c r="A189" s="3" t="s">
        <v>21</v>
      </c>
      <c r="B189" s="3" t="s">
        <v>39</v>
      </c>
      <c r="C189" s="3" t="s">
        <v>61</v>
      </c>
      <c r="D189" s="3" t="s">
        <v>25</v>
      </c>
      <c r="E189" s="3" t="s">
        <v>25</v>
      </c>
      <c r="F189" s="3" t="s">
        <v>64</v>
      </c>
      <c r="G189" s="3" t="s">
        <v>65</v>
      </c>
      <c r="H189" s="3" t="s">
        <v>25</v>
      </c>
      <c r="I189" s="6">
        <v>44348</v>
      </c>
      <c r="J189" s="4">
        <v>0</v>
      </c>
      <c r="K189" s="4">
        <v>0</v>
      </c>
      <c r="L189" s="4">
        <v>0</v>
      </c>
      <c r="M189" s="4">
        <v>0</v>
      </c>
      <c r="N189" s="4">
        <v>27604.213</v>
      </c>
      <c r="O189" s="4">
        <v>27604.213</v>
      </c>
      <c r="P189" s="4">
        <v>0</v>
      </c>
      <c r="Q189" s="3" t="s">
        <v>66</v>
      </c>
      <c r="R189" s="3">
        <v>46</v>
      </c>
      <c r="S189" s="4">
        <v>0</v>
      </c>
      <c r="T189" s="4">
        <v>0</v>
      </c>
      <c r="U189" s="4">
        <v>90</v>
      </c>
      <c r="V189" s="4">
        <f>IF(ISERROR(VLOOKUP($S$189,'TAR FIN'!$A$1:$O$113,15,0)),0,VLOOKUP($S$189,'TAR FIN'!$A$1:$O$113,15,0))</f>
        <v>0</v>
      </c>
      <c r="W189" s="4">
        <f>IF(ISERROR(VLOOKUP($T$189,'TAR FIN'!$A$1:$O$113,15,0)),0,VLOOKUP($T$189,'TAR FIN'!$A$1:$O$113,15,0))</f>
        <v>0</v>
      </c>
      <c r="X189" s="4">
        <f>IF(ISERROR(VLOOKUP($U$189,'TAR FIN'!$A$1:$O$113,15,0)),0,VLOOKUP($U$189,'TAR FIN'!$A$1:$O$113,15,0))</f>
        <v>230.1</v>
      </c>
      <c r="Y189" s="4">
        <f ca="1">0.72*('TUSD BE'!$AM$9+'TUSD BF'!$AM$9+'TUSD CVA'!$AM$9)*1+('TUSD BE'!$AM$10+'TUSD BF'!$AM$10+'TUSD CVA'!$AM$10)*1</f>
        <v>36.211271580834378</v>
      </c>
      <c r="Z189" s="4">
        <f ca="1">('TUSD BE'!$AM$11+'TUSD BF'!$AM$11+'TUSD CVA'!$AM$11)*1</f>
        <v>4.6233666364282548</v>
      </c>
      <c r="AA189" s="4">
        <f>('TE BE'!$AA$7+'TE BF'!$AA$7+'TE CVA'!$AA$7)*1</f>
        <v>253.57775100318744</v>
      </c>
      <c r="AB189" s="4">
        <f>$K$189*$V$189</f>
        <v>0</v>
      </c>
      <c r="AC189" s="4">
        <f>$M$189*$W$189</f>
        <v>0</v>
      </c>
      <c r="AD189" s="4">
        <f>$O$189*$X$189</f>
        <v>6351729.4112999998</v>
      </c>
      <c r="AE189" s="4">
        <f ca="1">$K$189*$Y$189</f>
        <v>0</v>
      </c>
      <c r="AF189" s="4">
        <f ca="1">$M$189*$Z$189</f>
        <v>0</v>
      </c>
      <c r="AG189" s="4">
        <f>$O$189*$AA$189</f>
        <v>6999814.2507529501</v>
      </c>
    </row>
    <row r="190" spans="1:33" ht="11.25" customHeight="1" x14ac:dyDescent="0.25">
      <c r="A190" s="3" t="s">
        <v>21</v>
      </c>
      <c r="B190" s="3" t="s">
        <v>39</v>
      </c>
      <c r="C190" s="3" t="s">
        <v>61</v>
      </c>
      <c r="D190" s="3" t="s">
        <v>25</v>
      </c>
      <c r="E190" s="3" t="s">
        <v>25</v>
      </c>
      <c r="F190" s="3" t="s">
        <v>64</v>
      </c>
      <c r="G190" s="3" t="s">
        <v>65</v>
      </c>
      <c r="H190" s="3" t="s">
        <v>25</v>
      </c>
      <c r="I190" s="6">
        <v>44378</v>
      </c>
      <c r="J190" s="4">
        <v>0</v>
      </c>
      <c r="K190" s="4">
        <v>0</v>
      </c>
      <c r="L190" s="4">
        <v>0</v>
      </c>
      <c r="M190" s="4">
        <v>0</v>
      </c>
      <c r="N190" s="4">
        <v>26724.085999999999</v>
      </c>
      <c r="O190" s="4">
        <v>26724.085999999999</v>
      </c>
      <c r="P190" s="4">
        <v>0</v>
      </c>
      <c r="Q190" s="3" t="s">
        <v>66</v>
      </c>
      <c r="R190" s="3">
        <v>46</v>
      </c>
      <c r="S190" s="4">
        <v>0</v>
      </c>
      <c r="T190" s="4">
        <v>0</v>
      </c>
      <c r="U190" s="4">
        <v>90</v>
      </c>
      <c r="V190" s="4">
        <f>IF(ISERROR(VLOOKUP($S$190,'TAR FIN'!$A$1:$O$113,15,0)),0,VLOOKUP($S$190,'TAR FIN'!$A$1:$O$113,15,0))</f>
        <v>0</v>
      </c>
      <c r="W190" s="4">
        <f>IF(ISERROR(VLOOKUP($T$190,'TAR FIN'!$A$1:$O$113,15,0)),0,VLOOKUP($T$190,'TAR FIN'!$A$1:$O$113,15,0))</f>
        <v>0</v>
      </c>
      <c r="X190" s="4">
        <f>IF(ISERROR(VLOOKUP($U$190,'TAR FIN'!$A$1:$O$113,15,0)),0,VLOOKUP($U$190,'TAR FIN'!$A$1:$O$113,15,0))</f>
        <v>230.1</v>
      </c>
      <c r="Y190" s="4">
        <f ca="1">0.72*('TUSD BE'!$AM$9+'TUSD BF'!$AM$9+'TUSD CVA'!$AM$9)*1+('TUSD BE'!$AM$10+'TUSD BF'!$AM$10+'TUSD CVA'!$AM$10)*1</f>
        <v>36.211271580834378</v>
      </c>
      <c r="Z190" s="4">
        <f ca="1">('TUSD BE'!$AM$11+'TUSD BF'!$AM$11+'TUSD CVA'!$AM$11)*1</f>
        <v>4.6233666364282548</v>
      </c>
      <c r="AA190" s="4">
        <f>('TE BE'!$AA$7+'TE BF'!$AA$7+'TE CVA'!$AA$7)*1</f>
        <v>253.57775100318744</v>
      </c>
      <c r="AB190" s="4">
        <f>$K$190*$V$190</f>
        <v>0</v>
      </c>
      <c r="AC190" s="4">
        <f>$M$190*$W$190</f>
        <v>0</v>
      </c>
      <c r="AD190" s="4">
        <f>$O$190*$X$190</f>
        <v>6149212.1886</v>
      </c>
      <c r="AE190" s="4">
        <f ca="1">$K$190*$Y$190</f>
        <v>0</v>
      </c>
      <c r="AF190" s="4">
        <f ca="1">$M$190*$Z$190</f>
        <v>0</v>
      </c>
      <c r="AG190" s="4">
        <f>$O$190*$AA$190</f>
        <v>6776633.6254957672</v>
      </c>
    </row>
    <row r="191" spans="1:33" ht="11.25" customHeight="1" x14ac:dyDescent="0.25">
      <c r="A191" s="3" t="s">
        <v>21</v>
      </c>
      <c r="B191" s="3" t="s">
        <v>39</v>
      </c>
      <c r="C191" s="3" t="s">
        <v>61</v>
      </c>
      <c r="D191" s="3" t="s">
        <v>25</v>
      </c>
      <c r="E191" s="3" t="s">
        <v>25</v>
      </c>
      <c r="F191" s="3" t="s">
        <v>64</v>
      </c>
      <c r="G191" s="3" t="s">
        <v>65</v>
      </c>
      <c r="H191" s="3" t="s">
        <v>25</v>
      </c>
      <c r="I191" s="6">
        <v>44409</v>
      </c>
      <c r="J191" s="4">
        <v>0</v>
      </c>
      <c r="K191" s="4">
        <v>0</v>
      </c>
      <c r="L191" s="4">
        <v>0</v>
      </c>
      <c r="M191" s="4">
        <v>0</v>
      </c>
      <c r="N191" s="4">
        <v>26608.66</v>
      </c>
      <c r="O191" s="4">
        <v>26608.66</v>
      </c>
      <c r="P191" s="4">
        <v>0</v>
      </c>
      <c r="Q191" s="3" t="s">
        <v>66</v>
      </c>
      <c r="R191" s="3">
        <v>46</v>
      </c>
      <c r="S191" s="4">
        <v>0</v>
      </c>
      <c r="T191" s="4">
        <v>0</v>
      </c>
      <c r="U191" s="4">
        <v>90</v>
      </c>
      <c r="V191" s="4">
        <f>IF(ISERROR(VLOOKUP($S$191,'TAR FIN'!$A$1:$O$113,15,0)),0,VLOOKUP($S$191,'TAR FIN'!$A$1:$O$113,15,0))</f>
        <v>0</v>
      </c>
      <c r="W191" s="4">
        <f>IF(ISERROR(VLOOKUP($T$191,'TAR FIN'!$A$1:$O$113,15,0)),0,VLOOKUP($T$191,'TAR FIN'!$A$1:$O$113,15,0))</f>
        <v>0</v>
      </c>
      <c r="X191" s="4">
        <f>IF(ISERROR(VLOOKUP($U$191,'TAR FIN'!$A$1:$O$113,15,0)),0,VLOOKUP($U$191,'TAR FIN'!$A$1:$O$113,15,0))</f>
        <v>230.1</v>
      </c>
      <c r="Y191" s="4">
        <f ca="1">0.72*('TUSD BE'!$AM$9+'TUSD BF'!$AM$9+'TUSD CVA'!$AM$9)*1+('TUSD BE'!$AM$10+'TUSD BF'!$AM$10+'TUSD CVA'!$AM$10)*1</f>
        <v>36.211271580834378</v>
      </c>
      <c r="Z191" s="4">
        <f ca="1">('TUSD BE'!$AM$11+'TUSD BF'!$AM$11+'TUSD CVA'!$AM$11)*1</f>
        <v>4.6233666364282548</v>
      </c>
      <c r="AA191" s="4">
        <f>('TE BE'!$AA$7+'TE BF'!$AA$7+'TE CVA'!$AA$7)*1</f>
        <v>253.57775100318744</v>
      </c>
      <c r="AB191" s="4">
        <f>$K$191*$V$191</f>
        <v>0</v>
      </c>
      <c r="AC191" s="4">
        <f>$M$191*$W$191</f>
        <v>0</v>
      </c>
      <c r="AD191" s="4">
        <f>$O$191*$X$191</f>
        <v>6122652.6660000002</v>
      </c>
      <c r="AE191" s="4">
        <f ca="1">$K$191*$Y$191</f>
        <v>0</v>
      </c>
      <c r="AF191" s="4">
        <f ca="1">$M$191*$Z$191</f>
        <v>0</v>
      </c>
      <c r="AG191" s="4">
        <f>$O$191*$AA$191</f>
        <v>6747364.1600084733</v>
      </c>
    </row>
    <row r="192" spans="1:33" ht="11.25" customHeight="1" x14ac:dyDescent="0.25">
      <c r="A192" s="3" t="s">
        <v>21</v>
      </c>
      <c r="B192" s="3" t="s">
        <v>39</v>
      </c>
      <c r="C192" s="3" t="s">
        <v>61</v>
      </c>
      <c r="D192" s="3" t="s">
        <v>25</v>
      </c>
      <c r="E192" s="3" t="s">
        <v>25</v>
      </c>
      <c r="F192" s="3" t="s">
        <v>64</v>
      </c>
      <c r="G192" s="3" t="s">
        <v>65</v>
      </c>
      <c r="H192" s="3" t="s">
        <v>25</v>
      </c>
      <c r="I192" s="6">
        <v>44440</v>
      </c>
      <c r="J192" s="4">
        <v>0</v>
      </c>
      <c r="K192" s="4">
        <v>0</v>
      </c>
      <c r="L192" s="4">
        <v>0</v>
      </c>
      <c r="M192" s="4">
        <v>0</v>
      </c>
      <c r="N192" s="4">
        <v>26590.552</v>
      </c>
      <c r="O192" s="4">
        <v>26590.552</v>
      </c>
      <c r="P192" s="4">
        <v>0</v>
      </c>
      <c r="Q192" s="3" t="s">
        <v>66</v>
      </c>
      <c r="R192" s="3">
        <v>46</v>
      </c>
      <c r="S192" s="4">
        <v>0</v>
      </c>
      <c r="T192" s="4">
        <v>0</v>
      </c>
      <c r="U192" s="4">
        <v>90</v>
      </c>
      <c r="V192" s="4">
        <f>IF(ISERROR(VLOOKUP($S$192,'TAR FIN'!$A$1:$O$113,15,0)),0,VLOOKUP($S$192,'TAR FIN'!$A$1:$O$113,15,0))</f>
        <v>0</v>
      </c>
      <c r="W192" s="4">
        <f>IF(ISERROR(VLOOKUP($T$192,'TAR FIN'!$A$1:$O$113,15,0)),0,VLOOKUP($T$192,'TAR FIN'!$A$1:$O$113,15,0))</f>
        <v>0</v>
      </c>
      <c r="X192" s="4">
        <f>IF(ISERROR(VLOOKUP($U$192,'TAR FIN'!$A$1:$O$113,15,0)),0,VLOOKUP($U$192,'TAR FIN'!$A$1:$O$113,15,0))</f>
        <v>230.1</v>
      </c>
      <c r="Y192" s="4">
        <f ca="1">0.72*('TUSD BE'!$AM$9+'TUSD BF'!$AM$9+'TUSD CVA'!$AM$9)*1+('TUSD BE'!$AM$10+'TUSD BF'!$AM$10+'TUSD CVA'!$AM$10)*1</f>
        <v>36.211271580834378</v>
      </c>
      <c r="Z192" s="4">
        <f ca="1">('TUSD BE'!$AM$11+'TUSD BF'!$AM$11+'TUSD CVA'!$AM$11)*1</f>
        <v>4.6233666364282548</v>
      </c>
      <c r="AA192" s="4">
        <f>('TE BE'!$AA$7+'TE BF'!$AA$7+'TE CVA'!$AA$7)*1</f>
        <v>253.57775100318744</v>
      </c>
      <c r="AB192" s="4">
        <f>$K$192*$V$192</f>
        <v>0</v>
      </c>
      <c r="AC192" s="4">
        <f>$M$192*$W$192</f>
        <v>0</v>
      </c>
      <c r="AD192" s="4">
        <f>$O$192*$X$192</f>
        <v>6118486.0151999993</v>
      </c>
      <c r="AE192" s="4">
        <f ca="1">$K$192*$Y$192</f>
        <v>0</v>
      </c>
      <c r="AF192" s="4">
        <f ca="1">$M$192*$Z$192</f>
        <v>0</v>
      </c>
      <c r="AG192" s="4">
        <f>$O$192*$AA$192</f>
        <v>6742772.3740933081</v>
      </c>
    </row>
    <row r="193" spans="1:33" ht="11.25" customHeight="1" x14ac:dyDescent="0.25">
      <c r="A193" s="3" t="s">
        <v>21</v>
      </c>
      <c r="B193" s="3" t="s">
        <v>39</v>
      </c>
      <c r="C193" s="3" t="s">
        <v>61</v>
      </c>
      <c r="D193" s="3" t="s">
        <v>25</v>
      </c>
      <c r="E193" s="3" t="s">
        <v>25</v>
      </c>
      <c r="F193" s="3" t="s">
        <v>64</v>
      </c>
      <c r="G193" s="3" t="s">
        <v>65</v>
      </c>
      <c r="H193" s="3" t="s">
        <v>25</v>
      </c>
      <c r="I193" s="6">
        <v>44470</v>
      </c>
      <c r="J193" s="4">
        <v>0</v>
      </c>
      <c r="K193" s="4">
        <v>0</v>
      </c>
      <c r="L193" s="4">
        <v>0</v>
      </c>
      <c r="M193" s="4">
        <v>0</v>
      </c>
      <c r="N193" s="4">
        <v>27481.698</v>
      </c>
      <c r="O193" s="4">
        <v>27481.698</v>
      </c>
      <c r="P193" s="4">
        <v>0</v>
      </c>
      <c r="Q193" s="3" t="s">
        <v>66</v>
      </c>
      <c r="R193" s="3">
        <v>46</v>
      </c>
      <c r="S193" s="4">
        <v>0</v>
      </c>
      <c r="T193" s="4">
        <v>0</v>
      </c>
      <c r="U193" s="4">
        <v>90</v>
      </c>
      <c r="V193" s="4">
        <f>IF(ISERROR(VLOOKUP($S$193,'TAR FIN'!$A$1:$O$113,15,0)),0,VLOOKUP($S$193,'TAR FIN'!$A$1:$O$113,15,0))</f>
        <v>0</v>
      </c>
      <c r="W193" s="4">
        <f>IF(ISERROR(VLOOKUP($T$193,'TAR FIN'!$A$1:$O$113,15,0)),0,VLOOKUP($T$193,'TAR FIN'!$A$1:$O$113,15,0))</f>
        <v>0</v>
      </c>
      <c r="X193" s="4">
        <f>IF(ISERROR(VLOOKUP($U$193,'TAR FIN'!$A$1:$O$113,15,0)),0,VLOOKUP($U$193,'TAR FIN'!$A$1:$O$113,15,0))</f>
        <v>230.1</v>
      </c>
      <c r="Y193" s="4">
        <f ca="1">0.72*('TUSD BE'!$AM$9+'TUSD BF'!$AM$9+'TUSD CVA'!$AM$9)*1+('TUSD BE'!$AM$10+'TUSD BF'!$AM$10+'TUSD CVA'!$AM$10)*1</f>
        <v>36.211271580834378</v>
      </c>
      <c r="Z193" s="4">
        <f ca="1">('TUSD BE'!$AM$11+'TUSD BF'!$AM$11+'TUSD CVA'!$AM$11)*1</f>
        <v>4.6233666364282548</v>
      </c>
      <c r="AA193" s="4">
        <f>('TE BE'!$AA$7+'TE BF'!$AA$7+'TE CVA'!$AA$7)*1</f>
        <v>253.57775100318744</v>
      </c>
      <c r="AB193" s="4">
        <f>$K$193*$V$193</f>
        <v>0</v>
      </c>
      <c r="AC193" s="4">
        <f>$M$193*$W$193</f>
        <v>0</v>
      </c>
      <c r="AD193" s="4">
        <f>$O$193*$X$193</f>
        <v>6323538.7098000003</v>
      </c>
      <c r="AE193" s="4">
        <f ca="1">$K$193*$Y$193</f>
        <v>0</v>
      </c>
      <c r="AF193" s="4">
        <f ca="1">$M$193*$Z$193</f>
        <v>0</v>
      </c>
      <c r="AG193" s="4">
        <f>$O$193*$AA$193</f>
        <v>6968747.1725887945</v>
      </c>
    </row>
    <row r="194" spans="1:33" ht="11.25" customHeight="1" x14ac:dyDescent="0.25">
      <c r="A194" s="3" t="s">
        <v>21</v>
      </c>
      <c r="B194" s="3" t="s">
        <v>39</v>
      </c>
      <c r="C194" s="3" t="s">
        <v>61</v>
      </c>
      <c r="D194" s="3" t="s">
        <v>25</v>
      </c>
      <c r="E194" s="3" t="s">
        <v>25</v>
      </c>
      <c r="F194" s="3" t="s">
        <v>64</v>
      </c>
      <c r="G194" s="3" t="s">
        <v>65</v>
      </c>
      <c r="H194" s="3" t="s">
        <v>25</v>
      </c>
      <c r="I194" s="6">
        <v>44501</v>
      </c>
      <c r="J194" s="4">
        <v>0</v>
      </c>
      <c r="K194" s="4">
        <v>0</v>
      </c>
      <c r="L194" s="4">
        <v>0</v>
      </c>
      <c r="M194" s="4">
        <v>0</v>
      </c>
      <c r="N194" s="4">
        <v>30223.920999999998</v>
      </c>
      <c r="O194" s="4">
        <v>30223.920999999998</v>
      </c>
      <c r="P194" s="4">
        <v>0</v>
      </c>
      <c r="Q194" s="3" t="s">
        <v>66</v>
      </c>
      <c r="R194" s="3">
        <v>46</v>
      </c>
      <c r="S194" s="4">
        <v>0</v>
      </c>
      <c r="T194" s="4">
        <v>0</v>
      </c>
      <c r="U194" s="4">
        <v>90</v>
      </c>
      <c r="V194" s="4">
        <f>IF(ISERROR(VLOOKUP($S$194,'TAR FIN'!$A$1:$O$113,15,0)),0,VLOOKUP($S$194,'TAR FIN'!$A$1:$O$113,15,0))</f>
        <v>0</v>
      </c>
      <c r="W194" s="4">
        <f>IF(ISERROR(VLOOKUP($T$194,'TAR FIN'!$A$1:$O$113,15,0)),0,VLOOKUP($T$194,'TAR FIN'!$A$1:$O$113,15,0))</f>
        <v>0</v>
      </c>
      <c r="X194" s="4">
        <f>IF(ISERROR(VLOOKUP($U$194,'TAR FIN'!$A$1:$O$113,15,0)),0,VLOOKUP($U$194,'TAR FIN'!$A$1:$O$113,15,0))</f>
        <v>230.1</v>
      </c>
      <c r="Y194" s="4">
        <f ca="1">0.72*('TUSD BE'!$AM$9+'TUSD BF'!$AM$9+'TUSD CVA'!$AM$9)*1+('TUSD BE'!$AM$10+'TUSD BF'!$AM$10+'TUSD CVA'!$AM$10)*1</f>
        <v>36.211271580834378</v>
      </c>
      <c r="Z194" s="4">
        <f ca="1">('TUSD BE'!$AM$11+'TUSD BF'!$AM$11+'TUSD CVA'!$AM$11)*1</f>
        <v>4.6233666364282548</v>
      </c>
      <c r="AA194" s="4">
        <f>('TE BE'!$AA$7+'TE BF'!$AA$7+'TE CVA'!$AA$7)*1</f>
        <v>253.57775100318744</v>
      </c>
      <c r="AB194" s="4">
        <f>$K$194*$V$194</f>
        <v>0</v>
      </c>
      <c r="AC194" s="4">
        <f>$M$194*$W$194</f>
        <v>0</v>
      </c>
      <c r="AD194" s="4">
        <f>$O$194*$X$194</f>
        <v>6954524.2220999999</v>
      </c>
      <c r="AE194" s="4">
        <f ca="1">$K$194*$Y$194</f>
        <v>0</v>
      </c>
      <c r="AF194" s="4">
        <f ca="1">$M$194*$Z$194</f>
        <v>0</v>
      </c>
      <c r="AG194" s="4">
        <f>$O$194*$AA$194</f>
        <v>7664113.9136780081</v>
      </c>
    </row>
    <row r="195" spans="1:33" ht="11.25" customHeight="1" x14ac:dyDescent="0.25">
      <c r="A195" s="3" t="s">
        <v>21</v>
      </c>
      <c r="B195" s="3" t="s">
        <v>39</v>
      </c>
      <c r="C195" s="3" t="s">
        <v>61</v>
      </c>
      <c r="D195" s="3" t="s">
        <v>25</v>
      </c>
      <c r="E195" s="3" t="s">
        <v>25</v>
      </c>
      <c r="F195" s="3" t="s">
        <v>64</v>
      </c>
      <c r="G195" s="3" t="s">
        <v>65</v>
      </c>
      <c r="H195" s="3" t="s">
        <v>25</v>
      </c>
      <c r="I195" s="6">
        <v>44531</v>
      </c>
      <c r="J195" s="4">
        <v>0</v>
      </c>
      <c r="K195" s="4">
        <v>0</v>
      </c>
      <c r="L195" s="4">
        <v>0</v>
      </c>
      <c r="M195" s="4">
        <v>0</v>
      </c>
      <c r="N195" s="4">
        <v>29399.271000000001</v>
      </c>
      <c r="O195" s="4">
        <v>29399.271000000001</v>
      </c>
      <c r="P195" s="4">
        <v>0</v>
      </c>
      <c r="Q195" s="3" t="s">
        <v>66</v>
      </c>
      <c r="R195" s="3">
        <v>46</v>
      </c>
      <c r="S195" s="4">
        <v>0</v>
      </c>
      <c r="T195" s="4">
        <v>0</v>
      </c>
      <c r="U195" s="4">
        <v>90</v>
      </c>
      <c r="V195" s="4">
        <f>IF(ISERROR(VLOOKUP($S$195,'TAR FIN'!$A$1:$O$113,15,0)),0,VLOOKUP($S$195,'TAR FIN'!$A$1:$O$113,15,0))</f>
        <v>0</v>
      </c>
      <c r="W195" s="4">
        <f>IF(ISERROR(VLOOKUP($T$195,'TAR FIN'!$A$1:$O$113,15,0)),0,VLOOKUP($T$195,'TAR FIN'!$A$1:$O$113,15,0))</f>
        <v>0</v>
      </c>
      <c r="X195" s="4">
        <f>IF(ISERROR(VLOOKUP($U$195,'TAR FIN'!$A$1:$O$113,15,0)),0,VLOOKUP($U$195,'TAR FIN'!$A$1:$O$113,15,0))</f>
        <v>230.1</v>
      </c>
      <c r="Y195" s="4">
        <f ca="1">0.72*('TUSD BE'!$AM$9+'TUSD BF'!$AM$9+'TUSD CVA'!$AM$9)*1+('TUSD BE'!$AM$10+'TUSD BF'!$AM$10+'TUSD CVA'!$AM$10)*1</f>
        <v>36.211271580834378</v>
      </c>
      <c r="Z195" s="4">
        <f ca="1">('TUSD BE'!$AM$11+'TUSD BF'!$AM$11+'TUSD CVA'!$AM$11)*1</f>
        <v>4.6233666364282548</v>
      </c>
      <c r="AA195" s="4">
        <f>('TE BE'!$AA$7+'TE BF'!$AA$7+'TE CVA'!$AA$7)*1</f>
        <v>253.57775100318744</v>
      </c>
      <c r="AB195" s="4">
        <f>$K$195*$V$195</f>
        <v>0</v>
      </c>
      <c r="AC195" s="4">
        <f>$M$195*$W$195</f>
        <v>0</v>
      </c>
      <c r="AD195" s="4">
        <f>$O$195*$X$195</f>
        <v>6764772.2571</v>
      </c>
      <c r="AE195" s="4">
        <f ca="1">$K$195*$Y$195</f>
        <v>0</v>
      </c>
      <c r="AF195" s="4">
        <f ca="1">$M$195*$Z$195</f>
        <v>0</v>
      </c>
      <c r="AG195" s="4">
        <f>$O$195*$AA$195</f>
        <v>7455001.0213132296</v>
      </c>
    </row>
    <row r="196" spans="1:33" ht="11.25" customHeight="1" x14ac:dyDescent="0.25">
      <c r="A196" s="3" t="s">
        <v>21</v>
      </c>
      <c r="B196" s="3" t="s">
        <v>39</v>
      </c>
      <c r="C196" s="3" t="s">
        <v>61</v>
      </c>
      <c r="D196" s="3" t="s">
        <v>25</v>
      </c>
      <c r="E196" s="3" t="s">
        <v>25</v>
      </c>
      <c r="F196" s="3" t="s">
        <v>64</v>
      </c>
      <c r="G196" s="3" t="s">
        <v>65</v>
      </c>
      <c r="H196" s="3" t="s">
        <v>25</v>
      </c>
      <c r="I196" s="6">
        <v>44562</v>
      </c>
      <c r="J196" s="4">
        <v>0</v>
      </c>
      <c r="K196" s="4">
        <v>0</v>
      </c>
      <c r="L196" s="4">
        <v>0</v>
      </c>
      <c r="M196" s="4">
        <v>0</v>
      </c>
      <c r="N196" s="4">
        <v>31222.739000000001</v>
      </c>
      <c r="O196" s="4">
        <v>31222.739000000001</v>
      </c>
      <c r="P196" s="4">
        <v>0</v>
      </c>
      <c r="Q196" s="3" t="s">
        <v>66</v>
      </c>
      <c r="R196" s="3">
        <v>46</v>
      </c>
      <c r="S196" s="4">
        <v>0</v>
      </c>
      <c r="T196" s="4">
        <v>0</v>
      </c>
      <c r="U196" s="4">
        <v>90</v>
      </c>
      <c r="V196" s="4">
        <f>IF(ISERROR(VLOOKUP($S$196,'TAR FIN'!$A$1:$O$113,15,0)),0,VLOOKUP($S$196,'TAR FIN'!$A$1:$O$113,15,0))</f>
        <v>0</v>
      </c>
      <c r="W196" s="4">
        <f>IF(ISERROR(VLOOKUP($T$196,'TAR FIN'!$A$1:$O$113,15,0)),0,VLOOKUP($T$196,'TAR FIN'!$A$1:$O$113,15,0))</f>
        <v>0</v>
      </c>
      <c r="X196" s="4">
        <f>IF(ISERROR(VLOOKUP($U$196,'TAR FIN'!$A$1:$O$113,15,0)),0,VLOOKUP($U$196,'TAR FIN'!$A$1:$O$113,15,0))</f>
        <v>230.1</v>
      </c>
      <c r="Y196" s="4">
        <f ca="1">0.72*('TUSD BE'!$AM$9+'TUSD BF'!$AM$9+'TUSD CVA'!$AM$9)*1+('TUSD BE'!$AM$10+'TUSD BF'!$AM$10+'TUSD CVA'!$AM$10)*1</f>
        <v>36.211271580834378</v>
      </c>
      <c r="Z196" s="4">
        <f ca="1">('TUSD BE'!$AM$11+'TUSD BF'!$AM$11+'TUSD CVA'!$AM$11)*1</f>
        <v>4.6233666364282548</v>
      </c>
      <c r="AA196" s="4">
        <f>('TE BE'!$AA$7+'TE BF'!$AA$7+'TE CVA'!$AA$7)*1</f>
        <v>253.57775100318744</v>
      </c>
      <c r="AB196" s="4">
        <f>$K$196*$V$196</f>
        <v>0</v>
      </c>
      <c r="AC196" s="4">
        <f>$M$196*$W$196</f>
        <v>0</v>
      </c>
      <c r="AD196" s="4">
        <f>$O$196*$X$196</f>
        <v>7184352.2439000001</v>
      </c>
      <c r="AE196" s="4">
        <f ca="1">$K$196*$Y$196</f>
        <v>0</v>
      </c>
      <c r="AF196" s="4">
        <f ca="1">$M$196*$Z$196</f>
        <v>0</v>
      </c>
      <c r="AG196" s="4">
        <f>$O$196*$AA$196</f>
        <v>7917391.9357795101</v>
      </c>
    </row>
    <row r="197" spans="1:33" ht="11.25" customHeight="1" x14ac:dyDescent="0.25">
      <c r="A197" s="3" t="s">
        <v>21</v>
      </c>
      <c r="B197" s="3" t="s">
        <v>39</v>
      </c>
      <c r="C197" s="3" t="s">
        <v>69</v>
      </c>
      <c r="D197" s="3" t="s">
        <v>25</v>
      </c>
      <c r="E197" s="3" t="s">
        <v>25</v>
      </c>
      <c r="F197" s="3" t="s">
        <v>70</v>
      </c>
      <c r="G197" s="3" t="s">
        <v>71</v>
      </c>
      <c r="H197" s="3" t="s">
        <v>25</v>
      </c>
      <c r="I197" s="6">
        <v>44287</v>
      </c>
      <c r="J197" s="4">
        <v>4496</v>
      </c>
      <c r="K197" s="4">
        <v>2248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3" t="s">
        <v>72</v>
      </c>
      <c r="R197" s="3">
        <v>29152</v>
      </c>
      <c r="S197" s="4">
        <v>10</v>
      </c>
      <c r="T197" s="4">
        <v>0</v>
      </c>
      <c r="U197" s="4">
        <v>0</v>
      </c>
      <c r="V197" s="4">
        <f>IF(ISERROR(VLOOKUP($S$197,'TAR FIN'!$A$1:$O$113,15,0)),0,VLOOKUP($S$197,'TAR FIN'!$A$1:$O$113,15,0))</f>
        <v>10.55</v>
      </c>
      <c r="W197" s="4">
        <f>IF(ISERROR(VLOOKUP($T$197,'TAR FIN'!$A$1:$O$113,15,0)),0,VLOOKUP($T$197,'TAR FIN'!$A$1:$O$113,15,0))</f>
        <v>0</v>
      </c>
      <c r="X197" s="4">
        <f>IF(ISERROR(VLOOKUP($U$197,'TAR FIN'!$A$1:$O$113,15,0)),0,VLOOKUP($U$197,'TAR FIN'!$A$1:$O$113,15,0))</f>
        <v>0</v>
      </c>
      <c r="Y197" s="4">
        <f ca="1">('TUSD BE'!$AM$12+'TUSD BF'!$AM$12+'TUSD CVA'!$AM$12)*1</f>
        <v>12.955950506408183</v>
      </c>
      <c r="Z197" s="4"/>
      <c r="AA197" s="4"/>
      <c r="AB197" s="4">
        <f>$K$197*$V$197</f>
        <v>23716.400000000001</v>
      </c>
      <c r="AC197" s="4">
        <f>$M$197*$W$197</f>
        <v>0</v>
      </c>
      <c r="AD197" s="4">
        <f>$O$197*$X$197</f>
        <v>0</v>
      </c>
      <c r="AE197" s="4">
        <f ca="1">$K$197*$Y$197</f>
        <v>29124.976738405596</v>
      </c>
      <c r="AF197" s="4">
        <f>$M$197*$Z$197</f>
        <v>0</v>
      </c>
      <c r="AG197" s="4">
        <f>$O$197*$AA$197</f>
        <v>0</v>
      </c>
    </row>
    <row r="198" spans="1:33" ht="11.25" customHeight="1" x14ac:dyDescent="0.25">
      <c r="A198" s="3" t="s">
        <v>21</v>
      </c>
      <c r="B198" s="3" t="s">
        <v>39</v>
      </c>
      <c r="C198" s="3" t="s">
        <v>69</v>
      </c>
      <c r="D198" s="3" t="s">
        <v>25</v>
      </c>
      <c r="E198" s="3" t="s">
        <v>25</v>
      </c>
      <c r="F198" s="3" t="s">
        <v>70</v>
      </c>
      <c r="G198" s="3" t="s">
        <v>73</v>
      </c>
      <c r="H198" s="3" t="s">
        <v>25</v>
      </c>
      <c r="I198" s="6">
        <v>44287</v>
      </c>
      <c r="J198" s="4">
        <v>10000</v>
      </c>
      <c r="K198" s="4">
        <v>5000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72</v>
      </c>
      <c r="R198" s="3">
        <v>29685</v>
      </c>
      <c r="S198" s="4">
        <v>10</v>
      </c>
      <c r="T198" s="4">
        <v>0</v>
      </c>
      <c r="U198" s="4">
        <v>0</v>
      </c>
      <c r="V198" s="4">
        <f>IF(ISERROR(VLOOKUP($S$198,'TAR FIN'!$A$1:$O$113,15,0)),0,VLOOKUP($S$198,'TAR FIN'!$A$1:$O$113,15,0))</f>
        <v>10.55</v>
      </c>
      <c r="W198" s="4">
        <f>IF(ISERROR(VLOOKUP($T$198,'TAR FIN'!$A$1:$O$113,15,0)),0,VLOOKUP($T$198,'TAR FIN'!$A$1:$O$113,15,0))</f>
        <v>0</v>
      </c>
      <c r="X198" s="4">
        <f>IF(ISERROR(VLOOKUP($U$198,'TAR FIN'!$A$1:$O$113,15,0)),0,VLOOKUP($U$198,'TAR FIN'!$A$1:$O$113,15,0))</f>
        <v>0</v>
      </c>
      <c r="Y198" s="4">
        <f ca="1">('TUSD BE'!$AM$12+'TUSD BF'!$AM$12+'TUSD CVA'!$AM$12)*1</f>
        <v>12.955950506408183</v>
      </c>
      <c r="Z198" s="4"/>
      <c r="AA198" s="4"/>
      <c r="AB198" s="4">
        <f>$K$198*$V$198</f>
        <v>52750</v>
      </c>
      <c r="AC198" s="4">
        <f>$M$198*$W$198</f>
        <v>0</v>
      </c>
      <c r="AD198" s="4">
        <f>$O$198*$X$198</f>
        <v>0</v>
      </c>
      <c r="AE198" s="4">
        <f ca="1">$K$198*$Y$198</f>
        <v>64779.752532040911</v>
      </c>
      <c r="AF198" s="4">
        <f>$M$198*$Z$198</f>
        <v>0</v>
      </c>
      <c r="AG198" s="4">
        <f>$O$198*$AA$198</f>
        <v>0</v>
      </c>
    </row>
    <row r="199" spans="1:33" ht="11.25" customHeight="1" x14ac:dyDescent="0.25">
      <c r="A199" s="3" t="s">
        <v>21</v>
      </c>
      <c r="B199" s="3" t="s">
        <v>39</v>
      </c>
      <c r="C199" s="3" t="s">
        <v>69</v>
      </c>
      <c r="D199" s="3" t="s">
        <v>25</v>
      </c>
      <c r="E199" s="3" t="s">
        <v>25</v>
      </c>
      <c r="F199" s="3" t="s">
        <v>70</v>
      </c>
      <c r="G199" s="3" t="s">
        <v>75</v>
      </c>
      <c r="H199" s="3" t="s">
        <v>25</v>
      </c>
      <c r="I199" s="6">
        <v>44287</v>
      </c>
      <c r="J199" s="4">
        <v>13000</v>
      </c>
      <c r="K199" s="4">
        <v>6500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3" t="s">
        <v>72</v>
      </c>
      <c r="R199" s="3">
        <v>30396</v>
      </c>
      <c r="S199" s="4">
        <v>10</v>
      </c>
      <c r="T199" s="4">
        <v>0</v>
      </c>
      <c r="U199" s="4">
        <v>0</v>
      </c>
      <c r="V199" s="4">
        <f>IF(ISERROR(VLOOKUP($S$199,'TAR FIN'!$A$1:$O$113,15,0)),0,VLOOKUP($S$199,'TAR FIN'!$A$1:$O$113,15,0))</f>
        <v>10.55</v>
      </c>
      <c r="W199" s="4">
        <f>IF(ISERROR(VLOOKUP($T$199,'TAR FIN'!$A$1:$O$113,15,0)),0,VLOOKUP($T$199,'TAR FIN'!$A$1:$O$113,15,0))</f>
        <v>0</v>
      </c>
      <c r="X199" s="4">
        <f>IF(ISERROR(VLOOKUP($U$199,'TAR FIN'!$A$1:$O$113,15,0)),0,VLOOKUP($U$199,'TAR FIN'!$A$1:$O$113,15,0))</f>
        <v>0</v>
      </c>
      <c r="Y199" s="4">
        <f ca="1">('TUSD BE'!$AM$12+'TUSD BF'!$AM$12+'TUSD CVA'!$AM$12)*1</f>
        <v>12.955950506408183</v>
      </c>
      <c r="Z199" s="4"/>
      <c r="AA199" s="4"/>
      <c r="AB199" s="4">
        <f>$K$199*$V$199</f>
        <v>68575</v>
      </c>
      <c r="AC199" s="4">
        <f>$M$199*$W$199</f>
        <v>0</v>
      </c>
      <c r="AD199" s="4">
        <f>$O$199*$X$199</f>
        <v>0</v>
      </c>
      <c r="AE199" s="4">
        <f ca="1">$K$199*$Y$199</f>
        <v>84213.678291653181</v>
      </c>
      <c r="AF199" s="4">
        <f>$M$199*$Z$199</f>
        <v>0</v>
      </c>
      <c r="AG199" s="4">
        <f>$O$199*$AA$199</f>
        <v>0</v>
      </c>
    </row>
    <row r="200" spans="1:33" ht="11.25" customHeight="1" x14ac:dyDescent="0.25">
      <c r="A200" s="3" t="s">
        <v>21</v>
      </c>
      <c r="B200" s="3" t="s">
        <v>39</v>
      </c>
      <c r="C200" s="3" t="s">
        <v>69</v>
      </c>
      <c r="D200" s="3" t="s">
        <v>25</v>
      </c>
      <c r="E200" s="3" t="s">
        <v>25</v>
      </c>
      <c r="F200" s="3" t="s">
        <v>70</v>
      </c>
      <c r="G200" s="3" t="s">
        <v>71</v>
      </c>
      <c r="H200" s="3" t="s">
        <v>25</v>
      </c>
      <c r="I200" s="6">
        <v>44317</v>
      </c>
      <c r="J200" s="4">
        <v>4572</v>
      </c>
      <c r="K200" s="4">
        <v>2286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72</v>
      </c>
      <c r="R200" s="3">
        <v>29152</v>
      </c>
      <c r="S200" s="4">
        <v>10</v>
      </c>
      <c r="T200" s="4">
        <v>0</v>
      </c>
      <c r="U200" s="4">
        <v>0</v>
      </c>
      <c r="V200" s="4">
        <f>IF(ISERROR(VLOOKUP($S$200,'TAR FIN'!$A$1:$O$113,15,0)),0,VLOOKUP($S$200,'TAR FIN'!$A$1:$O$113,15,0))</f>
        <v>10.55</v>
      </c>
      <c r="W200" s="4">
        <f>IF(ISERROR(VLOOKUP($T$200,'TAR FIN'!$A$1:$O$113,15,0)),0,VLOOKUP($T$200,'TAR FIN'!$A$1:$O$113,15,0))</f>
        <v>0</v>
      </c>
      <c r="X200" s="4">
        <f>IF(ISERROR(VLOOKUP($U$200,'TAR FIN'!$A$1:$O$113,15,0)),0,VLOOKUP($U$200,'TAR FIN'!$A$1:$O$113,15,0))</f>
        <v>0</v>
      </c>
      <c r="Y200" s="4">
        <f ca="1">('TUSD BE'!$AM$12+'TUSD BF'!$AM$12+'TUSD CVA'!$AM$12)*1</f>
        <v>12.955950506408183</v>
      </c>
      <c r="Z200" s="4"/>
      <c r="AA200" s="4"/>
      <c r="AB200" s="4">
        <f>$K$200*$V$200</f>
        <v>24117.300000000003</v>
      </c>
      <c r="AC200" s="4">
        <f>$M$200*$W$200</f>
        <v>0</v>
      </c>
      <c r="AD200" s="4">
        <f>$O$200*$X$200</f>
        <v>0</v>
      </c>
      <c r="AE200" s="4">
        <f ca="1">$K$200*$Y$200</f>
        <v>29617.302857649105</v>
      </c>
      <c r="AF200" s="4">
        <f>$M$200*$Z$200</f>
        <v>0</v>
      </c>
      <c r="AG200" s="4">
        <f>$O$200*$AA$200</f>
        <v>0</v>
      </c>
    </row>
    <row r="201" spans="1:33" ht="11.25" customHeight="1" x14ac:dyDescent="0.25">
      <c r="A201" s="3" t="s">
        <v>21</v>
      </c>
      <c r="B201" s="3" t="s">
        <v>39</v>
      </c>
      <c r="C201" s="3" t="s">
        <v>69</v>
      </c>
      <c r="D201" s="3" t="s">
        <v>25</v>
      </c>
      <c r="E201" s="3" t="s">
        <v>25</v>
      </c>
      <c r="F201" s="3" t="s">
        <v>70</v>
      </c>
      <c r="G201" s="3" t="s">
        <v>73</v>
      </c>
      <c r="H201" s="3" t="s">
        <v>25</v>
      </c>
      <c r="I201" s="6">
        <v>44317</v>
      </c>
      <c r="J201" s="4">
        <v>10000</v>
      </c>
      <c r="K201" s="4">
        <v>5000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72</v>
      </c>
      <c r="R201" s="3">
        <v>29685</v>
      </c>
      <c r="S201" s="4">
        <v>10</v>
      </c>
      <c r="T201" s="4">
        <v>0</v>
      </c>
      <c r="U201" s="4">
        <v>0</v>
      </c>
      <c r="V201" s="4">
        <f>IF(ISERROR(VLOOKUP($S$201,'TAR FIN'!$A$1:$O$113,15,0)),0,VLOOKUP($S$201,'TAR FIN'!$A$1:$O$113,15,0))</f>
        <v>10.55</v>
      </c>
      <c r="W201" s="4">
        <f>IF(ISERROR(VLOOKUP($T$201,'TAR FIN'!$A$1:$O$113,15,0)),0,VLOOKUP($T$201,'TAR FIN'!$A$1:$O$113,15,0))</f>
        <v>0</v>
      </c>
      <c r="X201" s="4">
        <f>IF(ISERROR(VLOOKUP($U$201,'TAR FIN'!$A$1:$O$113,15,0)),0,VLOOKUP($U$201,'TAR FIN'!$A$1:$O$113,15,0))</f>
        <v>0</v>
      </c>
      <c r="Y201" s="4">
        <f ca="1">('TUSD BE'!$AM$12+'TUSD BF'!$AM$12+'TUSD CVA'!$AM$12)*1</f>
        <v>12.955950506408183</v>
      </c>
      <c r="Z201" s="4"/>
      <c r="AA201" s="4"/>
      <c r="AB201" s="4">
        <f>$K$201*$V$201</f>
        <v>52750</v>
      </c>
      <c r="AC201" s="4">
        <f>$M$201*$W$201</f>
        <v>0</v>
      </c>
      <c r="AD201" s="4">
        <f>$O$201*$X$201</f>
        <v>0</v>
      </c>
      <c r="AE201" s="4">
        <f ca="1">$K$201*$Y$201</f>
        <v>64779.752532040911</v>
      </c>
      <c r="AF201" s="4">
        <f>$M$201*$Z$201</f>
        <v>0</v>
      </c>
      <c r="AG201" s="4">
        <f>$O$201*$AA$201</f>
        <v>0</v>
      </c>
    </row>
    <row r="202" spans="1:33" ht="11.25" customHeight="1" x14ac:dyDescent="0.25">
      <c r="A202" s="3" t="s">
        <v>21</v>
      </c>
      <c r="B202" s="3" t="s">
        <v>39</v>
      </c>
      <c r="C202" s="3" t="s">
        <v>69</v>
      </c>
      <c r="D202" s="3" t="s">
        <v>25</v>
      </c>
      <c r="E202" s="3" t="s">
        <v>25</v>
      </c>
      <c r="F202" s="3" t="s">
        <v>70</v>
      </c>
      <c r="G202" s="3" t="s">
        <v>75</v>
      </c>
      <c r="H202" s="3" t="s">
        <v>25</v>
      </c>
      <c r="I202" s="6">
        <v>44317</v>
      </c>
      <c r="J202" s="4">
        <v>13000</v>
      </c>
      <c r="K202" s="4">
        <v>6500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3" t="s">
        <v>72</v>
      </c>
      <c r="R202" s="3">
        <v>30396</v>
      </c>
      <c r="S202" s="4">
        <v>10</v>
      </c>
      <c r="T202" s="4">
        <v>0</v>
      </c>
      <c r="U202" s="4">
        <v>0</v>
      </c>
      <c r="V202" s="4">
        <f>IF(ISERROR(VLOOKUP($S$202,'TAR FIN'!$A$1:$O$113,15,0)),0,VLOOKUP($S$202,'TAR FIN'!$A$1:$O$113,15,0))</f>
        <v>10.55</v>
      </c>
      <c r="W202" s="4">
        <f>IF(ISERROR(VLOOKUP($T$202,'TAR FIN'!$A$1:$O$113,15,0)),0,VLOOKUP($T$202,'TAR FIN'!$A$1:$O$113,15,0))</f>
        <v>0</v>
      </c>
      <c r="X202" s="4">
        <f>IF(ISERROR(VLOOKUP($U$202,'TAR FIN'!$A$1:$O$113,15,0)),0,VLOOKUP($U$202,'TAR FIN'!$A$1:$O$113,15,0))</f>
        <v>0</v>
      </c>
      <c r="Y202" s="4">
        <f ca="1">('TUSD BE'!$AM$12+'TUSD BF'!$AM$12+'TUSD CVA'!$AM$12)*1</f>
        <v>12.955950506408183</v>
      </c>
      <c r="Z202" s="4"/>
      <c r="AA202" s="4"/>
      <c r="AB202" s="4">
        <f>$K$202*$V$202</f>
        <v>68575</v>
      </c>
      <c r="AC202" s="4">
        <f>$M$202*$W$202</f>
        <v>0</v>
      </c>
      <c r="AD202" s="4">
        <f>$O$202*$X$202</f>
        <v>0</v>
      </c>
      <c r="AE202" s="4">
        <f ca="1">$K$202*$Y$202</f>
        <v>84213.678291653181</v>
      </c>
      <c r="AF202" s="4">
        <f>$M$202*$Z$202</f>
        <v>0</v>
      </c>
      <c r="AG202" s="4">
        <f>$O$202*$AA$202</f>
        <v>0</v>
      </c>
    </row>
    <row r="203" spans="1:33" ht="11.25" customHeight="1" x14ac:dyDescent="0.25">
      <c r="A203" s="3" t="s">
        <v>21</v>
      </c>
      <c r="B203" s="3" t="s">
        <v>39</v>
      </c>
      <c r="C203" s="3" t="s">
        <v>69</v>
      </c>
      <c r="D203" s="3" t="s">
        <v>25</v>
      </c>
      <c r="E203" s="3" t="s">
        <v>25</v>
      </c>
      <c r="F203" s="3" t="s">
        <v>70</v>
      </c>
      <c r="G203" s="3" t="s">
        <v>71</v>
      </c>
      <c r="H203" s="3" t="s">
        <v>25</v>
      </c>
      <c r="I203" s="6">
        <v>44348</v>
      </c>
      <c r="J203" s="4">
        <v>4940</v>
      </c>
      <c r="K203" s="4">
        <v>2470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 t="s">
        <v>72</v>
      </c>
      <c r="R203" s="3">
        <v>29152</v>
      </c>
      <c r="S203" s="4">
        <v>10</v>
      </c>
      <c r="T203" s="4">
        <v>0</v>
      </c>
      <c r="U203" s="4">
        <v>0</v>
      </c>
      <c r="V203" s="4">
        <f>IF(ISERROR(VLOOKUP($S$203,'TAR FIN'!$A$1:$O$113,15,0)),0,VLOOKUP($S$203,'TAR FIN'!$A$1:$O$113,15,0))</f>
        <v>10.55</v>
      </c>
      <c r="W203" s="4">
        <f>IF(ISERROR(VLOOKUP($T$203,'TAR FIN'!$A$1:$O$113,15,0)),0,VLOOKUP($T$203,'TAR FIN'!$A$1:$O$113,15,0))</f>
        <v>0</v>
      </c>
      <c r="X203" s="4">
        <f>IF(ISERROR(VLOOKUP($U$203,'TAR FIN'!$A$1:$O$113,15,0)),0,VLOOKUP($U$203,'TAR FIN'!$A$1:$O$113,15,0))</f>
        <v>0</v>
      </c>
      <c r="Y203" s="4">
        <f ca="1">('TUSD BE'!$AM$12+'TUSD BF'!$AM$12+'TUSD CVA'!$AM$12)*1</f>
        <v>12.955950506408183</v>
      </c>
      <c r="Z203" s="4"/>
      <c r="AA203" s="4"/>
      <c r="AB203" s="4">
        <f>$K$203*$V$203</f>
        <v>26058.5</v>
      </c>
      <c r="AC203" s="4">
        <f>$M$203*$W$203</f>
        <v>0</v>
      </c>
      <c r="AD203" s="4">
        <f>$O$203*$X$203</f>
        <v>0</v>
      </c>
      <c r="AE203" s="4">
        <f ca="1">$K$203*$Y$203</f>
        <v>32001.197750828211</v>
      </c>
      <c r="AF203" s="4">
        <f>$M$203*$Z$203</f>
        <v>0</v>
      </c>
      <c r="AG203" s="4">
        <f>$O$203*$AA$203</f>
        <v>0</v>
      </c>
    </row>
    <row r="204" spans="1:33" ht="11.25" customHeight="1" x14ac:dyDescent="0.25">
      <c r="A204" s="3" t="s">
        <v>21</v>
      </c>
      <c r="B204" s="3" t="s">
        <v>39</v>
      </c>
      <c r="C204" s="3" t="s">
        <v>69</v>
      </c>
      <c r="D204" s="3" t="s">
        <v>25</v>
      </c>
      <c r="E204" s="3" t="s">
        <v>25</v>
      </c>
      <c r="F204" s="3" t="s">
        <v>70</v>
      </c>
      <c r="G204" s="3" t="s">
        <v>73</v>
      </c>
      <c r="H204" s="3" t="s">
        <v>25</v>
      </c>
      <c r="I204" s="6">
        <v>44348</v>
      </c>
      <c r="J204" s="4">
        <v>10000</v>
      </c>
      <c r="K204" s="4">
        <v>5000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 t="s">
        <v>72</v>
      </c>
      <c r="R204" s="3">
        <v>29685</v>
      </c>
      <c r="S204" s="4">
        <v>10</v>
      </c>
      <c r="T204" s="4">
        <v>0</v>
      </c>
      <c r="U204" s="4">
        <v>0</v>
      </c>
      <c r="V204" s="4">
        <f>IF(ISERROR(VLOOKUP($S$204,'TAR FIN'!$A$1:$O$113,15,0)),0,VLOOKUP($S$204,'TAR FIN'!$A$1:$O$113,15,0))</f>
        <v>10.55</v>
      </c>
      <c r="W204" s="4">
        <f>IF(ISERROR(VLOOKUP($T$204,'TAR FIN'!$A$1:$O$113,15,0)),0,VLOOKUP($T$204,'TAR FIN'!$A$1:$O$113,15,0))</f>
        <v>0</v>
      </c>
      <c r="X204" s="4">
        <f>IF(ISERROR(VLOOKUP($U$204,'TAR FIN'!$A$1:$O$113,15,0)),0,VLOOKUP($U$204,'TAR FIN'!$A$1:$O$113,15,0))</f>
        <v>0</v>
      </c>
      <c r="Y204" s="4">
        <f ca="1">('TUSD BE'!$AM$12+'TUSD BF'!$AM$12+'TUSD CVA'!$AM$12)*1</f>
        <v>12.955950506408183</v>
      </c>
      <c r="Z204" s="4"/>
      <c r="AA204" s="4"/>
      <c r="AB204" s="4">
        <f>$K$204*$V$204</f>
        <v>52750</v>
      </c>
      <c r="AC204" s="4">
        <f>$M$204*$W$204</f>
        <v>0</v>
      </c>
      <c r="AD204" s="4">
        <f>$O$204*$X$204</f>
        <v>0</v>
      </c>
      <c r="AE204" s="4">
        <f ca="1">$K$204*$Y$204</f>
        <v>64779.752532040911</v>
      </c>
      <c r="AF204" s="4">
        <f>$M$204*$Z$204</f>
        <v>0</v>
      </c>
      <c r="AG204" s="4">
        <f>$O$204*$AA$204</f>
        <v>0</v>
      </c>
    </row>
    <row r="205" spans="1:33" ht="11.25" customHeight="1" x14ac:dyDescent="0.25">
      <c r="A205" s="3" t="s">
        <v>21</v>
      </c>
      <c r="B205" s="3" t="s">
        <v>39</v>
      </c>
      <c r="C205" s="3" t="s">
        <v>69</v>
      </c>
      <c r="D205" s="3" t="s">
        <v>25</v>
      </c>
      <c r="E205" s="3" t="s">
        <v>25</v>
      </c>
      <c r="F205" s="3" t="s">
        <v>70</v>
      </c>
      <c r="G205" s="3" t="s">
        <v>75</v>
      </c>
      <c r="H205" s="3" t="s">
        <v>25</v>
      </c>
      <c r="I205" s="6">
        <v>44348</v>
      </c>
      <c r="J205" s="4">
        <v>13000</v>
      </c>
      <c r="K205" s="4">
        <v>6500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3" t="s">
        <v>72</v>
      </c>
      <c r="R205" s="3">
        <v>30396</v>
      </c>
      <c r="S205" s="4">
        <v>10</v>
      </c>
      <c r="T205" s="4">
        <v>0</v>
      </c>
      <c r="U205" s="4">
        <v>0</v>
      </c>
      <c r="V205" s="4">
        <f>IF(ISERROR(VLOOKUP($S$205,'TAR FIN'!$A$1:$O$113,15,0)),0,VLOOKUP($S$205,'TAR FIN'!$A$1:$O$113,15,0))</f>
        <v>10.55</v>
      </c>
      <c r="W205" s="4">
        <f>IF(ISERROR(VLOOKUP($T$205,'TAR FIN'!$A$1:$O$113,15,0)),0,VLOOKUP($T$205,'TAR FIN'!$A$1:$O$113,15,0))</f>
        <v>0</v>
      </c>
      <c r="X205" s="4">
        <f>IF(ISERROR(VLOOKUP($U$205,'TAR FIN'!$A$1:$O$113,15,0)),0,VLOOKUP($U$205,'TAR FIN'!$A$1:$O$113,15,0))</f>
        <v>0</v>
      </c>
      <c r="Y205" s="4">
        <f ca="1">('TUSD BE'!$AM$12+'TUSD BF'!$AM$12+'TUSD CVA'!$AM$12)*1</f>
        <v>12.955950506408183</v>
      </c>
      <c r="Z205" s="4"/>
      <c r="AA205" s="4"/>
      <c r="AB205" s="4">
        <f>$K$205*$V$205</f>
        <v>68575</v>
      </c>
      <c r="AC205" s="4">
        <f>$M$205*$W$205</f>
        <v>0</v>
      </c>
      <c r="AD205" s="4">
        <f>$O$205*$X$205</f>
        <v>0</v>
      </c>
      <c r="AE205" s="4">
        <f ca="1">$K$205*$Y$205</f>
        <v>84213.678291653181</v>
      </c>
      <c r="AF205" s="4">
        <f>$M$205*$Z$205</f>
        <v>0</v>
      </c>
      <c r="AG205" s="4">
        <f>$O$205*$AA$205</f>
        <v>0</v>
      </c>
    </row>
    <row r="206" spans="1:33" ht="11.25" customHeight="1" x14ac:dyDescent="0.25">
      <c r="A206" s="3" t="s">
        <v>21</v>
      </c>
      <c r="B206" s="3" t="s">
        <v>39</v>
      </c>
      <c r="C206" s="3" t="s">
        <v>69</v>
      </c>
      <c r="D206" s="3" t="s">
        <v>25</v>
      </c>
      <c r="E206" s="3" t="s">
        <v>25</v>
      </c>
      <c r="F206" s="3" t="s">
        <v>70</v>
      </c>
      <c r="G206" s="3" t="s">
        <v>71</v>
      </c>
      <c r="H206" s="3" t="s">
        <v>25</v>
      </c>
      <c r="I206" s="6">
        <v>44378</v>
      </c>
      <c r="J206" s="4">
        <v>4939</v>
      </c>
      <c r="K206" s="4">
        <v>2469.5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3" t="s">
        <v>72</v>
      </c>
      <c r="R206" s="3">
        <v>29152</v>
      </c>
      <c r="S206" s="4">
        <v>10</v>
      </c>
      <c r="T206" s="4">
        <v>0</v>
      </c>
      <c r="U206" s="4">
        <v>0</v>
      </c>
      <c r="V206" s="4">
        <f>IF(ISERROR(VLOOKUP($S$206,'TAR FIN'!$A$1:$O$113,15,0)),0,VLOOKUP($S$206,'TAR FIN'!$A$1:$O$113,15,0))</f>
        <v>10.55</v>
      </c>
      <c r="W206" s="4">
        <f>IF(ISERROR(VLOOKUP($T$206,'TAR FIN'!$A$1:$O$113,15,0)),0,VLOOKUP($T$206,'TAR FIN'!$A$1:$O$113,15,0))</f>
        <v>0</v>
      </c>
      <c r="X206" s="4">
        <f>IF(ISERROR(VLOOKUP($U$206,'TAR FIN'!$A$1:$O$113,15,0)),0,VLOOKUP($U$206,'TAR FIN'!$A$1:$O$113,15,0))</f>
        <v>0</v>
      </c>
      <c r="Y206" s="4">
        <f ca="1">('TUSD BE'!$AM$12+'TUSD BF'!$AM$12+'TUSD CVA'!$AM$12)*1</f>
        <v>12.955950506408183</v>
      </c>
      <c r="Z206" s="4"/>
      <c r="AA206" s="4"/>
      <c r="AB206" s="4">
        <f>$K$206*$V$206</f>
        <v>26053.225000000002</v>
      </c>
      <c r="AC206" s="4">
        <f>$M$206*$W$206</f>
        <v>0</v>
      </c>
      <c r="AD206" s="4">
        <f>$O$206*$X$206</f>
        <v>0</v>
      </c>
      <c r="AE206" s="4">
        <f ca="1">$K$206*$Y$206</f>
        <v>31994.719775575006</v>
      </c>
      <c r="AF206" s="4">
        <f>$M$206*$Z$206</f>
        <v>0</v>
      </c>
      <c r="AG206" s="4">
        <f>$O$206*$AA$206</f>
        <v>0</v>
      </c>
    </row>
    <row r="207" spans="1:33" ht="11.25" customHeight="1" x14ac:dyDescent="0.25">
      <c r="A207" s="3" t="s">
        <v>21</v>
      </c>
      <c r="B207" s="3" t="s">
        <v>39</v>
      </c>
      <c r="C207" s="3" t="s">
        <v>69</v>
      </c>
      <c r="D207" s="3" t="s">
        <v>25</v>
      </c>
      <c r="E207" s="3" t="s">
        <v>25</v>
      </c>
      <c r="F207" s="3" t="s">
        <v>70</v>
      </c>
      <c r="G207" s="3" t="s">
        <v>73</v>
      </c>
      <c r="H207" s="3" t="s">
        <v>25</v>
      </c>
      <c r="I207" s="6">
        <v>44378</v>
      </c>
      <c r="J207" s="4">
        <v>10000</v>
      </c>
      <c r="K207" s="4">
        <v>5000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3" t="s">
        <v>72</v>
      </c>
      <c r="R207" s="3">
        <v>29685</v>
      </c>
      <c r="S207" s="4">
        <v>10</v>
      </c>
      <c r="T207" s="4">
        <v>0</v>
      </c>
      <c r="U207" s="4">
        <v>0</v>
      </c>
      <c r="V207" s="4">
        <f>IF(ISERROR(VLOOKUP($S$207,'TAR FIN'!$A$1:$O$113,15,0)),0,VLOOKUP($S$207,'TAR FIN'!$A$1:$O$113,15,0))</f>
        <v>10.55</v>
      </c>
      <c r="W207" s="4">
        <f>IF(ISERROR(VLOOKUP($T$207,'TAR FIN'!$A$1:$O$113,15,0)),0,VLOOKUP($T$207,'TAR FIN'!$A$1:$O$113,15,0))</f>
        <v>0</v>
      </c>
      <c r="X207" s="4">
        <f>IF(ISERROR(VLOOKUP($U$207,'TAR FIN'!$A$1:$O$113,15,0)),0,VLOOKUP($U$207,'TAR FIN'!$A$1:$O$113,15,0))</f>
        <v>0</v>
      </c>
      <c r="Y207" s="4">
        <f ca="1">('TUSD BE'!$AM$12+'TUSD BF'!$AM$12+'TUSD CVA'!$AM$12)*1</f>
        <v>12.955950506408183</v>
      </c>
      <c r="Z207" s="4"/>
      <c r="AA207" s="4"/>
      <c r="AB207" s="4">
        <f>$K$207*$V$207</f>
        <v>52750</v>
      </c>
      <c r="AC207" s="4">
        <f>$M$207*$W$207</f>
        <v>0</v>
      </c>
      <c r="AD207" s="4">
        <f>$O$207*$X$207</f>
        <v>0</v>
      </c>
      <c r="AE207" s="4">
        <f ca="1">$K$207*$Y$207</f>
        <v>64779.752532040911</v>
      </c>
      <c r="AF207" s="4">
        <f>$M$207*$Z$207</f>
        <v>0</v>
      </c>
      <c r="AG207" s="4">
        <f>$O$207*$AA$207</f>
        <v>0</v>
      </c>
    </row>
    <row r="208" spans="1:33" ht="11.25" customHeight="1" x14ac:dyDescent="0.25">
      <c r="A208" s="3" t="s">
        <v>21</v>
      </c>
      <c r="B208" s="3" t="s">
        <v>39</v>
      </c>
      <c r="C208" s="3" t="s">
        <v>69</v>
      </c>
      <c r="D208" s="3" t="s">
        <v>25</v>
      </c>
      <c r="E208" s="3" t="s">
        <v>25</v>
      </c>
      <c r="F208" s="3" t="s">
        <v>70</v>
      </c>
      <c r="G208" s="3" t="s">
        <v>75</v>
      </c>
      <c r="H208" s="3" t="s">
        <v>25</v>
      </c>
      <c r="I208" s="6">
        <v>44378</v>
      </c>
      <c r="J208" s="4">
        <v>13000</v>
      </c>
      <c r="K208" s="4">
        <v>6500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3" t="s">
        <v>72</v>
      </c>
      <c r="R208" s="3">
        <v>30396</v>
      </c>
      <c r="S208" s="4">
        <v>10</v>
      </c>
      <c r="T208" s="4">
        <v>0</v>
      </c>
      <c r="U208" s="4">
        <v>0</v>
      </c>
      <c r="V208" s="4">
        <f>IF(ISERROR(VLOOKUP($S$208,'TAR FIN'!$A$1:$O$113,15,0)),0,VLOOKUP($S$208,'TAR FIN'!$A$1:$O$113,15,0))</f>
        <v>10.55</v>
      </c>
      <c r="W208" s="4">
        <f>IF(ISERROR(VLOOKUP($T$208,'TAR FIN'!$A$1:$O$113,15,0)),0,VLOOKUP($T$208,'TAR FIN'!$A$1:$O$113,15,0))</f>
        <v>0</v>
      </c>
      <c r="X208" s="4">
        <f>IF(ISERROR(VLOOKUP($U$208,'TAR FIN'!$A$1:$O$113,15,0)),0,VLOOKUP($U$208,'TAR FIN'!$A$1:$O$113,15,0))</f>
        <v>0</v>
      </c>
      <c r="Y208" s="4">
        <f ca="1">('TUSD BE'!$AM$12+'TUSD BF'!$AM$12+'TUSD CVA'!$AM$12)*1</f>
        <v>12.955950506408183</v>
      </c>
      <c r="Z208" s="4"/>
      <c r="AA208" s="4"/>
      <c r="AB208" s="4">
        <f>$K$208*$V$208</f>
        <v>68575</v>
      </c>
      <c r="AC208" s="4">
        <f>$M$208*$W$208</f>
        <v>0</v>
      </c>
      <c r="AD208" s="4">
        <f>$O$208*$X$208</f>
        <v>0</v>
      </c>
      <c r="AE208" s="4">
        <f ca="1">$K$208*$Y$208</f>
        <v>84213.678291653181</v>
      </c>
      <c r="AF208" s="4">
        <f>$M$208*$Z$208</f>
        <v>0</v>
      </c>
      <c r="AG208" s="4">
        <f>$O$208*$AA$208</f>
        <v>0</v>
      </c>
    </row>
    <row r="209" spans="1:33" ht="11.25" customHeight="1" x14ac:dyDescent="0.25">
      <c r="A209" s="3" t="s">
        <v>21</v>
      </c>
      <c r="B209" s="3" t="s">
        <v>39</v>
      </c>
      <c r="C209" s="3" t="s">
        <v>69</v>
      </c>
      <c r="D209" s="3" t="s">
        <v>25</v>
      </c>
      <c r="E209" s="3" t="s">
        <v>25</v>
      </c>
      <c r="F209" s="3" t="s">
        <v>70</v>
      </c>
      <c r="G209" s="3" t="s">
        <v>71</v>
      </c>
      <c r="H209" s="3" t="s">
        <v>25</v>
      </c>
      <c r="I209" s="6">
        <v>44409</v>
      </c>
      <c r="J209" s="4">
        <v>4939</v>
      </c>
      <c r="K209" s="4">
        <v>2469.5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3" t="s">
        <v>72</v>
      </c>
      <c r="R209" s="3">
        <v>29152</v>
      </c>
      <c r="S209" s="4">
        <v>10</v>
      </c>
      <c r="T209" s="4">
        <v>0</v>
      </c>
      <c r="U209" s="4">
        <v>0</v>
      </c>
      <c r="V209" s="4">
        <f>IF(ISERROR(VLOOKUP($S$209,'TAR FIN'!$A$1:$O$113,15,0)),0,VLOOKUP($S$209,'TAR FIN'!$A$1:$O$113,15,0))</f>
        <v>10.55</v>
      </c>
      <c r="W209" s="4">
        <f>IF(ISERROR(VLOOKUP($T$209,'TAR FIN'!$A$1:$O$113,15,0)),0,VLOOKUP($T$209,'TAR FIN'!$A$1:$O$113,15,0))</f>
        <v>0</v>
      </c>
      <c r="X209" s="4">
        <f>IF(ISERROR(VLOOKUP($U$209,'TAR FIN'!$A$1:$O$113,15,0)),0,VLOOKUP($U$209,'TAR FIN'!$A$1:$O$113,15,0))</f>
        <v>0</v>
      </c>
      <c r="Y209" s="4">
        <f ca="1">('TUSD BE'!$AM$12+'TUSD BF'!$AM$12+'TUSD CVA'!$AM$12)*1</f>
        <v>12.955950506408183</v>
      </c>
      <c r="Z209" s="4"/>
      <c r="AA209" s="4"/>
      <c r="AB209" s="4">
        <f>$K$209*$V$209</f>
        <v>26053.225000000002</v>
      </c>
      <c r="AC209" s="4">
        <f>$M$209*$W$209</f>
        <v>0</v>
      </c>
      <c r="AD209" s="4">
        <f>$O$209*$X$209</f>
        <v>0</v>
      </c>
      <c r="AE209" s="4">
        <f ca="1">$K$209*$Y$209</f>
        <v>31994.719775575006</v>
      </c>
      <c r="AF209" s="4">
        <f>$M$209*$Z$209</f>
        <v>0</v>
      </c>
      <c r="AG209" s="4">
        <f>$O$209*$AA$209</f>
        <v>0</v>
      </c>
    </row>
    <row r="210" spans="1:33" ht="11.25" customHeight="1" x14ac:dyDescent="0.25">
      <c r="A210" s="3" t="s">
        <v>21</v>
      </c>
      <c r="B210" s="3" t="s">
        <v>39</v>
      </c>
      <c r="C210" s="3" t="s">
        <v>69</v>
      </c>
      <c r="D210" s="3" t="s">
        <v>25</v>
      </c>
      <c r="E210" s="3" t="s">
        <v>25</v>
      </c>
      <c r="F210" s="3" t="s">
        <v>70</v>
      </c>
      <c r="G210" s="3" t="s">
        <v>73</v>
      </c>
      <c r="H210" s="3" t="s">
        <v>25</v>
      </c>
      <c r="I210" s="6">
        <v>44409</v>
      </c>
      <c r="J210" s="4">
        <v>8200</v>
      </c>
      <c r="K210" s="4">
        <v>4100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3" t="s">
        <v>72</v>
      </c>
      <c r="R210" s="3">
        <v>29685</v>
      </c>
      <c r="S210" s="4">
        <v>10</v>
      </c>
      <c r="T210" s="4">
        <v>0</v>
      </c>
      <c r="U210" s="4">
        <v>0</v>
      </c>
      <c r="V210" s="4">
        <f>IF(ISERROR(VLOOKUP($S$210,'TAR FIN'!$A$1:$O$113,15,0)),0,VLOOKUP($S$210,'TAR FIN'!$A$1:$O$113,15,0))</f>
        <v>10.55</v>
      </c>
      <c r="W210" s="4">
        <f>IF(ISERROR(VLOOKUP($T$210,'TAR FIN'!$A$1:$O$113,15,0)),0,VLOOKUP($T$210,'TAR FIN'!$A$1:$O$113,15,0))</f>
        <v>0</v>
      </c>
      <c r="X210" s="4">
        <f>IF(ISERROR(VLOOKUP($U$210,'TAR FIN'!$A$1:$O$113,15,0)),0,VLOOKUP($U$210,'TAR FIN'!$A$1:$O$113,15,0))</f>
        <v>0</v>
      </c>
      <c r="Y210" s="4">
        <f ca="1">('TUSD BE'!$AM$12+'TUSD BF'!$AM$12+'TUSD CVA'!$AM$12)*1</f>
        <v>12.955950506408183</v>
      </c>
      <c r="Z210" s="4"/>
      <c r="AA210" s="4"/>
      <c r="AB210" s="4">
        <f>$K$210*$V$210</f>
        <v>43255</v>
      </c>
      <c r="AC210" s="4">
        <f>$M$210*$W$210</f>
        <v>0</v>
      </c>
      <c r="AD210" s="4">
        <f>$O$210*$X$210</f>
        <v>0</v>
      </c>
      <c r="AE210" s="4">
        <f ca="1">$K$210*$Y$210</f>
        <v>53119.397076273548</v>
      </c>
      <c r="AF210" s="4">
        <f>$M$210*$Z$210</f>
        <v>0</v>
      </c>
      <c r="AG210" s="4">
        <f>$O$210*$AA$210</f>
        <v>0</v>
      </c>
    </row>
    <row r="211" spans="1:33" ht="11.25" customHeight="1" x14ac:dyDescent="0.25">
      <c r="A211" s="3" t="s">
        <v>21</v>
      </c>
      <c r="B211" s="3" t="s">
        <v>39</v>
      </c>
      <c r="C211" s="3" t="s">
        <v>69</v>
      </c>
      <c r="D211" s="3" t="s">
        <v>25</v>
      </c>
      <c r="E211" s="3" t="s">
        <v>25</v>
      </c>
      <c r="F211" s="3" t="s">
        <v>70</v>
      </c>
      <c r="G211" s="3" t="s">
        <v>75</v>
      </c>
      <c r="H211" s="3" t="s">
        <v>25</v>
      </c>
      <c r="I211" s="6">
        <v>44409</v>
      </c>
      <c r="J211" s="4">
        <v>12400</v>
      </c>
      <c r="K211" s="4">
        <v>6200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3" t="s">
        <v>72</v>
      </c>
      <c r="R211" s="3">
        <v>30396</v>
      </c>
      <c r="S211" s="4">
        <v>10</v>
      </c>
      <c r="T211" s="4">
        <v>0</v>
      </c>
      <c r="U211" s="4">
        <v>0</v>
      </c>
      <c r="V211" s="4">
        <f>IF(ISERROR(VLOOKUP($S$211,'TAR FIN'!$A$1:$O$113,15,0)),0,VLOOKUP($S$211,'TAR FIN'!$A$1:$O$113,15,0))</f>
        <v>10.55</v>
      </c>
      <c r="W211" s="4">
        <f>IF(ISERROR(VLOOKUP($T$211,'TAR FIN'!$A$1:$O$113,15,0)),0,VLOOKUP($T$211,'TAR FIN'!$A$1:$O$113,15,0))</f>
        <v>0</v>
      </c>
      <c r="X211" s="4">
        <f>IF(ISERROR(VLOOKUP($U$211,'TAR FIN'!$A$1:$O$113,15,0)),0,VLOOKUP($U$211,'TAR FIN'!$A$1:$O$113,15,0))</f>
        <v>0</v>
      </c>
      <c r="Y211" s="4">
        <f ca="1">('TUSD BE'!$AM$12+'TUSD BF'!$AM$12+'TUSD CVA'!$AM$12)*1</f>
        <v>12.955950506408183</v>
      </c>
      <c r="Z211" s="4"/>
      <c r="AA211" s="4"/>
      <c r="AB211" s="4">
        <f>$K$211*$V$211</f>
        <v>65410.000000000007</v>
      </c>
      <c r="AC211" s="4">
        <f>$M$211*$W$211</f>
        <v>0</v>
      </c>
      <c r="AD211" s="4">
        <f>$O$211*$X$211</f>
        <v>0</v>
      </c>
      <c r="AE211" s="4">
        <f ca="1">$K$211*$Y$211</f>
        <v>80326.893139730731</v>
      </c>
      <c r="AF211" s="4">
        <f>$M$211*$Z$211</f>
        <v>0</v>
      </c>
      <c r="AG211" s="4">
        <f>$O$211*$AA$211</f>
        <v>0</v>
      </c>
    </row>
    <row r="212" spans="1:33" ht="11.25" customHeight="1" x14ac:dyDescent="0.25">
      <c r="A212" s="3" t="s">
        <v>21</v>
      </c>
      <c r="B212" s="3" t="s">
        <v>39</v>
      </c>
      <c r="C212" s="3" t="s">
        <v>69</v>
      </c>
      <c r="D212" s="3" t="s">
        <v>25</v>
      </c>
      <c r="E212" s="3" t="s">
        <v>25</v>
      </c>
      <c r="F212" s="3" t="s">
        <v>70</v>
      </c>
      <c r="G212" s="3" t="s">
        <v>71</v>
      </c>
      <c r="H212" s="3" t="s">
        <v>25</v>
      </c>
      <c r="I212" s="6">
        <v>44440</v>
      </c>
      <c r="J212" s="4">
        <v>4942</v>
      </c>
      <c r="K212" s="4">
        <v>2471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3" t="s">
        <v>72</v>
      </c>
      <c r="R212" s="3">
        <v>29152</v>
      </c>
      <c r="S212" s="4">
        <v>10</v>
      </c>
      <c r="T212" s="4">
        <v>0</v>
      </c>
      <c r="U212" s="4">
        <v>0</v>
      </c>
      <c r="V212" s="4">
        <f>IF(ISERROR(VLOOKUP($S$212,'TAR FIN'!$A$1:$O$113,15,0)),0,VLOOKUP($S$212,'TAR FIN'!$A$1:$O$113,15,0))</f>
        <v>10.55</v>
      </c>
      <c r="W212" s="4">
        <f>IF(ISERROR(VLOOKUP($T$212,'TAR FIN'!$A$1:$O$113,15,0)),0,VLOOKUP($T$212,'TAR FIN'!$A$1:$O$113,15,0))</f>
        <v>0</v>
      </c>
      <c r="X212" s="4">
        <f>IF(ISERROR(VLOOKUP($U$212,'TAR FIN'!$A$1:$O$113,15,0)),0,VLOOKUP($U$212,'TAR FIN'!$A$1:$O$113,15,0))</f>
        <v>0</v>
      </c>
      <c r="Y212" s="4">
        <f ca="1">('TUSD BE'!$AM$12+'TUSD BF'!$AM$12+'TUSD CVA'!$AM$12)*1</f>
        <v>12.955950506408183</v>
      </c>
      <c r="Z212" s="4"/>
      <c r="AA212" s="4"/>
      <c r="AB212" s="4">
        <f>$K$212*$V$212</f>
        <v>26069.050000000003</v>
      </c>
      <c r="AC212" s="4">
        <f>$M$212*$W$212</f>
        <v>0</v>
      </c>
      <c r="AD212" s="4">
        <f>$O$212*$X$212</f>
        <v>0</v>
      </c>
      <c r="AE212" s="4">
        <f ca="1">$K$212*$Y$212</f>
        <v>32014.153701334621</v>
      </c>
      <c r="AF212" s="4">
        <f>$M$212*$Z$212</f>
        <v>0</v>
      </c>
      <c r="AG212" s="4">
        <f>$O$212*$AA$212</f>
        <v>0</v>
      </c>
    </row>
    <row r="213" spans="1:33" ht="11.25" customHeight="1" x14ac:dyDescent="0.25">
      <c r="A213" s="3" t="s">
        <v>21</v>
      </c>
      <c r="B213" s="3" t="s">
        <v>39</v>
      </c>
      <c r="C213" s="3" t="s">
        <v>69</v>
      </c>
      <c r="D213" s="3" t="s">
        <v>25</v>
      </c>
      <c r="E213" s="3" t="s">
        <v>25</v>
      </c>
      <c r="F213" s="3" t="s">
        <v>70</v>
      </c>
      <c r="G213" s="3" t="s">
        <v>73</v>
      </c>
      <c r="H213" s="3" t="s">
        <v>25</v>
      </c>
      <c r="I213" s="6">
        <v>44440</v>
      </c>
      <c r="J213" s="4">
        <v>8200</v>
      </c>
      <c r="K213" s="4">
        <v>4100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3" t="s">
        <v>72</v>
      </c>
      <c r="R213" s="3">
        <v>29685</v>
      </c>
      <c r="S213" s="4">
        <v>10</v>
      </c>
      <c r="T213" s="4">
        <v>0</v>
      </c>
      <c r="U213" s="4">
        <v>0</v>
      </c>
      <c r="V213" s="4">
        <f>IF(ISERROR(VLOOKUP($S$213,'TAR FIN'!$A$1:$O$113,15,0)),0,VLOOKUP($S$213,'TAR FIN'!$A$1:$O$113,15,0))</f>
        <v>10.55</v>
      </c>
      <c r="W213" s="4">
        <f>IF(ISERROR(VLOOKUP($T$213,'TAR FIN'!$A$1:$O$113,15,0)),0,VLOOKUP($T$213,'TAR FIN'!$A$1:$O$113,15,0))</f>
        <v>0</v>
      </c>
      <c r="X213" s="4">
        <f>IF(ISERROR(VLOOKUP($U$213,'TAR FIN'!$A$1:$O$113,15,0)),0,VLOOKUP($U$213,'TAR FIN'!$A$1:$O$113,15,0))</f>
        <v>0</v>
      </c>
      <c r="Y213" s="4">
        <f ca="1">('TUSD BE'!$AM$12+'TUSD BF'!$AM$12+'TUSD CVA'!$AM$12)*1</f>
        <v>12.955950506408183</v>
      </c>
      <c r="Z213" s="4"/>
      <c r="AA213" s="4"/>
      <c r="AB213" s="4">
        <f>$K$213*$V$213</f>
        <v>43255</v>
      </c>
      <c r="AC213" s="4">
        <f>$M$213*$W$213</f>
        <v>0</v>
      </c>
      <c r="AD213" s="4">
        <f>$O$213*$X$213</f>
        <v>0</v>
      </c>
      <c r="AE213" s="4">
        <f ca="1">$K$213*$Y$213</f>
        <v>53119.397076273548</v>
      </c>
      <c r="AF213" s="4">
        <f>$M$213*$Z$213</f>
        <v>0</v>
      </c>
      <c r="AG213" s="4">
        <f>$O$213*$AA$213</f>
        <v>0</v>
      </c>
    </row>
    <row r="214" spans="1:33" ht="11.25" customHeight="1" x14ac:dyDescent="0.25">
      <c r="A214" s="3" t="s">
        <v>21</v>
      </c>
      <c r="B214" s="3" t="s">
        <v>39</v>
      </c>
      <c r="C214" s="3" t="s">
        <v>69</v>
      </c>
      <c r="D214" s="3" t="s">
        <v>25</v>
      </c>
      <c r="E214" s="3" t="s">
        <v>25</v>
      </c>
      <c r="F214" s="3" t="s">
        <v>70</v>
      </c>
      <c r="G214" s="3" t="s">
        <v>75</v>
      </c>
      <c r="H214" s="3" t="s">
        <v>25</v>
      </c>
      <c r="I214" s="6">
        <v>44440</v>
      </c>
      <c r="J214" s="4">
        <v>12400</v>
      </c>
      <c r="K214" s="4">
        <v>6200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3" t="s">
        <v>72</v>
      </c>
      <c r="R214" s="3">
        <v>30396</v>
      </c>
      <c r="S214" s="4">
        <v>10</v>
      </c>
      <c r="T214" s="4">
        <v>0</v>
      </c>
      <c r="U214" s="4">
        <v>0</v>
      </c>
      <c r="V214" s="4">
        <f>IF(ISERROR(VLOOKUP($S$214,'TAR FIN'!$A$1:$O$113,15,0)),0,VLOOKUP($S$214,'TAR FIN'!$A$1:$O$113,15,0))</f>
        <v>10.55</v>
      </c>
      <c r="W214" s="4">
        <f>IF(ISERROR(VLOOKUP($T$214,'TAR FIN'!$A$1:$O$113,15,0)),0,VLOOKUP($T$214,'TAR FIN'!$A$1:$O$113,15,0))</f>
        <v>0</v>
      </c>
      <c r="X214" s="4">
        <f>IF(ISERROR(VLOOKUP($U$214,'TAR FIN'!$A$1:$O$113,15,0)),0,VLOOKUP($U$214,'TAR FIN'!$A$1:$O$113,15,0))</f>
        <v>0</v>
      </c>
      <c r="Y214" s="4">
        <f ca="1">('TUSD BE'!$AM$12+'TUSD BF'!$AM$12+'TUSD CVA'!$AM$12)*1</f>
        <v>12.955950506408183</v>
      </c>
      <c r="Z214" s="4"/>
      <c r="AA214" s="4"/>
      <c r="AB214" s="4">
        <f>$K$214*$V$214</f>
        <v>65410.000000000007</v>
      </c>
      <c r="AC214" s="4">
        <f>$M$214*$W$214</f>
        <v>0</v>
      </c>
      <c r="AD214" s="4">
        <f>$O$214*$X$214</f>
        <v>0</v>
      </c>
      <c r="AE214" s="4">
        <f ca="1">$K$214*$Y$214</f>
        <v>80326.893139730731</v>
      </c>
      <c r="AF214" s="4">
        <f>$M$214*$Z$214</f>
        <v>0</v>
      </c>
      <c r="AG214" s="4">
        <f>$O$214*$AA$214</f>
        <v>0</v>
      </c>
    </row>
    <row r="215" spans="1:33" ht="11.25" customHeight="1" x14ac:dyDescent="0.25">
      <c r="A215" s="3" t="s">
        <v>21</v>
      </c>
      <c r="B215" s="3" t="s">
        <v>39</v>
      </c>
      <c r="C215" s="3" t="s">
        <v>69</v>
      </c>
      <c r="D215" s="3" t="s">
        <v>25</v>
      </c>
      <c r="E215" s="3" t="s">
        <v>25</v>
      </c>
      <c r="F215" s="3" t="s">
        <v>70</v>
      </c>
      <c r="G215" s="3" t="s">
        <v>71</v>
      </c>
      <c r="H215" s="3" t="s">
        <v>25</v>
      </c>
      <c r="I215" s="6">
        <v>44470</v>
      </c>
      <c r="J215" s="4">
        <v>4452</v>
      </c>
      <c r="K215" s="4">
        <v>2226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3" t="s">
        <v>72</v>
      </c>
      <c r="R215" s="3">
        <v>29152</v>
      </c>
      <c r="S215" s="4">
        <v>10</v>
      </c>
      <c r="T215" s="4">
        <v>0</v>
      </c>
      <c r="U215" s="4">
        <v>0</v>
      </c>
      <c r="V215" s="4">
        <f>IF(ISERROR(VLOOKUP($S$215,'TAR FIN'!$A$1:$O$113,15,0)),0,VLOOKUP($S$215,'TAR FIN'!$A$1:$O$113,15,0))</f>
        <v>10.55</v>
      </c>
      <c r="W215" s="4">
        <f>IF(ISERROR(VLOOKUP($T$215,'TAR FIN'!$A$1:$O$113,15,0)),0,VLOOKUP($T$215,'TAR FIN'!$A$1:$O$113,15,0))</f>
        <v>0</v>
      </c>
      <c r="X215" s="4">
        <f>IF(ISERROR(VLOOKUP($U$215,'TAR FIN'!$A$1:$O$113,15,0)),0,VLOOKUP($U$215,'TAR FIN'!$A$1:$O$113,15,0))</f>
        <v>0</v>
      </c>
      <c r="Y215" s="4">
        <f ca="1">('TUSD BE'!$AM$12+'TUSD BF'!$AM$12+'TUSD CVA'!$AM$12)*1</f>
        <v>12.955950506408183</v>
      </c>
      <c r="Z215" s="4"/>
      <c r="AA215" s="4"/>
      <c r="AB215" s="4">
        <f>$K$215*$V$215</f>
        <v>23484.300000000003</v>
      </c>
      <c r="AC215" s="4">
        <f>$M$215*$W$215</f>
        <v>0</v>
      </c>
      <c r="AD215" s="4">
        <f>$O$215*$X$215</f>
        <v>0</v>
      </c>
      <c r="AE215" s="4">
        <f ca="1">$K$215*$Y$215</f>
        <v>28839.945827264615</v>
      </c>
      <c r="AF215" s="4">
        <f>$M$215*$Z$215</f>
        <v>0</v>
      </c>
      <c r="AG215" s="4">
        <f>$O$215*$AA$215</f>
        <v>0</v>
      </c>
    </row>
    <row r="216" spans="1:33" ht="11.25" customHeight="1" x14ac:dyDescent="0.25">
      <c r="A216" s="3" t="s">
        <v>21</v>
      </c>
      <c r="B216" s="3" t="s">
        <v>39</v>
      </c>
      <c r="C216" s="3" t="s">
        <v>69</v>
      </c>
      <c r="D216" s="3" t="s">
        <v>25</v>
      </c>
      <c r="E216" s="3" t="s">
        <v>25</v>
      </c>
      <c r="F216" s="3" t="s">
        <v>70</v>
      </c>
      <c r="G216" s="3" t="s">
        <v>73</v>
      </c>
      <c r="H216" s="3" t="s">
        <v>25</v>
      </c>
      <c r="I216" s="6">
        <v>44470</v>
      </c>
      <c r="J216" s="4">
        <v>8200</v>
      </c>
      <c r="K216" s="4">
        <v>4100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3" t="s">
        <v>72</v>
      </c>
      <c r="R216" s="3">
        <v>29685</v>
      </c>
      <c r="S216" s="4">
        <v>10</v>
      </c>
      <c r="T216" s="4">
        <v>0</v>
      </c>
      <c r="U216" s="4">
        <v>0</v>
      </c>
      <c r="V216" s="4">
        <f>IF(ISERROR(VLOOKUP($S$216,'TAR FIN'!$A$1:$O$113,15,0)),0,VLOOKUP($S$216,'TAR FIN'!$A$1:$O$113,15,0))</f>
        <v>10.55</v>
      </c>
      <c r="W216" s="4">
        <f>IF(ISERROR(VLOOKUP($T$216,'TAR FIN'!$A$1:$O$113,15,0)),0,VLOOKUP($T$216,'TAR FIN'!$A$1:$O$113,15,0))</f>
        <v>0</v>
      </c>
      <c r="X216" s="4">
        <f>IF(ISERROR(VLOOKUP($U$216,'TAR FIN'!$A$1:$O$113,15,0)),0,VLOOKUP($U$216,'TAR FIN'!$A$1:$O$113,15,0))</f>
        <v>0</v>
      </c>
      <c r="Y216" s="4">
        <f ca="1">('TUSD BE'!$AM$12+'TUSD BF'!$AM$12+'TUSD CVA'!$AM$12)*1</f>
        <v>12.955950506408183</v>
      </c>
      <c r="Z216" s="4"/>
      <c r="AA216" s="4"/>
      <c r="AB216" s="4">
        <f>$K$216*$V$216</f>
        <v>43255</v>
      </c>
      <c r="AC216" s="4">
        <f>$M$216*$W$216</f>
        <v>0</v>
      </c>
      <c r="AD216" s="4">
        <f>$O$216*$X$216</f>
        <v>0</v>
      </c>
      <c r="AE216" s="4">
        <f ca="1">$K$216*$Y$216</f>
        <v>53119.397076273548</v>
      </c>
      <c r="AF216" s="4">
        <f>$M$216*$Z$216</f>
        <v>0</v>
      </c>
      <c r="AG216" s="4">
        <f>$O$216*$AA$216</f>
        <v>0</v>
      </c>
    </row>
    <row r="217" spans="1:33" ht="11.25" customHeight="1" x14ac:dyDescent="0.25">
      <c r="A217" s="3" t="s">
        <v>21</v>
      </c>
      <c r="B217" s="3" t="s">
        <v>39</v>
      </c>
      <c r="C217" s="3" t="s">
        <v>69</v>
      </c>
      <c r="D217" s="3" t="s">
        <v>25</v>
      </c>
      <c r="E217" s="3" t="s">
        <v>25</v>
      </c>
      <c r="F217" s="3" t="s">
        <v>70</v>
      </c>
      <c r="G217" s="3" t="s">
        <v>75</v>
      </c>
      <c r="H217" s="3" t="s">
        <v>25</v>
      </c>
      <c r="I217" s="6">
        <v>44470</v>
      </c>
      <c r="J217" s="4">
        <v>12400</v>
      </c>
      <c r="K217" s="4">
        <v>6200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3" t="s">
        <v>72</v>
      </c>
      <c r="R217" s="3">
        <v>30396</v>
      </c>
      <c r="S217" s="4">
        <v>10</v>
      </c>
      <c r="T217" s="4">
        <v>0</v>
      </c>
      <c r="U217" s="4">
        <v>0</v>
      </c>
      <c r="V217" s="4">
        <f>IF(ISERROR(VLOOKUP($S$217,'TAR FIN'!$A$1:$O$113,15,0)),0,VLOOKUP($S$217,'TAR FIN'!$A$1:$O$113,15,0))</f>
        <v>10.55</v>
      </c>
      <c r="W217" s="4">
        <f>IF(ISERROR(VLOOKUP($T$217,'TAR FIN'!$A$1:$O$113,15,0)),0,VLOOKUP($T$217,'TAR FIN'!$A$1:$O$113,15,0))</f>
        <v>0</v>
      </c>
      <c r="X217" s="4">
        <f>IF(ISERROR(VLOOKUP($U$217,'TAR FIN'!$A$1:$O$113,15,0)),0,VLOOKUP($U$217,'TAR FIN'!$A$1:$O$113,15,0))</f>
        <v>0</v>
      </c>
      <c r="Y217" s="4">
        <f ca="1">('TUSD BE'!$AM$12+'TUSD BF'!$AM$12+'TUSD CVA'!$AM$12)*1</f>
        <v>12.955950506408183</v>
      </c>
      <c r="Z217" s="4"/>
      <c r="AA217" s="4"/>
      <c r="AB217" s="4">
        <f>$K$217*$V$217</f>
        <v>65410.000000000007</v>
      </c>
      <c r="AC217" s="4">
        <f>$M$217*$W$217</f>
        <v>0</v>
      </c>
      <c r="AD217" s="4">
        <f>$O$217*$X$217</f>
        <v>0</v>
      </c>
      <c r="AE217" s="4">
        <f ca="1">$K$217*$Y$217</f>
        <v>80326.893139730731</v>
      </c>
      <c r="AF217" s="4">
        <f>$M$217*$Z$217</f>
        <v>0</v>
      </c>
      <c r="AG217" s="4">
        <f>$O$217*$AA$217</f>
        <v>0</v>
      </c>
    </row>
    <row r="218" spans="1:33" ht="11.25" customHeight="1" x14ac:dyDescent="0.25">
      <c r="A218" s="3" t="s">
        <v>21</v>
      </c>
      <c r="B218" s="3" t="s">
        <v>39</v>
      </c>
      <c r="C218" s="3" t="s">
        <v>69</v>
      </c>
      <c r="D218" s="3" t="s">
        <v>25</v>
      </c>
      <c r="E218" s="3" t="s">
        <v>25</v>
      </c>
      <c r="F218" s="3" t="s">
        <v>70</v>
      </c>
      <c r="G218" s="3" t="s">
        <v>71</v>
      </c>
      <c r="H218" s="3" t="s">
        <v>25</v>
      </c>
      <c r="I218" s="6">
        <v>44501</v>
      </c>
      <c r="J218" s="4">
        <v>4472</v>
      </c>
      <c r="K218" s="4">
        <v>2236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3" t="s">
        <v>72</v>
      </c>
      <c r="R218" s="3">
        <v>29152</v>
      </c>
      <c r="S218" s="4">
        <v>10</v>
      </c>
      <c r="T218" s="4">
        <v>0</v>
      </c>
      <c r="U218" s="4">
        <v>0</v>
      </c>
      <c r="V218" s="4">
        <f>IF(ISERROR(VLOOKUP($S$218,'TAR FIN'!$A$1:$O$113,15,0)),0,VLOOKUP($S$218,'TAR FIN'!$A$1:$O$113,15,0))</f>
        <v>10.55</v>
      </c>
      <c r="W218" s="4">
        <f>IF(ISERROR(VLOOKUP($T$218,'TAR FIN'!$A$1:$O$113,15,0)),0,VLOOKUP($T$218,'TAR FIN'!$A$1:$O$113,15,0))</f>
        <v>0</v>
      </c>
      <c r="X218" s="4">
        <f>IF(ISERROR(VLOOKUP($U$218,'TAR FIN'!$A$1:$O$113,15,0)),0,VLOOKUP($U$218,'TAR FIN'!$A$1:$O$113,15,0))</f>
        <v>0</v>
      </c>
      <c r="Y218" s="4">
        <f ca="1">('TUSD BE'!$AM$12+'TUSD BF'!$AM$12+'TUSD CVA'!$AM$12)*1</f>
        <v>12.955950506408183</v>
      </c>
      <c r="Z218" s="4"/>
      <c r="AA218" s="4"/>
      <c r="AB218" s="4">
        <f>$K$218*$V$218</f>
        <v>23589.800000000003</v>
      </c>
      <c r="AC218" s="4">
        <f>$M$218*$W$218</f>
        <v>0</v>
      </c>
      <c r="AD218" s="4">
        <f>$O$218*$X$218</f>
        <v>0</v>
      </c>
      <c r="AE218" s="4">
        <f ca="1">$K$218*$Y$218</f>
        <v>28969.505332328696</v>
      </c>
      <c r="AF218" s="4">
        <f>$M$218*$Z$218</f>
        <v>0</v>
      </c>
      <c r="AG218" s="4">
        <f>$O$218*$AA$218</f>
        <v>0</v>
      </c>
    </row>
    <row r="219" spans="1:33" ht="11.25" customHeight="1" x14ac:dyDescent="0.25">
      <c r="A219" s="3" t="s">
        <v>21</v>
      </c>
      <c r="B219" s="3" t="s">
        <v>39</v>
      </c>
      <c r="C219" s="3" t="s">
        <v>69</v>
      </c>
      <c r="D219" s="3" t="s">
        <v>25</v>
      </c>
      <c r="E219" s="3" t="s">
        <v>25</v>
      </c>
      <c r="F219" s="3" t="s">
        <v>70</v>
      </c>
      <c r="G219" s="3" t="s">
        <v>73</v>
      </c>
      <c r="H219" s="3" t="s">
        <v>25</v>
      </c>
      <c r="I219" s="6">
        <v>44501</v>
      </c>
      <c r="J219" s="4">
        <v>8200</v>
      </c>
      <c r="K219" s="4">
        <v>4100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3" t="s">
        <v>72</v>
      </c>
      <c r="R219" s="3">
        <v>29685</v>
      </c>
      <c r="S219" s="4">
        <v>10</v>
      </c>
      <c r="T219" s="4">
        <v>0</v>
      </c>
      <c r="U219" s="4">
        <v>0</v>
      </c>
      <c r="V219" s="4">
        <f>IF(ISERROR(VLOOKUP($S$219,'TAR FIN'!$A$1:$O$113,15,0)),0,VLOOKUP($S$219,'TAR FIN'!$A$1:$O$113,15,0))</f>
        <v>10.55</v>
      </c>
      <c r="W219" s="4">
        <f>IF(ISERROR(VLOOKUP($T$219,'TAR FIN'!$A$1:$O$113,15,0)),0,VLOOKUP($T$219,'TAR FIN'!$A$1:$O$113,15,0))</f>
        <v>0</v>
      </c>
      <c r="X219" s="4">
        <f>IF(ISERROR(VLOOKUP($U$219,'TAR FIN'!$A$1:$O$113,15,0)),0,VLOOKUP($U$219,'TAR FIN'!$A$1:$O$113,15,0))</f>
        <v>0</v>
      </c>
      <c r="Y219" s="4">
        <f ca="1">('TUSD BE'!$AM$12+'TUSD BF'!$AM$12+'TUSD CVA'!$AM$12)*1</f>
        <v>12.955950506408183</v>
      </c>
      <c r="Z219" s="4"/>
      <c r="AA219" s="4"/>
      <c r="AB219" s="4">
        <f>$K$219*$V$219</f>
        <v>43255</v>
      </c>
      <c r="AC219" s="4">
        <f>$M$219*$W$219</f>
        <v>0</v>
      </c>
      <c r="AD219" s="4">
        <f>$O$219*$X$219</f>
        <v>0</v>
      </c>
      <c r="AE219" s="4">
        <f ca="1">$K$219*$Y$219</f>
        <v>53119.397076273548</v>
      </c>
      <c r="AF219" s="4">
        <f>$M$219*$Z$219</f>
        <v>0</v>
      </c>
      <c r="AG219" s="4">
        <f>$O$219*$AA$219</f>
        <v>0</v>
      </c>
    </row>
    <row r="220" spans="1:33" ht="11.25" customHeight="1" x14ac:dyDescent="0.25">
      <c r="A220" s="3" t="s">
        <v>21</v>
      </c>
      <c r="B220" s="3" t="s">
        <v>39</v>
      </c>
      <c r="C220" s="3" t="s">
        <v>69</v>
      </c>
      <c r="D220" s="3" t="s">
        <v>25</v>
      </c>
      <c r="E220" s="3" t="s">
        <v>25</v>
      </c>
      <c r="F220" s="3" t="s">
        <v>70</v>
      </c>
      <c r="G220" s="3" t="s">
        <v>75</v>
      </c>
      <c r="H220" s="3" t="s">
        <v>25</v>
      </c>
      <c r="I220" s="6">
        <v>44501</v>
      </c>
      <c r="J220" s="4">
        <v>10044</v>
      </c>
      <c r="K220" s="4">
        <v>5022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3" t="s">
        <v>72</v>
      </c>
      <c r="R220" s="3">
        <v>30396</v>
      </c>
      <c r="S220" s="4">
        <v>10</v>
      </c>
      <c r="T220" s="4">
        <v>0</v>
      </c>
      <c r="U220" s="4">
        <v>0</v>
      </c>
      <c r="V220" s="4">
        <f>IF(ISERROR(VLOOKUP($S$220,'TAR FIN'!$A$1:$O$113,15,0)),0,VLOOKUP($S$220,'TAR FIN'!$A$1:$O$113,15,0))</f>
        <v>10.55</v>
      </c>
      <c r="W220" s="4">
        <f>IF(ISERROR(VLOOKUP($T$220,'TAR FIN'!$A$1:$O$113,15,0)),0,VLOOKUP($T$220,'TAR FIN'!$A$1:$O$113,15,0))</f>
        <v>0</v>
      </c>
      <c r="X220" s="4">
        <f>IF(ISERROR(VLOOKUP($U$220,'TAR FIN'!$A$1:$O$113,15,0)),0,VLOOKUP($U$220,'TAR FIN'!$A$1:$O$113,15,0))</f>
        <v>0</v>
      </c>
      <c r="Y220" s="4">
        <f ca="1">('TUSD BE'!$AM$12+'TUSD BF'!$AM$12+'TUSD CVA'!$AM$12)*1</f>
        <v>12.955950506408183</v>
      </c>
      <c r="Z220" s="4"/>
      <c r="AA220" s="4"/>
      <c r="AB220" s="4">
        <f>$K$220*$V$220</f>
        <v>52982.100000000006</v>
      </c>
      <c r="AC220" s="4">
        <f>$M$220*$W$220</f>
        <v>0</v>
      </c>
      <c r="AD220" s="4">
        <f>$O$220*$X$220</f>
        <v>0</v>
      </c>
      <c r="AE220" s="4">
        <f ca="1">$K$220*$Y$220</f>
        <v>65064.783443181892</v>
      </c>
      <c r="AF220" s="4">
        <f>$M$220*$Z$220</f>
        <v>0</v>
      </c>
      <c r="AG220" s="4">
        <f>$O$220*$AA$220</f>
        <v>0</v>
      </c>
    </row>
    <row r="221" spans="1:33" ht="11.25" customHeight="1" x14ac:dyDescent="0.25">
      <c r="A221" s="3" t="s">
        <v>21</v>
      </c>
      <c r="B221" s="3" t="s">
        <v>39</v>
      </c>
      <c r="C221" s="3" t="s">
        <v>69</v>
      </c>
      <c r="D221" s="3" t="s">
        <v>25</v>
      </c>
      <c r="E221" s="3" t="s">
        <v>25</v>
      </c>
      <c r="F221" s="3" t="s">
        <v>70</v>
      </c>
      <c r="G221" s="3" t="s">
        <v>71</v>
      </c>
      <c r="H221" s="3" t="s">
        <v>25</v>
      </c>
      <c r="I221" s="6">
        <v>44531</v>
      </c>
      <c r="J221" s="4">
        <v>4448</v>
      </c>
      <c r="K221" s="4">
        <v>2224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3" t="s">
        <v>72</v>
      </c>
      <c r="R221" s="3">
        <v>29152</v>
      </c>
      <c r="S221" s="4">
        <v>10</v>
      </c>
      <c r="T221" s="4">
        <v>0</v>
      </c>
      <c r="U221" s="4">
        <v>0</v>
      </c>
      <c r="V221" s="4">
        <f>IF(ISERROR(VLOOKUP($S$221,'TAR FIN'!$A$1:$O$113,15,0)),0,VLOOKUP($S$221,'TAR FIN'!$A$1:$O$113,15,0))</f>
        <v>10.55</v>
      </c>
      <c r="W221" s="4">
        <f>IF(ISERROR(VLOOKUP($T$221,'TAR FIN'!$A$1:$O$113,15,0)),0,VLOOKUP($T$221,'TAR FIN'!$A$1:$O$113,15,0))</f>
        <v>0</v>
      </c>
      <c r="X221" s="4">
        <f>IF(ISERROR(VLOOKUP($U$221,'TAR FIN'!$A$1:$O$113,15,0)),0,VLOOKUP($U$221,'TAR FIN'!$A$1:$O$113,15,0))</f>
        <v>0</v>
      </c>
      <c r="Y221" s="4">
        <f ca="1">('TUSD BE'!$AM$12+'TUSD BF'!$AM$12+'TUSD CVA'!$AM$12)*1</f>
        <v>12.955950506408183</v>
      </c>
      <c r="Z221" s="4"/>
      <c r="AA221" s="4"/>
      <c r="AB221" s="4">
        <f>$K$221*$V$221</f>
        <v>23463.200000000001</v>
      </c>
      <c r="AC221" s="4">
        <f>$M$221*$W$221</f>
        <v>0</v>
      </c>
      <c r="AD221" s="4">
        <f>$O$221*$X$221</f>
        <v>0</v>
      </c>
      <c r="AE221" s="4">
        <f ca="1">$K$221*$Y$221</f>
        <v>28814.033926251799</v>
      </c>
      <c r="AF221" s="4">
        <f>$M$221*$Z$221</f>
        <v>0</v>
      </c>
      <c r="AG221" s="4">
        <f>$O$221*$AA$221</f>
        <v>0</v>
      </c>
    </row>
    <row r="222" spans="1:33" ht="11.25" customHeight="1" x14ac:dyDescent="0.25">
      <c r="A222" s="3" t="s">
        <v>21</v>
      </c>
      <c r="B222" s="3" t="s">
        <v>39</v>
      </c>
      <c r="C222" s="3" t="s">
        <v>69</v>
      </c>
      <c r="D222" s="3" t="s">
        <v>25</v>
      </c>
      <c r="E222" s="3" t="s">
        <v>25</v>
      </c>
      <c r="F222" s="3" t="s">
        <v>70</v>
      </c>
      <c r="G222" s="3" t="s">
        <v>73</v>
      </c>
      <c r="H222" s="3" t="s">
        <v>25</v>
      </c>
      <c r="I222" s="6">
        <v>44531</v>
      </c>
      <c r="J222" s="4">
        <v>8200</v>
      </c>
      <c r="K222" s="4">
        <v>4100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3" t="s">
        <v>72</v>
      </c>
      <c r="R222" s="3">
        <v>29685</v>
      </c>
      <c r="S222" s="4">
        <v>10</v>
      </c>
      <c r="T222" s="4">
        <v>0</v>
      </c>
      <c r="U222" s="4">
        <v>0</v>
      </c>
      <c r="V222" s="4">
        <f>IF(ISERROR(VLOOKUP($S$222,'TAR FIN'!$A$1:$O$113,15,0)),0,VLOOKUP($S$222,'TAR FIN'!$A$1:$O$113,15,0))</f>
        <v>10.55</v>
      </c>
      <c r="W222" s="4">
        <f>IF(ISERROR(VLOOKUP($T$222,'TAR FIN'!$A$1:$O$113,15,0)),0,VLOOKUP($T$222,'TAR FIN'!$A$1:$O$113,15,0))</f>
        <v>0</v>
      </c>
      <c r="X222" s="4">
        <f>IF(ISERROR(VLOOKUP($U$222,'TAR FIN'!$A$1:$O$113,15,0)),0,VLOOKUP($U$222,'TAR FIN'!$A$1:$O$113,15,0))</f>
        <v>0</v>
      </c>
      <c r="Y222" s="4">
        <f ca="1">('TUSD BE'!$AM$12+'TUSD BF'!$AM$12+'TUSD CVA'!$AM$12)*1</f>
        <v>12.955950506408183</v>
      </c>
      <c r="Z222" s="4"/>
      <c r="AA222" s="4"/>
      <c r="AB222" s="4">
        <f>$K$222*$V$222</f>
        <v>43255</v>
      </c>
      <c r="AC222" s="4">
        <f>$M$222*$W$222</f>
        <v>0</v>
      </c>
      <c r="AD222" s="4">
        <f>$O$222*$X$222</f>
        <v>0</v>
      </c>
      <c r="AE222" s="4">
        <f ca="1">$K$222*$Y$222</f>
        <v>53119.397076273548</v>
      </c>
      <c r="AF222" s="4">
        <f>$M$222*$Z$222</f>
        <v>0</v>
      </c>
      <c r="AG222" s="4">
        <f>$O$222*$AA$222</f>
        <v>0</v>
      </c>
    </row>
    <row r="223" spans="1:33" ht="11.25" customHeight="1" x14ac:dyDescent="0.25">
      <c r="A223" s="3" t="s">
        <v>21</v>
      </c>
      <c r="B223" s="3" t="s">
        <v>39</v>
      </c>
      <c r="C223" s="3" t="s">
        <v>69</v>
      </c>
      <c r="D223" s="3" t="s">
        <v>25</v>
      </c>
      <c r="E223" s="3" t="s">
        <v>25</v>
      </c>
      <c r="F223" s="3" t="s">
        <v>70</v>
      </c>
      <c r="G223" s="3" t="s">
        <v>75</v>
      </c>
      <c r="H223" s="3" t="s">
        <v>25</v>
      </c>
      <c r="I223" s="6">
        <v>44531</v>
      </c>
      <c r="J223" s="4">
        <v>12400</v>
      </c>
      <c r="K223" s="4">
        <v>6200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3" t="s">
        <v>72</v>
      </c>
      <c r="R223" s="3">
        <v>30396</v>
      </c>
      <c r="S223" s="4">
        <v>10</v>
      </c>
      <c r="T223" s="4">
        <v>0</v>
      </c>
      <c r="U223" s="4">
        <v>0</v>
      </c>
      <c r="V223" s="4">
        <f>IF(ISERROR(VLOOKUP($S$223,'TAR FIN'!$A$1:$O$113,15,0)),0,VLOOKUP($S$223,'TAR FIN'!$A$1:$O$113,15,0))</f>
        <v>10.55</v>
      </c>
      <c r="W223" s="4">
        <f>IF(ISERROR(VLOOKUP($T$223,'TAR FIN'!$A$1:$O$113,15,0)),0,VLOOKUP($T$223,'TAR FIN'!$A$1:$O$113,15,0))</f>
        <v>0</v>
      </c>
      <c r="X223" s="4">
        <f>IF(ISERROR(VLOOKUP($U$223,'TAR FIN'!$A$1:$O$113,15,0)),0,VLOOKUP($U$223,'TAR FIN'!$A$1:$O$113,15,0))</f>
        <v>0</v>
      </c>
      <c r="Y223" s="4">
        <f ca="1">('TUSD BE'!$AM$12+'TUSD BF'!$AM$12+'TUSD CVA'!$AM$12)*1</f>
        <v>12.955950506408183</v>
      </c>
      <c r="Z223" s="4"/>
      <c r="AA223" s="4"/>
      <c r="AB223" s="4">
        <f>$K$223*$V$223</f>
        <v>65410.000000000007</v>
      </c>
      <c r="AC223" s="4">
        <f>$M$223*$W$223</f>
        <v>0</v>
      </c>
      <c r="AD223" s="4">
        <f>$O$223*$X$223</f>
        <v>0</v>
      </c>
      <c r="AE223" s="4">
        <f ca="1">$K$223*$Y$223</f>
        <v>80326.893139730731</v>
      </c>
      <c r="AF223" s="4">
        <f>$M$223*$Z$223</f>
        <v>0</v>
      </c>
      <c r="AG223" s="4">
        <f>$O$223*$AA$223</f>
        <v>0</v>
      </c>
    </row>
    <row r="224" spans="1:33" ht="11.25" customHeight="1" x14ac:dyDescent="0.25">
      <c r="A224" s="3" t="s">
        <v>21</v>
      </c>
      <c r="B224" s="3" t="s">
        <v>39</v>
      </c>
      <c r="C224" s="3" t="s">
        <v>69</v>
      </c>
      <c r="D224" s="3" t="s">
        <v>25</v>
      </c>
      <c r="E224" s="3" t="s">
        <v>25</v>
      </c>
      <c r="F224" s="3" t="s">
        <v>70</v>
      </c>
      <c r="G224" s="3" t="s">
        <v>71</v>
      </c>
      <c r="H224" s="3" t="s">
        <v>25</v>
      </c>
      <c r="I224" s="6">
        <v>44562</v>
      </c>
      <c r="J224" s="4">
        <v>4384</v>
      </c>
      <c r="K224" s="4">
        <v>2192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3" t="s">
        <v>72</v>
      </c>
      <c r="R224" s="3">
        <v>29152</v>
      </c>
      <c r="S224" s="4">
        <v>10</v>
      </c>
      <c r="T224" s="4">
        <v>0</v>
      </c>
      <c r="U224" s="4">
        <v>0</v>
      </c>
      <c r="V224" s="4">
        <f>IF(ISERROR(VLOOKUP($S$224,'TAR FIN'!$A$1:$O$113,15,0)),0,VLOOKUP($S$224,'TAR FIN'!$A$1:$O$113,15,0))</f>
        <v>10.55</v>
      </c>
      <c r="W224" s="4">
        <f>IF(ISERROR(VLOOKUP($T$224,'TAR FIN'!$A$1:$O$113,15,0)),0,VLOOKUP($T$224,'TAR FIN'!$A$1:$O$113,15,0))</f>
        <v>0</v>
      </c>
      <c r="X224" s="4">
        <f>IF(ISERROR(VLOOKUP($U$224,'TAR FIN'!$A$1:$O$113,15,0)),0,VLOOKUP($U$224,'TAR FIN'!$A$1:$O$113,15,0))</f>
        <v>0</v>
      </c>
      <c r="Y224" s="4">
        <f ca="1">('TUSD BE'!$AM$12+'TUSD BF'!$AM$12+'TUSD CVA'!$AM$12)*1</f>
        <v>12.955950506408183</v>
      </c>
      <c r="Z224" s="4"/>
      <c r="AA224" s="4"/>
      <c r="AB224" s="4">
        <f>$K$224*$V$224</f>
        <v>23125.600000000002</v>
      </c>
      <c r="AC224" s="4">
        <f>$M$224*$W$224</f>
        <v>0</v>
      </c>
      <c r="AD224" s="4">
        <f>$O$224*$X$224</f>
        <v>0</v>
      </c>
      <c r="AE224" s="4">
        <f ca="1">$K$224*$Y$224</f>
        <v>28399.443510046734</v>
      </c>
      <c r="AF224" s="4">
        <f>$M$224*$Z$224</f>
        <v>0</v>
      </c>
      <c r="AG224" s="4">
        <f>$O$224*$AA$224</f>
        <v>0</v>
      </c>
    </row>
    <row r="225" spans="1:33" ht="11.25" customHeight="1" x14ac:dyDescent="0.25">
      <c r="A225" s="3" t="s">
        <v>21</v>
      </c>
      <c r="B225" s="3" t="s">
        <v>39</v>
      </c>
      <c r="C225" s="3" t="s">
        <v>69</v>
      </c>
      <c r="D225" s="3" t="s">
        <v>25</v>
      </c>
      <c r="E225" s="3" t="s">
        <v>25</v>
      </c>
      <c r="F225" s="3" t="s">
        <v>70</v>
      </c>
      <c r="G225" s="3" t="s">
        <v>73</v>
      </c>
      <c r="H225" s="3" t="s">
        <v>25</v>
      </c>
      <c r="I225" s="6">
        <v>44562</v>
      </c>
      <c r="J225" s="4">
        <v>8200</v>
      </c>
      <c r="K225" s="4">
        <v>4100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3" t="s">
        <v>72</v>
      </c>
      <c r="R225" s="3">
        <v>29685</v>
      </c>
      <c r="S225" s="4">
        <v>10</v>
      </c>
      <c r="T225" s="4">
        <v>0</v>
      </c>
      <c r="U225" s="4">
        <v>0</v>
      </c>
      <c r="V225" s="4">
        <f>IF(ISERROR(VLOOKUP($S$225,'TAR FIN'!$A$1:$O$113,15,0)),0,VLOOKUP($S$225,'TAR FIN'!$A$1:$O$113,15,0))</f>
        <v>10.55</v>
      </c>
      <c r="W225" s="4">
        <f>IF(ISERROR(VLOOKUP($T$225,'TAR FIN'!$A$1:$O$113,15,0)),0,VLOOKUP($T$225,'TAR FIN'!$A$1:$O$113,15,0))</f>
        <v>0</v>
      </c>
      <c r="X225" s="4">
        <f>IF(ISERROR(VLOOKUP($U$225,'TAR FIN'!$A$1:$O$113,15,0)),0,VLOOKUP($U$225,'TAR FIN'!$A$1:$O$113,15,0))</f>
        <v>0</v>
      </c>
      <c r="Y225" s="4">
        <f ca="1">('TUSD BE'!$AM$12+'TUSD BF'!$AM$12+'TUSD CVA'!$AM$12)*1</f>
        <v>12.955950506408183</v>
      </c>
      <c r="Z225" s="4"/>
      <c r="AA225" s="4"/>
      <c r="AB225" s="4">
        <f>$K$225*$V$225</f>
        <v>43255</v>
      </c>
      <c r="AC225" s="4">
        <f>$M$225*$W$225</f>
        <v>0</v>
      </c>
      <c r="AD225" s="4">
        <f>$O$225*$X$225</f>
        <v>0</v>
      </c>
      <c r="AE225" s="4">
        <f ca="1">$K$225*$Y$225</f>
        <v>53119.397076273548</v>
      </c>
      <c r="AF225" s="4">
        <f>$M$225*$Z$225</f>
        <v>0</v>
      </c>
      <c r="AG225" s="4">
        <f>$O$225*$AA$225</f>
        <v>0</v>
      </c>
    </row>
    <row r="226" spans="1:33" ht="11.25" customHeight="1" x14ac:dyDescent="0.25">
      <c r="A226" s="3" t="s">
        <v>21</v>
      </c>
      <c r="B226" s="3" t="s">
        <v>39</v>
      </c>
      <c r="C226" s="3" t="s">
        <v>69</v>
      </c>
      <c r="D226" s="3" t="s">
        <v>25</v>
      </c>
      <c r="E226" s="3" t="s">
        <v>25</v>
      </c>
      <c r="F226" s="3" t="s">
        <v>70</v>
      </c>
      <c r="G226" s="3" t="s">
        <v>75</v>
      </c>
      <c r="H226" s="3" t="s">
        <v>25</v>
      </c>
      <c r="I226" s="6">
        <v>44562</v>
      </c>
      <c r="J226" s="4">
        <v>12400</v>
      </c>
      <c r="K226" s="4">
        <v>6200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3" t="s">
        <v>72</v>
      </c>
      <c r="R226" s="3">
        <v>30396</v>
      </c>
      <c r="S226" s="4">
        <v>10</v>
      </c>
      <c r="T226" s="4">
        <v>0</v>
      </c>
      <c r="U226" s="4">
        <v>0</v>
      </c>
      <c r="V226" s="4">
        <f>IF(ISERROR(VLOOKUP($S$226,'TAR FIN'!$A$1:$O$113,15,0)),0,VLOOKUP($S$226,'TAR FIN'!$A$1:$O$113,15,0))</f>
        <v>10.55</v>
      </c>
      <c r="W226" s="4">
        <f>IF(ISERROR(VLOOKUP($T$226,'TAR FIN'!$A$1:$O$113,15,0)),0,VLOOKUP($T$226,'TAR FIN'!$A$1:$O$113,15,0))</f>
        <v>0</v>
      </c>
      <c r="X226" s="4">
        <f>IF(ISERROR(VLOOKUP($U$226,'TAR FIN'!$A$1:$O$113,15,0)),0,VLOOKUP($U$226,'TAR FIN'!$A$1:$O$113,15,0))</f>
        <v>0</v>
      </c>
      <c r="Y226" s="4">
        <f ca="1">('TUSD BE'!$AM$12+'TUSD BF'!$AM$12+'TUSD CVA'!$AM$12)*1</f>
        <v>12.955950506408183</v>
      </c>
      <c r="Z226" s="4"/>
      <c r="AA226" s="4"/>
      <c r="AB226" s="4">
        <f>$K$226*$V$226</f>
        <v>65410.000000000007</v>
      </c>
      <c r="AC226" s="4">
        <f>$M$226*$W$226</f>
        <v>0</v>
      </c>
      <c r="AD226" s="4">
        <f>$O$226*$X$226</f>
        <v>0</v>
      </c>
      <c r="AE226" s="4">
        <f ca="1">$K$226*$Y$226</f>
        <v>80326.893139730731</v>
      </c>
      <c r="AF226" s="4">
        <f>$M$226*$Z$226</f>
        <v>0</v>
      </c>
      <c r="AG226" s="4">
        <f>$O$226*$AA$226</f>
        <v>0</v>
      </c>
    </row>
    <row r="227" spans="1:33" ht="11.25" customHeight="1" x14ac:dyDescent="0.25">
      <c r="A227" s="3" t="s">
        <v>21</v>
      </c>
      <c r="B227" s="3" t="s">
        <v>39</v>
      </c>
      <c r="C227" s="3" t="s">
        <v>69</v>
      </c>
      <c r="D227" s="3" t="s">
        <v>25</v>
      </c>
      <c r="E227" s="3" t="s">
        <v>25</v>
      </c>
      <c r="F227" s="3" t="s">
        <v>70</v>
      </c>
      <c r="G227" s="3" t="s">
        <v>71</v>
      </c>
      <c r="H227" s="3" t="s">
        <v>25</v>
      </c>
      <c r="I227" s="6">
        <v>44593</v>
      </c>
      <c r="J227" s="4">
        <v>4412</v>
      </c>
      <c r="K227" s="4">
        <v>2206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3" t="s">
        <v>72</v>
      </c>
      <c r="R227" s="3">
        <v>29152</v>
      </c>
      <c r="S227" s="4">
        <v>10</v>
      </c>
      <c r="T227" s="4">
        <v>0</v>
      </c>
      <c r="U227" s="4">
        <v>0</v>
      </c>
      <c r="V227" s="4">
        <f>IF(ISERROR(VLOOKUP($S$227,'TAR FIN'!$A$1:$O$113,15,0)),0,VLOOKUP($S$227,'TAR FIN'!$A$1:$O$113,15,0))</f>
        <v>10.55</v>
      </c>
      <c r="W227" s="4">
        <f>IF(ISERROR(VLOOKUP($T$227,'TAR FIN'!$A$1:$O$113,15,0)),0,VLOOKUP($T$227,'TAR FIN'!$A$1:$O$113,15,0))</f>
        <v>0</v>
      </c>
      <c r="X227" s="4">
        <f>IF(ISERROR(VLOOKUP($U$227,'TAR FIN'!$A$1:$O$113,15,0)),0,VLOOKUP($U$227,'TAR FIN'!$A$1:$O$113,15,0))</f>
        <v>0</v>
      </c>
      <c r="Y227" s="4">
        <f ca="1">('TUSD BE'!$AM$12+'TUSD BF'!$AM$12+'TUSD CVA'!$AM$12)*1</f>
        <v>12.955950506408183</v>
      </c>
      <c r="Z227" s="4"/>
      <c r="AA227" s="4"/>
      <c r="AB227" s="4">
        <f>$K$227*$V$227</f>
        <v>23273.300000000003</v>
      </c>
      <c r="AC227" s="4">
        <f>$M$227*$W$227</f>
        <v>0</v>
      </c>
      <c r="AD227" s="4">
        <f>$O$227*$X$227</f>
        <v>0</v>
      </c>
      <c r="AE227" s="4">
        <f ca="1">$K$227*$Y$227</f>
        <v>28580.826817136451</v>
      </c>
      <c r="AF227" s="4">
        <f>$M$227*$Z$227</f>
        <v>0</v>
      </c>
      <c r="AG227" s="4">
        <f>$O$227*$AA$227</f>
        <v>0</v>
      </c>
    </row>
    <row r="228" spans="1:33" ht="11.25" customHeight="1" x14ac:dyDescent="0.25">
      <c r="A228" s="3" t="s">
        <v>21</v>
      </c>
      <c r="B228" s="3" t="s">
        <v>39</v>
      </c>
      <c r="C228" s="3" t="s">
        <v>69</v>
      </c>
      <c r="D228" s="3" t="s">
        <v>25</v>
      </c>
      <c r="E228" s="3" t="s">
        <v>25</v>
      </c>
      <c r="F228" s="3" t="s">
        <v>70</v>
      </c>
      <c r="G228" s="3" t="s">
        <v>73</v>
      </c>
      <c r="H228" s="3" t="s">
        <v>25</v>
      </c>
      <c r="I228" s="6">
        <v>44593</v>
      </c>
      <c r="J228" s="4">
        <v>8200</v>
      </c>
      <c r="K228" s="4">
        <v>4100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3" t="s">
        <v>72</v>
      </c>
      <c r="R228" s="3">
        <v>29685</v>
      </c>
      <c r="S228" s="4">
        <v>10</v>
      </c>
      <c r="T228" s="4">
        <v>0</v>
      </c>
      <c r="U228" s="4">
        <v>0</v>
      </c>
      <c r="V228" s="4">
        <f>IF(ISERROR(VLOOKUP($S$228,'TAR FIN'!$A$1:$O$113,15,0)),0,VLOOKUP($S$228,'TAR FIN'!$A$1:$O$113,15,0))</f>
        <v>10.55</v>
      </c>
      <c r="W228" s="4">
        <f>IF(ISERROR(VLOOKUP($T$228,'TAR FIN'!$A$1:$O$113,15,0)),0,VLOOKUP($T$228,'TAR FIN'!$A$1:$O$113,15,0))</f>
        <v>0</v>
      </c>
      <c r="X228" s="4">
        <f>IF(ISERROR(VLOOKUP($U$228,'TAR FIN'!$A$1:$O$113,15,0)),0,VLOOKUP($U$228,'TAR FIN'!$A$1:$O$113,15,0))</f>
        <v>0</v>
      </c>
      <c r="Y228" s="4">
        <f ca="1">('TUSD BE'!$AM$12+'TUSD BF'!$AM$12+'TUSD CVA'!$AM$12)*1</f>
        <v>12.955950506408183</v>
      </c>
      <c r="Z228" s="4"/>
      <c r="AA228" s="4"/>
      <c r="AB228" s="4">
        <f>$K$228*$V$228</f>
        <v>43255</v>
      </c>
      <c r="AC228" s="4">
        <f>$M$228*$W$228</f>
        <v>0</v>
      </c>
      <c r="AD228" s="4">
        <f>$O$228*$X$228</f>
        <v>0</v>
      </c>
      <c r="AE228" s="4">
        <f ca="1">$K$228*$Y$228</f>
        <v>53119.397076273548</v>
      </c>
      <c r="AF228" s="4">
        <f>$M$228*$Z$228</f>
        <v>0</v>
      </c>
      <c r="AG228" s="4">
        <f>$O$228*$AA$228</f>
        <v>0</v>
      </c>
    </row>
    <row r="229" spans="1:33" ht="11.25" customHeight="1" x14ac:dyDescent="0.25">
      <c r="A229" s="3" t="s">
        <v>21</v>
      </c>
      <c r="B229" s="3" t="s">
        <v>39</v>
      </c>
      <c r="C229" s="3" t="s">
        <v>69</v>
      </c>
      <c r="D229" s="3" t="s">
        <v>25</v>
      </c>
      <c r="E229" s="3" t="s">
        <v>25</v>
      </c>
      <c r="F229" s="3" t="s">
        <v>70</v>
      </c>
      <c r="G229" s="3" t="s">
        <v>75</v>
      </c>
      <c r="H229" s="3" t="s">
        <v>25</v>
      </c>
      <c r="I229" s="6">
        <v>44593</v>
      </c>
      <c r="J229" s="4">
        <v>12400</v>
      </c>
      <c r="K229" s="4">
        <v>6200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72</v>
      </c>
      <c r="R229" s="3">
        <v>30396</v>
      </c>
      <c r="S229" s="4">
        <v>10</v>
      </c>
      <c r="T229" s="4">
        <v>0</v>
      </c>
      <c r="U229" s="4">
        <v>0</v>
      </c>
      <c r="V229" s="4">
        <f>IF(ISERROR(VLOOKUP($S$229,'TAR FIN'!$A$1:$O$113,15,0)),0,VLOOKUP($S$229,'TAR FIN'!$A$1:$O$113,15,0))</f>
        <v>10.55</v>
      </c>
      <c r="W229" s="4">
        <f>IF(ISERROR(VLOOKUP($T$229,'TAR FIN'!$A$1:$O$113,15,0)),0,VLOOKUP($T$229,'TAR FIN'!$A$1:$O$113,15,0))</f>
        <v>0</v>
      </c>
      <c r="X229" s="4">
        <f>IF(ISERROR(VLOOKUP($U$229,'TAR FIN'!$A$1:$O$113,15,0)),0,VLOOKUP($U$229,'TAR FIN'!$A$1:$O$113,15,0))</f>
        <v>0</v>
      </c>
      <c r="Y229" s="4">
        <f ca="1">('TUSD BE'!$AM$12+'TUSD BF'!$AM$12+'TUSD CVA'!$AM$12)*1</f>
        <v>12.955950506408183</v>
      </c>
      <c r="Z229" s="4"/>
      <c r="AA229" s="4"/>
      <c r="AB229" s="4">
        <f>$K$229*$V$229</f>
        <v>65410.000000000007</v>
      </c>
      <c r="AC229" s="4">
        <f>$M$229*$W$229</f>
        <v>0</v>
      </c>
      <c r="AD229" s="4">
        <f>$O$229*$X$229</f>
        <v>0</v>
      </c>
      <c r="AE229" s="4">
        <f ca="1">$K$229*$Y$229</f>
        <v>80326.893139730731</v>
      </c>
      <c r="AF229" s="4">
        <f>$M$229*$Z$229</f>
        <v>0</v>
      </c>
      <c r="AG229" s="4">
        <f>$O$229*$AA$229</f>
        <v>0</v>
      </c>
    </row>
    <row r="230" spans="1:33" ht="11.25" customHeight="1" x14ac:dyDescent="0.25">
      <c r="A230" s="3" t="s">
        <v>56</v>
      </c>
      <c r="B230" s="3" t="s">
        <v>39</v>
      </c>
      <c r="C230" s="3" t="s">
        <v>69</v>
      </c>
      <c r="D230" s="3" t="s">
        <v>25</v>
      </c>
      <c r="E230" s="3" t="s">
        <v>25</v>
      </c>
      <c r="F230" s="3" t="s">
        <v>70</v>
      </c>
      <c r="G230" s="3" t="s">
        <v>71</v>
      </c>
      <c r="H230" s="3" t="s">
        <v>25</v>
      </c>
      <c r="I230" s="6">
        <v>44621</v>
      </c>
      <c r="J230" s="4">
        <v>4412</v>
      </c>
      <c r="K230" s="4">
        <v>2206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 t="s">
        <v>72</v>
      </c>
      <c r="R230" s="3">
        <v>29152</v>
      </c>
      <c r="S230" s="4">
        <v>10</v>
      </c>
      <c r="T230" s="4">
        <v>0</v>
      </c>
      <c r="U230" s="4">
        <v>0</v>
      </c>
      <c r="V230" s="4">
        <f>IF(ISERROR(VLOOKUP($S$230,'TAR FIN'!$A$1:$O$113,15,0)),0,VLOOKUP($S$230,'TAR FIN'!$A$1:$O$113,15,0))</f>
        <v>10.55</v>
      </c>
      <c r="W230" s="4">
        <f>IF(ISERROR(VLOOKUP($T$230,'TAR FIN'!$A$1:$O$113,15,0)),0,VLOOKUP($T$230,'TAR FIN'!$A$1:$O$113,15,0))</f>
        <v>0</v>
      </c>
      <c r="X230" s="4">
        <f>IF(ISERROR(VLOOKUP($U$230,'TAR FIN'!$A$1:$O$113,15,0)),0,VLOOKUP($U$230,'TAR FIN'!$A$1:$O$113,15,0))</f>
        <v>0</v>
      </c>
      <c r="Y230" s="4">
        <f ca="1">('TUSD BE'!$AM$12+'TUSD BF'!$AM$12+'TUSD CVA'!$AM$12)*1</f>
        <v>12.955950506408183</v>
      </c>
      <c r="Z230" s="4"/>
      <c r="AA230" s="4"/>
      <c r="AB230" s="4">
        <f>$K$230*$V$230</f>
        <v>23273.300000000003</v>
      </c>
      <c r="AC230" s="4">
        <f>$M$230*$W$230</f>
        <v>0</v>
      </c>
      <c r="AD230" s="4">
        <f>$O$230*$X$230</f>
        <v>0</v>
      </c>
      <c r="AE230" s="4">
        <f ca="1">$K$230*$Y$230</f>
        <v>28580.826817136451</v>
      </c>
      <c r="AF230" s="4">
        <f>$M$230*$Z$230</f>
        <v>0</v>
      </c>
      <c r="AG230" s="4">
        <f>$O$230*$AA$230</f>
        <v>0</v>
      </c>
    </row>
    <row r="231" spans="1:33" ht="11.25" customHeight="1" x14ac:dyDescent="0.25">
      <c r="A231" s="3" t="s">
        <v>56</v>
      </c>
      <c r="B231" s="3" t="s">
        <v>39</v>
      </c>
      <c r="C231" s="3" t="s">
        <v>69</v>
      </c>
      <c r="D231" s="3" t="s">
        <v>25</v>
      </c>
      <c r="E231" s="3" t="s">
        <v>25</v>
      </c>
      <c r="F231" s="3" t="s">
        <v>70</v>
      </c>
      <c r="G231" s="3" t="s">
        <v>73</v>
      </c>
      <c r="H231" s="3" t="s">
        <v>25</v>
      </c>
      <c r="I231" s="6">
        <v>44621</v>
      </c>
      <c r="J231" s="4">
        <v>8200</v>
      </c>
      <c r="K231" s="4">
        <v>4100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3" t="s">
        <v>72</v>
      </c>
      <c r="R231" s="3">
        <v>29685</v>
      </c>
      <c r="S231" s="4">
        <v>10</v>
      </c>
      <c r="T231" s="4">
        <v>0</v>
      </c>
      <c r="U231" s="4">
        <v>0</v>
      </c>
      <c r="V231" s="4">
        <f>IF(ISERROR(VLOOKUP($S$231,'TAR FIN'!$A$1:$O$113,15,0)),0,VLOOKUP($S$231,'TAR FIN'!$A$1:$O$113,15,0))</f>
        <v>10.55</v>
      </c>
      <c r="W231" s="4">
        <f>IF(ISERROR(VLOOKUP($T$231,'TAR FIN'!$A$1:$O$113,15,0)),0,VLOOKUP($T$231,'TAR FIN'!$A$1:$O$113,15,0))</f>
        <v>0</v>
      </c>
      <c r="X231" s="4">
        <f>IF(ISERROR(VLOOKUP($U$231,'TAR FIN'!$A$1:$O$113,15,0)),0,VLOOKUP($U$231,'TAR FIN'!$A$1:$O$113,15,0))</f>
        <v>0</v>
      </c>
      <c r="Y231" s="4">
        <f ca="1">('TUSD BE'!$AM$12+'TUSD BF'!$AM$12+'TUSD CVA'!$AM$12)*1</f>
        <v>12.955950506408183</v>
      </c>
      <c r="Z231" s="4"/>
      <c r="AA231" s="4"/>
      <c r="AB231" s="4">
        <f>$K$231*$V$231</f>
        <v>43255</v>
      </c>
      <c r="AC231" s="4">
        <f>$M$231*$W$231</f>
        <v>0</v>
      </c>
      <c r="AD231" s="4">
        <f>$O$231*$X$231</f>
        <v>0</v>
      </c>
      <c r="AE231" s="4">
        <f ca="1">$K$231*$Y$231</f>
        <v>53119.397076273548</v>
      </c>
      <c r="AF231" s="4">
        <f>$M$231*$Z$231</f>
        <v>0</v>
      </c>
      <c r="AG231" s="4">
        <f>$O$231*$AA$231</f>
        <v>0</v>
      </c>
    </row>
    <row r="232" spans="1:33" ht="11.25" customHeight="1" x14ac:dyDescent="0.25">
      <c r="A232" s="3" t="s">
        <v>56</v>
      </c>
      <c r="B232" s="3" t="s">
        <v>39</v>
      </c>
      <c r="C232" s="3" t="s">
        <v>69</v>
      </c>
      <c r="D232" s="3" t="s">
        <v>25</v>
      </c>
      <c r="E232" s="3" t="s">
        <v>25</v>
      </c>
      <c r="F232" s="3" t="s">
        <v>70</v>
      </c>
      <c r="G232" s="3" t="s">
        <v>75</v>
      </c>
      <c r="H232" s="3" t="s">
        <v>25</v>
      </c>
      <c r="I232" s="6">
        <v>44621</v>
      </c>
      <c r="J232" s="4">
        <v>12400</v>
      </c>
      <c r="K232" s="4">
        <v>6200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3" t="s">
        <v>72</v>
      </c>
      <c r="R232" s="3">
        <v>30396</v>
      </c>
      <c r="S232" s="4">
        <v>10</v>
      </c>
      <c r="T232" s="4">
        <v>0</v>
      </c>
      <c r="U232" s="4">
        <v>0</v>
      </c>
      <c r="V232" s="4">
        <f>IF(ISERROR(VLOOKUP($S$232,'TAR FIN'!$A$1:$O$113,15,0)),0,VLOOKUP($S$232,'TAR FIN'!$A$1:$O$113,15,0))</f>
        <v>10.55</v>
      </c>
      <c r="W232" s="4">
        <f>IF(ISERROR(VLOOKUP($T$232,'TAR FIN'!$A$1:$O$113,15,0)),0,VLOOKUP($T$232,'TAR FIN'!$A$1:$O$113,15,0))</f>
        <v>0</v>
      </c>
      <c r="X232" s="4">
        <f>IF(ISERROR(VLOOKUP($U$232,'TAR FIN'!$A$1:$O$113,15,0)),0,VLOOKUP($U$232,'TAR FIN'!$A$1:$O$113,15,0))</f>
        <v>0</v>
      </c>
      <c r="Y232" s="4">
        <f ca="1">('TUSD BE'!$AM$12+'TUSD BF'!$AM$12+'TUSD CVA'!$AM$12)*1</f>
        <v>12.955950506408183</v>
      </c>
      <c r="Z232" s="4"/>
      <c r="AA232" s="4"/>
      <c r="AB232" s="4">
        <f>$K$232*$V$232</f>
        <v>65410.000000000007</v>
      </c>
      <c r="AC232" s="4">
        <f>$M$232*$W$232</f>
        <v>0</v>
      </c>
      <c r="AD232" s="4">
        <f>$O$232*$X$232</f>
        <v>0</v>
      </c>
      <c r="AE232" s="4">
        <f ca="1">$K$232*$Y$232</f>
        <v>80326.893139730731</v>
      </c>
      <c r="AF232" s="4">
        <f>$M$232*$Z$232</f>
        <v>0</v>
      </c>
      <c r="AG232" s="4">
        <f>$O$232*$AA$232</f>
        <v>0</v>
      </c>
    </row>
    <row r="233" spans="1:33" ht="11.25" customHeight="1" x14ac:dyDescent="0.25">
      <c r="A233" s="3" t="s">
        <v>21</v>
      </c>
      <c r="B233" s="3" t="s">
        <v>39</v>
      </c>
      <c r="C233" s="3" t="s">
        <v>69</v>
      </c>
      <c r="D233" s="3" t="s">
        <v>25</v>
      </c>
      <c r="E233" s="3" t="s">
        <v>25</v>
      </c>
      <c r="F233" s="3" t="s">
        <v>25</v>
      </c>
      <c r="G233" s="3" t="s">
        <v>74</v>
      </c>
      <c r="H233" s="3" t="s">
        <v>25</v>
      </c>
      <c r="I233" s="6">
        <v>44287</v>
      </c>
      <c r="J233" s="4">
        <v>30000</v>
      </c>
      <c r="K233" s="4">
        <v>15000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3" t="s">
        <v>72</v>
      </c>
      <c r="R233" s="3">
        <v>30296</v>
      </c>
      <c r="S233" s="4">
        <v>10</v>
      </c>
      <c r="T233" s="4">
        <v>0</v>
      </c>
      <c r="U233" s="4">
        <v>0</v>
      </c>
      <c r="V233" s="4">
        <f>IF(ISERROR(VLOOKUP($S$233,'TAR FIN'!$A$1:$O$113,15,0)),0,VLOOKUP($S$233,'TAR FIN'!$A$1:$O$113,15,0))</f>
        <v>10.55</v>
      </c>
      <c r="W233" s="4">
        <f>IF(ISERROR(VLOOKUP($T$233,'TAR FIN'!$A$1:$O$113,15,0)),0,VLOOKUP($T$233,'TAR FIN'!$A$1:$O$113,15,0))</f>
        <v>0</v>
      </c>
      <c r="X233" s="4">
        <f>IF(ISERROR(VLOOKUP($U$233,'TAR FIN'!$A$1:$O$113,15,0)),0,VLOOKUP($U$233,'TAR FIN'!$A$1:$O$113,15,0))</f>
        <v>0</v>
      </c>
      <c r="Y233" s="4">
        <f ca="1">('TUSD BE'!$AM$12+'TUSD BF'!$AM$12+'TUSD CVA'!$AM$12)*1</f>
        <v>12.955950506408183</v>
      </c>
      <c r="Z233" s="4"/>
      <c r="AA233" s="4"/>
      <c r="AB233" s="4">
        <f>$K$233*$V$233</f>
        <v>158250</v>
      </c>
      <c r="AC233" s="4">
        <f>$M$233*$W$233</f>
        <v>0</v>
      </c>
      <c r="AD233" s="4">
        <f>$O$233*$X$233</f>
        <v>0</v>
      </c>
      <c r="AE233" s="4">
        <f ca="1">$K$233*$Y$233</f>
        <v>194339.25759612274</v>
      </c>
      <c r="AF233" s="4">
        <f>$M$233*$Z$233</f>
        <v>0</v>
      </c>
      <c r="AG233" s="4">
        <f>$O$233*$AA$233</f>
        <v>0</v>
      </c>
    </row>
    <row r="234" spans="1:33" ht="11.25" customHeight="1" x14ac:dyDescent="0.25">
      <c r="A234" s="3" t="s">
        <v>21</v>
      </c>
      <c r="B234" s="3" t="s">
        <v>39</v>
      </c>
      <c r="C234" s="3" t="s">
        <v>69</v>
      </c>
      <c r="D234" s="3" t="s">
        <v>25</v>
      </c>
      <c r="E234" s="3" t="s">
        <v>25</v>
      </c>
      <c r="F234" s="3" t="s">
        <v>25</v>
      </c>
      <c r="G234" s="3" t="s">
        <v>74</v>
      </c>
      <c r="H234" s="3" t="s">
        <v>25</v>
      </c>
      <c r="I234" s="6">
        <v>44317</v>
      </c>
      <c r="J234" s="4">
        <v>30000</v>
      </c>
      <c r="K234" s="4">
        <v>15000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3" t="s">
        <v>72</v>
      </c>
      <c r="R234" s="3">
        <v>30296</v>
      </c>
      <c r="S234" s="4">
        <v>10</v>
      </c>
      <c r="T234" s="4">
        <v>0</v>
      </c>
      <c r="U234" s="4">
        <v>0</v>
      </c>
      <c r="V234" s="4">
        <f>IF(ISERROR(VLOOKUP($S$234,'TAR FIN'!$A$1:$O$113,15,0)),0,VLOOKUP($S$234,'TAR FIN'!$A$1:$O$113,15,0))</f>
        <v>10.55</v>
      </c>
      <c r="W234" s="4">
        <f>IF(ISERROR(VLOOKUP($T$234,'TAR FIN'!$A$1:$O$113,15,0)),0,VLOOKUP($T$234,'TAR FIN'!$A$1:$O$113,15,0))</f>
        <v>0</v>
      </c>
      <c r="X234" s="4">
        <f>IF(ISERROR(VLOOKUP($U$234,'TAR FIN'!$A$1:$O$113,15,0)),0,VLOOKUP($U$234,'TAR FIN'!$A$1:$O$113,15,0))</f>
        <v>0</v>
      </c>
      <c r="Y234" s="4">
        <f ca="1">('TUSD BE'!$AM$12+'TUSD BF'!$AM$12+'TUSD CVA'!$AM$12)*1</f>
        <v>12.955950506408183</v>
      </c>
      <c r="Z234" s="4"/>
      <c r="AA234" s="4"/>
      <c r="AB234" s="4">
        <f>$K$234*$V$234</f>
        <v>158250</v>
      </c>
      <c r="AC234" s="4">
        <f>$M$234*$W$234</f>
        <v>0</v>
      </c>
      <c r="AD234" s="4">
        <f>$O$234*$X$234</f>
        <v>0</v>
      </c>
      <c r="AE234" s="4">
        <f ca="1">$K$234*$Y$234</f>
        <v>194339.25759612274</v>
      </c>
      <c r="AF234" s="4">
        <f>$M$234*$Z$234</f>
        <v>0</v>
      </c>
      <c r="AG234" s="4">
        <f>$O$234*$AA$234</f>
        <v>0</v>
      </c>
    </row>
    <row r="235" spans="1:33" ht="11.25" customHeight="1" x14ac:dyDescent="0.25">
      <c r="A235" s="3" t="s">
        <v>21</v>
      </c>
      <c r="B235" s="3" t="s">
        <v>39</v>
      </c>
      <c r="C235" s="3" t="s">
        <v>69</v>
      </c>
      <c r="D235" s="3" t="s">
        <v>25</v>
      </c>
      <c r="E235" s="3" t="s">
        <v>25</v>
      </c>
      <c r="F235" s="3" t="s">
        <v>25</v>
      </c>
      <c r="G235" s="3" t="s">
        <v>74</v>
      </c>
      <c r="H235" s="3" t="s">
        <v>25</v>
      </c>
      <c r="I235" s="6">
        <v>44348</v>
      </c>
      <c r="J235" s="4">
        <v>30000</v>
      </c>
      <c r="K235" s="4">
        <v>15000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3" t="s">
        <v>72</v>
      </c>
      <c r="R235" s="3">
        <v>30296</v>
      </c>
      <c r="S235" s="4">
        <v>10</v>
      </c>
      <c r="T235" s="4">
        <v>0</v>
      </c>
      <c r="U235" s="4">
        <v>0</v>
      </c>
      <c r="V235" s="4">
        <f>IF(ISERROR(VLOOKUP($S$235,'TAR FIN'!$A$1:$O$113,15,0)),0,VLOOKUP($S$235,'TAR FIN'!$A$1:$O$113,15,0))</f>
        <v>10.55</v>
      </c>
      <c r="W235" s="4">
        <f>IF(ISERROR(VLOOKUP($T$235,'TAR FIN'!$A$1:$O$113,15,0)),0,VLOOKUP($T$235,'TAR FIN'!$A$1:$O$113,15,0))</f>
        <v>0</v>
      </c>
      <c r="X235" s="4">
        <f>IF(ISERROR(VLOOKUP($U$235,'TAR FIN'!$A$1:$O$113,15,0)),0,VLOOKUP($U$235,'TAR FIN'!$A$1:$O$113,15,0))</f>
        <v>0</v>
      </c>
      <c r="Y235" s="4">
        <f ca="1">('TUSD BE'!$AM$12+'TUSD BF'!$AM$12+'TUSD CVA'!$AM$12)*1</f>
        <v>12.955950506408183</v>
      </c>
      <c r="Z235" s="4"/>
      <c r="AA235" s="4"/>
      <c r="AB235" s="4">
        <f>$K$235*$V$235</f>
        <v>158250</v>
      </c>
      <c r="AC235" s="4">
        <f>$M$235*$W$235</f>
        <v>0</v>
      </c>
      <c r="AD235" s="4">
        <f>$O$235*$X$235</f>
        <v>0</v>
      </c>
      <c r="AE235" s="4">
        <f ca="1">$K$235*$Y$235</f>
        <v>194339.25759612274</v>
      </c>
      <c r="AF235" s="4">
        <f>$M$235*$Z$235</f>
        <v>0</v>
      </c>
      <c r="AG235" s="4">
        <f>$O$235*$AA$235</f>
        <v>0</v>
      </c>
    </row>
    <row r="236" spans="1:33" ht="11.25" customHeight="1" x14ac:dyDescent="0.25">
      <c r="A236" s="3" t="s">
        <v>21</v>
      </c>
      <c r="B236" s="3" t="s">
        <v>39</v>
      </c>
      <c r="C236" s="3" t="s">
        <v>69</v>
      </c>
      <c r="D236" s="3" t="s">
        <v>25</v>
      </c>
      <c r="E236" s="3" t="s">
        <v>25</v>
      </c>
      <c r="F236" s="3" t="s">
        <v>25</v>
      </c>
      <c r="G236" s="3" t="s">
        <v>74</v>
      </c>
      <c r="H236" s="3" t="s">
        <v>25</v>
      </c>
      <c r="I236" s="6">
        <v>44378</v>
      </c>
      <c r="J236" s="4">
        <v>30000</v>
      </c>
      <c r="K236" s="4">
        <v>15000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3" t="s">
        <v>72</v>
      </c>
      <c r="R236" s="3">
        <v>30296</v>
      </c>
      <c r="S236" s="4">
        <v>10</v>
      </c>
      <c r="T236" s="4">
        <v>0</v>
      </c>
      <c r="U236" s="4">
        <v>0</v>
      </c>
      <c r="V236" s="4">
        <f>IF(ISERROR(VLOOKUP($S$236,'TAR FIN'!$A$1:$O$113,15,0)),0,VLOOKUP($S$236,'TAR FIN'!$A$1:$O$113,15,0))</f>
        <v>10.55</v>
      </c>
      <c r="W236" s="4">
        <f>IF(ISERROR(VLOOKUP($T$236,'TAR FIN'!$A$1:$O$113,15,0)),0,VLOOKUP($T$236,'TAR FIN'!$A$1:$O$113,15,0))</f>
        <v>0</v>
      </c>
      <c r="X236" s="4">
        <f>IF(ISERROR(VLOOKUP($U$236,'TAR FIN'!$A$1:$O$113,15,0)),0,VLOOKUP($U$236,'TAR FIN'!$A$1:$O$113,15,0))</f>
        <v>0</v>
      </c>
      <c r="Y236" s="4">
        <f ca="1">('TUSD BE'!$AM$12+'TUSD BF'!$AM$12+'TUSD CVA'!$AM$12)*1</f>
        <v>12.955950506408183</v>
      </c>
      <c r="Z236" s="4"/>
      <c r="AA236" s="4"/>
      <c r="AB236" s="4">
        <f>$K$236*$V$236</f>
        <v>158250</v>
      </c>
      <c r="AC236" s="4">
        <f>$M$236*$W$236</f>
        <v>0</v>
      </c>
      <c r="AD236" s="4">
        <f>$O$236*$X$236</f>
        <v>0</v>
      </c>
      <c r="AE236" s="4">
        <f ca="1">$K$236*$Y$236</f>
        <v>194339.25759612274</v>
      </c>
      <c r="AF236" s="4">
        <f>$M$236*$Z$236</f>
        <v>0</v>
      </c>
      <c r="AG236" s="4">
        <f>$O$236*$AA$236</f>
        <v>0</v>
      </c>
    </row>
    <row r="237" spans="1:33" ht="11.25" customHeight="1" x14ac:dyDescent="0.25">
      <c r="A237" s="3" t="s">
        <v>21</v>
      </c>
      <c r="B237" s="3" t="s">
        <v>39</v>
      </c>
      <c r="C237" s="3" t="s">
        <v>69</v>
      </c>
      <c r="D237" s="3" t="s">
        <v>25</v>
      </c>
      <c r="E237" s="3" t="s">
        <v>25</v>
      </c>
      <c r="F237" s="3" t="s">
        <v>25</v>
      </c>
      <c r="G237" s="3" t="s">
        <v>74</v>
      </c>
      <c r="H237" s="3" t="s">
        <v>25</v>
      </c>
      <c r="I237" s="6">
        <v>44409</v>
      </c>
      <c r="J237" s="4">
        <v>30000</v>
      </c>
      <c r="K237" s="4">
        <v>15000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72</v>
      </c>
      <c r="R237" s="3">
        <v>30296</v>
      </c>
      <c r="S237" s="4">
        <v>10</v>
      </c>
      <c r="T237" s="4">
        <v>0</v>
      </c>
      <c r="U237" s="4">
        <v>0</v>
      </c>
      <c r="V237" s="4">
        <f>IF(ISERROR(VLOOKUP($S$237,'TAR FIN'!$A$1:$O$113,15,0)),0,VLOOKUP($S$237,'TAR FIN'!$A$1:$O$113,15,0))</f>
        <v>10.55</v>
      </c>
      <c r="W237" s="4">
        <f>IF(ISERROR(VLOOKUP($T$237,'TAR FIN'!$A$1:$O$113,15,0)),0,VLOOKUP($T$237,'TAR FIN'!$A$1:$O$113,15,0))</f>
        <v>0</v>
      </c>
      <c r="X237" s="4">
        <f>IF(ISERROR(VLOOKUP($U$237,'TAR FIN'!$A$1:$O$113,15,0)),0,VLOOKUP($U$237,'TAR FIN'!$A$1:$O$113,15,0))</f>
        <v>0</v>
      </c>
      <c r="Y237" s="4">
        <f ca="1">('TUSD BE'!$AM$12+'TUSD BF'!$AM$12+'TUSD CVA'!$AM$12)*1</f>
        <v>12.955950506408183</v>
      </c>
      <c r="Z237" s="4"/>
      <c r="AA237" s="4"/>
      <c r="AB237" s="4">
        <f>$K$237*$V$237</f>
        <v>158250</v>
      </c>
      <c r="AC237" s="4">
        <f>$M$237*$W$237</f>
        <v>0</v>
      </c>
      <c r="AD237" s="4">
        <f>$O$237*$X$237</f>
        <v>0</v>
      </c>
      <c r="AE237" s="4">
        <f ca="1">$K$237*$Y$237</f>
        <v>194339.25759612274</v>
      </c>
      <c r="AF237" s="4">
        <f>$M$237*$Z$237</f>
        <v>0</v>
      </c>
      <c r="AG237" s="4">
        <f>$O$237*$AA$237</f>
        <v>0</v>
      </c>
    </row>
    <row r="238" spans="1:33" ht="11.25" customHeight="1" x14ac:dyDescent="0.25">
      <c r="A238" s="3" t="s">
        <v>21</v>
      </c>
      <c r="B238" s="3" t="s">
        <v>39</v>
      </c>
      <c r="C238" s="3" t="s">
        <v>69</v>
      </c>
      <c r="D238" s="3" t="s">
        <v>25</v>
      </c>
      <c r="E238" s="3" t="s">
        <v>25</v>
      </c>
      <c r="F238" s="3" t="s">
        <v>25</v>
      </c>
      <c r="G238" s="3" t="s">
        <v>74</v>
      </c>
      <c r="H238" s="3" t="s">
        <v>25</v>
      </c>
      <c r="I238" s="6">
        <v>44440</v>
      </c>
      <c r="J238" s="4">
        <v>30000</v>
      </c>
      <c r="K238" s="4">
        <v>15000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3" t="s">
        <v>72</v>
      </c>
      <c r="R238" s="3">
        <v>30296</v>
      </c>
      <c r="S238" s="4">
        <v>10</v>
      </c>
      <c r="T238" s="4">
        <v>0</v>
      </c>
      <c r="U238" s="4">
        <v>0</v>
      </c>
      <c r="V238" s="4">
        <f>IF(ISERROR(VLOOKUP($S$238,'TAR FIN'!$A$1:$O$113,15,0)),0,VLOOKUP($S$238,'TAR FIN'!$A$1:$O$113,15,0))</f>
        <v>10.55</v>
      </c>
      <c r="W238" s="4">
        <f>IF(ISERROR(VLOOKUP($T$238,'TAR FIN'!$A$1:$O$113,15,0)),0,VLOOKUP($T$238,'TAR FIN'!$A$1:$O$113,15,0))</f>
        <v>0</v>
      </c>
      <c r="X238" s="4">
        <f>IF(ISERROR(VLOOKUP($U$238,'TAR FIN'!$A$1:$O$113,15,0)),0,VLOOKUP($U$238,'TAR FIN'!$A$1:$O$113,15,0))</f>
        <v>0</v>
      </c>
      <c r="Y238" s="4">
        <f ca="1">('TUSD BE'!$AM$12+'TUSD BF'!$AM$12+'TUSD CVA'!$AM$12)*1</f>
        <v>12.955950506408183</v>
      </c>
      <c r="Z238" s="4"/>
      <c r="AA238" s="4"/>
      <c r="AB238" s="4">
        <f>$K$238*$V$238</f>
        <v>158250</v>
      </c>
      <c r="AC238" s="4">
        <f>$M$238*$W$238</f>
        <v>0</v>
      </c>
      <c r="AD238" s="4">
        <f>$O$238*$X$238</f>
        <v>0</v>
      </c>
      <c r="AE238" s="4">
        <f ca="1">$K$238*$Y$238</f>
        <v>194339.25759612274</v>
      </c>
      <c r="AF238" s="4">
        <f>$M$238*$Z$238</f>
        <v>0</v>
      </c>
      <c r="AG238" s="4">
        <f>$O$238*$AA$238</f>
        <v>0</v>
      </c>
    </row>
    <row r="239" spans="1:33" ht="11.25" customHeight="1" x14ac:dyDescent="0.25">
      <c r="A239" s="3" t="s">
        <v>21</v>
      </c>
      <c r="B239" s="3" t="s">
        <v>39</v>
      </c>
      <c r="C239" s="3" t="s">
        <v>69</v>
      </c>
      <c r="D239" s="3" t="s">
        <v>25</v>
      </c>
      <c r="E239" s="3" t="s">
        <v>25</v>
      </c>
      <c r="F239" s="3" t="s">
        <v>25</v>
      </c>
      <c r="G239" s="3" t="s">
        <v>74</v>
      </c>
      <c r="H239" s="3" t="s">
        <v>25</v>
      </c>
      <c r="I239" s="6">
        <v>44470</v>
      </c>
      <c r="J239" s="4">
        <v>30000</v>
      </c>
      <c r="K239" s="4">
        <v>15000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3" t="s">
        <v>72</v>
      </c>
      <c r="R239" s="3">
        <v>30296</v>
      </c>
      <c r="S239" s="4">
        <v>10</v>
      </c>
      <c r="T239" s="4">
        <v>0</v>
      </c>
      <c r="U239" s="4">
        <v>0</v>
      </c>
      <c r="V239" s="4">
        <f>IF(ISERROR(VLOOKUP($S$239,'TAR FIN'!$A$1:$O$113,15,0)),0,VLOOKUP($S$239,'TAR FIN'!$A$1:$O$113,15,0))</f>
        <v>10.55</v>
      </c>
      <c r="W239" s="4">
        <f>IF(ISERROR(VLOOKUP($T$239,'TAR FIN'!$A$1:$O$113,15,0)),0,VLOOKUP($T$239,'TAR FIN'!$A$1:$O$113,15,0))</f>
        <v>0</v>
      </c>
      <c r="X239" s="4">
        <f>IF(ISERROR(VLOOKUP($U$239,'TAR FIN'!$A$1:$O$113,15,0)),0,VLOOKUP($U$239,'TAR FIN'!$A$1:$O$113,15,0))</f>
        <v>0</v>
      </c>
      <c r="Y239" s="4">
        <f ca="1">('TUSD BE'!$AM$12+'TUSD BF'!$AM$12+'TUSD CVA'!$AM$12)*1</f>
        <v>12.955950506408183</v>
      </c>
      <c r="Z239" s="4"/>
      <c r="AA239" s="4"/>
      <c r="AB239" s="4">
        <f>$K$239*$V$239</f>
        <v>158250</v>
      </c>
      <c r="AC239" s="4">
        <f>$M$239*$W$239</f>
        <v>0</v>
      </c>
      <c r="AD239" s="4">
        <f>$O$239*$X$239</f>
        <v>0</v>
      </c>
      <c r="AE239" s="4">
        <f ca="1">$K$239*$Y$239</f>
        <v>194339.25759612274</v>
      </c>
      <c r="AF239" s="4">
        <f>$M$239*$Z$239</f>
        <v>0</v>
      </c>
      <c r="AG239" s="4">
        <f>$O$239*$AA$239</f>
        <v>0</v>
      </c>
    </row>
    <row r="240" spans="1:33" ht="11.25" customHeight="1" x14ac:dyDescent="0.25">
      <c r="A240" s="3" t="s">
        <v>21</v>
      </c>
      <c r="B240" s="3" t="s">
        <v>39</v>
      </c>
      <c r="C240" s="3" t="s">
        <v>69</v>
      </c>
      <c r="D240" s="3" t="s">
        <v>25</v>
      </c>
      <c r="E240" s="3" t="s">
        <v>25</v>
      </c>
      <c r="F240" s="3" t="s">
        <v>25</v>
      </c>
      <c r="G240" s="3" t="s">
        <v>74</v>
      </c>
      <c r="H240" s="3" t="s">
        <v>25</v>
      </c>
      <c r="I240" s="6">
        <v>44501</v>
      </c>
      <c r="J240" s="4">
        <v>30000</v>
      </c>
      <c r="K240" s="4">
        <v>15000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3" t="s">
        <v>72</v>
      </c>
      <c r="R240" s="3">
        <v>30296</v>
      </c>
      <c r="S240" s="4">
        <v>10</v>
      </c>
      <c r="T240" s="4">
        <v>0</v>
      </c>
      <c r="U240" s="4">
        <v>0</v>
      </c>
      <c r="V240" s="4">
        <f>IF(ISERROR(VLOOKUP($S$240,'TAR FIN'!$A$1:$O$113,15,0)),0,VLOOKUP($S$240,'TAR FIN'!$A$1:$O$113,15,0))</f>
        <v>10.55</v>
      </c>
      <c r="W240" s="4">
        <f>IF(ISERROR(VLOOKUP($T$240,'TAR FIN'!$A$1:$O$113,15,0)),0,VLOOKUP($T$240,'TAR FIN'!$A$1:$O$113,15,0))</f>
        <v>0</v>
      </c>
      <c r="X240" s="4">
        <f>IF(ISERROR(VLOOKUP($U$240,'TAR FIN'!$A$1:$O$113,15,0)),0,VLOOKUP($U$240,'TAR FIN'!$A$1:$O$113,15,0))</f>
        <v>0</v>
      </c>
      <c r="Y240" s="4">
        <f ca="1">('TUSD BE'!$AM$12+'TUSD BF'!$AM$12+'TUSD CVA'!$AM$12)*1</f>
        <v>12.955950506408183</v>
      </c>
      <c r="Z240" s="4"/>
      <c r="AA240" s="4"/>
      <c r="AB240" s="4">
        <f>$K$240*$V$240</f>
        <v>158250</v>
      </c>
      <c r="AC240" s="4">
        <f>$M$240*$W$240</f>
        <v>0</v>
      </c>
      <c r="AD240" s="4">
        <f>$O$240*$X$240</f>
        <v>0</v>
      </c>
      <c r="AE240" s="4">
        <f ca="1">$K$240*$Y$240</f>
        <v>194339.25759612274</v>
      </c>
      <c r="AF240" s="4">
        <f>$M$240*$Z$240</f>
        <v>0</v>
      </c>
      <c r="AG240" s="4">
        <f>$O$240*$AA$240</f>
        <v>0</v>
      </c>
    </row>
    <row r="241" spans="1:33" ht="11.25" customHeight="1" x14ac:dyDescent="0.25">
      <c r="A241" s="3" t="s">
        <v>21</v>
      </c>
      <c r="B241" s="3" t="s">
        <v>39</v>
      </c>
      <c r="C241" s="3" t="s">
        <v>69</v>
      </c>
      <c r="D241" s="3" t="s">
        <v>25</v>
      </c>
      <c r="E241" s="3" t="s">
        <v>25</v>
      </c>
      <c r="F241" s="3" t="s">
        <v>25</v>
      </c>
      <c r="G241" s="3" t="s">
        <v>74</v>
      </c>
      <c r="H241" s="3" t="s">
        <v>25</v>
      </c>
      <c r="I241" s="6">
        <v>44531</v>
      </c>
      <c r="J241" s="4">
        <v>30000</v>
      </c>
      <c r="K241" s="4">
        <v>15000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72</v>
      </c>
      <c r="R241" s="3">
        <v>30296</v>
      </c>
      <c r="S241" s="4">
        <v>10</v>
      </c>
      <c r="T241" s="4">
        <v>0</v>
      </c>
      <c r="U241" s="4">
        <v>0</v>
      </c>
      <c r="V241" s="4">
        <f>IF(ISERROR(VLOOKUP($S$241,'TAR FIN'!$A$1:$O$113,15,0)),0,VLOOKUP($S$241,'TAR FIN'!$A$1:$O$113,15,0))</f>
        <v>10.55</v>
      </c>
      <c r="W241" s="4">
        <f>IF(ISERROR(VLOOKUP($T$241,'TAR FIN'!$A$1:$O$113,15,0)),0,VLOOKUP($T$241,'TAR FIN'!$A$1:$O$113,15,0))</f>
        <v>0</v>
      </c>
      <c r="X241" s="4">
        <f>IF(ISERROR(VLOOKUP($U$241,'TAR FIN'!$A$1:$O$113,15,0)),0,VLOOKUP($U$241,'TAR FIN'!$A$1:$O$113,15,0))</f>
        <v>0</v>
      </c>
      <c r="Y241" s="4">
        <f ca="1">('TUSD BE'!$AM$12+'TUSD BF'!$AM$12+'TUSD CVA'!$AM$12)*1</f>
        <v>12.955950506408183</v>
      </c>
      <c r="Z241" s="4"/>
      <c r="AA241" s="4"/>
      <c r="AB241" s="4">
        <f>$K$241*$V$241</f>
        <v>158250</v>
      </c>
      <c r="AC241" s="4">
        <f>$M$241*$W$241</f>
        <v>0</v>
      </c>
      <c r="AD241" s="4">
        <f>$O$241*$X$241</f>
        <v>0</v>
      </c>
      <c r="AE241" s="4">
        <f ca="1">$K$241*$Y$241</f>
        <v>194339.25759612274</v>
      </c>
      <c r="AF241" s="4">
        <f>$M$241*$Z$241</f>
        <v>0</v>
      </c>
      <c r="AG241" s="4">
        <f>$O$241*$AA$241</f>
        <v>0</v>
      </c>
    </row>
    <row r="242" spans="1:33" ht="11.25" customHeight="1" x14ac:dyDescent="0.25">
      <c r="A242" s="3" t="s">
        <v>21</v>
      </c>
      <c r="B242" s="3" t="s">
        <v>39</v>
      </c>
      <c r="C242" s="3" t="s">
        <v>69</v>
      </c>
      <c r="D242" s="3" t="s">
        <v>25</v>
      </c>
      <c r="E242" s="3" t="s">
        <v>25</v>
      </c>
      <c r="F242" s="3" t="s">
        <v>25</v>
      </c>
      <c r="G242" s="3" t="s">
        <v>74</v>
      </c>
      <c r="H242" s="3" t="s">
        <v>25</v>
      </c>
      <c r="I242" s="6">
        <v>44562</v>
      </c>
      <c r="J242" s="4">
        <v>30000</v>
      </c>
      <c r="K242" s="4">
        <v>15000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3" t="s">
        <v>72</v>
      </c>
      <c r="R242" s="3">
        <v>30296</v>
      </c>
      <c r="S242" s="4">
        <v>10</v>
      </c>
      <c r="T242" s="4">
        <v>0</v>
      </c>
      <c r="U242" s="4">
        <v>0</v>
      </c>
      <c r="V242" s="4">
        <f>IF(ISERROR(VLOOKUP($S$242,'TAR FIN'!$A$1:$O$113,15,0)),0,VLOOKUP($S$242,'TAR FIN'!$A$1:$O$113,15,0))</f>
        <v>10.55</v>
      </c>
      <c r="W242" s="4">
        <f>IF(ISERROR(VLOOKUP($T$242,'TAR FIN'!$A$1:$O$113,15,0)),0,VLOOKUP($T$242,'TAR FIN'!$A$1:$O$113,15,0))</f>
        <v>0</v>
      </c>
      <c r="X242" s="4">
        <f>IF(ISERROR(VLOOKUP($U$242,'TAR FIN'!$A$1:$O$113,15,0)),0,VLOOKUP($U$242,'TAR FIN'!$A$1:$O$113,15,0))</f>
        <v>0</v>
      </c>
      <c r="Y242" s="4">
        <f ca="1">('TUSD BE'!$AM$12+'TUSD BF'!$AM$12+'TUSD CVA'!$AM$12)*1</f>
        <v>12.955950506408183</v>
      </c>
      <c r="Z242" s="4"/>
      <c r="AA242" s="4"/>
      <c r="AB242" s="4">
        <f>$K$242*$V$242</f>
        <v>158250</v>
      </c>
      <c r="AC242" s="4">
        <f>$M$242*$W$242</f>
        <v>0</v>
      </c>
      <c r="AD242" s="4">
        <f>$O$242*$X$242</f>
        <v>0</v>
      </c>
      <c r="AE242" s="4">
        <f ca="1">$K$242*$Y$242</f>
        <v>194339.25759612274</v>
      </c>
      <c r="AF242" s="4">
        <f>$M$242*$Z$242</f>
        <v>0</v>
      </c>
      <c r="AG242" s="4">
        <f>$O$242*$AA$242</f>
        <v>0</v>
      </c>
    </row>
    <row r="243" spans="1:33" ht="11.25" customHeight="1" x14ac:dyDescent="0.25">
      <c r="A243" s="3" t="s">
        <v>21</v>
      </c>
      <c r="B243" s="3" t="s">
        <v>39</v>
      </c>
      <c r="C243" s="3" t="s">
        <v>69</v>
      </c>
      <c r="D243" s="3" t="s">
        <v>25</v>
      </c>
      <c r="E243" s="3" t="s">
        <v>25</v>
      </c>
      <c r="F243" s="3" t="s">
        <v>25</v>
      </c>
      <c r="G243" s="3" t="s">
        <v>74</v>
      </c>
      <c r="H243" s="3" t="s">
        <v>25</v>
      </c>
      <c r="I243" s="6">
        <v>44593</v>
      </c>
      <c r="J243" s="4">
        <v>30000</v>
      </c>
      <c r="K243" s="4">
        <v>15000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 t="s">
        <v>72</v>
      </c>
      <c r="R243" s="3">
        <v>30296</v>
      </c>
      <c r="S243" s="4">
        <v>10</v>
      </c>
      <c r="T243" s="4">
        <v>0</v>
      </c>
      <c r="U243" s="4">
        <v>0</v>
      </c>
      <c r="V243" s="4">
        <f>IF(ISERROR(VLOOKUP($S$243,'TAR FIN'!$A$1:$O$113,15,0)),0,VLOOKUP($S$243,'TAR FIN'!$A$1:$O$113,15,0))</f>
        <v>10.55</v>
      </c>
      <c r="W243" s="4">
        <f>IF(ISERROR(VLOOKUP($T$243,'TAR FIN'!$A$1:$O$113,15,0)),0,VLOOKUP($T$243,'TAR FIN'!$A$1:$O$113,15,0))</f>
        <v>0</v>
      </c>
      <c r="X243" s="4">
        <f>IF(ISERROR(VLOOKUP($U$243,'TAR FIN'!$A$1:$O$113,15,0)),0,VLOOKUP($U$243,'TAR FIN'!$A$1:$O$113,15,0))</f>
        <v>0</v>
      </c>
      <c r="Y243" s="4">
        <f ca="1">('TUSD BE'!$AM$12+'TUSD BF'!$AM$12+'TUSD CVA'!$AM$12)*1</f>
        <v>12.955950506408183</v>
      </c>
      <c r="Z243" s="4"/>
      <c r="AA243" s="4"/>
      <c r="AB243" s="4">
        <f>$K$243*$V$243</f>
        <v>158250</v>
      </c>
      <c r="AC243" s="4">
        <f>$M$243*$W$243</f>
        <v>0</v>
      </c>
      <c r="AD243" s="4">
        <f>$O$243*$X$243</f>
        <v>0</v>
      </c>
      <c r="AE243" s="4">
        <f ca="1">$K$243*$Y$243</f>
        <v>194339.25759612274</v>
      </c>
      <c r="AF243" s="4">
        <f>$M$243*$Z$243</f>
        <v>0</v>
      </c>
      <c r="AG243" s="4">
        <f>$O$243*$AA$243</f>
        <v>0</v>
      </c>
    </row>
    <row r="244" spans="1:33" ht="11.25" customHeight="1" x14ac:dyDescent="0.25">
      <c r="A244" s="3" t="s">
        <v>56</v>
      </c>
      <c r="B244" s="3" t="s">
        <v>39</v>
      </c>
      <c r="C244" s="3" t="s">
        <v>69</v>
      </c>
      <c r="D244" s="3" t="s">
        <v>25</v>
      </c>
      <c r="E244" s="3" t="s">
        <v>25</v>
      </c>
      <c r="F244" s="3" t="s">
        <v>25</v>
      </c>
      <c r="G244" s="3" t="s">
        <v>74</v>
      </c>
      <c r="H244" s="3" t="s">
        <v>25</v>
      </c>
      <c r="I244" s="6">
        <v>44621</v>
      </c>
      <c r="J244" s="4">
        <v>30000</v>
      </c>
      <c r="K244" s="4">
        <v>15000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3" t="s">
        <v>72</v>
      </c>
      <c r="R244" s="3">
        <v>30296</v>
      </c>
      <c r="S244" s="4">
        <v>10</v>
      </c>
      <c r="T244" s="4">
        <v>0</v>
      </c>
      <c r="U244" s="4">
        <v>0</v>
      </c>
      <c r="V244" s="4">
        <f>IF(ISERROR(VLOOKUP($S$244,'TAR FIN'!$A$1:$O$113,15,0)),0,VLOOKUP($S$244,'TAR FIN'!$A$1:$O$113,15,0))</f>
        <v>10.55</v>
      </c>
      <c r="W244" s="4">
        <f>IF(ISERROR(VLOOKUP($T$244,'TAR FIN'!$A$1:$O$113,15,0)),0,VLOOKUP($T$244,'TAR FIN'!$A$1:$O$113,15,0))</f>
        <v>0</v>
      </c>
      <c r="X244" s="4">
        <f>IF(ISERROR(VLOOKUP($U$244,'TAR FIN'!$A$1:$O$113,15,0)),0,VLOOKUP($U$244,'TAR FIN'!$A$1:$O$113,15,0))</f>
        <v>0</v>
      </c>
      <c r="Y244" s="4">
        <f ca="1">('TUSD BE'!$AM$12+'TUSD BF'!$AM$12+'TUSD CVA'!$AM$12)*1</f>
        <v>12.955950506408183</v>
      </c>
      <c r="Z244" s="4"/>
      <c r="AA244" s="4"/>
      <c r="AB244" s="4">
        <f>$K$244*$V$244</f>
        <v>158250</v>
      </c>
      <c r="AC244" s="4">
        <f>$M$244*$W$244</f>
        <v>0</v>
      </c>
      <c r="AD244" s="4">
        <f>$O$244*$X$244</f>
        <v>0</v>
      </c>
      <c r="AE244" s="4">
        <f ca="1">$K$244*$Y$244</f>
        <v>194339.25759612274</v>
      </c>
      <c r="AF244" s="4">
        <f>$M$244*$Z$244</f>
        <v>0</v>
      </c>
      <c r="AG244" s="4">
        <f>$O$244*$AA$244</f>
        <v>0</v>
      </c>
    </row>
    <row r="245" spans="1:33" ht="11.25" customHeight="1" x14ac:dyDescent="0.25">
      <c r="A245" s="3" t="s">
        <v>21</v>
      </c>
      <c r="B245" s="3" t="s">
        <v>41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35</v>
      </c>
      <c r="I245" s="6">
        <v>44287</v>
      </c>
      <c r="J245" s="4">
        <v>8153</v>
      </c>
      <c r="K245" s="4">
        <v>8153</v>
      </c>
      <c r="L245" s="4">
        <v>2542.1590000000001</v>
      </c>
      <c r="M245" s="4">
        <v>2542.1590000000001</v>
      </c>
      <c r="N245" s="4">
        <v>2542.1590000000001</v>
      </c>
      <c r="O245" s="4">
        <v>2542.1590000000001</v>
      </c>
      <c r="P245" s="4">
        <v>0</v>
      </c>
      <c r="Q245" s="3" t="s">
        <v>26</v>
      </c>
      <c r="R245" s="3">
        <v>0</v>
      </c>
      <c r="S245" s="4">
        <v>12</v>
      </c>
      <c r="T245" s="4">
        <v>110</v>
      </c>
      <c r="U245" s="4">
        <v>89</v>
      </c>
      <c r="V245" s="4">
        <f>IF(ISERROR(VLOOKUP($S$245,'TAR FIN'!$A$1:$O$113,15,0)),0,VLOOKUP($S$245,'TAR FIN'!$A$1:$O$113,15,0))</f>
        <v>24.31</v>
      </c>
      <c r="W245" s="4">
        <f>IF(ISERROR(VLOOKUP($T$245,'TAR FIN'!$A$1:$O$113,15,0)),0,VLOOKUP($T$245,'TAR FIN'!$A$1:$O$113,15,0))</f>
        <v>51.27</v>
      </c>
      <c r="X245" s="4">
        <f>IF(ISERROR(VLOOKUP($U$245,'TAR FIN'!$A$1:$O$113,15,0)),0,VLOOKUP($U$245,'TAR FIN'!$A$1:$O$113,15,0))</f>
        <v>222.31</v>
      </c>
      <c r="Y245" s="4">
        <f ca="1">('TUSD BE'!$AM$14+'TUSD BF'!$AM$14+'TUSD CVA'!$AM$14)*1</f>
        <v>26.598074646640526</v>
      </c>
      <c r="Z245" s="4">
        <f ca="1">('TUSD BE'!$AM$15+'TUSD BF'!$AM$15+'TUSD CVA'!$AM$15)*1</f>
        <v>65.007409626508434</v>
      </c>
      <c r="AA245" s="4">
        <f>('TE BE'!$AA$11+'TE BF'!$AA$11+'TE CVA'!$AA$11)*1</f>
        <v>223.14561812044704</v>
      </c>
      <c r="AB245" s="4">
        <f>$K$245*$V$245</f>
        <v>198199.43</v>
      </c>
      <c r="AC245" s="4">
        <f>$M$245*$W$245</f>
        <v>130336.49193000002</v>
      </c>
      <c r="AD245" s="4">
        <f>$O$245*$X$245</f>
        <v>565147.36729000008</v>
      </c>
      <c r="AE245" s="4">
        <f ca="1">$K$245*$Y$245</f>
        <v>216854.10259406021</v>
      </c>
      <c r="AF245" s="4">
        <f ca="1">$M$245*$Z$245</f>
        <v>165259.17144871506</v>
      </c>
      <c r="AG245" s="4">
        <f>$O$245*$AA$245</f>
        <v>567271.64141545759</v>
      </c>
    </row>
    <row r="246" spans="1:33" ht="11.25" customHeight="1" x14ac:dyDescent="0.25">
      <c r="A246" s="3" t="s">
        <v>28</v>
      </c>
      <c r="B246" s="3" t="s">
        <v>41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35</v>
      </c>
      <c r="I246" s="6">
        <v>44287</v>
      </c>
      <c r="J246" s="4">
        <v>300</v>
      </c>
      <c r="K246" s="4">
        <v>300</v>
      </c>
      <c r="L246" s="4">
        <v>70.069999999999993</v>
      </c>
      <c r="M246" s="4">
        <v>70.069999999999993</v>
      </c>
      <c r="N246" s="4">
        <v>70.069999999999993</v>
      </c>
      <c r="O246" s="4">
        <v>70.069999999999993</v>
      </c>
      <c r="P246" s="4">
        <v>0</v>
      </c>
      <c r="Q246" s="3" t="s">
        <v>26</v>
      </c>
      <c r="R246" s="3">
        <v>0</v>
      </c>
      <c r="S246" s="4">
        <v>12</v>
      </c>
      <c r="T246" s="4">
        <v>110</v>
      </c>
      <c r="U246" s="4">
        <v>89</v>
      </c>
      <c r="V246" s="4">
        <f>IF(ISERROR(VLOOKUP($S$246,'TAR FIN'!$A$1:$O$113,15,0)),0,VLOOKUP($S$246,'TAR FIN'!$A$1:$O$113,15,0))</f>
        <v>24.31</v>
      </c>
      <c r="W246" s="4">
        <f>IF(ISERROR(VLOOKUP($T$246,'TAR FIN'!$A$1:$O$113,15,0)),0,VLOOKUP($T$246,'TAR FIN'!$A$1:$O$113,15,0))</f>
        <v>51.27</v>
      </c>
      <c r="X246" s="4">
        <f>IF(ISERROR(VLOOKUP($U$246,'TAR FIN'!$A$1:$O$113,15,0)),0,VLOOKUP($U$246,'TAR FIN'!$A$1:$O$113,15,0))</f>
        <v>222.31</v>
      </c>
      <c r="Y246" s="4">
        <f ca="1">('TUSD BE'!$AM$14+'TUSD BF'!$AM$14+'TUSD CVA'!$AM$14)*1</f>
        <v>26.598074646640526</v>
      </c>
      <c r="Z246" s="4">
        <f ca="1">('TUSD BE'!$AM$15+'TUSD BF'!$AM$15+'TUSD CVA'!$AM$15)*1</f>
        <v>65.007409626508434</v>
      </c>
      <c r="AA246" s="4">
        <f>('TE BE'!$AA$11+'TE BF'!$AA$11+'TE CVA'!$AA$11)*1</f>
        <v>223.14561812044704</v>
      </c>
      <c r="AB246" s="4">
        <f>$K$246*$V$246</f>
        <v>7293</v>
      </c>
      <c r="AC246" s="4">
        <f>$M$246*$W$246</f>
        <v>3592.4888999999998</v>
      </c>
      <c r="AD246" s="4">
        <f>$O$246*$X$246</f>
        <v>15577.261699999999</v>
      </c>
      <c r="AE246" s="4">
        <f ca="1">$K$246*$Y$246</f>
        <v>7979.4223939921576</v>
      </c>
      <c r="AF246" s="4">
        <f ca="1">$M$246*$Z$246</f>
        <v>4555.0691925294459</v>
      </c>
      <c r="AG246" s="4">
        <f>$O$246*$AA$246</f>
        <v>15635.813461699723</v>
      </c>
    </row>
    <row r="247" spans="1:33" ht="11.25" customHeight="1" x14ac:dyDescent="0.25">
      <c r="A247" s="3" t="s">
        <v>21</v>
      </c>
      <c r="B247" s="3" t="s">
        <v>41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35</v>
      </c>
      <c r="I247" s="6">
        <v>44317</v>
      </c>
      <c r="J247" s="4">
        <v>8480</v>
      </c>
      <c r="K247" s="4">
        <v>8480</v>
      </c>
      <c r="L247" s="4">
        <v>2543.1790000000001</v>
      </c>
      <c r="M247" s="4">
        <v>2543.1790000000001</v>
      </c>
      <c r="N247" s="4">
        <v>2543.1790000000001</v>
      </c>
      <c r="O247" s="4">
        <v>2543.1790000000001</v>
      </c>
      <c r="P247" s="4">
        <v>0</v>
      </c>
      <c r="Q247" s="3" t="s">
        <v>26</v>
      </c>
      <c r="R247" s="3">
        <v>0</v>
      </c>
      <c r="S247" s="4">
        <v>12</v>
      </c>
      <c r="T247" s="4">
        <v>110</v>
      </c>
      <c r="U247" s="4">
        <v>89</v>
      </c>
      <c r="V247" s="4">
        <f>IF(ISERROR(VLOOKUP($S$247,'TAR FIN'!$A$1:$O$113,15,0)),0,VLOOKUP($S$247,'TAR FIN'!$A$1:$O$113,15,0))</f>
        <v>24.31</v>
      </c>
      <c r="W247" s="4">
        <f>IF(ISERROR(VLOOKUP($T$247,'TAR FIN'!$A$1:$O$113,15,0)),0,VLOOKUP($T$247,'TAR FIN'!$A$1:$O$113,15,0))</f>
        <v>51.27</v>
      </c>
      <c r="X247" s="4">
        <f>IF(ISERROR(VLOOKUP($U$247,'TAR FIN'!$A$1:$O$113,15,0)),0,VLOOKUP($U$247,'TAR FIN'!$A$1:$O$113,15,0))</f>
        <v>222.31</v>
      </c>
      <c r="Y247" s="4">
        <f ca="1">('TUSD BE'!$AM$14+'TUSD BF'!$AM$14+'TUSD CVA'!$AM$14)*1</f>
        <v>26.598074646640526</v>
      </c>
      <c r="Z247" s="4">
        <f ca="1">('TUSD BE'!$AM$15+'TUSD BF'!$AM$15+'TUSD CVA'!$AM$15)*1</f>
        <v>65.007409626508434</v>
      </c>
      <c r="AA247" s="4">
        <f>('TE BE'!$AA$11+'TE BF'!$AA$11+'TE CVA'!$AA$11)*1</f>
        <v>223.14561812044704</v>
      </c>
      <c r="AB247" s="4">
        <f>$K$247*$V$247</f>
        <v>206148.8</v>
      </c>
      <c r="AC247" s="4">
        <f>$M$247*$W$247</f>
        <v>130388.78733000001</v>
      </c>
      <c r="AD247" s="4">
        <f>$O$247*$X$247</f>
        <v>565374.12349000003</v>
      </c>
      <c r="AE247" s="4">
        <f ca="1">$K$247*$Y$247</f>
        <v>225551.67300351168</v>
      </c>
      <c r="AF247" s="4">
        <f ca="1">$M$247*$Z$247</f>
        <v>165325.47900653409</v>
      </c>
      <c r="AG247" s="4">
        <f>$O$247*$AA$247</f>
        <v>567499.24994594045</v>
      </c>
    </row>
    <row r="248" spans="1:33" ht="11.25" customHeight="1" x14ac:dyDescent="0.25">
      <c r="A248" s="3" t="s">
        <v>28</v>
      </c>
      <c r="B248" s="3" t="s">
        <v>41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35</v>
      </c>
      <c r="I248" s="6">
        <v>44317</v>
      </c>
      <c r="J248" s="4">
        <v>300</v>
      </c>
      <c r="K248" s="4">
        <v>300</v>
      </c>
      <c r="L248" s="4">
        <v>69.510000000000005</v>
      </c>
      <c r="M248" s="4">
        <v>69.510000000000005</v>
      </c>
      <c r="N248" s="4">
        <v>69.510000000000005</v>
      </c>
      <c r="O248" s="4">
        <v>69.510000000000005</v>
      </c>
      <c r="P248" s="4">
        <v>0</v>
      </c>
      <c r="Q248" s="3" t="s">
        <v>26</v>
      </c>
      <c r="R248" s="3">
        <v>0</v>
      </c>
      <c r="S248" s="4">
        <v>12</v>
      </c>
      <c r="T248" s="4">
        <v>110</v>
      </c>
      <c r="U248" s="4">
        <v>89</v>
      </c>
      <c r="V248" s="4">
        <f>IF(ISERROR(VLOOKUP($S$248,'TAR FIN'!$A$1:$O$113,15,0)),0,VLOOKUP($S$248,'TAR FIN'!$A$1:$O$113,15,0))</f>
        <v>24.31</v>
      </c>
      <c r="W248" s="4">
        <f>IF(ISERROR(VLOOKUP($T$248,'TAR FIN'!$A$1:$O$113,15,0)),0,VLOOKUP($T$248,'TAR FIN'!$A$1:$O$113,15,0))</f>
        <v>51.27</v>
      </c>
      <c r="X248" s="4">
        <f>IF(ISERROR(VLOOKUP($U$248,'TAR FIN'!$A$1:$O$113,15,0)),0,VLOOKUP($U$248,'TAR FIN'!$A$1:$O$113,15,0))</f>
        <v>222.31</v>
      </c>
      <c r="Y248" s="4">
        <f ca="1">('TUSD BE'!$AM$14+'TUSD BF'!$AM$14+'TUSD CVA'!$AM$14)*1</f>
        <v>26.598074646640526</v>
      </c>
      <c r="Z248" s="4">
        <f ca="1">('TUSD BE'!$AM$15+'TUSD BF'!$AM$15+'TUSD CVA'!$AM$15)*1</f>
        <v>65.007409626508434</v>
      </c>
      <c r="AA248" s="4">
        <f>('TE BE'!$AA$11+'TE BF'!$AA$11+'TE CVA'!$AA$11)*1</f>
        <v>223.14561812044704</v>
      </c>
      <c r="AB248" s="4">
        <f>$K$248*$V$248</f>
        <v>7293</v>
      </c>
      <c r="AC248" s="4">
        <f>$M$248*$W$248</f>
        <v>3563.7777000000006</v>
      </c>
      <c r="AD248" s="4">
        <f>$O$248*$X$248</f>
        <v>15452.768100000001</v>
      </c>
      <c r="AE248" s="4">
        <f ca="1">$K$248*$Y$248</f>
        <v>7979.4223939921576</v>
      </c>
      <c r="AF248" s="4">
        <f ca="1">$M$248*$Z$248</f>
        <v>4518.6650431386015</v>
      </c>
      <c r="AG248" s="4">
        <f>$O$248*$AA$248</f>
        <v>15510.851915552275</v>
      </c>
    </row>
    <row r="249" spans="1:33" ht="11.25" customHeight="1" x14ac:dyDescent="0.25">
      <c r="A249" s="3" t="s">
        <v>21</v>
      </c>
      <c r="B249" s="3" t="s">
        <v>41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35</v>
      </c>
      <c r="I249" s="6">
        <v>44348</v>
      </c>
      <c r="J249" s="4">
        <v>8678</v>
      </c>
      <c r="K249" s="4">
        <v>8678</v>
      </c>
      <c r="L249" s="4">
        <v>2229.0329999999999</v>
      </c>
      <c r="M249" s="4">
        <v>2229.0329999999999</v>
      </c>
      <c r="N249" s="4">
        <v>2229.0329999999999</v>
      </c>
      <c r="O249" s="4">
        <v>2229.0329999999999</v>
      </c>
      <c r="P249" s="4">
        <v>0</v>
      </c>
      <c r="Q249" s="3" t="s">
        <v>26</v>
      </c>
      <c r="R249" s="3">
        <v>0</v>
      </c>
      <c r="S249" s="4">
        <v>12</v>
      </c>
      <c r="T249" s="4">
        <v>110</v>
      </c>
      <c r="U249" s="4">
        <v>89</v>
      </c>
      <c r="V249" s="4">
        <f>IF(ISERROR(VLOOKUP($S$249,'TAR FIN'!$A$1:$O$113,15,0)),0,VLOOKUP($S$249,'TAR FIN'!$A$1:$O$113,15,0))</f>
        <v>24.31</v>
      </c>
      <c r="W249" s="4">
        <f>IF(ISERROR(VLOOKUP($T$249,'TAR FIN'!$A$1:$O$113,15,0)),0,VLOOKUP($T$249,'TAR FIN'!$A$1:$O$113,15,0))</f>
        <v>51.27</v>
      </c>
      <c r="X249" s="4">
        <f>IF(ISERROR(VLOOKUP($U$249,'TAR FIN'!$A$1:$O$113,15,0)),0,VLOOKUP($U$249,'TAR FIN'!$A$1:$O$113,15,0))</f>
        <v>222.31</v>
      </c>
      <c r="Y249" s="4">
        <f ca="1">('TUSD BE'!$AM$14+'TUSD BF'!$AM$14+'TUSD CVA'!$AM$14)*1</f>
        <v>26.598074646640526</v>
      </c>
      <c r="Z249" s="4">
        <f ca="1">('TUSD BE'!$AM$15+'TUSD BF'!$AM$15+'TUSD CVA'!$AM$15)*1</f>
        <v>65.007409626508434</v>
      </c>
      <c r="AA249" s="4">
        <f>('TE BE'!$AA$11+'TE BF'!$AA$11+'TE CVA'!$AA$11)*1</f>
        <v>223.14561812044704</v>
      </c>
      <c r="AB249" s="4">
        <f>$K$249*$V$249</f>
        <v>210962.18</v>
      </c>
      <c r="AC249" s="4">
        <f>$M$249*$W$249</f>
        <v>114282.52191</v>
      </c>
      <c r="AD249" s="4">
        <f>$O$249*$X$249</f>
        <v>495536.32623000001</v>
      </c>
      <c r="AE249" s="4">
        <f ca="1">$K$249*$Y$249</f>
        <v>230818.09178354649</v>
      </c>
      <c r="AF249" s="4">
        <f ca="1">$M$249*$Z$249</f>
        <v>144903.66130200497</v>
      </c>
      <c r="AG249" s="4">
        <f>$O$249*$AA$249</f>
        <v>497398.94659587438</v>
      </c>
    </row>
    <row r="250" spans="1:33" ht="11.25" customHeight="1" x14ac:dyDescent="0.25">
      <c r="A250" s="3" t="s">
        <v>28</v>
      </c>
      <c r="B250" s="3" t="s">
        <v>41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35</v>
      </c>
      <c r="I250" s="6">
        <v>44348</v>
      </c>
      <c r="J250" s="4">
        <v>270</v>
      </c>
      <c r="K250" s="4">
        <v>270</v>
      </c>
      <c r="L250" s="4">
        <v>60.48</v>
      </c>
      <c r="M250" s="4">
        <v>60.48</v>
      </c>
      <c r="N250" s="4">
        <v>60.48</v>
      </c>
      <c r="O250" s="4">
        <v>60.48</v>
      </c>
      <c r="P250" s="4">
        <v>0</v>
      </c>
      <c r="Q250" s="3" t="s">
        <v>26</v>
      </c>
      <c r="R250" s="3">
        <v>0</v>
      </c>
      <c r="S250" s="4">
        <v>12</v>
      </c>
      <c r="T250" s="4">
        <v>110</v>
      </c>
      <c r="U250" s="4">
        <v>89</v>
      </c>
      <c r="V250" s="4">
        <f>IF(ISERROR(VLOOKUP($S$250,'TAR FIN'!$A$1:$O$113,15,0)),0,VLOOKUP($S$250,'TAR FIN'!$A$1:$O$113,15,0))</f>
        <v>24.31</v>
      </c>
      <c r="W250" s="4">
        <f>IF(ISERROR(VLOOKUP($T$250,'TAR FIN'!$A$1:$O$113,15,0)),0,VLOOKUP($T$250,'TAR FIN'!$A$1:$O$113,15,0))</f>
        <v>51.27</v>
      </c>
      <c r="X250" s="4">
        <f>IF(ISERROR(VLOOKUP($U$250,'TAR FIN'!$A$1:$O$113,15,0)),0,VLOOKUP($U$250,'TAR FIN'!$A$1:$O$113,15,0))</f>
        <v>222.31</v>
      </c>
      <c r="Y250" s="4">
        <f ca="1">('TUSD BE'!$AM$14+'TUSD BF'!$AM$14+'TUSD CVA'!$AM$14)*1</f>
        <v>26.598074646640526</v>
      </c>
      <c r="Z250" s="4">
        <f ca="1">('TUSD BE'!$AM$15+'TUSD BF'!$AM$15+'TUSD CVA'!$AM$15)*1</f>
        <v>65.007409626508434</v>
      </c>
      <c r="AA250" s="4">
        <f>('TE BE'!$AA$11+'TE BF'!$AA$11+'TE CVA'!$AA$11)*1</f>
        <v>223.14561812044704</v>
      </c>
      <c r="AB250" s="4">
        <f>$K$250*$V$250</f>
        <v>6563.7</v>
      </c>
      <c r="AC250" s="4">
        <f>$M$250*$W$250</f>
        <v>3100.8096</v>
      </c>
      <c r="AD250" s="4">
        <f>$O$250*$X$250</f>
        <v>13445.308799999999</v>
      </c>
      <c r="AE250" s="4">
        <f ca="1">$K$250*$Y$250</f>
        <v>7181.4801545929422</v>
      </c>
      <c r="AF250" s="4">
        <f ca="1">$M$250*$Z$250</f>
        <v>3931.6481342112297</v>
      </c>
      <c r="AG250" s="4">
        <f>$O$250*$AA$250</f>
        <v>13495.846983924635</v>
      </c>
    </row>
    <row r="251" spans="1:33" ht="11.25" customHeight="1" x14ac:dyDescent="0.25">
      <c r="A251" s="3" t="s">
        <v>21</v>
      </c>
      <c r="B251" s="3" t="s">
        <v>41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35</v>
      </c>
      <c r="I251" s="6">
        <v>44378</v>
      </c>
      <c r="J251" s="4">
        <v>8020</v>
      </c>
      <c r="K251" s="4">
        <v>8020</v>
      </c>
      <c r="L251" s="4">
        <v>2193.9050000000002</v>
      </c>
      <c r="M251" s="4">
        <v>2193.9050000000002</v>
      </c>
      <c r="N251" s="4">
        <v>2193.9050000000002</v>
      </c>
      <c r="O251" s="4">
        <v>2193.9050000000002</v>
      </c>
      <c r="P251" s="4">
        <v>0</v>
      </c>
      <c r="Q251" s="3" t="s">
        <v>26</v>
      </c>
      <c r="R251" s="3">
        <v>0</v>
      </c>
      <c r="S251" s="4">
        <v>12</v>
      </c>
      <c r="T251" s="4">
        <v>110</v>
      </c>
      <c r="U251" s="4">
        <v>89</v>
      </c>
      <c r="V251" s="4">
        <f>IF(ISERROR(VLOOKUP($S$251,'TAR FIN'!$A$1:$O$113,15,0)),0,VLOOKUP($S$251,'TAR FIN'!$A$1:$O$113,15,0))</f>
        <v>24.31</v>
      </c>
      <c r="W251" s="4">
        <f>IF(ISERROR(VLOOKUP($T$251,'TAR FIN'!$A$1:$O$113,15,0)),0,VLOOKUP($T$251,'TAR FIN'!$A$1:$O$113,15,0))</f>
        <v>51.27</v>
      </c>
      <c r="X251" s="4">
        <f>IF(ISERROR(VLOOKUP($U$251,'TAR FIN'!$A$1:$O$113,15,0)),0,VLOOKUP($U$251,'TAR FIN'!$A$1:$O$113,15,0))</f>
        <v>222.31</v>
      </c>
      <c r="Y251" s="4">
        <f ca="1">('TUSD BE'!$AM$14+'TUSD BF'!$AM$14+'TUSD CVA'!$AM$14)*1</f>
        <v>26.598074646640526</v>
      </c>
      <c r="Z251" s="4">
        <f ca="1">('TUSD BE'!$AM$15+'TUSD BF'!$AM$15+'TUSD CVA'!$AM$15)*1</f>
        <v>65.007409626508434</v>
      </c>
      <c r="AA251" s="4">
        <f>('TE BE'!$AA$11+'TE BF'!$AA$11+'TE CVA'!$AA$11)*1</f>
        <v>223.14561812044704</v>
      </c>
      <c r="AB251" s="4">
        <f>$K$251*$V$251</f>
        <v>194966.19999999998</v>
      </c>
      <c r="AC251" s="4">
        <f>$M$251*$W$251</f>
        <v>112481.50935000002</v>
      </c>
      <c r="AD251" s="4">
        <f>$O$251*$X$251</f>
        <v>487727.02055000007</v>
      </c>
      <c r="AE251" s="4">
        <f ca="1">$K$251*$Y$251</f>
        <v>213316.55866605701</v>
      </c>
      <c r="AF251" s="4">
        <f ca="1">$M$251*$Z$251</f>
        <v>142620.08101664501</v>
      </c>
      <c r="AG251" s="4">
        <f>$O$251*$AA$251</f>
        <v>489560.28732253943</v>
      </c>
    </row>
    <row r="252" spans="1:33" ht="11.25" customHeight="1" x14ac:dyDescent="0.25">
      <c r="A252" s="3" t="s">
        <v>27</v>
      </c>
      <c r="B252" s="3" t="s">
        <v>41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35</v>
      </c>
      <c r="I252" s="6">
        <v>44378</v>
      </c>
      <c r="J252" s="4">
        <v>-209</v>
      </c>
      <c r="K252" s="4">
        <v>-209</v>
      </c>
      <c r="L252" s="4">
        <v>75.561999999999998</v>
      </c>
      <c r="M252" s="4">
        <v>75.561999999999998</v>
      </c>
      <c r="N252" s="4">
        <v>75.561999999999998</v>
      </c>
      <c r="O252" s="4">
        <v>75.561999999999998</v>
      </c>
      <c r="P252" s="4">
        <v>0</v>
      </c>
      <c r="Q252" s="3" t="s">
        <v>26</v>
      </c>
      <c r="R252" s="3">
        <v>0</v>
      </c>
      <c r="S252" s="4">
        <v>12</v>
      </c>
      <c r="T252" s="4">
        <v>110</v>
      </c>
      <c r="U252" s="4">
        <v>89</v>
      </c>
      <c r="V252" s="4">
        <f>IF(ISERROR(VLOOKUP($S$252,'TAR FIN'!$A$1:$O$113,15,0)),0,VLOOKUP($S$252,'TAR FIN'!$A$1:$O$113,15,0))</f>
        <v>24.31</v>
      </c>
      <c r="W252" s="4">
        <f>IF(ISERROR(VLOOKUP($T$252,'TAR FIN'!$A$1:$O$113,15,0)),0,VLOOKUP($T$252,'TAR FIN'!$A$1:$O$113,15,0))</f>
        <v>51.27</v>
      </c>
      <c r="X252" s="4">
        <f>IF(ISERROR(VLOOKUP($U$252,'TAR FIN'!$A$1:$O$113,15,0)),0,VLOOKUP($U$252,'TAR FIN'!$A$1:$O$113,15,0))</f>
        <v>222.31</v>
      </c>
      <c r="Y252" s="4">
        <f ca="1">('TUSD BE'!$AM$14+'TUSD BF'!$AM$14+'TUSD CVA'!$AM$14)*1</f>
        <v>26.598074646640526</v>
      </c>
      <c r="Z252" s="4">
        <f ca="1">('TUSD BE'!$AM$15+'TUSD BF'!$AM$15+'TUSD CVA'!$AM$15)*1</f>
        <v>65.007409626508434</v>
      </c>
      <c r="AA252" s="4">
        <f>('TE BE'!$AA$11+'TE BF'!$AA$11+'TE CVA'!$AA$11)*1</f>
        <v>223.14561812044704</v>
      </c>
      <c r="AB252" s="4">
        <f>$K$252*$V$252</f>
        <v>-5080.79</v>
      </c>
      <c r="AC252" s="4">
        <f>$M$252*$W$252</f>
        <v>3874.0637400000001</v>
      </c>
      <c r="AD252" s="4">
        <f>$O$252*$X$252</f>
        <v>16798.18822</v>
      </c>
      <c r="AE252" s="4">
        <f ca="1">$K$252*$Y$252</f>
        <v>-5558.9976011478702</v>
      </c>
      <c r="AF252" s="4">
        <f ca="1">$M$252*$Z$252</f>
        <v>4912.0898861982305</v>
      </c>
      <c r="AG252" s="4">
        <f>$O$252*$AA$252</f>
        <v>16861.32919641722</v>
      </c>
    </row>
    <row r="253" spans="1:33" ht="11.25" customHeight="1" x14ac:dyDescent="0.25">
      <c r="A253" s="3" t="s">
        <v>28</v>
      </c>
      <c r="B253" s="3" t="s">
        <v>41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35</v>
      </c>
      <c r="I253" s="6">
        <v>44378</v>
      </c>
      <c r="J253" s="4">
        <v>270</v>
      </c>
      <c r="K253" s="4">
        <v>270</v>
      </c>
      <c r="L253" s="4">
        <v>62.58</v>
      </c>
      <c r="M253" s="4">
        <v>62.58</v>
      </c>
      <c r="N253" s="4">
        <v>62.58</v>
      </c>
      <c r="O253" s="4">
        <v>62.58</v>
      </c>
      <c r="P253" s="4">
        <v>0</v>
      </c>
      <c r="Q253" s="3" t="s">
        <v>26</v>
      </c>
      <c r="R253" s="3">
        <v>0</v>
      </c>
      <c r="S253" s="4">
        <v>12</v>
      </c>
      <c r="T253" s="4">
        <v>110</v>
      </c>
      <c r="U253" s="4">
        <v>89</v>
      </c>
      <c r="V253" s="4">
        <f>IF(ISERROR(VLOOKUP($S$253,'TAR FIN'!$A$1:$O$113,15,0)),0,VLOOKUP($S$253,'TAR FIN'!$A$1:$O$113,15,0))</f>
        <v>24.31</v>
      </c>
      <c r="W253" s="4">
        <f>IF(ISERROR(VLOOKUP($T$253,'TAR FIN'!$A$1:$O$113,15,0)),0,VLOOKUP($T$253,'TAR FIN'!$A$1:$O$113,15,0))</f>
        <v>51.27</v>
      </c>
      <c r="X253" s="4">
        <f>IF(ISERROR(VLOOKUP($U$253,'TAR FIN'!$A$1:$O$113,15,0)),0,VLOOKUP($U$253,'TAR FIN'!$A$1:$O$113,15,0))</f>
        <v>222.31</v>
      </c>
      <c r="Y253" s="4">
        <f ca="1">('TUSD BE'!$AM$14+'TUSD BF'!$AM$14+'TUSD CVA'!$AM$14)*1</f>
        <v>26.598074646640526</v>
      </c>
      <c r="Z253" s="4">
        <f ca="1">('TUSD BE'!$AM$15+'TUSD BF'!$AM$15+'TUSD CVA'!$AM$15)*1</f>
        <v>65.007409626508434</v>
      </c>
      <c r="AA253" s="4">
        <f>('TE BE'!$AA$11+'TE BF'!$AA$11+'TE CVA'!$AA$11)*1</f>
        <v>223.14561812044704</v>
      </c>
      <c r="AB253" s="4">
        <f>$K$253*$V$253</f>
        <v>6563.7</v>
      </c>
      <c r="AC253" s="4">
        <f>$M$253*$W$253</f>
        <v>3208.4766</v>
      </c>
      <c r="AD253" s="4">
        <f>$O$253*$X$253</f>
        <v>13912.159799999999</v>
      </c>
      <c r="AE253" s="4">
        <f ca="1">$K$253*$Y$253</f>
        <v>7181.4801545929422</v>
      </c>
      <c r="AF253" s="4">
        <f ca="1">$M$253*$Z$253</f>
        <v>4068.1636944268976</v>
      </c>
      <c r="AG253" s="4">
        <f>$O$253*$AA$253</f>
        <v>13964.452781977576</v>
      </c>
    </row>
    <row r="254" spans="1:33" ht="11.25" customHeight="1" x14ac:dyDescent="0.25">
      <c r="A254" s="3" t="s">
        <v>21</v>
      </c>
      <c r="B254" s="3" t="s">
        <v>41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35</v>
      </c>
      <c r="I254" s="6">
        <v>44409</v>
      </c>
      <c r="J254" s="4">
        <v>7796</v>
      </c>
      <c r="K254" s="4">
        <v>7796</v>
      </c>
      <c r="L254" s="4">
        <v>2182.826</v>
      </c>
      <c r="M254" s="4">
        <v>2182.826</v>
      </c>
      <c r="N254" s="4">
        <v>2182.826</v>
      </c>
      <c r="O254" s="4">
        <v>2182.826</v>
      </c>
      <c r="P254" s="4">
        <v>0</v>
      </c>
      <c r="Q254" s="3" t="s">
        <v>26</v>
      </c>
      <c r="R254" s="3">
        <v>0</v>
      </c>
      <c r="S254" s="4">
        <v>12</v>
      </c>
      <c r="T254" s="4">
        <v>110</v>
      </c>
      <c r="U254" s="4">
        <v>89</v>
      </c>
      <c r="V254" s="4">
        <f>IF(ISERROR(VLOOKUP($S$254,'TAR FIN'!$A$1:$O$113,15,0)),0,VLOOKUP($S$254,'TAR FIN'!$A$1:$O$113,15,0))</f>
        <v>24.31</v>
      </c>
      <c r="W254" s="4">
        <f>IF(ISERROR(VLOOKUP($T$254,'TAR FIN'!$A$1:$O$113,15,0)),0,VLOOKUP($T$254,'TAR FIN'!$A$1:$O$113,15,0))</f>
        <v>51.27</v>
      </c>
      <c r="X254" s="4">
        <f>IF(ISERROR(VLOOKUP($U$254,'TAR FIN'!$A$1:$O$113,15,0)),0,VLOOKUP($U$254,'TAR FIN'!$A$1:$O$113,15,0))</f>
        <v>222.31</v>
      </c>
      <c r="Y254" s="4">
        <f ca="1">('TUSD BE'!$AM$14+'TUSD BF'!$AM$14+'TUSD CVA'!$AM$14)*1</f>
        <v>26.598074646640526</v>
      </c>
      <c r="Z254" s="4">
        <f ca="1">('TUSD BE'!$AM$15+'TUSD BF'!$AM$15+'TUSD CVA'!$AM$15)*1</f>
        <v>65.007409626508434</v>
      </c>
      <c r="AA254" s="4">
        <f>('TE BE'!$AA$11+'TE BF'!$AA$11+'TE CVA'!$AA$11)*1</f>
        <v>223.14561812044704</v>
      </c>
      <c r="AB254" s="4">
        <f>$K$254*$V$254</f>
        <v>189520.75999999998</v>
      </c>
      <c r="AC254" s="4">
        <f>$M$254*$W$254</f>
        <v>111913.48902000001</v>
      </c>
      <c r="AD254" s="4">
        <f>$O$254*$X$254</f>
        <v>485264.04806</v>
      </c>
      <c r="AE254" s="4">
        <f ca="1">$K$254*$Y$254</f>
        <v>207358.58994520953</v>
      </c>
      <c r="AF254" s="4">
        <f ca="1">$M$254*$Z$254</f>
        <v>141899.86392539288</v>
      </c>
      <c r="AG254" s="4">
        <f>$O$254*$AA$254</f>
        <v>487088.05701938295</v>
      </c>
    </row>
    <row r="255" spans="1:33" ht="11.25" customHeight="1" x14ac:dyDescent="0.25">
      <c r="A255" s="3" t="s">
        <v>27</v>
      </c>
      <c r="B255" s="3" t="s">
        <v>41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35</v>
      </c>
      <c r="I255" s="6">
        <v>44409</v>
      </c>
      <c r="J255" s="4">
        <v>0</v>
      </c>
      <c r="K255" s="4">
        <v>0</v>
      </c>
      <c r="L255" s="4">
        <v>-5.0519999999999996</v>
      </c>
      <c r="M255" s="4">
        <v>-5.0519999999999996</v>
      </c>
      <c r="N255" s="4">
        <v>-5.0519999999999996</v>
      </c>
      <c r="O255" s="4">
        <v>-5.0519999999999996</v>
      </c>
      <c r="P255" s="4">
        <v>0</v>
      </c>
      <c r="Q255" s="3" t="s">
        <v>26</v>
      </c>
      <c r="R255" s="3">
        <v>0</v>
      </c>
      <c r="S255" s="4">
        <v>0</v>
      </c>
      <c r="T255" s="4">
        <v>110</v>
      </c>
      <c r="U255" s="4">
        <v>89</v>
      </c>
      <c r="V255" s="4">
        <f>IF(ISERROR(VLOOKUP($S$255,'TAR FIN'!$A$1:$O$113,15,0)),0,VLOOKUP($S$255,'TAR FIN'!$A$1:$O$113,15,0))</f>
        <v>0</v>
      </c>
      <c r="W255" s="4">
        <f>IF(ISERROR(VLOOKUP($T$255,'TAR FIN'!$A$1:$O$113,15,0)),0,VLOOKUP($T$255,'TAR FIN'!$A$1:$O$113,15,0))</f>
        <v>51.27</v>
      </c>
      <c r="X255" s="4">
        <f>IF(ISERROR(VLOOKUP($U$255,'TAR FIN'!$A$1:$O$113,15,0)),0,VLOOKUP($U$255,'TAR FIN'!$A$1:$O$113,15,0))</f>
        <v>222.31</v>
      </c>
      <c r="Y255" s="4">
        <f ca="1">('TUSD BE'!$AM$14+'TUSD BF'!$AM$14+'TUSD CVA'!$AM$14)*1</f>
        <v>26.598074646640526</v>
      </c>
      <c r="Z255" s="4">
        <f ca="1">('TUSD BE'!$AM$15+'TUSD BF'!$AM$15+'TUSD CVA'!$AM$15)*1</f>
        <v>65.007409626508434</v>
      </c>
      <c r="AA255" s="4">
        <f>('TE BE'!$AA$11+'TE BF'!$AA$11+'TE CVA'!$AA$11)*1</f>
        <v>223.14561812044704</v>
      </c>
      <c r="AB255" s="4">
        <f>$K$255*$V$255</f>
        <v>0</v>
      </c>
      <c r="AC255" s="4">
        <f>$M$255*$W$255</f>
        <v>-259.01603999999998</v>
      </c>
      <c r="AD255" s="4">
        <f>$O$255*$X$255</f>
        <v>-1123.1101199999998</v>
      </c>
      <c r="AE255" s="4">
        <f ca="1">$K$255*$Y$255</f>
        <v>0</v>
      </c>
      <c r="AF255" s="4">
        <f ca="1">$M$255*$Z$255</f>
        <v>-328.41743343312061</v>
      </c>
      <c r="AG255" s="4">
        <f>$O$255*$AA$255</f>
        <v>-1127.3316627444983</v>
      </c>
    </row>
    <row r="256" spans="1:33" ht="11.25" customHeight="1" x14ac:dyDescent="0.25">
      <c r="A256" s="3" t="s">
        <v>28</v>
      </c>
      <c r="B256" s="3" t="s">
        <v>41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35</v>
      </c>
      <c r="I256" s="6">
        <v>44409</v>
      </c>
      <c r="J256" s="4">
        <v>270</v>
      </c>
      <c r="K256" s="4">
        <v>270</v>
      </c>
      <c r="L256" s="4">
        <v>56.28</v>
      </c>
      <c r="M256" s="4">
        <v>56.28</v>
      </c>
      <c r="N256" s="4">
        <v>56.28</v>
      </c>
      <c r="O256" s="4">
        <v>56.28</v>
      </c>
      <c r="P256" s="4">
        <v>0</v>
      </c>
      <c r="Q256" s="3" t="s">
        <v>26</v>
      </c>
      <c r="R256" s="3">
        <v>0</v>
      </c>
      <c r="S256" s="4">
        <v>12</v>
      </c>
      <c r="T256" s="4">
        <v>110</v>
      </c>
      <c r="U256" s="4">
        <v>89</v>
      </c>
      <c r="V256" s="4">
        <f>IF(ISERROR(VLOOKUP($S$256,'TAR FIN'!$A$1:$O$113,15,0)),0,VLOOKUP($S$256,'TAR FIN'!$A$1:$O$113,15,0))</f>
        <v>24.31</v>
      </c>
      <c r="W256" s="4">
        <f>IF(ISERROR(VLOOKUP($T$256,'TAR FIN'!$A$1:$O$113,15,0)),0,VLOOKUP($T$256,'TAR FIN'!$A$1:$O$113,15,0))</f>
        <v>51.27</v>
      </c>
      <c r="X256" s="4">
        <f>IF(ISERROR(VLOOKUP($U$256,'TAR FIN'!$A$1:$O$113,15,0)),0,VLOOKUP($U$256,'TAR FIN'!$A$1:$O$113,15,0))</f>
        <v>222.31</v>
      </c>
      <c r="Y256" s="4">
        <f ca="1">('TUSD BE'!$AM$14+'TUSD BF'!$AM$14+'TUSD CVA'!$AM$14)*1</f>
        <v>26.598074646640526</v>
      </c>
      <c r="Z256" s="4">
        <f ca="1">('TUSD BE'!$AM$15+'TUSD BF'!$AM$15+'TUSD CVA'!$AM$15)*1</f>
        <v>65.007409626508434</v>
      </c>
      <c r="AA256" s="4">
        <f>('TE BE'!$AA$11+'TE BF'!$AA$11+'TE CVA'!$AA$11)*1</f>
        <v>223.14561812044704</v>
      </c>
      <c r="AB256" s="4">
        <f>$K$256*$V$256</f>
        <v>6563.7</v>
      </c>
      <c r="AC256" s="4">
        <f>$M$256*$W$256</f>
        <v>2885.4756000000002</v>
      </c>
      <c r="AD256" s="4">
        <f>$O$256*$X$256</f>
        <v>12511.6068</v>
      </c>
      <c r="AE256" s="4">
        <f ca="1">$K$256*$Y$256</f>
        <v>7181.4801545929422</v>
      </c>
      <c r="AF256" s="4">
        <f ca="1">$M$256*$Z$256</f>
        <v>3658.6170137798949</v>
      </c>
      <c r="AG256" s="4">
        <f>$O$256*$AA$256</f>
        <v>12558.63538781876</v>
      </c>
    </row>
    <row r="257" spans="1:33" ht="11.25" customHeight="1" x14ac:dyDescent="0.25">
      <c r="A257" s="3" t="s">
        <v>21</v>
      </c>
      <c r="B257" s="3" t="s">
        <v>41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35</v>
      </c>
      <c r="I257" s="6">
        <v>44440</v>
      </c>
      <c r="J257" s="4">
        <v>7852</v>
      </c>
      <c r="K257" s="4">
        <v>7852</v>
      </c>
      <c r="L257" s="4">
        <v>2239.308</v>
      </c>
      <c r="M257" s="4">
        <v>2239.308</v>
      </c>
      <c r="N257" s="4">
        <v>2239.308</v>
      </c>
      <c r="O257" s="4">
        <v>2239.308</v>
      </c>
      <c r="P257" s="4">
        <v>0</v>
      </c>
      <c r="Q257" s="3" t="s">
        <v>26</v>
      </c>
      <c r="R257" s="3">
        <v>0</v>
      </c>
      <c r="S257" s="4">
        <v>12</v>
      </c>
      <c r="T257" s="4">
        <v>110</v>
      </c>
      <c r="U257" s="4">
        <v>89</v>
      </c>
      <c r="V257" s="4">
        <f>IF(ISERROR(VLOOKUP($S$257,'TAR FIN'!$A$1:$O$113,15,0)),0,VLOOKUP($S$257,'TAR FIN'!$A$1:$O$113,15,0))</f>
        <v>24.31</v>
      </c>
      <c r="W257" s="4">
        <f>IF(ISERROR(VLOOKUP($T$257,'TAR FIN'!$A$1:$O$113,15,0)),0,VLOOKUP($T$257,'TAR FIN'!$A$1:$O$113,15,0))</f>
        <v>51.27</v>
      </c>
      <c r="X257" s="4">
        <f>IF(ISERROR(VLOOKUP($U$257,'TAR FIN'!$A$1:$O$113,15,0)),0,VLOOKUP($U$257,'TAR FIN'!$A$1:$O$113,15,0))</f>
        <v>222.31</v>
      </c>
      <c r="Y257" s="4">
        <f ca="1">('TUSD BE'!$AM$14+'TUSD BF'!$AM$14+'TUSD CVA'!$AM$14)*1</f>
        <v>26.598074646640526</v>
      </c>
      <c r="Z257" s="4">
        <f ca="1">('TUSD BE'!$AM$15+'TUSD BF'!$AM$15+'TUSD CVA'!$AM$15)*1</f>
        <v>65.007409626508434</v>
      </c>
      <c r="AA257" s="4">
        <f>('TE BE'!$AA$11+'TE BF'!$AA$11+'TE CVA'!$AA$11)*1</f>
        <v>223.14561812044704</v>
      </c>
      <c r="AB257" s="4">
        <f>$K$257*$V$257</f>
        <v>190882.12</v>
      </c>
      <c r="AC257" s="4">
        <f>$M$257*$W$257</f>
        <v>114809.32116000001</v>
      </c>
      <c r="AD257" s="4">
        <f>$O$257*$X$257</f>
        <v>497820.56147999997</v>
      </c>
      <c r="AE257" s="4">
        <f ca="1">$K$257*$Y$257</f>
        <v>208848.08212542141</v>
      </c>
      <c r="AF257" s="4">
        <f ca="1">$M$257*$Z$257</f>
        <v>145571.61243591734</v>
      </c>
      <c r="AG257" s="4">
        <f>$O$257*$AA$257</f>
        <v>499691.76782206201</v>
      </c>
    </row>
    <row r="258" spans="1:33" ht="11.25" customHeight="1" x14ac:dyDescent="0.25">
      <c r="A258" s="3" t="s">
        <v>28</v>
      </c>
      <c r="B258" s="3" t="s">
        <v>41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35</v>
      </c>
      <c r="I258" s="6">
        <v>44440</v>
      </c>
      <c r="J258" s="4">
        <v>270</v>
      </c>
      <c r="K258" s="4">
        <v>270</v>
      </c>
      <c r="L258" s="4">
        <v>59.01</v>
      </c>
      <c r="M258" s="4">
        <v>59.01</v>
      </c>
      <c r="N258" s="4">
        <v>59.01</v>
      </c>
      <c r="O258" s="4">
        <v>59.01</v>
      </c>
      <c r="P258" s="4">
        <v>0</v>
      </c>
      <c r="Q258" s="3" t="s">
        <v>26</v>
      </c>
      <c r="R258" s="3">
        <v>0</v>
      </c>
      <c r="S258" s="4">
        <v>12</v>
      </c>
      <c r="T258" s="4">
        <v>110</v>
      </c>
      <c r="U258" s="4">
        <v>89</v>
      </c>
      <c r="V258" s="4">
        <f>IF(ISERROR(VLOOKUP($S$258,'TAR FIN'!$A$1:$O$113,15,0)),0,VLOOKUP($S$258,'TAR FIN'!$A$1:$O$113,15,0))</f>
        <v>24.31</v>
      </c>
      <c r="W258" s="4">
        <f>IF(ISERROR(VLOOKUP($T$258,'TAR FIN'!$A$1:$O$113,15,0)),0,VLOOKUP($T$258,'TAR FIN'!$A$1:$O$113,15,0))</f>
        <v>51.27</v>
      </c>
      <c r="X258" s="4">
        <f>IF(ISERROR(VLOOKUP($U$258,'TAR FIN'!$A$1:$O$113,15,0)),0,VLOOKUP($U$258,'TAR FIN'!$A$1:$O$113,15,0))</f>
        <v>222.31</v>
      </c>
      <c r="Y258" s="4">
        <f ca="1">('TUSD BE'!$AM$14+'TUSD BF'!$AM$14+'TUSD CVA'!$AM$14)*1</f>
        <v>26.598074646640526</v>
      </c>
      <c r="Z258" s="4">
        <f ca="1">('TUSD BE'!$AM$15+'TUSD BF'!$AM$15+'TUSD CVA'!$AM$15)*1</f>
        <v>65.007409626508434</v>
      </c>
      <c r="AA258" s="4">
        <f>('TE BE'!$AA$11+'TE BF'!$AA$11+'TE CVA'!$AA$11)*1</f>
        <v>223.14561812044704</v>
      </c>
      <c r="AB258" s="4">
        <f>$K$258*$V$258</f>
        <v>6563.7</v>
      </c>
      <c r="AC258" s="4">
        <f>$M$258*$W$258</f>
        <v>3025.4427000000001</v>
      </c>
      <c r="AD258" s="4">
        <f>$O$258*$X$258</f>
        <v>13118.5131</v>
      </c>
      <c r="AE258" s="4">
        <f ca="1">$K$258*$Y$258</f>
        <v>7181.4801545929422</v>
      </c>
      <c r="AF258" s="4">
        <f ca="1">$M$258*$Z$258</f>
        <v>3836.0872420602627</v>
      </c>
      <c r="AG258" s="4">
        <f>$O$258*$AA$258</f>
        <v>13167.822925287579</v>
      </c>
    </row>
    <row r="259" spans="1:33" ht="11.25" customHeight="1" x14ac:dyDescent="0.25">
      <c r="A259" s="3" t="s">
        <v>21</v>
      </c>
      <c r="B259" s="3" t="s">
        <v>41</v>
      </c>
      <c r="C259" s="3" t="s">
        <v>40</v>
      </c>
      <c r="D259" s="3" t="s">
        <v>43</v>
      </c>
      <c r="E259" s="3" t="s">
        <v>25</v>
      </c>
      <c r="F259" s="3" t="s">
        <v>25</v>
      </c>
      <c r="G259" s="3" t="s">
        <v>25</v>
      </c>
      <c r="H259" s="3" t="s">
        <v>35</v>
      </c>
      <c r="I259" s="6">
        <v>44470</v>
      </c>
      <c r="J259" s="4">
        <v>8176</v>
      </c>
      <c r="K259" s="4">
        <v>8176</v>
      </c>
      <c r="L259" s="4">
        <v>2561.413</v>
      </c>
      <c r="M259" s="4">
        <v>2561.413</v>
      </c>
      <c r="N259" s="4">
        <v>2561.413</v>
      </c>
      <c r="O259" s="4">
        <v>2561.413</v>
      </c>
      <c r="P259" s="4">
        <v>0</v>
      </c>
      <c r="Q259" s="3" t="s">
        <v>26</v>
      </c>
      <c r="R259" s="3">
        <v>0</v>
      </c>
      <c r="S259" s="4">
        <v>12</v>
      </c>
      <c r="T259" s="4">
        <v>110</v>
      </c>
      <c r="U259" s="4">
        <v>89</v>
      </c>
      <c r="V259" s="4">
        <f>IF(ISERROR(VLOOKUP($S$259,'TAR FIN'!$A$1:$O$113,15,0)),0,VLOOKUP($S$259,'TAR FIN'!$A$1:$O$113,15,0))</f>
        <v>24.31</v>
      </c>
      <c r="W259" s="4">
        <f>IF(ISERROR(VLOOKUP($T$259,'TAR FIN'!$A$1:$O$113,15,0)),0,VLOOKUP($T$259,'TAR FIN'!$A$1:$O$113,15,0))</f>
        <v>51.27</v>
      </c>
      <c r="X259" s="4">
        <f>IF(ISERROR(VLOOKUP($U$259,'TAR FIN'!$A$1:$O$113,15,0)),0,VLOOKUP($U$259,'TAR FIN'!$A$1:$O$113,15,0))</f>
        <v>222.31</v>
      </c>
      <c r="Y259" s="4">
        <f ca="1">('TUSD BE'!$AM$14+'TUSD BF'!$AM$14+'TUSD CVA'!$AM$14)*1</f>
        <v>26.598074646640526</v>
      </c>
      <c r="Z259" s="4">
        <f ca="1">('TUSD BE'!$AM$15+'TUSD BF'!$AM$15+'TUSD CVA'!$AM$15)*1</f>
        <v>65.007409626508434</v>
      </c>
      <c r="AA259" s="4">
        <f>('TE BE'!$AA$11+'TE BF'!$AA$11+'TE CVA'!$AA$11)*1</f>
        <v>223.14561812044704</v>
      </c>
      <c r="AB259" s="4">
        <f>$K$259*$V$259</f>
        <v>198758.56</v>
      </c>
      <c r="AC259" s="4">
        <f>$M$259*$W$259</f>
        <v>131323.64451000001</v>
      </c>
      <c r="AD259" s="4">
        <f>$O$259*$X$259</f>
        <v>569427.72403000004</v>
      </c>
      <c r="AE259" s="4">
        <f ca="1">$K$259*$Y$259</f>
        <v>217465.85831093293</v>
      </c>
      <c r="AF259" s="4">
        <f ca="1">$M$259*$Z$259</f>
        <v>166510.82411366384</v>
      </c>
      <c r="AG259" s="4">
        <f>$O$259*$AA$259</f>
        <v>571568.08714674867</v>
      </c>
    </row>
    <row r="260" spans="1:33" ht="11.25" customHeight="1" x14ac:dyDescent="0.25">
      <c r="A260" s="3" t="s">
        <v>28</v>
      </c>
      <c r="B260" s="3" t="s">
        <v>41</v>
      </c>
      <c r="C260" s="3" t="s">
        <v>40</v>
      </c>
      <c r="D260" s="3" t="s">
        <v>43</v>
      </c>
      <c r="E260" s="3" t="s">
        <v>25</v>
      </c>
      <c r="F260" s="3" t="s">
        <v>25</v>
      </c>
      <c r="G260" s="3" t="s">
        <v>25</v>
      </c>
      <c r="H260" s="3" t="s">
        <v>35</v>
      </c>
      <c r="I260" s="6">
        <v>44470</v>
      </c>
      <c r="J260" s="4">
        <v>270</v>
      </c>
      <c r="K260" s="4">
        <v>270</v>
      </c>
      <c r="L260" s="4">
        <v>64.47</v>
      </c>
      <c r="M260" s="4">
        <v>64.47</v>
      </c>
      <c r="N260" s="4">
        <v>64.47</v>
      </c>
      <c r="O260" s="4">
        <v>64.47</v>
      </c>
      <c r="P260" s="4">
        <v>0</v>
      </c>
      <c r="Q260" s="3" t="s">
        <v>26</v>
      </c>
      <c r="R260" s="3">
        <v>0</v>
      </c>
      <c r="S260" s="4">
        <v>12</v>
      </c>
      <c r="T260" s="4">
        <v>110</v>
      </c>
      <c r="U260" s="4">
        <v>89</v>
      </c>
      <c r="V260" s="4">
        <f>IF(ISERROR(VLOOKUP($S$260,'TAR FIN'!$A$1:$O$113,15,0)),0,VLOOKUP($S$260,'TAR FIN'!$A$1:$O$113,15,0))</f>
        <v>24.31</v>
      </c>
      <c r="W260" s="4">
        <f>IF(ISERROR(VLOOKUP($T$260,'TAR FIN'!$A$1:$O$113,15,0)),0,VLOOKUP($T$260,'TAR FIN'!$A$1:$O$113,15,0))</f>
        <v>51.27</v>
      </c>
      <c r="X260" s="4">
        <f>IF(ISERROR(VLOOKUP($U$260,'TAR FIN'!$A$1:$O$113,15,0)),0,VLOOKUP($U$260,'TAR FIN'!$A$1:$O$113,15,0))</f>
        <v>222.31</v>
      </c>
      <c r="Y260" s="4">
        <f ca="1">('TUSD BE'!$AM$14+'TUSD BF'!$AM$14+'TUSD CVA'!$AM$14)*1</f>
        <v>26.598074646640526</v>
      </c>
      <c r="Z260" s="4">
        <f ca="1">('TUSD BE'!$AM$15+'TUSD BF'!$AM$15+'TUSD CVA'!$AM$15)*1</f>
        <v>65.007409626508434</v>
      </c>
      <c r="AA260" s="4">
        <f>('TE BE'!$AA$11+'TE BF'!$AA$11+'TE CVA'!$AA$11)*1</f>
        <v>223.14561812044704</v>
      </c>
      <c r="AB260" s="4">
        <f>$K$260*$V$260</f>
        <v>6563.7</v>
      </c>
      <c r="AC260" s="4">
        <f>$M$260*$W$260</f>
        <v>3305.3769000000002</v>
      </c>
      <c r="AD260" s="4">
        <f>$O$260*$X$260</f>
        <v>14332.325699999999</v>
      </c>
      <c r="AE260" s="4">
        <f ca="1">$K$260*$Y$260</f>
        <v>7181.4801545929422</v>
      </c>
      <c r="AF260" s="4">
        <f ca="1">$M$260*$Z$260</f>
        <v>4191.0276986209983</v>
      </c>
      <c r="AG260" s="4">
        <f>$O$260*$AA$260</f>
        <v>14386.19800022522</v>
      </c>
    </row>
    <row r="261" spans="1:33" ht="11.25" customHeight="1" x14ac:dyDescent="0.25">
      <c r="A261" s="3" t="s">
        <v>21</v>
      </c>
      <c r="B261" s="3" t="s">
        <v>41</v>
      </c>
      <c r="C261" s="3" t="s">
        <v>40</v>
      </c>
      <c r="D261" s="3" t="s">
        <v>43</v>
      </c>
      <c r="E261" s="3" t="s">
        <v>25</v>
      </c>
      <c r="F261" s="3" t="s">
        <v>25</v>
      </c>
      <c r="G261" s="3" t="s">
        <v>25</v>
      </c>
      <c r="H261" s="3" t="s">
        <v>35</v>
      </c>
      <c r="I261" s="6">
        <v>44501</v>
      </c>
      <c r="J261" s="4">
        <v>8111</v>
      </c>
      <c r="K261" s="4">
        <v>8111</v>
      </c>
      <c r="L261" s="4">
        <v>2519.7860000000001</v>
      </c>
      <c r="M261" s="4">
        <v>2519.7860000000001</v>
      </c>
      <c r="N261" s="4">
        <v>2519.7860000000001</v>
      </c>
      <c r="O261" s="4">
        <v>2519.7860000000001</v>
      </c>
      <c r="P261" s="4">
        <v>0</v>
      </c>
      <c r="Q261" s="3" t="s">
        <v>26</v>
      </c>
      <c r="R261" s="3">
        <v>0</v>
      </c>
      <c r="S261" s="4">
        <v>12</v>
      </c>
      <c r="T261" s="4">
        <v>110</v>
      </c>
      <c r="U261" s="4">
        <v>89</v>
      </c>
      <c r="V261" s="4">
        <f>IF(ISERROR(VLOOKUP($S$261,'TAR FIN'!$A$1:$O$113,15,0)),0,VLOOKUP($S$261,'TAR FIN'!$A$1:$O$113,15,0))</f>
        <v>24.31</v>
      </c>
      <c r="W261" s="4">
        <f>IF(ISERROR(VLOOKUP($T$261,'TAR FIN'!$A$1:$O$113,15,0)),0,VLOOKUP($T$261,'TAR FIN'!$A$1:$O$113,15,0))</f>
        <v>51.27</v>
      </c>
      <c r="X261" s="4">
        <f>IF(ISERROR(VLOOKUP($U$261,'TAR FIN'!$A$1:$O$113,15,0)),0,VLOOKUP($U$261,'TAR FIN'!$A$1:$O$113,15,0))</f>
        <v>222.31</v>
      </c>
      <c r="Y261" s="4">
        <f ca="1">('TUSD BE'!$AM$14+'TUSD BF'!$AM$14+'TUSD CVA'!$AM$14)*1</f>
        <v>26.598074646640526</v>
      </c>
      <c r="Z261" s="4">
        <f ca="1">('TUSD BE'!$AM$15+'TUSD BF'!$AM$15+'TUSD CVA'!$AM$15)*1</f>
        <v>65.007409626508434</v>
      </c>
      <c r="AA261" s="4">
        <f>('TE BE'!$AA$11+'TE BF'!$AA$11+'TE CVA'!$AA$11)*1</f>
        <v>223.14561812044704</v>
      </c>
      <c r="AB261" s="4">
        <f>$K$261*$V$261</f>
        <v>197178.41</v>
      </c>
      <c r="AC261" s="4">
        <f>$M$261*$W$261</f>
        <v>129189.42822000002</v>
      </c>
      <c r="AD261" s="4">
        <f>$O$261*$X$261</f>
        <v>560173.62566000002</v>
      </c>
      <c r="AE261" s="4">
        <f ca="1">$K$261*$Y$261</f>
        <v>215736.98345890132</v>
      </c>
      <c r="AF261" s="4">
        <f ca="1">$M$261*$Z$261</f>
        <v>163804.76067314119</v>
      </c>
      <c r="AG261" s="4">
        <f>$O$261*$AA$261</f>
        <v>562279.20450124878</v>
      </c>
    </row>
    <row r="262" spans="1:33" ht="11.25" customHeight="1" x14ac:dyDescent="0.25">
      <c r="A262" s="3" t="s">
        <v>21</v>
      </c>
      <c r="B262" s="3" t="s">
        <v>41</v>
      </c>
      <c r="C262" s="3" t="s">
        <v>40</v>
      </c>
      <c r="D262" s="3" t="s">
        <v>43</v>
      </c>
      <c r="E262" s="3" t="s">
        <v>25</v>
      </c>
      <c r="F262" s="3" t="s">
        <v>25</v>
      </c>
      <c r="G262" s="3" t="s">
        <v>25</v>
      </c>
      <c r="H262" s="3" t="s">
        <v>35</v>
      </c>
      <c r="I262" s="6">
        <v>44531</v>
      </c>
      <c r="J262" s="4">
        <v>8119</v>
      </c>
      <c r="K262" s="4">
        <v>8119</v>
      </c>
      <c r="L262" s="4">
        <v>2619.7379999999998</v>
      </c>
      <c r="M262" s="4">
        <v>2619.7379999999998</v>
      </c>
      <c r="N262" s="4">
        <v>2619.7379999999998</v>
      </c>
      <c r="O262" s="4">
        <v>2619.7379999999998</v>
      </c>
      <c r="P262" s="4">
        <v>0</v>
      </c>
      <c r="Q262" s="3" t="s">
        <v>26</v>
      </c>
      <c r="R262" s="3">
        <v>0</v>
      </c>
      <c r="S262" s="4">
        <v>12</v>
      </c>
      <c r="T262" s="4">
        <v>110</v>
      </c>
      <c r="U262" s="4">
        <v>89</v>
      </c>
      <c r="V262" s="4">
        <f>IF(ISERROR(VLOOKUP($S$262,'TAR FIN'!$A$1:$O$113,15,0)),0,VLOOKUP($S$262,'TAR FIN'!$A$1:$O$113,15,0))</f>
        <v>24.31</v>
      </c>
      <c r="W262" s="4">
        <f>IF(ISERROR(VLOOKUP($T$262,'TAR FIN'!$A$1:$O$113,15,0)),0,VLOOKUP($T$262,'TAR FIN'!$A$1:$O$113,15,0))</f>
        <v>51.27</v>
      </c>
      <c r="X262" s="4">
        <f>IF(ISERROR(VLOOKUP($U$262,'TAR FIN'!$A$1:$O$113,15,0)),0,VLOOKUP($U$262,'TAR FIN'!$A$1:$O$113,15,0))</f>
        <v>222.31</v>
      </c>
      <c r="Y262" s="4">
        <f ca="1">('TUSD BE'!$AM$14+'TUSD BF'!$AM$14+'TUSD CVA'!$AM$14)*1</f>
        <v>26.598074646640526</v>
      </c>
      <c r="Z262" s="4">
        <f ca="1">('TUSD BE'!$AM$15+'TUSD BF'!$AM$15+'TUSD CVA'!$AM$15)*1</f>
        <v>65.007409626508434</v>
      </c>
      <c r="AA262" s="4">
        <f>('TE BE'!$AA$11+'TE BF'!$AA$11+'TE CVA'!$AA$11)*1</f>
        <v>223.14561812044704</v>
      </c>
      <c r="AB262" s="4">
        <f>$K$262*$V$262</f>
        <v>197372.88999999998</v>
      </c>
      <c r="AC262" s="4">
        <f>$M$262*$W$262</f>
        <v>134313.96726</v>
      </c>
      <c r="AD262" s="4">
        <f>$O$262*$X$262</f>
        <v>582393.95477999991</v>
      </c>
      <c r="AE262" s="4">
        <f ca="1">$K$262*$Y$262</f>
        <v>215949.76805607445</v>
      </c>
      <c r="AF262" s="4">
        <f ca="1">$M$262*$Z$262</f>
        <v>170302.38128012995</v>
      </c>
      <c r="AG262" s="4">
        <f>$O$262*$AA$262</f>
        <v>584583.0553236237</v>
      </c>
    </row>
    <row r="263" spans="1:33" ht="11.25" customHeight="1" x14ac:dyDescent="0.25">
      <c r="A263" s="3" t="s">
        <v>21</v>
      </c>
      <c r="B263" s="3" t="s">
        <v>41</v>
      </c>
      <c r="C263" s="3" t="s">
        <v>40</v>
      </c>
      <c r="D263" s="3" t="s">
        <v>43</v>
      </c>
      <c r="E263" s="3" t="s">
        <v>25</v>
      </c>
      <c r="F263" s="3" t="s">
        <v>25</v>
      </c>
      <c r="G263" s="3" t="s">
        <v>25</v>
      </c>
      <c r="H263" s="3" t="s">
        <v>35</v>
      </c>
      <c r="I263" s="6">
        <v>44562</v>
      </c>
      <c r="J263" s="4">
        <v>8084</v>
      </c>
      <c r="K263" s="4">
        <v>8084</v>
      </c>
      <c r="L263" s="4">
        <v>2640.25</v>
      </c>
      <c r="M263" s="4">
        <v>2640.25</v>
      </c>
      <c r="N263" s="4">
        <v>2640.25</v>
      </c>
      <c r="O263" s="4">
        <v>2640.25</v>
      </c>
      <c r="P263" s="4">
        <v>0</v>
      </c>
      <c r="Q263" s="3" t="s">
        <v>26</v>
      </c>
      <c r="R263" s="3">
        <v>0</v>
      </c>
      <c r="S263" s="4">
        <v>12</v>
      </c>
      <c r="T263" s="4">
        <v>110</v>
      </c>
      <c r="U263" s="4">
        <v>89</v>
      </c>
      <c r="V263" s="4">
        <f>IF(ISERROR(VLOOKUP($S$263,'TAR FIN'!$A$1:$O$113,15,0)),0,VLOOKUP($S$263,'TAR FIN'!$A$1:$O$113,15,0))</f>
        <v>24.31</v>
      </c>
      <c r="W263" s="4">
        <f>IF(ISERROR(VLOOKUP($T$263,'TAR FIN'!$A$1:$O$113,15,0)),0,VLOOKUP($T$263,'TAR FIN'!$A$1:$O$113,15,0))</f>
        <v>51.27</v>
      </c>
      <c r="X263" s="4">
        <f>IF(ISERROR(VLOOKUP($U$263,'TAR FIN'!$A$1:$O$113,15,0)),0,VLOOKUP($U$263,'TAR FIN'!$A$1:$O$113,15,0))</f>
        <v>222.31</v>
      </c>
      <c r="Y263" s="4">
        <f ca="1">('TUSD BE'!$AM$14+'TUSD BF'!$AM$14+'TUSD CVA'!$AM$14)*1</f>
        <v>26.598074646640526</v>
      </c>
      <c r="Z263" s="4">
        <f ca="1">('TUSD BE'!$AM$15+'TUSD BF'!$AM$15+'TUSD CVA'!$AM$15)*1</f>
        <v>65.007409626508434</v>
      </c>
      <c r="AA263" s="4">
        <f>('TE BE'!$AA$11+'TE BF'!$AA$11+'TE CVA'!$AA$11)*1</f>
        <v>223.14561812044704</v>
      </c>
      <c r="AB263" s="4">
        <f>$K$263*$V$263</f>
        <v>196522.03999999998</v>
      </c>
      <c r="AC263" s="4">
        <f>$M$263*$W$263</f>
        <v>135365.61750000002</v>
      </c>
      <c r="AD263" s="4">
        <f>$O$263*$X$263</f>
        <v>586953.97750000004</v>
      </c>
      <c r="AE263" s="4">
        <f ca="1">$K$263*$Y$263</f>
        <v>215018.83544344202</v>
      </c>
      <c r="AF263" s="4">
        <f ca="1">$M$263*$Z$263</f>
        <v>171635.8132663889</v>
      </c>
      <c r="AG263" s="4">
        <f>$O$263*$AA$263</f>
        <v>589160.21824251034</v>
      </c>
    </row>
    <row r="264" spans="1:33" ht="11.25" customHeight="1" x14ac:dyDescent="0.25">
      <c r="A264" s="3" t="s">
        <v>28</v>
      </c>
      <c r="B264" s="3" t="s">
        <v>41</v>
      </c>
      <c r="C264" s="3" t="s">
        <v>40</v>
      </c>
      <c r="D264" s="3" t="s">
        <v>43</v>
      </c>
      <c r="E264" s="3" t="s">
        <v>25</v>
      </c>
      <c r="F264" s="3" t="s">
        <v>25</v>
      </c>
      <c r="G264" s="3" t="s">
        <v>25</v>
      </c>
      <c r="H264" s="3" t="s">
        <v>35</v>
      </c>
      <c r="I264" s="6">
        <v>44562</v>
      </c>
      <c r="J264" s="4">
        <v>85</v>
      </c>
      <c r="K264" s="4">
        <v>85</v>
      </c>
      <c r="L264" s="4">
        <v>12.071999999999999</v>
      </c>
      <c r="M264" s="4">
        <v>12.071999999999999</v>
      </c>
      <c r="N264" s="4">
        <v>12.071999999999999</v>
      </c>
      <c r="O264" s="4">
        <v>12.071999999999999</v>
      </c>
      <c r="P264" s="4">
        <v>0</v>
      </c>
      <c r="Q264" s="3" t="s">
        <v>26</v>
      </c>
      <c r="R264" s="3">
        <v>0</v>
      </c>
      <c r="S264" s="4">
        <v>12</v>
      </c>
      <c r="T264" s="4">
        <v>110</v>
      </c>
      <c r="U264" s="4">
        <v>89</v>
      </c>
      <c r="V264" s="4">
        <f>IF(ISERROR(VLOOKUP($S$264,'TAR FIN'!$A$1:$O$113,15,0)),0,VLOOKUP($S$264,'TAR FIN'!$A$1:$O$113,15,0))</f>
        <v>24.31</v>
      </c>
      <c r="W264" s="4">
        <f>IF(ISERROR(VLOOKUP($T$264,'TAR FIN'!$A$1:$O$113,15,0)),0,VLOOKUP($T$264,'TAR FIN'!$A$1:$O$113,15,0))</f>
        <v>51.27</v>
      </c>
      <c r="X264" s="4">
        <f>IF(ISERROR(VLOOKUP($U$264,'TAR FIN'!$A$1:$O$113,15,0)),0,VLOOKUP($U$264,'TAR FIN'!$A$1:$O$113,15,0))</f>
        <v>222.31</v>
      </c>
      <c r="Y264" s="4">
        <f ca="1">('TUSD BE'!$AM$14+'TUSD BF'!$AM$14+'TUSD CVA'!$AM$14)*1</f>
        <v>26.598074646640526</v>
      </c>
      <c r="Z264" s="4">
        <f ca="1">('TUSD BE'!$AM$15+'TUSD BF'!$AM$15+'TUSD CVA'!$AM$15)*1</f>
        <v>65.007409626508434</v>
      </c>
      <c r="AA264" s="4">
        <f>('TE BE'!$AA$11+'TE BF'!$AA$11+'TE CVA'!$AA$11)*1</f>
        <v>223.14561812044704</v>
      </c>
      <c r="AB264" s="4">
        <f>$K$264*$V$264</f>
        <v>2066.35</v>
      </c>
      <c r="AC264" s="4">
        <f>$M$264*$W$264</f>
        <v>618.93143999999995</v>
      </c>
      <c r="AD264" s="4">
        <f>$O$264*$X$264</f>
        <v>2683.7263199999998</v>
      </c>
      <c r="AE264" s="4">
        <f ca="1">$K$264*$Y$264</f>
        <v>2260.8363449644448</v>
      </c>
      <c r="AF264" s="4">
        <f ca="1">$M$264*$Z$264</f>
        <v>784.76944901120976</v>
      </c>
      <c r="AG264" s="4">
        <f>$O$264*$AA$264</f>
        <v>2693.8139019500363</v>
      </c>
    </row>
    <row r="265" spans="1:33" ht="11.25" customHeight="1" x14ac:dyDescent="0.25">
      <c r="A265" s="3" t="s">
        <v>28</v>
      </c>
      <c r="B265" s="3" t="s">
        <v>41</v>
      </c>
      <c r="C265" s="3" t="s">
        <v>40</v>
      </c>
      <c r="D265" s="3" t="s">
        <v>43</v>
      </c>
      <c r="E265" s="3" t="s">
        <v>25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-0.72</v>
      </c>
      <c r="M265" s="4">
        <v>-0.72</v>
      </c>
      <c r="N265" s="4">
        <v>-0.72</v>
      </c>
      <c r="O265" s="4">
        <v>-0.72</v>
      </c>
      <c r="P265" s="4">
        <v>0</v>
      </c>
      <c r="Q265" s="3" t="s">
        <v>26</v>
      </c>
      <c r="R265" s="3">
        <v>0</v>
      </c>
      <c r="S265" s="4">
        <v>0</v>
      </c>
      <c r="T265" s="4">
        <v>110</v>
      </c>
      <c r="U265" s="4">
        <v>89</v>
      </c>
      <c r="V265" s="4">
        <f>IF(ISERROR(VLOOKUP($S$265,'TAR FIN'!$A$1:$O$113,15,0)),0,VLOOKUP($S$265,'TAR FIN'!$A$1:$O$113,15,0))</f>
        <v>0</v>
      </c>
      <c r="W265" s="4">
        <f>IF(ISERROR(VLOOKUP($T$265,'TAR FIN'!$A$1:$O$113,15,0)),0,VLOOKUP($T$265,'TAR FIN'!$A$1:$O$113,15,0))</f>
        <v>51.27</v>
      </c>
      <c r="X265" s="4">
        <f>IF(ISERROR(VLOOKUP($U$265,'TAR FIN'!$A$1:$O$113,15,0)),0,VLOOKUP($U$265,'TAR FIN'!$A$1:$O$113,15,0))</f>
        <v>222.31</v>
      </c>
      <c r="Y265" s="4">
        <f ca="1">('TUSD BE'!$AM$14+'TUSD BF'!$AM$14+'TUSD CVA'!$AM$14)*1</f>
        <v>26.598074646640526</v>
      </c>
      <c r="Z265" s="4">
        <f ca="1">('TUSD BE'!$AM$15+'TUSD BF'!$AM$15+'TUSD CVA'!$AM$15)*1</f>
        <v>65.007409626508434</v>
      </c>
      <c r="AA265" s="4">
        <f>('TE BE'!$AA$11+'TE BF'!$AA$11+'TE CVA'!$AA$11)*1</f>
        <v>223.14561812044704</v>
      </c>
      <c r="AB265" s="4">
        <f>$K$265*$V$265</f>
        <v>0</v>
      </c>
      <c r="AC265" s="4">
        <f>$M$265*$W$265</f>
        <v>-36.914400000000001</v>
      </c>
      <c r="AD265" s="4">
        <f>$O$265*$X$265</f>
        <v>-160.06319999999999</v>
      </c>
      <c r="AE265" s="4">
        <f ca="1">$K$265*$Y$265</f>
        <v>0</v>
      </c>
      <c r="AF265" s="4">
        <f ca="1">$M$265*$Z$265</f>
        <v>-46.805334931086072</v>
      </c>
      <c r="AG265" s="4">
        <f>$O$265*$AA$265</f>
        <v>-160.66484504672187</v>
      </c>
    </row>
    <row r="266" spans="1:33" ht="11.25" customHeight="1" x14ac:dyDescent="0.25">
      <c r="A266" s="3" t="s">
        <v>21</v>
      </c>
      <c r="B266" s="3" t="s">
        <v>41</v>
      </c>
      <c r="C266" s="3" t="s">
        <v>40</v>
      </c>
      <c r="D266" s="3" t="s">
        <v>43</v>
      </c>
      <c r="E266" s="3" t="s">
        <v>25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8250</v>
      </c>
      <c r="K266" s="4">
        <v>8250</v>
      </c>
      <c r="L266" s="4">
        <v>2522.1080000000002</v>
      </c>
      <c r="M266" s="4">
        <v>2522.1080000000002</v>
      </c>
      <c r="N266" s="4">
        <v>2522.1080000000002</v>
      </c>
      <c r="O266" s="4">
        <v>2522.1080000000002</v>
      </c>
      <c r="P266" s="4">
        <v>0</v>
      </c>
      <c r="Q266" s="3" t="s">
        <v>26</v>
      </c>
      <c r="R266" s="3">
        <v>0</v>
      </c>
      <c r="S266" s="4">
        <v>12</v>
      </c>
      <c r="T266" s="4">
        <v>110</v>
      </c>
      <c r="U266" s="4">
        <v>89</v>
      </c>
      <c r="V266" s="4">
        <f>IF(ISERROR(VLOOKUP($S$266,'TAR FIN'!$A$1:$O$113,15,0)),0,VLOOKUP($S$266,'TAR FIN'!$A$1:$O$113,15,0))</f>
        <v>24.31</v>
      </c>
      <c r="W266" s="4">
        <f>IF(ISERROR(VLOOKUP($T$266,'TAR FIN'!$A$1:$O$113,15,0)),0,VLOOKUP($T$266,'TAR FIN'!$A$1:$O$113,15,0))</f>
        <v>51.27</v>
      </c>
      <c r="X266" s="4">
        <f>IF(ISERROR(VLOOKUP($U$266,'TAR FIN'!$A$1:$O$113,15,0)),0,VLOOKUP($U$266,'TAR FIN'!$A$1:$O$113,15,0))</f>
        <v>222.31</v>
      </c>
      <c r="Y266" s="4">
        <f ca="1">('TUSD BE'!$AM$14+'TUSD BF'!$AM$14+'TUSD CVA'!$AM$14)*1</f>
        <v>26.598074646640526</v>
      </c>
      <c r="Z266" s="4">
        <f ca="1">('TUSD BE'!$AM$15+'TUSD BF'!$AM$15+'TUSD CVA'!$AM$15)*1</f>
        <v>65.007409626508434</v>
      </c>
      <c r="AA266" s="4">
        <f>('TE BE'!$AA$11+'TE BF'!$AA$11+'TE CVA'!$AA$11)*1</f>
        <v>223.14561812044704</v>
      </c>
      <c r="AB266" s="4">
        <f>$K$266*$V$266</f>
        <v>200557.5</v>
      </c>
      <c r="AC266" s="4">
        <f>$M$266*$W$266</f>
        <v>129308.47716000002</v>
      </c>
      <c r="AD266" s="4">
        <f>$O$266*$X$266</f>
        <v>560689.82948000007</v>
      </c>
      <c r="AE266" s="4">
        <f ca="1">$K$266*$Y$266</f>
        <v>219434.11583478434</v>
      </c>
      <c r="AF266" s="4">
        <f ca="1">$M$266*$Z$266</f>
        <v>163955.70787829394</v>
      </c>
      <c r="AG266" s="4">
        <f>$O$266*$AA$266</f>
        <v>562797.34862652444</v>
      </c>
    </row>
    <row r="267" spans="1:33" ht="11.25" customHeight="1" x14ac:dyDescent="0.25">
      <c r="A267" s="3" t="s">
        <v>27</v>
      </c>
      <c r="B267" s="3" t="s">
        <v>41</v>
      </c>
      <c r="C267" s="3" t="s">
        <v>40</v>
      </c>
      <c r="D267" s="3" t="s">
        <v>43</v>
      </c>
      <c r="E267" s="3" t="s">
        <v>25</v>
      </c>
      <c r="F267" s="3" t="s">
        <v>25</v>
      </c>
      <c r="G267" s="3" t="s">
        <v>25</v>
      </c>
      <c r="H267" s="3" t="s">
        <v>35</v>
      </c>
      <c r="I267" s="6">
        <v>44593</v>
      </c>
      <c r="J267" s="4">
        <v>91</v>
      </c>
      <c r="K267" s="4">
        <v>91</v>
      </c>
      <c r="L267" s="4">
        <v>33.411999999999999</v>
      </c>
      <c r="M267" s="4">
        <v>33.411999999999999</v>
      </c>
      <c r="N267" s="4">
        <v>33.411999999999999</v>
      </c>
      <c r="O267" s="4">
        <v>33.411999999999999</v>
      </c>
      <c r="P267" s="4">
        <v>0</v>
      </c>
      <c r="Q267" s="3" t="s">
        <v>26</v>
      </c>
      <c r="R267" s="3">
        <v>0</v>
      </c>
      <c r="S267" s="4">
        <v>12</v>
      </c>
      <c r="T267" s="4">
        <v>110</v>
      </c>
      <c r="U267" s="4">
        <v>89</v>
      </c>
      <c r="V267" s="4">
        <f>IF(ISERROR(VLOOKUP($S$267,'TAR FIN'!$A$1:$O$113,15,0)),0,VLOOKUP($S$267,'TAR FIN'!$A$1:$O$113,15,0))</f>
        <v>24.31</v>
      </c>
      <c r="W267" s="4">
        <f>IF(ISERROR(VLOOKUP($T$267,'TAR FIN'!$A$1:$O$113,15,0)),0,VLOOKUP($T$267,'TAR FIN'!$A$1:$O$113,15,0))</f>
        <v>51.27</v>
      </c>
      <c r="X267" s="4">
        <f>IF(ISERROR(VLOOKUP($U$267,'TAR FIN'!$A$1:$O$113,15,0)),0,VLOOKUP($U$267,'TAR FIN'!$A$1:$O$113,15,0))</f>
        <v>222.31</v>
      </c>
      <c r="Y267" s="4">
        <f ca="1">('TUSD BE'!$AM$14+'TUSD BF'!$AM$14+'TUSD CVA'!$AM$14)*1</f>
        <v>26.598074646640526</v>
      </c>
      <c r="Z267" s="4">
        <f ca="1">('TUSD BE'!$AM$15+'TUSD BF'!$AM$15+'TUSD CVA'!$AM$15)*1</f>
        <v>65.007409626508434</v>
      </c>
      <c r="AA267" s="4">
        <f>('TE BE'!$AA$11+'TE BF'!$AA$11+'TE CVA'!$AA$11)*1</f>
        <v>223.14561812044704</v>
      </c>
      <c r="AB267" s="4">
        <f>$K$267*$V$267</f>
        <v>2212.21</v>
      </c>
      <c r="AC267" s="4">
        <f>$M$267*$W$267</f>
        <v>1713.03324</v>
      </c>
      <c r="AD267" s="4">
        <f>$O$267*$X$267</f>
        <v>7427.8217199999999</v>
      </c>
      <c r="AE267" s="4">
        <f ca="1">$K$267*$Y$267</f>
        <v>2420.4247928442878</v>
      </c>
      <c r="AF267" s="4">
        <f ca="1">$M$267*$Z$267</f>
        <v>2172.0275704408996</v>
      </c>
      <c r="AG267" s="4">
        <f>$O$267*$AA$267</f>
        <v>7455.741392640376</v>
      </c>
    </row>
    <row r="268" spans="1:33" ht="11.25" customHeight="1" x14ac:dyDescent="0.25">
      <c r="A268" s="3" t="s">
        <v>56</v>
      </c>
      <c r="B268" s="3" t="s">
        <v>41</v>
      </c>
      <c r="C268" s="3" t="s">
        <v>40</v>
      </c>
      <c r="D268" s="3" t="s">
        <v>43</v>
      </c>
      <c r="E268" s="3" t="s">
        <v>25</v>
      </c>
      <c r="F268" s="3" t="s">
        <v>25</v>
      </c>
      <c r="G268" s="3" t="s">
        <v>25</v>
      </c>
      <c r="H268" s="3" t="s">
        <v>35</v>
      </c>
      <c r="I268" s="6">
        <v>44621</v>
      </c>
      <c r="J268" s="4">
        <v>8250</v>
      </c>
      <c r="K268" s="4">
        <v>8250</v>
      </c>
      <c r="L268" s="4">
        <v>2522.1080000000002</v>
      </c>
      <c r="M268" s="4">
        <v>2522.1080000000002</v>
      </c>
      <c r="N268" s="4">
        <v>2522.1080000000002</v>
      </c>
      <c r="O268" s="4">
        <v>2522.1080000000002</v>
      </c>
      <c r="P268" s="4">
        <v>0</v>
      </c>
      <c r="Q268" s="3" t="s">
        <v>26</v>
      </c>
      <c r="R268" s="3">
        <v>0</v>
      </c>
      <c r="S268" s="4">
        <v>12</v>
      </c>
      <c r="T268" s="4">
        <v>110</v>
      </c>
      <c r="U268" s="4">
        <v>89</v>
      </c>
      <c r="V268" s="4">
        <f>IF(ISERROR(VLOOKUP($S$268,'TAR FIN'!$A$1:$O$113,15,0)),0,VLOOKUP($S$268,'TAR FIN'!$A$1:$O$113,15,0))</f>
        <v>24.31</v>
      </c>
      <c r="W268" s="4">
        <f>IF(ISERROR(VLOOKUP($T$268,'TAR FIN'!$A$1:$O$113,15,0)),0,VLOOKUP($T$268,'TAR FIN'!$A$1:$O$113,15,0))</f>
        <v>51.27</v>
      </c>
      <c r="X268" s="4">
        <f>IF(ISERROR(VLOOKUP($U$268,'TAR FIN'!$A$1:$O$113,15,0)),0,VLOOKUP($U$268,'TAR FIN'!$A$1:$O$113,15,0))</f>
        <v>222.31</v>
      </c>
      <c r="Y268" s="4">
        <f ca="1">('TUSD BE'!$AM$14+'TUSD BF'!$AM$14+'TUSD CVA'!$AM$14)*1</f>
        <v>26.598074646640526</v>
      </c>
      <c r="Z268" s="4">
        <f ca="1">('TUSD BE'!$AM$15+'TUSD BF'!$AM$15+'TUSD CVA'!$AM$15)*1</f>
        <v>65.007409626508434</v>
      </c>
      <c r="AA268" s="4">
        <f>('TE BE'!$AA$11+'TE BF'!$AA$11+'TE CVA'!$AA$11)*1</f>
        <v>223.14561812044704</v>
      </c>
      <c r="AB268" s="4">
        <f>$K$268*$V$268</f>
        <v>200557.5</v>
      </c>
      <c r="AC268" s="4">
        <f>$M$268*$W$268</f>
        <v>129308.47716000002</v>
      </c>
      <c r="AD268" s="4">
        <f>$O$268*$X$268</f>
        <v>560689.82948000007</v>
      </c>
      <c r="AE268" s="4">
        <f ca="1">$K$268*$Y$268</f>
        <v>219434.11583478434</v>
      </c>
      <c r="AF268" s="4">
        <f ca="1">$M$268*$Z$268</f>
        <v>163955.70787829394</v>
      </c>
      <c r="AG268" s="4">
        <f>$O$268*$AA$268</f>
        <v>562797.34862652444</v>
      </c>
    </row>
    <row r="269" spans="1:33" ht="11.25" customHeight="1" x14ac:dyDescent="0.25">
      <c r="A269" s="3" t="s">
        <v>56</v>
      </c>
      <c r="B269" s="3" t="s">
        <v>41</v>
      </c>
      <c r="C269" s="3" t="s">
        <v>40</v>
      </c>
      <c r="D269" s="3" t="s">
        <v>43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44621</v>
      </c>
      <c r="J269" s="4">
        <v>91</v>
      </c>
      <c r="K269" s="4">
        <v>91</v>
      </c>
      <c r="L269" s="4">
        <v>33.411999999999999</v>
      </c>
      <c r="M269" s="4">
        <v>33.411999999999999</v>
      </c>
      <c r="N269" s="4">
        <v>33.411999999999999</v>
      </c>
      <c r="O269" s="4">
        <v>33.411999999999999</v>
      </c>
      <c r="P269" s="4">
        <v>0</v>
      </c>
      <c r="Q269" s="3" t="s">
        <v>26</v>
      </c>
      <c r="R269" s="3">
        <v>0</v>
      </c>
      <c r="S269" s="4">
        <v>12</v>
      </c>
      <c r="T269" s="4">
        <v>110</v>
      </c>
      <c r="U269" s="4">
        <v>89</v>
      </c>
      <c r="V269" s="4">
        <f>IF(ISERROR(VLOOKUP($S$269,'TAR FIN'!$A$1:$O$113,15,0)),0,VLOOKUP($S$269,'TAR FIN'!$A$1:$O$113,15,0))</f>
        <v>24.31</v>
      </c>
      <c r="W269" s="4">
        <f>IF(ISERROR(VLOOKUP($T$269,'TAR FIN'!$A$1:$O$113,15,0)),0,VLOOKUP($T$269,'TAR FIN'!$A$1:$O$113,15,0))</f>
        <v>51.27</v>
      </c>
      <c r="X269" s="4">
        <f>IF(ISERROR(VLOOKUP($U$269,'TAR FIN'!$A$1:$O$113,15,0)),0,VLOOKUP($U$269,'TAR FIN'!$A$1:$O$113,15,0))</f>
        <v>222.31</v>
      </c>
      <c r="Y269" s="4">
        <f ca="1">('TUSD BE'!$AM$14+'TUSD BF'!$AM$14+'TUSD CVA'!$AM$14)*1</f>
        <v>26.598074646640526</v>
      </c>
      <c r="Z269" s="4">
        <f ca="1">('TUSD BE'!$AM$15+'TUSD BF'!$AM$15+'TUSD CVA'!$AM$15)*1</f>
        <v>65.007409626508434</v>
      </c>
      <c r="AA269" s="4">
        <f>('TE BE'!$AA$11+'TE BF'!$AA$11+'TE CVA'!$AA$11)*1</f>
        <v>223.14561812044704</v>
      </c>
      <c r="AB269" s="4">
        <f>$K$269*$V$269</f>
        <v>2212.21</v>
      </c>
      <c r="AC269" s="4">
        <f>$M$269*$W$269</f>
        <v>1713.03324</v>
      </c>
      <c r="AD269" s="4">
        <f>$O$269*$X$269</f>
        <v>7427.8217199999999</v>
      </c>
      <c r="AE269" s="4">
        <f ca="1">$K$269*$Y$269</f>
        <v>2420.4247928442878</v>
      </c>
      <c r="AF269" s="4">
        <f ca="1">$M$269*$Z$269</f>
        <v>2172.0275704408996</v>
      </c>
      <c r="AG269" s="4">
        <f>$O$269*$AA$269</f>
        <v>7455.741392640376</v>
      </c>
    </row>
    <row r="270" spans="1:33" ht="11.25" customHeight="1" x14ac:dyDescent="0.25">
      <c r="A270" s="3" t="s">
        <v>21</v>
      </c>
      <c r="B270" s="3" t="s">
        <v>41</v>
      </c>
      <c r="C270" s="3" t="s">
        <v>40</v>
      </c>
      <c r="D270" s="3" t="s">
        <v>43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44287</v>
      </c>
      <c r="J270" s="4">
        <v>7124</v>
      </c>
      <c r="K270" s="4">
        <v>7124</v>
      </c>
      <c r="L270" s="4">
        <v>246.08099999999999</v>
      </c>
      <c r="M270" s="4">
        <v>246.08099999999999</v>
      </c>
      <c r="N270" s="4">
        <v>246.08099999999999</v>
      </c>
      <c r="O270" s="4">
        <v>246.08099999999999</v>
      </c>
      <c r="P270" s="4">
        <v>0</v>
      </c>
      <c r="Q270" s="3" t="s">
        <v>26</v>
      </c>
      <c r="R270" s="3">
        <v>0</v>
      </c>
      <c r="S270" s="4">
        <v>11</v>
      </c>
      <c r="T270" s="4">
        <v>110</v>
      </c>
      <c r="U270" s="4">
        <v>88</v>
      </c>
      <c r="V270" s="4">
        <f>IF(ISERROR(VLOOKUP($S$270,'TAR FIN'!$A$1:$O$113,15,0)),0,VLOOKUP($S$270,'TAR FIN'!$A$1:$O$113,15,0))</f>
        <v>62.23</v>
      </c>
      <c r="W270" s="4">
        <f>IF(ISERROR(VLOOKUP($T$270,'TAR FIN'!$A$1:$O$113,15,0)),0,VLOOKUP($T$270,'TAR FIN'!$A$1:$O$113,15,0))</f>
        <v>51.27</v>
      </c>
      <c r="X270" s="4">
        <f>IF(ISERROR(VLOOKUP($U$270,'TAR FIN'!$A$1:$O$113,15,0)),0,VLOOKUP($U$270,'TAR FIN'!$A$1:$O$113,15,0))</f>
        <v>365.5</v>
      </c>
      <c r="Y270" s="4">
        <f ca="1">('TUSD BE'!$AM$13+'TUSD BF'!$AM$13+'TUSD CVA'!$AM$13)*1</f>
        <v>73.082870326096639</v>
      </c>
      <c r="Z270" s="4">
        <f ca="1">('TUSD BE'!$AM$15+'TUSD BF'!$AM$15+'TUSD CVA'!$AM$15)*1</f>
        <v>65.007409626508434</v>
      </c>
      <c r="AA270" s="4">
        <f>('TE BE'!$AA$10+'TE BF'!$AA$10+'TE CVA'!$AA$10)*1</f>
        <v>361.55013418411539</v>
      </c>
      <c r="AB270" s="4">
        <f>$K$270*$V$270</f>
        <v>443326.51999999996</v>
      </c>
      <c r="AC270" s="4">
        <f>$M$270*$W$270</f>
        <v>12616.57287</v>
      </c>
      <c r="AD270" s="4">
        <f>$O$270*$X$270</f>
        <v>89942.605499999991</v>
      </c>
      <c r="AE270" s="4">
        <f ca="1">$K$270*$Y$270</f>
        <v>520642.36820311245</v>
      </c>
      <c r="AF270" s="4">
        <f ca="1">$M$270*$Z$270</f>
        <v>15997.088368300821</v>
      </c>
      <c r="AG270" s="4">
        <f>$O$270*$AA$270</f>
        <v>88970.618570161299</v>
      </c>
    </row>
    <row r="271" spans="1:33" ht="11.25" customHeight="1" x14ac:dyDescent="0.25">
      <c r="A271" s="3" t="s">
        <v>28</v>
      </c>
      <c r="B271" s="3" t="s">
        <v>41</v>
      </c>
      <c r="C271" s="3" t="s">
        <v>40</v>
      </c>
      <c r="D271" s="3" t="s">
        <v>43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44287</v>
      </c>
      <c r="J271" s="4">
        <v>273</v>
      </c>
      <c r="K271" s="4">
        <v>273</v>
      </c>
      <c r="L271" s="4">
        <v>10.85</v>
      </c>
      <c r="M271" s="4">
        <v>10.85</v>
      </c>
      <c r="N271" s="4">
        <v>10.85</v>
      </c>
      <c r="O271" s="4">
        <v>10.85</v>
      </c>
      <c r="P271" s="4">
        <v>0</v>
      </c>
      <c r="Q271" s="3" t="s">
        <v>26</v>
      </c>
      <c r="R271" s="3">
        <v>0</v>
      </c>
      <c r="S271" s="4">
        <v>11</v>
      </c>
      <c r="T271" s="4">
        <v>110</v>
      </c>
      <c r="U271" s="4">
        <v>88</v>
      </c>
      <c r="V271" s="4">
        <f>IF(ISERROR(VLOOKUP($S$271,'TAR FIN'!$A$1:$O$113,15,0)),0,VLOOKUP($S$271,'TAR FIN'!$A$1:$O$113,15,0))</f>
        <v>62.23</v>
      </c>
      <c r="W271" s="4">
        <f>IF(ISERROR(VLOOKUP($T$271,'TAR FIN'!$A$1:$O$113,15,0)),0,VLOOKUP($T$271,'TAR FIN'!$A$1:$O$113,15,0))</f>
        <v>51.27</v>
      </c>
      <c r="X271" s="4">
        <f>IF(ISERROR(VLOOKUP($U$271,'TAR FIN'!$A$1:$O$113,15,0)),0,VLOOKUP($U$271,'TAR FIN'!$A$1:$O$113,15,0))</f>
        <v>365.5</v>
      </c>
      <c r="Y271" s="4">
        <f ca="1">('TUSD BE'!$AM$13+'TUSD BF'!$AM$13+'TUSD CVA'!$AM$13)*1</f>
        <v>73.082870326096639</v>
      </c>
      <c r="Z271" s="4">
        <f ca="1">('TUSD BE'!$AM$15+'TUSD BF'!$AM$15+'TUSD CVA'!$AM$15)*1</f>
        <v>65.007409626508434</v>
      </c>
      <c r="AA271" s="4">
        <f>('TE BE'!$AA$10+'TE BF'!$AA$10+'TE CVA'!$AA$10)*1</f>
        <v>361.55013418411539</v>
      </c>
      <c r="AB271" s="4">
        <f>$K$271*$V$271</f>
        <v>16988.79</v>
      </c>
      <c r="AC271" s="4">
        <f>$M$271*$W$271</f>
        <v>556.27949999999998</v>
      </c>
      <c r="AD271" s="4">
        <f>$O$271*$X$271</f>
        <v>3965.6749999999997</v>
      </c>
      <c r="AE271" s="4">
        <f ca="1">$K$271*$Y$271</f>
        <v>19951.623599024384</v>
      </c>
      <c r="AF271" s="4">
        <f ca="1">$M$271*$Z$271</f>
        <v>705.33039444761653</v>
      </c>
      <c r="AG271" s="4">
        <f>$O$271*$AA$271</f>
        <v>3922.8189558976519</v>
      </c>
    </row>
    <row r="272" spans="1:33" ht="11.25" customHeight="1" x14ac:dyDescent="0.25">
      <c r="A272" s="3" t="s">
        <v>21</v>
      </c>
      <c r="B272" s="3" t="s">
        <v>41</v>
      </c>
      <c r="C272" s="3" t="s">
        <v>40</v>
      </c>
      <c r="D272" s="3" t="s">
        <v>43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44317</v>
      </c>
      <c r="J272" s="4">
        <v>7408</v>
      </c>
      <c r="K272" s="4">
        <v>7408</v>
      </c>
      <c r="L272" s="4">
        <v>251.47200000000001</v>
      </c>
      <c r="M272" s="4">
        <v>251.47200000000001</v>
      </c>
      <c r="N272" s="4">
        <v>251.47200000000001</v>
      </c>
      <c r="O272" s="4">
        <v>251.47200000000001</v>
      </c>
      <c r="P272" s="4">
        <v>0</v>
      </c>
      <c r="Q272" s="3" t="s">
        <v>26</v>
      </c>
      <c r="R272" s="3">
        <v>0</v>
      </c>
      <c r="S272" s="4">
        <v>11</v>
      </c>
      <c r="T272" s="4">
        <v>110</v>
      </c>
      <c r="U272" s="4">
        <v>88</v>
      </c>
      <c r="V272" s="4">
        <f>IF(ISERROR(VLOOKUP($S$272,'TAR FIN'!$A$1:$O$113,15,0)),0,VLOOKUP($S$272,'TAR FIN'!$A$1:$O$113,15,0))</f>
        <v>62.23</v>
      </c>
      <c r="W272" s="4">
        <f>IF(ISERROR(VLOOKUP($T$272,'TAR FIN'!$A$1:$O$113,15,0)),0,VLOOKUP($T$272,'TAR FIN'!$A$1:$O$113,15,0))</f>
        <v>51.27</v>
      </c>
      <c r="X272" s="4">
        <f>IF(ISERROR(VLOOKUP($U$272,'TAR FIN'!$A$1:$O$113,15,0)),0,VLOOKUP($U$272,'TAR FIN'!$A$1:$O$113,15,0))</f>
        <v>365.5</v>
      </c>
      <c r="Y272" s="4">
        <f ca="1">('TUSD BE'!$AM$13+'TUSD BF'!$AM$13+'TUSD CVA'!$AM$13)*1</f>
        <v>73.082870326096639</v>
      </c>
      <c r="Z272" s="4">
        <f ca="1">('TUSD BE'!$AM$15+'TUSD BF'!$AM$15+'TUSD CVA'!$AM$15)*1</f>
        <v>65.007409626508434</v>
      </c>
      <c r="AA272" s="4">
        <f>('TE BE'!$AA$10+'TE BF'!$AA$10+'TE CVA'!$AA$10)*1</f>
        <v>361.55013418411539</v>
      </c>
      <c r="AB272" s="4">
        <f>$K$272*$V$272</f>
        <v>460999.83999999997</v>
      </c>
      <c r="AC272" s="4">
        <f>$M$272*$W$272</f>
        <v>12892.969440000001</v>
      </c>
      <c r="AD272" s="4">
        <f>$O$272*$X$272</f>
        <v>91913.016000000003</v>
      </c>
      <c r="AE272" s="4">
        <f ca="1">$K$272*$Y$272</f>
        <v>541397.90337572386</v>
      </c>
      <c r="AF272" s="4">
        <f ca="1">$M$272*$Z$272</f>
        <v>16347.543313597329</v>
      </c>
      <c r="AG272" s="4">
        <f>$O$272*$AA$272</f>
        <v>90919.735343547873</v>
      </c>
    </row>
    <row r="273" spans="1:33" ht="11.25" customHeight="1" x14ac:dyDescent="0.25">
      <c r="A273" s="3" t="s">
        <v>28</v>
      </c>
      <c r="B273" s="3" t="s">
        <v>41</v>
      </c>
      <c r="C273" s="3" t="s">
        <v>40</v>
      </c>
      <c r="D273" s="3" t="s">
        <v>43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44317</v>
      </c>
      <c r="J273" s="4">
        <v>273</v>
      </c>
      <c r="K273" s="4">
        <v>273</v>
      </c>
      <c r="L273" s="4">
        <v>10.99</v>
      </c>
      <c r="M273" s="4">
        <v>10.99</v>
      </c>
      <c r="N273" s="4">
        <v>10.99</v>
      </c>
      <c r="O273" s="4">
        <v>10.99</v>
      </c>
      <c r="P273" s="4">
        <v>0</v>
      </c>
      <c r="Q273" s="3" t="s">
        <v>26</v>
      </c>
      <c r="R273" s="3">
        <v>0</v>
      </c>
      <c r="S273" s="4">
        <v>11</v>
      </c>
      <c r="T273" s="4">
        <v>110</v>
      </c>
      <c r="U273" s="4">
        <v>88</v>
      </c>
      <c r="V273" s="4">
        <f>IF(ISERROR(VLOOKUP($S$273,'TAR FIN'!$A$1:$O$113,15,0)),0,VLOOKUP($S$273,'TAR FIN'!$A$1:$O$113,15,0))</f>
        <v>62.23</v>
      </c>
      <c r="W273" s="4">
        <f>IF(ISERROR(VLOOKUP($T$273,'TAR FIN'!$A$1:$O$113,15,0)),0,VLOOKUP($T$273,'TAR FIN'!$A$1:$O$113,15,0))</f>
        <v>51.27</v>
      </c>
      <c r="X273" s="4">
        <f>IF(ISERROR(VLOOKUP($U$273,'TAR FIN'!$A$1:$O$113,15,0)),0,VLOOKUP($U$273,'TAR FIN'!$A$1:$O$113,15,0))</f>
        <v>365.5</v>
      </c>
      <c r="Y273" s="4">
        <f ca="1">('TUSD BE'!$AM$13+'TUSD BF'!$AM$13+'TUSD CVA'!$AM$13)*1</f>
        <v>73.082870326096639</v>
      </c>
      <c r="Z273" s="4">
        <f ca="1">('TUSD BE'!$AM$15+'TUSD BF'!$AM$15+'TUSD CVA'!$AM$15)*1</f>
        <v>65.007409626508434</v>
      </c>
      <c r="AA273" s="4">
        <f>('TE BE'!$AA$10+'TE BF'!$AA$10+'TE CVA'!$AA$10)*1</f>
        <v>361.55013418411539</v>
      </c>
      <c r="AB273" s="4">
        <f>$K$273*$V$273</f>
        <v>16988.79</v>
      </c>
      <c r="AC273" s="4">
        <f>$M$273*$W$273</f>
        <v>563.45730000000003</v>
      </c>
      <c r="AD273" s="4">
        <f>$O$273*$X$273</f>
        <v>4016.8450000000003</v>
      </c>
      <c r="AE273" s="4">
        <f ca="1">$K$273*$Y$273</f>
        <v>19951.623599024384</v>
      </c>
      <c r="AF273" s="4">
        <f ca="1">$M$273*$Z$273</f>
        <v>714.43143179532774</v>
      </c>
      <c r="AG273" s="4">
        <f>$O$273*$AA$273</f>
        <v>3973.4359746834284</v>
      </c>
    </row>
    <row r="274" spans="1:33" ht="11.25" customHeight="1" x14ac:dyDescent="0.25">
      <c r="A274" s="3" t="s">
        <v>21</v>
      </c>
      <c r="B274" s="3" t="s">
        <v>41</v>
      </c>
      <c r="C274" s="3" t="s">
        <v>40</v>
      </c>
      <c r="D274" s="3" t="s">
        <v>43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44348</v>
      </c>
      <c r="J274" s="4">
        <v>7275</v>
      </c>
      <c r="K274" s="4">
        <v>7275</v>
      </c>
      <c r="L274" s="4">
        <v>232.554</v>
      </c>
      <c r="M274" s="4">
        <v>232.554</v>
      </c>
      <c r="N274" s="4">
        <v>232.554</v>
      </c>
      <c r="O274" s="4">
        <v>232.554</v>
      </c>
      <c r="P274" s="4">
        <v>0</v>
      </c>
      <c r="Q274" s="3" t="s">
        <v>26</v>
      </c>
      <c r="R274" s="3">
        <v>0</v>
      </c>
      <c r="S274" s="4">
        <v>11</v>
      </c>
      <c r="T274" s="4">
        <v>110</v>
      </c>
      <c r="U274" s="4">
        <v>88</v>
      </c>
      <c r="V274" s="4">
        <f>IF(ISERROR(VLOOKUP($S$274,'TAR FIN'!$A$1:$O$113,15,0)),0,VLOOKUP($S$274,'TAR FIN'!$A$1:$O$113,15,0))</f>
        <v>62.23</v>
      </c>
      <c r="W274" s="4">
        <f>IF(ISERROR(VLOOKUP($T$274,'TAR FIN'!$A$1:$O$113,15,0)),0,VLOOKUP($T$274,'TAR FIN'!$A$1:$O$113,15,0))</f>
        <v>51.27</v>
      </c>
      <c r="X274" s="4">
        <f>IF(ISERROR(VLOOKUP($U$274,'TAR FIN'!$A$1:$O$113,15,0)),0,VLOOKUP($U$274,'TAR FIN'!$A$1:$O$113,15,0))</f>
        <v>365.5</v>
      </c>
      <c r="Y274" s="4">
        <f ca="1">('TUSD BE'!$AM$13+'TUSD BF'!$AM$13+'TUSD CVA'!$AM$13)*1</f>
        <v>73.082870326096639</v>
      </c>
      <c r="Z274" s="4">
        <f ca="1">('TUSD BE'!$AM$15+'TUSD BF'!$AM$15+'TUSD CVA'!$AM$15)*1</f>
        <v>65.007409626508434</v>
      </c>
      <c r="AA274" s="4">
        <f>('TE BE'!$AA$10+'TE BF'!$AA$10+'TE CVA'!$AA$10)*1</f>
        <v>361.55013418411539</v>
      </c>
      <c r="AB274" s="4">
        <f>$K$274*$V$274</f>
        <v>452723.25</v>
      </c>
      <c r="AC274" s="4">
        <f>$M$274*$W$274</f>
        <v>11923.043580000001</v>
      </c>
      <c r="AD274" s="4">
        <f>$O$274*$X$274</f>
        <v>84998.486999999994</v>
      </c>
      <c r="AE274" s="4">
        <f ca="1">$K$274*$Y$274</f>
        <v>531677.8816223531</v>
      </c>
      <c r="AF274" s="4">
        <f ca="1">$M$274*$Z$274</f>
        <v>15117.733138283042</v>
      </c>
      <c r="AG274" s="4">
        <f>$O$274*$AA$274</f>
        <v>84079.929905052777</v>
      </c>
    </row>
    <row r="275" spans="1:33" ht="11.25" customHeight="1" x14ac:dyDescent="0.25">
      <c r="A275" s="3" t="s">
        <v>28</v>
      </c>
      <c r="B275" s="3" t="s">
        <v>41</v>
      </c>
      <c r="C275" s="3" t="s">
        <v>40</v>
      </c>
      <c r="D275" s="3" t="s">
        <v>43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44348</v>
      </c>
      <c r="J275" s="4">
        <v>250</v>
      </c>
      <c r="K275" s="4">
        <v>250</v>
      </c>
      <c r="L275" s="4">
        <v>9.8699999999999992</v>
      </c>
      <c r="M275" s="4">
        <v>9.8699999999999992</v>
      </c>
      <c r="N275" s="4">
        <v>9.8699999999999992</v>
      </c>
      <c r="O275" s="4">
        <v>9.8699999999999992</v>
      </c>
      <c r="P275" s="4">
        <v>0</v>
      </c>
      <c r="Q275" s="3" t="s">
        <v>26</v>
      </c>
      <c r="R275" s="3">
        <v>0</v>
      </c>
      <c r="S275" s="4">
        <v>11</v>
      </c>
      <c r="T275" s="4">
        <v>110</v>
      </c>
      <c r="U275" s="4">
        <v>88</v>
      </c>
      <c r="V275" s="4">
        <f>IF(ISERROR(VLOOKUP($S$275,'TAR FIN'!$A$1:$O$113,15,0)),0,VLOOKUP($S$275,'TAR FIN'!$A$1:$O$113,15,0))</f>
        <v>62.23</v>
      </c>
      <c r="W275" s="4">
        <f>IF(ISERROR(VLOOKUP($T$275,'TAR FIN'!$A$1:$O$113,15,0)),0,VLOOKUP($T$275,'TAR FIN'!$A$1:$O$113,15,0))</f>
        <v>51.27</v>
      </c>
      <c r="X275" s="4">
        <f>IF(ISERROR(VLOOKUP($U$275,'TAR FIN'!$A$1:$O$113,15,0)),0,VLOOKUP($U$275,'TAR FIN'!$A$1:$O$113,15,0))</f>
        <v>365.5</v>
      </c>
      <c r="Y275" s="4">
        <f ca="1">('TUSD BE'!$AM$13+'TUSD BF'!$AM$13+'TUSD CVA'!$AM$13)*1</f>
        <v>73.082870326096639</v>
      </c>
      <c r="Z275" s="4">
        <f ca="1">('TUSD BE'!$AM$15+'TUSD BF'!$AM$15+'TUSD CVA'!$AM$15)*1</f>
        <v>65.007409626508434</v>
      </c>
      <c r="AA275" s="4">
        <f>('TE BE'!$AA$10+'TE BF'!$AA$10+'TE CVA'!$AA$10)*1</f>
        <v>361.55013418411539</v>
      </c>
      <c r="AB275" s="4">
        <f>$K$275*$V$275</f>
        <v>15557.5</v>
      </c>
      <c r="AC275" s="4">
        <f>$M$275*$W$275</f>
        <v>506.03489999999999</v>
      </c>
      <c r="AD275" s="4">
        <f>$O$275*$X$275</f>
        <v>3607.4849999999997</v>
      </c>
      <c r="AE275" s="4">
        <f ca="1">$K$275*$Y$275</f>
        <v>18270.717581524161</v>
      </c>
      <c r="AF275" s="4">
        <f ca="1">$M$275*$Z$275</f>
        <v>641.62313301363815</v>
      </c>
      <c r="AG275" s="4">
        <f>$O$275*$AA$275</f>
        <v>3568.4998243972186</v>
      </c>
    </row>
    <row r="276" spans="1:33" ht="11.25" customHeight="1" x14ac:dyDescent="0.25">
      <c r="A276" s="3" t="s">
        <v>21</v>
      </c>
      <c r="B276" s="3" t="s">
        <v>41</v>
      </c>
      <c r="C276" s="3" t="s">
        <v>40</v>
      </c>
      <c r="D276" s="3" t="s">
        <v>43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44378</v>
      </c>
      <c r="J276" s="4">
        <v>6717</v>
      </c>
      <c r="K276" s="4">
        <v>6717</v>
      </c>
      <c r="L276" s="4">
        <v>227.59299999999999</v>
      </c>
      <c r="M276" s="4">
        <v>227.59299999999999</v>
      </c>
      <c r="N276" s="4">
        <v>227.59299999999999</v>
      </c>
      <c r="O276" s="4">
        <v>227.59299999999999</v>
      </c>
      <c r="P276" s="4">
        <v>0</v>
      </c>
      <c r="Q276" s="3" t="s">
        <v>26</v>
      </c>
      <c r="R276" s="3">
        <v>0</v>
      </c>
      <c r="S276" s="4">
        <v>11</v>
      </c>
      <c r="T276" s="4">
        <v>110</v>
      </c>
      <c r="U276" s="4">
        <v>88</v>
      </c>
      <c r="V276" s="4">
        <f>IF(ISERROR(VLOOKUP($S$276,'TAR FIN'!$A$1:$O$113,15,0)),0,VLOOKUP($S$276,'TAR FIN'!$A$1:$O$113,15,0))</f>
        <v>62.23</v>
      </c>
      <c r="W276" s="4">
        <f>IF(ISERROR(VLOOKUP($T$276,'TAR FIN'!$A$1:$O$113,15,0)),0,VLOOKUP($T$276,'TAR FIN'!$A$1:$O$113,15,0))</f>
        <v>51.27</v>
      </c>
      <c r="X276" s="4">
        <f>IF(ISERROR(VLOOKUP($U$276,'TAR FIN'!$A$1:$O$113,15,0)),0,VLOOKUP($U$276,'TAR FIN'!$A$1:$O$113,15,0))</f>
        <v>365.5</v>
      </c>
      <c r="Y276" s="4">
        <f ca="1">('TUSD BE'!$AM$13+'TUSD BF'!$AM$13+'TUSD CVA'!$AM$13)*1</f>
        <v>73.082870326096639</v>
      </c>
      <c r="Z276" s="4">
        <f ca="1">('TUSD BE'!$AM$15+'TUSD BF'!$AM$15+'TUSD CVA'!$AM$15)*1</f>
        <v>65.007409626508434</v>
      </c>
      <c r="AA276" s="4">
        <f>('TE BE'!$AA$10+'TE BF'!$AA$10+'TE CVA'!$AA$10)*1</f>
        <v>361.55013418411539</v>
      </c>
      <c r="AB276" s="4">
        <f>$K$276*$V$276</f>
        <v>417998.91</v>
      </c>
      <c r="AC276" s="4">
        <f>$M$276*$W$276</f>
        <v>11668.69311</v>
      </c>
      <c r="AD276" s="4">
        <f>$O$276*$X$276</f>
        <v>83185.241499999989</v>
      </c>
      <c r="AE276" s="4">
        <f ca="1">$K$276*$Y$276</f>
        <v>490897.63998039113</v>
      </c>
      <c r="AF276" s="4">
        <f ca="1">$M$276*$Z$276</f>
        <v>14795.231379125933</v>
      </c>
      <c r="AG276" s="4">
        <f>$O$276*$AA$276</f>
        <v>82286.279689365372</v>
      </c>
    </row>
    <row r="277" spans="1:33" ht="11.25" customHeight="1" x14ac:dyDescent="0.25">
      <c r="A277" s="3" t="s">
        <v>27</v>
      </c>
      <c r="B277" s="3" t="s">
        <v>41</v>
      </c>
      <c r="C277" s="3" t="s">
        <v>40</v>
      </c>
      <c r="D277" s="3" t="s">
        <v>43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44378</v>
      </c>
      <c r="J277" s="4">
        <v>-41</v>
      </c>
      <c r="K277" s="4">
        <v>-41</v>
      </c>
      <c r="L277" s="4">
        <v>10.605</v>
      </c>
      <c r="M277" s="4">
        <v>10.605</v>
      </c>
      <c r="N277" s="4">
        <v>10.605</v>
      </c>
      <c r="O277" s="4">
        <v>10.605</v>
      </c>
      <c r="P277" s="4">
        <v>0</v>
      </c>
      <c r="Q277" s="3" t="s">
        <v>26</v>
      </c>
      <c r="R277" s="3">
        <v>0</v>
      </c>
      <c r="S277" s="4">
        <v>11</v>
      </c>
      <c r="T277" s="4">
        <v>110</v>
      </c>
      <c r="U277" s="4">
        <v>88</v>
      </c>
      <c r="V277" s="4">
        <f>IF(ISERROR(VLOOKUP($S$277,'TAR FIN'!$A$1:$O$113,15,0)),0,VLOOKUP($S$277,'TAR FIN'!$A$1:$O$113,15,0))</f>
        <v>62.23</v>
      </c>
      <c r="W277" s="4">
        <f>IF(ISERROR(VLOOKUP($T$277,'TAR FIN'!$A$1:$O$113,15,0)),0,VLOOKUP($T$277,'TAR FIN'!$A$1:$O$113,15,0))</f>
        <v>51.27</v>
      </c>
      <c r="X277" s="4">
        <f>IF(ISERROR(VLOOKUP($U$277,'TAR FIN'!$A$1:$O$113,15,0)),0,VLOOKUP($U$277,'TAR FIN'!$A$1:$O$113,15,0))</f>
        <v>365.5</v>
      </c>
      <c r="Y277" s="4">
        <f ca="1">('TUSD BE'!$AM$13+'TUSD BF'!$AM$13+'TUSD CVA'!$AM$13)*1</f>
        <v>73.082870326096639</v>
      </c>
      <c r="Z277" s="4">
        <f ca="1">('TUSD BE'!$AM$15+'TUSD BF'!$AM$15+'TUSD CVA'!$AM$15)*1</f>
        <v>65.007409626508434</v>
      </c>
      <c r="AA277" s="4">
        <f>('TE BE'!$AA$10+'TE BF'!$AA$10+'TE CVA'!$AA$10)*1</f>
        <v>361.55013418411539</v>
      </c>
      <c r="AB277" s="4">
        <f>$K$277*$V$277</f>
        <v>-2551.4299999999998</v>
      </c>
      <c r="AC277" s="4">
        <f>$M$277*$W$277</f>
        <v>543.7183500000001</v>
      </c>
      <c r="AD277" s="4">
        <f>$O$277*$X$277</f>
        <v>3876.1275000000001</v>
      </c>
      <c r="AE277" s="4">
        <f ca="1">$K$277*$Y$277</f>
        <v>-2996.3976833699621</v>
      </c>
      <c r="AF277" s="4">
        <f ca="1">$M$277*$Z$277</f>
        <v>689.40357908912199</v>
      </c>
      <c r="AG277" s="4">
        <f>$O$277*$AA$277</f>
        <v>3834.239173022544</v>
      </c>
    </row>
    <row r="278" spans="1:33" ht="11.25" customHeight="1" x14ac:dyDescent="0.25">
      <c r="A278" s="3" t="s">
        <v>28</v>
      </c>
      <c r="B278" s="3" t="s">
        <v>41</v>
      </c>
      <c r="C278" s="3" t="s">
        <v>40</v>
      </c>
      <c r="D278" s="3" t="s">
        <v>43</v>
      </c>
      <c r="E278" s="3" t="s">
        <v>25</v>
      </c>
      <c r="F278" s="3" t="s">
        <v>25</v>
      </c>
      <c r="G278" s="3" t="s">
        <v>25</v>
      </c>
      <c r="H278" s="3" t="s">
        <v>34</v>
      </c>
      <c r="I278" s="6">
        <v>44378</v>
      </c>
      <c r="J278" s="4">
        <v>250</v>
      </c>
      <c r="K278" s="4">
        <v>250</v>
      </c>
      <c r="L278" s="4">
        <v>10.29</v>
      </c>
      <c r="M278" s="4">
        <v>10.29</v>
      </c>
      <c r="N278" s="4">
        <v>10.29</v>
      </c>
      <c r="O278" s="4">
        <v>10.29</v>
      </c>
      <c r="P278" s="4">
        <v>0</v>
      </c>
      <c r="Q278" s="3" t="s">
        <v>26</v>
      </c>
      <c r="R278" s="3">
        <v>0</v>
      </c>
      <c r="S278" s="4">
        <v>11</v>
      </c>
      <c r="T278" s="4">
        <v>110</v>
      </c>
      <c r="U278" s="4">
        <v>88</v>
      </c>
      <c r="V278" s="4">
        <f>IF(ISERROR(VLOOKUP($S$278,'TAR FIN'!$A$1:$O$113,15,0)),0,VLOOKUP($S$278,'TAR FIN'!$A$1:$O$113,15,0))</f>
        <v>62.23</v>
      </c>
      <c r="W278" s="4">
        <f>IF(ISERROR(VLOOKUP($T$278,'TAR FIN'!$A$1:$O$113,15,0)),0,VLOOKUP($T$278,'TAR FIN'!$A$1:$O$113,15,0))</f>
        <v>51.27</v>
      </c>
      <c r="X278" s="4">
        <f>IF(ISERROR(VLOOKUP($U$278,'TAR FIN'!$A$1:$O$113,15,0)),0,VLOOKUP($U$278,'TAR FIN'!$A$1:$O$113,15,0))</f>
        <v>365.5</v>
      </c>
      <c r="Y278" s="4">
        <f ca="1">('TUSD BE'!$AM$13+'TUSD BF'!$AM$13+'TUSD CVA'!$AM$13)*1</f>
        <v>73.082870326096639</v>
      </c>
      <c r="Z278" s="4">
        <f ca="1">('TUSD BE'!$AM$15+'TUSD BF'!$AM$15+'TUSD CVA'!$AM$15)*1</f>
        <v>65.007409626508434</v>
      </c>
      <c r="AA278" s="4">
        <f>('TE BE'!$AA$10+'TE BF'!$AA$10+'TE CVA'!$AA$10)*1</f>
        <v>361.55013418411539</v>
      </c>
      <c r="AB278" s="4">
        <f>$K$278*$V$278</f>
        <v>15557.5</v>
      </c>
      <c r="AC278" s="4">
        <f>$M$278*$W$278</f>
        <v>527.56830000000002</v>
      </c>
      <c r="AD278" s="4">
        <f>$O$278*$X$278</f>
        <v>3760.9949999999999</v>
      </c>
      <c r="AE278" s="4">
        <f ca="1">$K$278*$Y$278</f>
        <v>18270.717581524161</v>
      </c>
      <c r="AF278" s="4">
        <f ca="1">$M$278*$Z$278</f>
        <v>668.92624505677168</v>
      </c>
      <c r="AG278" s="4">
        <f>$O$278*$AA$278</f>
        <v>3720.3508807545472</v>
      </c>
    </row>
    <row r="279" spans="1:33" ht="11.25" customHeight="1" x14ac:dyDescent="0.25">
      <c r="A279" s="3" t="s">
        <v>21</v>
      </c>
      <c r="B279" s="3" t="s">
        <v>41</v>
      </c>
      <c r="C279" s="3" t="s">
        <v>40</v>
      </c>
      <c r="D279" s="3" t="s">
        <v>43</v>
      </c>
      <c r="E279" s="3" t="s">
        <v>25</v>
      </c>
      <c r="F279" s="3" t="s">
        <v>25</v>
      </c>
      <c r="G279" s="3" t="s">
        <v>25</v>
      </c>
      <c r="H279" s="3" t="s">
        <v>34</v>
      </c>
      <c r="I279" s="6">
        <v>44409</v>
      </c>
      <c r="J279" s="4">
        <v>6720</v>
      </c>
      <c r="K279" s="4">
        <v>6720</v>
      </c>
      <c r="L279" s="4">
        <v>235.00700000000001</v>
      </c>
      <c r="M279" s="4">
        <v>235.00700000000001</v>
      </c>
      <c r="N279" s="4">
        <v>235.00700000000001</v>
      </c>
      <c r="O279" s="4">
        <v>235.00700000000001</v>
      </c>
      <c r="P279" s="4">
        <v>0</v>
      </c>
      <c r="Q279" s="3" t="s">
        <v>26</v>
      </c>
      <c r="R279" s="3">
        <v>0</v>
      </c>
      <c r="S279" s="4">
        <v>11</v>
      </c>
      <c r="T279" s="4">
        <v>110</v>
      </c>
      <c r="U279" s="4">
        <v>88</v>
      </c>
      <c r="V279" s="4">
        <f>IF(ISERROR(VLOOKUP($S$279,'TAR FIN'!$A$1:$O$113,15,0)),0,VLOOKUP($S$279,'TAR FIN'!$A$1:$O$113,15,0))</f>
        <v>62.23</v>
      </c>
      <c r="W279" s="4">
        <f>IF(ISERROR(VLOOKUP($T$279,'TAR FIN'!$A$1:$O$113,15,0)),0,VLOOKUP($T$279,'TAR FIN'!$A$1:$O$113,15,0))</f>
        <v>51.27</v>
      </c>
      <c r="X279" s="4">
        <f>IF(ISERROR(VLOOKUP($U$279,'TAR FIN'!$A$1:$O$113,15,0)),0,VLOOKUP($U$279,'TAR FIN'!$A$1:$O$113,15,0))</f>
        <v>365.5</v>
      </c>
      <c r="Y279" s="4">
        <f ca="1">('TUSD BE'!$AM$13+'TUSD BF'!$AM$13+'TUSD CVA'!$AM$13)*1</f>
        <v>73.082870326096639</v>
      </c>
      <c r="Z279" s="4">
        <f ca="1">('TUSD BE'!$AM$15+'TUSD BF'!$AM$15+'TUSD CVA'!$AM$15)*1</f>
        <v>65.007409626508434</v>
      </c>
      <c r="AA279" s="4">
        <f>('TE BE'!$AA$10+'TE BF'!$AA$10+'TE CVA'!$AA$10)*1</f>
        <v>361.55013418411539</v>
      </c>
      <c r="AB279" s="4">
        <f>$K$279*$V$279</f>
        <v>418185.6</v>
      </c>
      <c r="AC279" s="4">
        <f>$M$279*$W$279</f>
        <v>12048.80889</v>
      </c>
      <c r="AD279" s="4">
        <f>$O$279*$X$279</f>
        <v>85895.058499999999</v>
      </c>
      <c r="AE279" s="4">
        <f ca="1">$K$279*$Y$279</f>
        <v>491116.88859136944</v>
      </c>
      <c r="AF279" s="4">
        <f ca="1">$M$279*$Z$279</f>
        <v>15277.196314096867</v>
      </c>
      <c r="AG279" s="4">
        <f>$O$279*$AA$279</f>
        <v>84966.812384206409</v>
      </c>
    </row>
    <row r="280" spans="1:33" ht="11.25" customHeight="1" x14ac:dyDescent="0.25">
      <c r="A280" s="3" t="s">
        <v>27</v>
      </c>
      <c r="B280" s="3" t="s">
        <v>41</v>
      </c>
      <c r="C280" s="3" t="s">
        <v>40</v>
      </c>
      <c r="D280" s="3" t="s">
        <v>43</v>
      </c>
      <c r="E280" s="3" t="s">
        <v>25</v>
      </c>
      <c r="F280" s="3" t="s">
        <v>25</v>
      </c>
      <c r="G280" s="3" t="s">
        <v>25</v>
      </c>
      <c r="H280" s="3" t="s">
        <v>34</v>
      </c>
      <c r="I280" s="6">
        <v>44409</v>
      </c>
      <c r="J280" s="4">
        <v>0</v>
      </c>
      <c r="K280" s="4">
        <v>0</v>
      </c>
      <c r="L280" s="4">
        <v>-0.309</v>
      </c>
      <c r="M280" s="4">
        <v>-0.309</v>
      </c>
      <c r="N280" s="4">
        <v>-0.309</v>
      </c>
      <c r="O280" s="4">
        <v>-0.309</v>
      </c>
      <c r="P280" s="4">
        <v>0</v>
      </c>
      <c r="Q280" s="3" t="s">
        <v>26</v>
      </c>
      <c r="R280" s="3">
        <v>0</v>
      </c>
      <c r="S280" s="4">
        <v>0</v>
      </c>
      <c r="T280" s="4">
        <v>110</v>
      </c>
      <c r="U280" s="4">
        <v>88</v>
      </c>
      <c r="V280" s="4">
        <f>IF(ISERROR(VLOOKUP($S$280,'TAR FIN'!$A$1:$O$113,15,0)),0,VLOOKUP($S$280,'TAR FIN'!$A$1:$O$113,15,0))</f>
        <v>0</v>
      </c>
      <c r="W280" s="4">
        <f>IF(ISERROR(VLOOKUP($T$280,'TAR FIN'!$A$1:$O$113,15,0)),0,VLOOKUP($T$280,'TAR FIN'!$A$1:$O$113,15,0))</f>
        <v>51.27</v>
      </c>
      <c r="X280" s="4">
        <f>IF(ISERROR(VLOOKUP($U$280,'TAR FIN'!$A$1:$O$113,15,0)),0,VLOOKUP($U$280,'TAR FIN'!$A$1:$O$113,15,0))</f>
        <v>365.5</v>
      </c>
      <c r="Y280" s="4">
        <f ca="1">('TUSD BE'!$AM$13+'TUSD BF'!$AM$13+'TUSD CVA'!$AM$13)*1</f>
        <v>73.082870326096639</v>
      </c>
      <c r="Z280" s="4">
        <f ca="1">('TUSD BE'!$AM$15+'TUSD BF'!$AM$15+'TUSD CVA'!$AM$15)*1</f>
        <v>65.007409626508434</v>
      </c>
      <c r="AA280" s="4">
        <f>('TE BE'!$AA$10+'TE BF'!$AA$10+'TE CVA'!$AA$10)*1</f>
        <v>361.55013418411539</v>
      </c>
      <c r="AB280" s="4">
        <f>$K$280*$V$280</f>
        <v>0</v>
      </c>
      <c r="AC280" s="4">
        <f>$M$280*$W$280</f>
        <v>-15.84243</v>
      </c>
      <c r="AD280" s="4">
        <f>$O$280*$X$280</f>
        <v>-112.9395</v>
      </c>
      <c r="AE280" s="4">
        <f ca="1">$K$280*$Y$280</f>
        <v>0</v>
      </c>
      <c r="AF280" s="4">
        <f ca="1">$M$280*$Z$280</f>
        <v>-20.087289574591107</v>
      </c>
      <c r="AG280" s="4">
        <f>$O$280*$AA$280</f>
        <v>-111.71899146289165</v>
      </c>
    </row>
    <row r="281" spans="1:33" ht="11.25" customHeight="1" x14ac:dyDescent="0.25">
      <c r="A281" s="3" t="s">
        <v>28</v>
      </c>
      <c r="B281" s="3" t="s">
        <v>41</v>
      </c>
      <c r="C281" s="3" t="s">
        <v>40</v>
      </c>
      <c r="D281" s="3" t="s">
        <v>43</v>
      </c>
      <c r="E281" s="3" t="s">
        <v>25</v>
      </c>
      <c r="F281" s="3" t="s">
        <v>25</v>
      </c>
      <c r="G281" s="3" t="s">
        <v>25</v>
      </c>
      <c r="H281" s="3" t="s">
        <v>34</v>
      </c>
      <c r="I281" s="6">
        <v>44409</v>
      </c>
      <c r="J281" s="4">
        <v>250</v>
      </c>
      <c r="K281" s="4">
        <v>250</v>
      </c>
      <c r="L281" s="4">
        <v>10.5</v>
      </c>
      <c r="M281" s="4">
        <v>10.5</v>
      </c>
      <c r="N281" s="4">
        <v>10.5</v>
      </c>
      <c r="O281" s="4">
        <v>10.5</v>
      </c>
      <c r="P281" s="4">
        <v>0</v>
      </c>
      <c r="Q281" s="3" t="s">
        <v>26</v>
      </c>
      <c r="R281" s="3">
        <v>0</v>
      </c>
      <c r="S281" s="4">
        <v>11</v>
      </c>
      <c r="T281" s="4">
        <v>110</v>
      </c>
      <c r="U281" s="4">
        <v>88</v>
      </c>
      <c r="V281" s="4">
        <f>IF(ISERROR(VLOOKUP($S$281,'TAR FIN'!$A$1:$O$113,15,0)),0,VLOOKUP($S$281,'TAR FIN'!$A$1:$O$113,15,0))</f>
        <v>62.23</v>
      </c>
      <c r="W281" s="4">
        <f>IF(ISERROR(VLOOKUP($T$281,'TAR FIN'!$A$1:$O$113,15,0)),0,VLOOKUP($T$281,'TAR FIN'!$A$1:$O$113,15,0))</f>
        <v>51.27</v>
      </c>
      <c r="X281" s="4">
        <f>IF(ISERROR(VLOOKUP($U$281,'TAR FIN'!$A$1:$O$113,15,0)),0,VLOOKUP($U$281,'TAR FIN'!$A$1:$O$113,15,0))</f>
        <v>365.5</v>
      </c>
      <c r="Y281" s="4">
        <f ca="1">('TUSD BE'!$AM$13+'TUSD BF'!$AM$13+'TUSD CVA'!$AM$13)*1</f>
        <v>73.082870326096639</v>
      </c>
      <c r="Z281" s="4">
        <f ca="1">('TUSD BE'!$AM$15+'TUSD BF'!$AM$15+'TUSD CVA'!$AM$15)*1</f>
        <v>65.007409626508434</v>
      </c>
      <c r="AA281" s="4">
        <f>('TE BE'!$AA$10+'TE BF'!$AA$10+'TE CVA'!$AA$10)*1</f>
        <v>361.55013418411539</v>
      </c>
      <c r="AB281" s="4">
        <f>$K$281*$V$281</f>
        <v>15557.5</v>
      </c>
      <c r="AC281" s="4">
        <f>$M$281*$W$281</f>
        <v>538.33500000000004</v>
      </c>
      <c r="AD281" s="4">
        <f>$O$281*$X$281</f>
        <v>3837.75</v>
      </c>
      <c r="AE281" s="4">
        <f ca="1">$K$281*$Y$281</f>
        <v>18270.717581524161</v>
      </c>
      <c r="AF281" s="4">
        <f ca="1">$M$281*$Z$281</f>
        <v>682.57780107833855</v>
      </c>
      <c r="AG281" s="4">
        <f>$O$281*$AA$281</f>
        <v>3796.2764089332118</v>
      </c>
    </row>
    <row r="282" spans="1:33" ht="11.25" customHeight="1" x14ac:dyDescent="0.25">
      <c r="A282" s="3" t="s">
        <v>21</v>
      </c>
      <c r="B282" s="3" t="s">
        <v>41</v>
      </c>
      <c r="C282" s="3" t="s">
        <v>40</v>
      </c>
      <c r="D282" s="3" t="s">
        <v>43</v>
      </c>
      <c r="E282" s="3" t="s">
        <v>25</v>
      </c>
      <c r="F282" s="3" t="s">
        <v>25</v>
      </c>
      <c r="G282" s="3" t="s">
        <v>25</v>
      </c>
      <c r="H282" s="3" t="s">
        <v>34</v>
      </c>
      <c r="I282" s="6">
        <v>44440</v>
      </c>
      <c r="J282" s="4">
        <v>6749</v>
      </c>
      <c r="K282" s="4">
        <v>6749</v>
      </c>
      <c r="L282" s="4">
        <v>238.81299999999999</v>
      </c>
      <c r="M282" s="4">
        <v>238.81299999999999</v>
      </c>
      <c r="N282" s="4">
        <v>238.81299999999999</v>
      </c>
      <c r="O282" s="4">
        <v>238.81299999999999</v>
      </c>
      <c r="P282" s="4">
        <v>0</v>
      </c>
      <c r="Q282" s="3" t="s">
        <v>26</v>
      </c>
      <c r="R282" s="3">
        <v>0</v>
      </c>
      <c r="S282" s="4">
        <v>11</v>
      </c>
      <c r="T282" s="4">
        <v>110</v>
      </c>
      <c r="U282" s="4">
        <v>88</v>
      </c>
      <c r="V282" s="4">
        <f>IF(ISERROR(VLOOKUP($S$282,'TAR FIN'!$A$1:$O$113,15,0)),0,VLOOKUP($S$282,'TAR FIN'!$A$1:$O$113,15,0))</f>
        <v>62.23</v>
      </c>
      <c r="W282" s="4">
        <f>IF(ISERROR(VLOOKUP($T$282,'TAR FIN'!$A$1:$O$113,15,0)),0,VLOOKUP($T$282,'TAR FIN'!$A$1:$O$113,15,0))</f>
        <v>51.27</v>
      </c>
      <c r="X282" s="4">
        <f>IF(ISERROR(VLOOKUP($U$282,'TAR FIN'!$A$1:$O$113,15,0)),0,VLOOKUP($U$282,'TAR FIN'!$A$1:$O$113,15,0))</f>
        <v>365.5</v>
      </c>
      <c r="Y282" s="4">
        <f ca="1">('TUSD BE'!$AM$13+'TUSD BF'!$AM$13+'TUSD CVA'!$AM$13)*1</f>
        <v>73.082870326096639</v>
      </c>
      <c r="Z282" s="4">
        <f ca="1">('TUSD BE'!$AM$15+'TUSD BF'!$AM$15+'TUSD CVA'!$AM$15)*1</f>
        <v>65.007409626508434</v>
      </c>
      <c r="AA282" s="4">
        <f>('TE BE'!$AA$10+'TE BF'!$AA$10+'TE CVA'!$AA$10)*1</f>
        <v>361.55013418411539</v>
      </c>
      <c r="AB282" s="4">
        <f>$K$282*$V$282</f>
        <v>419990.26999999996</v>
      </c>
      <c r="AC282" s="4">
        <f>$M$282*$W$282</f>
        <v>12243.942510000001</v>
      </c>
      <c r="AD282" s="4">
        <f>$O$282*$X$282</f>
        <v>87286.151499999993</v>
      </c>
      <c r="AE282" s="4">
        <f ca="1">$K$282*$Y$282</f>
        <v>493236.2918308262</v>
      </c>
      <c r="AF282" s="4">
        <f ca="1">$M$282*$Z$282</f>
        <v>15524.614515135358</v>
      </c>
      <c r="AG282" s="4">
        <f>$O$282*$AA$282</f>
        <v>86342.87219491115</v>
      </c>
    </row>
    <row r="283" spans="1:33" ht="11.25" customHeight="1" x14ac:dyDescent="0.25">
      <c r="A283" s="3" t="s">
        <v>28</v>
      </c>
      <c r="B283" s="3" t="s">
        <v>41</v>
      </c>
      <c r="C283" s="3" t="s">
        <v>40</v>
      </c>
      <c r="D283" s="3" t="s">
        <v>43</v>
      </c>
      <c r="E283" s="3" t="s">
        <v>25</v>
      </c>
      <c r="F283" s="3" t="s">
        <v>25</v>
      </c>
      <c r="G283" s="3" t="s">
        <v>25</v>
      </c>
      <c r="H283" s="3" t="s">
        <v>34</v>
      </c>
      <c r="I283" s="6">
        <v>44440</v>
      </c>
      <c r="J283" s="4">
        <v>250</v>
      </c>
      <c r="K283" s="4">
        <v>250</v>
      </c>
      <c r="L283" s="4">
        <v>10.5</v>
      </c>
      <c r="M283" s="4">
        <v>10.5</v>
      </c>
      <c r="N283" s="4">
        <v>10.5</v>
      </c>
      <c r="O283" s="4">
        <v>10.5</v>
      </c>
      <c r="P283" s="4">
        <v>0</v>
      </c>
      <c r="Q283" s="3" t="s">
        <v>26</v>
      </c>
      <c r="R283" s="3">
        <v>0</v>
      </c>
      <c r="S283" s="4">
        <v>11</v>
      </c>
      <c r="T283" s="4">
        <v>110</v>
      </c>
      <c r="U283" s="4">
        <v>88</v>
      </c>
      <c r="V283" s="4">
        <f>IF(ISERROR(VLOOKUP($S$283,'TAR FIN'!$A$1:$O$113,15,0)),0,VLOOKUP($S$283,'TAR FIN'!$A$1:$O$113,15,0))</f>
        <v>62.23</v>
      </c>
      <c r="W283" s="4">
        <f>IF(ISERROR(VLOOKUP($T$283,'TAR FIN'!$A$1:$O$113,15,0)),0,VLOOKUP($T$283,'TAR FIN'!$A$1:$O$113,15,0))</f>
        <v>51.27</v>
      </c>
      <c r="X283" s="4">
        <f>IF(ISERROR(VLOOKUP($U$283,'TAR FIN'!$A$1:$O$113,15,0)),0,VLOOKUP($U$283,'TAR FIN'!$A$1:$O$113,15,0))</f>
        <v>365.5</v>
      </c>
      <c r="Y283" s="4">
        <f ca="1">('TUSD BE'!$AM$13+'TUSD BF'!$AM$13+'TUSD CVA'!$AM$13)*1</f>
        <v>73.082870326096639</v>
      </c>
      <c r="Z283" s="4">
        <f ca="1">('TUSD BE'!$AM$15+'TUSD BF'!$AM$15+'TUSD CVA'!$AM$15)*1</f>
        <v>65.007409626508434</v>
      </c>
      <c r="AA283" s="4">
        <f>('TE BE'!$AA$10+'TE BF'!$AA$10+'TE CVA'!$AA$10)*1</f>
        <v>361.55013418411539</v>
      </c>
      <c r="AB283" s="4">
        <f>$K$283*$V$283</f>
        <v>15557.5</v>
      </c>
      <c r="AC283" s="4">
        <f>$M$283*$W$283</f>
        <v>538.33500000000004</v>
      </c>
      <c r="AD283" s="4">
        <f>$O$283*$X$283</f>
        <v>3837.75</v>
      </c>
      <c r="AE283" s="4">
        <f ca="1">$K$283*$Y$283</f>
        <v>18270.717581524161</v>
      </c>
      <c r="AF283" s="4">
        <f ca="1">$M$283*$Z$283</f>
        <v>682.57780107833855</v>
      </c>
      <c r="AG283" s="4">
        <f>$O$283*$AA$283</f>
        <v>3796.2764089332118</v>
      </c>
    </row>
    <row r="284" spans="1:33" ht="11.25" customHeight="1" x14ac:dyDescent="0.25">
      <c r="A284" s="3" t="s">
        <v>21</v>
      </c>
      <c r="B284" s="3" t="s">
        <v>41</v>
      </c>
      <c r="C284" s="3" t="s">
        <v>40</v>
      </c>
      <c r="D284" s="3" t="s">
        <v>43</v>
      </c>
      <c r="E284" s="3" t="s">
        <v>25</v>
      </c>
      <c r="F284" s="3" t="s">
        <v>25</v>
      </c>
      <c r="G284" s="3" t="s">
        <v>25</v>
      </c>
      <c r="H284" s="3" t="s">
        <v>34</v>
      </c>
      <c r="I284" s="6">
        <v>44470</v>
      </c>
      <c r="J284" s="4">
        <v>7064</v>
      </c>
      <c r="K284" s="4">
        <v>7064</v>
      </c>
      <c r="L284" s="4">
        <v>247.87299999999999</v>
      </c>
      <c r="M284" s="4">
        <v>247.87299999999999</v>
      </c>
      <c r="N284" s="4">
        <v>247.87299999999999</v>
      </c>
      <c r="O284" s="4">
        <v>247.87299999999999</v>
      </c>
      <c r="P284" s="4">
        <v>0</v>
      </c>
      <c r="Q284" s="3" t="s">
        <v>26</v>
      </c>
      <c r="R284" s="3">
        <v>0</v>
      </c>
      <c r="S284" s="4">
        <v>11</v>
      </c>
      <c r="T284" s="4">
        <v>110</v>
      </c>
      <c r="U284" s="4">
        <v>88</v>
      </c>
      <c r="V284" s="4">
        <f>IF(ISERROR(VLOOKUP($S$284,'TAR FIN'!$A$1:$O$113,15,0)),0,VLOOKUP($S$284,'TAR FIN'!$A$1:$O$113,15,0))</f>
        <v>62.23</v>
      </c>
      <c r="W284" s="4">
        <f>IF(ISERROR(VLOOKUP($T$284,'TAR FIN'!$A$1:$O$113,15,0)),0,VLOOKUP($T$284,'TAR FIN'!$A$1:$O$113,15,0))</f>
        <v>51.27</v>
      </c>
      <c r="X284" s="4">
        <f>IF(ISERROR(VLOOKUP($U$284,'TAR FIN'!$A$1:$O$113,15,0)),0,VLOOKUP($U$284,'TAR FIN'!$A$1:$O$113,15,0))</f>
        <v>365.5</v>
      </c>
      <c r="Y284" s="4">
        <f ca="1">('TUSD BE'!$AM$13+'TUSD BF'!$AM$13+'TUSD CVA'!$AM$13)*1</f>
        <v>73.082870326096639</v>
      </c>
      <c r="Z284" s="4">
        <f ca="1">('TUSD BE'!$AM$15+'TUSD BF'!$AM$15+'TUSD CVA'!$AM$15)*1</f>
        <v>65.007409626508434</v>
      </c>
      <c r="AA284" s="4">
        <f>('TE BE'!$AA$10+'TE BF'!$AA$10+'TE CVA'!$AA$10)*1</f>
        <v>361.55013418411539</v>
      </c>
      <c r="AB284" s="4">
        <f>$K$284*$V$284</f>
        <v>439592.72</v>
      </c>
      <c r="AC284" s="4">
        <f>$M$284*$W$284</f>
        <v>12708.448710000001</v>
      </c>
      <c r="AD284" s="4">
        <f>$O$284*$X$284</f>
        <v>90597.5815</v>
      </c>
      <c r="AE284" s="4">
        <f ca="1">$K$284*$Y$284</f>
        <v>516257.39598354668</v>
      </c>
      <c r="AF284" s="4">
        <f ca="1">$M$284*$Z$284</f>
        <v>16113.581646351524</v>
      </c>
      <c r="AG284" s="4">
        <f>$O$284*$AA$284</f>
        <v>89618.516410619224</v>
      </c>
    </row>
    <row r="285" spans="1:33" ht="11.25" customHeight="1" x14ac:dyDescent="0.25">
      <c r="A285" s="3" t="s">
        <v>28</v>
      </c>
      <c r="B285" s="3" t="s">
        <v>41</v>
      </c>
      <c r="C285" s="3" t="s">
        <v>40</v>
      </c>
      <c r="D285" s="3" t="s">
        <v>43</v>
      </c>
      <c r="E285" s="3" t="s">
        <v>25</v>
      </c>
      <c r="F285" s="3" t="s">
        <v>25</v>
      </c>
      <c r="G285" s="3" t="s">
        <v>25</v>
      </c>
      <c r="H285" s="3" t="s">
        <v>34</v>
      </c>
      <c r="I285" s="6">
        <v>44470</v>
      </c>
      <c r="J285" s="4">
        <v>250</v>
      </c>
      <c r="K285" s="4">
        <v>250</v>
      </c>
      <c r="L285" s="4">
        <v>10.71</v>
      </c>
      <c r="M285" s="4">
        <v>10.71</v>
      </c>
      <c r="N285" s="4">
        <v>10.71</v>
      </c>
      <c r="O285" s="4">
        <v>10.71</v>
      </c>
      <c r="P285" s="4">
        <v>0</v>
      </c>
      <c r="Q285" s="3" t="s">
        <v>26</v>
      </c>
      <c r="R285" s="3">
        <v>0</v>
      </c>
      <c r="S285" s="4">
        <v>11</v>
      </c>
      <c r="T285" s="4">
        <v>110</v>
      </c>
      <c r="U285" s="4">
        <v>88</v>
      </c>
      <c r="V285" s="4">
        <f>IF(ISERROR(VLOOKUP($S$285,'TAR FIN'!$A$1:$O$113,15,0)),0,VLOOKUP($S$285,'TAR FIN'!$A$1:$O$113,15,0))</f>
        <v>62.23</v>
      </c>
      <c r="W285" s="4">
        <f>IF(ISERROR(VLOOKUP($T$285,'TAR FIN'!$A$1:$O$113,15,0)),0,VLOOKUP($T$285,'TAR FIN'!$A$1:$O$113,15,0))</f>
        <v>51.27</v>
      </c>
      <c r="X285" s="4">
        <f>IF(ISERROR(VLOOKUP($U$285,'TAR FIN'!$A$1:$O$113,15,0)),0,VLOOKUP($U$285,'TAR FIN'!$A$1:$O$113,15,0))</f>
        <v>365.5</v>
      </c>
      <c r="Y285" s="4">
        <f ca="1">('TUSD BE'!$AM$13+'TUSD BF'!$AM$13+'TUSD CVA'!$AM$13)*1</f>
        <v>73.082870326096639</v>
      </c>
      <c r="Z285" s="4">
        <f ca="1">('TUSD BE'!$AM$15+'TUSD BF'!$AM$15+'TUSD CVA'!$AM$15)*1</f>
        <v>65.007409626508434</v>
      </c>
      <c r="AA285" s="4">
        <f>('TE BE'!$AA$10+'TE BF'!$AA$10+'TE CVA'!$AA$10)*1</f>
        <v>361.55013418411539</v>
      </c>
      <c r="AB285" s="4">
        <f>$K$285*$V$285</f>
        <v>15557.5</v>
      </c>
      <c r="AC285" s="4">
        <f>$M$285*$W$285</f>
        <v>549.10170000000005</v>
      </c>
      <c r="AD285" s="4">
        <f>$O$285*$X$285</f>
        <v>3914.5050000000001</v>
      </c>
      <c r="AE285" s="4">
        <f ca="1">$K$285*$Y$285</f>
        <v>18270.717581524161</v>
      </c>
      <c r="AF285" s="4">
        <f ca="1">$M$285*$Z$285</f>
        <v>696.22935709990543</v>
      </c>
      <c r="AG285" s="4">
        <f>$O$285*$AA$285</f>
        <v>3872.2019371118763</v>
      </c>
    </row>
    <row r="286" spans="1:33" ht="11.25" customHeight="1" x14ac:dyDescent="0.25">
      <c r="A286" s="3" t="s">
        <v>21</v>
      </c>
      <c r="B286" s="3" t="s">
        <v>41</v>
      </c>
      <c r="C286" s="3" t="s">
        <v>40</v>
      </c>
      <c r="D286" s="3" t="s">
        <v>43</v>
      </c>
      <c r="E286" s="3" t="s">
        <v>25</v>
      </c>
      <c r="F286" s="3" t="s">
        <v>25</v>
      </c>
      <c r="G286" s="3" t="s">
        <v>25</v>
      </c>
      <c r="H286" s="3" t="s">
        <v>34</v>
      </c>
      <c r="I286" s="6">
        <v>44501</v>
      </c>
      <c r="J286" s="4">
        <v>7049</v>
      </c>
      <c r="K286" s="4">
        <v>7049</v>
      </c>
      <c r="L286" s="4">
        <v>251.01900000000001</v>
      </c>
      <c r="M286" s="4">
        <v>251.01900000000001</v>
      </c>
      <c r="N286" s="4">
        <v>251.01900000000001</v>
      </c>
      <c r="O286" s="4">
        <v>251.01900000000001</v>
      </c>
      <c r="P286" s="4">
        <v>0</v>
      </c>
      <c r="Q286" s="3" t="s">
        <v>26</v>
      </c>
      <c r="R286" s="3">
        <v>0</v>
      </c>
      <c r="S286" s="4">
        <v>11</v>
      </c>
      <c r="T286" s="4">
        <v>110</v>
      </c>
      <c r="U286" s="4">
        <v>88</v>
      </c>
      <c r="V286" s="4">
        <f>IF(ISERROR(VLOOKUP($S$286,'TAR FIN'!$A$1:$O$113,15,0)),0,VLOOKUP($S$286,'TAR FIN'!$A$1:$O$113,15,0))</f>
        <v>62.23</v>
      </c>
      <c r="W286" s="4">
        <f>IF(ISERROR(VLOOKUP($T$286,'TAR FIN'!$A$1:$O$113,15,0)),0,VLOOKUP($T$286,'TAR FIN'!$A$1:$O$113,15,0))</f>
        <v>51.27</v>
      </c>
      <c r="X286" s="4">
        <f>IF(ISERROR(VLOOKUP($U$286,'TAR FIN'!$A$1:$O$113,15,0)),0,VLOOKUP($U$286,'TAR FIN'!$A$1:$O$113,15,0))</f>
        <v>365.5</v>
      </c>
      <c r="Y286" s="4">
        <f ca="1">('TUSD BE'!$AM$13+'TUSD BF'!$AM$13+'TUSD CVA'!$AM$13)*1</f>
        <v>73.082870326096639</v>
      </c>
      <c r="Z286" s="4">
        <f ca="1">('TUSD BE'!$AM$15+'TUSD BF'!$AM$15+'TUSD CVA'!$AM$15)*1</f>
        <v>65.007409626508434</v>
      </c>
      <c r="AA286" s="4">
        <f>('TE BE'!$AA$10+'TE BF'!$AA$10+'TE CVA'!$AA$10)*1</f>
        <v>361.55013418411539</v>
      </c>
      <c r="AB286" s="4">
        <f>$K$286*$V$286</f>
        <v>438659.26999999996</v>
      </c>
      <c r="AC286" s="4">
        <f>$M$286*$W$286</f>
        <v>12869.744130000001</v>
      </c>
      <c r="AD286" s="4">
        <f>$O$286*$X$286</f>
        <v>91747.444499999998</v>
      </c>
      <c r="AE286" s="4">
        <f ca="1">$K$286*$Y$286</f>
        <v>515161.15292865521</v>
      </c>
      <c r="AF286" s="4">
        <f ca="1">$M$286*$Z$286</f>
        <v>16318.094957036521</v>
      </c>
      <c r="AG286" s="4">
        <f>$O$286*$AA$286</f>
        <v>90755.953132762457</v>
      </c>
    </row>
    <row r="287" spans="1:33" ht="11.25" customHeight="1" x14ac:dyDescent="0.25">
      <c r="A287" s="3" t="s">
        <v>21</v>
      </c>
      <c r="B287" s="3" t="s">
        <v>41</v>
      </c>
      <c r="C287" s="3" t="s">
        <v>40</v>
      </c>
      <c r="D287" s="3" t="s">
        <v>43</v>
      </c>
      <c r="E287" s="3" t="s">
        <v>25</v>
      </c>
      <c r="F287" s="3" t="s">
        <v>25</v>
      </c>
      <c r="G287" s="3" t="s">
        <v>25</v>
      </c>
      <c r="H287" s="3" t="s">
        <v>34</v>
      </c>
      <c r="I287" s="6">
        <v>44531</v>
      </c>
      <c r="J287" s="4">
        <v>7020</v>
      </c>
      <c r="K287" s="4">
        <v>7020</v>
      </c>
      <c r="L287" s="4">
        <v>285.47399999999999</v>
      </c>
      <c r="M287" s="4">
        <v>285.47399999999999</v>
      </c>
      <c r="N287" s="4">
        <v>285.47399999999999</v>
      </c>
      <c r="O287" s="4">
        <v>285.47399999999999</v>
      </c>
      <c r="P287" s="4">
        <v>0</v>
      </c>
      <c r="Q287" s="3" t="s">
        <v>26</v>
      </c>
      <c r="R287" s="3">
        <v>0</v>
      </c>
      <c r="S287" s="4">
        <v>11</v>
      </c>
      <c r="T287" s="4">
        <v>110</v>
      </c>
      <c r="U287" s="4">
        <v>88</v>
      </c>
      <c r="V287" s="4">
        <f>IF(ISERROR(VLOOKUP($S$287,'TAR FIN'!$A$1:$O$113,15,0)),0,VLOOKUP($S$287,'TAR FIN'!$A$1:$O$113,15,0))</f>
        <v>62.23</v>
      </c>
      <c r="W287" s="4">
        <f>IF(ISERROR(VLOOKUP($T$287,'TAR FIN'!$A$1:$O$113,15,0)),0,VLOOKUP($T$287,'TAR FIN'!$A$1:$O$113,15,0))</f>
        <v>51.27</v>
      </c>
      <c r="X287" s="4">
        <f>IF(ISERROR(VLOOKUP($U$287,'TAR FIN'!$A$1:$O$113,15,0)),0,VLOOKUP($U$287,'TAR FIN'!$A$1:$O$113,15,0))</f>
        <v>365.5</v>
      </c>
      <c r="Y287" s="4">
        <f ca="1">('TUSD BE'!$AM$13+'TUSD BF'!$AM$13+'TUSD CVA'!$AM$13)*1</f>
        <v>73.082870326096639</v>
      </c>
      <c r="Z287" s="4">
        <f ca="1">('TUSD BE'!$AM$15+'TUSD BF'!$AM$15+'TUSD CVA'!$AM$15)*1</f>
        <v>65.007409626508434</v>
      </c>
      <c r="AA287" s="4">
        <f>('TE BE'!$AA$10+'TE BF'!$AA$10+'TE CVA'!$AA$10)*1</f>
        <v>361.55013418411539</v>
      </c>
      <c r="AB287" s="4">
        <f>$K$287*$V$287</f>
        <v>436854.6</v>
      </c>
      <c r="AC287" s="4">
        <f>$M$287*$W$287</f>
        <v>14636.251980000001</v>
      </c>
      <c r="AD287" s="4">
        <f>$O$287*$X$287</f>
        <v>104340.747</v>
      </c>
      <c r="AE287" s="4">
        <f ca="1">$K$287*$Y$287</f>
        <v>513041.74968919839</v>
      </c>
      <c r="AF287" s="4">
        <f ca="1">$M$287*$Z$287</f>
        <v>18557.925255717866</v>
      </c>
      <c r="AG287" s="4">
        <f>$O$287*$AA$287</f>
        <v>103213.16300607615</v>
      </c>
    </row>
    <row r="288" spans="1:33" ht="11.25" customHeight="1" x14ac:dyDescent="0.25">
      <c r="A288" s="3" t="s">
        <v>21</v>
      </c>
      <c r="B288" s="3" t="s">
        <v>41</v>
      </c>
      <c r="C288" s="3" t="s">
        <v>40</v>
      </c>
      <c r="D288" s="3" t="s">
        <v>43</v>
      </c>
      <c r="E288" s="3" t="s">
        <v>25</v>
      </c>
      <c r="F288" s="3" t="s">
        <v>25</v>
      </c>
      <c r="G288" s="3" t="s">
        <v>25</v>
      </c>
      <c r="H288" s="3" t="s">
        <v>34</v>
      </c>
      <c r="I288" s="6">
        <v>44562</v>
      </c>
      <c r="J288" s="4">
        <v>6939</v>
      </c>
      <c r="K288" s="4">
        <v>6939</v>
      </c>
      <c r="L288" s="4">
        <v>274.18099999999998</v>
      </c>
      <c r="M288" s="4">
        <v>274.18099999999998</v>
      </c>
      <c r="N288" s="4">
        <v>274.18099999999998</v>
      </c>
      <c r="O288" s="4">
        <v>274.18099999999998</v>
      </c>
      <c r="P288" s="4">
        <v>0</v>
      </c>
      <c r="Q288" s="3" t="s">
        <v>26</v>
      </c>
      <c r="R288" s="3">
        <v>0</v>
      </c>
      <c r="S288" s="4">
        <v>11</v>
      </c>
      <c r="T288" s="4">
        <v>110</v>
      </c>
      <c r="U288" s="4">
        <v>88</v>
      </c>
      <c r="V288" s="4">
        <f>IF(ISERROR(VLOOKUP($S$288,'TAR FIN'!$A$1:$O$113,15,0)),0,VLOOKUP($S$288,'TAR FIN'!$A$1:$O$113,15,0))</f>
        <v>62.23</v>
      </c>
      <c r="W288" s="4">
        <f>IF(ISERROR(VLOOKUP($T$288,'TAR FIN'!$A$1:$O$113,15,0)),0,VLOOKUP($T$288,'TAR FIN'!$A$1:$O$113,15,0))</f>
        <v>51.27</v>
      </c>
      <c r="X288" s="4">
        <f>IF(ISERROR(VLOOKUP($U$288,'TAR FIN'!$A$1:$O$113,15,0)),0,VLOOKUP($U$288,'TAR FIN'!$A$1:$O$113,15,0))</f>
        <v>365.5</v>
      </c>
      <c r="Y288" s="4">
        <f ca="1">('TUSD BE'!$AM$13+'TUSD BF'!$AM$13+'TUSD CVA'!$AM$13)*1</f>
        <v>73.082870326096639</v>
      </c>
      <c r="Z288" s="4">
        <f ca="1">('TUSD BE'!$AM$15+'TUSD BF'!$AM$15+'TUSD CVA'!$AM$15)*1</f>
        <v>65.007409626508434</v>
      </c>
      <c r="AA288" s="4">
        <f>('TE BE'!$AA$10+'TE BF'!$AA$10+'TE CVA'!$AA$10)*1</f>
        <v>361.55013418411539</v>
      </c>
      <c r="AB288" s="4">
        <f>$K$288*$V$288</f>
        <v>431813.97</v>
      </c>
      <c r="AC288" s="4">
        <f>$M$288*$W$288</f>
        <v>14057.25987</v>
      </c>
      <c r="AD288" s="4">
        <f>$O$288*$X$288</f>
        <v>100213.15549999999</v>
      </c>
      <c r="AE288" s="4">
        <f ca="1">$K$288*$Y$288</f>
        <v>507122.0371927846</v>
      </c>
      <c r="AF288" s="4">
        <f ca="1">$M$288*$Z$288</f>
        <v>17823.796578805708</v>
      </c>
      <c r="AG288" s="4">
        <f>$O$288*$AA$288</f>
        <v>99130.177340734939</v>
      </c>
    </row>
    <row r="289" spans="1:33" ht="11.25" customHeight="1" x14ac:dyDescent="0.25">
      <c r="A289" s="3" t="s">
        <v>28</v>
      </c>
      <c r="B289" s="3" t="s">
        <v>41</v>
      </c>
      <c r="C289" s="3" t="s">
        <v>40</v>
      </c>
      <c r="D289" s="3" t="s">
        <v>43</v>
      </c>
      <c r="E289" s="3" t="s">
        <v>25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75</v>
      </c>
      <c r="K289" s="4">
        <v>75</v>
      </c>
      <c r="L289" s="4">
        <v>2.786</v>
      </c>
      <c r="M289" s="4">
        <v>2.786</v>
      </c>
      <c r="N289" s="4">
        <v>2.786</v>
      </c>
      <c r="O289" s="4">
        <v>2.786</v>
      </c>
      <c r="P289" s="4">
        <v>0</v>
      </c>
      <c r="Q289" s="3" t="s">
        <v>26</v>
      </c>
      <c r="R289" s="3">
        <v>0</v>
      </c>
      <c r="S289" s="4">
        <v>11</v>
      </c>
      <c r="T289" s="4">
        <v>110</v>
      </c>
      <c r="U289" s="4">
        <v>88</v>
      </c>
      <c r="V289" s="4">
        <f>IF(ISERROR(VLOOKUP($S$289,'TAR FIN'!$A$1:$O$113,15,0)),0,VLOOKUP($S$289,'TAR FIN'!$A$1:$O$113,15,0))</f>
        <v>62.23</v>
      </c>
      <c r="W289" s="4">
        <f>IF(ISERROR(VLOOKUP($T$289,'TAR FIN'!$A$1:$O$113,15,0)),0,VLOOKUP($T$289,'TAR FIN'!$A$1:$O$113,15,0))</f>
        <v>51.27</v>
      </c>
      <c r="X289" s="4">
        <f>IF(ISERROR(VLOOKUP($U$289,'TAR FIN'!$A$1:$O$113,15,0)),0,VLOOKUP($U$289,'TAR FIN'!$A$1:$O$113,15,0))</f>
        <v>365.5</v>
      </c>
      <c r="Y289" s="4">
        <f ca="1">('TUSD BE'!$AM$13+'TUSD BF'!$AM$13+'TUSD CVA'!$AM$13)*1</f>
        <v>73.082870326096639</v>
      </c>
      <c r="Z289" s="4">
        <f ca="1">('TUSD BE'!$AM$15+'TUSD BF'!$AM$15+'TUSD CVA'!$AM$15)*1</f>
        <v>65.007409626508434</v>
      </c>
      <c r="AA289" s="4">
        <f>('TE BE'!$AA$10+'TE BF'!$AA$10+'TE CVA'!$AA$10)*1</f>
        <v>361.55013418411539</v>
      </c>
      <c r="AB289" s="4">
        <f>$K$289*$V$289</f>
        <v>4667.25</v>
      </c>
      <c r="AC289" s="4">
        <f>$M$289*$W$289</f>
        <v>142.83822000000001</v>
      </c>
      <c r="AD289" s="4">
        <f>$O$289*$X$289</f>
        <v>1018.283</v>
      </c>
      <c r="AE289" s="4">
        <f ca="1">$K$289*$Y$289</f>
        <v>5481.2152744572477</v>
      </c>
      <c r="AF289" s="4">
        <f ca="1">$M$289*$Z$289</f>
        <v>181.1106432194525</v>
      </c>
      <c r="AG289" s="4">
        <f>$O$289*$AA$289</f>
        <v>1007.2786738369455</v>
      </c>
    </row>
    <row r="290" spans="1:33" ht="11.25" customHeight="1" x14ac:dyDescent="0.25">
      <c r="A290" s="3" t="s">
        <v>21</v>
      </c>
      <c r="B290" s="3" t="s">
        <v>41</v>
      </c>
      <c r="C290" s="3" t="s">
        <v>40</v>
      </c>
      <c r="D290" s="3" t="s">
        <v>43</v>
      </c>
      <c r="E290" s="3" t="s">
        <v>25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7064</v>
      </c>
      <c r="K290" s="4">
        <v>7064</v>
      </c>
      <c r="L290" s="4">
        <v>267.75</v>
      </c>
      <c r="M290" s="4">
        <v>267.75</v>
      </c>
      <c r="N290" s="4">
        <v>267.75</v>
      </c>
      <c r="O290" s="4">
        <v>267.75</v>
      </c>
      <c r="P290" s="4">
        <v>0</v>
      </c>
      <c r="Q290" s="3" t="s">
        <v>26</v>
      </c>
      <c r="R290" s="3">
        <v>0</v>
      </c>
      <c r="S290" s="4">
        <v>11</v>
      </c>
      <c r="T290" s="4">
        <v>110</v>
      </c>
      <c r="U290" s="4">
        <v>88</v>
      </c>
      <c r="V290" s="4">
        <f>IF(ISERROR(VLOOKUP($S$290,'TAR FIN'!$A$1:$O$113,15,0)),0,VLOOKUP($S$290,'TAR FIN'!$A$1:$O$113,15,0))</f>
        <v>62.23</v>
      </c>
      <c r="W290" s="4">
        <f>IF(ISERROR(VLOOKUP($T$290,'TAR FIN'!$A$1:$O$113,15,0)),0,VLOOKUP($T$290,'TAR FIN'!$A$1:$O$113,15,0))</f>
        <v>51.27</v>
      </c>
      <c r="X290" s="4">
        <f>IF(ISERROR(VLOOKUP($U$290,'TAR FIN'!$A$1:$O$113,15,0)),0,VLOOKUP($U$290,'TAR FIN'!$A$1:$O$113,15,0))</f>
        <v>365.5</v>
      </c>
      <c r="Y290" s="4">
        <f ca="1">('TUSD BE'!$AM$13+'TUSD BF'!$AM$13+'TUSD CVA'!$AM$13)*1</f>
        <v>73.082870326096639</v>
      </c>
      <c r="Z290" s="4">
        <f ca="1">('TUSD BE'!$AM$15+'TUSD BF'!$AM$15+'TUSD CVA'!$AM$15)*1</f>
        <v>65.007409626508434</v>
      </c>
      <c r="AA290" s="4">
        <f>('TE BE'!$AA$10+'TE BF'!$AA$10+'TE CVA'!$AA$10)*1</f>
        <v>361.55013418411539</v>
      </c>
      <c r="AB290" s="4">
        <f>$K$290*$V$290</f>
        <v>439592.72</v>
      </c>
      <c r="AC290" s="4">
        <f>$M$290*$W$290</f>
        <v>13727.542500000001</v>
      </c>
      <c r="AD290" s="4">
        <f>$O$290*$X$290</f>
        <v>97862.625</v>
      </c>
      <c r="AE290" s="4">
        <f ca="1">$K$290*$Y$290</f>
        <v>516257.39598354668</v>
      </c>
      <c r="AF290" s="4">
        <f ca="1">$M$290*$Z$290</f>
        <v>17405.733927497633</v>
      </c>
      <c r="AG290" s="4">
        <f>$O$290*$AA$290</f>
        <v>96805.048427796894</v>
      </c>
    </row>
    <row r="291" spans="1:33" ht="11.25" customHeight="1" x14ac:dyDescent="0.25">
      <c r="A291" s="3" t="s">
        <v>27</v>
      </c>
      <c r="B291" s="3" t="s">
        <v>41</v>
      </c>
      <c r="C291" s="3" t="s">
        <v>40</v>
      </c>
      <c r="D291" s="3" t="s">
        <v>43</v>
      </c>
      <c r="E291" s="3" t="s">
        <v>25</v>
      </c>
      <c r="F291" s="3" t="s">
        <v>25</v>
      </c>
      <c r="G291" s="3" t="s">
        <v>25</v>
      </c>
      <c r="H291" s="3" t="s">
        <v>34</v>
      </c>
      <c r="I291" s="6">
        <v>44593</v>
      </c>
      <c r="J291" s="4">
        <v>80</v>
      </c>
      <c r="K291" s="4">
        <v>80</v>
      </c>
      <c r="L291" s="4">
        <v>4.4420000000000002</v>
      </c>
      <c r="M291" s="4">
        <v>4.4420000000000002</v>
      </c>
      <c r="N291" s="4">
        <v>4.4420000000000002</v>
      </c>
      <c r="O291" s="4">
        <v>4.4420000000000002</v>
      </c>
      <c r="P291" s="4">
        <v>0</v>
      </c>
      <c r="Q291" s="3" t="s">
        <v>26</v>
      </c>
      <c r="R291" s="3">
        <v>0</v>
      </c>
      <c r="S291" s="4">
        <v>11</v>
      </c>
      <c r="T291" s="4">
        <v>110</v>
      </c>
      <c r="U291" s="4">
        <v>88</v>
      </c>
      <c r="V291" s="4">
        <f>IF(ISERROR(VLOOKUP($S$291,'TAR FIN'!$A$1:$O$113,15,0)),0,VLOOKUP($S$291,'TAR FIN'!$A$1:$O$113,15,0))</f>
        <v>62.23</v>
      </c>
      <c r="W291" s="4">
        <f>IF(ISERROR(VLOOKUP($T$291,'TAR FIN'!$A$1:$O$113,15,0)),0,VLOOKUP($T$291,'TAR FIN'!$A$1:$O$113,15,0))</f>
        <v>51.27</v>
      </c>
      <c r="X291" s="4">
        <f>IF(ISERROR(VLOOKUP($U$291,'TAR FIN'!$A$1:$O$113,15,0)),0,VLOOKUP($U$291,'TAR FIN'!$A$1:$O$113,15,0))</f>
        <v>365.5</v>
      </c>
      <c r="Y291" s="4">
        <f ca="1">('TUSD BE'!$AM$13+'TUSD BF'!$AM$13+'TUSD CVA'!$AM$13)*1</f>
        <v>73.082870326096639</v>
      </c>
      <c r="Z291" s="4">
        <f ca="1">('TUSD BE'!$AM$15+'TUSD BF'!$AM$15+'TUSD CVA'!$AM$15)*1</f>
        <v>65.007409626508434</v>
      </c>
      <c r="AA291" s="4">
        <f>('TE BE'!$AA$10+'TE BF'!$AA$10+'TE CVA'!$AA$10)*1</f>
        <v>361.55013418411539</v>
      </c>
      <c r="AB291" s="4">
        <f>$K$291*$V$291</f>
        <v>4978.3999999999996</v>
      </c>
      <c r="AC291" s="4">
        <f>$M$291*$W$291</f>
        <v>227.74134000000004</v>
      </c>
      <c r="AD291" s="4">
        <f>$O$291*$X$291</f>
        <v>1623.5510000000002</v>
      </c>
      <c r="AE291" s="4">
        <f ca="1">$K$291*$Y$291</f>
        <v>5846.6296260877316</v>
      </c>
      <c r="AF291" s="4">
        <f ca="1">$M$291*$Z$291</f>
        <v>288.76291356095049</v>
      </c>
      <c r="AG291" s="4">
        <f>$O$291*$AA$291</f>
        <v>1606.0056960458408</v>
      </c>
    </row>
    <row r="292" spans="1:33" ht="11.25" customHeight="1" x14ac:dyDescent="0.25">
      <c r="A292" s="3" t="s">
        <v>56</v>
      </c>
      <c r="B292" s="3" t="s">
        <v>41</v>
      </c>
      <c r="C292" s="3" t="s">
        <v>40</v>
      </c>
      <c r="D292" s="3" t="s">
        <v>43</v>
      </c>
      <c r="E292" s="3" t="s">
        <v>25</v>
      </c>
      <c r="F292" s="3" t="s">
        <v>25</v>
      </c>
      <c r="G292" s="3" t="s">
        <v>25</v>
      </c>
      <c r="H292" s="3" t="s">
        <v>34</v>
      </c>
      <c r="I292" s="6">
        <v>44621</v>
      </c>
      <c r="J292" s="4">
        <v>7064</v>
      </c>
      <c r="K292" s="4">
        <v>7064</v>
      </c>
      <c r="L292" s="4">
        <v>267.75</v>
      </c>
      <c r="M292" s="4">
        <v>267.75</v>
      </c>
      <c r="N292" s="4">
        <v>267.75</v>
      </c>
      <c r="O292" s="4">
        <v>267.75</v>
      </c>
      <c r="P292" s="4">
        <v>0</v>
      </c>
      <c r="Q292" s="3" t="s">
        <v>26</v>
      </c>
      <c r="R292" s="3">
        <v>0</v>
      </c>
      <c r="S292" s="4">
        <v>11</v>
      </c>
      <c r="T292" s="4">
        <v>110</v>
      </c>
      <c r="U292" s="4">
        <v>88</v>
      </c>
      <c r="V292" s="4">
        <f>IF(ISERROR(VLOOKUP($S$292,'TAR FIN'!$A$1:$O$113,15,0)),0,VLOOKUP($S$292,'TAR FIN'!$A$1:$O$113,15,0))</f>
        <v>62.23</v>
      </c>
      <c r="W292" s="4">
        <f>IF(ISERROR(VLOOKUP($T$292,'TAR FIN'!$A$1:$O$113,15,0)),0,VLOOKUP($T$292,'TAR FIN'!$A$1:$O$113,15,0))</f>
        <v>51.27</v>
      </c>
      <c r="X292" s="4">
        <f>IF(ISERROR(VLOOKUP($U$292,'TAR FIN'!$A$1:$O$113,15,0)),0,VLOOKUP($U$292,'TAR FIN'!$A$1:$O$113,15,0))</f>
        <v>365.5</v>
      </c>
      <c r="Y292" s="4">
        <f ca="1">('TUSD BE'!$AM$13+'TUSD BF'!$AM$13+'TUSD CVA'!$AM$13)*1</f>
        <v>73.082870326096639</v>
      </c>
      <c r="Z292" s="4">
        <f ca="1">('TUSD BE'!$AM$15+'TUSD BF'!$AM$15+'TUSD CVA'!$AM$15)*1</f>
        <v>65.007409626508434</v>
      </c>
      <c r="AA292" s="4">
        <f>('TE BE'!$AA$10+'TE BF'!$AA$10+'TE CVA'!$AA$10)*1</f>
        <v>361.55013418411539</v>
      </c>
      <c r="AB292" s="4">
        <f>$K$292*$V$292</f>
        <v>439592.72</v>
      </c>
      <c r="AC292" s="4">
        <f>$M$292*$W$292</f>
        <v>13727.542500000001</v>
      </c>
      <c r="AD292" s="4">
        <f>$O$292*$X$292</f>
        <v>97862.625</v>
      </c>
      <c r="AE292" s="4">
        <f ca="1">$K$292*$Y$292</f>
        <v>516257.39598354668</v>
      </c>
      <c r="AF292" s="4">
        <f ca="1">$M$292*$Z$292</f>
        <v>17405.733927497633</v>
      </c>
      <c r="AG292" s="4">
        <f>$O$292*$AA$292</f>
        <v>96805.048427796894</v>
      </c>
    </row>
    <row r="293" spans="1:33" ht="11.25" customHeight="1" x14ac:dyDescent="0.25">
      <c r="A293" s="3" t="s">
        <v>56</v>
      </c>
      <c r="B293" s="3" t="s">
        <v>41</v>
      </c>
      <c r="C293" s="3" t="s">
        <v>40</v>
      </c>
      <c r="D293" s="3" t="s">
        <v>43</v>
      </c>
      <c r="E293" s="3" t="s">
        <v>25</v>
      </c>
      <c r="F293" s="3" t="s">
        <v>25</v>
      </c>
      <c r="G293" s="3" t="s">
        <v>25</v>
      </c>
      <c r="H293" s="3" t="s">
        <v>34</v>
      </c>
      <c r="I293" s="6">
        <v>44621</v>
      </c>
      <c r="J293" s="4">
        <v>80</v>
      </c>
      <c r="K293" s="4">
        <v>80</v>
      </c>
      <c r="L293" s="4">
        <v>4.4420000000000002</v>
      </c>
      <c r="M293" s="4">
        <v>4.4420000000000002</v>
      </c>
      <c r="N293" s="4">
        <v>4.4420000000000002</v>
      </c>
      <c r="O293" s="4">
        <v>4.4420000000000002</v>
      </c>
      <c r="P293" s="4">
        <v>0</v>
      </c>
      <c r="Q293" s="3" t="s">
        <v>26</v>
      </c>
      <c r="R293" s="3">
        <v>0</v>
      </c>
      <c r="S293" s="4">
        <v>11</v>
      </c>
      <c r="T293" s="4">
        <v>110</v>
      </c>
      <c r="U293" s="4">
        <v>88</v>
      </c>
      <c r="V293" s="4">
        <f>IF(ISERROR(VLOOKUP($S$293,'TAR FIN'!$A$1:$O$113,15,0)),0,VLOOKUP($S$293,'TAR FIN'!$A$1:$O$113,15,0))</f>
        <v>62.23</v>
      </c>
      <c r="W293" s="4">
        <f>IF(ISERROR(VLOOKUP($T$293,'TAR FIN'!$A$1:$O$113,15,0)),0,VLOOKUP($T$293,'TAR FIN'!$A$1:$O$113,15,0))</f>
        <v>51.27</v>
      </c>
      <c r="X293" s="4">
        <f>IF(ISERROR(VLOOKUP($U$293,'TAR FIN'!$A$1:$O$113,15,0)),0,VLOOKUP($U$293,'TAR FIN'!$A$1:$O$113,15,0))</f>
        <v>365.5</v>
      </c>
      <c r="Y293" s="4">
        <f ca="1">('TUSD BE'!$AM$13+'TUSD BF'!$AM$13+'TUSD CVA'!$AM$13)*1</f>
        <v>73.082870326096639</v>
      </c>
      <c r="Z293" s="4">
        <f ca="1">('TUSD BE'!$AM$15+'TUSD BF'!$AM$15+'TUSD CVA'!$AM$15)*1</f>
        <v>65.007409626508434</v>
      </c>
      <c r="AA293" s="4">
        <f>('TE BE'!$AA$10+'TE BF'!$AA$10+'TE CVA'!$AA$10)*1</f>
        <v>361.55013418411539</v>
      </c>
      <c r="AB293" s="4">
        <f>$K$293*$V$293</f>
        <v>4978.3999999999996</v>
      </c>
      <c r="AC293" s="4">
        <f>$M$293*$W$293</f>
        <v>227.74134000000004</v>
      </c>
      <c r="AD293" s="4">
        <f>$O$293*$X$293</f>
        <v>1623.5510000000002</v>
      </c>
      <c r="AE293" s="4">
        <f ca="1">$K$293*$Y$293</f>
        <v>5846.6296260877316</v>
      </c>
      <c r="AF293" s="4">
        <f ca="1">$M$293*$Z$293</f>
        <v>288.76291356095049</v>
      </c>
      <c r="AG293" s="4">
        <f>$O$293*$AA$293</f>
        <v>1606.0056960458408</v>
      </c>
    </row>
    <row r="294" spans="1:33" ht="11.25" customHeight="1" x14ac:dyDescent="0.25">
      <c r="A294" s="3" t="s">
        <v>21</v>
      </c>
      <c r="B294" s="3" t="s">
        <v>41</v>
      </c>
      <c r="C294" s="3" t="s">
        <v>40</v>
      </c>
      <c r="D294" s="3" t="s">
        <v>38</v>
      </c>
      <c r="E294" s="3" t="s">
        <v>25</v>
      </c>
      <c r="F294" s="3" t="s">
        <v>60</v>
      </c>
      <c r="G294" s="3" t="s">
        <v>25</v>
      </c>
      <c r="H294" s="3" t="s">
        <v>35</v>
      </c>
      <c r="I294" s="6">
        <v>44287</v>
      </c>
      <c r="J294" s="4">
        <v>25789</v>
      </c>
      <c r="K294" s="4">
        <v>13282.53083593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3" t="s">
        <v>57</v>
      </c>
      <c r="R294" s="3">
        <v>0</v>
      </c>
      <c r="S294" s="4">
        <v>12</v>
      </c>
      <c r="T294" s="4">
        <v>0</v>
      </c>
      <c r="U294" s="4">
        <v>0</v>
      </c>
      <c r="V294" s="4">
        <f>IF(ISERROR(VLOOKUP($S$294,'TAR FIN'!$A$1:$O$113,15,0)),0,VLOOKUP($S$294,'TAR FIN'!$A$1:$O$113,15,0))</f>
        <v>24.31</v>
      </c>
      <c r="W294" s="4">
        <f>IF(ISERROR(VLOOKUP($T$294,'TAR FIN'!$A$1:$O$113,15,0)),0,VLOOKUP($T$294,'TAR FIN'!$A$1:$O$113,15,0))</f>
        <v>0</v>
      </c>
      <c r="X294" s="4">
        <f>IF(ISERROR(VLOOKUP($U$294,'TAR FIN'!$A$1:$O$113,15,0)),0,VLOOKUP($U$294,'TAR FIN'!$A$1:$O$113,15,0))</f>
        <v>0</v>
      </c>
      <c r="Y294" s="4">
        <f ca="1">('TUSD BE'!$AM$14+'TUSD BF'!$AM$14+'TUSD CVA'!$AM$14)*1</f>
        <v>26.598074646640526</v>
      </c>
      <c r="Z294" s="4">
        <f ca="1">('TUSD BE'!$AM$15+'TUSD BF'!$AM$15+'TUSD CVA'!$AM$15)*1</f>
        <v>65.007409626508434</v>
      </c>
      <c r="AA294" s="4"/>
      <c r="AB294" s="4">
        <f>$K$294*$V$294</f>
        <v>322898.32462145831</v>
      </c>
      <c r="AC294" s="4">
        <f>$M$294*$W$294</f>
        <v>0</v>
      </c>
      <c r="AD294" s="4">
        <f>$O$294*$X$294</f>
        <v>0</v>
      </c>
      <c r="AE294" s="4">
        <f ca="1">$K$294*$Y$294</f>
        <v>353289.74667037075</v>
      </c>
      <c r="AF294" s="4">
        <f ca="1">$M$294*$Z$294</f>
        <v>0</v>
      </c>
      <c r="AG294" s="4">
        <f>$O$294*$AA$294</f>
        <v>0</v>
      </c>
    </row>
    <row r="295" spans="1:33" ht="11.25" customHeight="1" x14ac:dyDescent="0.25">
      <c r="A295" s="3" t="s">
        <v>21</v>
      </c>
      <c r="B295" s="3" t="s">
        <v>41</v>
      </c>
      <c r="C295" s="3" t="s">
        <v>40</v>
      </c>
      <c r="D295" s="3" t="s">
        <v>38</v>
      </c>
      <c r="E295" s="3" t="s">
        <v>25</v>
      </c>
      <c r="F295" s="3" t="s">
        <v>60</v>
      </c>
      <c r="G295" s="3" t="s">
        <v>25</v>
      </c>
      <c r="H295" s="3" t="s">
        <v>35</v>
      </c>
      <c r="I295" s="6">
        <v>44317</v>
      </c>
      <c r="J295" s="4">
        <v>25686</v>
      </c>
      <c r="K295" s="4">
        <v>13354.910421299999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3" t="s">
        <v>57</v>
      </c>
      <c r="R295" s="3">
        <v>0</v>
      </c>
      <c r="S295" s="4">
        <v>12</v>
      </c>
      <c r="T295" s="4">
        <v>0</v>
      </c>
      <c r="U295" s="4">
        <v>0</v>
      </c>
      <c r="V295" s="4">
        <f>IF(ISERROR(VLOOKUP($S$295,'TAR FIN'!$A$1:$O$113,15,0)),0,VLOOKUP($S$295,'TAR FIN'!$A$1:$O$113,15,0))</f>
        <v>24.31</v>
      </c>
      <c r="W295" s="4">
        <f>IF(ISERROR(VLOOKUP($T$295,'TAR FIN'!$A$1:$O$113,15,0)),0,VLOOKUP($T$295,'TAR FIN'!$A$1:$O$113,15,0))</f>
        <v>0</v>
      </c>
      <c r="X295" s="4">
        <f>IF(ISERROR(VLOOKUP($U$295,'TAR FIN'!$A$1:$O$113,15,0)),0,VLOOKUP($U$295,'TAR FIN'!$A$1:$O$113,15,0))</f>
        <v>0</v>
      </c>
      <c r="Y295" s="4">
        <f ca="1">('TUSD BE'!$AM$14+'TUSD BF'!$AM$14+'TUSD CVA'!$AM$14)*1</f>
        <v>26.598074646640526</v>
      </c>
      <c r="Z295" s="4">
        <f ca="1">('TUSD BE'!$AM$15+'TUSD BF'!$AM$15+'TUSD CVA'!$AM$15)*1</f>
        <v>65.007409626508434</v>
      </c>
      <c r="AA295" s="4"/>
      <c r="AB295" s="4">
        <f>$K$295*$V$295</f>
        <v>324657.87234180298</v>
      </c>
      <c r="AC295" s="4">
        <f>$M$295*$W$295</f>
        <v>0</v>
      </c>
      <c r="AD295" s="4">
        <f>$O$295*$X$295</f>
        <v>0</v>
      </c>
      <c r="AE295" s="4">
        <f ca="1">$K$295*$Y$295</f>
        <v>355214.90428493486</v>
      </c>
      <c r="AF295" s="4">
        <f ca="1">$M$295*$Z$295</f>
        <v>0</v>
      </c>
      <c r="AG295" s="4">
        <f>$O$295*$AA$295</f>
        <v>0</v>
      </c>
    </row>
    <row r="296" spans="1:33" ht="11.25" customHeight="1" x14ac:dyDescent="0.25">
      <c r="A296" s="3" t="s">
        <v>21</v>
      </c>
      <c r="B296" s="3" t="s">
        <v>41</v>
      </c>
      <c r="C296" s="3" t="s">
        <v>40</v>
      </c>
      <c r="D296" s="3" t="s">
        <v>38</v>
      </c>
      <c r="E296" s="3" t="s">
        <v>25</v>
      </c>
      <c r="F296" s="3" t="s">
        <v>60</v>
      </c>
      <c r="G296" s="3" t="s">
        <v>25</v>
      </c>
      <c r="H296" s="3" t="s">
        <v>35</v>
      </c>
      <c r="I296" s="6">
        <v>44348</v>
      </c>
      <c r="J296" s="4">
        <v>27204</v>
      </c>
      <c r="K296" s="4">
        <v>14085.476016959999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3" t="s">
        <v>57</v>
      </c>
      <c r="R296" s="3">
        <v>0</v>
      </c>
      <c r="S296" s="4">
        <v>12</v>
      </c>
      <c r="T296" s="4">
        <v>0</v>
      </c>
      <c r="U296" s="4">
        <v>0</v>
      </c>
      <c r="V296" s="4">
        <f>IF(ISERROR(VLOOKUP($S$296,'TAR FIN'!$A$1:$O$113,15,0)),0,VLOOKUP($S$296,'TAR FIN'!$A$1:$O$113,15,0))</f>
        <v>24.31</v>
      </c>
      <c r="W296" s="4">
        <f>IF(ISERROR(VLOOKUP($T$296,'TAR FIN'!$A$1:$O$113,15,0)),0,VLOOKUP($T$296,'TAR FIN'!$A$1:$O$113,15,0))</f>
        <v>0</v>
      </c>
      <c r="X296" s="4">
        <f>IF(ISERROR(VLOOKUP($U$296,'TAR FIN'!$A$1:$O$113,15,0)),0,VLOOKUP($U$296,'TAR FIN'!$A$1:$O$113,15,0))</f>
        <v>0</v>
      </c>
      <c r="Y296" s="4">
        <f ca="1">('TUSD BE'!$AM$14+'TUSD BF'!$AM$14+'TUSD CVA'!$AM$14)*1</f>
        <v>26.598074646640526</v>
      </c>
      <c r="Z296" s="4">
        <f ca="1">('TUSD BE'!$AM$15+'TUSD BF'!$AM$15+'TUSD CVA'!$AM$15)*1</f>
        <v>65.007409626508434</v>
      </c>
      <c r="AA296" s="4"/>
      <c r="AB296" s="4">
        <f>$K$296*$V$296</f>
        <v>342417.9219722976</v>
      </c>
      <c r="AC296" s="4">
        <f>$M$296*$W$296</f>
        <v>0</v>
      </c>
      <c r="AD296" s="4">
        <f>$O$296*$X$296</f>
        <v>0</v>
      </c>
      <c r="AE296" s="4">
        <f ca="1">$K$296*$Y$296</f>
        <v>374646.54253256693</v>
      </c>
      <c r="AF296" s="4">
        <f ca="1">$M$296*$Z$296</f>
        <v>0</v>
      </c>
      <c r="AG296" s="4">
        <f>$O$296*$AA$296</f>
        <v>0</v>
      </c>
    </row>
    <row r="297" spans="1:33" ht="11.25" customHeight="1" x14ac:dyDescent="0.25">
      <c r="A297" s="3" t="s">
        <v>21</v>
      </c>
      <c r="B297" s="3" t="s">
        <v>41</v>
      </c>
      <c r="C297" s="3" t="s">
        <v>40</v>
      </c>
      <c r="D297" s="3" t="s">
        <v>38</v>
      </c>
      <c r="E297" s="3" t="s">
        <v>25</v>
      </c>
      <c r="F297" s="3" t="s">
        <v>60</v>
      </c>
      <c r="G297" s="3" t="s">
        <v>25</v>
      </c>
      <c r="H297" s="3" t="s">
        <v>35</v>
      </c>
      <c r="I297" s="6">
        <v>44378</v>
      </c>
      <c r="J297" s="4">
        <v>27052</v>
      </c>
      <c r="K297" s="4">
        <v>13257.480495399999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3" t="s">
        <v>57</v>
      </c>
      <c r="R297" s="3">
        <v>0</v>
      </c>
      <c r="S297" s="4">
        <v>12</v>
      </c>
      <c r="T297" s="4">
        <v>0</v>
      </c>
      <c r="U297" s="4">
        <v>0</v>
      </c>
      <c r="V297" s="4">
        <f>IF(ISERROR(VLOOKUP($S$297,'TAR FIN'!$A$1:$O$113,15,0)),0,VLOOKUP($S$297,'TAR FIN'!$A$1:$O$113,15,0))</f>
        <v>24.31</v>
      </c>
      <c r="W297" s="4">
        <f>IF(ISERROR(VLOOKUP($T$297,'TAR FIN'!$A$1:$O$113,15,0)),0,VLOOKUP($T$297,'TAR FIN'!$A$1:$O$113,15,0))</f>
        <v>0</v>
      </c>
      <c r="X297" s="4">
        <f>IF(ISERROR(VLOOKUP($U$297,'TAR FIN'!$A$1:$O$113,15,0)),0,VLOOKUP($U$297,'TAR FIN'!$A$1:$O$113,15,0))</f>
        <v>0</v>
      </c>
      <c r="Y297" s="4">
        <f ca="1">('TUSD BE'!$AM$14+'TUSD BF'!$AM$14+'TUSD CVA'!$AM$14)*1</f>
        <v>26.598074646640526</v>
      </c>
      <c r="Z297" s="4">
        <f ca="1">('TUSD BE'!$AM$15+'TUSD BF'!$AM$15+'TUSD CVA'!$AM$15)*1</f>
        <v>65.007409626508434</v>
      </c>
      <c r="AA297" s="4"/>
      <c r="AB297" s="4">
        <f>$K$297*$V$297</f>
        <v>322289.35084317398</v>
      </c>
      <c r="AC297" s="4">
        <f>$M$297*$W$297</f>
        <v>0</v>
      </c>
      <c r="AD297" s="4">
        <f>$O$297*$X$297</f>
        <v>0</v>
      </c>
      <c r="AE297" s="4">
        <f ca="1">$K$297*$Y$297</f>
        <v>352623.45584303001</v>
      </c>
      <c r="AF297" s="4">
        <f ca="1">$M$297*$Z$297</f>
        <v>0</v>
      </c>
      <c r="AG297" s="4">
        <f>$O$297*$AA$297</f>
        <v>0</v>
      </c>
    </row>
    <row r="298" spans="1:33" ht="11.25" customHeight="1" x14ac:dyDescent="0.25">
      <c r="A298" s="3" t="s">
        <v>21</v>
      </c>
      <c r="B298" s="3" t="s">
        <v>41</v>
      </c>
      <c r="C298" s="3" t="s">
        <v>40</v>
      </c>
      <c r="D298" s="3" t="s">
        <v>38</v>
      </c>
      <c r="E298" s="3" t="s">
        <v>25</v>
      </c>
      <c r="F298" s="3" t="s">
        <v>60</v>
      </c>
      <c r="G298" s="3" t="s">
        <v>25</v>
      </c>
      <c r="H298" s="3" t="s">
        <v>35</v>
      </c>
      <c r="I298" s="6">
        <v>44409</v>
      </c>
      <c r="J298" s="4">
        <v>26095</v>
      </c>
      <c r="K298" s="4">
        <v>12713.1844294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3" t="s">
        <v>57</v>
      </c>
      <c r="R298" s="3">
        <v>0</v>
      </c>
      <c r="S298" s="4">
        <v>12</v>
      </c>
      <c r="T298" s="4">
        <v>0</v>
      </c>
      <c r="U298" s="4">
        <v>0</v>
      </c>
      <c r="V298" s="4">
        <f>IF(ISERROR(VLOOKUP($S$298,'TAR FIN'!$A$1:$O$113,15,0)),0,VLOOKUP($S$298,'TAR FIN'!$A$1:$O$113,15,0))</f>
        <v>24.31</v>
      </c>
      <c r="W298" s="4">
        <f>IF(ISERROR(VLOOKUP($T$298,'TAR FIN'!$A$1:$O$113,15,0)),0,VLOOKUP($T$298,'TAR FIN'!$A$1:$O$113,15,0))</f>
        <v>0</v>
      </c>
      <c r="X298" s="4">
        <f>IF(ISERROR(VLOOKUP($U$298,'TAR FIN'!$A$1:$O$113,15,0)),0,VLOOKUP($U$298,'TAR FIN'!$A$1:$O$113,15,0))</f>
        <v>0</v>
      </c>
      <c r="Y298" s="4">
        <f ca="1">('TUSD BE'!$AM$14+'TUSD BF'!$AM$14+'TUSD CVA'!$AM$14)*1</f>
        <v>26.598074646640526</v>
      </c>
      <c r="Z298" s="4">
        <f ca="1">('TUSD BE'!$AM$15+'TUSD BF'!$AM$15+'TUSD CVA'!$AM$15)*1</f>
        <v>65.007409626508434</v>
      </c>
      <c r="AA298" s="4"/>
      <c r="AB298" s="4">
        <f>$K$298*$V$298</f>
        <v>309057.51347871398</v>
      </c>
      <c r="AC298" s="4">
        <f>$M$298*$W$298</f>
        <v>0</v>
      </c>
      <c r="AD298" s="4">
        <f>$O$298*$X$298</f>
        <v>0</v>
      </c>
      <c r="AE298" s="4">
        <f ca="1">$K$298*$Y$298</f>
        <v>338146.22844968928</v>
      </c>
      <c r="AF298" s="4">
        <f ca="1">$M$298*$Z$298</f>
        <v>0</v>
      </c>
      <c r="AG298" s="4">
        <f>$O$298*$AA$298</f>
        <v>0</v>
      </c>
    </row>
    <row r="299" spans="1:33" ht="11.25" customHeight="1" x14ac:dyDescent="0.25">
      <c r="A299" s="3" t="s">
        <v>21</v>
      </c>
      <c r="B299" s="3" t="s">
        <v>41</v>
      </c>
      <c r="C299" s="3" t="s">
        <v>40</v>
      </c>
      <c r="D299" s="3" t="s">
        <v>38</v>
      </c>
      <c r="E299" s="3" t="s">
        <v>25</v>
      </c>
      <c r="F299" s="3" t="s">
        <v>60</v>
      </c>
      <c r="G299" s="3" t="s">
        <v>25</v>
      </c>
      <c r="H299" s="3" t="s">
        <v>35</v>
      </c>
      <c r="I299" s="6">
        <v>44440</v>
      </c>
      <c r="J299" s="4">
        <v>33633</v>
      </c>
      <c r="K299" s="4">
        <v>16272.3651462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3" t="s">
        <v>57</v>
      </c>
      <c r="R299" s="3">
        <v>0</v>
      </c>
      <c r="S299" s="4">
        <v>12</v>
      </c>
      <c r="T299" s="4">
        <v>0</v>
      </c>
      <c r="U299" s="4">
        <v>0</v>
      </c>
      <c r="V299" s="4">
        <f>IF(ISERROR(VLOOKUP($S$299,'TAR FIN'!$A$1:$O$113,15,0)),0,VLOOKUP($S$299,'TAR FIN'!$A$1:$O$113,15,0))</f>
        <v>24.31</v>
      </c>
      <c r="W299" s="4">
        <f>IF(ISERROR(VLOOKUP($T$299,'TAR FIN'!$A$1:$O$113,15,0)),0,VLOOKUP($T$299,'TAR FIN'!$A$1:$O$113,15,0))</f>
        <v>0</v>
      </c>
      <c r="X299" s="4">
        <f>IF(ISERROR(VLOOKUP($U$299,'TAR FIN'!$A$1:$O$113,15,0)),0,VLOOKUP($U$299,'TAR FIN'!$A$1:$O$113,15,0))</f>
        <v>0</v>
      </c>
      <c r="Y299" s="4">
        <f ca="1">('TUSD BE'!$AM$14+'TUSD BF'!$AM$14+'TUSD CVA'!$AM$14)*1</f>
        <v>26.598074646640526</v>
      </c>
      <c r="Z299" s="4">
        <f ca="1">('TUSD BE'!$AM$15+'TUSD BF'!$AM$15+'TUSD CVA'!$AM$15)*1</f>
        <v>65.007409626508434</v>
      </c>
      <c r="AA299" s="4"/>
      <c r="AB299" s="4">
        <f>$K$299*$V$299</f>
        <v>395581.19670412195</v>
      </c>
      <c r="AC299" s="4">
        <f>$M$299*$W$299</f>
        <v>0</v>
      </c>
      <c r="AD299" s="4">
        <f>$O$299*$X$299</f>
        <v>0</v>
      </c>
      <c r="AE299" s="4">
        <f ca="1">$K$299*$Y$299</f>
        <v>432813.58283601917</v>
      </c>
      <c r="AF299" s="4">
        <f ca="1">$M$299*$Z$299</f>
        <v>0</v>
      </c>
      <c r="AG299" s="4">
        <f>$O$299*$AA$299</f>
        <v>0</v>
      </c>
    </row>
    <row r="300" spans="1:33" ht="11.25" customHeight="1" x14ac:dyDescent="0.25">
      <c r="A300" s="3" t="s">
        <v>21</v>
      </c>
      <c r="B300" s="3" t="s">
        <v>41</v>
      </c>
      <c r="C300" s="3" t="s">
        <v>40</v>
      </c>
      <c r="D300" s="3" t="s">
        <v>38</v>
      </c>
      <c r="E300" s="3" t="s">
        <v>25</v>
      </c>
      <c r="F300" s="3" t="s">
        <v>60</v>
      </c>
      <c r="G300" s="3" t="s">
        <v>25</v>
      </c>
      <c r="H300" s="3" t="s">
        <v>35</v>
      </c>
      <c r="I300" s="6">
        <v>44470</v>
      </c>
      <c r="J300" s="4">
        <v>34601</v>
      </c>
      <c r="K300" s="4">
        <v>16801.641120529999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 t="s">
        <v>57</v>
      </c>
      <c r="R300" s="3">
        <v>0</v>
      </c>
      <c r="S300" s="4">
        <v>12</v>
      </c>
      <c r="T300" s="4">
        <v>0</v>
      </c>
      <c r="U300" s="4">
        <v>0</v>
      </c>
      <c r="V300" s="4">
        <f>IF(ISERROR(VLOOKUP($S$300,'TAR FIN'!$A$1:$O$113,15,0)),0,VLOOKUP($S$300,'TAR FIN'!$A$1:$O$113,15,0))</f>
        <v>24.31</v>
      </c>
      <c r="W300" s="4">
        <f>IF(ISERROR(VLOOKUP($T$300,'TAR FIN'!$A$1:$O$113,15,0)),0,VLOOKUP($T$300,'TAR FIN'!$A$1:$O$113,15,0))</f>
        <v>0</v>
      </c>
      <c r="X300" s="4">
        <f>IF(ISERROR(VLOOKUP($U$300,'TAR FIN'!$A$1:$O$113,15,0)),0,VLOOKUP($U$300,'TAR FIN'!$A$1:$O$113,15,0))</f>
        <v>0</v>
      </c>
      <c r="Y300" s="4">
        <f ca="1">('TUSD BE'!$AM$14+'TUSD BF'!$AM$14+'TUSD CVA'!$AM$14)*1</f>
        <v>26.598074646640526</v>
      </c>
      <c r="Z300" s="4">
        <f ca="1">('TUSD BE'!$AM$15+'TUSD BF'!$AM$15+'TUSD CVA'!$AM$15)*1</f>
        <v>65.007409626508434</v>
      </c>
      <c r="AA300" s="4"/>
      <c r="AB300" s="4">
        <f>$K$300*$V$300</f>
        <v>408447.89564008429</v>
      </c>
      <c r="AC300" s="4">
        <f>$M$300*$W$300</f>
        <v>0</v>
      </c>
      <c r="AD300" s="4">
        <f>$O$300*$X$300</f>
        <v>0</v>
      </c>
      <c r="AE300" s="4">
        <f ca="1">$K$300*$Y$300</f>
        <v>446891.30470992188</v>
      </c>
      <c r="AF300" s="4">
        <f ca="1">$M$300*$Z$300</f>
        <v>0</v>
      </c>
      <c r="AG300" s="4">
        <f>$O$300*$AA$300</f>
        <v>0</v>
      </c>
    </row>
    <row r="301" spans="1:33" ht="11.25" customHeight="1" x14ac:dyDescent="0.25">
      <c r="A301" s="3" t="s">
        <v>21</v>
      </c>
      <c r="B301" s="3" t="s">
        <v>41</v>
      </c>
      <c r="C301" s="3" t="s">
        <v>40</v>
      </c>
      <c r="D301" s="3" t="s">
        <v>38</v>
      </c>
      <c r="E301" s="3" t="s">
        <v>25</v>
      </c>
      <c r="F301" s="3" t="s">
        <v>60</v>
      </c>
      <c r="G301" s="3" t="s">
        <v>25</v>
      </c>
      <c r="H301" s="3" t="s">
        <v>35</v>
      </c>
      <c r="I301" s="6">
        <v>44501</v>
      </c>
      <c r="J301" s="4">
        <v>34803</v>
      </c>
      <c r="K301" s="4">
        <v>17489.772937080001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3" t="s">
        <v>57</v>
      </c>
      <c r="R301" s="3">
        <v>0</v>
      </c>
      <c r="S301" s="4">
        <v>12</v>
      </c>
      <c r="T301" s="4">
        <v>0</v>
      </c>
      <c r="U301" s="4">
        <v>0</v>
      </c>
      <c r="V301" s="4">
        <f>IF(ISERROR(VLOOKUP($S$301,'TAR FIN'!$A$1:$O$113,15,0)),0,VLOOKUP($S$301,'TAR FIN'!$A$1:$O$113,15,0))</f>
        <v>24.31</v>
      </c>
      <c r="W301" s="4">
        <f>IF(ISERROR(VLOOKUP($T$301,'TAR FIN'!$A$1:$O$113,15,0)),0,VLOOKUP($T$301,'TAR FIN'!$A$1:$O$113,15,0))</f>
        <v>0</v>
      </c>
      <c r="X301" s="4">
        <f>IF(ISERROR(VLOOKUP($U$301,'TAR FIN'!$A$1:$O$113,15,0)),0,VLOOKUP($U$301,'TAR FIN'!$A$1:$O$113,15,0))</f>
        <v>0</v>
      </c>
      <c r="Y301" s="4">
        <f ca="1">('TUSD BE'!$AM$14+'TUSD BF'!$AM$14+'TUSD CVA'!$AM$14)*1</f>
        <v>26.598074646640526</v>
      </c>
      <c r="Z301" s="4">
        <f ca="1">('TUSD BE'!$AM$15+'TUSD BF'!$AM$15+'TUSD CVA'!$AM$15)*1</f>
        <v>65.007409626508434</v>
      </c>
      <c r="AA301" s="4"/>
      <c r="AB301" s="4">
        <f>$K$301*$V$301</f>
        <v>425176.3801004148</v>
      </c>
      <c r="AC301" s="4">
        <f>$M$301*$W$301</f>
        <v>0</v>
      </c>
      <c r="AD301" s="4">
        <f>$O$301*$X$301</f>
        <v>0</v>
      </c>
      <c r="AE301" s="4">
        <f ca="1">$K$301*$Y$301</f>
        <v>465194.28613324719</v>
      </c>
      <c r="AF301" s="4">
        <f ca="1">$M$301*$Z$301</f>
        <v>0</v>
      </c>
      <c r="AG301" s="4">
        <f>$O$301*$AA$301</f>
        <v>0</v>
      </c>
    </row>
    <row r="302" spans="1:33" ht="11.25" customHeight="1" x14ac:dyDescent="0.25">
      <c r="A302" s="3" t="s">
        <v>27</v>
      </c>
      <c r="B302" s="3" t="s">
        <v>41</v>
      </c>
      <c r="C302" s="3" t="s">
        <v>40</v>
      </c>
      <c r="D302" s="3" t="s">
        <v>38</v>
      </c>
      <c r="E302" s="3" t="s">
        <v>25</v>
      </c>
      <c r="F302" s="3" t="s">
        <v>60</v>
      </c>
      <c r="G302" s="3" t="s">
        <v>25</v>
      </c>
      <c r="H302" s="3" t="s">
        <v>35</v>
      </c>
      <c r="I302" s="6">
        <v>44501</v>
      </c>
      <c r="J302" s="4">
        <v>-376</v>
      </c>
      <c r="K302" s="4">
        <v>-376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3" t="s">
        <v>57</v>
      </c>
      <c r="R302" s="3">
        <v>0</v>
      </c>
      <c r="S302" s="4">
        <v>12</v>
      </c>
      <c r="T302" s="4">
        <v>0</v>
      </c>
      <c r="U302" s="4">
        <v>0</v>
      </c>
      <c r="V302" s="4">
        <f>IF(ISERROR(VLOOKUP($S$302,'TAR FIN'!$A$1:$O$113,15,0)),0,VLOOKUP($S$302,'TAR FIN'!$A$1:$O$113,15,0))</f>
        <v>24.31</v>
      </c>
      <c r="W302" s="4">
        <f>IF(ISERROR(VLOOKUP($T$302,'TAR FIN'!$A$1:$O$113,15,0)),0,VLOOKUP($T$302,'TAR FIN'!$A$1:$O$113,15,0))</f>
        <v>0</v>
      </c>
      <c r="X302" s="4">
        <f>IF(ISERROR(VLOOKUP($U$302,'TAR FIN'!$A$1:$O$113,15,0)),0,VLOOKUP($U$302,'TAR FIN'!$A$1:$O$113,15,0))</f>
        <v>0</v>
      </c>
      <c r="Y302" s="4">
        <f ca="1">('TUSD BE'!$AM$14+'TUSD BF'!$AM$14+'TUSD CVA'!$AM$14)*1</f>
        <v>26.598074646640526</v>
      </c>
      <c r="Z302" s="4">
        <f ca="1">('TUSD BE'!$AM$15+'TUSD BF'!$AM$15+'TUSD CVA'!$AM$15)*1</f>
        <v>65.007409626508434</v>
      </c>
      <c r="AA302" s="4"/>
      <c r="AB302" s="4">
        <f>$K$302*$V$302</f>
        <v>-9140.56</v>
      </c>
      <c r="AC302" s="4">
        <f>$M$302*$W$302</f>
        <v>0</v>
      </c>
      <c r="AD302" s="4">
        <f>$O$302*$X$302</f>
        <v>0</v>
      </c>
      <c r="AE302" s="4">
        <f ca="1">$K$302*$Y$302</f>
        <v>-10000.876067136838</v>
      </c>
      <c r="AF302" s="4">
        <f ca="1">$M$302*$Z$302</f>
        <v>0</v>
      </c>
      <c r="AG302" s="4">
        <f>$O$302*$AA$302</f>
        <v>0</v>
      </c>
    </row>
    <row r="303" spans="1:33" ht="11.25" customHeight="1" x14ac:dyDescent="0.25">
      <c r="A303" s="3" t="s">
        <v>21</v>
      </c>
      <c r="B303" s="3" t="s">
        <v>41</v>
      </c>
      <c r="C303" s="3" t="s">
        <v>40</v>
      </c>
      <c r="D303" s="3" t="s">
        <v>38</v>
      </c>
      <c r="E303" s="3" t="s">
        <v>25</v>
      </c>
      <c r="F303" s="3" t="s">
        <v>60</v>
      </c>
      <c r="G303" s="3" t="s">
        <v>25</v>
      </c>
      <c r="H303" s="3" t="s">
        <v>35</v>
      </c>
      <c r="I303" s="6">
        <v>44531</v>
      </c>
      <c r="J303" s="4">
        <v>36518</v>
      </c>
      <c r="K303" s="4">
        <v>18580.92881116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3" t="s">
        <v>57</v>
      </c>
      <c r="R303" s="3">
        <v>0</v>
      </c>
      <c r="S303" s="4">
        <v>12</v>
      </c>
      <c r="T303" s="4">
        <v>0</v>
      </c>
      <c r="U303" s="4">
        <v>0</v>
      </c>
      <c r="V303" s="4">
        <f>IF(ISERROR(VLOOKUP($S$303,'TAR FIN'!$A$1:$O$113,15,0)),0,VLOOKUP($S$303,'TAR FIN'!$A$1:$O$113,15,0))</f>
        <v>24.31</v>
      </c>
      <c r="W303" s="4">
        <f>IF(ISERROR(VLOOKUP($T$303,'TAR FIN'!$A$1:$O$113,15,0)),0,VLOOKUP($T$303,'TAR FIN'!$A$1:$O$113,15,0))</f>
        <v>0</v>
      </c>
      <c r="X303" s="4">
        <f>IF(ISERROR(VLOOKUP($U$303,'TAR FIN'!$A$1:$O$113,15,0)),0,VLOOKUP($U$303,'TAR FIN'!$A$1:$O$113,15,0))</f>
        <v>0</v>
      </c>
      <c r="Y303" s="4">
        <f ca="1">('TUSD BE'!$AM$14+'TUSD BF'!$AM$14+'TUSD CVA'!$AM$14)*1</f>
        <v>26.598074646640526</v>
      </c>
      <c r="Z303" s="4">
        <f ca="1">('TUSD BE'!$AM$15+'TUSD BF'!$AM$15+'TUSD CVA'!$AM$15)*1</f>
        <v>65.007409626508434</v>
      </c>
      <c r="AA303" s="4"/>
      <c r="AB303" s="4">
        <f>$K$303*$V$303</f>
        <v>451702.37939929956</v>
      </c>
      <c r="AC303" s="4">
        <f>$M$303*$W$303</f>
        <v>0</v>
      </c>
      <c r="AD303" s="4">
        <f>$O$303*$X$303</f>
        <v>0</v>
      </c>
      <c r="AE303" s="4">
        <f ca="1">$K$303*$Y$303</f>
        <v>494216.93152314727</v>
      </c>
      <c r="AF303" s="4">
        <f ca="1">$M$303*$Z$303</f>
        <v>0</v>
      </c>
      <c r="AG303" s="4">
        <f>$O$303*$AA$303</f>
        <v>0</v>
      </c>
    </row>
    <row r="304" spans="1:33" ht="11.25" customHeight="1" x14ac:dyDescent="0.25">
      <c r="A304" s="3" t="s">
        <v>21</v>
      </c>
      <c r="B304" s="3" t="s">
        <v>41</v>
      </c>
      <c r="C304" s="3" t="s">
        <v>40</v>
      </c>
      <c r="D304" s="3" t="s">
        <v>38</v>
      </c>
      <c r="E304" s="3" t="s">
        <v>25</v>
      </c>
      <c r="F304" s="3" t="s">
        <v>60</v>
      </c>
      <c r="G304" s="3" t="s">
        <v>25</v>
      </c>
      <c r="H304" s="3" t="s">
        <v>35</v>
      </c>
      <c r="I304" s="6">
        <v>44562</v>
      </c>
      <c r="J304" s="4">
        <v>37776</v>
      </c>
      <c r="K304" s="4">
        <v>18892.51536528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3" t="s">
        <v>57</v>
      </c>
      <c r="R304" s="3">
        <v>0</v>
      </c>
      <c r="S304" s="4">
        <v>12</v>
      </c>
      <c r="T304" s="4">
        <v>0</v>
      </c>
      <c r="U304" s="4">
        <v>0</v>
      </c>
      <c r="V304" s="4">
        <f>IF(ISERROR(VLOOKUP($S$304,'TAR FIN'!$A$1:$O$113,15,0)),0,VLOOKUP($S$304,'TAR FIN'!$A$1:$O$113,15,0))</f>
        <v>24.31</v>
      </c>
      <c r="W304" s="4">
        <f>IF(ISERROR(VLOOKUP($T$304,'TAR FIN'!$A$1:$O$113,15,0)),0,VLOOKUP($T$304,'TAR FIN'!$A$1:$O$113,15,0))</f>
        <v>0</v>
      </c>
      <c r="X304" s="4">
        <f>IF(ISERROR(VLOOKUP($U$304,'TAR FIN'!$A$1:$O$113,15,0)),0,VLOOKUP($U$304,'TAR FIN'!$A$1:$O$113,15,0))</f>
        <v>0</v>
      </c>
      <c r="Y304" s="4">
        <f ca="1">('TUSD BE'!$AM$14+'TUSD BF'!$AM$14+'TUSD CVA'!$AM$14)*1</f>
        <v>26.598074646640526</v>
      </c>
      <c r="Z304" s="4">
        <f ca="1">('TUSD BE'!$AM$15+'TUSD BF'!$AM$15+'TUSD CVA'!$AM$15)*1</f>
        <v>65.007409626508434</v>
      </c>
      <c r="AA304" s="4"/>
      <c r="AB304" s="4">
        <f>$K$304*$V$304</f>
        <v>459277.04852995678</v>
      </c>
      <c r="AC304" s="4">
        <f>$M$304*$W$304</f>
        <v>0</v>
      </c>
      <c r="AD304" s="4">
        <f>$O$304*$X$304</f>
        <v>0</v>
      </c>
      <c r="AE304" s="4">
        <f ca="1">$K$304*$Y$304</f>
        <v>502504.53394852055</v>
      </c>
      <c r="AF304" s="4">
        <f ca="1">$M$304*$Z$304</f>
        <v>0</v>
      </c>
      <c r="AG304" s="4">
        <f>$O$304*$AA$304</f>
        <v>0</v>
      </c>
    </row>
    <row r="305" spans="1:33" ht="11.25" customHeight="1" x14ac:dyDescent="0.25">
      <c r="A305" s="3" t="s">
        <v>21</v>
      </c>
      <c r="B305" s="3" t="s">
        <v>41</v>
      </c>
      <c r="C305" s="3" t="s">
        <v>40</v>
      </c>
      <c r="D305" s="3" t="s">
        <v>38</v>
      </c>
      <c r="E305" s="3" t="s">
        <v>25</v>
      </c>
      <c r="F305" s="3" t="s">
        <v>60</v>
      </c>
      <c r="G305" s="3" t="s">
        <v>25</v>
      </c>
      <c r="H305" s="3" t="s">
        <v>35</v>
      </c>
      <c r="I305" s="6">
        <v>44593</v>
      </c>
      <c r="J305" s="4">
        <v>37986</v>
      </c>
      <c r="K305" s="4">
        <v>19186.316072040001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 t="s">
        <v>57</v>
      </c>
      <c r="R305" s="3">
        <v>0</v>
      </c>
      <c r="S305" s="4">
        <v>12</v>
      </c>
      <c r="T305" s="4">
        <v>0</v>
      </c>
      <c r="U305" s="4">
        <v>0</v>
      </c>
      <c r="V305" s="4">
        <f>IF(ISERROR(VLOOKUP($S$305,'TAR FIN'!$A$1:$O$113,15,0)),0,VLOOKUP($S$305,'TAR FIN'!$A$1:$O$113,15,0))</f>
        <v>24.31</v>
      </c>
      <c r="W305" s="4">
        <f>IF(ISERROR(VLOOKUP($T$305,'TAR FIN'!$A$1:$O$113,15,0)),0,VLOOKUP($T$305,'TAR FIN'!$A$1:$O$113,15,0))</f>
        <v>0</v>
      </c>
      <c r="X305" s="4">
        <f>IF(ISERROR(VLOOKUP($U$305,'TAR FIN'!$A$1:$O$113,15,0)),0,VLOOKUP($U$305,'TAR FIN'!$A$1:$O$113,15,0))</f>
        <v>0</v>
      </c>
      <c r="Y305" s="4">
        <f ca="1">('TUSD BE'!$AM$14+'TUSD BF'!$AM$14+'TUSD CVA'!$AM$14)*1</f>
        <v>26.598074646640526</v>
      </c>
      <c r="Z305" s="4">
        <f ca="1">('TUSD BE'!$AM$15+'TUSD BF'!$AM$15+'TUSD CVA'!$AM$15)*1</f>
        <v>65.007409626508434</v>
      </c>
      <c r="AA305" s="4"/>
      <c r="AB305" s="4">
        <f>$K$305*$V$305</f>
        <v>466419.34371129237</v>
      </c>
      <c r="AC305" s="4">
        <f>$M$305*$W$305</f>
        <v>0</v>
      </c>
      <c r="AD305" s="4">
        <f>$O$305*$X$305</f>
        <v>0</v>
      </c>
      <c r="AE305" s="4">
        <f ca="1">$K$305*$Y$305</f>
        <v>510319.06707815878</v>
      </c>
      <c r="AF305" s="4">
        <f ca="1">$M$305*$Z$305</f>
        <v>0</v>
      </c>
      <c r="AG305" s="4">
        <f>$O$305*$AA$305</f>
        <v>0</v>
      </c>
    </row>
    <row r="306" spans="1:33" ht="11.25" customHeight="1" x14ac:dyDescent="0.25">
      <c r="A306" s="3" t="s">
        <v>56</v>
      </c>
      <c r="B306" s="3" t="s">
        <v>41</v>
      </c>
      <c r="C306" s="3" t="s">
        <v>40</v>
      </c>
      <c r="D306" s="3" t="s">
        <v>38</v>
      </c>
      <c r="E306" s="3" t="s">
        <v>25</v>
      </c>
      <c r="F306" s="3" t="s">
        <v>60</v>
      </c>
      <c r="G306" s="3" t="s">
        <v>25</v>
      </c>
      <c r="H306" s="3" t="s">
        <v>35</v>
      </c>
      <c r="I306" s="6">
        <v>44621</v>
      </c>
      <c r="J306" s="4">
        <v>37986</v>
      </c>
      <c r="K306" s="4">
        <v>19186.316072040001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3" t="s">
        <v>57</v>
      </c>
      <c r="R306" s="3">
        <v>0</v>
      </c>
      <c r="S306" s="4">
        <v>12</v>
      </c>
      <c r="T306" s="4">
        <v>0</v>
      </c>
      <c r="U306" s="4">
        <v>0</v>
      </c>
      <c r="V306" s="4">
        <f>IF(ISERROR(VLOOKUP($S$306,'TAR FIN'!$A$1:$O$113,15,0)),0,VLOOKUP($S$306,'TAR FIN'!$A$1:$O$113,15,0))</f>
        <v>24.31</v>
      </c>
      <c r="W306" s="4">
        <f>IF(ISERROR(VLOOKUP($T$306,'TAR FIN'!$A$1:$O$113,15,0)),0,VLOOKUP($T$306,'TAR FIN'!$A$1:$O$113,15,0))</f>
        <v>0</v>
      </c>
      <c r="X306" s="4">
        <f>IF(ISERROR(VLOOKUP($U$306,'TAR FIN'!$A$1:$O$113,15,0)),0,VLOOKUP($U$306,'TAR FIN'!$A$1:$O$113,15,0))</f>
        <v>0</v>
      </c>
      <c r="Y306" s="4">
        <f ca="1">('TUSD BE'!$AM$14+'TUSD BF'!$AM$14+'TUSD CVA'!$AM$14)*1</f>
        <v>26.598074646640526</v>
      </c>
      <c r="Z306" s="4">
        <f ca="1">('TUSD BE'!$AM$15+'TUSD BF'!$AM$15+'TUSD CVA'!$AM$15)*1</f>
        <v>65.007409626508434</v>
      </c>
      <c r="AA306" s="4"/>
      <c r="AB306" s="4">
        <f>$K$306*$V$306</f>
        <v>466419.34371129237</v>
      </c>
      <c r="AC306" s="4">
        <f>$M$306*$W$306</f>
        <v>0</v>
      </c>
      <c r="AD306" s="4">
        <f>$O$306*$X$306</f>
        <v>0</v>
      </c>
      <c r="AE306" s="4">
        <f ca="1">$K$306*$Y$306</f>
        <v>510319.06707815878</v>
      </c>
      <c r="AF306" s="4">
        <f ca="1">$M$306*$Z$306</f>
        <v>0</v>
      </c>
      <c r="AG306" s="4">
        <f>$O$306*$AA$306</f>
        <v>0</v>
      </c>
    </row>
    <row r="307" spans="1:33" ht="11.25" customHeight="1" x14ac:dyDescent="0.25">
      <c r="A307" s="3" t="s">
        <v>21</v>
      </c>
      <c r="B307" s="3" t="s">
        <v>41</v>
      </c>
      <c r="C307" s="3" t="s">
        <v>40</v>
      </c>
      <c r="D307" s="3" t="s">
        <v>38</v>
      </c>
      <c r="E307" s="3" t="s">
        <v>25</v>
      </c>
      <c r="F307" s="3" t="s">
        <v>60</v>
      </c>
      <c r="G307" s="3" t="s">
        <v>25</v>
      </c>
      <c r="H307" s="3" t="s">
        <v>25</v>
      </c>
      <c r="I307" s="6">
        <v>44287</v>
      </c>
      <c r="J307" s="4">
        <v>0</v>
      </c>
      <c r="K307" s="4">
        <v>0</v>
      </c>
      <c r="L307" s="4">
        <v>12317.14</v>
      </c>
      <c r="M307" s="4">
        <v>12317.14</v>
      </c>
      <c r="N307" s="4">
        <v>0</v>
      </c>
      <c r="O307" s="4">
        <v>0</v>
      </c>
      <c r="P307" s="4">
        <v>49</v>
      </c>
      <c r="Q307" s="3" t="s">
        <v>57</v>
      </c>
      <c r="R307" s="3">
        <v>0</v>
      </c>
      <c r="S307" s="4">
        <v>0</v>
      </c>
      <c r="T307" s="4">
        <v>110</v>
      </c>
      <c r="U307" s="4">
        <v>0</v>
      </c>
      <c r="V307" s="4">
        <f>IF(ISERROR(VLOOKUP($S$307,'TAR FIN'!$A$1:$O$113,15,0)),0,VLOOKUP($S$307,'TAR FIN'!$A$1:$O$113,15,0))</f>
        <v>0</v>
      </c>
      <c r="W307" s="4">
        <f>IF(ISERROR(VLOOKUP($T$307,'TAR FIN'!$A$1:$O$113,15,0)),0,VLOOKUP($T$307,'TAR FIN'!$A$1:$O$113,15,0))</f>
        <v>51.27</v>
      </c>
      <c r="X307" s="4">
        <f>IF(ISERROR(VLOOKUP($U$307,'TAR FIN'!$A$1:$O$113,15,0)),0,VLOOKUP($U$307,'TAR FIN'!$A$1:$O$113,15,0))</f>
        <v>0</v>
      </c>
      <c r="Y307" s="4"/>
      <c r="Z307" s="4">
        <f ca="1">('TUSD BE'!$AM$15+'TUSD BF'!$AM$15+'TUSD CVA'!$AM$15)*1</f>
        <v>65.007409626508434</v>
      </c>
      <c r="AA307" s="4"/>
      <c r="AB307" s="4">
        <f>$K$307*$V$307</f>
        <v>0</v>
      </c>
      <c r="AC307" s="4">
        <f>$M$307*$W$307</f>
        <v>631499.76780000003</v>
      </c>
      <c r="AD307" s="4">
        <f>$O$307*$X$307</f>
        <v>0</v>
      </c>
      <c r="AE307" s="4">
        <f>$K$307*$Y$307</f>
        <v>0</v>
      </c>
      <c r="AF307" s="4">
        <f ca="1">$M$307*$Z$307</f>
        <v>800705.3654070521</v>
      </c>
      <c r="AG307" s="4">
        <f>$O$307*$AA$307</f>
        <v>0</v>
      </c>
    </row>
    <row r="308" spans="1:33" ht="11.25" customHeight="1" x14ac:dyDescent="0.25">
      <c r="A308" s="3" t="s">
        <v>21</v>
      </c>
      <c r="B308" s="3" t="s">
        <v>41</v>
      </c>
      <c r="C308" s="3" t="s">
        <v>40</v>
      </c>
      <c r="D308" s="3" t="s">
        <v>38</v>
      </c>
      <c r="E308" s="3" t="s">
        <v>25</v>
      </c>
      <c r="F308" s="3" t="s">
        <v>60</v>
      </c>
      <c r="G308" s="3" t="s">
        <v>25</v>
      </c>
      <c r="H308" s="3" t="s">
        <v>25</v>
      </c>
      <c r="I308" s="6">
        <v>44317</v>
      </c>
      <c r="J308" s="4">
        <v>0</v>
      </c>
      <c r="K308" s="4">
        <v>0</v>
      </c>
      <c r="L308" s="4">
        <v>10867.904</v>
      </c>
      <c r="M308" s="4">
        <v>10867.904</v>
      </c>
      <c r="N308" s="4">
        <v>0</v>
      </c>
      <c r="O308" s="4">
        <v>0</v>
      </c>
      <c r="P308" s="4">
        <v>49</v>
      </c>
      <c r="Q308" s="3" t="s">
        <v>57</v>
      </c>
      <c r="R308" s="3">
        <v>0</v>
      </c>
      <c r="S308" s="4">
        <v>0</v>
      </c>
      <c r="T308" s="4">
        <v>110</v>
      </c>
      <c r="U308" s="4">
        <v>0</v>
      </c>
      <c r="V308" s="4">
        <f>IF(ISERROR(VLOOKUP($S$308,'TAR FIN'!$A$1:$O$113,15,0)),0,VLOOKUP($S$308,'TAR FIN'!$A$1:$O$113,15,0))</f>
        <v>0</v>
      </c>
      <c r="W308" s="4">
        <f>IF(ISERROR(VLOOKUP($T$308,'TAR FIN'!$A$1:$O$113,15,0)),0,VLOOKUP($T$308,'TAR FIN'!$A$1:$O$113,15,0))</f>
        <v>51.27</v>
      </c>
      <c r="X308" s="4">
        <f>IF(ISERROR(VLOOKUP($U$308,'TAR FIN'!$A$1:$O$113,15,0)),0,VLOOKUP($U$308,'TAR FIN'!$A$1:$O$113,15,0))</f>
        <v>0</v>
      </c>
      <c r="Y308" s="4"/>
      <c r="Z308" s="4">
        <f ca="1">('TUSD BE'!$AM$15+'TUSD BF'!$AM$15+'TUSD CVA'!$AM$15)*1</f>
        <v>65.007409626508434</v>
      </c>
      <c r="AA308" s="4"/>
      <c r="AB308" s="4">
        <f>$K$308*$V$308</f>
        <v>0</v>
      </c>
      <c r="AC308" s="4">
        <f>$M$308*$W$308</f>
        <v>557197.43808000011</v>
      </c>
      <c r="AD308" s="4">
        <f>$O$308*$X$308</f>
        <v>0</v>
      </c>
      <c r="AE308" s="4">
        <f>$K$308*$Y$308</f>
        <v>0</v>
      </c>
      <c r="AF308" s="4">
        <f ca="1">$M$308*$Z$308</f>
        <v>706494.28710956953</v>
      </c>
      <c r="AG308" s="4">
        <f>$O$308*$AA$308</f>
        <v>0</v>
      </c>
    </row>
    <row r="309" spans="1:33" ht="11.25" customHeight="1" x14ac:dyDescent="0.25">
      <c r="A309" s="3" t="s">
        <v>21</v>
      </c>
      <c r="B309" s="3" t="s">
        <v>41</v>
      </c>
      <c r="C309" s="3" t="s">
        <v>40</v>
      </c>
      <c r="D309" s="3" t="s">
        <v>38</v>
      </c>
      <c r="E309" s="3" t="s">
        <v>25</v>
      </c>
      <c r="F309" s="3" t="s">
        <v>60</v>
      </c>
      <c r="G309" s="3" t="s">
        <v>25</v>
      </c>
      <c r="H309" s="3" t="s">
        <v>25</v>
      </c>
      <c r="I309" s="6">
        <v>44348</v>
      </c>
      <c r="J309" s="4">
        <v>0</v>
      </c>
      <c r="K309" s="4">
        <v>0</v>
      </c>
      <c r="L309" s="4">
        <v>12202.246999999999</v>
      </c>
      <c r="M309" s="4">
        <v>12202.246999999999</v>
      </c>
      <c r="N309" s="4">
        <v>0</v>
      </c>
      <c r="O309" s="4">
        <v>0</v>
      </c>
      <c r="P309" s="4">
        <v>50</v>
      </c>
      <c r="Q309" s="3" t="s">
        <v>57</v>
      </c>
      <c r="R309" s="3">
        <v>0</v>
      </c>
      <c r="S309" s="4">
        <v>0</v>
      </c>
      <c r="T309" s="4">
        <v>110</v>
      </c>
      <c r="U309" s="4">
        <v>0</v>
      </c>
      <c r="V309" s="4">
        <f>IF(ISERROR(VLOOKUP($S$309,'TAR FIN'!$A$1:$O$113,15,0)),0,VLOOKUP($S$309,'TAR FIN'!$A$1:$O$113,15,0))</f>
        <v>0</v>
      </c>
      <c r="W309" s="4">
        <f>IF(ISERROR(VLOOKUP($T$309,'TAR FIN'!$A$1:$O$113,15,0)),0,VLOOKUP($T$309,'TAR FIN'!$A$1:$O$113,15,0))</f>
        <v>51.27</v>
      </c>
      <c r="X309" s="4">
        <f>IF(ISERROR(VLOOKUP($U$309,'TAR FIN'!$A$1:$O$113,15,0)),0,VLOOKUP($U$309,'TAR FIN'!$A$1:$O$113,15,0))</f>
        <v>0</v>
      </c>
      <c r="Y309" s="4"/>
      <c r="Z309" s="4">
        <f ca="1">('TUSD BE'!$AM$15+'TUSD BF'!$AM$15+'TUSD CVA'!$AM$15)*1</f>
        <v>65.007409626508434</v>
      </c>
      <c r="AA309" s="4"/>
      <c r="AB309" s="4">
        <f>$K$309*$V$309</f>
        <v>0</v>
      </c>
      <c r="AC309" s="4">
        <f>$M$309*$W$309</f>
        <v>625609.20368999999</v>
      </c>
      <c r="AD309" s="4">
        <f>$O$309*$X$309</f>
        <v>0</v>
      </c>
      <c r="AE309" s="4">
        <f>$K$309*$Y$309</f>
        <v>0</v>
      </c>
      <c r="AF309" s="4">
        <f ca="1">$M$309*$Z$309</f>
        <v>793236.46909283358</v>
      </c>
      <c r="AG309" s="4">
        <f>$O$309*$AA$309</f>
        <v>0</v>
      </c>
    </row>
    <row r="310" spans="1:33" ht="11.25" customHeight="1" x14ac:dyDescent="0.25">
      <c r="A310" s="3" t="s">
        <v>21</v>
      </c>
      <c r="B310" s="3" t="s">
        <v>41</v>
      </c>
      <c r="C310" s="3" t="s">
        <v>40</v>
      </c>
      <c r="D310" s="3" t="s">
        <v>38</v>
      </c>
      <c r="E310" s="3" t="s">
        <v>25</v>
      </c>
      <c r="F310" s="3" t="s">
        <v>60</v>
      </c>
      <c r="G310" s="3" t="s">
        <v>25</v>
      </c>
      <c r="H310" s="3" t="s">
        <v>25</v>
      </c>
      <c r="I310" s="6">
        <v>44378</v>
      </c>
      <c r="J310" s="4">
        <v>0</v>
      </c>
      <c r="K310" s="4">
        <v>0</v>
      </c>
      <c r="L310" s="4">
        <v>11663.785</v>
      </c>
      <c r="M310" s="4">
        <v>11663.785</v>
      </c>
      <c r="N310" s="4">
        <v>0</v>
      </c>
      <c r="O310" s="4">
        <v>0</v>
      </c>
      <c r="P310" s="4">
        <v>50</v>
      </c>
      <c r="Q310" s="3" t="s">
        <v>57</v>
      </c>
      <c r="R310" s="3">
        <v>0</v>
      </c>
      <c r="S310" s="4">
        <v>0</v>
      </c>
      <c r="T310" s="4">
        <v>110</v>
      </c>
      <c r="U310" s="4">
        <v>0</v>
      </c>
      <c r="V310" s="4">
        <f>IF(ISERROR(VLOOKUP($S$310,'TAR FIN'!$A$1:$O$113,15,0)),0,VLOOKUP($S$310,'TAR FIN'!$A$1:$O$113,15,0))</f>
        <v>0</v>
      </c>
      <c r="W310" s="4">
        <f>IF(ISERROR(VLOOKUP($T$310,'TAR FIN'!$A$1:$O$113,15,0)),0,VLOOKUP($T$310,'TAR FIN'!$A$1:$O$113,15,0))</f>
        <v>51.27</v>
      </c>
      <c r="X310" s="4">
        <f>IF(ISERROR(VLOOKUP($U$310,'TAR FIN'!$A$1:$O$113,15,0)),0,VLOOKUP($U$310,'TAR FIN'!$A$1:$O$113,15,0))</f>
        <v>0</v>
      </c>
      <c r="Y310" s="4"/>
      <c r="Z310" s="4">
        <f ca="1">('TUSD BE'!$AM$15+'TUSD BF'!$AM$15+'TUSD CVA'!$AM$15)*1</f>
        <v>65.007409626508434</v>
      </c>
      <c r="AA310" s="4"/>
      <c r="AB310" s="4">
        <f>$K$310*$V$310</f>
        <v>0</v>
      </c>
      <c r="AC310" s="4">
        <f>$M$310*$W$310</f>
        <v>598002.25695000007</v>
      </c>
      <c r="AD310" s="4">
        <f>$O$310*$X$310</f>
        <v>0</v>
      </c>
      <c r="AE310" s="4">
        <f>$K$310*$Y$310</f>
        <v>0</v>
      </c>
      <c r="AF310" s="4">
        <f ca="1">$M$310*$Z$310</f>
        <v>758232.4492905247</v>
      </c>
      <c r="AG310" s="4">
        <f>$O$310*$AA$310</f>
        <v>0</v>
      </c>
    </row>
    <row r="311" spans="1:33" ht="11.25" customHeight="1" x14ac:dyDescent="0.25">
      <c r="A311" s="3" t="s">
        <v>21</v>
      </c>
      <c r="B311" s="3" t="s">
        <v>41</v>
      </c>
      <c r="C311" s="3" t="s">
        <v>40</v>
      </c>
      <c r="D311" s="3" t="s">
        <v>38</v>
      </c>
      <c r="E311" s="3" t="s">
        <v>25</v>
      </c>
      <c r="F311" s="3" t="s">
        <v>60</v>
      </c>
      <c r="G311" s="3" t="s">
        <v>25</v>
      </c>
      <c r="H311" s="3" t="s">
        <v>25</v>
      </c>
      <c r="I311" s="6">
        <v>44409</v>
      </c>
      <c r="J311" s="4">
        <v>0</v>
      </c>
      <c r="K311" s="4">
        <v>0</v>
      </c>
      <c r="L311" s="4">
        <v>11597.929</v>
      </c>
      <c r="M311" s="4">
        <v>11597.929</v>
      </c>
      <c r="N311" s="4">
        <v>0</v>
      </c>
      <c r="O311" s="4">
        <v>0</v>
      </c>
      <c r="P311" s="4">
        <v>50</v>
      </c>
      <c r="Q311" s="3" t="s">
        <v>57</v>
      </c>
      <c r="R311" s="3">
        <v>0</v>
      </c>
      <c r="S311" s="4">
        <v>0</v>
      </c>
      <c r="T311" s="4">
        <v>110</v>
      </c>
      <c r="U311" s="4">
        <v>0</v>
      </c>
      <c r="V311" s="4">
        <f>IF(ISERROR(VLOOKUP($S$311,'TAR FIN'!$A$1:$O$113,15,0)),0,VLOOKUP($S$311,'TAR FIN'!$A$1:$O$113,15,0))</f>
        <v>0</v>
      </c>
      <c r="W311" s="4">
        <f>IF(ISERROR(VLOOKUP($T$311,'TAR FIN'!$A$1:$O$113,15,0)),0,VLOOKUP($T$311,'TAR FIN'!$A$1:$O$113,15,0))</f>
        <v>51.27</v>
      </c>
      <c r="X311" s="4">
        <f>IF(ISERROR(VLOOKUP($U$311,'TAR FIN'!$A$1:$O$113,15,0)),0,VLOOKUP($U$311,'TAR FIN'!$A$1:$O$113,15,0))</f>
        <v>0</v>
      </c>
      <c r="Y311" s="4"/>
      <c r="Z311" s="4">
        <f ca="1">('TUSD BE'!$AM$15+'TUSD BF'!$AM$15+'TUSD CVA'!$AM$15)*1</f>
        <v>65.007409626508434</v>
      </c>
      <c r="AA311" s="4"/>
      <c r="AB311" s="4">
        <f>$K$311*$V$311</f>
        <v>0</v>
      </c>
      <c r="AC311" s="4">
        <f>$M$311*$W$311</f>
        <v>594625.81983000005</v>
      </c>
      <c r="AD311" s="4">
        <f>$O$311*$X$311</f>
        <v>0</v>
      </c>
      <c r="AE311" s="4">
        <f>$K$311*$Y$311</f>
        <v>0</v>
      </c>
      <c r="AF311" s="4">
        <f ca="1">$M$311*$Z$311</f>
        <v>753951.32132216136</v>
      </c>
      <c r="AG311" s="4">
        <f>$O$311*$AA$311</f>
        <v>0</v>
      </c>
    </row>
    <row r="312" spans="1:33" ht="11.25" customHeight="1" x14ac:dyDescent="0.25">
      <c r="A312" s="3" t="s">
        <v>21</v>
      </c>
      <c r="B312" s="3" t="s">
        <v>41</v>
      </c>
      <c r="C312" s="3" t="s">
        <v>40</v>
      </c>
      <c r="D312" s="3" t="s">
        <v>38</v>
      </c>
      <c r="E312" s="3" t="s">
        <v>25</v>
      </c>
      <c r="F312" s="3" t="s">
        <v>60</v>
      </c>
      <c r="G312" s="3" t="s">
        <v>25</v>
      </c>
      <c r="H312" s="3" t="s">
        <v>25</v>
      </c>
      <c r="I312" s="6">
        <v>44440</v>
      </c>
      <c r="J312" s="4">
        <v>0</v>
      </c>
      <c r="K312" s="4">
        <v>0</v>
      </c>
      <c r="L312" s="4">
        <v>16524.562000000002</v>
      </c>
      <c r="M312" s="4">
        <v>16524.562000000002</v>
      </c>
      <c r="N312" s="4">
        <v>0</v>
      </c>
      <c r="O312" s="4">
        <v>0</v>
      </c>
      <c r="P312" s="4">
        <v>58</v>
      </c>
      <c r="Q312" s="3" t="s">
        <v>57</v>
      </c>
      <c r="R312" s="3">
        <v>0</v>
      </c>
      <c r="S312" s="4">
        <v>0</v>
      </c>
      <c r="T312" s="4">
        <v>110</v>
      </c>
      <c r="U312" s="4">
        <v>0</v>
      </c>
      <c r="V312" s="4">
        <f>IF(ISERROR(VLOOKUP($S$312,'TAR FIN'!$A$1:$O$113,15,0)),0,VLOOKUP($S$312,'TAR FIN'!$A$1:$O$113,15,0))</f>
        <v>0</v>
      </c>
      <c r="W312" s="4">
        <f>IF(ISERROR(VLOOKUP($T$312,'TAR FIN'!$A$1:$O$113,15,0)),0,VLOOKUP($T$312,'TAR FIN'!$A$1:$O$113,15,0))</f>
        <v>51.27</v>
      </c>
      <c r="X312" s="4">
        <f>IF(ISERROR(VLOOKUP($U$312,'TAR FIN'!$A$1:$O$113,15,0)),0,VLOOKUP($U$312,'TAR FIN'!$A$1:$O$113,15,0))</f>
        <v>0</v>
      </c>
      <c r="Y312" s="4"/>
      <c r="Z312" s="4">
        <f ca="1">('TUSD BE'!$AM$15+'TUSD BF'!$AM$15+'TUSD CVA'!$AM$15)*1</f>
        <v>65.007409626508434</v>
      </c>
      <c r="AA312" s="4"/>
      <c r="AB312" s="4">
        <f>$K$312*$V$312</f>
        <v>0</v>
      </c>
      <c r="AC312" s="4">
        <f>$M$312*$W$312</f>
        <v>847214.29374000011</v>
      </c>
      <c r="AD312" s="4">
        <f>$O$312*$X$312</f>
        <v>0</v>
      </c>
      <c r="AE312" s="4">
        <f>$K$312*$Y$312</f>
        <v>0</v>
      </c>
      <c r="AF312" s="4">
        <f ca="1">$M$312*$Z$312</f>
        <v>1074218.9708326356</v>
      </c>
      <c r="AG312" s="4">
        <f>$O$312*$AA$312</f>
        <v>0</v>
      </c>
    </row>
    <row r="313" spans="1:33" ht="11.25" customHeight="1" x14ac:dyDescent="0.25">
      <c r="A313" s="3" t="s">
        <v>21</v>
      </c>
      <c r="B313" s="3" t="s">
        <v>41</v>
      </c>
      <c r="C313" s="3" t="s">
        <v>40</v>
      </c>
      <c r="D313" s="3" t="s">
        <v>38</v>
      </c>
      <c r="E313" s="3" t="s">
        <v>25</v>
      </c>
      <c r="F313" s="3" t="s">
        <v>60</v>
      </c>
      <c r="G313" s="3" t="s">
        <v>25</v>
      </c>
      <c r="H313" s="3" t="s">
        <v>25</v>
      </c>
      <c r="I313" s="6">
        <v>44470</v>
      </c>
      <c r="J313" s="4">
        <v>0</v>
      </c>
      <c r="K313" s="4">
        <v>0</v>
      </c>
      <c r="L313" s="4">
        <v>16363.849</v>
      </c>
      <c r="M313" s="4">
        <v>16363.849</v>
      </c>
      <c r="N313" s="4">
        <v>0</v>
      </c>
      <c r="O313" s="4">
        <v>0</v>
      </c>
      <c r="P313" s="4">
        <v>60</v>
      </c>
      <c r="Q313" s="3" t="s">
        <v>57</v>
      </c>
      <c r="R313" s="3">
        <v>0</v>
      </c>
      <c r="S313" s="4">
        <v>0</v>
      </c>
      <c r="T313" s="4">
        <v>110</v>
      </c>
      <c r="U313" s="4">
        <v>0</v>
      </c>
      <c r="V313" s="4">
        <f>IF(ISERROR(VLOOKUP($S$313,'TAR FIN'!$A$1:$O$113,15,0)),0,VLOOKUP($S$313,'TAR FIN'!$A$1:$O$113,15,0))</f>
        <v>0</v>
      </c>
      <c r="W313" s="4">
        <f>IF(ISERROR(VLOOKUP($T$313,'TAR FIN'!$A$1:$O$113,15,0)),0,VLOOKUP($T$313,'TAR FIN'!$A$1:$O$113,15,0))</f>
        <v>51.27</v>
      </c>
      <c r="X313" s="4">
        <f>IF(ISERROR(VLOOKUP($U$313,'TAR FIN'!$A$1:$O$113,15,0)),0,VLOOKUP($U$313,'TAR FIN'!$A$1:$O$113,15,0))</f>
        <v>0</v>
      </c>
      <c r="Y313" s="4"/>
      <c r="Z313" s="4">
        <f ca="1">('TUSD BE'!$AM$15+'TUSD BF'!$AM$15+'TUSD CVA'!$AM$15)*1</f>
        <v>65.007409626508434</v>
      </c>
      <c r="AA313" s="4"/>
      <c r="AB313" s="4">
        <f>$K$313*$V$313</f>
        <v>0</v>
      </c>
      <c r="AC313" s="4">
        <f>$M$313*$W$313</f>
        <v>838974.53823000006</v>
      </c>
      <c r="AD313" s="4">
        <f>$O$313*$X$313</f>
        <v>0</v>
      </c>
      <c r="AE313" s="4">
        <f>$K$313*$Y$313</f>
        <v>0</v>
      </c>
      <c r="AF313" s="4">
        <f ca="1">$M$313*$Z$313</f>
        <v>1063771.4350093305</v>
      </c>
      <c r="AG313" s="4">
        <f>$O$313*$AA$313</f>
        <v>0</v>
      </c>
    </row>
    <row r="314" spans="1:33" ht="11.25" customHeight="1" x14ac:dyDescent="0.25">
      <c r="A314" s="3" t="s">
        <v>21</v>
      </c>
      <c r="B314" s="3" t="s">
        <v>41</v>
      </c>
      <c r="C314" s="3" t="s">
        <v>40</v>
      </c>
      <c r="D314" s="3" t="s">
        <v>38</v>
      </c>
      <c r="E314" s="3" t="s">
        <v>25</v>
      </c>
      <c r="F314" s="3" t="s">
        <v>60</v>
      </c>
      <c r="G314" s="3" t="s">
        <v>25</v>
      </c>
      <c r="H314" s="3" t="s">
        <v>25</v>
      </c>
      <c r="I314" s="6">
        <v>44501</v>
      </c>
      <c r="J314" s="4">
        <v>0</v>
      </c>
      <c r="K314" s="4">
        <v>0</v>
      </c>
      <c r="L314" s="4">
        <v>17576.155999999999</v>
      </c>
      <c r="M314" s="4">
        <v>17576.155999999999</v>
      </c>
      <c r="N314" s="4">
        <v>0</v>
      </c>
      <c r="O314" s="4">
        <v>0</v>
      </c>
      <c r="P314" s="4">
        <v>60</v>
      </c>
      <c r="Q314" s="3" t="s">
        <v>57</v>
      </c>
      <c r="R314" s="3">
        <v>0</v>
      </c>
      <c r="S314" s="4">
        <v>0</v>
      </c>
      <c r="T314" s="4">
        <v>110</v>
      </c>
      <c r="U314" s="4">
        <v>0</v>
      </c>
      <c r="V314" s="4">
        <f>IF(ISERROR(VLOOKUP($S$314,'TAR FIN'!$A$1:$O$113,15,0)),0,VLOOKUP($S$314,'TAR FIN'!$A$1:$O$113,15,0))</f>
        <v>0</v>
      </c>
      <c r="W314" s="4">
        <f>IF(ISERROR(VLOOKUP($T$314,'TAR FIN'!$A$1:$O$113,15,0)),0,VLOOKUP($T$314,'TAR FIN'!$A$1:$O$113,15,0))</f>
        <v>51.27</v>
      </c>
      <c r="X314" s="4">
        <f>IF(ISERROR(VLOOKUP($U$314,'TAR FIN'!$A$1:$O$113,15,0)),0,VLOOKUP($U$314,'TAR FIN'!$A$1:$O$113,15,0))</f>
        <v>0</v>
      </c>
      <c r="Y314" s="4"/>
      <c r="Z314" s="4">
        <f ca="1">('TUSD BE'!$AM$15+'TUSD BF'!$AM$15+'TUSD CVA'!$AM$15)*1</f>
        <v>65.007409626508434</v>
      </c>
      <c r="AA314" s="4"/>
      <c r="AB314" s="4">
        <f>$K$314*$V$314</f>
        <v>0</v>
      </c>
      <c r="AC314" s="4">
        <f>$M$314*$W$314</f>
        <v>901129.51812000002</v>
      </c>
      <c r="AD314" s="4">
        <f>$O$314*$X$314</f>
        <v>0</v>
      </c>
      <c r="AE314" s="4">
        <f>$K$314*$Y$314</f>
        <v>0</v>
      </c>
      <c r="AF314" s="4">
        <f ca="1">$M$314*$Z$314</f>
        <v>1142580.3727514138</v>
      </c>
      <c r="AG314" s="4">
        <f>$O$314*$AA$314</f>
        <v>0</v>
      </c>
    </row>
    <row r="315" spans="1:33" ht="11.25" customHeight="1" x14ac:dyDescent="0.25">
      <c r="A315" s="3" t="s">
        <v>21</v>
      </c>
      <c r="B315" s="3" t="s">
        <v>41</v>
      </c>
      <c r="C315" s="3" t="s">
        <v>40</v>
      </c>
      <c r="D315" s="3" t="s">
        <v>38</v>
      </c>
      <c r="E315" s="3" t="s">
        <v>25</v>
      </c>
      <c r="F315" s="3" t="s">
        <v>60</v>
      </c>
      <c r="G315" s="3" t="s">
        <v>25</v>
      </c>
      <c r="H315" s="3" t="s">
        <v>25</v>
      </c>
      <c r="I315" s="6">
        <v>44531</v>
      </c>
      <c r="J315" s="4">
        <v>0</v>
      </c>
      <c r="K315" s="4">
        <v>0</v>
      </c>
      <c r="L315" s="4">
        <v>17139.843000000001</v>
      </c>
      <c r="M315" s="4">
        <v>17139.843000000001</v>
      </c>
      <c r="N315" s="4">
        <v>0</v>
      </c>
      <c r="O315" s="4">
        <v>0</v>
      </c>
      <c r="P315" s="4">
        <v>60</v>
      </c>
      <c r="Q315" s="3" t="s">
        <v>57</v>
      </c>
      <c r="R315" s="3">
        <v>0</v>
      </c>
      <c r="S315" s="4">
        <v>0</v>
      </c>
      <c r="T315" s="4">
        <v>110</v>
      </c>
      <c r="U315" s="4">
        <v>0</v>
      </c>
      <c r="V315" s="4">
        <f>IF(ISERROR(VLOOKUP($S$315,'TAR FIN'!$A$1:$O$113,15,0)),0,VLOOKUP($S$315,'TAR FIN'!$A$1:$O$113,15,0))</f>
        <v>0</v>
      </c>
      <c r="W315" s="4">
        <f>IF(ISERROR(VLOOKUP($T$315,'TAR FIN'!$A$1:$O$113,15,0)),0,VLOOKUP($T$315,'TAR FIN'!$A$1:$O$113,15,0))</f>
        <v>51.27</v>
      </c>
      <c r="X315" s="4">
        <f>IF(ISERROR(VLOOKUP($U$315,'TAR FIN'!$A$1:$O$113,15,0)),0,VLOOKUP($U$315,'TAR FIN'!$A$1:$O$113,15,0))</f>
        <v>0</v>
      </c>
      <c r="Y315" s="4"/>
      <c r="Z315" s="4">
        <f ca="1">('TUSD BE'!$AM$15+'TUSD BF'!$AM$15+'TUSD CVA'!$AM$15)*1</f>
        <v>65.007409626508434</v>
      </c>
      <c r="AA315" s="4"/>
      <c r="AB315" s="4">
        <f>$K$315*$V$315</f>
        <v>0</v>
      </c>
      <c r="AC315" s="4">
        <f>$M$315*$W$315</f>
        <v>878759.7506100001</v>
      </c>
      <c r="AD315" s="4">
        <f>$O$315*$X$315</f>
        <v>0</v>
      </c>
      <c r="AE315" s="4">
        <f>$K$315*$Y$315</f>
        <v>0</v>
      </c>
      <c r="AF315" s="4">
        <f ca="1">$M$315*$Z$315</f>
        <v>1114216.7948350431</v>
      </c>
      <c r="AG315" s="4">
        <f>$O$315*$AA$315</f>
        <v>0</v>
      </c>
    </row>
    <row r="316" spans="1:33" ht="11.25" customHeight="1" x14ac:dyDescent="0.25">
      <c r="A316" s="3" t="s">
        <v>21</v>
      </c>
      <c r="B316" s="3" t="s">
        <v>41</v>
      </c>
      <c r="C316" s="3" t="s">
        <v>40</v>
      </c>
      <c r="D316" s="3" t="s">
        <v>38</v>
      </c>
      <c r="E316" s="3" t="s">
        <v>25</v>
      </c>
      <c r="F316" s="3" t="s">
        <v>60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17477.350999999999</v>
      </c>
      <c r="M316" s="4">
        <v>17477.350999999999</v>
      </c>
      <c r="N316" s="4">
        <v>0</v>
      </c>
      <c r="O316" s="4">
        <v>0</v>
      </c>
      <c r="P316" s="4">
        <v>62</v>
      </c>
      <c r="Q316" s="3" t="s">
        <v>57</v>
      </c>
      <c r="R316" s="3">
        <v>0</v>
      </c>
      <c r="S316" s="4">
        <v>0</v>
      </c>
      <c r="T316" s="4">
        <v>110</v>
      </c>
      <c r="U316" s="4">
        <v>0</v>
      </c>
      <c r="V316" s="4">
        <f>IF(ISERROR(VLOOKUP($S$316,'TAR FIN'!$A$1:$O$113,15,0)),0,VLOOKUP($S$316,'TAR FIN'!$A$1:$O$113,15,0))</f>
        <v>0</v>
      </c>
      <c r="W316" s="4">
        <f>IF(ISERROR(VLOOKUP($T$316,'TAR FIN'!$A$1:$O$113,15,0)),0,VLOOKUP($T$316,'TAR FIN'!$A$1:$O$113,15,0))</f>
        <v>51.27</v>
      </c>
      <c r="X316" s="4">
        <f>IF(ISERROR(VLOOKUP($U$316,'TAR FIN'!$A$1:$O$113,15,0)),0,VLOOKUP($U$316,'TAR FIN'!$A$1:$O$113,15,0))</f>
        <v>0</v>
      </c>
      <c r="Y316" s="4"/>
      <c r="Z316" s="4">
        <f ca="1">('TUSD BE'!$AM$15+'TUSD BF'!$AM$15+'TUSD CVA'!$AM$15)*1</f>
        <v>65.007409626508434</v>
      </c>
      <c r="AA316" s="4"/>
      <c r="AB316" s="4">
        <f>$K$316*$V$316</f>
        <v>0</v>
      </c>
      <c r="AC316" s="4">
        <f>$M$316*$W$316</f>
        <v>896063.78576999996</v>
      </c>
      <c r="AD316" s="4">
        <f>$O$316*$X$316</f>
        <v>0</v>
      </c>
      <c r="AE316" s="4">
        <f>$K$316*$Y$316</f>
        <v>0</v>
      </c>
      <c r="AF316" s="4">
        <f ca="1">$M$316*$Z$316</f>
        <v>1136157.3156432668</v>
      </c>
      <c r="AG316" s="4">
        <f>$O$316*$AA$316</f>
        <v>0</v>
      </c>
    </row>
    <row r="317" spans="1:33" ht="11.25" customHeight="1" x14ac:dyDescent="0.25">
      <c r="A317" s="3" t="s">
        <v>21</v>
      </c>
      <c r="B317" s="3" t="s">
        <v>41</v>
      </c>
      <c r="C317" s="3" t="s">
        <v>40</v>
      </c>
      <c r="D317" s="3" t="s">
        <v>38</v>
      </c>
      <c r="E317" s="3" t="s">
        <v>25</v>
      </c>
      <c r="F317" s="3" t="s">
        <v>60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17975.597000000002</v>
      </c>
      <c r="M317" s="4">
        <v>17975.597000000002</v>
      </c>
      <c r="N317" s="4">
        <v>0</v>
      </c>
      <c r="O317" s="4">
        <v>0</v>
      </c>
      <c r="P317" s="4">
        <v>63</v>
      </c>
      <c r="Q317" s="3" t="s">
        <v>57</v>
      </c>
      <c r="R317" s="3">
        <v>0</v>
      </c>
      <c r="S317" s="4">
        <v>0</v>
      </c>
      <c r="T317" s="4">
        <v>110</v>
      </c>
      <c r="U317" s="4">
        <v>0</v>
      </c>
      <c r="V317" s="4">
        <f>IF(ISERROR(VLOOKUP($S$317,'TAR FIN'!$A$1:$O$113,15,0)),0,VLOOKUP($S$317,'TAR FIN'!$A$1:$O$113,15,0))</f>
        <v>0</v>
      </c>
      <c r="W317" s="4">
        <f>IF(ISERROR(VLOOKUP($T$317,'TAR FIN'!$A$1:$O$113,15,0)),0,VLOOKUP($T$317,'TAR FIN'!$A$1:$O$113,15,0))</f>
        <v>51.27</v>
      </c>
      <c r="X317" s="4">
        <f>IF(ISERROR(VLOOKUP($U$317,'TAR FIN'!$A$1:$O$113,15,0)),0,VLOOKUP($U$317,'TAR FIN'!$A$1:$O$113,15,0))</f>
        <v>0</v>
      </c>
      <c r="Y317" s="4"/>
      <c r="Z317" s="4">
        <f ca="1">('TUSD BE'!$AM$15+'TUSD BF'!$AM$15+'TUSD CVA'!$AM$15)*1</f>
        <v>65.007409626508434</v>
      </c>
      <c r="AA317" s="4"/>
      <c r="AB317" s="4">
        <f>$K$317*$V$317</f>
        <v>0</v>
      </c>
      <c r="AC317" s="4">
        <f>$M$317*$W$317</f>
        <v>921608.85819000017</v>
      </c>
      <c r="AD317" s="4">
        <f>$O$317*$X$317</f>
        <v>0</v>
      </c>
      <c r="AE317" s="4">
        <f>$K$317*$Y$317</f>
        <v>0</v>
      </c>
      <c r="AF317" s="4">
        <f ca="1">$M$317*$Z$317</f>
        <v>1168546.9974600363</v>
      </c>
      <c r="AG317" s="4">
        <f>$O$317*$AA$317</f>
        <v>0</v>
      </c>
    </row>
    <row r="318" spans="1:33" ht="11.25" customHeight="1" x14ac:dyDescent="0.25">
      <c r="A318" s="3" t="s">
        <v>56</v>
      </c>
      <c r="B318" s="3" t="s">
        <v>41</v>
      </c>
      <c r="C318" s="3" t="s">
        <v>40</v>
      </c>
      <c r="D318" s="3" t="s">
        <v>38</v>
      </c>
      <c r="E318" s="3" t="s">
        <v>25</v>
      </c>
      <c r="F318" s="3" t="s">
        <v>60</v>
      </c>
      <c r="G318" s="3" t="s">
        <v>25</v>
      </c>
      <c r="H318" s="3" t="s">
        <v>25</v>
      </c>
      <c r="I318" s="6">
        <v>44621</v>
      </c>
      <c r="J318" s="4">
        <v>0</v>
      </c>
      <c r="K318" s="4">
        <v>0</v>
      </c>
      <c r="L318" s="4">
        <v>17975.597000000002</v>
      </c>
      <c r="M318" s="4">
        <v>17975.597000000002</v>
      </c>
      <c r="N318" s="4">
        <v>0</v>
      </c>
      <c r="O318" s="4">
        <v>0</v>
      </c>
      <c r="P318" s="4">
        <v>63</v>
      </c>
      <c r="Q318" s="3" t="s">
        <v>57</v>
      </c>
      <c r="R318" s="3">
        <v>0</v>
      </c>
      <c r="S318" s="4">
        <v>0</v>
      </c>
      <c r="T318" s="4">
        <v>110</v>
      </c>
      <c r="U318" s="4">
        <v>0</v>
      </c>
      <c r="V318" s="4">
        <f>IF(ISERROR(VLOOKUP($S$318,'TAR FIN'!$A$1:$O$113,15,0)),0,VLOOKUP($S$318,'TAR FIN'!$A$1:$O$113,15,0))</f>
        <v>0</v>
      </c>
      <c r="W318" s="4">
        <f>IF(ISERROR(VLOOKUP($T$318,'TAR FIN'!$A$1:$O$113,15,0)),0,VLOOKUP($T$318,'TAR FIN'!$A$1:$O$113,15,0))</f>
        <v>51.27</v>
      </c>
      <c r="X318" s="4">
        <f>IF(ISERROR(VLOOKUP($U$318,'TAR FIN'!$A$1:$O$113,15,0)),0,VLOOKUP($U$318,'TAR FIN'!$A$1:$O$113,15,0))</f>
        <v>0</v>
      </c>
      <c r="Y318" s="4"/>
      <c r="Z318" s="4">
        <f ca="1">('TUSD BE'!$AM$15+'TUSD BF'!$AM$15+'TUSD CVA'!$AM$15)*1</f>
        <v>65.007409626508434</v>
      </c>
      <c r="AA318" s="4"/>
      <c r="AB318" s="4">
        <f>$K$318*$V$318</f>
        <v>0</v>
      </c>
      <c r="AC318" s="4">
        <f>$M$318*$W$318</f>
        <v>921608.85819000017</v>
      </c>
      <c r="AD318" s="4">
        <f>$O$318*$X$318</f>
        <v>0</v>
      </c>
      <c r="AE318" s="4">
        <f>$K$318*$Y$318</f>
        <v>0</v>
      </c>
      <c r="AF318" s="4">
        <f ca="1">$M$318*$Z$318</f>
        <v>1168546.9974600363</v>
      </c>
      <c r="AG318" s="4">
        <f>$O$318*$AA$318</f>
        <v>0</v>
      </c>
    </row>
    <row r="319" spans="1:33" ht="11.25" customHeight="1" x14ac:dyDescent="0.25">
      <c r="A319" s="3" t="s">
        <v>21</v>
      </c>
      <c r="B319" s="3" t="s">
        <v>41</v>
      </c>
      <c r="C319" s="3" t="s">
        <v>40</v>
      </c>
      <c r="D319" s="3" t="s">
        <v>38</v>
      </c>
      <c r="E319" s="3" t="s">
        <v>25</v>
      </c>
      <c r="F319" s="3" t="s">
        <v>60</v>
      </c>
      <c r="G319" s="3" t="s">
        <v>25</v>
      </c>
      <c r="H319" s="3" t="s">
        <v>34</v>
      </c>
      <c r="I319" s="6">
        <v>44287</v>
      </c>
      <c r="J319" s="4">
        <v>22915</v>
      </c>
      <c r="K319" s="4">
        <v>11822.50913945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3" t="s">
        <v>57</v>
      </c>
      <c r="R319" s="3">
        <v>0</v>
      </c>
      <c r="S319" s="4">
        <v>11</v>
      </c>
      <c r="T319" s="4">
        <v>0</v>
      </c>
      <c r="U319" s="4">
        <v>0</v>
      </c>
      <c r="V319" s="4">
        <f>IF(ISERROR(VLOOKUP($S$319,'TAR FIN'!$A$1:$O$113,15,0)),0,VLOOKUP($S$319,'TAR FIN'!$A$1:$O$113,15,0))</f>
        <v>62.23</v>
      </c>
      <c r="W319" s="4">
        <f>IF(ISERROR(VLOOKUP($T$319,'TAR FIN'!$A$1:$O$113,15,0)),0,VLOOKUP($T$319,'TAR FIN'!$A$1:$O$113,15,0))</f>
        <v>0</v>
      </c>
      <c r="X319" s="4">
        <f>IF(ISERROR(VLOOKUP($U$319,'TAR FIN'!$A$1:$O$113,15,0)),0,VLOOKUP($U$319,'TAR FIN'!$A$1:$O$113,15,0))</f>
        <v>0</v>
      </c>
      <c r="Y319" s="4">
        <f ca="1">('TUSD BE'!$AM$13+'TUSD BF'!$AM$13+'TUSD CVA'!$AM$13)*1</f>
        <v>73.082870326096639</v>
      </c>
      <c r="Z319" s="4">
        <f ca="1">('TUSD BE'!$AM$15+'TUSD BF'!$AM$15+'TUSD CVA'!$AM$15)*1</f>
        <v>65.007409626508434</v>
      </c>
      <c r="AA319" s="4"/>
      <c r="AB319" s="4">
        <f>$K$319*$V$319</f>
        <v>735714.74374797347</v>
      </c>
      <c r="AC319" s="4">
        <f>$M$319*$W$319</f>
        <v>0</v>
      </c>
      <c r="AD319" s="4">
        <f>$O$319*$X$319</f>
        <v>0</v>
      </c>
      <c r="AE319" s="4">
        <f ca="1">$K$319*$Y$319</f>
        <v>864022.90236751665</v>
      </c>
      <c r="AF319" s="4">
        <f ca="1">$M$319*$Z$319</f>
        <v>0</v>
      </c>
      <c r="AG319" s="4">
        <f>$O$319*$AA$319</f>
        <v>0</v>
      </c>
    </row>
    <row r="320" spans="1:33" ht="11.25" customHeight="1" x14ac:dyDescent="0.25">
      <c r="A320" s="3" t="s">
        <v>21</v>
      </c>
      <c r="B320" s="3" t="s">
        <v>41</v>
      </c>
      <c r="C320" s="3" t="s">
        <v>40</v>
      </c>
      <c r="D320" s="3" t="s">
        <v>38</v>
      </c>
      <c r="E320" s="3" t="s">
        <v>25</v>
      </c>
      <c r="F320" s="3" t="s">
        <v>60</v>
      </c>
      <c r="G320" s="3" t="s">
        <v>25</v>
      </c>
      <c r="H320" s="3" t="s">
        <v>34</v>
      </c>
      <c r="I320" s="6">
        <v>44317</v>
      </c>
      <c r="J320" s="4">
        <v>22822</v>
      </c>
      <c r="K320" s="4">
        <v>11905.543611200001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3" t="s">
        <v>57</v>
      </c>
      <c r="R320" s="3">
        <v>0</v>
      </c>
      <c r="S320" s="4">
        <v>11</v>
      </c>
      <c r="T320" s="4">
        <v>0</v>
      </c>
      <c r="U320" s="4">
        <v>0</v>
      </c>
      <c r="V320" s="4">
        <f>IF(ISERROR(VLOOKUP($S$320,'TAR FIN'!$A$1:$O$113,15,0)),0,VLOOKUP($S$320,'TAR FIN'!$A$1:$O$113,15,0))</f>
        <v>62.23</v>
      </c>
      <c r="W320" s="4">
        <f>IF(ISERROR(VLOOKUP($T$320,'TAR FIN'!$A$1:$O$113,15,0)),0,VLOOKUP($T$320,'TAR FIN'!$A$1:$O$113,15,0))</f>
        <v>0</v>
      </c>
      <c r="X320" s="4">
        <f>IF(ISERROR(VLOOKUP($U$320,'TAR FIN'!$A$1:$O$113,15,0)),0,VLOOKUP($U$320,'TAR FIN'!$A$1:$O$113,15,0))</f>
        <v>0</v>
      </c>
      <c r="Y320" s="4">
        <f ca="1">('TUSD BE'!$AM$13+'TUSD BF'!$AM$13+'TUSD CVA'!$AM$13)*1</f>
        <v>73.082870326096639</v>
      </c>
      <c r="Z320" s="4">
        <f ca="1">('TUSD BE'!$AM$15+'TUSD BF'!$AM$15+'TUSD CVA'!$AM$15)*1</f>
        <v>65.007409626508434</v>
      </c>
      <c r="AA320" s="4"/>
      <c r="AB320" s="4">
        <f>$K$320*$V$320</f>
        <v>740881.97892497596</v>
      </c>
      <c r="AC320" s="4">
        <f>$M$320*$W$320</f>
        <v>0</v>
      </c>
      <c r="AD320" s="4">
        <f>$O$320*$X$320</f>
        <v>0</v>
      </c>
      <c r="AE320" s="4">
        <f ca="1">$K$320*$Y$320</f>
        <v>870091.2998990179</v>
      </c>
      <c r="AF320" s="4">
        <f ca="1">$M$320*$Z$320</f>
        <v>0</v>
      </c>
      <c r="AG320" s="4">
        <f>$O$320*$AA$320</f>
        <v>0</v>
      </c>
    </row>
    <row r="321" spans="1:33" ht="11.25" customHeight="1" x14ac:dyDescent="0.25">
      <c r="A321" s="3" t="s">
        <v>21</v>
      </c>
      <c r="B321" s="3" t="s">
        <v>41</v>
      </c>
      <c r="C321" s="3" t="s">
        <v>40</v>
      </c>
      <c r="D321" s="3" t="s">
        <v>38</v>
      </c>
      <c r="E321" s="3" t="s">
        <v>25</v>
      </c>
      <c r="F321" s="3" t="s">
        <v>60</v>
      </c>
      <c r="G321" s="3" t="s">
        <v>25</v>
      </c>
      <c r="H321" s="3" t="s">
        <v>34</v>
      </c>
      <c r="I321" s="6">
        <v>44348</v>
      </c>
      <c r="J321" s="4">
        <v>24187</v>
      </c>
      <c r="K321" s="4">
        <v>12578.29334385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3" t="s">
        <v>57</v>
      </c>
      <c r="R321" s="3">
        <v>0</v>
      </c>
      <c r="S321" s="4">
        <v>11</v>
      </c>
      <c r="T321" s="4">
        <v>0</v>
      </c>
      <c r="U321" s="4">
        <v>0</v>
      </c>
      <c r="V321" s="4">
        <f>IF(ISERROR(VLOOKUP($S$321,'TAR FIN'!$A$1:$O$113,15,0)),0,VLOOKUP($S$321,'TAR FIN'!$A$1:$O$113,15,0))</f>
        <v>62.23</v>
      </c>
      <c r="W321" s="4">
        <f>IF(ISERROR(VLOOKUP($T$321,'TAR FIN'!$A$1:$O$113,15,0)),0,VLOOKUP($T$321,'TAR FIN'!$A$1:$O$113,15,0))</f>
        <v>0</v>
      </c>
      <c r="X321" s="4">
        <f>IF(ISERROR(VLOOKUP($U$321,'TAR FIN'!$A$1:$O$113,15,0)),0,VLOOKUP($U$321,'TAR FIN'!$A$1:$O$113,15,0))</f>
        <v>0</v>
      </c>
      <c r="Y321" s="4">
        <f ca="1">('TUSD BE'!$AM$13+'TUSD BF'!$AM$13+'TUSD CVA'!$AM$13)*1</f>
        <v>73.082870326096639</v>
      </c>
      <c r="Z321" s="4">
        <f ca="1">('TUSD BE'!$AM$15+'TUSD BF'!$AM$15+'TUSD CVA'!$AM$15)*1</f>
        <v>65.007409626508434</v>
      </c>
      <c r="AA321" s="4"/>
      <c r="AB321" s="4">
        <f>$K$321*$V$321</f>
        <v>782747.19478778553</v>
      </c>
      <c r="AC321" s="4">
        <f>$M$321*$W$321</f>
        <v>0</v>
      </c>
      <c r="AD321" s="4">
        <f>$O$321*$X$321</f>
        <v>0</v>
      </c>
      <c r="AE321" s="4">
        <f ca="1">$K$321*$Y$321</f>
        <v>919257.78137219406</v>
      </c>
      <c r="AF321" s="4">
        <f ca="1">$M$321*$Z$321</f>
        <v>0</v>
      </c>
      <c r="AG321" s="4">
        <f>$O$321*$AA$321</f>
        <v>0</v>
      </c>
    </row>
    <row r="322" spans="1:33" ht="11.25" customHeight="1" x14ac:dyDescent="0.25">
      <c r="A322" s="3" t="s">
        <v>21</v>
      </c>
      <c r="B322" s="3" t="s">
        <v>41</v>
      </c>
      <c r="C322" s="3" t="s">
        <v>40</v>
      </c>
      <c r="D322" s="3" t="s">
        <v>38</v>
      </c>
      <c r="E322" s="3" t="s">
        <v>25</v>
      </c>
      <c r="F322" s="3" t="s">
        <v>60</v>
      </c>
      <c r="G322" s="3" t="s">
        <v>25</v>
      </c>
      <c r="H322" s="3" t="s">
        <v>34</v>
      </c>
      <c r="I322" s="6">
        <v>44378</v>
      </c>
      <c r="J322" s="4">
        <v>24070</v>
      </c>
      <c r="K322" s="4">
        <v>11799.099558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3" t="s">
        <v>57</v>
      </c>
      <c r="R322" s="3">
        <v>0</v>
      </c>
      <c r="S322" s="4">
        <v>11</v>
      </c>
      <c r="T322" s="4">
        <v>0</v>
      </c>
      <c r="U322" s="4">
        <v>0</v>
      </c>
      <c r="V322" s="4">
        <f>IF(ISERROR(VLOOKUP($S$322,'TAR FIN'!$A$1:$O$113,15,0)),0,VLOOKUP($S$322,'TAR FIN'!$A$1:$O$113,15,0))</f>
        <v>62.23</v>
      </c>
      <c r="W322" s="4">
        <f>IF(ISERROR(VLOOKUP($T$322,'TAR FIN'!$A$1:$O$113,15,0)),0,VLOOKUP($T$322,'TAR FIN'!$A$1:$O$113,15,0))</f>
        <v>0</v>
      </c>
      <c r="X322" s="4">
        <f>IF(ISERROR(VLOOKUP($U$322,'TAR FIN'!$A$1:$O$113,15,0)),0,VLOOKUP($U$322,'TAR FIN'!$A$1:$O$113,15,0))</f>
        <v>0</v>
      </c>
      <c r="Y322" s="4">
        <f ca="1">('TUSD BE'!$AM$13+'TUSD BF'!$AM$13+'TUSD CVA'!$AM$13)*1</f>
        <v>73.082870326096639</v>
      </c>
      <c r="Z322" s="4">
        <f ca="1">('TUSD BE'!$AM$15+'TUSD BF'!$AM$15+'TUSD CVA'!$AM$15)*1</f>
        <v>65.007409626508434</v>
      </c>
      <c r="AA322" s="4"/>
      <c r="AB322" s="4">
        <f>$K$322*$V$322</f>
        <v>734257.96549433994</v>
      </c>
      <c r="AC322" s="4">
        <f>$M$322*$W$322</f>
        <v>0</v>
      </c>
      <c r="AD322" s="4">
        <f>$O$322*$X$322</f>
        <v>0</v>
      </c>
      <c r="AE322" s="4">
        <f ca="1">$K$322*$Y$322</f>
        <v>862312.06296201819</v>
      </c>
      <c r="AF322" s="4">
        <f ca="1">$M$322*$Z$322</f>
        <v>0</v>
      </c>
      <c r="AG322" s="4">
        <f>$O$322*$AA$322</f>
        <v>0</v>
      </c>
    </row>
    <row r="323" spans="1:33" ht="11.25" customHeight="1" x14ac:dyDescent="0.25">
      <c r="A323" s="3" t="s">
        <v>21</v>
      </c>
      <c r="B323" s="3" t="s">
        <v>41</v>
      </c>
      <c r="C323" s="3" t="s">
        <v>40</v>
      </c>
      <c r="D323" s="3" t="s">
        <v>38</v>
      </c>
      <c r="E323" s="3" t="s">
        <v>25</v>
      </c>
      <c r="F323" s="3" t="s">
        <v>60</v>
      </c>
      <c r="G323" s="3" t="s">
        <v>25</v>
      </c>
      <c r="H323" s="3" t="s">
        <v>34</v>
      </c>
      <c r="I323" s="6">
        <v>44409</v>
      </c>
      <c r="J323" s="4">
        <v>23199</v>
      </c>
      <c r="K323" s="4">
        <v>11312.310067410001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3" t="s">
        <v>57</v>
      </c>
      <c r="R323" s="3">
        <v>0</v>
      </c>
      <c r="S323" s="4">
        <v>11</v>
      </c>
      <c r="T323" s="4">
        <v>0</v>
      </c>
      <c r="U323" s="4">
        <v>0</v>
      </c>
      <c r="V323" s="4">
        <f>IF(ISERROR(VLOOKUP($S$323,'TAR FIN'!$A$1:$O$113,15,0)),0,VLOOKUP($S$323,'TAR FIN'!$A$1:$O$113,15,0))</f>
        <v>62.23</v>
      </c>
      <c r="W323" s="4">
        <f>IF(ISERROR(VLOOKUP($T$323,'TAR FIN'!$A$1:$O$113,15,0)),0,VLOOKUP($T$323,'TAR FIN'!$A$1:$O$113,15,0))</f>
        <v>0</v>
      </c>
      <c r="X323" s="4">
        <f>IF(ISERROR(VLOOKUP($U$323,'TAR FIN'!$A$1:$O$113,15,0)),0,VLOOKUP($U$323,'TAR FIN'!$A$1:$O$113,15,0))</f>
        <v>0</v>
      </c>
      <c r="Y323" s="4">
        <f ca="1">('TUSD BE'!$AM$13+'TUSD BF'!$AM$13+'TUSD CVA'!$AM$13)*1</f>
        <v>73.082870326096639</v>
      </c>
      <c r="Z323" s="4">
        <f ca="1">('TUSD BE'!$AM$15+'TUSD BF'!$AM$15+'TUSD CVA'!$AM$15)*1</f>
        <v>65.007409626508434</v>
      </c>
      <c r="AA323" s="4"/>
      <c r="AB323" s="4">
        <f>$K$323*$V$323</f>
        <v>703965.05549492431</v>
      </c>
      <c r="AC323" s="4">
        <f>$M$323*$W$323</f>
        <v>0</v>
      </c>
      <c r="AD323" s="4">
        <f>$O$323*$X$323</f>
        <v>0</v>
      </c>
      <c r="AE323" s="4">
        <f ca="1">$K$323*$Y$323</f>
        <v>826736.08974512259</v>
      </c>
      <c r="AF323" s="4">
        <f ca="1">$M$323*$Z$323</f>
        <v>0</v>
      </c>
      <c r="AG323" s="4">
        <f>$O$323*$AA$323</f>
        <v>0</v>
      </c>
    </row>
    <row r="324" spans="1:33" ht="11.25" customHeight="1" x14ac:dyDescent="0.25">
      <c r="A324" s="3" t="s">
        <v>21</v>
      </c>
      <c r="B324" s="3" t="s">
        <v>41</v>
      </c>
      <c r="C324" s="3" t="s">
        <v>40</v>
      </c>
      <c r="D324" s="3" t="s">
        <v>38</v>
      </c>
      <c r="E324" s="3" t="s">
        <v>25</v>
      </c>
      <c r="F324" s="3" t="s">
        <v>60</v>
      </c>
      <c r="G324" s="3" t="s">
        <v>25</v>
      </c>
      <c r="H324" s="3" t="s">
        <v>34</v>
      </c>
      <c r="I324" s="6">
        <v>44440</v>
      </c>
      <c r="J324" s="4">
        <v>30615</v>
      </c>
      <c r="K324" s="4">
        <v>14824.761455399999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3" t="s">
        <v>57</v>
      </c>
      <c r="R324" s="3">
        <v>0</v>
      </c>
      <c r="S324" s="4">
        <v>11</v>
      </c>
      <c r="T324" s="4">
        <v>0</v>
      </c>
      <c r="U324" s="4">
        <v>0</v>
      </c>
      <c r="V324" s="4">
        <f>IF(ISERROR(VLOOKUP($S$324,'TAR FIN'!$A$1:$O$113,15,0)),0,VLOOKUP($S$324,'TAR FIN'!$A$1:$O$113,15,0))</f>
        <v>62.23</v>
      </c>
      <c r="W324" s="4">
        <f>IF(ISERROR(VLOOKUP($T$324,'TAR FIN'!$A$1:$O$113,15,0)),0,VLOOKUP($T$324,'TAR FIN'!$A$1:$O$113,15,0))</f>
        <v>0</v>
      </c>
      <c r="X324" s="4">
        <f>IF(ISERROR(VLOOKUP($U$324,'TAR FIN'!$A$1:$O$113,15,0)),0,VLOOKUP($U$324,'TAR FIN'!$A$1:$O$113,15,0))</f>
        <v>0</v>
      </c>
      <c r="Y324" s="4">
        <f ca="1">('TUSD BE'!$AM$13+'TUSD BF'!$AM$13+'TUSD CVA'!$AM$13)*1</f>
        <v>73.082870326096639</v>
      </c>
      <c r="Z324" s="4">
        <f ca="1">('TUSD BE'!$AM$15+'TUSD BF'!$AM$15+'TUSD CVA'!$AM$15)*1</f>
        <v>65.007409626508434</v>
      </c>
      <c r="AA324" s="4"/>
      <c r="AB324" s="4">
        <f>$K$324*$V$324</f>
        <v>922544.90536954196</v>
      </c>
      <c r="AC324" s="4">
        <f>$M$324*$W$324</f>
        <v>0</v>
      </c>
      <c r="AD324" s="4">
        <f>$O$324*$X$324</f>
        <v>0</v>
      </c>
      <c r="AE324" s="4">
        <f ca="1">$K$324*$Y$324</f>
        <v>1083436.1190603138</v>
      </c>
      <c r="AF324" s="4">
        <f ca="1">$M$324*$Z$324</f>
        <v>0</v>
      </c>
      <c r="AG324" s="4">
        <f>$O$324*$AA$324</f>
        <v>0</v>
      </c>
    </row>
    <row r="325" spans="1:33" ht="11.25" customHeight="1" x14ac:dyDescent="0.25">
      <c r="A325" s="3" t="s">
        <v>21</v>
      </c>
      <c r="B325" s="3" t="s">
        <v>41</v>
      </c>
      <c r="C325" s="3" t="s">
        <v>40</v>
      </c>
      <c r="D325" s="3" t="s">
        <v>38</v>
      </c>
      <c r="E325" s="3" t="s">
        <v>25</v>
      </c>
      <c r="F325" s="3" t="s">
        <v>60</v>
      </c>
      <c r="G325" s="3" t="s">
        <v>25</v>
      </c>
      <c r="H325" s="3" t="s">
        <v>34</v>
      </c>
      <c r="I325" s="6">
        <v>44470</v>
      </c>
      <c r="J325" s="4">
        <v>31804</v>
      </c>
      <c r="K325" s="4">
        <v>15383.977402119999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3" t="s">
        <v>57</v>
      </c>
      <c r="R325" s="3">
        <v>0</v>
      </c>
      <c r="S325" s="4">
        <v>11</v>
      </c>
      <c r="T325" s="4">
        <v>0</v>
      </c>
      <c r="U325" s="4">
        <v>0</v>
      </c>
      <c r="V325" s="4">
        <f>IF(ISERROR(VLOOKUP($S$325,'TAR FIN'!$A$1:$O$113,15,0)),0,VLOOKUP($S$325,'TAR FIN'!$A$1:$O$113,15,0))</f>
        <v>62.23</v>
      </c>
      <c r="W325" s="4">
        <f>IF(ISERROR(VLOOKUP($T$325,'TAR FIN'!$A$1:$O$113,15,0)),0,VLOOKUP($T$325,'TAR FIN'!$A$1:$O$113,15,0))</f>
        <v>0</v>
      </c>
      <c r="X325" s="4">
        <f>IF(ISERROR(VLOOKUP($U$325,'TAR FIN'!$A$1:$O$113,15,0)),0,VLOOKUP($U$325,'TAR FIN'!$A$1:$O$113,15,0))</f>
        <v>0</v>
      </c>
      <c r="Y325" s="4">
        <f ca="1">('TUSD BE'!$AM$13+'TUSD BF'!$AM$13+'TUSD CVA'!$AM$13)*1</f>
        <v>73.082870326096639</v>
      </c>
      <c r="Z325" s="4">
        <f ca="1">('TUSD BE'!$AM$15+'TUSD BF'!$AM$15+'TUSD CVA'!$AM$15)*1</f>
        <v>65.007409626508434</v>
      </c>
      <c r="AA325" s="4"/>
      <c r="AB325" s="4">
        <f>$K$325*$V$325</f>
        <v>957344.91373392753</v>
      </c>
      <c r="AC325" s="4">
        <f>$M$325*$W$325</f>
        <v>0</v>
      </c>
      <c r="AD325" s="4">
        <f>$O$325*$X$325</f>
        <v>0</v>
      </c>
      <c r="AE325" s="4">
        <f ca="1">$K$325*$Y$325</f>
        <v>1124305.225578737</v>
      </c>
      <c r="AF325" s="4">
        <f ca="1">$M$325*$Z$325</f>
        <v>0</v>
      </c>
      <c r="AG325" s="4">
        <f>$O$325*$AA$325</f>
        <v>0</v>
      </c>
    </row>
    <row r="326" spans="1:33" ht="11.25" customHeight="1" x14ac:dyDescent="0.25">
      <c r="A326" s="3" t="s">
        <v>21</v>
      </c>
      <c r="B326" s="3" t="s">
        <v>41</v>
      </c>
      <c r="C326" s="3" t="s">
        <v>40</v>
      </c>
      <c r="D326" s="3" t="s">
        <v>38</v>
      </c>
      <c r="E326" s="3" t="s">
        <v>25</v>
      </c>
      <c r="F326" s="3" t="s">
        <v>60</v>
      </c>
      <c r="G326" s="3" t="s">
        <v>25</v>
      </c>
      <c r="H326" s="3" t="s">
        <v>34</v>
      </c>
      <c r="I326" s="6">
        <v>44501</v>
      </c>
      <c r="J326" s="4">
        <v>32053</v>
      </c>
      <c r="K326" s="4">
        <v>16162.476518719999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3" t="s">
        <v>57</v>
      </c>
      <c r="R326" s="3">
        <v>0</v>
      </c>
      <c r="S326" s="4">
        <v>11</v>
      </c>
      <c r="T326" s="4">
        <v>0</v>
      </c>
      <c r="U326" s="4">
        <v>0</v>
      </c>
      <c r="V326" s="4">
        <f>IF(ISERROR(VLOOKUP($S$326,'TAR FIN'!$A$1:$O$113,15,0)),0,VLOOKUP($S$326,'TAR FIN'!$A$1:$O$113,15,0))</f>
        <v>62.23</v>
      </c>
      <c r="W326" s="4">
        <f>IF(ISERROR(VLOOKUP($T$326,'TAR FIN'!$A$1:$O$113,15,0)),0,VLOOKUP($T$326,'TAR FIN'!$A$1:$O$113,15,0))</f>
        <v>0</v>
      </c>
      <c r="X326" s="4">
        <f>IF(ISERROR(VLOOKUP($U$326,'TAR FIN'!$A$1:$O$113,15,0)),0,VLOOKUP($U$326,'TAR FIN'!$A$1:$O$113,15,0))</f>
        <v>0</v>
      </c>
      <c r="Y326" s="4">
        <f ca="1">('TUSD BE'!$AM$13+'TUSD BF'!$AM$13+'TUSD CVA'!$AM$13)*1</f>
        <v>73.082870326096639</v>
      </c>
      <c r="Z326" s="4">
        <f ca="1">('TUSD BE'!$AM$15+'TUSD BF'!$AM$15+'TUSD CVA'!$AM$15)*1</f>
        <v>65.007409626508434</v>
      </c>
      <c r="AA326" s="4"/>
      <c r="AB326" s="4">
        <f>$K$326*$V$326</f>
        <v>1005790.9137599455</v>
      </c>
      <c r="AC326" s="4">
        <f>$M$326*$W$326</f>
        <v>0</v>
      </c>
      <c r="AD326" s="4">
        <f>$O$326*$X$326</f>
        <v>0</v>
      </c>
      <c r="AE326" s="4">
        <f ca="1">$K$326*$Y$326</f>
        <v>1181200.1755661955</v>
      </c>
      <c r="AF326" s="4">
        <f ca="1">$M$326*$Z$326</f>
        <v>0</v>
      </c>
      <c r="AG326" s="4">
        <f>$O$326*$AA$326</f>
        <v>0</v>
      </c>
    </row>
    <row r="327" spans="1:33" ht="11.25" customHeight="1" x14ac:dyDescent="0.25">
      <c r="A327" s="3" t="s">
        <v>27</v>
      </c>
      <c r="B327" s="3" t="s">
        <v>41</v>
      </c>
      <c r="C327" s="3" t="s">
        <v>40</v>
      </c>
      <c r="D327" s="3" t="s">
        <v>38</v>
      </c>
      <c r="E327" s="3" t="s">
        <v>25</v>
      </c>
      <c r="F327" s="3" t="s">
        <v>60</v>
      </c>
      <c r="G327" s="3" t="s">
        <v>25</v>
      </c>
      <c r="H327" s="3" t="s">
        <v>34</v>
      </c>
      <c r="I327" s="6">
        <v>44501</v>
      </c>
      <c r="J327" s="4">
        <v>-448</v>
      </c>
      <c r="K327" s="4">
        <v>-448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3" t="s">
        <v>57</v>
      </c>
      <c r="R327" s="3">
        <v>0</v>
      </c>
      <c r="S327" s="4">
        <v>11</v>
      </c>
      <c r="T327" s="4">
        <v>0</v>
      </c>
      <c r="U327" s="4">
        <v>0</v>
      </c>
      <c r="V327" s="4">
        <f>IF(ISERROR(VLOOKUP($S$327,'TAR FIN'!$A$1:$O$113,15,0)),0,VLOOKUP($S$327,'TAR FIN'!$A$1:$O$113,15,0))</f>
        <v>62.23</v>
      </c>
      <c r="W327" s="4">
        <f>IF(ISERROR(VLOOKUP($T$327,'TAR FIN'!$A$1:$O$113,15,0)),0,VLOOKUP($T$327,'TAR FIN'!$A$1:$O$113,15,0))</f>
        <v>0</v>
      </c>
      <c r="X327" s="4">
        <f>IF(ISERROR(VLOOKUP($U$327,'TAR FIN'!$A$1:$O$113,15,0)),0,VLOOKUP($U$327,'TAR FIN'!$A$1:$O$113,15,0))</f>
        <v>0</v>
      </c>
      <c r="Y327" s="4">
        <f ca="1">('TUSD BE'!$AM$13+'TUSD BF'!$AM$13+'TUSD CVA'!$AM$13)*1</f>
        <v>73.082870326096639</v>
      </c>
      <c r="Z327" s="4">
        <f ca="1">('TUSD BE'!$AM$15+'TUSD BF'!$AM$15+'TUSD CVA'!$AM$15)*1</f>
        <v>65.007409626508434</v>
      </c>
      <c r="AA327" s="4"/>
      <c r="AB327" s="4">
        <f>$K$327*$V$327</f>
        <v>-27879.039999999997</v>
      </c>
      <c r="AC327" s="4">
        <f>$M$327*$W$327</f>
        <v>0</v>
      </c>
      <c r="AD327" s="4">
        <f>$O$327*$X$327</f>
        <v>0</v>
      </c>
      <c r="AE327" s="4">
        <f ca="1">$K$327*$Y$327</f>
        <v>-32741.125906091293</v>
      </c>
      <c r="AF327" s="4">
        <f ca="1">$M$327*$Z$327</f>
        <v>0</v>
      </c>
      <c r="AG327" s="4">
        <f>$O$327*$AA$327</f>
        <v>0</v>
      </c>
    </row>
    <row r="328" spans="1:33" ht="11.25" customHeight="1" x14ac:dyDescent="0.25">
      <c r="A328" s="3" t="s">
        <v>21</v>
      </c>
      <c r="B328" s="3" t="s">
        <v>41</v>
      </c>
      <c r="C328" s="3" t="s">
        <v>40</v>
      </c>
      <c r="D328" s="3" t="s">
        <v>38</v>
      </c>
      <c r="E328" s="3" t="s">
        <v>25</v>
      </c>
      <c r="F328" s="3" t="s">
        <v>60</v>
      </c>
      <c r="G328" s="3" t="s">
        <v>25</v>
      </c>
      <c r="H328" s="3" t="s">
        <v>34</v>
      </c>
      <c r="I328" s="6">
        <v>44531</v>
      </c>
      <c r="J328" s="4">
        <v>33112</v>
      </c>
      <c r="K328" s="4">
        <v>16982.84083184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3" t="s">
        <v>57</v>
      </c>
      <c r="R328" s="3">
        <v>0</v>
      </c>
      <c r="S328" s="4">
        <v>11</v>
      </c>
      <c r="T328" s="4">
        <v>0</v>
      </c>
      <c r="U328" s="4">
        <v>0</v>
      </c>
      <c r="V328" s="4">
        <f>IF(ISERROR(VLOOKUP($S$328,'TAR FIN'!$A$1:$O$113,15,0)),0,VLOOKUP($S$328,'TAR FIN'!$A$1:$O$113,15,0))</f>
        <v>62.23</v>
      </c>
      <c r="W328" s="4">
        <f>IF(ISERROR(VLOOKUP($T$328,'TAR FIN'!$A$1:$O$113,15,0)),0,VLOOKUP($T$328,'TAR FIN'!$A$1:$O$113,15,0))</f>
        <v>0</v>
      </c>
      <c r="X328" s="4">
        <f>IF(ISERROR(VLOOKUP($U$328,'TAR FIN'!$A$1:$O$113,15,0)),0,VLOOKUP($U$328,'TAR FIN'!$A$1:$O$113,15,0))</f>
        <v>0</v>
      </c>
      <c r="Y328" s="4">
        <f ca="1">('TUSD BE'!$AM$13+'TUSD BF'!$AM$13+'TUSD CVA'!$AM$13)*1</f>
        <v>73.082870326096639</v>
      </c>
      <c r="Z328" s="4">
        <f ca="1">('TUSD BE'!$AM$15+'TUSD BF'!$AM$15+'TUSD CVA'!$AM$15)*1</f>
        <v>65.007409626508434</v>
      </c>
      <c r="AA328" s="4"/>
      <c r="AB328" s="4">
        <f>$K$328*$V$328</f>
        <v>1056842.1849654031</v>
      </c>
      <c r="AC328" s="4">
        <f>$M$328*$W$328</f>
        <v>0</v>
      </c>
      <c r="AD328" s="4">
        <f>$O$328*$X$328</f>
        <v>0</v>
      </c>
      <c r="AE328" s="4">
        <f ca="1">$K$328*$Y$328</f>
        <v>1241154.754282102</v>
      </c>
      <c r="AF328" s="4">
        <f ca="1">$M$328*$Z$328</f>
        <v>0</v>
      </c>
      <c r="AG328" s="4">
        <f>$O$328*$AA$328</f>
        <v>0</v>
      </c>
    </row>
    <row r="329" spans="1:33" ht="11.25" customHeight="1" x14ac:dyDescent="0.25">
      <c r="A329" s="3" t="s">
        <v>21</v>
      </c>
      <c r="B329" s="3" t="s">
        <v>41</v>
      </c>
      <c r="C329" s="3" t="s">
        <v>40</v>
      </c>
      <c r="D329" s="3" t="s">
        <v>38</v>
      </c>
      <c r="E329" s="3" t="s">
        <v>25</v>
      </c>
      <c r="F329" s="3" t="s">
        <v>60</v>
      </c>
      <c r="G329" s="3" t="s">
        <v>25</v>
      </c>
      <c r="H329" s="3" t="s">
        <v>34</v>
      </c>
      <c r="I329" s="6">
        <v>44562</v>
      </c>
      <c r="J329" s="4">
        <v>35029</v>
      </c>
      <c r="K329" s="4">
        <v>17537.04571527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3" t="s">
        <v>57</v>
      </c>
      <c r="R329" s="3">
        <v>0</v>
      </c>
      <c r="S329" s="4">
        <v>11</v>
      </c>
      <c r="T329" s="4">
        <v>0</v>
      </c>
      <c r="U329" s="4">
        <v>0</v>
      </c>
      <c r="V329" s="4">
        <f>IF(ISERROR(VLOOKUP($S$329,'TAR FIN'!$A$1:$O$113,15,0)),0,VLOOKUP($S$329,'TAR FIN'!$A$1:$O$113,15,0))</f>
        <v>62.23</v>
      </c>
      <c r="W329" s="4">
        <f>IF(ISERROR(VLOOKUP($T$329,'TAR FIN'!$A$1:$O$113,15,0)),0,VLOOKUP($T$329,'TAR FIN'!$A$1:$O$113,15,0))</f>
        <v>0</v>
      </c>
      <c r="X329" s="4">
        <f>IF(ISERROR(VLOOKUP($U$329,'TAR FIN'!$A$1:$O$113,15,0)),0,VLOOKUP($U$329,'TAR FIN'!$A$1:$O$113,15,0))</f>
        <v>0</v>
      </c>
      <c r="Y329" s="4">
        <f ca="1">('TUSD BE'!$AM$13+'TUSD BF'!$AM$13+'TUSD CVA'!$AM$13)*1</f>
        <v>73.082870326096639</v>
      </c>
      <c r="Z329" s="4">
        <f ca="1">('TUSD BE'!$AM$15+'TUSD BF'!$AM$15+'TUSD CVA'!$AM$15)*1</f>
        <v>65.007409626508434</v>
      </c>
      <c r="AA329" s="4"/>
      <c r="AB329" s="4">
        <f>$K$329*$V$329</f>
        <v>1091330.354861252</v>
      </c>
      <c r="AC329" s="4">
        <f>$M$329*$W$329</f>
        <v>0</v>
      </c>
      <c r="AD329" s="4">
        <f>$O$329*$X$329</f>
        <v>0</v>
      </c>
      <c r="AE329" s="4">
        <f ca="1">$K$329*$Y$329</f>
        <v>1281657.637911906</v>
      </c>
      <c r="AF329" s="4">
        <f ca="1">$M$329*$Z$329</f>
        <v>0</v>
      </c>
      <c r="AG329" s="4">
        <f>$O$329*$AA$329</f>
        <v>0</v>
      </c>
    </row>
    <row r="330" spans="1:33" ht="11.25" customHeight="1" x14ac:dyDescent="0.25">
      <c r="A330" s="3" t="s">
        <v>21</v>
      </c>
      <c r="B330" s="3" t="s">
        <v>41</v>
      </c>
      <c r="C330" s="3" t="s">
        <v>40</v>
      </c>
      <c r="D330" s="3" t="s">
        <v>38</v>
      </c>
      <c r="E330" s="3" t="s">
        <v>25</v>
      </c>
      <c r="F330" s="3" t="s">
        <v>60</v>
      </c>
      <c r="G330" s="3" t="s">
        <v>25</v>
      </c>
      <c r="H330" s="3" t="s">
        <v>34</v>
      </c>
      <c r="I330" s="6">
        <v>44593</v>
      </c>
      <c r="J330" s="4">
        <v>34681</v>
      </c>
      <c r="K330" s="4">
        <v>17472.87703019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3" t="s">
        <v>57</v>
      </c>
      <c r="R330" s="3">
        <v>0</v>
      </c>
      <c r="S330" s="4">
        <v>11</v>
      </c>
      <c r="T330" s="4">
        <v>0</v>
      </c>
      <c r="U330" s="4">
        <v>0</v>
      </c>
      <c r="V330" s="4">
        <f>IF(ISERROR(VLOOKUP($S$330,'TAR FIN'!$A$1:$O$113,15,0)),0,VLOOKUP($S$330,'TAR FIN'!$A$1:$O$113,15,0))</f>
        <v>62.23</v>
      </c>
      <c r="W330" s="4">
        <f>IF(ISERROR(VLOOKUP($T$330,'TAR FIN'!$A$1:$O$113,15,0)),0,VLOOKUP($T$330,'TAR FIN'!$A$1:$O$113,15,0))</f>
        <v>0</v>
      </c>
      <c r="X330" s="4">
        <f>IF(ISERROR(VLOOKUP($U$330,'TAR FIN'!$A$1:$O$113,15,0)),0,VLOOKUP($U$330,'TAR FIN'!$A$1:$O$113,15,0))</f>
        <v>0</v>
      </c>
      <c r="Y330" s="4">
        <f ca="1">('TUSD BE'!$AM$13+'TUSD BF'!$AM$13+'TUSD CVA'!$AM$13)*1</f>
        <v>73.082870326096639</v>
      </c>
      <c r="Z330" s="4">
        <f ca="1">('TUSD BE'!$AM$15+'TUSD BF'!$AM$15+'TUSD CVA'!$AM$15)*1</f>
        <v>65.007409626508434</v>
      </c>
      <c r="AA330" s="4"/>
      <c r="AB330" s="4">
        <f>$K$330*$V$330</f>
        <v>1087337.1375887236</v>
      </c>
      <c r="AC330" s="4">
        <f>$M$330*$W$330</f>
        <v>0</v>
      </c>
      <c r="AD330" s="4">
        <f>$O$330*$X$330</f>
        <v>0</v>
      </c>
      <c r="AE330" s="4">
        <f ca="1">$K$330*$Y$330</f>
        <v>1276968.0062212083</v>
      </c>
      <c r="AF330" s="4">
        <f ca="1">$M$330*$Z$330</f>
        <v>0</v>
      </c>
      <c r="AG330" s="4">
        <f>$O$330*$AA$330</f>
        <v>0</v>
      </c>
    </row>
    <row r="331" spans="1:33" ht="11.25" customHeight="1" x14ac:dyDescent="0.25">
      <c r="A331" s="3" t="s">
        <v>56</v>
      </c>
      <c r="B331" s="3" t="s">
        <v>41</v>
      </c>
      <c r="C331" s="3" t="s">
        <v>40</v>
      </c>
      <c r="D331" s="3" t="s">
        <v>38</v>
      </c>
      <c r="E331" s="3" t="s">
        <v>25</v>
      </c>
      <c r="F331" s="3" t="s">
        <v>60</v>
      </c>
      <c r="G331" s="3" t="s">
        <v>25</v>
      </c>
      <c r="H331" s="3" t="s">
        <v>34</v>
      </c>
      <c r="I331" s="6">
        <v>44621</v>
      </c>
      <c r="J331" s="4">
        <v>34681</v>
      </c>
      <c r="K331" s="4">
        <v>17472.87703019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3" t="s">
        <v>57</v>
      </c>
      <c r="R331" s="3">
        <v>0</v>
      </c>
      <c r="S331" s="4">
        <v>11</v>
      </c>
      <c r="T331" s="4">
        <v>0</v>
      </c>
      <c r="U331" s="4">
        <v>0</v>
      </c>
      <c r="V331" s="4">
        <f>IF(ISERROR(VLOOKUP($S$331,'TAR FIN'!$A$1:$O$113,15,0)),0,VLOOKUP($S$331,'TAR FIN'!$A$1:$O$113,15,0))</f>
        <v>62.23</v>
      </c>
      <c r="W331" s="4">
        <f>IF(ISERROR(VLOOKUP($T$331,'TAR FIN'!$A$1:$O$113,15,0)),0,VLOOKUP($T$331,'TAR FIN'!$A$1:$O$113,15,0))</f>
        <v>0</v>
      </c>
      <c r="X331" s="4">
        <f>IF(ISERROR(VLOOKUP($U$331,'TAR FIN'!$A$1:$O$113,15,0)),0,VLOOKUP($U$331,'TAR FIN'!$A$1:$O$113,15,0))</f>
        <v>0</v>
      </c>
      <c r="Y331" s="4">
        <f ca="1">('TUSD BE'!$AM$13+'TUSD BF'!$AM$13+'TUSD CVA'!$AM$13)*1</f>
        <v>73.082870326096639</v>
      </c>
      <c r="Z331" s="4">
        <f ca="1">('TUSD BE'!$AM$15+'TUSD BF'!$AM$15+'TUSD CVA'!$AM$15)*1</f>
        <v>65.007409626508434</v>
      </c>
      <c r="AA331" s="4"/>
      <c r="AB331" s="4">
        <f>$K$331*$V$331</f>
        <v>1087337.1375887236</v>
      </c>
      <c r="AC331" s="4">
        <f>$M$331*$W$331</f>
        <v>0</v>
      </c>
      <c r="AD331" s="4">
        <f>$O$331*$X$331</f>
        <v>0</v>
      </c>
      <c r="AE331" s="4">
        <f ca="1">$K$331*$Y$331</f>
        <v>1276968.0062212083</v>
      </c>
      <c r="AF331" s="4">
        <f ca="1">$M$331*$Z$331</f>
        <v>0</v>
      </c>
      <c r="AG331" s="4">
        <f>$O$331*$AA$331</f>
        <v>0</v>
      </c>
    </row>
    <row r="332" spans="1:33" ht="11.25" customHeight="1" x14ac:dyDescent="0.25">
      <c r="A332" s="3" t="s">
        <v>21</v>
      </c>
      <c r="B332" s="3" t="s">
        <v>41</v>
      </c>
      <c r="C332" s="3" t="s">
        <v>40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35</v>
      </c>
      <c r="I332" s="6">
        <v>44287</v>
      </c>
      <c r="J332" s="4">
        <v>6188</v>
      </c>
      <c r="K332" s="4">
        <v>6188</v>
      </c>
      <c r="L332" s="4">
        <v>1009.17</v>
      </c>
      <c r="M332" s="4">
        <v>1009.17</v>
      </c>
      <c r="N332" s="4">
        <v>1009.17</v>
      </c>
      <c r="O332" s="4">
        <v>1009.17</v>
      </c>
      <c r="P332" s="4">
        <v>0</v>
      </c>
      <c r="Q332" s="3" t="s">
        <v>26</v>
      </c>
      <c r="R332" s="3">
        <v>0</v>
      </c>
      <c r="S332" s="4">
        <v>12</v>
      </c>
      <c r="T332" s="4">
        <v>110</v>
      </c>
      <c r="U332" s="4">
        <v>89</v>
      </c>
      <c r="V332" s="4">
        <f>IF(ISERROR(VLOOKUP($S$332,'TAR FIN'!$A$1:$O$113,15,0)),0,VLOOKUP($S$332,'TAR FIN'!$A$1:$O$113,15,0))</f>
        <v>24.31</v>
      </c>
      <c r="W332" s="4">
        <f>IF(ISERROR(VLOOKUP($T$332,'TAR FIN'!$A$1:$O$113,15,0)),0,VLOOKUP($T$332,'TAR FIN'!$A$1:$O$113,15,0))</f>
        <v>51.27</v>
      </c>
      <c r="X332" s="4">
        <f>IF(ISERROR(VLOOKUP($U$332,'TAR FIN'!$A$1:$O$113,15,0)),0,VLOOKUP($U$332,'TAR FIN'!$A$1:$O$113,15,0))</f>
        <v>222.31</v>
      </c>
      <c r="Y332" s="4">
        <f ca="1">('TUSD BE'!$AM$14+'TUSD BF'!$AM$14+'TUSD CVA'!$AM$14)*1</f>
        <v>26.598074646640526</v>
      </c>
      <c r="Z332" s="4">
        <f ca="1">('TUSD BE'!$AM$15+'TUSD BF'!$AM$15+'TUSD CVA'!$AM$15)*1</f>
        <v>65.007409626508434</v>
      </c>
      <c r="AA332" s="4">
        <f>('TE BE'!$AA$11+'TE BF'!$AA$11+'TE CVA'!$AA$11)*1</f>
        <v>223.14561812044704</v>
      </c>
      <c r="AB332" s="4">
        <f>$K$332*$V$332</f>
        <v>150430.28</v>
      </c>
      <c r="AC332" s="4">
        <f>$M$332*$W$332</f>
        <v>51740.145900000003</v>
      </c>
      <c r="AD332" s="4">
        <f>$O$332*$X$332</f>
        <v>224348.5827</v>
      </c>
      <c r="AE332" s="4">
        <f ca="1">$K$332*$Y$332</f>
        <v>164588.88591341159</v>
      </c>
      <c r="AF332" s="4">
        <f ca="1">$M$332*$Z$332</f>
        <v>65603.527572783511</v>
      </c>
      <c r="AG332" s="4">
        <f>$O$332*$AA$332</f>
        <v>225191.86343861153</v>
      </c>
    </row>
    <row r="333" spans="1:33" ht="11.25" customHeight="1" x14ac:dyDescent="0.25">
      <c r="A333" s="3" t="s">
        <v>28</v>
      </c>
      <c r="B333" s="3" t="s">
        <v>41</v>
      </c>
      <c r="C333" s="3" t="s">
        <v>40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35</v>
      </c>
      <c r="I333" s="6">
        <v>44287</v>
      </c>
      <c r="J333" s="4">
        <v>143</v>
      </c>
      <c r="K333" s="4">
        <v>143</v>
      </c>
      <c r="L333" s="4">
        <v>19.515999999999998</v>
      </c>
      <c r="M333" s="4">
        <v>19.515999999999998</v>
      </c>
      <c r="N333" s="4">
        <v>19.515999999999998</v>
      </c>
      <c r="O333" s="4">
        <v>19.515999999999998</v>
      </c>
      <c r="P333" s="4">
        <v>0</v>
      </c>
      <c r="Q333" s="3" t="s">
        <v>26</v>
      </c>
      <c r="R333" s="3">
        <v>0</v>
      </c>
      <c r="S333" s="4">
        <v>12</v>
      </c>
      <c r="T333" s="4">
        <v>110</v>
      </c>
      <c r="U333" s="4">
        <v>89</v>
      </c>
      <c r="V333" s="4">
        <f>IF(ISERROR(VLOOKUP($S$333,'TAR FIN'!$A$1:$O$113,15,0)),0,VLOOKUP($S$333,'TAR FIN'!$A$1:$O$113,15,0))</f>
        <v>24.31</v>
      </c>
      <c r="W333" s="4">
        <f>IF(ISERROR(VLOOKUP($T$333,'TAR FIN'!$A$1:$O$113,15,0)),0,VLOOKUP($T$333,'TAR FIN'!$A$1:$O$113,15,0))</f>
        <v>51.27</v>
      </c>
      <c r="X333" s="4">
        <f>IF(ISERROR(VLOOKUP($U$333,'TAR FIN'!$A$1:$O$113,15,0)),0,VLOOKUP($U$333,'TAR FIN'!$A$1:$O$113,15,0))</f>
        <v>222.31</v>
      </c>
      <c r="Y333" s="4">
        <f ca="1">('TUSD BE'!$AM$14+'TUSD BF'!$AM$14+'TUSD CVA'!$AM$14)*1</f>
        <v>26.598074646640526</v>
      </c>
      <c r="Z333" s="4">
        <f ca="1">('TUSD BE'!$AM$15+'TUSD BF'!$AM$15+'TUSD CVA'!$AM$15)*1</f>
        <v>65.007409626508434</v>
      </c>
      <c r="AA333" s="4">
        <f>('TE BE'!$AA$11+'TE BF'!$AA$11+'TE CVA'!$AA$11)*1</f>
        <v>223.14561812044704</v>
      </c>
      <c r="AB333" s="4">
        <f>$K$333*$V$333</f>
        <v>3476.33</v>
      </c>
      <c r="AC333" s="4">
        <f>$M$333*$W$333</f>
        <v>1000.58532</v>
      </c>
      <c r="AD333" s="4">
        <f>$O$333*$X$333</f>
        <v>4338.60196</v>
      </c>
      <c r="AE333" s="4">
        <f ca="1">$K$333*$Y$333</f>
        <v>3803.5246744695951</v>
      </c>
      <c r="AF333" s="4">
        <f ca="1">$M$333*$Z$333</f>
        <v>1268.6846062709385</v>
      </c>
      <c r="AG333" s="4">
        <f>$O$333*$AA$333</f>
        <v>4354.9098832386444</v>
      </c>
    </row>
    <row r="334" spans="1:33" ht="11.25" customHeight="1" x14ac:dyDescent="0.25">
      <c r="A334" s="3" t="s">
        <v>21</v>
      </c>
      <c r="B334" s="3" t="s">
        <v>41</v>
      </c>
      <c r="C334" s="3" t="s">
        <v>40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35</v>
      </c>
      <c r="I334" s="6">
        <v>44287</v>
      </c>
      <c r="J334" s="4">
        <v>30</v>
      </c>
      <c r="K334" s="4">
        <v>30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3" t="s">
        <v>57</v>
      </c>
      <c r="R334" s="3">
        <v>0</v>
      </c>
      <c r="S334" s="4">
        <v>12</v>
      </c>
      <c r="T334" s="4">
        <v>0</v>
      </c>
      <c r="U334" s="4">
        <v>0</v>
      </c>
      <c r="V334" s="4">
        <f>IF(ISERROR(VLOOKUP($S$334,'TAR FIN'!$A$1:$O$113,15,0)),0,VLOOKUP($S$334,'TAR FIN'!$A$1:$O$113,15,0))</f>
        <v>24.31</v>
      </c>
      <c r="W334" s="4">
        <f>IF(ISERROR(VLOOKUP($T$334,'TAR FIN'!$A$1:$O$113,15,0)),0,VLOOKUP($T$334,'TAR FIN'!$A$1:$O$113,15,0))</f>
        <v>0</v>
      </c>
      <c r="X334" s="4">
        <f>IF(ISERROR(VLOOKUP($U$334,'TAR FIN'!$A$1:$O$113,15,0)),0,VLOOKUP($U$334,'TAR FIN'!$A$1:$O$113,15,0))</f>
        <v>0</v>
      </c>
      <c r="Y334" s="4">
        <f ca="1">('TUSD BE'!$AM$14+'TUSD BF'!$AM$14+'TUSD CVA'!$AM$14)*1</f>
        <v>26.598074646640526</v>
      </c>
      <c r="Z334" s="4">
        <f ca="1">('TUSD BE'!$AM$15+'TUSD BF'!$AM$15+'TUSD CVA'!$AM$15)*1</f>
        <v>65.007409626508434</v>
      </c>
      <c r="AA334" s="4"/>
      <c r="AB334" s="4">
        <f>$K$334*$V$334</f>
        <v>729.3</v>
      </c>
      <c r="AC334" s="4">
        <f>$M$334*$W$334</f>
        <v>0</v>
      </c>
      <c r="AD334" s="4">
        <f>$O$334*$X$334</f>
        <v>0</v>
      </c>
      <c r="AE334" s="4">
        <f ca="1">$K$334*$Y$334</f>
        <v>797.94223939921585</v>
      </c>
      <c r="AF334" s="4">
        <f ca="1">$M$334*$Z$334</f>
        <v>0</v>
      </c>
      <c r="AG334" s="4">
        <f>$O$334*$AA$334</f>
        <v>0</v>
      </c>
    </row>
    <row r="335" spans="1:33" ht="11.25" customHeight="1" x14ac:dyDescent="0.25">
      <c r="A335" s="3" t="s">
        <v>21</v>
      </c>
      <c r="B335" s="3" t="s">
        <v>41</v>
      </c>
      <c r="C335" s="3" t="s">
        <v>40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35</v>
      </c>
      <c r="I335" s="6">
        <v>44317</v>
      </c>
      <c r="J335" s="4">
        <v>6353</v>
      </c>
      <c r="K335" s="4">
        <v>6353</v>
      </c>
      <c r="L335" s="4">
        <v>1184.0029999999999</v>
      </c>
      <c r="M335" s="4">
        <v>1184.0029999999999</v>
      </c>
      <c r="N335" s="4">
        <v>1184.0029999999999</v>
      </c>
      <c r="O335" s="4">
        <v>1184.0029999999999</v>
      </c>
      <c r="P335" s="4">
        <v>0</v>
      </c>
      <c r="Q335" s="3" t="s">
        <v>26</v>
      </c>
      <c r="R335" s="3">
        <v>0</v>
      </c>
      <c r="S335" s="4">
        <v>12</v>
      </c>
      <c r="T335" s="4">
        <v>110</v>
      </c>
      <c r="U335" s="4">
        <v>89</v>
      </c>
      <c r="V335" s="4">
        <f>IF(ISERROR(VLOOKUP($S$335,'TAR FIN'!$A$1:$O$113,15,0)),0,VLOOKUP($S$335,'TAR FIN'!$A$1:$O$113,15,0))</f>
        <v>24.31</v>
      </c>
      <c r="W335" s="4">
        <f>IF(ISERROR(VLOOKUP($T$335,'TAR FIN'!$A$1:$O$113,15,0)),0,VLOOKUP($T$335,'TAR FIN'!$A$1:$O$113,15,0))</f>
        <v>51.27</v>
      </c>
      <c r="X335" s="4">
        <f>IF(ISERROR(VLOOKUP($U$335,'TAR FIN'!$A$1:$O$113,15,0)),0,VLOOKUP($U$335,'TAR FIN'!$A$1:$O$113,15,0))</f>
        <v>222.31</v>
      </c>
      <c r="Y335" s="4">
        <f ca="1">('TUSD BE'!$AM$14+'TUSD BF'!$AM$14+'TUSD CVA'!$AM$14)*1</f>
        <v>26.598074646640526</v>
      </c>
      <c r="Z335" s="4">
        <f ca="1">('TUSD BE'!$AM$15+'TUSD BF'!$AM$15+'TUSD CVA'!$AM$15)*1</f>
        <v>65.007409626508434</v>
      </c>
      <c r="AA335" s="4">
        <f>('TE BE'!$AA$11+'TE BF'!$AA$11+'TE CVA'!$AA$11)*1</f>
        <v>223.14561812044704</v>
      </c>
      <c r="AB335" s="4">
        <f>$K$335*$V$335</f>
        <v>154441.43</v>
      </c>
      <c r="AC335" s="4">
        <f>$M$335*$W$335</f>
        <v>60703.833809999996</v>
      </c>
      <c r="AD335" s="4">
        <f>$O$335*$X$335</f>
        <v>263215.70692999999</v>
      </c>
      <c r="AE335" s="4">
        <f ca="1">$K$335*$Y$335</f>
        <v>168977.56823010725</v>
      </c>
      <c r="AF335" s="4">
        <f ca="1">$M$335*$Z$335</f>
        <v>76968.968020014858</v>
      </c>
      <c r="AG335" s="4">
        <f>$O$335*$AA$335</f>
        <v>264205.08129146363</v>
      </c>
    </row>
    <row r="336" spans="1:33" ht="11.25" customHeight="1" x14ac:dyDescent="0.25">
      <c r="A336" s="3" t="s">
        <v>28</v>
      </c>
      <c r="B336" s="3" t="s">
        <v>41</v>
      </c>
      <c r="C336" s="3" t="s">
        <v>40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35</v>
      </c>
      <c r="I336" s="6">
        <v>44317</v>
      </c>
      <c r="J336" s="4">
        <v>143</v>
      </c>
      <c r="K336" s="4">
        <v>143</v>
      </c>
      <c r="L336" s="4">
        <v>17.712</v>
      </c>
      <c r="M336" s="4">
        <v>17.712</v>
      </c>
      <c r="N336" s="4">
        <v>17.712</v>
      </c>
      <c r="O336" s="4">
        <v>17.712</v>
      </c>
      <c r="P336" s="4">
        <v>0</v>
      </c>
      <c r="Q336" s="3" t="s">
        <v>26</v>
      </c>
      <c r="R336" s="3">
        <v>0</v>
      </c>
      <c r="S336" s="4">
        <v>12</v>
      </c>
      <c r="T336" s="4">
        <v>110</v>
      </c>
      <c r="U336" s="4">
        <v>89</v>
      </c>
      <c r="V336" s="4">
        <f>IF(ISERROR(VLOOKUP($S$336,'TAR FIN'!$A$1:$O$113,15,0)),0,VLOOKUP($S$336,'TAR FIN'!$A$1:$O$113,15,0))</f>
        <v>24.31</v>
      </c>
      <c r="W336" s="4">
        <f>IF(ISERROR(VLOOKUP($T$336,'TAR FIN'!$A$1:$O$113,15,0)),0,VLOOKUP($T$336,'TAR FIN'!$A$1:$O$113,15,0))</f>
        <v>51.27</v>
      </c>
      <c r="X336" s="4">
        <f>IF(ISERROR(VLOOKUP($U$336,'TAR FIN'!$A$1:$O$113,15,0)),0,VLOOKUP($U$336,'TAR FIN'!$A$1:$O$113,15,0))</f>
        <v>222.31</v>
      </c>
      <c r="Y336" s="4">
        <f ca="1">('TUSD BE'!$AM$14+'TUSD BF'!$AM$14+'TUSD CVA'!$AM$14)*1</f>
        <v>26.598074646640526</v>
      </c>
      <c r="Z336" s="4">
        <f ca="1">('TUSD BE'!$AM$15+'TUSD BF'!$AM$15+'TUSD CVA'!$AM$15)*1</f>
        <v>65.007409626508434</v>
      </c>
      <c r="AA336" s="4">
        <f>('TE BE'!$AA$11+'TE BF'!$AA$11+'TE CVA'!$AA$11)*1</f>
        <v>223.14561812044704</v>
      </c>
      <c r="AB336" s="4">
        <f>$K$336*$V$336</f>
        <v>3476.33</v>
      </c>
      <c r="AC336" s="4">
        <f>$M$336*$W$336</f>
        <v>908.09424000000001</v>
      </c>
      <c r="AD336" s="4">
        <f>$O$336*$X$336</f>
        <v>3937.5547200000001</v>
      </c>
      <c r="AE336" s="4">
        <f ca="1">$K$336*$Y$336</f>
        <v>3803.5246744695951</v>
      </c>
      <c r="AF336" s="4">
        <f ca="1">$M$336*$Z$336</f>
        <v>1151.4112393047174</v>
      </c>
      <c r="AG336" s="4">
        <f>$O$336*$AA$336</f>
        <v>3952.3551881493581</v>
      </c>
    </row>
    <row r="337" spans="1:33" ht="11.25" customHeight="1" x14ac:dyDescent="0.25">
      <c r="A337" s="3" t="s">
        <v>21</v>
      </c>
      <c r="B337" s="3" t="s">
        <v>41</v>
      </c>
      <c r="C337" s="3" t="s">
        <v>40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35</v>
      </c>
      <c r="I337" s="6">
        <v>44317</v>
      </c>
      <c r="J337" s="4">
        <v>30</v>
      </c>
      <c r="K337" s="4">
        <v>30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 t="s">
        <v>57</v>
      </c>
      <c r="R337" s="3">
        <v>0</v>
      </c>
      <c r="S337" s="4">
        <v>12</v>
      </c>
      <c r="T337" s="4">
        <v>0</v>
      </c>
      <c r="U337" s="4">
        <v>0</v>
      </c>
      <c r="V337" s="4">
        <f>IF(ISERROR(VLOOKUP($S$337,'TAR FIN'!$A$1:$O$113,15,0)),0,VLOOKUP($S$337,'TAR FIN'!$A$1:$O$113,15,0))</f>
        <v>24.31</v>
      </c>
      <c r="W337" s="4">
        <f>IF(ISERROR(VLOOKUP($T$337,'TAR FIN'!$A$1:$O$113,15,0)),0,VLOOKUP($T$337,'TAR FIN'!$A$1:$O$113,15,0))</f>
        <v>0</v>
      </c>
      <c r="X337" s="4">
        <f>IF(ISERROR(VLOOKUP($U$337,'TAR FIN'!$A$1:$O$113,15,0)),0,VLOOKUP($U$337,'TAR FIN'!$A$1:$O$113,15,0))</f>
        <v>0</v>
      </c>
      <c r="Y337" s="4">
        <f ca="1">('TUSD BE'!$AM$14+'TUSD BF'!$AM$14+'TUSD CVA'!$AM$14)*1</f>
        <v>26.598074646640526</v>
      </c>
      <c r="Z337" s="4">
        <f ca="1">('TUSD BE'!$AM$15+'TUSD BF'!$AM$15+'TUSD CVA'!$AM$15)*1</f>
        <v>65.007409626508434</v>
      </c>
      <c r="AA337" s="4"/>
      <c r="AB337" s="4">
        <f>$K$337*$V$337</f>
        <v>729.3</v>
      </c>
      <c r="AC337" s="4">
        <f>$M$337*$W$337</f>
        <v>0</v>
      </c>
      <c r="AD337" s="4">
        <f>$O$337*$X$337</f>
        <v>0</v>
      </c>
      <c r="AE337" s="4">
        <f ca="1">$K$337*$Y$337</f>
        <v>797.94223939921585</v>
      </c>
      <c r="AF337" s="4">
        <f ca="1">$M$337*$Z$337</f>
        <v>0</v>
      </c>
      <c r="AG337" s="4">
        <f>$O$337*$AA$337</f>
        <v>0</v>
      </c>
    </row>
    <row r="338" spans="1:33" ht="11.25" customHeight="1" x14ac:dyDescent="0.25">
      <c r="A338" s="3" t="s">
        <v>21</v>
      </c>
      <c r="B338" s="3" t="s">
        <v>41</v>
      </c>
      <c r="C338" s="3" t="s">
        <v>40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35</v>
      </c>
      <c r="I338" s="6">
        <v>44348</v>
      </c>
      <c r="J338" s="4">
        <v>6347</v>
      </c>
      <c r="K338" s="4">
        <v>6347</v>
      </c>
      <c r="L338" s="4">
        <v>1017.986</v>
      </c>
      <c r="M338" s="4">
        <v>1017.986</v>
      </c>
      <c r="N338" s="4">
        <v>1017.986</v>
      </c>
      <c r="O338" s="4">
        <v>1017.986</v>
      </c>
      <c r="P338" s="4">
        <v>0</v>
      </c>
      <c r="Q338" s="3" t="s">
        <v>26</v>
      </c>
      <c r="R338" s="3">
        <v>0</v>
      </c>
      <c r="S338" s="4">
        <v>12</v>
      </c>
      <c r="T338" s="4">
        <v>110</v>
      </c>
      <c r="U338" s="4">
        <v>89</v>
      </c>
      <c r="V338" s="4">
        <f>IF(ISERROR(VLOOKUP($S$338,'TAR FIN'!$A$1:$O$113,15,0)),0,VLOOKUP($S$338,'TAR FIN'!$A$1:$O$113,15,0))</f>
        <v>24.31</v>
      </c>
      <c r="W338" s="4">
        <f>IF(ISERROR(VLOOKUP($T$338,'TAR FIN'!$A$1:$O$113,15,0)),0,VLOOKUP($T$338,'TAR FIN'!$A$1:$O$113,15,0))</f>
        <v>51.27</v>
      </c>
      <c r="X338" s="4">
        <f>IF(ISERROR(VLOOKUP($U$338,'TAR FIN'!$A$1:$O$113,15,0)),0,VLOOKUP($U$338,'TAR FIN'!$A$1:$O$113,15,0))</f>
        <v>222.31</v>
      </c>
      <c r="Y338" s="4">
        <f ca="1">('TUSD BE'!$AM$14+'TUSD BF'!$AM$14+'TUSD CVA'!$AM$14)*1</f>
        <v>26.598074646640526</v>
      </c>
      <c r="Z338" s="4">
        <f ca="1">('TUSD BE'!$AM$15+'TUSD BF'!$AM$15+'TUSD CVA'!$AM$15)*1</f>
        <v>65.007409626508434</v>
      </c>
      <c r="AA338" s="4">
        <f>('TE BE'!$AA$11+'TE BF'!$AA$11+'TE CVA'!$AA$11)*1</f>
        <v>223.14561812044704</v>
      </c>
      <c r="AB338" s="4">
        <f>$K$338*$V$338</f>
        <v>154295.56999999998</v>
      </c>
      <c r="AC338" s="4">
        <f>$M$338*$W$338</f>
        <v>52192.142220000002</v>
      </c>
      <c r="AD338" s="4">
        <f>$O$338*$X$338</f>
        <v>226308.46765999999</v>
      </c>
      <c r="AE338" s="4">
        <f ca="1">$K$338*$Y$338</f>
        <v>168817.97978222743</v>
      </c>
      <c r="AF338" s="4">
        <f ca="1">$M$338*$Z$338</f>
        <v>66176.632896050811</v>
      </c>
      <c r="AG338" s="4">
        <f>$O$338*$AA$338</f>
        <v>227159.11520796141</v>
      </c>
    </row>
    <row r="339" spans="1:33" ht="11.25" customHeight="1" x14ac:dyDescent="0.25">
      <c r="A339" s="3" t="s">
        <v>27</v>
      </c>
      <c r="B339" s="3" t="s">
        <v>41</v>
      </c>
      <c r="C339" s="3" t="s">
        <v>40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35</v>
      </c>
      <c r="I339" s="6">
        <v>44348</v>
      </c>
      <c r="J339" s="4">
        <v>-15</v>
      </c>
      <c r="K339" s="4">
        <v>-15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 t="s">
        <v>26</v>
      </c>
      <c r="R339" s="3">
        <v>0</v>
      </c>
      <c r="S339" s="4">
        <v>12</v>
      </c>
      <c r="T339" s="4">
        <v>0</v>
      </c>
      <c r="U339" s="4">
        <v>0</v>
      </c>
      <c r="V339" s="4">
        <f>IF(ISERROR(VLOOKUP($S$339,'TAR FIN'!$A$1:$O$113,15,0)),0,VLOOKUP($S$339,'TAR FIN'!$A$1:$O$113,15,0))</f>
        <v>24.31</v>
      </c>
      <c r="W339" s="4">
        <f>IF(ISERROR(VLOOKUP($T$339,'TAR FIN'!$A$1:$O$113,15,0)),0,VLOOKUP($T$339,'TAR FIN'!$A$1:$O$113,15,0))</f>
        <v>0</v>
      </c>
      <c r="X339" s="4">
        <f>IF(ISERROR(VLOOKUP($U$339,'TAR FIN'!$A$1:$O$113,15,0)),0,VLOOKUP($U$339,'TAR FIN'!$A$1:$O$113,15,0))</f>
        <v>0</v>
      </c>
      <c r="Y339" s="4">
        <f ca="1">('TUSD BE'!$AM$14+'TUSD BF'!$AM$14+'TUSD CVA'!$AM$14)*1</f>
        <v>26.598074646640526</v>
      </c>
      <c r="Z339" s="4">
        <f ca="1">('TUSD BE'!$AM$15+'TUSD BF'!$AM$15+'TUSD CVA'!$AM$15)*1</f>
        <v>65.007409626508434</v>
      </c>
      <c r="AA339" s="4">
        <f>('TE BE'!$AA$11+'TE BF'!$AA$11+'TE CVA'!$AA$11)*1</f>
        <v>223.14561812044704</v>
      </c>
      <c r="AB339" s="4">
        <f>$K$339*$V$339</f>
        <v>-364.65</v>
      </c>
      <c r="AC339" s="4">
        <f>$M$339*$W$339</f>
        <v>0</v>
      </c>
      <c r="AD339" s="4">
        <f>$O$339*$X$339</f>
        <v>0</v>
      </c>
      <c r="AE339" s="4">
        <f ca="1">$K$339*$Y$339</f>
        <v>-398.97111969960793</v>
      </c>
      <c r="AF339" s="4">
        <f ca="1">$M$339*$Z$339</f>
        <v>0</v>
      </c>
      <c r="AG339" s="4">
        <f>$O$339*$AA$339</f>
        <v>0</v>
      </c>
    </row>
    <row r="340" spans="1:33" ht="11.25" customHeight="1" x14ac:dyDescent="0.25">
      <c r="A340" s="3" t="s">
        <v>28</v>
      </c>
      <c r="B340" s="3" t="s">
        <v>41</v>
      </c>
      <c r="C340" s="3" t="s">
        <v>40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35</v>
      </c>
      <c r="I340" s="6">
        <v>44348</v>
      </c>
      <c r="J340" s="4">
        <v>143</v>
      </c>
      <c r="K340" s="4">
        <v>143</v>
      </c>
      <c r="L340" s="4">
        <v>18.777999999999999</v>
      </c>
      <c r="M340" s="4">
        <v>18.777999999999999</v>
      </c>
      <c r="N340" s="4">
        <v>18.777999999999999</v>
      </c>
      <c r="O340" s="4">
        <v>18.777999999999999</v>
      </c>
      <c r="P340" s="4">
        <v>0</v>
      </c>
      <c r="Q340" s="3" t="s">
        <v>26</v>
      </c>
      <c r="R340" s="3">
        <v>0</v>
      </c>
      <c r="S340" s="4">
        <v>12</v>
      </c>
      <c r="T340" s="4">
        <v>110</v>
      </c>
      <c r="U340" s="4">
        <v>89</v>
      </c>
      <c r="V340" s="4">
        <f>IF(ISERROR(VLOOKUP($S$340,'TAR FIN'!$A$1:$O$113,15,0)),0,VLOOKUP($S$340,'TAR FIN'!$A$1:$O$113,15,0))</f>
        <v>24.31</v>
      </c>
      <c r="W340" s="4">
        <f>IF(ISERROR(VLOOKUP($T$340,'TAR FIN'!$A$1:$O$113,15,0)),0,VLOOKUP($T$340,'TAR FIN'!$A$1:$O$113,15,0))</f>
        <v>51.27</v>
      </c>
      <c r="X340" s="4">
        <f>IF(ISERROR(VLOOKUP($U$340,'TAR FIN'!$A$1:$O$113,15,0)),0,VLOOKUP($U$340,'TAR FIN'!$A$1:$O$113,15,0))</f>
        <v>222.31</v>
      </c>
      <c r="Y340" s="4">
        <f ca="1">('TUSD BE'!$AM$14+'TUSD BF'!$AM$14+'TUSD CVA'!$AM$14)*1</f>
        <v>26.598074646640526</v>
      </c>
      <c r="Z340" s="4">
        <f ca="1">('TUSD BE'!$AM$15+'TUSD BF'!$AM$15+'TUSD CVA'!$AM$15)*1</f>
        <v>65.007409626508434</v>
      </c>
      <c r="AA340" s="4">
        <f>('TE BE'!$AA$11+'TE BF'!$AA$11+'TE CVA'!$AA$11)*1</f>
        <v>223.14561812044704</v>
      </c>
      <c r="AB340" s="4">
        <f>$K$340*$V$340</f>
        <v>3476.33</v>
      </c>
      <c r="AC340" s="4">
        <f>$M$340*$W$340</f>
        <v>962.74806000000001</v>
      </c>
      <c r="AD340" s="4">
        <f>$O$340*$X$340</f>
        <v>4174.5371799999994</v>
      </c>
      <c r="AE340" s="4">
        <f ca="1">$K$340*$Y$340</f>
        <v>3803.5246744695951</v>
      </c>
      <c r="AF340" s="4">
        <f ca="1">$M$340*$Z$340</f>
        <v>1220.7091379665753</v>
      </c>
      <c r="AG340" s="4">
        <f>$O$340*$AA$340</f>
        <v>4190.228417065754</v>
      </c>
    </row>
    <row r="341" spans="1:33" ht="11.25" customHeight="1" x14ac:dyDescent="0.25">
      <c r="A341" s="3" t="s">
        <v>21</v>
      </c>
      <c r="B341" s="3" t="s">
        <v>41</v>
      </c>
      <c r="C341" s="3" t="s">
        <v>40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35</v>
      </c>
      <c r="I341" s="6">
        <v>44348</v>
      </c>
      <c r="J341" s="4">
        <v>30</v>
      </c>
      <c r="K341" s="4">
        <v>30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 t="s">
        <v>57</v>
      </c>
      <c r="R341" s="3">
        <v>0</v>
      </c>
      <c r="S341" s="4">
        <v>12</v>
      </c>
      <c r="T341" s="4">
        <v>0</v>
      </c>
      <c r="U341" s="4">
        <v>0</v>
      </c>
      <c r="V341" s="4">
        <f>IF(ISERROR(VLOOKUP($S$341,'TAR FIN'!$A$1:$O$113,15,0)),0,VLOOKUP($S$341,'TAR FIN'!$A$1:$O$113,15,0))</f>
        <v>24.31</v>
      </c>
      <c r="W341" s="4">
        <f>IF(ISERROR(VLOOKUP($T$341,'TAR FIN'!$A$1:$O$113,15,0)),0,VLOOKUP($T$341,'TAR FIN'!$A$1:$O$113,15,0))</f>
        <v>0</v>
      </c>
      <c r="X341" s="4">
        <f>IF(ISERROR(VLOOKUP($U$341,'TAR FIN'!$A$1:$O$113,15,0)),0,VLOOKUP($U$341,'TAR FIN'!$A$1:$O$113,15,0))</f>
        <v>0</v>
      </c>
      <c r="Y341" s="4">
        <f ca="1">('TUSD BE'!$AM$14+'TUSD BF'!$AM$14+'TUSD CVA'!$AM$14)*1</f>
        <v>26.598074646640526</v>
      </c>
      <c r="Z341" s="4">
        <f ca="1">('TUSD BE'!$AM$15+'TUSD BF'!$AM$15+'TUSD CVA'!$AM$15)*1</f>
        <v>65.007409626508434</v>
      </c>
      <c r="AA341" s="4"/>
      <c r="AB341" s="4">
        <f>$K$341*$V$341</f>
        <v>729.3</v>
      </c>
      <c r="AC341" s="4">
        <f>$M$341*$W$341</f>
        <v>0</v>
      </c>
      <c r="AD341" s="4">
        <f>$O$341*$X$341</f>
        <v>0</v>
      </c>
      <c r="AE341" s="4">
        <f ca="1">$K$341*$Y$341</f>
        <v>797.94223939921585</v>
      </c>
      <c r="AF341" s="4">
        <f ca="1">$M$341*$Z$341</f>
        <v>0</v>
      </c>
      <c r="AG341" s="4">
        <f>$O$341*$AA$341</f>
        <v>0</v>
      </c>
    </row>
    <row r="342" spans="1:33" ht="11.25" customHeight="1" x14ac:dyDescent="0.25">
      <c r="A342" s="3" t="s">
        <v>21</v>
      </c>
      <c r="B342" s="3" t="s">
        <v>41</v>
      </c>
      <c r="C342" s="3" t="s">
        <v>40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35</v>
      </c>
      <c r="I342" s="6">
        <v>44378</v>
      </c>
      <c r="J342" s="4">
        <v>6335</v>
      </c>
      <c r="K342" s="4">
        <v>6335</v>
      </c>
      <c r="L342" s="4">
        <v>925.72699999999998</v>
      </c>
      <c r="M342" s="4">
        <v>925.72699999999998</v>
      </c>
      <c r="N342" s="4">
        <v>925.72699999999998</v>
      </c>
      <c r="O342" s="4">
        <v>925.72699999999998</v>
      </c>
      <c r="P342" s="4">
        <v>0</v>
      </c>
      <c r="Q342" s="3" t="s">
        <v>26</v>
      </c>
      <c r="R342" s="3">
        <v>0</v>
      </c>
      <c r="S342" s="4">
        <v>12</v>
      </c>
      <c r="T342" s="4">
        <v>110</v>
      </c>
      <c r="U342" s="4">
        <v>89</v>
      </c>
      <c r="V342" s="4">
        <f>IF(ISERROR(VLOOKUP($S$342,'TAR FIN'!$A$1:$O$113,15,0)),0,VLOOKUP($S$342,'TAR FIN'!$A$1:$O$113,15,0))</f>
        <v>24.31</v>
      </c>
      <c r="W342" s="4">
        <f>IF(ISERROR(VLOOKUP($T$342,'TAR FIN'!$A$1:$O$113,15,0)),0,VLOOKUP($T$342,'TAR FIN'!$A$1:$O$113,15,0))</f>
        <v>51.27</v>
      </c>
      <c r="X342" s="4">
        <f>IF(ISERROR(VLOOKUP($U$342,'TAR FIN'!$A$1:$O$113,15,0)),0,VLOOKUP($U$342,'TAR FIN'!$A$1:$O$113,15,0))</f>
        <v>222.31</v>
      </c>
      <c r="Y342" s="4">
        <f ca="1">('TUSD BE'!$AM$14+'TUSD BF'!$AM$14+'TUSD CVA'!$AM$14)*1</f>
        <v>26.598074646640526</v>
      </c>
      <c r="Z342" s="4">
        <f ca="1">('TUSD BE'!$AM$15+'TUSD BF'!$AM$15+'TUSD CVA'!$AM$15)*1</f>
        <v>65.007409626508434</v>
      </c>
      <c r="AA342" s="4">
        <f>('TE BE'!$AA$11+'TE BF'!$AA$11+'TE CVA'!$AA$11)*1</f>
        <v>223.14561812044704</v>
      </c>
      <c r="AB342" s="4">
        <f>$K$342*$V$342</f>
        <v>154003.85</v>
      </c>
      <c r="AC342" s="4">
        <f>$M$342*$W$342</f>
        <v>47462.023290000005</v>
      </c>
      <c r="AD342" s="4">
        <f>$O$342*$X$342</f>
        <v>205798.36937</v>
      </c>
      <c r="AE342" s="4">
        <f ca="1">$K$342*$Y$342</f>
        <v>168498.80288646775</v>
      </c>
      <c r="AF342" s="4">
        <f ca="1">$M$342*$Z$342</f>
        <v>60179.114291318772</v>
      </c>
      <c r="AG342" s="4">
        <f>$O$342*$AA$342</f>
        <v>206571.92362578708</v>
      </c>
    </row>
    <row r="343" spans="1:33" ht="11.25" customHeight="1" x14ac:dyDescent="0.25">
      <c r="A343" s="3" t="s">
        <v>28</v>
      </c>
      <c r="B343" s="3" t="s">
        <v>41</v>
      </c>
      <c r="C343" s="3" t="s">
        <v>40</v>
      </c>
      <c r="D343" s="3" t="s">
        <v>38</v>
      </c>
      <c r="E343" s="3" t="s">
        <v>25</v>
      </c>
      <c r="F343" s="3" t="s">
        <v>25</v>
      </c>
      <c r="G343" s="3" t="s">
        <v>25</v>
      </c>
      <c r="H343" s="3" t="s">
        <v>35</v>
      </c>
      <c r="I343" s="6">
        <v>44378</v>
      </c>
      <c r="J343" s="4">
        <v>143</v>
      </c>
      <c r="K343" s="4">
        <v>143</v>
      </c>
      <c r="L343" s="4">
        <v>10.199999999999999</v>
      </c>
      <c r="M343" s="4">
        <v>10.199999999999999</v>
      </c>
      <c r="N343" s="4">
        <v>10.199999999999999</v>
      </c>
      <c r="O343" s="4">
        <v>10.199999999999999</v>
      </c>
      <c r="P343" s="4">
        <v>0</v>
      </c>
      <c r="Q343" s="3" t="s">
        <v>26</v>
      </c>
      <c r="R343" s="3">
        <v>0</v>
      </c>
      <c r="S343" s="4">
        <v>12</v>
      </c>
      <c r="T343" s="4">
        <v>110</v>
      </c>
      <c r="U343" s="4">
        <v>89</v>
      </c>
      <c r="V343" s="4">
        <f>IF(ISERROR(VLOOKUP($S$343,'TAR FIN'!$A$1:$O$113,15,0)),0,VLOOKUP($S$343,'TAR FIN'!$A$1:$O$113,15,0))</f>
        <v>24.31</v>
      </c>
      <c r="W343" s="4">
        <f>IF(ISERROR(VLOOKUP($T$343,'TAR FIN'!$A$1:$O$113,15,0)),0,VLOOKUP($T$343,'TAR FIN'!$A$1:$O$113,15,0))</f>
        <v>51.27</v>
      </c>
      <c r="X343" s="4">
        <f>IF(ISERROR(VLOOKUP($U$343,'TAR FIN'!$A$1:$O$113,15,0)),0,VLOOKUP($U$343,'TAR FIN'!$A$1:$O$113,15,0))</f>
        <v>222.31</v>
      </c>
      <c r="Y343" s="4">
        <f ca="1">('TUSD BE'!$AM$14+'TUSD BF'!$AM$14+'TUSD CVA'!$AM$14)*1</f>
        <v>26.598074646640526</v>
      </c>
      <c r="Z343" s="4">
        <f ca="1">('TUSD BE'!$AM$15+'TUSD BF'!$AM$15+'TUSD CVA'!$AM$15)*1</f>
        <v>65.007409626508434</v>
      </c>
      <c r="AA343" s="4">
        <f>('TE BE'!$AA$11+'TE BF'!$AA$11+'TE CVA'!$AA$11)*1</f>
        <v>223.14561812044704</v>
      </c>
      <c r="AB343" s="4">
        <f>$K$343*$V$343</f>
        <v>3476.33</v>
      </c>
      <c r="AC343" s="4">
        <f>$M$343*$W$343</f>
        <v>522.95399999999995</v>
      </c>
      <c r="AD343" s="4">
        <f>$O$343*$X$343</f>
        <v>2267.5619999999999</v>
      </c>
      <c r="AE343" s="4">
        <f ca="1">$K$343*$Y$343</f>
        <v>3803.5246744695951</v>
      </c>
      <c r="AF343" s="4">
        <f ca="1">$M$343*$Z$343</f>
        <v>663.07557819038595</v>
      </c>
      <c r="AG343" s="4">
        <f>$O$343*$AA$343</f>
        <v>2276.0853048285599</v>
      </c>
    </row>
    <row r="344" spans="1:33" ht="11.25" customHeight="1" x14ac:dyDescent="0.25">
      <c r="A344" s="3" t="s">
        <v>21</v>
      </c>
      <c r="B344" s="3" t="s">
        <v>41</v>
      </c>
      <c r="C344" s="3" t="s">
        <v>40</v>
      </c>
      <c r="D344" s="3" t="s">
        <v>38</v>
      </c>
      <c r="E344" s="3" t="s">
        <v>25</v>
      </c>
      <c r="F344" s="3" t="s">
        <v>25</v>
      </c>
      <c r="G344" s="3" t="s">
        <v>25</v>
      </c>
      <c r="H344" s="3" t="s">
        <v>35</v>
      </c>
      <c r="I344" s="6">
        <v>44378</v>
      </c>
      <c r="J344" s="4">
        <v>30</v>
      </c>
      <c r="K344" s="4">
        <v>30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3" t="s">
        <v>57</v>
      </c>
      <c r="R344" s="3">
        <v>0</v>
      </c>
      <c r="S344" s="4">
        <v>12</v>
      </c>
      <c r="T344" s="4">
        <v>0</v>
      </c>
      <c r="U344" s="4">
        <v>0</v>
      </c>
      <c r="V344" s="4">
        <f>IF(ISERROR(VLOOKUP($S$344,'TAR FIN'!$A$1:$O$113,15,0)),0,VLOOKUP($S$344,'TAR FIN'!$A$1:$O$113,15,0))</f>
        <v>24.31</v>
      </c>
      <c r="W344" s="4">
        <f>IF(ISERROR(VLOOKUP($T$344,'TAR FIN'!$A$1:$O$113,15,0)),0,VLOOKUP($T$344,'TAR FIN'!$A$1:$O$113,15,0))</f>
        <v>0</v>
      </c>
      <c r="X344" s="4">
        <f>IF(ISERROR(VLOOKUP($U$344,'TAR FIN'!$A$1:$O$113,15,0)),0,VLOOKUP($U$344,'TAR FIN'!$A$1:$O$113,15,0))</f>
        <v>0</v>
      </c>
      <c r="Y344" s="4">
        <f ca="1">('TUSD BE'!$AM$14+'TUSD BF'!$AM$14+'TUSD CVA'!$AM$14)*1</f>
        <v>26.598074646640526</v>
      </c>
      <c r="Z344" s="4">
        <f ca="1">('TUSD BE'!$AM$15+'TUSD BF'!$AM$15+'TUSD CVA'!$AM$15)*1</f>
        <v>65.007409626508434</v>
      </c>
      <c r="AA344" s="4"/>
      <c r="AB344" s="4">
        <f>$K$344*$V$344</f>
        <v>729.3</v>
      </c>
      <c r="AC344" s="4">
        <f>$M$344*$W$344</f>
        <v>0</v>
      </c>
      <c r="AD344" s="4">
        <f>$O$344*$X$344</f>
        <v>0</v>
      </c>
      <c r="AE344" s="4">
        <f ca="1">$K$344*$Y$344</f>
        <v>797.94223939921585</v>
      </c>
      <c r="AF344" s="4">
        <f ca="1">$M$344*$Z$344</f>
        <v>0</v>
      </c>
      <c r="AG344" s="4">
        <f>$O$344*$AA$344</f>
        <v>0</v>
      </c>
    </row>
    <row r="345" spans="1:33" ht="11.25" customHeight="1" x14ac:dyDescent="0.25">
      <c r="A345" s="3" t="s">
        <v>21</v>
      </c>
      <c r="B345" s="3" t="s">
        <v>41</v>
      </c>
      <c r="C345" s="3" t="s">
        <v>40</v>
      </c>
      <c r="D345" s="3" t="s">
        <v>38</v>
      </c>
      <c r="E345" s="3" t="s">
        <v>25</v>
      </c>
      <c r="F345" s="3" t="s">
        <v>25</v>
      </c>
      <c r="G345" s="3" t="s">
        <v>25</v>
      </c>
      <c r="H345" s="3" t="s">
        <v>35</v>
      </c>
      <c r="I345" s="6">
        <v>44409</v>
      </c>
      <c r="J345" s="4">
        <v>6334</v>
      </c>
      <c r="K345" s="4">
        <v>6334</v>
      </c>
      <c r="L345" s="4">
        <v>1116.7270000000001</v>
      </c>
      <c r="M345" s="4">
        <v>1116.7270000000001</v>
      </c>
      <c r="N345" s="4">
        <v>1116.7270000000001</v>
      </c>
      <c r="O345" s="4">
        <v>1116.7270000000001</v>
      </c>
      <c r="P345" s="4">
        <v>0</v>
      </c>
      <c r="Q345" s="3" t="s">
        <v>26</v>
      </c>
      <c r="R345" s="3">
        <v>0</v>
      </c>
      <c r="S345" s="4">
        <v>12</v>
      </c>
      <c r="T345" s="4">
        <v>110</v>
      </c>
      <c r="U345" s="4">
        <v>89</v>
      </c>
      <c r="V345" s="4">
        <f>IF(ISERROR(VLOOKUP($S$345,'TAR FIN'!$A$1:$O$113,15,0)),0,VLOOKUP($S$345,'TAR FIN'!$A$1:$O$113,15,0))</f>
        <v>24.31</v>
      </c>
      <c r="W345" s="4">
        <f>IF(ISERROR(VLOOKUP($T$345,'TAR FIN'!$A$1:$O$113,15,0)),0,VLOOKUP($T$345,'TAR FIN'!$A$1:$O$113,15,0))</f>
        <v>51.27</v>
      </c>
      <c r="X345" s="4">
        <f>IF(ISERROR(VLOOKUP($U$345,'TAR FIN'!$A$1:$O$113,15,0)),0,VLOOKUP($U$345,'TAR FIN'!$A$1:$O$113,15,0))</f>
        <v>222.31</v>
      </c>
      <c r="Y345" s="4">
        <f ca="1">('TUSD BE'!$AM$14+'TUSD BF'!$AM$14+'TUSD CVA'!$AM$14)*1</f>
        <v>26.598074646640526</v>
      </c>
      <c r="Z345" s="4">
        <f ca="1">('TUSD BE'!$AM$15+'TUSD BF'!$AM$15+'TUSD CVA'!$AM$15)*1</f>
        <v>65.007409626508434</v>
      </c>
      <c r="AA345" s="4">
        <f>('TE BE'!$AA$11+'TE BF'!$AA$11+'TE CVA'!$AA$11)*1</f>
        <v>223.14561812044704</v>
      </c>
      <c r="AB345" s="4">
        <f>$K$345*$V$345</f>
        <v>153979.53999999998</v>
      </c>
      <c r="AC345" s="4">
        <f>$M$345*$W$345</f>
        <v>57254.593290000012</v>
      </c>
      <c r="AD345" s="4">
        <f>$O$345*$X$345</f>
        <v>248259.57937000002</v>
      </c>
      <c r="AE345" s="4">
        <f ca="1">$K$345*$Y$345</f>
        <v>168472.20481182108</v>
      </c>
      <c r="AF345" s="4">
        <f ca="1">$M$345*$Z$345</f>
        <v>72595.529529981883</v>
      </c>
      <c r="AG345" s="4">
        <f>$O$345*$AA$345</f>
        <v>249192.73668679249</v>
      </c>
    </row>
    <row r="346" spans="1:33" ht="11.25" customHeight="1" x14ac:dyDescent="0.25">
      <c r="A346" s="3" t="s">
        <v>28</v>
      </c>
      <c r="B346" s="3" t="s">
        <v>41</v>
      </c>
      <c r="C346" s="3" t="s">
        <v>40</v>
      </c>
      <c r="D346" s="3" t="s">
        <v>38</v>
      </c>
      <c r="E346" s="3" t="s">
        <v>25</v>
      </c>
      <c r="F346" s="3" t="s">
        <v>25</v>
      </c>
      <c r="G346" s="3" t="s">
        <v>25</v>
      </c>
      <c r="H346" s="3" t="s">
        <v>35</v>
      </c>
      <c r="I346" s="6">
        <v>44409</v>
      </c>
      <c r="J346" s="4">
        <v>143</v>
      </c>
      <c r="K346" s="4">
        <v>143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3" t="s">
        <v>26</v>
      </c>
      <c r="R346" s="3">
        <v>0</v>
      </c>
      <c r="S346" s="4">
        <v>12</v>
      </c>
      <c r="T346" s="4">
        <v>0</v>
      </c>
      <c r="U346" s="4">
        <v>0</v>
      </c>
      <c r="V346" s="4">
        <f>IF(ISERROR(VLOOKUP($S$346,'TAR FIN'!$A$1:$O$113,15,0)),0,VLOOKUP($S$346,'TAR FIN'!$A$1:$O$113,15,0))</f>
        <v>24.31</v>
      </c>
      <c r="W346" s="4">
        <f>IF(ISERROR(VLOOKUP($T$346,'TAR FIN'!$A$1:$O$113,15,0)),0,VLOOKUP($T$346,'TAR FIN'!$A$1:$O$113,15,0))</f>
        <v>0</v>
      </c>
      <c r="X346" s="4">
        <f>IF(ISERROR(VLOOKUP($U$346,'TAR FIN'!$A$1:$O$113,15,0)),0,VLOOKUP($U$346,'TAR FIN'!$A$1:$O$113,15,0))</f>
        <v>0</v>
      </c>
      <c r="Y346" s="4">
        <f ca="1">('TUSD BE'!$AM$14+'TUSD BF'!$AM$14+'TUSD CVA'!$AM$14)*1</f>
        <v>26.598074646640526</v>
      </c>
      <c r="Z346" s="4">
        <f ca="1">('TUSD BE'!$AM$15+'TUSD BF'!$AM$15+'TUSD CVA'!$AM$15)*1</f>
        <v>65.007409626508434</v>
      </c>
      <c r="AA346" s="4">
        <f>('TE BE'!$AA$11+'TE BF'!$AA$11+'TE CVA'!$AA$11)*1</f>
        <v>223.14561812044704</v>
      </c>
      <c r="AB346" s="4">
        <f>$K$346*$V$346</f>
        <v>3476.33</v>
      </c>
      <c r="AC346" s="4">
        <f>$M$346*$W$346</f>
        <v>0</v>
      </c>
      <c r="AD346" s="4">
        <f>$O$346*$X$346</f>
        <v>0</v>
      </c>
      <c r="AE346" s="4">
        <f ca="1">$K$346*$Y$346</f>
        <v>3803.5246744695951</v>
      </c>
      <c r="AF346" s="4">
        <f ca="1">$M$346*$Z$346</f>
        <v>0</v>
      </c>
      <c r="AG346" s="4">
        <f>$O$346*$AA$346</f>
        <v>0</v>
      </c>
    </row>
    <row r="347" spans="1:33" ht="11.25" customHeight="1" x14ac:dyDescent="0.25">
      <c r="A347" s="3" t="s">
        <v>21</v>
      </c>
      <c r="B347" s="3" t="s">
        <v>41</v>
      </c>
      <c r="C347" s="3" t="s">
        <v>40</v>
      </c>
      <c r="D347" s="3" t="s">
        <v>38</v>
      </c>
      <c r="E347" s="3" t="s">
        <v>25</v>
      </c>
      <c r="F347" s="3" t="s">
        <v>25</v>
      </c>
      <c r="G347" s="3" t="s">
        <v>25</v>
      </c>
      <c r="H347" s="3" t="s">
        <v>35</v>
      </c>
      <c r="I347" s="6">
        <v>44409</v>
      </c>
      <c r="J347" s="4">
        <v>1548</v>
      </c>
      <c r="K347" s="4">
        <v>1548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3" t="s">
        <v>57</v>
      </c>
      <c r="R347" s="3">
        <v>0</v>
      </c>
      <c r="S347" s="4">
        <v>12</v>
      </c>
      <c r="T347" s="4">
        <v>0</v>
      </c>
      <c r="U347" s="4">
        <v>0</v>
      </c>
      <c r="V347" s="4">
        <f>IF(ISERROR(VLOOKUP($S$347,'TAR FIN'!$A$1:$O$113,15,0)),0,VLOOKUP($S$347,'TAR FIN'!$A$1:$O$113,15,0))</f>
        <v>24.31</v>
      </c>
      <c r="W347" s="4">
        <f>IF(ISERROR(VLOOKUP($T$347,'TAR FIN'!$A$1:$O$113,15,0)),0,VLOOKUP($T$347,'TAR FIN'!$A$1:$O$113,15,0))</f>
        <v>0</v>
      </c>
      <c r="X347" s="4">
        <f>IF(ISERROR(VLOOKUP($U$347,'TAR FIN'!$A$1:$O$113,15,0)),0,VLOOKUP($U$347,'TAR FIN'!$A$1:$O$113,15,0))</f>
        <v>0</v>
      </c>
      <c r="Y347" s="4">
        <f ca="1">('TUSD BE'!$AM$14+'TUSD BF'!$AM$14+'TUSD CVA'!$AM$14)*1</f>
        <v>26.598074646640526</v>
      </c>
      <c r="Z347" s="4">
        <f ca="1">('TUSD BE'!$AM$15+'TUSD BF'!$AM$15+'TUSD CVA'!$AM$15)*1</f>
        <v>65.007409626508434</v>
      </c>
      <c r="AA347" s="4"/>
      <c r="AB347" s="4">
        <f>$K$347*$V$347</f>
        <v>37631.879999999997</v>
      </c>
      <c r="AC347" s="4">
        <f>$M$347*$W$347</f>
        <v>0</v>
      </c>
      <c r="AD347" s="4">
        <f>$O$347*$X$347</f>
        <v>0</v>
      </c>
      <c r="AE347" s="4">
        <f ca="1">$K$347*$Y$347</f>
        <v>41173.819552999536</v>
      </c>
      <c r="AF347" s="4">
        <f ca="1">$M$347*$Z$347</f>
        <v>0</v>
      </c>
      <c r="AG347" s="4">
        <f>$O$347*$AA$347</f>
        <v>0</v>
      </c>
    </row>
    <row r="348" spans="1:33" ht="11.25" customHeight="1" x14ac:dyDescent="0.25">
      <c r="A348" s="3" t="s">
        <v>21</v>
      </c>
      <c r="B348" s="3" t="s">
        <v>41</v>
      </c>
      <c r="C348" s="3" t="s">
        <v>40</v>
      </c>
      <c r="D348" s="3" t="s">
        <v>38</v>
      </c>
      <c r="E348" s="3" t="s">
        <v>25</v>
      </c>
      <c r="F348" s="3" t="s">
        <v>25</v>
      </c>
      <c r="G348" s="3" t="s">
        <v>25</v>
      </c>
      <c r="H348" s="3" t="s">
        <v>35</v>
      </c>
      <c r="I348" s="6">
        <v>44440</v>
      </c>
      <c r="J348" s="4">
        <v>6336</v>
      </c>
      <c r="K348" s="4">
        <v>6336</v>
      </c>
      <c r="L348" s="4">
        <v>1113.941</v>
      </c>
      <c r="M348" s="4">
        <v>1113.941</v>
      </c>
      <c r="N348" s="4">
        <v>1113.941</v>
      </c>
      <c r="O348" s="4">
        <v>1113.941</v>
      </c>
      <c r="P348" s="4">
        <v>0</v>
      </c>
      <c r="Q348" s="3" t="s">
        <v>26</v>
      </c>
      <c r="R348" s="3">
        <v>0</v>
      </c>
      <c r="S348" s="4">
        <v>12</v>
      </c>
      <c r="T348" s="4">
        <v>110</v>
      </c>
      <c r="U348" s="4">
        <v>89</v>
      </c>
      <c r="V348" s="4">
        <f>IF(ISERROR(VLOOKUP($S$348,'TAR FIN'!$A$1:$O$113,15,0)),0,VLOOKUP($S$348,'TAR FIN'!$A$1:$O$113,15,0))</f>
        <v>24.31</v>
      </c>
      <c r="W348" s="4">
        <f>IF(ISERROR(VLOOKUP($T$348,'TAR FIN'!$A$1:$O$113,15,0)),0,VLOOKUP($T$348,'TAR FIN'!$A$1:$O$113,15,0))</f>
        <v>51.27</v>
      </c>
      <c r="X348" s="4">
        <f>IF(ISERROR(VLOOKUP($U$348,'TAR FIN'!$A$1:$O$113,15,0)),0,VLOOKUP($U$348,'TAR FIN'!$A$1:$O$113,15,0))</f>
        <v>222.31</v>
      </c>
      <c r="Y348" s="4">
        <f ca="1">('TUSD BE'!$AM$14+'TUSD BF'!$AM$14+'TUSD CVA'!$AM$14)*1</f>
        <v>26.598074646640526</v>
      </c>
      <c r="Z348" s="4">
        <f ca="1">('TUSD BE'!$AM$15+'TUSD BF'!$AM$15+'TUSD CVA'!$AM$15)*1</f>
        <v>65.007409626508434</v>
      </c>
      <c r="AA348" s="4">
        <f>('TE BE'!$AA$11+'TE BF'!$AA$11+'TE CVA'!$AA$11)*1</f>
        <v>223.14561812044704</v>
      </c>
      <c r="AB348" s="4">
        <f>$K$348*$V$348</f>
        <v>154028.16</v>
      </c>
      <c r="AC348" s="4">
        <f>$M$348*$W$348</f>
        <v>57111.755070000007</v>
      </c>
      <c r="AD348" s="4">
        <f>$O$348*$X$348</f>
        <v>247640.22371000002</v>
      </c>
      <c r="AE348" s="4">
        <f ca="1">$K$348*$Y$348</f>
        <v>168525.40096111438</v>
      </c>
      <c r="AF348" s="4">
        <f ca="1">$M$348*$Z$348</f>
        <v>72414.418886762433</v>
      </c>
      <c r="AG348" s="4">
        <f>$O$348*$AA$348</f>
        <v>248571.05299470891</v>
      </c>
    </row>
    <row r="349" spans="1:33" ht="11.25" customHeight="1" x14ac:dyDescent="0.25">
      <c r="A349" s="3" t="s">
        <v>28</v>
      </c>
      <c r="B349" s="3" t="s">
        <v>41</v>
      </c>
      <c r="C349" s="3" t="s">
        <v>40</v>
      </c>
      <c r="D349" s="3" t="s">
        <v>38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44440</v>
      </c>
      <c r="J349" s="4">
        <v>143</v>
      </c>
      <c r="K349" s="4">
        <v>143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 t="s">
        <v>26</v>
      </c>
      <c r="R349" s="3">
        <v>0</v>
      </c>
      <c r="S349" s="4">
        <v>12</v>
      </c>
      <c r="T349" s="4">
        <v>0</v>
      </c>
      <c r="U349" s="4">
        <v>0</v>
      </c>
      <c r="V349" s="4">
        <f>IF(ISERROR(VLOOKUP($S$349,'TAR FIN'!$A$1:$O$113,15,0)),0,VLOOKUP($S$349,'TAR FIN'!$A$1:$O$113,15,0))</f>
        <v>24.31</v>
      </c>
      <c r="W349" s="4">
        <f>IF(ISERROR(VLOOKUP($T$349,'TAR FIN'!$A$1:$O$113,15,0)),0,VLOOKUP($T$349,'TAR FIN'!$A$1:$O$113,15,0))</f>
        <v>0</v>
      </c>
      <c r="X349" s="4">
        <f>IF(ISERROR(VLOOKUP($U$349,'TAR FIN'!$A$1:$O$113,15,0)),0,VLOOKUP($U$349,'TAR FIN'!$A$1:$O$113,15,0))</f>
        <v>0</v>
      </c>
      <c r="Y349" s="4">
        <f ca="1">('TUSD BE'!$AM$14+'TUSD BF'!$AM$14+'TUSD CVA'!$AM$14)*1</f>
        <v>26.598074646640526</v>
      </c>
      <c r="Z349" s="4">
        <f ca="1">('TUSD BE'!$AM$15+'TUSD BF'!$AM$15+'TUSD CVA'!$AM$15)*1</f>
        <v>65.007409626508434</v>
      </c>
      <c r="AA349" s="4">
        <f>('TE BE'!$AA$11+'TE BF'!$AA$11+'TE CVA'!$AA$11)*1</f>
        <v>223.14561812044704</v>
      </c>
      <c r="AB349" s="4">
        <f>$K$349*$V$349</f>
        <v>3476.33</v>
      </c>
      <c r="AC349" s="4">
        <f>$M$349*$W$349</f>
        <v>0</v>
      </c>
      <c r="AD349" s="4">
        <f>$O$349*$X$349</f>
        <v>0</v>
      </c>
      <c r="AE349" s="4">
        <f ca="1">$K$349*$Y$349</f>
        <v>3803.5246744695951</v>
      </c>
      <c r="AF349" s="4">
        <f ca="1">$M$349*$Z$349</f>
        <v>0</v>
      </c>
      <c r="AG349" s="4">
        <f>$O$349*$AA$349</f>
        <v>0</v>
      </c>
    </row>
    <row r="350" spans="1:33" ht="11.25" customHeight="1" x14ac:dyDescent="0.25">
      <c r="A350" s="3" t="s">
        <v>21</v>
      </c>
      <c r="B350" s="3" t="s">
        <v>41</v>
      </c>
      <c r="C350" s="3" t="s">
        <v>40</v>
      </c>
      <c r="D350" s="3" t="s">
        <v>38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44440</v>
      </c>
      <c r="J350" s="4">
        <v>88</v>
      </c>
      <c r="K350" s="4">
        <v>88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3" t="s">
        <v>57</v>
      </c>
      <c r="R350" s="3">
        <v>0</v>
      </c>
      <c r="S350" s="4">
        <v>12</v>
      </c>
      <c r="T350" s="4">
        <v>0</v>
      </c>
      <c r="U350" s="4">
        <v>0</v>
      </c>
      <c r="V350" s="4">
        <f>IF(ISERROR(VLOOKUP($S$350,'TAR FIN'!$A$1:$O$113,15,0)),0,VLOOKUP($S$350,'TAR FIN'!$A$1:$O$113,15,0))</f>
        <v>24.31</v>
      </c>
      <c r="W350" s="4">
        <f>IF(ISERROR(VLOOKUP($T$350,'TAR FIN'!$A$1:$O$113,15,0)),0,VLOOKUP($T$350,'TAR FIN'!$A$1:$O$113,15,0))</f>
        <v>0</v>
      </c>
      <c r="X350" s="4">
        <f>IF(ISERROR(VLOOKUP($U$350,'TAR FIN'!$A$1:$O$113,15,0)),0,VLOOKUP($U$350,'TAR FIN'!$A$1:$O$113,15,0))</f>
        <v>0</v>
      </c>
      <c r="Y350" s="4">
        <f ca="1">('TUSD BE'!$AM$14+'TUSD BF'!$AM$14+'TUSD CVA'!$AM$14)*1</f>
        <v>26.598074646640526</v>
      </c>
      <c r="Z350" s="4">
        <f ca="1">('TUSD BE'!$AM$15+'TUSD BF'!$AM$15+'TUSD CVA'!$AM$15)*1</f>
        <v>65.007409626508434</v>
      </c>
      <c r="AA350" s="4"/>
      <c r="AB350" s="4">
        <f>$K$350*$V$350</f>
        <v>2139.2799999999997</v>
      </c>
      <c r="AC350" s="4">
        <f>$M$350*$W$350</f>
        <v>0</v>
      </c>
      <c r="AD350" s="4">
        <f>$O$350*$X$350</f>
        <v>0</v>
      </c>
      <c r="AE350" s="4">
        <f ca="1">$K$350*$Y$350</f>
        <v>2340.6305689043666</v>
      </c>
      <c r="AF350" s="4">
        <f ca="1">$M$350*$Z$350</f>
        <v>0</v>
      </c>
      <c r="AG350" s="4">
        <f>$O$350*$AA$350</f>
        <v>0</v>
      </c>
    </row>
    <row r="351" spans="1:33" ht="11.25" customHeight="1" x14ac:dyDescent="0.25">
      <c r="A351" s="3" t="s">
        <v>21</v>
      </c>
      <c r="B351" s="3" t="s">
        <v>41</v>
      </c>
      <c r="C351" s="3" t="s">
        <v>40</v>
      </c>
      <c r="D351" s="3" t="s">
        <v>38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44470</v>
      </c>
      <c r="J351" s="4">
        <v>6439</v>
      </c>
      <c r="K351" s="4">
        <v>6439</v>
      </c>
      <c r="L351" s="4">
        <v>1224.2190000000001</v>
      </c>
      <c r="M351" s="4">
        <v>1224.2190000000001</v>
      </c>
      <c r="N351" s="4">
        <v>1224.2190000000001</v>
      </c>
      <c r="O351" s="4">
        <v>1224.2190000000001</v>
      </c>
      <c r="P351" s="4">
        <v>0</v>
      </c>
      <c r="Q351" s="3" t="s">
        <v>26</v>
      </c>
      <c r="R351" s="3">
        <v>0</v>
      </c>
      <c r="S351" s="4">
        <v>12</v>
      </c>
      <c r="T351" s="4">
        <v>110</v>
      </c>
      <c r="U351" s="4">
        <v>89</v>
      </c>
      <c r="V351" s="4">
        <f>IF(ISERROR(VLOOKUP($S$351,'TAR FIN'!$A$1:$O$113,15,0)),0,VLOOKUP($S$351,'TAR FIN'!$A$1:$O$113,15,0))</f>
        <v>24.31</v>
      </c>
      <c r="W351" s="4">
        <f>IF(ISERROR(VLOOKUP($T$351,'TAR FIN'!$A$1:$O$113,15,0)),0,VLOOKUP($T$351,'TAR FIN'!$A$1:$O$113,15,0))</f>
        <v>51.27</v>
      </c>
      <c r="X351" s="4">
        <f>IF(ISERROR(VLOOKUP($U$351,'TAR FIN'!$A$1:$O$113,15,0)),0,VLOOKUP($U$351,'TAR FIN'!$A$1:$O$113,15,0))</f>
        <v>222.31</v>
      </c>
      <c r="Y351" s="4">
        <f ca="1">('TUSD BE'!$AM$14+'TUSD BF'!$AM$14+'TUSD CVA'!$AM$14)*1</f>
        <v>26.598074646640526</v>
      </c>
      <c r="Z351" s="4">
        <f ca="1">('TUSD BE'!$AM$15+'TUSD BF'!$AM$15+'TUSD CVA'!$AM$15)*1</f>
        <v>65.007409626508434</v>
      </c>
      <c r="AA351" s="4">
        <f>('TE BE'!$AA$11+'TE BF'!$AA$11+'TE CVA'!$AA$11)*1</f>
        <v>223.14561812044704</v>
      </c>
      <c r="AB351" s="4">
        <f>$K$351*$V$351</f>
        <v>156532.09</v>
      </c>
      <c r="AC351" s="4">
        <f>$M$351*$W$351</f>
        <v>62765.708130000006</v>
      </c>
      <c r="AD351" s="4">
        <f>$O$351*$X$351</f>
        <v>272156.12589000002</v>
      </c>
      <c r="AE351" s="4">
        <f ca="1">$K$351*$Y$351</f>
        <v>171265.00264971834</v>
      </c>
      <c r="AF351" s="4">
        <f ca="1">$M$351*$Z$351</f>
        <v>79583.306005554536</v>
      </c>
      <c r="AG351" s="4">
        <f>$O$351*$AA$351</f>
        <v>273179.10546979558</v>
      </c>
    </row>
    <row r="352" spans="1:33" ht="11.25" customHeight="1" x14ac:dyDescent="0.25">
      <c r="A352" s="3" t="s">
        <v>28</v>
      </c>
      <c r="B352" s="3" t="s">
        <v>41</v>
      </c>
      <c r="C352" s="3" t="s">
        <v>40</v>
      </c>
      <c r="D352" s="3" t="s">
        <v>38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44470</v>
      </c>
      <c r="J352" s="4">
        <v>143</v>
      </c>
      <c r="K352" s="4">
        <v>143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3" t="s">
        <v>26</v>
      </c>
      <c r="R352" s="3">
        <v>0</v>
      </c>
      <c r="S352" s="4">
        <v>12</v>
      </c>
      <c r="T352" s="4">
        <v>0</v>
      </c>
      <c r="U352" s="4">
        <v>0</v>
      </c>
      <c r="V352" s="4">
        <f>IF(ISERROR(VLOOKUP($S$352,'TAR FIN'!$A$1:$O$113,15,0)),0,VLOOKUP($S$352,'TAR FIN'!$A$1:$O$113,15,0))</f>
        <v>24.31</v>
      </c>
      <c r="W352" s="4">
        <f>IF(ISERROR(VLOOKUP($T$352,'TAR FIN'!$A$1:$O$113,15,0)),0,VLOOKUP($T$352,'TAR FIN'!$A$1:$O$113,15,0))</f>
        <v>0</v>
      </c>
      <c r="X352" s="4">
        <f>IF(ISERROR(VLOOKUP($U$352,'TAR FIN'!$A$1:$O$113,15,0)),0,VLOOKUP($U$352,'TAR FIN'!$A$1:$O$113,15,0))</f>
        <v>0</v>
      </c>
      <c r="Y352" s="4">
        <f ca="1">('TUSD BE'!$AM$14+'TUSD BF'!$AM$14+'TUSD CVA'!$AM$14)*1</f>
        <v>26.598074646640526</v>
      </c>
      <c r="Z352" s="4">
        <f ca="1">('TUSD BE'!$AM$15+'TUSD BF'!$AM$15+'TUSD CVA'!$AM$15)*1</f>
        <v>65.007409626508434</v>
      </c>
      <c r="AA352" s="4">
        <f>('TE BE'!$AA$11+'TE BF'!$AA$11+'TE CVA'!$AA$11)*1</f>
        <v>223.14561812044704</v>
      </c>
      <c r="AB352" s="4">
        <f>$K$352*$V$352</f>
        <v>3476.33</v>
      </c>
      <c r="AC352" s="4">
        <f>$M$352*$W$352</f>
        <v>0</v>
      </c>
      <c r="AD352" s="4">
        <f>$O$352*$X$352</f>
        <v>0</v>
      </c>
      <c r="AE352" s="4">
        <f ca="1">$K$352*$Y$352</f>
        <v>3803.5246744695951</v>
      </c>
      <c r="AF352" s="4">
        <f ca="1">$M$352*$Z$352</f>
        <v>0</v>
      </c>
      <c r="AG352" s="4">
        <f>$O$352*$AA$352</f>
        <v>0</v>
      </c>
    </row>
    <row r="353" spans="1:33" ht="11.25" customHeight="1" x14ac:dyDescent="0.25">
      <c r="A353" s="3" t="s">
        <v>21</v>
      </c>
      <c r="B353" s="3" t="s">
        <v>41</v>
      </c>
      <c r="C353" s="3" t="s">
        <v>40</v>
      </c>
      <c r="D353" s="3" t="s">
        <v>38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44501</v>
      </c>
      <c r="J353" s="4">
        <v>6381</v>
      </c>
      <c r="K353" s="4">
        <v>6381</v>
      </c>
      <c r="L353" s="4">
        <v>1155.873</v>
      </c>
      <c r="M353" s="4">
        <v>1155.873</v>
      </c>
      <c r="N353" s="4">
        <v>1155.873</v>
      </c>
      <c r="O353" s="4">
        <v>1155.873</v>
      </c>
      <c r="P353" s="4">
        <v>0</v>
      </c>
      <c r="Q353" s="3" t="s">
        <v>26</v>
      </c>
      <c r="R353" s="3">
        <v>0</v>
      </c>
      <c r="S353" s="4">
        <v>12</v>
      </c>
      <c r="T353" s="4">
        <v>110</v>
      </c>
      <c r="U353" s="4">
        <v>89</v>
      </c>
      <c r="V353" s="4">
        <f>IF(ISERROR(VLOOKUP($S$353,'TAR FIN'!$A$1:$O$113,15,0)),0,VLOOKUP($S$353,'TAR FIN'!$A$1:$O$113,15,0))</f>
        <v>24.31</v>
      </c>
      <c r="W353" s="4">
        <f>IF(ISERROR(VLOOKUP($T$353,'TAR FIN'!$A$1:$O$113,15,0)),0,VLOOKUP($T$353,'TAR FIN'!$A$1:$O$113,15,0))</f>
        <v>51.27</v>
      </c>
      <c r="X353" s="4">
        <f>IF(ISERROR(VLOOKUP($U$353,'TAR FIN'!$A$1:$O$113,15,0)),0,VLOOKUP($U$353,'TAR FIN'!$A$1:$O$113,15,0))</f>
        <v>222.31</v>
      </c>
      <c r="Y353" s="4">
        <f ca="1">('TUSD BE'!$AM$14+'TUSD BF'!$AM$14+'TUSD CVA'!$AM$14)*1</f>
        <v>26.598074646640526</v>
      </c>
      <c r="Z353" s="4">
        <f ca="1">('TUSD BE'!$AM$15+'TUSD BF'!$AM$15+'TUSD CVA'!$AM$15)*1</f>
        <v>65.007409626508434</v>
      </c>
      <c r="AA353" s="4">
        <f>('TE BE'!$AA$11+'TE BF'!$AA$11+'TE CVA'!$AA$11)*1</f>
        <v>223.14561812044704</v>
      </c>
      <c r="AB353" s="4">
        <f>$K$353*$V$353</f>
        <v>155122.10999999999</v>
      </c>
      <c r="AC353" s="4">
        <f>$M$353*$W$353</f>
        <v>59261.608710000008</v>
      </c>
      <c r="AD353" s="4">
        <f>$O$353*$X$353</f>
        <v>256962.12663000001</v>
      </c>
      <c r="AE353" s="4">
        <f ca="1">$K$353*$Y$353</f>
        <v>169722.31432021319</v>
      </c>
      <c r="AF353" s="4">
        <f ca="1">$M$353*$Z$353</f>
        <v>75140.309587221185</v>
      </c>
      <c r="AG353" s="4">
        <f>$O$353*$AA$353</f>
        <v>257927.9950537355</v>
      </c>
    </row>
    <row r="354" spans="1:33" ht="11.25" customHeight="1" x14ac:dyDescent="0.25">
      <c r="A354" s="3" t="s">
        <v>28</v>
      </c>
      <c r="B354" s="3" t="s">
        <v>41</v>
      </c>
      <c r="C354" s="3" t="s">
        <v>40</v>
      </c>
      <c r="D354" s="3" t="s">
        <v>38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44501</v>
      </c>
      <c r="J354" s="4">
        <v>358</v>
      </c>
      <c r="K354" s="4">
        <v>358</v>
      </c>
      <c r="L354" s="4">
        <v>10.785</v>
      </c>
      <c r="M354" s="4">
        <v>10.785</v>
      </c>
      <c r="N354" s="4">
        <v>10.785</v>
      </c>
      <c r="O354" s="4">
        <v>10.785</v>
      </c>
      <c r="P354" s="4">
        <v>0</v>
      </c>
      <c r="Q354" s="3" t="s">
        <v>26</v>
      </c>
      <c r="R354" s="3">
        <v>0</v>
      </c>
      <c r="S354" s="4">
        <v>12</v>
      </c>
      <c r="T354" s="4">
        <v>110</v>
      </c>
      <c r="U354" s="4">
        <v>89</v>
      </c>
      <c r="V354" s="4">
        <f>IF(ISERROR(VLOOKUP($S$354,'TAR FIN'!$A$1:$O$113,15,0)),0,VLOOKUP($S$354,'TAR FIN'!$A$1:$O$113,15,0))</f>
        <v>24.31</v>
      </c>
      <c r="W354" s="4">
        <f>IF(ISERROR(VLOOKUP($T$354,'TAR FIN'!$A$1:$O$113,15,0)),0,VLOOKUP($T$354,'TAR FIN'!$A$1:$O$113,15,0))</f>
        <v>51.27</v>
      </c>
      <c r="X354" s="4">
        <f>IF(ISERROR(VLOOKUP($U$354,'TAR FIN'!$A$1:$O$113,15,0)),0,VLOOKUP($U$354,'TAR FIN'!$A$1:$O$113,15,0))</f>
        <v>222.31</v>
      </c>
      <c r="Y354" s="4">
        <f ca="1">('TUSD BE'!$AM$14+'TUSD BF'!$AM$14+'TUSD CVA'!$AM$14)*1</f>
        <v>26.598074646640526</v>
      </c>
      <c r="Z354" s="4">
        <f ca="1">('TUSD BE'!$AM$15+'TUSD BF'!$AM$15+'TUSD CVA'!$AM$15)*1</f>
        <v>65.007409626508434</v>
      </c>
      <c r="AA354" s="4">
        <f>('TE BE'!$AA$11+'TE BF'!$AA$11+'TE CVA'!$AA$11)*1</f>
        <v>223.14561812044704</v>
      </c>
      <c r="AB354" s="4">
        <f>$K$354*$V$354</f>
        <v>8702.98</v>
      </c>
      <c r="AC354" s="4">
        <f>$M$354*$W$354</f>
        <v>552.94695000000002</v>
      </c>
      <c r="AD354" s="4">
        <f>$O$354*$X$354</f>
        <v>2397.6133500000001</v>
      </c>
      <c r="AE354" s="4">
        <f ca="1">$K$354*$Y$354</f>
        <v>9522.1107234973078</v>
      </c>
      <c r="AF354" s="4">
        <f ca="1">$M$354*$Z$354</f>
        <v>701.10491282189344</v>
      </c>
      <c r="AG354" s="4">
        <f>$O$354*$AA$354</f>
        <v>2406.6254914290212</v>
      </c>
    </row>
    <row r="355" spans="1:33" ht="11.25" customHeight="1" x14ac:dyDescent="0.25">
      <c r="A355" s="3" t="s">
        <v>21</v>
      </c>
      <c r="B355" s="3" t="s">
        <v>41</v>
      </c>
      <c r="C355" s="3" t="s">
        <v>40</v>
      </c>
      <c r="D355" s="3" t="s">
        <v>38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44531</v>
      </c>
      <c r="J355" s="4">
        <v>5594</v>
      </c>
      <c r="K355" s="4">
        <v>5594</v>
      </c>
      <c r="L355" s="4">
        <v>1162.1420000000001</v>
      </c>
      <c r="M355" s="4">
        <v>1162.1420000000001</v>
      </c>
      <c r="N355" s="4">
        <v>1162.1420000000001</v>
      </c>
      <c r="O355" s="4">
        <v>1162.1420000000001</v>
      </c>
      <c r="P355" s="4">
        <v>0</v>
      </c>
      <c r="Q355" s="3" t="s">
        <v>26</v>
      </c>
      <c r="R355" s="3">
        <v>0</v>
      </c>
      <c r="S355" s="4">
        <v>12</v>
      </c>
      <c r="T355" s="4">
        <v>110</v>
      </c>
      <c r="U355" s="4">
        <v>89</v>
      </c>
      <c r="V355" s="4">
        <f>IF(ISERROR(VLOOKUP($S$355,'TAR FIN'!$A$1:$O$113,15,0)),0,VLOOKUP($S$355,'TAR FIN'!$A$1:$O$113,15,0))</f>
        <v>24.31</v>
      </c>
      <c r="W355" s="4">
        <f>IF(ISERROR(VLOOKUP($T$355,'TAR FIN'!$A$1:$O$113,15,0)),0,VLOOKUP($T$355,'TAR FIN'!$A$1:$O$113,15,0))</f>
        <v>51.27</v>
      </c>
      <c r="X355" s="4">
        <f>IF(ISERROR(VLOOKUP($U$355,'TAR FIN'!$A$1:$O$113,15,0)),0,VLOOKUP($U$355,'TAR FIN'!$A$1:$O$113,15,0))</f>
        <v>222.31</v>
      </c>
      <c r="Y355" s="4">
        <f ca="1">('TUSD BE'!$AM$14+'TUSD BF'!$AM$14+'TUSD CVA'!$AM$14)*1</f>
        <v>26.598074646640526</v>
      </c>
      <c r="Z355" s="4">
        <f ca="1">('TUSD BE'!$AM$15+'TUSD BF'!$AM$15+'TUSD CVA'!$AM$15)*1</f>
        <v>65.007409626508434</v>
      </c>
      <c r="AA355" s="4">
        <f>('TE BE'!$AA$11+'TE BF'!$AA$11+'TE CVA'!$AA$11)*1</f>
        <v>223.14561812044704</v>
      </c>
      <c r="AB355" s="4">
        <f>$K$355*$V$355</f>
        <v>135990.13999999998</v>
      </c>
      <c r="AC355" s="4">
        <f>$M$355*$W$355</f>
        <v>59583.020340000003</v>
      </c>
      <c r="AD355" s="4">
        <f>$O$355*$X$355</f>
        <v>258355.78802000001</v>
      </c>
      <c r="AE355" s="4">
        <f ca="1">$K$355*$Y$355</f>
        <v>148789.62957330712</v>
      </c>
      <c r="AF355" s="4">
        <f ca="1">$M$355*$Z$355</f>
        <v>75547.841038169761</v>
      </c>
      <c r="AG355" s="4">
        <f>$O$355*$AA$355</f>
        <v>259326.89493373258</v>
      </c>
    </row>
    <row r="356" spans="1:33" ht="11.25" customHeight="1" x14ac:dyDescent="0.25">
      <c r="A356" s="3" t="s">
        <v>28</v>
      </c>
      <c r="B356" s="3" t="s">
        <v>41</v>
      </c>
      <c r="C356" s="3" t="s">
        <v>40</v>
      </c>
      <c r="D356" s="3" t="s">
        <v>38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44531</v>
      </c>
      <c r="J356" s="4">
        <v>358</v>
      </c>
      <c r="K356" s="4">
        <v>358</v>
      </c>
      <c r="L356" s="4">
        <v>23.751000000000001</v>
      </c>
      <c r="M356" s="4">
        <v>23.751000000000001</v>
      </c>
      <c r="N356" s="4">
        <v>23.751000000000001</v>
      </c>
      <c r="O356" s="4">
        <v>23.751000000000001</v>
      </c>
      <c r="P356" s="4">
        <v>0</v>
      </c>
      <c r="Q356" s="3" t="s">
        <v>26</v>
      </c>
      <c r="R356" s="3">
        <v>0</v>
      </c>
      <c r="S356" s="4">
        <v>12</v>
      </c>
      <c r="T356" s="4">
        <v>110</v>
      </c>
      <c r="U356" s="4">
        <v>89</v>
      </c>
      <c r="V356" s="4">
        <f>IF(ISERROR(VLOOKUP($S$356,'TAR FIN'!$A$1:$O$113,15,0)),0,VLOOKUP($S$356,'TAR FIN'!$A$1:$O$113,15,0))</f>
        <v>24.31</v>
      </c>
      <c r="W356" s="4">
        <f>IF(ISERROR(VLOOKUP($T$356,'TAR FIN'!$A$1:$O$113,15,0)),0,VLOOKUP($T$356,'TAR FIN'!$A$1:$O$113,15,0))</f>
        <v>51.27</v>
      </c>
      <c r="X356" s="4">
        <f>IF(ISERROR(VLOOKUP($U$356,'TAR FIN'!$A$1:$O$113,15,0)),0,VLOOKUP($U$356,'TAR FIN'!$A$1:$O$113,15,0))</f>
        <v>222.31</v>
      </c>
      <c r="Y356" s="4">
        <f ca="1">('TUSD BE'!$AM$14+'TUSD BF'!$AM$14+'TUSD CVA'!$AM$14)*1</f>
        <v>26.598074646640526</v>
      </c>
      <c r="Z356" s="4">
        <f ca="1">('TUSD BE'!$AM$15+'TUSD BF'!$AM$15+'TUSD CVA'!$AM$15)*1</f>
        <v>65.007409626508434</v>
      </c>
      <c r="AA356" s="4">
        <f>('TE BE'!$AA$11+'TE BF'!$AA$11+'TE CVA'!$AA$11)*1</f>
        <v>223.14561812044704</v>
      </c>
      <c r="AB356" s="4">
        <f>$K$356*$V$356</f>
        <v>8702.98</v>
      </c>
      <c r="AC356" s="4">
        <f>$M$356*$W$356</f>
        <v>1217.7137700000001</v>
      </c>
      <c r="AD356" s="4">
        <f>$O$356*$X$356</f>
        <v>5280.0848100000003</v>
      </c>
      <c r="AE356" s="4">
        <f ca="1">$K$356*$Y$356</f>
        <v>9522.1107234973078</v>
      </c>
      <c r="AF356" s="4">
        <f ca="1">$M$356*$Z$356</f>
        <v>1543.990986039202</v>
      </c>
      <c r="AG356" s="4">
        <f>$O$356*$AA$356</f>
        <v>5299.9315759787378</v>
      </c>
    </row>
    <row r="357" spans="1:33" ht="11.25" customHeight="1" x14ac:dyDescent="0.25">
      <c r="A357" s="3" t="s">
        <v>21</v>
      </c>
      <c r="B357" s="3" t="s">
        <v>41</v>
      </c>
      <c r="C357" s="3" t="s">
        <v>40</v>
      </c>
      <c r="D357" s="3" t="s">
        <v>38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44562</v>
      </c>
      <c r="J357" s="4">
        <v>5578</v>
      </c>
      <c r="K357" s="4">
        <v>5578</v>
      </c>
      <c r="L357" s="4">
        <v>1070.269</v>
      </c>
      <c r="M357" s="4">
        <v>1070.269</v>
      </c>
      <c r="N357" s="4">
        <v>1070.269</v>
      </c>
      <c r="O357" s="4">
        <v>1070.269</v>
      </c>
      <c r="P357" s="4">
        <v>0</v>
      </c>
      <c r="Q357" s="3" t="s">
        <v>26</v>
      </c>
      <c r="R357" s="3">
        <v>0</v>
      </c>
      <c r="S357" s="4">
        <v>12</v>
      </c>
      <c r="T357" s="4">
        <v>110</v>
      </c>
      <c r="U357" s="4">
        <v>89</v>
      </c>
      <c r="V357" s="4">
        <f>IF(ISERROR(VLOOKUP($S$357,'TAR FIN'!$A$1:$O$113,15,0)),0,VLOOKUP($S$357,'TAR FIN'!$A$1:$O$113,15,0))</f>
        <v>24.31</v>
      </c>
      <c r="W357" s="4">
        <f>IF(ISERROR(VLOOKUP($T$357,'TAR FIN'!$A$1:$O$113,15,0)),0,VLOOKUP($T$357,'TAR FIN'!$A$1:$O$113,15,0))</f>
        <v>51.27</v>
      </c>
      <c r="X357" s="4">
        <f>IF(ISERROR(VLOOKUP($U$357,'TAR FIN'!$A$1:$O$113,15,0)),0,VLOOKUP($U$357,'TAR FIN'!$A$1:$O$113,15,0))</f>
        <v>222.31</v>
      </c>
      <c r="Y357" s="4">
        <f ca="1">('TUSD BE'!$AM$14+'TUSD BF'!$AM$14+'TUSD CVA'!$AM$14)*1</f>
        <v>26.598074646640526</v>
      </c>
      <c r="Z357" s="4">
        <f ca="1">('TUSD BE'!$AM$15+'TUSD BF'!$AM$15+'TUSD CVA'!$AM$15)*1</f>
        <v>65.007409626508434</v>
      </c>
      <c r="AA357" s="4">
        <f>('TE BE'!$AA$11+'TE BF'!$AA$11+'TE CVA'!$AA$11)*1</f>
        <v>223.14561812044704</v>
      </c>
      <c r="AB357" s="4">
        <f>$K$357*$V$357</f>
        <v>135601.18</v>
      </c>
      <c r="AC357" s="4">
        <f>$M$357*$W$357</f>
        <v>54872.691630000001</v>
      </c>
      <c r="AD357" s="4">
        <f>$O$357*$X$357</f>
        <v>237931.50138999999</v>
      </c>
      <c r="AE357" s="4">
        <f ca="1">$K$357*$Y$357</f>
        <v>148364.06037896086</v>
      </c>
      <c r="AF357" s="4">
        <f ca="1">$M$357*$Z$357</f>
        <v>69575.415293553553</v>
      </c>
      <c r="AG357" s="4">
        <f>$O$357*$AA$357</f>
        <v>238825.83756015272</v>
      </c>
    </row>
    <row r="358" spans="1:33" ht="11.25" customHeight="1" x14ac:dyDescent="0.25">
      <c r="A358" s="3" t="s">
        <v>28</v>
      </c>
      <c r="B358" s="3" t="s">
        <v>41</v>
      </c>
      <c r="C358" s="3" t="s">
        <v>40</v>
      </c>
      <c r="D358" s="3" t="s">
        <v>38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44562</v>
      </c>
      <c r="J358" s="4">
        <v>358</v>
      </c>
      <c r="K358" s="4">
        <v>358</v>
      </c>
      <c r="L358" s="4">
        <v>26.701000000000001</v>
      </c>
      <c r="M358" s="4">
        <v>26.701000000000001</v>
      </c>
      <c r="N358" s="4">
        <v>26.701000000000001</v>
      </c>
      <c r="O358" s="4">
        <v>26.701000000000001</v>
      </c>
      <c r="P358" s="4">
        <v>0</v>
      </c>
      <c r="Q358" s="3" t="s">
        <v>26</v>
      </c>
      <c r="R358" s="3">
        <v>0</v>
      </c>
      <c r="S358" s="4">
        <v>12</v>
      </c>
      <c r="T358" s="4">
        <v>110</v>
      </c>
      <c r="U358" s="4">
        <v>89</v>
      </c>
      <c r="V358" s="4">
        <f>IF(ISERROR(VLOOKUP($S$358,'TAR FIN'!$A$1:$O$113,15,0)),0,VLOOKUP($S$358,'TAR FIN'!$A$1:$O$113,15,0))</f>
        <v>24.31</v>
      </c>
      <c r="W358" s="4">
        <f>IF(ISERROR(VLOOKUP($T$358,'TAR FIN'!$A$1:$O$113,15,0)),0,VLOOKUP($T$358,'TAR FIN'!$A$1:$O$113,15,0))</f>
        <v>51.27</v>
      </c>
      <c r="X358" s="4">
        <f>IF(ISERROR(VLOOKUP($U$358,'TAR FIN'!$A$1:$O$113,15,0)),0,VLOOKUP($U$358,'TAR FIN'!$A$1:$O$113,15,0))</f>
        <v>222.31</v>
      </c>
      <c r="Y358" s="4">
        <f ca="1">('TUSD BE'!$AM$14+'TUSD BF'!$AM$14+'TUSD CVA'!$AM$14)*1</f>
        <v>26.598074646640526</v>
      </c>
      <c r="Z358" s="4">
        <f ca="1">('TUSD BE'!$AM$15+'TUSD BF'!$AM$15+'TUSD CVA'!$AM$15)*1</f>
        <v>65.007409626508434</v>
      </c>
      <c r="AA358" s="4">
        <f>('TE BE'!$AA$11+'TE BF'!$AA$11+'TE CVA'!$AA$11)*1</f>
        <v>223.14561812044704</v>
      </c>
      <c r="AB358" s="4">
        <f>$K$358*$V$358</f>
        <v>8702.98</v>
      </c>
      <c r="AC358" s="4">
        <f>$M$358*$W$358</f>
        <v>1368.96027</v>
      </c>
      <c r="AD358" s="4">
        <f>$O$358*$X$358</f>
        <v>5935.8993099999998</v>
      </c>
      <c r="AE358" s="4">
        <f ca="1">$K$358*$Y$358</f>
        <v>9522.1107234973078</v>
      </c>
      <c r="AF358" s="4">
        <f ca="1">$M$358*$Z$358</f>
        <v>1735.7628444374018</v>
      </c>
      <c r="AG358" s="4">
        <f>$O$358*$AA$358</f>
        <v>5958.2111494340561</v>
      </c>
    </row>
    <row r="359" spans="1:33" ht="11.25" customHeight="1" x14ac:dyDescent="0.25">
      <c r="A359" s="3" t="s">
        <v>21</v>
      </c>
      <c r="B359" s="3" t="s">
        <v>41</v>
      </c>
      <c r="C359" s="3" t="s">
        <v>40</v>
      </c>
      <c r="D359" s="3" t="s">
        <v>38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44593</v>
      </c>
      <c r="J359" s="4">
        <v>5757</v>
      </c>
      <c r="K359" s="4">
        <v>5757</v>
      </c>
      <c r="L359" s="4">
        <v>1124.3330000000001</v>
      </c>
      <c r="M359" s="4">
        <v>1124.3330000000001</v>
      </c>
      <c r="N359" s="4">
        <v>1124.3330000000001</v>
      </c>
      <c r="O359" s="4">
        <v>1124.3330000000001</v>
      </c>
      <c r="P359" s="4">
        <v>0</v>
      </c>
      <c r="Q359" s="3" t="s">
        <v>26</v>
      </c>
      <c r="R359" s="3">
        <v>0</v>
      </c>
      <c r="S359" s="4">
        <v>12</v>
      </c>
      <c r="T359" s="4">
        <v>110</v>
      </c>
      <c r="U359" s="4">
        <v>89</v>
      </c>
      <c r="V359" s="4">
        <f>IF(ISERROR(VLOOKUP($S$359,'TAR FIN'!$A$1:$O$113,15,0)),0,VLOOKUP($S$359,'TAR FIN'!$A$1:$O$113,15,0))</f>
        <v>24.31</v>
      </c>
      <c r="W359" s="4">
        <f>IF(ISERROR(VLOOKUP($T$359,'TAR FIN'!$A$1:$O$113,15,0)),0,VLOOKUP($T$359,'TAR FIN'!$A$1:$O$113,15,0))</f>
        <v>51.27</v>
      </c>
      <c r="X359" s="4">
        <f>IF(ISERROR(VLOOKUP($U$359,'TAR FIN'!$A$1:$O$113,15,0)),0,VLOOKUP($U$359,'TAR FIN'!$A$1:$O$113,15,0))</f>
        <v>222.31</v>
      </c>
      <c r="Y359" s="4">
        <f ca="1">('TUSD BE'!$AM$14+'TUSD BF'!$AM$14+'TUSD CVA'!$AM$14)*1</f>
        <v>26.598074646640526</v>
      </c>
      <c r="Z359" s="4">
        <f ca="1">('TUSD BE'!$AM$15+'TUSD BF'!$AM$15+'TUSD CVA'!$AM$15)*1</f>
        <v>65.007409626508434</v>
      </c>
      <c r="AA359" s="4">
        <f>('TE BE'!$AA$11+'TE BF'!$AA$11+'TE CVA'!$AA$11)*1</f>
        <v>223.14561812044704</v>
      </c>
      <c r="AB359" s="4">
        <f>$K$359*$V$359</f>
        <v>139952.66999999998</v>
      </c>
      <c r="AC359" s="4">
        <f>$M$359*$W$359</f>
        <v>57644.552910000006</v>
      </c>
      <c r="AD359" s="4">
        <f>$O$359*$X$359</f>
        <v>249950.46923000002</v>
      </c>
      <c r="AE359" s="4">
        <f ca="1">$K$359*$Y$359</f>
        <v>153125.1157407095</v>
      </c>
      <c r="AF359" s="4">
        <f ca="1">$M$359*$Z$359</f>
        <v>73089.975887601118</v>
      </c>
      <c r="AG359" s="4">
        <f>$O$359*$AA$359</f>
        <v>250889.98225821659</v>
      </c>
    </row>
    <row r="360" spans="1:33" ht="11.25" customHeight="1" x14ac:dyDescent="0.25">
      <c r="A360" s="3" t="s">
        <v>28</v>
      </c>
      <c r="B360" s="3" t="s">
        <v>41</v>
      </c>
      <c r="C360" s="3" t="s">
        <v>40</v>
      </c>
      <c r="D360" s="3" t="s">
        <v>38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44593</v>
      </c>
      <c r="J360" s="4">
        <v>358</v>
      </c>
      <c r="K360" s="4">
        <v>358</v>
      </c>
      <c r="L360" s="4">
        <v>21.856000000000002</v>
      </c>
      <c r="M360" s="4">
        <v>21.856000000000002</v>
      </c>
      <c r="N360" s="4">
        <v>21.856000000000002</v>
      </c>
      <c r="O360" s="4">
        <v>21.856000000000002</v>
      </c>
      <c r="P360" s="4">
        <v>0</v>
      </c>
      <c r="Q360" s="3" t="s">
        <v>26</v>
      </c>
      <c r="R360" s="3">
        <v>0</v>
      </c>
      <c r="S360" s="4">
        <v>12</v>
      </c>
      <c r="T360" s="4">
        <v>110</v>
      </c>
      <c r="U360" s="4">
        <v>89</v>
      </c>
      <c r="V360" s="4">
        <f>IF(ISERROR(VLOOKUP($S$360,'TAR FIN'!$A$1:$O$113,15,0)),0,VLOOKUP($S$360,'TAR FIN'!$A$1:$O$113,15,0))</f>
        <v>24.31</v>
      </c>
      <c r="W360" s="4">
        <f>IF(ISERROR(VLOOKUP($T$360,'TAR FIN'!$A$1:$O$113,15,0)),0,VLOOKUP($T$360,'TAR FIN'!$A$1:$O$113,15,0))</f>
        <v>51.27</v>
      </c>
      <c r="X360" s="4">
        <f>IF(ISERROR(VLOOKUP($U$360,'TAR FIN'!$A$1:$O$113,15,0)),0,VLOOKUP($U$360,'TAR FIN'!$A$1:$O$113,15,0))</f>
        <v>222.31</v>
      </c>
      <c r="Y360" s="4">
        <f ca="1">('TUSD BE'!$AM$14+'TUSD BF'!$AM$14+'TUSD CVA'!$AM$14)*1</f>
        <v>26.598074646640526</v>
      </c>
      <c r="Z360" s="4">
        <f ca="1">('TUSD BE'!$AM$15+'TUSD BF'!$AM$15+'TUSD CVA'!$AM$15)*1</f>
        <v>65.007409626508434</v>
      </c>
      <c r="AA360" s="4">
        <f>('TE BE'!$AA$11+'TE BF'!$AA$11+'TE CVA'!$AA$11)*1</f>
        <v>223.14561812044704</v>
      </c>
      <c r="AB360" s="4">
        <f>$K$360*$V$360</f>
        <v>8702.98</v>
      </c>
      <c r="AC360" s="4">
        <f>$M$360*$W$360</f>
        <v>1120.5571200000002</v>
      </c>
      <c r="AD360" s="4">
        <f>$O$360*$X$360</f>
        <v>4858.8073600000007</v>
      </c>
      <c r="AE360" s="4">
        <f ca="1">$K$360*$Y$360</f>
        <v>9522.1107234973078</v>
      </c>
      <c r="AF360" s="4">
        <f ca="1">$M$360*$Z$360</f>
        <v>1420.8019447969684</v>
      </c>
      <c r="AG360" s="4">
        <f>$O$360*$AA$360</f>
        <v>4877.0706296404906</v>
      </c>
    </row>
    <row r="361" spans="1:33" ht="11.25" customHeight="1" x14ac:dyDescent="0.25">
      <c r="A361" s="3" t="s">
        <v>56</v>
      </c>
      <c r="B361" s="3" t="s">
        <v>41</v>
      </c>
      <c r="C361" s="3" t="s">
        <v>40</v>
      </c>
      <c r="D361" s="3" t="s">
        <v>38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44621</v>
      </c>
      <c r="J361" s="4">
        <v>5757</v>
      </c>
      <c r="K361" s="4">
        <v>5757</v>
      </c>
      <c r="L361" s="4">
        <v>1124.3330000000001</v>
      </c>
      <c r="M361" s="4">
        <v>1124.3330000000001</v>
      </c>
      <c r="N361" s="4">
        <v>1124.3330000000001</v>
      </c>
      <c r="O361" s="4">
        <v>1124.3330000000001</v>
      </c>
      <c r="P361" s="4">
        <v>0</v>
      </c>
      <c r="Q361" s="3" t="s">
        <v>26</v>
      </c>
      <c r="R361" s="3">
        <v>0</v>
      </c>
      <c r="S361" s="4">
        <v>12</v>
      </c>
      <c r="T361" s="4">
        <v>110</v>
      </c>
      <c r="U361" s="4">
        <v>89</v>
      </c>
      <c r="V361" s="4">
        <f>IF(ISERROR(VLOOKUP($S$361,'TAR FIN'!$A$1:$O$113,15,0)),0,VLOOKUP($S$361,'TAR FIN'!$A$1:$O$113,15,0))</f>
        <v>24.31</v>
      </c>
      <c r="W361" s="4">
        <f>IF(ISERROR(VLOOKUP($T$361,'TAR FIN'!$A$1:$O$113,15,0)),0,VLOOKUP($T$361,'TAR FIN'!$A$1:$O$113,15,0))</f>
        <v>51.27</v>
      </c>
      <c r="X361" s="4">
        <f>IF(ISERROR(VLOOKUP($U$361,'TAR FIN'!$A$1:$O$113,15,0)),0,VLOOKUP($U$361,'TAR FIN'!$A$1:$O$113,15,0))</f>
        <v>222.31</v>
      </c>
      <c r="Y361" s="4">
        <f ca="1">('TUSD BE'!$AM$14+'TUSD BF'!$AM$14+'TUSD CVA'!$AM$14)*1</f>
        <v>26.598074646640526</v>
      </c>
      <c r="Z361" s="4">
        <f ca="1">('TUSD BE'!$AM$15+'TUSD BF'!$AM$15+'TUSD CVA'!$AM$15)*1</f>
        <v>65.007409626508434</v>
      </c>
      <c r="AA361" s="4">
        <f>('TE BE'!$AA$11+'TE BF'!$AA$11+'TE CVA'!$AA$11)*1</f>
        <v>223.14561812044704</v>
      </c>
      <c r="AB361" s="4">
        <f>$K$361*$V$361</f>
        <v>139952.66999999998</v>
      </c>
      <c r="AC361" s="4">
        <f>$M$361*$W$361</f>
        <v>57644.552910000006</v>
      </c>
      <c r="AD361" s="4">
        <f>$O$361*$X$361</f>
        <v>249950.46923000002</v>
      </c>
      <c r="AE361" s="4">
        <f ca="1">$K$361*$Y$361</f>
        <v>153125.1157407095</v>
      </c>
      <c r="AF361" s="4">
        <f ca="1">$M$361*$Z$361</f>
        <v>73089.975887601118</v>
      </c>
      <c r="AG361" s="4">
        <f>$O$361*$AA$361</f>
        <v>250889.98225821659</v>
      </c>
    </row>
    <row r="362" spans="1:33" ht="11.25" customHeight="1" x14ac:dyDescent="0.25">
      <c r="A362" s="3" t="s">
        <v>56</v>
      </c>
      <c r="B362" s="3" t="s">
        <v>41</v>
      </c>
      <c r="C362" s="3" t="s">
        <v>40</v>
      </c>
      <c r="D362" s="3" t="s">
        <v>38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44621</v>
      </c>
      <c r="J362" s="4">
        <v>358</v>
      </c>
      <c r="K362" s="4">
        <v>358</v>
      </c>
      <c r="L362" s="4">
        <v>21.856000000000002</v>
      </c>
      <c r="M362" s="4">
        <v>21.856000000000002</v>
      </c>
      <c r="N362" s="4">
        <v>21.856000000000002</v>
      </c>
      <c r="O362" s="4">
        <v>21.856000000000002</v>
      </c>
      <c r="P362" s="4">
        <v>0</v>
      </c>
      <c r="Q362" s="3" t="s">
        <v>26</v>
      </c>
      <c r="R362" s="3">
        <v>0</v>
      </c>
      <c r="S362" s="4">
        <v>12</v>
      </c>
      <c r="T362" s="4">
        <v>110</v>
      </c>
      <c r="U362" s="4">
        <v>89</v>
      </c>
      <c r="V362" s="4">
        <f>IF(ISERROR(VLOOKUP($S$362,'TAR FIN'!$A$1:$O$113,15,0)),0,VLOOKUP($S$362,'TAR FIN'!$A$1:$O$113,15,0))</f>
        <v>24.31</v>
      </c>
      <c r="W362" s="4">
        <f>IF(ISERROR(VLOOKUP($T$362,'TAR FIN'!$A$1:$O$113,15,0)),0,VLOOKUP($T$362,'TAR FIN'!$A$1:$O$113,15,0))</f>
        <v>51.27</v>
      </c>
      <c r="X362" s="4">
        <f>IF(ISERROR(VLOOKUP($U$362,'TAR FIN'!$A$1:$O$113,15,0)),0,VLOOKUP($U$362,'TAR FIN'!$A$1:$O$113,15,0))</f>
        <v>222.31</v>
      </c>
      <c r="Y362" s="4">
        <f ca="1">('TUSD BE'!$AM$14+'TUSD BF'!$AM$14+'TUSD CVA'!$AM$14)*1</f>
        <v>26.598074646640526</v>
      </c>
      <c r="Z362" s="4">
        <f ca="1">('TUSD BE'!$AM$15+'TUSD BF'!$AM$15+'TUSD CVA'!$AM$15)*1</f>
        <v>65.007409626508434</v>
      </c>
      <c r="AA362" s="4">
        <f>('TE BE'!$AA$11+'TE BF'!$AA$11+'TE CVA'!$AA$11)*1</f>
        <v>223.14561812044704</v>
      </c>
      <c r="AB362" s="4">
        <f>$K$362*$V$362</f>
        <v>8702.98</v>
      </c>
      <c r="AC362" s="4">
        <f>$M$362*$W$362</f>
        <v>1120.5571200000002</v>
      </c>
      <c r="AD362" s="4">
        <f>$O$362*$X$362</f>
        <v>4858.8073600000007</v>
      </c>
      <c r="AE362" s="4">
        <f ca="1">$K$362*$Y$362</f>
        <v>9522.1107234973078</v>
      </c>
      <c r="AF362" s="4">
        <f ca="1">$M$362*$Z$362</f>
        <v>1420.8019447969684</v>
      </c>
      <c r="AG362" s="4">
        <f>$O$362*$AA$362</f>
        <v>4877.0706296404906</v>
      </c>
    </row>
    <row r="363" spans="1:33" ht="11.25" customHeight="1" x14ac:dyDescent="0.25">
      <c r="A363" s="3" t="s">
        <v>21</v>
      </c>
      <c r="B363" s="3" t="s">
        <v>41</v>
      </c>
      <c r="C363" s="3" t="s">
        <v>40</v>
      </c>
      <c r="D363" s="3" t="s">
        <v>38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44287</v>
      </c>
      <c r="J363" s="4">
        <v>0</v>
      </c>
      <c r="K363" s="4">
        <v>0</v>
      </c>
      <c r="L363" s="4">
        <v>8.8379999999999992</v>
      </c>
      <c r="M363" s="4">
        <v>8.8379999999999992</v>
      </c>
      <c r="N363" s="4">
        <v>0</v>
      </c>
      <c r="O363" s="4">
        <v>0</v>
      </c>
      <c r="P363" s="4">
        <v>1</v>
      </c>
      <c r="Q363" s="3" t="s">
        <v>57</v>
      </c>
      <c r="R363" s="3">
        <v>0</v>
      </c>
      <c r="S363" s="4">
        <v>0</v>
      </c>
      <c r="T363" s="4">
        <v>110</v>
      </c>
      <c r="U363" s="4">
        <v>0</v>
      </c>
      <c r="V363" s="4">
        <f>IF(ISERROR(VLOOKUP($S$363,'TAR FIN'!$A$1:$O$113,15,0)),0,VLOOKUP($S$363,'TAR FIN'!$A$1:$O$113,15,0))</f>
        <v>0</v>
      </c>
      <c r="W363" s="4">
        <f>IF(ISERROR(VLOOKUP($T$363,'TAR FIN'!$A$1:$O$113,15,0)),0,VLOOKUP($T$363,'TAR FIN'!$A$1:$O$113,15,0))</f>
        <v>51.27</v>
      </c>
      <c r="X363" s="4">
        <f>IF(ISERROR(VLOOKUP($U$363,'TAR FIN'!$A$1:$O$113,15,0)),0,VLOOKUP($U$363,'TAR FIN'!$A$1:$O$113,15,0))</f>
        <v>0</v>
      </c>
      <c r="Y363" s="4"/>
      <c r="Z363" s="4">
        <f ca="1">('TUSD BE'!$AM$15+'TUSD BF'!$AM$15+'TUSD CVA'!$AM$15)*1</f>
        <v>65.007409626508434</v>
      </c>
      <c r="AA363" s="4"/>
      <c r="AB363" s="4">
        <f>$K$363*$V$363</f>
        <v>0</v>
      </c>
      <c r="AC363" s="4">
        <f>$M$363*$W$363</f>
        <v>453.12425999999999</v>
      </c>
      <c r="AD363" s="4">
        <f>$O$363*$X$363</f>
        <v>0</v>
      </c>
      <c r="AE363" s="4">
        <f>$K$363*$Y$363</f>
        <v>0</v>
      </c>
      <c r="AF363" s="4">
        <f ca="1">$M$363*$Z$363</f>
        <v>574.53548627908151</v>
      </c>
      <c r="AG363" s="4">
        <f>$O$363*$AA$363</f>
        <v>0</v>
      </c>
    </row>
    <row r="364" spans="1:33" ht="11.25" customHeight="1" x14ac:dyDescent="0.25">
      <c r="A364" s="3" t="s">
        <v>21</v>
      </c>
      <c r="B364" s="3" t="s">
        <v>41</v>
      </c>
      <c r="C364" s="3" t="s">
        <v>40</v>
      </c>
      <c r="D364" s="3" t="s">
        <v>38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44317</v>
      </c>
      <c r="J364" s="4">
        <v>0</v>
      </c>
      <c r="K364" s="4">
        <v>0</v>
      </c>
      <c r="L364" s="4">
        <v>8.4990000000000006</v>
      </c>
      <c r="M364" s="4">
        <v>8.4990000000000006</v>
      </c>
      <c r="N364" s="4">
        <v>0</v>
      </c>
      <c r="O364" s="4">
        <v>0</v>
      </c>
      <c r="P364" s="4">
        <v>1</v>
      </c>
      <c r="Q364" s="3" t="s">
        <v>57</v>
      </c>
      <c r="R364" s="3">
        <v>0</v>
      </c>
      <c r="S364" s="4">
        <v>0</v>
      </c>
      <c r="T364" s="4">
        <v>110</v>
      </c>
      <c r="U364" s="4">
        <v>0</v>
      </c>
      <c r="V364" s="4">
        <f>IF(ISERROR(VLOOKUP($S$364,'TAR FIN'!$A$1:$O$113,15,0)),0,VLOOKUP($S$364,'TAR FIN'!$A$1:$O$113,15,0))</f>
        <v>0</v>
      </c>
      <c r="W364" s="4">
        <f>IF(ISERROR(VLOOKUP($T$364,'TAR FIN'!$A$1:$O$113,15,0)),0,VLOOKUP($T$364,'TAR FIN'!$A$1:$O$113,15,0))</f>
        <v>51.27</v>
      </c>
      <c r="X364" s="4">
        <f>IF(ISERROR(VLOOKUP($U$364,'TAR FIN'!$A$1:$O$113,15,0)),0,VLOOKUP($U$364,'TAR FIN'!$A$1:$O$113,15,0))</f>
        <v>0</v>
      </c>
      <c r="Y364" s="4"/>
      <c r="Z364" s="4">
        <f ca="1">('TUSD BE'!$AM$15+'TUSD BF'!$AM$15+'TUSD CVA'!$AM$15)*1</f>
        <v>65.007409626508434</v>
      </c>
      <c r="AA364" s="4"/>
      <c r="AB364" s="4">
        <f>$K$364*$V$364</f>
        <v>0</v>
      </c>
      <c r="AC364" s="4">
        <f>$M$364*$W$364</f>
        <v>435.74373000000003</v>
      </c>
      <c r="AD364" s="4">
        <f>$O$364*$X$364</f>
        <v>0</v>
      </c>
      <c r="AE364" s="4">
        <f>$K$364*$Y$364</f>
        <v>0</v>
      </c>
      <c r="AF364" s="4">
        <f ca="1">$M$364*$Z$364</f>
        <v>552.49797441569524</v>
      </c>
      <c r="AG364" s="4">
        <f>$O$364*$AA$364</f>
        <v>0</v>
      </c>
    </row>
    <row r="365" spans="1:33" ht="11.25" customHeight="1" x14ac:dyDescent="0.25">
      <c r="A365" s="3" t="s">
        <v>21</v>
      </c>
      <c r="B365" s="3" t="s">
        <v>41</v>
      </c>
      <c r="C365" s="3" t="s">
        <v>40</v>
      </c>
      <c r="D365" s="3" t="s">
        <v>38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44348</v>
      </c>
      <c r="J365" s="4">
        <v>0</v>
      </c>
      <c r="K365" s="4">
        <v>0</v>
      </c>
      <c r="L365" s="4">
        <v>9.843</v>
      </c>
      <c r="M365" s="4">
        <v>9.843</v>
      </c>
      <c r="N365" s="4">
        <v>0</v>
      </c>
      <c r="O365" s="4">
        <v>0</v>
      </c>
      <c r="P365" s="4">
        <v>1</v>
      </c>
      <c r="Q365" s="3" t="s">
        <v>57</v>
      </c>
      <c r="R365" s="3">
        <v>0</v>
      </c>
      <c r="S365" s="4">
        <v>0</v>
      </c>
      <c r="T365" s="4">
        <v>110</v>
      </c>
      <c r="U365" s="4">
        <v>0</v>
      </c>
      <c r="V365" s="4">
        <f>IF(ISERROR(VLOOKUP($S$365,'TAR FIN'!$A$1:$O$113,15,0)),0,VLOOKUP($S$365,'TAR FIN'!$A$1:$O$113,15,0))</f>
        <v>0</v>
      </c>
      <c r="W365" s="4">
        <f>IF(ISERROR(VLOOKUP($T$365,'TAR FIN'!$A$1:$O$113,15,0)),0,VLOOKUP($T$365,'TAR FIN'!$A$1:$O$113,15,0))</f>
        <v>51.27</v>
      </c>
      <c r="X365" s="4">
        <f>IF(ISERROR(VLOOKUP($U$365,'TAR FIN'!$A$1:$O$113,15,0)),0,VLOOKUP($U$365,'TAR FIN'!$A$1:$O$113,15,0))</f>
        <v>0</v>
      </c>
      <c r="Y365" s="4"/>
      <c r="Z365" s="4">
        <f ca="1">('TUSD BE'!$AM$15+'TUSD BF'!$AM$15+'TUSD CVA'!$AM$15)*1</f>
        <v>65.007409626508434</v>
      </c>
      <c r="AA365" s="4"/>
      <c r="AB365" s="4">
        <f>$K$365*$V$365</f>
        <v>0</v>
      </c>
      <c r="AC365" s="4">
        <f>$M$365*$W$365</f>
        <v>504.65061000000003</v>
      </c>
      <c r="AD365" s="4">
        <f>$O$365*$X$365</f>
        <v>0</v>
      </c>
      <c r="AE365" s="4">
        <f>$K$365*$Y$365</f>
        <v>0</v>
      </c>
      <c r="AF365" s="4">
        <f ca="1">$M$365*$Z$365</f>
        <v>639.86793295372252</v>
      </c>
      <c r="AG365" s="4">
        <f>$O$365*$AA$365</f>
        <v>0</v>
      </c>
    </row>
    <row r="366" spans="1:33" ht="11.25" customHeight="1" x14ac:dyDescent="0.25">
      <c r="A366" s="3" t="s">
        <v>21</v>
      </c>
      <c r="B366" s="3" t="s">
        <v>41</v>
      </c>
      <c r="C366" s="3" t="s">
        <v>40</v>
      </c>
      <c r="D366" s="3" t="s">
        <v>38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44378</v>
      </c>
      <c r="J366" s="4">
        <v>0</v>
      </c>
      <c r="K366" s="4">
        <v>0</v>
      </c>
      <c r="L366" s="4">
        <v>10.387</v>
      </c>
      <c r="M366" s="4">
        <v>10.387</v>
      </c>
      <c r="N366" s="4">
        <v>0</v>
      </c>
      <c r="O366" s="4">
        <v>0</v>
      </c>
      <c r="P366" s="4">
        <v>1</v>
      </c>
      <c r="Q366" s="3" t="s">
        <v>57</v>
      </c>
      <c r="R366" s="3">
        <v>0</v>
      </c>
      <c r="S366" s="4">
        <v>0</v>
      </c>
      <c r="T366" s="4">
        <v>110</v>
      </c>
      <c r="U366" s="4">
        <v>0</v>
      </c>
      <c r="V366" s="4">
        <f>IF(ISERROR(VLOOKUP($S$366,'TAR FIN'!$A$1:$O$113,15,0)),0,VLOOKUP($S$366,'TAR FIN'!$A$1:$O$113,15,0))</f>
        <v>0</v>
      </c>
      <c r="W366" s="4">
        <f>IF(ISERROR(VLOOKUP($T$366,'TAR FIN'!$A$1:$O$113,15,0)),0,VLOOKUP($T$366,'TAR FIN'!$A$1:$O$113,15,0))</f>
        <v>51.27</v>
      </c>
      <c r="X366" s="4">
        <f>IF(ISERROR(VLOOKUP($U$366,'TAR FIN'!$A$1:$O$113,15,0)),0,VLOOKUP($U$366,'TAR FIN'!$A$1:$O$113,15,0))</f>
        <v>0</v>
      </c>
      <c r="Y366" s="4"/>
      <c r="Z366" s="4">
        <f ca="1">('TUSD BE'!$AM$15+'TUSD BF'!$AM$15+'TUSD CVA'!$AM$15)*1</f>
        <v>65.007409626508434</v>
      </c>
      <c r="AA366" s="4"/>
      <c r="AB366" s="4">
        <f>$K$366*$V$366</f>
        <v>0</v>
      </c>
      <c r="AC366" s="4">
        <f>$M$366*$W$366</f>
        <v>532.54149000000007</v>
      </c>
      <c r="AD366" s="4">
        <f>$O$366*$X$366</f>
        <v>0</v>
      </c>
      <c r="AE366" s="4">
        <f>$K$366*$Y$366</f>
        <v>0</v>
      </c>
      <c r="AF366" s="4">
        <f ca="1">$M$366*$Z$366</f>
        <v>675.23196379054309</v>
      </c>
      <c r="AG366" s="4">
        <f>$O$366*$AA$366</f>
        <v>0</v>
      </c>
    </row>
    <row r="367" spans="1:33" ht="11.25" customHeight="1" x14ac:dyDescent="0.25">
      <c r="A367" s="3" t="s">
        <v>21</v>
      </c>
      <c r="B367" s="3" t="s">
        <v>41</v>
      </c>
      <c r="C367" s="3" t="s">
        <v>40</v>
      </c>
      <c r="D367" s="3" t="s">
        <v>38</v>
      </c>
      <c r="E367" s="3" t="s">
        <v>25</v>
      </c>
      <c r="F367" s="3" t="s">
        <v>25</v>
      </c>
      <c r="G367" s="3" t="s">
        <v>25</v>
      </c>
      <c r="H367" s="3" t="s">
        <v>25</v>
      </c>
      <c r="I367" s="6">
        <v>44409</v>
      </c>
      <c r="J367" s="4">
        <v>0</v>
      </c>
      <c r="K367" s="4">
        <v>0</v>
      </c>
      <c r="L367" s="4">
        <v>880.31700000000001</v>
      </c>
      <c r="M367" s="4">
        <v>880.31700000000001</v>
      </c>
      <c r="N367" s="4">
        <v>0</v>
      </c>
      <c r="O367" s="4">
        <v>0</v>
      </c>
      <c r="P367" s="4">
        <v>2</v>
      </c>
      <c r="Q367" s="3" t="s">
        <v>57</v>
      </c>
      <c r="R367" s="3">
        <v>0</v>
      </c>
      <c r="S367" s="4">
        <v>0</v>
      </c>
      <c r="T367" s="4">
        <v>110</v>
      </c>
      <c r="U367" s="4">
        <v>0</v>
      </c>
      <c r="V367" s="4">
        <f>IF(ISERROR(VLOOKUP($S$367,'TAR FIN'!$A$1:$O$113,15,0)),0,VLOOKUP($S$367,'TAR FIN'!$A$1:$O$113,15,0))</f>
        <v>0</v>
      </c>
      <c r="W367" s="4">
        <f>IF(ISERROR(VLOOKUP($T$367,'TAR FIN'!$A$1:$O$113,15,0)),0,VLOOKUP($T$367,'TAR FIN'!$A$1:$O$113,15,0))</f>
        <v>51.27</v>
      </c>
      <c r="X367" s="4">
        <f>IF(ISERROR(VLOOKUP($U$367,'TAR FIN'!$A$1:$O$113,15,0)),0,VLOOKUP($U$367,'TAR FIN'!$A$1:$O$113,15,0))</f>
        <v>0</v>
      </c>
      <c r="Y367" s="4"/>
      <c r="Z367" s="4">
        <f ca="1">('TUSD BE'!$AM$15+'TUSD BF'!$AM$15+'TUSD CVA'!$AM$15)*1</f>
        <v>65.007409626508434</v>
      </c>
      <c r="AA367" s="4"/>
      <c r="AB367" s="4">
        <f>$K$367*$V$367</f>
        <v>0</v>
      </c>
      <c r="AC367" s="4">
        <f>$M$367*$W$367</f>
        <v>45133.852590000002</v>
      </c>
      <c r="AD367" s="4">
        <f>$O$367*$X$367</f>
        <v>0</v>
      </c>
      <c r="AE367" s="4">
        <f>$K$367*$Y$367</f>
        <v>0</v>
      </c>
      <c r="AF367" s="4">
        <f ca="1">$M$367*$Z$367</f>
        <v>57227.127820179026</v>
      </c>
      <c r="AG367" s="4">
        <f>$O$367*$AA$367</f>
        <v>0</v>
      </c>
    </row>
    <row r="368" spans="1:33" ht="11.25" customHeight="1" x14ac:dyDescent="0.25">
      <c r="A368" s="3" t="s">
        <v>21</v>
      </c>
      <c r="B368" s="3" t="s">
        <v>41</v>
      </c>
      <c r="C368" s="3" t="s">
        <v>40</v>
      </c>
      <c r="D368" s="3" t="s">
        <v>38</v>
      </c>
      <c r="E368" s="3" t="s">
        <v>25</v>
      </c>
      <c r="F368" s="3" t="s">
        <v>25</v>
      </c>
      <c r="G368" s="3" t="s">
        <v>25</v>
      </c>
      <c r="H368" s="3" t="s">
        <v>25</v>
      </c>
      <c r="I368" s="6">
        <v>44440</v>
      </c>
      <c r="J368" s="4">
        <v>0</v>
      </c>
      <c r="K368" s="4">
        <v>0</v>
      </c>
      <c r="L368" s="4">
        <v>13.896000000000001</v>
      </c>
      <c r="M368" s="4">
        <v>13.896000000000001</v>
      </c>
      <c r="N368" s="4">
        <v>0</v>
      </c>
      <c r="O368" s="4">
        <v>0</v>
      </c>
      <c r="P368" s="4">
        <v>1</v>
      </c>
      <c r="Q368" s="3" t="s">
        <v>57</v>
      </c>
      <c r="R368" s="3">
        <v>0</v>
      </c>
      <c r="S368" s="4">
        <v>0</v>
      </c>
      <c r="T368" s="4">
        <v>110</v>
      </c>
      <c r="U368" s="4">
        <v>0</v>
      </c>
      <c r="V368" s="4">
        <f>IF(ISERROR(VLOOKUP($S$368,'TAR FIN'!$A$1:$O$113,15,0)),0,VLOOKUP($S$368,'TAR FIN'!$A$1:$O$113,15,0))</f>
        <v>0</v>
      </c>
      <c r="W368" s="4">
        <f>IF(ISERROR(VLOOKUP($T$368,'TAR FIN'!$A$1:$O$113,15,0)),0,VLOOKUP($T$368,'TAR FIN'!$A$1:$O$113,15,0))</f>
        <v>51.27</v>
      </c>
      <c r="X368" s="4">
        <f>IF(ISERROR(VLOOKUP($U$368,'TAR FIN'!$A$1:$O$113,15,0)),0,VLOOKUP($U$368,'TAR FIN'!$A$1:$O$113,15,0))</f>
        <v>0</v>
      </c>
      <c r="Y368" s="4"/>
      <c r="Z368" s="4">
        <f ca="1">('TUSD BE'!$AM$15+'TUSD BF'!$AM$15+'TUSD CVA'!$AM$15)*1</f>
        <v>65.007409626508434</v>
      </c>
      <c r="AA368" s="4"/>
      <c r="AB368" s="4">
        <f>$K$368*$V$368</f>
        <v>0</v>
      </c>
      <c r="AC368" s="4">
        <f>$M$368*$W$368</f>
        <v>712.44792000000007</v>
      </c>
      <c r="AD368" s="4">
        <f>$O$368*$X$368</f>
        <v>0</v>
      </c>
      <c r="AE368" s="4">
        <f>$K$368*$Y$368</f>
        <v>0</v>
      </c>
      <c r="AF368" s="4">
        <f ca="1">$M$368*$Z$368</f>
        <v>903.34296416996119</v>
      </c>
      <c r="AG368" s="4">
        <f>$O$368*$AA$368</f>
        <v>0</v>
      </c>
    </row>
    <row r="369" spans="1:33" ht="11.25" customHeight="1" x14ac:dyDescent="0.25">
      <c r="A369" s="3" t="s">
        <v>21</v>
      </c>
      <c r="B369" s="3" t="s">
        <v>41</v>
      </c>
      <c r="C369" s="3" t="s">
        <v>40</v>
      </c>
      <c r="D369" s="3" t="s">
        <v>38</v>
      </c>
      <c r="E369" s="3" t="s">
        <v>25</v>
      </c>
      <c r="F369" s="3" t="s">
        <v>25</v>
      </c>
      <c r="G369" s="3" t="s">
        <v>25</v>
      </c>
      <c r="H369" s="3" t="s">
        <v>34</v>
      </c>
      <c r="I369" s="6">
        <v>44287</v>
      </c>
      <c r="J369" s="4">
        <v>2106</v>
      </c>
      <c r="K369" s="4">
        <v>2106</v>
      </c>
      <c r="L369" s="4">
        <v>65.712999999999994</v>
      </c>
      <c r="M369" s="4">
        <v>65.712999999999994</v>
      </c>
      <c r="N369" s="4">
        <v>65.712999999999994</v>
      </c>
      <c r="O369" s="4">
        <v>65.712999999999994</v>
      </c>
      <c r="P369" s="4">
        <v>0</v>
      </c>
      <c r="Q369" s="3" t="s">
        <v>26</v>
      </c>
      <c r="R369" s="3">
        <v>0</v>
      </c>
      <c r="S369" s="4">
        <v>11</v>
      </c>
      <c r="T369" s="4">
        <v>110</v>
      </c>
      <c r="U369" s="4">
        <v>88</v>
      </c>
      <c r="V369" s="4">
        <f>IF(ISERROR(VLOOKUP($S$369,'TAR FIN'!$A$1:$O$113,15,0)),0,VLOOKUP($S$369,'TAR FIN'!$A$1:$O$113,15,0))</f>
        <v>62.23</v>
      </c>
      <c r="W369" s="4">
        <f>IF(ISERROR(VLOOKUP($T$369,'TAR FIN'!$A$1:$O$113,15,0)),0,VLOOKUP($T$369,'TAR FIN'!$A$1:$O$113,15,0))</f>
        <v>51.27</v>
      </c>
      <c r="X369" s="4">
        <f>IF(ISERROR(VLOOKUP($U$369,'TAR FIN'!$A$1:$O$113,15,0)),0,VLOOKUP($U$369,'TAR FIN'!$A$1:$O$113,15,0))</f>
        <v>365.5</v>
      </c>
      <c r="Y369" s="4">
        <f ca="1">('TUSD BE'!$AM$13+'TUSD BF'!$AM$13+'TUSD CVA'!$AM$13)*1</f>
        <v>73.082870326096639</v>
      </c>
      <c r="Z369" s="4">
        <f ca="1">('TUSD BE'!$AM$15+'TUSD BF'!$AM$15+'TUSD CVA'!$AM$15)*1</f>
        <v>65.007409626508434</v>
      </c>
      <c r="AA369" s="4">
        <f>('TE BE'!$AA$10+'TE BF'!$AA$10+'TE CVA'!$AA$10)*1</f>
        <v>361.55013418411539</v>
      </c>
      <c r="AB369" s="4">
        <f>$K$369*$V$369</f>
        <v>131056.37999999999</v>
      </c>
      <c r="AC369" s="4">
        <f>$M$369*$W$369</f>
        <v>3369.1055099999999</v>
      </c>
      <c r="AD369" s="4">
        <f>$O$369*$X$369</f>
        <v>24018.101499999997</v>
      </c>
      <c r="AE369" s="4">
        <f ca="1">$K$369*$Y$369</f>
        <v>153912.52490675953</v>
      </c>
      <c r="AF369" s="4">
        <f ca="1">$M$369*$Z$369</f>
        <v>4271.8319087867485</v>
      </c>
      <c r="AG369" s="4">
        <f>$O$369*$AA$369</f>
        <v>23758.543967640773</v>
      </c>
    </row>
    <row r="370" spans="1:33" ht="11.25" customHeight="1" x14ac:dyDescent="0.25">
      <c r="A370" s="3" t="s">
        <v>28</v>
      </c>
      <c r="B370" s="3" t="s">
        <v>41</v>
      </c>
      <c r="C370" s="3" t="s">
        <v>40</v>
      </c>
      <c r="D370" s="3" t="s">
        <v>38</v>
      </c>
      <c r="E370" s="3" t="s">
        <v>25</v>
      </c>
      <c r="F370" s="3" t="s">
        <v>25</v>
      </c>
      <c r="G370" s="3" t="s">
        <v>25</v>
      </c>
      <c r="H370" s="3" t="s">
        <v>34</v>
      </c>
      <c r="I370" s="6">
        <v>44287</v>
      </c>
      <c r="J370" s="4">
        <v>12</v>
      </c>
      <c r="K370" s="4">
        <v>12</v>
      </c>
      <c r="L370" s="4">
        <v>0.57399999999999995</v>
      </c>
      <c r="M370" s="4">
        <v>0.57399999999999995</v>
      </c>
      <c r="N370" s="4">
        <v>0.57399999999999995</v>
      </c>
      <c r="O370" s="4">
        <v>0.57399999999999995</v>
      </c>
      <c r="P370" s="4">
        <v>0</v>
      </c>
      <c r="Q370" s="3" t="s">
        <v>26</v>
      </c>
      <c r="R370" s="3">
        <v>0</v>
      </c>
      <c r="S370" s="4">
        <v>11</v>
      </c>
      <c r="T370" s="4">
        <v>110</v>
      </c>
      <c r="U370" s="4">
        <v>88</v>
      </c>
      <c r="V370" s="4">
        <f>IF(ISERROR(VLOOKUP($S$370,'TAR FIN'!$A$1:$O$113,15,0)),0,VLOOKUP($S$370,'TAR FIN'!$A$1:$O$113,15,0))</f>
        <v>62.23</v>
      </c>
      <c r="W370" s="4">
        <f>IF(ISERROR(VLOOKUP($T$370,'TAR FIN'!$A$1:$O$113,15,0)),0,VLOOKUP($T$370,'TAR FIN'!$A$1:$O$113,15,0))</f>
        <v>51.27</v>
      </c>
      <c r="X370" s="4">
        <f>IF(ISERROR(VLOOKUP($U$370,'TAR FIN'!$A$1:$O$113,15,0)),0,VLOOKUP($U$370,'TAR FIN'!$A$1:$O$113,15,0))</f>
        <v>365.5</v>
      </c>
      <c r="Y370" s="4">
        <f ca="1">('TUSD BE'!$AM$13+'TUSD BF'!$AM$13+'TUSD CVA'!$AM$13)*1</f>
        <v>73.082870326096639</v>
      </c>
      <c r="Z370" s="4">
        <f ca="1">('TUSD BE'!$AM$15+'TUSD BF'!$AM$15+'TUSD CVA'!$AM$15)*1</f>
        <v>65.007409626508434</v>
      </c>
      <c r="AA370" s="4">
        <f>('TE BE'!$AA$10+'TE BF'!$AA$10+'TE CVA'!$AA$10)*1</f>
        <v>361.55013418411539</v>
      </c>
      <c r="AB370" s="4">
        <f>$K$370*$V$370</f>
        <v>746.76</v>
      </c>
      <c r="AC370" s="4">
        <f>$M$370*$W$370</f>
        <v>29.428979999999999</v>
      </c>
      <c r="AD370" s="4">
        <f>$O$370*$X$370</f>
        <v>209.797</v>
      </c>
      <c r="AE370" s="4">
        <f ca="1">$K$370*$Y$370</f>
        <v>876.99444391315967</v>
      </c>
      <c r="AF370" s="4">
        <f ca="1">$M$370*$Z$370</f>
        <v>37.314253125615835</v>
      </c>
      <c r="AG370" s="4">
        <f>$O$370*$AA$370</f>
        <v>207.52977702168221</v>
      </c>
    </row>
    <row r="371" spans="1:33" ht="11.25" customHeight="1" x14ac:dyDescent="0.25">
      <c r="A371" s="3" t="s">
        <v>21</v>
      </c>
      <c r="B371" s="3" t="s">
        <v>41</v>
      </c>
      <c r="C371" s="3" t="s">
        <v>40</v>
      </c>
      <c r="D371" s="3" t="s">
        <v>38</v>
      </c>
      <c r="E371" s="3" t="s">
        <v>25</v>
      </c>
      <c r="F371" s="3" t="s">
        <v>25</v>
      </c>
      <c r="G371" s="3" t="s">
        <v>25</v>
      </c>
      <c r="H371" s="3" t="s">
        <v>34</v>
      </c>
      <c r="I371" s="6">
        <v>44287</v>
      </c>
      <c r="J371" s="4">
        <v>30</v>
      </c>
      <c r="K371" s="4">
        <v>30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3" t="s">
        <v>57</v>
      </c>
      <c r="R371" s="3">
        <v>0</v>
      </c>
      <c r="S371" s="4">
        <v>11</v>
      </c>
      <c r="T371" s="4">
        <v>0</v>
      </c>
      <c r="U371" s="4">
        <v>0</v>
      </c>
      <c r="V371" s="4">
        <f>IF(ISERROR(VLOOKUP($S$371,'TAR FIN'!$A$1:$O$113,15,0)),0,VLOOKUP($S$371,'TAR FIN'!$A$1:$O$113,15,0))</f>
        <v>62.23</v>
      </c>
      <c r="W371" s="4">
        <f>IF(ISERROR(VLOOKUP($T$371,'TAR FIN'!$A$1:$O$113,15,0)),0,VLOOKUP($T$371,'TAR FIN'!$A$1:$O$113,15,0))</f>
        <v>0</v>
      </c>
      <c r="X371" s="4">
        <f>IF(ISERROR(VLOOKUP($U$371,'TAR FIN'!$A$1:$O$113,15,0)),0,VLOOKUP($U$371,'TAR FIN'!$A$1:$O$113,15,0))</f>
        <v>0</v>
      </c>
      <c r="Y371" s="4">
        <f ca="1">('TUSD BE'!$AM$13+'TUSD BF'!$AM$13+'TUSD CVA'!$AM$13)*1</f>
        <v>73.082870326096639</v>
      </c>
      <c r="Z371" s="4">
        <f ca="1">('TUSD BE'!$AM$15+'TUSD BF'!$AM$15+'TUSD CVA'!$AM$15)*1</f>
        <v>65.007409626508434</v>
      </c>
      <c r="AA371" s="4"/>
      <c r="AB371" s="4">
        <f>$K$371*$V$371</f>
        <v>1866.8999999999999</v>
      </c>
      <c r="AC371" s="4">
        <f>$M$371*$W$371</f>
        <v>0</v>
      </c>
      <c r="AD371" s="4">
        <f>$O$371*$X$371</f>
        <v>0</v>
      </c>
      <c r="AE371" s="4">
        <f ca="1">$K$371*$Y$371</f>
        <v>2192.4861097828993</v>
      </c>
      <c r="AF371" s="4">
        <f ca="1">$M$371*$Z$371</f>
        <v>0</v>
      </c>
      <c r="AG371" s="4">
        <f>$O$371*$AA$371</f>
        <v>0</v>
      </c>
    </row>
    <row r="372" spans="1:33" ht="11.25" customHeight="1" x14ac:dyDescent="0.25">
      <c r="A372" s="3" t="s">
        <v>21</v>
      </c>
      <c r="B372" s="3" t="s">
        <v>41</v>
      </c>
      <c r="C372" s="3" t="s">
        <v>40</v>
      </c>
      <c r="D372" s="3" t="s">
        <v>38</v>
      </c>
      <c r="E372" s="3" t="s">
        <v>25</v>
      </c>
      <c r="F372" s="3" t="s">
        <v>25</v>
      </c>
      <c r="G372" s="3" t="s">
        <v>25</v>
      </c>
      <c r="H372" s="3" t="s">
        <v>34</v>
      </c>
      <c r="I372" s="6">
        <v>44317</v>
      </c>
      <c r="J372" s="4">
        <v>2225</v>
      </c>
      <c r="K372" s="4">
        <v>2225</v>
      </c>
      <c r="L372" s="4">
        <v>66.191999999999993</v>
      </c>
      <c r="M372" s="4">
        <v>66.191999999999993</v>
      </c>
      <c r="N372" s="4">
        <v>66.191999999999993</v>
      </c>
      <c r="O372" s="4">
        <v>66.191999999999993</v>
      </c>
      <c r="P372" s="4">
        <v>0</v>
      </c>
      <c r="Q372" s="3" t="s">
        <v>26</v>
      </c>
      <c r="R372" s="3">
        <v>0</v>
      </c>
      <c r="S372" s="4">
        <v>11</v>
      </c>
      <c r="T372" s="4">
        <v>110</v>
      </c>
      <c r="U372" s="4">
        <v>88</v>
      </c>
      <c r="V372" s="4">
        <f>IF(ISERROR(VLOOKUP($S$372,'TAR FIN'!$A$1:$O$113,15,0)),0,VLOOKUP($S$372,'TAR FIN'!$A$1:$O$113,15,0))</f>
        <v>62.23</v>
      </c>
      <c r="W372" s="4">
        <f>IF(ISERROR(VLOOKUP($T$372,'TAR FIN'!$A$1:$O$113,15,0)),0,VLOOKUP($T$372,'TAR FIN'!$A$1:$O$113,15,0))</f>
        <v>51.27</v>
      </c>
      <c r="X372" s="4">
        <f>IF(ISERROR(VLOOKUP($U$372,'TAR FIN'!$A$1:$O$113,15,0)),0,VLOOKUP($U$372,'TAR FIN'!$A$1:$O$113,15,0))</f>
        <v>365.5</v>
      </c>
      <c r="Y372" s="4">
        <f ca="1">('TUSD BE'!$AM$13+'TUSD BF'!$AM$13+'TUSD CVA'!$AM$13)*1</f>
        <v>73.082870326096639</v>
      </c>
      <c r="Z372" s="4">
        <f ca="1">('TUSD BE'!$AM$15+'TUSD BF'!$AM$15+'TUSD CVA'!$AM$15)*1</f>
        <v>65.007409626508434</v>
      </c>
      <c r="AA372" s="4">
        <f>('TE BE'!$AA$10+'TE BF'!$AA$10+'TE CVA'!$AA$10)*1</f>
        <v>361.55013418411539</v>
      </c>
      <c r="AB372" s="4">
        <f>$K$372*$V$372</f>
        <v>138461.75</v>
      </c>
      <c r="AC372" s="4">
        <f>$M$372*$W$372</f>
        <v>3393.6638399999997</v>
      </c>
      <c r="AD372" s="4">
        <f>$O$372*$X$372</f>
        <v>24193.175999999996</v>
      </c>
      <c r="AE372" s="4">
        <f ca="1">$K$372*$Y$372</f>
        <v>162609.38647556503</v>
      </c>
      <c r="AF372" s="4">
        <f ca="1">$M$372*$Z$372</f>
        <v>4302.9704579978461</v>
      </c>
      <c r="AG372" s="4">
        <f>$O$372*$AA$372</f>
        <v>23931.726481914964</v>
      </c>
    </row>
    <row r="373" spans="1:33" ht="11.25" customHeight="1" x14ac:dyDescent="0.25">
      <c r="A373" s="3" t="s">
        <v>28</v>
      </c>
      <c r="B373" s="3" t="s">
        <v>41</v>
      </c>
      <c r="C373" s="3" t="s">
        <v>40</v>
      </c>
      <c r="D373" s="3" t="s">
        <v>38</v>
      </c>
      <c r="E373" s="3" t="s">
        <v>25</v>
      </c>
      <c r="F373" s="3" t="s">
        <v>25</v>
      </c>
      <c r="G373" s="3" t="s">
        <v>25</v>
      </c>
      <c r="H373" s="3" t="s">
        <v>34</v>
      </c>
      <c r="I373" s="6">
        <v>44317</v>
      </c>
      <c r="J373" s="4">
        <v>12</v>
      </c>
      <c r="K373" s="4">
        <v>12</v>
      </c>
      <c r="L373" s="4">
        <v>0.49199999999999999</v>
      </c>
      <c r="M373" s="4">
        <v>0.49199999999999999</v>
      </c>
      <c r="N373" s="4">
        <v>0.49199999999999999</v>
      </c>
      <c r="O373" s="4">
        <v>0.49199999999999999</v>
      </c>
      <c r="P373" s="4">
        <v>0</v>
      </c>
      <c r="Q373" s="3" t="s">
        <v>26</v>
      </c>
      <c r="R373" s="3">
        <v>0</v>
      </c>
      <c r="S373" s="4">
        <v>11</v>
      </c>
      <c r="T373" s="4">
        <v>110</v>
      </c>
      <c r="U373" s="4">
        <v>88</v>
      </c>
      <c r="V373" s="4">
        <f>IF(ISERROR(VLOOKUP($S$373,'TAR FIN'!$A$1:$O$113,15,0)),0,VLOOKUP($S$373,'TAR FIN'!$A$1:$O$113,15,0))</f>
        <v>62.23</v>
      </c>
      <c r="W373" s="4">
        <f>IF(ISERROR(VLOOKUP($T$373,'TAR FIN'!$A$1:$O$113,15,0)),0,VLOOKUP($T$373,'TAR FIN'!$A$1:$O$113,15,0))</f>
        <v>51.27</v>
      </c>
      <c r="X373" s="4">
        <f>IF(ISERROR(VLOOKUP($U$373,'TAR FIN'!$A$1:$O$113,15,0)),0,VLOOKUP($U$373,'TAR FIN'!$A$1:$O$113,15,0))</f>
        <v>365.5</v>
      </c>
      <c r="Y373" s="4">
        <f ca="1">('TUSD BE'!$AM$13+'TUSD BF'!$AM$13+'TUSD CVA'!$AM$13)*1</f>
        <v>73.082870326096639</v>
      </c>
      <c r="Z373" s="4">
        <f ca="1">('TUSD BE'!$AM$15+'TUSD BF'!$AM$15+'TUSD CVA'!$AM$15)*1</f>
        <v>65.007409626508434</v>
      </c>
      <c r="AA373" s="4">
        <f>('TE BE'!$AA$10+'TE BF'!$AA$10+'TE CVA'!$AA$10)*1</f>
        <v>361.55013418411539</v>
      </c>
      <c r="AB373" s="4">
        <f>$K$373*$V$373</f>
        <v>746.76</v>
      </c>
      <c r="AC373" s="4">
        <f>$M$373*$W$373</f>
        <v>25.22484</v>
      </c>
      <c r="AD373" s="4">
        <f>$O$373*$X$373</f>
        <v>179.82599999999999</v>
      </c>
      <c r="AE373" s="4">
        <f ca="1">$K$373*$Y$373</f>
        <v>876.99444391315967</v>
      </c>
      <c r="AF373" s="4">
        <f ca="1">$M$373*$Z$373</f>
        <v>31.98364553624215</v>
      </c>
      <c r="AG373" s="4">
        <f>$O$373*$AA$373</f>
        <v>177.88266601858476</v>
      </c>
    </row>
    <row r="374" spans="1:33" ht="11.25" customHeight="1" x14ac:dyDescent="0.25">
      <c r="A374" s="3" t="s">
        <v>21</v>
      </c>
      <c r="B374" s="3" t="s">
        <v>41</v>
      </c>
      <c r="C374" s="3" t="s">
        <v>40</v>
      </c>
      <c r="D374" s="3" t="s">
        <v>38</v>
      </c>
      <c r="E374" s="3" t="s">
        <v>25</v>
      </c>
      <c r="F374" s="3" t="s">
        <v>25</v>
      </c>
      <c r="G374" s="3" t="s">
        <v>25</v>
      </c>
      <c r="H374" s="3" t="s">
        <v>34</v>
      </c>
      <c r="I374" s="6">
        <v>44317</v>
      </c>
      <c r="J374" s="4">
        <v>30</v>
      </c>
      <c r="K374" s="4">
        <v>30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3" t="s">
        <v>57</v>
      </c>
      <c r="R374" s="3">
        <v>0</v>
      </c>
      <c r="S374" s="4">
        <v>11</v>
      </c>
      <c r="T374" s="4">
        <v>0</v>
      </c>
      <c r="U374" s="4">
        <v>0</v>
      </c>
      <c r="V374" s="4">
        <f>IF(ISERROR(VLOOKUP($S$374,'TAR FIN'!$A$1:$O$113,15,0)),0,VLOOKUP($S$374,'TAR FIN'!$A$1:$O$113,15,0))</f>
        <v>62.23</v>
      </c>
      <c r="W374" s="4">
        <f>IF(ISERROR(VLOOKUP($T$374,'TAR FIN'!$A$1:$O$113,15,0)),0,VLOOKUP($T$374,'TAR FIN'!$A$1:$O$113,15,0))</f>
        <v>0</v>
      </c>
      <c r="X374" s="4">
        <f>IF(ISERROR(VLOOKUP($U$374,'TAR FIN'!$A$1:$O$113,15,0)),0,VLOOKUP($U$374,'TAR FIN'!$A$1:$O$113,15,0))</f>
        <v>0</v>
      </c>
      <c r="Y374" s="4">
        <f ca="1">('TUSD BE'!$AM$13+'TUSD BF'!$AM$13+'TUSD CVA'!$AM$13)*1</f>
        <v>73.082870326096639</v>
      </c>
      <c r="Z374" s="4">
        <f ca="1">('TUSD BE'!$AM$15+'TUSD BF'!$AM$15+'TUSD CVA'!$AM$15)*1</f>
        <v>65.007409626508434</v>
      </c>
      <c r="AA374" s="4"/>
      <c r="AB374" s="4">
        <f>$K$374*$V$374</f>
        <v>1866.8999999999999</v>
      </c>
      <c r="AC374" s="4">
        <f>$M$374*$W$374</f>
        <v>0</v>
      </c>
      <c r="AD374" s="4">
        <f>$O$374*$X$374</f>
        <v>0</v>
      </c>
      <c r="AE374" s="4">
        <f ca="1">$K$374*$Y$374</f>
        <v>2192.4861097828993</v>
      </c>
      <c r="AF374" s="4">
        <f ca="1">$M$374*$Z$374</f>
        <v>0</v>
      </c>
      <c r="AG374" s="4">
        <f>$O$374*$AA$374</f>
        <v>0</v>
      </c>
    </row>
    <row r="375" spans="1:33" ht="11.25" customHeight="1" x14ac:dyDescent="0.25">
      <c r="A375" s="3" t="s">
        <v>21</v>
      </c>
      <c r="B375" s="3" t="s">
        <v>41</v>
      </c>
      <c r="C375" s="3" t="s">
        <v>40</v>
      </c>
      <c r="D375" s="3" t="s">
        <v>38</v>
      </c>
      <c r="E375" s="3" t="s">
        <v>25</v>
      </c>
      <c r="F375" s="3" t="s">
        <v>25</v>
      </c>
      <c r="G375" s="3" t="s">
        <v>25</v>
      </c>
      <c r="H375" s="3" t="s">
        <v>34</v>
      </c>
      <c r="I375" s="6">
        <v>44348</v>
      </c>
      <c r="J375" s="4">
        <v>2225</v>
      </c>
      <c r="K375" s="4">
        <v>2225</v>
      </c>
      <c r="L375" s="4">
        <v>55.898000000000003</v>
      </c>
      <c r="M375" s="4">
        <v>55.898000000000003</v>
      </c>
      <c r="N375" s="4">
        <v>55.898000000000003</v>
      </c>
      <c r="O375" s="4">
        <v>55.898000000000003</v>
      </c>
      <c r="P375" s="4">
        <v>0</v>
      </c>
      <c r="Q375" s="3" t="s">
        <v>26</v>
      </c>
      <c r="R375" s="3">
        <v>0</v>
      </c>
      <c r="S375" s="4">
        <v>11</v>
      </c>
      <c r="T375" s="4">
        <v>110</v>
      </c>
      <c r="U375" s="4">
        <v>88</v>
      </c>
      <c r="V375" s="4">
        <f>IF(ISERROR(VLOOKUP($S$375,'TAR FIN'!$A$1:$O$113,15,0)),0,VLOOKUP($S$375,'TAR FIN'!$A$1:$O$113,15,0))</f>
        <v>62.23</v>
      </c>
      <c r="W375" s="4">
        <f>IF(ISERROR(VLOOKUP($T$375,'TAR FIN'!$A$1:$O$113,15,0)),0,VLOOKUP($T$375,'TAR FIN'!$A$1:$O$113,15,0))</f>
        <v>51.27</v>
      </c>
      <c r="X375" s="4">
        <f>IF(ISERROR(VLOOKUP($U$375,'TAR FIN'!$A$1:$O$113,15,0)),0,VLOOKUP($U$375,'TAR FIN'!$A$1:$O$113,15,0))</f>
        <v>365.5</v>
      </c>
      <c r="Y375" s="4">
        <f ca="1">('TUSD BE'!$AM$13+'TUSD BF'!$AM$13+'TUSD CVA'!$AM$13)*1</f>
        <v>73.082870326096639</v>
      </c>
      <c r="Z375" s="4">
        <f ca="1">('TUSD BE'!$AM$15+'TUSD BF'!$AM$15+'TUSD CVA'!$AM$15)*1</f>
        <v>65.007409626508434</v>
      </c>
      <c r="AA375" s="4">
        <f>('TE BE'!$AA$10+'TE BF'!$AA$10+'TE CVA'!$AA$10)*1</f>
        <v>361.55013418411539</v>
      </c>
      <c r="AB375" s="4">
        <f>$K$375*$V$375</f>
        <v>138461.75</v>
      </c>
      <c r="AC375" s="4">
        <f>$M$375*$W$375</f>
        <v>2865.8904600000005</v>
      </c>
      <c r="AD375" s="4">
        <f>$O$375*$X$375</f>
        <v>20430.719000000001</v>
      </c>
      <c r="AE375" s="4">
        <f ca="1">$K$375*$Y$375</f>
        <v>162609.38647556503</v>
      </c>
      <c r="AF375" s="4">
        <f ca="1">$M$375*$Z$375</f>
        <v>3633.7841833025686</v>
      </c>
      <c r="AG375" s="4">
        <f>$O$375*$AA$375</f>
        <v>20209.929400623685</v>
      </c>
    </row>
    <row r="376" spans="1:33" ht="11.25" customHeight="1" x14ac:dyDescent="0.25">
      <c r="A376" s="3" t="s">
        <v>28</v>
      </c>
      <c r="B376" s="3" t="s">
        <v>41</v>
      </c>
      <c r="C376" s="3" t="s">
        <v>40</v>
      </c>
      <c r="D376" s="3" t="s">
        <v>38</v>
      </c>
      <c r="E376" s="3" t="s">
        <v>25</v>
      </c>
      <c r="F376" s="3" t="s">
        <v>25</v>
      </c>
      <c r="G376" s="3" t="s">
        <v>25</v>
      </c>
      <c r="H376" s="3" t="s">
        <v>34</v>
      </c>
      <c r="I376" s="6">
        <v>44348</v>
      </c>
      <c r="J376" s="4">
        <v>12</v>
      </c>
      <c r="K376" s="4">
        <v>12</v>
      </c>
      <c r="L376" s="4">
        <v>0.57399999999999995</v>
      </c>
      <c r="M376" s="4">
        <v>0.57399999999999995</v>
      </c>
      <c r="N376" s="4">
        <v>0.57399999999999995</v>
      </c>
      <c r="O376" s="4">
        <v>0.57399999999999995</v>
      </c>
      <c r="P376" s="4">
        <v>0</v>
      </c>
      <c r="Q376" s="3" t="s">
        <v>26</v>
      </c>
      <c r="R376" s="3">
        <v>0</v>
      </c>
      <c r="S376" s="4">
        <v>11</v>
      </c>
      <c r="T376" s="4">
        <v>110</v>
      </c>
      <c r="U376" s="4">
        <v>88</v>
      </c>
      <c r="V376" s="4">
        <f>IF(ISERROR(VLOOKUP($S$376,'TAR FIN'!$A$1:$O$113,15,0)),0,VLOOKUP($S$376,'TAR FIN'!$A$1:$O$113,15,0))</f>
        <v>62.23</v>
      </c>
      <c r="W376" s="4">
        <f>IF(ISERROR(VLOOKUP($T$376,'TAR FIN'!$A$1:$O$113,15,0)),0,VLOOKUP($T$376,'TAR FIN'!$A$1:$O$113,15,0))</f>
        <v>51.27</v>
      </c>
      <c r="X376" s="4">
        <f>IF(ISERROR(VLOOKUP($U$376,'TAR FIN'!$A$1:$O$113,15,0)),0,VLOOKUP($U$376,'TAR FIN'!$A$1:$O$113,15,0))</f>
        <v>365.5</v>
      </c>
      <c r="Y376" s="4">
        <f ca="1">('TUSD BE'!$AM$13+'TUSD BF'!$AM$13+'TUSD CVA'!$AM$13)*1</f>
        <v>73.082870326096639</v>
      </c>
      <c r="Z376" s="4">
        <f ca="1">('TUSD BE'!$AM$15+'TUSD BF'!$AM$15+'TUSD CVA'!$AM$15)*1</f>
        <v>65.007409626508434</v>
      </c>
      <c r="AA376" s="4">
        <f>('TE BE'!$AA$10+'TE BF'!$AA$10+'TE CVA'!$AA$10)*1</f>
        <v>361.55013418411539</v>
      </c>
      <c r="AB376" s="4">
        <f>$K$376*$V$376</f>
        <v>746.76</v>
      </c>
      <c r="AC376" s="4">
        <f>$M$376*$W$376</f>
        <v>29.428979999999999</v>
      </c>
      <c r="AD376" s="4">
        <f>$O$376*$X$376</f>
        <v>209.797</v>
      </c>
      <c r="AE376" s="4">
        <f ca="1">$K$376*$Y$376</f>
        <v>876.99444391315967</v>
      </c>
      <c r="AF376" s="4">
        <f ca="1">$M$376*$Z$376</f>
        <v>37.314253125615835</v>
      </c>
      <c r="AG376" s="4">
        <f>$O$376*$AA$376</f>
        <v>207.52977702168221</v>
      </c>
    </row>
    <row r="377" spans="1:33" ht="11.25" customHeight="1" x14ac:dyDescent="0.25">
      <c r="A377" s="3" t="s">
        <v>21</v>
      </c>
      <c r="B377" s="3" t="s">
        <v>41</v>
      </c>
      <c r="C377" s="3" t="s">
        <v>40</v>
      </c>
      <c r="D377" s="3" t="s">
        <v>38</v>
      </c>
      <c r="E377" s="3" t="s">
        <v>25</v>
      </c>
      <c r="F377" s="3" t="s">
        <v>25</v>
      </c>
      <c r="G377" s="3" t="s">
        <v>25</v>
      </c>
      <c r="H377" s="3" t="s">
        <v>34</v>
      </c>
      <c r="I377" s="6">
        <v>44348</v>
      </c>
      <c r="J377" s="4">
        <v>30</v>
      </c>
      <c r="K377" s="4">
        <v>30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 t="s">
        <v>57</v>
      </c>
      <c r="R377" s="3">
        <v>0</v>
      </c>
      <c r="S377" s="4">
        <v>11</v>
      </c>
      <c r="T377" s="4">
        <v>0</v>
      </c>
      <c r="U377" s="4">
        <v>0</v>
      </c>
      <c r="V377" s="4">
        <f>IF(ISERROR(VLOOKUP($S$377,'TAR FIN'!$A$1:$O$113,15,0)),0,VLOOKUP($S$377,'TAR FIN'!$A$1:$O$113,15,0))</f>
        <v>62.23</v>
      </c>
      <c r="W377" s="4">
        <f>IF(ISERROR(VLOOKUP($T$377,'TAR FIN'!$A$1:$O$113,15,0)),0,VLOOKUP($T$377,'TAR FIN'!$A$1:$O$113,15,0))</f>
        <v>0</v>
      </c>
      <c r="X377" s="4">
        <f>IF(ISERROR(VLOOKUP($U$377,'TAR FIN'!$A$1:$O$113,15,0)),0,VLOOKUP($U$377,'TAR FIN'!$A$1:$O$113,15,0))</f>
        <v>0</v>
      </c>
      <c r="Y377" s="4">
        <f ca="1">('TUSD BE'!$AM$13+'TUSD BF'!$AM$13+'TUSD CVA'!$AM$13)*1</f>
        <v>73.082870326096639</v>
      </c>
      <c r="Z377" s="4">
        <f ca="1">('TUSD BE'!$AM$15+'TUSD BF'!$AM$15+'TUSD CVA'!$AM$15)*1</f>
        <v>65.007409626508434</v>
      </c>
      <c r="AA377" s="4"/>
      <c r="AB377" s="4">
        <f>$K$377*$V$377</f>
        <v>1866.8999999999999</v>
      </c>
      <c r="AC377" s="4">
        <f>$M$377*$W$377</f>
        <v>0</v>
      </c>
      <c r="AD377" s="4">
        <f>$O$377*$X$377</f>
        <v>0</v>
      </c>
      <c r="AE377" s="4">
        <f ca="1">$K$377*$Y$377</f>
        <v>2192.4861097828993</v>
      </c>
      <c r="AF377" s="4">
        <f ca="1">$M$377*$Z$377</f>
        <v>0</v>
      </c>
      <c r="AG377" s="4">
        <f>$O$377*$AA$377</f>
        <v>0</v>
      </c>
    </row>
    <row r="378" spans="1:33" ht="11.25" customHeight="1" x14ac:dyDescent="0.25">
      <c r="A378" s="3" t="s">
        <v>21</v>
      </c>
      <c r="B378" s="3" t="s">
        <v>41</v>
      </c>
      <c r="C378" s="3" t="s">
        <v>40</v>
      </c>
      <c r="D378" s="3" t="s">
        <v>38</v>
      </c>
      <c r="E378" s="3" t="s">
        <v>25</v>
      </c>
      <c r="F378" s="3" t="s">
        <v>25</v>
      </c>
      <c r="G378" s="3" t="s">
        <v>25</v>
      </c>
      <c r="H378" s="3" t="s">
        <v>34</v>
      </c>
      <c r="I378" s="6">
        <v>44378</v>
      </c>
      <c r="J378" s="4">
        <v>2228</v>
      </c>
      <c r="K378" s="4">
        <v>2228</v>
      </c>
      <c r="L378" s="4">
        <v>50.235999999999997</v>
      </c>
      <c r="M378" s="4">
        <v>50.235999999999997</v>
      </c>
      <c r="N378" s="4">
        <v>50.235999999999997</v>
      </c>
      <c r="O378" s="4">
        <v>50.235999999999997</v>
      </c>
      <c r="P378" s="4">
        <v>0</v>
      </c>
      <c r="Q378" s="3" t="s">
        <v>26</v>
      </c>
      <c r="R378" s="3">
        <v>0</v>
      </c>
      <c r="S378" s="4">
        <v>11</v>
      </c>
      <c r="T378" s="4">
        <v>110</v>
      </c>
      <c r="U378" s="4">
        <v>88</v>
      </c>
      <c r="V378" s="4">
        <f>IF(ISERROR(VLOOKUP($S$378,'TAR FIN'!$A$1:$O$113,15,0)),0,VLOOKUP($S$378,'TAR FIN'!$A$1:$O$113,15,0))</f>
        <v>62.23</v>
      </c>
      <c r="W378" s="4">
        <f>IF(ISERROR(VLOOKUP($T$378,'TAR FIN'!$A$1:$O$113,15,0)),0,VLOOKUP($T$378,'TAR FIN'!$A$1:$O$113,15,0))</f>
        <v>51.27</v>
      </c>
      <c r="X378" s="4">
        <f>IF(ISERROR(VLOOKUP($U$378,'TAR FIN'!$A$1:$O$113,15,0)),0,VLOOKUP($U$378,'TAR FIN'!$A$1:$O$113,15,0))</f>
        <v>365.5</v>
      </c>
      <c r="Y378" s="4">
        <f ca="1">('TUSD BE'!$AM$13+'TUSD BF'!$AM$13+'TUSD CVA'!$AM$13)*1</f>
        <v>73.082870326096639</v>
      </c>
      <c r="Z378" s="4">
        <f ca="1">('TUSD BE'!$AM$15+'TUSD BF'!$AM$15+'TUSD CVA'!$AM$15)*1</f>
        <v>65.007409626508434</v>
      </c>
      <c r="AA378" s="4">
        <f>('TE BE'!$AA$10+'TE BF'!$AA$10+'TE CVA'!$AA$10)*1</f>
        <v>361.55013418411539</v>
      </c>
      <c r="AB378" s="4">
        <f>$K$378*$V$378</f>
        <v>138648.44</v>
      </c>
      <c r="AC378" s="4">
        <f>$M$378*$W$378</f>
        <v>2575.5997200000002</v>
      </c>
      <c r="AD378" s="4">
        <f>$O$378*$X$378</f>
        <v>18361.257999999998</v>
      </c>
      <c r="AE378" s="4">
        <f ca="1">$K$378*$Y$378</f>
        <v>162828.63508654331</v>
      </c>
      <c r="AF378" s="4">
        <f ca="1">$M$378*$Z$378</f>
        <v>3265.7122299972775</v>
      </c>
      <c r="AG378" s="4">
        <f>$O$378*$AA$378</f>
        <v>18162.83254087322</v>
      </c>
    </row>
    <row r="379" spans="1:33" ht="11.25" customHeight="1" x14ac:dyDescent="0.25">
      <c r="A379" s="3" t="s">
        <v>28</v>
      </c>
      <c r="B379" s="3" t="s">
        <v>41</v>
      </c>
      <c r="C379" s="3" t="s">
        <v>40</v>
      </c>
      <c r="D379" s="3" t="s">
        <v>38</v>
      </c>
      <c r="E379" s="3" t="s">
        <v>25</v>
      </c>
      <c r="F379" s="3" t="s">
        <v>25</v>
      </c>
      <c r="G379" s="3" t="s">
        <v>25</v>
      </c>
      <c r="H379" s="3" t="s">
        <v>34</v>
      </c>
      <c r="I379" s="6">
        <v>44378</v>
      </c>
      <c r="J379" s="4">
        <v>12</v>
      </c>
      <c r="K379" s="4">
        <v>12</v>
      </c>
      <c r="L379" s="4">
        <v>0.57399999999999995</v>
      </c>
      <c r="M379" s="4">
        <v>0.57399999999999995</v>
      </c>
      <c r="N379" s="4">
        <v>0.57399999999999995</v>
      </c>
      <c r="O379" s="4">
        <v>0.57399999999999995</v>
      </c>
      <c r="P379" s="4">
        <v>0</v>
      </c>
      <c r="Q379" s="3" t="s">
        <v>26</v>
      </c>
      <c r="R379" s="3">
        <v>0</v>
      </c>
      <c r="S379" s="4">
        <v>11</v>
      </c>
      <c r="T379" s="4">
        <v>110</v>
      </c>
      <c r="U379" s="4">
        <v>88</v>
      </c>
      <c r="V379" s="4">
        <f>IF(ISERROR(VLOOKUP($S$379,'TAR FIN'!$A$1:$O$113,15,0)),0,VLOOKUP($S$379,'TAR FIN'!$A$1:$O$113,15,0))</f>
        <v>62.23</v>
      </c>
      <c r="W379" s="4">
        <f>IF(ISERROR(VLOOKUP($T$379,'TAR FIN'!$A$1:$O$113,15,0)),0,VLOOKUP($T$379,'TAR FIN'!$A$1:$O$113,15,0))</f>
        <v>51.27</v>
      </c>
      <c r="X379" s="4">
        <f>IF(ISERROR(VLOOKUP($U$379,'TAR FIN'!$A$1:$O$113,15,0)),0,VLOOKUP($U$379,'TAR FIN'!$A$1:$O$113,15,0))</f>
        <v>365.5</v>
      </c>
      <c r="Y379" s="4">
        <f ca="1">('TUSD BE'!$AM$13+'TUSD BF'!$AM$13+'TUSD CVA'!$AM$13)*1</f>
        <v>73.082870326096639</v>
      </c>
      <c r="Z379" s="4">
        <f ca="1">('TUSD BE'!$AM$15+'TUSD BF'!$AM$15+'TUSD CVA'!$AM$15)*1</f>
        <v>65.007409626508434</v>
      </c>
      <c r="AA379" s="4">
        <f>('TE BE'!$AA$10+'TE BF'!$AA$10+'TE CVA'!$AA$10)*1</f>
        <v>361.55013418411539</v>
      </c>
      <c r="AB379" s="4">
        <f>$K$379*$V$379</f>
        <v>746.76</v>
      </c>
      <c r="AC379" s="4">
        <f>$M$379*$W$379</f>
        <v>29.428979999999999</v>
      </c>
      <c r="AD379" s="4">
        <f>$O$379*$X$379</f>
        <v>209.797</v>
      </c>
      <c r="AE379" s="4">
        <f ca="1">$K$379*$Y$379</f>
        <v>876.99444391315967</v>
      </c>
      <c r="AF379" s="4">
        <f ca="1">$M$379*$Z$379</f>
        <v>37.314253125615835</v>
      </c>
      <c r="AG379" s="4">
        <f>$O$379*$AA$379</f>
        <v>207.52977702168221</v>
      </c>
    </row>
    <row r="380" spans="1:33" ht="11.25" customHeight="1" x14ac:dyDescent="0.25">
      <c r="A380" s="3" t="s">
        <v>21</v>
      </c>
      <c r="B380" s="3" t="s">
        <v>41</v>
      </c>
      <c r="C380" s="3" t="s">
        <v>40</v>
      </c>
      <c r="D380" s="3" t="s">
        <v>38</v>
      </c>
      <c r="E380" s="3" t="s">
        <v>25</v>
      </c>
      <c r="F380" s="3" t="s">
        <v>25</v>
      </c>
      <c r="G380" s="3" t="s">
        <v>25</v>
      </c>
      <c r="H380" s="3" t="s">
        <v>34</v>
      </c>
      <c r="I380" s="6">
        <v>44378</v>
      </c>
      <c r="J380" s="4">
        <v>30</v>
      </c>
      <c r="K380" s="4">
        <v>30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3" t="s">
        <v>57</v>
      </c>
      <c r="R380" s="3">
        <v>0</v>
      </c>
      <c r="S380" s="4">
        <v>11</v>
      </c>
      <c r="T380" s="4">
        <v>0</v>
      </c>
      <c r="U380" s="4">
        <v>0</v>
      </c>
      <c r="V380" s="4">
        <f>IF(ISERROR(VLOOKUP($S$380,'TAR FIN'!$A$1:$O$113,15,0)),0,VLOOKUP($S$380,'TAR FIN'!$A$1:$O$113,15,0))</f>
        <v>62.23</v>
      </c>
      <c r="W380" s="4">
        <f>IF(ISERROR(VLOOKUP($T$380,'TAR FIN'!$A$1:$O$113,15,0)),0,VLOOKUP($T$380,'TAR FIN'!$A$1:$O$113,15,0))</f>
        <v>0</v>
      </c>
      <c r="X380" s="4">
        <f>IF(ISERROR(VLOOKUP($U$380,'TAR FIN'!$A$1:$O$113,15,0)),0,VLOOKUP($U$380,'TAR FIN'!$A$1:$O$113,15,0))</f>
        <v>0</v>
      </c>
      <c r="Y380" s="4">
        <f ca="1">('TUSD BE'!$AM$13+'TUSD BF'!$AM$13+'TUSD CVA'!$AM$13)*1</f>
        <v>73.082870326096639</v>
      </c>
      <c r="Z380" s="4">
        <f ca="1">('TUSD BE'!$AM$15+'TUSD BF'!$AM$15+'TUSD CVA'!$AM$15)*1</f>
        <v>65.007409626508434</v>
      </c>
      <c r="AA380" s="4"/>
      <c r="AB380" s="4">
        <f>$K$380*$V$380</f>
        <v>1866.8999999999999</v>
      </c>
      <c r="AC380" s="4">
        <f>$M$380*$W$380</f>
        <v>0</v>
      </c>
      <c r="AD380" s="4">
        <f>$O$380*$X$380</f>
        <v>0</v>
      </c>
      <c r="AE380" s="4">
        <f ca="1">$K$380*$Y$380</f>
        <v>2192.4861097828993</v>
      </c>
      <c r="AF380" s="4">
        <f ca="1">$M$380*$Z$380</f>
        <v>0</v>
      </c>
      <c r="AG380" s="4">
        <f>$O$380*$AA$380</f>
        <v>0</v>
      </c>
    </row>
    <row r="381" spans="1:33" ht="11.25" customHeight="1" x14ac:dyDescent="0.25">
      <c r="A381" s="3" t="s">
        <v>21</v>
      </c>
      <c r="B381" s="3" t="s">
        <v>41</v>
      </c>
      <c r="C381" s="3" t="s">
        <v>40</v>
      </c>
      <c r="D381" s="3" t="s">
        <v>38</v>
      </c>
      <c r="E381" s="3" t="s">
        <v>25</v>
      </c>
      <c r="F381" s="3" t="s">
        <v>25</v>
      </c>
      <c r="G381" s="3" t="s">
        <v>25</v>
      </c>
      <c r="H381" s="3" t="s">
        <v>34</v>
      </c>
      <c r="I381" s="6">
        <v>44409</v>
      </c>
      <c r="J381" s="4">
        <v>2220</v>
      </c>
      <c r="K381" s="4">
        <v>2220</v>
      </c>
      <c r="L381" s="4">
        <v>54.576000000000001</v>
      </c>
      <c r="M381" s="4">
        <v>54.576000000000001</v>
      </c>
      <c r="N381" s="4">
        <v>54.576000000000001</v>
      </c>
      <c r="O381" s="4">
        <v>54.576000000000001</v>
      </c>
      <c r="P381" s="4">
        <v>0</v>
      </c>
      <c r="Q381" s="3" t="s">
        <v>26</v>
      </c>
      <c r="R381" s="3">
        <v>0</v>
      </c>
      <c r="S381" s="4">
        <v>11</v>
      </c>
      <c r="T381" s="4">
        <v>110</v>
      </c>
      <c r="U381" s="4">
        <v>88</v>
      </c>
      <c r="V381" s="4">
        <f>IF(ISERROR(VLOOKUP($S$381,'TAR FIN'!$A$1:$O$113,15,0)),0,VLOOKUP($S$381,'TAR FIN'!$A$1:$O$113,15,0))</f>
        <v>62.23</v>
      </c>
      <c r="W381" s="4">
        <f>IF(ISERROR(VLOOKUP($T$381,'TAR FIN'!$A$1:$O$113,15,0)),0,VLOOKUP($T$381,'TAR FIN'!$A$1:$O$113,15,0))</f>
        <v>51.27</v>
      </c>
      <c r="X381" s="4">
        <f>IF(ISERROR(VLOOKUP($U$381,'TAR FIN'!$A$1:$O$113,15,0)),0,VLOOKUP($U$381,'TAR FIN'!$A$1:$O$113,15,0))</f>
        <v>365.5</v>
      </c>
      <c r="Y381" s="4">
        <f ca="1">('TUSD BE'!$AM$13+'TUSD BF'!$AM$13+'TUSD CVA'!$AM$13)*1</f>
        <v>73.082870326096639</v>
      </c>
      <c r="Z381" s="4">
        <f ca="1">('TUSD BE'!$AM$15+'TUSD BF'!$AM$15+'TUSD CVA'!$AM$15)*1</f>
        <v>65.007409626508434</v>
      </c>
      <c r="AA381" s="4">
        <f>('TE BE'!$AA$10+'TE BF'!$AA$10+'TE CVA'!$AA$10)*1</f>
        <v>361.55013418411539</v>
      </c>
      <c r="AB381" s="4">
        <f>$K$381*$V$381</f>
        <v>138150.6</v>
      </c>
      <c r="AC381" s="4">
        <f>$M$381*$W$381</f>
        <v>2798.1115200000004</v>
      </c>
      <c r="AD381" s="4">
        <f>$O$381*$X$381</f>
        <v>19947.527999999998</v>
      </c>
      <c r="AE381" s="4">
        <f ca="1">$K$381*$Y$381</f>
        <v>162243.97212393454</v>
      </c>
      <c r="AF381" s="4">
        <f ca="1">$M$381*$Z$381</f>
        <v>3547.8443877763243</v>
      </c>
      <c r="AG381" s="4">
        <f>$O$381*$AA$381</f>
        <v>19731.960123232282</v>
      </c>
    </row>
    <row r="382" spans="1:33" ht="11.25" customHeight="1" x14ac:dyDescent="0.25">
      <c r="A382" s="3" t="s">
        <v>28</v>
      </c>
      <c r="B382" s="3" t="s">
        <v>41</v>
      </c>
      <c r="C382" s="3" t="s">
        <v>40</v>
      </c>
      <c r="D382" s="3" t="s">
        <v>38</v>
      </c>
      <c r="E382" s="3" t="s">
        <v>25</v>
      </c>
      <c r="F382" s="3" t="s">
        <v>25</v>
      </c>
      <c r="G382" s="3" t="s">
        <v>25</v>
      </c>
      <c r="H382" s="3" t="s">
        <v>34</v>
      </c>
      <c r="I382" s="6">
        <v>44409</v>
      </c>
      <c r="J382" s="4">
        <v>12</v>
      </c>
      <c r="K382" s="4">
        <v>12</v>
      </c>
      <c r="L382" s="4">
        <v>0.08</v>
      </c>
      <c r="M382" s="4">
        <v>0.08</v>
      </c>
      <c r="N382" s="4">
        <v>0.08</v>
      </c>
      <c r="O382" s="4">
        <v>0.08</v>
      </c>
      <c r="P382" s="4">
        <v>0</v>
      </c>
      <c r="Q382" s="3" t="s">
        <v>26</v>
      </c>
      <c r="R382" s="3">
        <v>0</v>
      </c>
      <c r="S382" s="4">
        <v>11</v>
      </c>
      <c r="T382" s="4">
        <v>110</v>
      </c>
      <c r="U382" s="4">
        <v>88</v>
      </c>
      <c r="V382" s="4">
        <f>IF(ISERROR(VLOOKUP($S$382,'TAR FIN'!$A$1:$O$113,15,0)),0,VLOOKUP($S$382,'TAR FIN'!$A$1:$O$113,15,0))</f>
        <v>62.23</v>
      </c>
      <c r="W382" s="4">
        <f>IF(ISERROR(VLOOKUP($T$382,'TAR FIN'!$A$1:$O$113,15,0)),0,VLOOKUP($T$382,'TAR FIN'!$A$1:$O$113,15,0))</f>
        <v>51.27</v>
      </c>
      <c r="X382" s="4">
        <f>IF(ISERROR(VLOOKUP($U$382,'TAR FIN'!$A$1:$O$113,15,0)),0,VLOOKUP($U$382,'TAR FIN'!$A$1:$O$113,15,0))</f>
        <v>365.5</v>
      </c>
      <c r="Y382" s="4">
        <f ca="1">('TUSD BE'!$AM$13+'TUSD BF'!$AM$13+'TUSD CVA'!$AM$13)*1</f>
        <v>73.082870326096639</v>
      </c>
      <c r="Z382" s="4">
        <f ca="1">('TUSD BE'!$AM$15+'TUSD BF'!$AM$15+'TUSD CVA'!$AM$15)*1</f>
        <v>65.007409626508434</v>
      </c>
      <c r="AA382" s="4">
        <f>('TE BE'!$AA$10+'TE BF'!$AA$10+'TE CVA'!$AA$10)*1</f>
        <v>361.55013418411539</v>
      </c>
      <c r="AB382" s="4">
        <f>$K$382*$V$382</f>
        <v>746.76</v>
      </c>
      <c r="AC382" s="4">
        <f>$M$382*$W$382</f>
        <v>4.1016000000000004</v>
      </c>
      <c r="AD382" s="4">
        <f>$O$382*$X$382</f>
        <v>29.240000000000002</v>
      </c>
      <c r="AE382" s="4">
        <f ca="1">$K$382*$Y$382</f>
        <v>876.99444391315967</v>
      </c>
      <c r="AF382" s="4">
        <f ca="1">$M$382*$Z$382</f>
        <v>5.2005927701206751</v>
      </c>
      <c r="AG382" s="4">
        <f>$O$382*$AA$382</f>
        <v>28.924010734729233</v>
      </c>
    </row>
    <row r="383" spans="1:33" ht="11.25" customHeight="1" x14ac:dyDescent="0.25">
      <c r="A383" s="3" t="s">
        <v>21</v>
      </c>
      <c r="B383" s="3" t="s">
        <v>41</v>
      </c>
      <c r="C383" s="3" t="s">
        <v>40</v>
      </c>
      <c r="D383" s="3" t="s">
        <v>38</v>
      </c>
      <c r="E383" s="3" t="s">
        <v>25</v>
      </c>
      <c r="F383" s="3" t="s">
        <v>25</v>
      </c>
      <c r="G383" s="3" t="s">
        <v>25</v>
      </c>
      <c r="H383" s="3" t="s">
        <v>34</v>
      </c>
      <c r="I383" s="6">
        <v>44409</v>
      </c>
      <c r="J383" s="4">
        <v>1438</v>
      </c>
      <c r="K383" s="4">
        <v>1438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3" t="s">
        <v>57</v>
      </c>
      <c r="R383" s="3">
        <v>0</v>
      </c>
      <c r="S383" s="4">
        <v>11</v>
      </c>
      <c r="T383" s="4">
        <v>0</v>
      </c>
      <c r="U383" s="4">
        <v>0</v>
      </c>
      <c r="V383" s="4">
        <f>IF(ISERROR(VLOOKUP($S$383,'TAR FIN'!$A$1:$O$113,15,0)),0,VLOOKUP($S$383,'TAR FIN'!$A$1:$O$113,15,0))</f>
        <v>62.23</v>
      </c>
      <c r="W383" s="4">
        <f>IF(ISERROR(VLOOKUP($T$383,'TAR FIN'!$A$1:$O$113,15,0)),0,VLOOKUP($T$383,'TAR FIN'!$A$1:$O$113,15,0))</f>
        <v>0</v>
      </c>
      <c r="X383" s="4">
        <f>IF(ISERROR(VLOOKUP($U$383,'TAR FIN'!$A$1:$O$113,15,0)),0,VLOOKUP($U$383,'TAR FIN'!$A$1:$O$113,15,0))</f>
        <v>0</v>
      </c>
      <c r="Y383" s="4">
        <f ca="1">('TUSD BE'!$AM$13+'TUSD BF'!$AM$13+'TUSD CVA'!$AM$13)*1</f>
        <v>73.082870326096639</v>
      </c>
      <c r="Z383" s="4">
        <f ca="1">('TUSD BE'!$AM$15+'TUSD BF'!$AM$15+'TUSD CVA'!$AM$15)*1</f>
        <v>65.007409626508434</v>
      </c>
      <c r="AA383" s="4"/>
      <c r="AB383" s="4">
        <f>$K$383*$V$383</f>
        <v>89486.739999999991</v>
      </c>
      <c r="AC383" s="4">
        <f>$M$383*$W$383</f>
        <v>0</v>
      </c>
      <c r="AD383" s="4">
        <f>$O$383*$X$383</f>
        <v>0</v>
      </c>
      <c r="AE383" s="4">
        <f ca="1">$K$383*$Y$383</f>
        <v>105093.16752892696</v>
      </c>
      <c r="AF383" s="4">
        <f ca="1">$M$383*$Z$383</f>
        <v>0</v>
      </c>
      <c r="AG383" s="4">
        <f>$O$383*$AA$383</f>
        <v>0</v>
      </c>
    </row>
    <row r="384" spans="1:33" ht="11.25" customHeight="1" x14ac:dyDescent="0.25">
      <c r="A384" s="3" t="s">
        <v>21</v>
      </c>
      <c r="B384" s="3" t="s">
        <v>41</v>
      </c>
      <c r="C384" s="3" t="s">
        <v>40</v>
      </c>
      <c r="D384" s="3" t="s">
        <v>38</v>
      </c>
      <c r="E384" s="3" t="s">
        <v>25</v>
      </c>
      <c r="F384" s="3" t="s">
        <v>25</v>
      </c>
      <c r="G384" s="3" t="s">
        <v>25</v>
      </c>
      <c r="H384" s="3" t="s">
        <v>34</v>
      </c>
      <c r="I384" s="6">
        <v>44440</v>
      </c>
      <c r="J384" s="4">
        <v>2237</v>
      </c>
      <c r="K384" s="4">
        <v>2237</v>
      </c>
      <c r="L384" s="4">
        <v>57.249000000000002</v>
      </c>
      <c r="M384" s="4">
        <v>57.249000000000002</v>
      </c>
      <c r="N384" s="4">
        <v>57.249000000000002</v>
      </c>
      <c r="O384" s="4">
        <v>57.249000000000002</v>
      </c>
      <c r="P384" s="4">
        <v>0</v>
      </c>
      <c r="Q384" s="3" t="s">
        <v>26</v>
      </c>
      <c r="R384" s="3">
        <v>0</v>
      </c>
      <c r="S384" s="4">
        <v>11</v>
      </c>
      <c r="T384" s="4">
        <v>110</v>
      </c>
      <c r="U384" s="4">
        <v>88</v>
      </c>
      <c r="V384" s="4">
        <f>IF(ISERROR(VLOOKUP($S$384,'TAR FIN'!$A$1:$O$113,15,0)),0,VLOOKUP($S$384,'TAR FIN'!$A$1:$O$113,15,0))</f>
        <v>62.23</v>
      </c>
      <c r="W384" s="4">
        <f>IF(ISERROR(VLOOKUP($T$384,'TAR FIN'!$A$1:$O$113,15,0)),0,VLOOKUP($T$384,'TAR FIN'!$A$1:$O$113,15,0))</f>
        <v>51.27</v>
      </c>
      <c r="X384" s="4">
        <f>IF(ISERROR(VLOOKUP($U$384,'TAR FIN'!$A$1:$O$113,15,0)),0,VLOOKUP($U$384,'TAR FIN'!$A$1:$O$113,15,0))</f>
        <v>365.5</v>
      </c>
      <c r="Y384" s="4">
        <f ca="1">('TUSD BE'!$AM$13+'TUSD BF'!$AM$13+'TUSD CVA'!$AM$13)*1</f>
        <v>73.082870326096639</v>
      </c>
      <c r="Z384" s="4">
        <f ca="1">('TUSD BE'!$AM$15+'TUSD BF'!$AM$15+'TUSD CVA'!$AM$15)*1</f>
        <v>65.007409626508434</v>
      </c>
      <c r="AA384" s="4">
        <f>('TE BE'!$AA$10+'TE BF'!$AA$10+'TE CVA'!$AA$10)*1</f>
        <v>361.55013418411539</v>
      </c>
      <c r="AB384" s="4">
        <f>$K$384*$V$384</f>
        <v>139208.50999999998</v>
      </c>
      <c r="AC384" s="4">
        <f>$M$384*$W$384</f>
        <v>2935.1562300000005</v>
      </c>
      <c r="AD384" s="4">
        <f>$O$384*$X$384</f>
        <v>20924.5095</v>
      </c>
      <c r="AE384" s="4">
        <f ca="1">$K$384*$Y$384</f>
        <v>163486.38091947819</v>
      </c>
      <c r="AF384" s="4">
        <f ca="1">$M$384*$Z$384</f>
        <v>3721.6091937079814</v>
      </c>
      <c r="AG384" s="4">
        <f>$O$384*$AA$384</f>
        <v>20698.383631906421</v>
      </c>
    </row>
    <row r="385" spans="1:33" ht="11.25" customHeight="1" x14ac:dyDescent="0.25">
      <c r="A385" s="3" t="s">
        <v>28</v>
      </c>
      <c r="B385" s="3" t="s">
        <v>41</v>
      </c>
      <c r="C385" s="3" t="s">
        <v>40</v>
      </c>
      <c r="D385" s="3" t="s">
        <v>38</v>
      </c>
      <c r="E385" s="3" t="s">
        <v>25</v>
      </c>
      <c r="F385" s="3" t="s">
        <v>25</v>
      </c>
      <c r="G385" s="3" t="s">
        <v>25</v>
      </c>
      <c r="H385" s="3" t="s">
        <v>34</v>
      </c>
      <c r="I385" s="6">
        <v>44440</v>
      </c>
      <c r="J385" s="4">
        <v>12</v>
      </c>
      <c r="K385" s="4">
        <v>12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3" t="s">
        <v>26</v>
      </c>
      <c r="R385" s="3">
        <v>0</v>
      </c>
      <c r="S385" s="4">
        <v>11</v>
      </c>
      <c r="T385" s="4">
        <v>0</v>
      </c>
      <c r="U385" s="4">
        <v>0</v>
      </c>
      <c r="V385" s="4">
        <f>IF(ISERROR(VLOOKUP($S$385,'TAR FIN'!$A$1:$O$113,15,0)),0,VLOOKUP($S$385,'TAR FIN'!$A$1:$O$113,15,0))</f>
        <v>62.23</v>
      </c>
      <c r="W385" s="4">
        <f>IF(ISERROR(VLOOKUP($T$385,'TAR FIN'!$A$1:$O$113,15,0)),0,VLOOKUP($T$385,'TAR FIN'!$A$1:$O$113,15,0))</f>
        <v>0</v>
      </c>
      <c r="X385" s="4">
        <f>IF(ISERROR(VLOOKUP($U$385,'TAR FIN'!$A$1:$O$113,15,0)),0,VLOOKUP($U$385,'TAR FIN'!$A$1:$O$113,15,0))</f>
        <v>0</v>
      </c>
      <c r="Y385" s="4">
        <f ca="1">('TUSD BE'!$AM$13+'TUSD BF'!$AM$13+'TUSD CVA'!$AM$13)*1</f>
        <v>73.082870326096639</v>
      </c>
      <c r="Z385" s="4">
        <f ca="1">('TUSD BE'!$AM$15+'TUSD BF'!$AM$15+'TUSD CVA'!$AM$15)*1</f>
        <v>65.007409626508434</v>
      </c>
      <c r="AA385" s="4">
        <f>('TE BE'!$AA$10+'TE BF'!$AA$10+'TE CVA'!$AA$10)*1</f>
        <v>361.55013418411539</v>
      </c>
      <c r="AB385" s="4">
        <f>$K$385*$V$385</f>
        <v>746.76</v>
      </c>
      <c r="AC385" s="4">
        <f>$M$385*$W$385</f>
        <v>0</v>
      </c>
      <c r="AD385" s="4">
        <f>$O$385*$X$385</f>
        <v>0</v>
      </c>
      <c r="AE385" s="4">
        <f ca="1">$K$385*$Y$385</f>
        <v>876.99444391315967</v>
      </c>
      <c r="AF385" s="4">
        <f ca="1">$M$385*$Z$385</f>
        <v>0</v>
      </c>
      <c r="AG385" s="4">
        <f>$O$385*$AA$385</f>
        <v>0</v>
      </c>
    </row>
    <row r="386" spans="1:33" ht="11.25" customHeight="1" x14ac:dyDescent="0.25">
      <c r="A386" s="3" t="s">
        <v>21</v>
      </c>
      <c r="B386" s="3" t="s">
        <v>41</v>
      </c>
      <c r="C386" s="3" t="s">
        <v>40</v>
      </c>
      <c r="D386" s="3" t="s">
        <v>38</v>
      </c>
      <c r="E386" s="3" t="s">
        <v>25</v>
      </c>
      <c r="F386" s="3" t="s">
        <v>25</v>
      </c>
      <c r="G386" s="3" t="s">
        <v>25</v>
      </c>
      <c r="H386" s="3" t="s">
        <v>34</v>
      </c>
      <c r="I386" s="6">
        <v>44440</v>
      </c>
      <c r="J386" s="4">
        <v>30</v>
      </c>
      <c r="K386" s="4">
        <v>30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3" t="s">
        <v>57</v>
      </c>
      <c r="R386" s="3">
        <v>0</v>
      </c>
      <c r="S386" s="4">
        <v>11</v>
      </c>
      <c r="T386" s="4">
        <v>0</v>
      </c>
      <c r="U386" s="4">
        <v>0</v>
      </c>
      <c r="V386" s="4">
        <f>IF(ISERROR(VLOOKUP($S$386,'TAR FIN'!$A$1:$O$113,15,0)),0,VLOOKUP($S$386,'TAR FIN'!$A$1:$O$113,15,0))</f>
        <v>62.23</v>
      </c>
      <c r="W386" s="4">
        <f>IF(ISERROR(VLOOKUP($T$386,'TAR FIN'!$A$1:$O$113,15,0)),0,VLOOKUP($T$386,'TAR FIN'!$A$1:$O$113,15,0))</f>
        <v>0</v>
      </c>
      <c r="X386" s="4">
        <f>IF(ISERROR(VLOOKUP($U$386,'TAR FIN'!$A$1:$O$113,15,0)),0,VLOOKUP($U$386,'TAR FIN'!$A$1:$O$113,15,0))</f>
        <v>0</v>
      </c>
      <c r="Y386" s="4">
        <f ca="1">('TUSD BE'!$AM$13+'TUSD BF'!$AM$13+'TUSD CVA'!$AM$13)*1</f>
        <v>73.082870326096639</v>
      </c>
      <c r="Z386" s="4">
        <f ca="1">('TUSD BE'!$AM$15+'TUSD BF'!$AM$15+'TUSD CVA'!$AM$15)*1</f>
        <v>65.007409626508434</v>
      </c>
      <c r="AA386" s="4"/>
      <c r="AB386" s="4">
        <f>$K$386*$V$386</f>
        <v>1866.8999999999999</v>
      </c>
      <c r="AC386" s="4">
        <f>$M$386*$W$386</f>
        <v>0</v>
      </c>
      <c r="AD386" s="4">
        <f>$O$386*$X$386</f>
        <v>0</v>
      </c>
      <c r="AE386" s="4">
        <f ca="1">$K$386*$Y$386</f>
        <v>2192.4861097828993</v>
      </c>
      <c r="AF386" s="4">
        <f ca="1">$M$386*$Z$386</f>
        <v>0</v>
      </c>
      <c r="AG386" s="4">
        <f>$O$386*$AA$386</f>
        <v>0</v>
      </c>
    </row>
    <row r="387" spans="1:33" ht="11.25" customHeight="1" x14ac:dyDescent="0.25">
      <c r="A387" s="3" t="s">
        <v>21</v>
      </c>
      <c r="B387" s="3" t="s">
        <v>41</v>
      </c>
      <c r="C387" s="3" t="s">
        <v>40</v>
      </c>
      <c r="D387" s="3" t="s">
        <v>38</v>
      </c>
      <c r="E387" s="3" t="s">
        <v>25</v>
      </c>
      <c r="F387" s="3" t="s">
        <v>25</v>
      </c>
      <c r="G387" s="3" t="s">
        <v>25</v>
      </c>
      <c r="H387" s="3" t="s">
        <v>34</v>
      </c>
      <c r="I387" s="6">
        <v>44470</v>
      </c>
      <c r="J387" s="4">
        <v>2324</v>
      </c>
      <c r="K387" s="4">
        <v>2324</v>
      </c>
      <c r="L387" s="4">
        <v>59.393000000000001</v>
      </c>
      <c r="M387" s="4">
        <v>59.393000000000001</v>
      </c>
      <c r="N387" s="4">
        <v>59.393000000000001</v>
      </c>
      <c r="O387" s="4">
        <v>59.393000000000001</v>
      </c>
      <c r="P387" s="4">
        <v>0</v>
      </c>
      <c r="Q387" s="3" t="s">
        <v>26</v>
      </c>
      <c r="R387" s="3">
        <v>0</v>
      </c>
      <c r="S387" s="4">
        <v>11</v>
      </c>
      <c r="T387" s="4">
        <v>110</v>
      </c>
      <c r="U387" s="4">
        <v>88</v>
      </c>
      <c r="V387" s="4">
        <f>IF(ISERROR(VLOOKUP($S$387,'TAR FIN'!$A$1:$O$113,15,0)),0,VLOOKUP($S$387,'TAR FIN'!$A$1:$O$113,15,0))</f>
        <v>62.23</v>
      </c>
      <c r="W387" s="4">
        <f>IF(ISERROR(VLOOKUP($T$387,'TAR FIN'!$A$1:$O$113,15,0)),0,VLOOKUP($T$387,'TAR FIN'!$A$1:$O$113,15,0))</f>
        <v>51.27</v>
      </c>
      <c r="X387" s="4">
        <f>IF(ISERROR(VLOOKUP($U$387,'TAR FIN'!$A$1:$O$113,15,0)),0,VLOOKUP($U$387,'TAR FIN'!$A$1:$O$113,15,0))</f>
        <v>365.5</v>
      </c>
      <c r="Y387" s="4">
        <f ca="1">('TUSD BE'!$AM$13+'TUSD BF'!$AM$13+'TUSD CVA'!$AM$13)*1</f>
        <v>73.082870326096639</v>
      </c>
      <c r="Z387" s="4">
        <f ca="1">('TUSD BE'!$AM$15+'TUSD BF'!$AM$15+'TUSD CVA'!$AM$15)*1</f>
        <v>65.007409626508434</v>
      </c>
      <c r="AA387" s="4">
        <f>('TE BE'!$AA$10+'TE BF'!$AA$10+'TE CVA'!$AA$10)*1</f>
        <v>361.55013418411539</v>
      </c>
      <c r="AB387" s="4">
        <f>$K$387*$V$387</f>
        <v>144622.51999999999</v>
      </c>
      <c r="AC387" s="4">
        <f>$M$387*$W$387</f>
        <v>3045.0791100000001</v>
      </c>
      <c r="AD387" s="4">
        <f>$O$387*$X$387</f>
        <v>21708.141500000002</v>
      </c>
      <c r="AE387" s="4">
        <f ca="1">$K$387*$Y$387</f>
        <v>169844.5906378486</v>
      </c>
      <c r="AF387" s="4">
        <f ca="1">$M$387*$Z$387</f>
        <v>3860.9850799472156</v>
      </c>
      <c r="AG387" s="4">
        <f>$O$387*$AA$387</f>
        <v>21473.547119597166</v>
      </c>
    </row>
    <row r="388" spans="1:33" ht="11.25" customHeight="1" x14ac:dyDescent="0.25">
      <c r="A388" s="3" t="s">
        <v>28</v>
      </c>
      <c r="B388" s="3" t="s">
        <v>41</v>
      </c>
      <c r="C388" s="3" t="s">
        <v>40</v>
      </c>
      <c r="D388" s="3" t="s">
        <v>38</v>
      </c>
      <c r="E388" s="3" t="s">
        <v>25</v>
      </c>
      <c r="F388" s="3" t="s">
        <v>25</v>
      </c>
      <c r="G388" s="3" t="s">
        <v>25</v>
      </c>
      <c r="H388" s="3" t="s">
        <v>34</v>
      </c>
      <c r="I388" s="6">
        <v>44470</v>
      </c>
      <c r="J388" s="4">
        <v>12</v>
      </c>
      <c r="K388" s="4">
        <v>12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 t="s">
        <v>26</v>
      </c>
      <c r="R388" s="3">
        <v>0</v>
      </c>
      <c r="S388" s="4">
        <v>11</v>
      </c>
      <c r="T388" s="4">
        <v>0</v>
      </c>
      <c r="U388" s="4">
        <v>0</v>
      </c>
      <c r="V388" s="4">
        <f>IF(ISERROR(VLOOKUP($S$388,'TAR FIN'!$A$1:$O$113,15,0)),0,VLOOKUP($S$388,'TAR FIN'!$A$1:$O$113,15,0))</f>
        <v>62.23</v>
      </c>
      <c r="W388" s="4">
        <f>IF(ISERROR(VLOOKUP($T$388,'TAR FIN'!$A$1:$O$113,15,0)),0,VLOOKUP($T$388,'TAR FIN'!$A$1:$O$113,15,0))</f>
        <v>0</v>
      </c>
      <c r="X388" s="4">
        <f>IF(ISERROR(VLOOKUP($U$388,'TAR FIN'!$A$1:$O$113,15,0)),0,VLOOKUP($U$388,'TAR FIN'!$A$1:$O$113,15,0))</f>
        <v>0</v>
      </c>
      <c r="Y388" s="4">
        <f ca="1">('TUSD BE'!$AM$13+'TUSD BF'!$AM$13+'TUSD CVA'!$AM$13)*1</f>
        <v>73.082870326096639</v>
      </c>
      <c r="Z388" s="4">
        <f ca="1">('TUSD BE'!$AM$15+'TUSD BF'!$AM$15+'TUSD CVA'!$AM$15)*1</f>
        <v>65.007409626508434</v>
      </c>
      <c r="AA388" s="4">
        <f>('TE BE'!$AA$10+'TE BF'!$AA$10+'TE CVA'!$AA$10)*1</f>
        <v>361.55013418411539</v>
      </c>
      <c r="AB388" s="4">
        <f>$K$388*$V$388</f>
        <v>746.76</v>
      </c>
      <c r="AC388" s="4">
        <f>$M$388*$W$388</f>
        <v>0</v>
      </c>
      <c r="AD388" s="4">
        <f>$O$388*$X$388</f>
        <v>0</v>
      </c>
      <c r="AE388" s="4">
        <f ca="1">$K$388*$Y$388</f>
        <v>876.99444391315967</v>
      </c>
      <c r="AF388" s="4">
        <f ca="1">$M$388*$Z$388</f>
        <v>0</v>
      </c>
      <c r="AG388" s="4">
        <f>$O$388*$AA$388</f>
        <v>0</v>
      </c>
    </row>
    <row r="389" spans="1:33" ht="11.25" customHeight="1" x14ac:dyDescent="0.25">
      <c r="A389" s="3" t="s">
        <v>21</v>
      </c>
      <c r="B389" s="3" t="s">
        <v>41</v>
      </c>
      <c r="C389" s="3" t="s">
        <v>40</v>
      </c>
      <c r="D389" s="3" t="s">
        <v>38</v>
      </c>
      <c r="E389" s="3" t="s">
        <v>25</v>
      </c>
      <c r="F389" s="3" t="s">
        <v>25</v>
      </c>
      <c r="G389" s="3" t="s">
        <v>25</v>
      </c>
      <c r="H389" s="3" t="s">
        <v>34</v>
      </c>
      <c r="I389" s="6">
        <v>44501</v>
      </c>
      <c r="J389" s="4">
        <v>2357</v>
      </c>
      <c r="K389" s="4">
        <v>2357</v>
      </c>
      <c r="L389" s="4">
        <v>54.738</v>
      </c>
      <c r="M389" s="4">
        <v>54.738</v>
      </c>
      <c r="N389" s="4">
        <v>54.738</v>
      </c>
      <c r="O389" s="4">
        <v>54.738</v>
      </c>
      <c r="P389" s="4">
        <v>0</v>
      </c>
      <c r="Q389" s="3" t="s">
        <v>26</v>
      </c>
      <c r="R389" s="3">
        <v>0</v>
      </c>
      <c r="S389" s="4">
        <v>11</v>
      </c>
      <c r="T389" s="4">
        <v>110</v>
      </c>
      <c r="U389" s="4">
        <v>88</v>
      </c>
      <c r="V389" s="4">
        <f>IF(ISERROR(VLOOKUP($S$389,'TAR FIN'!$A$1:$O$113,15,0)),0,VLOOKUP($S$389,'TAR FIN'!$A$1:$O$113,15,0))</f>
        <v>62.23</v>
      </c>
      <c r="W389" s="4">
        <f>IF(ISERROR(VLOOKUP($T$389,'TAR FIN'!$A$1:$O$113,15,0)),0,VLOOKUP($T$389,'TAR FIN'!$A$1:$O$113,15,0))</f>
        <v>51.27</v>
      </c>
      <c r="X389" s="4">
        <f>IF(ISERROR(VLOOKUP($U$389,'TAR FIN'!$A$1:$O$113,15,0)),0,VLOOKUP($U$389,'TAR FIN'!$A$1:$O$113,15,0))</f>
        <v>365.5</v>
      </c>
      <c r="Y389" s="4">
        <f ca="1">('TUSD BE'!$AM$13+'TUSD BF'!$AM$13+'TUSD CVA'!$AM$13)*1</f>
        <v>73.082870326096639</v>
      </c>
      <c r="Z389" s="4">
        <f ca="1">('TUSD BE'!$AM$15+'TUSD BF'!$AM$15+'TUSD CVA'!$AM$15)*1</f>
        <v>65.007409626508434</v>
      </c>
      <c r="AA389" s="4">
        <f>('TE BE'!$AA$10+'TE BF'!$AA$10+'TE CVA'!$AA$10)*1</f>
        <v>361.55013418411539</v>
      </c>
      <c r="AB389" s="4">
        <f>$K$389*$V$389</f>
        <v>146676.10999999999</v>
      </c>
      <c r="AC389" s="4">
        <f>$M$389*$W$389</f>
        <v>2806.4172600000002</v>
      </c>
      <c r="AD389" s="4">
        <f>$O$389*$X$389</f>
        <v>20006.739000000001</v>
      </c>
      <c r="AE389" s="4">
        <f ca="1">$K$389*$Y$389</f>
        <v>172256.32535860979</v>
      </c>
      <c r="AF389" s="4">
        <f ca="1">$M$389*$Z$389</f>
        <v>3558.3755881358188</v>
      </c>
      <c r="AG389" s="4">
        <f>$O$389*$AA$389</f>
        <v>19790.531244970109</v>
      </c>
    </row>
    <row r="390" spans="1:33" ht="11.25" customHeight="1" x14ac:dyDescent="0.25">
      <c r="A390" s="3" t="s">
        <v>28</v>
      </c>
      <c r="B390" s="3" t="s">
        <v>41</v>
      </c>
      <c r="C390" s="3" t="s">
        <v>40</v>
      </c>
      <c r="D390" s="3" t="s">
        <v>38</v>
      </c>
      <c r="E390" s="3" t="s">
        <v>25</v>
      </c>
      <c r="F390" s="3" t="s">
        <v>25</v>
      </c>
      <c r="G390" s="3" t="s">
        <v>25</v>
      </c>
      <c r="H390" s="3" t="s">
        <v>34</v>
      </c>
      <c r="I390" s="6">
        <v>44501</v>
      </c>
      <c r="J390" s="4">
        <v>29</v>
      </c>
      <c r="K390" s="4">
        <v>29</v>
      </c>
      <c r="L390" s="4">
        <v>1.476</v>
      </c>
      <c r="M390" s="4">
        <v>1.476</v>
      </c>
      <c r="N390" s="4">
        <v>1.476</v>
      </c>
      <c r="O390" s="4">
        <v>1.476</v>
      </c>
      <c r="P390" s="4">
        <v>0</v>
      </c>
      <c r="Q390" s="3" t="s">
        <v>26</v>
      </c>
      <c r="R390" s="3">
        <v>0</v>
      </c>
      <c r="S390" s="4">
        <v>11</v>
      </c>
      <c r="T390" s="4">
        <v>110</v>
      </c>
      <c r="U390" s="4">
        <v>88</v>
      </c>
      <c r="V390" s="4">
        <f>IF(ISERROR(VLOOKUP($S$390,'TAR FIN'!$A$1:$O$113,15,0)),0,VLOOKUP($S$390,'TAR FIN'!$A$1:$O$113,15,0))</f>
        <v>62.23</v>
      </c>
      <c r="W390" s="4">
        <f>IF(ISERROR(VLOOKUP($T$390,'TAR FIN'!$A$1:$O$113,15,0)),0,VLOOKUP($T$390,'TAR FIN'!$A$1:$O$113,15,0))</f>
        <v>51.27</v>
      </c>
      <c r="X390" s="4">
        <f>IF(ISERROR(VLOOKUP($U$390,'TAR FIN'!$A$1:$O$113,15,0)),0,VLOOKUP($U$390,'TAR FIN'!$A$1:$O$113,15,0))</f>
        <v>365.5</v>
      </c>
      <c r="Y390" s="4">
        <f ca="1">('TUSD BE'!$AM$13+'TUSD BF'!$AM$13+'TUSD CVA'!$AM$13)*1</f>
        <v>73.082870326096639</v>
      </c>
      <c r="Z390" s="4">
        <f ca="1">('TUSD BE'!$AM$15+'TUSD BF'!$AM$15+'TUSD CVA'!$AM$15)*1</f>
        <v>65.007409626508434</v>
      </c>
      <c r="AA390" s="4">
        <f>('TE BE'!$AA$10+'TE BF'!$AA$10+'TE CVA'!$AA$10)*1</f>
        <v>361.55013418411539</v>
      </c>
      <c r="AB390" s="4">
        <f>$K$390*$V$390</f>
        <v>1804.6699999999998</v>
      </c>
      <c r="AC390" s="4">
        <f>$M$390*$W$390</f>
        <v>75.674520000000001</v>
      </c>
      <c r="AD390" s="4">
        <f>$O$390*$X$390</f>
        <v>539.47799999999995</v>
      </c>
      <c r="AE390" s="4">
        <f ca="1">$K$390*$Y$390</f>
        <v>2119.4032394568026</v>
      </c>
      <c r="AF390" s="4">
        <f ca="1">$M$390*$Z$390</f>
        <v>95.950936608726451</v>
      </c>
      <c r="AG390" s="4">
        <f>$O$390*$AA$390</f>
        <v>533.64799805575433</v>
      </c>
    </row>
    <row r="391" spans="1:33" ht="11.25" customHeight="1" x14ac:dyDescent="0.25">
      <c r="A391" s="3" t="s">
        <v>21</v>
      </c>
      <c r="B391" s="3" t="s">
        <v>41</v>
      </c>
      <c r="C391" s="3" t="s">
        <v>40</v>
      </c>
      <c r="D391" s="3" t="s">
        <v>38</v>
      </c>
      <c r="E391" s="3" t="s">
        <v>25</v>
      </c>
      <c r="F391" s="3" t="s">
        <v>25</v>
      </c>
      <c r="G391" s="3" t="s">
        <v>25</v>
      </c>
      <c r="H391" s="3" t="s">
        <v>34</v>
      </c>
      <c r="I391" s="6">
        <v>44531</v>
      </c>
      <c r="J391" s="4">
        <v>1607</v>
      </c>
      <c r="K391" s="4">
        <v>1607</v>
      </c>
      <c r="L391" s="4">
        <v>56.951000000000001</v>
      </c>
      <c r="M391" s="4">
        <v>56.951000000000001</v>
      </c>
      <c r="N391" s="4">
        <v>56.951000000000001</v>
      </c>
      <c r="O391" s="4">
        <v>56.951000000000001</v>
      </c>
      <c r="P391" s="4">
        <v>0</v>
      </c>
      <c r="Q391" s="3" t="s">
        <v>26</v>
      </c>
      <c r="R391" s="3">
        <v>0</v>
      </c>
      <c r="S391" s="4">
        <v>11</v>
      </c>
      <c r="T391" s="4">
        <v>110</v>
      </c>
      <c r="U391" s="4">
        <v>88</v>
      </c>
      <c r="V391" s="4">
        <f>IF(ISERROR(VLOOKUP($S$391,'TAR FIN'!$A$1:$O$113,15,0)),0,VLOOKUP($S$391,'TAR FIN'!$A$1:$O$113,15,0))</f>
        <v>62.23</v>
      </c>
      <c r="W391" s="4">
        <f>IF(ISERROR(VLOOKUP($T$391,'TAR FIN'!$A$1:$O$113,15,0)),0,VLOOKUP($T$391,'TAR FIN'!$A$1:$O$113,15,0))</f>
        <v>51.27</v>
      </c>
      <c r="X391" s="4">
        <f>IF(ISERROR(VLOOKUP($U$391,'TAR FIN'!$A$1:$O$113,15,0)),0,VLOOKUP($U$391,'TAR FIN'!$A$1:$O$113,15,0))</f>
        <v>365.5</v>
      </c>
      <c r="Y391" s="4">
        <f ca="1">('TUSD BE'!$AM$13+'TUSD BF'!$AM$13+'TUSD CVA'!$AM$13)*1</f>
        <v>73.082870326096639</v>
      </c>
      <c r="Z391" s="4">
        <f ca="1">('TUSD BE'!$AM$15+'TUSD BF'!$AM$15+'TUSD CVA'!$AM$15)*1</f>
        <v>65.007409626508434</v>
      </c>
      <c r="AA391" s="4">
        <f>('TE BE'!$AA$10+'TE BF'!$AA$10+'TE CVA'!$AA$10)*1</f>
        <v>361.55013418411539</v>
      </c>
      <c r="AB391" s="4">
        <f>$K$391*$V$391</f>
        <v>100003.61</v>
      </c>
      <c r="AC391" s="4">
        <f>$M$391*$W$391</f>
        <v>2919.8777700000001</v>
      </c>
      <c r="AD391" s="4">
        <f>$O$391*$X$391</f>
        <v>20815.590499999998</v>
      </c>
      <c r="AE391" s="4">
        <f ca="1">$K$391*$Y$391</f>
        <v>117444.17261403729</v>
      </c>
      <c r="AF391" s="4">
        <f ca="1">$M$391*$Z$391</f>
        <v>3702.236985639282</v>
      </c>
      <c r="AG391" s="4">
        <f>$O$391*$AA$391</f>
        <v>20590.641691919554</v>
      </c>
    </row>
    <row r="392" spans="1:33" ht="11.25" customHeight="1" x14ac:dyDescent="0.25">
      <c r="A392" s="3" t="s">
        <v>28</v>
      </c>
      <c r="B392" s="3" t="s">
        <v>41</v>
      </c>
      <c r="C392" s="3" t="s">
        <v>40</v>
      </c>
      <c r="D392" s="3" t="s">
        <v>38</v>
      </c>
      <c r="E392" s="3" t="s">
        <v>25</v>
      </c>
      <c r="F392" s="3" t="s">
        <v>25</v>
      </c>
      <c r="G392" s="3" t="s">
        <v>25</v>
      </c>
      <c r="H392" s="3" t="s">
        <v>34</v>
      </c>
      <c r="I392" s="6">
        <v>44531</v>
      </c>
      <c r="J392" s="4">
        <v>31</v>
      </c>
      <c r="K392" s="4">
        <v>31</v>
      </c>
      <c r="L392" s="4">
        <v>0.90200000000000002</v>
      </c>
      <c r="M392" s="4">
        <v>0.90200000000000002</v>
      </c>
      <c r="N392" s="4">
        <v>0.90200000000000002</v>
      </c>
      <c r="O392" s="4">
        <v>0.90200000000000002</v>
      </c>
      <c r="P392" s="4">
        <v>0</v>
      </c>
      <c r="Q392" s="3" t="s">
        <v>26</v>
      </c>
      <c r="R392" s="3">
        <v>0</v>
      </c>
      <c r="S392" s="4">
        <v>11</v>
      </c>
      <c r="T392" s="4">
        <v>110</v>
      </c>
      <c r="U392" s="4">
        <v>88</v>
      </c>
      <c r="V392" s="4">
        <f>IF(ISERROR(VLOOKUP($S$392,'TAR FIN'!$A$1:$O$113,15,0)),0,VLOOKUP($S$392,'TAR FIN'!$A$1:$O$113,15,0))</f>
        <v>62.23</v>
      </c>
      <c r="W392" s="4">
        <f>IF(ISERROR(VLOOKUP($T$392,'TAR FIN'!$A$1:$O$113,15,0)),0,VLOOKUP($T$392,'TAR FIN'!$A$1:$O$113,15,0))</f>
        <v>51.27</v>
      </c>
      <c r="X392" s="4">
        <f>IF(ISERROR(VLOOKUP($U$392,'TAR FIN'!$A$1:$O$113,15,0)),0,VLOOKUP($U$392,'TAR FIN'!$A$1:$O$113,15,0))</f>
        <v>365.5</v>
      </c>
      <c r="Y392" s="4">
        <f ca="1">('TUSD BE'!$AM$13+'TUSD BF'!$AM$13+'TUSD CVA'!$AM$13)*1</f>
        <v>73.082870326096639</v>
      </c>
      <c r="Z392" s="4">
        <f ca="1">('TUSD BE'!$AM$15+'TUSD BF'!$AM$15+'TUSD CVA'!$AM$15)*1</f>
        <v>65.007409626508434</v>
      </c>
      <c r="AA392" s="4">
        <f>('TE BE'!$AA$10+'TE BF'!$AA$10+'TE CVA'!$AA$10)*1</f>
        <v>361.55013418411539</v>
      </c>
      <c r="AB392" s="4">
        <f>$K$392*$V$392</f>
        <v>1929.1299999999999</v>
      </c>
      <c r="AC392" s="4">
        <f>$M$392*$W$392</f>
        <v>46.245540000000005</v>
      </c>
      <c r="AD392" s="4">
        <f>$O$392*$X$392</f>
        <v>329.68099999999998</v>
      </c>
      <c r="AE392" s="4">
        <f ca="1">$K$392*$Y$392</f>
        <v>2265.5689801089957</v>
      </c>
      <c r="AF392" s="4">
        <f ca="1">$M$392*$Z$392</f>
        <v>58.636683483110609</v>
      </c>
      <c r="AG392" s="4">
        <f>$O$392*$AA$392</f>
        <v>326.11822103407212</v>
      </c>
    </row>
    <row r="393" spans="1:33" ht="11.25" customHeight="1" x14ac:dyDescent="0.25">
      <c r="A393" s="3" t="s">
        <v>21</v>
      </c>
      <c r="B393" s="3" t="s">
        <v>41</v>
      </c>
      <c r="C393" s="3" t="s">
        <v>40</v>
      </c>
      <c r="D393" s="3" t="s">
        <v>38</v>
      </c>
      <c r="E393" s="3" t="s">
        <v>25</v>
      </c>
      <c r="F393" s="3" t="s">
        <v>25</v>
      </c>
      <c r="G393" s="3" t="s">
        <v>25</v>
      </c>
      <c r="H393" s="3" t="s">
        <v>34</v>
      </c>
      <c r="I393" s="6">
        <v>44562</v>
      </c>
      <c r="J393" s="4">
        <v>1517</v>
      </c>
      <c r="K393" s="4">
        <v>1517</v>
      </c>
      <c r="L393" s="4">
        <v>51.756999999999998</v>
      </c>
      <c r="M393" s="4">
        <v>51.756999999999998</v>
      </c>
      <c r="N393" s="4">
        <v>51.756999999999998</v>
      </c>
      <c r="O393" s="4">
        <v>51.756999999999998</v>
      </c>
      <c r="P393" s="4">
        <v>0</v>
      </c>
      <c r="Q393" s="3" t="s">
        <v>26</v>
      </c>
      <c r="R393" s="3">
        <v>0</v>
      </c>
      <c r="S393" s="4">
        <v>11</v>
      </c>
      <c r="T393" s="4">
        <v>110</v>
      </c>
      <c r="U393" s="4">
        <v>88</v>
      </c>
      <c r="V393" s="4">
        <f>IF(ISERROR(VLOOKUP($S$393,'TAR FIN'!$A$1:$O$113,15,0)),0,VLOOKUP($S$393,'TAR FIN'!$A$1:$O$113,15,0))</f>
        <v>62.23</v>
      </c>
      <c r="W393" s="4">
        <f>IF(ISERROR(VLOOKUP($T$393,'TAR FIN'!$A$1:$O$113,15,0)),0,VLOOKUP($T$393,'TAR FIN'!$A$1:$O$113,15,0))</f>
        <v>51.27</v>
      </c>
      <c r="X393" s="4">
        <f>IF(ISERROR(VLOOKUP($U$393,'TAR FIN'!$A$1:$O$113,15,0)),0,VLOOKUP($U$393,'TAR FIN'!$A$1:$O$113,15,0))</f>
        <v>365.5</v>
      </c>
      <c r="Y393" s="4">
        <f ca="1">('TUSD BE'!$AM$13+'TUSD BF'!$AM$13+'TUSD CVA'!$AM$13)*1</f>
        <v>73.082870326096639</v>
      </c>
      <c r="Z393" s="4">
        <f ca="1">('TUSD BE'!$AM$15+'TUSD BF'!$AM$15+'TUSD CVA'!$AM$15)*1</f>
        <v>65.007409626508434</v>
      </c>
      <c r="AA393" s="4">
        <f>('TE BE'!$AA$10+'TE BF'!$AA$10+'TE CVA'!$AA$10)*1</f>
        <v>361.55013418411539</v>
      </c>
      <c r="AB393" s="4">
        <f>$K$393*$V$393</f>
        <v>94402.909999999989</v>
      </c>
      <c r="AC393" s="4">
        <f>$M$393*$W$393</f>
        <v>2653.5813899999998</v>
      </c>
      <c r="AD393" s="4">
        <f>$O$393*$X$393</f>
        <v>18917.183499999999</v>
      </c>
      <c r="AE393" s="4">
        <f ca="1">$K$393*$Y$393</f>
        <v>110866.7142846886</v>
      </c>
      <c r="AF393" s="4">
        <f ca="1">$M$393*$Z$393</f>
        <v>3364.5885000391968</v>
      </c>
      <c r="AG393" s="4">
        <f>$O$393*$AA$393</f>
        <v>18712.75029496726</v>
      </c>
    </row>
    <row r="394" spans="1:33" ht="11.25" customHeight="1" x14ac:dyDescent="0.25">
      <c r="A394" s="3" t="s">
        <v>28</v>
      </c>
      <c r="B394" s="3" t="s">
        <v>41</v>
      </c>
      <c r="C394" s="3" t="s">
        <v>40</v>
      </c>
      <c r="D394" s="3" t="s">
        <v>38</v>
      </c>
      <c r="E394" s="3" t="s">
        <v>25</v>
      </c>
      <c r="F394" s="3" t="s">
        <v>25</v>
      </c>
      <c r="G394" s="3" t="s">
        <v>25</v>
      </c>
      <c r="H394" s="3" t="s">
        <v>34</v>
      </c>
      <c r="I394" s="6">
        <v>44562</v>
      </c>
      <c r="J394" s="4">
        <v>29</v>
      </c>
      <c r="K394" s="4">
        <v>29</v>
      </c>
      <c r="L394" s="4">
        <v>0.91100000000000003</v>
      </c>
      <c r="M394" s="4">
        <v>0.91100000000000003</v>
      </c>
      <c r="N394" s="4">
        <v>0.91100000000000003</v>
      </c>
      <c r="O394" s="4">
        <v>0.91100000000000003</v>
      </c>
      <c r="P394" s="4">
        <v>0</v>
      </c>
      <c r="Q394" s="3" t="s">
        <v>26</v>
      </c>
      <c r="R394" s="3">
        <v>0</v>
      </c>
      <c r="S394" s="4">
        <v>11</v>
      </c>
      <c r="T394" s="4">
        <v>110</v>
      </c>
      <c r="U394" s="4">
        <v>88</v>
      </c>
      <c r="V394" s="4">
        <f>IF(ISERROR(VLOOKUP($S$394,'TAR FIN'!$A$1:$O$113,15,0)),0,VLOOKUP($S$394,'TAR FIN'!$A$1:$O$113,15,0))</f>
        <v>62.23</v>
      </c>
      <c r="W394" s="4">
        <f>IF(ISERROR(VLOOKUP($T$394,'TAR FIN'!$A$1:$O$113,15,0)),0,VLOOKUP($T$394,'TAR FIN'!$A$1:$O$113,15,0))</f>
        <v>51.27</v>
      </c>
      <c r="X394" s="4">
        <f>IF(ISERROR(VLOOKUP($U$394,'TAR FIN'!$A$1:$O$113,15,0)),0,VLOOKUP($U$394,'TAR FIN'!$A$1:$O$113,15,0))</f>
        <v>365.5</v>
      </c>
      <c r="Y394" s="4">
        <f ca="1">('TUSD BE'!$AM$13+'TUSD BF'!$AM$13+'TUSD CVA'!$AM$13)*1</f>
        <v>73.082870326096639</v>
      </c>
      <c r="Z394" s="4">
        <f ca="1">('TUSD BE'!$AM$15+'TUSD BF'!$AM$15+'TUSD CVA'!$AM$15)*1</f>
        <v>65.007409626508434</v>
      </c>
      <c r="AA394" s="4">
        <f>('TE BE'!$AA$10+'TE BF'!$AA$10+'TE CVA'!$AA$10)*1</f>
        <v>361.55013418411539</v>
      </c>
      <c r="AB394" s="4">
        <f>$K$394*$V$394</f>
        <v>1804.6699999999998</v>
      </c>
      <c r="AC394" s="4">
        <f>$M$394*$W$394</f>
        <v>46.706970000000005</v>
      </c>
      <c r="AD394" s="4">
        <f>$O$394*$X$394</f>
        <v>332.97050000000002</v>
      </c>
      <c r="AE394" s="4">
        <f ca="1">$K$394*$Y$394</f>
        <v>2119.4032394568026</v>
      </c>
      <c r="AF394" s="4">
        <f ca="1">$M$394*$Z$394</f>
        <v>59.221750169749185</v>
      </c>
      <c r="AG394" s="4">
        <f>$O$394*$AA$394</f>
        <v>329.37217224172912</v>
      </c>
    </row>
    <row r="395" spans="1:33" ht="11.25" customHeight="1" x14ac:dyDescent="0.25">
      <c r="A395" s="3" t="s">
        <v>21</v>
      </c>
      <c r="B395" s="3" t="s">
        <v>41</v>
      </c>
      <c r="C395" s="3" t="s">
        <v>40</v>
      </c>
      <c r="D395" s="3" t="s">
        <v>38</v>
      </c>
      <c r="E395" s="3" t="s">
        <v>25</v>
      </c>
      <c r="F395" s="3" t="s">
        <v>25</v>
      </c>
      <c r="G395" s="3" t="s">
        <v>25</v>
      </c>
      <c r="H395" s="3" t="s">
        <v>34</v>
      </c>
      <c r="I395" s="6">
        <v>44593</v>
      </c>
      <c r="J395" s="4">
        <v>1635</v>
      </c>
      <c r="K395" s="4">
        <v>1635</v>
      </c>
      <c r="L395" s="4">
        <v>55.417000000000002</v>
      </c>
      <c r="M395" s="4">
        <v>55.417000000000002</v>
      </c>
      <c r="N395" s="4">
        <v>55.417000000000002</v>
      </c>
      <c r="O395" s="4">
        <v>55.417000000000002</v>
      </c>
      <c r="P395" s="4">
        <v>0</v>
      </c>
      <c r="Q395" s="3" t="s">
        <v>26</v>
      </c>
      <c r="R395" s="3">
        <v>0</v>
      </c>
      <c r="S395" s="4">
        <v>11</v>
      </c>
      <c r="T395" s="4">
        <v>110</v>
      </c>
      <c r="U395" s="4">
        <v>88</v>
      </c>
      <c r="V395" s="4">
        <f>IF(ISERROR(VLOOKUP($S$395,'TAR FIN'!$A$1:$O$113,15,0)),0,VLOOKUP($S$395,'TAR FIN'!$A$1:$O$113,15,0))</f>
        <v>62.23</v>
      </c>
      <c r="W395" s="4">
        <f>IF(ISERROR(VLOOKUP($T$395,'TAR FIN'!$A$1:$O$113,15,0)),0,VLOOKUP($T$395,'TAR FIN'!$A$1:$O$113,15,0))</f>
        <v>51.27</v>
      </c>
      <c r="X395" s="4">
        <f>IF(ISERROR(VLOOKUP($U$395,'TAR FIN'!$A$1:$O$113,15,0)),0,VLOOKUP($U$395,'TAR FIN'!$A$1:$O$113,15,0))</f>
        <v>365.5</v>
      </c>
      <c r="Y395" s="4">
        <f ca="1">('TUSD BE'!$AM$13+'TUSD BF'!$AM$13+'TUSD CVA'!$AM$13)*1</f>
        <v>73.082870326096639</v>
      </c>
      <c r="Z395" s="4">
        <f ca="1">('TUSD BE'!$AM$15+'TUSD BF'!$AM$15+'TUSD CVA'!$AM$15)*1</f>
        <v>65.007409626508434</v>
      </c>
      <c r="AA395" s="4">
        <f>('TE BE'!$AA$10+'TE BF'!$AA$10+'TE CVA'!$AA$10)*1</f>
        <v>361.55013418411539</v>
      </c>
      <c r="AB395" s="4">
        <f>$K$395*$V$395</f>
        <v>101746.04999999999</v>
      </c>
      <c r="AC395" s="4">
        <f>$M$395*$W$395</f>
        <v>2841.2295900000004</v>
      </c>
      <c r="AD395" s="4">
        <f>$O$395*$X$395</f>
        <v>20254.913500000002</v>
      </c>
      <c r="AE395" s="4">
        <f ca="1">$K$395*$Y$395</f>
        <v>119490.49298316801</v>
      </c>
      <c r="AF395" s="4">
        <f ca="1">$M$395*$Z$395</f>
        <v>3602.5156192722179</v>
      </c>
      <c r="AG395" s="4">
        <f>$O$395*$AA$395</f>
        <v>20036.023786081125</v>
      </c>
    </row>
    <row r="396" spans="1:33" ht="11.25" customHeight="1" x14ac:dyDescent="0.25">
      <c r="A396" s="3" t="s">
        <v>28</v>
      </c>
      <c r="B396" s="3" t="s">
        <v>41</v>
      </c>
      <c r="C396" s="3" t="s">
        <v>40</v>
      </c>
      <c r="D396" s="3" t="s">
        <v>38</v>
      </c>
      <c r="E396" s="3" t="s">
        <v>25</v>
      </c>
      <c r="F396" s="3" t="s">
        <v>25</v>
      </c>
      <c r="G396" s="3" t="s">
        <v>25</v>
      </c>
      <c r="H396" s="3" t="s">
        <v>34</v>
      </c>
      <c r="I396" s="6">
        <v>44593</v>
      </c>
      <c r="J396" s="4">
        <v>30</v>
      </c>
      <c r="K396" s="4">
        <v>30</v>
      </c>
      <c r="L396" s="4">
        <v>0.92</v>
      </c>
      <c r="M396" s="4">
        <v>0.92</v>
      </c>
      <c r="N396" s="4">
        <v>0.92</v>
      </c>
      <c r="O396" s="4">
        <v>0.92</v>
      </c>
      <c r="P396" s="4">
        <v>0</v>
      </c>
      <c r="Q396" s="3" t="s">
        <v>26</v>
      </c>
      <c r="R396" s="3">
        <v>0</v>
      </c>
      <c r="S396" s="4">
        <v>11</v>
      </c>
      <c r="T396" s="4">
        <v>110</v>
      </c>
      <c r="U396" s="4">
        <v>88</v>
      </c>
      <c r="V396" s="4">
        <f>IF(ISERROR(VLOOKUP($S$396,'TAR FIN'!$A$1:$O$113,15,0)),0,VLOOKUP($S$396,'TAR FIN'!$A$1:$O$113,15,0))</f>
        <v>62.23</v>
      </c>
      <c r="W396" s="4">
        <f>IF(ISERROR(VLOOKUP($T$396,'TAR FIN'!$A$1:$O$113,15,0)),0,VLOOKUP($T$396,'TAR FIN'!$A$1:$O$113,15,0))</f>
        <v>51.27</v>
      </c>
      <c r="X396" s="4">
        <f>IF(ISERROR(VLOOKUP($U$396,'TAR FIN'!$A$1:$O$113,15,0)),0,VLOOKUP($U$396,'TAR FIN'!$A$1:$O$113,15,0))</f>
        <v>365.5</v>
      </c>
      <c r="Y396" s="4">
        <f ca="1">('TUSD BE'!$AM$13+'TUSD BF'!$AM$13+'TUSD CVA'!$AM$13)*1</f>
        <v>73.082870326096639</v>
      </c>
      <c r="Z396" s="4">
        <f ca="1">('TUSD BE'!$AM$15+'TUSD BF'!$AM$15+'TUSD CVA'!$AM$15)*1</f>
        <v>65.007409626508434</v>
      </c>
      <c r="AA396" s="4">
        <f>('TE BE'!$AA$10+'TE BF'!$AA$10+'TE CVA'!$AA$10)*1</f>
        <v>361.55013418411539</v>
      </c>
      <c r="AB396" s="4">
        <f>$K$396*$V$396</f>
        <v>1866.8999999999999</v>
      </c>
      <c r="AC396" s="4">
        <f>$M$396*$W$396</f>
        <v>47.168400000000005</v>
      </c>
      <c r="AD396" s="4">
        <f>$O$396*$X$396</f>
        <v>336.26</v>
      </c>
      <c r="AE396" s="4">
        <f ca="1">$K$396*$Y$396</f>
        <v>2192.4861097828993</v>
      </c>
      <c r="AF396" s="4">
        <f ca="1">$M$396*$Z$396</f>
        <v>59.806816856387762</v>
      </c>
      <c r="AG396" s="4">
        <f>$O$396*$AA$396</f>
        <v>332.62612344938617</v>
      </c>
    </row>
    <row r="397" spans="1:33" ht="11.25" customHeight="1" x14ac:dyDescent="0.25">
      <c r="A397" s="3" t="s">
        <v>56</v>
      </c>
      <c r="B397" s="3" t="s">
        <v>41</v>
      </c>
      <c r="C397" s="3" t="s">
        <v>40</v>
      </c>
      <c r="D397" s="3" t="s">
        <v>38</v>
      </c>
      <c r="E397" s="3" t="s">
        <v>25</v>
      </c>
      <c r="F397" s="3" t="s">
        <v>25</v>
      </c>
      <c r="G397" s="3" t="s">
        <v>25</v>
      </c>
      <c r="H397" s="3" t="s">
        <v>34</v>
      </c>
      <c r="I397" s="6">
        <v>44621</v>
      </c>
      <c r="J397" s="4">
        <v>1635</v>
      </c>
      <c r="K397" s="4">
        <v>1635</v>
      </c>
      <c r="L397" s="4">
        <v>55.417000000000002</v>
      </c>
      <c r="M397" s="4">
        <v>55.417000000000002</v>
      </c>
      <c r="N397" s="4">
        <v>55.417000000000002</v>
      </c>
      <c r="O397" s="4">
        <v>55.417000000000002</v>
      </c>
      <c r="P397" s="4">
        <v>0</v>
      </c>
      <c r="Q397" s="3" t="s">
        <v>26</v>
      </c>
      <c r="R397" s="3">
        <v>0</v>
      </c>
      <c r="S397" s="4">
        <v>11</v>
      </c>
      <c r="T397" s="4">
        <v>110</v>
      </c>
      <c r="U397" s="4">
        <v>88</v>
      </c>
      <c r="V397" s="4">
        <f>IF(ISERROR(VLOOKUP($S$397,'TAR FIN'!$A$1:$O$113,15,0)),0,VLOOKUP($S$397,'TAR FIN'!$A$1:$O$113,15,0))</f>
        <v>62.23</v>
      </c>
      <c r="W397" s="4">
        <f>IF(ISERROR(VLOOKUP($T$397,'TAR FIN'!$A$1:$O$113,15,0)),0,VLOOKUP($T$397,'TAR FIN'!$A$1:$O$113,15,0))</f>
        <v>51.27</v>
      </c>
      <c r="X397" s="4">
        <f>IF(ISERROR(VLOOKUP($U$397,'TAR FIN'!$A$1:$O$113,15,0)),0,VLOOKUP($U$397,'TAR FIN'!$A$1:$O$113,15,0))</f>
        <v>365.5</v>
      </c>
      <c r="Y397" s="4">
        <f ca="1">('TUSD BE'!$AM$13+'TUSD BF'!$AM$13+'TUSD CVA'!$AM$13)*1</f>
        <v>73.082870326096639</v>
      </c>
      <c r="Z397" s="4">
        <f ca="1">('TUSD BE'!$AM$15+'TUSD BF'!$AM$15+'TUSD CVA'!$AM$15)*1</f>
        <v>65.007409626508434</v>
      </c>
      <c r="AA397" s="4">
        <f>('TE BE'!$AA$10+'TE BF'!$AA$10+'TE CVA'!$AA$10)*1</f>
        <v>361.55013418411539</v>
      </c>
      <c r="AB397" s="4">
        <f>$K$397*$V$397</f>
        <v>101746.04999999999</v>
      </c>
      <c r="AC397" s="4">
        <f>$M$397*$W$397</f>
        <v>2841.2295900000004</v>
      </c>
      <c r="AD397" s="4">
        <f>$O$397*$X$397</f>
        <v>20254.913500000002</v>
      </c>
      <c r="AE397" s="4">
        <f ca="1">$K$397*$Y$397</f>
        <v>119490.49298316801</v>
      </c>
      <c r="AF397" s="4">
        <f ca="1">$M$397*$Z$397</f>
        <v>3602.5156192722179</v>
      </c>
      <c r="AG397" s="4">
        <f>$O$397*$AA$397</f>
        <v>20036.023786081125</v>
      </c>
    </row>
    <row r="398" spans="1:33" ht="11.25" customHeight="1" x14ac:dyDescent="0.25">
      <c r="A398" s="3" t="s">
        <v>56</v>
      </c>
      <c r="B398" s="3" t="s">
        <v>41</v>
      </c>
      <c r="C398" s="3" t="s">
        <v>40</v>
      </c>
      <c r="D398" s="3" t="s">
        <v>38</v>
      </c>
      <c r="E398" s="3" t="s">
        <v>25</v>
      </c>
      <c r="F398" s="3" t="s">
        <v>25</v>
      </c>
      <c r="G398" s="3" t="s">
        <v>25</v>
      </c>
      <c r="H398" s="3" t="s">
        <v>34</v>
      </c>
      <c r="I398" s="6">
        <v>44621</v>
      </c>
      <c r="J398" s="4">
        <v>30</v>
      </c>
      <c r="K398" s="4">
        <v>30</v>
      </c>
      <c r="L398" s="4">
        <v>0.92</v>
      </c>
      <c r="M398" s="4">
        <v>0.92</v>
      </c>
      <c r="N398" s="4">
        <v>0.92</v>
      </c>
      <c r="O398" s="4">
        <v>0.92</v>
      </c>
      <c r="P398" s="4">
        <v>0</v>
      </c>
      <c r="Q398" s="3" t="s">
        <v>26</v>
      </c>
      <c r="R398" s="3">
        <v>0</v>
      </c>
      <c r="S398" s="4">
        <v>11</v>
      </c>
      <c r="T398" s="4">
        <v>110</v>
      </c>
      <c r="U398" s="4">
        <v>88</v>
      </c>
      <c r="V398" s="4">
        <f>IF(ISERROR(VLOOKUP($S$398,'TAR FIN'!$A$1:$O$113,15,0)),0,VLOOKUP($S$398,'TAR FIN'!$A$1:$O$113,15,0))</f>
        <v>62.23</v>
      </c>
      <c r="W398" s="4">
        <f>IF(ISERROR(VLOOKUP($T$398,'TAR FIN'!$A$1:$O$113,15,0)),0,VLOOKUP($T$398,'TAR FIN'!$A$1:$O$113,15,0))</f>
        <v>51.27</v>
      </c>
      <c r="X398" s="4">
        <f>IF(ISERROR(VLOOKUP($U$398,'TAR FIN'!$A$1:$O$113,15,0)),0,VLOOKUP($U$398,'TAR FIN'!$A$1:$O$113,15,0))</f>
        <v>365.5</v>
      </c>
      <c r="Y398" s="4">
        <f ca="1">('TUSD BE'!$AM$13+'TUSD BF'!$AM$13+'TUSD CVA'!$AM$13)*1</f>
        <v>73.082870326096639</v>
      </c>
      <c r="Z398" s="4">
        <f ca="1">('TUSD BE'!$AM$15+'TUSD BF'!$AM$15+'TUSD CVA'!$AM$15)*1</f>
        <v>65.007409626508434</v>
      </c>
      <c r="AA398" s="4">
        <f>('TE BE'!$AA$10+'TE BF'!$AA$10+'TE CVA'!$AA$10)*1</f>
        <v>361.55013418411539</v>
      </c>
      <c r="AB398" s="4">
        <f>$K$398*$V$398</f>
        <v>1866.8999999999999</v>
      </c>
      <c r="AC398" s="4">
        <f>$M$398*$W$398</f>
        <v>47.168400000000005</v>
      </c>
      <c r="AD398" s="4">
        <f>$O$398*$X$398</f>
        <v>336.26</v>
      </c>
      <c r="AE398" s="4">
        <f ca="1">$K$398*$Y$398</f>
        <v>2192.4861097828993</v>
      </c>
      <c r="AF398" s="4">
        <f ca="1">$M$398*$Z$398</f>
        <v>59.806816856387762</v>
      </c>
      <c r="AG398" s="4">
        <f>$O$398*$AA$398</f>
        <v>332.62612344938617</v>
      </c>
    </row>
    <row r="399" spans="1:33" ht="11.25" customHeight="1" x14ac:dyDescent="0.25">
      <c r="A399" s="3" t="s">
        <v>21</v>
      </c>
      <c r="B399" s="3" t="s">
        <v>41</v>
      </c>
      <c r="C399" s="3" t="s">
        <v>40</v>
      </c>
      <c r="D399" s="3" t="s">
        <v>46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44287</v>
      </c>
      <c r="J399" s="4">
        <v>3687</v>
      </c>
      <c r="K399" s="4">
        <v>3687</v>
      </c>
      <c r="L399" s="4">
        <v>1108.0540000000001</v>
      </c>
      <c r="M399" s="4">
        <v>1108.0540000000001</v>
      </c>
      <c r="N399" s="4">
        <v>1108.0540000000001</v>
      </c>
      <c r="O399" s="4">
        <v>1108.0540000000001</v>
      </c>
      <c r="P399" s="4">
        <v>0</v>
      </c>
      <c r="Q399" s="3" t="s">
        <v>26</v>
      </c>
      <c r="R399" s="3">
        <v>0</v>
      </c>
      <c r="S399" s="4">
        <v>12</v>
      </c>
      <c r="T399" s="4">
        <v>110</v>
      </c>
      <c r="U399" s="4">
        <v>89</v>
      </c>
      <c r="V399" s="4">
        <f>IF(ISERROR(VLOOKUP($S$399,'TAR FIN'!$A$1:$O$113,15,0)),0,VLOOKUP($S$399,'TAR FIN'!$A$1:$O$113,15,0))</f>
        <v>24.31</v>
      </c>
      <c r="W399" s="4">
        <f>IF(ISERROR(VLOOKUP($T$399,'TAR FIN'!$A$1:$O$113,15,0)),0,VLOOKUP($T$399,'TAR FIN'!$A$1:$O$113,15,0))</f>
        <v>51.27</v>
      </c>
      <c r="X399" s="4">
        <f>IF(ISERROR(VLOOKUP($U$399,'TAR FIN'!$A$1:$O$113,15,0)),0,VLOOKUP($U$399,'TAR FIN'!$A$1:$O$113,15,0))</f>
        <v>222.31</v>
      </c>
      <c r="Y399" s="4">
        <f ca="1">('TUSD BE'!$AM$14+'TUSD BF'!$AM$14+'TUSD CVA'!$AM$14)*1</f>
        <v>26.598074646640526</v>
      </c>
      <c r="Z399" s="4">
        <f ca="1">('TUSD BE'!$AM$15+'TUSD BF'!$AM$15+'TUSD CVA'!$AM$15)*1</f>
        <v>65.007409626508434</v>
      </c>
      <c r="AA399" s="4">
        <f>('TE BE'!$AA$11+'TE BF'!$AA$11+'TE CVA'!$AA$11)*1</f>
        <v>223.14561812044704</v>
      </c>
      <c r="AB399" s="4">
        <f>$K$399*$V$399</f>
        <v>89630.97</v>
      </c>
      <c r="AC399" s="4">
        <f>$M$399*$W$399</f>
        <v>56809.928580000007</v>
      </c>
      <c r="AD399" s="4">
        <f>$O$399*$X$399</f>
        <v>246331.48474000001</v>
      </c>
      <c r="AE399" s="4">
        <f ca="1">$K$399*$Y$399</f>
        <v>98067.101222163619</v>
      </c>
      <c r="AF399" s="4">
        <f ca="1">$M$399*$Z$399</f>
        <v>72031.720266291188</v>
      </c>
      <c r="AG399" s="4">
        <f>$O$399*$AA$399</f>
        <v>247257.39474083384</v>
      </c>
    </row>
    <row r="400" spans="1:33" ht="11.25" customHeight="1" x14ac:dyDescent="0.25">
      <c r="A400" s="3" t="s">
        <v>21</v>
      </c>
      <c r="B400" s="3" t="s">
        <v>41</v>
      </c>
      <c r="C400" s="3" t="s">
        <v>40</v>
      </c>
      <c r="D400" s="3" t="s">
        <v>46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44317</v>
      </c>
      <c r="J400" s="4">
        <v>3598</v>
      </c>
      <c r="K400" s="4">
        <v>3598</v>
      </c>
      <c r="L400" s="4">
        <v>1018.43</v>
      </c>
      <c r="M400" s="4">
        <v>1018.43</v>
      </c>
      <c r="N400" s="4">
        <v>1018.43</v>
      </c>
      <c r="O400" s="4">
        <v>1018.43</v>
      </c>
      <c r="P400" s="4">
        <v>0</v>
      </c>
      <c r="Q400" s="3" t="s">
        <v>26</v>
      </c>
      <c r="R400" s="3">
        <v>0</v>
      </c>
      <c r="S400" s="4">
        <v>12</v>
      </c>
      <c r="T400" s="4">
        <v>110</v>
      </c>
      <c r="U400" s="4">
        <v>89</v>
      </c>
      <c r="V400" s="4">
        <f>IF(ISERROR(VLOOKUP($S$400,'TAR FIN'!$A$1:$O$113,15,0)),0,VLOOKUP($S$400,'TAR FIN'!$A$1:$O$113,15,0))</f>
        <v>24.31</v>
      </c>
      <c r="W400" s="4">
        <f>IF(ISERROR(VLOOKUP($T$400,'TAR FIN'!$A$1:$O$113,15,0)),0,VLOOKUP($T$400,'TAR FIN'!$A$1:$O$113,15,0))</f>
        <v>51.27</v>
      </c>
      <c r="X400" s="4">
        <f>IF(ISERROR(VLOOKUP($U$400,'TAR FIN'!$A$1:$O$113,15,0)),0,VLOOKUP($U$400,'TAR FIN'!$A$1:$O$113,15,0))</f>
        <v>222.31</v>
      </c>
      <c r="Y400" s="4">
        <f ca="1">('TUSD BE'!$AM$14+'TUSD BF'!$AM$14+'TUSD CVA'!$AM$14)*1</f>
        <v>26.598074646640526</v>
      </c>
      <c r="Z400" s="4">
        <f ca="1">('TUSD BE'!$AM$15+'TUSD BF'!$AM$15+'TUSD CVA'!$AM$15)*1</f>
        <v>65.007409626508434</v>
      </c>
      <c r="AA400" s="4">
        <f>('TE BE'!$AA$11+'TE BF'!$AA$11+'TE CVA'!$AA$11)*1</f>
        <v>223.14561812044704</v>
      </c>
      <c r="AB400" s="4">
        <f>$K$400*$V$400</f>
        <v>87467.37999999999</v>
      </c>
      <c r="AC400" s="4">
        <f>$M$400*$W$400</f>
        <v>52214.9061</v>
      </c>
      <c r="AD400" s="4">
        <f>$O$400*$X$400</f>
        <v>226407.17329999999</v>
      </c>
      <c r="AE400" s="4">
        <f ca="1">$K$400*$Y$400</f>
        <v>95699.872578612616</v>
      </c>
      <c r="AF400" s="4">
        <f ca="1">$M$400*$Z$400</f>
        <v>66205.496185924974</v>
      </c>
      <c r="AG400" s="4">
        <f>$O$400*$AA$400</f>
        <v>227258.19186240688</v>
      </c>
    </row>
    <row r="401" spans="1:33" ht="11.25" customHeight="1" x14ac:dyDescent="0.25">
      <c r="A401" s="3" t="s">
        <v>21</v>
      </c>
      <c r="B401" s="3" t="s">
        <v>41</v>
      </c>
      <c r="C401" s="3" t="s">
        <v>40</v>
      </c>
      <c r="D401" s="3" t="s">
        <v>46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44348</v>
      </c>
      <c r="J401" s="4">
        <v>3812</v>
      </c>
      <c r="K401" s="4">
        <v>3812</v>
      </c>
      <c r="L401" s="4">
        <v>951.928</v>
      </c>
      <c r="M401" s="4">
        <v>951.928</v>
      </c>
      <c r="N401" s="4">
        <v>951.928</v>
      </c>
      <c r="O401" s="4">
        <v>951.928</v>
      </c>
      <c r="P401" s="4">
        <v>0</v>
      </c>
      <c r="Q401" s="3" t="s">
        <v>26</v>
      </c>
      <c r="R401" s="3">
        <v>0</v>
      </c>
      <c r="S401" s="4">
        <v>12</v>
      </c>
      <c r="T401" s="4">
        <v>110</v>
      </c>
      <c r="U401" s="4">
        <v>89</v>
      </c>
      <c r="V401" s="4">
        <f>IF(ISERROR(VLOOKUP($S$401,'TAR FIN'!$A$1:$O$113,15,0)),0,VLOOKUP($S$401,'TAR FIN'!$A$1:$O$113,15,0))</f>
        <v>24.31</v>
      </c>
      <c r="W401" s="4">
        <f>IF(ISERROR(VLOOKUP($T$401,'TAR FIN'!$A$1:$O$113,15,0)),0,VLOOKUP($T$401,'TAR FIN'!$A$1:$O$113,15,0))</f>
        <v>51.27</v>
      </c>
      <c r="X401" s="4">
        <f>IF(ISERROR(VLOOKUP($U$401,'TAR FIN'!$A$1:$O$113,15,0)),0,VLOOKUP($U$401,'TAR FIN'!$A$1:$O$113,15,0))</f>
        <v>222.31</v>
      </c>
      <c r="Y401" s="4">
        <f ca="1">('TUSD BE'!$AM$14+'TUSD BF'!$AM$14+'TUSD CVA'!$AM$14)*1</f>
        <v>26.598074646640526</v>
      </c>
      <c r="Z401" s="4">
        <f ca="1">('TUSD BE'!$AM$15+'TUSD BF'!$AM$15+'TUSD CVA'!$AM$15)*1</f>
        <v>65.007409626508434</v>
      </c>
      <c r="AA401" s="4">
        <f>('TE BE'!$AA$11+'TE BF'!$AA$11+'TE CVA'!$AA$11)*1</f>
        <v>223.14561812044704</v>
      </c>
      <c r="AB401" s="4">
        <f>$K$401*$V$401</f>
        <v>92669.72</v>
      </c>
      <c r="AC401" s="4">
        <f>$M$401*$W$401</f>
        <v>48805.348560000006</v>
      </c>
      <c r="AD401" s="4">
        <f>$O$401*$X$401</f>
        <v>211623.11368000001</v>
      </c>
      <c r="AE401" s="4">
        <f ca="1">$K$401*$Y$401</f>
        <v>101391.86055299369</v>
      </c>
      <c r="AF401" s="4">
        <f ca="1">$M$401*$Z$401</f>
        <v>61882.37343094292</v>
      </c>
      <c r="AG401" s="4">
        <f>$O$401*$AA$401</f>
        <v>212418.56196616092</v>
      </c>
    </row>
    <row r="402" spans="1:33" ht="11.25" customHeight="1" x14ac:dyDescent="0.25">
      <c r="A402" s="3" t="s">
        <v>21</v>
      </c>
      <c r="B402" s="3" t="s">
        <v>41</v>
      </c>
      <c r="C402" s="3" t="s">
        <v>40</v>
      </c>
      <c r="D402" s="3" t="s">
        <v>46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44378</v>
      </c>
      <c r="J402" s="4">
        <v>3550</v>
      </c>
      <c r="K402" s="4">
        <v>3550</v>
      </c>
      <c r="L402" s="4">
        <v>899.85199999999998</v>
      </c>
      <c r="M402" s="4">
        <v>899.85199999999998</v>
      </c>
      <c r="N402" s="4">
        <v>899.85199999999998</v>
      </c>
      <c r="O402" s="4">
        <v>899.85199999999998</v>
      </c>
      <c r="P402" s="4">
        <v>0</v>
      </c>
      <c r="Q402" s="3" t="s">
        <v>26</v>
      </c>
      <c r="R402" s="3">
        <v>0</v>
      </c>
      <c r="S402" s="4">
        <v>12</v>
      </c>
      <c r="T402" s="4">
        <v>110</v>
      </c>
      <c r="U402" s="4">
        <v>89</v>
      </c>
      <c r="V402" s="4">
        <f>IF(ISERROR(VLOOKUP($S$402,'TAR FIN'!$A$1:$O$113,15,0)),0,VLOOKUP($S$402,'TAR FIN'!$A$1:$O$113,15,0))</f>
        <v>24.31</v>
      </c>
      <c r="W402" s="4">
        <f>IF(ISERROR(VLOOKUP($T$402,'TAR FIN'!$A$1:$O$113,15,0)),0,VLOOKUP($T$402,'TAR FIN'!$A$1:$O$113,15,0))</f>
        <v>51.27</v>
      </c>
      <c r="X402" s="4">
        <f>IF(ISERROR(VLOOKUP($U$402,'TAR FIN'!$A$1:$O$113,15,0)),0,VLOOKUP($U$402,'TAR FIN'!$A$1:$O$113,15,0))</f>
        <v>222.31</v>
      </c>
      <c r="Y402" s="4">
        <f ca="1">('TUSD BE'!$AM$14+'TUSD BF'!$AM$14+'TUSD CVA'!$AM$14)*1</f>
        <v>26.598074646640526</v>
      </c>
      <c r="Z402" s="4">
        <f ca="1">('TUSD BE'!$AM$15+'TUSD BF'!$AM$15+'TUSD CVA'!$AM$15)*1</f>
        <v>65.007409626508434</v>
      </c>
      <c r="AA402" s="4">
        <f>('TE BE'!$AA$11+'TE BF'!$AA$11+'TE CVA'!$AA$11)*1</f>
        <v>223.14561812044704</v>
      </c>
      <c r="AB402" s="4">
        <f>$K$402*$V$402</f>
        <v>86300.5</v>
      </c>
      <c r="AC402" s="4">
        <f>$M$402*$W$402</f>
        <v>46135.412040000003</v>
      </c>
      <c r="AD402" s="4">
        <f>$O$402*$X$402</f>
        <v>200046.09812000001</v>
      </c>
      <c r="AE402" s="4">
        <f ca="1">$K$402*$Y$402</f>
        <v>94423.164995573869</v>
      </c>
      <c r="AF402" s="4">
        <f ca="1">$M$402*$Z$402</f>
        <v>58497.047567232868</v>
      </c>
      <c r="AG402" s="4">
        <f>$O$402*$AA$402</f>
        <v>200798.03075692052</v>
      </c>
    </row>
    <row r="403" spans="1:33" ht="11.25" customHeight="1" x14ac:dyDescent="0.25">
      <c r="A403" s="3" t="s">
        <v>27</v>
      </c>
      <c r="B403" s="3" t="s">
        <v>41</v>
      </c>
      <c r="C403" s="3" t="s">
        <v>40</v>
      </c>
      <c r="D403" s="3" t="s">
        <v>46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44378</v>
      </c>
      <c r="J403" s="4">
        <v>-220</v>
      </c>
      <c r="K403" s="4">
        <v>-220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3" t="s">
        <v>26</v>
      </c>
      <c r="R403" s="3">
        <v>0</v>
      </c>
      <c r="S403" s="4">
        <v>12</v>
      </c>
      <c r="T403" s="4">
        <v>0</v>
      </c>
      <c r="U403" s="4">
        <v>0</v>
      </c>
      <c r="V403" s="4">
        <f>IF(ISERROR(VLOOKUP($S$403,'TAR FIN'!$A$1:$O$113,15,0)),0,VLOOKUP($S$403,'TAR FIN'!$A$1:$O$113,15,0))</f>
        <v>24.31</v>
      </c>
      <c r="W403" s="4">
        <f>IF(ISERROR(VLOOKUP($T$403,'TAR FIN'!$A$1:$O$113,15,0)),0,VLOOKUP($T$403,'TAR FIN'!$A$1:$O$113,15,0))</f>
        <v>0</v>
      </c>
      <c r="X403" s="4">
        <f>IF(ISERROR(VLOOKUP($U$403,'TAR FIN'!$A$1:$O$113,15,0)),0,VLOOKUP($U$403,'TAR FIN'!$A$1:$O$113,15,0))</f>
        <v>0</v>
      </c>
      <c r="Y403" s="4">
        <f ca="1">('TUSD BE'!$AM$14+'TUSD BF'!$AM$14+'TUSD CVA'!$AM$14)*1</f>
        <v>26.598074646640526</v>
      </c>
      <c r="Z403" s="4">
        <f ca="1">('TUSD BE'!$AM$15+'TUSD BF'!$AM$15+'TUSD CVA'!$AM$15)*1</f>
        <v>65.007409626508434</v>
      </c>
      <c r="AA403" s="4">
        <f>('TE BE'!$AA$11+'TE BF'!$AA$11+'TE CVA'!$AA$11)*1</f>
        <v>223.14561812044704</v>
      </c>
      <c r="AB403" s="4">
        <f>$K$403*$V$403</f>
        <v>-5348.2</v>
      </c>
      <c r="AC403" s="4">
        <f>$M$403*$W$403</f>
        <v>0</v>
      </c>
      <c r="AD403" s="4">
        <f>$O$403*$X$403</f>
        <v>0</v>
      </c>
      <c r="AE403" s="4">
        <f ca="1">$K$403*$Y$403</f>
        <v>-5851.5764222609159</v>
      </c>
      <c r="AF403" s="4">
        <f ca="1">$M$403*$Z$403</f>
        <v>0</v>
      </c>
      <c r="AG403" s="4">
        <f>$O$403*$AA$403</f>
        <v>0</v>
      </c>
    </row>
    <row r="404" spans="1:33" ht="11.25" customHeight="1" x14ac:dyDescent="0.25">
      <c r="A404" s="3" t="s">
        <v>21</v>
      </c>
      <c r="B404" s="3" t="s">
        <v>41</v>
      </c>
      <c r="C404" s="3" t="s">
        <v>40</v>
      </c>
      <c r="D404" s="3" t="s">
        <v>46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44409</v>
      </c>
      <c r="J404" s="4">
        <v>3545</v>
      </c>
      <c r="K404" s="4">
        <v>3545</v>
      </c>
      <c r="L404" s="4">
        <v>920.48500000000001</v>
      </c>
      <c r="M404" s="4">
        <v>920.48500000000001</v>
      </c>
      <c r="N404" s="4">
        <v>920.48500000000001</v>
      </c>
      <c r="O404" s="4">
        <v>920.48500000000001</v>
      </c>
      <c r="P404" s="4">
        <v>0</v>
      </c>
      <c r="Q404" s="3" t="s">
        <v>26</v>
      </c>
      <c r="R404" s="3">
        <v>0</v>
      </c>
      <c r="S404" s="4">
        <v>12</v>
      </c>
      <c r="T404" s="4">
        <v>110</v>
      </c>
      <c r="U404" s="4">
        <v>89</v>
      </c>
      <c r="V404" s="4">
        <f>IF(ISERROR(VLOOKUP($S$404,'TAR FIN'!$A$1:$O$113,15,0)),0,VLOOKUP($S$404,'TAR FIN'!$A$1:$O$113,15,0))</f>
        <v>24.31</v>
      </c>
      <c r="W404" s="4">
        <f>IF(ISERROR(VLOOKUP($T$404,'TAR FIN'!$A$1:$O$113,15,0)),0,VLOOKUP($T$404,'TAR FIN'!$A$1:$O$113,15,0))</f>
        <v>51.27</v>
      </c>
      <c r="X404" s="4">
        <f>IF(ISERROR(VLOOKUP($U$404,'TAR FIN'!$A$1:$O$113,15,0)),0,VLOOKUP($U$404,'TAR FIN'!$A$1:$O$113,15,0))</f>
        <v>222.31</v>
      </c>
      <c r="Y404" s="4">
        <f ca="1">('TUSD BE'!$AM$14+'TUSD BF'!$AM$14+'TUSD CVA'!$AM$14)*1</f>
        <v>26.598074646640526</v>
      </c>
      <c r="Z404" s="4">
        <f ca="1">('TUSD BE'!$AM$15+'TUSD BF'!$AM$15+'TUSD CVA'!$AM$15)*1</f>
        <v>65.007409626508434</v>
      </c>
      <c r="AA404" s="4">
        <f>('TE BE'!$AA$11+'TE BF'!$AA$11+'TE CVA'!$AA$11)*1</f>
        <v>223.14561812044704</v>
      </c>
      <c r="AB404" s="4">
        <f>$K$404*$V$404</f>
        <v>86178.95</v>
      </c>
      <c r="AC404" s="4">
        <f>$M$404*$W$404</f>
        <v>47193.265950000001</v>
      </c>
      <c r="AD404" s="4">
        <f>$O$404*$X$404</f>
        <v>204633.02035000001</v>
      </c>
      <c r="AE404" s="4">
        <f ca="1">$K$404*$Y$404</f>
        <v>94290.174622340666</v>
      </c>
      <c r="AF404" s="4">
        <f ca="1">$M$404*$Z$404</f>
        <v>59838.345450056615</v>
      </c>
      <c r="AG404" s="4">
        <f>$O$404*$AA$404</f>
        <v>205402.19429559971</v>
      </c>
    </row>
    <row r="405" spans="1:33" ht="11.25" customHeight="1" x14ac:dyDescent="0.25">
      <c r="A405" s="3" t="s">
        <v>21</v>
      </c>
      <c r="B405" s="3" t="s">
        <v>41</v>
      </c>
      <c r="C405" s="3" t="s">
        <v>40</v>
      </c>
      <c r="D405" s="3" t="s">
        <v>46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44440</v>
      </c>
      <c r="J405" s="4">
        <v>3870</v>
      </c>
      <c r="K405" s="4">
        <v>3870</v>
      </c>
      <c r="L405" s="4">
        <v>1019.596</v>
      </c>
      <c r="M405" s="4">
        <v>1019.596</v>
      </c>
      <c r="N405" s="4">
        <v>1019.596</v>
      </c>
      <c r="O405" s="4">
        <v>1019.596</v>
      </c>
      <c r="P405" s="4">
        <v>0</v>
      </c>
      <c r="Q405" s="3" t="s">
        <v>26</v>
      </c>
      <c r="R405" s="3">
        <v>0</v>
      </c>
      <c r="S405" s="4">
        <v>12</v>
      </c>
      <c r="T405" s="4">
        <v>110</v>
      </c>
      <c r="U405" s="4">
        <v>89</v>
      </c>
      <c r="V405" s="4">
        <f>IF(ISERROR(VLOOKUP($S$405,'TAR FIN'!$A$1:$O$113,15,0)),0,VLOOKUP($S$405,'TAR FIN'!$A$1:$O$113,15,0))</f>
        <v>24.31</v>
      </c>
      <c r="W405" s="4">
        <f>IF(ISERROR(VLOOKUP($T$405,'TAR FIN'!$A$1:$O$113,15,0)),0,VLOOKUP($T$405,'TAR FIN'!$A$1:$O$113,15,0))</f>
        <v>51.27</v>
      </c>
      <c r="X405" s="4">
        <f>IF(ISERROR(VLOOKUP($U$405,'TAR FIN'!$A$1:$O$113,15,0)),0,VLOOKUP($U$405,'TAR FIN'!$A$1:$O$113,15,0))</f>
        <v>222.31</v>
      </c>
      <c r="Y405" s="4">
        <f ca="1">('TUSD BE'!$AM$14+'TUSD BF'!$AM$14+'TUSD CVA'!$AM$14)*1</f>
        <v>26.598074646640526</v>
      </c>
      <c r="Z405" s="4">
        <f ca="1">('TUSD BE'!$AM$15+'TUSD BF'!$AM$15+'TUSD CVA'!$AM$15)*1</f>
        <v>65.007409626508434</v>
      </c>
      <c r="AA405" s="4">
        <f>('TE BE'!$AA$11+'TE BF'!$AA$11+'TE CVA'!$AA$11)*1</f>
        <v>223.14561812044704</v>
      </c>
      <c r="AB405" s="4">
        <f>$K$405*$V$405</f>
        <v>94079.7</v>
      </c>
      <c r="AC405" s="4">
        <f>$M$405*$W$405</f>
        <v>52274.68692</v>
      </c>
      <c r="AD405" s="4">
        <f>$O$405*$X$405</f>
        <v>226666.38675999999</v>
      </c>
      <c r="AE405" s="4">
        <f ca="1">$K$405*$Y$405</f>
        <v>102934.54888249884</v>
      </c>
      <c r="AF405" s="4">
        <f ca="1">$M$405*$Z$405</f>
        <v>66281.294825549499</v>
      </c>
      <c r="AG405" s="4">
        <f>$O$405*$AA$405</f>
        <v>227518.37965313531</v>
      </c>
    </row>
    <row r="406" spans="1:33" ht="11.25" customHeight="1" x14ac:dyDescent="0.25">
      <c r="A406" s="3" t="s">
        <v>21</v>
      </c>
      <c r="B406" s="3" t="s">
        <v>41</v>
      </c>
      <c r="C406" s="3" t="s">
        <v>40</v>
      </c>
      <c r="D406" s="3" t="s">
        <v>46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44470</v>
      </c>
      <c r="J406" s="4">
        <v>4058</v>
      </c>
      <c r="K406" s="4">
        <v>4058</v>
      </c>
      <c r="L406" s="4">
        <v>1179.6420000000001</v>
      </c>
      <c r="M406" s="4">
        <v>1179.6420000000001</v>
      </c>
      <c r="N406" s="4">
        <v>1179.6420000000001</v>
      </c>
      <c r="O406" s="4">
        <v>1179.6420000000001</v>
      </c>
      <c r="P406" s="4">
        <v>0</v>
      </c>
      <c r="Q406" s="3" t="s">
        <v>26</v>
      </c>
      <c r="R406" s="3">
        <v>0</v>
      </c>
      <c r="S406" s="4">
        <v>12</v>
      </c>
      <c r="T406" s="4">
        <v>110</v>
      </c>
      <c r="U406" s="4">
        <v>89</v>
      </c>
      <c r="V406" s="4">
        <f>IF(ISERROR(VLOOKUP($S$406,'TAR FIN'!$A$1:$O$113,15,0)),0,VLOOKUP($S$406,'TAR FIN'!$A$1:$O$113,15,0))</f>
        <v>24.31</v>
      </c>
      <c r="W406" s="4">
        <f>IF(ISERROR(VLOOKUP($T$406,'TAR FIN'!$A$1:$O$113,15,0)),0,VLOOKUP($T$406,'TAR FIN'!$A$1:$O$113,15,0))</f>
        <v>51.27</v>
      </c>
      <c r="X406" s="4">
        <f>IF(ISERROR(VLOOKUP($U$406,'TAR FIN'!$A$1:$O$113,15,0)),0,VLOOKUP($U$406,'TAR FIN'!$A$1:$O$113,15,0))</f>
        <v>222.31</v>
      </c>
      <c r="Y406" s="4">
        <f ca="1">('TUSD BE'!$AM$14+'TUSD BF'!$AM$14+'TUSD CVA'!$AM$14)*1</f>
        <v>26.598074646640526</v>
      </c>
      <c r="Z406" s="4">
        <f ca="1">('TUSD BE'!$AM$15+'TUSD BF'!$AM$15+'TUSD CVA'!$AM$15)*1</f>
        <v>65.007409626508434</v>
      </c>
      <c r="AA406" s="4">
        <f>('TE BE'!$AA$11+'TE BF'!$AA$11+'TE CVA'!$AA$11)*1</f>
        <v>223.14561812044704</v>
      </c>
      <c r="AB406" s="4">
        <f>$K$406*$V$406</f>
        <v>98649.98</v>
      </c>
      <c r="AC406" s="4">
        <f>$M$406*$W$406</f>
        <v>60480.245340000009</v>
      </c>
      <c r="AD406" s="4">
        <f>$O$406*$X$406</f>
        <v>262246.21302000002</v>
      </c>
      <c r="AE406" s="4">
        <f ca="1">$K$406*$Y$406</f>
        <v>107934.98691606725</v>
      </c>
      <c r="AF406" s="4">
        <f ca="1">$M$406*$Z$406</f>
        <v>76685.47070663367</v>
      </c>
      <c r="AG406" s="4">
        <f>$O$406*$AA$406</f>
        <v>263231.94325084041</v>
      </c>
    </row>
    <row r="407" spans="1:33" ht="11.25" customHeight="1" x14ac:dyDescent="0.25">
      <c r="A407" s="3" t="s">
        <v>21</v>
      </c>
      <c r="B407" s="3" t="s">
        <v>41</v>
      </c>
      <c r="C407" s="3" t="s">
        <v>40</v>
      </c>
      <c r="D407" s="3" t="s">
        <v>46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44501</v>
      </c>
      <c r="J407" s="4">
        <v>4120</v>
      </c>
      <c r="K407" s="4">
        <v>4120</v>
      </c>
      <c r="L407" s="4">
        <v>1184.915</v>
      </c>
      <c r="M407" s="4">
        <v>1184.915</v>
      </c>
      <c r="N407" s="4">
        <v>1184.915</v>
      </c>
      <c r="O407" s="4">
        <v>1184.915</v>
      </c>
      <c r="P407" s="4">
        <v>0</v>
      </c>
      <c r="Q407" s="3" t="s">
        <v>26</v>
      </c>
      <c r="R407" s="3">
        <v>0</v>
      </c>
      <c r="S407" s="4">
        <v>12</v>
      </c>
      <c r="T407" s="4">
        <v>110</v>
      </c>
      <c r="U407" s="4">
        <v>89</v>
      </c>
      <c r="V407" s="4">
        <f>IF(ISERROR(VLOOKUP($S$407,'TAR FIN'!$A$1:$O$113,15,0)),0,VLOOKUP($S$407,'TAR FIN'!$A$1:$O$113,15,0))</f>
        <v>24.31</v>
      </c>
      <c r="W407" s="4">
        <f>IF(ISERROR(VLOOKUP($T$407,'TAR FIN'!$A$1:$O$113,15,0)),0,VLOOKUP($T$407,'TAR FIN'!$A$1:$O$113,15,0))</f>
        <v>51.27</v>
      </c>
      <c r="X407" s="4">
        <f>IF(ISERROR(VLOOKUP($U$407,'TAR FIN'!$A$1:$O$113,15,0)),0,VLOOKUP($U$407,'TAR FIN'!$A$1:$O$113,15,0))</f>
        <v>222.31</v>
      </c>
      <c r="Y407" s="4">
        <f ca="1">('TUSD BE'!$AM$14+'TUSD BF'!$AM$14+'TUSD CVA'!$AM$14)*1</f>
        <v>26.598074646640526</v>
      </c>
      <c r="Z407" s="4">
        <f ca="1">('TUSD BE'!$AM$15+'TUSD BF'!$AM$15+'TUSD CVA'!$AM$15)*1</f>
        <v>65.007409626508434</v>
      </c>
      <c r="AA407" s="4">
        <f>('TE BE'!$AA$11+'TE BF'!$AA$11+'TE CVA'!$AA$11)*1</f>
        <v>223.14561812044704</v>
      </c>
      <c r="AB407" s="4">
        <f>$K$407*$V$407</f>
        <v>100157.2</v>
      </c>
      <c r="AC407" s="4">
        <f>$M$407*$W$407</f>
        <v>60750.592049999999</v>
      </c>
      <c r="AD407" s="4">
        <f>$O$407*$X$407</f>
        <v>263418.45364999998</v>
      </c>
      <c r="AE407" s="4">
        <f ca="1">$K$407*$Y$407</f>
        <v>109584.06754415897</v>
      </c>
      <c r="AF407" s="4">
        <f ca="1">$M$407*$Z$407</f>
        <v>77028.254777594237</v>
      </c>
      <c r="AG407" s="4">
        <f>$O$407*$AA$407</f>
        <v>264408.59009518952</v>
      </c>
    </row>
    <row r="408" spans="1:33" ht="11.25" customHeight="1" x14ac:dyDescent="0.25">
      <c r="A408" s="3" t="s">
        <v>21</v>
      </c>
      <c r="B408" s="3" t="s">
        <v>41</v>
      </c>
      <c r="C408" s="3" t="s">
        <v>40</v>
      </c>
      <c r="D408" s="3" t="s">
        <v>46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44531</v>
      </c>
      <c r="J408" s="4">
        <v>4136</v>
      </c>
      <c r="K408" s="4">
        <v>4136</v>
      </c>
      <c r="L408" s="4">
        <v>1212.8989999999999</v>
      </c>
      <c r="M408" s="4">
        <v>1212.8989999999999</v>
      </c>
      <c r="N408" s="4">
        <v>1212.8989999999999</v>
      </c>
      <c r="O408" s="4">
        <v>1212.8989999999999</v>
      </c>
      <c r="P408" s="4">
        <v>0</v>
      </c>
      <c r="Q408" s="3" t="s">
        <v>26</v>
      </c>
      <c r="R408" s="3">
        <v>0</v>
      </c>
      <c r="S408" s="4">
        <v>12</v>
      </c>
      <c r="T408" s="4">
        <v>110</v>
      </c>
      <c r="U408" s="4">
        <v>89</v>
      </c>
      <c r="V408" s="4">
        <f>IF(ISERROR(VLOOKUP($S$408,'TAR FIN'!$A$1:$O$113,15,0)),0,VLOOKUP($S$408,'TAR FIN'!$A$1:$O$113,15,0))</f>
        <v>24.31</v>
      </c>
      <c r="W408" s="4">
        <f>IF(ISERROR(VLOOKUP($T$408,'TAR FIN'!$A$1:$O$113,15,0)),0,VLOOKUP($T$408,'TAR FIN'!$A$1:$O$113,15,0))</f>
        <v>51.27</v>
      </c>
      <c r="X408" s="4">
        <f>IF(ISERROR(VLOOKUP($U$408,'TAR FIN'!$A$1:$O$113,15,0)),0,VLOOKUP($U$408,'TAR FIN'!$A$1:$O$113,15,0))</f>
        <v>222.31</v>
      </c>
      <c r="Y408" s="4">
        <f ca="1">('TUSD BE'!$AM$14+'TUSD BF'!$AM$14+'TUSD CVA'!$AM$14)*1</f>
        <v>26.598074646640526</v>
      </c>
      <c r="Z408" s="4">
        <f ca="1">('TUSD BE'!$AM$15+'TUSD BF'!$AM$15+'TUSD CVA'!$AM$15)*1</f>
        <v>65.007409626508434</v>
      </c>
      <c r="AA408" s="4">
        <f>('TE BE'!$AA$11+'TE BF'!$AA$11+'TE CVA'!$AA$11)*1</f>
        <v>223.14561812044704</v>
      </c>
      <c r="AB408" s="4">
        <f>$K$408*$V$408</f>
        <v>100546.15999999999</v>
      </c>
      <c r="AC408" s="4">
        <f>$M$408*$W$408</f>
        <v>62185.331729999998</v>
      </c>
      <c r="AD408" s="4">
        <f>$O$408*$X$408</f>
        <v>269639.57668999996</v>
      </c>
      <c r="AE408" s="4">
        <f ca="1">$K$408*$Y$408</f>
        <v>110009.63673850521</v>
      </c>
      <c r="AF408" s="4">
        <f ca="1">$M$408*$Z$408</f>
        <v>78847.422128582446</v>
      </c>
      <c r="AG408" s="4">
        <f>$O$408*$AA$408</f>
        <v>270653.09707267204</v>
      </c>
    </row>
    <row r="409" spans="1:33" ht="11.25" customHeight="1" x14ac:dyDescent="0.25">
      <c r="A409" s="3" t="s">
        <v>21</v>
      </c>
      <c r="B409" s="3" t="s">
        <v>41</v>
      </c>
      <c r="C409" s="3" t="s">
        <v>40</v>
      </c>
      <c r="D409" s="3" t="s">
        <v>46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44562</v>
      </c>
      <c r="J409" s="4">
        <v>7266</v>
      </c>
      <c r="K409" s="4">
        <v>7266</v>
      </c>
      <c r="L409" s="4">
        <v>1910.9829999999999</v>
      </c>
      <c r="M409" s="4">
        <v>1910.9829999999999</v>
      </c>
      <c r="N409" s="4">
        <v>1910.9829999999999</v>
      </c>
      <c r="O409" s="4">
        <v>1910.9829999999999</v>
      </c>
      <c r="P409" s="4">
        <v>0</v>
      </c>
      <c r="Q409" s="3" t="s">
        <v>26</v>
      </c>
      <c r="R409" s="3">
        <v>0</v>
      </c>
      <c r="S409" s="4">
        <v>12</v>
      </c>
      <c r="T409" s="4">
        <v>110</v>
      </c>
      <c r="U409" s="4">
        <v>89</v>
      </c>
      <c r="V409" s="4">
        <f>IF(ISERROR(VLOOKUP($S$409,'TAR FIN'!$A$1:$O$113,15,0)),0,VLOOKUP($S$409,'TAR FIN'!$A$1:$O$113,15,0))</f>
        <v>24.31</v>
      </c>
      <c r="W409" s="4">
        <f>IF(ISERROR(VLOOKUP($T$409,'TAR FIN'!$A$1:$O$113,15,0)),0,VLOOKUP($T$409,'TAR FIN'!$A$1:$O$113,15,0))</f>
        <v>51.27</v>
      </c>
      <c r="X409" s="4">
        <f>IF(ISERROR(VLOOKUP($U$409,'TAR FIN'!$A$1:$O$113,15,0)),0,VLOOKUP($U$409,'TAR FIN'!$A$1:$O$113,15,0))</f>
        <v>222.31</v>
      </c>
      <c r="Y409" s="4">
        <f ca="1">('TUSD BE'!$AM$14+'TUSD BF'!$AM$14+'TUSD CVA'!$AM$14)*1</f>
        <v>26.598074646640526</v>
      </c>
      <c r="Z409" s="4">
        <f ca="1">('TUSD BE'!$AM$15+'TUSD BF'!$AM$15+'TUSD CVA'!$AM$15)*1</f>
        <v>65.007409626508434</v>
      </c>
      <c r="AA409" s="4">
        <f>('TE BE'!$AA$11+'TE BF'!$AA$11+'TE CVA'!$AA$11)*1</f>
        <v>223.14561812044704</v>
      </c>
      <c r="AB409" s="4">
        <f>$K$409*$V$409</f>
        <v>176636.46</v>
      </c>
      <c r="AC409" s="4">
        <f>$M$409*$W$409</f>
        <v>97976.098410000006</v>
      </c>
      <c r="AD409" s="4">
        <f>$O$409*$X$409</f>
        <v>424830.63072999998</v>
      </c>
      <c r="AE409" s="4">
        <f ca="1">$K$409*$Y$409</f>
        <v>193261.61038249006</v>
      </c>
      <c r="AF409" s="4">
        <f ca="1">$M$409*$Z$409</f>
        <v>124228.05467029396</v>
      </c>
      <c r="AG409" s="4">
        <f>$O$409*$AA$409</f>
        <v>426427.48275266623</v>
      </c>
    </row>
    <row r="410" spans="1:33" ht="11.25" customHeight="1" x14ac:dyDescent="0.25">
      <c r="A410" s="3" t="s">
        <v>21</v>
      </c>
      <c r="B410" s="3" t="s">
        <v>41</v>
      </c>
      <c r="C410" s="3" t="s">
        <v>40</v>
      </c>
      <c r="D410" s="3" t="s">
        <v>46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44593</v>
      </c>
      <c r="J410" s="4">
        <v>6780</v>
      </c>
      <c r="K410" s="4">
        <v>6780</v>
      </c>
      <c r="L410" s="4">
        <v>1810.422</v>
      </c>
      <c r="M410" s="4">
        <v>1810.422</v>
      </c>
      <c r="N410" s="4">
        <v>1810.422</v>
      </c>
      <c r="O410" s="4">
        <v>1810.422</v>
      </c>
      <c r="P410" s="4">
        <v>0</v>
      </c>
      <c r="Q410" s="3" t="s">
        <v>26</v>
      </c>
      <c r="R410" s="3">
        <v>0</v>
      </c>
      <c r="S410" s="4">
        <v>12</v>
      </c>
      <c r="T410" s="4">
        <v>110</v>
      </c>
      <c r="U410" s="4">
        <v>89</v>
      </c>
      <c r="V410" s="4">
        <f>IF(ISERROR(VLOOKUP($S$410,'TAR FIN'!$A$1:$O$113,15,0)),0,VLOOKUP($S$410,'TAR FIN'!$A$1:$O$113,15,0))</f>
        <v>24.31</v>
      </c>
      <c r="W410" s="4">
        <f>IF(ISERROR(VLOOKUP($T$410,'TAR FIN'!$A$1:$O$113,15,0)),0,VLOOKUP($T$410,'TAR FIN'!$A$1:$O$113,15,0))</f>
        <v>51.27</v>
      </c>
      <c r="X410" s="4">
        <f>IF(ISERROR(VLOOKUP($U$410,'TAR FIN'!$A$1:$O$113,15,0)),0,VLOOKUP($U$410,'TAR FIN'!$A$1:$O$113,15,0))</f>
        <v>222.31</v>
      </c>
      <c r="Y410" s="4">
        <f ca="1">('TUSD BE'!$AM$14+'TUSD BF'!$AM$14+'TUSD CVA'!$AM$14)*1</f>
        <v>26.598074646640526</v>
      </c>
      <c r="Z410" s="4">
        <f ca="1">('TUSD BE'!$AM$15+'TUSD BF'!$AM$15+'TUSD CVA'!$AM$15)*1</f>
        <v>65.007409626508434</v>
      </c>
      <c r="AA410" s="4">
        <f>('TE BE'!$AA$11+'TE BF'!$AA$11+'TE CVA'!$AA$11)*1</f>
        <v>223.14561812044704</v>
      </c>
      <c r="AB410" s="4">
        <f>$K$410*$V$410</f>
        <v>164821.79999999999</v>
      </c>
      <c r="AC410" s="4">
        <f>$M$410*$W$410</f>
        <v>92820.335940000004</v>
      </c>
      <c r="AD410" s="4">
        <f>$O$410*$X$410</f>
        <v>402474.91482000001</v>
      </c>
      <c r="AE410" s="4">
        <f ca="1">$K$410*$Y$410</f>
        <v>180334.94610422276</v>
      </c>
      <c r="AF410" s="4">
        <f ca="1">$M$410*$Z$410</f>
        <v>117690.84455084265</v>
      </c>
      <c r="AG410" s="4">
        <f>$O$410*$AA$410</f>
        <v>403987.736248856</v>
      </c>
    </row>
    <row r="411" spans="1:33" ht="11.25" customHeight="1" x14ac:dyDescent="0.25">
      <c r="A411" s="3" t="s">
        <v>27</v>
      </c>
      <c r="B411" s="3" t="s">
        <v>41</v>
      </c>
      <c r="C411" s="3" t="s">
        <v>40</v>
      </c>
      <c r="D411" s="3" t="s">
        <v>46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44593</v>
      </c>
      <c r="J411" s="4">
        <v>-322</v>
      </c>
      <c r="K411" s="4">
        <v>-322</v>
      </c>
      <c r="L411" s="4">
        <v>-95.385000000000005</v>
      </c>
      <c r="M411" s="4">
        <v>-95.385000000000005</v>
      </c>
      <c r="N411" s="4">
        <v>-95.385000000000005</v>
      </c>
      <c r="O411" s="4">
        <v>-95.385000000000005</v>
      </c>
      <c r="P411" s="4">
        <v>0</v>
      </c>
      <c r="Q411" s="3" t="s">
        <v>26</v>
      </c>
      <c r="R411" s="3">
        <v>0</v>
      </c>
      <c r="S411" s="4">
        <v>12</v>
      </c>
      <c r="T411" s="4">
        <v>110</v>
      </c>
      <c r="U411" s="4">
        <v>89</v>
      </c>
      <c r="V411" s="4">
        <f>IF(ISERROR(VLOOKUP($S$411,'TAR FIN'!$A$1:$O$113,15,0)),0,VLOOKUP($S$411,'TAR FIN'!$A$1:$O$113,15,0))</f>
        <v>24.31</v>
      </c>
      <c r="W411" s="4">
        <f>IF(ISERROR(VLOOKUP($T$411,'TAR FIN'!$A$1:$O$113,15,0)),0,VLOOKUP($T$411,'TAR FIN'!$A$1:$O$113,15,0))</f>
        <v>51.27</v>
      </c>
      <c r="X411" s="4">
        <f>IF(ISERROR(VLOOKUP($U$411,'TAR FIN'!$A$1:$O$113,15,0)),0,VLOOKUP($U$411,'TAR FIN'!$A$1:$O$113,15,0))</f>
        <v>222.31</v>
      </c>
      <c r="Y411" s="4">
        <f ca="1">('TUSD BE'!$AM$14+'TUSD BF'!$AM$14+'TUSD CVA'!$AM$14)*1</f>
        <v>26.598074646640526</v>
      </c>
      <c r="Z411" s="4">
        <f ca="1">('TUSD BE'!$AM$15+'TUSD BF'!$AM$15+'TUSD CVA'!$AM$15)*1</f>
        <v>65.007409626508434</v>
      </c>
      <c r="AA411" s="4">
        <f>('TE BE'!$AA$11+'TE BF'!$AA$11+'TE CVA'!$AA$11)*1</f>
        <v>223.14561812044704</v>
      </c>
      <c r="AB411" s="4">
        <f>$K$411*$V$411</f>
        <v>-7827.82</v>
      </c>
      <c r="AC411" s="4">
        <f>$M$411*$W$411</f>
        <v>-4890.3889500000005</v>
      </c>
      <c r="AD411" s="4">
        <f>$O$411*$X$411</f>
        <v>-21205.039350000003</v>
      </c>
      <c r="AE411" s="4">
        <f ca="1">$K$411*$Y$411</f>
        <v>-8564.580036218249</v>
      </c>
      <c r="AF411" s="4">
        <f ca="1">$M$411*$Z$411</f>
        <v>-6200.7317672245072</v>
      </c>
      <c r="AG411" s="4">
        <f>$O$411*$AA$411</f>
        <v>-21284.744784418843</v>
      </c>
    </row>
    <row r="412" spans="1:33" ht="11.25" customHeight="1" x14ac:dyDescent="0.25">
      <c r="A412" s="3" t="s">
        <v>56</v>
      </c>
      <c r="B412" s="3" t="s">
        <v>41</v>
      </c>
      <c r="C412" s="3" t="s">
        <v>40</v>
      </c>
      <c r="D412" s="3" t="s">
        <v>46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44621</v>
      </c>
      <c r="J412" s="4">
        <v>6780</v>
      </c>
      <c r="K412" s="4">
        <v>6780</v>
      </c>
      <c r="L412" s="4">
        <v>1810.422</v>
      </c>
      <c r="M412" s="4">
        <v>1810.422</v>
      </c>
      <c r="N412" s="4">
        <v>1810.422</v>
      </c>
      <c r="O412" s="4">
        <v>1810.422</v>
      </c>
      <c r="P412" s="4">
        <v>0</v>
      </c>
      <c r="Q412" s="3" t="s">
        <v>26</v>
      </c>
      <c r="R412" s="3">
        <v>0</v>
      </c>
      <c r="S412" s="4">
        <v>12</v>
      </c>
      <c r="T412" s="4">
        <v>110</v>
      </c>
      <c r="U412" s="4">
        <v>89</v>
      </c>
      <c r="V412" s="4">
        <f>IF(ISERROR(VLOOKUP($S$412,'TAR FIN'!$A$1:$O$113,15,0)),0,VLOOKUP($S$412,'TAR FIN'!$A$1:$O$113,15,0))</f>
        <v>24.31</v>
      </c>
      <c r="W412" s="4">
        <f>IF(ISERROR(VLOOKUP($T$412,'TAR FIN'!$A$1:$O$113,15,0)),0,VLOOKUP($T$412,'TAR FIN'!$A$1:$O$113,15,0))</f>
        <v>51.27</v>
      </c>
      <c r="X412" s="4">
        <f>IF(ISERROR(VLOOKUP($U$412,'TAR FIN'!$A$1:$O$113,15,0)),0,VLOOKUP($U$412,'TAR FIN'!$A$1:$O$113,15,0))</f>
        <v>222.31</v>
      </c>
      <c r="Y412" s="4">
        <f ca="1">('TUSD BE'!$AM$14+'TUSD BF'!$AM$14+'TUSD CVA'!$AM$14)*1</f>
        <v>26.598074646640526</v>
      </c>
      <c r="Z412" s="4">
        <f ca="1">('TUSD BE'!$AM$15+'TUSD BF'!$AM$15+'TUSD CVA'!$AM$15)*1</f>
        <v>65.007409626508434</v>
      </c>
      <c r="AA412" s="4">
        <f>('TE BE'!$AA$11+'TE BF'!$AA$11+'TE CVA'!$AA$11)*1</f>
        <v>223.14561812044704</v>
      </c>
      <c r="AB412" s="4">
        <f>$K$412*$V$412</f>
        <v>164821.79999999999</v>
      </c>
      <c r="AC412" s="4">
        <f>$M$412*$W$412</f>
        <v>92820.335940000004</v>
      </c>
      <c r="AD412" s="4">
        <f>$O$412*$X$412</f>
        <v>402474.91482000001</v>
      </c>
      <c r="AE412" s="4">
        <f ca="1">$K$412*$Y$412</f>
        <v>180334.94610422276</v>
      </c>
      <c r="AF412" s="4">
        <f ca="1">$M$412*$Z$412</f>
        <v>117690.84455084265</v>
      </c>
      <c r="AG412" s="4">
        <f>$O$412*$AA$412</f>
        <v>403987.736248856</v>
      </c>
    </row>
    <row r="413" spans="1:33" ht="11.25" customHeight="1" x14ac:dyDescent="0.25">
      <c r="A413" s="3" t="s">
        <v>56</v>
      </c>
      <c r="B413" s="3" t="s">
        <v>41</v>
      </c>
      <c r="C413" s="3" t="s">
        <v>40</v>
      </c>
      <c r="D413" s="3" t="s">
        <v>46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44621</v>
      </c>
      <c r="J413" s="4">
        <v>-322</v>
      </c>
      <c r="K413" s="4">
        <v>-322</v>
      </c>
      <c r="L413" s="4">
        <v>-95.385000000000005</v>
      </c>
      <c r="M413" s="4">
        <v>-95.385000000000005</v>
      </c>
      <c r="N413" s="4">
        <v>-95.385000000000005</v>
      </c>
      <c r="O413" s="4">
        <v>-95.385000000000005</v>
      </c>
      <c r="P413" s="4">
        <v>0</v>
      </c>
      <c r="Q413" s="3" t="s">
        <v>26</v>
      </c>
      <c r="R413" s="3">
        <v>0</v>
      </c>
      <c r="S413" s="4">
        <v>12</v>
      </c>
      <c r="T413" s="4">
        <v>110</v>
      </c>
      <c r="U413" s="4">
        <v>89</v>
      </c>
      <c r="V413" s="4">
        <f>IF(ISERROR(VLOOKUP($S$413,'TAR FIN'!$A$1:$O$113,15,0)),0,VLOOKUP($S$413,'TAR FIN'!$A$1:$O$113,15,0))</f>
        <v>24.31</v>
      </c>
      <c r="W413" s="4">
        <f>IF(ISERROR(VLOOKUP($T$413,'TAR FIN'!$A$1:$O$113,15,0)),0,VLOOKUP($T$413,'TAR FIN'!$A$1:$O$113,15,0))</f>
        <v>51.27</v>
      </c>
      <c r="X413" s="4">
        <f>IF(ISERROR(VLOOKUP($U$413,'TAR FIN'!$A$1:$O$113,15,0)),0,VLOOKUP($U$413,'TAR FIN'!$A$1:$O$113,15,0))</f>
        <v>222.31</v>
      </c>
      <c r="Y413" s="4">
        <f ca="1">('TUSD BE'!$AM$14+'TUSD BF'!$AM$14+'TUSD CVA'!$AM$14)*1</f>
        <v>26.598074646640526</v>
      </c>
      <c r="Z413" s="4">
        <f ca="1">('TUSD BE'!$AM$15+'TUSD BF'!$AM$15+'TUSD CVA'!$AM$15)*1</f>
        <v>65.007409626508434</v>
      </c>
      <c r="AA413" s="4">
        <f>('TE BE'!$AA$11+'TE BF'!$AA$11+'TE CVA'!$AA$11)*1</f>
        <v>223.14561812044704</v>
      </c>
      <c r="AB413" s="4">
        <f>$K$413*$V$413</f>
        <v>-7827.82</v>
      </c>
      <c r="AC413" s="4">
        <f>$M$413*$W$413</f>
        <v>-4890.3889500000005</v>
      </c>
      <c r="AD413" s="4">
        <f>$O$413*$X$413</f>
        <v>-21205.039350000003</v>
      </c>
      <c r="AE413" s="4">
        <f ca="1">$K$413*$Y$413</f>
        <v>-8564.580036218249</v>
      </c>
      <c r="AF413" s="4">
        <f ca="1">$M$413*$Z$413</f>
        <v>-6200.7317672245072</v>
      </c>
      <c r="AG413" s="4">
        <f>$O$413*$AA$413</f>
        <v>-21284.744784418843</v>
      </c>
    </row>
    <row r="414" spans="1:33" ht="11.25" customHeight="1" x14ac:dyDescent="0.25">
      <c r="A414" s="3" t="s">
        <v>21</v>
      </c>
      <c r="B414" s="3" t="s">
        <v>41</v>
      </c>
      <c r="C414" s="3" t="s">
        <v>40</v>
      </c>
      <c r="D414" s="3" t="s">
        <v>46</v>
      </c>
      <c r="E414" s="3" t="s">
        <v>25</v>
      </c>
      <c r="F414" s="3" t="s">
        <v>25</v>
      </c>
      <c r="G414" s="3" t="s">
        <v>25</v>
      </c>
      <c r="H414" s="3" t="s">
        <v>34</v>
      </c>
      <c r="I414" s="6">
        <v>44287</v>
      </c>
      <c r="J414" s="4">
        <v>2758</v>
      </c>
      <c r="K414" s="4">
        <v>2758</v>
      </c>
      <c r="L414" s="4">
        <v>104.32899999999999</v>
      </c>
      <c r="M414" s="4">
        <v>104.32899999999999</v>
      </c>
      <c r="N414" s="4">
        <v>104.32899999999999</v>
      </c>
      <c r="O414" s="4">
        <v>104.32899999999999</v>
      </c>
      <c r="P414" s="4">
        <v>0</v>
      </c>
      <c r="Q414" s="3" t="s">
        <v>26</v>
      </c>
      <c r="R414" s="3">
        <v>0</v>
      </c>
      <c r="S414" s="4">
        <v>11</v>
      </c>
      <c r="T414" s="4">
        <v>110</v>
      </c>
      <c r="U414" s="4">
        <v>88</v>
      </c>
      <c r="V414" s="4">
        <f>IF(ISERROR(VLOOKUP($S$414,'TAR FIN'!$A$1:$O$113,15,0)),0,VLOOKUP($S$414,'TAR FIN'!$A$1:$O$113,15,0))</f>
        <v>62.23</v>
      </c>
      <c r="W414" s="4">
        <f>IF(ISERROR(VLOOKUP($T$414,'TAR FIN'!$A$1:$O$113,15,0)),0,VLOOKUP($T$414,'TAR FIN'!$A$1:$O$113,15,0))</f>
        <v>51.27</v>
      </c>
      <c r="X414" s="4">
        <f>IF(ISERROR(VLOOKUP($U$414,'TAR FIN'!$A$1:$O$113,15,0)),0,VLOOKUP($U$414,'TAR FIN'!$A$1:$O$113,15,0))</f>
        <v>365.5</v>
      </c>
      <c r="Y414" s="4">
        <f ca="1">('TUSD BE'!$AM$13+'TUSD BF'!$AM$13+'TUSD CVA'!$AM$13)*1</f>
        <v>73.082870326096639</v>
      </c>
      <c r="Z414" s="4">
        <f ca="1">('TUSD BE'!$AM$15+'TUSD BF'!$AM$15+'TUSD CVA'!$AM$15)*1</f>
        <v>65.007409626508434</v>
      </c>
      <c r="AA414" s="4">
        <f>('TE BE'!$AA$10+'TE BF'!$AA$10+'TE CVA'!$AA$10)*1</f>
        <v>361.55013418411539</v>
      </c>
      <c r="AB414" s="4">
        <f>$K$414*$V$414</f>
        <v>171630.34</v>
      </c>
      <c r="AC414" s="4">
        <f>$M$414*$W$414</f>
        <v>5348.9478300000001</v>
      </c>
      <c r="AD414" s="4">
        <f>$O$414*$X$414</f>
        <v>38132.249499999998</v>
      </c>
      <c r="AE414" s="4">
        <f ca="1">$K$414*$Y$414</f>
        <v>201562.55635937452</v>
      </c>
      <c r="AF414" s="4">
        <f ca="1">$M$414*$Z$414</f>
        <v>6782.158038923998</v>
      </c>
      <c r="AG414" s="4">
        <f>$O$414*$AA$414</f>
        <v>37720.163949294576</v>
      </c>
    </row>
    <row r="415" spans="1:33" ht="11.25" customHeight="1" x14ac:dyDescent="0.25">
      <c r="A415" s="3" t="s">
        <v>21</v>
      </c>
      <c r="B415" s="3" t="s">
        <v>41</v>
      </c>
      <c r="C415" s="3" t="s">
        <v>40</v>
      </c>
      <c r="D415" s="3" t="s">
        <v>46</v>
      </c>
      <c r="E415" s="3" t="s">
        <v>25</v>
      </c>
      <c r="F415" s="3" t="s">
        <v>25</v>
      </c>
      <c r="G415" s="3" t="s">
        <v>25</v>
      </c>
      <c r="H415" s="3" t="s">
        <v>34</v>
      </c>
      <c r="I415" s="6">
        <v>44317</v>
      </c>
      <c r="J415" s="4">
        <v>2690</v>
      </c>
      <c r="K415" s="4">
        <v>2690</v>
      </c>
      <c r="L415" s="4">
        <v>98.05</v>
      </c>
      <c r="M415" s="4">
        <v>98.05</v>
      </c>
      <c r="N415" s="4">
        <v>98.05</v>
      </c>
      <c r="O415" s="4">
        <v>98.05</v>
      </c>
      <c r="P415" s="4">
        <v>0</v>
      </c>
      <c r="Q415" s="3" t="s">
        <v>26</v>
      </c>
      <c r="R415" s="3">
        <v>0</v>
      </c>
      <c r="S415" s="4">
        <v>11</v>
      </c>
      <c r="T415" s="4">
        <v>110</v>
      </c>
      <c r="U415" s="4">
        <v>88</v>
      </c>
      <c r="V415" s="4">
        <f>IF(ISERROR(VLOOKUP($S$415,'TAR FIN'!$A$1:$O$113,15,0)),0,VLOOKUP($S$415,'TAR FIN'!$A$1:$O$113,15,0))</f>
        <v>62.23</v>
      </c>
      <c r="W415" s="4">
        <f>IF(ISERROR(VLOOKUP($T$415,'TAR FIN'!$A$1:$O$113,15,0)),0,VLOOKUP($T$415,'TAR FIN'!$A$1:$O$113,15,0))</f>
        <v>51.27</v>
      </c>
      <c r="X415" s="4">
        <f>IF(ISERROR(VLOOKUP($U$415,'TAR FIN'!$A$1:$O$113,15,0)),0,VLOOKUP($U$415,'TAR FIN'!$A$1:$O$113,15,0))</f>
        <v>365.5</v>
      </c>
      <c r="Y415" s="4">
        <f ca="1">('TUSD BE'!$AM$13+'TUSD BF'!$AM$13+'TUSD CVA'!$AM$13)*1</f>
        <v>73.082870326096639</v>
      </c>
      <c r="Z415" s="4">
        <f ca="1">('TUSD BE'!$AM$15+'TUSD BF'!$AM$15+'TUSD CVA'!$AM$15)*1</f>
        <v>65.007409626508434</v>
      </c>
      <c r="AA415" s="4">
        <f>('TE BE'!$AA$10+'TE BF'!$AA$10+'TE CVA'!$AA$10)*1</f>
        <v>361.55013418411539</v>
      </c>
      <c r="AB415" s="4">
        <f>$K$415*$V$415</f>
        <v>167398.69999999998</v>
      </c>
      <c r="AC415" s="4">
        <f>$M$415*$W$415</f>
        <v>5027.0235000000002</v>
      </c>
      <c r="AD415" s="4">
        <f>$O$415*$X$415</f>
        <v>35837.275000000001</v>
      </c>
      <c r="AE415" s="4">
        <f ca="1">$K$415*$Y$415</f>
        <v>196592.92117719995</v>
      </c>
      <c r="AF415" s="4">
        <f ca="1">$M$415*$Z$415</f>
        <v>6373.9765138791518</v>
      </c>
      <c r="AG415" s="4">
        <f>$O$415*$AA$415</f>
        <v>35449.99065675251</v>
      </c>
    </row>
    <row r="416" spans="1:33" ht="11.25" customHeight="1" x14ac:dyDescent="0.25">
      <c r="A416" s="3" t="s">
        <v>21</v>
      </c>
      <c r="B416" s="3" t="s">
        <v>41</v>
      </c>
      <c r="C416" s="3" t="s">
        <v>40</v>
      </c>
      <c r="D416" s="3" t="s">
        <v>46</v>
      </c>
      <c r="E416" s="3" t="s">
        <v>25</v>
      </c>
      <c r="F416" s="3" t="s">
        <v>25</v>
      </c>
      <c r="G416" s="3" t="s">
        <v>25</v>
      </c>
      <c r="H416" s="3" t="s">
        <v>34</v>
      </c>
      <c r="I416" s="6">
        <v>44348</v>
      </c>
      <c r="J416" s="4">
        <v>2816</v>
      </c>
      <c r="K416" s="4">
        <v>2816</v>
      </c>
      <c r="L416" s="4">
        <v>92.218000000000004</v>
      </c>
      <c r="M416" s="4">
        <v>92.218000000000004</v>
      </c>
      <c r="N416" s="4">
        <v>92.218000000000004</v>
      </c>
      <c r="O416" s="4">
        <v>92.218000000000004</v>
      </c>
      <c r="P416" s="4">
        <v>0</v>
      </c>
      <c r="Q416" s="3" t="s">
        <v>26</v>
      </c>
      <c r="R416" s="3">
        <v>0</v>
      </c>
      <c r="S416" s="4">
        <v>11</v>
      </c>
      <c r="T416" s="4">
        <v>110</v>
      </c>
      <c r="U416" s="4">
        <v>88</v>
      </c>
      <c r="V416" s="4">
        <f>IF(ISERROR(VLOOKUP($S$416,'TAR FIN'!$A$1:$O$113,15,0)),0,VLOOKUP($S$416,'TAR FIN'!$A$1:$O$113,15,0))</f>
        <v>62.23</v>
      </c>
      <c r="W416" s="4">
        <f>IF(ISERROR(VLOOKUP($T$416,'TAR FIN'!$A$1:$O$113,15,0)),0,VLOOKUP($T$416,'TAR FIN'!$A$1:$O$113,15,0))</f>
        <v>51.27</v>
      </c>
      <c r="X416" s="4">
        <f>IF(ISERROR(VLOOKUP($U$416,'TAR FIN'!$A$1:$O$113,15,0)),0,VLOOKUP($U$416,'TAR FIN'!$A$1:$O$113,15,0))</f>
        <v>365.5</v>
      </c>
      <c r="Y416" s="4">
        <f ca="1">('TUSD BE'!$AM$13+'TUSD BF'!$AM$13+'TUSD CVA'!$AM$13)*1</f>
        <v>73.082870326096639</v>
      </c>
      <c r="Z416" s="4">
        <f ca="1">('TUSD BE'!$AM$15+'TUSD BF'!$AM$15+'TUSD CVA'!$AM$15)*1</f>
        <v>65.007409626508434</v>
      </c>
      <c r="AA416" s="4">
        <f>('TE BE'!$AA$10+'TE BF'!$AA$10+'TE CVA'!$AA$10)*1</f>
        <v>361.55013418411539</v>
      </c>
      <c r="AB416" s="4">
        <f>$K$416*$V$416</f>
        <v>175239.67999999999</v>
      </c>
      <c r="AC416" s="4">
        <f>$M$416*$W$416</f>
        <v>4728.0168600000006</v>
      </c>
      <c r="AD416" s="4">
        <f>$O$416*$X$416</f>
        <v>33705.679000000004</v>
      </c>
      <c r="AE416" s="4">
        <f ca="1">$K$416*$Y$416</f>
        <v>205801.36283828813</v>
      </c>
      <c r="AF416" s="4">
        <f ca="1">$M$416*$Z$416</f>
        <v>5994.853300937355</v>
      </c>
      <c r="AG416" s="4">
        <f>$O$416*$AA$416</f>
        <v>33341.430274190752</v>
      </c>
    </row>
    <row r="417" spans="1:33" ht="11.25" customHeight="1" x14ac:dyDescent="0.25">
      <c r="A417" s="3" t="s">
        <v>21</v>
      </c>
      <c r="B417" s="3" t="s">
        <v>41</v>
      </c>
      <c r="C417" s="3" t="s">
        <v>40</v>
      </c>
      <c r="D417" s="3" t="s">
        <v>46</v>
      </c>
      <c r="E417" s="3" t="s">
        <v>25</v>
      </c>
      <c r="F417" s="3" t="s">
        <v>25</v>
      </c>
      <c r="G417" s="3" t="s">
        <v>25</v>
      </c>
      <c r="H417" s="3" t="s">
        <v>34</v>
      </c>
      <c r="I417" s="6">
        <v>44378</v>
      </c>
      <c r="J417" s="4">
        <v>2613</v>
      </c>
      <c r="K417" s="4">
        <v>2613</v>
      </c>
      <c r="L417" s="4">
        <v>89.968999999999994</v>
      </c>
      <c r="M417" s="4">
        <v>89.968999999999994</v>
      </c>
      <c r="N417" s="4">
        <v>89.968999999999994</v>
      </c>
      <c r="O417" s="4">
        <v>89.968999999999994</v>
      </c>
      <c r="P417" s="4">
        <v>0</v>
      </c>
      <c r="Q417" s="3" t="s">
        <v>26</v>
      </c>
      <c r="R417" s="3">
        <v>0</v>
      </c>
      <c r="S417" s="4">
        <v>11</v>
      </c>
      <c r="T417" s="4">
        <v>110</v>
      </c>
      <c r="U417" s="4">
        <v>88</v>
      </c>
      <c r="V417" s="4">
        <f>IF(ISERROR(VLOOKUP($S$417,'TAR FIN'!$A$1:$O$113,15,0)),0,VLOOKUP($S$417,'TAR FIN'!$A$1:$O$113,15,0))</f>
        <v>62.23</v>
      </c>
      <c r="W417" s="4">
        <f>IF(ISERROR(VLOOKUP($T$417,'TAR FIN'!$A$1:$O$113,15,0)),0,VLOOKUP($T$417,'TAR FIN'!$A$1:$O$113,15,0))</f>
        <v>51.27</v>
      </c>
      <c r="X417" s="4">
        <f>IF(ISERROR(VLOOKUP($U$417,'TAR FIN'!$A$1:$O$113,15,0)),0,VLOOKUP($U$417,'TAR FIN'!$A$1:$O$113,15,0))</f>
        <v>365.5</v>
      </c>
      <c r="Y417" s="4">
        <f ca="1">('TUSD BE'!$AM$13+'TUSD BF'!$AM$13+'TUSD CVA'!$AM$13)*1</f>
        <v>73.082870326096639</v>
      </c>
      <c r="Z417" s="4">
        <f ca="1">('TUSD BE'!$AM$15+'TUSD BF'!$AM$15+'TUSD CVA'!$AM$15)*1</f>
        <v>65.007409626508434</v>
      </c>
      <c r="AA417" s="4">
        <f>('TE BE'!$AA$10+'TE BF'!$AA$10+'TE CVA'!$AA$10)*1</f>
        <v>361.55013418411539</v>
      </c>
      <c r="AB417" s="4">
        <f>$K$417*$V$417</f>
        <v>162606.99</v>
      </c>
      <c r="AC417" s="4">
        <f>$M$417*$W$417</f>
        <v>4612.7106299999996</v>
      </c>
      <c r="AD417" s="4">
        <f>$O$417*$X$417</f>
        <v>32883.669499999996</v>
      </c>
      <c r="AE417" s="4">
        <f ca="1">$K$417*$Y$417</f>
        <v>190965.54016209053</v>
      </c>
      <c r="AF417" s="4">
        <f ca="1">$M$417*$Z$417</f>
        <v>5848.6516366873366</v>
      </c>
      <c r="AG417" s="4">
        <f>$O$417*$AA$417</f>
        <v>32528.304022410677</v>
      </c>
    </row>
    <row r="418" spans="1:33" ht="11.25" customHeight="1" x14ac:dyDescent="0.25">
      <c r="A418" s="3" t="s">
        <v>27</v>
      </c>
      <c r="B418" s="3" t="s">
        <v>41</v>
      </c>
      <c r="C418" s="3" t="s">
        <v>40</v>
      </c>
      <c r="D418" s="3" t="s">
        <v>46</v>
      </c>
      <c r="E418" s="3" t="s">
        <v>25</v>
      </c>
      <c r="F418" s="3" t="s">
        <v>25</v>
      </c>
      <c r="G418" s="3" t="s">
        <v>25</v>
      </c>
      <c r="H418" s="3" t="s">
        <v>34</v>
      </c>
      <c r="I418" s="6">
        <v>44378</v>
      </c>
      <c r="J418" s="4">
        <v>-150</v>
      </c>
      <c r="K418" s="4">
        <v>-150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3" t="s">
        <v>26</v>
      </c>
      <c r="R418" s="3">
        <v>0</v>
      </c>
      <c r="S418" s="4">
        <v>11</v>
      </c>
      <c r="T418" s="4">
        <v>0</v>
      </c>
      <c r="U418" s="4">
        <v>0</v>
      </c>
      <c r="V418" s="4">
        <f>IF(ISERROR(VLOOKUP($S$418,'TAR FIN'!$A$1:$O$113,15,0)),0,VLOOKUP($S$418,'TAR FIN'!$A$1:$O$113,15,0))</f>
        <v>62.23</v>
      </c>
      <c r="W418" s="4">
        <f>IF(ISERROR(VLOOKUP($T$418,'TAR FIN'!$A$1:$O$113,15,0)),0,VLOOKUP($T$418,'TAR FIN'!$A$1:$O$113,15,0))</f>
        <v>0</v>
      </c>
      <c r="X418" s="4">
        <f>IF(ISERROR(VLOOKUP($U$418,'TAR FIN'!$A$1:$O$113,15,0)),0,VLOOKUP($U$418,'TAR FIN'!$A$1:$O$113,15,0))</f>
        <v>0</v>
      </c>
      <c r="Y418" s="4">
        <f ca="1">('TUSD BE'!$AM$13+'TUSD BF'!$AM$13+'TUSD CVA'!$AM$13)*1</f>
        <v>73.082870326096639</v>
      </c>
      <c r="Z418" s="4">
        <f ca="1">('TUSD BE'!$AM$15+'TUSD BF'!$AM$15+'TUSD CVA'!$AM$15)*1</f>
        <v>65.007409626508434</v>
      </c>
      <c r="AA418" s="4">
        <f>('TE BE'!$AA$10+'TE BF'!$AA$10+'TE CVA'!$AA$10)*1</f>
        <v>361.55013418411539</v>
      </c>
      <c r="AB418" s="4">
        <f>$K$418*$V$418</f>
        <v>-9334.5</v>
      </c>
      <c r="AC418" s="4">
        <f>$M$418*$W$418</f>
        <v>0</v>
      </c>
      <c r="AD418" s="4">
        <f>$O$418*$X$418</f>
        <v>0</v>
      </c>
      <c r="AE418" s="4">
        <f ca="1">$K$418*$Y$418</f>
        <v>-10962.430548914495</v>
      </c>
      <c r="AF418" s="4">
        <f ca="1">$M$418*$Z$418</f>
        <v>0</v>
      </c>
      <c r="AG418" s="4">
        <f>$O$418*$AA$418</f>
        <v>0</v>
      </c>
    </row>
    <row r="419" spans="1:33" ht="11.25" customHeight="1" x14ac:dyDescent="0.25">
      <c r="A419" s="3" t="s">
        <v>21</v>
      </c>
      <c r="B419" s="3" t="s">
        <v>41</v>
      </c>
      <c r="C419" s="3" t="s">
        <v>40</v>
      </c>
      <c r="D419" s="3" t="s">
        <v>46</v>
      </c>
      <c r="E419" s="3" t="s">
        <v>25</v>
      </c>
      <c r="F419" s="3" t="s">
        <v>25</v>
      </c>
      <c r="G419" s="3" t="s">
        <v>25</v>
      </c>
      <c r="H419" s="3" t="s">
        <v>34</v>
      </c>
      <c r="I419" s="6">
        <v>44409</v>
      </c>
      <c r="J419" s="4">
        <v>2589</v>
      </c>
      <c r="K419" s="4">
        <v>2589</v>
      </c>
      <c r="L419" s="4">
        <v>91.953999999999994</v>
      </c>
      <c r="M419" s="4">
        <v>91.953999999999994</v>
      </c>
      <c r="N419" s="4">
        <v>91.953999999999994</v>
      </c>
      <c r="O419" s="4">
        <v>91.953999999999994</v>
      </c>
      <c r="P419" s="4">
        <v>0</v>
      </c>
      <c r="Q419" s="3" t="s">
        <v>26</v>
      </c>
      <c r="R419" s="3">
        <v>0</v>
      </c>
      <c r="S419" s="4">
        <v>11</v>
      </c>
      <c r="T419" s="4">
        <v>110</v>
      </c>
      <c r="U419" s="4">
        <v>88</v>
      </c>
      <c r="V419" s="4">
        <f>IF(ISERROR(VLOOKUP($S$419,'TAR FIN'!$A$1:$O$113,15,0)),0,VLOOKUP($S$419,'TAR FIN'!$A$1:$O$113,15,0))</f>
        <v>62.23</v>
      </c>
      <c r="W419" s="4">
        <f>IF(ISERROR(VLOOKUP($T$419,'TAR FIN'!$A$1:$O$113,15,0)),0,VLOOKUP($T$419,'TAR FIN'!$A$1:$O$113,15,0))</f>
        <v>51.27</v>
      </c>
      <c r="X419" s="4">
        <f>IF(ISERROR(VLOOKUP($U$419,'TAR FIN'!$A$1:$O$113,15,0)),0,VLOOKUP($U$419,'TAR FIN'!$A$1:$O$113,15,0))</f>
        <v>365.5</v>
      </c>
      <c r="Y419" s="4">
        <f ca="1">('TUSD BE'!$AM$13+'TUSD BF'!$AM$13+'TUSD CVA'!$AM$13)*1</f>
        <v>73.082870326096639</v>
      </c>
      <c r="Z419" s="4">
        <f ca="1">('TUSD BE'!$AM$15+'TUSD BF'!$AM$15+'TUSD CVA'!$AM$15)*1</f>
        <v>65.007409626508434</v>
      </c>
      <c r="AA419" s="4">
        <f>('TE BE'!$AA$10+'TE BF'!$AA$10+'TE CVA'!$AA$10)*1</f>
        <v>361.55013418411539</v>
      </c>
      <c r="AB419" s="4">
        <f>$K$419*$V$419</f>
        <v>161113.47</v>
      </c>
      <c r="AC419" s="4">
        <f>$M$419*$W$419</f>
        <v>4714.4815799999997</v>
      </c>
      <c r="AD419" s="4">
        <f>$O$419*$X$419</f>
        <v>33609.186999999998</v>
      </c>
      <c r="AE419" s="4">
        <f ca="1">$K$419*$Y$419</f>
        <v>189211.5512742642</v>
      </c>
      <c r="AF419" s="4">
        <f ca="1">$M$419*$Z$419</f>
        <v>5977.691344795956</v>
      </c>
      <c r="AG419" s="4">
        <f>$O$419*$AA$419</f>
        <v>33245.981038766142</v>
      </c>
    </row>
    <row r="420" spans="1:33" ht="11.25" customHeight="1" x14ac:dyDescent="0.25">
      <c r="A420" s="3" t="s">
        <v>21</v>
      </c>
      <c r="B420" s="3" t="s">
        <v>41</v>
      </c>
      <c r="C420" s="3" t="s">
        <v>40</v>
      </c>
      <c r="D420" s="3" t="s">
        <v>46</v>
      </c>
      <c r="E420" s="3" t="s">
        <v>25</v>
      </c>
      <c r="F420" s="3" t="s">
        <v>25</v>
      </c>
      <c r="G420" s="3" t="s">
        <v>25</v>
      </c>
      <c r="H420" s="3" t="s">
        <v>34</v>
      </c>
      <c r="I420" s="6">
        <v>44440</v>
      </c>
      <c r="J420" s="4">
        <v>2870</v>
      </c>
      <c r="K420" s="4">
        <v>2870</v>
      </c>
      <c r="L420" s="4">
        <v>99.352999999999994</v>
      </c>
      <c r="M420" s="4">
        <v>99.352999999999994</v>
      </c>
      <c r="N420" s="4">
        <v>99.352999999999994</v>
      </c>
      <c r="O420" s="4">
        <v>99.352999999999994</v>
      </c>
      <c r="P420" s="4">
        <v>0</v>
      </c>
      <c r="Q420" s="3" t="s">
        <v>26</v>
      </c>
      <c r="R420" s="3">
        <v>0</v>
      </c>
      <c r="S420" s="4">
        <v>11</v>
      </c>
      <c r="T420" s="4">
        <v>110</v>
      </c>
      <c r="U420" s="4">
        <v>88</v>
      </c>
      <c r="V420" s="4">
        <f>IF(ISERROR(VLOOKUP($S$420,'TAR FIN'!$A$1:$O$113,15,0)),0,VLOOKUP($S$420,'TAR FIN'!$A$1:$O$113,15,0))</f>
        <v>62.23</v>
      </c>
      <c r="W420" s="4">
        <f>IF(ISERROR(VLOOKUP($T$420,'TAR FIN'!$A$1:$O$113,15,0)),0,VLOOKUP($T$420,'TAR FIN'!$A$1:$O$113,15,0))</f>
        <v>51.27</v>
      </c>
      <c r="X420" s="4">
        <f>IF(ISERROR(VLOOKUP($U$420,'TAR FIN'!$A$1:$O$113,15,0)),0,VLOOKUP($U$420,'TAR FIN'!$A$1:$O$113,15,0))</f>
        <v>365.5</v>
      </c>
      <c r="Y420" s="4">
        <f ca="1">('TUSD BE'!$AM$13+'TUSD BF'!$AM$13+'TUSD CVA'!$AM$13)*1</f>
        <v>73.082870326096639</v>
      </c>
      <c r="Z420" s="4">
        <f ca="1">('TUSD BE'!$AM$15+'TUSD BF'!$AM$15+'TUSD CVA'!$AM$15)*1</f>
        <v>65.007409626508434</v>
      </c>
      <c r="AA420" s="4">
        <f>('TE BE'!$AA$10+'TE BF'!$AA$10+'TE CVA'!$AA$10)*1</f>
        <v>361.55013418411539</v>
      </c>
      <c r="AB420" s="4">
        <f>$K$420*$V$420</f>
        <v>178600.09999999998</v>
      </c>
      <c r="AC420" s="4">
        <f>$M$420*$W$420</f>
        <v>5093.8283099999999</v>
      </c>
      <c r="AD420" s="4">
        <f>$O$420*$X$420</f>
        <v>36313.521499999995</v>
      </c>
      <c r="AE420" s="4">
        <f ca="1">$K$420*$Y$420</f>
        <v>209747.83783589734</v>
      </c>
      <c r="AF420" s="4">
        <f ca="1">$M$420*$Z$420</f>
        <v>6458.6811686224919</v>
      </c>
      <c r="AG420" s="4">
        <f>$O$420*$AA$420</f>
        <v>35921.090481594416</v>
      </c>
    </row>
    <row r="421" spans="1:33" ht="11.25" customHeight="1" x14ac:dyDescent="0.25">
      <c r="A421" s="3" t="s">
        <v>21</v>
      </c>
      <c r="B421" s="3" t="s">
        <v>41</v>
      </c>
      <c r="C421" s="3" t="s">
        <v>40</v>
      </c>
      <c r="D421" s="3" t="s">
        <v>46</v>
      </c>
      <c r="E421" s="3" t="s">
        <v>25</v>
      </c>
      <c r="F421" s="3" t="s">
        <v>25</v>
      </c>
      <c r="G421" s="3" t="s">
        <v>25</v>
      </c>
      <c r="H421" s="3" t="s">
        <v>34</v>
      </c>
      <c r="I421" s="6">
        <v>44470</v>
      </c>
      <c r="J421" s="4">
        <v>2895</v>
      </c>
      <c r="K421" s="4">
        <v>2895</v>
      </c>
      <c r="L421" s="4">
        <v>106.759</v>
      </c>
      <c r="M421" s="4">
        <v>106.759</v>
      </c>
      <c r="N421" s="4">
        <v>106.759</v>
      </c>
      <c r="O421" s="4">
        <v>106.759</v>
      </c>
      <c r="P421" s="4">
        <v>0</v>
      </c>
      <c r="Q421" s="3" t="s">
        <v>26</v>
      </c>
      <c r="R421" s="3">
        <v>0</v>
      </c>
      <c r="S421" s="4">
        <v>11</v>
      </c>
      <c r="T421" s="4">
        <v>110</v>
      </c>
      <c r="U421" s="4">
        <v>88</v>
      </c>
      <c r="V421" s="4">
        <f>IF(ISERROR(VLOOKUP($S$421,'TAR FIN'!$A$1:$O$113,15,0)),0,VLOOKUP($S$421,'TAR FIN'!$A$1:$O$113,15,0))</f>
        <v>62.23</v>
      </c>
      <c r="W421" s="4">
        <f>IF(ISERROR(VLOOKUP($T$421,'TAR FIN'!$A$1:$O$113,15,0)),0,VLOOKUP($T$421,'TAR FIN'!$A$1:$O$113,15,0))</f>
        <v>51.27</v>
      </c>
      <c r="X421" s="4">
        <f>IF(ISERROR(VLOOKUP($U$421,'TAR FIN'!$A$1:$O$113,15,0)),0,VLOOKUP($U$421,'TAR FIN'!$A$1:$O$113,15,0))</f>
        <v>365.5</v>
      </c>
      <c r="Y421" s="4">
        <f ca="1">('TUSD BE'!$AM$13+'TUSD BF'!$AM$13+'TUSD CVA'!$AM$13)*1</f>
        <v>73.082870326096639</v>
      </c>
      <c r="Z421" s="4">
        <f ca="1">('TUSD BE'!$AM$15+'TUSD BF'!$AM$15+'TUSD CVA'!$AM$15)*1</f>
        <v>65.007409626508434</v>
      </c>
      <c r="AA421" s="4">
        <f>('TE BE'!$AA$10+'TE BF'!$AA$10+'TE CVA'!$AA$10)*1</f>
        <v>361.55013418411539</v>
      </c>
      <c r="AB421" s="4">
        <f>$K$421*$V$421</f>
        <v>180155.84999999998</v>
      </c>
      <c r="AC421" s="4">
        <f>$M$421*$W$421</f>
        <v>5473.5339300000005</v>
      </c>
      <c r="AD421" s="4">
        <f>$O$421*$X$421</f>
        <v>39020.414499999999</v>
      </c>
      <c r="AE421" s="4">
        <f ca="1">$K$421*$Y$421</f>
        <v>211574.90959404976</v>
      </c>
      <c r="AF421" s="4">
        <f ca="1">$M$421*$Z$421</f>
        <v>6940.1260443164138</v>
      </c>
      <c r="AG421" s="4">
        <f>$O$421*$AA$421</f>
        <v>38598.730775361975</v>
      </c>
    </row>
    <row r="422" spans="1:33" ht="11.25" customHeight="1" x14ac:dyDescent="0.25">
      <c r="A422" s="3" t="s">
        <v>21</v>
      </c>
      <c r="B422" s="3" t="s">
        <v>41</v>
      </c>
      <c r="C422" s="3" t="s">
        <v>40</v>
      </c>
      <c r="D422" s="3" t="s">
        <v>46</v>
      </c>
      <c r="E422" s="3" t="s">
        <v>25</v>
      </c>
      <c r="F422" s="3" t="s">
        <v>25</v>
      </c>
      <c r="G422" s="3" t="s">
        <v>25</v>
      </c>
      <c r="H422" s="3" t="s">
        <v>34</v>
      </c>
      <c r="I422" s="6">
        <v>44501</v>
      </c>
      <c r="J422" s="4">
        <v>2968</v>
      </c>
      <c r="K422" s="4">
        <v>2968</v>
      </c>
      <c r="L422" s="4">
        <v>112.881</v>
      </c>
      <c r="M422" s="4">
        <v>112.881</v>
      </c>
      <c r="N422" s="4">
        <v>112.881</v>
      </c>
      <c r="O422" s="4">
        <v>112.881</v>
      </c>
      <c r="P422" s="4">
        <v>0</v>
      </c>
      <c r="Q422" s="3" t="s">
        <v>26</v>
      </c>
      <c r="R422" s="3">
        <v>0</v>
      </c>
      <c r="S422" s="4">
        <v>11</v>
      </c>
      <c r="T422" s="4">
        <v>110</v>
      </c>
      <c r="U422" s="4">
        <v>88</v>
      </c>
      <c r="V422" s="4">
        <f>IF(ISERROR(VLOOKUP($S$422,'TAR FIN'!$A$1:$O$113,15,0)),0,VLOOKUP($S$422,'TAR FIN'!$A$1:$O$113,15,0))</f>
        <v>62.23</v>
      </c>
      <c r="W422" s="4">
        <f>IF(ISERROR(VLOOKUP($T$422,'TAR FIN'!$A$1:$O$113,15,0)),0,VLOOKUP($T$422,'TAR FIN'!$A$1:$O$113,15,0))</f>
        <v>51.27</v>
      </c>
      <c r="X422" s="4">
        <f>IF(ISERROR(VLOOKUP($U$422,'TAR FIN'!$A$1:$O$113,15,0)),0,VLOOKUP($U$422,'TAR FIN'!$A$1:$O$113,15,0))</f>
        <v>365.5</v>
      </c>
      <c r="Y422" s="4">
        <f ca="1">('TUSD BE'!$AM$13+'TUSD BF'!$AM$13+'TUSD CVA'!$AM$13)*1</f>
        <v>73.082870326096639</v>
      </c>
      <c r="Z422" s="4">
        <f ca="1">('TUSD BE'!$AM$15+'TUSD BF'!$AM$15+'TUSD CVA'!$AM$15)*1</f>
        <v>65.007409626508434</v>
      </c>
      <c r="AA422" s="4">
        <f>('TE BE'!$AA$10+'TE BF'!$AA$10+'TE CVA'!$AA$10)*1</f>
        <v>361.55013418411539</v>
      </c>
      <c r="AB422" s="4">
        <f>$K$422*$V$422</f>
        <v>184698.63999999998</v>
      </c>
      <c r="AC422" s="4">
        <f>$M$422*$W$422</f>
        <v>5787.4088700000002</v>
      </c>
      <c r="AD422" s="4">
        <f>$O$422*$X$422</f>
        <v>41258.005499999999</v>
      </c>
      <c r="AE422" s="4">
        <f ca="1">$K$422*$Y$422</f>
        <v>216909.95912785482</v>
      </c>
      <c r="AF422" s="4">
        <f ca="1">$M$422*$Z$422</f>
        <v>7338.1014060498983</v>
      </c>
      <c r="AG422" s="4">
        <f>$O$422*$AA$422</f>
        <v>40812.14069683713</v>
      </c>
    </row>
    <row r="423" spans="1:33" ht="11.25" customHeight="1" x14ac:dyDescent="0.25">
      <c r="A423" s="3" t="s">
        <v>21</v>
      </c>
      <c r="B423" s="3" t="s">
        <v>41</v>
      </c>
      <c r="C423" s="3" t="s">
        <v>40</v>
      </c>
      <c r="D423" s="3" t="s">
        <v>46</v>
      </c>
      <c r="E423" s="3" t="s">
        <v>25</v>
      </c>
      <c r="F423" s="3" t="s">
        <v>25</v>
      </c>
      <c r="G423" s="3" t="s">
        <v>25</v>
      </c>
      <c r="H423" s="3" t="s">
        <v>34</v>
      </c>
      <c r="I423" s="6">
        <v>44531</v>
      </c>
      <c r="J423" s="4">
        <v>2949</v>
      </c>
      <c r="K423" s="4">
        <v>2949</v>
      </c>
      <c r="L423" s="4">
        <v>125.82899999999999</v>
      </c>
      <c r="M423" s="4">
        <v>125.82899999999999</v>
      </c>
      <c r="N423" s="4">
        <v>125.82899999999999</v>
      </c>
      <c r="O423" s="4">
        <v>125.82899999999999</v>
      </c>
      <c r="P423" s="4">
        <v>0</v>
      </c>
      <c r="Q423" s="3" t="s">
        <v>26</v>
      </c>
      <c r="R423" s="3">
        <v>0</v>
      </c>
      <c r="S423" s="4">
        <v>11</v>
      </c>
      <c r="T423" s="4">
        <v>110</v>
      </c>
      <c r="U423" s="4">
        <v>88</v>
      </c>
      <c r="V423" s="4">
        <f>IF(ISERROR(VLOOKUP($S$423,'TAR FIN'!$A$1:$O$113,15,0)),0,VLOOKUP($S$423,'TAR FIN'!$A$1:$O$113,15,0))</f>
        <v>62.23</v>
      </c>
      <c r="W423" s="4">
        <f>IF(ISERROR(VLOOKUP($T$423,'TAR FIN'!$A$1:$O$113,15,0)),0,VLOOKUP($T$423,'TAR FIN'!$A$1:$O$113,15,0))</f>
        <v>51.27</v>
      </c>
      <c r="X423" s="4">
        <f>IF(ISERROR(VLOOKUP($U$423,'TAR FIN'!$A$1:$O$113,15,0)),0,VLOOKUP($U$423,'TAR FIN'!$A$1:$O$113,15,0))</f>
        <v>365.5</v>
      </c>
      <c r="Y423" s="4">
        <f ca="1">('TUSD BE'!$AM$13+'TUSD BF'!$AM$13+'TUSD CVA'!$AM$13)*1</f>
        <v>73.082870326096639</v>
      </c>
      <c r="Z423" s="4">
        <f ca="1">('TUSD BE'!$AM$15+'TUSD BF'!$AM$15+'TUSD CVA'!$AM$15)*1</f>
        <v>65.007409626508434</v>
      </c>
      <c r="AA423" s="4">
        <f>('TE BE'!$AA$10+'TE BF'!$AA$10+'TE CVA'!$AA$10)*1</f>
        <v>361.55013418411539</v>
      </c>
      <c r="AB423" s="4">
        <f>$K$423*$V$423</f>
        <v>183516.27</v>
      </c>
      <c r="AC423" s="4">
        <f>$M$423*$W$423</f>
        <v>6451.2528300000004</v>
      </c>
      <c r="AD423" s="4">
        <f>$O$423*$X$423</f>
        <v>45990.499499999998</v>
      </c>
      <c r="AE423" s="4">
        <f ca="1">$K$423*$Y$423</f>
        <v>215521.38459165898</v>
      </c>
      <c r="AF423" s="4">
        <f ca="1">$M$423*$Z$423</f>
        <v>8179.8173458939291</v>
      </c>
      <c r="AG423" s="4">
        <f>$O$423*$AA$423</f>
        <v>45493.491834253051</v>
      </c>
    </row>
    <row r="424" spans="1:33" ht="11.25" customHeight="1" x14ac:dyDescent="0.25">
      <c r="A424" s="3" t="s">
        <v>21</v>
      </c>
      <c r="B424" s="3" t="s">
        <v>41</v>
      </c>
      <c r="C424" s="3" t="s">
        <v>40</v>
      </c>
      <c r="D424" s="3" t="s">
        <v>46</v>
      </c>
      <c r="E424" s="3" t="s">
        <v>25</v>
      </c>
      <c r="F424" s="3" t="s">
        <v>25</v>
      </c>
      <c r="G424" s="3" t="s">
        <v>25</v>
      </c>
      <c r="H424" s="3" t="s">
        <v>34</v>
      </c>
      <c r="I424" s="6">
        <v>44562</v>
      </c>
      <c r="J424" s="4">
        <v>5444</v>
      </c>
      <c r="K424" s="4">
        <v>5444</v>
      </c>
      <c r="L424" s="4">
        <v>189.29400000000001</v>
      </c>
      <c r="M424" s="4">
        <v>189.29400000000001</v>
      </c>
      <c r="N424" s="4">
        <v>189.29400000000001</v>
      </c>
      <c r="O424" s="4">
        <v>189.29400000000001</v>
      </c>
      <c r="P424" s="4">
        <v>0</v>
      </c>
      <c r="Q424" s="3" t="s">
        <v>26</v>
      </c>
      <c r="R424" s="3">
        <v>0</v>
      </c>
      <c r="S424" s="4">
        <v>11</v>
      </c>
      <c r="T424" s="4">
        <v>110</v>
      </c>
      <c r="U424" s="4">
        <v>88</v>
      </c>
      <c r="V424" s="4">
        <f>IF(ISERROR(VLOOKUP($S$424,'TAR FIN'!$A$1:$O$113,15,0)),0,VLOOKUP($S$424,'TAR FIN'!$A$1:$O$113,15,0))</f>
        <v>62.23</v>
      </c>
      <c r="W424" s="4">
        <f>IF(ISERROR(VLOOKUP($T$424,'TAR FIN'!$A$1:$O$113,15,0)),0,VLOOKUP($T$424,'TAR FIN'!$A$1:$O$113,15,0))</f>
        <v>51.27</v>
      </c>
      <c r="X424" s="4">
        <f>IF(ISERROR(VLOOKUP($U$424,'TAR FIN'!$A$1:$O$113,15,0)),0,VLOOKUP($U$424,'TAR FIN'!$A$1:$O$113,15,0))</f>
        <v>365.5</v>
      </c>
      <c r="Y424" s="4">
        <f ca="1">('TUSD BE'!$AM$13+'TUSD BF'!$AM$13+'TUSD CVA'!$AM$13)*1</f>
        <v>73.082870326096639</v>
      </c>
      <c r="Z424" s="4">
        <f ca="1">('TUSD BE'!$AM$15+'TUSD BF'!$AM$15+'TUSD CVA'!$AM$15)*1</f>
        <v>65.007409626508434</v>
      </c>
      <c r="AA424" s="4">
        <f>('TE BE'!$AA$10+'TE BF'!$AA$10+'TE CVA'!$AA$10)*1</f>
        <v>361.55013418411539</v>
      </c>
      <c r="AB424" s="4">
        <f>$K$424*$V$424</f>
        <v>338780.12</v>
      </c>
      <c r="AC424" s="4">
        <f>$M$424*$W$424</f>
        <v>9705.1033800000005</v>
      </c>
      <c r="AD424" s="4">
        <f>$O$424*$X$424</f>
        <v>69186.957000000009</v>
      </c>
      <c r="AE424" s="4">
        <f ca="1">$K$424*$Y$424</f>
        <v>397863.1460552701</v>
      </c>
      <c r="AF424" s="4">
        <f ca="1">$M$424*$Z$424</f>
        <v>12305.512597840288</v>
      </c>
      <c r="AG424" s="4">
        <f>$O$424*$AA$424</f>
        <v>68439.271100247948</v>
      </c>
    </row>
    <row r="425" spans="1:33" ht="11.25" customHeight="1" x14ac:dyDescent="0.25">
      <c r="A425" s="3" t="s">
        <v>21</v>
      </c>
      <c r="B425" s="3" t="s">
        <v>41</v>
      </c>
      <c r="C425" s="3" t="s">
        <v>40</v>
      </c>
      <c r="D425" s="3" t="s">
        <v>46</v>
      </c>
      <c r="E425" s="3" t="s">
        <v>25</v>
      </c>
      <c r="F425" s="3" t="s">
        <v>25</v>
      </c>
      <c r="G425" s="3" t="s">
        <v>25</v>
      </c>
      <c r="H425" s="3" t="s">
        <v>34</v>
      </c>
      <c r="I425" s="6">
        <v>44593</v>
      </c>
      <c r="J425" s="4">
        <v>5147</v>
      </c>
      <c r="K425" s="4">
        <v>5147</v>
      </c>
      <c r="L425" s="4">
        <v>189.32900000000001</v>
      </c>
      <c r="M425" s="4">
        <v>189.32900000000001</v>
      </c>
      <c r="N425" s="4">
        <v>189.32900000000001</v>
      </c>
      <c r="O425" s="4">
        <v>189.32900000000001</v>
      </c>
      <c r="P425" s="4">
        <v>0</v>
      </c>
      <c r="Q425" s="3" t="s">
        <v>26</v>
      </c>
      <c r="R425" s="3">
        <v>0</v>
      </c>
      <c r="S425" s="4">
        <v>11</v>
      </c>
      <c r="T425" s="4">
        <v>110</v>
      </c>
      <c r="U425" s="4">
        <v>88</v>
      </c>
      <c r="V425" s="4">
        <f>IF(ISERROR(VLOOKUP($S$425,'TAR FIN'!$A$1:$O$113,15,0)),0,VLOOKUP($S$425,'TAR FIN'!$A$1:$O$113,15,0))</f>
        <v>62.23</v>
      </c>
      <c r="W425" s="4">
        <f>IF(ISERROR(VLOOKUP($T$425,'TAR FIN'!$A$1:$O$113,15,0)),0,VLOOKUP($T$425,'TAR FIN'!$A$1:$O$113,15,0))</f>
        <v>51.27</v>
      </c>
      <c r="X425" s="4">
        <f>IF(ISERROR(VLOOKUP($U$425,'TAR FIN'!$A$1:$O$113,15,0)),0,VLOOKUP($U$425,'TAR FIN'!$A$1:$O$113,15,0))</f>
        <v>365.5</v>
      </c>
      <c r="Y425" s="4">
        <f ca="1">('TUSD BE'!$AM$13+'TUSD BF'!$AM$13+'TUSD CVA'!$AM$13)*1</f>
        <v>73.082870326096639</v>
      </c>
      <c r="Z425" s="4">
        <f ca="1">('TUSD BE'!$AM$15+'TUSD BF'!$AM$15+'TUSD CVA'!$AM$15)*1</f>
        <v>65.007409626508434</v>
      </c>
      <c r="AA425" s="4">
        <f>('TE BE'!$AA$10+'TE BF'!$AA$10+'TE CVA'!$AA$10)*1</f>
        <v>361.55013418411539</v>
      </c>
      <c r="AB425" s="4">
        <f>$K$425*$V$425</f>
        <v>320297.81</v>
      </c>
      <c r="AC425" s="4">
        <f>$M$425*$W$425</f>
        <v>9706.8978300000017</v>
      </c>
      <c r="AD425" s="4">
        <f>$O$425*$X$425</f>
        <v>69199.749500000005</v>
      </c>
      <c r="AE425" s="4">
        <f ca="1">$K$425*$Y$425</f>
        <v>376157.5335684194</v>
      </c>
      <c r="AF425" s="4">
        <f ca="1">$M$425*$Z$425</f>
        <v>12307.787857177216</v>
      </c>
      <c r="AG425" s="4">
        <f>$O$425*$AA$425</f>
        <v>68451.925354944382</v>
      </c>
    </row>
    <row r="426" spans="1:33" ht="11.25" customHeight="1" x14ac:dyDescent="0.25">
      <c r="A426" s="3" t="s">
        <v>27</v>
      </c>
      <c r="B426" s="3" t="s">
        <v>41</v>
      </c>
      <c r="C426" s="3" t="s">
        <v>40</v>
      </c>
      <c r="D426" s="3" t="s">
        <v>46</v>
      </c>
      <c r="E426" s="3" t="s">
        <v>25</v>
      </c>
      <c r="F426" s="3" t="s">
        <v>25</v>
      </c>
      <c r="G426" s="3" t="s">
        <v>25</v>
      </c>
      <c r="H426" s="3" t="s">
        <v>34</v>
      </c>
      <c r="I426" s="6">
        <v>44593</v>
      </c>
      <c r="J426" s="4">
        <v>-253</v>
      </c>
      <c r="K426" s="4">
        <v>-253</v>
      </c>
      <c r="L426" s="4">
        <v>-11.163</v>
      </c>
      <c r="M426" s="4">
        <v>-11.163</v>
      </c>
      <c r="N426" s="4">
        <v>-11.163</v>
      </c>
      <c r="O426" s="4">
        <v>-11.163</v>
      </c>
      <c r="P426" s="4">
        <v>0</v>
      </c>
      <c r="Q426" s="3" t="s">
        <v>26</v>
      </c>
      <c r="R426" s="3">
        <v>0</v>
      </c>
      <c r="S426" s="4">
        <v>11</v>
      </c>
      <c r="T426" s="4">
        <v>110</v>
      </c>
      <c r="U426" s="4">
        <v>88</v>
      </c>
      <c r="V426" s="4">
        <f>IF(ISERROR(VLOOKUP($S$426,'TAR FIN'!$A$1:$O$113,15,0)),0,VLOOKUP($S$426,'TAR FIN'!$A$1:$O$113,15,0))</f>
        <v>62.23</v>
      </c>
      <c r="W426" s="4">
        <f>IF(ISERROR(VLOOKUP($T$426,'TAR FIN'!$A$1:$O$113,15,0)),0,VLOOKUP($T$426,'TAR FIN'!$A$1:$O$113,15,0))</f>
        <v>51.27</v>
      </c>
      <c r="X426" s="4">
        <f>IF(ISERROR(VLOOKUP($U$426,'TAR FIN'!$A$1:$O$113,15,0)),0,VLOOKUP($U$426,'TAR FIN'!$A$1:$O$113,15,0))</f>
        <v>365.5</v>
      </c>
      <c r="Y426" s="4">
        <f ca="1">('TUSD BE'!$AM$13+'TUSD BF'!$AM$13+'TUSD CVA'!$AM$13)*1</f>
        <v>73.082870326096639</v>
      </c>
      <c r="Z426" s="4">
        <f ca="1">('TUSD BE'!$AM$15+'TUSD BF'!$AM$15+'TUSD CVA'!$AM$15)*1</f>
        <v>65.007409626508434</v>
      </c>
      <c r="AA426" s="4">
        <f>('TE BE'!$AA$10+'TE BF'!$AA$10+'TE CVA'!$AA$10)*1</f>
        <v>361.55013418411539</v>
      </c>
      <c r="AB426" s="4">
        <f>$K$426*$V$426</f>
        <v>-15744.189999999999</v>
      </c>
      <c r="AC426" s="4">
        <f>$M$426*$W$426</f>
        <v>-572.32701000000009</v>
      </c>
      <c r="AD426" s="4">
        <f>$O$426*$X$426</f>
        <v>-4080.0765000000001</v>
      </c>
      <c r="AE426" s="4">
        <f ca="1">$K$426*$Y$426</f>
        <v>-18489.966192502448</v>
      </c>
      <c r="AF426" s="4">
        <f ca="1">$M$426*$Z$426</f>
        <v>-725.67771366071361</v>
      </c>
      <c r="AG426" s="4">
        <f>$O$426*$AA$426</f>
        <v>-4035.9841478972803</v>
      </c>
    </row>
    <row r="427" spans="1:33" ht="11.25" customHeight="1" x14ac:dyDescent="0.25">
      <c r="A427" s="3" t="s">
        <v>56</v>
      </c>
      <c r="B427" s="3" t="s">
        <v>41</v>
      </c>
      <c r="C427" s="3" t="s">
        <v>40</v>
      </c>
      <c r="D427" s="3" t="s">
        <v>46</v>
      </c>
      <c r="E427" s="3" t="s">
        <v>25</v>
      </c>
      <c r="F427" s="3" t="s">
        <v>25</v>
      </c>
      <c r="G427" s="3" t="s">
        <v>25</v>
      </c>
      <c r="H427" s="3" t="s">
        <v>34</v>
      </c>
      <c r="I427" s="6">
        <v>44621</v>
      </c>
      <c r="J427" s="4">
        <v>5147</v>
      </c>
      <c r="K427" s="4">
        <v>5147</v>
      </c>
      <c r="L427" s="4">
        <v>189.32900000000001</v>
      </c>
      <c r="M427" s="4">
        <v>189.32900000000001</v>
      </c>
      <c r="N427" s="4">
        <v>189.32900000000001</v>
      </c>
      <c r="O427" s="4">
        <v>189.32900000000001</v>
      </c>
      <c r="P427" s="4">
        <v>0</v>
      </c>
      <c r="Q427" s="3" t="s">
        <v>26</v>
      </c>
      <c r="R427" s="3">
        <v>0</v>
      </c>
      <c r="S427" s="4">
        <v>11</v>
      </c>
      <c r="T427" s="4">
        <v>110</v>
      </c>
      <c r="U427" s="4">
        <v>88</v>
      </c>
      <c r="V427" s="4">
        <f>IF(ISERROR(VLOOKUP($S$427,'TAR FIN'!$A$1:$O$113,15,0)),0,VLOOKUP($S$427,'TAR FIN'!$A$1:$O$113,15,0))</f>
        <v>62.23</v>
      </c>
      <c r="W427" s="4">
        <f>IF(ISERROR(VLOOKUP($T$427,'TAR FIN'!$A$1:$O$113,15,0)),0,VLOOKUP($T$427,'TAR FIN'!$A$1:$O$113,15,0))</f>
        <v>51.27</v>
      </c>
      <c r="X427" s="4">
        <f>IF(ISERROR(VLOOKUP($U$427,'TAR FIN'!$A$1:$O$113,15,0)),0,VLOOKUP($U$427,'TAR FIN'!$A$1:$O$113,15,0))</f>
        <v>365.5</v>
      </c>
      <c r="Y427" s="4">
        <f ca="1">('TUSD BE'!$AM$13+'TUSD BF'!$AM$13+'TUSD CVA'!$AM$13)*1</f>
        <v>73.082870326096639</v>
      </c>
      <c r="Z427" s="4">
        <f ca="1">('TUSD BE'!$AM$15+'TUSD BF'!$AM$15+'TUSD CVA'!$AM$15)*1</f>
        <v>65.007409626508434</v>
      </c>
      <c r="AA427" s="4">
        <f>('TE BE'!$AA$10+'TE BF'!$AA$10+'TE CVA'!$AA$10)*1</f>
        <v>361.55013418411539</v>
      </c>
      <c r="AB427" s="4">
        <f>$K$427*$V$427</f>
        <v>320297.81</v>
      </c>
      <c r="AC427" s="4">
        <f>$M$427*$W$427</f>
        <v>9706.8978300000017</v>
      </c>
      <c r="AD427" s="4">
        <f>$O$427*$X$427</f>
        <v>69199.749500000005</v>
      </c>
      <c r="AE427" s="4">
        <f ca="1">$K$427*$Y$427</f>
        <v>376157.5335684194</v>
      </c>
      <c r="AF427" s="4">
        <f ca="1">$M$427*$Z$427</f>
        <v>12307.787857177216</v>
      </c>
      <c r="AG427" s="4">
        <f>$O$427*$AA$427</f>
        <v>68451.925354944382</v>
      </c>
    </row>
    <row r="428" spans="1:33" ht="11.25" customHeight="1" x14ac:dyDescent="0.25">
      <c r="A428" s="3" t="s">
        <v>56</v>
      </c>
      <c r="B428" s="3" t="s">
        <v>41</v>
      </c>
      <c r="C428" s="3" t="s">
        <v>40</v>
      </c>
      <c r="D428" s="3" t="s">
        <v>46</v>
      </c>
      <c r="E428" s="3" t="s">
        <v>25</v>
      </c>
      <c r="F428" s="3" t="s">
        <v>25</v>
      </c>
      <c r="G428" s="3" t="s">
        <v>25</v>
      </c>
      <c r="H428" s="3" t="s">
        <v>34</v>
      </c>
      <c r="I428" s="6">
        <v>44621</v>
      </c>
      <c r="J428" s="4">
        <v>-253</v>
      </c>
      <c r="K428" s="4">
        <v>-253</v>
      </c>
      <c r="L428" s="4">
        <v>-11.163</v>
      </c>
      <c r="M428" s="4">
        <v>-11.163</v>
      </c>
      <c r="N428" s="4">
        <v>-11.163</v>
      </c>
      <c r="O428" s="4">
        <v>-11.163</v>
      </c>
      <c r="P428" s="4">
        <v>0</v>
      </c>
      <c r="Q428" s="3" t="s">
        <v>26</v>
      </c>
      <c r="R428" s="3">
        <v>0</v>
      </c>
      <c r="S428" s="4">
        <v>11</v>
      </c>
      <c r="T428" s="4">
        <v>110</v>
      </c>
      <c r="U428" s="4">
        <v>88</v>
      </c>
      <c r="V428" s="4">
        <f>IF(ISERROR(VLOOKUP($S$428,'TAR FIN'!$A$1:$O$113,15,0)),0,VLOOKUP($S$428,'TAR FIN'!$A$1:$O$113,15,0))</f>
        <v>62.23</v>
      </c>
      <c r="W428" s="4">
        <f>IF(ISERROR(VLOOKUP($T$428,'TAR FIN'!$A$1:$O$113,15,0)),0,VLOOKUP($T$428,'TAR FIN'!$A$1:$O$113,15,0))</f>
        <v>51.27</v>
      </c>
      <c r="X428" s="4">
        <f>IF(ISERROR(VLOOKUP($U$428,'TAR FIN'!$A$1:$O$113,15,0)),0,VLOOKUP($U$428,'TAR FIN'!$A$1:$O$113,15,0))</f>
        <v>365.5</v>
      </c>
      <c r="Y428" s="4">
        <f ca="1">('TUSD BE'!$AM$13+'TUSD BF'!$AM$13+'TUSD CVA'!$AM$13)*1</f>
        <v>73.082870326096639</v>
      </c>
      <c r="Z428" s="4">
        <f ca="1">('TUSD BE'!$AM$15+'TUSD BF'!$AM$15+'TUSD CVA'!$AM$15)*1</f>
        <v>65.007409626508434</v>
      </c>
      <c r="AA428" s="4">
        <f>('TE BE'!$AA$10+'TE BF'!$AA$10+'TE CVA'!$AA$10)*1</f>
        <v>361.55013418411539</v>
      </c>
      <c r="AB428" s="4">
        <f>$K$428*$V$428</f>
        <v>-15744.189999999999</v>
      </c>
      <c r="AC428" s="4">
        <f>$M$428*$W$428</f>
        <v>-572.32701000000009</v>
      </c>
      <c r="AD428" s="4">
        <f>$O$428*$X$428</f>
        <v>-4080.0765000000001</v>
      </c>
      <c r="AE428" s="4">
        <f ca="1">$K$428*$Y$428</f>
        <v>-18489.966192502448</v>
      </c>
      <c r="AF428" s="4">
        <f ca="1">$M$428*$Z$428</f>
        <v>-725.67771366071361</v>
      </c>
      <c r="AG428" s="4">
        <f>$O$428*$AA$428</f>
        <v>-4035.9841478972803</v>
      </c>
    </row>
    <row r="429" spans="1:33" ht="11.25" customHeight="1" x14ac:dyDescent="0.25">
      <c r="A429" s="3" t="s">
        <v>21</v>
      </c>
      <c r="B429" s="3" t="s">
        <v>41</v>
      </c>
      <c r="C429" s="3" t="s">
        <v>40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44287</v>
      </c>
      <c r="J429" s="4">
        <v>910</v>
      </c>
      <c r="K429" s="56">
        <v>910</v>
      </c>
      <c r="L429" s="4">
        <v>325.13099999999997</v>
      </c>
      <c r="M429" s="56">
        <v>325.13099999999997</v>
      </c>
      <c r="N429" s="4">
        <v>325.13099999999997</v>
      </c>
      <c r="O429" s="56">
        <v>325.13099999999997</v>
      </c>
      <c r="P429" s="4">
        <v>0</v>
      </c>
      <c r="Q429" s="3" t="s">
        <v>26</v>
      </c>
      <c r="R429" s="3">
        <v>0</v>
      </c>
      <c r="S429" s="4">
        <v>12</v>
      </c>
      <c r="T429" s="4">
        <v>110</v>
      </c>
      <c r="U429" s="4">
        <v>89</v>
      </c>
      <c r="V429" s="56">
        <f>IF(ISERROR(VLOOKUP($S$429,'TAR FIN'!$A$1:$O$113,15,0)),0,VLOOKUP($S$429,'TAR FIN'!$A$1:$O$113,15,0))*(1-0.04)</f>
        <v>23.337599999999998</v>
      </c>
      <c r="W429" s="56">
        <f>IF(ISERROR(VLOOKUP($T$429,'TAR FIN'!$A$1:$O$113,15,0)),0,VLOOKUP($T$429,'TAR FIN'!$A$1:$O$113,15,0))*(1-0.04)</f>
        <v>49.219200000000001</v>
      </c>
      <c r="X429" s="56">
        <f>IF(ISERROR(VLOOKUP($U$429,'TAR FIN'!$A$1:$O$113,15,0)),0,VLOOKUP($U$429,'TAR FIN'!$A$1:$O$113,15,0))*(1-0.04)</f>
        <v>213.41759999999999</v>
      </c>
      <c r="Y429" s="56">
        <f ca="1">('TUSD BE'!$AM$14+'TUSD BF'!$AM$14+'TUSD CVA'!$AM$14)*1*(1-0.02)</f>
        <v>26.066113153707715</v>
      </c>
      <c r="Z429" s="56">
        <f ca="1">('TUSD BE'!$AM$15+'TUSD BF'!$AM$15+'TUSD CVA'!$AM$15)*1*(1-0.02)</f>
        <v>63.70726143397826</v>
      </c>
      <c r="AA429" s="56">
        <f>('TE BE'!$AA$11+'TE BF'!$AA$11+'TE CVA'!$AA$11)*1*(1-0.02)</f>
        <v>218.68270575803808</v>
      </c>
      <c r="AB429" s="4">
        <f>$K$429*$V$429</f>
        <v>21237.215999999997</v>
      </c>
      <c r="AC429" s="4">
        <f>$M$429*$W$429</f>
        <v>16002.6877152</v>
      </c>
      <c r="AD429" s="4">
        <f>$O$429*$X$429</f>
        <v>69388.677705599985</v>
      </c>
      <c r="AE429" s="4">
        <f ca="1">$K$429*$Y$429</f>
        <v>23720.162969874022</v>
      </c>
      <c r="AF429" s="4">
        <f ca="1">$M$429*$Z$429</f>
        <v>20713.205617290783</v>
      </c>
      <c r="AG429" s="4">
        <f>$O$429*$AA$429</f>
        <v>71100.526805816669</v>
      </c>
    </row>
    <row r="430" spans="1:33" ht="11.25" customHeight="1" x14ac:dyDescent="0.25">
      <c r="A430" s="3" t="s">
        <v>21</v>
      </c>
      <c r="B430" s="3" t="s">
        <v>41</v>
      </c>
      <c r="C430" s="3" t="s">
        <v>40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44317</v>
      </c>
      <c r="J430" s="4">
        <v>866</v>
      </c>
      <c r="K430" s="56">
        <v>866</v>
      </c>
      <c r="L430" s="4">
        <v>329.81200000000001</v>
      </c>
      <c r="M430" s="56">
        <v>329.81200000000001</v>
      </c>
      <c r="N430" s="4">
        <v>329.81200000000001</v>
      </c>
      <c r="O430" s="56">
        <v>329.81200000000001</v>
      </c>
      <c r="P430" s="4">
        <v>0</v>
      </c>
      <c r="Q430" s="3" t="s">
        <v>26</v>
      </c>
      <c r="R430" s="3">
        <v>0</v>
      </c>
      <c r="S430" s="4">
        <v>12</v>
      </c>
      <c r="T430" s="4">
        <v>110</v>
      </c>
      <c r="U430" s="4">
        <v>89</v>
      </c>
      <c r="V430" s="56">
        <f>IF(ISERROR(VLOOKUP($S$430,'TAR FIN'!$A$1:$O$113,15,0)),0,VLOOKUP($S$430,'TAR FIN'!$A$1:$O$113,15,0))*(1-0.04)</f>
        <v>23.337599999999998</v>
      </c>
      <c r="W430" s="56">
        <f>IF(ISERROR(VLOOKUP($T$430,'TAR FIN'!$A$1:$O$113,15,0)),0,VLOOKUP($T$430,'TAR FIN'!$A$1:$O$113,15,0))*(1-0.04)</f>
        <v>49.219200000000001</v>
      </c>
      <c r="X430" s="56">
        <f>IF(ISERROR(VLOOKUP($U$430,'TAR FIN'!$A$1:$O$113,15,0)),0,VLOOKUP($U$430,'TAR FIN'!$A$1:$O$113,15,0))*(1-0.04)</f>
        <v>213.41759999999999</v>
      </c>
      <c r="Y430" s="56">
        <f ca="1">('TUSD BE'!$AM$14+'TUSD BF'!$AM$14+'TUSD CVA'!$AM$14)*1*(1-0.02)</f>
        <v>26.066113153707715</v>
      </c>
      <c r="Z430" s="56">
        <f ca="1">('TUSD BE'!$AM$15+'TUSD BF'!$AM$15+'TUSD CVA'!$AM$15)*1*(1-0.02)</f>
        <v>63.70726143397826</v>
      </c>
      <c r="AA430" s="56">
        <f>('TE BE'!$AA$11+'TE BF'!$AA$11+'TE CVA'!$AA$11)*1*(1-0.02)</f>
        <v>218.68270575803808</v>
      </c>
      <c r="AB430" s="4">
        <f>$K$430*$V$430</f>
        <v>20210.3616</v>
      </c>
      <c r="AC430" s="4">
        <f>$M$430*$W$430</f>
        <v>16233.082790400002</v>
      </c>
      <c r="AD430" s="4">
        <f>$O$430*$X$430</f>
        <v>70387.685491199998</v>
      </c>
      <c r="AE430" s="4">
        <f ca="1">$K$430*$Y$430</f>
        <v>22573.25399111088</v>
      </c>
      <c r="AF430" s="4">
        <f ca="1">$M$430*$Z$430</f>
        <v>21011.419308063239</v>
      </c>
      <c r="AG430" s="4">
        <f>$O$430*$AA$430</f>
        <v>72124.180551470054</v>
      </c>
    </row>
    <row r="431" spans="1:33" ht="11.25" customHeight="1" x14ac:dyDescent="0.25">
      <c r="A431" s="3" t="s">
        <v>21</v>
      </c>
      <c r="B431" s="3" t="s">
        <v>41</v>
      </c>
      <c r="C431" s="3" t="s">
        <v>40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44348</v>
      </c>
      <c r="J431" s="4">
        <v>841</v>
      </c>
      <c r="K431" s="56">
        <v>841</v>
      </c>
      <c r="L431" s="4">
        <v>321.48399999999998</v>
      </c>
      <c r="M431" s="56">
        <v>321.48399999999998</v>
      </c>
      <c r="N431" s="4">
        <v>321.48399999999998</v>
      </c>
      <c r="O431" s="56">
        <v>321.48399999999998</v>
      </c>
      <c r="P431" s="4">
        <v>0</v>
      </c>
      <c r="Q431" s="3" t="s">
        <v>26</v>
      </c>
      <c r="R431" s="3">
        <v>0</v>
      </c>
      <c r="S431" s="4">
        <v>12</v>
      </c>
      <c r="T431" s="4">
        <v>110</v>
      </c>
      <c r="U431" s="4">
        <v>89</v>
      </c>
      <c r="V431" s="56">
        <f>IF(ISERROR(VLOOKUP($S$431,'TAR FIN'!$A$1:$O$113,15,0)),0,VLOOKUP($S$431,'TAR FIN'!$A$1:$O$113,15,0))*(1-0.04)</f>
        <v>23.337599999999998</v>
      </c>
      <c r="W431" s="56">
        <f>IF(ISERROR(VLOOKUP($T$431,'TAR FIN'!$A$1:$O$113,15,0)),0,VLOOKUP($T$431,'TAR FIN'!$A$1:$O$113,15,0))*(1-0.04)</f>
        <v>49.219200000000001</v>
      </c>
      <c r="X431" s="56">
        <f>IF(ISERROR(VLOOKUP($U$431,'TAR FIN'!$A$1:$O$113,15,0)),0,VLOOKUP($U$431,'TAR FIN'!$A$1:$O$113,15,0))*(1-0.04)</f>
        <v>213.41759999999999</v>
      </c>
      <c r="Y431" s="56">
        <f ca="1">('TUSD BE'!$AM$14+'TUSD BF'!$AM$14+'TUSD CVA'!$AM$14)*1*(1-0.02)</f>
        <v>26.066113153707715</v>
      </c>
      <c r="Z431" s="56">
        <f ca="1">('TUSD BE'!$AM$15+'TUSD BF'!$AM$15+'TUSD CVA'!$AM$15)*1*(1-0.02)</f>
        <v>63.70726143397826</v>
      </c>
      <c r="AA431" s="56">
        <f>('TE BE'!$AA$11+'TE BF'!$AA$11+'TE CVA'!$AA$11)*1*(1-0.02)</f>
        <v>218.68270575803808</v>
      </c>
      <c r="AB431" s="4">
        <f>$K$431*$V$431</f>
        <v>19626.921599999998</v>
      </c>
      <c r="AC431" s="4">
        <f>$M$431*$W$431</f>
        <v>15823.185292799999</v>
      </c>
      <c r="AD431" s="4">
        <f>$O$431*$X$431</f>
        <v>68610.343718399992</v>
      </c>
      <c r="AE431" s="4">
        <f ca="1">$K$431*$Y$431</f>
        <v>21921.601162268187</v>
      </c>
      <c r="AF431" s="4">
        <f ca="1">$M$431*$Z$431</f>
        <v>20480.865234841065</v>
      </c>
      <c r="AG431" s="4">
        <f>$O$431*$AA$431</f>
        <v>70302.990977917114</v>
      </c>
    </row>
    <row r="432" spans="1:33" ht="11.25" customHeight="1" x14ac:dyDescent="0.25">
      <c r="A432" s="3" t="s">
        <v>21</v>
      </c>
      <c r="B432" s="3" t="s">
        <v>41</v>
      </c>
      <c r="C432" s="3" t="s">
        <v>40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44378</v>
      </c>
      <c r="J432" s="4">
        <v>873</v>
      </c>
      <c r="K432" s="56">
        <v>873</v>
      </c>
      <c r="L432" s="4">
        <v>313.298</v>
      </c>
      <c r="M432" s="56">
        <v>313.298</v>
      </c>
      <c r="N432" s="4">
        <v>313.298</v>
      </c>
      <c r="O432" s="56">
        <v>313.298</v>
      </c>
      <c r="P432" s="4">
        <v>0</v>
      </c>
      <c r="Q432" s="3" t="s">
        <v>26</v>
      </c>
      <c r="R432" s="3">
        <v>0</v>
      </c>
      <c r="S432" s="4">
        <v>12</v>
      </c>
      <c r="T432" s="4">
        <v>110</v>
      </c>
      <c r="U432" s="4">
        <v>89</v>
      </c>
      <c r="V432" s="56">
        <f>IF(ISERROR(VLOOKUP($S$432,'TAR FIN'!$A$1:$O$113,15,0)),0,VLOOKUP($S$432,'TAR FIN'!$A$1:$O$113,15,0))*(1-0.04)</f>
        <v>23.337599999999998</v>
      </c>
      <c r="W432" s="56">
        <f>IF(ISERROR(VLOOKUP($T$432,'TAR FIN'!$A$1:$O$113,15,0)),0,VLOOKUP($T$432,'TAR FIN'!$A$1:$O$113,15,0))*(1-0.04)</f>
        <v>49.219200000000001</v>
      </c>
      <c r="X432" s="56">
        <f>IF(ISERROR(VLOOKUP($U$432,'TAR FIN'!$A$1:$O$113,15,0)),0,VLOOKUP($U$432,'TAR FIN'!$A$1:$O$113,15,0))*(1-0.04)</f>
        <v>213.41759999999999</v>
      </c>
      <c r="Y432" s="56">
        <f ca="1">('TUSD BE'!$AM$14+'TUSD BF'!$AM$14+'TUSD CVA'!$AM$14)*1*(1-0.02)</f>
        <v>26.066113153707715</v>
      </c>
      <c r="Z432" s="56">
        <f ca="1">('TUSD BE'!$AM$15+'TUSD BF'!$AM$15+'TUSD CVA'!$AM$15)*1*(1-0.02)</f>
        <v>63.70726143397826</v>
      </c>
      <c r="AA432" s="56">
        <f>('TE BE'!$AA$11+'TE BF'!$AA$11+'TE CVA'!$AA$11)*1*(1-0.02)</f>
        <v>218.68270575803808</v>
      </c>
      <c r="AB432" s="4">
        <f>$K$432*$V$432</f>
        <v>20373.7248</v>
      </c>
      <c r="AC432" s="4">
        <f>$M$432*$W$432</f>
        <v>15420.2769216</v>
      </c>
      <c r="AD432" s="4">
        <f>$O$432*$X$432</f>
        <v>66863.307244800002</v>
      </c>
      <c r="AE432" s="4">
        <f ca="1">$K$432*$Y$432</f>
        <v>22755.716783186836</v>
      </c>
      <c r="AF432" s="4">
        <f ca="1">$M$432*$Z$432</f>
        <v>19959.357592742523</v>
      </c>
      <c r="AG432" s="4">
        <f>$O$432*$AA$432</f>
        <v>68512.854348581823</v>
      </c>
    </row>
    <row r="433" spans="1:33" ht="11.25" customHeight="1" x14ac:dyDescent="0.25">
      <c r="A433" s="3" t="s">
        <v>21</v>
      </c>
      <c r="B433" s="3" t="s">
        <v>41</v>
      </c>
      <c r="C433" s="3" t="s">
        <v>40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44409</v>
      </c>
      <c r="J433" s="4">
        <v>908</v>
      </c>
      <c r="K433" s="56">
        <v>908</v>
      </c>
      <c r="L433" s="4">
        <v>378.125</v>
      </c>
      <c r="M433" s="56">
        <v>378.125</v>
      </c>
      <c r="N433" s="4">
        <v>378.125</v>
      </c>
      <c r="O433" s="56">
        <v>378.125</v>
      </c>
      <c r="P433" s="4">
        <v>0</v>
      </c>
      <c r="Q433" s="3" t="s">
        <v>26</v>
      </c>
      <c r="R433" s="3">
        <v>0</v>
      </c>
      <c r="S433" s="4">
        <v>12</v>
      </c>
      <c r="T433" s="4">
        <v>110</v>
      </c>
      <c r="U433" s="4">
        <v>89</v>
      </c>
      <c r="V433" s="56">
        <f>IF(ISERROR(VLOOKUP($S$433,'TAR FIN'!$A$1:$O$113,15,0)),0,VLOOKUP($S$433,'TAR FIN'!$A$1:$O$113,15,0))*(1-0.04)</f>
        <v>23.337599999999998</v>
      </c>
      <c r="W433" s="56">
        <f>IF(ISERROR(VLOOKUP($T$433,'TAR FIN'!$A$1:$O$113,15,0)),0,VLOOKUP($T$433,'TAR FIN'!$A$1:$O$113,15,0))*(1-0.04)</f>
        <v>49.219200000000001</v>
      </c>
      <c r="X433" s="56">
        <f>IF(ISERROR(VLOOKUP($U$433,'TAR FIN'!$A$1:$O$113,15,0)),0,VLOOKUP($U$433,'TAR FIN'!$A$1:$O$113,15,0))*(1-0.04)</f>
        <v>213.41759999999999</v>
      </c>
      <c r="Y433" s="56">
        <f ca="1">('TUSD BE'!$AM$14+'TUSD BF'!$AM$14+'TUSD CVA'!$AM$14)*1*(1-0.02)</f>
        <v>26.066113153707715</v>
      </c>
      <c r="Z433" s="56">
        <f ca="1">('TUSD BE'!$AM$15+'TUSD BF'!$AM$15+'TUSD CVA'!$AM$15)*1*(1-0.02)</f>
        <v>63.70726143397826</v>
      </c>
      <c r="AA433" s="56">
        <f>('TE BE'!$AA$11+'TE BF'!$AA$11+'TE CVA'!$AA$11)*1*(1-0.02)</f>
        <v>218.68270575803808</v>
      </c>
      <c r="AB433" s="4">
        <f>$K$433*$V$433</f>
        <v>21190.540799999999</v>
      </c>
      <c r="AC433" s="4">
        <f>$M$433*$W$433</f>
        <v>18611.010000000002</v>
      </c>
      <c r="AD433" s="4">
        <f>$O$433*$X$433</f>
        <v>80698.53</v>
      </c>
      <c r="AE433" s="4">
        <f ca="1">$K$433*$Y$433</f>
        <v>23668.030743566604</v>
      </c>
      <c r="AF433" s="4">
        <f ca="1">$M$433*$Z$433</f>
        <v>24089.308229723028</v>
      </c>
      <c r="AG433" s="4">
        <f>$O$433*$AA$433</f>
        <v>82689.398114758151</v>
      </c>
    </row>
    <row r="434" spans="1:33" ht="11.25" customHeight="1" x14ac:dyDescent="0.25">
      <c r="A434" s="3" t="s">
        <v>21</v>
      </c>
      <c r="B434" s="3" t="s">
        <v>41</v>
      </c>
      <c r="C434" s="3" t="s">
        <v>40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44440</v>
      </c>
      <c r="J434" s="4">
        <v>930</v>
      </c>
      <c r="K434" s="56">
        <v>930</v>
      </c>
      <c r="L434" s="4">
        <v>414.2</v>
      </c>
      <c r="M434" s="56">
        <v>414.2</v>
      </c>
      <c r="N434" s="4">
        <v>414.2</v>
      </c>
      <c r="O434" s="56">
        <v>414.2</v>
      </c>
      <c r="P434" s="4">
        <v>0</v>
      </c>
      <c r="Q434" s="3" t="s">
        <v>26</v>
      </c>
      <c r="R434" s="3">
        <v>0</v>
      </c>
      <c r="S434" s="4">
        <v>12</v>
      </c>
      <c r="T434" s="4">
        <v>110</v>
      </c>
      <c r="U434" s="4">
        <v>89</v>
      </c>
      <c r="V434" s="56">
        <f>IF(ISERROR(VLOOKUP($S$434,'TAR FIN'!$A$1:$O$113,15,0)),0,VLOOKUP($S$434,'TAR FIN'!$A$1:$O$113,15,0))*(1-0.04)</f>
        <v>23.337599999999998</v>
      </c>
      <c r="W434" s="56">
        <f>IF(ISERROR(VLOOKUP($T$434,'TAR FIN'!$A$1:$O$113,15,0)),0,VLOOKUP($T$434,'TAR FIN'!$A$1:$O$113,15,0))*(1-0.04)</f>
        <v>49.219200000000001</v>
      </c>
      <c r="X434" s="56">
        <f>IF(ISERROR(VLOOKUP($U$434,'TAR FIN'!$A$1:$O$113,15,0)),0,VLOOKUP($U$434,'TAR FIN'!$A$1:$O$113,15,0))*(1-0.04)</f>
        <v>213.41759999999999</v>
      </c>
      <c r="Y434" s="56">
        <f ca="1">('TUSD BE'!$AM$14+'TUSD BF'!$AM$14+'TUSD CVA'!$AM$14)*1*(1-0.02)</f>
        <v>26.066113153707715</v>
      </c>
      <c r="Z434" s="56">
        <f ca="1">('TUSD BE'!$AM$15+'TUSD BF'!$AM$15+'TUSD CVA'!$AM$15)*1*(1-0.02)</f>
        <v>63.70726143397826</v>
      </c>
      <c r="AA434" s="56">
        <f>('TE BE'!$AA$11+'TE BF'!$AA$11+'TE CVA'!$AA$11)*1*(1-0.02)</f>
        <v>218.68270575803808</v>
      </c>
      <c r="AB434" s="4">
        <f>$K$434*$V$434</f>
        <v>21703.967999999997</v>
      </c>
      <c r="AC434" s="4">
        <f>$M$434*$W$434</f>
        <v>20386.592639999999</v>
      </c>
      <c r="AD434" s="4">
        <f>$O$434*$X$434</f>
        <v>88397.569919999994</v>
      </c>
      <c r="AE434" s="4">
        <f ca="1">$K$434*$Y$434</f>
        <v>24241.485232948176</v>
      </c>
      <c r="AF434" s="4">
        <f ca="1">$M$434*$Z$434</f>
        <v>26387.547685953796</v>
      </c>
      <c r="AG434" s="4">
        <f>$O$434*$AA$434</f>
        <v>90578.376724979375</v>
      </c>
    </row>
    <row r="435" spans="1:33" ht="11.25" customHeight="1" x14ac:dyDescent="0.25">
      <c r="A435" s="3" t="s">
        <v>21</v>
      </c>
      <c r="B435" s="3" t="s">
        <v>41</v>
      </c>
      <c r="C435" s="3" t="s">
        <v>40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44470</v>
      </c>
      <c r="J435" s="4">
        <v>960</v>
      </c>
      <c r="K435" s="56">
        <v>960</v>
      </c>
      <c r="L435" s="4">
        <v>381.40600000000001</v>
      </c>
      <c r="M435" s="56">
        <v>381.40600000000001</v>
      </c>
      <c r="N435" s="4">
        <v>381.40600000000001</v>
      </c>
      <c r="O435" s="56">
        <v>381.40600000000001</v>
      </c>
      <c r="P435" s="4">
        <v>0</v>
      </c>
      <c r="Q435" s="3" t="s">
        <v>26</v>
      </c>
      <c r="R435" s="3">
        <v>0</v>
      </c>
      <c r="S435" s="4">
        <v>12</v>
      </c>
      <c r="T435" s="4">
        <v>110</v>
      </c>
      <c r="U435" s="4">
        <v>89</v>
      </c>
      <c r="V435" s="56">
        <f>IF(ISERROR(VLOOKUP($S$435,'TAR FIN'!$A$1:$O$113,15,0)),0,VLOOKUP($S$435,'TAR FIN'!$A$1:$O$113,15,0))*(1-0.04)</f>
        <v>23.337599999999998</v>
      </c>
      <c r="W435" s="56">
        <f>IF(ISERROR(VLOOKUP($T$435,'TAR FIN'!$A$1:$O$113,15,0)),0,VLOOKUP($T$435,'TAR FIN'!$A$1:$O$113,15,0))*(1-0.04)</f>
        <v>49.219200000000001</v>
      </c>
      <c r="X435" s="56">
        <f>IF(ISERROR(VLOOKUP($U$435,'TAR FIN'!$A$1:$O$113,15,0)),0,VLOOKUP($U$435,'TAR FIN'!$A$1:$O$113,15,0))*(1-0.04)</f>
        <v>213.41759999999999</v>
      </c>
      <c r="Y435" s="56">
        <f ca="1">('TUSD BE'!$AM$14+'TUSD BF'!$AM$14+'TUSD CVA'!$AM$14)*1*(1-0.02)</f>
        <v>26.066113153707715</v>
      </c>
      <c r="Z435" s="56">
        <f ca="1">('TUSD BE'!$AM$15+'TUSD BF'!$AM$15+'TUSD CVA'!$AM$15)*1*(1-0.02)</f>
        <v>63.70726143397826</v>
      </c>
      <c r="AA435" s="56">
        <f>('TE BE'!$AA$11+'TE BF'!$AA$11+'TE CVA'!$AA$11)*1*(1-0.02)</f>
        <v>218.68270575803808</v>
      </c>
      <c r="AB435" s="4">
        <f>$K$435*$V$435</f>
        <v>22404.095999999998</v>
      </c>
      <c r="AC435" s="4">
        <f>$M$435*$W$435</f>
        <v>18772.498195200002</v>
      </c>
      <c r="AD435" s="4">
        <f>$O$435*$X$435</f>
        <v>81398.7531456</v>
      </c>
      <c r="AE435" s="4">
        <f ca="1">$K$435*$Y$435</f>
        <v>25023.468627559407</v>
      </c>
      <c r="AF435" s="4">
        <f ca="1">$M$435*$Z$435</f>
        <v>24298.331754487914</v>
      </c>
      <c r="AG435" s="4">
        <f>$O$435*$AA$435</f>
        <v>83406.896072350268</v>
      </c>
    </row>
    <row r="436" spans="1:33" ht="11.25" customHeight="1" x14ac:dyDescent="0.25">
      <c r="A436" s="3" t="s">
        <v>21</v>
      </c>
      <c r="B436" s="3" t="s">
        <v>41</v>
      </c>
      <c r="C436" s="3" t="s">
        <v>40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44501</v>
      </c>
      <c r="J436" s="4">
        <v>966</v>
      </c>
      <c r="K436" s="56">
        <v>966</v>
      </c>
      <c r="L436" s="4">
        <v>365.46499999999997</v>
      </c>
      <c r="M436" s="56">
        <v>365.46499999999997</v>
      </c>
      <c r="N436" s="4">
        <v>365.46499999999997</v>
      </c>
      <c r="O436" s="56">
        <v>365.46499999999997</v>
      </c>
      <c r="P436" s="4">
        <v>0</v>
      </c>
      <c r="Q436" s="3" t="s">
        <v>26</v>
      </c>
      <c r="R436" s="3">
        <v>0</v>
      </c>
      <c r="S436" s="4">
        <v>12</v>
      </c>
      <c r="T436" s="4">
        <v>110</v>
      </c>
      <c r="U436" s="4">
        <v>89</v>
      </c>
      <c r="V436" s="56">
        <f>IF(ISERROR(VLOOKUP($S$436,'TAR FIN'!$A$1:$O$113,15,0)),0,VLOOKUP($S$436,'TAR FIN'!$A$1:$O$113,15,0))*(1-0.04)</f>
        <v>23.337599999999998</v>
      </c>
      <c r="W436" s="56">
        <f>IF(ISERROR(VLOOKUP($T$436,'TAR FIN'!$A$1:$O$113,15,0)),0,VLOOKUP($T$436,'TAR FIN'!$A$1:$O$113,15,0))*(1-0.04)</f>
        <v>49.219200000000001</v>
      </c>
      <c r="X436" s="56">
        <f>IF(ISERROR(VLOOKUP($U$436,'TAR FIN'!$A$1:$O$113,15,0)),0,VLOOKUP($U$436,'TAR FIN'!$A$1:$O$113,15,0))*(1-0.04)</f>
        <v>213.41759999999999</v>
      </c>
      <c r="Y436" s="56">
        <f ca="1">('TUSD BE'!$AM$14+'TUSD BF'!$AM$14+'TUSD CVA'!$AM$14)*1*(1-0.02)</f>
        <v>26.066113153707715</v>
      </c>
      <c r="Z436" s="56">
        <f ca="1">('TUSD BE'!$AM$15+'TUSD BF'!$AM$15+'TUSD CVA'!$AM$15)*1*(1-0.02)</f>
        <v>63.70726143397826</v>
      </c>
      <c r="AA436" s="56">
        <f>('TE BE'!$AA$11+'TE BF'!$AA$11+'TE CVA'!$AA$11)*1*(1-0.02)</f>
        <v>218.68270575803808</v>
      </c>
      <c r="AB436" s="4">
        <f>$K$436*$V$436</f>
        <v>22544.121599999999</v>
      </c>
      <c r="AC436" s="4">
        <f>$M$436*$W$436</f>
        <v>17987.894927999998</v>
      </c>
      <c r="AD436" s="4">
        <f>$O$436*$X$436</f>
        <v>77996.66318399999</v>
      </c>
      <c r="AE436" s="4">
        <f ca="1">$K$436*$Y$436</f>
        <v>25179.865306481654</v>
      </c>
      <c r="AF436" s="4">
        <f ca="1">$M$436*$Z$436</f>
        <v>23282.774299968863</v>
      </c>
      <c r="AG436" s="4">
        <f>$O$436*$AA$436</f>
        <v>79920.875059861384</v>
      </c>
    </row>
    <row r="437" spans="1:33" ht="11.25" customHeight="1" x14ac:dyDescent="0.25">
      <c r="A437" s="3" t="s">
        <v>21</v>
      </c>
      <c r="B437" s="3" t="s">
        <v>41</v>
      </c>
      <c r="C437" s="3" t="s">
        <v>40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44531</v>
      </c>
      <c r="J437" s="4">
        <v>894</v>
      </c>
      <c r="K437" s="56">
        <v>894</v>
      </c>
      <c r="L437" s="4">
        <v>399.55</v>
      </c>
      <c r="M437" s="56">
        <v>399.55</v>
      </c>
      <c r="N437" s="4">
        <v>399.55</v>
      </c>
      <c r="O437" s="56">
        <v>399.55</v>
      </c>
      <c r="P437" s="4">
        <v>0</v>
      </c>
      <c r="Q437" s="3" t="s">
        <v>26</v>
      </c>
      <c r="R437" s="3">
        <v>0</v>
      </c>
      <c r="S437" s="4">
        <v>12</v>
      </c>
      <c r="T437" s="4">
        <v>110</v>
      </c>
      <c r="U437" s="4">
        <v>89</v>
      </c>
      <c r="V437" s="56">
        <f>IF(ISERROR(VLOOKUP($S$437,'TAR FIN'!$A$1:$O$113,15,0)),0,VLOOKUP($S$437,'TAR FIN'!$A$1:$O$113,15,0))*(1-0.04)</f>
        <v>23.337599999999998</v>
      </c>
      <c r="W437" s="56">
        <f>IF(ISERROR(VLOOKUP($T$437,'TAR FIN'!$A$1:$O$113,15,0)),0,VLOOKUP($T$437,'TAR FIN'!$A$1:$O$113,15,0))*(1-0.04)</f>
        <v>49.219200000000001</v>
      </c>
      <c r="X437" s="56">
        <f>IF(ISERROR(VLOOKUP($U$437,'TAR FIN'!$A$1:$O$113,15,0)),0,VLOOKUP($U$437,'TAR FIN'!$A$1:$O$113,15,0))*(1-0.04)</f>
        <v>213.41759999999999</v>
      </c>
      <c r="Y437" s="56">
        <f ca="1">('TUSD BE'!$AM$14+'TUSD BF'!$AM$14+'TUSD CVA'!$AM$14)*1*(1-0.02)</f>
        <v>26.066113153707715</v>
      </c>
      <c r="Z437" s="56">
        <f ca="1">('TUSD BE'!$AM$15+'TUSD BF'!$AM$15+'TUSD CVA'!$AM$15)*1*(1-0.02)</f>
        <v>63.70726143397826</v>
      </c>
      <c r="AA437" s="56">
        <f>('TE BE'!$AA$11+'TE BF'!$AA$11+'TE CVA'!$AA$11)*1*(1-0.02)</f>
        <v>218.68270575803808</v>
      </c>
      <c r="AB437" s="4">
        <f>$K$437*$V$437</f>
        <v>20863.814399999999</v>
      </c>
      <c r="AC437" s="4">
        <f>$M$437*$W$437</f>
        <v>19665.531360000001</v>
      </c>
      <c r="AD437" s="4">
        <f>$O$437*$X$437</f>
        <v>85271.002080000006</v>
      </c>
      <c r="AE437" s="4">
        <f ca="1">$K$437*$Y$437</f>
        <v>23303.105159414696</v>
      </c>
      <c r="AF437" s="4">
        <f ca="1">$M$437*$Z$437</f>
        <v>25454.236305946015</v>
      </c>
      <c r="AG437" s="4">
        <f>$O$437*$AA$437</f>
        <v>87374.675085624112</v>
      </c>
    </row>
    <row r="438" spans="1:33" ht="11.25" customHeight="1" x14ac:dyDescent="0.25">
      <c r="A438" s="3" t="s">
        <v>21</v>
      </c>
      <c r="B438" s="3" t="s">
        <v>41</v>
      </c>
      <c r="C438" s="3" t="s">
        <v>40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44562</v>
      </c>
      <c r="J438" s="4">
        <v>936</v>
      </c>
      <c r="K438" s="56">
        <v>936</v>
      </c>
      <c r="L438" s="4">
        <v>353.71300000000002</v>
      </c>
      <c r="M438" s="56">
        <v>353.71300000000002</v>
      </c>
      <c r="N438" s="4">
        <v>353.71300000000002</v>
      </c>
      <c r="O438" s="56">
        <v>353.71300000000002</v>
      </c>
      <c r="P438" s="4">
        <v>0</v>
      </c>
      <c r="Q438" s="3" t="s">
        <v>26</v>
      </c>
      <c r="R438" s="3">
        <v>0</v>
      </c>
      <c r="S438" s="4">
        <v>12</v>
      </c>
      <c r="T438" s="4">
        <v>110</v>
      </c>
      <c r="U438" s="4">
        <v>89</v>
      </c>
      <c r="V438" s="56">
        <f>IF(ISERROR(VLOOKUP($S$438,'TAR FIN'!$A$1:$O$113,15,0)),0,VLOOKUP($S$438,'TAR FIN'!$A$1:$O$113,15,0))*(1-0.04)</f>
        <v>23.337599999999998</v>
      </c>
      <c r="W438" s="56">
        <f>IF(ISERROR(VLOOKUP($T$438,'TAR FIN'!$A$1:$O$113,15,0)),0,VLOOKUP($T$438,'TAR FIN'!$A$1:$O$113,15,0))*(1-0.04)</f>
        <v>49.219200000000001</v>
      </c>
      <c r="X438" s="56">
        <f>IF(ISERROR(VLOOKUP($U$438,'TAR FIN'!$A$1:$O$113,15,0)),0,VLOOKUP($U$438,'TAR FIN'!$A$1:$O$113,15,0))*(1-0.04)</f>
        <v>213.41759999999999</v>
      </c>
      <c r="Y438" s="56">
        <f ca="1">('TUSD BE'!$AM$14+'TUSD BF'!$AM$14+'TUSD CVA'!$AM$14)*1*(1-0.02)</f>
        <v>26.066113153707715</v>
      </c>
      <c r="Z438" s="56">
        <f ca="1">('TUSD BE'!$AM$15+'TUSD BF'!$AM$15+'TUSD CVA'!$AM$15)*1*(1-0.02)</f>
        <v>63.70726143397826</v>
      </c>
      <c r="AA438" s="56">
        <f>('TE BE'!$AA$11+'TE BF'!$AA$11+'TE CVA'!$AA$11)*1*(1-0.02)</f>
        <v>218.68270575803808</v>
      </c>
      <c r="AB438" s="4">
        <f>$K$438*$V$438</f>
        <v>21843.993599999998</v>
      </c>
      <c r="AC438" s="4">
        <f>$M$438*$W$438</f>
        <v>17409.470889600001</v>
      </c>
      <c r="AD438" s="4">
        <f>$O$438*$X$438</f>
        <v>75488.5795488</v>
      </c>
      <c r="AE438" s="4">
        <f ca="1">$K$438*$Y$438</f>
        <v>24397.88191187042</v>
      </c>
      <c r="AF438" s="4">
        <f ca="1">$M$438*$Z$438</f>
        <v>22534.086563596753</v>
      </c>
      <c r="AG438" s="4">
        <f>$O$438*$AA$438</f>
        <v>77350.915901792934</v>
      </c>
    </row>
    <row r="439" spans="1:33" ht="11.25" customHeight="1" x14ac:dyDescent="0.25">
      <c r="A439" s="3" t="s">
        <v>21</v>
      </c>
      <c r="B439" s="3" t="s">
        <v>41</v>
      </c>
      <c r="C439" s="3" t="s">
        <v>40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44593</v>
      </c>
      <c r="J439" s="4">
        <v>934</v>
      </c>
      <c r="K439" s="56">
        <v>934</v>
      </c>
      <c r="L439" s="4">
        <v>356.20699999999999</v>
      </c>
      <c r="M439" s="56">
        <v>356.20699999999999</v>
      </c>
      <c r="N439" s="4">
        <v>356.20699999999999</v>
      </c>
      <c r="O439" s="56">
        <v>356.20699999999999</v>
      </c>
      <c r="P439" s="4">
        <v>0</v>
      </c>
      <c r="Q439" s="3" t="s">
        <v>26</v>
      </c>
      <c r="R439" s="3">
        <v>0</v>
      </c>
      <c r="S439" s="4">
        <v>12</v>
      </c>
      <c r="T439" s="4">
        <v>110</v>
      </c>
      <c r="U439" s="4">
        <v>89</v>
      </c>
      <c r="V439" s="56">
        <f>IF(ISERROR(VLOOKUP($S$439,'TAR FIN'!$A$1:$O$113,15,0)),0,VLOOKUP($S$439,'TAR FIN'!$A$1:$O$113,15,0))*(1-0.04)</f>
        <v>23.337599999999998</v>
      </c>
      <c r="W439" s="56">
        <f>IF(ISERROR(VLOOKUP($T$439,'TAR FIN'!$A$1:$O$113,15,0)),0,VLOOKUP($T$439,'TAR FIN'!$A$1:$O$113,15,0))*(1-0.04)</f>
        <v>49.219200000000001</v>
      </c>
      <c r="X439" s="56">
        <f>IF(ISERROR(VLOOKUP($U$439,'TAR FIN'!$A$1:$O$113,15,0)),0,VLOOKUP($U$439,'TAR FIN'!$A$1:$O$113,15,0))*(1-0.04)</f>
        <v>213.41759999999999</v>
      </c>
      <c r="Y439" s="56">
        <f ca="1">('TUSD BE'!$AM$14+'TUSD BF'!$AM$14+'TUSD CVA'!$AM$14)*1*(1-0.02)</f>
        <v>26.066113153707715</v>
      </c>
      <c r="Z439" s="56">
        <f ca="1">('TUSD BE'!$AM$15+'TUSD BF'!$AM$15+'TUSD CVA'!$AM$15)*1*(1-0.02)</f>
        <v>63.70726143397826</v>
      </c>
      <c r="AA439" s="56">
        <f>('TE BE'!$AA$11+'TE BF'!$AA$11+'TE CVA'!$AA$11)*1*(1-0.02)</f>
        <v>218.68270575803808</v>
      </c>
      <c r="AB439" s="4">
        <f>$K$439*$V$439</f>
        <v>21797.3184</v>
      </c>
      <c r="AC439" s="4">
        <f>$M$439*$W$439</f>
        <v>17532.223574399999</v>
      </c>
      <c r="AD439" s="4">
        <f>$O$439*$X$439</f>
        <v>76020.843043200002</v>
      </c>
      <c r="AE439" s="4">
        <f ca="1">$K$439*$Y$439</f>
        <v>24345.749685563005</v>
      </c>
      <c r="AF439" s="4">
        <f ca="1">$M$439*$Z$439</f>
        <v>22692.972473613092</v>
      </c>
      <c r="AG439" s="4">
        <f>$O$439*$AA$439</f>
        <v>77896.310569953464</v>
      </c>
    </row>
    <row r="440" spans="1:33" ht="11.25" customHeight="1" x14ac:dyDescent="0.25">
      <c r="A440" s="3" t="s">
        <v>56</v>
      </c>
      <c r="B440" s="3" t="s">
        <v>41</v>
      </c>
      <c r="C440" s="3" t="s">
        <v>40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44621</v>
      </c>
      <c r="J440" s="4">
        <v>934</v>
      </c>
      <c r="K440" s="56">
        <v>934</v>
      </c>
      <c r="L440" s="4">
        <v>356.20699999999999</v>
      </c>
      <c r="M440" s="56">
        <v>356.20699999999999</v>
      </c>
      <c r="N440" s="4">
        <v>356.20699999999999</v>
      </c>
      <c r="O440" s="56">
        <v>356.20699999999999</v>
      </c>
      <c r="P440" s="4">
        <v>0</v>
      </c>
      <c r="Q440" s="3" t="s">
        <v>26</v>
      </c>
      <c r="R440" s="3">
        <v>0</v>
      </c>
      <c r="S440" s="4">
        <v>12</v>
      </c>
      <c r="T440" s="4">
        <v>110</v>
      </c>
      <c r="U440" s="4">
        <v>89</v>
      </c>
      <c r="V440" s="56">
        <f>IF(ISERROR(VLOOKUP($S$440,'TAR FIN'!$A$1:$O$113,15,0)),0,VLOOKUP($S$440,'TAR FIN'!$A$1:$O$113,15,0))*(1-0.04)</f>
        <v>23.337599999999998</v>
      </c>
      <c r="W440" s="56">
        <f>IF(ISERROR(VLOOKUP($T$440,'TAR FIN'!$A$1:$O$113,15,0)),0,VLOOKUP($T$440,'TAR FIN'!$A$1:$O$113,15,0))*(1-0.04)</f>
        <v>49.219200000000001</v>
      </c>
      <c r="X440" s="56">
        <f>IF(ISERROR(VLOOKUP($U$440,'TAR FIN'!$A$1:$O$113,15,0)),0,VLOOKUP($U$440,'TAR FIN'!$A$1:$O$113,15,0))*(1-0.04)</f>
        <v>213.41759999999999</v>
      </c>
      <c r="Y440" s="56">
        <f ca="1">('TUSD BE'!$AM$14+'TUSD BF'!$AM$14+'TUSD CVA'!$AM$14)*1*(1-0.02)</f>
        <v>26.066113153707715</v>
      </c>
      <c r="Z440" s="56">
        <f ca="1">('TUSD BE'!$AM$15+'TUSD BF'!$AM$15+'TUSD CVA'!$AM$15)*1*(1-0.02)</f>
        <v>63.70726143397826</v>
      </c>
      <c r="AA440" s="56">
        <f>('TE BE'!$AA$11+'TE BF'!$AA$11+'TE CVA'!$AA$11)*1*(1-0.02)</f>
        <v>218.68270575803808</v>
      </c>
      <c r="AB440" s="4">
        <f>$K$440*$V$440</f>
        <v>21797.3184</v>
      </c>
      <c r="AC440" s="4">
        <f>$M$440*$W$440</f>
        <v>17532.223574399999</v>
      </c>
      <c r="AD440" s="4">
        <f>$O$440*$X$440</f>
        <v>76020.843043200002</v>
      </c>
      <c r="AE440" s="4">
        <f ca="1">$K$440*$Y$440</f>
        <v>24345.749685563005</v>
      </c>
      <c r="AF440" s="4">
        <f ca="1">$M$440*$Z$440</f>
        <v>22692.972473613092</v>
      </c>
      <c r="AG440" s="4">
        <f>$O$440*$AA$440</f>
        <v>77896.310569953464</v>
      </c>
    </row>
    <row r="441" spans="1:33" ht="11.25" customHeight="1" x14ac:dyDescent="0.25">
      <c r="A441" s="3" t="s">
        <v>21</v>
      </c>
      <c r="B441" s="3" t="s">
        <v>41</v>
      </c>
      <c r="C441" s="3" t="s">
        <v>40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44287</v>
      </c>
      <c r="J441" s="4">
        <v>422</v>
      </c>
      <c r="K441" s="56">
        <v>422</v>
      </c>
      <c r="L441" s="4">
        <v>14.534000000000001</v>
      </c>
      <c r="M441" s="56">
        <v>14.534000000000001</v>
      </c>
      <c r="N441" s="4">
        <v>14.534000000000001</v>
      </c>
      <c r="O441" s="56">
        <v>14.534000000000001</v>
      </c>
      <c r="P441" s="4">
        <v>0</v>
      </c>
      <c r="Q441" s="3" t="s">
        <v>26</v>
      </c>
      <c r="R441" s="3">
        <v>0</v>
      </c>
      <c r="S441" s="4">
        <v>11</v>
      </c>
      <c r="T441" s="4">
        <v>110</v>
      </c>
      <c r="U441" s="4">
        <v>88</v>
      </c>
      <c r="V441" s="56">
        <f>IF(ISERROR(VLOOKUP($S$441,'TAR FIN'!$A$1:$O$113,15,0)),0,VLOOKUP($S$441,'TAR FIN'!$A$1:$O$113,15,0))*(1-0.04)</f>
        <v>59.740799999999993</v>
      </c>
      <c r="W441" s="56">
        <f>IF(ISERROR(VLOOKUP($T$441,'TAR FIN'!$A$1:$O$113,15,0)),0,VLOOKUP($T$441,'TAR FIN'!$A$1:$O$113,15,0))*(1-0.04)</f>
        <v>49.219200000000001</v>
      </c>
      <c r="X441" s="56">
        <f>IF(ISERROR(VLOOKUP($U$441,'TAR FIN'!$A$1:$O$113,15,0)),0,VLOOKUP($U$441,'TAR FIN'!$A$1:$O$113,15,0))*(1-0.04)</f>
        <v>350.88</v>
      </c>
      <c r="Y441" s="56">
        <f ca="1">('TUSD BE'!$AM$13+'TUSD BF'!$AM$13+'TUSD CVA'!$AM$13)*1*(1-0.02)</f>
        <v>71.621212919574702</v>
      </c>
      <c r="Z441" s="56">
        <f ca="1">('TUSD BE'!$AM$15+'TUSD BF'!$AM$15+'TUSD CVA'!$AM$15)*1*(1-0.02)</f>
        <v>63.70726143397826</v>
      </c>
      <c r="AA441" s="56">
        <f>('TE BE'!$AA$10+'TE BF'!$AA$10+'TE CVA'!$AA$10)*1*(1-0.02)</f>
        <v>354.31913150043306</v>
      </c>
      <c r="AB441" s="4">
        <f>$K$441*$V$441</f>
        <v>25210.617599999998</v>
      </c>
      <c r="AC441" s="4">
        <f>$M$441*$W$441</f>
        <v>715.35185280000007</v>
      </c>
      <c r="AD441" s="4">
        <f>$O$441*$X$441</f>
        <v>5099.6899199999998</v>
      </c>
      <c r="AE441" s="4">
        <f ca="1">$K$441*$Y$441</f>
        <v>30224.151852060524</v>
      </c>
      <c r="AF441" s="4">
        <f ca="1">$M$441*$Z$441</f>
        <v>925.92133768144004</v>
      </c>
      <c r="AG441" s="4">
        <f>$O$441*$AA$441</f>
        <v>5149.6742572272942</v>
      </c>
    </row>
    <row r="442" spans="1:33" ht="11.25" customHeight="1" x14ac:dyDescent="0.25">
      <c r="A442" s="3" t="s">
        <v>21</v>
      </c>
      <c r="B442" s="3" t="s">
        <v>41</v>
      </c>
      <c r="C442" s="3" t="s">
        <v>40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44317</v>
      </c>
      <c r="J442" s="4">
        <v>363</v>
      </c>
      <c r="K442" s="56">
        <v>363</v>
      </c>
      <c r="L442" s="4">
        <v>14.506</v>
      </c>
      <c r="M442" s="56">
        <v>14.506</v>
      </c>
      <c r="N442" s="4">
        <v>14.506</v>
      </c>
      <c r="O442" s="56">
        <v>14.506</v>
      </c>
      <c r="P442" s="4">
        <v>0</v>
      </c>
      <c r="Q442" s="3" t="s">
        <v>26</v>
      </c>
      <c r="R442" s="3">
        <v>0</v>
      </c>
      <c r="S442" s="4">
        <v>11</v>
      </c>
      <c r="T442" s="4">
        <v>110</v>
      </c>
      <c r="U442" s="4">
        <v>88</v>
      </c>
      <c r="V442" s="56">
        <f>IF(ISERROR(VLOOKUP($S$442,'TAR FIN'!$A$1:$O$113,15,0)),0,VLOOKUP($S$442,'TAR FIN'!$A$1:$O$113,15,0))*(1-0.04)</f>
        <v>59.740799999999993</v>
      </c>
      <c r="W442" s="56">
        <f>IF(ISERROR(VLOOKUP($T$442,'TAR FIN'!$A$1:$O$113,15,0)),0,VLOOKUP($T$442,'TAR FIN'!$A$1:$O$113,15,0))*(1-0.04)</f>
        <v>49.219200000000001</v>
      </c>
      <c r="X442" s="56">
        <f>IF(ISERROR(VLOOKUP($U$442,'TAR FIN'!$A$1:$O$113,15,0)),0,VLOOKUP($U$442,'TAR FIN'!$A$1:$O$113,15,0))*(1-0.04)</f>
        <v>350.88</v>
      </c>
      <c r="Y442" s="56">
        <f ca="1">('TUSD BE'!$AM$13+'TUSD BF'!$AM$13+'TUSD CVA'!$AM$13)*1*(1-0.02)</f>
        <v>71.621212919574702</v>
      </c>
      <c r="Z442" s="56">
        <f ca="1">('TUSD BE'!$AM$15+'TUSD BF'!$AM$15+'TUSD CVA'!$AM$15)*1*(1-0.02)</f>
        <v>63.70726143397826</v>
      </c>
      <c r="AA442" s="56">
        <f>('TE BE'!$AA$10+'TE BF'!$AA$10+'TE CVA'!$AA$10)*1*(1-0.02)</f>
        <v>354.31913150043306</v>
      </c>
      <c r="AB442" s="4">
        <f>$K$442*$V$442</f>
        <v>21685.910399999997</v>
      </c>
      <c r="AC442" s="4">
        <f>$M$442*$W$442</f>
        <v>713.97371520000002</v>
      </c>
      <c r="AD442" s="4">
        <f>$O$442*$X$442</f>
        <v>5089.86528</v>
      </c>
      <c r="AE442" s="4">
        <f ca="1">$K$442*$Y$442</f>
        <v>25998.500289805615</v>
      </c>
      <c r="AF442" s="4">
        <f ca="1">$M$442*$Z$442</f>
        <v>924.13753436128866</v>
      </c>
      <c r="AG442" s="4">
        <f>$O$442*$AA$442</f>
        <v>5139.7533215452822</v>
      </c>
    </row>
    <row r="443" spans="1:33" ht="11.25" customHeight="1" x14ac:dyDescent="0.25">
      <c r="A443" s="3" t="s">
        <v>21</v>
      </c>
      <c r="B443" s="3" t="s">
        <v>41</v>
      </c>
      <c r="C443" s="3" t="s">
        <v>40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44348</v>
      </c>
      <c r="J443" s="4">
        <v>449</v>
      </c>
      <c r="K443" s="56">
        <v>449</v>
      </c>
      <c r="L443" s="4">
        <v>14.18</v>
      </c>
      <c r="M443" s="56">
        <v>14.18</v>
      </c>
      <c r="N443" s="4">
        <v>14.18</v>
      </c>
      <c r="O443" s="56">
        <v>14.18</v>
      </c>
      <c r="P443" s="4">
        <v>0</v>
      </c>
      <c r="Q443" s="3" t="s">
        <v>26</v>
      </c>
      <c r="R443" s="3">
        <v>0</v>
      </c>
      <c r="S443" s="4">
        <v>11</v>
      </c>
      <c r="T443" s="4">
        <v>110</v>
      </c>
      <c r="U443" s="4">
        <v>88</v>
      </c>
      <c r="V443" s="56">
        <f>IF(ISERROR(VLOOKUP($S$443,'TAR FIN'!$A$1:$O$113,15,0)),0,VLOOKUP($S$443,'TAR FIN'!$A$1:$O$113,15,0))*(1-0.04)</f>
        <v>59.740799999999993</v>
      </c>
      <c r="W443" s="56">
        <f>IF(ISERROR(VLOOKUP($T$443,'TAR FIN'!$A$1:$O$113,15,0)),0,VLOOKUP($T$443,'TAR FIN'!$A$1:$O$113,15,0))*(1-0.04)</f>
        <v>49.219200000000001</v>
      </c>
      <c r="X443" s="56">
        <f>IF(ISERROR(VLOOKUP($U$443,'TAR FIN'!$A$1:$O$113,15,0)),0,VLOOKUP($U$443,'TAR FIN'!$A$1:$O$113,15,0))*(1-0.04)</f>
        <v>350.88</v>
      </c>
      <c r="Y443" s="56">
        <f ca="1">('TUSD BE'!$AM$13+'TUSD BF'!$AM$13+'TUSD CVA'!$AM$13)*1*(1-0.02)</f>
        <v>71.621212919574702</v>
      </c>
      <c r="Z443" s="56">
        <f ca="1">('TUSD BE'!$AM$15+'TUSD BF'!$AM$15+'TUSD CVA'!$AM$15)*1*(1-0.02)</f>
        <v>63.70726143397826</v>
      </c>
      <c r="AA443" s="56">
        <f>('TE BE'!$AA$10+'TE BF'!$AA$10+'TE CVA'!$AA$10)*1*(1-0.02)</f>
        <v>354.31913150043306</v>
      </c>
      <c r="AB443" s="4">
        <f>$K$443*$V$443</f>
        <v>26823.619199999997</v>
      </c>
      <c r="AC443" s="4">
        <f>$M$443*$W$443</f>
        <v>697.92825600000003</v>
      </c>
      <c r="AD443" s="4">
        <f>$O$443*$X$443</f>
        <v>4975.4784</v>
      </c>
      <c r="AE443" s="4">
        <f ca="1">$K$443*$Y$443</f>
        <v>32157.92460088904</v>
      </c>
      <c r="AF443" s="4">
        <f ca="1">$M$443*$Z$443</f>
        <v>903.36896713381168</v>
      </c>
      <c r="AG443" s="4">
        <f>$O$443*$AA$443</f>
        <v>5024.2452846761407</v>
      </c>
    </row>
    <row r="444" spans="1:33" ht="11.25" customHeight="1" x14ac:dyDescent="0.25">
      <c r="A444" s="3" t="s">
        <v>21</v>
      </c>
      <c r="B444" s="3" t="s">
        <v>41</v>
      </c>
      <c r="C444" s="3" t="s">
        <v>40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44378</v>
      </c>
      <c r="J444" s="4">
        <v>490</v>
      </c>
      <c r="K444" s="56">
        <v>490</v>
      </c>
      <c r="L444" s="4">
        <v>15.058999999999999</v>
      </c>
      <c r="M444" s="56">
        <v>15.058999999999999</v>
      </c>
      <c r="N444" s="4">
        <v>15.058999999999999</v>
      </c>
      <c r="O444" s="56">
        <v>15.058999999999999</v>
      </c>
      <c r="P444" s="4">
        <v>0</v>
      </c>
      <c r="Q444" s="3" t="s">
        <v>26</v>
      </c>
      <c r="R444" s="3">
        <v>0</v>
      </c>
      <c r="S444" s="4">
        <v>11</v>
      </c>
      <c r="T444" s="4">
        <v>110</v>
      </c>
      <c r="U444" s="4">
        <v>88</v>
      </c>
      <c r="V444" s="56">
        <f>IF(ISERROR(VLOOKUP($S$444,'TAR FIN'!$A$1:$O$113,15,0)),0,VLOOKUP($S$444,'TAR FIN'!$A$1:$O$113,15,0))*(1-0.04)</f>
        <v>59.740799999999993</v>
      </c>
      <c r="W444" s="56">
        <f>IF(ISERROR(VLOOKUP($T$444,'TAR FIN'!$A$1:$O$113,15,0)),0,VLOOKUP($T$444,'TAR FIN'!$A$1:$O$113,15,0))*(1-0.04)</f>
        <v>49.219200000000001</v>
      </c>
      <c r="X444" s="56">
        <f>IF(ISERROR(VLOOKUP($U$444,'TAR FIN'!$A$1:$O$113,15,0)),0,VLOOKUP($U$444,'TAR FIN'!$A$1:$O$113,15,0))*(1-0.04)</f>
        <v>350.88</v>
      </c>
      <c r="Y444" s="56">
        <f ca="1">('TUSD BE'!$AM$13+'TUSD BF'!$AM$13+'TUSD CVA'!$AM$13)*1*(1-0.02)</f>
        <v>71.621212919574702</v>
      </c>
      <c r="Z444" s="56">
        <f ca="1">('TUSD BE'!$AM$15+'TUSD BF'!$AM$15+'TUSD CVA'!$AM$15)*1*(1-0.02)</f>
        <v>63.70726143397826</v>
      </c>
      <c r="AA444" s="56">
        <f>('TE BE'!$AA$10+'TE BF'!$AA$10+'TE CVA'!$AA$10)*1*(1-0.02)</f>
        <v>354.31913150043306</v>
      </c>
      <c r="AB444" s="4">
        <f>$K$444*$V$444</f>
        <v>29272.991999999998</v>
      </c>
      <c r="AC444" s="4">
        <f>$M$444*$W$444</f>
        <v>741.19193280000002</v>
      </c>
      <c r="AD444" s="4">
        <f>$O$444*$X$444</f>
        <v>5283.9019199999993</v>
      </c>
      <c r="AE444" s="4">
        <f ca="1">$K$444*$Y$444</f>
        <v>35094.394330591604</v>
      </c>
      <c r="AF444" s="4">
        <f ca="1">$M$444*$Z$444</f>
        <v>959.36764993427857</v>
      </c>
      <c r="AG444" s="4">
        <f>$O$444*$AA$444</f>
        <v>5335.6918012650212</v>
      </c>
    </row>
    <row r="445" spans="1:33" ht="11.25" customHeight="1" x14ac:dyDescent="0.25">
      <c r="A445" s="3" t="s">
        <v>21</v>
      </c>
      <c r="B445" s="3" t="s">
        <v>41</v>
      </c>
      <c r="C445" s="3" t="s">
        <v>40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44409</v>
      </c>
      <c r="J445" s="4">
        <v>573</v>
      </c>
      <c r="K445" s="56">
        <v>573</v>
      </c>
      <c r="L445" s="4">
        <v>18.038</v>
      </c>
      <c r="M445" s="56">
        <v>18.038</v>
      </c>
      <c r="N445" s="4">
        <v>18.038</v>
      </c>
      <c r="O445" s="56">
        <v>18.038</v>
      </c>
      <c r="P445" s="4">
        <v>0</v>
      </c>
      <c r="Q445" s="3" t="s">
        <v>26</v>
      </c>
      <c r="R445" s="3">
        <v>0</v>
      </c>
      <c r="S445" s="4">
        <v>11</v>
      </c>
      <c r="T445" s="4">
        <v>110</v>
      </c>
      <c r="U445" s="4">
        <v>88</v>
      </c>
      <c r="V445" s="56">
        <f>IF(ISERROR(VLOOKUP($S$445,'TAR FIN'!$A$1:$O$113,15,0)),0,VLOOKUP($S$445,'TAR FIN'!$A$1:$O$113,15,0))*(1-0.04)</f>
        <v>59.740799999999993</v>
      </c>
      <c r="W445" s="56">
        <f>IF(ISERROR(VLOOKUP($T$445,'TAR FIN'!$A$1:$O$113,15,0)),0,VLOOKUP($T$445,'TAR FIN'!$A$1:$O$113,15,0))*(1-0.04)</f>
        <v>49.219200000000001</v>
      </c>
      <c r="X445" s="56">
        <f>IF(ISERROR(VLOOKUP($U$445,'TAR FIN'!$A$1:$O$113,15,0)),0,VLOOKUP($U$445,'TAR FIN'!$A$1:$O$113,15,0))*(1-0.04)</f>
        <v>350.88</v>
      </c>
      <c r="Y445" s="56">
        <f ca="1">('TUSD BE'!$AM$13+'TUSD BF'!$AM$13+'TUSD CVA'!$AM$13)*1*(1-0.02)</f>
        <v>71.621212919574702</v>
      </c>
      <c r="Z445" s="56">
        <f ca="1">('TUSD BE'!$AM$15+'TUSD BF'!$AM$15+'TUSD CVA'!$AM$15)*1*(1-0.02)</f>
        <v>63.70726143397826</v>
      </c>
      <c r="AA445" s="56">
        <f>('TE BE'!$AA$10+'TE BF'!$AA$10+'TE CVA'!$AA$10)*1*(1-0.02)</f>
        <v>354.31913150043306</v>
      </c>
      <c r="AB445" s="4">
        <f>$K$445*$V$445</f>
        <v>34231.478399999993</v>
      </c>
      <c r="AC445" s="4">
        <f>$M$445*$W$445</f>
        <v>887.8159296</v>
      </c>
      <c r="AD445" s="4">
        <f>$O$445*$X$445</f>
        <v>6329.1734399999996</v>
      </c>
      <c r="AE445" s="4">
        <f ca="1">$K$445*$Y$445</f>
        <v>41038.955002916307</v>
      </c>
      <c r="AF445" s="4">
        <f ca="1">$M$445*$Z$445</f>
        <v>1149.1515817461</v>
      </c>
      <c r="AG445" s="4">
        <f>$O$445*$AA$445</f>
        <v>6391.2084940048117</v>
      </c>
    </row>
    <row r="446" spans="1:33" ht="11.25" customHeight="1" x14ac:dyDescent="0.25">
      <c r="A446" s="3" t="s">
        <v>21</v>
      </c>
      <c r="B446" s="3" t="s">
        <v>41</v>
      </c>
      <c r="C446" s="3" t="s">
        <v>40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44440</v>
      </c>
      <c r="J446" s="4">
        <v>464</v>
      </c>
      <c r="K446" s="56">
        <v>464</v>
      </c>
      <c r="L446" s="4">
        <v>17.111999999999998</v>
      </c>
      <c r="M446" s="56">
        <v>17.111999999999998</v>
      </c>
      <c r="N446" s="4">
        <v>17.111999999999998</v>
      </c>
      <c r="O446" s="56">
        <v>17.111999999999998</v>
      </c>
      <c r="P446" s="4">
        <v>0</v>
      </c>
      <c r="Q446" s="3" t="s">
        <v>26</v>
      </c>
      <c r="R446" s="3">
        <v>0</v>
      </c>
      <c r="S446" s="4">
        <v>11</v>
      </c>
      <c r="T446" s="4">
        <v>110</v>
      </c>
      <c r="U446" s="4">
        <v>88</v>
      </c>
      <c r="V446" s="56">
        <f>IF(ISERROR(VLOOKUP($S$446,'TAR FIN'!$A$1:$O$113,15,0)),0,VLOOKUP($S$446,'TAR FIN'!$A$1:$O$113,15,0))*(1-0.04)</f>
        <v>59.740799999999993</v>
      </c>
      <c r="W446" s="56">
        <f>IF(ISERROR(VLOOKUP($T$446,'TAR FIN'!$A$1:$O$113,15,0)),0,VLOOKUP($T$446,'TAR FIN'!$A$1:$O$113,15,0))*(1-0.04)</f>
        <v>49.219200000000001</v>
      </c>
      <c r="X446" s="56">
        <f>IF(ISERROR(VLOOKUP($U$446,'TAR FIN'!$A$1:$O$113,15,0)),0,VLOOKUP($U$446,'TAR FIN'!$A$1:$O$113,15,0))*(1-0.04)</f>
        <v>350.88</v>
      </c>
      <c r="Y446" s="56">
        <f ca="1">('TUSD BE'!$AM$13+'TUSD BF'!$AM$13+'TUSD CVA'!$AM$13)*1*(1-0.02)</f>
        <v>71.621212919574702</v>
      </c>
      <c r="Z446" s="56">
        <f ca="1">('TUSD BE'!$AM$15+'TUSD BF'!$AM$15+'TUSD CVA'!$AM$15)*1*(1-0.02)</f>
        <v>63.70726143397826</v>
      </c>
      <c r="AA446" s="56">
        <f>('TE BE'!$AA$10+'TE BF'!$AA$10+'TE CVA'!$AA$10)*1*(1-0.02)</f>
        <v>354.31913150043306</v>
      </c>
      <c r="AB446" s="4">
        <f>$K$446*$V$446</f>
        <v>27719.731199999998</v>
      </c>
      <c r="AC446" s="4">
        <f>$M$446*$W$446</f>
        <v>842.23895039999991</v>
      </c>
      <c r="AD446" s="4">
        <f>$O$446*$X$446</f>
        <v>6004.2585599999993</v>
      </c>
      <c r="AE446" s="4">
        <f ca="1">$K$446*$Y$446</f>
        <v>33232.242794682665</v>
      </c>
      <c r="AF446" s="4">
        <f ca="1">$M$446*$Z$446</f>
        <v>1090.1586576582358</v>
      </c>
      <c r="AG446" s="4">
        <f>$O$446*$AA$446</f>
        <v>6063.1089782354102</v>
      </c>
    </row>
    <row r="447" spans="1:33" ht="11.25" customHeight="1" x14ac:dyDescent="0.25">
      <c r="A447" s="3" t="s">
        <v>21</v>
      </c>
      <c r="B447" s="3" t="s">
        <v>41</v>
      </c>
      <c r="C447" s="3" t="s">
        <v>40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44470</v>
      </c>
      <c r="J447" s="4">
        <v>454</v>
      </c>
      <c r="K447" s="56">
        <v>454</v>
      </c>
      <c r="L447" s="4">
        <v>17.024999999999999</v>
      </c>
      <c r="M447" s="56">
        <v>17.024999999999999</v>
      </c>
      <c r="N447" s="4">
        <v>17.024999999999999</v>
      </c>
      <c r="O447" s="56">
        <v>17.024999999999999</v>
      </c>
      <c r="P447" s="4">
        <v>0</v>
      </c>
      <c r="Q447" s="3" t="s">
        <v>26</v>
      </c>
      <c r="R447" s="3">
        <v>0</v>
      </c>
      <c r="S447" s="4">
        <v>11</v>
      </c>
      <c r="T447" s="4">
        <v>110</v>
      </c>
      <c r="U447" s="4">
        <v>88</v>
      </c>
      <c r="V447" s="56">
        <f>IF(ISERROR(VLOOKUP($S$447,'TAR FIN'!$A$1:$O$113,15,0)),0,VLOOKUP($S$447,'TAR FIN'!$A$1:$O$113,15,0))*(1-0.04)</f>
        <v>59.740799999999993</v>
      </c>
      <c r="W447" s="56">
        <f>IF(ISERROR(VLOOKUP($T$447,'TAR FIN'!$A$1:$O$113,15,0)),0,VLOOKUP($T$447,'TAR FIN'!$A$1:$O$113,15,0))*(1-0.04)</f>
        <v>49.219200000000001</v>
      </c>
      <c r="X447" s="56">
        <f>IF(ISERROR(VLOOKUP($U$447,'TAR FIN'!$A$1:$O$113,15,0)),0,VLOOKUP($U$447,'TAR FIN'!$A$1:$O$113,15,0))*(1-0.04)</f>
        <v>350.88</v>
      </c>
      <c r="Y447" s="56">
        <f ca="1">('TUSD BE'!$AM$13+'TUSD BF'!$AM$13+'TUSD CVA'!$AM$13)*1*(1-0.02)</f>
        <v>71.621212919574702</v>
      </c>
      <c r="Z447" s="56">
        <f ca="1">('TUSD BE'!$AM$15+'TUSD BF'!$AM$15+'TUSD CVA'!$AM$15)*1*(1-0.02)</f>
        <v>63.70726143397826</v>
      </c>
      <c r="AA447" s="56">
        <f>('TE BE'!$AA$10+'TE BF'!$AA$10+'TE CVA'!$AA$10)*1*(1-0.02)</f>
        <v>354.31913150043306</v>
      </c>
      <c r="AB447" s="4">
        <f>$K$447*$V$447</f>
        <v>27122.323199999995</v>
      </c>
      <c r="AC447" s="4">
        <f>$M$447*$W$447</f>
        <v>837.95687999999996</v>
      </c>
      <c r="AD447" s="4">
        <f>$O$447*$X$447</f>
        <v>5973.7319999999991</v>
      </c>
      <c r="AE447" s="4">
        <f ca="1">$K$447*$Y$447</f>
        <v>32516.030665486916</v>
      </c>
      <c r="AF447" s="4">
        <f ca="1">$M$447*$Z$447</f>
        <v>1084.6161259134799</v>
      </c>
      <c r="AG447" s="4">
        <f>$O$447*$AA$447</f>
        <v>6032.2832137948726</v>
      </c>
    </row>
    <row r="448" spans="1:33" ht="11.25" customHeight="1" x14ac:dyDescent="0.25">
      <c r="A448" s="3" t="s">
        <v>21</v>
      </c>
      <c r="B448" s="3" t="s">
        <v>41</v>
      </c>
      <c r="C448" s="3" t="s">
        <v>40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44501</v>
      </c>
      <c r="J448" s="4">
        <v>619</v>
      </c>
      <c r="K448" s="56">
        <v>619</v>
      </c>
      <c r="L448" s="4">
        <v>17.184999999999999</v>
      </c>
      <c r="M448" s="56">
        <v>17.184999999999999</v>
      </c>
      <c r="N448" s="4">
        <v>17.184999999999999</v>
      </c>
      <c r="O448" s="56">
        <v>17.184999999999999</v>
      </c>
      <c r="P448" s="4">
        <v>0</v>
      </c>
      <c r="Q448" s="3" t="s">
        <v>26</v>
      </c>
      <c r="R448" s="3">
        <v>0</v>
      </c>
      <c r="S448" s="4">
        <v>11</v>
      </c>
      <c r="T448" s="4">
        <v>110</v>
      </c>
      <c r="U448" s="4">
        <v>88</v>
      </c>
      <c r="V448" s="56">
        <f>IF(ISERROR(VLOOKUP($S$448,'TAR FIN'!$A$1:$O$113,15,0)),0,VLOOKUP($S$448,'TAR FIN'!$A$1:$O$113,15,0))*(1-0.04)</f>
        <v>59.740799999999993</v>
      </c>
      <c r="W448" s="56">
        <f>IF(ISERROR(VLOOKUP($T$448,'TAR FIN'!$A$1:$O$113,15,0)),0,VLOOKUP($T$448,'TAR FIN'!$A$1:$O$113,15,0))*(1-0.04)</f>
        <v>49.219200000000001</v>
      </c>
      <c r="X448" s="56">
        <f>IF(ISERROR(VLOOKUP($U$448,'TAR FIN'!$A$1:$O$113,15,0)),0,VLOOKUP($U$448,'TAR FIN'!$A$1:$O$113,15,0))*(1-0.04)</f>
        <v>350.88</v>
      </c>
      <c r="Y448" s="56">
        <f ca="1">('TUSD BE'!$AM$13+'TUSD BF'!$AM$13+'TUSD CVA'!$AM$13)*1*(1-0.02)</f>
        <v>71.621212919574702</v>
      </c>
      <c r="Z448" s="56">
        <f ca="1">('TUSD BE'!$AM$15+'TUSD BF'!$AM$15+'TUSD CVA'!$AM$15)*1*(1-0.02)</f>
        <v>63.70726143397826</v>
      </c>
      <c r="AA448" s="56">
        <f>('TE BE'!$AA$10+'TE BF'!$AA$10+'TE CVA'!$AA$10)*1*(1-0.02)</f>
        <v>354.31913150043306</v>
      </c>
      <c r="AB448" s="4">
        <f>$K$448*$V$448</f>
        <v>36979.555199999995</v>
      </c>
      <c r="AC448" s="4">
        <f>$M$448*$W$448</f>
        <v>845.831952</v>
      </c>
      <c r="AD448" s="4">
        <f>$O$448*$X$448</f>
        <v>6029.8727999999992</v>
      </c>
      <c r="AE448" s="4">
        <f ca="1">$K$448*$Y$448</f>
        <v>44333.530797216743</v>
      </c>
      <c r="AF448" s="4">
        <f ca="1">$M$448*$Z$448</f>
        <v>1094.8092877429162</v>
      </c>
      <c r="AG448" s="4">
        <f>$O$448*$AA$448</f>
        <v>6088.9742748349418</v>
      </c>
    </row>
    <row r="449" spans="1:33" ht="11.25" customHeight="1" x14ac:dyDescent="0.25">
      <c r="A449" s="3" t="s">
        <v>21</v>
      </c>
      <c r="B449" s="3" t="s">
        <v>41</v>
      </c>
      <c r="C449" s="3" t="s">
        <v>40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44531</v>
      </c>
      <c r="J449" s="4">
        <v>690</v>
      </c>
      <c r="K449" s="56">
        <v>690</v>
      </c>
      <c r="L449" s="4">
        <v>24.850999999999999</v>
      </c>
      <c r="M449" s="56">
        <v>24.850999999999999</v>
      </c>
      <c r="N449" s="4">
        <v>24.850999999999999</v>
      </c>
      <c r="O449" s="56">
        <v>24.850999999999999</v>
      </c>
      <c r="P449" s="4">
        <v>0</v>
      </c>
      <c r="Q449" s="3" t="s">
        <v>26</v>
      </c>
      <c r="R449" s="3">
        <v>0</v>
      </c>
      <c r="S449" s="4">
        <v>11</v>
      </c>
      <c r="T449" s="4">
        <v>110</v>
      </c>
      <c r="U449" s="4">
        <v>88</v>
      </c>
      <c r="V449" s="56">
        <f>IF(ISERROR(VLOOKUP($S$449,'TAR FIN'!$A$1:$O$113,15,0)),0,VLOOKUP($S$449,'TAR FIN'!$A$1:$O$113,15,0))*(1-0.04)</f>
        <v>59.740799999999993</v>
      </c>
      <c r="W449" s="56">
        <f>IF(ISERROR(VLOOKUP($T$449,'TAR FIN'!$A$1:$O$113,15,0)),0,VLOOKUP($T$449,'TAR FIN'!$A$1:$O$113,15,0))*(1-0.04)</f>
        <v>49.219200000000001</v>
      </c>
      <c r="X449" s="56">
        <f>IF(ISERROR(VLOOKUP($U$449,'TAR FIN'!$A$1:$O$113,15,0)),0,VLOOKUP($U$449,'TAR FIN'!$A$1:$O$113,15,0))*(1-0.04)</f>
        <v>350.88</v>
      </c>
      <c r="Y449" s="56">
        <f ca="1">('TUSD BE'!$AM$13+'TUSD BF'!$AM$13+'TUSD CVA'!$AM$13)*1*(1-0.02)</f>
        <v>71.621212919574702</v>
      </c>
      <c r="Z449" s="56">
        <f ca="1">('TUSD BE'!$AM$15+'TUSD BF'!$AM$15+'TUSD CVA'!$AM$15)*1*(1-0.02)</f>
        <v>63.70726143397826</v>
      </c>
      <c r="AA449" s="56">
        <f>('TE BE'!$AA$10+'TE BF'!$AA$10+'TE CVA'!$AA$10)*1*(1-0.02)</f>
        <v>354.31913150043306</v>
      </c>
      <c r="AB449" s="4">
        <f>$K$449*$V$449</f>
        <v>41221.151999999995</v>
      </c>
      <c r="AC449" s="4">
        <f>$M$449*$W$449</f>
        <v>1223.1463392000001</v>
      </c>
      <c r="AD449" s="4">
        <f>$O$449*$X$449</f>
        <v>8719.7188800000004</v>
      </c>
      <c r="AE449" s="4">
        <f ca="1">$K$449*$Y$449</f>
        <v>49418.636914506547</v>
      </c>
      <c r="AF449" s="4">
        <f ca="1">$M$449*$Z$449</f>
        <v>1583.1891538957937</v>
      </c>
      <c r="AG449" s="4">
        <f>$O$449*$AA$449</f>
        <v>8805.184736917261</v>
      </c>
    </row>
    <row r="450" spans="1:33" ht="11.25" customHeight="1" x14ac:dyDescent="0.25">
      <c r="A450" s="3" t="s">
        <v>21</v>
      </c>
      <c r="B450" s="3" t="s">
        <v>41</v>
      </c>
      <c r="C450" s="3" t="s">
        <v>40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44562</v>
      </c>
      <c r="J450" s="4">
        <v>766</v>
      </c>
      <c r="K450" s="56">
        <v>766</v>
      </c>
      <c r="L450" s="4">
        <v>19.818999999999999</v>
      </c>
      <c r="M450" s="56">
        <v>19.818999999999999</v>
      </c>
      <c r="N450" s="4">
        <v>19.818999999999999</v>
      </c>
      <c r="O450" s="56">
        <v>19.818999999999999</v>
      </c>
      <c r="P450" s="4">
        <v>0</v>
      </c>
      <c r="Q450" s="3" t="s">
        <v>26</v>
      </c>
      <c r="R450" s="3">
        <v>0</v>
      </c>
      <c r="S450" s="4">
        <v>11</v>
      </c>
      <c r="T450" s="4">
        <v>110</v>
      </c>
      <c r="U450" s="4">
        <v>88</v>
      </c>
      <c r="V450" s="56">
        <f>IF(ISERROR(VLOOKUP($S$450,'TAR FIN'!$A$1:$O$113,15,0)),0,VLOOKUP($S$450,'TAR FIN'!$A$1:$O$113,15,0))*(1-0.04)</f>
        <v>59.740799999999993</v>
      </c>
      <c r="W450" s="56">
        <f>IF(ISERROR(VLOOKUP($T$450,'TAR FIN'!$A$1:$O$113,15,0)),0,VLOOKUP($T$450,'TAR FIN'!$A$1:$O$113,15,0))*(1-0.04)</f>
        <v>49.219200000000001</v>
      </c>
      <c r="X450" s="56">
        <f>IF(ISERROR(VLOOKUP($U$450,'TAR FIN'!$A$1:$O$113,15,0)),0,VLOOKUP($U$450,'TAR FIN'!$A$1:$O$113,15,0))*(1-0.04)</f>
        <v>350.88</v>
      </c>
      <c r="Y450" s="56">
        <f ca="1">('TUSD BE'!$AM$13+'TUSD BF'!$AM$13+'TUSD CVA'!$AM$13)*1*(1-0.02)</f>
        <v>71.621212919574702</v>
      </c>
      <c r="Z450" s="56">
        <f ca="1">('TUSD BE'!$AM$15+'TUSD BF'!$AM$15+'TUSD CVA'!$AM$15)*1*(1-0.02)</f>
        <v>63.70726143397826</v>
      </c>
      <c r="AA450" s="56">
        <f>('TE BE'!$AA$10+'TE BF'!$AA$10+'TE CVA'!$AA$10)*1*(1-0.02)</f>
        <v>354.31913150043306</v>
      </c>
      <c r="AB450" s="4">
        <f>$K$450*$V$450</f>
        <v>45761.452799999992</v>
      </c>
      <c r="AC450" s="4">
        <f>$M$450*$W$450</f>
        <v>975.47532479999995</v>
      </c>
      <c r="AD450" s="4">
        <f>$O$450*$X$450</f>
        <v>6954.0907199999992</v>
      </c>
      <c r="AE450" s="4">
        <f ca="1">$K$450*$Y$450</f>
        <v>54861.849096394224</v>
      </c>
      <c r="AF450" s="4">
        <f ca="1">$M$450*$Z$450</f>
        <v>1262.614214360015</v>
      </c>
      <c r="AG450" s="4">
        <f>$O$450*$AA$450</f>
        <v>7022.2508672070826</v>
      </c>
    </row>
    <row r="451" spans="1:33" ht="11.25" customHeight="1" x14ac:dyDescent="0.25">
      <c r="A451" s="3" t="s">
        <v>21</v>
      </c>
      <c r="B451" s="3" t="s">
        <v>41</v>
      </c>
      <c r="C451" s="3" t="s">
        <v>40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34</v>
      </c>
      <c r="I451" s="6">
        <v>44593</v>
      </c>
      <c r="J451" s="4">
        <v>737</v>
      </c>
      <c r="K451" s="56">
        <v>737</v>
      </c>
      <c r="L451" s="4">
        <v>23.018000000000001</v>
      </c>
      <c r="M451" s="56">
        <v>23.018000000000001</v>
      </c>
      <c r="N451" s="4">
        <v>23.018000000000001</v>
      </c>
      <c r="O451" s="56">
        <v>23.018000000000001</v>
      </c>
      <c r="P451" s="4">
        <v>0</v>
      </c>
      <c r="Q451" s="3" t="s">
        <v>26</v>
      </c>
      <c r="R451" s="3">
        <v>0</v>
      </c>
      <c r="S451" s="4">
        <v>11</v>
      </c>
      <c r="T451" s="4">
        <v>110</v>
      </c>
      <c r="U451" s="4">
        <v>88</v>
      </c>
      <c r="V451" s="56">
        <f>IF(ISERROR(VLOOKUP($S$451,'TAR FIN'!$A$1:$O$113,15,0)),0,VLOOKUP($S$451,'TAR FIN'!$A$1:$O$113,15,0))*(1-0.04)</f>
        <v>59.740799999999993</v>
      </c>
      <c r="W451" s="56">
        <f>IF(ISERROR(VLOOKUP($T$451,'TAR FIN'!$A$1:$O$113,15,0)),0,VLOOKUP($T$451,'TAR FIN'!$A$1:$O$113,15,0))*(1-0.04)</f>
        <v>49.219200000000001</v>
      </c>
      <c r="X451" s="56">
        <f>IF(ISERROR(VLOOKUP($U$451,'TAR FIN'!$A$1:$O$113,15,0)),0,VLOOKUP($U$451,'TAR FIN'!$A$1:$O$113,15,0))*(1-0.04)</f>
        <v>350.88</v>
      </c>
      <c r="Y451" s="56">
        <f ca="1">('TUSD BE'!$AM$13+'TUSD BF'!$AM$13+'TUSD CVA'!$AM$13)*1*(1-0.02)</f>
        <v>71.621212919574702</v>
      </c>
      <c r="Z451" s="56">
        <f ca="1">('TUSD BE'!$AM$15+'TUSD BF'!$AM$15+'TUSD CVA'!$AM$15)*1*(1-0.02)</f>
        <v>63.70726143397826</v>
      </c>
      <c r="AA451" s="56">
        <f>('TE BE'!$AA$10+'TE BF'!$AA$10+'TE CVA'!$AA$10)*1*(1-0.02)</f>
        <v>354.31913150043306</v>
      </c>
      <c r="AB451" s="4">
        <f>$K$451*$V$451</f>
        <v>44028.969599999997</v>
      </c>
      <c r="AC451" s="4">
        <f>$M$451*$W$451</f>
        <v>1132.9275456</v>
      </c>
      <c r="AD451" s="4">
        <f>$O$451*$X$451</f>
        <v>8076.55584</v>
      </c>
      <c r="AE451" s="4">
        <f ca="1">$K$451*$Y$451</f>
        <v>52784.833921726553</v>
      </c>
      <c r="AF451" s="4">
        <f ca="1">$M$451*$Z$451</f>
        <v>1466.4137436873116</v>
      </c>
      <c r="AG451" s="4">
        <f>$O$451*$AA$451</f>
        <v>8155.717768876968</v>
      </c>
    </row>
    <row r="452" spans="1:33" ht="11.25" customHeight="1" x14ac:dyDescent="0.25">
      <c r="A452" s="3" t="s">
        <v>56</v>
      </c>
      <c r="B452" s="3" t="s">
        <v>41</v>
      </c>
      <c r="C452" s="3" t="s">
        <v>40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34</v>
      </c>
      <c r="I452" s="6">
        <v>44621</v>
      </c>
      <c r="J452" s="4">
        <v>737</v>
      </c>
      <c r="K452" s="56">
        <v>737</v>
      </c>
      <c r="L452" s="4">
        <v>23.018000000000001</v>
      </c>
      <c r="M452" s="56">
        <v>23.018000000000001</v>
      </c>
      <c r="N452" s="4">
        <v>23.018000000000001</v>
      </c>
      <c r="O452" s="56">
        <v>23.018000000000001</v>
      </c>
      <c r="P452" s="4">
        <v>0</v>
      </c>
      <c r="Q452" s="3" t="s">
        <v>26</v>
      </c>
      <c r="R452" s="3">
        <v>0</v>
      </c>
      <c r="S452" s="4">
        <v>11</v>
      </c>
      <c r="T452" s="4">
        <v>110</v>
      </c>
      <c r="U452" s="4">
        <v>88</v>
      </c>
      <c r="V452" s="56">
        <f>IF(ISERROR(VLOOKUP($S$452,'TAR FIN'!$A$1:$O$113,15,0)),0,VLOOKUP($S$452,'TAR FIN'!$A$1:$O$113,15,0))*(1-0.04)</f>
        <v>59.740799999999993</v>
      </c>
      <c r="W452" s="56">
        <f>IF(ISERROR(VLOOKUP($T$452,'TAR FIN'!$A$1:$O$113,15,0)),0,VLOOKUP($T$452,'TAR FIN'!$A$1:$O$113,15,0))*(1-0.04)</f>
        <v>49.219200000000001</v>
      </c>
      <c r="X452" s="56">
        <f>IF(ISERROR(VLOOKUP($U$452,'TAR FIN'!$A$1:$O$113,15,0)),0,VLOOKUP($U$452,'TAR FIN'!$A$1:$O$113,15,0))*(1-0.04)</f>
        <v>350.88</v>
      </c>
      <c r="Y452" s="56">
        <f ca="1">('TUSD BE'!$AM$13+'TUSD BF'!$AM$13+'TUSD CVA'!$AM$13)*1*(1-0.02)</f>
        <v>71.621212919574702</v>
      </c>
      <c r="Z452" s="56">
        <f ca="1">('TUSD BE'!$AM$15+'TUSD BF'!$AM$15+'TUSD CVA'!$AM$15)*1*(1-0.02)</f>
        <v>63.70726143397826</v>
      </c>
      <c r="AA452" s="56">
        <f>('TE BE'!$AA$10+'TE BF'!$AA$10+'TE CVA'!$AA$10)*1*(1-0.02)</f>
        <v>354.31913150043306</v>
      </c>
      <c r="AB452" s="4">
        <f>$K$452*$V$452</f>
        <v>44028.969599999997</v>
      </c>
      <c r="AC452" s="4">
        <f>$M$452*$W$452</f>
        <v>1132.9275456</v>
      </c>
      <c r="AD452" s="4">
        <f>$O$452*$X$452</f>
        <v>8076.55584</v>
      </c>
      <c r="AE452" s="4">
        <f ca="1">$K$452*$Y$452</f>
        <v>52784.833921726553</v>
      </c>
      <c r="AF452" s="4">
        <f ca="1">$M$452*$Z$452</f>
        <v>1466.4137436873116</v>
      </c>
      <c r="AG452" s="4">
        <f>$O$452*$AA$452</f>
        <v>8155.717768876968</v>
      </c>
    </row>
    <row r="453" spans="1:33" ht="11.25" customHeight="1" x14ac:dyDescent="0.25">
      <c r="A453" s="3" t="s">
        <v>21</v>
      </c>
      <c r="B453" s="3" t="s">
        <v>41</v>
      </c>
      <c r="C453" s="3" t="s">
        <v>40</v>
      </c>
      <c r="D453" s="3" t="s">
        <v>50</v>
      </c>
      <c r="E453" s="3" t="s">
        <v>51</v>
      </c>
      <c r="F453" s="3" t="s">
        <v>25</v>
      </c>
      <c r="G453" s="3" t="s">
        <v>25</v>
      </c>
      <c r="H453" s="3" t="s">
        <v>35</v>
      </c>
      <c r="I453" s="6">
        <v>44287</v>
      </c>
      <c r="J453" s="4">
        <v>7026</v>
      </c>
      <c r="K453" s="57">
        <v>7026</v>
      </c>
      <c r="L453" s="4">
        <v>3424.1260000000002</v>
      </c>
      <c r="M453" s="56">
        <v>3424.1260000000002</v>
      </c>
      <c r="N453" s="4">
        <v>3424.1260000000002</v>
      </c>
      <c r="O453" s="56">
        <v>3424.1260000000002</v>
      </c>
      <c r="P453" s="4">
        <v>0</v>
      </c>
      <c r="Q453" s="3" t="s">
        <v>26</v>
      </c>
      <c r="R453" s="3">
        <v>0</v>
      </c>
      <c r="S453" s="4">
        <v>12</v>
      </c>
      <c r="T453" s="4">
        <v>110</v>
      </c>
      <c r="U453" s="4">
        <v>89</v>
      </c>
      <c r="V453" s="56">
        <f>IF(ISERROR(VLOOKUP($S$453,'TAR FIN'!$A$1:$O$113,15,0)),0,VLOOKUP($S$453,'TAR FIN'!$A$1:$O$113,15,0))*(1-0.06)</f>
        <v>22.851399999999998</v>
      </c>
      <c r="W453" s="56">
        <f>IF(ISERROR(VLOOKUP($T$453,'TAR FIN'!$A$1:$O$113,15,0)),0,VLOOKUP($T$453,'TAR FIN'!$A$1:$O$113,15,0))*(1-0.06)</f>
        <v>48.193800000000003</v>
      </c>
      <c r="X453" s="56">
        <f>IF(ISERROR(VLOOKUP($U$453,'TAR FIN'!$A$1:$O$113,15,0)),0,VLOOKUP($U$453,'TAR FIN'!$A$1:$O$113,15,0))*(1-0.06)</f>
        <v>208.97139999999999</v>
      </c>
      <c r="Y453" s="56">
        <f ca="1">('TUSD BE'!$AM$14+'TUSD BF'!$AM$14+'TUSD CVA'!$AM$14)*1*(1-0.03)</f>
        <v>25.800132407241311</v>
      </c>
      <c r="Z453" s="56">
        <f ca="1">('TUSD BE'!$AM$15+'TUSD BF'!$AM$15+'TUSD CVA'!$AM$15)*1*(1-0.03)</f>
        <v>63.057187337713181</v>
      </c>
      <c r="AA453" s="56">
        <f>('TE BE'!$AA$11+'TE BF'!$AA$11+'TE CVA'!$AA$11)*1*(1-0.03)</f>
        <v>216.45124957683362</v>
      </c>
      <c r="AB453" s="4">
        <f>$K$453*$V$453</f>
        <v>160553.93639999998</v>
      </c>
      <c r="AC453" s="4">
        <f>$M$453*$W$453</f>
        <v>165021.64361880001</v>
      </c>
      <c r="AD453" s="4">
        <f>$O$453*$X$453</f>
        <v>715544.40399639995</v>
      </c>
      <c r="AE453" s="4">
        <f ca="1">$K$453*$Y$453</f>
        <v>181271.73029327745</v>
      </c>
      <c r="AF453" s="4">
        <f ca="1">$M$453*$Z$453</f>
        <v>215915.7546499345</v>
      </c>
      <c r="AG453" s="4">
        <f>$O$453*$AA$453</f>
        <v>741156.35140852502</v>
      </c>
    </row>
    <row r="454" spans="1:33" ht="11.25" customHeight="1" x14ac:dyDescent="0.25">
      <c r="A454" s="3" t="s">
        <v>21</v>
      </c>
      <c r="B454" s="3" t="s">
        <v>41</v>
      </c>
      <c r="C454" s="3" t="s">
        <v>40</v>
      </c>
      <c r="D454" s="3" t="s">
        <v>50</v>
      </c>
      <c r="E454" s="3" t="s">
        <v>51</v>
      </c>
      <c r="F454" s="3" t="s">
        <v>25</v>
      </c>
      <c r="G454" s="3" t="s">
        <v>25</v>
      </c>
      <c r="H454" s="3" t="s">
        <v>35</v>
      </c>
      <c r="I454" s="6">
        <v>44317</v>
      </c>
      <c r="J454" s="4">
        <v>7064</v>
      </c>
      <c r="K454" s="57">
        <v>7064</v>
      </c>
      <c r="L454" s="4">
        <v>3484.2539999999999</v>
      </c>
      <c r="M454" s="56">
        <v>3484.2539999999999</v>
      </c>
      <c r="N454" s="4">
        <v>3484.2539999999999</v>
      </c>
      <c r="O454" s="56">
        <v>3484.2539999999999</v>
      </c>
      <c r="P454" s="4">
        <v>0</v>
      </c>
      <c r="Q454" s="3" t="s">
        <v>26</v>
      </c>
      <c r="R454" s="3">
        <v>0</v>
      </c>
      <c r="S454" s="4">
        <v>12</v>
      </c>
      <c r="T454" s="4">
        <v>110</v>
      </c>
      <c r="U454" s="4">
        <v>89</v>
      </c>
      <c r="V454" s="56">
        <f>IF(ISERROR(VLOOKUP($S$454,'TAR FIN'!$A$1:$O$113,15,0)),0,VLOOKUP($S$454,'TAR FIN'!$A$1:$O$113,15,0))*(1-0.06)</f>
        <v>22.851399999999998</v>
      </c>
      <c r="W454" s="56">
        <f>IF(ISERROR(VLOOKUP($T$454,'TAR FIN'!$A$1:$O$113,15,0)),0,VLOOKUP($T$454,'TAR FIN'!$A$1:$O$113,15,0))*(1-0.06)</f>
        <v>48.193800000000003</v>
      </c>
      <c r="X454" s="56">
        <f>IF(ISERROR(VLOOKUP($U$454,'TAR FIN'!$A$1:$O$113,15,0)),0,VLOOKUP($U$454,'TAR FIN'!$A$1:$O$113,15,0))*(1-0.06)</f>
        <v>208.97139999999999</v>
      </c>
      <c r="Y454" s="56">
        <f ca="1">('TUSD BE'!$AM$14+'TUSD BF'!$AM$14+'TUSD CVA'!$AM$14)*1*(1-0.03)</f>
        <v>25.800132407241311</v>
      </c>
      <c r="Z454" s="56">
        <f ca="1">('TUSD BE'!$AM$15+'TUSD BF'!$AM$15+'TUSD CVA'!$AM$15)*1*(1-0.03)</f>
        <v>63.057187337713181</v>
      </c>
      <c r="AA454" s="56">
        <f>('TE BE'!$AA$11+'TE BF'!$AA$11+'TE CVA'!$AA$11)*1*(1-0.03)</f>
        <v>216.45124957683362</v>
      </c>
      <c r="AB454" s="4">
        <f>$K$454*$V$454</f>
        <v>161422.28959999999</v>
      </c>
      <c r="AC454" s="4">
        <f>$M$454*$W$454</f>
        <v>167919.44042520001</v>
      </c>
      <c r="AD454" s="4">
        <f>$O$454*$X$454</f>
        <v>728109.43633559998</v>
      </c>
      <c r="AE454" s="4">
        <f ca="1">$K$454*$Y$454</f>
        <v>182252.13532475263</v>
      </c>
      <c r="AF454" s="4">
        <f ca="1">$M$454*$Z$454</f>
        <v>219707.2572101765</v>
      </c>
      <c r="AG454" s="4">
        <f>$O$454*$AA$454</f>
        <v>754171.13214308082</v>
      </c>
    </row>
    <row r="455" spans="1:33" ht="11.25" customHeight="1" x14ac:dyDescent="0.25">
      <c r="A455" s="3" t="s">
        <v>21</v>
      </c>
      <c r="B455" s="3" t="s">
        <v>41</v>
      </c>
      <c r="C455" s="3" t="s">
        <v>40</v>
      </c>
      <c r="D455" s="3" t="s">
        <v>50</v>
      </c>
      <c r="E455" s="3" t="s">
        <v>51</v>
      </c>
      <c r="F455" s="3" t="s">
        <v>25</v>
      </c>
      <c r="G455" s="3" t="s">
        <v>25</v>
      </c>
      <c r="H455" s="3" t="s">
        <v>35</v>
      </c>
      <c r="I455" s="6">
        <v>44348</v>
      </c>
      <c r="J455" s="4">
        <v>11333</v>
      </c>
      <c r="K455" s="57">
        <v>11333</v>
      </c>
      <c r="L455" s="4">
        <v>5526.6139999999996</v>
      </c>
      <c r="M455" s="56">
        <v>5526.6139999999996</v>
      </c>
      <c r="N455" s="4">
        <v>5526.6139999999996</v>
      </c>
      <c r="O455" s="56">
        <v>5526.6139999999996</v>
      </c>
      <c r="P455" s="4">
        <v>0</v>
      </c>
      <c r="Q455" s="3" t="s">
        <v>26</v>
      </c>
      <c r="R455" s="3">
        <v>0</v>
      </c>
      <c r="S455" s="4">
        <v>12</v>
      </c>
      <c r="T455" s="4">
        <v>110</v>
      </c>
      <c r="U455" s="4">
        <v>89</v>
      </c>
      <c r="V455" s="56">
        <f>IF(ISERROR(VLOOKUP($S$455,'TAR FIN'!$A$1:$O$113,15,0)),0,VLOOKUP($S$455,'TAR FIN'!$A$1:$O$113,15,0))*(1-0.06)</f>
        <v>22.851399999999998</v>
      </c>
      <c r="W455" s="56">
        <f>IF(ISERROR(VLOOKUP($T$455,'TAR FIN'!$A$1:$O$113,15,0)),0,VLOOKUP($T$455,'TAR FIN'!$A$1:$O$113,15,0))*(1-0.06)</f>
        <v>48.193800000000003</v>
      </c>
      <c r="X455" s="56">
        <f>IF(ISERROR(VLOOKUP($U$455,'TAR FIN'!$A$1:$O$113,15,0)),0,VLOOKUP($U$455,'TAR FIN'!$A$1:$O$113,15,0))*(1-0.06)</f>
        <v>208.97139999999999</v>
      </c>
      <c r="Y455" s="56">
        <f ca="1">('TUSD BE'!$AM$14+'TUSD BF'!$AM$14+'TUSD CVA'!$AM$14)*1*(1-0.03)</f>
        <v>25.800132407241311</v>
      </c>
      <c r="Z455" s="56">
        <f ca="1">('TUSD BE'!$AM$15+'TUSD BF'!$AM$15+'TUSD CVA'!$AM$15)*1*(1-0.03)</f>
        <v>63.057187337713181</v>
      </c>
      <c r="AA455" s="56">
        <f>('TE BE'!$AA$11+'TE BF'!$AA$11+'TE CVA'!$AA$11)*1*(1-0.03)</f>
        <v>216.45124957683362</v>
      </c>
      <c r="AB455" s="4">
        <f>$K$455*$V$455</f>
        <v>258974.91619999998</v>
      </c>
      <c r="AC455" s="4">
        <f>$M$455*$W$455</f>
        <v>266348.52979320002</v>
      </c>
      <c r="AD455" s="4">
        <f>$O$455*$X$455</f>
        <v>1154904.2648395998</v>
      </c>
      <c r="AE455" s="4">
        <f ca="1">$K$455*$Y$455</f>
        <v>292392.90057126578</v>
      </c>
      <c r="AF455" s="4">
        <f ca="1">$M$455*$Z$455</f>
        <v>348492.73434122838</v>
      </c>
      <c r="AG455" s="4">
        <f>$O$455*$AA$455</f>
        <v>1196242.5062288227</v>
      </c>
    </row>
    <row r="456" spans="1:33" ht="11.25" customHeight="1" x14ac:dyDescent="0.25">
      <c r="A456" s="3" t="s">
        <v>21</v>
      </c>
      <c r="B456" s="3" t="s">
        <v>41</v>
      </c>
      <c r="C456" s="3" t="s">
        <v>40</v>
      </c>
      <c r="D456" s="3" t="s">
        <v>50</v>
      </c>
      <c r="E456" s="3" t="s">
        <v>51</v>
      </c>
      <c r="F456" s="3" t="s">
        <v>25</v>
      </c>
      <c r="G456" s="3" t="s">
        <v>25</v>
      </c>
      <c r="H456" s="3" t="s">
        <v>35</v>
      </c>
      <c r="I456" s="6">
        <v>44378</v>
      </c>
      <c r="J456" s="4">
        <v>11554</v>
      </c>
      <c r="K456" s="57">
        <v>11554</v>
      </c>
      <c r="L456" s="4">
        <v>5620.0230000000001</v>
      </c>
      <c r="M456" s="56">
        <v>5620.0230000000001</v>
      </c>
      <c r="N456" s="4">
        <v>5620.0230000000001</v>
      </c>
      <c r="O456" s="56">
        <v>5620.0230000000001</v>
      </c>
      <c r="P456" s="4">
        <v>0</v>
      </c>
      <c r="Q456" s="3" t="s">
        <v>26</v>
      </c>
      <c r="R456" s="3">
        <v>0</v>
      </c>
      <c r="S456" s="4">
        <v>12</v>
      </c>
      <c r="T456" s="4">
        <v>110</v>
      </c>
      <c r="U456" s="4">
        <v>89</v>
      </c>
      <c r="V456" s="56">
        <f>IF(ISERROR(VLOOKUP($S$456,'TAR FIN'!$A$1:$O$113,15,0)),0,VLOOKUP($S$456,'TAR FIN'!$A$1:$O$113,15,0))*(1-0.06)</f>
        <v>22.851399999999998</v>
      </c>
      <c r="W456" s="56">
        <f>IF(ISERROR(VLOOKUP($T$456,'TAR FIN'!$A$1:$O$113,15,0)),0,VLOOKUP($T$456,'TAR FIN'!$A$1:$O$113,15,0))*(1-0.06)</f>
        <v>48.193800000000003</v>
      </c>
      <c r="X456" s="56">
        <f>IF(ISERROR(VLOOKUP($U$456,'TAR FIN'!$A$1:$O$113,15,0)),0,VLOOKUP($U$456,'TAR FIN'!$A$1:$O$113,15,0))*(1-0.06)</f>
        <v>208.97139999999999</v>
      </c>
      <c r="Y456" s="56">
        <f ca="1">('TUSD BE'!$AM$14+'TUSD BF'!$AM$14+'TUSD CVA'!$AM$14)*1*(1-0.03)</f>
        <v>25.800132407241311</v>
      </c>
      <c r="Z456" s="56">
        <f ca="1">('TUSD BE'!$AM$15+'TUSD BF'!$AM$15+'TUSD CVA'!$AM$15)*1*(1-0.03)</f>
        <v>63.057187337713181</v>
      </c>
      <c r="AA456" s="56">
        <f>('TE BE'!$AA$11+'TE BF'!$AA$11+'TE CVA'!$AA$11)*1*(1-0.03)</f>
        <v>216.45124957683362</v>
      </c>
      <c r="AB456" s="4">
        <f>$K$456*$V$456</f>
        <v>264025.07559999998</v>
      </c>
      <c r="AC456" s="4">
        <f>$M$456*$W$456</f>
        <v>270850.26445740002</v>
      </c>
      <c r="AD456" s="4">
        <f>$O$456*$X$456</f>
        <v>1174424.0743422001</v>
      </c>
      <c r="AE456" s="4">
        <f ca="1">$K$456*$Y$456</f>
        <v>298094.72983326612</v>
      </c>
      <c r="AF456" s="4">
        <f ca="1">$M$456*$Z$456</f>
        <v>354382.84315325686</v>
      </c>
      <c r="AG456" s="4">
        <f>$O$456*$AA$456</f>
        <v>1216461.0010005452</v>
      </c>
    </row>
    <row r="457" spans="1:33" ht="11.25" customHeight="1" x14ac:dyDescent="0.25">
      <c r="A457" s="3" t="s">
        <v>27</v>
      </c>
      <c r="B457" s="3" t="s">
        <v>41</v>
      </c>
      <c r="C457" s="3" t="s">
        <v>40</v>
      </c>
      <c r="D457" s="3" t="s">
        <v>50</v>
      </c>
      <c r="E457" s="3" t="s">
        <v>51</v>
      </c>
      <c r="F457" s="3" t="s">
        <v>25</v>
      </c>
      <c r="G457" s="3" t="s">
        <v>25</v>
      </c>
      <c r="H457" s="3" t="s">
        <v>35</v>
      </c>
      <c r="I457" s="6">
        <v>44378</v>
      </c>
      <c r="J457" s="4">
        <v>-8</v>
      </c>
      <c r="K457" s="57">
        <v>-8</v>
      </c>
      <c r="L457" s="4">
        <v>-28</v>
      </c>
      <c r="M457" s="56">
        <v>-28</v>
      </c>
      <c r="N457" s="4">
        <v>-28</v>
      </c>
      <c r="O457" s="56">
        <v>-28</v>
      </c>
      <c r="P457" s="4">
        <v>0</v>
      </c>
      <c r="Q457" s="3" t="s">
        <v>26</v>
      </c>
      <c r="R457" s="3">
        <v>0</v>
      </c>
      <c r="S457" s="4">
        <v>12</v>
      </c>
      <c r="T457" s="4">
        <v>110</v>
      </c>
      <c r="U457" s="4">
        <v>89</v>
      </c>
      <c r="V457" s="56">
        <f>IF(ISERROR(VLOOKUP($S$457,'TAR FIN'!$A$1:$O$113,15,0)),0,VLOOKUP($S$457,'TAR FIN'!$A$1:$O$113,15,0))*(1-0.06)</f>
        <v>22.851399999999998</v>
      </c>
      <c r="W457" s="56">
        <f>IF(ISERROR(VLOOKUP($T$457,'TAR FIN'!$A$1:$O$113,15,0)),0,VLOOKUP($T$457,'TAR FIN'!$A$1:$O$113,15,0))*(1-0.06)</f>
        <v>48.193800000000003</v>
      </c>
      <c r="X457" s="56">
        <f>IF(ISERROR(VLOOKUP($U$457,'TAR FIN'!$A$1:$O$113,15,0)),0,VLOOKUP($U$457,'TAR FIN'!$A$1:$O$113,15,0))*(1-0.06)</f>
        <v>208.97139999999999</v>
      </c>
      <c r="Y457" s="56">
        <f ca="1">('TUSD BE'!$AM$14+'TUSD BF'!$AM$14+'TUSD CVA'!$AM$14)*1*(1-0.03)</f>
        <v>25.800132407241311</v>
      </c>
      <c r="Z457" s="56">
        <f ca="1">('TUSD BE'!$AM$15+'TUSD BF'!$AM$15+'TUSD CVA'!$AM$15)*1*(1-0.03)</f>
        <v>63.057187337713181</v>
      </c>
      <c r="AA457" s="56">
        <f>('TE BE'!$AA$11+'TE BF'!$AA$11+'TE CVA'!$AA$11)*1*(1-0.03)</f>
        <v>216.45124957683362</v>
      </c>
      <c r="AB457" s="4">
        <f>$K$457*$V$457</f>
        <v>-182.81119999999999</v>
      </c>
      <c r="AC457" s="4">
        <f>$M$457*$W$457</f>
        <v>-1349.4264000000001</v>
      </c>
      <c r="AD457" s="4">
        <f>$O$457*$X$457</f>
        <v>-5851.1992</v>
      </c>
      <c r="AE457" s="4">
        <f ca="1">$K$457*$Y$457</f>
        <v>-206.40105925793048</v>
      </c>
      <c r="AF457" s="4">
        <f ca="1">$M$457*$Z$457</f>
        <v>-1765.6012454559691</v>
      </c>
      <c r="AG457" s="4">
        <f>$O$457*$AA$457</f>
        <v>-6060.6349881513415</v>
      </c>
    </row>
    <row r="458" spans="1:33" ht="11.25" customHeight="1" x14ac:dyDescent="0.25">
      <c r="A458" s="3" t="s">
        <v>21</v>
      </c>
      <c r="B458" s="3" t="s">
        <v>41</v>
      </c>
      <c r="C458" s="3" t="s">
        <v>40</v>
      </c>
      <c r="D458" s="3" t="s">
        <v>50</v>
      </c>
      <c r="E458" s="3" t="s">
        <v>51</v>
      </c>
      <c r="F458" s="3" t="s">
        <v>25</v>
      </c>
      <c r="G458" s="3" t="s">
        <v>25</v>
      </c>
      <c r="H458" s="3" t="s">
        <v>35</v>
      </c>
      <c r="I458" s="6">
        <v>44409</v>
      </c>
      <c r="J458" s="4">
        <v>5382</v>
      </c>
      <c r="K458" s="57">
        <v>5382</v>
      </c>
      <c r="L458" s="4">
        <v>2391.4760000000001</v>
      </c>
      <c r="M458" s="56">
        <v>2391.4760000000001</v>
      </c>
      <c r="N458" s="4">
        <v>2391.4760000000001</v>
      </c>
      <c r="O458" s="56">
        <v>2391.4760000000001</v>
      </c>
      <c r="P458" s="4">
        <v>0</v>
      </c>
      <c r="Q458" s="3" t="s">
        <v>26</v>
      </c>
      <c r="R458" s="3">
        <v>0</v>
      </c>
      <c r="S458" s="4">
        <v>12</v>
      </c>
      <c r="T458" s="4">
        <v>110</v>
      </c>
      <c r="U458" s="4">
        <v>89</v>
      </c>
      <c r="V458" s="56">
        <f>IF(ISERROR(VLOOKUP($S$458,'TAR FIN'!$A$1:$O$113,15,0)),0,VLOOKUP($S$458,'TAR FIN'!$A$1:$O$113,15,0))*(1-0.06)</f>
        <v>22.851399999999998</v>
      </c>
      <c r="W458" s="56">
        <f>IF(ISERROR(VLOOKUP($T$458,'TAR FIN'!$A$1:$O$113,15,0)),0,VLOOKUP($T$458,'TAR FIN'!$A$1:$O$113,15,0))*(1-0.06)</f>
        <v>48.193800000000003</v>
      </c>
      <c r="X458" s="56">
        <f>IF(ISERROR(VLOOKUP($U$458,'TAR FIN'!$A$1:$O$113,15,0)),0,VLOOKUP($U$458,'TAR FIN'!$A$1:$O$113,15,0))*(1-0.06)</f>
        <v>208.97139999999999</v>
      </c>
      <c r="Y458" s="56">
        <f ca="1">('TUSD BE'!$AM$14+'TUSD BF'!$AM$14+'TUSD CVA'!$AM$14)*1*(1-0.03)</f>
        <v>25.800132407241311</v>
      </c>
      <c r="Z458" s="56">
        <f ca="1">('TUSD BE'!$AM$15+'TUSD BF'!$AM$15+'TUSD CVA'!$AM$15)*1*(1-0.03)</f>
        <v>63.057187337713181</v>
      </c>
      <c r="AA458" s="56">
        <f>('TE BE'!$AA$11+'TE BF'!$AA$11+'TE CVA'!$AA$11)*1*(1-0.03)</f>
        <v>216.45124957683362</v>
      </c>
      <c r="AB458" s="4">
        <f>$K$458*$V$458</f>
        <v>122986.23479999999</v>
      </c>
      <c r="AC458" s="4">
        <f>$M$458*$W$458</f>
        <v>115254.31604880001</v>
      </c>
      <c r="AD458" s="4">
        <f>$O$458*$X$458</f>
        <v>499750.08778639999</v>
      </c>
      <c r="AE458" s="4">
        <f ca="1">$K$458*$Y$458</f>
        <v>138856.31261577274</v>
      </c>
      <c r="AF458" s="4">
        <f ca="1">$M$458*$Z$458</f>
        <v>150799.75014564497</v>
      </c>
      <c r="AG458" s="4">
        <f>$O$458*$AA$458</f>
        <v>517637.96853300778</v>
      </c>
    </row>
    <row r="459" spans="1:33" ht="11.25" customHeight="1" x14ac:dyDescent="0.25">
      <c r="A459" s="3" t="s">
        <v>21</v>
      </c>
      <c r="B459" s="3" t="s">
        <v>41</v>
      </c>
      <c r="C459" s="3" t="s">
        <v>40</v>
      </c>
      <c r="D459" s="3" t="s">
        <v>50</v>
      </c>
      <c r="E459" s="3" t="s">
        <v>51</v>
      </c>
      <c r="F459" s="3" t="s">
        <v>25</v>
      </c>
      <c r="G459" s="3" t="s">
        <v>25</v>
      </c>
      <c r="H459" s="3" t="s">
        <v>35</v>
      </c>
      <c r="I459" s="6">
        <v>44440</v>
      </c>
      <c r="J459" s="4">
        <v>5325</v>
      </c>
      <c r="K459" s="57">
        <v>5325</v>
      </c>
      <c r="L459" s="4">
        <v>2351.6170000000002</v>
      </c>
      <c r="M459" s="56">
        <v>2351.6170000000002</v>
      </c>
      <c r="N459" s="4">
        <v>2351.6170000000002</v>
      </c>
      <c r="O459" s="56">
        <v>2351.6170000000002</v>
      </c>
      <c r="P459" s="4">
        <v>0</v>
      </c>
      <c r="Q459" s="3" t="s">
        <v>26</v>
      </c>
      <c r="R459" s="3">
        <v>0</v>
      </c>
      <c r="S459" s="4">
        <v>12</v>
      </c>
      <c r="T459" s="4">
        <v>110</v>
      </c>
      <c r="U459" s="4">
        <v>89</v>
      </c>
      <c r="V459" s="56">
        <f>IF(ISERROR(VLOOKUP($S$459,'TAR FIN'!$A$1:$O$113,15,0)),0,VLOOKUP($S$459,'TAR FIN'!$A$1:$O$113,15,0))*(1-0.06)</f>
        <v>22.851399999999998</v>
      </c>
      <c r="W459" s="56">
        <f>IF(ISERROR(VLOOKUP($T$459,'TAR FIN'!$A$1:$O$113,15,0)),0,VLOOKUP($T$459,'TAR FIN'!$A$1:$O$113,15,0))*(1-0.06)</f>
        <v>48.193800000000003</v>
      </c>
      <c r="X459" s="56">
        <f>IF(ISERROR(VLOOKUP($U$459,'TAR FIN'!$A$1:$O$113,15,0)),0,VLOOKUP($U$459,'TAR FIN'!$A$1:$O$113,15,0))*(1-0.06)</f>
        <v>208.97139999999999</v>
      </c>
      <c r="Y459" s="56">
        <f ca="1">('TUSD BE'!$AM$14+'TUSD BF'!$AM$14+'TUSD CVA'!$AM$14)*1*(1-0.03)</f>
        <v>25.800132407241311</v>
      </c>
      <c r="Z459" s="56">
        <f ca="1">('TUSD BE'!$AM$15+'TUSD BF'!$AM$15+'TUSD CVA'!$AM$15)*1*(1-0.03)</f>
        <v>63.057187337713181</v>
      </c>
      <c r="AA459" s="56">
        <f>('TE BE'!$AA$11+'TE BF'!$AA$11+'TE CVA'!$AA$11)*1*(1-0.03)</f>
        <v>216.45124957683362</v>
      </c>
      <c r="AB459" s="4">
        <f>$K$459*$V$459</f>
        <v>121683.70499999999</v>
      </c>
      <c r="AC459" s="4">
        <f>$M$459*$W$459</f>
        <v>113333.35937460001</v>
      </c>
      <c r="AD459" s="4">
        <f>$O$459*$X$459</f>
        <v>491420.69675380003</v>
      </c>
      <c r="AE459" s="4">
        <f ca="1">$K$459*$Y$459</f>
        <v>137385.70506855997</v>
      </c>
      <c r="AF459" s="4">
        <f ca="1">$M$459*$Z$459</f>
        <v>148286.35371555106</v>
      </c>
      <c r="AG459" s="4">
        <f>$O$459*$AA$459</f>
        <v>509010.43817612476</v>
      </c>
    </row>
    <row r="460" spans="1:33" ht="11.25" customHeight="1" x14ac:dyDescent="0.25">
      <c r="A460" s="3" t="s">
        <v>21</v>
      </c>
      <c r="B460" s="3" t="s">
        <v>41</v>
      </c>
      <c r="C460" s="3" t="s">
        <v>40</v>
      </c>
      <c r="D460" s="3" t="s">
        <v>50</v>
      </c>
      <c r="E460" s="3" t="s">
        <v>51</v>
      </c>
      <c r="F460" s="3" t="s">
        <v>25</v>
      </c>
      <c r="G460" s="3" t="s">
        <v>25</v>
      </c>
      <c r="H460" s="3" t="s">
        <v>35</v>
      </c>
      <c r="I460" s="6">
        <v>44470</v>
      </c>
      <c r="J460" s="4">
        <v>5380</v>
      </c>
      <c r="K460" s="57">
        <v>5380</v>
      </c>
      <c r="L460" s="4">
        <v>2387.5569999999998</v>
      </c>
      <c r="M460" s="56">
        <v>2387.5569999999998</v>
      </c>
      <c r="N460" s="4">
        <v>2387.5569999999998</v>
      </c>
      <c r="O460" s="56">
        <v>2387.5569999999998</v>
      </c>
      <c r="P460" s="4">
        <v>0</v>
      </c>
      <c r="Q460" s="3" t="s">
        <v>26</v>
      </c>
      <c r="R460" s="3">
        <v>0</v>
      </c>
      <c r="S460" s="4">
        <v>12</v>
      </c>
      <c r="T460" s="4">
        <v>110</v>
      </c>
      <c r="U460" s="4">
        <v>89</v>
      </c>
      <c r="V460" s="56">
        <f>IF(ISERROR(VLOOKUP($S$460,'TAR FIN'!$A$1:$O$113,15,0)),0,VLOOKUP($S$460,'TAR FIN'!$A$1:$O$113,15,0))*(1-0.06)</f>
        <v>22.851399999999998</v>
      </c>
      <c r="W460" s="56">
        <f>IF(ISERROR(VLOOKUP($T$460,'TAR FIN'!$A$1:$O$113,15,0)),0,VLOOKUP($T$460,'TAR FIN'!$A$1:$O$113,15,0))*(1-0.06)</f>
        <v>48.193800000000003</v>
      </c>
      <c r="X460" s="56">
        <f>IF(ISERROR(VLOOKUP($U$460,'TAR FIN'!$A$1:$O$113,15,0)),0,VLOOKUP($U$460,'TAR FIN'!$A$1:$O$113,15,0))*(1-0.06)</f>
        <v>208.97139999999999</v>
      </c>
      <c r="Y460" s="56">
        <f ca="1">('TUSD BE'!$AM$14+'TUSD BF'!$AM$14+'TUSD CVA'!$AM$14)*1*(1-0.03)</f>
        <v>25.800132407241311</v>
      </c>
      <c r="Z460" s="56">
        <f ca="1">('TUSD BE'!$AM$15+'TUSD BF'!$AM$15+'TUSD CVA'!$AM$15)*1*(1-0.03)</f>
        <v>63.057187337713181</v>
      </c>
      <c r="AA460" s="56">
        <f>('TE BE'!$AA$11+'TE BF'!$AA$11+'TE CVA'!$AA$11)*1*(1-0.03)</f>
        <v>216.45124957683362</v>
      </c>
      <c r="AB460" s="4">
        <f>$K$460*$V$460</f>
        <v>122940.53199999999</v>
      </c>
      <c r="AC460" s="4">
        <f>$M$460*$W$460</f>
        <v>115065.4445466</v>
      </c>
      <c r="AD460" s="4">
        <f>$O$460*$X$460</f>
        <v>498931.12886979996</v>
      </c>
      <c r="AE460" s="4">
        <f ca="1">$K$460*$Y$460</f>
        <v>138804.71235095826</v>
      </c>
      <c r="AF460" s="4">
        <f ca="1">$M$460*$Z$460</f>
        <v>150552.62902846845</v>
      </c>
      <c r="AG460" s="4">
        <f>$O$460*$AA$460</f>
        <v>516789.69608591608</v>
      </c>
    </row>
    <row r="461" spans="1:33" ht="11.25" customHeight="1" x14ac:dyDescent="0.25">
      <c r="A461" s="3" t="s">
        <v>21</v>
      </c>
      <c r="B461" s="3" t="s">
        <v>41</v>
      </c>
      <c r="C461" s="3" t="s">
        <v>40</v>
      </c>
      <c r="D461" s="3" t="s">
        <v>50</v>
      </c>
      <c r="E461" s="3" t="s">
        <v>51</v>
      </c>
      <c r="F461" s="3" t="s">
        <v>25</v>
      </c>
      <c r="G461" s="3" t="s">
        <v>25</v>
      </c>
      <c r="H461" s="3" t="s">
        <v>35</v>
      </c>
      <c r="I461" s="6">
        <v>44501</v>
      </c>
      <c r="J461" s="4">
        <v>5360</v>
      </c>
      <c r="K461" s="57">
        <v>5360</v>
      </c>
      <c r="L461" s="4">
        <v>2342.62</v>
      </c>
      <c r="M461" s="56">
        <v>2342.62</v>
      </c>
      <c r="N461" s="4">
        <v>2342.62</v>
      </c>
      <c r="O461" s="56">
        <v>2342.62</v>
      </c>
      <c r="P461" s="4">
        <v>0</v>
      </c>
      <c r="Q461" s="3" t="s">
        <v>26</v>
      </c>
      <c r="R461" s="3">
        <v>0</v>
      </c>
      <c r="S461" s="4">
        <v>12</v>
      </c>
      <c r="T461" s="4">
        <v>110</v>
      </c>
      <c r="U461" s="4">
        <v>89</v>
      </c>
      <c r="V461" s="56">
        <f>IF(ISERROR(VLOOKUP($S$461,'TAR FIN'!$A$1:$O$113,15,0)),0,VLOOKUP($S$461,'TAR FIN'!$A$1:$O$113,15,0))*(1-0.06)</f>
        <v>22.851399999999998</v>
      </c>
      <c r="W461" s="56">
        <f>IF(ISERROR(VLOOKUP($T$461,'TAR FIN'!$A$1:$O$113,15,0)),0,VLOOKUP($T$461,'TAR FIN'!$A$1:$O$113,15,0))*(1-0.06)</f>
        <v>48.193800000000003</v>
      </c>
      <c r="X461" s="56">
        <f>IF(ISERROR(VLOOKUP($U$461,'TAR FIN'!$A$1:$O$113,15,0)),0,VLOOKUP($U$461,'TAR FIN'!$A$1:$O$113,15,0))*(1-0.06)</f>
        <v>208.97139999999999</v>
      </c>
      <c r="Y461" s="56">
        <f ca="1">('TUSD BE'!$AM$14+'TUSD BF'!$AM$14+'TUSD CVA'!$AM$14)*1*(1-0.03)</f>
        <v>25.800132407241311</v>
      </c>
      <c r="Z461" s="56">
        <f ca="1">('TUSD BE'!$AM$15+'TUSD BF'!$AM$15+'TUSD CVA'!$AM$15)*1*(1-0.03)</f>
        <v>63.057187337713181</v>
      </c>
      <c r="AA461" s="56">
        <f>('TE BE'!$AA$11+'TE BF'!$AA$11+'TE CVA'!$AA$11)*1*(1-0.03)</f>
        <v>216.45124957683362</v>
      </c>
      <c r="AB461" s="4">
        <f>$K$461*$V$461</f>
        <v>122483.50399999999</v>
      </c>
      <c r="AC461" s="4">
        <f>$M$461*$W$461</f>
        <v>112899.759756</v>
      </c>
      <c r="AD461" s="4">
        <f>$O$461*$X$461</f>
        <v>489540.58106799994</v>
      </c>
      <c r="AE461" s="4">
        <f ca="1">$K$461*$Y$461</f>
        <v>138288.70970281342</v>
      </c>
      <c r="AF461" s="4">
        <f ca="1">$M$461*$Z$461</f>
        <v>147719.02820107364</v>
      </c>
      <c r="AG461" s="4">
        <f>$O$461*$AA$461</f>
        <v>507063.02628368197</v>
      </c>
    </row>
    <row r="462" spans="1:33" ht="11.25" customHeight="1" x14ac:dyDescent="0.25">
      <c r="A462" s="3" t="s">
        <v>21</v>
      </c>
      <c r="B462" s="3" t="s">
        <v>41</v>
      </c>
      <c r="C462" s="3" t="s">
        <v>40</v>
      </c>
      <c r="D462" s="3" t="s">
        <v>50</v>
      </c>
      <c r="E462" s="3" t="s">
        <v>51</v>
      </c>
      <c r="F462" s="3" t="s">
        <v>25</v>
      </c>
      <c r="G462" s="3" t="s">
        <v>25</v>
      </c>
      <c r="H462" s="3" t="s">
        <v>35</v>
      </c>
      <c r="I462" s="6">
        <v>44531</v>
      </c>
      <c r="J462" s="4">
        <v>5291</v>
      </c>
      <c r="K462" s="57">
        <v>5291</v>
      </c>
      <c r="L462" s="4">
        <v>2365.7759999999998</v>
      </c>
      <c r="M462" s="56">
        <v>2365.7759999999998</v>
      </c>
      <c r="N462" s="4">
        <v>2365.7759999999998</v>
      </c>
      <c r="O462" s="56">
        <v>2365.7759999999998</v>
      </c>
      <c r="P462" s="4">
        <v>0</v>
      </c>
      <c r="Q462" s="3" t="s">
        <v>26</v>
      </c>
      <c r="R462" s="3">
        <v>0</v>
      </c>
      <c r="S462" s="4">
        <v>12</v>
      </c>
      <c r="T462" s="4">
        <v>110</v>
      </c>
      <c r="U462" s="4">
        <v>89</v>
      </c>
      <c r="V462" s="56">
        <f>IF(ISERROR(VLOOKUP($S$462,'TAR FIN'!$A$1:$O$113,15,0)),0,VLOOKUP($S$462,'TAR FIN'!$A$1:$O$113,15,0))*(1-0.06)</f>
        <v>22.851399999999998</v>
      </c>
      <c r="W462" s="56">
        <f>IF(ISERROR(VLOOKUP($T$462,'TAR FIN'!$A$1:$O$113,15,0)),0,VLOOKUP($T$462,'TAR FIN'!$A$1:$O$113,15,0))*(1-0.06)</f>
        <v>48.193800000000003</v>
      </c>
      <c r="X462" s="56">
        <f>IF(ISERROR(VLOOKUP($U$462,'TAR FIN'!$A$1:$O$113,15,0)),0,VLOOKUP($U$462,'TAR FIN'!$A$1:$O$113,15,0))*(1-0.06)</f>
        <v>208.97139999999999</v>
      </c>
      <c r="Y462" s="56">
        <f ca="1">('TUSD BE'!$AM$14+'TUSD BF'!$AM$14+'TUSD CVA'!$AM$14)*1*(1-0.03)</f>
        <v>25.800132407241311</v>
      </c>
      <c r="Z462" s="56">
        <f ca="1">('TUSD BE'!$AM$15+'TUSD BF'!$AM$15+'TUSD CVA'!$AM$15)*1*(1-0.03)</f>
        <v>63.057187337713181</v>
      </c>
      <c r="AA462" s="56">
        <f>('TE BE'!$AA$11+'TE BF'!$AA$11+'TE CVA'!$AA$11)*1*(1-0.03)</f>
        <v>216.45124957683362</v>
      </c>
      <c r="AB462" s="4">
        <f>$K$462*$V$462</f>
        <v>120906.75739999999</v>
      </c>
      <c r="AC462" s="4">
        <f>$M$462*$W$462</f>
        <v>114015.73538879999</v>
      </c>
      <c r="AD462" s="4">
        <f>$O$462*$X$462</f>
        <v>494379.52280639997</v>
      </c>
      <c r="AE462" s="4">
        <f ca="1">$K$462*$Y$462</f>
        <v>136508.50056671377</v>
      </c>
      <c r="AF462" s="4">
        <f ca="1">$M$462*$Z$462</f>
        <v>149179.18043106573</v>
      </c>
      <c r="AG462" s="4">
        <f>$O$462*$AA$462</f>
        <v>512075.17141888308</v>
      </c>
    </row>
    <row r="463" spans="1:33" ht="11.25" customHeight="1" x14ac:dyDescent="0.25">
      <c r="A463" s="3" t="s">
        <v>21</v>
      </c>
      <c r="B463" s="3" t="s">
        <v>41</v>
      </c>
      <c r="C463" s="3" t="s">
        <v>40</v>
      </c>
      <c r="D463" s="3" t="s">
        <v>50</v>
      </c>
      <c r="E463" s="3" t="s">
        <v>51</v>
      </c>
      <c r="F463" s="3" t="s">
        <v>25</v>
      </c>
      <c r="G463" s="3" t="s">
        <v>25</v>
      </c>
      <c r="H463" s="3" t="s">
        <v>35</v>
      </c>
      <c r="I463" s="6">
        <v>44562</v>
      </c>
      <c r="J463" s="4">
        <v>5396</v>
      </c>
      <c r="K463" s="57">
        <v>5396</v>
      </c>
      <c r="L463" s="4">
        <v>2486.547</v>
      </c>
      <c r="M463" s="56">
        <v>2486.547</v>
      </c>
      <c r="N463" s="4">
        <v>2486.547</v>
      </c>
      <c r="O463" s="56">
        <v>2486.547</v>
      </c>
      <c r="P463" s="4">
        <v>0</v>
      </c>
      <c r="Q463" s="3" t="s">
        <v>26</v>
      </c>
      <c r="R463" s="3">
        <v>0</v>
      </c>
      <c r="S463" s="4">
        <v>12</v>
      </c>
      <c r="T463" s="4">
        <v>110</v>
      </c>
      <c r="U463" s="4">
        <v>89</v>
      </c>
      <c r="V463" s="56">
        <f>IF(ISERROR(VLOOKUP($S$463,'TAR FIN'!$A$1:$O$113,15,0)),0,VLOOKUP($S$463,'TAR FIN'!$A$1:$O$113,15,0))*(1-0.06)</f>
        <v>22.851399999999998</v>
      </c>
      <c r="W463" s="56">
        <f>IF(ISERROR(VLOOKUP($T$463,'TAR FIN'!$A$1:$O$113,15,0)),0,VLOOKUP($T$463,'TAR FIN'!$A$1:$O$113,15,0))*(1-0.06)</f>
        <v>48.193800000000003</v>
      </c>
      <c r="X463" s="56">
        <f>IF(ISERROR(VLOOKUP($U$463,'TAR FIN'!$A$1:$O$113,15,0)),0,VLOOKUP($U$463,'TAR FIN'!$A$1:$O$113,15,0))*(1-0.06)</f>
        <v>208.97139999999999</v>
      </c>
      <c r="Y463" s="56">
        <f ca="1">('TUSD BE'!$AM$14+'TUSD BF'!$AM$14+'TUSD CVA'!$AM$14)*1*(1-0.03)</f>
        <v>25.800132407241311</v>
      </c>
      <c r="Z463" s="56">
        <f ca="1">('TUSD BE'!$AM$15+'TUSD BF'!$AM$15+'TUSD CVA'!$AM$15)*1*(1-0.03)</f>
        <v>63.057187337713181</v>
      </c>
      <c r="AA463" s="56">
        <f>('TE BE'!$AA$11+'TE BF'!$AA$11+'TE CVA'!$AA$11)*1*(1-0.03)</f>
        <v>216.45124957683362</v>
      </c>
      <c r="AB463" s="4">
        <f>$K$463*$V$463</f>
        <v>123306.15439999998</v>
      </c>
      <c r="AC463" s="4">
        <f>$M$463*$W$463</f>
        <v>119836.1488086</v>
      </c>
      <c r="AD463" s="4">
        <f>$O$463*$X$463</f>
        <v>519617.20775579999</v>
      </c>
      <c r="AE463" s="4">
        <f ca="1">$K$463*$Y$463</f>
        <v>139217.51446947412</v>
      </c>
      <c r="AF463" s="4">
        <f ca="1">$M$463*$Z$463</f>
        <v>156794.66000302869</v>
      </c>
      <c r="AG463" s="4">
        <f>$O$463*$AA$463</f>
        <v>538216.2052815269</v>
      </c>
    </row>
    <row r="464" spans="1:33" ht="11.25" customHeight="1" x14ac:dyDescent="0.25">
      <c r="A464" s="3" t="s">
        <v>21</v>
      </c>
      <c r="B464" s="3" t="s">
        <v>41</v>
      </c>
      <c r="C464" s="3" t="s">
        <v>40</v>
      </c>
      <c r="D464" s="3" t="s">
        <v>50</v>
      </c>
      <c r="E464" s="3" t="s">
        <v>51</v>
      </c>
      <c r="F464" s="3" t="s">
        <v>25</v>
      </c>
      <c r="G464" s="3" t="s">
        <v>25</v>
      </c>
      <c r="H464" s="3" t="s">
        <v>35</v>
      </c>
      <c r="I464" s="6">
        <v>44593</v>
      </c>
      <c r="J464" s="4">
        <v>5460</v>
      </c>
      <c r="K464" s="57">
        <v>5460</v>
      </c>
      <c r="L464" s="4">
        <v>2275.4929999999999</v>
      </c>
      <c r="M464" s="56">
        <v>2275.4929999999999</v>
      </c>
      <c r="N464" s="4">
        <v>2275.4929999999999</v>
      </c>
      <c r="O464" s="56">
        <v>2275.4929999999999</v>
      </c>
      <c r="P464" s="4">
        <v>0</v>
      </c>
      <c r="Q464" s="3" t="s">
        <v>26</v>
      </c>
      <c r="R464" s="3">
        <v>0</v>
      </c>
      <c r="S464" s="4">
        <v>12</v>
      </c>
      <c r="T464" s="4">
        <v>110</v>
      </c>
      <c r="U464" s="4">
        <v>89</v>
      </c>
      <c r="V464" s="56">
        <f>IF(ISERROR(VLOOKUP($S$464,'TAR FIN'!$A$1:$O$113,15,0)),0,VLOOKUP($S$464,'TAR FIN'!$A$1:$O$113,15,0))*(1-0.06)</f>
        <v>22.851399999999998</v>
      </c>
      <c r="W464" s="56">
        <f>IF(ISERROR(VLOOKUP($T$464,'TAR FIN'!$A$1:$O$113,15,0)),0,VLOOKUP($T$464,'TAR FIN'!$A$1:$O$113,15,0))*(1-0.06)</f>
        <v>48.193800000000003</v>
      </c>
      <c r="X464" s="56">
        <f>IF(ISERROR(VLOOKUP($U$464,'TAR FIN'!$A$1:$O$113,15,0)),0,VLOOKUP($U$464,'TAR FIN'!$A$1:$O$113,15,0))*(1-0.06)</f>
        <v>208.97139999999999</v>
      </c>
      <c r="Y464" s="56">
        <f ca="1">('TUSD BE'!$AM$14+'TUSD BF'!$AM$14+'TUSD CVA'!$AM$14)*1*(1-0.03)</f>
        <v>25.800132407241311</v>
      </c>
      <c r="Z464" s="56">
        <f ca="1">('TUSD BE'!$AM$15+'TUSD BF'!$AM$15+'TUSD CVA'!$AM$15)*1*(1-0.03)</f>
        <v>63.057187337713181</v>
      </c>
      <c r="AA464" s="56">
        <f>('TE BE'!$AA$11+'TE BF'!$AA$11+'TE CVA'!$AA$11)*1*(1-0.03)</f>
        <v>216.45124957683362</v>
      </c>
      <c r="AB464" s="4">
        <f>$K$464*$V$464</f>
        <v>124768.64399999999</v>
      </c>
      <c r="AC464" s="4">
        <f>$M$464*$W$464</f>
        <v>109664.6545434</v>
      </c>
      <c r="AD464" s="4">
        <f>$O$464*$X$464</f>
        <v>475512.95790019998</v>
      </c>
      <c r="AE464" s="4">
        <f ca="1">$K$464*$Y$464</f>
        <v>140868.72294353755</v>
      </c>
      <c r="AF464" s="4">
        <f ca="1">$M$464*$Z$464</f>
        <v>143486.18838665498</v>
      </c>
      <c r="AG464" s="4">
        <f>$O$464*$AA$464</f>
        <v>492533.30325333786</v>
      </c>
    </row>
    <row r="465" spans="1:33" ht="11.25" customHeight="1" x14ac:dyDescent="0.25">
      <c r="A465" s="3" t="s">
        <v>56</v>
      </c>
      <c r="B465" s="3" t="s">
        <v>41</v>
      </c>
      <c r="C465" s="3" t="s">
        <v>40</v>
      </c>
      <c r="D465" s="3" t="s">
        <v>50</v>
      </c>
      <c r="E465" s="3" t="s">
        <v>51</v>
      </c>
      <c r="F465" s="3" t="s">
        <v>25</v>
      </c>
      <c r="G465" s="3" t="s">
        <v>25</v>
      </c>
      <c r="H465" s="3" t="s">
        <v>35</v>
      </c>
      <c r="I465" s="6">
        <v>44621</v>
      </c>
      <c r="J465" s="4">
        <v>5460</v>
      </c>
      <c r="K465" s="57">
        <v>5460</v>
      </c>
      <c r="L465" s="4">
        <v>2275.4929999999999</v>
      </c>
      <c r="M465" s="56">
        <v>2275.4929999999999</v>
      </c>
      <c r="N465" s="4">
        <v>2275.4929999999999</v>
      </c>
      <c r="O465" s="56">
        <v>2275.4929999999999</v>
      </c>
      <c r="P465" s="4">
        <v>0</v>
      </c>
      <c r="Q465" s="3" t="s">
        <v>26</v>
      </c>
      <c r="R465" s="3">
        <v>0</v>
      </c>
      <c r="S465" s="4">
        <v>12</v>
      </c>
      <c r="T465" s="4">
        <v>110</v>
      </c>
      <c r="U465" s="4">
        <v>89</v>
      </c>
      <c r="V465" s="56">
        <f>IF(ISERROR(VLOOKUP($S$465,'TAR FIN'!$A$1:$O$113,15,0)),0,VLOOKUP($S$465,'TAR FIN'!$A$1:$O$113,15,0))*(1-0.06)</f>
        <v>22.851399999999998</v>
      </c>
      <c r="W465" s="56">
        <f>IF(ISERROR(VLOOKUP($T$465,'TAR FIN'!$A$1:$O$113,15,0)),0,VLOOKUP($T$465,'TAR FIN'!$A$1:$O$113,15,0))*(1-0.06)</f>
        <v>48.193800000000003</v>
      </c>
      <c r="X465" s="56">
        <f>IF(ISERROR(VLOOKUP($U$465,'TAR FIN'!$A$1:$O$113,15,0)),0,VLOOKUP($U$465,'TAR FIN'!$A$1:$O$113,15,0))*(1-0.06)</f>
        <v>208.97139999999999</v>
      </c>
      <c r="Y465" s="56">
        <f ca="1">('TUSD BE'!$AM$14+'TUSD BF'!$AM$14+'TUSD CVA'!$AM$14)*1*(1-0.03)</f>
        <v>25.800132407241311</v>
      </c>
      <c r="Z465" s="56">
        <f ca="1">('TUSD BE'!$AM$15+'TUSD BF'!$AM$15+'TUSD CVA'!$AM$15)*1*(1-0.03)</f>
        <v>63.057187337713181</v>
      </c>
      <c r="AA465" s="56">
        <f>('TE BE'!$AA$11+'TE BF'!$AA$11+'TE CVA'!$AA$11)*1*(1-0.03)</f>
        <v>216.45124957683362</v>
      </c>
      <c r="AB465" s="4">
        <f>$K$465*$V$465</f>
        <v>124768.64399999999</v>
      </c>
      <c r="AC465" s="4">
        <f>$M$465*$W$465</f>
        <v>109664.6545434</v>
      </c>
      <c r="AD465" s="4">
        <f>$O$465*$X$465</f>
        <v>475512.95790019998</v>
      </c>
      <c r="AE465" s="4">
        <f ca="1">$K$465*$Y$465</f>
        <v>140868.72294353755</v>
      </c>
      <c r="AF465" s="4">
        <f ca="1">$M$465*$Z$465</f>
        <v>143486.18838665498</v>
      </c>
      <c r="AG465" s="4">
        <f>$O$465*$AA$465</f>
        <v>492533.30325333786</v>
      </c>
    </row>
    <row r="466" spans="1:33" ht="11.25" customHeight="1" x14ac:dyDescent="0.25">
      <c r="A466" s="3" t="s">
        <v>21</v>
      </c>
      <c r="B466" s="3" t="s">
        <v>41</v>
      </c>
      <c r="C466" s="3" t="s">
        <v>40</v>
      </c>
      <c r="D466" s="3" t="s">
        <v>50</v>
      </c>
      <c r="E466" s="3" t="s">
        <v>51</v>
      </c>
      <c r="F466" s="3" t="s">
        <v>25</v>
      </c>
      <c r="G466" s="3" t="s">
        <v>25</v>
      </c>
      <c r="H466" s="3" t="s">
        <v>34</v>
      </c>
      <c r="I466" s="6">
        <v>44287</v>
      </c>
      <c r="J466" s="4">
        <v>6658</v>
      </c>
      <c r="K466" s="57">
        <v>6658</v>
      </c>
      <c r="L466" s="4">
        <v>302.95299999999997</v>
      </c>
      <c r="M466" s="56">
        <v>302.95299999999997</v>
      </c>
      <c r="N466" s="4">
        <v>302.95299999999997</v>
      </c>
      <c r="O466" s="56">
        <v>302.95299999999997</v>
      </c>
      <c r="P466" s="4">
        <v>0</v>
      </c>
      <c r="Q466" s="3" t="s">
        <v>26</v>
      </c>
      <c r="R466" s="3">
        <v>0</v>
      </c>
      <c r="S466" s="4">
        <v>11</v>
      </c>
      <c r="T466" s="4">
        <v>110</v>
      </c>
      <c r="U466" s="4">
        <v>88</v>
      </c>
      <c r="V466" s="56">
        <f>IF(ISERROR(VLOOKUP($S$466,'TAR FIN'!$A$1:$O$113,15,0)),0,VLOOKUP($S$466,'TAR FIN'!$A$1:$O$113,15,0))*(1-0.06)</f>
        <v>58.496199999999995</v>
      </c>
      <c r="W466" s="56">
        <f>IF(ISERROR(VLOOKUP($T$466,'TAR FIN'!$A$1:$O$113,15,0)),0,VLOOKUP($T$466,'TAR FIN'!$A$1:$O$113,15,0))*(1-0.06)</f>
        <v>48.193800000000003</v>
      </c>
      <c r="X466" s="56">
        <f>IF(ISERROR(VLOOKUP($U$466,'TAR FIN'!$A$1:$O$113,15,0)),0,VLOOKUP($U$466,'TAR FIN'!$A$1:$O$113,15,0))*(1-0.06)</f>
        <v>343.57</v>
      </c>
      <c r="Y466" s="56">
        <f ca="1">('TUSD BE'!$AM$13+'TUSD BF'!$AM$13+'TUSD CVA'!$AM$13)*1*(1-0.03)</f>
        <v>70.890384216313734</v>
      </c>
      <c r="Z466" s="56">
        <f ca="1">('TUSD BE'!$AM$15+'TUSD BF'!$AM$15+'TUSD CVA'!$AM$15)*1*(1-0.03)</f>
        <v>63.057187337713181</v>
      </c>
      <c r="AA466" s="56">
        <f>('TE BE'!$AA$10+'TE BF'!$AA$10+'TE CVA'!$AA$10)*1*(1-0.03)</f>
        <v>350.70363015859192</v>
      </c>
      <c r="AB466" s="4">
        <f>$K$466*$V$466</f>
        <v>389467.69959999999</v>
      </c>
      <c r="AC466" s="4">
        <f>$M$466*$W$466</f>
        <v>14600.4562914</v>
      </c>
      <c r="AD466" s="4">
        <f>$O$466*$X$466</f>
        <v>104085.56220999999</v>
      </c>
      <c r="AE466" s="4">
        <f ca="1">$K$466*$Y$466</f>
        <v>471988.17811221682</v>
      </c>
      <c r="AF466" s="4">
        <f ca="1">$M$466*$Z$466</f>
        <v>19103.364075522219</v>
      </c>
      <c r="AG466" s="4">
        <f>$O$466*$AA$466</f>
        <v>106246.71686743588</v>
      </c>
    </row>
    <row r="467" spans="1:33" ht="11.25" customHeight="1" x14ac:dyDescent="0.25">
      <c r="A467" s="3" t="s">
        <v>21</v>
      </c>
      <c r="B467" s="3" t="s">
        <v>41</v>
      </c>
      <c r="C467" s="3" t="s">
        <v>40</v>
      </c>
      <c r="D467" s="3" t="s">
        <v>50</v>
      </c>
      <c r="E467" s="3" t="s">
        <v>51</v>
      </c>
      <c r="F467" s="3" t="s">
        <v>25</v>
      </c>
      <c r="G467" s="3" t="s">
        <v>25</v>
      </c>
      <c r="H467" s="3" t="s">
        <v>34</v>
      </c>
      <c r="I467" s="6">
        <v>44317</v>
      </c>
      <c r="J467" s="4">
        <v>6490</v>
      </c>
      <c r="K467" s="57">
        <v>6490</v>
      </c>
      <c r="L467" s="4">
        <v>303.73899999999998</v>
      </c>
      <c r="M467" s="56">
        <v>303.73899999999998</v>
      </c>
      <c r="N467" s="4">
        <v>303.73899999999998</v>
      </c>
      <c r="O467" s="56">
        <v>303.73899999999998</v>
      </c>
      <c r="P467" s="4">
        <v>0</v>
      </c>
      <c r="Q467" s="3" t="s">
        <v>26</v>
      </c>
      <c r="R467" s="3">
        <v>0</v>
      </c>
      <c r="S467" s="4">
        <v>11</v>
      </c>
      <c r="T467" s="4">
        <v>110</v>
      </c>
      <c r="U467" s="4">
        <v>88</v>
      </c>
      <c r="V467" s="56">
        <f>IF(ISERROR(VLOOKUP($S$467,'TAR FIN'!$A$1:$O$113,15,0)),0,VLOOKUP($S$467,'TAR FIN'!$A$1:$O$113,15,0))*(1-0.06)</f>
        <v>58.496199999999995</v>
      </c>
      <c r="W467" s="56">
        <f>IF(ISERROR(VLOOKUP($T$467,'TAR FIN'!$A$1:$O$113,15,0)),0,VLOOKUP($T$467,'TAR FIN'!$A$1:$O$113,15,0))*(1-0.06)</f>
        <v>48.193800000000003</v>
      </c>
      <c r="X467" s="56">
        <f>IF(ISERROR(VLOOKUP($U$467,'TAR FIN'!$A$1:$O$113,15,0)),0,VLOOKUP($U$467,'TAR FIN'!$A$1:$O$113,15,0))*(1-0.06)</f>
        <v>343.57</v>
      </c>
      <c r="Y467" s="56">
        <f ca="1">('TUSD BE'!$AM$13+'TUSD BF'!$AM$13+'TUSD CVA'!$AM$13)*1*(1-0.03)</f>
        <v>70.890384216313734</v>
      </c>
      <c r="Z467" s="56">
        <f ca="1">('TUSD BE'!$AM$15+'TUSD BF'!$AM$15+'TUSD CVA'!$AM$15)*1*(1-0.03)</f>
        <v>63.057187337713181</v>
      </c>
      <c r="AA467" s="56">
        <f>('TE BE'!$AA$10+'TE BF'!$AA$10+'TE CVA'!$AA$10)*1*(1-0.03)</f>
        <v>350.70363015859192</v>
      </c>
      <c r="AB467" s="4">
        <f>$K$467*$V$467</f>
        <v>379640.33799999999</v>
      </c>
      <c r="AC467" s="4">
        <f>$M$467*$W$467</f>
        <v>14638.336618199999</v>
      </c>
      <c r="AD467" s="4">
        <f>$O$467*$X$467</f>
        <v>104355.60822999998</v>
      </c>
      <c r="AE467" s="4">
        <f ca="1">$K$467*$Y$467</f>
        <v>460078.59356387611</v>
      </c>
      <c r="AF467" s="4">
        <f ca="1">$M$467*$Z$467</f>
        <v>19152.927024769662</v>
      </c>
      <c r="AG467" s="4">
        <f>$O$467*$AA$467</f>
        <v>106522.36992074054</v>
      </c>
    </row>
    <row r="468" spans="1:33" ht="11.25" customHeight="1" x14ac:dyDescent="0.25">
      <c r="A468" s="3" t="s">
        <v>21</v>
      </c>
      <c r="B468" s="3" t="s">
        <v>41</v>
      </c>
      <c r="C468" s="3" t="s">
        <v>40</v>
      </c>
      <c r="D468" s="3" t="s">
        <v>50</v>
      </c>
      <c r="E468" s="3" t="s">
        <v>51</v>
      </c>
      <c r="F468" s="3" t="s">
        <v>25</v>
      </c>
      <c r="G468" s="3" t="s">
        <v>25</v>
      </c>
      <c r="H468" s="3" t="s">
        <v>34</v>
      </c>
      <c r="I468" s="6">
        <v>44348</v>
      </c>
      <c r="J468" s="4">
        <v>10444</v>
      </c>
      <c r="K468" s="57">
        <v>10444</v>
      </c>
      <c r="L468" s="4">
        <v>505.92099999999999</v>
      </c>
      <c r="M468" s="56">
        <v>505.92099999999999</v>
      </c>
      <c r="N468" s="4">
        <v>505.92099999999999</v>
      </c>
      <c r="O468" s="56">
        <v>505.92099999999999</v>
      </c>
      <c r="P468" s="4">
        <v>0</v>
      </c>
      <c r="Q468" s="3" t="s">
        <v>26</v>
      </c>
      <c r="R468" s="3">
        <v>0</v>
      </c>
      <c r="S468" s="4">
        <v>11</v>
      </c>
      <c r="T468" s="4">
        <v>110</v>
      </c>
      <c r="U468" s="4">
        <v>88</v>
      </c>
      <c r="V468" s="56">
        <f>IF(ISERROR(VLOOKUP($S$468,'TAR FIN'!$A$1:$O$113,15,0)),0,VLOOKUP($S$468,'TAR FIN'!$A$1:$O$113,15,0))*(1-0.06)</f>
        <v>58.496199999999995</v>
      </c>
      <c r="W468" s="56">
        <f>IF(ISERROR(VLOOKUP($T$468,'TAR FIN'!$A$1:$O$113,15,0)),0,VLOOKUP($T$468,'TAR FIN'!$A$1:$O$113,15,0))*(1-0.06)</f>
        <v>48.193800000000003</v>
      </c>
      <c r="X468" s="56">
        <f>IF(ISERROR(VLOOKUP($U$468,'TAR FIN'!$A$1:$O$113,15,0)),0,VLOOKUP($U$468,'TAR FIN'!$A$1:$O$113,15,0))*(1-0.06)</f>
        <v>343.57</v>
      </c>
      <c r="Y468" s="56">
        <f ca="1">('TUSD BE'!$AM$13+'TUSD BF'!$AM$13+'TUSD CVA'!$AM$13)*1*(1-0.03)</f>
        <v>70.890384216313734</v>
      </c>
      <c r="Z468" s="56">
        <f ca="1">('TUSD BE'!$AM$15+'TUSD BF'!$AM$15+'TUSD CVA'!$AM$15)*1*(1-0.03)</f>
        <v>63.057187337713181</v>
      </c>
      <c r="AA468" s="56">
        <f>('TE BE'!$AA$10+'TE BF'!$AA$10+'TE CVA'!$AA$10)*1*(1-0.03)</f>
        <v>350.70363015859192</v>
      </c>
      <c r="AB468" s="4">
        <f>$K$468*$V$468</f>
        <v>610934.31279999996</v>
      </c>
      <c r="AC468" s="4">
        <f>$M$468*$W$468</f>
        <v>24382.255489800002</v>
      </c>
      <c r="AD468" s="4">
        <f>$O$468*$X$468</f>
        <v>173819.27797</v>
      </c>
      <c r="AE468" s="4">
        <f ca="1">$K$468*$Y$468</f>
        <v>740379.17275518063</v>
      </c>
      <c r="AF468" s="4">
        <f ca="1">$M$468*$Z$468</f>
        <v>31901.95527508319</v>
      </c>
      <c r="AG468" s="4">
        <f>$O$468*$AA$468</f>
        <v>177428.33127346498</v>
      </c>
    </row>
    <row r="469" spans="1:33" ht="11.25" customHeight="1" x14ac:dyDescent="0.25">
      <c r="A469" s="3" t="s">
        <v>21</v>
      </c>
      <c r="B469" s="3" t="s">
        <v>41</v>
      </c>
      <c r="C469" s="3" t="s">
        <v>40</v>
      </c>
      <c r="D469" s="3" t="s">
        <v>50</v>
      </c>
      <c r="E469" s="3" t="s">
        <v>51</v>
      </c>
      <c r="F469" s="3" t="s">
        <v>25</v>
      </c>
      <c r="G469" s="3" t="s">
        <v>25</v>
      </c>
      <c r="H469" s="3" t="s">
        <v>34</v>
      </c>
      <c r="I469" s="6">
        <v>44378</v>
      </c>
      <c r="J469" s="4">
        <v>10507</v>
      </c>
      <c r="K469" s="57">
        <v>10507</v>
      </c>
      <c r="L469" s="4">
        <v>541.37699999999995</v>
      </c>
      <c r="M469" s="56">
        <v>541.37699999999995</v>
      </c>
      <c r="N469" s="4">
        <v>541.37699999999995</v>
      </c>
      <c r="O469" s="56">
        <v>541.37699999999995</v>
      </c>
      <c r="P469" s="4">
        <v>0</v>
      </c>
      <c r="Q469" s="3" t="s">
        <v>26</v>
      </c>
      <c r="R469" s="3">
        <v>0</v>
      </c>
      <c r="S469" s="4">
        <v>11</v>
      </c>
      <c r="T469" s="4">
        <v>110</v>
      </c>
      <c r="U469" s="4">
        <v>88</v>
      </c>
      <c r="V469" s="56">
        <f>IF(ISERROR(VLOOKUP($S$469,'TAR FIN'!$A$1:$O$113,15,0)),0,VLOOKUP($S$469,'TAR FIN'!$A$1:$O$113,15,0))*(1-0.06)</f>
        <v>58.496199999999995</v>
      </c>
      <c r="W469" s="56">
        <f>IF(ISERROR(VLOOKUP($T$469,'TAR FIN'!$A$1:$O$113,15,0)),0,VLOOKUP($T$469,'TAR FIN'!$A$1:$O$113,15,0))*(1-0.06)</f>
        <v>48.193800000000003</v>
      </c>
      <c r="X469" s="56">
        <f>IF(ISERROR(VLOOKUP($U$469,'TAR FIN'!$A$1:$O$113,15,0)),0,VLOOKUP($U$469,'TAR FIN'!$A$1:$O$113,15,0))*(1-0.06)</f>
        <v>343.57</v>
      </c>
      <c r="Y469" s="56">
        <f ca="1">('TUSD BE'!$AM$13+'TUSD BF'!$AM$13+'TUSD CVA'!$AM$13)*1*(1-0.03)</f>
        <v>70.890384216313734</v>
      </c>
      <c r="Z469" s="56">
        <f ca="1">('TUSD BE'!$AM$15+'TUSD BF'!$AM$15+'TUSD CVA'!$AM$15)*1*(1-0.03)</f>
        <v>63.057187337713181</v>
      </c>
      <c r="AA469" s="56">
        <f>('TE BE'!$AA$10+'TE BF'!$AA$10+'TE CVA'!$AA$10)*1*(1-0.03)</f>
        <v>350.70363015859192</v>
      </c>
      <c r="AB469" s="4">
        <f>$K$469*$V$469</f>
        <v>614619.57339999999</v>
      </c>
      <c r="AC469" s="4">
        <f>$M$469*$W$469</f>
        <v>26091.014862600001</v>
      </c>
      <c r="AD469" s="4">
        <f>$O$469*$X$469</f>
        <v>186000.89588999999</v>
      </c>
      <c r="AE469" s="4">
        <f ca="1">$K$469*$Y$469</f>
        <v>744845.26696080843</v>
      </c>
      <c r="AF469" s="4">
        <f ca="1">$M$469*$Z$469</f>
        <v>34137.710909329144</v>
      </c>
      <c r="AG469" s="4">
        <f>$O$469*$AA$469</f>
        <v>189862.87918436801</v>
      </c>
    </row>
    <row r="470" spans="1:33" ht="11.25" customHeight="1" x14ac:dyDescent="0.25">
      <c r="A470" s="3" t="s">
        <v>27</v>
      </c>
      <c r="B470" s="3" t="s">
        <v>41</v>
      </c>
      <c r="C470" s="3" t="s">
        <v>40</v>
      </c>
      <c r="D470" s="3" t="s">
        <v>50</v>
      </c>
      <c r="E470" s="3" t="s">
        <v>51</v>
      </c>
      <c r="F470" s="3" t="s">
        <v>25</v>
      </c>
      <c r="G470" s="3" t="s">
        <v>25</v>
      </c>
      <c r="H470" s="3" t="s">
        <v>34</v>
      </c>
      <c r="I470" s="6">
        <v>44378</v>
      </c>
      <c r="J470" s="4">
        <v>14</v>
      </c>
      <c r="K470" s="57">
        <v>14</v>
      </c>
      <c r="L470" s="4">
        <v>1.4</v>
      </c>
      <c r="M470" s="56">
        <v>1.4</v>
      </c>
      <c r="N470" s="4">
        <v>1.4</v>
      </c>
      <c r="O470" s="56">
        <v>1.4</v>
      </c>
      <c r="P470" s="4">
        <v>0</v>
      </c>
      <c r="Q470" s="3" t="s">
        <v>26</v>
      </c>
      <c r="R470" s="3">
        <v>0</v>
      </c>
      <c r="S470" s="4">
        <v>11</v>
      </c>
      <c r="T470" s="4">
        <v>110</v>
      </c>
      <c r="U470" s="4">
        <v>88</v>
      </c>
      <c r="V470" s="56">
        <f>IF(ISERROR(VLOOKUP($S$470,'TAR FIN'!$A$1:$O$113,15,0)),0,VLOOKUP($S$470,'TAR FIN'!$A$1:$O$113,15,0))*(1-0.06)</f>
        <v>58.496199999999995</v>
      </c>
      <c r="W470" s="56">
        <f>IF(ISERROR(VLOOKUP($T$470,'TAR FIN'!$A$1:$O$113,15,0)),0,VLOOKUP($T$470,'TAR FIN'!$A$1:$O$113,15,0))*(1-0.06)</f>
        <v>48.193800000000003</v>
      </c>
      <c r="X470" s="56">
        <f>IF(ISERROR(VLOOKUP($U$470,'TAR FIN'!$A$1:$O$113,15,0)),0,VLOOKUP($U$470,'TAR FIN'!$A$1:$O$113,15,0))*(1-0.06)</f>
        <v>343.57</v>
      </c>
      <c r="Y470" s="56">
        <f ca="1">('TUSD BE'!$AM$13+'TUSD BF'!$AM$13+'TUSD CVA'!$AM$13)*1*(1-0.03)</f>
        <v>70.890384216313734</v>
      </c>
      <c r="Z470" s="56">
        <f ca="1">('TUSD BE'!$AM$15+'TUSD BF'!$AM$15+'TUSD CVA'!$AM$15)*1*(1-0.03)</f>
        <v>63.057187337713181</v>
      </c>
      <c r="AA470" s="56">
        <f>('TE BE'!$AA$10+'TE BF'!$AA$10+'TE CVA'!$AA$10)*1*(1-0.03)</f>
        <v>350.70363015859192</v>
      </c>
      <c r="AB470" s="4">
        <f>$K$470*$V$470</f>
        <v>818.94679999999994</v>
      </c>
      <c r="AC470" s="4">
        <f>$M$470*$W$470</f>
        <v>67.471320000000006</v>
      </c>
      <c r="AD470" s="4">
        <f>$O$470*$X$470</f>
        <v>480.99799999999993</v>
      </c>
      <c r="AE470" s="4">
        <f ca="1">$K$470*$Y$470</f>
        <v>992.46537902839225</v>
      </c>
      <c r="AF470" s="4">
        <f ca="1">$M$470*$Z$470</f>
        <v>88.280062272798446</v>
      </c>
      <c r="AG470" s="4">
        <f>$O$470*$AA$470</f>
        <v>490.98508222202867</v>
      </c>
    </row>
    <row r="471" spans="1:33" ht="11.25" customHeight="1" x14ac:dyDescent="0.25">
      <c r="A471" s="3" t="s">
        <v>21</v>
      </c>
      <c r="B471" s="3" t="s">
        <v>41</v>
      </c>
      <c r="C471" s="3" t="s">
        <v>40</v>
      </c>
      <c r="D471" s="3" t="s">
        <v>50</v>
      </c>
      <c r="E471" s="3" t="s">
        <v>51</v>
      </c>
      <c r="F471" s="3" t="s">
        <v>25</v>
      </c>
      <c r="G471" s="3" t="s">
        <v>25</v>
      </c>
      <c r="H471" s="3" t="s">
        <v>34</v>
      </c>
      <c r="I471" s="6">
        <v>44409</v>
      </c>
      <c r="J471" s="4">
        <v>4805</v>
      </c>
      <c r="K471" s="57">
        <v>4805</v>
      </c>
      <c r="L471" s="4">
        <v>226.577</v>
      </c>
      <c r="M471" s="56">
        <v>226.577</v>
      </c>
      <c r="N471" s="4">
        <v>226.577</v>
      </c>
      <c r="O471" s="56">
        <v>226.577</v>
      </c>
      <c r="P471" s="4">
        <v>0</v>
      </c>
      <c r="Q471" s="3" t="s">
        <v>26</v>
      </c>
      <c r="R471" s="3">
        <v>0</v>
      </c>
      <c r="S471" s="4">
        <v>11</v>
      </c>
      <c r="T471" s="4">
        <v>110</v>
      </c>
      <c r="U471" s="4">
        <v>88</v>
      </c>
      <c r="V471" s="56">
        <f>IF(ISERROR(VLOOKUP($S$471,'TAR FIN'!$A$1:$O$113,15,0)),0,VLOOKUP($S$471,'TAR FIN'!$A$1:$O$113,15,0))*(1-0.06)</f>
        <v>58.496199999999995</v>
      </c>
      <c r="W471" s="56">
        <f>IF(ISERROR(VLOOKUP($T$471,'TAR FIN'!$A$1:$O$113,15,0)),0,VLOOKUP($T$471,'TAR FIN'!$A$1:$O$113,15,0))*(1-0.06)</f>
        <v>48.193800000000003</v>
      </c>
      <c r="X471" s="56">
        <f>IF(ISERROR(VLOOKUP($U$471,'TAR FIN'!$A$1:$O$113,15,0)),0,VLOOKUP($U$471,'TAR FIN'!$A$1:$O$113,15,0))*(1-0.06)</f>
        <v>343.57</v>
      </c>
      <c r="Y471" s="56">
        <f ca="1">('TUSD BE'!$AM$13+'TUSD BF'!$AM$13+'TUSD CVA'!$AM$13)*1*(1-0.03)</f>
        <v>70.890384216313734</v>
      </c>
      <c r="Z471" s="56">
        <f ca="1">('TUSD BE'!$AM$15+'TUSD BF'!$AM$15+'TUSD CVA'!$AM$15)*1*(1-0.03)</f>
        <v>63.057187337713181</v>
      </c>
      <c r="AA471" s="56">
        <f>('TE BE'!$AA$10+'TE BF'!$AA$10+'TE CVA'!$AA$10)*1*(1-0.03)</f>
        <v>350.70363015859192</v>
      </c>
      <c r="AB471" s="4">
        <f>$K$471*$V$471</f>
        <v>281074.24099999998</v>
      </c>
      <c r="AC471" s="4">
        <f>$M$471*$W$471</f>
        <v>10919.6066226</v>
      </c>
      <c r="AD471" s="4">
        <f>$O$471*$X$471</f>
        <v>77845.059890000004</v>
      </c>
      <c r="AE471" s="4">
        <f ca="1">$K$471*$Y$471</f>
        <v>340628.29615938751</v>
      </c>
      <c r="AF471" s="4">
        <f ca="1">$M$471*$Z$471</f>
        <v>14287.308335417039</v>
      </c>
      <c r="AG471" s="4">
        <f>$O$471*$AA$471</f>
        <v>79461.376410443278</v>
      </c>
    </row>
    <row r="472" spans="1:33" ht="11.25" customHeight="1" x14ac:dyDescent="0.25">
      <c r="A472" s="3" t="s">
        <v>21</v>
      </c>
      <c r="B472" s="3" t="s">
        <v>41</v>
      </c>
      <c r="C472" s="3" t="s">
        <v>40</v>
      </c>
      <c r="D472" s="3" t="s">
        <v>50</v>
      </c>
      <c r="E472" s="3" t="s">
        <v>51</v>
      </c>
      <c r="F472" s="3" t="s">
        <v>25</v>
      </c>
      <c r="G472" s="3" t="s">
        <v>25</v>
      </c>
      <c r="H472" s="3" t="s">
        <v>34</v>
      </c>
      <c r="I472" s="6">
        <v>44440</v>
      </c>
      <c r="J472" s="4">
        <v>4858</v>
      </c>
      <c r="K472" s="57">
        <v>4858</v>
      </c>
      <c r="L472" s="4">
        <v>219.75200000000001</v>
      </c>
      <c r="M472" s="56">
        <v>219.75200000000001</v>
      </c>
      <c r="N472" s="4">
        <v>219.75200000000001</v>
      </c>
      <c r="O472" s="56">
        <v>219.75200000000001</v>
      </c>
      <c r="P472" s="4">
        <v>0</v>
      </c>
      <c r="Q472" s="3" t="s">
        <v>26</v>
      </c>
      <c r="R472" s="3">
        <v>0</v>
      </c>
      <c r="S472" s="4">
        <v>11</v>
      </c>
      <c r="T472" s="4">
        <v>110</v>
      </c>
      <c r="U472" s="4">
        <v>88</v>
      </c>
      <c r="V472" s="56">
        <f>IF(ISERROR(VLOOKUP($S$472,'TAR FIN'!$A$1:$O$113,15,0)),0,VLOOKUP($S$472,'TAR FIN'!$A$1:$O$113,15,0))*(1-0.06)</f>
        <v>58.496199999999995</v>
      </c>
      <c r="W472" s="56">
        <f>IF(ISERROR(VLOOKUP($T$472,'TAR FIN'!$A$1:$O$113,15,0)),0,VLOOKUP($T$472,'TAR FIN'!$A$1:$O$113,15,0))*(1-0.06)</f>
        <v>48.193800000000003</v>
      </c>
      <c r="X472" s="56">
        <f>IF(ISERROR(VLOOKUP($U$472,'TAR FIN'!$A$1:$O$113,15,0)),0,VLOOKUP($U$472,'TAR FIN'!$A$1:$O$113,15,0))*(1-0.06)</f>
        <v>343.57</v>
      </c>
      <c r="Y472" s="56">
        <f ca="1">('TUSD BE'!$AM$13+'TUSD BF'!$AM$13+'TUSD CVA'!$AM$13)*1*(1-0.03)</f>
        <v>70.890384216313734</v>
      </c>
      <c r="Z472" s="56">
        <f ca="1">('TUSD BE'!$AM$15+'TUSD BF'!$AM$15+'TUSD CVA'!$AM$15)*1*(1-0.03)</f>
        <v>63.057187337713181</v>
      </c>
      <c r="AA472" s="56">
        <f>('TE BE'!$AA$10+'TE BF'!$AA$10+'TE CVA'!$AA$10)*1*(1-0.03)</f>
        <v>350.70363015859192</v>
      </c>
      <c r="AB472" s="4">
        <f>$K$472*$V$472</f>
        <v>284174.53959999996</v>
      </c>
      <c r="AC472" s="4">
        <f>$M$472*$W$472</f>
        <v>10590.683937600001</v>
      </c>
      <c r="AD472" s="4">
        <f>$O$472*$X$472</f>
        <v>75500.194640000002</v>
      </c>
      <c r="AE472" s="4">
        <f ca="1">$K$472*$Y$472</f>
        <v>344385.48652285209</v>
      </c>
      <c r="AF472" s="4">
        <f ca="1">$M$472*$Z$472</f>
        <v>13856.943031837147</v>
      </c>
      <c r="AG472" s="4">
        <f>$O$472*$AA$472</f>
        <v>77067.824134610899</v>
      </c>
    </row>
    <row r="473" spans="1:33" ht="11.25" customHeight="1" x14ac:dyDescent="0.25">
      <c r="A473" s="3" t="s">
        <v>21</v>
      </c>
      <c r="B473" s="3" t="s">
        <v>41</v>
      </c>
      <c r="C473" s="3" t="s">
        <v>40</v>
      </c>
      <c r="D473" s="3" t="s">
        <v>50</v>
      </c>
      <c r="E473" s="3" t="s">
        <v>51</v>
      </c>
      <c r="F473" s="3" t="s">
        <v>25</v>
      </c>
      <c r="G473" s="3" t="s">
        <v>25</v>
      </c>
      <c r="H473" s="3" t="s">
        <v>34</v>
      </c>
      <c r="I473" s="6">
        <v>44470</v>
      </c>
      <c r="J473" s="4">
        <v>4804</v>
      </c>
      <c r="K473" s="57">
        <v>4804</v>
      </c>
      <c r="L473" s="4">
        <v>213.417</v>
      </c>
      <c r="M473" s="56">
        <v>213.417</v>
      </c>
      <c r="N473" s="4">
        <v>213.417</v>
      </c>
      <c r="O473" s="56">
        <v>213.417</v>
      </c>
      <c r="P473" s="4">
        <v>0</v>
      </c>
      <c r="Q473" s="3" t="s">
        <v>26</v>
      </c>
      <c r="R473" s="3">
        <v>0</v>
      </c>
      <c r="S473" s="4">
        <v>11</v>
      </c>
      <c r="T473" s="4">
        <v>110</v>
      </c>
      <c r="U473" s="4">
        <v>88</v>
      </c>
      <c r="V473" s="56">
        <f>IF(ISERROR(VLOOKUP($S$473,'TAR FIN'!$A$1:$O$113,15,0)),0,VLOOKUP($S$473,'TAR FIN'!$A$1:$O$113,15,0))*(1-0.06)</f>
        <v>58.496199999999995</v>
      </c>
      <c r="W473" s="56">
        <f>IF(ISERROR(VLOOKUP($T$473,'TAR FIN'!$A$1:$O$113,15,0)),0,VLOOKUP($T$473,'TAR FIN'!$A$1:$O$113,15,0))*(1-0.06)</f>
        <v>48.193800000000003</v>
      </c>
      <c r="X473" s="56">
        <f>IF(ISERROR(VLOOKUP($U$473,'TAR FIN'!$A$1:$O$113,15,0)),0,VLOOKUP($U$473,'TAR FIN'!$A$1:$O$113,15,0))*(1-0.06)</f>
        <v>343.57</v>
      </c>
      <c r="Y473" s="56">
        <f ca="1">('TUSD BE'!$AM$13+'TUSD BF'!$AM$13+'TUSD CVA'!$AM$13)*1*(1-0.03)</f>
        <v>70.890384216313734</v>
      </c>
      <c r="Z473" s="56">
        <f ca="1">('TUSD BE'!$AM$15+'TUSD BF'!$AM$15+'TUSD CVA'!$AM$15)*1*(1-0.03)</f>
        <v>63.057187337713181</v>
      </c>
      <c r="AA473" s="56">
        <f>('TE BE'!$AA$10+'TE BF'!$AA$10+'TE CVA'!$AA$10)*1*(1-0.03)</f>
        <v>350.70363015859192</v>
      </c>
      <c r="AB473" s="4">
        <f>$K$473*$V$473</f>
        <v>281015.74479999999</v>
      </c>
      <c r="AC473" s="4">
        <f>$M$473*$W$473</f>
        <v>10285.376214600001</v>
      </c>
      <c r="AD473" s="4">
        <f>$O$473*$X$473</f>
        <v>73323.678690000001</v>
      </c>
      <c r="AE473" s="4">
        <f ca="1">$K$473*$Y$473</f>
        <v>340557.40577517118</v>
      </c>
      <c r="AF473" s="4">
        <f ca="1">$M$473*$Z$473</f>
        <v>13457.475750052734</v>
      </c>
      <c r="AG473" s="4">
        <f>$O$473*$AA$473</f>
        <v>74846.116637556217</v>
      </c>
    </row>
    <row r="474" spans="1:33" ht="11.25" customHeight="1" x14ac:dyDescent="0.25">
      <c r="A474" s="3" t="s">
        <v>21</v>
      </c>
      <c r="B474" s="3" t="s">
        <v>41</v>
      </c>
      <c r="C474" s="3" t="s">
        <v>40</v>
      </c>
      <c r="D474" s="3" t="s">
        <v>50</v>
      </c>
      <c r="E474" s="3" t="s">
        <v>51</v>
      </c>
      <c r="F474" s="3" t="s">
        <v>25</v>
      </c>
      <c r="G474" s="3" t="s">
        <v>25</v>
      </c>
      <c r="H474" s="3" t="s">
        <v>34</v>
      </c>
      <c r="I474" s="6">
        <v>44501</v>
      </c>
      <c r="J474" s="4">
        <v>5045</v>
      </c>
      <c r="K474" s="57">
        <v>5045</v>
      </c>
      <c r="L474" s="4">
        <v>213.58600000000001</v>
      </c>
      <c r="M474" s="56">
        <v>213.58600000000001</v>
      </c>
      <c r="N474" s="4">
        <v>213.58600000000001</v>
      </c>
      <c r="O474" s="56">
        <v>213.58600000000001</v>
      </c>
      <c r="P474" s="4">
        <v>0</v>
      </c>
      <c r="Q474" s="3" t="s">
        <v>26</v>
      </c>
      <c r="R474" s="3">
        <v>0</v>
      </c>
      <c r="S474" s="4">
        <v>11</v>
      </c>
      <c r="T474" s="4">
        <v>110</v>
      </c>
      <c r="U474" s="4">
        <v>88</v>
      </c>
      <c r="V474" s="56">
        <f>IF(ISERROR(VLOOKUP($S$474,'TAR FIN'!$A$1:$O$113,15,0)),0,VLOOKUP($S$474,'TAR FIN'!$A$1:$O$113,15,0))*(1-0.06)</f>
        <v>58.496199999999995</v>
      </c>
      <c r="W474" s="56">
        <f>IF(ISERROR(VLOOKUP($T$474,'TAR FIN'!$A$1:$O$113,15,0)),0,VLOOKUP($T$474,'TAR FIN'!$A$1:$O$113,15,0))*(1-0.06)</f>
        <v>48.193800000000003</v>
      </c>
      <c r="X474" s="56">
        <f>IF(ISERROR(VLOOKUP($U$474,'TAR FIN'!$A$1:$O$113,15,0)),0,VLOOKUP($U$474,'TAR FIN'!$A$1:$O$113,15,0))*(1-0.06)</f>
        <v>343.57</v>
      </c>
      <c r="Y474" s="56">
        <f ca="1">('TUSD BE'!$AM$13+'TUSD BF'!$AM$13+'TUSD CVA'!$AM$13)*1*(1-0.03)</f>
        <v>70.890384216313734</v>
      </c>
      <c r="Z474" s="56">
        <f ca="1">('TUSD BE'!$AM$15+'TUSD BF'!$AM$15+'TUSD CVA'!$AM$15)*1*(1-0.03)</f>
        <v>63.057187337713181</v>
      </c>
      <c r="AA474" s="56">
        <f>('TE BE'!$AA$10+'TE BF'!$AA$10+'TE CVA'!$AA$10)*1*(1-0.03)</f>
        <v>350.70363015859192</v>
      </c>
      <c r="AB474" s="4">
        <f>$K$474*$V$474</f>
        <v>295113.32899999997</v>
      </c>
      <c r="AC474" s="4">
        <f>$M$474*$W$474</f>
        <v>10293.520966800001</v>
      </c>
      <c r="AD474" s="4">
        <f>$O$474*$X$474</f>
        <v>73381.742020000005</v>
      </c>
      <c r="AE474" s="4">
        <f ca="1">$K$474*$Y$474</f>
        <v>357641.98837130278</v>
      </c>
      <c r="AF474" s="4">
        <f ca="1">$M$474*$Z$474</f>
        <v>13468.132414712809</v>
      </c>
      <c r="AG474" s="4">
        <f>$O$474*$AA$474</f>
        <v>74905.385551053012</v>
      </c>
    </row>
    <row r="475" spans="1:33" ht="11.25" customHeight="1" x14ac:dyDescent="0.25">
      <c r="A475" s="3" t="s">
        <v>21</v>
      </c>
      <c r="B475" s="3" t="s">
        <v>41</v>
      </c>
      <c r="C475" s="3" t="s">
        <v>40</v>
      </c>
      <c r="D475" s="3" t="s">
        <v>50</v>
      </c>
      <c r="E475" s="3" t="s">
        <v>51</v>
      </c>
      <c r="F475" s="3" t="s">
        <v>25</v>
      </c>
      <c r="G475" s="3" t="s">
        <v>25</v>
      </c>
      <c r="H475" s="3" t="s">
        <v>34</v>
      </c>
      <c r="I475" s="6">
        <v>44531</v>
      </c>
      <c r="J475" s="4">
        <v>4821</v>
      </c>
      <c r="K475" s="57">
        <v>4821</v>
      </c>
      <c r="L475" s="4">
        <v>220.51300000000001</v>
      </c>
      <c r="M475" s="56">
        <v>220.51300000000001</v>
      </c>
      <c r="N475" s="4">
        <v>220.51300000000001</v>
      </c>
      <c r="O475" s="56">
        <v>220.51300000000001</v>
      </c>
      <c r="P475" s="4">
        <v>0</v>
      </c>
      <c r="Q475" s="3" t="s">
        <v>26</v>
      </c>
      <c r="R475" s="3">
        <v>0</v>
      </c>
      <c r="S475" s="4">
        <v>11</v>
      </c>
      <c r="T475" s="4">
        <v>110</v>
      </c>
      <c r="U475" s="4">
        <v>88</v>
      </c>
      <c r="V475" s="56">
        <f>IF(ISERROR(VLOOKUP($S$475,'TAR FIN'!$A$1:$O$113,15,0)),0,VLOOKUP($S$475,'TAR FIN'!$A$1:$O$113,15,0))*(1-0.06)</f>
        <v>58.496199999999995</v>
      </c>
      <c r="W475" s="56">
        <f>IF(ISERROR(VLOOKUP($T$475,'TAR FIN'!$A$1:$O$113,15,0)),0,VLOOKUP($T$475,'TAR FIN'!$A$1:$O$113,15,0))*(1-0.06)</f>
        <v>48.193800000000003</v>
      </c>
      <c r="X475" s="56">
        <f>IF(ISERROR(VLOOKUP($U$475,'TAR FIN'!$A$1:$O$113,15,0)),0,VLOOKUP($U$475,'TAR FIN'!$A$1:$O$113,15,0))*(1-0.06)</f>
        <v>343.57</v>
      </c>
      <c r="Y475" s="56">
        <f ca="1">('TUSD BE'!$AM$13+'TUSD BF'!$AM$13+'TUSD CVA'!$AM$13)*1*(1-0.03)</f>
        <v>70.890384216313734</v>
      </c>
      <c r="Z475" s="56">
        <f ca="1">('TUSD BE'!$AM$15+'TUSD BF'!$AM$15+'TUSD CVA'!$AM$15)*1*(1-0.03)</f>
        <v>63.057187337713181</v>
      </c>
      <c r="AA475" s="56">
        <f>('TE BE'!$AA$10+'TE BF'!$AA$10+'TE CVA'!$AA$10)*1*(1-0.03)</f>
        <v>350.70363015859192</v>
      </c>
      <c r="AB475" s="4">
        <f>$K$475*$V$475</f>
        <v>282010.1802</v>
      </c>
      <c r="AC475" s="4">
        <f>$M$475*$W$475</f>
        <v>10627.359419400002</v>
      </c>
      <c r="AD475" s="4">
        <f>$O$475*$X$475</f>
        <v>75761.651410000006</v>
      </c>
      <c r="AE475" s="4">
        <f ca="1">$K$475*$Y$475</f>
        <v>341762.54230684851</v>
      </c>
      <c r="AF475" s="4">
        <f ca="1">$M$475*$Z$475</f>
        <v>13904.929551401146</v>
      </c>
      <c r="AG475" s="4">
        <f>$O$475*$AA$475</f>
        <v>77334.709597161578</v>
      </c>
    </row>
    <row r="476" spans="1:33" ht="11.25" customHeight="1" x14ac:dyDescent="0.25">
      <c r="A476" s="3" t="s">
        <v>21</v>
      </c>
      <c r="B476" s="3" t="s">
        <v>41</v>
      </c>
      <c r="C476" s="3" t="s">
        <v>40</v>
      </c>
      <c r="D476" s="3" t="s">
        <v>50</v>
      </c>
      <c r="E476" s="3" t="s">
        <v>51</v>
      </c>
      <c r="F476" s="3" t="s">
        <v>25</v>
      </c>
      <c r="G476" s="3" t="s">
        <v>25</v>
      </c>
      <c r="H476" s="3" t="s">
        <v>34</v>
      </c>
      <c r="I476" s="6">
        <v>44562</v>
      </c>
      <c r="J476" s="4">
        <v>4984</v>
      </c>
      <c r="K476" s="57">
        <v>4984</v>
      </c>
      <c r="L476" s="4">
        <v>225.96</v>
      </c>
      <c r="M476" s="56">
        <v>225.96</v>
      </c>
      <c r="N476" s="4">
        <v>225.96</v>
      </c>
      <c r="O476" s="56">
        <v>225.96</v>
      </c>
      <c r="P476" s="4">
        <v>0</v>
      </c>
      <c r="Q476" s="3" t="s">
        <v>26</v>
      </c>
      <c r="R476" s="3">
        <v>0</v>
      </c>
      <c r="S476" s="4">
        <v>11</v>
      </c>
      <c r="T476" s="4">
        <v>110</v>
      </c>
      <c r="U476" s="4">
        <v>88</v>
      </c>
      <c r="V476" s="56">
        <f>IF(ISERROR(VLOOKUP($S$476,'TAR FIN'!$A$1:$O$113,15,0)),0,VLOOKUP($S$476,'TAR FIN'!$A$1:$O$113,15,0))*(1-0.06)</f>
        <v>58.496199999999995</v>
      </c>
      <c r="W476" s="56">
        <f>IF(ISERROR(VLOOKUP($T$476,'TAR FIN'!$A$1:$O$113,15,0)),0,VLOOKUP($T$476,'TAR FIN'!$A$1:$O$113,15,0))*(1-0.06)</f>
        <v>48.193800000000003</v>
      </c>
      <c r="X476" s="56">
        <f>IF(ISERROR(VLOOKUP($U$476,'TAR FIN'!$A$1:$O$113,15,0)),0,VLOOKUP($U$476,'TAR FIN'!$A$1:$O$113,15,0))*(1-0.06)</f>
        <v>343.57</v>
      </c>
      <c r="Y476" s="56">
        <f ca="1">('TUSD BE'!$AM$13+'TUSD BF'!$AM$13+'TUSD CVA'!$AM$13)*1*(1-0.03)</f>
        <v>70.890384216313734</v>
      </c>
      <c r="Z476" s="56">
        <f ca="1">('TUSD BE'!$AM$15+'TUSD BF'!$AM$15+'TUSD CVA'!$AM$15)*1*(1-0.03)</f>
        <v>63.057187337713181</v>
      </c>
      <c r="AA476" s="56">
        <f>('TE BE'!$AA$10+'TE BF'!$AA$10+'TE CVA'!$AA$10)*1*(1-0.03)</f>
        <v>350.70363015859192</v>
      </c>
      <c r="AB476" s="4">
        <f>$K$476*$V$476</f>
        <v>291545.06079999998</v>
      </c>
      <c r="AC476" s="4">
        <f>$M$476*$W$476</f>
        <v>10889.871048000001</v>
      </c>
      <c r="AD476" s="4">
        <f>$O$476*$X$476</f>
        <v>77633.0772</v>
      </c>
      <c r="AE476" s="4">
        <f ca="1">$K$476*$Y$476</f>
        <v>353317.67493410764</v>
      </c>
      <c r="AF476" s="4">
        <f ca="1">$M$476*$Z$476</f>
        <v>14248.402050829671</v>
      </c>
      <c r="AG476" s="4">
        <f>$O$476*$AA$476</f>
        <v>79244.992270635426</v>
      </c>
    </row>
    <row r="477" spans="1:33" ht="11.25" customHeight="1" x14ac:dyDescent="0.25">
      <c r="A477" s="3" t="s">
        <v>21</v>
      </c>
      <c r="B477" s="3" t="s">
        <v>41</v>
      </c>
      <c r="C477" s="3" t="s">
        <v>40</v>
      </c>
      <c r="D477" s="3" t="s">
        <v>50</v>
      </c>
      <c r="E477" s="3" t="s">
        <v>51</v>
      </c>
      <c r="F477" s="3" t="s">
        <v>25</v>
      </c>
      <c r="G477" s="3" t="s">
        <v>25</v>
      </c>
      <c r="H477" s="3" t="s">
        <v>34</v>
      </c>
      <c r="I477" s="6">
        <v>44593</v>
      </c>
      <c r="J477" s="4">
        <v>4945</v>
      </c>
      <c r="K477" s="57">
        <v>4945</v>
      </c>
      <c r="L477" s="4">
        <v>208.08</v>
      </c>
      <c r="M477" s="56">
        <v>208.08</v>
      </c>
      <c r="N477" s="4">
        <v>208.08</v>
      </c>
      <c r="O477" s="56">
        <v>208.08</v>
      </c>
      <c r="P477" s="4">
        <v>0</v>
      </c>
      <c r="Q477" s="3" t="s">
        <v>26</v>
      </c>
      <c r="R477" s="3">
        <v>0</v>
      </c>
      <c r="S477" s="4">
        <v>11</v>
      </c>
      <c r="T477" s="4">
        <v>110</v>
      </c>
      <c r="U477" s="4">
        <v>88</v>
      </c>
      <c r="V477" s="56">
        <f>IF(ISERROR(VLOOKUP($S$477,'TAR FIN'!$A$1:$O$113,15,0)),0,VLOOKUP($S$477,'TAR FIN'!$A$1:$O$113,15,0))*(1-0.06)</f>
        <v>58.496199999999995</v>
      </c>
      <c r="W477" s="56">
        <f>IF(ISERROR(VLOOKUP($T$477,'TAR FIN'!$A$1:$O$113,15,0)),0,VLOOKUP($T$477,'TAR FIN'!$A$1:$O$113,15,0))*(1-0.06)</f>
        <v>48.193800000000003</v>
      </c>
      <c r="X477" s="56">
        <f>IF(ISERROR(VLOOKUP($U$477,'TAR FIN'!$A$1:$O$113,15,0)),0,VLOOKUP($U$477,'TAR FIN'!$A$1:$O$113,15,0))*(1-0.06)</f>
        <v>343.57</v>
      </c>
      <c r="Y477" s="56">
        <f ca="1">('TUSD BE'!$AM$13+'TUSD BF'!$AM$13+'TUSD CVA'!$AM$13)*1*(1-0.03)</f>
        <v>70.890384216313734</v>
      </c>
      <c r="Z477" s="56">
        <f ca="1">('TUSD BE'!$AM$15+'TUSD BF'!$AM$15+'TUSD CVA'!$AM$15)*1*(1-0.03)</f>
        <v>63.057187337713181</v>
      </c>
      <c r="AA477" s="56">
        <f>('TE BE'!$AA$10+'TE BF'!$AA$10+'TE CVA'!$AA$10)*1*(1-0.03)</f>
        <v>350.70363015859192</v>
      </c>
      <c r="AB477" s="4">
        <f>$K$477*$V$477</f>
        <v>289263.70899999997</v>
      </c>
      <c r="AC477" s="4">
        <f>$M$477*$W$477</f>
        <v>10028.165904000001</v>
      </c>
      <c r="AD477" s="4">
        <f>$O$477*$X$477</f>
        <v>71490.045599999998</v>
      </c>
      <c r="AE477" s="4">
        <f ca="1">$K$477*$Y$477</f>
        <v>350552.9499496714</v>
      </c>
      <c r="AF477" s="4">
        <f ca="1">$M$477*$Z$477</f>
        <v>13120.939541231359</v>
      </c>
      <c r="AG477" s="4">
        <f>$O$477*$AA$477</f>
        <v>72974.411363399806</v>
      </c>
    </row>
    <row r="478" spans="1:33" ht="11.25" customHeight="1" x14ac:dyDescent="0.25">
      <c r="A478" s="3" t="s">
        <v>56</v>
      </c>
      <c r="B478" s="3" t="s">
        <v>41</v>
      </c>
      <c r="C478" s="3" t="s">
        <v>40</v>
      </c>
      <c r="D478" s="3" t="s">
        <v>50</v>
      </c>
      <c r="E478" s="3" t="s">
        <v>51</v>
      </c>
      <c r="F478" s="3" t="s">
        <v>25</v>
      </c>
      <c r="G478" s="3" t="s">
        <v>25</v>
      </c>
      <c r="H478" s="3" t="s">
        <v>34</v>
      </c>
      <c r="I478" s="6">
        <v>44621</v>
      </c>
      <c r="J478" s="4">
        <v>4945</v>
      </c>
      <c r="K478" s="57">
        <v>4945</v>
      </c>
      <c r="L478" s="4">
        <v>208.08</v>
      </c>
      <c r="M478" s="56">
        <v>208.08</v>
      </c>
      <c r="N478" s="4">
        <v>208.08</v>
      </c>
      <c r="O478" s="56">
        <v>208.08</v>
      </c>
      <c r="P478" s="4">
        <v>0</v>
      </c>
      <c r="Q478" s="3" t="s">
        <v>26</v>
      </c>
      <c r="R478" s="3">
        <v>0</v>
      </c>
      <c r="S478" s="4">
        <v>11</v>
      </c>
      <c r="T478" s="4">
        <v>110</v>
      </c>
      <c r="U478" s="4">
        <v>88</v>
      </c>
      <c r="V478" s="56">
        <f>IF(ISERROR(VLOOKUP($S$478,'TAR FIN'!$A$1:$O$113,15,0)),0,VLOOKUP($S$478,'TAR FIN'!$A$1:$O$113,15,0))*(1-0.06)</f>
        <v>58.496199999999995</v>
      </c>
      <c r="W478" s="56">
        <f>IF(ISERROR(VLOOKUP($T$478,'TAR FIN'!$A$1:$O$113,15,0)),0,VLOOKUP($T$478,'TAR FIN'!$A$1:$O$113,15,0))*(1-0.06)</f>
        <v>48.193800000000003</v>
      </c>
      <c r="X478" s="56">
        <f>IF(ISERROR(VLOOKUP($U$478,'TAR FIN'!$A$1:$O$113,15,0)),0,VLOOKUP($U$478,'TAR FIN'!$A$1:$O$113,15,0))*(1-0.06)</f>
        <v>343.57</v>
      </c>
      <c r="Y478" s="56">
        <f ca="1">('TUSD BE'!$AM$13+'TUSD BF'!$AM$13+'TUSD CVA'!$AM$13)*1*(1-0.03)</f>
        <v>70.890384216313734</v>
      </c>
      <c r="Z478" s="56">
        <f ca="1">('TUSD BE'!$AM$15+'TUSD BF'!$AM$15+'TUSD CVA'!$AM$15)*1*(1-0.03)</f>
        <v>63.057187337713181</v>
      </c>
      <c r="AA478" s="56">
        <f>('TE BE'!$AA$10+'TE BF'!$AA$10+'TE CVA'!$AA$10)*1*(1-0.03)</f>
        <v>350.70363015859192</v>
      </c>
      <c r="AB478" s="4">
        <f>$K$478*$V$478</f>
        <v>289263.70899999997</v>
      </c>
      <c r="AC478" s="4">
        <f>$M$478*$W$478</f>
        <v>10028.165904000001</v>
      </c>
      <c r="AD478" s="4">
        <f>$O$478*$X$478</f>
        <v>71490.045599999998</v>
      </c>
      <c r="AE478" s="4">
        <f ca="1">$K$478*$Y$478</f>
        <v>350552.9499496714</v>
      </c>
      <c r="AF478" s="4">
        <f ca="1">$M$478*$Z$478</f>
        <v>13120.939541231359</v>
      </c>
      <c r="AG478" s="4">
        <f>$O$478*$AA$478</f>
        <v>72974.411363399806</v>
      </c>
    </row>
    <row r="479" spans="1:33" ht="11.25" customHeight="1" x14ac:dyDescent="0.25">
      <c r="A479" s="3" t="s">
        <v>21</v>
      </c>
      <c r="B479" s="3" t="s">
        <v>41</v>
      </c>
      <c r="C479" s="3" t="s">
        <v>61</v>
      </c>
      <c r="D479" s="3" t="s">
        <v>25</v>
      </c>
      <c r="E479" s="3" t="s">
        <v>25</v>
      </c>
      <c r="F479" s="3" t="s">
        <v>64</v>
      </c>
      <c r="G479" s="3" t="s">
        <v>68</v>
      </c>
      <c r="H479" s="3" t="s">
        <v>35</v>
      </c>
      <c r="I479" s="6">
        <v>44287</v>
      </c>
      <c r="J479" s="4">
        <v>1995</v>
      </c>
      <c r="K479" s="16">
        <f>J479*(1-SUMIFS(CUSTOS!$T$40:$T$100,CUSTOS!$O$40:$O$100,EFEITO!G479,CUSTOS!$S$40:$S$100,EFEITO!B479,CUSTOS!$R$40:$R$100,"Potência"))</f>
        <v>1995</v>
      </c>
      <c r="L479" s="4">
        <v>997.26800000000003</v>
      </c>
      <c r="M479" s="16">
        <f>L479*(1-SUMIFS(CUSTOS!$T$40:$T$100,CUSTOS!$O$40:$O$100,EFEITO!G479,CUSTOS!$S$40:$S$100,EFEITO!B479,CUSTOS!$R$40:$R$100,"Potência"))</f>
        <v>997.26800000000003</v>
      </c>
      <c r="N479" s="4">
        <v>0</v>
      </c>
      <c r="O479" s="16">
        <f>N479*(1-SUMIFS(CUSTOS!$T$40:$T$100,CUSTOS!$O$40:$O$100,EFEITO!G479,CUSTOS!$S$40:$S$100,EFEITO!B479,CUSTOS!$R$40:$R$100,"Energia"))</f>
        <v>0</v>
      </c>
      <c r="P479" s="4">
        <v>0</v>
      </c>
      <c r="Q479" s="3" t="s">
        <v>66</v>
      </c>
      <c r="R479" s="3">
        <v>5377</v>
      </c>
      <c r="S479" s="4">
        <v>14</v>
      </c>
      <c r="T479" s="4">
        <v>15</v>
      </c>
      <c r="U479" s="4">
        <v>0</v>
      </c>
      <c r="V479" s="4">
        <f>IF(ISERROR(VLOOKUP($S$479,'TAR FIN'!$A$1:$O$113,15,0)),0,VLOOKUP($S$479,'TAR FIN'!$A$1:$O$113,15,0))</f>
        <v>15.06</v>
      </c>
      <c r="W479" s="4">
        <f>IF(ISERROR(VLOOKUP($T$479,'TAR FIN'!$A$1:$O$113,15,0)),0,VLOOKUP($T$479,'TAR FIN'!$A$1:$O$113,15,0))</f>
        <v>9.65</v>
      </c>
      <c r="X479" s="4">
        <f>IF(ISERROR(VLOOKUP($U$479,'TAR FIN'!$A$1:$O$113,15,0)),0,VLOOKUP($U$479,'TAR FIN'!$A$1:$O$113,15,0))</f>
        <v>0</v>
      </c>
      <c r="Y479" s="4">
        <f ca="1">('TUSD BE'!$AM$18+'TUSD BF'!$AM$18+'TUSD CVA'!$AM$18)*1</f>
        <v>16.481800632175148</v>
      </c>
      <c r="Z479" s="4">
        <f ca="1">('TUSD BE'!$AM$19+'TUSD BF'!$AM$19+'TUSD CVA'!$AM$19)*1</f>
        <v>11.150945133676805</v>
      </c>
      <c r="AA479" s="4">
        <f>('TE BE'!$AA$14+'TE BF'!$AA$14+'TE CVA'!$AA$14)*1</f>
        <v>253.57775100318744</v>
      </c>
      <c r="AB479" s="4">
        <f>$K$479*$V$479</f>
        <v>30044.7</v>
      </c>
      <c r="AC479" s="4">
        <f>$M$479*$W$479</f>
        <v>9623.6362000000008</v>
      </c>
      <c r="AD479" s="4">
        <f>$O$479*$X$479</f>
        <v>0</v>
      </c>
      <c r="AE479" s="4">
        <f ca="1">$K$479*$Y$479</f>
        <v>32881.192261189419</v>
      </c>
      <c r="AF479" s="4">
        <f ca="1">$M$479*$Z$479</f>
        <v>11120.4807515716</v>
      </c>
      <c r="AG479" s="4">
        <f>$O$479*$AA$479</f>
        <v>0</v>
      </c>
    </row>
    <row r="480" spans="1:33" ht="11.25" customHeight="1" x14ac:dyDescent="0.25">
      <c r="A480" s="3" t="s">
        <v>21</v>
      </c>
      <c r="B480" s="3" t="s">
        <v>41</v>
      </c>
      <c r="C480" s="3" t="s">
        <v>61</v>
      </c>
      <c r="D480" s="3" t="s">
        <v>25</v>
      </c>
      <c r="E480" s="3" t="s">
        <v>25</v>
      </c>
      <c r="F480" s="3" t="s">
        <v>64</v>
      </c>
      <c r="G480" s="3" t="s">
        <v>68</v>
      </c>
      <c r="H480" s="3" t="s">
        <v>35</v>
      </c>
      <c r="I480" s="6">
        <v>44317</v>
      </c>
      <c r="J480" s="4">
        <v>2016</v>
      </c>
      <c r="K480" s="16">
        <f>J480*(1-SUMIFS(CUSTOS!$T$40:$T$100,CUSTOS!$O$40:$O$100,EFEITO!G480,CUSTOS!$S$40:$S$100,EFEITO!B480,CUSTOS!$R$40:$R$100,"Potência"))</f>
        <v>2016</v>
      </c>
      <c r="L480" s="4">
        <v>928.58900000000006</v>
      </c>
      <c r="M480" s="16">
        <f>L480*(1-SUMIFS(CUSTOS!$T$40:$T$100,CUSTOS!$O$40:$O$100,EFEITO!G480,CUSTOS!$S$40:$S$100,EFEITO!B480,CUSTOS!$R$40:$R$100,"Potência"))</f>
        <v>928.58900000000006</v>
      </c>
      <c r="N480" s="4">
        <v>0</v>
      </c>
      <c r="O480" s="16">
        <f>N480*(1-SUMIFS(CUSTOS!$T$40:$T$100,CUSTOS!$O$40:$O$100,EFEITO!G480,CUSTOS!$S$40:$S$100,EFEITO!B480,CUSTOS!$R$40:$R$100,"Energia"))</f>
        <v>0</v>
      </c>
      <c r="P480" s="4">
        <v>0</v>
      </c>
      <c r="Q480" s="3" t="s">
        <v>66</v>
      </c>
      <c r="R480" s="3">
        <v>5377</v>
      </c>
      <c r="S480" s="4">
        <v>14</v>
      </c>
      <c r="T480" s="4">
        <v>15</v>
      </c>
      <c r="U480" s="4">
        <v>0</v>
      </c>
      <c r="V480" s="4">
        <f>IF(ISERROR(VLOOKUP($S$480,'TAR FIN'!$A$1:$O$113,15,0)),0,VLOOKUP($S$480,'TAR FIN'!$A$1:$O$113,15,0))</f>
        <v>15.06</v>
      </c>
      <c r="W480" s="4">
        <f>IF(ISERROR(VLOOKUP($T$480,'TAR FIN'!$A$1:$O$113,15,0)),0,VLOOKUP($T$480,'TAR FIN'!$A$1:$O$113,15,0))</f>
        <v>9.65</v>
      </c>
      <c r="X480" s="4">
        <f>IF(ISERROR(VLOOKUP($U$480,'TAR FIN'!$A$1:$O$113,15,0)),0,VLOOKUP($U$480,'TAR FIN'!$A$1:$O$113,15,0))</f>
        <v>0</v>
      </c>
      <c r="Y480" s="4">
        <f ca="1">('TUSD BE'!$AM$18+'TUSD BF'!$AM$18+'TUSD CVA'!$AM$18)*1</f>
        <v>16.481800632175148</v>
      </c>
      <c r="Z480" s="4">
        <f ca="1">('TUSD BE'!$AM$19+'TUSD BF'!$AM$19+'TUSD CVA'!$AM$19)*1</f>
        <v>11.150945133676805</v>
      </c>
      <c r="AA480" s="4">
        <f>('TE BE'!$AA$14+'TE BF'!$AA$14+'TE CVA'!$AA$14)*1</f>
        <v>253.57775100318744</v>
      </c>
      <c r="AB480" s="4">
        <f>$K$480*$V$480</f>
        <v>30360.960000000003</v>
      </c>
      <c r="AC480" s="4">
        <f>$M$480*$W$480</f>
        <v>8960.8838500000002</v>
      </c>
      <c r="AD480" s="4">
        <f>$O$480*$X$480</f>
        <v>0</v>
      </c>
      <c r="AE480" s="4">
        <f ca="1">$K$480*$Y$480</f>
        <v>33227.310074465095</v>
      </c>
      <c r="AF480" s="4">
        <f ca="1">$M$480*$Z$480</f>
        <v>10354.644990735811</v>
      </c>
      <c r="AG480" s="4">
        <f>$O$480*$AA$480</f>
        <v>0</v>
      </c>
    </row>
    <row r="481" spans="1:33" ht="11.25" customHeight="1" x14ac:dyDescent="0.25">
      <c r="A481" s="3" t="s">
        <v>21</v>
      </c>
      <c r="B481" s="3" t="s">
        <v>41</v>
      </c>
      <c r="C481" s="3" t="s">
        <v>61</v>
      </c>
      <c r="D481" s="3" t="s">
        <v>25</v>
      </c>
      <c r="E481" s="3" t="s">
        <v>25</v>
      </c>
      <c r="F481" s="3" t="s">
        <v>64</v>
      </c>
      <c r="G481" s="3" t="s">
        <v>68</v>
      </c>
      <c r="H481" s="3" t="s">
        <v>35</v>
      </c>
      <c r="I481" s="6">
        <v>44348</v>
      </c>
      <c r="J481" s="4">
        <v>1935</v>
      </c>
      <c r="K481" s="16">
        <f>J481*(1-SUMIFS(CUSTOS!$T$40:$T$100,CUSTOS!$O$40:$O$100,EFEITO!G481,CUSTOS!$S$40:$S$100,EFEITO!B481,CUSTOS!$R$40:$R$100,"Potência"))</f>
        <v>1935</v>
      </c>
      <c r="L481" s="4">
        <v>903.06299999999999</v>
      </c>
      <c r="M481" s="16">
        <f>L481*(1-SUMIFS(CUSTOS!$T$40:$T$100,CUSTOS!$O$40:$O$100,EFEITO!G481,CUSTOS!$S$40:$S$100,EFEITO!B481,CUSTOS!$R$40:$R$100,"Potência"))</f>
        <v>903.06299999999999</v>
      </c>
      <c r="N481" s="4">
        <v>0</v>
      </c>
      <c r="O481" s="16">
        <f>N481*(1-SUMIFS(CUSTOS!$T$40:$T$100,CUSTOS!$O$40:$O$100,EFEITO!G481,CUSTOS!$S$40:$S$100,EFEITO!B481,CUSTOS!$R$40:$R$100,"Energia"))</f>
        <v>0</v>
      </c>
      <c r="P481" s="4">
        <v>0</v>
      </c>
      <c r="Q481" s="3" t="s">
        <v>66</v>
      </c>
      <c r="R481" s="3">
        <v>5377</v>
      </c>
      <c r="S481" s="4">
        <v>14</v>
      </c>
      <c r="T481" s="4">
        <v>15</v>
      </c>
      <c r="U481" s="4">
        <v>0</v>
      </c>
      <c r="V481" s="4">
        <f>IF(ISERROR(VLOOKUP($S$481,'TAR FIN'!$A$1:$O$113,15,0)),0,VLOOKUP($S$481,'TAR FIN'!$A$1:$O$113,15,0))</f>
        <v>15.06</v>
      </c>
      <c r="W481" s="4">
        <f>IF(ISERROR(VLOOKUP($T$481,'TAR FIN'!$A$1:$O$113,15,0)),0,VLOOKUP($T$481,'TAR FIN'!$A$1:$O$113,15,0))</f>
        <v>9.65</v>
      </c>
      <c r="X481" s="4">
        <f>IF(ISERROR(VLOOKUP($U$481,'TAR FIN'!$A$1:$O$113,15,0)),0,VLOOKUP($U$481,'TAR FIN'!$A$1:$O$113,15,0))</f>
        <v>0</v>
      </c>
      <c r="Y481" s="4">
        <f ca="1">('TUSD BE'!$AM$18+'TUSD BF'!$AM$18+'TUSD CVA'!$AM$18)*1</f>
        <v>16.481800632175148</v>
      </c>
      <c r="Z481" s="4">
        <f ca="1">('TUSD BE'!$AM$19+'TUSD BF'!$AM$19+'TUSD CVA'!$AM$19)*1</f>
        <v>11.150945133676805</v>
      </c>
      <c r="AA481" s="4">
        <f>('TE BE'!$AA$14+'TE BF'!$AA$14+'TE CVA'!$AA$14)*1</f>
        <v>253.57775100318744</v>
      </c>
      <c r="AB481" s="4">
        <f>$K$481*$V$481</f>
        <v>29141.100000000002</v>
      </c>
      <c r="AC481" s="4">
        <f>$M$481*$W$481</f>
        <v>8714.5579500000003</v>
      </c>
      <c r="AD481" s="4">
        <f>$O$481*$X$481</f>
        <v>0</v>
      </c>
      <c r="AE481" s="4">
        <f ca="1">$K$481*$Y$481</f>
        <v>31892.28422325891</v>
      </c>
      <c r="AF481" s="4">
        <f ca="1">$M$481*$Z$481</f>
        <v>10070.005965253577</v>
      </c>
      <c r="AG481" s="4">
        <f>$O$481*$AA$481</f>
        <v>0</v>
      </c>
    </row>
    <row r="482" spans="1:33" ht="11.25" customHeight="1" x14ac:dyDescent="0.25">
      <c r="A482" s="3" t="s">
        <v>21</v>
      </c>
      <c r="B482" s="3" t="s">
        <v>41</v>
      </c>
      <c r="C482" s="3" t="s">
        <v>61</v>
      </c>
      <c r="D482" s="3" t="s">
        <v>25</v>
      </c>
      <c r="E482" s="3" t="s">
        <v>25</v>
      </c>
      <c r="F482" s="3" t="s">
        <v>64</v>
      </c>
      <c r="G482" s="3" t="s">
        <v>68</v>
      </c>
      <c r="H482" s="3" t="s">
        <v>35</v>
      </c>
      <c r="I482" s="6">
        <v>44378</v>
      </c>
      <c r="J482" s="4">
        <v>1938</v>
      </c>
      <c r="K482" s="16">
        <f>J482*(1-SUMIFS(CUSTOS!$T$40:$T$100,CUSTOS!$O$40:$O$100,EFEITO!G482,CUSTOS!$S$40:$S$100,EFEITO!B482,CUSTOS!$R$40:$R$100,"Potência"))</f>
        <v>1938</v>
      </c>
      <c r="L482" s="4">
        <v>870.15300000000002</v>
      </c>
      <c r="M482" s="16">
        <f>L482*(1-SUMIFS(CUSTOS!$T$40:$T$100,CUSTOS!$O$40:$O$100,EFEITO!G482,CUSTOS!$S$40:$S$100,EFEITO!B482,CUSTOS!$R$40:$R$100,"Potência"))</f>
        <v>870.15300000000002</v>
      </c>
      <c r="N482" s="4">
        <v>0</v>
      </c>
      <c r="O482" s="16">
        <f>N482*(1-SUMIFS(CUSTOS!$T$40:$T$100,CUSTOS!$O$40:$O$100,EFEITO!G482,CUSTOS!$S$40:$S$100,EFEITO!B482,CUSTOS!$R$40:$R$100,"Energia"))</f>
        <v>0</v>
      </c>
      <c r="P482" s="4">
        <v>0</v>
      </c>
      <c r="Q482" s="3" t="s">
        <v>66</v>
      </c>
      <c r="R482" s="3">
        <v>5377</v>
      </c>
      <c r="S482" s="4">
        <v>14</v>
      </c>
      <c r="T482" s="4">
        <v>15</v>
      </c>
      <c r="U482" s="4">
        <v>0</v>
      </c>
      <c r="V482" s="4">
        <f>IF(ISERROR(VLOOKUP($S$482,'TAR FIN'!$A$1:$O$113,15,0)),0,VLOOKUP($S$482,'TAR FIN'!$A$1:$O$113,15,0))</f>
        <v>15.06</v>
      </c>
      <c r="W482" s="4">
        <f>IF(ISERROR(VLOOKUP($T$482,'TAR FIN'!$A$1:$O$113,15,0)),0,VLOOKUP($T$482,'TAR FIN'!$A$1:$O$113,15,0))</f>
        <v>9.65</v>
      </c>
      <c r="X482" s="4">
        <f>IF(ISERROR(VLOOKUP($U$482,'TAR FIN'!$A$1:$O$113,15,0)),0,VLOOKUP($U$482,'TAR FIN'!$A$1:$O$113,15,0))</f>
        <v>0</v>
      </c>
      <c r="Y482" s="4">
        <f ca="1">('TUSD BE'!$AM$18+'TUSD BF'!$AM$18+'TUSD CVA'!$AM$18)*1</f>
        <v>16.481800632175148</v>
      </c>
      <c r="Z482" s="4">
        <f ca="1">('TUSD BE'!$AM$19+'TUSD BF'!$AM$19+'TUSD CVA'!$AM$19)*1</f>
        <v>11.150945133676805</v>
      </c>
      <c r="AA482" s="4">
        <f>('TE BE'!$AA$14+'TE BF'!$AA$14+'TE CVA'!$AA$14)*1</f>
        <v>253.57775100318744</v>
      </c>
      <c r="AB482" s="4">
        <f>$K$482*$V$482</f>
        <v>29186.280000000002</v>
      </c>
      <c r="AC482" s="4">
        <f>$M$482*$W$482</f>
        <v>8396.9764500000001</v>
      </c>
      <c r="AD482" s="4">
        <f>$O$482*$X$482</f>
        <v>0</v>
      </c>
      <c r="AE482" s="4">
        <f ca="1">$K$482*$Y$482</f>
        <v>31941.729625155436</v>
      </c>
      <c r="AF482" s="4">
        <f ca="1">$M$482*$Z$482</f>
        <v>9703.0283609042726</v>
      </c>
      <c r="AG482" s="4">
        <f>$O$482*$AA$482</f>
        <v>0</v>
      </c>
    </row>
    <row r="483" spans="1:33" ht="11.25" customHeight="1" x14ac:dyDescent="0.25">
      <c r="A483" s="3" t="s">
        <v>21</v>
      </c>
      <c r="B483" s="3" t="s">
        <v>41</v>
      </c>
      <c r="C483" s="3" t="s">
        <v>61</v>
      </c>
      <c r="D483" s="3" t="s">
        <v>25</v>
      </c>
      <c r="E483" s="3" t="s">
        <v>25</v>
      </c>
      <c r="F483" s="3" t="s">
        <v>64</v>
      </c>
      <c r="G483" s="3" t="s">
        <v>68</v>
      </c>
      <c r="H483" s="3" t="s">
        <v>35</v>
      </c>
      <c r="I483" s="6">
        <v>44409</v>
      </c>
      <c r="J483" s="4">
        <v>1915</v>
      </c>
      <c r="K483" s="16">
        <f>J483*(1-SUMIFS(CUSTOS!$T$40:$T$100,CUSTOS!$O$40:$O$100,EFEITO!G483,CUSTOS!$S$40:$S$100,EFEITO!B483,CUSTOS!$R$40:$R$100,"Potência"))</f>
        <v>1915</v>
      </c>
      <c r="L483" s="4">
        <v>835.46100000000001</v>
      </c>
      <c r="M483" s="16">
        <f>L483*(1-SUMIFS(CUSTOS!$T$40:$T$100,CUSTOS!$O$40:$O$100,EFEITO!G483,CUSTOS!$S$40:$S$100,EFEITO!B483,CUSTOS!$R$40:$R$100,"Potência"))</f>
        <v>835.46100000000001</v>
      </c>
      <c r="N483" s="4">
        <v>0</v>
      </c>
      <c r="O483" s="16">
        <f>N483*(1-SUMIFS(CUSTOS!$T$40:$T$100,CUSTOS!$O$40:$O$100,EFEITO!G483,CUSTOS!$S$40:$S$100,EFEITO!B483,CUSTOS!$R$40:$R$100,"Energia"))</f>
        <v>0</v>
      </c>
      <c r="P483" s="4">
        <v>0</v>
      </c>
      <c r="Q483" s="3" t="s">
        <v>66</v>
      </c>
      <c r="R483" s="3">
        <v>5377</v>
      </c>
      <c r="S483" s="4">
        <v>14</v>
      </c>
      <c r="T483" s="4">
        <v>15</v>
      </c>
      <c r="U483" s="4">
        <v>0</v>
      </c>
      <c r="V483" s="4">
        <f>IF(ISERROR(VLOOKUP($S$483,'TAR FIN'!$A$1:$O$113,15,0)),0,VLOOKUP($S$483,'TAR FIN'!$A$1:$O$113,15,0))</f>
        <v>15.06</v>
      </c>
      <c r="W483" s="4">
        <f>IF(ISERROR(VLOOKUP($T$483,'TAR FIN'!$A$1:$O$113,15,0)),0,VLOOKUP($T$483,'TAR FIN'!$A$1:$O$113,15,0))</f>
        <v>9.65</v>
      </c>
      <c r="X483" s="4">
        <f>IF(ISERROR(VLOOKUP($U$483,'TAR FIN'!$A$1:$O$113,15,0)),0,VLOOKUP($U$483,'TAR FIN'!$A$1:$O$113,15,0))</f>
        <v>0</v>
      </c>
      <c r="Y483" s="4">
        <f ca="1">('TUSD BE'!$AM$18+'TUSD BF'!$AM$18+'TUSD CVA'!$AM$18)*1</f>
        <v>16.481800632175148</v>
      </c>
      <c r="Z483" s="4">
        <f ca="1">('TUSD BE'!$AM$19+'TUSD BF'!$AM$19+'TUSD CVA'!$AM$19)*1</f>
        <v>11.150945133676805</v>
      </c>
      <c r="AA483" s="4">
        <f>('TE BE'!$AA$14+'TE BF'!$AA$14+'TE CVA'!$AA$14)*1</f>
        <v>253.57775100318744</v>
      </c>
      <c r="AB483" s="4">
        <f>$K$483*$V$483</f>
        <v>28839.9</v>
      </c>
      <c r="AC483" s="4">
        <f>$M$483*$W$483</f>
        <v>8062.1986500000003</v>
      </c>
      <c r="AD483" s="4">
        <f>$O$483*$X$483</f>
        <v>0</v>
      </c>
      <c r="AE483" s="4">
        <f ca="1">$K$483*$Y$483</f>
        <v>31562.648210615407</v>
      </c>
      <c r="AF483" s="4">
        <f ca="1">$M$483*$Z$483</f>
        <v>9316.1797723267573</v>
      </c>
      <c r="AG483" s="4">
        <f>$O$483*$AA$483</f>
        <v>0</v>
      </c>
    </row>
    <row r="484" spans="1:33" ht="11.25" customHeight="1" x14ac:dyDescent="0.25">
      <c r="A484" s="3" t="s">
        <v>21</v>
      </c>
      <c r="B484" s="3" t="s">
        <v>41</v>
      </c>
      <c r="C484" s="3" t="s">
        <v>61</v>
      </c>
      <c r="D484" s="3" t="s">
        <v>25</v>
      </c>
      <c r="E484" s="3" t="s">
        <v>25</v>
      </c>
      <c r="F484" s="3" t="s">
        <v>64</v>
      </c>
      <c r="G484" s="3" t="s">
        <v>68</v>
      </c>
      <c r="H484" s="3" t="s">
        <v>35</v>
      </c>
      <c r="I484" s="6">
        <v>44440</v>
      </c>
      <c r="J484" s="4">
        <v>1963</v>
      </c>
      <c r="K484" s="16">
        <f>J484*(1-SUMIFS(CUSTOS!$T$40:$T$100,CUSTOS!$O$40:$O$100,EFEITO!G484,CUSTOS!$S$40:$S$100,EFEITO!B484,CUSTOS!$R$40:$R$100,"Potência"))</f>
        <v>1963</v>
      </c>
      <c r="L484" s="4">
        <v>864.78300000000002</v>
      </c>
      <c r="M484" s="16">
        <f>L484*(1-SUMIFS(CUSTOS!$T$40:$T$100,CUSTOS!$O$40:$O$100,EFEITO!G484,CUSTOS!$S$40:$S$100,EFEITO!B484,CUSTOS!$R$40:$R$100,"Potência"))</f>
        <v>864.78300000000002</v>
      </c>
      <c r="N484" s="4">
        <v>0</v>
      </c>
      <c r="O484" s="16">
        <f>N484*(1-SUMIFS(CUSTOS!$T$40:$T$100,CUSTOS!$O$40:$O$100,EFEITO!G484,CUSTOS!$S$40:$S$100,EFEITO!B484,CUSTOS!$R$40:$R$100,"Energia"))</f>
        <v>0</v>
      </c>
      <c r="P484" s="4">
        <v>0</v>
      </c>
      <c r="Q484" s="3" t="s">
        <v>66</v>
      </c>
      <c r="R484" s="3">
        <v>5377</v>
      </c>
      <c r="S484" s="4">
        <v>14</v>
      </c>
      <c r="T484" s="4">
        <v>15</v>
      </c>
      <c r="U484" s="4">
        <v>0</v>
      </c>
      <c r="V484" s="4">
        <f>IF(ISERROR(VLOOKUP($S$484,'TAR FIN'!$A$1:$O$113,15,0)),0,VLOOKUP($S$484,'TAR FIN'!$A$1:$O$113,15,0))</f>
        <v>15.06</v>
      </c>
      <c r="W484" s="4">
        <f>IF(ISERROR(VLOOKUP($T$484,'TAR FIN'!$A$1:$O$113,15,0)),0,VLOOKUP($T$484,'TAR FIN'!$A$1:$O$113,15,0))</f>
        <v>9.65</v>
      </c>
      <c r="X484" s="4">
        <f>IF(ISERROR(VLOOKUP($U$484,'TAR FIN'!$A$1:$O$113,15,0)),0,VLOOKUP($U$484,'TAR FIN'!$A$1:$O$113,15,0))</f>
        <v>0</v>
      </c>
      <c r="Y484" s="4">
        <f ca="1">('TUSD BE'!$AM$18+'TUSD BF'!$AM$18+'TUSD CVA'!$AM$18)*1</f>
        <v>16.481800632175148</v>
      </c>
      <c r="Z484" s="4">
        <f ca="1">('TUSD BE'!$AM$19+'TUSD BF'!$AM$19+'TUSD CVA'!$AM$19)*1</f>
        <v>11.150945133676805</v>
      </c>
      <c r="AA484" s="4">
        <f>('TE BE'!$AA$14+'TE BF'!$AA$14+'TE CVA'!$AA$14)*1</f>
        <v>253.57775100318744</v>
      </c>
      <c r="AB484" s="4">
        <f>$K$484*$V$484</f>
        <v>29562.780000000002</v>
      </c>
      <c r="AC484" s="4">
        <f>$M$484*$W$484</f>
        <v>8345.1559500000003</v>
      </c>
      <c r="AD484" s="4">
        <f>$O$484*$X$484</f>
        <v>0</v>
      </c>
      <c r="AE484" s="4">
        <f ca="1">$K$484*$Y$484</f>
        <v>32353.774640959815</v>
      </c>
      <c r="AF484" s="4">
        <f ca="1">$M$484*$Z$484</f>
        <v>9643.1477855364283</v>
      </c>
      <c r="AG484" s="4">
        <f>$O$484*$AA$484</f>
        <v>0</v>
      </c>
    </row>
    <row r="485" spans="1:33" ht="11.25" customHeight="1" x14ac:dyDescent="0.25">
      <c r="A485" s="3" t="s">
        <v>21</v>
      </c>
      <c r="B485" s="3" t="s">
        <v>41</v>
      </c>
      <c r="C485" s="3" t="s">
        <v>61</v>
      </c>
      <c r="D485" s="3" t="s">
        <v>25</v>
      </c>
      <c r="E485" s="3" t="s">
        <v>25</v>
      </c>
      <c r="F485" s="3" t="s">
        <v>64</v>
      </c>
      <c r="G485" s="3" t="s">
        <v>68</v>
      </c>
      <c r="H485" s="3" t="s">
        <v>35</v>
      </c>
      <c r="I485" s="6">
        <v>44470</v>
      </c>
      <c r="J485" s="4">
        <v>2009</v>
      </c>
      <c r="K485" s="16">
        <f>J485*(1-SUMIFS(CUSTOS!$T$40:$T$100,CUSTOS!$O$40:$O$100,EFEITO!G485,CUSTOS!$S$40:$S$100,EFEITO!B485,CUSTOS!$R$40:$R$100,"Potência"))</f>
        <v>2009</v>
      </c>
      <c r="L485" s="4">
        <v>890.678</v>
      </c>
      <c r="M485" s="16">
        <f>L485*(1-SUMIFS(CUSTOS!$T$40:$T$100,CUSTOS!$O$40:$O$100,EFEITO!G485,CUSTOS!$S$40:$S$100,EFEITO!B485,CUSTOS!$R$40:$R$100,"Potência"))</f>
        <v>890.678</v>
      </c>
      <c r="N485" s="4">
        <v>0</v>
      </c>
      <c r="O485" s="16">
        <f>N485*(1-SUMIFS(CUSTOS!$T$40:$T$100,CUSTOS!$O$40:$O$100,EFEITO!G485,CUSTOS!$S$40:$S$100,EFEITO!B485,CUSTOS!$R$40:$R$100,"Energia"))</f>
        <v>0</v>
      </c>
      <c r="P485" s="4">
        <v>0</v>
      </c>
      <c r="Q485" s="3" t="s">
        <v>66</v>
      </c>
      <c r="R485" s="3">
        <v>5377</v>
      </c>
      <c r="S485" s="4">
        <v>14</v>
      </c>
      <c r="T485" s="4">
        <v>15</v>
      </c>
      <c r="U485" s="4">
        <v>0</v>
      </c>
      <c r="V485" s="4">
        <f>IF(ISERROR(VLOOKUP($S$485,'TAR FIN'!$A$1:$O$113,15,0)),0,VLOOKUP($S$485,'TAR FIN'!$A$1:$O$113,15,0))</f>
        <v>15.06</v>
      </c>
      <c r="W485" s="4">
        <f>IF(ISERROR(VLOOKUP($T$485,'TAR FIN'!$A$1:$O$113,15,0)),0,VLOOKUP($T$485,'TAR FIN'!$A$1:$O$113,15,0))</f>
        <v>9.65</v>
      </c>
      <c r="X485" s="4">
        <f>IF(ISERROR(VLOOKUP($U$485,'TAR FIN'!$A$1:$O$113,15,0)),0,VLOOKUP($U$485,'TAR FIN'!$A$1:$O$113,15,0))</f>
        <v>0</v>
      </c>
      <c r="Y485" s="4">
        <f ca="1">('TUSD BE'!$AM$18+'TUSD BF'!$AM$18+'TUSD CVA'!$AM$18)*1</f>
        <v>16.481800632175148</v>
      </c>
      <c r="Z485" s="4">
        <f ca="1">('TUSD BE'!$AM$19+'TUSD BF'!$AM$19+'TUSD CVA'!$AM$19)*1</f>
        <v>11.150945133676805</v>
      </c>
      <c r="AA485" s="4">
        <f>('TE BE'!$AA$14+'TE BF'!$AA$14+'TE CVA'!$AA$14)*1</f>
        <v>253.57775100318744</v>
      </c>
      <c r="AB485" s="4">
        <f>$K$485*$V$485</f>
        <v>30255.54</v>
      </c>
      <c r="AC485" s="4">
        <f>$M$485*$W$485</f>
        <v>8595.0427</v>
      </c>
      <c r="AD485" s="4">
        <f>$O$485*$X$485</f>
        <v>0</v>
      </c>
      <c r="AE485" s="4">
        <f ca="1">$K$485*$Y$485</f>
        <v>33111.937470039869</v>
      </c>
      <c r="AF485" s="4">
        <f ca="1">$M$485*$Z$485</f>
        <v>9931.9015097729898</v>
      </c>
      <c r="AG485" s="4">
        <f>$O$485*$AA$485</f>
        <v>0</v>
      </c>
    </row>
    <row r="486" spans="1:33" ht="11.25" customHeight="1" x14ac:dyDescent="0.25">
      <c r="A486" s="3" t="s">
        <v>21</v>
      </c>
      <c r="B486" s="3" t="s">
        <v>41</v>
      </c>
      <c r="C486" s="3" t="s">
        <v>61</v>
      </c>
      <c r="D486" s="3" t="s">
        <v>25</v>
      </c>
      <c r="E486" s="3" t="s">
        <v>25</v>
      </c>
      <c r="F486" s="3" t="s">
        <v>64</v>
      </c>
      <c r="G486" s="3" t="s">
        <v>68</v>
      </c>
      <c r="H486" s="3" t="s">
        <v>35</v>
      </c>
      <c r="I486" s="6">
        <v>44501</v>
      </c>
      <c r="J486" s="4">
        <v>2042</v>
      </c>
      <c r="K486" s="16">
        <f>J486*(1-SUMIFS(CUSTOS!$T$40:$T$100,CUSTOS!$O$40:$O$100,EFEITO!G486,CUSTOS!$S$40:$S$100,EFEITO!B486,CUSTOS!$R$40:$R$100,"Potência"))</f>
        <v>2042</v>
      </c>
      <c r="L486" s="4">
        <v>1001.43</v>
      </c>
      <c r="M486" s="16">
        <f>L486*(1-SUMIFS(CUSTOS!$T$40:$T$100,CUSTOS!$O$40:$O$100,EFEITO!G486,CUSTOS!$S$40:$S$100,EFEITO!B486,CUSTOS!$R$40:$R$100,"Potência"))</f>
        <v>1001.43</v>
      </c>
      <c r="N486" s="4">
        <v>0</v>
      </c>
      <c r="O486" s="16">
        <f>N486*(1-SUMIFS(CUSTOS!$T$40:$T$100,CUSTOS!$O$40:$O$100,EFEITO!G486,CUSTOS!$S$40:$S$100,EFEITO!B486,CUSTOS!$R$40:$R$100,"Energia"))</f>
        <v>0</v>
      </c>
      <c r="P486" s="4">
        <v>0</v>
      </c>
      <c r="Q486" s="3" t="s">
        <v>66</v>
      </c>
      <c r="R486" s="3">
        <v>5377</v>
      </c>
      <c r="S486" s="4">
        <v>14</v>
      </c>
      <c r="T486" s="4">
        <v>15</v>
      </c>
      <c r="U486" s="4">
        <v>0</v>
      </c>
      <c r="V486" s="4">
        <f>IF(ISERROR(VLOOKUP($S$486,'TAR FIN'!$A$1:$O$113,15,0)),0,VLOOKUP($S$486,'TAR FIN'!$A$1:$O$113,15,0))</f>
        <v>15.06</v>
      </c>
      <c r="W486" s="4">
        <f>IF(ISERROR(VLOOKUP($T$486,'TAR FIN'!$A$1:$O$113,15,0)),0,VLOOKUP($T$486,'TAR FIN'!$A$1:$O$113,15,0))</f>
        <v>9.65</v>
      </c>
      <c r="X486" s="4">
        <f>IF(ISERROR(VLOOKUP($U$486,'TAR FIN'!$A$1:$O$113,15,0)),0,VLOOKUP($U$486,'TAR FIN'!$A$1:$O$113,15,0))</f>
        <v>0</v>
      </c>
      <c r="Y486" s="4">
        <f ca="1">('TUSD BE'!$AM$18+'TUSD BF'!$AM$18+'TUSD CVA'!$AM$18)*1</f>
        <v>16.481800632175148</v>
      </c>
      <c r="Z486" s="4">
        <f ca="1">('TUSD BE'!$AM$19+'TUSD BF'!$AM$19+'TUSD CVA'!$AM$19)*1</f>
        <v>11.150945133676805</v>
      </c>
      <c r="AA486" s="4">
        <f>('TE BE'!$AA$14+'TE BF'!$AA$14+'TE CVA'!$AA$14)*1</f>
        <v>253.57775100318744</v>
      </c>
      <c r="AB486" s="4">
        <f>$K$486*$V$486</f>
        <v>30752.52</v>
      </c>
      <c r="AC486" s="4">
        <f>$M$486*$W$486</f>
        <v>9663.7994999999992</v>
      </c>
      <c r="AD486" s="4">
        <f>$O$486*$X$486</f>
        <v>0</v>
      </c>
      <c r="AE486" s="4">
        <f ca="1">$K$486*$Y$486</f>
        <v>33655.83689090165</v>
      </c>
      <c r="AF486" s="4">
        <f ca="1">$M$486*$Z$486</f>
        <v>11166.890985217962</v>
      </c>
      <c r="AG486" s="4">
        <f>$O$486*$AA$486</f>
        <v>0</v>
      </c>
    </row>
    <row r="487" spans="1:33" ht="11.25" customHeight="1" x14ac:dyDescent="0.25">
      <c r="A487" s="3" t="s">
        <v>21</v>
      </c>
      <c r="B487" s="3" t="s">
        <v>41</v>
      </c>
      <c r="C487" s="3" t="s">
        <v>61</v>
      </c>
      <c r="D487" s="3" t="s">
        <v>25</v>
      </c>
      <c r="E487" s="3" t="s">
        <v>25</v>
      </c>
      <c r="F487" s="3" t="s">
        <v>64</v>
      </c>
      <c r="G487" s="3" t="s">
        <v>68</v>
      </c>
      <c r="H487" s="3" t="s">
        <v>35</v>
      </c>
      <c r="I487" s="6">
        <v>44531</v>
      </c>
      <c r="J487" s="4">
        <v>2010</v>
      </c>
      <c r="K487" s="16">
        <f>J487*(1-SUMIFS(CUSTOS!$T$40:$T$100,CUSTOS!$O$40:$O$100,EFEITO!G487,CUSTOS!$S$40:$S$100,EFEITO!B487,CUSTOS!$R$40:$R$100,"Potência"))</f>
        <v>2010</v>
      </c>
      <c r="L487" s="4">
        <v>976.822</v>
      </c>
      <c r="M487" s="16">
        <f>L487*(1-SUMIFS(CUSTOS!$T$40:$T$100,CUSTOS!$O$40:$O$100,EFEITO!G487,CUSTOS!$S$40:$S$100,EFEITO!B487,CUSTOS!$R$40:$R$100,"Potência"))</f>
        <v>976.822</v>
      </c>
      <c r="N487" s="4">
        <v>0</v>
      </c>
      <c r="O487" s="16">
        <f>N487*(1-SUMIFS(CUSTOS!$T$40:$T$100,CUSTOS!$O$40:$O$100,EFEITO!G487,CUSTOS!$S$40:$S$100,EFEITO!B487,CUSTOS!$R$40:$R$100,"Energia"))</f>
        <v>0</v>
      </c>
      <c r="P487" s="4">
        <v>0</v>
      </c>
      <c r="Q487" s="3" t="s">
        <v>66</v>
      </c>
      <c r="R487" s="3">
        <v>5377</v>
      </c>
      <c r="S487" s="4">
        <v>14</v>
      </c>
      <c r="T487" s="4">
        <v>15</v>
      </c>
      <c r="U487" s="4">
        <v>0</v>
      </c>
      <c r="V487" s="4">
        <f>IF(ISERROR(VLOOKUP($S$487,'TAR FIN'!$A$1:$O$113,15,0)),0,VLOOKUP($S$487,'TAR FIN'!$A$1:$O$113,15,0))</f>
        <v>15.06</v>
      </c>
      <c r="W487" s="4">
        <f>IF(ISERROR(VLOOKUP($T$487,'TAR FIN'!$A$1:$O$113,15,0)),0,VLOOKUP($T$487,'TAR FIN'!$A$1:$O$113,15,0))</f>
        <v>9.65</v>
      </c>
      <c r="X487" s="4">
        <f>IF(ISERROR(VLOOKUP($U$487,'TAR FIN'!$A$1:$O$113,15,0)),0,VLOOKUP($U$487,'TAR FIN'!$A$1:$O$113,15,0))</f>
        <v>0</v>
      </c>
      <c r="Y487" s="4">
        <f ca="1">('TUSD BE'!$AM$18+'TUSD BF'!$AM$18+'TUSD CVA'!$AM$18)*1</f>
        <v>16.481800632175148</v>
      </c>
      <c r="Z487" s="4">
        <f ca="1">('TUSD BE'!$AM$19+'TUSD BF'!$AM$19+'TUSD CVA'!$AM$19)*1</f>
        <v>11.150945133676805</v>
      </c>
      <c r="AA487" s="4">
        <f>('TE BE'!$AA$14+'TE BF'!$AA$14+'TE CVA'!$AA$14)*1</f>
        <v>253.57775100318744</v>
      </c>
      <c r="AB487" s="4">
        <f>$K$487*$V$487</f>
        <v>30270.600000000002</v>
      </c>
      <c r="AC487" s="4">
        <f>$M$487*$W$487</f>
        <v>9426.3323</v>
      </c>
      <c r="AD487" s="4">
        <f>$O$487*$X$487</f>
        <v>0</v>
      </c>
      <c r="AE487" s="4">
        <f ca="1">$K$487*$Y$487</f>
        <v>33128.41927067205</v>
      </c>
      <c r="AF487" s="4">
        <f ca="1">$M$487*$Z$487</f>
        <v>10892.488527368443</v>
      </c>
      <c r="AG487" s="4">
        <f>$O$487*$AA$487</f>
        <v>0</v>
      </c>
    </row>
    <row r="488" spans="1:33" ht="11.25" customHeight="1" x14ac:dyDescent="0.25">
      <c r="A488" s="3" t="s">
        <v>21</v>
      </c>
      <c r="B488" s="3" t="s">
        <v>41</v>
      </c>
      <c r="C488" s="3" t="s">
        <v>61</v>
      </c>
      <c r="D488" s="3" t="s">
        <v>25</v>
      </c>
      <c r="E488" s="3" t="s">
        <v>25</v>
      </c>
      <c r="F488" s="3" t="s">
        <v>64</v>
      </c>
      <c r="G488" s="3" t="s">
        <v>68</v>
      </c>
      <c r="H488" s="3" t="s">
        <v>35</v>
      </c>
      <c r="I488" s="6">
        <v>44562</v>
      </c>
      <c r="J488" s="4">
        <v>2037</v>
      </c>
      <c r="K488" s="16">
        <f>J488*(1-SUMIFS(CUSTOS!$T$40:$T$100,CUSTOS!$O$40:$O$100,EFEITO!G488,CUSTOS!$S$40:$S$100,EFEITO!B488,CUSTOS!$R$40:$R$100,"Potência"))</f>
        <v>2037</v>
      </c>
      <c r="L488" s="4">
        <v>999.56700000000001</v>
      </c>
      <c r="M488" s="16">
        <f>L488*(1-SUMIFS(CUSTOS!$T$40:$T$100,CUSTOS!$O$40:$O$100,EFEITO!G488,CUSTOS!$S$40:$S$100,EFEITO!B488,CUSTOS!$R$40:$R$100,"Potência"))</f>
        <v>999.56700000000001</v>
      </c>
      <c r="N488" s="4">
        <v>0</v>
      </c>
      <c r="O488" s="16">
        <f>N488*(1-SUMIFS(CUSTOS!$T$40:$T$100,CUSTOS!$O$40:$O$100,EFEITO!G488,CUSTOS!$S$40:$S$100,EFEITO!B488,CUSTOS!$R$40:$R$100,"Energia"))</f>
        <v>0</v>
      </c>
      <c r="P488" s="4">
        <v>0</v>
      </c>
      <c r="Q488" s="3" t="s">
        <v>66</v>
      </c>
      <c r="R488" s="3">
        <v>5377</v>
      </c>
      <c r="S488" s="4">
        <v>14</v>
      </c>
      <c r="T488" s="4">
        <v>15</v>
      </c>
      <c r="U488" s="4">
        <v>0</v>
      </c>
      <c r="V488" s="4">
        <f>IF(ISERROR(VLOOKUP($S$488,'TAR FIN'!$A$1:$O$113,15,0)),0,VLOOKUP($S$488,'TAR FIN'!$A$1:$O$113,15,0))</f>
        <v>15.06</v>
      </c>
      <c r="W488" s="4">
        <f>IF(ISERROR(VLOOKUP($T$488,'TAR FIN'!$A$1:$O$113,15,0)),0,VLOOKUP($T$488,'TAR FIN'!$A$1:$O$113,15,0))</f>
        <v>9.65</v>
      </c>
      <c r="X488" s="4">
        <f>IF(ISERROR(VLOOKUP($U$488,'TAR FIN'!$A$1:$O$113,15,0)),0,VLOOKUP($U$488,'TAR FIN'!$A$1:$O$113,15,0))</f>
        <v>0</v>
      </c>
      <c r="Y488" s="4">
        <f ca="1">('TUSD BE'!$AM$18+'TUSD BF'!$AM$18+'TUSD CVA'!$AM$18)*1</f>
        <v>16.481800632175148</v>
      </c>
      <c r="Z488" s="4">
        <f ca="1">('TUSD BE'!$AM$19+'TUSD BF'!$AM$19+'TUSD CVA'!$AM$19)*1</f>
        <v>11.150945133676805</v>
      </c>
      <c r="AA488" s="4">
        <f>('TE BE'!$AA$14+'TE BF'!$AA$14+'TE CVA'!$AA$14)*1</f>
        <v>253.57775100318744</v>
      </c>
      <c r="AB488" s="4">
        <f>$K$488*$V$488</f>
        <v>30677.22</v>
      </c>
      <c r="AC488" s="4">
        <f>$M$488*$W$488</f>
        <v>9645.8215500000006</v>
      </c>
      <c r="AD488" s="4">
        <f>$O$488*$X$488</f>
        <v>0</v>
      </c>
      <c r="AE488" s="4">
        <f ca="1">$K$488*$Y$488</f>
        <v>33573.427887740778</v>
      </c>
      <c r="AF488" s="4">
        <f ca="1">$M$488*$Z$488</f>
        <v>11146.116774433924</v>
      </c>
      <c r="AG488" s="4">
        <f>$O$488*$AA$488</f>
        <v>0</v>
      </c>
    </row>
    <row r="489" spans="1:33" ht="11.25" customHeight="1" x14ac:dyDescent="0.25">
      <c r="A489" s="3" t="s">
        <v>21</v>
      </c>
      <c r="B489" s="3" t="s">
        <v>41</v>
      </c>
      <c r="C489" s="3" t="s">
        <v>61</v>
      </c>
      <c r="D489" s="3" t="s">
        <v>25</v>
      </c>
      <c r="E489" s="3" t="s">
        <v>25</v>
      </c>
      <c r="F489" s="3" t="s">
        <v>64</v>
      </c>
      <c r="G489" s="3" t="s">
        <v>68</v>
      </c>
      <c r="H489" s="3" t="s">
        <v>35</v>
      </c>
      <c r="I489" s="6">
        <v>44593</v>
      </c>
      <c r="J489" s="4">
        <v>2093</v>
      </c>
      <c r="K489" s="16">
        <f>J489*(1-SUMIFS(CUSTOS!$T$40:$T$100,CUSTOS!$O$40:$O$100,EFEITO!G489,CUSTOS!$S$40:$S$100,EFEITO!B489,CUSTOS!$R$40:$R$100,"Potência"))</f>
        <v>2093</v>
      </c>
      <c r="L489" s="4">
        <v>1038.175</v>
      </c>
      <c r="M489" s="16">
        <f>L489*(1-SUMIFS(CUSTOS!$T$40:$T$100,CUSTOS!$O$40:$O$100,EFEITO!G489,CUSTOS!$S$40:$S$100,EFEITO!B489,CUSTOS!$R$40:$R$100,"Potência"))</f>
        <v>1038.175</v>
      </c>
      <c r="N489" s="4">
        <v>0</v>
      </c>
      <c r="O489" s="16">
        <f>N489*(1-SUMIFS(CUSTOS!$T$40:$T$100,CUSTOS!$O$40:$O$100,EFEITO!G489,CUSTOS!$S$40:$S$100,EFEITO!B489,CUSTOS!$R$40:$R$100,"Energia"))</f>
        <v>0</v>
      </c>
      <c r="P489" s="4">
        <v>0</v>
      </c>
      <c r="Q489" s="3" t="s">
        <v>66</v>
      </c>
      <c r="R489" s="3">
        <v>5377</v>
      </c>
      <c r="S489" s="4">
        <v>14</v>
      </c>
      <c r="T489" s="4">
        <v>15</v>
      </c>
      <c r="U489" s="4">
        <v>0</v>
      </c>
      <c r="V489" s="4">
        <f>IF(ISERROR(VLOOKUP($S$489,'TAR FIN'!$A$1:$O$113,15,0)),0,VLOOKUP($S$489,'TAR FIN'!$A$1:$O$113,15,0))</f>
        <v>15.06</v>
      </c>
      <c r="W489" s="4">
        <f>IF(ISERROR(VLOOKUP($T$489,'TAR FIN'!$A$1:$O$113,15,0)),0,VLOOKUP($T$489,'TAR FIN'!$A$1:$O$113,15,0))</f>
        <v>9.65</v>
      </c>
      <c r="X489" s="4">
        <f>IF(ISERROR(VLOOKUP($U$489,'TAR FIN'!$A$1:$O$113,15,0)),0,VLOOKUP($U$489,'TAR FIN'!$A$1:$O$113,15,0))</f>
        <v>0</v>
      </c>
      <c r="Y489" s="4">
        <f ca="1">('TUSD BE'!$AM$18+'TUSD BF'!$AM$18+'TUSD CVA'!$AM$18)*1</f>
        <v>16.481800632175148</v>
      </c>
      <c r="Z489" s="4">
        <f ca="1">('TUSD BE'!$AM$19+'TUSD BF'!$AM$19+'TUSD CVA'!$AM$19)*1</f>
        <v>11.150945133676805</v>
      </c>
      <c r="AA489" s="4">
        <f>('TE BE'!$AA$14+'TE BF'!$AA$14+'TE CVA'!$AA$14)*1</f>
        <v>253.57775100318744</v>
      </c>
      <c r="AB489" s="4">
        <f>$K$489*$V$489</f>
        <v>31520.58</v>
      </c>
      <c r="AC489" s="4">
        <f>$M$489*$W$489</f>
        <v>10018.38875</v>
      </c>
      <c r="AD489" s="4">
        <f>$O$489*$X$489</f>
        <v>0</v>
      </c>
      <c r="AE489" s="4">
        <f ca="1">$K$489*$Y$489</f>
        <v>34496.408723142587</v>
      </c>
      <c r="AF489" s="4">
        <f ca="1">$M$489*$Z$489</f>
        <v>11576.632464154916</v>
      </c>
      <c r="AG489" s="4">
        <f>$O$489*$AA$489</f>
        <v>0</v>
      </c>
    </row>
    <row r="490" spans="1:33" ht="11.25" customHeight="1" x14ac:dyDescent="0.25">
      <c r="A490" s="3" t="s">
        <v>56</v>
      </c>
      <c r="B490" s="3" t="s">
        <v>41</v>
      </c>
      <c r="C490" s="3" t="s">
        <v>61</v>
      </c>
      <c r="D490" s="3" t="s">
        <v>25</v>
      </c>
      <c r="E490" s="3" t="s">
        <v>25</v>
      </c>
      <c r="F490" s="3" t="s">
        <v>64</v>
      </c>
      <c r="G490" s="3" t="s">
        <v>68</v>
      </c>
      <c r="H490" s="3" t="s">
        <v>35</v>
      </c>
      <c r="I490" s="6">
        <v>44621</v>
      </c>
      <c r="J490" s="4">
        <v>2093</v>
      </c>
      <c r="K490" s="16">
        <f>J490*(1-SUMIFS(CUSTOS!$T$40:$T$100,CUSTOS!$O$40:$O$100,EFEITO!G490,CUSTOS!$S$40:$S$100,EFEITO!B490,CUSTOS!$R$40:$R$100,"Potência"))</f>
        <v>2093</v>
      </c>
      <c r="L490" s="4">
        <v>1038.175</v>
      </c>
      <c r="M490" s="16">
        <f>L490*(1-SUMIFS(CUSTOS!$T$40:$T$100,CUSTOS!$O$40:$O$100,EFEITO!G490,CUSTOS!$S$40:$S$100,EFEITO!B490,CUSTOS!$R$40:$R$100,"Potência"))</f>
        <v>1038.175</v>
      </c>
      <c r="N490" s="4">
        <v>0</v>
      </c>
      <c r="O490" s="16">
        <f>N490*(1-SUMIFS(CUSTOS!$T$40:$T$100,CUSTOS!$O$40:$O$100,EFEITO!G490,CUSTOS!$S$40:$S$100,EFEITO!B490,CUSTOS!$R$40:$R$100,"Energia"))</f>
        <v>0</v>
      </c>
      <c r="P490" s="4">
        <v>0</v>
      </c>
      <c r="Q490" s="3" t="s">
        <v>66</v>
      </c>
      <c r="R490" s="3">
        <v>5377</v>
      </c>
      <c r="S490" s="4">
        <v>14</v>
      </c>
      <c r="T490" s="4">
        <v>15</v>
      </c>
      <c r="U490" s="4">
        <v>0</v>
      </c>
      <c r="V490" s="4">
        <f>IF(ISERROR(VLOOKUP($S$490,'TAR FIN'!$A$1:$O$113,15,0)),0,VLOOKUP($S$490,'TAR FIN'!$A$1:$O$113,15,0))</f>
        <v>15.06</v>
      </c>
      <c r="W490" s="4">
        <f>IF(ISERROR(VLOOKUP($T$490,'TAR FIN'!$A$1:$O$113,15,0)),0,VLOOKUP($T$490,'TAR FIN'!$A$1:$O$113,15,0))</f>
        <v>9.65</v>
      </c>
      <c r="X490" s="4">
        <f>IF(ISERROR(VLOOKUP($U$490,'TAR FIN'!$A$1:$O$113,15,0)),0,VLOOKUP($U$490,'TAR FIN'!$A$1:$O$113,15,0))</f>
        <v>0</v>
      </c>
      <c r="Y490" s="4">
        <f ca="1">('TUSD BE'!$AM$18+'TUSD BF'!$AM$18+'TUSD CVA'!$AM$18)*1</f>
        <v>16.481800632175148</v>
      </c>
      <c r="Z490" s="4">
        <f ca="1">('TUSD BE'!$AM$19+'TUSD BF'!$AM$19+'TUSD CVA'!$AM$19)*1</f>
        <v>11.150945133676805</v>
      </c>
      <c r="AA490" s="4">
        <f>('TE BE'!$AA$14+'TE BF'!$AA$14+'TE CVA'!$AA$14)*1</f>
        <v>253.57775100318744</v>
      </c>
      <c r="AB490" s="4">
        <f>$K$490*$V$490</f>
        <v>31520.58</v>
      </c>
      <c r="AC490" s="4">
        <f>$M$490*$W$490</f>
        <v>10018.38875</v>
      </c>
      <c r="AD490" s="4">
        <f>$O$490*$X$490</f>
        <v>0</v>
      </c>
      <c r="AE490" s="4">
        <f ca="1">$K$490*$Y$490</f>
        <v>34496.408723142587</v>
      </c>
      <c r="AF490" s="4">
        <f ca="1">$M$490*$Z$490</f>
        <v>11576.632464154916</v>
      </c>
      <c r="AG490" s="4">
        <f>$O$490*$AA$490</f>
        <v>0</v>
      </c>
    </row>
    <row r="491" spans="1:33" ht="11.25" customHeight="1" x14ac:dyDescent="0.25">
      <c r="A491" s="3" t="s">
        <v>21</v>
      </c>
      <c r="B491" s="3" t="s">
        <v>41</v>
      </c>
      <c r="C491" s="3" t="s">
        <v>61</v>
      </c>
      <c r="D491" s="3" t="s">
        <v>25</v>
      </c>
      <c r="E491" s="3" t="s">
        <v>25</v>
      </c>
      <c r="F491" s="3" t="s">
        <v>64</v>
      </c>
      <c r="G491" s="3" t="s">
        <v>68</v>
      </c>
      <c r="H491" s="3" t="s">
        <v>25</v>
      </c>
      <c r="I491" s="6">
        <v>44287</v>
      </c>
      <c r="J491" s="4">
        <v>0</v>
      </c>
      <c r="K491" s="16">
        <f>J491*(1-SUMIFS(CUSTOS!$T$40:$T$100,CUSTOS!$O$40:$O$100,EFEITO!G491,CUSTOS!$S$40:$S$100,EFEITO!B491,CUSTOS!$R$40:$R$100,"Potência"))</f>
        <v>0</v>
      </c>
      <c r="L491" s="4">
        <v>0</v>
      </c>
      <c r="M491" s="16">
        <f>L491*(1-SUMIFS(CUSTOS!$T$40:$T$100,CUSTOS!$O$40:$O$100,EFEITO!G491,CUSTOS!$S$40:$S$100,EFEITO!B491,CUSTOS!$R$40:$R$100,"Potência"))</f>
        <v>0</v>
      </c>
      <c r="N491" s="4">
        <v>1109.271</v>
      </c>
      <c r="O491" s="16">
        <f>N491*(1-SUMIFS(CUSTOS!$T$40:$T$100,CUSTOS!$O$40:$O$100,EFEITO!G491,CUSTOS!$S$40:$S$100,EFEITO!B491,CUSTOS!$R$40:$R$100,"Energia"))</f>
        <v>1109.271</v>
      </c>
      <c r="P491" s="4">
        <v>0</v>
      </c>
      <c r="Q491" s="3" t="s">
        <v>66</v>
      </c>
      <c r="R491" s="3">
        <v>5377</v>
      </c>
      <c r="S491" s="4">
        <v>0</v>
      </c>
      <c r="T491" s="4">
        <v>0</v>
      </c>
      <c r="U491" s="4">
        <v>94</v>
      </c>
      <c r="V491" s="4">
        <f>IF(ISERROR(VLOOKUP($S$491,'TAR FIN'!$A$1:$O$113,15,0)),0,VLOOKUP($S$491,'TAR FIN'!$A$1:$O$113,15,0))</f>
        <v>0</v>
      </c>
      <c r="W491" s="4">
        <f>IF(ISERROR(VLOOKUP($T$491,'TAR FIN'!$A$1:$O$113,15,0)),0,VLOOKUP($T$491,'TAR FIN'!$A$1:$O$113,15,0))</f>
        <v>0</v>
      </c>
      <c r="X491" s="4">
        <f>IF(ISERROR(VLOOKUP($U$491,'TAR FIN'!$A$1:$O$113,15,0)),0,VLOOKUP($U$491,'TAR FIN'!$A$1:$O$113,15,0))</f>
        <v>230.1</v>
      </c>
      <c r="Y491" s="4">
        <f ca="1">0.72*('TUSD BE'!$AM$17+'TUSD BF'!$AM$17+'TUSD CVA'!$AM$17)*1+('TUSD BE'!$AM$18+'TUSD BF'!$AM$18+'TUSD CVA'!$AM$18)*1</f>
        <v>42.583563671169571</v>
      </c>
      <c r="Z491" s="4">
        <f ca="1">('TUSD BE'!$AM$19+'TUSD BF'!$AM$19+'TUSD CVA'!$AM$19)*1</f>
        <v>11.150945133676805</v>
      </c>
      <c r="AA491" s="4">
        <f>('TE BE'!$AA$14+'TE BF'!$AA$14+'TE CVA'!$AA$14)*1</f>
        <v>253.57775100318744</v>
      </c>
      <c r="AB491" s="4">
        <f>$K$491*$V$491</f>
        <v>0</v>
      </c>
      <c r="AC491" s="4">
        <f>$M$491*$W$491</f>
        <v>0</v>
      </c>
      <c r="AD491" s="4">
        <f>$O$491*$X$491</f>
        <v>255243.25709999999</v>
      </c>
      <c r="AE491" s="4">
        <f ca="1">$K$491*$Y$491</f>
        <v>0</v>
      </c>
      <c r="AF491" s="4">
        <f ca="1">$M$491*$Z$491</f>
        <v>0</v>
      </c>
      <c r="AG491" s="4">
        <f>$O$491*$AA$491</f>
        <v>281286.44543305674</v>
      </c>
    </row>
    <row r="492" spans="1:33" ht="11.25" customHeight="1" x14ac:dyDescent="0.25">
      <c r="A492" s="3" t="s">
        <v>21</v>
      </c>
      <c r="B492" s="3" t="s">
        <v>41</v>
      </c>
      <c r="C492" s="3" t="s">
        <v>61</v>
      </c>
      <c r="D492" s="3" t="s">
        <v>25</v>
      </c>
      <c r="E492" s="3" t="s">
        <v>25</v>
      </c>
      <c r="F492" s="3" t="s">
        <v>64</v>
      </c>
      <c r="G492" s="3" t="s">
        <v>68</v>
      </c>
      <c r="H492" s="3" t="s">
        <v>25</v>
      </c>
      <c r="I492" s="6">
        <v>44317</v>
      </c>
      <c r="J492" s="4">
        <v>0</v>
      </c>
      <c r="K492" s="16">
        <f>J492*(1-SUMIFS(CUSTOS!$T$40:$T$100,CUSTOS!$O$40:$O$100,EFEITO!G492,CUSTOS!$S$40:$S$100,EFEITO!B492,CUSTOS!$R$40:$R$100,"Potência"))</f>
        <v>0</v>
      </c>
      <c r="L492" s="4">
        <v>0</v>
      </c>
      <c r="M492" s="16">
        <f>L492*(1-SUMIFS(CUSTOS!$T$40:$T$100,CUSTOS!$O$40:$O$100,EFEITO!G492,CUSTOS!$S$40:$S$100,EFEITO!B492,CUSTOS!$R$40:$R$100,"Potência"))</f>
        <v>0</v>
      </c>
      <c r="N492" s="4">
        <v>1022.86</v>
      </c>
      <c r="O492" s="16">
        <f>N492*(1-SUMIFS(CUSTOS!$T$40:$T$100,CUSTOS!$O$40:$O$100,EFEITO!G492,CUSTOS!$S$40:$S$100,EFEITO!B492,CUSTOS!$R$40:$R$100,"Energia"))</f>
        <v>1022.86</v>
      </c>
      <c r="P492" s="4">
        <v>0</v>
      </c>
      <c r="Q492" s="3" t="s">
        <v>66</v>
      </c>
      <c r="R492" s="3">
        <v>5377</v>
      </c>
      <c r="S492" s="4">
        <v>0</v>
      </c>
      <c r="T492" s="4">
        <v>0</v>
      </c>
      <c r="U492" s="4">
        <v>94</v>
      </c>
      <c r="V492" s="4">
        <f>IF(ISERROR(VLOOKUP($S$492,'TAR FIN'!$A$1:$O$113,15,0)),0,VLOOKUP($S$492,'TAR FIN'!$A$1:$O$113,15,0))</f>
        <v>0</v>
      </c>
      <c r="W492" s="4">
        <f>IF(ISERROR(VLOOKUP($T$492,'TAR FIN'!$A$1:$O$113,15,0)),0,VLOOKUP($T$492,'TAR FIN'!$A$1:$O$113,15,0))</f>
        <v>0</v>
      </c>
      <c r="X492" s="4">
        <f>IF(ISERROR(VLOOKUP($U$492,'TAR FIN'!$A$1:$O$113,15,0)),0,VLOOKUP($U$492,'TAR FIN'!$A$1:$O$113,15,0))</f>
        <v>230.1</v>
      </c>
      <c r="Y492" s="4">
        <f ca="1">0.72*('TUSD BE'!$AM$17+'TUSD BF'!$AM$17+'TUSD CVA'!$AM$17)*1+('TUSD BE'!$AM$18+'TUSD BF'!$AM$18+'TUSD CVA'!$AM$18)*1</f>
        <v>42.583563671169571</v>
      </c>
      <c r="Z492" s="4">
        <f ca="1">('TUSD BE'!$AM$19+'TUSD BF'!$AM$19+'TUSD CVA'!$AM$19)*1</f>
        <v>11.150945133676805</v>
      </c>
      <c r="AA492" s="4">
        <f>('TE BE'!$AA$14+'TE BF'!$AA$14+'TE CVA'!$AA$14)*1</f>
        <v>253.57775100318744</v>
      </c>
      <c r="AB492" s="4">
        <f>$K$492*$V$492</f>
        <v>0</v>
      </c>
      <c r="AC492" s="4">
        <f>$M$492*$W$492</f>
        <v>0</v>
      </c>
      <c r="AD492" s="4">
        <f>$O$492*$X$492</f>
        <v>235360.08600000001</v>
      </c>
      <c r="AE492" s="4">
        <f ca="1">$K$492*$Y$492</f>
        <v>0</v>
      </c>
      <c r="AF492" s="4">
        <f ca="1">$M$492*$Z$492</f>
        <v>0</v>
      </c>
      <c r="AG492" s="4">
        <f>$O$492*$AA$492</f>
        <v>259374.53839112032</v>
      </c>
    </row>
    <row r="493" spans="1:33" ht="11.25" customHeight="1" x14ac:dyDescent="0.25">
      <c r="A493" s="3" t="s">
        <v>21</v>
      </c>
      <c r="B493" s="3" t="s">
        <v>41</v>
      </c>
      <c r="C493" s="3" t="s">
        <v>61</v>
      </c>
      <c r="D493" s="3" t="s">
        <v>25</v>
      </c>
      <c r="E493" s="3" t="s">
        <v>25</v>
      </c>
      <c r="F493" s="3" t="s">
        <v>64</v>
      </c>
      <c r="G493" s="3" t="s">
        <v>68</v>
      </c>
      <c r="H493" s="3" t="s">
        <v>25</v>
      </c>
      <c r="I493" s="6">
        <v>44348</v>
      </c>
      <c r="J493" s="4">
        <v>0</v>
      </c>
      <c r="K493" s="16">
        <f>J493*(1-SUMIFS(CUSTOS!$T$40:$T$100,CUSTOS!$O$40:$O$100,EFEITO!G493,CUSTOS!$S$40:$S$100,EFEITO!B493,CUSTOS!$R$40:$R$100,"Potência"))</f>
        <v>0</v>
      </c>
      <c r="L493" s="4">
        <v>0</v>
      </c>
      <c r="M493" s="16">
        <f>L493*(1-SUMIFS(CUSTOS!$T$40:$T$100,CUSTOS!$O$40:$O$100,EFEITO!G493,CUSTOS!$S$40:$S$100,EFEITO!B493,CUSTOS!$R$40:$R$100,"Potência"))</f>
        <v>0</v>
      </c>
      <c r="N493" s="4">
        <v>1003.768</v>
      </c>
      <c r="O493" s="16">
        <f>N493*(1-SUMIFS(CUSTOS!$T$40:$T$100,CUSTOS!$O$40:$O$100,EFEITO!G493,CUSTOS!$S$40:$S$100,EFEITO!B493,CUSTOS!$R$40:$R$100,"Energia"))</f>
        <v>1003.768</v>
      </c>
      <c r="P493" s="4">
        <v>0</v>
      </c>
      <c r="Q493" s="3" t="s">
        <v>66</v>
      </c>
      <c r="R493" s="3">
        <v>5377</v>
      </c>
      <c r="S493" s="4">
        <v>0</v>
      </c>
      <c r="T493" s="4">
        <v>0</v>
      </c>
      <c r="U493" s="4">
        <v>94</v>
      </c>
      <c r="V493" s="4">
        <f>IF(ISERROR(VLOOKUP($S$493,'TAR FIN'!$A$1:$O$113,15,0)),0,VLOOKUP($S$493,'TAR FIN'!$A$1:$O$113,15,0))</f>
        <v>0</v>
      </c>
      <c r="W493" s="4">
        <f>IF(ISERROR(VLOOKUP($T$493,'TAR FIN'!$A$1:$O$113,15,0)),0,VLOOKUP($T$493,'TAR FIN'!$A$1:$O$113,15,0))</f>
        <v>0</v>
      </c>
      <c r="X493" s="4">
        <f>IF(ISERROR(VLOOKUP($U$493,'TAR FIN'!$A$1:$O$113,15,0)),0,VLOOKUP($U$493,'TAR FIN'!$A$1:$O$113,15,0))</f>
        <v>230.1</v>
      </c>
      <c r="Y493" s="4">
        <f ca="1">0.72*('TUSD BE'!$AM$17+'TUSD BF'!$AM$17+'TUSD CVA'!$AM$17)*1+('TUSD BE'!$AM$18+'TUSD BF'!$AM$18+'TUSD CVA'!$AM$18)*1</f>
        <v>42.583563671169571</v>
      </c>
      <c r="Z493" s="4">
        <f ca="1">('TUSD BE'!$AM$19+'TUSD BF'!$AM$19+'TUSD CVA'!$AM$19)*1</f>
        <v>11.150945133676805</v>
      </c>
      <c r="AA493" s="4">
        <f>('TE BE'!$AA$14+'TE BF'!$AA$14+'TE CVA'!$AA$14)*1</f>
        <v>253.57775100318744</v>
      </c>
      <c r="AB493" s="4">
        <f>$K$493*$V$493</f>
        <v>0</v>
      </c>
      <c r="AC493" s="4">
        <f>$M$493*$W$493</f>
        <v>0</v>
      </c>
      <c r="AD493" s="4">
        <f>$O$493*$X$493</f>
        <v>230967.01680000001</v>
      </c>
      <c r="AE493" s="4">
        <f ca="1">$K$493*$Y$493</f>
        <v>0</v>
      </c>
      <c r="AF493" s="4">
        <f ca="1">$M$493*$Z$493</f>
        <v>0</v>
      </c>
      <c r="AG493" s="4">
        <f>$O$493*$AA$493</f>
        <v>254533.23196896745</v>
      </c>
    </row>
    <row r="494" spans="1:33" ht="11.25" customHeight="1" x14ac:dyDescent="0.25">
      <c r="A494" s="3" t="s">
        <v>21</v>
      </c>
      <c r="B494" s="3" t="s">
        <v>41</v>
      </c>
      <c r="C494" s="3" t="s">
        <v>61</v>
      </c>
      <c r="D494" s="3" t="s">
        <v>25</v>
      </c>
      <c r="E494" s="3" t="s">
        <v>25</v>
      </c>
      <c r="F494" s="3" t="s">
        <v>64</v>
      </c>
      <c r="G494" s="3" t="s">
        <v>68</v>
      </c>
      <c r="H494" s="3" t="s">
        <v>25</v>
      </c>
      <c r="I494" s="6">
        <v>44378</v>
      </c>
      <c r="J494" s="4">
        <v>0</v>
      </c>
      <c r="K494" s="16">
        <f>J494*(1-SUMIFS(CUSTOS!$T$40:$T$100,CUSTOS!$O$40:$O$100,EFEITO!G494,CUSTOS!$S$40:$S$100,EFEITO!B494,CUSTOS!$R$40:$R$100,"Potência"))</f>
        <v>0</v>
      </c>
      <c r="L494" s="4">
        <v>0</v>
      </c>
      <c r="M494" s="16">
        <f>L494*(1-SUMIFS(CUSTOS!$T$40:$T$100,CUSTOS!$O$40:$O$100,EFEITO!G494,CUSTOS!$S$40:$S$100,EFEITO!B494,CUSTOS!$R$40:$R$100,"Potência"))</f>
        <v>0</v>
      </c>
      <c r="N494" s="4">
        <v>971.34299999999996</v>
      </c>
      <c r="O494" s="16">
        <f>N494*(1-SUMIFS(CUSTOS!$T$40:$T$100,CUSTOS!$O$40:$O$100,EFEITO!G494,CUSTOS!$S$40:$S$100,EFEITO!B494,CUSTOS!$R$40:$R$100,"Energia"))</f>
        <v>971.34299999999996</v>
      </c>
      <c r="P494" s="4">
        <v>0</v>
      </c>
      <c r="Q494" s="3" t="s">
        <v>66</v>
      </c>
      <c r="R494" s="3">
        <v>5377</v>
      </c>
      <c r="S494" s="4">
        <v>0</v>
      </c>
      <c r="T494" s="4">
        <v>0</v>
      </c>
      <c r="U494" s="4">
        <v>94</v>
      </c>
      <c r="V494" s="4">
        <f>IF(ISERROR(VLOOKUP($S$494,'TAR FIN'!$A$1:$O$113,15,0)),0,VLOOKUP($S$494,'TAR FIN'!$A$1:$O$113,15,0))</f>
        <v>0</v>
      </c>
      <c r="W494" s="4">
        <f>IF(ISERROR(VLOOKUP($T$494,'TAR FIN'!$A$1:$O$113,15,0)),0,VLOOKUP($T$494,'TAR FIN'!$A$1:$O$113,15,0))</f>
        <v>0</v>
      </c>
      <c r="X494" s="4">
        <f>IF(ISERROR(VLOOKUP($U$494,'TAR FIN'!$A$1:$O$113,15,0)),0,VLOOKUP($U$494,'TAR FIN'!$A$1:$O$113,15,0))</f>
        <v>230.1</v>
      </c>
      <c r="Y494" s="4">
        <f ca="1">0.72*('TUSD BE'!$AM$17+'TUSD BF'!$AM$17+'TUSD CVA'!$AM$17)*1+('TUSD BE'!$AM$18+'TUSD BF'!$AM$18+'TUSD CVA'!$AM$18)*1</f>
        <v>42.583563671169571</v>
      </c>
      <c r="Z494" s="4">
        <f ca="1">('TUSD BE'!$AM$19+'TUSD BF'!$AM$19+'TUSD CVA'!$AM$19)*1</f>
        <v>11.150945133676805</v>
      </c>
      <c r="AA494" s="4">
        <f>('TE BE'!$AA$14+'TE BF'!$AA$14+'TE CVA'!$AA$14)*1</f>
        <v>253.57775100318744</v>
      </c>
      <c r="AB494" s="4">
        <f>$K$494*$V$494</f>
        <v>0</v>
      </c>
      <c r="AC494" s="4">
        <f>$M$494*$W$494</f>
        <v>0</v>
      </c>
      <c r="AD494" s="4">
        <f>$O$494*$X$494</f>
        <v>223506.02429999999</v>
      </c>
      <c r="AE494" s="4">
        <f ca="1">$K$494*$Y$494</f>
        <v>0</v>
      </c>
      <c r="AF494" s="4">
        <f ca="1">$M$494*$Z$494</f>
        <v>0</v>
      </c>
      <c r="AG494" s="4">
        <f>$O$494*$AA$494</f>
        <v>246310.97339268911</v>
      </c>
    </row>
    <row r="495" spans="1:33" ht="11.25" customHeight="1" x14ac:dyDescent="0.25">
      <c r="A495" s="3" t="s">
        <v>21</v>
      </c>
      <c r="B495" s="3" t="s">
        <v>41</v>
      </c>
      <c r="C495" s="3" t="s">
        <v>61</v>
      </c>
      <c r="D495" s="3" t="s">
        <v>25</v>
      </c>
      <c r="E495" s="3" t="s">
        <v>25</v>
      </c>
      <c r="F495" s="3" t="s">
        <v>64</v>
      </c>
      <c r="G495" s="3" t="s">
        <v>68</v>
      </c>
      <c r="H495" s="3" t="s">
        <v>25</v>
      </c>
      <c r="I495" s="6">
        <v>44409</v>
      </c>
      <c r="J495" s="4">
        <v>0</v>
      </c>
      <c r="K495" s="16">
        <f>J495*(1-SUMIFS(CUSTOS!$T$40:$T$100,CUSTOS!$O$40:$O$100,EFEITO!G495,CUSTOS!$S$40:$S$100,EFEITO!B495,CUSTOS!$R$40:$R$100,"Potência"))</f>
        <v>0</v>
      </c>
      <c r="L495" s="4">
        <v>0</v>
      </c>
      <c r="M495" s="16">
        <f>L495*(1-SUMIFS(CUSTOS!$T$40:$T$100,CUSTOS!$O$40:$O$100,EFEITO!G495,CUSTOS!$S$40:$S$100,EFEITO!B495,CUSTOS!$R$40:$R$100,"Potência"))</f>
        <v>0</v>
      </c>
      <c r="N495" s="4">
        <v>940.20299999999997</v>
      </c>
      <c r="O495" s="16">
        <f>N495*(1-SUMIFS(CUSTOS!$T$40:$T$100,CUSTOS!$O$40:$O$100,EFEITO!G495,CUSTOS!$S$40:$S$100,EFEITO!B495,CUSTOS!$R$40:$R$100,"Energia"))</f>
        <v>940.20299999999997</v>
      </c>
      <c r="P495" s="4">
        <v>0</v>
      </c>
      <c r="Q495" s="3" t="s">
        <v>66</v>
      </c>
      <c r="R495" s="3">
        <v>5377</v>
      </c>
      <c r="S495" s="4">
        <v>0</v>
      </c>
      <c r="T495" s="4">
        <v>0</v>
      </c>
      <c r="U495" s="4">
        <v>94</v>
      </c>
      <c r="V495" s="4">
        <f>IF(ISERROR(VLOOKUP($S$495,'TAR FIN'!$A$1:$O$113,15,0)),0,VLOOKUP($S$495,'TAR FIN'!$A$1:$O$113,15,0))</f>
        <v>0</v>
      </c>
      <c r="W495" s="4">
        <f>IF(ISERROR(VLOOKUP($T$495,'TAR FIN'!$A$1:$O$113,15,0)),0,VLOOKUP($T$495,'TAR FIN'!$A$1:$O$113,15,0))</f>
        <v>0</v>
      </c>
      <c r="X495" s="4">
        <f>IF(ISERROR(VLOOKUP($U$495,'TAR FIN'!$A$1:$O$113,15,0)),0,VLOOKUP($U$495,'TAR FIN'!$A$1:$O$113,15,0))</f>
        <v>230.1</v>
      </c>
      <c r="Y495" s="4">
        <f ca="1">0.72*('TUSD BE'!$AM$17+'TUSD BF'!$AM$17+'TUSD CVA'!$AM$17)*1+('TUSD BE'!$AM$18+'TUSD BF'!$AM$18+'TUSD CVA'!$AM$18)*1</f>
        <v>42.583563671169571</v>
      </c>
      <c r="Z495" s="4">
        <f ca="1">('TUSD BE'!$AM$19+'TUSD BF'!$AM$19+'TUSD CVA'!$AM$19)*1</f>
        <v>11.150945133676805</v>
      </c>
      <c r="AA495" s="4">
        <f>('TE BE'!$AA$14+'TE BF'!$AA$14+'TE CVA'!$AA$14)*1</f>
        <v>253.57775100318744</v>
      </c>
      <c r="AB495" s="4">
        <f>$K$495*$V$495</f>
        <v>0</v>
      </c>
      <c r="AC495" s="4">
        <f>$M$495*$W$495</f>
        <v>0</v>
      </c>
      <c r="AD495" s="4">
        <f>$O$495*$X$495</f>
        <v>216340.71029999998</v>
      </c>
      <c r="AE495" s="4">
        <f ca="1">$K$495*$Y$495</f>
        <v>0</v>
      </c>
      <c r="AF495" s="4">
        <f ca="1">$M$495*$Z$495</f>
        <v>0</v>
      </c>
      <c r="AG495" s="4">
        <f>$O$495*$AA$495</f>
        <v>238414.56222644984</v>
      </c>
    </row>
    <row r="496" spans="1:33" ht="11.25" customHeight="1" x14ac:dyDescent="0.25">
      <c r="A496" s="3" t="s">
        <v>21</v>
      </c>
      <c r="B496" s="3" t="s">
        <v>41</v>
      </c>
      <c r="C496" s="3" t="s">
        <v>61</v>
      </c>
      <c r="D496" s="3" t="s">
        <v>25</v>
      </c>
      <c r="E496" s="3" t="s">
        <v>25</v>
      </c>
      <c r="F496" s="3" t="s">
        <v>64</v>
      </c>
      <c r="G496" s="3" t="s">
        <v>68</v>
      </c>
      <c r="H496" s="3" t="s">
        <v>25</v>
      </c>
      <c r="I496" s="6">
        <v>44440</v>
      </c>
      <c r="J496" s="4">
        <v>0</v>
      </c>
      <c r="K496" s="16">
        <f>J496*(1-SUMIFS(CUSTOS!$T$40:$T$100,CUSTOS!$O$40:$O$100,EFEITO!G496,CUSTOS!$S$40:$S$100,EFEITO!B496,CUSTOS!$R$40:$R$100,"Potência"))</f>
        <v>0</v>
      </c>
      <c r="L496" s="4">
        <v>0</v>
      </c>
      <c r="M496" s="16">
        <f>L496*(1-SUMIFS(CUSTOS!$T$40:$T$100,CUSTOS!$O$40:$O$100,EFEITO!G496,CUSTOS!$S$40:$S$100,EFEITO!B496,CUSTOS!$R$40:$R$100,"Potência"))</f>
        <v>0</v>
      </c>
      <c r="N496" s="4">
        <v>971.20899999999995</v>
      </c>
      <c r="O496" s="16">
        <f>N496*(1-SUMIFS(CUSTOS!$T$40:$T$100,CUSTOS!$O$40:$O$100,EFEITO!G496,CUSTOS!$S$40:$S$100,EFEITO!B496,CUSTOS!$R$40:$R$100,"Energia"))</f>
        <v>971.20899999999995</v>
      </c>
      <c r="P496" s="4">
        <v>0</v>
      </c>
      <c r="Q496" s="3" t="s">
        <v>66</v>
      </c>
      <c r="R496" s="3">
        <v>5377</v>
      </c>
      <c r="S496" s="4">
        <v>0</v>
      </c>
      <c r="T496" s="4">
        <v>0</v>
      </c>
      <c r="U496" s="4">
        <v>94</v>
      </c>
      <c r="V496" s="4">
        <f>IF(ISERROR(VLOOKUP($S$496,'TAR FIN'!$A$1:$O$113,15,0)),0,VLOOKUP($S$496,'TAR FIN'!$A$1:$O$113,15,0))</f>
        <v>0</v>
      </c>
      <c r="W496" s="4">
        <f>IF(ISERROR(VLOOKUP($T$496,'TAR FIN'!$A$1:$O$113,15,0)),0,VLOOKUP($T$496,'TAR FIN'!$A$1:$O$113,15,0))</f>
        <v>0</v>
      </c>
      <c r="X496" s="4">
        <f>IF(ISERROR(VLOOKUP($U$496,'TAR FIN'!$A$1:$O$113,15,0)),0,VLOOKUP($U$496,'TAR FIN'!$A$1:$O$113,15,0))</f>
        <v>230.1</v>
      </c>
      <c r="Y496" s="4">
        <f ca="1">0.72*('TUSD BE'!$AM$17+'TUSD BF'!$AM$17+'TUSD CVA'!$AM$17)*1+('TUSD BE'!$AM$18+'TUSD BF'!$AM$18+'TUSD CVA'!$AM$18)*1</f>
        <v>42.583563671169571</v>
      </c>
      <c r="Z496" s="4">
        <f ca="1">('TUSD BE'!$AM$19+'TUSD BF'!$AM$19+'TUSD CVA'!$AM$19)*1</f>
        <v>11.150945133676805</v>
      </c>
      <c r="AA496" s="4">
        <f>('TE BE'!$AA$14+'TE BF'!$AA$14+'TE CVA'!$AA$14)*1</f>
        <v>253.57775100318744</v>
      </c>
      <c r="AB496" s="4">
        <f>$K$496*$V$496</f>
        <v>0</v>
      </c>
      <c r="AC496" s="4">
        <f>$M$496*$W$496</f>
        <v>0</v>
      </c>
      <c r="AD496" s="4">
        <f>$O$496*$X$496</f>
        <v>223475.19089999999</v>
      </c>
      <c r="AE496" s="4">
        <f ca="1">$K$496*$Y$496</f>
        <v>0</v>
      </c>
      <c r="AF496" s="4">
        <f ca="1">$M$496*$Z$496</f>
        <v>0</v>
      </c>
      <c r="AG496" s="4">
        <f>$O$496*$AA$496</f>
        <v>246276.99397405467</v>
      </c>
    </row>
    <row r="497" spans="1:33" ht="11.25" customHeight="1" x14ac:dyDescent="0.25">
      <c r="A497" s="3" t="s">
        <v>21</v>
      </c>
      <c r="B497" s="3" t="s">
        <v>41</v>
      </c>
      <c r="C497" s="3" t="s">
        <v>61</v>
      </c>
      <c r="D497" s="3" t="s">
        <v>25</v>
      </c>
      <c r="E497" s="3" t="s">
        <v>25</v>
      </c>
      <c r="F497" s="3" t="s">
        <v>64</v>
      </c>
      <c r="G497" s="3" t="s">
        <v>68</v>
      </c>
      <c r="H497" s="3" t="s">
        <v>25</v>
      </c>
      <c r="I497" s="6">
        <v>44470</v>
      </c>
      <c r="J497" s="4">
        <v>0</v>
      </c>
      <c r="K497" s="16">
        <f>J497*(1-SUMIFS(CUSTOS!$T$40:$T$100,CUSTOS!$O$40:$O$100,EFEITO!G497,CUSTOS!$S$40:$S$100,EFEITO!B497,CUSTOS!$R$40:$R$100,"Potência"))</f>
        <v>0</v>
      </c>
      <c r="L497" s="4">
        <v>0</v>
      </c>
      <c r="M497" s="16">
        <f>L497*(1-SUMIFS(CUSTOS!$T$40:$T$100,CUSTOS!$O$40:$O$100,EFEITO!G497,CUSTOS!$S$40:$S$100,EFEITO!B497,CUSTOS!$R$40:$R$100,"Potência"))</f>
        <v>0</v>
      </c>
      <c r="N497" s="4">
        <v>992.65</v>
      </c>
      <c r="O497" s="16">
        <f>N497*(1-SUMIFS(CUSTOS!$T$40:$T$100,CUSTOS!$O$40:$O$100,EFEITO!G497,CUSTOS!$S$40:$S$100,EFEITO!B497,CUSTOS!$R$40:$R$100,"Energia"))</f>
        <v>992.65</v>
      </c>
      <c r="P497" s="4">
        <v>0</v>
      </c>
      <c r="Q497" s="3" t="s">
        <v>66</v>
      </c>
      <c r="R497" s="3">
        <v>5377</v>
      </c>
      <c r="S497" s="4">
        <v>0</v>
      </c>
      <c r="T497" s="4">
        <v>0</v>
      </c>
      <c r="U497" s="4">
        <v>94</v>
      </c>
      <c r="V497" s="4">
        <f>IF(ISERROR(VLOOKUP($S$497,'TAR FIN'!$A$1:$O$113,15,0)),0,VLOOKUP($S$497,'TAR FIN'!$A$1:$O$113,15,0))</f>
        <v>0</v>
      </c>
      <c r="W497" s="4">
        <f>IF(ISERROR(VLOOKUP($T$497,'TAR FIN'!$A$1:$O$113,15,0)),0,VLOOKUP($T$497,'TAR FIN'!$A$1:$O$113,15,0))</f>
        <v>0</v>
      </c>
      <c r="X497" s="4">
        <f>IF(ISERROR(VLOOKUP($U$497,'TAR FIN'!$A$1:$O$113,15,0)),0,VLOOKUP($U$497,'TAR FIN'!$A$1:$O$113,15,0))</f>
        <v>230.1</v>
      </c>
      <c r="Y497" s="4">
        <f ca="1">0.72*('TUSD BE'!$AM$17+'TUSD BF'!$AM$17+'TUSD CVA'!$AM$17)*1+('TUSD BE'!$AM$18+'TUSD BF'!$AM$18+'TUSD CVA'!$AM$18)*1</f>
        <v>42.583563671169571</v>
      </c>
      <c r="Z497" s="4">
        <f ca="1">('TUSD BE'!$AM$19+'TUSD BF'!$AM$19+'TUSD CVA'!$AM$19)*1</f>
        <v>11.150945133676805</v>
      </c>
      <c r="AA497" s="4">
        <f>('TE BE'!$AA$14+'TE BF'!$AA$14+'TE CVA'!$AA$14)*1</f>
        <v>253.57775100318744</v>
      </c>
      <c r="AB497" s="4">
        <f>$K$497*$V$497</f>
        <v>0</v>
      </c>
      <c r="AC497" s="4">
        <f>$M$497*$W$497</f>
        <v>0</v>
      </c>
      <c r="AD497" s="4">
        <f>$O$497*$X$497</f>
        <v>228408.76499999998</v>
      </c>
      <c r="AE497" s="4">
        <f ca="1">$K$497*$Y$497</f>
        <v>0</v>
      </c>
      <c r="AF497" s="4">
        <f ca="1">$M$497*$Z$497</f>
        <v>0</v>
      </c>
      <c r="AG497" s="4">
        <f>$O$497*$AA$497</f>
        <v>251713.95453331401</v>
      </c>
    </row>
    <row r="498" spans="1:33" ht="11.25" customHeight="1" x14ac:dyDescent="0.25">
      <c r="A498" s="3" t="s">
        <v>21</v>
      </c>
      <c r="B498" s="3" t="s">
        <v>41</v>
      </c>
      <c r="C498" s="3" t="s">
        <v>61</v>
      </c>
      <c r="D498" s="3" t="s">
        <v>25</v>
      </c>
      <c r="E498" s="3" t="s">
        <v>25</v>
      </c>
      <c r="F498" s="3" t="s">
        <v>64</v>
      </c>
      <c r="G498" s="3" t="s">
        <v>68</v>
      </c>
      <c r="H498" s="3" t="s">
        <v>25</v>
      </c>
      <c r="I498" s="6">
        <v>44501</v>
      </c>
      <c r="J498" s="4">
        <v>0</v>
      </c>
      <c r="K498" s="16">
        <f>J498*(1-SUMIFS(CUSTOS!$T$40:$T$100,CUSTOS!$O$40:$O$100,EFEITO!G498,CUSTOS!$S$40:$S$100,EFEITO!B498,CUSTOS!$R$40:$R$100,"Potência"))</f>
        <v>0</v>
      </c>
      <c r="L498" s="4">
        <v>0</v>
      </c>
      <c r="M498" s="16">
        <f>L498*(1-SUMIFS(CUSTOS!$T$40:$T$100,CUSTOS!$O$40:$O$100,EFEITO!G498,CUSTOS!$S$40:$S$100,EFEITO!B498,CUSTOS!$R$40:$R$100,"Potência"))</f>
        <v>0</v>
      </c>
      <c r="N498" s="4">
        <v>1101.4580000000001</v>
      </c>
      <c r="O498" s="16">
        <f>N498*(1-SUMIFS(CUSTOS!$T$40:$T$100,CUSTOS!$O$40:$O$100,EFEITO!G498,CUSTOS!$S$40:$S$100,EFEITO!B498,CUSTOS!$R$40:$R$100,"Energia"))</f>
        <v>1101.4580000000001</v>
      </c>
      <c r="P498" s="4">
        <v>0</v>
      </c>
      <c r="Q498" s="3" t="s">
        <v>66</v>
      </c>
      <c r="R498" s="3">
        <v>5377</v>
      </c>
      <c r="S498" s="4">
        <v>0</v>
      </c>
      <c r="T498" s="4">
        <v>0</v>
      </c>
      <c r="U498" s="4">
        <v>94</v>
      </c>
      <c r="V498" s="4">
        <f>IF(ISERROR(VLOOKUP($S$498,'TAR FIN'!$A$1:$O$113,15,0)),0,VLOOKUP($S$498,'TAR FIN'!$A$1:$O$113,15,0))</f>
        <v>0</v>
      </c>
      <c r="W498" s="4">
        <f>IF(ISERROR(VLOOKUP($T$498,'TAR FIN'!$A$1:$O$113,15,0)),0,VLOOKUP($T$498,'TAR FIN'!$A$1:$O$113,15,0))</f>
        <v>0</v>
      </c>
      <c r="X498" s="4">
        <f>IF(ISERROR(VLOOKUP($U$498,'TAR FIN'!$A$1:$O$113,15,0)),0,VLOOKUP($U$498,'TAR FIN'!$A$1:$O$113,15,0))</f>
        <v>230.1</v>
      </c>
      <c r="Y498" s="4">
        <f ca="1">0.72*('TUSD BE'!$AM$17+'TUSD BF'!$AM$17+'TUSD CVA'!$AM$17)*1+('TUSD BE'!$AM$18+'TUSD BF'!$AM$18+'TUSD CVA'!$AM$18)*1</f>
        <v>42.583563671169571</v>
      </c>
      <c r="Z498" s="4">
        <f ca="1">('TUSD BE'!$AM$19+'TUSD BF'!$AM$19+'TUSD CVA'!$AM$19)*1</f>
        <v>11.150945133676805</v>
      </c>
      <c r="AA498" s="4">
        <f>('TE BE'!$AA$14+'TE BF'!$AA$14+'TE CVA'!$AA$14)*1</f>
        <v>253.57775100318744</v>
      </c>
      <c r="AB498" s="4">
        <f>$K$498*$V$498</f>
        <v>0</v>
      </c>
      <c r="AC498" s="4">
        <f>$M$498*$W$498</f>
        <v>0</v>
      </c>
      <c r="AD498" s="4">
        <f>$O$498*$X$498</f>
        <v>253445.48580000002</v>
      </c>
      <c r="AE498" s="4">
        <f ca="1">$K$498*$Y$498</f>
        <v>0</v>
      </c>
      <c r="AF498" s="4">
        <f ca="1">$M$498*$Z$498</f>
        <v>0</v>
      </c>
      <c r="AG498" s="4">
        <f>$O$498*$AA$498</f>
        <v>279305.24246446887</v>
      </c>
    </row>
    <row r="499" spans="1:33" ht="11.25" customHeight="1" x14ac:dyDescent="0.25">
      <c r="A499" s="3" t="s">
        <v>21</v>
      </c>
      <c r="B499" s="3" t="s">
        <v>41</v>
      </c>
      <c r="C499" s="3" t="s">
        <v>61</v>
      </c>
      <c r="D499" s="3" t="s">
        <v>25</v>
      </c>
      <c r="E499" s="3" t="s">
        <v>25</v>
      </c>
      <c r="F499" s="3" t="s">
        <v>64</v>
      </c>
      <c r="G499" s="3" t="s">
        <v>68</v>
      </c>
      <c r="H499" s="3" t="s">
        <v>25</v>
      </c>
      <c r="I499" s="6">
        <v>44531</v>
      </c>
      <c r="J499" s="4">
        <v>0</v>
      </c>
      <c r="K499" s="16">
        <f>J499*(1-SUMIFS(CUSTOS!$T$40:$T$100,CUSTOS!$O$40:$O$100,EFEITO!G499,CUSTOS!$S$40:$S$100,EFEITO!B499,CUSTOS!$R$40:$R$100,"Potência"))</f>
        <v>0</v>
      </c>
      <c r="L499" s="4">
        <v>0</v>
      </c>
      <c r="M499" s="16">
        <f>L499*(1-SUMIFS(CUSTOS!$T$40:$T$100,CUSTOS!$O$40:$O$100,EFEITO!G499,CUSTOS!$S$40:$S$100,EFEITO!B499,CUSTOS!$R$40:$R$100,"Potência"))</f>
        <v>0</v>
      </c>
      <c r="N499" s="4">
        <v>1078.0350000000001</v>
      </c>
      <c r="O499" s="16">
        <f>N499*(1-SUMIFS(CUSTOS!$T$40:$T$100,CUSTOS!$O$40:$O$100,EFEITO!G499,CUSTOS!$S$40:$S$100,EFEITO!B499,CUSTOS!$R$40:$R$100,"Energia"))</f>
        <v>1078.0350000000001</v>
      </c>
      <c r="P499" s="4">
        <v>0</v>
      </c>
      <c r="Q499" s="3" t="s">
        <v>66</v>
      </c>
      <c r="R499" s="3">
        <v>5377</v>
      </c>
      <c r="S499" s="4">
        <v>0</v>
      </c>
      <c r="T499" s="4">
        <v>0</v>
      </c>
      <c r="U499" s="4">
        <v>94</v>
      </c>
      <c r="V499" s="4">
        <f>IF(ISERROR(VLOOKUP($S$499,'TAR FIN'!$A$1:$O$113,15,0)),0,VLOOKUP($S$499,'TAR FIN'!$A$1:$O$113,15,0))</f>
        <v>0</v>
      </c>
      <c r="W499" s="4">
        <f>IF(ISERROR(VLOOKUP($T$499,'TAR FIN'!$A$1:$O$113,15,0)),0,VLOOKUP($T$499,'TAR FIN'!$A$1:$O$113,15,0))</f>
        <v>0</v>
      </c>
      <c r="X499" s="4">
        <f>IF(ISERROR(VLOOKUP($U$499,'TAR FIN'!$A$1:$O$113,15,0)),0,VLOOKUP($U$499,'TAR FIN'!$A$1:$O$113,15,0))</f>
        <v>230.1</v>
      </c>
      <c r="Y499" s="4">
        <f ca="1">0.72*('TUSD BE'!$AM$17+'TUSD BF'!$AM$17+'TUSD CVA'!$AM$17)*1+('TUSD BE'!$AM$18+'TUSD BF'!$AM$18+'TUSD CVA'!$AM$18)*1</f>
        <v>42.583563671169571</v>
      </c>
      <c r="Z499" s="4">
        <f ca="1">('TUSD BE'!$AM$19+'TUSD BF'!$AM$19+'TUSD CVA'!$AM$19)*1</f>
        <v>11.150945133676805</v>
      </c>
      <c r="AA499" s="4">
        <f>('TE BE'!$AA$14+'TE BF'!$AA$14+'TE CVA'!$AA$14)*1</f>
        <v>253.57775100318744</v>
      </c>
      <c r="AB499" s="4">
        <f>$K$499*$V$499</f>
        <v>0</v>
      </c>
      <c r="AC499" s="4">
        <f>$M$499*$W$499</f>
        <v>0</v>
      </c>
      <c r="AD499" s="4">
        <f>$O$499*$X$499</f>
        <v>248055.85350000003</v>
      </c>
      <c r="AE499" s="4">
        <f ca="1">$K$499*$Y$499</f>
        <v>0</v>
      </c>
      <c r="AF499" s="4">
        <f ca="1">$M$499*$Z$499</f>
        <v>0</v>
      </c>
      <c r="AG499" s="4">
        <f>$O$499*$AA$499</f>
        <v>273365.69080272119</v>
      </c>
    </row>
    <row r="500" spans="1:33" ht="11.25" customHeight="1" x14ac:dyDescent="0.25">
      <c r="A500" s="3" t="s">
        <v>21</v>
      </c>
      <c r="B500" s="3" t="s">
        <v>41</v>
      </c>
      <c r="C500" s="3" t="s">
        <v>61</v>
      </c>
      <c r="D500" s="3" t="s">
        <v>25</v>
      </c>
      <c r="E500" s="3" t="s">
        <v>25</v>
      </c>
      <c r="F500" s="3" t="s">
        <v>64</v>
      </c>
      <c r="G500" s="3" t="s">
        <v>68</v>
      </c>
      <c r="H500" s="3" t="s">
        <v>25</v>
      </c>
      <c r="I500" s="6">
        <v>44562</v>
      </c>
      <c r="J500" s="4">
        <v>0</v>
      </c>
      <c r="K500" s="16">
        <f>J500*(1-SUMIFS(CUSTOS!$T$40:$T$100,CUSTOS!$O$40:$O$100,EFEITO!G500,CUSTOS!$S$40:$S$100,EFEITO!B500,CUSTOS!$R$40:$R$100,"Potência"))</f>
        <v>0</v>
      </c>
      <c r="L500" s="4">
        <v>0</v>
      </c>
      <c r="M500" s="16">
        <f>L500*(1-SUMIFS(CUSTOS!$T$40:$T$100,CUSTOS!$O$40:$O$100,EFEITO!G500,CUSTOS!$S$40:$S$100,EFEITO!B500,CUSTOS!$R$40:$R$100,"Potência"))</f>
        <v>0</v>
      </c>
      <c r="N500" s="4">
        <v>1117.4259999999999</v>
      </c>
      <c r="O500" s="16">
        <f>N500*(1-SUMIFS(CUSTOS!$T$40:$T$100,CUSTOS!$O$40:$O$100,EFEITO!G500,CUSTOS!$S$40:$S$100,EFEITO!B500,CUSTOS!$R$40:$R$100,"Energia"))</f>
        <v>1117.4259999999999</v>
      </c>
      <c r="P500" s="4">
        <v>0</v>
      </c>
      <c r="Q500" s="3" t="s">
        <v>66</v>
      </c>
      <c r="R500" s="3">
        <v>5377</v>
      </c>
      <c r="S500" s="4">
        <v>0</v>
      </c>
      <c r="T500" s="4">
        <v>0</v>
      </c>
      <c r="U500" s="4">
        <v>94</v>
      </c>
      <c r="V500" s="4">
        <f>IF(ISERROR(VLOOKUP($S$500,'TAR FIN'!$A$1:$O$113,15,0)),0,VLOOKUP($S$500,'TAR FIN'!$A$1:$O$113,15,0))</f>
        <v>0</v>
      </c>
      <c r="W500" s="4">
        <f>IF(ISERROR(VLOOKUP($T$500,'TAR FIN'!$A$1:$O$113,15,0)),0,VLOOKUP($T$500,'TAR FIN'!$A$1:$O$113,15,0))</f>
        <v>0</v>
      </c>
      <c r="X500" s="4">
        <f>IF(ISERROR(VLOOKUP($U$500,'TAR FIN'!$A$1:$O$113,15,0)),0,VLOOKUP($U$500,'TAR FIN'!$A$1:$O$113,15,0))</f>
        <v>230.1</v>
      </c>
      <c r="Y500" s="4">
        <f ca="1">0.72*('TUSD BE'!$AM$17+'TUSD BF'!$AM$17+'TUSD CVA'!$AM$17)*1+('TUSD BE'!$AM$18+'TUSD BF'!$AM$18+'TUSD CVA'!$AM$18)*1</f>
        <v>42.583563671169571</v>
      </c>
      <c r="Z500" s="4">
        <f ca="1">('TUSD BE'!$AM$19+'TUSD BF'!$AM$19+'TUSD CVA'!$AM$19)*1</f>
        <v>11.150945133676805</v>
      </c>
      <c r="AA500" s="4">
        <f>('TE BE'!$AA$14+'TE BF'!$AA$14+'TE CVA'!$AA$14)*1</f>
        <v>253.57775100318744</v>
      </c>
      <c r="AB500" s="4">
        <f>$K$500*$V$500</f>
        <v>0</v>
      </c>
      <c r="AC500" s="4">
        <f>$M$500*$W$500</f>
        <v>0</v>
      </c>
      <c r="AD500" s="4">
        <f>$O$500*$X$500</f>
        <v>257119.72259999998</v>
      </c>
      <c r="AE500" s="4">
        <f ca="1">$K$500*$Y$500</f>
        <v>0</v>
      </c>
      <c r="AF500" s="4">
        <f ca="1">$M$500*$Z$500</f>
        <v>0</v>
      </c>
      <c r="AG500" s="4">
        <f>$O$500*$AA$500</f>
        <v>283354.37199248769</v>
      </c>
    </row>
    <row r="501" spans="1:33" ht="11.25" customHeight="1" x14ac:dyDescent="0.25">
      <c r="A501" s="3" t="s">
        <v>27</v>
      </c>
      <c r="B501" s="3" t="s">
        <v>41</v>
      </c>
      <c r="C501" s="3" t="s">
        <v>61</v>
      </c>
      <c r="D501" s="3" t="s">
        <v>25</v>
      </c>
      <c r="E501" s="3" t="s">
        <v>25</v>
      </c>
      <c r="F501" s="3" t="s">
        <v>64</v>
      </c>
      <c r="G501" s="3" t="s">
        <v>65</v>
      </c>
      <c r="H501" s="3" t="s">
        <v>25</v>
      </c>
      <c r="I501" s="6">
        <v>44593</v>
      </c>
      <c r="J501" s="4">
        <v>0</v>
      </c>
      <c r="K501" s="4">
        <v>0</v>
      </c>
      <c r="L501" s="4">
        <v>0</v>
      </c>
      <c r="M501" s="4">
        <v>0</v>
      </c>
      <c r="N501" s="4">
        <v>-471.37</v>
      </c>
      <c r="O501" s="4">
        <v>-471.37</v>
      </c>
      <c r="P501" s="4">
        <v>0</v>
      </c>
      <c r="Q501" s="3" t="s">
        <v>66</v>
      </c>
      <c r="R501" s="3">
        <v>46</v>
      </c>
      <c r="S501" s="4">
        <v>0</v>
      </c>
      <c r="T501" s="4">
        <v>0</v>
      </c>
      <c r="U501" s="4">
        <v>90</v>
      </c>
      <c r="V501" s="4">
        <f>IF(ISERROR(VLOOKUP($S$501,'TAR FIN'!$A$1:$O$113,15,0)),0,VLOOKUP($S$501,'TAR FIN'!$A$1:$O$113,15,0))</f>
        <v>0</v>
      </c>
      <c r="W501" s="4">
        <f>IF(ISERROR(VLOOKUP($T$501,'TAR FIN'!$A$1:$O$113,15,0)),0,VLOOKUP($T$501,'TAR FIN'!$A$1:$O$113,15,0))</f>
        <v>0</v>
      </c>
      <c r="X501" s="4">
        <f>IF(ISERROR(VLOOKUP($U$501,'TAR FIN'!$A$1:$O$113,15,0)),0,VLOOKUP($U$501,'TAR FIN'!$A$1:$O$113,15,0))</f>
        <v>230.1</v>
      </c>
      <c r="Y501" s="4">
        <f ca="1">0.72*('TUSD BE'!$AM$20+'TUSD BF'!$AM$20+'TUSD CVA'!$AM$20)*1+('TUSD BE'!$AM$21+'TUSD BF'!$AM$21+'TUSD CVA'!$AM$21)*1</f>
        <v>42.583563671169571</v>
      </c>
      <c r="Z501" s="4">
        <f ca="1">('TUSD BE'!$AM$22+'TUSD BF'!$AM$22+'TUSD CVA'!$AM$22)*1</f>
        <v>11.150945133676805</v>
      </c>
      <c r="AA501" s="4">
        <f>('TE BE'!$AA$12+'TE BF'!$AA$12+'TE CVA'!$AA$12)*1</f>
        <v>253.57775100318744</v>
      </c>
      <c r="AB501" s="4">
        <f>$K$501*$V$501</f>
        <v>0</v>
      </c>
      <c r="AC501" s="4">
        <f>$M$501*$W$501</f>
        <v>0</v>
      </c>
      <c r="AD501" s="4">
        <f>$O$501*$X$501</f>
        <v>-108462.23699999999</v>
      </c>
      <c r="AE501" s="4">
        <f ca="1">$K$501*$Y$501</f>
        <v>0</v>
      </c>
      <c r="AF501" s="4">
        <f ca="1">$M$501*$Z$501</f>
        <v>0</v>
      </c>
      <c r="AG501" s="4">
        <f>$O$501*$AA$501</f>
        <v>-119528.94449037247</v>
      </c>
    </row>
    <row r="502" spans="1:33" ht="11.25" customHeight="1" x14ac:dyDescent="0.25">
      <c r="A502" s="3" t="s">
        <v>21</v>
      </c>
      <c r="B502" s="3" t="s">
        <v>41</v>
      </c>
      <c r="C502" s="3" t="s">
        <v>61</v>
      </c>
      <c r="D502" s="3" t="s">
        <v>25</v>
      </c>
      <c r="E502" s="3" t="s">
        <v>25</v>
      </c>
      <c r="F502" s="3" t="s">
        <v>64</v>
      </c>
      <c r="G502" s="3" t="s">
        <v>68</v>
      </c>
      <c r="H502" s="3" t="s">
        <v>25</v>
      </c>
      <c r="I502" s="6">
        <v>44593</v>
      </c>
      <c r="J502" s="4">
        <v>0</v>
      </c>
      <c r="K502" s="16">
        <f>J502*(1-SUMIFS(CUSTOS!$T$40:$T$100,CUSTOS!$O$40:$O$100,EFEITO!G502,CUSTOS!$S$40:$S$100,EFEITO!B502,CUSTOS!$R$40:$R$100,"Potência"))</f>
        <v>0</v>
      </c>
      <c r="L502" s="4">
        <v>0</v>
      </c>
      <c r="M502" s="16">
        <f>L502*(1-SUMIFS(CUSTOS!$T$40:$T$100,CUSTOS!$O$40:$O$100,EFEITO!G502,CUSTOS!$S$40:$S$100,EFEITO!B502,CUSTOS!$R$40:$R$100,"Potência"))</f>
        <v>0</v>
      </c>
      <c r="N502" s="4">
        <v>1144.837</v>
      </c>
      <c r="O502" s="16">
        <f>N502*(1-SUMIFS(CUSTOS!$T$40:$T$100,CUSTOS!$O$40:$O$100,EFEITO!G502,CUSTOS!$S$40:$S$100,EFEITO!B502,CUSTOS!$R$40:$R$100,"Energia"))</f>
        <v>1144.837</v>
      </c>
      <c r="P502" s="4">
        <v>0</v>
      </c>
      <c r="Q502" s="3" t="s">
        <v>66</v>
      </c>
      <c r="R502" s="3">
        <v>5377</v>
      </c>
      <c r="S502" s="4">
        <v>0</v>
      </c>
      <c r="T502" s="4">
        <v>0</v>
      </c>
      <c r="U502" s="4">
        <v>94</v>
      </c>
      <c r="V502" s="4">
        <f>IF(ISERROR(VLOOKUP($S$502,'TAR FIN'!$A$1:$O$113,15,0)),0,VLOOKUP($S$502,'TAR FIN'!$A$1:$O$113,15,0))</f>
        <v>0</v>
      </c>
      <c r="W502" s="4">
        <f>IF(ISERROR(VLOOKUP($T$502,'TAR FIN'!$A$1:$O$113,15,0)),0,VLOOKUP($T$502,'TAR FIN'!$A$1:$O$113,15,0))</f>
        <v>0</v>
      </c>
      <c r="X502" s="4">
        <f>IF(ISERROR(VLOOKUP($U$502,'TAR FIN'!$A$1:$O$113,15,0)),0,VLOOKUP($U$502,'TAR FIN'!$A$1:$O$113,15,0))</f>
        <v>230.1</v>
      </c>
      <c r="Y502" s="4">
        <f ca="1">0.72*('TUSD BE'!$AM$17+'TUSD BF'!$AM$17+'TUSD CVA'!$AM$17)*1+('TUSD BE'!$AM$18+'TUSD BF'!$AM$18+'TUSD CVA'!$AM$18)*1</f>
        <v>42.583563671169571</v>
      </c>
      <c r="Z502" s="4">
        <f ca="1">('TUSD BE'!$AM$19+'TUSD BF'!$AM$19+'TUSD CVA'!$AM$19)*1</f>
        <v>11.150945133676805</v>
      </c>
      <c r="AA502" s="4">
        <f>('TE BE'!$AA$14+'TE BF'!$AA$14+'TE CVA'!$AA$14)*1</f>
        <v>253.57775100318744</v>
      </c>
      <c r="AB502" s="4">
        <f>$K$502*$V$502</f>
        <v>0</v>
      </c>
      <c r="AC502" s="4">
        <f>$M$502*$W$502</f>
        <v>0</v>
      </c>
      <c r="AD502" s="4">
        <f>$O$502*$X$502</f>
        <v>263426.99369999999</v>
      </c>
      <c r="AE502" s="4">
        <f ca="1">$K$502*$Y$502</f>
        <v>0</v>
      </c>
      <c r="AF502" s="4">
        <f ca="1">$M$502*$Z$502</f>
        <v>0</v>
      </c>
      <c r="AG502" s="4">
        <f>$O$502*$AA$502</f>
        <v>290305.19172523607</v>
      </c>
    </row>
    <row r="503" spans="1:33" ht="11.25" customHeight="1" x14ac:dyDescent="0.25">
      <c r="A503" s="3" t="s">
        <v>56</v>
      </c>
      <c r="B503" s="3" t="s">
        <v>41</v>
      </c>
      <c r="C503" s="3" t="s">
        <v>61</v>
      </c>
      <c r="D503" s="3" t="s">
        <v>25</v>
      </c>
      <c r="E503" s="3" t="s">
        <v>25</v>
      </c>
      <c r="F503" s="3" t="s">
        <v>64</v>
      </c>
      <c r="G503" s="3" t="s">
        <v>65</v>
      </c>
      <c r="H503" s="3" t="s">
        <v>25</v>
      </c>
      <c r="I503" s="6">
        <v>44621</v>
      </c>
      <c r="J503" s="4">
        <v>0</v>
      </c>
      <c r="K503" s="4">
        <v>0</v>
      </c>
      <c r="L503" s="4">
        <v>0</v>
      </c>
      <c r="M503" s="4">
        <v>0</v>
      </c>
      <c r="N503" s="4">
        <v>-471.37</v>
      </c>
      <c r="O503" s="4">
        <v>-471.37</v>
      </c>
      <c r="P503" s="4">
        <v>0</v>
      </c>
      <c r="Q503" s="3" t="s">
        <v>66</v>
      </c>
      <c r="R503" s="3">
        <v>46</v>
      </c>
      <c r="S503" s="4">
        <v>0</v>
      </c>
      <c r="T503" s="4">
        <v>0</v>
      </c>
      <c r="U503" s="4">
        <v>90</v>
      </c>
      <c r="V503" s="4">
        <f>IF(ISERROR(VLOOKUP($S$503,'TAR FIN'!$A$1:$O$113,15,0)),0,VLOOKUP($S$503,'TAR FIN'!$A$1:$O$113,15,0))</f>
        <v>0</v>
      </c>
      <c r="W503" s="4">
        <f>IF(ISERROR(VLOOKUP($T$503,'TAR FIN'!$A$1:$O$113,15,0)),0,VLOOKUP($T$503,'TAR FIN'!$A$1:$O$113,15,0))</f>
        <v>0</v>
      </c>
      <c r="X503" s="4">
        <f>IF(ISERROR(VLOOKUP($U$503,'TAR FIN'!$A$1:$O$113,15,0)),0,VLOOKUP($U$503,'TAR FIN'!$A$1:$O$113,15,0))</f>
        <v>230.1</v>
      </c>
      <c r="Y503" s="4">
        <f ca="1">0.72*('TUSD BE'!$AM$20+'TUSD BF'!$AM$20+'TUSD CVA'!$AM$20)*1+('TUSD BE'!$AM$21+'TUSD BF'!$AM$21+'TUSD CVA'!$AM$21)*1</f>
        <v>42.583563671169571</v>
      </c>
      <c r="Z503" s="4">
        <f ca="1">('TUSD BE'!$AM$22+'TUSD BF'!$AM$22+'TUSD CVA'!$AM$22)*1</f>
        <v>11.150945133676805</v>
      </c>
      <c r="AA503" s="4">
        <f>('TE BE'!$AA$12+'TE BF'!$AA$12+'TE CVA'!$AA$12)*1</f>
        <v>253.57775100318744</v>
      </c>
      <c r="AB503" s="4">
        <f>$K$503*$V$503</f>
        <v>0</v>
      </c>
      <c r="AC503" s="4">
        <f>$M$503*$W$503</f>
        <v>0</v>
      </c>
      <c r="AD503" s="4">
        <f>$O$503*$X$503</f>
        <v>-108462.23699999999</v>
      </c>
      <c r="AE503" s="4">
        <f ca="1">$K$503*$Y$503</f>
        <v>0</v>
      </c>
      <c r="AF503" s="4">
        <f ca="1">$M$503*$Z$503</f>
        <v>0</v>
      </c>
      <c r="AG503" s="4">
        <f>$O$503*$AA$503</f>
        <v>-119528.94449037247</v>
      </c>
    </row>
    <row r="504" spans="1:33" ht="11.25" customHeight="1" x14ac:dyDescent="0.25">
      <c r="A504" s="3" t="s">
        <v>56</v>
      </c>
      <c r="B504" s="3" t="s">
        <v>41</v>
      </c>
      <c r="C504" s="3" t="s">
        <v>61</v>
      </c>
      <c r="D504" s="3" t="s">
        <v>25</v>
      </c>
      <c r="E504" s="3" t="s">
        <v>25</v>
      </c>
      <c r="F504" s="3" t="s">
        <v>64</v>
      </c>
      <c r="G504" s="3" t="s">
        <v>68</v>
      </c>
      <c r="H504" s="3" t="s">
        <v>25</v>
      </c>
      <c r="I504" s="6">
        <v>44621</v>
      </c>
      <c r="J504" s="4">
        <v>0</v>
      </c>
      <c r="K504" s="16">
        <f>J504*(1-SUMIFS(CUSTOS!$T$40:$T$100,CUSTOS!$O$40:$O$100,EFEITO!G504,CUSTOS!$S$40:$S$100,EFEITO!B504,CUSTOS!$R$40:$R$100,"Potência"))</f>
        <v>0</v>
      </c>
      <c r="L504" s="4">
        <v>0</v>
      </c>
      <c r="M504" s="16">
        <f>L504*(1-SUMIFS(CUSTOS!$T$40:$T$100,CUSTOS!$O$40:$O$100,EFEITO!G504,CUSTOS!$S$40:$S$100,EFEITO!B504,CUSTOS!$R$40:$R$100,"Potência"))</f>
        <v>0</v>
      </c>
      <c r="N504" s="4">
        <v>1144.837</v>
      </c>
      <c r="O504" s="16">
        <f>N504*(1-SUMIFS(CUSTOS!$T$40:$T$100,CUSTOS!$O$40:$O$100,EFEITO!G504,CUSTOS!$S$40:$S$100,EFEITO!B504,CUSTOS!$R$40:$R$100,"Energia"))</f>
        <v>1144.837</v>
      </c>
      <c r="P504" s="4">
        <v>0</v>
      </c>
      <c r="Q504" s="3" t="s">
        <v>66</v>
      </c>
      <c r="R504" s="3">
        <v>5377</v>
      </c>
      <c r="S504" s="4">
        <v>0</v>
      </c>
      <c r="T504" s="4">
        <v>0</v>
      </c>
      <c r="U504" s="4">
        <v>94</v>
      </c>
      <c r="V504" s="4">
        <f>IF(ISERROR(VLOOKUP($S$504,'TAR FIN'!$A$1:$O$113,15,0)),0,VLOOKUP($S$504,'TAR FIN'!$A$1:$O$113,15,0))</f>
        <v>0</v>
      </c>
      <c r="W504" s="4">
        <f>IF(ISERROR(VLOOKUP($T$504,'TAR FIN'!$A$1:$O$113,15,0)),0,VLOOKUP($T$504,'TAR FIN'!$A$1:$O$113,15,0))</f>
        <v>0</v>
      </c>
      <c r="X504" s="4">
        <f>IF(ISERROR(VLOOKUP($U$504,'TAR FIN'!$A$1:$O$113,15,0)),0,VLOOKUP($U$504,'TAR FIN'!$A$1:$O$113,15,0))</f>
        <v>230.1</v>
      </c>
      <c r="Y504" s="4">
        <f ca="1">0.72*('TUSD BE'!$AM$17+'TUSD BF'!$AM$17+'TUSD CVA'!$AM$17)*1+('TUSD BE'!$AM$18+'TUSD BF'!$AM$18+'TUSD CVA'!$AM$18)*1</f>
        <v>42.583563671169571</v>
      </c>
      <c r="Z504" s="4">
        <f ca="1">('TUSD BE'!$AM$19+'TUSD BF'!$AM$19+'TUSD CVA'!$AM$19)*1</f>
        <v>11.150945133676805</v>
      </c>
      <c r="AA504" s="4">
        <f>('TE BE'!$AA$14+'TE BF'!$AA$14+'TE CVA'!$AA$14)*1</f>
        <v>253.57775100318744</v>
      </c>
      <c r="AB504" s="4">
        <f>$K$504*$V$504</f>
        <v>0</v>
      </c>
      <c r="AC504" s="4">
        <f>$M$504*$W$504</f>
        <v>0</v>
      </c>
      <c r="AD504" s="4">
        <f>$O$504*$X$504</f>
        <v>263426.99369999999</v>
      </c>
      <c r="AE504" s="4">
        <f ca="1">$K$504*$Y$504</f>
        <v>0</v>
      </c>
      <c r="AF504" s="4">
        <f ca="1">$M$504*$Z$504</f>
        <v>0</v>
      </c>
      <c r="AG504" s="4">
        <f>$O$504*$AA$504</f>
        <v>290305.19172523607</v>
      </c>
    </row>
    <row r="505" spans="1:33" ht="11.25" customHeight="1" x14ac:dyDescent="0.25">
      <c r="A505" s="3" t="s">
        <v>21</v>
      </c>
      <c r="B505" s="3" t="s">
        <v>41</v>
      </c>
      <c r="C505" s="3" t="s">
        <v>61</v>
      </c>
      <c r="D505" s="3" t="s">
        <v>25</v>
      </c>
      <c r="E505" s="3" t="s">
        <v>25</v>
      </c>
      <c r="F505" s="3" t="s">
        <v>64</v>
      </c>
      <c r="G505" s="3" t="s">
        <v>68</v>
      </c>
      <c r="H505" s="3" t="s">
        <v>34</v>
      </c>
      <c r="I505" s="6">
        <v>44287</v>
      </c>
      <c r="J505" s="4">
        <v>2088</v>
      </c>
      <c r="K505" s="16">
        <f>J505*(1-SUMIFS(CUSTOS!$T$40:$T$100,CUSTOS!$O$40:$O$100,EFEITO!G505,CUSTOS!$S$40:$S$100,EFEITO!B505,CUSTOS!$R$40:$R$100,"Potência"))</f>
        <v>2088</v>
      </c>
      <c r="L505" s="4">
        <v>124.779</v>
      </c>
      <c r="M505" s="16">
        <f>L505*(1-SUMIFS(CUSTOS!$T$40:$T$100,CUSTOS!$O$40:$O$100,EFEITO!G505,CUSTOS!$S$40:$S$100,EFEITO!B505,CUSTOS!$R$40:$R$100,"Potência"))</f>
        <v>124.779</v>
      </c>
      <c r="N505" s="4">
        <v>0</v>
      </c>
      <c r="O505" s="16">
        <f>N505*(1-SUMIFS(CUSTOS!$T$40:$T$100,CUSTOS!$O$40:$O$100,EFEITO!G505,CUSTOS!$S$40:$S$100,EFEITO!B505,CUSTOS!$R$40:$R$100,"Energia"))</f>
        <v>0</v>
      </c>
      <c r="P505" s="4">
        <v>0</v>
      </c>
      <c r="Q505" s="3" t="s">
        <v>66</v>
      </c>
      <c r="R505" s="3">
        <v>5377</v>
      </c>
      <c r="S505" s="4">
        <v>13</v>
      </c>
      <c r="T505" s="4">
        <v>15</v>
      </c>
      <c r="U505" s="4">
        <v>0</v>
      </c>
      <c r="V505" s="4">
        <f>IF(ISERROR(VLOOKUP($S$505,'TAR FIN'!$A$1:$O$113,15,0)),0,VLOOKUP($S$505,'TAR FIN'!$A$1:$O$113,15,0))</f>
        <v>29.89</v>
      </c>
      <c r="W505" s="4">
        <f>IF(ISERROR(VLOOKUP($T$505,'TAR FIN'!$A$1:$O$113,15,0)),0,VLOOKUP($T$505,'TAR FIN'!$A$1:$O$113,15,0))</f>
        <v>9.65</v>
      </c>
      <c r="X505" s="4">
        <f>IF(ISERROR(VLOOKUP($U$505,'TAR FIN'!$A$1:$O$113,15,0)),0,VLOOKUP($U$505,'TAR FIN'!$A$1:$O$113,15,0))</f>
        <v>0</v>
      </c>
      <c r="Y505" s="4">
        <f ca="1">('TUSD BE'!$AM$17+'TUSD BF'!$AM$17+'TUSD CVA'!$AM$17)*1</f>
        <v>36.252448665270038</v>
      </c>
      <c r="Z505" s="4">
        <f ca="1">('TUSD BE'!$AM$19+'TUSD BF'!$AM$19+'TUSD CVA'!$AM$19)*1</f>
        <v>11.150945133676805</v>
      </c>
      <c r="AA505" s="4">
        <f>('TE BE'!$AA$14+'TE BF'!$AA$14+'TE CVA'!$AA$14)*1</f>
        <v>253.57775100318744</v>
      </c>
      <c r="AB505" s="4">
        <f>$K$505*$V$505</f>
        <v>62410.32</v>
      </c>
      <c r="AC505" s="4">
        <f>$M$505*$W$505</f>
        <v>1204.11735</v>
      </c>
      <c r="AD505" s="4">
        <f>$O$505*$X$505</f>
        <v>0</v>
      </c>
      <c r="AE505" s="4">
        <f ca="1">$K$505*$Y$505</f>
        <v>75695.112813083833</v>
      </c>
      <c r="AF505" s="4">
        <f ca="1">$M$505*$Z$505</f>
        <v>1391.4037828350579</v>
      </c>
      <c r="AG505" s="4">
        <f>$O$505*$AA$505</f>
        <v>0</v>
      </c>
    </row>
    <row r="506" spans="1:33" ht="11.25" customHeight="1" x14ac:dyDescent="0.25">
      <c r="A506" s="3" t="s">
        <v>21</v>
      </c>
      <c r="B506" s="3" t="s">
        <v>41</v>
      </c>
      <c r="C506" s="3" t="s">
        <v>61</v>
      </c>
      <c r="D506" s="3" t="s">
        <v>25</v>
      </c>
      <c r="E506" s="3" t="s">
        <v>25</v>
      </c>
      <c r="F506" s="3" t="s">
        <v>64</v>
      </c>
      <c r="G506" s="3" t="s">
        <v>68</v>
      </c>
      <c r="H506" s="3" t="s">
        <v>34</v>
      </c>
      <c r="I506" s="6">
        <v>44317</v>
      </c>
      <c r="J506" s="4">
        <v>1990</v>
      </c>
      <c r="K506" s="16">
        <f>J506*(1-SUMIFS(CUSTOS!$T$40:$T$100,CUSTOS!$O$40:$O$100,EFEITO!G506,CUSTOS!$S$40:$S$100,EFEITO!B506,CUSTOS!$R$40:$R$100,"Potência"))</f>
        <v>1990</v>
      </c>
      <c r="L506" s="4">
        <v>108.497</v>
      </c>
      <c r="M506" s="16">
        <f>L506*(1-SUMIFS(CUSTOS!$T$40:$T$100,CUSTOS!$O$40:$O$100,EFEITO!G506,CUSTOS!$S$40:$S$100,EFEITO!B506,CUSTOS!$R$40:$R$100,"Potência"))</f>
        <v>108.497</v>
      </c>
      <c r="N506" s="4">
        <v>0</v>
      </c>
      <c r="O506" s="16">
        <f>N506*(1-SUMIFS(CUSTOS!$T$40:$T$100,CUSTOS!$O$40:$O$100,EFEITO!G506,CUSTOS!$S$40:$S$100,EFEITO!B506,CUSTOS!$R$40:$R$100,"Energia"))</f>
        <v>0</v>
      </c>
      <c r="P506" s="4">
        <v>0</v>
      </c>
      <c r="Q506" s="3" t="s">
        <v>66</v>
      </c>
      <c r="R506" s="3">
        <v>5377</v>
      </c>
      <c r="S506" s="4">
        <v>13</v>
      </c>
      <c r="T506" s="4">
        <v>15</v>
      </c>
      <c r="U506" s="4">
        <v>0</v>
      </c>
      <c r="V506" s="4">
        <f>IF(ISERROR(VLOOKUP($S$506,'TAR FIN'!$A$1:$O$113,15,0)),0,VLOOKUP($S$506,'TAR FIN'!$A$1:$O$113,15,0))</f>
        <v>29.89</v>
      </c>
      <c r="W506" s="4">
        <f>IF(ISERROR(VLOOKUP($T$506,'TAR FIN'!$A$1:$O$113,15,0)),0,VLOOKUP($T$506,'TAR FIN'!$A$1:$O$113,15,0))</f>
        <v>9.65</v>
      </c>
      <c r="X506" s="4">
        <f>IF(ISERROR(VLOOKUP($U$506,'TAR FIN'!$A$1:$O$113,15,0)),0,VLOOKUP($U$506,'TAR FIN'!$A$1:$O$113,15,0))</f>
        <v>0</v>
      </c>
      <c r="Y506" s="4">
        <f ca="1">('TUSD BE'!$AM$17+'TUSD BF'!$AM$17+'TUSD CVA'!$AM$17)*1</f>
        <v>36.252448665270038</v>
      </c>
      <c r="Z506" s="4">
        <f ca="1">('TUSD BE'!$AM$19+'TUSD BF'!$AM$19+'TUSD CVA'!$AM$19)*1</f>
        <v>11.150945133676805</v>
      </c>
      <c r="AA506" s="4">
        <f>('TE BE'!$AA$14+'TE BF'!$AA$14+'TE CVA'!$AA$14)*1</f>
        <v>253.57775100318744</v>
      </c>
      <c r="AB506" s="4">
        <f>$K$506*$V$506</f>
        <v>59481.1</v>
      </c>
      <c r="AC506" s="4">
        <f>$M$506*$W$506</f>
        <v>1046.99605</v>
      </c>
      <c r="AD506" s="4">
        <f>$O$506*$X$506</f>
        <v>0</v>
      </c>
      <c r="AE506" s="4">
        <f ca="1">$K$506*$Y$506</f>
        <v>72142.37284388738</v>
      </c>
      <c r="AF506" s="4">
        <f ca="1">$M$506*$Z$506</f>
        <v>1209.8440941685324</v>
      </c>
      <c r="AG506" s="4">
        <f>$O$506*$AA$506</f>
        <v>0</v>
      </c>
    </row>
    <row r="507" spans="1:33" ht="11.25" customHeight="1" x14ac:dyDescent="0.25">
      <c r="A507" s="3" t="s">
        <v>21</v>
      </c>
      <c r="B507" s="3" t="s">
        <v>41</v>
      </c>
      <c r="C507" s="3" t="s">
        <v>61</v>
      </c>
      <c r="D507" s="3" t="s">
        <v>25</v>
      </c>
      <c r="E507" s="3" t="s">
        <v>25</v>
      </c>
      <c r="F507" s="3" t="s">
        <v>64</v>
      </c>
      <c r="G507" s="3" t="s">
        <v>68</v>
      </c>
      <c r="H507" s="3" t="s">
        <v>34</v>
      </c>
      <c r="I507" s="6">
        <v>44348</v>
      </c>
      <c r="J507" s="4">
        <v>2049</v>
      </c>
      <c r="K507" s="16">
        <f>J507*(1-SUMIFS(CUSTOS!$T$40:$T$100,CUSTOS!$O$40:$O$100,EFEITO!G507,CUSTOS!$S$40:$S$100,EFEITO!B507,CUSTOS!$R$40:$R$100,"Potência"))</f>
        <v>2049</v>
      </c>
      <c r="L507" s="4">
        <v>114.601</v>
      </c>
      <c r="M507" s="16">
        <f>L507*(1-SUMIFS(CUSTOS!$T$40:$T$100,CUSTOS!$O$40:$O$100,EFEITO!G507,CUSTOS!$S$40:$S$100,EFEITO!B507,CUSTOS!$R$40:$R$100,"Potência"))</f>
        <v>114.601</v>
      </c>
      <c r="N507" s="4">
        <v>0</v>
      </c>
      <c r="O507" s="16">
        <f>N507*(1-SUMIFS(CUSTOS!$T$40:$T$100,CUSTOS!$O$40:$O$100,EFEITO!G507,CUSTOS!$S$40:$S$100,EFEITO!B507,CUSTOS!$R$40:$R$100,"Energia"))</f>
        <v>0</v>
      </c>
      <c r="P507" s="4">
        <v>0</v>
      </c>
      <c r="Q507" s="3" t="s">
        <v>66</v>
      </c>
      <c r="R507" s="3">
        <v>5377</v>
      </c>
      <c r="S507" s="4">
        <v>13</v>
      </c>
      <c r="T507" s="4">
        <v>15</v>
      </c>
      <c r="U507" s="4">
        <v>0</v>
      </c>
      <c r="V507" s="4">
        <f>IF(ISERROR(VLOOKUP($S$507,'TAR FIN'!$A$1:$O$113,15,0)),0,VLOOKUP($S$507,'TAR FIN'!$A$1:$O$113,15,0))</f>
        <v>29.89</v>
      </c>
      <c r="W507" s="4">
        <f>IF(ISERROR(VLOOKUP($T$507,'TAR FIN'!$A$1:$O$113,15,0)),0,VLOOKUP($T$507,'TAR FIN'!$A$1:$O$113,15,0))</f>
        <v>9.65</v>
      </c>
      <c r="X507" s="4">
        <f>IF(ISERROR(VLOOKUP($U$507,'TAR FIN'!$A$1:$O$113,15,0)),0,VLOOKUP($U$507,'TAR FIN'!$A$1:$O$113,15,0))</f>
        <v>0</v>
      </c>
      <c r="Y507" s="4">
        <f ca="1">('TUSD BE'!$AM$17+'TUSD BF'!$AM$17+'TUSD CVA'!$AM$17)*1</f>
        <v>36.252448665270038</v>
      </c>
      <c r="Z507" s="4">
        <f ca="1">('TUSD BE'!$AM$19+'TUSD BF'!$AM$19+'TUSD CVA'!$AM$19)*1</f>
        <v>11.150945133676805</v>
      </c>
      <c r="AA507" s="4">
        <f>('TE BE'!$AA$14+'TE BF'!$AA$14+'TE CVA'!$AA$14)*1</f>
        <v>253.57775100318744</v>
      </c>
      <c r="AB507" s="4">
        <f>$K$507*$V$507</f>
        <v>61244.61</v>
      </c>
      <c r="AC507" s="4">
        <f>$M$507*$W$507</f>
        <v>1105.8996500000001</v>
      </c>
      <c r="AD507" s="4">
        <f>$O$507*$X$507</f>
        <v>0</v>
      </c>
      <c r="AE507" s="4">
        <f ca="1">$K$507*$Y$507</f>
        <v>74281.267315138306</v>
      </c>
      <c r="AF507" s="4">
        <f ca="1">$M$507*$Z$507</f>
        <v>1277.9094632644956</v>
      </c>
      <c r="AG507" s="4">
        <f>$O$507*$AA$507</f>
        <v>0</v>
      </c>
    </row>
    <row r="508" spans="1:33" ht="11.25" customHeight="1" x14ac:dyDescent="0.25">
      <c r="A508" s="3" t="s">
        <v>21</v>
      </c>
      <c r="B508" s="3" t="s">
        <v>41</v>
      </c>
      <c r="C508" s="3" t="s">
        <v>61</v>
      </c>
      <c r="D508" s="3" t="s">
        <v>25</v>
      </c>
      <c r="E508" s="3" t="s">
        <v>25</v>
      </c>
      <c r="F508" s="3" t="s">
        <v>64</v>
      </c>
      <c r="G508" s="3" t="s">
        <v>68</v>
      </c>
      <c r="H508" s="3" t="s">
        <v>34</v>
      </c>
      <c r="I508" s="6">
        <v>44378</v>
      </c>
      <c r="J508" s="4">
        <v>1994</v>
      </c>
      <c r="K508" s="16">
        <f>J508*(1-SUMIFS(CUSTOS!$T$40:$T$100,CUSTOS!$O$40:$O$100,EFEITO!G508,CUSTOS!$S$40:$S$100,EFEITO!B508,CUSTOS!$R$40:$R$100,"Potência"))</f>
        <v>1994</v>
      </c>
      <c r="L508" s="4">
        <v>115.446</v>
      </c>
      <c r="M508" s="16">
        <f>L508*(1-SUMIFS(CUSTOS!$T$40:$T$100,CUSTOS!$O$40:$O$100,EFEITO!G508,CUSTOS!$S$40:$S$100,EFEITO!B508,CUSTOS!$R$40:$R$100,"Potência"))</f>
        <v>115.446</v>
      </c>
      <c r="N508" s="4">
        <v>0</v>
      </c>
      <c r="O508" s="16">
        <f>N508*(1-SUMIFS(CUSTOS!$T$40:$T$100,CUSTOS!$O$40:$O$100,EFEITO!G508,CUSTOS!$S$40:$S$100,EFEITO!B508,CUSTOS!$R$40:$R$100,"Energia"))</f>
        <v>0</v>
      </c>
      <c r="P508" s="4">
        <v>0</v>
      </c>
      <c r="Q508" s="3" t="s">
        <v>66</v>
      </c>
      <c r="R508" s="3">
        <v>5377</v>
      </c>
      <c r="S508" s="4">
        <v>13</v>
      </c>
      <c r="T508" s="4">
        <v>15</v>
      </c>
      <c r="U508" s="4">
        <v>0</v>
      </c>
      <c r="V508" s="4">
        <f>IF(ISERROR(VLOOKUP($S$508,'TAR FIN'!$A$1:$O$113,15,0)),0,VLOOKUP($S$508,'TAR FIN'!$A$1:$O$113,15,0))</f>
        <v>29.89</v>
      </c>
      <c r="W508" s="4">
        <f>IF(ISERROR(VLOOKUP($T$508,'TAR FIN'!$A$1:$O$113,15,0)),0,VLOOKUP($T$508,'TAR FIN'!$A$1:$O$113,15,0))</f>
        <v>9.65</v>
      </c>
      <c r="X508" s="4">
        <f>IF(ISERROR(VLOOKUP($U$508,'TAR FIN'!$A$1:$O$113,15,0)),0,VLOOKUP($U$508,'TAR FIN'!$A$1:$O$113,15,0))</f>
        <v>0</v>
      </c>
      <c r="Y508" s="4">
        <f ca="1">('TUSD BE'!$AM$17+'TUSD BF'!$AM$17+'TUSD CVA'!$AM$17)*1</f>
        <v>36.252448665270038</v>
      </c>
      <c r="Z508" s="4">
        <f ca="1">('TUSD BE'!$AM$19+'TUSD BF'!$AM$19+'TUSD CVA'!$AM$19)*1</f>
        <v>11.150945133676805</v>
      </c>
      <c r="AA508" s="4">
        <f>('TE BE'!$AA$14+'TE BF'!$AA$14+'TE CVA'!$AA$14)*1</f>
        <v>253.57775100318744</v>
      </c>
      <c r="AB508" s="4">
        <f>$K$508*$V$508</f>
        <v>59600.66</v>
      </c>
      <c r="AC508" s="4">
        <f>$M$508*$W$508</f>
        <v>1114.0539000000001</v>
      </c>
      <c r="AD508" s="4">
        <f>$O$508*$X$508</f>
        <v>0</v>
      </c>
      <c r="AE508" s="4">
        <f ca="1">$K$508*$Y$508</f>
        <v>72287.382638548457</v>
      </c>
      <c r="AF508" s="4">
        <f ca="1">$M$508*$Z$508</f>
        <v>1287.3320119024525</v>
      </c>
      <c r="AG508" s="4">
        <f>$O$508*$AA$508</f>
        <v>0</v>
      </c>
    </row>
    <row r="509" spans="1:33" ht="11.25" customHeight="1" x14ac:dyDescent="0.25">
      <c r="A509" s="3" t="s">
        <v>21</v>
      </c>
      <c r="B509" s="3" t="s">
        <v>41</v>
      </c>
      <c r="C509" s="3" t="s">
        <v>61</v>
      </c>
      <c r="D509" s="3" t="s">
        <v>25</v>
      </c>
      <c r="E509" s="3" t="s">
        <v>25</v>
      </c>
      <c r="F509" s="3" t="s">
        <v>64</v>
      </c>
      <c r="G509" s="3" t="s">
        <v>68</v>
      </c>
      <c r="H509" s="3" t="s">
        <v>34</v>
      </c>
      <c r="I509" s="6">
        <v>44409</v>
      </c>
      <c r="J509" s="4">
        <v>2004</v>
      </c>
      <c r="K509" s="16">
        <f>J509*(1-SUMIFS(CUSTOS!$T$40:$T$100,CUSTOS!$O$40:$O$100,EFEITO!G509,CUSTOS!$S$40:$S$100,EFEITO!B509,CUSTOS!$R$40:$R$100,"Potência"))</f>
        <v>2004</v>
      </c>
      <c r="L509" s="4">
        <v>119.52800000000001</v>
      </c>
      <c r="M509" s="16">
        <f>L509*(1-SUMIFS(CUSTOS!$T$40:$T$100,CUSTOS!$O$40:$O$100,EFEITO!G509,CUSTOS!$S$40:$S$100,EFEITO!B509,CUSTOS!$R$40:$R$100,"Potência"))</f>
        <v>119.52800000000001</v>
      </c>
      <c r="N509" s="4">
        <v>0</v>
      </c>
      <c r="O509" s="16">
        <f>N509*(1-SUMIFS(CUSTOS!$T$40:$T$100,CUSTOS!$O$40:$O$100,EFEITO!G509,CUSTOS!$S$40:$S$100,EFEITO!B509,CUSTOS!$R$40:$R$100,"Energia"))</f>
        <v>0</v>
      </c>
      <c r="P509" s="4">
        <v>0</v>
      </c>
      <c r="Q509" s="3" t="s">
        <v>66</v>
      </c>
      <c r="R509" s="3">
        <v>5377</v>
      </c>
      <c r="S509" s="4">
        <v>13</v>
      </c>
      <c r="T509" s="4">
        <v>15</v>
      </c>
      <c r="U509" s="4">
        <v>0</v>
      </c>
      <c r="V509" s="4">
        <f>IF(ISERROR(VLOOKUP($S$509,'TAR FIN'!$A$1:$O$113,15,0)),0,VLOOKUP($S$509,'TAR FIN'!$A$1:$O$113,15,0))</f>
        <v>29.89</v>
      </c>
      <c r="W509" s="4">
        <f>IF(ISERROR(VLOOKUP($T$509,'TAR FIN'!$A$1:$O$113,15,0)),0,VLOOKUP($T$509,'TAR FIN'!$A$1:$O$113,15,0))</f>
        <v>9.65</v>
      </c>
      <c r="X509" s="4">
        <f>IF(ISERROR(VLOOKUP($U$509,'TAR FIN'!$A$1:$O$113,15,0)),0,VLOOKUP($U$509,'TAR FIN'!$A$1:$O$113,15,0))</f>
        <v>0</v>
      </c>
      <c r="Y509" s="4">
        <f ca="1">('TUSD BE'!$AM$17+'TUSD BF'!$AM$17+'TUSD CVA'!$AM$17)*1</f>
        <v>36.252448665270038</v>
      </c>
      <c r="Z509" s="4">
        <f ca="1">('TUSD BE'!$AM$19+'TUSD BF'!$AM$19+'TUSD CVA'!$AM$19)*1</f>
        <v>11.150945133676805</v>
      </c>
      <c r="AA509" s="4">
        <f>('TE BE'!$AA$14+'TE BF'!$AA$14+'TE CVA'!$AA$14)*1</f>
        <v>253.57775100318744</v>
      </c>
      <c r="AB509" s="4">
        <f>$K$509*$V$509</f>
        <v>59899.56</v>
      </c>
      <c r="AC509" s="4">
        <f>$M$509*$W$509</f>
        <v>1153.4452000000001</v>
      </c>
      <c r="AD509" s="4">
        <f>$O$509*$X$509</f>
        <v>0</v>
      </c>
      <c r="AE509" s="4">
        <f ca="1">$K$509*$Y$509</f>
        <v>72649.907125201149</v>
      </c>
      <c r="AF509" s="4">
        <f ca="1">$M$509*$Z$509</f>
        <v>1332.8501699381211</v>
      </c>
      <c r="AG509" s="4">
        <f>$O$509*$AA$509</f>
        <v>0</v>
      </c>
    </row>
    <row r="510" spans="1:33" ht="11.25" customHeight="1" x14ac:dyDescent="0.25">
      <c r="A510" s="3" t="s">
        <v>21</v>
      </c>
      <c r="B510" s="3" t="s">
        <v>41</v>
      </c>
      <c r="C510" s="3" t="s">
        <v>61</v>
      </c>
      <c r="D510" s="3" t="s">
        <v>25</v>
      </c>
      <c r="E510" s="3" t="s">
        <v>25</v>
      </c>
      <c r="F510" s="3" t="s">
        <v>64</v>
      </c>
      <c r="G510" s="3" t="s">
        <v>68</v>
      </c>
      <c r="H510" s="3" t="s">
        <v>34</v>
      </c>
      <c r="I510" s="6">
        <v>44440</v>
      </c>
      <c r="J510" s="4">
        <v>2038</v>
      </c>
      <c r="K510" s="16">
        <f>J510*(1-SUMIFS(CUSTOS!$T$40:$T$100,CUSTOS!$O$40:$O$100,EFEITO!G510,CUSTOS!$S$40:$S$100,EFEITO!B510,CUSTOS!$R$40:$R$100,"Potência"))</f>
        <v>2038</v>
      </c>
      <c r="L510" s="4">
        <v>121.212</v>
      </c>
      <c r="M510" s="16">
        <f>L510*(1-SUMIFS(CUSTOS!$T$40:$T$100,CUSTOS!$O$40:$O$100,EFEITO!G510,CUSTOS!$S$40:$S$100,EFEITO!B510,CUSTOS!$R$40:$R$100,"Potência"))</f>
        <v>121.212</v>
      </c>
      <c r="N510" s="4">
        <v>0</v>
      </c>
      <c r="O510" s="16">
        <f>N510*(1-SUMIFS(CUSTOS!$T$40:$T$100,CUSTOS!$O$40:$O$100,EFEITO!G510,CUSTOS!$S$40:$S$100,EFEITO!B510,CUSTOS!$R$40:$R$100,"Energia"))</f>
        <v>0</v>
      </c>
      <c r="P510" s="4">
        <v>0</v>
      </c>
      <c r="Q510" s="3" t="s">
        <v>66</v>
      </c>
      <c r="R510" s="3">
        <v>5377</v>
      </c>
      <c r="S510" s="4">
        <v>13</v>
      </c>
      <c r="T510" s="4">
        <v>15</v>
      </c>
      <c r="U510" s="4">
        <v>0</v>
      </c>
      <c r="V510" s="4">
        <f>IF(ISERROR(VLOOKUP($S$510,'TAR FIN'!$A$1:$O$113,15,0)),0,VLOOKUP($S$510,'TAR FIN'!$A$1:$O$113,15,0))</f>
        <v>29.89</v>
      </c>
      <c r="W510" s="4">
        <f>IF(ISERROR(VLOOKUP($T$510,'TAR FIN'!$A$1:$O$113,15,0)),0,VLOOKUP($T$510,'TAR FIN'!$A$1:$O$113,15,0))</f>
        <v>9.65</v>
      </c>
      <c r="X510" s="4">
        <f>IF(ISERROR(VLOOKUP($U$510,'TAR FIN'!$A$1:$O$113,15,0)),0,VLOOKUP($U$510,'TAR FIN'!$A$1:$O$113,15,0))</f>
        <v>0</v>
      </c>
      <c r="Y510" s="4">
        <f ca="1">('TUSD BE'!$AM$17+'TUSD BF'!$AM$17+'TUSD CVA'!$AM$17)*1</f>
        <v>36.252448665270038</v>
      </c>
      <c r="Z510" s="4">
        <f ca="1">('TUSD BE'!$AM$19+'TUSD BF'!$AM$19+'TUSD CVA'!$AM$19)*1</f>
        <v>11.150945133676805</v>
      </c>
      <c r="AA510" s="4">
        <f>('TE BE'!$AA$14+'TE BF'!$AA$14+'TE CVA'!$AA$14)*1</f>
        <v>253.57775100318744</v>
      </c>
      <c r="AB510" s="4">
        <f>$K$510*$V$510</f>
        <v>60915.82</v>
      </c>
      <c r="AC510" s="4">
        <f>$M$510*$W$510</f>
        <v>1169.6958</v>
      </c>
      <c r="AD510" s="4">
        <f>$O$510*$X$510</f>
        <v>0</v>
      </c>
      <c r="AE510" s="4">
        <f ca="1">$K$510*$Y$510</f>
        <v>73882.49037982033</v>
      </c>
      <c r="AF510" s="4">
        <f ca="1">$M$510*$Z$510</f>
        <v>1351.6283615432328</v>
      </c>
      <c r="AG510" s="4">
        <f>$O$510*$AA$510</f>
        <v>0</v>
      </c>
    </row>
    <row r="511" spans="1:33" ht="11.25" customHeight="1" x14ac:dyDescent="0.25">
      <c r="A511" s="3" t="s">
        <v>21</v>
      </c>
      <c r="B511" s="3" t="s">
        <v>41</v>
      </c>
      <c r="C511" s="3" t="s">
        <v>61</v>
      </c>
      <c r="D511" s="3" t="s">
        <v>25</v>
      </c>
      <c r="E511" s="3" t="s">
        <v>25</v>
      </c>
      <c r="F511" s="3" t="s">
        <v>64</v>
      </c>
      <c r="G511" s="3" t="s">
        <v>68</v>
      </c>
      <c r="H511" s="3" t="s">
        <v>34</v>
      </c>
      <c r="I511" s="6">
        <v>44470</v>
      </c>
      <c r="J511" s="4">
        <v>2058</v>
      </c>
      <c r="K511" s="16">
        <f>J511*(1-SUMIFS(CUSTOS!$T$40:$T$100,CUSTOS!$O$40:$O$100,EFEITO!G511,CUSTOS!$S$40:$S$100,EFEITO!B511,CUSTOS!$R$40:$R$100,"Potência"))</f>
        <v>2058</v>
      </c>
      <c r="L511" s="4">
        <v>117.648</v>
      </c>
      <c r="M511" s="16">
        <f>L511*(1-SUMIFS(CUSTOS!$T$40:$T$100,CUSTOS!$O$40:$O$100,EFEITO!G511,CUSTOS!$S$40:$S$100,EFEITO!B511,CUSTOS!$R$40:$R$100,"Potência"))</f>
        <v>117.648</v>
      </c>
      <c r="N511" s="4">
        <v>0</v>
      </c>
      <c r="O511" s="16">
        <f>N511*(1-SUMIFS(CUSTOS!$T$40:$T$100,CUSTOS!$O$40:$O$100,EFEITO!G511,CUSTOS!$S$40:$S$100,EFEITO!B511,CUSTOS!$R$40:$R$100,"Energia"))</f>
        <v>0</v>
      </c>
      <c r="P511" s="4">
        <v>0</v>
      </c>
      <c r="Q511" s="3" t="s">
        <v>66</v>
      </c>
      <c r="R511" s="3">
        <v>5377</v>
      </c>
      <c r="S511" s="4">
        <v>13</v>
      </c>
      <c r="T511" s="4">
        <v>15</v>
      </c>
      <c r="U511" s="4">
        <v>0</v>
      </c>
      <c r="V511" s="4">
        <f>IF(ISERROR(VLOOKUP($S$511,'TAR FIN'!$A$1:$O$113,15,0)),0,VLOOKUP($S$511,'TAR FIN'!$A$1:$O$113,15,0))</f>
        <v>29.89</v>
      </c>
      <c r="W511" s="4">
        <f>IF(ISERROR(VLOOKUP($T$511,'TAR FIN'!$A$1:$O$113,15,0)),0,VLOOKUP($T$511,'TAR FIN'!$A$1:$O$113,15,0))</f>
        <v>9.65</v>
      </c>
      <c r="X511" s="4">
        <f>IF(ISERROR(VLOOKUP($U$511,'TAR FIN'!$A$1:$O$113,15,0)),0,VLOOKUP($U$511,'TAR FIN'!$A$1:$O$113,15,0))</f>
        <v>0</v>
      </c>
      <c r="Y511" s="4">
        <f ca="1">('TUSD BE'!$AM$17+'TUSD BF'!$AM$17+'TUSD CVA'!$AM$17)*1</f>
        <v>36.252448665270038</v>
      </c>
      <c r="Z511" s="4">
        <f ca="1">('TUSD BE'!$AM$19+'TUSD BF'!$AM$19+'TUSD CVA'!$AM$19)*1</f>
        <v>11.150945133676805</v>
      </c>
      <c r="AA511" s="4">
        <f>('TE BE'!$AA$14+'TE BF'!$AA$14+'TE CVA'!$AA$14)*1</f>
        <v>253.57775100318744</v>
      </c>
      <c r="AB511" s="4">
        <f>$K$511*$V$511</f>
        <v>61513.62</v>
      </c>
      <c r="AC511" s="4">
        <f>$M$511*$W$511</f>
        <v>1135.3032000000001</v>
      </c>
      <c r="AD511" s="4">
        <f>$O$511*$X$511</f>
        <v>0</v>
      </c>
      <c r="AE511" s="4">
        <f ca="1">$K$511*$Y$511</f>
        <v>74607.539353125743</v>
      </c>
      <c r="AF511" s="4">
        <f ca="1">$M$511*$Z$511</f>
        <v>1311.8863930868088</v>
      </c>
      <c r="AG511" s="4">
        <f>$O$511*$AA$511</f>
        <v>0</v>
      </c>
    </row>
    <row r="512" spans="1:33" ht="11.25" customHeight="1" x14ac:dyDescent="0.25">
      <c r="A512" s="3" t="s">
        <v>21</v>
      </c>
      <c r="B512" s="3" t="s">
        <v>41</v>
      </c>
      <c r="C512" s="3" t="s">
        <v>61</v>
      </c>
      <c r="D512" s="3" t="s">
        <v>25</v>
      </c>
      <c r="E512" s="3" t="s">
        <v>25</v>
      </c>
      <c r="F512" s="3" t="s">
        <v>64</v>
      </c>
      <c r="G512" s="3" t="s">
        <v>68</v>
      </c>
      <c r="H512" s="3" t="s">
        <v>34</v>
      </c>
      <c r="I512" s="6">
        <v>44501</v>
      </c>
      <c r="J512" s="4">
        <v>2051</v>
      </c>
      <c r="K512" s="16">
        <f>J512*(1-SUMIFS(CUSTOS!$T$40:$T$100,CUSTOS!$O$40:$O$100,EFEITO!G512,CUSTOS!$S$40:$S$100,EFEITO!B512,CUSTOS!$R$40:$R$100,"Potência"))</f>
        <v>2051</v>
      </c>
      <c r="L512" s="4">
        <v>115.67400000000001</v>
      </c>
      <c r="M512" s="16">
        <f>L512*(1-SUMIFS(CUSTOS!$T$40:$T$100,CUSTOS!$O$40:$O$100,EFEITO!G512,CUSTOS!$S$40:$S$100,EFEITO!B512,CUSTOS!$R$40:$R$100,"Potência"))</f>
        <v>115.67400000000001</v>
      </c>
      <c r="N512" s="4">
        <v>0</v>
      </c>
      <c r="O512" s="16">
        <f>N512*(1-SUMIFS(CUSTOS!$T$40:$T$100,CUSTOS!$O$40:$O$100,EFEITO!G512,CUSTOS!$S$40:$S$100,EFEITO!B512,CUSTOS!$R$40:$R$100,"Energia"))</f>
        <v>0</v>
      </c>
      <c r="P512" s="4">
        <v>0</v>
      </c>
      <c r="Q512" s="3" t="s">
        <v>66</v>
      </c>
      <c r="R512" s="3">
        <v>5377</v>
      </c>
      <c r="S512" s="4">
        <v>13</v>
      </c>
      <c r="T512" s="4">
        <v>15</v>
      </c>
      <c r="U512" s="4">
        <v>0</v>
      </c>
      <c r="V512" s="4">
        <f>IF(ISERROR(VLOOKUP($S$512,'TAR FIN'!$A$1:$O$113,15,0)),0,VLOOKUP($S$512,'TAR FIN'!$A$1:$O$113,15,0))</f>
        <v>29.89</v>
      </c>
      <c r="W512" s="4">
        <f>IF(ISERROR(VLOOKUP($T$512,'TAR FIN'!$A$1:$O$113,15,0)),0,VLOOKUP($T$512,'TAR FIN'!$A$1:$O$113,15,0))</f>
        <v>9.65</v>
      </c>
      <c r="X512" s="4">
        <f>IF(ISERROR(VLOOKUP($U$512,'TAR FIN'!$A$1:$O$113,15,0)),0,VLOOKUP($U$512,'TAR FIN'!$A$1:$O$113,15,0))</f>
        <v>0</v>
      </c>
      <c r="Y512" s="4">
        <f ca="1">('TUSD BE'!$AM$17+'TUSD BF'!$AM$17+'TUSD CVA'!$AM$17)*1</f>
        <v>36.252448665270038</v>
      </c>
      <c r="Z512" s="4">
        <f ca="1">('TUSD BE'!$AM$19+'TUSD BF'!$AM$19+'TUSD CVA'!$AM$19)*1</f>
        <v>11.150945133676805</v>
      </c>
      <c r="AA512" s="4">
        <f>('TE BE'!$AA$14+'TE BF'!$AA$14+'TE CVA'!$AA$14)*1</f>
        <v>253.57775100318744</v>
      </c>
      <c r="AB512" s="4">
        <f>$K$512*$V$512</f>
        <v>61304.39</v>
      </c>
      <c r="AC512" s="4">
        <f>$M$512*$W$512</f>
        <v>1116.2541000000001</v>
      </c>
      <c r="AD512" s="4">
        <f>$O$512*$X$512</f>
        <v>0</v>
      </c>
      <c r="AE512" s="4">
        <f ca="1">$K$512*$Y$512</f>
        <v>74353.772212468844</v>
      </c>
      <c r="AF512" s="4">
        <f ca="1">$M$512*$Z$512</f>
        <v>1289.8744273929308</v>
      </c>
      <c r="AG512" s="4">
        <f>$O$512*$AA$512</f>
        <v>0</v>
      </c>
    </row>
    <row r="513" spans="1:33" ht="11.25" customHeight="1" x14ac:dyDescent="0.25">
      <c r="A513" s="3" t="s">
        <v>21</v>
      </c>
      <c r="B513" s="3" t="s">
        <v>41</v>
      </c>
      <c r="C513" s="3" t="s">
        <v>61</v>
      </c>
      <c r="D513" s="3" t="s">
        <v>25</v>
      </c>
      <c r="E513" s="3" t="s">
        <v>25</v>
      </c>
      <c r="F513" s="3" t="s">
        <v>64</v>
      </c>
      <c r="G513" s="3" t="s">
        <v>68</v>
      </c>
      <c r="H513" s="3" t="s">
        <v>34</v>
      </c>
      <c r="I513" s="6">
        <v>44531</v>
      </c>
      <c r="J513" s="4">
        <v>2068</v>
      </c>
      <c r="K513" s="16">
        <f>J513*(1-SUMIFS(CUSTOS!$T$40:$T$100,CUSTOS!$O$40:$O$100,EFEITO!G513,CUSTOS!$S$40:$S$100,EFEITO!B513,CUSTOS!$R$40:$R$100,"Potência"))</f>
        <v>2068</v>
      </c>
      <c r="L513" s="4">
        <v>115.57899999999999</v>
      </c>
      <c r="M513" s="16">
        <f>L513*(1-SUMIFS(CUSTOS!$T$40:$T$100,CUSTOS!$O$40:$O$100,EFEITO!G513,CUSTOS!$S$40:$S$100,EFEITO!B513,CUSTOS!$R$40:$R$100,"Potência"))</f>
        <v>115.57899999999999</v>
      </c>
      <c r="N513" s="4">
        <v>0</v>
      </c>
      <c r="O513" s="16">
        <f>N513*(1-SUMIFS(CUSTOS!$T$40:$T$100,CUSTOS!$O$40:$O$100,EFEITO!G513,CUSTOS!$S$40:$S$100,EFEITO!B513,CUSTOS!$R$40:$R$100,"Energia"))</f>
        <v>0</v>
      </c>
      <c r="P513" s="4">
        <v>0</v>
      </c>
      <c r="Q513" s="3" t="s">
        <v>66</v>
      </c>
      <c r="R513" s="3">
        <v>5377</v>
      </c>
      <c r="S513" s="4">
        <v>13</v>
      </c>
      <c r="T513" s="4">
        <v>15</v>
      </c>
      <c r="U513" s="4">
        <v>0</v>
      </c>
      <c r="V513" s="4">
        <f>IF(ISERROR(VLOOKUP($S$513,'TAR FIN'!$A$1:$O$113,15,0)),0,VLOOKUP($S$513,'TAR FIN'!$A$1:$O$113,15,0))</f>
        <v>29.89</v>
      </c>
      <c r="W513" s="4">
        <f>IF(ISERROR(VLOOKUP($T$513,'TAR FIN'!$A$1:$O$113,15,0)),0,VLOOKUP($T$513,'TAR FIN'!$A$1:$O$113,15,0))</f>
        <v>9.65</v>
      </c>
      <c r="X513" s="4">
        <f>IF(ISERROR(VLOOKUP($U$513,'TAR FIN'!$A$1:$O$113,15,0)),0,VLOOKUP($U$513,'TAR FIN'!$A$1:$O$113,15,0))</f>
        <v>0</v>
      </c>
      <c r="Y513" s="4">
        <f ca="1">('TUSD BE'!$AM$17+'TUSD BF'!$AM$17+'TUSD CVA'!$AM$17)*1</f>
        <v>36.252448665270038</v>
      </c>
      <c r="Z513" s="4">
        <f ca="1">('TUSD BE'!$AM$19+'TUSD BF'!$AM$19+'TUSD CVA'!$AM$19)*1</f>
        <v>11.150945133676805</v>
      </c>
      <c r="AA513" s="4">
        <f>('TE BE'!$AA$14+'TE BF'!$AA$14+'TE CVA'!$AA$14)*1</f>
        <v>253.57775100318744</v>
      </c>
      <c r="AB513" s="4">
        <f>$K$513*$V$513</f>
        <v>61812.520000000004</v>
      </c>
      <c r="AC513" s="4">
        <f>$M$513*$W$513</f>
        <v>1115.33735</v>
      </c>
      <c r="AD513" s="4">
        <f>$O$513*$X$513</f>
        <v>0</v>
      </c>
      <c r="AE513" s="4">
        <f ca="1">$K$513*$Y$513</f>
        <v>74970.063839778435</v>
      </c>
      <c r="AF513" s="4">
        <f ca="1">$M$513*$Z$513</f>
        <v>1288.8150876052314</v>
      </c>
      <c r="AG513" s="4">
        <f>$O$513*$AA$513</f>
        <v>0</v>
      </c>
    </row>
    <row r="514" spans="1:33" ht="11.25" customHeight="1" x14ac:dyDescent="0.25">
      <c r="A514" s="3" t="s">
        <v>21</v>
      </c>
      <c r="B514" s="3" t="s">
        <v>41</v>
      </c>
      <c r="C514" s="3" t="s">
        <v>61</v>
      </c>
      <c r="D514" s="3" t="s">
        <v>25</v>
      </c>
      <c r="E514" s="3" t="s">
        <v>25</v>
      </c>
      <c r="F514" s="3" t="s">
        <v>64</v>
      </c>
      <c r="G514" s="3" t="s">
        <v>68</v>
      </c>
      <c r="H514" s="3" t="s">
        <v>34</v>
      </c>
      <c r="I514" s="6">
        <v>44562</v>
      </c>
      <c r="J514" s="4">
        <v>2155</v>
      </c>
      <c r="K514" s="16">
        <f>J514*(1-SUMIFS(CUSTOS!$T$40:$T$100,CUSTOS!$O$40:$O$100,EFEITO!G514,CUSTOS!$S$40:$S$100,EFEITO!B514,CUSTOS!$R$40:$R$100,"Potência"))</f>
        <v>2155</v>
      </c>
      <c r="L514" s="4">
        <v>130.245</v>
      </c>
      <c r="M514" s="16">
        <f>L514*(1-SUMIFS(CUSTOS!$T$40:$T$100,CUSTOS!$O$40:$O$100,EFEITO!G514,CUSTOS!$S$40:$S$100,EFEITO!B514,CUSTOS!$R$40:$R$100,"Potência"))</f>
        <v>130.245</v>
      </c>
      <c r="N514" s="4">
        <v>0</v>
      </c>
      <c r="O514" s="16">
        <f>N514*(1-SUMIFS(CUSTOS!$T$40:$T$100,CUSTOS!$O$40:$O$100,EFEITO!G514,CUSTOS!$S$40:$S$100,EFEITO!B514,CUSTOS!$R$40:$R$100,"Energia"))</f>
        <v>0</v>
      </c>
      <c r="P514" s="4">
        <v>0</v>
      </c>
      <c r="Q514" s="3" t="s">
        <v>66</v>
      </c>
      <c r="R514" s="3">
        <v>5377</v>
      </c>
      <c r="S514" s="4">
        <v>13</v>
      </c>
      <c r="T514" s="4">
        <v>15</v>
      </c>
      <c r="U514" s="4">
        <v>0</v>
      </c>
      <c r="V514" s="4">
        <f>IF(ISERROR(VLOOKUP($S$514,'TAR FIN'!$A$1:$O$113,15,0)),0,VLOOKUP($S$514,'TAR FIN'!$A$1:$O$113,15,0))</f>
        <v>29.89</v>
      </c>
      <c r="W514" s="4">
        <f>IF(ISERROR(VLOOKUP($T$514,'TAR FIN'!$A$1:$O$113,15,0)),0,VLOOKUP($T$514,'TAR FIN'!$A$1:$O$113,15,0))</f>
        <v>9.65</v>
      </c>
      <c r="X514" s="4">
        <f>IF(ISERROR(VLOOKUP($U$514,'TAR FIN'!$A$1:$O$113,15,0)),0,VLOOKUP($U$514,'TAR FIN'!$A$1:$O$113,15,0))</f>
        <v>0</v>
      </c>
      <c r="Y514" s="4">
        <f ca="1">('TUSD BE'!$AM$17+'TUSD BF'!$AM$17+'TUSD CVA'!$AM$17)*1</f>
        <v>36.252448665270038</v>
      </c>
      <c r="Z514" s="4">
        <f ca="1">('TUSD BE'!$AM$19+'TUSD BF'!$AM$19+'TUSD CVA'!$AM$19)*1</f>
        <v>11.150945133676805</v>
      </c>
      <c r="AA514" s="4">
        <f>('TE BE'!$AA$14+'TE BF'!$AA$14+'TE CVA'!$AA$14)*1</f>
        <v>253.57775100318744</v>
      </c>
      <c r="AB514" s="4">
        <f>$K$514*$V$514</f>
        <v>64412.950000000004</v>
      </c>
      <c r="AC514" s="4">
        <f>$M$514*$W$514</f>
        <v>1256.8642500000001</v>
      </c>
      <c r="AD514" s="4">
        <f>$O$514*$X$514</f>
        <v>0</v>
      </c>
      <c r="AE514" s="4">
        <f ca="1">$K$514*$Y$514</f>
        <v>78124.026873656927</v>
      </c>
      <c r="AF514" s="4">
        <f ca="1">$M$514*$Z$514</f>
        <v>1452.3548489357354</v>
      </c>
      <c r="AG514" s="4">
        <f>$O$514*$AA$514</f>
        <v>0</v>
      </c>
    </row>
    <row r="515" spans="1:33" ht="11.25" customHeight="1" x14ac:dyDescent="0.25">
      <c r="A515" s="3" t="s">
        <v>21</v>
      </c>
      <c r="B515" s="3" t="s">
        <v>41</v>
      </c>
      <c r="C515" s="3" t="s">
        <v>61</v>
      </c>
      <c r="D515" s="3" t="s">
        <v>25</v>
      </c>
      <c r="E515" s="3" t="s">
        <v>25</v>
      </c>
      <c r="F515" s="3" t="s">
        <v>64</v>
      </c>
      <c r="G515" s="3" t="s">
        <v>68</v>
      </c>
      <c r="H515" s="3" t="s">
        <v>34</v>
      </c>
      <c r="I515" s="6">
        <v>44593</v>
      </c>
      <c r="J515" s="4">
        <v>2130</v>
      </c>
      <c r="K515" s="16">
        <f>J515*(1-SUMIFS(CUSTOS!$T$40:$T$100,CUSTOS!$O$40:$O$100,EFEITO!G515,CUSTOS!$S$40:$S$100,EFEITO!B515,CUSTOS!$R$40:$R$100,"Potência"))</f>
        <v>2130</v>
      </c>
      <c r="L515" s="4">
        <v>119.048</v>
      </c>
      <c r="M515" s="16">
        <f>L515*(1-SUMIFS(CUSTOS!$T$40:$T$100,CUSTOS!$O$40:$O$100,EFEITO!G515,CUSTOS!$S$40:$S$100,EFEITO!B515,CUSTOS!$R$40:$R$100,"Potência"))</f>
        <v>119.048</v>
      </c>
      <c r="N515" s="4">
        <v>0</v>
      </c>
      <c r="O515" s="16">
        <f>N515*(1-SUMIFS(CUSTOS!$T$40:$T$100,CUSTOS!$O$40:$O$100,EFEITO!G515,CUSTOS!$S$40:$S$100,EFEITO!B515,CUSTOS!$R$40:$R$100,"Energia"))</f>
        <v>0</v>
      </c>
      <c r="P515" s="4">
        <v>0</v>
      </c>
      <c r="Q515" s="3" t="s">
        <v>66</v>
      </c>
      <c r="R515" s="3">
        <v>5377</v>
      </c>
      <c r="S515" s="4">
        <v>13</v>
      </c>
      <c r="T515" s="4">
        <v>15</v>
      </c>
      <c r="U515" s="4">
        <v>0</v>
      </c>
      <c r="V515" s="4">
        <f>IF(ISERROR(VLOOKUP($S$515,'TAR FIN'!$A$1:$O$113,15,0)),0,VLOOKUP($S$515,'TAR FIN'!$A$1:$O$113,15,0))</f>
        <v>29.89</v>
      </c>
      <c r="W515" s="4">
        <f>IF(ISERROR(VLOOKUP($T$515,'TAR FIN'!$A$1:$O$113,15,0)),0,VLOOKUP($T$515,'TAR FIN'!$A$1:$O$113,15,0))</f>
        <v>9.65</v>
      </c>
      <c r="X515" s="4">
        <f>IF(ISERROR(VLOOKUP($U$515,'TAR FIN'!$A$1:$O$113,15,0)),0,VLOOKUP($U$515,'TAR FIN'!$A$1:$O$113,15,0))</f>
        <v>0</v>
      </c>
      <c r="Y515" s="4">
        <f ca="1">('TUSD BE'!$AM$17+'TUSD BF'!$AM$17+'TUSD CVA'!$AM$17)*1</f>
        <v>36.252448665270038</v>
      </c>
      <c r="Z515" s="4">
        <f ca="1">('TUSD BE'!$AM$19+'TUSD BF'!$AM$19+'TUSD CVA'!$AM$19)*1</f>
        <v>11.150945133676805</v>
      </c>
      <c r="AA515" s="4">
        <f>('TE BE'!$AA$14+'TE BF'!$AA$14+'TE CVA'!$AA$14)*1</f>
        <v>253.57775100318744</v>
      </c>
      <c r="AB515" s="4">
        <f>$K$515*$V$515</f>
        <v>63665.700000000004</v>
      </c>
      <c r="AC515" s="4">
        <f>$M$515*$W$515</f>
        <v>1148.8132000000001</v>
      </c>
      <c r="AD515" s="4">
        <f>$O$515*$X$515</f>
        <v>0</v>
      </c>
      <c r="AE515" s="4">
        <f ca="1">$K$515*$Y$515</f>
        <v>77217.715657025183</v>
      </c>
      <c r="AF515" s="4">
        <f ca="1">$M$515*$Z$515</f>
        <v>1327.4977162739563</v>
      </c>
      <c r="AG515" s="4">
        <f>$O$515*$AA$515</f>
        <v>0</v>
      </c>
    </row>
    <row r="516" spans="1:33" ht="11.25" customHeight="1" x14ac:dyDescent="0.25">
      <c r="A516" s="3" t="s">
        <v>56</v>
      </c>
      <c r="B516" s="3" t="s">
        <v>41</v>
      </c>
      <c r="C516" s="3" t="s">
        <v>61</v>
      </c>
      <c r="D516" s="3" t="s">
        <v>25</v>
      </c>
      <c r="E516" s="3" t="s">
        <v>25</v>
      </c>
      <c r="F516" s="3" t="s">
        <v>64</v>
      </c>
      <c r="G516" s="3" t="s">
        <v>68</v>
      </c>
      <c r="H516" s="3" t="s">
        <v>34</v>
      </c>
      <c r="I516" s="6">
        <v>44621</v>
      </c>
      <c r="J516" s="4">
        <v>2130</v>
      </c>
      <c r="K516" s="16">
        <f>J516*(1-SUMIFS(CUSTOS!$T$40:$T$100,CUSTOS!$O$40:$O$100,EFEITO!G516,CUSTOS!$S$40:$S$100,EFEITO!B516,CUSTOS!$R$40:$R$100,"Potência"))</f>
        <v>2130</v>
      </c>
      <c r="L516" s="4">
        <v>119.048</v>
      </c>
      <c r="M516" s="16">
        <f>L516*(1-SUMIFS(CUSTOS!$T$40:$T$100,CUSTOS!$O$40:$O$100,EFEITO!G516,CUSTOS!$S$40:$S$100,EFEITO!B516,CUSTOS!$R$40:$R$100,"Potência"))</f>
        <v>119.048</v>
      </c>
      <c r="N516" s="4">
        <v>0</v>
      </c>
      <c r="O516" s="16">
        <f>N516*(1-SUMIFS(CUSTOS!$T$40:$T$100,CUSTOS!$O$40:$O$100,EFEITO!G516,CUSTOS!$S$40:$S$100,EFEITO!B516,CUSTOS!$R$40:$R$100,"Energia"))</f>
        <v>0</v>
      </c>
      <c r="P516" s="4">
        <v>0</v>
      </c>
      <c r="Q516" s="3" t="s">
        <v>66</v>
      </c>
      <c r="R516" s="3">
        <v>5377</v>
      </c>
      <c r="S516" s="4">
        <v>13</v>
      </c>
      <c r="T516" s="4">
        <v>15</v>
      </c>
      <c r="U516" s="4">
        <v>0</v>
      </c>
      <c r="V516" s="4">
        <f>IF(ISERROR(VLOOKUP($S$516,'TAR FIN'!$A$1:$O$113,15,0)),0,VLOOKUP($S$516,'TAR FIN'!$A$1:$O$113,15,0))</f>
        <v>29.89</v>
      </c>
      <c r="W516" s="4">
        <f>IF(ISERROR(VLOOKUP($T$516,'TAR FIN'!$A$1:$O$113,15,0)),0,VLOOKUP($T$516,'TAR FIN'!$A$1:$O$113,15,0))</f>
        <v>9.65</v>
      </c>
      <c r="X516" s="4">
        <f>IF(ISERROR(VLOOKUP($U$516,'TAR FIN'!$A$1:$O$113,15,0)),0,VLOOKUP($U$516,'TAR FIN'!$A$1:$O$113,15,0))</f>
        <v>0</v>
      </c>
      <c r="Y516" s="4">
        <f ca="1">('TUSD BE'!$AM$17+'TUSD BF'!$AM$17+'TUSD CVA'!$AM$17)*1</f>
        <v>36.252448665270038</v>
      </c>
      <c r="Z516" s="4">
        <f ca="1">('TUSD BE'!$AM$19+'TUSD BF'!$AM$19+'TUSD CVA'!$AM$19)*1</f>
        <v>11.150945133676805</v>
      </c>
      <c r="AA516" s="4">
        <f>('TE BE'!$AA$14+'TE BF'!$AA$14+'TE CVA'!$AA$14)*1</f>
        <v>253.57775100318744</v>
      </c>
      <c r="AB516" s="4">
        <f>$K$516*$V$516</f>
        <v>63665.700000000004</v>
      </c>
      <c r="AC516" s="4">
        <f>$M$516*$W$516</f>
        <v>1148.8132000000001</v>
      </c>
      <c r="AD516" s="4">
        <f>$O$516*$X$516</f>
        <v>0</v>
      </c>
      <c r="AE516" s="4">
        <f ca="1">$K$516*$Y$516</f>
        <v>77217.715657025183</v>
      </c>
      <c r="AF516" s="4">
        <f ca="1">$M$516*$Z$516</f>
        <v>1327.4977162739563</v>
      </c>
      <c r="AG516" s="4">
        <f>$O$516*$AA$516</f>
        <v>0</v>
      </c>
    </row>
    <row r="517" spans="1:33" ht="11.25" customHeight="1" x14ac:dyDescent="0.25">
      <c r="A517" s="3" t="s">
        <v>21</v>
      </c>
      <c r="B517" s="3" t="s">
        <v>41</v>
      </c>
      <c r="C517" s="3" t="s">
        <v>61</v>
      </c>
      <c r="D517" s="3" t="s">
        <v>25</v>
      </c>
      <c r="E517" s="3" t="s">
        <v>25</v>
      </c>
      <c r="F517" s="3" t="s">
        <v>25</v>
      </c>
      <c r="G517" s="3" t="s">
        <v>62</v>
      </c>
      <c r="H517" s="3" t="s">
        <v>35</v>
      </c>
      <c r="I517" s="6">
        <v>44287</v>
      </c>
      <c r="J517" s="4">
        <v>5577</v>
      </c>
      <c r="K517" s="4">
        <v>5577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3" t="s">
        <v>63</v>
      </c>
      <c r="R517" s="3">
        <v>44</v>
      </c>
      <c r="S517" s="4">
        <v>106</v>
      </c>
      <c r="T517" s="4">
        <v>0</v>
      </c>
      <c r="U517" s="4">
        <v>0</v>
      </c>
      <c r="V517" s="4">
        <f>IF(ISERROR(VLOOKUP($S$517,'TAR FIN'!$A$1:$O$113,15,0)),0,VLOOKUP($S$517,'TAR FIN'!$A$1:$O$113,15,0))</f>
        <v>15.06</v>
      </c>
      <c r="W517" s="4">
        <f>IF(ISERROR(VLOOKUP($T$517,'TAR FIN'!$A$1:$O$113,15,0)),0,VLOOKUP($T$517,'TAR FIN'!$A$1:$O$113,15,0))</f>
        <v>0</v>
      </c>
      <c r="X517" s="4">
        <f>IF(ISERROR(VLOOKUP($U$517,'TAR FIN'!$A$1:$O$113,15,0)),0,VLOOKUP($U$517,'TAR FIN'!$A$1:$O$113,15,0))</f>
        <v>0</v>
      </c>
      <c r="Y517" s="4">
        <f ca="1">('TUSD BE'!$AM$24+'TUSD BF'!$AM$24+'TUSD CVA'!$AM$24)*1</f>
        <v>16.481800632175148</v>
      </c>
      <c r="Z517" s="4">
        <f ca="1">('TUSD BE'!$AM$25+'TUSD BF'!$AM$25+'TUSD CVA'!$AM$25)*1</f>
        <v>11.150945133676805</v>
      </c>
      <c r="AA517" s="4"/>
      <c r="AB517" s="4">
        <f>$K$517*$V$517</f>
        <v>83989.62000000001</v>
      </c>
      <c r="AC517" s="4">
        <f>$M$517*$W$517</f>
        <v>0</v>
      </c>
      <c r="AD517" s="4">
        <f>$O$517*$X$517</f>
        <v>0</v>
      </c>
      <c r="AE517" s="4">
        <f ca="1">$K$517*$Y$517</f>
        <v>91919.002125640793</v>
      </c>
      <c r="AF517" s="4">
        <f ca="1">$M$517*$Z$517</f>
        <v>0</v>
      </c>
      <c r="AG517" s="4">
        <f>$O$517*$AA$517</f>
        <v>0</v>
      </c>
    </row>
    <row r="518" spans="1:33" ht="11.25" customHeight="1" x14ac:dyDescent="0.25">
      <c r="A518" s="3" t="s">
        <v>21</v>
      </c>
      <c r="B518" s="3" t="s">
        <v>41</v>
      </c>
      <c r="C518" s="3" t="s">
        <v>61</v>
      </c>
      <c r="D518" s="3" t="s">
        <v>25</v>
      </c>
      <c r="E518" s="3" t="s">
        <v>25</v>
      </c>
      <c r="F518" s="3" t="s">
        <v>25</v>
      </c>
      <c r="G518" s="3" t="s">
        <v>67</v>
      </c>
      <c r="H518" s="3" t="s">
        <v>35</v>
      </c>
      <c r="I518" s="6">
        <v>44287</v>
      </c>
      <c r="J518" s="4">
        <v>6331</v>
      </c>
      <c r="K518" s="4">
        <v>6331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3" t="s">
        <v>63</v>
      </c>
      <c r="R518" s="3">
        <v>47</v>
      </c>
      <c r="S518" s="4">
        <v>18</v>
      </c>
      <c r="T518" s="4">
        <v>0</v>
      </c>
      <c r="U518" s="4">
        <v>0</v>
      </c>
      <c r="V518" s="4">
        <f>IF(ISERROR(VLOOKUP($S$518,'TAR FIN'!$A$1:$O$113,15,0)),0,VLOOKUP($S$518,'TAR FIN'!$A$1:$O$113,15,0))</f>
        <v>15.06</v>
      </c>
      <c r="W518" s="4">
        <f>IF(ISERROR(VLOOKUP($T$518,'TAR FIN'!$A$1:$O$113,15,0)),0,VLOOKUP($T$518,'TAR FIN'!$A$1:$O$113,15,0))</f>
        <v>0</v>
      </c>
      <c r="X518" s="4">
        <f>IF(ISERROR(VLOOKUP($U$518,'TAR FIN'!$A$1:$O$113,15,0)),0,VLOOKUP($U$518,'TAR FIN'!$A$1:$O$113,15,0))</f>
        <v>0</v>
      </c>
      <c r="Y518" s="4">
        <f ca="1">('TUSD BE'!$AM$27+'TUSD BF'!$AM$27+'TUSD CVA'!$AM$27)*1</f>
        <v>16.481800632175148</v>
      </c>
      <c r="Z518" s="4">
        <f ca="1">('TUSD BE'!$AM$28+'TUSD BF'!$AM$28+'TUSD CVA'!$AM$28)*1</f>
        <v>11.150945133676805</v>
      </c>
      <c r="AA518" s="4"/>
      <c r="AB518" s="4">
        <f>$K$518*$V$518</f>
        <v>95344.86</v>
      </c>
      <c r="AC518" s="4">
        <f>$M$518*$W$518</f>
        <v>0</v>
      </c>
      <c r="AD518" s="4">
        <f>$O$518*$X$518</f>
        <v>0</v>
      </c>
      <c r="AE518" s="4">
        <f ca="1">$K$518*$Y$518</f>
        <v>104346.27980230087</v>
      </c>
      <c r="AF518" s="4">
        <f ca="1">$M$518*$Z$518</f>
        <v>0</v>
      </c>
      <c r="AG518" s="4">
        <f>$O$518*$AA$518</f>
        <v>0</v>
      </c>
    </row>
    <row r="519" spans="1:33" ht="11.25" customHeight="1" x14ac:dyDescent="0.25">
      <c r="A519" s="3" t="s">
        <v>21</v>
      </c>
      <c r="B519" s="3" t="s">
        <v>41</v>
      </c>
      <c r="C519" s="3" t="s">
        <v>61</v>
      </c>
      <c r="D519" s="3" t="s">
        <v>25</v>
      </c>
      <c r="E519" s="3" t="s">
        <v>25</v>
      </c>
      <c r="F519" s="3" t="s">
        <v>25</v>
      </c>
      <c r="G519" s="3" t="s">
        <v>62</v>
      </c>
      <c r="H519" s="3" t="s">
        <v>35</v>
      </c>
      <c r="I519" s="6">
        <v>44317</v>
      </c>
      <c r="J519" s="4">
        <v>5577</v>
      </c>
      <c r="K519" s="4">
        <v>5577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3" t="s">
        <v>63</v>
      </c>
      <c r="R519" s="3">
        <v>44</v>
      </c>
      <c r="S519" s="4">
        <v>106</v>
      </c>
      <c r="T519" s="4">
        <v>0</v>
      </c>
      <c r="U519" s="4">
        <v>0</v>
      </c>
      <c r="V519" s="4">
        <f>IF(ISERROR(VLOOKUP($S$519,'TAR FIN'!$A$1:$O$113,15,0)),0,VLOOKUP($S$519,'TAR FIN'!$A$1:$O$113,15,0))</f>
        <v>15.06</v>
      </c>
      <c r="W519" s="4">
        <f>IF(ISERROR(VLOOKUP($T$519,'TAR FIN'!$A$1:$O$113,15,0)),0,VLOOKUP($T$519,'TAR FIN'!$A$1:$O$113,15,0))</f>
        <v>0</v>
      </c>
      <c r="X519" s="4">
        <f>IF(ISERROR(VLOOKUP($U$519,'TAR FIN'!$A$1:$O$113,15,0)),0,VLOOKUP($U$519,'TAR FIN'!$A$1:$O$113,15,0))</f>
        <v>0</v>
      </c>
      <c r="Y519" s="4">
        <f ca="1">('TUSD BE'!$AM$24+'TUSD BF'!$AM$24+'TUSD CVA'!$AM$24)*1</f>
        <v>16.481800632175148</v>
      </c>
      <c r="Z519" s="4">
        <f ca="1">('TUSD BE'!$AM$25+'TUSD BF'!$AM$25+'TUSD CVA'!$AM$25)*1</f>
        <v>11.150945133676805</v>
      </c>
      <c r="AA519" s="4"/>
      <c r="AB519" s="4">
        <f>$K$519*$V$519</f>
        <v>83989.62000000001</v>
      </c>
      <c r="AC519" s="4">
        <f>$M$519*$W$519</f>
        <v>0</v>
      </c>
      <c r="AD519" s="4">
        <f>$O$519*$X$519</f>
        <v>0</v>
      </c>
      <c r="AE519" s="4">
        <f ca="1">$K$519*$Y$519</f>
        <v>91919.002125640793</v>
      </c>
      <c r="AF519" s="4">
        <f ca="1">$M$519*$Z$519</f>
        <v>0</v>
      </c>
      <c r="AG519" s="4">
        <f>$O$519*$AA$519</f>
        <v>0</v>
      </c>
    </row>
    <row r="520" spans="1:33" ht="11.25" customHeight="1" x14ac:dyDescent="0.25">
      <c r="A520" s="3" t="s">
        <v>21</v>
      </c>
      <c r="B520" s="3" t="s">
        <v>41</v>
      </c>
      <c r="C520" s="3" t="s">
        <v>61</v>
      </c>
      <c r="D520" s="3" t="s">
        <v>25</v>
      </c>
      <c r="E520" s="3" t="s">
        <v>25</v>
      </c>
      <c r="F520" s="3" t="s">
        <v>25</v>
      </c>
      <c r="G520" s="3" t="s">
        <v>67</v>
      </c>
      <c r="H520" s="3" t="s">
        <v>35</v>
      </c>
      <c r="I520" s="6">
        <v>44317</v>
      </c>
      <c r="J520" s="4">
        <v>6331</v>
      </c>
      <c r="K520" s="4">
        <v>6331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3" t="s">
        <v>63</v>
      </c>
      <c r="R520" s="3">
        <v>47</v>
      </c>
      <c r="S520" s="4">
        <v>18</v>
      </c>
      <c r="T520" s="4">
        <v>0</v>
      </c>
      <c r="U520" s="4">
        <v>0</v>
      </c>
      <c r="V520" s="4">
        <f>IF(ISERROR(VLOOKUP($S$520,'TAR FIN'!$A$1:$O$113,15,0)),0,VLOOKUP($S$520,'TAR FIN'!$A$1:$O$113,15,0))</f>
        <v>15.06</v>
      </c>
      <c r="W520" s="4">
        <f>IF(ISERROR(VLOOKUP($T$520,'TAR FIN'!$A$1:$O$113,15,0)),0,VLOOKUP($T$520,'TAR FIN'!$A$1:$O$113,15,0))</f>
        <v>0</v>
      </c>
      <c r="X520" s="4">
        <f>IF(ISERROR(VLOOKUP($U$520,'TAR FIN'!$A$1:$O$113,15,0)),0,VLOOKUP($U$520,'TAR FIN'!$A$1:$O$113,15,0))</f>
        <v>0</v>
      </c>
      <c r="Y520" s="4">
        <f ca="1">('TUSD BE'!$AM$27+'TUSD BF'!$AM$27+'TUSD CVA'!$AM$27)*1</f>
        <v>16.481800632175148</v>
      </c>
      <c r="Z520" s="4">
        <f ca="1">('TUSD BE'!$AM$28+'TUSD BF'!$AM$28+'TUSD CVA'!$AM$28)*1</f>
        <v>11.150945133676805</v>
      </c>
      <c r="AA520" s="4"/>
      <c r="AB520" s="4">
        <f>$K$520*$V$520</f>
        <v>95344.86</v>
      </c>
      <c r="AC520" s="4">
        <f>$M$520*$W$520</f>
        <v>0</v>
      </c>
      <c r="AD520" s="4">
        <f>$O$520*$X$520</f>
        <v>0</v>
      </c>
      <c r="AE520" s="4">
        <f ca="1">$K$520*$Y$520</f>
        <v>104346.27980230087</v>
      </c>
      <c r="AF520" s="4">
        <f ca="1">$M$520*$Z$520</f>
        <v>0</v>
      </c>
      <c r="AG520" s="4">
        <f>$O$520*$AA$520</f>
        <v>0</v>
      </c>
    </row>
    <row r="521" spans="1:33" ht="11.25" customHeight="1" x14ac:dyDescent="0.25">
      <c r="A521" s="3" t="s">
        <v>21</v>
      </c>
      <c r="B521" s="3" t="s">
        <v>41</v>
      </c>
      <c r="C521" s="3" t="s">
        <v>61</v>
      </c>
      <c r="D521" s="3" t="s">
        <v>25</v>
      </c>
      <c r="E521" s="3" t="s">
        <v>25</v>
      </c>
      <c r="F521" s="3" t="s">
        <v>25</v>
      </c>
      <c r="G521" s="3" t="s">
        <v>62</v>
      </c>
      <c r="H521" s="3" t="s">
        <v>35</v>
      </c>
      <c r="I521" s="6">
        <v>44348</v>
      </c>
      <c r="J521" s="4">
        <v>5577</v>
      </c>
      <c r="K521" s="4">
        <v>5577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3" t="s">
        <v>63</v>
      </c>
      <c r="R521" s="3">
        <v>44</v>
      </c>
      <c r="S521" s="4">
        <v>106</v>
      </c>
      <c r="T521" s="4">
        <v>0</v>
      </c>
      <c r="U521" s="4">
        <v>0</v>
      </c>
      <c r="V521" s="4">
        <f>IF(ISERROR(VLOOKUP($S$521,'TAR FIN'!$A$1:$O$113,15,0)),0,VLOOKUP($S$521,'TAR FIN'!$A$1:$O$113,15,0))</f>
        <v>15.06</v>
      </c>
      <c r="W521" s="4">
        <f>IF(ISERROR(VLOOKUP($T$521,'TAR FIN'!$A$1:$O$113,15,0)),0,VLOOKUP($T$521,'TAR FIN'!$A$1:$O$113,15,0))</f>
        <v>0</v>
      </c>
      <c r="X521" s="4">
        <f>IF(ISERROR(VLOOKUP($U$521,'TAR FIN'!$A$1:$O$113,15,0)),0,VLOOKUP($U$521,'TAR FIN'!$A$1:$O$113,15,0))</f>
        <v>0</v>
      </c>
      <c r="Y521" s="4">
        <f ca="1">('TUSD BE'!$AM$24+'TUSD BF'!$AM$24+'TUSD CVA'!$AM$24)*1</f>
        <v>16.481800632175148</v>
      </c>
      <c r="Z521" s="4">
        <f ca="1">('TUSD BE'!$AM$25+'TUSD BF'!$AM$25+'TUSD CVA'!$AM$25)*1</f>
        <v>11.150945133676805</v>
      </c>
      <c r="AA521" s="4"/>
      <c r="AB521" s="4">
        <f>$K$521*$V$521</f>
        <v>83989.62000000001</v>
      </c>
      <c r="AC521" s="4">
        <f>$M$521*$W$521</f>
        <v>0</v>
      </c>
      <c r="AD521" s="4">
        <f>$O$521*$X$521</f>
        <v>0</v>
      </c>
      <c r="AE521" s="4">
        <f ca="1">$K$521*$Y$521</f>
        <v>91919.002125640793</v>
      </c>
      <c r="AF521" s="4">
        <f ca="1">$M$521*$Z$521</f>
        <v>0</v>
      </c>
      <c r="AG521" s="4">
        <f>$O$521*$AA$521</f>
        <v>0</v>
      </c>
    </row>
    <row r="522" spans="1:33" ht="11.25" customHeight="1" x14ac:dyDescent="0.25">
      <c r="A522" s="3" t="s">
        <v>21</v>
      </c>
      <c r="B522" s="3" t="s">
        <v>41</v>
      </c>
      <c r="C522" s="3" t="s">
        <v>61</v>
      </c>
      <c r="D522" s="3" t="s">
        <v>25</v>
      </c>
      <c r="E522" s="3" t="s">
        <v>25</v>
      </c>
      <c r="F522" s="3" t="s">
        <v>25</v>
      </c>
      <c r="G522" s="3" t="s">
        <v>67</v>
      </c>
      <c r="H522" s="3" t="s">
        <v>35</v>
      </c>
      <c r="I522" s="6">
        <v>44348</v>
      </c>
      <c r="J522" s="4">
        <v>6331</v>
      </c>
      <c r="K522" s="4">
        <v>6331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3" t="s">
        <v>63</v>
      </c>
      <c r="R522" s="3">
        <v>47</v>
      </c>
      <c r="S522" s="4">
        <v>18</v>
      </c>
      <c r="T522" s="4">
        <v>0</v>
      </c>
      <c r="U522" s="4">
        <v>0</v>
      </c>
      <c r="V522" s="4">
        <f>IF(ISERROR(VLOOKUP($S$522,'TAR FIN'!$A$1:$O$113,15,0)),0,VLOOKUP($S$522,'TAR FIN'!$A$1:$O$113,15,0))</f>
        <v>15.06</v>
      </c>
      <c r="W522" s="4">
        <f>IF(ISERROR(VLOOKUP($T$522,'TAR FIN'!$A$1:$O$113,15,0)),0,VLOOKUP($T$522,'TAR FIN'!$A$1:$O$113,15,0))</f>
        <v>0</v>
      </c>
      <c r="X522" s="4">
        <f>IF(ISERROR(VLOOKUP($U$522,'TAR FIN'!$A$1:$O$113,15,0)),0,VLOOKUP($U$522,'TAR FIN'!$A$1:$O$113,15,0))</f>
        <v>0</v>
      </c>
      <c r="Y522" s="4">
        <f ca="1">('TUSD BE'!$AM$27+'TUSD BF'!$AM$27+'TUSD CVA'!$AM$27)*1</f>
        <v>16.481800632175148</v>
      </c>
      <c r="Z522" s="4">
        <f ca="1">('TUSD BE'!$AM$28+'TUSD BF'!$AM$28+'TUSD CVA'!$AM$28)*1</f>
        <v>11.150945133676805</v>
      </c>
      <c r="AA522" s="4"/>
      <c r="AB522" s="4">
        <f>$K$522*$V$522</f>
        <v>95344.86</v>
      </c>
      <c r="AC522" s="4">
        <f>$M$522*$W$522</f>
        <v>0</v>
      </c>
      <c r="AD522" s="4">
        <f>$O$522*$X$522</f>
        <v>0</v>
      </c>
      <c r="AE522" s="4">
        <f ca="1">$K$522*$Y$522</f>
        <v>104346.27980230087</v>
      </c>
      <c r="AF522" s="4">
        <f ca="1">$M$522*$Z$522</f>
        <v>0</v>
      </c>
      <c r="AG522" s="4">
        <f>$O$522*$AA$522</f>
        <v>0</v>
      </c>
    </row>
    <row r="523" spans="1:33" ht="11.25" customHeight="1" x14ac:dyDescent="0.25">
      <c r="A523" s="3" t="s">
        <v>21</v>
      </c>
      <c r="B523" s="3" t="s">
        <v>41</v>
      </c>
      <c r="C523" s="3" t="s">
        <v>61</v>
      </c>
      <c r="D523" s="3" t="s">
        <v>25</v>
      </c>
      <c r="E523" s="3" t="s">
        <v>25</v>
      </c>
      <c r="F523" s="3" t="s">
        <v>25</v>
      </c>
      <c r="G523" s="3" t="s">
        <v>62</v>
      </c>
      <c r="H523" s="3" t="s">
        <v>35</v>
      </c>
      <c r="I523" s="6">
        <v>44378</v>
      </c>
      <c r="J523" s="4">
        <v>5577</v>
      </c>
      <c r="K523" s="4">
        <v>5577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3" t="s">
        <v>63</v>
      </c>
      <c r="R523" s="3">
        <v>44</v>
      </c>
      <c r="S523" s="4">
        <v>106</v>
      </c>
      <c r="T523" s="4">
        <v>0</v>
      </c>
      <c r="U523" s="4">
        <v>0</v>
      </c>
      <c r="V523" s="4">
        <f>IF(ISERROR(VLOOKUP($S$523,'TAR FIN'!$A$1:$O$113,15,0)),0,VLOOKUP($S$523,'TAR FIN'!$A$1:$O$113,15,0))</f>
        <v>15.06</v>
      </c>
      <c r="W523" s="4">
        <f>IF(ISERROR(VLOOKUP($T$523,'TAR FIN'!$A$1:$O$113,15,0)),0,VLOOKUP($T$523,'TAR FIN'!$A$1:$O$113,15,0))</f>
        <v>0</v>
      </c>
      <c r="X523" s="4">
        <f>IF(ISERROR(VLOOKUP($U$523,'TAR FIN'!$A$1:$O$113,15,0)),0,VLOOKUP($U$523,'TAR FIN'!$A$1:$O$113,15,0))</f>
        <v>0</v>
      </c>
      <c r="Y523" s="4">
        <f ca="1">('TUSD BE'!$AM$24+'TUSD BF'!$AM$24+'TUSD CVA'!$AM$24)*1</f>
        <v>16.481800632175148</v>
      </c>
      <c r="Z523" s="4">
        <f ca="1">('TUSD BE'!$AM$25+'TUSD BF'!$AM$25+'TUSD CVA'!$AM$25)*1</f>
        <v>11.150945133676805</v>
      </c>
      <c r="AA523" s="4"/>
      <c r="AB523" s="4">
        <f>$K$523*$V$523</f>
        <v>83989.62000000001</v>
      </c>
      <c r="AC523" s="4">
        <f>$M$523*$W$523</f>
        <v>0</v>
      </c>
      <c r="AD523" s="4">
        <f>$O$523*$X$523</f>
        <v>0</v>
      </c>
      <c r="AE523" s="4">
        <f ca="1">$K$523*$Y$523</f>
        <v>91919.002125640793</v>
      </c>
      <c r="AF523" s="4">
        <f ca="1">$M$523*$Z$523</f>
        <v>0</v>
      </c>
      <c r="AG523" s="4">
        <f>$O$523*$AA$523</f>
        <v>0</v>
      </c>
    </row>
    <row r="524" spans="1:33" ht="11.25" customHeight="1" x14ac:dyDescent="0.25">
      <c r="A524" s="3" t="s">
        <v>21</v>
      </c>
      <c r="B524" s="3" t="s">
        <v>41</v>
      </c>
      <c r="C524" s="3" t="s">
        <v>61</v>
      </c>
      <c r="D524" s="3" t="s">
        <v>25</v>
      </c>
      <c r="E524" s="3" t="s">
        <v>25</v>
      </c>
      <c r="F524" s="3" t="s">
        <v>25</v>
      </c>
      <c r="G524" s="3" t="s">
        <v>67</v>
      </c>
      <c r="H524" s="3" t="s">
        <v>35</v>
      </c>
      <c r="I524" s="6">
        <v>44378</v>
      </c>
      <c r="J524" s="4">
        <v>6331</v>
      </c>
      <c r="K524" s="4">
        <v>6331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3" t="s">
        <v>63</v>
      </c>
      <c r="R524" s="3">
        <v>47</v>
      </c>
      <c r="S524" s="4">
        <v>18</v>
      </c>
      <c r="T524" s="4">
        <v>0</v>
      </c>
      <c r="U524" s="4">
        <v>0</v>
      </c>
      <c r="V524" s="4">
        <f>IF(ISERROR(VLOOKUP($S$524,'TAR FIN'!$A$1:$O$113,15,0)),0,VLOOKUP($S$524,'TAR FIN'!$A$1:$O$113,15,0))</f>
        <v>15.06</v>
      </c>
      <c r="W524" s="4">
        <f>IF(ISERROR(VLOOKUP($T$524,'TAR FIN'!$A$1:$O$113,15,0)),0,VLOOKUP($T$524,'TAR FIN'!$A$1:$O$113,15,0))</f>
        <v>0</v>
      </c>
      <c r="X524" s="4">
        <f>IF(ISERROR(VLOOKUP($U$524,'TAR FIN'!$A$1:$O$113,15,0)),0,VLOOKUP($U$524,'TAR FIN'!$A$1:$O$113,15,0))</f>
        <v>0</v>
      </c>
      <c r="Y524" s="4">
        <f ca="1">('TUSD BE'!$AM$27+'TUSD BF'!$AM$27+'TUSD CVA'!$AM$27)*1</f>
        <v>16.481800632175148</v>
      </c>
      <c r="Z524" s="4">
        <f ca="1">('TUSD BE'!$AM$28+'TUSD BF'!$AM$28+'TUSD CVA'!$AM$28)*1</f>
        <v>11.150945133676805</v>
      </c>
      <c r="AA524" s="4"/>
      <c r="AB524" s="4">
        <f>$K$524*$V$524</f>
        <v>95344.86</v>
      </c>
      <c r="AC524" s="4">
        <f>$M$524*$W$524</f>
        <v>0</v>
      </c>
      <c r="AD524" s="4">
        <f>$O$524*$X$524</f>
        <v>0</v>
      </c>
      <c r="AE524" s="4">
        <f ca="1">$K$524*$Y$524</f>
        <v>104346.27980230087</v>
      </c>
      <c r="AF524" s="4">
        <f ca="1">$M$524*$Z$524</f>
        <v>0</v>
      </c>
      <c r="AG524" s="4">
        <f>$O$524*$AA$524</f>
        <v>0</v>
      </c>
    </row>
    <row r="525" spans="1:33" ht="11.25" customHeight="1" x14ac:dyDescent="0.25">
      <c r="A525" s="3" t="s">
        <v>21</v>
      </c>
      <c r="B525" s="3" t="s">
        <v>41</v>
      </c>
      <c r="C525" s="3" t="s">
        <v>61</v>
      </c>
      <c r="D525" s="3" t="s">
        <v>25</v>
      </c>
      <c r="E525" s="3" t="s">
        <v>25</v>
      </c>
      <c r="F525" s="3" t="s">
        <v>25</v>
      </c>
      <c r="G525" s="3" t="s">
        <v>62</v>
      </c>
      <c r="H525" s="3" t="s">
        <v>35</v>
      </c>
      <c r="I525" s="6">
        <v>44409</v>
      </c>
      <c r="J525" s="4">
        <v>5577</v>
      </c>
      <c r="K525" s="4">
        <v>5577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3" t="s">
        <v>63</v>
      </c>
      <c r="R525" s="3">
        <v>44</v>
      </c>
      <c r="S525" s="4">
        <v>106</v>
      </c>
      <c r="T525" s="4">
        <v>0</v>
      </c>
      <c r="U525" s="4">
        <v>0</v>
      </c>
      <c r="V525" s="4">
        <f>IF(ISERROR(VLOOKUP($S$525,'TAR FIN'!$A$1:$O$113,15,0)),0,VLOOKUP($S$525,'TAR FIN'!$A$1:$O$113,15,0))</f>
        <v>15.06</v>
      </c>
      <c r="W525" s="4">
        <f>IF(ISERROR(VLOOKUP($T$525,'TAR FIN'!$A$1:$O$113,15,0)),0,VLOOKUP($T$525,'TAR FIN'!$A$1:$O$113,15,0))</f>
        <v>0</v>
      </c>
      <c r="X525" s="4">
        <f>IF(ISERROR(VLOOKUP($U$525,'TAR FIN'!$A$1:$O$113,15,0)),0,VLOOKUP($U$525,'TAR FIN'!$A$1:$O$113,15,0))</f>
        <v>0</v>
      </c>
      <c r="Y525" s="4">
        <f ca="1">('TUSD BE'!$AM$24+'TUSD BF'!$AM$24+'TUSD CVA'!$AM$24)*1</f>
        <v>16.481800632175148</v>
      </c>
      <c r="Z525" s="4">
        <f ca="1">('TUSD BE'!$AM$25+'TUSD BF'!$AM$25+'TUSD CVA'!$AM$25)*1</f>
        <v>11.150945133676805</v>
      </c>
      <c r="AA525" s="4"/>
      <c r="AB525" s="4">
        <f>$K$525*$V$525</f>
        <v>83989.62000000001</v>
      </c>
      <c r="AC525" s="4">
        <f>$M$525*$W$525</f>
        <v>0</v>
      </c>
      <c r="AD525" s="4">
        <f>$O$525*$X$525</f>
        <v>0</v>
      </c>
      <c r="AE525" s="4">
        <f ca="1">$K$525*$Y$525</f>
        <v>91919.002125640793</v>
      </c>
      <c r="AF525" s="4">
        <f ca="1">$M$525*$Z$525</f>
        <v>0</v>
      </c>
      <c r="AG525" s="4">
        <f>$O$525*$AA$525</f>
        <v>0</v>
      </c>
    </row>
    <row r="526" spans="1:33" ht="11.25" customHeight="1" x14ac:dyDescent="0.25">
      <c r="A526" s="3" t="s">
        <v>21</v>
      </c>
      <c r="B526" s="3" t="s">
        <v>41</v>
      </c>
      <c r="C526" s="3" t="s">
        <v>61</v>
      </c>
      <c r="D526" s="3" t="s">
        <v>25</v>
      </c>
      <c r="E526" s="3" t="s">
        <v>25</v>
      </c>
      <c r="F526" s="3" t="s">
        <v>25</v>
      </c>
      <c r="G526" s="3" t="s">
        <v>67</v>
      </c>
      <c r="H526" s="3" t="s">
        <v>35</v>
      </c>
      <c r="I526" s="6">
        <v>44409</v>
      </c>
      <c r="J526" s="4">
        <v>6331</v>
      </c>
      <c r="K526" s="4">
        <v>6331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3" t="s">
        <v>63</v>
      </c>
      <c r="R526" s="3">
        <v>47</v>
      </c>
      <c r="S526" s="4">
        <v>18</v>
      </c>
      <c r="T526" s="4">
        <v>0</v>
      </c>
      <c r="U526" s="4">
        <v>0</v>
      </c>
      <c r="V526" s="4">
        <f>IF(ISERROR(VLOOKUP($S$526,'TAR FIN'!$A$1:$O$113,15,0)),0,VLOOKUP($S$526,'TAR FIN'!$A$1:$O$113,15,0))</f>
        <v>15.06</v>
      </c>
      <c r="W526" s="4">
        <f>IF(ISERROR(VLOOKUP($T$526,'TAR FIN'!$A$1:$O$113,15,0)),0,VLOOKUP($T$526,'TAR FIN'!$A$1:$O$113,15,0))</f>
        <v>0</v>
      </c>
      <c r="X526" s="4">
        <f>IF(ISERROR(VLOOKUP($U$526,'TAR FIN'!$A$1:$O$113,15,0)),0,VLOOKUP($U$526,'TAR FIN'!$A$1:$O$113,15,0))</f>
        <v>0</v>
      </c>
      <c r="Y526" s="4">
        <f ca="1">('TUSD BE'!$AM$27+'TUSD BF'!$AM$27+'TUSD CVA'!$AM$27)*1</f>
        <v>16.481800632175148</v>
      </c>
      <c r="Z526" s="4">
        <f ca="1">('TUSD BE'!$AM$28+'TUSD BF'!$AM$28+'TUSD CVA'!$AM$28)*1</f>
        <v>11.150945133676805</v>
      </c>
      <c r="AA526" s="4"/>
      <c r="AB526" s="4">
        <f>$K$526*$V$526</f>
        <v>95344.86</v>
      </c>
      <c r="AC526" s="4">
        <f>$M$526*$W$526</f>
        <v>0</v>
      </c>
      <c r="AD526" s="4">
        <f>$O$526*$X$526</f>
        <v>0</v>
      </c>
      <c r="AE526" s="4">
        <f ca="1">$K$526*$Y$526</f>
        <v>104346.27980230087</v>
      </c>
      <c r="AF526" s="4">
        <f ca="1">$M$526*$Z$526</f>
        <v>0</v>
      </c>
      <c r="AG526" s="4">
        <f>$O$526*$AA$526</f>
        <v>0</v>
      </c>
    </row>
    <row r="527" spans="1:33" ht="11.25" customHeight="1" x14ac:dyDescent="0.25">
      <c r="A527" s="3" t="s">
        <v>21</v>
      </c>
      <c r="B527" s="3" t="s">
        <v>41</v>
      </c>
      <c r="C527" s="3" t="s">
        <v>61</v>
      </c>
      <c r="D527" s="3" t="s">
        <v>25</v>
      </c>
      <c r="E527" s="3" t="s">
        <v>25</v>
      </c>
      <c r="F527" s="3" t="s">
        <v>25</v>
      </c>
      <c r="G527" s="3" t="s">
        <v>62</v>
      </c>
      <c r="H527" s="3" t="s">
        <v>35</v>
      </c>
      <c r="I527" s="6">
        <v>44440</v>
      </c>
      <c r="J527" s="4">
        <v>5577</v>
      </c>
      <c r="K527" s="4">
        <v>5577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3" t="s">
        <v>63</v>
      </c>
      <c r="R527" s="3">
        <v>44</v>
      </c>
      <c r="S527" s="4">
        <v>106</v>
      </c>
      <c r="T527" s="4">
        <v>0</v>
      </c>
      <c r="U527" s="4">
        <v>0</v>
      </c>
      <c r="V527" s="4">
        <f>IF(ISERROR(VLOOKUP($S$527,'TAR FIN'!$A$1:$O$113,15,0)),0,VLOOKUP($S$527,'TAR FIN'!$A$1:$O$113,15,0))</f>
        <v>15.06</v>
      </c>
      <c r="W527" s="4">
        <f>IF(ISERROR(VLOOKUP($T$527,'TAR FIN'!$A$1:$O$113,15,0)),0,VLOOKUP($T$527,'TAR FIN'!$A$1:$O$113,15,0))</f>
        <v>0</v>
      </c>
      <c r="X527" s="4">
        <f>IF(ISERROR(VLOOKUP($U$527,'TAR FIN'!$A$1:$O$113,15,0)),0,VLOOKUP($U$527,'TAR FIN'!$A$1:$O$113,15,0))</f>
        <v>0</v>
      </c>
      <c r="Y527" s="4">
        <f ca="1">('TUSD BE'!$AM$24+'TUSD BF'!$AM$24+'TUSD CVA'!$AM$24)*1</f>
        <v>16.481800632175148</v>
      </c>
      <c r="Z527" s="4">
        <f ca="1">('TUSD BE'!$AM$25+'TUSD BF'!$AM$25+'TUSD CVA'!$AM$25)*1</f>
        <v>11.150945133676805</v>
      </c>
      <c r="AA527" s="4"/>
      <c r="AB527" s="4">
        <f>$K$527*$V$527</f>
        <v>83989.62000000001</v>
      </c>
      <c r="AC527" s="4">
        <f>$M$527*$W$527</f>
        <v>0</v>
      </c>
      <c r="AD527" s="4">
        <f>$O$527*$X$527</f>
        <v>0</v>
      </c>
      <c r="AE527" s="4">
        <f ca="1">$K$527*$Y$527</f>
        <v>91919.002125640793</v>
      </c>
      <c r="AF527" s="4">
        <f ca="1">$M$527*$Z$527</f>
        <v>0</v>
      </c>
      <c r="AG527" s="4">
        <f>$O$527*$AA$527</f>
        <v>0</v>
      </c>
    </row>
    <row r="528" spans="1:33" ht="11.25" customHeight="1" x14ac:dyDescent="0.25">
      <c r="A528" s="3" t="s">
        <v>21</v>
      </c>
      <c r="B528" s="3" t="s">
        <v>41</v>
      </c>
      <c r="C528" s="3" t="s">
        <v>61</v>
      </c>
      <c r="D528" s="3" t="s">
        <v>25</v>
      </c>
      <c r="E528" s="3" t="s">
        <v>25</v>
      </c>
      <c r="F528" s="3" t="s">
        <v>25</v>
      </c>
      <c r="G528" s="3" t="s">
        <v>67</v>
      </c>
      <c r="H528" s="3" t="s">
        <v>35</v>
      </c>
      <c r="I528" s="6">
        <v>44440</v>
      </c>
      <c r="J528" s="4">
        <v>6331</v>
      </c>
      <c r="K528" s="4">
        <v>6331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3" t="s">
        <v>63</v>
      </c>
      <c r="R528" s="3">
        <v>47</v>
      </c>
      <c r="S528" s="4">
        <v>18</v>
      </c>
      <c r="T528" s="4">
        <v>0</v>
      </c>
      <c r="U528" s="4">
        <v>0</v>
      </c>
      <c r="V528" s="4">
        <f>IF(ISERROR(VLOOKUP($S$528,'TAR FIN'!$A$1:$O$113,15,0)),0,VLOOKUP($S$528,'TAR FIN'!$A$1:$O$113,15,0))</f>
        <v>15.06</v>
      </c>
      <c r="W528" s="4">
        <f>IF(ISERROR(VLOOKUP($T$528,'TAR FIN'!$A$1:$O$113,15,0)),0,VLOOKUP($T$528,'TAR FIN'!$A$1:$O$113,15,0))</f>
        <v>0</v>
      </c>
      <c r="X528" s="4">
        <f>IF(ISERROR(VLOOKUP($U$528,'TAR FIN'!$A$1:$O$113,15,0)),0,VLOOKUP($U$528,'TAR FIN'!$A$1:$O$113,15,0))</f>
        <v>0</v>
      </c>
      <c r="Y528" s="4">
        <f ca="1">('TUSD BE'!$AM$27+'TUSD BF'!$AM$27+'TUSD CVA'!$AM$27)*1</f>
        <v>16.481800632175148</v>
      </c>
      <c r="Z528" s="4">
        <f ca="1">('TUSD BE'!$AM$28+'TUSD BF'!$AM$28+'TUSD CVA'!$AM$28)*1</f>
        <v>11.150945133676805</v>
      </c>
      <c r="AA528" s="4"/>
      <c r="AB528" s="4">
        <f>$K$528*$V$528</f>
        <v>95344.86</v>
      </c>
      <c r="AC528" s="4">
        <f>$M$528*$W$528</f>
        <v>0</v>
      </c>
      <c r="AD528" s="4">
        <f>$O$528*$X$528</f>
        <v>0</v>
      </c>
      <c r="AE528" s="4">
        <f ca="1">$K$528*$Y$528</f>
        <v>104346.27980230087</v>
      </c>
      <c r="AF528" s="4">
        <f ca="1">$M$528*$Z$528</f>
        <v>0</v>
      </c>
      <c r="AG528" s="4">
        <f>$O$528*$AA$528</f>
        <v>0</v>
      </c>
    </row>
    <row r="529" spans="1:33" ht="11.25" customHeight="1" x14ac:dyDescent="0.25">
      <c r="A529" s="3" t="s">
        <v>21</v>
      </c>
      <c r="B529" s="3" t="s">
        <v>41</v>
      </c>
      <c r="C529" s="3" t="s">
        <v>61</v>
      </c>
      <c r="D529" s="3" t="s">
        <v>25</v>
      </c>
      <c r="E529" s="3" t="s">
        <v>25</v>
      </c>
      <c r="F529" s="3" t="s">
        <v>25</v>
      </c>
      <c r="G529" s="3" t="s">
        <v>62</v>
      </c>
      <c r="H529" s="3" t="s">
        <v>35</v>
      </c>
      <c r="I529" s="6">
        <v>44470</v>
      </c>
      <c r="J529" s="4">
        <v>5577</v>
      </c>
      <c r="K529" s="4">
        <v>5577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3" t="s">
        <v>63</v>
      </c>
      <c r="R529" s="3">
        <v>44</v>
      </c>
      <c r="S529" s="4">
        <v>106</v>
      </c>
      <c r="T529" s="4">
        <v>0</v>
      </c>
      <c r="U529" s="4">
        <v>0</v>
      </c>
      <c r="V529" s="4">
        <f>IF(ISERROR(VLOOKUP($S$529,'TAR FIN'!$A$1:$O$113,15,0)),0,VLOOKUP($S$529,'TAR FIN'!$A$1:$O$113,15,0))</f>
        <v>15.06</v>
      </c>
      <c r="W529" s="4">
        <f>IF(ISERROR(VLOOKUP($T$529,'TAR FIN'!$A$1:$O$113,15,0)),0,VLOOKUP($T$529,'TAR FIN'!$A$1:$O$113,15,0))</f>
        <v>0</v>
      </c>
      <c r="X529" s="4">
        <f>IF(ISERROR(VLOOKUP($U$529,'TAR FIN'!$A$1:$O$113,15,0)),0,VLOOKUP($U$529,'TAR FIN'!$A$1:$O$113,15,0))</f>
        <v>0</v>
      </c>
      <c r="Y529" s="4">
        <f ca="1">('TUSD BE'!$AM$24+'TUSD BF'!$AM$24+'TUSD CVA'!$AM$24)*1</f>
        <v>16.481800632175148</v>
      </c>
      <c r="Z529" s="4">
        <f ca="1">('TUSD BE'!$AM$25+'TUSD BF'!$AM$25+'TUSD CVA'!$AM$25)*1</f>
        <v>11.150945133676805</v>
      </c>
      <c r="AA529" s="4"/>
      <c r="AB529" s="4">
        <f>$K$529*$V$529</f>
        <v>83989.62000000001</v>
      </c>
      <c r="AC529" s="4">
        <f>$M$529*$W$529</f>
        <v>0</v>
      </c>
      <c r="AD529" s="4">
        <f>$O$529*$X$529</f>
        <v>0</v>
      </c>
      <c r="AE529" s="4">
        <f ca="1">$K$529*$Y$529</f>
        <v>91919.002125640793</v>
      </c>
      <c r="AF529" s="4">
        <f ca="1">$M$529*$Z$529</f>
        <v>0</v>
      </c>
      <c r="AG529" s="4">
        <f>$O$529*$AA$529</f>
        <v>0</v>
      </c>
    </row>
    <row r="530" spans="1:33" ht="11.25" customHeight="1" x14ac:dyDescent="0.25">
      <c r="A530" s="3" t="s">
        <v>21</v>
      </c>
      <c r="B530" s="3" t="s">
        <v>41</v>
      </c>
      <c r="C530" s="3" t="s">
        <v>61</v>
      </c>
      <c r="D530" s="3" t="s">
        <v>25</v>
      </c>
      <c r="E530" s="3" t="s">
        <v>25</v>
      </c>
      <c r="F530" s="3" t="s">
        <v>25</v>
      </c>
      <c r="G530" s="3" t="s">
        <v>67</v>
      </c>
      <c r="H530" s="3" t="s">
        <v>35</v>
      </c>
      <c r="I530" s="6">
        <v>44470</v>
      </c>
      <c r="J530" s="4">
        <v>6331</v>
      </c>
      <c r="K530" s="4">
        <v>6331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3" t="s">
        <v>63</v>
      </c>
      <c r="R530" s="3">
        <v>47</v>
      </c>
      <c r="S530" s="4">
        <v>18</v>
      </c>
      <c r="T530" s="4">
        <v>0</v>
      </c>
      <c r="U530" s="4">
        <v>0</v>
      </c>
      <c r="V530" s="4">
        <f>IF(ISERROR(VLOOKUP($S$530,'TAR FIN'!$A$1:$O$113,15,0)),0,VLOOKUP($S$530,'TAR FIN'!$A$1:$O$113,15,0))</f>
        <v>15.06</v>
      </c>
      <c r="W530" s="4">
        <f>IF(ISERROR(VLOOKUP($T$530,'TAR FIN'!$A$1:$O$113,15,0)),0,VLOOKUP($T$530,'TAR FIN'!$A$1:$O$113,15,0))</f>
        <v>0</v>
      </c>
      <c r="X530" s="4">
        <f>IF(ISERROR(VLOOKUP($U$530,'TAR FIN'!$A$1:$O$113,15,0)),0,VLOOKUP($U$530,'TAR FIN'!$A$1:$O$113,15,0))</f>
        <v>0</v>
      </c>
      <c r="Y530" s="4">
        <f ca="1">('TUSD BE'!$AM$27+'TUSD BF'!$AM$27+'TUSD CVA'!$AM$27)*1</f>
        <v>16.481800632175148</v>
      </c>
      <c r="Z530" s="4">
        <f ca="1">('TUSD BE'!$AM$28+'TUSD BF'!$AM$28+'TUSD CVA'!$AM$28)*1</f>
        <v>11.150945133676805</v>
      </c>
      <c r="AA530" s="4"/>
      <c r="AB530" s="4">
        <f>$K$530*$V$530</f>
        <v>95344.86</v>
      </c>
      <c r="AC530" s="4">
        <f>$M$530*$W$530</f>
        <v>0</v>
      </c>
      <c r="AD530" s="4">
        <f>$O$530*$X$530</f>
        <v>0</v>
      </c>
      <c r="AE530" s="4">
        <f ca="1">$K$530*$Y$530</f>
        <v>104346.27980230087</v>
      </c>
      <c r="AF530" s="4">
        <f ca="1">$M$530*$Z$530</f>
        <v>0</v>
      </c>
      <c r="AG530" s="4">
        <f>$O$530*$AA$530</f>
        <v>0</v>
      </c>
    </row>
    <row r="531" spans="1:33" ht="11.25" customHeight="1" x14ac:dyDescent="0.25">
      <c r="A531" s="3" t="s">
        <v>21</v>
      </c>
      <c r="B531" s="3" t="s">
        <v>41</v>
      </c>
      <c r="C531" s="3" t="s">
        <v>61</v>
      </c>
      <c r="D531" s="3" t="s">
        <v>25</v>
      </c>
      <c r="E531" s="3" t="s">
        <v>25</v>
      </c>
      <c r="F531" s="3" t="s">
        <v>25</v>
      </c>
      <c r="G531" s="3" t="s">
        <v>62</v>
      </c>
      <c r="H531" s="3" t="s">
        <v>35</v>
      </c>
      <c r="I531" s="6">
        <v>44501</v>
      </c>
      <c r="J531" s="4">
        <v>5577</v>
      </c>
      <c r="K531" s="4">
        <v>5577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3" t="s">
        <v>63</v>
      </c>
      <c r="R531" s="3">
        <v>44</v>
      </c>
      <c r="S531" s="4">
        <v>106</v>
      </c>
      <c r="T531" s="4">
        <v>0</v>
      </c>
      <c r="U531" s="4">
        <v>0</v>
      </c>
      <c r="V531" s="4">
        <f>IF(ISERROR(VLOOKUP($S$531,'TAR FIN'!$A$1:$O$113,15,0)),0,VLOOKUP($S$531,'TAR FIN'!$A$1:$O$113,15,0))</f>
        <v>15.06</v>
      </c>
      <c r="W531" s="4">
        <f>IF(ISERROR(VLOOKUP($T$531,'TAR FIN'!$A$1:$O$113,15,0)),0,VLOOKUP($T$531,'TAR FIN'!$A$1:$O$113,15,0))</f>
        <v>0</v>
      </c>
      <c r="X531" s="4">
        <f>IF(ISERROR(VLOOKUP($U$531,'TAR FIN'!$A$1:$O$113,15,0)),0,VLOOKUP($U$531,'TAR FIN'!$A$1:$O$113,15,0))</f>
        <v>0</v>
      </c>
      <c r="Y531" s="4">
        <f ca="1">('TUSD BE'!$AM$24+'TUSD BF'!$AM$24+'TUSD CVA'!$AM$24)*1</f>
        <v>16.481800632175148</v>
      </c>
      <c r="Z531" s="4">
        <f ca="1">('TUSD BE'!$AM$25+'TUSD BF'!$AM$25+'TUSD CVA'!$AM$25)*1</f>
        <v>11.150945133676805</v>
      </c>
      <c r="AA531" s="4"/>
      <c r="AB531" s="4">
        <f>$K$531*$V$531</f>
        <v>83989.62000000001</v>
      </c>
      <c r="AC531" s="4">
        <f>$M$531*$W$531</f>
        <v>0</v>
      </c>
      <c r="AD531" s="4">
        <f>$O$531*$X$531</f>
        <v>0</v>
      </c>
      <c r="AE531" s="4">
        <f ca="1">$K$531*$Y$531</f>
        <v>91919.002125640793</v>
      </c>
      <c r="AF531" s="4">
        <f ca="1">$M$531*$Z$531</f>
        <v>0</v>
      </c>
      <c r="AG531" s="4">
        <f>$O$531*$AA$531</f>
        <v>0</v>
      </c>
    </row>
    <row r="532" spans="1:33" ht="11.25" customHeight="1" x14ac:dyDescent="0.25">
      <c r="A532" s="3" t="s">
        <v>21</v>
      </c>
      <c r="B532" s="3" t="s">
        <v>41</v>
      </c>
      <c r="C532" s="3" t="s">
        <v>61</v>
      </c>
      <c r="D532" s="3" t="s">
        <v>25</v>
      </c>
      <c r="E532" s="3" t="s">
        <v>25</v>
      </c>
      <c r="F532" s="3" t="s">
        <v>25</v>
      </c>
      <c r="G532" s="3" t="s">
        <v>67</v>
      </c>
      <c r="H532" s="3" t="s">
        <v>35</v>
      </c>
      <c r="I532" s="6">
        <v>44501</v>
      </c>
      <c r="J532" s="4">
        <v>6331</v>
      </c>
      <c r="K532" s="4">
        <v>6331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3" t="s">
        <v>63</v>
      </c>
      <c r="R532" s="3">
        <v>47</v>
      </c>
      <c r="S532" s="4">
        <v>18</v>
      </c>
      <c r="T532" s="4">
        <v>0</v>
      </c>
      <c r="U532" s="4">
        <v>0</v>
      </c>
      <c r="V532" s="4">
        <f>IF(ISERROR(VLOOKUP($S$532,'TAR FIN'!$A$1:$O$113,15,0)),0,VLOOKUP($S$532,'TAR FIN'!$A$1:$O$113,15,0))</f>
        <v>15.06</v>
      </c>
      <c r="W532" s="4">
        <f>IF(ISERROR(VLOOKUP($T$532,'TAR FIN'!$A$1:$O$113,15,0)),0,VLOOKUP($T$532,'TAR FIN'!$A$1:$O$113,15,0))</f>
        <v>0</v>
      </c>
      <c r="X532" s="4">
        <f>IF(ISERROR(VLOOKUP($U$532,'TAR FIN'!$A$1:$O$113,15,0)),0,VLOOKUP($U$532,'TAR FIN'!$A$1:$O$113,15,0))</f>
        <v>0</v>
      </c>
      <c r="Y532" s="4">
        <f ca="1">('TUSD BE'!$AM$27+'TUSD BF'!$AM$27+'TUSD CVA'!$AM$27)*1</f>
        <v>16.481800632175148</v>
      </c>
      <c r="Z532" s="4">
        <f ca="1">('TUSD BE'!$AM$28+'TUSD BF'!$AM$28+'TUSD CVA'!$AM$28)*1</f>
        <v>11.150945133676805</v>
      </c>
      <c r="AA532" s="4"/>
      <c r="AB532" s="4">
        <f>$K$532*$V$532</f>
        <v>95344.86</v>
      </c>
      <c r="AC532" s="4">
        <f>$M$532*$W$532</f>
        <v>0</v>
      </c>
      <c r="AD532" s="4">
        <f>$O$532*$X$532</f>
        <v>0</v>
      </c>
      <c r="AE532" s="4">
        <f ca="1">$K$532*$Y$532</f>
        <v>104346.27980230087</v>
      </c>
      <c r="AF532" s="4">
        <f ca="1">$M$532*$Z$532</f>
        <v>0</v>
      </c>
      <c r="AG532" s="4">
        <f>$O$532*$AA$532</f>
        <v>0</v>
      </c>
    </row>
    <row r="533" spans="1:33" ht="11.25" customHeight="1" x14ac:dyDescent="0.25">
      <c r="A533" s="3" t="s">
        <v>21</v>
      </c>
      <c r="B533" s="3" t="s">
        <v>41</v>
      </c>
      <c r="C533" s="3" t="s">
        <v>61</v>
      </c>
      <c r="D533" s="3" t="s">
        <v>25</v>
      </c>
      <c r="E533" s="3" t="s">
        <v>25</v>
      </c>
      <c r="F533" s="3" t="s">
        <v>25</v>
      </c>
      <c r="G533" s="3" t="s">
        <v>62</v>
      </c>
      <c r="H533" s="3" t="s">
        <v>35</v>
      </c>
      <c r="I533" s="6">
        <v>44531</v>
      </c>
      <c r="J533" s="4">
        <v>5577</v>
      </c>
      <c r="K533" s="4">
        <v>5577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3" t="s">
        <v>63</v>
      </c>
      <c r="R533" s="3">
        <v>44</v>
      </c>
      <c r="S533" s="4">
        <v>106</v>
      </c>
      <c r="T533" s="4">
        <v>0</v>
      </c>
      <c r="U533" s="4">
        <v>0</v>
      </c>
      <c r="V533" s="4">
        <f>IF(ISERROR(VLOOKUP($S$533,'TAR FIN'!$A$1:$O$113,15,0)),0,VLOOKUP($S$533,'TAR FIN'!$A$1:$O$113,15,0))</f>
        <v>15.06</v>
      </c>
      <c r="W533" s="4">
        <f>IF(ISERROR(VLOOKUP($T$533,'TAR FIN'!$A$1:$O$113,15,0)),0,VLOOKUP($T$533,'TAR FIN'!$A$1:$O$113,15,0))</f>
        <v>0</v>
      </c>
      <c r="X533" s="4">
        <f>IF(ISERROR(VLOOKUP($U$533,'TAR FIN'!$A$1:$O$113,15,0)),0,VLOOKUP($U$533,'TAR FIN'!$A$1:$O$113,15,0))</f>
        <v>0</v>
      </c>
      <c r="Y533" s="4">
        <f ca="1">('TUSD BE'!$AM$24+'TUSD BF'!$AM$24+'TUSD CVA'!$AM$24)*1</f>
        <v>16.481800632175148</v>
      </c>
      <c r="Z533" s="4">
        <f ca="1">('TUSD BE'!$AM$25+'TUSD BF'!$AM$25+'TUSD CVA'!$AM$25)*1</f>
        <v>11.150945133676805</v>
      </c>
      <c r="AA533" s="4"/>
      <c r="AB533" s="4">
        <f>$K$533*$V$533</f>
        <v>83989.62000000001</v>
      </c>
      <c r="AC533" s="4">
        <f>$M$533*$W$533</f>
        <v>0</v>
      </c>
      <c r="AD533" s="4">
        <f>$O$533*$X$533</f>
        <v>0</v>
      </c>
      <c r="AE533" s="4">
        <f ca="1">$K$533*$Y$533</f>
        <v>91919.002125640793</v>
      </c>
      <c r="AF533" s="4">
        <f ca="1">$M$533*$Z$533</f>
        <v>0</v>
      </c>
      <c r="AG533" s="4">
        <f>$O$533*$AA$533</f>
        <v>0</v>
      </c>
    </row>
    <row r="534" spans="1:33" ht="11.25" customHeight="1" x14ac:dyDescent="0.25">
      <c r="A534" s="3" t="s">
        <v>21</v>
      </c>
      <c r="B534" s="3" t="s">
        <v>41</v>
      </c>
      <c r="C534" s="3" t="s">
        <v>61</v>
      </c>
      <c r="D534" s="3" t="s">
        <v>25</v>
      </c>
      <c r="E534" s="3" t="s">
        <v>25</v>
      </c>
      <c r="F534" s="3" t="s">
        <v>25</v>
      </c>
      <c r="G534" s="3" t="s">
        <v>67</v>
      </c>
      <c r="H534" s="3" t="s">
        <v>35</v>
      </c>
      <c r="I534" s="6">
        <v>44531</v>
      </c>
      <c r="J534" s="4">
        <v>6478</v>
      </c>
      <c r="K534" s="4">
        <v>6478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3" t="s">
        <v>63</v>
      </c>
      <c r="R534" s="3">
        <v>47</v>
      </c>
      <c r="S534" s="4">
        <v>18</v>
      </c>
      <c r="T534" s="4">
        <v>0</v>
      </c>
      <c r="U534" s="4">
        <v>0</v>
      </c>
      <c r="V534" s="4">
        <f>IF(ISERROR(VLOOKUP($S$534,'TAR FIN'!$A$1:$O$113,15,0)),0,VLOOKUP($S$534,'TAR FIN'!$A$1:$O$113,15,0))</f>
        <v>15.06</v>
      </c>
      <c r="W534" s="4">
        <f>IF(ISERROR(VLOOKUP($T$534,'TAR FIN'!$A$1:$O$113,15,0)),0,VLOOKUP($T$534,'TAR FIN'!$A$1:$O$113,15,0))</f>
        <v>0</v>
      </c>
      <c r="X534" s="4">
        <f>IF(ISERROR(VLOOKUP($U$534,'TAR FIN'!$A$1:$O$113,15,0)),0,VLOOKUP($U$534,'TAR FIN'!$A$1:$O$113,15,0))</f>
        <v>0</v>
      </c>
      <c r="Y534" s="4">
        <f ca="1">('TUSD BE'!$AM$27+'TUSD BF'!$AM$27+'TUSD CVA'!$AM$27)*1</f>
        <v>16.481800632175148</v>
      </c>
      <c r="Z534" s="4">
        <f ca="1">('TUSD BE'!$AM$28+'TUSD BF'!$AM$28+'TUSD CVA'!$AM$28)*1</f>
        <v>11.150945133676805</v>
      </c>
      <c r="AA534" s="4"/>
      <c r="AB534" s="4">
        <f>$K$534*$V$534</f>
        <v>97558.680000000008</v>
      </c>
      <c r="AC534" s="4">
        <f>$M$534*$W$534</f>
        <v>0</v>
      </c>
      <c r="AD534" s="4">
        <f>$O$534*$X$534</f>
        <v>0</v>
      </c>
      <c r="AE534" s="4">
        <f ca="1">$K$534*$Y$534</f>
        <v>106769.10449523061</v>
      </c>
      <c r="AF534" s="4">
        <f ca="1">$M$534*$Z$534</f>
        <v>0</v>
      </c>
      <c r="AG534" s="4">
        <f>$O$534*$AA$534</f>
        <v>0</v>
      </c>
    </row>
    <row r="535" spans="1:33" ht="11.25" customHeight="1" x14ac:dyDescent="0.25">
      <c r="A535" s="3" t="s">
        <v>21</v>
      </c>
      <c r="B535" s="3" t="s">
        <v>41</v>
      </c>
      <c r="C535" s="3" t="s">
        <v>61</v>
      </c>
      <c r="D535" s="3" t="s">
        <v>25</v>
      </c>
      <c r="E535" s="3" t="s">
        <v>25</v>
      </c>
      <c r="F535" s="3" t="s">
        <v>25</v>
      </c>
      <c r="G535" s="3" t="s">
        <v>62</v>
      </c>
      <c r="H535" s="3" t="s">
        <v>35</v>
      </c>
      <c r="I535" s="6">
        <v>44562</v>
      </c>
      <c r="J535" s="4">
        <v>5577</v>
      </c>
      <c r="K535" s="4">
        <v>5577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3" t="s">
        <v>63</v>
      </c>
      <c r="R535" s="3">
        <v>44</v>
      </c>
      <c r="S535" s="4">
        <v>106</v>
      </c>
      <c r="T535" s="4">
        <v>0</v>
      </c>
      <c r="U535" s="4">
        <v>0</v>
      </c>
      <c r="V535" s="4">
        <f>IF(ISERROR(VLOOKUP($S$535,'TAR FIN'!$A$1:$O$113,15,0)),0,VLOOKUP($S$535,'TAR FIN'!$A$1:$O$113,15,0))</f>
        <v>15.06</v>
      </c>
      <c r="W535" s="4">
        <f>IF(ISERROR(VLOOKUP($T$535,'TAR FIN'!$A$1:$O$113,15,0)),0,VLOOKUP($T$535,'TAR FIN'!$A$1:$O$113,15,0))</f>
        <v>0</v>
      </c>
      <c r="X535" s="4">
        <f>IF(ISERROR(VLOOKUP($U$535,'TAR FIN'!$A$1:$O$113,15,0)),0,VLOOKUP($U$535,'TAR FIN'!$A$1:$O$113,15,0))</f>
        <v>0</v>
      </c>
      <c r="Y535" s="4">
        <f ca="1">('TUSD BE'!$AM$24+'TUSD BF'!$AM$24+'TUSD CVA'!$AM$24)*1</f>
        <v>16.481800632175148</v>
      </c>
      <c r="Z535" s="4">
        <f ca="1">('TUSD BE'!$AM$25+'TUSD BF'!$AM$25+'TUSD CVA'!$AM$25)*1</f>
        <v>11.150945133676805</v>
      </c>
      <c r="AA535" s="4"/>
      <c r="AB535" s="4">
        <f>$K$535*$V$535</f>
        <v>83989.62000000001</v>
      </c>
      <c r="AC535" s="4">
        <f>$M$535*$W$535</f>
        <v>0</v>
      </c>
      <c r="AD535" s="4">
        <f>$O$535*$X$535</f>
        <v>0</v>
      </c>
      <c r="AE535" s="4">
        <f ca="1">$K$535*$Y$535</f>
        <v>91919.002125640793</v>
      </c>
      <c r="AF535" s="4">
        <f ca="1">$M$535*$Z$535</f>
        <v>0</v>
      </c>
      <c r="AG535" s="4">
        <f>$O$535*$AA$535</f>
        <v>0</v>
      </c>
    </row>
    <row r="536" spans="1:33" ht="11.25" customHeight="1" x14ac:dyDescent="0.25">
      <c r="A536" s="3" t="s">
        <v>21</v>
      </c>
      <c r="B536" s="3" t="s">
        <v>41</v>
      </c>
      <c r="C536" s="3" t="s">
        <v>61</v>
      </c>
      <c r="D536" s="3" t="s">
        <v>25</v>
      </c>
      <c r="E536" s="3" t="s">
        <v>25</v>
      </c>
      <c r="F536" s="3" t="s">
        <v>25</v>
      </c>
      <c r="G536" s="3" t="s">
        <v>67</v>
      </c>
      <c r="H536" s="3" t="s">
        <v>35</v>
      </c>
      <c r="I536" s="6">
        <v>44562</v>
      </c>
      <c r="J536" s="4">
        <v>6331</v>
      </c>
      <c r="K536" s="4">
        <v>6331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3" t="s">
        <v>63</v>
      </c>
      <c r="R536" s="3">
        <v>47</v>
      </c>
      <c r="S536" s="4">
        <v>18</v>
      </c>
      <c r="T536" s="4">
        <v>0</v>
      </c>
      <c r="U536" s="4">
        <v>0</v>
      </c>
      <c r="V536" s="4">
        <f>IF(ISERROR(VLOOKUP($S$536,'TAR FIN'!$A$1:$O$113,15,0)),0,VLOOKUP($S$536,'TAR FIN'!$A$1:$O$113,15,0))</f>
        <v>15.06</v>
      </c>
      <c r="W536" s="4">
        <f>IF(ISERROR(VLOOKUP($T$536,'TAR FIN'!$A$1:$O$113,15,0)),0,VLOOKUP($T$536,'TAR FIN'!$A$1:$O$113,15,0))</f>
        <v>0</v>
      </c>
      <c r="X536" s="4">
        <f>IF(ISERROR(VLOOKUP($U$536,'TAR FIN'!$A$1:$O$113,15,0)),0,VLOOKUP($U$536,'TAR FIN'!$A$1:$O$113,15,0))</f>
        <v>0</v>
      </c>
      <c r="Y536" s="4">
        <f ca="1">('TUSD BE'!$AM$27+'TUSD BF'!$AM$27+'TUSD CVA'!$AM$27)*1</f>
        <v>16.481800632175148</v>
      </c>
      <c r="Z536" s="4">
        <f ca="1">('TUSD BE'!$AM$28+'TUSD BF'!$AM$28+'TUSD CVA'!$AM$28)*1</f>
        <v>11.150945133676805</v>
      </c>
      <c r="AA536" s="4"/>
      <c r="AB536" s="4">
        <f>$K$536*$V$536</f>
        <v>95344.86</v>
      </c>
      <c r="AC536" s="4">
        <f>$M$536*$W$536</f>
        <v>0</v>
      </c>
      <c r="AD536" s="4">
        <f>$O$536*$X$536</f>
        <v>0</v>
      </c>
      <c r="AE536" s="4">
        <f ca="1">$K$536*$Y$536</f>
        <v>104346.27980230087</v>
      </c>
      <c r="AF536" s="4">
        <f ca="1">$M$536*$Z$536</f>
        <v>0</v>
      </c>
      <c r="AG536" s="4">
        <f>$O$536*$AA$536</f>
        <v>0</v>
      </c>
    </row>
    <row r="537" spans="1:33" ht="11.25" customHeight="1" x14ac:dyDescent="0.25">
      <c r="A537" s="3" t="s">
        <v>21</v>
      </c>
      <c r="B537" s="3" t="s">
        <v>41</v>
      </c>
      <c r="C537" s="3" t="s">
        <v>61</v>
      </c>
      <c r="D537" s="3" t="s">
        <v>25</v>
      </c>
      <c r="E537" s="3" t="s">
        <v>25</v>
      </c>
      <c r="F537" s="3" t="s">
        <v>25</v>
      </c>
      <c r="G537" s="3" t="s">
        <v>62</v>
      </c>
      <c r="H537" s="3" t="s">
        <v>35</v>
      </c>
      <c r="I537" s="6">
        <v>44593</v>
      </c>
      <c r="J537" s="4">
        <v>5577</v>
      </c>
      <c r="K537" s="4">
        <v>5577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3" t="s">
        <v>63</v>
      </c>
      <c r="R537" s="3">
        <v>44</v>
      </c>
      <c r="S537" s="4">
        <v>106</v>
      </c>
      <c r="T537" s="4">
        <v>0</v>
      </c>
      <c r="U537" s="4">
        <v>0</v>
      </c>
      <c r="V537" s="4">
        <f>IF(ISERROR(VLOOKUP($S$537,'TAR FIN'!$A$1:$O$113,15,0)),0,VLOOKUP($S$537,'TAR FIN'!$A$1:$O$113,15,0))</f>
        <v>15.06</v>
      </c>
      <c r="W537" s="4">
        <f>IF(ISERROR(VLOOKUP($T$537,'TAR FIN'!$A$1:$O$113,15,0)),0,VLOOKUP($T$537,'TAR FIN'!$A$1:$O$113,15,0))</f>
        <v>0</v>
      </c>
      <c r="X537" s="4">
        <f>IF(ISERROR(VLOOKUP($U$537,'TAR FIN'!$A$1:$O$113,15,0)),0,VLOOKUP($U$537,'TAR FIN'!$A$1:$O$113,15,0))</f>
        <v>0</v>
      </c>
      <c r="Y537" s="4">
        <f ca="1">('TUSD BE'!$AM$24+'TUSD BF'!$AM$24+'TUSD CVA'!$AM$24)*1</f>
        <v>16.481800632175148</v>
      </c>
      <c r="Z537" s="4">
        <f ca="1">('TUSD BE'!$AM$25+'TUSD BF'!$AM$25+'TUSD CVA'!$AM$25)*1</f>
        <v>11.150945133676805</v>
      </c>
      <c r="AA537" s="4"/>
      <c r="AB537" s="4">
        <f>$K$537*$V$537</f>
        <v>83989.62000000001</v>
      </c>
      <c r="AC537" s="4">
        <f>$M$537*$W$537</f>
        <v>0</v>
      </c>
      <c r="AD537" s="4">
        <f>$O$537*$X$537</f>
        <v>0</v>
      </c>
      <c r="AE537" s="4">
        <f ca="1">$K$537*$Y$537</f>
        <v>91919.002125640793</v>
      </c>
      <c r="AF537" s="4">
        <f ca="1">$M$537*$Z$537</f>
        <v>0</v>
      </c>
      <c r="AG537" s="4">
        <f>$O$537*$AA$537</f>
        <v>0</v>
      </c>
    </row>
    <row r="538" spans="1:33" ht="11.25" customHeight="1" x14ac:dyDescent="0.25">
      <c r="A538" s="3" t="s">
        <v>21</v>
      </c>
      <c r="B538" s="3" t="s">
        <v>41</v>
      </c>
      <c r="C538" s="3" t="s">
        <v>61</v>
      </c>
      <c r="D538" s="3" t="s">
        <v>25</v>
      </c>
      <c r="E538" s="3" t="s">
        <v>25</v>
      </c>
      <c r="F538" s="3" t="s">
        <v>25</v>
      </c>
      <c r="G538" s="3" t="s">
        <v>67</v>
      </c>
      <c r="H538" s="3" t="s">
        <v>35</v>
      </c>
      <c r="I538" s="6">
        <v>44593</v>
      </c>
      <c r="J538" s="4">
        <v>6331</v>
      </c>
      <c r="K538" s="4">
        <v>6331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3" t="s">
        <v>63</v>
      </c>
      <c r="R538" s="3">
        <v>47</v>
      </c>
      <c r="S538" s="4">
        <v>18</v>
      </c>
      <c r="T538" s="4">
        <v>0</v>
      </c>
      <c r="U538" s="4">
        <v>0</v>
      </c>
      <c r="V538" s="4">
        <f>IF(ISERROR(VLOOKUP($S$538,'TAR FIN'!$A$1:$O$113,15,0)),0,VLOOKUP($S$538,'TAR FIN'!$A$1:$O$113,15,0))</f>
        <v>15.06</v>
      </c>
      <c r="W538" s="4">
        <f>IF(ISERROR(VLOOKUP($T$538,'TAR FIN'!$A$1:$O$113,15,0)),0,VLOOKUP($T$538,'TAR FIN'!$A$1:$O$113,15,0))</f>
        <v>0</v>
      </c>
      <c r="X538" s="4">
        <f>IF(ISERROR(VLOOKUP($U$538,'TAR FIN'!$A$1:$O$113,15,0)),0,VLOOKUP($U$538,'TAR FIN'!$A$1:$O$113,15,0))</f>
        <v>0</v>
      </c>
      <c r="Y538" s="4">
        <f ca="1">('TUSD BE'!$AM$27+'TUSD BF'!$AM$27+'TUSD CVA'!$AM$27)*1</f>
        <v>16.481800632175148</v>
      </c>
      <c r="Z538" s="4">
        <f ca="1">('TUSD BE'!$AM$28+'TUSD BF'!$AM$28+'TUSD CVA'!$AM$28)*1</f>
        <v>11.150945133676805</v>
      </c>
      <c r="AA538" s="4"/>
      <c r="AB538" s="4">
        <f>$K$538*$V$538</f>
        <v>95344.86</v>
      </c>
      <c r="AC538" s="4">
        <f>$M$538*$W$538</f>
        <v>0</v>
      </c>
      <c r="AD538" s="4">
        <f>$O$538*$X$538</f>
        <v>0</v>
      </c>
      <c r="AE538" s="4">
        <f ca="1">$K$538*$Y$538</f>
        <v>104346.27980230087</v>
      </c>
      <c r="AF538" s="4">
        <f ca="1">$M$538*$Z$538</f>
        <v>0</v>
      </c>
      <c r="AG538" s="4">
        <f>$O$538*$AA$538</f>
        <v>0</v>
      </c>
    </row>
    <row r="539" spans="1:33" ht="11.25" customHeight="1" x14ac:dyDescent="0.25">
      <c r="A539" s="3" t="s">
        <v>56</v>
      </c>
      <c r="B539" s="3" t="s">
        <v>41</v>
      </c>
      <c r="C539" s="3" t="s">
        <v>61</v>
      </c>
      <c r="D539" s="3" t="s">
        <v>25</v>
      </c>
      <c r="E539" s="3" t="s">
        <v>25</v>
      </c>
      <c r="F539" s="3" t="s">
        <v>25</v>
      </c>
      <c r="G539" s="3" t="s">
        <v>62</v>
      </c>
      <c r="H539" s="3" t="s">
        <v>35</v>
      </c>
      <c r="I539" s="6">
        <v>44621</v>
      </c>
      <c r="J539" s="4">
        <v>5577</v>
      </c>
      <c r="K539" s="4">
        <v>5577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3" t="s">
        <v>63</v>
      </c>
      <c r="R539" s="3">
        <v>44</v>
      </c>
      <c r="S539" s="4">
        <v>106</v>
      </c>
      <c r="T539" s="4">
        <v>0</v>
      </c>
      <c r="U539" s="4">
        <v>0</v>
      </c>
      <c r="V539" s="4">
        <f>IF(ISERROR(VLOOKUP($S$539,'TAR FIN'!$A$1:$O$113,15,0)),0,VLOOKUP($S$539,'TAR FIN'!$A$1:$O$113,15,0))</f>
        <v>15.06</v>
      </c>
      <c r="W539" s="4">
        <f>IF(ISERROR(VLOOKUP($T$539,'TAR FIN'!$A$1:$O$113,15,0)),0,VLOOKUP($T$539,'TAR FIN'!$A$1:$O$113,15,0))</f>
        <v>0</v>
      </c>
      <c r="X539" s="4">
        <f>IF(ISERROR(VLOOKUP($U$539,'TAR FIN'!$A$1:$O$113,15,0)),0,VLOOKUP($U$539,'TAR FIN'!$A$1:$O$113,15,0))</f>
        <v>0</v>
      </c>
      <c r="Y539" s="4">
        <f ca="1">('TUSD BE'!$AM$24+'TUSD BF'!$AM$24+'TUSD CVA'!$AM$24)*1</f>
        <v>16.481800632175148</v>
      </c>
      <c r="Z539" s="4">
        <f ca="1">('TUSD BE'!$AM$25+'TUSD BF'!$AM$25+'TUSD CVA'!$AM$25)*1</f>
        <v>11.150945133676805</v>
      </c>
      <c r="AA539" s="4"/>
      <c r="AB539" s="4">
        <f>$K$539*$V$539</f>
        <v>83989.62000000001</v>
      </c>
      <c r="AC539" s="4">
        <f>$M$539*$W$539</f>
        <v>0</v>
      </c>
      <c r="AD539" s="4">
        <f>$O$539*$X$539</f>
        <v>0</v>
      </c>
      <c r="AE539" s="4">
        <f ca="1">$K$539*$Y$539</f>
        <v>91919.002125640793</v>
      </c>
      <c r="AF539" s="4">
        <f ca="1">$M$539*$Z$539</f>
        <v>0</v>
      </c>
      <c r="AG539" s="4">
        <f>$O$539*$AA$539</f>
        <v>0</v>
      </c>
    </row>
    <row r="540" spans="1:33" ht="11.25" customHeight="1" x14ac:dyDescent="0.25">
      <c r="A540" s="3" t="s">
        <v>56</v>
      </c>
      <c r="B540" s="3" t="s">
        <v>41</v>
      </c>
      <c r="C540" s="3" t="s">
        <v>61</v>
      </c>
      <c r="D540" s="3" t="s">
        <v>25</v>
      </c>
      <c r="E540" s="3" t="s">
        <v>25</v>
      </c>
      <c r="F540" s="3" t="s">
        <v>25</v>
      </c>
      <c r="G540" s="3" t="s">
        <v>67</v>
      </c>
      <c r="H540" s="3" t="s">
        <v>35</v>
      </c>
      <c r="I540" s="6">
        <v>44621</v>
      </c>
      <c r="J540" s="4">
        <v>6331</v>
      </c>
      <c r="K540" s="4">
        <v>6331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3" t="s">
        <v>63</v>
      </c>
      <c r="R540" s="3">
        <v>47</v>
      </c>
      <c r="S540" s="4">
        <v>18</v>
      </c>
      <c r="T540" s="4">
        <v>0</v>
      </c>
      <c r="U540" s="4">
        <v>0</v>
      </c>
      <c r="V540" s="4">
        <f>IF(ISERROR(VLOOKUP($S$540,'TAR FIN'!$A$1:$O$113,15,0)),0,VLOOKUP($S$540,'TAR FIN'!$A$1:$O$113,15,0))</f>
        <v>15.06</v>
      </c>
      <c r="W540" s="4">
        <f>IF(ISERROR(VLOOKUP($T$540,'TAR FIN'!$A$1:$O$113,15,0)),0,VLOOKUP($T$540,'TAR FIN'!$A$1:$O$113,15,0))</f>
        <v>0</v>
      </c>
      <c r="X540" s="4">
        <f>IF(ISERROR(VLOOKUP($U$540,'TAR FIN'!$A$1:$O$113,15,0)),0,VLOOKUP($U$540,'TAR FIN'!$A$1:$O$113,15,0))</f>
        <v>0</v>
      </c>
      <c r="Y540" s="4">
        <f ca="1">('TUSD BE'!$AM$27+'TUSD BF'!$AM$27+'TUSD CVA'!$AM$27)*1</f>
        <v>16.481800632175148</v>
      </c>
      <c r="Z540" s="4">
        <f ca="1">('TUSD BE'!$AM$28+'TUSD BF'!$AM$28+'TUSD CVA'!$AM$28)*1</f>
        <v>11.150945133676805</v>
      </c>
      <c r="AA540" s="4"/>
      <c r="AB540" s="4">
        <f>$K$540*$V$540</f>
        <v>95344.86</v>
      </c>
      <c r="AC540" s="4">
        <f>$M$540*$W$540</f>
        <v>0</v>
      </c>
      <c r="AD540" s="4">
        <f>$O$540*$X$540</f>
        <v>0</v>
      </c>
      <c r="AE540" s="4">
        <f ca="1">$K$540*$Y$540</f>
        <v>104346.27980230087</v>
      </c>
      <c r="AF540" s="4">
        <f ca="1">$M$540*$Z$540</f>
        <v>0</v>
      </c>
      <c r="AG540" s="4">
        <f>$O$540*$AA$540</f>
        <v>0</v>
      </c>
    </row>
    <row r="541" spans="1:33" ht="11.25" customHeight="1" x14ac:dyDescent="0.25">
      <c r="A541" s="3" t="s">
        <v>21</v>
      </c>
      <c r="B541" s="3" t="s">
        <v>41</v>
      </c>
      <c r="C541" s="3" t="s">
        <v>61</v>
      </c>
      <c r="D541" s="3" t="s">
        <v>25</v>
      </c>
      <c r="E541" s="3" t="s">
        <v>25</v>
      </c>
      <c r="F541" s="3" t="s">
        <v>25</v>
      </c>
      <c r="G541" s="3" t="s">
        <v>62</v>
      </c>
      <c r="H541" s="3" t="s">
        <v>25</v>
      </c>
      <c r="I541" s="6">
        <v>44287</v>
      </c>
      <c r="J541" s="4">
        <v>0</v>
      </c>
      <c r="K541" s="4">
        <v>0</v>
      </c>
      <c r="L541" s="4">
        <v>2156.9180000000001</v>
      </c>
      <c r="M541" s="4">
        <v>2156.9180000000001</v>
      </c>
      <c r="N541" s="4">
        <v>0</v>
      </c>
      <c r="O541" s="4">
        <v>0</v>
      </c>
      <c r="P541" s="4">
        <v>0</v>
      </c>
      <c r="Q541" s="3" t="s">
        <v>63</v>
      </c>
      <c r="R541" s="3">
        <v>44</v>
      </c>
      <c r="S541" s="4">
        <v>0</v>
      </c>
      <c r="T541" s="4">
        <v>16</v>
      </c>
      <c r="U541" s="4">
        <v>0</v>
      </c>
      <c r="V541" s="4">
        <f>IF(ISERROR(VLOOKUP($S$541,'TAR FIN'!$A$1:$O$113,15,0)),0,VLOOKUP($S$541,'TAR FIN'!$A$1:$O$113,15,0))</f>
        <v>0</v>
      </c>
      <c r="W541" s="4">
        <f>IF(ISERROR(VLOOKUP($T$541,'TAR FIN'!$A$1:$O$113,15,0)),0,VLOOKUP($T$541,'TAR FIN'!$A$1:$O$113,15,0))</f>
        <v>9.65</v>
      </c>
      <c r="X541" s="4">
        <f>IF(ISERROR(VLOOKUP($U$541,'TAR FIN'!$A$1:$O$113,15,0)),0,VLOOKUP($U$541,'TAR FIN'!$A$1:$O$113,15,0))</f>
        <v>0</v>
      </c>
      <c r="Y541" s="4">
        <f ca="1">0.72*('TUSD BE'!$AM$23+'TUSD BF'!$AM$23+'TUSD CVA'!$AM$23)*1+('TUSD BE'!$AM$24+'TUSD BF'!$AM$24+'TUSD CVA'!$AM$24)*1</f>
        <v>42.583563671169571</v>
      </c>
      <c r="Z541" s="4">
        <f ca="1">('TUSD BE'!$AM$25+'TUSD BF'!$AM$25+'TUSD CVA'!$AM$25)*1</f>
        <v>11.150945133676805</v>
      </c>
      <c r="AA541" s="4"/>
      <c r="AB541" s="4">
        <f>$K$541*$V$541</f>
        <v>0</v>
      </c>
      <c r="AC541" s="4">
        <f>$M$541*$W$541</f>
        <v>20814.258700000002</v>
      </c>
      <c r="AD541" s="4">
        <f>$O$541*$X$541</f>
        <v>0</v>
      </c>
      <c r="AE541" s="4">
        <f ca="1">$K$541*$Y$541</f>
        <v>0</v>
      </c>
      <c r="AF541" s="4">
        <f ca="1">$M$541*$Z$541</f>
        <v>24051.674275839909</v>
      </c>
      <c r="AG541" s="4">
        <f>$O$541*$AA$541</f>
        <v>0</v>
      </c>
    </row>
    <row r="542" spans="1:33" ht="11.25" customHeight="1" x14ac:dyDescent="0.25">
      <c r="A542" s="3" t="s">
        <v>21</v>
      </c>
      <c r="B542" s="3" t="s">
        <v>41</v>
      </c>
      <c r="C542" s="3" t="s">
        <v>61</v>
      </c>
      <c r="D542" s="3" t="s">
        <v>25</v>
      </c>
      <c r="E542" s="3" t="s">
        <v>25</v>
      </c>
      <c r="F542" s="3" t="s">
        <v>25</v>
      </c>
      <c r="G542" s="3" t="s">
        <v>67</v>
      </c>
      <c r="H542" s="3" t="s">
        <v>25</v>
      </c>
      <c r="I542" s="6">
        <v>44287</v>
      </c>
      <c r="J542" s="4">
        <v>0</v>
      </c>
      <c r="K542" s="4">
        <v>0</v>
      </c>
      <c r="L542" s="4">
        <v>2165.0329999999999</v>
      </c>
      <c r="M542" s="4">
        <v>2165.0329999999999</v>
      </c>
      <c r="N542" s="4">
        <v>0</v>
      </c>
      <c r="O542" s="4">
        <v>0</v>
      </c>
      <c r="P542" s="4">
        <v>0</v>
      </c>
      <c r="Q542" s="3" t="s">
        <v>63</v>
      </c>
      <c r="R542" s="3">
        <v>47</v>
      </c>
      <c r="S542" s="4">
        <v>0</v>
      </c>
      <c r="T542" s="4">
        <v>19</v>
      </c>
      <c r="U542" s="4">
        <v>0</v>
      </c>
      <c r="V542" s="4">
        <f>IF(ISERROR(VLOOKUP($S$542,'TAR FIN'!$A$1:$O$113,15,0)),0,VLOOKUP($S$542,'TAR FIN'!$A$1:$O$113,15,0))</f>
        <v>0</v>
      </c>
      <c r="W542" s="4">
        <f>IF(ISERROR(VLOOKUP($T$542,'TAR FIN'!$A$1:$O$113,15,0)),0,VLOOKUP($T$542,'TAR FIN'!$A$1:$O$113,15,0))</f>
        <v>9.65</v>
      </c>
      <c r="X542" s="4">
        <f>IF(ISERROR(VLOOKUP($U$542,'TAR FIN'!$A$1:$O$113,15,0)),0,VLOOKUP($U$542,'TAR FIN'!$A$1:$O$113,15,0))</f>
        <v>0</v>
      </c>
      <c r="Y542" s="4">
        <f ca="1">0.72*('TUSD BE'!$AM$26+'TUSD BF'!$AM$26+'TUSD CVA'!$AM$26)*1+('TUSD BE'!$AM$27+'TUSD BF'!$AM$27+'TUSD CVA'!$AM$27)*1</f>
        <v>42.583563671169571</v>
      </c>
      <c r="Z542" s="4">
        <f ca="1">('TUSD BE'!$AM$28+'TUSD BF'!$AM$28+'TUSD CVA'!$AM$28)*1</f>
        <v>11.150945133676805</v>
      </c>
      <c r="AA542" s="4"/>
      <c r="AB542" s="4">
        <f>$K$542*$V$542</f>
        <v>0</v>
      </c>
      <c r="AC542" s="4">
        <f>$M$542*$W$542</f>
        <v>20892.568449999999</v>
      </c>
      <c r="AD542" s="4">
        <f>$O$542*$X$542</f>
        <v>0</v>
      </c>
      <c r="AE542" s="4">
        <f ca="1">$K$542*$Y$542</f>
        <v>0</v>
      </c>
      <c r="AF542" s="4">
        <f ca="1">$M$542*$Z$542</f>
        <v>24142.164195599693</v>
      </c>
      <c r="AG542" s="4">
        <f>$O$542*$AA$542</f>
        <v>0</v>
      </c>
    </row>
    <row r="543" spans="1:33" ht="11.25" customHeight="1" x14ac:dyDescent="0.25">
      <c r="A543" s="3" t="s">
        <v>21</v>
      </c>
      <c r="B543" s="3" t="s">
        <v>41</v>
      </c>
      <c r="C543" s="3" t="s">
        <v>61</v>
      </c>
      <c r="D543" s="3" t="s">
        <v>25</v>
      </c>
      <c r="E543" s="3" t="s">
        <v>25</v>
      </c>
      <c r="F543" s="3" t="s">
        <v>25</v>
      </c>
      <c r="G543" s="3" t="s">
        <v>62</v>
      </c>
      <c r="H543" s="3" t="s">
        <v>25</v>
      </c>
      <c r="I543" s="6">
        <v>44317</v>
      </c>
      <c r="J543" s="4">
        <v>0</v>
      </c>
      <c r="K543" s="4">
        <v>0</v>
      </c>
      <c r="L543" s="4">
        <v>1952.4269999999999</v>
      </c>
      <c r="M543" s="4">
        <v>1952.4269999999999</v>
      </c>
      <c r="N543" s="4">
        <v>0</v>
      </c>
      <c r="O543" s="4">
        <v>0</v>
      </c>
      <c r="P543" s="4">
        <v>0</v>
      </c>
      <c r="Q543" s="3" t="s">
        <v>63</v>
      </c>
      <c r="R543" s="3">
        <v>44</v>
      </c>
      <c r="S543" s="4">
        <v>0</v>
      </c>
      <c r="T543" s="4">
        <v>16</v>
      </c>
      <c r="U543" s="4">
        <v>0</v>
      </c>
      <c r="V543" s="4">
        <f>IF(ISERROR(VLOOKUP($S$543,'TAR FIN'!$A$1:$O$113,15,0)),0,VLOOKUP($S$543,'TAR FIN'!$A$1:$O$113,15,0))</f>
        <v>0</v>
      </c>
      <c r="W543" s="4">
        <f>IF(ISERROR(VLOOKUP($T$543,'TAR FIN'!$A$1:$O$113,15,0)),0,VLOOKUP($T$543,'TAR FIN'!$A$1:$O$113,15,0))</f>
        <v>9.65</v>
      </c>
      <c r="X543" s="4">
        <f>IF(ISERROR(VLOOKUP($U$543,'TAR FIN'!$A$1:$O$113,15,0)),0,VLOOKUP($U$543,'TAR FIN'!$A$1:$O$113,15,0))</f>
        <v>0</v>
      </c>
      <c r="Y543" s="4">
        <f ca="1">0.72*('TUSD BE'!$AM$23+'TUSD BF'!$AM$23+'TUSD CVA'!$AM$23)*1+('TUSD BE'!$AM$24+'TUSD BF'!$AM$24+'TUSD CVA'!$AM$24)*1</f>
        <v>42.583563671169571</v>
      </c>
      <c r="Z543" s="4">
        <f ca="1">('TUSD BE'!$AM$25+'TUSD BF'!$AM$25+'TUSD CVA'!$AM$25)*1</f>
        <v>11.150945133676805</v>
      </c>
      <c r="AA543" s="4"/>
      <c r="AB543" s="4">
        <f>$K$543*$V$543</f>
        <v>0</v>
      </c>
      <c r="AC543" s="4">
        <f>$M$543*$W$543</f>
        <v>18840.920549999999</v>
      </c>
      <c r="AD543" s="4">
        <f>$O$543*$X$543</f>
        <v>0</v>
      </c>
      <c r="AE543" s="4">
        <f ca="1">$K$543*$Y$543</f>
        <v>0</v>
      </c>
      <c r="AF543" s="4">
        <f ca="1">$M$543*$Z$543</f>
        <v>21771.406354509203</v>
      </c>
      <c r="AG543" s="4">
        <f>$O$543*$AA$543</f>
        <v>0</v>
      </c>
    </row>
    <row r="544" spans="1:33" ht="11.25" customHeight="1" x14ac:dyDescent="0.25">
      <c r="A544" s="3" t="s">
        <v>21</v>
      </c>
      <c r="B544" s="3" t="s">
        <v>41</v>
      </c>
      <c r="C544" s="3" t="s">
        <v>61</v>
      </c>
      <c r="D544" s="3" t="s">
        <v>25</v>
      </c>
      <c r="E544" s="3" t="s">
        <v>25</v>
      </c>
      <c r="F544" s="3" t="s">
        <v>25</v>
      </c>
      <c r="G544" s="3" t="s">
        <v>67</v>
      </c>
      <c r="H544" s="3" t="s">
        <v>25</v>
      </c>
      <c r="I544" s="6">
        <v>44317</v>
      </c>
      <c r="J544" s="4">
        <v>0</v>
      </c>
      <c r="K544" s="4">
        <v>0</v>
      </c>
      <c r="L544" s="4">
        <v>2015.944</v>
      </c>
      <c r="M544" s="4">
        <v>2015.944</v>
      </c>
      <c r="N544" s="4">
        <v>0</v>
      </c>
      <c r="O544" s="4">
        <v>0</v>
      </c>
      <c r="P544" s="4">
        <v>0</v>
      </c>
      <c r="Q544" s="3" t="s">
        <v>63</v>
      </c>
      <c r="R544" s="3">
        <v>47</v>
      </c>
      <c r="S544" s="4">
        <v>0</v>
      </c>
      <c r="T544" s="4">
        <v>19</v>
      </c>
      <c r="U544" s="4">
        <v>0</v>
      </c>
      <c r="V544" s="4">
        <f>IF(ISERROR(VLOOKUP($S$544,'TAR FIN'!$A$1:$O$113,15,0)),0,VLOOKUP($S$544,'TAR FIN'!$A$1:$O$113,15,0))</f>
        <v>0</v>
      </c>
      <c r="W544" s="4">
        <f>IF(ISERROR(VLOOKUP($T$544,'TAR FIN'!$A$1:$O$113,15,0)),0,VLOOKUP($T$544,'TAR FIN'!$A$1:$O$113,15,0))</f>
        <v>9.65</v>
      </c>
      <c r="X544" s="4">
        <f>IF(ISERROR(VLOOKUP($U$544,'TAR FIN'!$A$1:$O$113,15,0)),0,VLOOKUP($U$544,'TAR FIN'!$A$1:$O$113,15,0))</f>
        <v>0</v>
      </c>
      <c r="Y544" s="4">
        <f ca="1">0.72*('TUSD BE'!$AM$26+'TUSD BF'!$AM$26+'TUSD CVA'!$AM$26)*1+('TUSD BE'!$AM$27+'TUSD BF'!$AM$27+'TUSD CVA'!$AM$27)*1</f>
        <v>42.583563671169571</v>
      </c>
      <c r="Z544" s="4">
        <f ca="1">('TUSD BE'!$AM$28+'TUSD BF'!$AM$28+'TUSD CVA'!$AM$28)*1</f>
        <v>11.150945133676805</v>
      </c>
      <c r="AA544" s="4"/>
      <c r="AB544" s="4">
        <f>$K$544*$V$544</f>
        <v>0</v>
      </c>
      <c r="AC544" s="4">
        <f>$M$544*$W$544</f>
        <v>19453.8596</v>
      </c>
      <c r="AD544" s="4">
        <f>$O$544*$X$544</f>
        <v>0</v>
      </c>
      <c r="AE544" s="4">
        <f ca="1">$K$544*$Y$544</f>
        <v>0</v>
      </c>
      <c r="AF544" s="4">
        <f ca="1">$M$544*$Z$544</f>
        <v>22479.680936564953</v>
      </c>
      <c r="AG544" s="4">
        <f>$O$544*$AA$544</f>
        <v>0</v>
      </c>
    </row>
    <row r="545" spans="1:33" ht="11.25" customHeight="1" x14ac:dyDescent="0.25">
      <c r="A545" s="3" t="s">
        <v>21</v>
      </c>
      <c r="B545" s="3" t="s">
        <v>41</v>
      </c>
      <c r="C545" s="3" t="s">
        <v>61</v>
      </c>
      <c r="D545" s="3" t="s">
        <v>25</v>
      </c>
      <c r="E545" s="3" t="s">
        <v>25</v>
      </c>
      <c r="F545" s="3" t="s">
        <v>25</v>
      </c>
      <c r="G545" s="3" t="s">
        <v>62</v>
      </c>
      <c r="H545" s="3" t="s">
        <v>25</v>
      </c>
      <c r="I545" s="6">
        <v>44348</v>
      </c>
      <c r="J545" s="4">
        <v>0</v>
      </c>
      <c r="K545" s="4">
        <v>0</v>
      </c>
      <c r="L545" s="4">
        <v>1707.413</v>
      </c>
      <c r="M545" s="4">
        <v>1707.413</v>
      </c>
      <c r="N545" s="4">
        <v>0</v>
      </c>
      <c r="O545" s="4">
        <v>0</v>
      </c>
      <c r="P545" s="4">
        <v>0</v>
      </c>
      <c r="Q545" s="3" t="s">
        <v>63</v>
      </c>
      <c r="R545" s="3">
        <v>44</v>
      </c>
      <c r="S545" s="4">
        <v>0</v>
      </c>
      <c r="T545" s="4">
        <v>16</v>
      </c>
      <c r="U545" s="4">
        <v>0</v>
      </c>
      <c r="V545" s="4">
        <f>IF(ISERROR(VLOOKUP($S$545,'TAR FIN'!$A$1:$O$113,15,0)),0,VLOOKUP($S$545,'TAR FIN'!$A$1:$O$113,15,0))</f>
        <v>0</v>
      </c>
      <c r="W545" s="4">
        <f>IF(ISERROR(VLOOKUP($T$545,'TAR FIN'!$A$1:$O$113,15,0)),0,VLOOKUP($T$545,'TAR FIN'!$A$1:$O$113,15,0))</f>
        <v>9.65</v>
      </c>
      <c r="X545" s="4">
        <f>IF(ISERROR(VLOOKUP($U$545,'TAR FIN'!$A$1:$O$113,15,0)),0,VLOOKUP($U$545,'TAR FIN'!$A$1:$O$113,15,0))</f>
        <v>0</v>
      </c>
      <c r="Y545" s="4">
        <f ca="1">0.72*('TUSD BE'!$AM$23+'TUSD BF'!$AM$23+'TUSD CVA'!$AM$23)*1+('TUSD BE'!$AM$24+'TUSD BF'!$AM$24+'TUSD CVA'!$AM$24)*1</f>
        <v>42.583563671169571</v>
      </c>
      <c r="Z545" s="4">
        <f ca="1">('TUSD BE'!$AM$25+'TUSD BF'!$AM$25+'TUSD CVA'!$AM$25)*1</f>
        <v>11.150945133676805</v>
      </c>
      <c r="AA545" s="4"/>
      <c r="AB545" s="4">
        <f>$K$545*$V$545</f>
        <v>0</v>
      </c>
      <c r="AC545" s="4">
        <f>$M$545*$W$545</f>
        <v>16476.535449999999</v>
      </c>
      <c r="AD545" s="4">
        <f>$O$545*$X$545</f>
        <v>0</v>
      </c>
      <c r="AE545" s="4">
        <f ca="1">$K$545*$Y$545</f>
        <v>0</v>
      </c>
      <c r="AF545" s="4">
        <f ca="1">$M$545*$Z$545</f>
        <v>19039.268683526516</v>
      </c>
      <c r="AG545" s="4">
        <f>$O$545*$AA$545</f>
        <v>0</v>
      </c>
    </row>
    <row r="546" spans="1:33" ht="11.25" customHeight="1" x14ac:dyDescent="0.25">
      <c r="A546" s="3" t="s">
        <v>21</v>
      </c>
      <c r="B546" s="3" t="s">
        <v>41</v>
      </c>
      <c r="C546" s="3" t="s">
        <v>61</v>
      </c>
      <c r="D546" s="3" t="s">
        <v>25</v>
      </c>
      <c r="E546" s="3" t="s">
        <v>25</v>
      </c>
      <c r="F546" s="3" t="s">
        <v>25</v>
      </c>
      <c r="G546" s="3" t="s">
        <v>67</v>
      </c>
      <c r="H546" s="3" t="s">
        <v>25</v>
      </c>
      <c r="I546" s="6">
        <v>44348</v>
      </c>
      <c r="J546" s="4">
        <v>0</v>
      </c>
      <c r="K546" s="4">
        <v>0</v>
      </c>
      <c r="L546" s="4">
        <v>1925.34</v>
      </c>
      <c r="M546" s="4">
        <v>1925.34</v>
      </c>
      <c r="N546" s="4">
        <v>0</v>
      </c>
      <c r="O546" s="4">
        <v>0</v>
      </c>
      <c r="P546" s="4">
        <v>0</v>
      </c>
      <c r="Q546" s="3" t="s">
        <v>63</v>
      </c>
      <c r="R546" s="3">
        <v>47</v>
      </c>
      <c r="S546" s="4">
        <v>0</v>
      </c>
      <c r="T546" s="4">
        <v>19</v>
      </c>
      <c r="U546" s="4">
        <v>0</v>
      </c>
      <c r="V546" s="4">
        <f>IF(ISERROR(VLOOKUP($S$546,'TAR FIN'!$A$1:$O$113,15,0)),0,VLOOKUP($S$546,'TAR FIN'!$A$1:$O$113,15,0))</f>
        <v>0</v>
      </c>
      <c r="W546" s="4">
        <f>IF(ISERROR(VLOOKUP($T$546,'TAR FIN'!$A$1:$O$113,15,0)),0,VLOOKUP($T$546,'TAR FIN'!$A$1:$O$113,15,0))</f>
        <v>9.65</v>
      </c>
      <c r="X546" s="4">
        <f>IF(ISERROR(VLOOKUP($U$546,'TAR FIN'!$A$1:$O$113,15,0)),0,VLOOKUP($U$546,'TAR FIN'!$A$1:$O$113,15,0))</f>
        <v>0</v>
      </c>
      <c r="Y546" s="4">
        <f ca="1">0.72*('TUSD BE'!$AM$26+'TUSD BF'!$AM$26+'TUSD CVA'!$AM$26)*1+('TUSD BE'!$AM$27+'TUSD BF'!$AM$27+'TUSD CVA'!$AM$27)*1</f>
        <v>42.583563671169571</v>
      </c>
      <c r="Z546" s="4">
        <f ca="1">('TUSD BE'!$AM$28+'TUSD BF'!$AM$28+'TUSD CVA'!$AM$28)*1</f>
        <v>11.150945133676805</v>
      </c>
      <c r="AA546" s="4"/>
      <c r="AB546" s="4">
        <f>$K$546*$V$546</f>
        <v>0</v>
      </c>
      <c r="AC546" s="4">
        <f>$M$546*$W$546</f>
        <v>18579.530999999999</v>
      </c>
      <c r="AD546" s="4">
        <f>$O$546*$X$546</f>
        <v>0</v>
      </c>
      <c r="AE546" s="4">
        <f ca="1">$K$546*$Y$546</f>
        <v>0</v>
      </c>
      <c r="AF546" s="4">
        <f ca="1">$M$546*$Z$546</f>
        <v>21469.360703673297</v>
      </c>
      <c r="AG546" s="4">
        <f>$O$546*$AA$546</f>
        <v>0</v>
      </c>
    </row>
    <row r="547" spans="1:33" ht="11.25" customHeight="1" x14ac:dyDescent="0.25">
      <c r="A547" s="3" t="s">
        <v>21</v>
      </c>
      <c r="B547" s="3" t="s">
        <v>41</v>
      </c>
      <c r="C547" s="3" t="s">
        <v>61</v>
      </c>
      <c r="D547" s="3" t="s">
        <v>25</v>
      </c>
      <c r="E547" s="3" t="s">
        <v>25</v>
      </c>
      <c r="F547" s="3" t="s">
        <v>25</v>
      </c>
      <c r="G547" s="3" t="s">
        <v>62</v>
      </c>
      <c r="H547" s="3" t="s">
        <v>25</v>
      </c>
      <c r="I547" s="6">
        <v>44378</v>
      </c>
      <c r="J547" s="4">
        <v>0</v>
      </c>
      <c r="K547" s="4">
        <v>0</v>
      </c>
      <c r="L547" s="4">
        <v>1596.17</v>
      </c>
      <c r="M547" s="4">
        <v>1596.17</v>
      </c>
      <c r="N547" s="4">
        <v>0</v>
      </c>
      <c r="O547" s="4">
        <v>0</v>
      </c>
      <c r="P547" s="4">
        <v>0</v>
      </c>
      <c r="Q547" s="3" t="s">
        <v>63</v>
      </c>
      <c r="R547" s="3">
        <v>44</v>
      </c>
      <c r="S547" s="4">
        <v>0</v>
      </c>
      <c r="T547" s="4">
        <v>16</v>
      </c>
      <c r="U547" s="4">
        <v>0</v>
      </c>
      <c r="V547" s="4">
        <f>IF(ISERROR(VLOOKUP($S$547,'TAR FIN'!$A$1:$O$113,15,0)),0,VLOOKUP($S$547,'TAR FIN'!$A$1:$O$113,15,0))</f>
        <v>0</v>
      </c>
      <c r="W547" s="4">
        <f>IF(ISERROR(VLOOKUP($T$547,'TAR FIN'!$A$1:$O$113,15,0)),0,VLOOKUP($T$547,'TAR FIN'!$A$1:$O$113,15,0))</f>
        <v>9.65</v>
      </c>
      <c r="X547" s="4">
        <f>IF(ISERROR(VLOOKUP($U$547,'TAR FIN'!$A$1:$O$113,15,0)),0,VLOOKUP($U$547,'TAR FIN'!$A$1:$O$113,15,0))</f>
        <v>0</v>
      </c>
      <c r="Y547" s="4">
        <f ca="1">0.72*('TUSD BE'!$AM$23+'TUSD BF'!$AM$23+'TUSD CVA'!$AM$23)*1+('TUSD BE'!$AM$24+'TUSD BF'!$AM$24+'TUSD CVA'!$AM$24)*1</f>
        <v>42.583563671169571</v>
      </c>
      <c r="Z547" s="4">
        <f ca="1">('TUSD BE'!$AM$25+'TUSD BF'!$AM$25+'TUSD CVA'!$AM$25)*1</f>
        <v>11.150945133676805</v>
      </c>
      <c r="AA547" s="4"/>
      <c r="AB547" s="4">
        <f>$K$547*$V$547</f>
        <v>0</v>
      </c>
      <c r="AC547" s="4">
        <f>$M$547*$W$547</f>
        <v>15403.040500000001</v>
      </c>
      <c r="AD547" s="4">
        <f>$O$547*$X$547</f>
        <v>0</v>
      </c>
      <c r="AE547" s="4">
        <f ca="1">$K$547*$Y$547</f>
        <v>0</v>
      </c>
      <c r="AF547" s="4">
        <f ca="1">$M$547*$Z$547</f>
        <v>17798.804094020907</v>
      </c>
      <c r="AG547" s="4">
        <f>$O$547*$AA$547</f>
        <v>0</v>
      </c>
    </row>
    <row r="548" spans="1:33" ht="11.25" customHeight="1" x14ac:dyDescent="0.25">
      <c r="A548" s="3" t="s">
        <v>21</v>
      </c>
      <c r="B548" s="3" t="s">
        <v>41</v>
      </c>
      <c r="C548" s="3" t="s">
        <v>61</v>
      </c>
      <c r="D548" s="3" t="s">
        <v>25</v>
      </c>
      <c r="E548" s="3" t="s">
        <v>25</v>
      </c>
      <c r="F548" s="3" t="s">
        <v>25</v>
      </c>
      <c r="G548" s="3" t="s">
        <v>67</v>
      </c>
      <c r="H548" s="3" t="s">
        <v>25</v>
      </c>
      <c r="I548" s="6">
        <v>44378</v>
      </c>
      <c r="J548" s="4">
        <v>0</v>
      </c>
      <c r="K548" s="4">
        <v>0</v>
      </c>
      <c r="L548" s="4">
        <v>1852.33</v>
      </c>
      <c r="M548" s="4">
        <v>1852.33</v>
      </c>
      <c r="N548" s="4">
        <v>0</v>
      </c>
      <c r="O548" s="4">
        <v>0</v>
      </c>
      <c r="P548" s="4">
        <v>0</v>
      </c>
      <c r="Q548" s="3" t="s">
        <v>63</v>
      </c>
      <c r="R548" s="3">
        <v>47</v>
      </c>
      <c r="S548" s="4">
        <v>0</v>
      </c>
      <c r="T548" s="4">
        <v>19</v>
      </c>
      <c r="U548" s="4">
        <v>0</v>
      </c>
      <c r="V548" s="4">
        <f>IF(ISERROR(VLOOKUP($S$548,'TAR FIN'!$A$1:$O$113,15,0)),0,VLOOKUP($S$548,'TAR FIN'!$A$1:$O$113,15,0))</f>
        <v>0</v>
      </c>
      <c r="W548" s="4">
        <f>IF(ISERROR(VLOOKUP($T$548,'TAR FIN'!$A$1:$O$113,15,0)),0,VLOOKUP($T$548,'TAR FIN'!$A$1:$O$113,15,0))</f>
        <v>9.65</v>
      </c>
      <c r="X548" s="4">
        <f>IF(ISERROR(VLOOKUP($U$548,'TAR FIN'!$A$1:$O$113,15,0)),0,VLOOKUP($U$548,'TAR FIN'!$A$1:$O$113,15,0))</f>
        <v>0</v>
      </c>
      <c r="Y548" s="4">
        <f ca="1">0.72*('TUSD BE'!$AM$26+'TUSD BF'!$AM$26+'TUSD CVA'!$AM$26)*1+('TUSD BE'!$AM$27+'TUSD BF'!$AM$27+'TUSD CVA'!$AM$27)*1</f>
        <v>42.583563671169571</v>
      </c>
      <c r="Z548" s="4">
        <f ca="1">('TUSD BE'!$AM$28+'TUSD BF'!$AM$28+'TUSD CVA'!$AM$28)*1</f>
        <v>11.150945133676805</v>
      </c>
      <c r="AA548" s="4"/>
      <c r="AB548" s="4">
        <f>$K$548*$V$548</f>
        <v>0</v>
      </c>
      <c r="AC548" s="4">
        <f>$M$548*$W$548</f>
        <v>17874.984499999999</v>
      </c>
      <c r="AD548" s="4">
        <f>$O$548*$X$548</f>
        <v>0</v>
      </c>
      <c r="AE548" s="4">
        <f ca="1">$K$548*$Y$548</f>
        <v>0</v>
      </c>
      <c r="AF548" s="4">
        <f ca="1">$M$548*$Z$548</f>
        <v>20655.230199463556</v>
      </c>
      <c r="AG548" s="4">
        <f>$O$548*$AA$548</f>
        <v>0</v>
      </c>
    </row>
    <row r="549" spans="1:33" ht="11.25" customHeight="1" x14ac:dyDescent="0.25">
      <c r="A549" s="3" t="s">
        <v>21</v>
      </c>
      <c r="B549" s="3" t="s">
        <v>41</v>
      </c>
      <c r="C549" s="3" t="s">
        <v>61</v>
      </c>
      <c r="D549" s="3" t="s">
        <v>25</v>
      </c>
      <c r="E549" s="3" t="s">
        <v>25</v>
      </c>
      <c r="F549" s="3" t="s">
        <v>25</v>
      </c>
      <c r="G549" s="3" t="s">
        <v>62</v>
      </c>
      <c r="H549" s="3" t="s">
        <v>25</v>
      </c>
      <c r="I549" s="6">
        <v>44409</v>
      </c>
      <c r="J549" s="4">
        <v>0</v>
      </c>
      <c r="K549" s="4">
        <v>0</v>
      </c>
      <c r="L549" s="4">
        <v>1625.443</v>
      </c>
      <c r="M549" s="4">
        <v>1625.443</v>
      </c>
      <c r="N549" s="4">
        <v>0</v>
      </c>
      <c r="O549" s="4">
        <v>0</v>
      </c>
      <c r="P549" s="4">
        <v>0</v>
      </c>
      <c r="Q549" s="3" t="s">
        <v>63</v>
      </c>
      <c r="R549" s="3">
        <v>44</v>
      </c>
      <c r="S549" s="4">
        <v>0</v>
      </c>
      <c r="T549" s="4">
        <v>16</v>
      </c>
      <c r="U549" s="4">
        <v>0</v>
      </c>
      <c r="V549" s="4">
        <f>IF(ISERROR(VLOOKUP($S$549,'TAR FIN'!$A$1:$O$113,15,0)),0,VLOOKUP($S$549,'TAR FIN'!$A$1:$O$113,15,0))</f>
        <v>0</v>
      </c>
      <c r="W549" s="4">
        <f>IF(ISERROR(VLOOKUP($T$549,'TAR FIN'!$A$1:$O$113,15,0)),0,VLOOKUP($T$549,'TAR FIN'!$A$1:$O$113,15,0))</f>
        <v>9.65</v>
      </c>
      <c r="X549" s="4">
        <f>IF(ISERROR(VLOOKUP($U$549,'TAR FIN'!$A$1:$O$113,15,0)),0,VLOOKUP($U$549,'TAR FIN'!$A$1:$O$113,15,0))</f>
        <v>0</v>
      </c>
      <c r="Y549" s="4">
        <f ca="1">0.72*('TUSD BE'!$AM$23+'TUSD BF'!$AM$23+'TUSD CVA'!$AM$23)*1+('TUSD BE'!$AM$24+'TUSD BF'!$AM$24+'TUSD CVA'!$AM$24)*1</f>
        <v>42.583563671169571</v>
      </c>
      <c r="Z549" s="4">
        <f ca="1">('TUSD BE'!$AM$25+'TUSD BF'!$AM$25+'TUSD CVA'!$AM$25)*1</f>
        <v>11.150945133676805</v>
      </c>
      <c r="AA549" s="4"/>
      <c r="AB549" s="4">
        <f>$K$549*$V$549</f>
        <v>0</v>
      </c>
      <c r="AC549" s="4">
        <f>$M$549*$W$549</f>
        <v>15685.524950000001</v>
      </c>
      <c r="AD549" s="4">
        <f>$O$549*$X$549</f>
        <v>0</v>
      </c>
      <c r="AE549" s="4">
        <f ca="1">$K$549*$Y$549</f>
        <v>0</v>
      </c>
      <c r="AF549" s="4">
        <f ca="1">$M$549*$Z$549</f>
        <v>18125.225710919025</v>
      </c>
      <c r="AG549" s="4">
        <f>$O$549*$AA$549</f>
        <v>0</v>
      </c>
    </row>
    <row r="550" spans="1:33" ht="11.25" customHeight="1" x14ac:dyDescent="0.25">
      <c r="A550" s="3" t="s">
        <v>21</v>
      </c>
      <c r="B550" s="3" t="s">
        <v>41</v>
      </c>
      <c r="C550" s="3" t="s">
        <v>61</v>
      </c>
      <c r="D550" s="3" t="s">
        <v>25</v>
      </c>
      <c r="E550" s="3" t="s">
        <v>25</v>
      </c>
      <c r="F550" s="3" t="s">
        <v>25</v>
      </c>
      <c r="G550" s="3" t="s">
        <v>67</v>
      </c>
      <c r="H550" s="3" t="s">
        <v>25</v>
      </c>
      <c r="I550" s="6">
        <v>44409</v>
      </c>
      <c r="J550" s="4">
        <v>0</v>
      </c>
      <c r="K550" s="4">
        <v>0</v>
      </c>
      <c r="L550" s="4">
        <v>1840.6289999999999</v>
      </c>
      <c r="M550" s="4">
        <v>1840.6289999999999</v>
      </c>
      <c r="N550" s="4">
        <v>0</v>
      </c>
      <c r="O550" s="4">
        <v>0</v>
      </c>
      <c r="P550" s="4">
        <v>0</v>
      </c>
      <c r="Q550" s="3" t="s">
        <v>63</v>
      </c>
      <c r="R550" s="3">
        <v>47</v>
      </c>
      <c r="S550" s="4">
        <v>0</v>
      </c>
      <c r="T550" s="4">
        <v>19</v>
      </c>
      <c r="U550" s="4">
        <v>0</v>
      </c>
      <c r="V550" s="4">
        <f>IF(ISERROR(VLOOKUP($S$550,'TAR FIN'!$A$1:$O$113,15,0)),0,VLOOKUP($S$550,'TAR FIN'!$A$1:$O$113,15,0))</f>
        <v>0</v>
      </c>
      <c r="W550" s="4">
        <f>IF(ISERROR(VLOOKUP($T$550,'TAR FIN'!$A$1:$O$113,15,0)),0,VLOOKUP($T$550,'TAR FIN'!$A$1:$O$113,15,0))</f>
        <v>9.65</v>
      </c>
      <c r="X550" s="4">
        <f>IF(ISERROR(VLOOKUP($U$550,'TAR FIN'!$A$1:$O$113,15,0)),0,VLOOKUP($U$550,'TAR FIN'!$A$1:$O$113,15,0))</f>
        <v>0</v>
      </c>
      <c r="Y550" s="4">
        <f ca="1">0.72*('TUSD BE'!$AM$26+'TUSD BF'!$AM$26+'TUSD CVA'!$AM$26)*1+('TUSD BE'!$AM$27+'TUSD BF'!$AM$27+'TUSD CVA'!$AM$27)*1</f>
        <v>42.583563671169571</v>
      </c>
      <c r="Z550" s="4">
        <f ca="1">('TUSD BE'!$AM$28+'TUSD BF'!$AM$28+'TUSD CVA'!$AM$28)*1</f>
        <v>11.150945133676805</v>
      </c>
      <c r="AA550" s="4"/>
      <c r="AB550" s="4">
        <f>$K$550*$V$550</f>
        <v>0</v>
      </c>
      <c r="AC550" s="4">
        <f>$M$550*$W$550</f>
        <v>17762.06985</v>
      </c>
      <c r="AD550" s="4">
        <f>$O$550*$X$550</f>
        <v>0</v>
      </c>
      <c r="AE550" s="4">
        <f ca="1">$K$550*$Y$550</f>
        <v>0</v>
      </c>
      <c r="AF550" s="4">
        <f ca="1">$M$550*$Z$550</f>
        <v>20524.752990454403</v>
      </c>
      <c r="AG550" s="4">
        <f>$O$550*$AA$550</f>
        <v>0</v>
      </c>
    </row>
    <row r="551" spans="1:33" ht="11.25" customHeight="1" x14ac:dyDescent="0.25">
      <c r="A551" s="3" t="s">
        <v>21</v>
      </c>
      <c r="B551" s="3" t="s">
        <v>41</v>
      </c>
      <c r="C551" s="3" t="s">
        <v>61</v>
      </c>
      <c r="D551" s="3" t="s">
        <v>25</v>
      </c>
      <c r="E551" s="3" t="s">
        <v>25</v>
      </c>
      <c r="F551" s="3" t="s">
        <v>25</v>
      </c>
      <c r="G551" s="3" t="s">
        <v>62</v>
      </c>
      <c r="H551" s="3" t="s">
        <v>25</v>
      </c>
      <c r="I551" s="6">
        <v>44440</v>
      </c>
      <c r="J551" s="4">
        <v>0</v>
      </c>
      <c r="K551" s="4">
        <v>0</v>
      </c>
      <c r="L551" s="4">
        <v>1615.0909999999999</v>
      </c>
      <c r="M551" s="4">
        <v>1615.0909999999999</v>
      </c>
      <c r="N551" s="4">
        <v>0</v>
      </c>
      <c r="O551" s="4">
        <v>0</v>
      </c>
      <c r="P551" s="4">
        <v>0</v>
      </c>
      <c r="Q551" s="3" t="s">
        <v>63</v>
      </c>
      <c r="R551" s="3">
        <v>44</v>
      </c>
      <c r="S551" s="4">
        <v>0</v>
      </c>
      <c r="T551" s="4">
        <v>16</v>
      </c>
      <c r="U551" s="4">
        <v>0</v>
      </c>
      <c r="V551" s="4">
        <f>IF(ISERROR(VLOOKUP($S$551,'TAR FIN'!$A$1:$O$113,15,0)),0,VLOOKUP($S$551,'TAR FIN'!$A$1:$O$113,15,0))</f>
        <v>0</v>
      </c>
      <c r="W551" s="4">
        <f>IF(ISERROR(VLOOKUP($T$551,'TAR FIN'!$A$1:$O$113,15,0)),0,VLOOKUP($T$551,'TAR FIN'!$A$1:$O$113,15,0))</f>
        <v>9.65</v>
      </c>
      <c r="X551" s="4">
        <f>IF(ISERROR(VLOOKUP($U$551,'TAR FIN'!$A$1:$O$113,15,0)),0,VLOOKUP($U$551,'TAR FIN'!$A$1:$O$113,15,0))</f>
        <v>0</v>
      </c>
      <c r="Y551" s="4">
        <f ca="1">0.72*('TUSD BE'!$AM$23+'TUSD BF'!$AM$23+'TUSD CVA'!$AM$23)*1+('TUSD BE'!$AM$24+'TUSD BF'!$AM$24+'TUSD CVA'!$AM$24)*1</f>
        <v>42.583563671169571</v>
      </c>
      <c r="Z551" s="4">
        <f ca="1">('TUSD BE'!$AM$25+'TUSD BF'!$AM$25+'TUSD CVA'!$AM$25)*1</f>
        <v>11.150945133676805</v>
      </c>
      <c r="AA551" s="4"/>
      <c r="AB551" s="4">
        <f>$K$551*$V$551</f>
        <v>0</v>
      </c>
      <c r="AC551" s="4">
        <f>$M$551*$W$551</f>
        <v>15585.62815</v>
      </c>
      <c r="AD551" s="4">
        <f>$O$551*$X$551</f>
        <v>0</v>
      </c>
      <c r="AE551" s="4">
        <f ca="1">$K$551*$Y$551</f>
        <v>0</v>
      </c>
      <c r="AF551" s="4">
        <f ca="1">$M$551*$Z$551</f>
        <v>18009.791126895205</v>
      </c>
      <c r="AG551" s="4">
        <f>$O$551*$AA$551</f>
        <v>0</v>
      </c>
    </row>
    <row r="552" spans="1:33" ht="11.25" customHeight="1" x14ac:dyDescent="0.25">
      <c r="A552" s="3" t="s">
        <v>21</v>
      </c>
      <c r="B552" s="3" t="s">
        <v>41</v>
      </c>
      <c r="C552" s="3" t="s">
        <v>61</v>
      </c>
      <c r="D552" s="3" t="s">
        <v>25</v>
      </c>
      <c r="E552" s="3" t="s">
        <v>25</v>
      </c>
      <c r="F552" s="3" t="s">
        <v>25</v>
      </c>
      <c r="G552" s="3" t="s">
        <v>67</v>
      </c>
      <c r="H552" s="3" t="s">
        <v>25</v>
      </c>
      <c r="I552" s="6">
        <v>44440</v>
      </c>
      <c r="J552" s="4">
        <v>0</v>
      </c>
      <c r="K552" s="4">
        <v>0</v>
      </c>
      <c r="L552" s="4">
        <v>1839.097</v>
      </c>
      <c r="M552" s="4">
        <v>1839.097</v>
      </c>
      <c r="N552" s="4">
        <v>0</v>
      </c>
      <c r="O552" s="4">
        <v>0</v>
      </c>
      <c r="P552" s="4">
        <v>0</v>
      </c>
      <c r="Q552" s="3" t="s">
        <v>63</v>
      </c>
      <c r="R552" s="3">
        <v>47</v>
      </c>
      <c r="S552" s="4">
        <v>0</v>
      </c>
      <c r="T552" s="4">
        <v>19</v>
      </c>
      <c r="U552" s="4">
        <v>0</v>
      </c>
      <c r="V552" s="4">
        <f>IF(ISERROR(VLOOKUP($S$552,'TAR FIN'!$A$1:$O$113,15,0)),0,VLOOKUP($S$552,'TAR FIN'!$A$1:$O$113,15,0))</f>
        <v>0</v>
      </c>
      <c r="W552" s="4">
        <f>IF(ISERROR(VLOOKUP($T$552,'TAR FIN'!$A$1:$O$113,15,0)),0,VLOOKUP($T$552,'TAR FIN'!$A$1:$O$113,15,0))</f>
        <v>9.65</v>
      </c>
      <c r="X552" s="4">
        <f>IF(ISERROR(VLOOKUP($U$552,'TAR FIN'!$A$1:$O$113,15,0)),0,VLOOKUP($U$552,'TAR FIN'!$A$1:$O$113,15,0))</f>
        <v>0</v>
      </c>
      <c r="Y552" s="4">
        <f ca="1">0.72*('TUSD BE'!$AM$26+'TUSD BF'!$AM$26+'TUSD CVA'!$AM$26)*1+('TUSD BE'!$AM$27+'TUSD BF'!$AM$27+'TUSD CVA'!$AM$27)*1</f>
        <v>42.583563671169571</v>
      </c>
      <c r="Z552" s="4">
        <f ca="1">('TUSD BE'!$AM$28+'TUSD BF'!$AM$28+'TUSD CVA'!$AM$28)*1</f>
        <v>11.150945133676805</v>
      </c>
      <c r="AA552" s="4"/>
      <c r="AB552" s="4">
        <f>$K$552*$V$552</f>
        <v>0</v>
      </c>
      <c r="AC552" s="4">
        <f>$M$552*$W$552</f>
        <v>17747.286049999999</v>
      </c>
      <c r="AD552" s="4">
        <f>$O$552*$X$552</f>
        <v>0</v>
      </c>
      <c r="AE552" s="4">
        <f ca="1">$K$552*$Y$552</f>
        <v>0</v>
      </c>
      <c r="AF552" s="4">
        <f ca="1">$M$552*$Z$552</f>
        <v>20507.66974250961</v>
      </c>
      <c r="AG552" s="4">
        <f>$O$552*$AA$552</f>
        <v>0</v>
      </c>
    </row>
    <row r="553" spans="1:33" ht="11.25" customHeight="1" x14ac:dyDescent="0.25">
      <c r="A553" s="3" t="s">
        <v>21</v>
      </c>
      <c r="B553" s="3" t="s">
        <v>41</v>
      </c>
      <c r="C553" s="3" t="s">
        <v>61</v>
      </c>
      <c r="D553" s="3" t="s">
        <v>25</v>
      </c>
      <c r="E553" s="3" t="s">
        <v>25</v>
      </c>
      <c r="F553" s="3" t="s">
        <v>25</v>
      </c>
      <c r="G553" s="3" t="s">
        <v>62</v>
      </c>
      <c r="H553" s="3" t="s">
        <v>25</v>
      </c>
      <c r="I553" s="6">
        <v>44470</v>
      </c>
      <c r="J553" s="4">
        <v>0</v>
      </c>
      <c r="K553" s="4">
        <v>0</v>
      </c>
      <c r="L553" s="4">
        <v>1752.021</v>
      </c>
      <c r="M553" s="4">
        <v>1752.021</v>
      </c>
      <c r="N553" s="4">
        <v>0</v>
      </c>
      <c r="O553" s="4">
        <v>0</v>
      </c>
      <c r="P553" s="4">
        <v>0</v>
      </c>
      <c r="Q553" s="3" t="s">
        <v>63</v>
      </c>
      <c r="R553" s="3">
        <v>44</v>
      </c>
      <c r="S553" s="4">
        <v>0</v>
      </c>
      <c r="T553" s="4">
        <v>16</v>
      </c>
      <c r="U553" s="4">
        <v>0</v>
      </c>
      <c r="V553" s="4">
        <f>IF(ISERROR(VLOOKUP($S$553,'TAR FIN'!$A$1:$O$113,15,0)),0,VLOOKUP($S$553,'TAR FIN'!$A$1:$O$113,15,0))</f>
        <v>0</v>
      </c>
      <c r="W553" s="4">
        <f>IF(ISERROR(VLOOKUP($T$553,'TAR FIN'!$A$1:$O$113,15,0)),0,VLOOKUP($T$553,'TAR FIN'!$A$1:$O$113,15,0))</f>
        <v>9.65</v>
      </c>
      <c r="X553" s="4">
        <f>IF(ISERROR(VLOOKUP($U$553,'TAR FIN'!$A$1:$O$113,15,0)),0,VLOOKUP($U$553,'TAR FIN'!$A$1:$O$113,15,0))</f>
        <v>0</v>
      </c>
      <c r="Y553" s="4">
        <f ca="1">0.72*('TUSD BE'!$AM$23+'TUSD BF'!$AM$23+'TUSD CVA'!$AM$23)*1+('TUSD BE'!$AM$24+'TUSD BF'!$AM$24+'TUSD CVA'!$AM$24)*1</f>
        <v>42.583563671169571</v>
      </c>
      <c r="Z553" s="4">
        <f ca="1">('TUSD BE'!$AM$25+'TUSD BF'!$AM$25+'TUSD CVA'!$AM$25)*1</f>
        <v>11.150945133676805</v>
      </c>
      <c r="AA553" s="4"/>
      <c r="AB553" s="4">
        <f>$K$553*$V$553</f>
        <v>0</v>
      </c>
      <c r="AC553" s="4">
        <f>$M$553*$W$553</f>
        <v>16907.002649999999</v>
      </c>
      <c r="AD553" s="4">
        <f>$O$553*$X$553</f>
        <v>0</v>
      </c>
      <c r="AE553" s="4">
        <f ca="1">$K$553*$Y$553</f>
        <v>0</v>
      </c>
      <c r="AF553" s="4">
        <f ca="1">$M$553*$Z$553</f>
        <v>19536.69004404957</v>
      </c>
      <c r="AG553" s="4">
        <f>$O$553*$AA$553</f>
        <v>0</v>
      </c>
    </row>
    <row r="554" spans="1:33" ht="11.25" customHeight="1" x14ac:dyDescent="0.25">
      <c r="A554" s="3" t="s">
        <v>21</v>
      </c>
      <c r="B554" s="3" t="s">
        <v>41</v>
      </c>
      <c r="C554" s="3" t="s">
        <v>61</v>
      </c>
      <c r="D554" s="3" t="s">
        <v>25</v>
      </c>
      <c r="E554" s="3" t="s">
        <v>25</v>
      </c>
      <c r="F554" s="3" t="s">
        <v>25</v>
      </c>
      <c r="G554" s="3" t="s">
        <v>67</v>
      </c>
      <c r="H554" s="3" t="s">
        <v>25</v>
      </c>
      <c r="I554" s="6">
        <v>44470</v>
      </c>
      <c r="J554" s="4">
        <v>0</v>
      </c>
      <c r="K554" s="4">
        <v>0</v>
      </c>
      <c r="L554" s="4">
        <v>1905.72</v>
      </c>
      <c r="M554" s="4">
        <v>1905.72</v>
      </c>
      <c r="N554" s="4">
        <v>0</v>
      </c>
      <c r="O554" s="4">
        <v>0</v>
      </c>
      <c r="P554" s="4">
        <v>0</v>
      </c>
      <c r="Q554" s="3" t="s">
        <v>63</v>
      </c>
      <c r="R554" s="3">
        <v>47</v>
      </c>
      <c r="S554" s="4">
        <v>0</v>
      </c>
      <c r="T554" s="4">
        <v>19</v>
      </c>
      <c r="U554" s="4">
        <v>0</v>
      </c>
      <c r="V554" s="4">
        <f>IF(ISERROR(VLOOKUP($S$554,'TAR FIN'!$A$1:$O$113,15,0)),0,VLOOKUP($S$554,'TAR FIN'!$A$1:$O$113,15,0))</f>
        <v>0</v>
      </c>
      <c r="W554" s="4">
        <f>IF(ISERROR(VLOOKUP($T$554,'TAR FIN'!$A$1:$O$113,15,0)),0,VLOOKUP($T$554,'TAR FIN'!$A$1:$O$113,15,0))</f>
        <v>9.65</v>
      </c>
      <c r="X554" s="4">
        <f>IF(ISERROR(VLOOKUP($U$554,'TAR FIN'!$A$1:$O$113,15,0)),0,VLOOKUP($U$554,'TAR FIN'!$A$1:$O$113,15,0))</f>
        <v>0</v>
      </c>
      <c r="Y554" s="4">
        <f ca="1">0.72*('TUSD BE'!$AM$26+'TUSD BF'!$AM$26+'TUSD CVA'!$AM$26)*1+('TUSD BE'!$AM$27+'TUSD BF'!$AM$27+'TUSD CVA'!$AM$27)*1</f>
        <v>42.583563671169571</v>
      </c>
      <c r="Z554" s="4">
        <f ca="1">('TUSD BE'!$AM$28+'TUSD BF'!$AM$28+'TUSD CVA'!$AM$28)*1</f>
        <v>11.150945133676805</v>
      </c>
      <c r="AA554" s="4"/>
      <c r="AB554" s="4">
        <f>$K$554*$V$554</f>
        <v>0</v>
      </c>
      <c r="AC554" s="4">
        <f>$M$554*$W$554</f>
        <v>18390.198</v>
      </c>
      <c r="AD554" s="4">
        <f>$O$554*$X$554</f>
        <v>0</v>
      </c>
      <c r="AE554" s="4">
        <f ca="1">$K$554*$Y$554</f>
        <v>0</v>
      </c>
      <c r="AF554" s="4">
        <f ca="1">$M$554*$Z$554</f>
        <v>21250.579160150563</v>
      </c>
      <c r="AG554" s="4">
        <f>$O$554*$AA$554</f>
        <v>0</v>
      </c>
    </row>
    <row r="555" spans="1:33" ht="11.25" customHeight="1" x14ac:dyDescent="0.25">
      <c r="A555" s="3" t="s">
        <v>21</v>
      </c>
      <c r="B555" s="3" t="s">
        <v>41</v>
      </c>
      <c r="C555" s="3" t="s">
        <v>61</v>
      </c>
      <c r="D555" s="3" t="s">
        <v>25</v>
      </c>
      <c r="E555" s="3" t="s">
        <v>25</v>
      </c>
      <c r="F555" s="3" t="s">
        <v>25</v>
      </c>
      <c r="G555" s="3" t="s">
        <v>62</v>
      </c>
      <c r="H555" s="3" t="s">
        <v>25</v>
      </c>
      <c r="I555" s="6">
        <v>44501</v>
      </c>
      <c r="J555" s="4">
        <v>0</v>
      </c>
      <c r="K555" s="4">
        <v>0</v>
      </c>
      <c r="L555" s="4">
        <v>2026.8440000000001</v>
      </c>
      <c r="M555" s="4">
        <v>2026.8440000000001</v>
      </c>
      <c r="N555" s="4">
        <v>0</v>
      </c>
      <c r="O555" s="4">
        <v>0</v>
      </c>
      <c r="P555" s="4">
        <v>0</v>
      </c>
      <c r="Q555" s="3" t="s">
        <v>63</v>
      </c>
      <c r="R555" s="3">
        <v>44</v>
      </c>
      <c r="S555" s="4">
        <v>0</v>
      </c>
      <c r="T555" s="4">
        <v>16</v>
      </c>
      <c r="U555" s="4">
        <v>0</v>
      </c>
      <c r="V555" s="4">
        <f>IF(ISERROR(VLOOKUP($S$555,'TAR FIN'!$A$1:$O$113,15,0)),0,VLOOKUP($S$555,'TAR FIN'!$A$1:$O$113,15,0))</f>
        <v>0</v>
      </c>
      <c r="W555" s="4">
        <f>IF(ISERROR(VLOOKUP($T$555,'TAR FIN'!$A$1:$O$113,15,0)),0,VLOOKUP($T$555,'TAR FIN'!$A$1:$O$113,15,0))</f>
        <v>9.65</v>
      </c>
      <c r="X555" s="4">
        <f>IF(ISERROR(VLOOKUP($U$555,'TAR FIN'!$A$1:$O$113,15,0)),0,VLOOKUP($U$555,'TAR FIN'!$A$1:$O$113,15,0))</f>
        <v>0</v>
      </c>
      <c r="Y555" s="4">
        <f ca="1">0.72*('TUSD BE'!$AM$23+'TUSD BF'!$AM$23+'TUSD CVA'!$AM$23)*1+('TUSD BE'!$AM$24+'TUSD BF'!$AM$24+'TUSD CVA'!$AM$24)*1</f>
        <v>42.583563671169571</v>
      </c>
      <c r="Z555" s="4">
        <f ca="1">('TUSD BE'!$AM$25+'TUSD BF'!$AM$25+'TUSD CVA'!$AM$25)*1</f>
        <v>11.150945133676805</v>
      </c>
      <c r="AA555" s="4"/>
      <c r="AB555" s="4">
        <f>$K$555*$V$555</f>
        <v>0</v>
      </c>
      <c r="AC555" s="4">
        <f>$M$555*$W$555</f>
        <v>19559.044600000001</v>
      </c>
      <c r="AD555" s="4">
        <f>$O$555*$X$555</f>
        <v>0</v>
      </c>
      <c r="AE555" s="4">
        <f ca="1">$K$555*$Y$555</f>
        <v>0</v>
      </c>
      <c r="AF555" s="4">
        <f ca="1">$M$555*$Z$555</f>
        <v>22601.226238522031</v>
      </c>
      <c r="AG555" s="4">
        <f>$O$555*$AA$555</f>
        <v>0</v>
      </c>
    </row>
    <row r="556" spans="1:33" ht="11.25" customHeight="1" x14ac:dyDescent="0.25">
      <c r="A556" s="3" t="s">
        <v>21</v>
      </c>
      <c r="B556" s="3" t="s">
        <v>41</v>
      </c>
      <c r="C556" s="3" t="s">
        <v>61</v>
      </c>
      <c r="D556" s="3" t="s">
        <v>25</v>
      </c>
      <c r="E556" s="3" t="s">
        <v>25</v>
      </c>
      <c r="F556" s="3" t="s">
        <v>25</v>
      </c>
      <c r="G556" s="3" t="s">
        <v>67</v>
      </c>
      <c r="H556" s="3" t="s">
        <v>25</v>
      </c>
      <c r="I556" s="6">
        <v>44501</v>
      </c>
      <c r="J556" s="4">
        <v>0</v>
      </c>
      <c r="K556" s="4">
        <v>0</v>
      </c>
      <c r="L556" s="4">
        <v>2054.6640000000002</v>
      </c>
      <c r="M556" s="4">
        <v>2054.6640000000002</v>
      </c>
      <c r="N556" s="4">
        <v>0</v>
      </c>
      <c r="O556" s="4">
        <v>0</v>
      </c>
      <c r="P556" s="4">
        <v>0</v>
      </c>
      <c r="Q556" s="3" t="s">
        <v>63</v>
      </c>
      <c r="R556" s="3">
        <v>47</v>
      </c>
      <c r="S556" s="4">
        <v>0</v>
      </c>
      <c r="T556" s="4">
        <v>19</v>
      </c>
      <c r="U556" s="4">
        <v>0</v>
      </c>
      <c r="V556" s="4">
        <f>IF(ISERROR(VLOOKUP($S$556,'TAR FIN'!$A$1:$O$113,15,0)),0,VLOOKUP($S$556,'TAR FIN'!$A$1:$O$113,15,0))</f>
        <v>0</v>
      </c>
      <c r="W556" s="4">
        <f>IF(ISERROR(VLOOKUP($T$556,'TAR FIN'!$A$1:$O$113,15,0)),0,VLOOKUP($T$556,'TAR FIN'!$A$1:$O$113,15,0))</f>
        <v>9.65</v>
      </c>
      <c r="X556" s="4">
        <f>IF(ISERROR(VLOOKUP($U$556,'TAR FIN'!$A$1:$O$113,15,0)),0,VLOOKUP($U$556,'TAR FIN'!$A$1:$O$113,15,0))</f>
        <v>0</v>
      </c>
      <c r="Y556" s="4">
        <f ca="1">0.72*('TUSD BE'!$AM$26+'TUSD BF'!$AM$26+'TUSD CVA'!$AM$26)*1+('TUSD BE'!$AM$27+'TUSD BF'!$AM$27+'TUSD CVA'!$AM$27)*1</f>
        <v>42.583563671169571</v>
      </c>
      <c r="Z556" s="4">
        <f ca="1">('TUSD BE'!$AM$28+'TUSD BF'!$AM$28+'TUSD CVA'!$AM$28)*1</f>
        <v>11.150945133676805</v>
      </c>
      <c r="AA556" s="4"/>
      <c r="AB556" s="4">
        <f>$K$556*$V$556</f>
        <v>0</v>
      </c>
      <c r="AC556" s="4">
        <f>$M$556*$W$556</f>
        <v>19827.507600000004</v>
      </c>
      <c r="AD556" s="4">
        <f>$O$556*$X$556</f>
        <v>0</v>
      </c>
      <c r="AE556" s="4">
        <f ca="1">$K$556*$Y$556</f>
        <v>0</v>
      </c>
      <c r="AF556" s="4">
        <f ca="1">$M$556*$Z$556</f>
        <v>22911.445532140922</v>
      </c>
      <c r="AG556" s="4">
        <f>$O$556*$AA$556</f>
        <v>0</v>
      </c>
    </row>
    <row r="557" spans="1:33" ht="11.25" customHeight="1" x14ac:dyDescent="0.25">
      <c r="A557" s="3" t="s">
        <v>21</v>
      </c>
      <c r="B557" s="3" t="s">
        <v>41</v>
      </c>
      <c r="C557" s="3" t="s">
        <v>61</v>
      </c>
      <c r="D557" s="3" t="s">
        <v>25</v>
      </c>
      <c r="E557" s="3" t="s">
        <v>25</v>
      </c>
      <c r="F557" s="3" t="s">
        <v>25</v>
      </c>
      <c r="G557" s="3" t="s">
        <v>62</v>
      </c>
      <c r="H557" s="3" t="s">
        <v>25</v>
      </c>
      <c r="I557" s="6">
        <v>44531</v>
      </c>
      <c r="J557" s="4">
        <v>0</v>
      </c>
      <c r="K557" s="4">
        <v>0</v>
      </c>
      <c r="L557" s="4">
        <v>2068.3890000000001</v>
      </c>
      <c r="M557" s="4">
        <v>2068.3890000000001</v>
      </c>
      <c r="N557" s="4">
        <v>0</v>
      </c>
      <c r="O557" s="4">
        <v>0</v>
      </c>
      <c r="P557" s="4">
        <v>0</v>
      </c>
      <c r="Q557" s="3" t="s">
        <v>63</v>
      </c>
      <c r="R557" s="3">
        <v>44</v>
      </c>
      <c r="S557" s="4">
        <v>0</v>
      </c>
      <c r="T557" s="4">
        <v>16</v>
      </c>
      <c r="U557" s="4">
        <v>0</v>
      </c>
      <c r="V557" s="4">
        <f>IF(ISERROR(VLOOKUP($S$557,'TAR FIN'!$A$1:$O$113,15,0)),0,VLOOKUP($S$557,'TAR FIN'!$A$1:$O$113,15,0))</f>
        <v>0</v>
      </c>
      <c r="W557" s="4">
        <f>IF(ISERROR(VLOOKUP($T$557,'TAR FIN'!$A$1:$O$113,15,0)),0,VLOOKUP($T$557,'TAR FIN'!$A$1:$O$113,15,0))</f>
        <v>9.65</v>
      </c>
      <c r="X557" s="4">
        <f>IF(ISERROR(VLOOKUP($U$557,'TAR FIN'!$A$1:$O$113,15,0)),0,VLOOKUP($U$557,'TAR FIN'!$A$1:$O$113,15,0))</f>
        <v>0</v>
      </c>
      <c r="Y557" s="4">
        <f ca="1">0.72*('TUSD BE'!$AM$23+'TUSD BF'!$AM$23+'TUSD CVA'!$AM$23)*1+('TUSD BE'!$AM$24+'TUSD BF'!$AM$24+'TUSD CVA'!$AM$24)*1</f>
        <v>42.583563671169571</v>
      </c>
      <c r="Z557" s="4">
        <f ca="1">('TUSD BE'!$AM$25+'TUSD BF'!$AM$25+'TUSD CVA'!$AM$25)*1</f>
        <v>11.150945133676805</v>
      </c>
      <c r="AA557" s="4"/>
      <c r="AB557" s="4">
        <f>$K$557*$V$557</f>
        <v>0</v>
      </c>
      <c r="AC557" s="4">
        <f>$M$557*$W$557</f>
        <v>19959.953850000002</v>
      </c>
      <c r="AD557" s="4">
        <f>$O$557*$X$557</f>
        <v>0</v>
      </c>
      <c r="AE557" s="4">
        <f ca="1">$K$557*$Y$557</f>
        <v>0</v>
      </c>
      <c r="AF557" s="4">
        <f ca="1">$M$557*$Z$557</f>
        <v>23064.492254100634</v>
      </c>
      <c r="AG557" s="4">
        <f>$O$557*$AA$557</f>
        <v>0</v>
      </c>
    </row>
    <row r="558" spans="1:33" ht="11.25" customHeight="1" x14ac:dyDescent="0.25">
      <c r="A558" s="3" t="s">
        <v>21</v>
      </c>
      <c r="B558" s="3" t="s">
        <v>41</v>
      </c>
      <c r="C558" s="3" t="s">
        <v>61</v>
      </c>
      <c r="D558" s="3" t="s">
        <v>25</v>
      </c>
      <c r="E558" s="3" t="s">
        <v>25</v>
      </c>
      <c r="F558" s="3" t="s">
        <v>25</v>
      </c>
      <c r="G558" s="3" t="s">
        <v>67</v>
      </c>
      <c r="H558" s="3" t="s">
        <v>25</v>
      </c>
      <c r="I558" s="6">
        <v>44531</v>
      </c>
      <c r="J558" s="4">
        <v>0</v>
      </c>
      <c r="K558" s="4">
        <v>0</v>
      </c>
      <c r="L558" s="4">
        <v>2139.694</v>
      </c>
      <c r="M558" s="4">
        <v>2139.694</v>
      </c>
      <c r="N558" s="4">
        <v>0</v>
      </c>
      <c r="O558" s="4">
        <v>0</v>
      </c>
      <c r="P558" s="4">
        <v>0</v>
      </c>
      <c r="Q558" s="3" t="s">
        <v>63</v>
      </c>
      <c r="R558" s="3">
        <v>47</v>
      </c>
      <c r="S558" s="4">
        <v>0</v>
      </c>
      <c r="T558" s="4">
        <v>19</v>
      </c>
      <c r="U558" s="4">
        <v>0</v>
      </c>
      <c r="V558" s="4">
        <f>IF(ISERROR(VLOOKUP($S$558,'TAR FIN'!$A$1:$O$113,15,0)),0,VLOOKUP($S$558,'TAR FIN'!$A$1:$O$113,15,0))</f>
        <v>0</v>
      </c>
      <c r="W558" s="4">
        <f>IF(ISERROR(VLOOKUP($T$558,'TAR FIN'!$A$1:$O$113,15,0)),0,VLOOKUP($T$558,'TAR FIN'!$A$1:$O$113,15,0))</f>
        <v>9.65</v>
      </c>
      <c r="X558" s="4">
        <f>IF(ISERROR(VLOOKUP($U$558,'TAR FIN'!$A$1:$O$113,15,0)),0,VLOOKUP($U$558,'TAR FIN'!$A$1:$O$113,15,0))</f>
        <v>0</v>
      </c>
      <c r="Y558" s="4">
        <f ca="1">0.72*('TUSD BE'!$AM$26+'TUSD BF'!$AM$26+'TUSD CVA'!$AM$26)*1+('TUSD BE'!$AM$27+'TUSD BF'!$AM$27+'TUSD CVA'!$AM$27)*1</f>
        <v>42.583563671169571</v>
      </c>
      <c r="Z558" s="4">
        <f ca="1">('TUSD BE'!$AM$28+'TUSD BF'!$AM$28+'TUSD CVA'!$AM$28)*1</f>
        <v>11.150945133676805</v>
      </c>
      <c r="AA558" s="4"/>
      <c r="AB558" s="4">
        <f>$K$558*$V$558</f>
        <v>0</v>
      </c>
      <c r="AC558" s="4">
        <f>$M$558*$W$558</f>
        <v>20648.0471</v>
      </c>
      <c r="AD558" s="4">
        <f>$O$558*$X$558</f>
        <v>0</v>
      </c>
      <c r="AE558" s="4">
        <f ca="1">$K$558*$Y$558</f>
        <v>0</v>
      </c>
      <c r="AF558" s="4">
        <f ca="1">$M$558*$Z$558</f>
        <v>23859.610396857457</v>
      </c>
      <c r="AG558" s="4">
        <f>$O$558*$AA$558</f>
        <v>0</v>
      </c>
    </row>
    <row r="559" spans="1:33" ht="11.25" customHeight="1" x14ac:dyDescent="0.25">
      <c r="A559" s="3" t="s">
        <v>21</v>
      </c>
      <c r="B559" s="3" t="s">
        <v>41</v>
      </c>
      <c r="C559" s="3" t="s">
        <v>61</v>
      </c>
      <c r="D559" s="3" t="s">
        <v>25</v>
      </c>
      <c r="E559" s="3" t="s">
        <v>25</v>
      </c>
      <c r="F559" s="3" t="s">
        <v>25</v>
      </c>
      <c r="G559" s="3" t="s">
        <v>62</v>
      </c>
      <c r="H559" s="3" t="s">
        <v>25</v>
      </c>
      <c r="I559" s="6">
        <v>44562</v>
      </c>
      <c r="J559" s="4">
        <v>0</v>
      </c>
      <c r="K559" s="4">
        <v>0</v>
      </c>
      <c r="L559" s="4">
        <v>2052.9780000000001</v>
      </c>
      <c r="M559" s="4">
        <v>2052.9780000000001</v>
      </c>
      <c r="N559" s="4">
        <v>0</v>
      </c>
      <c r="O559" s="4">
        <v>0</v>
      </c>
      <c r="P559" s="4">
        <v>0</v>
      </c>
      <c r="Q559" s="3" t="s">
        <v>63</v>
      </c>
      <c r="R559" s="3">
        <v>44</v>
      </c>
      <c r="S559" s="4">
        <v>0</v>
      </c>
      <c r="T559" s="4">
        <v>16</v>
      </c>
      <c r="U559" s="4">
        <v>0</v>
      </c>
      <c r="V559" s="4">
        <f>IF(ISERROR(VLOOKUP($S$559,'TAR FIN'!$A$1:$O$113,15,0)),0,VLOOKUP($S$559,'TAR FIN'!$A$1:$O$113,15,0))</f>
        <v>0</v>
      </c>
      <c r="W559" s="4">
        <f>IF(ISERROR(VLOOKUP($T$559,'TAR FIN'!$A$1:$O$113,15,0)),0,VLOOKUP($T$559,'TAR FIN'!$A$1:$O$113,15,0))</f>
        <v>9.65</v>
      </c>
      <c r="X559" s="4">
        <f>IF(ISERROR(VLOOKUP($U$559,'TAR FIN'!$A$1:$O$113,15,0)),0,VLOOKUP($U$559,'TAR FIN'!$A$1:$O$113,15,0))</f>
        <v>0</v>
      </c>
      <c r="Y559" s="4">
        <f ca="1">0.72*('TUSD BE'!$AM$23+'TUSD BF'!$AM$23+'TUSD CVA'!$AM$23)*1+('TUSD BE'!$AM$24+'TUSD BF'!$AM$24+'TUSD CVA'!$AM$24)*1</f>
        <v>42.583563671169571</v>
      </c>
      <c r="Z559" s="4">
        <f ca="1">('TUSD BE'!$AM$25+'TUSD BF'!$AM$25+'TUSD CVA'!$AM$25)*1</f>
        <v>11.150945133676805</v>
      </c>
      <c r="AA559" s="4"/>
      <c r="AB559" s="4">
        <f>$K$559*$V$559</f>
        <v>0</v>
      </c>
      <c r="AC559" s="4">
        <f>$M$559*$W$559</f>
        <v>19811.237700000001</v>
      </c>
      <c r="AD559" s="4">
        <f>$O$559*$X$559</f>
        <v>0</v>
      </c>
      <c r="AE559" s="4">
        <f ca="1">$K$559*$Y$559</f>
        <v>0</v>
      </c>
      <c r="AF559" s="4">
        <f ca="1">$M$559*$Z$559</f>
        <v>22892.64503864554</v>
      </c>
      <c r="AG559" s="4">
        <f>$O$559*$AA$559</f>
        <v>0</v>
      </c>
    </row>
    <row r="560" spans="1:33" ht="11.25" customHeight="1" x14ac:dyDescent="0.25">
      <c r="A560" s="3" t="s">
        <v>21</v>
      </c>
      <c r="B560" s="3" t="s">
        <v>41</v>
      </c>
      <c r="C560" s="3" t="s">
        <v>61</v>
      </c>
      <c r="D560" s="3" t="s">
        <v>25</v>
      </c>
      <c r="E560" s="3" t="s">
        <v>25</v>
      </c>
      <c r="F560" s="3" t="s">
        <v>25</v>
      </c>
      <c r="G560" s="3" t="s">
        <v>67</v>
      </c>
      <c r="H560" s="3" t="s">
        <v>25</v>
      </c>
      <c r="I560" s="6">
        <v>44562</v>
      </c>
      <c r="J560" s="4">
        <v>0</v>
      </c>
      <c r="K560" s="4">
        <v>0</v>
      </c>
      <c r="L560" s="4">
        <v>2035.79</v>
      </c>
      <c r="M560" s="4">
        <v>2035.79</v>
      </c>
      <c r="N560" s="4">
        <v>0</v>
      </c>
      <c r="O560" s="4">
        <v>0</v>
      </c>
      <c r="P560" s="4">
        <v>0</v>
      </c>
      <c r="Q560" s="3" t="s">
        <v>63</v>
      </c>
      <c r="R560" s="3">
        <v>47</v>
      </c>
      <c r="S560" s="4">
        <v>0</v>
      </c>
      <c r="T560" s="4">
        <v>19</v>
      </c>
      <c r="U560" s="4">
        <v>0</v>
      </c>
      <c r="V560" s="4">
        <f>IF(ISERROR(VLOOKUP($S$560,'TAR FIN'!$A$1:$O$113,15,0)),0,VLOOKUP($S$560,'TAR FIN'!$A$1:$O$113,15,0))</f>
        <v>0</v>
      </c>
      <c r="W560" s="4">
        <f>IF(ISERROR(VLOOKUP($T$560,'TAR FIN'!$A$1:$O$113,15,0)),0,VLOOKUP($T$560,'TAR FIN'!$A$1:$O$113,15,0))</f>
        <v>9.65</v>
      </c>
      <c r="X560" s="4">
        <f>IF(ISERROR(VLOOKUP($U$560,'TAR FIN'!$A$1:$O$113,15,0)),0,VLOOKUP($U$560,'TAR FIN'!$A$1:$O$113,15,0))</f>
        <v>0</v>
      </c>
      <c r="Y560" s="4">
        <f ca="1">0.72*('TUSD BE'!$AM$26+'TUSD BF'!$AM$26+'TUSD CVA'!$AM$26)*1+('TUSD BE'!$AM$27+'TUSD BF'!$AM$27+'TUSD CVA'!$AM$27)*1</f>
        <v>42.583563671169571</v>
      </c>
      <c r="Z560" s="4">
        <f ca="1">('TUSD BE'!$AM$28+'TUSD BF'!$AM$28+'TUSD CVA'!$AM$28)*1</f>
        <v>11.150945133676805</v>
      </c>
      <c r="AA560" s="4"/>
      <c r="AB560" s="4">
        <f>$K$560*$V$560</f>
        <v>0</v>
      </c>
      <c r="AC560" s="4">
        <f>$M$560*$W$560</f>
        <v>19645.373500000002</v>
      </c>
      <c r="AD560" s="4">
        <f>$O$560*$X$560</f>
        <v>0</v>
      </c>
      <c r="AE560" s="4">
        <f ca="1">$K$560*$Y$560</f>
        <v>0</v>
      </c>
      <c r="AF560" s="4">
        <f ca="1">$M$560*$Z$560</f>
        <v>22700.982593687902</v>
      </c>
      <c r="AG560" s="4">
        <f>$O$560*$AA$560</f>
        <v>0</v>
      </c>
    </row>
    <row r="561" spans="1:33" ht="11.25" customHeight="1" x14ac:dyDescent="0.25">
      <c r="A561" s="3" t="s">
        <v>21</v>
      </c>
      <c r="B561" s="3" t="s">
        <v>41</v>
      </c>
      <c r="C561" s="3" t="s">
        <v>61</v>
      </c>
      <c r="D561" s="3" t="s">
        <v>25</v>
      </c>
      <c r="E561" s="3" t="s">
        <v>25</v>
      </c>
      <c r="F561" s="3" t="s">
        <v>25</v>
      </c>
      <c r="G561" s="3" t="s">
        <v>62</v>
      </c>
      <c r="H561" s="3" t="s">
        <v>25</v>
      </c>
      <c r="I561" s="6">
        <v>44593</v>
      </c>
      <c r="J561" s="4">
        <v>0</v>
      </c>
      <c r="K561" s="4">
        <v>0</v>
      </c>
      <c r="L561" s="4">
        <v>2104.1329999999998</v>
      </c>
      <c r="M561" s="4">
        <v>2104.1329999999998</v>
      </c>
      <c r="N561" s="4">
        <v>0</v>
      </c>
      <c r="O561" s="4">
        <v>0</v>
      </c>
      <c r="P561" s="4">
        <v>0</v>
      </c>
      <c r="Q561" s="3" t="s">
        <v>63</v>
      </c>
      <c r="R561" s="3">
        <v>44</v>
      </c>
      <c r="S561" s="4">
        <v>0</v>
      </c>
      <c r="T561" s="4">
        <v>16</v>
      </c>
      <c r="U561" s="4">
        <v>0</v>
      </c>
      <c r="V561" s="4">
        <f>IF(ISERROR(VLOOKUP($S$561,'TAR FIN'!$A$1:$O$113,15,0)),0,VLOOKUP($S$561,'TAR FIN'!$A$1:$O$113,15,0))</f>
        <v>0</v>
      </c>
      <c r="W561" s="4">
        <f>IF(ISERROR(VLOOKUP($T$561,'TAR FIN'!$A$1:$O$113,15,0)),0,VLOOKUP($T$561,'TAR FIN'!$A$1:$O$113,15,0))</f>
        <v>9.65</v>
      </c>
      <c r="X561" s="4">
        <f>IF(ISERROR(VLOOKUP($U$561,'TAR FIN'!$A$1:$O$113,15,0)),0,VLOOKUP($U$561,'TAR FIN'!$A$1:$O$113,15,0))</f>
        <v>0</v>
      </c>
      <c r="Y561" s="4">
        <f ca="1">0.72*('TUSD BE'!$AM$23+'TUSD BF'!$AM$23+'TUSD CVA'!$AM$23)*1+('TUSD BE'!$AM$24+'TUSD BF'!$AM$24+'TUSD CVA'!$AM$24)*1</f>
        <v>42.583563671169571</v>
      </c>
      <c r="Z561" s="4">
        <f ca="1">('TUSD BE'!$AM$25+'TUSD BF'!$AM$25+'TUSD CVA'!$AM$25)*1</f>
        <v>11.150945133676805</v>
      </c>
      <c r="AA561" s="4"/>
      <c r="AB561" s="4">
        <f>$K$561*$V$561</f>
        <v>0</v>
      </c>
      <c r="AC561" s="4">
        <f>$M$561*$W$561</f>
        <v>20304.883449999998</v>
      </c>
      <c r="AD561" s="4">
        <f>$O$561*$X$561</f>
        <v>0</v>
      </c>
      <c r="AE561" s="4">
        <f ca="1">$K$561*$Y$561</f>
        <v>0</v>
      </c>
      <c r="AF561" s="4">
        <f ca="1">$M$561*$Z$561</f>
        <v>23463.071636958775</v>
      </c>
      <c r="AG561" s="4">
        <f>$O$561*$AA$561</f>
        <v>0</v>
      </c>
    </row>
    <row r="562" spans="1:33" ht="11.25" customHeight="1" x14ac:dyDescent="0.25">
      <c r="A562" s="3" t="s">
        <v>21</v>
      </c>
      <c r="B562" s="3" t="s">
        <v>41</v>
      </c>
      <c r="C562" s="3" t="s">
        <v>61</v>
      </c>
      <c r="D562" s="3" t="s">
        <v>25</v>
      </c>
      <c r="E562" s="3" t="s">
        <v>25</v>
      </c>
      <c r="F562" s="3" t="s">
        <v>25</v>
      </c>
      <c r="G562" s="3" t="s">
        <v>67</v>
      </c>
      <c r="H562" s="3" t="s">
        <v>25</v>
      </c>
      <c r="I562" s="6">
        <v>44593</v>
      </c>
      <c r="J562" s="4">
        <v>0</v>
      </c>
      <c r="K562" s="4">
        <v>0</v>
      </c>
      <c r="L562" s="4">
        <v>2067.6849999999999</v>
      </c>
      <c r="M562" s="4">
        <v>2067.6849999999999</v>
      </c>
      <c r="N562" s="4">
        <v>0</v>
      </c>
      <c r="O562" s="4">
        <v>0</v>
      </c>
      <c r="P562" s="4">
        <v>0</v>
      </c>
      <c r="Q562" s="3" t="s">
        <v>63</v>
      </c>
      <c r="R562" s="3">
        <v>47</v>
      </c>
      <c r="S562" s="4">
        <v>0</v>
      </c>
      <c r="T562" s="4">
        <v>19</v>
      </c>
      <c r="U562" s="4">
        <v>0</v>
      </c>
      <c r="V562" s="4">
        <f>IF(ISERROR(VLOOKUP($S$562,'TAR FIN'!$A$1:$O$113,15,0)),0,VLOOKUP($S$562,'TAR FIN'!$A$1:$O$113,15,0))</f>
        <v>0</v>
      </c>
      <c r="W562" s="4">
        <f>IF(ISERROR(VLOOKUP($T$562,'TAR FIN'!$A$1:$O$113,15,0)),0,VLOOKUP($T$562,'TAR FIN'!$A$1:$O$113,15,0))</f>
        <v>9.65</v>
      </c>
      <c r="X562" s="4">
        <f>IF(ISERROR(VLOOKUP($U$562,'TAR FIN'!$A$1:$O$113,15,0)),0,VLOOKUP($U$562,'TAR FIN'!$A$1:$O$113,15,0))</f>
        <v>0</v>
      </c>
      <c r="Y562" s="4">
        <f ca="1">0.72*('TUSD BE'!$AM$26+'TUSD BF'!$AM$26+'TUSD CVA'!$AM$26)*1+('TUSD BE'!$AM$27+'TUSD BF'!$AM$27+'TUSD CVA'!$AM$27)*1</f>
        <v>42.583563671169571</v>
      </c>
      <c r="Z562" s="4">
        <f ca="1">('TUSD BE'!$AM$28+'TUSD BF'!$AM$28+'TUSD CVA'!$AM$28)*1</f>
        <v>11.150945133676805</v>
      </c>
      <c r="AA562" s="4"/>
      <c r="AB562" s="4">
        <f>$K$562*$V$562</f>
        <v>0</v>
      </c>
      <c r="AC562" s="4">
        <f>$M$562*$W$562</f>
        <v>19953.160250000001</v>
      </c>
      <c r="AD562" s="4">
        <f>$O$562*$X$562</f>
        <v>0</v>
      </c>
      <c r="AE562" s="4">
        <f ca="1">$K$562*$Y$562</f>
        <v>0</v>
      </c>
      <c r="AF562" s="4">
        <f ca="1">$M$562*$Z$562</f>
        <v>23056.641988726522</v>
      </c>
      <c r="AG562" s="4">
        <f>$O$562*$AA$562</f>
        <v>0</v>
      </c>
    </row>
    <row r="563" spans="1:33" ht="11.25" customHeight="1" x14ac:dyDescent="0.25">
      <c r="A563" s="3" t="s">
        <v>56</v>
      </c>
      <c r="B563" s="3" t="s">
        <v>41</v>
      </c>
      <c r="C563" s="3" t="s">
        <v>61</v>
      </c>
      <c r="D563" s="3" t="s">
        <v>25</v>
      </c>
      <c r="E563" s="3" t="s">
        <v>25</v>
      </c>
      <c r="F563" s="3" t="s">
        <v>25</v>
      </c>
      <c r="G563" s="3" t="s">
        <v>62</v>
      </c>
      <c r="H563" s="3" t="s">
        <v>25</v>
      </c>
      <c r="I563" s="6">
        <v>44621</v>
      </c>
      <c r="J563" s="4">
        <v>0</v>
      </c>
      <c r="K563" s="4">
        <v>0</v>
      </c>
      <c r="L563" s="4">
        <v>2104.1329999999998</v>
      </c>
      <c r="M563" s="4">
        <v>2104.1329999999998</v>
      </c>
      <c r="N563" s="4">
        <v>0</v>
      </c>
      <c r="O563" s="4">
        <v>0</v>
      </c>
      <c r="P563" s="4">
        <v>0</v>
      </c>
      <c r="Q563" s="3" t="s">
        <v>63</v>
      </c>
      <c r="R563" s="3">
        <v>44</v>
      </c>
      <c r="S563" s="4">
        <v>0</v>
      </c>
      <c r="T563" s="4">
        <v>16</v>
      </c>
      <c r="U563" s="4">
        <v>0</v>
      </c>
      <c r="V563" s="4">
        <f>IF(ISERROR(VLOOKUP($S$563,'TAR FIN'!$A$1:$O$113,15,0)),0,VLOOKUP($S$563,'TAR FIN'!$A$1:$O$113,15,0))</f>
        <v>0</v>
      </c>
      <c r="W563" s="4">
        <f>IF(ISERROR(VLOOKUP($T$563,'TAR FIN'!$A$1:$O$113,15,0)),0,VLOOKUP($T$563,'TAR FIN'!$A$1:$O$113,15,0))</f>
        <v>9.65</v>
      </c>
      <c r="X563" s="4">
        <f>IF(ISERROR(VLOOKUP($U$563,'TAR FIN'!$A$1:$O$113,15,0)),0,VLOOKUP($U$563,'TAR FIN'!$A$1:$O$113,15,0))</f>
        <v>0</v>
      </c>
      <c r="Y563" s="4">
        <f ca="1">0.72*('TUSD BE'!$AM$23+'TUSD BF'!$AM$23+'TUSD CVA'!$AM$23)*1+('TUSD BE'!$AM$24+'TUSD BF'!$AM$24+'TUSD CVA'!$AM$24)*1</f>
        <v>42.583563671169571</v>
      </c>
      <c r="Z563" s="4">
        <f ca="1">('TUSD BE'!$AM$25+'TUSD BF'!$AM$25+'TUSD CVA'!$AM$25)*1</f>
        <v>11.150945133676805</v>
      </c>
      <c r="AA563" s="4"/>
      <c r="AB563" s="4">
        <f>$K$563*$V$563</f>
        <v>0</v>
      </c>
      <c r="AC563" s="4">
        <f>$M$563*$W$563</f>
        <v>20304.883449999998</v>
      </c>
      <c r="AD563" s="4">
        <f>$O$563*$X$563</f>
        <v>0</v>
      </c>
      <c r="AE563" s="4">
        <f ca="1">$K$563*$Y$563</f>
        <v>0</v>
      </c>
      <c r="AF563" s="4">
        <f ca="1">$M$563*$Z$563</f>
        <v>23463.071636958775</v>
      </c>
      <c r="AG563" s="4">
        <f>$O$563*$AA$563</f>
        <v>0</v>
      </c>
    </row>
    <row r="564" spans="1:33" ht="11.25" customHeight="1" x14ac:dyDescent="0.25">
      <c r="A564" s="3" t="s">
        <v>56</v>
      </c>
      <c r="B564" s="3" t="s">
        <v>41</v>
      </c>
      <c r="C564" s="3" t="s">
        <v>61</v>
      </c>
      <c r="D564" s="3" t="s">
        <v>25</v>
      </c>
      <c r="E564" s="3" t="s">
        <v>25</v>
      </c>
      <c r="F564" s="3" t="s">
        <v>25</v>
      </c>
      <c r="G564" s="3" t="s">
        <v>67</v>
      </c>
      <c r="H564" s="3" t="s">
        <v>25</v>
      </c>
      <c r="I564" s="6">
        <v>44621</v>
      </c>
      <c r="J564" s="4">
        <v>0</v>
      </c>
      <c r="K564" s="4">
        <v>0</v>
      </c>
      <c r="L564" s="4">
        <v>2067.6849999999999</v>
      </c>
      <c r="M564" s="4">
        <v>2067.6849999999999</v>
      </c>
      <c r="N564" s="4">
        <v>0</v>
      </c>
      <c r="O564" s="4">
        <v>0</v>
      </c>
      <c r="P564" s="4">
        <v>0</v>
      </c>
      <c r="Q564" s="3" t="s">
        <v>63</v>
      </c>
      <c r="R564" s="3">
        <v>47</v>
      </c>
      <c r="S564" s="4">
        <v>0</v>
      </c>
      <c r="T564" s="4">
        <v>19</v>
      </c>
      <c r="U564" s="4">
        <v>0</v>
      </c>
      <c r="V564" s="4">
        <f>IF(ISERROR(VLOOKUP($S$564,'TAR FIN'!$A$1:$O$113,15,0)),0,VLOOKUP($S$564,'TAR FIN'!$A$1:$O$113,15,0))</f>
        <v>0</v>
      </c>
      <c r="W564" s="4">
        <f>IF(ISERROR(VLOOKUP($T$564,'TAR FIN'!$A$1:$O$113,15,0)),0,VLOOKUP($T$564,'TAR FIN'!$A$1:$O$113,15,0))</f>
        <v>9.65</v>
      </c>
      <c r="X564" s="4">
        <f>IF(ISERROR(VLOOKUP($U$564,'TAR FIN'!$A$1:$O$113,15,0)),0,VLOOKUP($U$564,'TAR FIN'!$A$1:$O$113,15,0))</f>
        <v>0</v>
      </c>
      <c r="Y564" s="4">
        <f ca="1">0.72*('TUSD BE'!$AM$26+'TUSD BF'!$AM$26+'TUSD CVA'!$AM$26)*1+('TUSD BE'!$AM$27+'TUSD BF'!$AM$27+'TUSD CVA'!$AM$27)*1</f>
        <v>42.583563671169571</v>
      </c>
      <c r="Z564" s="4">
        <f ca="1">('TUSD BE'!$AM$28+'TUSD BF'!$AM$28+'TUSD CVA'!$AM$28)*1</f>
        <v>11.150945133676805</v>
      </c>
      <c r="AA564" s="4"/>
      <c r="AB564" s="4">
        <f>$K$564*$V$564</f>
        <v>0</v>
      </c>
      <c r="AC564" s="4">
        <f>$M$564*$W$564</f>
        <v>19953.160250000001</v>
      </c>
      <c r="AD564" s="4">
        <f>$O$564*$X$564</f>
        <v>0</v>
      </c>
      <c r="AE564" s="4">
        <f ca="1">$K$564*$Y$564</f>
        <v>0</v>
      </c>
      <c r="AF564" s="4">
        <f ca="1">$M$564*$Z$564</f>
        <v>23056.641988726522</v>
      </c>
      <c r="AG564" s="4">
        <f>$O$564*$AA$564</f>
        <v>0</v>
      </c>
    </row>
    <row r="565" spans="1:33" ht="11.25" customHeight="1" x14ac:dyDescent="0.25">
      <c r="A565" s="3" t="s">
        <v>21</v>
      </c>
      <c r="B565" s="3" t="s">
        <v>41</v>
      </c>
      <c r="C565" s="3" t="s">
        <v>61</v>
      </c>
      <c r="D565" s="3" t="s">
        <v>25</v>
      </c>
      <c r="E565" s="3" t="s">
        <v>25</v>
      </c>
      <c r="F565" s="3" t="s">
        <v>25</v>
      </c>
      <c r="G565" s="3" t="s">
        <v>62</v>
      </c>
      <c r="H565" s="3" t="s">
        <v>34</v>
      </c>
      <c r="I565" s="6">
        <v>44287</v>
      </c>
      <c r="J565" s="4">
        <v>4469</v>
      </c>
      <c r="K565" s="4">
        <v>4469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3" t="s">
        <v>63</v>
      </c>
      <c r="R565" s="3">
        <v>44</v>
      </c>
      <c r="S565" s="4">
        <v>105</v>
      </c>
      <c r="T565" s="4">
        <v>0</v>
      </c>
      <c r="U565" s="4">
        <v>0</v>
      </c>
      <c r="V565" s="4">
        <f>IF(ISERROR(VLOOKUP($S$565,'TAR FIN'!$A$1:$O$113,15,0)),0,VLOOKUP($S$565,'TAR FIN'!$A$1:$O$113,15,0))</f>
        <v>29.89</v>
      </c>
      <c r="W565" s="4">
        <f>IF(ISERROR(VLOOKUP($T$565,'TAR FIN'!$A$1:$O$113,15,0)),0,VLOOKUP($T$565,'TAR FIN'!$A$1:$O$113,15,0))</f>
        <v>0</v>
      </c>
      <c r="X565" s="4">
        <f>IF(ISERROR(VLOOKUP($U$565,'TAR FIN'!$A$1:$O$113,15,0)),0,VLOOKUP($U$565,'TAR FIN'!$A$1:$O$113,15,0))</f>
        <v>0</v>
      </c>
      <c r="Y565" s="4">
        <f ca="1">('TUSD BE'!$AM$23+'TUSD BF'!$AM$23+'TUSD CVA'!$AM$23)*1</f>
        <v>36.252448665270038</v>
      </c>
      <c r="Z565" s="4">
        <f ca="1">('TUSD BE'!$AM$25+'TUSD BF'!$AM$25+'TUSD CVA'!$AM$25)*1</f>
        <v>11.150945133676805</v>
      </c>
      <c r="AA565" s="4"/>
      <c r="AB565" s="4">
        <f>$K$565*$V$565</f>
        <v>133578.41</v>
      </c>
      <c r="AC565" s="4">
        <f>$M$565*$W$565</f>
        <v>0</v>
      </c>
      <c r="AD565" s="4">
        <f>$O$565*$X$565</f>
        <v>0</v>
      </c>
      <c r="AE565" s="4">
        <f ca="1">$K$565*$Y$565</f>
        <v>162012.1930850918</v>
      </c>
      <c r="AF565" s="4">
        <f ca="1">$M$565*$Z$565</f>
        <v>0</v>
      </c>
      <c r="AG565" s="4">
        <f>$O$565*$AA$565</f>
        <v>0</v>
      </c>
    </row>
    <row r="566" spans="1:33" ht="11.25" customHeight="1" x14ac:dyDescent="0.25">
      <c r="A566" s="3" t="s">
        <v>21</v>
      </c>
      <c r="B566" s="3" t="s">
        <v>41</v>
      </c>
      <c r="C566" s="3" t="s">
        <v>61</v>
      </c>
      <c r="D566" s="3" t="s">
        <v>25</v>
      </c>
      <c r="E566" s="3" t="s">
        <v>25</v>
      </c>
      <c r="F566" s="3" t="s">
        <v>25</v>
      </c>
      <c r="G566" s="3" t="s">
        <v>67</v>
      </c>
      <c r="H566" s="3" t="s">
        <v>34</v>
      </c>
      <c r="I566" s="6">
        <v>44287</v>
      </c>
      <c r="J566" s="4">
        <v>6417</v>
      </c>
      <c r="K566" s="4">
        <v>6417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3" t="s">
        <v>63</v>
      </c>
      <c r="R566" s="3">
        <v>47</v>
      </c>
      <c r="S566" s="4">
        <v>17</v>
      </c>
      <c r="T566" s="4">
        <v>0</v>
      </c>
      <c r="U566" s="4">
        <v>0</v>
      </c>
      <c r="V566" s="4">
        <f>IF(ISERROR(VLOOKUP($S$566,'TAR FIN'!$A$1:$O$113,15,0)),0,VLOOKUP($S$566,'TAR FIN'!$A$1:$O$113,15,0))</f>
        <v>29.89</v>
      </c>
      <c r="W566" s="4">
        <f>IF(ISERROR(VLOOKUP($T$566,'TAR FIN'!$A$1:$O$113,15,0)),0,VLOOKUP($T$566,'TAR FIN'!$A$1:$O$113,15,0))</f>
        <v>0</v>
      </c>
      <c r="X566" s="4">
        <f>IF(ISERROR(VLOOKUP($U$566,'TAR FIN'!$A$1:$O$113,15,0)),0,VLOOKUP($U$566,'TAR FIN'!$A$1:$O$113,15,0))</f>
        <v>0</v>
      </c>
      <c r="Y566" s="4">
        <f ca="1">('TUSD BE'!$AM$26+'TUSD BF'!$AM$26+'TUSD CVA'!$AM$26)*1</f>
        <v>36.252448665270038</v>
      </c>
      <c r="Z566" s="4">
        <f ca="1">('TUSD BE'!$AM$28+'TUSD BF'!$AM$28+'TUSD CVA'!$AM$28)*1</f>
        <v>11.150945133676805</v>
      </c>
      <c r="AA566" s="4"/>
      <c r="AB566" s="4">
        <f>$K$566*$V$566</f>
        <v>191804.13</v>
      </c>
      <c r="AC566" s="4">
        <f>$M$566*$W$566</f>
        <v>0</v>
      </c>
      <c r="AD566" s="4">
        <f>$O$566*$X$566</f>
        <v>0</v>
      </c>
      <c r="AE566" s="4">
        <f ca="1">$K$566*$Y$566</f>
        <v>232631.96308503783</v>
      </c>
      <c r="AF566" s="4">
        <f ca="1">$M$566*$Z$566</f>
        <v>0</v>
      </c>
      <c r="AG566" s="4">
        <f>$O$566*$AA$566</f>
        <v>0</v>
      </c>
    </row>
    <row r="567" spans="1:33" ht="11.25" customHeight="1" x14ac:dyDescent="0.25">
      <c r="A567" s="3" t="s">
        <v>21</v>
      </c>
      <c r="B567" s="3" t="s">
        <v>41</v>
      </c>
      <c r="C567" s="3" t="s">
        <v>61</v>
      </c>
      <c r="D567" s="3" t="s">
        <v>25</v>
      </c>
      <c r="E567" s="3" t="s">
        <v>25</v>
      </c>
      <c r="F567" s="3" t="s">
        <v>25</v>
      </c>
      <c r="G567" s="3" t="s">
        <v>62</v>
      </c>
      <c r="H567" s="3" t="s">
        <v>34</v>
      </c>
      <c r="I567" s="6">
        <v>44317</v>
      </c>
      <c r="J567" s="4">
        <v>4469</v>
      </c>
      <c r="K567" s="4">
        <v>4469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3" t="s">
        <v>63</v>
      </c>
      <c r="R567" s="3">
        <v>44</v>
      </c>
      <c r="S567" s="4">
        <v>105</v>
      </c>
      <c r="T567" s="4">
        <v>0</v>
      </c>
      <c r="U567" s="4">
        <v>0</v>
      </c>
      <c r="V567" s="4">
        <f>IF(ISERROR(VLOOKUP($S$567,'TAR FIN'!$A$1:$O$113,15,0)),0,VLOOKUP($S$567,'TAR FIN'!$A$1:$O$113,15,0))</f>
        <v>29.89</v>
      </c>
      <c r="W567" s="4">
        <f>IF(ISERROR(VLOOKUP($T$567,'TAR FIN'!$A$1:$O$113,15,0)),0,VLOOKUP($T$567,'TAR FIN'!$A$1:$O$113,15,0))</f>
        <v>0</v>
      </c>
      <c r="X567" s="4">
        <f>IF(ISERROR(VLOOKUP($U$567,'TAR FIN'!$A$1:$O$113,15,0)),0,VLOOKUP($U$567,'TAR FIN'!$A$1:$O$113,15,0))</f>
        <v>0</v>
      </c>
      <c r="Y567" s="4">
        <f ca="1">('TUSD BE'!$AM$23+'TUSD BF'!$AM$23+'TUSD CVA'!$AM$23)*1</f>
        <v>36.252448665270038</v>
      </c>
      <c r="Z567" s="4">
        <f ca="1">('TUSD BE'!$AM$25+'TUSD BF'!$AM$25+'TUSD CVA'!$AM$25)*1</f>
        <v>11.150945133676805</v>
      </c>
      <c r="AA567" s="4"/>
      <c r="AB567" s="4">
        <f>$K$567*$V$567</f>
        <v>133578.41</v>
      </c>
      <c r="AC567" s="4">
        <f>$M$567*$W$567</f>
        <v>0</v>
      </c>
      <c r="AD567" s="4">
        <f>$O$567*$X$567</f>
        <v>0</v>
      </c>
      <c r="AE567" s="4">
        <f ca="1">$K$567*$Y$567</f>
        <v>162012.1930850918</v>
      </c>
      <c r="AF567" s="4">
        <f ca="1">$M$567*$Z$567</f>
        <v>0</v>
      </c>
      <c r="AG567" s="4">
        <f>$O$567*$AA$567</f>
        <v>0</v>
      </c>
    </row>
    <row r="568" spans="1:33" ht="11.25" customHeight="1" x14ac:dyDescent="0.25">
      <c r="A568" s="3" t="s">
        <v>21</v>
      </c>
      <c r="B568" s="3" t="s">
        <v>41</v>
      </c>
      <c r="C568" s="3" t="s">
        <v>61</v>
      </c>
      <c r="D568" s="3" t="s">
        <v>25</v>
      </c>
      <c r="E568" s="3" t="s">
        <v>25</v>
      </c>
      <c r="F568" s="3" t="s">
        <v>25</v>
      </c>
      <c r="G568" s="3" t="s">
        <v>67</v>
      </c>
      <c r="H568" s="3" t="s">
        <v>34</v>
      </c>
      <c r="I568" s="6">
        <v>44317</v>
      </c>
      <c r="J568" s="4">
        <v>6412</v>
      </c>
      <c r="K568" s="4">
        <v>6412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3" t="s">
        <v>63</v>
      </c>
      <c r="R568" s="3">
        <v>47</v>
      </c>
      <c r="S568" s="4">
        <v>17</v>
      </c>
      <c r="T568" s="4">
        <v>0</v>
      </c>
      <c r="U568" s="4">
        <v>0</v>
      </c>
      <c r="V568" s="4">
        <f>IF(ISERROR(VLOOKUP($S$568,'TAR FIN'!$A$1:$O$113,15,0)),0,VLOOKUP($S$568,'TAR FIN'!$A$1:$O$113,15,0))</f>
        <v>29.89</v>
      </c>
      <c r="W568" s="4">
        <f>IF(ISERROR(VLOOKUP($T$568,'TAR FIN'!$A$1:$O$113,15,0)),0,VLOOKUP($T$568,'TAR FIN'!$A$1:$O$113,15,0))</f>
        <v>0</v>
      </c>
      <c r="X568" s="4">
        <f>IF(ISERROR(VLOOKUP($U$568,'TAR FIN'!$A$1:$O$113,15,0)),0,VLOOKUP($U$568,'TAR FIN'!$A$1:$O$113,15,0))</f>
        <v>0</v>
      </c>
      <c r="Y568" s="4">
        <f ca="1">('TUSD BE'!$AM$26+'TUSD BF'!$AM$26+'TUSD CVA'!$AM$26)*1</f>
        <v>36.252448665270038</v>
      </c>
      <c r="Z568" s="4">
        <f ca="1">('TUSD BE'!$AM$28+'TUSD BF'!$AM$28+'TUSD CVA'!$AM$28)*1</f>
        <v>11.150945133676805</v>
      </c>
      <c r="AA568" s="4"/>
      <c r="AB568" s="4">
        <f>$K$568*$V$568</f>
        <v>191654.68</v>
      </c>
      <c r="AC568" s="4">
        <f>$M$568*$W$568</f>
        <v>0</v>
      </c>
      <c r="AD568" s="4">
        <f>$O$568*$X$568</f>
        <v>0</v>
      </c>
      <c r="AE568" s="4">
        <f ca="1">$K$568*$Y$568</f>
        <v>232450.70084171148</v>
      </c>
      <c r="AF568" s="4">
        <f ca="1">$M$568*$Z$568</f>
        <v>0</v>
      </c>
      <c r="AG568" s="4">
        <f>$O$568*$AA$568</f>
        <v>0</v>
      </c>
    </row>
    <row r="569" spans="1:33" ht="11.25" customHeight="1" x14ac:dyDescent="0.25">
      <c r="A569" s="3" t="s">
        <v>21</v>
      </c>
      <c r="B569" s="3" t="s">
        <v>41</v>
      </c>
      <c r="C569" s="3" t="s">
        <v>61</v>
      </c>
      <c r="D569" s="3" t="s">
        <v>25</v>
      </c>
      <c r="E569" s="3" t="s">
        <v>25</v>
      </c>
      <c r="F569" s="3" t="s">
        <v>25</v>
      </c>
      <c r="G569" s="3" t="s">
        <v>62</v>
      </c>
      <c r="H569" s="3" t="s">
        <v>34</v>
      </c>
      <c r="I569" s="6">
        <v>44348</v>
      </c>
      <c r="J569" s="4">
        <v>4469</v>
      </c>
      <c r="K569" s="4">
        <v>4469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3" t="s">
        <v>63</v>
      </c>
      <c r="R569" s="3">
        <v>44</v>
      </c>
      <c r="S569" s="4">
        <v>105</v>
      </c>
      <c r="T569" s="4">
        <v>0</v>
      </c>
      <c r="U569" s="4">
        <v>0</v>
      </c>
      <c r="V569" s="4">
        <f>IF(ISERROR(VLOOKUP($S$569,'TAR FIN'!$A$1:$O$113,15,0)),0,VLOOKUP($S$569,'TAR FIN'!$A$1:$O$113,15,0))</f>
        <v>29.89</v>
      </c>
      <c r="W569" s="4">
        <f>IF(ISERROR(VLOOKUP($T$569,'TAR FIN'!$A$1:$O$113,15,0)),0,VLOOKUP($T$569,'TAR FIN'!$A$1:$O$113,15,0))</f>
        <v>0</v>
      </c>
      <c r="X569" s="4">
        <f>IF(ISERROR(VLOOKUP($U$569,'TAR FIN'!$A$1:$O$113,15,0)),0,VLOOKUP($U$569,'TAR FIN'!$A$1:$O$113,15,0))</f>
        <v>0</v>
      </c>
      <c r="Y569" s="4">
        <f ca="1">('TUSD BE'!$AM$23+'TUSD BF'!$AM$23+'TUSD CVA'!$AM$23)*1</f>
        <v>36.252448665270038</v>
      </c>
      <c r="Z569" s="4">
        <f ca="1">('TUSD BE'!$AM$25+'TUSD BF'!$AM$25+'TUSD CVA'!$AM$25)*1</f>
        <v>11.150945133676805</v>
      </c>
      <c r="AA569" s="4"/>
      <c r="AB569" s="4">
        <f>$K$569*$V$569</f>
        <v>133578.41</v>
      </c>
      <c r="AC569" s="4">
        <f>$M$569*$W$569</f>
        <v>0</v>
      </c>
      <c r="AD569" s="4">
        <f>$O$569*$X$569</f>
        <v>0</v>
      </c>
      <c r="AE569" s="4">
        <f ca="1">$K$569*$Y$569</f>
        <v>162012.1930850918</v>
      </c>
      <c r="AF569" s="4">
        <f ca="1">$M$569*$Z$569</f>
        <v>0</v>
      </c>
      <c r="AG569" s="4">
        <f>$O$569*$AA$569</f>
        <v>0</v>
      </c>
    </row>
    <row r="570" spans="1:33" ht="11.25" customHeight="1" x14ac:dyDescent="0.25">
      <c r="A570" s="3" t="s">
        <v>21</v>
      </c>
      <c r="B570" s="3" t="s">
        <v>41</v>
      </c>
      <c r="C570" s="3" t="s">
        <v>61</v>
      </c>
      <c r="D570" s="3" t="s">
        <v>25</v>
      </c>
      <c r="E570" s="3" t="s">
        <v>25</v>
      </c>
      <c r="F570" s="3" t="s">
        <v>25</v>
      </c>
      <c r="G570" s="3" t="s">
        <v>67</v>
      </c>
      <c r="H570" s="3" t="s">
        <v>34</v>
      </c>
      <c r="I570" s="6">
        <v>44348</v>
      </c>
      <c r="J570" s="4">
        <v>6412</v>
      </c>
      <c r="K570" s="4">
        <v>6412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3" t="s">
        <v>63</v>
      </c>
      <c r="R570" s="3">
        <v>47</v>
      </c>
      <c r="S570" s="4">
        <v>17</v>
      </c>
      <c r="T570" s="4">
        <v>0</v>
      </c>
      <c r="U570" s="4">
        <v>0</v>
      </c>
      <c r="V570" s="4">
        <f>IF(ISERROR(VLOOKUP($S$570,'TAR FIN'!$A$1:$O$113,15,0)),0,VLOOKUP($S$570,'TAR FIN'!$A$1:$O$113,15,0))</f>
        <v>29.89</v>
      </c>
      <c r="W570" s="4">
        <f>IF(ISERROR(VLOOKUP($T$570,'TAR FIN'!$A$1:$O$113,15,0)),0,VLOOKUP($T$570,'TAR FIN'!$A$1:$O$113,15,0))</f>
        <v>0</v>
      </c>
      <c r="X570" s="4">
        <f>IF(ISERROR(VLOOKUP($U$570,'TAR FIN'!$A$1:$O$113,15,0)),0,VLOOKUP($U$570,'TAR FIN'!$A$1:$O$113,15,0))</f>
        <v>0</v>
      </c>
      <c r="Y570" s="4">
        <f ca="1">('TUSD BE'!$AM$26+'TUSD BF'!$AM$26+'TUSD CVA'!$AM$26)*1</f>
        <v>36.252448665270038</v>
      </c>
      <c r="Z570" s="4">
        <f ca="1">('TUSD BE'!$AM$28+'TUSD BF'!$AM$28+'TUSD CVA'!$AM$28)*1</f>
        <v>11.150945133676805</v>
      </c>
      <c r="AA570" s="4"/>
      <c r="AB570" s="4">
        <f>$K$570*$V$570</f>
        <v>191654.68</v>
      </c>
      <c r="AC570" s="4">
        <f>$M$570*$W$570</f>
        <v>0</v>
      </c>
      <c r="AD570" s="4">
        <f>$O$570*$X$570</f>
        <v>0</v>
      </c>
      <c r="AE570" s="4">
        <f ca="1">$K$570*$Y$570</f>
        <v>232450.70084171148</v>
      </c>
      <c r="AF570" s="4">
        <f ca="1">$M$570*$Z$570</f>
        <v>0</v>
      </c>
      <c r="AG570" s="4">
        <f>$O$570*$AA$570</f>
        <v>0</v>
      </c>
    </row>
    <row r="571" spans="1:33" ht="11.25" customHeight="1" x14ac:dyDescent="0.25">
      <c r="A571" s="3" t="s">
        <v>21</v>
      </c>
      <c r="B571" s="3" t="s">
        <v>41</v>
      </c>
      <c r="C571" s="3" t="s">
        <v>61</v>
      </c>
      <c r="D571" s="3" t="s">
        <v>25</v>
      </c>
      <c r="E571" s="3" t="s">
        <v>25</v>
      </c>
      <c r="F571" s="3" t="s">
        <v>25</v>
      </c>
      <c r="G571" s="3" t="s">
        <v>62</v>
      </c>
      <c r="H571" s="3" t="s">
        <v>34</v>
      </c>
      <c r="I571" s="6">
        <v>44378</v>
      </c>
      <c r="J571" s="4">
        <v>4469</v>
      </c>
      <c r="K571" s="4">
        <v>4469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3" t="s">
        <v>63</v>
      </c>
      <c r="R571" s="3">
        <v>44</v>
      </c>
      <c r="S571" s="4">
        <v>105</v>
      </c>
      <c r="T571" s="4">
        <v>0</v>
      </c>
      <c r="U571" s="4">
        <v>0</v>
      </c>
      <c r="V571" s="4">
        <f>IF(ISERROR(VLOOKUP($S$571,'TAR FIN'!$A$1:$O$113,15,0)),0,VLOOKUP($S$571,'TAR FIN'!$A$1:$O$113,15,0))</f>
        <v>29.89</v>
      </c>
      <c r="W571" s="4">
        <f>IF(ISERROR(VLOOKUP($T$571,'TAR FIN'!$A$1:$O$113,15,0)),0,VLOOKUP($T$571,'TAR FIN'!$A$1:$O$113,15,0))</f>
        <v>0</v>
      </c>
      <c r="X571" s="4">
        <f>IF(ISERROR(VLOOKUP($U$571,'TAR FIN'!$A$1:$O$113,15,0)),0,VLOOKUP($U$571,'TAR FIN'!$A$1:$O$113,15,0))</f>
        <v>0</v>
      </c>
      <c r="Y571" s="4">
        <f ca="1">('TUSD BE'!$AM$23+'TUSD BF'!$AM$23+'TUSD CVA'!$AM$23)*1</f>
        <v>36.252448665270038</v>
      </c>
      <c r="Z571" s="4">
        <f ca="1">('TUSD BE'!$AM$25+'TUSD BF'!$AM$25+'TUSD CVA'!$AM$25)*1</f>
        <v>11.150945133676805</v>
      </c>
      <c r="AA571" s="4"/>
      <c r="AB571" s="4">
        <f>$K$571*$V$571</f>
        <v>133578.41</v>
      </c>
      <c r="AC571" s="4">
        <f>$M$571*$W$571</f>
        <v>0</v>
      </c>
      <c r="AD571" s="4">
        <f>$O$571*$X$571</f>
        <v>0</v>
      </c>
      <c r="AE571" s="4">
        <f ca="1">$K$571*$Y$571</f>
        <v>162012.1930850918</v>
      </c>
      <c r="AF571" s="4">
        <f ca="1">$M$571*$Z$571</f>
        <v>0</v>
      </c>
      <c r="AG571" s="4">
        <f>$O$571*$AA$571</f>
        <v>0</v>
      </c>
    </row>
    <row r="572" spans="1:33" ht="11.25" customHeight="1" x14ac:dyDescent="0.25">
      <c r="A572" s="3" t="s">
        <v>21</v>
      </c>
      <c r="B572" s="3" t="s">
        <v>41</v>
      </c>
      <c r="C572" s="3" t="s">
        <v>61</v>
      </c>
      <c r="D572" s="3" t="s">
        <v>25</v>
      </c>
      <c r="E572" s="3" t="s">
        <v>25</v>
      </c>
      <c r="F572" s="3" t="s">
        <v>25</v>
      </c>
      <c r="G572" s="3" t="s">
        <v>67</v>
      </c>
      <c r="H572" s="3" t="s">
        <v>34</v>
      </c>
      <c r="I572" s="6">
        <v>44378</v>
      </c>
      <c r="J572" s="4">
        <v>6412</v>
      </c>
      <c r="K572" s="4">
        <v>6412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3" t="s">
        <v>63</v>
      </c>
      <c r="R572" s="3">
        <v>47</v>
      </c>
      <c r="S572" s="4">
        <v>17</v>
      </c>
      <c r="T572" s="4">
        <v>0</v>
      </c>
      <c r="U572" s="4">
        <v>0</v>
      </c>
      <c r="V572" s="4">
        <f>IF(ISERROR(VLOOKUP($S$572,'TAR FIN'!$A$1:$O$113,15,0)),0,VLOOKUP($S$572,'TAR FIN'!$A$1:$O$113,15,0))</f>
        <v>29.89</v>
      </c>
      <c r="W572" s="4">
        <f>IF(ISERROR(VLOOKUP($T$572,'TAR FIN'!$A$1:$O$113,15,0)),0,VLOOKUP($T$572,'TAR FIN'!$A$1:$O$113,15,0))</f>
        <v>0</v>
      </c>
      <c r="X572" s="4">
        <f>IF(ISERROR(VLOOKUP($U$572,'TAR FIN'!$A$1:$O$113,15,0)),0,VLOOKUP($U$572,'TAR FIN'!$A$1:$O$113,15,0))</f>
        <v>0</v>
      </c>
      <c r="Y572" s="4">
        <f ca="1">('TUSD BE'!$AM$26+'TUSD BF'!$AM$26+'TUSD CVA'!$AM$26)*1</f>
        <v>36.252448665270038</v>
      </c>
      <c r="Z572" s="4">
        <f ca="1">('TUSD BE'!$AM$28+'TUSD BF'!$AM$28+'TUSD CVA'!$AM$28)*1</f>
        <v>11.150945133676805</v>
      </c>
      <c r="AA572" s="4"/>
      <c r="AB572" s="4">
        <f>$K$572*$V$572</f>
        <v>191654.68</v>
      </c>
      <c r="AC572" s="4">
        <f>$M$572*$W$572</f>
        <v>0</v>
      </c>
      <c r="AD572" s="4">
        <f>$O$572*$X$572</f>
        <v>0</v>
      </c>
      <c r="AE572" s="4">
        <f ca="1">$K$572*$Y$572</f>
        <v>232450.70084171148</v>
      </c>
      <c r="AF572" s="4">
        <f ca="1">$M$572*$Z$572</f>
        <v>0</v>
      </c>
      <c r="AG572" s="4">
        <f>$O$572*$AA$572</f>
        <v>0</v>
      </c>
    </row>
    <row r="573" spans="1:33" ht="11.25" customHeight="1" x14ac:dyDescent="0.25">
      <c r="A573" s="3" t="s">
        <v>21</v>
      </c>
      <c r="B573" s="3" t="s">
        <v>41</v>
      </c>
      <c r="C573" s="3" t="s">
        <v>61</v>
      </c>
      <c r="D573" s="3" t="s">
        <v>25</v>
      </c>
      <c r="E573" s="3" t="s">
        <v>25</v>
      </c>
      <c r="F573" s="3" t="s">
        <v>25</v>
      </c>
      <c r="G573" s="3" t="s">
        <v>62</v>
      </c>
      <c r="H573" s="3" t="s">
        <v>34</v>
      </c>
      <c r="I573" s="6">
        <v>44409</v>
      </c>
      <c r="J573" s="4">
        <v>4469</v>
      </c>
      <c r="K573" s="4">
        <v>4469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3" t="s">
        <v>63</v>
      </c>
      <c r="R573" s="3">
        <v>44</v>
      </c>
      <c r="S573" s="4">
        <v>105</v>
      </c>
      <c r="T573" s="4">
        <v>0</v>
      </c>
      <c r="U573" s="4">
        <v>0</v>
      </c>
      <c r="V573" s="4">
        <f>IF(ISERROR(VLOOKUP($S$573,'TAR FIN'!$A$1:$O$113,15,0)),0,VLOOKUP($S$573,'TAR FIN'!$A$1:$O$113,15,0))</f>
        <v>29.89</v>
      </c>
      <c r="W573" s="4">
        <f>IF(ISERROR(VLOOKUP($T$573,'TAR FIN'!$A$1:$O$113,15,0)),0,VLOOKUP($T$573,'TAR FIN'!$A$1:$O$113,15,0))</f>
        <v>0</v>
      </c>
      <c r="X573" s="4">
        <f>IF(ISERROR(VLOOKUP($U$573,'TAR FIN'!$A$1:$O$113,15,0)),0,VLOOKUP($U$573,'TAR FIN'!$A$1:$O$113,15,0))</f>
        <v>0</v>
      </c>
      <c r="Y573" s="4">
        <f ca="1">('TUSD BE'!$AM$23+'TUSD BF'!$AM$23+'TUSD CVA'!$AM$23)*1</f>
        <v>36.252448665270038</v>
      </c>
      <c r="Z573" s="4">
        <f ca="1">('TUSD BE'!$AM$25+'TUSD BF'!$AM$25+'TUSD CVA'!$AM$25)*1</f>
        <v>11.150945133676805</v>
      </c>
      <c r="AA573" s="4"/>
      <c r="AB573" s="4">
        <f>$K$573*$V$573</f>
        <v>133578.41</v>
      </c>
      <c r="AC573" s="4">
        <f>$M$573*$W$573</f>
        <v>0</v>
      </c>
      <c r="AD573" s="4">
        <f>$O$573*$X$573</f>
        <v>0</v>
      </c>
      <c r="AE573" s="4">
        <f ca="1">$K$573*$Y$573</f>
        <v>162012.1930850918</v>
      </c>
      <c r="AF573" s="4">
        <f ca="1">$M$573*$Z$573</f>
        <v>0</v>
      </c>
      <c r="AG573" s="4">
        <f>$O$573*$AA$573</f>
        <v>0</v>
      </c>
    </row>
    <row r="574" spans="1:33" ht="11.25" customHeight="1" x14ac:dyDescent="0.25">
      <c r="A574" s="3" t="s">
        <v>21</v>
      </c>
      <c r="B574" s="3" t="s">
        <v>41</v>
      </c>
      <c r="C574" s="3" t="s">
        <v>61</v>
      </c>
      <c r="D574" s="3" t="s">
        <v>25</v>
      </c>
      <c r="E574" s="3" t="s">
        <v>25</v>
      </c>
      <c r="F574" s="3" t="s">
        <v>25</v>
      </c>
      <c r="G574" s="3" t="s">
        <v>67</v>
      </c>
      <c r="H574" s="3" t="s">
        <v>34</v>
      </c>
      <c r="I574" s="6">
        <v>44409</v>
      </c>
      <c r="J574" s="4">
        <v>6412</v>
      </c>
      <c r="K574" s="4">
        <v>6412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3" t="s">
        <v>63</v>
      </c>
      <c r="R574" s="3">
        <v>47</v>
      </c>
      <c r="S574" s="4">
        <v>17</v>
      </c>
      <c r="T574" s="4">
        <v>0</v>
      </c>
      <c r="U574" s="4">
        <v>0</v>
      </c>
      <c r="V574" s="4">
        <f>IF(ISERROR(VLOOKUP($S$574,'TAR FIN'!$A$1:$O$113,15,0)),0,VLOOKUP($S$574,'TAR FIN'!$A$1:$O$113,15,0))</f>
        <v>29.89</v>
      </c>
      <c r="W574" s="4">
        <f>IF(ISERROR(VLOOKUP($T$574,'TAR FIN'!$A$1:$O$113,15,0)),0,VLOOKUP($T$574,'TAR FIN'!$A$1:$O$113,15,0))</f>
        <v>0</v>
      </c>
      <c r="X574" s="4">
        <f>IF(ISERROR(VLOOKUP($U$574,'TAR FIN'!$A$1:$O$113,15,0)),0,VLOOKUP($U$574,'TAR FIN'!$A$1:$O$113,15,0))</f>
        <v>0</v>
      </c>
      <c r="Y574" s="4">
        <f ca="1">('TUSD BE'!$AM$26+'TUSD BF'!$AM$26+'TUSD CVA'!$AM$26)*1</f>
        <v>36.252448665270038</v>
      </c>
      <c r="Z574" s="4">
        <f ca="1">('TUSD BE'!$AM$28+'TUSD BF'!$AM$28+'TUSD CVA'!$AM$28)*1</f>
        <v>11.150945133676805</v>
      </c>
      <c r="AA574" s="4"/>
      <c r="AB574" s="4">
        <f>$K$574*$V$574</f>
        <v>191654.68</v>
      </c>
      <c r="AC574" s="4">
        <f>$M$574*$W$574</f>
        <v>0</v>
      </c>
      <c r="AD574" s="4">
        <f>$O$574*$X$574</f>
        <v>0</v>
      </c>
      <c r="AE574" s="4">
        <f ca="1">$K$574*$Y$574</f>
        <v>232450.70084171148</v>
      </c>
      <c r="AF574" s="4">
        <f ca="1">$M$574*$Z$574</f>
        <v>0</v>
      </c>
      <c r="AG574" s="4">
        <f>$O$574*$AA$574</f>
        <v>0</v>
      </c>
    </row>
    <row r="575" spans="1:33" ht="11.25" customHeight="1" x14ac:dyDescent="0.25">
      <c r="A575" s="3" t="s">
        <v>21</v>
      </c>
      <c r="B575" s="3" t="s">
        <v>41</v>
      </c>
      <c r="C575" s="3" t="s">
        <v>61</v>
      </c>
      <c r="D575" s="3" t="s">
        <v>25</v>
      </c>
      <c r="E575" s="3" t="s">
        <v>25</v>
      </c>
      <c r="F575" s="3" t="s">
        <v>25</v>
      </c>
      <c r="G575" s="3" t="s">
        <v>62</v>
      </c>
      <c r="H575" s="3" t="s">
        <v>34</v>
      </c>
      <c r="I575" s="6">
        <v>44440</v>
      </c>
      <c r="J575" s="4">
        <v>4469</v>
      </c>
      <c r="K575" s="4">
        <v>4469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3" t="s">
        <v>63</v>
      </c>
      <c r="R575" s="3">
        <v>44</v>
      </c>
      <c r="S575" s="4">
        <v>105</v>
      </c>
      <c r="T575" s="4">
        <v>0</v>
      </c>
      <c r="U575" s="4">
        <v>0</v>
      </c>
      <c r="V575" s="4">
        <f>IF(ISERROR(VLOOKUP($S$575,'TAR FIN'!$A$1:$O$113,15,0)),0,VLOOKUP($S$575,'TAR FIN'!$A$1:$O$113,15,0))</f>
        <v>29.89</v>
      </c>
      <c r="W575" s="4">
        <f>IF(ISERROR(VLOOKUP($T$575,'TAR FIN'!$A$1:$O$113,15,0)),0,VLOOKUP($T$575,'TAR FIN'!$A$1:$O$113,15,0))</f>
        <v>0</v>
      </c>
      <c r="X575" s="4">
        <f>IF(ISERROR(VLOOKUP($U$575,'TAR FIN'!$A$1:$O$113,15,0)),0,VLOOKUP($U$575,'TAR FIN'!$A$1:$O$113,15,0))</f>
        <v>0</v>
      </c>
      <c r="Y575" s="4">
        <f ca="1">('TUSD BE'!$AM$23+'TUSD BF'!$AM$23+'TUSD CVA'!$AM$23)*1</f>
        <v>36.252448665270038</v>
      </c>
      <c r="Z575" s="4">
        <f ca="1">('TUSD BE'!$AM$25+'TUSD BF'!$AM$25+'TUSD CVA'!$AM$25)*1</f>
        <v>11.150945133676805</v>
      </c>
      <c r="AA575" s="4"/>
      <c r="AB575" s="4">
        <f>$K$575*$V$575</f>
        <v>133578.41</v>
      </c>
      <c r="AC575" s="4">
        <f>$M$575*$W$575</f>
        <v>0</v>
      </c>
      <c r="AD575" s="4">
        <f>$O$575*$X$575</f>
        <v>0</v>
      </c>
      <c r="AE575" s="4">
        <f ca="1">$K$575*$Y$575</f>
        <v>162012.1930850918</v>
      </c>
      <c r="AF575" s="4">
        <f ca="1">$M$575*$Z$575</f>
        <v>0</v>
      </c>
      <c r="AG575" s="4">
        <f>$O$575*$AA$575</f>
        <v>0</v>
      </c>
    </row>
    <row r="576" spans="1:33" ht="11.25" customHeight="1" x14ac:dyDescent="0.25">
      <c r="A576" s="3" t="s">
        <v>21</v>
      </c>
      <c r="B576" s="3" t="s">
        <v>41</v>
      </c>
      <c r="C576" s="3" t="s">
        <v>61</v>
      </c>
      <c r="D576" s="3" t="s">
        <v>25</v>
      </c>
      <c r="E576" s="3" t="s">
        <v>25</v>
      </c>
      <c r="F576" s="3" t="s">
        <v>25</v>
      </c>
      <c r="G576" s="3" t="s">
        <v>67</v>
      </c>
      <c r="H576" s="3" t="s">
        <v>34</v>
      </c>
      <c r="I576" s="6">
        <v>44440</v>
      </c>
      <c r="J576" s="4">
        <v>6422</v>
      </c>
      <c r="K576" s="4">
        <v>6422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3" t="s">
        <v>63</v>
      </c>
      <c r="R576" s="3">
        <v>47</v>
      </c>
      <c r="S576" s="4">
        <v>17</v>
      </c>
      <c r="T576" s="4">
        <v>0</v>
      </c>
      <c r="U576" s="4">
        <v>0</v>
      </c>
      <c r="V576" s="4">
        <f>IF(ISERROR(VLOOKUP($S$576,'TAR FIN'!$A$1:$O$113,15,0)),0,VLOOKUP($S$576,'TAR FIN'!$A$1:$O$113,15,0))</f>
        <v>29.89</v>
      </c>
      <c r="W576" s="4">
        <f>IF(ISERROR(VLOOKUP($T$576,'TAR FIN'!$A$1:$O$113,15,0)),0,VLOOKUP($T$576,'TAR FIN'!$A$1:$O$113,15,0))</f>
        <v>0</v>
      </c>
      <c r="X576" s="4">
        <f>IF(ISERROR(VLOOKUP($U$576,'TAR FIN'!$A$1:$O$113,15,0)),0,VLOOKUP($U$576,'TAR FIN'!$A$1:$O$113,15,0))</f>
        <v>0</v>
      </c>
      <c r="Y576" s="4">
        <f ca="1">('TUSD BE'!$AM$26+'TUSD BF'!$AM$26+'TUSD CVA'!$AM$26)*1</f>
        <v>36.252448665270038</v>
      </c>
      <c r="Z576" s="4">
        <f ca="1">('TUSD BE'!$AM$28+'TUSD BF'!$AM$28+'TUSD CVA'!$AM$28)*1</f>
        <v>11.150945133676805</v>
      </c>
      <c r="AA576" s="4"/>
      <c r="AB576" s="4">
        <f>$K$576*$V$576</f>
        <v>191953.58000000002</v>
      </c>
      <c r="AC576" s="4">
        <f>$M$576*$W$576</f>
        <v>0</v>
      </c>
      <c r="AD576" s="4">
        <f>$O$576*$X$576</f>
        <v>0</v>
      </c>
      <c r="AE576" s="4">
        <f ca="1">$K$576*$Y$576</f>
        <v>232813.22532836418</v>
      </c>
      <c r="AF576" s="4">
        <f ca="1">$M$576*$Z$576</f>
        <v>0</v>
      </c>
      <c r="AG576" s="4">
        <f>$O$576*$AA$576</f>
        <v>0</v>
      </c>
    </row>
    <row r="577" spans="1:33" ht="11.25" customHeight="1" x14ac:dyDescent="0.25">
      <c r="A577" s="3" t="s">
        <v>21</v>
      </c>
      <c r="B577" s="3" t="s">
        <v>41</v>
      </c>
      <c r="C577" s="3" t="s">
        <v>61</v>
      </c>
      <c r="D577" s="3" t="s">
        <v>25</v>
      </c>
      <c r="E577" s="3" t="s">
        <v>25</v>
      </c>
      <c r="F577" s="3" t="s">
        <v>25</v>
      </c>
      <c r="G577" s="3" t="s">
        <v>62</v>
      </c>
      <c r="H577" s="3" t="s">
        <v>34</v>
      </c>
      <c r="I577" s="6">
        <v>44470</v>
      </c>
      <c r="J577" s="4">
        <v>4469</v>
      </c>
      <c r="K577" s="4">
        <v>4469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3" t="s">
        <v>63</v>
      </c>
      <c r="R577" s="3">
        <v>44</v>
      </c>
      <c r="S577" s="4">
        <v>105</v>
      </c>
      <c r="T577" s="4">
        <v>0</v>
      </c>
      <c r="U577" s="4">
        <v>0</v>
      </c>
      <c r="V577" s="4">
        <f>IF(ISERROR(VLOOKUP($S$577,'TAR FIN'!$A$1:$O$113,15,0)),0,VLOOKUP($S$577,'TAR FIN'!$A$1:$O$113,15,0))</f>
        <v>29.89</v>
      </c>
      <c r="W577" s="4">
        <f>IF(ISERROR(VLOOKUP($T$577,'TAR FIN'!$A$1:$O$113,15,0)),0,VLOOKUP($T$577,'TAR FIN'!$A$1:$O$113,15,0))</f>
        <v>0</v>
      </c>
      <c r="X577" s="4">
        <f>IF(ISERROR(VLOOKUP($U$577,'TAR FIN'!$A$1:$O$113,15,0)),0,VLOOKUP($U$577,'TAR FIN'!$A$1:$O$113,15,0))</f>
        <v>0</v>
      </c>
      <c r="Y577" s="4">
        <f ca="1">('TUSD BE'!$AM$23+'TUSD BF'!$AM$23+'TUSD CVA'!$AM$23)*1</f>
        <v>36.252448665270038</v>
      </c>
      <c r="Z577" s="4">
        <f ca="1">('TUSD BE'!$AM$25+'TUSD BF'!$AM$25+'TUSD CVA'!$AM$25)*1</f>
        <v>11.150945133676805</v>
      </c>
      <c r="AA577" s="4"/>
      <c r="AB577" s="4">
        <f>$K$577*$V$577</f>
        <v>133578.41</v>
      </c>
      <c r="AC577" s="4">
        <f>$M$577*$W$577</f>
        <v>0</v>
      </c>
      <c r="AD577" s="4">
        <f>$O$577*$X$577</f>
        <v>0</v>
      </c>
      <c r="AE577" s="4">
        <f ca="1">$K$577*$Y$577</f>
        <v>162012.1930850918</v>
      </c>
      <c r="AF577" s="4">
        <f ca="1">$M$577*$Z$577</f>
        <v>0</v>
      </c>
      <c r="AG577" s="4">
        <f>$O$577*$AA$577</f>
        <v>0</v>
      </c>
    </row>
    <row r="578" spans="1:33" ht="11.25" customHeight="1" x14ac:dyDescent="0.25">
      <c r="A578" s="3" t="s">
        <v>21</v>
      </c>
      <c r="B578" s="3" t="s">
        <v>41</v>
      </c>
      <c r="C578" s="3" t="s">
        <v>61</v>
      </c>
      <c r="D578" s="3" t="s">
        <v>25</v>
      </c>
      <c r="E578" s="3" t="s">
        <v>25</v>
      </c>
      <c r="F578" s="3" t="s">
        <v>25</v>
      </c>
      <c r="G578" s="3" t="s">
        <v>67</v>
      </c>
      <c r="H578" s="3" t="s">
        <v>34</v>
      </c>
      <c r="I578" s="6">
        <v>44470</v>
      </c>
      <c r="J578" s="4">
        <v>6427</v>
      </c>
      <c r="K578" s="4">
        <v>6427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3" t="s">
        <v>63</v>
      </c>
      <c r="R578" s="3">
        <v>47</v>
      </c>
      <c r="S578" s="4">
        <v>17</v>
      </c>
      <c r="T578" s="4">
        <v>0</v>
      </c>
      <c r="U578" s="4">
        <v>0</v>
      </c>
      <c r="V578" s="4">
        <f>IF(ISERROR(VLOOKUP($S$578,'TAR FIN'!$A$1:$O$113,15,0)),0,VLOOKUP($S$578,'TAR FIN'!$A$1:$O$113,15,0))</f>
        <v>29.89</v>
      </c>
      <c r="W578" s="4">
        <f>IF(ISERROR(VLOOKUP($T$578,'TAR FIN'!$A$1:$O$113,15,0)),0,VLOOKUP($T$578,'TAR FIN'!$A$1:$O$113,15,0))</f>
        <v>0</v>
      </c>
      <c r="X578" s="4">
        <f>IF(ISERROR(VLOOKUP($U$578,'TAR FIN'!$A$1:$O$113,15,0)),0,VLOOKUP($U$578,'TAR FIN'!$A$1:$O$113,15,0))</f>
        <v>0</v>
      </c>
      <c r="Y578" s="4">
        <f ca="1">('TUSD BE'!$AM$26+'TUSD BF'!$AM$26+'TUSD CVA'!$AM$26)*1</f>
        <v>36.252448665270038</v>
      </c>
      <c r="Z578" s="4">
        <f ca="1">('TUSD BE'!$AM$28+'TUSD BF'!$AM$28+'TUSD CVA'!$AM$28)*1</f>
        <v>11.150945133676805</v>
      </c>
      <c r="AA578" s="4"/>
      <c r="AB578" s="4">
        <f>$K$578*$V$578</f>
        <v>192103.03</v>
      </c>
      <c r="AC578" s="4">
        <f>$M$578*$W$578</f>
        <v>0</v>
      </c>
      <c r="AD578" s="4">
        <f>$O$578*$X$578</f>
        <v>0</v>
      </c>
      <c r="AE578" s="4">
        <f ca="1">$K$578*$Y$578</f>
        <v>232994.48757169052</v>
      </c>
      <c r="AF578" s="4">
        <f ca="1">$M$578*$Z$578</f>
        <v>0</v>
      </c>
      <c r="AG578" s="4">
        <f>$O$578*$AA$578</f>
        <v>0</v>
      </c>
    </row>
    <row r="579" spans="1:33" ht="11.25" customHeight="1" x14ac:dyDescent="0.25">
      <c r="A579" s="3" t="s">
        <v>21</v>
      </c>
      <c r="B579" s="3" t="s">
        <v>41</v>
      </c>
      <c r="C579" s="3" t="s">
        <v>61</v>
      </c>
      <c r="D579" s="3" t="s">
        <v>25</v>
      </c>
      <c r="E579" s="3" t="s">
        <v>25</v>
      </c>
      <c r="F579" s="3" t="s">
        <v>25</v>
      </c>
      <c r="G579" s="3" t="s">
        <v>62</v>
      </c>
      <c r="H579" s="3" t="s">
        <v>34</v>
      </c>
      <c r="I579" s="6">
        <v>44501</v>
      </c>
      <c r="J579" s="4">
        <v>4469</v>
      </c>
      <c r="K579" s="4">
        <v>4469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3" t="s">
        <v>63</v>
      </c>
      <c r="R579" s="3">
        <v>44</v>
      </c>
      <c r="S579" s="4">
        <v>105</v>
      </c>
      <c r="T579" s="4">
        <v>0</v>
      </c>
      <c r="U579" s="4">
        <v>0</v>
      </c>
      <c r="V579" s="4">
        <f>IF(ISERROR(VLOOKUP($S$579,'TAR FIN'!$A$1:$O$113,15,0)),0,VLOOKUP($S$579,'TAR FIN'!$A$1:$O$113,15,0))</f>
        <v>29.89</v>
      </c>
      <c r="W579" s="4">
        <f>IF(ISERROR(VLOOKUP($T$579,'TAR FIN'!$A$1:$O$113,15,0)),0,VLOOKUP($T$579,'TAR FIN'!$A$1:$O$113,15,0))</f>
        <v>0</v>
      </c>
      <c r="X579" s="4">
        <f>IF(ISERROR(VLOOKUP($U$579,'TAR FIN'!$A$1:$O$113,15,0)),0,VLOOKUP($U$579,'TAR FIN'!$A$1:$O$113,15,0))</f>
        <v>0</v>
      </c>
      <c r="Y579" s="4">
        <f ca="1">('TUSD BE'!$AM$23+'TUSD BF'!$AM$23+'TUSD CVA'!$AM$23)*1</f>
        <v>36.252448665270038</v>
      </c>
      <c r="Z579" s="4">
        <f ca="1">('TUSD BE'!$AM$25+'TUSD BF'!$AM$25+'TUSD CVA'!$AM$25)*1</f>
        <v>11.150945133676805</v>
      </c>
      <c r="AA579" s="4"/>
      <c r="AB579" s="4">
        <f>$K$579*$V$579</f>
        <v>133578.41</v>
      </c>
      <c r="AC579" s="4">
        <f>$M$579*$W$579</f>
        <v>0</v>
      </c>
      <c r="AD579" s="4">
        <f>$O$579*$X$579</f>
        <v>0</v>
      </c>
      <c r="AE579" s="4">
        <f ca="1">$K$579*$Y$579</f>
        <v>162012.1930850918</v>
      </c>
      <c r="AF579" s="4">
        <f ca="1">$M$579*$Z$579</f>
        <v>0</v>
      </c>
      <c r="AG579" s="4">
        <f>$O$579*$AA$579</f>
        <v>0</v>
      </c>
    </row>
    <row r="580" spans="1:33" ht="11.25" customHeight="1" x14ac:dyDescent="0.25">
      <c r="A580" s="3" t="s">
        <v>21</v>
      </c>
      <c r="B580" s="3" t="s">
        <v>41</v>
      </c>
      <c r="C580" s="3" t="s">
        <v>61</v>
      </c>
      <c r="D580" s="3" t="s">
        <v>25</v>
      </c>
      <c r="E580" s="3" t="s">
        <v>25</v>
      </c>
      <c r="F580" s="3" t="s">
        <v>25</v>
      </c>
      <c r="G580" s="3" t="s">
        <v>67</v>
      </c>
      <c r="H580" s="3" t="s">
        <v>34</v>
      </c>
      <c r="I580" s="6">
        <v>44501</v>
      </c>
      <c r="J580" s="4">
        <v>6427</v>
      </c>
      <c r="K580" s="4">
        <v>6427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3" t="s">
        <v>63</v>
      </c>
      <c r="R580" s="3">
        <v>47</v>
      </c>
      <c r="S580" s="4">
        <v>17</v>
      </c>
      <c r="T580" s="4">
        <v>0</v>
      </c>
      <c r="U580" s="4">
        <v>0</v>
      </c>
      <c r="V580" s="4">
        <f>IF(ISERROR(VLOOKUP($S$580,'TAR FIN'!$A$1:$O$113,15,0)),0,VLOOKUP($S$580,'TAR FIN'!$A$1:$O$113,15,0))</f>
        <v>29.89</v>
      </c>
      <c r="W580" s="4">
        <f>IF(ISERROR(VLOOKUP($T$580,'TAR FIN'!$A$1:$O$113,15,0)),0,VLOOKUP($T$580,'TAR FIN'!$A$1:$O$113,15,0))</f>
        <v>0</v>
      </c>
      <c r="X580" s="4">
        <f>IF(ISERROR(VLOOKUP($U$580,'TAR FIN'!$A$1:$O$113,15,0)),0,VLOOKUP($U$580,'TAR FIN'!$A$1:$O$113,15,0))</f>
        <v>0</v>
      </c>
      <c r="Y580" s="4">
        <f ca="1">('TUSD BE'!$AM$26+'TUSD BF'!$AM$26+'TUSD CVA'!$AM$26)*1</f>
        <v>36.252448665270038</v>
      </c>
      <c r="Z580" s="4">
        <f ca="1">('TUSD BE'!$AM$28+'TUSD BF'!$AM$28+'TUSD CVA'!$AM$28)*1</f>
        <v>11.150945133676805</v>
      </c>
      <c r="AA580" s="4"/>
      <c r="AB580" s="4">
        <f>$K$580*$V$580</f>
        <v>192103.03</v>
      </c>
      <c r="AC580" s="4">
        <f>$M$580*$W$580</f>
        <v>0</v>
      </c>
      <c r="AD580" s="4">
        <f>$O$580*$X$580</f>
        <v>0</v>
      </c>
      <c r="AE580" s="4">
        <f ca="1">$K$580*$Y$580</f>
        <v>232994.48757169052</v>
      </c>
      <c r="AF580" s="4">
        <f ca="1">$M$580*$Z$580</f>
        <v>0</v>
      </c>
      <c r="AG580" s="4">
        <f>$O$580*$AA$580</f>
        <v>0</v>
      </c>
    </row>
    <row r="581" spans="1:33" ht="11.25" customHeight="1" x14ac:dyDescent="0.25">
      <c r="A581" s="3" t="s">
        <v>21</v>
      </c>
      <c r="B581" s="3" t="s">
        <v>41</v>
      </c>
      <c r="C581" s="3" t="s">
        <v>61</v>
      </c>
      <c r="D581" s="3" t="s">
        <v>25</v>
      </c>
      <c r="E581" s="3" t="s">
        <v>25</v>
      </c>
      <c r="F581" s="3" t="s">
        <v>25</v>
      </c>
      <c r="G581" s="3" t="s">
        <v>62</v>
      </c>
      <c r="H581" s="3" t="s">
        <v>34</v>
      </c>
      <c r="I581" s="6">
        <v>44531</v>
      </c>
      <c r="J581" s="4">
        <v>4469</v>
      </c>
      <c r="K581" s="4">
        <v>4469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3" t="s">
        <v>63</v>
      </c>
      <c r="R581" s="3">
        <v>44</v>
      </c>
      <c r="S581" s="4">
        <v>105</v>
      </c>
      <c r="T581" s="4">
        <v>0</v>
      </c>
      <c r="U581" s="4">
        <v>0</v>
      </c>
      <c r="V581" s="4">
        <f>IF(ISERROR(VLOOKUP($S$581,'TAR FIN'!$A$1:$O$113,15,0)),0,VLOOKUP($S$581,'TAR FIN'!$A$1:$O$113,15,0))</f>
        <v>29.89</v>
      </c>
      <c r="W581" s="4">
        <f>IF(ISERROR(VLOOKUP($T$581,'TAR FIN'!$A$1:$O$113,15,0)),0,VLOOKUP($T$581,'TAR FIN'!$A$1:$O$113,15,0))</f>
        <v>0</v>
      </c>
      <c r="X581" s="4">
        <f>IF(ISERROR(VLOOKUP($U$581,'TAR FIN'!$A$1:$O$113,15,0)),0,VLOOKUP($U$581,'TAR FIN'!$A$1:$O$113,15,0))</f>
        <v>0</v>
      </c>
      <c r="Y581" s="4">
        <f ca="1">('TUSD BE'!$AM$23+'TUSD BF'!$AM$23+'TUSD CVA'!$AM$23)*1</f>
        <v>36.252448665270038</v>
      </c>
      <c r="Z581" s="4">
        <f ca="1">('TUSD BE'!$AM$25+'TUSD BF'!$AM$25+'TUSD CVA'!$AM$25)*1</f>
        <v>11.150945133676805</v>
      </c>
      <c r="AA581" s="4"/>
      <c r="AB581" s="4">
        <f>$K$581*$V$581</f>
        <v>133578.41</v>
      </c>
      <c r="AC581" s="4">
        <f>$M$581*$W$581</f>
        <v>0</v>
      </c>
      <c r="AD581" s="4">
        <f>$O$581*$X$581</f>
        <v>0</v>
      </c>
      <c r="AE581" s="4">
        <f ca="1">$K$581*$Y$581</f>
        <v>162012.1930850918</v>
      </c>
      <c r="AF581" s="4">
        <f ca="1">$M$581*$Z$581</f>
        <v>0</v>
      </c>
      <c r="AG581" s="4">
        <f>$O$581*$AA$581</f>
        <v>0</v>
      </c>
    </row>
    <row r="582" spans="1:33" ht="11.25" customHeight="1" x14ac:dyDescent="0.25">
      <c r="A582" s="3" t="s">
        <v>21</v>
      </c>
      <c r="B582" s="3" t="s">
        <v>41</v>
      </c>
      <c r="C582" s="3" t="s">
        <v>61</v>
      </c>
      <c r="D582" s="3" t="s">
        <v>25</v>
      </c>
      <c r="E582" s="3" t="s">
        <v>25</v>
      </c>
      <c r="F582" s="3" t="s">
        <v>25</v>
      </c>
      <c r="G582" s="3" t="s">
        <v>67</v>
      </c>
      <c r="H582" s="3" t="s">
        <v>34</v>
      </c>
      <c r="I582" s="6">
        <v>44531</v>
      </c>
      <c r="J582" s="4">
        <v>6896</v>
      </c>
      <c r="K582" s="4">
        <v>6896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 t="s">
        <v>63</v>
      </c>
      <c r="R582" s="3">
        <v>47</v>
      </c>
      <c r="S582" s="4">
        <v>17</v>
      </c>
      <c r="T582" s="4">
        <v>0</v>
      </c>
      <c r="U582" s="4">
        <v>0</v>
      </c>
      <c r="V582" s="4">
        <f>IF(ISERROR(VLOOKUP($S$582,'TAR FIN'!$A$1:$O$113,15,0)),0,VLOOKUP($S$582,'TAR FIN'!$A$1:$O$113,15,0))</f>
        <v>29.89</v>
      </c>
      <c r="W582" s="4">
        <f>IF(ISERROR(VLOOKUP($T$582,'TAR FIN'!$A$1:$O$113,15,0)),0,VLOOKUP($T$582,'TAR FIN'!$A$1:$O$113,15,0))</f>
        <v>0</v>
      </c>
      <c r="X582" s="4">
        <f>IF(ISERROR(VLOOKUP($U$582,'TAR FIN'!$A$1:$O$113,15,0)),0,VLOOKUP($U$582,'TAR FIN'!$A$1:$O$113,15,0))</f>
        <v>0</v>
      </c>
      <c r="Y582" s="4">
        <f ca="1">('TUSD BE'!$AM$26+'TUSD BF'!$AM$26+'TUSD CVA'!$AM$26)*1</f>
        <v>36.252448665270038</v>
      </c>
      <c r="Z582" s="4">
        <f ca="1">('TUSD BE'!$AM$28+'TUSD BF'!$AM$28+'TUSD CVA'!$AM$28)*1</f>
        <v>11.150945133676805</v>
      </c>
      <c r="AA582" s="4"/>
      <c r="AB582" s="4">
        <f>$K$582*$V$582</f>
        <v>206121.44</v>
      </c>
      <c r="AC582" s="4">
        <f>$M$582*$W$582</f>
        <v>0</v>
      </c>
      <c r="AD582" s="4">
        <f>$O$582*$X$582</f>
        <v>0</v>
      </c>
      <c r="AE582" s="4">
        <f ca="1">$K$582*$Y$582</f>
        <v>249996.88599570218</v>
      </c>
      <c r="AF582" s="4">
        <f ca="1">$M$582*$Z$582</f>
        <v>0</v>
      </c>
      <c r="AG582" s="4">
        <f>$O$582*$AA$582</f>
        <v>0</v>
      </c>
    </row>
    <row r="583" spans="1:33" ht="11.25" customHeight="1" x14ac:dyDescent="0.25">
      <c r="A583" s="3" t="s">
        <v>21</v>
      </c>
      <c r="B583" s="3" t="s">
        <v>41</v>
      </c>
      <c r="C583" s="3" t="s">
        <v>61</v>
      </c>
      <c r="D583" s="3" t="s">
        <v>25</v>
      </c>
      <c r="E583" s="3" t="s">
        <v>25</v>
      </c>
      <c r="F583" s="3" t="s">
        <v>25</v>
      </c>
      <c r="G583" s="3" t="s">
        <v>62</v>
      </c>
      <c r="H583" s="3" t="s">
        <v>34</v>
      </c>
      <c r="I583" s="6">
        <v>44562</v>
      </c>
      <c r="J583" s="4">
        <v>4469</v>
      </c>
      <c r="K583" s="4">
        <v>4469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 t="s">
        <v>63</v>
      </c>
      <c r="R583" s="3">
        <v>44</v>
      </c>
      <c r="S583" s="4">
        <v>105</v>
      </c>
      <c r="T583" s="4">
        <v>0</v>
      </c>
      <c r="U583" s="4">
        <v>0</v>
      </c>
      <c r="V583" s="4">
        <f>IF(ISERROR(VLOOKUP($S$583,'TAR FIN'!$A$1:$O$113,15,0)),0,VLOOKUP($S$583,'TAR FIN'!$A$1:$O$113,15,0))</f>
        <v>29.89</v>
      </c>
      <c r="W583" s="4">
        <f>IF(ISERROR(VLOOKUP($T$583,'TAR FIN'!$A$1:$O$113,15,0)),0,VLOOKUP($T$583,'TAR FIN'!$A$1:$O$113,15,0))</f>
        <v>0</v>
      </c>
      <c r="X583" s="4">
        <f>IF(ISERROR(VLOOKUP($U$583,'TAR FIN'!$A$1:$O$113,15,0)),0,VLOOKUP($U$583,'TAR FIN'!$A$1:$O$113,15,0))</f>
        <v>0</v>
      </c>
      <c r="Y583" s="4">
        <f ca="1">('TUSD BE'!$AM$23+'TUSD BF'!$AM$23+'TUSD CVA'!$AM$23)*1</f>
        <v>36.252448665270038</v>
      </c>
      <c r="Z583" s="4">
        <f ca="1">('TUSD BE'!$AM$25+'TUSD BF'!$AM$25+'TUSD CVA'!$AM$25)*1</f>
        <v>11.150945133676805</v>
      </c>
      <c r="AA583" s="4"/>
      <c r="AB583" s="4">
        <f>$K$583*$V$583</f>
        <v>133578.41</v>
      </c>
      <c r="AC583" s="4">
        <f>$M$583*$W$583</f>
        <v>0</v>
      </c>
      <c r="AD583" s="4">
        <f>$O$583*$X$583</f>
        <v>0</v>
      </c>
      <c r="AE583" s="4">
        <f ca="1">$K$583*$Y$583</f>
        <v>162012.1930850918</v>
      </c>
      <c r="AF583" s="4">
        <f ca="1">$M$583*$Z$583</f>
        <v>0</v>
      </c>
      <c r="AG583" s="4">
        <f>$O$583*$AA$583</f>
        <v>0</v>
      </c>
    </row>
    <row r="584" spans="1:33" ht="11.25" customHeight="1" x14ac:dyDescent="0.25">
      <c r="A584" s="3" t="s">
        <v>21</v>
      </c>
      <c r="B584" s="3" t="s">
        <v>41</v>
      </c>
      <c r="C584" s="3" t="s">
        <v>61</v>
      </c>
      <c r="D584" s="3" t="s">
        <v>25</v>
      </c>
      <c r="E584" s="3" t="s">
        <v>25</v>
      </c>
      <c r="F584" s="3" t="s">
        <v>25</v>
      </c>
      <c r="G584" s="3" t="s">
        <v>67</v>
      </c>
      <c r="H584" s="3" t="s">
        <v>34</v>
      </c>
      <c r="I584" s="6">
        <v>44562</v>
      </c>
      <c r="J584" s="4">
        <v>6412</v>
      </c>
      <c r="K584" s="4">
        <v>6412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3" t="s">
        <v>63</v>
      </c>
      <c r="R584" s="3">
        <v>47</v>
      </c>
      <c r="S584" s="4">
        <v>17</v>
      </c>
      <c r="T584" s="4">
        <v>0</v>
      </c>
      <c r="U584" s="4">
        <v>0</v>
      </c>
      <c r="V584" s="4">
        <f>IF(ISERROR(VLOOKUP($S$584,'TAR FIN'!$A$1:$O$113,15,0)),0,VLOOKUP($S$584,'TAR FIN'!$A$1:$O$113,15,0))</f>
        <v>29.89</v>
      </c>
      <c r="W584" s="4">
        <f>IF(ISERROR(VLOOKUP($T$584,'TAR FIN'!$A$1:$O$113,15,0)),0,VLOOKUP($T$584,'TAR FIN'!$A$1:$O$113,15,0))</f>
        <v>0</v>
      </c>
      <c r="X584" s="4">
        <f>IF(ISERROR(VLOOKUP($U$584,'TAR FIN'!$A$1:$O$113,15,0)),0,VLOOKUP($U$584,'TAR FIN'!$A$1:$O$113,15,0))</f>
        <v>0</v>
      </c>
      <c r="Y584" s="4">
        <f ca="1">('TUSD BE'!$AM$26+'TUSD BF'!$AM$26+'TUSD CVA'!$AM$26)*1</f>
        <v>36.252448665270038</v>
      </c>
      <c r="Z584" s="4">
        <f ca="1">('TUSD BE'!$AM$28+'TUSD BF'!$AM$28+'TUSD CVA'!$AM$28)*1</f>
        <v>11.150945133676805</v>
      </c>
      <c r="AA584" s="4"/>
      <c r="AB584" s="4">
        <f>$K$584*$V$584</f>
        <v>191654.68</v>
      </c>
      <c r="AC584" s="4">
        <f>$M$584*$W$584</f>
        <v>0</v>
      </c>
      <c r="AD584" s="4">
        <f>$O$584*$X$584</f>
        <v>0</v>
      </c>
      <c r="AE584" s="4">
        <f ca="1">$K$584*$Y$584</f>
        <v>232450.70084171148</v>
      </c>
      <c r="AF584" s="4">
        <f ca="1">$M$584*$Z$584</f>
        <v>0</v>
      </c>
      <c r="AG584" s="4">
        <f>$O$584*$AA$584</f>
        <v>0</v>
      </c>
    </row>
    <row r="585" spans="1:33" ht="11.25" customHeight="1" x14ac:dyDescent="0.25">
      <c r="A585" s="3" t="s">
        <v>21</v>
      </c>
      <c r="B585" s="3" t="s">
        <v>41</v>
      </c>
      <c r="C585" s="3" t="s">
        <v>61</v>
      </c>
      <c r="D585" s="3" t="s">
        <v>25</v>
      </c>
      <c r="E585" s="3" t="s">
        <v>25</v>
      </c>
      <c r="F585" s="3" t="s">
        <v>25</v>
      </c>
      <c r="G585" s="3" t="s">
        <v>62</v>
      </c>
      <c r="H585" s="3" t="s">
        <v>34</v>
      </c>
      <c r="I585" s="6">
        <v>44593</v>
      </c>
      <c r="J585" s="4">
        <v>4469</v>
      </c>
      <c r="K585" s="4">
        <v>4469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3" t="s">
        <v>63</v>
      </c>
      <c r="R585" s="3">
        <v>44</v>
      </c>
      <c r="S585" s="4">
        <v>105</v>
      </c>
      <c r="T585" s="4">
        <v>0</v>
      </c>
      <c r="U585" s="4">
        <v>0</v>
      </c>
      <c r="V585" s="4">
        <f>IF(ISERROR(VLOOKUP($S$585,'TAR FIN'!$A$1:$O$113,15,0)),0,VLOOKUP($S$585,'TAR FIN'!$A$1:$O$113,15,0))</f>
        <v>29.89</v>
      </c>
      <c r="W585" s="4">
        <f>IF(ISERROR(VLOOKUP($T$585,'TAR FIN'!$A$1:$O$113,15,0)),0,VLOOKUP($T$585,'TAR FIN'!$A$1:$O$113,15,0))</f>
        <v>0</v>
      </c>
      <c r="X585" s="4">
        <f>IF(ISERROR(VLOOKUP($U$585,'TAR FIN'!$A$1:$O$113,15,0)),0,VLOOKUP($U$585,'TAR FIN'!$A$1:$O$113,15,0))</f>
        <v>0</v>
      </c>
      <c r="Y585" s="4">
        <f ca="1">('TUSD BE'!$AM$23+'TUSD BF'!$AM$23+'TUSD CVA'!$AM$23)*1</f>
        <v>36.252448665270038</v>
      </c>
      <c r="Z585" s="4">
        <f ca="1">('TUSD BE'!$AM$25+'TUSD BF'!$AM$25+'TUSD CVA'!$AM$25)*1</f>
        <v>11.150945133676805</v>
      </c>
      <c r="AA585" s="4"/>
      <c r="AB585" s="4">
        <f>$K$585*$V$585</f>
        <v>133578.41</v>
      </c>
      <c r="AC585" s="4">
        <f>$M$585*$W$585</f>
        <v>0</v>
      </c>
      <c r="AD585" s="4">
        <f>$O$585*$X$585</f>
        <v>0</v>
      </c>
      <c r="AE585" s="4">
        <f ca="1">$K$585*$Y$585</f>
        <v>162012.1930850918</v>
      </c>
      <c r="AF585" s="4">
        <f ca="1">$M$585*$Z$585</f>
        <v>0</v>
      </c>
      <c r="AG585" s="4">
        <f>$O$585*$AA$585</f>
        <v>0</v>
      </c>
    </row>
    <row r="586" spans="1:33" ht="11.25" customHeight="1" x14ac:dyDescent="0.25">
      <c r="A586" s="3" t="s">
        <v>21</v>
      </c>
      <c r="B586" s="3" t="s">
        <v>41</v>
      </c>
      <c r="C586" s="3" t="s">
        <v>61</v>
      </c>
      <c r="D586" s="3" t="s">
        <v>25</v>
      </c>
      <c r="E586" s="3" t="s">
        <v>25</v>
      </c>
      <c r="F586" s="3" t="s">
        <v>25</v>
      </c>
      <c r="G586" s="3" t="s">
        <v>67</v>
      </c>
      <c r="H586" s="3" t="s">
        <v>34</v>
      </c>
      <c r="I586" s="6">
        <v>44593</v>
      </c>
      <c r="J586" s="4">
        <v>6412</v>
      </c>
      <c r="K586" s="4">
        <v>6412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3" t="s">
        <v>63</v>
      </c>
      <c r="R586" s="3">
        <v>47</v>
      </c>
      <c r="S586" s="4">
        <v>17</v>
      </c>
      <c r="T586" s="4">
        <v>0</v>
      </c>
      <c r="U586" s="4">
        <v>0</v>
      </c>
      <c r="V586" s="4">
        <f>IF(ISERROR(VLOOKUP($S$586,'TAR FIN'!$A$1:$O$113,15,0)),0,VLOOKUP($S$586,'TAR FIN'!$A$1:$O$113,15,0))</f>
        <v>29.89</v>
      </c>
      <c r="W586" s="4">
        <f>IF(ISERROR(VLOOKUP($T$586,'TAR FIN'!$A$1:$O$113,15,0)),0,VLOOKUP($T$586,'TAR FIN'!$A$1:$O$113,15,0))</f>
        <v>0</v>
      </c>
      <c r="X586" s="4">
        <f>IF(ISERROR(VLOOKUP($U$586,'TAR FIN'!$A$1:$O$113,15,0)),0,VLOOKUP($U$586,'TAR FIN'!$A$1:$O$113,15,0))</f>
        <v>0</v>
      </c>
      <c r="Y586" s="4">
        <f ca="1">('TUSD BE'!$AM$26+'TUSD BF'!$AM$26+'TUSD CVA'!$AM$26)*1</f>
        <v>36.252448665270038</v>
      </c>
      <c r="Z586" s="4">
        <f ca="1">('TUSD BE'!$AM$28+'TUSD BF'!$AM$28+'TUSD CVA'!$AM$28)*1</f>
        <v>11.150945133676805</v>
      </c>
      <c r="AA586" s="4"/>
      <c r="AB586" s="4">
        <f>$K$586*$V$586</f>
        <v>191654.68</v>
      </c>
      <c r="AC586" s="4">
        <f>$M$586*$W$586</f>
        <v>0</v>
      </c>
      <c r="AD586" s="4">
        <f>$O$586*$X$586</f>
        <v>0</v>
      </c>
      <c r="AE586" s="4">
        <f ca="1">$K$586*$Y$586</f>
        <v>232450.70084171148</v>
      </c>
      <c r="AF586" s="4">
        <f ca="1">$M$586*$Z$586</f>
        <v>0</v>
      </c>
      <c r="AG586" s="4">
        <f>$O$586*$AA$586</f>
        <v>0</v>
      </c>
    </row>
    <row r="587" spans="1:33" ht="11.25" customHeight="1" x14ac:dyDescent="0.25">
      <c r="A587" s="3" t="s">
        <v>56</v>
      </c>
      <c r="B587" s="3" t="s">
        <v>41</v>
      </c>
      <c r="C587" s="3" t="s">
        <v>61</v>
      </c>
      <c r="D587" s="3" t="s">
        <v>25</v>
      </c>
      <c r="E587" s="3" t="s">
        <v>25</v>
      </c>
      <c r="F587" s="3" t="s">
        <v>25</v>
      </c>
      <c r="G587" s="3" t="s">
        <v>62</v>
      </c>
      <c r="H587" s="3" t="s">
        <v>34</v>
      </c>
      <c r="I587" s="6">
        <v>44621</v>
      </c>
      <c r="J587" s="4">
        <v>4469</v>
      </c>
      <c r="K587" s="4">
        <v>4469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3" t="s">
        <v>63</v>
      </c>
      <c r="R587" s="3">
        <v>44</v>
      </c>
      <c r="S587" s="4">
        <v>105</v>
      </c>
      <c r="T587" s="4">
        <v>0</v>
      </c>
      <c r="U587" s="4">
        <v>0</v>
      </c>
      <c r="V587" s="4">
        <f>IF(ISERROR(VLOOKUP($S$587,'TAR FIN'!$A$1:$O$113,15,0)),0,VLOOKUP($S$587,'TAR FIN'!$A$1:$O$113,15,0))</f>
        <v>29.89</v>
      </c>
      <c r="W587" s="4">
        <f>IF(ISERROR(VLOOKUP($T$587,'TAR FIN'!$A$1:$O$113,15,0)),0,VLOOKUP($T$587,'TAR FIN'!$A$1:$O$113,15,0))</f>
        <v>0</v>
      </c>
      <c r="X587" s="4">
        <f>IF(ISERROR(VLOOKUP($U$587,'TAR FIN'!$A$1:$O$113,15,0)),0,VLOOKUP($U$587,'TAR FIN'!$A$1:$O$113,15,0))</f>
        <v>0</v>
      </c>
      <c r="Y587" s="4">
        <f ca="1">('TUSD BE'!$AM$23+'TUSD BF'!$AM$23+'TUSD CVA'!$AM$23)*1</f>
        <v>36.252448665270038</v>
      </c>
      <c r="Z587" s="4">
        <f ca="1">('TUSD BE'!$AM$25+'TUSD BF'!$AM$25+'TUSD CVA'!$AM$25)*1</f>
        <v>11.150945133676805</v>
      </c>
      <c r="AA587" s="4"/>
      <c r="AB587" s="4">
        <f>$K$587*$V$587</f>
        <v>133578.41</v>
      </c>
      <c r="AC587" s="4">
        <f>$M$587*$W$587</f>
        <v>0</v>
      </c>
      <c r="AD587" s="4">
        <f>$O$587*$X$587</f>
        <v>0</v>
      </c>
      <c r="AE587" s="4">
        <f ca="1">$K$587*$Y$587</f>
        <v>162012.1930850918</v>
      </c>
      <c r="AF587" s="4">
        <f ca="1">$M$587*$Z$587</f>
        <v>0</v>
      </c>
      <c r="AG587" s="4">
        <f>$O$587*$AA$587</f>
        <v>0</v>
      </c>
    </row>
    <row r="588" spans="1:33" ht="11.25" customHeight="1" x14ac:dyDescent="0.25">
      <c r="A588" s="3" t="s">
        <v>56</v>
      </c>
      <c r="B588" s="3" t="s">
        <v>41</v>
      </c>
      <c r="C588" s="3" t="s">
        <v>61</v>
      </c>
      <c r="D588" s="3" t="s">
        <v>25</v>
      </c>
      <c r="E588" s="3" t="s">
        <v>25</v>
      </c>
      <c r="F588" s="3" t="s">
        <v>25</v>
      </c>
      <c r="G588" s="3" t="s">
        <v>67</v>
      </c>
      <c r="H588" s="3" t="s">
        <v>34</v>
      </c>
      <c r="I588" s="6">
        <v>44621</v>
      </c>
      <c r="J588" s="4">
        <v>6412</v>
      </c>
      <c r="K588" s="4">
        <v>6412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3" t="s">
        <v>63</v>
      </c>
      <c r="R588" s="3">
        <v>47</v>
      </c>
      <c r="S588" s="4">
        <v>17</v>
      </c>
      <c r="T588" s="4">
        <v>0</v>
      </c>
      <c r="U588" s="4">
        <v>0</v>
      </c>
      <c r="V588" s="4">
        <f>IF(ISERROR(VLOOKUP($S$588,'TAR FIN'!$A$1:$O$113,15,0)),0,VLOOKUP($S$588,'TAR FIN'!$A$1:$O$113,15,0))</f>
        <v>29.89</v>
      </c>
      <c r="W588" s="4">
        <f>IF(ISERROR(VLOOKUP($T$588,'TAR FIN'!$A$1:$O$113,15,0)),0,VLOOKUP($T$588,'TAR FIN'!$A$1:$O$113,15,0))</f>
        <v>0</v>
      </c>
      <c r="X588" s="4">
        <f>IF(ISERROR(VLOOKUP($U$588,'TAR FIN'!$A$1:$O$113,15,0)),0,VLOOKUP($U$588,'TAR FIN'!$A$1:$O$113,15,0))</f>
        <v>0</v>
      </c>
      <c r="Y588" s="4">
        <f ca="1">('TUSD BE'!$AM$26+'TUSD BF'!$AM$26+'TUSD CVA'!$AM$26)*1</f>
        <v>36.252448665270038</v>
      </c>
      <c r="Z588" s="4">
        <f ca="1">('TUSD BE'!$AM$28+'TUSD BF'!$AM$28+'TUSD CVA'!$AM$28)*1</f>
        <v>11.150945133676805</v>
      </c>
      <c r="AA588" s="4"/>
      <c r="AB588" s="4">
        <f>$K$588*$V$588</f>
        <v>191654.68</v>
      </c>
      <c r="AC588" s="4">
        <f>$M$588*$W$588</f>
        <v>0</v>
      </c>
      <c r="AD588" s="4">
        <f>$O$588*$X$588</f>
        <v>0</v>
      </c>
      <c r="AE588" s="4">
        <f ca="1">$K$588*$Y$588</f>
        <v>232450.70084171148</v>
      </c>
      <c r="AF588" s="4">
        <f ca="1">$M$588*$Z$588</f>
        <v>0</v>
      </c>
      <c r="AG588" s="4">
        <f>$O$588*$AA$588</f>
        <v>0</v>
      </c>
    </row>
    <row r="589" spans="1:33" ht="11.25" customHeight="1" x14ac:dyDescent="0.25">
      <c r="A589" s="3" t="s">
        <v>21</v>
      </c>
      <c r="B589" s="3" t="s">
        <v>41</v>
      </c>
      <c r="C589" s="3" t="s">
        <v>69</v>
      </c>
      <c r="D589" s="3" t="s">
        <v>25</v>
      </c>
      <c r="E589" s="3" t="s">
        <v>25</v>
      </c>
      <c r="F589" s="3" t="s">
        <v>70</v>
      </c>
      <c r="G589" s="3" t="s">
        <v>76</v>
      </c>
      <c r="H589" s="3" t="s">
        <v>25</v>
      </c>
      <c r="I589" s="6">
        <v>44287</v>
      </c>
      <c r="J589" s="4">
        <v>2196</v>
      </c>
      <c r="K589" s="4">
        <v>1098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3" t="s">
        <v>72</v>
      </c>
      <c r="R589" s="3">
        <v>30677</v>
      </c>
      <c r="S589" s="4">
        <v>43</v>
      </c>
      <c r="T589" s="4">
        <v>0</v>
      </c>
      <c r="U589" s="4">
        <v>0</v>
      </c>
      <c r="V589" s="4">
        <f>IF(ISERROR(VLOOKUP($S$589,'TAR FIN'!$A$1:$O$113,15,0)),0,VLOOKUP($S$589,'TAR FIN'!$A$1:$O$113,15,0))</f>
        <v>11.74</v>
      </c>
      <c r="W589" s="4">
        <f>IF(ISERROR(VLOOKUP($T$589,'TAR FIN'!$A$1:$O$113,15,0)),0,VLOOKUP($T$589,'TAR FIN'!$A$1:$O$113,15,0))</f>
        <v>0</v>
      </c>
      <c r="X589" s="4">
        <f>IF(ISERROR(VLOOKUP($U$589,'TAR FIN'!$A$1:$O$113,15,0)),0,VLOOKUP($U$589,'TAR FIN'!$A$1:$O$113,15,0))</f>
        <v>0</v>
      </c>
      <c r="Y589" s="4">
        <f ca="1">('TUSD BE'!$AM$29+'TUSD BF'!$AM$29+'TUSD CVA'!$AM$29)*1</f>
        <v>14.316677378406878</v>
      </c>
      <c r="Z589" s="4"/>
      <c r="AA589" s="4"/>
      <c r="AB589" s="4">
        <f>$K$589*$V$589</f>
        <v>12890.52</v>
      </c>
      <c r="AC589" s="4">
        <f>$M$589*$W$589</f>
        <v>0</v>
      </c>
      <c r="AD589" s="4">
        <f>$O$589*$X$589</f>
        <v>0</v>
      </c>
      <c r="AE589" s="4">
        <f ca="1">$K$589*$Y$589</f>
        <v>15719.711761490751</v>
      </c>
      <c r="AF589" s="4">
        <f>$M$589*$Z$589</f>
        <v>0</v>
      </c>
      <c r="AG589" s="4">
        <f>$O$589*$AA$589</f>
        <v>0</v>
      </c>
    </row>
    <row r="590" spans="1:33" ht="11.25" customHeight="1" x14ac:dyDescent="0.25">
      <c r="A590" s="3" t="s">
        <v>21</v>
      </c>
      <c r="B590" s="3" t="s">
        <v>41</v>
      </c>
      <c r="C590" s="3" t="s">
        <v>69</v>
      </c>
      <c r="D590" s="3" t="s">
        <v>25</v>
      </c>
      <c r="E590" s="3" t="s">
        <v>25</v>
      </c>
      <c r="F590" s="3" t="s">
        <v>70</v>
      </c>
      <c r="G590" s="3" t="s">
        <v>76</v>
      </c>
      <c r="H590" s="3" t="s">
        <v>25</v>
      </c>
      <c r="I590" s="6">
        <v>44317</v>
      </c>
      <c r="J590" s="4">
        <v>2252</v>
      </c>
      <c r="K590" s="4">
        <v>1126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3" t="s">
        <v>72</v>
      </c>
      <c r="R590" s="3">
        <v>30677</v>
      </c>
      <c r="S590" s="4">
        <v>43</v>
      </c>
      <c r="T590" s="4">
        <v>0</v>
      </c>
      <c r="U590" s="4">
        <v>0</v>
      </c>
      <c r="V590" s="4">
        <f>IF(ISERROR(VLOOKUP($S$590,'TAR FIN'!$A$1:$O$113,15,0)),0,VLOOKUP($S$590,'TAR FIN'!$A$1:$O$113,15,0))</f>
        <v>11.74</v>
      </c>
      <c r="W590" s="4">
        <f>IF(ISERROR(VLOOKUP($T$590,'TAR FIN'!$A$1:$O$113,15,0)),0,VLOOKUP($T$590,'TAR FIN'!$A$1:$O$113,15,0))</f>
        <v>0</v>
      </c>
      <c r="X590" s="4">
        <f>IF(ISERROR(VLOOKUP($U$590,'TAR FIN'!$A$1:$O$113,15,0)),0,VLOOKUP($U$590,'TAR FIN'!$A$1:$O$113,15,0))</f>
        <v>0</v>
      </c>
      <c r="Y590" s="4">
        <f ca="1">('TUSD BE'!$AM$29+'TUSD BF'!$AM$29+'TUSD CVA'!$AM$29)*1</f>
        <v>14.316677378406878</v>
      </c>
      <c r="Z590" s="4"/>
      <c r="AA590" s="4"/>
      <c r="AB590" s="4">
        <f>$K$590*$V$590</f>
        <v>13219.24</v>
      </c>
      <c r="AC590" s="4">
        <f>$M$590*$W$590</f>
        <v>0</v>
      </c>
      <c r="AD590" s="4">
        <f>$O$590*$X$590</f>
        <v>0</v>
      </c>
      <c r="AE590" s="4">
        <f ca="1">$K$590*$Y$590</f>
        <v>16120.578728086144</v>
      </c>
      <c r="AF590" s="4">
        <f>$M$590*$Z$590</f>
        <v>0</v>
      </c>
      <c r="AG590" s="4">
        <f>$O$590*$AA$590</f>
        <v>0</v>
      </c>
    </row>
    <row r="591" spans="1:33" ht="11.25" customHeight="1" x14ac:dyDescent="0.25">
      <c r="A591" s="3" t="s">
        <v>21</v>
      </c>
      <c r="B591" s="3" t="s">
        <v>41</v>
      </c>
      <c r="C591" s="3" t="s">
        <v>69</v>
      </c>
      <c r="D591" s="3" t="s">
        <v>25</v>
      </c>
      <c r="E591" s="3" t="s">
        <v>25</v>
      </c>
      <c r="F591" s="3" t="s">
        <v>70</v>
      </c>
      <c r="G591" s="3" t="s">
        <v>76</v>
      </c>
      <c r="H591" s="3" t="s">
        <v>25</v>
      </c>
      <c r="I591" s="6">
        <v>44348</v>
      </c>
      <c r="J591" s="4">
        <v>1000</v>
      </c>
      <c r="K591" s="4">
        <v>500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 t="s">
        <v>72</v>
      </c>
      <c r="R591" s="3">
        <v>30677</v>
      </c>
      <c r="S591" s="4">
        <v>43</v>
      </c>
      <c r="T591" s="4">
        <v>0</v>
      </c>
      <c r="U591" s="4">
        <v>0</v>
      </c>
      <c r="V591" s="4">
        <f>IF(ISERROR(VLOOKUP($S$591,'TAR FIN'!$A$1:$O$113,15,0)),0,VLOOKUP($S$591,'TAR FIN'!$A$1:$O$113,15,0))</f>
        <v>11.74</v>
      </c>
      <c r="W591" s="4">
        <f>IF(ISERROR(VLOOKUP($T$591,'TAR FIN'!$A$1:$O$113,15,0)),0,VLOOKUP($T$591,'TAR FIN'!$A$1:$O$113,15,0))</f>
        <v>0</v>
      </c>
      <c r="X591" s="4">
        <f>IF(ISERROR(VLOOKUP($U$591,'TAR FIN'!$A$1:$O$113,15,0)),0,VLOOKUP($U$591,'TAR FIN'!$A$1:$O$113,15,0))</f>
        <v>0</v>
      </c>
      <c r="Y591" s="4">
        <f ca="1">('TUSD BE'!$AM$29+'TUSD BF'!$AM$29+'TUSD CVA'!$AM$29)*1</f>
        <v>14.316677378406878</v>
      </c>
      <c r="Z591" s="4"/>
      <c r="AA591" s="4"/>
      <c r="AB591" s="4">
        <f>$K$591*$V$591</f>
        <v>5870</v>
      </c>
      <c r="AC591" s="4">
        <f>$M$591*$W$591</f>
        <v>0</v>
      </c>
      <c r="AD591" s="4">
        <f>$O$591*$X$591</f>
        <v>0</v>
      </c>
      <c r="AE591" s="4">
        <f ca="1">$K$591*$Y$591</f>
        <v>7158.3386892034387</v>
      </c>
      <c r="AF591" s="4">
        <f>$M$591*$Z$591</f>
        <v>0</v>
      </c>
      <c r="AG591" s="4">
        <f>$O$591*$AA$591</f>
        <v>0</v>
      </c>
    </row>
    <row r="592" spans="1:33" ht="11.25" customHeight="1" x14ac:dyDescent="0.25">
      <c r="A592" s="3" t="s">
        <v>21</v>
      </c>
      <c r="B592" s="3" t="s">
        <v>41</v>
      </c>
      <c r="C592" s="3" t="s">
        <v>69</v>
      </c>
      <c r="D592" s="3" t="s">
        <v>25</v>
      </c>
      <c r="E592" s="3" t="s">
        <v>25</v>
      </c>
      <c r="F592" s="3" t="s">
        <v>70</v>
      </c>
      <c r="G592" s="3" t="s">
        <v>76</v>
      </c>
      <c r="H592" s="3" t="s">
        <v>25</v>
      </c>
      <c r="I592" s="6">
        <v>44378</v>
      </c>
      <c r="J592" s="4">
        <v>1000</v>
      </c>
      <c r="K592" s="4">
        <v>500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3" t="s">
        <v>72</v>
      </c>
      <c r="R592" s="3">
        <v>30677</v>
      </c>
      <c r="S592" s="4">
        <v>43</v>
      </c>
      <c r="T592" s="4">
        <v>0</v>
      </c>
      <c r="U592" s="4">
        <v>0</v>
      </c>
      <c r="V592" s="4">
        <f>IF(ISERROR(VLOOKUP($S$592,'TAR FIN'!$A$1:$O$113,15,0)),0,VLOOKUP($S$592,'TAR FIN'!$A$1:$O$113,15,0))</f>
        <v>11.74</v>
      </c>
      <c r="W592" s="4">
        <f>IF(ISERROR(VLOOKUP($T$592,'TAR FIN'!$A$1:$O$113,15,0)),0,VLOOKUP($T$592,'TAR FIN'!$A$1:$O$113,15,0))</f>
        <v>0</v>
      </c>
      <c r="X592" s="4">
        <f>IF(ISERROR(VLOOKUP($U$592,'TAR FIN'!$A$1:$O$113,15,0)),0,VLOOKUP($U$592,'TAR FIN'!$A$1:$O$113,15,0))</f>
        <v>0</v>
      </c>
      <c r="Y592" s="4">
        <f ca="1">('TUSD BE'!$AM$29+'TUSD BF'!$AM$29+'TUSD CVA'!$AM$29)*1</f>
        <v>14.316677378406878</v>
      </c>
      <c r="Z592" s="4"/>
      <c r="AA592" s="4"/>
      <c r="AB592" s="4">
        <f>$K$592*$V$592</f>
        <v>5870</v>
      </c>
      <c r="AC592" s="4">
        <f>$M$592*$W$592</f>
        <v>0</v>
      </c>
      <c r="AD592" s="4">
        <f>$O$592*$X$592</f>
        <v>0</v>
      </c>
      <c r="AE592" s="4">
        <f ca="1">$K$592*$Y$592</f>
        <v>7158.3386892034387</v>
      </c>
      <c r="AF592" s="4">
        <f>$M$592*$Z$592</f>
        <v>0</v>
      </c>
      <c r="AG592" s="4">
        <f>$O$592*$AA$592</f>
        <v>0</v>
      </c>
    </row>
    <row r="593" spans="1:33" ht="11.25" customHeight="1" x14ac:dyDescent="0.25">
      <c r="A593" s="3" t="s">
        <v>21</v>
      </c>
      <c r="B593" s="3" t="s">
        <v>41</v>
      </c>
      <c r="C593" s="3" t="s">
        <v>69</v>
      </c>
      <c r="D593" s="3" t="s">
        <v>25</v>
      </c>
      <c r="E593" s="3" t="s">
        <v>25</v>
      </c>
      <c r="F593" s="3" t="s">
        <v>70</v>
      </c>
      <c r="G593" s="3" t="s">
        <v>76</v>
      </c>
      <c r="H593" s="3" t="s">
        <v>25</v>
      </c>
      <c r="I593" s="6">
        <v>44409</v>
      </c>
      <c r="J593" s="4">
        <v>600</v>
      </c>
      <c r="K593" s="4">
        <v>300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3" t="s">
        <v>72</v>
      </c>
      <c r="R593" s="3">
        <v>30677</v>
      </c>
      <c r="S593" s="4">
        <v>43</v>
      </c>
      <c r="T593" s="4">
        <v>0</v>
      </c>
      <c r="U593" s="4">
        <v>0</v>
      </c>
      <c r="V593" s="4">
        <f>IF(ISERROR(VLOOKUP($S$593,'TAR FIN'!$A$1:$O$113,15,0)),0,VLOOKUP($S$593,'TAR FIN'!$A$1:$O$113,15,0))</f>
        <v>11.74</v>
      </c>
      <c r="W593" s="4">
        <f>IF(ISERROR(VLOOKUP($T$593,'TAR FIN'!$A$1:$O$113,15,0)),0,VLOOKUP($T$593,'TAR FIN'!$A$1:$O$113,15,0))</f>
        <v>0</v>
      </c>
      <c r="X593" s="4">
        <f>IF(ISERROR(VLOOKUP($U$593,'TAR FIN'!$A$1:$O$113,15,0)),0,VLOOKUP($U$593,'TAR FIN'!$A$1:$O$113,15,0))</f>
        <v>0</v>
      </c>
      <c r="Y593" s="4">
        <f ca="1">('TUSD BE'!$AM$29+'TUSD BF'!$AM$29+'TUSD CVA'!$AM$29)*1</f>
        <v>14.316677378406878</v>
      </c>
      <c r="Z593" s="4"/>
      <c r="AA593" s="4"/>
      <c r="AB593" s="4">
        <f>$K$593*$V$593</f>
        <v>3522</v>
      </c>
      <c r="AC593" s="4">
        <f>$M$593*$W$593</f>
        <v>0</v>
      </c>
      <c r="AD593" s="4">
        <f>$O$593*$X$593</f>
        <v>0</v>
      </c>
      <c r="AE593" s="4">
        <f ca="1">$K$593*$Y$593</f>
        <v>4295.0032135220636</v>
      </c>
      <c r="AF593" s="4">
        <f>$M$593*$Z$593</f>
        <v>0</v>
      </c>
      <c r="AG593" s="4">
        <f>$O$593*$AA$593</f>
        <v>0</v>
      </c>
    </row>
    <row r="594" spans="1:33" ht="11.25" customHeight="1" x14ac:dyDescent="0.25">
      <c r="A594" s="3" t="s">
        <v>21</v>
      </c>
      <c r="B594" s="3" t="s">
        <v>41</v>
      </c>
      <c r="C594" s="3" t="s">
        <v>69</v>
      </c>
      <c r="D594" s="3" t="s">
        <v>25</v>
      </c>
      <c r="E594" s="3" t="s">
        <v>25</v>
      </c>
      <c r="F594" s="3" t="s">
        <v>70</v>
      </c>
      <c r="G594" s="3" t="s">
        <v>76</v>
      </c>
      <c r="H594" s="3" t="s">
        <v>25</v>
      </c>
      <c r="I594" s="6">
        <v>44501</v>
      </c>
      <c r="J594" s="4">
        <v>92</v>
      </c>
      <c r="K594" s="4">
        <v>46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3" t="s">
        <v>72</v>
      </c>
      <c r="R594" s="3">
        <v>30677</v>
      </c>
      <c r="S594" s="4">
        <v>43</v>
      </c>
      <c r="T594" s="4">
        <v>0</v>
      </c>
      <c r="U594" s="4">
        <v>0</v>
      </c>
      <c r="V594" s="4">
        <f>IF(ISERROR(VLOOKUP($S$594,'TAR FIN'!$A$1:$O$113,15,0)),0,VLOOKUP($S$594,'TAR FIN'!$A$1:$O$113,15,0))</f>
        <v>11.74</v>
      </c>
      <c r="W594" s="4">
        <f>IF(ISERROR(VLOOKUP($T$594,'TAR FIN'!$A$1:$O$113,15,0)),0,VLOOKUP($T$594,'TAR FIN'!$A$1:$O$113,15,0))</f>
        <v>0</v>
      </c>
      <c r="X594" s="4">
        <f>IF(ISERROR(VLOOKUP($U$594,'TAR FIN'!$A$1:$O$113,15,0)),0,VLOOKUP($U$594,'TAR FIN'!$A$1:$O$113,15,0))</f>
        <v>0</v>
      </c>
      <c r="Y594" s="4">
        <f ca="1">('TUSD BE'!$AM$29+'TUSD BF'!$AM$29+'TUSD CVA'!$AM$29)*1</f>
        <v>14.316677378406878</v>
      </c>
      <c r="Z594" s="4"/>
      <c r="AA594" s="4"/>
      <c r="AB594" s="4">
        <f>$K$594*$V$594</f>
        <v>540.04</v>
      </c>
      <c r="AC594" s="4">
        <f>$M$594*$W$594</f>
        <v>0</v>
      </c>
      <c r="AD594" s="4">
        <f>$O$594*$X$594</f>
        <v>0</v>
      </c>
      <c r="AE594" s="4">
        <f ca="1">$K$594*$Y$594</f>
        <v>658.56715940671643</v>
      </c>
      <c r="AF594" s="4">
        <f>$M$594*$Z$594</f>
        <v>0</v>
      </c>
      <c r="AG594" s="4">
        <f>$O$594*$AA$594</f>
        <v>0</v>
      </c>
    </row>
    <row r="595" spans="1:33" ht="11.25" customHeight="1" x14ac:dyDescent="0.25">
      <c r="A595" s="3" t="s">
        <v>21</v>
      </c>
      <c r="B595" s="3" t="s">
        <v>41</v>
      </c>
      <c r="C595" s="3" t="s">
        <v>42</v>
      </c>
      <c r="D595" s="3" t="s">
        <v>43</v>
      </c>
      <c r="E595" s="3" t="s">
        <v>25</v>
      </c>
      <c r="F595" s="3" t="s">
        <v>25</v>
      </c>
      <c r="G595" s="3" t="s">
        <v>25</v>
      </c>
      <c r="H595" s="3" t="s">
        <v>35</v>
      </c>
      <c r="I595" s="6">
        <v>44287</v>
      </c>
      <c r="J595" s="4">
        <v>0</v>
      </c>
      <c r="K595" s="4">
        <v>0</v>
      </c>
      <c r="L595" s="4">
        <v>9683.9339999999993</v>
      </c>
      <c r="M595" s="4">
        <v>9683.9339999999993</v>
      </c>
      <c r="N595" s="4">
        <v>9683.9339999999993</v>
      </c>
      <c r="O595" s="4">
        <v>9683.9339999999993</v>
      </c>
      <c r="P595" s="4">
        <v>0</v>
      </c>
      <c r="Q595" s="3" t="s">
        <v>26</v>
      </c>
      <c r="R595" s="3">
        <v>0</v>
      </c>
      <c r="S595" s="4">
        <v>0</v>
      </c>
      <c r="T595" s="4">
        <v>21</v>
      </c>
      <c r="U595" s="4">
        <v>89</v>
      </c>
      <c r="V595" s="4">
        <f>IF(ISERROR(VLOOKUP($S$595,'TAR FIN'!$A$1:$O$113,15,0)),0,VLOOKUP($S$595,'TAR FIN'!$A$1:$O$113,15,0))</f>
        <v>0</v>
      </c>
      <c r="W595" s="4">
        <f>IF(ISERROR(VLOOKUP($T$595,'TAR FIN'!$A$1:$O$113,15,0)),0,VLOOKUP($T$595,'TAR FIN'!$A$1:$O$113,15,0))</f>
        <v>51.27</v>
      </c>
      <c r="X595" s="4">
        <f>IF(ISERROR(VLOOKUP($U$595,'TAR FIN'!$A$1:$O$113,15,0)),0,VLOOKUP($U$595,'TAR FIN'!$A$1:$O$113,15,0))</f>
        <v>222.31</v>
      </c>
      <c r="Y595" s="4"/>
      <c r="Z595" s="4">
        <f ca="1">('TUSD BE'!$AM$32+'TUSD BF'!$AM$32+'TUSD CVA'!$AM$32)*1</f>
        <v>65.007409626508434</v>
      </c>
      <c r="AA595" s="4">
        <f>('TE BE'!$AA$11+'TE BF'!$AA$11+'TE CVA'!$AA$11)*1</f>
        <v>223.14561812044704</v>
      </c>
      <c r="AB595" s="4">
        <f>$K$595*$V$595</f>
        <v>0</v>
      </c>
      <c r="AC595" s="4">
        <f>$M$595*$W$595</f>
        <v>496495.29618</v>
      </c>
      <c r="AD595" s="4">
        <f>$O$595*$X$595</f>
        <v>2152835.36754</v>
      </c>
      <c r="AE595" s="4">
        <f>$K$595*$Y$595</f>
        <v>0</v>
      </c>
      <c r="AF595" s="4">
        <f ca="1">$M$595*$Z$595</f>
        <v>629527.46433407231</v>
      </c>
      <c r="AG595" s="4">
        <f>$O$595*$AA$595</f>
        <v>2160927.4382676128</v>
      </c>
    </row>
    <row r="596" spans="1:33" ht="11.25" customHeight="1" x14ac:dyDescent="0.25">
      <c r="A596" s="3" t="s">
        <v>28</v>
      </c>
      <c r="B596" s="3" t="s">
        <v>41</v>
      </c>
      <c r="C596" s="3" t="s">
        <v>42</v>
      </c>
      <c r="D596" s="3" t="s">
        <v>43</v>
      </c>
      <c r="E596" s="3" t="s">
        <v>25</v>
      </c>
      <c r="F596" s="3" t="s">
        <v>25</v>
      </c>
      <c r="G596" s="3" t="s">
        <v>25</v>
      </c>
      <c r="H596" s="3" t="s">
        <v>35</v>
      </c>
      <c r="I596" s="6">
        <v>44287</v>
      </c>
      <c r="J596" s="4">
        <v>0</v>
      </c>
      <c r="K596" s="4">
        <v>0</v>
      </c>
      <c r="L596" s="4">
        <v>348.82799999999997</v>
      </c>
      <c r="M596" s="4">
        <v>348.82799999999997</v>
      </c>
      <c r="N596" s="4">
        <v>348.82799999999997</v>
      </c>
      <c r="O596" s="4">
        <v>348.82799999999997</v>
      </c>
      <c r="P596" s="4">
        <v>0</v>
      </c>
      <c r="Q596" s="3" t="s">
        <v>26</v>
      </c>
      <c r="R596" s="3">
        <v>0</v>
      </c>
      <c r="S596" s="4">
        <v>0</v>
      </c>
      <c r="T596" s="4">
        <v>21</v>
      </c>
      <c r="U596" s="4">
        <v>89</v>
      </c>
      <c r="V596" s="4">
        <f>IF(ISERROR(VLOOKUP($S$596,'TAR FIN'!$A$1:$O$113,15,0)),0,VLOOKUP($S$596,'TAR FIN'!$A$1:$O$113,15,0))</f>
        <v>0</v>
      </c>
      <c r="W596" s="4">
        <f>IF(ISERROR(VLOOKUP($T$596,'TAR FIN'!$A$1:$O$113,15,0)),0,VLOOKUP($T$596,'TAR FIN'!$A$1:$O$113,15,0))</f>
        <v>51.27</v>
      </c>
      <c r="X596" s="4">
        <f>IF(ISERROR(VLOOKUP($U$596,'TAR FIN'!$A$1:$O$113,15,0)),0,VLOOKUP($U$596,'TAR FIN'!$A$1:$O$113,15,0))</f>
        <v>222.31</v>
      </c>
      <c r="Y596" s="4"/>
      <c r="Z596" s="4">
        <f ca="1">('TUSD BE'!$AM$32+'TUSD BF'!$AM$32+'TUSD CVA'!$AM$32)*1</f>
        <v>65.007409626508434</v>
      </c>
      <c r="AA596" s="4">
        <f>('TE BE'!$AA$11+'TE BF'!$AA$11+'TE CVA'!$AA$11)*1</f>
        <v>223.14561812044704</v>
      </c>
      <c r="AB596" s="4">
        <f>$K$596*$V$596</f>
        <v>0</v>
      </c>
      <c r="AC596" s="4">
        <f>$M$596*$W$596</f>
        <v>17884.41156</v>
      </c>
      <c r="AD596" s="4">
        <f>$O$596*$X$596</f>
        <v>77547.952680000002</v>
      </c>
      <c r="AE596" s="4">
        <f>$K$596*$Y$596</f>
        <v>0</v>
      </c>
      <c r="AF596" s="4">
        <f ca="1">$M$596*$Z$596</f>
        <v>22676.404685195681</v>
      </c>
      <c r="AG596" s="4">
        <f>$O$596*$AA$596</f>
        <v>77839.439677719289</v>
      </c>
    </row>
    <row r="597" spans="1:33" ht="11.25" customHeight="1" x14ac:dyDescent="0.25">
      <c r="A597" s="3" t="s">
        <v>21</v>
      </c>
      <c r="B597" s="3" t="s">
        <v>41</v>
      </c>
      <c r="C597" s="3" t="s">
        <v>42</v>
      </c>
      <c r="D597" s="3" t="s">
        <v>43</v>
      </c>
      <c r="E597" s="3" t="s">
        <v>25</v>
      </c>
      <c r="F597" s="3" t="s">
        <v>25</v>
      </c>
      <c r="G597" s="3" t="s">
        <v>25</v>
      </c>
      <c r="H597" s="3" t="s">
        <v>35</v>
      </c>
      <c r="I597" s="6">
        <v>44287</v>
      </c>
      <c r="J597" s="4">
        <v>0</v>
      </c>
      <c r="K597" s="4">
        <v>0</v>
      </c>
      <c r="L597" s="4">
        <v>35.637999999999998</v>
      </c>
      <c r="M597" s="4">
        <v>35.637999999999998</v>
      </c>
      <c r="N597" s="4">
        <v>0</v>
      </c>
      <c r="O597" s="4">
        <v>0</v>
      </c>
      <c r="P597" s="4">
        <v>0</v>
      </c>
      <c r="Q597" s="3" t="s">
        <v>57</v>
      </c>
      <c r="R597" s="3">
        <v>0</v>
      </c>
      <c r="S597" s="4">
        <v>0</v>
      </c>
      <c r="T597" s="4">
        <v>21</v>
      </c>
      <c r="U597" s="4">
        <v>0</v>
      </c>
      <c r="V597" s="4">
        <f>IF(ISERROR(VLOOKUP($S$597,'TAR FIN'!$A$1:$O$113,15,0)),0,VLOOKUP($S$597,'TAR FIN'!$A$1:$O$113,15,0))</f>
        <v>0</v>
      </c>
      <c r="W597" s="4">
        <f>IF(ISERROR(VLOOKUP($T$597,'TAR FIN'!$A$1:$O$113,15,0)),0,VLOOKUP($T$597,'TAR FIN'!$A$1:$O$113,15,0))</f>
        <v>51.27</v>
      </c>
      <c r="X597" s="4">
        <f>IF(ISERROR(VLOOKUP($U$597,'TAR FIN'!$A$1:$O$113,15,0)),0,VLOOKUP($U$597,'TAR FIN'!$A$1:$O$113,15,0))</f>
        <v>0</v>
      </c>
      <c r="Y597" s="4"/>
      <c r="Z597" s="4">
        <f ca="1">('TUSD BE'!$AM$32+'TUSD BF'!$AM$32+'TUSD CVA'!$AM$32)*1</f>
        <v>65.007409626508434</v>
      </c>
      <c r="AA597" s="4"/>
      <c r="AB597" s="4">
        <f>$K$597*$V$597</f>
        <v>0</v>
      </c>
      <c r="AC597" s="4">
        <f>$M$597*$W$597</f>
        <v>1827.1602600000001</v>
      </c>
      <c r="AD597" s="4">
        <f>$O$597*$X$597</f>
        <v>0</v>
      </c>
      <c r="AE597" s="4">
        <f>$K$597*$Y$597</f>
        <v>0</v>
      </c>
      <c r="AF597" s="4">
        <f ca="1">$M$597*$Z$597</f>
        <v>2316.7340642695076</v>
      </c>
      <c r="AG597" s="4">
        <f>$O$597*$AA$597</f>
        <v>0</v>
      </c>
    </row>
    <row r="598" spans="1:33" ht="11.25" customHeight="1" x14ac:dyDescent="0.25">
      <c r="A598" s="3" t="s">
        <v>21</v>
      </c>
      <c r="B598" s="3" t="s">
        <v>41</v>
      </c>
      <c r="C598" s="3" t="s">
        <v>42</v>
      </c>
      <c r="D598" s="3" t="s">
        <v>43</v>
      </c>
      <c r="E598" s="3" t="s">
        <v>25</v>
      </c>
      <c r="F598" s="3" t="s">
        <v>25</v>
      </c>
      <c r="G598" s="3" t="s">
        <v>25</v>
      </c>
      <c r="H598" s="3" t="s">
        <v>35</v>
      </c>
      <c r="I598" s="6">
        <v>44317</v>
      </c>
      <c r="J598" s="4">
        <v>0</v>
      </c>
      <c r="K598" s="4">
        <v>0</v>
      </c>
      <c r="L598" s="4">
        <v>8876.3790000000008</v>
      </c>
      <c r="M598" s="4">
        <v>8876.3790000000008</v>
      </c>
      <c r="N598" s="4">
        <v>8876.3790000000008</v>
      </c>
      <c r="O598" s="4">
        <v>8876.3790000000008</v>
      </c>
      <c r="P598" s="4">
        <v>0</v>
      </c>
      <c r="Q598" s="3" t="s">
        <v>26</v>
      </c>
      <c r="R598" s="3">
        <v>0</v>
      </c>
      <c r="S598" s="4">
        <v>0</v>
      </c>
      <c r="T598" s="4">
        <v>21</v>
      </c>
      <c r="U598" s="4">
        <v>89</v>
      </c>
      <c r="V598" s="4">
        <f>IF(ISERROR(VLOOKUP($S$598,'TAR FIN'!$A$1:$O$113,15,0)),0,VLOOKUP($S$598,'TAR FIN'!$A$1:$O$113,15,0))</f>
        <v>0</v>
      </c>
      <c r="W598" s="4">
        <f>IF(ISERROR(VLOOKUP($T$598,'TAR FIN'!$A$1:$O$113,15,0)),0,VLOOKUP($T$598,'TAR FIN'!$A$1:$O$113,15,0))</f>
        <v>51.27</v>
      </c>
      <c r="X598" s="4">
        <f>IF(ISERROR(VLOOKUP($U$598,'TAR FIN'!$A$1:$O$113,15,0)),0,VLOOKUP($U$598,'TAR FIN'!$A$1:$O$113,15,0))</f>
        <v>222.31</v>
      </c>
      <c r="Y598" s="4"/>
      <c r="Z598" s="4">
        <f ca="1">('TUSD BE'!$AM$32+'TUSD BF'!$AM$32+'TUSD CVA'!$AM$32)*1</f>
        <v>65.007409626508434</v>
      </c>
      <c r="AA598" s="4">
        <f>('TE BE'!$AA$11+'TE BF'!$AA$11+'TE CVA'!$AA$11)*1</f>
        <v>223.14561812044704</v>
      </c>
      <c r="AB598" s="4">
        <f>$K$598*$V$598</f>
        <v>0</v>
      </c>
      <c r="AC598" s="4">
        <f>$M$598*$W$598</f>
        <v>455091.95133000007</v>
      </c>
      <c r="AD598" s="4">
        <f>$O$598*$X$598</f>
        <v>1973307.8154900002</v>
      </c>
      <c r="AE598" s="4">
        <f>$K$598*$Y$598</f>
        <v>0</v>
      </c>
      <c r="AF598" s="4">
        <f ca="1">$M$598*$Z$598</f>
        <v>577030.40565313736</v>
      </c>
      <c r="AG598" s="4">
        <f>$O$598*$AA$598</f>
        <v>1980725.0786263559</v>
      </c>
    </row>
    <row r="599" spans="1:33" ht="11.25" customHeight="1" x14ac:dyDescent="0.25">
      <c r="A599" s="3" t="s">
        <v>27</v>
      </c>
      <c r="B599" s="3" t="s">
        <v>41</v>
      </c>
      <c r="C599" s="3" t="s">
        <v>42</v>
      </c>
      <c r="D599" s="3" t="s">
        <v>43</v>
      </c>
      <c r="E599" s="3" t="s">
        <v>25</v>
      </c>
      <c r="F599" s="3" t="s">
        <v>25</v>
      </c>
      <c r="G599" s="3" t="s">
        <v>25</v>
      </c>
      <c r="H599" s="3" t="s">
        <v>35</v>
      </c>
      <c r="I599" s="6">
        <v>44317</v>
      </c>
      <c r="J599" s="4">
        <v>0</v>
      </c>
      <c r="K599" s="4">
        <v>0</v>
      </c>
      <c r="L599" s="4">
        <v>-34.24</v>
      </c>
      <c r="M599" s="4">
        <v>-34.24</v>
      </c>
      <c r="N599" s="4">
        <v>-34.24</v>
      </c>
      <c r="O599" s="4">
        <v>-34.24</v>
      </c>
      <c r="P599" s="4">
        <v>0</v>
      </c>
      <c r="Q599" s="3" t="s">
        <v>26</v>
      </c>
      <c r="R599" s="3">
        <v>0</v>
      </c>
      <c r="S599" s="4">
        <v>0</v>
      </c>
      <c r="T599" s="4">
        <v>21</v>
      </c>
      <c r="U599" s="4">
        <v>89</v>
      </c>
      <c r="V599" s="4">
        <f>IF(ISERROR(VLOOKUP($S$599,'TAR FIN'!$A$1:$O$113,15,0)),0,VLOOKUP($S$599,'TAR FIN'!$A$1:$O$113,15,0))</f>
        <v>0</v>
      </c>
      <c r="W599" s="4">
        <f>IF(ISERROR(VLOOKUP($T$599,'TAR FIN'!$A$1:$O$113,15,0)),0,VLOOKUP($T$599,'TAR FIN'!$A$1:$O$113,15,0))</f>
        <v>51.27</v>
      </c>
      <c r="X599" s="4">
        <f>IF(ISERROR(VLOOKUP($U$599,'TAR FIN'!$A$1:$O$113,15,0)),0,VLOOKUP($U$599,'TAR FIN'!$A$1:$O$113,15,0))</f>
        <v>222.31</v>
      </c>
      <c r="Y599" s="4"/>
      <c r="Z599" s="4">
        <f ca="1">('TUSD BE'!$AM$32+'TUSD BF'!$AM$32+'TUSD CVA'!$AM$32)*1</f>
        <v>65.007409626508434</v>
      </c>
      <c r="AA599" s="4">
        <f>('TE BE'!$AA$11+'TE BF'!$AA$11+'TE CVA'!$AA$11)*1</f>
        <v>223.14561812044704</v>
      </c>
      <c r="AB599" s="4">
        <f>$K$599*$V$599</f>
        <v>0</v>
      </c>
      <c r="AC599" s="4">
        <f>$M$599*$W$599</f>
        <v>-1755.4848000000002</v>
      </c>
      <c r="AD599" s="4">
        <f>$O$599*$X$599</f>
        <v>-7611.8944000000001</v>
      </c>
      <c r="AE599" s="4">
        <f>$K$599*$Y$599</f>
        <v>0</v>
      </c>
      <c r="AF599" s="4">
        <f ca="1">$M$599*$Z$599</f>
        <v>-2225.8537056116488</v>
      </c>
      <c r="AG599" s="4">
        <f>$O$599*$AA$599</f>
        <v>-7640.5059644441071</v>
      </c>
    </row>
    <row r="600" spans="1:33" ht="11.25" customHeight="1" x14ac:dyDescent="0.25">
      <c r="A600" s="3" t="s">
        <v>28</v>
      </c>
      <c r="B600" s="3" t="s">
        <v>41</v>
      </c>
      <c r="C600" s="3" t="s">
        <v>42</v>
      </c>
      <c r="D600" s="3" t="s">
        <v>43</v>
      </c>
      <c r="E600" s="3" t="s">
        <v>25</v>
      </c>
      <c r="F600" s="3" t="s">
        <v>25</v>
      </c>
      <c r="G600" s="3" t="s">
        <v>25</v>
      </c>
      <c r="H600" s="3" t="s">
        <v>35</v>
      </c>
      <c r="I600" s="6">
        <v>44317</v>
      </c>
      <c r="J600" s="4">
        <v>0</v>
      </c>
      <c r="K600" s="4">
        <v>0</v>
      </c>
      <c r="L600" s="4">
        <v>338.375</v>
      </c>
      <c r="M600" s="4">
        <v>338.375</v>
      </c>
      <c r="N600" s="4">
        <v>338.375</v>
      </c>
      <c r="O600" s="4">
        <v>338.375</v>
      </c>
      <c r="P600" s="4">
        <v>0</v>
      </c>
      <c r="Q600" s="3" t="s">
        <v>26</v>
      </c>
      <c r="R600" s="3">
        <v>0</v>
      </c>
      <c r="S600" s="4">
        <v>0</v>
      </c>
      <c r="T600" s="4">
        <v>21</v>
      </c>
      <c r="U600" s="4">
        <v>89</v>
      </c>
      <c r="V600" s="4">
        <f>IF(ISERROR(VLOOKUP($S$600,'TAR FIN'!$A$1:$O$113,15,0)),0,VLOOKUP($S$600,'TAR FIN'!$A$1:$O$113,15,0))</f>
        <v>0</v>
      </c>
      <c r="W600" s="4">
        <f>IF(ISERROR(VLOOKUP($T$600,'TAR FIN'!$A$1:$O$113,15,0)),0,VLOOKUP($T$600,'TAR FIN'!$A$1:$O$113,15,0))</f>
        <v>51.27</v>
      </c>
      <c r="X600" s="4">
        <f>IF(ISERROR(VLOOKUP($U$600,'TAR FIN'!$A$1:$O$113,15,0)),0,VLOOKUP($U$600,'TAR FIN'!$A$1:$O$113,15,0))</f>
        <v>222.31</v>
      </c>
      <c r="Y600" s="4"/>
      <c r="Z600" s="4">
        <f ca="1">('TUSD BE'!$AM$32+'TUSD BF'!$AM$32+'TUSD CVA'!$AM$32)*1</f>
        <v>65.007409626508434</v>
      </c>
      <c r="AA600" s="4">
        <f>('TE BE'!$AA$11+'TE BF'!$AA$11+'TE CVA'!$AA$11)*1</f>
        <v>223.14561812044704</v>
      </c>
      <c r="AB600" s="4">
        <f>$K$600*$V$600</f>
        <v>0</v>
      </c>
      <c r="AC600" s="4">
        <f>$M$600*$W$600</f>
        <v>17348.486250000002</v>
      </c>
      <c r="AD600" s="4">
        <f>$O$600*$X$600</f>
        <v>75224.146250000005</v>
      </c>
      <c r="AE600" s="4">
        <f>$K$600*$Y$600</f>
        <v>0</v>
      </c>
      <c r="AF600" s="4">
        <f ca="1">$M$600*$Z$600</f>
        <v>21996.88223236979</v>
      </c>
      <c r="AG600" s="4">
        <f>$O$600*$AA$600</f>
        <v>75506.89853150626</v>
      </c>
    </row>
    <row r="601" spans="1:33" ht="11.25" customHeight="1" x14ac:dyDescent="0.25">
      <c r="A601" s="3" t="s">
        <v>28</v>
      </c>
      <c r="B601" s="3" t="s">
        <v>41</v>
      </c>
      <c r="C601" s="3" t="s">
        <v>42</v>
      </c>
      <c r="D601" s="3" t="s">
        <v>43</v>
      </c>
      <c r="E601" s="3" t="s">
        <v>25</v>
      </c>
      <c r="F601" s="3" t="s">
        <v>25</v>
      </c>
      <c r="G601" s="3" t="s">
        <v>25</v>
      </c>
      <c r="H601" s="3" t="s">
        <v>35</v>
      </c>
      <c r="I601" s="6">
        <v>44317</v>
      </c>
      <c r="J601" s="4">
        <v>0</v>
      </c>
      <c r="K601" s="4">
        <v>0</v>
      </c>
      <c r="L601" s="4">
        <v>-4.3999999999999997E-2</v>
      </c>
      <c r="M601" s="4">
        <v>-4.3999999999999997E-2</v>
      </c>
      <c r="N601" s="4">
        <v>-4.3999999999999997E-2</v>
      </c>
      <c r="O601" s="4">
        <v>-4.3999999999999997E-2</v>
      </c>
      <c r="P601" s="4">
        <v>0</v>
      </c>
      <c r="Q601" s="3" t="s">
        <v>26</v>
      </c>
      <c r="R601" s="3">
        <v>0</v>
      </c>
      <c r="S601" s="4">
        <v>0</v>
      </c>
      <c r="T601" s="4">
        <v>21</v>
      </c>
      <c r="U601" s="4">
        <v>89</v>
      </c>
      <c r="V601" s="4">
        <f>IF(ISERROR(VLOOKUP($S$601,'TAR FIN'!$A$1:$O$113,15,0)),0,VLOOKUP($S$601,'TAR FIN'!$A$1:$O$113,15,0))</f>
        <v>0</v>
      </c>
      <c r="W601" s="4">
        <f>IF(ISERROR(VLOOKUP($T$601,'TAR FIN'!$A$1:$O$113,15,0)),0,VLOOKUP($T$601,'TAR FIN'!$A$1:$O$113,15,0))</f>
        <v>51.27</v>
      </c>
      <c r="X601" s="4">
        <f>IF(ISERROR(VLOOKUP($U$601,'TAR FIN'!$A$1:$O$113,15,0)),0,VLOOKUP($U$601,'TAR FIN'!$A$1:$O$113,15,0))</f>
        <v>222.31</v>
      </c>
      <c r="Y601" s="4"/>
      <c r="Z601" s="4">
        <f ca="1">('TUSD BE'!$AM$32+'TUSD BF'!$AM$32+'TUSD CVA'!$AM$32)*1</f>
        <v>65.007409626508434</v>
      </c>
      <c r="AA601" s="4">
        <f>('TE BE'!$AA$11+'TE BF'!$AA$11+'TE CVA'!$AA$11)*1</f>
        <v>223.14561812044704</v>
      </c>
      <c r="AB601" s="4">
        <f>$K$601*$V$601</f>
        <v>0</v>
      </c>
      <c r="AC601" s="4">
        <f>$M$601*$W$601</f>
        <v>-2.2558799999999999</v>
      </c>
      <c r="AD601" s="4">
        <f>$O$601*$X$601</f>
        <v>-9.7816399999999994</v>
      </c>
      <c r="AE601" s="4">
        <f>$K$601*$Y$601</f>
        <v>0</v>
      </c>
      <c r="AF601" s="4">
        <f ca="1">$M$601*$Z$601</f>
        <v>-2.8603260235663708</v>
      </c>
      <c r="AG601" s="4">
        <f>$O$601*$AA$601</f>
        <v>-9.8184071972996687</v>
      </c>
    </row>
    <row r="602" spans="1:33" ht="11.25" customHeight="1" x14ac:dyDescent="0.25">
      <c r="A602" s="3" t="s">
        <v>21</v>
      </c>
      <c r="B602" s="3" t="s">
        <v>41</v>
      </c>
      <c r="C602" s="3" t="s">
        <v>42</v>
      </c>
      <c r="D602" s="3" t="s">
        <v>43</v>
      </c>
      <c r="E602" s="3" t="s">
        <v>25</v>
      </c>
      <c r="F602" s="3" t="s">
        <v>25</v>
      </c>
      <c r="G602" s="3" t="s">
        <v>25</v>
      </c>
      <c r="H602" s="3" t="s">
        <v>35</v>
      </c>
      <c r="I602" s="6">
        <v>44317</v>
      </c>
      <c r="J602" s="4">
        <v>0</v>
      </c>
      <c r="K602" s="4">
        <v>0</v>
      </c>
      <c r="L602" s="4">
        <v>29.349</v>
      </c>
      <c r="M602" s="4">
        <v>29.349</v>
      </c>
      <c r="N602" s="4">
        <v>0</v>
      </c>
      <c r="O602" s="4">
        <v>0</v>
      </c>
      <c r="P602" s="4">
        <v>0</v>
      </c>
      <c r="Q602" s="3" t="s">
        <v>57</v>
      </c>
      <c r="R602" s="3">
        <v>0</v>
      </c>
      <c r="S602" s="4">
        <v>0</v>
      </c>
      <c r="T602" s="4">
        <v>21</v>
      </c>
      <c r="U602" s="4">
        <v>0</v>
      </c>
      <c r="V602" s="4">
        <f>IF(ISERROR(VLOOKUP($S$602,'TAR FIN'!$A$1:$O$113,15,0)),0,VLOOKUP($S$602,'TAR FIN'!$A$1:$O$113,15,0))</f>
        <v>0</v>
      </c>
      <c r="W602" s="4">
        <f>IF(ISERROR(VLOOKUP($T$602,'TAR FIN'!$A$1:$O$113,15,0)),0,VLOOKUP($T$602,'TAR FIN'!$A$1:$O$113,15,0))</f>
        <v>51.27</v>
      </c>
      <c r="X602" s="4">
        <f>IF(ISERROR(VLOOKUP($U$602,'TAR FIN'!$A$1:$O$113,15,0)),0,VLOOKUP($U$602,'TAR FIN'!$A$1:$O$113,15,0))</f>
        <v>0</v>
      </c>
      <c r="Y602" s="4"/>
      <c r="Z602" s="4">
        <f ca="1">('TUSD BE'!$AM$32+'TUSD BF'!$AM$32+'TUSD CVA'!$AM$32)*1</f>
        <v>65.007409626508434</v>
      </c>
      <c r="AA602" s="4"/>
      <c r="AB602" s="4">
        <f>$K$602*$V$602</f>
        <v>0</v>
      </c>
      <c r="AC602" s="4">
        <f>$M$602*$W$602</f>
        <v>1504.7232300000001</v>
      </c>
      <c r="AD602" s="4">
        <f>$O$602*$X$602</f>
        <v>0</v>
      </c>
      <c r="AE602" s="4">
        <f>$K$602*$Y$602</f>
        <v>0</v>
      </c>
      <c r="AF602" s="4">
        <f ca="1">$M$602*$Z$602</f>
        <v>1907.902465128396</v>
      </c>
      <c r="AG602" s="4">
        <f>$O$602*$AA$602</f>
        <v>0</v>
      </c>
    </row>
    <row r="603" spans="1:33" ht="11.25" customHeight="1" x14ac:dyDescent="0.25">
      <c r="A603" s="3" t="s">
        <v>21</v>
      </c>
      <c r="B603" s="3" t="s">
        <v>41</v>
      </c>
      <c r="C603" s="3" t="s">
        <v>42</v>
      </c>
      <c r="D603" s="3" t="s">
        <v>43</v>
      </c>
      <c r="E603" s="3" t="s">
        <v>25</v>
      </c>
      <c r="F603" s="3" t="s">
        <v>25</v>
      </c>
      <c r="G603" s="3" t="s">
        <v>25</v>
      </c>
      <c r="H603" s="3" t="s">
        <v>35</v>
      </c>
      <c r="I603" s="6">
        <v>44348</v>
      </c>
      <c r="J603" s="4">
        <v>0</v>
      </c>
      <c r="K603" s="4">
        <v>0</v>
      </c>
      <c r="L603" s="4">
        <v>8516.3060000000005</v>
      </c>
      <c r="M603" s="4">
        <v>8516.3060000000005</v>
      </c>
      <c r="N603" s="4">
        <v>8516.3060000000005</v>
      </c>
      <c r="O603" s="4">
        <v>8516.3060000000005</v>
      </c>
      <c r="P603" s="4">
        <v>0</v>
      </c>
      <c r="Q603" s="3" t="s">
        <v>26</v>
      </c>
      <c r="R603" s="3">
        <v>0</v>
      </c>
      <c r="S603" s="4">
        <v>0</v>
      </c>
      <c r="T603" s="4">
        <v>21</v>
      </c>
      <c r="U603" s="4">
        <v>89</v>
      </c>
      <c r="V603" s="4">
        <f>IF(ISERROR(VLOOKUP($S$603,'TAR FIN'!$A$1:$O$113,15,0)),0,VLOOKUP($S$603,'TAR FIN'!$A$1:$O$113,15,0))</f>
        <v>0</v>
      </c>
      <c r="W603" s="4">
        <f>IF(ISERROR(VLOOKUP($T$603,'TAR FIN'!$A$1:$O$113,15,0)),0,VLOOKUP($T$603,'TAR FIN'!$A$1:$O$113,15,0))</f>
        <v>51.27</v>
      </c>
      <c r="X603" s="4">
        <f>IF(ISERROR(VLOOKUP($U$603,'TAR FIN'!$A$1:$O$113,15,0)),0,VLOOKUP($U$603,'TAR FIN'!$A$1:$O$113,15,0))</f>
        <v>222.31</v>
      </c>
      <c r="Y603" s="4"/>
      <c r="Z603" s="4">
        <f ca="1">('TUSD BE'!$AM$32+'TUSD BF'!$AM$32+'TUSD CVA'!$AM$32)*1</f>
        <v>65.007409626508434</v>
      </c>
      <c r="AA603" s="4">
        <f>('TE BE'!$AA$11+'TE BF'!$AA$11+'TE CVA'!$AA$11)*1</f>
        <v>223.14561812044704</v>
      </c>
      <c r="AB603" s="4">
        <f>$K$603*$V$603</f>
        <v>0</v>
      </c>
      <c r="AC603" s="4">
        <f>$M$603*$W$603</f>
        <v>436631.00862000004</v>
      </c>
      <c r="AD603" s="4">
        <f>$O$603*$X$603</f>
        <v>1893259.9868600001</v>
      </c>
      <c r="AE603" s="4">
        <f>$K$603*$Y$603</f>
        <v>0</v>
      </c>
      <c r="AF603" s="4">
        <f ca="1">$M$603*$Z$603</f>
        <v>553622.99264669162</v>
      </c>
      <c r="AG603" s="4">
        <f>$O$603*$AA$603</f>
        <v>1900376.366472872</v>
      </c>
    </row>
    <row r="604" spans="1:33" ht="11.25" customHeight="1" x14ac:dyDescent="0.25">
      <c r="A604" s="3" t="s">
        <v>27</v>
      </c>
      <c r="B604" s="3" t="s">
        <v>41</v>
      </c>
      <c r="C604" s="3" t="s">
        <v>42</v>
      </c>
      <c r="D604" s="3" t="s">
        <v>43</v>
      </c>
      <c r="E604" s="3" t="s">
        <v>25</v>
      </c>
      <c r="F604" s="3" t="s">
        <v>25</v>
      </c>
      <c r="G604" s="3" t="s">
        <v>25</v>
      </c>
      <c r="H604" s="3" t="s">
        <v>35</v>
      </c>
      <c r="I604" s="6">
        <v>44348</v>
      </c>
      <c r="J604" s="4">
        <v>0</v>
      </c>
      <c r="K604" s="4">
        <v>0</v>
      </c>
      <c r="L604" s="4">
        <v>-39.581000000000003</v>
      </c>
      <c r="M604" s="4">
        <v>-39.581000000000003</v>
      </c>
      <c r="N604" s="4">
        <v>-39.581000000000003</v>
      </c>
      <c r="O604" s="4">
        <v>-39.581000000000003</v>
      </c>
      <c r="P604" s="4">
        <v>0</v>
      </c>
      <c r="Q604" s="3" t="s">
        <v>26</v>
      </c>
      <c r="R604" s="3">
        <v>0</v>
      </c>
      <c r="S604" s="4">
        <v>0</v>
      </c>
      <c r="T604" s="4">
        <v>21</v>
      </c>
      <c r="U604" s="4">
        <v>89</v>
      </c>
      <c r="V604" s="4">
        <f>IF(ISERROR(VLOOKUP($S$604,'TAR FIN'!$A$1:$O$113,15,0)),0,VLOOKUP($S$604,'TAR FIN'!$A$1:$O$113,15,0))</f>
        <v>0</v>
      </c>
      <c r="W604" s="4">
        <f>IF(ISERROR(VLOOKUP($T$604,'TAR FIN'!$A$1:$O$113,15,0)),0,VLOOKUP($T$604,'TAR FIN'!$A$1:$O$113,15,0))</f>
        <v>51.27</v>
      </c>
      <c r="X604" s="4">
        <f>IF(ISERROR(VLOOKUP($U$604,'TAR FIN'!$A$1:$O$113,15,0)),0,VLOOKUP($U$604,'TAR FIN'!$A$1:$O$113,15,0))</f>
        <v>222.31</v>
      </c>
      <c r="Y604" s="4"/>
      <c r="Z604" s="4">
        <f ca="1">('TUSD BE'!$AM$32+'TUSD BF'!$AM$32+'TUSD CVA'!$AM$32)*1</f>
        <v>65.007409626508434</v>
      </c>
      <c r="AA604" s="4">
        <f>('TE BE'!$AA$11+'TE BF'!$AA$11+'TE CVA'!$AA$11)*1</f>
        <v>223.14561812044704</v>
      </c>
      <c r="AB604" s="4">
        <f>$K$604*$V$604</f>
        <v>0</v>
      </c>
      <c r="AC604" s="4">
        <f>$M$604*$W$604</f>
        <v>-2029.3178700000003</v>
      </c>
      <c r="AD604" s="4">
        <f>$O$604*$X$604</f>
        <v>-8799.2521100000013</v>
      </c>
      <c r="AE604" s="4">
        <f>$K$604*$Y$604</f>
        <v>0</v>
      </c>
      <c r="AF604" s="4">
        <f ca="1">$M$604*$Z$604</f>
        <v>-2573.0582804268306</v>
      </c>
      <c r="AG604" s="4">
        <f>$O$604*$AA$604</f>
        <v>-8832.3267108254149</v>
      </c>
    </row>
    <row r="605" spans="1:33" ht="11.25" customHeight="1" x14ac:dyDescent="0.25">
      <c r="A605" s="3" t="s">
        <v>28</v>
      </c>
      <c r="B605" s="3" t="s">
        <v>41</v>
      </c>
      <c r="C605" s="3" t="s">
        <v>42</v>
      </c>
      <c r="D605" s="3" t="s">
        <v>43</v>
      </c>
      <c r="E605" s="3" t="s">
        <v>25</v>
      </c>
      <c r="F605" s="3" t="s">
        <v>25</v>
      </c>
      <c r="G605" s="3" t="s">
        <v>25</v>
      </c>
      <c r="H605" s="3" t="s">
        <v>35</v>
      </c>
      <c r="I605" s="6">
        <v>44348</v>
      </c>
      <c r="J605" s="4">
        <v>0</v>
      </c>
      <c r="K605" s="4">
        <v>0</v>
      </c>
      <c r="L605" s="4">
        <v>290.19900000000001</v>
      </c>
      <c r="M605" s="4">
        <v>290.19900000000001</v>
      </c>
      <c r="N605" s="4">
        <v>290.19900000000001</v>
      </c>
      <c r="O605" s="4">
        <v>290.19900000000001</v>
      </c>
      <c r="P605" s="4">
        <v>0</v>
      </c>
      <c r="Q605" s="3" t="s">
        <v>26</v>
      </c>
      <c r="R605" s="3">
        <v>0</v>
      </c>
      <c r="S605" s="4">
        <v>0</v>
      </c>
      <c r="T605" s="4">
        <v>21</v>
      </c>
      <c r="U605" s="4">
        <v>89</v>
      </c>
      <c r="V605" s="4">
        <f>IF(ISERROR(VLOOKUP($S$605,'TAR FIN'!$A$1:$O$113,15,0)),0,VLOOKUP($S$605,'TAR FIN'!$A$1:$O$113,15,0))</f>
        <v>0</v>
      </c>
      <c r="W605" s="4">
        <f>IF(ISERROR(VLOOKUP($T$605,'TAR FIN'!$A$1:$O$113,15,0)),0,VLOOKUP($T$605,'TAR FIN'!$A$1:$O$113,15,0))</f>
        <v>51.27</v>
      </c>
      <c r="X605" s="4">
        <f>IF(ISERROR(VLOOKUP($U$605,'TAR FIN'!$A$1:$O$113,15,0)),0,VLOOKUP($U$605,'TAR FIN'!$A$1:$O$113,15,0))</f>
        <v>222.31</v>
      </c>
      <c r="Y605" s="4"/>
      <c r="Z605" s="4">
        <f ca="1">('TUSD BE'!$AM$32+'TUSD BF'!$AM$32+'TUSD CVA'!$AM$32)*1</f>
        <v>65.007409626508434</v>
      </c>
      <c r="AA605" s="4">
        <f>('TE BE'!$AA$11+'TE BF'!$AA$11+'TE CVA'!$AA$11)*1</f>
        <v>223.14561812044704</v>
      </c>
      <c r="AB605" s="4">
        <f>$K$605*$V$605</f>
        <v>0</v>
      </c>
      <c r="AC605" s="4">
        <f>$M$605*$W$605</f>
        <v>14878.502730000002</v>
      </c>
      <c r="AD605" s="4">
        <f>$O$605*$X$605</f>
        <v>64514.139690000004</v>
      </c>
      <c r="AE605" s="4">
        <f>$K$605*$Y$605</f>
        <v>0</v>
      </c>
      <c r="AF605" s="4">
        <f ca="1">$M$605*$Z$605</f>
        <v>18865.085266203121</v>
      </c>
      <c r="AG605" s="4">
        <f>$O$605*$AA$605</f>
        <v>64756.635232935616</v>
      </c>
    </row>
    <row r="606" spans="1:33" ht="11.25" customHeight="1" x14ac:dyDescent="0.25">
      <c r="A606" s="3" t="s">
        <v>21</v>
      </c>
      <c r="B606" s="3" t="s">
        <v>41</v>
      </c>
      <c r="C606" s="3" t="s">
        <v>42</v>
      </c>
      <c r="D606" s="3" t="s">
        <v>43</v>
      </c>
      <c r="E606" s="3" t="s">
        <v>25</v>
      </c>
      <c r="F606" s="3" t="s">
        <v>25</v>
      </c>
      <c r="G606" s="3" t="s">
        <v>25</v>
      </c>
      <c r="H606" s="3" t="s">
        <v>35</v>
      </c>
      <c r="I606" s="6">
        <v>44348</v>
      </c>
      <c r="J606" s="4">
        <v>0</v>
      </c>
      <c r="K606" s="4">
        <v>0</v>
      </c>
      <c r="L606" s="4">
        <v>30.608000000000001</v>
      </c>
      <c r="M606" s="4">
        <v>30.608000000000001</v>
      </c>
      <c r="N606" s="4">
        <v>0</v>
      </c>
      <c r="O606" s="4">
        <v>0</v>
      </c>
      <c r="P606" s="4">
        <v>0</v>
      </c>
      <c r="Q606" s="3" t="s">
        <v>57</v>
      </c>
      <c r="R606" s="3">
        <v>0</v>
      </c>
      <c r="S606" s="4">
        <v>0</v>
      </c>
      <c r="T606" s="4">
        <v>21</v>
      </c>
      <c r="U606" s="4">
        <v>0</v>
      </c>
      <c r="V606" s="4">
        <f>IF(ISERROR(VLOOKUP($S$606,'TAR FIN'!$A$1:$O$113,15,0)),0,VLOOKUP($S$606,'TAR FIN'!$A$1:$O$113,15,0))</f>
        <v>0</v>
      </c>
      <c r="W606" s="4">
        <f>IF(ISERROR(VLOOKUP($T$606,'TAR FIN'!$A$1:$O$113,15,0)),0,VLOOKUP($T$606,'TAR FIN'!$A$1:$O$113,15,0))</f>
        <v>51.27</v>
      </c>
      <c r="X606" s="4">
        <f>IF(ISERROR(VLOOKUP($U$606,'TAR FIN'!$A$1:$O$113,15,0)),0,VLOOKUP($U$606,'TAR FIN'!$A$1:$O$113,15,0))</f>
        <v>0</v>
      </c>
      <c r="Y606" s="4"/>
      <c r="Z606" s="4">
        <f ca="1">('TUSD BE'!$AM$32+'TUSD BF'!$AM$32+'TUSD CVA'!$AM$32)*1</f>
        <v>65.007409626508434</v>
      </c>
      <c r="AA606" s="4"/>
      <c r="AB606" s="4">
        <f>$K$606*$V$606</f>
        <v>0</v>
      </c>
      <c r="AC606" s="4">
        <f>$M$606*$W$606</f>
        <v>1569.2721600000002</v>
      </c>
      <c r="AD606" s="4">
        <f>$O$606*$X$606</f>
        <v>0</v>
      </c>
      <c r="AE606" s="4">
        <f>$K$606*$Y$606</f>
        <v>0</v>
      </c>
      <c r="AF606" s="4">
        <f ca="1">$M$606*$Z$606</f>
        <v>1989.7467938481702</v>
      </c>
      <c r="AG606" s="4">
        <f>$O$606*$AA$606</f>
        <v>0</v>
      </c>
    </row>
    <row r="607" spans="1:33" ht="11.25" customHeight="1" x14ac:dyDescent="0.25">
      <c r="A607" s="3" t="s">
        <v>21</v>
      </c>
      <c r="B607" s="3" t="s">
        <v>41</v>
      </c>
      <c r="C607" s="3" t="s">
        <v>42</v>
      </c>
      <c r="D607" s="3" t="s">
        <v>43</v>
      </c>
      <c r="E607" s="3" t="s">
        <v>25</v>
      </c>
      <c r="F607" s="3" t="s">
        <v>25</v>
      </c>
      <c r="G607" s="3" t="s">
        <v>25</v>
      </c>
      <c r="H607" s="3" t="s">
        <v>35</v>
      </c>
      <c r="I607" s="6">
        <v>44378</v>
      </c>
      <c r="J607" s="4">
        <v>0</v>
      </c>
      <c r="K607" s="4">
        <v>0</v>
      </c>
      <c r="L607" s="4">
        <v>8417.9490000000005</v>
      </c>
      <c r="M607" s="4">
        <v>8417.9490000000005</v>
      </c>
      <c r="N607" s="4">
        <v>8417.9490000000005</v>
      </c>
      <c r="O607" s="4">
        <v>8417.9490000000005</v>
      </c>
      <c r="P607" s="4">
        <v>0</v>
      </c>
      <c r="Q607" s="3" t="s">
        <v>26</v>
      </c>
      <c r="R607" s="3">
        <v>0</v>
      </c>
      <c r="S607" s="4">
        <v>0</v>
      </c>
      <c r="T607" s="4">
        <v>21</v>
      </c>
      <c r="U607" s="4">
        <v>89</v>
      </c>
      <c r="V607" s="4">
        <f>IF(ISERROR(VLOOKUP($S$607,'TAR FIN'!$A$1:$O$113,15,0)),0,VLOOKUP($S$607,'TAR FIN'!$A$1:$O$113,15,0))</f>
        <v>0</v>
      </c>
      <c r="W607" s="4">
        <f>IF(ISERROR(VLOOKUP($T$607,'TAR FIN'!$A$1:$O$113,15,0)),0,VLOOKUP($T$607,'TAR FIN'!$A$1:$O$113,15,0))</f>
        <v>51.27</v>
      </c>
      <c r="X607" s="4">
        <f>IF(ISERROR(VLOOKUP($U$607,'TAR FIN'!$A$1:$O$113,15,0)),0,VLOOKUP($U$607,'TAR FIN'!$A$1:$O$113,15,0))</f>
        <v>222.31</v>
      </c>
      <c r="Y607" s="4"/>
      <c r="Z607" s="4">
        <f ca="1">('TUSD BE'!$AM$32+'TUSD BF'!$AM$32+'TUSD CVA'!$AM$32)*1</f>
        <v>65.007409626508434</v>
      </c>
      <c r="AA607" s="4">
        <f>('TE BE'!$AA$11+'TE BF'!$AA$11+'TE CVA'!$AA$11)*1</f>
        <v>223.14561812044704</v>
      </c>
      <c r="AB607" s="4">
        <f>$K$607*$V$607</f>
        <v>0</v>
      </c>
      <c r="AC607" s="4">
        <f>$M$607*$W$607</f>
        <v>431588.24523000006</v>
      </c>
      <c r="AD607" s="4">
        <f>$O$607*$X$607</f>
        <v>1871394.2421900001</v>
      </c>
      <c r="AE607" s="4">
        <f>$K$607*$Y$607</f>
        <v>0</v>
      </c>
      <c r="AF607" s="4">
        <f ca="1">$M$607*$Z$607</f>
        <v>547229.05885805702</v>
      </c>
      <c r="AG607" s="4">
        <f>$O$607*$AA$607</f>
        <v>1878428.4329113991</v>
      </c>
    </row>
    <row r="608" spans="1:33" ht="11.25" customHeight="1" x14ac:dyDescent="0.25">
      <c r="A608" s="3" t="s">
        <v>27</v>
      </c>
      <c r="B608" s="3" t="s">
        <v>41</v>
      </c>
      <c r="C608" s="3" t="s">
        <v>42</v>
      </c>
      <c r="D608" s="3" t="s">
        <v>43</v>
      </c>
      <c r="E608" s="3" t="s">
        <v>25</v>
      </c>
      <c r="F608" s="3" t="s">
        <v>25</v>
      </c>
      <c r="G608" s="3" t="s">
        <v>25</v>
      </c>
      <c r="H608" s="3" t="s">
        <v>35</v>
      </c>
      <c r="I608" s="6">
        <v>44378</v>
      </c>
      <c r="J608" s="4">
        <v>0</v>
      </c>
      <c r="K608" s="4">
        <v>0</v>
      </c>
      <c r="L608" s="4">
        <v>15.087999999999999</v>
      </c>
      <c r="M608" s="4">
        <v>15.087999999999999</v>
      </c>
      <c r="N608" s="4">
        <v>15.087999999999999</v>
      </c>
      <c r="O608" s="4">
        <v>15.087999999999999</v>
      </c>
      <c r="P608" s="4">
        <v>0</v>
      </c>
      <c r="Q608" s="3" t="s">
        <v>26</v>
      </c>
      <c r="R608" s="3">
        <v>0</v>
      </c>
      <c r="S608" s="4">
        <v>0</v>
      </c>
      <c r="T608" s="4">
        <v>21</v>
      </c>
      <c r="U608" s="4">
        <v>89</v>
      </c>
      <c r="V608" s="4">
        <f>IF(ISERROR(VLOOKUP($S$608,'TAR FIN'!$A$1:$O$113,15,0)),0,VLOOKUP($S$608,'TAR FIN'!$A$1:$O$113,15,0))</f>
        <v>0</v>
      </c>
      <c r="W608" s="4">
        <f>IF(ISERROR(VLOOKUP($T$608,'TAR FIN'!$A$1:$O$113,15,0)),0,VLOOKUP($T$608,'TAR FIN'!$A$1:$O$113,15,0))</f>
        <v>51.27</v>
      </c>
      <c r="X608" s="4">
        <f>IF(ISERROR(VLOOKUP($U$608,'TAR FIN'!$A$1:$O$113,15,0)),0,VLOOKUP($U$608,'TAR FIN'!$A$1:$O$113,15,0))</f>
        <v>222.31</v>
      </c>
      <c r="Y608" s="4"/>
      <c r="Z608" s="4">
        <f ca="1">('TUSD BE'!$AM$32+'TUSD BF'!$AM$32+'TUSD CVA'!$AM$32)*1</f>
        <v>65.007409626508434</v>
      </c>
      <c r="AA608" s="4">
        <f>('TE BE'!$AA$11+'TE BF'!$AA$11+'TE CVA'!$AA$11)*1</f>
        <v>223.14561812044704</v>
      </c>
      <c r="AB608" s="4">
        <f>$K$608*$V$608</f>
        <v>0</v>
      </c>
      <c r="AC608" s="4">
        <f>$M$608*$W$608</f>
        <v>773.56176000000005</v>
      </c>
      <c r="AD608" s="4">
        <f>$O$608*$X$608</f>
        <v>3354.2132799999999</v>
      </c>
      <c r="AE608" s="4">
        <f>$K$608*$Y$608</f>
        <v>0</v>
      </c>
      <c r="AF608" s="4">
        <f ca="1">$M$608*$Z$608</f>
        <v>980.83179644475922</v>
      </c>
      <c r="AG608" s="4">
        <f>$O$608*$AA$608</f>
        <v>3366.8210862013048</v>
      </c>
    </row>
    <row r="609" spans="1:33" ht="11.25" customHeight="1" x14ac:dyDescent="0.25">
      <c r="A609" s="3" t="s">
        <v>28</v>
      </c>
      <c r="B609" s="3" t="s">
        <v>41</v>
      </c>
      <c r="C609" s="3" t="s">
        <v>42</v>
      </c>
      <c r="D609" s="3" t="s">
        <v>43</v>
      </c>
      <c r="E609" s="3" t="s">
        <v>25</v>
      </c>
      <c r="F609" s="3" t="s">
        <v>25</v>
      </c>
      <c r="G609" s="3" t="s">
        <v>25</v>
      </c>
      <c r="H609" s="3" t="s">
        <v>35</v>
      </c>
      <c r="I609" s="6">
        <v>44378</v>
      </c>
      <c r="J609" s="4">
        <v>0</v>
      </c>
      <c r="K609" s="4">
        <v>0</v>
      </c>
      <c r="L609" s="4">
        <v>301.976</v>
      </c>
      <c r="M609" s="4">
        <v>301.976</v>
      </c>
      <c r="N609" s="4">
        <v>301.976</v>
      </c>
      <c r="O609" s="4">
        <v>301.976</v>
      </c>
      <c r="P609" s="4">
        <v>0</v>
      </c>
      <c r="Q609" s="3" t="s">
        <v>26</v>
      </c>
      <c r="R609" s="3">
        <v>0</v>
      </c>
      <c r="S609" s="4">
        <v>0</v>
      </c>
      <c r="T609" s="4">
        <v>21</v>
      </c>
      <c r="U609" s="4">
        <v>89</v>
      </c>
      <c r="V609" s="4">
        <f>IF(ISERROR(VLOOKUP($S$609,'TAR FIN'!$A$1:$O$113,15,0)),0,VLOOKUP($S$609,'TAR FIN'!$A$1:$O$113,15,0))</f>
        <v>0</v>
      </c>
      <c r="W609" s="4">
        <f>IF(ISERROR(VLOOKUP($T$609,'TAR FIN'!$A$1:$O$113,15,0)),0,VLOOKUP($T$609,'TAR FIN'!$A$1:$O$113,15,0))</f>
        <v>51.27</v>
      </c>
      <c r="X609" s="4">
        <f>IF(ISERROR(VLOOKUP($U$609,'TAR FIN'!$A$1:$O$113,15,0)),0,VLOOKUP($U$609,'TAR FIN'!$A$1:$O$113,15,0))</f>
        <v>222.31</v>
      </c>
      <c r="Y609" s="4"/>
      <c r="Z609" s="4">
        <f ca="1">('TUSD BE'!$AM$32+'TUSD BF'!$AM$32+'TUSD CVA'!$AM$32)*1</f>
        <v>65.007409626508434</v>
      </c>
      <c r="AA609" s="4">
        <f>('TE BE'!$AA$11+'TE BF'!$AA$11+'TE CVA'!$AA$11)*1</f>
        <v>223.14561812044704</v>
      </c>
      <c r="AB609" s="4">
        <f>$K$609*$V$609</f>
        <v>0</v>
      </c>
      <c r="AC609" s="4">
        <f>$M$609*$W$609</f>
        <v>15482.309520000001</v>
      </c>
      <c r="AD609" s="4">
        <f>$O$609*$X$609</f>
        <v>67132.28456</v>
      </c>
      <c r="AE609" s="4">
        <f>$K$609*$Y$609</f>
        <v>0</v>
      </c>
      <c r="AF609" s="4">
        <f ca="1">$M$609*$Z$609</f>
        <v>19630.677529374512</v>
      </c>
      <c r="AG609" s="4">
        <f>$O$609*$AA$609</f>
        <v>67384.621177540117</v>
      </c>
    </row>
    <row r="610" spans="1:33" ht="11.25" customHeight="1" x14ac:dyDescent="0.25">
      <c r="A610" s="3" t="s">
        <v>21</v>
      </c>
      <c r="B610" s="3" t="s">
        <v>41</v>
      </c>
      <c r="C610" s="3" t="s">
        <v>42</v>
      </c>
      <c r="D610" s="3" t="s">
        <v>43</v>
      </c>
      <c r="E610" s="3" t="s">
        <v>25</v>
      </c>
      <c r="F610" s="3" t="s">
        <v>25</v>
      </c>
      <c r="G610" s="3" t="s">
        <v>25</v>
      </c>
      <c r="H610" s="3" t="s">
        <v>35</v>
      </c>
      <c r="I610" s="6">
        <v>44378</v>
      </c>
      <c r="J610" s="4">
        <v>0</v>
      </c>
      <c r="K610" s="4">
        <v>0</v>
      </c>
      <c r="L610" s="4">
        <v>221.518</v>
      </c>
      <c r="M610" s="4">
        <v>221.518</v>
      </c>
      <c r="N610" s="4">
        <v>0</v>
      </c>
      <c r="O610" s="4">
        <v>0</v>
      </c>
      <c r="P610" s="4">
        <v>0</v>
      </c>
      <c r="Q610" s="3" t="s">
        <v>57</v>
      </c>
      <c r="R610" s="3">
        <v>0</v>
      </c>
      <c r="S610" s="4">
        <v>0</v>
      </c>
      <c r="T610" s="4">
        <v>21</v>
      </c>
      <c r="U610" s="4">
        <v>0</v>
      </c>
      <c r="V610" s="4">
        <f>IF(ISERROR(VLOOKUP($S$610,'TAR FIN'!$A$1:$O$113,15,0)),0,VLOOKUP($S$610,'TAR FIN'!$A$1:$O$113,15,0))</f>
        <v>0</v>
      </c>
      <c r="W610" s="4">
        <f>IF(ISERROR(VLOOKUP($T$610,'TAR FIN'!$A$1:$O$113,15,0)),0,VLOOKUP($T$610,'TAR FIN'!$A$1:$O$113,15,0))</f>
        <v>51.27</v>
      </c>
      <c r="X610" s="4">
        <f>IF(ISERROR(VLOOKUP($U$610,'TAR FIN'!$A$1:$O$113,15,0)),0,VLOOKUP($U$610,'TAR FIN'!$A$1:$O$113,15,0))</f>
        <v>0</v>
      </c>
      <c r="Y610" s="4"/>
      <c r="Z610" s="4">
        <f ca="1">('TUSD BE'!$AM$32+'TUSD BF'!$AM$32+'TUSD CVA'!$AM$32)*1</f>
        <v>65.007409626508434</v>
      </c>
      <c r="AA610" s="4"/>
      <c r="AB610" s="4">
        <f>$K$610*$V$610</f>
        <v>0</v>
      </c>
      <c r="AC610" s="4">
        <f>$M$610*$W$610</f>
        <v>11357.227860000001</v>
      </c>
      <c r="AD610" s="4">
        <f>$O$610*$X$610</f>
        <v>0</v>
      </c>
      <c r="AE610" s="4">
        <f>$K$610*$Y$610</f>
        <v>0</v>
      </c>
      <c r="AF610" s="4">
        <f ca="1">$M$610*$Z$610</f>
        <v>14400.311365644895</v>
      </c>
      <c r="AG610" s="4">
        <f>$O$610*$AA$610</f>
        <v>0</v>
      </c>
    </row>
    <row r="611" spans="1:33" ht="11.25" customHeight="1" x14ac:dyDescent="0.25">
      <c r="A611" s="3" t="s">
        <v>21</v>
      </c>
      <c r="B611" s="3" t="s">
        <v>41</v>
      </c>
      <c r="C611" s="3" t="s">
        <v>42</v>
      </c>
      <c r="D611" s="3" t="s">
        <v>43</v>
      </c>
      <c r="E611" s="3" t="s">
        <v>25</v>
      </c>
      <c r="F611" s="3" t="s">
        <v>25</v>
      </c>
      <c r="G611" s="3" t="s">
        <v>25</v>
      </c>
      <c r="H611" s="3" t="s">
        <v>35</v>
      </c>
      <c r="I611" s="6">
        <v>44409</v>
      </c>
      <c r="J611" s="4">
        <v>0</v>
      </c>
      <c r="K611" s="4">
        <v>0</v>
      </c>
      <c r="L611" s="4">
        <v>8871.4429999999993</v>
      </c>
      <c r="M611" s="4">
        <v>8871.4429999999993</v>
      </c>
      <c r="N611" s="4">
        <v>8871.4429999999993</v>
      </c>
      <c r="O611" s="4">
        <v>8871.4429999999993</v>
      </c>
      <c r="P611" s="4">
        <v>0</v>
      </c>
      <c r="Q611" s="3" t="s">
        <v>26</v>
      </c>
      <c r="R611" s="3">
        <v>0</v>
      </c>
      <c r="S611" s="4">
        <v>0</v>
      </c>
      <c r="T611" s="4">
        <v>21</v>
      </c>
      <c r="U611" s="4">
        <v>89</v>
      </c>
      <c r="V611" s="4">
        <f>IF(ISERROR(VLOOKUP($S$611,'TAR FIN'!$A$1:$O$113,15,0)),0,VLOOKUP($S$611,'TAR FIN'!$A$1:$O$113,15,0))</f>
        <v>0</v>
      </c>
      <c r="W611" s="4">
        <f>IF(ISERROR(VLOOKUP($T$611,'TAR FIN'!$A$1:$O$113,15,0)),0,VLOOKUP($T$611,'TAR FIN'!$A$1:$O$113,15,0))</f>
        <v>51.27</v>
      </c>
      <c r="X611" s="4">
        <f>IF(ISERROR(VLOOKUP($U$611,'TAR FIN'!$A$1:$O$113,15,0)),0,VLOOKUP($U$611,'TAR FIN'!$A$1:$O$113,15,0))</f>
        <v>222.31</v>
      </c>
      <c r="Y611" s="4"/>
      <c r="Z611" s="4">
        <f ca="1">('TUSD BE'!$AM$32+'TUSD BF'!$AM$32+'TUSD CVA'!$AM$32)*1</f>
        <v>65.007409626508434</v>
      </c>
      <c r="AA611" s="4">
        <f>('TE BE'!$AA$11+'TE BF'!$AA$11+'TE CVA'!$AA$11)*1</f>
        <v>223.14561812044704</v>
      </c>
      <c r="AB611" s="4">
        <f>$K$611*$V$611</f>
        <v>0</v>
      </c>
      <c r="AC611" s="4">
        <f>$M$611*$W$611</f>
        <v>454838.88260999997</v>
      </c>
      <c r="AD611" s="4">
        <f>$O$611*$X$611</f>
        <v>1972210.49333</v>
      </c>
      <c r="AE611" s="4">
        <f>$K$611*$Y$611</f>
        <v>0</v>
      </c>
      <c r="AF611" s="4">
        <f ca="1">$M$611*$Z$611</f>
        <v>576709.52907922084</v>
      </c>
      <c r="AG611" s="4">
        <f>$O$611*$AA$611</f>
        <v>1979623.631855313</v>
      </c>
    </row>
    <row r="612" spans="1:33" ht="11.25" customHeight="1" x14ac:dyDescent="0.25">
      <c r="A612" s="3" t="s">
        <v>28</v>
      </c>
      <c r="B612" s="3" t="s">
        <v>41</v>
      </c>
      <c r="C612" s="3" t="s">
        <v>42</v>
      </c>
      <c r="D612" s="3" t="s">
        <v>43</v>
      </c>
      <c r="E612" s="3" t="s">
        <v>25</v>
      </c>
      <c r="F612" s="3" t="s">
        <v>25</v>
      </c>
      <c r="G612" s="3" t="s">
        <v>25</v>
      </c>
      <c r="H612" s="3" t="s">
        <v>35</v>
      </c>
      <c r="I612" s="6">
        <v>44409</v>
      </c>
      <c r="J612" s="4">
        <v>0</v>
      </c>
      <c r="K612" s="4">
        <v>0</v>
      </c>
      <c r="L612" s="4">
        <v>305.15800000000002</v>
      </c>
      <c r="M612" s="4">
        <v>305.15800000000002</v>
      </c>
      <c r="N612" s="4">
        <v>305.15800000000002</v>
      </c>
      <c r="O612" s="4">
        <v>305.15800000000002</v>
      </c>
      <c r="P612" s="4">
        <v>0</v>
      </c>
      <c r="Q612" s="3" t="s">
        <v>26</v>
      </c>
      <c r="R612" s="3">
        <v>0</v>
      </c>
      <c r="S612" s="4">
        <v>0</v>
      </c>
      <c r="T612" s="4">
        <v>21</v>
      </c>
      <c r="U612" s="4">
        <v>89</v>
      </c>
      <c r="V612" s="4">
        <f>IF(ISERROR(VLOOKUP($S$612,'TAR FIN'!$A$1:$O$113,15,0)),0,VLOOKUP($S$612,'TAR FIN'!$A$1:$O$113,15,0))</f>
        <v>0</v>
      </c>
      <c r="W612" s="4">
        <f>IF(ISERROR(VLOOKUP($T$612,'TAR FIN'!$A$1:$O$113,15,0)),0,VLOOKUP($T$612,'TAR FIN'!$A$1:$O$113,15,0))</f>
        <v>51.27</v>
      </c>
      <c r="X612" s="4">
        <f>IF(ISERROR(VLOOKUP($U$612,'TAR FIN'!$A$1:$O$113,15,0)),0,VLOOKUP($U$612,'TAR FIN'!$A$1:$O$113,15,0))</f>
        <v>222.31</v>
      </c>
      <c r="Y612" s="4"/>
      <c r="Z612" s="4">
        <f ca="1">('TUSD BE'!$AM$32+'TUSD BF'!$AM$32+'TUSD CVA'!$AM$32)*1</f>
        <v>65.007409626508434</v>
      </c>
      <c r="AA612" s="4">
        <f>('TE BE'!$AA$11+'TE BF'!$AA$11+'TE CVA'!$AA$11)*1</f>
        <v>223.14561812044704</v>
      </c>
      <c r="AB612" s="4">
        <f>$K$612*$V$612</f>
        <v>0</v>
      </c>
      <c r="AC612" s="4">
        <f>$M$612*$W$612</f>
        <v>15645.450660000002</v>
      </c>
      <c r="AD612" s="4">
        <f>$O$612*$X$612</f>
        <v>67839.674980000011</v>
      </c>
      <c r="AE612" s="4">
        <f>$K$612*$Y$612</f>
        <v>0</v>
      </c>
      <c r="AF612" s="4">
        <f ca="1">$M$612*$Z$612</f>
        <v>19837.531106806062</v>
      </c>
      <c r="AG612" s="4">
        <f>$O$612*$AA$612</f>
        <v>68094.670534399382</v>
      </c>
    </row>
    <row r="613" spans="1:33" ht="11.25" customHeight="1" x14ac:dyDescent="0.25">
      <c r="A613" s="3" t="s">
        <v>28</v>
      </c>
      <c r="B613" s="3" t="s">
        <v>41</v>
      </c>
      <c r="C613" s="3" t="s">
        <v>42</v>
      </c>
      <c r="D613" s="3" t="s">
        <v>43</v>
      </c>
      <c r="E613" s="3" t="s">
        <v>25</v>
      </c>
      <c r="F613" s="3" t="s">
        <v>25</v>
      </c>
      <c r="G613" s="3" t="s">
        <v>25</v>
      </c>
      <c r="H613" s="3" t="s">
        <v>35</v>
      </c>
      <c r="I613" s="6">
        <v>44409</v>
      </c>
      <c r="J613" s="4">
        <v>0</v>
      </c>
      <c r="K613" s="4">
        <v>0</v>
      </c>
      <c r="L613" s="4">
        <v>0.38600000000000001</v>
      </c>
      <c r="M613" s="4">
        <v>0.38600000000000001</v>
      </c>
      <c r="N613" s="4">
        <v>0.38600000000000001</v>
      </c>
      <c r="O613" s="4">
        <v>0.38600000000000001</v>
      </c>
      <c r="P613" s="4">
        <v>0</v>
      </c>
      <c r="Q613" s="3" t="s">
        <v>26</v>
      </c>
      <c r="R613" s="3">
        <v>0</v>
      </c>
      <c r="S613" s="4">
        <v>0</v>
      </c>
      <c r="T613" s="4">
        <v>21</v>
      </c>
      <c r="U613" s="4">
        <v>89</v>
      </c>
      <c r="V613" s="4">
        <f>IF(ISERROR(VLOOKUP($S$613,'TAR FIN'!$A$1:$O$113,15,0)),0,VLOOKUP($S$613,'TAR FIN'!$A$1:$O$113,15,0))</f>
        <v>0</v>
      </c>
      <c r="W613" s="4">
        <f>IF(ISERROR(VLOOKUP($T$613,'TAR FIN'!$A$1:$O$113,15,0)),0,VLOOKUP($T$613,'TAR FIN'!$A$1:$O$113,15,0))</f>
        <v>51.27</v>
      </c>
      <c r="X613" s="4">
        <f>IF(ISERROR(VLOOKUP($U$613,'TAR FIN'!$A$1:$O$113,15,0)),0,VLOOKUP($U$613,'TAR FIN'!$A$1:$O$113,15,0))</f>
        <v>222.31</v>
      </c>
      <c r="Y613" s="4"/>
      <c r="Z613" s="4">
        <f ca="1">('TUSD BE'!$AM$32+'TUSD BF'!$AM$32+'TUSD CVA'!$AM$32)*1</f>
        <v>65.007409626508434</v>
      </c>
      <c r="AA613" s="4">
        <f>('TE BE'!$AA$11+'TE BF'!$AA$11+'TE CVA'!$AA$11)*1</f>
        <v>223.14561812044704</v>
      </c>
      <c r="AB613" s="4">
        <f>$K$613*$V$613</f>
        <v>0</v>
      </c>
      <c r="AC613" s="4">
        <f>$M$613*$W$613</f>
        <v>19.790220000000001</v>
      </c>
      <c r="AD613" s="4">
        <f>$O$613*$X$613</f>
        <v>85.811660000000003</v>
      </c>
      <c r="AE613" s="4">
        <f>$K$613*$Y$613</f>
        <v>0</v>
      </c>
      <c r="AF613" s="4">
        <f ca="1">$M$613*$Z$613</f>
        <v>25.092860115832256</v>
      </c>
      <c r="AG613" s="4">
        <f>$O$613*$AA$613</f>
        <v>86.134208594492563</v>
      </c>
    </row>
    <row r="614" spans="1:33" ht="11.25" customHeight="1" x14ac:dyDescent="0.25">
      <c r="A614" s="3" t="s">
        <v>21</v>
      </c>
      <c r="B614" s="3" t="s">
        <v>41</v>
      </c>
      <c r="C614" s="3" t="s">
        <v>42</v>
      </c>
      <c r="D614" s="3" t="s">
        <v>43</v>
      </c>
      <c r="E614" s="3" t="s">
        <v>25</v>
      </c>
      <c r="F614" s="3" t="s">
        <v>25</v>
      </c>
      <c r="G614" s="3" t="s">
        <v>25</v>
      </c>
      <c r="H614" s="3" t="s">
        <v>35</v>
      </c>
      <c r="I614" s="6">
        <v>44409</v>
      </c>
      <c r="J614" s="4">
        <v>0</v>
      </c>
      <c r="K614" s="4">
        <v>0</v>
      </c>
      <c r="L614" s="4">
        <v>531.10900000000004</v>
      </c>
      <c r="M614" s="4">
        <v>531.10900000000004</v>
      </c>
      <c r="N614" s="4">
        <v>0</v>
      </c>
      <c r="O614" s="4">
        <v>0</v>
      </c>
      <c r="P614" s="4">
        <v>0</v>
      </c>
      <c r="Q614" s="3" t="s">
        <v>57</v>
      </c>
      <c r="R614" s="3">
        <v>0</v>
      </c>
      <c r="S614" s="4">
        <v>0</v>
      </c>
      <c r="T614" s="4">
        <v>21</v>
      </c>
      <c r="U614" s="4">
        <v>0</v>
      </c>
      <c r="V614" s="4">
        <f>IF(ISERROR(VLOOKUP($S$614,'TAR FIN'!$A$1:$O$113,15,0)),0,VLOOKUP($S$614,'TAR FIN'!$A$1:$O$113,15,0))</f>
        <v>0</v>
      </c>
      <c r="W614" s="4">
        <f>IF(ISERROR(VLOOKUP($T$614,'TAR FIN'!$A$1:$O$113,15,0)),0,VLOOKUP($T$614,'TAR FIN'!$A$1:$O$113,15,0))</f>
        <v>51.27</v>
      </c>
      <c r="X614" s="4">
        <f>IF(ISERROR(VLOOKUP($U$614,'TAR FIN'!$A$1:$O$113,15,0)),0,VLOOKUP($U$614,'TAR FIN'!$A$1:$O$113,15,0))</f>
        <v>0</v>
      </c>
      <c r="Y614" s="4"/>
      <c r="Z614" s="4">
        <f ca="1">('TUSD BE'!$AM$32+'TUSD BF'!$AM$32+'TUSD CVA'!$AM$32)*1</f>
        <v>65.007409626508434</v>
      </c>
      <c r="AA614" s="4"/>
      <c r="AB614" s="4">
        <f>$K$614*$V$614</f>
        <v>0</v>
      </c>
      <c r="AC614" s="4">
        <f>$M$614*$W$614</f>
        <v>27229.958430000002</v>
      </c>
      <c r="AD614" s="4">
        <f>$O$614*$X$614</f>
        <v>0</v>
      </c>
      <c r="AE614" s="4">
        <f>$K$614*$Y$614</f>
        <v>0</v>
      </c>
      <c r="AF614" s="4">
        <f ca="1">$M$614*$Z$614</f>
        <v>34526.020319325267</v>
      </c>
      <c r="AG614" s="4">
        <f>$O$614*$AA$614</f>
        <v>0</v>
      </c>
    </row>
    <row r="615" spans="1:33" ht="11.25" customHeight="1" x14ac:dyDescent="0.25">
      <c r="A615" s="3" t="s">
        <v>21</v>
      </c>
      <c r="B615" s="3" t="s">
        <v>41</v>
      </c>
      <c r="C615" s="3" t="s">
        <v>42</v>
      </c>
      <c r="D615" s="3" t="s">
        <v>43</v>
      </c>
      <c r="E615" s="3" t="s">
        <v>25</v>
      </c>
      <c r="F615" s="3" t="s">
        <v>25</v>
      </c>
      <c r="G615" s="3" t="s">
        <v>25</v>
      </c>
      <c r="H615" s="3" t="s">
        <v>35</v>
      </c>
      <c r="I615" s="6">
        <v>44440</v>
      </c>
      <c r="J615" s="4">
        <v>0</v>
      </c>
      <c r="K615" s="4">
        <v>0</v>
      </c>
      <c r="L615" s="4">
        <v>9213.8379999999997</v>
      </c>
      <c r="M615" s="4">
        <v>9213.8379999999997</v>
      </c>
      <c r="N615" s="4">
        <v>9213.8379999999997</v>
      </c>
      <c r="O615" s="4">
        <v>9213.8379999999997</v>
      </c>
      <c r="P615" s="4">
        <v>0</v>
      </c>
      <c r="Q615" s="3" t="s">
        <v>26</v>
      </c>
      <c r="R615" s="3">
        <v>0</v>
      </c>
      <c r="S615" s="4">
        <v>0</v>
      </c>
      <c r="T615" s="4">
        <v>21</v>
      </c>
      <c r="U615" s="4">
        <v>89</v>
      </c>
      <c r="V615" s="4">
        <f>IF(ISERROR(VLOOKUP($S$615,'TAR FIN'!$A$1:$O$113,15,0)),0,VLOOKUP($S$615,'TAR FIN'!$A$1:$O$113,15,0))</f>
        <v>0</v>
      </c>
      <c r="W615" s="4">
        <f>IF(ISERROR(VLOOKUP($T$615,'TAR FIN'!$A$1:$O$113,15,0)),0,VLOOKUP($T$615,'TAR FIN'!$A$1:$O$113,15,0))</f>
        <v>51.27</v>
      </c>
      <c r="X615" s="4">
        <f>IF(ISERROR(VLOOKUP($U$615,'TAR FIN'!$A$1:$O$113,15,0)),0,VLOOKUP($U$615,'TAR FIN'!$A$1:$O$113,15,0))</f>
        <v>222.31</v>
      </c>
      <c r="Y615" s="4"/>
      <c r="Z615" s="4">
        <f ca="1">('TUSD BE'!$AM$32+'TUSD BF'!$AM$32+'TUSD CVA'!$AM$32)*1</f>
        <v>65.007409626508434</v>
      </c>
      <c r="AA615" s="4">
        <f>('TE BE'!$AA$11+'TE BF'!$AA$11+'TE CVA'!$AA$11)*1</f>
        <v>223.14561812044704</v>
      </c>
      <c r="AB615" s="4">
        <f>$K$615*$V$615</f>
        <v>0</v>
      </c>
      <c r="AC615" s="4">
        <f>$M$615*$W$615</f>
        <v>472393.47425999999</v>
      </c>
      <c r="AD615" s="4">
        <f>$O$615*$X$615</f>
        <v>2048328.3257800001</v>
      </c>
      <c r="AE615" s="4">
        <f>$K$615*$Y$615</f>
        <v>0</v>
      </c>
      <c r="AF615" s="4">
        <f ca="1">$M$615*$Z$615</f>
        <v>598967.74109828915</v>
      </c>
      <c r="AG615" s="4">
        <f>$O$615*$AA$615</f>
        <v>2056027.5757716633</v>
      </c>
    </row>
    <row r="616" spans="1:33" ht="11.25" customHeight="1" x14ac:dyDescent="0.25">
      <c r="A616" s="3" t="s">
        <v>28</v>
      </c>
      <c r="B616" s="3" t="s">
        <v>41</v>
      </c>
      <c r="C616" s="3" t="s">
        <v>42</v>
      </c>
      <c r="D616" s="3" t="s">
        <v>43</v>
      </c>
      <c r="E616" s="3" t="s">
        <v>25</v>
      </c>
      <c r="F616" s="3" t="s">
        <v>25</v>
      </c>
      <c r="G616" s="3" t="s">
        <v>25</v>
      </c>
      <c r="H616" s="3" t="s">
        <v>35</v>
      </c>
      <c r="I616" s="6">
        <v>44440</v>
      </c>
      <c r="J616" s="4">
        <v>0</v>
      </c>
      <c r="K616" s="4">
        <v>0</v>
      </c>
      <c r="L616" s="4">
        <v>421.5</v>
      </c>
      <c r="M616" s="4">
        <v>421.5</v>
      </c>
      <c r="N616" s="4">
        <v>421.5</v>
      </c>
      <c r="O616" s="4">
        <v>421.5</v>
      </c>
      <c r="P616" s="4">
        <v>0</v>
      </c>
      <c r="Q616" s="3" t="s">
        <v>26</v>
      </c>
      <c r="R616" s="3">
        <v>0</v>
      </c>
      <c r="S616" s="4">
        <v>0</v>
      </c>
      <c r="T616" s="4">
        <v>21</v>
      </c>
      <c r="U616" s="4">
        <v>89</v>
      </c>
      <c r="V616" s="4">
        <f>IF(ISERROR(VLOOKUP($S$616,'TAR FIN'!$A$1:$O$113,15,0)),0,VLOOKUP($S$616,'TAR FIN'!$A$1:$O$113,15,0))</f>
        <v>0</v>
      </c>
      <c r="W616" s="4">
        <f>IF(ISERROR(VLOOKUP($T$616,'TAR FIN'!$A$1:$O$113,15,0)),0,VLOOKUP($T$616,'TAR FIN'!$A$1:$O$113,15,0))</f>
        <v>51.27</v>
      </c>
      <c r="X616" s="4">
        <f>IF(ISERROR(VLOOKUP($U$616,'TAR FIN'!$A$1:$O$113,15,0)),0,VLOOKUP($U$616,'TAR FIN'!$A$1:$O$113,15,0))</f>
        <v>222.31</v>
      </c>
      <c r="Y616" s="4"/>
      <c r="Z616" s="4">
        <f ca="1">('TUSD BE'!$AM$32+'TUSD BF'!$AM$32+'TUSD CVA'!$AM$32)*1</f>
        <v>65.007409626508434</v>
      </c>
      <c r="AA616" s="4">
        <f>('TE BE'!$AA$11+'TE BF'!$AA$11+'TE CVA'!$AA$11)*1</f>
        <v>223.14561812044704</v>
      </c>
      <c r="AB616" s="4">
        <f>$K$616*$V$616</f>
        <v>0</v>
      </c>
      <c r="AC616" s="4">
        <f>$M$616*$W$616</f>
        <v>21610.305</v>
      </c>
      <c r="AD616" s="4">
        <f>$O$616*$X$616</f>
        <v>93703.665000000008</v>
      </c>
      <c r="AE616" s="4">
        <f>$K$616*$Y$616</f>
        <v>0</v>
      </c>
      <c r="AF616" s="4">
        <f ca="1">$M$616*$Z$616</f>
        <v>27400.623157573304</v>
      </c>
      <c r="AG616" s="4">
        <f>$O$616*$AA$616</f>
        <v>94055.878037768431</v>
      </c>
    </row>
    <row r="617" spans="1:33" ht="11.25" customHeight="1" x14ac:dyDescent="0.25">
      <c r="A617" s="3" t="s">
        <v>21</v>
      </c>
      <c r="B617" s="3" t="s">
        <v>41</v>
      </c>
      <c r="C617" s="3" t="s">
        <v>42</v>
      </c>
      <c r="D617" s="3" t="s">
        <v>43</v>
      </c>
      <c r="E617" s="3" t="s">
        <v>25</v>
      </c>
      <c r="F617" s="3" t="s">
        <v>25</v>
      </c>
      <c r="G617" s="3" t="s">
        <v>25</v>
      </c>
      <c r="H617" s="3" t="s">
        <v>35</v>
      </c>
      <c r="I617" s="6">
        <v>44440</v>
      </c>
      <c r="J617" s="4">
        <v>0</v>
      </c>
      <c r="K617" s="4">
        <v>0</v>
      </c>
      <c r="L617" s="4">
        <v>261.51400000000001</v>
      </c>
      <c r="M617" s="4">
        <v>261.51400000000001</v>
      </c>
      <c r="N617" s="4">
        <v>0</v>
      </c>
      <c r="O617" s="4">
        <v>0</v>
      </c>
      <c r="P617" s="4">
        <v>0</v>
      </c>
      <c r="Q617" s="3" t="s">
        <v>57</v>
      </c>
      <c r="R617" s="3">
        <v>0</v>
      </c>
      <c r="S617" s="4">
        <v>0</v>
      </c>
      <c r="T617" s="4">
        <v>21</v>
      </c>
      <c r="U617" s="4">
        <v>0</v>
      </c>
      <c r="V617" s="4">
        <f>IF(ISERROR(VLOOKUP($S$617,'TAR FIN'!$A$1:$O$113,15,0)),0,VLOOKUP($S$617,'TAR FIN'!$A$1:$O$113,15,0))</f>
        <v>0</v>
      </c>
      <c r="W617" s="4">
        <f>IF(ISERROR(VLOOKUP($T$617,'TAR FIN'!$A$1:$O$113,15,0)),0,VLOOKUP($T$617,'TAR FIN'!$A$1:$O$113,15,0))</f>
        <v>51.27</v>
      </c>
      <c r="X617" s="4">
        <f>IF(ISERROR(VLOOKUP($U$617,'TAR FIN'!$A$1:$O$113,15,0)),0,VLOOKUP($U$617,'TAR FIN'!$A$1:$O$113,15,0))</f>
        <v>0</v>
      </c>
      <c r="Y617" s="4"/>
      <c r="Z617" s="4">
        <f ca="1">('TUSD BE'!$AM$32+'TUSD BF'!$AM$32+'TUSD CVA'!$AM$32)*1</f>
        <v>65.007409626508434</v>
      </c>
      <c r="AA617" s="4"/>
      <c r="AB617" s="4">
        <f>$K$617*$V$617</f>
        <v>0</v>
      </c>
      <c r="AC617" s="4">
        <f>$M$617*$W$617</f>
        <v>13407.822780000002</v>
      </c>
      <c r="AD617" s="4">
        <f>$O$617*$X$617</f>
        <v>0</v>
      </c>
      <c r="AE617" s="4">
        <f>$K$617*$Y$617</f>
        <v>0</v>
      </c>
      <c r="AF617" s="4">
        <f ca="1">$M$617*$Z$617</f>
        <v>17000.347721066726</v>
      </c>
      <c r="AG617" s="4">
        <f>$O$617*$AA$617</f>
        <v>0</v>
      </c>
    </row>
    <row r="618" spans="1:33" ht="11.25" customHeight="1" x14ac:dyDescent="0.25">
      <c r="A618" s="3" t="s">
        <v>21</v>
      </c>
      <c r="B618" s="3" t="s">
        <v>41</v>
      </c>
      <c r="C618" s="3" t="s">
        <v>42</v>
      </c>
      <c r="D618" s="3" t="s">
        <v>43</v>
      </c>
      <c r="E618" s="3" t="s">
        <v>25</v>
      </c>
      <c r="F618" s="3" t="s">
        <v>25</v>
      </c>
      <c r="G618" s="3" t="s">
        <v>25</v>
      </c>
      <c r="H618" s="3" t="s">
        <v>35</v>
      </c>
      <c r="I618" s="6">
        <v>44470</v>
      </c>
      <c r="J618" s="4">
        <v>0</v>
      </c>
      <c r="K618" s="4">
        <v>0</v>
      </c>
      <c r="L618" s="4">
        <v>9708.741</v>
      </c>
      <c r="M618" s="4">
        <v>9708.741</v>
      </c>
      <c r="N618" s="4">
        <v>9708.741</v>
      </c>
      <c r="O618" s="4">
        <v>9708.741</v>
      </c>
      <c r="P618" s="4">
        <v>0</v>
      </c>
      <c r="Q618" s="3" t="s">
        <v>26</v>
      </c>
      <c r="R618" s="3">
        <v>0</v>
      </c>
      <c r="S618" s="4">
        <v>0</v>
      </c>
      <c r="T618" s="4">
        <v>21</v>
      </c>
      <c r="U618" s="4">
        <v>89</v>
      </c>
      <c r="V618" s="4">
        <f>IF(ISERROR(VLOOKUP($S$618,'TAR FIN'!$A$1:$O$113,15,0)),0,VLOOKUP($S$618,'TAR FIN'!$A$1:$O$113,15,0))</f>
        <v>0</v>
      </c>
      <c r="W618" s="4">
        <f>IF(ISERROR(VLOOKUP($T$618,'TAR FIN'!$A$1:$O$113,15,0)),0,VLOOKUP($T$618,'TAR FIN'!$A$1:$O$113,15,0))</f>
        <v>51.27</v>
      </c>
      <c r="X618" s="4">
        <f>IF(ISERROR(VLOOKUP($U$618,'TAR FIN'!$A$1:$O$113,15,0)),0,VLOOKUP($U$618,'TAR FIN'!$A$1:$O$113,15,0))</f>
        <v>222.31</v>
      </c>
      <c r="Y618" s="4"/>
      <c r="Z618" s="4">
        <f ca="1">('TUSD BE'!$AM$32+'TUSD BF'!$AM$32+'TUSD CVA'!$AM$32)*1</f>
        <v>65.007409626508434</v>
      </c>
      <c r="AA618" s="4">
        <f>('TE BE'!$AA$11+'TE BF'!$AA$11+'TE CVA'!$AA$11)*1</f>
        <v>223.14561812044704</v>
      </c>
      <c r="AB618" s="4">
        <f>$K$618*$V$618</f>
        <v>0</v>
      </c>
      <c r="AC618" s="4">
        <f>$M$618*$W$618</f>
        <v>497767.15107000002</v>
      </c>
      <c r="AD618" s="4">
        <f>$O$618*$X$618</f>
        <v>2158350.2117099999</v>
      </c>
      <c r="AE618" s="4">
        <f>$K$618*$Y$618</f>
        <v>0</v>
      </c>
      <c r="AF618" s="4">
        <f ca="1">$M$618*$Z$618</f>
        <v>631140.10314467712</v>
      </c>
      <c r="AG618" s="4">
        <f>$O$618*$AA$618</f>
        <v>2166463.0116163273</v>
      </c>
    </row>
    <row r="619" spans="1:33" ht="11.25" customHeight="1" x14ac:dyDescent="0.25">
      <c r="A619" s="3" t="s">
        <v>28</v>
      </c>
      <c r="B619" s="3" t="s">
        <v>41</v>
      </c>
      <c r="C619" s="3" t="s">
        <v>42</v>
      </c>
      <c r="D619" s="3" t="s">
        <v>43</v>
      </c>
      <c r="E619" s="3" t="s">
        <v>25</v>
      </c>
      <c r="F619" s="3" t="s">
        <v>25</v>
      </c>
      <c r="G619" s="3" t="s">
        <v>25</v>
      </c>
      <c r="H619" s="3" t="s">
        <v>35</v>
      </c>
      <c r="I619" s="6">
        <v>44470</v>
      </c>
      <c r="J619" s="4">
        <v>0</v>
      </c>
      <c r="K619" s="4">
        <v>0</v>
      </c>
      <c r="L619" s="4">
        <v>429.31799999999998</v>
      </c>
      <c r="M619" s="4">
        <v>429.31799999999998</v>
      </c>
      <c r="N619" s="4">
        <v>429.31799999999998</v>
      </c>
      <c r="O619" s="4">
        <v>429.31799999999998</v>
      </c>
      <c r="P619" s="4">
        <v>0</v>
      </c>
      <c r="Q619" s="3" t="s">
        <v>26</v>
      </c>
      <c r="R619" s="3">
        <v>0</v>
      </c>
      <c r="S619" s="4">
        <v>0</v>
      </c>
      <c r="T619" s="4">
        <v>21</v>
      </c>
      <c r="U619" s="4">
        <v>89</v>
      </c>
      <c r="V619" s="4">
        <f>IF(ISERROR(VLOOKUP($S$619,'TAR FIN'!$A$1:$O$113,15,0)),0,VLOOKUP($S$619,'TAR FIN'!$A$1:$O$113,15,0))</f>
        <v>0</v>
      </c>
      <c r="W619" s="4">
        <f>IF(ISERROR(VLOOKUP($T$619,'TAR FIN'!$A$1:$O$113,15,0)),0,VLOOKUP($T$619,'TAR FIN'!$A$1:$O$113,15,0))</f>
        <v>51.27</v>
      </c>
      <c r="X619" s="4">
        <f>IF(ISERROR(VLOOKUP($U$619,'TAR FIN'!$A$1:$O$113,15,0)),0,VLOOKUP($U$619,'TAR FIN'!$A$1:$O$113,15,0))</f>
        <v>222.31</v>
      </c>
      <c r="Y619" s="4"/>
      <c r="Z619" s="4">
        <f ca="1">('TUSD BE'!$AM$32+'TUSD BF'!$AM$32+'TUSD CVA'!$AM$32)*1</f>
        <v>65.007409626508434</v>
      </c>
      <c r="AA619" s="4">
        <f>('TE BE'!$AA$11+'TE BF'!$AA$11+'TE CVA'!$AA$11)*1</f>
        <v>223.14561812044704</v>
      </c>
      <c r="AB619" s="4">
        <f>$K$619*$V$619</f>
        <v>0</v>
      </c>
      <c r="AC619" s="4">
        <f>$M$619*$W$619</f>
        <v>22011.133860000002</v>
      </c>
      <c r="AD619" s="4">
        <f>$O$619*$X$619</f>
        <v>95441.684580000001</v>
      </c>
      <c r="AE619" s="4">
        <f>$K$619*$Y$619</f>
        <v>0</v>
      </c>
      <c r="AF619" s="4">
        <f ca="1">$M$619*$Z$619</f>
        <v>27908.851086033348</v>
      </c>
      <c r="AG619" s="4">
        <f>$O$619*$AA$619</f>
        <v>95800.430480234078</v>
      </c>
    </row>
    <row r="620" spans="1:33" ht="11.25" customHeight="1" x14ac:dyDescent="0.25">
      <c r="A620" s="3" t="s">
        <v>21</v>
      </c>
      <c r="B620" s="3" t="s">
        <v>41</v>
      </c>
      <c r="C620" s="3" t="s">
        <v>42</v>
      </c>
      <c r="D620" s="3" t="s">
        <v>43</v>
      </c>
      <c r="E620" s="3" t="s">
        <v>25</v>
      </c>
      <c r="F620" s="3" t="s">
        <v>25</v>
      </c>
      <c r="G620" s="3" t="s">
        <v>25</v>
      </c>
      <c r="H620" s="3" t="s">
        <v>35</v>
      </c>
      <c r="I620" s="6">
        <v>44470</v>
      </c>
      <c r="J620" s="4">
        <v>0</v>
      </c>
      <c r="K620" s="4">
        <v>0</v>
      </c>
      <c r="L620" s="4">
        <v>302.68799999999999</v>
      </c>
      <c r="M620" s="4">
        <v>302.68799999999999</v>
      </c>
      <c r="N620" s="4">
        <v>0</v>
      </c>
      <c r="O620" s="4">
        <v>0</v>
      </c>
      <c r="P620" s="4">
        <v>0</v>
      </c>
      <c r="Q620" s="3" t="s">
        <v>57</v>
      </c>
      <c r="R620" s="3">
        <v>0</v>
      </c>
      <c r="S620" s="4">
        <v>0</v>
      </c>
      <c r="T620" s="4">
        <v>21</v>
      </c>
      <c r="U620" s="4">
        <v>0</v>
      </c>
      <c r="V620" s="4">
        <f>IF(ISERROR(VLOOKUP($S$620,'TAR FIN'!$A$1:$O$113,15,0)),0,VLOOKUP($S$620,'TAR FIN'!$A$1:$O$113,15,0))</f>
        <v>0</v>
      </c>
      <c r="W620" s="4">
        <f>IF(ISERROR(VLOOKUP($T$620,'TAR FIN'!$A$1:$O$113,15,0)),0,VLOOKUP($T$620,'TAR FIN'!$A$1:$O$113,15,0))</f>
        <v>51.27</v>
      </c>
      <c r="X620" s="4">
        <f>IF(ISERROR(VLOOKUP($U$620,'TAR FIN'!$A$1:$O$113,15,0)),0,VLOOKUP($U$620,'TAR FIN'!$A$1:$O$113,15,0))</f>
        <v>0</v>
      </c>
      <c r="Y620" s="4"/>
      <c r="Z620" s="4">
        <f ca="1">('TUSD BE'!$AM$32+'TUSD BF'!$AM$32+'TUSD CVA'!$AM$32)*1</f>
        <v>65.007409626508434</v>
      </c>
      <c r="AA620" s="4"/>
      <c r="AB620" s="4">
        <f>$K$620*$V$620</f>
        <v>0</v>
      </c>
      <c r="AC620" s="4">
        <f>$M$620*$W$620</f>
        <v>15518.813760000001</v>
      </c>
      <c r="AD620" s="4">
        <f>$O$620*$X$620</f>
        <v>0</v>
      </c>
      <c r="AE620" s="4">
        <f>$K$620*$Y$620</f>
        <v>0</v>
      </c>
      <c r="AF620" s="4">
        <f ca="1">$M$620*$Z$620</f>
        <v>19676.962805028583</v>
      </c>
      <c r="AG620" s="4">
        <f>$O$620*$AA$620</f>
        <v>0</v>
      </c>
    </row>
    <row r="621" spans="1:33" ht="11.25" customHeight="1" x14ac:dyDescent="0.25">
      <c r="A621" s="3" t="s">
        <v>21</v>
      </c>
      <c r="B621" s="3" t="s">
        <v>41</v>
      </c>
      <c r="C621" s="3" t="s">
        <v>42</v>
      </c>
      <c r="D621" s="3" t="s">
        <v>43</v>
      </c>
      <c r="E621" s="3" t="s">
        <v>25</v>
      </c>
      <c r="F621" s="3" t="s">
        <v>25</v>
      </c>
      <c r="G621" s="3" t="s">
        <v>25</v>
      </c>
      <c r="H621" s="3" t="s">
        <v>35</v>
      </c>
      <c r="I621" s="6">
        <v>44501</v>
      </c>
      <c r="J621" s="4">
        <v>0</v>
      </c>
      <c r="K621" s="4">
        <v>0</v>
      </c>
      <c r="L621" s="4">
        <v>10145.656000000001</v>
      </c>
      <c r="M621" s="4">
        <v>10145.656000000001</v>
      </c>
      <c r="N621" s="4">
        <v>10145.656000000001</v>
      </c>
      <c r="O621" s="4">
        <v>10145.656000000001</v>
      </c>
      <c r="P621" s="4">
        <v>0</v>
      </c>
      <c r="Q621" s="3" t="s">
        <v>26</v>
      </c>
      <c r="R621" s="3">
        <v>0</v>
      </c>
      <c r="S621" s="4">
        <v>0</v>
      </c>
      <c r="T621" s="4">
        <v>21</v>
      </c>
      <c r="U621" s="4">
        <v>89</v>
      </c>
      <c r="V621" s="4">
        <f>IF(ISERROR(VLOOKUP($S$621,'TAR FIN'!$A$1:$O$113,15,0)),0,VLOOKUP($S$621,'TAR FIN'!$A$1:$O$113,15,0))</f>
        <v>0</v>
      </c>
      <c r="W621" s="4">
        <f>IF(ISERROR(VLOOKUP($T$621,'TAR FIN'!$A$1:$O$113,15,0)),0,VLOOKUP($T$621,'TAR FIN'!$A$1:$O$113,15,0))</f>
        <v>51.27</v>
      </c>
      <c r="X621" s="4">
        <f>IF(ISERROR(VLOOKUP($U$621,'TAR FIN'!$A$1:$O$113,15,0)),0,VLOOKUP($U$621,'TAR FIN'!$A$1:$O$113,15,0))</f>
        <v>222.31</v>
      </c>
      <c r="Y621" s="4"/>
      <c r="Z621" s="4">
        <f ca="1">('TUSD BE'!$AM$32+'TUSD BF'!$AM$32+'TUSD CVA'!$AM$32)*1</f>
        <v>65.007409626508434</v>
      </c>
      <c r="AA621" s="4">
        <f>('TE BE'!$AA$11+'TE BF'!$AA$11+'TE CVA'!$AA$11)*1</f>
        <v>223.14561812044704</v>
      </c>
      <c r="AB621" s="4">
        <f>$K$621*$V$621</f>
        <v>0</v>
      </c>
      <c r="AC621" s="4">
        <f>$M$621*$W$621</f>
        <v>520167.78312000009</v>
      </c>
      <c r="AD621" s="4">
        <f>$O$621*$X$621</f>
        <v>2255480.7853600001</v>
      </c>
      <c r="AE621" s="4">
        <f>$K$621*$Y$621</f>
        <v>0</v>
      </c>
      <c r="AF621" s="4">
        <f ca="1">$M$621*$Z$621</f>
        <v>659542.81552164315</v>
      </c>
      <c r="AG621" s="4">
        <f>$O$621*$AA$621</f>
        <v>2263958.6793574225</v>
      </c>
    </row>
    <row r="622" spans="1:33" ht="11.25" customHeight="1" x14ac:dyDescent="0.25">
      <c r="A622" s="3" t="s">
        <v>28</v>
      </c>
      <c r="B622" s="3" t="s">
        <v>41</v>
      </c>
      <c r="C622" s="3" t="s">
        <v>42</v>
      </c>
      <c r="D622" s="3" t="s">
        <v>43</v>
      </c>
      <c r="E622" s="3" t="s">
        <v>25</v>
      </c>
      <c r="F622" s="3" t="s">
        <v>25</v>
      </c>
      <c r="G622" s="3" t="s">
        <v>25</v>
      </c>
      <c r="H622" s="3" t="s">
        <v>35</v>
      </c>
      <c r="I622" s="6">
        <v>44501</v>
      </c>
      <c r="J622" s="4">
        <v>0</v>
      </c>
      <c r="K622" s="4">
        <v>0</v>
      </c>
      <c r="L622" s="4">
        <v>532.37</v>
      </c>
      <c r="M622" s="4">
        <v>532.37</v>
      </c>
      <c r="N622" s="4">
        <v>532.37</v>
      </c>
      <c r="O622" s="4">
        <v>532.37</v>
      </c>
      <c r="P622" s="4">
        <v>0</v>
      </c>
      <c r="Q622" s="3" t="s">
        <v>26</v>
      </c>
      <c r="R622" s="3">
        <v>0</v>
      </c>
      <c r="S622" s="4">
        <v>0</v>
      </c>
      <c r="T622" s="4">
        <v>21</v>
      </c>
      <c r="U622" s="4">
        <v>89</v>
      </c>
      <c r="V622" s="4">
        <f>IF(ISERROR(VLOOKUP($S$622,'TAR FIN'!$A$1:$O$113,15,0)),0,VLOOKUP($S$622,'TAR FIN'!$A$1:$O$113,15,0))</f>
        <v>0</v>
      </c>
      <c r="W622" s="4">
        <f>IF(ISERROR(VLOOKUP($T$622,'TAR FIN'!$A$1:$O$113,15,0)),0,VLOOKUP($T$622,'TAR FIN'!$A$1:$O$113,15,0))</f>
        <v>51.27</v>
      </c>
      <c r="X622" s="4">
        <f>IF(ISERROR(VLOOKUP($U$622,'TAR FIN'!$A$1:$O$113,15,0)),0,VLOOKUP($U$622,'TAR FIN'!$A$1:$O$113,15,0))</f>
        <v>222.31</v>
      </c>
      <c r="Y622" s="4"/>
      <c r="Z622" s="4">
        <f ca="1">('TUSD BE'!$AM$32+'TUSD BF'!$AM$32+'TUSD CVA'!$AM$32)*1</f>
        <v>65.007409626508434</v>
      </c>
      <c r="AA622" s="4">
        <f>('TE BE'!$AA$11+'TE BF'!$AA$11+'TE CVA'!$AA$11)*1</f>
        <v>223.14561812044704</v>
      </c>
      <c r="AB622" s="4">
        <f>$K$622*$V$622</f>
        <v>0</v>
      </c>
      <c r="AC622" s="4">
        <f>$M$622*$W$622</f>
        <v>27294.609900000003</v>
      </c>
      <c r="AD622" s="4">
        <f>$O$622*$X$622</f>
        <v>118351.1747</v>
      </c>
      <c r="AE622" s="4">
        <f>$K$622*$Y$622</f>
        <v>0</v>
      </c>
      <c r="AF622" s="4">
        <f ca="1">$M$622*$Z$622</f>
        <v>34607.994662864294</v>
      </c>
      <c r="AG622" s="4">
        <f>$O$622*$AA$622</f>
        <v>118796.03271878239</v>
      </c>
    </row>
    <row r="623" spans="1:33" ht="11.25" customHeight="1" x14ac:dyDescent="0.25">
      <c r="A623" s="3" t="s">
        <v>21</v>
      </c>
      <c r="B623" s="3" t="s">
        <v>41</v>
      </c>
      <c r="C623" s="3" t="s">
        <v>42</v>
      </c>
      <c r="D623" s="3" t="s">
        <v>43</v>
      </c>
      <c r="E623" s="3" t="s">
        <v>25</v>
      </c>
      <c r="F623" s="3" t="s">
        <v>25</v>
      </c>
      <c r="G623" s="3" t="s">
        <v>25</v>
      </c>
      <c r="H623" s="3" t="s">
        <v>35</v>
      </c>
      <c r="I623" s="6">
        <v>44501</v>
      </c>
      <c r="J623" s="4">
        <v>0</v>
      </c>
      <c r="K623" s="4">
        <v>0</v>
      </c>
      <c r="L623" s="4">
        <v>321.14800000000002</v>
      </c>
      <c r="M623" s="4">
        <v>321.14800000000002</v>
      </c>
      <c r="N623" s="4">
        <v>0</v>
      </c>
      <c r="O623" s="4">
        <v>0</v>
      </c>
      <c r="P623" s="4">
        <v>0</v>
      </c>
      <c r="Q623" s="3" t="s">
        <v>57</v>
      </c>
      <c r="R623" s="3">
        <v>0</v>
      </c>
      <c r="S623" s="4">
        <v>0</v>
      </c>
      <c r="T623" s="4">
        <v>21</v>
      </c>
      <c r="U623" s="4">
        <v>0</v>
      </c>
      <c r="V623" s="4">
        <f>IF(ISERROR(VLOOKUP($S$623,'TAR FIN'!$A$1:$O$113,15,0)),0,VLOOKUP($S$623,'TAR FIN'!$A$1:$O$113,15,0))</f>
        <v>0</v>
      </c>
      <c r="W623" s="4">
        <f>IF(ISERROR(VLOOKUP($T$623,'TAR FIN'!$A$1:$O$113,15,0)),0,VLOOKUP($T$623,'TAR FIN'!$A$1:$O$113,15,0))</f>
        <v>51.27</v>
      </c>
      <c r="X623" s="4">
        <f>IF(ISERROR(VLOOKUP($U$623,'TAR FIN'!$A$1:$O$113,15,0)),0,VLOOKUP($U$623,'TAR FIN'!$A$1:$O$113,15,0))</f>
        <v>0</v>
      </c>
      <c r="Y623" s="4"/>
      <c r="Z623" s="4">
        <f ca="1">('TUSD BE'!$AM$32+'TUSD BF'!$AM$32+'TUSD CVA'!$AM$32)*1</f>
        <v>65.007409626508434</v>
      </c>
      <c r="AA623" s="4"/>
      <c r="AB623" s="4">
        <f>$K$623*$V$623</f>
        <v>0</v>
      </c>
      <c r="AC623" s="4">
        <f>$M$623*$W$623</f>
        <v>16465.257960000003</v>
      </c>
      <c r="AD623" s="4">
        <f>$O$623*$X$623</f>
        <v>0</v>
      </c>
      <c r="AE623" s="4">
        <f>$K$623*$Y$623</f>
        <v>0</v>
      </c>
      <c r="AF623" s="4">
        <f ca="1">$M$623*$Z$623</f>
        <v>20876.999586733931</v>
      </c>
      <c r="AG623" s="4">
        <f>$O$623*$AA$623</f>
        <v>0</v>
      </c>
    </row>
    <row r="624" spans="1:33" ht="11.25" customHeight="1" x14ac:dyDescent="0.25">
      <c r="A624" s="3" t="s">
        <v>21</v>
      </c>
      <c r="B624" s="3" t="s">
        <v>41</v>
      </c>
      <c r="C624" s="3" t="s">
        <v>42</v>
      </c>
      <c r="D624" s="3" t="s">
        <v>43</v>
      </c>
      <c r="E624" s="3" t="s">
        <v>25</v>
      </c>
      <c r="F624" s="3" t="s">
        <v>25</v>
      </c>
      <c r="G624" s="3" t="s">
        <v>25</v>
      </c>
      <c r="H624" s="3" t="s">
        <v>35</v>
      </c>
      <c r="I624" s="6">
        <v>44531</v>
      </c>
      <c r="J624" s="4">
        <v>0</v>
      </c>
      <c r="K624" s="4">
        <v>0</v>
      </c>
      <c r="L624" s="4">
        <v>9701.7450000000008</v>
      </c>
      <c r="M624" s="4">
        <v>9701.7450000000008</v>
      </c>
      <c r="N624" s="4">
        <v>9701.7450000000008</v>
      </c>
      <c r="O624" s="4">
        <v>9701.7450000000008</v>
      </c>
      <c r="P624" s="4">
        <v>0</v>
      </c>
      <c r="Q624" s="3" t="s">
        <v>26</v>
      </c>
      <c r="R624" s="3">
        <v>0</v>
      </c>
      <c r="S624" s="4">
        <v>0</v>
      </c>
      <c r="T624" s="4">
        <v>21</v>
      </c>
      <c r="U624" s="4">
        <v>89</v>
      </c>
      <c r="V624" s="4">
        <f>IF(ISERROR(VLOOKUP($S$624,'TAR FIN'!$A$1:$O$113,15,0)),0,VLOOKUP($S$624,'TAR FIN'!$A$1:$O$113,15,0))</f>
        <v>0</v>
      </c>
      <c r="W624" s="4">
        <f>IF(ISERROR(VLOOKUP($T$624,'TAR FIN'!$A$1:$O$113,15,0)),0,VLOOKUP($T$624,'TAR FIN'!$A$1:$O$113,15,0))</f>
        <v>51.27</v>
      </c>
      <c r="X624" s="4">
        <f>IF(ISERROR(VLOOKUP($U$624,'TAR FIN'!$A$1:$O$113,15,0)),0,VLOOKUP($U$624,'TAR FIN'!$A$1:$O$113,15,0))</f>
        <v>222.31</v>
      </c>
      <c r="Y624" s="4"/>
      <c r="Z624" s="4">
        <f ca="1">('TUSD BE'!$AM$32+'TUSD BF'!$AM$32+'TUSD CVA'!$AM$32)*1</f>
        <v>65.007409626508434</v>
      </c>
      <c r="AA624" s="4">
        <f>('TE BE'!$AA$11+'TE BF'!$AA$11+'TE CVA'!$AA$11)*1</f>
        <v>223.14561812044704</v>
      </c>
      <c r="AB624" s="4">
        <f>$K$624*$V$624</f>
        <v>0</v>
      </c>
      <c r="AC624" s="4">
        <f>$M$624*$W$624</f>
        <v>497408.46615000005</v>
      </c>
      <c r="AD624" s="4">
        <f>$O$624*$X$624</f>
        <v>2156794.9309500004</v>
      </c>
      <c r="AE624" s="4">
        <f>$K$624*$Y$624</f>
        <v>0</v>
      </c>
      <c r="AF624" s="4">
        <f ca="1">$M$624*$Z$624</f>
        <v>630685.31130693015</v>
      </c>
      <c r="AG624" s="4">
        <f>$O$624*$AA$624</f>
        <v>2164901.8848719564</v>
      </c>
    </row>
    <row r="625" spans="1:33" ht="11.25" customHeight="1" x14ac:dyDescent="0.25">
      <c r="A625" s="3" t="s">
        <v>28</v>
      </c>
      <c r="B625" s="3" t="s">
        <v>41</v>
      </c>
      <c r="C625" s="3" t="s">
        <v>42</v>
      </c>
      <c r="D625" s="3" t="s">
        <v>43</v>
      </c>
      <c r="E625" s="3" t="s">
        <v>25</v>
      </c>
      <c r="F625" s="3" t="s">
        <v>25</v>
      </c>
      <c r="G625" s="3" t="s">
        <v>25</v>
      </c>
      <c r="H625" s="3" t="s">
        <v>35</v>
      </c>
      <c r="I625" s="6">
        <v>44531</v>
      </c>
      <c r="J625" s="4">
        <v>0</v>
      </c>
      <c r="K625" s="4">
        <v>0</v>
      </c>
      <c r="L625" s="4">
        <v>517.86900000000003</v>
      </c>
      <c r="M625" s="4">
        <v>517.86900000000003</v>
      </c>
      <c r="N625" s="4">
        <v>517.86900000000003</v>
      </c>
      <c r="O625" s="4">
        <v>517.86900000000003</v>
      </c>
      <c r="P625" s="4">
        <v>0</v>
      </c>
      <c r="Q625" s="3" t="s">
        <v>26</v>
      </c>
      <c r="R625" s="3">
        <v>0</v>
      </c>
      <c r="S625" s="4">
        <v>0</v>
      </c>
      <c r="T625" s="4">
        <v>21</v>
      </c>
      <c r="U625" s="4">
        <v>89</v>
      </c>
      <c r="V625" s="4">
        <f>IF(ISERROR(VLOOKUP($S$625,'TAR FIN'!$A$1:$O$113,15,0)),0,VLOOKUP($S$625,'TAR FIN'!$A$1:$O$113,15,0))</f>
        <v>0</v>
      </c>
      <c r="W625" s="4">
        <f>IF(ISERROR(VLOOKUP($T$625,'TAR FIN'!$A$1:$O$113,15,0)),0,VLOOKUP($T$625,'TAR FIN'!$A$1:$O$113,15,0))</f>
        <v>51.27</v>
      </c>
      <c r="X625" s="4">
        <f>IF(ISERROR(VLOOKUP($U$625,'TAR FIN'!$A$1:$O$113,15,0)),0,VLOOKUP($U$625,'TAR FIN'!$A$1:$O$113,15,0))</f>
        <v>222.31</v>
      </c>
      <c r="Y625" s="4"/>
      <c r="Z625" s="4">
        <f ca="1">('TUSD BE'!$AM$32+'TUSD BF'!$AM$32+'TUSD CVA'!$AM$32)*1</f>
        <v>65.007409626508434</v>
      </c>
      <c r="AA625" s="4">
        <f>('TE BE'!$AA$11+'TE BF'!$AA$11+'TE CVA'!$AA$11)*1</f>
        <v>223.14561812044704</v>
      </c>
      <c r="AB625" s="4">
        <f>$K$625*$V$625</f>
        <v>0</v>
      </c>
      <c r="AC625" s="4">
        <f>$M$625*$W$625</f>
        <v>26551.143630000002</v>
      </c>
      <c r="AD625" s="4">
        <f>$O$625*$X$625</f>
        <v>115127.45739000001</v>
      </c>
      <c r="AE625" s="4">
        <f>$K$625*$Y$625</f>
        <v>0</v>
      </c>
      <c r="AF625" s="4">
        <f ca="1">$M$625*$Z$625</f>
        <v>33665.322215870299</v>
      </c>
      <c r="AG625" s="4">
        <f>$O$625*$AA$625</f>
        <v>115560.1981104178</v>
      </c>
    </row>
    <row r="626" spans="1:33" ht="11.25" customHeight="1" x14ac:dyDescent="0.25">
      <c r="A626" s="3" t="s">
        <v>28</v>
      </c>
      <c r="B626" s="3" t="s">
        <v>41</v>
      </c>
      <c r="C626" s="3" t="s">
        <v>42</v>
      </c>
      <c r="D626" s="3" t="s">
        <v>43</v>
      </c>
      <c r="E626" s="3" t="s">
        <v>25</v>
      </c>
      <c r="F626" s="3" t="s">
        <v>25</v>
      </c>
      <c r="G626" s="3" t="s">
        <v>25</v>
      </c>
      <c r="H626" s="3" t="s">
        <v>35</v>
      </c>
      <c r="I626" s="6">
        <v>44531</v>
      </c>
      <c r="J626" s="4">
        <v>0</v>
      </c>
      <c r="K626" s="4">
        <v>0</v>
      </c>
      <c r="L626" s="4">
        <v>-116.643</v>
      </c>
      <c r="M626" s="4">
        <v>-116.643</v>
      </c>
      <c r="N626" s="4">
        <v>-116.643</v>
      </c>
      <c r="O626" s="4">
        <v>-116.643</v>
      </c>
      <c r="P626" s="4">
        <v>0</v>
      </c>
      <c r="Q626" s="3" t="s">
        <v>26</v>
      </c>
      <c r="R626" s="3">
        <v>0</v>
      </c>
      <c r="S626" s="4">
        <v>0</v>
      </c>
      <c r="T626" s="4">
        <v>21</v>
      </c>
      <c r="U626" s="4">
        <v>89</v>
      </c>
      <c r="V626" s="4">
        <f>IF(ISERROR(VLOOKUP($S$626,'TAR FIN'!$A$1:$O$113,15,0)),0,VLOOKUP($S$626,'TAR FIN'!$A$1:$O$113,15,0))</f>
        <v>0</v>
      </c>
      <c r="W626" s="4">
        <f>IF(ISERROR(VLOOKUP($T$626,'TAR FIN'!$A$1:$O$113,15,0)),0,VLOOKUP($T$626,'TAR FIN'!$A$1:$O$113,15,0))</f>
        <v>51.27</v>
      </c>
      <c r="X626" s="4">
        <f>IF(ISERROR(VLOOKUP($U$626,'TAR FIN'!$A$1:$O$113,15,0)),0,VLOOKUP($U$626,'TAR FIN'!$A$1:$O$113,15,0))</f>
        <v>222.31</v>
      </c>
      <c r="Y626" s="4"/>
      <c r="Z626" s="4">
        <f ca="1">('TUSD BE'!$AM$32+'TUSD BF'!$AM$32+'TUSD CVA'!$AM$32)*1</f>
        <v>65.007409626508434</v>
      </c>
      <c r="AA626" s="4">
        <f>('TE BE'!$AA$11+'TE BF'!$AA$11+'TE CVA'!$AA$11)*1</f>
        <v>223.14561812044704</v>
      </c>
      <c r="AB626" s="4">
        <f>$K$626*$V$626</f>
        <v>0</v>
      </c>
      <c r="AC626" s="4">
        <f>$M$626*$W$626</f>
        <v>-5980.2866100000001</v>
      </c>
      <c r="AD626" s="4">
        <f>$O$626*$X$626</f>
        <v>-25930.905330000001</v>
      </c>
      <c r="AE626" s="4">
        <f>$K$626*$Y$626</f>
        <v>0</v>
      </c>
      <c r="AF626" s="4">
        <f ca="1">$M$626*$Z$626</f>
        <v>-7582.6592810648235</v>
      </c>
      <c r="AG626" s="4">
        <f>$O$626*$AA$626</f>
        <v>-26028.374334423304</v>
      </c>
    </row>
    <row r="627" spans="1:33" ht="11.25" customHeight="1" x14ac:dyDescent="0.25">
      <c r="A627" s="3" t="s">
        <v>21</v>
      </c>
      <c r="B627" s="3" t="s">
        <v>41</v>
      </c>
      <c r="C627" s="3" t="s">
        <v>42</v>
      </c>
      <c r="D627" s="3" t="s">
        <v>43</v>
      </c>
      <c r="E627" s="3" t="s">
        <v>25</v>
      </c>
      <c r="F627" s="3" t="s">
        <v>25</v>
      </c>
      <c r="G627" s="3" t="s">
        <v>25</v>
      </c>
      <c r="H627" s="3" t="s">
        <v>35</v>
      </c>
      <c r="I627" s="6">
        <v>44531</v>
      </c>
      <c r="J627" s="4">
        <v>0</v>
      </c>
      <c r="K627" s="4">
        <v>0</v>
      </c>
      <c r="L627" s="4">
        <v>370.32600000000002</v>
      </c>
      <c r="M627" s="4">
        <v>370.32600000000002</v>
      </c>
      <c r="N627" s="4">
        <v>0</v>
      </c>
      <c r="O627" s="4">
        <v>0</v>
      </c>
      <c r="P627" s="4">
        <v>0</v>
      </c>
      <c r="Q627" s="3" t="s">
        <v>57</v>
      </c>
      <c r="R627" s="3">
        <v>0</v>
      </c>
      <c r="S627" s="4">
        <v>0</v>
      </c>
      <c r="T627" s="4">
        <v>21</v>
      </c>
      <c r="U627" s="4">
        <v>0</v>
      </c>
      <c r="V627" s="4">
        <f>IF(ISERROR(VLOOKUP($S$627,'TAR FIN'!$A$1:$O$113,15,0)),0,VLOOKUP($S$627,'TAR FIN'!$A$1:$O$113,15,0))</f>
        <v>0</v>
      </c>
      <c r="W627" s="4">
        <f>IF(ISERROR(VLOOKUP($T$627,'TAR FIN'!$A$1:$O$113,15,0)),0,VLOOKUP($T$627,'TAR FIN'!$A$1:$O$113,15,0))</f>
        <v>51.27</v>
      </c>
      <c r="X627" s="4">
        <f>IF(ISERROR(VLOOKUP($U$627,'TAR FIN'!$A$1:$O$113,15,0)),0,VLOOKUP($U$627,'TAR FIN'!$A$1:$O$113,15,0))</f>
        <v>0</v>
      </c>
      <c r="Y627" s="4"/>
      <c r="Z627" s="4">
        <f ca="1">('TUSD BE'!$AM$32+'TUSD BF'!$AM$32+'TUSD CVA'!$AM$32)*1</f>
        <v>65.007409626508434</v>
      </c>
      <c r="AA627" s="4"/>
      <c r="AB627" s="4">
        <f>$K$627*$V$627</f>
        <v>0</v>
      </c>
      <c r="AC627" s="4">
        <f>$M$627*$W$627</f>
        <v>18986.614020000001</v>
      </c>
      <c r="AD627" s="4">
        <f>$O$627*$X$627</f>
        <v>0</v>
      </c>
      <c r="AE627" s="4">
        <f>$K$627*$Y$627</f>
        <v>0</v>
      </c>
      <c r="AF627" s="4">
        <f ca="1">$M$627*$Z$627</f>
        <v>24073.933977346365</v>
      </c>
      <c r="AG627" s="4">
        <f>$O$627*$AA$627</f>
        <v>0</v>
      </c>
    </row>
    <row r="628" spans="1:33" ht="11.25" customHeight="1" x14ac:dyDescent="0.25">
      <c r="A628" s="3" t="s">
        <v>21</v>
      </c>
      <c r="B628" s="3" t="s">
        <v>41</v>
      </c>
      <c r="C628" s="3" t="s">
        <v>42</v>
      </c>
      <c r="D628" s="3" t="s">
        <v>43</v>
      </c>
      <c r="E628" s="3" t="s">
        <v>25</v>
      </c>
      <c r="F628" s="3" t="s">
        <v>25</v>
      </c>
      <c r="G628" s="3" t="s">
        <v>25</v>
      </c>
      <c r="H628" s="3" t="s">
        <v>35</v>
      </c>
      <c r="I628" s="6">
        <v>44562</v>
      </c>
      <c r="J628" s="4">
        <v>0</v>
      </c>
      <c r="K628" s="4">
        <v>0</v>
      </c>
      <c r="L628" s="4">
        <v>9469.4210000000003</v>
      </c>
      <c r="M628" s="4">
        <v>9469.4210000000003</v>
      </c>
      <c r="N628" s="4">
        <v>9469.4210000000003</v>
      </c>
      <c r="O628" s="4">
        <v>9469.4210000000003</v>
      </c>
      <c r="P628" s="4">
        <v>0</v>
      </c>
      <c r="Q628" s="3" t="s">
        <v>26</v>
      </c>
      <c r="R628" s="3">
        <v>0</v>
      </c>
      <c r="S628" s="4">
        <v>0</v>
      </c>
      <c r="T628" s="4">
        <v>21</v>
      </c>
      <c r="U628" s="4">
        <v>89</v>
      </c>
      <c r="V628" s="4">
        <f>IF(ISERROR(VLOOKUP($S$628,'TAR FIN'!$A$1:$O$113,15,0)),0,VLOOKUP($S$628,'TAR FIN'!$A$1:$O$113,15,0))</f>
        <v>0</v>
      </c>
      <c r="W628" s="4">
        <f>IF(ISERROR(VLOOKUP($T$628,'TAR FIN'!$A$1:$O$113,15,0)),0,VLOOKUP($T$628,'TAR FIN'!$A$1:$O$113,15,0))</f>
        <v>51.27</v>
      </c>
      <c r="X628" s="4">
        <f>IF(ISERROR(VLOOKUP($U$628,'TAR FIN'!$A$1:$O$113,15,0)),0,VLOOKUP($U$628,'TAR FIN'!$A$1:$O$113,15,0))</f>
        <v>222.31</v>
      </c>
      <c r="Y628" s="4"/>
      <c r="Z628" s="4">
        <f ca="1">('TUSD BE'!$AM$32+'TUSD BF'!$AM$32+'TUSD CVA'!$AM$32)*1</f>
        <v>65.007409626508434</v>
      </c>
      <c r="AA628" s="4">
        <f>('TE BE'!$AA$11+'TE BF'!$AA$11+'TE CVA'!$AA$11)*1</f>
        <v>223.14561812044704</v>
      </c>
      <c r="AB628" s="4">
        <f>$K$628*$V$628</f>
        <v>0</v>
      </c>
      <c r="AC628" s="4">
        <f>$M$628*$W$628</f>
        <v>485497.21467000002</v>
      </c>
      <c r="AD628" s="4">
        <f>$O$628*$X$628</f>
        <v>2105146.98251</v>
      </c>
      <c r="AE628" s="4">
        <f>$K$628*$Y$628</f>
        <v>0</v>
      </c>
      <c r="AF628" s="4">
        <f ca="1">$M$628*$Z$628</f>
        <v>615582.52987286111</v>
      </c>
      <c r="AG628" s="4">
        <f>$O$628*$AA$628</f>
        <v>2113059.8022877416</v>
      </c>
    </row>
    <row r="629" spans="1:33" ht="11.25" customHeight="1" x14ac:dyDescent="0.25">
      <c r="A629" s="3" t="s">
        <v>28</v>
      </c>
      <c r="B629" s="3" t="s">
        <v>41</v>
      </c>
      <c r="C629" s="3" t="s">
        <v>42</v>
      </c>
      <c r="D629" s="3" t="s">
        <v>43</v>
      </c>
      <c r="E629" s="3" t="s">
        <v>25</v>
      </c>
      <c r="F629" s="3" t="s">
        <v>25</v>
      </c>
      <c r="G629" s="3" t="s">
        <v>25</v>
      </c>
      <c r="H629" s="3" t="s">
        <v>35</v>
      </c>
      <c r="I629" s="6">
        <v>44562</v>
      </c>
      <c r="J629" s="4">
        <v>0</v>
      </c>
      <c r="K629" s="4">
        <v>0</v>
      </c>
      <c r="L629" s="4">
        <v>603.48699999999997</v>
      </c>
      <c r="M629" s="4">
        <v>603.48699999999997</v>
      </c>
      <c r="N629" s="4">
        <v>603.48699999999997</v>
      </c>
      <c r="O629" s="4">
        <v>603.48699999999997</v>
      </c>
      <c r="P629" s="4">
        <v>0</v>
      </c>
      <c r="Q629" s="3" t="s">
        <v>26</v>
      </c>
      <c r="R629" s="3">
        <v>0</v>
      </c>
      <c r="S629" s="4">
        <v>0</v>
      </c>
      <c r="T629" s="4">
        <v>21</v>
      </c>
      <c r="U629" s="4">
        <v>89</v>
      </c>
      <c r="V629" s="4">
        <f>IF(ISERROR(VLOOKUP($S$629,'TAR FIN'!$A$1:$O$113,15,0)),0,VLOOKUP($S$629,'TAR FIN'!$A$1:$O$113,15,0))</f>
        <v>0</v>
      </c>
      <c r="W629" s="4">
        <f>IF(ISERROR(VLOOKUP($T$629,'TAR FIN'!$A$1:$O$113,15,0)),0,VLOOKUP($T$629,'TAR FIN'!$A$1:$O$113,15,0))</f>
        <v>51.27</v>
      </c>
      <c r="X629" s="4">
        <f>IF(ISERROR(VLOOKUP($U$629,'TAR FIN'!$A$1:$O$113,15,0)),0,VLOOKUP($U$629,'TAR FIN'!$A$1:$O$113,15,0))</f>
        <v>222.31</v>
      </c>
      <c r="Y629" s="4"/>
      <c r="Z629" s="4">
        <f ca="1">('TUSD BE'!$AM$32+'TUSD BF'!$AM$32+'TUSD CVA'!$AM$32)*1</f>
        <v>65.007409626508434</v>
      </c>
      <c r="AA629" s="4">
        <f>('TE BE'!$AA$11+'TE BF'!$AA$11+'TE CVA'!$AA$11)*1</f>
        <v>223.14561812044704</v>
      </c>
      <c r="AB629" s="4">
        <f>$K$629*$V$629</f>
        <v>0</v>
      </c>
      <c r="AC629" s="4">
        <f>$M$629*$W$629</f>
        <v>30940.778490000001</v>
      </c>
      <c r="AD629" s="4">
        <f>$O$629*$X$629</f>
        <v>134161.19496999998</v>
      </c>
      <c r="AE629" s="4">
        <f>$K$629*$Y$629</f>
        <v>0</v>
      </c>
      <c r="AF629" s="4">
        <f ca="1">$M$629*$Z$629</f>
        <v>39231.126613272696</v>
      </c>
      <c r="AG629" s="4">
        <f>$O$629*$AA$629</f>
        <v>134665.47964265422</v>
      </c>
    </row>
    <row r="630" spans="1:33" ht="11.25" customHeight="1" x14ac:dyDescent="0.25">
      <c r="A630" s="3" t="s">
        <v>28</v>
      </c>
      <c r="B630" s="3" t="s">
        <v>41</v>
      </c>
      <c r="C630" s="3" t="s">
        <v>42</v>
      </c>
      <c r="D630" s="3" t="s">
        <v>43</v>
      </c>
      <c r="E630" s="3" t="s">
        <v>25</v>
      </c>
      <c r="F630" s="3" t="s">
        <v>25</v>
      </c>
      <c r="G630" s="3" t="s">
        <v>25</v>
      </c>
      <c r="H630" s="3" t="s">
        <v>35</v>
      </c>
      <c r="I630" s="6">
        <v>44562</v>
      </c>
      <c r="J630" s="4">
        <v>0</v>
      </c>
      <c r="K630" s="4">
        <v>0</v>
      </c>
      <c r="L630" s="4">
        <v>9.8339999999999996</v>
      </c>
      <c r="M630" s="4">
        <v>9.8339999999999996</v>
      </c>
      <c r="N630" s="4">
        <v>9.8339999999999996</v>
      </c>
      <c r="O630" s="4">
        <v>9.8339999999999996</v>
      </c>
      <c r="P630" s="4">
        <v>0</v>
      </c>
      <c r="Q630" s="3" t="s">
        <v>26</v>
      </c>
      <c r="R630" s="3">
        <v>0</v>
      </c>
      <c r="S630" s="4">
        <v>0</v>
      </c>
      <c r="T630" s="4">
        <v>21</v>
      </c>
      <c r="U630" s="4">
        <v>89</v>
      </c>
      <c r="V630" s="4">
        <f>IF(ISERROR(VLOOKUP($S$630,'TAR FIN'!$A$1:$O$113,15,0)),0,VLOOKUP($S$630,'TAR FIN'!$A$1:$O$113,15,0))</f>
        <v>0</v>
      </c>
      <c r="W630" s="4">
        <f>IF(ISERROR(VLOOKUP($T$630,'TAR FIN'!$A$1:$O$113,15,0)),0,VLOOKUP($T$630,'TAR FIN'!$A$1:$O$113,15,0))</f>
        <v>51.27</v>
      </c>
      <c r="X630" s="4">
        <f>IF(ISERROR(VLOOKUP($U$630,'TAR FIN'!$A$1:$O$113,15,0)),0,VLOOKUP($U$630,'TAR FIN'!$A$1:$O$113,15,0))</f>
        <v>222.31</v>
      </c>
      <c r="Y630" s="4"/>
      <c r="Z630" s="4">
        <f ca="1">('TUSD BE'!$AM$32+'TUSD BF'!$AM$32+'TUSD CVA'!$AM$32)*1</f>
        <v>65.007409626508434</v>
      </c>
      <c r="AA630" s="4">
        <f>('TE BE'!$AA$11+'TE BF'!$AA$11+'TE CVA'!$AA$11)*1</f>
        <v>223.14561812044704</v>
      </c>
      <c r="AB630" s="4">
        <f>$K$630*$V$630</f>
        <v>0</v>
      </c>
      <c r="AC630" s="4">
        <f>$M$630*$W$630</f>
        <v>504.18918000000002</v>
      </c>
      <c r="AD630" s="4">
        <f>$O$630*$X$630</f>
        <v>2186.1965399999999</v>
      </c>
      <c r="AE630" s="4">
        <f>$K$630*$Y$630</f>
        <v>0</v>
      </c>
      <c r="AF630" s="4">
        <f ca="1">$M$630*$Z$630</f>
        <v>639.28286626708393</v>
      </c>
      <c r="AG630" s="4">
        <f>$O$630*$AA$630</f>
        <v>2194.4140085964759</v>
      </c>
    </row>
    <row r="631" spans="1:33" ht="11.25" customHeight="1" x14ac:dyDescent="0.25">
      <c r="A631" s="3" t="s">
        <v>21</v>
      </c>
      <c r="B631" s="3" t="s">
        <v>41</v>
      </c>
      <c r="C631" s="3" t="s">
        <v>42</v>
      </c>
      <c r="D631" s="3" t="s">
        <v>43</v>
      </c>
      <c r="E631" s="3" t="s">
        <v>25</v>
      </c>
      <c r="F631" s="3" t="s">
        <v>25</v>
      </c>
      <c r="G631" s="3" t="s">
        <v>25</v>
      </c>
      <c r="H631" s="3" t="s">
        <v>35</v>
      </c>
      <c r="I631" s="6">
        <v>44562</v>
      </c>
      <c r="J631" s="4">
        <v>0</v>
      </c>
      <c r="K631" s="4">
        <v>0</v>
      </c>
      <c r="L631" s="4">
        <v>279.661</v>
      </c>
      <c r="M631" s="4">
        <v>279.661</v>
      </c>
      <c r="N631" s="4">
        <v>0</v>
      </c>
      <c r="O631" s="4">
        <v>0</v>
      </c>
      <c r="P631" s="4">
        <v>0</v>
      </c>
      <c r="Q631" s="3" t="s">
        <v>57</v>
      </c>
      <c r="R631" s="3">
        <v>0</v>
      </c>
      <c r="S631" s="4">
        <v>0</v>
      </c>
      <c r="T631" s="4">
        <v>21</v>
      </c>
      <c r="U631" s="4">
        <v>0</v>
      </c>
      <c r="V631" s="4">
        <f>IF(ISERROR(VLOOKUP($S$631,'TAR FIN'!$A$1:$O$113,15,0)),0,VLOOKUP($S$631,'TAR FIN'!$A$1:$O$113,15,0))</f>
        <v>0</v>
      </c>
      <c r="W631" s="4">
        <f>IF(ISERROR(VLOOKUP($T$631,'TAR FIN'!$A$1:$O$113,15,0)),0,VLOOKUP($T$631,'TAR FIN'!$A$1:$O$113,15,0))</f>
        <v>51.27</v>
      </c>
      <c r="X631" s="4">
        <f>IF(ISERROR(VLOOKUP($U$631,'TAR FIN'!$A$1:$O$113,15,0)),0,VLOOKUP($U$631,'TAR FIN'!$A$1:$O$113,15,0))</f>
        <v>0</v>
      </c>
      <c r="Y631" s="4"/>
      <c r="Z631" s="4">
        <f ca="1">('TUSD BE'!$AM$32+'TUSD BF'!$AM$32+'TUSD CVA'!$AM$32)*1</f>
        <v>65.007409626508434</v>
      </c>
      <c r="AA631" s="4"/>
      <c r="AB631" s="4">
        <f>$K$631*$V$631</f>
        <v>0</v>
      </c>
      <c r="AC631" s="4">
        <f>$M$631*$W$631</f>
        <v>14338.219470000002</v>
      </c>
      <c r="AD631" s="4">
        <f>$O$631*$X$631</f>
        <v>0</v>
      </c>
      <c r="AE631" s="4">
        <f>$K$631*$Y$631</f>
        <v>0</v>
      </c>
      <c r="AF631" s="4">
        <f ca="1">$M$631*$Z$631</f>
        <v>18180.037183558976</v>
      </c>
      <c r="AG631" s="4">
        <f>$O$631*$AA$631</f>
        <v>0</v>
      </c>
    </row>
    <row r="632" spans="1:33" ht="11.25" customHeight="1" x14ac:dyDescent="0.25">
      <c r="A632" s="3" t="s">
        <v>21</v>
      </c>
      <c r="B632" s="3" t="s">
        <v>41</v>
      </c>
      <c r="C632" s="3" t="s">
        <v>42</v>
      </c>
      <c r="D632" s="3" t="s">
        <v>43</v>
      </c>
      <c r="E632" s="3" t="s">
        <v>25</v>
      </c>
      <c r="F632" s="3" t="s">
        <v>25</v>
      </c>
      <c r="G632" s="3" t="s">
        <v>25</v>
      </c>
      <c r="H632" s="3" t="s">
        <v>35</v>
      </c>
      <c r="I632" s="6">
        <v>44593</v>
      </c>
      <c r="J632" s="4">
        <v>0</v>
      </c>
      <c r="K632" s="4">
        <v>0</v>
      </c>
      <c r="L632" s="4">
        <v>9099.2129999999997</v>
      </c>
      <c r="M632" s="4">
        <v>9099.2129999999997</v>
      </c>
      <c r="N632" s="4">
        <v>9099.2129999999997</v>
      </c>
      <c r="O632" s="4">
        <v>9099.2129999999997</v>
      </c>
      <c r="P632" s="4">
        <v>0</v>
      </c>
      <c r="Q632" s="3" t="s">
        <v>26</v>
      </c>
      <c r="R632" s="3">
        <v>0</v>
      </c>
      <c r="S632" s="4">
        <v>0</v>
      </c>
      <c r="T632" s="4">
        <v>21</v>
      </c>
      <c r="U632" s="4">
        <v>89</v>
      </c>
      <c r="V632" s="4">
        <f>IF(ISERROR(VLOOKUP($S$632,'TAR FIN'!$A$1:$O$113,15,0)),0,VLOOKUP($S$632,'TAR FIN'!$A$1:$O$113,15,0))</f>
        <v>0</v>
      </c>
      <c r="W632" s="4">
        <f>IF(ISERROR(VLOOKUP($T$632,'TAR FIN'!$A$1:$O$113,15,0)),0,VLOOKUP($T$632,'TAR FIN'!$A$1:$O$113,15,0))</f>
        <v>51.27</v>
      </c>
      <c r="X632" s="4">
        <f>IF(ISERROR(VLOOKUP($U$632,'TAR FIN'!$A$1:$O$113,15,0)),0,VLOOKUP($U$632,'TAR FIN'!$A$1:$O$113,15,0))</f>
        <v>222.31</v>
      </c>
      <c r="Y632" s="4"/>
      <c r="Z632" s="4">
        <f ca="1">('TUSD BE'!$AM$32+'TUSD BF'!$AM$32+'TUSD CVA'!$AM$32)*1</f>
        <v>65.007409626508434</v>
      </c>
      <c r="AA632" s="4">
        <f>('TE BE'!$AA$11+'TE BF'!$AA$11+'TE CVA'!$AA$11)*1</f>
        <v>223.14561812044704</v>
      </c>
      <c r="AB632" s="4">
        <f>$K$632*$V$632</f>
        <v>0</v>
      </c>
      <c r="AC632" s="4">
        <f>$M$632*$W$632</f>
        <v>466516.65051000001</v>
      </c>
      <c r="AD632" s="4">
        <f>$O$632*$X$632</f>
        <v>2022846.0420299999</v>
      </c>
      <c r="AE632" s="4">
        <f>$K$632*$Y$632</f>
        <v>0</v>
      </c>
      <c r="AF632" s="4">
        <f ca="1">$M$632*$Z$632</f>
        <v>591516.26676985063</v>
      </c>
      <c r="AG632" s="4">
        <f>$O$632*$AA$632</f>
        <v>2030449.5092946072</v>
      </c>
    </row>
    <row r="633" spans="1:33" ht="11.25" customHeight="1" x14ac:dyDescent="0.25">
      <c r="A633" s="3" t="s">
        <v>27</v>
      </c>
      <c r="B633" s="3" t="s">
        <v>41</v>
      </c>
      <c r="C633" s="3" t="s">
        <v>42</v>
      </c>
      <c r="D633" s="3" t="s">
        <v>43</v>
      </c>
      <c r="E633" s="3" t="s">
        <v>25</v>
      </c>
      <c r="F633" s="3" t="s">
        <v>25</v>
      </c>
      <c r="G633" s="3" t="s">
        <v>25</v>
      </c>
      <c r="H633" s="3" t="s">
        <v>35</v>
      </c>
      <c r="I633" s="6">
        <v>44593</v>
      </c>
      <c r="J633" s="4">
        <v>0</v>
      </c>
      <c r="K633" s="4">
        <v>0</v>
      </c>
      <c r="L633" s="4">
        <v>-35.911000000000001</v>
      </c>
      <c r="M633" s="4">
        <v>-35.911000000000001</v>
      </c>
      <c r="N633" s="4">
        <v>-35.911000000000001</v>
      </c>
      <c r="O633" s="4">
        <v>-35.911000000000001</v>
      </c>
      <c r="P633" s="4">
        <v>0</v>
      </c>
      <c r="Q633" s="3" t="s">
        <v>26</v>
      </c>
      <c r="R633" s="3">
        <v>0</v>
      </c>
      <c r="S633" s="4">
        <v>0</v>
      </c>
      <c r="T633" s="4">
        <v>21</v>
      </c>
      <c r="U633" s="4">
        <v>89</v>
      </c>
      <c r="V633" s="4">
        <f>IF(ISERROR(VLOOKUP($S$633,'TAR FIN'!$A$1:$O$113,15,0)),0,VLOOKUP($S$633,'TAR FIN'!$A$1:$O$113,15,0))</f>
        <v>0</v>
      </c>
      <c r="W633" s="4">
        <f>IF(ISERROR(VLOOKUP($T$633,'TAR FIN'!$A$1:$O$113,15,0)),0,VLOOKUP($T$633,'TAR FIN'!$A$1:$O$113,15,0))</f>
        <v>51.27</v>
      </c>
      <c r="X633" s="4">
        <f>IF(ISERROR(VLOOKUP($U$633,'TAR FIN'!$A$1:$O$113,15,0)),0,VLOOKUP($U$633,'TAR FIN'!$A$1:$O$113,15,0))</f>
        <v>222.31</v>
      </c>
      <c r="Y633" s="4"/>
      <c r="Z633" s="4">
        <f ca="1">('TUSD BE'!$AM$32+'TUSD BF'!$AM$32+'TUSD CVA'!$AM$32)*1</f>
        <v>65.007409626508434</v>
      </c>
      <c r="AA633" s="4">
        <f>('TE BE'!$AA$11+'TE BF'!$AA$11+'TE CVA'!$AA$11)*1</f>
        <v>223.14561812044704</v>
      </c>
      <c r="AB633" s="4">
        <f>$K$633*$V$633</f>
        <v>0</v>
      </c>
      <c r="AC633" s="4">
        <f>$M$633*$W$633</f>
        <v>-1841.1569700000002</v>
      </c>
      <c r="AD633" s="4">
        <f>$O$633*$X$633</f>
        <v>-7983.3744100000004</v>
      </c>
      <c r="AE633" s="4">
        <f>$K$633*$Y$633</f>
        <v>0</v>
      </c>
      <c r="AF633" s="4">
        <f ca="1">$M$633*$Z$633</f>
        <v>-2334.4810870975443</v>
      </c>
      <c r="AG633" s="4">
        <f>$O$633*$AA$633</f>
        <v>-8013.3822923233738</v>
      </c>
    </row>
    <row r="634" spans="1:33" ht="11.25" customHeight="1" x14ac:dyDescent="0.25">
      <c r="A634" s="3" t="s">
        <v>28</v>
      </c>
      <c r="B634" s="3" t="s">
        <v>41</v>
      </c>
      <c r="C634" s="3" t="s">
        <v>42</v>
      </c>
      <c r="D634" s="3" t="s">
        <v>43</v>
      </c>
      <c r="E634" s="3" t="s">
        <v>25</v>
      </c>
      <c r="F634" s="3" t="s">
        <v>25</v>
      </c>
      <c r="G634" s="3" t="s">
        <v>25</v>
      </c>
      <c r="H634" s="3" t="s">
        <v>35</v>
      </c>
      <c r="I634" s="6">
        <v>44593</v>
      </c>
      <c r="J634" s="4">
        <v>0</v>
      </c>
      <c r="K634" s="4">
        <v>0</v>
      </c>
      <c r="L634" s="4">
        <v>528.70500000000004</v>
      </c>
      <c r="M634" s="4">
        <v>528.70500000000004</v>
      </c>
      <c r="N634" s="4">
        <v>528.70500000000004</v>
      </c>
      <c r="O634" s="4">
        <v>528.70500000000004</v>
      </c>
      <c r="P634" s="4">
        <v>0</v>
      </c>
      <c r="Q634" s="3" t="s">
        <v>26</v>
      </c>
      <c r="R634" s="3">
        <v>0</v>
      </c>
      <c r="S634" s="4">
        <v>0</v>
      </c>
      <c r="T634" s="4">
        <v>21</v>
      </c>
      <c r="U634" s="4">
        <v>89</v>
      </c>
      <c r="V634" s="4">
        <f>IF(ISERROR(VLOOKUP($S$634,'TAR FIN'!$A$1:$O$113,15,0)),0,VLOOKUP($S$634,'TAR FIN'!$A$1:$O$113,15,0))</f>
        <v>0</v>
      </c>
      <c r="W634" s="4">
        <f>IF(ISERROR(VLOOKUP($T$634,'TAR FIN'!$A$1:$O$113,15,0)),0,VLOOKUP($T$634,'TAR FIN'!$A$1:$O$113,15,0))</f>
        <v>51.27</v>
      </c>
      <c r="X634" s="4">
        <f>IF(ISERROR(VLOOKUP($U$634,'TAR FIN'!$A$1:$O$113,15,0)),0,VLOOKUP($U$634,'TAR FIN'!$A$1:$O$113,15,0))</f>
        <v>222.31</v>
      </c>
      <c r="Y634" s="4"/>
      <c r="Z634" s="4">
        <f ca="1">('TUSD BE'!$AM$32+'TUSD BF'!$AM$32+'TUSD CVA'!$AM$32)*1</f>
        <v>65.007409626508434</v>
      </c>
      <c r="AA634" s="4">
        <f>('TE BE'!$AA$11+'TE BF'!$AA$11+'TE CVA'!$AA$11)*1</f>
        <v>223.14561812044704</v>
      </c>
      <c r="AB634" s="4">
        <f>$K$634*$V$634</f>
        <v>0</v>
      </c>
      <c r="AC634" s="4">
        <f>$M$634*$W$634</f>
        <v>27106.705350000004</v>
      </c>
      <c r="AD634" s="4">
        <f>$O$634*$X$634</f>
        <v>117536.40855000001</v>
      </c>
      <c r="AE634" s="4">
        <f>$K$634*$Y$634</f>
        <v>0</v>
      </c>
      <c r="AF634" s="4">
        <f ca="1">$M$634*$Z$634</f>
        <v>34369.742506583141</v>
      </c>
      <c r="AG634" s="4">
        <f>$O$634*$AA$634</f>
        <v>117978.20402837096</v>
      </c>
    </row>
    <row r="635" spans="1:33" ht="11.25" customHeight="1" x14ac:dyDescent="0.25">
      <c r="A635" s="3" t="s">
        <v>28</v>
      </c>
      <c r="B635" s="3" t="s">
        <v>41</v>
      </c>
      <c r="C635" s="3" t="s">
        <v>42</v>
      </c>
      <c r="D635" s="3" t="s">
        <v>43</v>
      </c>
      <c r="E635" s="3" t="s">
        <v>25</v>
      </c>
      <c r="F635" s="3" t="s">
        <v>25</v>
      </c>
      <c r="G635" s="3" t="s">
        <v>25</v>
      </c>
      <c r="H635" s="3" t="s">
        <v>35</v>
      </c>
      <c r="I635" s="6">
        <v>44593</v>
      </c>
      <c r="J635" s="4">
        <v>0</v>
      </c>
      <c r="K635" s="4">
        <v>0</v>
      </c>
      <c r="L635" s="4">
        <v>8.6560000000000006</v>
      </c>
      <c r="M635" s="4">
        <v>8.6560000000000006</v>
      </c>
      <c r="N635" s="4">
        <v>8.6560000000000006</v>
      </c>
      <c r="O635" s="4">
        <v>8.6560000000000006</v>
      </c>
      <c r="P635" s="4">
        <v>0</v>
      </c>
      <c r="Q635" s="3" t="s">
        <v>26</v>
      </c>
      <c r="R635" s="3">
        <v>0</v>
      </c>
      <c r="S635" s="4">
        <v>0</v>
      </c>
      <c r="T635" s="4">
        <v>21</v>
      </c>
      <c r="U635" s="4">
        <v>89</v>
      </c>
      <c r="V635" s="4">
        <f>IF(ISERROR(VLOOKUP($S$635,'TAR FIN'!$A$1:$O$113,15,0)),0,VLOOKUP($S$635,'TAR FIN'!$A$1:$O$113,15,0))</f>
        <v>0</v>
      </c>
      <c r="W635" s="4">
        <f>IF(ISERROR(VLOOKUP($T$635,'TAR FIN'!$A$1:$O$113,15,0)),0,VLOOKUP($T$635,'TAR FIN'!$A$1:$O$113,15,0))</f>
        <v>51.27</v>
      </c>
      <c r="X635" s="4">
        <f>IF(ISERROR(VLOOKUP($U$635,'TAR FIN'!$A$1:$O$113,15,0)),0,VLOOKUP($U$635,'TAR FIN'!$A$1:$O$113,15,0))</f>
        <v>222.31</v>
      </c>
      <c r="Y635" s="4"/>
      <c r="Z635" s="4">
        <f ca="1">('TUSD BE'!$AM$32+'TUSD BF'!$AM$32+'TUSD CVA'!$AM$32)*1</f>
        <v>65.007409626508434</v>
      </c>
      <c r="AA635" s="4">
        <f>('TE BE'!$AA$11+'TE BF'!$AA$11+'TE CVA'!$AA$11)*1</f>
        <v>223.14561812044704</v>
      </c>
      <c r="AB635" s="4">
        <f>$K$635*$V$635</f>
        <v>0</v>
      </c>
      <c r="AC635" s="4">
        <f>$M$635*$W$635</f>
        <v>443.79312000000004</v>
      </c>
      <c r="AD635" s="4">
        <f>$O$635*$X$635</f>
        <v>1924.3153600000001</v>
      </c>
      <c r="AE635" s="4">
        <f>$K$635*$Y$635</f>
        <v>0</v>
      </c>
      <c r="AF635" s="4">
        <f ca="1">$M$635*$Z$635</f>
        <v>562.70413772705706</v>
      </c>
      <c r="AG635" s="4">
        <f>$O$635*$AA$635</f>
        <v>1931.5484704505898</v>
      </c>
    </row>
    <row r="636" spans="1:33" ht="11.25" customHeight="1" x14ac:dyDescent="0.25">
      <c r="A636" s="3" t="s">
        <v>21</v>
      </c>
      <c r="B636" s="3" t="s">
        <v>41</v>
      </c>
      <c r="C636" s="3" t="s">
        <v>42</v>
      </c>
      <c r="D636" s="3" t="s">
        <v>43</v>
      </c>
      <c r="E636" s="3" t="s">
        <v>25</v>
      </c>
      <c r="F636" s="3" t="s">
        <v>25</v>
      </c>
      <c r="G636" s="3" t="s">
        <v>25</v>
      </c>
      <c r="H636" s="3" t="s">
        <v>35</v>
      </c>
      <c r="I636" s="6">
        <v>44593</v>
      </c>
      <c r="J636" s="4">
        <v>0</v>
      </c>
      <c r="K636" s="4">
        <v>0</v>
      </c>
      <c r="L636" s="4">
        <v>296.55700000000002</v>
      </c>
      <c r="M636" s="4">
        <v>296.55700000000002</v>
      </c>
      <c r="N636" s="4">
        <v>0</v>
      </c>
      <c r="O636" s="4">
        <v>0</v>
      </c>
      <c r="P636" s="4">
        <v>0</v>
      </c>
      <c r="Q636" s="3" t="s">
        <v>57</v>
      </c>
      <c r="R636" s="3">
        <v>0</v>
      </c>
      <c r="S636" s="4">
        <v>0</v>
      </c>
      <c r="T636" s="4">
        <v>21</v>
      </c>
      <c r="U636" s="4">
        <v>0</v>
      </c>
      <c r="V636" s="4">
        <f>IF(ISERROR(VLOOKUP($S$636,'TAR FIN'!$A$1:$O$113,15,0)),0,VLOOKUP($S$636,'TAR FIN'!$A$1:$O$113,15,0))</f>
        <v>0</v>
      </c>
      <c r="W636" s="4">
        <f>IF(ISERROR(VLOOKUP($T$636,'TAR FIN'!$A$1:$O$113,15,0)),0,VLOOKUP($T$636,'TAR FIN'!$A$1:$O$113,15,0))</f>
        <v>51.27</v>
      </c>
      <c r="X636" s="4">
        <f>IF(ISERROR(VLOOKUP($U$636,'TAR FIN'!$A$1:$O$113,15,0)),0,VLOOKUP($U$636,'TAR FIN'!$A$1:$O$113,15,0))</f>
        <v>0</v>
      </c>
      <c r="Y636" s="4"/>
      <c r="Z636" s="4">
        <f ca="1">('TUSD BE'!$AM$32+'TUSD BF'!$AM$32+'TUSD CVA'!$AM$32)*1</f>
        <v>65.007409626508434</v>
      </c>
      <c r="AA636" s="4"/>
      <c r="AB636" s="4">
        <f>$K$636*$V$636</f>
        <v>0</v>
      </c>
      <c r="AC636" s="4">
        <f>$M$636*$W$636</f>
        <v>15204.477390000002</v>
      </c>
      <c r="AD636" s="4">
        <f>$O$636*$X$636</f>
        <v>0</v>
      </c>
      <c r="AE636" s="4">
        <f>$K$636*$Y$636</f>
        <v>0</v>
      </c>
      <c r="AF636" s="4">
        <f ca="1">$M$636*$Z$636</f>
        <v>19278.402376608461</v>
      </c>
      <c r="AG636" s="4">
        <f>$O$636*$AA$636</f>
        <v>0</v>
      </c>
    </row>
    <row r="637" spans="1:33" ht="11.25" customHeight="1" x14ac:dyDescent="0.25">
      <c r="A637" s="3" t="s">
        <v>27</v>
      </c>
      <c r="B637" s="3" t="s">
        <v>41</v>
      </c>
      <c r="C637" s="3" t="s">
        <v>42</v>
      </c>
      <c r="D637" s="3" t="s">
        <v>43</v>
      </c>
      <c r="E637" s="3" t="s">
        <v>25</v>
      </c>
      <c r="F637" s="3" t="s">
        <v>25</v>
      </c>
      <c r="G637" s="3" t="s">
        <v>25</v>
      </c>
      <c r="H637" s="3" t="s">
        <v>35</v>
      </c>
      <c r="I637" s="6">
        <v>44593</v>
      </c>
      <c r="J637" s="4">
        <v>0</v>
      </c>
      <c r="K637" s="4">
        <v>0</v>
      </c>
      <c r="L637" s="4">
        <v>4.5599999999999996</v>
      </c>
      <c r="M637" s="4">
        <v>4.5599999999999996</v>
      </c>
      <c r="N637" s="4">
        <v>0</v>
      </c>
      <c r="O637" s="4">
        <v>0</v>
      </c>
      <c r="P637" s="4">
        <v>0</v>
      </c>
      <c r="Q637" s="3" t="s">
        <v>57</v>
      </c>
      <c r="R637" s="3">
        <v>0</v>
      </c>
      <c r="S637" s="4">
        <v>0</v>
      </c>
      <c r="T637" s="4">
        <v>21</v>
      </c>
      <c r="U637" s="4">
        <v>0</v>
      </c>
      <c r="V637" s="4">
        <f>IF(ISERROR(VLOOKUP($S$637,'TAR FIN'!$A$1:$O$113,15,0)),0,VLOOKUP($S$637,'TAR FIN'!$A$1:$O$113,15,0))</f>
        <v>0</v>
      </c>
      <c r="W637" s="4">
        <f>IF(ISERROR(VLOOKUP($T$637,'TAR FIN'!$A$1:$O$113,15,0)),0,VLOOKUP($T$637,'TAR FIN'!$A$1:$O$113,15,0))</f>
        <v>51.27</v>
      </c>
      <c r="X637" s="4">
        <f>IF(ISERROR(VLOOKUP($U$637,'TAR FIN'!$A$1:$O$113,15,0)),0,VLOOKUP($U$637,'TAR FIN'!$A$1:$O$113,15,0))</f>
        <v>0</v>
      </c>
      <c r="Y637" s="4"/>
      <c r="Z637" s="4">
        <f ca="1">('TUSD BE'!$AM$32+'TUSD BF'!$AM$32+'TUSD CVA'!$AM$32)*1</f>
        <v>65.007409626508434</v>
      </c>
      <c r="AA637" s="4"/>
      <c r="AB637" s="4">
        <f>$K$637*$V$637</f>
        <v>0</v>
      </c>
      <c r="AC637" s="4">
        <f>$M$637*$W$637</f>
        <v>233.7912</v>
      </c>
      <c r="AD637" s="4">
        <f>$O$637*$X$637</f>
        <v>0</v>
      </c>
      <c r="AE637" s="4">
        <f>$K$637*$Y$637</f>
        <v>0</v>
      </c>
      <c r="AF637" s="4">
        <f ca="1">$M$637*$Z$637</f>
        <v>296.43378789687841</v>
      </c>
      <c r="AG637" s="4">
        <f>$O$637*$AA$637</f>
        <v>0</v>
      </c>
    </row>
    <row r="638" spans="1:33" ht="11.25" customHeight="1" x14ac:dyDescent="0.25">
      <c r="A638" s="3" t="s">
        <v>56</v>
      </c>
      <c r="B638" s="3" t="s">
        <v>41</v>
      </c>
      <c r="C638" s="3" t="s">
        <v>42</v>
      </c>
      <c r="D638" s="3" t="s">
        <v>43</v>
      </c>
      <c r="E638" s="3" t="s">
        <v>25</v>
      </c>
      <c r="F638" s="3" t="s">
        <v>25</v>
      </c>
      <c r="G638" s="3" t="s">
        <v>25</v>
      </c>
      <c r="H638" s="3" t="s">
        <v>35</v>
      </c>
      <c r="I638" s="6">
        <v>44621</v>
      </c>
      <c r="J638" s="4">
        <v>0</v>
      </c>
      <c r="K638" s="4">
        <v>0</v>
      </c>
      <c r="L638" s="4">
        <v>9099.2129999999997</v>
      </c>
      <c r="M638" s="4">
        <v>9099.2129999999997</v>
      </c>
      <c r="N638" s="4">
        <v>9099.2129999999997</v>
      </c>
      <c r="O638" s="4">
        <v>9099.2129999999997</v>
      </c>
      <c r="P638" s="4">
        <v>0</v>
      </c>
      <c r="Q638" s="3" t="s">
        <v>26</v>
      </c>
      <c r="R638" s="3">
        <v>0</v>
      </c>
      <c r="S638" s="4">
        <v>0</v>
      </c>
      <c r="T638" s="4">
        <v>21</v>
      </c>
      <c r="U638" s="4">
        <v>89</v>
      </c>
      <c r="V638" s="4">
        <f>IF(ISERROR(VLOOKUP($S$638,'TAR FIN'!$A$1:$O$113,15,0)),0,VLOOKUP($S$638,'TAR FIN'!$A$1:$O$113,15,0))</f>
        <v>0</v>
      </c>
      <c r="W638" s="4">
        <f>IF(ISERROR(VLOOKUP($T$638,'TAR FIN'!$A$1:$O$113,15,0)),0,VLOOKUP($T$638,'TAR FIN'!$A$1:$O$113,15,0))</f>
        <v>51.27</v>
      </c>
      <c r="X638" s="4">
        <f>IF(ISERROR(VLOOKUP($U$638,'TAR FIN'!$A$1:$O$113,15,0)),0,VLOOKUP($U$638,'TAR FIN'!$A$1:$O$113,15,0))</f>
        <v>222.31</v>
      </c>
      <c r="Y638" s="4"/>
      <c r="Z638" s="4">
        <f ca="1">('TUSD BE'!$AM$32+'TUSD BF'!$AM$32+'TUSD CVA'!$AM$32)*1</f>
        <v>65.007409626508434</v>
      </c>
      <c r="AA638" s="4">
        <f>('TE BE'!$AA$11+'TE BF'!$AA$11+'TE CVA'!$AA$11)*1</f>
        <v>223.14561812044704</v>
      </c>
      <c r="AB638" s="4">
        <f>$K$638*$V$638</f>
        <v>0</v>
      </c>
      <c r="AC638" s="4">
        <f>$M$638*$W$638</f>
        <v>466516.65051000001</v>
      </c>
      <c r="AD638" s="4">
        <f>$O$638*$X$638</f>
        <v>2022846.0420299999</v>
      </c>
      <c r="AE638" s="4">
        <f>$K$638*$Y$638</f>
        <v>0</v>
      </c>
      <c r="AF638" s="4">
        <f ca="1">$M$638*$Z$638</f>
        <v>591516.26676985063</v>
      </c>
      <c r="AG638" s="4">
        <f>$O$638*$AA$638</f>
        <v>2030449.5092946072</v>
      </c>
    </row>
    <row r="639" spans="1:33" ht="11.25" customHeight="1" x14ac:dyDescent="0.25">
      <c r="A639" s="3" t="s">
        <v>56</v>
      </c>
      <c r="B639" s="3" t="s">
        <v>41</v>
      </c>
      <c r="C639" s="3" t="s">
        <v>42</v>
      </c>
      <c r="D639" s="3" t="s">
        <v>43</v>
      </c>
      <c r="E639" s="3" t="s">
        <v>25</v>
      </c>
      <c r="F639" s="3" t="s">
        <v>25</v>
      </c>
      <c r="G639" s="3" t="s">
        <v>25</v>
      </c>
      <c r="H639" s="3" t="s">
        <v>35</v>
      </c>
      <c r="I639" s="6">
        <v>44621</v>
      </c>
      <c r="J639" s="4">
        <v>0</v>
      </c>
      <c r="K639" s="4">
        <v>0</v>
      </c>
      <c r="L639" s="4">
        <v>-35.911000000000001</v>
      </c>
      <c r="M639" s="4">
        <v>-35.911000000000001</v>
      </c>
      <c r="N639" s="4">
        <v>-35.911000000000001</v>
      </c>
      <c r="O639" s="4">
        <v>-35.911000000000001</v>
      </c>
      <c r="P639" s="4">
        <v>0</v>
      </c>
      <c r="Q639" s="3" t="s">
        <v>26</v>
      </c>
      <c r="R639" s="3">
        <v>0</v>
      </c>
      <c r="S639" s="4">
        <v>0</v>
      </c>
      <c r="T639" s="4">
        <v>21</v>
      </c>
      <c r="U639" s="4">
        <v>89</v>
      </c>
      <c r="V639" s="4">
        <f>IF(ISERROR(VLOOKUP($S$639,'TAR FIN'!$A$1:$O$113,15,0)),0,VLOOKUP($S$639,'TAR FIN'!$A$1:$O$113,15,0))</f>
        <v>0</v>
      </c>
      <c r="W639" s="4">
        <f>IF(ISERROR(VLOOKUP($T$639,'TAR FIN'!$A$1:$O$113,15,0)),0,VLOOKUP($T$639,'TAR FIN'!$A$1:$O$113,15,0))</f>
        <v>51.27</v>
      </c>
      <c r="X639" s="4">
        <f>IF(ISERROR(VLOOKUP($U$639,'TAR FIN'!$A$1:$O$113,15,0)),0,VLOOKUP($U$639,'TAR FIN'!$A$1:$O$113,15,0))</f>
        <v>222.31</v>
      </c>
      <c r="Y639" s="4"/>
      <c r="Z639" s="4">
        <f ca="1">('TUSD BE'!$AM$32+'TUSD BF'!$AM$32+'TUSD CVA'!$AM$32)*1</f>
        <v>65.007409626508434</v>
      </c>
      <c r="AA639" s="4">
        <f>('TE BE'!$AA$11+'TE BF'!$AA$11+'TE CVA'!$AA$11)*1</f>
        <v>223.14561812044704</v>
      </c>
      <c r="AB639" s="4">
        <f>$K$639*$V$639</f>
        <v>0</v>
      </c>
      <c r="AC639" s="4">
        <f>$M$639*$W$639</f>
        <v>-1841.1569700000002</v>
      </c>
      <c r="AD639" s="4">
        <f>$O$639*$X$639</f>
        <v>-7983.3744100000004</v>
      </c>
      <c r="AE639" s="4">
        <f>$K$639*$Y$639</f>
        <v>0</v>
      </c>
      <c r="AF639" s="4">
        <f ca="1">$M$639*$Z$639</f>
        <v>-2334.4810870975443</v>
      </c>
      <c r="AG639" s="4">
        <f>$O$639*$AA$639</f>
        <v>-8013.3822923233738</v>
      </c>
    </row>
    <row r="640" spans="1:33" ht="11.25" customHeight="1" x14ac:dyDescent="0.25">
      <c r="A640" s="3" t="s">
        <v>56</v>
      </c>
      <c r="B640" s="3" t="s">
        <v>41</v>
      </c>
      <c r="C640" s="3" t="s">
        <v>42</v>
      </c>
      <c r="D640" s="3" t="s">
        <v>43</v>
      </c>
      <c r="E640" s="3" t="s">
        <v>25</v>
      </c>
      <c r="F640" s="3" t="s">
        <v>25</v>
      </c>
      <c r="G640" s="3" t="s">
        <v>25</v>
      </c>
      <c r="H640" s="3" t="s">
        <v>35</v>
      </c>
      <c r="I640" s="6">
        <v>44621</v>
      </c>
      <c r="J640" s="4">
        <v>0</v>
      </c>
      <c r="K640" s="4">
        <v>0</v>
      </c>
      <c r="L640" s="4">
        <v>528.70500000000004</v>
      </c>
      <c r="M640" s="4">
        <v>528.70500000000004</v>
      </c>
      <c r="N640" s="4">
        <v>528.70500000000004</v>
      </c>
      <c r="O640" s="4">
        <v>528.70500000000004</v>
      </c>
      <c r="P640" s="4">
        <v>0</v>
      </c>
      <c r="Q640" s="3" t="s">
        <v>26</v>
      </c>
      <c r="R640" s="3">
        <v>0</v>
      </c>
      <c r="S640" s="4">
        <v>0</v>
      </c>
      <c r="T640" s="4">
        <v>21</v>
      </c>
      <c r="U640" s="4">
        <v>89</v>
      </c>
      <c r="V640" s="4">
        <f>IF(ISERROR(VLOOKUP($S$640,'TAR FIN'!$A$1:$O$113,15,0)),0,VLOOKUP($S$640,'TAR FIN'!$A$1:$O$113,15,0))</f>
        <v>0</v>
      </c>
      <c r="W640" s="4">
        <f>IF(ISERROR(VLOOKUP($T$640,'TAR FIN'!$A$1:$O$113,15,0)),0,VLOOKUP($T$640,'TAR FIN'!$A$1:$O$113,15,0))</f>
        <v>51.27</v>
      </c>
      <c r="X640" s="4">
        <f>IF(ISERROR(VLOOKUP($U$640,'TAR FIN'!$A$1:$O$113,15,0)),0,VLOOKUP($U$640,'TAR FIN'!$A$1:$O$113,15,0))</f>
        <v>222.31</v>
      </c>
      <c r="Y640" s="4"/>
      <c r="Z640" s="4">
        <f ca="1">('TUSD BE'!$AM$32+'TUSD BF'!$AM$32+'TUSD CVA'!$AM$32)*1</f>
        <v>65.007409626508434</v>
      </c>
      <c r="AA640" s="4">
        <f>('TE BE'!$AA$11+'TE BF'!$AA$11+'TE CVA'!$AA$11)*1</f>
        <v>223.14561812044704</v>
      </c>
      <c r="AB640" s="4">
        <f>$K$640*$V$640</f>
        <v>0</v>
      </c>
      <c r="AC640" s="4">
        <f>$M$640*$W$640</f>
        <v>27106.705350000004</v>
      </c>
      <c r="AD640" s="4">
        <f>$O$640*$X$640</f>
        <v>117536.40855000001</v>
      </c>
      <c r="AE640" s="4">
        <f>$K$640*$Y$640</f>
        <v>0</v>
      </c>
      <c r="AF640" s="4">
        <f ca="1">$M$640*$Z$640</f>
        <v>34369.742506583141</v>
      </c>
      <c r="AG640" s="4">
        <f>$O$640*$AA$640</f>
        <v>117978.20402837096</v>
      </c>
    </row>
    <row r="641" spans="1:33" ht="11.25" customHeight="1" x14ac:dyDescent="0.25">
      <c r="A641" s="3" t="s">
        <v>56</v>
      </c>
      <c r="B641" s="3" t="s">
        <v>41</v>
      </c>
      <c r="C641" s="3" t="s">
        <v>42</v>
      </c>
      <c r="D641" s="3" t="s">
        <v>43</v>
      </c>
      <c r="E641" s="3" t="s">
        <v>25</v>
      </c>
      <c r="F641" s="3" t="s">
        <v>25</v>
      </c>
      <c r="G641" s="3" t="s">
        <v>25</v>
      </c>
      <c r="H641" s="3" t="s">
        <v>35</v>
      </c>
      <c r="I641" s="6">
        <v>44621</v>
      </c>
      <c r="J641" s="4">
        <v>0</v>
      </c>
      <c r="K641" s="4">
        <v>0</v>
      </c>
      <c r="L641" s="4">
        <v>8.6560000000000006</v>
      </c>
      <c r="M641" s="4">
        <v>8.6560000000000006</v>
      </c>
      <c r="N641" s="4">
        <v>8.6560000000000006</v>
      </c>
      <c r="O641" s="4">
        <v>8.6560000000000006</v>
      </c>
      <c r="P641" s="4">
        <v>0</v>
      </c>
      <c r="Q641" s="3" t="s">
        <v>26</v>
      </c>
      <c r="R641" s="3">
        <v>0</v>
      </c>
      <c r="S641" s="4">
        <v>0</v>
      </c>
      <c r="T641" s="4">
        <v>21</v>
      </c>
      <c r="U641" s="4">
        <v>89</v>
      </c>
      <c r="V641" s="4">
        <f>IF(ISERROR(VLOOKUP($S$641,'TAR FIN'!$A$1:$O$113,15,0)),0,VLOOKUP($S$641,'TAR FIN'!$A$1:$O$113,15,0))</f>
        <v>0</v>
      </c>
      <c r="W641" s="4">
        <f>IF(ISERROR(VLOOKUP($T$641,'TAR FIN'!$A$1:$O$113,15,0)),0,VLOOKUP($T$641,'TAR FIN'!$A$1:$O$113,15,0))</f>
        <v>51.27</v>
      </c>
      <c r="X641" s="4">
        <f>IF(ISERROR(VLOOKUP($U$641,'TAR FIN'!$A$1:$O$113,15,0)),0,VLOOKUP($U$641,'TAR FIN'!$A$1:$O$113,15,0))</f>
        <v>222.31</v>
      </c>
      <c r="Y641" s="4"/>
      <c r="Z641" s="4">
        <f ca="1">('TUSD BE'!$AM$32+'TUSD BF'!$AM$32+'TUSD CVA'!$AM$32)*1</f>
        <v>65.007409626508434</v>
      </c>
      <c r="AA641" s="4">
        <f>('TE BE'!$AA$11+'TE BF'!$AA$11+'TE CVA'!$AA$11)*1</f>
        <v>223.14561812044704</v>
      </c>
      <c r="AB641" s="4">
        <f>$K$641*$V$641</f>
        <v>0</v>
      </c>
      <c r="AC641" s="4">
        <f>$M$641*$W$641</f>
        <v>443.79312000000004</v>
      </c>
      <c r="AD641" s="4">
        <f>$O$641*$X$641</f>
        <v>1924.3153600000001</v>
      </c>
      <c r="AE641" s="4">
        <f>$K$641*$Y$641</f>
        <v>0</v>
      </c>
      <c r="AF641" s="4">
        <f ca="1">$M$641*$Z$641</f>
        <v>562.70413772705706</v>
      </c>
      <c r="AG641" s="4">
        <f>$O$641*$AA$641</f>
        <v>1931.5484704505898</v>
      </c>
    </row>
    <row r="642" spans="1:33" ht="11.25" customHeight="1" x14ac:dyDescent="0.25">
      <c r="A642" s="3" t="s">
        <v>56</v>
      </c>
      <c r="B642" s="3" t="s">
        <v>41</v>
      </c>
      <c r="C642" s="3" t="s">
        <v>42</v>
      </c>
      <c r="D642" s="3" t="s">
        <v>43</v>
      </c>
      <c r="E642" s="3" t="s">
        <v>25</v>
      </c>
      <c r="F642" s="3" t="s">
        <v>25</v>
      </c>
      <c r="G642" s="3" t="s">
        <v>25</v>
      </c>
      <c r="H642" s="3" t="s">
        <v>35</v>
      </c>
      <c r="I642" s="6">
        <v>44621</v>
      </c>
      <c r="J642" s="4">
        <v>0</v>
      </c>
      <c r="K642" s="4">
        <v>0</v>
      </c>
      <c r="L642" s="4">
        <v>296.55700000000002</v>
      </c>
      <c r="M642" s="4">
        <v>296.55700000000002</v>
      </c>
      <c r="N642" s="4">
        <v>0</v>
      </c>
      <c r="O642" s="4">
        <v>0</v>
      </c>
      <c r="P642" s="4">
        <v>0</v>
      </c>
      <c r="Q642" s="3" t="s">
        <v>57</v>
      </c>
      <c r="R642" s="3">
        <v>0</v>
      </c>
      <c r="S642" s="4">
        <v>0</v>
      </c>
      <c r="T642" s="4">
        <v>21</v>
      </c>
      <c r="U642" s="4">
        <v>0</v>
      </c>
      <c r="V642" s="4">
        <f>IF(ISERROR(VLOOKUP($S$642,'TAR FIN'!$A$1:$O$113,15,0)),0,VLOOKUP($S$642,'TAR FIN'!$A$1:$O$113,15,0))</f>
        <v>0</v>
      </c>
      <c r="W642" s="4">
        <f>IF(ISERROR(VLOOKUP($T$642,'TAR FIN'!$A$1:$O$113,15,0)),0,VLOOKUP($T$642,'TAR FIN'!$A$1:$O$113,15,0))</f>
        <v>51.27</v>
      </c>
      <c r="X642" s="4">
        <f>IF(ISERROR(VLOOKUP($U$642,'TAR FIN'!$A$1:$O$113,15,0)),0,VLOOKUP($U$642,'TAR FIN'!$A$1:$O$113,15,0))</f>
        <v>0</v>
      </c>
      <c r="Y642" s="4"/>
      <c r="Z642" s="4">
        <f ca="1">('TUSD BE'!$AM$32+'TUSD BF'!$AM$32+'TUSD CVA'!$AM$32)*1</f>
        <v>65.007409626508434</v>
      </c>
      <c r="AA642" s="4"/>
      <c r="AB642" s="4">
        <f>$K$642*$V$642</f>
        <v>0</v>
      </c>
      <c r="AC642" s="4">
        <f>$M$642*$W$642</f>
        <v>15204.477390000002</v>
      </c>
      <c r="AD642" s="4">
        <f>$O$642*$X$642</f>
        <v>0</v>
      </c>
      <c r="AE642" s="4">
        <f>$K$642*$Y$642</f>
        <v>0</v>
      </c>
      <c r="AF642" s="4">
        <f ca="1">$M$642*$Z$642</f>
        <v>19278.402376608461</v>
      </c>
      <c r="AG642" s="4">
        <f>$O$642*$AA$642</f>
        <v>0</v>
      </c>
    </row>
    <row r="643" spans="1:33" ht="11.25" customHeight="1" x14ac:dyDescent="0.25">
      <c r="A643" s="3" t="s">
        <v>56</v>
      </c>
      <c r="B643" s="3" t="s">
        <v>41</v>
      </c>
      <c r="C643" s="3" t="s">
        <v>42</v>
      </c>
      <c r="D643" s="3" t="s">
        <v>43</v>
      </c>
      <c r="E643" s="3" t="s">
        <v>25</v>
      </c>
      <c r="F643" s="3" t="s">
        <v>25</v>
      </c>
      <c r="G643" s="3" t="s">
        <v>25</v>
      </c>
      <c r="H643" s="3" t="s">
        <v>35</v>
      </c>
      <c r="I643" s="6">
        <v>44621</v>
      </c>
      <c r="J643" s="4">
        <v>0</v>
      </c>
      <c r="K643" s="4">
        <v>0</v>
      </c>
      <c r="L643" s="4">
        <v>4.5599999999999996</v>
      </c>
      <c r="M643" s="4">
        <v>4.5599999999999996</v>
      </c>
      <c r="N643" s="4">
        <v>0</v>
      </c>
      <c r="O643" s="4">
        <v>0</v>
      </c>
      <c r="P643" s="4">
        <v>0</v>
      </c>
      <c r="Q643" s="3" t="s">
        <v>57</v>
      </c>
      <c r="R643" s="3">
        <v>0</v>
      </c>
      <c r="S643" s="4">
        <v>0</v>
      </c>
      <c r="T643" s="4">
        <v>21</v>
      </c>
      <c r="U643" s="4">
        <v>0</v>
      </c>
      <c r="V643" s="4">
        <f>IF(ISERROR(VLOOKUP($S$643,'TAR FIN'!$A$1:$O$113,15,0)),0,VLOOKUP($S$643,'TAR FIN'!$A$1:$O$113,15,0))</f>
        <v>0</v>
      </c>
      <c r="W643" s="4">
        <f>IF(ISERROR(VLOOKUP($T$643,'TAR FIN'!$A$1:$O$113,15,0)),0,VLOOKUP($T$643,'TAR FIN'!$A$1:$O$113,15,0))</f>
        <v>51.27</v>
      </c>
      <c r="X643" s="4">
        <f>IF(ISERROR(VLOOKUP($U$643,'TAR FIN'!$A$1:$O$113,15,0)),0,VLOOKUP($U$643,'TAR FIN'!$A$1:$O$113,15,0))</f>
        <v>0</v>
      </c>
      <c r="Y643" s="4"/>
      <c r="Z643" s="4">
        <f ca="1">('TUSD BE'!$AM$32+'TUSD BF'!$AM$32+'TUSD CVA'!$AM$32)*1</f>
        <v>65.007409626508434</v>
      </c>
      <c r="AA643" s="4"/>
      <c r="AB643" s="4">
        <f>$K$643*$V$643</f>
        <v>0</v>
      </c>
      <c r="AC643" s="4">
        <f>$M$643*$W$643</f>
        <v>233.7912</v>
      </c>
      <c r="AD643" s="4">
        <f>$O$643*$X$643</f>
        <v>0</v>
      </c>
      <c r="AE643" s="4">
        <f>$K$643*$Y$643</f>
        <v>0</v>
      </c>
      <c r="AF643" s="4">
        <f ca="1">$M$643*$Z$643</f>
        <v>296.43378789687841</v>
      </c>
      <c r="AG643" s="4">
        <f>$O$643*$AA$643</f>
        <v>0</v>
      </c>
    </row>
    <row r="644" spans="1:33" ht="11.25" customHeight="1" x14ac:dyDescent="0.25">
      <c r="A644" s="3" t="s">
        <v>21</v>
      </c>
      <c r="B644" s="3" t="s">
        <v>41</v>
      </c>
      <c r="C644" s="3" t="s">
        <v>42</v>
      </c>
      <c r="D644" s="3" t="s">
        <v>43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44287</v>
      </c>
      <c r="J644" s="4">
        <v>50593</v>
      </c>
      <c r="K644" s="4">
        <v>50593</v>
      </c>
      <c r="L644" s="4">
        <v>0</v>
      </c>
      <c r="M644" s="4">
        <v>0</v>
      </c>
      <c r="N644" s="4">
        <v>0</v>
      </c>
      <c r="O644" s="4">
        <v>0</v>
      </c>
      <c r="P644" s="4">
        <v>455</v>
      </c>
      <c r="Q644" s="3" t="s">
        <v>26</v>
      </c>
      <c r="R644" s="3">
        <v>0</v>
      </c>
      <c r="S644" s="4">
        <v>44</v>
      </c>
      <c r="T644" s="4">
        <v>0</v>
      </c>
      <c r="U644" s="4">
        <v>0</v>
      </c>
      <c r="V644" s="4">
        <f>IF(ISERROR(VLOOKUP($S$644,'TAR FIN'!$A$1:$O$113,15,0)),0,VLOOKUP($S$644,'TAR FIN'!$A$1:$O$113,15,0))</f>
        <v>24.31</v>
      </c>
      <c r="W644" s="4">
        <f>IF(ISERROR(VLOOKUP($T$644,'TAR FIN'!$A$1:$O$113,15,0)),0,VLOOKUP($T$644,'TAR FIN'!$A$1:$O$113,15,0))</f>
        <v>0</v>
      </c>
      <c r="X644" s="4">
        <f>IF(ISERROR(VLOOKUP($U$644,'TAR FIN'!$A$1:$O$113,15,0)),0,VLOOKUP($U$644,'TAR FIN'!$A$1:$O$113,15,0))</f>
        <v>0</v>
      </c>
      <c r="Y644" s="4">
        <f ca="1">('TUSD BE'!$AM$30+'TUSD BF'!$AM$30+'TUSD CVA'!$AM$30)*1</f>
        <v>26.598074646640526</v>
      </c>
      <c r="Z644" s="4"/>
      <c r="AA644" s="4"/>
      <c r="AB644" s="4">
        <f>$K$644*$V$644</f>
        <v>1229915.8299999998</v>
      </c>
      <c r="AC644" s="4">
        <f>$M$644*$W$644</f>
        <v>0</v>
      </c>
      <c r="AD644" s="4">
        <f>$O$644*$X$644</f>
        <v>0</v>
      </c>
      <c r="AE644" s="4">
        <f ca="1">$K$644*$Y$644</f>
        <v>1345676.3905974841</v>
      </c>
      <c r="AF644" s="4">
        <f>$M$644*$Z$644</f>
        <v>0</v>
      </c>
      <c r="AG644" s="4">
        <f>$O$644*$AA$644</f>
        <v>0</v>
      </c>
    </row>
    <row r="645" spans="1:33" ht="11.25" customHeight="1" x14ac:dyDescent="0.25">
      <c r="A645" s="3" t="s">
        <v>27</v>
      </c>
      <c r="B645" s="3" t="s">
        <v>41</v>
      </c>
      <c r="C645" s="3" t="s">
        <v>42</v>
      </c>
      <c r="D645" s="3" t="s">
        <v>43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44287</v>
      </c>
      <c r="J645" s="4">
        <v>-3221</v>
      </c>
      <c r="K645" s="4">
        <v>-3221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3" t="s">
        <v>26</v>
      </c>
      <c r="R645" s="3">
        <v>0</v>
      </c>
      <c r="S645" s="4">
        <v>44</v>
      </c>
      <c r="T645" s="4">
        <v>0</v>
      </c>
      <c r="U645" s="4">
        <v>0</v>
      </c>
      <c r="V645" s="4">
        <f>IF(ISERROR(VLOOKUP($S$645,'TAR FIN'!$A$1:$O$113,15,0)),0,VLOOKUP($S$645,'TAR FIN'!$A$1:$O$113,15,0))</f>
        <v>24.31</v>
      </c>
      <c r="W645" s="4">
        <f>IF(ISERROR(VLOOKUP($T$645,'TAR FIN'!$A$1:$O$113,15,0)),0,VLOOKUP($T$645,'TAR FIN'!$A$1:$O$113,15,0))</f>
        <v>0</v>
      </c>
      <c r="X645" s="4">
        <f>IF(ISERROR(VLOOKUP($U$645,'TAR FIN'!$A$1:$O$113,15,0)),0,VLOOKUP($U$645,'TAR FIN'!$A$1:$O$113,15,0))</f>
        <v>0</v>
      </c>
      <c r="Y645" s="4">
        <f ca="1">('TUSD BE'!$AM$30+'TUSD BF'!$AM$30+'TUSD CVA'!$AM$30)*1</f>
        <v>26.598074646640526</v>
      </c>
      <c r="Z645" s="4"/>
      <c r="AA645" s="4"/>
      <c r="AB645" s="4">
        <f>$K$645*$V$645</f>
        <v>-78302.509999999995</v>
      </c>
      <c r="AC645" s="4">
        <f>$M$645*$W$645</f>
        <v>0</v>
      </c>
      <c r="AD645" s="4">
        <f>$O$645*$X$645</f>
        <v>0</v>
      </c>
      <c r="AE645" s="4">
        <f ca="1">$K$645*$Y$645</f>
        <v>-85672.398436829142</v>
      </c>
      <c r="AF645" s="4">
        <f>$M$645*$Z$645</f>
        <v>0</v>
      </c>
      <c r="AG645" s="4">
        <f>$O$645*$AA$645</f>
        <v>0</v>
      </c>
    </row>
    <row r="646" spans="1:33" ht="11.25" customHeight="1" x14ac:dyDescent="0.25">
      <c r="A646" s="3" t="s">
        <v>28</v>
      </c>
      <c r="B646" s="3" t="s">
        <v>41</v>
      </c>
      <c r="C646" s="3" t="s">
        <v>42</v>
      </c>
      <c r="D646" s="3" t="s">
        <v>43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44287</v>
      </c>
      <c r="J646" s="4">
        <v>4609</v>
      </c>
      <c r="K646" s="4">
        <v>4609</v>
      </c>
      <c r="L646" s="4">
        <v>0</v>
      </c>
      <c r="M646" s="4">
        <v>0</v>
      </c>
      <c r="N646" s="4">
        <v>0</v>
      </c>
      <c r="O646" s="4">
        <v>0</v>
      </c>
      <c r="P646" s="4">
        <v>30</v>
      </c>
      <c r="Q646" s="3" t="s">
        <v>26</v>
      </c>
      <c r="R646" s="3">
        <v>0</v>
      </c>
      <c r="S646" s="4">
        <v>44</v>
      </c>
      <c r="T646" s="4">
        <v>0</v>
      </c>
      <c r="U646" s="4">
        <v>0</v>
      </c>
      <c r="V646" s="4">
        <f>IF(ISERROR(VLOOKUP($S$646,'TAR FIN'!$A$1:$O$113,15,0)),0,VLOOKUP($S$646,'TAR FIN'!$A$1:$O$113,15,0))</f>
        <v>24.31</v>
      </c>
      <c r="W646" s="4">
        <f>IF(ISERROR(VLOOKUP($T$646,'TAR FIN'!$A$1:$O$113,15,0)),0,VLOOKUP($T$646,'TAR FIN'!$A$1:$O$113,15,0))</f>
        <v>0</v>
      </c>
      <c r="X646" s="4">
        <f>IF(ISERROR(VLOOKUP($U$646,'TAR FIN'!$A$1:$O$113,15,0)),0,VLOOKUP($U$646,'TAR FIN'!$A$1:$O$113,15,0))</f>
        <v>0</v>
      </c>
      <c r="Y646" s="4">
        <f ca="1">('TUSD BE'!$AM$30+'TUSD BF'!$AM$30+'TUSD CVA'!$AM$30)*1</f>
        <v>26.598074646640526</v>
      </c>
      <c r="Z646" s="4"/>
      <c r="AA646" s="4"/>
      <c r="AB646" s="4">
        <f>$K$646*$V$646</f>
        <v>112044.79</v>
      </c>
      <c r="AC646" s="4">
        <f>$M$646*$W$646</f>
        <v>0</v>
      </c>
      <c r="AD646" s="4">
        <f>$O$646*$X$646</f>
        <v>0</v>
      </c>
      <c r="AE646" s="4">
        <f ca="1">$K$646*$Y$646</f>
        <v>122590.52604636618</v>
      </c>
      <c r="AF646" s="4">
        <f>$M$646*$Z$646</f>
        <v>0</v>
      </c>
      <c r="AG646" s="4">
        <f>$O$646*$AA$646</f>
        <v>0</v>
      </c>
    </row>
    <row r="647" spans="1:33" ht="11.25" customHeight="1" x14ac:dyDescent="0.25">
      <c r="A647" s="3" t="s">
        <v>21</v>
      </c>
      <c r="B647" s="3" t="s">
        <v>41</v>
      </c>
      <c r="C647" s="3" t="s">
        <v>42</v>
      </c>
      <c r="D647" s="3" t="s">
        <v>43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44287</v>
      </c>
      <c r="J647" s="4">
        <v>239</v>
      </c>
      <c r="K647" s="4">
        <v>239</v>
      </c>
      <c r="L647" s="4">
        <v>0</v>
      </c>
      <c r="M647" s="4">
        <v>0</v>
      </c>
      <c r="N647" s="4">
        <v>0</v>
      </c>
      <c r="O647" s="4">
        <v>0</v>
      </c>
      <c r="P647" s="4">
        <v>1</v>
      </c>
      <c r="Q647" s="3" t="s">
        <v>57</v>
      </c>
      <c r="R647" s="3">
        <v>0</v>
      </c>
      <c r="S647" s="4">
        <v>44</v>
      </c>
      <c r="T647" s="4">
        <v>0</v>
      </c>
      <c r="U647" s="4">
        <v>0</v>
      </c>
      <c r="V647" s="4">
        <f>IF(ISERROR(VLOOKUP($S$647,'TAR FIN'!$A$1:$O$113,15,0)),0,VLOOKUP($S$647,'TAR FIN'!$A$1:$O$113,15,0))</f>
        <v>24.31</v>
      </c>
      <c r="W647" s="4">
        <f>IF(ISERROR(VLOOKUP($T$647,'TAR FIN'!$A$1:$O$113,15,0)),0,VLOOKUP($T$647,'TAR FIN'!$A$1:$O$113,15,0))</f>
        <v>0</v>
      </c>
      <c r="X647" s="4">
        <f>IF(ISERROR(VLOOKUP($U$647,'TAR FIN'!$A$1:$O$113,15,0)),0,VLOOKUP($U$647,'TAR FIN'!$A$1:$O$113,15,0))</f>
        <v>0</v>
      </c>
      <c r="Y647" s="4">
        <f ca="1">('TUSD BE'!$AM$30+'TUSD BF'!$AM$30+'TUSD CVA'!$AM$30)*1</f>
        <v>26.598074646640526</v>
      </c>
      <c r="Z647" s="4"/>
      <c r="AA647" s="4"/>
      <c r="AB647" s="4">
        <f>$K$647*$V$647</f>
        <v>5810.09</v>
      </c>
      <c r="AC647" s="4">
        <f>$M$647*$W$647</f>
        <v>0</v>
      </c>
      <c r="AD647" s="4">
        <f>$O$647*$X$647</f>
        <v>0</v>
      </c>
      <c r="AE647" s="4">
        <f ca="1">$K$647*$Y$647</f>
        <v>6356.9398405470856</v>
      </c>
      <c r="AF647" s="4">
        <f>$M$647*$Z$647</f>
        <v>0</v>
      </c>
      <c r="AG647" s="4">
        <f>$O$647*$AA$647</f>
        <v>0</v>
      </c>
    </row>
    <row r="648" spans="1:33" ht="11.25" customHeight="1" x14ac:dyDescent="0.25">
      <c r="A648" s="3" t="s">
        <v>21</v>
      </c>
      <c r="B648" s="3" t="s">
        <v>41</v>
      </c>
      <c r="C648" s="3" t="s">
        <v>42</v>
      </c>
      <c r="D648" s="3" t="s">
        <v>43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44317</v>
      </c>
      <c r="J648" s="4">
        <v>48763</v>
      </c>
      <c r="K648" s="4">
        <v>48763</v>
      </c>
      <c r="L648" s="4">
        <v>0</v>
      </c>
      <c r="M648" s="4">
        <v>0</v>
      </c>
      <c r="N648" s="4">
        <v>0</v>
      </c>
      <c r="O648" s="4">
        <v>0</v>
      </c>
      <c r="P648" s="4">
        <v>456</v>
      </c>
      <c r="Q648" s="3" t="s">
        <v>26</v>
      </c>
      <c r="R648" s="3">
        <v>0</v>
      </c>
      <c r="S648" s="4">
        <v>44</v>
      </c>
      <c r="T648" s="4">
        <v>0</v>
      </c>
      <c r="U648" s="4">
        <v>0</v>
      </c>
      <c r="V648" s="4">
        <f>IF(ISERROR(VLOOKUP($S$648,'TAR FIN'!$A$1:$O$113,15,0)),0,VLOOKUP($S$648,'TAR FIN'!$A$1:$O$113,15,0))</f>
        <v>24.31</v>
      </c>
      <c r="W648" s="4">
        <f>IF(ISERROR(VLOOKUP($T$648,'TAR FIN'!$A$1:$O$113,15,0)),0,VLOOKUP($T$648,'TAR FIN'!$A$1:$O$113,15,0))</f>
        <v>0</v>
      </c>
      <c r="X648" s="4">
        <f>IF(ISERROR(VLOOKUP($U$648,'TAR FIN'!$A$1:$O$113,15,0)),0,VLOOKUP($U$648,'TAR FIN'!$A$1:$O$113,15,0))</f>
        <v>0</v>
      </c>
      <c r="Y648" s="4">
        <f ca="1">('TUSD BE'!$AM$30+'TUSD BF'!$AM$30+'TUSD CVA'!$AM$30)*1</f>
        <v>26.598074646640526</v>
      </c>
      <c r="Z648" s="4"/>
      <c r="AA648" s="4"/>
      <c r="AB648" s="4">
        <f>$K$648*$V$648</f>
        <v>1185428.53</v>
      </c>
      <c r="AC648" s="4">
        <f>$M$648*$W$648</f>
        <v>0</v>
      </c>
      <c r="AD648" s="4">
        <f>$O$648*$X$648</f>
        <v>0</v>
      </c>
      <c r="AE648" s="4">
        <f ca="1">$K$648*$Y$648</f>
        <v>1297001.9139941321</v>
      </c>
      <c r="AF648" s="4">
        <f>$M$648*$Z$648</f>
        <v>0</v>
      </c>
      <c r="AG648" s="4">
        <f>$O$648*$AA$648</f>
        <v>0</v>
      </c>
    </row>
    <row r="649" spans="1:33" ht="11.25" customHeight="1" x14ac:dyDescent="0.25">
      <c r="A649" s="3" t="s">
        <v>27</v>
      </c>
      <c r="B649" s="3" t="s">
        <v>41</v>
      </c>
      <c r="C649" s="3" t="s">
        <v>42</v>
      </c>
      <c r="D649" s="3" t="s">
        <v>43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44317</v>
      </c>
      <c r="J649" s="4">
        <v>-112</v>
      </c>
      <c r="K649" s="4">
        <v>-112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3" t="s">
        <v>26</v>
      </c>
      <c r="R649" s="3">
        <v>0</v>
      </c>
      <c r="S649" s="4">
        <v>44</v>
      </c>
      <c r="T649" s="4">
        <v>0</v>
      </c>
      <c r="U649" s="4">
        <v>0</v>
      </c>
      <c r="V649" s="4">
        <f>IF(ISERROR(VLOOKUP($S$649,'TAR FIN'!$A$1:$O$113,15,0)),0,VLOOKUP($S$649,'TAR FIN'!$A$1:$O$113,15,0))</f>
        <v>24.31</v>
      </c>
      <c r="W649" s="4">
        <f>IF(ISERROR(VLOOKUP($T$649,'TAR FIN'!$A$1:$O$113,15,0)),0,VLOOKUP($T$649,'TAR FIN'!$A$1:$O$113,15,0))</f>
        <v>0</v>
      </c>
      <c r="X649" s="4">
        <f>IF(ISERROR(VLOOKUP($U$649,'TAR FIN'!$A$1:$O$113,15,0)),0,VLOOKUP($U$649,'TAR FIN'!$A$1:$O$113,15,0))</f>
        <v>0</v>
      </c>
      <c r="Y649" s="4">
        <f ca="1">('TUSD BE'!$AM$30+'TUSD BF'!$AM$30+'TUSD CVA'!$AM$30)*1</f>
        <v>26.598074646640526</v>
      </c>
      <c r="Z649" s="4"/>
      <c r="AA649" s="4"/>
      <c r="AB649" s="4">
        <f>$K$649*$V$649</f>
        <v>-2722.72</v>
      </c>
      <c r="AC649" s="4">
        <f>$M$649*$W$649</f>
        <v>0</v>
      </c>
      <c r="AD649" s="4">
        <f>$O$649*$X$649</f>
        <v>0</v>
      </c>
      <c r="AE649" s="4">
        <f ca="1">$K$649*$Y$649</f>
        <v>-2978.984360423739</v>
      </c>
      <c r="AF649" s="4">
        <f>$M$649*$Z$649</f>
        <v>0</v>
      </c>
      <c r="AG649" s="4">
        <f>$O$649*$AA$649</f>
        <v>0</v>
      </c>
    </row>
    <row r="650" spans="1:33" ht="11.25" customHeight="1" x14ac:dyDescent="0.25">
      <c r="A650" s="3" t="s">
        <v>28</v>
      </c>
      <c r="B650" s="3" t="s">
        <v>41</v>
      </c>
      <c r="C650" s="3" t="s">
        <v>42</v>
      </c>
      <c r="D650" s="3" t="s">
        <v>43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44317</v>
      </c>
      <c r="J650" s="4">
        <v>4544</v>
      </c>
      <c r="K650" s="4">
        <v>4544</v>
      </c>
      <c r="L650" s="4">
        <v>0</v>
      </c>
      <c r="M650" s="4">
        <v>0</v>
      </c>
      <c r="N650" s="4">
        <v>0</v>
      </c>
      <c r="O650" s="4">
        <v>0</v>
      </c>
      <c r="P650" s="4">
        <v>30</v>
      </c>
      <c r="Q650" s="3" t="s">
        <v>26</v>
      </c>
      <c r="R650" s="3">
        <v>0</v>
      </c>
      <c r="S650" s="4">
        <v>44</v>
      </c>
      <c r="T650" s="4">
        <v>0</v>
      </c>
      <c r="U650" s="4">
        <v>0</v>
      </c>
      <c r="V650" s="4">
        <f>IF(ISERROR(VLOOKUP($S$650,'TAR FIN'!$A$1:$O$113,15,0)),0,VLOOKUP($S$650,'TAR FIN'!$A$1:$O$113,15,0))</f>
        <v>24.31</v>
      </c>
      <c r="W650" s="4">
        <f>IF(ISERROR(VLOOKUP($T$650,'TAR FIN'!$A$1:$O$113,15,0)),0,VLOOKUP($T$650,'TAR FIN'!$A$1:$O$113,15,0))</f>
        <v>0</v>
      </c>
      <c r="X650" s="4">
        <f>IF(ISERROR(VLOOKUP($U$650,'TAR FIN'!$A$1:$O$113,15,0)),0,VLOOKUP($U$650,'TAR FIN'!$A$1:$O$113,15,0))</f>
        <v>0</v>
      </c>
      <c r="Y650" s="4">
        <f ca="1">('TUSD BE'!$AM$30+'TUSD BF'!$AM$30+'TUSD CVA'!$AM$30)*1</f>
        <v>26.598074646640526</v>
      </c>
      <c r="Z650" s="4"/>
      <c r="AA650" s="4"/>
      <c r="AB650" s="4">
        <f>$K$650*$V$650</f>
        <v>110464.64</v>
      </c>
      <c r="AC650" s="4">
        <f>$M$650*$W$650</f>
        <v>0</v>
      </c>
      <c r="AD650" s="4">
        <f>$O$650*$X$650</f>
        <v>0</v>
      </c>
      <c r="AE650" s="4">
        <f ca="1">$K$650*$Y$650</f>
        <v>120861.65119433455</v>
      </c>
      <c r="AF650" s="4">
        <f>$M$650*$Z$650</f>
        <v>0</v>
      </c>
      <c r="AG650" s="4">
        <f>$O$650*$AA$650</f>
        <v>0</v>
      </c>
    </row>
    <row r="651" spans="1:33" ht="11.25" customHeight="1" x14ac:dyDescent="0.25">
      <c r="A651" s="3" t="s">
        <v>21</v>
      </c>
      <c r="B651" s="3" t="s">
        <v>41</v>
      </c>
      <c r="C651" s="3" t="s">
        <v>42</v>
      </c>
      <c r="D651" s="3" t="s">
        <v>43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44317</v>
      </c>
      <c r="J651" s="4">
        <v>239</v>
      </c>
      <c r="K651" s="4">
        <v>239</v>
      </c>
      <c r="L651" s="4">
        <v>0</v>
      </c>
      <c r="M651" s="4">
        <v>0</v>
      </c>
      <c r="N651" s="4">
        <v>0</v>
      </c>
      <c r="O651" s="4">
        <v>0</v>
      </c>
      <c r="P651" s="4">
        <v>1</v>
      </c>
      <c r="Q651" s="3" t="s">
        <v>57</v>
      </c>
      <c r="R651" s="3">
        <v>0</v>
      </c>
      <c r="S651" s="4">
        <v>44</v>
      </c>
      <c r="T651" s="4">
        <v>0</v>
      </c>
      <c r="U651" s="4">
        <v>0</v>
      </c>
      <c r="V651" s="4">
        <f>IF(ISERROR(VLOOKUP($S$651,'TAR FIN'!$A$1:$O$113,15,0)),0,VLOOKUP($S$651,'TAR FIN'!$A$1:$O$113,15,0))</f>
        <v>24.31</v>
      </c>
      <c r="W651" s="4">
        <f>IF(ISERROR(VLOOKUP($T$651,'TAR FIN'!$A$1:$O$113,15,0)),0,VLOOKUP($T$651,'TAR FIN'!$A$1:$O$113,15,0))</f>
        <v>0</v>
      </c>
      <c r="X651" s="4">
        <f>IF(ISERROR(VLOOKUP($U$651,'TAR FIN'!$A$1:$O$113,15,0)),0,VLOOKUP($U$651,'TAR FIN'!$A$1:$O$113,15,0))</f>
        <v>0</v>
      </c>
      <c r="Y651" s="4">
        <f ca="1">('TUSD BE'!$AM$30+'TUSD BF'!$AM$30+'TUSD CVA'!$AM$30)*1</f>
        <v>26.598074646640526</v>
      </c>
      <c r="Z651" s="4"/>
      <c r="AA651" s="4"/>
      <c r="AB651" s="4">
        <f>$K$651*$V$651</f>
        <v>5810.09</v>
      </c>
      <c r="AC651" s="4">
        <f>$M$651*$W$651</f>
        <v>0</v>
      </c>
      <c r="AD651" s="4">
        <f>$O$651*$X$651</f>
        <v>0</v>
      </c>
      <c r="AE651" s="4">
        <f ca="1">$K$651*$Y$651</f>
        <v>6356.9398405470856</v>
      </c>
      <c r="AF651" s="4">
        <f>$M$651*$Z$651</f>
        <v>0</v>
      </c>
      <c r="AG651" s="4">
        <f>$O$651*$AA$651</f>
        <v>0</v>
      </c>
    </row>
    <row r="652" spans="1:33" ht="11.25" customHeight="1" x14ac:dyDescent="0.25">
      <c r="A652" s="3" t="s">
        <v>21</v>
      </c>
      <c r="B652" s="3" t="s">
        <v>41</v>
      </c>
      <c r="C652" s="3" t="s">
        <v>42</v>
      </c>
      <c r="D652" s="3" t="s">
        <v>43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44348</v>
      </c>
      <c r="J652" s="4">
        <v>48558</v>
      </c>
      <c r="K652" s="4">
        <v>48558</v>
      </c>
      <c r="L652" s="4">
        <v>0</v>
      </c>
      <c r="M652" s="4">
        <v>0</v>
      </c>
      <c r="N652" s="4">
        <v>0</v>
      </c>
      <c r="O652" s="4">
        <v>0</v>
      </c>
      <c r="P652" s="4">
        <v>456</v>
      </c>
      <c r="Q652" s="3" t="s">
        <v>26</v>
      </c>
      <c r="R652" s="3">
        <v>0</v>
      </c>
      <c r="S652" s="4">
        <v>44</v>
      </c>
      <c r="T652" s="4">
        <v>0</v>
      </c>
      <c r="U652" s="4">
        <v>0</v>
      </c>
      <c r="V652" s="4">
        <f>IF(ISERROR(VLOOKUP($S$652,'TAR FIN'!$A$1:$O$113,15,0)),0,VLOOKUP($S$652,'TAR FIN'!$A$1:$O$113,15,0))</f>
        <v>24.31</v>
      </c>
      <c r="W652" s="4">
        <f>IF(ISERROR(VLOOKUP($T$652,'TAR FIN'!$A$1:$O$113,15,0)),0,VLOOKUP($T$652,'TAR FIN'!$A$1:$O$113,15,0))</f>
        <v>0</v>
      </c>
      <c r="X652" s="4">
        <f>IF(ISERROR(VLOOKUP($U$652,'TAR FIN'!$A$1:$O$113,15,0)),0,VLOOKUP($U$652,'TAR FIN'!$A$1:$O$113,15,0))</f>
        <v>0</v>
      </c>
      <c r="Y652" s="4">
        <f ca="1">('TUSD BE'!$AM$30+'TUSD BF'!$AM$30+'TUSD CVA'!$AM$30)*1</f>
        <v>26.598074646640526</v>
      </c>
      <c r="Z652" s="4"/>
      <c r="AA652" s="4"/>
      <c r="AB652" s="4">
        <f>$K$652*$V$652</f>
        <v>1180444.98</v>
      </c>
      <c r="AC652" s="4">
        <f>$M$652*$W$652</f>
        <v>0</v>
      </c>
      <c r="AD652" s="4">
        <f>$O$652*$X$652</f>
        <v>0</v>
      </c>
      <c r="AE652" s="4">
        <f ca="1">$K$652*$Y$652</f>
        <v>1291549.3086915708</v>
      </c>
      <c r="AF652" s="4">
        <f>$M$652*$Z$652</f>
        <v>0</v>
      </c>
      <c r="AG652" s="4">
        <f>$O$652*$AA$652</f>
        <v>0</v>
      </c>
    </row>
    <row r="653" spans="1:33" ht="11.25" customHeight="1" x14ac:dyDescent="0.25">
      <c r="A653" s="3" t="s">
        <v>27</v>
      </c>
      <c r="B653" s="3" t="s">
        <v>41</v>
      </c>
      <c r="C653" s="3" t="s">
        <v>42</v>
      </c>
      <c r="D653" s="3" t="s">
        <v>43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44348</v>
      </c>
      <c r="J653" s="4">
        <v>-253</v>
      </c>
      <c r="K653" s="4">
        <v>-253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3" t="s">
        <v>26</v>
      </c>
      <c r="R653" s="3">
        <v>0</v>
      </c>
      <c r="S653" s="4">
        <v>44</v>
      </c>
      <c r="T653" s="4">
        <v>0</v>
      </c>
      <c r="U653" s="4">
        <v>0</v>
      </c>
      <c r="V653" s="4">
        <f>IF(ISERROR(VLOOKUP($S$653,'TAR FIN'!$A$1:$O$113,15,0)),0,VLOOKUP($S$653,'TAR FIN'!$A$1:$O$113,15,0))</f>
        <v>24.31</v>
      </c>
      <c r="W653" s="4">
        <f>IF(ISERROR(VLOOKUP($T$653,'TAR FIN'!$A$1:$O$113,15,0)),0,VLOOKUP($T$653,'TAR FIN'!$A$1:$O$113,15,0))</f>
        <v>0</v>
      </c>
      <c r="X653" s="4">
        <f>IF(ISERROR(VLOOKUP($U$653,'TAR FIN'!$A$1:$O$113,15,0)),0,VLOOKUP($U$653,'TAR FIN'!$A$1:$O$113,15,0))</f>
        <v>0</v>
      </c>
      <c r="Y653" s="4">
        <f ca="1">('TUSD BE'!$AM$30+'TUSD BF'!$AM$30+'TUSD CVA'!$AM$30)*1</f>
        <v>26.598074646640526</v>
      </c>
      <c r="Z653" s="4"/>
      <c r="AA653" s="4"/>
      <c r="AB653" s="4">
        <f>$K$653*$V$653</f>
        <v>-6150.4299999999994</v>
      </c>
      <c r="AC653" s="4">
        <f>$M$653*$W$653</f>
        <v>0</v>
      </c>
      <c r="AD653" s="4">
        <f>$O$653*$X$653</f>
        <v>0</v>
      </c>
      <c r="AE653" s="4">
        <f ca="1">$K$653*$Y$653</f>
        <v>-6729.3128856000531</v>
      </c>
      <c r="AF653" s="4">
        <f>$M$653*$Z$653</f>
        <v>0</v>
      </c>
      <c r="AG653" s="4">
        <f>$O$653*$AA$653</f>
        <v>0</v>
      </c>
    </row>
    <row r="654" spans="1:33" ht="11.25" customHeight="1" x14ac:dyDescent="0.25">
      <c r="A654" s="3" t="s">
        <v>28</v>
      </c>
      <c r="B654" s="3" t="s">
        <v>41</v>
      </c>
      <c r="C654" s="3" t="s">
        <v>42</v>
      </c>
      <c r="D654" s="3" t="s">
        <v>43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44348</v>
      </c>
      <c r="J654" s="4">
        <v>4348</v>
      </c>
      <c r="K654" s="4">
        <v>4348</v>
      </c>
      <c r="L654" s="4">
        <v>0</v>
      </c>
      <c r="M654" s="4">
        <v>0</v>
      </c>
      <c r="N654" s="4">
        <v>0</v>
      </c>
      <c r="O654" s="4">
        <v>0</v>
      </c>
      <c r="P654" s="4">
        <v>27</v>
      </c>
      <c r="Q654" s="3" t="s">
        <v>26</v>
      </c>
      <c r="R654" s="3">
        <v>0</v>
      </c>
      <c r="S654" s="4">
        <v>44</v>
      </c>
      <c r="T654" s="4">
        <v>0</v>
      </c>
      <c r="U654" s="4">
        <v>0</v>
      </c>
      <c r="V654" s="4">
        <f>IF(ISERROR(VLOOKUP($S$654,'TAR FIN'!$A$1:$O$113,15,0)),0,VLOOKUP($S$654,'TAR FIN'!$A$1:$O$113,15,0))</f>
        <v>24.31</v>
      </c>
      <c r="W654" s="4">
        <f>IF(ISERROR(VLOOKUP($T$654,'TAR FIN'!$A$1:$O$113,15,0)),0,VLOOKUP($T$654,'TAR FIN'!$A$1:$O$113,15,0))</f>
        <v>0</v>
      </c>
      <c r="X654" s="4">
        <f>IF(ISERROR(VLOOKUP($U$654,'TAR FIN'!$A$1:$O$113,15,0)),0,VLOOKUP($U$654,'TAR FIN'!$A$1:$O$113,15,0))</f>
        <v>0</v>
      </c>
      <c r="Y654" s="4">
        <f ca="1">('TUSD BE'!$AM$30+'TUSD BF'!$AM$30+'TUSD CVA'!$AM$30)*1</f>
        <v>26.598074646640526</v>
      </c>
      <c r="Z654" s="4"/>
      <c r="AA654" s="4"/>
      <c r="AB654" s="4">
        <f>$K$654*$V$654</f>
        <v>105699.87999999999</v>
      </c>
      <c r="AC654" s="4">
        <f>$M$654*$W$654</f>
        <v>0</v>
      </c>
      <c r="AD654" s="4">
        <f>$O$654*$X$654</f>
        <v>0</v>
      </c>
      <c r="AE654" s="4">
        <f ca="1">$K$654*$Y$654</f>
        <v>115648.42856359301</v>
      </c>
      <c r="AF654" s="4">
        <f>$M$654*$Z$654</f>
        <v>0</v>
      </c>
      <c r="AG654" s="4">
        <f>$O$654*$AA$654</f>
        <v>0</v>
      </c>
    </row>
    <row r="655" spans="1:33" ht="11.25" customHeight="1" x14ac:dyDescent="0.25">
      <c r="A655" s="3" t="s">
        <v>21</v>
      </c>
      <c r="B655" s="3" t="s">
        <v>41</v>
      </c>
      <c r="C655" s="3" t="s">
        <v>42</v>
      </c>
      <c r="D655" s="3" t="s">
        <v>43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44348</v>
      </c>
      <c r="J655" s="4">
        <v>239</v>
      </c>
      <c r="K655" s="4">
        <v>239</v>
      </c>
      <c r="L655" s="4">
        <v>0</v>
      </c>
      <c r="M655" s="4">
        <v>0</v>
      </c>
      <c r="N655" s="4">
        <v>0</v>
      </c>
      <c r="O655" s="4">
        <v>0</v>
      </c>
      <c r="P655" s="4">
        <v>1</v>
      </c>
      <c r="Q655" s="3" t="s">
        <v>57</v>
      </c>
      <c r="R655" s="3">
        <v>0</v>
      </c>
      <c r="S655" s="4">
        <v>44</v>
      </c>
      <c r="T655" s="4">
        <v>0</v>
      </c>
      <c r="U655" s="4">
        <v>0</v>
      </c>
      <c r="V655" s="4">
        <f>IF(ISERROR(VLOOKUP($S$655,'TAR FIN'!$A$1:$O$113,15,0)),0,VLOOKUP($S$655,'TAR FIN'!$A$1:$O$113,15,0))</f>
        <v>24.31</v>
      </c>
      <c r="W655" s="4">
        <f>IF(ISERROR(VLOOKUP($T$655,'TAR FIN'!$A$1:$O$113,15,0)),0,VLOOKUP($T$655,'TAR FIN'!$A$1:$O$113,15,0))</f>
        <v>0</v>
      </c>
      <c r="X655" s="4">
        <f>IF(ISERROR(VLOOKUP($U$655,'TAR FIN'!$A$1:$O$113,15,0)),0,VLOOKUP($U$655,'TAR FIN'!$A$1:$O$113,15,0))</f>
        <v>0</v>
      </c>
      <c r="Y655" s="4">
        <f ca="1">('TUSD BE'!$AM$30+'TUSD BF'!$AM$30+'TUSD CVA'!$AM$30)*1</f>
        <v>26.598074646640526</v>
      </c>
      <c r="Z655" s="4"/>
      <c r="AA655" s="4"/>
      <c r="AB655" s="4">
        <f>$K$655*$V$655</f>
        <v>5810.09</v>
      </c>
      <c r="AC655" s="4">
        <f>$M$655*$W$655</f>
        <v>0</v>
      </c>
      <c r="AD655" s="4">
        <f>$O$655*$X$655</f>
        <v>0</v>
      </c>
      <c r="AE655" s="4">
        <f ca="1">$K$655*$Y$655</f>
        <v>6356.9398405470856</v>
      </c>
      <c r="AF655" s="4">
        <f>$M$655*$Z$655</f>
        <v>0</v>
      </c>
      <c r="AG655" s="4">
        <f>$O$655*$AA$655</f>
        <v>0</v>
      </c>
    </row>
    <row r="656" spans="1:33" ht="11.25" customHeight="1" x14ac:dyDescent="0.25">
      <c r="A656" s="3" t="s">
        <v>21</v>
      </c>
      <c r="B656" s="3" t="s">
        <v>41</v>
      </c>
      <c r="C656" s="3" t="s">
        <v>42</v>
      </c>
      <c r="D656" s="3" t="s">
        <v>43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44378</v>
      </c>
      <c r="J656" s="4">
        <v>48105</v>
      </c>
      <c r="K656" s="4">
        <v>48105</v>
      </c>
      <c r="L656" s="4">
        <v>0</v>
      </c>
      <c r="M656" s="4">
        <v>0</v>
      </c>
      <c r="N656" s="4">
        <v>0</v>
      </c>
      <c r="O656" s="4">
        <v>0</v>
      </c>
      <c r="P656" s="4">
        <v>453</v>
      </c>
      <c r="Q656" s="3" t="s">
        <v>26</v>
      </c>
      <c r="R656" s="3">
        <v>0</v>
      </c>
      <c r="S656" s="4">
        <v>44</v>
      </c>
      <c r="T656" s="4">
        <v>0</v>
      </c>
      <c r="U656" s="4">
        <v>0</v>
      </c>
      <c r="V656" s="4">
        <f>IF(ISERROR(VLOOKUP($S$656,'TAR FIN'!$A$1:$O$113,15,0)),0,VLOOKUP($S$656,'TAR FIN'!$A$1:$O$113,15,0))</f>
        <v>24.31</v>
      </c>
      <c r="W656" s="4">
        <f>IF(ISERROR(VLOOKUP($T$656,'TAR FIN'!$A$1:$O$113,15,0)),0,VLOOKUP($T$656,'TAR FIN'!$A$1:$O$113,15,0))</f>
        <v>0</v>
      </c>
      <c r="X656" s="4">
        <f>IF(ISERROR(VLOOKUP($U$656,'TAR FIN'!$A$1:$O$113,15,0)),0,VLOOKUP($U$656,'TAR FIN'!$A$1:$O$113,15,0))</f>
        <v>0</v>
      </c>
      <c r="Y656" s="4">
        <f ca="1">('TUSD BE'!$AM$30+'TUSD BF'!$AM$30+'TUSD CVA'!$AM$30)*1</f>
        <v>26.598074646640526</v>
      </c>
      <c r="Z656" s="4"/>
      <c r="AA656" s="4"/>
      <c r="AB656" s="4">
        <f>$K$656*$V$656</f>
        <v>1169432.55</v>
      </c>
      <c r="AC656" s="4">
        <f>$M$656*$W$656</f>
        <v>0</v>
      </c>
      <c r="AD656" s="4">
        <f>$O$656*$X$656</f>
        <v>0</v>
      </c>
      <c r="AE656" s="4">
        <f ca="1">$K$656*$Y$656</f>
        <v>1279500.3808766424</v>
      </c>
      <c r="AF656" s="4">
        <f>$M$656*$Z$656</f>
        <v>0</v>
      </c>
      <c r="AG656" s="4">
        <f>$O$656*$AA$656</f>
        <v>0</v>
      </c>
    </row>
    <row r="657" spans="1:33" ht="11.25" customHeight="1" x14ac:dyDescent="0.25">
      <c r="A657" s="3" t="s">
        <v>27</v>
      </c>
      <c r="B657" s="3" t="s">
        <v>41</v>
      </c>
      <c r="C657" s="3" t="s">
        <v>42</v>
      </c>
      <c r="D657" s="3" t="s">
        <v>43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44378</v>
      </c>
      <c r="J657" s="4">
        <v>75</v>
      </c>
      <c r="K657" s="4">
        <v>75</v>
      </c>
      <c r="L657" s="4">
        <v>0</v>
      </c>
      <c r="M657" s="4">
        <v>0</v>
      </c>
      <c r="N657" s="4">
        <v>0</v>
      </c>
      <c r="O657" s="4">
        <v>0</v>
      </c>
      <c r="P657" s="4">
        <v>1</v>
      </c>
      <c r="Q657" s="3" t="s">
        <v>26</v>
      </c>
      <c r="R657" s="3">
        <v>0</v>
      </c>
      <c r="S657" s="4">
        <v>44</v>
      </c>
      <c r="T657" s="4">
        <v>0</v>
      </c>
      <c r="U657" s="4">
        <v>0</v>
      </c>
      <c r="V657" s="4">
        <f>IF(ISERROR(VLOOKUP($S$657,'TAR FIN'!$A$1:$O$113,15,0)),0,VLOOKUP($S$657,'TAR FIN'!$A$1:$O$113,15,0))</f>
        <v>24.31</v>
      </c>
      <c r="W657" s="4">
        <f>IF(ISERROR(VLOOKUP($T$657,'TAR FIN'!$A$1:$O$113,15,0)),0,VLOOKUP($T$657,'TAR FIN'!$A$1:$O$113,15,0))</f>
        <v>0</v>
      </c>
      <c r="X657" s="4">
        <f>IF(ISERROR(VLOOKUP($U$657,'TAR FIN'!$A$1:$O$113,15,0)),0,VLOOKUP($U$657,'TAR FIN'!$A$1:$O$113,15,0))</f>
        <v>0</v>
      </c>
      <c r="Y657" s="4">
        <f ca="1">('TUSD BE'!$AM$30+'TUSD BF'!$AM$30+'TUSD CVA'!$AM$30)*1</f>
        <v>26.598074646640526</v>
      </c>
      <c r="Z657" s="4"/>
      <c r="AA657" s="4"/>
      <c r="AB657" s="4">
        <f>$K$657*$V$657</f>
        <v>1823.25</v>
      </c>
      <c r="AC657" s="4">
        <f>$M$657*$W$657</f>
        <v>0</v>
      </c>
      <c r="AD657" s="4">
        <f>$O$657*$X$657</f>
        <v>0</v>
      </c>
      <c r="AE657" s="4">
        <f ca="1">$K$657*$Y$657</f>
        <v>1994.8555984980394</v>
      </c>
      <c r="AF657" s="4">
        <f>$M$657*$Z$657</f>
        <v>0</v>
      </c>
      <c r="AG657" s="4">
        <f>$O$657*$AA$657</f>
        <v>0</v>
      </c>
    </row>
    <row r="658" spans="1:33" ht="11.25" customHeight="1" x14ac:dyDescent="0.25">
      <c r="A658" s="3" t="s">
        <v>28</v>
      </c>
      <c r="B658" s="3" t="s">
        <v>41</v>
      </c>
      <c r="C658" s="3" t="s">
        <v>42</v>
      </c>
      <c r="D658" s="3" t="s">
        <v>43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44378</v>
      </c>
      <c r="J658" s="4">
        <v>4440</v>
      </c>
      <c r="K658" s="4">
        <v>4440</v>
      </c>
      <c r="L658" s="4">
        <v>0</v>
      </c>
      <c r="M658" s="4">
        <v>0</v>
      </c>
      <c r="N658" s="4">
        <v>0</v>
      </c>
      <c r="O658" s="4">
        <v>0</v>
      </c>
      <c r="P658" s="4">
        <v>26</v>
      </c>
      <c r="Q658" s="3" t="s">
        <v>26</v>
      </c>
      <c r="R658" s="3">
        <v>0</v>
      </c>
      <c r="S658" s="4">
        <v>44</v>
      </c>
      <c r="T658" s="4">
        <v>0</v>
      </c>
      <c r="U658" s="4">
        <v>0</v>
      </c>
      <c r="V658" s="4">
        <f>IF(ISERROR(VLOOKUP($S$658,'TAR FIN'!$A$1:$O$113,15,0)),0,VLOOKUP($S$658,'TAR FIN'!$A$1:$O$113,15,0))</f>
        <v>24.31</v>
      </c>
      <c r="W658" s="4">
        <f>IF(ISERROR(VLOOKUP($T$658,'TAR FIN'!$A$1:$O$113,15,0)),0,VLOOKUP($T$658,'TAR FIN'!$A$1:$O$113,15,0))</f>
        <v>0</v>
      </c>
      <c r="X658" s="4">
        <f>IF(ISERROR(VLOOKUP($U$658,'TAR FIN'!$A$1:$O$113,15,0)),0,VLOOKUP($U$658,'TAR FIN'!$A$1:$O$113,15,0))</f>
        <v>0</v>
      </c>
      <c r="Y658" s="4">
        <f ca="1">('TUSD BE'!$AM$30+'TUSD BF'!$AM$30+'TUSD CVA'!$AM$30)*1</f>
        <v>26.598074646640526</v>
      </c>
      <c r="Z658" s="4"/>
      <c r="AA658" s="4"/>
      <c r="AB658" s="4">
        <f>$K$658*$V$658</f>
        <v>107936.4</v>
      </c>
      <c r="AC658" s="4">
        <f>$M$658*$W$658</f>
        <v>0</v>
      </c>
      <c r="AD658" s="4">
        <f>$O$658*$X$658</f>
        <v>0</v>
      </c>
      <c r="AE658" s="4">
        <f ca="1">$K$658*$Y$658</f>
        <v>118095.45143108394</v>
      </c>
      <c r="AF658" s="4">
        <f>$M$658*$Z$658</f>
        <v>0</v>
      </c>
      <c r="AG658" s="4">
        <f>$O$658*$AA$658</f>
        <v>0</v>
      </c>
    </row>
    <row r="659" spans="1:33" ht="11.25" customHeight="1" x14ac:dyDescent="0.25">
      <c r="A659" s="3" t="s">
        <v>21</v>
      </c>
      <c r="B659" s="3" t="s">
        <v>41</v>
      </c>
      <c r="C659" s="3" t="s">
        <v>42</v>
      </c>
      <c r="D659" s="3" t="s">
        <v>43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44378</v>
      </c>
      <c r="J659" s="4">
        <v>2239</v>
      </c>
      <c r="K659" s="4">
        <v>2239</v>
      </c>
      <c r="L659" s="4">
        <v>0</v>
      </c>
      <c r="M659" s="4">
        <v>0</v>
      </c>
      <c r="N659" s="4">
        <v>0</v>
      </c>
      <c r="O659" s="4">
        <v>0</v>
      </c>
      <c r="P659" s="4">
        <v>2</v>
      </c>
      <c r="Q659" s="3" t="s">
        <v>57</v>
      </c>
      <c r="R659" s="3">
        <v>0</v>
      </c>
      <c r="S659" s="4">
        <v>44</v>
      </c>
      <c r="T659" s="4">
        <v>0</v>
      </c>
      <c r="U659" s="4">
        <v>0</v>
      </c>
      <c r="V659" s="4">
        <f>IF(ISERROR(VLOOKUP($S$659,'TAR FIN'!$A$1:$O$113,15,0)),0,VLOOKUP($S$659,'TAR FIN'!$A$1:$O$113,15,0))</f>
        <v>24.31</v>
      </c>
      <c r="W659" s="4">
        <f>IF(ISERROR(VLOOKUP($T$659,'TAR FIN'!$A$1:$O$113,15,0)),0,VLOOKUP($T$659,'TAR FIN'!$A$1:$O$113,15,0))</f>
        <v>0</v>
      </c>
      <c r="X659" s="4">
        <f>IF(ISERROR(VLOOKUP($U$659,'TAR FIN'!$A$1:$O$113,15,0)),0,VLOOKUP($U$659,'TAR FIN'!$A$1:$O$113,15,0))</f>
        <v>0</v>
      </c>
      <c r="Y659" s="4">
        <f ca="1">('TUSD BE'!$AM$30+'TUSD BF'!$AM$30+'TUSD CVA'!$AM$30)*1</f>
        <v>26.598074646640526</v>
      </c>
      <c r="Z659" s="4"/>
      <c r="AA659" s="4"/>
      <c r="AB659" s="4">
        <f>$K$659*$V$659</f>
        <v>54430.09</v>
      </c>
      <c r="AC659" s="4">
        <f>$M$659*$W$659</f>
        <v>0</v>
      </c>
      <c r="AD659" s="4">
        <f>$O$659*$X$659</f>
        <v>0</v>
      </c>
      <c r="AE659" s="4">
        <f ca="1">$K$659*$Y$659</f>
        <v>59553.089133828136</v>
      </c>
      <c r="AF659" s="4">
        <f>$M$659*$Z$659</f>
        <v>0</v>
      </c>
      <c r="AG659" s="4">
        <f>$O$659*$AA$659</f>
        <v>0</v>
      </c>
    </row>
    <row r="660" spans="1:33" ht="11.25" customHeight="1" x14ac:dyDescent="0.25">
      <c r="A660" s="3" t="s">
        <v>21</v>
      </c>
      <c r="B660" s="3" t="s">
        <v>41</v>
      </c>
      <c r="C660" s="3" t="s">
        <v>42</v>
      </c>
      <c r="D660" s="3" t="s">
        <v>43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44409</v>
      </c>
      <c r="J660" s="4">
        <v>48595</v>
      </c>
      <c r="K660" s="4">
        <v>48595</v>
      </c>
      <c r="L660" s="4">
        <v>0</v>
      </c>
      <c r="M660" s="4">
        <v>0</v>
      </c>
      <c r="N660" s="4">
        <v>0</v>
      </c>
      <c r="O660" s="4">
        <v>0</v>
      </c>
      <c r="P660" s="4">
        <v>454</v>
      </c>
      <c r="Q660" s="3" t="s">
        <v>26</v>
      </c>
      <c r="R660" s="3">
        <v>0</v>
      </c>
      <c r="S660" s="4">
        <v>44</v>
      </c>
      <c r="T660" s="4">
        <v>0</v>
      </c>
      <c r="U660" s="4">
        <v>0</v>
      </c>
      <c r="V660" s="4">
        <f>IF(ISERROR(VLOOKUP($S$660,'TAR FIN'!$A$1:$O$113,15,0)),0,VLOOKUP($S$660,'TAR FIN'!$A$1:$O$113,15,0))</f>
        <v>24.31</v>
      </c>
      <c r="W660" s="4">
        <f>IF(ISERROR(VLOOKUP($T$660,'TAR FIN'!$A$1:$O$113,15,0)),0,VLOOKUP($T$660,'TAR FIN'!$A$1:$O$113,15,0))</f>
        <v>0</v>
      </c>
      <c r="X660" s="4">
        <f>IF(ISERROR(VLOOKUP($U$660,'TAR FIN'!$A$1:$O$113,15,0)),0,VLOOKUP($U$660,'TAR FIN'!$A$1:$O$113,15,0))</f>
        <v>0</v>
      </c>
      <c r="Y660" s="4">
        <f ca="1">('TUSD BE'!$AM$30+'TUSD BF'!$AM$30+'TUSD CVA'!$AM$30)*1</f>
        <v>26.598074646640526</v>
      </c>
      <c r="Z660" s="4"/>
      <c r="AA660" s="4"/>
      <c r="AB660" s="4">
        <f>$K$660*$V$660</f>
        <v>1181344.45</v>
      </c>
      <c r="AC660" s="4">
        <f>$M$660*$W$660</f>
        <v>0</v>
      </c>
      <c r="AD660" s="4">
        <f>$O$660*$X$660</f>
        <v>0</v>
      </c>
      <c r="AE660" s="4">
        <f ca="1">$K$660*$Y$660</f>
        <v>1292533.4374534963</v>
      </c>
      <c r="AF660" s="4">
        <f>$M$660*$Z$660</f>
        <v>0</v>
      </c>
      <c r="AG660" s="4">
        <f>$O$660*$AA$660</f>
        <v>0</v>
      </c>
    </row>
    <row r="661" spans="1:33" ht="11.25" customHeight="1" x14ac:dyDescent="0.25">
      <c r="A661" s="3" t="s">
        <v>28</v>
      </c>
      <c r="B661" s="3" t="s">
        <v>41</v>
      </c>
      <c r="C661" s="3" t="s">
        <v>42</v>
      </c>
      <c r="D661" s="3" t="s">
        <v>43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44409</v>
      </c>
      <c r="J661" s="4">
        <v>4366</v>
      </c>
      <c r="K661" s="4">
        <v>4366</v>
      </c>
      <c r="L661" s="4">
        <v>0</v>
      </c>
      <c r="M661" s="4">
        <v>0</v>
      </c>
      <c r="N661" s="4">
        <v>0</v>
      </c>
      <c r="O661" s="4">
        <v>0</v>
      </c>
      <c r="P661" s="4">
        <v>26</v>
      </c>
      <c r="Q661" s="3" t="s">
        <v>26</v>
      </c>
      <c r="R661" s="3">
        <v>0</v>
      </c>
      <c r="S661" s="4">
        <v>44</v>
      </c>
      <c r="T661" s="4">
        <v>0</v>
      </c>
      <c r="U661" s="4">
        <v>0</v>
      </c>
      <c r="V661" s="4">
        <f>IF(ISERROR(VLOOKUP($S$661,'TAR FIN'!$A$1:$O$113,15,0)),0,VLOOKUP($S$661,'TAR FIN'!$A$1:$O$113,15,0))</f>
        <v>24.31</v>
      </c>
      <c r="W661" s="4">
        <f>IF(ISERROR(VLOOKUP($T$661,'TAR FIN'!$A$1:$O$113,15,0)),0,VLOOKUP($T$661,'TAR FIN'!$A$1:$O$113,15,0))</f>
        <v>0</v>
      </c>
      <c r="X661" s="4">
        <f>IF(ISERROR(VLOOKUP($U$661,'TAR FIN'!$A$1:$O$113,15,0)),0,VLOOKUP($U$661,'TAR FIN'!$A$1:$O$113,15,0))</f>
        <v>0</v>
      </c>
      <c r="Y661" s="4">
        <f ca="1">('TUSD BE'!$AM$30+'TUSD BF'!$AM$30+'TUSD CVA'!$AM$30)*1</f>
        <v>26.598074646640526</v>
      </c>
      <c r="Z661" s="4"/>
      <c r="AA661" s="4"/>
      <c r="AB661" s="4">
        <f>$K$661*$V$661</f>
        <v>106137.45999999999</v>
      </c>
      <c r="AC661" s="4">
        <f>$M$661*$W$661</f>
        <v>0</v>
      </c>
      <c r="AD661" s="4">
        <f>$O$661*$X$661</f>
        <v>0</v>
      </c>
      <c r="AE661" s="4">
        <f ca="1">$K$661*$Y$661</f>
        <v>116127.19390723253</v>
      </c>
      <c r="AF661" s="4">
        <f>$M$661*$Z$661</f>
        <v>0</v>
      </c>
      <c r="AG661" s="4">
        <f>$O$661*$AA$661</f>
        <v>0</v>
      </c>
    </row>
    <row r="662" spans="1:33" ht="11.25" customHeight="1" x14ac:dyDescent="0.25">
      <c r="A662" s="3" t="s">
        <v>21</v>
      </c>
      <c r="B662" s="3" t="s">
        <v>41</v>
      </c>
      <c r="C662" s="3" t="s">
        <v>42</v>
      </c>
      <c r="D662" s="3" t="s">
        <v>43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44409</v>
      </c>
      <c r="J662" s="4">
        <v>3319</v>
      </c>
      <c r="K662" s="4">
        <v>3319</v>
      </c>
      <c r="L662" s="4">
        <v>0</v>
      </c>
      <c r="M662" s="4">
        <v>0</v>
      </c>
      <c r="N662" s="4">
        <v>0</v>
      </c>
      <c r="O662" s="4">
        <v>0</v>
      </c>
      <c r="P662" s="4">
        <v>5</v>
      </c>
      <c r="Q662" s="3" t="s">
        <v>57</v>
      </c>
      <c r="R662" s="3">
        <v>0</v>
      </c>
      <c r="S662" s="4">
        <v>44</v>
      </c>
      <c r="T662" s="4">
        <v>0</v>
      </c>
      <c r="U662" s="4">
        <v>0</v>
      </c>
      <c r="V662" s="4">
        <f>IF(ISERROR(VLOOKUP($S$662,'TAR FIN'!$A$1:$O$113,15,0)),0,VLOOKUP($S$662,'TAR FIN'!$A$1:$O$113,15,0))</f>
        <v>24.31</v>
      </c>
      <c r="W662" s="4">
        <f>IF(ISERROR(VLOOKUP($T$662,'TAR FIN'!$A$1:$O$113,15,0)),0,VLOOKUP($T$662,'TAR FIN'!$A$1:$O$113,15,0))</f>
        <v>0</v>
      </c>
      <c r="X662" s="4">
        <f>IF(ISERROR(VLOOKUP($U$662,'TAR FIN'!$A$1:$O$113,15,0)),0,VLOOKUP($U$662,'TAR FIN'!$A$1:$O$113,15,0))</f>
        <v>0</v>
      </c>
      <c r="Y662" s="4">
        <f ca="1">('TUSD BE'!$AM$30+'TUSD BF'!$AM$30+'TUSD CVA'!$AM$30)*1</f>
        <v>26.598074646640526</v>
      </c>
      <c r="Z662" s="4"/>
      <c r="AA662" s="4"/>
      <c r="AB662" s="4">
        <f>$K$662*$V$662</f>
        <v>80684.89</v>
      </c>
      <c r="AC662" s="4">
        <f>$M$662*$W$662</f>
        <v>0</v>
      </c>
      <c r="AD662" s="4">
        <f>$O$662*$X$662</f>
        <v>0</v>
      </c>
      <c r="AE662" s="4">
        <f ca="1">$K$662*$Y$662</f>
        <v>88279.009752199912</v>
      </c>
      <c r="AF662" s="4">
        <f>$M$662*$Z$662</f>
        <v>0</v>
      </c>
      <c r="AG662" s="4">
        <f>$O$662*$AA$662</f>
        <v>0</v>
      </c>
    </row>
    <row r="663" spans="1:33" ht="11.25" customHeight="1" x14ac:dyDescent="0.25">
      <c r="A663" s="3" t="s">
        <v>21</v>
      </c>
      <c r="B663" s="3" t="s">
        <v>41</v>
      </c>
      <c r="C663" s="3" t="s">
        <v>42</v>
      </c>
      <c r="D663" s="3" t="s">
        <v>43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44440</v>
      </c>
      <c r="J663" s="4">
        <v>49028</v>
      </c>
      <c r="K663" s="4">
        <v>49028</v>
      </c>
      <c r="L663" s="4">
        <v>0</v>
      </c>
      <c r="M663" s="4">
        <v>0</v>
      </c>
      <c r="N663" s="4">
        <v>0</v>
      </c>
      <c r="O663" s="4">
        <v>0</v>
      </c>
      <c r="P663" s="4">
        <v>453</v>
      </c>
      <c r="Q663" s="3" t="s">
        <v>26</v>
      </c>
      <c r="R663" s="3">
        <v>0</v>
      </c>
      <c r="S663" s="4">
        <v>44</v>
      </c>
      <c r="T663" s="4">
        <v>0</v>
      </c>
      <c r="U663" s="4">
        <v>0</v>
      </c>
      <c r="V663" s="4">
        <f>IF(ISERROR(VLOOKUP($S$663,'TAR FIN'!$A$1:$O$113,15,0)),0,VLOOKUP($S$663,'TAR FIN'!$A$1:$O$113,15,0))</f>
        <v>24.31</v>
      </c>
      <c r="W663" s="4">
        <f>IF(ISERROR(VLOOKUP($T$663,'TAR FIN'!$A$1:$O$113,15,0)),0,VLOOKUP($T$663,'TAR FIN'!$A$1:$O$113,15,0))</f>
        <v>0</v>
      </c>
      <c r="X663" s="4">
        <f>IF(ISERROR(VLOOKUP($U$663,'TAR FIN'!$A$1:$O$113,15,0)),0,VLOOKUP($U$663,'TAR FIN'!$A$1:$O$113,15,0))</f>
        <v>0</v>
      </c>
      <c r="Y663" s="4">
        <f ca="1">('TUSD BE'!$AM$30+'TUSD BF'!$AM$30+'TUSD CVA'!$AM$30)*1</f>
        <v>26.598074646640526</v>
      </c>
      <c r="Z663" s="4"/>
      <c r="AA663" s="4"/>
      <c r="AB663" s="4">
        <f>$K$663*$V$663</f>
        <v>1191870.68</v>
      </c>
      <c r="AC663" s="4">
        <f>$M$663*$W$663</f>
        <v>0</v>
      </c>
      <c r="AD663" s="4">
        <f>$O$663*$X$663</f>
        <v>0</v>
      </c>
      <c r="AE663" s="4">
        <f ca="1">$K$663*$Y$663</f>
        <v>1304050.4037754918</v>
      </c>
      <c r="AF663" s="4">
        <f>$M$663*$Z$663</f>
        <v>0</v>
      </c>
      <c r="AG663" s="4">
        <f>$O$663*$AA$663</f>
        <v>0</v>
      </c>
    </row>
    <row r="664" spans="1:33" ht="11.25" customHeight="1" x14ac:dyDescent="0.25">
      <c r="A664" s="3" t="s">
        <v>28</v>
      </c>
      <c r="B664" s="3" t="s">
        <v>41</v>
      </c>
      <c r="C664" s="3" t="s">
        <v>42</v>
      </c>
      <c r="D664" s="3" t="s">
        <v>43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44440</v>
      </c>
      <c r="J664" s="4">
        <v>4670</v>
      </c>
      <c r="K664" s="4">
        <v>4670</v>
      </c>
      <c r="L664" s="4">
        <v>0</v>
      </c>
      <c r="M664" s="4">
        <v>0</v>
      </c>
      <c r="N664" s="4">
        <v>0</v>
      </c>
      <c r="O664" s="4">
        <v>0</v>
      </c>
      <c r="P664" s="4">
        <v>30</v>
      </c>
      <c r="Q664" s="3" t="s">
        <v>26</v>
      </c>
      <c r="R664" s="3">
        <v>0</v>
      </c>
      <c r="S664" s="4">
        <v>44</v>
      </c>
      <c r="T664" s="4">
        <v>0</v>
      </c>
      <c r="U664" s="4">
        <v>0</v>
      </c>
      <c r="V664" s="4">
        <f>IF(ISERROR(VLOOKUP($S$664,'TAR FIN'!$A$1:$O$113,15,0)),0,VLOOKUP($S$664,'TAR FIN'!$A$1:$O$113,15,0))</f>
        <v>24.31</v>
      </c>
      <c r="W664" s="4">
        <f>IF(ISERROR(VLOOKUP($T$664,'TAR FIN'!$A$1:$O$113,15,0)),0,VLOOKUP($T$664,'TAR FIN'!$A$1:$O$113,15,0))</f>
        <v>0</v>
      </c>
      <c r="X664" s="4">
        <f>IF(ISERROR(VLOOKUP($U$664,'TAR FIN'!$A$1:$O$113,15,0)),0,VLOOKUP($U$664,'TAR FIN'!$A$1:$O$113,15,0))</f>
        <v>0</v>
      </c>
      <c r="Y664" s="4">
        <f ca="1">('TUSD BE'!$AM$30+'TUSD BF'!$AM$30+'TUSD CVA'!$AM$30)*1</f>
        <v>26.598074646640526</v>
      </c>
      <c r="Z664" s="4"/>
      <c r="AA664" s="4"/>
      <c r="AB664" s="4">
        <f>$K$664*$V$664</f>
        <v>113527.7</v>
      </c>
      <c r="AC664" s="4">
        <f>$M$664*$W$664</f>
        <v>0</v>
      </c>
      <c r="AD664" s="4">
        <f>$O$664*$X$664</f>
        <v>0</v>
      </c>
      <c r="AE664" s="4">
        <f ca="1">$K$664*$Y$664</f>
        <v>124213.00859981126</v>
      </c>
      <c r="AF664" s="4">
        <f>$M$664*$Z$664</f>
        <v>0</v>
      </c>
      <c r="AG664" s="4">
        <f>$O$664*$AA$664</f>
        <v>0</v>
      </c>
    </row>
    <row r="665" spans="1:33" ht="11.25" customHeight="1" x14ac:dyDescent="0.25">
      <c r="A665" s="3" t="s">
        <v>21</v>
      </c>
      <c r="B665" s="3" t="s">
        <v>41</v>
      </c>
      <c r="C665" s="3" t="s">
        <v>42</v>
      </c>
      <c r="D665" s="3" t="s">
        <v>43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44440</v>
      </c>
      <c r="J665" s="4">
        <v>2239</v>
      </c>
      <c r="K665" s="4">
        <v>2239</v>
      </c>
      <c r="L665" s="4">
        <v>0</v>
      </c>
      <c r="M665" s="4">
        <v>0</v>
      </c>
      <c r="N665" s="4">
        <v>0</v>
      </c>
      <c r="O665" s="4">
        <v>0</v>
      </c>
      <c r="P665" s="4">
        <v>2</v>
      </c>
      <c r="Q665" s="3" t="s">
        <v>57</v>
      </c>
      <c r="R665" s="3">
        <v>0</v>
      </c>
      <c r="S665" s="4">
        <v>44</v>
      </c>
      <c r="T665" s="4">
        <v>0</v>
      </c>
      <c r="U665" s="4">
        <v>0</v>
      </c>
      <c r="V665" s="4">
        <f>IF(ISERROR(VLOOKUP($S$665,'TAR FIN'!$A$1:$O$113,15,0)),0,VLOOKUP($S$665,'TAR FIN'!$A$1:$O$113,15,0))</f>
        <v>24.31</v>
      </c>
      <c r="W665" s="4">
        <f>IF(ISERROR(VLOOKUP($T$665,'TAR FIN'!$A$1:$O$113,15,0)),0,VLOOKUP($T$665,'TAR FIN'!$A$1:$O$113,15,0))</f>
        <v>0</v>
      </c>
      <c r="X665" s="4">
        <f>IF(ISERROR(VLOOKUP($U$665,'TAR FIN'!$A$1:$O$113,15,0)),0,VLOOKUP($U$665,'TAR FIN'!$A$1:$O$113,15,0))</f>
        <v>0</v>
      </c>
      <c r="Y665" s="4">
        <f ca="1">('TUSD BE'!$AM$30+'TUSD BF'!$AM$30+'TUSD CVA'!$AM$30)*1</f>
        <v>26.598074646640526</v>
      </c>
      <c r="Z665" s="4"/>
      <c r="AA665" s="4"/>
      <c r="AB665" s="4">
        <f>$K$665*$V$665</f>
        <v>54430.09</v>
      </c>
      <c r="AC665" s="4">
        <f>$M$665*$W$665</f>
        <v>0</v>
      </c>
      <c r="AD665" s="4">
        <f>$O$665*$X$665</f>
        <v>0</v>
      </c>
      <c r="AE665" s="4">
        <f ca="1">$K$665*$Y$665</f>
        <v>59553.089133828136</v>
      </c>
      <c r="AF665" s="4">
        <f>$M$665*$Z$665</f>
        <v>0</v>
      </c>
      <c r="AG665" s="4">
        <f>$O$665*$AA$665</f>
        <v>0</v>
      </c>
    </row>
    <row r="666" spans="1:33" ht="11.25" customHeight="1" x14ac:dyDescent="0.25">
      <c r="A666" s="3" t="s">
        <v>21</v>
      </c>
      <c r="B666" s="3" t="s">
        <v>41</v>
      </c>
      <c r="C666" s="3" t="s">
        <v>42</v>
      </c>
      <c r="D666" s="3" t="s">
        <v>43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44470</v>
      </c>
      <c r="J666" s="4">
        <v>48707</v>
      </c>
      <c r="K666" s="4">
        <v>48707</v>
      </c>
      <c r="L666" s="4">
        <v>0</v>
      </c>
      <c r="M666" s="4">
        <v>0</v>
      </c>
      <c r="N666" s="4">
        <v>0</v>
      </c>
      <c r="O666" s="4">
        <v>0</v>
      </c>
      <c r="P666" s="4">
        <v>452</v>
      </c>
      <c r="Q666" s="3" t="s">
        <v>26</v>
      </c>
      <c r="R666" s="3">
        <v>0</v>
      </c>
      <c r="S666" s="4">
        <v>44</v>
      </c>
      <c r="T666" s="4">
        <v>0</v>
      </c>
      <c r="U666" s="4">
        <v>0</v>
      </c>
      <c r="V666" s="4">
        <f>IF(ISERROR(VLOOKUP($S$666,'TAR FIN'!$A$1:$O$113,15,0)),0,VLOOKUP($S$666,'TAR FIN'!$A$1:$O$113,15,0))</f>
        <v>24.31</v>
      </c>
      <c r="W666" s="4">
        <f>IF(ISERROR(VLOOKUP($T$666,'TAR FIN'!$A$1:$O$113,15,0)),0,VLOOKUP($T$666,'TAR FIN'!$A$1:$O$113,15,0))</f>
        <v>0</v>
      </c>
      <c r="X666" s="4">
        <f>IF(ISERROR(VLOOKUP($U$666,'TAR FIN'!$A$1:$O$113,15,0)),0,VLOOKUP($U$666,'TAR FIN'!$A$1:$O$113,15,0))</f>
        <v>0</v>
      </c>
      <c r="Y666" s="4">
        <f ca="1">('TUSD BE'!$AM$30+'TUSD BF'!$AM$30+'TUSD CVA'!$AM$30)*1</f>
        <v>26.598074646640526</v>
      </c>
      <c r="Z666" s="4"/>
      <c r="AA666" s="4"/>
      <c r="AB666" s="4">
        <f>$K$666*$V$666</f>
        <v>1184067.17</v>
      </c>
      <c r="AC666" s="4">
        <f>$M$666*$W$666</f>
        <v>0</v>
      </c>
      <c r="AD666" s="4">
        <f>$O$666*$X$666</f>
        <v>0</v>
      </c>
      <c r="AE666" s="4">
        <f ca="1">$K$666*$Y$666</f>
        <v>1295512.4218139201</v>
      </c>
      <c r="AF666" s="4">
        <f>$M$666*$Z$666</f>
        <v>0</v>
      </c>
      <c r="AG666" s="4">
        <f>$O$666*$AA$666</f>
        <v>0</v>
      </c>
    </row>
    <row r="667" spans="1:33" ht="11.25" customHeight="1" x14ac:dyDescent="0.25">
      <c r="A667" s="3" t="s">
        <v>27</v>
      </c>
      <c r="B667" s="3" t="s">
        <v>41</v>
      </c>
      <c r="C667" s="3" t="s">
        <v>42</v>
      </c>
      <c r="D667" s="3" t="s">
        <v>43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44470</v>
      </c>
      <c r="J667" s="4">
        <v>-958</v>
      </c>
      <c r="K667" s="4">
        <v>-958</v>
      </c>
      <c r="L667" s="4">
        <v>0</v>
      </c>
      <c r="M667" s="4">
        <v>0</v>
      </c>
      <c r="N667" s="4">
        <v>0</v>
      </c>
      <c r="O667" s="4">
        <v>0</v>
      </c>
      <c r="P667" s="4">
        <v>-1</v>
      </c>
      <c r="Q667" s="3" t="s">
        <v>26</v>
      </c>
      <c r="R667" s="3">
        <v>0</v>
      </c>
      <c r="S667" s="4">
        <v>44</v>
      </c>
      <c r="T667" s="4">
        <v>0</v>
      </c>
      <c r="U667" s="4">
        <v>0</v>
      </c>
      <c r="V667" s="4">
        <f>IF(ISERROR(VLOOKUP($S$667,'TAR FIN'!$A$1:$O$113,15,0)),0,VLOOKUP($S$667,'TAR FIN'!$A$1:$O$113,15,0))</f>
        <v>24.31</v>
      </c>
      <c r="W667" s="4">
        <f>IF(ISERROR(VLOOKUP($T$667,'TAR FIN'!$A$1:$O$113,15,0)),0,VLOOKUP($T$667,'TAR FIN'!$A$1:$O$113,15,0))</f>
        <v>0</v>
      </c>
      <c r="X667" s="4">
        <f>IF(ISERROR(VLOOKUP($U$667,'TAR FIN'!$A$1:$O$113,15,0)),0,VLOOKUP($U$667,'TAR FIN'!$A$1:$O$113,15,0))</f>
        <v>0</v>
      </c>
      <c r="Y667" s="4">
        <f ca="1">('TUSD BE'!$AM$30+'TUSD BF'!$AM$30+'TUSD CVA'!$AM$30)*1</f>
        <v>26.598074646640526</v>
      </c>
      <c r="Z667" s="4"/>
      <c r="AA667" s="4"/>
      <c r="AB667" s="4">
        <f>$K$667*$V$667</f>
        <v>-23288.98</v>
      </c>
      <c r="AC667" s="4">
        <f>$M$667*$W$667</f>
        <v>0</v>
      </c>
      <c r="AD667" s="4">
        <f>$O$667*$X$667</f>
        <v>0</v>
      </c>
      <c r="AE667" s="4">
        <f ca="1">$K$667*$Y$667</f>
        <v>-25480.955511481625</v>
      </c>
      <c r="AF667" s="4">
        <f>$M$667*$Z$667</f>
        <v>0</v>
      </c>
      <c r="AG667" s="4">
        <f>$O$667*$AA$667</f>
        <v>0</v>
      </c>
    </row>
    <row r="668" spans="1:33" ht="11.25" customHeight="1" x14ac:dyDescent="0.25">
      <c r="A668" s="3" t="s">
        <v>28</v>
      </c>
      <c r="B668" s="3" t="s">
        <v>41</v>
      </c>
      <c r="C668" s="3" t="s">
        <v>42</v>
      </c>
      <c r="D668" s="3" t="s">
        <v>43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44470</v>
      </c>
      <c r="J668" s="4">
        <v>4634</v>
      </c>
      <c r="K668" s="4">
        <v>4634</v>
      </c>
      <c r="L668" s="4">
        <v>0</v>
      </c>
      <c r="M668" s="4">
        <v>0</v>
      </c>
      <c r="N668" s="4">
        <v>0</v>
      </c>
      <c r="O668" s="4">
        <v>0</v>
      </c>
      <c r="P668" s="4">
        <v>28</v>
      </c>
      <c r="Q668" s="3" t="s">
        <v>26</v>
      </c>
      <c r="R668" s="3">
        <v>0</v>
      </c>
      <c r="S668" s="4">
        <v>44</v>
      </c>
      <c r="T668" s="4">
        <v>0</v>
      </c>
      <c r="U668" s="4">
        <v>0</v>
      </c>
      <c r="V668" s="4">
        <f>IF(ISERROR(VLOOKUP($S$668,'TAR FIN'!$A$1:$O$113,15,0)),0,VLOOKUP($S$668,'TAR FIN'!$A$1:$O$113,15,0))</f>
        <v>24.31</v>
      </c>
      <c r="W668" s="4">
        <f>IF(ISERROR(VLOOKUP($T$668,'TAR FIN'!$A$1:$O$113,15,0)),0,VLOOKUP($T$668,'TAR FIN'!$A$1:$O$113,15,0))</f>
        <v>0</v>
      </c>
      <c r="X668" s="4">
        <f>IF(ISERROR(VLOOKUP($U$668,'TAR FIN'!$A$1:$O$113,15,0)),0,VLOOKUP($U$668,'TAR FIN'!$A$1:$O$113,15,0))</f>
        <v>0</v>
      </c>
      <c r="Y668" s="4">
        <f ca="1">('TUSD BE'!$AM$30+'TUSD BF'!$AM$30+'TUSD CVA'!$AM$30)*1</f>
        <v>26.598074646640526</v>
      </c>
      <c r="Z668" s="4"/>
      <c r="AA668" s="4"/>
      <c r="AB668" s="4">
        <f>$K$668*$V$668</f>
        <v>112652.54</v>
      </c>
      <c r="AC668" s="4">
        <f>$M$668*$W$668</f>
        <v>0</v>
      </c>
      <c r="AD668" s="4">
        <f>$O$668*$X$668</f>
        <v>0</v>
      </c>
      <c r="AE668" s="4">
        <f ca="1">$K$668*$Y$668</f>
        <v>123255.47791253219</v>
      </c>
      <c r="AF668" s="4">
        <f>$M$668*$Z$668</f>
        <v>0</v>
      </c>
      <c r="AG668" s="4">
        <f>$O$668*$AA$668</f>
        <v>0</v>
      </c>
    </row>
    <row r="669" spans="1:33" ht="11.25" customHeight="1" x14ac:dyDescent="0.25">
      <c r="A669" s="3" t="s">
        <v>21</v>
      </c>
      <c r="B669" s="3" t="s">
        <v>41</v>
      </c>
      <c r="C669" s="3" t="s">
        <v>42</v>
      </c>
      <c r="D669" s="3" t="s">
        <v>43</v>
      </c>
      <c r="E669" s="3" t="s">
        <v>25</v>
      </c>
      <c r="F669" s="3" t="s">
        <v>25</v>
      </c>
      <c r="G669" s="3" t="s">
        <v>25</v>
      </c>
      <c r="H669" s="3" t="s">
        <v>25</v>
      </c>
      <c r="I669" s="6">
        <v>44470</v>
      </c>
      <c r="J669" s="4">
        <v>2239</v>
      </c>
      <c r="K669" s="4">
        <v>2239</v>
      </c>
      <c r="L669" s="4">
        <v>0</v>
      </c>
      <c r="M669" s="4">
        <v>0</v>
      </c>
      <c r="N669" s="4">
        <v>0</v>
      </c>
      <c r="O669" s="4">
        <v>0</v>
      </c>
      <c r="P669" s="4">
        <v>2</v>
      </c>
      <c r="Q669" s="3" t="s">
        <v>57</v>
      </c>
      <c r="R669" s="3">
        <v>0</v>
      </c>
      <c r="S669" s="4">
        <v>44</v>
      </c>
      <c r="T669" s="4">
        <v>0</v>
      </c>
      <c r="U669" s="4">
        <v>0</v>
      </c>
      <c r="V669" s="4">
        <f>IF(ISERROR(VLOOKUP($S$669,'TAR FIN'!$A$1:$O$113,15,0)),0,VLOOKUP($S$669,'TAR FIN'!$A$1:$O$113,15,0))</f>
        <v>24.31</v>
      </c>
      <c r="W669" s="4">
        <f>IF(ISERROR(VLOOKUP($T$669,'TAR FIN'!$A$1:$O$113,15,0)),0,VLOOKUP($T$669,'TAR FIN'!$A$1:$O$113,15,0))</f>
        <v>0</v>
      </c>
      <c r="X669" s="4">
        <f>IF(ISERROR(VLOOKUP($U$669,'TAR FIN'!$A$1:$O$113,15,0)),0,VLOOKUP($U$669,'TAR FIN'!$A$1:$O$113,15,0))</f>
        <v>0</v>
      </c>
      <c r="Y669" s="4">
        <f ca="1">('TUSD BE'!$AM$30+'TUSD BF'!$AM$30+'TUSD CVA'!$AM$30)*1</f>
        <v>26.598074646640526</v>
      </c>
      <c r="Z669" s="4"/>
      <c r="AA669" s="4"/>
      <c r="AB669" s="4">
        <f>$K$669*$V$669</f>
        <v>54430.09</v>
      </c>
      <c r="AC669" s="4">
        <f>$M$669*$W$669</f>
        <v>0</v>
      </c>
      <c r="AD669" s="4">
        <f>$O$669*$X$669</f>
        <v>0</v>
      </c>
      <c r="AE669" s="4">
        <f ca="1">$K$669*$Y$669</f>
        <v>59553.089133828136</v>
      </c>
      <c r="AF669" s="4">
        <f>$M$669*$Z$669</f>
        <v>0</v>
      </c>
      <c r="AG669" s="4">
        <f>$O$669*$AA$669</f>
        <v>0</v>
      </c>
    </row>
    <row r="670" spans="1:33" ht="11.25" customHeight="1" x14ac:dyDescent="0.25">
      <c r="A670" s="3" t="s">
        <v>21</v>
      </c>
      <c r="B670" s="3" t="s">
        <v>41</v>
      </c>
      <c r="C670" s="3" t="s">
        <v>42</v>
      </c>
      <c r="D670" s="3" t="s">
        <v>43</v>
      </c>
      <c r="E670" s="3" t="s">
        <v>25</v>
      </c>
      <c r="F670" s="3" t="s">
        <v>25</v>
      </c>
      <c r="G670" s="3" t="s">
        <v>25</v>
      </c>
      <c r="H670" s="3" t="s">
        <v>25</v>
      </c>
      <c r="I670" s="6">
        <v>44501</v>
      </c>
      <c r="J670" s="4">
        <v>49499</v>
      </c>
      <c r="K670" s="4">
        <v>49499</v>
      </c>
      <c r="L670" s="4">
        <v>0</v>
      </c>
      <c r="M670" s="4">
        <v>0</v>
      </c>
      <c r="N670" s="4">
        <v>0</v>
      </c>
      <c r="O670" s="4">
        <v>0</v>
      </c>
      <c r="P670" s="4">
        <v>453</v>
      </c>
      <c r="Q670" s="3" t="s">
        <v>26</v>
      </c>
      <c r="R670" s="3">
        <v>0</v>
      </c>
      <c r="S670" s="4">
        <v>44</v>
      </c>
      <c r="T670" s="4">
        <v>0</v>
      </c>
      <c r="U670" s="4">
        <v>0</v>
      </c>
      <c r="V670" s="4">
        <f>IF(ISERROR(VLOOKUP($S$670,'TAR FIN'!$A$1:$O$113,15,0)),0,VLOOKUP($S$670,'TAR FIN'!$A$1:$O$113,15,0))</f>
        <v>24.31</v>
      </c>
      <c r="W670" s="4">
        <f>IF(ISERROR(VLOOKUP($T$670,'TAR FIN'!$A$1:$O$113,15,0)),0,VLOOKUP($T$670,'TAR FIN'!$A$1:$O$113,15,0))</f>
        <v>0</v>
      </c>
      <c r="X670" s="4">
        <f>IF(ISERROR(VLOOKUP($U$670,'TAR FIN'!$A$1:$O$113,15,0)),0,VLOOKUP($U$670,'TAR FIN'!$A$1:$O$113,15,0))</f>
        <v>0</v>
      </c>
      <c r="Y670" s="4">
        <f ca="1">('TUSD BE'!$AM$30+'TUSD BF'!$AM$30+'TUSD CVA'!$AM$30)*1</f>
        <v>26.598074646640526</v>
      </c>
      <c r="Z670" s="4"/>
      <c r="AA670" s="4"/>
      <c r="AB670" s="4">
        <f>$K$670*$V$670</f>
        <v>1203320.69</v>
      </c>
      <c r="AC670" s="4">
        <f>$M$670*$W$670</f>
        <v>0</v>
      </c>
      <c r="AD670" s="4">
        <f>$O$670*$X$670</f>
        <v>0</v>
      </c>
      <c r="AE670" s="4">
        <f ca="1">$K$670*$Y$670</f>
        <v>1316578.0969340594</v>
      </c>
      <c r="AF670" s="4">
        <f>$M$670*$Z$670</f>
        <v>0</v>
      </c>
      <c r="AG670" s="4">
        <f>$O$670*$AA$670</f>
        <v>0</v>
      </c>
    </row>
    <row r="671" spans="1:33" ht="11.25" customHeight="1" x14ac:dyDescent="0.25">
      <c r="A671" s="3" t="s">
        <v>27</v>
      </c>
      <c r="B671" s="3" t="s">
        <v>41</v>
      </c>
      <c r="C671" s="3" t="s">
        <v>42</v>
      </c>
      <c r="D671" s="3" t="s">
        <v>43</v>
      </c>
      <c r="E671" s="3" t="s">
        <v>25</v>
      </c>
      <c r="F671" s="3" t="s">
        <v>25</v>
      </c>
      <c r="G671" s="3" t="s">
        <v>25</v>
      </c>
      <c r="H671" s="3" t="s">
        <v>25</v>
      </c>
      <c r="I671" s="6">
        <v>44501</v>
      </c>
      <c r="J671" s="4">
        <v>340</v>
      </c>
      <c r="K671" s="4">
        <v>340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3" t="s">
        <v>26</v>
      </c>
      <c r="R671" s="3">
        <v>0</v>
      </c>
      <c r="S671" s="4">
        <v>44</v>
      </c>
      <c r="T671" s="4">
        <v>0</v>
      </c>
      <c r="U671" s="4">
        <v>0</v>
      </c>
      <c r="V671" s="4">
        <f>IF(ISERROR(VLOOKUP($S$671,'TAR FIN'!$A$1:$O$113,15,0)),0,VLOOKUP($S$671,'TAR FIN'!$A$1:$O$113,15,0))</f>
        <v>24.31</v>
      </c>
      <c r="W671" s="4">
        <f>IF(ISERROR(VLOOKUP($T$671,'TAR FIN'!$A$1:$O$113,15,0)),0,VLOOKUP($T$671,'TAR FIN'!$A$1:$O$113,15,0))</f>
        <v>0</v>
      </c>
      <c r="X671" s="4">
        <f>IF(ISERROR(VLOOKUP($U$671,'TAR FIN'!$A$1:$O$113,15,0)),0,VLOOKUP($U$671,'TAR FIN'!$A$1:$O$113,15,0))</f>
        <v>0</v>
      </c>
      <c r="Y671" s="4">
        <f ca="1">('TUSD BE'!$AM$30+'TUSD BF'!$AM$30+'TUSD CVA'!$AM$30)*1</f>
        <v>26.598074646640526</v>
      </c>
      <c r="Z671" s="4"/>
      <c r="AA671" s="4"/>
      <c r="AB671" s="4">
        <f>$K$671*$V$671</f>
        <v>8265.4</v>
      </c>
      <c r="AC671" s="4">
        <f>$M$671*$W$671</f>
        <v>0</v>
      </c>
      <c r="AD671" s="4">
        <f>$O$671*$X$671</f>
        <v>0</v>
      </c>
      <c r="AE671" s="4">
        <f ca="1">$K$671*$Y$671</f>
        <v>9043.3453798577793</v>
      </c>
      <c r="AF671" s="4">
        <f>$M$671*$Z$671</f>
        <v>0</v>
      </c>
      <c r="AG671" s="4">
        <f>$O$671*$AA$671</f>
        <v>0</v>
      </c>
    </row>
    <row r="672" spans="1:33" ht="11.25" customHeight="1" x14ac:dyDescent="0.25">
      <c r="A672" s="3" t="s">
        <v>28</v>
      </c>
      <c r="B672" s="3" t="s">
        <v>41</v>
      </c>
      <c r="C672" s="3" t="s">
        <v>42</v>
      </c>
      <c r="D672" s="3" t="s">
        <v>43</v>
      </c>
      <c r="E672" s="3" t="s">
        <v>25</v>
      </c>
      <c r="F672" s="3" t="s">
        <v>25</v>
      </c>
      <c r="G672" s="3" t="s">
        <v>25</v>
      </c>
      <c r="H672" s="3" t="s">
        <v>25</v>
      </c>
      <c r="I672" s="6">
        <v>44501</v>
      </c>
      <c r="J672" s="4">
        <v>5057</v>
      </c>
      <c r="K672" s="4">
        <v>5057</v>
      </c>
      <c r="L672" s="4">
        <v>0</v>
      </c>
      <c r="M672" s="4">
        <v>0</v>
      </c>
      <c r="N672" s="4">
        <v>0</v>
      </c>
      <c r="O672" s="4">
        <v>0</v>
      </c>
      <c r="P672" s="4">
        <v>30</v>
      </c>
      <c r="Q672" s="3" t="s">
        <v>26</v>
      </c>
      <c r="R672" s="3">
        <v>0</v>
      </c>
      <c r="S672" s="4">
        <v>44</v>
      </c>
      <c r="T672" s="4">
        <v>0</v>
      </c>
      <c r="U672" s="4">
        <v>0</v>
      </c>
      <c r="V672" s="4">
        <f>IF(ISERROR(VLOOKUP($S$672,'TAR FIN'!$A$1:$O$113,15,0)),0,VLOOKUP($S$672,'TAR FIN'!$A$1:$O$113,15,0))</f>
        <v>24.31</v>
      </c>
      <c r="W672" s="4">
        <f>IF(ISERROR(VLOOKUP($T$672,'TAR FIN'!$A$1:$O$113,15,0)),0,VLOOKUP($T$672,'TAR FIN'!$A$1:$O$113,15,0))</f>
        <v>0</v>
      </c>
      <c r="X672" s="4">
        <f>IF(ISERROR(VLOOKUP($U$672,'TAR FIN'!$A$1:$O$113,15,0)),0,VLOOKUP($U$672,'TAR FIN'!$A$1:$O$113,15,0))</f>
        <v>0</v>
      </c>
      <c r="Y672" s="4">
        <f ca="1">('TUSD BE'!$AM$30+'TUSD BF'!$AM$30+'TUSD CVA'!$AM$30)*1</f>
        <v>26.598074646640526</v>
      </c>
      <c r="Z672" s="4"/>
      <c r="AA672" s="4"/>
      <c r="AB672" s="4">
        <f>$K$672*$V$672</f>
        <v>122935.67</v>
      </c>
      <c r="AC672" s="4">
        <f>$M$672*$W$672</f>
        <v>0</v>
      </c>
      <c r="AD672" s="4">
        <f>$O$672*$X$672</f>
        <v>0</v>
      </c>
      <c r="AE672" s="4">
        <f ca="1">$K$672*$Y$672</f>
        <v>134506.46348806116</v>
      </c>
      <c r="AF672" s="4">
        <f>$M$672*$Z$672</f>
        <v>0</v>
      </c>
      <c r="AG672" s="4">
        <f>$O$672*$AA$672</f>
        <v>0</v>
      </c>
    </row>
    <row r="673" spans="1:33" ht="11.25" customHeight="1" x14ac:dyDescent="0.25">
      <c r="A673" s="3" t="s">
        <v>21</v>
      </c>
      <c r="B673" s="3" t="s">
        <v>41</v>
      </c>
      <c r="C673" s="3" t="s">
        <v>42</v>
      </c>
      <c r="D673" s="3" t="s">
        <v>43</v>
      </c>
      <c r="E673" s="3" t="s">
        <v>25</v>
      </c>
      <c r="F673" s="3" t="s">
        <v>25</v>
      </c>
      <c r="G673" s="3" t="s">
        <v>25</v>
      </c>
      <c r="H673" s="3" t="s">
        <v>25</v>
      </c>
      <c r="I673" s="6">
        <v>44501</v>
      </c>
      <c r="J673" s="4">
        <v>2175</v>
      </c>
      <c r="K673" s="4">
        <v>2175</v>
      </c>
      <c r="L673" s="4">
        <v>0</v>
      </c>
      <c r="M673" s="4">
        <v>0</v>
      </c>
      <c r="N673" s="4">
        <v>0</v>
      </c>
      <c r="O673" s="4">
        <v>0</v>
      </c>
      <c r="P673" s="4">
        <v>2</v>
      </c>
      <c r="Q673" s="3" t="s">
        <v>57</v>
      </c>
      <c r="R673" s="3">
        <v>0</v>
      </c>
      <c r="S673" s="4">
        <v>44</v>
      </c>
      <c r="T673" s="4">
        <v>0</v>
      </c>
      <c r="U673" s="4">
        <v>0</v>
      </c>
      <c r="V673" s="4">
        <f>IF(ISERROR(VLOOKUP($S$673,'TAR FIN'!$A$1:$O$113,15,0)),0,VLOOKUP($S$673,'TAR FIN'!$A$1:$O$113,15,0))</f>
        <v>24.31</v>
      </c>
      <c r="W673" s="4">
        <f>IF(ISERROR(VLOOKUP($T$673,'TAR FIN'!$A$1:$O$113,15,0)),0,VLOOKUP($T$673,'TAR FIN'!$A$1:$O$113,15,0))</f>
        <v>0</v>
      </c>
      <c r="X673" s="4">
        <f>IF(ISERROR(VLOOKUP($U$673,'TAR FIN'!$A$1:$O$113,15,0)),0,VLOOKUP($U$673,'TAR FIN'!$A$1:$O$113,15,0))</f>
        <v>0</v>
      </c>
      <c r="Y673" s="4">
        <f ca="1">('TUSD BE'!$AM$30+'TUSD BF'!$AM$30+'TUSD CVA'!$AM$30)*1</f>
        <v>26.598074646640526</v>
      </c>
      <c r="Z673" s="4"/>
      <c r="AA673" s="4"/>
      <c r="AB673" s="4">
        <f>$K$673*$V$673</f>
        <v>52874.25</v>
      </c>
      <c r="AC673" s="4">
        <f>$M$673*$W$673</f>
        <v>0</v>
      </c>
      <c r="AD673" s="4">
        <f>$O$673*$X$673</f>
        <v>0</v>
      </c>
      <c r="AE673" s="4">
        <f ca="1">$K$673*$Y$673</f>
        <v>57850.812356443144</v>
      </c>
      <c r="AF673" s="4">
        <f>$M$673*$Z$673</f>
        <v>0</v>
      </c>
      <c r="AG673" s="4">
        <f>$O$673*$AA$673</f>
        <v>0</v>
      </c>
    </row>
    <row r="674" spans="1:33" ht="11.25" customHeight="1" x14ac:dyDescent="0.25">
      <c r="A674" s="3" t="s">
        <v>21</v>
      </c>
      <c r="B674" s="3" t="s">
        <v>41</v>
      </c>
      <c r="C674" s="3" t="s">
        <v>42</v>
      </c>
      <c r="D674" s="3" t="s">
        <v>43</v>
      </c>
      <c r="E674" s="3" t="s">
        <v>25</v>
      </c>
      <c r="F674" s="3" t="s">
        <v>25</v>
      </c>
      <c r="G674" s="3" t="s">
        <v>25</v>
      </c>
      <c r="H674" s="3" t="s">
        <v>25</v>
      </c>
      <c r="I674" s="6">
        <v>44531</v>
      </c>
      <c r="J674" s="4">
        <v>49135</v>
      </c>
      <c r="K674" s="4">
        <v>49135</v>
      </c>
      <c r="L674" s="4">
        <v>0</v>
      </c>
      <c r="M674" s="4">
        <v>0</v>
      </c>
      <c r="N674" s="4">
        <v>0</v>
      </c>
      <c r="O674" s="4">
        <v>0</v>
      </c>
      <c r="P674" s="4">
        <v>446</v>
      </c>
      <c r="Q674" s="3" t="s">
        <v>26</v>
      </c>
      <c r="R674" s="3">
        <v>0</v>
      </c>
      <c r="S674" s="4">
        <v>44</v>
      </c>
      <c r="T674" s="4">
        <v>0</v>
      </c>
      <c r="U674" s="4">
        <v>0</v>
      </c>
      <c r="V674" s="4">
        <f>IF(ISERROR(VLOOKUP($S$674,'TAR FIN'!$A$1:$O$113,15,0)),0,VLOOKUP($S$674,'TAR FIN'!$A$1:$O$113,15,0))</f>
        <v>24.31</v>
      </c>
      <c r="W674" s="4">
        <f>IF(ISERROR(VLOOKUP($T$674,'TAR FIN'!$A$1:$O$113,15,0)),0,VLOOKUP($T$674,'TAR FIN'!$A$1:$O$113,15,0))</f>
        <v>0</v>
      </c>
      <c r="X674" s="4">
        <f>IF(ISERROR(VLOOKUP($U$674,'TAR FIN'!$A$1:$O$113,15,0)),0,VLOOKUP($U$674,'TAR FIN'!$A$1:$O$113,15,0))</f>
        <v>0</v>
      </c>
      <c r="Y674" s="4">
        <f ca="1">('TUSD BE'!$AM$30+'TUSD BF'!$AM$30+'TUSD CVA'!$AM$30)*1</f>
        <v>26.598074646640526</v>
      </c>
      <c r="Z674" s="4"/>
      <c r="AA674" s="4"/>
      <c r="AB674" s="4">
        <f>$K$674*$V$674</f>
        <v>1194471.8499999999</v>
      </c>
      <c r="AC674" s="4">
        <f>$M$674*$W$674</f>
        <v>0</v>
      </c>
      <c r="AD674" s="4">
        <f>$O$674*$X$674</f>
        <v>0</v>
      </c>
      <c r="AE674" s="4">
        <f ca="1">$K$674*$Y$674</f>
        <v>1306896.3977626823</v>
      </c>
      <c r="AF674" s="4">
        <f>$M$674*$Z$674</f>
        <v>0</v>
      </c>
      <c r="AG674" s="4">
        <f>$O$674*$AA$674</f>
        <v>0</v>
      </c>
    </row>
    <row r="675" spans="1:33" ht="11.25" customHeight="1" x14ac:dyDescent="0.25">
      <c r="A675" s="3" t="s">
        <v>27</v>
      </c>
      <c r="B675" s="3" t="s">
        <v>41</v>
      </c>
      <c r="C675" s="3" t="s">
        <v>42</v>
      </c>
      <c r="D675" s="3" t="s">
        <v>43</v>
      </c>
      <c r="E675" s="3" t="s">
        <v>25</v>
      </c>
      <c r="F675" s="3" t="s">
        <v>25</v>
      </c>
      <c r="G675" s="3" t="s">
        <v>25</v>
      </c>
      <c r="H675" s="3" t="s">
        <v>25</v>
      </c>
      <c r="I675" s="6">
        <v>44531</v>
      </c>
      <c r="J675" s="4">
        <v>323</v>
      </c>
      <c r="K675" s="4">
        <v>323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3" t="s">
        <v>26</v>
      </c>
      <c r="R675" s="3">
        <v>0</v>
      </c>
      <c r="S675" s="4">
        <v>44</v>
      </c>
      <c r="T675" s="4">
        <v>0</v>
      </c>
      <c r="U675" s="4">
        <v>0</v>
      </c>
      <c r="V675" s="4">
        <f>IF(ISERROR(VLOOKUP($S$675,'TAR FIN'!$A$1:$O$113,15,0)),0,VLOOKUP($S$675,'TAR FIN'!$A$1:$O$113,15,0))</f>
        <v>24.31</v>
      </c>
      <c r="W675" s="4">
        <f>IF(ISERROR(VLOOKUP($T$675,'TAR FIN'!$A$1:$O$113,15,0)),0,VLOOKUP($T$675,'TAR FIN'!$A$1:$O$113,15,0))</f>
        <v>0</v>
      </c>
      <c r="X675" s="4">
        <f>IF(ISERROR(VLOOKUP($U$675,'TAR FIN'!$A$1:$O$113,15,0)),0,VLOOKUP($U$675,'TAR FIN'!$A$1:$O$113,15,0))</f>
        <v>0</v>
      </c>
      <c r="Y675" s="4">
        <f ca="1">('TUSD BE'!$AM$30+'TUSD BF'!$AM$30+'TUSD CVA'!$AM$30)*1</f>
        <v>26.598074646640526</v>
      </c>
      <c r="Z675" s="4"/>
      <c r="AA675" s="4"/>
      <c r="AB675" s="4">
        <f>$K$675*$V$675</f>
        <v>7852.1299999999992</v>
      </c>
      <c r="AC675" s="4">
        <f>$M$675*$W$675</f>
        <v>0</v>
      </c>
      <c r="AD675" s="4">
        <f>$O$675*$X$675</f>
        <v>0</v>
      </c>
      <c r="AE675" s="4">
        <f ca="1">$K$675*$Y$675</f>
        <v>8591.1781108648902</v>
      </c>
      <c r="AF675" s="4">
        <f>$M$675*$Z$675</f>
        <v>0</v>
      </c>
      <c r="AG675" s="4">
        <f>$O$675*$AA$675</f>
        <v>0</v>
      </c>
    </row>
    <row r="676" spans="1:33" ht="11.25" customHeight="1" x14ac:dyDescent="0.25">
      <c r="A676" s="3" t="s">
        <v>28</v>
      </c>
      <c r="B676" s="3" t="s">
        <v>41</v>
      </c>
      <c r="C676" s="3" t="s">
        <v>42</v>
      </c>
      <c r="D676" s="3" t="s">
        <v>43</v>
      </c>
      <c r="E676" s="3" t="s">
        <v>25</v>
      </c>
      <c r="F676" s="3" t="s">
        <v>25</v>
      </c>
      <c r="G676" s="3" t="s">
        <v>25</v>
      </c>
      <c r="H676" s="3" t="s">
        <v>25</v>
      </c>
      <c r="I676" s="6">
        <v>44531</v>
      </c>
      <c r="J676" s="4">
        <v>5529</v>
      </c>
      <c r="K676" s="4">
        <v>5529</v>
      </c>
      <c r="L676" s="4">
        <v>0</v>
      </c>
      <c r="M676" s="4">
        <v>0</v>
      </c>
      <c r="N676" s="4">
        <v>0</v>
      </c>
      <c r="O676" s="4">
        <v>0</v>
      </c>
      <c r="P676" s="4">
        <v>36</v>
      </c>
      <c r="Q676" s="3" t="s">
        <v>26</v>
      </c>
      <c r="R676" s="3">
        <v>0</v>
      </c>
      <c r="S676" s="4">
        <v>44</v>
      </c>
      <c r="T676" s="4">
        <v>0</v>
      </c>
      <c r="U676" s="4">
        <v>0</v>
      </c>
      <c r="V676" s="4">
        <f>IF(ISERROR(VLOOKUP($S$676,'TAR FIN'!$A$1:$O$113,15,0)),0,VLOOKUP($S$676,'TAR FIN'!$A$1:$O$113,15,0))</f>
        <v>24.31</v>
      </c>
      <c r="W676" s="4">
        <f>IF(ISERROR(VLOOKUP($T$676,'TAR FIN'!$A$1:$O$113,15,0)),0,VLOOKUP($T$676,'TAR FIN'!$A$1:$O$113,15,0))</f>
        <v>0</v>
      </c>
      <c r="X676" s="4">
        <f>IF(ISERROR(VLOOKUP($U$676,'TAR FIN'!$A$1:$O$113,15,0)),0,VLOOKUP($U$676,'TAR FIN'!$A$1:$O$113,15,0))</f>
        <v>0</v>
      </c>
      <c r="Y676" s="4">
        <f ca="1">('TUSD BE'!$AM$30+'TUSD BF'!$AM$30+'TUSD CVA'!$AM$30)*1</f>
        <v>26.598074646640526</v>
      </c>
      <c r="Z676" s="4"/>
      <c r="AA676" s="4"/>
      <c r="AB676" s="4">
        <f>$K$676*$V$676</f>
        <v>134409.99</v>
      </c>
      <c r="AC676" s="4">
        <f>$M$676*$W$676</f>
        <v>0</v>
      </c>
      <c r="AD676" s="4">
        <f>$O$676*$X$676</f>
        <v>0</v>
      </c>
      <c r="AE676" s="4">
        <f ca="1">$K$676*$Y$676</f>
        <v>147060.75472127547</v>
      </c>
      <c r="AF676" s="4">
        <f>$M$676*$Z$676</f>
        <v>0</v>
      </c>
      <c r="AG676" s="4">
        <f>$O$676*$AA$676</f>
        <v>0</v>
      </c>
    </row>
    <row r="677" spans="1:33" ht="11.25" customHeight="1" x14ac:dyDescent="0.25">
      <c r="A677" s="3" t="s">
        <v>21</v>
      </c>
      <c r="B677" s="3" t="s">
        <v>41</v>
      </c>
      <c r="C677" s="3" t="s">
        <v>42</v>
      </c>
      <c r="D677" s="3" t="s">
        <v>43</v>
      </c>
      <c r="E677" s="3" t="s">
        <v>25</v>
      </c>
      <c r="F677" s="3" t="s">
        <v>25</v>
      </c>
      <c r="G677" s="3" t="s">
        <v>25</v>
      </c>
      <c r="H677" s="3" t="s">
        <v>25</v>
      </c>
      <c r="I677" s="6">
        <v>44531</v>
      </c>
      <c r="J677" s="4">
        <v>2175</v>
      </c>
      <c r="K677" s="4">
        <v>2175</v>
      </c>
      <c r="L677" s="4">
        <v>0</v>
      </c>
      <c r="M677" s="4">
        <v>0</v>
      </c>
      <c r="N677" s="4">
        <v>0</v>
      </c>
      <c r="O677" s="4">
        <v>0</v>
      </c>
      <c r="P677" s="4">
        <v>2</v>
      </c>
      <c r="Q677" s="3" t="s">
        <v>57</v>
      </c>
      <c r="R677" s="3">
        <v>0</v>
      </c>
      <c r="S677" s="4">
        <v>44</v>
      </c>
      <c r="T677" s="4">
        <v>0</v>
      </c>
      <c r="U677" s="4">
        <v>0</v>
      </c>
      <c r="V677" s="4">
        <f>IF(ISERROR(VLOOKUP($S$677,'TAR FIN'!$A$1:$O$113,15,0)),0,VLOOKUP($S$677,'TAR FIN'!$A$1:$O$113,15,0))</f>
        <v>24.31</v>
      </c>
      <c r="W677" s="4">
        <f>IF(ISERROR(VLOOKUP($T$677,'TAR FIN'!$A$1:$O$113,15,0)),0,VLOOKUP($T$677,'TAR FIN'!$A$1:$O$113,15,0))</f>
        <v>0</v>
      </c>
      <c r="X677" s="4">
        <f>IF(ISERROR(VLOOKUP($U$677,'TAR FIN'!$A$1:$O$113,15,0)),0,VLOOKUP($U$677,'TAR FIN'!$A$1:$O$113,15,0))</f>
        <v>0</v>
      </c>
      <c r="Y677" s="4">
        <f ca="1">('TUSD BE'!$AM$30+'TUSD BF'!$AM$30+'TUSD CVA'!$AM$30)*1</f>
        <v>26.598074646640526</v>
      </c>
      <c r="Z677" s="4"/>
      <c r="AA677" s="4"/>
      <c r="AB677" s="4">
        <f>$K$677*$V$677</f>
        <v>52874.25</v>
      </c>
      <c r="AC677" s="4">
        <f>$M$677*$W$677</f>
        <v>0</v>
      </c>
      <c r="AD677" s="4">
        <f>$O$677*$X$677</f>
        <v>0</v>
      </c>
      <c r="AE677" s="4">
        <f ca="1">$K$677*$Y$677</f>
        <v>57850.812356443144</v>
      </c>
      <c r="AF677" s="4">
        <f>$M$677*$Z$677</f>
        <v>0</v>
      </c>
      <c r="AG677" s="4">
        <f>$O$677*$AA$677</f>
        <v>0</v>
      </c>
    </row>
    <row r="678" spans="1:33" ht="11.25" customHeight="1" x14ac:dyDescent="0.25">
      <c r="A678" s="3" t="s">
        <v>21</v>
      </c>
      <c r="B678" s="3" t="s">
        <v>41</v>
      </c>
      <c r="C678" s="3" t="s">
        <v>42</v>
      </c>
      <c r="D678" s="3" t="s">
        <v>43</v>
      </c>
      <c r="E678" s="3" t="s">
        <v>25</v>
      </c>
      <c r="F678" s="3" t="s">
        <v>25</v>
      </c>
      <c r="G678" s="3" t="s">
        <v>25</v>
      </c>
      <c r="H678" s="3" t="s">
        <v>25</v>
      </c>
      <c r="I678" s="6">
        <v>44562</v>
      </c>
      <c r="J678" s="4">
        <v>47290</v>
      </c>
      <c r="K678" s="4">
        <v>47290</v>
      </c>
      <c r="L678" s="4">
        <v>0</v>
      </c>
      <c r="M678" s="4">
        <v>0</v>
      </c>
      <c r="N678" s="4">
        <v>0</v>
      </c>
      <c r="O678" s="4">
        <v>0</v>
      </c>
      <c r="P678" s="4">
        <v>438</v>
      </c>
      <c r="Q678" s="3" t="s">
        <v>26</v>
      </c>
      <c r="R678" s="3">
        <v>0</v>
      </c>
      <c r="S678" s="4">
        <v>44</v>
      </c>
      <c r="T678" s="4">
        <v>0</v>
      </c>
      <c r="U678" s="4">
        <v>0</v>
      </c>
      <c r="V678" s="4">
        <f>IF(ISERROR(VLOOKUP($S$678,'TAR FIN'!$A$1:$O$113,15,0)),0,VLOOKUP($S$678,'TAR FIN'!$A$1:$O$113,15,0))</f>
        <v>24.31</v>
      </c>
      <c r="W678" s="4">
        <f>IF(ISERROR(VLOOKUP($T$678,'TAR FIN'!$A$1:$O$113,15,0)),0,VLOOKUP($T$678,'TAR FIN'!$A$1:$O$113,15,0))</f>
        <v>0</v>
      </c>
      <c r="X678" s="4">
        <f>IF(ISERROR(VLOOKUP($U$678,'TAR FIN'!$A$1:$O$113,15,0)),0,VLOOKUP($U$678,'TAR FIN'!$A$1:$O$113,15,0))</f>
        <v>0</v>
      </c>
      <c r="Y678" s="4">
        <f ca="1">('TUSD BE'!$AM$30+'TUSD BF'!$AM$30+'TUSD CVA'!$AM$30)*1</f>
        <v>26.598074646640526</v>
      </c>
      <c r="Z678" s="4"/>
      <c r="AA678" s="4"/>
      <c r="AB678" s="4">
        <f>$K$678*$V$678</f>
        <v>1149619.8999999999</v>
      </c>
      <c r="AC678" s="4">
        <f>$M$678*$W$678</f>
        <v>0</v>
      </c>
      <c r="AD678" s="4">
        <f>$O$678*$X$678</f>
        <v>0</v>
      </c>
      <c r="AE678" s="4">
        <f ca="1">$K$678*$Y$678</f>
        <v>1257822.9500396305</v>
      </c>
      <c r="AF678" s="4">
        <f>$M$678*$Z$678</f>
        <v>0</v>
      </c>
      <c r="AG678" s="4">
        <f>$O$678*$AA$678</f>
        <v>0</v>
      </c>
    </row>
    <row r="679" spans="1:33" ht="11.25" customHeight="1" x14ac:dyDescent="0.25">
      <c r="A679" s="3" t="s">
        <v>28</v>
      </c>
      <c r="B679" s="3" t="s">
        <v>41</v>
      </c>
      <c r="C679" s="3" t="s">
        <v>42</v>
      </c>
      <c r="D679" s="3" t="s">
        <v>43</v>
      </c>
      <c r="E679" s="3" t="s">
        <v>25</v>
      </c>
      <c r="F679" s="3" t="s">
        <v>25</v>
      </c>
      <c r="G679" s="3" t="s">
        <v>25</v>
      </c>
      <c r="H679" s="3" t="s">
        <v>25</v>
      </c>
      <c r="I679" s="6">
        <v>44562</v>
      </c>
      <c r="J679" s="4">
        <v>5866</v>
      </c>
      <c r="K679" s="4">
        <v>5866</v>
      </c>
      <c r="L679" s="4">
        <v>0</v>
      </c>
      <c r="M679" s="4">
        <v>0</v>
      </c>
      <c r="N679" s="4">
        <v>0</v>
      </c>
      <c r="O679" s="4">
        <v>0</v>
      </c>
      <c r="P679" s="4">
        <v>36</v>
      </c>
      <c r="Q679" s="3" t="s">
        <v>26</v>
      </c>
      <c r="R679" s="3">
        <v>0</v>
      </c>
      <c r="S679" s="4">
        <v>44</v>
      </c>
      <c r="T679" s="4">
        <v>0</v>
      </c>
      <c r="U679" s="4">
        <v>0</v>
      </c>
      <c r="V679" s="4">
        <f>IF(ISERROR(VLOOKUP($S$679,'TAR FIN'!$A$1:$O$113,15,0)),0,VLOOKUP($S$679,'TAR FIN'!$A$1:$O$113,15,0))</f>
        <v>24.31</v>
      </c>
      <c r="W679" s="4">
        <f>IF(ISERROR(VLOOKUP($T$679,'TAR FIN'!$A$1:$O$113,15,0)),0,VLOOKUP($T$679,'TAR FIN'!$A$1:$O$113,15,0))</f>
        <v>0</v>
      </c>
      <c r="X679" s="4">
        <f>IF(ISERROR(VLOOKUP($U$679,'TAR FIN'!$A$1:$O$113,15,0)),0,VLOOKUP($U$679,'TAR FIN'!$A$1:$O$113,15,0))</f>
        <v>0</v>
      </c>
      <c r="Y679" s="4">
        <f ca="1">('TUSD BE'!$AM$30+'TUSD BF'!$AM$30+'TUSD CVA'!$AM$30)*1</f>
        <v>26.598074646640526</v>
      </c>
      <c r="Z679" s="4"/>
      <c r="AA679" s="4"/>
      <c r="AB679" s="4">
        <f>$K$679*$V$679</f>
        <v>142602.46</v>
      </c>
      <c r="AC679" s="4">
        <f>$M$679*$W$679</f>
        <v>0</v>
      </c>
      <c r="AD679" s="4">
        <f>$O$679*$X$679</f>
        <v>0</v>
      </c>
      <c r="AE679" s="4">
        <f ca="1">$K$679*$Y$679</f>
        <v>156024.30587719331</v>
      </c>
      <c r="AF679" s="4">
        <f>$M$679*$Z$679</f>
        <v>0</v>
      </c>
      <c r="AG679" s="4">
        <f>$O$679*$AA$679</f>
        <v>0</v>
      </c>
    </row>
    <row r="680" spans="1:33" ht="11.25" customHeight="1" x14ac:dyDescent="0.25">
      <c r="A680" s="3" t="s">
        <v>21</v>
      </c>
      <c r="B680" s="3" t="s">
        <v>41</v>
      </c>
      <c r="C680" s="3" t="s">
        <v>42</v>
      </c>
      <c r="D680" s="3" t="s">
        <v>43</v>
      </c>
      <c r="E680" s="3" t="s">
        <v>25</v>
      </c>
      <c r="F680" s="3" t="s">
        <v>25</v>
      </c>
      <c r="G680" s="3" t="s">
        <v>25</v>
      </c>
      <c r="H680" s="3" t="s">
        <v>25</v>
      </c>
      <c r="I680" s="6">
        <v>44562</v>
      </c>
      <c r="J680" s="4">
        <v>2175</v>
      </c>
      <c r="K680" s="4">
        <v>2175</v>
      </c>
      <c r="L680" s="4">
        <v>0</v>
      </c>
      <c r="M680" s="4">
        <v>0</v>
      </c>
      <c r="N680" s="4">
        <v>0</v>
      </c>
      <c r="O680" s="4">
        <v>0</v>
      </c>
      <c r="P680" s="4">
        <v>2</v>
      </c>
      <c r="Q680" s="3" t="s">
        <v>57</v>
      </c>
      <c r="R680" s="3">
        <v>0</v>
      </c>
      <c r="S680" s="4">
        <v>44</v>
      </c>
      <c r="T680" s="4">
        <v>0</v>
      </c>
      <c r="U680" s="4">
        <v>0</v>
      </c>
      <c r="V680" s="4">
        <f>IF(ISERROR(VLOOKUP($S$680,'TAR FIN'!$A$1:$O$113,15,0)),0,VLOOKUP($S$680,'TAR FIN'!$A$1:$O$113,15,0))</f>
        <v>24.31</v>
      </c>
      <c r="W680" s="4">
        <f>IF(ISERROR(VLOOKUP($T$680,'TAR FIN'!$A$1:$O$113,15,0)),0,VLOOKUP($T$680,'TAR FIN'!$A$1:$O$113,15,0))</f>
        <v>0</v>
      </c>
      <c r="X680" s="4">
        <f>IF(ISERROR(VLOOKUP($U$680,'TAR FIN'!$A$1:$O$113,15,0)),0,VLOOKUP($U$680,'TAR FIN'!$A$1:$O$113,15,0))</f>
        <v>0</v>
      </c>
      <c r="Y680" s="4">
        <f ca="1">('TUSD BE'!$AM$30+'TUSD BF'!$AM$30+'TUSD CVA'!$AM$30)*1</f>
        <v>26.598074646640526</v>
      </c>
      <c r="Z680" s="4"/>
      <c r="AA680" s="4"/>
      <c r="AB680" s="4">
        <f>$K$680*$V$680</f>
        <v>52874.25</v>
      </c>
      <c r="AC680" s="4">
        <f>$M$680*$W$680</f>
        <v>0</v>
      </c>
      <c r="AD680" s="4">
        <f>$O$680*$X$680</f>
        <v>0</v>
      </c>
      <c r="AE680" s="4">
        <f ca="1">$K$680*$Y$680</f>
        <v>57850.812356443144</v>
      </c>
      <c r="AF680" s="4">
        <f>$M$680*$Z$680</f>
        <v>0</v>
      </c>
      <c r="AG680" s="4">
        <f>$O$680*$AA$680</f>
        <v>0</v>
      </c>
    </row>
    <row r="681" spans="1:33" ht="11.25" customHeight="1" x14ac:dyDescent="0.25">
      <c r="A681" s="3" t="s">
        <v>21</v>
      </c>
      <c r="B681" s="3" t="s">
        <v>41</v>
      </c>
      <c r="C681" s="3" t="s">
        <v>42</v>
      </c>
      <c r="D681" s="3" t="s">
        <v>43</v>
      </c>
      <c r="E681" s="3" t="s">
        <v>25</v>
      </c>
      <c r="F681" s="3" t="s">
        <v>25</v>
      </c>
      <c r="G681" s="3" t="s">
        <v>25</v>
      </c>
      <c r="H681" s="3" t="s">
        <v>25</v>
      </c>
      <c r="I681" s="6">
        <v>44593</v>
      </c>
      <c r="J681" s="4">
        <v>47206</v>
      </c>
      <c r="K681" s="4">
        <v>47206</v>
      </c>
      <c r="L681" s="4">
        <v>0</v>
      </c>
      <c r="M681" s="4">
        <v>0</v>
      </c>
      <c r="N681" s="4">
        <v>0</v>
      </c>
      <c r="O681" s="4">
        <v>0</v>
      </c>
      <c r="P681" s="4">
        <v>432</v>
      </c>
      <c r="Q681" s="3" t="s">
        <v>26</v>
      </c>
      <c r="R681" s="3">
        <v>0</v>
      </c>
      <c r="S681" s="4">
        <v>44</v>
      </c>
      <c r="T681" s="4">
        <v>0</v>
      </c>
      <c r="U681" s="4">
        <v>0</v>
      </c>
      <c r="V681" s="4">
        <f>IF(ISERROR(VLOOKUP($S$681,'TAR FIN'!$A$1:$O$113,15,0)),0,VLOOKUP($S$681,'TAR FIN'!$A$1:$O$113,15,0))</f>
        <v>24.31</v>
      </c>
      <c r="W681" s="4">
        <f>IF(ISERROR(VLOOKUP($T$681,'TAR FIN'!$A$1:$O$113,15,0)),0,VLOOKUP($T$681,'TAR FIN'!$A$1:$O$113,15,0))</f>
        <v>0</v>
      </c>
      <c r="X681" s="4">
        <f>IF(ISERROR(VLOOKUP($U$681,'TAR FIN'!$A$1:$O$113,15,0)),0,VLOOKUP($U$681,'TAR FIN'!$A$1:$O$113,15,0))</f>
        <v>0</v>
      </c>
      <c r="Y681" s="4">
        <f ca="1">('TUSD BE'!$AM$30+'TUSD BF'!$AM$30+'TUSD CVA'!$AM$30)*1</f>
        <v>26.598074646640526</v>
      </c>
      <c r="Z681" s="4"/>
      <c r="AA681" s="4"/>
      <c r="AB681" s="4">
        <f>$K$681*$V$681</f>
        <v>1147577.8599999999</v>
      </c>
      <c r="AC681" s="4">
        <f>$M$681*$W$681</f>
        <v>0</v>
      </c>
      <c r="AD681" s="4">
        <f>$O$681*$X$681</f>
        <v>0</v>
      </c>
      <c r="AE681" s="4">
        <f ca="1">$K$681*$Y$681</f>
        <v>1255588.7117693126</v>
      </c>
      <c r="AF681" s="4">
        <f>$M$681*$Z$681</f>
        <v>0</v>
      </c>
      <c r="AG681" s="4">
        <f>$O$681*$AA$681</f>
        <v>0</v>
      </c>
    </row>
    <row r="682" spans="1:33" ht="11.25" customHeight="1" x14ac:dyDescent="0.25">
      <c r="A682" s="3" t="s">
        <v>27</v>
      </c>
      <c r="B682" s="3" t="s">
        <v>41</v>
      </c>
      <c r="C682" s="3" t="s">
        <v>42</v>
      </c>
      <c r="D682" s="3" t="s">
        <v>43</v>
      </c>
      <c r="E682" s="3" t="s">
        <v>25</v>
      </c>
      <c r="F682" s="3" t="s">
        <v>25</v>
      </c>
      <c r="G682" s="3" t="s">
        <v>25</v>
      </c>
      <c r="H682" s="3" t="s">
        <v>25</v>
      </c>
      <c r="I682" s="6">
        <v>44593</v>
      </c>
      <c r="J682" s="4">
        <v>8</v>
      </c>
      <c r="K682" s="4">
        <v>8</v>
      </c>
      <c r="L682" s="4">
        <v>0</v>
      </c>
      <c r="M682" s="4">
        <v>0</v>
      </c>
      <c r="N682" s="4">
        <v>0</v>
      </c>
      <c r="O682" s="4">
        <v>0</v>
      </c>
      <c r="P682" s="4">
        <v>-2</v>
      </c>
      <c r="Q682" s="3" t="s">
        <v>26</v>
      </c>
      <c r="R682" s="3">
        <v>0</v>
      </c>
      <c r="S682" s="4">
        <v>44</v>
      </c>
      <c r="T682" s="4">
        <v>0</v>
      </c>
      <c r="U682" s="4">
        <v>0</v>
      </c>
      <c r="V682" s="4">
        <f>IF(ISERROR(VLOOKUP($S$682,'TAR FIN'!$A$1:$O$113,15,0)),0,VLOOKUP($S$682,'TAR FIN'!$A$1:$O$113,15,0))</f>
        <v>24.31</v>
      </c>
      <c r="W682" s="4">
        <f>IF(ISERROR(VLOOKUP($T$682,'TAR FIN'!$A$1:$O$113,15,0)),0,VLOOKUP($T$682,'TAR FIN'!$A$1:$O$113,15,0))</f>
        <v>0</v>
      </c>
      <c r="X682" s="4">
        <f>IF(ISERROR(VLOOKUP($U$682,'TAR FIN'!$A$1:$O$113,15,0)),0,VLOOKUP($U$682,'TAR FIN'!$A$1:$O$113,15,0))</f>
        <v>0</v>
      </c>
      <c r="Y682" s="4">
        <f ca="1">('TUSD BE'!$AM$30+'TUSD BF'!$AM$30+'TUSD CVA'!$AM$30)*1</f>
        <v>26.598074646640526</v>
      </c>
      <c r="Z682" s="4"/>
      <c r="AA682" s="4"/>
      <c r="AB682" s="4">
        <f>$K$682*$V$682</f>
        <v>194.48</v>
      </c>
      <c r="AC682" s="4">
        <f>$M$682*$W$682</f>
        <v>0</v>
      </c>
      <c r="AD682" s="4">
        <f>$O$682*$X$682</f>
        <v>0</v>
      </c>
      <c r="AE682" s="4">
        <f ca="1">$K$682*$Y$682</f>
        <v>212.78459717312421</v>
      </c>
      <c r="AF682" s="4">
        <f>$M$682*$Z$682</f>
        <v>0</v>
      </c>
      <c r="AG682" s="4">
        <f>$O$682*$AA$682</f>
        <v>0</v>
      </c>
    </row>
    <row r="683" spans="1:33" ht="11.25" customHeight="1" x14ac:dyDescent="0.25">
      <c r="A683" s="3" t="s">
        <v>28</v>
      </c>
      <c r="B683" s="3" t="s">
        <v>41</v>
      </c>
      <c r="C683" s="3" t="s">
        <v>42</v>
      </c>
      <c r="D683" s="3" t="s">
        <v>43</v>
      </c>
      <c r="E683" s="3" t="s">
        <v>25</v>
      </c>
      <c r="F683" s="3" t="s">
        <v>25</v>
      </c>
      <c r="G683" s="3" t="s">
        <v>25</v>
      </c>
      <c r="H683" s="3" t="s">
        <v>25</v>
      </c>
      <c r="I683" s="6">
        <v>44593</v>
      </c>
      <c r="J683" s="4">
        <v>6779</v>
      </c>
      <c r="K683" s="4">
        <v>6779</v>
      </c>
      <c r="L683" s="4">
        <v>0</v>
      </c>
      <c r="M683" s="4">
        <v>0</v>
      </c>
      <c r="N683" s="4">
        <v>0</v>
      </c>
      <c r="O683" s="4">
        <v>0</v>
      </c>
      <c r="P683" s="4">
        <v>38</v>
      </c>
      <c r="Q683" s="3" t="s">
        <v>26</v>
      </c>
      <c r="R683" s="3">
        <v>0</v>
      </c>
      <c r="S683" s="4">
        <v>44</v>
      </c>
      <c r="T683" s="4">
        <v>0</v>
      </c>
      <c r="U683" s="4">
        <v>0</v>
      </c>
      <c r="V683" s="4">
        <f>IF(ISERROR(VLOOKUP($S$683,'TAR FIN'!$A$1:$O$113,15,0)),0,VLOOKUP($S$683,'TAR FIN'!$A$1:$O$113,15,0))</f>
        <v>24.31</v>
      </c>
      <c r="W683" s="4">
        <f>IF(ISERROR(VLOOKUP($T$683,'TAR FIN'!$A$1:$O$113,15,0)),0,VLOOKUP($T$683,'TAR FIN'!$A$1:$O$113,15,0))</f>
        <v>0</v>
      </c>
      <c r="X683" s="4">
        <f>IF(ISERROR(VLOOKUP($U$683,'TAR FIN'!$A$1:$O$113,15,0)),0,VLOOKUP($U$683,'TAR FIN'!$A$1:$O$113,15,0))</f>
        <v>0</v>
      </c>
      <c r="Y683" s="4">
        <f ca="1">('TUSD BE'!$AM$30+'TUSD BF'!$AM$30+'TUSD CVA'!$AM$30)*1</f>
        <v>26.598074646640526</v>
      </c>
      <c r="Z683" s="4"/>
      <c r="AA683" s="4"/>
      <c r="AB683" s="4">
        <f>$K$683*$V$683</f>
        <v>164797.49</v>
      </c>
      <c r="AC683" s="4">
        <f>$M$683*$W$683</f>
        <v>0</v>
      </c>
      <c r="AD683" s="4">
        <f>$O$683*$X$683</f>
        <v>0</v>
      </c>
      <c r="AE683" s="4">
        <f ca="1">$K$683*$Y$683</f>
        <v>180308.34802957613</v>
      </c>
      <c r="AF683" s="4">
        <f>$M$683*$Z$683</f>
        <v>0</v>
      </c>
      <c r="AG683" s="4">
        <f>$O$683*$AA$683</f>
        <v>0</v>
      </c>
    </row>
    <row r="684" spans="1:33" ht="11.25" customHeight="1" x14ac:dyDescent="0.25">
      <c r="A684" s="3" t="s">
        <v>21</v>
      </c>
      <c r="B684" s="3" t="s">
        <v>41</v>
      </c>
      <c r="C684" s="3" t="s">
        <v>42</v>
      </c>
      <c r="D684" s="3" t="s">
        <v>43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44593</v>
      </c>
      <c r="J684" s="4">
        <v>2175</v>
      </c>
      <c r="K684" s="4">
        <v>2175</v>
      </c>
      <c r="L684" s="4">
        <v>0</v>
      </c>
      <c r="M684" s="4">
        <v>0</v>
      </c>
      <c r="N684" s="4">
        <v>0</v>
      </c>
      <c r="O684" s="4">
        <v>0</v>
      </c>
      <c r="P684" s="4">
        <v>2</v>
      </c>
      <c r="Q684" s="3" t="s">
        <v>57</v>
      </c>
      <c r="R684" s="3">
        <v>0</v>
      </c>
      <c r="S684" s="4">
        <v>44</v>
      </c>
      <c r="T684" s="4">
        <v>0</v>
      </c>
      <c r="U684" s="4">
        <v>0</v>
      </c>
      <c r="V684" s="4">
        <f>IF(ISERROR(VLOOKUP($S$684,'TAR FIN'!$A$1:$O$113,15,0)),0,VLOOKUP($S$684,'TAR FIN'!$A$1:$O$113,15,0))</f>
        <v>24.31</v>
      </c>
      <c r="W684" s="4">
        <f>IF(ISERROR(VLOOKUP($T$684,'TAR FIN'!$A$1:$O$113,15,0)),0,VLOOKUP($T$684,'TAR FIN'!$A$1:$O$113,15,0))</f>
        <v>0</v>
      </c>
      <c r="X684" s="4">
        <f>IF(ISERROR(VLOOKUP($U$684,'TAR FIN'!$A$1:$O$113,15,0)),0,VLOOKUP($U$684,'TAR FIN'!$A$1:$O$113,15,0))</f>
        <v>0</v>
      </c>
      <c r="Y684" s="4">
        <f ca="1">('TUSD BE'!$AM$30+'TUSD BF'!$AM$30+'TUSD CVA'!$AM$30)*1</f>
        <v>26.598074646640526</v>
      </c>
      <c r="Z684" s="4"/>
      <c r="AA684" s="4"/>
      <c r="AB684" s="4">
        <f>$K$684*$V$684</f>
        <v>52874.25</v>
      </c>
      <c r="AC684" s="4">
        <f>$M$684*$W$684</f>
        <v>0</v>
      </c>
      <c r="AD684" s="4">
        <f>$O$684*$X$684</f>
        <v>0</v>
      </c>
      <c r="AE684" s="4">
        <f ca="1">$K$684*$Y$684</f>
        <v>57850.812356443144</v>
      </c>
      <c r="AF684" s="4">
        <f>$M$684*$Z$684</f>
        <v>0</v>
      </c>
      <c r="AG684" s="4">
        <f>$O$684*$AA$684</f>
        <v>0</v>
      </c>
    </row>
    <row r="685" spans="1:33" ht="11.25" customHeight="1" x14ac:dyDescent="0.25">
      <c r="A685" s="3" t="s">
        <v>56</v>
      </c>
      <c r="B685" s="3" t="s">
        <v>41</v>
      </c>
      <c r="C685" s="3" t="s">
        <v>42</v>
      </c>
      <c r="D685" s="3" t="s">
        <v>43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44621</v>
      </c>
      <c r="J685" s="4">
        <v>47206</v>
      </c>
      <c r="K685" s="4">
        <v>47206</v>
      </c>
      <c r="L685" s="4">
        <v>0</v>
      </c>
      <c r="M685" s="4">
        <v>0</v>
      </c>
      <c r="N685" s="4">
        <v>0</v>
      </c>
      <c r="O685" s="4">
        <v>0</v>
      </c>
      <c r="P685" s="4">
        <v>432</v>
      </c>
      <c r="Q685" s="3" t="s">
        <v>26</v>
      </c>
      <c r="R685" s="3">
        <v>0</v>
      </c>
      <c r="S685" s="4">
        <v>44</v>
      </c>
      <c r="T685" s="4">
        <v>0</v>
      </c>
      <c r="U685" s="4">
        <v>0</v>
      </c>
      <c r="V685" s="4">
        <f>IF(ISERROR(VLOOKUP($S$685,'TAR FIN'!$A$1:$O$113,15,0)),0,VLOOKUP($S$685,'TAR FIN'!$A$1:$O$113,15,0))</f>
        <v>24.31</v>
      </c>
      <c r="W685" s="4">
        <f>IF(ISERROR(VLOOKUP($T$685,'TAR FIN'!$A$1:$O$113,15,0)),0,VLOOKUP($T$685,'TAR FIN'!$A$1:$O$113,15,0))</f>
        <v>0</v>
      </c>
      <c r="X685" s="4">
        <f>IF(ISERROR(VLOOKUP($U$685,'TAR FIN'!$A$1:$O$113,15,0)),0,VLOOKUP($U$685,'TAR FIN'!$A$1:$O$113,15,0))</f>
        <v>0</v>
      </c>
      <c r="Y685" s="4">
        <f ca="1">('TUSD BE'!$AM$30+'TUSD BF'!$AM$30+'TUSD CVA'!$AM$30)*1</f>
        <v>26.598074646640526</v>
      </c>
      <c r="Z685" s="4"/>
      <c r="AA685" s="4"/>
      <c r="AB685" s="4">
        <f>$K$685*$V$685</f>
        <v>1147577.8599999999</v>
      </c>
      <c r="AC685" s="4">
        <f>$M$685*$W$685</f>
        <v>0</v>
      </c>
      <c r="AD685" s="4">
        <f>$O$685*$X$685</f>
        <v>0</v>
      </c>
      <c r="AE685" s="4">
        <f ca="1">$K$685*$Y$685</f>
        <v>1255588.7117693126</v>
      </c>
      <c r="AF685" s="4">
        <f>$M$685*$Z$685</f>
        <v>0</v>
      </c>
      <c r="AG685" s="4">
        <f>$O$685*$AA$685</f>
        <v>0</v>
      </c>
    </row>
    <row r="686" spans="1:33" ht="11.25" customHeight="1" x14ac:dyDescent="0.25">
      <c r="A686" s="3" t="s">
        <v>56</v>
      </c>
      <c r="B686" s="3" t="s">
        <v>41</v>
      </c>
      <c r="C686" s="3" t="s">
        <v>42</v>
      </c>
      <c r="D686" s="3" t="s">
        <v>43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44621</v>
      </c>
      <c r="J686" s="4">
        <v>8</v>
      </c>
      <c r="K686" s="4">
        <v>8</v>
      </c>
      <c r="L686" s="4">
        <v>0</v>
      </c>
      <c r="M686" s="4">
        <v>0</v>
      </c>
      <c r="N686" s="4">
        <v>0</v>
      </c>
      <c r="O686" s="4">
        <v>0</v>
      </c>
      <c r="P686" s="4">
        <v>-2</v>
      </c>
      <c r="Q686" s="3" t="s">
        <v>26</v>
      </c>
      <c r="R686" s="3">
        <v>0</v>
      </c>
      <c r="S686" s="4">
        <v>44</v>
      </c>
      <c r="T686" s="4">
        <v>0</v>
      </c>
      <c r="U686" s="4">
        <v>0</v>
      </c>
      <c r="V686" s="4">
        <f>IF(ISERROR(VLOOKUP($S$686,'TAR FIN'!$A$1:$O$113,15,0)),0,VLOOKUP($S$686,'TAR FIN'!$A$1:$O$113,15,0))</f>
        <v>24.31</v>
      </c>
      <c r="W686" s="4">
        <f>IF(ISERROR(VLOOKUP($T$686,'TAR FIN'!$A$1:$O$113,15,0)),0,VLOOKUP($T$686,'TAR FIN'!$A$1:$O$113,15,0))</f>
        <v>0</v>
      </c>
      <c r="X686" s="4">
        <f>IF(ISERROR(VLOOKUP($U$686,'TAR FIN'!$A$1:$O$113,15,0)),0,VLOOKUP($U$686,'TAR FIN'!$A$1:$O$113,15,0))</f>
        <v>0</v>
      </c>
      <c r="Y686" s="4">
        <f ca="1">('TUSD BE'!$AM$30+'TUSD BF'!$AM$30+'TUSD CVA'!$AM$30)*1</f>
        <v>26.598074646640526</v>
      </c>
      <c r="Z686" s="4"/>
      <c r="AA686" s="4"/>
      <c r="AB686" s="4">
        <f>$K$686*$V$686</f>
        <v>194.48</v>
      </c>
      <c r="AC686" s="4">
        <f>$M$686*$W$686</f>
        <v>0</v>
      </c>
      <c r="AD686" s="4">
        <f>$O$686*$X$686</f>
        <v>0</v>
      </c>
      <c r="AE686" s="4">
        <f ca="1">$K$686*$Y$686</f>
        <v>212.78459717312421</v>
      </c>
      <c r="AF686" s="4">
        <f>$M$686*$Z$686</f>
        <v>0</v>
      </c>
      <c r="AG686" s="4">
        <f>$O$686*$AA$686</f>
        <v>0</v>
      </c>
    </row>
    <row r="687" spans="1:33" ht="11.25" customHeight="1" x14ac:dyDescent="0.25">
      <c r="A687" s="3" t="s">
        <v>56</v>
      </c>
      <c r="B687" s="3" t="s">
        <v>41</v>
      </c>
      <c r="C687" s="3" t="s">
        <v>42</v>
      </c>
      <c r="D687" s="3" t="s">
        <v>43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44621</v>
      </c>
      <c r="J687" s="4">
        <v>6779</v>
      </c>
      <c r="K687" s="4">
        <v>6779</v>
      </c>
      <c r="L687" s="4">
        <v>0</v>
      </c>
      <c r="M687" s="4">
        <v>0</v>
      </c>
      <c r="N687" s="4">
        <v>0</v>
      </c>
      <c r="O687" s="4">
        <v>0</v>
      </c>
      <c r="P687" s="4">
        <v>38</v>
      </c>
      <c r="Q687" s="3" t="s">
        <v>26</v>
      </c>
      <c r="R687" s="3">
        <v>0</v>
      </c>
      <c r="S687" s="4">
        <v>44</v>
      </c>
      <c r="T687" s="4">
        <v>0</v>
      </c>
      <c r="U687" s="4">
        <v>0</v>
      </c>
      <c r="V687" s="4">
        <f>IF(ISERROR(VLOOKUP($S$687,'TAR FIN'!$A$1:$O$113,15,0)),0,VLOOKUP($S$687,'TAR FIN'!$A$1:$O$113,15,0))</f>
        <v>24.31</v>
      </c>
      <c r="W687" s="4">
        <f>IF(ISERROR(VLOOKUP($T$687,'TAR FIN'!$A$1:$O$113,15,0)),0,VLOOKUP($T$687,'TAR FIN'!$A$1:$O$113,15,0))</f>
        <v>0</v>
      </c>
      <c r="X687" s="4">
        <f>IF(ISERROR(VLOOKUP($U$687,'TAR FIN'!$A$1:$O$113,15,0)),0,VLOOKUP($U$687,'TAR FIN'!$A$1:$O$113,15,0))</f>
        <v>0</v>
      </c>
      <c r="Y687" s="4">
        <f ca="1">('TUSD BE'!$AM$30+'TUSD BF'!$AM$30+'TUSD CVA'!$AM$30)*1</f>
        <v>26.598074646640526</v>
      </c>
      <c r="Z687" s="4"/>
      <c r="AA687" s="4"/>
      <c r="AB687" s="4">
        <f>$K$687*$V$687</f>
        <v>164797.49</v>
      </c>
      <c r="AC687" s="4">
        <f>$M$687*$W$687</f>
        <v>0</v>
      </c>
      <c r="AD687" s="4">
        <f>$O$687*$X$687</f>
        <v>0</v>
      </c>
      <c r="AE687" s="4">
        <f ca="1">$K$687*$Y$687</f>
        <v>180308.34802957613</v>
      </c>
      <c r="AF687" s="4">
        <f>$M$687*$Z$687</f>
        <v>0</v>
      </c>
      <c r="AG687" s="4">
        <f>$O$687*$AA$687</f>
        <v>0</v>
      </c>
    </row>
    <row r="688" spans="1:33" ht="11.25" customHeight="1" x14ac:dyDescent="0.25">
      <c r="A688" s="3" t="s">
        <v>56</v>
      </c>
      <c r="B688" s="3" t="s">
        <v>41</v>
      </c>
      <c r="C688" s="3" t="s">
        <v>42</v>
      </c>
      <c r="D688" s="3" t="s">
        <v>43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44621</v>
      </c>
      <c r="J688" s="4">
        <v>2175</v>
      </c>
      <c r="K688" s="4">
        <v>2175</v>
      </c>
      <c r="L688" s="4">
        <v>0</v>
      </c>
      <c r="M688" s="4">
        <v>0</v>
      </c>
      <c r="N688" s="4">
        <v>0</v>
      </c>
      <c r="O688" s="4">
        <v>0</v>
      </c>
      <c r="P688" s="4">
        <v>2</v>
      </c>
      <c r="Q688" s="3" t="s">
        <v>57</v>
      </c>
      <c r="R688" s="3">
        <v>0</v>
      </c>
      <c r="S688" s="4">
        <v>44</v>
      </c>
      <c r="T688" s="4">
        <v>0</v>
      </c>
      <c r="U688" s="4">
        <v>0</v>
      </c>
      <c r="V688" s="4">
        <f>IF(ISERROR(VLOOKUP($S$688,'TAR FIN'!$A$1:$O$113,15,0)),0,VLOOKUP($S$688,'TAR FIN'!$A$1:$O$113,15,0))</f>
        <v>24.31</v>
      </c>
      <c r="W688" s="4">
        <f>IF(ISERROR(VLOOKUP($T$688,'TAR FIN'!$A$1:$O$113,15,0)),0,VLOOKUP($T$688,'TAR FIN'!$A$1:$O$113,15,0))</f>
        <v>0</v>
      </c>
      <c r="X688" s="4">
        <f>IF(ISERROR(VLOOKUP($U$688,'TAR FIN'!$A$1:$O$113,15,0)),0,VLOOKUP($U$688,'TAR FIN'!$A$1:$O$113,15,0))</f>
        <v>0</v>
      </c>
      <c r="Y688" s="4">
        <f ca="1">('TUSD BE'!$AM$30+'TUSD BF'!$AM$30+'TUSD CVA'!$AM$30)*1</f>
        <v>26.598074646640526</v>
      </c>
      <c r="Z688" s="4"/>
      <c r="AA688" s="4"/>
      <c r="AB688" s="4">
        <f>$K$688*$V$688</f>
        <v>52874.25</v>
      </c>
      <c r="AC688" s="4">
        <f>$M$688*$W$688</f>
        <v>0</v>
      </c>
      <c r="AD688" s="4">
        <f>$O$688*$X$688</f>
        <v>0</v>
      </c>
      <c r="AE688" s="4">
        <f ca="1">$K$688*$Y$688</f>
        <v>57850.812356443144</v>
      </c>
      <c r="AF688" s="4">
        <f>$M$688*$Z$688</f>
        <v>0</v>
      </c>
      <c r="AG688" s="4">
        <f>$O$688*$AA$688</f>
        <v>0</v>
      </c>
    </row>
    <row r="689" spans="1:33" ht="11.25" customHeight="1" x14ac:dyDescent="0.25">
      <c r="A689" s="3" t="s">
        <v>21</v>
      </c>
      <c r="B689" s="3" t="s">
        <v>41</v>
      </c>
      <c r="C689" s="3" t="s">
        <v>42</v>
      </c>
      <c r="D689" s="3" t="s">
        <v>43</v>
      </c>
      <c r="E689" s="3" t="s">
        <v>25</v>
      </c>
      <c r="F689" s="3" t="s">
        <v>25</v>
      </c>
      <c r="G689" s="3" t="s">
        <v>25</v>
      </c>
      <c r="H689" s="3" t="s">
        <v>34</v>
      </c>
      <c r="I689" s="6">
        <v>44287</v>
      </c>
      <c r="J689" s="4">
        <v>0</v>
      </c>
      <c r="K689" s="4">
        <v>0</v>
      </c>
      <c r="L689" s="4">
        <v>678.03399999999999</v>
      </c>
      <c r="M689" s="4">
        <v>678.03399999999999</v>
      </c>
      <c r="N689" s="4">
        <v>678.03399999999999</v>
      </c>
      <c r="O689" s="4">
        <v>678.03399999999999</v>
      </c>
      <c r="P689" s="4">
        <v>0</v>
      </c>
      <c r="Q689" s="3" t="s">
        <v>26</v>
      </c>
      <c r="R689" s="3">
        <v>0</v>
      </c>
      <c r="S689" s="4">
        <v>0</v>
      </c>
      <c r="T689" s="4">
        <v>20</v>
      </c>
      <c r="U689" s="4">
        <v>88</v>
      </c>
      <c r="V689" s="4">
        <f>IF(ISERROR(VLOOKUP($S$689,'TAR FIN'!$A$1:$O$113,15,0)),0,VLOOKUP($S$689,'TAR FIN'!$A$1:$O$113,15,0))</f>
        <v>0</v>
      </c>
      <c r="W689" s="4">
        <f>IF(ISERROR(VLOOKUP($T$689,'TAR FIN'!$A$1:$O$113,15,0)),0,VLOOKUP($T$689,'TAR FIN'!$A$1:$O$113,15,0))</f>
        <v>1564.59</v>
      </c>
      <c r="X689" s="4">
        <f>IF(ISERROR(VLOOKUP($U$689,'TAR FIN'!$A$1:$O$113,15,0)),0,VLOOKUP($U$689,'TAR FIN'!$A$1:$O$113,15,0))</f>
        <v>365.5</v>
      </c>
      <c r="Y689" s="4"/>
      <c r="Z689" s="4">
        <f ca="1">('TUSD BE'!$AM$31+'TUSD BF'!$AM$31+'TUSD CVA'!$AM$31)*1</f>
        <v>1837.8896121132304</v>
      </c>
      <c r="AA689" s="4">
        <f>('TE BE'!$AA$10+'TE BF'!$AA$10+'TE CVA'!$AA$10)*1</f>
        <v>361.55013418411539</v>
      </c>
      <c r="AB689" s="4">
        <f>$K$689*$V$689</f>
        <v>0</v>
      </c>
      <c r="AC689" s="4">
        <f>$M$689*$W$689</f>
        <v>1060845.21606</v>
      </c>
      <c r="AD689" s="4">
        <f>$O$689*$X$689</f>
        <v>247821.427</v>
      </c>
      <c r="AE689" s="4">
        <f>$K$689*$Y$689</f>
        <v>0</v>
      </c>
      <c r="AF689" s="4">
        <f ca="1">$M$689*$Z$689</f>
        <v>1246151.645259582</v>
      </c>
      <c r="AG689" s="4">
        <f>$O$689*$AA$689</f>
        <v>245143.2836813925</v>
      </c>
    </row>
    <row r="690" spans="1:33" ht="11.25" customHeight="1" x14ac:dyDescent="0.25">
      <c r="A690" s="3" t="s">
        <v>28</v>
      </c>
      <c r="B690" s="3" t="s">
        <v>41</v>
      </c>
      <c r="C690" s="3" t="s">
        <v>42</v>
      </c>
      <c r="D690" s="3" t="s">
        <v>43</v>
      </c>
      <c r="E690" s="3" t="s">
        <v>25</v>
      </c>
      <c r="F690" s="3" t="s">
        <v>25</v>
      </c>
      <c r="G690" s="3" t="s">
        <v>25</v>
      </c>
      <c r="H690" s="3" t="s">
        <v>34</v>
      </c>
      <c r="I690" s="6">
        <v>44287</v>
      </c>
      <c r="J690" s="4">
        <v>0</v>
      </c>
      <c r="K690" s="4">
        <v>0</v>
      </c>
      <c r="L690" s="4">
        <v>40.098999999999997</v>
      </c>
      <c r="M690" s="4">
        <v>40.098999999999997</v>
      </c>
      <c r="N690" s="4">
        <v>40.098999999999997</v>
      </c>
      <c r="O690" s="4">
        <v>40.098999999999997</v>
      </c>
      <c r="P690" s="4">
        <v>0</v>
      </c>
      <c r="Q690" s="3" t="s">
        <v>26</v>
      </c>
      <c r="R690" s="3">
        <v>0</v>
      </c>
      <c r="S690" s="4">
        <v>0</v>
      </c>
      <c r="T690" s="4">
        <v>20</v>
      </c>
      <c r="U690" s="4">
        <v>88</v>
      </c>
      <c r="V690" s="4">
        <f>IF(ISERROR(VLOOKUP($S$690,'TAR FIN'!$A$1:$O$113,15,0)),0,VLOOKUP($S$690,'TAR FIN'!$A$1:$O$113,15,0))</f>
        <v>0</v>
      </c>
      <c r="W690" s="4">
        <f>IF(ISERROR(VLOOKUP($T$690,'TAR FIN'!$A$1:$O$113,15,0)),0,VLOOKUP($T$690,'TAR FIN'!$A$1:$O$113,15,0))</f>
        <v>1564.59</v>
      </c>
      <c r="X690" s="4">
        <f>IF(ISERROR(VLOOKUP($U$690,'TAR FIN'!$A$1:$O$113,15,0)),0,VLOOKUP($U$690,'TAR FIN'!$A$1:$O$113,15,0))</f>
        <v>365.5</v>
      </c>
      <c r="Y690" s="4"/>
      <c r="Z690" s="4">
        <f ca="1">('TUSD BE'!$AM$31+'TUSD BF'!$AM$31+'TUSD CVA'!$AM$31)*1</f>
        <v>1837.8896121132304</v>
      </c>
      <c r="AA690" s="4">
        <f>('TE BE'!$AA$10+'TE BF'!$AA$10+'TE CVA'!$AA$10)*1</f>
        <v>361.55013418411539</v>
      </c>
      <c r="AB690" s="4">
        <f>$K$690*$V$690</f>
        <v>0</v>
      </c>
      <c r="AC690" s="4">
        <f>$M$690*$W$690</f>
        <v>62738.494409999992</v>
      </c>
      <c r="AD690" s="4">
        <f>$O$690*$X$690</f>
        <v>14656.184499999999</v>
      </c>
      <c r="AE690" s="4">
        <f>$K$690*$Y$690</f>
        <v>0</v>
      </c>
      <c r="AF690" s="4">
        <f ca="1">$M$690*$Z$690</f>
        <v>73697.535556128423</v>
      </c>
      <c r="AG690" s="4">
        <f>$O$690*$AA$690</f>
        <v>14497.798830648842</v>
      </c>
    </row>
    <row r="691" spans="1:33" ht="11.25" customHeight="1" x14ac:dyDescent="0.25">
      <c r="A691" s="3" t="s">
        <v>21</v>
      </c>
      <c r="B691" s="3" t="s">
        <v>41</v>
      </c>
      <c r="C691" s="3" t="s">
        <v>42</v>
      </c>
      <c r="D691" s="3" t="s">
        <v>43</v>
      </c>
      <c r="E691" s="3" t="s">
        <v>25</v>
      </c>
      <c r="F691" s="3" t="s">
        <v>25</v>
      </c>
      <c r="G691" s="3" t="s">
        <v>25</v>
      </c>
      <c r="H691" s="3" t="s">
        <v>34</v>
      </c>
      <c r="I691" s="6">
        <v>44287</v>
      </c>
      <c r="J691" s="4">
        <v>0</v>
      </c>
      <c r="K691" s="4">
        <v>0</v>
      </c>
      <c r="L691" s="4">
        <v>3.9510000000000001</v>
      </c>
      <c r="M691" s="4">
        <v>3.9510000000000001</v>
      </c>
      <c r="N691" s="4">
        <v>0</v>
      </c>
      <c r="O691" s="4">
        <v>0</v>
      </c>
      <c r="P691" s="4">
        <v>0</v>
      </c>
      <c r="Q691" s="3" t="s">
        <v>57</v>
      </c>
      <c r="R691" s="3">
        <v>0</v>
      </c>
      <c r="S691" s="4">
        <v>0</v>
      </c>
      <c r="T691" s="4">
        <v>20</v>
      </c>
      <c r="U691" s="4">
        <v>0</v>
      </c>
      <c r="V691" s="4">
        <f>IF(ISERROR(VLOOKUP($S$691,'TAR FIN'!$A$1:$O$113,15,0)),0,VLOOKUP($S$691,'TAR FIN'!$A$1:$O$113,15,0))</f>
        <v>0</v>
      </c>
      <c r="W691" s="4">
        <f>IF(ISERROR(VLOOKUP($T$691,'TAR FIN'!$A$1:$O$113,15,0)),0,VLOOKUP($T$691,'TAR FIN'!$A$1:$O$113,15,0))</f>
        <v>1564.59</v>
      </c>
      <c r="X691" s="4">
        <f>IF(ISERROR(VLOOKUP($U$691,'TAR FIN'!$A$1:$O$113,15,0)),0,VLOOKUP($U$691,'TAR FIN'!$A$1:$O$113,15,0))</f>
        <v>0</v>
      </c>
      <c r="Y691" s="4"/>
      <c r="Z691" s="4">
        <f ca="1">('TUSD BE'!$AM$31+'TUSD BF'!$AM$31+'TUSD CVA'!$AM$31)*1</f>
        <v>1837.8896121132304</v>
      </c>
      <c r="AA691" s="4"/>
      <c r="AB691" s="4">
        <f>$K$691*$V$691</f>
        <v>0</v>
      </c>
      <c r="AC691" s="4">
        <f>$M$691*$W$691</f>
        <v>6181.6950900000002</v>
      </c>
      <c r="AD691" s="4">
        <f>$O$691*$X$691</f>
        <v>0</v>
      </c>
      <c r="AE691" s="4">
        <f>$K$691*$Y$691</f>
        <v>0</v>
      </c>
      <c r="AF691" s="4">
        <f ca="1">$M$691*$Z$691</f>
        <v>7261.5018574593732</v>
      </c>
      <c r="AG691" s="4">
        <f>$O$691*$AA$691</f>
        <v>0</v>
      </c>
    </row>
    <row r="692" spans="1:33" ht="11.25" customHeight="1" x14ac:dyDescent="0.25">
      <c r="A692" s="3" t="s">
        <v>21</v>
      </c>
      <c r="B692" s="3" t="s">
        <v>41</v>
      </c>
      <c r="C692" s="3" t="s">
        <v>42</v>
      </c>
      <c r="D692" s="3" t="s">
        <v>43</v>
      </c>
      <c r="E692" s="3" t="s">
        <v>25</v>
      </c>
      <c r="F692" s="3" t="s">
        <v>25</v>
      </c>
      <c r="G692" s="3" t="s">
        <v>25</v>
      </c>
      <c r="H692" s="3" t="s">
        <v>34</v>
      </c>
      <c r="I692" s="6">
        <v>44317</v>
      </c>
      <c r="J692" s="4">
        <v>0</v>
      </c>
      <c r="K692" s="4">
        <v>0</v>
      </c>
      <c r="L692" s="4">
        <v>641.56100000000004</v>
      </c>
      <c r="M692" s="4">
        <v>641.56100000000004</v>
      </c>
      <c r="N692" s="4">
        <v>641.56100000000004</v>
      </c>
      <c r="O692" s="4">
        <v>641.56100000000004</v>
      </c>
      <c r="P692" s="4">
        <v>0</v>
      </c>
      <c r="Q692" s="3" t="s">
        <v>26</v>
      </c>
      <c r="R692" s="3">
        <v>0</v>
      </c>
      <c r="S692" s="4">
        <v>0</v>
      </c>
      <c r="T692" s="4">
        <v>20</v>
      </c>
      <c r="U692" s="4">
        <v>88</v>
      </c>
      <c r="V692" s="4">
        <f>IF(ISERROR(VLOOKUP($S$692,'TAR FIN'!$A$1:$O$113,15,0)),0,VLOOKUP($S$692,'TAR FIN'!$A$1:$O$113,15,0))</f>
        <v>0</v>
      </c>
      <c r="W692" s="4">
        <f>IF(ISERROR(VLOOKUP($T$692,'TAR FIN'!$A$1:$O$113,15,0)),0,VLOOKUP($T$692,'TAR FIN'!$A$1:$O$113,15,0))</f>
        <v>1564.59</v>
      </c>
      <c r="X692" s="4">
        <f>IF(ISERROR(VLOOKUP($U$692,'TAR FIN'!$A$1:$O$113,15,0)),0,VLOOKUP($U$692,'TAR FIN'!$A$1:$O$113,15,0))</f>
        <v>365.5</v>
      </c>
      <c r="Y692" s="4"/>
      <c r="Z692" s="4">
        <f ca="1">('TUSD BE'!$AM$31+'TUSD BF'!$AM$31+'TUSD CVA'!$AM$31)*1</f>
        <v>1837.8896121132304</v>
      </c>
      <c r="AA692" s="4">
        <f>('TE BE'!$AA$10+'TE BF'!$AA$10+'TE CVA'!$AA$10)*1</f>
        <v>361.55013418411539</v>
      </c>
      <c r="AB692" s="4">
        <f>$K$692*$V$692</f>
        <v>0</v>
      </c>
      <c r="AC692" s="4">
        <f>$M$692*$W$692</f>
        <v>1003779.92499</v>
      </c>
      <c r="AD692" s="4">
        <f>$O$692*$X$692</f>
        <v>234490.54550000001</v>
      </c>
      <c r="AE692" s="4">
        <f>$K$692*$Y$692</f>
        <v>0</v>
      </c>
      <c r="AF692" s="4">
        <f ca="1">$M$692*$Z$692</f>
        <v>1179118.2974369763</v>
      </c>
      <c r="AG692" s="4">
        <f>$O$692*$AA$692</f>
        <v>231956.46563729527</v>
      </c>
    </row>
    <row r="693" spans="1:33" ht="11.25" customHeight="1" x14ac:dyDescent="0.25">
      <c r="A693" s="3" t="s">
        <v>27</v>
      </c>
      <c r="B693" s="3" t="s">
        <v>41</v>
      </c>
      <c r="C693" s="3" t="s">
        <v>42</v>
      </c>
      <c r="D693" s="3" t="s">
        <v>43</v>
      </c>
      <c r="E693" s="3" t="s">
        <v>25</v>
      </c>
      <c r="F693" s="3" t="s">
        <v>25</v>
      </c>
      <c r="G693" s="3" t="s">
        <v>25</v>
      </c>
      <c r="H693" s="3" t="s">
        <v>34</v>
      </c>
      <c r="I693" s="6">
        <v>44317</v>
      </c>
      <c r="J693" s="4">
        <v>0</v>
      </c>
      <c r="K693" s="4">
        <v>0</v>
      </c>
      <c r="L693" s="4">
        <v>-4.3600000000000003</v>
      </c>
      <c r="M693" s="4">
        <v>-4.3600000000000003</v>
      </c>
      <c r="N693" s="4">
        <v>-4.3600000000000003</v>
      </c>
      <c r="O693" s="4">
        <v>-4.3600000000000003</v>
      </c>
      <c r="P693" s="4">
        <v>0</v>
      </c>
      <c r="Q693" s="3" t="s">
        <v>26</v>
      </c>
      <c r="R693" s="3">
        <v>0</v>
      </c>
      <c r="S693" s="4">
        <v>0</v>
      </c>
      <c r="T693" s="4">
        <v>20</v>
      </c>
      <c r="U693" s="4">
        <v>88</v>
      </c>
      <c r="V693" s="4">
        <f>IF(ISERROR(VLOOKUP($S$693,'TAR FIN'!$A$1:$O$113,15,0)),0,VLOOKUP($S$693,'TAR FIN'!$A$1:$O$113,15,0))</f>
        <v>0</v>
      </c>
      <c r="W693" s="4">
        <f>IF(ISERROR(VLOOKUP($T$693,'TAR FIN'!$A$1:$O$113,15,0)),0,VLOOKUP($T$693,'TAR FIN'!$A$1:$O$113,15,0))</f>
        <v>1564.59</v>
      </c>
      <c r="X693" s="4">
        <f>IF(ISERROR(VLOOKUP($U$693,'TAR FIN'!$A$1:$O$113,15,0)),0,VLOOKUP($U$693,'TAR FIN'!$A$1:$O$113,15,0))</f>
        <v>365.5</v>
      </c>
      <c r="Y693" s="4"/>
      <c r="Z693" s="4">
        <f ca="1">('TUSD BE'!$AM$31+'TUSD BF'!$AM$31+'TUSD CVA'!$AM$31)*1</f>
        <v>1837.8896121132304</v>
      </c>
      <c r="AA693" s="4">
        <f>('TE BE'!$AA$10+'TE BF'!$AA$10+'TE CVA'!$AA$10)*1</f>
        <v>361.55013418411539</v>
      </c>
      <c r="AB693" s="4">
        <f>$K$693*$V$693</f>
        <v>0</v>
      </c>
      <c r="AC693" s="4">
        <f>$M$693*$W$693</f>
        <v>-6821.6124</v>
      </c>
      <c r="AD693" s="4">
        <f>$O$693*$X$693</f>
        <v>-1593.5800000000002</v>
      </c>
      <c r="AE693" s="4">
        <f>$K$693*$Y$693</f>
        <v>0</v>
      </c>
      <c r="AF693" s="4">
        <f ca="1">$M$693*$Z$693</f>
        <v>-8013.1987088136857</v>
      </c>
      <c r="AG693" s="4">
        <f>$O$693*$AA$693</f>
        <v>-1576.3585850427432</v>
      </c>
    </row>
    <row r="694" spans="1:33" ht="11.25" customHeight="1" x14ac:dyDescent="0.25">
      <c r="A694" s="3" t="s">
        <v>28</v>
      </c>
      <c r="B694" s="3" t="s">
        <v>41</v>
      </c>
      <c r="C694" s="3" t="s">
        <v>42</v>
      </c>
      <c r="D694" s="3" t="s">
        <v>43</v>
      </c>
      <c r="E694" s="3" t="s">
        <v>25</v>
      </c>
      <c r="F694" s="3" t="s">
        <v>25</v>
      </c>
      <c r="G694" s="3" t="s">
        <v>25</v>
      </c>
      <c r="H694" s="3" t="s">
        <v>34</v>
      </c>
      <c r="I694" s="6">
        <v>44317</v>
      </c>
      <c r="J694" s="4">
        <v>0</v>
      </c>
      <c r="K694" s="4">
        <v>0</v>
      </c>
      <c r="L694" s="4">
        <v>43.762999999999998</v>
      </c>
      <c r="M694" s="4">
        <v>43.762999999999998</v>
      </c>
      <c r="N694" s="4">
        <v>43.762999999999998</v>
      </c>
      <c r="O694" s="4">
        <v>43.762999999999998</v>
      </c>
      <c r="P694" s="4">
        <v>0</v>
      </c>
      <c r="Q694" s="3" t="s">
        <v>26</v>
      </c>
      <c r="R694" s="3">
        <v>0</v>
      </c>
      <c r="S694" s="4">
        <v>0</v>
      </c>
      <c r="T694" s="4">
        <v>20</v>
      </c>
      <c r="U694" s="4">
        <v>88</v>
      </c>
      <c r="V694" s="4">
        <f>IF(ISERROR(VLOOKUP($S$694,'TAR FIN'!$A$1:$O$113,15,0)),0,VLOOKUP($S$694,'TAR FIN'!$A$1:$O$113,15,0))</f>
        <v>0</v>
      </c>
      <c r="W694" s="4">
        <f>IF(ISERROR(VLOOKUP($T$694,'TAR FIN'!$A$1:$O$113,15,0)),0,VLOOKUP($T$694,'TAR FIN'!$A$1:$O$113,15,0))</f>
        <v>1564.59</v>
      </c>
      <c r="X694" s="4">
        <f>IF(ISERROR(VLOOKUP($U$694,'TAR FIN'!$A$1:$O$113,15,0)),0,VLOOKUP($U$694,'TAR FIN'!$A$1:$O$113,15,0))</f>
        <v>365.5</v>
      </c>
      <c r="Y694" s="4"/>
      <c r="Z694" s="4">
        <f ca="1">('TUSD BE'!$AM$31+'TUSD BF'!$AM$31+'TUSD CVA'!$AM$31)*1</f>
        <v>1837.8896121132304</v>
      </c>
      <c r="AA694" s="4">
        <f>('TE BE'!$AA$10+'TE BF'!$AA$10+'TE CVA'!$AA$10)*1</f>
        <v>361.55013418411539</v>
      </c>
      <c r="AB694" s="4">
        <f>$K$694*$V$694</f>
        <v>0</v>
      </c>
      <c r="AC694" s="4">
        <f>$M$694*$W$694</f>
        <v>68471.152169999987</v>
      </c>
      <c r="AD694" s="4">
        <f>$O$694*$X$694</f>
        <v>15995.376499999998</v>
      </c>
      <c r="AE694" s="4">
        <f>$K$694*$Y$694</f>
        <v>0</v>
      </c>
      <c r="AF694" s="4">
        <f ca="1">$M$694*$Z$694</f>
        <v>80431.563094911297</v>
      </c>
      <c r="AG694" s="4">
        <f>$O$694*$AA$694</f>
        <v>15822.518522299441</v>
      </c>
    </row>
    <row r="695" spans="1:33" ht="11.25" customHeight="1" x14ac:dyDescent="0.25">
      <c r="A695" s="3" t="s">
        <v>28</v>
      </c>
      <c r="B695" s="3" t="s">
        <v>41</v>
      </c>
      <c r="C695" s="3" t="s">
        <v>42</v>
      </c>
      <c r="D695" s="3" t="s">
        <v>43</v>
      </c>
      <c r="E695" s="3" t="s">
        <v>25</v>
      </c>
      <c r="F695" s="3" t="s">
        <v>25</v>
      </c>
      <c r="G695" s="3" t="s">
        <v>25</v>
      </c>
      <c r="H695" s="3" t="s">
        <v>34</v>
      </c>
      <c r="I695" s="6">
        <v>44317</v>
      </c>
      <c r="J695" s="4">
        <v>0</v>
      </c>
      <c r="K695" s="4">
        <v>0</v>
      </c>
      <c r="L695" s="4">
        <v>-0.06</v>
      </c>
      <c r="M695" s="4">
        <v>-0.06</v>
      </c>
      <c r="N695" s="4">
        <v>-0.06</v>
      </c>
      <c r="O695" s="4">
        <v>-0.06</v>
      </c>
      <c r="P695" s="4">
        <v>0</v>
      </c>
      <c r="Q695" s="3" t="s">
        <v>26</v>
      </c>
      <c r="R695" s="3">
        <v>0</v>
      </c>
      <c r="S695" s="4">
        <v>0</v>
      </c>
      <c r="T695" s="4">
        <v>20</v>
      </c>
      <c r="U695" s="4">
        <v>88</v>
      </c>
      <c r="V695" s="4">
        <f>IF(ISERROR(VLOOKUP($S$695,'TAR FIN'!$A$1:$O$113,15,0)),0,VLOOKUP($S$695,'TAR FIN'!$A$1:$O$113,15,0))</f>
        <v>0</v>
      </c>
      <c r="W695" s="4">
        <f>IF(ISERROR(VLOOKUP($T$695,'TAR FIN'!$A$1:$O$113,15,0)),0,VLOOKUP($T$695,'TAR FIN'!$A$1:$O$113,15,0))</f>
        <v>1564.59</v>
      </c>
      <c r="X695" s="4">
        <f>IF(ISERROR(VLOOKUP($U$695,'TAR FIN'!$A$1:$O$113,15,0)),0,VLOOKUP($U$695,'TAR FIN'!$A$1:$O$113,15,0))</f>
        <v>365.5</v>
      </c>
      <c r="Y695" s="4"/>
      <c r="Z695" s="4">
        <f ca="1">('TUSD BE'!$AM$31+'TUSD BF'!$AM$31+'TUSD CVA'!$AM$31)*1</f>
        <v>1837.8896121132304</v>
      </c>
      <c r="AA695" s="4">
        <f>('TE BE'!$AA$10+'TE BF'!$AA$10+'TE CVA'!$AA$10)*1</f>
        <v>361.55013418411539</v>
      </c>
      <c r="AB695" s="4">
        <f>$K$695*$V$695</f>
        <v>0</v>
      </c>
      <c r="AC695" s="4">
        <f>$M$695*$W$695</f>
        <v>-93.875399999999985</v>
      </c>
      <c r="AD695" s="4">
        <f>$O$695*$X$695</f>
        <v>-21.93</v>
      </c>
      <c r="AE695" s="4">
        <f>$K$695*$Y$695</f>
        <v>0</v>
      </c>
      <c r="AF695" s="4">
        <f ca="1">$M$695*$Z$695</f>
        <v>-110.27337672679383</v>
      </c>
      <c r="AG695" s="4">
        <f>$O$695*$AA$695</f>
        <v>-21.693008051046924</v>
      </c>
    </row>
    <row r="696" spans="1:33" ht="11.25" customHeight="1" x14ac:dyDescent="0.25">
      <c r="A696" s="3" t="s">
        <v>21</v>
      </c>
      <c r="B696" s="3" t="s">
        <v>41</v>
      </c>
      <c r="C696" s="3" t="s">
        <v>42</v>
      </c>
      <c r="D696" s="3" t="s">
        <v>43</v>
      </c>
      <c r="E696" s="3" t="s">
        <v>25</v>
      </c>
      <c r="F696" s="3" t="s">
        <v>25</v>
      </c>
      <c r="G696" s="3" t="s">
        <v>25</v>
      </c>
      <c r="H696" s="3" t="s">
        <v>34</v>
      </c>
      <c r="I696" s="6">
        <v>44317</v>
      </c>
      <c r="J696" s="4">
        <v>0</v>
      </c>
      <c r="K696" s="4">
        <v>0</v>
      </c>
      <c r="L696" s="4">
        <v>3.718</v>
      </c>
      <c r="M696" s="4">
        <v>3.718</v>
      </c>
      <c r="N696" s="4">
        <v>0</v>
      </c>
      <c r="O696" s="4">
        <v>0</v>
      </c>
      <c r="P696" s="4">
        <v>0</v>
      </c>
      <c r="Q696" s="3" t="s">
        <v>57</v>
      </c>
      <c r="R696" s="3">
        <v>0</v>
      </c>
      <c r="S696" s="4">
        <v>0</v>
      </c>
      <c r="T696" s="4">
        <v>20</v>
      </c>
      <c r="U696" s="4">
        <v>0</v>
      </c>
      <c r="V696" s="4">
        <f>IF(ISERROR(VLOOKUP($S$696,'TAR FIN'!$A$1:$O$113,15,0)),0,VLOOKUP($S$696,'TAR FIN'!$A$1:$O$113,15,0))</f>
        <v>0</v>
      </c>
      <c r="W696" s="4">
        <f>IF(ISERROR(VLOOKUP($T$696,'TAR FIN'!$A$1:$O$113,15,0)),0,VLOOKUP($T$696,'TAR FIN'!$A$1:$O$113,15,0))</f>
        <v>1564.59</v>
      </c>
      <c r="X696" s="4">
        <f>IF(ISERROR(VLOOKUP($U$696,'TAR FIN'!$A$1:$O$113,15,0)),0,VLOOKUP($U$696,'TAR FIN'!$A$1:$O$113,15,0))</f>
        <v>0</v>
      </c>
      <c r="Y696" s="4"/>
      <c r="Z696" s="4">
        <f ca="1">('TUSD BE'!$AM$31+'TUSD BF'!$AM$31+'TUSD CVA'!$AM$31)*1</f>
        <v>1837.8896121132304</v>
      </c>
      <c r="AA696" s="4"/>
      <c r="AB696" s="4">
        <f>$K$696*$V$696</f>
        <v>0</v>
      </c>
      <c r="AC696" s="4">
        <f>$M$696*$W$696</f>
        <v>5817.1456199999993</v>
      </c>
      <c r="AD696" s="4">
        <f>$O$696*$X$696</f>
        <v>0</v>
      </c>
      <c r="AE696" s="4">
        <f>$K$696*$Y$696</f>
        <v>0</v>
      </c>
      <c r="AF696" s="4">
        <f ca="1">$M$696*$Z$696</f>
        <v>6833.2735778369906</v>
      </c>
      <c r="AG696" s="4">
        <f>$O$696*$AA$696</f>
        <v>0</v>
      </c>
    </row>
    <row r="697" spans="1:33" ht="11.25" customHeight="1" x14ac:dyDescent="0.25">
      <c r="A697" s="3" t="s">
        <v>21</v>
      </c>
      <c r="B697" s="3" t="s">
        <v>41</v>
      </c>
      <c r="C697" s="3" t="s">
        <v>42</v>
      </c>
      <c r="D697" s="3" t="s">
        <v>43</v>
      </c>
      <c r="E697" s="3" t="s">
        <v>25</v>
      </c>
      <c r="F697" s="3" t="s">
        <v>25</v>
      </c>
      <c r="G697" s="3" t="s">
        <v>25</v>
      </c>
      <c r="H697" s="3" t="s">
        <v>34</v>
      </c>
      <c r="I697" s="6">
        <v>44348</v>
      </c>
      <c r="J697" s="4">
        <v>0</v>
      </c>
      <c r="K697" s="4">
        <v>0</v>
      </c>
      <c r="L697" s="4">
        <v>636.63099999999997</v>
      </c>
      <c r="M697" s="4">
        <v>636.63099999999997</v>
      </c>
      <c r="N697" s="4">
        <v>636.63099999999997</v>
      </c>
      <c r="O697" s="4">
        <v>636.63099999999997</v>
      </c>
      <c r="P697" s="4">
        <v>0</v>
      </c>
      <c r="Q697" s="3" t="s">
        <v>26</v>
      </c>
      <c r="R697" s="3">
        <v>0</v>
      </c>
      <c r="S697" s="4">
        <v>0</v>
      </c>
      <c r="T697" s="4">
        <v>20</v>
      </c>
      <c r="U697" s="4">
        <v>88</v>
      </c>
      <c r="V697" s="4">
        <f>IF(ISERROR(VLOOKUP($S$697,'TAR FIN'!$A$1:$O$113,15,0)),0,VLOOKUP($S$697,'TAR FIN'!$A$1:$O$113,15,0))</f>
        <v>0</v>
      </c>
      <c r="W697" s="4">
        <f>IF(ISERROR(VLOOKUP($T$697,'TAR FIN'!$A$1:$O$113,15,0)),0,VLOOKUP($T$697,'TAR FIN'!$A$1:$O$113,15,0))</f>
        <v>1564.59</v>
      </c>
      <c r="X697" s="4">
        <f>IF(ISERROR(VLOOKUP($U$697,'TAR FIN'!$A$1:$O$113,15,0)),0,VLOOKUP($U$697,'TAR FIN'!$A$1:$O$113,15,0))</f>
        <v>365.5</v>
      </c>
      <c r="Y697" s="4"/>
      <c r="Z697" s="4">
        <f ca="1">('TUSD BE'!$AM$31+'TUSD BF'!$AM$31+'TUSD CVA'!$AM$31)*1</f>
        <v>1837.8896121132304</v>
      </c>
      <c r="AA697" s="4">
        <f>('TE BE'!$AA$10+'TE BF'!$AA$10+'TE CVA'!$AA$10)*1</f>
        <v>361.55013418411539</v>
      </c>
      <c r="AB697" s="4">
        <f>$K$697*$V$697</f>
        <v>0</v>
      </c>
      <c r="AC697" s="4">
        <f>$M$697*$W$697</f>
        <v>996066.49628999992</v>
      </c>
      <c r="AD697" s="4">
        <f>$O$697*$X$697</f>
        <v>232688.6305</v>
      </c>
      <c r="AE697" s="4">
        <f>$K$697*$Y$697</f>
        <v>0</v>
      </c>
      <c r="AF697" s="4">
        <f ca="1">$M$697*$Z$697</f>
        <v>1170057.501649258</v>
      </c>
      <c r="AG697" s="4">
        <f>$O$697*$AA$697</f>
        <v>230174.02347576755</v>
      </c>
    </row>
    <row r="698" spans="1:33" ht="11.25" customHeight="1" x14ac:dyDescent="0.25">
      <c r="A698" s="3" t="s">
        <v>27</v>
      </c>
      <c r="B698" s="3" t="s">
        <v>41</v>
      </c>
      <c r="C698" s="3" t="s">
        <v>42</v>
      </c>
      <c r="D698" s="3" t="s">
        <v>43</v>
      </c>
      <c r="E698" s="3" t="s">
        <v>25</v>
      </c>
      <c r="F698" s="3" t="s">
        <v>25</v>
      </c>
      <c r="G698" s="3" t="s">
        <v>25</v>
      </c>
      <c r="H698" s="3" t="s">
        <v>34</v>
      </c>
      <c r="I698" s="6">
        <v>44348</v>
      </c>
      <c r="J698" s="4">
        <v>0</v>
      </c>
      <c r="K698" s="4">
        <v>0</v>
      </c>
      <c r="L698" s="4">
        <v>-4.4550000000000001</v>
      </c>
      <c r="M698" s="4">
        <v>-4.4550000000000001</v>
      </c>
      <c r="N698" s="4">
        <v>-4.4550000000000001</v>
      </c>
      <c r="O698" s="4">
        <v>-4.4550000000000001</v>
      </c>
      <c r="P698" s="4">
        <v>0</v>
      </c>
      <c r="Q698" s="3" t="s">
        <v>26</v>
      </c>
      <c r="R698" s="3">
        <v>0</v>
      </c>
      <c r="S698" s="4">
        <v>0</v>
      </c>
      <c r="T698" s="4">
        <v>20</v>
      </c>
      <c r="U698" s="4">
        <v>88</v>
      </c>
      <c r="V698" s="4">
        <f>IF(ISERROR(VLOOKUP($S$698,'TAR FIN'!$A$1:$O$113,15,0)),0,VLOOKUP($S$698,'TAR FIN'!$A$1:$O$113,15,0))</f>
        <v>0</v>
      </c>
      <c r="W698" s="4">
        <f>IF(ISERROR(VLOOKUP($T$698,'TAR FIN'!$A$1:$O$113,15,0)),0,VLOOKUP($T$698,'TAR FIN'!$A$1:$O$113,15,0))</f>
        <v>1564.59</v>
      </c>
      <c r="X698" s="4">
        <f>IF(ISERROR(VLOOKUP($U$698,'TAR FIN'!$A$1:$O$113,15,0)),0,VLOOKUP($U$698,'TAR FIN'!$A$1:$O$113,15,0))</f>
        <v>365.5</v>
      </c>
      <c r="Y698" s="4"/>
      <c r="Z698" s="4">
        <f ca="1">('TUSD BE'!$AM$31+'TUSD BF'!$AM$31+'TUSD CVA'!$AM$31)*1</f>
        <v>1837.8896121132304</v>
      </c>
      <c r="AA698" s="4">
        <f>('TE BE'!$AA$10+'TE BF'!$AA$10+'TE CVA'!$AA$10)*1</f>
        <v>361.55013418411539</v>
      </c>
      <c r="AB698" s="4">
        <f>$K$698*$V$698</f>
        <v>0</v>
      </c>
      <c r="AC698" s="4">
        <f>$M$698*$W$698</f>
        <v>-6970.24845</v>
      </c>
      <c r="AD698" s="4">
        <f>$O$698*$X$698</f>
        <v>-1628.3025</v>
      </c>
      <c r="AE698" s="4">
        <f>$K$698*$Y$698</f>
        <v>0</v>
      </c>
      <c r="AF698" s="4">
        <f ca="1">$M$698*$Z$698</f>
        <v>-8187.7982219644418</v>
      </c>
      <c r="AG698" s="4">
        <f>$O$698*$AA$698</f>
        <v>-1610.7058477902342</v>
      </c>
    </row>
    <row r="699" spans="1:33" ht="11.25" customHeight="1" x14ac:dyDescent="0.25">
      <c r="A699" s="3" t="s">
        <v>28</v>
      </c>
      <c r="B699" s="3" t="s">
        <v>41</v>
      </c>
      <c r="C699" s="3" t="s">
        <v>42</v>
      </c>
      <c r="D699" s="3" t="s">
        <v>43</v>
      </c>
      <c r="E699" s="3" t="s">
        <v>25</v>
      </c>
      <c r="F699" s="3" t="s">
        <v>25</v>
      </c>
      <c r="G699" s="3" t="s">
        <v>25</v>
      </c>
      <c r="H699" s="3" t="s">
        <v>34</v>
      </c>
      <c r="I699" s="6">
        <v>44348</v>
      </c>
      <c r="J699" s="4">
        <v>0</v>
      </c>
      <c r="K699" s="4">
        <v>0</v>
      </c>
      <c r="L699" s="4">
        <v>37.39</v>
      </c>
      <c r="M699" s="4">
        <v>37.39</v>
      </c>
      <c r="N699" s="4">
        <v>37.39</v>
      </c>
      <c r="O699" s="4">
        <v>37.39</v>
      </c>
      <c r="P699" s="4">
        <v>0</v>
      </c>
      <c r="Q699" s="3" t="s">
        <v>26</v>
      </c>
      <c r="R699" s="3">
        <v>0</v>
      </c>
      <c r="S699" s="4">
        <v>0</v>
      </c>
      <c r="T699" s="4">
        <v>20</v>
      </c>
      <c r="U699" s="4">
        <v>88</v>
      </c>
      <c r="V699" s="4">
        <f>IF(ISERROR(VLOOKUP($S$699,'TAR FIN'!$A$1:$O$113,15,0)),0,VLOOKUP($S$699,'TAR FIN'!$A$1:$O$113,15,0))</f>
        <v>0</v>
      </c>
      <c r="W699" s="4">
        <f>IF(ISERROR(VLOOKUP($T$699,'TAR FIN'!$A$1:$O$113,15,0)),0,VLOOKUP($T$699,'TAR FIN'!$A$1:$O$113,15,0))</f>
        <v>1564.59</v>
      </c>
      <c r="X699" s="4">
        <f>IF(ISERROR(VLOOKUP($U$699,'TAR FIN'!$A$1:$O$113,15,0)),0,VLOOKUP($U$699,'TAR FIN'!$A$1:$O$113,15,0))</f>
        <v>365.5</v>
      </c>
      <c r="Y699" s="4"/>
      <c r="Z699" s="4">
        <f ca="1">('TUSD BE'!$AM$31+'TUSD BF'!$AM$31+'TUSD CVA'!$AM$31)*1</f>
        <v>1837.8896121132304</v>
      </c>
      <c r="AA699" s="4">
        <f>('TE BE'!$AA$10+'TE BF'!$AA$10+'TE CVA'!$AA$10)*1</f>
        <v>361.55013418411539</v>
      </c>
      <c r="AB699" s="4">
        <f>$K$699*$V$699</f>
        <v>0</v>
      </c>
      <c r="AC699" s="4">
        <f>$M$699*$W$699</f>
        <v>58500.020099999994</v>
      </c>
      <c r="AD699" s="4">
        <f>$O$699*$X$699</f>
        <v>13666.045</v>
      </c>
      <c r="AE699" s="4">
        <f>$K$699*$Y$699</f>
        <v>0</v>
      </c>
      <c r="AF699" s="4">
        <f ca="1">$M$699*$Z$699</f>
        <v>68718.692596913694</v>
      </c>
      <c r="AG699" s="4">
        <f>$O$699*$AA$699</f>
        <v>13518.359517144076</v>
      </c>
    </row>
    <row r="700" spans="1:33" ht="11.25" customHeight="1" x14ac:dyDescent="0.25">
      <c r="A700" s="3" t="s">
        <v>21</v>
      </c>
      <c r="B700" s="3" t="s">
        <v>41</v>
      </c>
      <c r="C700" s="3" t="s">
        <v>42</v>
      </c>
      <c r="D700" s="3" t="s">
        <v>43</v>
      </c>
      <c r="E700" s="3" t="s">
        <v>25</v>
      </c>
      <c r="F700" s="3" t="s">
        <v>25</v>
      </c>
      <c r="G700" s="3" t="s">
        <v>25</v>
      </c>
      <c r="H700" s="3" t="s">
        <v>34</v>
      </c>
      <c r="I700" s="6">
        <v>44348</v>
      </c>
      <c r="J700" s="4">
        <v>0</v>
      </c>
      <c r="K700" s="4">
        <v>0</v>
      </c>
      <c r="L700" s="4">
        <v>5.8410000000000002</v>
      </c>
      <c r="M700" s="4">
        <v>5.8410000000000002</v>
      </c>
      <c r="N700" s="4">
        <v>0</v>
      </c>
      <c r="O700" s="4">
        <v>0</v>
      </c>
      <c r="P700" s="4">
        <v>0</v>
      </c>
      <c r="Q700" s="3" t="s">
        <v>57</v>
      </c>
      <c r="R700" s="3">
        <v>0</v>
      </c>
      <c r="S700" s="4">
        <v>0</v>
      </c>
      <c r="T700" s="4">
        <v>20</v>
      </c>
      <c r="U700" s="4">
        <v>0</v>
      </c>
      <c r="V700" s="4">
        <f>IF(ISERROR(VLOOKUP($S$700,'TAR FIN'!$A$1:$O$113,15,0)),0,VLOOKUP($S$700,'TAR FIN'!$A$1:$O$113,15,0))</f>
        <v>0</v>
      </c>
      <c r="W700" s="4">
        <f>IF(ISERROR(VLOOKUP($T$700,'TAR FIN'!$A$1:$O$113,15,0)),0,VLOOKUP($T$700,'TAR FIN'!$A$1:$O$113,15,0))</f>
        <v>1564.59</v>
      </c>
      <c r="X700" s="4">
        <f>IF(ISERROR(VLOOKUP($U$700,'TAR FIN'!$A$1:$O$113,15,0)),0,VLOOKUP($U$700,'TAR FIN'!$A$1:$O$113,15,0))</f>
        <v>0</v>
      </c>
      <c r="Y700" s="4"/>
      <c r="Z700" s="4">
        <f ca="1">('TUSD BE'!$AM$31+'TUSD BF'!$AM$31+'TUSD CVA'!$AM$31)*1</f>
        <v>1837.8896121132304</v>
      </c>
      <c r="AA700" s="4"/>
      <c r="AB700" s="4">
        <f>$K$700*$V$700</f>
        <v>0</v>
      </c>
      <c r="AC700" s="4">
        <f>$M$700*$W$700</f>
        <v>9138.7701899999993</v>
      </c>
      <c r="AD700" s="4">
        <f>$O$700*$X$700</f>
        <v>0</v>
      </c>
      <c r="AE700" s="4">
        <f>$K$700*$Y$700</f>
        <v>0</v>
      </c>
      <c r="AF700" s="4">
        <f ca="1">$M$700*$Z$700</f>
        <v>10735.113224353379</v>
      </c>
      <c r="AG700" s="4">
        <f>$O$700*$AA$700</f>
        <v>0</v>
      </c>
    </row>
    <row r="701" spans="1:33" ht="11.25" customHeight="1" x14ac:dyDescent="0.25">
      <c r="A701" s="3" t="s">
        <v>21</v>
      </c>
      <c r="B701" s="3" t="s">
        <v>41</v>
      </c>
      <c r="C701" s="3" t="s">
        <v>42</v>
      </c>
      <c r="D701" s="3" t="s">
        <v>43</v>
      </c>
      <c r="E701" s="3" t="s">
        <v>25</v>
      </c>
      <c r="F701" s="3" t="s">
        <v>25</v>
      </c>
      <c r="G701" s="3" t="s">
        <v>25</v>
      </c>
      <c r="H701" s="3" t="s">
        <v>34</v>
      </c>
      <c r="I701" s="6">
        <v>44378</v>
      </c>
      <c r="J701" s="4">
        <v>0</v>
      </c>
      <c r="K701" s="4">
        <v>0</v>
      </c>
      <c r="L701" s="4">
        <v>641.88599999999997</v>
      </c>
      <c r="M701" s="4">
        <v>641.88599999999997</v>
      </c>
      <c r="N701" s="4">
        <v>641.88599999999997</v>
      </c>
      <c r="O701" s="4">
        <v>641.88599999999997</v>
      </c>
      <c r="P701" s="4">
        <v>0</v>
      </c>
      <c r="Q701" s="3" t="s">
        <v>26</v>
      </c>
      <c r="R701" s="3">
        <v>0</v>
      </c>
      <c r="S701" s="4">
        <v>0</v>
      </c>
      <c r="T701" s="4">
        <v>20</v>
      </c>
      <c r="U701" s="4">
        <v>88</v>
      </c>
      <c r="V701" s="4">
        <f>IF(ISERROR(VLOOKUP($S$701,'TAR FIN'!$A$1:$O$113,15,0)),0,VLOOKUP($S$701,'TAR FIN'!$A$1:$O$113,15,0))</f>
        <v>0</v>
      </c>
      <c r="W701" s="4">
        <f>IF(ISERROR(VLOOKUP($T$701,'TAR FIN'!$A$1:$O$113,15,0)),0,VLOOKUP($T$701,'TAR FIN'!$A$1:$O$113,15,0))</f>
        <v>1564.59</v>
      </c>
      <c r="X701" s="4">
        <f>IF(ISERROR(VLOOKUP($U$701,'TAR FIN'!$A$1:$O$113,15,0)),0,VLOOKUP($U$701,'TAR FIN'!$A$1:$O$113,15,0))</f>
        <v>365.5</v>
      </c>
      <c r="Y701" s="4"/>
      <c r="Z701" s="4">
        <f ca="1">('TUSD BE'!$AM$31+'TUSD BF'!$AM$31+'TUSD CVA'!$AM$31)*1</f>
        <v>1837.8896121132304</v>
      </c>
      <c r="AA701" s="4">
        <f>('TE BE'!$AA$10+'TE BF'!$AA$10+'TE CVA'!$AA$10)*1</f>
        <v>361.55013418411539</v>
      </c>
      <c r="AB701" s="4">
        <f>$K$701*$V$701</f>
        <v>0</v>
      </c>
      <c r="AC701" s="4">
        <f>$M$701*$W$701</f>
        <v>1004288.4167399999</v>
      </c>
      <c r="AD701" s="4">
        <f>$O$701*$X$701</f>
        <v>234609.33299999998</v>
      </c>
      <c r="AE701" s="4">
        <f>$K$701*$Y$701</f>
        <v>0</v>
      </c>
      <c r="AF701" s="4">
        <f ca="1">$M$701*$Z$701</f>
        <v>1179715.611560913</v>
      </c>
      <c r="AG701" s="4">
        <f>$O$701*$AA$701</f>
        <v>232073.96943090507</v>
      </c>
    </row>
    <row r="702" spans="1:33" ht="11.25" customHeight="1" x14ac:dyDescent="0.25">
      <c r="A702" s="3" t="s">
        <v>27</v>
      </c>
      <c r="B702" s="3" t="s">
        <v>41</v>
      </c>
      <c r="C702" s="3" t="s">
        <v>42</v>
      </c>
      <c r="D702" s="3" t="s">
        <v>43</v>
      </c>
      <c r="E702" s="3" t="s">
        <v>25</v>
      </c>
      <c r="F702" s="3" t="s">
        <v>25</v>
      </c>
      <c r="G702" s="3" t="s">
        <v>25</v>
      </c>
      <c r="H702" s="3" t="s">
        <v>34</v>
      </c>
      <c r="I702" s="6">
        <v>44378</v>
      </c>
      <c r="J702" s="4">
        <v>0</v>
      </c>
      <c r="K702" s="4">
        <v>0</v>
      </c>
      <c r="L702" s="4">
        <v>4.2699999999999996</v>
      </c>
      <c r="M702" s="4">
        <v>4.2699999999999996</v>
      </c>
      <c r="N702" s="4">
        <v>4.2699999999999996</v>
      </c>
      <c r="O702" s="4">
        <v>4.2699999999999996</v>
      </c>
      <c r="P702" s="4">
        <v>0</v>
      </c>
      <c r="Q702" s="3" t="s">
        <v>26</v>
      </c>
      <c r="R702" s="3">
        <v>0</v>
      </c>
      <c r="S702" s="4">
        <v>0</v>
      </c>
      <c r="T702" s="4">
        <v>20</v>
      </c>
      <c r="U702" s="4">
        <v>88</v>
      </c>
      <c r="V702" s="4">
        <f>IF(ISERROR(VLOOKUP($S$702,'TAR FIN'!$A$1:$O$113,15,0)),0,VLOOKUP($S$702,'TAR FIN'!$A$1:$O$113,15,0))</f>
        <v>0</v>
      </c>
      <c r="W702" s="4">
        <f>IF(ISERROR(VLOOKUP($T$702,'TAR FIN'!$A$1:$O$113,15,0)),0,VLOOKUP($T$702,'TAR FIN'!$A$1:$O$113,15,0))</f>
        <v>1564.59</v>
      </c>
      <c r="X702" s="4">
        <f>IF(ISERROR(VLOOKUP($U$702,'TAR FIN'!$A$1:$O$113,15,0)),0,VLOOKUP($U$702,'TAR FIN'!$A$1:$O$113,15,0))</f>
        <v>365.5</v>
      </c>
      <c r="Y702" s="4"/>
      <c r="Z702" s="4">
        <f ca="1">('TUSD BE'!$AM$31+'TUSD BF'!$AM$31+'TUSD CVA'!$AM$31)*1</f>
        <v>1837.8896121132304</v>
      </c>
      <c r="AA702" s="4">
        <f>('TE BE'!$AA$10+'TE BF'!$AA$10+'TE CVA'!$AA$10)*1</f>
        <v>361.55013418411539</v>
      </c>
      <c r="AB702" s="4">
        <f>$K$702*$V$702</f>
        <v>0</v>
      </c>
      <c r="AC702" s="4">
        <f>$M$702*$W$702</f>
        <v>6680.7992999999988</v>
      </c>
      <c r="AD702" s="4">
        <f>$O$702*$X$702</f>
        <v>1560.6849999999999</v>
      </c>
      <c r="AE702" s="4">
        <f>$K$702*$Y$702</f>
        <v>0</v>
      </c>
      <c r="AF702" s="4">
        <f ca="1">$M$702*$Z$702</f>
        <v>7847.7886437234929</v>
      </c>
      <c r="AG702" s="4">
        <f>$O$702*$AA$702</f>
        <v>1543.8190729661726</v>
      </c>
    </row>
    <row r="703" spans="1:33" ht="11.25" customHeight="1" x14ac:dyDescent="0.25">
      <c r="A703" s="3" t="s">
        <v>28</v>
      </c>
      <c r="B703" s="3" t="s">
        <v>41</v>
      </c>
      <c r="C703" s="3" t="s">
        <v>42</v>
      </c>
      <c r="D703" s="3" t="s">
        <v>43</v>
      </c>
      <c r="E703" s="3" t="s">
        <v>25</v>
      </c>
      <c r="F703" s="3" t="s">
        <v>25</v>
      </c>
      <c r="G703" s="3" t="s">
        <v>25</v>
      </c>
      <c r="H703" s="3" t="s">
        <v>34</v>
      </c>
      <c r="I703" s="6">
        <v>44378</v>
      </c>
      <c r="J703" s="4">
        <v>0</v>
      </c>
      <c r="K703" s="4">
        <v>0</v>
      </c>
      <c r="L703" s="4">
        <v>39</v>
      </c>
      <c r="M703" s="4">
        <v>39</v>
      </c>
      <c r="N703" s="4">
        <v>39</v>
      </c>
      <c r="O703" s="4">
        <v>39</v>
      </c>
      <c r="P703" s="4">
        <v>0</v>
      </c>
      <c r="Q703" s="3" t="s">
        <v>26</v>
      </c>
      <c r="R703" s="3">
        <v>0</v>
      </c>
      <c r="S703" s="4">
        <v>0</v>
      </c>
      <c r="T703" s="4">
        <v>20</v>
      </c>
      <c r="U703" s="4">
        <v>88</v>
      </c>
      <c r="V703" s="4">
        <f>IF(ISERROR(VLOOKUP($S$703,'TAR FIN'!$A$1:$O$113,15,0)),0,VLOOKUP($S$703,'TAR FIN'!$A$1:$O$113,15,0))</f>
        <v>0</v>
      </c>
      <c r="W703" s="4">
        <f>IF(ISERROR(VLOOKUP($T$703,'TAR FIN'!$A$1:$O$113,15,0)),0,VLOOKUP($T$703,'TAR FIN'!$A$1:$O$113,15,0))</f>
        <v>1564.59</v>
      </c>
      <c r="X703" s="4">
        <f>IF(ISERROR(VLOOKUP($U$703,'TAR FIN'!$A$1:$O$113,15,0)),0,VLOOKUP($U$703,'TAR FIN'!$A$1:$O$113,15,0))</f>
        <v>365.5</v>
      </c>
      <c r="Y703" s="4"/>
      <c r="Z703" s="4">
        <f ca="1">('TUSD BE'!$AM$31+'TUSD BF'!$AM$31+'TUSD CVA'!$AM$31)*1</f>
        <v>1837.8896121132304</v>
      </c>
      <c r="AA703" s="4">
        <f>('TE BE'!$AA$10+'TE BF'!$AA$10+'TE CVA'!$AA$10)*1</f>
        <v>361.55013418411539</v>
      </c>
      <c r="AB703" s="4">
        <f>$K$703*$V$703</f>
        <v>0</v>
      </c>
      <c r="AC703" s="4">
        <f>$M$703*$W$703</f>
        <v>61019.009999999995</v>
      </c>
      <c r="AD703" s="4">
        <f>$O$703*$X$703</f>
        <v>14254.5</v>
      </c>
      <c r="AE703" s="4">
        <f>$K$703*$Y$703</f>
        <v>0</v>
      </c>
      <c r="AF703" s="4">
        <f ca="1">$M$703*$Z$703</f>
        <v>71677.694872415988</v>
      </c>
      <c r="AG703" s="4">
        <f>$O$703*$AA$703</f>
        <v>14100.455233180501</v>
      </c>
    </row>
    <row r="704" spans="1:33" ht="11.25" customHeight="1" x14ac:dyDescent="0.25">
      <c r="A704" s="3" t="s">
        <v>21</v>
      </c>
      <c r="B704" s="3" t="s">
        <v>41</v>
      </c>
      <c r="C704" s="3" t="s">
        <v>42</v>
      </c>
      <c r="D704" s="3" t="s">
        <v>43</v>
      </c>
      <c r="E704" s="3" t="s">
        <v>25</v>
      </c>
      <c r="F704" s="3" t="s">
        <v>25</v>
      </c>
      <c r="G704" s="3" t="s">
        <v>25</v>
      </c>
      <c r="H704" s="3" t="s">
        <v>34</v>
      </c>
      <c r="I704" s="6">
        <v>44378</v>
      </c>
      <c r="J704" s="4">
        <v>0</v>
      </c>
      <c r="K704" s="4">
        <v>0</v>
      </c>
      <c r="L704" s="4">
        <v>26.3</v>
      </c>
      <c r="M704" s="4">
        <v>26.3</v>
      </c>
      <c r="N704" s="4">
        <v>0</v>
      </c>
      <c r="O704" s="4">
        <v>0</v>
      </c>
      <c r="P704" s="4">
        <v>0</v>
      </c>
      <c r="Q704" s="3" t="s">
        <v>57</v>
      </c>
      <c r="R704" s="3">
        <v>0</v>
      </c>
      <c r="S704" s="4">
        <v>0</v>
      </c>
      <c r="T704" s="4">
        <v>20</v>
      </c>
      <c r="U704" s="4">
        <v>0</v>
      </c>
      <c r="V704" s="4">
        <f>IF(ISERROR(VLOOKUP($S$704,'TAR FIN'!$A$1:$O$113,15,0)),0,VLOOKUP($S$704,'TAR FIN'!$A$1:$O$113,15,0))</f>
        <v>0</v>
      </c>
      <c r="W704" s="4">
        <f>IF(ISERROR(VLOOKUP($T$704,'TAR FIN'!$A$1:$O$113,15,0)),0,VLOOKUP($T$704,'TAR FIN'!$A$1:$O$113,15,0))</f>
        <v>1564.59</v>
      </c>
      <c r="X704" s="4">
        <f>IF(ISERROR(VLOOKUP($U$704,'TAR FIN'!$A$1:$O$113,15,0)),0,VLOOKUP($U$704,'TAR FIN'!$A$1:$O$113,15,0))</f>
        <v>0</v>
      </c>
      <c r="Y704" s="4"/>
      <c r="Z704" s="4">
        <f ca="1">('TUSD BE'!$AM$31+'TUSD BF'!$AM$31+'TUSD CVA'!$AM$31)*1</f>
        <v>1837.8896121132304</v>
      </c>
      <c r="AA704" s="4"/>
      <c r="AB704" s="4">
        <f>$K$704*$V$704</f>
        <v>0</v>
      </c>
      <c r="AC704" s="4">
        <f>$M$704*$W$704</f>
        <v>41148.716999999997</v>
      </c>
      <c r="AD704" s="4">
        <f>$O$704*$X$704</f>
        <v>0</v>
      </c>
      <c r="AE704" s="4">
        <f>$K$704*$Y$704</f>
        <v>0</v>
      </c>
      <c r="AF704" s="4">
        <f ca="1">$M$704*$Z$704</f>
        <v>48336.496798577959</v>
      </c>
      <c r="AG704" s="4">
        <f>$O$704*$AA$704</f>
        <v>0</v>
      </c>
    </row>
    <row r="705" spans="1:33" ht="11.25" customHeight="1" x14ac:dyDescent="0.25">
      <c r="A705" s="3" t="s">
        <v>21</v>
      </c>
      <c r="B705" s="3" t="s">
        <v>41</v>
      </c>
      <c r="C705" s="3" t="s">
        <v>42</v>
      </c>
      <c r="D705" s="3" t="s">
        <v>43</v>
      </c>
      <c r="E705" s="3" t="s">
        <v>25</v>
      </c>
      <c r="F705" s="3" t="s">
        <v>25</v>
      </c>
      <c r="G705" s="3" t="s">
        <v>25</v>
      </c>
      <c r="H705" s="3" t="s">
        <v>34</v>
      </c>
      <c r="I705" s="6">
        <v>44409</v>
      </c>
      <c r="J705" s="4">
        <v>0</v>
      </c>
      <c r="K705" s="4">
        <v>0</v>
      </c>
      <c r="L705" s="4">
        <v>686.34699999999998</v>
      </c>
      <c r="M705" s="4">
        <v>686.34699999999998</v>
      </c>
      <c r="N705" s="4">
        <v>686.34699999999998</v>
      </c>
      <c r="O705" s="4">
        <v>686.34699999999998</v>
      </c>
      <c r="P705" s="4">
        <v>0</v>
      </c>
      <c r="Q705" s="3" t="s">
        <v>26</v>
      </c>
      <c r="R705" s="3">
        <v>0</v>
      </c>
      <c r="S705" s="4">
        <v>0</v>
      </c>
      <c r="T705" s="4">
        <v>20</v>
      </c>
      <c r="U705" s="4">
        <v>88</v>
      </c>
      <c r="V705" s="4">
        <f>IF(ISERROR(VLOOKUP($S$705,'TAR FIN'!$A$1:$O$113,15,0)),0,VLOOKUP($S$705,'TAR FIN'!$A$1:$O$113,15,0))</f>
        <v>0</v>
      </c>
      <c r="W705" s="4">
        <f>IF(ISERROR(VLOOKUP($T$705,'TAR FIN'!$A$1:$O$113,15,0)),0,VLOOKUP($T$705,'TAR FIN'!$A$1:$O$113,15,0))</f>
        <v>1564.59</v>
      </c>
      <c r="X705" s="4">
        <f>IF(ISERROR(VLOOKUP($U$705,'TAR FIN'!$A$1:$O$113,15,0)),0,VLOOKUP($U$705,'TAR FIN'!$A$1:$O$113,15,0))</f>
        <v>365.5</v>
      </c>
      <c r="Y705" s="4"/>
      <c r="Z705" s="4">
        <f ca="1">('TUSD BE'!$AM$31+'TUSD BF'!$AM$31+'TUSD CVA'!$AM$31)*1</f>
        <v>1837.8896121132304</v>
      </c>
      <c r="AA705" s="4">
        <f>('TE BE'!$AA$10+'TE BF'!$AA$10+'TE CVA'!$AA$10)*1</f>
        <v>361.55013418411539</v>
      </c>
      <c r="AB705" s="4">
        <f>$K$705*$V$705</f>
        <v>0</v>
      </c>
      <c r="AC705" s="4">
        <f>$M$705*$W$705</f>
        <v>1073851.65273</v>
      </c>
      <c r="AD705" s="4">
        <f>$O$705*$X$705</f>
        <v>250859.8285</v>
      </c>
      <c r="AE705" s="4">
        <f>$K$705*$Y$705</f>
        <v>0</v>
      </c>
      <c r="AF705" s="4">
        <f ca="1">$M$705*$Z$705</f>
        <v>1261430.0216050793</v>
      </c>
      <c r="AG705" s="4">
        <f>$O$705*$AA$705</f>
        <v>248148.84994686503</v>
      </c>
    </row>
    <row r="706" spans="1:33" ht="11.25" customHeight="1" x14ac:dyDescent="0.25">
      <c r="A706" s="3" t="s">
        <v>28</v>
      </c>
      <c r="B706" s="3" t="s">
        <v>41</v>
      </c>
      <c r="C706" s="3" t="s">
        <v>42</v>
      </c>
      <c r="D706" s="3" t="s">
        <v>43</v>
      </c>
      <c r="E706" s="3" t="s">
        <v>25</v>
      </c>
      <c r="F706" s="3" t="s">
        <v>25</v>
      </c>
      <c r="G706" s="3" t="s">
        <v>25</v>
      </c>
      <c r="H706" s="3" t="s">
        <v>34</v>
      </c>
      <c r="I706" s="6">
        <v>44409</v>
      </c>
      <c r="J706" s="4">
        <v>0</v>
      </c>
      <c r="K706" s="4">
        <v>0</v>
      </c>
      <c r="L706" s="4">
        <v>39.442</v>
      </c>
      <c r="M706" s="4">
        <v>39.442</v>
      </c>
      <c r="N706" s="4">
        <v>39.442</v>
      </c>
      <c r="O706" s="4">
        <v>39.442</v>
      </c>
      <c r="P706" s="4">
        <v>0</v>
      </c>
      <c r="Q706" s="3" t="s">
        <v>26</v>
      </c>
      <c r="R706" s="3">
        <v>0</v>
      </c>
      <c r="S706" s="4">
        <v>0</v>
      </c>
      <c r="T706" s="4">
        <v>20</v>
      </c>
      <c r="U706" s="4">
        <v>88</v>
      </c>
      <c r="V706" s="4">
        <f>IF(ISERROR(VLOOKUP($S$706,'TAR FIN'!$A$1:$O$113,15,0)),0,VLOOKUP($S$706,'TAR FIN'!$A$1:$O$113,15,0))</f>
        <v>0</v>
      </c>
      <c r="W706" s="4">
        <f>IF(ISERROR(VLOOKUP($T$706,'TAR FIN'!$A$1:$O$113,15,0)),0,VLOOKUP($T$706,'TAR FIN'!$A$1:$O$113,15,0))</f>
        <v>1564.59</v>
      </c>
      <c r="X706" s="4">
        <f>IF(ISERROR(VLOOKUP($U$706,'TAR FIN'!$A$1:$O$113,15,0)),0,VLOOKUP($U$706,'TAR FIN'!$A$1:$O$113,15,0))</f>
        <v>365.5</v>
      </c>
      <c r="Y706" s="4"/>
      <c r="Z706" s="4">
        <f ca="1">('TUSD BE'!$AM$31+'TUSD BF'!$AM$31+'TUSD CVA'!$AM$31)*1</f>
        <v>1837.8896121132304</v>
      </c>
      <c r="AA706" s="4">
        <f>('TE BE'!$AA$10+'TE BF'!$AA$10+'TE CVA'!$AA$10)*1</f>
        <v>361.55013418411539</v>
      </c>
      <c r="AB706" s="4">
        <f>$K$706*$V$706</f>
        <v>0</v>
      </c>
      <c r="AC706" s="4">
        <f>$M$706*$W$706</f>
        <v>61710.558779999999</v>
      </c>
      <c r="AD706" s="4">
        <f>$O$706*$X$706</f>
        <v>14416.050999999999</v>
      </c>
      <c r="AE706" s="4">
        <f>$K$706*$Y$706</f>
        <v>0</v>
      </c>
      <c r="AF706" s="4">
        <f ca="1">$M$706*$Z$706</f>
        <v>72490.04208097003</v>
      </c>
      <c r="AG706" s="4">
        <f>$O$706*$AA$706</f>
        <v>14260.260392489879</v>
      </c>
    </row>
    <row r="707" spans="1:33" ht="11.25" customHeight="1" x14ac:dyDescent="0.25">
      <c r="A707" s="3" t="s">
        <v>21</v>
      </c>
      <c r="B707" s="3" t="s">
        <v>41</v>
      </c>
      <c r="C707" s="3" t="s">
        <v>42</v>
      </c>
      <c r="D707" s="3" t="s">
        <v>43</v>
      </c>
      <c r="E707" s="3" t="s">
        <v>25</v>
      </c>
      <c r="F707" s="3" t="s">
        <v>25</v>
      </c>
      <c r="G707" s="3" t="s">
        <v>25</v>
      </c>
      <c r="H707" s="3" t="s">
        <v>34</v>
      </c>
      <c r="I707" s="6">
        <v>44409</v>
      </c>
      <c r="J707" s="4">
        <v>0</v>
      </c>
      <c r="K707" s="4">
        <v>0</v>
      </c>
      <c r="L707" s="4">
        <v>20.62</v>
      </c>
      <c r="M707" s="4">
        <v>20.62</v>
      </c>
      <c r="N707" s="4">
        <v>0</v>
      </c>
      <c r="O707" s="4">
        <v>0</v>
      </c>
      <c r="P707" s="4">
        <v>0</v>
      </c>
      <c r="Q707" s="3" t="s">
        <v>57</v>
      </c>
      <c r="R707" s="3">
        <v>0</v>
      </c>
      <c r="S707" s="4">
        <v>0</v>
      </c>
      <c r="T707" s="4">
        <v>20</v>
      </c>
      <c r="U707" s="4">
        <v>0</v>
      </c>
      <c r="V707" s="4">
        <f>IF(ISERROR(VLOOKUP($S$707,'TAR FIN'!$A$1:$O$113,15,0)),0,VLOOKUP($S$707,'TAR FIN'!$A$1:$O$113,15,0))</f>
        <v>0</v>
      </c>
      <c r="W707" s="4">
        <f>IF(ISERROR(VLOOKUP($T$707,'TAR FIN'!$A$1:$O$113,15,0)),0,VLOOKUP($T$707,'TAR FIN'!$A$1:$O$113,15,0))</f>
        <v>1564.59</v>
      </c>
      <c r="X707" s="4">
        <f>IF(ISERROR(VLOOKUP($U$707,'TAR FIN'!$A$1:$O$113,15,0)),0,VLOOKUP($U$707,'TAR FIN'!$A$1:$O$113,15,0))</f>
        <v>0</v>
      </c>
      <c r="Y707" s="4"/>
      <c r="Z707" s="4">
        <f ca="1">('TUSD BE'!$AM$31+'TUSD BF'!$AM$31+'TUSD CVA'!$AM$31)*1</f>
        <v>1837.8896121132304</v>
      </c>
      <c r="AA707" s="4"/>
      <c r="AB707" s="4">
        <f>$K$707*$V$707</f>
        <v>0</v>
      </c>
      <c r="AC707" s="4">
        <f>$M$707*$W$707</f>
        <v>32261.845799999999</v>
      </c>
      <c r="AD707" s="4">
        <f>$O$707*$X$707</f>
        <v>0</v>
      </c>
      <c r="AE707" s="4">
        <f>$K$707*$Y$707</f>
        <v>0</v>
      </c>
      <c r="AF707" s="4">
        <f ca="1">$M$707*$Z$707</f>
        <v>37897.283801774814</v>
      </c>
      <c r="AG707" s="4">
        <f>$O$707*$AA$707</f>
        <v>0</v>
      </c>
    </row>
    <row r="708" spans="1:33" ht="11.25" customHeight="1" x14ac:dyDescent="0.25">
      <c r="A708" s="3" t="s">
        <v>21</v>
      </c>
      <c r="B708" s="3" t="s">
        <v>41</v>
      </c>
      <c r="C708" s="3" t="s">
        <v>42</v>
      </c>
      <c r="D708" s="3" t="s">
        <v>43</v>
      </c>
      <c r="E708" s="3" t="s">
        <v>25</v>
      </c>
      <c r="F708" s="3" t="s">
        <v>25</v>
      </c>
      <c r="G708" s="3" t="s">
        <v>25</v>
      </c>
      <c r="H708" s="3" t="s">
        <v>34</v>
      </c>
      <c r="I708" s="6">
        <v>44440</v>
      </c>
      <c r="J708" s="4">
        <v>0</v>
      </c>
      <c r="K708" s="4">
        <v>0</v>
      </c>
      <c r="L708" s="4">
        <v>700.45100000000002</v>
      </c>
      <c r="M708" s="4">
        <v>700.45100000000002</v>
      </c>
      <c r="N708" s="4">
        <v>700.45100000000002</v>
      </c>
      <c r="O708" s="4">
        <v>700.45100000000002</v>
      </c>
      <c r="P708" s="4">
        <v>0</v>
      </c>
      <c r="Q708" s="3" t="s">
        <v>26</v>
      </c>
      <c r="R708" s="3">
        <v>0</v>
      </c>
      <c r="S708" s="4">
        <v>0</v>
      </c>
      <c r="T708" s="4">
        <v>20</v>
      </c>
      <c r="U708" s="4">
        <v>88</v>
      </c>
      <c r="V708" s="4">
        <f>IF(ISERROR(VLOOKUP($S$708,'TAR FIN'!$A$1:$O$113,15,0)),0,VLOOKUP($S$708,'TAR FIN'!$A$1:$O$113,15,0))</f>
        <v>0</v>
      </c>
      <c r="W708" s="4">
        <f>IF(ISERROR(VLOOKUP($T$708,'TAR FIN'!$A$1:$O$113,15,0)),0,VLOOKUP($T$708,'TAR FIN'!$A$1:$O$113,15,0))</f>
        <v>1564.59</v>
      </c>
      <c r="X708" s="4">
        <f>IF(ISERROR(VLOOKUP($U$708,'TAR FIN'!$A$1:$O$113,15,0)),0,VLOOKUP($U$708,'TAR FIN'!$A$1:$O$113,15,0))</f>
        <v>365.5</v>
      </c>
      <c r="Y708" s="4"/>
      <c r="Z708" s="4">
        <f ca="1">('TUSD BE'!$AM$31+'TUSD BF'!$AM$31+'TUSD CVA'!$AM$31)*1</f>
        <v>1837.8896121132304</v>
      </c>
      <c r="AA708" s="4">
        <f>('TE BE'!$AA$10+'TE BF'!$AA$10+'TE CVA'!$AA$10)*1</f>
        <v>361.55013418411539</v>
      </c>
      <c r="AB708" s="4">
        <f>$K$708*$V$708</f>
        <v>0</v>
      </c>
      <c r="AC708" s="4">
        <f>$M$708*$W$708</f>
        <v>1095918.6300899999</v>
      </c>
      <c r="AD708" s="4">
        <f>$O$708*$X$708</f>
        <v>256014.84050000002</v>
      </c>
      <c r="AE708" s="4">
        <f>$K$708*$Y$708</f>
        <v>0</v>
      </c>
      <c r="AF708" s="4">
        <f ca="1">$M$708*$Z$708</f>
        <v>1287351.6166943244</v>
      </c>
      <c r="AG708" s="4">
        <f>$O$708*$AA$708</f>
        <v>253248.15303939782</v>
      </c>
    </row>
    <row r="709" spans="1:33" ht="11.25" customHeight="1" x14ac:dyDescent="0.25">
      <c r="A709" s="3" t="s">
        <v>28</v>
      </c>
      <c r="B709" s="3" t="s">
        <v>41</v>
      </c>
      <c r="C709" s="3" t="s">
        <v>42</v>
      </c>
      <c r="D709" s="3" t="s">
        <v>43</v>
      </c>
      <c r="E709" s="3" t="s">
        <v>25</v>
      </c>
      <c r="F709" s="3" t="s">
        <v>25</v>
      </c>
      <c r="G709" s="3" t="s">
        <v>25</v>
      </c>
      <c r="H709" s="3" t="s">
        <v>34</v>
      </c>
      <c r="I709" s="6">
        <v>44440</v>
      </c>
      <c r="J709" s="4">
        <v>0</v>
      </c>
      <c r="K709" s="4">
        <v>0</v>
      </c>
      <c r="L709" s="4">
        <v>50.274000000000001</v>
      </c>
      <c r="M709" s="4">
        <v>50.274000000000001</v>
      </c>
      <c r="N709" s="4">
        <v>50.274000000000001</v>
      </c>
      <c r="O709" s="4">
        <v>50.274000000000001</v>
      </c>
      <c r="P709" s="4">
        <v>0</v>
      </c>
      <c r="Q709" s="3" t="s">
        <v>26</v>
      </c>
      <c r="R709" s="3">
        <v>0</v>
      </c>
      <c r="S709" s="4">
        <v>0</v>
      </c>
      <c r="T709" s="4">
        <v>20</v>
      </c>
      <c r="U709" s="4">
        <v>88</v>
      </c>
      <c r="V709" s="4">
        <f>IF(ISERROR(VLOOKUP($S$709,'TAR FIN'!$A$1:$O$113,15,0)),0,VLOOKUP($S$709,'TAR FIN'!$A$1:$O$113,15,0))</f>
        <v>0</v>
      </c>
      <c r="W709" s="4">
        <f>IF(ISERROR(VLOOKUP($T$709,'TAR FIN'!$A$1:$O$113,15,0)),0,VLOOKUP($T$709,'TAR FIN'!$A$1:$O$113,15,0))</f>
        <v>1564.59</v>
      </c>
      <c r="X709" s="4">
        <f>IF(ISERROR(VLOOKUP($U$709,'TAR FIN'!$A$1:$O$113,15,0)),0,VLOOKUP($U$709,'TAR FIN'!$A$1:$O$113,15,0))</f>
        <v>365.5</v>
      </c>
      <c r="Y709" s="4"/>
      <c r="Z709" s="4">
        <f ca="1">('TUSD BE'!$AM$31+'TUSD BF'!$AM$31+'TUSD CVA'!$AM$31)*1</f>
        <v>1837.8896121132304</v>
      </c>
      <c r="AA709" s="4">
        <f>('TE BE'!$AA$10+'TE BF'!$AA$10+'TE CVA'!$AA$10)*1</f>
        <v>361.55013418411539</v>
      </c>
      <c r="AB709" s="4">
        <f>$K$709*$V$709</f>
        <v>0</v>
      </c>
      <c r="AC709" s="4">
        <f>$M$709*$W$709</f>
        <v>78658.197659999991</v>
      </c>
      <c r="AD709" s="4">
        <f>$O$709*$X$709</f>
        <v>18375.147000000001</v>
      </c>
      <c r="AE709" s="4">
        <f>$K$709*$Y$709</f>
        <v>0</v>
      </c>
      <c r="AF709" s="4">
        <f ca="1">$M$709*$Z$709</f>
        <v>92398.06235938055</v>
      </c>
      <c r="AG709" s="4">
        <f>$O$709*$AA$709</f>
        <v>18176.571445972218</v>
      </c>
    </row>
    <row r="710" spans="1:33" ht="11.25" customHeight="1" x14ac:dyDescent="0.25">
      <c r="A710" s="3" t="s">
        <v>21</v>
      </c>
      <c r="B710" s="3" t="s">
        <v>41</v>
      </c>
      <c r="C710" s="3" t="s">
        <v>42</v>
      </c>
      <c r="D710" s="3" t="s">
        <v>43</v>
      </c>
      <c r="E710" s="3" t="s">
        <v>25</v>
      </c>
      <c r="F710" s="3" t="s">
        <v>25</v>
      </c>
      <c r="G710" s="3" t="s">
        <v>25</v>
      </c>
      <c r="H710" s="3" t="s">
        <v>34</v>
      </c>
      <c r="I710" s="6">
        <v>44440</v>
      </c>
      <c r="J710" s="4">
        <v>0</v>
      </c>
      <c r="K710" s="4">
        <v>0</v>
      </c>
      <c r="L710" s="4">
        <v>11.423</v>
      </c>
      <c r="M710" s="4">
        <v>11.423</v>
      </c>
      <c r="N710" s="4">
        <v>0</v>
      </c>
      <c r="O710" s="4">
        <v>0</v>
      </c>
      <c r="P710" s="4">
        <v>0</v>
      </c>
      <c r="Q710" s="3" t="s">
        <v>57</v>
      </c>
      <c r="R710" s="3">
        <v>0</v>
      </c>
      <c r="S710" s="4">
        <v>0</v>
      </c>
      <c r="T710" s="4">
        <v>20</v>
      </c>
      <c r="U710" s="4">
        <v>0</v>
      </c>
      <c r="V710" s="4">
        <f>IF(ISERROR(VLOOKUP($S$710,'TAR FIN'!$A$1:$O$113,15,0)),0,VLOOKUP($S$710,'TAR FIN'!$A$1:$O$113,15,0))</f>
        <v>0</v>
      </c>
      <c r="W710" s="4">
        <f>IF(ISERROR(VLOOKUP($T$710,'TAR FIN'!$A$1:$O$113,15,0)),0,VLOOKUP($T$710,'TAR FIN'!$A$1:$O$113,15,0))</f>
        <v>1564.59</v>
      </c>
      <c r="X710" s="4">
        <f>IF(ISERROR(VLOOKUP($U$710,'TAR FIN'!$A$1:$O$113,15,0)),0,VLOOKUP($U$710,'TAR FIN'!$A$1:$O$113,15,0))</f>
        <v>0</v>
      </c>
      <c r="Y710" s="4"/>
      <c r="Z710" s="4">
        <f ca="1">('TUSD BE'!$AM$31+'TUSD BF'!$AM$31+'TUSD CVA'!$AM$31)*1</f>
        <v>1837.8896121132304</v>
      </c>
      <c r="AA710" s="4"/>
      <c r="AB710" s="4">
        <f>$K$710*$V$710</f>
        <v>0</v>
      </c>
      <c r="AC710" s="4">
        <f>$M$710*$W$710</f>
        <v>17872.311569999998</v>
      </c>
      <c r="AD710" s="4">
        <f>$O$710*$X$710</f>
        <v>0</v>
      </c>
      <c r="AE710" s="4">
        <f>$K$710*$Y$710</f>
        <v>0</v>
      </c>
      <c r="AF710" s="4">
        <f ca="1">$M$710*$Z$710</f>
        <v>20994.21303916943</v>
      </c>
      <c r="AG710" s="4">
        <f>$O$710*$AA$710</f>
        <v>0</v>
      </c>
    </row>
    <row r="711" spans="1:33" ht="11.25" customHeight="1" x14ac:dyDescent="0.25">
      <c r="A711" s="3" t="s">
        <v>21</v>
      </c>
      <c r="B711" s="3" t="s">
        <v>41</v>
      </c>
      <c r="C711" s="3" t="s">
        <v>42</v>
      </c>
      <c r="D711" s="3" t="s">
        <v>43</v>
      </c>
      <c r="E711" s="3" t="s">
        <v>25</v>
      </c>
      <c r="F711" s="3" t="s">
        <v>25</v>
      </c>
      <c r="G711" s="3" t="s">
        <v>25</v>
      </c>
      <c r="H711" s="3" t="s">
        <v>34</v>
      </c>
      <c r="I711" s="6">
        <v>44470</v>
      </c>
      <c r="J711" s="4">
        <v>0</v>
      </c>
      <c r="K711" s="4">
        <v>0</v>
      </c>
      <c r="L711" s="4">
        <v>716.50099999999998</v>
      </c>
      <c r="M711" s="4">
        <v>716.50099999999998</v>
      </c>
      <c r="N711" s="4">
        <v>716.50099999999998</v>
      </c>
      <c r="O711" s="4">
        <v>716.50099999999998</v>
      </c>
      <c r="P711" s="4">
        <v>0</v>
      </c>
      <c r="Q711" s="3" t="s">
        <v>26</v>
      </c>
      <c r="R711" s="3">
        <v>0</v>
      </c>
      <c r="S711" s="4">
        <v>0</v>
      </c>
      <c r="T711" s="4">
        <v>20</v>
      </c>
      <c r="U711" s="4">
        <v>88</v>
      </c>
      <c r="V711" s="4">
        <f>IF(ISERROR(VLOOKUP($S$711,'TAR FIN'!$A$1:$O$113,15,0)),0,VLOOKUP($S$711,'TAR FIN'!$A$1:$O$113,15,0))</f>
        <v>0</v>
      </c>
      <c r="W711" s="4">
        <f>IF(ISERROR(VLOOKUP($T$711,'TAR FIN'!$A$1:$O$113,15,0)),0,VLOOKUP($T$711,'TAR FIN'!$A$1:$O$113,15,0))</f>
        <v>1564.59</v>
      </c>
      <c r="X711" s="4">
        <f>IF(ISERROR(VLOOKUP($U$711,'TAR FIN'!$A$1:$O$113,15,0)),0,VLOOKUP($U$711,'TAR FIN'!$A$1:$O$113,15,0))</f>
        <v>365.5</v>
      </c>
      <c r="Y711" s="4"/>
      <c r="Z711" s="4">
        <f ca="1">('TUSD BE'!$AM$31+'TUSD BF'!$AM$31+'TUSD CVA'!$AM$31)*1</f>
        <v>1837.8896121132304</v>
      </c>
      <c r="AA711" s="4">
        <f>('TE BE'!$AA$10+'TE BF'!$AA$10+'TE CVA'!$AA$10)*1</f>
        <v>361.55013418411539</v>
      </c>
      <c r="AB711" s="4">
        <f>$K$711*$V$711</f>
        <v>0</v>
      </c>
      <c r="AC711" s="4">
        <f>$M$711*$W$711</f>
        <v>1121030.29959</v>
      </c>
      <c r="AD711" s="4">
        <f>$O$711*$X$711</f>
        <v>261881.11549999999</v>
      </c>
      <c r="AE711" s="4">
        <f>$K$711*$Y$711</f>
        <v>0</v>
      </c>
      <c r="AF711" s="4">
        <f ca="1">$M$711*$Z$711</f>
        <v>1316849.7449687417</v>
      </c>
      <c r="AG711" s="4">
        <f>$O$711*$AA$711</f>
        <v>259051.03269305287</v>
      </c>
    </row>
    <row r="712" spans="1:33" ht="11.25" customHeight="1" x14ac:dyDescent="0.25">
      <c r="A712" s="3" t="s">
        <v>28</v>
      </c>
      <c r="B712" s="3" t="s">
        <v>41</v>
      </c>
      <c r="C712" s="3" t="s">
        <v>42</v>
      </c>
      <c r="D712" s="3" t="s">
        <v>43</v>
      </c>
      <c r="E712" s="3" t="s">
        <v>25</v>
      </c>
      <c r="F712" s="3" t="s">
        <v>25</v>
      </c>
      <c r="G712" s="3" t="s">
        <v>25</v>
      </c>
      <c r="H712" s="3" t="s">
        <v>34</v>
      </c>
      <c r="I712" s="6">
        <v>44470</v>
      </c>
      <c r="J712" s="4">
        <v>0</v>
      </c>
      <c r="K712" s="4">
        <v>0</v>
      </c>
      <c r="L712" s="4">
        <v>53.237000000000002</v>
      </c>
      <c r="M712" s="4">
        <v>53.237000000000002</v>
      </c>
      <c r="N712" s="4">
        <v>53.237000000000002</v>
      </c>
      <c r="O712" s="4">
        <v>53.237000000000002</v>
      </c>
      <c r="P712" s="4">
        <v>0</v>
      </c>
      <c r="Q712" s="3" t="s">
        <v>26</v>
      </c>
      <c r="R712" s="3">
        <v>0</v>
      </c>
      <c r="S712" s="4">
        <v>0</v>
      </c>
      <c r="T712" s="4">
        <v>20</v>
      </c>
      <c r="U712" s="4">
        <v>88</v>
      </c>
      <c r="V712" s="4">
        <f>IF(ISERROR(VLOOKUP($S$712,'TAR FIN'!$A$1:$O$113,15,0)),0,VLOOKUP($S$712,'TAR FIN'!$A$1:$O$113,15,0))</f>
        <v>0</v>
      </c>
      <c r="W712" s="4">
        <f>IF(ISERROR(VLOOKUP($T$712,'TAR FIN'!$A$1:$O$113,15,0)),0,VLOOKUP($T$712,'TAR FIN'!$A$1:$O$113,15,0))</f>
        <v>1564.59</v>
      </c>
      <c r="X712" s="4">
        <f>IF(ISERROR(VLOOKUP($U$712,'TAR FIN'!$A$1:$O$113,15,0)),0,VLOOKUP($U$712,'TAR FIN'!$A$1:$O$113,15,0))</f>
        <v>365.5</v>
      </c>
      <c r="Y712" s="4"/>
      <c r="Z712" s="4">
        <f ca="1">('TUSD BE'!$AM$31+'TUSD BF'!$AM$31+'TUSD CVA'!$AM$31)*1</f>
        <v>1837.8896121132304</v>
      </c>
      <c r="AA712" s="4">
        <f>('TE BE'!$AA$10+'TE BF'!$AA$10+'TE CVA'!$AA$10)*1</f>
        <v>361.55013418411539</v>
      </c>
      <c r="AB712" s="4">
        <f>$K$712*$V$712</f>
        <v>0</v>
      </c>
      <c r="AC712" s="4">
        <f>$M$712*$W$712</f>
        <v>83294.077829999995</v>
      </c>
      <c r="AD712" s="4">
        <f>$O$712*$X$712</f>
        <v>19458.123500000002</v>
      </c>
      <c r="AE712" s="4">
        <f>$K$712*$Y$712</f>
        <v>0</v>
      </c>
      <c r="AF712" s="4">
        <f ca="1">$M$712*$Z$712</f>
        <v>97843.729280072046</v>
      </c>
      <c r="AG712" s="4">
        <f>$O$712*$AA$712</f>
        <v>19247.844493559751</v>
      </c>
    </row>
    <row r="713" spans="1:33" ht="11.25" customHeight="1" x14ac:dyDescent="0.25">
      <c r="A713" s="3" t="s">
        <v>21</v>
      </c>
      <c r="B713" s="3" t="s">
        <v>41</v>
      </c>
      <c r="C713" s="3" t="s">
        <v>42</v>
      </c>
      <c r="D713" s="3" t="s">
        <v>43</v>
      </c>
      <c r="E713" s="3" t="s">
        <v>25</v>
      </c>
      <c r="F713" s="3" t="s">
        <v>25</v>
      </c>
      <c r="G713" s="3" t="s">
        <v>25</v>
      </c>
      <c r="H713" s="3" t="s">
        <v>34</v>
      </c>
      <c r="I713" s="6">
        <v>44470</v>
      </c>
      <c r="J713" s="4">
        <v>0</v>
      </c>
      <c r="K713" s="4">
        <v>0</v>
      </c>
      <c r="L713" s="4">
        <v>15.625</v>
      </c>
      <c r="M713" s="4">
        <v>15.625</v>
      </c>
      <c r="N713" s="4">
        <v>0</v>
      </c>
      <c r="O713" s="4">
        <v>0</v>
      </c>
      <c r="P713" s="4">
        <v>0</v>
      </c>
      <c r="Q713" s="3" t="s">
        <v>57</v>
      </c>
      <c r="R713" s="3">
        <v>0</v>
      </c>
      <c r="S713" s="4">
        <v>0</v>
      </c>
      <c r="T713" s="4">
        <v>20</v>
      </c>
      <c r="U713" s="4">
        <v>0</v>
      </c>
      <c r="V713" s="4">
        <f>IF(ISERROR(VLOOKUP($S$713,'TAR FIN'!$A$1:$O$113,15,0)),0,VLOOKUP($S$713,'TAR FIN'!$A$1:$O$113,15,0))</f>
        <v>0</v>
      </c>
      <c r="W713" s="4">
        <f>IF(ISERROR(VLOOKUP($T$713,'TAR FIN'!$A$1:$O$113,15,0)),0,VLOOKUP($T$713,'TAR FIN'!$A$1:$O$113,15,0))</f>
        <v>1564.59</v>
      </c>
      <c r="X713" s="4">
        <f>IF(ISERROR(VLOOKUP($U$713,'TAR FIN'!$A$1:$O$113,15,0)),0,VLOOKUP($U$713,'TAR FIN'!$A$1:$O$113,15,0))</f>
        <v>0</v>
      </c>
      <c r="Y713" s="4"/>
      <c r="Z713" s="4">
        <f ca="1">('TUSD BE'!$AM$31+'TUSD BF'!$AM$31+'TUSD CVA'!$AM$31)*1</f>
        <v>1837.8896121132304</v>
      </c>
      <c r="AA713" s="4"/>
      <c r="AB713" s="4">
        <f>$K$713*$V$713</f>
        <v>0</v>
      </c>
      <c r="AC713" s="4">
        <f>$M$713*$W$713</f>
        <v>24446.71875</v>
      </c>
      <c r="AD713" s="4">
        <f>$O$713*$X$713</f>
        <v>0</v>
      </c>
      <c r="AE713" s="4">
        <f>$K$713*$Y$713</f>
        <v>0</v>
      </c>
      <c r="AF713" s="4">
        <f ca="1">$M$713*$Z$713</f>
        <v>28717.025189269225</v>
      </c>
      <c r="AG713" s="4">
        <f>$O$713*$AA$713</f>
        <v>0</v>
      </c>
    </row>
    <row r="714" spans="1:33" ht="11.25" customHeight="1" x14ac:dyDescent="0.25">
      <c r="A714" s="3" t="s">
        <v>21</v>
      </c>
      <c r="B714" s="3" t="s">
        <v>41</v>
      </c>
      <c r="C714" s="3" t="s">
        <v>42</v>
      </c>
      <c r="D714" s="3" t="s">
        <v>43</v>
      </c>
      <c r="E714" s="3" t="s">
        <v>25</v>
      </c>
      <c r="F714" s="3" t="s">
        <v>25</v>
      </c>
      <c r="G714" s="3" t="s">
        <v>25</v>
      </c>
      <c r="H714" s="3" t="s">
        <v>34</v>
      </c>
      <c r="I714" s="6">
        <v>44501</v>
      </c>
      <c r="J714" s="4">
        <v>0</v>
      </c>
      <c r="K714" s="4">
        <v>0</v>
      </c>
      <c r="L714" s="4">
        <v>755.91499999999996</v>
      </c>
      <c r="M714" s="4">
        <v>755.91499999999996</v>
      </c>
      <c r="N714" s="4">
        <v>755.91499999999996</v>
      </c>
      <c r="O714" s="4">
        <v>755.91499999999996</v>
      </c>
      <c r="P714" s="4">
        <v>0</v>
      </c>
      <c r="Q714" s="3" t="s">
        <v>26</v>
      </c>
      <c r="R714" s="3">
        <v>0</v>
      </c>
      <c r="S714" s="4">
        <v>0</v>
      </c>
      <c r="T714" s="4">
        <v>20</v>
      </c>
      <c r="U714" s="4">
        <v>88</v>
      </c>
      <c r="V714" s="4">
        <f>IF(ISERROR(VLOOKUP($S$714,'TAR FIN'!$A$1:$O$113,15,0)),0,VLOOKUP($S$714,'TAR FIN'!$A$1:$O$113,15,0))</f>
        <v>0</v>
      </c>
      <c r="W714" s="4">
        <f>IF(ISERROR(VLOOKUP($T$714,'TAR FIN'!$A$1:$O$113,15,0)),0,VLOOKUP($T$714,'TAR FIN'!$A$1:$O$113,15,0))</f>
        <v>1564.59</v>
      </c>
      <c r="X714" s="4">
        <f>IF(ISERROR(VLOOKUP($U$714,'TAR FIN'!$A$1:$O$113,15,0)),0,VLOOKUP($U$714,'TAR FIN'!$A$1:$O$113,15,0))</f>
        <v>365.5</v>
      </c>
      <c r="Y714" s="4"/>
      <c r="Z714" s="4">
        <f ca="1">('TUSD BE'!$AM$31+'TUSD BF'!$AM$31+'TUSD CVA'!$AM$31)*1</f>
        <v>1837.8896121132304</v>
      </c>
      <c r="AA714" s="4">
        <f>('TE BE'!$AA$10+'TE BF'!$AA$10+'TE CVA'!$AA$10)*1</f>
        <v>361.55013418411539</v>
      </c>
      <c r="AB714" s="4">
        <f>$K$714*$V$714</f>
        <v>0</v>
      </c>
      <c r="AC714" s="4">
        <f>$M$714*$W$714</f>
        <v>1182697.0498499998</v>
      </c>
      <c r="AD714" s="4">
        <f>$O$714*$X$714</f>
        <v>276286.9325</v>
      </c>
      <c r="AE714" s="4">
        <f>$K$714*$Y$714</f>
        <v>0</v>
      </c>
      <c r="AF714" s="4">
        <f ca="1">$M$714*$Z$714</f>
        <v>1389288.3261405725</v>
      </c>
      <c r="AG714" s="4">
        <f>$O$714*$AA$714</f>
        <v>273301.16968178557</v>
      </c>
    </row>
    <row r="715" spans="1:33" ht="11.25" customHeight="1" x14ac:dyDescent="0.25">
      <c r="A715" s="3" t="s">
        <v>28</v>
      </c>
      <c r="B715" s="3" t="s">
        <v>41</v>
      </c>
      <c r="C715" s="3" t="s">
        <v>42</v>
      </c>
      <c r="D715" s="3" t="s">
        <v>43</v>
      </c>
      <c r="E715" s="3" t="s">
        <v>25</v>
      </c>
      <c r="F715" s="3" t="s">
        <v>25</v>
      </c>
      <c r="G715" s="3" t="s">
        <v>25</v>
      </c>
      <c r="H715" s="3" t="s">
        <v>34</v>
      </c>
      <c r="I715" s="6">
        <v>44501</v>
      </c>
      <c r="J715" s="4">
        <v>0</v>
      </c>
      <c r="K715" s="4">
        <v>0</v>
      </c>
      <c r="L715" s="4">
        <v>63.789000000000001</v>
      </c>
      <c r="M715" s="4">
        <v>63.789000000000001</v>
      </c>
      <c r="N715" s="4">
        <v>63.789000000000001</v>
      </c>
      <c r="O715" s="4">
        <v>63.789000000000001</v>
      </c>
      <c r="P715" s="4">
        <v>0</v>
      </c>
      <c r="Q715" s="3" t="s">
        <v>26</v>
      </c>
      <c r="R715" s="3">
        <v>0</v>
      </c>
      <c r="S715" s="4">
        <v>0</v>
      </c>
      <c r="T715" s="4">
        <v>20</v>
      </c>
      <c r="U715" s="4">
        <v>88</v>
      </c>
      <c r="V715" s="4">
        <f>IF(ISERROR(VLOOKUP($S$715,'TAR FIN'!$A$1:$O$113,15,0)),0,VLOOKUP($S$715,'TAR FIN'!$A$1:$O$113,15,0))</f>
        <v>0</v>
      </c>
      <c r="W715" s="4">
        <f>IF(ISERROR(VLOOKUP($T$715,'TAR FIN'!$A$1:$O$113,15,0)),0,VLOOKUP($T$715,'TAR FIN'!$A$1:$O$113,15,0))</f>
        <v>1564.59</v>
      </c>
      <c r="X715" s="4">
        <f>IF(ISERROR(VLOOKUP($U$715,'TAR FIN'!$A$1:$O$113,15,0)),0,VLOOKUP($U$715,'TAR FIN'!$A$1:$O$113,15,0))</f>
        <v>365.5</v>
      </c>
      <c r="Y715" s="4"/>
      <c r="Z715" s="4">
        <f ca="1">('TUSD BE'!$AM$31+'TUSD BF'!$AM$31+'TUSD CVA'!$AM$31)*1</f>
        <v>1837.8896121132304</v>
      </c>
      <c r="AA715" s="4">
        <f>('TE BE'!$AA$10+'TE BF'!$AA$10+'TE CVA'!$AA$10)*1</f>
        <v>361.55013418411539</v>
      </c>
      <c r="AB715" s="4">
        <f>$K$715*$V$715</f>
        <v>0</v>
      </c>
      <c r="AC715" s="4">
        <f>$M$715*$W$715</f>
        <v>99803.631509999992</v>
      </c>
      <c r="AD715" s="4">
        <f>$O$715*$X$715</f>
        <v>23314.879499999999</v>
      </c>
      <c r="AE715" s="4">
        <f>$K$715*$Y$715</f>
        <v>0</v>
      </c>
      <c r="AF715" s="4">
        <f ca="1">$M$715*$Z$715</f>
        <v>117237.14046709085</v>
      </c>
      <c r="AG715" s="4">
        <f>$O$715*$AA$715</f>
        <v>23062.921509470536</v>
      </c>
    </row>
    <row r="716" spans="1:33" ht="11.25" customHeight="1" x14ac:dyDescent="0.25">
      <c r="A716" s="3" t="s">
        <v>21</v>
      </c>
      <c r="B716" s="3" t="s">
        <v>41</v>
      </c>
      <c r="C716" s="3" t="s">
        <v>42</v>
      </c>
      <c r="D716" s="3" t="s">
        <v>43</v>
      </c>
      <c r="E716" s="3" t="s">
        <v>25</v>
      </c>
      <c r="F716" s="3" t="s">
        <v>25</v>
      </c>
      <c r="G716" s="3" t="s">
        <v>25</v>
      </c>
      <c r="H716" s="3" t="s">
        <v>34</v>
      </c>
      <c r="I716" s="6">
        <v>44501</v>
      </c>
      <c r="J716" s="4">
        <v>0</v>
      </c>
      <c r="K716" s="4">
        <v>0</v>
      </c>
      <c r="L716" s="4">
        <v>7.4509999999999996</v>
      </c>
      <c r="M716" s="4">
        <v>7.4509999999999996</v>
      </c>
      <c r="N716" s="4">
        <v>0</v>
      </c>
      <c r="O716" s="4">
        <v>0</v>
      </c>
      <c r="P716" s="4">
        <v>0</v>
      </c>
      <c r="Q716" s="3" t="s">
        <v>57</v>
      </c>
      <c r="R716" s="3">
        <v>0</v>
      </c>
      <c r="S716" s="4">
        <v>0</v>
      </c>
      <c r="T716" s="4">
        <v>20</v>
      </c>
      <c r="U716" s="4">
        <v>0</v>
      </c>
      <c r="V716" s="4">
        <f>IF(ISERROR(VLOOKUP($S$716,'TAR FIN'!$A$1:$O$113,15,0)),0,VLOOKUP($S$716,'TAR FIN'!$A$1:$O$113,15,0))</f>
        <v>0</v>
      </c>
      <c r="W716" s="4">
        <f>IF(ISERROR(VLOOKUP($T$716,'TAR FIN'!$A$1:$O$113,15,0)),0,VLOOKUP($T$716,'TAR FIN'!$A$1:$O$113,15,0))</f>
        <v>1564.59</v>
      </c>
      <c r="X716" s="4">
        <f>IF(ISERROR(VLOOKUP($U$716,'TAR FIN'!$A$1:$O$113,15,0)),0,VLOOKUP($U$716,'TAR FIN'!$A$1:$O$113,15,0))</f>
        <v>0</v>
      </c>
      <c r="Y716" s="4"/>
      <c r="Z716" s="4">
        <f ca="1">('TUSD BE'!$AM$31+'TUSD BF'!$AM$31+'TUSD CVA'!$AM$31)*1</f>
        <v>1837.8896121132304</v>
      </c>
      <c r="AA716" s="4"/>
      <c r="AB716" s="4">
        <f>$K$716*$V$716</f>
        <v>0</v>
      </c>
      <c r="AC716" s="4">
        <f>$M$716*$W$716</f>
        <v>11657.760089999998</v>
      </c>
      <c r="AD716" s="4">
        <f>$O$716*$X$716</f>
        <v>0</v>
      </c>
      <c r="AE716" s="4">
        <f>$K$716*$Y$716</f>
        <v>0</v>
      </c>
      <c r="AF716" s="4">
        <f ca="1">$M$716*$Z$716</f>
        <v>13694.115499855679</v>
      </c>
      <c r="AG716" s="4">
        <f>$O$716*$AA$716</f>
        <v>0</v>
      </c>
    </row>
    <row r="717" spans="1:33" ht="11.25" customHeight="1" x14ac:dyDescent="0.25">
      <c r="A717" s="3" t="s">
        <v>21</v>
      </c>
      <c r="B717" s="3" t="s">
        <v>41</v>
      </c>
      <c r="C717" s="3" t="s">
        <v>42</v>
      </c>
      <c r="D717" s="3" t="s">
        <v>43</v>
      </c>
      <c r="E717" s="3" t="s">
        <v>25</v>
      </c>
      <c r="F717" s="3" t="s">
        <v>25</v>
      </c>
      <c r="G717" s="3" t="s">
        <v>25</v>
      </c>
      <c r="H717" s="3" t="s">
        <v>34</v>
      </c>
      <c r="I717" s="6">
        <v>44531</v>
      </c>
      <c r="J717" s="4">
        <v>0</v>
      </c>
      <c r="K717" s="4">
        <v>0</v>
      </c>
      <c r="L717" s="4">
        <v>761.98800000000006</v>
      </c>
      <c r="M717" s="4">
        <v>761.98800000000006</v>
      </c>
      <c r="N717" s="4">
        <v>761.98800000000006</v>
      </c>
      <c r="O717" s="4">
        <v>761.98800000000006</v>
      </c>
      <c r="P717" s="4">
        <v>0</v>
      </c>
      <c r="Q717" s="3" t="s">
        <v>26</v>
      </c>
      <c r="R717" s="3">
        <v>0</v>
      </c>
      <c r="S717" s="4">
        <v>0</v>
      </c>
      <c r="T717" s="4">
        <v>20</v>
      </c>
      <c r="U717" s="4">
        <v>88</v>
      </c>
      <c r="V717" s="4">
        <f>IF(ISERROR(VLOOKUP($S$717,'TAR FIN'!$A$1:$O$113,15,0)),0,VLOOKUP($S$717,'TAR FIN'!$A$1:$O$113,15,0))</f>
        <v>0</v>
      </c>
      <c r="W717" s="4">
        <f>IF(ISERROR(VLOOKUP($T$717,'TAR FIN'!$A$1:$O$113,15,0)),0,VLOOKUP($T$717,'TAR FIN'!$A$1:$O$113,15,0))</f>
        <v>1564.59</v>
      </c>
      <c r="X717" s="4">
        <f>IF(ISERROR(VLOOKUP($U$717,'TAR FIN'!$A$1:$O$113,15,0)),0,VLOOKUP($U$717,'TAR FIN'!$A$1:$O$113,15,0))</f>
        <v>365.5</v>
      </c>
      <c r="Y717" s="4"/>
      <c r="Z717" s="4">
        <f ca="1">('TUSD BE'!$AM$31+'TUSD BF'!$AM$31+'TUSD CVA'!$AM$31)*1</f>
        <v>1837.8896121132304</v>
      </c>
      <c r="AA717" s="4">
        <f>('TE BE'!$AA$10+'TE BF'!$AA$10+'TE CVA'!$AA$10)*1</f>
        <v>361.55013418411539</v>
      </c>
      <c r="AB717" s="4">
        <f>$K$717*$V$717</f>
        <v>0</v>
      </c>
      <c r="AC717" s="4">
        <f>$M$717*$W$717</f>
        <v>1192198.80492</v>
      </c>
      <c r="AD717" s="4">
        <f>$O$717*$X$717</f>
        <v>278506.614</v>
      </c>
      <c r="AE717" s="4">
        <f>$K$717*$Y$717</f>
        <v>0</v>
      </c>
      <c r="AF717" s="4">
        <f ca="1">$M$717*$Z$717</f>
        <v>1400449.8297549363</v>
      </c>
      <c r="AG717" s="4">
        <f>$O$717*$AA$717</f>
        <v>275496.86364668573</v>
      </c>
    </row>
    <row r="718" spans="1:33" ht="11.25" customHeight="1" x14ac:dyDescent="0.25">
      <c r="A718" s="3" t="s">
        <v>28</v>
      </c>
      <c r="B718" s="3" t="s">
        <v>41</v>
      </c>
      <c r="C718" s="3" t="s">
        <v>42</v>
      </c>
      <c r="D718" s="3" t="s">
        <v>43</v>
      </c>
      <c r="E718" s="3" t="s">
        <v>25</v>
      </c>
      <c r="F718" s="3" t="s">
        <v>25</v>
      </c>
      <c r="G718" s="3" t="s">
        <v>25</v>
      </c>
      <c r="H718" s="3" t="s">
        <v>34</v>
      </c>
      <c r="I718" s="6">
        <v>44531</v>
      </c>
      <c r="J718" s="4">
        <v>0</v>
      </c>
      <c r="K718" s="4">
        <v>0</v>
      </c>
      <c r="L718" s="4">
        <v>73.396000000000001</v>
      </c>
      <c r="M718" s="4">
        <v>73.396000000000001</v>
      </c>
      <c r="N718" s="4">
        <v>73.396000000000001</v>
      </c>
      <c r="O718" s="4">
        <v>73.396000000000001</v>
      </c>
      <c r="P718" s="4">
        <v>0</v>
      </c>
      <c r="Q718" s="3" t="s">
        <v>26</v>
      </c>
      <c r="R718" s="3">
        <v>0</v>
      </c>
      <c r="S718" s="4">
        <v>0</v>
      </c>
      <c r="T718" s="4">
        <v>20</v>
      </c>
      <c r="U718" s="4">
        <v>88</v>
      </c>
      <c r="V718" s="4">
        <f>IF(ISERROR(VLOOKUP($S$718,'TAR FIN'!$A$1:$O$113,15,0)),0,VLOOKUP($S$718,'TAR FIN'!$A$1:$O$113,15,0))</f>
        <v>0</v>
      </c>
      <c r="W718" s="4">
        <f>IF(ISERROR(VLOOKUP($T$718,'TAR FIN'!$A$1:$O$113,15,0)),0,VLOOKUP($T$718,'TAR FIN'!$A$1:$O$113,15,0))</f>
        <v>1564.59</v>
      </c>
      <c r="X718" s="4">
        <f>IF(ISERROR(VLOOKUP($U$718,'TAR FIN'!$A$1:$O$113,15,0)),0,VLOOKUP($U$718,'TAR FIN'!$A$1:$O$113,15,0))</f>
        <v>365.5</v>
      </c>
      <c r="Y718" s="4"/>
      <c r="Z718" s="4">
        <f ca="1">('TUSD BE'!$AM$31+'TUSD BF'!$AM$31+'TUSD CVA'!$AM$31)*1</f>
        <v>1837.8896121132304</v>
      </c>
      <c r="AA718" s="4">
        <f>('TE BE'!$AA$10+'TE BF'!$AA$10+'TE CVA'!$AA$10)*1</f>
        <v>361.55013418411539</v>
      </c>
      <c r="AB718" s="4">
        <f>$K$718*$V$718</f>
        <v>0</v>
      </c>
      <c r="AC718" s="4">
        <f>$M$718*$W$718</f>
        <v>114834.64764</v>
      </c>
      <c r="AD718" s="4">
        <f>$O$718*$X$718</f>
        <v>26826.238000000001</v>
      </c>
      <c r="AE718" s="4">
        <f>$K$718*$Y$718</f>
        <v>0</v>
      </c>
      <c r="AF718" s="4">
        <f ca="1">$M$718*$Z$718</f>
        <v>134893.74597066265</v>
      </c>
      <c r="AG718" s="4">
        <f>$O$718*$AA$718</f>
        <v>26536.333648577332</v>
      </c>
    </row>
    <row r="719" spans="1:33" ht="11.25" customHeight="1" x14ac:dyDescent="0.25">
      <c r="A719" s="3" t="s">
        <v>28</v>
      </c>
      <c r="B719" s="3" t="s">
        <v>41</v>
      </c>
      <c r="C719" s="3" t="s">
        <v>42</v>
      </c>
      <c r="D719" s="3" t="s">
        <v>43</v>
      </c>
      <c r="E719" s="3" t="s">
        <v>25</v>
      </c>
      <c r="F719" s="3" t="s">
        <v>25</v>
      </c>
      <c r="G719" s="3" t="s">
        <v>25</v>
      </c>
      <c r="H719" s="3" t="s">
        <v>34</v>
      </c>
      <c r="I719" s="6">
        <v>44531</v>
      </c>
      <c r="J719" s="4">
        <v>0</v>
      </c>
      <c r="K719" s="4">
        <v>0</v>
      </c>
      <c r="L719" s="4">
        <v>-11.34</v>
      </c>
      <c r="M719" s="4">
        <v>-11.34</v>
      </c>
      <c r="N719" s="4">
        <v>-11.34</v>
      </c>
      <c r="O719" s="4">
        <v>-11.34</v>
      </c>
      <c r="P719" s="4">
        <v>0</v>
      </c>
      <c r="Q719" s="3" t="s">
        <v>26</v>
      </c>
      <c r="R719" s="3">
        <v>0</v>
      </c>
      <c r="S719" s="4">
        <v>0</v>
      </c>
      <c r="T719" s="4">
        <v>20</v>
      </c>
      <c r="U719" s="4">
        <v>88</v>
      </c>
      <c r="V719" s="4">
        <f>IF(ISERROR(VLOOKUP($S$719,'TAR FIN'!$A$1:$O$113,15,0)),0,VLOOKUP($S$719,'TAR FIN'!$A$1:$O$113,15,0))</f>
        <v>0</v>
      </c>
      <c r="W719" s="4">
        <f>IF(ISERROR(VLOOKUP($T$719,'TAR FIN'!$A$1:$O$113,15,0)),0,VLOOKUP($T$719,'TAR FIN'!$A$1:$O$113,15,0))</f>
        <v>1564.59</v>
      </c>
      <c r="X719" s="4">
        <f>IF(ISERROR(VLOOKUP($U$719,'TAR FIN'!$A$1:$O$113,15,0)),0,VLOOKUP($U$719,'TAR FIN'!$A$1:$O$113,15,0))</f>
        <v>365.5</v>
      </c>
      <c r="Y719" s="4"/>
      <c r="Z719" s="4">
        <f ca="1">('TUSD BE'!$AM$31+'TUSD BF'!$AM$31+'TUSD CVA'!$AM$31)*1</f>
        <v>1837.8896121132304</v>
      </c>
      <c r="AA719" s="4">
        <f>('TE BE'!$AA$10+'TE BF'!$AA$10+'TE CVA'!$AA$10)*1</f>
        <v>361.55013418411539</v>
      </c>
      <c r="AB719" s="4">
        <f>$K$719*$V$719</f>
        <v>0</v>
      </c>
      <c r="AC719" s="4">
        <f>$M$719*$W$719</f>
        <v>-17742.4506</v>
      </c>
      <c r="AD719" s="4">
        <f>$O$719*$X$719</f>
        <v>-4144.7699999999995</v>
      </c>
      <c r="AE719" s="4">
        <f>$K$719*$Y$719</f>
        <v>0</v>
      </c>
      <c r="AF719" s="4">
        <f ca="1">$M$719*$Z$719</f>
        <v>-20841.668201364035</v>
      </c>
      <c r="AG719" s="4">
        <f>$O$719*$AA$719</f>
        <v>-4099.9785216478685</v>
      </c>
    </row>
    <row r="720" spans="1:33" ht="11.25" customHeight="1" x14ac:dyDescent="0.25">
      <c r="A720" s="3" t="s">
        <v>21</v>
      </c>
      <c r="B720" s="3" t="s">
        <v>41</v>
      </c>
      <c r="C720" s="3" t="s">
        <v>42</v>
      </c>
      <c r="D720" s="3" t="s">
        <v>43</v>
      </c>
      <c r="E720" s="3" t="s">
        <v>25</v>
      </c>
      <c r="F720" s="3" t="s">
        <v>25</v>
      </c>
      <c r="G720" s="3" t="s">
        <v>25</v>
      </c>
      <c r="H720" s="3" t="s">
        <v>34</v>
      </c>
      <c r="I720" s="6">
        <v>44531</v>
      </c>
      <c r="J720" s="4">
        <v>0</v>
      </c>
      <c r="K720" s="4">
        <v>0</v>
      </c>
      <c r="L720" s="4">
        <v>16.52</v>
      </c>
      <c r="M720" s="4">
        <v>16.52</v>
      </c>
      <c r="N720" s="4">
        <v>0</v>
      </c>
      <c r="O720" s="4">
        <v>0</v>
      </c>
      <c r="P720" s="4">
        <v>0</v>
      </c>
      <c r="Q720" s="3" t="s">
        <v>57</v>
      </c>
      <c r="R720" s="3">
        <v>0</v>
      </c>
      <c r="S720" s="4">
        <v>0</v>
      </c>
      <c r="T720" s="4">
        <v>20</v>
      </c>
      <c r="U720" s="4">
        <v>0</v>
      </c>
      <c r="V720" s="4">
        <f>IF(ISERROR(VLOOKUP($S$720,'TAR FIN'!$A$1:$O$113,15,0)),0,VLOOKUP($S$720,'TAR FIN'!$A$1:$O$113,15,0))</f>
        <v>0</v>
      </c>
      <c r="W720" s="4">
        <f>IF(ISERROR(VLOOKUP($T$720,'TAR FIN'!$A$1:$O$113,15,0)),0,VLOOKUP($T$720,'TAR FIN'!$A$1:$O$113,15,0))</f>
        <v>1564.59</v>
      </c>
      <c r="X720" s="4">
        <f>IF(ISERROR(VLOOKUP($U$720,'TAR FIN'!$A$1:$O$113,15,0)),0,VLOOKUP($U$720,'TAR FIN'!$A$1:$O$113,15,0))</f>
        <v>0</v>
      </c>
      <c r="Y720" s="4"/>
      <c r="Z720" s="4">
        <f ca="1">('TUSD BE'!$AM$31+'TUSD BF'!$AM$31+'TUSD CVA'!$AM$31)*1</f>
        <v>1837.8896121132304</v>
      </c>
      <c r="AA720" s="4"/>
      <c r="AB720" s="4">
        <f>$K$720*$V$720</f>
        <v>0</v>
      </c>
      <c r="AC720" s="4">
        <f>$M$720*$W$720</f>
        <v>25847.0268</v>
      </c>
      <c r="AD720" s="4">
        <f>$O$720*$X$720</f>
        <v>0</v>
      </c>
      <c r="AE720" s="4">
        <f>$K$720*$Y$720</f>
        <v>0</v>
      </c>
      <c r="AF720" s="4">
        <f ca="1">$M$720*$Z$720</f>
        <v>30361.936392110565</v>
      </c>
      <c r="AG720" s="4">
        <f>$O$720*$AA$720</f>
        <v>0</v>
      </c>
    </row>
    <row r="721" spans="1:33" ht="11.25" customHeight="1" x14ac:dyDescent="0.25">
      <c r="A721" s="3" t="s">
        <v>21</v>
      </c>
      <c r="B721" s="3" t="s">
        <v>41</v>
      </c>
      <c r="C721" s="3" t="s">
        <v>42</v>
      </c>
      <c r="D721" s="3" t="s">
        <v>43</v>
      </c>
      <c r="E721" s="3" t="s">
        <v>25</v>
      </c>
      <c r="F721" s="3" t="s">
        <v>25</v>
      </c>
      <c r="G721" s="3" t="s">
        <v>25</v>
      </c>
      <c r="H721" s="3" t="s">
        <v>34</v>
      </c>
      <c r="I721" s="6">
        <v>44562</v>
      </c>
      <c r="J721" s="4">
        <v>0</v>
      </c>
      <c r="K721" s="4">
        <v>0</v>
      </c>
      <c r="L721" s="4">
        <v>710.97</v>
      </c>
      <c r="M721" s="4">
        <v>710.97</v>
      </c>
      <c r="N721" s="4">
        <v>710.97</v>
      </c>
      <c r="O721" s="4">
        <v>710.97</v>
      </c>
      <c r="P721" s="4">
        <v>0</v>
      </c>
      <c r="Q721" s="3" t="s">
        <v>26</v>
      </c>
      <c r="R721" s="3">
        <v>0</v>
      </c>
      <c r="S721" s="4">
        <v>0</v>
      </c>
      <c r="T721" s="4">
        <v>20</v>
      </c>
      <c r="U721" s="4">
        <v>88</v>
      </c>
      <c r="V721" s="4">
        <f>IF(ISERROR(VLOOKUP($S$721,'TAR FIN'!$A$1:$O$113,15,0)),0,VLOOKUP($S$721,'TAR FIN'!$A$1:$O$113,15,0))</f>
        <v>0</v>
      </c>
      <c r="W721" s="4">
        <f>IF(ISERROR(VLOOKUP($T$721,'TAR FIN'!$A$1:$O$113,15,0)),0,VLOOKUP($T$721,'TAR FIN'!$A$1:$O$113,15,0))</f>
        <v>1564.59</v>
      </c>
      <c r="X721" s="4">
        <f>IF(ISERROR(VLOOKUP($U$721,'TAR FIN'!$A$1:$O$113,15,0)),0,VLOOKUP($U$721,'TAR FIN'!$A$1:$O$113,15,0))</f>
        <v>365.5</v>
      </c>
      <c r="Y721" s="4"/>
      <c r="Z721" s="4">
        <f ca="1">('TUSD BE'!$AM$31+'TUSD BF'!$AM$31+'TUSD CVA'!$AM$31)*1</f>
        <v>1837.8896121132304</v>
      </c>
      <c r="AA721" s="4">
        <f>('TE BE'!$AA$10+'TE BF'!$AA$10+'TE CVA'!$AA$10)*1</f>
        <v>361.55013418411539</v>
      </c>
      <c r="AB721" s="4">
        <f>$K$721*$V$721</f>
        <v>0</v>
      </c>
      <c r="AC721" s="4">
        <f>$M$721*$W$721</f>
        <v>1112376.5523000001</v>
      </c>
      <c r="AD721" s="4">
        <f>$O$721*$X$721</f>
        <v>259859.535</v>
      </c>
      <c r="AE721" s="4">
        <f>$K$721*$Y$721</f>
        <v>0</v>
      </c>
      <c r="AF721" s="4">
        <f ca="1">$M$721*$Z$721</f>
        <v>1306684.3775241436</v>
      </c>
      <c r="AG721" s="4">
        <f>$O$721*$AA$721</f>
        <v>257051.29890088053</v>
      </c>
    </row>
    <row r="722" spans="1:33" ht="11.25" customHeight="1" x14ac:dyDescent="0.25">
      <c r="A722" s="3" t="s">
        <v>28</v>
      </c>
      <c r="B722" s="3" t="s">
        <v>41</v>
      </c>
      <c r="C722" s="3" t="s">
        <v>42</v>
      </c>
      <c r="D722" s="3" t="s">
        <v>43</v>
      </c>
      <c r="E722" s="3" t="s">
        <v>25</v>
      </c>
      <c r="F722" s="3" t="s">
        <v>25</v>
      </c>
      <c r="G722" s="3" t="s">
        <v>25</v>
      </c>
      <c r="H722" s="3" t="s">
        <v>34</v>
      </c>
      <c r="I722" s="6">
        <v>44562</v>
      </c>
      <c r="J722" s="4">
        <v>0</v>
      </c>
      <c r="K722" s="4">
        <v>0</v>
      </c>
      <c r="L722" s="4">
        <v>72.305999999999997</v>
      </c>
      <c r="M722" s="4">
        <v>72.305999999999997</v>
      </c>
      <c r="N722" s="4">
        <v>72.305999999999997</v>
      </c>
      <c r="O722" s="4">
        <v>72.305999999999997</v>
      </c>
      <c r="P722" s="4">
        <v>0</v>
      </c>
      <c r="Q722" s="3" t="s">
        <v>26</v>
      </c>
      <c r="R722" s="3">
        <v>0</v>
      </c>
      <c r="S722" s="4">
        <v>0</v>
      </c>
      <c r="T722" s="4">
        <v>20</v>
      </c>
      <c r="U722" s="4">
        <v>88</v>
      </c>
      <c r="V722" s="4">
        <f>IF(ISERROR(VLOOKUP($S$722,'TAR FIN'!$A$1:$O$113,15,0)),0,VLOOKUP($S$722,'TAR FIN'!$A$1:$O$113,15,0))</f>
        <v>0</v>
      </c>
      <c r="W722" s="4">
        <f>IF(ISERROR(VLOOKUP($T$722,'TAR FIN'!$A$1:$O$113,15,0)),0,VLOOKUP($T$722,'TAR FIN'!$A$1:$O$113,15,0))</f>
        <v>1564.59</v>
      </c>
      <c r="X722" s="4">
        <f>IF(ISERROR(VLOOKUP($U$722,'TAR FIN'!$A$1:$O$113,15,0)),0,VLOOKUP($U$722,'TAR FIN'!$A$1:$O$113,15,0))</f>
        <v>365.5</v>
      </c>
      <c r="Y722" s="4"/>
      <c r="Z722" s="4">
        <f ca="1">('TUSD BE'!$AM$31+'TUSD BF'!$AM$31+'TUSD CVA'!$AM$31)*1</f>
        <v>1837.8896121132304</v>
      </c>
      <c r="AA722" s="4">
        <f>('TE BE'!$AA$10+'TE BF'!$AA$10+'TE CVA'!$AA$10)*1</f>
        <v>361.55013418411539</v>
      </c>
      <c r="AB722" s="4">
        <f>$K$722*$V$722</f>
        <v>0</v>
      </c>
      <c r="AC722" s="4">
        <f>$M$722*$W$722</f>
        <v>113129.24453999999</v>
      </c>
      <c r="AD722" s="4">
        <f>$O$722*$X$722</f>
        <v>26427.843000000001</v>
      </c>
      <c r="AE722" s="4">
        <f>$K$722*$Y$722</f>
        <v>0</v>
      </c>
      <c r="AF722" s="4">
        <f ca="1">$M$722*$Z$722</f>
        <v>132890.44629345924</v>
      </c>
      <c r="AG722" s="4">
        <f>$O$722*$AA$722</f>
        <v>26142.244002316645</v>
      </c>
    </row>
    <row r="723" spans="1:33" ht="11.25" customHeight="1" x14ac:dyDescent="0.25">
      <c r="A723" s="3" t="s">
        <v>28</v>
      </c>
      <c r="B723" s="3" t="s">
        <v>41</v>
      </c>
      <c r="C723" s="3" t="s">
        <v>42</v>
      </c>
      <c r="D723" s="3" t="s">
        <v>43</v>
      </c>
      <c r="E723" s="3" t="s">
        <v>25</v>
      </c>
      <c r="F723" s="3" t="s">
        <v>25</v>
      </c>
      <c r="G723" s="3" t="s">
        <v>25</v>
      </c>
      <c r="H723" s="3" t="s">
        <v>34</v>
      </c>
      <c r="I723" s="6">
        <v>44562</v>
      </c>
      <c r="J723" s="4">
        <v>0</v>
      </c>
      <c r="K723" s="4">
        <v>0</v>
      </c>
      <c r="L723" s="4">
        <v>1.4650000000000001</v>
      </c>
      <c r="M723" s="4">
        <v>1.4650000000000001</v>
      </c>
      <c r="N723" s="4">
        <v>1.4650000000000001</v>
      </c>
      <c r="O723" s="4">
        <v>1.4650000000000001</v>
      </c>
      <c r="P723" s="4">
        <v>0</v>
      </c>
      <c r="Q723" s="3" t="s">
        <v>26</v>
      </c>
      <c r="R723" s="3">
        <v>0</v>
      </c>
      <c r="S723" s="4">
        <v>0</v>
      </c>
      <c r="T723" s="4">
        <v>20</v>
      </c>
      <c r="U723" s="4">
        <v>88</v>
      </c>
      <c r="V723" s="4">
        <f>IF(ISERROR(VLOOKUP($S$723,'TAR FIN'!$A$1:$O$113,15,0)),0,VLOOKUP($S$723,'TAR FIN'!$A$1:$O$113,15,0))</f>
        <v>0</v>
      </c>
      <c r="W723" s="4">
        <f>IF(ISERROR(VLOOKUP($T$723,'TAR FIN'!$A$1:$O$113,15,0)),0,VLOOKUP($T$723,'TAR FIN'!$A$1:$O$113,15,0))</f>
        <v>1564.59</v>
      </c>
      <c r="X723" s="4">
        <f>IF(ISERROR(VLOOKUP($U$723,'TAR FIN'!$A$1:$O$113,15,0)),0,VLOOKUP($U$723,'TAR FIN'!$A$1:$O$113,15,0))</f>
        <v>365.5</v>
      </c>
      <c r="Y723" s="4"/>
      <c r="Z723" s="4">
        <f ca="1">('TUSD BE'!$AM$31+'TUSD BF'!$AM$31+'TUSD CVA'!$AM$31)*1</f>
        <v>1837.8896121132304</v>
      </c>
      <c r="AA723" s="4">
        <f>('TE BE'!$AA$10+'TE BF'!$AA$10+'TE CVA'!$AA$10)*1</f>
        <v>361.55013418411539</v>
      </c>
      <c r="AB723" s="4">
        <f>$K$723*$V$723</f>
        <v>0</v>
      </c>
      <c r="AC723" s="4">
        <f>$M$723*$W$723</f>
        <v>2292.12435</v>
      </c>
      <c r="AD723" s="4">
        <f>$O$723*$X$723</f>
        <v>535.45749999999998</v>
      </c>
      <c r="AE723" s="4">
        <f>$K$723*$Y$723</f>
        <v>0</v>
      </c>
      <c r="AF723" s="4">
        <f ca="1">$M$723*$Z$723</f>
        <v>2692.5082817458829</v>
      </c>
      <c r="AG723" s="4">
        <f>$O$723*$AA$723</f>
        <v>529.67094657972905</v>
      </c>
    </row>
    <row r="724" spans="1:33" ht="11.25" customHeight="1" x14ac:dyDescent="0.25">
      <c r="A724" s="3" t="s">
        <v>21</v>
      </c>
      <c r="B724" s="3" t="s">
        <v>41</v>
      </c>
      <c r="C724" s="3" t="s">
        <v>42</v>
      </c>
      <c r="D724" s="3" t="s">
        <v>43</v>
      </c>
      <c r="E724" s="3" t="s">
        <v>25</v>
      </c>
      <c r="F724" s="3" t="s">
        <v>25</v>
      </c>
      <c r="G724" s="3" t="s">
        <v>25</v>
      </c>
      <c r="H724" s="3" t="s">
        <v>34</v>
      </c>
      <c r="I724" s="6">
        <v>44562</v>
      </c>
      <c r="J724" s="4">
        <v>0</v>
      </c>
      <c r="K724" s="4">
        <v>0</v>
      </c>
      <c r="L724" s="4">
        <v>20.579000000000001</v>
      </c>
      <c r="M724" s="4">
        <v>20.579000000000001</v>
      </c>
      <c r="N724" s="4">
        <v>0</v>
      </c>
      <c r="O724" s="4">
        <v>0</v>
      </c>
      <c r="P724" s="4">
        <v>0</v>
      </c>
      <c r="Q724" s="3" t="s">
        <v>57</v>
      </c>
      <c r="R724" s="3">
        <v>0</v>
      </c>
      <c r="S724" s="4">
        <v>0</v>
      </c>
      <c r="T724" s="4">
        <v>20</v>
      </c>
      <c r="U724" s="4">
        <v>0</v>
      </c>
      <c r="V724" s="4">
        <f>IF(ISERROR(VLOOKUP($S$724,'TAR FIN'!$A$1:$O$113,15,0)),0,VLOOKUP($S$724,'TAR FIN'!$A$1:$O$113,15,0))</f>
        <v>0</v>
      </c>
      <c r="W724" s="4">
        <f>IF(ISERROR(VLOOKUP($T$724,'TAR FIN'!$A$1:$O$113,15,0)),0,VLOOKUP($T$724,'TAR FIN'!$A$1:$O$113,15,0))</f>
        <v>1564.59</v>
      </c>
      <c r="X724" s="4">
        <f>IF(ISERROR(VLOOKUP($U$724,'TAR FIN'!$A$1:$O$113,15,0)),0,VLOOKUP($U$724,'TAR FIN'!$A$1:$O$113,15,0))</f>
        <v>0</v>
      </c>
      <c r="Y724" s="4"/>
      <c r="Z724" s="4">
        <f ca="1">('TUSD BE'!$AM$31+'TUSD BF'!$AM$31+'TUSD CVA'!$AM$31)*1</f>
        <v>1837.8896121132304</v>
      </c>
      <c r="AA724" s="4"/>
      <c r="AB724" s="4">
        <f>$K$724*$V$724</f>
        <v>0</v>
      </c>
      <c r="AC724" s="4">
        <f>$M$724*$W$724</f>
        <v>32197.697609999999</v>
      </c>
      <c r="AD724" s="4">
        <f>$O$724*$X$724</f>
        <v>0</v>
      </c>
      <c r="AE724" s="4">
        <f>$K$724*$Y$724</f>
        <v>0</v>
      </c>
      <c r="AF724" s="4">
        <f ca="1">$M$724*$Z$724</f>
        <v>37821.930327678172</v>
      </c>
      <c r="AG724" s="4">
        <f>$O$724*$AA$724</f>
        <v>0</v>
      </c>
    </row>
    <row r="725" spans="1:33" ht="11.25" customHeight="1" x14ac:dyDescent="0.25">
      <c r="A725" s="3" t="s">
        <v>21</v>
      </c>
      <c r="B725" s="3" t="s">
        <v>41</v>
      </c>
      <c r="C725" s="3" t="s">
        <v>42</v>
      </c>
      <c r="D725" s="3" t="s">
        <v>43</v>
      </c>
      <c r="E725" s="3" t="s">
        <v>25</v>
      </c>
      <c r="F725" s="3" t="s">
        <v>25</v>
      </c>
      <c r="G725" s="3" t="s">
        <v>25</v>
      </c>
      <c r="H725" s="3" t="s">
        <v>34</v>
      </c>
      <c r="I725" s="6">
        <v>44593</v>
      </c>
      <c r="J725" s="4">
        <v>0</v>
      </c>
      <c r="K725" s="4">
        <v>0</v>
      </c>
      <c r="L725" s="4">
        <v>689.31</v>
      </c>
      <c r="M725" s="4">
        <v>689.31</v>
      </c>
      <c r="N725" s="4">
        <v>689.31</v>
      </c>
      <c r="O725" s="4">
        <v>689.31</v>
      </c>
      <c r="P725" s="4">
        <v>0</v>
      </c>
      <c r="Q725" s="3" t="s">
        <v>26</v>
      </c>
      <c r="R725" s="3">
        <v>0</v>
      </c>
      <c r="S725" s="4">
        <v>0</v>
      </c>
      <c r="T725" s="4">
        <v>20</v>
      </c>
      <c r="U725" s="4">
        <v>88</v>
      </c>
      <c r="V725" s="4">
        <f>IF(ISERROR(VLOOKUP($S$725,'TAR FIN'!$A$1:$O$113,15,0)),0,VLOOKUP($S$725,'TAR FIN'!$A$1:$O$113,15,0))</f>
        <v>0</v>
      </c>
      <c r="W725" s="4">
        <f>IF(ISERROR(VLOOKUP($T$725,'TAR FIN'!$A$1:$O$113,15,0)),0,VLOOKUP($T$725,'TAR FIN'!$A$1:$O$113,15,0))</f>
        <v>1564.59</v>
      </c>
      <c r="X725" s="4">
        <f>IF(ISERROR(VLOOKUP($U$725,'TAR FIN'!$A$1:$O$113,15,0)),0,VLOOKUP($U$725,'TAR FIN'!$A$1:$O$113,15,0))</f>
        <v>365.5</v>
      </c>
      <c r="Y725" s="4"/>
      <c r="Z725" s="4">
        <f ca="1">('TUSD BE'!$AM$31+'TUSD BF'!$AM$31+'TUSD CVA'!$AM$31)*1</f>
        <v>1837.8896121132304</v>
      </c>
      <c r="AA725" s="4">
        <f>('TE BE'!$AA$10+'TE BF'!$AA$10+'TE CVA'!$AA$10)*1</f>
        <v>361.55013418411539</v>
      </c>
      <c r="AB725" s="4">
        <f>$K$725*$V$725</f>
        <v>0</v>
      </c>
      <c r="AC725" s="4">
        <f>$M$725*$W$725</f>
        <v>1078487.5328999998</v>
      </c>
      <c r="AD725" s="4">
        <f>$O$725*$X$725</f>
        <v>251942.80499999999</v>
      </c>
      <c r="AE725" s="4">
        <f>$K$725*$Y$725</f>
        <v>0</v>
      </c>
      <c r="AF725" s="4">
        <f ca="1">$M$725*$Z$725</f>
        <v>1266875.6885257708</v>
      </c>
      <c r="AG725" s="4">
        <f>$O$725*$AA$725</f>
        <v>249220.12299445257</v>
      </c>
    </row>
    <row r="726" spans="1:33" ht="11.25" customHeight="1" x14ac:dyDescent="0.25">
      <c r="A726" s="3" t="s">
        <v>27</v>
      </c>
      <c r="B726" s="3" t="s">
        <v>41</v>
      </c>
      <c r="C726" s="3" t="s">
        <v>42</v>
      </c>
      <c r="D726" s="3" t="s">
        <v>43</v>
      </c>
      <c r="E726" s="3" t="s">
        <v>25</v>
      </c>
      <c r="F726" s="3" t="s">
        <v>25</v>
      </c>
      <c r="G726" s="3" t="s">
        <v>25</v>
      </c>
      <c r="H726" s="3" t="s">
        <v>34</v>
      </c>
      <c r="I726" s="6">
        <v>44593</v>
      </c>
      <c r="J726" s="4">
        <v>0</v>
      </c>
      <c r="K726" s="4">
        <v>0</v>
      </c>
      <c r="L726" s="4">
        <v>-4.6669999999999998</v>
      </c>
      <c r="M726" s="4">
        <v>-4.6669999999999998</v>
      </c>
      <c r="N726" s="4">
        <v>-4.6669999999999998</v>
      </c>
      <c r="O726" s="4">
        <v>-4.6669999999999998</v>
      </c>
      <c r="P726" s="4">
        <v>0</v>
      </c>
      <c r="Q726" s="3" t="s">
        <v>26</v>
      </c>
      <c r="R726" s="3">
        <v>0</v>
      </c>
      <c r="S726" s="4">
        <v>0</v>
      </c>
      <c r="T726" s="4">
        <v>20</v>
      </c>
      <c r="U726" s="4">
        <v>88</v>
      </c>
      <c r="V726" s="4">
        <f>IF(ISERROR(VLOOKUP($S$726,'TAR FIN'!$A$1:$O$113,15,0)),0,VLOOKUP($S$726,'TAR FIN'!$A$1:$O$113,15,0))</f>
        <v>0</v>
      </c>
      <c r="W726" s="4">
        <f>IF(ISERROR(VLOOKUP($T$726,'TAR FIN'!$A$1:$O$113,15,0)),0,VLOOKUP($T$726,'TAR FIN'!$A$1:$O$113,15,0))</f>
        <v>1564.59</v>
      </c>
      <c r="X726" s="4">
        <f>IF(ISERROR(VLOOKUP($U$726,'TAR FIN'!$A$1:$O$113,15,0)),0,VLOOKUP($U$726,'TAR FIN'!$A$1:$O$113,15,0))</f>
        <v>365.5</v>
      </c>
      <c r="Y726" s="4"/>
      <c r="Z726" s="4">
        <f ca="1">('TUSD BE'!$AM$31+'TUSD BF'!$AM$31+'TUSD CVA'!$AM$31)*1</f>
        <v>1837.8896121132304</v>
      </c>
      <c r="AA726" s="4">
        <f>('TE BE'!$AA$10+'TE BF'!$AA$10+'TE CVA'!$AA$10)*1</f>
        <v>361.55013418411539</v>
      </c>
      <c r="AB726" s="4">
        <f>$K$726*$V$726</f>
        <v>0</v>
      </c>
      <c r="AC726" s="4">
        <f>$M$726*$W$726</f>
        <v>-7301.9415299999991</v>
      </c>
      <c r="AD726" s="4">
        <f>$O$726*$X$726</f>
        <v>-1705.7884999999999</v>
      </c>
      <c r="AE726" s="4">
        <f>$K$726*$Y$726</f>
        <v>0</v>
      </c>
      <c r="AF726" s="4">
        <f ca="1">$M$726*$Z$726</f>
        <v>-8577.4308197324463</v>
      </c>
      <c r="AG726" s="4">
        <f>$O$726*$AA$726</f>
        <v>-1687.3544762372665</v>
      </c>
    </row>
    <row r="727" spans="1:33" ht="11.25" customHeight="1" x14ac:dyDescent="0.25">
      <c r="A727" s="3" t="s">
        <v>28</v>
      </c>
      <c r="B727" s="3" t="s">
        <v>41</v>
      </c>
      <c r="C727" s="3" t="s">
        <v>42</v>
      </c>
      <c r="D727" s="3" t="s">
        <v>43</v>
      </c>
      <c r="E727" s="3" t="s">
        <v>25</v>
      </c>
      <c r="F727" s="3" t="s">
        <v>25</v>
      </c>
      <c r="G727" s="3" t="s">
        <v>25</v>
      </c>
      <c r="H727" s="3" t="s">
        <v>34</v>
      </c>
      <c r="I727" s="6">
        <v>44593</v>
      </c>
      <c r="J727" s="4">
        <v>0</v>
      </c>
      <c r="K727" s="4">
        <v>0</v>
      </c>
      <c r="L727" s="4">
        <v>81.218000000000004</v>
      </c>
      <c r="M727" s="4">
        <v>81.218000000000004</v>
      </c>
      <c r="N727" s="4">
        <v>81.218000000000004</v>
      </c>
      <c r="O727" s="4">
        <v>81.218000000000004</v>
      </c>
      <c r="P727" s="4">
        <v>0</v>
      </c>
      <c r="Q727" s="3" t="s">
        <v>26</v>
      </c>
      <c r="R727" s="3">
        <v>0</v>
      </c>
      <c r="S727" s="4">
        <v>0</v>
      </c>
      <c r="T727" s="4">
        <v>20</v>
      </c>
      <c r="U727" s="4">
        <v>88</v>
      </c>
      <c r="V727" s="4">
        <f>IF(ISERROR(VLOOKUP($S$727,'TAR FIN'!$A$1:$O$113,15,0)),0,VLOOKUP($S$727,'TAR FIN'!$A$1:$O$113,15,0))</f>
        <v>0</v>
      </c>
      <c r="W727" s="4">
        <f>IF(ISERROR(VLOOKUP($T$727,'TAR FIN'!$A$1:$O$113,15,0)),0,VLOOKUP($T$727,'TAR FIN'!$A$1:$O$113,15,0))</f>
        <v>1564.59</v>
      </c>
      <c r="X727" s="4">
        <f>IF(ISERROR(VLOOKUP($U$727,'TAR FIN'!$A$1:$O$113,15,0)),0,VLOOKUP($U$727,'TAR FIN'!$A$1:$O$113,15,0))</f>
        <v>365.5</v>
      </c>
      <c r="Y727" s="4"/>
      <c r="Z727" s="4">
        <f ca="1">('TUSD BE'!$AM$31+'TUSD BF'!$AM$31+'TUSD CVA'!$AM$31)*1</f>
        <v>1837.8896121132304</v>
      </c>
      <c r="AA727" s="4">
        <f>('TE BE'!$AA$10+'TE BF'!$AA$10+'TE CVA'!$AA$10)*1</f>
        <v>361.55013418411539</v>
      </c>
      <c r="AB727" s="4">
        <f>$K$727*$V$727</f>
        <v>0</v>
      </c>
      <c r="AC727" s="4">
        <f>$M$727*$W$727</f>
        <v>127072.87062</v>
      </c>
      <c r="AD727" s="4">
        <f>$O$727*$X$727</f>
        <v>29685.179</v>
      </c>
      <c r="AE727" s="4">
        <f>$K$727*$Y$727</f>
        <v>0</v>
      </c>
      <c r="AF727" s="4">
        <f ca="1">$M$727*$Z$727</f>
        <v>149269.71851661237</v>
      </c>
      <c r="AG727" s="4">
        <f>$O$727*$AA$727</f>
        <v>29364.378798165486</v>
      </c>
    </row>
    <row r="728" spans="1:33" ht="11.25" customHeight="1" x14ac:dyDescent="0.25">
      <c r="A728" s="3" t="s">
        <v>21</v>
      </c>
      <c r="B728" s="3" t="s">
        <v>41</v>
      </c>
      <c r="C728" s="3" t="s">
        <v>42</v>
      </c>
      <c r="D728" s="3" t="s">
        <v>43</v>
      </c>
      <c r="E728" s="3" t="s">
        <v>25</v>
      </c>
      <c r="F728" s="3" t="s">
        <v>25</v>
      </c>
      <c r="G728" s="3" t="s">
        <v>25</v>
      </c>
      <c r="H728" s="3" t="s">
        <v>34</v>
      </c>
      <c r="I728" s="6">
        <v>44593</v>
      </c>
      <c r="J728" s="4">
        <v>0</v>
      </c>
      <c r="K728" s="4">
        <v>0</v>
      </c>
      <c r="L728" s="4">
        <v>13.175000000000001</v>
      </c>
      <c r="M728" s="4">
        <v>13.175000000000001</v>
      </c>
      <c r="N728" s="4">
        <v>0</v>
      </c>
      <c r="O728" s="4">
        <v>0</v>
      </c>
      <c r="P728" s="4">
        <v>0</v>
      </c>
      <c r="Q728" s="3" t="s">
        <v>57</v>
      </c>
      <c r="R728" s="3">
        <v>0</v>
      </c>
      <c r="S728" s="4">
        <v>0</v>
      </c>
      <c r="T728" s="4">
        <v>20</v>
      </c>
      <c r="U728" s="4">
        <v>0</v>
      </c>
      <c r="V728" s="4">
        <f>IF(ISERROR(VLOOKUP($S$728,'TAR FIN'!$A$1:$O$113,15,0)),0,VLOOKUP($S$728,'TAR FIN'!$A$1:$O$113,15,0))</f>
        <v>0</v>
      </c>
      <c r="W728" s="4">
        <f>IF(ISERROR(VLOOKUP($T$728,'TAR FIN'!$A$1:$O$113,15,0)),0,VLOOKUP($T$728,'TAR FIN'!$A$1:$O$113,15,0))</f>
        <v>1564.59</v>
      </c>
      <c r="X728" s="4">
        <f>IF(ISERROR(VLOOKUP($U$728,'TAR FIN'!$A$1:$O$113,15,0)),0,VLOOKUP($U$728,'TAR FIN'!$A$1:$O$113,15,0))</f>
        <v>0</v>
      </c>
      <c r="Y728" s="4"/>
      <c r="Z728" s="4">
        <f ca="1">('TUSD BE'!$AM$31+'TUSD BF'!$AM$31+'TUSD CVA'!$AM$31)*1</f>
        <v>1837.8896121132304</v>
      </c>
      <c r="AA728" s="4"/>
      <c r="AB728" s="4">
        <f>$K$728*$V$728</f>
        <v>0</v>
      </c>
      <c r="AC728" s="4">
        <f>$M$728*$W$728</f>
        <v>20613.473249999999</v>
      </c>
      <c r="AD728" s="4">
        <f>$O$728*$X$728</f>
        <v>0</v>
      </c>
      <c r="AE728" s="4">
        <f>$K$728*$Y$728</f>
        <v>0</v>
      </c>
      <c r="AF728" s="4">
        <f ca="1">$M$728*$Z$728</f>
        <v>24214.195639591813</v>
      </c>
      <c r="AG728" s="4">
        <f>$O$728*$AA$728</f>
        <v>0</v>
      </c>
    </row>
    <row r="729" spans="1:33" ht="11.25" customHeight="1" x14ac:dyDescent="0.25">
      <c r="A729" s="3" t="s">
        <v>27</v>
      </c>
      <c r="B729" s="3" t="s">
        <v>41</v>
      </c>
      <c r="C729" s="3" t="s">
        <v>42</v>
      </c>
      <c r="D729" s="3" t="s">
        <v>43</v>
      </c>
      <c r="E729" s="3" t="s">
        <v>25</v>
      </c>
      <c r="F729" s="3" t="s">
        <v>25</v>
      </c>
      <c r="G729" s="3" t="s">
        <v>25</v>
      </c>
      <c r="H729" s="3" t="s">
        <v>34</v>
      </c>
      <c r="I729" s="6">
        <v>44593</v>
      </c>
      <c r="J729" s="4">
        <v>0</v>
      </c>
      <c r="K729" s="4">
        <v>0</v>
      </c>
      <c r="L729" s="4">
        <v>-8.6020000000000003</v>
      </c>
      <c r="M729" s="4">
        <v>-8.6020000000000003</v>
      </c>
      <c r="N729" s="4">
        <v>0</v>
      </c>
      <c r="O729" s="4">
        <v>0</v>
      </c>
      <c r="P729" s="4">
        <v>0</v>
      </c>
      <c r="Q729" s="3" t="s">
        <v>57</v>
      </c>
      <c r="R729" s="3">
        <v>0</v>
      </c>
      <c r="S729" s="4">
        <v>0</v>
      </c>
      <c r="T729" s="4">
        <v>20</v>
      </c>
      <c r="U729" s="4">
        <v>0</v>
      </c>
      <c r="V729" s="4">
        <f>IF(ISERROR(VLOOKUP($S$729,'TAR FIN'!$A$1:$O$113,15,0)),0,VLOOKUP($S$729,'TAR FIN'!$A$1:$O$113,15,0))</f>
        <v>0</v>
      </c>
      <c r="W729" s="4">
        <f>IF(ISERROR(VLOOKUP($T$729,'TAR FIN'!$A$1:$O$113,15,0)),0,VLOOKUP($T$729,'TAR FIN'!$A$1:$O$113,15,0))</f>
        <v>1564.59</v>
      </c>
      <c r="X729" s="4">
        <f>IF(ISERROR(VLOOKUP($U$729,'TAR FIN'!$A$1:$O$113,15,0)),0,VLOOKUP($U$729,'TAR FIN'!$A$1:$O$113,15,0))</f>
        <v>0</v>
      </c>
      <c r="Y729" s="4"/>
      <c r="Z729" s="4">
        <f ca="1">('TUSD BE'!$AM$31+'TUSD BF'!$AM$31+'TUSD CVA'!$AM$31)*1</f>
        <v>1837.8896121132304</v>
      </c>
      <c r="AA729" s="4"/>
      <c r="AB729" s="4">
        <f>$K$729*$V$729</f>
        <v>0</v>
      </c>
      <c r="AC729" s="4">
        <f>$M$729*$W$729</f>
        <v>-13458.60318</v>
      </c>
      <c r="AD729" s="4">
        <f>$O$729*$X$729</f>
        <v>0</v>
      </c>
      <c r="AE729" s="4">
        <f>$K$729*$Y$729</f>
        <v>0</v>
      </c>
      <c r="AF729" s="4">
        <f ca="1">$M$729*$Z$729</f>
        <v>-15809.526443398008</v>
      </c>
      <c r="AG729" s="4">
        <f>$O$729*$AA$729</f>
        <v>0</v>
      </c>
    </row>
    <row r="730" spans="1:33" ht="11.25" customHeight="1" x14ac:dyDescent="0.25">
      <c r="A730" s="3" t="s">
        <v>56</v>
      </c>
      <c r="B730" s="3" t="s">
        <v>41</v>
      </c>
      <c r="C730" s="3" t="s">
        <v>42</v>
      </c>
      <c r="D730" s="3" t="s">
        <v>43</v>
      </c>
      <c r="E730" s="3" t="s">
        <v>25</v>
      </c>
      <c r="F730" s="3" t="s">
        <v>25</v>
      </c>
      <c r="G730" s="3" t="s">
        <v>25</v>
      </c>
      <c r="H730" s="3" t="s">
        <v>34</v>
      </c>
      <c r="I730" s="6">
        <v>44621</v>
      </c>
      <c r="J730" s="4">
        <v>0</v>
      </c>
      <c r="K730" s="4">
        <v>0</v>
      </c>
      <c r="L730" s="4">
        <v>689.31</v>
      </c>
      <c r="M730" s="4">
        <v>689.31</v>
      </c>
      <c r="N730" s="4">
        <v>689.31</v>
      </c>
      <c r="O730" s="4">
        <v>689.31</v>
      </c>
      <c r="P730" s="4">
        <v>0</v>
      </c>
      <c r="Q730" s="3" t="s">
        <v>26</v>
      </c>
      <c r="R730" s="3">
        <v>0</v>
      </c>
      <c r="S730" s="4">
        <v>0</v>
      </c>
      <c r="T730" s="4">
        <v>20</v>
      </c>
      <c r="U730" s="4">
        <v>88</v>
      </c>
      <c r="V730" s="4">
        <f>IF(ISERROR(VLOOKUP($S$730,'TAR FIN'!$A$1:$O$113,15,0)),0,VLOOKUP($S$730,'TAR FIN'!$A$1:$O$113,15,0))</f>
        <v>0</v>
      </c>
      <c r="W730" s="4">
        <f>IF(ISERROR(VLOOKUP($T$730,'TAR FIN'!$A$1:$O$113,15,0)),0,VLOOKUP($T$730,'TAR FIN'!$A$1:$O$113,15,0))</f>
        <v>1564.59</v>
      </c>
      <c r="X730" s="4">
        <f>IF(ISERROR(VLOOKUP($U$730,'TAR FIN'!$A$1:$O$113,15,0)),0,VLOOKUP($U$730,'TAR FIN'!$A$1:$O$113,15,0))</f>
        <v>365.5</v>
      </c>
      <c r="Y730" s="4"/>
      <c r="Z730" s="4">
        <f ca="1">('TUSD BE'!$AM$31+'TUSD BF'!$AM$31+'TUSD CVA'!$AM$31)*1</f>
        <v>1837.8896121132304</v>
      </c>
      <c r="AA730" s="4">
        <f>('TE BE'!$AA$10+'TE BF'!$AA$10+'TE CVA'!$AA$10)*1</f>
        <v>361.55013418411539</v>
      </c>
      <c r="AB730" s="4">
        <f>$K$730*$V$730</f>
        <v>0</v>
      </c>
      <c r="AC730" s="4">
        <f>$M$730*$W$730</f>
        <v>1078487.5328999998</v>
      </c>
      <c r="AD730" s="4">
        <f>$O$730*$X$730</f>
        <v>251942.80499999999</v>
      </c>
      <c r="AE730" s="4">
        <f>$K$730*$Y$730</f>
        <v>0</v>
      </c>
      <c r="AF730" s="4">
        <f ca="1">$M$730*$Z$730</f>
        <v>1266875.6885257708</v>
      </c>
      <c r="AG730" s="4">
        <f>$O$730*$AA$730</f>
        <v>249220.12299445257</v>
      </c>
    </row>
    <row r="731" spans="1:33" ht="11.25" customHeight="1" x14ac:dyDescent="0.25">
      <c r="A731" s="3" t="s">
        <v>56</v>
      </c>
      <c r="B731" s="3" t="s">
        <v>41</v>
      </c>
      <c r="C731" s="3" t="s">
        <v>42</v>
      </c>
      <c r="D731" s="3" t="s">
        <v>43</v>
      </c>
      <c r="E731" s="3" t="s">
        <v>25</v>
      </c>
      <c r="F731" s="3" t="s">
        <v>25</v>
      </c>
      <c r="G731" s="3" t="s">
        <v>25</v>
      </c>
      <c r="H731" s="3" t="s">
        <v>34</v>
      </c>
      <c r="I731" s="6">
        <v>44621</v>
      </c>
      <c r="J731" s="4">
        <v>0</v>
      </c>
      <c r="K731" s="4">
        <v>0</v>
      </c>
      <c r="L731" s="4">
        <v>-4.6669999999999998</v>
      </c>
      <c r="M731" s="4">
        <v>-4.6669999999999998</v>
      </c>
      <c r="N731" s="4">
        <v>-4.6669999999999998</v>
      </c>
      <c r="O731" s="4">
        <v>-4.6669999999999998</v>
      </c>
      <c r="P731" s="4">
        <v>0</v>
      </c>
      <c r="Q731" s="3" t="s">
        <v>26</v>
      </c>
      <c r="R731" s="3">
        <v>0</v>
      </c>
      <c r="S731" s="4">
        <v>0</v>
      </c>
      <c r="T731" s="4">
        <v>20</v>
      </c>
      <c r="U731" s="4">
        <v>88</v>
      </c>
      <c r="V731" s="4">
        <f>IF(ISERROR(VLOOKUP($S$731,'TAR FIN'!$A$1:$O$113,15,0)),0,VLOOKUP($S$731,'TAR FIN'!$A$1:$O$113,15,0))</f>
        <v>0</v>
      </c>
      <c r="W731" s="4">
        <f>IF(ISERROR(VLOOKUP($T$731,'TAR FIN'!$A$1:$O$113,15,0)),0,VLOOKUP($T$731,'TAR FIN'!$A$1:$O$113,15,0))</f>
        <v>1564.59</v>
      </c>
      <c r="X731" s="4">
        <f>IF(ISERROR(VLOOKUP($U$731,'TAR FIN'!$A$1:$O$113,15,0)),0,VLOOKUP($U$731,'TAR FIN'!$A$1:$O$113,15,0))</f>
        <v>365.5</v>
      </c>
      <c r="Y731" s="4"/>
      <c r="Z731" s="4">
        <f ca="1">('TUSD BE'!$AM$31+'TUSD BF'!$AM$31+'TUSD CVA'!$AM$31)*1</f>
        <v>1837.8896121132304</v>
      </c>
      <c r="AA731" s="4">
        <f>('TE BE'!$AA$10+'TE BF'!$AA$10+'TE CVA'!$AA$10)*1</f>
        <v>361.55013418411539</v>
      </c>
      <c r="AB731" s="4">
        <f>$K$731*$V$731</f>
        <v>0</v>
      </c>
      <c r="AC731" s="4">
        <f>$M$731*$W$731</f>
        <v>-7301.9415299999991</v>
      </c>
      <c r="AD731" s="4">
        <f>$O$731*$X$731</f>
        <v>-1705.7884999999999</v>
      </c>
      <c r="AE731" s="4">
        <f>$K$731*$Y$731</f>
        <v>0</v>
      </c>
      <c r="AF731" s="4">
        <f ca="1">$M$731*$Z$731</f>
        <v>-8577.4308197324463</v>
      </c>
      <c r="AG731" s="4">
        <f>$O$731*$AA$731</f>
        <v>-1687.3544762372665</v>
      </c>
    </row>
    <row r="732" spans="1:33" ht="11.25" customHeight="1" x14ac:dyDescent="0.25">
      <c r="A732" s="3" t="s">
        <v>56</v>
      </c>
      <c r="B732" s="3" t="s">
        <v>41</v>
      </c>
      <c r="C732" s="3" t="s">
        <v>42</v>
      </c>
      <c r="D732" s="3" t="s">
        <v>43</v>
      </c>
      <c r="E732" s="3" t="s">
        <v>25</v>
      </c>
      <c r="F732" s="3" t="s">
        <v>25</v>
      </c>
      <c r="G732" s="3" t="s">
        <v>25</v>
      </c>
      <c r="H732" s="3" t="s">
        <v>34</v>
      </c>
      <c r="I732" s="6">
        <v>44621</v>
      </c>
      <c r="J732" s="4">
        <v>0</v>
      </c>
      <c r="K732" s="4">
        <v>0</v>
      </c>
      <c r="L732" s="4">
        <v>81.218000000000004</v>
      </c>
      <c r="M732" s="4">
        <v>81.218000000000004</v>
      </c>
      <c r="N732" s="4">
        <v>81.218000000000004</v>
      </c>
      <c r="O732" s="4">
        <v>81.218000000000004</v>
      </c>
      <c r="P732" s="4">
        <v>0</v>
      </c>
      <c r="Q732" s="3" t="s">
        <v>26</v>
      </c>
      <c r="R732" s="3">
        <v>0</v>
      </c>
      <c r="S732" s="4">
        <v>0</v>
      </c>
      <c r="T732" s="4">
        <v>20</v>
      </c>
      <c r="U732" s="4">
        <v>88</v>
      </c>
      <c r="V732" s="4">
        <f>IF(ISERROR(VLOOKUP($S$732,'TAR FIN'!$A$1:$O$113,15,0)),0,VLOOKUP($S$732,'TAR FIN'!$A$1:$O$113,15,0))</f>
        <v>0</v>
      </c>
      <c r="W732" s="4">
        <f>IF(ISERROR(VLOOKUP($T$732,'TAR FIN'!$A$1:$O$113,15,0)),0,VLOOKUP($T$732,'TAR FIN'!$A$1:$O$113,15,0))</f>
        <v>1564.59</v>
      </c>
      <c r="X732" s="4">
        <f>IF(ISERROR(VLOOKUP($U$732,'TAR FIN'!$A$1:$O$113,15,0)),0,VLOOKUP($U$732,'TAR FIN'!$A$1:$O$113,15,0))</f>
        <v>365.5</v>
      </c>
      <c r="Y732" s="4"/>
      <c r="Z732" s="4">
        <f ca="1">('TUSD BE'!$AM$31+'TUSD BF'!$AM$31+'TUSD CVA'!$AM$31)*1</f>
        <v>1837.8896121132304</v>
      </c>
      <c r="AA732" s="4">
        <f>('TE BE'!$AA$10+'TE BF'!$AA$10+'TE CVA'!$AA$10)*1</f>
        <v>361.55013418411539</v>
      </c>
      <c r="AB732" s="4">
        <f>$K$732*$V$732</f>
        <v>0</v>
      </c>
      <c r="AC732" s="4">
        <f>$M$732*$W$732</f>
        <v>127072.87062</v>
      </c>
      <c r="AD732" s="4">
        <f>$O$732*$X$732</f>
        <v>29685.179</v>
      </c>
      <c r="AE732" s="4">
        <f>$K$732*$Y$732</f>
        <v>0</v>
      </c>
      <c r="AF732" s="4">
        <f ca="1">$M$732*$Z$732</f>
        <v>149269.71851661237</v>
      </c>
      <c r="AG732" s="4">
        <f>$O$732*$AA$732</f>
        <v>29364.378798165486</v>
      </c>
    </row>
    <row r="733" spans="1:33" ht="11.25" customHeight="1" x14ac:dyDescent="0.25">
      <c r="A733" s="3" t="s">
        <v>56</v>
      </c>
      <c r="B733" s="3" t="s">
        <v>41</v>
      </c>
      <c r="C733" s="3" t="s">
        <v>42</v>
      </c>
      <c r="D733" s="3" t="s">
        <v>43</v>
      </c>
      <c r="E733" s="3" t="s">
        <v>25</v>
      </c>
      <c r="F733" s="3" t="s">
        <v>25</v>
      </c>
      <c r="G733" s="3" t="s">
        <v>25</v>
      </c>
      <c r="H733" s="3" t="s">
        <v>34</v>
      </c>
      <c r="I733" s="6">
        <v>44621</v>
      </c>
      <c r="J733" s="4">
        <v>0</v>
      </c>
      <c r="K733" s="4">
        <v>0</v>
      </c>
      <c r="L733" s="4">
        <v>13.175000000000001</v>
      </c>
      <c r="M733" s="4">
        <v>13.175000000000001</v>
      </c>
      <c r="N733" s="4">
        <v>0</v>
      </c>
      <c r="O733" s="4">
        <v>0</v>
      </c>
      <c r="P733" s="4">
        <v>0</v>
      </c>
      <c r="Q733" s="3" t="s">
        <v>57</v>
      </c>
      <c r="R733" s="3">
        <v>0</v>
      </c>
      <c r="S733" s="4">
        <v>0</v>
      </c>
      <c r="T733" s="4">
        <v>20</v>
      </c>
      <c r="U733" s="4">
        <v>0</v>
      </c>
      <c r="V733" s="4">
        <f>IF(ISERROR(VLOOKUP($S$733,'TAR FIN'!$A$1:$O$113,15,0)),0,VLOOKUP($S$733,'TAR FIN'!$A$1:$O$113,15,0))</f>
        <v>0</v>
      </c>
      <c r="W733" s="4">
        <f>IF(ISERROR(VLOOKUP($T$733,'TAR FIN'!$A$1:$O$113,15,0)),0,VLOOKUP($T$733,'TAR FIN'!$A$1:$O$113,15,0))</f>
        <v>1564.59</v>
      </c>
      <c r="X733" s="4">
        <f>IF(ISERROR(VLOOKUP($U$733,'TAR FIN'!$A$1:$O$113,15,0)),0,VLOOKUP($U$733,'TAR FIN'!$A$1:$O$113,15,0))</f>
        <v>0</v>
      </c>
      <c r="Y733" s="4"/>
      <c r="Z733" s="4">
        <f ca="1">('TUSD BE'!$AM$31+'TUSD BF'!$AM$31+'TUSD CVA'!$AM$31)*1</f>
        <v>1837.8896121132304</v>
      </c>
      <c r="AA733" s="4"/>
      <c r="AB733" s="4">
        <f>$K$733*$V$733</f>
        <v>0</v>
      </c>
      <c r="AC733" s="4">
        <f>$M$733*$W$733</f>
        <v>20613.473249999999</v>
      </c>
      <c r="AD733" s="4">
        <f>$O$733*$X$733</f>
        <v>0</v>
      </c>
      <c r="AE733" s="4">
        <f>$K$733*$Y$733</f>
        <v>0</v>
      </c>
      <c r="AF733" s="4">
        <f ca="1">$M$733*$Z$733</f>
        <v>24214.195639591813</v>
      </c>
      <c r="AG733" s="4">
        <f>$O$733*$AA$733</f>
        <v>0</v>
      </c>
    </row>
    <row r="734" spans="1:33" ht="11.25" customHeight="1" x14ac:dyDescent="0.25">
      <c r="A734" s="3" t="s">
        <v>56</v>
      </c>
      <c r="B734" s="3" t="s">
        <v>41</v>
      </c>
      <c r="C734" s="3" t="s">
        <v>42</v>
      </c>
      <c r="D734" s="3" t="s">
        <v>43</v>
      </c>
      <c r="E734" s="3" t="s">
        <v>25</v>
      </c>
      <c r="F734" s="3" t="s">
        <v>25</v>
      </c>
      <c r="G734" s="3" t="s">
        <v>25</v>
      </c>
      <c r="H734" s="3" t="s">
        <v>34</v>
      </c>
      <c r="I734" s="6">
        <v>44621</v>
      </c>
      <c r="J734" s="4">
        <v>0</v>
      </c>
      <c r="K734" s="4">
        <v>0</v>
      </c>
      <c r="L734" s="4">
        <v>-8.6020000000000003</v>
      </c>
      <c r="M734" s="4">
        <v>-8.6020000000000003</v>
      </c>
      <c r="N734" s="4">
        <v>0</v>
      </c>
      <c r="O734" s="4">
        <v>0</v>
      </c>
      <c r="P734" s="4">
        <v>0</v>
      </c>
      <c r="Q734" s="3" t="s">
        <v>57</v>
      </c>
      <c r="R734" s="3">
        <v>0</v>
      </c>
      <c r="S734" s="4">
        <v>0</v>
      </c>
      <c r="T734" s="4">
        <v>20</v>
      </c>
      <c r="U734" s="4">
        <v>0</v>
      </c>
      <c r="V734" s="4">
        <f>IF(ISERROR(VLOOKUP($S$734,'TAR FIN'!$A$1:$O$113,15,0)),0,VLOOKUP($S$734,'TAR FIN'!$A$1:$O$113,15,0))</f>
        <v>0</v>
      </c>
      <c r="W734" s="4">
        <f>IF(ISERROR(VLOOKUP($T$734,'TAR FIN'!$A$1:$O$113,15,0)),0,VLOOKUP($T$734,'TAR FIN'!$A$1:$O$113,15,0))</f>
        <v>1564.59</v>
      </c>
      <c r="X734" s="4">
        <f>IF(ISERROR(VLOOKUP($U$734,'TAR FIN'!$A$1:$O$113,15,0)),0,VLOOKUP($U$734,'TAR FIN'!$A$1:$O$113,15,0))</f>
        <v>0</v>
      </c>
      <c r="Y734" s="4"/>
      <c r="Z734" s="4">
        <f ca="1">('TUSD BE'!$AM$31+'TUSD BF'!$AM$31+'TUSD CVA'!$AM$31)*1</f>
        <v>1837.8896121132304</v>
      </c>
      <c r="AA734" s="4"/>
      <c r="AB734" s="4">
        <f>$K$734*$V$734</f>
        <v>0</v>
      </c>
      <c r="AC734" s="4">
        <f>$M$734*$W$734</f>
        <v>-13458.60318</v>
      </c>
      <c r="AD734" s="4">
        <f>$O$734*$X$734</f>
        <v>0</v>
      </c>
      <c r="AE734" s="4">
        <f>$K$734*$Y$734</f>
        <v>0</v>
      </c>
      <c r="AF734" s="4">
        <f ca="1">$M$734*$Z$734</f>
        <v>-15809.526443398008</v>
      </c>
      <c r="AG734" s="4">
        <f>$O$734*$AA$734</f>
        <v>0</v>
      </c>
    </row>
    <row r="735" spans="1:33" ht="11.25" customHeight="1" x14ac:dyDescent="0.25">
      <c r="A735" s="3" t="s">
        <v>21</v>
      </c>
      <c r="B735" s="3" t="s">
        <v>41</v>
      </c>
      <c r="C735" s="3" t="s">
        <v>42</v>
      </c>
      <c r="D735" s="3" t="s">
        <v>52</v>
      </c>
      <c r="E735" s="3" t="s">
        <v>25</v>
      </c>
      <c r="F735" s="3" t="s">
        <v>25</v>
      </c>
      <c r="G735" s="3" t="s">
        <v>25</v>
      </c>
      <c r="H735" s="3" t="s">
        <v>35</v>
      </c>
      <c r="I735" s="6">
        <v>44287</v>
      </c>
      <c r="J735" s="4">
        <v>0</v>
      </c>
      <c r="K735" s="4">
        <v>0</v>
      </c>
      <c r="L735" s="4">
        <v>82.25</v>
      </c>
      <c r="M735" s="4">
        <v>82.25</v>
      </c>
      <c r="N735" s="4">
        <v>82.25</v>
      </c>
      <c r="O735" s="4">
        <v>82.25</v>
      </c>
      <c r="P735" s="4">
        <v>0</v>
      </c>
      <c r="Q735" s="3" t="s">
        <v>26</v>
      </c>
      <c r="R735" s="3">
        <v>0</v>
      </c>
      <c r="S735" s="4">
        <v>0</v>
      </c>
      <c r="T735" s="4">
        <v>21</v>
      </c>
      <c r="U735" s="4">
        <v>89</v>
      </c>
      <c r="V735" s="4">
        <f>IF(ISERROR(VLOOKUP($S$735,'TAR FIN'!$A$1:$O$113,15,0)),0,VLOOKUP($S$735,'TAR FIN'!$A$1:$O$113,15,0))</f>
        <v>0</v>
      </c>
      <c r="W735" s="4">
        <f>IF(ISERROR(VLOOKUP($T$735,'TAR FIN'!$A$1:$O$113,15,0)),0,VLOOKUP($T$735,'TAR FIN'!$A$1:$O$113,15,0))</f>
        <v>51.27</v>
      </c>
      <c r="X735" s="4">
        <f>IF(ISERROR(VLOOKUP($U$735,'TAR FIN'!$A$1:$O$113,15,0)),0,VLOOKUP($U$735,'TAR FIN'!$A$1:$O$113,15,0))</f>
        <v>222.31</v>
      </c>
      <c r="Y735" s="4"/>
      <c r="Z735" s="4">
        <f ca="1">('TUSD BE'!$AM$32+'TUSD BF'!$AM$32+'TUSD CVA'!$AM$32)*1</f>
        <v>65.007409626508434</v>
      </c>
      <c r="AA735" s="4">
        <f>('TE BE'!$AA$11+'TE BF'!$AA$11+'TE CVA'!$AA$11)*1</f>
        <v>223.14561812044704</v>
      </c>
      <c r="AB735" s="4">
        <f>$K$735*$V$735</f>
        <v>0</v>
      </c>
      <c r="AC735" s="4">
        <f>$M$735*$W$735</f>
        <v>4216.9575000000004</v>
      </c>
      <c r="AD735" s="4">
        <f>$O$735*$X$735</f>
        <v>18284.997500000001</v>
      </c>
      <c r="AE735" s="4">
        <f>$K$735*$Y$735</f>
        <v>0</v>
      </c>
      <c r="AF735" s="4">
        <f ca="1">$M$735*$Z$735</f>
        <v>5346.8594417803188</v>
      </c>
      <c r="AG735" s="4">
        <f>$O$735*$AA$735</f>
        <v>18353.72709040677</v>
      </c>
    </row>
    <row r="736" spans="1:33" ht="11.25" customHeight="1" x14ac:dyDescent="0.25">
      <c r="A736" s="3" t="s">
        <v>21</v>
      </c>
      <c r="B736" s="3" t="s">
        <v>41</v>
      </c>
      <c r="C736" s="3" t="s">
        <v>42</v>
      </c>
      <c r="D736" s="3" t="s">
        <v>52</v>
      </c>
      <c r="E736" s="3" t="s">
        <v>25</v>
      </c>
      <c r="F736" s="3" t="s">
        <v>25</v>
      </c>
      <c r="G736" s="3" t="s">
        <v>25</v>
      </c>
      <c r="H736" s="3" t="s">
        <v>35</v>
      </c>
      <c r="I736" s="6">
        <v>44317</v>
      </c>
      <c r="J736" s="4">
        <v>0</v>
      </c>
      <c r="K736" s="4">
        <v>0</v>
      </c>
      <c r="L736" s="4">
        <v>72.099999999999994</v>
      </c>
      <c r="M736" s="4">
        <v>72.099999999999994</v>
      </c>
      <c r="N736" s="4">
        <v>72.099999999999994</v>
      </c>
      <c r="O736" s="4">
        <v>72.099999999999994</v>
      </c>
      <c r="P736" s="4">
        <v>0</v>
      </c>
      <c r="Q736" s="3" t="s">
        <v>26</v>
      </c>
      <c r="R736" s="3">
        <v>0</v>
      </c>
      <c r="S736" s="4">
        <v>0</v>
      </c>
      <c r="T736" s="4">
        <v>21</v>
      </c>
      <c r="U736" s="4">
        <v>89</v>
      </c>
      <c r="V736" s="4">
        <f>IF(ISERROR(VLOOKUP($S$736,'TAR FIN'!$A$1:$O$113,15,0)),0,VLOOKUP($S$736,'TAR FIN'!$A$1:$O$113,15,0))</f>
        <v>0</v>
      </c>
      <c r="W736" s="4">
        <f>IF(ISERROR(VLOOKUP($T$736,'TAR FIN'!$A$1:$O$113,15,0)),0,VLOOKUP($T$736,'TAR FIN'!$A$1:$O$113,15,0))</f>
        <v>51.27</v>
      </c>
      <c r="X736" s="4">
        <f>IF(ISERROR(VLOOKUP($U$736,'TAR FIN'!$A$1:$O$113,15,0)),0,VLOOKUP($U$736,'TAR FIN'!$A$1:$O$113,15,0))</f>
        <v>222.31</v>
      </c>
      <c r="Y736" s="4"/>
      <c r="Z736" s="4">
        <f ca="1">('TUSD BE'!$AM$32+'TUSD BF'!$AM$32+'TUSD CVA'!$AM$32)*1</f>
        <v>65.007409626508434</v>
      </c>
      <c r="AA736" s="4">
        <f>('TE BE'!$AA$11+'TE BF'!$AA$11+'TE CVA'!$AA$11)*1</f>
        <v>223.14561812044704</v>
      </c>
      <c r="AB736" s="4">
        <f>$K$736*$V$736</f>
        <v>0</v>
      </c>
      <c r="AC736" s="4">
        <f>$M$736*$W$736</f>
        <v>3696.567</v>
      </c>
      <c r="AD736" s="4">
        <f>$O$736*$X$736</f>
        <v>16028.550999999999</v>
      </c>
      <c r="AE736" s="4">
        <f>$K$736*$Y$736</f>
        <v>0</v>
      </c>
      <c r="AF736" s="4">
        <f ca="1">$M$736*$Z$736</f>
        <v>4687.0342340712577</v>
      </c>
      <c r="AG736" s="4">
        <f>$O$736*$AA$736</f>
        <v>16088.799066484231</v>
      </c>
    </row>
    <row r="737" spans="1:33" ht="11.25" customHeight="1" x14ac:dyDescent="0.25">
      <c r="A737" s="3" t="s">
        <v>21</v>
      </c>
      <c r="B737" s="3" t="s">
        <v>41</v>
      </c>
      <c r="C737" s="3" t="s">
        <v>42</v>
      </c>
      <c r="D737" s="3" t="s">
        <v>52</v>
      </c>
      <c r="E737" s="3" t="s">
        <v>25</v>
      </c>
      <c r="F737" s="3" t="s">
        <v>25</v>
      </c>
      <c r="G737" s="3" t="s">
        <v>25</v>
      </c>
      <c r="H737" s="3" t="s">
        <v>35</v>
      </c>
      <c r="I737" s="6">
        <v>44348</v>
      </c>
      <c r="J737" s="4">
        <v>0</v>
      </c>
      <c r="K737" s="4">
        <v>0</v>
      </c>
      <c r="L737" s="4">
        <v>64.05</v>
      </c>
      <c r="M737" s="4">
        <v>64.05</v>
      </c>
      <c r="N737" s="4">
        <v>64.05</v>
      </c>
      <c r="O737" s="4">
        <v>64.05</v>
      </c>
      <c r="P737" s="4">
        <v>0</v>
      </c>
      <c r="Q737" s="3" t="s">
        <v>26</v>
      </c>
      <c r="R737" s="3">
        <v>0</v>
      </c>
      <c r="S737" s="4">
        <v>0</v>
      </c>
      <c r="T737" s="4">
        <v>21</v>
      </c>
      <c r="U737" s="4">
        <v>89</v>
      </c>
      <c r="V737" s="4">
        <f>IF(ISERROR(VLOOKUP($S$737,'TAR FIN'!$A$1:$O$113,15,0)),0,VLOOKUP($S$737,'TAR FIN'!$A$1:$O$113,15,0))</f>
        <v>0</v>
      </c>
      <c r="W737" s="4">
        <f>IF(ISERROR(VLOOKUP($T$737,'TAR FIN'!$A$1:$O$113,15,0)),0,VLOOKUP($T$737,'TAR FIN'!$A$1:$O$113,15,0))</f>
        <v>51.27</v>
      </c>
      <c r="X737" s="4">
        <f>IF(ISERROR(VLOOKUP($U$737,'TAR FIN'!$A$1:$O$113,15,0)),0,VLOOKUP($U$737,'TAR FIN'!$A$1:$O$113,15,0))</f>
        <v>222.31</v>
      </c>
      <c r="Y737" s="4"/>
      <c r="Z737" s="4">
        <f ca="1">('TUSD BE'!$AM$32+'TUSD BF'!$AM$32+'TUSD CVA'!$AM$32)*1</f>
        <v>65.007409626508434</v>
      </c>
      <c r="AA737" s="4">
        <f>('TE BE'!$AA$11+'TE BF'!$AA$11+'TE CVA'!$AA$11)*1</f>
        <v>223.14561812044704</v>
      </c>
      <c r="AB737" s="4">
        <f>$K$737*$V$737</f>
        <v>0</v>
      </c>
      <c r="AC737" s="4">
        <f>$M$737*$W$737</f>
        <v>3283.8434999999999</v>
      </c>
      <c r="AD737" s="4">
        <f>$O$737*$X$737</f>
        <v>14238.9555</v>
      </c>
      <c r="AE737" s="4">
        <f>$K$737*$Y$737</f>
        <v>0</v>
      </c>
      <c r="AF737" s="4">
        <f ca="1">$M$737*$Z$737</f>
        <v>4163.724586577865</v>
      </c>
      <c r="AG737" s="4">
        <f>$O$737*$AA$737</f>
        <v>14292.476840614632</v>
      </c>
    </row>
    <row r="738" spans="1:33" ht="11.25" customHeight="1" x14ac:dyDescent="0.25">
      <c r="A738" s="3" t="s">
        <v>21</v>
      </c>
      <c r="B738" s="3" t="s">
        <v>41</v>
      </c>
      <c r="C738" s="3" t="s">
        <v>42</v>
      </c>
      <c r="D738" s="3" t="s">
        <v>52</v>
      </c>
      <c r="E738" s="3" t="s">
        <v>25</v>
      </c>
      <c r="F738" s="3" t="s">
        <v>25</v>
      </c>
      <c r="G738" s="3" t="s">
        <v>25</v>
      </c>
      <c r="H738" s="3" t="s">
        <v>35</v>
      </c>
      <c r="I738" s="6">
        <v>44378</v>
      </c>
      <c r="J738" s="4">
        <v>0</v>
      </c>
      <c r="K738" s="4">
        <v>0</v>
      </c>
      <c r="L738" s="4">
        <v>71.05</v>
      </c>
      <c r="M738" s="4">
        <v>71.05</v>
      </c>
      <c r="N738" s="4">
        <v>71.05</v>
      </c>
      <c r="O738" s="4">
        <v>71.05</v>
      </c>
      <c r="P738" s="4">
        <v>0</v>
      </c>
      <c r="Q738" s="3" t="s">
        <v>26</v>
      </c>
      <c r="R738" s="3">
        <v>0</v>
      </c>
      <c r="S738" s="4">
        <v>0</v>
      </c>
      <c r="T738" s="4">
        <v>21</v>
      </c>
      <c r="U738" s="4">
        <v>89</v>
      </c>
      <c r="V738" s="4">
        <f>IF(ISERROR(VLOOKUP($S$738,'TAR FIN'!$A$1:$O$113,15,0)),0,VLOOKUP($S$738,'TAR FIN'!$A$1:$O$113,15,0))</f>
        <v>0</v>
      </c>
      <c r="W738" s="4">
        <f>IF(ISERROR(VLOOKUP($T$738,'TAR FIN'!$A$1:$O$113,15,0)),0,VLOOKUP($T$738,'TAR FIN'!$A$1:$O$113,15,0))</f>
        <v>51.27</v>
      </c>
      <c r="X738" s="4">
        <f>IF(ISERROR(VLOOKUP($U$738,'TAR FIN'!$A$1:$O$113,15,0)),0,VLOOKUP($U$738,'TAR FIN'!$A$1:$O$113,15,0))</f>
        <v>222.31</v>
      </c>
      <c r="Y738" s="4"/>
      <c r="Z738" s="4">
        <f ca="1">('TUSD BE'!$AM$32+'TUSD BF'!$AM$32+'TUSD CVA'!$AM$32)*1</f>
        <v>65.007409626508434</v>
      </c>
      <c r="AA738" s="4">
        <f>('TE BE'!$AA$11+'TE BF'!$AA$11+'TE CVA'!$AA$11)*1</f>
        <v>223.14561812044704</v>
      </c>
      <c r="AB738" s="4">
        <f>$K$738*$V$738</f>
        <v>0</v>
      </c>
      <c r="AC738" s="4">
        <f>$M$738*$W$738</f>
        <v>3642.7335000000003</v>
      </c>
      <c r="AD738" s="4">
        <f>$O$738*$X$738</f>
        <v>15795.1255</v>
      </c>
      <c r="AE738" s="4">
        <f>$K$738*$Y$738</f>
        <v>0</v>
      </c>
      <c r="AF738" s="4">
        <f ca="1">$M$738*$Z$738</f>
        <v>4618.7764539634236</v>
      </c>
      <c r="AG738" s="4">
        <f>$O$738*$AA$738</f>
        <v>15854.496167457761</v>
      </c>
    </row>
    <row r="739" spans="1:33" ht="11.25" customHeight="1" x14ac:dyDescent="0.25">
      <c r="A739" s="3" t="s">
        <v>21</v>
      </c>
      <c r="B739" s="3" t="s">
        <v>41</v>
      </c>
      <c r="C739" s="3" t="s">
        <v>42</v>
      </c>
      <c r="D739" s="3" t="s">
        <v>52</v>
      </c>
      <c r="E739" s="3" t="s">
        <v>25</v>
      </c>
      <c r="F739" s="3" t="s">
        <v>25</v>
      </c>
      <c r="G739" s="3" t="s">
        <v>25</v>
      </c>
      <c r="H739" s="3" t="s">
        <v>35</v>
      </c>
      <c r="I739" s="6">
        <v>44409</v>
      </c>
      <c r="J739" s="4">
        <v>0</v>
      </c>
      <c r="K739" s="4">
        <v>0</v>
      </c>
      <c r="L739" s="4">
        <v>74.2</v>
      </c>
      <c r="M739" s="4">
        <v>74.2</v>
      </c>
      <c r="N739" s="4">
        <v>74.2</v>
      </c>
      <c r="O739" s="4">
        <v>74.2</v>
      </c>
      <c r="P739" s="4">
        <v>0</v>
      </c>
      <c r="Q739" s="3" t="s">
        <v>26</v>
      </c>
      <c r="R739" s="3">
        <v>0</v>
      </c>
      <c r="S739" s="4">
        <v>0</v>
      </c>
      <c r="T739" s="4">
        <v>21</v>
      </c>
      <c r="U739" s="4">
        <v>89</v>
      </c>
      <c r="V739" s="4">
        <f>IF(ISERROR(VLOOKUP($S$739,'TAR FIN'!$A$1:$O$113,15,0)),0,VLOOKUP($S$739,'TAR FIN'!$A$1:$O$113,15,0))</f>
        <v>0</v>
      </c>
      <c r="W739" s="4">
        <f>IF(ISERROR(VLOOKUP($T$739,'TAR FIN'!$A$1:$O$113,15,0)),0,VLOOKUP($T$739,'TAR FIN'!$A$1:$O$113,15,0))</f>
        <v>51.27</v>
      </c>
      <c r="X739" s="4">
        <f>IF(ISERROR(VLOOKUP($U$739,'TAR FIN'!$A$1:$O$113,15,0)),0,VLOOKUP($U$739,'TAR FIN'!$A$1:$O$113,15,0))</f>
        <v>222.31</v>
      </c>
      <c r="Y739" s="4"/>
      <c r="Z739" s="4">
        <f ca="1">('TUSD BE'!$AM$32+'TUSD BF'!$AM$32+'TUSD CVA'!$AM$32)*1</f>
        <v>65.007409626508434</v>
      </c>
      <c r="AA739" s="4">
        <f>('TE BE'!$AA$11+'TE BF'!$AA$11+'TE CVA'!$AA$11)*1</f>
        <v>223.14561812044704</v>
      </c>
      <c r="AB739" s="4">
        <f>$K$739*$V$739</f>
        <v>0</v>
      </c>
      <c r="AC739" s="4">
        <f>$M$739*$W$739</f>
        <v>3804.2340000000004</v>
      </c>
      <c r="AD739" s="4">
        <f>$O$739*$X$739</f>
        <v>16495.402000000002</v>
      </c>
      <c r="AE739" s="4">
        <f>$K$739*$Y$739</f>
        <v>0</v>
      </c>
      <c r="AF739" s="4">
        <f ca="1">$M$739*$Z$739</f>
        <v>4823.549794286926</v>
      </c>
      <c r="AG739" s="4">
        <f>$O$739*$AA$739</f>
        <v>16557.404864537169</v>
      </c>
    </row>
    <row r="740" spans="1:33" ht="11.25" customHeight="1" x14ac:dyDescent="0.25">
      <c r="A740" s="3" t="s">
        <v>21</v>
      </c>
      <c r="B740" s="3" t="s">
        <v>41</v>
      </c>
      <c r="C740" s="3" t="s">
        <v>42</v>
      </c>
      <c r="D740" s="3" t="s">
        <v>52</v>
      </c>
      <c r="E740" s="3" t="s">
        <v>25</v>
      </c>
      <c r="F740" s="3" t="s">
        <v>25</v>
      </c>
      <c r="G740" s="3" t="s">
        <v>25</v>
      </c>
      <c r="H740" s="3" t="s">
        <v>35</v>
      </c>
      <c r="I740" s="6">
        <v>44440</v>
      </c>
      <c r="J740" s="4">
        <v>0</v>
      </c>
      <c r="K740" s="4">
        <v>0</v>
      </c>
      <c r="L740" s="4">
        <v>73.5</v>
      </c>
      <c r="M740" s="4">
        <v>73.5</v>
      </c>
      <c r="N740" s="4">
        <v>73.5</v>
      </c>
      <c r="O740" s="4">
        <v>73.5</v>
      </c>
      <c r="P740" s="4">
        <v>0</v>
      </c>
      <c r="Q740" s="3" t="s">
        <v>26</v>
      </c>
      <c r="R740" s="3">
        <v>0</v>
      </c>
      <c r="S740" s="4">
        <v>0</v>
      </c>
      <c r="T740" s="4">
        <v>21</v>
      </c>
      <c r="U740" s="4">
        <v>89</v>
      </c>
      <c r="V740" s="4">
        <f>IF(ISERROR(VLOOKUP($S$740,'TAR FIN'!$A$1:$O$113,15,0)),0,VLOOKUP($S$740,'TAR FIN'!$A$1:$O$113,15,0))</f>
        <v>0</v>
      </c>
      <c r="W740" s="4">
        <f>IF(ISERROR(VLOOKUP($T$740,'TAR FIN'!$A$1:$O$113,15,0)),0,VLOOKUP($T$740,'TAR FIN'!$A$1:$O$113,15,0))</f>
        <v>51.27</v>
      </c>
      <c r="X740" s="4">
        <f>IF(ISERROR(VLOOKUP($U$740,'TAR FIN'!$A$1:$O$113,15,0)),0,VLOOKUP($U$740,'TAR FIN'!$A$1:$O$113,15,0))</f>
        <v>222.31</v>
      </c>
      <c r="Y740" s="4"/>
      <c r="Z740" s="4">
        <f ca="1">('TUSD BE'!$AM$32+'TUSD BF'!$AM$32+'TUSD CVA'!$AM$32)*1</f>
        <v>65.007409626508434</v>
      </c>
      <c r="AA740" s="4">
        <f>('TE BE'!$AA$11+'TE BF'!$AA$11+'TE CVA'!$AA$11)*1</f>
        <v>223.14561812044704</v>
      </c>
      <c r="AB740" s="4">
        <f>$K$740*$V$740</f>
        <v>0</v>
      </c>
      <c r="AC740" s="4">
        <f>$M$740*$W$740</f>
        <v>3768.3450000000003</v>
      </c>
      <c r="AD740" s="4">
        <f>$O$740*$X$740</f>
        <v>16339.785</v>
      </c>
      <c r="AE740" s="4">
        <f>$K$740*$Y$740</f>
        <v>0</v>
      </c>
      <c r="AF740" s="4">
        <f ca="1">$M$740*$Z$740</f>
        <v>4778.0446075483696</v>
      </c>
      <c r="AG740" s="4">
        <f>$O$740*$AA$740</f>
        <v>16401.202931852858</v>
      </c>
    </row>
    <row r="741" spans="1:33" ht="11.25" customHeight="1" x14ac:dyDescent="0.25">
      <c r="A741" s="3" t="s">
        <v>21</v>
      </c>
      <c r="B741" s="3" t="s">
        <v>41</v>
      </c>
      <c r="C741" s="3" t="s">
        <v>42</v>
      </c>
      <c r="D741" s="3" t="s">
        <v>52</v>
      </c>
      <c r="E741" s="3" t="s">
        <v>25</v>
      </c>
      <c r="F741" s="3" t="s">
        <v>25</v>
      </c>
      <c r="G741" s="3" t="s">
        <v>25</v>
      </c>
      <c r="H741" s="3" t="s">
        <v>35</v>
      </c>
      <c r="I741" s="6">
        <v>44470</v>
      </c>
      <c r="J741" s="4">
        <v>0</v>
      </c>
      <c r="K741" s="4">
        <v>0</v>
      </c>
      <c r="L741" s="4">
        <v>73.150000000000006</v>
      </c>
      <c r="M741" s="4">
        <v>73.150000000000006</v>
      </c>
      <c r="N741" s="4">
        <v>73.150000000000006</v>
      </c>
      <c r="O741" s="4">
        <v>73.150000000000006</v>
      </c>
      <c r="P741" s="4">
        <v>0</v>
      </c>
      <c r="Q741" s="3" t="s">
        <v>26</v>
      </c>
      <c r="R741" s="3">
        <v>0</v>
      </c>
      <c r="S741" s="4">
        <v>0</v>
      </c>
      <c r="T741" s="4">
        <v>21</v>
      </c>
      <c r="U741" s="4">
        <v>89</v>
      </c>
      <c r="V741" s="4">
        <f>IF(ISERROR(VLOOKUP($S$741,'TAR FIN'!$A$1:$O$113,15,0)),0,VLOOKUP($S$741,'TAR FIN'!$A$1:$O$113,15,0))</f>
        <v>0</v>
      </c>
      <c r="W741" s="4">
        <f>IF(ISERROR(VLOOKUP($T$741,'TAR FIN'!$A$1:$O$113,15,0)),0,VLOOKUP($T$741,'TAR FIN'!$A$1:$O$113,15,0))</f>
        <v>51.27</v>
      </c>
      <c r="X741" s="4">
        <f>IF(ISERROR(VLOOKUP($U$741,'TAR FIN'!$A$1:$O$113,15,0)),0,VLOOKUP($U$741,'TAR FIN'!$A$1:$O$113,15,0))</f>
        <v>222.31</v>
      </c>
      <c r="Y741" s="4"/>
      <c r="Z741" s="4">
        <f ca="1">('TUSD BE'!$AM$32+'TUSD BF'!$AM$32+'TUSD CVA'!$AM$32)*1</f>
        <v>65.007409626508434</v>
      </c>
      <c r="AA741" s="4">
        <f>('TE BE'!$AA$11+'TE BF'!$AA$11+'TE CVA'!$AA$11)*1</f>
        <v>223.14561812044704</v>
      </c>
      <c r="AB741" s="4">
        <f>$K$741*$V$741</f>
        <v>0</v>
      </c>
      <c r="AC741" s="4">
        <f>$M$741*$W$741</f>
        <v>3750.4005000000006</v>
      </c>
      <c r="AD741" s="4">
        <f>$O$741*$X$741</f>
        <v>16261.976500000001</v>
      </c>
      <c r="AE741" s="4">
        <f>$K$741*$Y$741</f>
        <v>0</v>
      </c>
      <c r="AF741" s="4">
        <f ca="1">$M$741*$Z$741</f>
        <v>4755.2920141790919</v>
      </c>
      <c r="AG741" s="4">
        <f>$O$741*$AA$741</f>
        <v>16323.101965510703</v>
      </c>
    </row>
    <row r="742" spans="1:33" ht="11.25" customHeight="1" x14ac:dyDescent="0.25">
      <c r="A742" s="3" t="s">
        <v>21</v>
      </c>
      <c r="B742" s="3" t="s">
        <v>41</v>
      </c>
      <c r="C742" s="3" t="s">
        <v>42</v>
      </c>
      <c r="D742" s="3" t="s">
        <v>52</v>
      </c>
      <c r="E742" s="3" t="s">
        <v>25</v>
      </c>
      <c r="F742" s="3" t="s">
        <v>25</v>
      </c>
      <c r="G742" s="3" t="s">
        <v>25</v>
      </c>
      <c r="H742" s="3" t="s">
        <v>35</v>
      </c>
      <c r="I742" s="6">
        <v>44501</v>
      </c>
      <c r="J742" s="4">
        <v>0</v>
      </c>
      <c r="K742" s="4">
        <v>0</v>
      </c>
      <c r="L742" s="4">
        <v>75.25</v>
      </c>
      <c r="M742" s="4">
        <v>75.25</v>
      </c>
      <c r="N742" s="4">
        <v>75.25</v>
      </c>
      <c r="O742" s="4">
        <v>75.25</v>
      </c>
      <c r="P742" s="4">
        <v>0</v>
      </c>
      <c r="Q742" s="3" t="s">
        <v>26</v>
      </c>
      <c r="R742" s="3">
        <v>0</v>
      </c>
      <c r="S742" s="4">
        <v>0</v>
      </c>
      <c r="T742" s="4">
        <v>21</v>
      </c>
      <c r="U742" s="4">
        <v>89</v>
      </c>
      <c r="V742" s="4">
        <f>IF(ISERROR(VLOOKUP($S$742,'TAR FIN'!$A$1:$O$113,15,0)),0,VLOOKUP($S$742,'TAR FIN'!$A$1:$O$113,15,0))</f>
        <v>0</v>
      </c>
      <c r="W742" s="4">
        <f>IF(ISERROR(VLOOKUP($T$742,'TAR FIN'!$A$1:$O$113,15,0)),0,VLOOKUP($T$742,'TAR FIN'!$A$1:$O$113,15,0))</f>
        <v>51.27</v>
      </c>
      <c r="X742" s="4">
        <f>IF(ISERROR(VLOOKUP($U$742,'TAR FIN'!$A$1:$O$113,15,0)),0,VLOOKUP($U$742,'TAR FIN'!$A$1:$O$113,15,0))</f>
        <v>222.31</v>
      </c>
      <c r="Y742" s="4"/>
      <c r="Z742" s="4">
        <f ca="1">('TUSD BE'!$AM$32+'TUSD BF'!$AM$32+'TUSD CVA'!$AM$32)*1</f>
        <v>65.007409626508434</v>
      </c>
      <c r="AA742" s="4">
        <f>('TE BE'!$AA$11+'TE BF'!$AA$11+'TE CVA'!$AA$11)*1</f>
        <v>223.14561812044704</v>
      </c>
      <c r="AB742" s="4">
        <f>$K$742*$V$742</f>
        <v>0</v>
      </c>
      <c r="AC742" s="4">
        <f>$M$742*$W$742</f>
        <v>3858.0675000000001</v>
      </c>
      <c r="AD742" s="4">
        <f>$O$742*$X$742</f>
        <v>16728.827499999999</v>
      </c>
      <c r="AE742" s="4">
        <f>$K$742*$Y$742</f>
        <v>0</v>
      </c>
      <c r="AF742" s="4">
        <f ca="1">$M$742*$Z$742</f>
        <v>4891.8075743947593</v>
      </c>
      <c r="AG742" s="4">
        <f>$O$742*$AA$742</f>
        <v>16791.707763563641</v>
      </c>
    </row>
    <row r="743" spans="1:33" ht="11.25" customHeight="1" x14ac:dyDescent="0.25">
      <c r="A743" s="3" t="s">
        <v>21</v>
      </c>
      <c r="B743" s="3" t="s">
        <v>41</v>
      </c>
      <c r="C743" s="3" t="s">
        <v>42</v>
      </c>
      <c r="D743" s="3" t="s">
        <v>52</v>
      </c>
      <c r="E743" s="3" t="s">
        <v>25</v>
      </c>
      <c r="F743" s="3" t="s">
        <v>25</v>
      </c>
      <c r="G743" s="3" t="s">
        <v>25</v>
      </c>
      <c r="H743" s="3" t="s">
        <v>35</v>
      </c>
      <c r="I743" s="6">
        <v>44531</v>
      </c>
      <c r="J743" s="4">
        <v>0</v>
      </c>
      <c r="K743" s="4">
        <v>0</v>
      </c>
      <c r="L743" s="4">
        <v>75.599999999999994</v>
      </c>
      <c r="M743" s="4">
        <v>75.599999999999994</v>
      </c>
      <c r="N743" s="4">
        <v>75.599999999999994</v>
      </c>
      <c r="O743" s="4">
        <v>75.599999999999994</v>
      </c>
      <c r="P743" s="4">
        <v>0</v>
      </c>
      <c r="Q743" s="3" t="s">
        <v>26</v>
      </c>
      <c r="R743" s="3">
        <v>0</v>
      </c>
      <c r="S743" s="4">
        <v>0</v>
      </c>
      <c r="T743" s="4">
        <v>21</v>
      </c>
      <c r="U743" s="4">
        <v>89</v>
      </c>
      <c r="V743" s="4">
        <f>IF(ISERROR(VLOOKUP($S$743,'TAR FIN'!$A$1:$O$113,15,0)),0,VLOOKUP($S$743,'TAR FIN'!$A$1:$O$113,15,0))</f>
        <v>0</v>
      </c>
      <c r="W743" s="4">
        <f>IF(ISERROR(VLOOKUP($T$743,'TAR FIN'!$A$1:$O$113,15,0)),0,VLOOKUP($T$743,'TAR FIN'!$A$1:$O$113,15,0))</f>
        <v>51.27</v>
      </c>
      <c r="X743" s="4">
        <f>IF(ISERROR(VLOOKUP($U$743,'TAR FIN'!$A$1:$O$113,15,0)),0,VLOOKUP($U$743,'TAR FIN'!$A$1:$O$113,15,0))</f>
        <v>222.31</v>
      </c>
      <c r="Y743" s="4"/>
      <c r="Z743" s="4">
        <f ca="1">('TUSD BE'!$AM$32+'TUSD BF'!$AM$32+'TUSD CVA'!$AM$32)*1</f>
        <v>65.007409626508434</v>
      </c>
      <c r="AA743" s="4">
        <f>('TE BE'!$AA$11+'TE BF'!$AA$11+'TE CVA'!$AA$11)*1</f>
        <v>223.14561812044704</v>
      </c>
      <c r="AB743" s="4">
        <f>$K$743*$V$743</f>
        <v>0</v>
      </c>
      <c r="AC743" s="4">
        <f>$M$743*$W$743</f>
        <v>3876.0120000000002</v>
      </c>
      <c r="AD743" s="4">
        <f>$O$743*$X$743</f>
        <v>16806.635999999999</v>
      </c>
      <c r="AE743" s="4">
        <f>$K$743*$Y$743</f>
        <v>0</v>
      </c>
      <c r="AF743" s="4">
        <f ca="1">$M$743*$Z$743</f>
        <v>4914.560167764037</v>
      </c>
      <c r="AG743" s="4">
        <f>$O$743*$AA$743</f>
        <v>16869.808729905795</v>
      </c>
    </row>
    <row r="744" spans="1:33" ht="11.25" customHeight="1" x14ac:dyDescent="0.25">
      <c r="A744" s="3" t="s">
        <v>21</v>
      </c>
      <c r="B744" s="3" t="s">
        <v>41</v>
      </c>
      <c r="C744" s="3" t="s">
        <v>42</v>
      </c>
      <c r="D744" s="3" t="s">
        <v>52</v>
      </c>
      <c r="E744" s="3" t="s">
        <v>25</v>
      </c>
      <c r="F744" s="3" t="s">
        <v>25</v>
      </c>
      <c r="G744" s="3" t="s">
        <v>25</v>
      </c>
      <c r="H744" s="3" t="s">
        <v>35</v>
      </c>
      <c r="I744" s="6">
        <v>44562</v>
      </c>
      <c r="J744" s="4">
        <v>0</v>
      </c>
      <c r="K744" s="4">
        <v>0</v>
      </c>
      <c r="L744" s="4">
        <v>78.706000000000003</v>
      </c>
      <c r="M744" s="4">
        <v>78.706000000000003</v>
      </c>
      <c r="N744" s="4">
        <v>78.706000000000003</v>
      </c>
      <c r="O744" s="4">
        <v>78.706000000000003</v>
      </c>
      <c r="P744" s="4">
        <v>0</v>
      </c>
      <c r="Q744" s="3" t="s">
        <v>26</v>
      </c>
      <c r="R744" s="3">
        <v>0</v>
      </c>
      <c r="S744" s="4">
        <v>0</v>
      </c>
      <c r="T744" s="4">
        <v>21</v>
      </c>
      <c r="U744" s="4">
        <v>89</v>
      </c>
      <c r="V744" s="4">
        <f>IF(ISERROR(VLOOKUP($S$744,'TAR FIN'!$A$1:$O$113,15,0)),0,VLOOKUP($S$744,'TAR FIN'!$A$1:$O$113,15,0))</f>
        <v>0</v>
      </c>
      <c r="W744" s="4">
        <f>IF(ISERROR(VLOOKUP($T$744,'TAR FIN'!$A$1:$O$113,15,0)),0,VLOOKUP($T$744,'TAR FIN'!$A$1:$O$113,15,0))</f>
        <v>51.27</v>
      </c>
      <c r="X744" s="4">
        <f>IF(ISERROR(VLOOKUP($U$744,'TAR FIN'!$A$1:$O$113,15,0)),0,VLOOKUP($U$744,'TAR FIN'!$A$1:$O$113,15,0))</f>
        <v>222.31</v>
      </c>
      <c r="Y744" s="4"/>
      <c r="Z744" s="4">
        <f ca="1">('TUSD BE'!$AM$32+'TUSD BF'!$AM$32+'TUSD CVA'!$AM$32)*1</f>
        <v>65.007409626508434</v>
      </c>
      <c r="AA744" s="4">
        <f>('TE BE'!$AA$11+'TE BF'!$AA$11+'TE CVA'!$AA$11)*1</f>
        <v>223.14561812044704</v>
      </c>
      <c r="AB744" s="4">
        <f>$K$744*$V$744</f>
        <v>0</v>
      </c>
      <c r="AC744" s="4">
        <f>$M$744*$W$744</f>
        <v>4035.2566200000006</v>
      </c>
      <c r="AD744" s="4">
        <f>$O$744*$X$744</f>
        <v>17497.130860000001</v>
      </c>
      <c r="AE744" s="4">
        <f>$K$744*$Y$744</f>
        <v>0</v>
      </c>
      <c r="AF744" s="4">
        <f ca="1">$M$744*$Z$744</f>
        <v>5116.4731820639727</v>
      </c>
      <c r="AG744" s="4">
        <f>$O$744*$AA$744</f>
        <v>17562.899019787907</v>
      </c>
    </row>
    <row r="745" spans="1:33" ht="11.25" customHeight="1" x14ac:dyDescent="0.25">
      <c r="A745" s="3" t="s">
        <v>21</v>
      </c>
      <c r="B745" s="3" t="s">
        <v>41</v>
      </c>
      <c r="C745" s="3" t="s">
        <v>42</v>
      </c>
      <c r="D745" s="3" t="s">
        <v>52</v>
      </c>
      <c r="E745" s="3" t="s">
        <v>25</v>
      </c>
      <c r="F745" s="3" t="s">
        <v>25</v>
      </c>
      <c r="G745" s="3" t="s">
        <v>25</v>
      </c>
      <c r="H745" s="3" t="s">
        <v>35</v>
      </c>
      <c r="I745" s="6">
        <v>44593</v>
      </c>
      <c r="J745" s="4">
        <v>0</v>
      </c>
      <c r="K745" s="4">
        <v>0</v>
      </c>
      <c r="L745" s="4">
        <v>77.076999999999998</v>
      </c>
      <c r="M745" s="4">
        <v>77.076999999999998</v>
      </c>
      <c r="N745" s="4">
        <v>77.076999999999998</v>
      </c>
      <c r="O745" s="4">
        <v>77.076999999999998</v>
      </c>
      <c r="P745" s="4">
        <v>0</v>
      </c>
      <c r="Q745" s="3" t="s">
        <v>26</v>
      </c>
      <c r="R745" s="3">
        <v>0</v>
      </c>
      <c r="S745" s="4">
        <v>0</v>
      </c>
      <c r="T745" s="4">
        <v>21</v>
      </c>
      <c r="U745" s="4">
        <v>89</v>
      </c>
      <c r="V745" s="4">
        <f>IF(ISERROR(VLOOKUP($S$745,'TAR FIN'!$A$1:$O$113,15,0)),0,VLOOKUP($S$745,'TAR FIN'!$A$1:$O$113,15,0))</f>
        <v>0</v>
      </c>
      <c r="W745" s="4">
        <f>IF(ISERROR(VLOOKUP($T$745,'TAR FIN'!$A$1:$O$113,15,0)),0,VLOOKUP($T$745,'TAR FIN'!$A$1:$O$113,15,0))</f>
        <v>51.27</v>
      </c>
      <c r="X745" s="4">
        <f>IF(ISERROR(VLOOKUP($U$745,'TAR FIN'!$A$1:$O$113,15,0)),0,VLOOKUP($U$745,'TAR FIN'!$A$1:$O$113,15,0))</f>
        <v>222.31</v>
      </c>
      <c r="Y745" s="4"/>
      <c r="Z745" s="4">
        <f ca="1">('TUSD BE'!$AM$32+'TUSD BF'!$AM$32+'TUSD CVA'!$AM$32)*1</f>
        <v>65.007409626508434</v>
      </c>
      <c r="AA745" s="4">
        <f>('TE BE'!$AA$11+'TE BF'!$AA$11+'TE CVA'!$AA$11)*1</f>
        <v>223.14561812044704</v>
      </c>
      <c r="AB745" s="4">
        <f>$K$745*$V$745</f>
        <v>0</v>
      </c>
      <c r="AC745" s="4">
        <f>$M$745*$W$745</f>
        <v>3951.7377900000001</v>
      </c>
      <c r="AD745" s="4">
        <f>$O$745*$X$745</f>
        <v>17134.987870000001</v>
      </c>
      <c r="AE745" s="4">
        <f>$K$745*$Y$745</f>
        <v>0</v>
      </c>
      <c r="AF745" s="4">
        <f ca="1">$M$745*$Z$745</f>
        <v>5010.5761117823904</v>
      </c>
      <c r="AG745" s="4">
        <f>$O$745*$AA$745</f>
        <v>17199.394807869696</v>
      </c>
    </row>
    <row r="746" spans="1:33" ht="11.25" customHeight="1" x14ac:dyDescent="0.25">
      <c r="A746" s="3" t="s">
        <v>56</v>
      </c>
      <c r="B746" s="3" t="s">
        <v>41</v>
      </c>
      <c r="C746" s="3" t="s">
        <v>42</v>
      </c>
      <c r="D746" s="3" t="s">
        <v>52</v>
      </c>
      <c r="E746" s="3" t="s">
        <v>25</v>
      </c>
      <c r="F746" s="3" t="s">
        <v>25</v>
      </c>
      <c r="G746" s="3" t="s">
        <v>25</v>
      </c>
      <c r="H746" s="3" t="s">
        <v>35</v>
      </c>
      <c r="I746" s="6">
        <v>44621</v>
      </c>
      <c r="J746" s="4">
        <v>0</v>
      </c>
      <c r="K746" s="4">
        <v>0</v>
      </c>
      <c r="L746" s="4">
        <v>77.076999999999998</v>
      </c>
      <c r="M746" s="4">
        <v>77.076999999999998</v>
      </c>
      <c r="N746" s="4">
        <v>77.076999999999998</v>
      </c>
      <c r="O746" s="4">
        <v>77.076999999999998</v>
      </c>
      <c r="P746" s="4">
        <v>0</v>
      </c>
      <c r="Q746" s="3" t="s">
        <v>26</v>
      </c>
      <c r="R746" s="3">
        <v>0</v>
      </c>
      <c r="S746" s="4">
        <v>0</v>
      </c>
      <c r="T746" s="4">
        <v>21</v>
      </c>
      <c r="U746" s="4">
        <v>89</v>
      </c>
      <c r="V746" s="4">
        <f>IF(ISERROR(VLOOKUP($S$746,'TAR FIN'!$A$1:$O$113,15,0)),0,VLOOKUP($S$746,'TAR FIN'!$A$1:$O$113,15,0))</f>
        <v>0</v>
      </c>
      <c r="W746" s="4">
        <f>IF(ISERROR(VLOOKUP($T$746,'TAR FIN'!$A$1:$O$113,15,0)),0,VLOOKUP($T$746,'TAR FIN'!$A$1:$O$113,15,0))</f>
        <v>51.27</v>
      </c>
      <c r="X746" s="4">
        <f>IF(ISERROR(VLOOKUP($U$746,'TAR FIN'!$A$1:$O$113,15,0)),0,VLOOKUP($U$746,'TAR FIN'!$A$1:$O$113,15,0))</f>
        <v>222.31</v>
      </c>
      <c r="Y746" s="4"/>
      <c r="Z746" s="4">
        <f ca="1">('TUSD BE'!$AM$32+'TUSD BF'!$AM$32+'TUSD CVA'!$AM$32)*1</f>
        <v>65.007409626508434</v>
      </c>
      <c r="AA746" s="4">
        <f>('TE BE'!$AA$11+'TE BF'!$AA$11+'TE CVA'!$AA$11)*1</f>
        <v>223.14561812044704</v>
      </c>
      <c r="AB746" s="4">
        <f>$K$746*$V$746</f>
        <v>0</v>
      </c>
      <c r="AC746" s="4">
        <f>$M$746*$W$746</f>
        <v>3951.7377900000001</v>
      </c>
      <c r="AD746" s="4">
        <f>$O$746*$X$746</f>
        <v>17134.987870000001</v>
      </c>
      <c r="AE746" s="4">
        <f>$K$746*$Y$746</f>
        <v>0</v>
      </c>
      <c r="AF746" s="4">
        <f ca="1">$M$746*$Z$746</f>
        <v>5010.5761117823904</v>
      </c>
      <c r="AG746" s="4">
        <f>$O$746*$AA$746</f>
        <v>17199.394807869696</v>
      </c>
    </row>
    <row r="747" spans="1:33" ht="11.25" customHeight="1" x14ac:dyDescent="0.25">
      <c r="A747" s="3" t="s">
        <v>21</v>
      </c>
      <c r="B747" s="3" t="s">
        <v>41</v>
      </c>
      <c r="C747" s="3" t="s">
        <v>42</v>
      </c>
      <c r="D747" s="3" t="s">
        <v>52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44287</v>
      </c>
      <c r="J747" s="4">
        <v>410</v>
      </c>
      <c r="K747" s="4">
        <v>410</v>
      </c>
      <c r="L747" s="4">
        <v>0</v>
      </c>
      <c r="M747" s="4">
        <v>0</v>
      </c>
      <c r="N747" s="4">
        <v>0</v>
      </c>
      <c r="O747" s="4">
        <v>0</v>
      </c>
      <c r="P747" s="4">
        <v>1</v>
      </c>
      <c r="Q747" s="3" t="s">
        <v>26</v>
      </c>
      <c r="R747" s="3">
        <v>0</v>
      </c>
      <c r="S747" s="4">
        <v>44</v>
      </c>
      <c r="T747" s="4">
        <v>0</v>
      </c>
      <c r="U747" s="4">
        <v>0</v>
      </c>
      <c r="V747" s="4">
        <f>IF(ISERROR(VLOOKUP($S$747,'TAR FIN'!$A$1:$O$113,15,0)),0,VLOOKUP($S$747,'TAR FIN'!$A$1:$O$113,15,0))</f>
        <v>24.31</v>
      </c>
      <c r="W747" s="4">
        <f>IF(ISERROR(VLOOKUP($T$747,'TAR FIN'!$A$1:$O$113,15,0)),0,VLOOKUP($T$747,'TAR FIN'!$A$1:$O$113,15,0))</f>
        <v>0</v>
      </c>
      <c r="X747" s="4">
        <f>IF(ISERROR(VLOOKUP($U$747,'TAR FIN'!$A$1:$O$113,15,0)),0,VLOOKUP($U$747,'TAR FIN'!$A$1:$O$113,15,0))</f>
        <v>0</v>
      </c>
      <c r="Y747" s="4">
        <f ca="1">('TUSD BE'!$AM$30+'TUSD BF'!$AM$30+'TUSD CVA'!$AM$30)*1</f>
        <v>26.598074646640526</v>
      </c>
      <c r="Z747" s="4"/>
      <c r="AA747" s="4"/>
      <c r="AB747" s="4">
        <f>$K$747*$V$747</f>
        <v>9967.1</v>
      </c>
      <c r="AC747" s="4">
        <f>$M$747*$W$747</f>
        <v>0</v>
      </c>
      <c r="AD747" s="4">
        <f>$O$747*$X$747</f>
        <v>0</v>
      </c>
      <c r="AE747" s="4">
        <f ca="1">$K$747*$Y$747</f>
        <v>10905.210605122616</v>
      </c>
      <c r="AF747" s="4">
        <f>$M$747*$Z$747</f>
        <v>0</v>
      </c>
      <c r="AG747" s="4">
        <f>$O$747*$AA$747</f>
        <v>0</v>
      </c>
    </row>
    <row r="748" spans="1:33" ht="11.25" customHeight="1" x14ac:dyDescent="0.25">
      <c r="A748" s="3" t="s">
        <v>21</v>
      </c>
      <c r="B748" s="3" t="s">
        <v>41</v>
      </c>
      <c r="C748" s="3" t="s">
        <v>42</v>
      </c>
      <c r="D748" s="3" t="s">
        <v>52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44317</v>
      </c>
      <c r="J748" s="4">
        <v>410</v>
      </c>
      <c r="K748" s="4">
        <v>410</v>
      </c>
      <c r="L748" s="4">
        <v>0</v>
      </c>
      <c r="M748" s="4">
        <v>0</v>
      </c>
      <c r="N748" s="4">
        <v>0</v>
      </c>
      <c r="O748" s="4">
        <v>0</v>
      </c>
      <c r="P748" s="4">
        <v>1</v>
      </c>
      <c r="Q748" s="3" t="s">
        <v>26</v>
      </c>
      <c r="R748" s="3">
        <v>0</v>
      </c>
      <c r="S748" s="4">
        <v>44</v>
      </c>
      <c r="T748" s="4">
        <v>0</v>
      </c>
      <c r="U748" s="4">
        <v>0</v>
      </c>
      <c r="V748" s="4">
        <f>IF(ISERROR(VLOOKUP($S$748,'TAR FIN'!$A$1:$O$113,15,0)),0,VLOOKUP($S$748,'TAR FIN'!$A$1:$O$113,15,0))</f>
        <v>24.31</v>
      </c>
      <c r="W748" s="4">
        <f>IF(ISERROR(VLOOKUP($T$748,'TAR FIN'!$A$1:$O$113,15,0)),0,VLOOKUP($T$748,'TAR FIN'!$A$1:$O$113,15,0))</f>
        <v>0</v>
      </c>
      <c r="X748" s="4">
        <f>IF(ISERROR(VLOOKUP($U$748,'TAR FIN'!$A$1:$O$113,15,0)),0,VLOOKUP($U$748,'TAR FIN'!$A$1:$O$113,15,0))</f>
        <v>0</v>
      </c>
      <c r="Y748" s="4">
        <f ca="1">('TUSD BE'!$AM$30+'TUSD BF'!$AM$30+'TUSD CVA'!$AM$30)*1</f>
        <v>26.598074646640526</v>
      </c>
      <c r="Z748" s="4"/>
      <c r="AA748" s="4"/>
      <c r="AB748" s="4">
        <f>$K$748*$V$748</f>
        <v>9967.1</v>
      </c>
      <c r="AC748" s="4">
        <f>$M$748*$W$748</f>
        <v>0</v>
      </c>
      <c r="AD748" s="4">
        <f>$O$748*$X$748</f>
        <v>0</v>
      </c>
      <c r="AE748" s="4">
        <f ca="1">$K$748*$Y$748</f>
        <v>10905.210605122616</v>
      </c>
      <c r="AF748" s="4">
        <f>$M$748*$Z$748</f>
        <v>0</v>
      </c>
      <c r="AG748" s="4">
        <f>$O$748*$AA$748</f>
        <v>0</v>
      </c>
    </row>
    <row r="749" spans="1:33" ht="11.25" customHeight="1" x14ac:dyDescent="0.25">
      <c r="A749" s="3" t="s">
        <v>21</v>
      </c>
      <c r="B749" s="3" t="s">
        <v>41</v>
      </c>
      <c r="C749" s="3" t="s">
        <v>42</v>
      </c>
      <c r="D749" s="3" t="s">
        <v>52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44348</v>
      </c>
      <c r="J749" s="4">
        <v>410</v>
      </c>
      <c r="K749" s="4">
        <v>410</v>
      </c>
      <c r="L749" s="4">
        <v>0</v>
      </c>
      <c r="M749" s="4">
        <v>0</v>
      </c>
      <c r="N749" s="4">
        <v>0</v>
      </c>
      <c r="O749" s="4">
        <v>0</v>
      </c>
      <c r="P749" s="4">
        <v>1</v>
      </c>
      <c r="Q749" s="3" t="s">
        <v>26</v>
      </c>
      <c r="R749" s="3">
        <v>0</v>
      </c>
      <c r="S749" s="4">
        <v>44</v>
      </c>
      <c r="T749" s="4">
        <v>0</v>
      </c>
      <c r="U749" s="4">
        <v>0</v>
      </c>
      <c r="V749" s="4">
        <f>IF(ISERROR(VLOOKUP($S$749,'TAR FIN'!$A$1:$O$113,15,0)),0,VLOOKUP($S$749,'TAR FIN'!$A$1:$O$113,15,0))</f>
        <v>24.31</v>
      </c>
      <c r="W749" s="4">
        <f>IF(ISERROR(VLOOKUP($T$749,'TAR FIN'!$A$1:$O$113,15,0)),0,VLOOKUP($T$749,'TAR FIN'!$A$1:$O$113,15,0))</f>
        <v>0</v>
      </c>
      <c r="X749" s="4">
        <f>IF(ISERROR(VLOOKUP($U$749,'TAR FIN'!$A$1:$O$113,15,0)),0,VLOOKUP($U$749,'TAR FIN'!$A$1:$O$113,15,0))</f>
        <v>0</v>
      </c>
      <c r="Y749" s="4">
        <f ca="1">('TUSD BE'!$AM$30+'TUSD BF'!$AM$30+'TUSD CVA'!$AM$30)*1</f>
        <v>26.598074646640526</v>
      </c>
      <c r="Z749" s="4"/>
      <c r="AA749" s="4"/>
      <c r="AB749" s="4">
        <f>$K$749*$V$749</f>
        <v>9967.1</v>
      </c>
      <c r="AC749" s="4">
        <f>$M$749*$W$749</f>
        <v>0</v>
      </c>
      <c r="AD749" s="4">
        <f>$O$749*$X$749</f>
        <v>0</v>
      </c>
      <c r="AE749" s="4">
        <f ca="1">$K$749*$Y$749</f>
        <v>10905.210605122616</v>
      </c>
      <c r="AF749" s="4">
        <f>$M$749*$Z$749</f>
        <v>0</v>
      </c>
      <c r="AG749" s="4">
        <f>$O$749*$AA$749</f>
        <v>0</v>
      </c>
    </row>
    <row r="750" spans="1:33" ht="11.25" customHeight="1" x14ac:dyDescent="0.25">
      <c r="A750" s="3" t="s">
        <v>21</v>
      </c>
      <c r="B750" s="3" t="s">
        <v>41</v>
      </c>
      <c r="C750" s="3" t="s">
        <v>42</v>
      </c>
      <c r="D750" s="3" t="s">
        <v>52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44378</v>
      </c>
      <c r="J750" s="4">
        <v>410</v>
      </c>
      <c r="K750" s="4">
        <v>410</v>
      </c>
      <c r="L750" s="4">
        <v>0</v>
      </c>
      <c r="M750" s="4">
        <v>0</v>
      </c>
      <c r="N750" s="4">
        <v>0</v>
      </c>
      <c r="O750" s="4">
        <v>0</v>
      </c>
      <c r="P750" s="4">
        <v>1</v>
      </c>
      <c r="Q750" s="3" t="s">
        <v>26</v>
      </c>
      <c r="R750" s="3">
        <v>0</v>
      </c>
      <c r="S750" s="4">
        <v>44</v>
      </c>
      <c r="T750" s="4">
        <v>0</v>
      </c>
      <c r="U750" s="4">
        <v>0</v>
      </c>
      <c r="V750" s="4">
        <f>IF(ISERROR(VLOOKUP($S$750,'TAR FIN'!$A$1:$O$113,15,0)),0,VLOOKUP($S$750,'TAR FIN'!$A$1:$O$113,15,0))</f>
        <v>24.31</v>
      </c>
      <c r="W750" s="4">
        <f>IF(ISERROR(VLOOKUP($T$750,'TAR FIN'!$A$1:$O$113,15,0)),0,VLOOKUP($T$750,'TAR FIN'!$A$1:$O$113,15,0))</f>
        <v>0</v>
      </c>
      <c r="X750" s="4">
        <f>IF(ISERROR(VLOOKUP($U$750,'TAR FIN'!$A$1:$O$113,15,0)),0,VLOOKUP($U$750,'TAR FIN'!$A$1:$O$113,15,0))</f>
        <v>0</v>
      </c>
      <c r="Y750" s="4">
        <f ca="1">('TUSD BE'!$AM$30+'TUSD BF'!$AM$30+'TUSD CVA'!$AM$30)*1</f>
        <v>26.598074646640526</v>
      </c>
      <c r="Z750" s="4"/>
      <c r="AA750" s="4"/>
      <c r="AB750" s="4">
        <f>$K$750*$V$750</f>
        <v>9967.1</v>
      </c>
      <c r="AC750" s="4">
        <f>$M$750*$W$750</f>
        <v>0</v>
      </c>
      <c r="AD750" s="4">
        <f>$O$750*$X$750</f>
        <v>0</v>
      </c>
      <c r="AE750" s="4">
        <f ca="1">$K$750*$Y$750</f>
        <v>10905.210605122616</v>
      </c>
      <c r="AF750" s="4">
        <f>$M$750*$Z$750</f>
        <v>0</v>
      </c>
      <c r="AG750" s="4">
        <f>$O$750*$AA$750</f>
        <v>0</v>
      </c>
    </row>
    <row r="751" spans="1:33" ht="11.25" customHeight="1" x14ac:dyDescent="0.25">
      <c r="A751" s="3" t="s">
        <v>21</v>
      </c>
      <c r="B751" s="3" t="s">
        <v>41</v>
      </c>
      <c r="C751" s="3" t="s">
        <v>42</v>
      </c>
      <c r="D751" s="3" t="s">
        <v>52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44409</v>
      </c>
      <c r="J751" s="4">
        <v>410</v>
      </c>
      <c r="K751" s="4">
        <v>410</v>
      </c>
      <c r="L751" s="4">
        <v>0</v>
      </c>
      <c r="M751" s="4">
        <v>0</v>
      </c>
      <c r="N751" s="4">
        <v>0</v>
      </c>
      <c r="O751" s="4">
        <v>0</v>
      </c>
      <c r="P751" s="4">
        <v>1</v>
      </c>
      <c r="Q751" s="3" t="s">
        <v>26</v>
      </c>
      <c r="R751" s="3">
        <v>0</v>
      </c>
      <c r="S751" s="4">
        <v>44</v>
      </c>
      <c r="T751" s="4">
        <v>0</v>
      </c>
      <c r="U751" s="4">
        <v>0</v>
      </c>
      <c r="V751" s="4">
        <f>IF(ISERROR(VLOOKUP($S$751,'TAR FIN'!$A$1:$O$113,15,0)),0,VLOOKUP($S$751,'TAR FIN'!$A$1:$O$113,15,0))</f>
        <v>24.31</v>
      </c>
      <c r="W751" s="4">
        <f>IF(ISERROR(VLOOKUP($T$751,'TAR FIN'!$A$1:$O$113,15,0)),0,VLOOKUP($T$751,'TAR FIN'!$A$1:$O$113,15,0))</f>
        <v>0</v>
      </c>
      <c r="X751" s="4">
        <f>IF(ISERROR(VLOOKUP($U$751,'TAR FIN'!$A$1:$O$113,15,0)),0,VLOOKUP($U$751,'TAR FIN'!$A$1:$O$113,15,0))</f>
        <v>0</v>
      </c>
      <c r="Y751" s="4">
        <f ca="1">('TUSD BE'!$AM$30+'TUSD BF'!$AM$30+'TUSD CVA'!$AM$30)*1</f>
        <v>26.598074646640526</v>
      </c>
      <c r="Z751" s="4"/>
      <c r="AA751" s="4"/>
      <c r="AB751" s="4">
        <f>$K$751*$V$751</f>
        <v>9967.1</v>
      </c>
      <c r="AC751" s="4">
        <f>$M$751*$W$751</f>
        <v>0</v>
      </c>
      <c r="AD751" s="4">
        <f>$O$751*$X$751</f>
        <v>0</v>
      </c>
      <c r="AE751" s="4">
        <f ca="1">$K$751*$Y$751</f>
        <v>10905.210605122616</v>
      </c>
      <c r="AF751" s="4">
        <f>$M$751*$Z$751</f>
        <v>0</v>
      </c>
      <c r="AG751" s="4">
        <f>$O$751*$AA$751</f>
        <v>0</v>
      </c>
    </row>
    <row r="752" spans="1:33" ht="11.25" customHeight="1" x14ac:dyDescent="0.25">
      <c r="A752" s="3" t="s">
        <v>21</v>
      </c>
      <c r="B752" s="3" t="s">
        <v>41</v>
      </c>
      <c r="C752" s="3" t="s">
        <v>42</v>
      </c>
      <c r="D752" s="3" t="s">
        <v>52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44440</v>
      </c>
      <c r="J752" s="4">
        <v>410</v>
      </c>
      <c r="K752" s="4">
        <v>410</v>
      </c>
      <c r="L752" s="4">
        <v>0</v>
      </c>
      <c r="M752" s="4">
        <v>0</v>
      </c>
      <c r="N752" s="4">
        <v>0</v>
      </c>
      <c r="O752" s="4">
        <v>0</v>
      </c>
      <c r="P752" s="4">
        <v>1</v>
      </c>
      <c r="Q752" s="3" t="s">
        <v>26</v>
      </c>
      <c r="R752" s="3">
        <v>0</v>
      </c>
      <c r="S752" s="4">
        <v>44</v>
      </c>
      <c r="T752" s="4">
        <v>0</v>
      </c>
      <c r="U752" s="4">
        <v>0</v>
      </c>
      <c r="V752" s="4">
        <f>IF(ISERROR(VLOOKUP($S$752,'TAR FIN'!$A$1:$O$113,15,0)),0,VLOOKUP($S$752,'TAR FIN'!$A$1:$O$113,15,0))</f>
        <v>24.31</v>
      </c>
      <c r="W752" s="4">
        <f>IF(ISERROR(VLOOKUP($T$752,'TAR FIN'!$A$1:$O$113,15,0)),0,VLOOKUP($T$752,'TAR FIN'!$A$1:$O$113,15,0))</f>
        <v>0</v>
      </c>
      <c r="X752" s="4">
        <f>IF(ISERROR(VLOOKUP($U$752,'TAR FIN'!$A$1:$O$113,15,0)),0,VLOOKUP($U$752,'TAR FIN'!$A$1:$O$113,15,0))</f>
        <v>0</v>
      </c>
      <c r="Y752" s="4">
        <f ca="1">('TUSD BE'!$AM$30+'TUSD BF'!$AM$30+'TUSD CVA'!$AM$30)*1</f>
        <v>26.598074646640526</v>
      </c>
      <c r="Z752" s="4"/>
      <c r="AA752" s="4"/>
      <c r="AB752" s="4">
        <f>$K$752*$V$752</f>
        <v>9967.1</v>
      </c>
      <c r="AC752" s="4">
        <f>$M$752*$W$752</f>
        <v>0</v>
      </c>
      <c r="AD752" s="4">
        <f>$O$752*$X$752</f>
        <v>0</v>
      </c>
      <c r="AE752" s="4">
        <f ca="1">$K$752*$Y$752</f>
        <v>10905.210605122616</v>
      </c>
      <c r="AF752" s="4">
        <f>$M$752*$Z$752</f>
        <v>0</v>
      </c>
      <c r="AG752" s="4">
        <f>$O$752*$AA$752</f>
        <v>0</v>
      </c>
    </row>
    <row r="753" spans="1:33" ht="11.25" customHeight="1" x14ac:dyDescent="0.25">
      <c r="A753" s="3" t="s">
        <v>21</v>
      </c>
      <c r="B753" s="3" t="s">
        <v>41</v>
      </c>
      <c r="C753" s="3" t="s">
        <v>42</v>
      </c>
      <c r="D753" s="3" t="s">
        <v>52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44470</v>
      </c>
      <c r="J753" s="4">
        <v>410</v>
      </c>
      <c r="K753" s="4">
        <v>410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3" t="s">
        <v>26</v>
      </c>
      <c r="R753" s="3">
        <v>0</v>
      </c>
      <c r="S753" s="4">
        <v>44</v>
      </c>
      <c r="T753" s="4">
        <v>0</v>
      </c>
      <c r="U753" s="4">
        <v>0</v>
      </c>
      <c r="V753" s="4">
        <f>IF(ISERROR(VLOOKUP($S$753,'TAR FIN'!$A$1:$O$113,15,0)),0,VLOOKUP($S$753,'TAR FIN'!$A$1:$O$113,15,0))</f>
        <v>24.31</v>
      </c>
      <c r="W753" s="4">
        <f>IF(ISERROR(VLOOKUP($T$753,'TAR FIN'!$A$1:$O$113,15,0)),0,VLOOKUP($T$753,'TAR FIN'!$A$1:$O$113,15,0))</f>
        <v>0</v>
      </c>
      <c r="X753" s="4">
        <f>IF(ISERROR(VLOOKUP($U$753,'TAR FIN'!$A$1:$O$113,15,0)),0,VLOOKUP($U$753,'TAR FIN'!$A$1:$O$113,15,0))</f>
        <v>0</v>
      </c>
      <c r="Y753" s="4">
        <f ca="1">('TUSD BE'!$AM$30+'TUSD BF'!$AM$30+'TUSD CVA'!$AM$30)*1</f>
        <v>26.598074646640526</v>
      </c>
      <c r="Z753" s="4"/>
      <c r="AA753" s="4"/>
      <c r="AB753" s="4">
        <f>$K$753*$V$753</f>
        <v>9967.1</v>
      </c>
      <c r="AC753" s="4">
        <f>$M$753*$W$753</f>
        <v>0</v>
      </c>
      <c r="AD753" s="4">
        <f>$O$753*$X$753</f>
        <v>0</v>
      </c>
      <c r="AE753" s="4">
        <f ca="1">$K$753*$Y$753</f>
        <v>10905.210605122616</v>
      </c>
      <c r="AF753" s="4">
        <f>$M$753*$Z$753</f>
        <v>0</v>
      </c>
      <c r="AG753" s="4">
        <f>$O$753*$AA$753</f>
        <v>0</v>
      </c>
    </row>
    <row r="754" spans="1:33" ht="11.25" customHeight="1" x14ac:dyDescent="0.25">
      <c r="A754" s="3" t="s">
        <v>21</v>
      </c>
      <c r="B754" s="3" t="s">
        <v>41</v>
      </c>
      <c r="C754" s="3" t="s">
        <v>42</v>
      </c>
      <c r="D754" s="3" t="s">
        <v>52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44501</v>
      </c>
      <c r="J754" s="4">
        <v>410</v>
      </c>
      <c r="K754" s="4">
        <v>410</v>
      </c>
      <c r="L754" s="4">
        <v>0</v>
      </c>
      <c r="M754" s="4">
        <v>0</v>
      </c>
      <c r="N754" s="4">
        <v>0</v>
      </c>
      <c r="O754" s="4">
        <v>0</v>
      </c>
      <c r="P754" s="4">
        <v>1</v>
      </c>
      <c r="Q754" s="3" t="s">
        <v>26</v>
      </c>
      <c r="R754" s="3">
        <v>0</v>
      </c>
      <c r="S754" s="4">
        <v>44</v>
      </c>
      <c r="T754" s="4">
        <v>0</v>
      </c>
      <c r="U754" s="4">
        <v>0</v>
      </c>
      <c r="V754" s="4">
        <f>IF(ISERROR(VLOOKUP($S$754,'TAR FIN'!$A$1:$O$113,15,0)),0,VLOOKUP($S$754,'TAR FIN'!$A$1:$O$113,15,0))</f>
        <v>24.31</v>
      </c>
      <c r="W754" s="4">
        <f>IF(ISERROR(VLOOKUP($T$754,'TAR FIN'!$A$1:$O$113,15,0)),0,VLOOKUP($T$754,'TAR FIN'!$A$1:$O$113,15,0))</f>
        <v>0</v>
      </c>
      <c r="X754" s="4">
        <f>IF(ISERROR(VLOOKUP($U$754,'TAR FIN'!$A$1:$O$113,15,0)),0,VLOOKUP($U$754,'TAR FIN'!$A$1:$O$113,15,0))</f>
        <v>0</v>
      </c>
      <c r="Y754" s="4">
        <f ca="1">('TUSD BE'!$AM$30+'TUSD BF'!$AM$30+'TUSD CVA'!$AM$30)*1</f>
        <v>26.598074646640526</v>
      </c>
      <c r="Z754" s="4"/>
      <c r="AA754" s="4"/>
      <c r="AB754" s="4">
        <f>$K$754*$V$754</f>
        <v>9967.1</v>
      </c>
      <c r="AC754" s="4">
        <f>$M$754*$W$754</f>
        <v>0</v>
      </c>
      <c r="AD754" s="4">
        <f>$O$754*$X$754</f>
        <v>0</v>
      </c>
      <c r="AE754" s="4">
        <f ca="1">$K$754*$Y$754</f>
        <v>10905.210605122616</v>
      </c>
      <c r="AF754" s="4">
        <f>$M$754*$Z$754</f>
        <v>0</v>
      </c>
      <c r="AG754" s="4">
        <f>$O$754*$AA$754</f>
        <v>0</v>
      </c>
    </row>
    <row r="755" spans="1:33" ht="11.25" customHeight="1" x14ac:dyDescent="0.25">
      <c r="A755" s="3" t="s">
        <v>21</v>
      </c>
      <c r="B755" s="3" t="s">
        <v>41</v>
      </c>
      <c r="C755" s="3" t="s">
        <v>42</v>
      </c>
      <c r="D755" s="3" t="s">
        <v>52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44531</v>
      </c>
      <c r="J755" s="4">
        <v>410</v>
      </c>
      <c r="K755" s="4">
        <v>410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3" t="s">
        <v>26</v>
      </c>
      <c r="R755" s="3">
        <v>0</v>
      </c>
      <c r="S755" s="4">
        <v>44</v>
      </c>
      <c r="T755" s="4">
        <v>0</v>
      </c>
      <c r="U755" s="4">
        <v>0</v>
      </c>
      <c r="V755" s="4">
        <f>IF(ISERROR(VLOOKUP($S$755,'TAR FIN'!$A$1:$O$113,15,0)),0,VLOOKUP($S$755,'TAR FIN'!$A$1:$O$113,15,0))</f>
        <v>24.31</v>
      </c>
      <c r="W755" s="4">
        <f>IF(ISERROR(VLOOKUP($T$755,'TAR FIN'!$A$1:$O$113,15,0)),0,VLOOKUP($T$755,'TAR FIN'!$A$1:$O$113,15,0))</f>
        <v>0</v>
      </c>
      <c r="X755" s="4">
        <f>IF(ISERROR(VLOOKUP($U$755,'TAR FIN'!$A$1:$O$113,15,0)),0,VLOOKUP($U$755,'TAR FIN'!$A$1:$O$113,15,0))</f>
        <v>0</v>
      </c>
      <c r="Y755" s="4">
        <f ca="1">('TUSD BE'!$AM$30+'TUSD BF'!$AM$30+'TUSD CVA'!$AM$30)*1</f>
        <v>26.598074646640526</v>
      </c>
      <c r="Z755" s="4"/>
      <c r="AA755" s="4"/>
      <c r="AB755" s="4">
        <f>$K$755*$V$755</f>
        <v>9967.1</v>
      </c>
      <c r="AC755" s="4">
        <f>$M$755*$W$755</f>
        <v>0</v>
      </c>
      <c r="AD755" s="4">
        <f>$O$755*$X$755</f>
        <v>0</v>
      </c>
      <c r="AE755" s="4">
        <f ca="1">$K$755*$Y$755</f>
        <v>10905.210605122616</v>
      </c>
      <c r="AF755" s="4">
        <f>$M$755*$Z$755</f>
        <v>0</v>
      </c>
      <c r="AG755" s="4">
        <f>$O$755*$AA$755</f>
        <v>0</v>
      </c>
    </row>
    <row r="756" spans="1:33" ht="11.25" customHeight="1" x14ac:dyDescent="0.25">
      <c r="A756" s="3" t="s">
        <v>21</v>
      </c>
      <c r="B756" s="3" t="s">
        <v>41</v>
      </c>
      <c r="C756" s="3" t="s">
        <v>42</v>
      </c>
      <c r="D756" s="3" t="s">
        <v>52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44562</v>
      </c>
      <c r="J756" s="4">
        <v>410</v>
      </c>
      <c r="K756" s="4">
        <v>410</v>
      </c>
      <c r="L756" s="4">
        <v>0</v>
      </c>
      <c r="M756" s="4">
        <v>0</v>
      </c>
      <c r="N756" s="4">
        <v>0</v>
      </c>
      <c r="O756" s="4">
        <v>0</v>
      </c>
      <c r="P756" s="4">
        <v>1</v>
      </c>
      <c r="Q756" s="3" t="s">
        <v>26</v>
      </c>
      <c r="R756" s="3">
        <v>0</v>
      </c>
      <c r="S756" s="4">
        <v>44</v>
      </c>
      <c r="T756" s="4">
        <v>0</v>
      </c>
      <c r="U756" s="4">
        <v>0</v>
      </c>
      <c r="V756" s="4">
        <f>IF(ISERROR(VLOOKUP($S$756,'TAR FIN'!$A$1:$O$113,15,0)),0,VLOOKUP($S$756,'TAR FIN'!$A$1:$O$113,15,0))</f>
        <v>24.31</v>
      </c>
      <c r="W756" s="4">
        <f>IF(ISERROR(VLOOKUP($T$756,'TAR FIN'!$A$1:$O$113,15,0)),0,VLOOKUP($T$756,'TAR FIN'!$A$1:$O$113,15,0))</f>
        <v>0</v>
      </c>
      <c r="X756" s="4">
        <f>IF(ISERROR(VLOOKUP($U$756,'TAR FIN'!$A$1:$O$113,15,0)),0,VLOOKUP($U$756,'TAR FIN'!$A$1:$O$113,15,0))</f>
        <v>0</v>
      </c>
      <c r="Y756" s="4">
        <f ca="1">('TUSD BE'!$AM$30+'TUSD BF'!$AM$30+'TUSD CVA'!$AM$30)*1</f>
        <v>26.598074646640526</v>
      </c>
      <c r="Z756" s="4"/>
      <c r="AA756" s="4"/>
      <c r="AB756" s="4">
        <f>$K$756*$V$756</f>
        <v>9967.1</v>
      </c>
      <c r="AC756" s="4">
        <f>$M$756*$W$756</f>
        <v>0</v>
      </c>
      <c r="AD756" s="4">
        <f>$O$756*$X$756</f>
        <v>0</v>
      </c>
      <c r="AE756" s="4">
        <f ca="1">$K$756*$Y$756</f>
        <v>10905.210605122616</v>
      </c>
      <c r="AF756" s="4">
        <f>$M$756*$Z$756</f>
        <v>0</v>
      </c>
      <c r="AG756" s="4">
        <f>$O$756*$AA$756</f>
        <v>0</v>
      </c>
    </row>
    <row r="757" spans="1:33" ht="11.25" customHeight="1" x14ac:dyDescent="0.25">
      <c r="A757" s="3" t="s">
        <v>21</v>
      </c>
      <c r="B757" s="3" t="s">
        <v>41</v>
      </c>
      <c r="C757" s="3" t="s">
        <v>42</v>
      </c>
      <c r="D757" s="3" t="s">
        <v>52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44593</v>
      </c>
      <c r="J757" s="4">
        <v>410</v>
      </c>
      <c r="K757" s="4">
        <v>410</v>
      </c>
      <c r="L757" s="4">
        <v>0</v>
      </c>
      <c r="M757" s="4">
        <v>0</v>
      </c>
      <c r="N757" s="4">
        <v>0</v>
      </c>
      <c r="O757" s="4">
        <v>0</v>
      </c>
      <c r="P757" s="4">
        <v>1</v>
      </c>
      <c r="Q757" s="3" t="s">
        <v>26</v>
      </c>
      <c r="R757" s="3">
        <v>0</v>
      </c>
      <c r="S757" s="4">
        <v>44</v>
      </c>
      <c r="T757" s="4">
        <v>0</v>
      </c>
      <c r="U757" s="4">
        <v>0</v>
      </c>
      <c r="V757" s="4">
        <f>IF(ISERROR(VLOOKUP($S$757,'TAR FIN'!$A$1:$O$113,15,0)),0,VLOOKUP($S$757,'TAR FIN'!$A$1:$O$113,15,0))</f>
        <v>24.31</v>
      </c>
      <c r="W757" s="4">
        <f>IF(ISERROR(VLOOKUP($T$757,'TAR FIN'!$A$1:$O$113,15,0)),0,VLOOKUP($T$757,'TAR FIN'!$A$1:$O$113,15,0))</f>
        <v>0</v>
      </c>
      <c r="X757" s="4">
        <f>IF(ISERROR(VLOOKUP($U$757,'TAR FIN'!$A$1:$O$113,15,0)),0,VLOOKUP($U$757,'TAR FIN'!$A$1:$O$113,15,0))</f>
        <v>0</v>
      </c>
      <c r="Y757" s="4">
        <f ca="1">('TUSD BE'!$AM$30+'TUSD BF'!$AM$30+'TUSD CVA'!$AM$30)*1</f>
        <v>26.598074646640526</v>
      </c>
      <c r="Z757" s="4"/>
      <c r="AA757" s="4"/>
      <c r="AB757" s="4">
        <f>$K$757*$V$757</f>
        <v>9967.1</v>
      </c>
      <c r="AC757" s="4">
        <f>$M$757*$W$757</f>
        <v>0</v>
      </c>
      <c r="AD757" s="4">
        <f>$O$757*$X$757</f>
        <v>0</v>
      </c>
      <c r="AE757" s="4">
        <f ca="1">$K$757*$Y$757</f>
        <v>10905.210605122616</v>
      </c>
      <c r="AF757" s="4">
        <f>$M$757*$Z$757</f>
        <v>0</v>
      </c>
      <c r="AG757" s="4">
        <f>$O$757*$AA$757</f>
        <v>0</v>
      </c>
    </row>
    <row r="758" spans="1:33" ht="11.25" customHeight="1" x14ac:dyDescent="0.25">
      <c r="A758" s="3" t="s">
        <v>56</v>
      </c>
      <c r="B758" s="3" t="s">
        <v>41</v>
      </c>
      <c r="C758" s="3" t="s">
        <v>42</v>
      </c>
      <c r="D758" s="3" t="s">
        <v>52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44621</v>
      </c>
      <c r="J758" s="4">
        <v>410</v>
      </c>
      <c r="K758" s="4">
        <v>410</v>
      </c>
      <c r="L758" s="4">
        <v>0</v>
      </c>
      <c r="M758" s="4">
        <v>0</v>
      </c>
      <c r="N758" s="4">
        <v>0</v>
      </c>
      <c r="O758" s="4">
        <v>0</v>
      </c>
      <c r="P758" s="4">
        <v>1</v>
      </c>
      <c r="Q758" s="3" t="s">
        <v>26</v>
      </c>
      <c r="R758" s="3">
        <v>0</v>
      </c>
      <c r="S758" s="4">
        <v>44</v>
      </c>
      <c r="T758" s="4">
        <v>0</v>
      </c>
      <c r="U758" s="4">
        <v>0</v>
      </c>
      <c r="V758" s="4">
        <f>IF(ISERROR(VLOOKUP($S$758,'TAR FIN'!$A$1:$O$113,15,0)),0,VLOOKUP($S$758,'TAR FIN'!$A$1:$O$113,15,0))</f>
        <v>24.31</v>
      </c>
      <c r="W758" s="4">
        <f>IF(ISERROR(VLOOKUP($T$758,'TAR FIN'!$A$1:$O$113,15,0)),0,VLOOKUP($T$758,'TAR FIN'!$A$1:$O$113,15,0))</f>
        <v>0</v>
      </c>
      <c r="X758" s="4">
        <f>IF(ISERROR(VLOOKUP($U$758,'TAR FIN'!$A$1:$O$113,15,0)),0,VLOOKUP($U$758,'TAR FIN'!$A$1:$O$113,15,0))</f>
        <v>0</v>
      </c>
      <c r="Y758" s="4">
        <f ca="1">('TUSD BE'!$AM$30+'TUSD BF'!$AM$30+'TUSD CVA'!$AM$30)*1</f>
        <v>26.598074646640526</v>
      </c>
      <c r="Z758" s="4"/>
      <c r="AA758" s="4"/>
      <c r="AB758" s="4">
        <f>$K$758*$V$758</f>
        <v>9967.1</v>
      </c>
      <c r="AC758" s="4">
        <f>$M$758*$W$758</f>
        <v>0</v>
      </c>
      <c r="AD758" s="4">
        <f>$O$758*$X$758</f>
        <v>0</v>
      </c>
      <c r="AE758" s="4">
        <f ca="1">$K$758*$Y$758</f>
        <v>10905.210605122616</v>
      </c>
      <c r="AF758" s="4">
        <f>$M$758*$Z$758</f>
        <v>0</v>
      </c>
      <c r="AG758" s="4">
        <f>$O$758*$AA$758</f>
        <v>0</v>
      </c>
    </row>
    <row r="759" spans="1:33" ht="11.25" customHeight="1" x14ac:dyDescent="0.25">
      <c r="A759" s="3" t="s">
        <v>21</v>
      </c>
      <c r="B759" s="3" t="s">
        <v>41</v>
      </c>
      <c r="C759" s="3" t="s">
        <v>42</v>
      </c>
      <c r="D759" s="3" t="s">
        <v>52</v>
      </c>
      <c r="E759" s="3" t="s">
        <v>25</v>
      </c>
      <c r="F759" s="3" t="s">
        <v>25</v>
      </c>
      <c r="G759" s="3" t="s">
        <v>25</v>
      </c>
      <c r="H759" s="3" t="s">
        <v>34</v>
      </c>
      <c r="I759" s="6">
        <v>44287</v>
      </c>
      <c r="J759" s="4">
        <v>0</v>
      </c>
      <c r="K759" s="4">
        <v>0</v>
      </c>
      <c r="L759" s="4">
        <v>7.35</v>
      </c>
      <c r="M759" s="4">
        <v>7.35</v>
      </c>
      <c r="N759" s="4">
        <v>7.35</v>
      </c>
      <c r="O759" s="4">
        <v>7.35</v>
      </c>
      <c r="P759" s="4">
        <v>0</v>
      </c>
      <c r="Q759" s="3" t="s">
        <v>26</v>
      </c>
      <c r="R759" s="3">
        <v>0</v>
      </c>
      <c r="S759" s="4">
        <v>0</v>
      </c>
      <c r="T759" s="4">
        <v>20</v>
      </c>
      <c r="U759" s="4">
        <v>88</v>
      </c>
      <c r="V759" s="4">
        <f>IF(ISERROR(VLOOKUP($S$759,'TAR FIN'!$A$1:$O$113,15,0)),0,VLOOKUP($S$759,'TAR FIN'!$A$1:$O$113,15,0))</f>
        <v>0</v>
      </c>
      <c r="W759" s="4">
        <f>IF(ISERROR(VLOOKUP($T$759,'TAR FIN'!$A$1:$O$113,15,0)),0,VLOOKUP($T$759,'TAR FIN'!$A$1:$O$113,15,0))</f>
        <v>1564.59</v>
      </c>
      <c r="X759" s="4">
        <f>IF(ISERROR(VLOOKUP($U$759,'TAR FIN'!$A$1:$O$113,15,0)),0,VLOOKUP($U$759,'TAR FIN'!$A$1:$O$113,15,0))</f>
        <v>365.5</v>
      </c>
      <c r="Y759" s="4"/>
      <c r="Z759" s="4">
        <f ca="1">('TUSD BE'!$AM$31+'TUSD BF'!$AM$31+'TUSD CVA'!$AM$31)*1</f>
        <v>1837.8896121132304</v>
      </c>
      <c r="AA759" s="4">
        <f>('TE BE'!$AA$10+'TE BF'!$AA$10+'TE CVA'!$AA$10)*1</f>
        <v>361.55013418411539</v>
      </c>
      <c r="AB759" s="4">
        <f>$K$759*$V$759</f>
        <v>0</v>
      </c>
      <c r="AC759" s="4">
        <f>$M$759*$W$759</f>
        <v>11499.736499999999</v>
      </c>
      <c r="AD759" s="4">
        <f>$O$759*$X$759</f>
        <v>2686.4249999999997</v>
      </c>
      <c r="AE759" s="4">
        <f>$K$759*$Y$759</f>
        <v>0</v>
      </c>
      <c r="AF759" s="4">
        <f ca="1">$M$759*$Z$759</f>
        <v>13508.488649032242</v>
      </c>
      <c r="AG759" s="4">
        <f>$O$759*$AA$759</f>
        <v>2657.3934862532478</v>
      </c>
    </row>
    <row r="760" spans="1:33" ht="11.25" customHeight="1" x14ac:dyDescent="0.25">
      <c r="A760" s="3" t="s">
        <v>21</v>
      </c>
      <c r="B760" s="3" t="s">
        <v>41</v>
      </c>
      <c r="C760" s="3" t="s">
        <v>42</v>
      </c>
      <c r="D760" s="3" t="s">
        <v>52</v>
      </c>
      <c r="E760" s="3" t="s">
        <v>25</v>
      </c>
      <c r="F760" s="3" t="s">
        <v>25</v>
      </c>
      <c r="G760" s="3" t="s">
        <v>25</v>
      </c>
      <c r="H760" s="3" t="s">
        <v>34</v>
      </c>
      <c r="I760" s="6">
        <v>44317</v>
      </c>
      <c r="J760" s="4">
        <v>0</v>
      </c>
      <c r="K760" s="4">
        <v>0</v>
      </c>
      <c r="L760" s="4">
        <v>6.3</v>
      </c>
      <c r="M760" s="4">
        <v>6.3</v>
      </c>
      <c r="N760" s="4">
        <v>6.3</v>
      </c>
      <c r="O760" s="4">
        <v>6.3</v>
      </c>
      <c r="P760" s="4">
        <v>0</v>
      </c>
      <c r="Q760" s="3" t="s">
        <v>26</v>
      </c>
      <c r="R760" s="3">
        <v>0</v>
      </c>
      <c r="S760" s="4">
        <v>0</v>
      </c>
      <c r="T760" s="4">
        <v>20</v>
      </c>
      <c r="U760" s="4">
        <v>88</v>
      </c>
      <c r="V760" s="4">
        <f>IF(ISERROR(VLOOKUP($S$760,'TAR FIN'!$A$1:$O$113,15,0)),0,VLOOKUP($S$760,'TAR FIN'!$A$1:$O$113,15,0))</f>
        <v>0</v>
      </c>
      <c r="W760" s="4">
        <f>IF(ISERROR(VLOOKUP($T$760,'TAR FIN'!$A$1:$O$113,15,0)),0,VLOOKUP($T$760,'TAR FIN'!$A$1:$O$113,15,0))</f>
        <v>1564.59</v>
      </c>
      <c r="X760" s="4">
        <f>IF(ISERROR(VLOOKUP($U$760,'TAR FIN'!$A$1:$O$113,15,0)),0,VLOOKUP($U$760,'TAR FIN'!$A$1:$O$113,15,0))</f>
        <v>365.5</v>
      </c>
      <c r="Y760" s="4"/>
      <c r="Z760" s="4">
        <f ca="1">('TUSD BE'!$AM$31+'TUSD BF'!$AM$31+'TUSD CVA'!$AM$31)*1</f>
        <v>1837.8896121132304</v>
      </c>
      <c r="AA760" s="4">
        <f>('TE BE'!$AA$10+'TE BF'!$AA$10+'TE CVA'!$AA$10)*1</f>
        <v>361.55013418411539</v>
      </c>
      <c r="AB760" s="4">
        <f>$K$760*$V$760</f>
        <v>0</v>
      </c>
      <c r="AC760" s="4">
        <f>$M$760*$W$760</f>
        <v>9856.9169999999995</v>
      </c>
      <c r="AD760" s="4">
        <f>$O$760*$X$760</f>
        <v>2302.65</v>
      </c>
      <c r="AE760" s="4">
        <f>$K$760*$Y$760</f>
        <v>0</v>
      </c>
      <c r="AF760" s="4">
        <f ca="1">$M$760*$Z$760</f>
        <v>11578.704556313351</v>
      </c>
      <c r="AG760" s="4">
        <f>$O$760*$AA$760</f>
        <v>2277.765845359927</v>
      </c>
    </row>
    <row r="761" spans="1:33" ht="11.25" customHeight="1" x14ac:dyDescent="0.25">
      <c r="A761" s="3" t="s">
        <v>21</v>
      </c>
      <c r="B761" s="3" t="s">
        <v>41</v>
      </c>
      <c r="C761" s="3" t="s">
        <v>42</v>
      </c>
      <c r="D761" s="3" t="s">
        <v>52</v>
      </c>
      <c r="E761" s="3" t="s">
        <v>25</v>
      </c>
      <c r="F761" s="3" t="s">
        <v>25</v>
      </c>
      <c r="G761" s="3" t="s">
        <v>25</v>
      </c>
      <c r="H761" s="3" t="s">
        <v>34</v>
      </c>
      <c r="I761" s="6">
        <v>44348</v>
      </c>
      <c r="J761" s="4">
        <v>0</v>
      </c>
      <c r="K761" s="4">
        <v>0</v>
      </c>
      <c r="L761" s="4">
        <v>5.95</v>
      </c>
      <c r="M761" s="4">
        <v>5.95</v>
      </c>
      <c r="N761" s="4">
        <v>5.95</v>
      </c>
      <c r="O761" s="4">
        <v>5.95</v>
      </c>
      <c r="P761" s="4">
        <v>0</v>
      </c>
      <c r="Q761" s="3" t="s">
        <v>26</v>
      </c>
      <c r="R761" s="3">
        <v>0</v>
      </c>
      <c r="S761" s="4">
        <v>0</v>
      </c>
      <c r="T761" s="4">
        <v>20</v>
      </c>
      <c r="U761" s="4">
        <v>88</v>
      </c>
      <c r="V761" s="4">
        <f>IF(ISERROR(VLOOKUP($S$761,'TAR FIN'!$A$1:$O$113,15,0)),0,VLOOKUP($S$761,'TAR FIN'!$A$1:$O$113,15,0))</f>
        <v>0</v>
      </c>
      <c r="W761" s="4">
        <f>IF(ISERROR(VLOOKUP($T$761,'TAR FIN'!$A$1:$O$113,15,0)),0,VLOOKUP($T$761,'TAR FIN'!$A$1:$O$113,15,0))</f>
        <v>1564.59</v>
      </c>
      <c r="X761" s="4">
        <f>IF(ISERROR(VLOOKUP($U$761,'TAR FIN'!$A$1:$O$113,15,0)),0,VLOOKUP($U$761,'TAR FIN'!$A$1:$O$113,15,0))</f>
        <v>365.5</v>
      </c>
      <c r="Y761" s="4"/>
      <c r="Z761" s="4">
        <f ca="1">('TUSD BE'!$AM$31+'TUSD BF'!$AM$31+'TUSD CVA'!$AM$31)*1</f>
        <v>1837.8896121132304</v>
      </c>
      <c r="AA761" s="4">
        <f>('TE BE'!$AA$10+'TE BF'!$AA$10+'TE CVA'!$AA$10)*1</f>
        <v>361.55013418411539</v>
      </c>
      <c r="AB761" s="4">
        <f>$K$761*$V$761</f>
        <v>0</v>
      </c>
      <c r="AC761" s="4">
        <f>$M$761*$W$761</f>
        <v>9309.3104999999996</v>
      </c>
      <c r="AD761" s="4">
        <f>$O$761*$X$761</f>
        <v>2174.7249999999999</v>
      </c>
      <c r="AE761" s="4">
        <f>$K$761*$Y$761</f>
        <v>0</v>
      </c>
      <c r="AF761" s="4">
        <f ca="1">$M$761*$Z$761</f>
        <v>10935.443192073721</v>
      </c>
      <c r="AG761" s="4">
        <f>$O$761*$AA$761</f>
        <v>2151.2232983954868</v>
      </c>
    </row>
    <row r="762" spans="1:33" ht="11.25" customHeight="1" x14ac:dyDescent="0.25">
      <c r="A762" s="3" t="s">
        <v>21</v>
      </c>
      <c r="B762" s="3" t="s">
        <v>41</v>
      </c>
      <c r="C762" s="3" t="s">
        <v>42</v>
      </c>
      <c r="D762" s="3" t="s">
        <v>52</v>
      </c>
      <c r="E762" s="3" t="s">
        <v>25</v>
      </c>
      <c r="F762" s="3" t="s">
        <v>25</v>
      </c>
      <c r="G762" s="3" t="s">
        <v>25</v>
      </c>
      <c r="H762" s="3" t="s">
        <v>34</v>
      </c>
      <c r="I762" s="6">
        <v>44378</v>
      </c>
      <c r="J762" s="4">
        <v>0</v>
      </c>
      <c r="K762" s="4">
        <v>0</v>
      </c>
      <c r="L762" s="4">
        <v>6.65</v>
      </c>
      <c r="M762" s="4">
        <v>6.65</v>
      </c>
      <c r="N762" s="4">
        <v>6.65</v>
      </c>
      <c r="O762" s="4">
        <v>6.65</v>
      </c>
      <c r="P762" s="4">
        <v>0</v>
      </c>
      <c r="Q762" s="3" t="s">
        <v>26</v>
      </c>
      <c r="R762" s="3">
        <v>0</v>
      </c>
      <c r="S762" s="4">
        <v>0</v>
      </c>
      <c r="T762" s="4">
        <v>20</v>
      </c>
      <c r="U762" s="4">
        <v>88</v>
      </c>
      <c r="V762" s="4">
        <f>IF(ISERROR(VLOOKUP($S$762,'TAR FIN'!$A$1:$O$113,15,0)),0,VLOOKUP($S$762,'TAR FIN'!$A$1:$O$113,15,0))</f>
        <v>0</v>
      </c>
      <c r="W762" s="4">
        <f>IF(ISERROR(VLOOKUP($T$762,'TAR FIN'!$A$1:$O$113,15,0)),0,VLOOKUP($T$762,'TAR FIN'!$A$1:$O$113,15,0))</f>
        <v>1564.59</v>
      </c>
      <c r="X762" s="4">
        <f>IF(ISERROR(VLOOKUP($U$762,'TAR FIN'!$A$1:$O$113,15,0)),0,VLOOKUP($U$762,'TAR FIN'!$A$1:$O$113,15,0))</f>
        <v>365.5</v>
      </c>
      <c r="Y762" s="4"/>
      <c r="Z762" s="4">
        <f ca="1">('TUSD BE'!$AM$31+'TUSD BF'!$AM$31+'TUSD CVA'!$AM$31)*1</f>
        <v>1837.8896121132304</v>
      </c>
      <c r="AA762" s="4">
        <f>('TE BE'!$AA$10+'TE BF'!$AA$10+'TE CVA'!$AA$10)*1</f>
        <v>361.55013418411539</v>
      </c>
      <c r="AB762" s="4">
        <f>$K$762*$V$762</f>
        <v>0</v>
      </c>
      <c r="AC762" s="4">
        <f>$M$762*$W$762</f>
        <v>10404.523499999999</v>
      </c>
      <c r="AD762" s="4">
        <f>$O$762*$X$762</f>
        <v>2430.5750000000003</v>
      </c>
      <c r="AE762" s="4">
        <f>$K$762*$Y$762</f>
        <v>0</v>
      </c>
      <c r="AF762" s="4">
        <f ca="1">$M$762*$Z$762</f>
        <v>12221.965920552982</v>
      </c>
      <c r="AG762" s="4">
        <f>$O$762*$AA$762</f>
        <v>2404.3083923243676</v>
      </c>
    </row>
    <row r="763" spans="1:33" ht="11.25" customHeight="1" x14ac:dyDescent="0.25">
      <c r="A763" s="3" t="s">
        <v>21</v>
      </c>
      <c r="B763" s="3" t="s">
        <v>41</v>
      </c>
      <c r="C763" s="3" t="s">
        <v>42</v>
      </c>
      <c r="D763" s="3" t="s">
        <v>52</v>
      </c>
      <c r="E763" s="3" t="s">
        <v>25</v>
      </c>
      <c r="F763" s="3" t="s">
        <v>25</v>
      </c>
      <c r="G763" s="3" t="s">
        <v>25</v>
      </c>
      <c r="H763" s="3" t="s">
        <v>34</v>
      </c>
      <c r="I763" s="6">
        <v>44409</v>
      </c>
      <c r="J763" s="4">
        <v>0</v>
      </c>
      <c r="K763" s="4">
        <v>0</v>
      </c>
      <c r="L763" s="4">
        <v>6.65</v>
      </c>
      <c r="M763" s="4">
        <v>6.65</v>
      </c>
      <c r="N763" s="4">
        <v>6.65</v>
      </c>
      <c r="O763" s="4">
        <v>6.65</v>
      </c>
      <c r="P763" s="4">
        <v>0</v>
      </c>
      <c r="Q763" s="3" t="s">
        <v>26</v>
      </c>
      <c r="R763" s="3">
        <v>0</v>
      </c>
      <c r="S763" s="4">
        <v>0</v>
      </c>
      <c r="T763" s="4">
        <v>20</v>
      </c>
      <c r="U763" s="4">
        <v>88</v>
      </c>
      <c r="V763" s="4">
        <f>IF(ISERROR(VLOOKUP($S$763,'TAR FIN'!$A$1:$O$113,15,0)),0,VLOOKUP($S$763,'TAR FIN'!$A$1:$O$113,15,0))</f>
        <v>0</v>
      </c>
      <c r="W763" s="4">
        <f>IF(ISERROR(VLOOKUP($T$763,'TAR FIN'!$A$1:$O$113,15,0)),0,VLOOKUP($T$763,'TAR FIN'!$A$1:$O$113,15,0))</f>
        <v>1564.59</v>
      </c>
      <c r="X763" s="4">
        <f>IF(ISERROR(VLOOKUP($U$763,'TAR FIN'!$A$1:$O$113,15,0)),0,VLOOKUP($U$763,'TAR FIN'!$A$1:$O$113,15,0))</f>
        <v>365.5</v>
      </c>
      <c r="Y763" s="4"/>
      <c r="Z763" s="4">
        <f ca="1">('TUSD BE'!$AM$31+'TUSD BF'!$AM$31+'TUSD CVA'!$AM$31)*1</f>
        <v>1837.8896121132304</v>
      </c>
      <c r="AA763" s="4">
        <f>('TE BE'!$AA$10+'TE BF'!$AA$10+'TE CVA'!$AA$10)*1</f>
        <v>361.55013418411539</v>
      </c>
      <c r="AB763" s="4">
        <f>$K$763*$V$763</f>
        <v>0</v>
      </c>
      <c r="AC763" s="4">
        <f>$M$763*$W$763</f>
        <v>10404.523499999999</v>
      </c>
      <c r="AD763" s="4">
        <f>$O$763*$X$763</f>
        <v>2430.5750000000003</v>
      </c>
      <c r="AE763" s="4">
        <f>$K$763*$Y$763</f>
        <v>0</v>
      </c>
      <c r="AF763" s="4">
        <f ca="1">$M$763*$Z$763</f>
        <v>12221.965920552982</v>
      </c>
      <c r="AG763" s="4">
        <f>$O$763*$AA$763</f>
        <v>2404.3083923243676</v>
      </c>
    </row>
    <row r="764" spans="1:33" ht="11.25" customHeight="1" x14ac:dyDescent="0.25">
      <c r="A764" s="3" t="s">
        <v>21</v>
      </c>
      <c r="B764" s="3" t="s">
        <v>41</v>
      </c>
      <c r="C764" s="3" t="s">
        <v>42</v>
      </c>
      <c r="D764" s="3" t="s">
        <v>52</v>
      </c>
      <c r="E764" s="3" t="s">
        <v>25</v>
      </c>
      <c r="F764" s="3" t="s">
        <v>25</v>
      </c>
      <c r="G764" s="3" t="s">
        <v>25</v>
      </c>
      <c r="H764" s="3" t="s">
        <v>34</v>
      </c>
      <c r="I764" s="6">
        <v>44440</v>
      </c>
      <c r="J764" s="4">
        <v>0</v>
      </c>
      <c r="K764" s="4">
        <v>0</v>
      </c>
      <c r="L764" s="4">
        <v>6.65</v>
      </c>
      <c r="M764" s="4">
        <v>6.65</v>
      </c>
      <c r="N764" s="4">
        <v>6.65</v>
      </c>
      <c r="O764" s="4">
        <v>6.65</v>
      </c>
      <c r="P764" s="4">
        <v>0</v>
      </c>
      <c r="Q764" s="3" t="s">
        <v>26</v>
      </c>
      <c r="R764" s="3">
        <v>0</v>
      </c>
      <c r="S764" s="4">
        <v>0</v>
      </c>
      <c r="T764" s="4">
        <v>20</v>
      </c>
      <c r="U764" s="4">
        <v>88</v>
      </c>
      <c r="V764" s="4">
        <f>IF(ISERROR(VLOOKUP($S$764,'TAR FIN'!$A$1:$O$113,15,0)),0,VLOOKUP($S$764,'TAR FIN'!$A$1:$O$113,15,0))</f>
        <v>0</v>
      </c>
      <c r="W764" s="4">
        <f>IF(ISERROR(VLOOKUP($T$764,'TAR FIN'!$A$1:$O$113,15,0)),0,VLOOKUP($T$764,'TAR FIN'!$A$1:$O$113,15,0))</f>
        <v>1564.59</v>
      </c>
      <c r="X764" s="4">
        <f>IF(ISERROR(VLOOKUP($U$764,'TAR FIN'!$A$1:$O$113,15,0)),0,VLOOKUP($U$764,'TAR FIN'!$A$1:$O$113,15,0))</f>
        <v>365.5</v>
      </c>
      <c r="Y764" s="4"/>
      <c r="Z764" s="4">
        <f ca="1">('TUSD BE'!$AM$31+'TUSD BF'!$AM$31+'TUSD CVA'!$AM$31)*1</f>
        <v>1837.8896121132304</v>
      </c>
      <c r="AA764" s="4">
        <f>('TE BE'!$AA$10+'TE BF'!$AA$10+'TE CVA'!$AA$10)*1</f>
        <v>361.55013418411539</v>
      </c>
      <c r="AB764" s="4">
        <f>$K$764*$V$764</f>
        <v>0</v>
      </c>
      <c r="AC764" s="4">
        <f>$M$764*$W$764</f>
        <v>10404.523499999999</v>
      </c>
      <c r="AD764" s="4">
        <f>$O$764*$X$764</f>
        <v>2430.5750000000003</v>
      </c>
      <c r="AE764" s="4">
        <f>$K$764*$Y$764</f>
        <v>0</v>
      </c>
      <c r="AF764" s="4">
        <f ca="1">$M$764*$Z$764</f>
        <v>12221.965920552982</v>
      </c>
      <c r="AG764" s="4">
        <f>$O$764*$AA$764</f>
        <v>2404.3083923243676</v>
      </c>
    </row>
    <row r="765" spans="1:33" ht="11.25" customHeight="1" x14ac:dyDescent="0.25">
      <c r="A765" s="3" t="s">
        <v>21</v>
      </c>
      <c r="B765" s="3" t="s">
        <v>41</v>
      </c>
      <c r="C765" s="3" t="s">
        <v>42</v>
      </c>
      <c r="D765" s="3" t="s">
        <v>52</v>
      </c>
      <c r="E765" s="3" t="s">
        <v>25</v>
      </c>
      <c r="F765" s="3" t="s">
        <v>25</v>
      </c>
      <c r="G765" s="3" t="s">
        <v>25</v>
      </c>
      <c r="H765" s="3" t="s">
        <v>34</v>
      </c>
      <c r="I765" s="6">
        <v>44470</v>
      </c>
      <c r="J765" s="4">
        <v>0</v>
      </c>
      <c r="K765" s="4">
        <v>0</v>
      </c>
      <c r="L765" s="4">
        <v>5.6</v>
      </c>
      <c r="M765" s="4">
        <v>5.6</v>
      </c>
      <c r="N765" s="4">
        <v>5.6</v>
      </c>
      <c r="O765" s="4">
        <v>5.6</v>
      </c>
      <c r="P765" s="4">
        <v>0</v>
      </c>
      <c r="Q765" s="3" t="s">
        <v>26</v>
      </c>
      <c r="R765" s="3">
        <v>0</v>
      </c>
      <c r="S765" s="4">
        <v>0</v>
      </c>
      <c r="T765" s="4">
        <v>20</v>
      </c>
      <c r="U765" s="4">
        <v>88</v>
      </c>
      <c r="V765" s="4">
        <f>IF(ISERROR(VLOOKUP($S$765,'TAR FIN'!$A$1:$O$113,15,0)),0,VLOOKUP($S$765,'TAR FIN'!$A$1:$O$113,15,0))</f>
        <v>0</v>
      </c>
      <c r="W765" s="4">
        <f>IF(ISERROR(VLOOKUP($T$765,'TAR FIN'!$A$1:$O$113,15,0)),0,VLOOKUP($T$765,'TAR FIN'!$A$1:$O$113,15,0))</f>
        <v>1564.59</v>
      </c>
      <c r="X765" s="4">
        <f>IF(ISERROR(VLOOKUP($U$765,'TAR FIN'!$A$1:$O$113,15,0)),0,VLOOKUP($U$765,'TAR FIN'!$A$1:$O$113,15,0))</f>
        <v>365.5</v>
      </c>
      <c r="Y765" s="4"/>
      <c r="Z765" s="4">
        <f ca="1">('TUSD BE'!$AM$31+'TUSD BF'!$AM$31+'TUSD CVA'!$AM$31)*1</f>
        <v>1837.8896121132304</v>
      </c>
      <c r="AA765" s="4">
        <f>('TE BE'!$AA$10+'TE BF'!$AA$10+'TE CVA'!$AA$10)*1</f>
        <v>361.55013418411539</v>
      </c>
      <c r="AB765" s="4">
        <f>$K$765*$V$765</f>
        <v>0</v>
      </c>
      <c r="AC765" s="4">
        <f>$M$765*$W$765</f>
        <v>8761.7039999999997</v>
      </c>
      <c r="AD765" s="4">
        <f>$O$765*$X$765</f>
        <v>2046.8</v>
      </c>
      <c r="AE765" s="4">
        <f>$K$765*$Y$765</f>
        <v>0</v>
      </c>
      <c r="AF765" s="4">
        <f ca="1">$M$765*$Z$765</f>
        <v>10292.181827834091</v>
      </c>
      <c r="AG765" s="4">
        <f>$O$765*$AA$765</f>
        <v>2024.680751431046</v>
      </c>
    </row>
    <row r="766" spans="1:33" ht="11.25" customHeight="1" x14ac:dyDescent="0.25">
      <c r="A766" s="3" t="s">
        <v>21</v>
      </c>
      <c r="B766" s="3" t="s">
        <v>41</v>
      </c>
      <c r="C766" s="3" t="s">
        <v>42</v>
      </c>
      <c r="D766" s="3" t="s">
        <v>52</v>
      </c>
      <c r="E766" s="3" t="s">
        <v>25</v>
      </c>
      <c r="F766" s="3" t="s">
        <v>25</v>
      </c>
      <c r="G766" s="3" t="s">
        <v>25</v>
      </c>
      <c r="H766" s="3" t="s">
        <v>34</v>
      </c>
      <c r="I766" s="6">
        <v>44501</v>
      </c>
      <c r="J766" s="4">
        <v>0</v>
      </c>
      <c r="K766" s="4">
        <v>0</v>
      </c>
      <c r="L766" s="4">
        <v>6.3</v>
      </c>
      <c r="M766" s="4">
        <v>6.3</v>
      </c>
      <c r="N766" s="4">
        <v>6.3</v>
      </c>
      <c r="O766" s="4">
        <v>6.3</v>
      </c>
      <c r="P766" s="4">
        <v>0</v>
      </c>
      <c r="Q766" s="3" t="s">
        <v>26</v>
      </c>
      <c r="R766" s="3">
        <v>0</v>
      </c>
      <c r="S766" s="4">
        <v>0</v>
      </c>
      <c r="T766" s="4">
        <v>20</v>
      </c>
      <c r="U766" s="4">
        <v>88</v>
      </c>
      <c r="V766" s="4">
        <f>IF(ISERROR(VLOOKUP($S$766,'TAR FIN'!$A$1:$O$113,15,0)),0,VLOOKUP($S$766,'TAR FIN'!$A$1:$O$113,15,0))</f>
        <v>0</v>
      </c>
      <c r="W766" s="4">
        <f>IF(ISERROR(VLOOKUP($T$766,'TAR FIN'!$A$1:$O$113,15,0)),0,VLOOKUP($T$766,'TAR FIN'!$A$1:$O$113,15,0))</f>
        <v>1564.59</v>
      </c>
      <c r="X766" s="4">
        <f>IF(ISERROR(VLOOKUP($U$766,'TAR FIN'!$A$1:$O$113,15,0)),0,VLOOKUP($U$766,'TAR FIN'!$A$1:$O$113,15,0))</f>
        <v>365.5</v>
      </c>
      <c r="Y766" s="4"/>
      <c r="Z766" s="4">
        <f ca="1">('TUSD BE'!$AM$31+'TUSD BF'!$AM$31+'TUSD CVA'!$AM$31)*1</f>
        <v>1837.8896121132304</v>
      </c>
      <c r="AA766" s="4">
        <f>('TE BE'!$AA$10+'TE BF'!$AA$10+'TE CVA'!$AA$10)*1</f>
        <v>361.55013418411539</v>
      </c>
      <c r="AB766" s="4">
        <f>$K$766*$V$766</f>
        <v>0</v>
      </c>
      <c r="AC766" s="4">
        <f>$M$766*$W$766</f>
        <v>9856.9169999999995</v>
      </c>
      <c r="AD766" s="4">
        <f>$O$766*$X$766</f>
        <v>2302.65</v>
      </c>
      <c r="AE766" s="4">
        <f>$K$766*$Y$766</f>
        <v>0</v>
      </c>
      <c r="AF766" s="4">
        <f ca="1">$M$766*$Z$766</f>
        <v>11578.704556313351</v>
      </c>
      <c r="AG766" s="4">
        <f>$O$766*$AA$766</f>
        <v>2277.765845359927</v>
      </c>
    </row>
    <row r="767" spans="1:33" ht="11.25" customHeight="1" x14ac:dyDescent="0.25">
      <c r="A767" s="3" t="s">
        <v>21</v>
      </c>
      <c r="B767" s="3" t="s">
        <v>41</v>
      </c>
      <c r="C767" s="3" t="s">
        <v>42</v>
      </c>
      <c r="D767" s="3" t="s">
        <v>52</v>
      </c>
      <c r="E767" s="3" t="s">
        <v>25</v>
      </c>
      <c r="F767" s="3" t="s">
        <v>25</v>
      </c>
      <c r="G767" s="3" t="s">
        <v>25</v>
      </c>
      <c r="H767" s="3" t="s">
        <v>34</v>
      </c>
      <c r="I767" s="6">
        <v>44531</v>
      </c>
      <c r="J767" s="4">
        <v>0</v>
      </c>
      <c r="K767" s="4">
        <v>0</v>
      </c>
      <c r="L767" s="4">
        <v>6.3</v>
      </c>
      <c r="M767" s="4">
        <v>6.3</v>
      </c>
      <c r="N767" s="4">
        <v>6.3</v>
      </c>
      <c r="O767" s="4">
        <v>6.3</v>
      </c>
      <c r="P767" s="4">
        <v>0</v>
      </c>
      <c r="Q767" s="3" t="s">
        <v>26</v>
      </c>
      <c r="R767" s="3">
        <v>0</v>
      </c>
      <c r="S767" s="4">
        <v>0</v>
      </c>
      <c r="T767" s="4">
        <v>20</v>
      </c>
      <c r="U767" s="4">
        <v>88</v>
      </c>
      <c r="V767" s="4">
        <f>IF(ISERROR(VLOOKUP($S$767,'TAR FIN'!$A$1:$O$113,15,0)),0,VLOOKUP($S$767,'TAR FIN'!$A$1:$O$113,15,0))</f>
        <v>0</v>
      </c>
      <c r="W767" s="4">
        <f>IF(ISERROR(VLOOKUP($T$767,'TAR FIN'!$A$1:$O$113,15,0)),0,VLOOKUP($T$767,'TAR FIN'!$A$1:$O$113,15,0))</f>
        <v>1564.59</v>
      </c>
      <c r="X767" s="4">
        <f>IF(ISERROR(VLOOKUP($U$767,'TAR FIN'!$A$1:$O$113,15,0)),0,VLOOKUP($U$767,'TAR FIN'!$A$1:$O$113,15,0))</f>
        <v>365.5</v>
      </c>
      <c r="Y767" s="4"/>
      <c r="Z767" s="4">
        <f ca="1">('TUSD BE'!$AM$31+'TUSD BF'!$AM$31+'TUSD CVA'!$AM$31)*1</f>
        <v>1837.8896121132304</v>
      </c>
      <c r="AA767" s="4">
        <f>('TE BE'!$AA$10+'TE BF'!$AA$10+'TE CVA'!$AA$10)*1</f>
        <v>361.55013418411539</v>
      </c>
      <c r="AB767" s="4">
        <f>$K$767*$V$767</f>
        <v>0</v>
      </c>
      <c r="AC767" s="4">
        <f>$M$767*$W$767</f>
        <v>9856.9169999999995</v>
      </c>
      <c r="AD767" s="4">
        <f>$O$767*$X$767</f>
        <v>2302.65</v>
      </c>
      <c r="AE767" s="4">
        <f>$K$767*$Y$767</f>
        <v>0</v>
      </c>
      <c r="AF767" s="4">
        <f ca="1">$M$767*$Z$767</f>
        <v>11578.704556313351</v>
      </c>
      <c r="AG767" s="4">
        <f>$O$767*$AA$767</f>
        <v>2277.765845359927</v>
      </c>
    </row>
    <row r="768" spans="1:33" ht="11.25" customHeight="1" x14ac:dyDescent="0.25">
      <c r="A768" s="3" t="s">
        <v>21</v>
      </c>
      <c r="B768" s="3" t="s">
        <v>41</v>
      </c>
      <c r="C768" s="3" t="s">
        <v>42</v>
      </c>
      <c r="D768" s="3" t="s">
        <v>52</v>
      </c>
      <c r="E768" s="3" t="s">
        <v>25</v>
      </c>
      <c r="F768" s="3" t="s">
        <v>25</v>
      </c>
      <c r="G768" s="3" t="s">
        <v>25</v>
      </c>
      <c r="H768" s="3" t="s">
        <v>34</v>
      </c>
      <c r="I768" s="6">
        <v>44562</v>
      </c>
      <c r="J768" s="4">
        <v>0</v>
      </c>
      <c r="K768" s="4">
        <v>0</v>
      </c>
      <c r="L768" s="4">
        <v>6.1779999999999999</v>
      </c>
      <c r="M768" s="4">
        <v>6.1779999999999999</v>
      </c>
      <c r="N768" s="4">
        <v>6.1779999999999999</v>
      </c>
      <c r="O768" s="4">
        <v>6.1779999999999999</v>
      </c>
      <c r="P768" s="4">
        <v>0</v>
      </c>
      <c r="Q768" s="3" t="s">
        <v>26</v>
      </c>
      <c r="R768" s="3">
        <v>0</v>
      </c>
      <c r="S768" s="4">
        <v>0</v>
      </c>
      <c r="T768" s="4">
        <v>20</v>
      </c>
      <c r="U768" s="4">
        <v>88</v>
      </c>
      <c r="V768" s="4">
        <f>IF(ISERROR(VLOOKUP($S$768,'TAR FIN'!$A$1:$O$113,15,0)),0,VLOOKUP($S$768,'TAR FIN'!$A$1:$O$113,15,0))</f>
        <v>0</v>
      </c>
      <c r="W768" s="4">
        <f>IF(ISERROR(VLOOKUP($T$768,'TAR FIN'!$A$1:$O$113,15,0)),0,VLOOKUP($T$768,'TAR FIN'!$A$1:$O$113,15,0))</f>
        <v>1564.59</v>
      </c>
      <c r="X768" s="4">
        <f>IF(ISERROR(VLOOKUP($U$768,'TAR FIN'!$A$1:$O$113,15,0)),0,VLOOKUP($U$768,'TAR FIN'!$A$1:$O$113,15,0))</f>
        <v>365.5</v>
      </c>
      <c r="Y768" s="4"/>
      <c r="Z768" s="4">
        <f ca="1">('TUSD BE'!$AM$31+'TUSD BF'!$AM$31+'TUSD CVA'!$AM$31)*1</f>
        <v>1837.8896121132304</v>
      </c>
      <c r="AA768" s="4">
        <f>('TE BE'!$AA$10+'TE BF'!$AA$10+'TE CVA'!$AA$10)*1</f>
        <v>361.55013418411539</v>
      </c>
      <c r="AB768" s="4">
        <f>$K$768*$V$768</f>
        <v>0</v>
      </c>
      <c r="AC768" s="4">
        <f>$M$768*$W$768</f>
        <v>9666.0370199999998</v>
      </c>
      <c r="AD768" s="4">
        <f>$O$768*$X$768</f>
        <v>2258.0590000000002</v>
      </c>
      <c r="AE768" s="4">
        <f>$K$768*$Y$768</f>
        <v>0</v>
      </c>
      <c r="AF768" s="4">
        <f ca="1">$M$768*$Z$768</f>
        <v>11354.482023635537</v>
      </c>
      <c r="AG768" s="4">
        <f>$O$768*$AA$768</f>
        <v>2233.6567289894647</v>
      </c>
    </row>
    <row r="769" spans="1:33" ht="11.25" customHeight="1" x14ac:dyDescent="0.25">
      <c r="A769" s="3" t="s">
        <v>21</v>
      </c>
      <c r="B769" s="3" t="s">
        <v>41</v>
      </c>
      <c r="C769" s="3" t="s">
        <v>42</v>
      </c>
      <c r="D769" s="3" t="s">
        <v>52</v>
      </c>
      <c r="E769" s="3" t="s">
        <v>25</v>
      </c>
      <c r="F769" s="3" t="s">
        <v>25</v>
      </c>
      <c r="G769" s="3" t="s">
        <v>25</v>
      </c>
      <c r="H769" s="3" t="s">
        <v>34</v>
      </c>
      <c r="I769" s="6">
        <v>44593</v>
      </c>
      <c r="J769" s="4">
        <v>0</v>
      </c>
      <c r="K769" s="4">
        <v>0</v>
      </c>
      <c r="L769" s="4">
        <v>6.28</v>
      </c>
      <c r="M769" s="4">
        <v>6.28</v>
      </c>
      <c r="N769" s="4">
        <v>6.28</v>
      </c>
      <c r="O769" s="4">
        <v>6.28</v>
      </c>
      <c r="P769" s="4">
        <v>0</v>
      </c>
      <c r="Q769" s="3" t="s">
        <v>26</v>
      </c>
      <c r="R769" s="3">
        <v>0</v>
      </c>
      <c r="S769" s="4">
        <v>0</v>
      </c>
      <c r="T769" s="4">
        <v>20</v>
      </c>
      <c r="U769" s="4">
        <v>88</v>
      </c>
      <c r="V769" s="4">
        <f>IF(ISERROR(VLOOKUP($S$769,'TAR FIN'!$A$1:$O$113,15,0)),0,VLOOKUP($S$769,'TAR FIN'!$A$1:$O$113,15,0))</f>
        <v>0</v>
      </c>
      <c r="W769" s="4">
        <f>IF(ISERROR(VLOOKUP($T$769,'TAR FIN'!$A$1:$O$113,15,0)),0,VLOOKUP($T$769,'TAR FIN'!$A$1:$O$113,15,0))</f>
        <v>1564.59</v>
      </c>
      <c r="X769" s="4">
        <f>IF(ISERROR(VLOOKUP($U$769,'TAR FIN'!$A$1:$O$113,15,0)),0,VLOOKUP($U$769,'TAR FIN'!$A$1:$O$113,15,0))</f>
        <v>365.5</v>
      </c>
      <c r="Y769" s="4"/>
      <c r="Z769" s="4">
        <f ca="1">('TUSD BE'!$AM$31+'TUSD BF'!$AM$31+'TUSD CVA'!$AM$31)*1</f>
        <v>1837.8896121132304</v>
      </c>
      <c r="AA769" s="4">
        <f>('TE BE'!$AA$10+'TE BF'!$AA$10+'TE CVA'!$AA$10)*1</f>
        <v>361.55013418411539</v>
      </c>
      <c r="AB769" s="4">
        <f>$K$769*$V$769</f>
        <v>0</v>
      </c>
      <c r="AC769" s="4">
        <f>$M$769*$W$769</f>
        <v>9825.6252000000004</v>
      </c>
      <c r="AD769" s="4">
        <f>$O$769*$X$769</f>
        <v>2295.34</v>
      </c>
      <c r="AE769" s="4">
        <f>$K$769*$Y$769</f>
        <v>0</v>
      </c>
      <c r="AF769" s="4">
        <f ca="1">$M$769*$Z$769</f>
        <v>11541.946764071088</v>
      </c>
      <c r="AG769" s="4">
        <f>$O$769*$AA$769</f>
        <v>2270.5348426762448</v>
      </c>
    </row>
    <row r="770" spans="1:33" ht="11.25" customHeight="1" x14ac:dyDescent="0.25">
      <c r="A770" s="3" t="s">
        <v>56</v>
      </c>
      <c r="B770" s="3" t="s">
        <v>41</v>
      </c>
      <c r="C770" s="3" t="s">
        <v>42</v>
      </c>
      <c r="D770" s="3" t="s">
        <v>52</v>
      </c>
      <c r="E770" s="3" t="s">
        <v>25</v>
      </c>
      <c r="F770" s="3" t="s">
        <v>25</v>
      </c>
      <c r="G770" s="3" t="s">
        <v>25</v>
      </c>
      <c r="H770" s="3" t="s">
        <v>34</v>
      </c>
      <c r="I770" s="6">
        <v>44621</v>
      </c>
      <c r="J770" s="4">
        <v>0</v>
      </c>
      <c r="K770" s="4">
        <v>0</v>
      </c>
      <c r="L770" s="4">
        <v>6.28</v>
      </c>
      <c r="M770" s="4">
        <v>6.28</v>
      </c>
      <c r="N770" s="4">
        <v>6.28</v>
      </c>
      <c r="O770" s="4">
        <v>6.28</v>
      </c>
      <c r="P770" s="4">
        <v>0</v>
      </c>
      <c r="Q770" s="3" t="s">
        <v>26</v>
      </c>
      <c r="R770" s="3">
        <v>0</v>
      </c>
      <c r="S770" s="4">
        <v>0</v>
      </c>
      <c r="T770" s="4">
        <v>20</v>
      </c>
      <c r="U770" s="4">
        <v>88</v>
      </c>
      <c r="V770" s="4">
        <f>IF(ISERROR(VLOOKUP($S$770,'TAR FIN'!$A$1:$O$113,15,0)),0,VLOOKUP($S$770,'TAR FIN'!$A$1:$O$113,15,0))</f>
        <v>0</v>
      </c>
      <c r="W770" s="4">
        <f>IF(ISERROR(VLOOKUP($T$770,'TAR FIN'!$A$1:$O$113,15,0)),0,VLOOKUP($T$770,'TAR FIN'!$A$1:$O$113,15,0))</f>
        <v>1564.59</v>
      </c>
      <c r="X770" s="4">
        <f>IF(ISERROR(VLOOKUP($U$770,'TAR FIN'!$A$1:$O$113,15,0)),0,VLOOKUP($U$770,'TAR FIN'!$A$1:$O$113,15,0))</f>
        <v>365.5</v>
      </c>
      <c r="Y770" s="4"/>
      <c r="Z770" s="4">
        <f ca="1">('TUSD BE'!$AM$31+'TUSD BF'!$AM$31+'TUSD CVA'!$AM$31)*1</f>
        <v>1837.8896121132304</v>
      </c>
      <c r="AA770" s="4">
        <f>('TE BE'!$AA$10+'TE BF'!$AA$10+'TE CVA'!$AA$10)*1</f>
        <v>361.55013418411539</v>
      </c>
      <c r="AB770" s="4">
        <f>$K$770*$V$770</f>
        <v>0</v>
      </c>
      <c r="AC770" s="4">
        <f>$M$770*$W$770</f>
        <v>9825.6252000000004</v>
      </c>
      <c r="AD770" s="4">
        <f>$O$770*$X$770</f>
        <v>2295.34</v>
      </c>
      <c r="AE770" s="4">
        <f>$K$770*$Y$770</f>
        <v>0</v>
      </c>
      <c r="AF770" s="4">
        <f ca="1">$M$770*$Z$770</f>
        <v>11541.946764071088</v>
      </c>
      <c r="AG770" s="4">
        <f>$O$770*$AA$770</f>
        <v>2270.5348426762448</v>
      </c>
    </row>
    <row r="771" spans="1:33" ht="11.25" customHeight="1" x14ac:dyDescent="0.25">
      <c r="A771" s="3" t="s">
        <v>21</v>
      </c>
      <c r="B771" s="3" t="s">
        <v>41</v>
      </c>
      <c r="C771" s="3" t="s">
        <v>42</v>
      </c>
      <c r="D771" s="3" t="s">
        <v>38</v>
      </c>
      <c r="E771" s="3" t="s">
        <v>25</v>
      </c>
      <c r="F771" s="3" t="s">
        <v>60</v>
      </c>
      <c r="G771" s="3" t="s">
        <v>25</v>
      </c>
      <c r="H771" s="3" t="s">
        <v>35</v>
      </c>
      <c r="I771" s="6">
        <v>44287</v>
      </c>
      <c r="J771" s="4">
        <v>0</v>
      </c>
      <c r="K771" s="4">
        <v>0</v>
      </c>
      <c r="L771" s="4">
        <v>6159.0150000000003</v>
      </c>
      <c r="M771" s="4">
        <v>6159.0150000000003</v>
      </c>
      <c r="N771" s="4">
        <v>0</v>
      </c>
      <c r="O771" s="4">
        <v>0</v>
      </c>
      <c r="P771" s="4">
        <v>0</v>
      </c>
      <c r="Q771" s="3" t="s">
        <v>57</v>
      </c>
      <c r="R771" s="3">
        <v>0</v>
      </c>
      <c r="S771" s="4">
        <v>0</v>
      </c>
      <c r="T771" s="4">
        <v>21</v>
      </c>
      <c r="U771" s="4">
        <v>0</v>
      </c>
      <c r="V771" s="4">
        <f>IF(ISERROR(VLOOKUP($S$771,'TAR FIN'!$A$1:$O$113,15,0)),0,VLOOKUP($S$771,'TAR FIN'!$A$1:$O$113,15,0))</f>
        <v>0</v>
      </c>
      <c r="W771" s="4">
        <f>IF(ISERROR(VLOOKUP($T$771,'TAR FIN'!$A$1:$O$113,15,0)),0,VLOOKUP($T$771,'TAR FIN'!$A$1:$O$113,15,0))</f>
        <v>51.27</v>
      </c>
      <c r="X771" s="4">
        <f>IF(ISERROR(VLOOKUP($U$771,'TAR FIN'!$A$1:$O$113,15,0)),0,VLOOKUP($U$771,'TAR FIN'!$A$1:$O$113,15,0))</f>
        <v>0</v>
      </c>
      <c r="Y771" s="4"/>
      <c r="Z771" s="4">
        <f ca="1">('TUSD BE'!$AM$32+'TUSD BF'!$AM$32+'TUSD CVA'!$AM$32)*1</f>
        <v>65.007409626508434</v>
      </c>
      <c r="AA771" s="4"/>
      <c r="AB771" s="4">
        <f>$K$771*$V$771</f>
        <v>0</v>
      </c>
      <c r="AC771" s="4">
        <f>$M$771*$W$771</f>
        <v>315772.69905000005</v>
      </c>
      <c r="AD771" s="4">
        <f>$O$771*$X$771</f>
        <v>0</v>
      </c>
      <c r="AE771" s="4">
        <f>$K$771*$Y$771</f>
        <v>0</v>
      </c>
      <c r="AF771" s="4">
        <f ca="1">$M$771*$Z$771</f>
        <v>400381.61100080988</v>
      </c>
      <c r="AG771" s="4">
        <f>$O$771*$AA$771</f>
        <v>0</v>
      </c>
    </row>
    <row r="772" spans="1:33" ht="11.25" customHeight="1" x14ac:dyDescent="0.25">
      <c r="A772" s="3" t="s">
        <v>21</v>
      </c>
      <c r="B772" s="3" t="s">
        <v>41</v>
      </c>
      <c r="C772" s="3" t="s">
        <v>42</v>
      </c>
      <c r="D772" s="3" t="s">
        <v>38</v>
      </c>
      <c r="E772" s="3" t="s">
        <v>25</v>
      </c>
      <c r="F772" s="3" t="s">
        <v>60</v>
      </c>
      <c r="G772" s="3" t="s">
        <v>25</v>
      </c>
      <c r="H772" s="3" t="s">
        <v>35</v>
      </c>
      <c r="I772" s="6">
        <v>44317</v>
      </c>
      <c r="J772" s="4">
        <v>0</v>
      </c>
      <c r="K772" s="4">
        <v>0</v>
      </c>
      <c r="L772" s="4">
        <v>5798.2060000000001</v>
      </c>
      <c r="M772" s="4">
        <v>5798.2060000000001</v>
      </c>
      <c r="N772" s="4">
        <v>0</v>
      </c>
      <c r="O772" s="4">
        <v>0</v>
      </c>
      <c r="P772" s="4">
        <v>0</v>
      </c>
      <c r="Q772" s="3" t="s">
        <v>57</v>
      </c>
      <c r="R772" s="3">
        <v>0</v>
      </c>
      <c r="S772" s="4">
        <v>0</v>
      </c>
      <c r="T772" s="4">
        <v>21</v>
      </c>
      <c r="U772" s="4">
        <v>0</v>
      </c>
      <c r="V772" s="4">
        <f>IF(ISERROR(VLOOKUP($S$772,'TAR FIN'!$A$1:$O$113,15,0)),0,VLOOKUP($S$772,'TAR FIN'!$A$1:$O$113,15,0))</f>
        <v>0</v>
      </c>
      <c r="W772" s="4">
        <f>IF(ISERROR(VLOOKUP($T$772,'TAR FIN'!$A$1:$O$113,15,0)),0,VLOOKUP($T$772,'TAR FIN'!$A$1:$O$113,15,0))</f>
        <v>51.27</v>
      </c>
      <c r="X772" s="4">
        <f>IF(ISERROR(VLOOKUP($U$772,'TAR FIN'!$A$1:$O$113,15,0)),0,VLOOKUP($U$772,'TAR FIN'!$A$1:$O$113,15,0))</f>
        <v>0</v>
      </c>
      <c r="Y772" s="4"/>
      <c r="Z772" s="4">
        <f ca="1">('TUSD BE'!$AM$32+'TUSD BF'!$AM$32+'TUSD CVA'!$AM$32)*1</f>
        <v>65.007409626508434</v>
      </c>
      <c r="AA772" s="4"/>
      <c r="AB772" s="4">
        <f>$K$772*$V$772</f>
        <v>0</v>
      </c>
      <c r="AC772" s="4">
        <f>$M$772*$W$772</f>
        <v>297274.02162000001</v>
      </c>
      <c r="AD772" s="4">
        <f>$O$772*$X$772</f>
        <v>0</v>
      </c>
      <c r="AE772" s="4">
        <f>$K$772*$Y$772</f>
        <v>0</v>
      </c>
      <c r="AF772" s="4">
        <f ca="1">$M$772*$Z$772</f>
        <v>376926.35254087899</v>
      </c>
      <c r="AG772" s="4">
        <f>$O$772*$AA$772</f>
        <v>0</v>
      </c>
    </row>
    <row r="773" spans="1:33" ht="11.25" customHeight="1" x14ac:dyDescent="0.25">
      <c r="A773" s="3" t="s">
        <v>21</v>
      </c>
      <c r="B773" s="3" t="s">
        <v>41</v>
      </c>
      <c r="C773" s="3" t="s">
        <v>42</v>
      </c>
      <c r="D773" s="3" t="s">
        <v>38</v>
      </c>
      <c r="E773" s="3" t="s">
        <v>25</v>
      </c>
      <c r="F773" s="3" t="s">
        <v>60</v>
      </c>
      <c r="G773" s="3" t="s">
        <v>25</v>
      </c>
      <c r="H773" s="3" t="s">
        <v>35</v>
      </c>
      <c r="I773" s="6">
        <v>44348</v>
      </c>
      <c r="J773" s="4">
        <v>0</v>
      </c>
      <c r="K773" s="4">
        <v>0</v>
      </c>
      <c r="L773" s="4">
        <v>5700.5879999999997</v>
      </c>
      <c r="M773" s="4">
        <v>5700.5879999999997</v>
      </c>
      <c r="N773" s="4">
        <v>0</v>
      </c>
      <c r="O773" s="4">
        <v>0</v>
      </c>
      <c r="P773" s="4">
        <v>0</v>
      </c>
      <c r="Q773" s="3" t="s">
        <v>57</v>
      </c>
      <c r="R773" s="3">
        <v>0</v>
      </c>
      <c r="S773" s="4">
        <v>0</v>
      </c>
      <c r="T773" s="4">
        <v>21</v>
      </c>
      <c r="U773" s="4">
        <v>0</v>
      </c>
      <c r="V773" s="4">
        <f>IF(ISERROR(VLOOKUP($S$773,'TAR FIN'!$A$1:$O$113,15,0)),0,VLOOKUP($S$773,'TAR FIN'!$A$1:$O$113,15,0))</f>
        <v>0</v>
      </c>
      <c r="W773" s="4">
        <f>IF(ISERROR(VLOOKUP($T$773,'TAR FIN'!$A$1:$O$113,15,0)),0,VLOOKUP($T$773,'TAR FIN'!$A$1:$O$113,15,0))</f>
        <v>51.27</v>
      </c>
      <c r="X773" s="4">
        <f>IF(ISERROR(VLOOKUP($U$773,'TAR FIN'!$A$1:$O$113,15,0)),0,VLOOKUP($U$773,'TAR FIN'!$A$1:$O$113,15,0))</f>
        <v>0</v>
      </c>
      <c r="Y773" s="4"/>
      <c r="Z773" s="4">
        <f ca="1">('TUSD BE'!$AM$32+'TUSD BF'!$AM$32+'TUSD CVA'!$AM$32)*1</f>
        <v>65.007409626508434</v>
      </c>
      <c r="AA773" s="4"/>
      <c r="AB773" s="4">
        <f>$K$773*$V$773</f>
        <v>0</v>
      </c>
      <c r="AC773" s="4">
        <f>$M$773*$W$773</f>
        <v>292269.14676000003</v>
      </c>
      <c r="AD773" s="4">
        <f>$O$773*$X$773</f>
        <v>0</v>
      </c>
      <c r="AE773" s="4">
        <f>$K$773*$Y$773</f>
        <v>0</v>
      </c>
      <c r="AF773" s="4">
        <f ca="1">$M$773*$Z$773</f>
        <v>370580.45922795846</v>
      </c>
      <c r="AG773" s="4">
        <f>$O$773*$AA$773</f>
        <v>0</v>
      </c>
    </row>
    <row r="774" spans="1:33" ht="11.25" customHeight="1" x14ac:dyDescent="0.25">
      <c r="A774" s="3" t="s">
        <v>21</v>
      </c>
      <c r="B774" s="3" t="s">
        <v>41</v>
      </c>
      <c r="C774" s="3" t="s">
        <v>42</v>
      </c>
      <c r="D774" s="3" t="s">
        <v>38</v>
      </c>
      <c r="E774" s="3" t="s">
        <v>25</v>
      </c>
      <c r="F774" s="3" t="s">
        <v>60</v>
      </c>
      <c r="G774" s="3" t="s">
        <v>25</v>
      </c>
      <c r="H774" s="3" t="s">
        <v>35</v>
      </c>
      <c r="I774" s="6">
        <v>44378</v>
      </c>
      <c r="J774" s="4">
        <v>0</v>
      </c>
      <c r="K774" s="4">
        <v>0</v>
      </c>
      <c r="L774" s="4">
        <v>5409.0119999999997</v>
      </c>
      <c r="M774" s="4">
        <v>5409.0119999999997</v>
      </c>
      <c r="N774" s="4">
        <v>0</v>
      </c>
      <c r="O774" s="4">
        <v>0</v>
      </c>
      <c r="P774" s="4">
        <v>0</v>
      </c>
      <c r="Q774" s="3" t="s">
        <v>57</v>
      </c>
      <c r="R774" s="3">
        <v>0</v>
      </c>
      <c r="S774" s="4">
        <v>0</v>
      </c>
      <c r="T774" s="4">
        <v>21</v>
      </c>
      <c r="U774" s="4">
        <v>0</v>
      </c>
      <c r="V774" s="4">
        <f>IF(ISERROR(VLOOKUP($S$774,'TAR FIN'!$A$1:$O$113,15,0)),0,VLOOKUP($S$774,'TAR FIN'!$A$1:$O$113,15,0))</f>
        <v>0</v>
      </c>
      <c r="W774" s="4">
        <f>IF(ISERROR(VLOOKUP($T$774,'TAR FIN'!$A$1:$O$113,15,0)),0,VLOOKUP($T$774,'TAR FIN'!$A$1:$O$113,15,0))</f>
        <v>51.27</v>
      </c>
      <c r="X774" s="4">
        <f>IF(ISERROR(VLOOKUP($U$774,'TAR FIN'!$A$1:$O$113,15,0)),0,VLOOKUP($U$774,'TAR FIN'!$A$1:$O$113,15,0))</f>
        <v>0</v>
      </c>
      <c r="Y774" s="4"/>
      <c r="Z774" s="4">
        <f ca="1">('TUSD BE'!$AM$32+'TUSD BF'!$AM$32+'TUSD CVA'!$AM$32)*1</f>
        <v>65.007409626508434</v>
      </c>
      <c r="AA774" s="4"/>
      <c r="AB774" s="4">
        <f>$K$774*$V$774</f>
        <v>0</v>
      </c>
      <c r="AC774" s="4">
        <f>$M$774*$W$774</f>
        <v>277320.04524000001</v>
      </c>
      <c r="AD774" s="4">
        <f>$O$774*$X$774</f>
        <v>0</v>
      </c>
      <c r="AE774" s="4">
        <f>$K$774*$Y$774</f>
        <v>0</v>
      </c>
      <c r="AF774" s="4">
        <f ca="1">$M$774*$Z$774</f>
        <v>351625.85875869961</v>
      </c>
      <c r="AG774" s="4">
        <f>$O$774*$AA$774</f>
        <v>0</v>
      </c>
    </row>
    <row r="775" spans="1:33" ht="11.25" customHeight="1" x14ac:dyDescent="0.25">
      <c r="A775" s="3" t="s">
        <v>21</v>
      </c>
      <c r="B775" s="3" t="s">
        <v>41</v>
      </c>
      <c r="C775" s="3" t="s">
        <v>42</v>
      </c>
      <c r="D775" s="3" t="s">
        <v>38</v>
      </c>
      <c r="E775" s="3" t="s">
        <v>25</v>
      </c>
      <c r="F775" s="3" t="s">
        <v>60</v>
      </c>
      <c r="G775" s="3" t="s">
        <v>25</v>
      </c>
      <c r="H775" s="3" t="s">
        <v>35</v>
      </c>
      <c r="I775" s="6">
        <v>44409</v>
      </c>
      <c r="J775" s="4">
        <v>0</v>
      </c>
      <c r="K775" s="4">
        <v>0</v>
      </c>
      <c r="L775" s="4">
        <v>5621.5079999999998</v>
      </c>
      <c r="M775" s="4">
        <v>5621.5079999999998</v>
      </c>
      <c r="N775" s="4">
        <v>0</v>
      </c>
      <c r="O775" s="4">
        <v>0</v>
      </c>
      <c r="P775" s="4">
        <v>0</v>
      </c>
      <c r="Q775" s="3" t="s">
        <v>57</v>
      </c>
      <c r="R775" s="3">
        <v>0</v>
      </c>
      <c r="S775" s="4">
        <v>0</v>
      </c>
      <c r="T775" s="4">
        <v>21</v>
      </c>
      <c r="U775" s="4">
        <v>0</v>
      </c>
      <c r="V775" s="4">
        <f>IF(ISERROR(VLOOKUP($S$775,'TAR FIN'!$A$1:$O$113,15,0)),0,VLOOKUP($S$775,'TAR FIN'!$A$1:$O$113,15,0))</f>
        <v>0</v>
      </c>
      <c r="W775" s="4">
        <f>IF(ISERROR(VLOOKUP($T$775,'TAR FIN'!$A$1:$O$113,15,0)),0,VLOOKUP($T$775,'TAR FIN'!$A$1:$O$113,15,0))</f>
        <v>51.27</v>
      </c>
      <c r="X775" s="4">
        <f>IF(ISERROR(VLOOKUP($U$775,'TAR FIN'!$A$1:$O$113,15,0)),0,VLOOKUP($U$775,'TAR FIN'!$A$1:$O$113,15,0))</f>
        <v>0</v>
      </c>
      <c r="Y775" s="4"/>
      <c r="Z775" s="4">
        <f ca="1">('TUSD BE'!$AM$32+'TUSD BF'!$AM$32+'TUSD CVA'!$AM$32)*1</f>
        <v>65.007409626508434</v>
      </c>
      <c r="AA775" s="4"/>
      <c r="AB775" s="4">
        <f>$K$775*$V$775</f>
        <v>0</v>
      </c>
      <c r="AC775" s="4">
        <f>$M$775*$W$775</f>
        <v>288214.71516000002</v>
      </c>
      <c r="AD775" s="4">
        <f>$O$775*$X$775</f>
        <v>0</v>
      </c>
      <c r="AE775" s="4">
        <f>$K$775*$Y$775</f>
        <v>0</v>
      </c>
      <c r="AF775" s="4">
        <f ca="1">$M$775*$Z$775</f>
        <v>365439.67327469419</v>
      </c>
      <c r="AG775" s="4">
        <f>$O$775*$AA$775</f>
        <v>0</v>
      </c>
    </row>
    <row r="776" spans="1:33" ht="11.25" customHeight="1" x14ac:dyDescent="0.25">
      <c r="A776" s="3" t="s">
        <v>21</v>
      </c>
      <c r="B776" s="3" t="s">
        <v>41</v>
      </c>
      <c r="C776" s="3" t="s">
        <v>42</v>
      </c>
      <c r="D776" s="3" t="s">
        <v>38</v>
      </c>
      <c r="E776" s="3" t="s">
        <v>25</v>
      </c>
      <c r="F776" s="3" t="s">
        <v>60</v>
      </c>
      <c r="G776" s="3" t="s">
        <v>25</v>
      </c>
      <c r="H776" s="3" t="s">
        <v>35</v>
      </c>
      <c r="I776" s="6">
        <v>44440</v>
      </c>
      <c r="J776" s="4">
        <v>0</v>
      </c>
      <c r="K776" s="4">
        <v>0</v>
      </c>
      <c r="L776" s="4">
        <v>7134.8580000000002</v>
      </c>
      <c r="M776" s="4">
        <v>7134.8580000000002</v>
      </c>
      <c r="N776" s="4">
        <v>0</v>
      </c>
      <c r="O776" s="4">
        <v>0</v>
      </c>
      <c r="P776" s="4">
        <v>0</v>
      </c>
      <c r="Q776" s="3" t="s">
        <v>57</v>
      </c>
      <c r="R776" s="3">
        <v>0</v>
      </c>
      <c r="S776" s="4">
        <v>0</v>
      </c>
      <c r="T776" s="4">
        <v>21</v>
      </c>
      <c r="U776" s="4">
        <v>0</v>
      </c>
      <c r="V776" s="4">
        <f>IF(ISERROR(VLOOKUP($S$776,'TAR FIN'!$A$1:$O$113,15,0)),0,VLOOKUP($S$776,'TAR FIN'!$A$1:$O$113,15,0))</f>
        <v>0</v>
      </c>
      <c r="W776" s="4">
        <f>IF(ISERROR(VLOOKUP($T$776,'TAR FIN'!$A$1:$O$113,15,0)),0,VLOOKUP($T$776,'TAR FIN'!$A$1:$O$113,15,0))</f>
        <v>51.27</v>
      </c>
      <c r="X776" s="4">
        <f>IF(ISERROR(VLOOKUP($U$776,'TAR FIN'!$A$1:$O$113,15,0)),0,VLOOKUP($U$776,'TAR FIN'!$A$1:$O$113,15,0))</f>
        <v>0</v>
      </c>
      <c r="Y776" s="4"/>
      <c r="Z776" s="4">
        <f ca="1">('TUSD BE'!$AM$32+'TUSD BF'!$AM$32+'TUSD CVA'!$AM$32)*1</f>
        <v>65.007409626508434</v>
      </c>
      <c r="AA776" s="4"/>
      <c r="AB776" s="4">
        <f>$K$776*$V$776</f>
        <v>0</v>
      </c>
      <c r="AC776" s="4">
        <f>$M$776*$W$776</f>
        <v>365804.16966000001</v>
      </c>
      <c r="AD776" s="4">
        <f>$O$776*$X$776</f>
        <v>0</v>
      </c>
      <c r="AE776" s="4">
        <f>$K$776*$Y$776</f>
        <v>0</v>
      </c>
      <c r="AF776" s="4">
        <f ca="1">$M$776*$Z$776</f>
        <v>463818.63663297071</v>
      </c>
      <c r="AG776" s="4">
        <f>$O$776*$AA$776</f>
        <v>0</v>
      </c>
    </row>
    <row r="777" spans="1:33" ht="11.25" customHeight="1" x14ac:dyDescent="0.25">
      <c r="A777" s="3" t="s">
        <v>21</v>
      </c>
      <c r="B777" s="3" t="s">
        <v>41</v>
      </c>
      <c r="C777" s="3" t="s">
        <v>42</v>
      </c>
      <c r="D777" s="3" t="s">
        <v>38</v>
      </c>
      <c r="E777" s="3" t="s">
        <v>25</v>
      </c>
      <c r="F777" s="3" t="s">
        <v>60</v>
      </c>
      <c r="G777" s="3" t="s">
        <v>25</v>
      </c>
      <c r="H777" s="3" t="s">
        <v>35</v>
      </c>
      <c r="I777" s="6">
        <v>44470</v>
      </c>
      <c r="J777" s="4">
        <v>0</v>
      </c>
      <c r="K777" s="4">
        <v>0</v>
      </c>
      <c r="L777" s="4">
        <v>7308.808</v>
      </c>
      <c r="M777" s="4">
        <v>7308.808</v>
      </c>
      <c r="N777" s="4">
        <v>0</v>
      </c>
      <c r="O777" s="4">
        <v>0</v>
      </c>
      <c r="P777" s="4">
        <v>0</v>
      </c>
      <c r="Q777" s="3" t="s">
        <v>57</v>
      </c>
      <c r="R777" s="3">
        <v>0</v>
      </c>
      <c r="S777" s="4">
        <v>0</v>
      </c>
      <c r="T777" s="4">
        <v>21</v>
      </c>
      <c r="U777" s="4">
        <v>0</v>
      </c>
      <c r="V777" s="4">
        <f>IF(ISERROR(VLOOKUP($S$777,'TAR FIN'!$A$1:$O$113,15,0)),0,VLOOKUP($S$777,'TAR FIN'!$A$1:$O$113,15,0))</f>
        <v>0</v>
      </c>
      <c r="W777" s="4">
        <f>IF(ISERROR(VLOOKUP($T$777,'TAR FIN'!$A$1:$O$113,15,0)),0,VLOOKUP($T$777,'TAR FIN'!$A$1:$O$113,15,0))</f>
        <v>51.27</v>
      </c>
      <c r="X777" s="4">
        <f>IF(ISERROR(VLOOKUP($U$777,'TAR FIN'!$A$1:$O$113,15,0)),0,VLOOKUP($U$777,'TAR FIN'!$A$1:$O$113,15,0))</f>
        <v>0</v>
      </c>
      <c r="Y777" s="4"/>
      <c r="Z777" s="4">
        <f ca="1">('TUSD BE'!$AM$32+'TUSD BF'!$AM$32+'TUSD CVA'!$AM$32)*1</f>
        <v>65.007409626508434</v>
      </c>
      <c r="AA777" s="4"/>
      <c r="AB777" s="4">
        <f>$K$777*$V$777</f>
        <v>0</v>
      </c>
      <c r="AC777" s="4">
        <f>$M$777*$W$777</f>
        <v>374722.58616000001</v>
      </c>
      <c r="AD777" s="4">
        <f>$O$777*$X$777</f>
        <v>0</v>
      </c>
      <c r="AE777" s="4">
        <f>$K$777*$Y$777</f>
        <v>0</v>
      </c>
      <c r="AF777" s="4">
        <f ca="1">$M$777*$Z$777</f>
        <v>475126.67553750187</v>
      </c>
      <c r="AG777" s="4">
        <f>$O$777*$AA$777</f>
        <v>0</v>
      </c>
    </row>
    <row r="778" spans="1:33" ht="11.25" customHeight="1" x14ac:dyDescent="0.25">
      <c r="A778" s="3" t="s">
        <v>21</v>
      </c>
      <c r="B778" s="3" t="s">
        <v>41</v>
      </c>
      <c r="C778" s="3" t="s">
        <v>42</v>
      </c>
      <c r="D778" s="3" t="s">
        <v>38</v>
      </c>
      <c r="E778" s="3" t="s">
        <v>25</v>
      </c>
      <c r="F778" s="3" t="s">
        <v>60</v>
      </c>
      <c r="G778" s="3" t="s">
        <v>25</v>
      </c>
      <c r="H778" s="3" t="s">
        <v>35</v>
      </c>
      <c r="I778" s="6">
        <v>44501</v>
      </c>
      <c r="J778" s="4">
        <v>0</v>
      </c>
      <c r="K778" s="4">
        <v>0</v>
      </c>
      <c r="L778" s="4">
        <v>8182.6310000000003</v>
      </c>
      <c r="M778" s="4">
        <v>8182.6310000000003</v>
      </c>
      <c r="N778" s="4">
        <v>0</v>
      </c>
      <c r="O778" s="4">
        <v>0</v>
      </c>
      <c r="P778" s="4">
        <v>0</v>
      </c>
      <c r="Q778" s="3" t="s">
        <v>57</v>
      </c>
      <c r="R778" s="3">
        <v>0</v>
      </c>
      <c r="S778" s="4">
        <v>0</v>
      </c>
      <c r="T778" s="4">
        <v>21</v>
      </c>
      <c r="U778" s="4">
        <v>0</v>
      </c>
      <c r="V778" s="4">
        <f>IF(ISERROR(VLOOKUP($S$778,'TAR FIN'!$A$1:$O$113,15,0)),0,VLOOKUP($S$778,'TAR FIN'!$A$1:$O$113,15,0))</f>
        <v>0</v>
      </c>
      <c r="W778" s="4">
        <f>IF(ISERROR(VLOOKUP($T$778,'TAR FIN'!$A$1:$O$113,15,0)),0,VLOOKUP($T$778,'TAR FIN'!$A$1:$O$113,15,0))</f>
        <v>51.27</v>
      </c>
      <c r="X778" s="4">
        <f>IF(ISERROR(VLOOKUP($U$778,'TAR FIN'!$A$1:$O$113,15,0)),0,VLOOKUP($U$778,'TAR FIN'!$A$1:$O$113,15,0))</f>
        <v>0</v>
      </c>
      <c r="Y778" s="4"/>
      <c r="Z778" s="4">
        <f ca="1">('TUSD BE'!$AM$32+'TUSD BF'!$AM$32+'TUSD CVA'!$AM$32)*1</f>
        <v>65.007409626508434</v>
      </c>
      <c r="AA778" s="4"/>
      <c r="AB778" s="4">
        <f>$K$778*$V$778</f>
        <v>0</v>
      </c>
      <c r="AC778" s="4">
        <f>$M$778*$W$778</f>
        <v>419523.49137000006</v>
      </c>
      <c r="AD778" s="4">
        <f>$O$778*$X$778</f>
        <v>0</v>
      </c>
      <c r="AE778" s="4">
        <f>$K$778*$Y$778</f>
        <v>0</v>
      </c>
      <c r="AF778" s="4">
        <f ca="1">$M$778*$Z$778</f>
        <v>531931.64523956634</v>
      </c>
      <c r="AG778" s="4">
        <f>$O$778*$AA$778</f>
        <v>0</v>
      </c>
    </row>
    <row r="779" spans="1:33" ht="11.25" customHeight="1" x14ac:dyDescent="0.25">
      <c r="A779" s="3" t="s">
        <v>21</v>
      </c>
      <c r="B779" s="3" t="s">
        <v>41</v>
      </c>
      <c r="C779" s="3" t="s">
        <v>42</v>
      </c>
      <c r="D779" s="3" t="s">
        <v>38</v>
      </c>
      <c r="E779" s="3" t="s">
        <v>25</v>
      </c>
      <c r="F779" s="3" t="s">
        <v>60</v>
      </c>
      <c r="G779" s="3" t="s">
        <v>25</v>
      </c>
      <c r="H779" s="3" t="s">
        <v>35</v>
      </c>
      <c r="I779" s="6">
        <v>44531</v>
      </c>
      <c r="J779" s="4">
        <v>0</v>
      </c>
      <c r="K779" s="4">
        <v>0</v>
      </c>
      <c r="L779" s="4">
        <v>7914.6170000000002</v>
      </c>
      <c r="M779" s="4">
        <v>7914.6170000000002</v>
      </c>
      <c r="N779" s="4">
        <v>0</v>
      </c>
      <c r="O779" s="4">
        <v>0</v>
      </c>
      <c r="P779" s="4">
        <v>0</v>
      </c>
      <c r="Q779" s="3" t="s">
        <v>57</v>
      </c>
      <c r="R779" s="3">
        <v>0</v>
      </c>
      <c r="S779" s="4">
        <v>0</v>
      </c>
      <c r="T779" s="4">
        <v>21</v>
      </c>
      <c r="U779" s="4">
        <v>0</v>
      </c>
      <c r="V779" s="4">
        <f>IF(ISERROR(VLOOKUP($S$779,'TAR FIN'!$A$1:$O$113,15,0)),0,VLOOKUP($S$779,'TAR FIN'!$A$1:$O$113,15,0))</f>
        <v>0</v>
      </c>
      <c r="W779" s="4">
        <f>IF(ISERROR(VLOOKUP($T$779,'TAR FIN'!$A$1:$O$113,15,0)),0,VLOOKUP($T$779,'TAR FIN'!$A$1:$O$113,15,0))</f>
        <v>51.27</v>
      </c>
      <c r="X779" s="4">
        <f>IF(ISERROR(VLOOKUP($U$779,'TAR FIN'!$A$1:$O$113,15,0)),0,VLOOKUP($U$779,'TAR FIN'!$A$1:$O$113,15,0))</f>
        <v>0</v>
      </c>
      <c r="Y779" s="4"/>
      <c r="Z779" s="4">
        <f ca="1">('TUSD BE'!$AM$32+'TUSD BF'!$AM$32+'TUSD CVA'!$AM$32)*1</f>
        <v>65.007409626508434</v>
      </c>
      <c r="AA779" s="4"/>
      <c r="AB779" s="4">
        <f>$K$779*$V$779</f>
        <v>0</v>
      </c>
      <c r="AC779" s="4">
        <f>$M$779*$W$779</f>
        <v>405782.41359000001</v>
      </c>
      <c r="AD779" s="4">
        <f>$O$779*$X$779</f>
        <v>0</v>
      </c>
      <c r="AE779" s="4">
        <f>$K$779*$Y$779</f>
        <v>0</v>
      </c>
      <c r="AF779" s="4">
        <f ca="1">$M$779*$Z$779</f>
        <v>514508.74935592728</v>
      </c>
      <c r="AG779" s="4">
        <f>$O$779*$AA$779</f>
        <v>0</v>
      </c>
    </row>
    <row r="780" spans="1:33" ht="11.25" customHeight="1" x14ac:dyDescent="0.25">
      <c r="A780" s="3" t="s">
        <v>21</v>
      </c>
      <c r="B780" s="3" t="s">
        <v>41</v>
      </c>
      <c r="C780" s="3" t="s">
        <v>42</v>
      </c>
      <c r="D780" s="3" t="s">
        <v>38</v>
      </c>
      <c r="E780" s="3" t="s">
        <v>25</v>
      </c>
      <c r="F780" s="3" t="s">
        <v>60</v>
      </c>
      <c r="G780" s="3" t="s">
        <v>25</v>
      </c>
      <c r="H780" s="3" t="s">
        <v>35</v>
      </c>
      <c r="I780" s="6">
        <v>44562</v>
      </c>
      <c r="J780" s="4">
        <v>0</v>
      </c>
      <c r="K780" s="4">
        <v>0</v>
      </c>
      <c r="L780" s="4">
        <v>8449.2540000000008</v>
      </c>
      <c r="M780" s="4">
        <v>8449.2540000000008</v>
      </c>
      <c r="N780" s="4">
        <v>0</v>
      </c>
      <c r="O780" s="4">
        <v>0</v>
      </c>
      <c r="P780" s="4">
        <v>0</v>
      </c>
      <c r="Q780" s="3" t="s">
        <v>57</v>
      </c>
      <c r="R780" s="3">
        <v>0</v>
      </c>
      <c r="S780" s="4">
        <v>0</v>
      </c>
      <c r="T780" s="4">
        <v>21</v>
      </c>
      <c r="U780" s="4">
        <v>0</v>
      </c>
      <c r="V780" s="4">
        <f>IF(ISERROR(VLOOKUP($S$780,'TAR FIN'!$A$1:$O$113,15,0)),0,VLOOKUP($S$780,'TAR FIN'!$A$1:$O$113,15,0))</f>
        <v>0</v>
      </c>
      <c r="W780" s="4">
        <f>IF(ISERROR(VLOOKUP($T$780,'TAR FIN'!$A$1:$O$113,15,0)),0,VLOOKUP($T$780,'TAR FIN'!$A$1:$O$113,15,0))</f>
        <v>51.27</v>
      </c>
      <c r="X780" s="4">
        <f>IF(ISERROR(VLOOKUP($U$780,'TAR FIN'!$A$1:$O$113,15,0)),0,VLOOKUP($U$780,'TAR FIN'!$A$1:$O$113,15,0))</f>
        <v>0</v>
      </c>
      <c r="Y780" s="4"/>
      <c r="Z780" s="4">
        <f ca="1">('TUSD BE'!$AM$32+'TUSD BF'!$AM$32+'TUSD CVA'!$AM$32)*1</f>
        <v>65.007409626508434</v>
      </c>
      <c r="AA780" s="4"/>
      <c r="AB780" s="4">
        <f>$K$780*$V$780</f>
        <v>0</v>
      </c>
      <c r="AC780" s="4">
        <f>$M$780*$W$780</f>
        <v>433193.25258000009</v>
      </c>
      <c r="AD780" s="4">
        <f>$O$780*$X$780</f>
        <v>0</v>
      </c>
      <c r="AE780" s="4">
        <f>$K$780*$Y$780</f>
        <v>0</v>
      </c>
      <c r="AF780" s="4">
        <f ca="1">$M$780*$Z$780</f>
        <v>549264.11581641494</v>
      </c>
      <c r="AG780" s="4">
        <f>$O$780*$AA$780</f>
        <v>0</v>
      </c>
    </row>
    <row r="781" spans="1:33" ht="11.25" customHeight="1" x14ac:dyDescent="0.25">
      <c r="A781" s="3" t="s">
        <v>21</v>
      </c>
      <c r="B781" s="3" t="s">
        <v>41</v>
      </c>
      <c r="C781" s="3" t="s">
        <v>42</v>
      </c>
      <c r="D781" s="3" t="s">
        <v>38</v>
      </c>
      <c r="E781" s="3" t="s">
        <v>25</v>
      </c>
      <c r="F781" s="3" t="s">
        <v>60</v>
      </c>
      <c r="G781" s="3" t="s">
        <v>25</v>
      </c>
      <c r="H781" s="3" t="s">
        <v>35</v>
      </c>
      <c r="I781" s="6">
        <v>44593</v>
      </c>
      <c r="J781" s="4">
        <v>0</v>
      </c>
      <c r="K781" s="4">
        <v>0</v>
      </c>
      <c r="L781" s="4">
        <v>8613.9060000000009</v>
      </c>
      <c r="M781" s="4">
        <v>8613.9060000000009</v>
      </c>
      <c r="N781" s="4">
        <v>0</v>
      </c>
      <c r="O781" s="4">
        <v>0</v>
      </c>
      <c r="P781" s="4">
        <v>0</v>
      </c>
      <c r="Q781" s="3" t="s">
        <v>57</v>
      </c>
      <c r="R781" s="3">
        <v>0</v>
      </c>
      <c r="S781" s="4">
        <v>0</v>
      </c>
      <c r="T781" s="4">
        <v>21</v>
      </c>
      <c r="U781" s="4">
        <v>0</v>
      </c>
      <c r="V781" s="4">
        <f>IF(ISERROR(VLOOKUP($S$781,'TAR FIN'!$A$1:$O$113,15,0)),0,VLOOKUP($S$781,'TAR FIN'!$A$1:$O$113,15,0))</f>
        <v>0</v>
      </c>
      <c r="W781" s="4">
        <f>IF(ISERROR(VLOOKUP($T$781,'TAR FIN'!$A$1:$O$113,15,0)),0,VLOOKUP($T$781,'TAR FIN'!$A$1:$O$113,15,0))</f>
        <v>51.27</v>
      </c>
      <c r="X781" s="4">
        <f>IF(ISERROR(VLOOKUP($U$781,'TAR FIN'!$A$1:$O$113,15,0)),0,VLOOKUP($U$781,'TAR FIN'!$A$1:$O$113,15,0))</f>
        <v>0</v>
      </c>
      <c r="Y781" s="4"/>
      <c r="Z781" s="4">
        <f ca="1">('TUSD BE'!$AM$32+'TUSD BF'!$AM$32+'TUSD CVA'!$AM$32)*1</f>
        <v>65.007409626508434</v>
      </c>
      <c r="AA781" s="4"/>
      <c r="AB781" s="4">
        <f>$K$781*$V$781</f>
        <v>0</v>
      </c>
      <c r="AC781" s="4">
        <f>$M$781*$W$781</f>
        <v>441634.96062000009</v>
      </c>
      <c r="AD781" s="4">
        <f>$O$781*$X$781</f>
        <v>0</v>
      </c>
      <c r="AE781" s="4">
        <f>$K$781*$Y$781</f>
        <v>0</v>
      </c>
      <c r="AF781" s="4">
        <f ca="1">$M$781*$Z$781</f>
        <v>559967.71582623885</v>
      </c>
      <c r="AG781" s="4">
        <f>$O$781*$AA$781</f>
        <v>0</v>
      </c>
    </row>
    <row r="782" spans="1:33" ht="11.25" customHeight="1" x14ac:dyDescent="0.25">
      <c r="A782" s="3" t="s">
        <v>56</v>
      </c>
      <c r="B782" s="3" t="s">
        <v>41</v>
      </c>
      <c r="C782" s="3" t="s">
        <v>42</v>
      </c>
      <c r="D782" s="3" t="s">
        <v>38</v>
      </c>
      <c r="E782" s="3" t="s">
        <v>25</v>
      </c>
      <c r="F782" s="3" t="s">
        <v>60</v>
      </c>
      <c r="G782" s="3" t="s">
        <v>25</v>
      </c>
      <c r="H782" s="3" t="s">
        <v>35</v>
      </c>
      <c r="I782" s="6">
        <v>44621</v>
      </c>
      <c r="J782" s="4">
        <v>0</v>
      </c>
      <c r="K782" s="4">
        <v>0</v>
      </c>
      <c r="L782" s="4">
        <v>8613.9060000000009</v>
      </c>
      <c r="M782" s="4">
        <v>8613.9060000000009</v>
      </c>
      <c r="N782" s="4">
        <v>0</v>
      </c>
      <c r="O782" s="4">
        <v>0</v>
      </c>
      <c r="P782" s="4">
        <v>0</v>
      </c>
      <c r="Q782" s="3" t="s">
        <v>57</v>
      </c>
      <c r="R782" s="3">
        <v>0</v>
      </c>
      <c r="S782" s="4">
        <v>0</v>
      </c>
      <c r="T782" s="4">
        <v>21</v>
      </c>
      <c r="U782" s="4">
        <v>0</v>
      </c>
      <c r="V782" s="4">
        <f>IF(ISERROR(VLOOKUP($S$782,'TAR FIN'!$A$1:$O$113,15,0)),0,VLOOKUP($S$782,'TAR FIN'!$A$1:$O$113,15,0))</f>
        <v>0</v>
      </c>
      <c r="W782" s="4">
        <f>IF(ISERROR(VLOOKUP($T$782,'TAR FIN'!$A$1:$O$113,15,0)),0,VLOOKUP($T$782,'TAR FIN'!$A$1:$O$113,15,0))</f>
        <v>51.27</v>
      </c>
      <c r="X782" s="4">
        <f>IF(ISERROR(VLOOKUP($U$782,'TAR FIN'!$A$1:$O$113,15,0)),0,VLOOKUP($U$782,'TAR FIN'!$A$1:$O$113,15,0))</f>
        <v>0</v>
      </c>
      <c r="Y782" s="4"/>
      <c r="Z782" s="4">
        <f ca="1">('TUSD BE'!$AM$32+'TUSD BF'!$AM$32+'TUSD CVA'!$AM$32)*1</f>
        <v>65.007409626508434</v>
      </c>
      <c r="AA782" s="4"/>
      <c r="AB782" s="4">
        <f>$K$782*$V$782</f>
        <v>0</v>
      </c>
      <c r="AC782" s="4">
        <f>$M$782*$W$782</f>
        <v>441634.96062000009</v>
      </c>
      <c r="AD782" s="4">
        <f>$O$782*$X$782</f>
        <v>0</v>
      </c>
      <c r="AE782" s="4">
        <f>$K$782*$Y$782</f>
        <v>0</v>
      </c>
      <c r="AF782" s="4">
        <f ca="1">$M$782*$Z$782</f>
        <v>559967.71582623885</v>
      </c>
      <c r="AG782" s="4">
        <f>$O$782*$AA$782</f>
        <v>0</v>
      </c>
    </row>
    <row r="783" spans="1:33" ht="11.25" customHeight="1" x14ac:dyDescent="0.25">
      <c r="A783" s="3" t="s">
        <v>21</v>
      </c>
      <c r="B783" s="3" t="s">
        <v>41</v>
      </c>
      <c r="C783" s="3" t="s">
        <v>42</v>
      </c>
      <c r="D783" s="3" t="s">
        <v>38</v>
      </c>
      <c r="E783" s="3" t="s">
        <v>25</v>
      </c>
      <c r="F783" s="3" t="s">
        <v>60</v>
      </c>
      <c r="G783" s="3" t="s">
        <v>25</v>
      </c>
      <c r="H783" s="3" t="s">
        <v>25</v>
      </c>
      <c r="I783" s="6">
        <v>44287</v>
      </c>
      <c r="J783" s="4">
        <v>23269</v>
      </c>
      <c r="K783" s="4">
        <v>10642.111355429999</v>
      </c>
      <c r="L783" s="4">
        <v>0</v>
      </c>
      <c r="M783" s="4">
        <v>0</v>
      </c>
      <c r="N783" s="4">
        <v>0</v>
      </c>
      <c r="O783" s="4">
        <v>0</v>
      </c>
      <c r="P783" s="4">
        <v>42</v>
      </c>
      <c r="Q783" s="3" t="s">
        <v>57</v>
      </c>
      <c r="R783" s="3">
        <v>0</v>
      </c>
      <c r="S783" s="4">
        <v>44</v>
      </c>
      <c r="T783" s="4">
        <v>0</v>
      </c>
      <c r="U783" s="4">
        <v>0</v>
      </c>
      <c r="V783" s="4">
        <f>IF(ISERROR(VLOOKUP($S$783,'TAR FIN'!$A$1:$O$113,15,0)),0,VLOOKUP($S$783,'TAR FIN'!$A$1:$O$113,15,0))</f>
        <v>24.31</v>
      </c>
      <c r="W783" s="4">
        <f>IF(ISERROR(VLOOKUP($T$783,'TAR FIN'!$A$1:$O$113,15,0)),0,VLOOKUP($T$783,'TAR FIN'!$A$1:$O$113,15,0))</f>
        <v>0</v>
      </c>
      <c r="X783" s="4">
        <f>IF(ISERROR(VLOOKUP($U$783,'TAR FIN'!$A$1:$O$113,15,0)),0,VLOOKUP($U$783,'TAR FIN'!$A$1:$O$113,15,0))</f>
        <v>0</v>
      </c>
      <c r="Y783" s="4">
        <f ca="1">('TUSD BE'!$AM$30+'TUSD BF'!$AM$30+'TUSD CVA'!$AM$30)*1</f>
        <v>26.598074646640526</v>
      </c>
      <c r="Z783" s="4"/>
      <c r="AA783" s="4"/>
      <c r="AB783" s="4">
        <f>$K$783*$V$783</f>
        <v>258709.72705050325</v>
      </c>
      <c r="AC783" s="4">
        <f>$M$783*$W$783</f>
        <v>0</v>
      </c>
      <c r="AD783" s="4">
        <f>$O$783*$X$783</f>
        <v>0</v>
      </c>
      <c r="AE783" s="4">
        <f ca="1">$K$783*$Y$783</f>
        <v>283059.67222958792</v>
      </c>
      <c r="AF783" s="4">
        <f>$M$783*$Z$783</f>
        <v>0</v>
      </c>
      <c r="AG783" s="4">
        <f>$O$783*$AA$783</f>
        <v>0</v>
      </c>
    </row>
    <row r="784" spans="1:33" ht="11.25" customHeight="1" x14ac:dyDescent="0.25">
      <c r="A784" s="3" t="s">
        <v>21</v>
      </c>
      <c r="B784" s="3" t="s">
        <v>41</v>
      </c>
      <c r="C784" s="3" t="s">
        <v>42</v>
      </c>
      <c r="D784" s="3" t="s">
        <v>38</v>
      </c>
      <c r="E784" s="3" t="s">
        <v>25</v>
      </c>
      <c r="F784" s="3" t="s">
        <v>60</v>
      </c>
      <c r="G784" s="3" t="s">
        <v>25</v>
      </c>
      <c r="H784" s="3" t="s">
        <v>25</v>
      </c>
      <c r="I784" s="6">
        <v>44317</v>
      </c>
      <c r="J784" s="4">
        <v>23235</v>
      </c>
      <c r="K784" s="4">
        <v>12628.432544400001</v>
      </c>
      <c r="L784" s="4">
        <v>0</v>
      </c>
      <c r="M784" s="4">
        <v>0</v>
      </c>
      <c r="N784" s="4">
        <v>0</v>
      </c>
      <c r="O784" s="4">
        <v>0</v>
      </c>
      <c r="P784" s="4">
        <v>43</v>
      </c>
      <c r="Q784" s="3" t="s">
        <v>57</v>
      </c>
      <c r="R784" s="3">
        <v>0</v>
      </c>
      <c r="S784" s="4">
        <v>44</v>
      </c>
      <c r="T784" s="4">
        <v>0</v>
      </c>
      <c r="U784" s="4">
        <v>0</v>
      </c>
      <c r="V784" s="4">
        <f>IF(ISERROR(VLOOKUP($S$784,'TAR FIN'!$A$1:$O$113,15,0)),0,VLOOKUP($S$784,'TAR FIN'!$A$1:$O$113,15,0))</f>
        <v>24.31</v>
      </c>
      <c r="W784" s="4">
        <f>IF(ISERROR(VLOOKUP($T$784,'TAR FIN'!$A$1:$O$113,15,0)),0,VLOOKUP($T$784,'TAR FIN'!$A$1:$O$113,15,0))</f>
        <v>0</v>
      </c>
      <c r="X784" s="4">
        <f>IF(ISERROR(VLOOKUP($U$784,'TAR FIN'!$A$1:$O$113,15,0)),0,VLOOKUP($U$784,'TAR FIN'!$A$1:$O$113,15,0))</f>
        <v>0</v>
      </c>
      <c r="Y784" s="4">
        <f ca="1">('TUSD BE'!$AM$30+'TUSD BF'!$AM$30+'TUSD CVA'!$AM$30)*1</f>
        <v>26.598074646640526</v>
      </c>
      <c r="Z784" s="4"/>
      <c r="AA784" s="4"/>
      <c r="AB784" s="4">
        <f>$K$784*$V$784</f>
        <v>306997.19515436399</v>
      </c>
      <c r="AC784" s="4">
        <f>$M$784*$W$784</f>
        <v>0</v>
      </c>
      <c r="AD784" s="4">
        <f>$O$784*$X$784</f>
        <v>0</v>
      </c>
      <c r="AE784" s="4">
        <f ca="1">$K$784*$Y$784</f>
        <v>335891.99148601579</v>
      </c>
      <c r="AF784" s="4">
        <f>$M$784*$Z$784</f>
        <v>0</v>
      </c>
      <c r="AG784" s="4">
        <f>$O$784*$AA$784</f>
        <v>0</v>
      </c>
    </row>
    <row r="785" spans="1:33" ht="11.25" customHeight="1" x14ac:dyDescent="0.25">
      <c r="A785" s="3" t="s">
        <v>21</v>
      </c>
      <c r="B785" s="3" t="s">
        <v>41</v>
      </c>
      <c r="C785" s="3" t="s">
        <v>42</v>
      </c>
      <c r="D785" s="3" t="s">
        <v>38</v>
      </c>
      <c r="E785" s="3" t="s">
        <v>25</v>
      </c>
      <c r="F785" s="3" t="s">
        <v>60</v>
      </c>
      <c r="G785" s="3" t="s">
        <v>25</v>
      </c>
      <c r="H785" s="3" t="s">
        <v>25</v>
      </c>
      <c r="I785" s="6">
        <v>44348</v>
      </c>
      <c r="J785" s="4">
        <v>24006</v>
      </c>
      <c r="K785" s="4">
        <v>12884.823440759999</v>
      </c>
      <c r="L785" s="4">
        <v>0</v>
      </c>
      <c r="M785" s="4">
        <v>0</v>
      </c>
      <c r="N785" s="4">
        <v>0</v>
      </c>
      <c r="O785" s="4">
        <v>0</v>
      </c>
      <c r="P785" s="4">
        <v>45</v>
      </c>
      <c r="Q785" s="3" t="s">
        <v>57</v>
      </c>
      <c r="R785" s="3">
        <v>0</v>
      </c>
      <c r="S785" s="4">
        <v>44</v>
      </c>
      <c r="T785" s="4">
        <v>0</v>
      </c>
      <c r="U785" s="4">
        <v>0</v>
      </c>
      <c r="V785" s="4">
        <f>IF(ISERROR(VLOOKUP($S$785,'TAR FIN'!$A$1:$O$113,15,0)),0,VLOOKUP($S$785,'TAR FIN'!$A$1:$O$113,15,0))</f>
        <v>24.31</v>
      </c>
      <c r="W785" s="4">
        <f>IF(ISERROR(VLOOKUP($T$785,'TAR FIN'!$A$1:$O$113,15,0)),0,VLOOKUP($T$785,'TAR FIN'!$A$1:$O$113,15,0))</f>
        <v>0</v>
      </c>
      <c r="X785" s="4">
        <f>IF(ISERROR(VLOOKUP($U$785,'TAR FIN'!$A$1:$O$113,15,0)),0,VLOOKUP($U$785,'TAR FIN'!$A$1:$O$113,15,0))</f>
        <v>0</v>
      </c>
      <c r="Y785" s="4">
        <f ca="1">('TUSD BE'!$AM$30+'TUSD BF'!$AM$30+'TUSD CVA'!$AM$30)*1</f>
        <v>26.598074646640526</v>
      </c>
      <c r="Z785" s="4"/>
      <c r="AA785" s="4"/>
      <c r="AB785" s="4">
        <f>$K$785*$V$785</f>
        <v>313230.05784487556</v>
      </c>
      <c r="AC785" s="4">
        <f>$M$785*$W$785</f>
        <v>0</v>
      </c>
      <c r="AD785" s="4">
        <f>$O$785*$X$785</f>
        <v>0</v>
      </c>
      <c r="AE785" s="4">
        <f ca="1">$K$785*$Y$785</f>
        <v>342711.49568611808</v>
      </c>
      <c r="AF785" s="4">
        <f>$M$785*$Z$785</f>
        <v>0</v>
      </c>
      <c r="AG785" s="4">
        <f>$O$785*$AA$785</f>
        <v>0</v>
      </c>
    </row>
    <row r="786" spans="1:33" ht="11.25" customHeight="1" x14ac:dyDescent="0.25">
      <c r="A786" s="3" t="s">
        <v>21</v>
      </c>
      <c r="B786" s="3" t="s">
        <v>41</v>
      </c>
      <c r="C786" s="3" t="s">
        <v>42</v>
      </c>
      <c r="D786" s="3" t="s">
        <v>38</v>
      </c>
      <c r="E786" s="3" t="s">
        <v>25</v>
      </c>
      <c r="F786" s="3" t="s">
        <v>60</v>
      </c>
      <c r="G786" s="3" t="s">
        <v>25</v>
      </c>
      <c r="H786" s="3" t="s">
        <v>25</v>
      </c>
      <c r="I786" s="6">
        <v>44378</v>
      </c>
      <c r="J786" s="4">
        <v>24430</v>
      </c>
      <c r="K786" s="4">
        <v>11263.2457994</v>
      </c>
      <c r="L786" s="4">
        <v>0</v>
      </c>
      <c r="M786" s="4">
        <v>0</v>
      </c>
      <c r="N786" s="4">
        <v>0</v>
      </c>
      <c r="O786" s="4">
        <v>0</v>
      </c>
      <c r="P786" s="4">
        <v>48</v>
      </c>
      <c r="Q786" s="3" t="s">
        <v>57</v>
      </c>
      <c r="R786" s="3">
        <v>0</v>
      </c>
      <c r="S786" s="4">
        <v>44</v>
      </c>
      <c r="T786" s="4">
        <v>0</v>
      </c>
      <c r="U786" s="4">
        <v>0</v>
      </c>
      <c r="V786" s="4">
        <f>IF(ISERROR(VLOOKUP($S$786,'TAR FIN'!$A$1:$O$113,15,0)),0,VLOOKUP($S$786,'TAR FIN'!$A$1:$O$113,15,0))</f>
        <v>24.31</v>
      </c>
      <c r="W786" s="4">
        <f>IF(ISERROR(VLOOKUP($T$786,'TAR FIN'!$A$1:$O$113,15,0)),0,VLOOKUP($T$786,'TAR FIN'!$A$1:$O$113,15,0))</f>
        <v>0</v>
      </c>
      <c r="X786" s="4">
        <f>IF(ISERROR(VLOOKUP($U$786,'TAR FIN'!$A$1:$O$113,15,0)),0,VLOOKUP($U$786,'TAR FIN'!$A$1:$O$113,15,0))</f>
        <v>0</v>
      </c>
      <c r="Y786" s="4">
        <f ca="1">('TUSD BE'!$AM$30+'TUSD BF'!$AM$30+'TUSD CVA'!$AM$30)*1</f>
        <v>26.598074646640526</v>
      </c>
      <c r="Z786" s="4"/>
      <c r="AA786" s="4"/>
      <c r="AB786" s="4">
        <f>$K$786*$V$786</f>
        <v>273809.50538341398</v>
      </c>
      <c r="AC786" s="4">
        <f>$M$786*$W$786</f>
        <v>0</v>
      </c>
      <c r="AD786" s="4">
        <f>$O$786*$X$786</f>
        <v>0</v>
      </c>
      <c r="AE786" s="4">
        <f ca="1">$K$786*$Y$786</f>
        <v>299580.65253590152</v>
      </c>
      <c r="AF786" s="4">
        <f>$M$786*$Z$786</f>
        <v>0</v>
      </c>
      <c r="AG786" s="4">
        <f>$O$786*$AA$786</f>
        <v>0</v>
      </c>
    </row>
    <row r="787" spans="1:33" ht="11.25" customHeight="1" x14ac:dyDescent="0.25">
      <c r="A787" s="3" t="s">
        <v>21</v>
      </c>
      <c r="B787" s="3" t="s">
        <v>41</v>
      </c>
      <c r="C787" s="3" t="s">
        <v>42</v>
      </c>
      <c r="D787" s="3" t="s">
        <v>38</v>
      </c>
      <c r="E787" s="3" t="s">
        <v>25</v>
      </c>
      <c r="F787" s="3" t="s">
        <v>60</v>
      </c>
      <c r="G787" s="3" t="s">
        <v>25</v>
      </c>
      <c r="H787" s="3" t="s">
        <v>25</v>
      </c>
      <c r="I787" s="6">
        <v>44409</v>
      </c>
      <c r="J787" s="4">
        <v>22743</v>
      </c>
      <c r="K787" s="4">
        <v>10533.04655508</v>
      </c>
      <c r="L787" s="4">
        <v>0</v>
      </c>
      <c r="M787" s="4">
        <v>0</v>
      </c>
      <c r="N787" s="4">
        <v>0</v>
      </c>
      <c r="O787" s="4">
        <v>0</v>
      </c>
      <c r="P787" s="4">
        <v>45</v>
      </c>
      <c r="Q787" s="3" t="s">
        <v>57</v>
      </c>
      <c r="R787" s="3">
        <v>0</v>
      </c>
      <c r="S787" s="4">
        <v>44</v>
      </c>
      <c r="T787" s="4">
        <v>0</v>
      </c>
      <c r="U787" s="4">
        <v>0</v>
      </c>
      <c r="V787" s="4">
        <f>IF(ISERROR(VLOOKUP($S$787,'TAR FIN'!$A$1:$O$113,15,0)),0,VLOOKUP($S$787,'TAR FIN'!$A$1:$O$113,15,0))</f>
        <v>24.31</v>
      </c>
      <c r="W787" s="4">
        <f>IF(ISERROR(VLOOKUP($T$787,'TAR FIN'!$A$1:$O$113,15,0)),0,VLOOKUP($T$787,'TAR FIN'!$A$1:$O$113,15,0))</f>
        <v>0</v>
      </c>
      <c r="X787" s="4">
        <f>IF(ISERROR(VLOOKUP($U$787,'TAR FIN'!$A$1:$O$113,15,0)),0,VLOOKUP($U$787,'TAR FIN'!$A$1:$O$113,15,0))</f>
        <v>0</v>
      </c>
      <c r="Y787" s="4">
        <f ca="1">('TUSD BE'!$AM$30+'TUSD BF'!$AM$30+'TUSD CVA'!$AM$30)*1</f>
        <v>26.598074646640526</v>
      </c>
      <c r="Z787" s="4"/>
      <c r="AA787" s="4"/>
      <c r="AB787" s="4">
        <f>$K$787*$V$787</f>
        <v>256058.36175399477</v>
      </c>
      <c r="AC787" s="4">
        <f>$M$787*$W$787</f>
        <v>0</v>
      </c>
      <c r="AD787" s="4">
        <f>$O$787*$X$787</f>
        <v>0</v>
      </c>
      <c r="AE787" s="4">
        <f ca="1">$K$787*$Y$787</f>
        <v>280158.75852855766</v>
      </c>
      <c r="AF787" s="4">
        <f>$M$787*$Z$787</f>
        <v>0</v>
      </c>
      <c r="AG787" s="4">
        <f>$O$787*$AA$787</f>
        <v>0</v>
      </c>
    </row>
    <row r="788" spans="1:33" ht="11.25" customHeight="1" x14ac:dyDescent="0.25">
      <c r="A788" s="3" t="s">
        <v>21</v>
      </c>
      <c r="B788" s="3" t="s">
        <v>41</v>
      </c>
      <c r="C788" s="3" t="s">
        <v>42</v>
      </c>
      <c r="D788" s="3" t="s">
        <v>38</v>
      </c>
      <c r="E788" s="3" t="s">
        <v>25</v>
      </c>
      <c r="F788" s="3" t="s">
        <v>60</v>
      </c>
      <c r="G788" s="3" t="s">
        <v>25</v>
      </c>
      <c r="H788" s="3" t="s">
        <v>25</v>
      </c>
      <c r="I788" s="6">
        <v>44440</v>
      </c>
      <c r="J788" s="4">
        <v>26726</v>
      </c>
      <c r="K788" s="4">
        <v>12047.426013</v>
      </c>
      <c r="L788" s="4">
        <v>0</v>
      </c>
      <c r="M788" s="4">
        <v>0</v>
      </c>
      <c r="N788" s="4">
        <v>0</v>
      </c>
      <c r="O788" s="4">
        <v>0</v>
      </c>
      <c r="P788" s="4">
        <v>51</v>
      </c>
      <c r="Q788" s="3" t="s">
        <v>57</v>
      </c>
      <c r="R788" s="3">
        <v>0</v>
      </c>
      <c r="S788" s="4">
        <v>44</v>
      </c>
      <c r="T788" s="4">
        <v>0</v>
      </c>
      <c r="U788" s="4">
        <v>0</v>
      </c>
      <c r="V788" s="4">
        <f>IF(ISERROR(VLOOKUP($S$788,'TAR FIN'!$A$1:$O$113,15,0)),0,VLOOKUP($S$788,'TAR FIN'!$A$1:$O$113,15,0))</f>
        <v>24.31</v>
      </c>
      <c r="W788" s="4">
        <f>IF(ISERROR(VLOOKUP($T$788,'TAR FIN'!$A$1:$O$113,15,0)),0,VLOOKUP($T$788,'TAR FIN'!$A$1:$O$113,15,0))</f>
        <v>0</v>
      </c>
      <c r="X788" s="4">
        <f>IF(ISERROR(VLOOKUP($U$788,'TAR FIN'!$A$1:$O$113,15,0)),0,VLOOKUP($U$788,'TAR FIN'!$A$1:$O$113,15,0))</f>
        <v>0</v>
      </c>
      <c r="Y788" s="4">
        <f ca="1">('TUSD BE'!$AM$30+'TUSD BF'!$AM$30+'TUSD CVA'!$AM$30)*1</f>
        <v>26.598074646640526</v>
      </c>
      <c r="Z788" s="4"/>
      <c r="AA788" s="4"/>
      <c r="AB788" s="4">
        <f>$K$788*$V$788</f>
        <v>292872.92637602997</v>
      </c>
      <c r="AC788" s="4">
        <f>$M$788*$W$788</f>
        <v>0</v>
      </c>
      <c r="AD788" s="4">
        <f>$O$788*$X$788</f>
        <v>0</v>
      </c>
      <c r="AE788" s="4">
        <f ca="1">$K$788*$Y$788</f>
        <v>320438.33639365289</v>
      </c>
      <c r="AF788" s="4">
        <f>$M$788*$Z$788</f>
        <v>0</v>
      </c>
      <c r="AG788" s="4">
        <f>$O$788*$AA$788</f>
        <v>0</v>
      </c>
    </row>
    <row r="789" spans="1:33" ht="11.25" customHeight="1" x14ac:dyDescent="0.25">
      <c r="A789" s="3" t="s">
        <v>21</v>
      </c>
      <c r="B789" s="3" t="s">
        <v>41</v>
      </c>
      <c r="C789" s="3" t="s">
        <v>42</v>
      </c>
      <c r="D789" s="3" t="s">
        <v>38</v>
      </c>
      <c r="E789" s="3" t="s">
        <v>25</v>
      </c>
      <c r="F789" s="3" t="s">
        <v>60</v>
      </c>
      <c r="G789" s="3" t="s">
        <v>25</v>
      </c>
      <c r="H789" s="3" t="s">
        <v>25</v>
      </c>
      <c r="I789" s="6">
        <v>44470</v>
      </c>
      <c r="J789" s="4">
        <v>27408</v>
      </c>
      <c r="K789" s="4">
        <v>12046.95233568</v>
      </c>
      <c r="L789" s="4">
        <v>0</v>
      </c>
      <c r="M789" s="4">
        <v>0</v>
      </c>
      <c r="N789" s="4">
        <v>0</v>
      </c>
      <c r="O789" s="4">
        <v>0</v>
      </c>
      <c r="P789" s="4">
        <v>52</v>
      </c>
      <c r="Q789" s="3" t="s">
        <v>57</v>
      </c>
      <c r="R789" s="3">
        <v>0</v>
      </c>
      <c r="S789" s="4">
        <v>44</v>
      </c>
      <c r="T789" s="4">
        <v>0</v>
      </c>
      <c r="U789" s="4">
        <v>0</v>
      </c>
      <c r="V789" s="4">
        <f>IF(ISERROR(VLOOKUP($S$789,'TAR FIN'!$A$1:$O$113,15,0)),0,VLOOKUP($S$789,'TAR FIN'!$A$1:$O$113,15,0))</f>
        <v>24.31</v>
      </c>
      <c r="W789" s="4">
        <f>IF(ISERROR(VLOOKUP($T$789,'TAR FIN'!$A$1:$O$113,15,0)),0,VLOOKUP($T$789,'TAR FIN'!$A$1:$O$113,15,0))</f>
        <v>0</v>
      </c>
      <c r="X789" s="4">
        <f>IF(ISERROR(VLOOKUP($U$789,'TAR FIN'!$A$1:$O$113,15,0)),0,VLOOKUP($U$789,'TAR FIN'!$A$1:$O$113,15,0))</f>
        <v>0</v>
      </c>
      <c r="Y789" s="4">
        <f ca="1">('TUSD BE'!$AM$30+'TUSD BF'!$AM$30+'TUSD CVA'!$AM$30)*1</f>
        <v>26.598074646640526</v>
      </c>
      <c r="Z789" s="4"/>
      <c r="AA789" s="4"/>
      <c r="AB789" s="4">
        <f>$K$789*$V$789</f>
        <v>292861.41128038079</v>
      </c>
      <c r="AC789" s="4">
        <f>$M$789*$W$789</f>
        <v>0</v>
      </c>
      <c r="AD789" s="4">
        <f>$O$789*$X$789</f>
        <v>0</v>
      </c>
      <c r="AE789" s="4">
        <f ca="1">$K$789*$Y$789</f>
        <v>320425.7374889371</v>
      </c>
      <c r="AF789" s="4">
        <f>$M$789*$Z$789</f>
        <v>0</v>
      </c>
      <c r="AG789" s="4">
        <f>$O$789*$AA$789</f>
        <v>0</v>
      </c>
    </row>
    <row r="790" spans="1:33" ht="11.25" customHeight="1" x14ac:dyDescent="0.25">
      <c r="A790" s="3" t="s">
        <v>21</v>
      </c>
      <c r="B790" s="3" t="s">
        <v>41</v>
      </c>
      <c r="C790" s="3" t="s">
        <v>42</v>
      </c>
      <c r="D790" s="3" t="s">
        <v>38</v>
      </c>
      <c r="E790" s="3" t="s">
        <v>25</v>
      </c>
      <c r="F790" s="3" t="s">
        <v>60</v>
      </c>
      <c r="G790" s="3" t="s">
        <v>25</v>
      </c>
      <c r="H790" s="3" t="s">
        <v>25</v>
      </c>
      <c r="I790" s="6">
        <v>44501</v>
      </c>
      <c r="J790" s="4">
        <v>28700</v>
      </c>
      <c r="K790" s="4">
        <v>13059.603228</v>
      </c>
      <c r="L790" s="4">
        <v>0</v>
      </c>
      <c r="M790" s="4">
        <v>0</v>
      </c>
      <c r="N790" s="4">
        <v>0</v>
      </c>
      <c r="O790" s="4">
        <v>0</v>
      </c>
      <c r="P790" s="4">
        <v>54</v>
      </c>
      <c r="Q790" s="3" t="s">
        <v>57</v>
      </c>
      <c r="R790" s="3">
        <v>0</v>
      </c>
      <c r="S790" s="4">
        <v>44</v>
      </c>
      <c r="T790" s="4">
        <v>0</v>
      </c>
      <c r="U790" s="4">
        <v>0</v>
      </c>
      <c r="V790" s="4">
        <f>IF(ISERROR(VLOOKUP($S$790,'TAR FIN'!$A$1:$O$113,15,0)),0,VLOOKUP($S$790,'TAR FIN'!$A$1:$O$113,15,0))</f>
        <v>24.31</v>
      </c>
      <c r="W790" s="4">
        <f>IF(ISERROR(VLOOKUP($T$790,'TAR FIN'!$A$1:$O$113,15,0)),0,VLOOKUP($T$790,'TAR FIN'!$A$1:$O$113,15,0))</f>
        <v>0</v>
      </c>
      <c r="X790" s="4">
        <f>IF(ISERROR(VLOOKUP($U$790,'TAR FIN'!$A$1:$O$113,15,0)),0,VLOOKUP($U$790,'TAR FIN'!$A$1:$O$113,15,0))</f>
        <v>0</v>
      </c>
      <c r="Y790" s="4">
        <f ca="1">('TUSD BE'!$AM$30+'TUSD BF'!$AM$30+'TUSD CVA'!$AM$30)*1</f>
        <v>26.598074646640526</v>
      </c>
      <c r="Z790" s="4"/>
      <c r="AA790" s="4"/>
      <c r="AB790" s="4">
        <f>$K$790*$V$790</f>
        <v>317478.95447267999</v>
      </c>
      <c r="AC790" s="4">
        <f>$M$790*$W$790</f>
        <v>0</v>
      </c>
      <c r="AD790" s="4">
        <f>$O$790*$X$790</f>
        <v>0</v>
      </c>
      <c r="AE790" s="4">
        <f ca="1">$K$790*$Y$790</f>
        <v>347360.30151385156</v>
      </c>
      <c r="AF790" s="4">
        <f>$M$790*$Z$790</f>
        <v>0</v>
      </c>
      <c r="AG790" s="4">
        <f>$O$790*$AA$790</f>
        <v>0</v>
      </c>
    </row>
    <row r="791" spans="1:33" ht="11.25" customHeight="1" x14ac:dyDescent="0.25">
      <c r="A791" s="3" t="s">
        <v>21</v>
      </c>
      <c r="B791" s="3" t="s">
        <v>41</v>
      </c>
      <c r="C791" s="3" t="s">
        <v>42</v>
      </c>
      <c r="D791" s="3" t="s">
        <v>38</v>
      </c>
      <c r="E791" s="3" t="s">
        <v>25</v>
      </c>
      <c r="F791" s="3" t="s">
        <v>60</v>
      </c>
      <c r="G791" s="3" t="s">
        <v>25</v>
      </c>
      <c r="H791" s="3" t="s">
        <v>25</v>
      </c>
      <c r="I791" s="6">
        <v>44531</v>
      </c>
      <c r="J791" s="4">
        <v>28741</v>
      </c>
      <c r="K791" s="4">
        <v>13238.41529021</v>
      </c>
      <c r="L791" s="4">
        <v>0</v>
      </c>
      <c r="M791" s="4">
        <v>0</v>
      </c>
      <c r="N791" s="4">
        <v>0</v>
      </c>
      <c r="O791" s="4">
        <v>0</v>
      </c>
      <c r="P791" s="4">
        <v>54</v>
      </c>
      <c r="Q791" s="3" t="s">
        <v>57</v>
      </c>
      <c r="R791" s="3">
        <v>0</v>
      </c>
      <c r="S791" s="4">
        <v>44</v>
      </c>
      <c r="T791" s="4">
        <v>0</v>
      </c>
      <c r="U791" s="4">
        <v>0</v>
      </c>
      <c r="V791" s="4">
        <f>IF(ISERROR(VLOOKUP($S$791,'TAR FIN'!$A$1:$O$113,15,0)),0,VLOOKUP($S$791,'TAR FIN'!$A$1:$O$113,15,0))</f>
        <v>24.31</v>
      </c>
      <c r="W791" s="4">
        <f>IF(ISERROR(VLOOKUP($T$791,'TAR FIN'!$A$1:$O$113,15,0)),0,VLOOKUP($T$791,'TAR FIN'!$A$1:$O$113,15,0))</f>
        <v>0</v>
      </c>
      <c r="X791" s="4">
        <f>IF(ISERROR(VLOOKUP($U$791,'TAR FIN'!$A$1:$O$113,15,0)),0,VLOOKUP($U$791,'TAR FIN'!$A$1:$O$113,15,0))</f>
        <v>0</v>
      </c>
      <c r="Y791" s="4">
        <f ca="1">('TUSD BE'!$AM$30+'TUSD BF'!$AM$30+'TUSD CVA'!$AM$30)*1</f>
        <v>26.598074646640526</v>
      </c>
      <c r="Z791" s="4"/>
      <c r="AA791" s="4"/>
      <c r="AB791" s="4">
        <f>$K$791*$V$791</f>
        <v>321825.87570500508</v>
      </c>
      <c r="AC791" s="4">
        <f>$M$791*$W$791</f>
        <v>0</v>
      </c>
      <c r="AD791" s="4">
        <f>$O$791*$X$791</f>
        <v>0</v>
      </c>
      <c r="AE791" s="4">
        <f ca="1">$K$791*$Y$791</f>
        <v>352116.3580922329</v>
      </c>
      <c r="AF791" s="4">
        <f>$M$791*$Z$791</f>
        <v>0</v>
      </c>
      <c r="AG791" s="4">
        <f>$O$791*$AA$791</f>
        <v>0</v>
      </c>
    </row>
    <row r="792" spans="1:33" ht="11.25" customHeight="1" x14ac:dyDescent="0.25">
      <c r="A792" s="3" t="s">
        <v>21</v>
      </c>
      <c r="B792" s="3" t="s">
        <v>41</v>
      </c>
      <c r="C792" s="3" t="s">
        <v>42</v>
      </c>
      <c r="D792" s="3" t="s">
        <v>38</v>
      </c>
      <c r="E792" s="3" t="s">
        <v>25</v>
      </c>
      <c r="F792" s="3" t="s">
        <v>60</v>
      </c>
      <c r="G792" s="3" t="s">
        <v>25</v>
      </c>
      <c r="H792" s="3" t="s">
        <v>25</v>
      </c>
      <c r="I792" s="6">
        <v>44562</v>
      </c>
      <c r="J792" s="4">
        <v>30936</v>
      </c>
      <c r="K792" s="4">
        <v>14142.4681932</v>
      </c>
      <c r="L792" s="4">
        <v>0</v>
      </c>
      <c r="M792" s="4">
        <v>0</v>
      </c>
      <c r="N792" s="4">
        <v>0</v>
      </c>
      <c r="O792" s="4">
        <v>0</v>
      </c>
      <c r="P792" s="4">
        <v>61</v>
      </c>
      <c r="Q792" s="3" t="s">
        <v>57</v>
      </c>
      <c r="R792" s="3">
        <v>0</v>
      </c>
      <c r="S792" s="4">
        <v>44</v>
      </c>
      <c r="T792" s="4">
        <v>0</v>
      </c>
      <c r="U792" s="4">
        <v>0</v>
      </c>
      <c r="V792" s="4">
        <f>IF(ISERROR(VLOOKUP($S$792,'TAR FIN'!$A$1:$O$113,15,0)),0,VLOOKUP($S$792,'TAR FIN'!$A$1:$O$113,15,0))</f>
        <v>24.31</v>
      </c>
      <c r="W792" s="4">
        <f>IF(ISERROR(VLOOKUP($T$792,'TAR FIN'!$A$1:$O$113,15,0)),0,VLOOKUP($T$792,'TAR FIN'!$A$1:$O$113,15,0))</f>
        <v>0</v>
      </c>
      <c r="X792" s="4">
        <f>IF(ISERROR(VLOOKUP($U$792,'TAR FIN'!$A$1:$O$113,15,0)),0,VLOOKUP($U$792,'TAR FIN'!$A$1:$O$113,15,0))</f>
        <v>0</v>
      </c>
      <c r="Y792" s="4">
        <f ca="1">('TUSD BE'!$AM$30+'TUSD BF'!$AM$30+'TUSD CVA'!$AM$30)*1</f>
        <v>26.598074646640526</v>
      </c>
      <c r="Z792" s="4"/>
      <c r="AA792" s="4"/>
      <c r="AB792" s="4">
        <f>$K$792*$V$792</f>
        <v>343803.40177669202</v>
      </c>
      <c r="AC792" s="4">
        <f>$M$792*$W$792</f>
        <v>0</v>
      </c>
      <c r="AD792" s="4">
        <f>$O$792*$X$792</f>
        <v>0</v>
      </c>
      <c r="AE792" s="4">
        <f ca="1">$K$792*$Y$792</f>
        <v>376162.42469047301</v>
      </c>
      <c r="AF792" s="4">
        <f>$M$792*$Z$792</f>
        <v>0</v>
      </c>
      <c r="AG792" s="4">
        <f>$O$792*$AA$792</f>
        <v>0</v>
      </c>
    </row>
    <row r="793" spans="1:33" ht="11.25" customHeight="1" x14ac:dyDescent="0.25">
      <c r="A793" s="3" t="s">
        <v>21</v>
      </c>
      <c r="B793" s="3" t="s">
        <v>41</v>
      </c>
      <c r="C793" s="3" t="s">
        <v>42</v>
      </c>
      <c r="D793" s="3" t="s">
        <v>38</v>
      </c>
      <c r="E793" s="3" t="s">
        <v>25</v>
      </c>
      <c r="F793" s="3" t="s">
        <v>60</v>
      </c>
      <c r="G793" s="3" t="s">
        <v>25</v>
      </c>
      <c r="H793" s="3" t="s">
        <v>25</v>
      </c>
      <c r="I793" s="6">
        <v>44593</v>
      </c>
      <c r="J793" s="4">
        <v>31779</v>
      </c>
      <c r="K793" s="4">
        <v>14638.08270375</v>
      </c>
      <c r="L793" s="4">
        <v>0</v>
      </c>
      <c r="M793" s="4">
        <v>0</v>
      </c>
      <c r="N793" s="4">
        <v>0</v>
      </c>
      <c r="O793" s="4">
        <v>0</v>
      </c>
      <c r="P793" s="4">
        <v>69</v>
      </c>
      <c r="Q793" s="3" t="s">
        <v>57</v>
      </c>
      <c r="R793" s="3">
        <v>0</v>
      </c>
      <c r="S793" s="4">
        <v>44</v>
      </c>
      <c r="T793" s="4">
        <v>0</v>
      </c>
      <c r="U793" s="4">
        <v>0</v>
      </c>
      <c r="V793" s="4">
        <f>IF(ISERROR(VLOOKUP($S$793,'TAR FIN'!$A$1:$O$113,15,0)),0,VLOOKUP($S$793,'TAR FIN'!$A$1:$O$113,15,0))</f>
        <v>24.31</v>
      </c>
      <c r="W793" s="4">
        <f>IF(ISERROR(VLOOKUP($T$793,'TAR FIN'!$A$1:$O$113,15,0)),0,VLOOKUP($T$793,'TAR FIN'!$A$1:$O$113,15,0))</f>
        <v>0</v>
      </c>
      <c r="X793" s="4">
        <f>IF(ISERROR(VLOOKUP($U$793,'TAR FIN'!$A$1:$O$113,15,0)),0,VLOOKUP($U$793,'TAR FIN'!$A$1:$O$113,15,0))</f>
        <v>0</v>
      </c>
      <c r="Y793" s="4">
        <f ca="1">('TUSD BE'!$AM$30+'TUSD BF'!$AM$30+'TUSD CVA'!$AM$30)*1</f>
        <v>26.598074646640526</v>
      </c>
      <c r="Z793" s="4"/>
      <c r="AA793" s="4"/>
      <c r="AB793" s="4">
        <f>$K$793*$V$793</f>
        <v>355851.7905281625</v>
      </c>
      <c r="AC793" s="4">
        <f>$M$793*$W$793</f>
        <v>0</v>
      </c>
      <c r="AD793" s="4">
        <f>$O$793*$X$793</f>
        <v>0</v>
      </c>
      <c r="AE793" s="4">
        <f ca="1">$K$793*$Y$793</f>
        <v>389344.81643804011</v>
      </c>
      <c r="AF793" s="4">
        <f>$M$793*$Z$793</f>
        <v>0</v>
      </c>
      <c r="AG793" s="4">
        <f>$O$793*$AA$793</f>
        <v>0</v>
      </c>
    </row>
    <row r="794" spans="1:33" ht="11.25" customHeight="1" x14ac:dyDescent="0.25">
      <c r="A794" s="3" t="s">
        <v>56</v>
      </c>
      <c r="B794" s="3" t="s">
        <v>41</v>
      </c>
      <c r="C794" s="3" t="s">
        <v>42</v>
      </c>
      <c r="D794" s="3" t="s">
        <v>38</v>
      </c>
      <c r="E794" s="3" t="s">
        <v>25</v>
      </c>
      <c r="F794" s="3" t="s">
        <v>60</v>
      </c>
      <c r="G794" s="3" t="s">
        <v>25</v>
      </c>
      <c r="H794" s="3" t="s">
        <v>25</v>
      </c>
      <c r="I794" s="6">
        <v>44621</v>
      </c>
      <c r="J794" s="4">
        <v>31779</v>
      </c>
      <c r="K794" s="4">
        <v>14638.08270375</v>
      </c>
      <c r="L794" s="4">
        <v>0</v>
      </c>
      <c r="M794" s="4">
        <v>0</v>
      </c>
      <c r="N794" s="4">
        <v>0</v>
      </c>
      <c r="O794" s="4">
        <v>0</v>
      </c>
      <c r="P794" s="4">
        <v>69</v>
      </c>
      <c r="Q794" s="3" t="s">
        <v>57</v>
      </c>
      <c r="R794" s="3">
        <v>0</v>
      </c>
      <c r="S794" s="4">
        <v>44</v>
      </c>
      <c r="T794" s="4">
        <v>0</v>
      </c>
      <c r="U794" s="4">
        <v>0</v>
      </c>
      <c r="V794" s="4">
        <f>IF(ISERROR(VLOOKUP($S$794,'TAR FIN'!$A$1:$O$113,15,0)),0,VLOOKUP($S$794,'TAR FIN'!$A$1:$O$113,15,0))</f>
        <v>24.31</v>
      </c>
      <c r="W794" s="4">
        <f>IF(ISERROR(VLOOKUP($T$794,'TAR FIN'!$A$1:$O$113,15,0)),0,VLOOKUP($T$794,'TAR FIN'!$A$1:$O$113,15,0))</f>
        <v>0</v>
      </c>
      <c r="X794" s="4">
        <f>IF(ISERROR(VLOOKUP($U$794,'TAR FIN'!$A$1:$O$113,15,0)),0,VLOOKUP($U$794,'TAR FIN'!$A$1:$O$113,15,0))</f>
        <v>0</v>
      </c>
      <c r="Y794" s="4">
        <f ca="1">('TUSD BE'!$AM$30+'TUSD BF'!$AM$30+'TUSD CVA'!$AM$30)*1</f>
        <v>26.598074646640526</v>
      </c>
      <c r="Z794" s="4"/>
      <c r="AA794" s="4"/>
      <c r="AB794" s="4">
        <f>$K$794*$V$794</f>
        <v>355851.7905281625</v>
      </c>
      <c r="AC794" s="4">
        <f>$M$794*$W$794</f>
        <v>0</v>
      </c>
      <c r="AD794" s="4">
        <f>$O$794*$X$794</f>
        <v>0</v>
      </c>
      <c r="AE794" s="4">
        <f ca="1">$K$794*$Y$794</f>
        <v>389344.81643804011</v>
      </c>
      <c r="AF794" s="4">
        <f>$M$794*$Z$794</f>
        <v>0</v>
      </c>
      <c r="AG794" s="4">
        <f>$O$794*$AA$794</f>
        <v>0</v>
      </c>
    </row>
    <row r="795" spans="1:33" ht="11.25" customHeight="1" x14ac:dyDescent="0.25">
      <c r="A795" s="3" t="s">
        <v>21</v>
      </c>
      <c r="B795" s="3" t="s">
        <v>41</v>
      </c>
      <c r="C795" s="3" t="s">
        <v>42</v>
      </c>
      <c r="D795" s="3" t="s">
        <v>38</v>
      </c>
      <c r="E795" s="3" t="s">
        <v>25</v>
      </c>
      <c r="F795" s="3" t="s">
        <v>60</v>
      </c>
      <c r="G795" s="3" t="s">
        <v>25</v>
      </c>
      <c r="H795" s="3" t="s">
        <v>34</v>
      </c>
      <c r="I795" s="6">
        <v>44287</v>
      </c>
      <c r="J795" s="4">
        <v>0</v>
      </c>
      <c r="K795" s="4">
        <v>0</v>
      </c>
      <c r="L795" s="4">
        <v>580.53499999999997</v>
      </c>
      <c r="M795" s="4">
        <v>285.9499915408</v>
      </c>
      <c r="N795" s="4">
        <v>0</v>
      </c>
      <c r="O795" s="4">
        <v>0</v>
      </c>
      <c r="P795" s="4">
        <v>0</v>
      </c>
      <c r="Q795" s="3" t="s">
        <v>57</v>
      </c>
      <c r="R795" s="3">
        <v>0</v>
      </c>
      <c r="S795" s="4">
        <v>0</v>
      </c>
      <c r="T795" s="4">
        <v>20</v>
      </c>
      <c r="U795" s="4">
        <v>0</v>
      </c>
      <c r="V795" s="4">
        <f>IF(ISERROR(VLOOKUP($S$795,'TAR FIN'!$A$1:$O$113,15,0)),0,VLOOKUP($S$795,'TAR FIN'!$A$1:$O$113,15,0))</f>
        <v>0</v>
      </c>
      <c r="W795" s="4">
        <f>IF(ISERROR(VLOOKUP($T$795,'TAR FIN'!$A$1:$O$113,15,0)),0,VLOOKUP($T$795,'TAR FIN'!$A$1:$O$113,15,0))</f>
        <v>1564.59</v>
      </c>
      <c r="X795" s="4">
        <f>IF(ISERROR(VLOOKUP($U$795,'TAR FIN'!$A$1:$O$113,15,0)),0,VLOOKUP($U$795,'TAR FIN'!$A$1:$O$113,15,0))</f>
        <v>0</v>
      </c>
      <c r="Y795" s="4"/>
      <c r="Z795" s="4">
        <f ca="1">('TUSD BE'!$AM$31+'TUSD BF'!$AM$31+'TUSD CVA'!$AM$31)*1</f>
        <v>1837.8896121132304</v>
      </c>
      <c r="AA795" s="4"/>
      <c r="AB795" s="4">
        <f>$K$795*$V$795</f>
        <v>0</v>
      </c>
      <c r="AC795" s="4">
        <f>$M$795*$W$795</f>
        <v>447394.49726482027</v>
      </c>
      <c r="AD795" s="4">
        <f>$O$795*$X$795</f>
        <v>0</v>
      </c>
      <c r="AE795" s="4">
        <f>$K$795*$Y$795</f>
        <v>0</v>
      </c>
      <c r="AF795" s="4">
        <f ca="1">$M$795*$Z$795</f>
        <v>525544.51903670246</v>
      </c>
      <c r="AG795" s="4">
        <f>$O$795*$AA$795</f>
        <v>0</v>
      </c>
    </row>
    <row r="796" spans="1:33" ht="11.25" customHeight="1" x14ac:dyDescent="0.25">
      <c r="A796" s="3" t="s">
        <v>21</v>
      </c>
      <c r="B796" s="3" t="s">
        <v>41</v>
      </c>
      <c r="C796" s="3" t="s">
        <v>42</v>
      </c>
      <c r="D796" s="3" t="s">
        <v>38</v>
      </c>
      <c r="E796" s="3" t="s">
        <v>25</v>
      </c>
      <c r="F796" s="3" t="s">
        <v>60</v>
      </c>
      <c r="G796" s="3" t="s">
        <v>25</v>
      </c>
      <c r="H796" s="3" t="s">
        <v>34</v>
      </c>
      <c r="I796" s="6">
        <v>44317</v>
      </c>
      <c r="J796" s="4">
        <v>0</v>
      </c>
      <c r="K796" s="4">
        <v>0</v>
      </c>
      <c r="L796" s="4">
        <v>489.67399999999998</v>
      </c>
      <c r="M796" s="4">
        <v>254.90256246135999</v>
      </c>
      <c r="N796" s="4">
        <v>0</v>
      </c>
      <c r="O796" s="4">
        <v>0</v>
      </c>
      <c r="P796" s="4">
        <v>0</v>
      </c>
      <c r="Q796" s="3" t="s">
        <v>57</v>
      </c>
      <c r="R796" s="3">
        <v>0</v>
      </c>
      <c r="S796" s="4">
        <v>0</v>
      </c>
      <c r="T796" s="4">
        <v>20</v>
      </c>
      <c r="U796" s="4">
        <v>0</v>
      </c>
      <c r="V796" s="4">
        <f>IF(ISERROR(VLOOKUP($S$796,'TAR FIN'!$A$1:$O$113,15,0)),0,VLOOKUP($S$796,'TAR FIN'!$A$1:$O$113,15,0))</f>
        <v>0</v>
      </c>
      <c r="W796" s="4">
        <f>IF(ISERROR(VLOOKUP($T$796,'TAR FIN'!$A$1:$O$113,15,0)),0,VLOOKUP($T$796,'TAR FIN'!$A$1:$O$113,15,0))</f>
        <v>1564.59</v>
      </c>
      <c r="X796" s="4">
        <f>IF(ISERROR(VLOOKUP($U$796,'TAR FIN'!$A$1:$O$113,15,0)),0,VLOOKUP($U$796,'TAR FIN'!$A$1:$O$113,15,0))</f>
        <v>0</v>
      </c>
      <c r="Y796" s="4"/>
      <c r="Z796" s="4">
        <f ca="1">('TUSD BE'!$AM$31+'TUSD BF'!$AM$31+'TUSD CVA'!$AM$31)*1</f>
        <v>1837.8896121132304</v>
      </c>
      <c r="AA796" s="4"/>
      <c r="AB796" s="4">
        <f>$K$796*$V$796</f>
        <v>0</v>
      </c>
      <c r="AC796" s="4">
        <f>$M$796*$W$796</f>
        <v>398818.00020141923</v>
      </c>
      <c r="AD796" s="4">
        <f>$O$796*$X$796</f>
        <v>0</v>
      </c>
      <c r="AE796" s="4">
        <f>$K$796*$Y$796</f>
        <v>0</v>
      </c>
      <c r="AF796" s="4">
        <f ca="1">$M$796*$Z$796</f>
        <v>468482.77164877742</v>
      </c>
      <c r="AG796" s="4">
        <f>$O$796*$AA$796</f>
        <v>0</v>
      </c>
    </row>
    <row r="797" spans="1:33" ht="11.25" customHeight="1" x14ac:dyDescent="0.25">
      <c r="A797" s="3" t="s">
        <v>21</v>
      </c>
      <c r="B797" s="3" t="s">
        <v>41</v>
      </c>
      <c r="C797" s="3" t="s">
        <v>42</v>
      </c>
      <c r="D797" s="3" t="s">
        <v>38</v>
      </c>
      <c r="E797" s="3" t="s">
        <v>25</v>
      </c>
      <c r="F797" s="3" t="s">
        <v>60</v>
      </c>
      <c r="G797" s="3" t="s">
        <v>25</v>
      </c>
      <c r="H797" s="3" t="s">
        <v>34</v>
      </c>
      <c r="I797" s="6">
        <v>44348</v>
      </c>
      <c r="J797" s="4">
        <v>0</v>
      </c>
      <c r="K797" s="4">
        <v>0</v>
      </c>
      <c r="L797" s="4">
        <v>470.584</v>
      </c>
      <c r="M797" s="4">
        <v>230.80871329112</v>
      </c>
      <c r="N797" s="4">
        <v>0</v>
      </c>
      <c r="O797" s="4">
        <v>0</v>
      </c>
      <c r="P797" s="4">
        <v>0</v>
      </c>
      <c r="Q797" s="3" t="s">
        <v>57</v>
      </c>
      <c r="R797" s="3">
        <v>0</v>
      </c>
      <c r="S797" s="4">
        <v>0</v>
      </c>
      <c r="T797" s="4">
        <v>20</v>
      </c>
      <c r="U797" s="4">
        <v>0</v>
      </c>
      <c r="V797" s="4">
        <f>IF(ISERROR(VLOOKUP($S$797,'TAR FIN'!$A$1:$O$113,15,0)),0,VLOOKUP($S$797,'TAR FIN'!$A$1:$O$113,15,0))</f>
        <v>0</v>
      </c>
      <c r="W797" s="4">
        <f>IF(ISERROR(VLOOKUP($T$797,'TAR FIN'!$A$1:$O$113,15,0)),0,VLOOKUP($T$797,'TAR FIN'!$A$1:$O$113,15,0))</f>
        <v>1564.59</v>
      </c>
      <c r="X797" s="4">
        <f>IF(ISERROR(VLOOKUP($U$797,'TAR FIN'!$A$1:$O$113,15,0)),0,VLOOKUP($U$797,'TAR FIN'!$A$1:$O$113,15,0))</f>
        <v>0</v>
      </c>
      <c r="Y797" s="4"/>
      <c r="Z797" s="4">
        <f ca="1">('TUSD BE'!$AM$31+'TUSD BF'!$AM$31+'TUSD CVA'!$AM$31)*1</f>
        <v>1837.8896121132304</v>
      </c>
      <c r="AA797" s="4"/>
      <c r="AB797" s="4">
        <f>$K$797*$V$797</f>
        <v>0</v>
      </c>
      <c r="AC797" s="4">
        <f>$M$797*$W$797</f>
        <v>361121.00472815341</v>
      </c>
      <c r="AD797" s="4">
        <f>$O$797*$X$797</f>
        <v>0</v>
      </c>
      <c r="AE797" s="4">
        <f>$K$797*$Y$797</f>
        <v>0</v>
      </c>
      <c r="AF797" s="4">
        <f ca="1">$M$797*$Z$797</f>
        <v>424200.93654297036</v>
      </c>
      <c r="AG797" s="4">
        <f>$O$797*$AA$797</f>
        <v>0</v>
      </c>
    </row>
    <row r="798" spans="1:33" ht="11.25" customHeight="1" x14ac:dyDescent="0.25">
      <c r="A798" s="3" t="s">
        <v>21</v>
      </c>
      <c r="B798" s="3" t="s">
        <v>41</v>
      </c>
      <c r="C798" s="3" t="s">
        <v>42</v>
      </c>
      <c r="D798" s="3" t="s">
        <v>38</v>
      </c>
      <c r="E798" s="3" t="s">
        <v>25</v>
      </c>
      <c r="F798" s="3" t="s">
        <v>60</v>
      </c>
      <c r="G798" s="3" t="s">
        <v>25</v>
      </c>
      <c r="H798" s="3" t="s">
        <v>34</v>
      </c>
      <c r="I798" s="6">
        <v>44378</v>
      </c>
      <c r="J798" s="4">
        <v>0</v>
      </c>
      <c r="K798" s="4">
        <v>0</v>
      </c>
      <c r="L798" s="4">
        <v>489.572</v>
      </c>
      <c r="M798" s="4">
        <v>232.17391540060001</v>
      </c>
      <c r="N798" s="4">
        <v>0</v>
      </c>
      <c r="O798" s="4">
        <v>0</v>
      </c>
      <c r="P798" s="4">
        <v>0</v>
      </c>
      <c r="Q798" s="3" t="s">
        <v>57</v>
      </c>
      <c r="R798" s="3">
        <v>0</v>
      </c>
      <c r="S798" s="4">
        <v>0</v>
      </c>
      <c r="T798" s="4">
        <v>20</v>
      </c>
      <c r="U798" s="4">
        <v>0</v>
      </c>
      <c r="V798" s="4">
        <f>IF(ISERROR(VLOOKUP($S$798,'TAR FIN'!$A$1:$O$113,15,0)),0,VLOOKUP($S$798,'TAR FIN'!$A$1:$O$113,15,0))</f>
        <v>0</v>
      </c>
      <c r="W798" s="4">
        <f>IF(ISERROR(VLOOKUP($T$798,'TAR FIN'!$A$1:$O$113,15,0)),0,VLOOKUP($T$798,'TAR FIN'!$A$1:$O$113,15,0))</f>
        <v>1564.59</v>
      </c>
      <c r="X798" s="4">
        <f>IF(ISERROR(VLOOKUP($U$798,'TAR FIN'!$A$1:$O$113,15,0)),0,VLOOKUP($U$798,'TAR FIN'!$A$1:$O$113,15,0))</f>
        <v>0</v>
      </c>
      <c r="Y798" s="4"/>
      <c r="Z798" s="4">
        <f ca="1">('TUSD BE'!$AM$31+'TUSD BF'!$AM$31+'TUSD CVA'!$AM$31)*1</f>
        <v>1837.8896121132304</v>
      </c>
      <c r="AA798" s="4"/>
      <c r="AB798" s="4">
        <f>$K$798*$V$798</f>
        <v>0</v>
      </c>
      <c r="AC798" s="4">
        <f>$M$798*$W$798</f>
        <v>363256.98629662476</v>
      </c>
      <c r="AD798" s="4">
        <f>$O$798*$X$798</f>
        <v>0</v>
      </c>
      <c r="AE798" s="4">
        <f>$K$798*$Y$798</f>
        <v>0</v>
      </c>
      <c r="AF798" s="4">
        <f ca="1">$M$798*$Z$798</f>
        <v>426710.02731841872</v>
      </c>
      <c r="AG798" s="4">
        <f>$O$798*$AA$798</f>
        <v>0</v>
      </c>
    </row>
    <row r="799" spans="1:33" ht="11.25" customHeight="1" x14ac:dyDescent="0.25">
      <c r="A799" s="3" t="s">
        <v>21</v>
      </c>
      <c r="B799" s="3" t="s">
        <v>41</v>
      </c>
      <c r="C799" s="3" t="s">
        <v>42</v>
      </c>
      <c r="D799" s="3" t="s">
        <v>38</v>
      </c>
      <c r="E799" s="3" t="s">
        <v>25</v>
      </c>
      <c r="F799" s="3" t="s">
        <v>60</v>
      </c>
      <c r="G799" s="3" t="s">
        <v>25</v>
      </c>
      <c r="H799" s="3" t="s">
        <v>34</v>
      </c>
      <c r="I799" s="6">
        <v>44409</v>
      </c>
      <c r="J799" s="4">
        <v>0</v>
      </c>
      <c r="K799" s="4">
        <v>0</v>
      </c>
      <c r="L799" s="4">
        <v>543.85400000000004</v>
      </c>
      <c r="M799" s="4">
        <v>262.91474641913999</v>
      </c>
      <c r="N799" s="4">
        <v>0</v>
      </c>
      <c r="O799" s="4">
        <v>0</v>
      </c>
      <c r="P799" s="4">
        <v>0</v>
      </c>
      <c r="Q799" s="3" t="s">
        <v>57</v>
      </c>
      <c r="R799" s="3">
        <v>0</v>
      </c>
      <c r="S799" s="4">
        <v>0</v>
      </c>
      <c r="T799" s="4">
        <v>20</v>
      </c>
      <c r="U799" s="4">
        <v>0</v>
      </c>
      <c r="V799" s="4">
        <f>IF(ISERROR(VLOOKUP($S$799,'TAR FIN'!$A$1:$O$113,15,0)),0,VLOOKUP($S$799,'TAR FIN'!$A$1:$O$113,15,0))</f>
        <v>0</v>
      </c>
      <c r="W799" s="4">
        <f>IF(ISERROR(VLOOKUP($T$799,'TAR FIN'!$A$1:$O$113,15,0)),0,VLOOKUP($T$799,'TAR FIN'!$A$1:$O$113,15,0))</f>
        <v>1564.59</v>
      </c>
      <c r="X799" s="4">
        <f>IF(ISERROR(VLOOKUP($U$799,'TAR FIN'!$A$1:$O$113,15,0)),0,VLOOKUP($U$799,'TAR FIN'!$A$1:$O$113,15,0))</f>
        <v>0</v>
      </c>
      <c r="Y799" s="4"/>
      <c r="Z799" s="4">
        <f ca="1">('TUSD BE'!$AM$31+'TUSD BF'!$AM$31+'TUSD CVA'!$AM$31)*1</f>
        <v>1837.8896121132304</v>
      </c>
      <c r="AA799" s="4"/>
      <c r="AB799" s="4">
        <f>$K$799*$V$799</f>
        <v>0</v>
      </c>
      <c r="AC799" s="4">
        <f>$M$799*$W$799</f>
        <v>411353.78309992224</v>
      </c>
      <c r="AD799" s="4">
        <f>$O$799*$X$799</f>
        <v>0</v>
      </c>
      <c r="AE799" s="4">
        <f>$K$799*$Y$799</f>
        <v>0</v>
      </c>
      <c r="AF799" s="4">
        <f ca="1">$M$799*$Z$799</f>
        <v>483208.28131512151</v>
      </c>
      <c r="AG799" s="4">
        <f>$O$799*$AA$799</f>
        <v>0</v>
      </c>
    </row>
    <row r="800" spans="1:33" ht="11.25" customHeight="1" x14ac:dyDescent="0.25">
      <c r="A800" s="3" t="s">
        <v>21</v>
      </c>
      <c r="B800" s="3" t="s">
        <v>41</v>
      </c>
      <c r="C800" s="3" t="s">
        <v>42</v>
      </c>
      <c r="D800" s="3" t="s">
        <v>38</v>
      </c>
      <c r="E800" s="3" t="s">
        <v>25</v>
      </c>
      <c r="F800" s="3" t="s">
        <v>60</v>
      </c>
      <c r="G800" s="3" t="s">
        <v>25</v>
      </c>
      <c r="H800" s="3" t="s">
        <v>34</v>
      </c>
      <c r="I800" s="6">
        <v>44440</v>
      </c>
      <c r="J800" s="4">
        <v>0</v>
      </c>
      <c r="K800" s="4">
        <v>0</v>
      </c>
      <c r="L800" s="4">
        <v>632.55899999999997</v>
      </c>
      <c r="M800" s="4">
        <v>305.00095405322998</v>
      </c>
      <c r="N800" s="4">
        <v>0</v>
      </c>
      <c r="O800" s="4">
        <v>0</v>
      </c>
      <c r="P800" s="4">
        <v>0</v>
      </c>
      <c r="Q800" s="3" t="s">
        <v>57</v>
      </c>
      <c r="R800" s="3">
        <v>0</v>
      </c>
      <c r="S800" s="4">
        <v>0</v>
      </c>
      <c r="T800" s="4">
        <v>20</v>
      </c>
      <c r="U800" s="4">
        <v>0</v>
      </c>
      <c r="V800" s="4">
        <f>IF(ISERROR(VLOOKUP($S$800,'TAR FIN'!$A$1:$O$113,15,0)),0,VLOOKUP($S$800,'TAR FIN'!$A$1:$O$113,15,0))</f>
        <v>0</v>
      </c>
      <c r="W800" s="4">
        <f>IF(ISERROR(VLOOKUP($T$800,'TAR FIN'!$A$1:$O$113,15,0)),0,VLOOKUP($T$800,'TAR FIN'!$A$1:$O$113,15,0))</f>
        <v>1564.59</v>
      </c>
      <c r="X800" s="4">
        <f>IF(ISERROR(VLOOKUP($U$800,'TAR FIN'!$A$1:$O$113,15,0)),0,VLOOKUP($U$800,'TAR FIN'!$A$1:$O$113,15,0))</f>
        <v>0</v>
      </c>
      <c r="Y800" s="4"/>
      <c r="Z800" s="4">
        <f ca="1">('TUSD BE'!$AM$31+'TUSD BF'!$AM$31+'TUSD CVA'!$AM$31)*1</f>
        <v>1837.8896121132304</v>
      </c>
      <c r="AA800" s="4"/>
      <c r="AB800" s="4">
        <f>$K$800*$V$800</f>
        <v>0</v>
      </c>
      <c r="AC800" s="4">
        <f>$M$800*$W$800</f>
        <v>477201.44270214305</v>
      </c>
      <c r="AD800" s="4">
        <f>$O$800*$X$800</f>
        <v>0</v>
      </c>
      <c r="AE800" s="4">
        <f>$K$800*$Y$800</f>
        <v>0</v>
      </c>
      <c r="AF800" s="4">
        <f ca="1">$M$800*$Z$800</f>
        <v>560558.08513905609</v>
      </c>
      <c r="AG800" s="4">
        <f>$O$800*$AA$800</f>
        <v>0</v>
      </c>
    </row>
    <row r="801" spans="1:33" ht="11.25" customHeight="1" x14ac:dyDescent="0.25">
      <c r="A801" s="3" t="s">
        <v>21</v>
      </c>
      <c r="B801" s="3" t="s">
        <v>41</v>
      </c>
      <c r="C801" s="3" t="s">
        <v>42</v>
      </c>
      <c r="D801" s="3" t="s">
        <v>38</v>
      </c>
      <c r="E801" s="3" t="s">
        <v>25</v>
      </c>
      <c r="F801" s="3" t="s">
        <v>60</v>
      </c>
      <c r="G801" s="3" t="s">
        <v>25</v>
      </c>
      <c r="H801" s="3" t="s">
        <v>34</v>
      </c>
      <c r="I801" s="6">
        <v>44470</v>
      </c>
      <c r="J801" s="4">
        <v>0</v>
      </c>
      <c r="K801" s="4">
        <v>0</v>
      </c>
      <c r="L801" s="4">
        <v>622.37099999999998</v>
      </c>
      <c r="M801" s="4">
        <v>294.65512708128</v>
      </c>
      <c r="N801" s="4">
        <v>0</v>
      </c>
      <c r="O801" s="4">
        <v>0</v>
      </c>
      <c r="P801" s="4">
        <v>0</v>
      </c>
      <c r="Q801" s="3" t="s">
        <v>57</v>
      </c>
      <c r="R801" s="3">
        <v>0</v>
      </c>
      <c r="S801" s="4">
        <v>0</v>
      </c>
      <c r="T801" s="4">
        <v>20</v>
      </c>
      <c r="U801" s="4">
        <v>0</v>
      </c>
      <c r="V801" s="4">
        <f>IF(ISERROR(VLOOKUP($S$801,'TAR FIN'!$A$1:$O$113,15,0)),0,VLOOKUP($S$801,'TAR FIN'!$A$1:$O$113,15,0))</f>
        <v>0</v>
      </c>
      <c r="W801" s="4">
        <f>IF(ISERROR(VLOOKUP($T$801,'TAR FIN'!$A$1:$O$113,15,0)),0,VLOOKUP($T$801,'TAR FIN'!$A$1:$O$113,15,0))</f>
        <v>1564.59</v>
      </c>
      <c r="X801" s="4">
        <f>IF(ISERROR(VLOOKUP($U$801,'TAR FIN'!$A$1:$O$113,15,0)),0,VLOOKUP($U$801,'TAR FIN'!$A$1:$O$113,15,0))</f>
        <v>0</v>
      </c>
      <c r="Y801" s="4"/>
      <c r="Z801" s="4">
        <f ca="1">('TUSD BE'!$AM$31+'TUSD BF'!$AM$31+'TUSD CVA'!$AM$31)*1</f>
        <v>1837.8896121132304</v>
      </c>
      <c r="AA801" s="4"/>
      <c r="AB801" s="4">
        <f>$K$801*$V$801</f>
        <v>0</v>
      </c>
      <c r="AC801" s="4">
        <f>$M$801*$W$801</f>
        <v>461014.46528009983</v>
      </c>
      <c r="AD801" s="4">
        <f>$O$801*$X$801</f>
        <v>0</v>
      </c>
      <c r="AE801" s="4">
        <f>$K$801*$Y$801</f>
        <v>0</v>
      </c>
      <c r="AF801" s="4">
        <f ca="1">$M$801*$Z$801</f>
        <v>541543.59721858834</v>
      </c>
      <c r="AG801" s="4">
        <f>$O$801*$AA$801</f>
        <v>0</v>
      </c>
    </row>
    <row r="802" spans="1:33" ht="11.25" customHeight="1" x14ac:dyDescent="0.25">
      <c r="A802" s="3" t="s">
        <v>21</v>
      </c>
      <c r="B802" s="3" t="s">
        <v>41</v>
      </c>
      <c r="C802" s="3" t="s">
        <v>42</v>
      </c>
      <c r="D802" s="3" t="s">
        <v>38</v>
      </c>
      <c r="E802" s="3" t="s">
        <v>25</v>
      </c>
      <c r="F802" s="3" t="s">
        <v>60</v>
      </c>
      <c r="G802" s="3" t="s">
        <v>25</v>
      </c>
      <c r="H802" s="3" t="s">
        <v>34</v>
      </c>
      <c r="I802" s="6">
        <v>44501</v>
      </c>
      <c r="J802" s="4">
        <v>0</v>
      </c>
      <c r="K802" s="4">
        <v>0</v>
      </c>
      <c r="L802" s="4">
        <v>630.06799999999998</v>
      </c>
      <c r="M802" s="4">
        <v>301.98059141272</v>
      </c>
      <c r="N802" s="4">
        <v>0</v>
      </c>
      <c r="O802" s="4">
        <v>0</v>
      </c>
      <c r="P802" s="4">
        <v>0</v>
      </c>
      <c r="Q802" s="3" t="s">
        <v>57</v>
      </c>
      <c r="R802" s="3">
        <v>0</v>
      </c>
      <c r="S802" s="4">
        <v>0</v>
      </c>
      <c r="T802" s="4">
        <v>20</v>
      </c>
      <c r="U802" s="4">
        <v>0</v>
      </c>
      <c r="V802" s="4">
        <f>IF(ISERROR(VLOOKUP($S$802,'TAR FIN'!$A$1:$O$113,15,0)),0,VLOOKUP($S$802,'TAR FIN'!$A$1:$O$113,15,0))</f>
        <v>0</v>
      </c>
      <c r="W802" s="4">
        <f>IF(ISERROR(VLOOKUP($T$802,'TAR FIN'!$A$1:$O$113,15,0)),0,VLOOKUP($T$802,'TAR FIN'!$A$1:$O$113,15,0))</f>
        <v>1564.59</v>
      </c>
      <c r="X802" s="4">
        <f>IF(ISERROR(VLOOKUP($U$802,'TAR FIN'!$A$1:$O$113,15,0)),0,VLOOKUP($U$802,'TAR FIN'!$A$1:$O$113,15,0))</f>
        <v>0</v>
      </c>
      <c r="Y802" s="4"/>
      <c r="Z802" s="4">
        <f ca="1">('TUSD BE'!$AM$31+'TUSD BF'!$AM$31+'TUSD CVA'!$AM$31)*1</f>
        <v>1837.8896121132304</v>
      </c>
      <c r="AA802" s="4"/>
      <c r="AB802" s="4">
        <f>$K$802*$V$802</f>
        <v>0</v>
      </c>
      <c r="AC802" s="4">
        <f>$M$802*$W$802</f>
        <v>472475.81351842755</v>
      </c>
      <c r="AD802" s="4">
        <f>$O$802*$X$802</f>
        <v>0</v>
      </c>
      <c r="AE802" s="4">
        <f>$K$802*$Y$802</f>
        <v>0</v>
      </c>
      <c r="AF802" s="4">
        <f ca="1">$M$802*$Z$802</f>
        <v>555006.99201724795</v>
      </c>
      <c r="AG802" s="4">
        <f>$O$802*$AA$802</f>
        <v>0</v>
      </c>
    </row>
    <row r="803" spans="1:33" ht="11.25" customHeight="1" x14ac:dyDescent="0.25">
      <c r="A803" s="3" t="s">
        <v>21</v>
      </c>
      <c r="B803" s="3" t="s">
        <v>41</v>
      </c>
      <c r="C803" s="3" t="s">
        <v>42</v>
      </c>
      <c r="D803" s="3" t="s">
        <v>38</v>
      </c>
      <c r="E803" s="3" t="s">
        <v>25</v>
      </c>
      <c r="F803" s="3" t="s">
        <v>60</v>
      </c>
      <c r="G803" s="3" t="s">
        <v>25</v>
      </c>
      <c r="H803" s="3" t="s">
        <v>34</v>
      </c>
      <c r="I803" s="6">
        <v>44531</v>
      </c>
      <c r="J803" s="4">
        <v>0</v>
      </c>
      <c r="K803" s="4">
        <v>0</v>
      </c>
      <c r="L803" s="4">
        <v>664.03300000000002</v>
      </c>
      <c r="M803" s="4">
        <v>319.95319841823999</v>
      </c>
      <c r="N803" s="4">
        <v>0</v>
      </c>
      <c r="O803" s="4">
        <v>0</v>
      </c>
      <c r="P803" s="4">
        <v>0</v>
      </c>
      <c r="Q803" s="3" t="s">
        <v>57</v>
      </c>
      <c r="R803" s="3">
        <v>0</v>
      </c>
      <c r="S803" s="4">
        <v>0</v>
      </c>
      <c r="T803" s="4">
        <v>20</v>
      </c>
      <c r="U803" s="4">
        <v>0</v>
      </c>
      <c r="V803" s="4">
        <f>IF(ISERROR(VLOOKUP($S$803,'TAR FIN'!$A$1:$O$113,15,0)),0,VLOOKUP($S$803,'TAR FIN'!$A$1:$O$113,15,0))</f>
        <v>0</v>
      </c>
      <c r="W803" s="4">
        <f>IF(ISERROR(VLOOKUP($T$803,'TAR FIN'!$A$1:$O$113,15,0)),0,VLOOKUP($T$803,'TAR FIN'!$A$1:$O$113,15,0))</f>
        <v>1564.59</v>
      </c>
      <c r="X803" s="4">
        <f>IF(ISERROR(VLOOKUP($U$803,'TAR FIN'!$A$1:$O$113,15,0)),0,VLOOKUP($U$803,'TAR FIN'!$A$1:$O$113,15,0))</f>
        <v>0</v>
      </c>
      <c r="Y803" s="4"/>
      <c r="Z803" s="4">
        <f ca="1">('TUSD BE'!$AM$31+'TUSD BF'!$AM$31+'TUSD CVA'!$AM$31)*1</f>
        <v>1837.8896121132304</v>
      </c>
      <c r="AA803" s="4"/>
      <c r="AB803" s="4">
        <f>$K$803*$V$803</f>
        <v>0</v>
      </c>
      <c r="AC803" s="4">
        <f>$M$803*$W$803</f>
        <v>500595.5747131941</v>
      </c>
      <c r="AD803" s="4">
        <f>$O$803*$X$803</f>
        <v>0</v>
      </c>
      <c r="AE803" s="4">
        <f>$K$803*$Y$803</f>
        <v>0</v>
      </c>
      <c r="AF803" s="4">
        <f ca="1">$M$803*$Z$803</f>
        <v>588038.65973528661</v>
      </c>
      <c r="AG803" s="4">
        <f>$O$803*$AA$803</f>
        <v>0</v>
      </c>
    </row>
    <row r="804" spans="1:33" ht="11.25" customHeight="1" x14ac:dyDescent="0.25">
      <c r="A804" s="3" t="s">
        <v>21</v>
      </c>
      <c r="B804" s="3" t="s">
        <v>41</v>
      </c>
      <c r="C804" s="3" t="s">
        <v>42</v>
      </c>
      <c r="D804" s="3" t="s">
        <v>38</v>
      </c>
      <c r="E804" s="3" t="s">
        <v>25</v>
      </c>
      <c r="F804" s="3" t="s">
        <v>60</v>
      </c>
      <c r="G804" s="3" t="s">
        <v>25</v>
      </c>
      <c r="H804" s="3" t="s">
        <v>34</v>
      </c>
      <c r="I804" s="6">
        <v>44562</v>
      </c>
      <c r="J804" s="4">
        <v>0</v>
      </c>
      <c r="K804" s="4">
        <v>0</v>
      </c>
      <c r="L804" s="4">
        <v>801.87300000000005</v>
      </c>
      <c r="M804" s="4">
        <v>386.74991523987001</v>
      </c>
      <c r="N804" s="4">
        <v>0</v>
      </c>
      <c r="O804" s="4">
        <v>0</v>
      </c>
      <c r="P804" s="4">
        <v>0</v>
      </c>
      <c r="Q804" s="3" t="s">
        <v>57</v>
      </c>
      <c r="R804" s="3">
        <v>0</v>
      </c>
      <c r="S804" s="4">
        <v>0</v>
      </c>
      <c r="T804" s="4">
        <v>20</v>
      </c>
      <c r="U804" s="4">
        <v>0</v>
      </c>
      <c r="V804" s="4">
        <f>IF(ISERROR(VLOOKUP($S$804,'TAR FIN'!$A$1:$O$113,15,0)),0,VLOOKUP($S$804,'TAR FIN'!$A$1:$O$113,15,0))</f>
        <v>0</v>
      </c>
      <c r="W804" s="4">
        <f>IF(ISERROR(VLOOKUP($T$804,'TAR FIN'!$A$1:$O$113,15,0)),0,VLOOKUP($T$804,'TAR FIN'!$A$1:$O$113,15,0))</f>
        <v>1564.59</v>
      </c>
      <c r="X804" s="4">
        <f>IF(ISERROR(VLOOKUP($U$804,'TAR FIN'!$A$1:$O$113,15,0)),0,VLOOKUP($U$804,'TAR FIN'!$A$1:$O$113,15,0))</f>
        <v>0</v>
      </c>
      <c r="Y804" s="4"/>
      <c r="Z804" s="4">
        <f ca="1">('TUSD BE'!$AM$31+'TUSD BF'!$AM$31+'TUSD CVA'!$AM$31)*1</f>
        <v>1837.8896121132304</v>
      </c>
      <c r="AA804" s="4"/>
      <c r="AB804" s="4">
        <f>$K$804*$V$804</f>
        <v>0</v>
      </c>
      <c r="AC804" s="4">
        <f>$M$804*$W$804</f>
        <v>605105.04988514818</v>
      </c>
      <c r="AD804" s="4">
        <f>$O$804*$X$804</f>
        <v>0</v>
      </c>
      <c r="AE804" s="4">
        <f>$K$804*$Y$804</f>
        <v>0</v>
      </c>
      <c r="AF804" s="4">
        <f ca="1">$M$804*$Z$804</f>
        <v>710803.65170502942</v>
      </c>
      <c r="AG804" s="4">
        <f>$O$804*$AA$804</f>
        <v>0</v>
      </c>
    </row>
    <row r="805" spans="1:33" ht="11.25" customHeight="1" x14ac:dyDescent="0.25">
      <c r="A805" s="3" t="s">
        <v>21</v>
      </c>
      <c r="B805" s="3" t="s">
        <v>41</v>
      </c>
      <c r="C805" s="3" t="s">
        <v>42</v>
      </c>
      <c r="D805" s="3" t="s">
        <v>38</v>
      </c>
      <c r="E805" s="3" t="s">
        <v>25</v>
      </c>
      <c r="F805" s="3" t="s">
        <v>60</v>
      </c>
      <c r="G805" s="3" t="s">
        <v>25</v>
      </c>
      <c r="H805" s="3" t="s">
        <v>34</v>
      </c>
      <c r="I805" s="6">
        <v>44593</v>
      </c>
      <c r="J805" s="4">
        <v>0</v>
      </c>
      <c r="K805" s="4">
        <v>0</v>
      </c>
      <c r="L805" s="4">
        <v>728.64200000000005</v>
      </c>
      <c r="M805" s="4">
        <v>350.08695667073999</v>
      </c>
      <c r="N805" s="4">
        <v>0</v>
      </c>
      <c r="O805" s="4">
        <v>0</v>
      </c>
      <c r="P805" s="4">
        <v>0</v>
      </c>
      <c r="Q805" s="3" t="s">
        <v>57</v>
      </c>
      <c r="R805" s="3">
        <v>0</v>
      </c>
      <c r="S805" s="4">
        <v>0</v>
      </c>
      <c r="T805" s="4">
        <v>20</v>
      </c>
      <c r="U805" s="4">
        <v>0</v>
      </c>
      <c r="V805" s="4">
        <f>IF(ISERROR(VLOOKUP($S$805,'TAR FIN'!$A$1:$O$113,15,0)),0,VLOOKUP($S$805,'TAR FIN'!$A$1:$O$113,15,0))</f>
        <v>0</v>
      </c>
      <c r="W805" s="4">
        <f>IF(ISERROR(VLOOKUP($T$805,'TAR FIN'!$A$1:$O$113,15,0)),0,VLOOKUP($T$805,'TAR FIN'!$A$1:$O$113,15,0))</f>
        <v>1564.59</v>
      </c>
      <c r="X805" s="4">
        <f>IF(ISERROR(VLOOKUP($U$805,'TAR FIN'!$A$1:$O$113,15,0)),0,VLOOKUP($U$805,'TAR FIN'!$A$1:$O$113,15,0))</f>
        <v>0</v>
      </c>
      <c r="Y805" s="4"/>
      <c r="Z805" s="4">
        <f ca="1">('TUSD BE'!$AM$31+'TUSD BF'!$AM$31+'TUSD CVA'!$AM$31)*1</f>
        <v>1837.8896121132304</v>
      </c>
      <c r="AA805" s="4"/>
      <c r="AB805" s="4">
        <f>$K$805*$V$805</f>
        <v>0</v>
      </c>
      <c r="AC805" s="4">
        <f>$M$805*$W$805</f>
        <v>547742.5515374731</v>
      </c>
      <c r="AD805" s="4">
        <f>$O$805*$X$805</f>
        <v>0</v>
      </c>
      <c r="AE805" s="4">
        <f>$K$805*$Y$805</f>
        <v>0</v>
      </c>
      <c r="AF805" s="4">
        <f ca="1">$M$805*$Z$805</f>
        <v>643421.18100148765</v>
      </c>
      <c r="AG805" s="4">
        <f>$O$805*$AA$805</f>
        <v>0</v>
      </c>
    </row>
    <row r="806" spans="1:33" ht="11.25" customHeight="1" x14ac:dyDescent="0.25">
      <c r="A806" s="3" t="s">
        <v>56</v>
      </c>
      <c r="B806" s="3" t="s">
        <v>41</v>
      </c>
      <c r="C806" s="3" t="s">
        <v>42</v>
      </c>
      <c r="D806" s="3" t="s">
        <v>38</v>
      </c>
      <c r="E806" s="3" t="s">
        <v>25</v>
      </c>
      <c r="F806" s="3" t="s">
        <v>60</v>
      </c>
      <c r="G806" s="3" t="s">
        <v>25</v>
      </c>
      <c r="H806" s="3" t="s">
        <v>34</v>
      </c>
      <c r="I806" s="6">
        <v>44621</v>
      </c>
      <c r="J806" s="4">
        <v>0</v>
      </c>
      <c r="K806" s="4">
        <v>0</v>
      </c>
      <c r="L806" s="4">
        <v>728.64200000000005</v>
      </c>
      <c r="M806" s="4">
        <v>350.08695667073999</v>
      </c>
      <c r="N806" s="4">
        <v>0</v>
      </c>
      <c r="O806" s="4">
        <v>0</v>
      </c>
      <c r="P806" s="4">
        <v>0</v>
      </c>
      <c r="Q806" s="3" t="s">
        <v>57</v>
      </c>
      <c r="R806" s="3">
        <v>0</v>
      </c>
      <c r="S806" s="4">
        <v>0</v>
      </c>
      <c r="T806" s="4">
        <v>20</v>
      </c>
      <c r="U806" s="4">
        <v>0</v>
      </c>
      <c r="V806" s="4">
        <f>IF(ISERROR(VLOOKUP($S$806,'TAR FIN'!$A$1:$O$113,15,0)),0,VLOOKUP($S$806,'TAR FIN'!$A$1:$O$113,15,0))</f>
        <v>0</v>
      </c>
      <c r="W806" s="4">
        <f>IF(ISERROR(VLOOKUP($T$806,'TAR FIN'!$A$1:$O$113,15,0)),0,VLOOKUP($T$806,'TAR FIN'!$A$1:$O$113,15,0))</f>
        <v>1564.59</v>
      </c>
      <c r="X806" s="4">
        <f>IF(ISERROR(VLOOKUP($U$806,'TAR FIN'!$A$1:$O$113,15,0)),0,VLOOKUP($U$806,'TAR FIN'!$A$1:$O$113,15,0))</f>
        <v>0</v>
      </c>
      <c r="Y806" s="4"/>
      <c r="Z806" s="4">
        <f ca="1">('TUSD BE'!$AM$31+'TUSD BF'!$AM$31+'TUSD CVA'!$AM$31)*1</f>
        <v>1837.8896121132304</v>
      </c>
      <c r="AA806" s="4"/>
      <c r="AB806" s="4">
        <f>$K$806*$V$806</f>
        <v>0</v>
      </c>
      <c r="AC806" s="4">
        <f>$M$806*$W$806</f>
        <v>547742.5515374731</v>
      </c>
      <c r="AD806" s="4">
        <f>$O$806*$X$806</f>
        <v>0</v>
      </c>
      <c r="AE806" s="4">
        <f>$K$806*$Y$806</f>
        <v>0</v>
      </c>
      <c r="AF806" s="4">
        <f ca="1">$M$806*$Z$806</f>
        <v>643421.18100148765</v>
      </c>
      <c r="AG806" s="4">
        <f>$O$806*$AA$806</f>
        <v>0</v>
      </c>
    </row>
    <row r="807" spans="1:33" ht="11.25" customHeight="1" x14ac:dyDescent="0.25">
      <c r="A807" s="3" t="s">
        <v>21</v>
      </c>
      <c r="B807" s="3" t="s">
        <v>41</v>
      </c>
      <c r="C807" s="3" t="s">
        <v>42</v>
      </c>
      <c r="D807" s="3" t="s">
        <v>38</v>
      </c>
      <c r="E807" s="3" t="s">
        <v>25</v>
      </c>
      <c r="F807" s="3" t="s">
        <v>25</v>
      </c>
      <c r="G807" s="3" t="s">
        <v>25</v>
      </c>
      <c r="H807" s="3" t="s">
        <v>35</v>
      </c>
      <c r="I807" s="6">
        <v>44287</v>
      </c>
      <c r="J807" s="4">
        <v>0</v>
      </c>
      <c r="K807" s="4">
        <v>0</v>
      </c>
      <c r="L807" s="4">
        <v>7952.6130000000003</v>
      </c>
      <c r="M807" s="4">
        <v>7952.6130000000003</v>
      </c>
      <c r="N807" s="4">
        <v>7952.6130000000003</v>
      </c>
      <c r="O807" s="4">
        <v>7952.6130000000003</v>
      </c>
      <c r="P807" s="4">
        <v>0</v>
      </c>
      <c r="Q807" s="3" t="s">
        <v>26</v>
      </c>
      <c r="R807" s="3">
        <v>0</v>
      </c>
      <c r="S807" s="4">
        <v>0</v>
      </c>
      <c r="T807" s="4">
        <v>21</v>
      </c>
      <c r="U807" s="4">
        <v>89</v>
      </c>
      <c r="V807" s="4">
        <f>IF(ISERROR(VLOOKUP($S$807,'TAR FIN'!$A$1:$O$113,15,0)),0,VLOOKUP($S$807,'TAR FIN'!$A$1:$O$113,15,0))</f>
        <v>0</v>
      </c>
      <c r="W807" s="4">
        <f>IF(ISERROR(VLOOKUP($T$807,'TAR FIN'!$A$1:$O$113,15,0)),0,VLOOKUP($T$807,'TAR FIN'!$A$1:$O$113,15,0))</f>
        <v>51.27</v>
      </c>
      <c r="X807" s="4">
        <f>IF(ISERROR(VLOOKUP($U$807,'TAR FIN'!$A$1:$O$113,15,0)),0,VLOOKUP($U$807,'TAR FIN'!$A$1:$O$113,15,0))</f>
        <v>222.31</v>
      </c>
      <c r="Y807" s="4"/>
      <c r="Z807" s="4">
        <f ca="1">('TUSD BE'!$AM$32+'TUSD BF'!$AM$32+'TUSD CVA'!$AM$32)*1</f>
        <v>65.007409626508434</v>
      </c>
      <c r="AA807" s="4">
        <f>('TE BE'!$AA$11+'TE BF'!$AA$11+'TE CVA'!$AA$11)*1</f>
        <v>223.14561812044704</v>
      </c>
      <c r="AB807" s="4">
        <f>$K$807*$V$807</f>
        <v>0</v>
      </c>
      <c r="AC807" s="4">
        <f>$M$807*$W$807</f>
        <v>407730.46851000004</v>
      </c>
      <c r="AD807" s="4">
        <f>$O$807*$X$807</f>
        <v>1767945.3960300002</v>
      </c>
      <c r="AE807" s="4">
        <f>$K$807*$Y$807</f>
        <v>0</v>
      </c>
      <c r="AF807" s="4">
        <f ca="1">$M$807*$Z$807</f>
        <v>516978.77089209616</v>
      </c>
      <c r="AG807" s="4">
        <f>$O$807*$AA$807</f>
        <v>1774590.7435577027</v>
      </c>
    </row>
    <row r="808" spans="1:33" ht="11.25" customHeight="1" x14ac:dyDescent="0.25">
      <c r="A808" s="3" t="s">
        <v>28</v>
      </c>
      <c r="B808" s="3" t="s">
        <v>41</v>
      </c>
      <c r="C808" s="3" t="s">
        <v>42</v>
      </c>
      <c r="D808" s="3" t="s">
        <v>38</v>
      </c>
      <c r="E808" s="3" t="s">
        <v>25</v>
      </c>
      <c r="F808" s="3" t="s">
        <v>25</v>
      </c>
      <c r="G808" s="3" t="s">
        <v>25</v>
      </c>
      <c r="H808" s="3" t="s">
        <v>35</v>
      </c>
      <c r="I808" s="6">
        <v>44287</v>
      </c>
      <c r="J808" s="4">
        <v>0</v>
      </c>
      <c r="K808" s="4">
        <v>0</v>
      </c>
      <c r="L808" s="4">
        <v>112.02</v>
      </c>
      <c r="M808" s="4">
        <v>112.02</v>
      </c>
      <c r="N808" s="4">
        <v>112.02</v>
      </c>
      <c r="O808" s="4">
        <v>112.02</v>
      </c>
      <c r="P808" s="4">
        <v>0</v>
      </c>
      <c r="Q808" s="3" t="s">
        <v>26</v>
      </c>
      <c r="R808" s="3">
        <v>0</v>
      </c>
      <c r="S808" s="4">
        <v>0</v>
      </c>
      <c r="T808" s="4">
        <v>21</v>
      </c>
      <c r="U808" s="4">
        <v>89</v>
      </c>
      <c r="V808" s="4">
        <f>IF(ISERROR(VLOOKUP($S$808,'TAR FIN'!$A$1:$O$113,15,0)),0,VLOOKUP($S$808,'TAR FIN'!$A$1:$O$113,15,0))</f>
        <v>0</v>
      </c>
      <c r="W808" s="4">
        <f>IF(ISERROR(VLOOKUP($T$808,'TAR FIN'!$A$1:$O$113,15,0)),0,VLOOKUP($T$808,'TAR FIN'!$A$1:$O$113,15,0))</f>
        <v>51.27</v>
      </c>
      <c r="X808" s="4">
        <f>IF(ISERROR(VLOOKUP($U$808,'TAR FIN'!$A$1:$O$113,15,0)),0,VLOOKUP($U$808,'TAR FIN'!$A$1:$O$113,15,0))</f>
        <v>222.31</v>
      </c>
      <c r="Y808" s="4"/>
      <c r="Z808" s="4">
        <f ca="1">('TUSD BE'!$AM$32+'TUSD BF'!$AM$32+'TUSD CVA'!$AM$32)*1</f>
        <v>65.007409626508434</v>
      </c>
      <c r="AA808" s="4">
        <f>('TE BE'!$AA$11+'TE BF'!$AA$11+'TE CVA'!$AA$11)*1</f>
        <v>223.14561812044704</v>
      </c>
      <c r="AB808" s="4">
        <f>$K$808*$V$808</f>
        <v>0</v>
      </c>
      <c r="AC808" s="4">
        <f>$M$808*$W$808</f>
        <v>5743.2654000000002</v>
      </c>
      <c r="AD808" s="4">
        <f>$O$808*$X$808</f>
        <v>24903.1662</v>
      </c>
      <c r="AE808" s="4">
        <f>$K$808*$Y$808</f>
        <v>0</v>
      </c>
      <c r="AF808" s="4">
        <f ca="1">$M$808*$Z$808</f>
        <v>7282.1300263614748</v>
      </c>
      <c r="AG808" s="4">
        <f>$O$808*$AA$808</f>
        <v>24996.772141852478</v>
      </c>
    </row>
    <row r="809" spans="1:33" ht="11.25" customHeight="1" x14ac:dyDescent="0.25">
      <c r="A809" s="3" t="s">
        <v>21</v>
      </c>
      <c r="B809" s="3" t="s">
        <v>41</v>
      </c>
      <c r="C809" s="3" t="s">
        <v>42</v>
      </c>
      <c r="D809" s="3" t="s">
        <v>38</v>
      </c>
      <c r="E809" s="3" t="s">
        <v>25</v>
      </c>
      <c r="F809" s="3" t="s">
        <v>25</v>
      </c>
      <c r="G809" s="3" t="s">
        <v>25</v>
      </c>
      <c r="H809" s="3" t="s">
        <v>35</v>
      </c>
      <c r="I809" s="6">
        <v>44317</v>
      </c>
      <c r="J809" s="4">
        <v>0</v>
      </c>
      <c r="K809" s="4">
        <v>0</v>
      </c>
      <c r="L809" s="4">
        <v>7551.2939999999999</v>
      </c>
      <c r="M809" s="4">
        <v>7551.2939999999999</v>
      </c>
      <c r="N809" s="4">
        <v>7551.2939999999999</v>
      </c>
      <c r="O809" s="4">
        <v>7551.2939999999999</v>
      </c>
      <c r="P809" s="4">
        <v>0</v>
      </c>
      <c r="Q809" s="3" t="s">
        <v>26</v>
      </c>
      <c r="R809" s="3">
        <v>0</v>
      </c>
      <c r="S809" s="4">
        <v>0</v>
      </c>
      <c r="T809" s="4">
        <v>21</v>
      </c>
      <c r="U809" s="4">
        <v>89</v>
      </c>
      <c r="V809" s="4">
        <f>IF(ISERROR(VLOOKUP($S$809,'TAR FIN'!$A$1:$O$113,15,0)),0,VLOOKUP($S$809,'TAR FIN'!$A$1:$O$113,15,0))</f>
        <v>0</v>
      </c>
      <c r="W809" s="4">
        <f>IF(ISERROR(VLOOKUP($T$809,'TAR FIN'!$A$1:$O$113,15,0)),0,VLOOKUP($T$809,'TAR FIN'!$A$1:$O$113,15,0))</f>
        <v>51.27</v>
      </c>
      <c r="X809" s="4">
        <f>IF(ISERROR(VLOOKUP($U$809,'TAR FIN'!$A$1:$O$113,15,0)),0,VLOOKUP($U$809,'TAR FIN'!$A$1:$O$113,15,0))</f>
        <v>222.31</v>
      </c>
      <c r="Y809" s="4"/>
      <c r="Z809" s="4">
        <f ca="1">('TUSD BE'!$AM$32+'TUSD BF'!$AM$32+'TUSD CVA'!$AM$32)*1</f>
        <v>65.007409626508434</v>
      </c>
      <c r="AA809" s="4">
        <f>('TE BE'!$AA$11+'TE BF'!$AA$11+'TE CVA'!$AA$11)*1</f>
        <v>223.14561812044704</v>
      </c>
      <c r="AB809" s="4">
        <f>$K$809*$V$809</f>
        <v>0</v>
      </c>
      <c r="AC809" s="4">
        <f>$M$809*$W$809</f>
        <v>387154.84338000003</v>
      </c>
      <c r="AD809" s="4">
        <f>$O$809*$X$809</f>
        <v>1678728.1691399999</v>
      </c>
      <c r="AE809" s="4">
        <f>$K$809*$Y$809</f>
        <v>0</v>
      </c>
      <c r="AF809" s="4">
        <f ca="1">$M$809*$Z$809</f>
        <v>490890.06226819538</v>
      </c>
      <c r="AG809" s="4">
        <f>$O$809*$AA$809</f>
        <v>1685038.1672392229</v>
      </c>
    </row>
    <row r="810" spans="1:33" ht="11.25" customHeight="1" x14ac:dyDescent="0.25">
      <c r="A810" s="3" t="s">
        <v>28</v>
      </c>
      <c r="B810" s="3" t="s">
        <v>41</v>
      </c>
      <c r="C810" s="3" t="s">
        <v>42</v>
      </c>
      <c r="D810" s="3" t="s">
        <v>38</v>
      </c>
      <c r="E810" s="3" t="s">
        <v>25</v>
      </c>
      <c r="F810" s="3" t="s">
        <v>25</v>
      </c>
      <c r="G810" s="3" t="s">
        <v>25</v>
      </c>
      <c r="H810" s="3" t="s">
        <v>35</v>
      </c>
      <c r="I810" s="6">
        <v>44317</v>
      </c>
      <c r="J810" s="4">
        <v>0</v>
      </c>
      <c r="K810" s="4">
        <v>0</v>
      </c>
      <c r="L810" s="4">
        <v>129.71199999999999</v>
      </c>
      <c r="M810" s="4">
        <v>129.71199999999999</v>
      </c>
      <c r="N810" s="4">
        <v>129.71199999999999</v>
      </c>
      <c r="O810" s="4">
        <v>129.71199999999999</v>
      </c>
      <c r="P810" s="4">
        <v>0</v>
      </c>
      <c r="Q810" s="3" t="s">
        <v>26</v>
      </c>
      <c r="R810" s="3">
        <v>0</v>
      </c>
      <c r="S810" s="4">
        <v>0</v>
      </c>
      <c r="T810" s="4">
        <v>21</v>
      </c>
      <c r="U810" s="4">
        <v>89</v>
      </c>
      <c r="V810" s="4">
        <f>IF(ISERROR(VLOOKUP($S$810,'TAR FIN'!$A$1:$O$113,15,0)),0,VLOOKUP($S$810,'TAR FIN'!$A$1:$O$113,15,0))</f>
        <v>0</v>
      </c>
      <c r="W810" s="4">
        <f>IF(ISERROR(VLOOKUP($T$810,'TAR FIN'!$A$1:$O$113,15,0)),0,VLOOKUP($T$810,'TAR FIN'!$A$1:$O$113,15,0))</f>
        <v>51.27</v>
      </c>
      <c r="X810" s="4">
        <f>IF(ISERROR(VLOOKUP($U$810,'TAR FIN'!$A$1:$O$113,15,0)),0,VLOOKUP($U$810,'TAR FIN'!$A$1:$O$113,15,0))</f>
        <v>222.31</v>
      </c>
      <c r="Y810" s="4"/>
      <c r="Z810" s="4">
        <f ca="1">('TUSD BE'!$AM$32+'TUSD BF'!$AM$32+'TUSD CVA'!$AM$32)*1</f>
        <v>65.007409626508434</v>
      </c>
      <c r="AA810" s="4">
        <f>('TE BE'!$AA$11+'TE BF'!$AA$11+'TE CVA'!$AA$11)*1</f>
        <v>223.14561812044704</v>
      </c>
      <c r="AB810" s="4">
        <f>$K$810*$V$810</f>
        <v>0</v>
      </c>
      <c r="AC810" s="4">
        <f>$M$810*$W$810</f>
        <v>6650.3342400000001</v>
      </c>
      <c r="AD810" s="4">
        <f>$O$810*$X$810</f>
        <v>28836.274719999998</v>
      </c>
      <c r="AE810" s="4">
        <f>$K$810*$Y$810</f>
        <v>0</v>
      </c>
      <c r="AF810" s="4">
        <f ca="1">$M$810*$Z$810</f>
        <v>8432.2411174736608</v>
      </c>
      <c r="AG810" s="4">
        <f>$O$810*$AA$810</f>
        <v>28944.664417639426</v>
      </c>
    </row>
    <row r="811" spans="1:33" ht="11.25" customHeight="1" x14ac:dyDescent="0.25">
      <c r="A811" s="3" t="s">
        <v>28</v>
      </c>
      <c r="B811" s="3" t="s">
        <v>41</v>
      </c>
      <c r="C811" s="3" t="s">
        <v>42</v>
      </c>
      <c r="D811" s="3" t="s">
        <v>38</v>
      </c>
      <c r="E811" s="3" t="s">
        <v>25</v>
      </c>
      <c r="F811" s="3" t="s">
        <v>25</v>
      </c>
      <c r="G811" s="3" t="s">
        <v>25</v>
      </c>
      <c r="H811" s="3" t="s">
        <v>35</v>
      </c>
      <c r="I811" s="6">
        <v>44317</v>
      </c>
      <c r="J811" s="4">
        <v>0</v>
      </c>
      <c r="K811" s="4">
        <v>0</v>
      </c>
      <c r="L811" s="4">
        <v>-29.4</v>
      </c>
      <c r="M811" s="4">
        <v>-29.4</v>
      </c>
      <c r="N811" s="4">
        <v>-29.4</v>
      </c>
      <c r="O811" s="4">
        <v>-29.4</v>
      </c>
      <c r="P811" s="4">
        <v>0</v>
      </c>
      <c r="Q811" s="3" t="s">
        <v>26</v>
      </c>
      <c r="R811" s="3">
        <v>0</v>
      </c>
      <c r="S811" s="4">
        <v>0</v>
      </c>
      <c r="T811" s="4">
        <v>21</v>
      </c>
      <c r="U811" s="4">
        <v>89</v>
      </c>
      <c r="V811" s="4">
        <f>IF(ISERROR(VLOOKUP($S$811,'TAR FIN'!$A$1:$O$113,15,0)),0,VLOOKUP($S$811,'TAR FIN'!$A$1:$O$113,15,0))</f>
        <v>0</v>
      </c>
      <c r="W811" s="4">
        <f>IF(ISERROR(VLOOKUP($T$811,'TAR FIN'!$A$1:$O$113,15,0)),0,VLOOKUP($T$811,'TAR FIN'!$A$1:$O$113,15,0))</f>
        <v>51.27</v>
      </c>
      <c r="X811" s="4">
        <f>IF(ISERROR(VLOOKUP($U$811,'TAR FIN'!$A$1:$O$113,15,0)),0,VLOOKUP($U$811,'TAR FIN'!$A$1:$O$113,15,0))</f>
        <v>222.31</v>
      </c>
      <c r="Y811" s="4"/>
      <c r="Z811" s="4">
        <f ca="1">('TUSD BE'!$AM$32+'TUSD BF'!$AM$32+'TUSD CVA'!$AM$32)*1</f>
        <v>65.007409626508434</v>
      </c>
      <c r="AA811" s="4">
        <f>('TE BE'!$AA$11+'TE BF'!$AA$11+'TE CVA'!$AA$11)*1</f>
        <v>223.14561812044704</v>
      </c>
      <c r="AB811" s="4">
        <f>$K$811*$V$811</f>
        <v>0</v>
      </c>
      <c r="AC811" s="4">
        <f>$M$811*$W$811</f>
        <v>-1507.338</v>
      </c>
      <c r="AD811" s="4">
        <f>$O$811*$X$811</f>
        <v>-6535.9139999999998</v>
      </c>
      <c r="AE811" s="4">
        <f>$K$811*$Y$811</f>
        <v>0</v>
      </c>
      <c r="AF811" s="4">
        <f ca="1">$M$811*$Z$811</f>
        <v>-1911.2178430193478</v>
      </c>
      <c r="AG811" s="4">
        <f>$O$811*$AA$811</f>
        <v>-6560.4811727411425</v>
      </c>
    </row>
    <row r="812" spans="1:33" ht="11.25" customHeight="1" x14ac:dyDescent="0.25">
      <c r="A812" s="3" t="s">
        <v>21</v>
      </c>
      <c r="B812" s="3" t="s">
        <v>41</v>
      </c>
      <c r="C812" s="3" t="s">
        <v>42</v>
      </c>
      <c r="D812" s="3" t="s">
        <v>38</v>
      </c>
      <c r="E812" s="3" t="s">
        <v>25</v>
      </c>
      <c r="F812" s="3" t="s">
        <v>25</v>
      </c>
      <c r="G812" s="3" t="s">
        <v>25</v>
      </c>
      <c r="H812" s="3" t="s">
        <v>35</v>
      </c>
      <c r="I812" s="6">
        <v>44348</v>
      </c>
      <c r="J812" s="4">
        <v>0</v>
      </c>
      <c r="K812" s="4">
        <v>0</v>
      </c>
      <c r="L812" s="4">
        <v>7172.6390000000001</v>
      </c>
      <c r="M812" s="4">
        <v>7172.6390000000001</v>
      </c>
      <c r="N812" s="4">
        <v>7172.6390000000001</v>
      </c>
      <c r="O812" s="4">
        <v>7172.6390000000001</v>
      </c>
      <c r="P812" s="4">
        <v>0</v>
      </c>
      <c r="Q812" s="3" t="s">
        <v>26</v>
      </c>
      <c r="R812" s="3">
        <v>0</v>
      </c>
      <c r="S812" s="4">
        <v>0</v>
      </c>
      <c r="T812" s="4">
        <v>21</v>
      </c>
      <c r="U812" s="4">
        <v>89</v>
      </c>
      <c r="V812" s="4">
        <f>IF(ISERROR(VLOOKUP($S$812,'TAR FIN'!$A$1:$O$113,15,0)),0,VLOOKUP($S$812,'TAR FIN'!$A$1:$O$113,15,0))</f>
        <v>0</v>
      </c>
      <c r="W812" s="4">
        <f>IF(ISERROR(VLOOKUP($T$812,'TAR FIN'!$A$1:$O$113,15,0)),0,VLOOKUP($T$812,'TAR FIN'!$A$1:$O$113,15,0))</f>
        <v>51.27</v>
      </c>
      <c r="X812" s="4">
        <f>IF(ISERROR(VLOOKUP($U$812,'TAR FIN'!$A$1:$O$113,15,0)),0,VLOOKUP($U$812,'TAR FIN'!$A$1:$O$113,15,0))</f>
        <v>222.31</v>
      </c>
      <c r="Y812" s="4"/>
      <c r="Z812" s="4">
        <f ca="1">('TUSD BE'!$AM$32+'TUSD BF'!$AM$32+'TUSD CVA'!$AM$32)*1</f>
        <v>65.007409626508434</v>
      </c>
      <c r="AA812" s="4">
        <f>('TE BE'!$AA$11+'TE BF'!$AA$11+'TE CVA'!$AA$11)*1</f>
        <v>223.14561812044704</v>
      </c>
      <c r="AB812" s="4">
        <f>$K$812*$V$812</f>
        <v>0</v>
      </c>
      <c r="AC812" s="4">
        <f>$M$812*$W$812</f>
        <v>367741.20153000002</v>
      </c>
      <c r="AD812" s="4">
        <f>$O$812*$X$812</f>
        <v>1594549.3760900002</v>
      </c>
      <c r="AE812" s="4">
        <f>$K$812*$Y$812</f>
        <v>0</v>
      </c>
      <c r="AF812" s="4">
        <f ca="1">$M$812*$Z$812</f>
        <v>466274.68157606985</v>
      </c>
      <c r="AG812" s="4">
        <f>$O$812*$AA$812</f>
        <v>1600542.9632098251</v>
      </c>
    </row>
    <row r="813" spans="1:33" ht="11.25" customHeight="1" x14ac:dyDescent="0.25">
      <c r="A813" s="3" t="s">
        <v>28</v>
      </c>
      <c r="B813" s="3" t="s">
        <v>41</v>
      </c>
      <c r="C813" s="3" t="s">
        <v>42</v>
      </c>
      <c r="D813" s="3" t="s">
        <v>38</v>
      </c>
      <c r="E813" s="3" t="s">
        <v>25</v>
      </c>
      <c r="F813" s="3" t="s">
        <v>25</v>
      </c>
      <c r="G813" s="3" t="s">
        <v>25</v>
      </c>
      <c r="H813" s="3" t="s">
        <v>35</v>
      </c>
      <c r="I813" s="6">
        <v>44348</v>
      </c>
      <c r="J813" s="4">
        <v>0</v>
      </c>
      <c r="K813" s="4">
        <v>0</v>
      </c>
      <c r="L813" s="4">
        <v>152.55799999999999</v>
      </c>
      <c r="M813" s="4">
        <v>152.55799999999999</v>
      </c>
      <c r="N813" s="4">
        <v>152.55799999999999</v>
      </c>
      <c r="O813" s="4">
        <v>152.55799999999999</v>
      </c>
      <c r="P813" s="4">
        <v>0</v>
      </c>
      <c r="Q813" s="3" t="s">
        <v>26</v>
      </c>
      <c r="R813" s="3">
        <v>0</v>
      </c>
      <c r="S813" s="4">
        <v>0</v>
      </c>
      <c r="T813" s="4">
        <v>21</v>
      </c>
      <c r="U813" s="4">
        <v>89</v>
      </c>
      <c r="V813" s="4">
        <f>IF(ISERROR(VLOOKUP($S$813,'TAR FIN'!$A$1:$O$113,15,0)),0,VLOOKUP($S$813,'TAR FIN'!$A$1:$O$113,15,0))</f>
        <v>0</v>
      </c>
      <c r="W813" s="4">
        <f>IF(ISERROR(VLOOKUP($T$813,'TAR FIN'!$A$1:$O$113,15,0)),0,VLOOKUP($T$813,'TAR FIN'!$A$1:$O$113,15,0))</f>
        <v>51.27</v>
      </c>
      <c r="X813" s="4">
        <f>IF(ISERROR(VLOOKUP($U$813,'TAR FIN'!$A$1:$O$113,15,0)),0,VLOOKUP($U$813,'TAR FIN'!$A$1:$O$113,15,0))</f>
        <v>222.31</v>
      </c>
      <c r="Y813" s="4"/>
      <c r="Z813" s="4">
        <f ca="1">('TUSD BE'!$AM$32+'TUSD BF'!$AM$32+'TUSD CVA'!$AM$32)*1</f>
        <v>65.007409626508434</v>
      </c>
      <c r="AA813" s="4">
        <f>('TE BE'!$AA$11+'TE BF'!$AA$11+'TE CVA'!$AA$11)*1</f>
        <v>223.14561812044704</v>
      </c>
      <c r="AB813" s="4">
        <f>$K$813*$V$813</f>
        <v>0</v>
      </c>
      <c r="AC813" s="4">
        <f>$M$813*$W$813</f>
        <v>7821.6486599999998</v>
      </c>
      <c r="AD813" s="4">
        <f>$O$813*$X$813</f>
        <v>33915.168980000002</v>
      </c>
      <c r="AE813" s="4">
        <f>$K$813*$Y$813</f>
        <v>0</v>
      </c>
      <c r="AF813" s="4">
        <f ca="1">$M$813*$Z$813</f>
        <v>9917.4003978008732</v>
      </c>
      <c r="AG813" s="4">
        <f>$O$813*$AA$813</f>
        <v>34042.649209219155</v>
      </c>
    </row>
    <row r="814" spans="1:33" ht="11.25" customHeight="1" x14ac:dyDescent="0.25">
      <c r="A814" s="3" t="s">
        <v>21</v>
      </c>
      <c r="B814" s="3" t="s">
        <v>41</v>
      </c>
      <c r="C814" s="3" t="s">
        <v>42</v>
      </c>
      <c r="D814" s="3" t="s">
        <v>38</v>
      </c>
      <c r="E814" s="3" t="s">
        <v>25</v>
      </c>
      <c r="F814" s="3" t="s">
        <v>25</v>
      </c>
      <c r="G814" s="3" t="s">
        <v>25</v>
      </c>
      <c r="H814" s="3" t="s">
        <v>35</v>
      </c>
      <c r="I814" s="6">
        <v>44378</v>
      </c>
      <c r="J814" s="4">
        <v>0</v>
      </c>
      <c r="K814" s="4">
        <v>0</v>
      </c>
      <c r="L814" s="4">
        <v>7062.6909999999998</v>
      </c>
      <c r="M814" s="4">
        <v>7062.6909999999998</v>
      </c>
      <c r="N814" s="4">
        <v>7062.6909999999998</v>
      </c>
      <c r="O814" s="4">
        <v>7062.6909999999998</v>
      </c>
      <c r="P814" s="4">
        <v>0</v>
      </c>
      <c r="Q814" s="3" t="s">
        <v>26</v>
      </c>
      <c r="R814" s="3">
        <v>0</v>
      </c>
      <c r="S814" s="4">
        <v>0</v>
      </c>
      <c r="T814" s="4">
        <v>21</v>
      </c>
      <c r="U814" s="4">
        <v>89</v>
      </c>
      <c r="V814" s="4">
        <f>IF(ISERROR(VLOOKUP($S$814,'TAR FIN'!$A$1:$O$113,15,0)),0,VLOOKUP($S$814,'TAR FIN'!$A$1:$O$113,15,0))</f>
        <v>0</v>
      </c>
      <c r="W814" s="4">
        <f>IF(ISERROR(VLOOKUP($T$814,'TAR FIN'!$A$1:$O$113,15,0)),0,VLOOKUP($T$814,'TAR FIN'!$A$1:$O$113,15,0))</f>
        <v>51.27</v>
      </c>
      <c r="X814" s="4">
        <f>IF(ISERROR(VLOOKUP($U$814,'TAR FIN'!$A$1:$O$113,15,0)),0,VLOOKUP($U$814,'TAR FIN'!$A$1:$O$113,15,0))</f>
        <v>222.31</v>
      </c>
      <c r="Y814" s="4"/>
      <c r="Z814" s="4">
        <f ca="1">('TUSD BE'!$AM$32+'TUSD BF'!$AM$32+'TUSD CVA'!$AM$32)*1</f>
        <v>65.007409626508434</v>
      </c>
      <c r="AA814" s="4">
        <f>('TE BE'!$AA$11+'TE BF'!$AA$11+'TE CVA'!$AA$11)*1</f>
        <v>223.14561812044704</v>
      </c>
      <c r="AB814" s="4">
        <f>$K$814*$V$814</f>
        <v>0</v>
      </c>
      <c r="AC814" s="4">
        <f>$M$814*$W$814</f>
        <v>362104.16756999999</v>
      </c>
      <c r="AD814" s="4">
        <f>$O$814*$X$814</f>
        <v>1570106.8362099999</v>
      </c>
      <c r="AE814" s="4">
        <f>$K$814*$Y$814</f>
        <v>0</v>
      </c>
      <c r="AF814" s="4">
        <f ca="1">$M$814*$Z$814</f>
        <v>459127.24690245447</v>
      </c>
      <c r="AG814" s="4">
        <f>$O$814*$AA$814</f>
        <v>1576008.5487887182</v>
      </c>
    </row>
    <row r="815" spans="1:33" ht="11.25" customHeight="1" x14ac:dyDescent="0.25">
      <c r="A815" s="3" t="s">
        <v>28</v>
      </c>
      <c r="B815" s="3" t="s">
        <v>41</v>
      </c>
      <c r="C815" s="3" t="s">
        <v>42</v>
      </c>
      <c r="D815" s="3" t="s">
        <v>38</v>
      </c>
      <c r="E815" s="3" t="s">
        <v>25</v>
      </c>
      <c r="F815" s="3" t="s">
        <v>25</v>
      </c>
      <c r="G815" s="3" t="s">
        <v>25</v>
      </c>
      <c r="H815" s="3" t="s">
        <v>35</v>
      </c>
      <c r="I815" s="6">
        <v>44378</v>
      </c>
      <c r="J815" s="4">
        <v>0</v>
      </c>
      <c r="K815" s="4">
        <v>0</v>
      </c>
      <c r="L815" s="4">
        <v>121.824</v>
      </c>
      <c r="M815" s="4">
        <v>121.824</v>
      </c>
      <c r="N815" s="4">
        <v>121.824</v>
      </c>
      <c r="O815" s="4">
        <v>121.824</v>
      </c>
      <c r="P815" s="4">
        <v>0</v>
      </c>
      <c r="Q815" s="3" t="s">
        <v>26</v>
      </c>
      <c r="R815" s="3">
        <v>0</v>
      </c>
      <c r="S815" s="4">
        <v>0</v>
      </c>
      <c r="T815" s="4">
        <v>21</v>
      </c>
      <c r="U815" s="4">
        <v>89</v>
      </c>
      <c r="V815" s="4">
        <f>IF(ISERROR(VLOOKUP($S$815,'TAR FIN'!$A$1:$O$113,15,0)),0,VLOOKUP($S$815,'TAR FIN'!$A$1:$O$113,15,0))</f>
        <v>0</v>
      </c>
      <c r="W815" s="4">
        <f>IF(ISERROR(VLOOKUP($T$815,'TAR FIN'!$A$1:$O$113,15,0)),0,VLOOKUP($T$815,'TAR FIN'!$A$1:$O$113,15,0))</f>
        <v>51.27</v>
      </c>
      <c r="X815" s="4">
        <f>IF(ISERROR(VLOOKUP($U$815,'TAR FIN'!$A$1:$O$113,15,0)),0,VLOOKUP($U$815,'TAR FIN'!$A$1:$O$113,15,0))</f>
        <v>222.31</v>
      </c>
      <c r="Y815" s="4"/>
      <c r="Z815" s="4">
        <f ca="1">('TUSD BE'!$AM$32+'TUSD BF'!$AM$32+'TUSD CVA'!$AM$32)*1</f>
        <v>65.007409626508434</v>
      </c>
      <c r="AA815" s="4">
        <f>('TE BE'!$AA$11+'TE BF'!$AA$11+'TE CVA'!$AA$11)*1</f>
        <v>223.14561812044704</v>
      </c>
      <c r="AB815" s="4">
        <f>$K$815*$V$815</f>
        <v>0</v>
      </c>
      <c r="AC815" s="4">
        <f>$M$815*$W$815</f>
        <v>6245.9164799999999</v>
      </c>
      <c r="AD815" s="4">
        <f>$O$815*$X$815</f>
        <v>27082.693439999999</v>
      </c>
      <c r="AE815" s="4">
        <f>$K$815*$Y$815</f>
        <v>0</v>
      </c>
      <c r="AF815" s="4">
        <f ca="1">$M$815*$Z$815</f>
        <v>7919.4626703397635</v>
      </c>
      <c r="AG815" s="4">
        <f>$O$815*$AA$815</f>
        <v>27184.491781905341</v>
      </c>
    </row>
    <row r="816" spans="1:33" ht="11.25" customHeight="1" x14ac:dyDescent="0.25">
      <c r="A816" s="3" t="s">
        <v>21</v>
      </c>
      <c r="B816" s="3" t="s">
        <v>41</v>
      </c>
      <c r="C816" s="3" t="s">
        <v>42</v>
      </c>
      <c r="D816" s="3" t="s">
        <v>38</v>
      </c>
      <c r="E816" s="3" t="s">
        <v>25</v>
      </c>
      <c r="F816" s="3" t="s">
        <v>25</v>
      </c>
      <c r="G816" s="3" t="s">
        <v>25</v>
      </c>
      <c r="H816" s="3" t="s">
        <v>35</v>
      </c>
      <c r="I816" s="6">
        <v>44409</v>
      </c>
      <c r="J816" s="4">
        <v>0</v>
      </c>
      <c r="K816" s="4">
        <v>0</v>
      </c>
      <c r="L816" s="4">
        <v>7334.3069999999998</v>
      </c>
      <c r="M816" s="4">
        <v>7334.3069999999998</v>
      </c>
      <c r="N816" s="4">
        <v>7334.3069999999998</v>
      </c>
      <c r="O816" s="4">
        <v>7334.3069999999998</v>
      </c>
      <c r="P816" s="4">
        <v>0</v>
      </c>
      <c r="Q816" s="3" t="s">
        <v>26</v>
      </c>
      <c r="R816" s="3">
        <v>0</v>
      </c>
      <c r="S816" s="4">
        <v>0</v>
      </c>
      <c r="T816" s="4">
        <v>21</v>
      </c>
      <c r="U816" s="4">
        <v>89</v>
      </c>
      <c r="V816" s="4">
        <f>IF(ISERROR(VLOOKUP($S$816,'TAR FIN'!$A$1:$O$113,15,0)),0,VLOOKUP($S$816,'TAR FIN'!$A$1:$O$113,15,0))</f>
        <v>0</v>
      </c>
      <c r="W816" s="4">
        <f>IF(ISERROR(VLOOKUP($T$816,'TAR FIN'!$A$1:$O$113,15,0)),0,VLOOKUP($T$816,'TAR FIN'!$A$1:$O$113,15,0))</f>
        <v>51.27</v>
      </c>
      <c r="X816" s="4">
        <f>IF(ISERROR(VLOOKUP($U$816,'TAR FIN'!$A$1:$O$113,15,0)),0,VLOOKUP($U$816,'TAR FIN'!$A$1:$O$113,15,0))</f>
        <v>222.31</v>
      </c>
      <c r="Y816" s="4"/>
      <c r="Z816" s="4">
        <f ca="1">('TUSD BE'!$AM$32+'TUSD BF'!$AM$32+'TUSD CVA'!$AM$32)*1</f>
        <v>65.007409626508434</v>
      </c>
      <c r="AA816" s="4">
        <f>('TE BE'!$AA$11+'TE BF'!$AA$11+'TE CVA'!$AA$11)*1</f>
        <v>223.14561812044704</v>
      </c>
      <c r="AB816" s="4">
        <f>$K$816*$V$816</f>
        <v>0</v>
      </c>
      <c r="AC816" s="4">
        <f>$M$816*$W$816</f>
        <v>376029.91989000002</v>
      </c>
      <c r="AD816" s="4">
        <f>$O$816*$X$816</f>
        <v>1630489.78917</v>
      </c>
      <c r="AE816" s="4">
        <f>$K$816*$Y$816</f>
        <v>0</v>
      </c>
      <c r="AF816" s="4">
        <f ca="1">$M$816*$Z$816</f>
        <v>476784.29947556817</v>
      </c>
      <c r="AG816" s="4">
        <f>$O$816*$AA$816</f>
        <v>1636618.4690001216</v>
      </c>
    </row>
    <row r="817" spans="1:33" ht="11.25" customHeight="1" x14ac:dyDescent="0.25">
      <c r="A817" s="3" t="s">
        <v>28</v>
      </c>
      <c r="B817" s="3" t="s">
        <v>41</v>
      </c>
      <c r="C817" s="3" t="s">
        <v>42</v>
      </c>
      <c r="D817" s="3" t="s">
        <v>38</v>
      </c>
      <c r="E817" s="3" t="s">
        <v>25</v>
      </c>
      <c r="F817" s="3" t="s">
        <v>25</v>
      </c>
      <c r="G817" s="3" t="s">
        <v>25</v>
      </c>
      <c r="H817" s="3" t="s">
        <v>35</v>
      </c>
      <c r="I817" s="6">
        <v>44409</v>
      </c>
      <c r="J817" s="4">
        <v>0</v>
      </c>
      <c r="K817" s="4">
        <v>0</v>
      </c>
      <c r="L817" s="4">
        <v>186.30799999999999</v>
      </c>
      <c r="M817" s="4">
        <v>186.30799999999999</v>
      </c>
      <c r="N817" s="4">
        <v>186.30799999999999</v>
      </c>
      <c r="O817" s="4">
        <v>186.30799999999999</v>
      </c>
      <c r="P817" s="4">
        <v>0</v>
      </c>
      <c r="Q817" s="3" t="s">
        <v>26</v>
      </c>
      <c r="R817" s="3">
        <v>0</v>
      </c>
      <c r="S817" s="4">
        <v>0</v>
      </c>
      <c r="T817" s="4">
        <v>21</v>
      </c>
      <c r="U817" s="4">
        <v>89</v>
      </c>
      <c r="V817" s="4">
        <f>IF(ISERROR(VLOOKUP($S$817,'TAR FIN'!$A$1:$O$113,15,0)),0,VLOOKUP($S$817,'TAR FIN'!$A$1:$O$113,15,0))</f>
        <v>0</v>
      </c>
      <c r="W817" s="4">
        <f>IF(ISERROR(VLOOKUP($T$817,'TAR FIN'!$A$1:$O$113,15,0)),0,VLOOKUP($T$817,'TAR FIN'!$A$1:$O$113,15,0))</f>
        <v>51.27</v>
      </c>
      <c r="X817" s="4">
        <f>IF(ISERROR(VLOOKUP($U$817,'TAR FIN'!$A$1:$O$113,15,0)),0,VLOOKUP($U$817,'TAR FIN'!$A$1:$O$113,15,0))</f>
        <v>222.31</v>
      </c>
      <c r="Y817" s="4"/>
      <c r="Z817" s="4">
        <f ca="1">('TUSD BE'!$AM$32+'TUSD BF'!$AM$32+'TUSD CVA'!$AM$32)*1</f>
        <v>65.007409626508434</v>
      </c>
      <c r="AA817" s="4">
        <f>('TE BE'!$AA$11+'TE BF'!$AA$11+'TE CVA'!$AA$11)*1</f>
        <v>223.14561812044704</v>
      </c>
      <c r="AB817" s="4">
        <f>$K$817*$V$817</f>
        <v>0</v>
      </c>
      <c r="AC817" s="4">
        <f>$M$817*$W$817</f>
        <v>9552.01116</v>
      </c>
      <c r="AD817" s="4">
        <f>$O$817*$X$817</f>
        <v>41418.131479999996</v>
      </c>
      <c r="AE817" s="4">
        <f>$K$817*$Y$817</f>
        <v>0</v>
      </c>
      <c r="AF817" s="4">
        <f ca="1">$M$817*$Z$817</f>
        <v>12111.400472695534</v>
      </c>
      <c r="AG817" s="4">
        <f>$O$817*$AA$817</f>
        <v>41573.813820784242</v>
      </c>
    </row>
    <row r="818" spans="1:33" ht="11.25" customHeight="1" x14ac:dyDescent="0.25">
      <c r="A818" s="3" t="s">
        <v>21</v>
      </c>
      <c r="B818" s="3" t="s">
        <v>41</v>
      </c>
      <c r="C818" s="3" t="s">
        <v>42</v>
      </c>
      <c r="D818" s="3" t="s">
        <v>38</v>
      </c>
      <c r="E818" s="3" t="s">
        <v>25</v>
      </c>
      <c r="F818" s="3" t="s">
        <v>25</v>
      </c>
      <c r="G818" s="3" t="s">
        <v>25</v>
      </c>
      <c r="H818" s="3" t="s">
        <v>35</v>
      </c>
      <c r="I818" s="6">
        <v>44409</v>
      </c>
      <c r="J818" s="4">
        <v>0</v>
      </c>
      <c r="K818" s="4">
        <v>0</v>
      </c>
      <c r="L818" s="4">
        <v>111.39</v>
      </c>
      <c r="M818" s="4">
        <v>111.39</v>
      </c>
      <c r="N818" s="4">
        <v>0</v>
      </c>
      <c r="O818" s="4">
        <v>0</v>
      </c>
      <c r="P818" s="4">
        <v>0</v>
      </c>
      <c r="Q818" s="3" t="s">
        <v>57</v>
      </c>
      <c r="R818" s="3">
        <v>0</v>
      </c>
      <c r="S818" s="4">
        <v>0</v>
      </c>
      <c r="T818" s="4">
        <v>21</v>
      </c>
      <c r="U818" s="4">
        <v>0</v>
      </c>
      <c r="V818" s="4">
        <f>IF(ISERROR(VLOOKUP($S$818,'TAR FIN'!$A$1:$O$113,15,0)),0,VLOOKUP($S$818,'TAR FIN'!$A$1:$O$113,15,0))</f>
        <v>0</v>
      </c>
      <c r="W818" s="4">
        <f>IF(ISERROR(VLOOKUP($T$818,'TAR FIN'!$A$1:$O$113,15,0)),0,VLOOKUP($T$818,'TAR FIN'!$A$1:$O$113,15,0))</f>
        <v>51.27</v>
      </c>
      <c r="X818" s="4">
        <f>IF(ISERROR(VLOOKUP($U$818,'TAR FIN'!$A$1:$O$113,15,0)),0,VLOOKUP($U$818,'TAR FIN'!$A$1:$O$113,15,0))</f>
        <v>0</v>
      </c>
      <c r="Y818" s="4"/>
      <c r="Z818" s="4">
        <f ca="1">('TUSD BE'!$AM$32+'TUSD BF'!$AM$32+'TUSD CVA'!$AM$32)*1</f>
        <v>65.007409626508434</v>
      </c>
      <c r="AA818" s="4"/>
      <c r="AB818" s="4">
        <f>$K$818*$V$818</f>
        <v>0</v>
      </c>
      <c r="AC818" s="4">
        <f>$M$818*$W$818</f>
        <v>5710.9653000000008</v>
      </c>
      <c r="AD818" s="4">
        <f>$O$818*$X$818</f>
        <v>0</v>
      </c>
      <c r="AE818" s="4">
        <f>$K$818*$Y$818</f>
        <v>0</v>
      </c>
      <c r="AF818" s="4">
        <f ca="1">$M$818*$Z$818</f>
        <v>7241.1753582967749</v>
      </c>
      <c r="AG818" s="4">
        <f>$O$818*$AA$818</f>
        <v>0</v>
      </c>
    </row>
    <row r="819" spans="1:33" ht="11.25" customHeight="1" x14ac:dyDescent="0.25">
      <c r="A819" s="3" t="s">
        <v>21</v>
      </c>
      <c r="B819" s="3" t="s">
        <v>41</v>
      </c>
      <c r="C819" s="3" t="s">
        <v>42</v>
      </c>
      <c r="D819" s="3" t="s">
        <v>38</v>
      </c>
      <c r="E819" s="3" t="s">
        <v>25</v>
      </c>
      <c r="F819" s="3" t="s">
        <v>25</v>
      </c>
      <c r="G819" s="3" t="s">
        <v>25</v>
      </c>
      <c r="H819" s="3" t="s">
        <v>35</v>
      </c>
      <c r="I819" s="6">
        <v>44440</v>
      </c>
      <c r="J819" s="4">
        <v>0</v>
      </c>
      <c r="K819" s="4">
        <v>0</v>
      </c>
      <c r="L819" s="4">
        <v>6950.3249999999998</v>
      </c>
      <c r="M819" s="4">
        <v>6950.3249999999998</v>
      </c>
      <c r="N819" s="4">
        <v>6950.3249999999998</v>
      </c>
      <c r="O819" s="4">
        <v>6950.3249999999998</v>
      </c>
      <c r="P819" s="4">
        <v>0</v>
      </c>
      <c r="Q819" s="3" t="s">
        <v>26</v>
      </c>
      <c r="R819" s="3">
        <v>0</v>
      </c>
      <c r="S819" s="4">
        <v>0</v>
      </c>
      <c r="T819" s="4">
        <v>21</v>
      </c>
      <c r="U819" s="4">
        <v>89</v>
      </c>
      <c r="V819" s="4">
        <f>IF(ISERROR(VLOOKUP($S$819,'TAR FIN'!$A$1:$O$113,15,0)),0,VLOOKUP($S$819,'TAR FIN'!$A$1:$O$113,15,0))</f>
        <v>0</v>
      </c>
      <c r="W819" s="4">
        <f>IF(ISERROR(VLOOKUP($T$819,'TAR FIN'!$A$1:$O$113,15,0)),0,VLOOKUP($T$819,'TAR FIN'!$A$1:$O$113,15,0))</f>
        <v>51.27</v>
      </c>
      <c r="X819" s="4">
        <f>IF(ISERROR(VLOOKUP($U$819,'TAR FIN'!$A$1:$O$113,15,0)),0,VLOOKUP($U$819,'TAR FIN'!$A$1:$O$113,15,0))</f>
        <v>222.31</v>
      </c>
      <c r="Y819" s="4"/>
      <c r="Z819" s="4">
        <f ca="1">('TUSD BE'!$AM$32+'TUSD BF'!$AM$32+'TUSD CVA'!$AM$32)*1</f>
        <v>65.007409626508434</v>
      </c>
      <c r="AA819" s="4">
        <f>('TE BE'!$AA$11+'TE BF'!$AA$11+'TE CVA'!$AA$11)*1</f>
        <v>223.14561812044704</v>
      </c>
      <c r="AB819" s="4">
        <f>$K$819*$V$819</f>
        <v>0</v>
      </c>
      <c r="AC819" s="4">
        <f>$M$819*$W$819</f>
        <v>356343.16275000002</v>
      </c>
      <c r="AD819" s="4">
        <f>$O$819*$X$819</f>
        <v>1545126.7507499999</v>
      </c>
      <c r="AE819" s="4">
        <f>$K$819*$Y$819</f>
        <v>0</v>
      </c>
      <c r="AF819" s="4">
        <f ca="1">$M$819*$Z$819</f>
        <v>451822.62431236223</v>
      </c>
      <c r="AG819" s="4">
        <f>$O$819*$AA$819</f>
        <v>1550934.5682629959</v>
      </c>
    </row>
    <row r="820" spans="1:33" ht="11.25" customHeight="1" x14ac:dyDescent="0.25">
      <c r="A820" s="3" t="s">
        <v>28</v>
      </c>
      <c r="B820" s="3" t="s">
        <v>41</v>
      </c>
      <c r="C820" s="3" t="s">
        <v>42</v>
      </c>
      <c r="D820" s="3" t="s">
        <v>38</v>
      </c>
      <c r="E820" s="3" t="s">
        <v>25</v>
      </c>
      <c r="F820" s="3" t="s">
        <v>25</v>
      </c>
      <c r="G820" s="3" t="s">
        <v>25</v>
      </c>
      <c r="H820" s="3" t="s">
        <v>35</v>
      </c>
      <c r="I820" s="6">
        <v>44440</v>
      </c>
      <c r="J820" s="4">
        <v>0</v>
      </c>
      <c r="K820" s="4">
        <v>0</v>
      </c>
      <c r="L820" s="4">
        <v>150.80199999999999</v>
      </c>
      <c r="M820" s="4">
        <v>150.80199999999999</v>
      </c>
      <c r="N820" s="4">
        <v>150.80199999999999</v>
      </c>
      <c r="O820" s="4">
        <v>150.80199999999999</v>
      </c>
      <c r="P820" s="4">
        <v>0</v>
      </c>
      <c r="Q820" s="3" t="s">
        <v>26</v>
      </c>
      <c r="R820" s="3">
        <v>0</v>
      </c>
      <c r="S820" s="4">
        <v>0</v>
      </c>
      <c r="T820" s="4">
        <v>21</v>
      </c>
      <c r="U820" s="4">
        <v>89</v>
      </c>
      <c r="V820" s="4">
        <f>IF(ISERROR(VLOOKUP($S$820,'TAR FIN'!$A$1:$O$113,15,0)),0,VLOOKUP($S$820,'TAR FIN'!$A$1:$O$113,15,0))</f>
        <v>0</v>
      </c>
      <c r="W820" s="4">
        <f>IF(ISERROR(VLOOKUP($T$820,'TAR FIN'!$A$1:$O$113,15,0)),0,VLOOKUP($T$820,'TAR FIN'!$A$1:$O$113,15,0))</f>
        <v>51.27</v>
      </c>
      <c r="X820" s="4">
        <f>IF(ISERROR(VLOOKUP($U$820,'TAR FIN'!$A$1:$O$113,15,0)),0,VLOOKUP($U$820,'TAR FIN'!$A$1:$O$113,15,0))</f>
        <v>222.31</v>
      </c>
      <c r="Y820" s="4"/>
      <c r="Z820" s="4">
        <f ca="1">('TUSD BE'!$AM$32+'TUSD BF'!$AM$32+'TUSD CVA'!$AM$32)*1</f>
        <v>65.007409626508434</v>
      </c>
      <c r="AA820" s="4">
        <f>('TE BE'!$AA$11+'TE BF'!$AA$11+'TE CVA'!$AA$11)*1</f>
        <v>223.14561812044704</v>
      </c>
      <c r="AB820" s="4">
        <f>$K$820*$V$820</f>
        <v>0</v>
      </c>
      <c r="AC820" s="4">
        <f>$M$820*$W$820</f>
        <v>7731.6185400000004</v>
      </c>
      <c r="AD820" s="4">
        <f>$O$820*$X$820</f>
        <v>33524.79262</v>
      </c>
      <c r="AE820" s="4">
        <f>$K$820*$Y$820</f>
        <v>0</v>
      </c>
      <c r="AF820" s="4">
        <f ca="1">$M$820*$Z$820</f>
        <v>9803.2473864967251</v>
      </c>
      <c r="AG820" s="4">
        <f>$O$820*$AA$820</f>
        <v>33650.805503799653</v>
      </c>
    </row>
    <row r="821" spans="1:33" ht="11.25" customHeight="1" x14ac:dyDescent="0.25">
      <c r="A821" s="3" t="s">
        <v>21</v>
      </c>
      <c r="B821" s="3" t="s">
        <v>41</v>
      </c>
      <c r="C821" s="3" t="s">
        <v>42</v>
      </c>
      <c r="D821" s="3" t="s">
        <v>38</v>
      </c>
      <c r="E821" s="3" t="s">
        <v>25</v>
      </c>
      <c r="F821" s="3" t="s">
        <v>25</v>
      </c>
      <c r="G821" s="3" t="s">
        <v>25</v>
      </c>
      <c r="H821" s="3" t="s">
        <v>35</v>
      </c>
      <c r="I821" s="6">
        <v>44470</v>
      </c>
      <c r="J821" s="4">
        <v>0</v>
      </c>
      <c r="K821" s="4">
        <v>0</v>
      </c>
      <c r="L821" s="4">
        <v>7144.5649999999996</v>
      </c>
      <c r="M821" s="4">
        <v>7144.5649999999996</v>
      </c>
      <c r="N821" s="4">
        <v>7144.5649999999996</v>
      </c>
      <c r="O821" s="4">
        <v>7144.5649999999996</v>
      </c>
      <c r="P821" s="4">
        <v>0</v>
      </c>
      <c r="Q821" s="3" t="s">
        <v>26</v>
      </c>
      <c r="R821" s="3">
        <v>0</v>
      </c>
      <c r="S821" s="4">
        <v>0</v>
      </c>
      <c r="T821" s="4">
        <v>21</v>
      </c>
      <c r="U821" s="4">
        <v>89</v>
      </c>
      <c r="V821" s="4">
        <f>IF(ISERROR(VLOOKUP($S$821,'TAR FIN'!$A$1:$O$113,15,0)),0,VLOOKUP($S$821,'TAR FIN'!$A$1:$O$113,15,0))</f>
        <v>0</v>
      </c>
      <c r="W821" s="4">
        <f>IF(ISERROR(VLOOKUP($T$821,'TAR FIN'!$A$1:$O$113,15,0)),0,VLOOKUP($T$821,'TAR FIN'!$A$1:$O$113,15,0))</f>
        <v>51.27</v>
      </c>
      <c r="X821" s="4">
        <f>IF(ISERROR(VLOOKUP($U$821,'TAR FIN'!$A$1:$O$113,15,0)),0,VLOOKUP($U$821,'TAR FIN'!$A$1:$O$113,15,0))</f>
        <v>222.31</v>
      </c>
      <c r="Y821" s="4"/>
      <c r="Z821" s="4">
        <f ca="1">('TUSD BE'!$AM$32+'TUSD BF'!$AM$32+'TUSD CVA'!$AM$32)*1</f>
        <v>65.007409626508434</v>
      </c>
      <c r="AA821" s="4">
        <f>('TE BE'!$AA$11+'TE BF'!$AA$11+'TE CVA'!$AA$11)*1</f>
        <v>223.14561812044704</v>
      </c>
      <c r="AB821" s="4">
        <f>$K$821*$V$821</f>
        <v>0</v>
      </c>
      <c r="AC821" s="4">
        <f>$M$821*$W$821</f>
        <v>366301.84755000001</v>
      </c>
      <c r="AD821" s="4">
        <f>$O$821*$X$821</f>
        <v>1588308.2451499999</v>
      </c>
      <c r="AE821" s="4">
        <f>$K$821*$Y$821</f>
        <v>0</v>
      </c>
      <c r="AF821" s="4">
        <f ca="1">$M$821*$Z$821</f>
        <v>464449.66355821519</v>
      </c>
      <c r="AG821" s="4">
        <f>$O$821*$AA$821</f>
        <v>1594278.3731267117</v>
      </c>
    </row>
    <row r="822" spans="1:33" ht="11.25" customHeight="1" x14ac:dyDescent="0.25">
      <c r="A822" s="3" t="s">
        <v>28</v>
      </c>
      <c r="B822" s="3" t="s">
        <v>41</v>
      </c>
      <c r="C822" s="3" t="s">
        <v>42</v>
      </c>
      <c r="D822" s="3" t="s">
        <v>38</v>
      </c>
      <c r="E822" s="3" t="s">
        <v>25</v>
      </c>
      <c r="F822" s="3" t="s">
        <v>25</v>
      </c>
      <c r="G822" s="3" t="s">
        <v>25</v>
      </c>
      <c r="H822" s="3" t="s">
        <v>35</v>
      </c>
      <c r="I822" s="6">
        <v>44470</v>
      </c>
      <c r="J822" s="4">
        <v>0</v>
      </c>
      <c r="K822" s="4">
        <v>0</v>
      </c>
      <c r="L822" s="4">
        <v>158.21700000000001</v>
      </c>
      <c r="M822" s="4">
        <v>158.21700000000001</v>
      </c>
      <c r="N822" s="4">
        <v>158.21700000000001</v>
      </c>
      <c r="O822" s="4">
        <v>158.21700000000001</v>
      </c>
      <c r="P822" s="4">
        <v>0</v>
      </c>
      <c r="Q822" s="3" t="s">
        <v>26</v>
      </c>
      <c r="R822" s="3">
        <v>0</v>
      </c>
      <c r="S822" s="4">
        <v>0</v>
      </c>
      <c r="T822" s="4">
        <v>21</v>
      </c>
      <c r="U822" s="4">
        <v>89</v>
      </c>
      <c r="V822" s="4">
        <f>IF(ISERROR(VLOOKUP($S$822,'TAR FIN'!$A$1:$O$113,15,0)),0,VLOOKUP($S$822,'TAR FIN'!$A$1:$O$113,15,0))</f>
        <v>0</v>
      </c>
      <c r="W822" s="4">
        <f>IF(ISERROR(VLOOKUP($T$822,'TAR FIN'!$A$1:$O$113,15,0)),0,VLOOKUP($T$822,'TAR FIN'!$A$1:$O$113,15,0))</f>
        <v>51.27</v>
      </c>
      <c r="X822" s="4">
        <f>IF(ISERROR(VLOOKUP($U$822,'TAR FIN'!$A$1:$O$113,15,0)),0,VLOOKUP($U$822,'TAR FIN'!$A$1:$O$113,15,0))</f>
        <v>222.31</v>
      </c>
      <c r="Y822" s="4"/>
      <c r="Z822" s="4">
        <f ca="1">('TUSD BE'!$AM$32+'TUSD BF'!$AM$32+'TUSD CVA'!$AM$32)*1</f>
        <v>65.007409626508434</v>
      </c>
      <c r="AA822" s="4">
        <f>('TE BE'!$AA$11+'TE BF'!$AA$11+'TE CVA'!$AA$11)*1</f>
        <v>223.14561812044704</v>
      </c>
      <c r="AB822" s="4">
        <f>$K$822*$V$822</f>
        <v>0</v>
      </c>
      <c r="AC822" s="4">
        <f>$M$822*$W$822</f>
        <v>8111.7855900000013</v>
      </c>
      <c r="AD822" s="4">
        <f>$O$822*$X$822</f>
        <v>35173.221270000002</v>
      </c>
      <c r="AE822" s="4">
        <f>$K$822*$Y$822</f>
        <v>0</v>
      </c>
      <c r="AF822" s="4">
        <f ca="1">$M$822*$Z$822</f>
        <v>10285.277328877286</v>
      </c>
      <c r="AG822" s="4">
        <f>$O$822*$AA$822</f>
        <v>35305.430262162772</v>
      </c>
    </row>
    <row r="823" spans="1:33" ht="11.25" customHeight="1" x14ac:dyDescent="0.25">
      <c r="A823" s="3" t="s">
        <v>21</v>
      </c>
      <c r="B823" s="3" t="s">
        <v>41</v>
      </c>
      <c r="C823" s="3" t="s">
        <v>42</v>
      </c>
      <c r="D823" s="3" t="s">
        <v>38</v>
      </c>
      <c r="E823" s="3" t="s">
        <v>25</v>
      </c>
      <c r="F823" s="3" t="s">
        <v>25</v>
      </c>
      <c r="G823" s="3" t="s">
        <v>25</v>
      </c>
      <c r="H823" s="3" t="s">
        <v>35</v>
      </c>
      <c r="I823" s="6">
        <v>44501</v>
      </c>
      <c r="J823" s="4">
        <v>0</v>
      </c>
      <c r="K823" s="4">
        <v>0</v>
      </c>
      <c r="L823" s="4">
        <v>6933.7039999999997</v>
      </c>
      <c r="M823" s="4">
        <v>6933.7039999999997</v>
      </c>
      <c r="N823" s="4">
        <v>6933.7039999999997</v>
      </c>
      <c r="O823" s="4">
        <v>6933.7039999999997</v>
      </c>
      <c r="P823" s="4">
        <v>0</v>
      </c>
      <c r="Q823" s="3" t="s">
        <v>26</v>
      </c>
      <c r="R823" s="3">
        <v>0</v>
      </c>
      <c r="S823" s="4">
        <v>0</v>
      </c>
      <c r="T823" s="4">
        <v>21</v>
      </c>
      <c r="U823" s="4">
        <v>89</v>
      </c>
      <c r="V823" s="4">
        <f>IF(ISERROR(VLOOKUP($S$823,'TAR FIN'!$A$1:$O$113,15,0)),0,VLOOKUP($S$823,'TAR FIN'!$A$1:$O$113,15,0))</f>
        <v>0</v>
      </c>
      <c r="W823" s="4">
        <f>IF(ISERROR(VLOOKUP($T$823,'TAR FIN'!$A$1:$O$113,15,0)),0,VLOOKUP($T$823,'TAR FIN'!$A$1:$O$113,15,0))</f>
        <v>51.27</v>
      </c>
      <c r="X823" s="4">
        <f>IF(ISERROR(VLOOKUP($U$823,'TAR FIN'!$A$1:$O$113,15,0)),0,VLOOKUP($U$823,'TAR FIN'!$A$1:$O$113,15,0))</f>
        <v>222.31</v>
      </c>
      <c r="Y823" s="4"/>
      <c r="Z823" s="4">
        <f ca="1">('TUSD BE'!$AM$32+'TUSD BF'!$AM$32+'TUSD CVA'!$AM$32)*1</f>
        <v>65.007409626508434</v>
      </c>
      <c r="AA823" s="4">
        <f>('TE BE'!$AA$11+'TE BF'!$AA$11+'TE CVA'!$AA$11)*1</f>
        <v>223.14561812044704</v>
      </c>
      <c r="AB823" s="4">
        <f>$K$823*$V$823</f>
        <v>0</v>
      </c>
      <c r="AC823" s="4">
        <f>$M$823*$W$823</f>
        <v>355491.00407999998</v>
      </c>
      <c r="AD823" s="4">
        <f>$O$823*$X$823</f>
        <v>1541431.73624</v>
      </c>
      <c r="AE823" s="4">
        <f>$K$823*$Y$823</f>
        <v>0</v>
      </c>
      <c r="AF823" s="4">
        <f ca="1">$M$823*$Z$823</f>
        <v>450742.13615696004</v>
      </c>
      <c r="AG823" s="4">
        <f>$O$823*$AA$823</f>
        <v>1547225.6649442161</v>
      </c>
    </row>
    <row r="824" spans="1:33" ht="11.25" customHeight="1" x14ac:dyDescent="0.25">
      <c r="A824" s="3" t="s">
        <v>28</v>
      </c>
      <c r="B824" s="3" t="s">
        <v>41</v>
      </c>
      <c r="C824" s="3" t="s">
        <v>42</v>
      </c>
      <c r="D824" s="3" t="s">
        <v>38</v>
      </c>
      <c r="E824" s="3" t="s">
        <v>25</v>
      </c>
      <c r="F824" s="3" t="s">
        <v>25</v>
      </c>
      <c r="G824" s="3" t="s">
        <v>25</v>
      </c>
      <c r="H824" s="3" t="s">
        <v>35</v>
      </c>
      <c r="I824" s="6">
        <v>44501</v>
      </c>
      <c r="J824" s="4">
        <v>0</v>
      </c>
      <c r="K824" s="4">
        <v>0</v>
      </c>
      <c r="L824" s="4">
        <v>148.167</v>
      </c>
      <c r="M824" s="4">
        <v>148.167</v>
      </c>
      <c r="N824" s="4">
        <v>148.167</v>
      </c>
      <c r="O824" s="4">
        <v>148.167</v>
      </c>
      <c r="P824" s="4">
        <v>0</v>
      </c>
      <c r="Q824" s="3" t="s">
        <v>26</v>
      </c>
      <c r="R824" s="3">
        <v>0</v>
      </c>
      <c r="S824" s="4">
        <v>0</v>
      </c>
      <c r="T824" s="4">
        <v>21</v>
      </c>
      <c r="U824" s="4">
        <v>89</v>
      </c>
      <c r="V824" s="4">
        <f>IF(ISERROR(VLOOKUP($S$824,'TAR FIN'!$A$1:$O$113,15,0)),0,VLOOKUP($S$824,'TAR FIN'!$A$1:$O$113,15,0))</f>
        <v>0</v>
      </c>
      <c r="W824" s="4">
        <f>IF(ISERROR(VLOOKUP($T$824,'TAR FIN'!$A$1:$O$113,15,0)),0,VLOOKUP($T$824,'TAR FIN'!$A$1:$O$113,15,0))</f>
        <v>51.27</v>
      </c>
      <c r="X824" s="4">
        <f>IF(ISERROR(VLOOKUP($U$824,'TAR FIN'!$A$1:$O$113,15,0)),0,VLOOKUP($U$824,'TAR FIN'!$A$1:$O$113,15,0))</f>
        <v>222.31</v>
      </c>
      <c r="Y824" s="4"/>
      <c r="Z824" s="4">
        <f ca="1">('TUSD BE'!$AM$32+'TUSD BF'!$AM$32+'TUSD CVA'!$AM$32)*1</f>
        <v>65.007409626508434</v>
      </c>
      <c r="AA824" s="4">
        <f>('TE BE'!$AA$11+'TE BF'!$AA$11+'TE CVA'!$AA$11)*1</f>
        <v>223.14561812044704</v>
      </c>
      <c r="AB824" s="4">
        <f>$K$824*$V$824</f>
        <v>0</v>
      </c>
      <c r="AC824" s="4">
        <f>$M$824*$W$824</f>
        <v>7596.5220900000004</v>
      </c>
      <c r="AD824" s="4">
        <f>$O$824*$X$824</f>
        <v>32939.005770000003</v>
      </c>
      <c r="AE824" s="4">
        <f>$K$824*$Y$824</f>
        <v>0</v>
      </c>
      <c r="AF824" s="4">
        <f ca="1">$M$824*$Z$824</f>
        <v>9631.9528621308746</v>
      </c>
      <c r="AG824" s="4">
        <f>$O$824*$AA$824</f>
        <v>33062.816800052278</v>
      </c>
    </row>
    <row r="825" spans="1:33" ht="11.25" customHeight="1" x14ac:dyDescent="0.25">
      <c r="A825" s="3" t="s">
        <v>21</v>
      </c>
      <c r="B825" s="3" t="s">
        <v>41</v>
      </c>
      <c r="C825" s="3" t="s">
        <v>42</v>
      </c>
      <c r="D825" s="3" t="s">
        <v>38</v>
      </c>
      <c r="E825" s="3" t="s">
        <v>25</v>
      </c>
      <c r="F825" s="3" t="s">
        <v>25</v>
      </c>
      <c r="G825" s="3" t="s">
        <v>25</v>
      </c>
      <c r="H825" s="3" t="s">
        <v>35</v>
      </c>
      <c r="I825" s="6">
        <v>44531</v>
      </c>
      <c r="J825" s="4">
        <v>0</v>
      </c>
      <c r="K825" s="4">
        <v>0</v>
      </c>
      <c r="L825" s="4">
        <v>6839.9769999999999</v>
      </c>
      <c r="M825" s="4">
        <v>6839.9769999999999</v>
      </c>
      <c r="N825" s="4">
        <v>6839.9769999999999</v>
      </c>
      <c r="O825" s="4">
        <v>6839.9769999999999</v>
      </c>
      <c r="P825" s="4">
        <v>0</v>
      </c>
      <c r="Q825" s="3" t="s">
        <v>26</v>
      </c>
      <c r="R825" s="3">
        <v>0</v>
      </c>
      <c r="S825" s="4">
        <v>0</v>
      </c>
      <c r="T825" s="4">
        <v>21</v>
      </c>
      <c r="U825" s="4">
        <v>89</v>
      </c>
      <c r="V825" s="4">
        <f>IF(ISERROR(VLOOKUP($S$825,'TAR FIN'!$A$1:$O$113,15,0)),0,VLOOKUP($S$825,'TAR FIN'!$A$1:$O$113,15,0))</f>
        <v>0</v>
      </c>
      <c r="W825" s="4">
        <f>IF(ISERROR(VLOOKUP($T$825,'TAR FIN'!$A$1:$O$113,15,0)),0,VLOOKUP($T$825,'TAR FIN'!$A$1:$O$113,15,0))</f>
        <v>51.27</v>
      </c>
      <c r="X825" s="4">
        <f>IF(ISERROR(VLOOKUP($U$825,'TAR FIN'!$A$1:$O$113,15,0)),0,VLOOKUP($U$825,'TAR FIN'!$A$1:$O$113,15,0))</f>
        <v>222.31</v>
      </c>
      <c r="Y825" s="4"/>
      <c r="Z825" s="4">
        <f ca="1">('TUSD BE'!$AM$32+'TUSD BF'!$AM$32+'TUSD CVA'!$AM$32)*1</f>
        <v>65.007409626508434</v>
      </c>
      <c r="AA825" s="4">
        <f>('TE BE'!$AA$11+'TE BF'!$AA$11+'TE CVA'!$AA$11)*1</f>
        <v>223.14561812044704</v>
      </c>
      <c r="AB825" s="4">
        <f>$K$825*$V$825</f>
        <v>0</v>
      </c>
      <c r="AC825" s="4">
        <f>$M$825*$W$825</f>
        <v>350685.62079000002</v>
      </c>
      <c r="AD825" s="4">
        <f>$O$825*$X$825</f>
        <v>1520595.28687</v>
      </c>
      <c r="AE825" s="4">
        <f>$K$825*$Y$825</f>
        <v>0</v>
      </c>
      <c r="AF825" s="4">
        <f ca="1">$M$825*$Z$825</f>
        <v>444649.18667489628</v>
      </c>
      <c r="AG825" s="4">
        <f>$O$825*$AA$825</f>
        <v>1526310.8955946409</v>
      </c>
    </row>
    <row r="826" spans="1:33" ht="11.25" customHeight="1" x14ac:dyDescent="0.25">
      <c r="A826" s="3" t="s">
        <v>27</v>
      </c>
      <c r="B826" s="3" t="s">
        <v>41</v>
      </c>
      <c r="C826" s="3" t="s">
        <v>42</v>
      </c>
      <c r="D826" s="3" t="s">
        <v>38</v>
      </c>
      <c r="E826" s="3" t="s">
        <v>25</v>
      </c>
      <c r="F826" s="3" t="s">
        <v>25</v>
      </c>
      <c r="G826" s="3" t="s">
        <v>25</v>
      </c>
      <c r="H826" s="3" t="s">
        <v>35</v>
      </c>
      <c r="I826" s="6">
        <v>44531</v>
      </c>
      <c r="J826" s="4">
        <v>0</v>
      </c>
      <c r="K826" s="4">
        <v>0</v>
      </c>
      <c r="L826" s="4">
        <v>-8.5340000000000007</v>
      </c>
      <c r="M826" s="4">
        <v>-8.5340000000000007</v>
      </c>
      <c r="N826" s="4">
        <v>-8.5340000000000007</v>
      </c>
      <c r="O826" s="4">
        <v>-8.5340000000000007</v>
      </c>
      <c r="P826" s="4">
        <v>0</v>
      </c>
      <c r="Q826" s="3" t="s">
        <v>26</v>
      </c>
      <c r="R826" s="3">
        <v>0</v>
      </c>
      <c r="S826" s="4">
        <v>0</v>
      </c>
      <c r="T826" s="4">
        <v>21</v>
      </c>
      <c r="U826" s="4">
        <v>89</v>
      </c>
      <c r="V826" s="4">
        <f>IF(ISERROR(VLOOKUP($S$826,'TAR FIN'!$A$1:$O$113,15,0)),0,VLOOKUP($S$826,'TAR FIN'!$A$1:$O$113,15,0))</f>
        <v>0</v>
      </c>
      <c r="W826" s="4">
        <f>IF(ISERROR(VLOOKUP($T$826,'TAR FIN'!$A$1:$O$113,15,0)),0,VLOOKUP($T$826,'TAR FIN'!$A$1:$O$113,15,0))</f>
        <v>51.27</v>
      </c>
      <c r="X826" s="4">
        <f>IF(ISERROR(VLOOKUP($U$826,'TAR FIN'!$A$1:$O$113,15,0)),0,VLOOKUP($U$826,'TAR FIN'!$A$1:$O$113,15,0))</f>
        <v>222.31</v>
      </c>
      <c r="Y826" s="4"/>
      <c r="Z826" s="4">
        <f ca="1">('TUSD BE'!$AM$32+'TUSD BF'!$AM$32+'TUSD CVA'!$AM$32)*1</f>
        <v>65.007409626508434</v>
      </c>
      <c r="AA826" s="4">
        <f>('TE BE'!$AA$11+'TE BF'!$AA$11+'TE CVA'!$AA$11)*1</f>
        <v>223.14561812044704</v>
      </c>
      <c r="AB826" s="4">
        <f>$K$826*$V$826</f>
        <v>0</v>
      </c>
      <c r="AC826" s="4">
        <f>$M$826*$W$826</f>
        <v>-437.53818000000007</v>
      </c>
      <c r="AD826" s="4">
        <f>$O$826*$X$826</f>
        <v>-1897.1935400000002</v>
      </c>
      <c r="AE826" s="4">
        <f>$K$826*$Y$826</f>
        <v>0</v>
      </c>
      <c r="AF826" s="4">
        <f ca="1">$M$826*$Z$826</f>
        <v>-554.77323375262301</v>
      </c>
      <c r="AG826" s="4">
        <f>$O$826*$AA$826</f>
        <v>-1904.3247050398952</v>
      </c>
    </row>
    <row r="827" spans="1:33" ht="11.25" customHeight="1" x14ac:dyDescent="0.25">
      <c r="A827" s="3" t="s">
        <v>28</v>
      </c>
      <c r="B827" s="3" t="s">
        <v>41</v>
      </c>
      <c r="C827" s="3" t="s">
        <v>42</v>
      </c>
      <c r="D827" s="3" t="s">
        <v>38</v>
      </c>
      <c r="E827" s="3" t="s">
        <v>25</v>
      </c>
      <c r="F827" s="3" t="s">
        <v>25</v>
      </c>
      <c r="G827" s="3" t="s">
        <v>25</v>
      </c>
      <c r="H827" s="3" t="s">
        <v>35</v>
      </c>
      <c r="I827" s="6">
        <v>44531</v>
      </c>
      <c r="J827" s="4">
        <v>0</v>
      </c>
      <c r="K827" s="4">
        <v>0</v>
      </c>
      <c r="L827" s="4">
        <v>148.61099999999999</v>
      </c>
      <c r="M827" s="4">
        <v>148.61099999999999</v>
      </c>
      <c r="N827" s="4">
        <v>148.61099999999999</v>
      </c>
      <c r="O827" s="4">
        <v>148.61099999999999</v>
      </c>
      <c r="P827" s="4">
        <v>0</v>
      </c>
      <c r="Q827" s="3" t="s">
        <v>26</v>
      </c>
      <c r="R827" s="3">
        <v>0</v>
      </c>
      <c r="S827" s="4">
        <v>0</v>
      </c>
      <c r="T827" s="4">
        <v>21</v>
      </c>
      <c r="U827" s="4">
        <v>89</v>
      </c>
      <c r="V827" s="4">
        <f>IF(ISERROR(VLOOKUP($S$827,'TAR FIN'!$A$1:$O$113,15,0)),0,VLOOKUP($S$827,'TAR FIN'!$A$1:$O$113,15,0))</f>
        <v>0</v>
      </c>
      <c r="W827" s="4">
        <f>IF(ISERROR(VLOOKUP($T$827,'TAR FIN'!$A$1:$O$113,15,0)),0,VLOOKUP($T$827,'TAR FIN'!$A$1:$O$113,15,0))</f>
        <v>51.27</v>
      </c>
      <c r="X827" s="4">
        <f>IF(ISERROR(VLOOKUP($U$827,'TAR FIN'!$A$1:$O$113,15,0)),0,VLOOKUP($U$827,'TAR FIN'!$A$1:$O$113,15,0))</f>
        <v>222.31</v>
      </c>
      <c r="Y827" s="4"/>
      <c r="Z827" s="4">
        <f ca="1">('TUSD BE'!$AM$32+'TUSD BF'!$AM$32+'TUSD CVA'!$AM$32)*1</f>
        <v>65.007409626508434</v>
      </c>
      <c r="AA827" s="4">
        <f>('TE BE'!$AA$11+'TE BF'!$AA$11+'TE CVA'!$AA$11)*1</f>
        <v>223.14561812044704</v>
      </c>
      <c r="AB827" s="4">
        <f>$K$827*$V$827</f>
        <v>0</v>
      </c>
      <c r="AC827" s="4">
        <f>$M$827*$W$827</f>
        <v>7619.2859699999999</v>
      </c>
      <c r="AD827" s="4">
        <f>$O$827*$X$827</f>
        <v>33037.711409999996</v>
      </c>
      <c r="AE827" s="4">
        <f>$K$827*$Y$827</f>
        <v>0</v>
      </c>
      <c r="AF827" s="4">
        <f ca="1">$M$827*$Z$827</f>
        <v>9660.8161520050435</v>
      </c>
      <c r="AG827" s="4">
        <f>$O$827*$AA$827</f>
        <v>33161.893454497753</v>
      </c>
    </row>
    <row r="828" spans="1:33" ht="11.25" customHeight="1" x14ac:dyDescent="0.25">
      <c r="A828" s="3" t="s">
        <v>21</v>
      </c>
      <c r="B828" s="3" t="s">
        <v>41</v>
      </c>
      <c r="C828" s="3" t="s">
        <v>42</v>
      </c>
      <c r="D828" s="3" t="s">
        <v>38</v>
      </c>
      <c r="E828" s="3" t="s">
        <v>25</v>
      </c>
      <c r="F828" s="3" t="s">
        <v>25</v>
      </c>
      <c r="G828" s="3" t="s">
        <v>25</v>
      </c>
      <c r="H828" s="3" t="s">
        <v>35</v>
      </c>
      <c r="I828" s="6">
        <v>44562</v>
      </c>
      <c r="J828" s="4">
        <v>0</v>
      </c>
      <c r="K828" s="4">
        <v>0</v>
      </c>
      <c r="L828" s="4">
        <v>7023.2920000000004</v>
      </c>
      <c r="M828" s="4">
        <v>7023.2920000000004</v>
      </c>
      <c r="N828" s="4">
        <v>7023.2920000000004</v>
      </c>
      <c r="O828" s="4">
        <v>7023.2920000000004</v>
      </c>
      <c r="P828" s="4">
        <v>0</v>
      </c>
      <c r="Q828" s="3" t="s">
        <v>26</v>
      </c>
      <c r="R828" s="3">
        <v>0</v>
      </c>
      <c r="S828" s="4">
        <v>0</v>
      </c>
      <c r="T828" s="4">
        <v>21</v>
      </c>
      <c r="U828" s="4">
        <v>89</v>
      </c>
      <c r="V828" s="4">
        <f>IF(ISERROR(VLOOKUP($S$828,'TAR FIN'!$A$1:$O$113,15,0)),0,VLOOKUP($S$828,'TAR FIN'!$A$1:$O$113,15,0))</f>
        <v>0</v>
      </c>
      <c r="W828" s="4">
        <f>IF(ISERROR(VLOOKUP($T$828,'TAR FIN'!$A$1:$O$113,15,0)),0,VLOOKUP($T$828,'TAR FIN'!$A$1:$O$113,15,0))</f>
        <v>51.27</v>
      </c>
      <c r="X828" s="4">
        <f>IF(ISERROR(VLOOKUP($U$828,'TAR FIN'!$A$1:$O$113,15,0)),0,VLOOKUP($U$828,'TAR FIN'!$A$1:$O$113,15,0))</f>
        <v>222.31</v>
      </c>
      <c r="Y828" s="4"/>
      <c r="Z828" s="4">
        <f ca="1">('TUSD BE'!$AM$32+'TUSD BF'!$AM$32+'TUSD CVA'!$AM$32)*1</f>
        <v>65.007409626508434</v>
      </c>
      <c r="AA828" s="4">
        <f>('TE BE'!$AA$11+'TE BF'!$AA$11+'TE CVA'!$AA$11)*1</f>
        <v>223.14561812044704</v>
      </c>
      <c r="AB828" s="4">
        <f>$K$828*$V$828</f>
        <v>0</v>
      </c>
      <c r="AC828" s="4">
        <f>$M$828*$W$828</f>
        <v>360084.18084000004</v>
      </c>
      <c r="AD828" s="4">
        <f>$O$828*$X$828</f>
        <v>1561348.04452</v>
      </c>
      <c r="AE828" s="4">
        <f>$K$828*$Y$828</f>
        <v>0</v>
      </c>
      <c r="AF828" s="4">
        <f ca="1">$M$828*$Z$828</f>
        <v>456566.01997057971</v>
      </c>
      <c r="AG828" s="4">
        <f>$O$828*$AA$828</f>
        <v>1567216.8345803907</v>
      </c>
    </row>
    <row r="829" spans="1:33" ht="11.25" customHeight="1" x14ac:dyDescent="0.25">
      <c r="A829" s="3" t="s">
        <v>27</v>
      </c>
      <c r="B829" s="3" t="s">
        <v>41</v>
      </c>
      <c r="C829" s="3" t="s">
        <v>42</v>
      </c>
      <c r="D829" s="3" t="s">
        <v>38</v>
      </c>
      <c r="E829" s="3" t="s">
        <v>25</v>
      </c>
      <c r="F829" s="3" t="s">
        <v>25</v>
      </c>
      <c r="G829" s="3" t="s">
        <v>25</v>
      </c>
      <c r="H829" s="3" t="s">
        <v>35</v>
      </c>
      <c r="I829" s="6">
        <v>44562</v>
      </c>
      <c r="J829" s="4">
        <v>0</v>
      </c>
      <c r="K829" s="4">
        <v>0</v>
      </c>
      <c r="L829" s="4">
        <v>6.4000000000000001E-2</v>
      </c>
      <c r="M829" s="4">
        <v>6.4000000000000001E-2</v>
      </c>
      <c r="N829" s="4">
        <v>6.4000000000000001E-2</v>
      </c>
      <c r="O829" s="4">
        <v>6.4000000000000001E-2</v>
      </c>
      <c r="P829" s="4">
        <v>0</v>
      </c>
      <c r="Q829" s="3" t="s">
        <v>26</v>
      </c>
      <c r="R829" s="3">
        <v>0</v>
      </c>
      <c r="S829" s="4">
        <v>0</v>
      </c>
      <c r="T829" s="4">
        <v>21</v>
      </c>
      <c r="U829" s="4">
        <v>89</v>
      </c>
      <c r="V829" s="4">
        <f>IF(ISERROR(VLOOKUP($S$829,'TAR FIN'!$A$1:$O$113,15,0)),0,VLOOKUP($S$829,'TAR FIN'!$A$1:$O$113,15,0))</f>
        <v>0</v>
      </c>
      <c r="W829" s="4">
        <f>IF(ISERROR(VLOOKUP($T$829,'TAR FIN'!$A$1:$O$113,15,0)),0,VLOOKUP($T$829,'TAR FIN'!$A$1:$O$113,15,0))</f>
        <v>51.27</v>
      </c>
      <c r="X829" s="4">
        <f>IF(ISERROR(VLOOKUP($U$829,'TAR FIN'!$A$1:$O$113,15,0)),0,VLOOKUP($U$829,'TAR FIN'!$A$1:$O$113,15,0))</f>
        <v>222.31</v>
      </c>
      <c r="Y829" s="4"/>
      <c r="Z829" s="4">
        <f ca="1">('TUSD BE'!$AM$32+'TUSD BF'!$AM$32+'TUSD CVA'!$AM$32)*1</f>
        <v>65.007409626508434</v>
      </c>
      <c r="AA829" s="4">
        <f>('TE BE'!$AA$11+'TE BF'!$AA$11+'TE CVA'!$AA$11)*1</f>
        <v>223.14561812044704</v>
      </c>
      <c r="AB829" s="4">
        <f>$K$829*$V$829</f>
        <v>0</v>
      </c>
      <c r="AC829" s="4">
        <f>$M$829*$W$829</f>
        <v>3.2812800000000002</v>
      </c>
      <c r="AD829" s="4">
        <f>$O$829*$X$829</f>
        <v>14.22784</v>
      </c>
      <c r="AE829" s="4">
        <f>$K$829*$Y$829</f>
        <v>0</v>
      </c>
      <c r="AF829" s="4">
        <f ca="1">$M$829*$Z$829</f>
        <v>4.1604742160965396</v>
      </c>
      <c r="AG829" s="4">
        <f>$O$829*$AA$829</f>
        <v>14.28131955970861</v>
      </c>
    </row>
    <row r="830" spans="1:33" ht="11.25" customHeight="1" x14ac:dyDescent="0.25">
      <c r="A830" s="3" t="s">
        <v>28</v>
      </c>
      <c r="B830" s="3" t="s">
        <v>41</v>
      </c>
      <c r="C830" s="3" t="s">
        <v>42</v>
      </c>
      <c r="D830" s="3" t="s">
        <v>38</v>
      </c>
      <c r="E830" s="3" t="s">
        <v>25</v>
      </c>
      <c r="F830" s="3" t="s">
        <v>25</v>
      </c>
      <c r="G830" s="3" t="s">
        <v>25</v>
      </c>
      <c r="H830" s="3" t="s">
        <v>35</v>
      </c>
      <c r="I830" s="6">
        <v>44562</v>
      </c>
      <c r="J830" s="4">
        <v>0</v>
      </c>
      <c r="K830" s="4">
        <v>0</v>
      </c>
      <c r="L830" s="4">
        <v>112.259</v>
      </c>
      <c r="M830" s="4">
        <v>112.259</v>
      </c>
      <c r="N830" s="4">
        <v>112.259</v>
      </c>
      <c r="O830" s="4">
        <v>112.259</v>
      </c>
      <c r="P830" s="4">
        <v>0</v>
      </c>
      <c r="Q830" s="3" t="s">
        <v>26</v>
      </c>
      <c r="R830" s="3">
        <v>0</v>
      </c>
      <c r="S830" s="4">
        <v>0</v>
      </c>
      <c r="T830" s="4">
        <v>21</v>
      </c>
      <c r="U830" s="4">
        <v>89</v>
      </c>
      <c r="V830" s="4">
        <f>IF(ISERROR(VLOOKUP($S$830,'TAR FIN'!$A$1:$O$113,15,0)),0,VLOOKUP($S$830,'TAR FIN'!$A$1:$O$113,15,0))</f>
        <v>0</v>
      </c>
      <c r="W830" s="4">
        <f>IF(ISERROR(VLOOKUP($T$830,'TAR FIN'!$A$1:$O$113,15,0)),0,VLOOKUP($T$830,'TAR FIN'!$A$1:$O$113,15,0))</f>
        <v>51.27</v>
      </c>
      <c r="X830" s="4">
        <f>IF(ISERROR(VLOOKUP($U$830,'TAR FIN'!$A$1:$O$113,15,0)),0,VLOOKUP($U$830,'TAR FIN'!$A$1:$O$113,15,0))</f>
        <v>222.31</v>
      </c>
      <c r="Y830" s="4"/>
      <c r="Z830" s="4">
        <f ca="1">('TUSD BE'!$AM$32+'TUSD BF'!$AM$32+'TUSD CVA'!$AM$32)*1</f>
        <v>65.007409626508434</v>
      </c>
      <c r="AA830" s="4">
        <f>('TE BE'!$AA$11+'TE BF'!$AA$11+'TE CVA'!$AA$11)*1</f>
        <v>223.14561812044704</v>
      </c>
      <c r="AB830" s="4">
        <f>$K$830*$V$830</f>
        <v>0</v>
      </c>
      <c r="AC830" s="4">
        <f>$M$830*$W$830</f>
        <v>5755.5189300000002</v>
      </c>
      <c r="AD830" s="4">
        <f>$O$830*$X$830</f>
        <v>24956.298289999999</v>
      </c>
      <c r="AE830" s="4">
        <f>$K$830*$Y$830</f>
        <v>0</v>
      </c>
      <c r="AF830" s="4">
        <f ca="1">$M$830*$Z$830</f>
        <v>7297.6667972622099</v>
      </c>
      <c r="AG830" s="4">
        <f>$O$830*$AA$830</f>
        <v>25050.103944583265</v>
      </c>
    </row>
    <row r="831" spans="1:33" ht="11.25" customHeight="1" x14ac:dyDescent="0.25">
      <c r="A831" s="3" t="s">
        <v>21</v>
      </c>
      <c r="B831" s="3" t="s">
        <v>41</v>
      </c>
      <c r="C831" s="3" t="s">
        <v>42</v>
      </c>
      <c r="D831" s="3" t="s">
        <v>38</v>
      </c>
      <c r="E831" s="3" t="s">
        <v>25</v>
      </c>
      <c r="F831" s="3" t="s">
        <v>25</v>
      </c>
      <c r="G831" s="3" t="s">
        <v>25</v>
      </c>
      <c r="H831" s="3" t="s">
        <v>35</v>
      </c>
      <c r="I831" s="6">
        <v>44593</v>
      </c>
      <c r="J831" s="4">
        <v>0</v>
      </c>
      <c r="K831" s="4">
        <v>0</v>
      </c>
      <c r="L831" s="4">
        <v>6454.723</v>
      </c>
      <c r="M831" s="4">
        <v>6454.723</v>
      </c>
      <c r="N831" s="4">
        <v>6454.723</v>
      </c>
      <c r="O831" s="4">
        <v>6454.723</v>
      </c>
      <c r="P831" s="4">
        <v>0</v>
      </c>
      <c r="Q831" s="3" t="s">
        <v>26</v>
      </c>
      <c r="R831" s="3">
        <v>0</v>
      </c>
      <c r="S831" s="4">
        <v>0</v>
      </c>
      <c r="T831" s="4">
        <v>21</v>
      </c>
      <c r="U831" s="4">
        <v>89</v>
      </c>
      <c r="V831" s="4">
        <f>IF(ISERROR(VLOOKUP($S$831,'TAR FIN'!$A$1:$O$113,15,0)),0,VLOOKUP($S$831,'TAR FIN'!$A$1:$O$113,15,0))</f>
        <v>0</v>
      </c>
      <c r="W831" s="4">
        <f>IF(ISERROR(VLOOKUP($T$831,'TAR FIN'!$A$1:$O$113,15,0)),0,VLOOKUP($T$831,'TAR FIN'!$A$1:$O$113,15,0))</f>
        <v>51.27</v>
      </c>
      <c r="X831" s="4">
        <f>IF(ISERROR(VLOOKUP($U$831,'TAR FIN'!$A$1:$O$113,15,0)),0,VLOOKUP($U$831,'TAR FIN'!$A$1:$O$113,15,0))</f>
        <v>222.31</v>
      </c>
      <c r="Y831" s="4"/>
      <c r="Z831" s="4">
        <f ca="1">('TUSD BE'!$AM$32+'TUSD BF'!$AM$32+'TUSD CVA'!$AM$32)*1</f>
        <v>65.007409626508434</v>
      </c>
      <c r="AA831" s="4">
        <f>('TE BE'!$AA$11+'TE BF'!$AA$11+'TE CVA'!$AA$11)*1</f>
        <v>223.14561812044704</v>
      </c>
      <c r="AB831" s="4">
        <f>$K$831*$V$831</f>
        <v>0</v>
      </c>
      <c r="AC831" s="4">
        <f>$M$831*$W$831</f>
        <v>330933.64821000001</v>
      </c>
      <c r="AD831" s="4">
        <f>$O$831*$X$831</f>
        <v>1434949.47013</v>
      </c>
      <c r="AE831" s="4">
        <f>$K$831*$Y$831</f>
        <v>0</v>
      </c>
      <c r="AF831" s="4">
        <f ca="1">$M$831*$Z$831</f>
        <v>419604.82208664541</v>
      </c>
      <c r="AG831" s="4">
        <f>$O$831*$AA$831</f>
        <v>1440343.1536312662</v>
      </c>
    </row>
    <row r="832" spans="1:33" ht="11.25" customHeight="1" x14ac:dyDescent="0.25">
      <c r="A832" s="3" t="s">
        <v>27</v>
      </c>
      <c r="B832" s="3" t="s">
        <v>41</v>
      </c>
      <c r="C832" s="3" t="s">
        <v>42</v>
      </c>
      <c r="D832" s="3" t="s">
        <v>38</v>
      </c>
      <c r="E832" s="3" t="s">
        <v>25</v>
      </c>
      <c r="F832" s="3" t="s">
        <v>25</v>
      </c>
      <c r="G832" s="3" t="s">
        <v>25</v>
      </c>
      <c r="H832" s="3" t="s">
        <v>35</v>
      </c>
      <c r="I832" s="6">
        <v>44593</v>
      </c>
      <c r="J832" s="4">
        <v>0</v>
      </c>
      <c r="K832" s="4">
        <v>0</v>
      </c>
      <c r="L832" s="4">
        <v>0.376</v>
      </c>
      <c r="M832" s="4">
        <v>0.376</v>
      </c>
      <c r="N832" s="4">
        <v>0.376</v>
      </c>
      <c r="O832" s="4">
        <v>0.376</v>
      </c>
      <c r="P832" s="4">
        <v>0</v>
      </c>
      <c r="Q832" s="3" t="s">
        <v>26</v>
      </c>
      <c r="R832" s="3">
        <v>0</v>
      </c>
      <c r="S832" s="4">
        <v>0</v>
      </c>
      <c r="T832" s="4">
        <v>21</v>
      </c>
      <c r="U832" s="4">
        <v>89</v>
      </c>
      <c r="V832" s="4">
        <f>IF(ISERROR(VLOOKUP($S$832,'TAR FIN'!$A$1:$O$113,15,0)),0,VLOOKUP($S$832,'TAR FIN'!$A$1:$O$113,15,0))</f>
        <v>0</v>
      </c>
      <c r="W832" s="4">
        <f>IF(ISERROR(VLOOKUP($T$832,'TAR FIN'!$A$1:$O$113,15,0)),0,VLOOKUP($T$832,'TAR FIN'!$A$1:$O$113,15,0))</f>
        <v>51.27</v>
      </c>
      <c r="X832" s="4">
        <f>IF(ISERROR(VLOOKUP($U$832,'TAR FIN'!$A$1:$O$113,15,0)),0,VLOOKUP($U$832,'TAR FIN'!$A$1:$O$113,15,0))</f>
        <v>222.31</v>
      </c>
      <c r="Y832" s="4"/>
      <c r="Z832" s="4">
        <f ca="1">('TUSD BE'!$AM$32+'TUSD BF'!$AM$32+'TUSD CVA'!$AM$32)*1</f>
        <v>65.007409626508434</v>
      </c>
      <c r="AA832" s="4">
        <f>('TE BE'!$AA$11+'TE BF'!$AA$11+'TE CVA'!$AA$11)*1</f>
        <v>223.14561812044704</v>
      </c>
      <c r="AB832" s="4">
        <f>$K$832*$V$832</f>
        <v>0</v>
      </c>
      <c r="AC832" s="4">
        <f>$M$832*$W$832</f>
        <v>19.277520000000003</v>
      </c>
      <c r="AD832" s="4">
        <f>$O$832*$X$832</f>
        <v>83.588560000000001</v>
      </c>
      <c r="AE832" s="4">
        <f>$K$832*$Y$832</f>
        <v>0</v>
      </c>
      <c r="AF832" s="4">
        <f ca="1">$M$832*$Z$832</f>
        <v>24.442786019567173</v>
      </c>
      <c r="AG832" s="4">
        <f>$O$832*$AA$832</f>
        <v>83.902752413288084</v>
      </c>
    </row>
    <row r="833" spans="1:33" ht="11.25" customHeight="1" x14ac:dyDescent="0.25">
      <c r="A833" s="3" t="s">
        <v>28</v>
      </c>
      <c r="B833" s="3" t="s">
        <v>41</v>
      </c>
      <c r="C833" s="3" t="s">
        <v>42</v>
      </c>
      <c r="D833" s="3" t="s">
        <v>38</v>
      </c>
      <c r="E833" s="3" t="s">
        <v>25</v>
      </c>
      <c r="F833" s="3" t="s">
        <v>25</v>
      </c>
      <c r="G833" s="3" t="s">
        <v>25</v>
      </c>
      <c r="H833" s="3" t="s">
        <v>35</v>
      </c>
      <c r="I833" s="6">
        <v>44593</v>
      </c>
      <c r="J833" s="4">
        <v>0</v>
      </c>
      <c r="K833" s="4">
        <v>0</v>
      </c>
      <c r="L833" s="4">
        <v>114.619</v>
      </c>
      <c r="M833" s="4">
        <v>114.619</v>
      </c>
      <c r="N833" s="4">
        <v>114.619</v>
      </c>
      <c r="O833" s="4">
        <v>114.619</v>
      </c>
      <c r="P833" s="4">
        <v>0</v>
      </c>
      <c r="Q833" s="3" t="s">
        <v>26</v>
      </c>
      <c r="R833" s="3">
        <v>0</v>
      </c>
      <c r="S833" s="4">
        <v>0</v>
      </c>
      <c r="T833" s="4">
        <v>21</v>
      </c>
      <c r="U833" s="4">
        <v>89</v>
      </c>
      <c r="V833" s="4">
        <f>IF(ISERROR(VLOOKUP($S$833,'TAR FIN'!$A$1:$O$113,15,0)),0,VLOOKUP($S$833,'TAR FIN'!$A$1:$O$113,15,0))</f>
        <v>0</v>
      </c>
      <c r="W833" s="4">
        <f>IF(ISERROR(VLOOKUP($T$833,'TAR FIN'!$A$1:$O$113,15,0)),0,VLOOKUP($T$833,'TAR FIN'!$A$1:$O$113,15,0))</f>
        <v>51.27</v>
      </c>
      <c r="X833" s="4">
        <f>IF(ISERROR(VLOOKUP($U$833,'TAR FIN'!$A$1:$O$113,15,0)),0,VLOOKUP($U$833,'TAR FIN'!$A$1:$O$113,15,0))</f>
        <v>222.31</v>
      </c>
      <c r="Y833" s="4"/>
      <c r="Z833" s="4">
        <f ca="1">('TUSD BE'!$AM$32+'TUSD BF'!$AM$32+'TUSD CVA'!$AM$32)*1</f>
        <v>65.007409626508434</v>
      </c>
      <c r="AA833" s="4">
        <f>('TE BE'!$AA$11+'TE BF'!$AA$11+'TE CVA'!$AA$11)*1</f>
        <v>223.14561812044704</v>
      </c>
      <c r="AB833" s="4">
        <f>$K$833*$V$833</f>
        <v>0</v>
      </c>
      <c r="AC833" s="4">
        <f>$M$833*$W$833</f>
        <v>5876.51613</v>
      </c>
      <c r="AD833" s="4">
        <f>$O$833*$X$833</f>
        <v>25480.94989</v>
      </c>
      <c r="AE833" s="4">
        <f>$K$833*$Y$833</f>
        <v>0</v>
      </c>
      <c r="AF833" s="4">
        <f ca="1">$M$833*$Z$833</f>
        <v>7451.0842839807701</v>
      </c>
      <c r="AG833" s="4">
        <f>$O$833*$AA$833</f>
        <v>25576.727603347521</v>
      </c>
    </row>
    <row r="834" spans="1:33" ht="11.25" customHeight="1" x14ac:dyDescent="0.25">
      <c r="A834" s="3" t="s">
        <v>56</v>
      </c>
      <c r="B834" s="3" t="s">
        <v>41</v>
      </c>
      <c r="C834" s="3" t="s">
        <v>42</v>
      </c>
      <c r="D834" s="3" t="s">
        <v>38</v>
      </c>
      <c r="E834" s="3" t="s">
        <v>25</v>
      </c>
      <c r="F834" s="3" t="s">
        <v>25</v>
      </c>
      <c r="G834" s="3" t="s">
        <v>25</v>
      </c>
      <c r="H834" s="3" t="s">
        <v>35</v>
      </c>
      <c r="I834" s="6">
        <v>44621</v>
      </c>
      <c r="J834" s="4">
        <v>0</v>
      </c>
      <c r="K834" s="4">
        <v>0</v>
      </c>
      <c r="L834" s="4">
        <v>6454.723</v>
      </c>
      <c r="M834" s="4">
        <v>6454.723</v>
      </c>
      <c r="N834" s="4">
        <v>6454.723</v>
      </c>
      <c r="O834" s="4">
        <v>6454.723</v>
      </c>
      <c r="P834" s="4">
        <v>0</v>
      </c>
      <c r="Q834" s="3" t="s">
        <v>26</v>
      </c>
      <c r="R834" s="3">
        <v>0</v>
      </c>
      <c r="S834" s="4">
        <v>0</v>
      </c>
      <c r="T834" s="4">
        <v>21</v>
      </c>
      <c r="U834" s="4">
        <v>89</v>
      </c>
      <c r="V834" s="4">
        <f>IF(ISERROR(VLOOKUP($S$834,'TAR FIN'!$A$1:$O$113,15,0)),0,VLOOKUP($S$834,'TAR FIN'!$A$1:$O$113,15,0))</f>
        <v>0</v>
      </c>
      <c r="W834" s="4">
        <f>IF(ISERROR(VLOOKUP($T$834,'TAR FIN'!$A$1:$O$113,15,0)),0,VLOOKUP($T$834,'TAR FIN'!$A$1:$O$113,15,0))</f>
        <v>51.27</v>
      </c>
      <c r="X834" s="4">
        <f>IF(ISERROR(VLOOKUP($U$834,'TAR FIN'!$A$1:$O$113,15,0)),0,VLOOKUP($U$834,'TAR FIN'!$A$1:$O$113,15,0))</f>
        <v>222.31</v>
      </c>
      <c r="Y834" s="4"/>
      <c r="Z834" s="4">
        <f ca="1">('TUSD BE'!$AM$32+'TUSD BF'!$AM$32+'TUSD CVA'!$AM$32)*1</f>
        <v>65.007409626508434</v>
      </c>
      <c r="AA834" s="4">
        <f>('TE BE'!$AA$11+'TE BF'!$AA$11+'TE CVA'!$AA$11)*1</f>
        <v>223.14561812044704</v>
      </c>
      <c r="AB834" s="4">
        <f>$K$834*$V$834</f>
        <v>0</v>
      </c>
      <c r="AC834" s="4">
        <f>$M$834*$W$834</f>
        <v>330933.64821000001</v>
      </c>
      <c r="AD834" s="4">
        <f>$O$834*$X$834</f>
        <v>1434949.47013</v>
      </c>
      <c r="AE834" s="4">
        <f>$K$834*$Y$834</f>
        <v>0</v>
      </c>
      <c r="AF834" s="4">
        <f ca="1">$M$834*$Z$834</f>
        <v>419604.82208664541</v>
      </c>
      <c r="AG834" s="4">
        <f>$O$834*$AA$834</f>
        <v>1440343.1536312662</v>
      </c>
    </row>
    <row r="835" spans="1:33" ht="11.25" customHeight="1" x14ac:dyDescent="0.25">
      <c r="A835" s="3" t="s">
        <v>56</v>
      </c>
      <c r="B835" s="3" t="s">
        <v>41</v>
      </c>
      <c r="C835" s="3" t="s">
        <v>42</v>
      </c>
      <c r="D835" s="3" t="s">
        <v>38</v>
      </c>
      <c r="E835" s="3" t="s">
        <v>25</v>
      </c>
      <c r="F835" s="3" t="s">
        <v>25</v>
      </c>
      <c r="G835" s="3" t="s">
        <v>25</v>
      </c>
      <c r="H835" s="3" t="s">
        <v>35</v>
      </c>
      <c r="I835" s="6">
        <v>44621</v>
      </c>
      <c r="J835" s="4">
        <v>0</v>
      </c>
      <c r="K835" s="4">
        <v>0</v>
      </c>
      <c r="L835" s="4">
        <v>0.376</v>
      </c>
      <c r="M835" s="4">
        <v>0.376</v>
      </c>
      <c r="N835" s="4">
        <v>0.376</v>
      </c>
      <c r="O835" s="4">
        <v>0.376</v>
      </c>
      <c r="P835" s="4">
        <v>0</v>
      </c>
      <c r="Q835" s="3" t="s">
        <v>26</v>
      </c>
      <c r="R835" s="3">
        <v>0</v>
      </c>
      <c r="S835" s="4">
        <v>0</v>
      </c>
      <c r="T835" s="4">
        <v>21</v>
      </c>
      <c r="U835" s="4">
        <v>89</v>
      </c>
      <c r="V835" s="4">
        <f>IF(ISERROR(VLOOKUP($S$835,'TAR FIN'!$A$1:$O$113,15,0)),0,VLOOKUP($S$835,'TAR FIN'!$A$1:$O$113,15,0))</f>
        <v>0</v>
      </c>
      <c r="W835" s="4">
        <f>IF(ISERROR(VLOOKUP($T$835,'TAR FIN'!$A$1:$O$113,15,0)),0,VLOOKUP($T$835,'TAR FIN'!$A$1:$O$113,15,0))</f>
        <v>51.27</v>
      </c>
      <c r="X835" s="4">
        <f>IF(ISERROR(VLOOKUP($U$835,'TAR FIN'!$A$1:$O$113,15,0)),0,VLOOKUP($U$835,'TAR FIN'!$A$1:$O$113,15,0))</f>
        <v>222.31</v>
      </c>
      <c r="Y835" s="4"/>
      <c r="Z835" s="4">
        <f ca="1">('TUSD BE'!$AM$32+'TUSD BF'!$AM$32+'TUSD CVA'!$AM$32)*1</f>
        <v>65.007409626508434</v>
      </c>
      <c r="AA835" s="4">
        <f>('TE BE'!$AA$11+'TE BF'!$AA$11+'TE CVA'!$AA$11)*1</f>
        <v>223.14561812044704</v>
      </c>
      <c r="AB835" s="4">
        <f>$K$835*$V$835</f>
        <v>0</v>
      </c>
      <c r="AC835" s="4">
        <f>$M$835*$W$835</f>
        <v>19.277520000000003</v>
      </c>
      <c r="AD835" s="4">
        <f>$O$835*$X$835</f>
        <v>83.588560000000001</v>
      </c>
      <c r="AE835" s="4">
        <f>$K$835*$Y$835</f>
        <v>0</v>
      </c>
      <c r="AF835" s="4">
        <f ca="1">$M$835*$Z$835</f>
        <v>24.442786019567173</v>
      </c>
      <c r="AG835" s="4">
        <f>$O$835*$AA$835</f>
        <v>83.902752413288084</v>
      </c>
    </row>
    <row r="836" spans="1:33" ht="11.25" customHeight="1" x14ac:dyDescent="0.25">
      <c r="A836" s="3" t="s">
        <v>56</v>
      </c>
      <c r="B836" s="3" t="s">
        <v>41</v>
      </c>
      <c r="C836" s="3" t="s">
        <v>42</v>
      </c>
      <c r="D836" s="3" t="s">
        <v>38</v>
      </c>
      <c r="E836" s="3" t="s">
        <v>25</v>
      </c>
      <c r="F836" s="3" t="s">
        <v>25</v>
      </c>
      <c r="G836" s="3" t="s">
        <v>25</v>
      </c>
      <c r="H836" s="3" t="s">
        <v>35</v>
      </c>
      <c r="I836" s="6">
        <v>44621</v>
      </c>
      <c r="J836" s="4">
        <v>0</v>
      </c>
      <c r="K836" s="4">
        <v>0</v>
      </c>
      <c r="L836" s="4">
        <v>114.619</v>
      </c>
      <c r="M836" s="4">
        <v>114.619</v>
      </c>
      <c r="N836" s="4">
        <v>114.619</v>
      </c>
      <c r="O836" s="4">
        <v>114.619</v>
      </c>
      <c r="P836" s="4">
        <v>0</v>
      </c>
      <c r="Q836" s="3" t="s">
        <v>26</v>
      </c>
      <c r="R836" s="3">
        <v>0</v>
      </c>
      <c r="S836" s="4">
        <v>0</v>
      </c>
      <c r="T836" s="4">
        <v>21</v>
      </c>
      <c r="U836" s="4">
        <v>89</v>
      </c>
      <c r="V836" s="4">
        <f>IF(ISERROR(VLOOKUP($S$836,'TAR FIN'!$A$1:$O$113,15,0)),0,VLOOKUP($S$836,'TAR FIN'!$A$1:$O$113,15,0))</f>
        <v>0</v>
      </c>
      <c r="W836" s="4">
        <f>IF(ISERROR(VLOOKUP($T$836,'TAR FIN'!$A$1:$O$113,15,0)),0,VLOOKUP($T$836,'TAR FIN'!$A$1:$O$113,15,0))</f>
        <v>51.27</v>
      </c>
      <c r="X836" s="4">
        <f>IF(ISERROR(VLOOKUP($U$836,'TAR FIN'!$A$1:$O$113,15,0)),0,VLOOKUP($U$836,'TAR FIN'!$A$1:$O$113,15,0))</f>
        <v>222.31</v>
      </c>
      <c r="Y836" s="4"/>
      <c r="Z836" s="4">
        <f ca="1">('TUSD BE'!$AM$32+'TUSD BF'!$AM$32+'TUSD CVA'!$AM$32)*1</f>
        <v>65.007409626508434</v>
      </c>
      <c r="AA836" s="4">
        <f>('TE BE'!$AA$11+'TE BF'!$AA$11+'TE CVA'!$AA$11)*1</f>
        <v>223.14561812044704</v>
      </c>
      <c r="AB836" s="4">
        <f>$K$836*$V$836</f>
        <v>0</v>
      </c>
      <c r="AC836" s="4">
        <f>$M$836*$W$836</f>
        <v>5876.51613</v>
      </c>
      <c r="AD836" s="4">
        <f>$O$836*$X$836</f>
        <v>25480.94989</v>
      </c>
      <c r="AE836" s="4">
        <f>$K$836*$Y$836</f>
        <v>0</v>
      </c>
      <c r="AF836" s="4">
        <f ca="1">$M$836*$Z$836</f>
        <v>7451.0842839807701</v>
      </c>
      <c r="AG836" s="4">
        <f>$O$836*$AA$836</f>
        <v>25576.727603347521</v>
      </c>
    </row>
    <row r="837" spans="1:33" ht="11.25" customHeight="1" x14ac:dyDescent="0.25">
      <c r="A837" s="3" t="s">
        <v>21</v>
      </c>
      <c r="B837" s="3" t="s">
        <v>41</v>
      </c>
      <c r="C837" s="3" t="s">
        <v>42</v>
      </c>
      <c r="D837" s="3" t="s">
        <v>38</v>
      </c>
      <c r="E837" s="3" t="s">
        <v>25</v>
      </c>
      <c r="F837" s="3" t="s">
        <v>25</v>
      </c>
      <c r="G837" s="3" t="s">
        <v>25</v>
      </c>
      <c r="H837" s="3" t="s">
        <v>25</v>
      </c>
      <c r="I837" s="6">
        <v>44287</v>
      </c>
      <c r="J837" s="4">
        <v>40150</v>
      </c>
      <c r="K837" s="4">
        <v>40150</v>
      </c>
      <c r="L837" s="4">
        <v>0</v>
      </c>
      <c r="M837" s="4">
        <v>0</v>
      </c>
      <c r="N837" s="4">
        <v>0</v>
      </c>
      <c r="O837" s="4">
        <v>0</v>
      </c>
      <c r="P837" s="4">
        <v>211</v>
      </c>
      <c r="Q837" s="3" t="s">
        <v>26</v>
      </c>
      <c r="R837" s="3">
        <v>0</v>
      </c>
      <c r="S837" s="4">
        <v>44</v>
      </c>
      <c r="T837" s="4">
        <v>0</v>
      </c>
      <c r="U837" s="4">
        <v>0</v>
      </c>
      <c r="V837" s="4">
        <f>IF(ISERROR(VLOOKUP($S$837,'TAR FIN'!$A$1:$O$113,15,0)),0,VLOOKUP($S$837,'TAR FIN'!$A$1:$O$113,15,0))</f>
        <v>24.31</v>
      </c>
      <c r="W837" s="4">
        <f>IF(ISERROR(VLOOKUP($T$837,'TAR FIN'!$A$1:$O$113,15,0)),0,VLOOKUP($T$837,'TAR FIN'!$A$1:$O$113,15,0))</f>
        <v>0</v>
      </c>
      <c r="X837" s="4">
        <f>IF(ISERROR(VLOOKUP($U$837,'TAR FIN'!$A$1:$O$113,15,0)),0,VLOOKUP($U$837,'TAR FIN'!$A$1:$O$113,15,0))</f>
        <v>0</v>
      </c>
      <c r="Y837" s="4">
        <f ca="1">('TUSD BE'!$AM$30+'TUSD BF'!$AM$30+'TUSD CVA'!$AM$30)*1</f>
        <v>26.598074646640526</v>
      </c>
      <c r="Z837" s="4"/>
      <c r="AA837" s="4"/>
      <c r="AB837" s="4">
        <f>$K$837*$V$837</f>
        <v>976046.5</v>
      </c>
      <c r="AC837" s="4">
        <f>$M$837*$W$837</f>
        <v>0</v>
      </c>
      <c r="AD837" s="4">
        <f>$O$837*$X$837</f>
        <v>0</v>
      </c>
      <c r="AE837" s="4">
        <f ca="1">$K$837*$Y$837</f>
        <v>1067912.6970626172</v>
      </c>
      <c r="AF837" s="4">
        <f>$M$837*$Z$837</f>
        <v>0</v>
      </c>
      <c r="AG837" s="4">
        <f>$O$837*$AA$837</f>
        <v>0</v>
      </c>
    </row>
    <row r="838" spans="1:33" ht="11.25" customHeight="1" x14ac:dyDescent="0.25">
      <c r="A838" s="3" t="s">
        <v>28</v>
      </c>
      <c r="B838" s="3" t="s">
        <v>41</v>
      </c>
      <c r="C838" s="3" t="s">
        <v>42</v>
      </c>
      <c r="D838" s="3" t="s">
        <v>38</v>
      </c>
      <c r="E838" s="3" t="s">
        <v>25</v>
      </c>
      <c r="F838" s="3" t="s">
        <v>25</v>
      </c>
      <c r="G838" s="3" t="s">
        <v>25</v>
      </c>
      <c r="H838" s="3" t="s">
        <v>25</v>
      </c>
      <c r="I838" s="6">
        <v>44287</v>
      </c>
      <c r="J838" s="4">
        <v>635</v>
      </c>
      <c r="K838" s="4">
        <v>635</v>
      </c>
      <c r="L838" s="4">
        <v>0</v>
      </c>
      <c r="M838" s="4">
        <v>0</v>
      </c>
      <c r="N838" s="4">
        <v>0</v>
      </c>
      <c r="O838" s="4">
        <v>0</v>
      </c>
      <c r="P838" s="4">
        <v>3</v>
      </c>
      <c r="Q838" s="3" t="s">
        <v>26</v>
      </c>
      <c r="R838" s="3">
        <v>0</v>
      </c>
      <c r="S838" s="4">
        <v>44</v>
      </c>
      <c r="T838" s="4">
        <v>0</v>
      </c>
      <c r="U838" s="4">
        <v>0</v>
      </c>
      <c r="V838" s="4">
        <f>IF(ISERROR(VLOOKUP($S$838,'TAR FIN'!$A$1:$O$113,15,0)),0,VLOOKUP($S$838,'TAR FIN'!$A$1:$O$113,15,0))</f>
        <v>24.31</v>
      </c>
      <c r="W838" s="4">
        <f>IF(ISERROR(VLOOKUP($T$838,'TAR FIN'!$A$1:$O$113,15,0)),0,VLOOKUP($T$838,'TAR FIN'!$A$1:$O$113,15,0))</f>
        <v>0</v>
      </c>
      <c r="X838" s="4">
        <f>IF(ISERROR(VLOOKUP($U$838,'TAR FIN'!$A$1:$O$113,15,0)),0,VLOOKUP($U$838,'TAR FIN'!$A$1:$O$113,15,0))</f>
        <v>0</v>
      </c>
      <c r="Y838" s="4">
        <f ca="1">('TUSD BE'!$AM$30+'TUSD BF'!$AM$30+'TUSD CVA'!$AM$30)*1</f>
        <v>26.598074646640526</v>
      </c>
      <c r="Z838" s="4"/>
      <c r="AA838" s="4"/>
      <c r="AB838" s="4">
        <f>$K$838*$V$838</f>
        <v>15436.849999999999</v>
      </c>
      <c r="AC838" s="4">
        <f>$M$838*$W$838</f>
        <v>0</v>
      </c>
      <c r="AD838" s="4">
        <f>$O$838*$X$838</f>
        <v>0</v>
      </c>
      <c r="AE838" s="4">
        <f ca="1">$K$838*$Y$838</f>
        <v>16889.777400616735</v>
      </c>
      <c r="AF838" s="4">
        <f>$M$838*$Z$838</f>
        <v>0</v>
      </c>
      <c r="AG838" s="4">
        <f>$O$838*$AA$838</f>
        <v>0</v>
      </c>
    </row>
    <row r="839" spans="1:33" ht="11.25" customHeight="1" x14ac:dyDescent="0.25">
      <c r="A839" s="3" t="s">
        <v>21</v>
      </c>
      <c r="B839" s="3" t="s">
        <v>41</v>
      </c>
      <c r="C839" s="3" t="s">
        <v>42</v>
      </c>
      <c r="D839" s="3" t="s">
        <v>38</v>
      </c>
      <c r="E839" s="3" t="s">
        <v>25</v>
      </c>
      <c r="F839" s="3" t="s">
        <v>25</v>
      </c>
      <c r="G839" s="3" t="s">
        <v>25</v>
      </c>
      <c r="H839" s="3" t="s">
        <v>25</v>
      </c>
      <c r="I839" s="6">
        <v>44317</v>
      </c>
      <c r="J839" s="4">
        <v>37710</v>
      </c>
      <c r="K839" s="4">
        <v>37710</v>
      </c>
      <c r="L839" s="4">
        <v>0</v>
      </c>
      <c r="M839" s="4">
        <v>0</v>
      </c>
      <c r="N839" s="4">
        <v>0</v>
      </c>
      <c r="O839" s="4">
        <v>0</v>
      </c>
      <c r="P839" s="4">
        <v>206</v>
      </c>
      <c r="Q839" s="3" t="s">
        <v>26</v>
      </c>
      <c r="R839" s="3">
        <v>0</v>
      </c>
      <c r="S839" s="4">
        <v>44</v>
      </c>
      <c r="T839" s="4">
        <v>0</v>
      </c>
      <c r="U839" s="4">
        <v>0</v>
      </c>
      <c r="V839" s="4">
        <f>IF(ISERROR(VLOOKUP($S$839,'TAR FIN'!$A$1:$O$113,15,0)),0,VLOOKUP($S$839,'TAR FIN'!$A$1:$O$113,15,0))</f>
        <v>24.31</v>
      </c>
      <c r="W839" s="4">
        <f>IF(ISERROR(VLOOKUP($T$839,'TAR FIN'!$A$1:$O$113,15,0)),0,VLOOKUP($T$839,'TAR FIN'!$A$1:$O$113,15,0))</f>
        <v>0</v>
      </c>
      <c r="X839" s="4">
        <f>IF(ISERROR(VLOOKUP($U$839,'TAR FIN'!$A$1:$O$113,15,0)),0,VLOOKUP($U$839,'TAR FIN'!$A$1:$O$113,15,0))</f>
        <v>0</v>
      </c>
      <c r="Y839" s="4">
        <f ca="1">('TUSD BE'!$AM$30+'TUSD BF'!$AM$30+'TUSD CVA'!$AM$30)*1</f>
        <v>26.598074646640526</v>
      </c>
      <c r="Z839" s="4"/>
      <c r="AA839" s="4"/>
      <c r="AB839" s="4">
        <f>$K$839*$V$839</f>
        <v>916730.1</v>
      </c>
      <c r="AC839" s="4">
        <f>$M$839*$W$839</f>
        <v>0</v>
      </c>
      <c r="AD839" s="4">
        <f>$O$839*$X$839</f>
        <v>0</v>
      </c>
      <c r="AE839" s="4">
        <f ca="1">$K$839*$Y$839</f>
        <v>1003013.3949248142</v>
      </c>
      <c r="AF839" s="4">
        <f>$M$839*$Z$839</f>
        <v>0</v>
      </c>
      <c r="AG839" s="4">
        <f>$O$839*$AA$839</f>
        <v>0</v>
      </c>
    </row>
    <row r="840" spans="1:33" ht="11.25" customHeight="1" x14ac:dyDescent="0.25">
      <c r="A840" s="3" t="s">
        <v>28</v>
      </c>
      <c r="B840" s="3" t="s">
        <v>41</v>
      </c>
      <c r="C840" s="3" t="s">
        <v>42</v>
      </c>
      <c r="D840" s="3" t="s">
        <v>38</v>
      </c>
      <c r="E840" s="3" t="s">
        <v>25</v>
      </c>
      <c r="F840" s="3" t="s">
        <v>25</v>
      </c>
      <c r="G840" s="3" t="s">
        <v>25</v>
      </c>
      <c r="H840" s="3" t="s">
        <v>25</v>
      </c>
      <c r="I840" s="6">
        <v>44317</v>
      </c>
      <c r="J840" s="4">
        <v>1356</v>
      </c>
      <c r="K840" s="4">
        <v>1356</v>
      </c>
      <c r="L840" s="4">
        <v>0</v>
      </c>
      <c r="M840" s="4">
        <v>0</v>
      </c>
      <c r="N840" s="4">
        <v>0</v>
      </c>
      <c r="O840" s="4">
        <v>0</v>
      </c>
      <c r="P840" s="4">
        <v>4</v>
      </c>
      <c r="Q840" s="3" t="s">
        <v>26</v>
      </c>
      <c r="R840" s="3">
        <v>0</v>
      </c>
      <c r="S840" s="4">
        <v>44</v>
      </c>
      <c r="T840" s="4">
        <v>0</v>
      </c>
      <c r="U840" s="4">
        <v>0</v>
      </c>
      <c r="V840" s="4">
        <f>IF(ISERROR(VLOOKUP($S$840,'TAR FIN'!$A$1:$O$113,15,0)),0,VLOOKUP($S$840,'TAR FIN'!$A$1:$O$113,15,0))</f>
        <v>24.31</v>
      </c>
      <c r="W840" s="4">
        <f>IF(ISERROR(VLOOKUP($T$840,'TAR FIN'!$A$1:$O$113,15,0)),0,VLOOKUP($T$840,'TAR FIN'!$A$1:$O$113,15,0))</f>
        <v>0</v>
      </c>
      <c r="X840" s="4">
        <f>IF(ISERROR(VLOOKUP($U$840,'TAR FIN'!$A$1:$O$113,15,0)),0,VLOOKUP($U$840,'TAR FIN'!$A$1:$O$113,15,0))</f>
        <v>0</v>
      </c>
      <c r="Y840" s="4">
        <f ca="1">('TUSD BE'!$AM$30+'TUSD BF'!$AM$30+'TUSD CVA'!$AM$30)*1</f>
        <v>26.598074646640526</v>
      </c>
      <c r="Z840" s="4"/>
      <c r="AA840" s="4"/>
      <c r="AB840" s="4">
        <f>$K$840*$V$840</f>
        <v>32964.36</v>
      </c>
      <c r="AC840" s="4">
        <f>$M$840*$W$840</f>
        <v>0</v>
      </c>
      <c r="AD840" s="4">
        <f>$O$840*$X$840</f>
        <v>0</v>
      </c>
      <c r="AE840" s="4">
        <f ca="1">$K$840*$Y$840</f>
        <v>36066.989220844553</v>
      </c>
      <c r="AF840" s="4">
        <f>$M$840*$Z$840</f>
        <v>0</v>
      </c>
      <c r="AG840" s="4">
        <f>$O$840*$AA$840</f>
        <v>0</v>
      </c>
    </row>
    <row r="841" spans="1:33" ht="11.25" customHeight="1" x14ac:dyDescent="0.25">
      <c r="A841" s="3" t="s">
        <v>21</v>
      </c>
      <c r="B841" s="3" t="s">
        <v>41</v>
      </c>
      <c r="C841" s="3" t="s">
        <v>42</v>
      </c>
      <c r="D841" s="3" t="s">
        <v>38</v>
      </c>
      <c r="E841" s="3" t="s">
        <v>25</v>
      </c>
      <c r="F841" s="3" t="s">
        <v>25</v>
      </c>
      <c r="G841" s="3" t="s">
        <v>25</v>
      </c>
      <c r="H841" s="3" t="s">
        <v>25</v>
      </c>
      <c r="I841" s="6">
        <v>44348</v>
      </c>
      <c r="J841" s="4">
        <v>35827</v>
      </c>
      <c r="K841" s="4">
        <v>35827</v>
      </c>
      <c r="L841" s="4">
        <v>0</v>
      </c>
      <c r="M841" s="4">
        <v>0</v>
      </c>
      <c r="N841" s="4">
        <v>0</v>
      </c>
      <c r="O841" s="4">
        <v>0</v>
      </c>
      <c r="P841" s="4">
        <v>203</v>
      </c>
      <c r="Q841" s="3" t="s">
        <v>26</v>
      </c>
      <c r="R841" s="3">
        <v>0</v>
      </c>
      <c r="S841" s="4">
        <v>44</v>
      </c>
      <c r="T841" s="4">
        <v>0</v>
      </c>
      <c r="U841" s="4">
        <v>0</v>
      </c>
      <c r="V841" s="4">
        <f>IF(ISERROR(VLOOKUP($S$841,'TAR FIN'!$A$1:$O$113,15,0)),0,VLOOKUP($S$841,'TAR FIN'!$A$1:$O$113,15,0))</f>
        <v>24.31</v>
      </c>
      <c r="W841" s="4">
        <f>IF(ISERROR(VLOOKUP($T$841,'TAR FIN'!$A$1:$O$113,15,0)),0,VLOOKUP($T$841,'TAR FIN'!$A$1:$O$113,15,0))</f>
        <v>0</v>
      </c>
      <c r="X841" s="4">
        <f>IF(ISERROR(VLOOKUP($U$841,'TAR FIN'!$A$1:$O$113,15,0)),0,VLOOKUP($U$841,'TAR FIN'!$A$1:$O$113,15,0))</f>
        <v>0</v>
      </c>
      <c r="Y841" s="4">
        <f ca="1">('TUSD BE'!$AM$30+'TUSD BF'!$AM$30+'TUSD CVA'!$AM$30)*1</f>
        <v>26.598074646640526</v>
      </c>
      <c r="Z841" s="4"/>
      <c r="AA841" s="4"/>
      <c r="AB841" s="4">
        <f>$K$841*$V$841</f>
        <v>870954.37</v>
      </c>
      <c r="AC841" s="4">
        <f>$M$841*$W$841</f>
        <v>0</v>
      </c>
      <c r="AD841" s="4">
        <f>$O$841*$X$841</f>
        <v>0</v>
      </c>
      <c r="AE841" s="4">
        <f ca="1">$K$841*$Y$841</f>
        <v>952929.22036519018</v>
      </c>
      <c r="AF841" s="4">
        <f>$M$841*$Z$841</f>
        <v>0</v>
      </c>
      <c r="AG841" s="4">
        <f>$O$841*$AA$841</f>
        <v>0</v>
      </c>
    </row>
    <row r="842" spans="1:33" ht="11.25" customHeight="1" x14ac:dyDescent="0.25">
      <c r="A842" s="3" t="s">
        <v>28</v>
      </c>
      <c r="B842" s="3" t="s">
        <v>41</v>
      </c>
      <c r="C842" s="3" t="s">
        <v>42</v>
      </c>
      <c r="D842" s="3" t="s">
        <v>38</v>
      </c>
      <c r="E842" s="3" t="s">
        <v>25</v>
      </c>
      <c r="F842" s="3" t="s">
        <v>25</v>
      </c>
      <c r="G842" s="3" t="s">
        <v>25</v>
      </c>
      <c r="H842" s="3" t="s">
        <v>25</v>
      </c>
      <c r="I842" s="6">
        <v>44348</v>
      </c>
      <c r="J842" s="4">
        <v>1376</v>
      </c>
      <c r="K842" s="4">
        <v>1376</v>
      </c>
      <c r="L842" s="4">
        <v>0</v>
      </c>
      <c r="M842" s="4">
        <v>0</v>
      </c>
      <c r="N842" s="4">
        <v>0</v>
      </c>
      <c r="O842" s="4">
        <v>0</v>
      </c>
      <c r="P842" s="4">
        <v>4</v>
      </c>
      <c r="Q842" s="3" t="s">
        <v>26</v>
      </c>
      <c r="R842" s="3">
        <v>0</v>
      </c>
      <c r="S842" s="4">
        <v>44</v>
      </c>
      <c r="T842" s="4">
        <v>0</v>
      </c>
      <c r="U842" s="4">
        <v>0</v>
      </c>
      <c r="V842" s="4">
        <f>IF(ISERROR(VLOOKUP($S$842,'TAR FIN'!$A$1:$O$113,15,0)),0,VLOOKUP($S$842,'TAR FIN'!$A$1:$O$113,15,0))</f>
        <v>24.31</v>
      </c>
      <c r="W842" s="4">
        <f>IF(ISERROR(VLOOKUP($T$842,'TAR FIN'!$A$1:$O$113,15,0)),0,VLOOKUP($T$842,'TAR FIN'!$A$1:$O$113,15,0))</f>
        <v>0</v>
      </c>
      <c r="X842" s="4">
        <f>IF(ISERROR(VLOOKUP($U$842,'TAR FIN'!$A$1:$O$113,15,0)),0,VLOOKUP($U$842,'TAR FIN'!$A$1:$O$113,15,0))</f>
        <v>0</v>
      </c>
      <c r="Y842" s="4">
        <f ca="1">('TUSD BE'!$AM$30+'TUSD BF'!$AM$30+'TUSD CVA'!$AM$30)*1</f>
        <v>26.598074646640526</v>
      </c>
      <c r="Z842" s="4"/>
      <c r="AA842" s="4"/>
      <c r="AB842" s="4">
        <f>$K$842*$V$842</f>
        <v>33450.559999999998</v>
      </c>
      <c r="AC842" s="4">
        <f>$M$842*$W$842</f>
        <v>0</v>
      </c>
      <c r="AD842" s="4">
        <f>$O$842*$X$842</f>
        <v>0</v>
      </c>
      <c r="AE842" s="4">
        <f ca="1">$K$842*$Y$842</f>
        <v>36598.950713777362</v>
      </c>
      <c r="AF842" s="4">
        <f>$M$842*$Z$842</f>
        <v>0</v>
      </c>
      <c r="AG842" s="4">
        <f>$O$842*$AA$842</f>
        <v>0</v>
      </c>
    </row>
    <row r="843" spans="1:33" ht="11.25" customHeight="1" x14ac:dyDescent="0.25">
      <c r="A843" s="3" t="s">
        <v>21</v>
      </c>
      <c r="B843" s="3" t="s">
        <v>41</v>
      </c>
      <c r="C843" s="3" t="s">
        <v>42</v>
      </c>
      <c r="D843" s="3" t="s">
        <v>38</v>
      </c>
      <c r="E843" s="3" t="s">
        <v>25</v>
      </c>
      <c r="F843" s="3" t="s">
        <v>25</v>
      </c>
      <c r="G843" s="3" t="s">
        <v>25</v>
      </c>
      <c r="H843" s="3" t="s">
        <v>25</v>
      </c>
      <c r="I843" s="6">
        <v>44378</v>
      </c>
      <c r="J843" s="4">
        <v>35181</v>
      </c>
      <c r="K843" s="4">
        <v>35181</v>
      </c>
      <c r="L843" s="4">
        <v>0</v>
      </c>
      <c r="M843" s="4">
        <v>0</v>
      </c>
      <c r="N843" s="4">
        <v>0</v>
      </c>
      <c r="O843" s="4">
        <v>0</v>
      </c>
      <c r="P843" s="4">
        <v>199</v>
      </c>
      <c r="Q843" s="3" t="s">
        <v>26</v>
      </c>
      <c r="R843" s="3">
        <v>0</v>
      </c>
      <c r="S843" s="4">
        <v>44</v>
      </c>
      <c r="T843" s="4">
        <v>0</v>
      </c>
      <c r="U843" s="4">
        <v>0</v>
      </c>
      <c r="V843" s="4">
        <f>IF(ISERROR(VLOOKUP($S$843,'TAR FIN'!$A$1:$O$113,15,0)),0,VLOOKUP($S$843,'TAR FIN'!$A$1:$O$113,15,0))</f>
        <v>24.31</v>
      </c>
      <c r="W843" s="4">
        <f>IF(ISERROR(VLOOKUP($T$843,'TAR FIN'!$A$1:$O$113,15,0)),0,VLOOKUP($T$843,'TAR FIN'!$A$1:$O$113,15,0))</f>
        <v>0</v>
      </c>
      <c r="X843" s="4">
        <f>IF(ISERROR(VLOOKUP($U$843,'TAR FIN'!$A$1:$O$113,15,0)),0,VLOOKUP($U$843,'TAR FIN'!$A$1:$O$113,15,0))</f>
        <v>0</v>
      </c>
      <c r="Y843" s="4">
        <f ca="1">('TUSD BE'!$AM$30+'TUSD BF'!$AM$30+'TUSD CVA'!$AM$30)*1</f>
        <v>26.598074646640526</v>
      </c>
      <c r="Z843" s="4"/>
      <c r="AA843" s="4"/>
      <c r="AB843" s="4">
        <f>$K$843*$V$843</f>
        <v>855250.11</v>
      </c>
      <c r="AC843" s="4">
        <f>$M$843*$W$843</f>
        <v>0</v>
      </c>
      <c r="AD843" s="4">
        <f>$O$843*$X$843</f>
        <v>0</v>
      </c>
      <c r="AE843" s="4">
        <f ca="1">$K$843*$Y$843</f>
        <v>935746.86414346041</v>
      </c>
      <c r="AF843" s="4">
        <f>$M$843*$Z$843</f>
        <v>0</v>
      </c>
      <c r="AG843" s="4">
        <f>$O$843*$AA$843</f>
        <v>0</v>
      </c>
    </row>
    <row r="844" spans="1:33" ht="11.25" customHeight="1" x14ac:dyDescent="0.25">
      <c r="A844" s="3" t="s">
        <v>28</v>
      </c>
      <c r="B844" s="3" t="s">
        <v>41</v>
      </c>
      <c r="C844" s="3" t="s">
        <v>42</v>
      </c>
      <c r="D844" s="3" t="s">
        <v>38</v>
      </c>
      <c r="E844" s="3" t="s">
        <v>25</v>
      </c>
      <c r="F844" s="3" t="s">
        <v>25</v>
      </c>
      <c r="G844" s="3" t="s">
        <v>25</v>
      </c>
      <c r="H844" s="3" t="s">
        <v>25</v>
      </c>
      <c r="I844" s="6">
        <v>44378</v>
      </c>
      <c r="J844" s="4">
        <v>1366</v>
      </c>
      <c r="K844" s="4">
        <v>1366</v>
      </c>
      <c r="L844" s="4">
        <v>0</v>
      </c>
      <c r="M844" s="4">
        <v>0</v>
      </c>
      <c r="N844" s="4">
        <v>0</v>
      </c>
      <c r="O844" s="4">
        <v>0</v>
      </c>
      <c r="P844" s="4">
        <v>4</v>
      </c>
      <c r="Q844" s="3" t="s">
        <v>26</v>
      </c>
      <c r="R844" s="3">
        <v>0</v>
      </c>
      <c r="S844" s="4">
        <v>44</v>
      </c>
      <c r="T844" s="4">
        <v>0</v>
      </c>
      <c r="U844" s="4">
        <v>0</v>
      </c>
      <c r="V844" s="4">
        <f>IF(ISERROR(VLOOKUP($S$844,'TAR FIN'!$A$1:$O$113,15,0)),0,VLOOKUP($S$844,'TAR FIN'!$A$1:$O$113,15,0))</f>
        <v>24.31</v>
      </c>
      <c r="W844" s="4">
        <f>IF(ISERROR(VLOOKUP($T$844,'TAR FIN'!$A$1:$O$113,15,0)),0,VLOOKUP($T$844,'TAR FIN'!$A$1:$O$113,15,0))</f>
        <v>0</v>
      </c>
      <c r="X844" s="4">
        <f>IF(ISERROR(VLOOKUP($U$844,'TAR FIN'!$A$1:$O$113,15,0)),0,VLOOKUP($U$844,'TAR FIN'!$A$1:$O$113,15,0))</f>
        <v>0</v>
      </c>
      <c r="Y844" s="4">
        <f ca="1">('TUSD BE'!$AM$30+'TUSD BF'!$AM$30+'TUSD CVA'!$AM$30)*1</f>
        <v>26.598074646640526</v>
      </c>
      <c r="Z844" s="4"/>
      <c r="AA844" s="4"/>
      <c r="AB844" s="4">
        <f>$K$844*$V$844</f>
        <v>33207.46</v>
      </c>
      <c r="AC844" s="4">
        <f>$M$844*$W$844</f>
        <v>0</v>
      </c>
      <c r="AD844" s="4">
        <f>$O$844*$X$844</f>
        <v>0</v>
      </c>
      <c r="AE844" s="4">
        <f ca="1">$K$844*$Y$844</f>
        <v>36332.969967310957</v>
      </c>
      <c r="AF844" s="4">
        <f>$M$844*$Z$844</f>
        <v>0</v>
      </c>
      <c r="AG844" s="4">
        <f>$O$844*$AA$844</f>
        <v>0</v>
      </c>
    </row>
    <row r="845" spans="1:33" ht="11.25" customHeight="1" x14ac:dyDescent="0.25">
      <c r="A845" s="3" t="s">
        <v>21</v>
      </c>
      <c r="B845" s="3" t="s">
        <v>41</v>
      </c>
      <c r="C845" s="3" t="s">
        <v>42</v>
      </c>
      <c r="D845" s="3" t="s">
        <v>38</v>
      </c>
      <c r="E845" s="3" t="s">
        <v>25</v>
      </c>
      <c r="F845" s="3" t="s">
        <v>25</v>
      </c>
      <c r="G845" s="3" t="s">
        <v>25</v>
      </c>
      <c r="H845" s="3" t="s">
        <v>25</v>
      </c>
      <c r="I845" s="6">
        <v>44409</v>
      </c>
      <c r="J845" s="4">
        <v>33861</v>
      </c>
      <c r="K845" s="4">
        <v>33861</v>
      </c>
      <c r="L845" s="4">
        <v>0</v>
      </c>
      <c r="M845" s="4">
        <v>0</v>
      </c>
      <c r="N845" s="4">
        <v>0</v>
      </c>
      <c r="O845" s="4">
        <v>0</v>
      </c>
      <c r="P845" s="4">
        <v>198</v>
      </c>
      <c r="Q845" s="3" t="s">
        <v>26</v>
      </c>
      <c r="R845" s="3">
        <v>0</v>
      </c>
      <c r="S845" s="4">
        <v>44</v>
      </c>
      <c r="T845" s="4">
        <v>0</v>
      </c>
      <c r="U845" s="4">
        <v>0</v>
      </c>
      <c r="V845" s="4">
        <f>IF(ISERROR(VLOOKUP($S$845,'TAR FIN'!$A$1:$O$113,15,0)),0,VLOOKUP($S$845,'TAR FIN'!$A$1:$O$113,15,0))</f>
        <v>24.31</v>
      </c>
      <c r="W845" s="4">
        <f>IF(ISERROR(VLOOKUP($T$845,'TAR FIN'!$A$1:$O$113,15,0)),0,VLOOKUP($T$845,'TAR FIN'!$A$1:$O$113,15,0))</f>
        <v>0</v>
      </c>
      <c r="X845" s="4">
        <f>IF(ISERROR(VLOOKUP($U$845,'TAR FIN'!$A$1:$O$113,15,0)),0,VLOOKUP($U$845,'TAR FIN'!$A$1:$O$113,15,0))</f>
        <v>0</v>
      </c>
      <c r="Y845" s="4">
        <f ca="1">('TUSD BE'!$AM$30+'TUSD BF'!$AM$30+'TUSD CVA'!$AM$30)*1</f>
        <v>26.598074646640526</v>
      </c>
      <c r="Z845" s="4"/>
      <c r="AA845" s="4"/>
      <c r="AB845" s="4">
        <f>$K$845*$V$845</f>
        <v>823160.90999999992</v>
      </c>
      <c r="AC845" s="4">
        <f>$M$845*$W$845</f>
        <v>0</v>
      </c>
      <c r="AD845" s="4">
        <f>$O$845*$X$845</f>
        <v>0</v>
      </c>
      <c r="AE845" s="4">
        <f ca="1">$K$845*$Y$845</f>
        <v>900637.40560989489</v>
      </c>
      <c r="AF845" s="4">
        <f>$M$845*$Z$845</f>
        <v>0</v>
      </c>
      <c r="AG845" s="4">
        <f>$O$845*$AA$845</f>
        <v>0</v>
      </c>
    </row>
    <row r="846" spans="1:33" ht="11.25" customHeight="1" x14ac:dyDescent="0.25">
      <c r="A846" s="3" t="s">
        <v>28</v>
      </c>
      <c r="B846" s="3" t="s">
        <v>41</v>
      </c>
      <c r="C846" s="3" t="s">
        <v>42</v>
      </c>
      <c r="D846" s="3" t="s">
        <v>38</v>
      </c>
      <c r="E846" s="3" t="s">
        <v>25</v>
      </c>
      <c r="F846" s="3" t="s">
        <v>25</v>
      </c>
      <c r="G846" s="3" t="s">
        <v>25</v>
      </c>
      <c r="H846" s="3" t="s">
        <v>25</v>
      </c>
      <c r="I846" s="6">
        <v>44409</v>
      </c>
      <c r="J846" s="4">
        <v>1643</v>
      </c>
      <c r="K846" s="4">
        <v>1643</v>
      </c>
      <c r="L846" s="4">
        <v>0</v>
      </c>
      <c r="M846" s="4">
        <v>0</v>
      </c>
      <c r="N846" s="4">
        <v>0</v>
      </c>
      <c r="O846" s="4">
        <v>0</v>
      </c>
      <c r="P846" s="4">
        <v>5</v>
      </c>
      <c r="Q846" s="3" t="s">
        <v>26</v>
      </c>
      <c r="R846" s="3">
        <v>0</v>
      </c>
      <c r="S846" s="4">
        <v>44</v>
      </c>
      <c r="T846" s="4">
        <v>0</v>
      </c>
      <c r="U846" s="4">
        <v>0</v>
      </c>
      <c r="V846" s="4">
        <f>IF(ISERROR(VLOOKUP($S$846,'TAR FIN'!$A$1:$O$113,15,0)),0,VLOOKUP($S$846,'TAR FIN'!$A$1:$O$113,15,0))</f>
        <v>24.31</v>
      </c>
      <c r="W846" s="4">
        <f>IF(ISERROR(VLOOKUP($T$846,'TAR FIN'!$A$1:$O$113,15,0)),0,VLOOKUP($T$846,'TAR FIN'!$A$1:$O$113,15,0))</f>
        <v>0</v>
      </c>
      <c r="X846" s="4">
        <f>IF(ISERROR(VLOOKUP($U$846,'TAR FIN'!$A$1:$O$113,15,0)),0,VLOOKUP($U$846,'TAR FIN'!$A$1:$O$113,15,0))</f>
        <v>0</v>
      </c>
      <c r="Y846" s="4">
        <f ca="1">('TUSD BE'!$AM$30+'TUSD BF'!$AM$30+'TUSD CVA'!$AM$30)*1</f>
        <v>26.598074646640526</v>
      </c>
      <c r="Z846" s="4"/>
      <c r="AA846" s="4"/>
      <c r="AB846" s="4">
        <f>$K$846*$V$846</f>
        <v>39941.329999999994</v>
      </c>
      <c r="AC846" s="4">
        <f>$M$846*$W$846</f>
        <v>0</v>
      </c>
      <c r="AD846" s="4">
        <f>$O$846*$X$846</f>
        <v>0</v>
      </c>
      <c r="AE846" s="4">
        <f ca="1">$K$846*$Y$846</f>
        <v>43700.636644430386</v>
      </c>
      <c r="AF846" s="4">
        <f>$M$846*$Z$846</f>
        <v>0</v>
      </c>
      <c r="AG846" s="4">
        <f>$O$846*$AA$846</f>
        <v>0</v>
      </c>
    </row>
    <row r="847" spans="1:33" ht="11.25" customHeight="1" x14ac:dyDescent="0.25">
      <c r="A847" s="3" t="s">
        <v>21</v>
      </c>
      <c r="B847" s="3" t="s">
        <v>41</v>
      </c>
      <c r="C847" s="3" t="s">
        <v>42</v>
      </c>
      <c r="D847" s="3" t="s">
        <v>38</v>
      </c>
      <c r="E847" s="3" t="s">
        <v>25</v>
      </c>
      <c r="F847" s="3" t="s">
        <v>25</v>
      </c>
      <c r="G847" s="3" t="s">
        <v>25</v>
      </c>
      <c r="H847" s="3" t="s">
        <v>25</v>
      </c>
      <c r="I847" s="6">
        <v>44409</v>
      </c>
      <c r="J847" s="4">
        <v>719</v>
      </c>
      <c r="K847" s="4">
        <v>719</v>
      </c>
      <c r="L847" s="4">
        <v>0</v>
      </c>
      <c r="M847" s="4">
        <v>0</v>
      </c>
      <c r="N847" s="4">
        <v>0</v>
      </c>
      <c r="O847" s="4">
        <v>0</v>
      </c>
      <c r="P847" s="4">
        <v>1</v>
      </c>
      <c r="Q847" s="3" t="s">
        <v>57</v>
      </c>
      <c r="R847" s="3">
        <v>0</v>
      </c>
      <c r="S847" s="4">
        <v>44</v>
      </c>
      <c r="T847" s="4">
        <v>0</v>
      </c>
      <c r="U847" s="4">
        <v>0</v>
      </c>
      <c r="V847" s="4">
        <f>IF(ISERROR(VLOOKUP($S$847,'TAR FIN'!$A$1:$O$113,15,0)),0,VLOOKUP($S$847,'TAR FIN'!$A$1:$O$113,15,0))</f>
        <v>24.31</v>
      </c>
      <c r="W847" s="4">
        <f>IF(ISERROR(VLOOKUP($T$847,'TAR FIN'!$A$1:$O$113,15,0)),0,VLOOKUP($T$847,'TAR FIN'!$A$1:$O$113,15,0))</f>
        <v>0</v>
      </c>
      <c r="X847" s="4">
        <f>IF(ISERROR(VLOOKUP($U$847,'TAR FIN'!$A$1:$O$113,15,0)),0,VLOOKUP($U$847,'TAR FIN'!$A$1:$O$113,15,0))</f>
        <v>0</v>
      </c>
      <c r="Y847" s="4">
        <f ca="1">('TUSD BE'!$AM$30+'TUSD BF'!$AM$30+'TUSD CVA'!$AM$30)*1</f>
        <v>26.598074646640526</v>
      </c>
      <c r="Z847" s="4"/>
      <c r="AA847" s="4"/>
      <c r="AB847" s="4">
        <f>$K$847*$V$847</f>
        <v>17478.89</v>
      </c>
      <c r="AC847" s="4">
        <f>$M$847*$W$847</f>
        <v>0</v>
      </c>
      <c r="AD847" s="4">
        <f>$O$847*$X$847</f>
        <v>0</v>
      </c>
      <c r="AE847" s="4">
        <f ca="1">$K$847*$Y$847</f>
        <v>19124.015670934539</v>
      </c>
      <c r="AF847" s="4">
        <f>$M$847*$Z$847</f>
        <v>0</v>
      </c>
      <c r="AG847" s="4">
        <f>$O$847*$AA$847</f>
        <v>0</v>
      </c>
    </row>
    <row r="848" spans="1:33" ht="11.25" customHeight="1" x14ac:dyDescent="0.25">
      <c r="A848" s="3" t="s">
        <v>21</v>
      </c>
      <c r="B848" s="3" t="s">
        <v>41</v>
      </c>
      <c r="C848" s="3" t="s">
        <v>42</v>
      </c>
      <c r="D848" s="3" t="s">
        <v>38</v>
      </c>
      <c r="E848" s="3" t="s">
        <v>25</v>
      </c>
      <c r="F848" s="3" t="s">
        <v>25</v>
      </c>
      <c r="G848" s="3" t="s">
        <v>25</v>
      </c>
      <c r="H848" s="3" t="s">
        <v>25</v>
      </c>
      <c r="I848" s="6">
        <v>44440</v>
      </c>
      <c r="J848" s="4">
        <v>33643</v>
      </c>
      <c r="K848" s="4">
        <v>33643</v>
      </c>
      <c r="L848" s="4">
        <v>0</v>
      </c>
      <c r="M848" s="4">
        <v>0</v>
      </c>
      <c r="N848" s="4">
        <v>0</v>
      </c>
      <c r="O848" s="4">
        <v>0</v>
      </c>
      <c r="P848" s="4">
        <v>197</v>
      </c>
      <c r="Q848" s="3" t="s">
        <v>26</v>
      </c>
      <c r="R848" s="3">
        <v>0</v>
      </c>
      <c r="S848" s="4">
        <v>44</v>
      </c>
      <c r="T848" s="4">
        <v>0</v>
      </c>
      <c r="U848" s="4">
        <v>0</v>
      </c>
      <c r="V848" s="4">
        <f>IF(ISERROR(VLOOKUP($S$848,'TAR FIN'!$A$1:$O$113,15,0)),0,VLOOKUP($S$848,'TAR FIN'!$A$1:$O$113,15,0))</f>
        <v>24.31</v>
      </c>
      <c r="W848" s="4">
        <f>IF(ISERROR(VLOOKUP($T$848,'TAR FIN'!$A$1:$O$113,15,0)),0,VLOOKUP($T$848,'TAR FIN'!$A$1:$O$113,15,0))</f>
        <v>0</v>
      </c>
      <c r="X848" s="4">
        <f>IF(ISERROR(VLOOKUP($U$848,'TAR FIN'!$A$1:$O$113,15,0)),0,VLOOKUP($U$848,'TAR FIN'!$A$1:$O$113,15,0))</f>
        <v>0</v>
      </c>
      <c r="Y848" s="4">
        <f ca="1">('TUSD BE'!$AM$30+'TUSD BF'!$AM$30+'TUSD CVA'!$AM$30)*1</f>
        <v>26.598074646640526</v>
      </c>
      <c r="Z848" s="4"/>
      <c r="AA848" s="4"/>
      <c r="AB848" s="4">
        <f>$K$848*$V$848</f>
        <v>817861.33</v>
      </c>
      <c r="AC848" s="4">
        <f>$M$848*$W$848</f>
        <v>0</v>
      </c>
      <c r="AD848" s="4">
        <f>$O$848*$X$848</f>
        <v>0</v>
      </c>
      <c r="AE848" s="4">
        <f ca="1">$K$848*$Y$848</f>
        <v>894839.02533692727</v>
      </c>
      <c r="AF848" s="4">
        <f>$M$848*$Z$848</f>
        <v>0</v>
      </c>
      <c r="AG848" s="4">
        <f>$O$848*$AA$848</f>
        <v>0</v>
      </c>
    </row>
    <row r="849" spans="1:33" ht="11.25" customHeight="1" x14ac:dyDescent="0.25">
      <c r="A849" s="3" t="s">
        <v>28</v>
      </c>
      <c r="B849" s="3" t="s">
        <v>41</v>
      </c>
      <c r="C849" s="3" t="s">
        <v>42</v>
      </c>
      <c r="D849" s="3" t="s">
        <v>38</v>
      </c>
      <c r="E849" s="3" t="s">
        <v>25</v>
      </c>
      <c r="F849" s="3" t="s">
        <v>25</v>
      </c>
      <c r="G849" s="3" t="s">
        <v>25</v>
      </c>
      <c r="H849" s="3" t="s">
        <v>25</v>
      </c>
      <c r="I849" s="6">
        <v>44440</v>
      </c>
      <c r="J849" s="4">
        <v>1737</v>
      </c>
      <c r="K849" s="4">
        <v>1737</v>
      </c>
      <c r="L849" s="4">
        <v>0</v>
      </c>
      <c r="M849" s="4">
        <v>0</v>
      </c>
      <c r="N849" s="4">
        <v>0</v>
      </c>
      <c r="O849" s="4">
        <v>0</v>
      </c>
      <c r="P849" s="4">
        <v>6</v>
      </c>
      <c r="Q849" s="3" t="s">
        <v>26</v>
      </c>
      <c r="R849" s="3">
        <v>0</v>
      </c>
      <c r="S849" s="4">
        <v>44</v>
      </c>
      <c r="T849" s="4">
        <v>0</v>
      </c>
      <c r="U849" s="4">
        <v>0</v>
      </c>
      <c r="V849" s="4">
        <f>IF(ISERROR(VLOOKUP($S$849,'TAR FIN'!$A$1:$O$113,15,0)),0,VLOOKUP($S$849,'TAR FIN'!$A$1:$O$113,15,0))</f>
        <v>24.31</v>
      </c>
      <c r="W849" s="4">
        <f>IF(ISERROR(VLOOKUP($T$849,'TAR FIN'!$A$1:$O$113,15,0)),0,VLOOKUP($T$849,'TAR FIN'!$A$1:$O$113,15,0))</f>
        <v>0</v>
      </c>
      <c r="X849" s="4">
        <f>IF(ISERROR(VLOOKUP($U$849,'TAR FIN'!$A$1:$O$113,15,0)),0,VLOOKUP($U$849,'TAR FIN'!$A$1:$O$113,15,0))</f>
        <v>0</v>
      </c>
      <c r="Y849" s="4">
        <f ca="1">('TUSD BE'!$AM$30+'TUSD BF'!$AM$30+'TUSD CVA'!$AM$30)*1</f>
        <v>26.598074646640526</v>
      </c>
      <c r="Z849" s="4"/>
      <c r="AA849" s="4"/>
      <c r="AB849" s="4">
        <f>$K$849*$V$849</f>
        <v>42226.47</v>
      </c>
      <c r="AC849" s="4">
        <f>$M$849*$W$849</f>
        <v>0</v>
      </c>
      <c r="AD849" s="4">
        <f>$O$849*$X$849</f>
        <v>0</v>
      </c>
      <c r="AE849" s="4">
        <f ca="1">$K$849*$Y$849</f>
        <v>46200.855661214591</v>
      </c>
      <c r="AF849" s="4">
        <f>$M$849*$Z$849</f>
        <v>0</v>
      </c>
      <c r="AG849" s="4">
        <f>$O$849*$AA$849</f>
        <v>0</v>
      </c>
    </row>
    <row r="850" spans="1:33" ht="11.25" customHeight="1" x14ac:dyDescent="0.25">
      <c r="A850" s="3" t="s">
        <v>21</v>
      </c>
      <c r="B850" s="3" t="s">
        <v>41</v>
      </c>
      <c r="C850" s="3" t="s">
        <v>42</v>
      </c>
      <c r="D850" s="3" t="s">
        <v>38</v>
      </c>
      <c r="E850" s="3" t="s">
        <v>25</v>
      </c>
      <c r="F850" s="3" t="s">
        <v>25</v>
      </c>
      <c r="G850" s="3" t="s">
        <v>25</v>
      </c>
      <c r="H850" s="3" t="s">
        <v>25</v>
      </c>
      <c r="I850" s="6">
        <v>44470</v>
      </c>
      <c r="J850" s="4">
        <v>33559</v>
      </c>
      <c r="K850" s="4">
        <v>33559</v>
      </c>
      <c r="L850" s="4">
        <v>0</v>
      </c>
      <c r="M850" s="4">
        <v>0</v>
      </c>
      <c r="N850" s="4">
        <v>0</v>
      </c>
      <c r="O850" s="4">
        <v>0</v>
      </c>
      <c r="P850" s="4">
        <v>197</v>
      </c>
      <c r="Q850" s="3" t="s">
        <v>26</v>
      </c>
      <c r="R850" s="3">
        <v>0</v>
      </c>
      <c r="S850" s="4">
        <v>44</v>
      </c>
      <c r="T850" s="4">
        <v>0</v>
      </c>
      <c r="U850" s="4">
        <v>0</v>
      </c>
      <c r="V850" s="4">
        <f>IF(ISERROR(VLOOKUP($S$850,'TAR FIN'!$A$1:$O$113,15,0)),0,VLOOKUP($S$850,'TAR FIN'!$A$1:$O$113,15,0))</f>
        <v>24.31</v>
      </c>
      <c r="W850" s="4">
        <f>IF(ISERROR(VLOOKUP($T$850,'TAR FIN'!$A$1:$O$113,15,0)),0,VLOOKUP($T$850,'TAR FIN'!$A$1:$O$113,15,0))</f>
        <v>0</v>
      </c>
      <c r="X850" s="4">
        <f>IF(ISERROR(VLOOKUP($U$850,'TAR FIN'!$A$1:$O$113,15,0)),0,VLOOKUP($U$850,'TAR FIN'!$A$1:$O$113,15,0))</f>
        <v>0</v>
      </c>
      <c r="Y850" s="4">
        <f ca="1">('TUSD BE'!$AM$30+'TUSD BF'!$AM$30+'TUSD CVA'!$AM$30)*1</f>
        <v>26.598074646640526</v>
      </c>
      <c r="Z850" s="4"/>
      <c r="AA850" s="4"/>
      <c r="AB850" s="4">
        <f>$K$850*$V$850</f>
        <v>815819.28999999992</v>
      </c>
      <c r="AC850" s="4">
        <f>$M$850*$W$850</f>
        <v>0</v>
      </c>
      <c r="AD850" s="4">
        <f>$O$850*$X$850</f>
        <v>0</v>
      </c>
      <c r="AE850" s="4">
        <f ca="1">$K$850*$Y$850</f>
        <v>892604.78706660948</v>
      </c>
      <c r="AF850" s="4">
        <f>$M$850*$Z$850</f>
        <v>0</v>
      </c>
      <c r="AG850" s="4">
        <f>$O$850*$AA$850</f>
        <v>0</v>
      </c>
    </row>
    <row r="851" spans="1:33" ht="11.25" customHeight="1" x14ac:dyDescent="0.25">
      <c r="A851" s="3" t="s">
        <v>28</v>
      </c>
      <c r="B851" s="3" t="s">
        <v>41</v>
      </c>
      <c r="C851" s="3" t="s">
        <v>42</v>
      </c>
      <c r="D851" s="3" t="s">
        <v>38</v>
      </c>
      <c r="E851" s="3" t="s">
        <v>25</v>
      </c>
      <c r="F851" s="3" t="s">
        <v>25</v>
      </c>
      <c r="G851" s="3" t="s">
        <v>25</v>
      </c>
      <c r="H851" s="3" t="s">
        <v>25</v>
      </c>
      <c r="I851" s="6">
        <v>44470</v>
      </c>
      <c r="J851" s="4">
        <v>1805</v>
      </c>
      <c r="K851" s="4">
        <v>1805</v>
      </c>
      <c r="L851" s="4">
        <v>0</v>
      </c>
      <c r="M851" s="4">
        <v>0</v>
      </c>
      <c r="N851" s="4">
        <v>0</v>
      </c>
      <c r="O851" s="4">
        <v>0</v>
      </c>
      <c r="P851" s="4">
        <v>7</v>
      </c>
      <c r="Q851" s="3" t="s">
        <v>26</v>
      </c>
      <c r="R851" s="3">
        <v>0</v>
      </c>
      <c r="S851" s="4">
        <v>44</v>
      </c>
      <c r="T851" s="4">
        <v>0</v>
      </c>
      <c r="U851" s="4">
        <v>0</v>
      </c>
      <c r="V851" s="4">
        <f>IF(ISERROR(VLOOKUP($S$851,'TAR FIN'!$A$1:$O$113,15,0)),0,VLOOKUP($S$851,'TAR FIN'!$A$1:$O$113,15,0))</f>
        <v>24.31</v>
      </c>
      <c r="W851" s="4">
        <f>IF(ISERROR(VLOOKUP($T$851,'TAR FIN'!$A$1:$O$113,15,0)),0,VLOOKUP($T$851,'TAR FIN'!$A$1:$O$113,15,0))</f>
        <v>0</v>
      </c>
      <c r="X851" s="4">
        <f>IF(ISERROR(VLOOKUP($U$851,'TAR FIN'!$A$1:$O$113,15,0)),0,VLOOKUP($U$851,'TAR FIN'!$A$1:$O$113,15,0))</f>
        <v>0</v>
      </c>
      <c r="Y851" s="4">
        <f ca="1">('TUSD BE'!$AM$30+'TUSD BF'!$AM$30+'TUSD CVA'!$AM$30)*1</f>
        <v>26.598074646640526</v>
      </c>
      <c r="Z851" s="4"/>
      <c r="AA851" s="4"/>
      <c r="AB851" s="4">
        <f>$K$851*$V$851</f>
        <v>43879.549999999996</v>
      </c>
      <c r="AC851" s="4">
        <f>$M$851*$W$851</f>
        <v>0</v>
      </c>
      <c r="AD851" s="4">
        <f>$O$851*$X$851</f>
        <v>0</v>
      </c>
      <c r="AE851" s="4">
        <f ca="1">$K$851*$Y$851</f>
        <v>48009.524737186148</v>
      </c>
      <c r="AF851" s="4">
        <f>$M$851*$Z$851</f>
        <v>0</v>
      </c>
      <c r="AG851" s="4">
        <f>$O$851*$AA$851</f>
        <v>0</v>
      </c>
    </row>
    <row r="852" spans="1:33" ht="11.25" customHeight="1" x14ac:dyDescent="0.25">
      <c r="A852" s="3" t="s">
        <v>21</v>
      </c>
      <c r="B852" s="3" t="s">
        <v>41</v>
      </c>
      <c r="C852" s="3" t="s">
        <v>42</v>
      </c>
      <c r="D852" s="3" t="s">
        <v>38</v>
      </c>
      <c r="E852" s="3" t="s">
        <v>25</v>
      </c>
      <c r="F852" s="3" t="s">
        <v>25</v>
      </c>
      <c r="G852" s="3" t="s">
        <v>25</v>
      </c>
      <c r="H852" s="3" t="s">
        <v>25</v>
      </c>
      <c r="I852" s="6">
        <v>44501</v>
      </c>
      <c r="J852" s="4">
        <v>33780</v>
      </c>
      <c r="K852" s="4">
        <v>33780</v>
      </c>
      <c r="L852" s="4">
        <v>0</v>
      </c>
      <c r="M852" s="4">
        <v>0</v>
      </c>
      <c r="N852" s="4">
        <v>0</v>
      </c>
      <c r="O852" s="4">
        <v>0</v>
      </c>
      <c r="P852" s="4">
        <v>197</v>
      </c>
      <c r="Q852" s="3" t="s">
        <v>26</v>
      </c>
      <c r="R852" s="3">
        <v>0</v>
      </c>
      <c r="S852" s="4">
        <v>44</v>
      </c>
      <c r="T852" s="4">
        <v>0</v>
      </c>
      <c r="U852" s="4">
        <v>0</v>
      </c>
      <c r="V852" s="4">
        <f>IF(ISERROR(VLOOKUP($S$852,'TAR FIN'!$A$1:$O$113,15,0)),0,VLOOKUP($S$852,'TAR FIN'!$A$1:$O$113,15,0))</f>
        <v>24.31</v>
      </c>
      <c r="W852" s="4">
        <f>IF(ISERROR(VLOOKUP($T$852,'TAR FIN'!$A$1:$O$113,15,0)),0,VLOOKUP($T$852,'TAR FIN'!$A$1:$O$113,15,0))</f>
        <v>0</v>
      </c>
      <c r="X852" s="4">
        <f>IF(ISERROR(VLOOKUP($U$852,'TAR FIN'!$A$1:$O$113,15,0)),0,VLOOKUP($U$852,'TAR FIN'!$A$1:$O$113,15,0))</f>
        <v>0</v>
      </c>
      <c r="Y852" s="4">
        <f ca="1">('TUSD BE'!$AM$30+'TUSD BF'!$AM$30+'TUSD CVA'!$AM$30)*1</f>
        <v>26.598074646640526</v>
      </c>
      <c r="Z852" s="4"/>
      <c r="AA852" s="4"/>
      <c r="AB852" s="4">
        <f>$K$852*$V$852</f>
        <v>821191.79999999993</v>
      </c>
      <c r="AC852" s="4">
        <f>$M$852*$W$852</f>
        <v>0</v>
      </c>
      <c r="AD852" s="4">
        <f>$O$852*$X$852</f>
        <v>0</v>
      </c>
      <c r="AE852" s="4">
        <f ca="1">$K$852*$Y$852</f>
        <v>898482.96156351699</v>
      </c>
      <c r="AF852" s="4">
        <f>$M$852*$Z$852</f>
        <v>0</v>
      </c>
      <c r="AG852" s="4">
        <f>$O$852*$AA$852</f>
        <v>0</v>
      </c>
    </row>
    <row r="853" spans="1:33" ht="11.25" customHeight="1" x14ac:dyDescent="0.25">
      <c r="A853" s="3" t="s">
        <v>28</v>
      </c>
      <c r="B853" s="3" t="s">
        <v>41</v>
      </c>
      <c r="C853" s="3" t="s">
        <v>42</v>
      </c>
      <c r="D853" s="3" t="s">
        <v>38</v>
      </c>
      <c r="E853" s="3" t="s">
        <v>25</v>
      </c>
      <c r="F853" s="3" t="s">
        <v>25</v>
      </c>
      <c r="G853" s="3" t="s">
        <v>25</v>
      </c>
      <c r="H853" s="3" t="s">
        <v>25</v>
      </c>
      <c r="I853" s="6">
        <v>44501</v>
      </c>
      <c r="J853" s="4">
        <v>1801</v>
      </c>
      <c r="K853" s="4">
        <v>1801</v>
      </c>
      <c r="L853" s="4">
        <v>0</v>
      </c>
      <c r="M853" s="4">
        <v>0</v>
      </c>
      <c r="N853" s="4">
        <v>0</v>
      </c>
      <c r="O853" s="4">
        <v>0</v>
      </c>
      <c r="P853" s="4">
        <v>7</v>
      </c>
      <c r="Q853" s="3" t="s">
        <v>26</v>
      </c>
      <c r="R853" s="3">
        <v>0</v>
      </c>
      <c r="S853" s="4">
        <v>44</v>
      </c>
      <c r="T853" s="4">
        <v>0</v>
      </c>
      <c r="U853" s="4">
        <v>0</v>
      </c>
      <c r="V853" s="4">
        <f>IF(ISERROR(VLOOKUP($S$853,'TAR FIN'!$A$1:$O$113,15,0)),0,VLOOKUP($S$853,'TAR FIN'!$A$1:$O$113,15,0))</f>
        <v>24.31</v>
      </c>
      <c r="W853" s="4">
        <f>IF(ISERROR(VLOOKUP($T$853,'TAR FIN'!$A$1:$O$113,15,0)),0,VLOOKUP($T$853,'TAR FIN'!$A$1:$O$113,15,0))</f>
        <v>0</v>
      </c>
      <c r="X853" s="4">
        <f>IF(ISERROR(VLOOKUP($U$853,'TAR FIN'!$A$1:$O$113,15,0)),0,VLOOKUP($U$853,'TAR FIN'!$A$1:$O$113,15,0))</f>
        <v>0</v>
      </c>
      <c r="Y853" s="4">
        <f ca="1">('TUSD BE'!$AM$30+'TUSD BF'!$AM$30+'TUSD CVA'!$AM$30)*1</f>
        <v>26.598074646640526</v>
      </c>
      <c r="Z853" s="4"/>
      <c r="AA853" s="4"/>
      <c r="AB853" s="4">
        <f>$K$853*$V$853</f>
        <v>43782.31</v>
      </c>
      <c r="AC853" s="4">
        <f>$M$853*$W$853</f>
        <v>0</v>
      </c>
      <c r="AD853" s="4">
        <f>$O$853*$X$853</f>
        <v>0</v>
      </c>
      <c r="AE853" s="4">
        <f ca="1">$K$853*$Y$853</f>
        <v>47903.13243859959</v>
      </c>
      <c r="AF853" s="4">
        <f>$M$853*$Z$853</f>
        <v>0</v>
      </c>
      <c r="AG853" s="4">
        <f>$O$853*$AA$853</f>
        <v>0</v>
      </c>
    </row>
    <row r="854" spans="1:33" ht="11.25" customHeight="1" x14ac:dyDescent="0.25">
      <c r="A854" s="3" t="s">
        <v>21</v>
      </c>
      <c r="B854" s="3" t="s">
        <v>41</v>
      </c>
      <c r="C854" s="3" t="s">
        <v>42</v>
      </c>
      <c r="D854" s="3" t="s">
        <v>38</v>
      </c>
      <c r="E854" s="3" t="s">
        <v>25</v>
      </c>
      <c r="F854" s="3" t="s">
        <v>25</v>
      </c>
      <c r="G854" s="3" t="s">
        <v>25</v>
      </c>
      <c r="H854" s="3" t="s">
        <v>25</v>
      </c>
      <c r="I854" s="6">
        <v>44531</v>
      </c>
      <c r="J854" s="4">
        <v>33262</v>
      </c>
      <c r="K854" s="4">
        <v>33262</v>
      </c>
      <c r="L854" s="4">
        <v>0</v>
      </c>
      <c r="M854" s="4">
        <v>0</v>
      </c>
      <c r="N854" s="4">
        <v>0</v>
      </c>
      <c r="O854" s="4">
        <v>0</v>
      </c>
      <c r="P854" s="4">
        <v>191</v>
      </c>
      <c r="Q854" s="3" t="s">
        <v>26</v>
      </c>
      <c r="R854" s="3">
        <v>0</v>
      </c>
      <c r="S854" s="4">
        <v>44</v>
      </c>
      <c r="T854" s="4">
        <v>0</v>
      </c>
      <c r="U854" s="4">
        <v>0</v>
      </c>
      <c r="V854" s="4">
        <f>IF(ISERROR(VLOOKUP($S$854,'TAR FIN'!$A$1:$O$113,15,0)),0,VLOOKUP($S$854,'TAR FIN'!$A$1:$O$113,15,0))</f>
        <v>24.31</v>
      </c>
      <c r="W854" s="4">
        <f>IF(ISERROR(VLOOKUP($T$854,'TAR FIN'!$A$1:$O$113,15,0)),0,VLOOKUP($T$854,'TAR FIN'!$A$1:$O$113,15,0))</f>
        <v>0</v>
      </c>
      <c r="X854" s="4">
        <f>IF(ISERROR(VLOOKUP($U$854,'TAR FIN'!$A$1:$O$113,15,0)),0,VLOOKUP($U$854,'TAR FIN'!$A$1:$O$113,15,0))</f>
        <v>0</v>
      </c>
      <c r="Y854" s="4">
        <f ca="1">('TUSD BE'!$AM$30+'TUSD BF'!$AM$30+'TUSD CVA'!$AM$30)*1</f>
        <v>26.598074646640526</v>
      </c>
      <c r="Z854" s="4"/>
      <c r="AA854" s="4"/>
      <c r="AB854" s="4">
        <f>$K$854*$V$854</f>
        <v>808599.22</v>
      </c>
      <c r="AC854" s="4">
        <f>$M$854*$W$854</f>
        <v>0</v>
      </c>
      <c r="AD854" s="4">
        <f>$O$854*$X$854</f>
        <v>0</v>
      </c>
      <c r="AE854" s="4">
        <f ca="1">$K$854*$Y$854</f>
        <v>884705.15889655717</v>
      </c>
      <c r="AF854" s="4">
        <f>$M$854*$Z$854</f>
        <v>0</v>
      </c>
      <c r="AG854" s="4">
        <f>$O$854*$AA$854</f>
        <v>0</v>
      </c>
    </row>
    <row r="855" spans="1:33" ht="11.25" customHeight="1" x14ac:dyDescent="0.25">
      <c r="A855" s="3" t="s">
        <v>28</v>
      </c>
      <c r="B855" s="3" t="s">
        <v>41</v>
      </c>
      <c r="C855" s="3" t="s">
        <v>42</v>
      </c>
      <c r="D855" s="3" t="s">
        <v>38</v>
      </c>
      <c r="E855" s="3" t="s">
        <v>25</v>
      </c>
      <c r="F855" s="3" t="s">
        <v>25</v>
      </c>
      <c r="G855" s="3" t="s">
        <v>25</v>
      </c>
      <c r="H855" s="3" t="s">
        <v>25</v>
      </c>
      <c r="I855" s="6">
        <v>44531</v>
      </c>
      <c r="J855" s="4">
        <v>1857</v>
      </c>
      <c r="K855" s="4">
        <v>1857</v>
      </c>
      <c r="L855" s="4">
        <v>0</v>
      </c>
      <c r="M855" s="4">
        <v>0</v>
      </c>
      <c r="N855" s="4">
        <v>0</v>
      </c>
      <c r="O855" s="4">
        <v>0</v>
      </c>
      <c r="P855" s="4">
        <v>7</v>
      </c>
      <c r="Q855" s="3" t="s">
        <v>26</v>
      </c>
      <c r="R855" s="3">
        <v>0</v>
      </c>
      <c r="S855" s="4">
        <v>44</v>
      </c>
      <c r="T855" s="4">
        <v>0</v>
      </c>
      <c r="U855" s="4">
        <v>0</v>
      </c>
      <c r="V855" s="4">
        <f>IF(ISERROR(VLOOKUP($S$855,'TAR FIN'!$A$1:$O$113,15,0)),0,VLOOKUP($S$855,'TAR FIN'!$A$1:$O$113,15,0))</f>
        <v>24.31</v>
      </c>
      <c r="W855" s="4">
        <f>IF(ISERROR(VLOOKUP($T$855,'TAR FIN'!$A$1:$O$113,15,0)),0,VLOOKUP($T$855,'TAR FIN'!$A$1:$O$113,15,0))</f>
        <v>0</v>
      </c>
      <c r="X855" s="4">
        <f>IF(ISERROR(VLOOKUP($U$855,'TAR FIN'!$A$1:$O$113,15,0)),0,VLOOKUP($U$855,'TAR FIN'!$A$1:$O$113,15,0))</f>
        <v>0</v>
      </c>
      <c r="Y855" s="4">
        <f ca="1">('TUSD BE'!$AM$30+'TUSD BF'!$AM$30+'TUSD CVA'!$AM$30)*1</f>
        <v>26.598074646640526</v>
      </c>
      <c r="Z855" s="4"/>
      <c r="AA855" s="4"/>
      <c r="AB855" s="4">
        <f>$K$855*$V$855</f>
        <v>45143.67</v>
      </c>
      <c r="AC855" s="4">
        <f>$M$855*$W$855</f>
        <v>0</v>
      </c>
      <c r="AD855" s="4">
        <f>$O$855*$X$855</f>
        <v>0</v>
      </c>
      <c r="AE855" s="4">
        <f ca="1">$K$855*$Y$855</f>
        <v>49392.62461881146</v>
      </c>
      <c r="AF855" s="4">
        <f>$M$855*$Z$855</f>
        <v>0</v>
      </c>
      <c r="AG855" s="4">
        <f>$O$855*$AA$855</f>
        <v>0</v>
      </c>
    </row>
    <row r="856" spans="1:33" ht="11.25" customHeight="1" x14ac:dyDescent="0.25">
      <c r="A856" s="3" t="s">
        <v>21</v>
      </c>
      <c r="B856" s="3" t="s">
        <v>41</v>
      </c>
      <c r="C856" s="3" t="s">
        <v>42</v>
      </c>
      <c r="D856" s="3" t="s">
        <v>38</v>
      </c>
      <c r="E856" s="3" t="s">
        <v>25</v>
      </c>
      <c r="F856" s="3" t="s">
        <v>25</v>
      </c>
      <c r="G856" s="3" t="s">
        <v>25</v>
      </c>
      <c r="H856" s="3" t="s">
        <v>25</v>
      </c>
      <c r="I856" s="6">
        <v>44562</v>
      </c>
      <c r="J856" s="4">
        <v>33117</v>
      </c>
      <c r="K856" s="4">
        <v>33117</v>
      </c>
      <c r="L856" s="4">
        <v>0</v>
      </c>
      <c r="M856" s="4">
        <v>0</v>
      </c>
      <c r="N856" s="4">
        <v>0</v>
      </c>
      <c r="O856" s="4">
        <v>0</v>
      </c>
      <c r="P856" s="4">
        <v>191</v>
      </c>
      <c r="Q856" s="3" t="s">
        <v>26</v>
      </c>
      <c r="R856" s="3">
        <v>0</v>
      </c>
      <c r="S856" s="4">
        <v>44</v>
      </c>
      <c r="T856" s="4">
        <v>0</v>
      </c>
      <c r="U856" s="4">
        <v>0</v>
      </c>
      <c r="V856" s="4">
        <f>IF(ISERROR(VLOOKUP($S$856,'TAR FIN'!$A$1:$O$113,15,0)),0,VLOOKUP($S$856,'TAR FIN'!$A$1:$O$113,15,0))</f>
        <v>24.31</v>
      </c>
      <c r="W856" s="4">
        <f>IF(ISERROR(VLOOKUP($T$856,'TAR FIN'!$A$1:$O$113,15,0)),0,VLOOKUP($T$856,'TAR FIN'!$A$1:$O$113,15,0))</f>
        <v>0</v>
      </c>
      <c r="X856" s="4">
        <f>IF(ISERROR(VLOOKUP($U$856,'TAR FIN'!$A$1:$O$113,15,0)),0,VLOOKUP($U$856,'TAR FIN'!$A$1:$O$113,15,0))</f>
        <v>0</v>
      </c>
      <c r="Y856" s="4">
        <f ca="1">('TUSD BE'!$AM$30+'TUSD BF'!$AM$30+'TUSD CVA'!$AM$30)*1</f>
        <v>26.598074646640526</v>
      </c>
      <c r="Z856" s="4"/>
      <c r="AA856" s="4"/>
      <c r="AB856" s="4">
        <f>$K$856*$V$856</f>
        <v>805074.2699999999</v>
      </c>
      <c r="AC856" s="4">
        <f>$M$856*$W$856</f>
        <v>0</v>
      </c>
      <c r="AD856" s="4">
        <f>$O$856*$X$856</f>
        <v>0</v>
      </c>
      <c r="AE856" s="4">
        <f ca="1">$K$856*$Y$856</f>
        <v>880848.43807279435</v>
      </c>
      <c r="AF856" s="4">
        <f>$M$856*$Z$856</f>
        <v>0</v>
      </c>
      <c r="AG856" s="4">
        <f>$O$856*$AA$856</f>
        <v>0</v>
      </c>
    </row>
    <row r="857" spans="1:33" ht="11.25" customHeight="1" x14ac:dyDescent="0.25">
      <c r="A857" s="3" t="s">
        <v>28</v>
      </c>
      <c r="B857" s="3" t="s">
        <v>41</v>
      </c>
      <c r="C857" s="3" t="s">
        <v>42</v>
      </c>
      <c r="D857" s="3" t="s">
        <v>38</v>
      </c>
      <c r="E857" s="3" t="s">
        <v>25</v>
      </c>
      <c r="F857" s="3" t="s">
        <v>25</v>
      </c>
      <c r="G857" s="3" t="s">
        <v>25</v>
      </c>
      <c r="H857" s="3" t="s">
        <v>25</v>
      </c>
      <c r="I857" s="6">
        <v>44562</v>
      </c>
      <c r="J857" s="4">
        <v>1761</v>
      </c>
      <c r="K857" s="4">
        <v>1761</v>
      </c>
      <c r="L857" s="4">
        <v>0</v>
      </c>
      <c r="M857" s="4">
        <v>0</v>
      </c>
      <c r="N857" s="4">
        <v>0</v>
      </c>
      <c r="O857" s="4">
        <v>0</v>
      </c>
      <c r="P857" s="4">
        <v>7</v>
      </c>
      <c r="Q857" s="3" t="s">
        <v>26</v>
      </c>
      <c r="R857" s="3">
        <v>0</v>
      </c>
      <c r="S857" s="4">
        <v>44</v>
      </c>
      <c r="T857" s="4">
        <v>0</v>
      </c>
      <c r="U857" s="4">
        <v>0</v>
      </c>
      <c r="V857" s="4">
        <f>IF(ISERROR(VLOOKUP($S$857,'TAR FIN'!$A$1:$O$113,15,0)),0,VLOOKUP($S$857,'TAR FIN'!$A$1:$O$113,15,0))</f>
        <v>24.31</v>
      </c>
      <c r="W857" s="4">
        <f>IF(ISERROR(VLOOKUP($T$857,'TAR FIN'!$A$1:$O$113,15,0)),0,VLOOKUP($T$857,'TAR FIN'!$A$1:$O$113,15,0))</f>
        <v>0</v>
      </c>
      <c r="X857" s="4">
        <f>IF(ISERROR(VLOOKUP($U$857,'TAR FIN'!$A$1:$O$113,15,0)),0,VLOOKUP($U$857,'TAR FIN'!$A$1:$O$113,15,0))</f>
        <v>0</v>
      </c>
      <c r="Y857" s="4">
        <f ca="1">('TUSD BE'!$AM$30+'TUSD BF'!$AM$30+'TUSD CVA'!$AM$30)*1</f>
        <v>26.598074646640526</v>
      </c>
      <c r="Z857" s="4"/>
      <c r="AA857" s="4"/>
      <c r="AB857" s="4">
        <f>$K$857*$V$857</f>
        <v>42809.909999999996</v>
      </c>
      <c r="AC857" s="4">
        <f>$M$857*$W$857</f>
        <v>0</v>
      </c>
      <c r="AD857" s="4">
        <f>$O$857*$X$857</f>
        <v>0</v>
      </c>
      <c r="AE857" s="4">
        <f ca="1">$K$857*$Y$857</f>
        <v>46839.209452733965</v>
      </c>
      <c r="AF857" s="4">
        <f>$M$857*$Z$857</f>
        <v>0</v>
      </c>
      <c r="AG857" s="4">
        <f>$O$857*$AA$857</f>
        <v>0</v>
      </c>
    </row>
    <row r="858" spans="1:33" ht="11.25" customHeight="1" x14ac:dyDescent="0.25">
      <c r="A858" s="3" t="s">
        <v>21</v>
      </c>
      <c r="B858" s="3" t="s">
        <v>41</v>
      </c>
      <c r="C858" s="3" t="s">
        <v>42</v>
      </c>
      <c r="D858" s="3" t="s">
        <v>38</v>
      </c>
      <c r="E858" s="3" t="s">
        <v>25</v>
      </c>
      <c r="F858" s="3" t="s">
        <v>25</v>
      </c>
      <c r="G858" s="3" t="s">
        <v>25</v>
      </c>
      <c r="H858" s="3" t="s">
        <v>25</v>
      </c>
      <c r="I858" s="6">
        <v>44593</v>
      </c>
      <c r="J858" s="4">
        <v>33184</v>
      </c>
      <c r="K858" s="4">
        <v>33184</v>
      </c>
      <c r="L858" s="4">
        <v>0</v>
      </c>
      <c r="M858" s="4">
        <v>0</v>
      </c>
      <c r="N858" s="4">
        <v>0</v>
      </c>
      <c r="O858" s="4">
        <v>0</v>
      </c>
      <c r="P858" s="4">
        <v>191</v>
      </c>
      <c r="Q858" s="3" t="s">
        <v>26</v>
      </c>
      <c r="R858" s="3">
        <v>0</v>
      </c>
      <c r="S858" s="4">
        <v>44</v>
      </c>
      <c r="T858" s="4">
        <v>0</v>
      </c>
      <c r="U858" s="4">
        <v>0</v>
      </c>
      <c r="V858" s="4">
        <f>IF(ISERROR(VLOOKUP($S$858,'TAR FIN'!$A$1:$O$113,15,0)),0,VLOOKUP($S$858,'TAR FIN'!$A$1:$O$113,15,0))</f>
        <v>24.31</v>
      </c>
      <c r="W858" s="4">
        <f>IF(ISERROR(VLOOKUP($T$858,'TAR FIN'!$A$1:$O$113,15,0)),0,VLOOKUP($T$858,'TAR FIN'!$A$1:$O$113,15,0))</f>
        <v>0</v>
      </c>
      <c r="X858" s="4">
        <f>IF(ISERROR(VLOOKUP($U$858,'TAR FIN'!$A$1:$O$113,15,0)),0,VLOOKUP($U$858,'TAR FIN'!$A$1:$O$113,15,0))</f>
        <v>0</v>
      </c>
      <c r="Y858" s="4">
        <f ca="1">('TUSD BE'!$AM$30+'TUSD BF'!$AM$30+'TUSD CVA'!$AM$30)*1</f>
        <v>26.598074646640526</v>
      </c>
      <c r="Z858" s="4"/>
      <c r="AA858" s="4"/>
      <c r="AB858" s="4">
        <f>$K$858*$V$858</f>
        <v>806703.03999999992</v>
      </c>
      <c r="AC858" s="4">
        <f>$M$858*$W$858</f>
        <v>0</v>
      </c>
      <c r="AD858" s="4">
        <f>$O$858*$X$858</f>
        <v>0</v>
      </c>
      <c r="AE858" s="4">
        <f ca="1">$K$858*$Y$858</f>
        <v>882630.50907411927</v>
      </c>
      <c r="AF858" s="4">
        <f>$M$858*$Z$858</f>
        <v>0</v>
      </c>
      <c r="AG858" s="4">
        <f>$O$858*$AA$858</f>
        <v>0</v>
      </c>
    </row>
    <row r="859" spans="1:33" ht="11.25" customHeight="1" x14ac:dyDescent="0.25">
      <c r="A859" s="3" t="s">
        <v>27</v>
      </c>
      <c r="B859" s="3" t="s">
        <v>41</v>
      </c>
      <c r="C859" s="3" t="s">
        <v>42</v>
      </c>
      <c r="D859" s="3" t="s">
        <v>38</v>
      </c>
      <c r="E859" s="3" t="s">
        <v>25</v>
      </c>
      <c r="F859" s="3" t="s">
        <v>25</v>
      </c>
      <c r="G859" s="3" t="s">
        <v>25</v>
      </c>
      <c r="H859" s="3" t="s">
        <v>25</v>
      </c>
      <c r="I859" s="6">
        <v>44593</v>
      </c>
      <c r="J859" s="4">
        <v>-430</v>
      </c>
      <c r="K859" s="4">
        <v>-430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3" t="s">
        <v>26</v>
      </c>
      <c r="R859" s="3">
        <v>0</v>
      </c>
      <c r="S859" s="4">
        <v>44</v>
      </c>
      <c r="T859" s="4">
        <v>0</v>
      </c>
      <c r="U859" s="4">
        <v>0</v>
      </c>
      <c r="V859" s="4">
        <f>IF(ISERROR(VLOOKUP($S$859,'TAR FIN'!$A$1:$O$113,15,0)),0,VLOOKUP($S$859,'TAR FIN'!$A$1:$O$113,15,0))</f>
        <v>24.31</v>
      </c>
      <c r="W859" s="4">
        <f>IF(ISERROR(VLOOKUP($T$859,'TAR FIN'!$A$1:$O$113,15,0)),0,VLOOKUP($T$859,'TAR FIN'!$A$1:$O$113,15,0))</f>
        <v>0</v>
      </c>
      <c r="X859" s="4">
        <f>IF(ISERROR(VLOOKUP($U$859,'TAR FIN'!$A$1:$O$113,15,0)),0,VLOOKUP($U$859,'TAR FIN'!$A$1:$O$113,15,0))</f>
        <v>0</v>
      </c>
      <c r="Y859" s="4">
        <f ca="1">('TUSD BE'!$AM$30+'TUSD BF'!$AM$30+'TUSD CVA'!$AM$30)*1</f>
        <v>26.598074646640526</v>
      </c>
      <c r="Z859" s="4"/>
      <c r="AA859" s="4"/>
      <c r="AB859" s="4">
        <f>$K$859*$V$859</f>
        <v>-10453.299999999999</v>
      </c>
      <c r="AC859" s="4">
        <f>$M$859*$W$859</f>
        <v>0</v>
      </c>
      <c r="AD859" s="4">
        <f>$O$859*$X$859</f>
        <v>0</v>
      </c>
      <c r="AE859" s="4">
        <f ca="1">$K$859*$Y$859</f>
        <v>-11437.172098055426</v>
      </c>
      <c r="AF859" s="4">
        <f>$M$859*$Z$859</f>
        <v>0</v>
      </c>
      <c r="AG859" s="4">
        <f>$O$859*$AA$859</f>
        <v>0</v>
      </c>
    </row>
    <row r="860" spans="1:33" ht="11.25" customHeight="1" x14ac:dyDescent="0.25">
      <c r="A860" s="3" t="s">
        <v>28</v>
      </c>
      <c r="B860" s="3" t="s">
        <v>41</v>
      </c>
      <c r="C860" s="3" t="s">
        <v>42</v>
      </c>
      <c r="D860" s="3" t="s">
        <v>38</v>
      </c>
      <c r="E860" s="3" t="s">
        <v>25</v>
      </c>
      <c r="F860" s="3" t="s">
        <v>25</v>
      </c>
      <c r="G860" s="3" t="s">
        <v>25</v>
      </c>
      <c r="H860" s="3" t="s">
        <v>25</v>
      </c>
      <c r="I860" s="6">
        <v>44593</v>
      </c>
      <c r="J860" s="4">
        <v>1782</v>
      </c>
      <c r="K860" s="4">
        <v>1782</v>
      </c>
      <c r="L860" s="4">
        <v>0</v>
      </c>
      <c r="M860" s="4">
        <v>0</v>
      </c>
      <c r="N860" s="4">
        <v>0</v>
      </c>
      <c r="O860" s="4">
        <v>0</v>
      </c>
      <c r="P860" s="4">
        <v>7</v>
      </c>
      <c r="Q860" s="3" t="s">
        <v>26</v>
      </c>
      <c r="R860" s="3">
        <v>0</v>
      </c>
      <c r="S860" s="4">
        <v>44</v>
      </c>
      <c r="T860" s="4">
        <v>0</v>
      </c>
      <c r="U860" s="4">
        <v>0</v>
      </c>
      <c r="V860" s="4">
        <f>IF(ISERROR(VLOOKUP($S$860,'TAR FIN'!$A$1:$O$113,15,0)),0,VLOOKUP($S$860,'TAR FIN'!$A$1:$O$113,15,0))</f>
        <v>24.31</v>
      </c>
      <c r="W860" s="4">
        <f>IF(ISERROR(VLOOKUP($T$860,'TAR FIN'!$A$1:$O$113,15,0)),0,VLOOKUP($T$860,'TAR FIN'!$A$1:$O$113,15,0))</f>
        <v>0</v>
      </c>
      <c r="X860" s="4">
        <f>IF(ISERROR(VLOOKUP($U$860,'TAR FIN'!$A$1:$O$113,15,0)),0,VLOOKUP($U$860,'TAR FIN'!$A$1:$O$113,15,0))</f>
        <v>0</v>
      </c>
      <c r="Y860" s="4">
        <f ca="1">('TUSD BE'!$AM$30+'TUSD BF'!$AM$30+'TUSD CVA'!$AM$30)*1</f>
        <v>26.598074646640526</v>
      </c>
      <c r="Z860" s="4"/>
      <c r="AA860" s="4"/>
      <c r="AB860" s="4">
        <f>$K$860*$V$860</f>
        <v>43320.42</v>
      </c>
      <c r="AC860" s="4">
        <f>$M$860*$W$860</f>
        <v>0</v>
      </c>
      <c r="AD860" s="4">
        <f>$O$860*$X$860</f>
        <v>0</v>
      </c>
      <c r="AE860" s="4">
        <f ca="1">$K$860*$Y$860</f>
        <v>47397.769020313419</v>
      </c>
      <c r="AF860" s="4">
        <f>$M$860*$Z$860</f>
        <v>0</v>
      </c>
      <c r="AG860" s="4">
        <f>$O$860*$AA$860</f>
        <v>0</v>
      </c>
    </row>
    <row r="861" spans="1:33" ht="11.25" customHeight="1" x14ac:dyDescent="0.25">
      <c r="A861" s="3" t="s">
        <v>56</v>
      </c>
      <c r="B861" s="3" t="s">
        <v>41</v>
      </c>
      <c r="C861" s="3" t="s">
        <v>42</v>
      </c>
      <c r="D861" s="3" t="s">
        <v>38</v>
      </c>
      <c r="E861" s="3" t="s">
        <v>25</v>
      </c>
      <c r="F861" s="3" t="s">
        <v>25</v>
      </c>
      <c r="G861" s="3" t="s">
        <v>25</v>
      </c>
      <c r="H861" s="3" t="s">
        <v>25</v>
      </c>
      <c r="I861" s="6">
        <v>44621</v>
      </c>
      <c r="J861" s="4">
        <v>33184</v>
      </c>
      <c r="K861" s="4">
        <v>33184</v>
      </c>
      <c r="L861" s="4">
        <v>0</v>
      </c>
      <c r="M861" s="4">
        <v>0</v>
      </c>
      <c r="N861" s="4">
        <v>0</v>
      </c>
      <c r="O861" s="4">
        <v>0</v>
      </c>
      <c r="P861" s="4">
        <v>191</v>
      </c>
      <c r="Q861" s="3" t="s">
        <v>26</v>
      </c>
      <c r="R861" s="3">
        <v>0</v>
      </c>
      <c r="S861" s="4">
        <v>44</v>
      </c>
      <c r="T861" s="4">
        <v>0</v>
      </c>
      <c r="U861" s="4">
        <v>0</v>
      </c>
      <c r="V861" s="4">
        <f>IF(ISERROR(VLOOKUP($S$861,'TAR FIN'!$A$1:$O$113,15,0)),0,VLOOKUP($S$861,'TAR FIN'!$A$1:$O$113,15,0))</f>
        <v>24.31</v>
      </c>
      <c r="W861" s="4">
        <f>IF(ISERROR(VLOOKUP($T$861,'TAR FIN'!$A$1:$O$113,15,0)),0,VLOOKUP($T$861,'TAR FIN'!$A$1:$O$113,15,0))</f>
        <v>0</v>
      </c>
      <c r="X861" s="4">
        <f>IF(ISERROR(VLOOKUP($U$861,'TAR FIN'!$A$1:$O$113,15,0)),0,VLOOKUP($U$861,'TAR FIN'!$A$1:$O$113,15,0))</f>
        <v>0</v>
      </c>
      <c r="Y861" s="4">
        <f ca="1">('TUSD BE'!$AM$30+'TUSD BF'!$AM$30+'TUSD CVA'!$AM$30)*1</f>
        <v>26.598074646640526</v>
      </c>
      <c r="Z861" s="4"/>
      <c r="AA861" s="4"/>
      <c r="AB861" s="4">
        <f>$K$861*$V$861</f>
        <v>806703.03999999992</v>
      </c>
      <c r="AC861" s="4">
        <f>$M$861*$W$861</f>
        <v>0</v>
      </c>
      <c r="AD861" s="4">
        <f>$O$861*$X$861</f>
        <v>0</v>
      </c>
      <c r="AE861" s="4">
        <f ca="1">$K$861*$Y$861</f>
        <v>882630.50907411927</v>
      </c>
      <c r="AF861" s="4">
        <f>$M$861*$Z$861</f>
        <v>0</v>
      </c>
      <c r="AG861" s="4">
        <f>$O$861*$AA$861</f>
        <v>0</v>
      </c>
    </row>
    <row r="862" spans="1:33" ht="11.25" customHeight="1" x14ac:dyDescent="0.25">
      <c r="A862" s="3" t="s">
        <v>56</v>
      </c>
      <c r="B862" s="3" t="s">
        <v>41</v>
      </c>
      <c r="C862" s="3" t="s">
        <v>42</v>
      </c>
      <c r="D862" s="3" t="s">
        <v>38</v>
      </c>
      <c r="E862" s="3" t="s">
        <v>25</v>
      </c>
      <c r="F862" s="3" t="s">
        <v>25</v>
      </c>
      <c r="G862" s="3" t="s">
        <v>25</v>
      </c>
      <c r="H862" s="3" t="s">
        <v>25</v>
      </c>
      <c r="I862" s="6">
        <v>44621</v>
      </c>
      <c r="J862" s="4">
        <v>-430</v>
      </c>
      <c r="K862" s="4">
        <v>-430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3" t="s">
        <v>26</v>
      </c>
      <c r="R862" s="3">
        <v>0</v>
      </c>
      <c r="S862" s="4">
        <v>44</v>
      </c>
      <c r="T862" s="4">
        <v>0</v>
      </c>
      <c r="U862" s="4">
        <v>0</v>
      </c>
      <c r="V862" s="4">
        <f>IF(ISERROR(VLOOKUP($S$862,'TAR FIN'!$A$1:$O$113,15,0)),0,VLOOKUP($S$862,'TAR FIN'!$A$1:$O$113,15,0))</f>
        <v>24.31</v>
      </c>
      <c r="W862" s="4">
        <f>IF(ISERROR(VLOOKUP($T$862,'TAR FIN'!$A$1:$O$113,15,0)),0,VLOOKUP($T$862,'TAR FIN'!$A$1:$O$113,15,0))</f>
        <v>0</v>
      </c>
      <c r="X862" s="4">
        <f>IF(ISERROR(VLOOKUP($U$862,'TAR FIN'!$A$1:$O$113,15,0)),0,VLOOKUP($U$862,'TAR FIN'!$A$1:$O$113,15,0))</f>
        <v>0</v>
      </c>
      <c r="Y862" s="4">
        <f ca="1">('TUSD BE'!$AM$30+'TUSD BF'!$AM$30+'TUSD CVA'!$AM$30)*1</f>
        <v>26.598074646640526</v>
      </c>
      <c r="Z862" s="4"/>
      <c r="AA862" s="4"/>
      <c r="AB862" s="4">
        <f>$K$862*$V$862</f>
        <v>-10453.299999999999</v>
      </c>
      <c r="AC862" s="4">
        <f>$M$862*$W$862</f>
        <v>0</v>
      </c>
      <c r="AD862" s="4">
        <f>$O$862*$X$862</f>
        <v>0</v>
      </c>
      <c r="AE862" s="4">
        <f ca="1">$K$862*$Y$862</f>
        <v>-11437.172098055426</v>
      </c>
      <c r="AF862" s="4">
        <f>$M$862*$Z$862</f>
        <v>0</v>
      </c>
      <c r="AG862" s="4">
        <f>$O$862*$AA$862</f>
        <v>0</v>
      </c>
    </row>
    <row r="863" spans="1:33" ht="11.25" customHeight="1" x14ac:dyDescent="0.25">
      <c r="A863" s="3" t="s">
        <v>56</v>
      </c>
      <c r="B863" s="3" t="s">
        <v>41</v>
      </c>
      <c r="C863" s="3" t="s">
        <v>42</v>
      </c>
      <c r="D863" s="3" t="s">
        <v>38</v>
      </c>
      <c r="E863" s="3" t="s">
        <v>25</v>
      </c>
      <c r="F863" s="3" t="s">
        <v>25</v>
      </c>
      <c r="G863" s="3" t="s">
        <v>25</v>
      </c>
      <c r="H863" s="3" t="s">
        <v>25</v>
      </c>
      <c r="I863" s="6">
        <v>44621</v>
      </c>
      <c r="J863" s="4">
        <v>1782</v>
      </c>
      <c r="K863" s="4">
        <v>1782</v>
      </c>
      <c r="L863" s="4">
        <v>0</v>
      </c>
      <c r="M863" s="4">
        <v>0</v>
      </c>
      <c r="N863" s="4">
        <v>0</v>
      </c>
      <c r="O863" s="4">
        <v>0</v>
      </c>
      <c r="P863" s="4">
        <v>7</v>
      </c>
      <c r="Q863" s="3" t="s">
        <v>26</v>
      </c>
      <c r="R863" s="3">
        <v>0</v>
      </c>
      <c r="S863" s="4">
        <v>44</v>
      </c>
      <c r="T863" s="4">
        <v>0</v>
      </c>
      <c r="U863" s="4">
        <v>0</v>
      </c>
      <c r="V863" s="4">
        <f>IF(ISERROR(VLOOKUP($S$863,'TAR FIN'!$A$1:$O$113,15,0)),0,VLOOKUP($S$863,'TAR FIN'!$A$1:$O$113,15,0))</f>
        <v>24.31</v>
      </c>
      <c r="W863" s="4">
        <f>IF(ISERROR(VLOOKUP($T$863,'TAR FIN'!$A$1:$O$113,15,0)),0,VLOOKUP($T$863,'TAR FIN'!$A$1:$O$113,15,0))</f>
        <v>0</v>
      </c>
      <c r="X863" s="4">
        <f>IF(ISERROR(VLOOKUP($U$863,'TAR FIN'!$A$1:$O$113,15,0)),0,VLOOKUP($U$863,'TAR FIN'!$A$1:$O$113,15,0))</f>
        <v>0</v>
      </c>
      <c r="Y863" s="4">
        <f ca="1">('TUSD BE'!$AM$30+'TUSD BF'!$AM$30+'TUSD CVA'!$AM$30)*1</f>
        <v>26.598074646640526</v>
      </c>
      <c r="Z863" s="4"/>
      <c r="AA863" s="4"/>
      <c r="AB863" s="4">
        <f>$K$863*$V$863</f>
        <v>43320.42</v>
      </c>
      <c r="AC863" s="4">
        <f>$M$863*$W$863</f>
        <v>0</v>
      </c>
      <c r="AD863" s="4">
        <f>$O$863*$X$863</f>
        <v>0</v>
      </c>
      <c r="AE863" s="4">
        <f ca="1">$K$863*$Y$863</f>
        <v>47397.769020313419</v>
      </c>
      <c r="AF863" s="4">
        <f>$M$863*$Z$863</f>
        <v>0</v>
      </c>
      <c r="AG863" s="4">
        <f>$O$863*$AA$863</f>
        <v>0</v>
      </c>
    </row>
    <row r="864" spans="1:33" ht="11.25" customHeight="1" x14ac:dyDescent="0.25">
      <c r="A864" s="3" t="s">
        <v>21</v>
      </c>
      <c r="B864" s="3" t="s">
        <v>41</v>
      </c>
      <c r="C864" s="3" t="s">
        <v>42</v>
      </c>
      <c r="D864" s="3" t="s">
        <v>38</v>
      </c>
      <c r="E864" s="3" t="s">
        <v>25</v>
      </c>
      <c r="F864" s="3" t="s">
        <v>25</v>
      </c>
      <c r="G864" s="3" t="s">
        <v>25</v>
      </c>
      <c r="H864" s="3" t="s">
        <v>34</v>
      </c>
      <c r="I864" s="6">
        <v>44287</v>
      </c>
      <c r="J864" s="4">
        <v>0</v>
      </c>
      <c r="K864" s="4">
        <v>0</v>
      </c>
      <c r="L864" s="4">
        <v>386.47</v>
      </c>
      <c r="M864" s="4">
        <v>386.47</v>
      </c>
      <c r="N864" s="4">
        <v>386.47</v>
      </c>
      <c r="O864" s="4">
        <v>386.47</v>
      </c>
      <c r="P864" s="4">
        <v>0</v>
      </c>
      <c r="Q864" s="3" t="s">
        <v>26</v>
      </c>
      <c r="R864" s="3">
        <v>0</v>
      </c>
      <c r="S864" s="4">
        <v>0</v>
      </c>
      <c r="T864" s="4">
        <v>20</v>
      </c>
      <c r="U864" s="4">
        <v>88</v>
      </c>
      <c r="V864" s="4">
        <f>IF(ISERROR(VLOOKUP($S$864,'TAR FIN'!$A$1:$O$113,15,0)),0,VLOOKUP($S$864,'TAR FIN'!$A$1:$O$113,15,0))</f>
        <v>0</v>
      </c>
      <c r="W864" s="4">
        <f>IF(ISERROR(VLOOKUP($T$864,'TAR FIN'!$A$1:$O$113,15,0)),0,VLOOKUP($T$864,'TAR FIN'!$A$1:$O$113,15,0))</f>
        <v>1564.59</v>
      </c>
      <c r="X864" s="4">
        <f>IF(ISERROR(VLOOKUP($U$864,'TAR FIN'!$A$1:$O$113,15,0)),0,VLOOKUP($U$864,'TAR FIN'!$A$1:$O$113,15,0))</f>
        <v>365.5</v>
      </c>
      <c r="Y864" s="4"/>
      <c r="Z864" s="4">
        <f ca="1">('TUSD BE'!$AM$31+'TUSD BF'!$AM$31+'TUSD CVA'!$AM$31)*1</f>
        <v>1837.8896121132304</v>
      </c>
      <c r="AA864" s="4">
        <f>('TE BE'!$AA$10+'TE BF'!$AA$10+'TE CVA'!$AA$10)*1</f>
        <v>361.55013418411539</v>
      </c>
      <c r="AB864" s="4">
        <f>$K$864*$V$864</f>
        <v>0</v>
      </c>
      <c r="AC864" s="4">
        <f>$M$864*$W$864</f>
        <v>604667.09730000002</v>
      </c>
      <c r="AD864" s="4">
        <f>$O$864*$X$864</f>
        <v>141254.785</v>
      </c>
      <c r="AE864" s="4">
        <f>$K$864*$Y$864</f>
        <v>0</v>
      </c>
      <c r="AF864" s="4">
        <f ca="1">$M$864*$Z$864</f>
        <v>710289.19839340018</v>
      </c>
      <c r="AG864" s="4">
        <f>$O$864*$AA$864</f>
        <v>139728.28035813509</v>
      </c>
    </row>
    <row r="865" spans="1:33" ht="11.25" customHeight="1" x14ac:dyDescent="0.25">
      <c r="A865" s="3" t="s">
        <v>28</v>
      </c>
      <c r="B865" s="3" t="s">
        <v>41</v>
      </c>
      <c r="C865" s="3" t="s">
        <v>42</v>
      </c>
      <c r="D865" s="3" t="s">
        <v>38</v>
      </c>
      <c r="E865" s="3" t="s">
        <v>25</v>
      </c>
      <c r="F865" s="3" t="s">
        <v>25</v>
      </c>
      <c r="G865" s="3" t="s">
        <v>25</v>
      </c>
      <c r="H865" s="3" t="s">
        <v>34</v>
      </c>
      <c r="I865" s="6">
        <v>44287</v>
      </c>
      <c r="J865" s="4">
        <v>0</v>
      </c>
      <c r="K865" s="4">
        <v>0</v>
      </c>
      <c r="L865" s="4">
        <v>0.84</v>
      </c>
      <c r="M865" s="4">
        <v>0.84</v>
      </c>
      <c r="N865" s="4">
        <v>0.84</v>
      </c>
      <c r="O865" s="4">
        <v>0.84</v>
      </c>
      <c r="P865" s="4">
        <v>0</v>
      </c>
      <c r="Q865" s="3" t="s">
        <v>26</v>
      </c>
      <c r="R865" s="3">
        <v>0</v>
      </c>
      <c r="S865" s="4">
        <v>0</v>
      </c>
      <c r="T865" s="4">
        <v>20</v>
      </c>
      <c r="U865" s="4">
        <v>88</v>
      </c>
      <c r="V865" s="4">
        <f>IF(ISERROR(VLOOKUP($S$865,'TAR FIN'!$A$1:$O$113,15,0)),0,VLOOKUP($S$865,'TAR FIN'!$A$1:$O$113,15,0))</f>
        <v>0</v>
      </c>
      <c r="W865" s="4">
        <f>IF(ISERROR(VLOOKUP($T$865,'TAR FIN'!$A$1:$O$113,15,0)),0,VLOOKUP($T$865,'TAR FIN'!$A$1:$O$113,15,0))</f>
        <v>1564.59</v>
      </c>
      <c r="X865" s="4">
        <f>IF(ISERROR(VLOOKUP($U$865,'TAR FIN'!$A$1:$O$113,15,0)),0,VLOOKUP($U$865,'TAR FIN'!$A$1:$O$113,15,0))</f>
        <v>365.5</v>
      </c>
      <c r="Y865" s="4"/>
      <c r="Z865" s="4">
        <f ca="1">('TUSD BE'!$AM$31+'TUSD BF'!$AM$31+'TUSD CVA'!$AM$31)*1</f>
        <v>1837.8896121132304</v>
      </c>
      <c r="AA865" s="4">
        <f>('TE BE'!$AA$10+'TE BF'!$AA$10+'TE CVA'!$AA$10)*1</f>
        <v>361.55013418411539</v>
      </c>
      <c r="AB865" s="4">
        <f>$K$865*$V$865</f>
        <v>0</v>
      </c>
      <c r="AC865" s="4">
        <f>$M$865*$W$865</f>
        <v>1314.2556</v>
      </c>
      <c r="AD865" s="4">
        <f>$O$865*$X$865</f>
        <v>307.02</v>
      </c>
      <c r="AE865" s="4">
        <f>$K$865*$Y$865</f>
        <v>0</v>
      </c>
      <c r="AF865" s="4">
        <f ca="1">$M$865*$Z$865</f>
        <v>1543.8272741751134</v>
      </c>
      <c r="AG865" s="4">
        <f>$O$865*$AA$865</f>
        <v>303.70211271465689</v>
      </c>
    </row>
    <row r="866" spans="1:33" ht="11.25" customHeight="1" x14ac:dyDescent="0.25">
      <c r="A866" s="3" t="s">
        <v>21</v>
      </c>
      <c r="B866" s="3" t="s">
        <v>41</v>
      </c>
      <c r="C866" s="3" t="s">
        <v>42</v>
      </c>
      <c r="D866" s="3" t="s">
        <v>38</v>
      </c>
      <c r="E866" s="3" t="s">
        <v>25</v>
      </c>
      <c r="F866" s="3" t="s">
        <v>25</v>
      </c>
      <c r="G866" s="3" t="s">
        <v>25</v>
      </c>
      <c r="H866" s="3" t="s">
        <v>34</v>
      </c>
      <c r="I866" s="6">
        <v>44317</v>
      </c>
      <c r="J866" s="4">
        <v>0</v>
      </c>
      <c r="K866" s="4">
        <v>0</v>
      </c>
      <c r="L866" s="4">
        <v>398.78699999999998</v>
      </c>
      <c r="M866" s="4">
        <v>398.78699999999998</v>
      </c>
      <c r="N866" s="4">
        <v>398.78699999999998</v>
      </c>
      <c r="O866" s="4">
        <v>398.78699999999998</v>
      </c>
      <c r="P866" s="4">
        <v>0</v>
      </c>
      <c r="Q866" s="3" t="s">
        <v>26</v>
      </c>
      <c r="R866" s="3">
        <v>0</v>
      </c>
      <c r="S866" s="4">
        <v>0</v>
      </c>
      <c r="T866" s="4">
        <v>20</v>
      </c>
      <c r="U866" s="4">
        <v>88</v>
      </c>
      <c r="V866" s="4">
        <f>IF(ISERROR(VLOOKUP($S$866,'TAR FIN'!$A$1:$O$113,15,0)),0,VLOOKUP($S$866,'TAR FIN'!$A$1:$O$113,15,0))</f>
        <v>0</v>
      </c>
      <c r="W866" s="4">
        <f>IF(ISERROR(VLOOKUP($T$866,'TAR FIN'!$A$1:$O$113,15,0)),0,VLOOKUP($T$866,'TAR FIN'!$A$1:$O$113,15,0))</f>
        <v>1564.59</v>
      </c>
      <c r="X866" s="4">
        <f>IF(ISERROR(VLOOKUP($U$866,'TAR FIN'!$A$1:$O$113,15,0)),0,VLOOKUP($U$866,'TAR FIN'!$A$1:$O$113,15,0))</f>
        <v>365.5</v>
      </c>
      <c r="Y866" s="4"/>
      <c r="Z866" s="4">
        <f ca="1">('TUSD BE'!$AM$31+'TUSD BF'!$AM$31+'TUSD CVA'!$AM$31)*1</f>
        <v>1837.8896121132304</v>
      </c>
      <c r="AA866" s="4">
        <f>('TE BE'!$AA$10+'TE BF'!$AA$10+'TE CVA'!$AA$10)*1</f>
        <v>361.55013418411539</v>
      </c>
      <c r="AB866" s="4">
        <f>$K$866*$V$866</f>
        <v>0</v>
      </c>
      <c r="AC866" s="4">
        <f>$M$866*$W$866</f>
        <v>623938.15232999995</v>
      </c>
      <c r="AD866" s="4">
        <f>$O$866*$X$866</f>
        <v>145756.64849999998</v>
      </c>
      <c r="AE866" s="4">
        <f>$K$866*$Y$866</f>
        <v>0</v>
      </c>
      <c r="AF866" s="4">
        <f ca="1">$M$866*$Z$866</f>
        <v>732926.48474579875</v>
      </c>
      <c r="AG866" s="4">
        <f>$O$866*$AA$866</f>
        <v>144181.49336088082</v>
      </c>
    </row>
    <row r="867" spans="1:33" ht="11.25" customHeight="1" x14ac:dyDescent="0.25">
      <c r="A867" s="3" t="s">
        <v>28</v>
      </c>
      <c r="B867" s="3" t="s">
        <v>41</v>
      </c>
      <c r="C867" s="3" t="s">
        <v>42</v>
      </c>
      <c r="D867" s="3" t="s">
        <v>38</v>
      </c>
      <c r="E867" s="3" t="s">
        <v>25</v>
      </c>
      <c r="F867" s="3" t="s">
        <v>25</v>
      </c>
      <c r="G867" s="3" t="s">
        <v>25</v>
      </c>
      <c r="H867" s="3" t="s">
        <v>34</v>
      </c>
      <c r="I867" s="6">
        <v>44317</v>
      </c>
      <c r="J867" s="4">
        <v>0</v>
      </c>
      <c r="K867" s="4">
        <v>0</v>
      </c>
      <c r="L867" s="4">
        <v>2.38</v>
      </c>
      <c r="M867" s="4">
        <v>2.38</v>
      </c>
      <c r="N867" s="4">
        <v>2.38</v>
      </c>
      <c r="O867" s="4">
        <v>2.38</v>
      </c>
      <c r="P867" s="4">
        <v>0</v>
      </c>
      <c r="Q867" s="3" t="s">
        <v>26</v>
      </c>
      <c r="R867" s="3">
        <v>0</v>
      </c>
      <c r="S867" s="4">
        <v>0</v>
      </c>
      <c r="T867" s="4">
        <v>20</v>
      </c>
      <c r="U867" s="4">
        <v>88</v>
      </c>
      <c r="V867" s="4">
        <f>IF(ISERROR(VLOOKUP($S$867,'TAR FIN'!$A$1:$O$113,15,0)),0,VLOOKUP($S$867,'TAR FIN'!$A$1:$O$113,15,0))</f>
        <v>0</v>
      </c>
      <c r="W867" s="4">
        <f>IF(ISERROR(VLOOKUP($T$867,'TAR FIN'!$A$1:$O$113,15,0)),0,VLOOKUP($T$867,'TAR FIN'!$A$1:$O$113,15,0))</f>
        <v>1564.59</v>
      </c>
      <c r="X867" s="4">
        <f>IF(ISERROR(VLOOKUP($U$867,'TAR FIN'!$A$1:$O$113,15,0)),0,VLOOKUP($U$867,'TAR FIN'!$A$1:$O$113,15,0))</f>
        <v>365.5</v>
      </c>
      <c r="Y867" s="4"/>
      <c r="Z867" s="4">
        <f ca="1">('TUSD BE'!$AM$31+'TUSD BF'!$AM$31+'TUSD CVA'!$AM$31)*1</f>
        <v>1837.8896121132304</v>
      </c>
      <c r="AA867" s="4">
        <f>('TE BE'!$AA$10+'TE BF'!$AA$10+'TE CVA'!$AA$10)*1</f>
        <v>361.55013418411539</v>
      </c>
      <c r="AB867" s="4">
        <f>$K$867*$V$867</f>
        <v>0</v>
      </c>
      <c r="AC867" s="4">
        <f>$M$867*$W$867</f>
        <v>3723.7241999999997</v>
      </c>
      <c r="AD867" s="4">
        <f>$O$867*$X$867</f>
        <v>869.89</v>
      </c>
      <c r="AE867" s="4">
        <f>$K$867*$Y$867</f>
        <v>0</v>
      </c>
      <c r="AF867" s="4">
        <f ca="1">$M$867*$Z$867</f>
        <v>4374.1772768294886</v>
      </c>
      <c r="AG867" s="4">
        <f>$O$867*$AA$867</f>
        <v>860.48931935819462</v>
      </c>
    </row>
    <row r="868" spans="1:33" ht="11.25" customHeight="1" x14ac:dyDescent="0.25">
      <c r="A868" s="3" t="s">
        <v>28</v>
      </c>
      <c r="B868" s="3" t="s">
        <v>41</v>
      </c>
      <c r="C868" s="3" t="s">
        <v>42</v>
      </c>
      <c r="D868" s="3" t="s">
        <v>38</v>
      </c>
      <c r="E868" s="3" t="s">
        <v>25</v>
      </c>
      <c r="F868" s="3" t="s">
        <v>25</v>
      </c>
      <c r="G868" s="3" t="s">
        <v>25</v>
      </c>
      <c r="H868" s="3" t="s">
        <v>34</v>
      </c>
      <c r="I868" s="6">
        <v>44317</v>
      </c>
      <c r="J868" s="4">
        <v>0</v>
      </c>
      <c r="K868" s="4">
        <v>0</v>
      </c>
      <c r="L868" s="4">
        <v>-0.42</v>
      </c>
      <c r="M868" s="4">
        <v>-0.42</v>
      </c>
      <c r="N868" s="4">
        <v>-0.42</v>
      </c>
      <c r="O868" s="4">
        <v>-0.42</v>
      </c>
      <c r="P868" s="4">
        <v>0</v>
      </c>
      <c r="Q868" s="3" t="s">
        <v>26</v>
      </c>
      <c r="R868" s="3">
        <v>0</v>
      </c>
      <c r="S868" s="4">
        <v>0</v>
      </c>
      <c r="T868" s="4">
        <v>20</v>
      </c>
      <c r="U868" s="4">
        <v>88</v>
      </c>
      <c r="V868" s="4">
        <f>IF(ISERROR(VLOOKUP($S$868,'TAR FIN'!$A$1:$O$113,15,0)),0,VLOOKUP($S$868,'TAR FIN'!$A$1:$O$113,15,0))</f>
        <v>0</v>
      </c>
      <c r="W868" s="4">
        <f>IF(ISERROR(VLOOKUP($T$868,'TAR FIN'!$A$1:$O$113,15,0)),0,VLOOKUP($T$868,'TAR FIN'!$A$1:$O$113,15,0))</f>
        <v>1564.59</v>
      </c>
      <c r="X868" s="4">
        <f>IF(ISERROR(VLOOKUP($U$868,'TAR FIN'!$A$1:$O$113,15,0)),0,VLOOKUP($U$868,'TAR FIN'!$A$1:$O$113,15,0))</f>
        <v>365.5</v>
      </c>
      <c r="Y868" s="4"/>
      <c r="Z868" s="4">
        <f ca="1">('TUSD BE'!$AM$31+'TUSD BF'!$AM$31+'TUSD CVA'!$AM$31)*1</f>
        <v>1837.8896121132304</v>
      </c>
      <c r="AA868" s="4">
        <f>('TE BE'!$AA$10+'TE BF'!$AA$10+'TE CVA'!$AA$10)*1</f>
        <v>361.55013418411539</v>
      </c>
      <c r="AB868" s="4">
        <f>$K$868*$V$868</f>
        <v>0</v>
      </c>
      <c r="AC868" s="4">
        <f>$M$868*$W$868</f>
        <v>-657.12779999999998</v>
      </c>
      <c r="AD868" s="4">
        <f>$O$868*$X$868</f>
        <v>-153.51</v>
      </c>
      <c r="AE868" s="4">
        <f>$K$868*$Y$868</f>
        <v>0</v>
      </c>
      <c r="AF868" s="4">
        <f ca="1">$M$868*$Z$868</f>
        <v>-771.91363708755671</v>
      </c>
      <c r="AG868" s="4">
        <f>$O$868*$AA$868</f>
        <v>-151.85105635732845</v>
      </c>
    </row>
    <row r="869" spans="1:33" ht="11.25" customHeight="1" x14ac:dyDescent="0.25">
      <c r="A869" s="3" t="s">
        <v>21</v>
      </c>
      <c r="B869" s="3" t="s">
        <v>41</v>
      </c>
      <c r="C869" s="3" t="s">
        <v>42</v>
      </c>
      <c r="D869" s="3" t="s">
        <v>38</v>
      </c>
      <c r="E869" s="3" t="s">
        <v>25</v>
      </c>
      <c r="F869" s="3" t="s">
        <v>25</v>
      </c>
      <c r="G869" s="3" t="s">
        <v>25</v>
      </c>
      <c r="H869" s="3" t="s">
        <v>34</v>
      </c>
      <c r="I869" s="6">
        <v>44348</v>
      </c>
      <c r="J869" s="4">
        <v>0</v>
      </c>
      <c r="K869" s="4">
        <v>0</v>
      </c>
      <c r="L869" s="4">
        <v>368.85899999999998</v>
      </c>
      <c r="M869" s="4">
        <v>368.85899999999998</v>
      </c>
      <c r="N869" s="4">
        <v>368.85899999999998</v>
      </c>
      <c r="O869" s="4">
        <v>368.85899999999998</v>
      </c>
      <c r="P869" s="4">
        <v>0</v>
      </c>
      <c r="Q869" s="3" t="s">
        <v>26</v>
      </c>
      <c r="R869" s="3">
        <v>0</v>
      </c>
      <c r="S869" s="4">
        <v>0</v>
      </c>
      <c r="T869" s="4">
        <v>20</v>
      </c>
      <c r="U869" s="4">
        <v>88</v>
      </c>
      <c r="V869" s="4">
        <f>IF(ISERROR(VLOOKUP($S$869,'TAR FIN'!$A$1:$O$113,15,0)),0,VLOOKUP($S$869,'TAR FIN'!$A$1:$O$113,15,0))</f>
        <v>0</v>
      </c>
      <c r="W869" s="4">
        <f>IF(ISERROR(VLOOKUP($T$869,'TAR FIN'!$A$1:$O$113,15,0)),0,VLOOKUP($T$869,'TAR FIN'!$A$1:$O$113,15,0))</f>
        <v>1564.59</v>
      </c>
      <c r="X869" s="4">
        <f>IF(ISERROR(VLOOKUP($U$869,'TAR FIN'!$A$1:$O$113,15,0)),0,VLOOKUP($U$869,'TAR FIN'!$A$1:$O$113,15,0))</f>
        <v>365.5</v>
      </c>
      <c r="Y869" s="4"/>
      <c r="Z869" s="4">
        <f ca="1">('TUSD BE'!$AM$31+'TUSD BF'!$AM$31+'TUSD CVA'!$AM$31)*1</f>
        <v>1837.8896121132304</v>
      </c>
      <c r="AA869" s="4">
        <f>('TE BE'!$AA$10+'TE BF'!$AA$10+'TE CVA'!$AA$10)*1</f>
        <v>361.55013418411539</v>
      </c>
      <c r="AB869" s="4">
        <f>$K$869*$V$869</f>
        <v>0</v>
      </c>
      <c r="AC869" s="4">
        <f>$M$869*$W$869</f>
        <v>577113.10280999995</v>
      </c>
      <c r="AD869" s="4">
        <f>$O$869*$X$869</f>
        <v>134817.9645</v>
      </c>
      <c r="AE869" s="4">
        <f>$K$869*$Y$869</f>
        <v>0</v>
      </c>
      <c r="AF869" s="4">
        <f ca="1">$M$869*$Z$869</f>
        <v>677922.12443447404</v>
      </c>
      <c r="AG869" s="4">
        <f>$O$869*$AA$869</f>
        <v>133361.02094501862</v>
      </c>
    </row>
    <row r="870" spans="1:33" ht="11.25" customHeight="1" x14ac:dyDescent="0.25">
      <c r="A870" s="3" t="s">
        <v>28</v>
      </c>
      <c r="B870" s="3" t="s">
        <v>41</v>
      </c>
      <c r="C870" s="3" t="s">
        <v>42</v>
      </c>
      <c r="D870" s="3" t="s">
        <v>38</v>
      </c>
      <c r="E870" s="3" t="s">
        <v>25</v>
      </c>
      <c r="F870" s="3" t="s">
        <v>25</v>
      </c>
      <c r="G870" s="3" t="s">
        <v>25</v>
      </c>
      <c r="H870" s="3" t="s">
        <v>34</v>
      </c>
      <c r="I870" s="6">
        <v>44348</v>
      </c>
      <c r="J870" s="4">
        <v>0</v>
      </c>
      <c r="K870" s="4">
        <v>0</v>
      </c>
      <c r="L870" s="4">
        <v>4.12</v>
      </c>
      <c r="M870" s="4">
        <v>4.12</v>
      </c>
      <c r="N870" s="4">
        <v>4.12</v>
      </c>
      <c r="O870" s="4">
        <v>4.12</v>
      </c>
      <c r="P870" s="4">
        <v>0</v>
      </c>
      <c r="Q870" s="3" t="s">
        <v>26</v>
      </c>
      <c r="R870" s="3">
        <v>0</v>
      </c>
      <c r="S870" s="4">
        <v>0</v>
      </c>
      <c r="T870" s="4">
        <v>20</v>
      </c>
      <c r="U870" s="4">
        <v>88</v>
      </c>
      <c r="V870" s="4">
        <f>IF(ISERROR(VLOOKUP($S$870,'TAR FIN'!$A$1:$O$113,15,0)),0,VLOOKUP($S$870,'TAR FIN'!$A$1:$O$113,15,0))</f>
        <v>0</v>
      </c>
      <c r="W870" s="4">
        <f>IF(ISERROR(VLOOKUP($T$870,'TAR FIN'!$A$1:$O$113,15,0)),0,VLOOKUP($T$870,'TAR FIN'!$A$1:$O$113,15,0))</f>
        <v>1564.59</v>
      </c>
      <c r="X870" s="4">
        <f>IF(ISERROR(VLOOKUP($U$870,'TAR FIN'!$A$1:$O$113,15,0)),0,VLOOKUP($U$870,'TAR FIN'!$A$1:$O$113,15,0))</f>
        <v>365.5</v>
      </c>
      <c r="Y870" s="4"/>
      <c r="Z870" s="4">
        <f ca="1">('TUSD BE'!$AM$31+'TUSD BF'!$AM$31+'TUSD CVA'!$AM$31)*1</f>
        <v>1837.8896121132304</v>
      </c>
      <c r="AA870" s="4">
        <f>('TE BE'!$AA$10+'TE BF'!$AA$10+'TE CVA'!$AA$10)*1</f>
        <v>361.55013418411539</v>
      </c>
      <c r="AB870" s="4">
        <f>$K$870*$V$870</f>
        <v>0</v>
      </c>
      <c r="AC870" s="4">
        <f>$M$870*$W$870</f>
        <v>6446.1107999999995</v>
      </c>
      <c r="AD870" s="4">
        <f>$O$870*$X$870</f>
        <v>1505.8600000000001</v>
      </c>
      <c r="AE870" s="4">
        <f>$K$870*$Y$870</f>
        <v>0</v>
      </c>
      <c r="AF870" s="4">
        <f ca="1">$M$870*$Z$870</f>
        <v>7572.10520190651</v>
      </c>
      <c r="AG870" s="4">
        <f>$O$870*$AA$870</f>
        <v>1489.5865528385555</v>
      </c>
    </row>
    <row r="871" spans="1:33" ht="11.25" customHeight="1" x14ac:dyDescent="0.25">
      <c r="A871" s="3" t="s">
        <v>21</v>
      </c>
      <c r="B871" s="3" t="s">
        <v>41</v>
      </c>
      <c r="C871" s="3" t="s">
        <v>42</v>
      </c>
      <c r="D871" s="3" t="s">
        <v>38</v>
      </c>
      <c r="E871" s="3" t="s">
        <v>25</v>
      </c>
      <c r="F871" s="3" t="s">
        <v>25</v>
      </c>
      <c r="G871" s="3" t="s">
        <v>25</v>
      </c>
      <c r="H871" s="3" t="s">
        <v>34</v>
      </c>
      <c r="I871" s="6">
        <v>44378</v>
      </c>
      <c r="J871" s="4">
        <v>0</v>
      </c>
      <c r="K871" s="4">
        <v>0</v>
      </c>
      <c r="L871" s="4">
        <v>380.488</v>
      </c>
      <c r="M871" s="4">
        <v>380.488</v>
      </c>
      <c r="N871" s="4">
        <v>380.488</v>
      </c>
      <c r="O871" s="4">
        <v>380.488</v>
      </c>
      <c r="P871" s="4">
        <v>0</v>
      </c>
      <c r="Q871" s="3" t="s">
        <v>26</v>
      </c>
      <c r="R871" s="3">
        <v>0</v>
      </c>
      <c r="S871" s="4">
        <v>0</v>
      </c>
      <c r="T871" s="4">
        <v>20</v>
      </c>
      <c r="U871" s="4">
        <v>88</v>
      </c>
      <c r="V871" s="4">
        <f>IF(ISERROR(VLOOKUP($S$871,'TAR FIN'!$A$1:$O$113,15,0)),0,VLOOKUP($S$871,'TAR FIN'!$A$1:$O$113,15,0))</f>
        <v>0</v>
      </c>
      <c r="W871" s="4">
        <f>IF(ISERROR(VLOOKUP($T$871,'TAR FIN'!$A$1:$O$113,15,0)),0,VLOOKUP($T$871,'TAR FIN'!$A$1:$O$113,15,0))</f>
        <v>1564.59</v>
      </c>
      <c r="X871" s="4">
        <f>IF(ISERROR(VLOOKUP($U$871,'TAR FIN'!$A$1:$O$113,15,0)),0,VLOOKUP($U$871,'TAR FIN'!$A$1:$O$113,15,0))</f>
        <v>365.5</v>
      </c>
      <c r="Y871" s="4"/>
      <c r="Z871" s="4">
        <f ca="1">('TUSD BE'!$AM$31+'TUSD BF'!$AM$31+'TUSD CVA'!$AM$31)*1</f>
        <v>1837.8896121132304</v>
      </c>
      <c r="AA871" s="4">
        <f>('TE BE'!$AA$10+'TE BF'!$AA$10+'TE CVA'!$AA$10)*1</f>
        <v>361.55013418411539</v>
      </c>
      <c r="AB871" s="4">
        <f>$K$871*$V$871</f>
        <v>0</v>
      </c>
      <c r="AC871" s="4">
        <f>$M$871*$W$871</f>
        <v>595307.71991999994</v>
      </c>
      <c r="AD871" s="4">
        <f>$O$871*$X$871</f>
        <v>139068.364</v>
      </c>
      <c r="AE871" s="4">
        <f>$K$871*$Y$871</f>
        <v>0</v>
      </c>
      <c r="AF871" s="4">
        <f ca="1">$M$871*$Z$871</f>
        <v>699294.9427337388</v>
      </c>
      <c r="AG871" s="4">
        <f>$O$871*$AA$871</f>
        <v>137565.48745544569</v>
      </c>
    </row>
    <row r="872" spans="1:33" ht="11.25" customHeight="1" x14ac:dyDescent="0.25">
      <c r="A872" s="3" t="s">
        <v>28</v>
      </c>
      <c r="B872" s="3" t="s">
        <v>41</v>
      </c>
      <c r="C872" s="3" t="s">
        <v>42</v>
      </c>
      <c r="D872" s="3" t="s">
        <v>38</v>
      </c>
      <c r="E872" s="3" t="s">
        <v>25</v>
      </c>
      <c r="F872" s="3" t="s">
        <v>25</v>
      </c>
      <c r="G872" s="3" t="s">
        <v>25</v>
      </c>
      <c r="H872" s="3" t="s">
        <v>34</v>
      </c>
      <c r="I872" s="6">
        <v>44378</v>
      </c>
      <c r="J872" s="4">
        <v>0</v>
      </c>
      <c r="K872" s="4">
        <v>0</v>
      </c>
      <c r="L872" s="4">
        <v>5.7519999999999998</v>
      </c>
      <c r="M872" s="4">
        <v>5.7519999999999998</v>
      </c>
      <c r="N872" s="4">
        <v>5.7519999999999998</v>
      </c>
      <c r="O872" s="4">
        <v>5.7519999999999998</v>
      </c>
      <c r="P872" s="4">
        <v>0</v>
      </c>
      <c r="Q872" s="3" t="s">
        <v>26</v>
      </c>
      <c r="R872" s="3">
        <v>0</v>
      </c>
      <c r="S872" s="4">
        <v>0</v>
      </c>
      <c r="T872" s="4">
        <v>20</v>
      </c>
      <c r="U872" s="4">
        <v>88</v>
      </c>
      <c r="V872" s="4">
        <f>IF(ISERROR(VLOOKUP($S$872,'TAR FIN'!$A$1:$O$113,15,0)),0,VLOOKUP($S$872,'TAR FIN'!$A$1:$O$113,15,0))</f>
        <v>0</v>
      </c>
      <c r="W872" s="4">
        <f>IF(ISERROR(VLOOKUP($T$872,'TAR FIN'!$A$1:$O$113,15,0)),0,VLOOKUP($T$872,'TAR FIN'!$A$1:$O$113,15,0))</f>
        <v>1564.59</v>
      </c>
      <c r="X872" s="4">
        <f>IF(ISERROR(VLOOKUP($U$872,'TAR FIN'!$A$1:$O$113,15,0)),0,VLOOKUP($U$872,'TAR FIN'!$A$1:$O$113,15,0))</f>
        <v>365.5</v>
      </c>
      <c r="Y872" s="4"/>
      <c r="Z872" s="4">
        <f ca="1">('TUSD BE'!$AM$31+'TUSD BF'!$AM$31+'TUSD CVA'!$AM$31)*1</f>
        <v>1837.8896121132304</v>
      </c>
      <c r="AA872" s="4">
        <f>('TE BE'!$AA$10+'TE BF'!$AA$10+'TE CVA'!$AA$10)*1</f>
        <v>361.55013418411539</v>
      </c>
      <c r="AB872" s="4">
        <f>$K$872*$V$872</f>
        <v>0</v>
      </c>
      <c r="AC872" s="4">
        <f>$M$872*$W$872</f>
        <v>8999.5216799999998</v>
      </c>
      <c r="AD872" s="4">
        <f>$O$872*$X$872</f>
        <v>2102.3559999999998</v>
      </c>
      <c r="AE872" s="4">
        <f>$K$872*$Y$872</f>
        <v>0</v>
      </c>
      <c r="AF872" s="4">
        <f ca="1">$M$872*$Z$872</f>
        <v>10571.5410488753</v>
      </c>
      <c r="AG872" s="4">
        <f>$O$872*$AA$872</f>
        <v>2079.6363718270318</v>
      </c>
    </row>
    <row r="873" spans="1:33" ht="11.25" customHeight="1" x14ac:dyDescent="0.25">
      <c r="A873" s="3" t="s">
        <v>21</v>
      </c>
      <c r="B873" s="3" t="s">
        <v>41</v>
      </c>
      <c r="C873" s="3" t="s">
        <v>42</v>
      </c>
      <c r="D873" s="3" t="s">
        <v>38</v>
      </c>
      <c r="E873" s="3" t="s">
        <v>25</v>
      </c>
      <c r="F873" s="3" t="s">
        <v>25</v>
      </c>
      <c r="G873" s="3" t="s">
        <v>25</v>
      </c>
      <c r="H873" s="3" t="s">
        <v>34</v>
      </c>
      <c r="I873" s="6">
        <v>44409</v>
      </c>
      <c r="J873" s="4">
        <v>0</v>
      </c>
      <c r="K873" s="4">
        <v>0</v>
      </c>
      <c r="L873" s="4">
        <v>375.94799999999998</v>
      </c>
      <c r="M873" s="4">
        <v>375.94799999999998</v>
      </c>
      <c r="N873" s="4">
        <v>375.94799999999998</v>
      </c>
      <c r="O873" s="4">
        <v>375.94799999999998</v>
      </c>
      <c r="P873" s="4">
        <v>0</v>
      </c>
      <c r="Q873" s="3" t="s">
        <v>26</v>
      </c>
      <c r="R873" s="3">
        <v>0</v>
      </c>
      <c r="S873" s="4">
        <v>0</v>
      </c>
      <c r="T873" s="4">
        <v>20</v>
      </c>
      <c r="U873" s="4">
        <v>88</v>
      </c>
      <c r="V873" s="4">
        <f>IF(ISERROR(VLOOKUP($S$873,'TAR FIN'!$A$1:$O$113,15,0)),0,VLOOKUP($S$873,'TAR FIN'!$A$1:$O$113,15,0))</f>
        <v>0</v>
      </c>
      <c r="W873" s="4">
        <f>IF(ISERROR(VLOOKUP($T$873,'TAR FIN'!$A$1:$O$113,15,0)),0,VLOOKUP($T$873,'TAR FIN'!$A$1:$O$113,15,0))</f>
        <v>1564.59</v>
      </c>
      <c r="X873" s="4">
        <f>IF(ISERROR(VLOOKUP($U$873,'TAR FIN'!$A$1:$O$113,15,0)),0,VLOOKUP($U$873,'TAR FIN'!$A$1:$O$113,15,0))</f>
        <v>365.5</v>
      </c>
      <c r="Y873" s="4"/>
      <c r="Z873" s="4">
        <f ca="1">('TUSD BE'!$AM$31+'TUSD BF'!$AM$31+'TUSD CVA'!$AM$31)*1</f>
        <v>1837.8896121132304</v>
      </c>
      <c r="AA873" s="4">
        <f>('TE BE'!$AA$10+'TE BF'!$AA$10+'TE CVA'!$AA$10)*1</f>
        <v>361.55013418411539</v>
      </c>
      <c r="AB873" s="4">
        <f>$K$873*$V$873</f>
        <v>0</v>
      </c>
      <c r="AC873" s="4">
        <f>$M$873*$W$873</f>
        <v>588204.4813199999</v>
      </c>
      <c r="AD873" s="4">
        <f>$O$873*$X$873</f>
        <v>137408.99400000001</v>
      </c>
      <c r="AE873" s="4">
        <f>$K$873*$Y$873</f>
        <v>0</v>
      </c>
      <c r="AF873" s="4">
        <f ca="1">$M$873*$Z$873</f>
        <v>690950.92389474472</v>
      </c>
      <c r="AG873" s="4">
        <f>$O$873*$AA$873</f>
        <v>135924.04984624981</v>
      </c>
    </row>
    <row r="874" spans="1:33" ht="11.25" customHeight="1" x14ac:dyDescent="0.25">
      <c r="A874" s="3" t="s">
        <v>28</v>
      </c>
      <c r="B874" s="3" t="s">
        <v>41</v>
      </c>
      <c r="C874" s="3" t="s">
        <v>42</v>
      </c>
      <c r="D874" s="3" t="s">
        <v>38</v>
      </c>
      <c r="E874" s="3" t="s">
        <v>25</v>
      </c>
      <c r="F874" s="3" t="s">
        <v>25</v>
      </c>
      <c r="G874" s="3" t="s">
        <v>25</v>
      </c>
      <c r="H874" s="3" t="s">
        <v>34</v>
      </c>
      <c r="I874" s="6">
        <v>44409</v>
      </c>
      <c r="J874" s="4">
        <v>0</v>
      </c>
      <c r="K874" s="4">
        <v>0</v>
      </c>
      <c r="L874" s="4">
        <v>7.14</v>
      </c>
      <c r="M874" s="4">
        <v>7.14</v>
      </c>
      <c r="N874" s="4">
        <v>7.14</v>
      </c>
      <c r="O874" s="4">
        <v>7.14</v>
      </c>
      <c r="P874" s="4">
        <v>0</v>
      </c>
      <c r="Q874" s="3" t="s">
        <v>26</v>
      </c>
      <c r="R874" s="3">
        <v>0</v>
      </c>
      <c r="S874" s="4">
        <v>0</v>
      </c>
      <c r="T874" s="4">
        <v>20</v>
      </c>
      <c r="U874" s="4">
        <v>88</v>
      </c>
      <c r="V874" s="4">
        <f>IF(ISERROR(VLOOKUP($S$874,'TAR FIN'!$A$1:$O$113,15,0)),0,VLOOKUP($S$874,'TAR FIN'!$A$1:$O$113,15,0))</f>
        <v>0</v>
      </c>
      <c r="W874" s="4">
        <f>IF(ISERROR(VLOOKUP($T$874,'TAR FIN'!$A$1:$O$113,15,0)),0,VLOOKUP($T$874,'TAR FIN'!$A$1:$O$113,15,0))</f>
        <v>1564.59</v>
      </c>
      <c r="X874" s="4">
        <f>IF(ISERROR(VLOOKUP($U$874,'TAR FIN'!$A$1:$O$113,15,0)),0,VLOOKUP($U$874,'TAR FIN'!$A$1:$O$113,15,0))</f>
        <v>365.5</v>
      </c>
      <c r="Y874" s="4"/>
      <c r="Z874" s="4">
        <f ca="1">('TUSD BE'!$AM$31+'TUSD BF'!$AM$31+'TUSD CVA'!$AM$31)*1</f>
        <v>1837.8896121132304</v>
      </c>
      <c r="AA874" s="4">
        <f>('TE BE'!$AA$10+'TE BF'!$AA$10+'TE CVA'!$AA$10)*1</f>
        <v>361.55013418411539</v>
      </c>
      <c r="AB874" s="4">
        <f>$K$874*$V$874</f>
        <v>0</v>
      </c>
      <c r="AC874" s="4">
        <f>$M$874*$W$874</f>
        <v>11171.172599999998</v>
      </c>
      <c r="AD874" s="4">
        <f>$O$874*$X$874</f>
        <v>2609.67</v>
      </c>
      <c r="AE874" s="4">
        <f>$K$874*$Y$874</f>
        <v>0</v>
      </c>
      <c r="AF874" s="4">
        <f ca="1">$M$874*$Z$874</f>
        <v>13122.531830488464</v>
      </c>
      <c r="AG874" s="4">
        <f>$O$874*$AA$874</f>
        <v>2581.4679580745837</v>
      </c>
    </row>
    <row r="875" spans="1:33" ht="11.25" customHeight="1" x14ac:dyDescent="0.25">
      <c r="A875" s="3" t="s">
        <v>21</v>
      </c>
      <c r="B875" s="3" t="s">
        <v>41</v>
      </c>
      <c r="C875" s="3" t="s">
        <v>42</v>
      </c>
      <c r="D875" s="3" t="s">
        <v>38</v>
      </c>
      <c r="E875" s="3" t="s">
        <v>25</v>
      </c>
      <c r="F875" s="3" t="s">
        <v>25</v>
      </c>
      <c r="G875" s="3" t="s">
        <v>25</v>
      </c>
      <c r="H875" s="3" t="s">
        <v>34</v>
      </c>
      <c r="I875" s="6">
        <v>44409</v>
      </c>
      <c r="J875" s="4">
        <v>0</v>
      </c>
      <c r="K875" s="4">
        <v>0</v>
      </c>
      <c r="L875" s="4">
        <v>2.38</v>
      </c>
      <c r="M875" s="4">
        <v>2.38</v>
      </c>
      <c r="N875" s="4">
        <v>0</v>
      </c>
      <c r="O875" s="4">
        <v>0</v>
      </c>
      <c r="P875" s="4">
        <v>0</v>
      </c>
      <c r="Q875" s="3" t="s">
        <v>57</v>
      </c>
      <c r="R875" s="3">
        <v>0</v>
      </c>
      <c r="S875" s="4">
        <v>0</v>
      </c>
      <c r="T875" s="4">
        <v>20</v>
      </c>
      <c r="U875" s="4">
        <v>0</v>
      </c>
      <c r="V875" s="4">
        <f>IF(ISERROR(VLOOKUP($S$875,'TAR FIN'!$A$1:$O$113,15,0)),0,VLOOKUP($S$875,'TAR FIN'!$A$1:$O$113,15,0))</f>
        <v>0</v>
      </c>
      <c r="W875" s="4">
        <f>IF(ISERROR(VLOOKUP($T$875,'TAR FIN'!$A$1:$O$113,15,0)),0,VLOOKUP($T$875,'TAR FIN'!$A$1:$O$113,15,0))</f>
        <v>1564.59</v>
      </c>
      <c r="X875" s="4">
        <f>IF(ISERROR(VLOOKUP($U$875,'TAR FIN'!$A$1:$O$113,15,0)),0,VLOOKUP($U$875,'TAR FIN'!$A$1:$O$113,15,0))</f>
        <v>0</v>
      </c>
      <c r="Y875" s="4"/>
      <c r="Z875" s="4">
        <f ca="1">('TUSD BE'!$AM$31+'TUSD BF'!$AM$31+'TUSD CVA'!$AM$31)*1</f>
        <v>1837.8896121132304</v>
      </c>
      <c r="AA875" s="4"/>
      <c r="AB875" s="4">
        <f>$K$875*$V$875</f>
        <v>0</v>
      </c>
      <c r="AC875" s="4">
        <f>$M$875*$W$875</f>
        <v>3723.7241999999997</v>
      </c>
      <c r="AD875" s="4">
        <f>$O$875*$X$875</f>
        <v>0</v>
      </c>
      <c r="AE875" s="4">
        <f>$K$875*$Y$875</f>
        <v>0</v>
      </c>
      <c r="AF875" s="4">
        <f ca="1">$M$875*$Z$875</f>
        <v>4374.1772768294886</v>
      </c>
      <c r="AG875" s="4">
        <f>$O$875*$AA$875</f>
        <v>0</v>
      </c>
    </row>
    <row r="876" spans="1:33" ht="11.25" customHeight="1" x14ac:dyDescent="0.25">
      <c r="A876" s="3" t="s">
        <v>21</v>
      </c>
      <c r="B876" s="3" t="s">
        <v>41</v>
      </c>
      <c r="C876" s="3" t="s">
        <v>42</v>
      </c>
      <c r="D876" s="3" t="s">
        <v>38</v>
      </c>
      <c r="E876" s="3" t="s">
        <v>25</v>
      </c>
      <c r="F876" s="3" t="s">
        <v>25</v>
      </c>
      <c r="G876" s="3" t="s">
        <v>25</v>
      </c>
      <c r="H876" s="3" t="s">
        <v>34</v>
      </c>
      <c r="I876" s="6">
        <v>44440</v>
      </c>
      <c r="J876" s="4">
        <v>0</v>
      </c>
      <c r="K876" s="4">
        <v>0</v>
      </c>
      <c r="L876" s="4">
        <v>345.60300000000001</v>
      </c>
      <c r="M876" s="4">
        <v>345.60300000000001</v>
      </c>
      <c r="N876" s="4">
        <v>345.60300000000001</v>
      </c>
      <c r="O876" s="4">
        <v>345.60300000000001</v>
      </c>
      <c r="P876" s="4">
        <v>0</v>
      </c>
      <c r="Q876" s="3" t="s">
        <v>26</v>
      </c>
      <c r="R876" s="3">
        <v>0</v>
      </c>
      <c r="S876" s="4">
        <v>0</v>
      </c>
      <c r="T876" s="4">
        <v>20</v>
      </c>
      <c r="U876" s="4">
        <v>88</v>
      </c>
      <c r="V876" s="4">
        <f>IF(ISERROR(VLOOKUP($S$876,'TAR FIN'!$A$1:$O$113,15,0)),0,VLOOKUP($S$876,'TAR FIN'!$A$1:$O$113,15,0))</f>
        <v>0</v>
      </c>
      <c r="W876" s="4">
        <f>IF(ISERROR(VLOOKUP($T$876,'TAR FIN'!$A$1:$O$113,15,0)),0,VLOOKUP($T$876,'TAR FIN'!$A$1:$O$113,15,0))</f>
        <v>1564.59</v>
      </c>
      <c r="X876" s="4">
        <f>IF(ISERROR(VLOOKUP($U$876,'TAR FIN'!$A$1:$O$113,15,0)),0,VLOOKUP($U$876,'TAR FIN'!$A$1:$O$113,15,0))</f>
        <v>365.5</v>
      </c>
      <c r="Y876" s="4"/>
      <c r="Z876" s="4">
        <f ca="1">('TUSD BE'!$AM$31+'TUSD BF'!$AM$31+'TUSD CVA'!$AM$31)*1</f>
        <v>1837.8896121132304</v>
      </c>
      <c r="AA876" s="4">
        <f>('TE BE'!$AA$10+'TE BF'!$AA$10+'TE CVA'!$AA$10)*1</f>
        <v>361.55013418411539</v>
      </c>
      <c r="AB876" s="4">
        <f>$K$876*$V$876</f>
        <v>0</v>
      </c>
      <c r="AC876" s="4">
        <f>$M$876*$W$876</f>
        <v>540726.99777000002</v>
      </c>
      <c r="AD876" s="4">
        <f>$O$876*$X$876</f>
        <v>126317.8965</v>
      </c>
      <c r="AE876" s="4">
        <f>$K$876*$Y$876</f>
        <v>0</v>
      </c>
      <c r="AF876" s="4">
        <f ca="1">$M$876*$Z$876</f>
        <v>635180.16361516877</v>
      </c>
      <c r="AG876" s="4">
        <f>$O$876*$AA$876</f>
        <v>124952.81102443284</v>
      </c>
    </row>
    <row r="877" spans="1:33" ht="11.25" customHeight="1" x14ac:dyDescent="0.25">
      <c r="A877" s="3" t="s">
        <v>28</v>
      </c>
      <c r="B877" s="3" t="s">
        <v>41</v>
      </c>
      <c r="C877" s="3" t="s">
        <v>42</v>
      </c>
      <c r="D877" s="3" t="s">
        <v>38</v>
      </c>
      <c r="E877" s="3" t="s">
        <v>25</v>
      </c>
      <c r="F877" s="3" t="s">
        <v>25</v>
      </c>
      <c r="G877" s="3" t="s">
        <v>25</v>
      </c>
      <c r="H877" s="3" t="s">
        <v>34</v>
      </c>
      <c r="I877" s="6">
        <v>44440</v>
      </c>
      <c r="J877" s="4">
        <v>0</v>
      </c>
      <c r="K877" s="4">
        <v>0</v>
      </c>
      <c r="L877" s="4">
        <v>10.256</v>
      </c>
      <c r="M877" s="4">
        <v>10.256</v>
      </c>
      <c r="N877" s="4">
        <v>10.256</v>
      </c>
      <c r="O877" s="4">
        <v>10.256</v>
      </c>
      <c r="P877" s="4">
        <v>0</v>
      </c>
      <c r="Q877" s="3" t="s">
        <v>26</v>
      </c>
      <c r="R877" s="3">
        <v>0</v>
      </c>
      <c r="S877" s="4">
        <v>0</v>
      </c>
      <c r="T877" s="4">
        <v>20</v>
      </c>
      <c r="U877" s="4">
        <v>88</v>
      </c>
      <c r="V877" s="4">
        <f>IF(ISERROR(VLOOKUP($S$877,'TAR FIN'!$A$1:$O$113,15,0)),0,VLOOKUP($S$877,'TAR FIN'!$A$1:$O$113,15,0))</f>
        <v>0</v>
      </c>
      <c r="W877" s="4">
        <f>IF(ISERROR(VLOOKUP($T$877,'TAR FIN'!$A$1:$O$113,15,0)),0,VLOOKUP($T$877,'TAR FIN'!$A$1:$O$113,15,0))</f>
        <v>1564.59</v>
      </c>
      <c r="X877" s="4">
        <f>IF(ISERROR(VLOOKUP($U$877,'TAR FIN'!$A$1:$O$113,15,0)),0,VLOOKUP($U$877,'TAR FIN'!$A$1:$O$113,15,0))</f>
        <v>365.5</v>
      </c>
      <c r="Y877" s="4"/>
      <c r="Z877" s="4">
        <f ca="1">('TUSD BE'!$AM$31+'TUSD BF'!$AM$31+'TUSD CVA'!$AM$31)*1</f>
        <v>1837.8896121132304</v>
      </c>
      <c r="AA877" s="4">
        <f>('TE BE'!$AA$10+'TE BF'!$AA$10+'TE CVA'!$AA$10)*1</f>
        <v>361.55013418411539</v>
      </c>
      <c r="AB877" s="4">
        <f>$K$877*$V$877</f>
        <v>0</v>
      </c>
      <c r="AC877" s="4">
        <f>$M$877*$W$877</f>
        <v>16046.43504</v>
      </c>
      <c r="AD877" s="4">
        <f>$O$877*$X$877</f>
        <v>3748.5680000000002</v>
      </c>
      <c r="AE877" s="4">
        <f>$K$877*$Y$877</f>
        <v>0</v>
      </c>
      <c r="AF877" s="4">
        <f ca="1">$M$877*$Z$877</f>
        <v>18849.395861833291</v>
      </c>
      <c r="AG877" s="4">
        <f>$O$877*$AA$877</f>
        <v>3708.0581761922876</v>
      </c>
    </row>
    <row r="878" spans="1:33" ht="11.25" customHeight="1" x14ac:dyDescent="0.25">
      <c r="A878" s="3" t="s">
        <v>21</v>
      </c>
      <c r="B878" s="3" t="s">
        <v>41</v>
      </c>
      <c r="C878" s="3" t="s">
        <v>42</v>
      </c>
      <c r="D878" s="3" t="s">
        <v>38</v>
      </c>
      <c r="E878" s="3" t="s">
        <v>25</v>
      </c>
      <c r="F878" s="3" t="s">
        <v>25</v>
      </c>
      <c r="G878" s="3" t="s">
        <v>25</v>
      </c>
      <c r="H878" s="3" t="s">
        <v>34</v>
      </c>
      <c r="I878" s="6">
        <v>44470</v>
      </c>
      <c r="J878" s="4">
        <v>0</v>
      </c>
      <c r="K878" s="4">
        <v>0</v>
      </c>
      <c r="L878" s="4">
        <v>350.12299999999999</v>
      </c>
      <c r="M878" s="4">
        <v>350.12299999999999</v>
      </c>
      <c r="N878" s="4">
        <v>350.12299999999999</v>
      </c>
      <c r="O878" s="4">
        <v>350.12299999999999</v>
      </c>
      <c r="P878" s="4">
        <v>0</v>
      </c>
      <c r="Q878" s="3" t="s">
        <v>26</v>
      </c>
      <c r="R878" s="3">
        <v>0</v>
      </c>
      <c r="S878" s="4">
        <v>0</v>
      </c>
      <c r="T878" s="4">
        <v>20</v>
      </c>
      <c r="U878" s="4">
        <v>88</v>
      </c>
      <c r="V878" s="4">
        <f>IF(ISERROR(VLOOKUP($S$878,'TAR FIN'!$A$1:$O$113,15,0)),0,VLOOKUP($S$878,'TAR FIN'!$A$1:$O$113,15,0))</f>
        <v>0</v>
      </c>
      <c r="W878" s="4">
        <f>IF(ISERROR(VLOOKUP($T$878,'TAR FIN'!$A$1:$O$113,15,0)),0,VLOOKUP($T$878,'TAR FIN'!$A$1:$O$113,15,0))</f>
        <v>1564.59</v>
      </c>
      <c r="X878" s="4">
        <f>IF(ISERROR(VLOOKUP($U$878,'TAR FIN'!$A$1:$O$113,15,0)),0,VLOOKUP($U$878,'TAR FIN'!$A$1:$O$113,15,0))</f>
        <v>365.5</v>
      </c>
      <c r="Y878" s="4"/>
      <c r="Z878" s="4">
        <f ca="1">('TUSD BE'!$AM$31+'TUSD BF'!$AM$31+'TUSD CVA'!$AM$31)*1</f>
        <v>1837.8896121132304</v>
      </c>
      <c r="AA878" s="4">
        <f>('TE BE'!$AA$10+'TE BF'!$AA$10+'TE CVA'!$AA$10)*1</f>
        <v>361.55013418411539</v>
      </c>
      <c r="AB878" s="4">
        <f>$K$878*$V$878</f>
        <v>0</v>
      </c>
      <c r="AC878" s="4">
        <f>$M$878*$W$878</f>
        <v>547798.94456999993</v>
      </c>
      <c r="AD878" s="4">
        <f>$O$878*$X$878</f>
        <v>127969.9565</v>
      </c>
      <c r="AE878" s="4">
        <f>$K$878*$Y$878</f>
        <v>0</v>
      </c>
      <c r="AF878" s="4">
        <f ca="1">$M$878*$Z$878</f>
        <v>643487.42466192052</v>
      </c>
      <c r="AG878" s="4">
        <f>$O$878*$AA$878</f>
        <v>126587.01763094503</v>
      </c>
    </row>
    <row r="879" spans="1:33" ht="11.25" customHeight="1" x14ac:dyDescent="0.25">
      <c r="A879" s="3" t="s">
        <v>28</v>
      </c>
      <c r="B879" s="3" t="s">
        <v>41</v>
      </c>
      <c r="C879" s="3" t="s">
        <v>42</v>
      </c>
      <c r="D879" s="3" t="s">
        <v>38</v>
      </c>
      <c r="E879" s="3" t="s">
        <v>25</v>
      </c>
      <c r="F879" s="3" t="s">
        <v>25</v>
      </c>
      <c r="G879" s="3" t="s">
        <v>25</v>
      </c>
      <c r="H879" s="3" t="s">
        <v>34</v>
      </c>
      <c r="I879" s="6">
        <v>44470</v>
      </c>
      <c r="J879" s="4">
        <v>0</v>
      </c>
      <c r="K879" s="4">
        <v>0</v>
      </c>
      <c r="L879" s="4">
        <v>13.84</v>
      </c>
      <c r="M879" s="4">
        <v>13.84</v>
      </c>
      <c r="N879" s="4">
        <v>13.84</v>
      </c>
      <c r="O879" s="4">
        <v>13.84</v>
      </c>
      <c r="P879" s="4">
        <v>0</v>
      </c>
      <c r="Q879" s="3" t="s">
        <v>26</v>
      </c>
      <c r="R879" s="3">
        <v>0</v>
      </c>
      <c r="S879" s="4">
        <v>0</v>
      </c>
      <c r="T879" s="4">
        <v>20</v>
      </c>
      <c r="U879" s="4">
        <v>88</v>
      </c>
      <c r="V879" s="4">
        <f>IF(ISERROR(VLOOKUP($S$879,'TAR FIN'!$A$1:$O$113,15,0)),0,VLOOKUP($S$879,'TAR FIN'!$A$1:$O$113,15,0))</f>
        <v>0</v>
      </c>
      <c r="W879" s="4">
        <f>IF(ISERROR(VLOOKUP($T$879,'TAR FIN'!$A$1:$O$113,15,0)),0,VLOOKUP($T$879,'TAR FIN'!$A$1:$O$113,15,0))</f>
        <v>1564.59</v>
      </c>
      <c r="X879" s="4">
        <f>IF(ISERROR(VLOOKUP($U$879,'TAR FIN'!$A$1:$O$113,15,0)),0,VLOOKUP($U$879,'TAR FIN'!$A$1:$O$113,15,0))</f>
        <v>365.5</v>
      </c>
      <c r="Y879" s="4"/>
      <c r="Z879" s="4">
        <f ca="1">('TUSD BE'!$AM$31+'TUSD BF'!$AM$31+'TUSD CVA'!$AM$31)*1</f>
        <v>1837.8896121132304</v>
      </c>
      <c r="AA879" s="4">
        <f>('TE BE'!$AA$10+'TE BF'!$AA$10+'TE CVA'!$AA$10)*1</f>
        <v>361.55013418411539</v>
      </c>
      <c r="AB879" s="4">
        <f>$K$879*$V$879</f>
        <v>0</v>
      </c>
      <c r="AC879" s="4">
        <f>$M$879*$W$879</f>
        <v>21653.925599999999</v>
      </c>
      <c r="AD879" s="4">
        <f>$O$879*$X$879</f>
        <v>5058.5199999999995</v>
      </c>
      <c r="AE879" s="4">
        <f>$K$879*$Y$879</f>
        <v>0</v>
      </c>
      <c r="AF879" s="4">
        <f ca="1">$M$879*$Z$879</f>
        <v>25436.392231647111</v>
      </c>
      <c r="AG879" s="4">
        <f>$O$879*$AA$879</f>
        <v>5003.8538571081572</v>
      </c>
    </row>
    <row r="880" spans="1:33" ht="11.25" customHeight="1" x14ac:dyDescent="0.25">
      <c r="A880" s="3" t="s">
        <v>21</v>
      </c>
      <c r="B880" s="3" t="s">
        <v>41</v>
      </c>
      <c r="C880" s="3" t="s">
        <v>42</v>
      </c>
      <c r="D880" s="3" t="s">
        <v>38</v>
      </c>
      <c r="E880" s="3" t="s">
        <v>25</v>
      </c>
      <c r="F880" s="3" t="s">
        <v>25</v>
      </c>
      <c r="G880" s="3" t="s">
        <v>25</v>
      </c>
      <c r="H880" s="3" t="s">
        <v>34</v>
      </c>
      <c r="I880" s="6">
        <v>44501</v>
      </c>
      <c r="J880" s="4">
        <v>0</v>
      </c>
      <c r="K880" s="4">
        <v>0</v>
      </c>
      <c r="L880" s="4">
        <v>326.995</v>
      </c>
      <c r="M880" s="4">
        <v>326.995</v>
      </c>
      <c r="N880" s="4">
        <v>326.995</v>
      </c>
      <c r="O880" s="4">
        <v>326.995</v>
      </c>
      <c r="P880" s="4">
        <v>0</v>
      </c>
      <c r="Q880" s="3" t="s">
        <v>26</v>
      </c>
      <c r="R880" s="3">
        <v>0</v>
      </c>
      <c r="S880" s="4">
        <v>0</v>
      </c>
      <c r="T880" s="4">
        <v>20</v>
      </c>
      <c r="U880" s="4">
        <v>88</v>
      </c>
      <c r="V880" s="4">
        <f>IF(ISERROR(VLOOKUP($S$880,'TAR FIN'!$A$1:$O$113,15,0)),0,VLOOKUP($S$880,'TAR FIN'!$A$1:$O$113,15,0))</f>
        <v>0</v>
      </c>
      <c r="W880" s="4">
        <f>IF(ISERROR(VLOOKUP($T$880,'TAR FIN'!$A$1:$O$113,15,0)),0,VLOOKUP($T$880,'TAR FIN'!$A$1:$O$113,15,0))</f>
        <v>1564.59</v>
      </c>
      <c r="X880" s="4">
        <f>IF(ISERROR(VLOOKUP($U$880,'TAR FIN'!$A$1:$O$113,15,0)),0,VLOOKUP($U$880,'TAR FIN'!$A$1:$O$113,15,0))</f>
        <v>365.5</v>
      </c>
      <c r="Y880" s="4"/>
      <c r="Z880" s="4">
        <f ca="1">('TUSD BE'!$AM$31+'TUSD BF'!$AM$31+'TUSD CVA'!$AM$31)*1</f>
        <v>1837.8896121132304</v>
      </c>
      <c r="AA880" s="4">
        <f>('TE BE'!$AA$10+'TE BF'!$AA$10+'TE CVA'!$AA$10)*1</f>
        <v>361.55013418411539</v>
      </c>
      <c r="AB880" s="4">
        <f>$K$880*$V$880</f>
        <v>0</v>
      </c>
      <c r="AC880" s="4">
        <f>$M$880*$W$880</f>
        <v>511613.10704999999</v>
      </c>
      <c r="AD880" s="4">
        <f>$O$880*$X$880</f>
        <v>119516.6725</v>
      </c>
      <c r="AE880" s="4">
        <f>$K$880*$Y$880</f>
        <v>0</v>
      </c>
      <c r="AF880" s="4">
        <f ca="1">$M$880*$Z$880</f>
        <v>600980.71371296584</v>
      </c>
      <c r="AG880" s="4">
        <f>$O$880*$AA$880</f>
        <v>118225.08612753481</v>
      </c>
    </row>
    <row r="881" spans="1:33" ht="11.25" customHeight="1" x14ac:dyDescent="0.25">
      <c r="A881" s="3" t="s">
        <v>28</v>
      </c>
      <c r="B881" s="3" t="s">
        <v>41</v>
      </c>
      <c r="C881" s="3" t="s">
        <v>42</v>
      </c>
      <c r="D881" s="3" t="s">
        <v>38</v>
      </c>
      <c r="E881" s="3" t="s">
        <v>25</v>
      </c>
      <c r="F881" s="3" t="s">
        <v>25</v>
      </c>
      <c r="G881" s="3" t="s">
        <v>25</v>
      </c>
      <c r="H881" s="3" t="s">
        <v>34</v>
      </c>
      <c r="I881" s="6">
        <v>44501</v>
      </c>
      <c r="J881" s="4">
        <v>0</v>
      </c>
      <c r="K881" s="4">
        <v>0</v>
      </c>
      <c r="L881" s="4">
        <v>9.9710000000000001</v>
      </c>
      <c r="M881" s="4">
        <v>9.9710000000000001</v>
      </c>
      <c r="N881" s="4">
        <v>9.9710000000000001</v>
      </c>
      <c r="O881" s="4">
        <v>9.9710000000000001</v>
      </c>
      <c r="P881" s="4">
        <v>0</v>
      </c>
      <c r="Q881" s="3" t="s">
        <v>26</v>
      </c>
      <c r="R881" s="3">
        <v>0</v>
      </c>
      <c r="S881" s="4">
        <v>0</v>
      </c>
      <c r="T881" s="4">
        <v>20</v>
      </c>
      <c r="U881" s="4">
        <v>88</v>
      </c>
      <c r="V881" s="4">
        <f>IF(ISERROR(VLOOKUP($S$881,'TAR FIN'!$A$1:$O$113,15,0)),0,VLOOKUP($S$881,'TAR FIN'!$A$1:$O$113,15,0))</f>
        <v>0</v>
      </c>
      <c r="W881" s="4">
        <f>IF(ISERROR(VLOOKUP($T$881,'TAR FIN'!$A$1:$O$113,15,0)),0,VLOOKUP($T$881,'TAR FIN'!$A$1:$O$113,15,0))</f>
        <v>1564.59</v>
      </c>
      <c r="X881" s="4">
        <f>IF(ISERROR(VLOOKUP($U$881,'TAR FIN'!$A$1:$O$113,15,0)),0,VLOOKUP($U$881,'TAR FIN'!$A$1:$O$113,15,0))</f>
        <v>365.5</v>
      </c>
      <c r="Y881" s="4"/>
      <c r="Z881" s="4">
        <f ca="1">('TUSD BE'!$AM$31+'TUSD BF'!$AM$31+'TUSD CVA'!$AM$31)*1</f>
        <v>1837.8896121132304</v>
      </c>
      <c r="AA881" s="4">
        <f>('TE BE'!$AA$10+'TE BF'!$AA$10+'TE CVA'!$AA$10)*1</f>
        <v>361.55013418411539</v>
      </c>
      <c r="AB881" s="4">
        <f>$K$881*$V$881</f>
        <v>0</v>
      </c>
      <c r="AC881" s="4">
        <f>$M$881*$W$881</f>
        <v>15600.526889999999</v>
      </c>
      <c r="AD881" s="4">
        <f>$O$881*$X$881</f>
        <v>3644.4005000000002</v>
      </c>
      <c r="AE881" s="4">
        <f>$K$881*$Y$881</f>
        <v>0</v>
      </c>
      <c r="AF881" s="4">
        <f ca="1">$M$881*$Z$881</f>
        <v>18325.597322381022</v>
      </c>
      <c r="AG881" s="4">
        <f>$O$881*$AA$881</f>
        <v>3605.0163879498145</v>
      </c>
    </row>
    <row r="882" spans="1:33" ht="11.25" customHeight="1" x14ac:dyDescent="0.25">
      <c r="A882" s="3" t="s">
        <v>21</v>
      </c>
      <c r="B882" s="3" t="s">
        <v>41</v>
      </c>
      <c r="C882" s="3" t="s">
        <v>42</v>
      </c>
      <c r="D882" s="3" t="s">
        <v>38</v>
      </c>
      <c r="E882" s="3" t="s">
        <v>25</v>
      </c>
      <c r="F882" s="3" t="s">
        <v>25</v>
      </c>
      <c r="G882" s="3" t="s">
        <v>25</v>
      </c>
      <c r="H882" s="3" t="s">
        <v>34</v>
      </c>
      <c r="I882" s="6">
        <v>44531</v>
      </c>
      <c r="J882" s="4">
        <v>0</v>
      </c>
      <c r="K882" s="4">
        <v>0</v>
      </c>
      <c r="L882" s="4">
        <v>347.07600000000002</v>
      </c>
      <c r="M882" s="4">
        <v>347.07600000000002</v>
      </c>
      <c r="N882" s="4">
        <v>347.07600000000002</v>
      </c>
      <c r="O882" s="4">
        <v>347.07600000000002</v>
      </c>
      <c r="P882" s="4">
        <v>0</v>
      </c>
      <c r="Q882" s="3" t="s">
        <v>26</v>
      </c>
      <c r="R882" s="3">
        <v>0</v>
      </c>
      <c r="S882" s="4">
        <v>0</v>
      </c>
      <c r="T882" s="4">
        <v>20</v>
      </c>
      <c r="U882" s="4">
        <v>88</v>
      </c>
      <c r="V882" s="4">
        <f>IF(ISERROR(VLOOKUP($S$882,'TAR FIN'!$A$1:$O$113,15,0)),0,VLOOKUP($S$882,'TAR FIN'!$A$1:$O$113,15,0))</f>
        <v>0</v>
      </c>
      <c r="W882" s="4">
        <f>IF(ISERROR(VLOOKUP($T$882,'TAR FIN'!$A$1:$O$113,15,0)),0,VLOOKUP($T$882,'TAR FIN'!$A$1:$O$113,15,0))</f>
        <v>1564.59</v>
      </c>
      <c r="X882" s="4">
        <f>IF(ISERROR(VLOOKUP($U$882,'TAR FIN'!$A$1:$O$113,15,0)),0,VLOOKUP($U$882,'TAR FIN'!$A$1:$O$113,15,0))</f>
        <v>365.5</v>
      </c>
      <c r="Y882" s="4"/>
      <c r="Z882" s="4">
        <f ca="1">('TUSD BE'!$AM$31+'TUSD BF'!$AM$31+'TUSD CVA'!$AM$31)*1</f>
        <v>1837.8896121132304</v>
      </c>
      <c r="AA882" s="4">
        <f>('TE BE'!$AA$10+'TE BF'!$AA$10+'TE CVA'!$AA$10)*1</f>
        <v>361.55013418411539</v>
      </c>
      <c r="AB882" s="4">
        <f>$K$882*$V$882</f>
        <v>0</v>
      </c>
      <c r="AC882" s="4">
        <f>$M$882*$W$882</f>
        <v>543031.63884000003</v>
      </c>
      <c r="AD882" s="4">
        <f>$O$882*$X$882</f>
        <v>126856.27800000001</v>
      </c>
      <c r="AE882" s="4">
        <f>$K$882*$Y$882</f>
        <v>0</v>
      </c>
      <c r="AF882" s="4">
        <f ca="1">$M$882*$Z$882</f>
        <v>637887.37501381163</v>
      </c>
      <c r="AG882" s="4">
        <f>$O$882*$AA$882</f>
        <v>125485.37437208604</v>
      </c>
    </row>
    <row r="883" spans="1:33" ht="11.25" customHeight="1" x14ac:dyDescent="0.25">
      <c r="A883" s="3" t="s">
        <v>27</v>
      </c>
      <c r="B883" s="3" t="s">
        <v>41</v>
      </c>
      <c r="C883" s="3" t="s">
        <v>42</v>
      </c>
      <c r="D883" s="3" t="s">
        <v>38</v>
      </c>
      <c r="E883" s="3" t="s">
        <v>25</v>
      </c>
      <c r="F883" s="3" t="s">
        <v>25</v>
      </c>
      <c r="G883" s="3" t="s">
        <v>25</v>
      </c>
      <c r="H883" s="3" t="s">
        <v>34</v>
      </c>
      <c r="I883" s="6">
        <v>44531</v>
      </c>
      <c r="J883" s="4">
        <v>0</v>
      </c>
      <c r="K883" s="4">
        <v>0</v>
      </c>
      <c r="L883" s="4">
        <v>-0.126</v>
      </c>
      <c r="M883" s="4">
        <v>-0.126</v>
      </c>
      <c r="N883" s="4">
        <v>-0.126</v>
      </c>
      <c r="O883" s="4">
        <v>-0.126</v>
      </c>
      <c r="P883" s="4">
        <v>0</v>
      </c>
      <c r="Q883" s="3" t="s">
        <v>26</v>
      </c>
      <c r="R883" s="3">
        <v>0</v>
      </c>
      <c r="S883" s="4">
        <v>0</v>
      </c>
      <c r="T883" s="4">
        <v>20</v>
      </c>
      <c r="U883" s="4">
        <v>88</v>
      </c>
      <c r="V883" s="4">
        <f>IF(ISERROR(VLOOKUP($S$883,'TAR FIN'!$A$1:$O$113,15,0)),0,VLOOKUP($S$883,'TAR FIN'!$A$1:$O$113,15,0))</f>
        <v>0</v>
      </c>
      <c r="W883" s="4">
        <f>IF(ISERROR(VLOOKUP($T$883,'TAR FIN'!$A$1:$O$113,15,0)),0,VLOOKUP($T$883,'TAR FIN'!$A$1:$O$113,15,0))</f>
        <v>1564.59</v>
      </c>
      <c r="X883" s="4">
        <f>IF(ISERROR(VLOOKUP($U$883,'TAR FIN'!$A$1:$O$113,15,0)),0,VLOOKUP($U$883,'TAR FIN'!$A$1:$O$113,15,0))</f>
        <v>365.5</v>
      </c>
      <c r="Y883" s="4"/>
      <c r="Z883" s="4">
        <f ca="1">('TUSD BE'!$AM$31+'TUSD BF'!$AM$31+'TUSD CVA'!$AM$31)*1</f>
        <v>1837.8896121132304</v>
      </c>
      <c r="AA883" s="4">
        <f>('TE BE'!$AA$10+'TE BF'!$AA$10+'TE CVA'!$AA$10)*1</f>
        <v>361.55013418411539</v>
      </c>
      <c r="AB883" s="4">
        <f>$K$883*$V$883</f>
        <v>0</v>
      </c>
      <c r="AC883" s="4">
        <f>$M$883*$W$883</f>
        <v>-197.13834</v>
      </c>
      <c r="AD883" s="4">
        <f>$O$883*$X$883</f>
        <v>-46.052999999999997</v>
      </c>
      <c r="AE883" s="4">
        <f>$K$883*$Y$883</f>
        <v>0</v>
      </c>
      <c r="AF883" s="4">
        <f ca="1">$M$883*$Z$883</f>
        <v>-231.57409112626704</v>
      </c>
      <c r="AG883" s="4">
        <f>$O$883*$AA$883</f>
        <v>-45.555316907198538</v>
      </c>
    </row>
    <row r="884" spans="1:33" ht="11.25" customHeight="1" x14ac:dyDescent="0.25">
      <c r="A884" s="3" t="s">
        <v>28</v>
      </c>
      <c r="B884" s="3" t="s">
        <v>41</v>
      </c>
      <c r="C884" s="3" t="s">
        <v>42</v>
      </c>
      <c r="D884" s="3" t="s">
        <v>38</v>
      </c>
      <c r="E884" s="3" t="s">
        <v>25</v>
      </c>
      <c r="F884" s="3" t="s">
        <v>25</v>
      </c>
      <c r="G884" s="3" t="s">
        <v>25</v>
      </c>
      <c r="H884" s="3" t="s">
        <v>34</v>
      </c>
      <c r="I884" s="6">
        <v>44531</v>
      </c>
      <c r="J884" s="4">
        <v>0</v>
      </c>
      <c r="K884" s="4">
        <v>0</v>
      </c>
      <c r="L884" s="4">
        <v>4.3869999999999996</v>
      </c>
      <c r="M884" s="4">
        <v>4.3869999999999996</v>
      </c>
      <c r="N884" s="4">
        <v>4.3869999999999996</v>
      </c>
      <c r="O884" s="4">
        <v>4.3869999999999996</v>
      </c>
      <c r="P884" s="4">
        <v>0</v>
      </c>
      <c r="Q884" s="3" t="s">
        <v>26</v>
      </c>
      <c r="R884" s="3">
        <v>0</v>
      </c>
      <c r="S884" s="4">
        <v>0</v>
      </c>
      <c r="T884" s="4">
        <v>20</v>
      </c>
      <c r="U884" s="4">
        <v>88</v>
      </c>
      <c r="V884" s="4">
        <f>IF(ISERROR(VLOOKUP($S$884,'TAR FIN'!$A$1:$O$113,15,0)),0,VLOOKUP($S$884,'TAR FIN'!$A$1:$O$113,15,0))</f>
        <v>0</v>
      </c>
      <c r="W884" s="4">
        <f>IF(ISERROR(VLOOKUP($T$884,'TAR FIN'!$A$1:$O$113,15,0)),0,VLOOKUP($T$884,'TAR FIN'!$A$1:$O$113,15,0))</f>
        <v>1564.59</v>
      </c>
      <c r="X884" s="4">
        <f>IF(ISERROR(VLOOKUP($U$884,'TAR FIN'!$A$1:$O$113,15,0)),0,VLOOKUP($U$884,'TAR FIN'!$A$1:$O$113,15,0))</f>
        <v>365.5</v>
      </c>
      <c r="Y884" s="4"/>
      <c r="Z884" s="4">
        <f ca="1">('TUSD BE'!$AM$31+'TUSD BF'!$AM$31+'TUSD CVA'!$AM$31)*1</f>
        <v>1837.8896121132304</v>
      </c>
      <c r="AA884" s="4">
        <f>('TE BE'!$AA$10+'TE BF'!$AA$10+'TE CVA'!$AA$10)*1</f>
        <v>361.55013418411539</v>
      </c>
      <c r="AB884" s="4">
        <f>$K$884*$V$884</f>
        <v>0</v>
      </c>
      <c r="AC884" s="4">
        <f>$M$884*$W$884</f>
        <v>6863.8563299999987</v>
      </c>
      <c r="AD884" s="4">
        <f>$O$884*$X$884</f>
        <v>1603.4484999999997</v>
      </c>
      <c r="AE884" s="4">
        <f>$K$884*$Y$884</f>
        <v>0</v>
      </c>
      <c r="AF884" s="4">
        <f ca="1">$M$884*$Z$884</f>
        <v>8062.8217283407412</v>
      </c>
      <c r="AG884" s="4">
        <f>$O$884*$AA$884</f>
        <v>1586.1204386657141</v>
      </c>
    </row>
    <row r="885" spans="1:33" ht="11.25" customHeight="1" x14ac:dyDescent="0.25">
      <c r="A885" s="3" t="s">
        <v>21</v>
      </c>
      <c r="B885" s="3" t="s">
        <v>41</v>
      </c>
      <c r="C885" s="3" t="s">
        <v>42</v>
      </c>
      <c r="D885" s="3" t="s">
        <v>38</v>
      </c>
      <c r="E885" s="3" t="s">
        <v>25</v>
      </c>
      <c r="F885" s="3" t="s">
        <v>25</v>
      </c>
      <c r="G885" s="3" t="s">
        <v>25</v>
      </c>
      <c r="H885" s="3" t="s">
        <v>34</v>
      </c>
      <c r="I885" s="6">
        <v>44562</v>
      </c>
      <c r="J885" s="4">
        <v>0</v>
      </c>
      <c r="K885" s="4">
        <v>0</v>
      </c>
      <c r="L885" s="4">
        <v>381.39</v>
      </c>
      <c r="M885" s="4">
        <v>381.39</v>
      </c>
      <c r="N885" s="4">
        <v>381.39</v>
      </c>
      <c r="O885" s="4">
        <v>381.39</v>
      </c>
      <c r="P885" s="4">
        <v>0</v>
      </c>
      <c r="Q885" s="3" t="s">
        <v>26</v>
      </c>
      <c r="R885" s="3">
        <v>0</v>
      </c>
      <c r="S885" s="4">
        <v>0</v>
      </c>
      <c r="T885" s="4">
        <v>20</v>
      </c>
      <c r="U885" s="4">
        <v>88</v>
      </c>
      <c r="V885" s="4">
        <f>IF(ISERROR(VLOOKUP($S$885,'TAR FIN'!$A$1:$O$113,15,0)),0,VLOOKUP($S$885,'TAR FIN'!$A$1:$O$113,15,0))</f>
        <v>0</v>
      </c>
      <c r="W885" s="4">
        <f>IF(ISERROR(VLOOKUP($T$885,'TAR FIN'!$A$1:$O$113,15,0)),0,VLOOKUP($T$885,'TAR FIN'!$A$1:$O$113,15,0))</f>
        <v>1564.59</v>
      </c>
      <c r="X885" s="4">
        <f>IF(ISERROR(VLOOKUP($U$885,'TAR FIN'!$A$1:$O$113,15,0)),0,VLOOKUP($U$885,'TAR FIN'!$A$1:$O$113,15,0))</f>
        <v>365.5</v>
      </c>
      <c r="Y885" s="4"/>
      <c r="Z885" s="4">
        <f ca="1">('TUSD BE'!$AM$31+'TUSD BF'!$AM$31+'TUSD CVA'!$AM$31)*1</f>
        <v>1837.8896121132304</v>
      </c>
      <c r="AA885" s="4">
        <f>('TE BE'!$AA$10+'TE BF'!$AA$10+'TE CVA'!$AA$10)*1</f>
        <v>361.55013418411539</v>
      </c>
      <c r="AB885" s="4">
        <f>$K$885*$V$885</f>
        <v>0</v>
      </c>
      <c r="AC885" s="4">
        <f>$M$885*$W$885</f>
        <v>596718.98009999993</v>
      </c>
      <c r="AD885" s="4">
        <f>$O$885*$X$885</f>
        <v>139398.04499999998</v>
      </c>
      <c r="AE885" s="4">
        <f>$K$885*$Y$885</f>
        <v>0</v>
      </c>
      <c r="AF885" s="4">
        <f ca="1">$M$885*$Z$885</f>
        <v>700952.71916386497</v>
      </c>
      <c r="AG885" s="4">
        <f>$O$885*$AA$885</f>
        <v>137891.60567647975</v>
      </c>
    </row>
    <row r="886" spans="1:33" ht="11.25" customHeight="1" x14ac:dyDescent="0.25">
      <c r="A886" s="3" t="s">
        <v>27</v>
      </c>
      <c r="B886" s="3" t="s">
        <v>41</v>
      </c>
      <c r="C886" s="3" t="s">
        <v>42</v>
      </c>
      <c r="D886" s="3" t="s">
        <v>38</v>
      </c>
      <c r="E886" s="3" t="s">
        <v>25</v>
      </c>
      <c r="F886" s="3" t="s">
        <v>25</v>
      </c>
      <c r="G886" s="3" t="s">
        <v>25</v>
      </c>
      <c r="H886" s="3" t="s">
        <v>34</v>
      </c>
      <c r="I886" s="6">
        <v>44562</v>
      </c>
      <c r="J886" s="4">
        <v>0</v>
      </c>
      <c r="K886" s="4">
        <v>0</v>
      </c>
      <c r="L886" s="4">
        <v>5.3999999999999999E-2</v>
      </c>
      <c r="M886" s="4">
        <v>5.3999999999999999E-2</v>
      </c>
      <c r="N886" s="4">
        <v>5.3999999999999999E-2</v>
      </c>
      <c r="O886" s="4">
        <v>5.3999999999999999E-2</v>
      </c>
      <c r="P886" s="4">
        <v>0</v>
      </c>
      <c r="Q886" s="3" t="s">
        <v>26</v>
      </c>
      <c r="R886" s="3">
        <v>0</v>
      </c>
      <c r="S886" s="4">
        <v>0</v>
      </c>
      <c r="T886" s="4">
        <v>20</v>
      </c>
      <c r="U886" s="4">
        <v>88</v>
      </c>
      <c r="V886" s="4">
        <f>IF(ISERROR(VLOOKUP($S$886,'TAR FIN'!$A$1:$O$113,15,0)),0,VLOOKUP($S$886,'TAR FIN'!$A$1:$O$113,15,0))</f>
        <v>0</v>
      </c>
      <c r="W886" s="4">
        <f>IF(ISERROR(VLOOKUP($T$886,'TAR FIN'!$A$1:$O$113,15,0)),0,VLOOKUP($T$886,'TAR FIN'!$A$1:$O$113,15,0))</f>
        <v>1564.59</v>
      </c>
      <c r="X886" s="4">
        <f>IF(ISERROR(VLOOKUP($U$886,'TAR FIN'!$A$1:$O$113,15,0)),0,VLOOKUP($U$886,'TAR FIN'!$A$1:$O$113,15,0))</f>
        <v>365.5</v>
      </c>
      <c r="Y886" s="4"/>
      <c r="Z886" s="4">
        <f ca="1">('TUSD BE'!$AM$31+'TUSD BF'!$AM$31+'TUSD CVA'!$AM$31)*1</f>
        <v>1837.8896121132304</v>
      </c>
      <c r="AA886" s="4">
        <f>('TE BE'!$AA$10+'TE BF'!$AA$10+'TE CVA'!$AA$10)*1</f>
        <v>361.55013418411539</v>
      </c>
      <c r="AB886" s="4">
        <f>$K$886*$V$886</f>
        <v>0</v>
      </c>
      <c r="AC886" s="4">
        <f>$M$886*$W$886</f>
        <v>84.487859999999998</v>
      </c>
      <c r="AD886" s="4">
        <f>$O$886*$X$886</f>
        <v>19.736999999999998</v>
      </c>
      <c r="AE886" s="4">
        <f>$K$886*$Y$886</f>
        <v>0</v>
      </c>
      <c r="AF886" s="4">
        <f ca="1">$M$886*$Z$886</f>
        <v>99.246039054114448</v>
      </c>
      <c r="AG886" s="4">
        <f>$O$886*$AA$886</f>
        <v>19.52370724594223</v>
      </c>
    </row>
    <row r="887" spans="1:33" ht="11.25" customHeight="1" x14ac:dyDescent="0.25">
      <c r="A887" s="3" t="s">
        <v>28</v>
      </c>
      <c r="B887" s="3" t="s">
        <v>41</v>
      </c>
      <c r="C887" s="3" t="s">
        <v>42</v>
      </c>
      <c r="D887" s="3" t="s">
        <v>38</v>
      </c>
      <c r="E887" s="3" t="s">
        <v>25</v>
      </c>
      <c r="F887" s="3" t="s">
        <v>25</v>
      </c>
      <c r="G887" s="3" t="s">
        <v>25</v>
      </c>
      <c r="H887" s="3" t="s">
        <v>34</v>
      </c>
      <c r="I887" s="6">
        <v>44562</v>
      </c>
      <c r="J887" s="4">
        <v>0</v>
      </c>
      <c r="K887" s="4">
        <v>0</v>
      </c>
      <c r="L887" s="4">
        <v>2.4369999999999998</v>
      </c>
      <c r="M887" s="4">
        <v>2.4369999999999998</v>
      </c>
      <c r="N887" s="4">
        <v>2.4369999999999998</v>
      </c>
      <c r="O887" s="4">
        <v>2.4369999999999998</v>
      </c>
      <c r="P887" s="4">
        <v>0</v>
      </c>
      <c r="Q887" s="3" t="s">
        <v>26</v>
      </c>
      <c r="R887" s="3">
        <v>0</v>
      </c>
      <c r="S887" s="4">
        <v>0</v>
      </c>
      <c r="T887" s="4">
        <v>20</v>
      </c>
      <c r="U887" s="4">
        <v>88</v>
      </c>
      <c r="V887" s="4">
        <f>IF(ISERROR(VLOOKUP($S$887,'TAR FIN'!$A$1:$O$113,15,0)),0,VLOOKUP($S$887,'TAR FIN'!$A$1:$O$113,15,0))</f>
        <v>0</v>
      </c>
      <c r="W887" s="4">
        <f>IF(ISERROR(VLOOKUP($T$887,'TAR FIN'!$A$1:$O$113,15,0)),0,VLOOKUP($T$887,'TAR FIN'!$A$1:$O$113,15,0))</f>
        <v>1564.59</v>
      </c>
      <c r="X887" s="4">
        <f>IF(ISERROR(VLOOKUP($U$887,'TAR FIN'!$A$1:$O$113,15,0)),0,VLOOKUP($U$887,'TAR FIN'!$A$1:$O$113,15,0))</f>
        <v>365.5</v>
      </c>
      <c r="Y887" s="4"/>
      <c r="Z887" s="4">
        <f ca="1">('TUSD BE'!$AM$31+'TUSD BF'!$AM$31+'TUSD CVA'!$AM$31)*1</f>
        <v>1837.8896121132304</v>
      </c>
      <c r="AA887" s="4">
        <f>('TE BE'!$AA$10+'TE BF'!$AA$10+'TE CVA'!$AA$10)*1</f>
        <v>361.55013418411539</v>
      </c>
      <c r="AB887" s="4">
        <f>$K$887*$V$887</f>
        <v>0</v>
      </c>
      <c r="AC887" s="4">
        <f>$M$887*$W$887</f>
        <v>3812.9058299999997</v>
      </c>
      <c r="AD887" s="4">
        <f>$O$887*$X$887</f>
        <v>890.72349999999994</v>
      </c>
      <c r="AE887" s="4">
        <f>$K$887*$Y$887</f>
        <v>0</v>
      </c>
      <c r="AF887" s="4">
        <f ca="1">$M$887*$Z$887</f>
        <v>4478.9369847199423</v>
      </c>
      <c r="AG887" s="4">
        <f>$O$887*$AA$887</f>
        <v>881.0976770066892</v>
      </c>
    </row>
    <row r="888" spans="1:33" ht="11.25" customHeight="1" x14ac:dyDescent="0.25">
      <c r="A888" s="3" t="s">
        <v>21</v>
      </c>
      <c r="B888" s="3" t="s">
        <v>41</v>
      </c>
      <c r="C888" s="3" t="s">
        <v>42</v>
      </c>
      <c r="D888" s="3" t="s">
        <v>38</v>
      </c>
      <c r="E888" s="3" t="s">
        <v>25</v>
      </c>
      <c r="F888" s="3" t="s">
        <v>25</v>
      </c>
      <c r="G888" s="3" t="s">
        <v>25</v>
      </c>
      <c r="H888" s="3" t="s">
        <v>34</v>
      </c>
      <c r="I888" s="6">
        <v>44593</v>
      </c>
      <c r="J888" s="4">
        <v>0</v>
      </c>
      <c r="K888" s="4">
        <v>0</v>
      </c>
      <c r="L888" s="4">
        <v>299.76799999999997</v>
      </c>
      <c r="M888" s="4">
        <v>299.76799999999997</v>
      </c>
      <c r="N888" s="4">
        <v>299.76799999999997</v>
      </c>
      <c r="O888" s="4">
        <v>299.76799999999997</v>
      </c>
      <c r="P888" s="4">
        <v>0</v>
      </c>
      <c r="Q888" s="3" t="s">
        <v>26</v>
      </c>
      <c r="R888" s="3">
        <v>0</v>
      </c>
      <c r="S888" s="4">
        <v>0</v>
      </c>
      <c r="T888" s="4">
        <v>20</v>
      </c>
      <c r="U888" s="4">
        <v>88</v>
      </c>
      <c r="V888" s="4">
        <f>IF(ISERROR(VLOOKUP($S$888,'TAR FIN'!$A$1:$O$113,15,0)),0,VLOOKUP($S$888,'TAR FIN'!$A$1:$O$113,15,0))</f>
        <v>0</v>
      </c>
      <c r="W888" s="4">
        <f>IF(ISERROR(VLOOKUP($T$888,'TAR FIN'!$A$1:$O$113,15,0)),0,VLOOKUP($T$888,'TAR FIN'!$A$1:$O$113,15,0))</f>
        <v>1564.59</v>
      </c>
      <c r="X888" s="4">
        <f>IF(ISERROR(VLOOKUP($U$888,'TAR FIN'!$A$1:$O$113,15,0)),0,VLOOKUP($U$888,'TAR FIN'!$A$1:$O$113,15,0))</f>
        <v>365.5</v>
      </c>
      <c r="Y888" s="4"/>
      <c r="Z888" s="4">
        <f ca="1">('TUSD BE'!$AM$31+'TUSD BF'!$AM$31+'TUSD CVA'!$AM$31)*1</f>
        <v>1837.8896121132304</v>
      </c>
      <c r="AA888" s="4">
        <f>('TE BE'!$AA$10+'TE BF'!$AA$10+'TE CVA'!$AA$10)*1</f>
        <v>361.55013418411539</v>
      </c>
      <c r="AB888" s="4">
        <f>$K$888*$V$888</f>
        <v>0</v>
      </c>
      <c r="AC888" s="4">
        <f>$M$888*$W$888</f>
        <v>469014.01511999994</v>
      </c>
      <c r="AD888" s="4">
        <f>$O$888*$X$888</f>
        <v>109565.20399999998</v>
      </c>
      <c r="AE888" s="4">
        <f>$K$888*$Y$888</f>
        <v>0</v>
      </c>
      <c r="AF888" s="4">
        <f ca="1">$M$888*$Z$888</f>
        <v>550940.4932439588</v>
      </c>
      <c r="AG888" s="4">
        <f>$O$888*$AA$888</f>
        <v>108381.1606241039</v>
      </c>
    </row>
    <row r="889" spans="1:33" ht="11.25" customHeight="1" x14ac:dyDescent="0.25">
      <c r="A889" s="3" t="s">
        <v>27</v>
      </c>
      <c r="B889" s="3" t="s">
        <v>41</v>
      </c>
      <c r="C889" s="3" t="s">
        <v>42</v>
      </c>
      <c r="D889" s="3" t="s">
        <v>38</v>
      </c>
      <c r="E889" s="3" t="s">
        <v>25</v>
      </c>
      <c r="F889" s="3" t="s">
        <v>25</v>
      </c>
      <c r="G889" s="3" t="s">
        <v>25</v>
      </c>
      <c r="H889" s="3" t="s">
        <v>34</v>
      </c>
      <c r="I889" s="6">
        <v>44593</v>
      </c>
      <c r="J889" s="4">
        <v>0</v>
      </c>
      <c r="K889" s="4">
        <v>0</v>
      </c>
      <c r="L889" s="4">
        <v>-1.3839999999999999</v>
      </c>
      <c r="M889" s="4">
        <v>-1.3839999999999999</v>
      </c>
      <c r="N889" s="4">
        <v>-1.3839999999999999</v>
      </c>
      <c r="O889" s="4">
        <v>-1.3839999999999999</v>
      </c>
      <c r="P889" s="4">
        <v>0</v>
      </c>
      <c r="Q889" s="3" t="s">
        <v>26</v>
      </c>
      <c r="R889" s="3">
        <v>0</v>
      </c>
      <c r="S889" s="4">
        <v>0</v>
      </c>
      <c r="T889" s="4">
        <v>20</v>
      </c>
      <c r="U889" s="4">
        <v>88</v>
      </c>
      <c r="V889" s="4">
        <f>IF(ISERROR(VLOOKUP($S$889,'TAR FIN'!$A$1:$O$113,15,0)),0,VLOOKUP($S$889,'TAR FIN'!$A$1:$O$113,15,0))</f>
        <v>0</v>
      </c>
      <c r="W889" s="4">
        <f>IF(ISERROR(VLOOKUP($T$889,'TAR FIN'!$A$1:$O$113,15,0)),0,VLOOKUP($T$889,'TAR FIN'!$A$1:$O$113,15,0))</f>
        <v>1564.59</v>
      </c>
      <c r="X889" s="4">
        <f>IF(ISERROR(VLOOKUP($U$889,'TAR FIN'!$A$1:$O$113,15,0)),0,VLOOKUP($U$889,'TAR FIN'!$A$1:$O$113,15,0))</f>
        <v>365.5</v>
      </c>
      <c r="Y889" s="4"/>
      <c r="Z889" s="4">
        <f ca="1">('TUSD BE'!$AM$31+'TUSD BF'!$AM$31+'TUSD CVA'!$AM$31)*1</f>
        <v>1837.8896121132304</v>
      </c>
      <c r="AA889" s="4">
        <f>('TE BE'!$AA$10+'TE BF'!$AA$10+'TE CVA'!$AA$10)*1</f>
        <v>361.55013418411539</v>
      </c>
      <c r="AB889" s="4">
        <f>$K$889*$V$889</f>
        <v>0</v>
      </c>
      <c r="AC889" s="4">
        <f>$M$889*$W$889</f>
        <v>-2165.3925599999998</v>
      </c>
      <c r="AD889" s="4">
        <f>$O$889*$X$889</f>
        <v>-505.85199999999998</v>
      </c>
      <c r="AE889" s="4">
        <f>$K$889*$Y$889</f>
        <v>0</v>
      </c>
      <c r="AF889" s="4">
        <f ca="1">$M$889*$Z$889</f>
        <v>-2543.6392231647105</v>
      </c>
      <c r="AG889" s="4">
        <f>$O$889*$AA$889</f>
        <v>-500.38538571081568</v>
      </c>
    </row>
    <row r="890" spans="1:33" ht="11.25" customHeight="1" x14ac:dyDescent="0.25">
      <c r="A890" s="3" t="s">
        <v>28</v>
      </c>
      <c r="B890" s="3" t="s">
        <v>41</v>
      </c>
      <c r="C890" s="3" t="s">
        <v>42</v>
      </c>
      <c r="D890" s="3" t="s">
        <v>38</v>
      </c>
      <c r="E890" s="3" t="s">
        <v>25</v>
      </c>
      <c r="F890" s="3" t="s">
        <v>25</v>
      </c>
      <c r="G890" s="3" t="s">
        <v>25</v>
      </c>
      <c r="H890" s="3" t="s">
        <v>34</v>
      </c>
      <c r="I890" s="6">
        <v>44593</v>
      </c>
      <c r="J890" s="4">
        <v>0</v>
      </c>
      <c r="K890" s="4">
        <v>0</v>
      </c>
      <c r="L890" s="4">
        <v>5.367</v>
      </c>
      <c r="M890" s="4">
        <v>5.367</v>
      </c>
      <c r="N890" s="4">
        <v>5.367</v>
      </c>
      <c r="O890" s="4">
        <v>5.367</v>
      </c>
      <c r="P890" s="4">
        <v>0</v>
      </c>
      <c r="Q890" s="3" t="s">
        <v>26</v>
      </c>
      <c r="R890" s="3">
        <v>0</v>
      </c>
      <c r="S890" s="4">
        <v>0</v>
      </c>
      <c r="T890" s="4">
        <v>20</v>
      </c>
      <c r="U890" s="4">
        <v>88</v>
      </c>
      <c r="V890" s="4">
        <f>IF(ISERROR(VLOOKUP($S$890,'TAR FIN'!$A$1:$O$113,15,0)),0,VLOOKUP($S$890,'TAR FIN'!$A$1:$O$113,15,0))</f>
        <v>0</v>
      </c>
      <c r="W890" s="4">
        <f>IF(ISERROR(VLOOKUP($T$890,'TAR FIN'!$A$1:$O$113,15,0)),0,VLOOKUP($T$890,'TAR FIN'!$A$1:$O$113,15,0))</f>
        <v>1564.59</v>
      </c>
      <c r="X890" s="4">
        <f>IF(ISERROR(VLOOKUP($U$890,'TAR FIN'!$A$1:$O$113,15,0)),0,VLOOKUP($U$890,'TAR FIN'!$A$1:$O$113,15,0))</f>
        <v>365.5</v>
      </c>
      <c r="Y890" s="4"/>
      <c r="Z890" s="4">
        <f ca="1">('TUSD BE'!$AM$31+'TUSD BF'!$AM$31+'TUSD CVA'!$AM$31)*1</f>
        <v>1837.8896121132304</v>
      </c>
      <c r="AA890" s="4">
        <f>('TE BE'!$AA$10+'TE BF'!$AA$10+'TE CVA'!$AA$10)*1</f>
        <v>361.55013418411539</v>
      </c>
      <c r="AB890" s="4">
        <f>$K$890*$V$890</f>
        <v>0</v>
      </c>
      <c r="AC890" s="4">
        <f>$M$890*$W$890</f>
        <v>8397.1545299999998</v>
      </c>
      <c r="AD890" s="4">
        <f>$O$890*$X$890</f>
        <v>1961.6385</v>
      </c>
      <c r="AE890" s="4">
        <f>$K$890*$Y$890</f>
        <v>0</v>
      </c>
      <c r="AF890" s="4">
        <f ca="1">$M$890*$Z$890</f>
        <v>9863.953548211708</v>
      </c>
      <c r="AG890" s="4">
        <f>$O$890*$AA$890</f>
        <v>1940.4395701661474</v>
      </c>
    </row>
    <row r="891" spans="1:33" ht="11.25" customHeight="1" x14ac:dyDescent="0.25">
      <c r="A891" s="3" t="s">
        <v>56</v>
      </c>
      <c r="B891" s="3" t="s">
        <v>41</v>
      </c>
      <c r="C891" s="3" t="s">
        <v>42</v>
      </c>
      <c r="D891" s="3" t="s">
        <v>38</v>
      </c>
      <c r="E891" s="3" t="s">
        <v>25</v>
      </c>
      <c r="F891" s="3" t="s">
        <v>25</v>
      </c>
      <c r="G891" s="3" t="s">
        <v>25</v>
      </c>
      <c r="H891" s="3" t="s">
        <v>34</v>
      </c>
      <c r="I891" s="6">
        <v>44621</v>
      </c>
      <c r="J891" s="4">
        <v>0</v>
      </c>
      <c r="K891" s="4">
        <v>0</v>
      </c>
      <c r="L891" s="4">
        <v>299.76799999999997</v>
      </c>
      <c r="M891" s="4">
        <v>299.76799999999997</v>
      </c>
      <c r="N891" s="4">
        <v>299.76799999999997</v>
      </c>
      <c r="O891" s="4">
        <v>299.76799999999997</v>
      </c>
      <c r="P891" s="4">
        <v>0</v>
      </c>
      <c r="Q891" s="3" t="s">
        <v>26</v>
      </c>
      <c r="R891" s="3">
        <v>0</v>
      </c>
      <c r="S891" s="4">
        <v>0</v>
      </c>
      <c r="T891" s="4">
        <v>20</v>
      </c>
      <c r="U891" s="4">
        <v>88</v>
      </c>
      <c r="V891" s="4">
        <f>IF(ISERROR(VLOOKUP($S$891,'TAR FIN'!$A$1:$O$113,15,0)),0,VLOOKUP($S$891,'TAR FIN'!$A$1:$O$113,15,0))</f>
        <v>0</v>
      </c>
      <c r="W891" s="4">
        <f>IF(ISERROR(VLOOKUP($T$891,'TAR FIN'!$A$1:$O$113,15,0)),0,VLOOKUP($T$891,'TAR FIN'!$A$1:$O$113,15,0))</f>
        <v>1564.59</v>
      </c>
      <c r="X891" s="4">
        <f>IF(ISERROR(VLOOKUP($U$891,'TAR FIN'!$A$1:$O$113,15,0)),0,VLOOKUP($U$891,'TAR FIN'!$A$1:$O$113,15,0))</f>
        <v>365.5</v>
      </c>
      <c r="Y891" s="4"/>
      <c r="Z891" s="4">
        <f ca="1">('TUSD BE'!$AM$31+'TUSD BF'!$AM$31+'TUSD CVA'!$AM$31)*1</f>
        <v>1837.8896121132304</v>
      </c>
      <c r="AA891" s="4">
        <f>('TE BE'!$AA$10+'TE BF'!$AA$10+'TE CVA'!$AA$10)*1</f>
        <v>361.55013418411539</v>
      </c>
      <c r="AB891" s="4">
        <f>$K$891*$V$891</f>
        <v>0</v>
      </c>
      <c r="AC891" s="4">
        <f>$M$891*$W$891</f>
        <v>469014.01511999994</v>
      </c>
      <c r="AD891" s="4">
        <f>$O$891*$X$891</f>
        <v>109565.20399999998</v>
      </c>
      <c r="AE891" s="4">
        <f>$K$891*$Y$891</f>
        <v>0</v>
      </c>
      <c r="AF891" s="4">
        <f ca="1">$M$891*$Z$891</f>
        <v>550940.4932439588</v>
      </c>
      <c r="AG891" s="4">
        <f>$O$891*$AA$891</f>
        <v>108381.1606241039</v>
      </c>
    </row>
    <row r="892" spans="1:33" ht="11.25" customHeight="1" x14ac:dyDescent="0.25">
      <c r="A892" s="3" t="s">
        <v>56</v>
      </c>
      <c r="B892" s="3" t="s">
        <v>41</v>
      </c>
      <c r="C892" s="3" t="s">
        <v>42</v>
      </c>
      <c r="D892" s="3" t="s">
        <v>38</v>
      </c>
      <c r="E892" s="3" t="s">
        <v>25</v>
      </c>
      <c r="F892" s="3" t="s">
        <v>25</v>
      </c>
      <c r="G892" s="3" t="s">
        <v>25</v>
      </c>
      <c r="H892" s="3" t="s">
        <v>34</v>
      </c>
      <c r="I892" s="6">
        <v>44621</v>
      </c>
      <c r="J892" s="4">
        <v>0</v>
      </c>
      <c r="K892" s="4">
        <v>0</v>
      </c>
      <c r="L892" s="4">
        <v>-1.3839999999999999</v>
      </c>
      <c r="M892" s="4">
        <v>-1.3839999999999999</v>
      </c>
      <c r="N892" s="4">
        <v>-1.3839999999999999</v>
      </c>
      <c r="O892" s="4">
        <v>-1.3839999999999999</v>
      </c>
      <c r="P892" s="4">
        <v>0</v>
      </c>
      <c r="Q892" s="3" t="s">
        <v>26</v>
      </c>
      <c r="R892" s="3">
        <v>0</v>
      </c>
      <c r="S892" s="4">
        <v>0</v>
      </c>
      <c r="T892" s="4">
        <v>20</v>
      </c>
      <c r="U892" s="4">
        <v>88</v>
      </c>
      <c r="V892" s="4">
        <f>IF(ISERROR(VLOOKUP($S$892,'TAR FIN'!$A$1:$O$113,15,0)),0,VLOOKUP($S$892,'TAR FIN'!$A$1:$O$113,15,0))</f>
        <v>0</v>
      </c>
      <c r="W892" s="4">
        <f>IF(ISERROR(VLOOKUP($T$892,'TAR FIN'!$A$1:$O$113,15,0)),0,VLOOKUP($T$892,'TAR FIN'!$A$1:$O$113,15,0))</f>
        <v>1564.59</v>
      </c>
      <c r="X892" s="4">
        <f>IF(ISERROR(VLOOKUP($U$892,'TAR FIN'!$A$1:$O$113,15,0)),0,VLOOKUP($U$892,'TAR FIN'!$A$1:$O$113,15,0))</f>
        <v>365.5</v>
      </c>
      <c r="Y892" s="4"/>
      <c r="Z892" s="4">
        <f ca="1">('TUSD BE'!$AM$31+'TUSD BF'!$AM$31+'TUSD CVA'!$AM$31)*1</f>
        <v>1837.8896121132304</v>
      </c>
      <c r="AA892" s="4">
        <f>('TE BE'!$AA$10+'TE BF'!$AA$10+'TE CVA'!$AA$10)*1</f>
        <v>361.55013418411539</v>
      </c>
      <c r="AB892" s="4">
        <f>$K$892*$V$892</f>
        <v>0</v>
      </c>
      <c r="AC892" s="4">
        <f>$M$892*$W$892</f>
        <v>-2165.3925599999998</v>
      </c>
      <c r="AD892" s="4">
        <f>$O$892*$X$892</f>
        <v>-505.85199999999998</v>
      </c>
      <c r="AE892" s="4">
        <f>$K$892*$Y$892</f>
        <v>0</v>
      </c>
      <c r="AF892" s="4">
        <f ca="1">$M$892*$Z$892</f>
        <v>-2543.6392231647105</v>
      </c>
      <c r="AG892" s="4">
        <f>$O$892*$AA$892</f>
        <v>-500.38538571081568</v>
      </c>
    </row>
    <row r="893" spans="1:33" ht="11.25" customHeight="1" x14ac:dyDescent="0.25">
      <c r="A893" s="3" t="s">
        <v>56</v>
      </c>
      <c r="B893" s="3" t="s">
        <v>41</v>
      </c>
      <c r="C893" s="3" t="s">
        <v>42</v>
      </c>
      <c r="D893" s="3" t="s">
        <v>38</v>
      </c>
      <c r="E893" s="3" t="s">
        <v>25</v>
      </c>
      <c r="F893" s="3" t="s">
        <v>25</v>
      </c>
      <c r="G893" s="3" t="s">
        <v>25</v>
      </c>
      <c r="H893" s="3" t="s">
        <v>34</v>
      </c>
      <c r="I893" s="6">
        <v>44621</v>
      </c>
      <c r="J893" s="4">
        <v>0</v>
      </c>
      <c r="K893" s="4">
        <v>0</v>
      </c>
      <c r="L893" s="4">
        <v>5.367</v>
      </c>
      <c r="M893" s="4">
        <v>5.367</v>
      </c>
      <c r="N893" s="4">
        <v>5.367</v>
      </c>
      <c r="O893" s="4">
        <v>5.367</v>
      </c>
      <c r="P893" s="4">
        <v>0</v>
      </c>
      <c r="Q893" s="3" t="s">
        <v>26</v>
      </c>
      <c r="R893" s="3">
        <v>0</v>
      </c>
      <c r="S893" s="4">
        <v>0</v>
      </c>
      <c r="T893" s="4">
        <v>20</v>
      </c>
      <c r="U893" s="4">
        <v>88</v>
      </c>
      <c r="V893" s="4">
        <f>IF(ISERROR(VLOOKUP($S$893,'TAR FIN'!$A$1:$O$113,15,0)),0,VLOOKUP($S$893,'TAR FIN'!$A$1:$O$113,15,0))</f>
        <v>0</v>
      </c>
      <c r="W893" s="4">
        <f>IF(ISERROR(VLOOKUP($T$893,'TAR FIN'!$A$1:$O$113,15,0)),0,VLOOKUP($T$893,'TAR FIN'!$A$1:$O$113,15,0))</f>
        <v>1564.59</v>
      </c>
      <c r="X893" s="4">
        <f>IF(ISERROR(VLOOKUP($U$893,'TAR FIN'!$A$1:$O$113,15,0)),0,VLOOKUP($U$893,'TAR FIN'!$A$1:$O$113,15,0))</f>
        <v>365.5</v>
      </c>
      <c r="Y893" s="4"/>
      <c r="Z893" s="4">
        <f ca="1">('TUSD BE'!$AM$31+'TUSD BF'!$AM$31+'TUSD CVA'!$AM$31)*1</f>
        <v>1837.8896121132304</v>
      </c>
      <c r="AA893" s="4">
        <f>('TE BE'!$AA$10+'TE BF'!$AA$10+'TE CVA'!$AA$10)*1</f>
        <v>361.55013418411539</v>
      </c>
      <c r="AB893" s="4">
        <f>$K$893*$V$893</f>
        <v>0</v>
      </c>
      <c r="AC893" s="4">
        <f>$M$893*$W$893</f>
        <v>8397.1545299999998</v>
      </c>
      <c r="AD893" s="4">
        <f>$O$893*$X$893</f>
        <v>1961.6385</v>
      </c>
      <c r="AE893" s="4">
        <f>$K$893*$Y$893</f>
        <v>0</v>
      </c>
      <c r="AF893" s="4">
        <f ca="1">$M$893*$Z$893</f>
        <v>9863.953548211708</v>
      </c>
      <c r="AG893" s="4">
        <f>$O$893*$AA$893</f>
        <v>1940.4395701661474</v>
      </c>
    </row>
    <row r="894" spans="1:33" ht="11.25" customHeight="1" x14ac:dyDescent="0.25">
      <c r="A894" s="3" t="s">
        <v>21</v>
      </c>
      <c r="B894" s="3" t="s">
        <v>41</v>
      </c>
      <c r="C894" s="3" t="s">
        <v>42</v>
      </c>
      <c r="D894" s="3" t="s">
        <v>46</v>
      </c>
      <c r="E894" s="3" t="s">
        <v>25</v>
      </c>
      <c r="F894" s="3" t="s">
        <v>25</v>
      </c>
      <c r="G894" s="3" t="s">
        <v>25</v>
      </c>
      <c r="H894" s="3" t="s">
        <v>35</v>
      </c>
      <c r="I894" s="6">
        <v>44287</v>
      </c>
      <c r="J894" s="4">
        <v>0</v>
      </c>
      <c r="K894" s="4">
        <v>0</v>
      </c>
      <c r="L894" s="4">
        <v>3678.45</v>
      </c>
      <c r="M894" s="4">
        <v>3678.45</v>
      </c>
      <c r="N894" s="4">
        <v>3678.45</v>
      </c>
      <c r="O894" s="4">
        <v>3678.45</v>
      </c>
      <c r="P894" s="4">
        <v>0</v>
      </c>
      <c r="Q894" s="3" t="s">
        <v>26</v>
      </c>
      <c r="R894" s="3">
        <v>0</v>
      </c>
      <c r="S894" s="4">
        <v>0</v>
      </c>
      <c r="T894" s="4">
        <v>21</v>
      </c>
      <c r="U894" s="4">
        <v>89</v>
      </c>
      <c r="V894" s="4">
        <f>IF(ISERROR(VLOOKUP($S$894,'TAR FIN'!$A$1:$O$113,15,0)),0,VLOOKUP($S$894,'TAR FIN'!$A$1:$O$113,15,0))</f>
        <v>0</v>
      </c>
      <c r="W894" s="4">
        <f>IF(ISERROR(VLOOKUP($T$894,'TAR FIN'!$A$1:$O$113,15,0)),0,VLOOKUP($T$894,'TAR FIN'!$A$1:$O$113,15,0))</f>
        <v>51.27</v>
      </c>
      <c r="X894" s="4">
        <f>IF(ISERROR(VLOOKUP($U$894,'TAR FIN'!$A$1:$O$113,15,0)),0,VLOOKUP($U$894,'TAR FIN'!$A$1:$O$113,15,0))</f>
        <v>222.31</v>
      </c>
      <c r="Y894" s="4"/>
      <c r="Z894" s="4">
        <f ca="1">('TUSD BE'!$AM$32+'TUSD BF'!$AM$32+'TUSD CVA'!$AM$32)*1</f>
        <v>65.007409626508434</v>
      </c>
      <c r="AA894" s="4">
        <f>('TE BE'!$AA$11+'TE BF'!$AA$11+'TE CVA'!$AA$11)*1</f>
        <v>223.14561812044704</v>
      </c>
      <c r="AB894" s="4">
        <f>$K$894*$V$894</f>
        <v>0</v>
      </c>
      <c r="AC894" s="4">
        <f>$M$894*$W$894</f>
        <v>188594.13149999999</v>
      </c>
      <c r="AD894" s="4">
        <f>$O$894*$X$894</f>
        <v>817756.21950000001</v>
      </c>
      <c r="AE894" s="4">
        <f>$K$894*$Y$894</f>
        <v>0</v>
      </c>
      <c r="AF894" s="4">
        <f ca="1">$M$894*$Z$894</f>
        <v>239126.50594062993</v>
      </c>
      <c r="AG894" s="4">
        <f>$O$894*$AA$894</f>
        <v>820829.99897515832</v>
      </c>
    </row>
    <row r="895" spans="1:33" ht="11.25" customHeight="1" x14ac:dyDescent="0.25">
      <c r="A895" s="3" t="s">
        <v>28</v>
      </c>
      <c r="B895" s="3" t="s">
        <v>41</v>
      </c>
      <c r="C895" s="3" t="s">
        <v>42</v>
      </c>
      <c r="D895" s="3" t="s">
        <v>46</v>
      </c>
      <c r="E895" s="3" t="s">
        <v>25</v>
      </c>
      <c r="F895" s="3" t="s">
        <v>25</v>
      </c>
      <c r="G895" s="3" t="s">
        <v>25</v>
      </c>
      <c r="H895" s="3" t="s">
        <v>35</v>
      </c>
      <c r="I895" s="6">
        <v>44287</v>
      </c>
      <c r="J895" s="4">
        <v>0</v>
      </c>
      <c r="K895" s="4">
        <v>0</v>
      </c>
      <c r="L895" s="4">
        <v>330.58699999999999</v>
      </c>
      <c r="M895" s="4">
        <v>330.58699999999999</v>
      </c>
      <c r="N895" s="4">
        <v>330.58699999999999</v>
      </c>
      <c r="O895" s="4">
        <v>330.58699999999999</v>
      </c>
      <c r="P895" s="4">
        <v>0</v>
      </c>
      <c r="Q895" s="3" t="s">
        <v>26</v>
      </c>
      <c r="R895" s="3">
        <v>0</v>
      </c>
      <c r="S895" s="4">
        <v>0</v>
      </c>
      <c r="T895" s="4">
        <v>21</v>
      </c>
      <c r="U895" s="4">
        <v>89</v>
      </c>
      <c r="V895" s="4">
        <f>IF(ISERROR(VLOOKUP($S$895,'TAR FIN'!$A$1:$O$113,15,0)),0,VLOOKUP($S$895,'TAR FIN'!$A$1:$O$113,15,0))</f>
        <v>0</v>
      </c>
      <c r="W895" s="4">
        <f>IF(ISERROR(VLOOKUP($T$895,'TAR FIN'!$A$1:$O$113,15,0)),0,VLOOKUP($T$895,'TAR FIN'!$A$1:$O$113,15,0))</f>
        <v>51.27</v>
      </c>
      <c r="X895" s="4">
        <f>IF(ISERROR(VLOOKUP($U$895,'TAR FIN'!$A$1:$O$113,15,0)),0,VLOOKUP($U$895,'TAR FIN'!$A$1:$O$113,15,0))</f>
        <v>222.31</v>
      </c>
      <c r="Y895" s="4"/>
      <c r="Z895" s="4">
        <f ca="1">('TUSD BE'!$AM$32+'TUSD BF'!$AM$32+'TUSD CVA'!$AM$32)*1</f>
        <v>65.007409626508434</v>
      </c>
      <c r="AA895" s="4">
        <f>('TE BE'!$AA$11+'TE BF'!$AA$11+'TE CVA'!$AA$11)*1</f>
        <v>223.14561812044704</v>
      </c>
      <c r="AB895" s="4">
        <f>$K$895*$V$895</f>
        <v>0</v>
      </c>
      <c r="AC895" s="4">
        <f>$M$895*$W$895</f>
        <v>16949.195490000002</v>
      </c>
      <c r="AD895" s="4">
        <f>$O$895*$X$895</f>
        <v>73492.795969999992</v>
      </c>
      <c r="AE895" s="4">
        <f>$K$895*$Y$895</f>
        <v>0</v>
      </c>
      <c r="AF895" s="4">
        <f ca="1">$M$895*$Z$895</f>
        <v>21490.604526198542</v>
      </c>
      <c r="AG895" s="4">
        <f>$O$895*$AA$895</f>
        <v>73769.040457584226</v>
      </c>
    </row>
    <row r="896" spans="1:33" ht="11.25" customHeight="1" x14ac:dyDescent="0.25">
      <c r="A896" s="3" t="s">
        <v>21</v>
      </c>
      <c r="B896" s="3" t="s">
        <v>41</v>
      </c>
      <c r="C896" s="3" t="s">
        <v>42</v>
      </c>
      <c r="D896" s="3" t="s">
        <v>46</v>
      </c>
      <c r="E896" s="3" t="s">
        <v>25</v>
      </c>
      <c r="F896" s="3" t="s">
        <v>25</v>
      </c>
      <c r="G896" s="3" t="s">
        <v>25</v>
      </c>
      <c r="H896" s="3" t="s">
        <v>35</v>
      </c>
      <c r="I896" s="6">
        <v>44317</v>
      </c>
      <c r="J896" s="4">
        <v>0</v>
      </c>
      <c r="K896" s="4">
        <v>0</v>
      </c>
      <c r="L896" s="4">
        <v>3330.223</v>
      </c>
      <c r="M896" s="4">
        <v>3330.223</v>
      </c>
      <c r="N896" s="4">
        <v>3330.223</v>
      </c>
      <c r="O896" s="4">
        <v>3330.223</v>
      </c>
      <c r="P896" s="4">
        <v>0</v>
      </c>
      <c r="Q896" s="3" t="s">
        <v>26</v>
      </c>
      <c r="R896" s="3">
        <v>0</v>
      </c>
      <c r="S896" s="4">
        <v>0</v>
      </c>
      <c r="T896" s="4">
        <v>21</v>
      </c>
      <c r="U896" s="4">
        <v>89</v>
      </c>
      <c r="V896" s="4">
        <f>IF(ISERROR(VLOOKUP($S$896,'TAR FIN'!$A$1:$O$113,15,0)),0,VLOOKUP($S$896,'TAR FIN'!$A$1:$O$113,15,0))</f>
        <v>0</v>
      </c>
      <c r="W896" s="4">
        <f>IF(ISERROR(VLOOKUP($T$896,'TAR FIN'!$A$1:$O$113,15,0)),0,VLOOKUP($T$896,'TAR FIN'!$A$1:$O$113,15,0))</f>
        <v>51.27</v>
      </c>
      <c r="X896" s="4">
        <f>IF(ISERROR(VLOOKUP($U$896,'TAR FIN'!$A$1:$O$113,15,0)),0,VLOOKUP($U$896,'TAR FIN'!$A$1:$O$113,15,0))</f>
        <v>222.31</v>
      </c>
      <c r="Y896" s="4"/>
      <c r="Z896" s="4">
        <f ca="1">('TUSD BE'!$AM$32+'TUSD BF'!$AM$32+'TUSD CVA'!$AM$32)*1</f>
        <v>65.007409626508434</v>
      </c>
      <c r="AA896" s="4">
        <f>('TE BE'!$AA$11+'TE BF'!$AA$11+'TE CVA'!$AA$11)*1</f>
        <v>223.14561812044704</v>
      </c>
      <c r="AB896" s="4">
        <f>$K$896*$V$896</f>
        <v>0</v>
      </c>
      <c r="AC896" s="4">
        <f>$M$896*$W$896</f>
        <v>170740.53320999999</v>
      </c>
      <c r="AD896" s="4">
        <f>$O$896*$X$896</f>
        <v>740341.87512999994</v>
      </c>
      <c r="AE896" s="4">
        <f>$K$896*$Y$896</f>
        <v>0</v>
      </c>
      <c r="AF896" s="4">
        <f ca="1">$M$896*$Z$896</f>
        <v>216489.17070861979</v>
      </c>
      <c r="AG896" s="4">
        <f>$O$896*$AA$896</f>
        <v>743124.66981392947</v>
      </c>
    </row>
    <row r="897" spans="1:33" ht="11.25" customHeight="1" x14ac:dyDescent="0.25">
      <c r="A897" s="3" t="s">
        <v>28</v>
      </c>
      <c r="B897" s="3" t="s">
        <v>41</v>
      </c>
      <c r="C897" s="3" t="s">
        <v>42</v>
      </c>
      <c r="D897" s="3" t="s">
        <v>46</v>
      </c>
      <c r="E897" s="3" t="s">
        <v>25</v>
      </c>
      <c r="F897" s="3" t="s">
        <v>25</v>
      </c>
      <c r="G897" s="3" t="s">
        <v>25</v>
      </c>
      <c r="H897" s="3" t="s">
        <v>35</v>
      </c>
      <c r="I897" s="6">
        <v>44317</v>
      </c>
      <c r="J897" s="4">
        <v>0</v>
      </c>
      <c r="K897" s="4">
        <v>0</v>
      </c>
      <c r="L897" s="4">
        <v>364.75200000000001</v>
      </c>
      <c r="M897" s="4">
        <v>364.75200000000001</v>
      </c>
      <c r="N897" s="4">
        <v>364.75200000000001</v>
      </c>
      <c r="O897" s="4">
        <v>364.75200000000001</v>
      </c>
      <c r="P897" s="4">
        <v>0</v>
      </c>
      <c r="Q897" s="3" t="s">
        <v>26</v>
      </c>
      <c r="R897" s="3">
        <v>0</v>
      </c>
      <c r="S897" s="4">
        <v>0</v>
      </c>
      <c r="T897" s="4">
        <v>21</v>
      </c>
      <c r="U897" s="4">
        <v>89</v>
      </c>
      <c r="V897" s="4">
        <f>IF(ISERROR(VLOOKUP($S$897,'TAR FIN'!$A$1:$O$113,15,0)),0,VLOOKUP($S$897,'TAR FIN'!$A$1:$O$113,15,0))</f>
        <v>0</v>
      </c>
      <c r="W897" s="4">
        <f>IF(ISERROR(VLOOKUP($T$897,'TAR FIN'!$A$1:$O$113,15,0)),0,VLOOKUP($T$897,'TAR FIN'!$A$1:$O$113,15,0))</f>
        <v>51.27</v>
      </c>
      <c r="X897" s="4">
        <f>IF(ISERROR(VLOOKUP($U$897,'TAR FIN'!$A$1:$O$113,15,0)),0,VLOOKUP($U$897,'TAR FIN'!$A$1:$O$113,15,0))</f>
        <v>222.31</v>
      </c>
      <c r="Y897" s="4"/>
      <c r="Z897" s="4">
        <f ca="1">('TUSD BE'!$AM$32+'TUSD BF'!$AM$32+'TUSD CVA'!$AM$32)*1</f>
        <v>65.007409626508434</v>
      </c>
      <c r="AA897" s="4">
        <f>('TE BE'!$AA$11+'TE BF'!$AA$11+'TE CVA'!$AA$11)*1</f>
        <v>223.14561812044704</v>
      </c>
      <c r="AB897" s="4">
        <f>$K$897*$V$897</f>
        <v>0</v>
      </c>
      <c r="AC897" s="4">
        <f>$M$897*$W$897</f>
        <v>18700.835040000002</v>
      </c>
      <c r="AD897" s="4">
        <f>$O$897*$X$897</f>
        <v>81088.017120000004</v>
      </c>
      <c r="AE897" s="4">
        <f>$K$897*$Y$897</f>
        <v>0</v>
      </c>
      <c r="AF897" s="4">
        <f ca="1">$M$897*$Z$897</f>
        <v>23711.582676088205</v>
      </c>
      <c r="AG897" s="4">
        <f>$O$897*$AA$897</f>
        <v>81392.810500669308</v>
      </c>
    </row>
    <row r="898" spans="1:33" ht="11.25" customHeight="1" x14ac:dyDescent="0.25">
      <c r="A898" s="3" t="s">
        <v>21</v>
      </c>
      <c r="B898" s="3" t="s">
        <v>41</v>
      </c>
      <c r="C898" s="3" t="s">
        <v>42</v>
      </c>
      <c r="D898" s="3" t="s">
        <v>46</v>
      </c>
      <c r="E898" s="3" t="s">
        <v>25</v>
      </c>
      <c r="F898" s="3" t="s">
        <v>25</v>
      </c>
      <c r="G898" s="3" t="s">
        <v>25</v>
      </c>
      <c r="H898" s="3" t="s">
        <v>35</v>
      </c>
      <c r="I898" s="6">
        <v>44348</v>
      </c>
      <c r="J898" s="4">
        <v>0</v>
      </c>
      <c r="K898" s="4">
        <v>0</v>
      </c>
      <c r="L898" s="4">
        <v>2968.3420000000001</v>
      </c>
      <c r="M898" s="4">
        <v>2968.3420000000001</v>
      </c>
      <c r="N898" s="4">
        <v>2968.3420000000001</v>
      </c>
      <c r="O898" s="4">
        <v>2968.3420000000001</v>
      </c>
      <c r="P898" s="4">
        <v>0</v>
      </c>
      <c r="Q898" s="3" t="s">
        <v>26</v>
      </c>
      <c r="R898" s="3">
        <v>0</v>
      </c>
      <c r="S898" s="4">
        <v>0</v>
      </c>
      <c r="T898" s="4">
        <v>21</v>
      </c>
      <c r="U898" s="4">
        <v>89</v>
      </c>
      <c r="V898" s="4">
        <f>IF(ISERROR(VLOOKUP($S$898,'TAR FIN'!$A$1:$O$113,15,0)),0,VLOOKUP($S$898,'TAR FIN'!$A$1:$O$113,15,0))</f>
        <v>0</v>
      </c>
      <c r="W898" s="4">
        <f>IF(ISERROR(VLOOKUP($T$898,'TAR FIN'!$A$1:$O$113,15,0)),0,VLOOKUP($T$898,'TAR FIN'!$A$1:$O$113,15,0))</f>
        <v>51.27</v>
      </c>
      <c r="X898" s="4">
        <f>IF(ISERROR(VLOOKUP($U$898,'TAR FIN'!$A$1:$O$113,15,0)),0,VLOOKUP($U$898,'TAR FIN'!$A$1:$O$113,15,0))</f>
        <v>222.31</v>
      </c>
      <c r="Y898" s="4"/>
      <c r="Z898" s="4">
        <f ca="1">('TUSD BE'!$AM$32+'TUSD BF'!$AM$32+'TUSD CVA'!$AM$32)*1</f>
        <v>65.007409626508434</v>
      </c>
      <c r="AA898" s="4">
        <f>('TE BE'!$AA$11+'TE BF'!$AA$11+'TE CVA'!$AA$11)*1</f>
        <v>223.14561812044704</v>
      </c>
      <c r="AB898" s="4">
        <f>$K$898*$V$898</f>
        <v>0</v>
      </c>
      <c r="AC898" s="4">
        <f>$M$898*$W$898</f>
        <v>152186.89434000003</v>
      </c>
      <c r="AD898" s="4">
        <f>$O$898*$X$898</f>
        <v>659892.11002000002</v>
      </c>
      <c r="AE898" s="4">
        <f>$K$898*$Y$898</f>
        <v>0</v>
      </c>
      <c r="AF898" s="4">
        <f ca="1">$M$898*$Z$898</f>
        <v>192964.22430556931</v>
      </c>
      <c r="AG898" s="4">
        <f>$O$898*$AA$898</f>
        <v>662372.51038288407</v>
      </c>
    </row>
    <row r="899" spans="1:33" ht="11.25" customHeight="1" x14ac:dyDescent="0.25">
      <c r="A899" s="3" t="s">
        <v>28</v>
      </c>
      <c r="B899" s="3" t="s">
        <v>41</v>
      </c>
      <c r="C899" s="3" t="s">
        <v>42</v>
      </c>
      <c r="D899" s="3" t="s">
        <v>46</v>
      </c>
      <c r="E899" s="3" t="s">
        <v>25</v>
      </c>
      <c r="F899" s="3" t="s">
        <v>25</v>
      </c>
      <c r="G899" s="3" t="s">
        <v>25</v>
      </c>
      <c r="H899" s="3" t="s">
        <v>35</v>
      </c>
      <c r="I899" s="6">
        <v>44348</v>
      </c>
      <c r="J899" s="4">
        <v>0</v>
      </c>
      <c r="K899" s="4">
        <v>0</v>
      </c>
      <c r="L899" s="4">
        <v>352.01799999999997</v>
      </c>
      <c r="M899" s="4">
        <v>352.01799999999997</v>
      </c>
      <c r="N899" s="4">
        <v>352.01799999999997</v>
      </c>
      <c r="O899" s="4">
        <v>352.01799999999997</v>
      </c>
      <c r="P899" s="4">
        <v>0</v>
      </c>
      <c r="Q899" s="3" t="s">
        <v>26</v>
      </c>
      <c r="R899" s="3">
        <v>0</v>
      </c>
      <c r="S899" s="4">
        <v>0</v>
      </c>
      <c r="T899" s="4">
        <v>21</v>
      </c>
      <c r="U899" s="4">
        <v>89</v>
      </c>
      <c r="V899" s="4">
        <f>IF(ISERROR(VLOOKUP($S$899,'TAR FIN'!$A$1:$O$113,15,0)),0,VLOOKUP($S$899,'TAR FIN'!$A$1:$O$113,15,0))</f>
        <v>0</v>
      </c>
      <c r="W899" s="4">
        <f>IF(ISERROR(VLOOKUP($T$899,'TAR FIN'!$A$1:$O$113,15,0)),0,VLOOKUP($T$899,'TAR FIN'!$A$1:$O$113,15,0))</f>
        <v>51.27</v>
      </c>
      <c r="X899" s="4">
        <f>IF(ISERROR(VLOOKUP($U$899,'TAR FIN'!$A$1:$O$113,15,0)),0,VLOOKUP($U$899,'TAR FIN'!$A$1:$O$113,15,0))</f>
        <v>222.31</v>
      </c>
      <c r="Y899" s="4"/>
      <c r="Z899" s="4">
        <f ca="1">('TUSD BE'!$AM$32+'TUSD BF'!$AM$32+'TUSD CVA'!$AM$32)*1</f>
        <v>65.007409626508434</v>
      </c>
      <c r="AA899" s="4">
        <f>('TE BE'!$AA$11+'TE BF'!$AA$11+'TE CVA'!$AA$11)*1</f>
        <v>223.14561812044704</v>
      </c>
      <c r="AB899" s="4">
        <f>$K$899*$V$899</f>
        <v>0</v>
      </c>
      <c r="AC899" s="4">
        <f>$M$899*$W$899</f>
        <v>18047.96286</v>
      </c>
      <c r="AD899" s="4">
        <f>$O$899*$X$899</f>
        <v>78257.121579999992</v>
      </c>
      <c r="AE899" s="4">
        <f>$K$899*$Y$899</f>
        <v>0</v>
      </c>
      <c r="AF899" s="4">
        <f ca="1">$M$899*$Z$899</f>
        <v>22883.778321904243</v>
      </c>
      <c r="AG899" s="4">
        <f>$O$899*$AA$899</f>
        <v>78551.274199523526</v>
      </c>
    </row>
    <row r="900" spans="1:33" ht="11.25" customHeight="1" x14ac:dyDescent="0.25">
      <c r="A900" s="3" t="s">
        <v>21</v>
      </c>
      <c r="B900" s="3" t="s">
        <v>41</v>
      </c>
      <c r="C900" s="3" t="s">
        <v>42</v>
      </c>
      <c r="D900" s="3" t="s">
        <v>46</v>
      </c>
      <c r="E900" s="3" t="s">
        <v>25</v>
      </c>
      <c r="F900" s="3" t="s">
        <v>25</v>
      </c>
      <c r="G900" s="3" t="s">
        <v>25</v>
      </c>
      <c r="H900" s="3" t="s">
        <v>35</v>
      </c>
      <c r="I900" s="6">
        <v>44378</v>
      </c>
      <c r="J900" s="4">
        <v>0</v>
      </c>
      <c r="K900" s="4">
        <v>0</v>
      </c>
      <c r="L900" s="4">
        <v>2896</v>
      </c>
      <c r="M900" s="4">
        <v>2896</v>
      </c>
      <c r="N900" s="4">
        <v>2896</v>
      </c>
      <c r="O900" s="4">
        <v>2896</v>
      </c>
      <c r="P900" s="4">
        <v>0</v>
      </c>
      <c r="Q900" s="3" t="s">
        <v>26</v>
      </c>
      <c r="R900" s="3">
        <v>0</v>
      </c>
      <c r="S900" s="4">
        <v>0</v>
      </c>
      <c r="T900" s="4">
        <v>21</v>
      </c>
      <c r="U900" s="4">
        <v>89</v>
      </c>
      <c r="V900" s="4">
        <f>IF(ISERROR(VLOOKUP($S$900,'TAR FIN'!$A$1:$O$113,15,0)),0,VLOOKUP($S$900,'TAR FIN'!$A$1:$O$113,15,0))</f>
        <v>0</v>
      </c>
      <c r="W900" s="4">
        <f>IF(ISERROR(VLOOKUP($T$900,'TAR FIN'!$A$1:$O$113,15,0)),0,VLOOKUP($T$900,'TAR FIN'!$A$1:$O$113,15,0))</f>
        <v>51.27</v>
      </c>
      <c r="X900" s="4">
        <f>IF(ISERROR(VLOOKUP($U$900,'TAR FIN'!$A$1:$O$113,15,0)),0,VLOOKUP($U$900,'TAR FIN'!$A$1:$O$113,15,0))</f>
        <v>222.31</v>
      </c>
      <c r="Y900" s="4"/>
      <c r="Z900" s="4">
        <f ca="1">('TUSD BE'!$AM$32+'TUSD BF'!$AM$32+'TUSD CVA'!$AM$32)*1</f>
        <v>65.007409626508434</v>
      </c>
      <c r="AA900" s="4">
        <f>('TE BE'!$AA$11+'TE BF'!$AA$11+'TE CVA'!$AA$11)*1</f>
        <v>223.14561812044704</v>
      </c>
      <c r="AB900" s="4">
        <f>$K$900*$V$900</f>
        <v>0</v>
      </c>
      <c r="AC900" s="4">
        <f>$M$900*$W$900</f>
        <v>148477.92000000001</v>
      </c>
      <c r="AD900" s="4">
        <f>$O$900*$X$900</f>
        <v>643809.76</v>
      </c>
      <c r="AE900" s="4">
        <f>$K$900*$Y$900</f>
        <v>0</v>
      </c>
      <c r="AF900" s="4">
        <f ca="1">$M$900*$Z$900</f>
        <v>188261.45827836843</v>
      </c>
      <c r="AG900" s="4">
        <f>$O$900*$AA$900</f>
        <v>646229.71007681463</v>
      </c>
    </row>
    <row r="901" spans="1:33" ht="11.25" customHeight="1" x14ac:dyDescent="0.25">
      <c r="A901" s="3" t="s">
        <v>28</v>
      </c>
      <c r="B901" s="3" t="s">
        <v>41</v>
      </c>
      <c r="C901" s="3" t="s">
        <v>42</v>
      </c>
      <c r="D901" s="3" t="s">
        <v>46</v>
      </c>
      <c r="E901" s="3" t="s">
        <v>25</v>
      </c>
      <c r="F901" s="3" t="s">
        <v>25</v>
      </c>
      <c r="G901" s="3" t="s">
        <v>25</v>
      </c>
      <c r="H901" s="3" t="s">
        <v>35</v>
      </c>
      <c r="I901" s="6">
        <v>44378</v>
      </c>
      <c r="J901" s="4">
        <v>0</v>
      </c>
      <c r="K901" s="4">
        <v>0</v>
      </c>
      <c r="L901" s="4">
        <v>354.58600000000001</v>
      </c>
      <c r="M901" s="4">
        <v>354.58600000000001</v>
      </c>
      <c r="N901" s="4">
        <v>354.58600000000001</v>
      </c>
      <c r="O901" s="4">
        <v>354.58600000000001</v>
      </c>
      <c r="P901" s="4">
        <v>0</v>
      </c>
      <c r="Q901" s="3" t="s">
        <v>26</v>
      </c>
      <c r="R901" s="3">
        <v>0</v>
      </c>
      <c r="S901" s="4">
        <v>0</v>
      </c>
      <c r="T901" s="4">
        <v>21</v>
      </c>
      <c r="U901" s="4">
        <v>89</v>
      </c>
      <c r="V901" s="4">
        <f>IF(ISERROR(VLOOKUP($S$901,'TAR FIN'!$A$1:$O$113,15,0)),0,VLOOKUP($S$901,'TAR FIN'!$A$1:$O$113,15,0))</f>
        <v>0</v>
      </c>
      <c r="W901" s="4">
        <f>IF(ISERROR(VLOOKUP($T$901,'TAR FIN'!$A$1:$O$113,15,0)),0,VLOOKUP($T$901,'TAR FIN'!$A$1:$O$113,15,0))</f>
        <v>51.27</v>
      </c>
      <c r="X901" s="4">
        <f>IF(ISERROR(VLOOKUP($U$901,'TAR FIN'!$A$1:$O$113,15,0)),0,VLOOKUP($U$901,'TAR FIN'!$A$1:$O$113,15,0))</f>
        <v>222.31</v>
      </c>
      <c r="Y901" s="4"/>
      <c r="Z901" s="4">
        <f ca="1">('TUSD BE'!$AM$32+'TUSD BF'!$AM$32+'TUSD CVA'!$AM$32)*1</f>
        <v>65.007409626508434</v>
      </c>
      <c r="AA901" s="4">
        <f>('TE BE'!$AA$11+'TE BF'!$AA$11+'TE CVA'!$AA$11)*1</f>
        <v>223.14561812044704</v>
      </c>
      <c r="AB901" s="4">
        <f>$K$901*$V$901</f>
        <v>0</v>
      </c>
      <c r="AC901" s="4">
        <f>$M$901*$W$901</f>
        <v>18179.624220000002</v>
      </c>
      <c r="AD901" s="4">
        <f>$O$901*$X$901</f>
        <v>78828.013659999997</v>
      </c>
      <c r="AE901" s="4">
        <f>$K$901*$Y$901</f>
        <v>0</v>
      </c>
      <c r="AF901" s="4">
        <f ca="1">$M$901*$Z$901</f>
        <v>23050.717349825121</v>
      </c>
      <c r="AG901" s="4">
        <f>$O$901*$AA$901</f>
        <v>79124.312146856842</v>
      </c>
    </row>
    <row r="902" spans="1:33" ht="11.25" customHeight="1" x14ac:dyDescent="0.25">
      <c r="A902" s="3" t="s">
        <v>21</v>
      </c>
      <c r="B902" s="3" t="s">
        <v>41</v>
      </c>
      <c r="C902" s="3" t="s">
        <v>42</v>
      </c>
      <c r="D902" s="3" t="s">
        <v>46</v>
      </c>
      <c r="E902" s="3" t="s">
        <v>25</v>
      </c>
      <c r="F902" s="3" t="s">
        <v>25</v>
      </c>
      <c r="G902" s="3" t="s">
        <v>25</v>
      </c>
      <c r="H902" s="3" t="s">
        <v>35</v>
      </c>
      <c r="I902" s="6">
        <v>44409</v>
      </c>
      <c r="J902" s="4">
        <v>0</v>
      </c>
      <c r="K902" s="4">
        <v>0</v>
      </c>
      <c r="L902" s="4">
        <v>3114.625</v>
      </c>
      <c r="M902" s="4">
        <v>3114.625</v>
      </c>
      <c r="N902" s="4">
        <v>3114.625</v>
      </c>
      <c r="O902" s="4">
        <v>3114.625</v>
      </c>
      <c r="P902" s="4">
        <v>0</v>
      </c>
      <c r="Q902" s="3" t="s">
        <v>26</v>
      </c>
      <c r="R902" s="3">
        <v>0</v>
      </c>
      <c r="S902" s="4">
        <v>0</v>
      </c>
      <c r="T902" s="4">
        <v>21</v>
      </c>
      <c r="U902" s="4">
        <v>89</v>
      </c>
      <c r="V902" s="4">
        <f>IF(ISERROR(VLOOKUP($S$902,'TAR FIN'!$A$1:$O$113,15,0)),0,VLOOKUP($S$902,'TAR FIN'!$A$1:$O$113,15,0))</f>
        <v>0</v>
      </c>
      <c r="W902" s="4">
        <f>IF(ISERROR(VLOOKUP($T$902,'TAR FIN'!$A$1:$O$113,15,0)),0,VLOOKUP($T$902,'TAR FIN'!$A$1:$O$113,15,0))</f>
        <v>51.27</v>
      </c>
      <c r="X902" s="4">
        <f>IF(ISERROR(VLOOKUP($U$902,'TAR FIN'!$A$1:$O$113,15,0)),0,VLOOKUP($U$902,'TAR FIN'!$A$1:$O$113,15,0))</f>
        <v>222.31</v>
      </c>
      <c r="Y902" s="4"/>
      <c r="Z902" s="4">
        <f ca="1">('TUSD BE'!$AM$32+'TUSD BF'!$AM$32+'TUSD CVA'!$AM$32)*1</f>
        <v>65.007409626508434</v>
      </c>
      <c r="AA902" s="4">
        <f>('TE BE'!$AA$11+'TE BF'!$AA$11+'TE CVA'!$AA$11)*1</f>
        <v>223.14561812044704</v>
      </c>
      <c r="AB902" s="4">
        <f>$K$902*$V$902</f>
        <v>0</v>
      </c>
      <c r="AC902" s="4">
        <f>$M$902*$W$902</f>
        <v>159686.82375000001</v>
      </c>
      <c r="AD902" s="4">
        <f>$O$902*$X$902</f>
        <v>692412.28375000006</v>
      </c>
      <c r="AE902" s="4">
        <f>$K$902*$Y$902</f>
        <v>0</v>
      </c>
      <c r="AF902" s="4">
        <f ca="1">$M$902*$Z$902</f>
        <v>202473.70320796382</v>
      </c>
      <c r="AG902" s="4">
        <f>$O$902*$AA$902</f>
        <v>695014.92083839735</v>
      </c>
    </row>
    <row r="903" spans="1:33" ht="11.25" customHeight="1" x14ac:dyDescent="0.25">
      <c r="A903" s="3" t="s">
        <v>28</v>
      </c>
      <c r="B903" s="3" t="s">
        <v>41</v>
      </c>
      <c r="C903" s="3" t="s">
        <v>42</v>
      </c>
      <c r="D903" s="3" t="s">
        <v>46</v>
      </c>
      <c r="E903" s="3" t="s">
        <v>25</v>
      </c>
      <c r="F903" s="3" t="s">
        <v>25</v>
      </c>
      <c r="G903" s="3" t="s">
        <v>25</v>
      </c>
      <c r="H903" s="3" t="s">
        <v>35</v>
      </c>
      <c r="I903" s="6">
        <v>44409</v>
      </c>
      <c r="J903" s="4">
        <v>0</v>
      </c>
      <c r="K903" s="4">
        <v>0</v>
      </c>
      <c r="L903" s="4">
        <v>347.67899999999997</v>
      </c>
      <c r="M903" s="4">
        <v>347.67899999999997</v>
      </c>
      <c r="N903" s="4">
        <v>347.67899999999997</v>
      </c>
      <c r="O903" s="4">
        <v>347.67899999999997</v>
      </c>
      <c r="P903" s="4">
        <v>0</v>
      </c>
      <c r="Q903" s="3" t="s">
        <v>26</v>
      </c>
      <c r="R903" s="3">
        <v>0</v>
      </c>
      <c r="S903" s="4">
        <v>0</v>
      </c>
      <c r="T903" s="4">
        <v>21</v>
      </c>
      <c r="U903" s="4">
        <v>89</v>
      </c>
      <c r="V903" s="4">
        <f>IF(ISERROR(VLOOKUP($S$903,'TAR FIN'!$A$1:$O$113,15,0)),0,VLOOKUP($S$903,'TAR FIN'!$A$1:$O$113,15,0))</f>
        <v>0</v>
      </c>
      <c r="W903" s="4">
        <f>IF(ISERROR(VLOOKUP($T$903,'TAR FIN'!$A$1:$O$113,15,0)),0,VLOOKUP($T$903,'TAR FIN'!$A$1:$O$113,15,0))</f>
        <v>51.27</v>
      </c>
      <c r="X903" s="4">
        <f>IF(ISERROR(VLOOKUP($U$903,'TAR FIN'!$A$1:$O$113,15,0)),0,VLOOKUP($U$903,'TAR FIN'!$A$1:$O$113,15,0))</f>
        <v>222.31</v>
      </c>
      <c r="Y903" s="4"/>
      <c r="Z903" s="4">
        <f ca="1">('TUSD BE'!$AM$32+'TUSD BF'!$AM$32+'TUSD CVA'!$AM$32)*1</f>
        <v>65.007409626508434</v>
      </c>
      <c r="AA903" s="4">
        <f>('TE BE'!$AA$11+'TE BF'!$AA$11+'TE CVA'!$AA$11)*1</f>
        <v>223.14561812044704</v>
      </c>
      <c r="AB903" s="4">
        <f>$K$903*$V$903</f>
        <v>0</v>
      </c>
      <c r="AC903" s="4">
        <f>$M$903*$W$903</f>
        <v>17825.502329999999</v>
      </c>
      <c r="AD903" s="4">
        <f>$O$903*$X$903</f>
        <v>77292.518489999988</v>
      </c>
      <c r="AE903" s="4">
        <f>$K$903*$Y$903</f>
        <v>0</v>
      </c>
      <c r="AF903" s="4">
        <f ca="1">$M$903*$Z$903</f>
        <v>22601.711171534826</v>
      </c>
      <c r="AG903" s="4">
        <f>$O$903*$AA$903</f>
        <v>77583.045362498902</v>
      </c>
    </row>
    <row r="904" spans="1:33" ht="11.25" customHeight="1" x14ac:dyDescent="0.25">
      <c r="A904" s="3" t="s">
        <v>28</v>
      </c>
      <c r="B904" s="3" t="s">
        <v>41</v>
      </c>
      <c r="C904" s="3" t="s">
        <v>42</v>
      </c>
      <c r="D904" s="3" t="s">
        <v>46</v>
      </c>
      <c r="E904" s="3" t="s">
        <v>25</v>
      </c>
      <c r="F904" s="3" t="s">
        <v>25</v>
      </c>
      <c r="G904" s="3" t="s">
        <v>25</v>
      </c>
      <c r="H904" s="3" t="s">
        <v>35</v>
      </c>
      <c r="I904" s="6">
        <v>44409</v>
      </c>
      <c r="J904" s="4">
        <v>0</v>
      </c>
      <c r="K904" s="4">
        <v>0</v>
      </c>
      <c r="L904" s="4">
        <v>0.17399999999999999</v>
      </c>
      <c r="M904" s="4">
        <v>0.17399999999999999</v>
      </c>
      <c r="N904" s="4">
        <v>0.17399999999999999</v>
      </c>
      <c r="O904" s="4">
        <v>0.17399999999999999</v>
      </c>
      <c r="P904" s="4">
        <v>0</v>
      </c>
      <c r="Q904" s="3" t="s">
        <v>26</v>
      </c>
      <c r="R904" s="3">
        <v>0</v>
      </c>
      <c r="S904" s="4">
        <v>0</v>
      </c>
      <c r="T904" s="4">
        <v>21</v>
      </c>
      <c r="U904" s="4">
        <v>89</v>
      </c>
      <c r="V904" s="4">
        <f>IF(ISERROR(VLOOKUP($S$904,'TAR FIN'!$A$1:$O$113,15,0)),0,VLOOKUP($S$904,'TAR FIN'!$A$1:$O$113,15,0))</f>
        <v>0</v>
      </c>
      <c r="W904" s="4">
        <f>IF(ISERROR(VLOOKUP($T$904,'TAR FIN'!$A$1:$O$113,15,0)),0,VLOOKUP($T$904,'TAR FIN'!$A$1:$O$113,15,0))</f>
        <v>51.27</v>
      </c>
      <c r="X904" s="4">
        <f>IF(ISERROR(VLOOKUP($U$904,'TAR FIN'!$A$1:$O$113,15,0)),0,VLOOKUP($U$904,'TAR FIN'!$A$1:$O$113,15,0))</f>
        <v>222.31</v>
      </c>
      <c r="Y904" s="4"/>
      <c r="Z904" s="4">
        <f ca="1">('TUSD BE'!$AM$32+'TUSD BF'!$AM$32+'TUSD CVA'!$AM$32)*1</f>
        <v>65.007409626508434</v>
      </c>
      <c r="AA904" s="4">
        <f>('TE BE'!$AA$11+'TE BF'!$AA$11+'TE CVA'!$AA$11)*1</f>
        <v>223.14561812044704</v>
      </c>
      <c r="AB904" s="4">
        <f>$K$904*$V$904</f>
        <v>0</v>
      </c>
      <c r="AC904" s="4">
        <f>$M$904*$W$904</f>
        <v>8.9209800000000001</v>
      </c>
      <c r="AD904" s="4">
        <f>$O$904*$X$904</f>
        <v>38.681939999999997</v>
      </c>
      <c r="AE904" s="4">
        <f>$K$904*$Y$904</f>
        <v>0</v>
      </c>
      <c r="AF904" s="4">
        <f ca="1">$M$904*$Z$904</f>
        <v>11.311289275012467</v>
      </c>
      <c r="AG904" s="4">
        <f>$O$904*$AA$904</f>
        <v>38.827337552957779</v>
      </c>
    </row>
    <row r="905" spans="1:33" ht="11.25" customHeight="1" x14ac:dyDescent="0.25">
      <c r="A905" s="3" t="s">
        <v>21</v>
      </c>
      <c r="B905" s="3" t="s">
        <v>41</v>
      </c>
      <c r="C905" s="3" t="s">
        <v>42</v>
      </c>
      <c r="D905" s="3" t="s">
        <v>46</v>
      </c>
      <c r="E905" s="3" t="s">
        <v>25</v>
      </c>
      <c r="F905" s="3" t="s">
        <v>25</v>
      </c>
      <c r="G905" s="3" t="s">
        <v>25</v>
      </c>
      <c r="H905" s="3" t="s">
        <v>35</v>
      </c>
      <c r="I905" s="6">
        <v>44440</v>
      </c>
      <c r="J905" s="4">
        <v>0</v>
      </c>
      <c r="K905" s="4">
        <v>0</v>
      </c>
      <c r="L905" s="4">
        <v>3371.067</v>
      </c>
      <c r="M905" s="4">
        <v>3371.067</v>
      </c>
      <c r="N905" s="4">
        <v>3371.067</v>
      </c>
      <c r="O905" s="4">
        <v>3371.067</v>
      </c>
      <c r="P905" s="4">
        <v>0</v>
      </c>
      <c r="Q905" s="3" t="s">
        <v>26</v>
      </c>
      <c r="R905" s="3">
        <v>0</v>
      </c>
      <c r="S905" s="4">
        <v>0</v>
      </c>
      <c r="T905" s="4">
        <v>21</v>
      </c>
      <c r="U905" s="4">
        <v>89</v>
      </c>
      <c r="V905" s="4">
        <f>IF(ISERROR(VLOOKUP($S$905,'TAR FIN'!$A$1:$O$113,15,0)),0,VLOOKUP($S$905,'TAR FIN'!$A$1:$O$113,15,0))</f>
        <v>0</v>
      </c>
      <c r="W905" s="4">
        <f>IF(ISERROR(VLOOKUP($T$905,'TAR FIN'!$A$1:$O$113,15,0)),0,VLOOKUP($T$905,'TAR FIN'!$A$1:$O$113,15,0))</f>
        <v>51.27</v>
      </c>
      <c r="X905" s="4">
        <f>IF(ISERROR(VLOOKUP($U$905,'TAR FIN'!$A$1:$O$113,15,0)),0,VLOOKUP($U$905,'TAR FIN'!$A$1:$O$113,15,0))</f>
        <v>222.31</v>
      </c>
      <c r="Y905" s="4"/>
      <c r="Z905" s="4">
        <f ca="1">('TUSD BE'!$AM$32+'TUSD BF'!$AM$32+'TUSD CVA'!$AM$32)*1</f>
        <v>65.007409626508434</v>
      </c>
      <c r="AA905" s="4">
        <f>('TE BE'!$AA$11+'TE BF'!$AA$11+'TE CVA'!$AA$11)*1</f>
        <v>223.14561812044704</v>
      </c>
      <c r="AB905" s="4">
        <f>$K$905*$V$905</f>
        <v>0</v>
      </c>
      <c r="AC905" s="4">
        <f>$M$905*$W$905</f>
        <v>172834.60509</v>
      </c>
      <c r="AD905" s="4">
        <f>$O$905*$X$905</f>
        <v>749421.90477000002</v>
      </c>
      <c r="AE905" s="4">
        <f>$K$905*$Y$905</f>
        <v>0</v>
      </c>
      <c r="AF905" s="4">
        <f ca="1">$M$905*$Z$905</f>
        <v>219144.3333474049</v>
      </c>
      <c r="AG905" s="4">
        <f>$O$905*$AA$905</f>
        <v>752238.8294404411</v>
      </c>
    </row>
    <row r="906" spans="1:33" ht="11.25" customHeight="1" x14ac:dyDescent="0.25">
      <c r="A906" s="3" t="s">
        <v>28</v>
      </c>
      <c r="B906" s="3" t="s">
        <v>41</v>
      </c>
      <c r="C906" s="3" t="s">
        <v>42</v>
      </c>
      <c r="D906" s="3" t="s">
        <v>46</v>
      </c>
      <c r="E906" s="3" t="s">
        <v>25</v>
      </c>
      <c r="F906" s="3" t="s">
        <v>25</v>
      </c>
      <c r="G906" s="3" t="s">
        <v>25</v>
      </c>
      <c r="H906" s="3" t="s">
        <v>35</v>
      </c>
      <c r="I906" s="6">
        <v>44440</v>
      </c>
      <c r="J906" s="4">
        <v>0</v>
      </c>
      <c r="K906" s="4">
        <v>0</v>
      </c>
      <c r="L906" s="4">
        <v>393.62799999999999</v>
      </c>
      <c r="M906" s="4">
        <v>393.62799999999999</v>
      </c>
      <c r="N906" s="4">
        <v>393.62799999999999</v>
      </c>
      <c r="O906" s="4">
        <v>393.62799999999999</v>
      </c>
      <c r="P906" s="4">
        <v>0</v>
      </c>
      <c r="Q906" s="3" t="s">
        <v>26</v>
      </c>
      <c r="R906" s="3">
        <v>0</v>
      </c>
      <c r="S906" s="4">
        <v>0</v>
      </c>
      <c r="T906" s="4">
        <v>21</v>
      </c>
      <c r="U906" s="4">
        <v>89</v>
      </c>
      <c r="V906" s="4">
        <f>IF(ISERROR(VLOOKUP($S$906,'TAR FIN'!$A$1:$O$113,15,0)),0,VLOOKUP($S$906,'TAR FIN'!$A$1:$O$113,15,0))</f>
        <v>0</v>
      </c>
      <c r="W906" s="4">
        <f>IF(ISERROR(VLOOKUP($T$906,'TAR FIN'!$A$1:$O$113,15,0)),0,VLOOKUP($T$906,'TAR FIN'!$A$1:$O$113,15,0))</f>
        <v>51.27</v>
      </c>
      <c r="X906" s="4">
        <f>IF(ISERROR(VLOOKUP($U$906,'TAR FIN'!$A$1:$O$113,15,0)),0,VLOOKUP($U$906,'TAR FIN'!$A$1:$O$113,15,0))</f>
        <v>222.31</v>
      </c>
      <c r="Y906" s="4"/>
      <c r="Z906" s="4">
        <f ca="1">('TUSD BE'!$AM$32+'TUSD BF'!$AM$32+'TUSD CVA'!$AM$32)*1</f>
        <v>65.007409626508434</v>
      </c>
      <c r="AA906" s="4">
        <f>('TE BE'!$AA$11+'TE BF'!$AA$11+'TE CVA'!$AA$11)*1</f>
        <v>223.14561812044704</v>
      </c>
      <c r="AB906" s="4">
        <f>$K$906*$V$906</f>
        <v>0</v>
      </c>
      <c r="AC906" s="4">
        <f>$M$906*$W$906</f>
        <v>20181.307560000001</v>
      </c>
      <c r="AD906" s="4">
        <f>$O$906*$X$906</f>
        <v>87507.44068</v>
      </c>
      <c r="AE906" s="4">
        <f>$K$906*$Y$906</f>
        <v>0</v>
      </c>
      <c r="AF906" s="4">
        <f ca="1">$M$906*$Z$906</f>
        <v>25588.736636463262</v>
      </c>
      <c r="AG906" s="4">
        <f>$O$906*$AA$906</f>
        <v>87836.363369515326</v>
      </c>
    </row>
    <row r="907" spans="1:33" ht="11.25" customHeight="1" x14ac:dyDescent="0.25">
      <c r="A907" s="3" t="s">
        <v>21</v>
      </c>
      <c r="B907" s="3" t="s">
        <v>41</v>
      </c>
      <c r="C907" s="3" t="s">
        <v>42</v>
      </c>
      <c r="D907" s="3" t="s">
        <v>46</v>
      </c>
      <c r="E907" s="3" t="s">
        <v>25</v>
      </c>
      <c r="F907" s="3" t="s">
        <v>25</v>
      </c>
      <c r="G907" s="3" t="s">
        <v>25</v>
      </c>
      <c r="H907" s="3" t="s">
        <v>35</v>
      </c>
      <c r="I907" s="6">
        <v>44470</v>
      </c>
      <c r="J907" s="4">
        <v>0</v>
      </c>
      <c r="K907" s="4">
        <v>0</v>
      </c>
      <c r="L907" s="4">
        <v>3891.2249999999999</v>
      </c>
      <c r="M907" s="4">
        <v>3891.2249999999999</v>
      </c>
      <c r="N907" s="4">
        <v>3891.2249999999999</v>
      </c>
      <c r="O907" s="4">
        <v>3891.2249999999999</v>
      </c>
      <c r="P907" s="4">
        <v>0</v>
      </c>
      <c r="Q907" s="3" t="s">
        <v>26</v>
      </c>
      <c r="R907" s="3">
        <v>0</v>
      </c>
      <c r="S907" s="4">
        <v>0</v>
      </c>
      <c r="T907" s="4">
        <v>21</v>
      </c>
      <c r="U907" s="4">
        <v>89</v>
      </c>
      <c r="V907" s="4">
        <f>IF(ISERROR(VLOOKUP($S$907,'TAR FIN'!$A$1:$O$113,15,0)),0,VLOOKUP($S$907,'TAR FIN'!$A$1:$O$113,15,0))</f>
        <v>0</v>
      </c>
      <c r="W907" s="4">
        <f>IF(ISERROR(VLOOKUP($T$907,'TAR FIN'!$A$1:$O$113,15,0)),0,VLOOKUP($T$907,'TAR FIN'!$A$1:$O$113,15,0))</f>
        <v>51.27</v>
      </c>
      <c r="X907" s="4">
        <f>IF(ISERROR(VLOOKUP($U$907,'TAR FIN'!$A$1:$O$113,15,0)),0,VLOOKUP($U$907,'TAR FIN'!$A$1:$O$113,15,0))</f>
        <v>222.31</v>
      </c>
      <c r="Y907" s="4"/>
      <c r="Z907" s="4">
        <f ca="1">('TUSD BE'!$AM$32+'TUSD BF'!$AM$32+'TUSD CVA'!$AM$32)*1</f>
        <v>65.007409626508434</v>
      </c>
      <c r="AA907" s="4">
        <f>('TE BE'!$AA$11+'TE BF'!$AA$11+'TE CVA'!$AA$11)*1</f>
        <v>223.14561812044704</v>
      </c>
      <c r="AB907" s="4">
        <f>$K$907*$V$907</f>
        <v>0</v>
      </c>
      <c r="AC907" s="4">
        <f>$M$907*$W$907</f>
        <v>199503.10575000002</v>
      </c>
      <c r="AD907" s="4">
        <f>$O$907*$X$907</f>
        <v>865058.22974999994</v>
      </c>
      <c r="AE907" s="4">
        <f>$K$907*$Y$907</f>
        <v>0</v>
      </c>
      <c r="AF907" s="4">
        <f ca="1">$M$907*$Z$907</f>
        <v>252958.45752391027</v>
      </c>
      <c r="AG907" s="4">
        <f>$O$907*$AA$907</f>
        <v>868309.80787073646</v>
      </c>
    </row>
    <row r="908" spans="1:33" ht="11.25" customHeight="1" x14ac:dyDescent="0.25">
      <c r="A908" s="3" t="s">
        <v>28</v>
      </c>
      <c r="B908" s="3" t="s">
        <v>41</v>
      </c>
      <c r="C908" s="3" t="s">
        <v>42</v>
      </c>
      <c r="D908" s="3" t="s">
        <v>46</v>
      </c>
      <c r="E908" s="3" t="s">
        <v>25</v>
      </c>
      <c r="F908" s="3" t="s">
        <v>25</v>
      </c>
      <c r="G908" s="3" t="s">
        <v>25</v>
      </c>
      <c r="H908" s="3" t="s">
        <v>35</v>
      </c>
      <c r="I908" s="6">
        <v>44470</v>
      </c>
      <c r="J908" s="4">
        <v>0</v>
      </c>
      <c r="K908" s="4">
        <v>0</v>
      </c>
      <c r="L908" s="4">
        <v>452.12</v>
      </c>
      <c r="M908" s="4">
        <v>452.12</v>
      </c>
      <c r="N908" s="4">
        <v>452.12</v>
      </c>
      <c r="O908" s="4">
        <v>452.12</v>
      </c>
      <c r="P908" s="4">
        <v>0</v>
      </c>
      <c r="Q908" s="3" t="s">
        <v>26</v>
      </c>
      <c r="R908" s="3">
        <v>0</v>
      </c>
      <c r="S908" s="4">
        <v>0</v>
      </c>
      <c r="T908" s="4">
        <v>21</v>
      </c>
      <c r="U908" s="4">
        <v>89</v>
      </c>
      <c r="V908" s="4">
        <f>IF(ISERROR(VLOOKUP($S$908,'TAR FIN'!$A$1:$O$113,15,0)),0,VLOOKUP($S$908,'TAR FIN'!$A$1:$O$113,15,0))</f>
        <v>0</v>
      </c>
      <c r="W908" s="4">
        <f>IF(ISERROR(VLOOKUP($T$908,'TAR FIN'!$A$1:$O$113,15,0)),0,VLOOKUP($T$908,'TAR FIN'!$A$1:$O$113,15,0))</f>
        <v>51.27</v>
      </c>
      <c r="X908" s="4">
        <f>IF(ISERROR(VLOOKUP($U$908,'TAR FIN'!$A$1:$O$113,15,0)),0,VLOOKUP($U$908,'TAR FIN'!$A$1:$O$113,15,0))</f>
        <v>222.31</v>
      </c>
      <c r="Y908" s="4"/>
      <c r="Z908" s="4">
        <f ca="1">('TUSD BE'!$AM$32+'TUSD BF'!$AM$32+'TUSD CVA'!$AM$32)*1</f>
        <v>65.007409626508434</v>
      </c>
      <c r="AA908" s="4">
        <f>('TE BE'!$AA$11+'TE BF'!$AA$11+'TE CVA'!$AA$11)*1</f>
        <v>223.14561812044704</v>
      </c>
      <c r="AB908" s="4">
        <f>$K$908*$V$908</f>
        <v>0</v>
      </c>
      <c r="AC908" s="4">
        <f>$M$908*$W$908</f>
        <v>23180.1924</v>
      </c>
      <c r="AD908" s="4">
        <f>$O$908*$X$908</f>
        <v>100510.7972</v>
      </c>
      <c r="AE908" s="4">
        <f>$K$908*$Y$908</f>
        <v>0</v>
      </c>
      <c r="AF908" s="4">
        <f ca="1">$M$908*$Z$908</f>
        <v>29391.150040336994</v>
      </c>
      <c r="AG908" s="4">
        <f>$O$908*$AA$908</f>
        <v>100888.59686461651</v>
      </c>
    </row>
    <row r="909" spans="1:33" ht="11.25" customHeight="1" x14ac:dyDescent="0.25">
      <c r="A909" s="3" t="s">
        <v>21</v>
      </c>
      <c r="B909" s="3" t="s">
        <v>41</v>
      </c>
      <c r="C909" s="3" t="s">
        <v>42</v>
      </c>
      <c r="D909" s="3" t="s">
        <v>46</v>
      </c>
      <c r="E909" s="3" t="s">
        <v>25</v>
      </c>
      <c r="F909" s="3" t="s">
        <v>25</v>
      </c>
      <c r="G909" s="3" t="s">
        <v>25</v>
      </c>
      <c r="H909" s="3" t="s">
        <v>35</v>
      </c>
      <c r="I909" s="6">
        <v>44501</v>
      </c>
      <c r="J909" s="4">
        <v>0</v>
      </c>
      <c r="K909" s="4">
        <v>0</v>
      </c>
      <c r="L909" s="4">
        <v>4237.3530000000001</v>
      </c>
      <c r="M909" s="4">
        <v>4237.3530000000001</v>
      </c>
      <c r="N909" s="4">
        <v>4237.3530000000001</v>
      </c>
      <c r="O909" s="4">
        <v>4237.3530000000001</v>
      </c>
      <c r="P909" s="4">
        <v>0</v>
      </c>
      <c r="Q909" s="3" t="s">
        <v>26</v>
      </c>
      <c r="R909" s="3">
        <v>0</v>
      </c>
      <c r="S909" s="4">
        <v>0</v>
      </c>
      <c r="T909" s="4">
        <v>21</v>
      </c>
      <c r="U909" s="4">
        <v>89</v>
      </c>
      <c r="V909" s="4">
        <f>IF(ISERROR(VLOOKUP($S$909,'TAR FIN'!$A$1:$O$113,15,0)),0,VLOOKUP($S$909,'TAR FIN'!$A$1:$O$113,15,0))</f>
        <v>0</v>
      </c>
      <c r="W909" s="4">
        <f>IF(ISERROR(VLOOKUP($T$909,'TAR FIN'!$A$1:$O$113,15,0)),0,VLOOKUP($T$909,'TAR FIN'!$A$1:$O$113,15,0))</f>
        <v>51.27</v>
      </c>
      <c r="X909" s="4">
        <f>IF(ISERROR(VLOOKUP($U$909,'TAR FIN'!$A$1:$O$113,15,0)),0,VLOOKUP($U$909,'TAR FIN'!$A$1:$O$113,15,0))</f>
        <v>222.31</v>
      </c>
      <c r="Y909" s="4"/>
      <c r="Z909" s="4">
        <f ca="1">('TUSD BE'!$AM$32+'TUSD BF'!$AM$32+'TUSD CVA'!$AM$32)*1</f>
        <v>65.007409626508434</v>
      </c>
      <c r="AA909" s="4">
        <f>('TE BE'!$AA$11+'TE BF'!$AA$11+'TE CVA'!$AA$11)*1</f>
        <v>223.14561812044704</v>
      </c>
      <c r="AB909" s="4">
        <f>$K$909*$V$909</f>
        <v>0</v>
      </c>
      <c r="AC909" s="4">
        <f>$M$909*$W$909</f>
        <v>217249.08831000002</v>
      </c>
      <c r="AD909" s="4">
        <f>$O$909*$X$909</f>
        <v>942005.94543000008</v>
      </c>
      <c r="AE909" s="4">
        <f>$K$909*$Y$909</f>
        <v>0</v>
      </c>
      <c r="AF909" s="4">
        <f ca="1">$M$909*$Z$909</f>
        <v>275459.34220311441</v>
      </c>
      <c r="AG909" s="4">
        <f>$O$909*$AA$909</f>
        <v>945546.75437953067</v>
      </c>
    </row>
    <row r="910" spans="1:33" ht="11.25" customHeight="1" x14ac:dyDescent="0.25">
      <c r="A910" s="3" t="s">
        <v>28</v>
      </c>
      <c r="B910" s="3" t="s">
        <v>41</v>
      </c>
      <c r="C910" s="3" t="s">
        <v>42</v>
      </c>
      <c r="D910" s="3" t="s">
        <v>46</v>
      </c>
      <c r="E910" s="3" t="s">
        <v>25</v>
      </c>
      <c r="F910" s="3" t="s">
        <v>25</v>
      </c>
      <c r="G910" s="3" t="s">
        <v>25</v>
      </c>
      <c r="H910" s="3" t="s">
        <v>35</v>
      </c>
      <c r="I910" s="6">
        <v>44501</v>
      </c>
      <c r="J910" s="4">
        <v>0</v>
      </c>
      <c r="K910" s="4">
        <v>0</v>
      </c>
      <c r="L910" s="4">
        <v>473.48099999999999</v>
      </c>
      <c r="M910" s="4">
        <v>473.48099999999999</v>
      </c>
      <c r="N910" s="4">
        <v>473.48099999999999</v>
      </c>
      <c r="O910" s="4">
        <v>473.48099999999999</v>
      </c>
      <c r="P910" s="4">
        <v>0</v>
      </c>
      <c r="Q910" s="3" t="s">
        <v>26</v>
      </c>
      <c r="R910" s="3">
        <v>0</v>
      </c>
      <c r="S910" s="4">
        <v>0</v>
      </c>
      <c r="T910" s="4">
        <v>21</v>
      </c>
      <c r="U910" s="4">
        <v>89</v>
      </c>
      <c r="V910" s="4">
        <f>IF(ISERROR(VLOOKUP($S$910,'TAR FIN'!$A$1:$O$113,15,0)),0,VLOOKUP($S$910,'TAR FIN'!$A$1:$O$113,15,0))</f>
        <v>0</v>
      </c>
      <c r="W910" s="4">
        <f>IF(ISERROR(VLOOKUP($T$910,'TAR FIN'!$A$1:$O$113,15,0)),0,VLOOKUP($T$910,'TAR FIN'!$A$1:$O$113,15,0))</f>
        <v>51.27</v>
      </c>
      <c r="X910" s="4">
        <f>IF(ISERROR(VLOOKUP($U$910,'TAR FIN'!$A$1:$O$113,15,0)),0,VLOOKUP($U$910,'TAR FIN'!$A$1:$O$113,15,0))</f>
        <v>222.31</v>
      </c>
      <c r="Y910" s="4"/>
      <c r="Z910" s="4">
        <f ca="1">('TUSD BE'!$AM$32+'TUSD BF'!$AM$32+'TUSD CVA'!$AM$32)*1</f>
        <v>65.007409626508434</v>
      </c>
      <c r="AA910" s="4">
        <f>('TE BE'!$AA$11+'TE BF'!$AA$11+'TE CVA'!$AA$11)*1</f>
        <v>223.14561812044704</v>
      </c>
      <c r="AB910" s="4">
        <f>$K$910*$V$910</f>
        <v>0</v>
      </c>
      <c r="AC910" s="4">
        <f>$M$910*$W$910</f>
        <v>24275.370870000002</v>
      </c>
      <c r="AD910" s="4">
        <f>$O$910*$X$910</f>
        <v>105259.56111</v>
      </c>
      <c r="AE910" s="4">
        <f>$K$910*$Y$910</f>
        <v>0</v>
      </c>
      <c r="AF910" s="4">
        <f ca="1">$M$910*$Z$910</f>
        <v>30779.773317368839</v>
      </c>
      <c r="AG910" s="4">
        <f>$O$910*$AA$910</f>
        <v>105655.21041328738</v>
      </c>
    </row>
    <row r="911" spans="1:33" ht="11.25" customHeight="1" x14ac:dyDescent="0.25">
      <c r="A911" s="3" t="s">
        <v>21</v>
      </c>
      <c r="B911" s="3" t="s">
        <v>41</v>
      </c>
      <c r="C911" s="3" t="s">
        <v>42</v>
      </c>
      <c r="D911" s="3" t="s">
        <v>46</v>
      </c>
      <c r="E911" s="3" t="s">
        <v>25</v>
      </c>
      <c r="F911" s="3" t="s">
        <v>25</v>
      </c>
      <c r="G911" s="3" t="s">
        <v>25</v>
      </c>
      <c r="H911" s="3" t="s">
        <v>35</v>
      </c>
      <c r="I911" s="6">
        <v>44531</v>
      </c>
      <c r="J911" s="4">
        <v>0</v>
      </c>
      <c r="K911" s="4">
        <v>0</v>
      </c>
      <c r="L911" s="4">
        <v>4234.7969999999996</v>
      </c>
      <c r="M911" s="4">
        <v>4234.7969999999996</v>
      </c>
      <c r="N911" s="4">
        <v>4234.7969999999996</v>
      </c>
      <c r="O911" s="4">
        <v>4234.7969999999996</v>
      </c>
      <c r="P911" s="4">
        <v>0</v>
      </c>
      <c r="Q911" s="3" t="s">
        <v>26</v>
      </c>
      <c r="R911" s="3">
        <v>0</v>
      </c>
      <c r="S911" s="4">
        <v>0</v>
      </c>
      <c r="T911" s="4">
        <v>21</v>
      </c>
      <c r="U911" s="4">
        <v>89</v>
      </c>
      <c r="V911" s="4">
        <f>IF(ISERROR(VLOOKUP($S$911,'TAR FIN'!$A$1:$O$113,15,0)),0,VLOOKUP($S$911,'TAR FIN'!$A$1:$O$113,15,0))</f>
        <v>0</v>
      </c>
      <c r="W911" s="4">
        <f>IF(ISERROR(VLOOKUP($T$911,'TAR FIN'!$A$1:$O$113,15,0)),0,VLOOKUP($T$911,'TAR FIN'!$A$1:$O$113,15,0))</f>
        <v>51.27</v>
      </c>
      <c r="X911" s="4">
        <f>IF(ISERROR(VLOOKUP($U$911,'TAR FIN'!$A$1:$O$113,15,0)),0,VLOOKUP($U$911,'TAR FIN'!$A$1:$O$113,15,0))</f>
        <v>222.31</v>
      </c>
      <c r="Y911" s="4"/>
      <c r="Z911" s="4">
        <f ca="1">('TUSD BE'!$AM$32+'TUSD BF'!$AM$32+'TUSD CVA'!$AM$32)*1</f>
        <v>65.007409626508434</v>
      </c>
      <c r="AA911" s="4">
        <f>('TE BE'!$AA$11+'TE BF'!$AA$11+'TE CVA'!$AA$11)*1</f>
        <v>223.14561812044704</v>
      </c>
      <c r="AB911" s="4">
        <f>$K$911*$V$911</f>
        <v>0</v>
      </c>
      <c r="AC911" s="4">
        <f>$M$911*$W$911</f>
        <v>217118.04218999998</v>
      </c>
      <c r="AD911" s="4">
        <f>$O$911*$X$911</f>
        <v>941437.72106999997</v>
      </c>
      <c r="AE911" s="4">
        <f>$K$911*$Y$911</f>
        <v>0</v>
      </c>
      <c r="AF911" s="4">
        <f ca="1">$M$911*$Z$911</f>
        <v>275293.18326410901</v>
      </c>
      <c r="AG911" s="4">
        <f>$O$911*$AA$911</f>
        <v>944976.39417961461</v>
      </c>
    </row>
    <row r="912" spans="1:33" ht="11.25" customHeight="1" x14ac:dyDescent="0.25">
      <c r="A912" s="3" t="s">
        <v>28</v>
      </c>
      <c r="B912" s="3" t="s">
        <v>41</v>
      </c>
      <c r="C912" s="3" t="s">
        <v>42</v>
      </c>
      <c r="D912" s="3" t="s">
        <v>46</v>
      </c>
      <c r="E912" s="3" t="s">
        <v>25</v>
      </c>
      <c r="F912" s="3" t="s">
        <v>25</v>
      </c>
      <c r="G912" s="3" t="s">
        <v>25</v>
      </c>
      <c r="H912" s="3" t="s">
        <v>35</v>
      </c>
      <c r="I912" s="6">
        <v>44531</v>
      </c>
      <c r="J912" s="4">
        <v>0</v>
      </c>
      <c r="K912" s="4">
        <v>0</v>
      </c>
      <c r="L912" s="4">
        <v>499.49400000000003</v>
      </c>
      <c r="M912" s="4">
        <v>499.49400000000003</v>
      </c>
      <c r="N912" s="4">
        <v>499.49400000000003</v>
      </c>
      <c r="O912" s="4">
        <v>499.49400000000003</v>
      </c>
      <c r="P912" s="4">
        <v>0</v>
      </c>
      <c r="Q912" s="3" t="s">
        <v>26</v>
      </c>
      <c r="R912" s="3">
        <v>0</v>
      </c>
      <c r="S912" s="4">
        <v>0</v>
      </c>
      <c r="T912" s="4">
        <v>21</v>
      </c>
      <c r="U912" s="4">
        <v>89</v>
      </c>
      <c r="V912" s="4">
        <f>IF(ISERROR(VLOOKUP($S$912,'TAR FIN'!$A$1:$O$113,15,0)),0,VLOOKUP($S$912,'TAR FIN'!$A$1:$O$113,15,0))</f>
        <v>0</v>
      </c>
      <c r="W912" s="4">
        <f>IF(ISERROR(VLOOKUP($T$912,'TAR FIN'!$A$1:$O$113,15,0)),0,VLOOKUP($T$912,'TAR FIN'!$A$1:$O$113,15,0))</f>
        <v>51.27</v>
      </c>
      <c r="X912" s="4">
        <f>IF(ISERROR(VLOOKUP($U$912,'TAR FIN'!$A$1:$O$113,15,0)),0,VLOOKUP($U$912,'TAR FIN'!$A$1:$O$113,15,0))</f>
        <v>222.31</v>
      </c>
      <c r="Y912" s="4"/>
      <c r="Z912" s="4">
        <f ca="1">('TUSD BE'!$AM$32+'TUSD BF'!$AM$32+'TUSD CVA'!$AM$32)*1</f>
        <v>65.007409626508434</v>
      </c>
      <c r="AA912" s="4">
        <f>('TE BE'!$AA$11+'TE BF'!$AA$11+'TE CVA'!$AA$11)*1</f>
        <v>223.14561812044704</v>
      </c>
      <c r="AB912" s="4">
        <f>$K$912*$V$912</f>
        <v>0</v>
      </c>
      <c r="AC912" s="4">
        <f>$M$912*$W$912</f>
        <v>25609.057380000002</v>
      </c>
      <c r="AD912" s="4">
        <f>$O$912*$X$912</f>
        <v>111042.51114</v>
      </c>
      <c r="AE912" s="4">
        <f>$K$912*$Y$912</f>
        <v>0</v>
      </c>
      <c r="AF912" s="4">
        <f ca="1">$M$912*$Z$912</f>
        <v>32470.811063983205</v>
      </c>
      <c r="AG912" s="4">
        <f>$O$912*$AA$912</f>
        <v>111459.89737745457</v>
      </c>
    </row>
    <row r="913" spans="1:33" ht="11.25" customHeight="1" x14ac:dyDescent="0.25">
      <c r="A913" s="3" t="s">
        <v>28</v>
      </c>
      <c r="B913" s="3" t="s">
        <v>41</v>
      </c>
      <c r="C913" s="3" t="s">
        <v>42</v>
      </c>
      <c r="D913" s="3" t="s">
        <v>46</v>
      </c>
      <c r="E913" s="3" t="s">
        <v>25</v>
      </c>
      <c r="F913" s="3" t="s">
        <v>25</v>
      </c>
      <c r="G913" s="3" t="s">
        <v>25</v>
      </c>
      <c r="H913" s="3" t="s">
        <v>35</v>
      </c>
      <c r="I913" s="6">
        <v>44531</v>
      </c>
      <c r="J913" s="4">
        <v>0</v>
      </c>
      <c r="K913" s="4">
        <v>0</v>
      </c>
      <c r="L913" s="4">
        <v>-6.16</v>
      </c>
      <c r="M913" s="4">
        <v>-6.16</v>
      </c>
      <c r="N913" s="4">
        <v>-6.16</v>
      </c>
      <c r="O913" s="4">
        <v>-6.16</v>
      </c>
      <c r="P913" s="4">
        <v>0</v>
      </c>
      <c r="Q913" s="3" t="s">
        <v>26</v>
      </c>
      <c r="R913" s="3">
        <v>0</v>
      </c>
      <c r="S913" s="4">
        <v>0</v>
      </c>
      <c r="T913" s="4">
        <v>21</v>
      </c>
      <c r="U913" s="4">
        <v>89</v>
      </c>
      <c r="V913" s="4">
        <f>IF(ISERROR(VLOOKUP($S$913,'TAR FIN'!$A$1:$O$113,15,0)),0,VLOOKUP($S$913,'TAR FIN'!$A$1:$O$113,15,0))</f>
        <v>0</v>
      </c>
      <c r="W913" s="4">
        <f>IF(ISERROR(VLOOKUP($T$913,'TAR FIN'!$A$1:$O$113,15,0)),0,VLOOKUP($T$913,'TAR FIN'!$A$1:$O$113,15,0))</f>
        <v>51.27</v>
      </c>
      <c r="X913" s="4">
        <f>IF(ISERROR(VLOOKUP($U$913,'TAR FIN'!$A$1:$O$113,15,0)),0,VLOOKUP($U$913,'TAR FIN'!$A$1:$O$113,15,0))</f>
        <v>222.31</v>
      </c>
      <c r="Y913" s="4"/>
      <c r="Z913" s="4">
        <f ca="1">('TUSD BE'!$AM$32+'TUSD BF'!$AM$32+'TUSD CVA'!$AM$32)*1</f>
        <v>65.007409626508434</v>
      </c>
      <c r="AA913" s="4">
        <f>('TE BE'!$AA$11+'TE BF'!$AA$11+'TE CVA'!$AA$11)*1</f>
        <v>223.14561812044704</v>
      </c>
      <c r="AB913" s="4">
        <f>$K$913*$V$913</f>
        <v>0</v>
      </c>
      <c r="AC913" s="4">
        <f>$M$913*$W$913</f>
        <v>-315.82320000000004</v>
      </c>
      <c r="AD913" s="4">
        <f>$O$913*$X$913</f>
        <v>-1369.4295999999999</v>
      </c>
      <c r="AE913" s="4">
        <f>$K$913*$Y$913</f>
        <v>0</v>
      </c>
      <c r="AF913" s="4">
        <f ca="1">$M$913*$Z$913</f>
        <v>-400.44564329929199</v>
      </c>
      <c r="AG913" s="4">
        <f>$O$913*$AA$913</f>
        <v>-1374.5770076219537</v>
      </c>
    </row>
    <row r="914" spans="1:33" ht="11.25" customHeight="1" x14ac:dyDescent="0.25">
      <c r="A914" s="3" t="s">
        <v>21</v>
      </c>
      <c r="B914" s="3" t="s">
        <v>41</v>
      </c>
      <c r="C914" s="3" t="s">
        <v>42</v>
      </c>
      <c r="D914" s="3" t="s">
        <v>46</v>
      </c>
      <c r="E914" s="3" t="s">
        <v>25</v>
      </c>
      <c r="F914" s="3" t="s">
        <v>25</v>
      </c>
      <c r="G914" s="3" t="s">
        <v>25</v>
      </c>
      <c r="H914" s="3" t="s">
        <v>35</v>
      </c>
      <c r="I914" s="6">
        <v>44562</v>
      </c>
      <c r="J914" s="4">
        <v>0</v>
      </c>
      <c r="K914" s="4">
        <v>0</v>
      </c>
      <c r="L914" s="4">
        <v>4524.2740000000003</v>
      </c>
      <c r="M914" s="4">
        <v>4524.2740000000003</v>
      </c>
      <c r="N914" s="4">
        <v>4524.2740000000003</v>
      </c>
      <c r="O914" s="4">
        <v>4524.2740000000003</v>
      </c>
      <c r="P914" s="4">
        <v>0</v>
      </c>
      <c r="Q914" s="3" t="s">
        <v>26</v>
      </c>
      <c r="R914" s="3">
        <v>0</v>
      </c>
      <c r="S914" s="4">
        <v>0</v>
      </c>
      <c r="T914" s="4">
        <v>21</v>
      </c>
      <c r="U914" s="4">
        <v>89</v>
      </c>
      <c r="V914" s="4">
        <f>IF(ISERROR(VLOOKUP($S$914,'TAR FIN'!$A$1:$O$113,15,0)),0,VLOOKUP($S$914,'TAR FIN'!$A$1:$O$113,15,0))</f>
        <v>0</v>
      </c>
      <c r="W914" s="4">
        <f>IF(ISERROR(VLOOKUP($T$914,'TAR FIN'!$A$1:$O$113,15,0)),0,VLOOKUP($T$914,'TAR FIN'!$A$1:$O$113,15,0))</f>
        <v>51.27</v>
      </c>
      <c r="X914" s="4">
        <f>IF(ISERROR(VLOOKUP($U$914,'TAR FIN'!$A$1:$O$113,15,0)),0,VLOOKUP($U$914,'TAR FIN'!$A$1:$O$113,15,0))</f>
        <v>222.31</v>
      </c>
      <c r="Y914" s="4"/>
      <c r="Z914" s="4">
        <f ca="1">('TUSD BE'!$AM$32+'TUSD BF'!$AM$32+'TUSD CVA'!$AM$32)*1</f>
        <v>65.007409626508434</v>
      </c>
      <c r="AA914" s="4">
        <f>('TE BE'!$AA$11+'TE BF'!$AA$11+'TE CVA'!$AA$11)*1</f>
        <v>223.14561812044704</v>
      </c>
      <c r="AB914" s="4">
        <f>$K$914*$V$914</f>
        <v>0</v>
      </c>
      <c r="AC914" s="4">
        <f>$M$914*$W$914</f>
        <v>231959.52798000004</v>
      </c>
      <c r="AD914" s="4">
        <f>$O$914*$X$914</f>
        <v>1005791.3529400001</v>
      </c>
      <c r="AE914" s="4">
        <f>$K$914*$Y$914</f>
        <v>0</v>
      </c>
      <c r="AF914" s="4">
        <f ca="1">$M$914*$Z$914</f>
        <v>294111.33318056184</v>
      </c>
      <c r="AG914" s="4">
        <f>$O$914*$AA$914</f>
        <v>1009571.9182762675</v>
      </c>
    </row>
    <row r="915" spans="1:33" ht="11.25" customHeight="1" x14ac:dyDescent="0.25">
      <c r="A915" s="3" t="s">
        <v>27</v>
      </c>
      <c r="B915" s="3" t="s">
        <v>41</v>
      </c>
      <c r="C915" s="3" t="s">
        <v>42</v>
      </c>
      <c r="D915" s="3" t="s">
        <v>46</v>
      </c>
      <c r="E915" s="3" t="s">
        <v>25</v>
      </c>
      <c r="F915" s="3" t="s">
        <v>25</v>
      </c>
      <c r="G915" s="3" t="s">
        <v>25</v>
      </c>
      <c r="H915" s="3" t="s">
        <v>35</v>
      </c>
      <c r="I915" s="6">
        <v>44562</v>
      </c>
      <c r="J915" s="4">
        <v>0</v>
      </c>
      <c r="K915" s="4">
        <v>0</v>
      </c>
      <c r="L915" s="4">
        <v>0.371</v>
      </c>
      <c r="M915" s="4">
        <v>0.371</v>
      </c>
      <c r="N915" s="4">
        <v>0.371</v>
      </c>
      <c r="O915" s="4">
        <v>0.371</v>
      </c>
      <c r="P915" s="4">
        <v>0</v>
      </c>
      <c r="Q915" s="3" t="s">
        <v>26</v>
      </c>
      <c r="R915" s="3">
        <v>0</v>
      </c>
      <c r="S915" s="4">
        <v>0</v>
      </c>
      <c r="T915" s="4">
        <v>21</v>
      </c>
      <c r="U915" s="4">
        <v>89</v>
      </c>
      <c r="V915" s="4">
        <f>IF(ISERROR(VLOOKUP($S$915,'TAR FIN'!$A$1:$O$113,15,0)),0,VLOOKUP($S$915,'TAR FIN'!$A$1:$O$113,15,0))</f>
        <v>0</v>
      </c>
      <c r="W915" s="4">
        <f>IF(ISERROR(VLOOKUP($T$915,'TAR FIN'!$A$1:$O$113,15,0)),0,VLOOKUP($T$915,'TAR FIN'!$A$1:$O$113,15,0))</f>
        <v>51.27</v>
      </c>
      <c r="X915" s="4">
        <f>IF(ISERROR(VLOOKUP($U$915,'TAR FIN'!$A$1:$O$113,15,0)),0,VLOOKUP($U$915,'TAR FIN'!$A$1:$O$113,15,0))</f>
        <v>222.31</v>
      </c>
      <c r="Y915" s="4"/>
      <c r="Z915" s="4">
        <f ca="1">('TUSD BE'!$AM$32+'TUSD BF'!$AM$32+'TUSD CVA'!$AM$32)*1</f>
        <v>65.007409626508434</v>
      </c>
      <c r="AA915" s="4">
        <f>('TE BE'!$AA$11+'TE BF'!$AA$11+'TE CVA'!$AA$11)*1</f>
        <v>223.14561812044704</v>
      </c>
      <c r="AB915" s="4">
        <f>$K$915*$V$915</f>
        <v>0</v>
      </c>
      <c r="AC915" s="4">
        <f>$M$915*$W$915</f>
        <v>19.021170000000001</v>
      </c>
      <c r="AD915" s="4">
        <f>$O$915*$X$915</f>
        <v>82.477010000000007</v>
      </c>
      <c r="AE915" s="4">
        <f>$K$915*$Y$915</f>
        <v>0</v>
      </c>
      <c r="AF915" s="4">
        <f ca="1">$M$915*$Z$915</f>
        <v>24.117748971434629</v>
      </c>
      <c r="AG915" s="4">
        <f>$O$915*$AA$915</f>
        <v>82.787024322685852</v>
      </c>
    </row>
    <row r="916" spans="1:33" ht="11.25" customHeight="1" x14ac:dyDescent="0.25">
      <c r="A916" s="3" t="s">
        <v>28</v>
      </c>
      <c r="B916" s="3" t="s">
        <v>41</v>
      </c>
      <c r="C916" s="3" t="s">
        <v>42</v>
      </c>
      <c r="D916" s="3" t="s">
        <v>46</v>
      </c>
      <c r="E916" s="3" t="s">
        <v>25</v>
      </c>
      <c r="F916" s="3" t="s">
        <v>25</v>
      </c>
      <c r="G916" s="3" t="s">
        <v>25</v>
      </c>
      <c r="H916" s="3" t="s">
        <v>35</v>
      </c>
      <c r="I916" s="6">
        <v>44562</v>
      </c>
      <c r="J916" s="4">
        <v>0</v>
      </c>
      <c r="K916" s="4">
        <v>0</v>
      </c>
      <c r="L916" s="4">
        <v>490.7</v>
      </c>
      <c r="M916" s="4">
        <v>490.7</v>
      </c>
      <c r="N916" s="4">
        <v>490.7</v>
      </c>
      <c r="O916" s="4">
        <v>490.7</v>
      </c>
      <c r="P916" s="4">
        <v>0</v>
      </c>
      <c r="Q916" s="3" t="s">
        <v>26</v>
      </c>
      <c r="R916" s="3">
        <v>0</v>
      </c>
      <c r="S916" s="4">
        <v>0</v>
      </c>
      <c r="T916" s="4">
        <v>21</v>
      </c>
      <c r="U916" s="4">
        <v>89</v>
      </c>
      <c r="V916" s="4">
        <f>IF(ISERROR(VLOOKUP($S$916,'TAR FIN'!$A$1:$O$113,15,0)),0,VLOOKUP($S$916,'TAR FIN'!$A$1:$O$113,15,0))</f>
        <v>0</v>
      </c>
      <c r="W916" s="4">
        <f>IF(ISERROR(VLOOKUP($T$916,'TAR FIN'!$A$1:$O$113,15,0)),0,VLOOKUP($T$916,'TAR FIN'!$A$1:$O$113,15,0))</f>
        <v>51.27</v>
      </c>
      <c r="X916" s="4">
        <f>IF(ISERROR(VLOOKUP($U$916,'TAR FIN'!$A$1:$O$113,15,0)),0,VLOOKUP($U$916,'TAR FIN'!$A$1:$O$113,15,0))</f>
        <v>222.31</v>
      </c>
      <c r="Y916" s="4"/>
      <c r="Z916" s="4">
        <f ca="1">('TUSD BE'!$AM$32+'TUSD BF'!$AM$32+'TUSD CVA'!$AM$32)*1</f>
        <v>65.007409626508434</v>
      </c>
      <c r="AA916" s="4">
        <f>('TE BE'!$AA$11+'TE BF'!$AA$11+'TE CVA'!$AA$11)*1</f>
        <v>223.14561812044704</v>
      </c>
      <c r="AB916" s="4">
        <f>$K$916*$V$916</f>
        <v>0</v>
      </c>
      <c r="AC916" s="4">
        <f>$M$916*$W$916</f>
        <v>25158.189000000002</v>
      </c>
      <c r="AD916" s="4">
        <f>$O$916*$X$916</f>
        <v>109087.51699999999</v>
      </c>
      <c r="AE916" s="4">
        <f>$K$916*$Y$916</f>
        <v>0</v>
      </c>
      <c r="AF916" s="4">
        <f ca="1">$M$916*$Z$916</f>
        <v>31899.135903727689</v>
      </c>
      <c r="AG916" s="4">
        <f>$O$916*$AA$916</f>
        <v>109497.55481170336</v>
      </c>
    </row>
    <row r="917" spans="1:33" ht="11.25" customHeight="1" x14ac:dyDescent="0.25">
      <c r="A917" s="3" t="s">
        <v>21</v>
      </c>
      <c r="B917" s="3" t="s">
        <v>41</v>
      </c>
      <c r="C917" s="3" t="s">
        <v>42</v>
      </c>
      <c r="D917" s="3" t="s">
        <v>46</v>
      </c>
      <c r="E917" s="3" t="s">
        <v>25</v>
      </c>
      <c r="F917" s="3" t="s">
        <v>25</v>
      </c>
      <c r="G917" s="3" t="s">
        <v>25</v>
      </c>
      <c r="H917" s="3" t="s">
        <v>35</v>
      </c>
      <c r="I917" s="6">
        <v>44593</v>
      </c>
      <c r="J917" s="4">
        <v>0</v>
      </c>
      <c r="K917" s="4">
        <v>0</v>
      </c>
      <c r="L917" s="4">
        <v>4166.7240000000002</v>
      </c>
      <c r="M917" s="4">
        <v>4166.7240000000002</v>
      </c>
      <c r="N917" s="4">
        <v>4166.7240000000002</v>
      </c>
      <c r="O917" s="4">
        <v>4166.7240000000002</v>
      </c>
      <c r="P917" s="4">
        <v>0</v>
      </c>
      <c r="Q917" s="3" t="s">
        <v>26</v>
      </c>
      <c r="R917" s="3">
        <v>0</v>
      </c>
      <c r="S917" s="4">
        <v>0</v>
      </c>
      <c r="T917" s="4">
        <v>21</v>
      </c>
      <c r="U917" s="4">
        <v>89</v>
      </c>
      <c r="V917" s="4">
        <f>IF(ISERROR(VLOOKUP($S$917,'TAR FIN'!$A$1:$O$113,15,0)),0,VLOOKUP($S$917,'TAR FIN'!$A$1:$O$113,15,0))</f>
        <v>0</v>
      </c>
      <c r="W917" s="4">
        <f>IF(ISERROR(VLOOKUP($T$917,'TAR FIN'!$A$1:$O$113,15,0)),0,VLOOKUP($T$917,'TAR FIN'!$A$1:$O$113,15,0))</f>
        <v>51.27</v>
      </c>
      <c r="X917" s="4">
        <f>IF(ISERROR(VLOOKUP($U$917,'TAR FIN'!$A$1:$O$113,15,0)),0,VLOOKUP($U$917,'TAR FIN'!$A$1:$O$113,15,0))</f>
        <v>222.31</v>
      </c>
      <c r="Y917" s="4"/>
      <c r="Z917" s="4">
        <f ca="1">('TUSD BE'!$AM$32+'TUSD BF'!$AM$32+'TUSD CVA'!$AM$32)*1</f>
        <v>65.007409626508434</v>
      </c>
      <c r="AA917" s="4">
        <f>('TE BE'!$AA$11+'TE BF'!$AA$11+'TE CVA'!$AA$11)*1</f>
        <v>223.14561812044704</v>
      </c>
      <c r="AB917" s="4">
        <f>$K$917*$V$917</f>
        <v>0</v>
      </c>
      <c r="AC917" s="4">
        <f>$M$917*$W$917</f>
        <v>213627.93948000003</v>
      </c>
      <c r="AD917" s="4">
        <f>$O$917*$X$917</f>
        <v>926304.4124400001</v>
      </c>
      <c r="AE917" s="4">
        <f>$K$917*$Y$917</f>
        <v>0</v>
      </c>
      <c r="AF917" s="4">
        <f ca="1">$M$917*$Z$917</f>
        <v>270867.93386860372</v>
      </c>
      <c r="AG917" s="4">
        <f>$O$917*$AA$917</f>
        <v>929786.20251730166</v>
      </c>
    </row>
    <row r="918" spans="1:33" ht="11.25" customHeight="1" x14ac:dyDescent="0.25">
      <c r="A918" s="3" t="s">
        <v>27</v>
      </c>
      <c r="B918" s="3" t="s">
        <v>41</v>
      </c>
      <c r="C918" s="3" t="s">
        <v>42</v>
      </c>
      <c r="D918" s="3" t="s">
        <v>46</v>
      </c>
      <c r="E918" s="3" t="s">
        <v>25</v>
      </c>
      <c r="F918" s="3" t="s">
        <v>25</v>
      </c>
      <c r="G918" s="3" t="s">
        <v>25</v>
      </c>
      <c r="H918" s="3" t="s">
        <v>35</v>
      </c>
      <c r="I918" s="6">
        <v>44593</v>
      </c>
      <c r="J918" s="4">
        <v>0</v>
      </c>
      <c r="K918" s="4">
        <v>0</v>
      </c>
      <c r="L918" s="4">
        <v>-330.14499999999998</v>
      </c>
      <c r="M918" s="4">
        <v>-330.14499999999998</v>
      </c>
      <c r="N918" s="4">
        <v>-330.14499999999998</v>
      </c>
      <c r="O918" s="4">
        <v>-330.14499999999998</v>
      </c>
      <c r="P918" s="4">
        <v>0</v>
      </c>
      <c r="Q918" s="3" t="s">
        <v>26</v>
      </c>
      <c r="R918" s="3">
        <v>0</v>
      </c>
      <c r="S918" s="4">
        <v>0</v>
      </c>
      <c r="T918" s="4">
        <v>21</v>
      </c>
      <c r="U918" s="4">
        <v>89</v>
      </c>
      <c r="V918" s="4">
        <f>IF(ISERROR(VLOOKUP($S$918,'TAR FIN'!$A$1:$O$113,15,0)),0,VLOOKUP($S$918,'TAR FIN'!$A$1:$O$113,15,0))</f>
        <v>0</v>
      </c>
      <c r="W918" s="4">
        <f>IF(ISERROR(VLOOKUP($T$918,'TAR FIN'!$A$1:$O$113,15,0)),0,VLOOKUP($T$918,'TAR FIN'!$A$1:$O$113,15,0))</f>
        <v>51.27</v>
      </c>
      <c r="X918" s="4">
        <f>IF(ISERROR(VLOOKUP($U$918,'TAR FIN'!$A$1:$O$113,15,0)),0,VLOOKUP($U$918,'TAR FIN'!$A$1:$O$113,15,0))</f>
        <v>222.31</v>
      </c>
      <c r="Y918" s="4"/>
      <c r="Z918" s="4">
        <f ca="1">('TUSD BE'!$AM$32+'TUSD BF'!$AM$32+'TUSD CVA'!$AM$32)*1</f>
        <v>65.007409626508434</v>
      </c>
      <c r="AA918" s="4">
        <f>('TE BE'!$AA$11+'TE BF'!$AA$11+'TE CVA'!$AA$11)*1</f>
        <v>223.14561812044704</v>
      </c>
      <c r="AB918" s="4">
        <f>$K$918*$V$918</f>
        <v>0</v>
      </c>
      <c r="AC918" s="4">
        <f>$M$918*$W$918</f>
        <v>-16926.534149999999</v>
      </c>
      <c r="AD918" s="4">
        <f>$O$918*$X$918</f>
        <v>-73394.534950000001</v>
      </c>
      <c r="AE918" s="4">
        <f>$K$918*$Y$918</f>
        <v>0</v>
      </c>
      <c r="AF918" s="4">
        <f ca="1">$M$918*$Z$918</f>
        <v>-21461.871251143624</v>
      </c>
      <c r="AG918" s="4">
        <f>$O$918*$AA$918</f>
        <v>-73670.41009437498</v>
      </c>
    </row>
    <row r="919" spans="1:33" ht="11.25" customHeight="1" x14ac:dyDescent="0.25">
      <c r="A919" s="3" t="s">
        <v>28</v>
      </c>
      <c r="B919" s="3" t="s">
        <v>41</v>
      </c>
      <c r="C919" s="3" t="s">
        <v>42</v>
      </c>
      <c r="D919" s="3" t="s">
        <v>46</v>
      </c>
      <c r="E919" s="3" t="s">
        <v>25</v>
      </c>
      <c r="F919" s="3" t="s">
        <v>25</v>
      </c>
      <c r="G919" s="3" t="s">
        <v>25</v>
      </c>
      <c r="H919" s="3" t="s">
        <v>35</v>
      </c>
      <c r="I919" s="6">
        <v>44593</v>
      </c>
      <c r="J919" s="4">
        <v>0</v>
      </c>
      <c r="K919" s="4">
        <v>0</v>
      </c>
      <c r="L919" s="4">
        <v>487.536</v>
      </c>
      <c r="M919" s="4">
        <v>487.536</v>
      </c>
      <c r="N919" s="4">
        <v>487.536</v>
      </c>
      <c r="O919" s="4">
        <v>487.536</v>
      </c>
      <c r="P919" s="4">
        <v>0</v>
      </c>
      <c r="Q919" s="3" t="s">
        <v>26</v>
      </c>
      <c r="R919" s="3">
        <v>0</v>
      </c>
      <c r="S919" s="4">
        <v>0</v>
      </c>
      <c r="T919" s="4">
        <v>21</v>
      </c>
      <c r="U919" s="4">
        <v>89</v>
      </c>
      <c r="V919" s="4">
        <f>IF(ISERROR(VLOOKUP($S$919,'TAR FIN'!$A$1:$O$113,15,0)),0,VLOOKUP($S$919,'TAR FIN'!$A$1:$O$113,15,0))</f>
        <v>0</v>
      </c>
      <c r="W919" s="4">
        <f>IF(ISERROR(VLOOKUP($T$919,'TAR FIN'!$A$1:$O$113,15,0)),0,VLOOKUP($T$919,'TAR FIN'!$A$1:$O$113,15,0))</f>
        <v>51.27</v>
      </c>
      <c r="X919" s="4">
        <f>IF(ISERROR(VLOOKUP($U$919,'TAR FIN'!$A$1:$O$113,15,0)),0,VLOOKUP($U$919,'TAR FIN'!$A$1:$O$113,15,0))</f>
        <v>222.31</v>
      </c>
      <c r="Y919" s="4"/>
      <c r="Z919" s="4">
        <f ca="1">('TUSD BE'!$AM$32+'TUSD BF'!$AM$32+'TUSD CVA'!$AM$32)*1</f>
        <v>65.007409626508434</v>
      </c>
      <c r="AA919" s="4">
        <f>('TE BE'!$AA$11+'TE BF'!$AA$11+'TE CVA'!$AA$11)*1</f>
        <v>223.14561812044704</v>
      </c>
      <c r="AB919" s="4">
        <f>$K$919*$V$919</f>
        <v>0</v>
      </c>
      <c r="AC919" s="4">
        <f>$M$919*$W$919</f>
        <v>24995.970720000001</v>
      </c>
      <c r="AD919" s="4">
        <f>$O$919*$X$919</f>
        <v>108384.12816000001</v>
      </c>
      <c r="AE919" s="4">
        <f>$K$919*$Y$919</f>
        <v>0</v>
      </c>
      <c r="AF919" s="4">
        <f ca="1">$M$919*$Z$919</f>
        <v>31693.452459669417</v>
      </c>
      <c r="AG919" s="4">
        <f>$O$919*$AA$919</f>
        <v>108791.52207597026</v>
      </c>
    </row>
    <row r="920" spans="1:33" ht="11.25" customHeight="1" x14ac:dyDescent="0.25">
      <c r="A920" s="3" t="s">
        <v>56</v>
      </c>
      <c r="B920" s="3" t="s">
        <v>41</v>
      </c>
      <c r="C920" s="3" t="s">
        <v>42</v>
      </c>
      <c r="D920" s="3" t="s">
        <v>46</v>
      </c>
      <c r="E920" s="3" t="s">
        <v>25</v>
      </c>
      <c r="F920" s="3" t="s">
        <v>25</v>
      </c>
      <c r="G920" s="3" t="s">
        <v>25</v>
      </c>
      <c r="H920" s="3" t="s">
        <v>35</v>
      </c>
      <c r="I920" s="6">
        <v>44621</v>
      </c>
      <c r="J920" s="4">
        <v>0</v>
      </c>
      <c r="K920" s="4">
        <v>0</v>
      </c>
      <c r="L920" s="4">
        <v>4166.7240000000002</v>
      </c>
      <c r="M920" s="4">
        <v>4166.7240000000002</v>
      </c>
      <c r="N920" s="4">
        <v>4166.7240000000002</v>
      </c>
      <c r="O920" s="4">
        <v>4166.7240000000002</v>
      </c>
      <c r="P920" s="4">
        <v>0</v>
      </c>
      <c r="Q920" s="3" t="s">
        <v>26</v>
      </c>
      <c r="R920" s="3">
        <v>0</v>
      </c>
      <c r="S920" s="4">
        <v>0</v>
      </c>
      <c r="T920" s="4">
        <v>21</v>
      </c>
      <c r="U920" s="4">
        <v>89</v>
      </c>
      <c r="V920" s="4">
        <f>IF(ISERROR(VLOOKUP($S$920,'TAR FIN'!$A$1:$O$113,15,0)),0,VLOOKUP($S$920,'TAR FIN'!$A$1:$O$113,15,0))</f>
        <v>0</v>
      </c>
      <c r="W920" s="4">
        <f>IF(ISERROR(VLOOKUP($T$920,'TAR FIN'!$A$1:$O$113,15,0)),0,VLOOKUP($T$920,'TAR FIN'!$A$1:$O$113,15,0))</f>
        <v>51.27</v>
      </c>
      <c r="X920" s="4">
        <f>IF(ISERROR(VLOOKUP($U$920,'TAR FIN'!$A$1:$O$113,15,0)),0,VLOOKUP($U$920,'TAR FIN'!$A$1:$O$113,15,0))</f>
        <v>222.31</v>
      </c>
      <c r="Y920" s="4"/>
      <c r="Z920" s="4">
        <f ca="1">('TUSD BE'!$AM$32+'TUSD BF'!$AM$32+'TUSD CVA'!$AM$32)*1</f>
        <v>65.007409626508434</v>
      </c>
      <c r="AA920" s="4">
        <f>('TE BE'!$AA$11+'TE BF'!$AA$11+'TE CVA'!$AA$11)*1</f>
        <v>223.14561812044704</v>
      </c>
      <c r="AB920" s="4">
        <f>$K$920*$V$920</f>
        <v>0</v>
      </c>
      <c r="AC920" s="4">
        <f>$M$920*$W$920</f>
        <v>213627.93948000003</v>
      </c>
      <c r="AD920" s="4">
        <f>$O$920*$X$920</f>
        <v>926304.4124400001</v>
      </c>
      <c r="AE920" s="4">
        <f>$K$920*$Y$920</f>
        <v>0</v>
      </c>
      <c r="AF920" s="4">
        <f ca="1">$M$920*$Z$920</f>
        <v>270867.93386860372</v>
      </c>
      <c r="AG920" s="4">
        <f>$O$920*$AA$920</f>
        <v>929786.20251730166</v>
      </c>
    </row>
    <row r="921" spans="1:33" ht="11.25" customHeight="1" x14ac:dyDescent="0.25">
      <c r="A921" s="3" t="s">
        <v>56</v>
      </c>
      <c r="B921" s="3" t="s">
        <v>41</v>
      </c>
      <c r="C921" s="3" t="s">
        <v>42</v>
      </c>
      <c r="D921" s="3" t="s">
        <v>46</v>
      </c>
      <c r="E921" s="3" t="s">
        <v>25</v>
      </c>
      <c r="F921" s="3" t="s">
        <v>25</v>
      </c>
      <c r="G921" s="3" t="s">
        <v>25</v>
      </c>
      <c r="H921" s="3" t="s">
        <v>35</v>
      </c>
      <c r="I921" s="6">
        <v>44621</v>
      </c>
      <c r="J921" s="4">
        <v>0</v>
      </c>
      <c r="K921" s="4">
        <v>0</v>
      </c>
      <c r="L921" s="4">
        <v>-330.14499999999998</v>
      </c>
      <c r="M921" s="4">
        <v>-330.14499999999998</v>
      </c>
      <c r="N921" s="4">
        <v>-330.14499999999998</v>
      </c>
      <c r="O921" s="4">
        <v>-330.14499999999998</v>
      </c>
      <c r="P921" s="4">
        <v>0</v>
      </c>
      <c r="Q921" s="3" t="s">
        <v>26</v>
      </c>
      <c r="R921" s="3">
        <v>0</v>
      </c>
      <c r="S921" s="4">
        <v>0</v>
      </c>
      <c r="T921" s="4">
        <v>21</v>
      </c>
      <c r="U921" s="4">
        <v>89</v>
      </c>
      <c r="V921" s="4">
        <f>IF(ISERROR(VLOOKUP($S$921,'TAR FIN'!$A$1:$O$113,15,0)),0,VLOOKUP($S$921,'TAR FIN'!$A$1:$O$113,15,0))</f>
        <v>0</v>
      </c>
      <c r="W921" s="4">
        <f>IF(ISERROR(VLOOKUP($T$921,'TAR FIN'!$A$1:$O$113,15,0)),0,VLOOKUP($T$921,'TAR FIN'!$A$1:$O$113,15,0))</f>
        <v>51.27</v>
      </c>
      <c r="X921" s="4">
        <f>IF(ISERROR(VLOOKUP($U$921,'TAR FIN'!$A$1:$O$113,15,0)),0,VLOOKUP($U$921,'TAR FIN'!$A$1:$O$113,15,0))</f>
        <v>222.31</v>
      </c>
      <c r="Y921" s="4"/>
      <c r="Z921" s="4">
        <f ca="1">('TUSD BE'!$AM$32+'TUSD BF'!$AM$32+'TUSD CVA'!$AM$32)*1</f>
        <v>65.007409626508434</v>
      </c>
      <c r="AA921" s="4">
        <f>('TE BE'!$AA$11+'TE BF'!$AA$11+'TE CVA'!$AA$11)*1</f>
        <v>223.14561812044704</v>
      </c>
      <c r="AB921" s="4">
        <f>$K$921*$V$921</f>
        <v>0</v>
      </c>
      <c r="AC921" s="4">
        <f>$M$921*$W$921</f>
        <v>-16926.534149999999</v>
      </c>
      <c r="AD921" s="4">
        <f>$O$921*$X$921</f>
        <v>-73394.534950000001</v>
      </c>
      <c r="AE921" s="4">
        <f>$K$921*$Y$921</f>
        <v>0</v>
      </c>
      <c r="AF921" s="4">
        <f ca="1">$M$921*$Z$921</f>
        <v>-21461.871251143624</v>
      </c>
      <c r="AG921" s="4">
        <f>$O$921*$AA$921</f>
        <v>-73670.41009437498</v>
      </c>
    </row>
    <row r="922" spans="1:33" ht="11.25" customHeight="1" x14ac:dyDescent="0.25">
      <c r="A922" s="3" t="s">
        <v>56</v>
      </c>
      <c r="B922" s="3" t="s">
        <v>41</v>
      </c>
      <c r="C922" s="3" t="s">
        <v>42</v>
      </c>
      <c r="D922" s="3" t="s">
        <v>46</v>
      </c>
      <c r="E922" s="3" t="s">
        <v>25</v>
      </c>
      <c r="F922" s="3" t="s">
        <v>25</v>
      </c>
      <c r="G922" s="3" t="s">
        <v>25</v>
      </c>
      <c r="H922" s="3" t="s">
        <v>35</v>
      </c>
      <c r="I922" s="6">
        <v>44621</v>
      </c>
      <c r="J922" s="4">
        <v>0</v>
      </c>
      <c r="K922" s="4">
        <v>0</v>
      </c>
      <c r="L922" s="4">
        <v>487.536</v>
      </c>
      <c r="M922" s="4">
        <v>487.536</v>
      </c>
      <c r="N922" s="4">
        <v>487.536</v>
      </c>
      <c r="O922" s="4">
        <v>487.536</v>
      </c>
      <c r="P922" s="4">
        <v>0</v>
      </c>
      <c r="Q922" s="3" t="s">
        <v>26</v>
      </c>
      <c r="R922" s="3">
        <v>0</v>
      </c>
      <c r="S922" s="4">
        <v>0</v>
      </c>
      <c r="T922" s="4">
        <v>21</v>
      </c>
      <c r="U922" s="4">
        <v>89</v>
      </c>
      <c r="V922" s="4">
        <f>IF(ISERROR(VLOOKUP($S$922,'TAR FIN'!$A$1:$O$113,15,0)),0,VLOOKUP($S$922,'TAR FIN'!$A$1:$O$113,15,0))</f>
        <v>0</v>
      </c>
      <c r="W922" s="4">
        <f>IF(ISERROR(VLOOKUP($T$922,'TAR FIN'!$A$1:$O$113,15,0)),0,VLOOKUP($T$922,'TAR FIN'!$A$1:$O$113,15,0))</f>
        <v>51.27</v>
      </c>
      <c r="X922" s="4">
        <f>IF(ISERROR(VLOOKUP($U$922,'TAR FIN'!$A$1:$O$113,15,0)),0,VLOOKUP($U$922,'TAR FIN'!$A$1:$O$113,15,0))</f>
        <v>222.31</v>
      </c>
      <c r="Y922" s="4"/>
      <c r="Z922" s="4">
        <f ca="1">('TUSD BE'!$AM$32+'TUSD BF'!$AM$32+'TUSD CVA'!$AM$32)*1</f>
        <v>65.007409626508434</v>
      </c>
      <c r="AA922" s="4">
        <f>('TE BE'!$AA$11+'TE BF'!$AA$11+'TE CVA'!$AA$11)*1</f>
        <v>223.14561812044704</v>
      </c>
      <c r="AB922" s="4">
        <f>$K$922*$V$922</f>
        <v>0</v>
      </c>
      <c r="AC922" s="4">
        <f>$M$922*$W$922</f>
        <v>24995.970720000001</v>
      </c>
      <c r="AD922" s="4">
        <f>$O$922*$X$922</f>
        <v>108384.12816000001</v>
      </c>
      <c r="AE922" s="4">
        <f>$K$922*$Y$922</f>
        <v>0</v>
      </c>
      <c r="AF922" s="4">
        <f ca="1">$M$922*$Z$922</f>
        <v>31693.452459669417</v>
      </c>
      <c r="AG922" s="4">
        <f>$O$922*$AA$922</f>
        <v>108791.52207597026</v>
      </c>
    </row>
    <row r="923" spans="1:33" ht="11.25" customHeight="1" x14ac:dyDescent="0.25">
      <c r="A923" s="3" t="s">
        <v>21</v>
      </c>
      <c r="B923" s="3" t="s">
        <v>41</v>
      </c>
      <c r="C923" s="3" t="s">
        <v>42</v>
      </c>
      <c r="D923" s="3" t="s">
        <v>46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44287</v>
      </c>
      <c r="J923" s="4">
        <v>30704</v>
      </c>
      <c r="K923" s="4">
        <v>30704</v>
      </c>
      <c r="L923" s="4">
        <v>0</v>
      </c>
      <c r="M923" s="4">
        <v>0</v>
      </c>
      <c r="N923" s="4">
        <v>0</v>
      </c>
      <c r="O923" s="4">
        <v>0</v>
      </c>
      <c r="P923" s="4">
        <v>235</v>
      </c>
      <c r="Q923" s="3" t="s">
        <v>26</v>
      </c>
      <c r="R923" s="3">
        <v>0</v>
      </c>
      <c r="S923" s="4">
        <v>44</v>
      </c>
      <c r="T923" s="4">
        <v>0</v>
      </c>
      <c r="U923" s="4">
        <v>0</v>
      </c>
      <c r="V923" s="4">
        <f>IF(ISERROR(VLOOKUP($S$923,'TAR FIN'!$A$1:$O$113,15,0)),0,VLOOKUP($S$923,'TAR FIN'!$A$1:$O$113,15,0))</f>
        <v>24.31</v>
      </c>
      <c r="W923" s="4">
        <f>IF(ISERROR(VLOOKUP($T$923,'TAR FIN'!$A$1:$O$113,15,0)),0,VLOOKUP($T$923,'TAR FIN'!$A$1:$O$113,15,0))</f>
        <v>0</v>
      </c>
      <c r="X923" s="4">
        <f>IF(ISERROR(VLOOKUP($U$923,'TAR FIN'!$A$1:$O$113,15,0)),0,VLOOKUP($U$923,'TAR FIN'!$A$1:$O$113,15,0))</f>
        <v>0</v>
      </c>
      <c r="Y923" s="4">
        <f ca="1">('TUSD BE'!$AM$30+'TUSD BF'!$AM$30+'TUSD CVA'!$AM$30)*1</f>
        <v>26.598074646640526</v>
      </c>
      <c r="Z923" s="4"/>
      <c r="AA923" s="4"/>
      <c r="AB923" s="4">
        <f>$K$923*$V$923</f>
        <v>746414.24</v>
      </c>
      <c r="AC923" s="4">
        <f>$M$923*$W$923</f>
        <v>0</v>
      </c>
      <c r="AD923" s="4">
        <f>$O$923*$X$923</f>
        <v>0</v>
      </c>
      <c r="AE923" s="4">
        <f ca="1">$K$923*$Y$923</f>
        <v>816667.28395045071</v>
      </c>
      <c r="AF923" s="4">
        <f>$M$923*$Z$923</f>
        <v>0</v>
      </c>
      <c r="AG923" s="4">
        <f>$O$923*$AA$923</f>
        <v>0</v>
      </c>
    </row>
    <row r="924" spans="1:33" ht="11.25" customHeight="1" x14ac:dyDescent="0.25">
      <c r="A924" s="3" t="s">
        <v>28</v>
      </c>
      <c r="B924" s="3" t="s">
        <v>41</v>
      </c>
      <c r="C924" s="3" t="s">
        <v>42</v>
      </c>
      <c r="D924" s="3" t="s">
        <v>46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44287</v>
      </c>
      <c r="J924" s="4">
        <v>1510</v>
      </c>
      <c r="K924" s="4">
        <v>1510</v>
      </c>
      <c r="L924" s="4">
        <v>0</v>
      </c>
      <c r="M924" s="4">
        <v>0</v>
      </c>
      <c r="N924" s="4">
        <v>0</v>
      </c>
      <c r="O924" s="4">
        <v>0</v>
      </c>
      <c r="P924" s="4">
        <v>3</v>
      </c>
      <c r="Q924" s="3" t="s">
        <v>26</v>
      </c>
      <c r="R924" s="3">
        <v>0</v>
      </c>
      <c r="S924" s="4">
        <v>44</v>
      </c>
      <c r="T924" s="4">
        <v>0</v>
      </c>
      <c r="U924" s="4">
        <v>0</v>
      </c>
      <c r="V924" s="4">
        <f>IF(ISERROR(VLOOKUP($S$924,'TAR FIN'!$A$1:$O$113,15,0)),0,VLOOKUP($S$924,'TAR FIN'!$A$1:$O$113,15,0))</f>
        <v>24.31</v>
      </c>
      <c r="W924" s="4">
        <f>IF(ISERROR(VLOOKUP($T$924,'TAR FIN'!$A$1:$O$113,15,0)),0,VLOOKUP($T$924,'TAR FIN'!$A$1:$O$113,15,0))</f>
        <v>0</v>
      </c>
      <c r="X924" s="4">
        <f>IF(ISERROR(VLOOKUP($U$924,'TAR FIN'!$A$1:$O$113,15,0)),0,VLOOKUP($U$924,'TAR FIN'!$A$1:$O$113,15,0))</f>
        <v>0</v>
      </c>
      <c r="Y924" s="4">
        <f ca="1">('TUSD BE'!$AM$30+'TUSD BF'!$AM$30+'TUSD CVA'!$AM$30)*1</f>
        <v>26.598074646640526</v>
      </c>
      <c r="Z924" s="4"/>
      <c r="AA924" s="4"/>
      <c r="AB924" s="4">
        <f>$K$924*$V$924</f>
        <v>36708.1</v>
      </c>
      <c r="AC924" s="4">
        <f>$M$924*$W$924</f>
        <v>0</v>
      </c>
      <c r="AD924" s="4">
        <f>$O$924*$X$924</f>
        <v>0</v>
      </c>
      <c r="AE924" s="4">
        <f ca="1">$K$924*$Y$924</f>
        <v>40163.092716427192</v>
      </c>
      <c r="AF924" s="4">
        <f>$M$924*$Z$924</f>
        <v>0</v>
      </c>
      <c r="AG924" s="4">
        <f>$O$924*$AA$924</f>
        <v>0</v>
      </c>
    </row>
    <row r="925" spans="1:33" ht="11.25" customHeight="1" x14ac:dyDescent="0.25">
      <c r="A925" s="3" t="s">
        <v>21</v>
      </c>
      <c r="B925" s="3" t="s">
        <v>41</v>
      </c>
      <c r="C925" s="3" t="s">
        <v>42</v>
      </c>
      <c r="D925" s="3" t="s">
        <v>46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44317</v>
      </c>
      <c r="J925" s="4">
        <v>29744</v>
      </c>
      <c r="K925" s="4">
        <v>29744</v>
      </c>
      <c r="L925" s="4">
        <v>0</v>
      </c>
      <c r="M925" s="4">
        <v>0</v>
      </c>
      <c r="N925" s="4">
        <v>0</v>
      </c>
      <c r="O925" s="4">
        <v>0</v>
      </c>
      <c r="P925" s="4">
        <v>233</v>
      </c>
      <c r="Q925" s="3" t="s">
        <v>26</v>
      </c>
      <c r="R925" s="3">
        <v>0</v>
      </c>
      <c r="S925" s="4">
        <v>44</v>
      </c>
      <c r="T925" s="4">
        <v>0</v>
      </c>
      <c r="U925" s="4">
        <v>0</v>
      </c>
      <c r="V925" s="4">
        <f>IF(ISERROR(VLOOKUP($S$925,'TAR FIN'!$A$1:$O$113,15,0)),0,VLOOKUP($S$925,'TAR FIN'!$A$1:$O$113,15,0))</f>
        <v>24.31</v>
      </c>
      <c r="W925" s="4">
        <f>IF(ISERROR(VLOOKUP($T$925,'TAR FIN'!$A$1:$O$113,15,0)),0,VLOOKUP($T$925,'TAR FIN'!$A$1:$O$113,15,0))</f>
        <v>0</v>
      </c>
      <c r="X925" s="4">
        <f>IF(ISERROR(VLOOKUP($U$925,'TAR FIN'!$A$1:$O$113,15,0)),0,VLOOKUP($U$925,'TAR FIN'!$A$1:$O$113,15,0))</f>
        <v>0</v>
      </c>
      <c r="Y925" s="4">
        <f ca="1">('TUSD BE'!$AM$30+'TUSD BF'!$AM$30+'TUSD CVA'!$AM$30)*1</f>
        <v>26.598074646640526</v>
      </c>
      <c r="Z925" s="4"/>
      <c r="AA925" s="4"/>
      <c r="AB925" s="4">
        <f>$K$925*$V$925</f>
        <v>723076.64</v>
      </c>
      <c r="AC925" s="4">
        <f>$M$925*$W$925</f>
        <v>0</v>
      </c>
      <c r="AD925" s="4">
        <f>$O$925*$X$925</f>
        <v>0</v>
      </c>
      <c r="AE925" s="4">
        <f ca="1">$K$925*$Y$925</f>
        <v>791133.13228967576</v>
      </c>
      <c r="AF925" s="4">
        <f>$M$925*$Z$925</f>
        <v>0</v>
      </c>
      <c r="AG925" s="4">
        <f>$O$925*$AA$925</f>
        <v>0</v>
      </c>
    </row>
    <row r="926" spans="1:33" ht="11.25" customHeight="1" x14ac:dyDescent="0.25">
      <c r="A926" s="3" t="s">
        <v>27</v>
      </c>
      <c r="B926" s="3" t="s">
        <v>41</v>
      </c>
      <c r="C926" s="3" t="s">
        <v>42</v>
      </c>
      <c r="D926" s="3" t="s">
        <v>46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44317</v>
      </c>
      <c r="J926" s="4">
        <v>-70</v>
      </c>
      <c r="K926" s="4">
        <v>-70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3" t="s">
        <v>26</v>
      </c>
      <c r="R926" s="3">
        <v>0</v>
      </c>
      <c r="S926" s="4">
        <v>44</v>
      </c>
      <c r="T926" s="4">
        <v>0</v>
      </c>
      <c r="U926" s="4">
        <v>0</v>
      </c>
      <c r="V926" s="4">
        <f>IF(ISERROR(VLOOKUP($S$926,'TAR FIN'!$A$1:$O$113,15,0)),0,VLOOKUP($S$926,'TAR FIN'!$A$1:$O$113,15,0))</f>
        <v>24.31</v>
      </c>
      <c r="W926" s="4">
        <f>IF(ISERROR(VLOOKUP($T$926,'TAR FIN'!$A$1:$O$113,15,0)),0,VLOOKUP($T$926,'TAR FIN'!$A$1:$O$113,15,0))</f>
        <v>0</v>
      </c>
      <c r="X926" s="4">
        <f>IF(ISERROR(VLOOKUP($U$926,'TAR FIN'!$A$1:$O$113,15,0)),0,VLOOKUP($U$926,'TAR FIN'!$A$1:$O$113,15,0))</f>
        <v>0</v>
      </c>
      <c r="Y926" s="4">
        <f ca="1">('TUSD BE'!$AM$30+'TUSD BF'!$AM$30+'TUSD CVA'!$AM$30)*1</f>
        <v>26.598074646640526</v>
      </c>
      <c r="Z926" s="4"/>
      <c r="AA926" s="4"/>
      <c r="AB926" s="4">
        <f>$K$926*$V$926</f>
        <v>-1701.6999999999998</v>
      </c>
      <c r="AC926" s="4">
        <f>$M$926*$W$926</f>
        <v>0</v>
      </c>
      <c r="AD926" s="4">
        <f>$O$926*$X$926</f>
        <v>0</v>
      </c>
      <c r="AE926" s="4">
        <f ca="1">$K$926*$Y$926</f>
        <v>-1861.8652252648369</v>
      </c>
      <c r="AF926" s="4">
        <f>$M$926*$Z$926</f>
        <v>0</v>
      </c>
      <c r="AG926" s="4">
        <f>$O$926*$AA$926</f>
        <v>0</v>
      </c>
    </row>
    <row r="927" spans="1:33" ht="11.25" customHeight="1" x14ac:dyDescent="0.25">
      <c r="A927" s="3" t="s">
        <v>28</v>
      </c>
      <c r="B927" s="3" t="s">
        <v>41</v>
      </c>
      <c r="C927" s="3" t="s">
        <v>42</v>
      </c>
      <c r="D927" s="3" t="s">
        <v>46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44317</v>
      </c>
      <c r="J927" s="4">
        <v>2390</v>
      </c>
      <c r="K927" s="4">
        <v>2390</v>
      </c>
      <c r="L927" s="4">
        <v>0</v>
      </c>
      <c r="M927" s="4">
        <v>0</v>
      </c>
      <c r="N927" s="4">
        <v>0</v>
      </c>
      <c r="O927" s="4">
        <v>0</v>
      </c>
      <c r="P927" s="4">
        <v>6</v>
      </c>
      <c r="Q927" s="3" t="s">
        <v>26</v>
      </c>
      <c r="R927" s="3">
        <v>0</v>
      </c>
      <c r="S927" s="4">
        <v>44</v>
      </c>
      <c r="T927" s="4">
        <v>0</v>
      </c>
      <c r="U927" s="4">
        <v>0</v>
      </c>
      <c r="V927" s="4">
        <f>IF(ISERROR(VLOOKUP($S$927,'TAR FIN'!$A$1:$O$113,15,0)),0,VLOOKUP($S$927,'TAR FIN'!$A$1:$O$113,15,0))</f>
        <v>24.31</v>
      </c>
      <c r="W927" s="4">
        <f>IF(ISERROR(VLOOKUP($T$927,'TAR FIN'!$A$1:$O$113,15,0)),0,VLOOKUP($T$927,'TAR FIN'!$A$1:$O$113,15,0))</f>
        <v>0</v>
      </c>
      <c r="X927" s="4">
        <f>IF(ISERROR(VLOOKUP($U$927,'TAR FIN'!$A$1:$O$113,15,0)),0,VLOOKUP($U$927,'TAR FIN'!$A$1:$O$113,15,0))</f>
        <v>0</v>
      </c>
      <c r="Y927" s="4">
        <f ca="1">('TUSD BE'!$AM$30+'TUSD BF'!$AM$30+'TUSD CVA'!$AM$30)*1</f>
        <v>26.598074646640526</v>
      </c>
      <c r="Z927" s="4"/>
      <c r="AA927" s="4"/>
      <c r="AB927" s="4">
        <f>$K$927*$V$927</f>
        <v>58100.899999999994</v>
      </c>
      <c r="AC927" s="4">
        <f>$M$927*$W$927</f>
        <v>0</v>
      </c>
      <c r="AD927" s="4">
        <f>$O$927*$X$927</f>
        <v>0</v>
      </c>
      <c r="AE927" s="4">
        <f ca="1">$K$927*$Y$927</f>
        <v>63569.398405470856</v>
      </c>
      <c r="AF927" s="4">
        <f>$M$927*$Z$927</f>
        <v>0</v>
      </c>
      <c r="AG927" s="4">
        <f>$O$927*$AA$927</f>
        <v>0</v>
      </c>
    </row>
    <row r="928" spans="1:33" ht="11.25" customHeight="1" x14ac:dyDescent="0.25">
      <c r="A928" s="3" t="s">
        <v>21</v>
      </c>
      <c r="B928" s="3" t="s">
        <v>41</v>
      </c>
      <c r="C928" s="3" t="s">
        <v>42</v>
      </c>
      <c r="D928" s="3" t="s">
        <v>46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44348</v>
      </c>
      <c r="J928" s="4">
        <v>29407</v>
      </c>
      <c r="K928" s="4">
        <v>29407</v>
      </c>
      <c r="L928" s="4">
        <v>0</v>
      </c>
      <c r="M928" s="4">
        <v>0</v>
      </c>
      <c r="N928" s="4">
        <v>0</v>
      </c>
      <c r="O928" s="4">
        <v>0</v>
      </c>
      <c r="P928" s="4">
        <v>232</v>
      </c>
      <c r="Q928" s="3" t="s">
        <v>26</v>
      </c>
      <c r="R928" s="3">
        <v>0</v>
      </c>
      <c r="S928" s="4">
        <v>44</v>
      </c>
      <c r="T928" s="4">
        <v>0</v>
      </c>
      <c r="U928" s="4">
        <v>0</v>
      </c>
      <c r="V928" s="4">
        <f>IF(ISERROR(VLOOKUP($S$928,'TAR FIN'!$A$1:$O$113,15,0)),0,VLOOKUP($S$928,'TAR FIN'!$A$1:$O$113,15,0))</f>
        <v>24.31</v>
      </c>
      <c r="W928" s="4">
        <f>IF(ISERROR(VLOOKUP($T$928,'TAR FIN'!$A$1:$O$113,15,0)),0,VLOOKUP($T$928,'TAR FIN'!$A$1:$O$113,15,0))</f>
        <v>0</v>
      </c>
      <c r="X928" s="4">
        <f>IF(ISERROR(VLOOKUP($U$928,'TAR FIN'!$A$1:$O$113,15,0)),0,VLOOKUP($U$928,'TAR FIN'!$A$1:$O$113,15,0))</f>
        <v>0</v>
      </c>
      <c r="Y928" s="4">
        <f ca="1">('TUSD BE'!$AM$30+'TUSD BF'!$AM$30+'TUSD CVA'!$AM$30)*1</f>
        <v>26.598074646640526</v>
      </c>
      <c r="Z928" s="4"/>
      <c r="AA928" s="4"/>
      <c r="AB928" s="4">
        <f>$K$928*$V$928</f>
        <v>714884.16999999993</v>
      </c>
      <c r="AC928" s="4">
        <f>$M$928*$W$928</f>
        <v>0</v>
      </c>
      <c r="AD928" s="4">
        <f>$O$928*$X$928</f>
        <v>0</v>
      </c>
      <c r="AE928" s="4">
        <f ca="1">$K$928*$Y$928</f>
        <v>782169.58113375795</v>
      </c>
      <c r="AF928" s="4">
        <f>$M$928*$Z$928</f>
        <v>0</v>
      </c>
      <c r="AG928" s="4">
        <f>$O$928*$AA$928</f>
        <v>0</v>
      </c>
    </row>
    <row r="929" spans="1:33" ht="11.25" customHeight="1" x14ac:dyDescent="0.25">
      <c r="A929" s="3" t="s">
        <v>28</v>
      </c>
      <c r="B929" s="3" t="s">
        <v>41</v>
      </c>
      <c r="C929" s="3" t="s">
        <v>42</v>
      </c>
      <c r="D929" s="3" t="s">
        <v>46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44348</v>
      </c>
      <c r="J929" s="4">
        <v>2640</v>
      </c>
      <c r="K929" s="4">
        <v>2640</v>
      </c>
      <c r="L929" s="4">
        <v>0</v>
      </c>
      <c r="M929" s="4">
        <v>0</v>
      </c>
      <c r="N929" s="4">
        <v>0</v>
      </c>
      <c r="O929" s="4">
        <v>0</v>
      </c>
      <c r="P929" s="4">
        <v>7</v>
      </c>
      <c r="Q929" s="3" t="s">
        <v>26</v>
      </c>
      <c r="R929" s="3">
        <v>0</v>
      </c>
      <c r="S929" s="4">
        <v>44</v>
      </c>
      <c r="T929" s="4">
        <v>0</v>
      </c>
      <c r="U929" s="4">
        <v>0</v>
      </c>
      <c r="V929" s="4">
        <f>IF(ISERROR(VLOOKUP($S$929,'TAR FIN'!$A$1:$O$113,15,0)),0,VLOOKUP($S$929,'TAR FIN'!$A$1:$O$113,15,0))</f>
        <v>24.31</v>
      </c>
      <c r="W929" s="4">
        <f>IF(ISERROR(VLOOKUP($T$929,'TAR FIN'!$A$1:$O$113,15,0)),0,VLOOKUP($T$929,'TAR FIN'!$A$1:$O$113,15,0))</f>
        <v>0</v>
      </c>
      <c r="X929" s="4">
        <f>IF(ISERROR(VLOOKUP($U$929,'TAR FIN'!$A$1:$O$113,15,0)),0,VLOOKUP($U$929,'TAR FIN'!$A$1:$O$113,15,0))</f>
        <v>0</v>
      </c>
      <c r="Y929" s="4">
        <f ca="1">('TUSD BE'!$AM$30+'TUSD BF'!$AM$30+'TUSD CVA'!$AM$30)*1</f>
        <v>26.598074646640526</v>
      </c>
      <c r="Z929" s="4"/>
      <c r="AA929" s="4"/>
      <c r="AB929" s="4">
        <f>$K$929*$V$929</f>
        <v>64178.399999999994</v>
      </c>
      <c r="AC929" s="4">
        <f>$M$929*$W$929</f>
        <v>0</v>
      </c>
      <c r="AD929" s="4">
        <f>$O$929*$X$929</f>
        <v>0</v>
      </c>
      <c r="AE929" s="4">
        <f ca="1">$K$929*$Y$929</f>
        <v>70218.917067130984</v>
      </c>
      <c r="AF929" s="4">
        <f>$M$929*$Z$929</f>
        <v>0</v>
      </c>
      <c r="AG929" s="4">
        <f>$O$929*$AA$929</f>
        <v>0</v>
      </c>
    </row>
    <row r="930" spans="1:33" ht="11.25" customHeight="1" x14ac:dyDescent="0.25">
      <c r="A930" s="3" t="s">
        <v>21</v>
      </c>
      <c r="B930" s="3" t="s">
        <v>41</v>
      </c>
      <c r="C930" s="3" t="s">
        <v>42</v>
      </c>
      <c r="D930" s="3" t="s">
        <v>46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44378</v>
      </c>
      <c r="J930" s="4">
        <v>29599</v>
      </c>
      <c r="K930" s="4">
        <v>29599</v>
      </c>
      <c r="L930" s="4">
        <v>0</v>
      </c>
      <c r="M930" s="4">
        <v>0</v>
      </c>
      <c r="N930" s="4">
        <v>0</v>
      </c>
      <c r="O930" s="4">
        <v>0</v>
      </c>
      <c r="P930" s="4">
        <v>233</v>
      </c>
      <c r="Q930" s="3" t="s">
        <v>26</v>
      </c>
      <c r="R930" s="3">
        <v>0</v>
      </c>
      <c r="S930" s="4">
        <v>44</v>
      </c>
      <c r="T930" s="4">
        <v>0</v>
      </c>
      <c r="U930" s="4">
        <v>0</v>
      </c>
      <c r="V930" s="4">
        <f>IF(ISERROR(VLOOKUP($S$930,'TAR FIN'!$A$1:$O$113,15,0)),0,VLOOKUP($S$930,'TAR FIN'!$A$1:$O$113,15,0))</f>
        <v>24.31</v>
      </c>
      <c r="W930" s="4">
        <f>IF(ISERROR(VLOOKUP($T$930,'TAR FIN'!$A$1:$O$113,15,0)),0,VLOOKUP($T$930,'TAR FIN'!$A$1:$O$113,15,0))</f>
        <v>0</v>
      </c>
      <c r="X930" s="4">
        <f>IF(ISERROR(VLOOKUP($U$930,'TAR FIN'!$A$1:$O$113,15,0)),0,VLOOKUP($U$930,'TAR FIN'!$A$1:$O$113,15,0))</f>
        <v>0</v>
      </c>
      <c r="Y930" s="4">
        <f ca="1">('TUSD BE'!$AM$30+'TUSD BF'!$AM$30+'TUSD CVA'!$AM$30)*1</f>
        <v>26.598074646640526</v>
      </c>
      <c r="Z930" s="4"/>
      <c r="AA930" s="4"/>
      <c r="AB930" s="4">
        <f>$K$930*$V$930</f>
        <v>719551.69</v>
      </c>
      <c r="AC930" s="4">
        <f>$M$930*$W$930</f>
        <v>0</v>
      </c>
      <c r="AD930" s="4">
        <f>$O$930*$X$930</f>
        <v>0</v>
      </c>
      <c r="AE930" s="4">
        <f ca="1">$K$930*$Y$930</f>
        <v>787276.41146591294</v>
      </c>
      <c r="AF930" s="4">
        <f>$M$930*$Z$930</f>
        <v>0</v>
      </c>
      <c r="AG930" s="4">
        <f>$O$930*$AA$930</f>
        <v>0</v>
      </c>
    </row>
    <row r="931" spans="1:33" ht="11.25" customHeight="1" x14ac:dyDescent="0.25">
      <c r="A931" s="3" t="s">
        <v>28</v>
      </c>
      <c r="B931" s="3" t="s">
        <v>41</v>
      </c>
      <c r="C931" s="3" t="s">
        <v>42</v>
      </c>
      <c r="D931" s="3" t="s">
        <v>46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44378</v>
      </c>
      <c r="J931" s="4">
        <v>2640</v>
      </c>
      <c r="K931" s="4">
        <v>2640</v>
      </c>
      <c r="L931" s="4">
        <v>0</v>
      </c>
      <c r="M931" s="4">
        <v>0</v>
      </c>
      <c r="N931" s="4">
        <v>0</v>
      </c>
      <c r="O931" s="4">
        <v>0</v>
      </c>
      <c r="P931" s="4">
        <v>7</v>
      </c>
      <c r="Q931" s="3" t="s">
        <v>26</v>
      </c>
      <c r="R931" s="3">
        <v>0</v>
      </c>
      <c r="S931" s="4">
        <v>44</v>
      </c>
      <c r="T931" s="4">
        <v>0</v>
      </c>
      <c r="U931" s="4">
        <v>0</v>
      </c>
      <c r="V931" s="4">
        <f>IF(ISERROR(VLOOKUP($S$931,'TAR FIN'!$A$1:$O$113,15,0)),0,VLOOKUP($S$931,'TAR FIN'!$A$1:$O$113,15,0))</f>
        <v>24.31</v>
      </c>
      <c r="W931" s="4">
        <f>IF(ISERROR(VLOOKUP($T$931,'TAR FIN'!$A$1:$O$113,15,0)),0,VLOOKUP($T$931,'TAR FIN'!$A$1:$O$113,15,0))</f>
        <v>0</v>
      </c>
      <c r="X931" s="4">
        <f>IF(ISERROR(VLOOKUP($U$931,'TAR FIN'!$A$1:$O$113,15,0)),0,VLOOKUP($U$931,'TAR FIN'!$A$1:$O$113,15,0))</f>
        <v>0</v>
      </c>
      <c r="Y931" s="4">
        <f ca="1">('TUSD BE'!$AM$30+'TUSD BF'!$AM$30+'TUSD CVA'!$AM$30)*1</f>
        <v>26.598074646640526</v>
      </c>
      <c r="Z931" s="4"/>
      <c r="AA931" s="4"/>
      <c r="AB931" s="4">
        <f>$K$931*$V$931</f>
        <v>64178.399999999994</v>
      </c>
      <c r="AC931" s="4">
        <f>$M$931*$W$931</f>
        <v>0</v>
      </c>
      <c r="AD931" s="4">
        <f>$O$931*$X$931</f>
        <v>0</v>
      </c>
      <c r="AE931" s="4">
        <f ca="1">$K$931*$Y$931</f>
        <v>70218.917067130984</v>
      </c>
      <c r="AF931" s="4">
        <f>$M$931*$Z$931</f>
        <v>0</v>
      </c>
      <c r="AG931" s="4">
        <f>$O$931*$AA$931</f>
        <v>0</v>
      </c>
    </row>
    <row r="932" spans="1:33" ht="11.25" customHeight="1" x14ac:dyDescent="0.25">
      <c r="A932" s="3" t="s">
        <v>21</v>
      </c>
      <c r="B932" s="3" t="s">
        <v>41</v>
      </c>
      <c r="C932" s="3" t="s">
        <v>42</v>
      </c>
      <c r="D932" s="3" t="s">
        <v>46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44409</v>
      </c>
      <c r="J932" s="4">
        <v>29574</v>
      </c>
      <c r="K932" s="4">
        <v>29574</v>
      </c>
      <c r="L932" s="4">
        <v>0</v>
      </c>
      <c r="M932" s="4">
        <v>0</v>
      </c>
      <c r="N932" s="4">
        <v>0</v>
      </c>
      <c r="O932" s="4">
        <v>0</v>
      </c>
      <c r="P932" s="4">
        <v>232</v>
      </c>
      <c r="Q932" s="3" t="s">
        <v>26</v>
      </c>
      <c r="R932" s="3">
        <v>0</v>
      </c>
      <c r="S932" s="4">
        <v>44</v>
      </c>
      <c r="T932" s="4">
        <v>0</v>
      </c>
      <c r="U932" s="4">
        <v>0</v>
      </c>
      <c r="V932" s="4">
        <f>IF(ISERROR(VLOOKUP($S$932,'TAR FIN'!$A$1:$O$113,15,0)),0,VLOOKUP($S$932,'TAR FIN'!$A$1:$O$113,15,0))</f>
        <v>24.31</v>
      </c>
      <c r="W932" s="4">
        <f>IF(ISERROR(VLOOKUP($T$932,'TAR FIN'!$A$1:$O$113,15,0)),0,VLOOKUP($T$932,'TAR FIN'!$A$1:$O$113,15,0))</f>
        <v>0</v>
      </c>
      <c r="X932" s="4">
        <f>IF(ISERROR(VLOOKUP($U$932,'TAR FIN'!$A$1:$O$113,15,0)),0,VLOOKUP($U$932,'TAR FIN'!$A$1:$O$113,15,0))</f>
        <v>0</v>
      </c>
      <c r="Y932" s="4">
        <f ca="1">('TUSD BE'!$AM$30+'TUSD BF'!$AM$30+'TUSD CVA'!$AM$30)*1</f>
        <v>26.598074646640526</v>
      </c>
      <c r="Z932" s="4"/>
      <c r="AA932" s="4"/>
      <c r="AB932" s="4">
        <f>$K$932*$V$932</f>
        <v>718943.94</v>
      </c>
      <c r="AC932" s="4">
        <f>$M$932*$W$932</f>
        <v>0</v>
      </c>
      <c r="AD932" s="4">
        <f>$O$932*$X$932</f>
        <v>0</v>
      </c>
      <c r="AE932" s="4">
        <f ca="1">$K$932*$Y$932</f>
        <v>786611.45959974697</v>
      </c>
      <c r="AF932" s="4">
        <f>$M$932*$Z$932</f>
        <v>0</v>
      </c>
      <c r="AG932" s="4">
        <f>$O$932*$AA$932</f>
        <v>0</v>
      </c>
    </row>
    <row r="933" spans="1:33" ht="11.25" customHeight="1" x14ac:dyDescent="0.25">
      <c r="A933" s="3" t="s">
        <v>28</v>
      </c>
      <c r="B933" s="3" t="s">
        <v>41</v>
      </c>
      <c r="C933" s="3" t="s">
        <v>42</v>
      </c>
      <c r="D933" s="3" t="s">
        <v>46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44409</v>
      </c>
      <c r="J933" s="4">
        <v>2640</v>
      </c>
      <c r="K933" s="4">
        <v>2640</v>
      </c>
      <c r="L933" s="4">
        <v>0</v>
      </c>
      <c r="M933" s="4">
        <v>0</v>
      </c>
      <c r="N933" s="4">
        <v>0</v>
      </c>
      <c r="O933" s="4">
        <v>0</v>
      </c>
      <c r="P933" s="4">
        <v>8</v>
      </c>
      <c r="Q933" s="3" t="s">
        <v>26</v>
      </c>
      <c r="R933" s="3">
        <v>0</v>
      </c>
      <c r="S933" s="4">
        <v>44</v>
      </c>
      <c r="T933" s="4">
        <v>0</v>
      </c>
      <c r="U933" s="4">
        <v>0</v>
      </c>
      <c r="V933" s="4">
        <f>IF(ISERROR(VLOOKUP($S$933,'TAR FIN'!$A$1:$O$113,15,0)),0,VLOOKUP($S$933,'TAR FIN'!$A$1:$O$113,15,0))</f>
        <v>24.31</v>
      </c>
      <c r="W933" s="4">
        <f>IF(ISERROR(VLOOKUP($T$933,'TAR FIN'!$A$1:$O$113,15,0)),0,VLOOKUP($T$933,'TAR FIN'!$A$1:$O$113,15,0))</f>
        <v>0</v>
      </c>
      <c r="X933" s="4">
        <f>IF(ISERROR(VLOOKUP($U$933,'TAR FIN'!$A$1:$O$113,15,0)),0,VLOOKUP($U$933,'TAR FIN'!$A$1:$O$113,15,0))</f>
        <v>0</v>
      </c>
      <c r="Y933" s="4">
        <f ca="1">('TUSD BE'!$AM$30+'TUSD BF'!$AM$30+'TUSD CVA'!$AM$30)*1</f>
        <v>26.598074646640526</v>
      </c>
      <c r="Z933" s="4"/>
      <c r="AA933" s="4"/>
      <c r="AB933" s="4">
        <f>$K$933*$V$933</f>
        <v>64178.399999999994</v>
      </c>
      <c r="AC933" s="4">
        <f>$M$933*$W$933</f>
        <v>0</v>
      </c>
      <c r="AD933" s="4">
        <f>$O$933*$X$933</f>
        <v>0</v>
      </c>
      <c r="AE933" s="4">
        <f ca="1">$K$933*$Y$933</f>
        <v>70218.917067130984</v>
      </c>
      <c r="AF933" s="4">
        <f>$M$933*$Z$933</f>
        <v>0</v>
      </c>
      <c r="AG933" s="4">
        <f>$O$933*$AA$933</f>
        <v>0</v>
      </c>
    </row>
    <row r="934" spans="1:33" ht="11.25" customHeight="1" x14ac:dyDescent="0.25">
      <c r="A934" s="3" t="s">
        <v>28</v>
      </c>
      <c r="B934" s="3" t="s">
        <v>41</v>
      </c>
      <c r="C934" s="3" t="s">
        <v>42</v>
      </c>
      <c r="D934" s="3" t="s">
        <v>46</v>
      </c>
      <c r="E934" s="3" t="s">
        <v>25</v>
      </c>
      <c r="F934" s="3" t="s">
        <v>25</v>
      </c>
      <c r="G934" s="3" t="s">
        <v>25</v>
      </c>
      <c r="H934" s="3" t="s">
        <v>25</v>
      </c>
      <c r="I934" s="6">
        <v>44409</v>
      </c>
      <c r="J934" s="4">
        <v>-400</v>
      </c>
      <c r="K934" s="4">
        <v>-400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3" t="s">
        <v>26</v>
      </c>
      <c r="R934" s="3">
        <v>0</v>
      </c>
      <c r="S934" s="4">
        <v>44</v>
      </c>
      <c r="T934" s="4">
        <v>0</v>
      </c>
      <c r="U934" s="4">
        <v>0</v>
      </c>
      <c r="V934" s="4">
        <f>IF(ISERROR(VLOOKUP($S$934,'TAR FIN'!$A$1:$O$113,15,0)),0,VLOOKUP($S$934,'TAR FIN'!$A$1:$O$113,15,0))</f>
        <v>24.31</v>
      </c>
      <c r="W934" s="4">
        <f>IF(ISERROR(VLOOKUP($T$934,'TAR FIN'!$A$1:$O$113,15,0)),0,VLOOKUP($T$934,'TAR FIN'!$A$1:$O$113,15,0))</f>
        <v>0</v>
      </c>
      <c r="X934" s="4">
        <f>IF(ISERROR(VLOOKUP($U$934,'TAR FIN'!$A$1:$O$113,15,0)),0,VLOOKUP($U$934,'TAR FIN'!$A$1:$O$113,15,0))</f>
        <v>0</v>
      </c>
      <c r="Y934" s="4">
        <f ca="1">('TUSD BE'!$AM$30+'TUSD BF'!$AM$30+'TUSD CVA'!$AM$30)*1</f>
        <v>26.598074646640526</v>
      </c>
      <c r="Z934" s="4"/>
      <c r="AA934" s="4"/>
      <c r="AB934" s="4">
        <f>$K$934*$V$934</f>
        <v>-9724</v>
      </c>
      <c r="AC934" s="4">
        <f>$M$934*$W$934</f>
        <v>0</v>
      </c>
      <c r="AD934" s="4">
        <f>$O$934*$X$934</f>
        <v>0</v>
      </c>
      <c r="AE934" s="4">
        <f ca="1">$K$934*$Y$934</f>
        <v>-10639.22985865621</v>
      </c>
      <c r="AF934" s="4">
        <f>$M$934*$Z$934</f>
        <v>0</v>
      </c>
      <c r="AG934" s="4">
        <f>$O$934*$AA$934</f>
        <v>0</v>
      </c>
    </row>
    <row r="935" spans="1:33" ht="11.25" customHeight="1" x14ac:dyDescent="0.25">
      <c r="A935" s="3" t="s">
        <v>21</v>
      </c>
      <c r="B935" s="3" t="s">
        <v>41</v>
      </c>
      <c r="C935" s="3" t="s">
        <v>42</v>
      </c>
      <c r="D935" s="3" t="s">
        <v>46</v>
      </c>
      <c r="E935" s="3" t="s">
        <v>25</v>
      </c>
      <c r="F935" s="3" t="s">
        <v>25</v>
      </c>
      <c r="G935" s="3" t="s">
        <v>25</v>
      </c>
      <c r="H935" s="3" t="s">
        <v>25</v>
      </c>
      <c r="I935" s="6">
        <v>44440</v>
      </c>
      <c r="J935" s="4">
        <v>29648</v>
      </c>
      <c r="K935" s="4">
        <v>29648</v>
      </c>
      <c r="L935" s="4">
        <v>0</v>
      </c>
      <c r="M935" s="4">
        <v>0</v>
      </c>
      <c r="N935" s="4">
        <v>0</v>
      </c>
      <c r="O935" s="4">
        <v>0</v>
      </c>
      <c r="P935" s="4">
        <v>232</v>
      </c>
      <c r="Q935" s="3" t="s">
        <v>26</v>
      </c>
      <c r="R935" s="3">
        <v>0</v>
      </c>
      <c r="S935" s="4">
        <v>44</v>
      </c>
      <c r="T935" s="4">
        <v>0</v>
      </c>
      <c r="U935" s="4">
        <v>0</v>
      </c>
      <c r="V935" s="4">
        <f>IF(ISERROR(VLOOKUP($S$935,'TAR FIN'!$A$1:$O$113,15,0)),0,VLOOKUP($S$935,'TAR FIN'!$A$1:$O$113,15,0))</f>
        <v>24.31</v>
      </c>
      <c r="W935" s="4">
        <f>IF(ISERROR(VLOOKUP($T$935,'TAR FIN'!$A$1:$O$113,15,0)),0,VLOOKUP($T$935,'TAR FIN'!$A$1:$O$113,15,0))</f>
        <v>0</v>
      </c>
      <c r="X935" s="4">
        <f>IF(ISERROR(VLOOKUP($U$935,'TAR FIN'!$A$1:$O$113,15,0)),0,VLOOKUP($U$935,'TAR FIN'!$A$1:$O$113,15,0))</f>
        <v>0</v>
      </c>
      <c r="Y935" s="4">
        <f ca="1">('TUSD BE'!$AM$30+'TUSD BF'!$AM$30+'TUSD CVA'!$AM$30)*1</f>
        <v>26.598074646640526</v>
      </c>
      <c r="Z935" s="4"/>
      <c r="AA935" s="4"/>
      <c r="AB935" s="4">
        <f>$K$935*$V$935</f>
        <v>720742.88</v>
      </c>
      <c r="AC935" s="4">
        <f>$M$935*$W$935</f>
        <v>0</v>
      </c>
      <c r="AD935" s="4">
        <f>$O$935*$X$935</f>
        <v>0</v>
      </c>
      <c r="AE935" s="4">
        <f ca="1">$K$935*$Y$935</f>
        <v>788579.71712359833</v>
      </c>
      <c r="AF935" s="4">
        <f>$M$935*$Z$935</f>
        <v>0</v>
      </c>
      <c r="AG935" s="4">
        <f>$O$935*$AA$935</f>
        <v>0</v>
      </c>
    </row>
    <row r="936" spans="1:33" ht="11.25" customHeight="1" x14ac:dyDescent="0.25">
      <c r="A936" s="3" t="s">
        <v>28</v>
      </c>
      <c r="B936" s="3" t="s">
        <v>41</v>
      </c>
      <c r="C936" s="3" t="s">
        <v>42</v>
      </c>
      <c r="D936" s="3" t="s">
        <v>46</v>
      </c>
      <c r="E936" s="3" t="s">
        <v>25</v>
      </c>
      <c r="F936" s="3" t="s">
        <v>25</v>
      </c>
      <c r="G936" s="3" t="s">
        <v>25</v>
      </c>
      <c r="H936" s="3" t="s">
        <v>25</v>
      </c>
      <c r="I936" s="6">
        <v>44440</v>
      </c>
      <c r="J936" s="4">
        <v>2640</v>
      </c>
      <c r="K936" s="4">
        <v>2640</v>
      </c>
      <c r="L936" s="4">
        <v>0</v>
      </c>
      <c r="M936" s="4">
        <v>0</v>
      </c>
      <c r="N936" s="4">
        <v>0</v>
      </c>
      <c r="O936" s="4">
        <v>0</v>
      </c>
      <c r="P936" s="4">
        <v>8</v>
      </c>
      <c r="Q936" s="3" t="s">
        <v>26</v>
      </c>
      <c r="R936" s="3">
        <v>0</v>
      </c>
      <c r="S936" s="4">
        <v>44</v>
      </c>
      <c r="T936" s="4">
        <v>0</v>
      </c>
      <c r="U936" s="4">
        <v>0</v>
      </c>
      <c r="V936" s="4">
        <f>IF(ISERROR(VLOOKUP($S$936,'TAR FIN'!$A$1:$O$113,15,0)),0,VLOOKUP($S$936,'TAR FIN'!$A$1:$O$113,15,0))</f>
        <v>24.31</v>
      </c>
      <c r="W936" s="4">
        <f>IF(ISERROR(VLOOKUP($T$936,'TAR FIN'!$A$1:$O$113,15,0)),0,VLOOKUP($T$936,'TAR FIN'!$A$1:$O$113,15,0))</f>
        <v>0</v>
      </c>
      <c r="X936" s="4">
        <f>IF(ISERROR(VLOOKUP($U$936,'TAR FIN'!$A$1:$O$113,15,0)),0,VLOOKUP($U$936,'TAR FIN'!$A$1:$O$113,15,0))</f>
        <v>0</v>
      </c>
      <c r="Y936" s="4">
        <f ca="1">('TUSD BE'!$AM$30+'TUSD BF'!$AM$30+'TUSD CVA'!$AM$30)*1</f>
        <v>26.598074646640526</v>
      </c>
      <c r="Z936" s="4"/>
      <c r="AA936" s="4"/>
      <c r="AB936" s="4">
        <f>$K$936*$V$936</f>
        <v>64178.399999999994</v>
      </c>
      <c r="AC936" s="4">
        <f>$M$936*$W$936</f>
        <v>0</v>
      </c>
      <c r="AD936" s="4">
        <f>$O$936*$X$936</f>
        <v>0</v>
      </c>
      <c r="AE936" s="4">
        <f ca="1">$K$936*$Y$936</f>
        <v>70218.917067130984</v>
      </c>
      <c r="AF936" s="4">
        <f>$M$936*$Z$936</f>
        <v>0</v>
      </c>
      <c r="AG936" s="4">
        <f>$O$936*$AA$936</f>
        <v>0</v>
      </c>
    </row>
    <row r="937" spans="1:33" ht="11.25" customHeight="1" x14ac:dyDescent="0.25">
      <c r="A937" s="3" t="s">
        <v>21</v>
      </c>
      <c r="B937" s="3" t="s">
        <v>41</v>
      </c>
      <c r="C937" s="3" t="s">
        <v>42</v>
      </c>
      <c r="D937" s="3" t="s">
        <v>46</v>
      </c>
      <c r="E937" s="3" t="s">
        <v>25</v>
      </c>
      <c r="F937" s="3" t="s">
        <v>25</v>
      </c>
      <c r="G937" s="3" t="s">
        <v>25</v>
      </c>
      <c r="H937" s="3" t="s">
        <v>25</v>
      </c>
      <c r="I937" s="6">
        <v>44470</v>
      </c>
      <c r="J937" s="4">
        <v>29797</v>
      </c>
      <c r="K937" s="4">
        <v>29797</v>
      </c>
      <c r="L937" s="4">
        <v>0</v>
      </c>
      <c r="M937" s="4">
        <v>0</v>
      </c>
      <c r="N937" s="4">
        <v>0</v>
      </c>
      <c r="O937" s="4">
        <v>0</v>
      </c>
      <c r="P937" s="4">
        <v>233</v>
      </c>
      <c r="Q937" s="3" t="s">
        <v>26</v>
      </c>
      <c r="R937" s="3">
        <v>0</v>
      </c>
      <c r="S937" s="4">
        <v>44</v>
      </c>
      <c r="T937" s="4">
        <v>0</v>
      </c>
      <c r="U937" s="4">
        <v>0</v>
      </c>
      <c r="V937" s="4">
        <f>IF(ISERROR(VLOOKUP($S$937,'TAR FIN'!$A$1:$O$113,15,0)),0,VLOOKUP($S$937,'TAR FIN'!$A$1:$O$113,15,0))</f>
        <v>24.31</v>
      </c>
      <c r="W937" s="4">
        <f>IF(ISERROR(VLOOKUP($T$937,'TAR FIN'!$A$1:$O$113,15,0)),0,VLOOKUP($T$937,'TAR FIN'!$A$1:$O$113,15,0))</f>
        <v>0</v>
      </c>
      <c r="X937" s="4">
        <f>IF(ISERROR(VLOOKUP($U$937,'TAR FIN'!$A$1:$O$113,15,0)),0,VLOOKUP($U$937,'TAR FIN'!$A$1:$O$113,15,0))</f>
        <v>0</v>
      </c>
      <c r="Y937" s="4">
        <f ca="1">('TUSD BE'!$AM$30+'TUSD BF'!$AM$30+'TUSD CVA'!$AM$30)*1</f>
        <v>26.598074646640526</v>
      </c>
      <c r="Z937" s="4"/>
      <c r="AA937" s="4"/>
      <c r="AB937" s="4">
        <f>$K$937*$V$937</f>
        <v>724365.07</v>
      </c>
      <c r="AC937" s="4">
        <f>$M$937*$W$937</f>
        <v>0</v>
      </c>
      <c r="AD937" s="4">
        <f>$O$937*$X$937</f>
        <v>0</v>
      </c>
      <c r="AE937" s="4">
        <f ca="1">$K$937*$Y$937</f>
        <v>792542.83024594781</v>
      </c>
      <c r="AF937" s="4">
        <f>$M$937*$Z$937</f>
        <v>0</v>
      </c>
      <c r="AG937" s="4">
        <f>$O$937*$AA$937</f>
        <v>0</v>
      </c>
    </row>
    <row r="938" spans="1:33" ht="11.25" customHeight="1" x14ac:dyDescent="0.25">
      <c r="A938" s="3" t="s">
        <v>28</v>
      </c>
      <c r="B938" s="3" t="s">
        <v>41</v>
      </c>
      <c r="C938" s="3" t="s">
        <v>42</v>
      </c>
      <c r="D938" s="3" t="s">
        <v>46</v>
      </c>
      <c r="E938" s="3" t="s">
        <v>25</v>
      </c>
      <c r="F938" s="3" t="s">
        <v>25</v>
      </c>
      <c r="G938" s="3" t="s">
        <v>25</v>
      </c>
      <c r="H938" s="3" t="s">
        <v>25</v>
      </c>
      <c r="I938" s="6">
        <v>44470</v>
      </c>
      <c r="J938" s="4">
        <v>2535</v>
      </c>
      <c r="K938" s="4">
        <v>2535</v>
      </c>
      <c r="L938" s="4">
        <v>0</v>
      </c>
      <c r="M938" s="4">
        <v>0</v>
      </c>
      <c r="N938" s="4">
        <v>0</v>
      </c>
      <c r="O938" s="4">
        <v>0</v>
      </c>
      <c r="P938" s="4">
        <v>8</v>
      </c>
      <c r="Q938" s="3" t="s">
        <v>26</v>
      </c>
      <c r="R938" s="3">
        <v>0</v>
      </c>
      <c r="S938" s="4">
        <v>44</v>
      </c>
      <c r="T938" s="4">
        <v>0</v>
      </c>
      <c r="U938" s="4">
        <v>0</v>
      </c>
      <c r="V938" s="4">
        <f>IF(ISERROR(VLOOKUP($S$938,'TAR FIN'!$A$1:$O$113,15,0)),0,VLOOKUP($S$938,'TAR FIN'!$A$1:$O$113,15,0))</f>
        <v>24.31</v>
      </c>
      <c r="W938" s="4">
        <f>IF(ISERROR(VLOOKUP($T$938,'TAR FIN'!$A$1:$O$113,15,0)),0,VLOOKUP($T$938,'TAR FIN'!$A$1:$O$113,15,0))</f>
        <v>0</v>
      </c>
      <c r="X938" s="4">
        <f>IF(ISERROR(VLOOKUP($U$938,'TAR FIN'!$A$1:$O$113,15,0)),0,VLOOKUP($U$938,'TAR FIN'!$A$1:$O$113,15,0))</f>
        <v>0</v>
      </c>
      <c r="Y938" s="4">
        <f ca="1">('TUSD BE'!$AM$30+'TUSD BF'!$AM$30+'TUSD CVA'!$AM$30)*1</f>
        <v>26.598074646640526</v>
      </c>
      <c r="Z938" s="4"/>
      <c r="AA938" s="4"/>
      <c r="AB938" s="4">
        <f>$K$938*$V$938</f>
        <v>61625.85</v>
      </c>
      <c r="AC938" s="4">
        <f>$M$938*$W$938</f>
        <v>0</v>
      </c>
      <c r="AD938" s="4">
        <f>$O$938*$X$938</f>
        <v>0</v>
      </c>
      <c r="AE938" s="4">
        <f ca="1">$K$938*$Y$938</f>
        <v>67426.119229233736</v>
      </c>
      <c r="AF938" s="4">
        <f>$M$938*$Z$938</f>
        <v>0</v>
      </c>
      <c r="AG938" s="4">
        <f>$O$938*$AA$938</f>
        <v>0</v>
      </c>
    </row>
    <row r="939" spans="1:33" ht="11.25" customHeight="1" x14ac:dyDescent="0.25">
      <c r="A939" s="3" t="s">
        <v>21</v>
      </c>
      <c r="B939" s="3" t="s">
        <v>41</v>
      </c>
      <c r="C939" s="3" t="s">
        <v>42</v>
      </c>
      <c r="D939" s="3" t="s">
        <v>46</v>
      </c>
      <c r="E939" s="3" t="s">
        <v>25</v>
      </c>
      <c r="F939" s="3" t="s">
        <v>25</v>
      </c>
      <c r="G939" s="3" t="s">
        <v>25</v>
      </c>
      <c r="H939" s="3" t="s">
        <v>25</v>
      </c>
      <c r="I939" s="6">
        <v>44501</v>
      </c>
      <c r="J939" s="4">
        <v>29908</v>
      </c>
      <c r="K939" s="4">
        <v>29908</v>
      </c>
      <c r="L939" s="4">
        <v>0</v>
      </c>
      <c r="M939" s="4">
        <v>0</v>
      </c>
      <c r="N939" s="4">
        <v>0</v>
      </c>
      <c r="O939" s="4">
        <v>0</v>
      </c>
      <c r="P939" s="4">
        <v>232</v>
      </c>
      <c r="Q939" s="3" t="s">
        <v>26</v>
      </c>
      <c r="R939" s="3">
        <v>0</v>
      </c>
      <c r="S939" s="4">
        <v>44</v>
      </c>
      <c r="T939" s="4">
        <v>0</v>
      </c>
      <c r="U939" s="4">
        <v>0</v>
      </c>
      <c r="V939" s="4">
        <f>IF(ISERROR(VLOOKUP($S$939,'TAR FIN'!$A$1:$O$113,15,0)),0,VLOOKUP($S$939,'TAR FIN'!$A$1:$O$113,15,0))</f>
        <v>24.31</v>
      </c>
      <c r="W939" s="4">
        <f>IF(ISERROR(VLOOKUP($T$939,'TAR FIN'!$A$1:$O$113,15,0)),0,VLOOKUP($T$939,'TAR FIN'!$A$1:$O$113,15,0))</f>
        <v>0</v>
      </c>
      <c r="X939" s="4">
        <f>IF(ISERROR(VLOOKUP($U$939,'TAR FIN'!$A$1:$O$113,15,0)),0,VLOOKUP($U$939,'TAR FIN'!$A$1:$O$113,15,0))</f>
        <v>0</v>
      </c>
      <c r="Y939" s="4">
        <f ca="1">('TUSD BE'!$AM$30+'TUSD BF'!$AM$30+'TUSD CVA'!$AM$30)*1</f>
        <v>26.598074646640526</v>
      </c>
      <c r="Z939" s="4"/>
      <c r="AA939" s="4"/>
      <c r="AB939" s="4">
        <f>$K$939*$V$939</f>
        <v>727063.48</v>
      </c>
      <c r="AC939" s="4">
        <f>$M$939*$W$939</f>
        <v>0</v>
      </c>
      <c r="AD939" s="4">
        <f>$O$939*$X$939</f>
        <v>0</v>
      </c>
      <c r="AE939" s="4">
        <f ca="1">$K$939*$Y$939</f>
        <v>795495.2165317249</v>
      </c>
      <c r="AF939" s="4">
        <f>$M$939*$Z$939</f>
        <v>0</v>
      </c>
      <c r="AG939" s="4">
        <f>$O$939*$AA$939</f>
        <v>0</v>
      </c>
    </row>
    <row r="940" spans="1:33" ht="11.25" customHeight="1" x14ac:dyDescent="0.25">
      <c r="A940" s="3" t="s">
        <v>28</v>
      </c>
      <c r="B940" s="3" t="s">
        <v>41</v>
      </c>
      <c r="C940" s="3" t="s">
        <v>42</v>
      </c>
      <c r="D940" s="3" t="s">
        <v>46</v>
      </c>
      <c r="E940" s="3" t="s">
        <v>25</v>
      </c>
      <c r="F940" s="3" t="s">
        <v>25</v>
      </c>
      <c r="G940" s="3" t="s">
        <v>25</v>
      </c>
      <c r="H940" s="3" t="s">
        <v>25</v>
      </c>
      <c r="I940" s="6">
        <v>44501</v>
      </c>
      <c r="J940" s="4">
        <v>2625</v>
      </c>
      <c r="K940" s="4">
        <v>2625</v>
      </c>
      <c r="L940" s="4">
        <v>0</v>
      </c>
      <c r="M940" s="4">
        <v>0</v>
      </c>
      <c r="N940" s="4">
        <v>0</v>
      </c>
      <c r="O940" s="4">
        <v>0</v>
      </c>
      <c r="P940" s="4">
        <v>9</v>
      </c>
      <c r="Q940" s="3" t="s">
        <v>26</v>
      </c>
      <c r="R940" s="3">
        <v>0</v>
      </c>
      <c r="S940" s="4">
        <v>44</v>
      </c>
      <c r="T940" s="4">
        <v>0</v>
      </c>
      <c r="U940" s="4">
        <v>0</v>
      </c>
      <c r="V940" s="4">
        <f>IF(ISERROR(VLOOKUP($S$940,'TAR FIN'!$A$1:$O$113,15,0)),0,VLOOKUP($S$940,'TAR FIN'!$A$1:$O$113,15,0))</f>
        <v>24.31</v>
      </c>
      <c r="W940" s="4">
        <f>IF(ISERROR(VLOOKUP($T$940,'TAR FIN'!$A$1:$O$113,15,0)),0,VLOOKUP($T$940,'TAR FIN'!$A$1:$O$113,15,0))</f>
        <v>0</v>
      </c>
      <c r="X940" s="4">
        <f>IF(ISERROR(VLOOKUP($U$940,'TAR FIN'!$A$1:$O$113,15,0)),0,VLOOKUP($U$940,'TAR FIN'!$A$1:$O$113,15,0))</f>
        <v>0</v>
      </c>
      <c r="Y940" s="4">
        <f ca="1">('TUSD BE'!$AM$30+'TUSD BF'!$AM$30+'TUSD CVA'!$AM$30)*1</f>
        <v>26.598074646640526</v>
      </c>
      <c r="Z940" s="4"/>
      <c r="AA940" s="4"/>
      <c r="AB940" s="4">
        <f>$K$940*$V$940</f>
        <v>63813.75</v>
      </c>
      <c r="AC940" s="4">
        <f>$M$940*$W$940</f>
        <v>0</v>
      </c>
      <c r="AD940" s="4">
        <f>$O$940*$X$940</f>
        <v>0</v>
      </c>
      <c r="AE940" s="4">
        <f ca="1">$K$940*$Y$940</f>
        <v>69819.945947431377</v>
      </c>
      <c r="AF940" s="4">
        <f>$M$940*$Z$940</f>
        <v>0</v>
      </c>
      <c r="AG940" s="4">
        <f>$O$940*$AA$940</f>
        <v>0</v>
      </c>
    </row>
    <row r="941" spans="1:33" ht="11.25" customHeight="1" x14ac:dyDescent="0.25">
      <c r="A941" s="3" t="s">
        <v>21</v>
      </c>
      <c r="B941" s="3" t="s">
        <v>41</v>
      </c>
      <c r="C941" s="3" t="s">
        <v>42</v>
      </c>
      <c r="D941" s="3" t="s">
        <v>46</v>
      </c>
      <c r="E941" s="3" t="s">
        <v>25</v>
      </c>
      <c r="F941" s="3" t="s">
        <v>25</v>
      </c>
      <c r="G941" s="3" t="s">
        <v>25</v>
      </c>
      <c r="H941" s="3" t="s">
        <v>25</v>
      </c>
      <c r="I941" s="6">
        <v>44531</v>
      </c>
      <c r="J941" s="4">
        <v>29855</v>
      </c>
      <c r="K941" s="4">
        <v>29855</v>
      </c>
      <c r="L941" s="4">
        <v>0</v>
      </c>
      <c r="M941" s="4">
        <v>0</v>
      </c>
      <c r="N941" s="4">
        <v>0</v>
      </c>
      <c r="O941" s="4">
        <v>0</v>
      </c>
      <c r="P941" s="4">
        <v>232</v>
      </c>
      <c r="Q941" s="3" t="s">
        <v>26</v>
      </c>
      <c r="R941" s="3">
        <v>0</v>
      </c>
      <c r="S941" s="4">
        <v>44</v>
      </c>
      <c r="T941" s="4">
        <v>0</v>
      </c>
      <c r="U941" s="4">
        <v>0</v>
      </c>
      <c r="V941" s="4">
        <f>IF(ISERROR(VLOOKUP($S$941,'TAR FIN'!$A$1:$O$113,15,0)),0,VLOOKUP($S$941,'TAR FIN'!$A$1:$O$113,15,0))</f>
        <v>24.31</v>
      </c>
      <c r="W941" s="4">
        <f>IF(ISERROR(VLOOKUP($T$941,'TAR FIN'!$A$1:$O$113,15,0)),0,VLOOKUP($T$941,'TAR FIN'!$A$1:$O$113,15,0))</f>
        <v>0</v>
      </c>
      <c r="X941" s="4">
        <f>IF(ISERROR(VLOOKUP($U$941,'TAR FIN'!$A$1:$O$113,15,0)),0,VLOOKUP($U$941,'TAR FIN'!$A$1:$O$113,15,0))</f>
        <v>0</v>
      </c>
      <c r="Y941" s="4">
        <f ca="1">('TUSD BE'!$AM$30+'TUSD BF'!$AM$30+'TUSD CVA'!$AM$30)*1</f>
        <v>26.598074646640526</v>
      </c>
      <c r="Z941" s="4"/>
      <c r="AA941" s="4"/>
      <c r="AB941" s="4">
        <f>$K$941*$V$941</f>
        <v>725775.04999999993</v>
      </c>
      <c r="AC941" s="4">
        <f>$M$941*$W$941</f>
        <v>0</v>
      </c>
      <c r="AD941" s="4">
        <f>$O$941*$X$941</f>
        <v>0</v>
      </c>
      <c r="AE941" s="4">
        <f ca="1">$K$941*$Y$941</f>
        <v>794085.51857545297</v>
      </c>
      <c r="AF941" s="4">
        <f>$M$941*$Z$941</f>
        <v>0</v>
      </c>
      <c r="AG941" s="4">
        <f>$O$941*$AA$941</f>
        <v>0</v>
      </c>
    </row>
    <row r="942" spans="1:33" ht="11.25" customHeight="1" x14ac:dyDescent="0.25">
      <c r="A942" s="3" t="s">
        <v>28</v>
      </c>
      <c r="B942" s="3" t="s">
        <v>41</v>
      </c>
      <c r="C942" s="3" t="s">
        <v>42</v>
      </c>
      <c r="D942" s="3" t="s">
        <v>46</v>
      </c>
      <c r="E942" s="3" t="s">
        <v>25</v>
      </c>
      <c r="F942" s="3" t="s">
        <v>25</v>
      </c>
      <c r="G942" s="3" t="s">
        <v>25</v>
      </c>
      <c r="H942" s="3" t="s">
        <v>25</v>
      </c>
      <c r="I942" s="6">
        <v>44531</v>
      </c>
      <c r="J942" s="4">
        <v>2780</v>
      </c>
      <c r="K942" s="4">
        <v>2780</v>
      </c>
      <c r="L942" s="4">
        <v>0</v>
      </c>
      <c r="M942" s="4">
        <v>0</v>
      </c>
      <c r="N942" s="4">
        <v>0</v>
      </c>
      <c r="O942" s="4">
        <v>0</v>
      </c>
      <c r="P942" s="4">
        <v>11</v>
      </c>
      <c r="Q942" s="3" t="s">
        <v>26</v>
      </c>
      <c r="R942" s="3">
        <v>0</v>
      </c>
      <c r="S942" s="4">
        <v>44</v>
      </c>
      <c r="T942" s="4">
        <v>0</v>
      </c>
      <c r="U942" s="4">
        <v>0</v>
      </c>
      <c r="V942" s="4">
        <f>IF(ISERROR(VLOOKUP($S$942,'TAR FIN'!$A$1:$O$113,15,0)),0,VLOOKUP($S$942,'TAR FIN'!$A$1:$O$113,15,0))</f>
        <v>24.31</v>
      </c>
      <c r="W942" s="4">
        <f>IF(ISERROR(VLOOKUP($T$942,'TAR FIN'!$A$1:$O$113,15,0)),0,VLOOKUP($T$942,'TAR FIN'!$A$1:$O$113,15,0))</f>
        <v>0</v>
      </c>
      <c r="X942" s="4">
        <f>IF(ISERROR(VLOOKUP($U$942,'TAR FIN'!$A$1:$O$113,15,0)),0,VLOOKUP($U$942,'TAR FIN'!$A$1:$O$113,15,0))</f>
        <v>0</v>
      </c>
      <c r="Y942" s="4">
        <f ca="1">('TUSD BE'!$AM$30+'TUSD BF'!$AM$30+'TUSD CVA'!$AM$30)*1</f>
        <v>26.598074646640526</v>
      </c>
      <c r="Z942" s="4"/>
      <c r="AA942" s="4"/>
      <c r="AB942" s="4">
        <f>$K$942*$V$942</f>
        <v>67581.8</v>
      </c>
      <c r="AC942" s="4">
        <f>$M$942*$W$942</f>
        <v>0</v>
      </c>
      <c r="AD942" s="4">
        <f>$O$942*$X$942</f>
        <v>0</v>
      </c>
      <c r="AE942" s="4">
        <f ca="1">$K$942*$Y$942</f>
        <v>73942.647517660662</v>
      </c>
      <c r="AF942" s="4">
        <f>$M$942*$Z$942</f>
        <v>0</v>
      </c>
      <c r="AG942" s="4">
        <f>$O$942*$AA$942</f>
        <v>0</v>
      </c>
    </row>
    <row r="943" spans="1:33" ht="11.25" customHeight="1" x14ac:dyDescent="0.25">
      <c r="A943" s="3" t="s">
        <v>21</v>
      </c>
      <c r="B943" s="3" t="s">
        <v>41</v>
      </c>
      <c r="C943" s="3" t="s">
        <v>42</v>
      </c>
      <c r="D943" s="3" t="s">
        <v>46</v>
      </c>
      <c r="E943" s="3" t="s">
        <v>25</v>
      </c>
      <c r="F943" s="3" t="s">
        <v>25</v>
      </c>
      <c r="G943" s="3" t="s">
        <v>25</v>
      </c>
      <c r="H943" s="3" t="s">
        <v>25</v>
      </c>
      <c r="I943" s="6">
        <v>44562</v>
      </c>
      <c r="J943" s="4">
        <v>31488</v>
      </c>
      <c r="K943" s="4">
        <v>31488</v>
      </c>
      <c r="L943" s="4">
        <v>0</v>
      </c>
      <c r="M943" s="4">
        <v>0</v>
      </c>
      <c r="N943" s="4">
        <v>0</v>
      </c>
      <c r="O943" s="4">
        <v>0</v>
      </c>
      <c r="P943" s="4">
        <v>232</v>
      </c>
      <c r="Q943" s="3" t="s">
        <v>26</v>
      </c>
      <c r="R943" s="3">
        <v>0</v>
      </c>
      <c r="S943" s="4">
        <v>44</v>
      </c>
      <c r="T943" s="4">
        <v>0</v>
      </c>
      <c r="U943" s="4">
        <v>0</v>
      </c>
      <c r="V943" s="4">
        <f>IF(ISERROR(VLOOKUP($S$943,'TAR FIN'!$A$1:$O$113,15,0)),0,VLOOKUP($S$943,'TAR FIN'!$A$1:$O$113,15,0))</f>
        <v>24.31</v>
      </c>
      <c r="W943" s="4">
        <f>IF(ISERROR(VLOOKUP($T$943,'TAR FIN'!$A$1:$O$113,15,0)),0,VLOOKUP($T$943,'TAR FIN'!$A$1:$O$113,15,0))</f>
        <v>0</v>
      </c>
      <c r="X943" s="4">
        <f>IF(ISERROR(VLOOKUP($U$943,'TAR FIN'!$A$1:$O$113,15,0)),0,VLOOKUP($U$943,'TAR FIN'!$A$1:$O$113,15,0))</f>
        <v>0</v>
      </c>
      <c r="Y943" s="4">
        <f ca="1">('TUSD BE'!$AM$30+'TUSD BF'!$AM$30+'TUSD CVA'!$AM$30)*1</f>
        <v>26.598074646640526</v>
      </c>
      <c r="Z943" s="4"/>
      <c r="AA943" s="4"/>
      <c r="AB943" s="4">
        <f>$K$943*$V$943</f>
        <v>765473.27999999991</v>
      </c>
      <c r="AC943" s="4">
        <f>$M$943*$W$943</f>
        <v>0</v>
      </c>
      <c r="AD943" s="4">
        <f>$O$943*$X$943</f>
        <v>0</v>
      </c>
      <c r="AE943" s="4">
        <f ca="1">$K$943*$Y$943</f>
        <v>837520.17447341688</v>
      </c>
      <c r="AF943" s="4">
        <f>$M$943*$Z$943</f>
        <v>0</v>
      </c>
      <c r="AG943" s="4">
        <f>$O$943*$AA$943</f>
        <v>0</v>
      </c>
    </row>
    <row r="944" spans="1:33" ht="11.25" customHeight="1" x14ac:dyDescent="0.25">
      <c r="A944" s="3" t="s">
        <v>27</v>
      </c>
      <c r="B944" s="3" t="s">
        <v>41</v>
      </c>
      <c r="C944" s="3" t="s">
        <v>42</v>
      </c>
      <c r="D944" s="3" t="s">
        <v>46</v>
      </c>
      <c r="E944" s="3" t="s">
        <v>25</v>
      </c>
      <c r="F944" s="3" t="s">
        <v>25</v>
      </c>
      <c r="G944" s="3" t="s">
        <v>25</v>
      </c>
      <c r="H944" s="3" t="s">
        <v>25</v>
      </c>
      <c r="I944" s="6">
        <v>44562</v>
      </c>
      <c r="J944" s="4">
        <v>-180</v>
      </c>
      <c r="K944" s="4">
        <v>-180</v>
      </c>
      <c r="L944" s="4">
        <v>0</v>
      </c>
      <c r="M944" s="4">
        <v>0</v>
      </c>
      <c r="N944" s="4">
        <v>0</v>
      </c>
      <c r="O944" s="4">
        <v>0</v>
      </c>
      <c r="P944" s="4">
        <v>1</v>
      </c>
      <c r="Q944" s="3" t="s">
        <v>26</v>
      </c>
      <c r="R944" s="3">
        <v>0</v>
      </c>
      <c r="S944" s="4">
        <v>44</v>
      </c>
      <c r="T944" s="4">
        <v>0</v>
      </c>
      <c r="U944" s="4">
        <v>0</v>
      </c>
      <c r="V944" s="4">
        <f>IF(ISERROR(VLOOKUP($S$944,'TAR FIN'!$A$1:$O$113,15,0)),0,VLOOKUP($S$944,'TAR FIN'!$A$1:$O$113,15,0))</f>
        <v>24.31</v>
      </c>
      <c r="W944" s="4">
        <f>IF(ISERROR(VLOOKUP($T$944,'TAR FIN'!$A$1:$O$113,15,0)),0,VLOOKUP($T$944,'TAR FIN'!$A$1:$O$113,15,0))</f>
        <v>0</v>
      </c>
      <c r="X944" s="4">
        <f>IF(ISERROR(VLOOKUP($U$944,'TAR FIN'!$A$1:$O$113,15,0)),0,VLOOKUP($U$944,'TAR FIN'!$A$1:$O$113,15,0))</f>
        <v>0</v>
      </c>
      <c r="Y944" s="4">
        <f ca="1">('TUSD BE'!$AM$30+'TUSD BF'!$AM$30+'TUSD CVA'!$AM$30)*1</f>
        <v>26.598074646640526</v>
      </c>
      <c r="Z944" s="4"/>
      <c r="AA944" s="4"/>
      <c r="AB944" s="4">
        <f>$K$944*$V$944</f>
        <v>-4375.8</v>
      </c>
      <c r="AC944" s="4">
        <f>$M$944*$W$944</f>
        <v>0</v>
      </c>
      <c r="AD944" s="4">
        <f>$O$944*$X$944</f>
        <v>0</v>
      </c>
      <c r="AE944" s="4">
        <f ca="1">$K$944*$Y$944</f>
        <v>-4787.6534363952951</v>
      </c>
      <c r="AF944" s="4">
        <f>$M$944*$Z$944</f>
        <v>0</v>
      </c>
      <c r="AG944" s="4">
        <f>$O$944*$AA$944</f>
        <v>0</v>
      </c>
    </row>
    <row r="945" spans="1:33" ht="11.25" customHeight="1" x14ac:dyDescent="0.25">
      <c r="A945" s="3" t="s">
        <v>28</v>
      </c>
      <c r="B945" s="3" t="s">
        <v>41</v>
      </c>
      <c r="C945" s="3" t="s">
        <v>42</v>
      </c>
      <c r="D945" s="3" t="s">
        <v>46</v>
      </c>
      <c r="E945" s="3" t="s">
        <v>25</v>
      </c>
      <c r="F945" s="3" t="s">
        <v>25</v>
      </c>
      <c r="G945" s="3" t="s">
        <v>25</v>
      </c>
      <c r="H945" s="3" t="s">
        <v>25</v>
      </c>
      <c r="I945" s="6">
        <v>44562</v>
      </c>
      <c r="J945" s="4">
        <v>2831</v>
      </c>
      <c r="K945" s="4">
        <v>2831</v>
      </c>
      <c r="L945" s="4">
        <v>0</v>
      </c>
      <c r="M945" s="4">
        <v>0</v>
      </c>
      <c r="N945" s="4">
        <v>0</v>
      </c>
      <c r="O945" s="4">
        <v>0</v>
      </c>
      <c r="P945" s="4">
        <v>12</v>
      </c>
      <c r="Q945" s="3" t="s">
        <v>26</v>
      </c>
      <c r="R945" s="3">
        <v>0</v>
      </c>
      <c r="S945" s="4">
        <v>44</v>
      </c>
      <c r="T945" s="4">
        <v>0</v>
      </c>
      <c r="U945" s="4">
        <v>0</v>
      </c>
      <c r="V945" s="4">
        <f>IF(ISERROR(VLOOKUP($S$945,'TAR FIN'!$A$1:$O$113,15,0)),0,VLOOKUP($S$945,'TAR FIN'!$A$1:$O$113,15,0))</f>
        <v>24.31</v>
      </c>
      <c r="W945" s="4">
        <f>IF(ISERROR(VLOOKUP($T$945,'TAR FIN'!$A$1:$O$113,15,0)),0,VLOOKUP($T$945,'TAR FIN'!$A$1:$O$113,15,0))</f>
        <v>0</v>
      </c>
      <c r="X945" s="4">
        <f>IF(ISERROR(VLOOKUP($U$945,'TAR FIN'!$A$1:$O$113,15,0)),0,VLOOKUP($U$945,'TAR FIN'!$A$1:$O$113,15,0))</f>
        <v>0</v>
      </c>
      <c r="Y945" s="4">
        <f ca="1">('TUSD BE'!$AM$30+'TUSD BF'!$AM$30+'TUSD CVA'!$AM$30)*1</f>
        <v>26.598074646640526</v>
      </c>
      <c r="Z945" s="4"/>
      <c r="AA945" s="4"/>
      <c r="AB945" s="4">
        <f>$K$945*$V$945</f>
        <v>68821.61</v>
      </c>
      <c r="AC945" s="4">
        <f>$M$945*$W$945</f>
        <v>0</v>
      </c>
      <c r="AD945" s="4">
        <f>$O$945*$X$945</f>
        <v>0</v>
      </c>
      <c r="AE945" s="4">
        <f ca="1">$K$945*$Y$945</f>
        <v>75299.149324639337</v>
      </c>
      <c r="AF945" s="4">
        <f>$M$945*$Z$945</f>
        <v>0</v>
      </c>
      <c r="AG945" s="4">
        <f>$O$945*$AA$945</f>
        <v>0</v>
      </c>
    </row>
    <row r="946" spans="1:33" ht="11.25" customHeight="1" x14ac:dyDescent="0.25">
      <c r="A946" s="3" t="s">
        <v>21</v>
      </c>
      <c r="B946" s="3" t="s">
        <v>41</v>
      </c>
      <c r="C946" s="3" t="s">
        <v>42</v>
      </c>
      <c r="D946" s="3" t="s">
        <v>46</v>
      </c>
      <c r="E946" s="3" t="s">
        <v>25</v>
      </c>
      <c r="F946" s="3" t="s">
        <v>25</v>
      </c>
      <c r="G946" s="3" t="s">
        <v>25</v>
      </c>
      <c r="H946" s="3" t="s">
        <v>25</v>
      </c>
      <c r="I946" s="6">
        <v>44593</v>
      </c>
      <c r="J946" s="4">
        <v>29952</v>
      </c>
      <c r="K946" s="4">
        <v>29952</v>
      </c>
      <c r="L946" s="4">
        <v>0</v>
      </c>
      <c r="M946" s="4">
        <v>0</v>
      </c>
      <c r="N946" s="4">
        <v>0</v>
      </c>
      <c r="O946" s="4">
        <v>0</v>
      </c>
      <c r="P946" s="4">
        <v>235</v>
      </c>
      <c r="Q946" s="3" t="s">
        <v>26</v>
      </c>
      <c r="R946" s="3">
        <v>0</v>
      </c>
      <c r="S946" s="4">
        <v>44</v>
      </c>
      <c r="T946" s="4">
        <v>0</v>
      </c>
      <c r="U946" s="4">
        <v>0</v>
      </c>
      <c r="V946" s="4">
        <f>IF(ISERROR(VLOOKUP($S$946,'TAR FIN'!$A$1:$O$113,15,0)),0,VLOOKUP($S$946,'TAR FIN'!$A$1:$O$113,15,0))</f>
        <v>24.31</v>
      </c>
      <c r="W946" s="4">
        <f>IF(ISERROR(VLOOKUP($T$946,'TAR FIN'!$A$1:$O$113,15,0)),0,VLOOKUP($T$946,'TAR FIN'!$A$1:$O$113,15,0))</f>
        <v>0</v>
      </c>
      <c r="X946" s="4">
        <f>IF(ISERROR(VLOOKUP($U$946,'TAR FIN'!$A$1:$O$113,15,0)),0,VLOOKUP($U$946,'TAR FIN'!$A$1:$O$113,15,0))</f>
        <v>0</v>
      </c>
      <c r="Y946" s="4">
        <f ca="1">('TUSD BE'!$AM$30+'TUSD BF'!$AM$30+'TUSD CVA'!$AM$30)*1</f>
        <v>26.598074646640526</v>
      </c>
      <c r="Z946" s="4"/>
      <c r="AA946" s="4"/>
      <c r="AB946" s="4">
        <f>$K$946*$V$946</f>
        <v>728133.12</v>
      </c>
      <c r="AC946" s="4">
        <f>$M$946*$W$946</f>
        <v>0</v>
      </c>
      <c r="AD946" s="4">
        <f>$O$946*$X$946</f>
        <v>0</v>
      </c>
      <c r="AE946" s="4">
        <f ca="1">$K$946*$Y$946</f>
        <v>796665.53181617707</v>
      </c>
      <c r="AF946" s="4">
        <f>$M$946*$Z$946</f>
        <v>0</v>
      </c>
      <c r="AG946" s="4">
        <f>$O$946*$AA$946</f>
        <v>0</v>
      </c>
    </row>
    <row r="947" spans="1:33" ht="11.25" customHeight="1" x14ac:dyDescent="0.25">
      <c r="A947" s="3" t="s">
        <v>27</v>
      </c>
      <c r="B947" s="3" t="s">
        <v>41</v>
      </c>
      <c r="C947" s="3" t="s">
        <v>42</v>
      </c>
      <c r="D947" s="3" t="s">
        <v>46</v>
      </c>
      <c r="E947" s="3" t="s">
        <v>25</v>
      </c>
      <c r="F947" s="3" t="s">
        <v>25</v>
      </c>
      <c r="G947" s="3" t="s">
        <v>25</v>
      </c>
      <c r="H947" s="3" t="s">
        <v>25</v>
      </c>
      <c r="I947" s="6">
        <v>44593</v>
      </c>
      <c r="J947" s="4">
        <v>-1990</v>
      </c>
      <c r="K947" s="4">
        <v>-1990</v>
      </c>
      <c r="L947" s="4">
        <v>0</v>
      </c>
      <c r="M947" s="4">
        <v>0</v>
      </c>
      <c r="N947" s="4">
        <v>0</v>
      </c>
      <c r="O947" s="4">
        <v>0</v>
      </c>
      <c r="P947" s="4">
        <v>1</v>
      </c>
      <c r="Q947" s="3" t="s">
        <v>26</v>
      </c>
      <c r="R947" s="3">
        <v>0</v>
      </c>
      <c r="S947" s="4">
        <v>44</v>
      </c>
      <c r="T947" s="4">
        <v>0</v>
      </c>
      <c r="U947" s="4">
        <v>0</v>
      </c>
      <c r="V947" s="4">
        <f>IF(ISERROR(VLOOKUP($S$947,'TAR FIN'!$A$1:$O$113,15,0)),0,VLOOKUP($S$947,'TAR FIN'!$A$1:$O$113,15,0))</f>
        <v>24.31</v>
      </c>
      <c r="W947" s="4">
        <f>IF(ISERROR(VLOOKUP($T$947,'TAR FIN'!$A$1:$O$113,15,0)),0,VLOOKUP($T$947,'TAR FIN'!$A$1:$O$113,15,0))</f>
        <v>0</v>
      </c>
      <c r="X947" s="4">
        <f>IF(ISERROR(VLOOKUP($U$947,'TAR FIN'!$A$1:$O$113,15,0)),0,VLOOKUP($U$947,'TAR FIN'!$A$1:$O$113,15,0))</f>
        <v>0</v>
      </c>
      <c r="Y947" s="4">
        <f ca="1">('TUSD BE'!$AM$30+'TUSD BF'!$AM$30+'TUSD CVA'!$AM$30)*1</f>
        <v>26.598074646640526</v>
      </c>
      <c r="Z947" s="4"/>
      <c r="AA947" s="4"/>
      <c r="AB947" s="4">
        <f>$K$947*$V$947</f>
        <v>-48376.899999999994</v>
      </c>
      <c r="AC947" s="4">
        <f>$M$947*$W$947</f>
        <v>0</v>
      </c>
      <c r="AD947" s="4">
        <f>$O$947*$X$947</f>
        <v>0</v>
      </c>
      <c r="AE947" s="4">
        <f ca="1">$K$947*$Y$947</f>
        <v>-52930.168546814646</v>
      </c>
      <c r="AF947" s="4">
        <f>$M$947*$Z$947</f>
        <v>0</v>
      </c>
      <c r="AG947" s="4">
        <f>$O$947*$AA$947</f>
        <v>0</v>
      </c>
    </row>
    <row r="948" spans="1:33" ht="11.25" customHeight="1" x14ac:dyDescent="0.25">
      <c r="A948" s="3" t="s">
        <v>28</v>
      </c>
      <c r="B948" s="3" t="s">
        <v>41</v>
      </c>
      <c r="C948" s="3" t="s">
        <v>42</v>
      </c>
      <c r="D948" s="3" t="s">
        <v>46</v>
      </c>
      <c r="E948" s="3" t="s">
        <v>25</v>
      </c>
      <c r="F948" s="3" t="s">
        <v>25</v>
      </c>
      <c r="G948" s="3" t="s">
        <v>25</v>
      </c>
      <c r="H948" s="3" t="s">
        <v>25</v>
      </c>
      <c r="I948" s="6">
        <v>44593</v>
      </c>
      <c r="J948" s="4">
        <v>2810</v>
      </c>
      <c r="K948" s="4">
        <v>2810</v>
      </c>
      <c r="L948" s="4">
        <v>0</v>
      </c>
      <c r="M948" s="4">
        <v>0</v>
      </c>
      <c r="N948" s="4">
        <v>0</v>
      </c>
      <c r="O948" s="4">
        <v>0</v>
      </c>
      <c r="P948" s="4">
        <v>12</v>
      </c>
      <c r="Q948" s="3" t="s">
        <v>26</v>
      </c>
      <c r="R948" s="3">
        <v>0</v>
      </c>
      <c r="S948" s="4">
        <v>44</v>
      </c>
      <c r="T948" s="4">
        <v>0</v>
      </c>
      <c r="U948" s="4">
        <v>0</v>
      </c>
      <c r="V948" s="4">
        <f>IF(ISERROR(VLOOKUP($S$948,'TAR FIN'!$A$1:$O$113,15,0)),0,VLOOKUP($S$948,'TAR FIN'!$A$1:$O$113,15,0))</f>
        <v>24.31</v>
      </c>
      <c r="W948" s="4">
        <f>IF(ISERROR(VLOOKUP($T$948,'TAR FIN'!$A$1:$O$113,15,0)),0,VLOOKUP($T$948,'TAR FIN'!$A$1:$O$113,15,0))</f>
        <v>0</v>
      </c>
      <c r="X948" s="4">
        <f>IF(ISERROR(VLOOKUP($U$948,'TAR FIN'!$A$1:$O$113,15,0)),0,VLOOKUP($U$948,'TAR FIN'!$A$1:$O$113,15,0))</f>
        <v>0</v>
      </c>
      <c r="Y948" s="4">
        <f ca="1">('TUSD BE'!$AM$30+'TUSD BF'!$AM$30+'TUSD CVA'!$AM$30)*1</f>
        <v>26.598074646640526</v>
      </c>
      <c r="Z948" s="4"/>
      <c r="AA948" s="4"/>
      <c r="AB948" s="4">
        <f>$K$948*$V$948</f>
        <v>68311.099999999991</v>
      </c>
      <c r="AC948" s="4">
        <f>$M$948*$W$948</f>
        <v>0</v>
      </c>
      <c r="AD948" s="4">
        <f>$O$948*$X$948</f>
        <v>0</v>
      </c>
      <c r="AE948" s="4">
        <f ca="1">$K$948*$Y$948</f>
        <v>74740.589757059875</v>
      </c>
      <c r="AF948" s="4">
        <f>$M$948*$Z$948</f>
        <v>0</v>
      </c>
      <c r="AG948" s="4">
        <f>$O$948*$AA$948</f>
        <v>0</v>
      </c>
    </row>
    <row r="949" spans="1:33" ht="11.25" customHeight="1" x14ac:dyDescent="0.25">
      <c r="A949" s="3" t="s">
        <v>56</v>
      </c>
      <c r="B949" s="3" t="s">
        <v>41</v>
      </c>
      <c r="C949" s="3" t="s">
        <v>42</v>
      </c>
      <c r="D949" s="3" t="s">
        <v>46</v>
      </c>
      <c r="E949" s="3" t="s">
        <v>25</v>
      </c>
      <c r="F949" s="3" t="s">
        <v>25</v>
      </c>
      <c r="G949" s="3" t="s">
        <v>25</v>
      </c>
      <c r="H949" s="3" t="s">
        <v>25</v>
      </c>
      <c r="I949" s="6">
        <v>44621</v>
      </c>
      <c r="J949" s="4">
        <v>29952</v>
      </c>
      <c r="K949" s="4">
        <v>29952</v>
      </c>
      <c r="L949" s="4">
        <v>0</v>
      </c>
      <c r="M949" s="4">
        <v>0</v>
      </c>
      <c r="N949" s="4">
        <v>0</v>
      </c>
      <c r="O949" s="4">
        <v>0</v>
      </c>
      <c r="P949" s="4">
        <v>235</v>
      </c>
      <c r="Q949" s="3" t="s">
        <v>26</v>
      </c>
      <c r="R949" s="3">
        <v>0</v>
      </c>
      <c r="S949" s="4">
        <v>44</v>
      </c>
      <c r="T949" s="4">
        <v>0</v>
      </c>
      <c r="U949" s="4">
        <v>0</v>
      </c>
      <c r="V949" s="4">
        <f>IF(ISERROR(VLOOKUP($S$949,'TAR FIN'!$A$1:$O$113,15,0)),0,VLOOKUP($S$949,'TAR FIN'!$A$1:$O$113,15,0))</f>
        <v>24.31</v>
      </c>
      <c r="W949" s="4">
        <f>IF(ISERROR(VLOOKUP($T$949,'TAR FIN'!$A$1:$O$113,15,0)),0,VLOOKUP($T$949,'TAR FIN'!$A$1:$O$113,15,0))</f>
        <v>0</v>
      </c>
      <c r="X949" s="4">
        <f>IF(ISERROR(VLOOKUP($U$949,'TAR FIN'!$A$1:$O$113,15,0)),0,VLOOKUP($U$949,'TAR FIN'!$A$1:$O$113,15,0))</f>
        <v>0</v>
      </c>
      <c r="Y949" s="4">
        <f ca="1">('TUSD BE'!$AM$30+'TUSD BF'!$AM$30+'TUSD CVA'!$AM$30)*1</f>
        <v>26.598074646640526</v>
      </c>
      <c r="Z949" s="4"/>
      <c r="AA949" s="4"/>
      <c r="AB949" s="4">
        <f>$K$949*$V$949</f>
        <v>728133.12</v>
      </c>
      <c r="AC949" s="4">
        <f>$M$949*$W$949</f>
        <v>0</v>
      </c>
      <c r="AD949" s="4">
        <f>$O$949*$X$949</f>
        <v>0</v>
      </c>
      <c r="AE949" s="4">
        <f ca="1">$K$949*$Y$949</f>
        <v>796665.53181617707</v>
      </c>
      <c r="AF949" s="4">
        <f>$M$949*$Z$949</f>
        <v>0</v>
      </c>
      <c r="AG949" s="4">
        <f>$O$949*$AA$949</f>
        <v>0</v>
      </c>
    </row>
    <row r="950" spans="1:33" ht="11.25" customHeight="1" x14ac:dyDescent="0.25">
      <c r="A950" s="3" t="s">
        <v>56</v>
      </c>
      <c r="B950" s="3" t="s">
        <v>41</v>
      </c>
      <c r="C950" s="3" t="s">
        <v>42</v>
      </c>
      <c r="D950" s="3" t="s">
        <v>46</v>
      </c>
      <c r="E950" s="3" t="s">
        <v>25</v>
      </c>
      <c r="F950" s="3" t="s">
        <v>25</v>
      </c>
      <c r="G950" s="3" t="s">
        <v>25</v>
      </c>
      <c r="H950" s="3" t="s">
        <v>25</v>
      </c>
      <c r="I950" s="6">
        <v>44621</v>
      </c>
      <c r="J950" s="4">
        <v>-1990</v>
      </c>
      <c r="K950" s="4">
        <v>-1990</v>
      </c>
      <c r="L950" s="4">
        <v>0</v>
      </c>
      <c r="M950" s="4">
        <v>0</v>
      </c>
      <c r="N950" s="4">
        <v>0</v>
      </c>
      <c r="O950" s="4">
        <v>0</v>
      </c>
      <c r="P950" s="4">
        <v>1</v>
      </c>
      <c r="Q950" s="3" t="s">
        <v>26</v>
      </c>
      <c r="R950" s="3">
        <v>0</v>
      </c>
      <c r="S950" s="4">
        <v>44</v>
      </c>
      <c r="T950" s="4">
        <v>0</v>
      </c>
      <c r="U950" s="4">
        <v>0</v>
      </c>
      <c r="V950" s="4">
        <f>IF(ISERROR(VLOOKUP($S$950,'TAR FIN'!$A$1:$O$113,15,0)),0,VLOOKUP($S$950,'TAR FIN'!$A$1:$O$113,15,0))</f>
        <v>24.31</v>
      </c>
      <c r="W950" s="4">
        <f>IF(ISERROR(VLOOKUP($T$950,'TAR FIN'!$A$1:$O$113,15,0)),0,VLOOKUP($T$950,'TAR FIN'!$A$1:$O$113,15,0))</f>
        <v>0</v>
      </c>
      <c r="X950" s="4">
        <f>IF(ISERROR(VLOOKUP($U$950,'TAR FIN'!$A$1:$O$113,15,0)),0,VLOOKUP($U$950,'TAR FIN'!$A$1:$O$113,15,0))</f>
        <v>0</v>
      </c>
      <c r="Y950" s="4">
        <f ca="1">('TUSD BE'!$AM$30+'TUSD BF'!$AM$30+'TUSD CVA'!$AM$30)*1</f>
        <v>26.598074646640526</v>
      </c>
      <c r="Z950" s="4"/>
      <c r="AA950" s="4"/>
      <c r="AB950" s="4">
        <f>$K$950*$V$950</f>
        <v>-48376.899999999994</v>
      </c>
      <c r="AC950" s="4">
        <f>$M$950*$W$950</f>
        <v>0</v>
      </c>
      <c r="AD950" s="4">
        <f>$O$950*$X$950</f>
        <v>0</v>
      </c>
      <c r="AE950" s="4">
        <f ca="1">$K$950*$Y$950</f>
        <v>-52930.168546814646</v>
      </c>
      <c r="AF950" s="4">
        <f>$M$950*$Z$950</f>
        <v>0</v>
      </c>
      <c r="AG950" s="4">
        <f>$O$950*$AA$950</f>
        <v>0</v>
      </c>
    </row>
    <row r="951" spans="1:33" ht="11.25" customHeight="1" x14ac:dyDescent="0.25">
      <c r="A951" s="3" t="s">
        <v>56</v>
      </c>
      <c r="B951" s="3" t="s">
        <v>41</v>
      </c>
      <c r="C951" s="3" t="s">
        <v>42</v>
      </c>
      <c r="D951" s="3" t="s">
        <v>46</v>
      </c>
      <c r="E951" s="3" t="s">
        <v>25</v>
      </c>
      <c r="F951" s="3" t="s">
        <v>25</v>
      </c>
      <c r="G951" s="3" t="s">
        <v>25</v>
      </c>
      <c r="H951" s="3" t="s">
        <v>25</v>
      </c>
      <c r="I951" s="6">
        <v>44621</v>
      </c>
      <c r="J951" s="4">
        <v>2810</v>
      </c>
      <c r="K951" s="4">
        <v>2810</v>
      </c>
      <c r="L951" s="4">
        <v>0</v>
      </c>
      <c r="M951" s="4">
        <v>0</v>
      </c>
      <c r="N951" s="4">
        <v>0</v>
      </c>
      <c r="O951" s="4">
        <v>0</v>
      </c>
      <c r="P951" s="4">
        <v>12</v>
      </c>
      <c r="Q951" s="3" t="s">
        <v>26</v>
      </c>
      <c r="R951" s="3">
        <v>0</v>
      </c>
      <c r="S951" s="4">
        <v>44</v>
      </c>
      <c r="T951" s="4">
        <v>0</v>
      </c>
      <c r="U951" s="4">
        <v>0</v>
      </c>
      <c r="V951" s="4">
        <f>IF(ISERROR(VLOOKUP($S$951,'TAR FIN'!$A$1:$O$113,15,0)),0,VLOOKUP($S$951,'TAR FIN'!$A$1:$O$113,15,0))</f>
        <v>24.31</v>
      </c>
      <c r="W951" s="4">
        <f>IF(ISERROR(VLOOKUP($T$951,'TAR FIN'!$A$1:$O$113,15,0)),0,VLOOKUP($T$951,'TAR FIN'!$A$1:$O$113,15,0))</f>
        <v>0</v>
      </c>
      <c r="X951" s="4">
        <f>IF(ISERROR(VLOOKUP($U$951,'TAR FIN'!$A$1:$O$113,15,0)),0,VLOOKUP($U$951,'TAR FIN'!$A$1:$O$113,15,0))</f>
        <v>0</v>
      </c>
      <c r="Y951" s="4">
        <f ca="1">('TUSD BE'!$AM$30+'TUSD BF'!$AM$30+'TUSD CVA'!$AM$30)*1</f>
        <v>26.598074646640526</v>
      </c>
      <c r="Z951" s="4"/>
      <c r="AA951" s="4"/>
      <c r="AB951" s="4">
        <f>$K$951*$V$951</f>
        <v>68311.099999999991</v>
      </c>
      <c r="AC951" s="4">
        <f>$M$951*$W$951</f>
        <v>0</v>
      </c>
      <c r="AD951" s="4">
        <f>$O$951*$X$951</f>
        <v>0</v>
      </c>
      <c r="AE951" s="4">
        <f ca="1">$K$951*$Y$951</f>
        <v>74740.589757059875</v>
      </c>
      <c r="AF951" s="4">
        <f>$M$951*$Z$951</f>
        <v>0</v>
      </c>
      <c r="AG951" s="4">
        <f>$O$951*$AA$951</f>
        <v>0</v>
      </c>
    </row>
    <row r="952" spans="1:33" ht="11.25" customHeight="1" x14ac:dyDescent="0.25">
      <c r="A952" s="3" t="s">
        <v>21</v>
      </c>
      <c r="B952" s="3" t="s">
        <v>41</v>
      </c>
      <c r="C952" s="3" t="s">
        <v>42</v>
      </c>
      <c r="D952" s="3" t="s">
        <v>46</v>
      </c>
      <c r="E952" s="3" t="s">
        <v>25</v>
      </c>
      <c r="F952" s="3" t="s">
        <v>25</v>
      </c>
      <c r="G952" s="3" t="s">
        <v>25</v>
      </c>
      <c r="H952" s="3" t="s">
        <v>34</v>
      </c>
      <c r="I952" s="6">
        <v>44287</v>
      </c>
      <c r="J952" s="4">
        <v>0</v>
      </c>
      <c r="K952" s="4">
        <v>0</v>
      </c>
      <c r="L952" s="4">
        <v>284.88600000000002</v>
      </c>
      <c r="M952" s="4">
        <v>284.88600000000002</v>
      </c>
      <c r="N952" s="4">
        <v>284.88600000000002</v>
      </c>
      <c r="O952" s="4">
        <v>284.88600000000002</v>
      </c>
      <c r="P952" s="4">
        <v>0</v>
      </c>
      <c r="Q952" s="3" t="s">
        <v>26</v>
      </c>
      <c r="R952" s="3">
        <v>0</v>
      </c>
      <c r="S952" s="4">
        <v>0</v>
      </c>
      <c r="T952" s="4">
        <v>20</v>
      </c>
      <c r="U952" s="4">
        <v>88</v>
      </c>
      <c r="V952" s="4">
        <f>IF(ISERROR(VLOOKUP($S$952,'TAR FIN'!$A$1:$O$113,15,0)),0,VLOOKUP($S$952,'TAR FIN'!$A$1:$O$113,15,0))</f>
        <v>0</v>
      </c>
      <c r="W952" s="4">
        <f>IF(ISERROR(VLOOKUP($T$952,'TAR FIN'!$A$1:$O$113,15,0)),0,VLOOKUP($T$952,'TAR FIN'!$A$1:$O$113,15,0))</f>
        <v>1564.59</v>
      </c>
      <c r="X952" s="4">
        <f>IF(ISERROR(VLOOKUP($U$952,'TAR FIN'!$A$1:$O$113,15,0)),0,VLOOKUP($U$952,'TAR FIN'!$A$1:$O$113,15,0))</f>
        <v>365.5</v>
      </c>
      <c r="Y952" s="4"/>
      <c r="Z952" s="4">
        <f ca="1">('TUSD BE'!$AM$31+'TUSD BF'!$AM$31+'TUSD CVA'!$AM$31)*1</f>
        <v>1837.8896121132304</v>
      </c>
      <c r="AA952" s="4">
        <f>('TE BE'!$AA$10+'TE BF'!$AA$10+'TE CVA'!$AA$10)*1</f>
        <v>361.55013418411539</v>
      </c>
      <c r="AB952" s="4">
        <f>$K$952*$V$952</f>
        <v>0</v>
      </c>
      <c r="AC952" s="4">
        <f>$M$952*$W$952</f>
        <v>445729.78674000001</v>
      </c>
      <c r="AD952" s="4">
        <f>$O$952*$X$952</f>
        <v>104125.83300000001</v>
      </c>
      <c r="AE952" s="4">
        <f>$K$952*$Y$952</f>
        <v>0</v>
      </c>
      <c r="AF952" s="4">
        <f ca="1">$M$952*$Z$952</f>
        <v>523589.02003648982</v>
      </c>
      <c r="AG952" s="4">
        <f>$O$952*$AA$952</f>
        <v>103000.57152717591</v>
      </c>
    </row>
    <row r="953" spans="1:33" ht="11.25" customHeight="1" x14ac:dyDescent="0.25">
      <c r="A953" s="3" t="s">
        <v>28</v>
      </c>
      <c r="B953" s="3" t="s">
        <v>41</v>
      </c>
      <c r="C953" s="3" t="s">
        <v>42</v>
      </c>
      <c r="D953" s="3" t="s">
        <v>46</v>
      </c>
      <c r="E953" s="3" t="s">
        <v>25</v>
      </c>
      <c r="F953" s="3" t="s">
        <v>25</v>
      </c>
      <c r="G953" s="3" t="s">
        <v>25</v>
      </c>
      <c r="H953" s="3" t="s">
        <v>34</v>
      </c>
      <c r="I953" s="6">
        <v>44287</v>
      </c>
      <c r="J953" s="4">
        <v>0</v>
      </c>
      <c r="K953" s="4">
        <v>0</v>
      </c>
      <c r="L953" s="4">
        <v>30.649000000000001</v>
      </c>
      <c r="M953" s="4">
        <v>30.649000000000001</v>
      </c>
      <c r="N953" s="4">
        <v>30.649000000000001</v>
      </c>
      <c r="O953" s="4">
        <v>30.649000000000001</v>
      </c>
      <c r="P953" s="4">
        <v>0</v>
      </c>
      <c r="Q953" s="3" t="s">
        <v>26</v>
      </c>
      <c r="R953" s="3">
        <v>0</v>
      </c>
      <c r="S953" s="4">
        <v>0</v>
      </c>
      <c r="T953" s="4">
        <v>20</v>
      </c>
      <c r="U953" s="4">
        <v>88</v>
      </c>
      <c r="V953" s="4">
        <f>IF(ISERROR(VLOOKUP($S$953,'TAR FIN'!$A$1:$O$113,15,0)),0,VLOOKUP($S$953,'TAR FIN'!$A$1:$O$113,15,0))</f>
        <v>0</v>
      </c>
      <c r="W953" s="4">
        <f>IF(ISERROR(VLOOKUP($T$953,'TAR FIN'!$A$1:$O$113,15,0)),0,VLOOKUP($T$953,'TAR FIN'!$A$1:$O$113,15,0))</f>
        <v>1564.59</v>
      </c>
      <c r="X953" s="4">
        <f>IF(ISERROR(VLOOKUP($U$953,'TAR FIN'!$A$1:$O$113,15,0)),0,VLOOKUP($U$953,'TAR FIN'!$A$1:$O$113,15,0))</f>
        <v>365.5</v>
      </c>
      <c r="Y953" s="4"/>
      <c r="Z953" s="4">
        <f ca="1">('TUSD BE'!$AM$31+'TUSD BF'!$AM$31+'TUSD CVA'!$AM$31)*1</f>
        <v>1837.8896121132304</v>
      </c>
      <c r="AA953" s="4">
        <f>('TE BE'!$AA$10+'TE BF'!$AA$10+'TE CVA'!$AA$10)*1</f>
        <v>361.55013418411539</v>
      </c>
      <c r="AB953" s="4">
        <f>$K$953*$V$953</f>
        <v>0</v>
      </c>
      <c r="AC953" s="4">
        <f>$M$953*$W$953</f>
        <v>47953.118909999997</v>
      </c>
      <c r="AD953" s="4">
        <f>$O$953*$X$953</f>
        <v>11202.209500000001</v>
      </c>
      <c r="AE953" s="4">
        <f>$K$953*$Y$953</f>
        <v>0</v>
      </c>
      <c r="AF953" s="4">
        <f ca="1">$M$953*$Z$953</f>
        <v>56329.478721658401</v>
      </c>
      <c r="AG953" s="4">
        <f>$O$953*$AA$953</f>
        <v>11081.150062608953</v>
      </c>
    </row>
    <row r="954" spans="1:33" ht="11.25" customHeight="1" x14ac:dyDescent="0.25">
      <c r="A954" s="3" t="s">
        <v>21</v>
      </c>
      <c r="B954" s="3" t="s">
        <v>41</v>
      </c>
      <c r="C954" s="3" t="s">
        <v>42</v>
      </c>
      <c r="D954" s="3" t="s">
        <v>46</v>
      </c>
      <c r="E954" s="3" t="s">
        <v>25</v>
      </c>
      <c r="F954" s="3" t="s">
        <v>25</v>
      </c>
      <c r="G954" s="3" t="s">
        <v>25</v>
      </c>
      <c r="H954" s="3" t="s">
        <v>34</v>
      </c>
      <c r="I954" s="6">
        <v>44317</v>
      </c>
      <c r="J954" s="4">
        <v>0</v>
      </c>
      <c r="K954" s="4">
        <v>0</v>
      </c>
      <c r="L954" s="4">
        <v>262.16000000000003</v>
      </c>
      <c r="M954" s="4">
        <v>262.16000000000003</v>
      </c>
      <c r="N954" s="4">
        <v>262.16000000000003</v>
      </c>
      <c r="O954" s="4">
        <v>262.16000000000003</v>
      </c>
      <c r="P954" s="4">
        <v>0</v>
      </c>
      <c r="Q954" s="3" t="s">
        <v>26</v>
      </c>
      <c r="R954" s="3">
        <v>0</v>
      </c>
      <c r="S954" s="4">
        <v>0</v>
      </c>
      <c r="T954" s="4">
        <v>20</v>
      </c>
      <c r="U954" s="4">
        <v>88</v>
      </c>
      <c r="V954" s="4">
        <f>IF(ISERROR(VLOOKUP($S$954,'TAR FIN'!$A$1:$O$113,15,0)),0,VLOOKUP($S$954,'TAR FIN'!$A$1:$O$113,15,0))</f>
        <v>0</v>
      </c>
      <c r="W954" s="4">
        <f>IF(ISERROR(VLOOKUP($T$954,'TAR FIN'!$A$1:$O$113,15,0)),0,VLOOKUP($T$954,'TAR FIN'!$A$1:$O$113,15,0))</f>
        <v>1564.59</v>
      </c>
      <c r="X954" s="4">
        <f>IF(ISERROR(VLOOKUP($U$954,'TAR FIN'!$A$1:$O$113,15,0)),0,VLOOKUP($U$954,'TAR FIN'!$A$1:$O$113,15,0))</f>
        <v>365.5</v>
      </c>
      <c r="Y954" s="4"/>
      <c r="Z954" s="4">
        <f ca="1">('TUSD BE'!$AM$31+'TUSD BF'!$AM$31+'TUSD CVA'!$AM$31)*1</f>
        <v>1837.8896121132304</v>
      </c>
      <c r="AA954" s="4">
        <f>('TE BE'!$AA$10+'TE BF'!$AA$10+'TE CVA'!$AA$10)*1</f>
        <v>361.55013418411539</v>
      </c>
      <c r="AB954" s="4">
        <f>$K$954*$V$954</f>
        <v>0</v>
      </c>
      <c r="AC954" s="4">
        <f>$M$954*$W$954</f>
        <v>410172.91440000001</v>
      </c>
      <c r="AD954" s="4">
        <f>$O$954*$X$954</f>
        <v>95819.48000000001</v>
      </c>
      <c r="AE954" s="4">
        <f>$K$954*$Y$954</f>
        <v>0</v>
      </c>
      <c r="AF954" s="4">
        <f ca="1">$M$954*$Z$954</f>
        <v>481821.14071160456</v>
      </c>
      <c r="AG954" s="4">
        <f>$O$954*$AA$954</f>
        <v>94783.983177707705</v>
      </c>
    </row>
    <row r="955" spans="1:33" ht="11.25" customHeight="1" x14ac:dyDescent="0.25">
      <c r="A955" s="3" t="s">
        <v>28</v>
      </c>
      <c r="B955" s="3" t="s">
        <v>41</v>
      </c>
      <c r="C955" s="3" t="s">
        <v>42</v>
      </c>
      <c r="D955" s="3" t="s">
        <v>46</v>
      </c>
      <c r="E955" s="3" t="s">
        <v>25</v>
      </c>
      <c r="F955" s="3" t="s">
        <v>25</v>
      </c>
      <c r="G955" s="3" t="s">
        <v>25</v>
      </c>
      <c r="H955" s="3" t="s">
        <v>34</v>
      </c>
      <c r="I955" s="6">
        <v>44317</v>
      </c>
      <c r="J955" s="4">
        <v>0</v>
      </c>
      <c r="K955" s="4">
        <v>0</v>
      </c>
      <c r="L955" s="4">
        <v>33.372</v>
      </c>
      <c r="M955" s="4">
        <v>33.372</v>
      </c>
      <c r="N955" s="4">
        <v>33.372</v>
      </c>
      <c r="O955" s="4">
        <v>33.372</v>
      </c>
      <c r="P955" s="4">
        <v>0</v>
      </c>
      <c r="Q955" s="3" t="s">
        <v>26</v>
      </c>
      <c r="R955" s="3">
        <v>0</v>
      </c>
      <c r="S955" s="4">
        <v>0</v>
      </c>
      <c r="T955" s="4">
        <v>20</v>
      </c>
      <c r="U955" s="4">
        <v>88</v>
      </c>
      <c r="V955" s="4">
        <f>IF(ISERROR(VLOOKUP($S$955,'TAR FIN'!$A$1:$O$113,15,0)),0,VLOOKUP($S$955,'TAR FIN'!$A$1:$O$113,15,0))</f>
        <v>0</v>
      </c>
      <c r="W955" s="4">
        <f>IF(ISERROR(VLOOKUP($T$955,'TAR FIN'!$A$1:$O$113,15,0)),0,VLOOKUP($T$955,'TAR FIN'!$A$1:$O$113,15,0))</f>
        <v>1564.59</v>
      </c>
      <c r="X955" s="4">
        <f>IF(ISERROR(VLOOKUP($U$955,'TAR FIN'!$A$1:$O$113,15,0)),0,VLOOKUP($U$955,'TAR FIN'!$A$1:$O$113,15,0))</f>
        <v>365.5</v>
      </c>
      <c r="Y955" s="4"/>
      <c r="Z955" s="4">
        <f ca="1">('TUSD BE'!$AM$31+'TUSD BF'!$AM$31+'TUSD CVA'!$AM$31)*1</f>
        <v>1837.8896121132304</v>
      </c>
      <c r="AA955" s="4">
        <f>('TE BE'!$AA$10+'TE BF'!$AA$10+'TE CVA'!$AA$10)*1</f>
        <v>361.55013418411539</v>
      </c>
      <c r="AB955" s="4">
        <f>$K$955*$V$955</f>
        <v>0</v>
      </c>
      <c r="AC955" s="4">
        <f>$M$955*$W$955</f>
        <v>52213.497479999998</v>
      </c>
      <c r="AD955" s="4">
        <f>$O$955*$X$955</f>
        <v>12197.466</v>
      </c>
      <c r="AE955" s="4">
        <f>$K$955*$Y$955</f>
        <v>0</v>
      </c>
      <c r="AF955" s="4">
        <f ca="1">$M$955*$Z$955</f>
        <v>61334.052135442726</v>
      </c>
      <c r="AG955" s="4">
        <f>$O$955*$AA$955</f>
        <v>12065.651077992299</v>
      </c>
    </row>
    <row r="956" spans="1:33" ht="11.25" customHeight="1" x14ac:dyDescent="0.25">
      <c r="A956" s="3" t="s">
        <v>21</v>
      </c>
      <c r="B956" s="3" t="s">
        <v>41</v>
      </c>
      <c r="C956" s="3" t="s">
        <v>42</v>
      </c>
      <c r="D956" s="3" t="s">
        <v>46</v>
      </c>
      <c r="E956" s="3" t="s">
        <v>25</v>
      </c>
      <c r="F956" s="3" t="s">
        <v>25</v>
      </c>
      <c r="G956" s="3" t="s">
        <v>25</v>
      </c>
      <c r="H956" s="3" t="s">
        <v>34</v>
      </c>
      <c r="I956" s="6">
        <v>44348</v>
      </c>
      <c r="J956" s="4">
        <v>0</v>
      </c>
      <c r="K956" s="4">
        <v>0</v>
      </c>
      <c r="L956" s="4">
        <v>247.381</v>
      </c>
      <c r="M956" s="4">
        <v>247.381</v>
      </c>
      <c r="N956" s="4">
        <v>247.381</v>
      </c>
      <c r="O956" s="4">
        <v>247.381</v>
      </c>
      <c r="P956" s="4">
        <v>0</v>
      </c>
      <c r="Q956" s="3" t="s">
        <v>26</v>
      </c>
      <c r="R956" s="3">
        <v>0</v>
      </c>
      <c r="S956" s="4">
        <v>0</v>
      </c>
      <c r="T956" s="4">
        <v>20</v>
      </c>
      <c r="U956" s="4">
        <v>88</v>
      </c>
      <c r="V956" s="4">
        <f>IF(ISERROR(VLOOKUP($S$956,'TAR FIN'!$A$1:$O$113,15,0)),0,VLOOKUP($S$956,'TAR FIN'!$A$1:$O$113,15,0))</f>
        <v>0</v>
      </c>
      <c r="W956" s="4">
        <f>IF(ISERROR(VLOOKUP($T$956,'TAR FIN'!$A$1:$O$113,15,0)),0,VLOOKUP($T$956,'TAR FIN'!$A$1:$O$113,15,0))</f>
        <v>1564.59</v>
      </c>
      <c r="X956" s="4">
        <f>IF(ISERROR(VLOOKUP($U$956,'TAR FIN'!$A$1:$O$113,15,0)),0,VLOOKUP($U$956,'TAR FIN'!$A$1:$O$113,15,0))</f>
        <v>365.5</v>
      </c>
      <c r="Y956" s="4"/>
      <c r="Z956" s="4">
        <f ca="1">('TUSD BE'!$AM$31+'TUSD BF'!$AM$31+'TUSD CVA'!$AM$31)*1</f>
        <v>1837.8896121132304</v>
      </c>
      <c r="AA956" s="4">
        <f>('TE BE'!$AA$10+'TE BF'!$AA$10+'TE CVA'!$AA$10)*1</f>
        <v>361.55013418411539</v>
      </c>
      <c r="AB956" s="4">
        <f>$K$956*$V$956</f>
        <v>0</v>
      </c>
      <c r="AC956" s="4">
        <f>$M$956*$W$956</f>
        <v>387049.83879000001</v>
      </c>
      <c r="AD956" s="4">
        <f>$O$956*$X$956</f>
        <v>90417.755499999999</v>
      </c>
      <c r="AE956" s="4">
        <f>$K$956*$Y$956</f>
        <v>0</v>
      </c>
      <c r="AF956" s="4">
        <f ca="1">$M$956*$Z$956</f>
        <v>454658.97013418307</v>
      </c>
      <c r="AG956" s="4">
        <f>$O$956*$AA$956</f>
        <v>89440.633744600651</v>
      </c>
    </row>
    <row r="957" spans="1:33" ht="11.25" customHeight="1" x14ac:dyDescent="0.25">
      <c r="A957" s="3" t="s">
        <v>28</v>
      </c>
      <c r="B957" s="3" t="s">
        <v>41</v>
      </c>
      <c r="C957" s="3" t="s">
        <v>42</v>
      </c>
      <c r="D957" s="3" t="s">
        <v>46</v>
      </c>
      <c r="E957" s="3" t="s">
        <v>25</v>
      </c>
      <c r="F957" s="3" t="s">
        <v>25</v>
      </c>
      <c r="G957" s="3" t="s">
        <v>25</v>
      </c>
      <c r="H957" s="3" t="s">
        <v>34</v>
      </c>
      <c r="I957" s="6">
        <v>44348</v>
      </c>
      <c r="J957" s="4">
        <v>0</v>
      </c>
      <c r="K957" s="4">
        <v>0</v>
      </c>
      <c r="L957" s="4">
        <v>34.637</v>
      </c>
      <c r="M957" s="4">
        <v>34.637</v>
      </c>
      <c r="N957" s="4">
        <v>34.637</v>
      </c>
      <c r="O957" s="4">
        <v>34.637</v>
      </c>
      <c r="P957" s="4">
        <v>0</v>
      </c>
      <c r="Q957" s="3" t="s">
        <v>26</v>
      </c>
      <c r="R957" s="3">
        <v>0</v>
      </c>
      <c r="S957" s="4">
        <v>0</v>
      </c>
      <c r="T957" s="4">
        <v>20</v>
      </c>
      <c r="U957" s="4">
        <v>88</v>
      </c>
      <c r="V957" s="4">
        <f>IF(ISERROR(VLOOKUP($S$957,'TAR FIN'!$A$1:$O$113,15,0)),0,VLOOKUP($S$957,'TAR FIN'!$A$1:$O$113,15,0))</f>
        <v>0</v>
      </c>
      <c r="W957" s="4">
        <f>IF(ISERROR(VLOOKUP($T$957,'TAR FIN'!$A$1:$O$113,15,0)),0,VLOOKUP($T$957,'TAR FIN'!$A$1:$O$113,15,0))</f>
        <v>1564.59</v>
      </c>
      <c r="X957" s="4">
        <f>IF(ISERROR(VLOOKUP($U$957,'TAR FIN'!$A$1:$O$113,15,0)),0,VLOOKUP($U$957,'TAR FIN'!$A$1:$O$113,15,0))</f>
        <v>365.5</v>
      </c>
      <c r="Y957" s="4"/>
      <c r="Z957" s="4">
        <f ca="1">('TUSD BE'!$AM$31+'TUSD BF'!$AM$31+'TUSD CVA'!$AM$31)*1</f>
        <v>1837.8896121132304</v>
      </c>
      <c r="AA957" s="4">
        <f>('TE BE'!$AA$10+'TE BF'!$AA$10+'TE CVA'!$AA$10)*1</f>
        <v>361.55013418411539</v>
      </c>
      <c r="AB957" s="4">
        <f>$K$957*$V$957</f>
        <v>0</v>
      </c>
      <c r="AC957" s="4">
        <f>$M$957*$W$957</f>
        <v>54192.703829999999</v>
      </c>
      <c r="AD957" s="4">
        <f>$O$957*$X$957</f>
        <v>12659.8235</v>
      </c>
      <c r="AE957" s="4">
        <f>$K$957*$Y$957</f>
        <v>0</v>
      </c>
      <c r="AF957" s="4">
        <f ca="1">$M$957*$Z$957</f>
        <v>63658.982494765965</v>
      </c>
      <c r="AG957" s="4">
        <f>$O$957*$AA$957</f>
        <v>12523.011997735204</v>
      </c>
    </row>
    <row r="958" spans="1:33" ht="11.25" customHeight="1" x14ac:dyDescent="0.25">
      <c r="A958" s="3" t="s">
        <v>21</v>
      </c>
      <c r="B958" s="3" t="s">
        <v>41</v>
      </c>
      <c r="C958" s="3" t="s">
        <v>42</v>
      </c>
      <c r="D958" s="3" t="s">
        <v>46</v>
      </c>
      <c r="E958" s="3" t="s">
        <v>25</v>
      </c>
      <c r="F958" s="3" t="s">
        <v>25</v>
      </c>
      <c r="G958" s="3" t="s">
        <v>25</v>
      </c>
      <c r="H958" s="3" t="s">
        <v>34</v>
      </c>
      <c r="I958" s="6">
        <v>44378</v>
      </c>
      <c r="J958" s="4">
        <v>0</v>
      </c>
      <c r="K958" s="4">
        <v>0</v>
      </c>
      <c r="L958" s="4">
        <v>242.22</v>
      </c>
      <c r="M958" s="4">
        <v>242.22</v>
      </c>
      <c r="N958" s="4">
        <v>242.22</v>
      </c>
      <c r="O958" s="4">
        <v>242.22</v>
      </c>
      <c r="P958" s="4">
        <v>0</v>
      </c>
      <c r="Q958" s="3" t="s">
        <v>26</v>
      </c>
      <c r="R958" s="3">
        <v>0</v>
      </c>
      <c r="S958" s="4">
        <v>0</v>
      </c>
      <c r="T958" s="4">
        <v>20</v>
      </c>
      <c r="U958" s="4">
        <v>88</v>
      </c>
      <c r="V958" s="4">
        <f>IF(ISERROR(VLOOKUP($S$958,'TAR FIN'!$A$1:$O$113,15,0)),0,VLOOKUP($S$958,'TAR FIN'!$A$1:$O$113,15,0))</f>
        <v>0</v>
      </c>
      <c r="W958" s="4">
        <f>IF(ISERROR(VLOOKUP($T$958,'TAR FIN'!$A$1:$O$113,15,0)),0,VLOOKUP($T$958,'TAR FIN'!$A$1:$O$113,15,0))</f>
        <v>1564.59</v>
      </c>
      <c r="X958" s="4">
        <f>IF(ISERROR(VLOOKUP($U$958,'TAR FIN'!$A$1:$O$113,15,0)),0,VLOOKUP($U$958,'TAR FIN'!$A$1:$O$113,15,0))</f>
        <v>365.5</v>
      </c>
      <c r="Y958" s="4"/>
      <c r="Z958" s="4">
        <f ca="1">('TUSD BE'!$AM$31+'TUSD BF'!$AM$31+'TUSD CVA'!$AM$31)*1</f>
        <v>1837.8896121132304</v>
      </c>
      <c r="AA958" s="4">
        <f>('TE BE'!$AA$10+'TE BF'!$AA$10+'TE CVA'!$AA$10)*1</f>
        <v>361.55013418411539</v>
      </c>
      <c r="AB958" s="4">
        <f>$K$958*$V$958</f>
        <v>0</v>
      </c>
      <c r="AC958" s="4">
        <f>$M$958*$W$958</f>
        <v>378974.98979999998</v>
      </c>
      <c r="AD958" s="4">
        <f>$O$958*$X$958</f>
        <v>88531.41</v>
      </c>
      <c r="AE958" s="4">
        <f>$K$958*$Y$958</f>
        <v>0</v>
      </c>
      <c r="AF958" s="4">
        <f ca="1">$M$958*$Z$958</f>
        <v>445173.62184606667</v>
      </c>
      <c r="AG958" s="4">
        <f>$O$958*$AA$958</f>
        <v>87574.673502076432</v>
      </c>
    </row>
    <row r="959" spans="1:33" ht="11.25" customHeight="1" x14ac:dyDescent="0.25">
      <c r="A959" s="3" t="s">
        <v>28</v>
      </c>
      <c r="B959" s="3" t="s">
        <v>41</v>
      </c>
      <c r="C959" s="3" t="s">
        <v>42</v>
      </c>
      <c r="D959" s="3" t="s">
        <v>46</v>
      </c>
      <c r="E959" s="3" t="s">
        <v>25</v>
      </c>
      <c r="F959" s="3" t="s">
        <v>25</v>
      </c>
      <c r="G959" s="3" t="s">
        <v>25</v>
      </c>
      <c r="H959" s="3" t="s">
        <v>34</v>
      </c>
      <c r="I959" s="6">
        <v>44378</v>
      </c>
      <c r="J959" s="4">
        <v>0</v>
      </c>
      <c r="K959" s="4">
        <v>0</v>
      </c>
      <c r="L959" s="4">
        <v>34.957999999999998</v>
      </c>
      <c r="M959" s="4">
        <v>34.957999999999998</v>
      </c>
      <c r="N959" s="4">
        <v>34.957999999999998</v>
      </c>
      <c r="O959" s="4">
        <v>34.957999999999998</v>
      </c>
      <c r="P959" s="4">
        <v>0</v>
      </c>
      <c r="Q959" s="3" t="s">
        <v>26</v>
      </c>
      <c r="R959" s="3">
        <v>0</v>
      </c>
      <c r="S959" s="4">
        <v>0</v>
      </c>
      <c r="T959" s="4">
        <v>20</v>
      </c>
      <c r="U959" s="4">
        <v>88</v>
      </c>
      <c r="V959" s="4">
        <f>IF(ISERROR(VLOOKUP($S$959,'TAR FIN'!$A$1:$O$113,15,0)),0,VLOOKUP($S$959,'TAR FIN'!$A$1:$O$113,15,0))</f>
        <v>0</v>
      </c>
      <c r="W959" s="4">
        <f>IF(ISERROR(VLOOKUP($T$959,'TAR FIN'!$A$1:$O$113,15,0)),0,VLOOKUP($T$959,'TAR FIN'!$A$1:$O$113,15,0))</f>
        <v>1564.59</v>
      </c>
      <c r="X959" s="4">
        <f>IF(ISERROR(VLOOKUP($U$959,'TAR FIN'!$A$1:$O$113,15,0)),0,VLOOKUP($U$959,'TAR FIN'!$A$1:$O$113,15,0))</f>
        <v>365.5</v>
      </c>
      <c r="Y959" s="4"/>
      <c r="Z959" s="4">
        <f ca="1">('TUSD BE'!$AM$31+'TUSD BF'!$AM$31+'TUSD CVA'!$AM$31)*1</f>
        <v>1837.8896121132304</v>
      </c>
      <c r="AA959" s="4">
        <f>('TE BE'!$AA$10+'TE BF'!$AA$10+'TE CVA'!$AA$10)*1</f>
        <v>361.55013418411539</v>
      </c>
      <c r="AB959" s="4">
        <f>$K$959*$V$959</f>
        <v>0</v>
      </c>
      <c r="AC959" s="4">
        <f>$M$959*$W$959</f>
        <v>54694.937219999993</v>
      </c>
      <c r="AD959" s="4">
        <f>$O$959*$X$959</f>
        <v>12777.148999999999</v>
      </c>
      <c r="AE959" s="4">
        <f>$K$959*$Y$959</f>
        <v>0</v>
      </c>
      <c r="AF959" s="4">
        <f ca="1">$M$959*$Z$959</f>
        <v>64248.945060254307</v>
      </c>
      <c r="AG959" s="4">
        <f>$O$959*$AA$959</f>
        <v>12639.069590808305</v>
      </c>
    </row>
    <row r="960" spans="1:33" ht="11.25" customHeight="1" x14ac:dyDescent="0.25">
      <c r="A960" s="3" t="s">
        <v>21</v>
      </c>
      <c r="B960" s="3" t="s">
        <v>41</v>
      </c>
      <c r="C960" s="3" t="s">
        <v>42</v>
      </c>
      <c r="D960" s="3" t="s">
        <v>46</v>
      </c>
      <c r="E960" s="3" t="s">
        <v>25</v>
      </c>
      <c r="F960" s="3" t="s">
        <v>25</v>
      </c>
      <c r="G960" s="3" t="s">
        <v>25</v>
      </c>
      <c r="H960" s="3" t="s">
        <v>34</v>
      </c>
      <c r="I960" s="6">
        <v>44409</v>
      </c>
      <c r="J960" s="4">
        <v>0</v>
      </c>
      <c r="K960" s="4">
        <v>0</v>
      </c>
      <c r="L960" s="4">
        <v>253.83799999999999</v>
      </c>
      <c r="M960" s="4">
        <v>253.83799999999999</v>
      </c>
      <c r="N960" s="4">
        <v>253.83799999999999</v>
      </c>
      <c r="O960" s="4">
        <v>253.83799999999999</v>
      </c>
      <c r="P960" s="4">
        <v>0</v>
      </c>
      <c r="Q960" s="3" t="s">
        <v>26</v>
      </c>
      <c r="R960" s="3">
        <v>0</v>
      </c>
      <c r="S960" s="4">
        <v>0</v>
      </c>
      <c r="T960" s="4">
        <v>20</v>
      </c>
      <c r="U960" s="4">
        <v>88</v>
      </c>
      <c r="V960" s="4">
        <f>IF(ISERROR(VLOOKUP($S$960,'TAR FIN'!$A$1:$O$113,15,0)),0,VLOOKUP($S$960,'TAR FIN'!$A$1:$O$113,15,0))</f>
        <v>0</v>
      </c>
      <c r="W960" s="4">
        <f>IF(ISERROR(VLOOKUP($T$960,'TAR FIN'!$A$1:$O$113,15,0)),0,VLOOKUP($T$960,'TAR FIN'!$A$1:$O$113,15,0))</f>
        <v>1564.59</v>
      </c>
      <c r="X960" s="4">
        <f>IF(ISERROR(VLOOKUP($U$960,'TAR FIN'!$A$1:$O$113,15,0)),0,VLOOKUP($U$960,'TAR FIN'!$A$1:$O$113,15,0))</f>
        <v>365.5</v>
      </c>
      <c r="Y960" s="4"/>
      <c r="Z960" s="4">
        <f ca="1">('TUSD BE'!$AM$31+'TUSD BF'!$AM$31+'TUSD CVA'!$AM$31)*1</f>
        <v>1837.8896121132304</v>
      </c>
      <c r="AA960" s="4">
        <f>('TE BE'!$AA$10+'TE BF'!$AA$10+'TE CVA'!$AA$10)*1</f>
        <v>361.55013418411539</v>
      </c>
      <c r="AB960" s="4">
        <f>$K$960*$V$960</f>
        <v>0</v>
      </c>
      <c r="AC960" s="4">
        <f>$M$960*$W$960</f>
        <v>397152.39641999995</v>
      </c>
      <c r="AD960" s="4">
        <f>$O$960*$X$960</f>
        <v>92777.789000000004</v>
      </c>
      <c r="AE960" s="4">
        <f>$K$960*$Y$960</f>
        <v>0</v>
      </c>
      <c r="AF960" s="4">
        <f ca="1">$M$960*$Z$960</f>
        <v>466526.2233595982</v>
      </c>
      <c r="AG960" s="4">
        <f>$O$960*$AA$960</f>
        <v>91775.162961027483</v>
      </c>
    </row>
    <row r="961" spans="1:33" ht="11.25" customHeight="1" x14ac:dyDescent="0.25">
      <c r="A961" s="3" t="s">
        <v>28</v>
      </c>
      <c r="B961" s="3" t="s">
        <v>41</v>
      </c>
      <c r="C961" s="3" t="s">
        <v>42</v>
      </c>
      <c r="D961" s="3" t="s">
        <v>46</v>
      </c>
      <c r="E961" s="3" t="s">
        <v>25</v>
      </c>
      <c r="F961" s="3" t="s">
        <v>25</v>
      </c>
      <c r="G961" s="3" t="s">
        <v>25</v>
      </c>
      <c r="H961" s="3" t="s">
        <v>34</v>
      </c>
      <c r="I961" s="6">
        <v>44409</v>
      </c>
      <c r="J961" s="4">
        <v>0</v>
      </c>
      <c r="K961" s="4">
        <v>0</v>
      </c>
      <c r="L961" s="4">
        <v>35.442999999999998</v>
      </c>
      <c r="M961" s="4">
        <v>35.442999999999998</v>
      </c>
      <c r="N961" s="4">
        <v>35.442999999999998</v>
      </c>
      <c r="O961" s="4">
        <v>35.442999999999998</v>
      </c>
      <c r="P961" s="4">
        <v>0</v>
      </c>
      <c r="Q961" s="3" t="s">
        <v>26</v>
      </c>
      <c r="R961" s="3">
        <v>0</v>
      </c>
      <c r="S961" s="4">
        <v>0</v>
      </c>
      <c r="T961" s="4">
        <v>20</v>
      </c>
      <c r="U961" s="4">
        <v>88</v>
      </c>
      <c r="V961" s="4">
        <f>IF(ISERROR(VLOOKUP($S$961,'TAR FIN'!$A$1:$O$113,15,0)),0,VLOOKUP($S$961,'TAR FIN'!$A$1:$O$113,15,0))</f>
        <v>0</v>
      </c>
      <c r="W961" s="4">
        <f>IF(ISERROR(VLOOKUP($T$961,'TAR FIN'!$A$1:$O$113,15,0)),0,VLOOKUP($T$961,'TAR FIN'!$A$1:$O$113,15,0))</f>
        <v>1564.59</v>
      </c>
      <c r="X961" s="4">
        <f>IF(ISERROR(VLOOKUP($U$961,'TAR FIN'!$A$1:$O$113,15,0)),0,VLOOKUP($U$961,'TAR FIN'!$A$1:$O$113,15,0))</f>
        <v>365.5</v>
      </c>
      <c r="Y961" s="4"/>
      <c r="Z961" s="4">
        <f ca="1">('TUSD BE'!$AM$31+'TUSD BF'!$AM$31+'TUSD CVA'!$AM$31)*1</f>
        <v>1837.8896121132304</v>
      </c>
      <c r="AA961" s="4">
        <f>('TE BE'!$AA$10+'TE BF'!$AA$10+'TE CVA'!$AA$10)*1</f>
        <v>361.55013418411539</v>
      </c>
      <c r="AB961" s="4">
        <f>$K$961*$V$961</f>
        <v>0</v>
      </c>
      <c r="AC961" s="4">
        <f>$M$961*$W$961</f>
        <v>55453.763369999993</v>
      </c>
      <c r="AD961" s="4">
        <f>$O$961*$X$961</f>
        <v>12954.416499999999</v>
      </c>
      <c r="AE961" s="4">
        <f>$K$961*$Y$961</f>
        <v>0</v>
      </c>
      <c r="AF961" s="4">
        <f ca="1">$M$961*$Z$961</f>
        <v>65140.321522129219</v>
      </c>
      <c r="AG961" s="4">
        <f>$O$961*$AA$961</f>
        <v>12814.4214058876</v>
      </c>
    </row>
    <row r="962" spans="1:33" ht="11.25" customHeight="1" x14ac:dyDescent="0.25">
      <c r="A962" s="3" t="s">
        <v>21</v>
      </c>
      <c r="B962" s="3" t="s">
        <v>41</v>
      </c>
      <c r="C962" s="3" t="s">
        <v>42</v>
      </c>
      <c r="D962" s="3" t="s">
        <v>46</v>
      </c>
      <c r="E962" s="3" t="s">
        <v>25</v>
      </c>
      <c r="F962" s="3" t="s">
        <v>25</v>
      </c>
      <c r="G962" s="3" t="s">
        <v>25</v>
      </c>
      <c r="H962" s="3" t="s">
        <v>34</v>
      </c>
      <c r="I962" s="6">
        <v>44440</v>
      </c>
      <c r="J962" s="4">
        <v>0</v>
      </c>
      <c r="K962" s="4">
        <v>0</v>
      </c>
      <c r="L962" s="4">
        <v>262.44099999999997</v>
      </c>
      <c r="M962" s="4">
        <v>262.44099999999997</v>
      </c>
      <c r="N962" s="4">
        <v>262.44099999999997</v>
      </c>
      <c r="O962" s="4">
        <v>262.44099999999997</v>
      </c>
      <c r="P962" s="4">
        <v>0</v>
      </c>
      <c r="Q962" s="3" t="s">
        <v>26</v>
      </c>
      <c r="R962" s="3">
        <v>0</v>
      </c>
      <c r="S962" s="4">
        <v>0</v>
      </c>
      <c r="T962" s="4">
        <v>20</v>
      </c>
      <c r="U962" s="4">
        <v>88</v>
      </c>
      <c r="V962" s="4">
        <f>IF(ISERROR(VLOOKUP($S$962,'TAR FIN'!$A$1:$O$113,15,0)),0,VLOOKUP($S$962,'TAR FIN'!$A$1:$O$113,15,0))</f>
        <v>0</v>
      </c>
      <c r="W962" s="4">
        <f>IF(ISERROR(VLOOKUP($T$962,'TAR FIN'!$A$1:$O$113,15,0)),0,VLOOKUP($T$962,'TAR FIN'!$A$1:$O$113,15,0))</f>
        <v>1564.59</v>
      </c>
      <c r="X962" s="4">
        <f>IF(ISERROR(VLOOKUP($U$962,'TAR FIN'!$A$1:$O$113,15,0)),0,VLOOKUP($U$962,'TAR FIN'!$A$1:$O$113,15,0))</f>
        <v>365.5</v>
      </c>
      <c r="Y962" s="4"/>
      <c r="Z962" s="4">
        <f ca="1">('TUSD BE'!$AM$31+'TUSD BF'!$AM$31+'TUSD CVA'!$AM$31)*1</f>
        <v>1837.8896121132304</v>
      </c>
      <c r="AA962" s="4">
        <f>('TE BE'!$AA$10+'TE BF'!$AA$10+'TE CVA'!$AA$10)*1</f>
        <v>361.55013418411539</v>
      </c>
      <c r="AB962" s="4">
        <f>$K$962*$V$962</f>
        <v>0</v>
      </c>
      <c r="AC962" s="4">
        <f>$M$962*$W$962</f>
        <v>410612.56418999995</v>
      </c>
      <c r="AD962" s="4">
        <f>$O$962*$X$962</f>
        <v>95922.185499999992</v>
      </c>
      <c r="AE962" s="4">
        <f>$K$962*$Y$962</f>
        <v>0</v>
      </c>
      <c r="AF962" s="4">
        <f ca="1">$M$962*$Z$962</f>
        <v>482337.58769260824</v>
      </c>
      <c r="AG962" s="4">
        <f>$O$962*$AA$962</f>
        <v>94885.578765413418</v>
      </c>
    </row>
    <row r="963" spans="1:33" ht="11.25" customHeight="1" x14ac:dyDescent="0.25">
      <c r="A963" s="3" t="s">
        <v>28</v>
      </c>
      <c r="B963" s="3" t="s">
        <v>41</v>
      </c>
      <c r="C963" s="3" t="s">
        <v>42</v>
      </c>
      <c r="D963" s="3" t="s">
        <v>46</v>
      </c>
      <c r="E963" s="3" t="s">
        <v>25</v>
      </c>
      <c r="F963" s="3" t="s">
        <v>25</v>
      </c>
      <c r="G963" s="3" t="s">
        <v>25</v>
      </c>
      <c r="H963" s="3" t="s">
        <v>34</v>
      </c>
      <c r="I963" s="6">
        <v>44440</v>
      </c>
      <c r="J963" s="4">
        <v>0</v>
      </c>
      <c r="K963" s="4">
        <v>0</v>
      </c>
      <c r="L963" s="4">
        <v>37.533999999999999</v>
      </c>
      <c r="M963" s="4">
        <v>37.533999999999999</v>
      </c>
      <c r="N963" s="4">
        <v>37.533999999999999</v>
      </c>
      <c r="O963" s="4">
        <v>37.533999999999999</v>
      </c>
      <c r="P963" s="4">
        <v>0</v>
      </c>
      <c r="Q963" s="3" t="s">
        <v>26</v>
      </c>
      <c r="R963" s="3">
        <v>0</v>
      </c>
      <c r="S963" s="4">
        <v>0</v>
      </c>
      <c r="T963" s="4">
        <v>20</v>
      </c>
      <c r="U963" s="4">
        <v>88</v>
      </c>
      <c r="V963" s="4">
        <f>IF(ISERROR(VLOOKUP($S$963,'TAR FIN'!$A$1:$O$113,15,0)),0,VLOOKUP($S$963,'TAR FIN'!$A$1:$O$113,15,0))</f>
        <v>0</v>
      </c>
      <c r="W963" s="4">
        <f>IF(ISERROR(VLOOKUP($T$963,'TAR FIN'!$A$1:$O$113,15,0)),0,VLOOKUP($T$963,'TAR FIN'!$A$1:$O$113,15,0))</f>
        <v>1564.59</v>
      </c>
      <c r="X963" s="4">
        <f>IF(ISERROR(VLOOKUP($U$963,'TAR FIN'!$A$1:$O$113,15,0)),0,VLOOKUP($U$963,'TAR FIN'!$A$1:$O$113,15,0))</f>
        <v>365.5</v>
      </c>
      <c r="Y963" s="4"/>
      <c r="Z963" s="4">
        <f ca="1">('TUSD BE'!$AM$31+'TUSD BF'!$AM$31+'TUSD CVA'!$AM$31)*1</f>
        <v>1837.8896121132304</v>
      </c>
      <c r="AA963" s="4">
        <f>('TE BE'!$AA$10+'TE BF'!$AA$10+'TE CVA'!$AA$10)*1</f>
        <v>361.55013418411539</v>
      </c>
      <c r="AB963" s="4">
        <f>$K$963*$V$963</f>
        <v>0</v>
      </c>
      <c r="AC963" s="4">
        <f>$M$963*$W$963</f>
        <v>58725.321059999995</v>
      </c>
      <c r="AD963" s="4">
        <f>$O$963*$X$963</f>
        <v>13718.677</v>
      </c>
      <c r="AE963" s="4">
        <f>$K$963*$Y$963</f>
        <v>0</v>
      </c>
      <c r="AF963" s="4">
        <f ca="1">$M$963*$Z$963</f>
        <v>68983.348701057985</v>
      </c>
      <c r="AG963" s="4">
        <f>$O$963*$AA$963</f>
        <v>13570.422736466588</v>
      </c>
    </row>
    <row r="964" spans="1:33" ht="11.25" customHeight="1" x14ac:dyDescent="0.25">
      <c r="A964" s="3" t="s">
        <v>21</v>
      </c>
      <c r="B964" s="3" t="s">
        <v>41</v>
      </c>
      <c r="C964" s="3" t="s">
        <v>42</v>
      </c>
      <c r="D964" s="3" t="s">
        <v>46</v>
      </c>
      <c r="E964" s="3" t="s">
        <v>25</v>
      </c>
      <c r="F964" s="3" t="s">
        <v>25</v>
      </c>
      <c r="G964" s="3" t="s">
        <v>25</v>
      </c>
      <c r="H964" s="3" t="s">
        <v>34</v>
      </c>
      <c r="I964" s="6">
        <v>44470</v>
      </c>
      <c r="J964" s="4">
        <v>0</v>
      </c>
      <c r="K964" s="4">
        <v>0</v>
      </c>
      <c r="L964" s="4">
        <v>278.59199999999998</v>
      </c>
      <c r="M964" s="4">
        <v>278.59199999999998</v>
      </c>
      <c r="N964" s="4">
        <v>278.59199999999998</v>
      </c>
      <c r="O964" s="4">
        <v>278.59199999999998</v>
      </c>
      <c r="P964" s="4">
        <v>0</v>
      </c>
      <c r="Q964" s="3" t="s">
        <v>26</v>
      </c>
      <c r="R964" s="3">
        <v>0</v>
      </c>
      <c r="S964" s="4">
        <v>0</v>
      </c>
      <c r="T964" s="4">
        <v>20</v>
      </c>
      <c r="U964" s="4">
        <v>88</v>
      </c>
      <c r="V964" s="4">
        <f>IF(ISERROR(VLOOKUP($S$964,'TAR FIN'!$A$1:$O$113,15,0)),0,VLOOKUP($S$964,'TAR FIN'!$A$1:$O$113,15,0))</f>
        <v>0</v>
      </c>
      <c r="W964" s="4">
        <f>IF(ISERROR(VLOOKUP($T$964,'TAR FIN'!$A$1:$O$113,15,0)),0,VLOOKUP($T$964,'TAR FIN'!$A$1:$O$113,15,0))</f>
        <v>1564.59</v>
      </c>
      <c r="X964" s="4">
        <f>IF(ISERROR(VLOOKUP($U$964,'TAR FIN'!$A$1:$O$113,15,0)),0,VLOOKUP($U$964,'TAR FIN'!$A$1:$O$113,15,0))</f>
        <v>365.5</v>
      </c>
      <c r="Y964" s="4"/>
      <c r="Z964" s="4">
        <f ca="1">('TUSD BE'!$AM$31+'TUSD BF'!$AM$31+'TUSD CVA'!$AM$31)*1</f>
        <v>1837.8896121132304</v>
      </c>
      <c r="AA964" s="4">
        <f>('TE BE'!$AA$10+'TE BF'!$AA$10+'TE CVA'!$AA$10)*1</f>
        <v>361.55013418411539</v>
      </c>
      <c r="AB964" s="4">
        <f>$K$964*$V$964</f>
        <v>0</v>
      </c>
      <c r="AC964" s="4">
        <f>$M$964*$W$964</f>
        <v>435882.25727999996</v>
      </c>
      <c r="AD964" s="4">
        <f>$O$964*$X$964</f>
        <v>101825.37599999999</v>
      </c>
      <c r="AE964" s="4">
        <f>$K$964*$Y$964</f>
        <v>0</v>
      </c>
      <c r="AF964" s="4">
        <f ca="1">$M$964*$Z$964</f>
        <v>512021.34281784907</v>
      </c>
      <c r="AG964" s="4">
        <f>$O$964*$AA$964</f>
        <v>100724.97498262108</v>
      </c>
    </row>
    <row r="965" spans="1:33" ht="11.25" customHeight="1" x14ac:dyDescent="0.25">
      <c r="A965" s="3" t="s">
        <v>28</v>
      </c>
      <c r="B965" s="3" t="s">
        <v>41</v>
      </c>
      <c r="C965" s="3" t="s">
        <v>42</v>
      </c>
      <c r="D965" s="3" t="s">
        <v>46</v>
      </c>
      <c r="E965" s="3" t="s">
        <v>25</v>
      </c>
      <c r="F965" s="3" t="s">
        <v>25</v>
      </c>
      <c r="G965" s="3" t="s">
        <v>25</v>
      </c>
      <c r="H965" s="3" t="s">
        <v>34</v>
      </c>
      <c r="I965" s="6">
        <v>44470</v>
      </c>
      <c r="J965" s="4">
        <v>0</v>
      </c>
      <c r="K965" s="4">
        <v>0</v>
      </c>
      <c r="L965" s="4">
        <v>39.609000000000002</v>
      </c>
      <c r="M965" s="4">
        <v>39.609000000000002</v>
      </c>
      <c r="N965" s="4">
        <v>39.609000000000002</v>
      </c>
      <c r="O965" s="4">
        <v>39.609000000000002</v>
      </c>
      <c r="P965" s="4">
        <v>0</v>
      </c>
      <c r="Q965" s="3" t="s">
        <v>26</v>
      </c>
      <c r="R965" s="3">
        <v>0</v>
      </c>
      <c r="S965" s="4">
        <v>0</v>
      </c>
      <c r="T965" s="4">
        <v>20</v>
      </c>
      <c r="U965" s="4">
        <v>88</v>
      </c>
      <c r="V965" s="4">
        <f>IF(ISERROR(VLOOKUP($S$965,'TAR FIN'!$A$1:$O$113,15,0)),0,VLOOKUP($S$965,'TAR FIN'!$A$1:$O$113,15,0))</f>
        <v>0</v>
      </c>
      <c r="W965" s="4">
        <f>IF(ISERROR(VLOOKUP($T$965,'TAR FIN'!$A$1:$O$113,15,0)),0,VLOOKUP($T$965,'TAR FIN'!$A$1:$O$113,15,0))</f>
        <v>1564.59</v>
      </c>
      <c r="X965" s="4">
        <f>IF(ISERROR(VLOOKUP($U$965,'TAR FIN'!$A$1:$O$113,15,0)),0,VLOOKUP($U$965,'TAR FIN'!$A$1:$O$113,15,0))</f>
        <v>365.5</v>
      </c>
      <c r="Y965" s="4"/>
      <c r="Z965" s="4">
        <f ca="1">('TUSD BE'!$AM$31+'TUSD BF'!$AM$31+'TUSD CVA'!$AM$31)*1</f>
        <v>1837.8896121132304</v>
      </c>
      <c r="AA965" s="4">
        <f>('TE BE'!$AA$10+'TE BF'!$AA$10+'TE CVA'!$AA$10)*1</f>
        <v>361.55013418411539</v>
      </c>
      <c r="AB965" s="4">
        <f>$K$965*$V$965</f>
        <v>0</v>
      </c>
      <c r="AC965" s="4">
        <f>$M$965*$W$965</f>
        <v>61971.845309999997</v>
      </c>
      <c r="AD965" s="4">
        <f>$O$965*$X$965</f>
        <v>14477.0895</v>
      </c>
      <c r="AE965" s="4">
        <f>$K$965*$Y$965</f>
        <v>0</v>
      </c>
      <c r="AF965" s="4">
        <f ca="1">$M$965*$Z$965</f>
        <v>72796.969646192942</v>
      </c>
      <c r="AG965" s="4">
        <f>$O$965*$AA$965</f>
        <v>14320.639264898628</v>
      </c>
    </row>
    <row r="966" spans="1:33" ht="11.25" customHeight="1" x14ac:dyDescent="0.25">
      <c r="A966" s="3" t="s">
        <v>21</v>
      </c>
      <c r="B966" s="3" t="s">
        <v>41</v>
      </c>
      <c r="C966" s="3" t="s">
        <v>42</v>
      </c>
      <c r="D966" s="3" t="s">
        <v>46</v>
      </c>
      <c r="E966" s="3" t="s">
        <v>25</v>
      </c>
      <c r="F966" s="3" t="s">
        <v>25</v>
      </c>
      <c r="G966" s="3" t="s">
        <v>25</v>
      </c>
      <c r="H966" s="3" t="s">
        <v>34</v>
      </c>
      <c r="I966" s="6">
        <v>44501</v>
      </c>
      <c r="J966" s="4">
        <v>0</v>
      </c>
      <c r="K966" s="4">
        <v>0</v>
      </c>
      <c r="L966" s="4">
        <v>312.45400000000001</v>
      </c>
      <c r="M966" s="4">
        <v>312.45400000000001</v>
      </c>
      <c r="N966" s="4">
        <v>312.45400000000001</v>
      </c>
      <c r="O966" s="4">
        <v>312.45400000000001</v>
      </c>
      <c r="P966" s="4">
        <v>0</v>
      </c>
      <c r="Q966" s="3" t="s">
        <v>26</v>
      </c>
      <c r="R966" s="3">
        <v>0</v>
      </c>
      <c r="S966" s="4">
        <v>0</v>
      </c>
      <c r="T966" s="4">
        <v>20</v>
      </c>
      <c r="U966" s="4">
        <v>88</v>
      </c>
      <c r="V966" s="4">
        <f>IF(ISERROR(VLOOKUP($S$966,'TAR FIN'!$A$1:$O$113,15,0)),0,VLOOKUP($S$966,'TAR FIN'!$A$1:$O$113,15,0))</f>
        <v>0</v>
      </c>
      <c r="W966" s="4">
        <f>IF(ISERROR(VLOOKUP($T$966,'TAR FIN'!$A$1:$O$113,15,0)),0,VLOOKUP($T$966,'TAR FIN'!$A$1:$O$113,15,0))</f>
        <v>1564.59</v>
      </c>
      <c r="X966" s="4">
        <f>IF(ISERROR(VLOOKUP($U$966,'TAR FIN'!$A$1:$O$113,15,0)),0,VLOOKUP($U$966,'TAR FIN'!$A$1:$O$113,15,0))</f>
        <v>365.5</v>
      </c>
      <c r="Y966" s="4"/>
      <c r="Z966" s="4">
        <f ca="1">('TUSD BE'!$AM$31+'TUSD BF'!$AM$31+'TUSD CVA'!$AM$31)*1</f>
        <v>1837.8896121132304</v>
      </c>
      <c r="AA966" s="4">
        <f>('TE BE'!$AA$10+'TE BF'!$AA$10+'TE CVA'!$AA$10)*1</f>
        <v>361.55013418411539</v>
      </c>
      <c r="AB966" s="4">
        <f>$K$966*$V$966</f>
        <v>0</v>
      </c>
      <c r="AC966" s="4">
        <f>$M$966*$W$966</f>
        <v>488862.40385999996</v>
      </c>
      <c r="AD966" s="4">
        <f>$O$966*$X$966</f>
        <v>114201.93700000001</v>
      </c>
      <c r="AE966" s="4">
        <f>$K$966*$Y$966</f>
        <v>0</v>
      </c>
      <c r="AF966" s="4">
        <f ca="1">$M$966*$Z$966</f>
        <v>574255.96086322737</v>
      </c>
      <c r="AG966" s="4">
        <f>$O$966*$AA$966</f>
        <v>112967.78562636359</v>
      </c>
    </row>
    <row r="967" spans="1:33" ht="11.25" customHeight="1" x14ac:dyDescent="0.25">
      <c r="A967" s="3" t="s">
        <v>28</v>
      </c>
      <c r="B967" s="3" t="s">
        <v>41</v>
      </c>
      <c r="C967" s="3" t="s">
        <v>42</v>
      </c>
      <c r="D967" s="3" t="s">
        <v>46</v>
      </c>
      <c r="E967" s="3" t="s">
        <v>25</v>
      </c>
      <c r="F967" s="3" t="s">
        <v>25</v>
      </c>
      <c r="G967" s="3" t="s">
        <v>25</v>
      </c>
      <c r="H967" s="3" t="s">
        <v>34</v>
      </c>
      <c r="I967" s="6">
        <v>44501</v>
      </c>
      <c r="J967" s="4">
        <v>0</v>
      </c>
      <c r="K967" s="4">
        <v>0</v>
      </c>
      <c r="L967" s="4">
        <v>41.402000000000001</v>
      </c>
      <c r="M967" s="4">
        <v>41.402000000000001</v>
      </c>
      <c r="N967" s="4">
        <v>41.402000000000001</v>
      </c>
      <c r="O967" s="4">
        <v>41.402000000000001</v>
      </c>
      <c r="P967" s="4">
        <v>0</v>
      </c>
      <c r="Q967" s="3" t="s">
        <v>26</v>
      </c>
      <c r="R967" s="3">
        <v>0</v>
      </c>
      <c r="S967" s="4">
        <v>0</v>
      </c>
      <c r="T967" s="4">
        <v>20</v>
      </c>
      <c r="U967" s="4">
        <v>88</v>
      </c>
      <c r="V967" s="4">
        <f>IF(ISERROR(VLOOKUP($S$967,'TAR FIN'!$A$1:$O$113,15,0)),0,VLOOKUP($S$967,'TAR FIN'!$A$1:$O$113,15,0))</f>
        <v>0</v>
      </c>
      <c r="W967" s="4">
        <f>IF(ISERROR(VLOOKUP($T$967,'TAR FIN'!$A$1:$O$113,15,0)),0,VLOOKUP($T$967,'TAR FIN'!$A$1:$O$113,15,0))</f>
        <v>1564.59</v>
      </c>
      <c r="X967" s="4">
        <f>IF(ISERROR(VLOOKUP($U$967,'TAR FIN'!$A$1:$O$113,15,0)),0,VLOOKUP($U$967,'TAR FIN'!$A$1:$O$113,15,0))</f>
        <v>365.5</v>
      </c>
      <c r="Y967" s="4"/>
      <c r="Z967" s="4">
        <f ca="1">('TUSD BE'!$AM$31+'TUSD BF'!$AM$31+'TUSD CVA'!$AM$31)*1</f>
        <v>1837.8896121132304</v>
      </c>
      <c r="AA967" s="4">
        <f>('TE BE'!$AA$10+'TE BF'!$AA$10+'TE CVA'!$AA$10)*1</f>
        <v>361.55013418411539</v>
      </c>
      <c r="AB967" s="4">
        <f>$K$967*$V$967</f>
        <v>0</v>
      </c>
      <c r="AC967" s="4">
        <f>$M$967*$W$967</f>
        <v>64777.155180000002</v>
      </c>
      <c r="AD967" s="4">
        <f>$O$967*$X$967</f>
        <v>15132.431</v>
      </c>
      <c r="AE967" s="4">
        <f>$K$967*$Y$967</f>
        <v>0</v>
      </c>
      <c r="AF967" s="4">
        <f ca="1">$M$967*$Z$967</f>
        <v>76092.305720711971</v>
      </c>
      <c r="AG967" s="4">
        <f>$O$967*$AA$967</f>
        <v>14968.898655490746</v>
      </c>
    </row>
    <row r="968" spans="1:33" ht="11.25" customHeight="1" x14ac:dyDescent="0.25">
      <c r="A968" s="3" t="s">
        <v>21</v>
      </c>
      <c r="B968" s="3" t="s">
        <v>41</v>
      </c>
      <c r="C968" s="3" t="s">
        <v>42</v>
      </c>
      <c r="D968" s="3" t="s">
        <v>46</v>
      </c>
      <c r="E968" s="3" t="s">
        <v>25</v>
      </c>
      <c r="F968" s="3" t="s">
        <v>25</v>
      </c>
      <c r="G968" s="3" t="s">
        <v>25</v>
      </c>
      <c r="H968" s="3" t="s">
        <v>34</v>
      </c>
      <c r="I968" s="6">
        <v>44531</v>
      </c>
      <c r="J968" s="4">
        <v>0</v>
      </c>
      <c r="K968" s="4">
        <v>0</v>
      </c>
      <c r="L968" s="4">
        <v>338.34800000000001</v>
      </c>
      <c r="M968" s="4">
        <v>338.34800000000001</v>
      </c>
      <c r="N968" s="4">
        <v>338.34800000000001</v>
      </c>
      <c r="O968" s="4">
        <v>338.34800000000001</v>
      </c>
      <c r="P968" s="4">
        <v>0</v>
      </c>
      <c r="Q968" s="3" t="s">
        <v>26</v>
      </c>
      <c r="R968" s="3">
        <v>0</v>
      </c>
      <c r="S968" s="4">
        <v>0</v>
      </c>
      <c r="T968" s="4">
        <v>20</v>
      </c>
      <c r="U968" s="4">
        <v>88</v>
      </c>
      <c r="V968" s="4">
        <f>IF(ISERROR(VLOOKUP($S$968,'TAR FIN'!$A$1:$O$113,15,0)),0,VLOOKUP($S$968,'TAR FIN'!$A$1:$O$113,15,0))</f>
        <v>0</v>
      </c>
      <c r="W968" s="4">
        <f>IF(ISERROR(VLOOKUP($T$968,'TAR FIN'!$A$1:$O$113,15,0)),0,VLOOKUP($T$968,'TAR FIN'!$A$1:$O$113,15,0))</f>
        <v>1564.59</v>
      </c>
      <c r="X968" s="4">
        <f>IF(ISERROR(VLOOKUP($U$968,'TAR FIN'!$A$1:$O$113,15,0)),0,VLOOKUP($U$968,'TAR FIN'!$A$1:$O$113,15,0))</f>
        <v>365.5</v>
      </c>
      <c r="Y968" s="4"/>
      <c r="Z968" s="4">
        <f ca="1">('TUSD BE'!$AM$31+'TUSD BF'!$AM$31+'TUSD CVA'!$AM$31)*1</f>
        <v>1837.8896121132304</v>
      </c>
      <c r="AA968" s="4">
        <f>('TE BE'!$AA$10+'TE BF'!$AA$10+'TE CVA'!$AA$10)*1</f>
        <v>361.55013418411539</v>
      </c>
      <c r="AB968" s="4">
        <f>$K$968*$V$968</f>
        <v>0</v>
      </c>
      <c r="AC968" s="4">
        <f>$M$968*$W$968</f>
        <v>529375.89731999999</v>
      </c>
      <c r="AD968" s="4">
        <f>$O$968*$X$968</f>
        <v>123666.194</v>
      </c>
      <c r="AE968" s="4">
        <f>$K$968*$Y$968</f>
        <v>0</v>
      </c>
      <c r="AF968" s="4">
        <f ca="1">$M$968*$Z$968</f>
        <v>621846.27447928733</v>
      </c>
      <c r="AG968" s="4">
        <f>$O$968*$AA$968</f>
        <v>122329.76480092708</v>
      </c>
    </row>
    <row r="969" spans="1:33" ht="11.25" customHeight="1" x14ac:dyDescent="0.25">
      <c r="A969" s="3" t="s">
        <v>28</v>
      </c>
      <c r="B969" s="3" t="s">
        <v>41</v>
      </c>
      <c r="C969" s="3" t="s">
        <v>42</v>
      </c>
      <c r="D969" s="3" t="s">
        <v>46</v>
      </c>
      <c r="E969" s="3" t="s">
        <v>25</v>
      </c>
      <c r="F969" s="3" t="s">
        <v>25</v>
      </c>
      <c r="G969" s="3" t="s">
        <v>25</v>
      </c>
      <c r="H969" s="3" t="s">
        <v>34</v>
      </c>
      <c r="I969" s="6">
        <v>44531</v>
      </c>
      <c r="J969" s="4">
        <v>0</v>
      </c>
      <c r="K969" s="4">
        <v>0</v>
      </c>
      <c r="L969" s="4">
        <v>48.518999999999998</v>
      </c>
      <c r="M969" s="4">
        <v>48.518999999999998</v>
      </c>
      <c r="N969" s="4">
        <v>48.518999999999998</v>
      </c>
      <c r="O969" s="4">
        <v>48.518999999999998</v>
      </c>
      <c r="P969" s="4">
        <v>0</v>
      </c>
      <c r="Q969" s="3" t="s">
        <v>26</v>
      </c>
      <c r="R969" s="3">
        <v>0</v>
      </c>
      <c r="S969" s="4">
        <v>0</v>
      </c>
      <c r="T969" s="4">
        <v>20</v>
      </c>
      <c r="U969" s="4">
        <v>88</v>
      </c>
      <c r="V969" s="4">
        <f>IF(ISERROR(VLOOKUP($S$969,'TAR FIN'!$A$1:$O$113,15,0)),0,VLOOKUP($S$969,'TAR FIN'!$A$1:$O$113,15,0))</f>
        <v>0</v>
      </c>
      <c r="W969" s="4">
        <f>IF(ISERROR(VLOOKUP($T$969,'TAR FIN'!$A$1:$O$113,15,0)),0,VLOOKUP($T$969,'TAR FIN'!$A$1:$O$113,15,0))</f>
        <v>1564.59</v>
      </c>
      <c r="X969" s="4">
        <f>IF(ISERROR(VLOOKUP($U$969,'TAR FIN'!$A$1:$O$113,15,0)),0,VLOOKUP($U$969,'TAR FIN'!$A$1:$O$113,15,0))</f>
        <v>365.5</v>
      </c>
      <c r="Y969" s="4"/>
      <c r="Z969" s="4">
        <f ca="1">('TUSD BE'!$AM$31+'TUSD BF'!$AM$31+'TUSD CVA'!$AM$31)*1</f>
        <v>1837.8896121132304</v>
      </c>
      <c r="AA969" s="4">
        <f>('TE BE'!$AA$10+'TE BF'!$AA$10+'TE CVA'!$AA$10)*1</f>
        <v>361.55013418411539</v>
      </c>
      <c r="AB969" s="4">
        <f>$K$969*$V$969</f>
        <v>0</v>
      </c>
      <c r="AC969" s="4">
        <f>$M$969*$W$969</f>
        <v>75912.342209999988</v>
      </c>
      <c r="AD969" s="4">
        <f>$O$969*$X$969</f>
        <v>17733.694499999998</v>
      </c>
      <c r="AE969" s="4">
        <f>$K$969*$Y$969</f>
        <v>0</v>
      </c>
      <c r="AF969" s="4">
        <f ca="1">$M$969*$Z$969</f>
        <v>89172.566090121822</v>
      </c>
      <c r="AG969" s="4">
        <f>$O$969*$AA$969</f>
        <v>17542.050960479093</v>
      </c>
    </row>
    <row r="970" spans="1:33" ht="11.25" customHeight="1" x14ac:dyDescent="0.25">
      <c r="A970" s="3" t="s">
        <v>21</v>
      </c>
      <c r="B970" s="3" t="s">
        <v>41</v>
      </c>
      <c r="C970" s="3" t="s">
        <v>42</v>
      </c>
      <c r="D970" s="3" t="s">
        <v>46</v>
      </c>
      <c r="E970" s="3" t="s">
        <v>25</v>
      </c>
      <c r="F970" s="3" t="s">
        <v>25</v>
      </c>
      <c r="G970" s="3" t="s">
        <v>25</v>
      </c>
      <c r="H970" s="3" t="s">
        <v>34</v>
      </c>
      <c r="I970" s="6">
        <v>44562</v>
      </c>
      <c r="J970" s="4">
        <v>0</v>
      </c>
      <c r="K970" s="4">
        <v>0</v>
      </c>
      <c r="L970" s="4">
        <v>303.62200000000001</v>
      </c>
      <c r="M970" s="4">
        <v>303.62200000000001</v>
      </c>
      <c r="N970" s="4">
        <v>303.62200000000001</v>
      </c>
      <c r="O970" s="4">
        <v>303.62200000000001</v>
      </c>
      <c r="P970" s="4">
        <v>0</v>
      </c>
      <c r="Q970" s="3" t="s">
        <v>26</v>
      </c>
      <c r="R970" s="3">
        <v>0</v>
      </c>
      <c r="S970" s="4">
        <v>0</v>
      </c>
      <c r="T970" s="4">
        <v>20</v>
      </c>
      <c r="U970" s="4">
        <v>88</v>
      </c>
      <c r="V970" s="4">
        <f>IF(ISERROR(VLOOKUP($S$970,'TAR FIN'!$A$1:$O$113,15,0)),0,VLOOKUP($S$970,'TAR FIN'!$A$1:$O$113,15,0))</f>
        <v>0</v>
      </c>
      <c r="W970" s="4">
        <f>IF(ISERROR(VLOOKUP($T$970,'TAR FIN'!$A$1:$O$113,15,0)),0,VLOOKUP($T$970,'TAR FIN'!$A$1:$O$113,15,0))</f>
        <v>1564.59</v>
      </c>
      <c r="X970" s="4">
        <f>IF(ISERROR(VLOOKUP($U$970,'TAR FIN'!$A$1:$O$113,15,0)),0,VLOOKUP($U$970,'TAR FIN'!$A$1:$O$113,15,0))</f>
        <v>365.5</v>
      </c>
      <c r="Y970" s="4"/>
      <c r="Z970" s="4">
        <f ca="1">('TUSD BE'!$AM$31+'TUSD BF'!$AM$31+'TUSD CVA'!$AM$31)*1</f>
        <v>1837.8896121132304</v>
      </c>
      <c r="AA970" s="4">
        <f>('TE BE'!$AA$10+'TE BF'!$AA$10+'TE CVA'!$AA$10)*1</f>
        <v>361.55013418411539</v>
      </c>
      <c r="AB970" s="4">
        <f>$K$970*$V$970</f>
        <v>0</v>
      </c>
      <c r="AC970" s="4">
        <f>$M$970*$W$970</f>
        <v>475043.94497999997</v>
      </c>
      <c r="AD970" s="4">
        <f>$O$970*$X$970</f>
        <v>110973.841</v>
      </c>
      <c r="AE970" s="4">
        <f>$K$970*$Y$970</f>
        <v>0</v>
      </c>
      <c r="AF970" s="4">
        <f ca="1">$M$970*$Z$970</f>
        <v>558023.71980904322</v>
      </c>
      <c r="AG970" s="4">
        <f>$O$970*$AA$970</f>
        <v>109774.57484124949</v>
      </c>
    </row>
    <row r="971" spans="1:33" ht="11.25" customHeight="1" x14ac:dyDescent="0.25">
      <c r="A971" s="3" t="s">
        <v>27</v>
      </c>
      <c r="B971" s="3" t="s">
        <v>41</v>
      </c>
      <c r="C971" s="3" t="s">
        <v>42</v>
      </c>
      <c r="D971" s="3" t="s">
        <v>46</v>
      </c>
      <c r="E971" s="3" t="s">
        <v>25</v>
      </c>
      <c r="F971" s="3" t="s">
        <v>25</v>
      </c>
      <c r="G971" s="3" t="s">
        <v>25</v>
      </c>
      <c r="H971" s="3" t="s">
        <v>34</v>
      </c>
      <c r="I971" s="6">
        <v>44562</v>
      </c>
      <c r="J971" s="4">
        <v>0</v>
      </c>
      <c r="K971" s="4">
        <v>0</v>
      </c>
      <c r="L971" s="4">
        <v>3.6999999999999998E-2</v>
      </c>
      <c r="M971" s="4">
        <v>3.6999999999999998E-2</v>
      </c>
      <c r="N971" s="4">
        <v>3.6999999999999998E-2</v>
      </c>
      <c r="O971" s="4">
        <v>3.6999999999999998E-2</v>
      </c>
      <c r="P971" s="4">
        <v>0</v>
      </c>
      <c r="Q971" s="3" t="s">
        <v>26</v>
      </c>
      <c r="R971" s="3">
        <v>0</v>
      </c>
      <c r="S971" s="4">
        <v>0</v>
      </c>
      <c r="T971" s="4">
        <v>20</v>
      </c>
      <c r="U971" s="4">
        <v>88</v>
      </c>
      <c r="V971" s="4">
        <f>IF(ISERROR(VLOOKUP($S$971,'TAR FIN'!$A$1:$O$113,15,0)),0,VLOOKUP($S$971,'TAR FIN'!$A$1:$O$113,15,0))</f>
        <v>0</v>
      </c>
      <c r="W971" s="4">
        <f>IF(ISERROR(VLOOKUP($T$971,'TAR FIN'!$A$1:$O$113,15,0)),0,VLOOKUP($T$971,'TAR FIN'!$A$1:$O$113,15,0))</f>
        <v>1564.59</v>
      </c>
      <c r="X971" s="4">
        <f>IF(ISERROR(VLOOKUP($U$971,'TAR FIN'!$A$1:$O$113,15,0)),0,VLOOKUP($U$971,'TAR FIN'!$A$1:$O$113,15,0))</f>
        <v>365.5</v>
      </c>
      <c r="Y971" s="4"/>
      <c r="Z971" s="4">
        <f ca="1">('TUSD BE'!$AM$31+'TUSD BF'!$AM$31+'TUSD CVA'!$AM$31)*1</f>
        <v>1837.8896121132304</v>
      </c>
      <c r="AA971" s="4">
        <f>('TE BE'!$AA$10+'TE BF'!$AA$10+'TE CVA'!$AA$10)*1</f>
        <v>361.55013418411539</v>
      </c>
      <c r="AB971" s="4">
        <f>$K$971*$V$971</f>
        <v>0</v>
      </c>
      <c r="AC971" s="4">
        <f>$M$971*$W$971</f>
        <v>57.889829999999996</v>
      </c>
      <c r="AD971" s="4">
        <f>$O$971*$X$971</f>
        <v>13.523499999999999</v>
      </c>
      <c r="AE971" s="4">
        <f>$K$971*$Y$971</f>
        <v>0</v>
      </c>
      <c r="AF971" s="4">
        <f ca="1">$M$971*$Z$971</f>
        <v>68.001915648189524</v>
      </c>
      <c r="AG971" s="4">
        <f>$O$971*$AA$971</f>
        <v>13.37735496481227</v>
      </c>
    </row>
    <row r="972" spans="1:33" ht="11.25" customHeight="1" x14ac:dyDescent="0.25">
      <c r="A972" s="3" t="s">
        <v>28</v>
      </c>
      <c r="B972" s="3" t="s">
        <v>41</v>
      </c>
      <c r="C972" s="3" t="s">
        <v>42</v>
      </c>
      <c r="D972" s="3" t="s">
        <v>46</v>
      </c>
      <c r="E972" s="3" t="s">
        <v>25</v>
      </c>
      <c r="F972" s="3" t="s">
        <v>25</v>
      </c>
      <c r="G972" s="3" t="s">
        <v>25</v>
      </c>
      <c r="H972" s="3" t="s">
        <v>34</v>
      </c>
      <c r="I972" s="6">
        <v>44562</v>
      </c>
      <c r="J972" s="4">
        <v>0</v>
      </c>
      <c r="K972" s="4">
        <v>0</v>
      </c>
      <c r="L972" s="4">
        <v>45.499000000000002</v>
      </c>
      <c r="M972" s="4">
        <v>45.499000000000002</v>
      </c>
      <c r="N972" s="4">
        <v>45.499000000000002</v>
      </c>
      <c r="O972" s="4">
        <v>45.499000000000002</v>
      </c>
      <c r="P972" s="4">
        <v>0</v>
      </c>
      <c r="Q972" s="3" t="s">
        <v>26</v>
      </c>
      <c r="R972" s="3">
        <v>0</v>
      </c>
      <c r="S972" s="4">
        <v>0</v>
      </c>
      <c r="T972" s="4">
        <v>20</v>
      </c>
      <c r="U972" s="4">
        <v>88</v>
      </c>
      <c r="V972" s="4">
        <f>IF(ISERROR(VLOOKUP($S$972,'TAR FIN'!$A$1:$O$113,15,0)),0,VLOOKUP($S$972,'TAR FIN'!$A$1:$O$113,15,0))</f>
        <v>0</v>
      </c>
      <c r="W972" s="4">
        <f>IF(ISERROR(VLOOKUP($T$972,'TAR FIN'!$A$1:$O$113,15,0)),0,VLOOKUP($T$972,'TAR FIN'!$A$1:$O$113,15,0))</f>
        <v>1564.59</v>
      </c>
      <c r="X972" s="4">
        <f>IF(ISERROR(VLOOKUP($U$972,'TAR FIN'!$A$1:$O$113,15,0)),0,VLOOKUP($U$972,'TAR FIN'!$A$1:$O$113,15,0))</f>
        <v>365.5</v>
      </c>
      <c r="Y972" s="4"/>
      <c r="Z972" s="4">
        <f ca="1">('TUSD BE'!$AM$31+'TUSD BF'!$AM$31+'TUSD CVA'!$AM$31)*1</f>
        <v>1837.8896121132304</v>
      </c>
      <c r="AA972" s="4">
        <f>('TE BE'!$AA$10+'TE BF'!$AA$10+'TE CVA'!$AA$10)*1</f>
        <v>361.55013418411539</v>
      </c>
      <c r="AB972" s="4">
        <f>$K$972*$V$972</f>
        <v>0</v>
      </c>
      <c r="AC972" s="4">
        <f>$M$972*$W$972</f>
        <v>71187.280410000007</v>
      </c>
      <c r="AD972" s="4">
        <f>$O$972*$X$972</f>
        <v>16629.8845</v>
      </c>
      <c r="AE972" s="4">
        <f>$K$972*$Y$972</f>
        <v>0</v>
      </c>
      <c r="AF972" s="4">
        <f ca="1">$M$972*$Z$972</f>
        <v>83622.139461539875</v>
      </c>
      <c r="AG972" s="4">
        <f>$O$972*$AA$972</f>
        <v>16450.169555243068</v>
      </c>
    </row>
    <row r="973" spans="1:33" ht="11.25" customHeight="1" x14ac:dyDescent="0.25">
      <c r="A973" s="3" t="s">
        <v>21</v>
      </c>
      <c r="B973" s="3" t="s">
        <v>41</v>
      </c>
      <c r="C973" s="3" t="s">
        <v>42</v>
      </c>
      <c r="D973" s="3" t="s">
        <v>46</v>
      </c>
      <c r="E973" s="3" t="s">
        <v>25</v>
      </c>
      <c r="F973" s="3" t="s">
        <v>25</v>
      </c>
      <c r="G973" s="3" t="s">
        <v>25</v>
      </c>
      <c r="H973" s="3" t="s">
        <v>34</v>
      </c>
      <c r="I973" s="6">
        <v>44593</v>
      </c>
      <c r="J973" s="4">
        <v>0</v>
      </c>
      <c r="K973" s="4">
        <v>0</v>
      </c>
      <c r="L973" s="4">
        <v>307.774</v>
      </c>
      <c r="M973" s="4">
        <v>307.774</v>
      </c>
      <c r="N973" s="4">
        <v>307.774</v>
      </c>
      <c r="O973" s="4">
        <v>307.774</v>
      </c>
      <c r="P973" s="4">
        <v>0</v>
      </c>
      <c r="Q973" s="3" t="s">
        <v>26</v>
      </c>
      <c r="R973" s="3">
        <v>0</v>
      </c>
      <c r="S973" s="4">
        <v>0</v>
      </c>
      <c r="T973" s="4">
        <v>20</v>
      </c>
      <c r="U973" s="4">
        <v>88</v>
      </c>
      <c r="V973" s="4">
        <f>IF(ISERROR(VLOOKUP($S$973,'TAR FIN'!$A$1:$O$113,15,0)),0,VLOOKUP($S$973,'TAR FIN'!$A$1:$O$113,15,0))</f>
        <v>0</v>
      </c>
      <c r="W973" s="4">
        <f>IF(ISERROR(VLOOKUP($T$973,'TAR FIN'!$A$1:$O$113,15,0)),0,VLOOKUP($T$973,'TAR FIN'!$A$1:$O$113,15,0))</f>
        <v>1564.59</v>
      </c>
      <c r="X973" s="4">
        <f>IF(ISERROR(VLOOKUP($U$973,'TAR FIN'!$A$1:$O$113,15,0)),0,VLOOKUP($U$973,'TAR FIN'!$A$1:$O$113,15,0))</f>
        <v>365.5</v>
      </c>
      <c r="Y973" s="4"/>
      <c r="Z973" s="4">
        <f ca="1">('TUSD BE'!$AM$31+'TUSD BF'!$AM$31+'TUSD CVA'!$AM$31)*1</f>
        <v>1837.8896121132304</v>
      </c>
      <c r="AA973" s="4">
        <f>('TE BE'!$AA$10+'TE BF'!$AA$10+'TE CVA'!$AA$10)*1</f>
        <v>361.55013418411539</v>
      </c>
      <c r="AB973" s="4">
        <f>$K$973*$V$973</f>
        <v>0</v>
      </c>
      <c r="AC973" s="4">
        <f>$M$973*$W$973</f>
        <v>481540.12265999999</v>
      </c>
      <c r="AD973" s="4">
        <f>$O$973*$X$973</f>
        <v>112491.397</v>
      </c>
      <c r="AE973" s="4">
        <f>$K$973*$Y$973</f>
        <v>0</v>
      </c>
      <c r="AF973" s="4">
        <f ca="1">$M$973*$Z$973</f>
        <v>565654.63747853739</v>
      </c>
      <c r="AG973" s="4">
        <f>$O$973*$AA$973</f>
        <v>111275.73099838193</v>
      </c>
    </row>
    <row r="974" spans="1:33" ht="11.25" customHeight="1" x14ac:dyDescent="0.25">
      <c r="A974" s="3" t="s">
        <v>27</v>
      </c>
      <c r="B974" s="3" t="s">
        <v>41</v>
      </c>
      <c r="C974" s="3" t="s">
        <v>42</v>
      </c>
      <c r="D974" s="3" t="s">
        <v>46</v>
      </c>
      <c r="E974" s="3" t="s">
        <v>25</v>
      </c>
      <c r="F974" s="3" t="s">
        <v>25</v>
      </c>
      <c r="G974" s="3" t="s">
        <v>25</v>
      </c>
      <c r="H974" s="3" t="s">
        <v>34</v>
      </c>
      <c r="I974" s="6">
        <v>44593</v>
      </c>
      <c r="J974" s="4">
        <v>0</v>
      </c>
      <c r="K974" s="4">
        <v>0</v>
      </c>
      <c r="L974" s="4">
        <v>11.238</v>
      </c>
      <c r="M974" s="4">
        <v>11.238</v>
      </c>
      <c r="N974" s="4">
        <v>11.238</v>
      </c>
      <c r="O974" s="4">
        <v>11.238</v>
      </c>
      <c r="P974" s="4">
        <v>0</v>
      </c>
      <c r="Q974" s="3" t="s">
        <v>26</v>
      </c>
      <c r="R974" s="3">
        <v>0</v>
      </c>
      <c r="S974" s="4">
        <v>0</v>
      </c>
      <c r="T974" s="4">
        <v>20</v>
      </c>
      <c r="U974" s="4">
        <v>88</v>
      </c>
      <c r="V974" s="4">
        <f>IF(ISERROR(VLOOKUP($S$974,'TAR FIN'!$A$1:$O$113,15,0)),0,VLOOKUP($S$974,'TAR FIN'!$A$1:$O$113,15,0))</f>
        <v>0</v>
      </c>
      <c r="W974" s="4">
        <f>IF(ISERROR(VLOOKUP($T$974,'TAR FIN'!$A$1:$O$113,15,0)),0,VLOOKUP($T$974,'TAR FIN'!$A$1:$O$113,15,0))</f>
        <v>1564.59</v>
      </c>
      <c r="X974" s="4">
        <f>IF(ISERROR(VLOOKUP($U$974,'TAR FIN'!$A$1:$O$113,15,0)),0,VLOOKUP($U$974,'TAR FIN'!$A$1:$O$113,15,0))</f>
        <v>365.5</v>
      </c>
      <c r="Y974" s="4"/>
      <c r="Z974" s="4">
        <f ca="1">('TUSD BE'!$AM$31+'TUSD BF'!$AM$31+'TUSD CVA'!$AM$31)*1</f>
        <v>1837.8896121132304</v>
      </c>
      <c r="AA974" s="4">
        <f>('TE BE'!$AA$10+'TE BF'!$AA$10+'TE CVA'!$AA$10)*1</f>
        <v>361.55013418411539</v>
      </c>
      <c r="AB974" s="4">
        <f>$K$974*$V$974</f>
        <v>0</v>
      </c>
      <c r="AC974" s="4">
        <f>$M$974*$W$974</f>
        <v>17582.862419999998</v>
      </c>
      <c r="AD974" s="4">
        <f>$O$974*$X$974</f>
        <v>4107.4889999999996</v>
      </c>
      <c r="AE974" s="4">
        <f>$K$974*$Y$974</f>
        <v>0</v>
      </c>
      <c r="AF974" s="4">
        <f ca="1">$M$974*$Z$974</f>
        <v>20654.203460928482</v>
      </c>
      <c r="AG974" s="4">
        <f>$O$974*$AA$974</f>
        <v>4063.1004079610884</v>
      </c>
    </row>
    <row r="975" spans="1:33" ht="11.25" customHeight="1" x14ac:dyDescent="0.25">
      <c r="A975" s="3" t="s">
        <v>28</v>
      </c>
      <c r="B975" s="3" t="s">
        <v>41</v>
      </c>
      <c r="C975" s="3" t="s">
        <v>42</v>
      </c>
      <c r="D975" s="3" t="s">
        <v>46</v>
      </c>
      <c r="E975" s="3" t="s">
        <v>25</v>
      </c>
      <c r="F975" s="3" t="s">
        <v>25</v>
      </c>
      <c r="G975" s="3" t="s">
        <v>25</v>
      </c>
      <c r="H975" s="3" t="s">
        <v>34</v>
      </c>
      <c r="I975" s="6">
        <v>44593</v>
      </c>
      <c r="J975" s="4">
        <v>0</v>
      </c>
      <c r="K975" s="4">
        <v>0</v>
      </c>
      <c r="L975" s="4">
        <v>45.445</v>
      </c>
      <c r="M975" s="4">
        <v>45.445</v>
      </c>
      <c r="N975" s="4">
        <v>45.445</v>
      </c>
      <c r="O975" s="4">
        <v>45.445</v>
      </c>
      <c r="P975" s="4">
        <v>0</v>
      </c>
      <c r="Q975" s="3" t="s">
        <v>26</v>
      </c>
      <c r="R975" s="3">
        <v>0</v>
      </c>
      <c r="S975" s="4">
        <v>0</v>
      </c>
      <c r="T975" s="4">
        <v>20</v>
      </c>
      <c r="U975" s="4">
        <v>88</v>
      </c>
      <c r="V975" s="4">
        <f>IF(ISERROR(VLOOKUP($S$975,'TAR FIN'!$A$1:$O$113,15,0)),0,VLOOKUP($S$975,'TAR FIN'!$A$1:$O$113,15,0))</f>
        <v>0</v>
      </c>
      <c r="W975" s="4">
        <f>IF(ISERROR(VLOOKUP($T$975,'TAR FIN'!$A$1:$O$113,15,0)),0,VLOOKUP($T$975,'TAR FIN'!$A$1:$O$113,15,0))</f>
        <v>1564.59</v>
      </c>
      <c r="X975" s="4">
        <f>IF(ISERROR(VLOOKUP($U$975,'TAR FIN'!$A$1:$O$113,15,0)),0,VLOOKUP($U$975,'TAR FIN'!$A$1:$O$113,15,0))</f>
        <v>365.5</v>
      </c>
      <c r="Y975" s="4"/>
      <c r="Z975" s="4">
        <f ca="1">('TUSD BE'!$AM$31+'TUSD BF'!$AM$31+'TUSD CVA'!$AM$31)*1</f>
        <v>1837.8896121132304</v>
      </c>
      <c r="AA975" s="4">
        <f>('TE BE'!$AA$10+'TE BF'!$AA$10+'TE CVA'!$AA$10)*1</f>
        <v>361.55013418411539</v>
      </c>
      <c r="AB975" s="4">
        <f>$K$975*$V$975</f>
        <v>0</v>
      </c>
      <c r="AC975" s="4">
        <f>$M$975*$W$975</f>
        <v>71102.792549999998</v>
      </c>
      <c r="AD975" s="4">
        <f>$O$975*$X$975</f>
        <v>16610.147499999999</v>
      </c>
      <c r="AE975" s="4">
        <f>$K$975*$Y$975</f>
        <v>0</v>
      </c>
      <c r="AF975" s="4">
        <f ca="1">$M$975*$Z$975</f>
        <v>83522.893422485751</v>
      </c>
      <c r="AG975" s="4">
        <f>$O$975*$AA$975</f>
        <v>16430.645847997122</v>
      </c>
    </row>
    <row r="976" spans="1:33" ht="11.25" customHeight="1" x14ac:dyDescent="0.25">
      <c r="A976" s="3" t="s">
        <v>56</v>
      </c>
      <c r="B976" s="3" t="s">
        <v>41</v>
      </c>
      <c r="C976" s="3" t="s">
        <v>42</v>
      </c>
      <c r="D976" s="3" t="s">
        <v>46</v>
      </c>
      <c r="E976" s="3" t="s">
        <v>25</v>
      </c>
      <c r="F976" s="3" t="s">
        <v>25</v>
      </c>
      <c r="G976" s="3" t="s">
        <v>25</v>
      </c>
      <c r="H976" s="3" t="s">
        <v>34</v>
      </c>
      <c r="I976" s="6">
        <v>44621</v>
      </c>
      <c r="J976" s="4">
        <v>0</v>
      </c>
      <c r="K976" s="4">
        <v>0</v>
      </c>
      <c r="L976" s="4">
        <v>307.774</v>
      </c>
      <c r="M976" s="4">
        <v>307.774</v>
      </c>
      <c r="N976" s="4">
        <v>307.774</v>
      </c>
      <c r="O976" s="4">
        <v>307.774</v>
      </c>
      <c r="P976" s="4">
        <v>0</v>
      </c>
      <c r="Q976" s="3" t="s">
        <v>26</v>
      </c>
      <c r="R976" s="3">
        <v>0</v>
      </c>
      <c r="S976" s="4">
        <v>0</v>
      </c>
      <c r="T976" s="4">
        <v>20</v>
      </c>
      <c r="U976" s="4">
        <v>88</v>
      </c>
      <c r="V976" s="4">
        <f>IF(ISERROR(VLOOKUP($S$976,'TAR FIN'!$A$1:$O$113,15,0)),0,VLOOKUP($S$976,'TAR FIN'!$A$1:$O$113,15,0))</f>
        <v>0</v>
      </c>
      <c r="W976" s="4">
        <f>IF(ISERROR(VLOOKUP($T$976,'TAR FIN'!$A$1:$O$113,15,0)),0,VLOOKUP($T$976,'TAR FIN'!$A$1:$O$113,15,0))</f>
        <v>1564.59</v>
      </c>
      <c r="X976" s="4">
        <f>IF(ISERROR(VLOOKUP($U$976,'TAR FIN'!$A$1:$O$113,15,0)),0,VLOOKUP($U$976,'TAR FIN'!$A$1:$O$113,15,0))</f>
        <v>365.5</v>
      </c>
      <c r="Y976" s="4"/>
      <c r="Z976" s="4">
        <f ca="1">('TUSD BE'!$AM$31+'TUSD BF'!$AM$31+'TUSD CVA'!$AM$31)*1</f>
        <v>1837.8896121132304</v>
      </c>
      <c r="AA976" s="4">
        <f>('TE BE'!$AA$10+'TE BF'!$AA$10+'TE CVA'!$AA$10)*1</f>
        <v>361.55013418411539</v>
      </c>
      <c r="AB976" s="4">
        <f>$K$976*$V$976</f>
        <v>0</v>
      </c>
      <c r="AC976" s="4">
        <f>$M$976*$W$976</f>
        <v>481540.12265999999</v>
      </c>
      <c r="AD976" s="4">
        <f>$O$976*$X$976</f>
        <v>112491.397</v>
      </c>
      <c r="AE976" s="4">
        <f>$K$976*$Y$976</f>
        <v>0</v>
      </c>
      <c r="AF976" s="4">
        <f ca="1">$M$976*$Z$976</f>
        <v>565654.63747853739</v>
      </c>
      <c r="AG976" s="4">
        <f>$O$976*$AA$976</f>
        <v>111275.73099838193</v>
      </c>
    </row>
    <row r="977" spans="1:33" ht="11.25" customHeight="1" x14ac:dyDescent="0.25">
      <c r="A977" s="3" t="s">
        <v>56</v>
      </c>
      <c r="B977" s="3" t="s">
        <v>41</v>
      </c>
      <c r="C977" s="3" t="s">
        <v>42</v>
      </c>
      <c r="D977" s="3" t="s">
        <v>46</v>
      </c>
      <c r="E977" s="3" t="s">
        <v>25</v>
      </c>
      <c r="F977" s="3" t="s">
        <v>25</v>
      </c>
      <c r="G977" s="3" t="s">
        <v>25</v>
      </c>
      <c r="H977" s="3" t="s">
        <v>34</v>
      </c>
      <c r="I977" s="6">
        <v>44621</v>
      </c>
      <c r="J977" s="4">
        <v>0</v>
      </c>
      <c r="K977" s="4">
        <v>0</v>
      </c>
      <c r="L977" s="4">
        <v>11.238</v>
      </c>
      <c r="M977" s="4">
        <v>11.238</v>
      </c>
      <c r="N977" s="4">
        <v>11.238</v>
      </c>
      <c r="O977" s="4">
        <v>11.238</v>
      </c>
      <c r="P977" s="4">
        <v>0</v>
      </c>
      <c r="Q977" s="3" t="s">
        <v>26</v>
      </c>
      <c r="R977" s="3">
        <v>0</v>
      </c>
      <c r="S977" s="4">
        <v>0</v>
      </c>
      <c r="T977" s="4">
        <v>20</v>
      </c>
      <c r="U977" s="4">
        <v>88</v>
      </c>
      <c r="V977" s="4">
        <f>IF(ISERROR(VLOOKUP($S$977,'TAR FIN'!$A$1:$O$113,15,0)),0,VLOOKUP($S$977,'TAR FIN'!$A$1:$O$113,15,0))</f>
        <v>0</v>
      </c>
      <c r="W977" s="4">
        <f>IF(ISERROR(VLOOKUP($T$977,'TAR FIN'!$A$1:$O$113,15,0)),0,VLOOKUP($T$977,'TAR FIN'!$A$1:$O$113,15,0))</f>
        <v>1564.59</v>
      </c>
      <c r="X977" s="4">
        <f>IF(ISERROR(VLOOKUP($U$977,'TAR FIN'!$A$1:$O$113,15,0)),0,VLOOKUP($U$977,'TAR FIN'!$A$1:$O$113,15,0))</f>
        <v>365.5</v>
      </c>
      <c r="Y977" s="4"/>
      <c r="Z977" s="4">
        <f ca="1">('TUSD BE'!$AM$31+'TUSD BF'!$AM$31+'TUSD CVA'!$AM$31)*1</f>
        <v>1837.8896121132304</v>
      </c>
      <c r="AA977" s="4">
        <f>('TE BE'!$AA$10+'TE BF'!$AA$10+'TE CVA'!$AA$10)*1</f>
        <v>361.55013418411539</v>
      </c>
      <c r="AB977" s="4">
        <f>$K$977*$V$977</f>
        <v>0</v>
      </c>
      <c r="AC977" s="4">
        <f>$M$977*$W$977</f>
        <v>17582.862419999998</v>
      </c>
      <c r="AD977" s="4">
        <f>$O$977*$X$977</f>
        <v>4107.4889999999996</v>
      </c>
      <c r="AE977" s="4">
        <f>$K$977*$Y$977</f>
        <v>0</v>
      </c>
      <c r="AF977" s="4">
        <f ca="1">$M$977*$Z$977</f>
        <v>20654.203460928482</v>
      </c>
      <c r="AG977" s="4">
        <f>$O$977*$AA$977</f>
        <v>4063.1004079610884</v>
      </c>
    </row>
    <row r="978" spans="1:33" ht="11.25" customHeight="1" x14ac:dyDescent="0.25">
      <c r="A978" s="3" t="s">
        <v>56</v>
      </c>
      <c r="B978" s="3" t="s">
        <v>41</v>
      </c>
      <c r="C978" s="3" t="s">
        <v>42</v>
      </c>
      <c r="D978" s="3" t="s">
        <v>46</v>
      </c>
      <c r="E978" s="3" t="s">
        <v>25</v>
      </c>
      <c r="F978" s="3" t="s">
        <v>25</v>
      </c>
      <c r="G978" s="3" t="s">
        <v>25</v>
      </c>
      <c r="H978" s="3" t="s">
        <v>34</v>
      </c>
      <c r="I978" s="6">
        <v>44621</v>
      </c>
      <c r="J978" s="4">
        <v>0</v>
      </c>
      <c r="K978" s="4">
        <v>0</v>
      </c>
      <c r="L978" s="4">
        <v>45.445</v>
      </c>
      <c r="M978" s="4">
        <v>45.445</v>
      </c>
      <c r="N978" s="4">
        <v>45.445</v>
      </c>
      <c r="O978" s="4">
        <v>45.445</v>
      </c>
      <c r="P978" s="4">
        <v>0</v>
      </c>
      <c r="Q978" s="3" t="s">
        <v>26</v>
      </c>
      <c r="R978" s="3">
        <v>0</v>
      </c>
      <c r="S978" s="4">
        <v>0</v>
      </c>
      <c r="T978" s="4">
        <v>20</v>
      </c>
      <c r="U978" s="4">
        <v>88</v>
      </c>
      <c r="V978" s="4">
        <f>IF(ISERROR(VLOOKUP($S$978,'TAR FIN'!$A$1:$O$113,15,0)),0,VLOOKUP($S$978,'TAR FIN'!$A$1:$O$113,15,0))</f>
        <v>0</v>
      </c>
      <c r="W978" s="4">
        <f>IF(ISERROR(VLOOKUP($T$978,'TAR FIN'!$A$1:$O$113,15,0)),0,VLOOKUP($T$978,'TAR FIN'!$A$1:$O$113,15,0))</f>
        <v>1564.59</v>
      </c>
      <c r="X978" s="4">
        <f>IF(ISERROR(VLOOKUP($U$978,'TAR FIN'!$A$1:$O$113,15,0)),0,VLOOKUP($U$978,'TAR FIN'!$A$1:$O$113,15,0))</f>
        <v>365.5</v>
      </c>
      <c r="Y978" s="4"/>
      <c r="Z978" s="4">
        <f ca="1">('TUSD BE'!$AM$31+'TUSD BF'!$AM$31+'TUSD CVA'!$AM$31)*1</f>
        <v>1837.8896121132304</v>
      </c>
      <c r="AA978" s="4">
        <f>('TE BE'!$AA$10+'TE BF'!$AA$10+'TE CVA'!$AA$10)*1</f>
        <v>361.55013418411539</v>
      </c>
      <c r="AB978" s="4">
        <f>$K$978*$V$978</f>
        <v>0</v>
      </c>
      <c r="AC978" s="4">
        <f>$M$978*$W$978</f>
        <v>71102.792549999998</v>
      </c>
      <c r="AD978" s="4">
        <f>$O$978*$X$978</f>
        <v>16610.147499999999</v>
      </c>
      <c r="AE978" s="4">
        <f>$K$978*$Y$978</f>
        <v>0</v>
      </c>
      <c r="AF978" s="4">
        <f ca="1">$M$978*$Z$978</f>
        <v>83522.893422485751</v>
      </c>
      <c r="AG978" s="4">
        <f>$O$978*$AA$978</f>
        <v>16430.645847997122</v>
      </c>
    </row>
    <row r="979" spans="1:33" ht="11.25" customHeight="1" x14ac:dyDescent="0.25">
      <c r="A979" s="3" t="s">
        <v>21</v>
      </c>
      <c r="B979" s="3" t="s">
        <v>41</v>
      </c>
      <c r="C979" s="3" t="s">
        <v>42</v>
      </c>
      <c r="D979" s="3" t="s">
        <v>45</v>
      </c>
      <c r="E979" s="3" t="s">
        <v>53</v>
      </c>
      <c r="F979" s="3" t="s">
        <v>55</v>
      </c>
      <c r="G979" s="3" t="s">
        <v>25</v>
      </c>
      <c r="H979" s="3" t="s">
        <v>35</v>
      </c>
      <c r="I979" s="6">
        <v>44287</v>
      </c>
      <c r="J979" s="4">
        <v>0</v>
      </c>
      <c r="K979" s="4">
        <v>0</v>
      </c>
      <c r="L979" s="4">
        <v>962.79499999999996</v>
      </c>
      <c r="M979" s="4">
        <v>96.279499999999999</v>
      </c>
      <c r="N979" s="4">
        <v>962.79499999999996</v>
      </c>
      <c r="O979" s="4">
        <v>96.279499999999999</v>
      </c>
      <c r="P979" s="4">
        <v>0</v>
      </c>
      <c r="Q979" s="3" t="s">
        <v>26</v>
      </c>
      <c r="R979" s="3">
        <v>0</v>
      </c>
      <c r="S979" s="4">
        <v>0</v>
      </c>
      <c r="T979" s="4">
        <v>21</v>
      </c>
      <c r="U979" s="4">
        <v>89</v>
      </c>
      <c r="V979" s="4">
        <f>IF(ISERROR(VLOOKUP($S$979,'TAR FIN'!$A$1:$O$113,15,0)),0,VLOOKUP($S$979,'TAR FIN'!$A$1:$O$113,15,0))</f>
        <v>0</v>
      </c>
      <c r="W979" s="4">
        <f>IF(ISERROR(VLOOKUP($T$979,'TAR FIN'!$A$1:$O$113,15,0)),0,VLOOKUP($T$979,'TAR FIN'!$A$1:$O$113,15,0))</f>
        <v>51.27</v>
      </c>
      <c r="X979" s="4">
        <f>IF(ISERROR(VLOOKUP($U$979,'TAR FIN'!$A$1:$O$113,15,0)),0,VLOOKUP($U$979,'TAR FIN'!$A$1:$O$113,15,0))</f>
        <v>222.31</v>
      </c>
      <c r="Y979" s="4"/>
      <c r="Z979" s="4">
        <f ca="1">('TUSD BE'!$AM$32+'TUSD BF'!$AM$32+'TUSD CVA'!$AM$32)*1</f>
        <v>65.007409626508434</v>
      </c>
      <c r="AA979" s="4">
        <f>('TE BE'!$AA$11+'TE BF'!$AA$11+'TE CVA'!$AA$11)*1</f>
        <v>223.14561812044704</v>
      </c>
      <c r="AB979" s="4">
        <f>$K$979*$V$979</f>
        <v>0</v>
      </c>
      <c r="AC979" s="4">
        <f>$M$979*$W$979</f>
        <v>4936.249965</v>
      </c>
      <c r="AD979" s="4">
        <f>$O$979*$X$979</f>
        <v>21403.895645000001</v>
      </c>
      <c r="AE979" s="4">
        <f>$K$979*$Y$979</f>
        <v>0</v>
      </c>
      <c r="AF979" s="4">
        <f ca="1">$M$979*$Z$979</f>
        <v>6258.8808951354185</v>
      </c>
      <c r="AG979" s="4">
        <f>$O$979*$AA$979</f>
        <v>21484.348539827581</v>
      </c>
    </row>
    <row r="980" spans="1:33" ht="11.25" customHeight="1" x14ac:dyDescent="0.25">
      <c r="A980" s="3" t="s">
        <v>21</v>
      </c>
      <c r="B980" s="3" t="s">
        <v>41</v>
      </c>
      <c r="C980" s="3" t="s">
        <v>42</v>
      </c>
      <c r="D980" s="3" t="s">
        <v>45</v>
      </c>
      <c r="E980" s="3" t="s">
        <v>53</v>
      </c>
      <c r="F980" s="3" t="s">
        <v>55</v>
      </c>
      <c r="G980" s="3" t="s">
        <v>25</v>
      </c>
      <c r="H980" s="3" t="s">
        <v>35</v>
      </c>
      <c r="I980" s="6">
        <v>44317</v>
      </c>
      <c r="J980" s="4">
        <v>0</v>
      </c>
      <c r="K980" s="4">
        <v>0</v>
      </c>
      <c r="L980" s="4">
        <v>333.96199999999999</v>
      </c>
      <c r="M980" s="4">
        <v>33.3962</v>
      </c>
      <c r="N980" s="4">
        <v>333.96199999999999</v>
      </c>
      <c r="O980" s="4">
        <v>33.3962</v>
      </c>
      <c r="P980" s="4">
        <v>0</v>
      </c>
      <c r="Q980" s="3" t="s">
        <v>26</v>
      </c>
      <c r="R980" s="3">
        <v>0</v>
      </c>
      <c r="S980" s="4">
        <v>0</v>
      </c>
      <c r="T980" s="4">
        <v>21</v>
      </c>
      <c r="U980" s="4">
        <v>89</v>
      </c>
      <c r="V980" s="4">
        <f>IF(ISERROR(VLOOKUP($S$980,'TAR FIN'!$A$1:$O$113,15,0)),0,VLOOKUP($S$980,'TAR FIN'!$A$1:$O$113,15,0))</f>
        <v>0</v>
      </c>
      <c r="W980" s="4">
        <f>IF(ISERROR(VLOOKUP($T$980,'TAR FIN'!$A$1:$O$113,15,0)),0,VLOOKUP($T$980,'TAR FIN'!$A$1:$O$113,15,0))</f>
        <v>51.27</v>
      </c>
      <c r="X980" s="4">
        <f>IF(ISERROR(VLOOKUP($U$980,'TAR FIN'!$A$1:$O$113,15,0)),0,VLOOKUP($U$980,'TAR FIN'!$A$1:$O$113,15,0))</f>
        <v>222.31</v>
      </c>
      <c r="Y980" s="4"/>
      <c r="Z980" s="4">
        <f ca="1">('TUSD BE'!$AM$32+'TUSD BF'!$AM$32+'TUSD CVA'!$AM$32)*1</f>
        <v>65.007409626508434</v>
      </c>
      <c r="AA980" s="4">
        <f>('TE BE'!$AA$11+'TE BF'!$AA$11+'TE CVA'!$AA$11)*1</f>
        <v>223.14561812044704</v>
      </c>
      <c r="AB980" s="4">
        <f>$K$980*$V$980</f>
        <v>0</v>
      </c>
      <c r="AC980" s="4">
        <f>$M$980*$W$980</f>
        <v>1712.2231740000002</v>
      </c>
      <c r="AD980" s="4">
        <f>$O$980*$X$980</f>
        <v>7424.3092219999999</v>
      </c>
      <c r="AE980" s="4">
        <f>$K$980*$Y$980</f>
        <v>0</v>
      </c>
      <c r="AF980" s="4">
        <f ca="1">$M$980*$Z$980</f>
        <v>2171.0004533688011</v>
      </c>
      <c r="AG980" s="4">
        <f>$O$980*$AA$980</f>
        <v>7452.2156918740739</v>
      </c>
    </row>
    <row r="981" spans="1:33" ht="11.25" customHeight="1" x14ac:dyDescent="0.25">
      <c r="A981" s="3" t="s">
        <v>28</v>
      </c>
      <c r="B981" s="3" t="s">
        <v>41</v>
      </c>
      <c r="C981" s="3" t="s">
        <v>42</v>
      </c>
      <c r="D981" s="3" t="s">
        <v>45</v>
      </c>
      <c r="E981" s="3" t="s">
        <v>53</v>
      </c>
      <c r="F981" s="3" t="s">
        <v>55</v>
      </c>
      <c r="G981" s="3" t="s">
        <v>25</v>
      </c>
      <c r="H981" s="3" t="s">
        <v>35</v>
      </c>
      <c r="I981" s="6">
        <v>44317</v>
      </c>
      <c r="J981" s="4">
        <v>0</v>
      </c>
      <c r="K981" s="4">
        <v>0</v>
      </c>
      <c r="L981" s="4">
        <v>8.2000000000000003E-2</v>
      </c>
      <c r="M981" s="4">
        <v>8.2000000000000007E-3</v>
      </c>
      <c r="N981" s="4">
        <v>8.2000000000000003E-2</v>
      </c>
      <c r="O981" s="4">
        <v>8.2000000000000007E-3</v>
      </c>
      <c r="P981" s="4">
        <v>0</v>
      </c>
      <c r="Q981" s="3" t="s">
        <v>26</v>
      </c>
      <c r="R981" s="3">
        <v>0</v>
      </c>
      <c r="S981" s="4">
        <v>0</v>
      </c>
      <c r="T981" s="4">
        <v>21</v>
      </c>
      <c r="U981" s="4">
        <v>89</v>
      </c>
      <c r="V981" s="4">
        <f>IF(ISERROR(VLOOKUP($S$981,'TAR FIN'!$A$1:$O$113,15,0)),0,VLOOKUP($S$981,'TAR FIN'!$A$1:$O$113,15,0))</f>
        <v>0</v>
      </c>
      <c r="W981" s="4">
        <f>IF(ISERROR(VLOOKUP($T$981,'TAR FIN'!$A$1:$O$113,15,0)),0,VLOOKUP($T$981,'TAR FIN'!$A$1:$O$113,15,0))</f>
        <v>51.27</v>
      </c>
      <c r="X981" s="4">
        <f>IF(ISERROR(VLOOKUP($U$981,'TAR FIN'!$A$1:$O$113,15,0)),0,VLOOKUP($U$981,'TAR FIN'!$A$1:$O$113,15,0))</f>
        <v>222.31</v>
      </c>
      <c r="Y981" s="4"/>
      <c r="Z981" s="4">
        <f ca="1">('TUSD BE'!$AM$32+'TUSD BF'!$AM$32+'TUSD CVA'!$AM$32)*1</f>
        <v>65.007409626508434</v>
      </c>
      <c r="AA981" s="4">
        <f>('TE BE'!$AA$11+'TE BF'!$AA$11+'TE CVA'!$AA$11)*1</f>
        <v>223.14561812044704</v>
      </c>
      <c r="AB981" s="4">
        <f>$K$981*$V$981</f>
        <v>0</v>
      </c>
      <c r="AC981" s="4">
        <f>$M$981*$W$981</f>
        <v>0.42041400000000007</v>
      </c>
      <c r="AD981" s="4">
        <f>$O$981*$X$981</f>
        <v>1.8229420000000001</v>
      </c>
      <c r="AE981" s="4">
        <f>$K$981*$Y$981</f>
        <v>0</v>
      </c>
      <c r="AF981" s="4">
        <f ca="1">$M$981*$Z$981</f>
        <v>0.53306075893736915</v>
      </c>
      <c r="AG981" s="4">
        <f>$O$981*$AA$981</f>
        <v>1.8297940685876659</v>
      </c>
    </row>
    <row r="982" spans="1:33" ht="11.25" customHeight="1" x14ac:dyDescent="0.25">
      <c r="A982" s="3" t="s">
        <v>21</v>
      </c>
      <c r="B982" s="3" t="s">
        <v>41</v>
      </c>
      <c r="C982" s="3" t="s">
        <v>42</v>
      </c>
      <c r="D982" s="3" t="s">
        <v>45</v>
      </c>
      <c r="E982" s="3" t="s">
        <v>53</v>
      </c>
      <c r="F982" s="3" t="s">
        <v>55</v>
      </c>
      <c r="G982" s="3" t="s">
        <v>25</v>
      </c>
      <c r="H982" s="3" t="s">
        <v>35</v>
      </c>
      <c r="I982" s="6">
        <v>44348</v>
      </c>
      <c r="J982" s="4">
        <v>0</v>
      </c>
      <c r="K982" s="4">
        <v>0</v>
      </c>
      <c r="L982" s="4">
        <v>324.93599999999998</v>
      </c>
      <c r="M982" s="4">
        <v>32.493600000000001</v>
      </c>
      <c r="N982" s="4">
        <v>324.93599999999998</v>
      </c>
      <c r="O982" s="4">
        <v>32.493600000000001</v>
      </c>
      <c r="P982" s="4">
        <v>0</v>
      </c>
      <c r="Q982" s="3" t="s">
        <v>26</v>
      </c>
      <c r="R982" s="3">
        <v>0</v>
      </c>
      <c r="S982" s="4">
        <v>0</v>
      </c>
      <c r="T982" s="4">
        <v>21</v>
      </c>
      <c r="U982" s="4">
        <v>89</v>
      </c>
      <c r="V982" s="4">
        <f>IF(ISERROR(VLOOKUP($S$982,'TAR FIN'!$A$1:$O$113,15,0)),0,VLOOKUP($S$982,'TAR FIN'!$A$1:$O$113,15,0))</f>
        <v>0</v>
      </c>
      <c r="W982" s="4">
        <f>IF(ISERROR(VLOOKUP($T$982,'TAR FIN'!$A$1:$O$113,15,0)),0,VLOOKUP($T$982,'TAR FIN'!$A$1:$O$113,15,0))</f>
        <v>51.27</v>
      </c>
      <c r="X982" s="4">
        <f>IF(ISERROR(VLOOKUP($U$982,'TAR FIN'!$A$1:$O$113,15,0)),0,VLOOKUP($U$982,'TAR FIN'!$A$1:$O$113,15,0))</f>
        <v>222.31</v>
      </c>
      <c r="Y982" s="4"/>
      <c r="Z982" s="4">
        <f ca="1">('TUSD BE'!$AM$32+'TUSD BF'!$AM$32+'TUSD CVA'!$AM$32)*1</f>
        <v>65.007409626508434</v>
      </c>
      <c r="AA982" s="4">
        <f>('TE BE'!$AA$11+'TE BF'!$AA$11+'TE CVA'!$AA$11)*1</f>
        <v>223.14561812044704</v>
      </c>
      <c r="AB982" s="4">
        <f>$K$982*$V$982</f>
        <v>0</v>
      </c>
      <c r="AC982" s="4">
        <f>$M$982*$W$982</f>
        <v>1665.9468720000002</v>
      </c>
      <c r="AD982" s="4">
        <f>$O$982*$X$982</f>
        <v>7223.6522160000004</v>
      </c>
      <c r="AE982" s="4">
        <f>$K$982*$Y$982</f>
        <v>0</v>
      </c>
      <c r="AF982" s="4">
        <f ca="1">$M$982*$Z$982</f>
        <v>2112.3247654399147</v>
      </c>
      <c r="AG982" s="4">
        <f>$O$982*$AA$982</f>
        <v>7250.8044569585581</v>
      </c>
    </row>
    <row r="983" spans="1:33" ht="11.25" customHeight="1" x14ac:dyDescent="0.25">
      <c r="A983" s="3" t="s">
        <v>28</v>
      </c>
      <c r="B983" s="3" t="s">
        <v>41</v>
      </c>
      <c r="C983" s="3" t="s">
        <v>42</v>
      </c>
      <c r="D983" s="3" t="s">
        <v>45</v>
      </c>
      <c r="E983" s="3" t="s">
        <v>53</v>
      </c>
      <c r="F983" s="3" t="s">
        <v>55</v>
      </c>
      <c r="G983" s="3" t="s">
        <v>25</v>
      </c>
      <c r="H983" s="3" t="s">
        <v>35</v>
      </c>
      <c r="I983" s="6">
        <v>44348</v>
      </c>
      <c r="J983" s="4">
        <v>0</v>
      </c>
      <c r="K983" s="4">
        <v>0</v>
      </c>
      <c r="L983" s="4">
        <v>4.1000000000000002E-2</v>
      </c>
      <c r="M983" s="4">
        <v>4.1000000000000003E-3</v>
      </c>
      <c r="N983" s="4">
        <v>4.1000000000000002E-2</v>
      </c>
      <c r="O983" s="4">
        <v>4.1000000000000003E-3</v>
      </c>
      <c r="P983" s="4">
        <v>0</v>
      </c>
      <c r="Q983" s="3" t="s">
        <v>26</v>
      </c>
      <c r="R983" s="3">
        <v>0</v>
      </c>
      <c r="S983" s="4">
        <v>0</v>
      </c>
      <c r="T983" s="4">
        <v>21</v>
      </c>
      <c r="U983" s="4">
        <v>89</v>
      </c>
      <c r="V983" s="4">
        <f>IF(ISERROR(VLOOKUP($S$983,'TAR FIN'!$A$1:$O$113,15,0)),0,VLOOKUP($S$983,'TAR FIN'!$A$1:$O$113,15,0))</f>
        <v>0</v>
      </c>
      <c r="W983" s="4">
        <f>IF(ISERROR(VLOOKUP($T$983,'TAR FIN'!$A$1:$O$113,15,0)),0,VLOOKUP($T$983,'TAR FIN'!$A$1:$O$113,15,0))</f>
        <v>51.27</v>
      </c>
      <c r="X983" s="4">
        <f>IF(ISERROR(VLOOKUP($U$983,'TAR FIN'!$A$1:$O$113,15,0)),0,VLOOKUP($U$983,'TAR FIN'!$A$1:$O$113,15,0))</f>
        <v>222.31</v>
      </c>
      <c r="Y983" s="4"/>
      <c r="Z983" s="4">
        <f ca="1">('TUSD BE'!$AM$32+'TUSD BF'!$AM$32+'TUSD CVA'!$AM$32)*1</f>
        <v>65.007409626508434</v>
      </c>
      <c r="AA983" s="4">
        <f>('TE BE'!$AA$11+'TE BF'!$AA$11+'TE CVA'!$AA$11)*1</f>
        <v>223.14561812044704</v>
      </c>
      <c r="AB983" s="4">
        <f>$K$983*$V$983</f>
        <v>0</v>
      </c>
      <c r="AC983" s="4">
        <f>$M$983*$W$983</f>
        <v>0.21020700000000003</v>
      </c>
      <c r="AD983" s="4">
        <f>$O$983*$X$983</f>
        <v>0.91147100000000003</v>
      </c>
      <c r="AE983" s="4">
        <f>$K$983*$Y$983</f>
        <v>0</v>
      </c>
      <c r="AF983" s="4">
        <f ca="1">$M$983*$Z$983</f>
        <v>0.26653037946868458</v>
      </c>
      <c r="AG983" s="4">
        <f>$O$983*$AA$983</f>
        <v>0.91489703429383296</v>
      </c>
    </row>
    <row r="984" spans="1:33" ht="11.25" customHeight="1" x14ac:dyDescent="0.25">
      <c r="A984" s="3" t="s">
        <v>21</v>
      </c>
      <c r="B984" s="3" t="s">
        <v>41</v>
      </c>
      <c r="C984" s="3" t="s">
        <v>42</v>
      </c>
      <c r="D984" s="3" t="s">
        <v>45</v>
      </c>
      <c r="E984" s="3" t="s">
        <v>53</v>
      </c>
      <c r="F984" s="3" t="s">
        <v>55</v>
      </c>
      <c r="G984" s="3" t="s">
        <v>25</v>
      </c>
      <c r="H984" s="3" t="s">
        <v>35</v>
      </c>
      <c r="I984" s="6">
        <v>44378</v>
      </c>
      <c r="J984" s="4">
        <v>0</v>
      </c>
      <c r="K984" s="4">
        <v>0</v>
      </c>
      <c r="L984" s="4">
        <v>354.49200000000002</v>
      </c>
      <c r="M984" s="4">
        <v>35.449199999999998</v>
      </c>
      <c r="N984" s="4">
        <v>354.49200000000002</v>
      </c>
      <c r="O984" s="4">
        <v>35.449199999999998</v>
      </c>
      <c r="P984" s="4">
        <v>0</v>
      </c>
      <c r="Q984" s="3" t="s">
        <v>26</v>
      </c>
      <c r="R984" s="3">
        <v>0</v>
      </c>
      <c r="S984" s="4">
        <v>0</v>
      </c>
      <c r="T984" s="4">
        <v>21</v>
      </c>
      <c r="U984" s="4">
        <v>89</v>
      </c>
      <c r="V984" s="4">
        <f>IF(ISERROR(VLOOKUP($S$984,'TAR FIN'!$A$1:$O$113,15,0)),0,VLOOKUP($S$984,'TAR FIN'!$A$1:$O$113,15,0))</f>
        <v>0</v>
      </c>
      <c r="W984" s="4">
        <f>IF(ISERROR(VLOOKUP($T$984,'TAR FIN'!$A$1:$O$113,15,0)),0,VLOOKUP($T$984,'TAR FIN'!$A$1:$O$113,15,0))</f>
        <v>51.27</v>
      </c>
      <c r="X984" s="4">
        <f>IF(ISERROR(VLOOKUP($U$984,'TAR FIN'!$A$1:$O$113,15,0)),0,VLOOKUP($U$984,'TAR FIN'!$A$1:$O$113,15,0))</f>
        <v>222.31</v>
      </c>
      <c r="Y984" s="4"/>
      <c r="Z984" s="4">
        <f ca="1">('TUSD BE'!$AM$32+'TUSD BF'!$AM$32+'TUSD CVA'!$AM$32)*1</f>
        <v>65.007409626508434</v>
      </c>
      <c r="AA984" s="4">
        <f>('TE BE'!$AA$11+'TE BF'!$AA$11+'TE CVA'!$AA$11)*1</f>
        <v>223.14561812044704</v>
      </c>
      <c r="AB984" s="4">
        <f>$K$984*$V$984</f>
        <v>0</v>
      </c>
      <c r="AC984" s="4">
        <f>$M$984*$W$984</f>
        <v>1817.4804839999999</v>
      </c>
      <c r="AD984" s="4">
        <f>$O$984*$X$984</f>
        <v>7880.711652</v>
      </c>
      <c r="AE984" s="4">
        <f>$K$984*$Y$984</f>
        <v>0</v>
      </c>
      <c r="AF984" s="4">
        <f ca="1">$M$984*$Z$984</f>
        <v>2304.4606653320225</v>
      </c>
      <c r="AG984" s="4">
        <f>$O$984*$AA$984</f>
        <v>7910.3336458753511</v>
      </c>
    </row>
    <row r="985" spans="1:33" ht="11.25" customHeight="1" x14ac:dyDescent="0.25">
      <c r="A985" s="3" t="s">
        <v>28</v>
      </c>
      <c r="B985" s="3" t="s">
        <v>41</v>
      </c>
      <c r="C985" s="3" t="s">
        <v>42</v>
      </c>
      <c r="D985" s="3" t="s">
        <v>45</v>
      </c>
      <c r="E985" s="3" t="s">
        <v>53</v>
      </c>
      <c r="F985" s="3" t="s">
        <v>55</v>
      </c>
      <c r="G985" s="3" t="s">
        <v>25</v>
      </c>
      <c r="H985" s="3" t="s">
        <v>35</v>
      </c>
      <c r="I985" s="6">
        <v>44378</v>
      </c>
      <c r="J985" s="4">
        <v>0</v>
      </c>
      <c r="K985" s="4">
        <v>0</v>
      </c>
      <c r="L985" s="4">
        <v>8.2000000000000003E-2</v>
      </c>
      <c r="M985" s="4">
        <v>8.2000000000000007E-3</v>
      </c>
      <c r="N985" s="4">
        <v>8.2000000000000003E-2</v>
      </c>
      <c r="O985" s="4">
        <v>8.2000000000000007E-3</v>
      </c>
      <c r="P985" s="4">
        <v>0</v>
      </c>
      <c r="Q985" s="3" t="s">
        <v>26</v>
      </c>
      <c r="R985" s="3">
        <v>0</v>
      </c>
      <c r="S985" s="4">
        <v>0</v>
      </c>
      <c r="T985" s="4">
        <v>21</v>
      </c>
      <c r="U985" s="4">
        <v>89</v>
      </c>
      <c r="V985" s="4">
        <f>IF(ISERROR(VLOOKUP($S$985,'TAR FIN'!$A$1:$O$113,15,0)),0,VLOOKUP($S$985,'TAR FIN'!$A$1:$O$113,15,0))</f>
        <v>0</v>
      </c>
      <c r="W985" s="4">
        <f>IF(ISERROR(VLOOKUP($T$985,'TAR FIN'!$A$1:$O$113,15,0)),0,VLOOKUP($T$985,'TAR FIN'!$A$1:$O$113,15,0))</f>
        <v>51.27</v>
      </c>
      <c r="X985" s="4">
        <f>IF(ISERROR(VLOOKUP($U$985,'TAR FIN'!$A$1:$O$113,15,0)),0,VLOOKUP($U$985,'TAR FIN'!$A$1:$O$113,15,0))</f>
        <v>222.31</v>
      </c>
      <c r="Y985" s="4"/>
      <c r="Z985" s="4">
        <f ca="1">('TUSD BE'!$AM$32+'TUSD BF'!$AM$32+'TUSD CVA'!$AM$32)*1</f>
        <v>65.007409626508434</v>
      </c>
      <c r="AA985" s="4">
        <f>('TE BE'!$AA$11+'TE BF'!$AA$11+'TE CVA'!$AA$11)*1</f>
        <v>223.14561812044704</v>
      </c>
      <c r="AB985" s="4">
        <f>$K$985*$V$985</f>
        <v>0</v>
      </c>
      <c r="AC985" s="4">
        <f>$M$985*$W$985</f>
        <v>0.42041400000000007</v>
      </c>
      <c r="AD985" s="4">
        <f>$O$985*$X$985</f>
        <v>1.8229420000000001</v>
      </c>
      <c r="AE985" s="4">
        <f>$K$985*$Y$985</f>
        <v>0</v>
      </c>
      <c r="AF985" s="4">
        <f ca="1">$M$985*$Z$985</f>
        <v>0.53306075893736915</v>
      </c>
      <c r="AG985" s="4">
        <f>$O$985*$AA$985</f>
        <v>1.8297940685876659</v>
      </c>
    </row>
    <row r="986" spans="1:33" ht="11.25" customHeight="1" x14ac:dyDescent="0.25">
      <c r="A986" s="3" t="s">
        <v>21</v>
      </c>
      <c r="B986" s="3" t="s">
        <v>41</v>
      </c>
      <c r="C986" s="3" t="s">
        <v>42</v>
      </c>
      <c r="D986" s="3" t="s">
        <v>45</v>
      </c>
      <c r="E986" s="3" t="s">
        <v>53</v>
      </c>
      <c r="F986" s="3" t="s">
        <v>55</v>
      </c>
      <c r="G986" s="3" t="s">
        <v>25</v>
      </c>
      <c r="H986" s="3" t="s">
        <v>35</v>
      </c>
      <c r="I986" s="6">
        <v>44409</v>
      </c>
      <c r="J986" s="4">
        <v>0</v>
      </c>
      <c r="K986" s="4">
        <v>0</v>
      </c>
      <c r="L986" s="4">
        <v>599.25599999999997</v>
      </c>
      <c r="M986" s="4">
        <v>59.925600000000003</v>
      </c>
      <c r="N986" s="4">
        <v>599.25599999999997</v>
      </c>
      <c r="O986" s="4">
        <v>59.925600000000003</v>
      </c>
      <c r="P986" s="4">
        <v>0</v>
      </c>
      <c r="Q986" s="3" t="s">
        <v>26</v>
      </c>
      <c r="R986" s="3">
        <v>0</v>
      </c>
      <c r="S986" s="4">
        <v>0</v>
      </c>
      <c r="T986" s="4">
        <v>21</v>
      </c>
      <c r="U986" s="4">
        <v>89</v>
      </c>
      <c r="V986" s="4">
        <f>IF(ISERROR(VLOOKUP($S$986,'TAR FIN'!$A$1:$O$113,15,0)),0,VLOOKUP($S$986,'TAR FIN'!$A$1:$O$113,15,0))</f>
        <v>0</v>
      </c>
      <c r="W986" s="4">
        <f>IF(ISERROR(VLOOKUP($T$986,'TAR FIN'!$A$1:$O$113,15,0)),0,VLOOKUP($T$986,'TAR FIN'!$A$1:$O$113,15,0))</f>
        <v>51.27</v>
      </c>
      <c r="X986" s="4">
        <f>IF(ISERROR(VLOOKUP($U$986,'TAR FIN'!$A$1:$O$113,15,0)),0,VLOOKUP($U$986,'TAR FIN'!$A$1:$O$113,15,0))</f>
        <v>222.31</v>
      </c>
      <c r="Y986" s="4"/>
      <c r="Z986" s="4">
        <f ca="1">('TUSD BE'!$AM$32+'TUSD BF'!$AM$32+'TUSD CVA'!$AM$32)*1</f>
        <v>65.007409626508434</v>
      </c>
      <c r="AA986" s="4">
        <f>('TE BE'!$AA$11+'TE BF'!$AA$11+'TE CVA'!$AA$11)*1</f>
        <v>223.14561812044704</v>
      </c>
      <c r="AB986" s="4">
        <f>$K$986*$V$986</f>
        <v>0</v>
      </c>
      <c r="AC986" s="4">
        <f>$M$986*$W$986</f>
        <v>3072.3855120000003</v>
      </c>
      <c r="AD986" s="4">
        <f>$O$986*$X$986</f>
        <v>13322.060136</v>
      </c>
      <c r="AE986" s="4">
        <f>$K$986*$Y$986</f>
        <v>0</v>
      </c>
      <c r="AF986" s="4">
        <f ca="1">$M$986*$Z$986</f>
        <v>3895.608026314294</v>
      </c>
      <c r="AG986" s="4">
        <f>$O$986*$AA$986</f>
        <v>13372.135053238662</v>
      </c>
    </row>
    <row r="987" spans="1:33" ht="11.25" customHeight="1" x14ac:dyDescent="0.25">
      <c r="A987" s="3" t="s">
        <v>28</v>
      </c>
      <c r="B987" s="3" t="s">
        <v>41</v>
      </c>
      <c r="C987" s="3" t="s">
        <v>42</v>
      </c>
      <c r="D987" s="3" t="s">
        <v>45</v>
      </c>
      <c r="E987" s="3" t="s">
        <v>53</v>
      </c>
      <c r="F987" s="3" t="s">
        <v>55</v>
      </c>
      <c r="G987" s="3" t="s">
        <v>25</v>
      </c>
      <c r="H987" s="3" t="s">
        <v>35</v>
      </c>
      <c r="I987" s="6">
        <v>44409</v>
      </c>
      <c r="J987" s="4">
        <v>0</v>
      </c>
      <c r="K987" s="4">
        <v>0</v>
      </c>
      <c r="L987" s="4">
        <v>8.2000000000000003E-2</v>
      </c>
      <c r="M987" s="4">
        <v>8.2000000000000007E-3</v>
      </c>
      <c r="N987" s="4">
        <v>8.2000000000000003E-2</v>
      </c>
      <c r="O987" s="4">
        <v>8.2000000000000007E-3</v>
      </c>
      <c r="P987" s="4">
        <v>0</v>
      </c>
      <c r="Q987" s="3" t="s">
        <v>26</v>
      </c>
      <c r="R987" s="3">
        <v>0</v>
      </c>
      <c r="S987" s="4">
        <v>0</v>
      </c>
      <c r="T987" s="4">
        <v>21</v>
      </c>
      <c r="U987" s="4">
        <v>89</v>
      </c>
      <c r="V987" s="4">
        <f>IF(ISERROR(VLOOKUP($S$987,'TAR FIN'!$A$1:$O$113,15,0)),0,VLOOKUP($S$987,'TAR FIN'!$A$1:$O$113,15,0))</f>
        <v>0</v>
      </c>
      <c r="W987" s="4">
        <f>IF(ISERROR(VLOOKUP($T$987,'TAR FIN'!$A$1:$O$113,15,0)),0,VLOOKUP($T$987,'TAR FIN'!$A$1:$O$113,15,0))</f>
        <v>51.27</v>
      </c>
      <c r="X987" s="4">
        <f>IF(ISERROR(VLOOKUP($U$987,'TAR FIN'!$A$1:$O$113,15,0)),0,VLOOKUP($U$987,'TAR FIN'!$A$1:$O$113,15,0))</f>
        <v>222.31</v>
      </c>
      <c r="Y987" s="4"/>
      <c r="Z987" s="4">
        <f ca="1">('TUSD BE'!$AM$32+'TUSD BF'!$AM$32+'TUSD CVA'!$AM$32)*1</f>
        <v>65.007409626508434</v>
      </c>
      <c r="AA987" s="4">
        <f>('TE BE'!$AA$11+'TE BF'!$AA$11+'TE CVA'!$AA$11)*1</f>
        <v>223.14561812044704</v>
      </c>
      <c r="AB987" s="4">
        <f>$K$987*$V$987</f>
        <v>0</v>
      </c>
      <c r="AC987" s="4">
        <f>$M$987*$W$987</f>
        <v>0.42041400000000007</v>
      </c>
      <c r="AD987" s="4">
        <f>$O$987*$X$987</f>
        <v>1.8229420000000001</v>
      </c>
      <c r="AE987" s="4">
        <f>$K$987*$Y$987</f>
        <v>0</v>
      </c>
      <c r="AF987" s="4">
        <f ca="1">$M$987*$Z$987</f>
        <v>0.53306075893736915</v>
      </c>
      <c r="AG987" s="4">
        <f>$O$987*$AA$987</f>
        <v>1.8297940685876659</v>
      </c>
    </row>
    <row r="988" spans="1:33" ht="11.25" customHeight="1" x14ac:dyDescent="0.25">
      <c r="A988" s="3" t="s">
        <v>21</v>
      </c>
      <c r="B988" s="3" t="s">
        <v>41</v>
      </c>
      <c r="C988" s="3" t="s">
        <v>42</v>
      </c>
      <c r="D988" s="3" t="s">
        <v>45</v>
      </c>
      <c r="E988" s="3" t="s">
        <v>53</v>
      </c>
      <c r="F988" s="3" t="s">
        <v>55</v>
      </c>
      <c r="G988" s="3" t="s">
        <v>25</v>
      </c>
      <c r="H988" s="3" t="s">
        <v>35</v>
      </c>
      <c r="I988" s="6">
        <v>44440</v>
      </c>
      <c r="J988" s="4">
        <v>0</v>
      </c>
      <c r="K988" s="4">
        <v>0</v>
      </c>
      <c r="L988" s="4">
        <v>891.18</v>
      </c>
      <c r="M988" s="4">
        <v>89.117999999999995</v>
      </c>
      <c r="N988" s="4">
        <v>891.18</v>
      </c>
      <c r="O988" s="4">
        <v>89.117999999999995</v>
      </c>
      <c r="P988" s="4">
        <v>0</v>
      </c>
      <c r="Q988" s="3" t="s">
        <v>26</v>
      </c>
      <c r="R988" s="3">
        <v>0</v>
      </c>
      <c r="S988" s="4">
        <v>0</v>
      </c>
      <c r="T988" s="4">
        <v>21</v>
      </c>
      <c r="U988" s="4">
        <v>89</v>
      </c>
      <c r="V988" s="4">
        <f>IF(ISERROR(VLOOKUP($S$988,'TAR FIN'!$A$1:$O$113,15,0)),0,VLOOKUP($S$988,'TAR FIN'!$A$1:$O$113,15,0))</f>
        <v>0</v>
      </c>
      <c r="W988" s="4">
        <f>IF(ISERROR(VLOOKUP($T$988,'TAR FIN'!$A$1:$O$113,15,0)),0,VLOOKUP($T$988,'TAR FIN'!$A$1:$O$113,15,0))</f>
        <v>51.27</v>
      </c>
      <c r="X988" s="4">
        <f>IF(ISERROR(VLOOKUP($U$988,'TAR FIN'!$A$1:$O$113,15,0)),0,VLOOKUP($U$988,'TAR FIN'!$A$1:$O$113,15,0))</f>
        <v>222.31</v>
      </c>
      <c r="Y988" s="4"/>
      <c r="Z988" s="4">
        <f ca="1">('TUSD BE'!$AM$32+'TUSD BF'!$AM$32+'TUSD CVA'!$AM$32)*1</f>
        <v>65.007409626508434</v>
      </c>
      <c r="AA988" s="4">
        <f>('TE BE'!$AA$11+'TE BF'!$AA$11+'TE CVA'!$AA$11)*1</f>
        <v>223.14561812044704</v>
      </c>
      <c r="AB988" s="4">
        <f>$K$988*$V$988</f>
        <v>0</v>
      </c>
      <c r="AC988" s="4">
        <f>$M$988*$W$988</f>
        <v>4569.0798599999998</v>
      </c>
      <c r="AD988" s="4">
        <f>$O$988*$X$988</f>
        <v>19811.82258</v>
      </c>
      <c r="AE988" s="4">
        <f>$K$988*$Y$988</f>
        <v>0</v>
      </c>
      <c r="AF988" s="4">
        <f ca="1">$M$988*$Z$988</f>
        <v>5793.3303310951778</v>
      </c>
      <c r="AG988" s="4">
        <f>$O$988*$AA$988</f>
        <v>19886.291195657999</v>
      </c>
    </row>
    <row r="989" spans="1:33" ht="11.25" customHeight="1" x14ac:dyDescent="0.25">
      <c r="A989" s="3" t="s">
        <v>28</v>
      </c>
      <c r="B989" s="3" t="s">
        <v>41</v>
      </c>
      <c r="C989" s="3" t="s">
        <v>42</v>
      </c>
      <c r="D989" s="3" t="s">
        <v>45</v>
      </c>
      <c r="E989" s="3" t="s">
        <v>53</v>
      </c>
      <c r="F989" s="3" t="s">
        <v>55</v>
      </c>
      <c r="G989" s="3" t="s">
        <v>25</v>
      </c>
      <c r="H989" s="3" t="s">
        <v>35</v>
      </c>
      <c r="I989" s="6">
        <v>44440</v>
      </c>
      <c r="J989" s="4">
        <v>0</v>
      </c>
      <c r="K989" s="4">
        <v>0</v>
      </c>
      <c r="L989" s="4">
        <v>2.6240000000000001</v>
      </c>
      <c r="M989" s="4">
        <v>0.26240000000000002</v>
      </c>
      <c r="N989" s="4">
        <v>2.6240000000000001</v>
      </c>
      <c r="O989" s="4">
        <v>0.26240000000000002</v>
      </c>
      <c r="P989" s="4">
        <v>0</v>
      </c>
      <c r="Q989" s="3" t="s">
        <v>26</v>
      </c>
      <c r="R989" s="3">
        <v>0</v>
      </c>
      <c r="S989" s="4">
        <v>0</v>
      </c>
      <c r="T989" s="4">
        <v>21</v>
      </c>
      <c r="U989" s="4">
        <v>89</v>
      </c>
      <c r="V989" s="4">
        <f>IF(ISERROR(VLOOKUP($S$989,'TAR FIN'!$A$1:$O$113,15,0)),0,VLOOKUP($S$989,'TAR FIN'!$A$1:$O$113,15,0))</f>
        <v>0</v>
      </c>
      <c r="W989" s="4">
        <f>IF(ISERROR(VLOOKUP($T$989,'TAR FIN'!$A$1:$O$113,15,0)),0,VLOOKUP($T$989,'TAR FIN'!$A$1:$O$113,15,0))</f>
        <v>51.27</v>
      </c>
      <c r="X989" s="4">
        <f>IF(ISERROR(VLOOKUP($U$989,'TAR FIN'!$A$1:$O$113,15,0)),0,VLOOKUP($U$989,'TAR FIN'!$A$1:$O$113,15,0))</f>
        <v>222.31</v>
      </c>
      <c r="Y989" s="4"/>
      <c r="Z989" s="4">
        <f ca="1">('TUSD BE'!$AM$32+'TUSD BF'!$AM$32+'TUSD CVA'!$AM$32)*1</f>
        <v>65.007409626508434</v>
      </c>
      <c r="AA989" s="4">
        <f>('TE BE'!$AA$11+'TE BF'!$AA$11+'TE CVA'!$AA$11)*1</f>
        <v>223.14561812044704</v>
      </c>
      <c r="AB989" s="4">
        <f>$K$989*$V$989</f>
        <v>0</v>
      </c>
      <c r="AC989" s="4">
        <f>$M$989*$W$989</f>
        <v>13.453248000000002</v>
      </c>
      <c r="AD989" s="4">
        <f>$O$989*$X$989</f>
        <v>58.334144000000002</v>
      </c>
      <c r="AE989" s="4">
        <f>$K$989*$Y$989</f>
        <v>0</v>
      </c>
      <c r="AF989" s="4">
        <f ca="1">$M$989*$Z$989</f>
        <v>17.057944285995813</v>
      </c>
      <c r="AG989" s="4">
        <f>$O$989*$AA$989</f>
        <v>58.553410194805309</v>
      </c>
    </row>
    <row r="990" spans="1:33" ht="11.25" customHeight="1" x14ac:dyDescent="0.25">
      <c r="A990" s="3" t="s">
        <v>21</v>
      </c>
      <c r="B990" s="3" t="s">
        <v>41</v>
      </c>
      <c r="C990" s="3" t="s">
        <v>42</v>
      </c>
      <c r="D990" s="3" t="s">
        <v>45</v>
      </c>
      <c r="E990" s="3" t="s">
        <v>53</v>
      </c>
      <c r="F990" s="3" t="s">
        <v>55</v>
      </c>
      <c r="G990" s="3" t="s">
        <v>25</v>
      </c>
      <c r="H990" s="3" t="s">
        <v>35</v>
      </c>
      <c r="I990" s="6">
        <v>44470</v>
      </c>
      <c r="J990" s="4">
        <v>0</v>
      </c>
      <c r="K990" s="4">
        <v>0</v>
      </c>
      <c r="L990" s="4">
        <v>1351.895</v>
      </c>
      <c r="M990" s="4">
        <v>135.18950000000001</v>
      </c>
      <c r="N990" s="4">
        <v>1351.895</v>
      </c>
      <c r="O990" s="4">
        <v>135.18950000000001</v>
      </c>
      <c r="P990" s="4">
        <v>0</v>
      </c>
      <c r="Q990" s="3" t="s">
        <v>26</v>
      </c>
      <c r="R990" s="3">
        <v>0</v>
      </c>
      <c r="S990" s="4">
        <v>0</v>
      </c>
      <c r="T990" s="4">
        <v>21</v>
      </c>
      <c r="U990" s="4">
        <v>89</v>
      </c>
      <c r="V990" s="4">
        <f>IF(ISERROR(VLOOKUP($S$990,'TAR FIN'!$A$1:$O$113,15,0)),0,VLOOKUP($S$990,'TAR FIN'!$A$1:$O$113,15,0))</f>
        <v>0</v>
      </c>
      <c r="W990" s="4">
        <f>IF(ISERROR(VLOOKUP($T$990,'TAR FIN'!$A$1:$O$113,15,0)),0,VLOOKUP($T$990,'TAR FIN'!$A$1:$O$113,15,0))</f>
        <v>51.27</v>
      </c>
      <c r="X990" s="4">
        <f>IF(ISERROR(VLOOKUP($U$990,'TAR FIN'!$A$1:$O$113,15,0)),0,VLOOKUP($U$990,'TAR FIN'!$A$1:$O$113,15,0))</f>
        <v>222.31</v>
      </c>
      <c r="Y990" s="4"/>
      <c r="Z990" s="4">
        <f ca="1">('TUSD BE'!$AM$32+'TUSD BF'!$AM$32+'TUSD CVA'!$AM$32)*1</f>
        <v>65.007409626508434</v>
      </c>
      <c r="AA990" s="4">
        <f>('TE BE'!$AA$11+'TE BF'!$AA$11+'TE CVA'!$AA$11)*1</f>
        <v>223.14561812044704</v>
      </c>
      <c r="AB990" s="4">
        <f>$K$990*$V$990</f>
        <v>0</v>
      </c>
      <c r="AC990" s="4">
        <f>$M$990*$W$990</f>
        <v>6931.1656650000014</v>
      </c>
      <c r="AD990" s="4">
        <f>$O$990*$X$990</f>
        <v>30053.977745000004</v>
      </c>
      <c r="AE990" s="4">
        <f>$K$990*$Y$990</f>
        <v>0</v>
      </c>
      <c r="AF990" s="4">
        <f ca="1">$M$990*$Z$990</f>
        <v>8788.3192037028621</v>
      </c>
      <c r="AG990" s="4">
        <f>$O$990*$AA$990</f>
        <v>30166.944540894176</v>
      </c>
    </row>
    <row r="991" spans="1:33" ht="11.25" customHeight="1" x14ac:dyDescent="0.25">
      <c r="A991" s="3" t="s">
        <v>28</v>
      </c>
      <c r="B991" s="3" t="s">
        <v>41</v>
      </c>
      <c r="C991" s="3" t="s">
        <v>42</v>
      </c>
      <c r="D991" s="3" t="s">
        <v>45</v>
      </c>
      <c r="E991" s="3" t="s">
        <v>53</v>
      </c>
      <c r="F991" s="3" t="s">
        <v>55</v>
      </c>
      <c r="G991" s="3" t="s">
        <v>25</v>
      </c>
      <c r="H991" s="3" t="s">
        <v>35</v>
      </c>
      <c r="I991" s="6">
        <v>44470</v>
      </c>
      <c r="J991" s="4">
        <v>0</v>
      </c>
      <c r="K991" s="4">
        <v>0</v>
      </c>
      <c r="L991" s="4">
        <v>8.8970000000000002</v>
      </c>
      <c r="M991" s="4">
        <v>0.88970000000000005</v>
      </c>
      <c r="N991" s="4">
        <v>8.8970000000000002</v>
      </c>
      <c r="O991" s="4">
        <v>0.88970000000000005</v>
      </c>
      <c r="P991" s="4">
        <v>0</v>
      </c>
      <c r="Q991" s="3" t="s">
        <v>26</v>
      </c>
      <c r="R991" s="3">
        <v>0</v>
      </c>
      <c r="S991" s="4">
        <v>0</v>
      </c>
      <c r="T991" s="4">
        <v>21</v>
      </c>
      <c r="U991" s="4">
        <v>89</v>
      </c>
      <c r="V991" s="4">
        <f>IF(ISERROR(VLOOKUP($S$991,'TAR FIN'!$A$1:$O$113,15,0)),0,VLOOKUP($S$991,'TAR FIN'!$A$1:$O$113,15,0))</f>
        <v>0</v>
      </c>
      <c r="W991" s="4">
        <f>IF(ISERROR(VLOOKUP($T$991,'TAR FIN'!$A$1:$O$113,15,0)),0,VLOOKUP($T$991,'TAR FIN'!$A$1:$O$113,15,0))</f>
        <v>51.27</v>
      </c>
      <c r="X991" s="4">
        <f>IF(ISERROR(VLOOKUP($U$991,'TAR FIN'!$A$1:$O$113,15,0)),0,VLOOKUP($U$991,'TAR FIN'!$A$1:$O$113,15,0))</f>
        <v>222.31</v>
      </c>
      <c r="Y991" s="4"/>
      <c r="Z991" s="4">
        <f ca="1">('TUSD BE'!$AM$32+'TUSD BF'!$AM$32+'TUSD CVA'!$AM$32)*1</f>
        <v>65.007409626508434</v>
      </c>
      <c r="AA991" s="4">
        <f>('TE BE'!$AA$11+'TE BF'!$AA$11+'TE CVA'!$AA$11)*1</f>
        <v>223.14561812044704</v>
      </c>
      <c r="AB991" s="4">
        <f>$K$991*$V$991</f>
        <v>0</v>
      </c>
      <c r="AC991" s="4">
        <f>$M$991*$W$991</f>
        <v>45.614919000000008</v>
      </c>
      <c r="AD991" s="4">
        <f>$O$991*$X$991</f>
        <v>197.789207</v>
      </c>
      <c r="AE991" s="4">
        <f>$K$991*$Y$991</f>
        <v>0</v>
      </c>
      <c r="AF991" s="4">
        <f ca="1">$M$991*$Z$991</f>
        <v>57.837092344704558</v>
      </c>
      <c r="AG991" s="4">
        <f>$O$991*$AA$991</f>
        <v>198.53265644176173</v>
      </c>
    </row>
    <row r="992" spans="1:33" ht="11.25" customHeight="1" x14ac:dyDescent="0.25">
      <c r="A992" s="3" t="s">
        <v>21</v>
      </c>
      <c r="B992" s="3" t="s">
        <v>41</v>
      </c>
      <c r="C992" s="3" t="s">
        <v>42</v>
      </c>
      <c r="D992" s="3" t="s">
        <v>45</v>
      </c>
      <c r="E992" s="3" t="s">
        <v>53</v>
      </c>
      <c r="F992" s="3" t="s">
        <v>55</v>
      </c>
      <c r="G992" s="3" t="s">
        <v>25</v>
      </c>
      <c r="H992" s="3" t="s">
        <v>35</v>
      </c>
      <c r="I992" s="6">
        <v>44501</v>
      </c>
      <c r="J992" s="4">
        <v>0</v>
      </c>
      <c r="K992" s="4">
        <v>0</v>
      </c>
      <c r="L992" s="4">
        <v>1290.3910000000001</v>
      </c>
      <c r="M992" s="4">
        <v>129.03909999999999</v>
      </c>
      <c r="N992" s="4">
        <v>1290.3910000000001</v>
      </c>
      <c r="O992" s="4">
        <v>129.03909999999999</v>
      </c>
      <c r="P992" s="4">
        <v>0</v>
      </c>
      <c r="Q992" s="3" t="s">
        <v>26</v>
      </c>
      <c r="R992" s="3">
        <v>0</v>
      </c>
      <c r="S992" s="4">
        <v>0</v>
      </c>
      <c r="T992" s="4">
        <v>21</v>
      </c>
      <c r="U992" s="4">
        <v>89</v>
      </c>
      <c r="V992" s="4">
        <f>IF(ISERROR(VLOOKUP($S$992,'TAR FIN'!$A$1:$O$113,15,0)),0,VLOOKUP($S$992,'TAR FIN'!$A$1:$O$113,15,0))</f>
        <v>0</v>
      </c>
      <c r="W992" s="4">
        <f>IF(ISERROR(VLOOKUP($T$992,'TAR FIN'!$A$1:$O$113,15,0)),0,VLOOKUP($T$992,'TAR FIN'!$A$1:$O$113,15,0))</f>
        <v>51.27</v>
      </c>
      <c r="X992" s="4">
        <f>IF(ISERROR(VLOOKUP($U$992,'TAR FIN'!$A$1:$O$113,15,0)),0,VLOOKUP($U$992,'TAR FIN'!$A$1:$O$113,15,0))</f>
        <v>222.31</v>
      </c>
      <c r="Y992" s="4"/>
      <c r="Z992" s="4">
        <f ca="1">('TUSD BE'!$AM$32+'TUSD BF'!$AM$32+'TUSD CVA'!$AM$32)*1</f>
        <v>65.007409626508434</v>
      </c>
      <c r="AA992" s="4">
        <f>('TE BE'!$AA$11+'TE BF'!$AA$11+'TE CVA'!$AA$11)*1</f>
        <v>223.14561812044704</v>
      </c>
      <c r="AB992" s="4">
        <f>$K$992*$V$992</f>
        <v>0</v>
      </c>
      <c r="AC992" s="4">
        <f>$M$992*$W$992</f>
        <v>6615.8346570000003</v>
      </c>
      <c r="AD992" s="4">
        <f>$O$992*$X$992</f>
        <v>28686.682320999997</v>
      </c>
      <c r="AE992" s="4">
        <f>$K$992*$Y$992</f>
        <v>0</v>
      </c>
      <c r="AF992" s="4">
        <f ca="1">$M$992*$Z$992</f>
        <v>8388.4976315359836</v>
      </c>
      <c r="AG992" s="4">
        <f>$O$992*$AA$992</f>
        <v>28794.509731206177</v>
      </c>
    </row>
    <row r="993" spans="1:33" ht="11.25" customHeight="1" x14ac:dyDescent="0.25">
      <c r="A993" s="3" t="s">
        <v>28</v>
      </c>
      <c r="B993" s="3" t="s">
        <v>41</v>
      </c>
      <c r="C993" s="3" t="s">
        <v>42</v>
      </c>
      <c r="D993" s="3" t="s">
        <v>45</v>
      </c>
      <c r="E993" s="3" t="s">
        <v>53</v>
      </c>
      <c r="F993" s="3" t="s">
        <v>55</v>
      </c>
      <c r="G993" s="3" t="s">
        <v>25</v>
      </c>
      <c r="H993" s="3" t="s">
        <v>35</v>
      </c>
      <c r="I993" s="6">
        <v>44501</v>
      </c>
      <c r="J993" s="4">
        <v>0</v>
      </c>
      <c r="K993" s="4">
        <v>0</v>
      </c>
      <c r="L993" s="4">
        <v>9.2249999999999996</v>
      </c>
      <c r="M993" s="4">
        <v>0.92249999999999999</v>
      </c>
      <c r="N993" s="4">
        <v>9.2249999999999996</v>
      </c>
      <c r="O993" s="4">
        <v>0.92249999999999999</v>
      </c>
      <c r="P993" s="4">
        <v>0</v>
      </c>
      <c r="Q993" s="3" t="s">
        <v>26</v>
      </c>
      <c r="R993" s="3">
        <v>0</v>
      </c>
      <c r="S993" s="4">
        <v>0</v>
      </c>
      <c r="T993" s="4">
        <v>21</v>
      </c>
      <c r="U993" s="4">
        <v>89</v>
      </c>
      <c r="V993" s="4">
        <f>IF(ISERROR(VLOOKUP($S$993,'TAR FIN'!$A$1:$O$113,15,0)),0,VLOOKUP($S$993,'TAR FIN'!$A$1:$O$113,15,0))</f>
        <v>0</v>
      </c>
      <c r="W993" s="4">
        <f>IF(ISERROR(VLOOKUP($T$993,'TAR FIN'!$A$1:$O$113,15,0)),0,VLOOKUP($T$993,'TAR FIN'!$A$1:$O$113,15,0))</f>
        <v>51.27</v>
      </c>
      <c r="X993" s="4">
        <f>IF(ISERROR(VLOOKUP($U$993,'TAR FIN'!$A$1:$O$113,15,0)),0,VLOOKUP($U$993,'TAR FIN'!$A$1:$O$113,15,0))</f>
        <v>222.31</v>
      </c>
      <c r="Y993" s="4"/>
      <c r="Z993" s="4">
        <f ca="1">('TUSD BE'!$AM$32+'TUSD BF'!$AM$32+'TUSD CVA'!$AM$32)*1</f>
        <v>65.007409626508434</v>
      </c>
      <c r="AA993" s="4">
        <f>('TE BE'!$AA$11+'TE BF'!$AA$11+'TE CVA'!$AA$11)*1</f>
        <v>223.14561812044704</v>
      </c>
      <c r="AB993" s="4">
        <f>$K$993*$V$993</f>
        <v>0</v>
      </c>
      <c r="AC993" s="4">
        <f>$M$993*$W$993</f>
        <v>47.296575000000004</v>
      </c>
      <c r="AD993" s="4">
        <f>$O$993*$X$993</f>
        <v>205.080975</v>
      </c>
      <c r="AE993" s="4">
        <f>$K$993*$Y$993</f>
        <v>0</v>
      </c>
      <c r="AF993" s="4">
        <f ca="1">$M$993*$Z$993</f>
        <v>59.969335380454027</v>
      </c>
      <c r="AG993" s="4">
        <f>$O$993*$AA$993</f>
        <v>205.8518327161124</v>
      </c>
    </row>
    <row r="994" spans="1:33" ht="11.25" customHeight="1" x14ac:dyDescent="0.25">
      <c r="A994" s="3" t="s">
        <v>21</v>
      </c>
      <c r="B994" s="3" t="s">
        <v>41</v>
      </c>
      <c r="C994" s="3" t="s">
        <v>42</v>
      </c>
      <c r="D994" s="3" t="s">
        <v>45</v>
      </c>
      <c r="E994" s="3" t="s">
        <v>53</v>
      </c>
      <c r="F994" s="3" t="s">
        <v>55</v>
      </c>
      <c r="G994" s="3" t="s">
        <v>25</v>
      </c>
      <c r="H994" s="3" t="s">
        <v>35</v>
      </c>
      <c r="I994" s="6">
        <v>44531</v>
      </c>
      <c r="J994" s="4">
        <v>0</v>
      </c>
      <c r="K994" s="4">
        <v>0</v>
      </c>
      <c r="L994" s="4">
        <v>920.84900000000005</v>
      </c>
      <c r="M994" s="4">
        <v>92.084900000000005</v>
      </c>
      <c r="N994" s="4">
        <v>920.84900000000005</v>
      </c>
      <c r="O994" s="4">
        <v>92.084900000000005</v>
      </c>
      <c r="P994" s="4">
        <v>0</v>
      </c>
      <c r="Q994" s="3" t="s">
        <v>26</v>
      </c>
      <c r="R994" s="3">
        <v>0</v>
      </c>
      <c r="S994" s="4">
        <v>0</v>
      </c>
      <c r="T994" s="4">
        <v>21</v>
      </c>
      <c r="U994" s="4">
        <v>89</v>
      </c>
      <c r="V994" s="4">
        <f>IF(ISERROR(VLOOKUP($S$994,'TAR FIN'!$A$1:$O$113,15,0)),0,VLOOKUP($S$994,'TAR FIN'!$A$1:$O$113,15,0))</f>
        <v>0</v>
      </c>
      <c r="W994" s="4">
        <f>IF(ISERROR(VLOOKUP($T$994,'TAR FIN'!$A$1:$O$113,15,0)),0,VLOOKUP($T$994,'TAR FIN'!$A$1:$O$113,15,0))</f>
        <v>51.27</v>
      </c>
      <c r="X994" s="4">
        <f>IF(ISERROR(VLOOKUP($U$994,'TAR FIN'!$A$1:$O$113,15,0)),0,VLOOKUP($U$994,'TAR FIN'!$A$1:$O$113,15,0))</f>
        <v>222.31</v>
      </c>
      <c r="Y994" s="4"/>
      <c r="Z994" s="4">
        <f ca="1">('TUSD BE'!$AM$32+'TUSD BF'!$AM$32+'TUSD CVA'!$AM$32)*1</f>
        <v>65.007409626508434</v>
      </c>
      <c r="AA994" s="4">
        <f>('TE BE'!$AA$11+'TE BF'!$AA$11+'TE CVA'!$AA$11)*1</f>
        <v>223.14561812044704</v>
      </c>
      <c r="AB994" s="4">
        <f>$K$994*$V$994</f>
        <v>0</v>
      </c>
      <c r="AC994" s="4">
        <f>$M$994*$W$994</f>
        <v>4721.1928230000003</v>
      </c>
      <c r="AD994" s="4">
        <f>$O$994*$X$994</f>
        <v>20471.394119000001</v>
      </c>
      <c r="AE994" s="4">
        <f>$K$994*$Y$994</f>
        <v>0</v>
      </c>
      <c r="AF994" s="4">
        <f ca="1">$M$994*$Z$994</f>
        <v>5986.2008147160668</v>
      </c>
      <c r="AG994" s="4">
        <f>$O$994*$AA$994</f>
        <v>20548.341930059556</v>
      </c>
    </row>
    <row r="995" spans="1:33" ht="11.25" customHeight="1" x14ac:dyDescent="0.25">
      <c r="A995" s="3" t="s">
        <v>28</v>
      </c>
      <c r="B995" s="3" t="s">
        <v>41</v>
      </c>
      <c r="C995" s="3" t="s">
        <v>42</v>
      </c>
      <c r="D995" s="3" t="s">
        <v>45</v>
      </c>
      <c r="E995" s="3" t="s">
        <v>53</v>
      </c>
      <c r="F995" s="3" t="s">
        <v>55</v>
      </c>
      <c r="G995" s="3" t="s">
        <v>25</v>
      </c>
      <c r="H995" s="3" t="s">
        <v>35</v>
      </c>
      <c r="I995" s="6">
        <v>44531</v>
      </c>
      <c r="J995" s="4">
        <v>0</v>
      </c>
      <c r="K995" s="4">
        <v>0</v>
      </c>
      <c r="L995" s="4">
        <v>9.2249999999999996</v>
      </c>
      <c r="M995" s="4">
        <v>0.92249999999999999</v>
      </c>
      <c r="N995" s="4">
        <v>9.2249999999999996</v>
      </c>
      <c r="O995" s="4">
        <v>0.92249999999999999</v>
      </c>
      <c r="P995" s="4">
        <v>0</v>
      </c>
      <c r="Q995" s="3" t="s">
        <v>26</v>
      </c>
      <c r="R995" s="3">
        <v>0</v>
      </c>
      <c r="S995" s="4">
        <v>0</v>
      </c>
      <c r="T995" s="4">
        <v>21</v>
      </c>
      <c r="U995" s="4">
        <v>89</v>
      </c>
      <c r="V995" s="4">
        <f>IF(ISERROR(VLOOKUP($S$995,'TAR FIN'!$A$1:$O$113,15,0)),0,VLOOKUP($S$995,'TAR FIN'!$A$1:$O$113,15,0))</f>
        <v>0</v>
      </c>
      <c r="W995" s="4">
        <f>IF(ISERROR(VLOOKUP($T$995,'TAR FIN'!$A$1:$O$113,15,0)),0,VLOOKUP($T$995,'TAR FIN'!$A$1:$O$113,15,0))</f>
        <v>51.27</v>
      </c>
      <c r="X995" s="4">
        <f>IF(ISERROR(VLOOKUP($U$995,'TAR FIN'!$A$1:$O$113,15,0)),0,VLOOKUP($U$995,'TAR FIN'!$A$1:$O$113,15,0))</f>
        <v>222.31</v>
      </c>
      <c r="Y995" s="4"/>
      <c r="Z995" s="4">
        <f ca="1">('TUSD BE'!$AM$32+'TUSD BF'!$AM$32+'TUSD CVA'!$AM$32)*1</f>
        <v>65.007409626508434</v>
      </c>
      <c r="AA995" s="4">
        <f>('TE BE'!$AA$11+'TE BF'!$AA$11+'TE CVA'!$AA$11)*1</f>
        <v>223.14561812044704</v>
      </c>
      <c r="AB995" s="4">
        <f>$K$995*$V$995</f>
        <v>0</v>
      </c>
      <c r="AC995" s="4">
        <f>$M$995*$W$995</f>
        <v>47.296575000000004</v>
      </c>
      <c r="AD995" s="4">
        <f>$O$995*$X$995</f>
        <v>205.080975</v>
      </c>
      <c r="AE995" s="4">
        <f>$K$995*$Y$995</f>
        <v>0</v>
      </c>
      <c r="AF995" s="4">
        <f ca="1">$M$995*$Z$995</f>
        <v>59.969335380454027</v>
      </c>
      <c r="AG995" s="4">
        <f>$O$995*$AA$995</f>
        <v>205.8518327161124</v>
      </c>
    </row>
    <row r="996" spans="1:33" ht="11.25" customHeight="1" x14ac:dyDescent="0.25">
      <c r="A996" s="3" t="s">
        <v>21</v>
      </c>
      <c r="B996" s="3" t="s">
        <v>41</v>
      </c>
      <c r="C996" s="3" t="s">
        <v>42</v>
      </c>
      <c r="D996" s="3" t="s">
        <v>45</v>
      </c>
      <c r="E996" s="3" t="s">
        <v>53</v>
      </c>
      <c r="F996" s="3" t="s">
        <v>55</v>
      </c>
      <c r="G996" s="3" t="s">
        <v>25</v>
      </c>
      <c r="H996" s="3" t="s">
        <v>35</v>
      </c>
      <c r="I996" s="6">
        <v>44562</v>
      </c>
      <c r="J996" s="4">
        <v>0</v>
      </c>
      <c r="K996" s="4">
        <v>0</v>
      </c>
      <c r="L996" s="4">
        <v>805.755</v>
      </c>
      <c r="M996" s="4">
        <v>80.575500000000005</v>
      </c>
      <c r="N996" s="4">
        <v>805.755</v>
      </c>
      <c r="O996" s="4">
        <v>80.575500000000005</v>
      </c>
      <c r="P996" s="4">
        <v>0</v>
      </c>
      <c r="Q996" s="3" t="s">
        <v>26</v>
      </c>
      <c r="R996" s="3">
        <v>0</v>
      </c>
      <c r="S996" s="4">
        <v>0</v>
      </c>
      <c r="T996" s="4">
        <v>21</v>
      </c>
      <c r="U996" s="4">
        <v>89</v>
      </c>
      <c r="V996" s="4">
        <f>IF(ISERROR(VLOOKUP($S$996,'TAR FIN'!$A$1:$O$113,15,0)),0,VLOOKUP($S$996,'TAR FIN'!$A$1:$O$113,15,0))</f>
        <v>0</v>
      </c>
      <c r="W996" s="4">
        <f>IF(ISERROR(VLOOKUP($T$996,'TAR FIN'!$A$1:$O$113,15,0)),0,VLOOKUP($T$996,'TAR FIN'!$A$1:$O$113,15,0))</f>
        <v>51.27</v>
      </c>
      <c r="X996" s="4">
        <f>IF(ISERROR(VLOOKUP($U$996,'TAR FIN'!$A$1:$O$113,15,0)),0,VLOOKUP($U$996,'TAR FIN'!$A$1:$O$113,15,0))</f>
        <v>222.31</v>
      </c>
      <c r="Y996" s="4"/>
      <c r="Z996" s="4">
        <f ca="1">('TUSD BE'!$AM$32+'TUSD BF'!$AM$32+'TUSD CVA'!$AM$32)*1</f>
        <v>65.007409626508434</v>
      </c>
      <c r="AA996" s="4">
        <f>('TE BE'!$AA$11+'TE BF'!$AA$11+'TE CVA'!$AA$11)*1</f>
        <v>223.14561812044704</v>
      </c>
      <c r="AB996" s="4">
        <f>$K$996*$V$996</f>
        <v>0</v>
      </c>
      <c r="AC996" s="4">
        <f>$M$996*$W$996</f>
        <v>4131.1058850000009</v>
      </c>
      <c r="AD996" s="4">
        <f>$O$996*$X$996</f>
        <v>17912.739405</v>
      </c>
      <c r="AE996" s="4">
        <f>$K$996*$Y$996</f>
        <v>0</v>
      </c>
      <c r="AF996" s="4">
        <f ca="1">$M$996*$Z$996</f>
        <v>5238.0045343607308</v>
      </c>
      <c r="AG996" s="4">
        <f>$O$996*$AA$996</f>
        <v>17980.069752864081</v>
      </c>
    </row>
    <row r="997" spans="1:33" ht="11.25" customHeight="1" x14ac:dyDescent="0.25">
      <c r="A997" s="3" t="s">
        <v>27</v>
      </c>
      <c r="B997" s="3" t="s">
        <v>41</v>
      </c>
      <c r="C997" s="3" t="s">
        <v>42</v>
      </c>
      <c r="D997" s="3" t="s">
        <v>45</v>
      </c>
      <c r="E997" s="3" t="s">
        <v>53</v>
      </c>
      <c r="F997" s="3" t="s">
        <v>55</v>
      </c>
      <c r="G997" s="3" t="s">
        <v>25</v>
      </c>
      <c r="H997" s="3" t="s">
        <v>35</v>
      </c>
      <c r="I997" s="6">
        <v>44562</v>
      </c>
      <c r="J997" s="4">
        <v>0</v>
      </c>
      <c r="K997" s="4">
        <v>0</v>
      </c>
      <c r="L997" s="4">
        <v>136.136</v>
      </c>
      <c r="M997" s="4">
        <v>13.6136</v>
      </c>
      <c r="N997" s="4">
        <v>136.136</v>
      </c>
      <c r="O997" s="4">
        <v>13.6136</v>
      </c>
      <c r="P997" s="4">
        <v>0</v>
      </c>
      <c r="Q997" s="3" t="s">
        <v>26</v>
      </c>
      <c r="R997" s="3">
        <v>0</v>
      </c>
      <c r="S997" s="4">
        <v>0</v>
      </c>
      <c r="T997" s="4">
        <v>21</v>
      </c>
      <c r="U997" s="4">
        <v>89</v>
      </c>
      <c r="V997" s="4">
        <f>IF(ISERROR(VLOOKUP($S$997,'TAR FIN'!$A$1:$O$113,15,0)),0,VLOOKUP($S$997,'TAR FIN'!$A$1:$O$113,15,0))</f>
        <v>0</v>
      </c>
      <c r="W997" s="4">
        <f>IF(ISERROR(VLOOKUP($T$997,'TAR FIN'!$A$1:$O$113,15,0)),0,VLOOKUP($T$997,'TAR FIN'!$A$1:$O$113,15,0))</f>
        <v>51.27</v>
      </c>
      <c r="X997" s="4">
        <f>IF(ISERROR(VLOOKUP($U$997,'TAR FIN'!$A$1:$O$113,15,0)),0,VLOOKUP($U$997,'TAR FIN'!$A$1:$O$113,15,0))</f>
        <v>222.31</v>
      </c>
      <c r="Y997" s="4"/>
      <c r="Z997" s="4">
        <f ca="1">('TUSD BE'!$AM$32+'TUSD BF'!$AM$32+'TUSD CVA'!$AM$32)*1</f>
        <v>65.007409626508434</v>
      </c>
      <c r="AA997" s="4">
        <f>('TE BE'!$AA$11+'TE BF'!$AA$11+'TE CVA'!$AA$11)*1</f>
        <v>223.14561812044704</v>
      </c>
      <c r="AB997" s="4">
        <f>$K$997*$V$997</f>
        <v>0</v>
      </c>
      <c r="AC997" s="4">
        <f>$M$997*$W$997</f>
        <v>697.96927200000005</v>
      </c>
      <c r="AD997" s="4">
        <f>$O$997*$X$997</f>
        <v>3026.4394160000002</v>
      </c>
      <c r="AE997" s="4">
        <f>$K$997*$Y$997</f>
        <v>0</v>
      </c>
      <c r="AF997" s="4">
        <f ca="1">$M$997*$Z$997</f>
        <v>884.98487169143516</v>
      </c>
      <c r="AG997" s="4">
        <f>$O$997*$AA$997</f>
        <v>3037.8151868445179</v>
      </c>
    </row>
    <row r="998" spans="1:33" ht="11.25" customHeight="1" x14ac:dyDescent="0.25">
      <c r="A998" s="3" t="s">
        <v>28</v>
      </c>
      <c r="B998" s="3" t="s">
        <v>41</v>
      </c>
      <c r="C998" s="3" t="s">
        <v>42</v>
      </c>
      <c r="D998" s="3" t="s">
        <v>45</v>
      </c>
      <c r="E998" s="3" t="s">
        <v>53</v>
      </c>
      <c r="F998" s="3" t="s">
        <v>55</v>
      </c>
      <c r="G998" s="3" t="s">
        <v>25</v>
      </c>
      <c r="H998" s="3" t="s">
        <v>35</v>
      </c>
      <c r="I998" s="6">
        <v>44562</v>
      </c>
      <c r="J998" s="4">
        <v>0</v>
      </c>
      <c r="K998" s="4">
        <v>0</v>
      </c>
      <c r="L998" s="4">
        <v>11.468</v>
      </c>
      <c r="M998" s="4">
        <v>1.1468</v>
      </c>
      <c r="N998" s="4">
        <v>11.468</v>
      </c>
      <c r="O998" s="4">
        <v>1.1468</v>
      </c>
      <c r="P998" s="4">
        <v>0</v>
      </c>
      <c r="Q998" s="3" t="s">
        <v>26</v>
      </c>
      <c r="R998" s="3">
        <v>0</v>
      </c>
      <c r="S998" s="4">
        <v>0</v>
      </c>
      <c r="T998" s="4">
        <v>21</v>
      </c>
      <c r="U998" s="4">
        <v>89</v>
      </c>
      <c r="V998" s="4">
        <f>IF(ISERROR(VLOOKUP($S$998,'TAR FIN'!$A$1:$O$113,15,0)),0,VLOOKUP($S$998,'TAR FIN'!$A$1:$O$113,15,0))</f>
        <v>0</v>
      </c>
      <c r="W998" s="4">
        <f>IF(ISERROR(VLOOKUP($T$998,'TAR FIN'!$A$1:$O$113,15,0)),0,VLOOKUP($T$998,'TAR FIN'!$A$1:$O$113,15,0))</f>
        <v>51.27</v>
      </c>
      <c r="X998" s="4">
        <f>IF(ISERROR(VLOOKUP($U$998,'TAR FIN'!$A$1:$O$113,15,0)),0,VLOOKUP($U$998,'TAR FIN'!$A$1:$O$113,15,0))</f>
        <v>222.31</v>
      </c>
      <c r="Y998" s="4"/>
      <c r="Z998" s="4">
        <f ca="1">('TUSD BE'!$AM$32+'TUSD BF'!$AM$32+'TUSD CVA'!$AM$32)*1</f>
        <v>65.007409626508434</v>
      </c>
      <c r="AA998" s="4">
        <f>('TE BE'!$AA$11+'TE BF'!$AA$11+'TE CVA'!$AA$11)*1</f>
        <v>223.14561812044704</v>
      </c>
      <c r="AB998" s="4">
        <f>$K$998*$V$998</f>
        <v>0</v>
      </c>
      <c r="AC998" s="4">
        <f>$M$998*$W$998</f>
        <v>58.796436000000007</v>
      </c>
      <c r="AD998" s="4">
        <f>$O$998*$X$998</f>
        <v>254.945108</v>
      </c>
      <c r="AE998" s="4">
        <f>$K$998*$Y$998</f>
        <v>0</v>
      </c>
      <c r="AF998" s="4">
        <f ca="1">$M$998*$Z$998</f>
        <v>74.550497359679881</v>
      </c>
      <c r="AG998" s="4">
        <f>$O$998*$AA$998</f>
        <v>255.90339486052866</v>
      </c>
    </row>
    <row r="999" spans="1:33" ht="11.25" customHeight="1" x14ac:dyDescent="0.25">
      <c r="A999" s="3" t="s">
        <v>21</v>
      </c>
      <c r="B999" s="3" t="s">
        <v>41</v>
      </c>
      <c r="C999" s="3" t="s">
        <v>42</v>
      </c>
      <c r="D999" s="3" t="s">
        <v>45</v>
      </c>
      <c r="E999" s="3" t="s">
        <v>53</v>
      </c>
      <c r="F999" s="3" t="s">
        <v>55</v>
      </c>
      <c r="G999" s="3" t="s">
        <v>25</v>
      </c>
      <c r="H999" s="3" t="s">
        <v>35</v>
      </c>
      <c r="I999" s="6">
        <v>44593</v>
      </c>
      <c r="J999" s="4">
        <v>0</v>
      </c>
      <c r="K999" s="4">
        <v>0</v>
      </c>
      <c r="L999" s="4">
        <v>1792.2349999999999</v>
      </c>
      <c r="M999" s="4">
        <v>179.2235</v>
      </c>
      <c r="N999" s="4">
        <v>1792.2349999999999</v>
      </c>
      <c r="O999" s="4">
        <v>179.2235</v>
      </c>
      <c r="P999" s="4">
        <v>0</v>
      </c>
      <c r="Q999" s="3" t="s">
        <v>26</v>
      </c>
      <c r="R999" s="3">
        <v>0</v>
      </c>
      <c r="S999" s="4">
        <v>0</v>
      </c>
      <c r="T999" s="4">
        <v>21</v>
      </c>
      <c r="U999" s="4">
        <v>89</v>
      </c>
      <c r="V999" s="4">
        <f>IF(ISERROR(VLOOKUP($S$999,'TAR FIN'!$A$1:$O$113,15,0)),0,VLOOKUP($S$999,'TAR FIN'!$A$1:$O$113,15,0))</f>
        <v>0</v>
      </c>
      <c r="W999" s="4">
        <f>IF(ISERROR(VLOOKUP($T$999,'TAR FIN'!$A$1:$O$113,15,0)),0,VLOOKUP($T$999,'TAR FIN'!$A$1:$O$113,15,0))</f>
        <v>51.27</v>
      </c>
      <c r="X999" s="4">
        <f>IF(ISERROR(VLOOKUP($U$999,'TAR FIN'!$A$1:$O$113,15,0)),0,VLOOKUP($U$999,'TAR FIN'!$A$1:$O$113,15,0))</f>
        <v>222.31</v>
      </c>
      <c r="Y999" s="4"/>
      <c r="Z999" s="4">
        <f ca="1">('TUSD BE'!$AM$32+'TUSD BF'!$AM$32+'TUSD CVA'!$AM$32)*1</f>
        <v>65.007409626508434</v>
      </c>
      <c r="AA999" s="4">
        <f>('TE BE'!$AA$11+'TE BF'!$AA$11+'TE CVA'!$AA$11)*1</f>
        <v>223.14561812044704</v>
      </c>
      <c r="AB999" s="4">
        <f>$K$999*$V$999</f>
        <v>0</v>
      </c>
      <c r="AC999" s="4">
        <f>$M$999*$W$999</f>
        <v>9188.7888450000009</v>
      </c>
      <c r="AD999" s="4">
        <f>$O$999*$X$999</f>
        <v>39843.176285000001</v>
      </c>
      <c r="AE999" s="4">
        <f>$K$999*$Y$999</f>
        <v>0</v>
      </c>
      <c r="AF999" s="4">
        <f ca="1">$M$999*$Z$999</f>
        <v>11650.855479196534</v>
      </c>
      <c r="AG999" s="4">
        <f>$O$999*$AA$999</f>
        <v>39992.938689209943</v>
      </c>
    </row>
    <row r="1000" spans="1:33" ht="11.25" customHeight="1" x14ac:dyDescent="0.25">
      <c r="A1000" s="3" t="s">
        <v>28</v>
      </c>
      <c r="B1000" s="3" t="s">
        <v>41</v>
      </c>
      <c r="C1000" s="3" t="s">
        <v>42</v>
      </c>
      <c r="D1000" s="3" t="s">
        <v>45</v>
      </c>
      <c r="E1000" s="3" t="s">
        <v>53</v>
      </c>
      <c r="F1000" s="3" t="s">
        <v>55</v>
      </c>
      <c r="G1000" s="3" t="s">
        <v>25</v>
      </c>
      <c r="H1000" s="3" t="s">
        <v>35</v>
      </c>
      <c r="I1000" s="6">
        <v>44593</v>
      </c>
      <c r="J1000" s="4">
        <v>0</v>
      </c>
      <c r="K1000" s="4">
        <v>0</v>
      </c>
      <c r="L1000" s="4">
        <v>12.901</v>
      </c>
      <c r="M1000" s="4">
        <v>1.2901</v>
      </c>
      <c r="N1000" s="4">
        <v>12.901</v>
      </c>
      <c r="O1000" s="4">
        <v>1.2901</v>
      </c>
      <c r="P1000" s="4">
        <v>0</v>
      </c>
      <c r="Q1000" s="3" t="s">
        <v>26</v>
      </c>
      <c r="R1000" s="3">
        <v>0</v>
      </c>
      <c r="S1000" s="4">
        <v>0</v>
      </c>
      <c r="T1000" s="4">
        <v>21</v>
      </c>
      <c r="U1000" s="4">
        <v>89</v>
      </c>
      <c r="V1000" s="4">
        <f>IF(ISERROR(VLOOKUP($S$1000,'TAR FIN'!$A$1:$O$113,15,0)),0,VLOOKUP($S$1000,'TAR FIN'!$A$1:$O$113,15,0))</f>
        <v>0</v>
      </c>
      <c r="W1000" s="4">
        <f>IF(ISERROR(VLOOKUP($T$1000,'TAR FIN'!$A$1:$O$113,15,0)),0,VLOOKUP($T$1000,'TAR FIN'!$A$1:$O$113,15,0))</f>
        <v>51.27</v>
      </c>
      <c r="X1000" s="4">
        <f>IF(ISERROR(VLOOKUP($U$1000,'TAR FIN'!$A$1:$O$113,15,0)),0,VLOOKUP($U$1000,'TAR FIN'!$A$1:$O$113,15,0))</f>
        <v>222.31</v>
      </c>
      <c r="Y1000" s="4"/>
      <c r="Z1000" s="4">
        <f ca="1">('TUSD BE'!$AM$32+'TUSD BF'!$AM$32+'TUSD CVA'!$AM$32)*1</f>
        <v>65.007409626508434</v>
      </c>
      <c r="AA1000" s="4">
        <f>('TE BE'!$AA$11+'TE BF'!$AA$11+'TE CVA'!$AA$11)*1</f>
        <v>223.14561812044704</v>
      </c>
      <c r="AB1000" s="4">
        <f>$K$1000*$V$1000</f>
        <v>0</v>
      </c>
      <c r="AC1000" s="4">
        <f>$M$1000*$W$1000</f>
        <v>66.143427000000003</v>
      </c>
      <c r="AD1000" s="4">
        <f>$O$1000*$X$1000</f>
        <v>286.80213100000003</v>
      </c>
      <c r="AE1000" s="4">
        <f>$K$1000*$Y$1000</f>
        <v>0</v>
      </c>
      <c r="AF1000" s="4">
        <f ca="1">$M$1000*$Z$1000</f>
        <v>83.866059159158539</v>
      </c>
      <c r="AG1000" s="4">
        <f>$O$1000*$AA$1000</f>
        <v>287.88016193718875</v>
      </c>
    </row>
    <row r="1001" spans="1:33" ht="11.25" customHeight="1" x14ac:dyDescent="0.25">
      <c r="A1001" s="3" t="s">
        <v>56</v>
      </c>
      <c r="B1001" s="3" t="s">
        <v>41</v>
      </c>
      <c r="C1001" s="3" t="s">
        <v>42</v>
      </c>
      <c r="D1001" s="3" t="s">
        <v>45</v>
      </c>
      <c r="E1001" s="3" t="s">
        <v>53</v>
      </c>
      <c r="F1001" s="3" t="s">
        <v>55</v>
      </c>
      <c r="G1001" s="3" t="s">
        <v>25</v>
      </c>
      <c r="H1001" s="3" t="s">
        <v>35</v>
      </c>
      <c r="I1001" s="6">
        <v>44621</v>
      </c>
      <c r="J1001" s="4">
        <v>0</v>
      </c>
      <c r="K1001" s="4">
        <v>0</v>
      </c>
      <c r="L1001" s="4">
        <v>1792.2349999999999</v>
      </c>
      <c r="M1001" s="4">
        <v>179.2235</v>
      </c>
      <c r="N1001" s="4">
        <v>1792.2349999999999</v>
      </c>
      <c r="O1001" s="4">
        <v>179.2235</v>
      </c>
      <c r="P1001" s="4">
        <v>0</v>
      </c>
      <c r="Q1001" s="3" t="s">
        <v>26</v>
      </c>
      <c r="R1001" s="3">
        <v>0</v>
      </c>
      <c r="S1001" s="4">
        <v>0</v>
      </c>
      <c r="T1001" s="4">
        <v>21</v>
      </c>
      <c r="U1001" s="4">
        <v>89</v>
      </c>
      <c r="V1001" s="4">
        <f>IF(ISERROR(VLOOKUP($S$1001,'TAR FIN'!$A$1:$O$113,15,0)),0,VLOOKUP($S$1001,'TAR FIN'!$A$1:$O$113,15,0))</f>
        <v>0</v>
      </c>
      <c r="W1001" s="4">
        <f>IF(ISERROR(VLOOKUP($T$1001,'TAR FIN'!$A$1:$O$113,15,0)),0,VLOOKUP($T$1001,'TAR FIN'!$A$1:$O$113,15,0))</f>
        <v>51.27</v>
      </c>
      <c r="X1001" s="4">
        <f>IF(ISERROR(VLOOKUP($U$1001,'TAR FIN'!$A$1:$O$113,15,0)),0,VLOOKUP($U$1001,'TAR FIN'!$A$1:$O$113,15,0))</f>
        <v>222.31</v>
      </c>
      <c r="Y1001" s="4"/>
      <c r="Z1001" s="4">
        <f ca="1">('TUSD BE'!$AM$32+'TUSD BF'!$AM$32+'TUSD CVA'!$AM$32)*1</f>
        <v>65.007409626508434</v>
      </c>
      <c r="AA1001" s="4">
        <f>('TE BE'!$AA$11+'TE BF'!$AA$11+'TE CVA'!$AA$11)*1</f>
        <v>223.14561812044704</v>
      </c>
      <c r="AB1001" s="4">
        <f>$K$1001*$V$1001</f>
        <v>0</v>
      </c>
      <c r="AC1001" s="4">
        <f>$M$1001*$W$1001</f>
        <v>9188.7888450000009</v>
      </c>
      <c r="AD1001" s="4">
        <f>$O$1001*$X$1001</f>
        <v>39843.176285000001</v>
      </c>
      <c r="AE1001" s="4">
        <f>$K$1001*$Y$1001</f>
        <v>0</v>
      </c>
      <c r="AF1001" s="4">
        <f ca="1">$M$1001*$Z$1001</f>
        <v>11650.855479196534</v>
      </c>
      <c r="AG1001" s="4">
        <f>$O$1001*$AA$1001</f>
        <v>39992.938689209943</v>
      </c>
    </row>
    <row r="1002" spans="1:33" ht="11.25" customHeight="1" x14ac:dyDescent="0.25">
      <c r="A1002" s="3" t="s">
        <v>56</v>
      </c>
      <c r="B1002" s="3" t="s">
        <v>41</v>
      </c>
      <c r="C1002" s="3" t="s">
        <v>42</v>
      </c>
      <c r="D1002" s="3" t="s">
        <v>45</v>
      </c>
      <c r="E1002" s="3" t="s">
        <v>53</v>
      </c>
      <c r="F1002" s="3" t="s">
        <v>55</v>
      </c>
      <c r="G1002" s="3" t="s">
        <v>25</v>
      </c>
      <c r="H1002" s="3" t="s">
        <v>35</v>
      </c>
      <c r="I1002" s="6">
        <v>44621</v>
      </c>
      <c r="J1002" s="4">
        <v>0</v>
      </c>
      <c r="K1002" s="4">
        <v>0</v>
      </c>
      <c r="L1002" s="4">
        <v>12.901</v>
      </c>
      <c r="M1002" s="4">
        <v>1.2901</v>
      </c>
      <c r="N1002" s="4">
        <v>12.901</v>
      </c>
      <c r="O1002" s="4">
        <v>1.2901</v>
      </c>
      <c r="P1002" s="4">
        <v>0</v>
      </c>
      <c r="Q1002" s="3" t="s">
        <v>26</v>
      </c>
      <c r="R1002" s="3">
        <v>0</v>
      </c>
      <c r="S1002" s="4">
        <v>0</v>
      </c>
      <c r="T1002" s="4">
        <v>21</v>
      </c>
      <c r="U1002" s="4">
        <v>89</v>
      </c>
      <c r="V1002" s="4">
        <f>IF(ISERROR(VLOOKUP($S$1002,'TAR FIN'!$A$1:$O$113,15,0)),0,VLOOKUP($S$1002,'TAR FIN'!$A$1:$O$113,15,0))</f>
        <v>0</v>
      </c>
      <c r="W1002" s="4">
        <f>IF(ISERROR(VLOOKUP($T$1002,'TAR FIN'!$A$1:$O$113,15,0)),0,VLOOKUP($T$1002,'TAR FIN'!$A$1:$O$113,15,0))</f>
        <v>51.27</v>
      </c>
      <c r="X1002" s="4">
        <f>IF(ISERROR(VLOOKUP($U$1002,'TAR FIN'!$A$1:$O$113,15,0)),0,VLOOKUP($U$1002,'TAR FIN'!$A$1:$O$113,15,0))</f>
        <v>222.31</v>
      </c>
      <c r="Y1002" s="4"/>
      <c r="Z1002" s="4">
        <f ca="1">('TUSD BE'!$AM$32+'TUSD BF'!$AM$32+'TUSD CVA'!$AM$32)*1</f>
        <v>65.007409626508434</v>
      </c>
      <c r="AA1002" s="4">
        <f>('TE BE'!$AA$11+'TE BF'!$AA$11+'TE CVA'!$AA$11)*1</f>
        <v>223.14561812044704</v>
      </c>
      <c r="AB1002" s="4">
        <f>$K$1002*$V$1002</f>
        <v>0</v>
      </c>
      <c r="AC1002" s="4">
        <f>$M$1002*$W$1002</f>
        <v>66.143427000000003</v>
      </c>
      <c r="AD1002" s="4">
        <f>$O$1002*$X$1002</f>
        <v>286.80213100000003</v>
      </c>
      <c r="AE1002" s="4">
        <f>$K$1002*$Y$1002</f>
        <v>0</v>
      </c>
      <c r="AF1002" s="4">
        <f ca="1">$M$1002*$Z$1002</f>
        <v>83.866059159158539</v>
      </c>
      <c r="AG1002" s="4">
        <f>$O$1002*$AA$1002</f>
        <v>287.88016193718875</v>
      </c>
    </row>
    <row r="1003" spans="1:33" ht="11.25" customHeight="1" x14ac:dyDescent="0.25">
      <c r="A1003" s="3" t="s">
        <v>21</v>
      </c>
      <c r="B1003" s="3" t="s">
        <v>41</v>
      </c>
      <c r="C1003" s="3" t="s">
        <v>42</v>
      </c>
      <c r="D1003" s="3" t="s">
        <v>45</v>
      </c>
      <c r="E1003" s="3" t="s">
        <v>53</v>
      </c>
      <c r="F1003" s="3" t="s">
        <v>25</v>
      </c>
      <c r="G1003" s="3" t="s">
        <v>25</v>
      </c>
      <c r="H1003" s="3" t="s">
        <v>35</v>
      </c>
      <c r="I1003" s="6">
        <v>44287</v>
      </c>
      <c r="J1003" s="4">
        <v>0</v>
      </c>
      <c r="K1003" s="56">
        <v>0</v>
      </c>
      <c r="L1003" s="4">
        <v>1096.0350000000001</v>
      </c>
      <c r="M1003" s="56">
        <v>1096.0350000000001</v>
      </c>
      <c r="N1003" s="4">
        <v>1096.0350000000001</v>
      </c>
      <c r="O1003" s="56">
        <v>1096.0350000000001</v>
      </c>
      <c r="P1003" s="4">
        <v>0</v>
      </c>
      <c r="Q1003" s="3" t="s">
        <v>26</v>
      </c>
      <c r="R1003" s="3">
        <v>0</v>
      </c>
      <c r="S1003" s="4">
        <v>0</v>
      </c>
      <c r="T1003" s="4">
        <v>21</v>
      </c>
      <c r="U1003" s="4">
        <v>89</v>
      </c>
      <c r="V1003" s="56">
        <f>IF(ISERROR(VLOOKUP($S$1003,'TAR FIN'!$A$1:$O$113,15,0)),0,VLOOKUP($S$1003,'TAR FIN'!$A$1:$O$113,15,0))</f>
        <v>0</v>
      </c>
      <c r="W1003" s="56">
        <f>IF(ISERROR(VLOOKUP($T$1003,'TAR FIN'!$A$1:$O$113,15,0)),0,VLOOKUP($T$1003,'TAR FIN'!$A$1:$O$113,15,0))*(1-0.04)</f>
        <v>49.219200000000001</v>
      </c>
      <c r="X1003" s="56">
        <f>IF(ISERROR(VLOOKUP($U$1003,'TAR FIN'!$A$1:$O$113,15,0)),0,VLOOKUP($U$1003,'TAR FIN'!$A$1:$O$113,15,0))*(1-0.04)</f>
        <v>213.41759999999999</v>
      </c>
      <c r="Y1003" s="56"/>
      <c r="Z1003" s="56">
        <f ca="1">('TUSD BE'!$AM$32+'TUSD BF'!$AM$32+'TUSD CVA'!$AM$32)*1*(1-0.02)</f>
        <v>63.70726143397826</v>
      </c>
      <c r="AA1003" s="56">
        <f>('TE BE'!$AA$11+'TE BF'!$AA$11+'TE CVA'!$AA$11)*1*(1-0.02)</f>
        <v>218.68270575803808</v>
      </c>
      <c r="AB1003" s="4">
        <f>$K$1003*$V$1003</f>
        <v>0</v>
      </c>
      <c r="AC1003" s="4">
        <f>$M$1003*$W$1003</f>
        <v>53945.965872000008</v>
      </c>
      <c r="AD1003" s="4">
        <f>$O$1003*$X$1003</f>
        <v>233913.159216</v>
      </c>
      <c r="AE1003" s="4">
        <f>$K$1003*$Y$1003</f>
        <v>0</v>
      </c>
      <c r="AF1003" s="4">
        <f ca="1">$M$1003*$Z$1003</f>
        <v>69825.388285790366</v>
      </c>
      <c r="AG1003" s="4">
        <f>$O$1003*$AA$1003</f>
        <v>239683.8994055113</v>
      </c>
    </row>
    <row r="1004" spans="1:33" ht="11.25" customHeight="1" x14ac:dyDescent="0.25">
      <c r="A1004" s="3" t="s">
        <v>21</v>
      </c>
      <c r="B1004" s="3" t="s">
        <v>41</v>
      </c>
      <c r="C1004" s="3" t="s">
        <v>42</v>
      </c>
      <c r="D1004" s="3" t="s">
        <v>45</v>
      </c>
      <c r="E1004" s="3" t="s">
        <v>53</v>
      </c>
      <c r="F1004" s="3" t="s">
        <v>25</v>
      </c>
      <c r="G1004" s="3" t="s">
        <v>25</v>
      </c>
      <c r="H1004" s="3" t="s">
        <v>35</v>
      </c>
      <c r="I1004" s="6">
        <v>44317</v>
      </c>
      <c r="J1004" s="4">
        <v>0</v>
      </c>
      <c r="K1004" s="56">
        <v>0</v>
      </c>
      <c r="L1004" s="4">
        <v>427.09</v>
      </c>
      <c r="M1004" s="56">
        <v>427.09</v>
      </c>
      <c r="N1004" s="4">
        <v>427.09</v>
      </c>
      <c r="O1004" s="56">
        <v>427.09</v>
      </c>
      <c r="P1004" s="4">
        <v>0</v>
      </c>
      <c r="Q1004" s="3" t="s">
        <v>26</v>
      </c>
      <c r="R1004" s="3">
        <v>0</v>
      </c>
      <c r="S1004" s="4">
        <v>0</v>
      </c>
      <c r="T1004" s="4">
        <v>21</v>
      </c>
      <c r="U1004" s="4">
        <v>89</v>
      </c>
      <c r="V1004" s="56">
        <f>IF(ISERROR(VLOOKUP($S$1004,'TAR FIN'!$A$1:$O$113,15,0)),0,VLOOKUP($S$1004,'TAR FIN'!$A$1:$O$113,15,0))</f>
        <v>0</v>
      </c>
      <c r="W1004" s="56">
        <f>IF(ISERROR(VLOOKUP($T$1004,'TAR FIN'!$A$1:$O$113,15,0)),0,VLOOKUP($T$1004,'TAR FIN'!$A$1:$O$113,15,0))*(1-0.04)</f>
        <v>49.219200000000001</v>
      </c>
      <c r="X1004" s="56">
        <f>IF(ISERROR(VLOOKUP($U$1004,'TAR FIN'!$A$1:$O$113,15,0)),0,VLOOKUP($U$1004,'TAR FIN'!$A$1:$O$113,15,0))*(1-0.04)</f>
        <v>213.41759999999999</v>
      </c>
      <c r="Y1004" s="56"/>
      <c r="Z1004" s="56">
        <f ca="1">('TUSD BE'!$AM$32+'TUSD BF'!$AM$32+'TUSD CVA'!$AM$32)*1*(1-0.02)</f>
        <v>63.70726143397826</v>
      </c>
      <c r="AA1004" s="56">
        <f>('TE BE'!$AA$11+'TE BF'!$AA$11+'TE CVA'!$AA$11)*1*(1-0.02)</f>
        <v>218.68270575803808</v>
      </c>
      <c r="AB1004" s="4">
        <f>$K$1004*$V$1004</f>
        <v>0</v>
      </c>
      <c r="AC1004" s="4">
        <f>$M$1004*$W$1004</f>
        <v>21021.028127999998</v>
      </c>
      <c r="AD1004" s="4">
        <f>$O$1004*$X$1004</f>
        <v>91148.522783999986</v>
      </c>
      <c r="AE1004" s="4">
        <f>$K$1004*$Y$1004</f>
        <v>0</v>
      </c>
      <c r="AF1004" s="4">
        <f ca="1">$M$1004*$Z$1004</f>
        <v>27208.734285837774</v>
      </c>
      <c r="AG1004" s="4">
        <f>$O$1004*$AA$1004</f>
        <v>93397.196802200473</v>
      </c>
    </row>
    <row r="1005" spans="1:33" ht="11.25" customHeight="1" x14ac:dyDescent="0.25">
      <c r="A1005" s="3" t="s">
        <v>21</v>
      </c>
      <c r="B1005" s="3" t="s">
        <v>41</v>
      </c>
      <c r="C1005" s="3" t="s">
        <v>42</v>
      </c>
      <c r="D1005" s="3" t="s">
        <v>45</v>
      </c>
      <c r="E1005" s="3" t="s">
        <v>53</v>
      </c>
      <c r="F1005" s="3" t="s">
        <v>25</v>
      </c>
      <c r="G1005" s="3" t="s">
        <v>25</v>
      </c>
      <c r="H1005" s="3" t="s">
        <v>35</v>
      </c>
      <c r="I1005" s="6">
        <v>44348</v>
      </c>
      <c r="J1005" s="4">
        <v>0</v>
      </c>
      <c r="K1005" s="56">
        <v>0</v>
      </c>
      <c r="L1005" s="4">
        <v>450.166</v>
      </c>
      <c r="M1005" s="56">
        <v>450.166</v>
      </c>
      <c r="N1005" s="4">
        <v>450.166</v>
      </c>
      <c r="O1005" s="56">
        <v>450.166</v>
      </c>
      <c r="P1005" s="4">
        <v>0</v>
      </c>
      <c r="Q1005" s="3" t="s">
        <v>26</v>
      </c>
      <c r="R1005" s="3">
        <v>0</v>
      </c>
      <c r="S1005" s="4">
        <v>0</v>
      </c>
      <c r="T1005" s="4">
        <v>21</v>
      </c>
      <c r="U1005" s="4">
        <v>89</v>
      </c>
      <c r="V1005" s="56">
        <f>IF(ISERROR(VLOOKUP($S$1005,'TAR FIN'!$A$1:$O$113,15,0)),0,VLOOKUP($S$1005,'TAR FIN'!$A$1:$O$113,15,0))</f>
        <v>0</v>
      </c>
      <c r="W1005" s="56">
        <f>IF(ISERROR(VLOOKUP($T$1005,'TAR FIN'!$A$1:$O$113,15,0)),0,VLOOKUP($T$1005,'TAR FIN'!$A$1:$O$113,15,0))*(1-0.04)</f>
        <v>49.219200000000001</v>
      </c>
      <c r="X1005" s="56">
        <f>IF(ISERROR(VLOOKUP($U$1005,'TAR FIN'!$A$1:$O$113,15,0)),0,VLOOKUP($U$1005,'TAR FIN'!$A$1:$O$113,15,0))*(1-0.04)</f>
        <v>213.41759999999999</v>
      </c>
      <c r="Y1005" s="56"/>
      <c r="Z1005" s="56">
        <f ca="1">('TUSD BE'!$AM$32+'TUSD BF'!$AM$32+'TUSD CVA'!$AM$32)*1*(1-0.02)</f>
        <v>63.70726143397826</v>
      </c>
      <c r="AA1005" s="56">
        <f>('TE BE'!$AA$11+'TE BF'!$AA$11+'TE CVA'!$AA$11)*1*(1-0.02)</f>
        <v>218.68270575803808</v>
      </c>
      <c r="AB1005" s="4">
        <f>$K$1005*$V$1005</f>
        <v>0</v>
      </c>
      <c r="AC1005" s="4">
        <f>$M$1005*$W$1005</f>
        <v>22156.810387199999</v>
      </c>
      <c r="AD1005" s="4">
        <f>$O$1005*$X$1005</f>
        <v>96073.347321599998</v>
      </c>
      <c r="AE1005" s="4">
        <f>$K$1005*$Y$1005</f>
        <v>0</v>
      </c>
      <c r="AF1005" s="4">
        <f ca="1">$M$1005*$Z$1005</f>
        <v>28678.843050688258</v>
      </c>
      <c r="AG1005" s="4">
        <f>$O$1005*$AA$1005</f>
        <v>98443.518920272967</v>
      </c>
    </row>
    <row r="1006" spans="1:33" ht="11.25" customHeight="1" x14ac:dyDescent="0.25">
      <c r="A1006" s="3" t="s">
        <v>21</v>
      </c>
      <c r="B1006" s="3" t="s">
        <v>41</v>
      </c>
      <c r="C1006" s="3" t="s">
        <v>42</v>
      </c>
      <c r="D1006" s="3" t="s">
        <v>45</v>
      </c>
      <c r="E1006" s="3" t="s">
        <v>53</v>
      </c>
      <c r="F1006" s="3" t="s">
        <v>25</v>
      </c>
      <c r="G1006" s="3" t="s">
        <v>25</v>
      </c>
      <c r="H1006" s="3" t="s">
        <v>35</v>
      </c>
      <c r="I1006" s="6">
        <v>44378</v>
      </c>
      <c r="J1006" s="4">
        <v>0</v>
      </c>
      <c r="K1006" s="56">
        <v>0</v>
      </c>
      <c r="L1006" s="4">
        <v>491.87799999999999</v>
      </c>
      <c r="M1006" s="56">
        <v>491.87799999999999</v>
      </c>
      <c r="N1006" s="4">
        <v>491.87799999999999</v>
      </c>
      <c r="O1006" s="56">
        <v>491.87799999999999</v>
      </c>
      <c r="P1006" s="4">
        <v>0</v>
      </c>
      <c r="Q1006" s="3" t="s">
        <v>26</v>
      </c>
      <c r="R1006" s="3">
        <v>0</v>
      </c>
      <c r="S1006" s="4">
        <v>0</v>
      </c>
      <c r="T1006" s="4">
        <v>21</v>
      </c>
      <c r="U1006" s="4">
        <v>89</v>
      </c>
      <c r="V1006" s="56">
        <f>IF(ISERROR(VLOOKUP($S$1006,'TAR FIN'!$A$1:$O$113,15,0)),0,VLOOKUP($S$1006,'TAR FIN'!$A$1:$O$113,15,0))</f>
        <v>0</v>
      </c>
      <c r="W1006" s="56">
        <f>IF(ISERROR(VLOOKUP($T$1006,'TAR FIN'!$A$1:$O$113,15,0)),0,VLOOKUP($T$1006,'TAR FIN'!$A$1:$O$113,15,0))*(1-0.04)</f>
        <v>49.219200000000001</v>
      </c>
      <c r="X1006" s="56">
        <f>IF(ISERROR(VLOOKUP($U$1006,'TAR FIN'!$A$1:$O$113,15,0)),0,VLOOKUP($U$1006,'TAR FIN'!$A$1:$O$113,15,0))*(1-0.04)</f>
        <v>213.41759999999999</v>
      </c>
      <c r="Y1006" s="56"/>
      <c r="Z1006" s="56">
        <f ca="1">('TUSD BE'!$AM$32+'TUSD BF'!$AM$32+'TUSD CVA'!$AM$32)*1*(1-0.02)</f>
        <v>63.70726143397826</v>
      </c>
      <c r="AA1006" s="56">
        <f>('TE BE'!$AA$11+'TE BF'!$AA$11+'TE CVA'!$AA$11)*1*(1-0.02)</f>
        <v>218.68270575803808</v>
      </c>
      <c r="AB1006" s="4">
        <f>$K$1006*$V$1006</f>
        <v>0</v>
      </c>
      <c r="AC1006" s="4">
        <f>$M$1006*$W$1006</f>
        <v>24209.841657599998</v>
      </c>
      <c r="AD1006" s="4">
        <f>$O$1006*$X$1006</f>
        <v>104975.4222528</v>
      </c>
      <c r="AE1006" s="4">
        <f>$K$1006*$Y$1006</f>
        <v>0</v>
      </c>
      <c r="AF1006" s="4">
        <f ca="1">$M$1006*$Z$1006</f>
        <v>31336.200339622359</v>
      </c>
      <c r="AG1006" s="4">
        <f>$O$1006*$AA$1006</f>
        <v>107565.21194285226</v>
      </c>
    </row>
    <row r="1007" spans="1:33" ht="11.25" customHeight="1" x14ac:dyDescent="0.25">
      <c r="A1007" s="3" t="s">
        <v>21</v>
      </c>
      <c r="B1007" s="3" t="s">
        <v>41</v>
      </c>
      <c r="C1007" s="3" t="s">
        <v>42</v>
      </c>
      <c r="D1007" s="3" t="s">
        <v>45</v>
      </c>
      <c r="E1007" s="3" t="s">
        <v>53</v>
      </c>
      <c r="F1007" s="3" t="s">
        <v>25</v>
      </c>
      <c r="G1007" s="3" t="s">
        <v>25</v>
      </c>
      <c r="H1007" s="3" t="s">
        <v>35</v>
      </c>
      <c r="I1007" s="6">
        <v>44409</v>
      </c>
      <c r="J1007" s="4">
        <v>0</v>
      </c>
      <c r="K1007" s="56">
        <v>0</v>
      </c>
      <c r="L1007" s="4">
        <v>727.86099999999999</v>
      </c>
      <c r="M1007" s="56">
        <v>727.86099999999999</v>
      </c>
      <c r="N1007" s="4">
        <v>727.86099999999999</v>
      </c>
      <c r="O1007" s="56">
        <v>727.86099999999999</v>
      </c>
      <c r="P1007" s="4">
        <v>0</v>
      </c>
      <c r="Q1007" s="3" t="s">
        <v>26</v>
      </c>
      <c r="R1007" s="3">
        <v>0</v>
      </c>
      <c r="S1007" s="4">
        <v>0</v>
      </c>
      <c r="T1007" s="4">
        <v>21</v>
      </c>
      <c r="U1007" s="4">
        <v>89</v>
      </c>
      <c r="V1007" s="56">
        <f>IF(ISERROR(VLOOKUP($S$1007,'TAR FIN'!$A$1:$O$113,15,0)),0,VLOOKUP($S$1007,'TAR FIN'!$A$1:$O$113,15,0))</f>
        <v>0</v>
      </c>
      <c r="W1007" s="56">
        <f>IF(ISERROR(VLOOKUP($T$1007,'TAR FIN'!$A$1:$O$113,15,0)),0,VLOOKUP($T$1007,'TAR FIN'!$A$1:$O$113,15,0))*(1-0.04)</f>
        <v>49.219200000000001</v>
      </c>
      <c r="X1007" s="56">
        <f>IF(ISERROR(VLOOKUP($U$1007,'TAR FIN'!$A$1:$O$113,15,0)),0,VLOOKUP($U$1007,'TAR FIN'!$A$1:$O$113,15,0))*(1-0.04)</f>
        <v>213.41759999999999</v>
      </c>
      <c r="Y1007" s="56"/>
      <c r="Z1007" s="56">
        <f ca="1">('TUSD BE'!$AM$32+'TUSD BF'!$AM$32+'TUSD CVA'!$AM$32)*1*(1-0.02)</f>
        <v>63.70726143397826</v>
      </c>
      <c r="AA1007" s="56">
        <f>('TE BE'!$AA$11+'TE BF'!$AA$11+'TE CVA'!$AA$11)*1*(1-0.02)</f>
        <v>218.68270575803808</v>
      </c>
      <c r="AB1007" s="4">
        <f>$K$1007*$V$1007</f>
        <v>0</v>
      </c>
      <c r="AC1007" s="4">
        <f>$M$1007*$W$1007</f>
        <v>35824.736131199999</v>
      </c>
      <c r="AD1007" s="4">
        <f>$O$1007*$X$1007</f>
        <v>155338.34775359998</v>
      </c>
      <c r="AE1007" s="4">
        <f>$K$1007*$Y$1007</f>
        <v>0</v>
      </c>
      <c r="AF1007" s="4">
        <f ca="1">$M$1007*$Z$1007</f>
        <v>46370.031014596847</v>
      </c>
      <c r="AG1007" s="4">
        <f>$O$1007*$AA$1007</f>
        <v>159170.61289575134</v>
      </c>
    </row>
    <row r="1008" spans="1:33" ht="11.25" customHeight="1" x14ac:dyDescent="0.25">
      <c r="A1008" s="3" t="s">
        <v>21</v>
      </c>
      <c r="B1008" s="3" t="s">
        <v>41</v>
      </c>
      <c r="C1008" s="3" t="s">
        <v>42</v>
      </c>
      <c r="D1008" s="3" t="s">
        <v>45</v>
      </c>
      <c r="E1008" s="3" t="s">
        <v>53</v>
      </c>
      <c r="F1008" s="3" t="s">
        <v>25</v>
      </c>
      <c r="G1008" s="3" t="s">
        <v>25</v>
      </c>
      <c r="H1008" s="3" t="s">
        <v>35</v>
      </c>
      <c r="I1008" s="6">
        <v>44440</v>
      </c>
      <c r="J1008" s="4">
        <v>0</v>
      </c>
      <c r="K1008" s="56">
        <v>0</v>
      </c>
      <c r="L1008" s="4">
        <v>1022.833</v>
      </c>
      <c r="M1008" s="56">
        <v>1022.833</v>
      </c>
      <c r="N1008" s="4">
        <v>1022.833</v>
      </c>
      <c r="O1008" s="56">
        <v>1022.833</v>
      </c>
      <c r="P1008" s="4">
        <v>0</v>
      </c>
      <c r="Q1008" s="3" t="s">
        <v>26</v>
      </c>
      <c r="R1008" s="3">
        <v>0</v>
      </c>
      <c r="S1008" s="4">
        <v>0</v>
      </c>
      <c r="T1008" s="4">
        <v>21</v>
      </c>
      <c r="U1008" s="4">
        <v>89</v>
      </c>
      <c r="V1008" s="56">
        <f>IF(ISERROR(VLOOKUP($S$1008,'TAR FIN'!$A$1:$O$113,15,0)),0,VLOOKUP($S$1008,'TAR FIN'!$A$1:$O$113,15,0))</f>
        <v>0</v>
      </c>
      <c r="W1008" s="56">
        <f>IF(ISERROR(VLOOKUP($T$1008,'TAR FIN'!$A$1:$O$113,15,0)),0,VLOOKUP($T$1008,'TAR FIN'!$A$1:$O$113,15,0))*(1-0.04)</f>
        <v>49.219200000000001</v>
      </c>
      <c r="X1008" s="56">
        <f>IF(ISERROR(VLOOKUP($U$1008,'TAR FIN'!$A$1:$O$113,15,0)),0,VLOOKUP($U$1008,'TAR FIN'!$A$1:$O$113,15,0))*(1-0.04)</f>
        <v>213.41759999999999</v>
      </c>
      <c r="Y1008" s="56"/>
      <c r="Z1008" s="56">
        <f ca="1">('TUSD BE'!$AM$32+'TUSD BF'!$AM$32+'TUSD CVA'!$AM$32)*1*(1-0.02)</f>
        <v>63.70726143397826</v>
      </c>
      <c r="AA1008" s="56">
        <f>('TE BE'!$AA$11+'TE BF'!$AA$11+'TE CVA'!$AA$11)*1*(1-0.02)</f>
        <v>218.68270575803808</v>
      </c>
      <c r="AB1008" s="4">
        <f>$K$1008*$V$1008</f>
        <v>0</v>
      </c>
      <c r="AC1008" s="4">
        <f>$M$1008*$W$1008</f>
        <v>50343.021993599999</v>
      </c>
      <c r="AD1008" s="4">
        <f>$O$1008*$X$1008</f>
        <v>218290.56406079998</v>
      </c>
      <c r="AE1008" s="4">
        <f>$K$1008*$Y$1008</f>
        <v>0</v>
      </c>
      <c r="AF1008" s="4">
        <f ca="1">$M$1008*$Z$1008</f>
        <v>65161.889334300286</v>
      </c>
      <c r="AG1008" s="4">
        <f>$O$1008*$AA$1008</f>
        <v>223675.88797861137</v>
      </c>
    </row>
    <row r="1009" spans="1:33" ht="11.25" customHeight="1" x14ac:dyDescent="0.25">
      <c r="A1009" s="3" t="s">
        <v>21</v>
      </c>
      <c r="B1009" s="3" t="s">
        <v>41</v>
      </c>
      <c r="C1009" s="3" t="s">
        <v>42</v>
      </c>
      <c r="D1009" s="3" t="s">
        <v>45</v>
      </c>
      <c r="E1009" s="3" t="s">
        <v>53</v>
      </c>
      <c r="F1009" s="3" t="s">
        <v>25</v>
      </c>
      <c r="G1009" s="3" t="s">
        <v>25</v>
      </c>
      <c r="H1009" s="3" t="s">
        <v>35</v>
      </c>
      <c r="I1009" s="6">
        <v>44470</v>
      </c>
      <c r="J1009" s="4">
        <v>0</v>
      </c>
      <c r="K1009" s="56">
        <v>0</v>
      </c>
      <c r="L1009" s="4">
        <v>1571.626</v>
      </c>
      <c r="M1009" s="56">
        <v>1571.626</v>
      </c>
      <c r="N1009" s="4">
        <v>1571.626</v>
      </c>
      <c r="O1009" s="56">
        <v>1571.626</v>
      </c>
      <c r="P1009" s="4">
        <v>0</v>
      </c>
      <c r="Q1009" s="3" t="s">
        <v>26</v>
      </c>
      <c r="R1009" s="3">
        <v>0</v>
      </c>
      <c r="S1009" s="4">
        <v>0</v>
      </c>
      <c r="T1009" s="4">
        <v>21</v>
      </c>
      <c r="U1009" s="4">
        <v>89</v>
      </c>
      <c r="V1009" s="56">
        <f>IF(ISERROR(VLOOKUP($S$1009,'TAR FIN'!$A$1:$O$113,15,0)),0,VLOOKUP($S$1009,'TAR FIN'!$A$1:$O$113,15,0))</f>
        <v>0</v>
      </c>
      <c r="W1009" s="56">
        <f>IF(ISERROR(VLOOKUP($T$1009,'TAR FIN'!$A$1:$O$113,15,0)),0,VLOOKUP($T$1009,'TAR FIN'!$A$1:$O$113,15,0))*(1-0.04)</f>
        <v>49.219200000000001</v>
      </c>
      <c r="X1009" s="56">
        <f>IF(ISERROR(VLOOKUP($U$1009,'TAR FIN'!$A$1:$O$113,15,0)),0,VLOOKUP($U$1009,'TAR FIN'!$A$1:$O$113,15,0))*(1-0.04)</f>
        <v>213.41759999999999</v>
      </c>
      <c r="Y1009" s="56"/>
      <c r="Z1009" s="56">
        <f ca="1">('TUSD BE'!$AM$32+'TUSD BF'!$AM$32+'TUSD CVA'!$AM$32)*1*(1-0.02)</f>
        <v>63.70726143397826</v>
      </c>
      <c r="AA1009" s="56">
        <f>('TE BE'!$AA$11+'TE BF'!$AA$11+'TE CVA'!$AA$11)*1*(1-0.02)</f>
        <v>218.68270575803808</v>
      </c>
      <c r="AB1009" s="4">
        <f>$K$1009*$V$1009</f>
        <v>0</v>
      </c>
      <c r="AC1009" s="4">
        <f>$M$1009*$W$1009</f>
        <v>77354.174419200004</v>
      </c>
      <c r="AD1009" s="4">
        <f>$O$1009*$X$1009</f>
        <v>335412.64901759999</v>
      </c>
      <c r="AE1009" s="4">
        <f>$K$1009*$Y$1009</f>
        <v>0</v>
      </c>
      <c r="AF1009" s="4">
        <f ca="1">$M$1009*$Z$1009</f>
        <v>100123.98845843751</v>
      </c>
      <c r="AG1009" s="4">
        <f>$O$1009*$AA$1009</f>
        <v>343687.42611968238</v>
      </c>
    </row>
    <row r="1010" spans="1:33" ht="11.25" customHeight="1" x14ac:dyDescent="0.25">
      <c r="A1010" s="3" t="s">
        <v>21</v>
      </c>
      <c r="B1010" s="3" t="s">
        <v>41</v>
      </c>
      <c r="C1010" s="3" t="s">
        <v>42</v>
      </c>
      <c r="D1010" s="3" t="s">
        <v>45</v>
      </c>
      <c r="E1010" s="3" t="s">
        <v>53</v>
      </c>
      <c r="F1010" s="3" t="s">
        <v>25</v>
      </c>
      <c r="G1010" s="3" t="s">
        <v>25</v>
      </c>
      <c r="H1010" s="3" t="s">
        <v>35</v>
      </c>
      <c r="I1010" s="6">
        <v>44501</v>
      </c>
      <c r="J1010" s="4">
        <v>0</v>
      </c>
      <c r="K1010" s="56">
        <v>0</v>
      </c>
      <c r="L1010" s="4">
        <v>1609.27</v>
      </c>
      <c r="M1010" s="56">
        <v>1609.27</v>
      </c>
      <c r="N1010" s="4">
        <v>1609.27</v>
      </c>
      <c r="O1010" s="56">
        <v>1609.27</v>
      </c>
      <c r="P1010" s="4">
        <v>0</v>
      </c>
      <c r="Q1010" s="3" t="s">
        <v>26</v>
      </c>
      <c r="R1010" s="3">
        <v>0</v>
      </c>
      <c r="S1010" s="4">
        <v>0</v>
      </c>
      <c r="T1010" s="4">
        <v>21</v>
      </c>
      <c r="U1010" s="4">
        <v>89</v>
      </c>
      <c r="V1010" s="56">
        <f>IF(ISERROR(VLOOKUP($S$1010,'TAR FIN'!$A$1:$O$113,15,0)),0,VLOOKUP($S$1010,'TAR FIN'!$A$1:$O$113,15,0))</f>
        <v>0</v>
      </c>
      <c r="W1010" s="56">
        <f>IF(ISERROR(VLOOKUP($T$1010,'TAR FIN'!$A$1:$O$113,15,0)),0,VLOOKUP($T$1010,'TAR FIN'!$A$1:$O$113,15,0))*(1-0.04)</f>
        <v>49.219200000000001</v>
      </c>
      <c r="X1010" s="56">
        <f>IF(ISERROR(VLOOKUP($U$1010,'TAR FIN'!$A$1:$O$113,15,0)),0,VLOOKUP($U$1010,'TAR FIN'!$A$1:$O$113,15,0))*(1-0.04)</f>
        <v>213.41759999999999</v>
      </c>
      <c r="Y1010" s="56"/>
      <c r="Z1010" s="56">
        <f ca="1">('TUSD BE'!$AM$32+'TUSD BF'!$AM$32+'TUSD CVA'!$AM$32)*1*(1-0.02)</f>
        <v>63.70726143397826</v>
      </c>
      <c r="AA1010" s="56">
        <f>('TE BE'!$AA$11+'TE BF'!$AA$11+'TE CVA'!$AA$11)*1*(1-0.02)</f>
        <v>218.68270575803808</v>
      </c>
      <c r="AB1010" s="4">
        <f>$K$1010*$V$1010</f>
        <v>0</v>
      </c>
      <c r="AC1010" s="4">
        <f>$M$1010*$W$1010</f>
        <v>79206.981983999998</v>
      </c>
      <c r="AD1010" s="4">
        <f>$O$1010*$X$1010</f>
        <v>343446.54115199996</v>
      </c>
      <c r="AE1010" s="4">
        <f>$K$1010*$Y$1010</f>
        <v>0</v>
      </c>
      <c r="AF1010" s="4">
        <f ca="1">$M$1010*$Z$1010</f>
        <v>102522.18460785819</v>
      </c>
      <c r="AG1010" s="4">
        <f>$O$1010*$AA$1010</f>
        <v>351919.51789523795</v>
      </c>
    </row>
    <row r="1011" spans="1:33" ht="11.25" customHeight="1" x14ac:dyDescent="0.25">
      <c r="A1011" s="3" t="s">
        <v>21</v>
      </c>
      <c r="B1011" s="3" t="s">
        <v>41</v>
      </c>
      <c r="C1011" s="3" t="s">
        <v>42</v>
      </c>
      <c r="D1011" s="3" t="s">
        <v>45</v>
      </c>
      <c r="E1011" s="3" t="s">
        <v>53</v>
      </c>
      <c r="F1011" s="3" t="s">
        <v>25</v>
      </c>
      <c r="G1011" s="3" t="s">
        <v>25</v>
      </c>
      <c r="H1011" s="3" t="s">
        <v>35</v>
      </c>
      <c r="I1011" s="6">
        <v>44531</v>
      </c>
      <c r="J1011" s="4">
        <v>0</v>
      </c>
      <c r="K1011" s="56">
        <v>0</v>
      </c>
      <c r="L1011" s="4">
        <v>1207.7719999999999</v>
      </c>
      <c r="M1011" s="56">
        <v>1207.7719999999999</v>
      </c>
      <c r="N1011" s="4">
        <v>1207.7719999999999</v>
      </c>
      <c r="O1011" s="56">
        <v>1207.7719999999999</v>
      </c>
      <c r="P1011" s="4">
        <v>0</v>
      </c>
      <c r="Q1011" s="3" t="s">
        <v>26</v>
      </c>
      <c r="R1011" s="3">
        <v>0</v>
      </c>
      <c r="S1011" s="4">
        <v>0</v>
      </c>
      <c r="T1011" s="4">
        <v>21</v>
      </c>
      <c r="U1011" s="4">
        <v>89</v>
      </c>
      <c r="V1011" s="56">
        <f>IF(ISERROR(VLOOKUP($S$1011,'TAR FIN'!$A$1:$O$113,15,0)),0,VLOOKUP($S$1011,'TAR FIN'!$A$1:$O$113,15,0))</f>
        <v>0</v>
      </c>
      <c r="W1011" s="56">
        <f>IF(ISERROR(VLOOKUP($T$1011,'TAR FIN'!$A$1:$O$113,15,0)),0,VLOOKUP($T$1011,'TAR FIN'!$A$1:$O$113,15,0))*(1-0.04)</f>
        <v>49.219200000000001</v>
      </c>
      <c r="X1011" s="56">
        <f>IF(ISERROR(VLOOKUP($U$1011,'TAR FIN'!$A$1:$O$113,15,0)),0,VLOOKUP($U$1011,'TAR FIN'!$A$1:$O$113,15,0))*(1-0.04)</f>
        <v>213.41759999999999</v>
      </c>
      <c r="Y1011" s="56"/>
      <c r="Z1011" s="56">
        <f ca="1">('TUSD BE'!$AM$32+'TUSD BF'!$AM$32+'TUSD CVA'!$AM$32)*1*(1-0.02)</f>
        <v>63.70726143397826</v>
      </c>
      <c r="AA1011" s="56">
        <f>('TE BE'!$AA$11+'TE BF'!$AA$11+'TE CVA'!$AA$11)*1*(1-0.02)</f>
        <v>218.68270575803808</v>
      </c>
      <c r="AB1011" s="4">
        <f>$K$1011*$V$1011</f>
        <v>0</v>
      </c>
      <c r="AC1011" s="4">
        <f>$M$1011*$W$1011</f>
        <v>59445.571622399999</v>
      </c>
      <c r="AD1011" s="4">
        <f>$O$1011*$X$1011</f>
        <v>257759.80158719997</v>
      </c>
      <c r="AE1011" s="4">
        <f>$K$1011*$Y$1011</f>
        <v>0</v>
      </c>
      <c r="AF1011" s="4">
        <f ca="1">$M$1011*$Z$1011</f>
        <v>76943.846556638789</v>
      </c>
      <c r="AG1011" s="4">
        <f>$O$1011*$AA$1011</f>
        <v>264118.84889879718</v>
      </c>
    </row>
    <row r="1012" spans="1:33" ht="11.25" customHeight="1" x14ac:dyDescent="0.25">
      <c r="A1012" s="3" t="s">
        <v>21</v>
      </c>
      <c r="B1012" s="3" t="s">
        <v>41</v>
      </c>
      <c r="C1012" s="3" t="s">
        <v>42</v>
      </c>
      <c r="D1012" s="3" t="s">
        <v>45</v>
      </c>
      <c r="E1012" s="3" t="s">
        <v>53</v>
      </c>
      <c r="F1012" s="3" t="s">
        <v>25</v>
      </c>
      <c r="G1012" s="3" t="s">
        <v>25</v>
      </c>
      <c r="H1012" s="3" t="s">
        <v>35</v>
      </c>
      <c r="I1012" s="6">
        <v>44562</v>
      </c>
      <c r="J1012" s="4">
        <v>0</v>
      </c>
      <c r="K1012" s="56">
        <v>0</v>
      </c>
      <c r="L1012" s="4">
        <v>1060.73</v>
      </c>
      <c r="M1012" s="56">
        <v>1060.73</v>
      </c>
      <c r="N1012" s="4">
        <v>1060.73</v>
      </c>
      <c r="O1012" s="56">
        <v>1060.73</v>
      </c>
      <c r="P1012" s="4">
        <v>0</v>
      </c>
      <c r="Q1012" s="3" t="s">
        <v>26</v>
      </c>
      <c r="R1012" s="3">
        <v>0</v>
      </c>
      <c r="S1012" s="4">
        <v>0</v>
      </c>
      <c r="T1012" s="4">
        <v>21</v>
      </c>
      <c r="U1012" s="4">
        <v>89</v>
      </c>
      <c r="V1012" s="56">
        <f>IF(ISERROR(VLOOKUP($S$1012,'TAR FIN'!$A$1:$O$113,15,0)),0,VLOOKUP($S$1012,'TAR FIN'!$A$1:$O$113,15,0))</f>
        <v>0</v>
      </c>
      <c r="W1012" s="56">
        <f>IF(ISERROR(VLOOKUP($T$1012,'TAR FIN'!$A$1:$O$113,15,0)),0,VLOOKUP($T$1012,'TAR FIN'!$A$1:$O$113,15,0))*(1-0.04)</f>
        <v>49.219200000000001</v>
      </c>
      <c r="X1012" s="56">
        <f>IF(ISERROR(VLOOKUP($U$1012,'TAR FIN'!$A$1:$O$113,15,0)),0,VLOOKUP($U$1012,'TAR FIN'!$A$1:$O$113,15,0))*(1-0.04)</f>
        <v>213.41759999999999</v>
      </c>
      <c r="Y1012" s="56"/>
      <c r="Z1012" s="56">
        <f ca="1">('TUSD BE'!$AM$32+'TUSD BF'!$AM$32+'TUSD CVA'!$AM$32)*1*(1-0.02)</f>
        <v>63.70726143397826</v>
      </c>
      <c r="AA1012" s="56">
        <f>('TE BE'!$AA$11+'TE BF'!$AA$11+'TE CVA'!$AA$11)*1*(1-0.02)</f>
        <v>218.68270575803808</v>
      </c>
      <c r="AB1012" s="4">
        <f>$K$1012*$V$1012</f>
        <v>0</v>
      </c>
      <c r="AC1012" s="4">
        <f>$M$1012*$W$1012</f>
        <v>52208.282016000005</v>
      </c>
      <c r="AD1012" s="4">
        <f>$O$1012*$X$1012</f>
        <v>226378.45084800001</v>
      </c>
      <c r="AE1012" s="4">
        <f>$K$1012*$Y$1012</f>
        <v>0</v>
      </c>
      <c r="AF1012" s="4">
        <f ca="1">$M$1012*$Z$1012</f>
        <v>67576.203420863763</v>
      </c>
      <c r="AG1012" s="4">
        <f>$O$1012*$AA$1012</f>
        <v>231963.30647872374</v>
      </c>
    </row>
    <row r="1013" spans="1:33" ht="11.25" customHeight="1" x14ac:dyDescent="0.25">
      <c r="A1013" s="3" t="s">
        <v>27</v>
      </c>
      <c r="B1013" s="3" t="s">
        <v>41</v>
      </c>
      <c r="C1013" s="3" t="s">
        <v>42</v>
      </c>
      <c r="D1013" s="3" t="s">
        <v>45</v>
      </c>
      <c r="E1013" s="3" t="s">
        <v>53</v>
      </c>
      <c r="F1013" s="3" t="s">
        <v>25</v>
      </c>
      <c r="G1013" s="3" t="s">
        <v>25</v>
      </c>
      <c r="H1013" s="3" t="s">
        <v>35</v>
      </c>
      <c r="I1013" s="6">
        <v>44562</v>
      </c>
      <c r="J1013" s="4">
        <v>0</v>
      </c>
      <c r="K1013" s="56">
        <v>0</v>
      </c>
      <c r="L1013" s="4">
        <v>85.790999999999997</v>
      </c>
      <c r="M1013" s="56">
        <v>85.790999999999997</v>
      </c>
      <c r="N1013" s="4">
        <v>85.790999999999997</v>
      </c>
      <c r="O1013" s="56">
        <v>85.790999999999997</v>
      </c>
      <c r="P1013" s="4">
        <v>0</v>
      </c>
      <c r="Q1013" s="3" t="s">
        <v>26</v>
      </c>
      <c r="R1013" s="3">
        <v>0</v>
      </c>
      <c r="S1013" s="4">
        <v>0</v>
      </c>
      <c r="T1013" s="4">
        <v>21</v>
      </c>
      <c r="U1013" s="4">
        <v>89</v>
      </c>
      <c r="V1013" s="56">
        <f>IF(ISERROR(VLOOKUP($S$1013,'TAR FIN'!$A$1:$O$113,15,0)),0,VLOOKUP($S$1013,'TAR FIN'!$A$1:$O$113,15,0))</f>
        <v>0</v>
      </c>
      <c r="W1013" s="56">
        <f>IF(ISERROR(VLOOKUP($T$1013,'TAR FIN'!$A$1:$O$113,15,0)),0,VLOOKUP($T$1013,'TAR FIN'!$A$1:$O$113,15,0))*(1-0.04)</f>
        <v>49.219200000000001</v>
      </c>
      <c r="X1013" s="56">
        <f>IF(ISERROR(VLOOKUP($U$1013,'TAR FIN'!$A$1:$O$113,15,0)),0,VLOOKUP($U$1013,'TAR FIN'!$A$1:$O$113,15,0))*(1-0.04)</f>
        <v>213.41759999999999</v>
      </c>
      <c r="Y1013" s="56"/>
      <c r="Z1013" s="56">
        <f ca="1">('TUSD BE'!$AM$32+'TUSD BF'!$AM$32+'TUSD CVA'!$AM$32)*1*(1-0.02)</f>
        <v>63.70726143397826</v>
      </c>
      <c r="AA1013" s="56">
        <f>('TE BE'!$AA$11+'TE BF'!$AA$11+'TE CVA'!$AA$11)*1*(1-0.02)</f>
        <v>218.68270575803808</v>
      </c>
      <c r="AB1013" s="4">
        <f>$K$1013*$V$1013</f>
        <v>0</v>
      </c>
      <c r="AC1013" s="4">
        <f>$M$1013*$W$1013</f>
        <v>4222.5643872000001</v>
      </c>
      <c r="AD1013" s="4">
        <f>$O$1013*$X$1013</f>
        <v>18309.309321599998</v>
      </c>
      <c r="AE1013" s="4">
        <f>$K$1013*$Y$1013</f>
        <v>0</v>
      </c>
      <c r="AF1013" s="4">
        <f ca="1">$M$1013*$Z$1013</f>
        <v>5465.5096656824289</v>
      </c>
      <c r="AG1013" s="4">
        <f>$O$1013*$AA$1013</f>
        <v>18761.008009687845</v>
      </c>
    </row>
    <row r="1014" spans="1:33" ht="11.25" customHeight="1" x14ac:dyDescent="0.25">
      <c r="A1014" s="3" t="s">
        <v>28</v>
      </c>
      <c r="B1014" s="3" t="s">
        <v>41</v>
      </c>
      <c r="C1014" s="3" t="s">
        <v>42</v>
      </c>
      <c r="D1014" s="3" t="s">
        <v>45</v>
      </c>
      <c r="E1014" s="3" t="s">
        <v>53</v>
      </c>
      <c r="F1014" s="3" t="s">
        <v>25</v>
      </c>
      <c r="G1014" s="3" t="s">
        <v>25</v>
      </c>
      <c r="H1014" s="3" t="s">
        <v>35</v>
      </c>
      <c r="I1014" s="6">
        <v>44562</v>
      </c>
      <c r="J1014" s="4">
        <v>0</v>
      </c>
      <c r="K1014" s="56">
        <v>0</v>
      </c>
      <c r="L1014" s="4">
        <v>5.7910000000000004</v>
      </c>
      <c r="M1014" s="56">
        <v>5.7910000000000004</v>
      </c>
      <c r="N1014" s="4">
        <v>5.7910000000000004</v>
      </c>
      <c r="O1014" s="56">
        <v>5.7910000000000004</v>
      </c>
      <c r="P1014" s="4">
        <v>0</v>
      </c>
      <c r="Q1014" s="3" t="s">
        <v>26</v>
      </c>
      <c r="R1014" s="3">
        <v>0</v>
      </c>
      <c r="S1014" s="4">
        <v>0</v>
      </c>
      <c r="T1014" s="4">
        <v>21</v>
      </c>
      <c r="U1014" s="4">
        <v>89</v>
      </c>
      <c r="V1014" s="56">
        <f>IF(ISERROR(VLOOKUP($S$1014,'TAR FIN'!$A$1:$O$113,15,0)),0,VLOOKUP($S$1014,'TAR FIN'!$A$1:$O$113,15,0))</f>
        <v>0</v>
      </c>
      <c r="W1014" s="56">
        <f>IF(ISERROR(VLOOKUP($T$1014,'TAR FIN'!$A$1:$O$113,15,0)),0,VLOOKUP($T$1014,'TAR FIN'!$A$1:$O$113,15,0))*(1-0.04)</f>
        <v>49.219200000000001</v>
      </c>
      <c r="X1014" s="56">
        <f>IF(ISERROR(VLOOKUP($U$1014,'TAR FIN'!$A$1:$O$113,15,0)),0,VLOOKUP($U$1014,'TAR FIN'!$A$1:$O$113,15,0))*(1-0.04)</f>
        <v>213.41759999999999</v>
      </c>
      <c r="Y1014" s="56"/>
      <c r="Z1014" s="56">
        <f ca="1">('TUSD BE'!$AM$32+'TUSD BF'!$AM$32+'TUSD CVA'!$AM$32)*1*(1-0.02)</f>
        <v>63.70726143397826</v>
      </c>
      <c r="AA1014" s="56">
        <f>('TE BE'!$AA$11+'TE BF'!$AA$11+'TE CVA'!$AA$11)*1*(1-0.02)</f>
        <v>218.68270575803808</v>
      </c>
      <c r="AB1014" s="4">
        <f>$K$1014*$V$1014</f>
        <v>0</v>
      </c>
      <c r="AC1014" s="4">
        <f>$M$1014*$W$1014</f>
        <v>285.0283872</v>
      </c>
      <c r="AD1014" s="4">
        <f>$O$1014*$X$1014</f>
        <v>1235.9013216000001</v>
      </c>
      <c r="AE1014" s="4">
        <f>$K$1014*$Y$1014</f>
        <v>0</v>
      </c>
      <c r="AF1014" s="4">
        <f ca="1">$M$1014*$Z$1014</f>
        <v>368.9287509641681</v>
      </c>
      <c r="AG1014" s="4">
        <f>$O$1014*$AA$1014</f>
        <v>1266.3915490447987</v>
      </c>
    </row>
    <row r="1015" spans="1:33" ht="11.25" customHeight="1" x14ac:dyDescent="0.25">
      <c r="A1015" s="3" t="s">
        <v>21</v>
      </c>
      <c r="B1015" s="3" t="s">
        <v>41</v>
      </c>
      <c r="C1015" s="3" t="s">
        <v>42</v>
      </c>
      <c r="D1015" s="3" t="s">
        <v>45</v>
      </c>
      <c r="E1015" s="3" t="s">
        <v>53</v>
      </c>
      <c r="F1015" s="3" t="s">
        <v>25</v>
      </c>
      <c r="G1015" s="3" t="s">
        <v>25</v>
      </c>
      <c r="H1015" s="3" t="s">
        <v>35</v>
      </c>
      <c r="I1015" s="6">
        <v>44593</v>
      </c>
      <c r="J1015" s="4">
        <v>0</v>
      </c>
      <c r="K1015" s="56">
        <v>0</v>
      </c>
      <c r="L1015" s="4">
        <v>1647.443</v>
      </c>
      <c r="M1015" s="56">
        <v>1647.443</v>
      </c>
      <c r="N1015" s="4">
        <v>1647.443</v>
      </c>
      <c r="O1015" s="56">
        <v>1647.443</v>
      </c>
      <c r="P1015" s="4">
        <v>0</v>
      </c>
      <c r="Q1015" s="3" t="s">
        <v>26</v>
      </c>
      <c r="R1015" s="3">
        <v>0</v>
      </c>
      <c r="S1015" s="4">
        <v>0</v>
      </c>
      <c r="T1015" s="4">
        <v>21</v>
      </c>
      <c r="U1015" s="4">
        <v>89</v>
      </c>
      <c r="V1015" s="56">
        <f>IF(ISERROR(VLOOKUP($S$1015,'TAR FIN'!$A$1:$O$113,15,0)),0,VLOOKUP($S$1015,'TAR FIN'!$A$1:$O$113,15,0))</f>
        <v>0</v>
      </c>
      <c r="W1015" s="56">
        <f>IF(ISERROR(VLOOKUP($T$1015,'TAR FIN'!$A$1:$O$113,15,0)),0,VLOOKUP($T$1015,'TAR FIN'!$A$1:$O$113,15,0))*(1-0.04)</f>
        <v>49.219200000000001</v>
      </c>
      <c r="X1015" s="56">
        <f>IF(ISERROR(VLOOKUP($U$1015,'TAR FIN'!$A$1:$O$113,15,0)),0,VLOOKUP($U$1015,'TAR FIN'!$A$1:$O$113,15,0))*(1-0.04)</f>
        <v>213.41759999999999</v>
      </c>
      <c r="Y1015" s="56"/>
      <c r="Z1015" s="56">
        <f ca="1">('TUSD BE'!$AM$32+'TUSD BF'!$AM$32+'TUSD CVA'!$AM$32)*1*(1-0.02)</f>
        <v>63.70726143397826</v>
      </c>
      <c r="AA1015" s="56">
        <f>('TE BE'!$AA$11+'TE BF'!$AA$11+'TE CVA'!$AA$11)*1*(1-0.02)</f>
        <v>218.68270575803808</v>
      </c>
      <c r="AB1015" s="4">
        <f>$K$1015*$V$1015</f>
        <v>0</v>
      </c>
      <c r="AC1015" s="4">
        <f>$M$1015*$W$1015</f>
        <v>81085.826505599995</v>
      </c>
      <c r="AD1015" s="4">
        <f>$O$1015*$X$1015</f>
        <v>351593.33119679999</v>
      </c>
      <c r="AE1015" s="4">
        <f>$K$1015*$Y$1015</f>
        <v>0</v>
      </c>
      <c r="AF1015" s="4">
        <f ca="1">$M$1015*$Z$1015</f>
        <v>104954.08189857745</v>
      </c>
      <c r="AG1015" s="4">
        <f>$O$1015*$AA$1015</f>
        <v>360267.29282213951</v>
      </c>
    </row>
    <row r="1016" spans="1:33" ht="11.25" customHeight="1" x14ac:dyDescent="0.25">
      <c r="A1016" s="3" t="s">
        <v>27</v>
      </c>
      <c r="B1016" s="3" t="s">
        <v>41</v>
      </c>
      <c r="C1016" s="3" t="s">
        <v>42</v>
      </c>
      <c r="D1016" s="3" t="s">
        <v>45</v>
      </c>
      <c r="E1016" s="3" t="s">
        <v>53</v>
      </c>
      <c r="F1016" s="3" t="s">
        <v>25</v>
      </c>
      <c r="G1016" s="3" t="s">
        <v>25</v>
      </c>
      <c r="H1016" s="3" t="s">
        <v>35</v>
      </c>
      <c r="I1016" s="6">
        <v>44593</v>
      </c>
      <c r="J1016" s="4">
        <v>0</v>
      </c>
      <c r="K1016" s="56">
        <v>0</v>
      </c>
      <c r="L1016" s="4">
        <v>8.2000000000000003E-2</v>
      </c>
      <c r="M1016" s="56">
        <v>8.2000000000000003E-2</v>
      </c>
      <c r="N1016" s="4">
        <v>8.2000000000000003E-2</v>
      </c>
      <c r="O1016" s="56">
        <v>8.2000000000000003E-2</v>
      </c>
      <c r="P1016" s="4">
        <v>0</v>
      </c>
      <c r="Q1016" s="3" t="s">
        <v>26</v>
      </c>
      <c r="R1016" s="3">
        <v>0</v>
      </c>
      <c r="S1016" s="4">
        <v>0</v>
      </c>
      <c r="T1016" s="4">
        <v>21</v>
      </c>
      <c r="U1016" s="4">
        <v>89</v>
      </c>
      <c r="V1016" s="56">
        <f>IF(ISERROR(VLOOKUP($S$1016,'TAR FIN'!$A$1:$O$113,15,0)),0,VLOOKUP($S$1016,'TAR FIN'!$A$1:$O$113,15,0))</f>
        <v>0</v>
      </c>
      <c r="W1016" s="56">
        <f>IF(ISERROR(VLOOKUP($T$1016,'TAR FIN'!$A$1:$O$113,15,0)),0,VLOOKUP($T$1016,'TAR FIN'!$A$1:$O$113,15,0))*(1-0.04)</f>
        <v>49.219200000000001</v>
      </c>
      <c r="X1016" s="56">
        <f>IF(ISERROR(VLOOKUP($U$1016,'TAR FIN'!$A$1:$O$113,15,0)),0,VLOOKUP($U$1016,'TAR FIN'!$A$1:$O$113,15,0))*(1-0.04)</f>
        <v>213.41759999999999</v>
      </c>
      <c r="Y1016" s="56"/>
      <c r="Z1016" s="56">
        <f ca="1">('TUSD BE'!$AM$32+'TUSD BF'!$AM$32+'TUSD CVA'!$AM$32)*1*(1-0.02)</f>
        <v>63.70726143397826</v>
      </c>
      <c r="AA1016" s="56">
        <f>('TE BE'!$AA$11+'TE BF'!$AA$11+'TE CVA'!$AA$11)*1*(1-0.02)</f>
        <v>218.68270575803808</v>
      </c>
      <c r="AB1016" s="4">
        <f>$K$1016*$V$1016</f>
        <v>0</v>
      </c>
      <c r="AC1016" s="4">
        <f>$M$1016*$W$1016</f>
        <v>4.0359744000000006</v>
      </c>
      <c r="AD1016" s="4">
        <f>$O$1016*$X$1016</f>
        <v>17.5002432</v>
      </c>
      <c r="AE1016" s="4">
        <f>$K$1016*$Y$1016</f>
        <v>0</v>
      </c>
      <c r="AF1016" s="4">
        <f ca="1">$M$1016*$Z$1016</f>
        <v>5.2239954375862174</v>
      </c>
      <c r="AG1016" s="4">
        <f>$O$1016*$AA$1016</f>
        <v>17.931981872159124</v>
      </c>
    </row>
    <row r="1017" spans="1:33" ht="11.25" customHeight="1" x14ac:dyDescent="0.25">
      <c r="A1017" s="3" t="s">
        <v>28</v>
      </c>
      <c r="B1017" s="3" t="s">
        <v>41</v>
      </c>
      <c r="C1017" s="3" t="s">
        <v>42</v>
      </c>
      <c r="D1017" s="3" t="s">
        <v>45</v>
      </c>
      <c r="E1017" s="3" t="s">
        <v>53</v>
      </c>
      <c r="F1017" s="3" t="s">
        <v>25</v>
      </c>
      <c r="G1017" s="3" t="s">
        <v>25</v>
      </c>
      <c r="H1017" s="3" t="s">
        <v>35</v>
      </c>
      <c r="I1017" s="6">
        <v>44593</v>
      </c>
      <c r="J1017" s="4">
        <v>0</v>
      </c>
      <c r="K1017" s="56">
        <v>0</v>
      </c>
      <c r="L1017" s="4">
        <v>5.101</v>
      </c>
      <c r="M1017" s="56">
        <v>5.101</v>
      </c>
      <c r="N1017" s="4">
        <v>5.101</v>
      </c>
      <c r="O1017" s="56">
        <v>5.101</v>
      </c>
      <c r="P1017" s="4">
        <v>0</v>
      </c>
      <c r="Q1017" s="3" t="s">
        <v>26</v>
      </c>
      <c r="R1017" s="3">
        <v>0</v>
      </c>
      <c r="S1017" s="4">
        <v>0</v>
      </c>
      <c r="T1017" s="4">
        <v>21</v>
      </c>
      <c r="U1017" s="4">
        <v>89</v>
      </c>
      <c r="V1017" s="56">
        <f>IF(ISERROR(VLOOKUP($S$1017,'TAR FIN'!$A$1:$O$113,15,0)),0,VLOOKUP($S$1017,'TAR FIN'!$A$1:$O$113,15,0))</f>
        <v>0</v>
      </c>
      <c r="W1017" s="56">
        <f>IF(ISERROR(VLOOKUP($T$1017,'TAR FIN'!$A$1:$O$113,15,0)),0,VLOOKUP($T$1017,'TAR FIN'!$A$1:$O$113,15,0))*(1-0.04)</f>
        <v>49.219200000000001</v>
      </c>
      <c r="X1017" s="56">
        <f>IF(ISERROR(VLOOKUP($U$1017,'TAR FIN'!$A$1:$O$113,15,0)),0,VLOOKUP($U$1017,'TAR FIN'!$A$1:$O$113,15,0))*(1-0.04)</f>
        <v>213.41759999999999</v>
      </c>
      <c r="Y1017" s="56"/>
      <c r="Z1017" s="56">
        <f ca="1">('TUSD BE'!$AM$32+'TUSD BF'!$AM$32+'TUSD CVA'!$AM$32)*1*(1-0.02)</f>
        <v>63.70726143397826</v>
      </c>
      <c r="AA1017" s="56">
        <f>('TE BE'!$AA$11+'TE BF'!$AA$11+'TE CVA'!$AA$11)*1*(1-0.02)</f>
        <v>218.68270575803808</v>
      </c>
      <c r="AB1017" s="4">
        <f>$K$1017*$V$1017</f>
        <v>0</v>
      </c>
      <c r="AC1017" s="4">
        <f>$M$1017*$W$1017</f>
        <v>251.06713920000001</v>
      </c>
      <c r="AD1017" s="4">
        <f>$O$1017*$X$1017</f>
        <v>1088.6431775999999</v>
      </c>
      <c r="AE1017" s="4">
        <f>$K$1017*$Y$1017</f>
        <v>0</v>
      </c>
      <c r="AF1017" s="4">
        <f ca="1">$M$1017*$Z$1017</f>
        <v>324.9707405747231</v>
      </c>
      <c r="AG1017" s="4">
        <f>$O$1017*$AA$1017</f>
        <v>1115.5004820717522</v>
      </c>
    </row>
    <row r="1018" spans="1:33" ht="11.25" customHeight="1" x14ac:dyDescent="0.25">
      <c r="A1018" s="3" t="s">
        <v>56</v>
      </c>
      <c r="B1018" s="3" t="s">
        <v>41</v>
      </c>
      <c r="C1018" s="3" t="s">
        <v>42</v>
      </c>
      <c r="D1018" s="3" t="s">
        <v>45</v>
      </c>
      <c r="E1018" s="3" t="s">
        <v>53</v>
      </c>
      <c r="F1018" s="3" t="s">
        <v>25</v>
      </c>
      <c r="G1018" s="3" t="s">
        <v>25</v>
      </c>
      <c r="H1018" s="3" t="s">
        <v>35</v>
      </c>
      <c r="I1018" s="6">
        <v>44621</v>
      </c>
      <c r="J1018" s="4">
        <v>0</v>
      </c>
      <c r="K1018" s="56">
        <v>0</v>
      </c>
      <c r="L1018" s="4">
        <v>1647.443</v>
      </c>
      <c r="M1018" s="56">
        <v>1647.443</v>
      </c>
      <c r="N1018" s="4">
        <v>1647.443</v>
      </c>
      <c r="O1018" s="56">
        <v>1647.443</v>
      </c>
      <c r="P1018" s="4">
        <v>0</v>
      </c>
      <c r="Q1018" s="3" t="s">
        <v>26</v>
      </c>
      <c r="R1018" s="3">
        <v>0</v>
      </c>
      <c r="S1018" s="4">
        <v>0</v>
      </c>
      <c r="T1018" s="4">
        <v>21</v>
      </c>
      <c r="U1018" s="4">
        <v>89</v>
      </c>
      <c r="V1018" s="56">
        <f>IF(ISERROR(VLOOKUP($S$1018,'TAR FIN'!$A$1:$O$113,15,0)),0,VLOOKUP($S$1018,'TAR FIN'!$A$1:$O$113,15,0))</f>
        <v>0</v>
      </c>
      <c r="W1018" s="56">
        <f>IF(ISERROR(VLOOKUP($T$1018,'TAR FIN'!$A$1:$O$113,15,0)),0,VLOOKUP($T$1018,'TAR FIN'!$A$1:$O$113,15,0))*(1-0.04)</f>
        <v>49.219200000000001</v>
      </c>
      <c r="X1018" s="56">
        <f>IF(ISERROR(VLOOKUP($U$1018,'TAR FIN'!$A$1:$O$113,15,0)),0,VLOOKUP($U$1018,'TAR FIN'!$A$1:$O$113,15,0))*(1-0.04)</f>
        <v>213.41759999999999</v>
      </c>
      <c r="Y1018" s="56"/>
      <c r="Z1018" s="56">
        <f ca="1">('TUSD BE'!$AM$32+'TUSD BF'!$AM$32+'TUSD CVA'!$AM$32)*1*(1-0.02)</f>
        <v>63.70726143397826</v>
      </c>
      <c r="AA1018" s="56">
        <f>('TE BE'!$AA$11+'TE BF'!$AA$11+'TE CVA'!$AA$11)*1*(1-0.02)</f>
        <v>218.68270575803808</v>
      </c>
      <c r="AB1018" s="4">
        <f>$K$1018*$V$1018</f>
        <v>0</v>
      </c>
      <c r="AC1018" s="4">
        <f>$M$1018*$W$1018</f>
        <v>81085.826505599995</v>
      </c>
      <c r="AD1018" s="4">
        <f>$O$1018*$X$1018</f>
        <v>351593.33119679999</v>
      </c>
      <c r="AE1018" s="4">
        <f>$K$1018*$Y$1018</f>
        <v>0</v>
      </c>
      <c r="AF1018" s="4">
        <f ca="1">$M$1018*$Z$1018</f>
        <v>104954.08189857745</v>
      </c>
      <c r="AG1018" s="4">
        <f>$O$1018*$AA$1018</f>
        <v>360267.29282213951</v>
      </c>
    </row>
    <row r="1019" spans="1:33" ht="11.25" customHeight="1" x14ac:dyDescent="0.25">
      <c r="A1019" s="3" t="s">
        <v>56</v>
      </c>
      <c r="B1019" s="3" t="s">
        <v>41</v>
      </c>
      <c r="C1019" s="3" t="s">
        <v>42</v>
      </c>
      <c r="D1019" s="3" t="s">
        <v>45</v>
      </c>
      <c r="E1019" s="3" t="s">
        <v>53</v>
      </c>
      <c r="F1019" s="3" t="s">
        <v>25</v>
      </c>
      <c r="G1019" s="3" t="s">
        <v>25</v>
      </c>
      <c r="H1019" s="3" t="s">
        <v>35</v>
      </c>
      <c r="I1019" s="6">
        <v>44621</v>
      </c>
      <c r="J1019" s="4">
        <v>0</v>
      </c>
      <c r="K1019" s="56">
        <v>0</v>
      </c>
      <c r="L1019" s="4">
        <v>8.2000000000000003E-2</v>
      </c>
      <c r="M1019" s="56">
        <v>8.2000000000000003E-2</v>
      </c>
      <c r="N1019" s="4">
        <v>8.2000000000000003E-2</v>
      </c>
      <c r="O1019" s="56">
        <v>8.2000000000000003E-2</v>
      </c>
      <c r="P1019" s="4">
        <v>0</v>
      </c>
      <c r="Q1019" s="3" t="s">
        <v>26</v>
      </c>
      <c r="R1019" s="3">
        <v>0</v>
      </c>
      <c r="S1019" s="4">
        <v>0</v>
      </c>
      <c r="T1019" s="4">
        <v>21</v>
      </c>
      <c r="U1019" s="4">
        <v>89</v>
      </c>
      <c r="V1019" s="56">
        <f>IF(ISERROR(VLOOKUP($S$1019,'TAR FIN'!$A$1:$O$113,15,0)),0,VLOOKUP($S$1019,'TAR FIN'!$A$1:$O$113,15,0))</f>
        <v>0</v>
      </c>
      <c r="W1019" s="56">
        <f>IF(ISERROR(VLOOKUP($T$1019,'TAR FIN'!$A$1:$O$113,15,0)),0,VLOOKUP($T$1019,'TAR FIN'!$A$1:$O$113,15,0))*(1-0.04)</f>
        <v>49.219200000000001</v>
      </c>
      <c r="X1019" s="56">
        <f>IF(ISERROR(VLOOKUP($U$1019,'TAR FIN'!$A$1:$O$113,15,0)),0,VLOOKUP($U$1019,'TAR FIN'!$A$1:$O$113,15,0))*(1-0.04)</f>
        <v>213.41759999999999</v>
      </c>
      <c r="Y1019" s="56"/>
      <c r="Z1019" s="56">
        <f ca="1">('TUSD BE'!$AM$32+'TUSD BF'!$AM$32+'TUSD CVA'!$AM$32)*1*(1-0.02)</f>
        <v>63.70726143397826</v>
      </c>
      <c r="AA1019" s="56">
        <f>('TE BE'!$AA$11+'TE BF'!$AA$11+'TE CVA'!$AA$11)*1*(1-0.02)</f>
        <v>218.68270575803808</v>
      </c>
      <c r="AB1019" s="4">
        <f>$K$1019*$V$1019</f>
        <v>0</v>
      </c>
      <c r="AC1019" s="4">
        <f>$M$1019*$W$1019</f>
        <v>4.0359744000000006</v>
      </c>
      <c r="AD1019" s="4">
        <f>$O$1019*$X$1019</f>
        <v>17.5002432</v>
      </c>
      <c r="AE1019" s="4">
        <f>$K$1019*$Y$1019</f>
        <v>0</v>
      </c>
      <c r="AF1019" s="4">
        <f ca="1">$M$1019*$Z$1019</f>
        <v>5.2239954375862174</v>
      </c>
      <c r="AG1019" s="4">
        <f>$O$1019*$AA$1019</f>
        <v>17.931981872159124</v>
      </c>
    </row>
    <row r="1020" spans="1:33" ht="11.25" customHeight="1" x14ac:dyDescent="0.25">
      <c r="A1020" s="3" t="s">
        <v>56</v>
      </c>
      <c r="B1020" s="3" t="s">
        <v>41</v>
      </c>
      <c r="C1020" s="3" t="s">
        <v>42</v>
      </c>
      <c r="D1020" s="3" t="s">
        <v>45</v>
      </c>
      <c r="E1020" s="3" t="s">
        <v>53</v>
      </c>
      <c r="F1020" s="3" t="s">
        <v>25</v>
      </c>
      <c r="G1020" s="3" t="s">
        <v>25</v>
      </c>
      <c r="H1020" s="3" t="s">
        <v>35</v>
      </c>
      <c r="I1020" s="6">
        <v>44621</v>
      </c>
      <c r="J1020" s="4">
        <v>0</v>
      </c>
      <c r="K1020" s="56">
        <v>0</v>
      </c>
      <c r="L1020" s="4">
        <v>5.101</v>
      </c>
      <c r="M1020" s="56">
        <v>5.101</v>
      </c>
      <c r="N1020" s="4">
        <v>5.101</v>
      </c>
      <c r="O1020" s="56">
        <v>5.101</v>
      </c>
      <c r="P1020" s="4">
        <v>0</v>
      </c>
      <c r="Q1020" s="3" t="s">
        <v>26</v>
      </c>
      <c r="R1020" s="3">
        <v>0</v>
      </c>
      <c r="S1020" s="4">
        <v>0</v>
      </c>
      <c r="T1020" s="4">
        <v>21</v>
      </c>
      <c r="U1020" s="4">
        <v>89</v>
      </c>
      <c r="V1020" s="56">
        <f>IF(ISERROR(VLOOKUP($S$1020,'TAR FIN'!$A$1:$O$113,15,0)),0,VLOOKUP($S$1020,'TAR FIN'!$A$1:$O$113,15,0))</f>
        <v>0</v>
      </c>
      <c r="W1020" s="56">
        <f>IF(ISERROR(VLOOKUP($T$1020,'TAR FIN'!$A$1:$O$113,15,0)),0,VLOOKUP($T$1020,'TAR FIN'!$A$1:$O$113,15,0))*(1-0.04)</f>
        <v>49.219200000000001</v>
      </c>
      <c r="X1020" s="56">
        <f>IF(ISERROR(VLOOKUP($U$1020,'TAR FIN'!$A$1:$O$113,15,0)),0,VLOOKUP($U$1020,'TAR FIN'!$A$1:$O$113,15,0))*(1-0.04)</f>
        <v>213.41759999999999</v>
      </c>
      <c r="Y1020" s="56"/>
      <c r="Z1020" s="56">
        <f ca="1">('TUSD BE'!$AM$32+'TUSD BF'!$AM$32+'TUSD CVA'!$AM$32)*1*(1-0.02)</f>
        <v>63.70726143397826</v>
      </c>
      <c r="AA1020" s="56">
        <f>('TE BE'!$AA$11+'TE BF'!$AA$11+'TE CVA'!$AA$11)*1*(1-0.02)</f>
        <v>218.68270575803808</v>
      </c>
      <c r="AB1020" s="4">
        <f>$K$1020*$V$1020</f>
        <v>0</v>
      </c>
      <c r="AC1020" s="4">
        <f>$M$1020*$W$1020</f>
        <v>251.06713920000001</v>
      </c>
      <c r="AD1020" s="4">
        <f>$O$1020*$X$1020</f>
        <v>1088.6431775999999</v>
      </c>
      <c r="AE1020" s="4">
        <f>$K$1020*$Y$1020</f>
        <v>0</v>
      </c>
      <c r="AF1020" s="4">
        <f ca="1">$M$1020*$Z$1020</f>
        <v>324.9707405747231</v>
      </c>
      <c r="AG1020" s="4">
        <f>$O$1020*$AA$1020</f>
        <v>1115.5004820717522</v>
      </c>
    </row>
    <row r="1021" spans="1:33" ht="11.25" customHeight="1" x14ac:dyDescent="0.25">
      <c r="A1021" s="3" t="s">
        <v>21</v>
      </c>
      <c r="B1021" s="3" t="s">
        <v>41</v>
      </c>
      <c r="C1021" s="3" t="s">
        <v>42</v>
      </c>
      <c r="D1021" s="3" t="s">
        <v>45</v>
      </c>
      <c r="E1021" s="3" t="s">
        <v>53</v>
      </c>
      <c r="F1021" s="3" t="s">
        <v>25</v>
      </c>
      <c r="G1021" s="3" t="s">
        <v>25</v>
      </c>
      <c r="H1021" s="3" t="s">
        <v>25</v>
      </c>
      <c r="I1021" s="6">
        <v>44287</v>
      </c>
      <c r="J1021" s="4">
        <v>8254</v>
      </c>
      <c r="K1021" s="56">
        <v>8254</v>
      </c>
      <c r="L1021" s="4">
        <v>0</v>
      </c>
      <c r="M1021" s="56">
        <v>0</v>
      </c>
      <c r="N1021" s="4">
        <v>0</v>
      </c>
      <c r="O1021" s="56">
        <v>0</v>
      </c>
      <c r="P1021" s="4">
        <v>44</v>
      </c>
      <c r="Q1021" s="3" t="s">
        <v>26</v>
      </c>
      <c r="R1021" s="3">
        <v>0</v>
      </c>
      <c r="S1021" s="4">
        <v>44</v>
      </c>
      <c r="T1021" s="4">
        <v>0</v>
      </c>
      <c r="U1021" s="4">
        <v>0</v>
      </c>
      <c r="V1021" s="56">
        <f>IF(ISERROR(VLOOKUP($S$1021,'TAR FIN'!$A$1:$O$113,15,0)),0,VLOOKUP($S$1021,'TAR FIN'!$A$1:$O$113,15,0))*(1-0.04)</f>
        <v>23.337599999999998</v>
      </c>
      <c r="W1021" s="56">
        <f>IF(ISERROR(VLOOKUP($T$1021,'TAR FIN'!$A$1:$O$113,15,0)),0,VLOOKUP($T$1021,'TAR FIN'!$A$1:$O$113,15,0))</f>
        <v>0</v>
      </c>
      <c r="X1021" s="56">
        <f>IF(ISERROR(VLOOKUP($U$1021,'TAR FIN'!$A$1:$O$113,15,0)),0,VLOOKUP($U$1021,'TAR FIN'!$A$1:$O$113,15,0))</f>
        <v>0</v>
      </c>
      <c r="Y1021" s="56">
        <f ca="1">('TUSD BE'!$AM$30+'TUSD BF'!$AM$30+'TUSD CVA'!$AM$30)*1*(1-0.02)</f>
        <v>26.066113153707715</v>
      </c>
      <c r="Z1021" s="56"/>
      <c r="AA1021" s="56"/>
      <c r="AB1021" s="4">
        <f>$K$1021*$V$1021</f>
        <v>192628.55039999998</v>
      </c>
      <c r="AC1021" s="4">
        <f>$M$1021*$W$1021</f>
        <v>0</v>
      </c>
      <c r="AD1021" s="4">
        <f>$O$1021*$X$1021</f>
        <v>0</v>
      </c>
      <c r="AE1021" s="4">
        <f ca="1">$K$1021*$Y$1021</f>
        <v>215149.69797070348</v>
      </c>
      <c r="AF1021" s="4">
        <f>$M$1021*$Z$1021</f>
        <v>0</v>
      </c>
      <c r="AG1021" s="4">
        <f>$O$1021*$AA$1021</f>
        <v>0</v>
      </c>
    </row>
    <row r="1022" spans="1:33" ht="11.25" customHeight="1" x14ac:dyDescent="0.25">
      <c r="A1022" s="3" t="s">
        <v>21</v>
      </c>
      <c r="B1022" s="3" t="s">
        <v>41</v>
      </c>
      <c r="C1022" s="3" t="s">
        <v>42</v>
      </c>
      <c r="D1022" s="3" t="s">
        <v>45</v>
      </c>
      <c r="E1022" s="3" t="s">
        <v>53</v>
      </c>
      <c r="F1022" s="3" t="s">
        <v>25</v>
      </c>
      <c r="G1022" s="3" t="s">
        <v>25</v>
      </c>
      <c r="H1022" s="3" t="s">
        <v>25</v>
      </c>
      <c r="I1022" s="6">
        <v>44317</v>
      </c>
      <c r="J1022" s="4">
        <v>6368</v>
      </c>
      <c r="K1022" s="56">
        <v>6368</v>
      </c>
      <c r="L1022" s="4">
        <v>0</v>
      </c>
      <c r="M1022" s="56">
        <v>0</v>
      </c>
      <c r="N1022" s="4">
        <v>0</v>
      </c>
      <c r="O1022" s="56">
        <v>0</v>
      </c>
      <c r="P1022" s="4">
        <v>43</v>
      </c>
      <c r="Q1022" s="3" t="s">
        <v>26</v>
      </c>
      <c r="R1022" s="3">
        <v>0</v>
      </c>
      <c r="S1022" s="4">
        <v>44</v>
      </c>
      <c r="T1022" s="4">
        <v>0</v>
      </c>
      <c r="U1022" s="4">
        <v>0</v>
      </c>
      <c r="V1022" s="56">
        <f>IF(ISERROR(VLOOKUP($S$1022,'TAR FIN'!$A$1:$O$113,15,0)),0,VLOOKUP($S$1022,'TAR FIN'!$A$1:$O$113,15,0))*(1-0.04)</f>
        <v>23.337599999999998</v>
      </c>
      <c r="W1022" s="56">
        <f>IF(ISERROR(VLOOKUP($T$1022,'TAR FIN'!$A$1:$O$113,15,0)),0,VLOOKUP($T$1022,'TAR FIN'!$A$1:$O$113,15,0))</f>
        <v>0</v>
      </c>
      <c r="X1022" s="56">
        <f>IF(ISERROR(VLOOKUP($U$1022,'TAR FIN'!$A$1:$O$113,15,0)),0,VLOOKUP($U$1022,'TAR FIN'!$A$1:$O$113,15,0))</f>
        <v>0</v>
      </c>
      <c r="Y1022" s="56">
        <f ca="1">('TUSD BE'!$AM$30+'TUSD BF'!$AM$30+'TUSD CVA'!$AM$30)*1*(1-0.02)</f>
        <v>26.066113153707715</v>
      </c>
      <c r="Z1022" s="56"/>
      <c r="AA1022" s="56"/>
      <c r="AB1022" s="4">
        <f>$K$1022*$V$1022</f>
        <v>148613.83679999999</v>
      </c>
      <c r="AC1022" s="4">
        <f>$M$1022*$W$1022</f>
        <v>0</v>
      </c>
      <c r="AD1022" s="4">
        <f>$O$1022*$X$1022</f>
        <v>0</v>
      </c>
      <c r="AE1022" s="4">
        <f ca="1">$K$1022*$Y$1022</f>
        <v>165989.00856281072</v>
      </c>
      <c r="AF1022" s="4">
        <f>$M$1022*$Z$1022</f>
        <v>0</v>
      </c>
      <c r="AG1022" s="4">
        <f>$O$1022*$AA$1022</f>
        <v>0</v>
      </c>
    </row>
    <row r="1023" spans="1:33" ht="11.25" customHeight="1" x14ac:dyDescent="0.25">
      <c r="A1023" s="3" t="s">
        <v>28</v>
      </c>
      <c r="B1023" s="3" t="s">
        <v>41</v>
      </c>
      <c r="C1023" s="3" t="s">
        <v>42</v>
      </c>
      <c r="D1023" s="3" t="s">
        <v>45</v>
      </c>
      <c r="E1023" s="3" t="s">
        <v>53</v>
      </c>
      <c r="F1023" s="3" t="s">
        <v>25</v>
      </c>
      <c r="G1023" s="3" t="s">
        <v>25</v>
      </c>
      <c r="H1023" s="3" t="s">
        <v>25</v>
      </c>
      <c r="I1023" s="6">
        <v>44317</v>
      </c>
      <c r="J1023" s="4">
        <v>15</v>
      </c>
      <c r="K1023" s="56">
        <v>15</v>
      </c>
      <c r="L1023" s="4">
        <v>0</v>
      </c>
      <c r="M1023" s="56">
        <v>0</v>
      </c>
      <c r="N1023" s="4">
        <v>0</v>
      </c>
      <c r="O1023" s="56">
        <v>0</v>
      </c>
      <c r="P1023" s="4">
        <v>1</v>
      </c>
      <c r="Q1023" s="3" t="s">
        <v>26</v>
      </c>
      <c r="R1023" s="3">
        <v>0</v>
      </c>
      <c r="S1023" s="4">
        <v>44</v>
      </c>
      <c r="T1023" s="4">
        <v>0</v>
      </c>
      <c r="U1023" s="4">
        <v>0</v>
      </c>
      <c r="V1023" s="56">
        <f>IF(ISERROR(VLOOKUP($S$1023,'TAR FIN'!$A$1:$O$113,15,0)),0,VLOOKUP($S$1023,'TAR FIN'!$A$1:$O$113,15,0))*(1-0.04)</f>
        <v>23.337599999999998</v>
      </c>
      <c r="W1023" s="56">
        <f>IF(ISERROR(VLOOKUP($T$1023,'TAR FIN'!$A$1:$O$113,15,0)),0,VLOOKUP($T$1023,'TAR FIN'!$A$1:$O$113,15,0))</f>
        <v>0</v>
      </c>
      <c r="X1023" s="56">
        <f>IF(ISERROR(VLOOKUP($U$1023,'TAR FIN'!$A$1:$O$113,15,0)),0,VLOOKUP($U$1023,'TAR FIN'!$A$1:$O$113,15,0))</f>
        <v>0</v>
      </c>
      <c r="Y1023" s="56">
        <f ca="1">('TUSD BE'!$AM$30+'TUSD BF'!$AM$30+'TUSD CVA'!$AM$30)*1*(1-0.02)</f>
        <v>26.066113153707715</v>
      </c>
      <c r="Z1023" s="56"/>
      <c r="AA1023" s="56"/>
      <c r="AB1023" s="4">
        <f>$K$1023*$V$1023</f>
        <v>350.06399999999996</v>
      </c>
      <c r="AC1023" s="4">
        <f>$M$1023*$W$1023</f>
        <v>0</v>
      </c>
      <c r="AD1023" s="4">
        <f>$O$1023*$X$1023</f>
        <v>0</v>
      </c>
      <c r="AE1023" s="4">
        <f ca="1">$K$1023*$Y$1023</f>
        <v>390.99169730561573</v>
      </c>
      <c r="AF1023" s="4">
        <f>$M$1023*$Z$1023</f>
        <v>0</v>
      </c>
      <c r="AG1023" s="4">
        <f>$O$1023*$AA$1023</f>
        <v>0</v>
      </c>
    </row>
    <row r="1024" spans="1:33" ht="11.25" customHeight="1" x14ac:dyDescent="0.25">
      <c r="A1024" s="3" t="s">
        <v>21</v>
      </c>
      <c r="B1024" s="3" t="s">
        <v>41</v>
      </c>
      <c r="C1024" s="3" t="s">
        <v>42</v>
      </c>
      <c r="D1024" s="3" t="s">
        <v>45</v>
      </c>
      <c r="E1024" s="3" t="s">
        <v>53</v>
      </c>
      <c r="F1024" s="3" t="s">
        <v>25</v>
      </c>
      <c r="G1024" s="3" t="s">
        <v>25</v>
      </c>
      <c r="H1024" s="3" t="s">
        <v>25</v>
      </c>
      <c r="I1024" s="6">
        <v>44348</v>
      </c>
      <c r="J1024" s="4">
        <v>6070</v>
      </c>
      <c r="K1024" s="56">
        <v>6070</v>
      </c>
      <c r="L1024" s="4">
        <v>0</v>
      </c>
      <c r="M1024" s="56">
        <v>0</v>
      </c>
      <c r="N1024" s="4">
        <v>0</v>
      </c>
      <c r="O1024" s="56">
        <v>0</v>
      </c>
      <c r="P1024" s="4">
        <v>38</v>
      </c>
      <c r="Q1024" s="3" t="s">
        <v>26</v>
      </c>
      <c r="R1024" s="3">
        <v>0</v>
      </c>
      <c r="S1024" s="4">
        <v>44</v>
      </c>
      <c r="T1024" s="4">
        <v>0</v>
      </c>
      <c r="U1024" s="4">
        <v>0</v>
      </c>
      <c r="V1024" s="56">
        <f>IF(ISERROR(VLOOKUP($S$1024,'TAR FIN'!$A$1:$O$113,15,0)),0,VLOOKUP($S$1024,'TAR FIN'!$A$1:$O$113,15,0))*(1-0.04)</f>
        <v>23.337599999999998</v>
      </c>
      <c r="W1024" s="56">
        <f>IF(ISERROR(VLOOKUP($T$1024,'TAR FIN'!$A$1:$O$113,15,0)),0,VLOOKUP($T$1024,'TAR FIN'!$A$1:$O$113,15,0))</f>
        <v>0</v>
      </c>
      <c r="X1024" s="56">
        <f>IF(ISERROR(VLOOKUP($U$1024,'TAR FIN'!$A$1:$O$113,15,0)),0,VLOOKUP($U$1024,'TAR FIN'!$A$1:$O$113,15,0))</f>
        <v>0</v>
      </c>
      <c r="Y1024" s="56">
        <f ca="1">('TUSD BE'!$AM$30+'TUSD BF'!$AM$30+'TUSD CVA'!$AM$30)*1*(1-0.02)</f>
        <v>26.066113153707715</v>
      </c>
      <c r="Z1024" s="56"/>
      <c r="AA1024" s="56"/>
      <c r="AB1024" s="4">
        <f>$K$1024*$V$1024</f>
        <v>141659.23199999999</v>
      </c>
      <c r="AC1024" s="4">
        <f>$M$1024*$W$1024</f>
        <v>0</v>
      </c>
      <c r="AD1024" s="4">
        <f>$O$1024*$X$1024</f>
        <v>0</v>
      </c>
      <c r="AE1024" s="4">
        <f ca="1">$K$1024*$Y$1024</f>
        <v>158221.30684300582</v>
      </c>
      <c r="AF1024" s="4">
        <f>$M$1024*$Z$1024</f>
        <v>0</v>
      </c>
      <c r="AG1024" s="4">
        <f>$O$1024*$AA$1024</f>
        <v>0</v>
      </c>
    </row>
    <row r="1025" spans="1:33" ht="11.25" customHeight="1" x14ac:dyDescent="0.25">
      <c r="A1025" s="3" t="s">
        <v>28</v>
      </c>
      <c r="B1025" s="3" t="s">
        <v>41</v>
      </c>
      <c r="C1025" s="3" t="s">
        <v>42</v>
      </c>
      <c r="D1025" s="3" t="s">
        <v>45</v>
      </c>
      <c r="E1025" s="3" t="s">
        <v>53</v>
      </c>
      <c r="F1025" s="3" t="s">
        <v>25</v>
      </c>
      <c r="G1025" s="3" t="s">
        <v>25</v>
      </c>
      <c r="H1025" s="3" t="s">
        <v>25</v>
      </c>
      <c r="I1025" s="6">
        <v>44348</v>
      </c>
      <c r="J1025" s="4">
        <v>23</v>
      </c>
      <c r="K1025" s="56">
        <v>23</v>
      </c>
      <c r="L1025" s="4">
        <v>0</v>
      </c>
      <c r="M1025" s="56">
        <v>0</v>
      </c>
      <c r="N1025" s="4">
        <v>0</v>
      </c>
      <c r="O1025" s="56">
        <v>0</v>
      </c>
      <c r="P1025" s="4">
        <v>1</v>
      </c>
      <c r="Q1025" s="3" t="s">
        <v>26</v>
      </c>
      <c r="R1025" s="3">
        <v>0</v>
      </c>
      <c r="S1025" s="4">
        <v>44</v>
      </c>
      <c r="T1025" s="4">
        <v>0</v>
      </c>
      <c r="U1025" s="4">
        <v>0</v>
      </c>
      <c r="V1025" s="56">
        <f>IF(ISERROR(VLOOKUP($S$1025,'TAR FIN'!$A$1:$O$113,15,0)),0,VLOOKUP($S$1025,'TAR FIN'!$A$1:$O$113,15,0))*(1-0.04)</f>
        <v>23.337599999999998</v>
      </c>
      <c r="W1025" s="56">
        <f>IF(ISERROR(VLOOKUP($T$1025,'TAR FIN'!$A$1:$O$113,15,0)),0,VLOOKUP($T$1025,'TAR FIN'!$A$1:$O$113,15,0))</f>
        <v>0</v>
      </c>
      <c r="X1025" s="56">
        <f>IF(ISERROR(VLOOKUP($U$1025,'TAR FIN'!$A$1:$O$113,15,0)),0,VLOOKUP($U$1025,'TAR FIN'!$A$1:$O$113,15,0))</f>
        <v>0</v>
      </c>
      <c r="Y1025" s="56">
        <f ca="1">('TUSD BE'!$AM$30+'TUSD BF'!$AM$30+'TUSD CVA'!$AM$30)*1*(1-0.02)</f>
        <v>26.066113153707715</v>
      </c>
      <c r="Z1025" s="56"/>
      <c r="AA1025" s="56"/>
      <c r="AB1025" s="4">
        <f>$K$1025*$V$1025</f>
        <v>536.76479999999992</v>
      </c>
      <c r="AC1025" s="4">
        <f>$M$1025*$W$1025</f>
        <v>0</v>
      </c>
      <c r="AD1025" s="4">
        <f>$O$1025*$X$1025</f>
        <v>0</v>
      </c>
      <c r="AE1025" s="4">
        <f ca="1">$K$1025*$Y$1025</f>
        <v>599.52060253527748</v>
      </c>
      <c r="AF1025" s="4">
        <f>$M$1025*$Z$1025</f>
        <v>0</v>
      </c>
      <c r="AG1025" s="4">
        <f>$O$1025*$AA$1025</f>
        <v>0</v>
      </c>
    </row>
    <row r="1026" spans="1:33" ht="11.25" customHeight="1" x14ac:dyDescent="0.25">
      <c r="A1026" s="3" t="s">
        <v>21</v>
      </c>
      <c r="B1026" s="3" t="s">
        <v>41</v>
      </c>
      <c r="C1026" s="3" t="s">
        <v>42</v>
      </c>
      <c r="D1026" s="3" t="s">
        <v>45</v>
      </c>
      <c r="E1026" s="3" t="s">
        <v>53</v>
      </c>
      <c r="F1026" s="3" t="s">
        <v>25</v>
      </c>
      <c r="G1026" s="3" t="s">
        <v>25</v>
      </c>
      <c r="H1026" s="3" t="s">
        <v>25</v>
      </c>
      <c r="I1026" s="6">
        <v>44378</v>
      </c>
      <c r="J1026" s="4">
        <v>5878</v>
      </c>
      <c r="K1026" s="56">
        <v>5878</v>
      </c>
      <c r="L1026" s="4">
        <v>0</v>
      </c>
      <c r="M1026" s="56">
        <v>0</v>
      </c>
      <c r="N1026" s="4">
        <v>0</v>
      </c>
      <c r="O1026" s="56">
        <v>0</v>
      </c>
      <c r="P1026" s="4">
        <v>38</v>
      </c>
      <c r="Q1026" s="3" t="s">
        <v>26</v>
      </c>
      <c r="R1026" s="3">
        <v>0</v>
      </c>
      <c r="S1026" s="4">
        <v>44</v>
      </c>
      <c r="T1026" s="4">
        <v>0</v>
      </c>
      <c r="U1026" s="4">
        <v>0</v>
      </c>
      <c r="V1026" s="56">
        <f>IF(ISERROR(VLOOKUP($S$1026,'TAR FIN'!$A$1:$O$113,15,0)),0,VLOOKUP($S$1026,'TAR FIN'!$A$1:$O$113,15,0))*(1-0.04)</f>
        <v>23.337599999999998</v>
      </c>
      <c r="W1026" s="56">
        <f>IF(ISERROR(VLOOKUP($T$1026,'TAR FIN'!$A$1:$O$113,15,0)),0,VLOOKUP($T$1026,'TAR FIN'!$A$1:$O$113,15,0))</f>
        <v>0</v>
      </c>
      <c r="X1026" s="56">
        <f>IF(ISERROR(VLOOKUP($U$1026,'TAR FIN'!$A$1:$O$113,15,0)),0,VLOOKUP($U$1026,'TAR FIN'!$A$1:$O$113,15,0))</f>
        <v>0</v>
      </c>
      <c r="Y1026" s="56">
        <f ca="1">('TUSD BE'!$AM$30+'TUSD BF'!$AM$30+'TUSD CVA'!$AM$30)*1*(1-0.02)</f>
        <v>26.066113153707715</v>
      </c>
      <c r="Z1026" s="56"/>
      <c r="AA1026" s="56"/>
      <c r="AB1026" s="4">
        <f>$K$1026*$V$1026</f>
        <v>137178.41279999999</v>
      </c>
      <c r="AC1026" s="4">
        <f>$M$1026*$W$1026</f>
        <v>0</v>
      </c>
      <c r="AD1026" s="4">
        <f>$O$1026*$X$1026</f>
        <v>0</v>
      </c>
      <c r="AE1026" s="4">
        <f ca="1">$K$1026*$Y$1026</f>
        <v>153216.61311749395</v>
      </c>
      <c r="AF1026" s="4">
        <f>$M$1026*$Z$1026</f>
        <v>0</v>
      </c>
      <c r="AG1026" s="4">
        <f>$O$1026*$AA$1026</f>
        <v>0</v>
      </c>
    </row>
    <row r="1027" spans="1:33" ht="11.25" customHeight="1" x14ac:dyDescent="0.25">
      <c r="A1027" s="3" t="s">
        <v>28</v>
      </c>
      <c r="B1027" s="3" t="s">
        <v>41</v>
      </c>
      <c r="C1027" s="3" t="s">
        <v>42</v>
      </c>
      <c r="D1027" s="3" t="s">
        <v>45</v>
      </c>
      <c r="E1027" s="3" t="s">
        <v>53</v>
      </c>
      <c r="F1027" s="3" t="s">
        <v>25</v>
      </c>
      <c r="G1027" s="3" t="s">
        <v>25</v>
      </c>
      <c r="H1027" s="3" t="s">
        <v>25</v>
      </c>
      <c r="I1027" s="6">
        <v>44378</v>
      </c>
      <c r="J1027" s="4">
        <v>17</v>
      </c>
      <c r="K1027" s="56">
        <v>17</v>
      </c>
      <c r="L1027" s="4">
        <v>0</v>
      </c>
      <c r="M1027" s="56">
        <v>0</v>
      </c>
      <c r="N1027" s="4">
        <v>0</v>
      </c>
      <c r="O1027" s="56">
        <v>0</v>
      </c>
      <c r="P1027" s="4">
        <v>1</v>
      </c>
      <c r="Q1027" s="3" t="s">
        <v>26</v>
      </c>
      <c r="R1027" s="3">
        <v>0</v>
      </c>
      <c r="S1027" s="4">
        <v>44</v>
      </c>
      <c r="T1027" s="4">
        <v>0</v>
      </c>
      <c r="U1027" s="4">
        <v>0</v>
      </c>
      <c r="V1027" s="56">
        <f>IF(ISERROR(VLOOKUP($S$1027,'TAR FIN'!$A$1:$O$113,15,0)),0,VLOOKUP($S$1027,'TAR FIN'!$A$1:$O$113,15,0))*(1-0.04)</f>
        <v>23.337599999999998</v>
      </c>
      <c r="W1027" s="56">
        <f>IF(ISERROR(VLOOKUP($T$1027,'TAR FIN'!$A$1:$O$113,15,0)),0,VLOOKUP($T$1027,'TAR FIN'!$A$1:$O$113,15,0))</f>
        <v>0</v>
      </c>
      <c r="X1027" s="56">
        <f>IF(ISERROR(VLOOKUP($U$1027,'TAR FIN'!$A$1:$O$113,15,0)),0,VLOOKUP($U$1027,'TAR FIN'!$A$1:$O$113,15,0))</f>
        <v>0</v>
      </c>
      <c r="Y1027" s="56">
        <f ca="1">('TUSD BE'!$AM$30+'TUSD BF'!$AM$30+'TUSD CVA'!$AM$30)*1*(1-0.02)</f>
        <v>26.066113153707715</v>
      </c>
      <c r="Z1027" s="56"/>
      <c r="AA1027" s="56"/>
      <c r="AB1027" s="4">
        <f>$K$1027*$V$1027</f>
        <v>396.73919999999998</v>
      </c>
      <c r="AC1027" s="4">
        <f>$M$1027*$W$1027</f>
        <v>0</v>
      </c>
      <c r="AD1027" s="4">
        <f>$O$1027*$X$1027</f>
        <v>0</v>
      </c>
      <c r="AE1027" s="4">
        <f ca="1">$K$1027*$Y$1027</f>
        <v>443.12392361303114</v>
      </c>
      <c r="AF1027" s="4">
        <f>$M$1027*$Z$1027</f>
        <v>0</v>
      </c>
      <c r="AG1027" s="4">
        <f>$O$1027*$AA$1027</f>
        <v>0</v>
      </c>
    </row>
    <row r="1028" spans="1:33" ht="11.25" customHeight="1" x14ac:dyDescent="0.25">
      <c r="A1028" s="3" t="s">
        <v>21</v>
      </c>
      <c r="B1028" s="3" t="s">
        <v>41</v>
      </c>
      <c r="C1028" s="3" t="s">
        <v>42</v>
      </c>
      <c r="D1028" s="3" t="s">
        <v>45</v>
      </c>
      <c r="E1028" s="3" t="s">
        <v>53</v>
      </c>
      <c r="F1028" s="3" t="s">
        <v>25</v>
      </c>
      <c r="G1028" s="3" t="s">
        <v>25</v>
      </c>
      <c r="H1028" s="3" t="s">
        <v>25</v>
      </c>
      <c r="I1028" s="6">
        <v>44409</v>
      </c>
      <c r="J1028" s="4">
        <v>5723</v>
      </c>
      <c r="K1028" s="56">
        <v>5723</v>
      </c>
      <c r="L1028" s="4">
        <v>0</v>
      </c>
      <c r="M1028" s="56">
        <v>0</v>
      </c>
      <c r="N1028" s="4">
        <v>0</v>
      </c>
      <c r="O1028" s="56">
        <v>0</v>
      </c>
      <c r="P1028" s="4">
        <v>35</v>
      </c>
      <c r="Q1028" s="3" t="s">
        <v>26</v>
      </c>
      <c r="R1028" s="3">
        <v>0</v>
      </c>
      <c r="S1028" s="4">
        <v>44</v>
      </c>
      <c r="T1028" s="4">
        <v>0</v>
      </c>
      <c r="U1028" s="4">
        <v>0</v>
      </c>
      <c r="V1028" s="56">
        <f>IF(ISERROR(VLOOKUP($S$1028,'TAR FIN'!$A$1:$O$113,15,0)),0,VLOOKUP($S$1028,'TAR FIN'!$A$1:$O$113,15,0))*(1-0.04)</f>
        <v>23.337599999999998</v>
      </c>
      <c r="W1028" s="56">
        <f>IF(ISERROR(VLOOKUP($T$1028,'TAR FIN'!$A$1:$O$113,15,0)),0,VLOOKUP($T$1028,'TAR FIN'!$A$1:$O$113,15,0))</f>
        <v>0</v>
      </c>
      <c r="X1028" s="56">
        <f>IF(ISERROR(VLOOKUP($U$1028,'TAR FIN'!$A$1:$O$113,15,0)),0,VLOOKUP($U$1028,'TAR FIN'!$A$1:$O$113,15,0))</f>
        <v>0</v>
      </c>
      <c r="Y1028" s="56">
        <f ca="1">('TUSD BE'!$AM$30+'TUSD BF'!$AM$30+'TUSD CVA'!$AM$30)*1*(1-0.02)</f>
        <v>26.066113153707715</v>
      </c>
      <c r="Z1028" s="56"/>
      <c r="AA1028" s="56"/>
      <c r="AB1028" s="4">
        <f>$K$1028*$V$1028</f>
        <v>133561.08479999998</v>
      </c>
      <c r="AC1028" s="4">
        <f>$M$1028*$W$1028</f>
        <v>0</v>
      </c>
      <c r="AD1028" s="4">
        <f>$O$1028*$X$1028</f>
        <v>0</v>
      </c>
      <c r="AE1028" s="4">
        <f ca="1">$K$1028*$Y$1028</f>
        <v>149176.36557866924</v>
      </c>
      <c r="AF1028" s="4">
        <f>$M$1028*$Z$1028</f>
        <v>0</v>
      </c>
      <c r="AG1028" s="4">
        <f>$O$1028*$AA$1028</f>
        <v>0</v>
      </c>
    </row>
    <row r="1029" spans="1:33" ht="11.25" customHeight="1" x14ac:dyDescent="0.25">
      <c r="A1029" s="3" t="s">
        <v>28</v>
      </c>
      <c r="B1029" s="3" t="s">
        <v>41</v>
      </c>
      <c r="C1029" s="3" t="s">
        <v>42</v>
      </c>
      <c r="D1029" s="3" t="s">
        <v>45</v>
      </c>
      <c r="E1029" s="3" t="s">
        <v>53</v>
      </c>
      <c r="F1029" s="3" t="s">
        <v>25</v>
      </c>
      <c r="G1029" s="3" t="s">
        <v>25</v>
      </c>
      <c r="H1029" s="3" t="s">
        <v>25</v>
      </c>
      <c r="I1029" s="6">
        <v>44409</v>
      </c>
      <c r="J1029" s="4">
        <v>21</v>
      </c>
      <c r="K1029" s="56">
        <v>21</v>
      </c>
      <c r="L1029" s="4">
        <v>0</v>
      </c>
      <c r="M1029" s="56">
        <v>0</v>
      </c>
      <c r="N1029" s="4">
        <v>0</v>
      </c>
      <c r="O1029" s="56">
        <v>0</v>
      </c>
      <c r="P1029" s="4">
        <v>1</v>
      </c>
      <c r="Q1029" s="3" t="s">
        <v>26</v>
      </c>
      <c r="R1029" s="3">
        <v>0</v>
      </c>
      <c r="S1029" s="4">
        <v>44</v>
      </c>
      <c r="T1029" s="4">
        <v>0</v>
      </c>
      <c r="U1029" s="4">
        <v>0</v>
      </c>
      <c r="V1029" s="56">
        <f>IF(ISERROR(VLOOKUP($S$1029,'TAR FIN'!$A$1:$O$113,15,0)),0,VLOOKUP($S$1029,'TAR FIN'!$A$1:$O$113,15,0))*(1-0.04)</f>
        <v>23.337599999999998</v>
      </c>
      <c r="W1029" s="56">
        <f>IF(ISERROR(VLOOKUP($T$1029,'TAR FIN'!$A$1:$O$113,15,0)),0,VLOOKUP($T$1029,'TAR FIN'!$A$1:$O$113,15,0))</f>
        <v>0</v>
      </c>
      <c r="X1029" s="56">
        <f>IF(ISERROR(VLOOKUP($U$1029,'TAR FIN'!$A$1:$O$113,15,0)),0,VLOOKUP($U$1029,'TAR FIN'!$A$1:$O$113,15,0))</f>
        <v>0</v>
      </c>
      <c r="Y1029" s="56">
        <f ca="1">('TUSD BE'!$AM$30+'TUSD BF'!$AM$30+'TUSD CVA'!$AM$30)*1*(1-0.02)</f>
        <v>26.066113153707715</v>
      </c>
      <c r="Z1029" s="56"/>
      <c r="AA1029" s="56"/>
      <c r="AB1029" s="4">
        <f>$K$1029*$V$1029</f>
        <v>490.08959999999996</v>
      </c>
      <c r="AC1029" s="4">
        <f>$M$1029*$W$1029</f>
        <v>0</v>
      </c>
      <c r="AD1029" s="4">
        <f>$O$1029*$X$1029</f>
        <v>0</v>
      </c>
      <c r="AE1029" s="4">
        <f ca="1">$K$1029*$Y$1029</f>
        <v>547.38837622786195</v>
      </c>
      <c r="AF1029" s="4">
        <f>$M$1029*$Z$1029</f>
        <v>0</v>
      </c>
      <c r="AG1029" s="4">
        <f>$O$1029*$AA$1029</f>
        <v>0</v>
      </c>
    </row>
    <row r="1030" spans="1:33" ht="11.25" customHeight="1" x14ac:dyDescent="0.25">
      <c r="A1030" s="3" t="s">
        <v>21</v>
      </c>
      <c r="B1030" s="3" t="s">
        <v>41</v>
      </c>
      <c r="C1030" s="3" t="s">
        <v>42</v>
      </c>
      <c r="D1030" s="3" t="s">
        <v>45</v>
      </c>
      <c r="E1030" s="3" t="s">
        <v>53</v>
      </c>
      <c r="F1030" s="3" t="s">
        <v>25</v>
      </c>
      <c r="G1030" s="3" t="s">
        <v>25</v>
      </c>
      <c r="H1030" s="3" t="s">
        <v>25</v>
      </c>
      <c r="I1030" s="6">
        <v>44440</v>
      </c>
      <c r="J1030" s="4">
        <v>7080</v>
      </c>
      <c r="K1030" s="56">
        <v>7080</v>
      </c>
      <c r="L1030" s="4">
        <v>0</v>
      </c>
      <c r="M1030" s="56">
        <v>0</v>
      </c>
      <c r="N1030" s="4">
        <v>0</v>
      </c>
      <c r="O1030" s="56">
        <v>0</v>
      </c>
      <c r="P1030" s="4">
        <v>39</v>
      </c>
      <c r="Q1030" s="3" t="s">
        <v>26</v>
      </c>
      <c r="R1030" s="3">
        <v>0</v>
      </c>
      <c r="S1030" s="4">
        <v>44</v>
      </c>
      <c r="T1030" s="4">
        <v>0</v>
      </c>
      <c r="U1030" s="4">
        <v>0</v>
      </c>
      <c r="V1030" s="56">
        <f>IF(ISERROR(VLOOKUP($S$1030,'TAR FIN'!$A$1:$O$113,15,0)),0,VLOOKUP($S$1030,'TAR FIN'!$A$1:$O$113,15,0))*(1-0.04)</f>
        <v>23.337599999999998</v>
      </c>
      <c r="W1030" s="56">
        <f>IF(ISERROR(VLOOKUP($T$1030,'TAR FIN'!$A$1:$O$113,15,0)),0,VLOOKUP($T$1030,'TAR FIN'!$A$1:$O$113,15,0))</f>
        <v>0</v>
      </c>
      <c r="X1030" s="56">
        <f>IF(ISERROR(VLOOKUP($U$1030,'TAR FIN'!$A$1:$O$113,15,0)),0,VLOOKUP($U$1030,'TAR FIN'!$A$1:$O$113,15,0))</f>
        <v>0</v>
      </c>
      <c r="Y1030" s="56">
        <f ca="1">('TUSD BE'!$AM$30+'TUSD BF'!$AM$30+'TUSD CVA'!$AM$30)*1*(1-0.02)</f>
        <v>26.066113153707715</v>
      </c>
      <c r="Z1030" s="56"/>
      <c r="AA1030" s="56"/>
      <c r="AB1030" s="4">
        <f>$K$1030*$V$1030</f>
        <v>165230.20799999998</v>
      </c>
      <c r="AC1030" s="4">
        <f>$M$1030*$W$1030</f>
        <v>0</v>
      </c>
      <c r="AD1030" s="4">
        <f>$O$1030*$X$1030</f>
        <v>0</v>
      </c>
      <c r="AE1030" s="4">
        <f ca="1">$K$1030*$Y$1030</f>
        <v>184548.08112825063</v>
      </c>
      <c r="AF1030" s="4">
        <f>$M$1030*$Z$1030</f>
        <v>0</v>
      </c>
      <c r="AG1030" s="4">
        <f>$O$1030*$AA$1030</f>
        <v>0</v>
      </c>
    </row>
    <row r="1031" spans="1:33" ht="11.25" customHeight="1" x14ac:dyDescent="0.25">
      <c r="A1031" s="3" t="s">
        <v>28</v>
      </c>
      <c r="B1031" s="3" t="s">
        <v>41</v>
      </c>
      <c r="C1031" s="3" t="s">
        <v>42</v>
      </c>
      <c r="D1031" s="3" t="s">
        <v>45</v>
      </c>
      <c r="E1031" s="3" t="s">
        <v>53</v>
      </c>
      <c r="F1031" s="3" t="s">
        <v>25</v>
      </c>
      <c r="G1031" s="3" t="s">
        <v>25</v>
      </c>
      <c r="H1031" s="3" t="s">
        <v>25</v>
      </c>
      <c r="I1031" s="6">
        <v>44440</v>
      </c>
      <c r="J1031" s="4">
        <v>44</v>
      </c>
      <c r="K1031" s="56">
        <v>44</v>
      </c>
      <c r="L1031" s="4">
        <v>0</v>
      </c>
      <c r="M1031" s="56">
        <v>0</v>
      </c>
      <c r="N1031" s="4">
        <v>0</v>
      </c>
      <c r="O1031" s="56">
        <v>0</v>
      </c>
      <c r="P1031" s="4">
        <v>1</v>
      </c>
      <c r="Q1031" s="3" t="s">
        <v>26</v>
      </c>
      <c r="R1031" s="3">
        <v>0</v>
      </c>
      <c r="S1031" s="4">
        <v>44</v>
      </c>
      <c r="T1031" s="4">
        <v>0</v>
      </c>
      <c r="U1031" s="4">
        <v>0</v>
      </c>
      <c r="V1031" s="56">
        <f>IF(ISERROR(VLOOKUP($S$1031,'TAR FIN'!$A$1:$O$113,15,0)),0,VLOOKUP($S$1031,'TAR FIN'!$A$1:$O$113,15,0))*(1-0.04)</f>
        <v>23.337599999999998</v>
      </c>
      <c r="W1031" s="56">
        <f>IF(ISERROR(VLOOKUP($T$1031,'TAR FIN'!$A$1:$O$113,15,0)),0,VLOOKUP($T$1031,'TAR FIN'!$A$1:$O$113,15,0))</f>
        <v>0</v>
      </c>
      <c r="X1031" s="56">
        <f>IF(ISERROR(VLOOKUP($U$1031,'TAR FIN'!$A$1:$O$113,15,0)),0,VLOOKUP($U$1031,'TAR FIN'!$A$1:$O$113,15,0))</f>
        <v>0</v>
      </c>
      <c r="Y1031" s="56">
        <f ca="1">('TUSD BE'!$AM$30+'TUSD BF'!$AM$30+'TUSD CVA'!$AM$30)*1*(1-0.02)</f>
        <v>26.066113153707715</v>
      </c>
      <c r="Z1031" s="56"/>
      <c r="AA1031" s="56"/>
      <c r="AB1031" s="4">
        <f>$K$1031*$V$1031</f>
        <v>1026.8543999999999</v>
      </c>
      <c r="AC1031" s="4">
        <f>$M$1031*$W$1031</f>
        <v>0</v>
      </c>
      <c r="AD1031" s="4">
        <f>$O$1031*$X$1031</f>
        <v>0</v>
      </c>
      <c r="AE1031" s="4">
        <f ca="1">$K$1031*$Y$1031</f>
        <v>1146.9089787631394</v>
      </c>
      <c r="AF1031" s="4">
        <f>$M$1031*$Z$1031</f>
        <v>0</v>
      </c>
      <c r="AG1031" s="4">
        <f>$O$1031*$AA$1031</f>
        <v>0</v>
      </c>
    </row>
    <row r="1032" spans="1:33" ht="11.25" customHeight="1" x14ac:dyDescent="0.25">
      <c r="A1032" s="3" t="s">
        <v>21</v>
      </c>
      <c r="B1032" s="3" t="s">
        <v>41</v>
      </c>
      <c r="C1032" s="3" t="s">
        <v>42</v>
      </c>
      <c r="D1032" s="3" t="s">
        <v>45</v>
      </c>
      <c r="E1032" s="3" t="s">
        <v>53</v>
      </c>
      <c r="F1032" s="3" t="s">
        <v>25</v>
      </c>
      <c r="G1032" s="3" t="s">
        <v>25</v>
      </c>
      <c r="H1032" s="3" t="s">
        <v>25</v>
      </c>
      <c r="I1032" s="6">
        <v>44470</v>
      </c>
      <c r="J1032" s="4">
        <v>8127</v>
      </c>
      <c r="K1032" s="56">
        <v>8127</v>
      </c>
      <c r="L1032" s="4">
        <v>0</v>
      </c>
      <c r="M1032" s="56">
        <v>0</v>
      </c>
      <c r="N1032" s="4">
        <v>0</v>
      </c>
      <c r="O1032" s="56">
        <v>0</v>
      </c>
      <c r="P1032" s="4">
        <v>44</v>
      </c>
      <c r="Q1032" s="3" t="s">
        <v>26</v>
      </c>
      <c r="R1032" s="3">
        <v>0</v>
      </c>
      <c r="S1032" s="4">
        <v>44</v>
      </c>
      <c r="T1032" s="4">
        <v>0</v>
      </c>
      <c r="U1032" s="4">
        <v>0</v>
      </c>
      <c r="V1032" s="56">
        <f>IF(ISERROR(VLOOKUP($S$1032,'TAR FIN'!$A$1:$O$113,15,0)),0,VLOOKUP($S$1032,'TAR FIN'!$A$1:$O$113,15,0))*(1-0.04)</f>
        <v>23.337599999999998</v>
      </c>
      <c r="W1032" s="56">
        <f>IF(ISERROR(VLOOKUP($T$1032,'TAR FIN'!$A$1:$O$113,15,0)),0,VLOOKUP($T$1032,'TAR FIN'!$A$1:$O$113,15,0))</f>
        <v>0</v>
      </c>
      <c r="X1032" s="56">
        <f>IF(ISERROR(VLOOKUP($U$1032,'TAR FIN'!$A$1:$O$113,15,0)),0,VLOOKUP($U$1032,'TAR FIN'!$A$1:$O$113,15,0))</f>
        <v>0</v>
      </c>
      <c r="Y1032" s="56">
        <f ca="1">('TUSD BE'!$AM$30+'TUSD BF'!$AM$30+'TUSD CVA'!$AM$30)*1*(1-0.02)</f>
        <v>26.066113153707715</v>
      </c>
      <c r="Z1032" s="56"/>
      <c r="AA1032" s="56"/>
      <c r="AB1032" s="4">
        <f>$K$1032*$V$1032</f>
        <v>189664.6752</v>
      </c>
      <c r="AC1032" s="4">
        <f>$M$1032*$W$1032</f>
        <v>0</v>
      </c>
      <c r="AD1032" s="4">
        <f>$O$1032*$X$1032</f>
        <v>0</v>
      </c>
      <c r="AE1032" s="4">
        <f ca="1">$K$1032*$Y$1032</f>
        <v>211839.3016001826</v>
      </c>
      <c r="AF1032" s="4">
        <f>$M$1032*$Z$1032</f>
        <v>0</v>
      </c>
      <c r="AG1032" s="4">
        <f>$O$1032*$AA$1032</f>
        <v>0</v>
      </c>
    </row>
    <row r="1033" spans="1:33" ht="11.25" customHeight="1" x14ac:dyDescent="0.25">
      <c r="A1033" s="3" t="s">
        <v>28</v>
      </c>
      <c r="B1033" s="3" t="s">
        <v>41</v>
      </c>
      <c r="C1033" s="3" t="s">
        <v>42</v>
      </c>
      <c r="D1033" s="3" t="s">
        <v>45</v>
      </c>
      <c r="E1033" s="3" t="s">
        <v>53</v>
      </c>
      <c r="F1033" s="3" t="s">
        <v>25</v>
      </c>
      <c r="G1033" s="3" t="s">
        <v>25</v>
      </c>
      <c r="H1033" s="3" t="s">
        <v>25</v>
      </c>
      <c r="I1033" s="6">
        <v>44470</v>
      </c>
      <c r="J1033" s="4">
        <v>47</v>
      </c>
      <c r="K1033" s="56">
        <v>47</v>
      </c>
      <c r="L1033" s="4">
        <v>0</v>
      </c>
      <c r="M1033" s="56">
        <v>0</v>
      </c>
      <c r="N1033" s="4">
        <v>0</v>
      </c>
      <c r="O1033" s="56">
        <v>0</v>
      </c>
      <c r="P1033" s="4">
        <v>1</v>
      </c>
      <c r="Q1033" s="3" t="s">
        <v>26</v>
      </c>
      <c r="R1033" s="3">
        <v>0</v>
      </c>
      <c r="S1033" s="4">
        <v>44</v>
      </c>
      <c r="T1033" s="4">
        <v>0</v>
      </c>
      <c r="U1033" s="4">
        <v>0</v>
      </c>
      <c r="V1033" s="56">
        <f>IF(ISERROR(VLOOKUP($S$1033,'TAR FIN'!$A$1:$O$113,15,0)),0,VLOOKUP($S$1033,'TAR FIN'!$A$1:$O$113,15,0))*(1-0.04)</f>
        <v>23.337599999999998</v>
      </c>
      <c r="W1033" s="56">
        <f>IF(ISERROR(VLOOKUP($T$1033,'TAR FIN'!$A$1:$O$113,15,0)),0,VLOOKUP($T$1033,'TAR FIN'!$A$1:$O$113,15,0))</f>
        <v>0</v>
      </c>
      <c r="X1033" s="56">
        <f>IF(ISERROR(VLOOKUP($U$1033,'TAR FIN'!$A$1:$O$113,15,0)),0,VLOOKUP($U$1033,'TAR FIN'!$A$1:$O$113,15,0))</f>
        <v>0</v>
      </c>
      <c r="Y1033" s="56">
        <f ca="1">('TUSD BE'!$AM$30+'TUSD BF'!$AM$30+'TUSD CVA'!$AM$30)*1*(1-0.02)</f>
        <v>26.066113153707715</v>
      </c>
      <c r="Z1033" s="56"/>
      <c r="AA1033" s="56"/>
      <c r="AB1033" s="4">
        <f>$K$1033*$V$1033</f>
        <v>1096.8671999999999</v>
      </c>
      <c r="AC1033" s="4">
        <f>$M$1033*$W$1033</f>
        <v>0</v>
      </c>
      <c r="AD1033" s="4">
        <f>$O$1033*$X$1033</f>
        <v>0</v>
      </c>
      <c r="AE1033" s="4">
        <f ca="1">$K$1033*$Y$1033</f>
        <v>1225.1073182242626</v>
      </c>
      <c r="AF1033" s="4">
        <f>$M$1033*$Z$1033</f>
        <v>0</v>
      </c>
      <c r="AG1033" s="4">
        <f>$O$1033*$AA$1033</f>
        <v>0</v>
      </c>
    </row>
    <row r="1034" spans="1:33" ht="11.25" customHeight="1" x14ac:dyDescent="0.25">
      <c r="A1034" s="3" t="s">
        <v>21</v>
      </c>
      <c r="B1034" s="3" t="s">
        <v>41</v>
      </c>
      <c r="C1034" s="3" t="s">
        <v>42</v>
      </c>
      <c r="D1034" s="3" t="s">
        <v>45</v>
      </c>
      <c r="E1034" s="3" t="s">
        <v>53</v>
      </c>
      <c r="F1034" s="3" t="s">
        <v>25</v>
      </c>
      <c r="G1034" s="3" t="s">
        <v>25</v>
      </c>
      <c r="H1034" s="3" t="s">
        <v>25</v>
      </c>
      <c r="I1034" s="6">
        <v>44501</v>
      </c>
      <c r="J1034" s="4">
        <v>8205</v>
      </c>
      <c r="K1034" s="56">
        <v>8205</v>
      </c>
      <c r="L1034" s="4">
        <v>0</v>
      </c>
      <c r="M1034" s="56">
        <v>0</v>
      </c>
      <c r="N1034" s="4">
        <v>0</v>
      </c>
      <c r="O1034" s="56">
        <v>0</v>
      </c>
      <c r="P1034" s="4">
        <v>45</v>
      </c>
      <c r="Q1034" s="3" t="s">
        <v>26</v>
      </c>
      <c r="R1034" s="3">
        <v>0</v>
      </c>
      <c r="S1034" s="4">
        <v>44</v>
      </c>
      <c r="T1034" s="4">
        <v>0</v>
      </c>
      <c r="U1034" s="4">
        <v>0</v>
      </c>
      <c r="V1034" s="56">
        <f>IF(ISERROR(VLOOKUP($S$1034,'TAR FIN'!$A$1:$O$113,15,0)),0,VLOOKUP($S$1034,'TAR FIN'!$A$1:$O$113,15,0))*(1-0.04)</f>
        <v>23.337599999999998</v>
      </c>
      <c r="W1034" s="56">
        <f>IF(ISERROR(VLOOKUP($T$1034,'TAR FIN'!$A$1:$O$113,15,0)),0,VLOOKUP($T$1034,'TAR FIN'!$A$1:$O$113,15,0))</f>
        <v>0</v>
      </c>
      <c r="X1034" s="56">
        <f>IF(ISERROR(VLOOKUP($U$1034,'TAR FIN'!$A$1:$O$113,15,0)),0,VLOOKUP($U$1034,'TAR FIN'!$A$1:$O$113,15,0))</f>
        <v>0</v>
      </c>
      <c r="Y1034" s="56">
        <f ca="1">('TUSD BE'!$AM$30+'TUSD BF'!$AM$30+'TUSD CVA'!$AM$30)*1*(1-0.02)</f>
        <v>26.066113153707715</v>
      </c>
      <c r="Z1034" s="56"/>
      <c r="AA1034" s="56"/>
      <c r="AB1034" s="4">
        <f>$K$1034*$V$1034</f>
        <v>191485.00799999997</v>
      </c>
      <c r="AC1034" s="4">
        <f>$M$1034*$W$1034</f>
        <v>0</v>
      </c>
      <c r="AD1034" s="4">
        <f>$O$1034*$X$1034</f>
        <v>0</v>
      </c>
      <c r="AE1034" s="4">
        <f ca="1">$K$1034*$Y$1034</f>
        <v>213872.4584261718</v>
      </c>
      <c r="AF1034" s="4">
        <f>$M$1034*$Z$1034</f>
        <v>0</v>
      </c>
      <c r="AG1034" s="4">
        <f>$O$1034*$AA$1034</f>
        <v>0</v>
      </c>
    </row>
    <row r="1035" spans="1:33" ht="11.25" customHeight="1" x14ac:dyDescent="0.25">
      <c r="A1035" s="3" t="s">
        <v>28</v>
      </c>
      <c r="B1035" s="3" t="s">
        <v>41</v>
      </c>
      <c r="C1035" s="3" t="s">
        <v>42</v>
      </c>
      <c r="D1035" s="3" t="s">
        <v>45</v>
      </c>
      <c r="E1035" s="3" t="s">
        <v>53</v>
      </c>
      <c r="F1035" s="3" t="s">
        <v>25</v>
      </c>
      <c r="G1035" s="3" t="s">
        <v>25</v>
      </c>
      <c r="H1035" s="3" t="s">
        <v>25</v>
      </c>
      <c r="I1035" s="6">
        <v>44501</v>
      </c>
      <c r="J1035" s="4">
        <v>63</v>
      </c>
      <c r="K1035" s="56">
        <v>63</v>
      </c>
      <c r="L1035" s="4">
        <v>0</v>
      </c>
      <c r="M1035" s="56">
        <v>0</v>
      </c>
      <c r="N1035" s="4">
        <v>0</v>
      </c>
      <c r="O1035" s="56">
        <v>0</v>
      </c>
      <c r="P1035" s="4">
        <v>1</v>
      </c>
      <c r="Q1035" s="3" t="s">
        <v>26</v>
      </c>
      <c r="R1035" s="3">
        <v>0</v>
      </c>
      <c r="S1035" s="4">
        <v>44</v>
      </c>
      <c r="T1035" s="4">
        <v>0</v>
      </c>
      <c r="U1035" s="4">
        <v>0</v>
      </c>
      <c r="V1035" s="56">
        <f>IF(ISERROR(VLOOKUP($S$1035,'TAR FIN'!$A$1:$O$113,15,0)),0,VLOOKUP($S$1035,'TAR FIN'!$A$1:$O$113,15,0))*(1-0.04)</f>
        <v>23.337599999999998</v>
      </c>
      <c r="W1035" s="56">
        <f>IF(ISERROR(VLOOKUP($T$1035,'TAR FIN'!$A$1:$O$113,15,0)),0,VLOOKUP($T$1035,'TAR FIN'!$A$1:$O$113,15,0))</f>
        <v>0</v>
      </c>
      <c r="X1035" s="56">
        <f>IF(ISERROR(VLOOKUP($U$1035,'TAR FIN'!$A$1:$O$113,15,0)),0,VLOOKUP($U$1035,'TAR FIN'!$A$1:$O$113,15,0))</f>
        <v>0</v>
      </c>
      <c r="Y1035" s="56">
        <f ca="1">('TUSD BE'!$AM$30+'TUSD BF'!$AM$30+'TUSD CVA'!$AM$30)*1*(1-0.02)</f>
        <v>26.066113153707715</v>
      </c>
      <c r="Z1035" s="56"/>
      <c r="AA1035" s="56"/>
      <c r="AB1035" s="4">
        <f>$K$1035*$V$1035</f>
        <v>1470.2687999999998</v>
      </c>
      <c r="AC1035" s="4">
        <f>$M$1035*$W$1035</f>
        <v>0</v>
      </c>
      <c r="AD1035" s="4">
        <f>$O$1035*$X$1035</f>
        <v>0</v>
      </c>
      <c r="AE1035" s="4">
        <f ca="1">$K$1035*$Y$1035</f>
        <v>1642.1651286835861</v>
      </c>
      <c r="AF1035" s="4">
        <f>$M$1035*$Z$1035</f>
        <v>0</v>
      </c>
      <c r="AG1035" s="4">
        <f>$O$1035*$AA$1035</f>
        <v>0</v>
      </c>
    </row>
    <row r="1036" spans="1:33" ht="11.25" customHeight="1" x14ac:dyDescent="0.25">
      <c r="A1036" s="3" t="s">
        <v>21</v>
      </c>
      <c r="B1036" s="3" t="s">
        <v>41</v>
      </c>
      <c r="C1036" s="3" t="s">
        <v>42</v>
      </c>
      <c r="D1036" s="3" t="s">
        <v>45</v>
      </c>
      <c r="E1036" s="3" t="s">
        <v>53</v>
      </c>
      <c r="F1036" s="3" t="s">
        <v>25</v>
      </c>
      <c r="G1036" s="3" t="s">
        <v>25</v>
      </c>
      <c r="H1036" s="3" t="s">
        <v>25</v>
      </c>
      <c r="I1036" s="6">
        <v>44531</v>
      </c>
      <c r="J1036" s="4">
        <v>8108</v>
      </c>
      <c r="K1036" s="56">
        <v>8108</v>
      </c>
      <c r="L1036" s="4">
        <v>0</v>
      </c>
      <c r="M1036" s="56">
        <v>0</v>
      </c>
      <c r="N1036" s="4">
        <v>0</v>
      </c>
      <c r="O1036" s="56">
        <v>0</v>
      </c>
      <c r="P1036" s="4">
        <v>48</v>
      </c>
      <c r="Q1036" s="3" t="s">
        <v>26</v>
      </c>
      <c r="R1036" s="3">
        <v>0</v>
      </c>
      <c r="S1036" s="4">
        <v>44</v>
      </c>
      <c r="T1036" s="4">
        <v>0</v>
      </c>
      <c r="U1036" s="4">
        <v>0</v>
      </c>
      <c r="V1036" s="56">
        <f>IF(ISERROR(VLOOKUP($S$1036,'TAR FIN'!$A$1:$O$113,15,0)),0,VLOOKUP($S$1036,'TAR FIN'!$A$1:$O$113,15,0))*(1-0.04)</f>
        <v>23.337599999999998</v>
      </c>
      <c r="W1036" s="56">
        <f>IF(ISERROR(VLOOKUP($T$1036,'TAR FIN'!$A$1:$O$113,15,0)),0,VLOOKUP($T$1036,'TAR FIN'!$A$1:$O$113,15,0))</f>
        <v>0</v>
      </c>
      <c r="X1036" s="56">
        <f>IF(ISERROR(VLOOKUP($U$1036,'TAR FIN'!$A$1:$O$113,15,0)),0,VLOOKUP($U$1036,'TAR FIN'!$A$1:$O$113,15,0))</f>
        <v>0</v>
      </c>
      <c r="Y1036" s="56">
        <f ca="1">('TUSD BE'!$AM$30+'TUSD BF'!$AM$30+'TUSD CVA'!$AM$30)*1*(1-0.02)</f>
        <v>26.066113153707715</v>
      </c>
      <c r="Z1036" s="56"/>
      <c r="AA1036" s="56"/>
      <c r="AB1036" s="4">
        <f>$K$1036*$V$1036</f>
        <v>189221.26079999999</v>
      </c>
      <c r="AC1036" s="4">
        <f>$M$1036*$W$1036</f>
        <v>0</v>
      </c>
      <c r="AD1036" s="4">
        <f>$O$1036*$X$1036</f>
        <v>0</v>
      </c>
      <c r="AE1036" s="4">
        <f ca="1">$K$1036*$Y$1036</f>
        <v>211344.04545026214</v>
      </c>
      <c r="AF1036" s="4">
        <f>$M$1036*$Z$1036</f>
        <v>0</v>
      </c>
      <c r="AG1036" s="4">
        <f>$O$1036*$AA$1036</f>
        <v>0</v>
      </c>
    </row>
    <row r="1037" spans="1:33" ht="11.25" customHeight="1" x14ac:dyDescent="0.25">
      <c r="A1037" s="3" t="s">
        <v>28</v>
      </c>
      <c r="B1037" s="3" t="s">
        <v>41</v>
      </c>
      <c r="C1037" s="3" t="s">
        <v>42</v>
      </c>
      <c r="D1037" s="3" t="s">
        <v>45</v>
      </c>
      <c r="E1037" s="3" t="s">
        <v>53</v>
      </c>
      <c r="F1037" s="3" t="s">
        <v>25</v>
      </c>
      <c r="G1037" s="3" t="s">
        <v>25</v>
      </c>
      <c r="H1037" s="3" t="s">
        <v>25</v>
      </c>
      <c r="I1037" s="6">
        <v>44531</v>
      </c>
      <c r="J1037" s="4">
        <v>61</v>
      </c>
      <c r="K1037" s="56">
        <v>61</v>
      </c>
      <c r="L1037" s="4">
        <v>0</v>
      </c>
      <c r="M1037" s="56">
        <v>0</v>
      </c>
      <c r="N1037" s="4">
        <v>0</v>
      </c>
      <c r="O1037" s="56">
        <v>0</v>
      </c>
      <c r="P1037" s="4">
        <v>1</v>
      </c>
      <c r="Q1037" s="3" t="s">
        <v>26</v>
      </c>
      <c r="R1037" s="3">
        <v>0</v>
      </c>
      <c r="S1037" s="4">
        <v>44</v>
      </c>
      <c r="T1037" s="4">
        <v>0</v>
      </c>
      <c r="U1037" s="4">
        <v>0</v>
      </c>
      <c r="V1037" s="56">
        <f>IF(ISERROR(VLOOKUP($S$1037,'TAR FIN'!$A$1:$O$113,15,0)),0,VLOOKUP($S$1037,'TAR FIN'!$A$1:$O$113,15,0))*(1-0.04)</f>
        <v>23.337599999999998</v>
      </c>
      <c r="W1037" s="56">
        <f>IF(ISERROR(VLOOKUP($T$1037,'TAR FIN'!$A$1:$O$113,15,0)),0,VLOOKUP($T$1037,'TAR FIN'!$A$1:$O$113,15,0))</f>
        <v>0</v>
      </c>
      <c r="X1037" s="56">
        <f>IF(ISERROR(VLOOKUP($U$1037,'TAR FIN'!$A$1:$O$113,15,0)),0,VLOOKUP($U$1037,'TAR FIN'!$A$1:$O$113,15,0))</f>
        <v>0</v>
      </c>
      <c r="Y1037" s="56">
        <f ca="1">('TUSD BE'!$AM$30+'TUSD BF'!$AM$30+'TUSD CVA'!$AM$30)*1*(1-0.02)</f>
        <v>26.066113153707715</v>
      </c>
      <c r="Z1037" s="56"/>
      <c r="AA1037" s="56"/>
      <c r="AB1037" s="4">
        <f>$K$1037*$V$1037</f>
        <v>1423.5935999999999</v>
      </c>
      <c r="AC1037" s="4">
        <f>$M$1037*$W$1037</f>
        <v>0</v>
      </c>
      <c r="AD1037" s="4">
        <f>$O$1037*$X$1037</f>
        <v>0</v>
      </c>
      <c r="AE1037" s="4">
        <f ca="1">$K$1037*$Y$1037</f>
        <v>1590.0329023761706</v>
      </c>
      <c r="AF1037" s="4">
        <f>$M$1037*$Z$1037</f>
        <v>0</v>
      </c>
      <c r="AG1037" s="4">
        <f>$O$1037*$AA$1037</f>
        <v>0</v>
      </c>
    </row>
    <row r="1038" spans="1:33" ht="11.25" customHeight="1" x14ac:dyDescent="0.25">
      <c r="A1038" s="3" t="s">
        <v>21</v>
      </c>
      <c r="B1038" s="3" t="s">
        <v>41</v>
      </c>
      <c r="C1038" s="3" t="s">
        <v>42</v>
      </c>
      <c r="D1038" s="3" t="s">
        <v>45</v>
      </c>
      <c r="E1038" s="3" t="s">
        <v>53</v>
      </c>
      <c r="F1038" s="3" t="s">
        <v>25</v>
      </c>
      <c r="G1038" s="3" t="s">
        <v>25</v>
      </c>
      <c r="H1038" s="3" t="s">
        <v>25</v>
      </c>
      <c r="I1038" s="6">
        <v>44562</v>
      </c>
      <c r="J1038" s="4">
        <v>6058</v>
      </c>
      <c r="K1038" s="56">
        <v>6058</v>
      </c>
      <c r="L1038" s="4">
        <v>0</v>
      </c>
      <c r="M1038" s="56">
        <v>0</v>
      </c>
      <c r="N1038" s="4">
        <v>0</v>
      </c>
      <c r="O1038" s="56">
        <v>0</v>
      </c>
      <c r="P1038" s="4">
        <v>49</v>
      </c>
      <c r="Q1038" s="3" t="s">
        <v>26</v>
      </c>
      <c r="R1038" s="3">
        <v>0</v>
      </c>
      <c r="S1038" s="4">
        <v>44</v>
      </c>
      <c r="T1038" s="4">
        <v>0</v>
      </c>
      <c r="U1038" s="4">
        <v>0</v>
      </c>
      <c r="V1038" s="56">
        <f>IF(ISERROR(VLOOKUP($S$1038,'TAR FIN'!$A$1:$O$113,15,0)),0,VLOOKUP($S$1038,'TAR FIN'!$A$1:$O$113,15,0))*(1-0.04)</f>
        <v>23.337599999999998</v>
      </c>
      <c r="W1038" s="56">
        <f>IF(ISERROR(VLOOKUP($T$1038,'TAR FIN'!$A$1:$O$113,15,0)),0,VLOOKUP($T$1038,'TAR FIN'!$A$1:$O$113,15,0))</f>
        <v>0</v>
      </c>
      <c r="X1038" s="56">
        <f>IF(ISERROR(VLOOKUP($U$1038,'TAR FIN'!$A$1:$O$113,15,0)),0,VLOOKUP($U$1038,'TAR FIN'!$A$1:$O$113,15,0))</f>
        <v>0</v>
      </c>
      <c r="Y1038" s="56">
        <f ca="1">('TUSD BE'!$AM$30+'TUSD BF'!$AM$30+'TUSD CVA'!$AM$30)*1*(1-0.02)</f>
        <v>26.066113153707715</v>
      </c>
      <c r="Z1038" s="56"/>
      <c r="AA1038" s="56"/>
      <c r="AB1038" s="4">
        <f>$K$1038*$V$1038</f>
        <v>141379.1808</v>
      </c>
      <c r="AC1038" s="4">
        <f>$M$1038*$W$1038</f>
        <v>0</v>
      </c>
      <c r="AD1038" s="4">
        <f>$O$1038*$X$1038</f>
        <v>0</v>
      </c>
      <c r="AE1038" s="4">
        <f ca="1">$K$1038*$Y$1038</f>
        <v>157908.51348516133</v>
      </c>
      <c r="AF1038" s="4">
        <f>$M$1038*$Z$1038</f>
        <v>0</v>
      </c>
      <c r="AG1038" s="4">
        <f>$O$1038*$AA$1038</f>
        <v>0</v>
      </c>
    </row>
    <row r="1039" spans="1:33" ht="11.25" customHeight="1" x14ac:dyDescent="0.25">
      <c r="A1039" s="3" t="s">
        <v>27</v>
      </c>
      <c r="B1039" s="3" t="s">
        <v>41</v>
      </c>
      <c r="C1039" s="3" t="s">
        <v>42</v>
      </c>
      <c r="D1039" s="3" t="s">
        <v>45</v>
      </c>
      <c r="E1039" s="3" t="s">
        <v>53</v>
      </c>
      <c r="F1039" s="3" t="s">
        <v>25</v>
      </c>
      <c r="G1039" s="3" t="s">
        <v>25</v>
      </c>
      <c r="H1039" s="3" t="s">
        <v>25</v>
      </c>
      <c r="I1039" s="6">
        <v>44562</v>
      </c>
      <c r="J1039" s="4">
        <v>611</v>
      </c>
      <c r="K1039" s="56">
        <v>611</v>
      </c>
      <c r="L1039" s="4">
        <v>0</v>
      </c>
      <c r="M1039" s="56">
        <v>0</v>
      </c>
      <c r="N1039" s="4">
        <v>0</v>
      </c>
      <c r="O1039" s="56">
        <v>0</v>
      </c>
      <c r="P1039" s="4">
        <v>3</v>
      </c>
      <c r="Q1039" s="3" t="s">
        <v>26</v>
      </c>
      <c r="R1039" s="3">
        <v>0</v>
      </c>
      <c r="S1039" s="4">
        <v>44</v>
      </c>
      <c r="T1039" s="4">
        <v>0</v>
      </c>
      <c r="U1039" s="4">
        <v>0</v>
      </c>
      <c r="V1039" s="56">
        <f>IF(ISERROR(VLOOKUP($S$1039,'TAR FIN'!$A$1:$O$113,15,0)),0,VLOOKUP($S$1039,'TAR FIN'!$A$1:$O$113,15,0))*(1-0.04)</f>
        <v>23.337599999999998</v>
      </c>
      <c r="W1039" s="56">
        <f>IF(ISERROR(VLOOKUP($T$1039,'TAR FIN'!$A$1:$O$113,15,0)),0,VLOOKUP($T$1039,'TAR FIN'!$A$1:$O$113,15,0))</f>
        <v>0</v>
      </c>
      <c r="X1039" s="56">
        <f>IF(ISERROR(VLOOKUP($U$1039,'TAR FIN'!$A$1:$O$113,15,0)),0,VLOOKUP($U$1039,'TAR FIN'!$A$1:$O$113,15,0))</f>
        <v>0</v>
      </c>
      <c r="Y1039" s="56">
        <f ca="1">('TUSD BE'!$AM$30+'TUSD BF'!$AM$30+'TUSD CVA'!$AM$30)*1*(1-0.02)</f>
        <v>26.066113153707715</v>
      </c>
      <c r="Z1039" s="56"/>
      <c r="AA1039" s="56"/>
      <c r="AB1039" s="4">
        <f>$K$1039*$V$1039</f>
        <v>14259.273599999999</v>
      </c>
      <c r="AC1039" s="4">
        <f>$M$1039*$W$1039</f>
        <v>0</v>
      </c>
      <c r="AD1039" s="4">
        <f>$O$1039*$X$1039</f>
        <v>0</v>
      </c>
      <c r="AE1039" s="4">
        <f ca="1">$K$1039*$Y$1039</f>
        <v>15926.395136915413</v>
      </c>
      <c r="AF1039" s="4">
        <f>$M$1039*$Z$1039</f>
        <v>0</v>
      </c>
      <c r="AG1039" s="4">
        <f>$O$1039*$AA$1039</f>
        <v>0</v>
      </c>
    </row>
    <row r="1040" spans="1:33" ht="11.25" customHeight="1" x14ac:dyDescent="0.25">
      <c r="A1040" s="3" t="s">
        <v>28</v>
      </c>
      <c r="B1040" s="3" t="s">
        <v>41</v>
      </c>
      <c r="C1040" s="3" t="s">
        <v>42</v>
      </c>
      <c r="D1040" s="3" t="s">
        <v>45</v>
      </c>
      <c r="E1040" s="3" t="s">
        <v>53</v>
      </c>
      <c r="F1040" s="3" t="s">
        <v>25</v>
      </c>
      <c r="G1040" s="3" t="s">
        <v>25</v>
      </c>
      <c r="H1040" s="3" t="s">
        <v>25</v>
      </c>
      <c r="I1040" s="6">
        <v>44562</v>
      </c>
      <c r="J1040" s="4">
        <v>61</v>
      </c>
      <c r="K1040" s="56">
        <v>61</v>
      </c>
      <c r="L1040" s="4">
        <v>0</v>
      </c>
      <c r="M1040" s="56">
        <v>0</v>
      </c>
      <c r="N1040" s="4">
        <v>0</v>
      </c>
      <c r="O1040" s="56">
        <v>0</v>
      </c>
      <c r="P1040" s="4">
        <v>1</v>
      </c>
      <c r="Q1040" s="3" t="s">
        <v>26</v>
      </c>
      <c r="R1040" s="3">
        <v>0</v>
      </c>
      <c r="S1040" s="4">
        <v>44</v>
      </c>
      <c r="T1040" s="4">
        <v>0</v>
      </c>
      <c r="U1040" s="4">
        <v>0</v>
      </c>
      <c r="V1040" s="56">
        <f>IF(ISERROR(VLOOKUP($S$1040,'TAR FIN'!$A$1:$O$113,15,0)),0,VLOOKUP($S$1040,'TAR FIN'!$A$1:$O$113,15,0))*(1-0.04)</f>
        <v>23.337599999999998</v>
      </c>
      <c r="W1040" s="56">
        <f>IF(ISERROR(VLOOKUP($T$1040,'TAR FIN'!$A$1:$O$113,15,0)),0,VLOOKUP($T$1040,'TAR FIN'!$A$1:$O$113,15,0))</f>
        <v>0</v>
      </c>
      <c r="X1040" s="56">
        <f>IF(ISERROR(VLOOKUP($U$1040,'TAR FIN'!$A$1:$O$113,15,0)),0,VLOOKUP($U$1040,'TAR FIN'!$A$1:$O$113,15,0))</f>
        <v>0</v>
      </c>
      <c r="Y1040" s="56">
        <f ca="1">('TUSD BE'!$AM$30+'TUSD BF'!$AM$30+'TUSD CVA'!$AM$30)*1*(1-0.02)</f>
        <v>26.066113153707715</v>
      </c>
      <c r="Z1040" s="56"/>
      <c r="AA1040" s="56"/>
      <c r="AB1040" s="4">
        <f>$K$1040*$V$1040</f>
        <v>1423.5935999999999</v>
      </c>
      <c r="AC1040" s="4">
        <f>$M$1040*$W$1040</f>
        <v>0</v>
      </c>
      <c r="AD1040" s="4">
        <f>$O$1040*$X$1040</f>
        <v>0</v>
      </c>
      <c r="AE1040" s="4">
        <f ca="1">$K$1040*$Y$1040</f>
        <v>1590.0329023761706</v>
      </c>
      <c r="AF1040" s="4">
        <f>$M$1040*$Z$1040</f>
        <v>0</v>
      </c>
      <c r="AG1040" s="4">
        <f>$O$1040*$AA$1040</f>
        <v>0</v>
      </c>
    </row>
    <row r="1041" spans="1:33" ht="11.25" customHeight="1" x14ac:dyDescent="0.25">
      <c r="A1041" s="3" t="s">
        <v>21</v>
      </c>
      <c r="B1041" s="3" t="s">
        <v>41</v>
      </c>
      <c r="C1041" s="3" t="s">
        <v>42</v>
      </c>
      <c r="D1041" s="3" t="s">
        <v>45</v>
      </c>
      <c r="E1041" s="3" t="s">
        <v>53</v>
      </c>
      <c r="F1041" s="3" t="s">
        <v>25</v>
      </c>
      <c r="G1041" s="3" t="s">
        <v>25</v>
      </c>
      <c r="H1041" s="3" t="s">
        <v>25</v>
      </c>
      <c r="I1041" s="6">
        <v>44593</v>
      </c>
      <c r="J1041" s="4">
        <v>8919</v>
      </c>
      <c r="K1041" s="56">
        <v>8919</v>
      </c>
      <c r="L1041" s="4">
        <v>0</v>
      </c>
      <c r="M1041" s="56">
        <v>0</v>
      </c>
      <c r="N1041" s="4">
        <v>0</v>
      </c>
      <c r="O1041" s="56">
        <v>0</v>
      </c>
      <c r="P1041" s="4">
        <v>52</v>
      </c>
      <c r="Q1041" s="3" t="s">
        <v>26</v>
      </c>
      <c r="R1041" s="3">
        <v>0</v>
      </c>
      <c r="S1041" s="4">
        <v>44</v>
      </c>
      <c r="T1041" s="4">
        <v>0</v>
      </c>
      <c r="U1041" s="4">
        <v>0</v>
      </c>
      <c r="V1041" s="56">
        <f>IF(ISERROR(VLOOKUP($S$1041,'TAR FIN'!$A$1:$O$113,15,0)),0,VLOOKUP($S$1041,'TAR FIN'!$A$1:$O$113,15,0))*(1-0.04)</f>
        <v>23.337599999999998</v>
      </c>
      <c r="W1041" s="56">
        <f>IF(ISERROR(VLOOKUP($T$1041,'TAR FIN'!$A$1:$O$113,15,0)),0,VLOOKUP($T$1041,'TAR FIN'!$A$1:$O$113,15,0))</f>
        <v>0</v>
      </c>
      <c r="X1041" s="56">
        <f>IF(ISERROR(VLOOKUP($U$1041,'TAR FIN'!$A$1:$O$113,15,0)),0,VLOOKUP($U$1041,'TAR FIN'!$A$1:$O$113,15,0))</f>
        <v>0</v>
      </c>
      <c r="Y1041" s="56">
        <f ca="1">('TUSD BE'!$AM$30+'TUSD BF'!$AM$30+'TUSD CVA'!$AM$30)*1*(1-0.02)</f>
        <v>26.066113153707715</v>
      </c>
      <c r="Z1041" s="56"/>
      <c r="AA1041" s="56"/>
      <c r="AB1041" s="4">
        <f>$K$1041*$V$1041</f>
        <v>208148.05439999999</v>
      </c>
      <c r="AC1041" s="4">
        <f>$M$1041*$W$1041</f>
        <v>0</v>
      </c>
      <c r="AD1041" s="4">
        <f>$O$1041*$X$1041</f>
        <v>0</v>
      </c>
      <c r="AE1041" s="4">
        <f ca="1">$K$1041*$Y$1041</f>
        <v>232483.66321791909</v>
      </c>
      <c r="AF1041" s="4">
        <f>$M$1041*$Z$1041</f>
        <v>0</v>
      </c>
      <c r="AG1041" s="4">
        <f>$O$1041*$AA$1041</f>
        <v>0</v>
      </c>
    </row>
    <row r="1042" spans="1:33" ht="11.25" customHeight="1" x14ac:dyDescent="0.25">
      <c r="A1042" s="3" t="s">
        <v>27</v>
      </c>
      <c r="B1042" s="3" t="s">
        <v>41</v>
      </c>
      <c r="C1042" s="3" t="s">
        <v>42</v>
      </c>
      <c r="D1042" s="3" t="s">
        <v>45</v>
      </c>
      <c r="E1042" s="3" t="s">
        <v>53</v>
      </c>
      <c r="F1042" s="3" t="s">
        <v>25</v>
      </c>
      <c r="G1042" s="3" t="s">
        <v>25</v>
      </c>
      <c r="H1042" s="3" t="s">
        <v>25</v>
      </c>
      <c r="I1042" s="6">
        <v>44593</v>
      </c>
      <c r="J1042" s="4">
        <v>37</v>
      </c>
      <c r="K1042" s="56">
        <v>37</v>
      </c>
      <c r="L1042" s="4">
        <v>0</v>
      </c>
      <c r="M1042" s="56">
        <v>0</v>
      </c>
      <c r="N1042" s="4">
        <v>0</v>
      </c>
      <c r="O1042" s="56">
        <v>0</v>
      </c>
      <c r="P1042" s="4">
        <v>0</v>
      </c>
      <c r="Q1042" s="3" t="s">
        <v>26</v>
      </c>
      <c r="R1042" s="3">
        <v>0</v>
      </c>
      <c r="S1042" s="4">
        <v>44</v>
      </c>
      <c r="T1042" s="4">
        <v>0</v>
      </c>
      <c r="U1042" s="4">
        <v>0</v>
      </c>
      <c r="V1042" s="56">
        <f>IF(ISERROR(VLOOKUP($S$1042,'TAR FIN'!$A$1:$O$113,15,0)),0,VLOOKUP($S$1042,'TAR FIN'!$A$1:$O$113,15,0))*(1-0.04)</f>
        <v>23.337599999999998</v>
      </c>
      <c r="W1042" s="56">
        <f>IF(ISERROR(VLOOKUP($T$1042,'TAR FIN'!$A$1:$O$113,15,0)),0,VLOOKUP($T$1042,'TAR FIN'!$A$1:$O$113,15,0))</f>
        <v>0</v>
      </c>
      <c r="X1042" s="56">
        <f>IF(ISERROR(VLOOKUP($U$1042,'TAR FIN'!$A$1:$O$113,15,0)),0,VLOOKUP($U$1042,'TAR FIN'!$A$1:$O$113,15,0))</f>
        <v>0</v>
      </c>
      <c r="Y1042" s="56">
        <f ca="1">('TUSD BE'!$AM$30+'TUSD BF'!$AM$30+'TUSD CVA'!$AM$30)*1*(1-0.02)</f>
        <v>26.066113153707715</v>
      </c>
      <c r="Z1042" s="56"/>
      <c r="AA1042" s="56"/>
      <c r="AB1042" s="4">
        <f>$K$1042*$V$1042</f>
        <v>863.49119999999994</v>
      </c>
      <c r="AC1042" s="4">
        <f>$M$1042*$W$1042</f>
        <v>0</v>
      </c>
      <c r="AD1042" s="4">
        <f>$O$1042*$X$1042</f>
        <v>0</v>
      </c>
      <c r="AE1042" s="4">
        <f ca="1">$K$1042*$Y$1042</f>
        <v>964.44618668718545</v>
      </c>
      <c r="AF1042" s="4">
        <f>$M$1042*$Z$1042</f>
        <v>0</v>
      </c>
      <c r="AG1042" s="4">
        <f>$O$1042*$AA$1042</f>
        <v>0</v>
      </c>
    </row>
    <row r="1043" spans="1:33" ht="11.25" customHeight="1" x14ac:dyDescent="0.25">
      <c r="A1043" s="3" t="s">
        <v>28</v>
      </c>
      <c r="B1043" s="3" t="s">
        <v>41</v>
      </c>
      <c r="C1043" s="3" t="s">
        <v>42</v>
      </c>
      <c r="D1043" s="3" t="s">
        <v>45</v>
      </c>
      <c r="E1043" s="3" t="s">
        <v>53</v>
      </c>
      <c r="F1043" s="3" t="s">
        <v>25</v>
      </c>
      <c r="G1043" s="3" t="s">
        <v>25</v>
      </c>
      <c r="H1043" s="3" t="s">
        <v>25</v>
      </c>
      <c r="I1043" s="6">
        <v>44593</v>
      </c>
      <c r="J1043" s="4">
        <v>59</v>
      </c>
      <c r="K1043" s="56">
        <v>59</v>
      </c>
      <c r="L1043" s="4">
        <v>0</v>
      </c>
      <c r="M1043" s="56">
        <v>0</v>
      </c>
      <c r="N1043" s="4">
        <v>0</v>
      </c>
      <c r="O1043" s="56">
        <v>0</v>
      </c>
      <c r="P1043" s="4">
        <v>1</v>
      </c>
      <c r="Q1043" s="3" t="s">
        <v>26</v>
      </c>
      <c r="R1043" s="3">
        <v>0</v>
      </c>
      <c r="S1043" s="4">
        <v>44</v>
      </c>
      <c r="T1043" s="4">
        <v>0</v>
      </c>
      <c r="U1043" s="4">
        <v>0</v>
      </c>
      <c r="V1043" s="56">
        <f>IF(ISERROR(VLOOKUP($S$1043,'TAR FIN'!$A$1:$O$113,15,0)),0,VLOOKUP($S$1043,'TAR FIN'!$A$1:$O$113,15,0))*(1-0.04)</f>
        <v>23.337599999999998</v>
      </c>
      <c r="W1043" s="56">
        <f>IF(ISERROR(VLOOKUP($T$1043,'TAR FIN'!$A$1:$O$113,15,0)),0,VLOOKUP($T$1043,'TAR FIN'!$A$1:$O$113,15,0))</f>
        <v>0</v>
      </c>
      <c r="X1043" s="56">
        <f>IF(ISERROR(VLOOKUP($U$1043,'TAR FIN'!$A$1:$O$113,15,0)),0,VLOOKUP($U$1043,'TAR FIN'!$A$1:$O$113,15,0))</f>
        <v>0</v>
      </c>
      <c r="Y1043" s="56">
        <f ca="1">('TUSD BE'!$AM$30+'TUSD BF'!$AM$30+'TUSD CVA'!$AM$30)*1*(1-0.02)</f>
        <v>26.066113153707715</v>
      </c>
      <c r="Z1043" s="56"/>
      <c r="AA1043" s="56"/>
      <c r="AB1043" s="4">
        <f>$K$1043*$V$1043</f>
        <v>1376.9183999999998</v>
      </c>
      <c r="AC1043" s="4">
        <f>$M$1043*$W$1043</f>
        <v>0</v>
      </c>
      <c r="AD1043" s="4">
        <f>$O$1043*$X$1043</f>
        <v>0</v>
      </c>
      <c r="AE1043" s="4">
        <f ca="1">$K$1043*$Y$1043</f>
        <v>1537.9006760687553</v>
      </c>
      <c r="AF1043" s="4">
        <f>$M$1043*$Z$1043</f>
        <v>0</v>
      </c>
      <c r="AG1043" s="4">
        <f>$O$1043*$AA$1043</f>
        <v>0</v>
      </c>
    </row>
    <row r="1044" spans="1:33" ht="11.25" customHeight="1" x14ac:dyDescent="0.25">
      <c r="A1044" s="3" t="s">
        <v>56</v>
      </c>
      <c r="B1044" s="3" t="s">
        <v>41</v>
      </c>
      <c r="C1044" s="3" t="s">
        <v>42</v>
      </c>
      <c r="D1044" s="3" t="s">
        <v>45</v>
      </c>
      <c r="E1044" s="3" t="s">
        <v>53</v>
      </c>
      <c r="F1044" s="3" t="s">
        <v>25</v>
      </c>
      <c r="G1044" s="3" t="s">
        <v>25</v>
      </c>
      <c r="H1044" s="3" t="s">
        <v>25</v>
      </c>
      <c r="I1044" s="6">
        <v>44621</v>
      </c>
      <c r="J1044" s="4">
        <v>8919</v>
      </c>
      <c r="K1044" s="56">
        <v>8919</v>
      </c>
      <c r="L1044" s="4">
        <v>0</v>
      </c>
      <c r="M1044" s="56">
        <v>0</v>
      </c>
      <c r="N1044" s="4">
        <v>0</v>
      </c>
      <c r="O1044" s="56">
        <v>0</v>
      </c>
      <c r="P1044" s="4">
        <v>52</v>
      </c>
      <c r="Q1044" s="3" t="s">
        <v>26</v>
      </c>
      <c r="R1044" s="3">
        <v>0</v>
      </c>
      <c r="S1044" s="4">
        <v>44</v>
      </c>
      <c r="T1044" s="4">
        <v>0</v>
      </c>
      <c r="U1044" s="4">
        <v>0</v>
      </c>
      <c r="V1044" s="56">
        <f>IF(ISERROR(VLOOKUP($S$1044,'TAR FIN'!$A$1:$O$113,15,0)),0,VLOOKUP($S$1044,'TAR FIN'!$A$1:$O$113,15,0))*(1-0.04)</f>
        <v>23.337599999999998</v>
      </c>
      <c r="W1044" s="56">
        <f>IF(ISERROR(VLOOKUP($T$1044,'TAR FIN'!$A$1:$O$113,15,0)),0,VLOOKUP($T$1044,'TAR FIN'!$A$1:$O$113,15,0))</f>
        <v>0</v>
      </c>
      <c r="X1044" s="56">
        <f>IF(ISERROR(VLOOKUP($U$1044,'TAR FIN'!$A$1:$O$113,15,0)),0,VLOOKUP($U$1044,'TAR FIN'!$A$1:$O$113,15,0))</f>
        <v>0</v>
      </c>
      <c r="Y1044" s="56">
        <f ca="1">('TUSD BE'!$AM$30+'TUSD BF'!$AM$30+'TUSD CVA'!$AM$30)*1*(1-0.02)</f>
        <v>26.066113153707715</v>
      </c>
      <c r="Z1044" s="56"/>
      <c r="AA1044" s="56"/>
      <c r="AB1044" s="4">
        <f>$K$1044*$V$1044</f>
        <v>208148.05439999999</v>
      </c>
      <c r="AC1044" s="4">
        <f>$M$1044*$W$1044</f>
        <v>0</v>
      </c>
      <c r="AD1044" s="4">
        <f>$O$1044*$X$1044</f>
        <v>0</v>
      </c>
      <c r="AE1044" s="4">
        <f ca="1">$K$1044*$Y$1044</f>
        <v>232483.66321791909</v>
      </c>
      <c r="AF1044" s="4">
        <f>$M$1044*$Z$1044</f>
        <v>0</v>
      </c>
      <c r="AG1044" s="4">
        <f>$O$1044*$AA$1044</f>
        <v>0</v>
      </c>
    </row>
    <row r="1045" spans="1:33" ht="11.25" customHeight="1" x14ac:dyDescent="0.25">
      <c r="A1045" s="3" t="s">
        <v>56</v>
      </c>
      <c r="B1045" s="3" t="s">
        <v>41</v>
      </c>
      <c r="C1045" s="3" t="s">
        <v>42</v>
      </c>
      <c r="D1045" s="3" t="s">
        <v>45</v>
      </c>
      <c r="E1045" s="3" t="s">
        <v>53</v>
      </c>
      <c r="F1045" s="3" t="s">
        <v>25</v>
      </c>
      <c r="G1045" s="3" t="s">
        <v>25</v>
      </c>
      <c r="H1045" s="3" t="s">
        <v>25</v>
      </c>
      <c r="I1045" s="6">
        <v>44621</v>
      </c>
      <c r="J1045" s="4">
        <v>37</v>
      </c>
      <c r="K1045" s="56">
        <v>37</v>
      </c>
      <c r="L1045" s="4">
        <v>0</v>
      </c>
      <c r="M1045" s="56">
        <v>0</v>
      </c>
      <c r="N1045" s="4">
        <v>0</v>
      </c>
      <c r="O1045" s="56">
        <v>0</v>
      </c>
      <c r="P1045" s="4">
        <v>0</v>
      </c>
      <c r="Q1045" s="3" t="s">
        <v>26</v>
      </c>
      <c r="R1045" s="3">
        <v>0</v>
      </c>
      <c r="S1045" s="4">
        <v>44</v>
      </c>
      <c r="T1045" s="4">
        <v>0</v>
      </c>
      <c r="U1045" s="4">
        <v>0</v>
      </c>
      <c r="V1045" s="56">
        <f>IF(ISERROR(VLOOKUP($S$1045,'TAR FIN'!$A$1:$O$113,15,0)),0,VLOOKUP($S$1045,'TAR FIN'!$A$1:$O$113,15,0))*(1-0.04)</f>
        <v>23.337599999999998</v>
      </c>
      <c r="W1045" s="56">
        <f>IF(ISERROR(VLOOKUP($T$1045,'TAR FIN'!$A$1:$O$113,15,0)),0,VLOOKUP($T$1045,'TAR FIN'!$A$1:$O$113,15,0))</f>
        <v>0</v>
      </c>
      <c r="X1045" s="56">
        <f>IF(ISERROR(VLOOKUP($U$1045,'TAR FIN'!$A$1:$O$113,15,0)),0,VLOOKUP($U$1045,'TAR FIN'!$A$1:$O$113,15,0))</f>
        <v>0</v>
      </c>
      <c r="Y1045" s="56">
        <f ca="1">('TUSD BE'!$AM$30+'TUSD BF'!$AM$30+'TUSD CVA'!$AM$30)*1*(1-0.02)</f>
        <v>26.066113153707715</v>
      </c>
      <c r="Z1045" s="56"/>
      <c r="AA1045" s="56"/>
      <c r="AB1045" s="4">
        <f>$K$1045*$V$1045</f>
        <v>863.49119999999994</v>
      </c>
      <c r="AC1045" s="4">
        <f>$M$1045*$W$1045</f>
        <v>0</v>
      </c>
      <c r="AD1045" s="4">
        <f>$O$1045*$X$1045</f>
        <v>0</v>
      </c>
      <c r="AE1045" s="4">
        <f ca="1">$K$1045*$Y$1045</f>
        <v>964.44618668718545</v>
      </c>
      <c r="AF1045" s="4">
        <f>$M$1045*$Z$1045</f>
        <v>0</v>
      </c>
      <c r="AG1045" s="4">
        <f>$O$1045*$AA$1045</f>
        <v>0</v>
      </c>
    </row>
    <row r="1046" spans="1:33" ht="11.25" customHeight="1" x14ac:dyDescent="0.25">
      <c r="A1046" s="3" t="s">
        <v>56</v>
      </c>
      <c r="B1046" s="3" t="s">
        <v>41</v>
      </c>
      <c r="C1046" s="3" t="s">
        <v>42</v>
      </c>
      <c r="D1046" s="3" t="s">
        <v>45</v>
      </c>
      <c r="E1046" s="3" t="s">
        <v>53</v>
      </c>
      <c r="F1046" s="3" t="s">
        <v>25</v>
      </c>
      <c r="G1046" s="3" t="s">
        <v>25</v>
      </c>
      <c r="H1046" s="3" t="s">
        <v>25</v>
      </c>
      <c r="I1046" s="6">
        <v>44621</v>
      </c>
      <c r="J1046" s="4">
        <v>59</v>
      </c>
      <c r="K1046" s="56">
        <v>59</v>
      </c>
      <c r="L1046" s="4">
        <v>0</v>
      </c>
      <c r="M1046" s="56">
        <v>0</v>
      </c>
      <c r="N1046" s="4">
        <v>0</v>
      </c>
      <c r="O1046" s="56">
        <v>0</v>
      </c>
      <c r="P1046" s="4">
        <v>1</v>
      </c>
      <c r="Q1046" s="3" t="s">
        <v>26</v>
      </c>
      <c r="R1046" s="3">
        <v>0</v>
      </c>
      <c r="S1046" s="4">
        <v>44</v>
      </c>
      <c r="T1046" s="4">
        <v>0</v>
      </c>
      <c r="U1046" s="4">
        <v>0</v>
      </c>
      <c r="V1046" s="56">
        <f>IF(ISERROR(VLOOKUP($S$1046,'TAR FIN'!$A$1:$O$113,15,0)),0,VLOOKUP($S$1046,'TAR FIN'!$A$1:$O$113,15,0))*(1-0.04)</f>
        <v>23.337599999999998</v>
      </c>
      <c r="W1046" s="56">
        <f>IF(ISERROR(VLOOKUP($T$1046,'TAR FIN'!$A$1:$O$113,15,0)),0,VLOOKUP($T$1046,'TAR FIN'!$A$1:$O$113,15,0))</f>
        <v>0</v>
      </c>
      <c r="X1046" s="56">
        <f>IF(ISERROR(VLOOKUP($U$1046,'TAR FIN'!$A$1:$O$113,15,0)),0,VLOOKUP($U$1046,'TAR FIN'!$A$1:$O$113,15,0))</f>
        <v>0</v>
      </c>
      <c r="Y1046" s="56">
        <f ca="1">('TUSD BE'!$AM$30+'TUSD BF'!$AM$30+'TUSD CVA'!$AM$30)*1*(1-0.02)</f>
        <v>26.066113153707715</v>
      </c>
      <c r="Z1046" s="56"/>
      <c r="AA1046" s="56"/>
      <c r="AB1046" s="4">
        <f>$K$1046*$V$1046</f>
        <v>1376.9183999999998</v>
      </c>
      <c r="AC1046" s="4">
        <f>$M$1046*$W$1046</f>
        <v>0</v>
      </c>
      <c r="AD1046" s="4">
        <f>$O$1046*$X$1046</f>
        <v>0</v>
      </c>
      <c r="AE1046" s="4">
        <f ca="1">$K$1046*$Y$1046</f>
        <v>1537.9006760687553</v>
      </c>
      <c r="AF1046" s="4">
        <f>$M$1046*$Z$1046</f>
        <v>0</v>
      </c>
      <c r="AG1046" s="4">
        <f>$O$1046*$AA$1046</f>
        <v>0</v>
      </c>
    </row>
    <row r="1047" spans="1:33" ht="11.25" customHeight="1" x14ac:dyDescent="0.25">
      <c r="A1047" s="3" t="s">
        <v>21</v>
      </c>
      <c r="B1047" s="3" t="s">
        <v>41</v>
      </c>
      <c r="C1047" s="3" t="s">
        <v>42</v>
      </c>
      <c r="D1047" s="3" t="s">
        <v>45</v>
      </c>
      <c r="E1047" s="3" t="s">
        <v>53</v>
      </c>
      <c r="F1047" s="3" t="s">
        <v>25</v>
      </c>
      <c r="G1047" s="3" t="s">
        <v>25</v>
      </c>
      <c r="H1047" s="3" t="s">
        <v>34</v>
      </c>
      <c r="I1047" s="6">
        <v>44287</v>
      </c>
      <c r="J1047" s="4">
        <v>0</v>
      </c>
      <c r="K1047" s="56">
        <v>0</v>
      </c>
      <c r="L1047" s="4">
        <v>14.07</v>
      </c>
      <c r="M1047" s="56">
        <v>14.07</v>
      </c>
      <c r="N1047" s="4">
        <v>14.07</v>
      </c>
      <c r="O1047" s="56">
        <v>14.07</v>
      </c>
      <c r="P1047" s="4">
        <v>0</v>
      </c>
      <c r="Q1047" s="3" t="s">
        <v>26</v>
      </c>
      <c r="R1047" s="3">
        <v>0</v>
      </c>
      <c r="S1047" s="4">
        <v>0</v>
      </c>
      <c r="T1047" s="4">
        <v>20</v>
      </c>
      <c r="U1047" s="4">
        <v>88</v>
      </c>
      <c r="V1047" s="56">
        <f>IF(ISERROR(VLOOKUP($S$1047,'TAR FIN'!$A$1:$O$113,15,0)),0,VLOOKUP($S$1047,'TAR FIN'!$A$1:$O$113,15,0))</f>
        <v>0</v>
      </c>
      <c r="W1047" s="56">
        <f>IF(ISERROR(VLOOKUP($T$1047,'TAR FIN'!$A$1:$O$113,15,0)),0,VLOOKUP($T$1047,'TAR FIN'!$A$1:$O$113,15,0))*(1-0.04)</f>
        <v>1502.0063999999998</v>
      </c>
      <c r="X1047" s="56">
        <f>IF(ISERROR(VLOOKUP($U$1047,'TAR FIN'!$A$1:$O$113,15,0)),0,VLOOKUP($U$1047,'TAR FIN'!$A$1:$O$113,15,0))*(1-0.04)</f>
        <v>350.88</v>
      </c>
      <c r="Y1047" s="56"/>
      <c r="Z1047" s="56">
        <f ca="1">('TUSD BE'!$AM$31+'TUSD BF'!$AM$31+'TUSD CVA'!$AM$31)*1*(1-0.02)</f>
        <v>1801.1318198709657</v>
      </c>
      <c r="AA1047" s="56">
        <f>('TE BE'!$AA$10+'TE BF'!$AA$10+'TE CVA'!$AA$10)*1*(1-0.02)</f>
        <v>354.31913150043306</v>
      </c>
      <c r="AB1047" s="4">
        <f>$K$1047*$V$1047</f>
        <v>0</v>
      </c>
      <c r="AC1047" s="4">
        <f>$M$1047*$W$1047</f>
        <v>21133.230047999998</v>
      </c>
      <c r="AD1047" s="4">
        <f>$O$1047*$X$1047</f>
        <v>4936.8815999999997</v>
      </c>
      <c r="AE1047" s="4">
        <f>$K$1047*$Y$1047</f>
        <v>0</v>
      </c>
      <c r="AF1047" s="4">
        <f ca="1">$M$1047*$Z$1047</f>
        <v>25341.92470558449</v>
      </c>
      <c r="AG1047" s="4">
        <f>$O$1047*$AA$1047</f>
        <v>4985.2701802110932</v>
      </c>
    </row>
    <row r="1048" spans="1:33" ht="11.25" customHeight="1" x14ac:dyDescent="0.25">
      <c r="A1048" s="3" t="s">
        <v>21</v>
      </c>
      <c r="B1048" s="3" t="s">
        <v>41</v>
      </c>
      <c r="C1048" s="3" t="s">
        <v>42</v>
      </c>
      <c r="D1048" s="3" t="s">
        <v>45</v>
      </c>
      <c r="E1048" s="3" t="s">
        <v>53</v>
      </c>
      <c r="F1048" s="3" t="s">
        <v>25</v>
      </c>
      <c r="G1048" s="3" t="s">
        <v>25</v>
      </c>
      <c r="H1048" s="3" t="s">
        <v>34</v>
      </c>
      <c r="I1048" s="6">
        <v>44317</v>
      </c>
      <c r="J1048" s="4">
        <v>0</v>
      </c>
      <c r="K1048" s="56">
        <v>0</v>
      </c>
      <c r="L1048" s="4">
        <v>9.2910000000000004</v>
      </c>
      <c r="M1048" s="56">
        <v>9.2910000000000004</v>
      </c>
      <c r="N1048" s="4">
        <v>9.2910000000000004</v>
      </c>
      <c r="O1048" s="56">
        <v>9.2910000000000004</v>
      </c>
      <c r="P1048" s="4">
        <v>0</v>
      </c>
      <c r="Q1048" s="3" t="s">
        <v>26</v>
      </c>
      <c r="R1048" s="3">
        <v>0</v>
      </c>
      <c r="S1048" s="4">
        <v>0</v>
      </c>
      <c r="T1048" s="4">
        <v>20</v>
      </c>
      <c r="U1048" s="4">
        <v>88</v>
      </c>
      <c r="V1048" s="56">
        <f>IF(ISERROR(VLOOKUP($S$1048,'TAR FIN'!$A$1:$O$113,15,0)),0,VLOOKUP($S$1048,'TAR FIN'!$A$1:$O$113,15,0))</f>
        <v>0</v>
      </c>
      <c r="W1048" s="56">
        <f>IF(ISERROR(VLOOKUP($T$1048,'TAR FIN'!$A$1:$O$113,15,0)),0,VLOOKUP($T$1048,'TAR FIN'!$A$1:$O$113,15,0))*(1-0.04)</f>
        <v>1502.0063999999998</v>
      </c>
      <c r="X1048" s="56">
        <f>IF(ISERROR(VLOOKUP($U$1048,'TAR FIN'!$A$1:$O$113,15,0)),0,VLOOKUP($U$1048,'TAR FIN'!$A$1:$O$113,15,0))*(1-0.04)</f>
        <v>350.88</v>
      </c>
      <c r="Y1048" s="56"/>
      <c r="Z1048" s="56">
        <f ca="1">('TUSD BE'!$AM$31+'TUSD BF'!$AM$31+'TUSD CVA'!$AM$31)*1*(1-0.02)</f>
        <v>1801.1318198709657</v>
      </c>
      <c r="AA1048" s="56">
        <f>('TE BE'!$AA$10+'TE BF'!$AA$10+'TE CVA'!$AA$10)*1*(1-0.02)</f>
        <v>354.31913150043306</v>
      </c>
      <c r="AB1048" s="4">
        <f>$K$1048*$V$1048</f>
        <v>0</v>
      </c>
      <c r="AC1048" s="4">
        <f>$M$1048*$W$1048</f>
        <v>13955.141462399999</v>
      </c>
      <c r="AD1048" s="4">
        <f>$O$1048*$X$1048</f>
        <v>3260.0260800000001</v>
      </c>
      <c r="AE1048" s="4">
        <f>$K$1048*$Y$1048</f>
        <v>0</v>
      </c>
      <c r="AF1048" s="4">
        <f ca="1">$M$1048*$Z$1048</f>
        <v>16734.315738421144</v>
      </c>
      <c r="AG1048" s="4">
        <f>$O$1048*$AA$1048</f>
        <v>3291.9790507705238</v>
      </c>
    </row>
    <row r="1049" spans="1:33" ht="11.25" customHeight="1" x14ac:dyDescent="0.25">
      <c r="A1049" s="3" t="s">
        <v>21</v>
      </c>
      <c r="B1049" s="3" t="s">
        <v>41</v>
      </c>
      <c r="C1049" s="3" t="s">
        <v>42</v>
      </c>
      <c r="D1049" s="3" t="s">
        <v>45</v>
      </c>
      <c r="E1049" s="3" t="s">
        <v>53</v>
      </c>
      <c r="F1049" s="3" t="s">
        <v>25</v>
      </c>
      <c r="G1049" s="3" t="s">
        <v>25</v>
      </c>
      <c r="H1049" s="3" t="s">
        <v>34</v>
      </c>
      <c r="I1049" s="6">
        <v>44348</v>
      </c>
      <c r="J1049" s="4">
        <v>0</v>
      </c>
      <c r="K1049" s="56">
        <v>0</v>
      </c>
      <c r="L1049" s="4">
        <v>8.5730000000000004</v>
      </c>
      <c r="M1049" s="56">
        <v>8.5730000000000004</v>
      </c>
      <c r="N1049" s="4">
        <v>8.5730000000000004</v>
      </c>
      <c r="O1049" s="56">
        <v>8.5730000000000004</v>
      </c>
      <c r="P1049" s="4">
        <v>0</v>
      </c>
      <c r="Q1049" s="3" t="s">
        <v>26</v>
      </c>
      <c r="R1049" s="3">
        <v>0</v>
      </c>
      <c r="S1049" s="4">
        <v>0</v>
      </c>
      <c r="T1049" s="4">
        <v>20</v>
      </c>
      <c r="U1049" s="4">
        <v>88</v>
      </c>
      <c r="V1049" s="56">
        <f>IF(ISERROR(VLOOKUP($S$1049,'TAR FIN'!$A$1:$O$113,15,0)),0,VLOOKUP($S$1049,'TAR FIN'!$A$1:$O$113,15,0))</f>
        <v>0</v>
      </c>
      <c r="W1049" s="56">
        <f>IF(ISERROR(VLOOKUP($T$1049,'TAR FIN'!$A$1:$O$113,15,0)),0,VLOOKUP($T$1049,'TAR FIN'!$A$1:$O$113,15,0))*(1-0.04)</f>
        <v>1502.0063999999998</v>
      </c>
      <c r="X1049" s="56">
        <f>IF(ISERROR(VLOOKUP($U$1049,'TAR FIN'!$A$1:$O$113,15,0)),0,VLOOKUP($U$1049,'TAR FIN'!$A$1:$O$113,15,0))*(1-0.04)</f>
        <v>350.88</v>
      </c>
      <c r="Y1049" s="56"/>
      <c r="Z1049" s="56">
        <f ca="1">('TUSD BE'!$AM$31+'TUSD BF'!$AM$31+'TUSD CVA'!$AM$31)*1*(1-0.02)</f>
        <v>1801.1318198709657</v>
      </c>
      <c r="AA1049" s="56">
        <f>('TE BE'!$AA$10+'TE BF'!$AA$10+'TE CVA'!$AA$10)*1*(1-0.02)</f>
        <v>354.31913150043306</v>
      </c>
      <c r="AB1049" s="4">
        <f>$K$1049*$V$1049</f>
        <v>0</v>
      </c>
      <c r="AC1049" s="4">
        <f>$M$1049*$W$1049</f>
        <v>12876.700867199999</v>
      </c>
      <c r="AD1049" s="4">
        <f>$O$1049*$X$1049</f>
        <v>3008.0942399999999</v>
      </c>
      <c r="AE1049" s="4">
        <f>$K$1049*$Y$1049</f>
        <v>0</v>
      </c>
      <c r="AF1049" s="4">
        <f ca="1">$M$1049*$Z$1049</f>
        <v>15441.10309175379</v>
      </c>
      <c r="AG1049" s="4">
        <f>$O$1049*$AA$1049</f>
        <v>3037.5779143532127</v>
      </c>
    </row>
    <row r="1050" spans="1:33" ht="11.25" customHeight="1" x14ac:dyDescent="0.25">
      <c r="A1050" s="3" t="s">
        <v>21</v>
      </c>
      <c r="B1050" s="3" t="s">
        <v>41</v>
      </c>
      <c r="C1050" s="3" t="s">
        <v>42</v>
      </c>
      <c r="D1050" s="3" t="s">
        <v>45</v>
      </c>
      <c r="E1050" s="3" t="s">
        <v>53</v>
      </c>
      <c r="F1050" s="3" t="s">
        <v>25</v>
      </c>
      <c r="G1050" s="3" t="s">
        <v>25</v>
      </c>
      <c r="H1050" s="3" t="s">
        <v>34</v>
      </c>
      <c r="I1050" s="6">
        <v>44378</v>
      </c>
      <c r="J1050" s="4">
        <v>0</v>
      </c>
      <c r="K1050" s="56">
        <v>0</v>
      </c>
      <c r="L1050" s="4">
        <v>7.2220000000000004</v>
      </c>
      <c r="M1050" s="56">
        <v>7.2220000000000004</v>
      </c>
      <c r="N1050" s="4">
        <v>7.2220000000000004</v>
      </c>
      <c r="O1050" s="56">
        <v>7.2220000000000004</v>
      </c>
      <c r="P1050" s="4">
        <v>0</v>
      </c>
      <c r="Q1050" s="3" t="s">
        <v>26</v>
      </c>
      <c r="R1050" s="3">
        <v>0</v>
      </c>
      <c r="S1050" s="4">
        <v>0</v>
      </c>
      <c r="T1050" s="4">
        <v>20</v>
      </c>
      <c r="U1050" s="4">
        <v>88</v>
      </c>
      <c r="V1050" s="56">
        <f>IF(ISERROR(VLOOKUP($S$1050,'TAR FIN'!$A$1:$O$113,15,0)),0,VLOOKUP($S$1050,'TAR FIN'!$A$1:$O$113,15,0))</f>
        <v>0</v>
      </c>
      <c r="W1050" s="56">
        <f>IF(ISERROR(VLOOKUP($T$1050,'TAR FIN'!$A$1:$O$113,15,0)),0,VLOOKUP($T$1050,'TAR FIN'!$A$1:$O$113,15,0))*(1-0.04)</f>
        <v>1502.0063999999998</v>
      </c>
      <c r="X1050" s="56">
        <f>IF(ISERROR(VLOOKUP($U$1050,'TAR FIN'!$A$1:$O$113,15,0)),0,VLOOKUP($U$1050,'TAR FIN'!$A$1:$O$113,15,0))*(1-0.04)</f>
        <v>350.88</v>
      </c>
      <c r="Y1050" s="56"/>
      <c r="Z1050" s="56">
        <f ca="1">('TUSD BE'!$AM$31+'TUSD BF'!$AM$31+'TUSD CVA'!$AM$31)*1*(1-0.02)</f>
        <v>1801.1318198709657</v>
      </c>
      <c r="AA1050" s="56">
        <f>('TE BE'!$AA$10+'TE BF'!$AA$10+'TE CVA'!$AA$10)*1*(1-0.02)</f>
        <v>354.31913150043306</v>
      </c>
      <c r="AB1050" s="4">
        <f>$K$1050*$V$1050</f>
        <v>0</v>
      </c>
      <c r="AC1050" s="4">
        <f>$M$1050*$W$1050</f>
        <v>10847.490220799998</v>
      </c>
      <c r="AD1050" s="4">
        <f>$O$1050*$X$1050</f>
        <v>2534.0553600000003</v>
      </c>
      <c r="AE1050" s="4">
        <f>$K$1050*$Y$1050</f>
        <v>0</v>
      </c>
      <c r="AF1050" s="4">
        <f ca="1">$M$1050*$Z$1050</f>
        <v>13007.774003108116</v>
      </c>
      <c r="AG1050" s="4">
        <f>$O$1050*$AA$1050</f>
        <v>2558.8927676961275</v>
      </c>
    </row>
    <row r="1051" spans="1:33" ht="11.25" customHeight="1" x14ac:dyDescent="0.25">
      <c r="A1051" s="3" t="s">
        <v>21</v>
      </c>
      <c r="B1051" s="3" t="s">
        <v>41</v>
      </c>
      <c r="C1051" s="3" t="s">
        <v>42</v>
      </c>
      <c r="D1051" s="3" t="s">
        <v>45</v>
      </c>
      <c r="E1051" s="3" t="s">
        <v>53</v>
      </c>
      <c r="F1051" s="3" t="s">
        <v>25</v>
      </c>
      <c r="G1051" s="3" t="s">
        <v>25</v>
      </c>
      <c r="H1051" s="3" t="s">
        <v>34</v>
      </c>
      <c r="I1051" s="6">
        <v>44409</v>
      </c>
      <c r="J1051" s="4">
        <v>0</v>
      </c>
      <c r="K1051" s="56">
        <v>0</v>
      </c>
      <c r="L1051" s="4">
        <v>8.3740000000000006</v>
      </c>
      <c r="M1051" s="56">
        <v>8.3740000000000006</v>
      </c>
      <c r="N1051" s="4">
        <v>8.3740000000000006</v>
      </c>
      <c r="O1051" s="56">
        <v>8.3740000000000006</v>
      </c>
      <c r="P1051" s="4">
        <v>0</v>
      </c>
      <c r="Q1051" s="3" t="s">
        <v>26</v>
      </c>
      <c r="R1051" s="3">
        <v>0</v>
      </c>
      <c r="S1051" s="4">
        <v>0</v>
      </c>
      <c r="T1051" s="4">
        <v>20</v>
      </c>
      <c r="U1051" s="4">
        <v>88</v>
      </c>
      <c r="V1051" s="56">
        <f>IF(ISERROR(VLOOKUP($S$1051,'TAR FIN'!$A$1:$O$113,15,0)),0,VLOOKUP($S$1051,'TAR FIN'!$A$1:$O$113,15,0))</f>
        <v>0</v>
      </c>
      <c r="W1051" s="56">
        <f>IF(ISERROR(VLOOKUP($T$1051,'TAR FIN'!$A$1:$O$113,15,0)),0,VLOOKUP($T$1051,'TAR FIN'!$A$1:$O$113,15,0))*(1-0.04)</f>
        <v>1502.0063999999998</v>
      </c>
      <c r="X1051" s="56">
        <f>IF(ISERROR(VLOOKUP($U$1051,'TAR FIN'!$A$1:$O$113,15,0)),0,VLOOKUP($U$1051,'TAR FIN'!$A$1:$O$113,15,0))*(1-0.04)</f>
        <v>350.88</v>
      </c>
      <c r="Y1051" s="56"/>
      <c r="Z1051" s="56">
        <f ca="1">('TUSD BE'!$AM$31+'TUSD BF'!$AM$31+'TUSD CVA'!$AM$31)*1*(1-0.02)</f>
        <v>1801.1318198709657</v>
      </c>
      <c r="AA1051" s="56">
        <f>('TE BE'!$AA$10+'TE BF'!$AA$10+'TE CVA'!$AA$10)*1*(1-0.02)</f>
        <v>354.31913150043306</v>
      </c>
      <c r="AB1051" s="4">
        <f>$K$1051*$V$1051</f>
        <v>0</v>
      </c>
      <c r="AC1051" s="4">
        <f>$M$1051*$W$1051</f>
        <v>12577.801593599999</v>
      </c>
      <c r="AD1051" s="4">
        <f>$O$1051*$X$1051</f>
        <v>2938.2691199999999</v>
      </c>
      <c r="AE1051" s="4">
        <f>$K$1051*$Y$1051</f>
        <v>0</v>
      </c>
      <c r="AF1051" s="4">
        <f ca="1">$M$1051*$Z$1051</f>
        <v>15082.677859599467</v>
      </c>
      <c r="AG1051" s="4">
        <f>$O$1051*$AA$1051</f>
        <v>2967.0684071846267</v>
      </c>
    </row>
    <row r="1052" spans="1:33" ht="11.25" customHeight="1" x14ac:dyDescent="0.25">
      <c r="A1052" s="3" t="s">
        <v>21</v>
      </c>
      <c r="B1052" s="3" t="s">
        <v>41</v>
      </c>
      <c r="C1052" s="3" t="s">
        <v>42</v>
      </c>
      <c r="D1052" s="3" t="s">
        <v>45</v>
      </c>
      <c r="E1052" s="3" t="s">
        <v>53</v>
      </c>
      <c r="F1052" s="3" t="s">
        <v>25</v>
      </c>
      <c r="G1052" s="3" t="s">
        <v>25</v>
      </c>
      <c r="H1052" s="3" t="s">
        <v>34</v>
      </c>
      <c r="I1052" s="6">
        <v>44440</v>
      </c>
      <c r="J1052" s="4">
        <v>0</v>
      </c>
      <c r="K1052" s="56">
        <v>0</v>
      </c>
      <c r="L1052" s="4">
        <v>14.097</v>
      </c>
      <c r="M1052" s="56">
        <v>14.097</v>
      </c>
      <c r="N1052" s="4">
        <v>14.097</v>
      </c>
      <c r="O1052" s="56">
        <v>14.097</v>
      </c>
      <c r="P1052" s="4">
        <v>0</v>
      </c>
      <c r="Q1052" s="3" t="s">
        <v>26</v>
      </c>
      <c r="R1052" s="3">
        <v>0</v>
      </c>
      <c r="S1052" s="4">
        <v>0</v>
      </c>
      <c r="T1052" s="4">
        <v>20</v>
      </c>
      <c r="U1052" s="4">
        <v>88</v>
      </c>
      <c r="V1052" s="56">
        <f>IF(ISERROR(VLOOKUP($S$1052,'TAR FIN'!$A$1:$O$113,15,0)),0,VLOOKUP($S$1052,'TAR FIN'!$A$1:$O$113,15,0))</f>
        <v>0</v>
      </c>
      <c r="W1052" s="56">
        <f>IF(ISERROR(VLOOKUP($T$1052,'TAR FIN'!$A$1:$O$113,15,0)),0,VLOOKUP($T$1052,'TAR FIN'!$A$1:$O$113,15,0))*(1-0.04)</f>
        <v>1502.0063999999998</v>
      </c>
      <c r="X1052" s="56">
        <f>IF(ISERROR(VLOOKUP($U$1052,'TAR FIN'!$A$1:$O$113,15,0)),0,VLOOKUP($U$1052,'TAR FIN'!$A$1:$O$113,15,0))*(1-0.04)</f>
        <v>350.88</v>
      </c>
      <c r="Y1052" s="56"/>
      <c r="Z1052" s="56">
        <f ca="1">('TUSD BE'!$AM$31+'TUSD BF'!$AM$31+'TUSD CVA'!$AM$31)*1*(1-0.02)</f>
        <v>1801.1318198709657</v>
      </c>
      <c r="AA1052" s="56">
        <f>('TE BE'!$AA$10+'TE BF'!$AA$10+'TE CVA'!$AA$10)*1*(1-0.02)</f>
        <v>354.31913150043306</v>
      </c>
      <c r="AB1052" s="4">
        <f>$K$1052*$V$1052</f>
        <v>0</v>
      </c>
      <c r="AC1052" s="4">
        <f>$M$1052*$W$1052</f>
        <v>21173.784220799997</v>
      </c>
      <c r="AD1052" s="4">
        <f>$O$1052*$X$1052</f>
        <v>4946.3553599999996</v>
      </c>
      <c r="AE1052" s="4">
        <f>$K$1052*$Y$1052</f>
        <v>0</v>
      </c>
      <c r="AF1052" s="4">
        <f ca="1">$M$1052*$Z$1052</f>
        <v>25390.555264721002</v>
      </c>
      <c r="AG1052" s="4">
        <f>$O$1052*$AA$1052</f>
        <v>4994.836796761605</v>
      </c>
    </row>
    <row r="1053" spans="1:33" ht="11.25" customHeight="1" x14ac:dyDescent="0.25">
      <c r="A1053" s="3" t="s">
        <v>27</v>
      </c>
      <c r="B1053" s="3" t="s">
        <v>41</v>
      </c>
      <c r="C1053" s="3" t="s">
        <v>42</v>
      </c>
      <c r="D1053" s="3" t="s">
        <v>45</v>
      </c>
      <c r="E1053" s="3" t="s">
        <v>53</v>
      </c>
      <c r="F1053" s="3" t="s">
        <v>25</v>
      </c>
      <c r="G1053" s="3" t="s">
        <v>25</v>
      </c>
      <c r="H1053" s="3" t="s">
        <v>34</v>
      </c>
      <c r="I1053" s="6">
        <v>44440</v>
      </c>
      <c r="J1053" s="4">
        <v>0</v>
      </c>
      <c r="K1053" s="56">
        <v>0</v>
      </c>
      <c r="L1053" s="4">
        <v>0.94599999999999995</v>
      </c>
      <c r="M1053" s="56">
        <v>0.94599999999999995</v>
      </c>
      <c r="N1053" s="4">
        <v>0.94599999999999995</v>
      </c>
      <c r="O1053" s="56">
        <v>0.94599999999999995</v>
      </c>
      <c r="P1053" s="4">
        <v>0</v>
      </c>
      <c r="Q1053" s="3" t="s">
        <v>26</v>
      </c>
      <c r="R1053" s="3">
        <v>0</v>
      </c>
      <c r="S1053" s="4">
        <v>0</v>
      </c>
      <c r="T1053" s="4">
        <v>20</v>
      </c>
      <c r="U1053" s="4">
        <v>88</v>
      </c>
      <c r="V1053" s="56">
        <f>IF(ISERROR(VLOOKUP($S$1053,'TAR FIN'!$A$1:$O$113,15,0)),0,VLOOKUP($S$1053,'TAR FIN'!$A$1:$O$113,15,0))</f>
        <v>0</v>
      </c>
      <c r="W1053" s="56">
        <f>IF(ISERROR(VLOOKUP($T$1053,'TAR FIN'!$A$1:$O$113,15,0)),0,VLOOKUP($T$1053,'TAR FIN'!$A$1:$O$113,15,0))*(1-0.04)</f>
        <v>1502.0063999999998</v>
      </c>
      <c r="X1053" s="56">
        <f>IF(ISERROR(VLOOKUP($U$1053,'TAR FIN'!$A$1:$O$113,15,0)),0,VLOOKUP($U$1053,'TAR FIN'!$A$1:$O$113,15,0))*(1-0.04)</f>
        <v>350.88</v>
      </c>
      <c r="Y1053" s="56"/>
      <c r="Z1053" s="56">
        <f ca="1">('TUSD BE'!$AM$31+'TUSD BF'!$AM$31+'TUSD CVA'!$AM$31)*1*(1-0.02)</f>
        <v>1801.1318198709657</v>
      </c>
      <c r="AA1053" s="56">
        <f>('TE BE'!$AA$10+'TE BF'!$AA$10+'TE CVA'!$AA$10)*1*(1-0.02)</f>
        <v>354.31913150043306</v>
      </c>
      <c r="AB1053" s="4">
        <f>$K$1053*$V$1053</f>
        <v>0</v>
      </c>
      <c r="AC1053" s="4">
        <f>$M$1053*$W$1053</f>
        <v>1420.8980543999996</v>
      </c>
      <c r="AD1053" s="4">
        <f>$O$1053*$X$1053</f>
        <v>331.93248</v>
      </c>
      <c r="AE1053" s="4">
        <f>$K$1053*$Y$1053</f>
        <v>0</v>
      </c>
      <c r="AF1053" s="4">
        <f ca="1">$M$1053*$Z$1053</f>
        <v>1703.8707015979335</v>
      </c>
      <c r="AG1053" s="4">
        <f>$O$1053*$AA$1053</f>
        <v>335.18589839940967</v>
      </c>
    </row>
    <row r="1054" spans="1:33" ht="11.25" customHeight="1" x14ac:dyDescent="0.25">
      <c r="A1054" s="3" t="s">
        <v>21</v>
      </c>
      <c r="B1054" s="3" t="s">
        <v>41</v>
      </c>
      <c r="C1054" s="3" t="s">
        <v>42</v>
      </c>
      <c r="D1054" s="3" t="s">
        <v>45</v>
      </c>
      <c r="E1054" s="3" t="s">
        <v>53</v>
      </c>
      <c r="F1054" s="3" t="s">
        <v>25</v>
      </c>
      <c r="G1054" s="3" t="s">
        <v>25</v>
      </c>
      <c r="H1054" s="3" t="s">
        <v>34</v>
      </c>
      <c r="I1054" s="6">
        <v>44470</v>
      </c>
      <c r="J1054" s="4">
        <v>0</v>
      </c>
      <c r="K1054" s="56">
        <v>0</v>
      </c>
      <c r="L1054" s="4">
        <v>14.898</v>
      </c>
      <c r="M1054" s="56">
        <v>14.898</v>
      </c>
      <c r="N1054" s="4">
        <v>14.898</v>
      </c>
      <c r="O1054" s="56">
        <v>14.898</v>
      </c>
      <c r="P1054" s="4">
        <v>0</v>
      </c>
      <c r="Q1054" s="3" t="s">
        <v>26</v>
      </c>
      <c r="R1054" s="3">
        <v>0</v>
      </c>
      <c r="S1054" s="4">
        <v>0</v>
      </c>
      <c r="T1054" s="4">
        <v>20</v>
      </c>
      <c r="U1054" s="4">
        <v>88</v>
      </c>
      <c r="V1054" s="56">
        <f>IF(ISERROR(VLOOKUP($S$1054,'TAR FIN'!$A$1:$O$113,15,0)),0,VLOOKUP($S$1054,'TAR FIN'!$A$1:$O$113,15,0))</f>
        <v>0</v>
      </c>
      <c r="W1054" s="56">
        <f>IF(ISERROR(VLOOKUP($T$1054,'TAR FIN'!$A$1:$O$113,15,0)),0,VLOOKUP($T$1054,'TAR FIN'!$A$1:$O$113,15,0))*(1-0.04)</f>
        <v>1502.0063999999998</v>
      </c>
      <c r="X1054" s="56">
        <f>IF(ISERROR(VLOOKUP($U$1054,'TAR FIN'!$A$1:$O$113,15,0)),0,VLOOKUP($U$1054,'TAR FIN'!$A$1:$O$113,15,0))*(1-0.04)</f>
        <v>350.88</v>
      </c>
      <c r="Y1054" s="56"/>
      <c r="Z1054" s="56">
        <f ca="1">('TUSD BE'!$AM$31+'TUSD BF'!$AM$31+'TUSD CVA'!$AM$31)*1*(1-0.02)</f>
        <v>1801.1318198709657</v>
      </c>
      <c r="AA1054" s="56">
        <f>('TE BE'!$AA$10+'TE BF'!$AA$10+'TE CVA'!$AA$10)*1*(1-0.02)</f>
        <v>354.31913150043306</v>
      </c>
      <c r="AB1054" s="4">
        <f>$K$1054*$V$1054</f>
        <v>0</v>
      </c>
      <c r="AC1054" s="4">
        <f>$M$1054*$W$1054</f>
        <v>22376.891347199995</v>
      </c>
      <c r="AD1054" s="4">
        <f>$O$1054*$X$1054</f>
        <v>5227.4102400000002</v>
      </c>
      <c r="AE1054" s="4">
        <f>$K$1054*$Y$1054</f>
        <v>0</v>
      </c>
      <c r="AF1054" s="4">
        <f ca="1">$M$1054*$Z$1054</f>
        <v>26833.261852437648</v>
      </c>
      <c r="AG1054" s="4">
        <f>$O$1054*$AA$1054</f>
        <v>5278.6464210934519</v>
      </c>
    </row>
    <row r="1055" spans="1:33" ht="11.25" customHeight="1" x14ac:dyDescent="0.25">
      <c r="A1055" s="3" t="s">
        <v>21</v>
      </c>
      <c r="B1055" s="3" t="s">
        <v>41</v>
      </c>
      <c r="C1055" s="3" t="s">
        <v>42</v>
      </c>
      <c r="D1055" s="3" t="s">
        <v>45</v>
      </c>
      <c r="E1055" s="3" t="s">
        <v>53</v>
      </c>
      <c r="F1055" s="3" t="s">
        <v>25</v>
      </c>
      <c r="G1055" s="3" t="s">
        <v>25</v>
      </c>
      <c r="H1055" s="3" t="s">
        <v>34</v>
      </c>
      <c r="I1055" s="6">
        <v>44501</v>
      </c>
      <c r="J1055" s="4">
        <v>0</v>
      </c>
      <c r="K1055" s="56">
        <v>0</v>
      </c>
      <c r="L1055" s="4">
        <v>17.111999999999998</v>
      </c>
      <c r="M1055" s="56">
        <v>17.111999999999998</v>
      </c>
      <c r="N1055" s="4">
        <v>17.111999999999998</v>
      </c>
      <c r="O1055" s="56">
        <v>17.111999999999998</v>
      </c>
      <c r="P1055" s="4">
        <v>0</v>
      </c>
      <c r="Q1055" s="3" t="s">
        <v>26</v>
      </c>
      <c r="R1055" s="3">
        <v>0</v>
      </c>
      <c r="S1055" s="4">
        <v>0</v>
      </c>
      <c r="T1055" s="4">
        <v>20</v>
      </c>
      <c r="U1055" s="4">
        <v>88</v>
      </c>
      <c r="V1055" s="56">
        <f>IF(ISERROR(VLOOKUP($S$1055,'TAR FIN'!$A$1:$O$113,15,0)),0,VLOOKUP($S$1055,'TAR FIN'!$A$1:$O$113,15,0))</f>
        <v>0</v>
      </c>
      <c r="W1055" s="56">
        <f>IF(ISERROR(VLOOKUP($T$1055,'TAR FIN'!$A$1:$O$113,15,0)),0,VLOOKUP($T$1055,'TAR FIN'!$A$1:$O$113,15,0))*(1-0.04)</f>
        <v>1502.0063999999998</v>
      </c>
      <c r="X1055" s="56">
        <f>IF(ISERROR(VLOOKUP($U$1055,'TAR FIN'!$A$1:$O$113,15,0)),0,VLOOKUP($U$1055,'TAR FIN'!$A$1:$O$113,15,0))*(1-0.04)</f>
        <v>350.88</v>
      </c>
      <c r="Y1055" s="56"/>
      <c r="Z1055" s="56">
        <f ca="1">('TUSD BE'!$AM$31+'TUSD BF'!$AM$31+'TUSD CVA'!$AM$31)*1*(1-0.02)</f>
        <v>1801.1318198709657</v>
      </c>
      <c r="AA1055" s="56">
        <f>('TE BE'!$AA$10+'TE BF'!$AA$10+'TE CVA'!$AA$10)*1*(1-0.02)</f>
        <v>354.31913150043306</v>
      </c>
      <c r="AB1055" s="4">
        <f>$K$1055*$V$1055</f>
        <v>0</v>
      </c>
      <c r="AC1055" s="4">
        <f>$M$1055*$W$1055</f>
        <v>25702.333516799994</v>
      </c>
      <c r="AD1055" s="4">
        <f>$O$1055*$X$1055</f>
        <v>6004.2585599999993</v>
      </c>
      <c r="AE1055" s="4">
        <f>$K$1055*$Y$1055</f>
        <v>0</v>
      </c>
      <c r="AF1055" s="4">
        <f ca="1">$M$1055*$Z$1055</f>
        <v>30820.967701631962</v>
      </c>
      <c r="AG1055" s="4">
        <f>$O$1055*$AA$1055</f>
        <v>6063.1089782354102</v>
      </c>
    </row>
    <row r="1056" spans="1:33" ht="11.25" customHeight="1" x14ac:dyDescent="0.25">
      <c r="A1056" s="3" t="s">
        <v>21</v>
      </c>
      <c r="B1056" s="3" t="s">
        <v>41</v>
      </c>
      <c r="C1056" s="3" t="s">
        <v>42</v>
      </c>
      <c r="D1056" s="3" t="s">
        <v>45</v>
      </c>
      <c r="E1056" s="3" t="s">
        <v>53</v>
      </c>
      <c r="F1056" s="3" t="s">
        <v>25</v>
      </c>
      <c r="G1056" s="3" t="s">
        <v>25</v>
      </c>
      <c r="H1056" s="3" t="s">
        <v>34</v>
      </c>
      <c r="I1056" s="6">
        <v>44531</v>
      </c>
      <c r="J1056" s="4">
        <v>0</v>
      </c>
      <c r="K1056" s="56">
        <v>0</v>
      </c>
      <c r="L1056" s="4">
        <v>16.388999999999999</v>
      </c>
      <c r="M1056" s="56">
        <v>16.388999999999999</v>
      </c>
      <c r="N1056" s="4">
        <v>16.388999999999999</v>
      </c>
      <c r="O1056" s="56">
        <v>16.388999999999999</v>
      </c>
      <c r="P1056" s="4">
        <v>0</v>
      </c>
      <c r="Q1056" s="3" t="s">
        <v>26</v>
      </c>
      <c r="R1056" s="3">
        <v>0</v>
      </c>
      <c r="S1056" s="4">
        <v>0</v>
      </c>
      <c r="T1056" s="4">
        <v>20</v>
      </c>
      <c r="U1056" s="4">
        <v>88</v>
      </c>
      <c r="V1056" s="56">
        <f>IF(ISERROR(VLOOKUP($S$1056,'TAR FIN'!$A$1:$O$113,15,0)),0,VLOOKUP($S$1056,'TAR FIN'!$A$1:$O$113,15,0))</f>
        <v>0</v>
      </c>
      <c r="W1056" s="56">
        <f>IF(ISERROR(VLOOKUP($T$1056,'TAR FIN'!$A$1:$O$113,15,0)),0,VLOOKUP($T$1056,'TAR FIN'!$A$1:$O$113,15,0))*(1-0.04)</f>
        <v>1502.0063999999998</v>
      </c>
      <c r="X1056" s="56">
        <f>IF(ISERROR(VLOOKUP($U$1056,'TAR FIN'!$A$1:$O$113,15,0)),0,VLOOKUP($U$1056,'TAR FIN'!$A$1:$O$113,15,0))*(1-0.04)</f>
        <v>350.88</v>
      </c>
      <c r="Y1056" s="56"/>
      <c r="Z1056" s="56">
        <f ca="1">('TUSD BE'!$AM$31+'TUSD BF'!$AM$31+'TUSD CVA'!$AM$31)*1*(1-0.02)</f>
        <v>1801.1318198709657</v>
      </c>
      <c r="AA1056" s="56">
        <f>('TE BE'!$AA$10+'TE BF'!$AA$10+'TE CVA'!$AA$10)*1*(1-0.02)</f>
        <v>354.31913150043306</v>
      </c>
      <c r="AB1056" s="4">
        <f>$K$1056*$V$1056</f>
        <v>0</v>
      </c>
      <c r="AC1056" s="4">
        <f>$M$1056*$W$1056</f>
        <v>24616.382889599994</v>
      </c>
      <c r="AD1056" s="4">
        <f>$O$1056*$X$1056</f>
        <v>5750.5723199999993</v>
      </c>
      <c r="AE1056" s="4">
        <f>$K$1056*$Y$1056</f>
        <v>0</v>
      </c>
      <c r="AF1056" s="4">
        <f ca="1">$M$1056*$Z$1056</f>
        <v>29518.749395865256</v>
      </c>
      <c r="AG1056" s="4">
        <f>$O$1056*$AA$1056</f>
        <v>5806.936246160597</v>
      </c>
    </row>
    <row r="1057" spans="1:33" ht="11.25" customHeight="1" x14ac:dyDescent="0.25">
      <c r="A1057" s="3" t="s">
        <v>21</v>
      </c>
      <c r="B1057" s="3" t="s">
        <v>41</v>
      </c>
      <c r="C1057" s="3" t="s">
        <v>42</v>
      </c>
      <c r="D1057" s="3" t="s">
        <v>45</v>
      </c>
      <c r="E1057" s="3" t="s">
        <v>53</v>
      </c>
      <c r="F1057" s="3" t="s">
        <v>25</v>
      </c>
      <c r="G1057" s="3" t="s">
        <v>25</v>
      </c>
      <c r="H1057" s="3" t="s">
        <v>34</v>
      </c>
      <c r="I1057" s="6">
        <v>44562</v>
      </c>
      <c r="J1057" s="4">
        <v>0</v>
      </c>
      <c r="K1057" s="56">
        <v>0</v>
      </c>
      <c r="L1057" s="4">
        <v>18.425999999999998</v>
      </c>
      <c r="M1057" s="56">
        <v>18.425999999999998</v>
      </c>
      <c r="N1057" s="4">
        <v>18.425999999999998</v>
      </c>
      <c r="O1057" s="56">
        <v>18.425999999999998</v>
      </c>
      <c r="P1057" s="4">
        <v>0</v>
      </c>
      <c r="Q1057" s="3" t="s">
        <v>26</v>
      </c>
      <c r="R1057" s="3">
        <v>0</v>
      </c>
      <c r="S1057" s="4">
        <v>0</v>
      </c>
      <c r="T1057" s="4">
        <v>20</v>
      </c>
      <c r="U1057" s="4">
        <v>88</v>
      </c>
      <c r="V1057" s="56">
        <f>IF(ISERROR(VLOOKUP($S$1057,'TAR FIN'!$A$1:$O$113,15,0)),0,VLOOKUP($S$1057,'TAR FIN'!$A$1:$O$113,15,0))</f>
        <v>0</v>
      </c>
      <c r="W1057" s="56">
        <f>IF(ISERROR(VLOOKUP($T$1057,'TAR FIN'!$A$1:$O$113,15,0)),0,VLOOKUP($T$1057,'TAR FIN'!$A$1:$O$113,15,0))*(1-0.04)</f>
        <v>1502.0063999999998</v>
      </c>
      <c r="X1057" s="56">
        <f>IF(ISERROR(VLOOKUP($U$1057,'TAR FIN'!$A$1:$O$113,15,0)),0,VLOOKUP($U$1057,'TAR FIN'!$A$1:$O$113,15,0))*(1-0.04)</f>
        <v>350.88</v>
      </c>
      <c r="Y1057" s="56"/>
      <c r="Z1057" s="56">
        <f ca="1">('TUSD BE'!$AM$31+'TUSD BF'!$AM$31+'TUSD CVA'!$AM$31)*1*(1-0.02)</f>
        <v>1801.1318198709657</v>
      </c>
      <c r="AA1057" s="56">
        <f>('TE BE'!$AA$10+'TE BF'!$AA$10+'TE CVA'!$AA$10)*1*(1-0.02)</f>
        <v>354.31913150043306</v>
      </c>
      <c r="AB1057" s="4">
        <f>$K$1057*$V$1057</f>
        <v>0</v>
      </c>
      <c r="AC1057" s="4">
        <f>$M$1057*$W$1057</f>
        <v>27675.969926399994</v>
      </c>
      <c r="AD1057" s="4">
        <f>$O$1057*$X$1057</f>
        <v>6465.314879999999</v>
      </c>
      <c r="AE1057" s="4">
        <f>$K$1057*$Y$1057</f>
        <v>0</v>
      </c>
      <c r="AF1057" s="4">
        <f ca="1">$M$1057*$Z$1057</f>
        <v>33187.654912942409</v>
      </c>
      <c r="AG1057" s="4">
        <f>$O$1057*$AA$1057</f>
        <v>6528.6843170269785</v>
      </c>
    </row>
    <row r="1058" spans="1:33" ht="11.25" customHeight="1" x14ac:dyDescent="0.25">
      <c r="A1058" s="3" t="s">
        <v>27</v>
      </c>
      <c r="B1058" s="3" t="s">
        <v>41</v>
      </c>
      <c r="C1058" s="3" t="s">
        <v>42</v>
      </c>
      <c r="D1058" s="3" t="s">
        <v>45</v>
      </c>
      <c r="E1058" s="3" t="s">
        <v>53</v>
      </c>
      <c r="F1058" s="3" t="s">
        <v>25</v>
      </c>
      <c r="G1058" s="3" t="s">
        <v>25</v>
      </c>
      <c r="H1058" s="3" t="s">
        <v>34</v>
      </c>
      <c r="I1058" s="6">
        <v>44562</v>
      </c>
      <c r="J1058" s="4">
        <v>0</v>
      </c>
      <c r="K1058" s="56">
        <v>0</v>
      </c>
      <c r="L1058" s="4">
        <v>0.2</v>
      </c>
      <c r="M1058" s="56">
        <v>0.2</v>
      </c>
      <c r="N1058" s="4">
        <v>0.2</v>
      </c>
      <c r="O1058" s="56">
        <v>0.2</v>
      </c>
      <c r="P1058" s="4">
        <v>0</v>
      </c>
      <c r="Q1058" s="3" t="s">
        <v>26</v>
      </c>
      <c r="R1058" s="3">
        <v>0</v>
      </c>
      <c r="S1058" s="4">
        <v>0</v>
      </c>
      <c r="T1058" s="4">
        <v>20</v>
      </c>
      <c r="U1058" s="4">
        <v>88</v>
      </c>
      <c r="V1058" s="56">
        <f>IF(ISERROR(VLOOKUP($S$1058,'TAR FIN'!$A$1:$O$113,15,0)),0,VLOOKUP($S$1058,'TAR FIN'!$A$1:$O$113,15,0))</f>
        <v>0</v>
      </c>
      <c r="W1058" s="56">
        <f>IF(ISERROR(VLOOKUP($T$1058,'TAR FIN'!$A$1:$O$113,15,0)),0,VLOOKUP($T$1058,'TAR FIN'!$A$1:$O$113,15,0))*(1-0.04)</f>
        <v>1502.0063999999998</v>
      </c>
      <c r="X1058" s="56">
        <f>IF(ISERROR(VLOOKUP($U$1058,'TAR FIN'!$A$1:$O$113,15,0)),0,VLOOKUP($U$1058,'TAR FIN'!$A$1:$O$113,15,0))*(1-0.04)</f>
        <v>350.88</v>
      </c>
      <c r="Y1058" s="56"/>
      <c r="Z1058" s="56">
        <f ca="1">('TUSD BE'!$AM$31+'TUSD BF'!$AM$31+'TUSD CVA'!$AM$31)*1*(1-0.02)</f>
        <v>1801.1318198709657</v>
      </c>
      <c r="AA1058" s="56">
        <f>('TE BE'!$AA$10+'TE BF'!$AA$10+'TE CVA'!$AA$10)*1*(1-0.02)</f>
        <v>354.31913150043306</v>
      </c>
      <c r="AB1058" s="4">
        <f>$K$1058*$V$1058</f>
        <v>0</v>
      </c>
      <c r="AC1058" s="4">
        <f>$M$1058*$W$1058</f>
        <v>300.40127999999999</v>
      </c>
      <c r="AD1058" s="4">
        <f>$O$1058*$X$1058</f>
        <v>70.176000000000002</v>
      </c>
      <c r="AE1058" s="4">
        <f>$K$1058*$Y$1058</f>
        <v>0</v>
      </c>
      <c r="AF1058" s="4">
        <f ca="1">$M$1058*$Z$1058</f>
        <v>360.22636397419319</v>
      </c>
      <c r="AG1058" s="4">
        <f>$O$1058*$AA$1058</f>
        <v>70.863826300086615</v>
      </c>
    </row>
    <row r="1059" spans="1:33" ht="11.25" customHeight="1" x14ac:dyDescent="0.25">
      <c r="A1059" s="3" t="s">
        <v>28</v>
      </c>
      <c r="B1059" s="3" t="s">
        <v>41</v>
      </c>
      <c r="C1059" s="3" t="s">
        <v>42</v>
      </c>
      <c r="D1059" s="3" t="s">
        <v>45</v>
      </c>
      <c r="E1059" s="3" t="s">
        <v>53</v>
      </c>
      <c r="F1059" s="3" t="s">
        <v>25</v>
      </c>
      <c r="G1059" s="3" t="s">
        <v>25</v>
      </c>
      <c r="H1059" s="3" t="s">
        <v>34</v>
      </c>
      <c r="I1059" s="6">
        <v>44562</v>
      </c>
      <c r="J1059" s="4">
        <v>0</v>
      </c>
      <c r="K1059" s="56">
        <v>0</v>
      </c>
      <c r="L1059" s="4">
        <v>0.25700000000000001</v>
      </c>
      <c r="M1059" s="56">
        <v>0.25700000000000001</v>
      </c>
      <c r="N1059" s="4">
        <v>0.25700000000000001</v>
      </c>
      <c r="O1059" s="56">
        <v>0.25700000000000001</v>
      </c>
      <c r="P1059" s="4">
        <v>0</v>
      </c>
      <c r="Q1059" s="3" t="s">
        <v>26</v>
      </c>
      <c r="R1059" s="3">
        <v>0</v>
      </c>
      <c r="S1059" s="4">
        <v>0</v>
      </c>
      <c r="T1059" s="4">
        <v>20</v>
      </c>
      <c r="U1059" s="4">
        <v>88</v>
      </c>
      <c r="V1059" s="56">
        <f>IF(ISERROR(VLOOKUP($S$1059,'TAR FIN'!$A$1:$O$113,15,0)),0,VLOOKUP($S$1059,'TAR FIN'!$A$1:$O$113,15,0))</f>
        <v>0</v>
      </c>
      <c r="W1059" s="56">
        <f>IF(ISERROR(VLOOKUP($T$1059,'TAR FIN'!$A$1:$O$113,15,0)),0,VLOOKUP($T$1059,'TAR FIN'!$A$1:$O$113,15,0))*(1-0.04)</f>
        <v>1502.0063999999998</v>
      </c>
      <c r="X1059" s="56">
        <f>IF(ISERROR(VLOOKUP($U$1059,'TAR FIN'!$A$1:$O$113,15,0)),0,VLOOKUP($U$1059,'TAR FIN'!$A$1:$O$113,15,0))*(1-0.04)</f>
        <v>350.88</v>
      </c>
      <c r="Y1059" s="56"/>
      <c r="Z1059" s="56">
        <f ca="1">('TUSD BE'!$AM$31+'TUSD BF'!$AM$31+'TUSD CVA'!$AM$31)*1*(1-0.02)</f>
        <v>1801.1318198709657</v>
      </c>
      <c r="AA1059" s="56">
        <f>('TE BE'!$AA$10+'TE BF'!$AA$10+'TE CVA'!$AA$10)*1*(1-0.02)</f>
        <v>354.31913150043306</v>
      </c>
      <c r="AB1059" s="4">
        <f>$K$1059*$V$1059</f>
        <v>0</v>
      </c>
      <c r="AC1059" s="4">
        <f>$M$1059*$W$1059</f>
        <v>386.01564479999996</v>
      </c>
      <c r="AD1059" s="4">
        <f>$O$1059*$X$1059</f>
        <v>90.176159999999996</v>
      </c>
      <c r="AE1059" s="4">
        <f>$K$1059*$Y$1059</f>
        <v>0</v>
      </c>
      <c r="AF1059" s="4">
        <f ca="1">$M$1059*$Z$1059</f>
        <v>462.89087770683818</v>
      </c>
      <c r="AG1059" s="4">
        <f>$O$1059*$AA$1059</f>
        <v>91.060016795611304</v>
      </c>
    </row>
    <row r="1060" spans="1:33" ht="11.25" customHeight="1" x14ac:dyDescent="0.25">
      <c r="A1060" s="3" t="s">
        <v>21</v>
      </c>
      <c r="B1060" s="3" t="s">
        <v>41</v>
      </c>
      <c r="C1060" s="3" t="s">
        <v>42</v>
      </c>
      <c r="D1060" s="3" t="s">
        <v>45</v>
      </c>
      <c r="E1060" s="3" t="s">
        <v>53</v>
      </c>
      <c r="F1060" s="3" t="s">
        <v>25</v>
      </c>
      <c r="G1060" s="3" t="s">
        <v>25</v>
      </c>
      <c r="H1060" s="3" t="s">
        <v>34</v>
      </c>
      <c r="I1060" s="6">
        <v>44593</v>
      </c>
      <c r="J1060" s="4">
        <v>0</v>
      </c>
      <c r="K1060" s="56">
        <v>0</v>
      </c>
      <c r="L1060" s="4">
        <v>16.137</v>
      </c>
      <c r="M1060" s="56">
        <v>16.137</v>
      </c>
      <c r="N1060" s="4">
        <v>16.137</v>
      </c>
      <c r="O1060" s="56">
        <v>16.137</v>
      </c>
      <c r="P1060" s="4">
        <v>0</v>
      </c>
      <c r="Q1060" s="3" t="s">
        <v>26</v>
      </c>
      <c r="R1060" s="3">
        <v>0</v>
      </c>
      <c r="S1060" s="4">
        <v>0</v>
      </c>
      <c r="T1060" s="4">
        <v>20</v>
      </c>
      <c r="U1060" s="4">
        <v>88</v>
      </c>
      <c r="V1060" s="56">
        <f>IF(ISERROR(VLOOKUP($S$1060,'TAR FIN'!$A$1:$O$113,15,0)),0,VLOOKUP($S$1060,'TAR FIN'!$A$1:$O$113,15,0))</f>
        <v>0</v>
      </c>
      <c r="W1060" s="56">
        <f>IF(ISERROR(VLOOKUP($T$1060,'TAR FIN'!$A$1:$O$113,15,0)),0,VLOOKUP($T$1060,'TAR FIN'!$A$1:$O$113,15,0))*(1-0.04)</f>
        <v>1502.0063999999998</v>
      </c>
      <c r="X1060" s="56">
        <f>IF(ISERROR(VLOOKUP($U$1060,'TAR FIN'!$A$1:$O$113,15,0)),0,VLOOKUP($U$1060,'TAR FIN'!$A$1:$O$113,15,0))*(1-0.04)</f>
        <v>350.88</v>
      </c>
      <c r="Y1060" s="56"/>
      <c r="Z1060" s="56">
        <f ca="1">('TUSD BE'!$AM$31+'TUSD BF'!$AM$31+'TUSD CVA'!$AM$31)*1*(1-0.02)</f>
        <v>1801.1318198709657</v>
      </c>
      <c r="AA1060" s="56">
        <f>('TE BE'!$AA$10+'TE BF'!$AA$10+'TE CVA'!$AA$10)*1*(1-0.02)</f>
        <v>354.31913150043306</v>
      </c>
      <c r="AB1060" s="4">
        <f>$K$1060*$V$1060</f>
        <v>0</v>
      </c>
      <c r="AC1060" s="4">
        <f>$M$1060*$W$1060</f>
        <v>24237.877276799998</v>
      </c>
      <c r="AD1060" s="4">
        <f>$O$1060*$X$1060</f>
        <v>5662.15056</v>
      </c>
      <c r="AE1060" s="4">
        <f>$K$1060*$Y$1060</f>
        <v>0</v>
      </c>
      <c r="AF1060" s="4">
        <f ca="1">$M$1060*$Z$1060</f>
        <v>29064.864177257776</v>
      </c>
      <c r="AG1060" s="4">
        <f>$O$1060*$AA$1060</f>
        <v>5717.6478250224882</v>
      </c>
    </row>
    <row r="1061" spans="1:33" ht="11.25" customHeight="1" x14ac:dyDescent="0.25">
      <c r="A1061" s="3" t="s">
        <v>27</v>
      </c>
      <c r="B1061" s="3" t="s">
        <v>41</v>
      </c>
      <c r="C1061" s="3" t="s">
        <v>42</v>
      </c>
      <c r="D1061" s="3" t="s">
        <v>45</v>
      </c>
      <c r="E1061" s="3" t="s">
        <v>53</v>
      </c>
      <c r="F1061" s="3" t="s">
        <v>25</v>
      </c>
      <c r="G1061" s="3" t="s">
        <v>25</v>
      </c>
      <c r="H1061" s="3" t="s">
        <v>34</v>
      </c>
      <c r="I1061" s="6">
        <v>44593</v>
      </c>
      <c r="J1061" s="4">
        <v>0</v>
      </c>
      <c r="K1061" s="56">
        <v>0</v>
      </c>
      <c r="L1061" s="4">
        <v>8.2000000000000003E-2</v>
      </c>
      <c r="M1061" s="56">
        <v>8.2000000000000003E-2</v>
      </c>
      <c r="N1061" s="4">
        <v>8.2000000000000003E-2</v>
      </c>
      <c r="O1061" s="56">
        <v>8.2000000000000003E-2</v>
      </c>
      <c r="P1061" s="4">
        <v>0</v>
      </c>
      <c r="Q1061" s="3" t="s">
        <v>26</v>
      </c>
      <c r="R1061" s="3">
        <v>0</v>
      </c>
      <c r="S1061" s="4">
        <v>0</v>
      </c>
      <c r="T1061" s="4">
        <v>20</v>
      </c>
      <c r="U1061" s="4">
        <v>88</v>
      </c>
      <c r="V1061" s="56">
        <f>IF(ISERROR(VLOOKUP($S$1061,'TAR FIN'!$A$1:$O$113,15,0)),0,VLOOKUP($S$1061,'TAR FIN'!$A$1:$O$113,15,0))</f>
        <v>0</v>
      </c>
      <c r="W1061" s="56">
        <f>IF(ISERROR(VLOOKUP($T$1061,'TAR FIN'!$A$1:$O$113,15,0)),0,VLOOKUP($T$1061,'TAR FIN'!$A$1:$O$113,15,0))*(1-0.04)</f>
        <v>1502.0063999999998</v>
      </c>
      <c r="X1061" s="56">
        <f>IF(ISERROR(VLOOKUP($U$1061,'TAR FIN'!$A$1:$O$113,15,0)),0,VLOOKUP($U$1061,'TAR FIN'!$A$1:$O$113,15,0))*(1-0.04)</f>
        <v>350.88</v>
      </c>
      <c r="Y1061" s="56"/>
      <c r="Z1061" s="56">
        <f ca="1">('TUSD BE'!$AM$31+'TUSD BF'!$AM$31+'TUSD CVA'!$AM$31)*1*(1-0.02)</f>
        <v>1801.1318198709657</v>
      </c>
      <c r="AA1061" s="56">
        <f>('TE BE'!$AA$10+'TE BF'!$AA$10+'TE CVA'!$AA$10)*1*(1-0.02)</f>
        <v>354.31913150043306</v>
      </c>
      <c r="AB1061" s="4">
        <f>$K$1061*$V$1061</f>
        <v>0</v>
      </c>
      <c r="AC1061" s="4">
        <f>$M$1061*$W$1061</f>
        <v>123.16452479999998</v>
      </c>
      <c r="AD1061" s="4">
        <f>$O$1061*$X$1061</f>
        <v>28.77216</v>
      </c>
      <c r="AE1061" s="4">
        <f>$K$1061*$Y$1061</f>
        <v>0</v>
      </c>
      <c r="AF1061" s="4">
        <f ca="1">$M$1061*$Z$1061</f>
        <v>147.6928092294192</v>
      </c>
      <c r="AG1061" s="4">
        <f>$O$1061*$AA$1061</f>
        <v>29.054168783035511</v>
      </c>
    </row>
    <row r="1062" spans="1:33" ht="11.25" customHeight="1" x14ac:dyDescent="0.25">
      <c r="A1062" s="3" t="s">
        <v>28</v>
      </c>
      <c r="B1062" s="3" t="s">
        <v>41</v>
      </c>
      <c r="C1062" s="3" t="s">
        <v>42</v>
      </c>
      <c r="D1062" s="3" t="s">
        <v>45</v>
      </c>
      <c r="E1062" s="3" t="s">
        <v>53</v>
      </c>
      <c r="F1062" s="3" t="s">
        <v>25</v>
      </c>
      <c r="G1062" s="3" t="s">
        <v>25</v>
      </c>
      <c r="H1062" s="3" t="s">
        <v>34</v>
      </c>
      <c r="I1062" s="6">
        <v>44593</v>
      </c>
      <c r="J1062" s="4">
        <v>0</v>
      </c>
      <c r="K1062" s="56">
        <v>0</v>
      </c>
      <c r="L1062" s="4">
        <v>0.38</v>
      </c>
      <c r="M1062" s="56">
        <v>0.38</v>
      </c>
      <c r="N1062" s="4">
        <v>0.38</v>
      </c>
      <c r="O1062" s="56">
        <v>0.38</v>
      </c>
      <c r="P1062" s="4">
        <v>0</v>
      </c>
      <c r="Q1062" s="3" t="s">
        <v>26</v>
      </c>
      <c r="R1062" s="3">
        <v>0</v>
      </c>
      <c r="S1062" s="4">
        <v>0</v>
      </c>
      <c r="T1062" s="4">
        <v>20</v>
      </c>
      <c r="U1062" s="4">
        <v>88</v>
      </c>
      <c r="V1062" s="56">
        <f>IF(ISERROR(VLOOKUP($S$1062,'TAR FIN'!$A$1:$O$113,15,0)),0,VLOOKUP($S$1062,'TAR FIN'!$A$1:$O$113,15,0))</f>
        <v>0</v>
      </c>
      <c r="W1062" s="56">
        <f>IF(ISERROR(VLOOKUP($T$1062,'TAR FIN'!$A$1:$O$113,15,0)),0,VLOOKUP($T$1062,'TAR FIN'!$A$1:$O$113,15,0))*(1-0.04)</f>
        <v>1502.0063999999998</v>
      </c>
      <c r="X1062" s="56">
        <f>IF(ISERROR(VLOOKUP($U$1062,'TAR FIN'!$A$1:$O$113,15,0)),0,VLOOKUP($U$1062,'TAR FIN'!$A$1:$O$113,15,0))*(1-0.04)</f>
        <v>350.88</v>
      </c>
      <c r="Y1062" s="56"/>
      <c r="Z1062" s="56">
        <f ca="1">('TUSD BE'!$AM$31+'TUSD BF'!$AM$31+'TUSD CVA'!$AM$31)*1*(1-0.02)</f>
        <v>1801.1318198709657</v>
      </c>
      <c r="AA1062" s="56">
        <f>('TE BE'!$AA$10+'TE BF'!$AA$10+'TE CVA'!$AA$10)*1*(1-0.02)</f>
        <v>354.31913150043306</v>
      </c>
      <c r="AB1062" s="4">
        <f>$K$1062*$V$1062</f>
        <v>0</v>
      </c>
      <c r="AC1062" s="4">
        <f>$M$1062*$W$1062</f>
        <v>570.76243199999988</v>
      </c>
      <c r="AD1062" s="4">
        <f>$O$1062*$X$1062</f>
        <v>133.33439999999999</v>
      </c>
      <c r="AE1062" s="4">
        <f>$K$1062*$Y$1062</f>
        <v>0</v>
      </c>
      <c r="AF1062" s="4">
        <f ca="1">$M$1062*$Z$1062</f>
        <v>684.43009155096695</v>
      </c>
      <c r="AG1062" s="4">
        <f>$O$1062*$AA$1062</f>
        <v>134.64126997016456</v>
      </c>
    </row>
    <row r="1063" spans="1:33" ht="11.25" customHeight="1" x14ac:dyDescent="0.25">
      <c r="A1063" s="3" t="s">
        <v>56</v>
      </c>
      <c r="B1063" s="3" t="s">
        <v>41</v>
      </c>
      <c r="C1063" s="3" t="s">
        <v>42</v>
      </c>
      <c r="D1063" s="3" t="s">
        <v>45</v>
      </c>
      <c r="E1063" s="3" t="s">
        <v>53</v>
      </c>
      <c r="F1063" s="3" t="s">
        <v>25</v>
      </c>
      <c r="G1063" s="3" t="s">
        <v>25</v>
      </c>
      <c r="H1063" s="3" t="s">
        <v>34</v>
      </c>
      <c r="I1063" s="6">
        <v>44621</v>
      </c>
      <c r="J1063" s="4">
        <v>0</v>
      </c>
      <c r="K1063" s="56">
        <v>0</v>
      </c>
      <c r="L1063" s="4">
        <v>16.137</v>
      </c>
      <c r="M1063" s="56">
        <v>16.137</v>
      </c>
      <c r="N1063" s="4">
        <v>16.137</v>
      </c>
      <c r="O1063" s="56">
        <v>16.137</v>
      </c>
      <c r="P1063" s="4">
        <v>0</v>
      </c>
      <c r="Q1063" s="3" t="s">
        <v>26</v>
      </c>
      <c r="R1063" s="3">
        <v>0</v>
      </c>
      <c r="S1063" s="4">
        <v>0</v>
      </c>
      <c r="T1063" s="4">
        <v>20</v>
      </c>
      <c r="U1063" s="4">
        <v>88</v>
      </c>
      <c r="V1063" s="56">
        <f>IF(ISERROR(VLOOKUP($S$1063,'TAR FIN'!$A$1:$O$113,15,0)),0,VLOOKUP($S$1063,'TAR FIN'!$A$1:$O$113,15,0))</f>
        <v>0</v>
      </c>
      <c r="W1063" s="56">
        <f>IF(ISERROR(VLOOKUP($T$1063,'TAR FIN'!$A$1:$O$113,15,0)),0,VLOOKUP($T$1063,'TAR FIN'!$A$1:$O$113,15,0))*(1-0.04)</f>
        <v>1502.0063999999998</v>
      </c>
      <c r="X1063" s="56">
        <f>IF(ISERROR(VLOOKUP($U$1063,'TAR FIN'!$A$1:$O$113,15,0)),0,VLOOKUP($U$1063,'TAR FIN'!$A$1:$O$113,15,0))*(1-0.04)</f>
        <v>350.88</v>
      </c>
      <c r="Y1063" s="56"/>
      <c r="Z1063" s="56">
        <f ca="1">('TUSD BE'!$AM$31+'TUSD BF'!$AM$31+'TUSD CVA'!$AM$31)*1*(1-0.02)</f>
        <v>1801.1318198709657</v>
      </c>
      <c r="AA1063" s="56">
        <f>('TE BE'!$AA$10+'TE BF'!$AA$10+'TE CVA'!$AA$10)*1*(1-0.02)</f>
        <v>354.31913150043306</v>
      </c>
      <c r="AB1063" s="4">
        <f>$K$1063*$V$1063</f>
        <v>0</v>
      </c>
      <c r="AC1063" s="4">
        <f>$M$1063*$W$1063</f>
        <v>24237.877276799998</v>
      </c>
      <c r="AD1063" s="4">
        <f>$O$1063*$X$1063</f>
        <v>5662.15056</v>
      </c>
      <c r="AE1063" s="4">
        <f>$K$1063*$Y$1063</f>
        <v>0</v>
      </c>
      <c r="AF1063" s="4">
        <f ca="1">$M$1063*$Z$1063</f>
        <v>29064.864177257776</v>
      </c>
      <c r="AG1063" s="4">
        <f>$O$1063*$AA$1063</f>
        <v>5717.6478250224882</v>
      </c>
    </row>
    <row r="1064" spans="1:33" ht="11.25" customHeight="1" x14ac:dyDescent="0.25">
      <c r="A1064" s="3" t="s">
        <v>56</v>
      </c>
      <c r="B1064" s="3" t="s">
        <v>41</v>
      </c>
      <c r="C1064" s="3" t="s">
        <v>42</v>
      </c>
      <c r="D1064" s="3" t="s">
        <v>45</v>
      </c>
      <c r="E1064" s="3" t="s">
        <v>53</v>
      </c>
      <c r="F1064" s="3" t="s">
        <v>25</v>
      </c>
      <c r="G1064" s="3" t="s">
        <v>25</v>
      </c>
      <c r="H1064" s="3" t="s">
        <v>34</v>
      </c>
      <c r="I1064" s="6">
        <v>44621</v>
      </c>
      <c r="J1064" s="4">
        <v>0</v>
      </c>
      <c r="K1064" s="56">
        <v>0</v>
      </c>
      <c r="L1064" s="4">
        <v>8.2000000000000003E-2</v>
      </c>
      <c r="M1064" s="56">
        <v>8.2000000000000003E-2</v>
      </c>
      <c r="N1064" s="4">
        <v>8.2000000000000003E-2</v>
      </c>
      <c r="O1064" s="56">
        <v>8.2000000000000003E-2</v>
      </c>
      <c r="P1064" s="4">
        <v>0</v>
      </c>
      <c r="Q1064" s="3" t="s">
        <v>26</v>
      </c>
      <c r="R1064" s="3">
        <v>0</v>
      </c>
      <c r="S1064" s="4">
        <v>0</v>
      </c>
      <c r="T1064" s="4">
        <v>20</v>
      </c>
      <c r="U1064" s="4">
        <v>88</v>
      </c>
      <c r="V1064" s="56">
        <f>IF(ISERROR(VLOOKUP($S$1064,'TAR FIN'!$A$1:$O$113,15,0)),0,VLOOKUP($S$1064,'TAR FIN'!$A$1:$O$113,15,0))</f>
        <v>0</v>
      </c>
      <c r="W1064" s="56">
        <f>IF(ISERROR(VLOOKUP($T$1064,'TAR FIN'!$A$1:$O$113,15,0)),0,VLOOKUP($T$1064,'TAR FIN'!$A$1:$O$113,15,0))*(1-0.04)</f>
        <v>1502.0063999999998</v>
      </c>
      <c r="X1064" s="56">
        <f>IF(ISERROR(VLOOKUP($U$1064,'TAR FIN'!$A$1:$O$113,15,0)),0,VLOOKUP($U$1064,'TAR FIN'!$A$1:$O$113,15,0))*(1-0.04)</f>
        <v>350.88</v>
      </c>
      <c r="Y1064" s="56"/>
      <c r="Z1064" s="56">
        <f ca="1">('TUSD BE'!$AM$31+'TUSD BF'!$AM$31+'TUSD CVA'!$AM$31)*1*(1-0.02)</f>
        <v>1801.1318198709657</v>
      </c>
      <c r="AA1064" s="56">
        <f>('TE BE'!$AA$10+'TE BF'!$AA$10+'TE CVA'!$AA$10)*1*(1-0.02)</f>
        <v>354.31913150043306</v>
      </c>
      <c r="AB1064" s="4">
        <f>$K$1064*$V$1064</f>
        <v>0</v>
      </c>
      <c r="AC1064" s="4">
        <f>$M$1064*$W$1064</f>
        <v>123.16452479999998</v>
      </c>
      <c r="AD1064" s="4">
        <f>$O$1064*$X$1064</f>
        <v>28.77216</v>
      </c>
      <c r="AE1064" s="4">
        <f>$K$1064*$Y$1064</f>
        <v>0</v>
      </c>
      <c r="AF1064" s="4">
        <f ca="1">$M$1064*$Z$1064</f>
        <v>147.6928092294192</v>
      </c>
      <c r="AG1064" s="4">
        <f>$O$1064*$AA$1064</f>
        <v>29.054168783035511</v>
      </c>
    </row>
    <row r="1065" spans="1:33" ht="11.25" customHeight="1" x14ac:dyDescent="0.25">
      <c r="A1065" s="3" t="s">
        <v>56</v>
      </c>
      <c r="B1065" s="3" t="s">
        <v>41</v>
      </c>
      <c r="C1065" s="3" t="s">
        <v>42</v>
      </c>
      <c r="D1065" s="3" t="s">
        <v>45</v>
      </c>
      <c r="E1065" s="3" t="s">
        <v>53</v>
      </c>
      <c r="F1065" s="3" t="s">
        <v>25</v>
      </c>
      <c r="G1065" s="3" t="s">
        <v>25</v>
      </c>
      <c r="H1065" s="3" t="s">
        <v>34</v>
      </c>
      <c r="I1065" s="6">
        <v>44621</v>
      </c>
      <c r="J1065" s="4">
        <v>0</v>
      </c>
      <c r="K1065" s="56">
        <v>0</v>
      </c>
      <c r="L1065" s="4">
        <v>0.38</v>
      </c>
      <c r="M1065" s="56">
        <v>0.38</v>
      </c>
      <c r="N1065" s="4">
        <v>0.38</v>
      </c>
      <c r="O1065" s="56">
        <v>0.38</v>
      </c>
      <c r="P1065" s="4">
        <v>0</v>
      </c>
      <c r="Q1065" s="3" t="s">
        <v>26</v>
      </c>
      <c r="R1065" s="3">
        <v>0</v>
      </c>
      <c r="S1065" s="4">
        <v>0</v>
      </c>
      <c r="T1065" s="4">
        <v>20</v>
      </c>
      <c r="U1065" s="4">
        <v>88</v>
      </c>
      <c r="V1065" s="56">
        <f>IF(ISERROR(VLOOKUP($S$1065,'TAR FIN'!$A$1:$O$113,15,0)),0,VLOOKUP($S$1065,'TAR FIN'!$A$1:$O$113,15,0))</f>
        <v>0</v>
      </c>
      <c r="W1065" s="56">
        <f>IF(ISERROR(VLOOKUP($T$1065,'TAR FIN'!$A$1:$O$113,15,0)),0,VLOOKUP($T$1065,'TAR FIN'!$A$1:$O$113,15,0))*(1-0.04)</f>
        <v>1502.0063999999998</v>
      </c>
      <c r="X1065" s="56">
        <f>IF(ISERROR(VLOOKUP($U$1065,'TAR FIN'!$A$1:$O$113,15,0)),0,VLOOKUP($U$1065,'TAR FIN'!$A$1:$O$113,15,0))*(1-0.04)</f>
        <v>350.88</v>
      </c>
      <c r="Y1065" s="56"/>
      <c r="Z1065" s="56">
        <f ca="1">('TUSD BE'!$AM$31+'TUSD BF'!$AM$31+'TUSD CVA'!$AM$31)*1*(1-0.02)</f>
        <v>1801.1318198709657</v>
      </c>
      <c r="AA1065" s="56">
        <f>('TE BE'!$AA$10+'TE BF'!$AA$10+'TE CVA'!$AA$10)*1*(1-0.02)</f>
        <v>354.31913150043306</v>
      </c>
      <c r="AB1065" s="4">
        <f>$K$1065*$V$1065</f>
        <v>0</v>
      </c>
      <c r="AC1065" s="4">
        <f>$M$1065*$W$1065</f>
        <v>570.76243199999988</v>
      </c>
      <c r="AD1065" s="4">
        <f>$O$1065*$X$1065</f>
        <v>133.33439999999999</v>
      </c>
      <c r="AE1065" s="4">
        <f>$K$1065*$Y$1065</f>
        <v>0</v>
      </c>
      <c r="AF1065" s="4">
        <f ca="1">$M$1065*$Z$1065</f>
        <v>684.43009155096695</v>
      </c>
      <c r="AG1065" s="4">
        <f>$O$1065*$AA$1065</f>
        <v>134.64126997016456</v>
      </c>
    </row>
    <row r="1066" spans="1:33" ht="11.25" customHeight="1" x14ac:dyDescent="0.25">
      <c r="A1066" s="3" t="s">
        <v>21</v>
      </c>
      <c r="B1066" s="3" t="s">
        <v>41</v>
      </c>
      <c r="C1066" s="3" t="s">
        <v>42</v>
      </c>
      <c r="D1066" s="3" t="s">
        <v>45</v>
      </c>
      <c r="E1066" s="3" t="s">
        <v>25</v>
      </c>
      <c r="F1066" s="3" t="s">
        <v>25</v>
      </c>
      <c r="G1066" s="3" t="s">
        <v>25</v>
      </c>
      <c r="H1066" s="3" t="s">
        <v>35</v>
      </c>
      <c r="I1066" s="6">
        <v>44287</v>
      </c>
      <c r="J1066" s="4">
        <v>0</v>
      </c>
      <c r="K1066" s="56">
        <v>0</v>
      </c>
      <c r="L1066" s="4">
        <v>1374.3910000000001</v>
      </c>
      <c r="M1066" s="56">
        <v>1374.3910000000001</v>
      </c>
      <c r="N1066" s="4">
        <v>1374.3910000000001</v>
      </c>
      <c r="O1066" s="56">
        <v>1374.3910000000001</v>
      </c>
      <c r="P1066" s="4">
        <v>0</v>
      </c>
      <c r="Q1066" s="3" t="s">
        <v>26</v>
      </c>
      <c r="R1066" s="3">
        <v>0</v>
      </c>
      <c r="S1066" s="4">
        <v>0</v>
      </c>
      <c r="T1066" s="4">
        <v>21</v>
      </c>
      <c r="U1066" s="4">
        <v>89</v>
      </c>
      <c r="V1066" s="56">
        <f>IF(ISERROR(VLOOKUP($S$1066,'TAR FIN'!$A$1:$O$113,15,0)),0,VLOOKUP($S$1066,'TAR FIN'!$A$1:$O$113,15,0))</f>
        <v>0</v>
      </c>
      <c r="W1066" s="56">
        <f>IF(ISERROR(VLOOKUP($T$1066,'TAR FIN'!$A$1:$O$113,15,0)),0,VLOOKUP($T$1066,'TAR FIN'!$A$1:$O$113,15,0))*(1-0.04)</f>
        <v>49.219200000000001</v>
      </c>
      <c r="X1066" s="56">
        <f>IF(ISERROR(VLOOKUP($U$1066,'TAR FIN'!$A$1:$O$113,15,0)),0,VLOOKUP($U$1066,'TAR FIN'!$A$1:$O$113,15,0))*(1-0.04)</f>
        <v>213.41759999999999</v>
      </c>
      <c r="Y1066" s="56"/>
      <c r="Z1066" s="56">
        <f ca="1">('TUSD BE'!$AM$32+'TUSD BF'!$AM$32+'TUSD CVA'!$AM$32)*1*(1-0.02)</f>
        <v>63.70726143397826</v>
      </c>
      <c r="AA1066" s="56">
        <f>('TE BE'!$AA$11+'TE BF'!$AA$11+'TE CVA'!$AA$11)*1*(1-0.02)</f>
        <v>218.68270575803808</v>
      </c>
      <c r="AB1066" s="4">
        <f>$K$1066*$V$1066</f>
        <v>0</v>
      </c>
      <c r="AC1066" s="4">
        <f>$M$1066*$W$1066</f>
        <v>67646.425507200009</v>
      </c>
      <c r="AD1066" s="4">
        <f>$O$1066*$X$1066</f>
        <v>293319.22868160001</v>
      </c>
      <c r="AE1066" s="4">
        <f>$K$1066*$Y$1066</f>
        <v>0</v>
      </c>
      <c r="AF1066" s="4">
        <f ca="1">$M$1066*$Z$1066</f>
        <v>87558.686749506815</v>
      </c>
      <c r="AG1066" s="4">
        <f>$O$1066*$AA$1066</f>
        <v>300555.54264949571</v>
      </c>
    </row>
    <row r="1067" spans="1:33" ht="11.25" customHeight="1" x14ac:dyDescent="0.25">
      <c r="A1067" s="3" t="s">
        <v>21</v>
      </c>
      <c r="B1067" s="3" t="s">
        <v>41</v>
      </c>
      <c r="C1067" s="3" t="s">
        <v>42</v>
      </c>
      <c r="D1067" s="3" t="s">
        <v>45</v>
      </c>
      <c r="E1067" s="3" t="s">
        <v>25</v>
      </c>
      <c r="F1067" s="3" t="s">
        <v>25</v>
      </c>
      <c r="G1067" s="3" t="s">
        <v>25</v>
      </c>
      <c r="H1067" s="3" t="s">
        <v>35</v>
      </c>
      <c r="I1067" s="6">
        <v>44317</v>
      </c>
      <c r="J1067" s="4">
        <v>0</v>
      </c>
      <c r="K1067" s="56">
        <v>0</v>
      </c>
      <c r="L1067" s="4">
        <v>782.78499999999997</v>
      </c>
      <c r="M1067" s="56">
        <v>782.78499999999997</v>
      </c>
      <c r="N1067" s="4">
        <v>782.78499999999997</v>
      </c>
      <c r="O1067" s="56">
        <v>782.78499999999997</v>
      </c>
      <c r="P1067" s="4">
        <v>0</v>
      </c>
      <c r="Q1067" s="3" t="s">
        <v>26</v>
      </c>
      <c r="R1067" s="3">
        <v>0</v>
      </c>
      <c r="S1067" s="4">
        <v>0</v>
      </c>
      <c r="T1067" s="4">
        <v>21</v>
      </c>
      <c r="U1067" s="4">
        <v>89</v>
      </c>
      <c r="V1067" s="56">
        <f>IF(ISERROR(VLOOKUP($S$1067,'TAR FIN'!$A$1:$O$113,15,0)),0,VLOOKUP($S$1067,'TAR FIN'!$A$1:$O$113,15,0))</f>
        <v>0</v>
      </c>
      <c r="W1067" s="56">
        <f>IF(ISERROR(VLOOKUP($T$1067,'TAR FIN'!$A$1:$O$113,15,0)),0,VLOOKUP($T$1067,'TAR FIN'!$A$1:$O$113,15,0))*(1-0.04)</f>
        <v>49.219200000000001</v>
      </c>
      <c r="X1067" s="56">
        <f>IF(ISERROR(VLOOKUP($U$1067,'TAR FIN'!$A$1:$O$113,15,0)),0,VLOOKUP($U$1067,'TAR FIN'!$A$1:$O$113,15,0))*(1-0.04)</f>
        <v>213.41759999999999</v>
      </c>
      <c r="Y1067" s="56"/>
      <c r="Z1067" s="56">
        <f ca="1">('TUSD BE'!$AM$32+'TUSD BF'!$AM$32+'TUSD CVA'!$AM$32)*1*(1-0.02)</f>
        <v>63.70726143397826</v>
      </c>
      <c r="AA1067" s="56">
        <f>('TE BE'!$AA$11+'TE BF'!$AA$11+'TE CVA'!$AA$11)*1*(1-0.02)</f>
        <v>218.68270575803808</v>
      </c>
      <c r="AB1067" s="4">
        <f>$K$1067*$V$1067</f>
        <v>0</v>
      </c>
      <c r="AC1067" s="4">
        <f>$M$1067*$W$1067</f>
        <v>38528.051471999999</v>
      </c>
      <c r="AD1067" s="4">
        <f>$O$1067*$X$1067</f>
        <v>167060.096016</v>
      </c>
      <c r="AE1067" s="4">
        <f>$K$1067*$Y$1067</f>
        <v>0</v>
      </c>
      <c r="AF1067" s="4">
        <f ca="1">$M$1067*$Z$1067</f>
        <v>49869.088641596667</v>
      </c>
      <c r="AG1067" s="4">
        <f>$O$1067*$AA$1067</f>
        <v>171181.54182680583</v>
      </c>
    </row>
    <row r="1068" spans="1:33" ht="11.25" customHeight="1" x14ac:dyDescent="0.25">
      <c r="A1068" s="3" t="s">
        <v>27</v>
      </c>
      <c r="B1068" s="3" t="s">
        <v>41</v>
      </c>
      <c r="C1068" s="3" t="s">
        <v>42</v>
      </c>
      <c r="D1068" s="3" t="s">
        <v>45</v>
      </c>
      <c r="E1068" s="3" t="s">
        <v>25</v>
      </c>
      <c r="F1068" s="3" t="s">
        <v>25</v>
      </c>
      <c r="G1068" s="3" t="s">
        <v>25</v>
      </c>
      <c r="H1068" s="3" t="s">
        <v>35</v>
      </c>
      <c r="I1068" s="6">
        <v>44317</v>
      </c>
      <c r="J1068" s="4">
        <v>0</v>
      </c>
      <c r="K1068" s="56">
        <v>0</v>
      </c>
      <c r="L1068" s="4">
        <v>0.96</v>
      </c>
      <c r="M1068" s="56">
        <v>0.96</v>
      </c>
      <c r="N1068" s="4">
        <v>0.96</v>
      </c>
      <c r="O1068" s="56">
        <v>0.96</v>
      </c>
      <c r="P1068" s="4">
        <v>0</v>
      </c>
      <c r="Q1068" s="3" t="s">
        <v>26</v>
      </c>
      <c r="R1068" s="3">
        <v>0</v>
      </c>
      <c r="S1068" s="4">
        <v>0</v>
      </c>
      <c r="T1068" s="4">
        <v>21</v>
      </c>
      <c r="U1068" s="4">
        <v>89</v>
      </c>
      <c r="V1068" s="56">
        <f>IF(ISERROR(VLOOKUP($S$1068,'TAR FIN'!$A$1:$O$113,15,0)),0,VLOOKUP($S$1068,'TAR FIN'!$A$1:$O$113,15,0))</f>
        <v>0</v>
      </c>
      <c r="W1068" s="56">
        <f>IF(ISERROR(VLOOKUP($T$1068,'TAR FIN'!$A$1:$O$113,15,0)),0,VLOOKUP($T$1068,'TAR FIN'!$A$1:$O$113,15,0))*(1-0.04)</f>
        <v>49.219200000000001</v>
      </c>
      <c r="X1068" s="56">
        <f>IF(ISERROR(VLOOKUP($U$1068,'TAR FIN'!$A$1:$O$113,15,0)),0,VLOOKUP($U$1068,'TAR FIN'!$A$1:$O$113,15,0))*(1-0.04)</f>
        <v>213.41759999999999</v>
      </c>
      <c r="Y1068" s="56"/>
      <c r="Z1068" s="56">
        <f ca="1">('TUSD BE'!$AM$32+'TUSD BF'!$AM$32+'TUSD CVA'!$AM$32)*1*(1-0.02)</f>
        <v>63.70726143397826</v>
      </c>
      <c r="AA1068" s="56">
        <f>('TE BE'!$AA$11+'TE BF'!$AA$11+'TE CVA'!$AA$11)*1*(1-0.02)</f>
        <v>218.68270575803808</v>
      </c>
      <c r="AB1068" s="4">
        <f>$K$1068*$V$1068</f>
        <v>0</v>
      </c>
      <c r="AC1068" s="4">
        <f>$M$1068*$W$1068</f>
        <v>47.250431999999996</v>
      </c>
      <c r="AD1068" s="4">
        <f>$O$1068*$X$1068</f>
        <v>204.88089599999998</v>
      </c>
      <c r="AE1068" s="4">
        <f>$K$1068*$Y$1068</f>
        <v>0</v>
      </c>
      <c r="AF1068" s="4">
        <f ca="1">$M$1068*$Z$1068</f>
        <v>61.158970976619131</v>
      </c>
      <c r="AG1068" s="4">
        <f>$O$1068*$AA$1068</f>
        <v>209.93539752771656</v>
      </c>
    </row>
    <row r="1069" spans="1:33" ht="11.25" customHeight="1" x14ac:dyDescent="0.25">
      <c r="A1069" s="3" t="s">
        <v>28</v>
      </c>
      <c r="B1069" s="3" t="s">
        <v>41</v>
      </c>
      <c r="C1069" s="3" t="s">
        <v>42</v>
      </c>
      <c r="D1069" s="3" t="s">
        <v>45</v>
      </c>
      <c r="E1069" s="3" t="s">
        <v>25</v>
      </c>
      <c r="F1069" s="3" t="s">
        <v>25</v>
      </c>
      <c r="G1069" s="3" t="s">
        <v>25</v>
      </c>
      <c r="H1069" s="3" t="s">
        <v>35</v>
      </c>
      <c r="I1069" s="6">
        <v>44317</v>
      </c>
      <c r="J1069" s="4">
        <v>0</v>
      </c>
      <c r="K1069" s="56">
        <v>0</v>
      </c>
      <c r="L1069" s="4">
        <v>19.867999999999999</v>
      </c>
      <c r="M1069" s="56">
        <v>19.867999999999999</v>
      </c>
      <c r="N1069" s="4">
        <v>19.867999999999999</v>
      </c>
      <c r="O1069" s="56">
        <v>19.867999999999999</v>
      </c>
      <c r="P1069" s="4">
        <v>0</v>
      </c>
      <c r="Q1069" s="3" t="s">
        <v>26</v>
      </c>
      <c r="R1069" s="3">
        <v>0</v>
      </c>
      <c r="S1069" s="4">
        <v>0</v>
      </c>
      <c r="T1069" s="4">
        <v>21</v>
      </c>
      <c r="U1069" s="4">
        <v>89</v>
      </c>
      <c r="V1069" s="56">
        <f>IF(ISERROR(VLOOKUP($S$1069,'TAR FIN'!$A$1:$O$113,15,0)),0,VLOOKUP($S$1069,'TAR FIN'!$A$1:$O$113,15,0))</f>
        <v>0</v>
      </c>
      <c r="W1069" s="56">
        <f>IF(ISERROR(VLOOKUP($T$1069,'TAR FIN'!$A$1:$O$113,15,0)),0,VLOOKUP($T$1069,'TAR FIN'!$A$1:$O$113,15,0))*(1-0.04)</f>
        <v>49.219200000000001</v>
      </c>
      <c r="X1069" s="56">
        <f>IF(ISERROR(VLOOKUP($U$1069,'TAR FIN'!$A$1:$O$113,15,0)),0,VLOOKUP($U$1069,'TAR FIN'!$A$1:$O$113,15,0))*(1-0.04)</f>
        <v>213.41759999999999</v>
      </c>
      <c r="Y1069" s="56"/>
      <c r="Z1069" s="56">
        <f ca="1">('TUSD BE'!$AM$32+'TUSD BF'!$AM$32+'TUSD CVA'!$AM$32)*1*(1-0.02)</f>
        <v>63.70726143397826</v>
      </c>
      <c r="AA1069" s="56">
        <f>('TE BE'!$AA$11+'TE BF'!$AA$11+'TE CVA'!$AA$11)*1*(1-0.02)</f>
        <v>218.68270575803808</v>
      </c>
      <c r="AB1069" s="4">
        <f>$K$1069*$V$1069</f>
        <v>0</v>
      </c>
      <c r="AC1069" s="4">
        <f>$M$1069*$W$1069</f>
        <v>977.88706559999991</v>
      </c>
      <c r="AD1069" s="4">
        <f>$O$1069*$X$1069</f>
        <v>4240.1808767999992</v>
      </c>
      <c r="AE1069" s="4">
        <f>$K$1069*$Y$1069</f>
        <v>0</v>
      </c>
      <c r="AF1069" s="4">
        <f ca="1">$M$1069*$Z$1069</f>
        <v>1265.7358701702799</v>
      </c>
      <c r="AG1069" s="4">
        <f>$O$1069*$AA$1069</f>
        <v>4344.7879980007001</v>
      </c>
    </row>
    <row r="1070" spans="1:33" ht="11.25" customHeight="1" x14ac:dyDescent="0.25">
      <c r="A1070" s="3" t="s">
        <v>21</v>
      </c>
      <c r="B1070" s="3" t="s">
        <v>41</v>
      </c>
      <c r="C1070" s="3" t="s">
        <v>42</v>
      </c>
      <c r="D1070" s="3" t="s">
        <v>45</v>
      </c>
      <c r="E1070" s="3" t="s">
        <v>25</v>
      </c>
      <c r="F1070" s="3" t="s">
        <v>25</v>
      </c>
      <c r="G1070" s="3" t="s">
        <v>25</v>
      </c>
      <c r="H1070" s="3" t="s">
        <v>35</v>
      </c>
      <c r="I1070" s="6">
        <v>44348</v>
      </c>
      <c r="J1070" s="4">
        <v>0</v>
      </c>
      <c r="K1070" s="56">
        <v>0</v>
      </c>
      <c r="L1070" s="4">
        <v>797.85900000000004</v>
      </c>
      <c r="M1070" s="56">
        <v>797.85900000000004</v>
      </c>
      <c r="N1070" s="4">
        <v>797.85900000000004</v>
      </c>
      <c r="O1070" s="56">
        <v>797.85900000000004</v>
      </c>
      <c r="P1070" s="4">
        <v>0</v>
      </c>
      <c r="Q1070" s="3" t="s">
        <v>26</v>
      </c>
      <c r="R1070" s="3">
        <v>0</v>
      </c>
      <c r="S1070" s="4">
        <v>0</v>
      </c>
      <c r="T1070" s="4">
        <v>21</v>
      </c>
      <c r="U1070" s="4">
        <v>89</v>
      </c>
      <c r="V1070" s="56">
        <f>IF(ISERROR(VLOOKUP($S$1070,'TAR FIN'!$A$1:$O$113,15,0)),0,VLOOKUP($S$1070,'TAR FIN'!$A$1:$O$113,15,0))</f>
        <v>0</v>
      </c>
      <c r="W1070" s="56">
        <f>IF(ISERROR(VLOOKUP($T$1070,'TAR FIN'!$A$1:$O$113,15,0)),0,VLOOKUP($T$1070,'TAR FIN'!$A$1:$O$113,15,0))*(1-0.04)</f>
        <v>49.219200000000001</v>
      </c>
      <c r="X1070" s="56">
        <f>IF(ISERROR(VLOOKUP($U$1070,'TAR FIN'!$A$1:$O$113,15,0)),0,VLOOKUP($U$1070,'TAR FIN'!$A$1:$O$113,15,0))*(1-0.04)</f>
        <v>213.41759999999999</v>
      </c>
      <c r="Y1070" s="56"/>
      <c r="Z1070" s="56">
        <f ca="1">('TUSD BE'!$AM$32+'TUSD BF'!$AM$32+'TUSD CVA'!$AM$32)*1*(1-0.02)</f>
        <v>63.70726143397826</v>
      </c>
      <c r="AA1070" s="56">
        <f>('TE BE'!$AA$11+'TE BF'!$AA$11+'TE CVA'!$AA$11)*1*(1-0.02)</f>
        <v>218.68270575803808</v>
      </c>
      <c r="AB1070" s="4">
        <f>$K$1070*$V$1070</f>
        <v>0</v>
      </c>
      <c r="AC1070" s="4">
        <f>$M$1070*$W$1070</f>
        <v>39269.9816928</v>
      </c>
      <c r="AD1070" s="4">
        <f>$O$1070*$X$1070</f>
        <v>170277.15291840001</v>
      </c>
      <c r="AE1070" s="4">
        <f>$K$1070*$Y$1070</f>
        <v>0</v>
      </c>
      <c r="AF1070" s="4">
        <f ca="1">$M$1070*$Z$1070</f>
        <v>50829.411900452462</v>
      </c>
      <c r="AG1070" s="4">
        <f>$O$1070*$AA$1070</f>
        <v>174477.96493340252</v>
      </c>
    </row>
    <row r="1071" spans="1:33" ht="11.25" customHeight="1" x14ac:dyDescent="0.25">
      <c r="A1071" s="3" t="s">
        <v>28</v>
      </c>
      <c r="B1071" s="3" t="s">
        <v>41</v>
      </c>
      <c r="C1071" s="3" t="s">
        <v>42</v>
      </c>
      <c r="D1071" s="3" t="s">
        <v>45</v>
      </c>
      <c r="E1071" s="3" t="s">
        <v>25</v>
      </c>
      <c r="F1071" s="3" t="s">
        <v>25</v>
      </c>
      <c r="G1071" s="3" t="s">
        <v>25</v>
      </c>
      <c r="H1071" s="3" t="s">
        <v>35</v>
      </c>
      <c r="I1071" s="6">
        <v>44348</v>
      </c>
      <c r="J1071" s="4">
        <v>0</v>
      </c>
      <c r="K1071" s="56">
        <v>0</v>
      </c>
      <c r="L1071" s="4">
        <v>18.321000000000002</v>
      </c>
      <c r="M1071" s="56">
        <v>18.321000000000002</v>
      </c>
      <c r="N1071" s="4">
        <v>18.321000000000002</v>
      </c>
      <c r="O1071" s="56">
        <v>18.321000000000002</v>
      </c>
      <c r="P1071" s="4">
        <v>0</v>
      </c>
      <c r="Q1071" s="3" t="s">
        <v>26</v>
      </c>
      <c r="R1071" s="3">
        <v>0</v>
      </c>
      <c r="S1071" s="4">
        <v>0</v>
      </c>
      <c r="T1071" s="4">
        <v>21</v>
      </c>
      <c r="U1071" s="4">
        <v>89</v>
      </c>
      <c r="V1071" s="56">
        <f>IF(ISERROR(VLOOKUP($S$1071,'TAR FIN'!$A$1:$O$113,15,0)),0,VLOOKUP($S$1071,'TAR FIN'!$A$1:$O$113,15,0))</f>
        <v>0</v>
      </c>
      <c r="W1071" s="56">
        <f>IF(ISERROR(VLOOKUP($T$1071,'TAR FIN'!$A$1:$O$113,15,0)),0,VLOOKUP($T$1071,'TAR FIN'!$A$1:$O$113,15,0))*(1-0.04)</f>
        <v>49.219200000000001</v>
      </c>
      <c r="X1071" s="56">
        <f>IF(ISERROR(VLOOKUP($U$1071,'TAR FIN'!$A$1:$O$113,15,0)),0,VLOOKUP($U$1071,'TAR FIN'!$A$1:$O$113,15,0))*(1-0.04)</f>
        <v>213.41759999999999</v>
      </c>
      <c r="Y1071" s="56"/>
      <c r="Z1071" s="56">
        <f ca="1">('TUSD BE'!$AM$32+'TUSD BF'!$AM$32+'TUSD CVA'!$AM$32)*1*(1-0.02)</f>
        <v>63.70726143397826</v>
      </c>
      <c r="AA1071" s="56">
        <f>('TE BE'!$AA$11+'TE BF'!$AA$11+'TE CVA'!$AA$11)*1*(1-0.02)</f>
        <v>218.68270575803808</v>
      </c>
      <c r="AB1071" s="4">
        <f>$K$1071*$V$1071</f>
        <v>0</v>
      </c>
      <c r="AC1071" s="4">
        <f>$M$1071*$W$1071</f>
        <v>901.74496320000014</v>
      </c>
      <c r="AD1071" s="4">
        <f>$O$1071*$X$1071</f>
        <v>3910.0238496000002</v>
      </c>
      <c r="AE1071" s="4">
        <f>$K$1071*$Y$1071</f>
        <v>0</v>
      </c>
      <c r="AF1071" s="4">
        <f ca="1">$M$1071*$Z$1071</f>
        <v>1167.1807367319159</v>
      </c>
      <c r="AG1071" s="4">
        <f>$O$1071*$AA$1071</f>
        <v>4006.4858521930159</v>
      </c>
    </row>
    <row r="1072" spans="1:33" ht="11.25" customHeight="1" x14ac:dyDescent="0.25">
      <c r="A1072" s="3" t="s">
        <v>21</v>
      </c>
      <c r="B1072" s="3" t="s">
        <v>41</v>
      </c>
      <c r="C1072" s="3" t="s">
        <v>42</v>
      </c>
      <c r="D1072" s="3" t="s">
        <v>45</v>
      </c>
      <c r="E1072" s="3" t="s">
        <v>25</v>
      </c>
      <c r="F1072" s="3" t="s">
        <v>25</v>
      </c>
      <c r="G1072" s="3" t="s">
        <v>25</v>
      </c>
      <c r="H1072" s="3" t="s">
        <v>35</v>
      </c>
      <c r="I1072" s="6">
        <v>44378</v>
      </c>
      <c r="J1072" s="4">
        <v>0</v>
      </c>
      <c r="K1072" s="56">
        <v>0</v>
      </c>
      <c r="L1072" s="4">
        <v>859.16200000000003</v>
      </c>
      <c r="M1072" s="56">
        <v>859.16200000000003</v>
      </c>
      <c r="N1072" s="4">
        <v>859.16200000000003</v>
      </c>
      <c r="O1072" s="56">
        <v>859.16200000000003</v>
      </c>
      <c r="P1072" s="4">
        <v>0</v>
      </c>
      <c r="Q1072" s="3" t="s">
        <v>26</v>
      </c>
      <c r="R1072" s="3">
        <v>0</v>
      </c>
      <c r="S1072" s="4">
        <v>0</v>
      </c>
      <c r="T1072" s="4">
        <v>21</v>
      </c>
      <c r="U1072" s="4">
        <v>89</v>
      </c>
      <c r="V1072" s="56">
        <f>IF(ISERROR(VLOOKUP($S$1072,'TAR FIN'!$A$1:$O$113,15,0)),0,VLOOKUP($S$1072,'TAR FIN'!$A$1:$O$113,15,0))</f>
        <v>0</v>
      </c>
      <c r="W1072" s="56">
        <f>IF(ISERROR(VLOOKUP($T$1072,'TAR FIN'!$A$1:$O$113,15,0)),0,VLOOKUP($T$1072,'TAR FIN'!$A$1:$O$113,15,0))*(1-0.04)</f>
        <v>49.219200000000001</v>
      </c>
      <c r="X1072" s="56">
        <f>IF(ISERROR(VLOOKUP($U$1072,'TAR FIN'!$A$1:$O$113,15,0)),0,VLOOKUP($U$1072,'TAR FIN'!$A$1:$O$113,15,0))*(1-0.04)</f>
        <v>213.41759999999999</v>
      </c>
      <c r="Y1072" s="56"/>
      <c r="Z1072" s="56">
        <f ca="1">('TUSD BE'!$AM$32+'TUSD BF'!$AM$32+'TUSD CVA'!$AM$32)*1*(1-0.02)</f>
        <v>63.70726143397826</v>
      </c>
      <c r="AA1072" s="56">
        <f>('TE BE'!$AA$11+'TE BF'!$AA$11+'TE CVA'!$AA$11)*1*(1-0.02)</f>
        <v>218.68270575803808</v>
      </c>
      <c r="AB1072" s="4">
        <f>$K$1072*$V$1072</f>
        <v>0</v>
      </c>
      <c r="AC1072" s="4">
        <f>$M$1072*$W$1072</f>
        <v>42287.266310400002</v>
      </c>
      <c r="AD1072" s="4">
        <f>$O$1072*$X$1072</f>
        <v>183360.2920512</v>
      </c>
      <c r="AE1072" s="4">
        <f>$K$1072*$Y$1072</f>
        <v>0</v>
      </c>
      <c r="AF1072" s="4">
        <f ca="1">$M$1072*$Z$1072</f>
        <v>54734.858148139632</v>
      </c>
      <c r="AG1072" s="4">
        <f>$O$1072*$AA$1072</f>
        <v>187883.87084448751</v>
      </c>
    </row>
    <row r="1073" spans="1:33" ht="11.25" customHeight="1" x14ac:dyDescent="0.25">
      <c r="A1073" s="3" t="s">
        <v>27</v>
      </c>
      <c r="B1073" s="3" t="s">
        <v>41</v>
      </c>
      <c r="C1073" s="3" t="s">
        <v>42</v>
      </c>
      <c r="D1073" s="3" t="s">
        <v>45</v>
      </c>
      <c r="E1073" s="3" t="s">
        <v>25</v>
      </c>
      <c r="F1073" s="3" t="s">
        <v>25</v>
      </c>
      <c r="G1073" s="3" t="s">
        <v>25</v>
      </c>
      <c r="H1073" s="3" t="s">
        <v>35</v>
      </c>
      <c r="I1073" s="6">
        <v>44378</v>
      </c>
      <c r="J1073" s="4">
        <v>0</v>
      </c>
      <c r="K1073" s="56">
        <v>0</v>
      </c>
      <c r="L1073" s="4">
        <v>-0.316</v>
      </c>
      <c r="M1073" s="56">
        <v>-0.316</v>
      </c>
      <c r="N1073" s="4">
        <v>-0.316</v>
      </c>
      <c r="O1073" s="56">
        <v>-0.316</v>
      </c>
      <c r="P1073" s="4">
        <v>0</v>
      </c>
      <c r="Q1073" s="3" t="s">
        <v>26</v>
      </c>
      <c r="R1073" s="3">
        <v>0</v>
      </c>
      <c r="S1073" s="4">
        <v>0</v>
      </c>
      <c r="T1073" s="4">
        <v>21</v>
      </c>
      <c r="U1073" s="4">
        <v>89</v>
      </c>
      <c r="V1073" s="56">
        <f>IF(ISERROR(VLOOKUP($S$1073,'TAR FIN'!$A$1:$O$113,15,0)),0,VLOOKUP($S$1073,'TAR FIN'!$A$1:$O$113,15,0))</f>
        <v>0</v>
      </c>
      <c r="W1073" s="56">
        <f>IF(ISERROR(VLOOKUP($T$1073,'TAR FIN'!$A$1:$O$113,15,0)),0,VLOOKUP($T$1073,'TAR FIN'!$A$1:$O$113,15,0))*(1-0.04)</f>
        <v>49.219200000000001</v>
      </c>
      <c r="X1073" s="56">
        <f>IF(ISERROR(VLOOKUP($U$1073,'TAR FIN'!$A$1:$O$113,15,0)),0,VLOOKUP($U$1073,'TAR FIN'!$A$1:$O$113,15,0))*(1-0.04)</f>
        <v>213.41759999999999</v>
      </c>
      <c r="Y1073" s="56"/>
      <c r="Z1073" s="56">
        <f ca="1">('TUSD BE'!$AM$32+'TUSD BF'!$AM$32+'TUSD CVA'!$AM$32)*1*(1-0.02)</f>
        <v>63.70726143397826</v>
      </c>
      <c r="AA1073" s="56">
        <f>('TE BE'!$AA$11+'TE BF'!$AA$11+'TE CVA'!$AA$11)*1*(1-0.02)</f>
        <v>218.68270575803808</v>
      </c>
      <c r="AB1073" s="4">
        <f>$K$1073*$V$1073</f>
        <v>0</v>
      </c>
      <c r="AC1073" s="4">
        <f>$M$1073*$W$1073</f>
        <v>-15.553267200000001</v>
      </c>
      <c r="AD1073" s="4">
        <f>$O$1073*$X$1073</f>
        <v>-67.439961600000004</v>
      </c>
      <c r="AE1073" s="4">
        <f>$K$1073*$Y$1073</f>
        <v>0</v>
      </c>
      <c r="AF1073" s="4">
        <f ca="1">$M$1073*$Z$1073</f>
        <v>-20.131494613137132</v>
      </c>
      <c r="AG1073" s="4">
        <f>$O$1073*$AA$1073</f>
        <v>-69.103735019540039</v>
      </c>
    </row>
    <row r="1074" spans="1:33" ht="11.25" customHeight="1" x14ac:dyDescent="0.25">
      <c r="A1074" s="3" t="s">
        <v>28</v>
      </c>
      <c r="B1074" s="3" t="s">
        <v>41</v>
      </c>
      <c r="C1074" s="3" t="s">
        <v>42</v>
      </c>
      <c r="D1074" s="3" t="s">
        <v>45</v>
      </c>
      <c r="E1074" s="3" t="s">
        <v>25</v>
      </c>
      <c r="F1074" s="3" t="s">
        <v>25</v>
      </c>
      <c r="G1074" s="3" t="s">
        <v>25</v>
      </c>
      <c r="H1074" s="3" t="s">
        <v>35</v>
      </c>
      <c r="I1074" s="6">
        <v>44378</v>
      </c>
      <c r="J1074" s="4">
        <v>0</v>
      </c>
      <c r="K1074" s="56">
        <v>0</v>
      </c>
      <c r="L1074" s="4">
        <v>9.6159999999999997</v>
      </c>
      <c r="M1074" s="56">
        <v>9.6159999999999997</v>
      </c>
      <c r="N1074" s="4">
        <v>9.6159999999999997</v>
      </c>
      <c r="O1074" s="56">
        <v>9.6159999999999997</v>
      </c>
      <c r="P1074" s="4">
        <v>0</v>
      </c>
      <c r="Q1074" s="3" t="s">
        <v>26</v>
      </c>
      <c r="R1074" s="3">
        <v>0</v>
      </c>
      <c r="S1074" s="4">
        <v>0</v>
      </c>
      <c r="T1074" s="4">
        <v>21</v>
      </c>
      <c r="U1074" s="4">
        <v>89</v>
      </c>
      <c r="V1074" s="56">
        <f>IF(ISERROR(VLOOKUP($S$1074,'TAR FIN'!$A$1:$O$113,15,0)),0,VLOOKUP($S$1074,'TAR FIN'!$A$1:$O$113,15,0))</f>
        <v>0</v>
      </c>
      <c r="W1074" s="56">
        <f>IF(ISERROR(VLOOKUP($T$1074,'TAR FIN'!$A$1:$O$113,15,0)),0,VLOOKUP($T$1074,'TAR FIN'!$A$1:$O$113,15,0))*(1-0.04)</f>
        <v>49.219200000000001</v>
      </c>
      <c r="X1074" s="56">
        <f>IF(ISERROR(VLOOKUP($U$1074,'TAR FIN'!$A$1:$O$113,15,0)),0,VLOOKUP($U$1074,'TAR FIN'!$A$1:$O$113,15,0))*(1-0.04)</f>
        <v>213.41759999999999</v>
      </c>
      <c r="Y1074" s="56"/>
      <c r="Z1074" s="56">
        <f ca="1">('TUSD BE'!$AM$32+'TUSD BF'!$AM$32+'TUSD CVA'!$AM$32)*1*(1-0.02)</f>
        <v>63.70726143397826</v>
      </c>
      <c r="AA1074" s="56">
        <f>('TE BE'!$AA$11+'TE BF'!$AA$11+'TE CVA'!$AA$11)*1*(1-0.02)</f>
        <v>218.68270575803808</v>
      </c>
      <c r="AB1074" s="4">
        <f>$K$1074*$V$1074</f>
        <v>0</v>
      </c>
      <c r="AC1074" s="4">
        <f>$M$1074*$W$1074</f>
        <v>473.2918272</v>
      </c>
      <c r="AD1074" s="4">
        <f>$O$1074*$X$1074</f>
        <v>2052.2236416000001</v>
      </c>
      <c r="AE1074" s="4">
        <f>$K$1074*$Y$1074</f>
        <v>0</v>
      </c>
      <c r="AF1074" s="4">
        <f ca="1">$M$1074*$Z$1074</f>
        <v>612.60902594913489</v>
      </c>
      <c r="AG1074" s="4">
        <f>$O$1074*$AA$1074</f>
        <v>2102.8528985692942</v>
      </c>
    </row>
    <row r="1075" spans="1:33" ht="11.25" customHeight="1" x14ac:dyDescent="0.25">
      <c r="A1075" s="3" t="s">
        <v>21</v>
      </c>
      <c r="B1075" s="3" t="s">
        <v>41</v>
      </c>
      <c r="C1075" s="3" t="s">
        <v>42</v>
      </c>
      <c r="D1075" s="3" t="s">
        <v>45</v>
      </c>
      <c r="E1075" s="3" t="s">
        <v>25</v>
      </c>
      <c r="F1075" s="3" t="s">
        <v>25</v>
      </c>
      <c r="G1075" s="3" t="s">
        <v>25</v>
      </c>
      <c r="H1075" s="3" t="s">
        <v>35</v>
      </c>
      <c r="I1075" s="6">
        <v>44409</v>
      </c>
      <c r="J1075" s="4">
        <v>0</v>
      </c>
      <c r="K1075" s="56">
        <v>0</v>
      </c>
      <c r="L1075" s="4">
        <v>1255.989</v>
      </c>
      <c r="M1075" s="56">
        <v>1255.989</v>
      </c>
      <c r="N1075" s="4">
        <v>1255.989</v>
      </c>
      <c r="O1075" s="56">
        <v>1255.989</v>
      </c>
      <c r="P1075" s="4">
        <v>0</v>
      </c>
      <c r="Q1075" s="3" t="s">
        <v>26</v>
      </c>
      <c r="R1075" s="3">
        <v>0</v>
      </c>
      <c r="S1075" s="4">
        <v>0</v>
      </c>
      <c r="T1075" s="4">
        <v>21</v>
      </c>
      <c r="U1075" s="4">
        <v>89</v>
      </c>
      <c r="V1075" s="56">
        <f>IF(ISERROR(VLOOKUP($S$1075,'TAR FIN'!$A$1:$O$113,15,0)),0,VLOOKUP($S$1075,'TAR FIN'!$A$1:$O$113,15,0))</f>
        <v>0</v>
      </c>
      <c r="W1075" s="56">
        <f>IF(ISERROR(VLOOKUP($T$1075,'TAR FIN'!$A$1:$O$113,15,0)),0,VLOOKUP($T$1075,'TAR FIN'!$A$1:$O$113,15,0))*(1-0.04)</f>
        <v>49.219200000000001</v>
      </c>
      <c r="X1075" s="56">
        <f>IF(ISERROR(VLOOKUP($U$1075,'TAR FIN'!$A$1:$O$113,15,0)),0,VLOOKUP($U$1075,'TAR FIN'!$A$1:$O$113,15,0))*(1-0.04)</f>
        <v>213.41759999999999</v>
      </c>
      <c r="Y1075" s="56"/>
      <c r="Z1075" s="56">
        <f ca="1">('TUSD BE'!$AM$32+'TUSD BF'!$AM$32+'TUSD CVA'!$AM$32)*1*(1-0.02)</f>
        <v>63.70726143397826</v>
      </c>
      <c r="AA1075" s="56">
        <f>('TE BE'!$AA$11+'TE BF'!$AA$11+'TE CVA'!$AA$11)*1*(1-0.02)</f>
        <v>218.68270575803808</v>
      </c>
      <c r="AB1075" s="4">
        <f>$K$1075*$V$1075</f>
        <v>0</v>
      </c>
      <c r="AC1075" s="4">
        <f>$M$1075*$W$1075</f>
        <v>61818.773788800005</v>
      </c>
      <c r="AD1075" s="4">
        <f>$O$1075*$X$1075</f>
        <v>268050.15800639999</v>
      </c>
      <c r="AE1075" s="4">
        <f>$K$1075*$Y$1075</f>
        <v>0</v>
      </c>
      <c r="AF1075" s="4">
        <f ca="1">$M$1075*$Z$1075</f>
        <v>80015.619581200925</v>
      </c>
      <c r="AG1075" s="4">
        <f>$O$1075*$AA$1075</f>
        <v>274663.0729223325</v>
      </c>
    </row>
    <row r="1076" spans="1:33" ht="11.25" customHeight="1" x14ac:dyDescent="0.25">
      <c r="A1076" s="3" t="s">
        <v>27</v>
      </c>
      <c r="B1076" s="3" t="s">
        <v>41</v>
      </c>
      <c r="C1076" s="3" t="s">
        <v>42</v>
      </c>
      <c r="D1076" s="3" t="s">
        <v>45</v>
      </c>
      <c r="E1076" s="3" t="s">
        <v>25</v>
      </c>
      <c r="F1076" s="3" t="s">
        <v>25</v>
      </c>
      <c r="G1076" s="3" t="s">
        <v>25</v>
      </c>
      <c r="H1076" s="3" t="s">
        <v>35</v>
      </c>
      <c r="I1076" s="6">
        <v>44409</v>
      </c>
      <c r="J1076" s="4">
        <v>0</v>
      </c>
      <c r="K1076" s="56">
        <v>0</v>
      </c>
      <c r="L1076" s="4">
        <v>-0.4</v>
      </c>
      <c r="M1076" s="56">
        <v>-0.4</v>
      </c>
      <c r="N1076" s="4">
        <v>-0.4</v>
      </c>
      <c r="O1076" s="56">
        <v>-0.4</v>
      </c>
      <c r="P1076" s="4">
        <v>0</v>
      </c>
      <c r="Q1076" s="3" t="s">
        <v>26</v>
      </c>
      <c r="R1076" s="3">
        <v>0</v>
      </c>
      <c r="S1076" s="4">
        <v>0</v>
      </c>
      <c r="T1076" s="4">
        <v>21</v>
      </c>
      <c r="U1076" s="4">
        <v>89</v>
      </c>
      <c r="V1076" s="56">
        <f>IF(ISERROR(VLOOKUP($S$1076,'TAR FIN'!$A$1:$O$113,15,0)),0,VLOOKUP($S$1076,'TAR FIN'!$A$1:$O$113,15,0))</f>
        <v>0</v>
      </c>
      <c r="W1076" s="56">
        <f>IF(ISERROR(VLOOKUP($T$1076,'TAR FIN'!$A$1:$O$113,15,0)),0,VLOOKUP($T$1076,'TAR FIN'!$A$1:$O$113,15,0))*(1-0.04)</f>
        <v>49.219200000000001</v>
      </c>
      <c r="X1076" s="56">
        <f>IF(ISERROR(VLOOKUP($U$1076,'TAR FIN'!$A$1:$O$113,15,0)),0,VLOOKUP($U$1076,'TAR FIN'!$A$1:$O$113,15,0))*(1-0.04)</f>
        <v>213.41759999999999</v>
      </c>
      <c r="Y1076" s="56"/>
      <c r="Z1076" s="56">
        <f ca="1">('TUSD BE'!$AM$32+'TUSD BF'!$AM$32+'TUSD CVA'!$AM$32)*1*(1-0.02)</f>
        <v>63.70726143397826</v>
      </c>
      <c r="AA1076" s="56">
        <f>('TE BE'!$AA$11+'TE BF'!$AA$11+'TE CVA'!$AA$11)*1*(1-0.02)</f>
        <v>218.68270575803808</v>
      </c>
      <c r="AB1076" s="4">
        <f>$K$1076*$V$1076</f>
        <v>0</v>
      </c>
      <c r="AC1076" s="4">
        <f>$M$1076*$W$1076</f>
        <v>-19.68768</v>
      </c>
      <c r="AD1076" s="4">
        <f>$O$1076*$X$1076</f>
        <v>-85.367040000000003</v>
      </c>
      <c r="AE1076" s="4">
        <f>$K$1076*$Y$1076</f>
        <v>0</v>
      </c>
      <c r="AF1076" s="4">
        <f ca="1">$M$1076*$Z$1076</f>
        <v>-25.482904573591306</v>
      </c>
      <c r="AG1076" s="4">
        <f>$O$1076*$AA$1076</f>
        <v>-87.473082303215236</v>
      </c>
    </row>
    <row r="1077" spans="1:33" ht="11.25" customHeight="1" x14ac:dyDescent="0.25">
      <c r="A1077" s="3" t="s">
        <v>28</v>
      </c>
      <c r="B1077" s="3" t="s">
        <v>41</v>
      </c>
      <c r="C1077" s="3" t="s">
        <v>42</v>
      </c>
      <c r="D1077" s="3" t="s">
        <v>45</v>
      </c>
      <c r="E1077" s="3" t="s">
        <v>25</v>
      </c>
      <c r="F1077" s="3" t="s">
        <v>25</v>
      </c>
      <c r="G1077" s="3" t="s">
        <v>25</v>
      </c>
      <c r="H1077" s="3" t="s">
        <v>35</v>
      </c>
      <c r="I1077" s="6">
        <v>44409</v>
      </c>
      <c r="J1077" s="4">
        <v>0</v>
      </c>
      <c r="K1077" s="56">
        <v>0</v>
      </c>
      <c r="L1077" s="4">
        <v>13.866</v>
      </c>
      <c r="M1077" s="56">
        <v>13.866</v>
      </c>
      <c r="N1077" s="4">
        <v>13.866</v>
      </c>
      <c r="O1077" s="56">
        <v>13.866</v>
      </c>
      <c r="P1077" s="4">
        <v>0</v>
      </c>
      <c r="Q1077" s="3" t="s">
        <v>26</v>
      </c>
      <c r="R1077" s="3">
        <v>0</v>
      </c>
      <c r="S1077" s="4">
        <v>0</v>
      </c>
      <c r="T1077" s="4">
        <v>21</v>
      </c>
      <c r="U1077" s="4">
        <v>89</v>
      </c>
      <c r="V1077" s="56">
        <f>IF(ISERROR(VLOOKUP($S$1077,'TAR FIN'!$A$1:$O$113,15,0)),0,VLOOKUP($S$1077,'TAR FIN'!$A$1:$O$113,15,0))</f>
        <v>0</v>
      </c>
      <c r="W1077" s="56">
        <f>IF(ISERROR(VLOOKUP($T$1077,'TAR FIN'!$A$1:$O$113,15,0)),0,VLOOKUP($T$1077,'TAR FIN'!$A$1:$O$113,15,0))*(1-0.04)</f>
        <v>49.219200000000001</v>
      </c>
      <c r="X1077" s="56">
        <f>IF(ISERROR(VLOOKUP($U$1077,'TAR FIN'!$A$1:$O$113,15,0)),0,VLOOKUP($U$1077,'TAR FIN'!$A$1:$O$113,15,0))*(1-0.04)</f>
        <v>213.41759999999999</v>
      </c>
      <c r="Y1077" s="56"/>
      <c r="Z1077" s="56">
        <f ca="1">('TUSD BE'!$AM$32+'TUSD BF'!$AM$32+'TUSD CVA'!$AM$32)*1*(1-0.02)</f>
        <v>63.70726143397826</v>
      </c>
      <c r="AA1077" s="56">
        <f>('TE BE'!$AA$11+'TE BF'!$AA$11+'TE CVA'!$AA$11)*1*(1-0.02)</f>
        <v>218.68270575803808</v>
      </c>
      <c r="AB1077" s="4">
        <f>$K$1077*$V$1077</f>
        <v>0</v>
      </c>
      <c r="AC1077" s="4">
        <f>$M$1077*$W$1077</f>
        <v>682.47342719999995</v>
      </c>
      <c r="AD1077" s="4">
        <f>$O$1077*$X$1077</f>
        <v>2959.2484415999998</v>
      </c>
      <c r="AE1077" s="4">
        <f>$K$1077*$Y$1077</f>
        <v>0</v>
      </c>
      <c r="AF1077" s="4">
        <f ca="1">$M$1077*$Z$1077</f>
        <v>883.36488704354258</v>
      </c>
      <c r="AG1077" s="4">
        <f>$O$1077*$AA$1077</f>
        <v>3032.2543980409559</v>
      </c>
    </row>
    <row r="1078" spans="1:33" ht="11.25" customHeight="1" x14ac:dyDescent="0.25">
      <c r="A1078" s="3" t="s">
        <v>21</v>
      </c>
      <c r="B1078" s="3" t="s">
        <v>41</v>
      </c>
      <c r="C1078" s="3" t="s">
        <v>42</v>
      </c>
      <c r="D1078" s="3" t="s">
        <v>45</v>
      </c>
      <c r="E1078" s="3" t="s">
        <v>25</v>
      </c>
      <c r="F1078" s="3" t="s">
        <v>25</v>
      </c>
      <c r="G1078" s="3" t="s">
        <v>25</v>
      </c>
      <c r="H1078" s="3" t="s">
        <v>35</v>
      </c>
      <c r="I1078" s="6">
        <v>44440</v>
      </c>
      <c r="J1078" s="4">
        <v>0</v>
      </c>
      <c r="K1078" s="56">
        <v>0</v>
      </c>
      <c r="L1078" s="4">
        <v>1824.4749999999999</v>
      </c>
      <c r="M1078" s="56">
        <v>1824.4749999999999</v>
      </c>
      <c r="N1078" s="4">
        <v>1824.4749999999999</v>
      </c>
      <c r="O1078" s="56">
        <v>1824.4749999999999</v>
      </c>
      <c r="P1078" s="4">
        <v>0</v>
      </c>
      <c r="Q1078" s="3" t="s">
        <v>26</v>
      </c>
      <c r="R1078" s="3">
        <v>0</v>
      </c>
      <c r="S1078" s="4">
        <v>0</v>
      </c>
      <c r="T1078" s="4">
        <v>21</v>
      </c>
      <c r="U1078" s="4">
        <v>89</v>
      </c>
      <c r="V1078" s="56">
        <f>IF(ISERROR(VLOOKUP($S$1078,'TAR FIN'!$A$1:$O$113,15,0)),0,VLOOKUP($S$1078,'TAR FIN'!$A$1:$O$113,15,0))</f>
        <v>0</v>
      </c>
      <c r="W1078" s="56">
        <f>IF(ISERROR(VLOOKUP($T$1078,'TAR FIN'!$A$1:$O$113,15,0)),0,VLOOKUP($T$1078,'TAR FIN'!$A$1:$O$113,15,0))*(1-0.04)</f>
        <v>49.219200000000001</v>
      </c>
      <c r="X1078" s="56">
        <f>IF(ISERROR(VLOOKUP($U$1078,'TAR FIN'!$A$1:$O$113,15,0)),0,VLOOKUP($U$1078,'TAR FIN'!$A$1:$O$113,15,0))*(1-0.04)</f>
        <v>213.41759999999999</v>
      </c>
      <c r="Y1078" s="56"/>
      <c r="Z1078" s="56">
        <f ca="1">('TUSD BE'!$AM$32+'TUSD BF'!$AM$32+'TUSD CVA'!$AM$32)*1*(1-0.02)</f>
        <v>63.70726143397826</v>
      </c>
      <c r="AA1078" s="56">
        <f>('TE BE'!$AA$11+'TE BF'!$AA$11+'TE CVA'!$AA$11)*1*(1-0.02)</f>
        <v>218.68270575803808</v>
      </c>
      <c r="AB1078" s="4">
        <f>$K$1078*$V$1078</f>
        <v>0</v>
      </c>
      <c r="AC1078" s="4">
        <f>$M$1078*$W$1078</f>
        <v>89799.199919999999</v>
      </c>
      <c r="AD1078" s="4">
        <f>$O$1078*$X$1078</f>
        <v>389375.07575999998</v>
      </c>
      <c r="AE1078" s="4">
        <f>$K$1078*$Y$1078</f>
        <v>0</v>
      </c>
      <c r="AF1078" s="4">
        <f ca="1">$M$1078*$Z$1078</f>
        <v>116232.30580475747</v>
      </c>
      <c r="AG1078" s="4">
        <f>$O$1078*$AA$1078</f>
        <v>398981.12958789652</v>
      </c>
    </row>
    <row r="1079" spans="1:33" ht="11.25" customHeight="1" x14ac:dyDescent="0.25">
      <c r="A1079" s="3" t="s">
        <v>28</v>
      </c>
      <c r="B1079" s="3" t="s">
        <v>41</v>
      </c>
      <c r="C1079" s="3" t="s">
        <v>42</v>
      </c>
      <c r="D1079" s="3" t="s">
        <v>45</v>
      </c>
      <c r="E1079" s="3" t="s">
        <v>25</v>
      </c>
      <c r="F1079" s="3" t="s">
        <v>25</v>
      </c>
      <c r="G1079" s="3" t="s">
        <v>25</v>
      </c>
      <c r="H1079" s="3" t="s">
        <v>35</v>
      </c>
      <c r="I1079" s="6">
        <v>44440</v>
      </c>
      <c r="J1079" s="4">
        <v>0</v>
      </c>
      <c r="K1079" s="56">
        <v>0</v>
      </c>
      <c r="L1079" s="4">
        <v>5.452</v>
      </c>
      <c r="M1079" s="56">
        <v>5.452</v>
      </c>
      <c r="N1079" s="4">
        <v>5.452</v>
      </c>
      <c r="O1079" s="56">
        <v>5.452</v>
      </c>
      <c r="P1079" s="4">
        <v>0</v>
      </c>
      <c r="Q1079" s="3" t="s">
        <v>26</v>
      </c>
      <c r="R1079" s="3">
        <v>0</v>
      </c>
      <c r="S1079" s="4">
        <v>0</v>
      </c>
      <c r="T1079" s="4">
        <v>21</v>
      </c>
      <c r="U1079" s="4">
        <v>89</v>
      </c>
      <c r="V1079" s="56">
        <f>IF(ISERROR(VLOOKUP($S$1079,'TAR FIN'!$A$1:$O$113,15,0)),0,VLOOKUP($S$1079,'TAR FIN'!$A$1:$O$113,15,0))</f>
        <v>0</v>
      </c>
      <c r="W1079" s="56">
        <f>IF(ISERROR(VLOOKUP($T$1079,'TAR FIN'!$A$1:$O$113,15,0)),0,VLOOKUP($T$1079,'TAR FIN'!$A$1:$O$113,15,0))*(1-0.04)</f>
        <v>49.219200000000001</v>
      </c>
      <c r="X1079" s="56">
        <f>IF(ISERROR(VLOOKUP($U$1079,'TAR FIN'!$A$1:$O$113,15,0)),0,VLOOKUP($U$1079,'TAR FIN'!$A$1:$O$113,15,0))*(1-0.04)</f>
        <v>213.41759999999999</v>
      </c>
      <c r="Y1079" s="56"/>
      <c r="Z1079" s="56">
        <f ca="1">('TUSD BE'!$AM$32+'TUSD BF'!$AM$32+'TUSD CVA'!$AM$32)*1*(1-0.02)</f>
        <v>63.70726143397826</v>
      </c>
      <c r="AA1079" s="56">
        <f>('TE BE'!$AA$11+'TE BF'!$AA$11+'TE CVA'!$AA$11)*1*(1-0.02)</f>
        <v>218.68270575803808</v>
      </c>
      <c r="AB1079" s="4">
        <f>$K$1079*$V$1079</f>
        <v>0</v>
      </c>
      <c r="AC1079" s="4">
        <f>$M$1079*$W$1079</f>
        <v>268.34307840000002</v>
      </c>
      <c r="AD1079" s="4">
        <f>$O$1079*$X$1079</f>
        <v>1163.5527551999999</v>
      </c>
      <c r="AE1079" s="4">
        <f>$K$1079*$Y$1079</f>
        <v>0</v>
      </c>
      <c r="AF1079" s="4">
        <f ca="1">$M$1079*$Z$1079</f>
        <v>347.33198933804948</v>
      </c>
      <c r="AG1079" s="4">
        <f>$O$1079*$AA$1079</f>
        <v>1192.2581117928237</v>
      </c>
    </row>
    <row r="1080" spans="1:33" ht="11.25" customHeight="1" x14ac:dyDescent="0.25">
      <c r="A1080" s="3" t="s">
        <v>21</v>
      </c>
      <c r="B1080" s="3" t="s">
        <v>41</v>
      </c>
      <c r="C1080" s="3" t="s">
        <v>42</v>
      </c>
      <c r="D1080" s="3" t="s">
        <v>45</v>
      </c>
      <c r="E1080" s="3" t="s">
        <v>25</v>
      </c>
      <c r="F1080" s="3" t="s">
        <v>25</v>
      </c>
      <c r="G1080" s="3" t="s">
        <v>25</v>
      </c>
      <c r="H1080" s="3" t="s">
        <v>35</v>
      </c>
      <c r="I1080" s="6">
        <v>44470</v>
      </c>
      <c r="J1080" s="4">
        <v>0</v>
      </c>
      <c r="K1080" s="56">
        <v>0</v>
      </c>
      <c r="L1080" s="4">
        <v>2460.4290000000001</v>
      </c>
      <c r="M1080" s="56">
        <v>2460.4290000000001</v>
      </c>
      <c r="N1080" s="4">
        <v>2460.4290000000001</v>
      </c>
      <c r="O1080" s="56">
        <v>2460.4290000000001</v>
      </c>
      <c r="P1080" s="4">
        <v>0</v>
      </c>
      <c r="Q1080" s="3" t="s">
        <v>26</v>
      </c>
      <c r="R1080" s="3">
        <v>0</v>
      </c>
      <c r="S1080" s="4">
        <v>0</v>
      </c>
      <c r="T1080" s="4">
        <v>21</v>
      </c>
      <c r="U1080" s="4">
        <v>89</v>
      </c>
      <c r="V1080" s="56">
        <f>IF(ISERROR(VLOOKUP($S$1080,'TAR FIN'!$A$1:$O$113,15,0)),0,VLOOKUP($S$1080,'TAR FIN'!$A$1:$O$113,15,0))</f>
        <v>0</v>
      </c>
      <c r="W1080" s="56">
        <f>IF(ISERROR(VLOOKUP($T$1080,'TAR FIN'!$A$1:$O$113,15,0)),0,VLOOKUP($T$1080,'TAR FIN'!$A$1:$O$113,15,0))*(1-0.04)</f>
        <v>49.219200000000001</v>
      </c>
      <c r="X1080" s="56">
        <f>IF(ISERROR(VLOOKUP($U$1080,'TAR FIN'!$A$1:$O$113,15,0)),0,VLOOKUP($U$1080,'TAR FIN'!$A$1:$O$113,15,0))*(1-0.04)</f>
        <v>213.41759999999999</v>
      </c>
      <c r="Y1080" s="56"/>
      <c r="Z1080" s="56">
        <f ca="1">('TUSD BE'!$AM$32+'TUSD BF'!$AM$32+'TUSD CVA'!$AM$32)*1*(1-0.02)</f>
        <v>63.70726143397826</v>
      </c>
      <c r="AA1080" s="56">
        <f>('TE BE'!$AA$11+'TE BF'!$AA$11+'TE CVA'!$AA$11)*1*(1-0.02)</f>
        <v>218.68270575803808</v>
      </c>
      <c r="AB1080" s="4">
        <f>$K$1080*$V$1080</f>
        <v>0</v>
      </c>
      <c r="AC1080" s="4">
        <f>$M$1080*$W$1080</f>
        <v>121100.34703680001</v>
      </c>
      <c r="AD1080" s="4">
        <f>$O$1080*$X$1080</f>
        <v>525098.85215040005</v>
      </c>
      <c r="AE1080" s="4">
        <f>$K$1080*$Y$1080</f>
        <v>0</v>
      </c>
      <c r="AF1080" s="4">
        <f ca="1">$M$1080*$Z$1080</f>
        <v>156747.1935427417</v>
      </c>
      <c r="AG1080" s="4">
        <f>$O$1080*$AA$1080</f>
        <v>538053.27104554395</v>
      </c>
    </row>
    <row r="1081" spans="1:33" ht="11.25" customHeight="1" x14ac:dyDescent="0.25">
      <c r="A1081" s="3" t="s">
        <v>28</v>
      </c>
      <c r="B1081" s="3" t="s">
        <v>41</v>
      </c>
      <c r="C1081" s="3" t="s">
        <v>42</v>
      </c>
      <c r="D1081" s="3" t="s">
        <v>45</v>
      </c>
      <c r="E1081" s="3" t="s">
        <v>25</v>
      </c>
      <c r="F1081" s="3" t="s">
        <v>25</v>
      </c>
      <c r="G1081" s="3" t="s">
        <v>25</v>
      </c>
      <c r="H1081" s="3" t="s">
        <v>35</v>
      </c>
      <c r="I1081" s="6">
        <v>44470</v>
      </c>
      <c r="J1081" s="4">
        <v>0</v>
      </c>
      <c r="K1081" s="56">
        <v>0</v>
      </c>
      <c r="L1081" s="4">
        <v>18.899999999999999</v>
      </c>
      <c r="M1081" s="56">
        <v>18.899999999999999</v>
      </c>
      <c r="N1081" s="4">
        <v>18.899999999999999</v>
      </c>
      <c r="O1081" s="56">
        <v>18.899999999999999</v>
      </c>
      <c r="P1081" s="4">
        <v>0</v>
      </c>
      <c r="Q1081" s="3" t="s">
        <v>26</v>
      </c>
      <c r="R1081" s="3">
        <v>0</v>
      </c>
      <c r="S1081" s="4">
        <v>0</v>
      </c>
      <c r="T1081" s="4">
        <v>21</v>
      </c>
      <c r="U1081" s="4">
        <v>89</v>
      </c>
      <c r="V1081" s="56">
        <f>IF(ISERROR(VLOOKUP($S$1081,'TAR FIN'!$A$1:$O$113,15,0)),0,VLOOKUP($S$1081,'TAR FIN'!$A$1:$O$113,15,0))</f>
        <v>0</v>
      </c>
      <c r="W1081" s="56">
        <f>IF(ISERROR(VLOOKUP($T$1081,'TAR FIN'!$A$1:$O$113,15,0)),0,VLOOKUP($T$1081,'TAR FIN'!$A$1:$O$113,15,0))*(1-0.04)</f>
        <v>49.219200000000001</v>
      </c>
      <c r="X1081" s="56">
        <f>IF(ISERROR(VLOOKUP($U$1081,'TAR FIN'!$A$1:$O$113,15,0)),0,VLOOKUP($U$1081,'TAR FIN'!$A$1:$O$113,15,0))*(1-0.04)</f>
        <v>213.41759999999999</v>
      </c>
      <c r="Y1081" s="56"/>
      <c r="Z1081" s="56">
        <f ca="1">('TUSD BE'!$AM$32+'TUSD BF'!$AM$32+'TUSD CVA'!$AM$32)*1*(1-0.02)</f>
        <v>63.70726143397826</v>
      </c>
      <c r="AA1081" s="56">
        <f>('TE BE'!$AA$11+'TE BF'!$AA$11+'TE CVA'!$AA$11)*1*(1-0.02)</f>
        <v>218.68270575803808</v>
      </c>
      <c r="AB1081" s="4">
        <f>$K$1081*$V$1081</f>
        <v>0</v>
      </c>
      <c r="AC1081" s="4">
        <f>$M$1081*$W$1081</f>
        <v>930.2428799999999</v>
      </c>
      <c r="AD1081" s="4">
        <f>$O$1081*$X$1081</f>
        <v>4033.5926399999994</v>
      </c>
      <c r="AE1081" s="4">
        <f>$K$1081*$Y$1081</f>
        <v>0</v>
      </c>
      <c r="AF1081" s="4">
        <f ca="1">$M$1081*$Z$1081</f>
        <v>1204.067241102189</v>
      </c>
      <c r="AG1081" s="4">
        <f>$O$1081*$AA$1081</f>
        <v>4133.1031388269193</v>
      </c>
    </row>
    <row r="1082" spans="1:33" ht="11.25" customHeight="1" x14ac:dyDescent="0.25">
      <c r="A1082" s="3" t="s">
        <v>28</v>
      </c>
      <c r="B1082" s="3" t="s">
        <v>41</v>
      </c>
      <c r="C1082" s="3" t="s">
        <v>42</v>
      </c>
      <c r="D1082" s="3" t="s">
        <v>45</v>
      </c>
      <c r="E1082" s="3" t="s">
        <v>25</v>
      </c>
      <c r="F1082" s="3" t="s">
        <v>25</v>
      </c>
      <c r="G1082" s="3" t="s">
        <v>25</v>
      </c>
      <c r="H1082" s="3" t="s">
        <v>35</v>
      </c>
      <c r="I1082" s="6">
        <v>44470</v>
      </c>
      <c r="J1082" s="4">
        <v>0</v>
      </c>
      <c r="K1082" s="56">
        <v>0</v>
      </c>
      <c r="L1082" s="4">
        <v>-18.718</v>
      </c>
      <c r="M1082" s="56">
        <v>-18.718</v>
      </c>
      <c r="N1082" s="4">
        <v>-18.718</v>
      </c>
      <c r="O1082" s="56">
        <v>-18.718</v>
      </c>
      <c r="P1082" s="4">
        <v>0</v>
      </c>
      <c r="Q1082" s="3" t="s">
        <v>26</v>
      </c>
      <c r="R1082" s="3">
        <v>0</v>
      </c>
      <c r="S1082" s="4">
        <v>0</v>
      </c>
      <c r="T1082" s="4">
        <v>21</v>
      </c>
      <c r="U1082" s="4">
        <v>89</v>
      </c>
      <c r="V1082" s="56">
        <f>IF(ISERROR(VLOOKUP($S$1082,'TAR FIN'!$A$1:$O$113,15,0)),0,VLOOKUP($S$1082,'TAR FIN'!$A$1:$O$113,15,0))</f>
        <v>0</v>
      </c>
      <c r="W1082" s="56">
        <f>IF(ISERROR(VLOOKUP($T$1082,'TAR FIN'!$A$1:$O$113,15,0)),0,VLOOKUP($T$1082,'TAR FIN'!$A$1:$O$113,15,0))*(1-0.04)</f>
        <v>49.219200000000001</v>
      </c>
      <c r="X1082" s="56">
        <f>IF(ISERROR(VLOOKUP($U$1082,'TAR FIN'!$A$1:$O$113,15,0)),0,VLOOKUP($U$1082,'TAR FIN'!$A$1:$O$113,15,0))*(1-0.04)</f>
        <v>213.41759999999999</v>
      </c>
      <c r="Y1082" s="56"/>
      <c r="Z1082" s="56">
        <f ca="1">('TUSD BE'!$AM$32+'TUSD BF'!$AM$32+'TUSD CVA'!$AM$32)*1*(1-0.02)</f>
        <v>63.70726143397826</v>
      </c>
      <c r="AA1082" s="56">
        <f>('TE BE'!$AA$11+'TE BF'!$AA$11+'TE CVA'!$AA$11)*1*(1-0.02)</f>
        <v>218.68270575803808</v>
      </c>
      <c r="AB1082" s="4">
        <f>$K$1082*$V$1082</f>
        <v>0</v>
      </c>
      <c r="AC1082" s="4">
        <f>$M$1082*$W$1082</f>
        <v>-921.28498560000003</v>
      </c>
      <c r="AD1082" s="4">
        <f>$O$1082*$X$1082</f>
        <v>-3994.7506367999999</v>
      </c>
      <c r="AE1082" s="4">
        <f>$K$1082*$Y$1082</f>
        <v>0</v>
      </c>
      <c r="AF1082" s="4">
        <f ca="1">$M$1082*$Z$1082</f>
        <v>-1192.4725195212052</v>
      </c>
      <c r="AG1082" s="4">
        <f>$O$1082*$AA$1082</f>
        <v>-4093.3028863789568</v>
      </c>
    </row>
    <row r="1083" spans="1:33" ht="11.25" customHeight="1" x14ac:dyDescent="0.25">
      <c r="A1083" s="3" t="s">
        <v>21</v>
      </c>
      <c r="B1083" s="3" t="s">
        <v>41</v>
      </c>
      <c r="C1083" s="3" t="s">
        <v>42</v>
      </c>
      <c r="D1083" s="3" t="s">
        <v>45</v>
      </c>
      <c r="E1083" s="3" t="s">
        <v>25</v>
      </c>
      <c r="F1083" s="3" t="s">
        <v>25</v>
      </c>
      <c r="G1083" s="3" t="s">
        <v>25</v>
      </c>
      <c r="H1083" s="3" t="s">
        <v>35</v>
      </c>
      <c r="I1083" s="6">
        <v>44501</v>
      </c>
      <c r="J1083" s="4">
        <v>0</v>
      </c>
      <c r="K1083" s="56">
        <v>0</v>
      </c>
      <c r="L1083" s="4">
        <v>2212.509</v>
      </c>
      <c r="M1083" s="56">
        <v>2212.509</v>
      </c>
      <c r="N1083" s="4">
        <v>2212.509</v>
      </c>
      <c r="O1083" s="56">
        <v>2212.509</v>
      </c>
      <c r="P1083" s="4">
        <v>0</v>
      </c>
      <c r="Q1083" s="3" t="s">
        <v>26</v>
      </c>
      <c r="R1083" s="3">
        <v>0</v>
      </c>
      <c r="S1083" s="4">
        <v>0</v>
      </c>
      <c r="T1083" s="4">
        <v>21</v>
      </c>
      <c r="U1083" s="4">
        <v>89</v>
      </c>
      <c r="V1083" s="56">
        <f>IF(ISERROR(VLOOKUP($S$1083,'TAR FIN'!$A$1:$O$113,15,0)),0,VLOOKUP($S$1083,'TAR FIN'!$A$1:$O$113,15,0))</f>
        <v>0</v>
      </c>
      <c r="W1083" s="56">
        <f>IF(ISERROR(VLOOKUP($T$1083,'TAR FIN'!$A$1:$O$113,15,0)),0,VLOOKUP($T$1083,'TAR FIN'!$A$1:$O$113,15,0))*(1-0.04)</f>
        <v>49.219200000000001</v>
      </c>
      <c r="X1083" s="56">
        <f>IF(ISERROR(VLOOKUP($U$1083,'TAR FIN'!$A$1:$O$113,15,0)),0,VLOOKUP($U$1083,'TAR FIN'!$A$1:$O$113,15,0))*(1-0.04)</f>
        <v>213.41759999999999</v>
      </c>
      <c r="Y1083" s="56"/>
      <c r="Z1083" s="56">
        <f ca="1">('TUSD BE'!$AM$32+'TUSD BF'!$AM$32+'TUSD CVA'!$AM$32)*1*(1-0.02)</f>
        <v>63.70726143397826</v>
      </c>
      <c r="AA1083" s="56">
        <f>('TE BE'!$AA$11+'TE BF'!$AA$11+'TE CVA'!$AA$11)*1*(1-0.02)</f>
        <v>218.68270575803808</v>
      </c>
      <c r="AB1083" s="4">
        <f>$K$1083*$V$1083</f>
        <v>0</v>
      </c>
      <c r="AC1083" s="4">
        <f>$M$1083*$W$1083</f>
        <v>108897.92297280001</v>
      </c>
      <c r="AD1083" s="4">
        <f>$O$1083*$X$1083</f>
        <v>472188.3607584</v>
      </c>
      <c r="AE1083" s="4">
        <f>$K$1083*$Y$1083</f>
        <v>0</v>
      </c>
      <c r="AF1083" s="4">
        <f ca="1">$M$1083*$Z$1083</f>
        <v>140952.88928802981</v>
      </c>
      <c r="AG1083" s="4">
        <f>$O$1083*$AA$1083</f>
        <v>483837.45463401108</v>
      </c>
    </row>
    <row r="1084" spans="1:33" ht="11.25" customHeight="1" x14ac:dyDescent="0.25">
      <c r="A1084" s="3" t="s">
        <v>28</v>
      </c>
      <c r="B1084" s="3" t="s">
        <v>41</v>
      </c>
      <c r="C1084" s="3" t="s">
        <v>42</v>
      </c>
      <c r="D1084" s="3" t="s">
        <v>45</v>
      </c>
      <c r="E1084" s="3" t="s">
        <v>25</v>
      </c>
      <c r="F1084" s="3" t="s">
        <v>25</v>
      </c>
      <c r="G1084" s="3" t="s">
        <v>25</v>
      </c>
      <c r="H1084" s="3" t="s">
        <v>35</v>
      </c>
      <c r="I1084" s="6">
        <v>44501</v>
      </c>
      <c r="J1084" s="4">
        <v>0</v>
      </c>
      <c r="K1084" s="56">
        <v>0</v>
      </c>
      <c r="L1084" s="4">
        <v>15.975</v>
      </c>
      <c r="M1084" s="56">
        <v>15.975</v>
      </c>
      <c r="N1084" s="4">
        <v>15.975</v>
      </c>
      <c r="O1084" s="56">
        <v>15.975</v>
      </c>
      <c r="P1084" s="4">
        <v>0</v>
      </c>
      <c r="Q1084" s="3" t="s">
        <v>26</v>
      </c>
      <c r="R1084" s="3">
        <v>0</v>
      </c>
      <c r="S1084" s="4">
        <v>0</v>
      </c>
      <c r="T1084" s="4">
        <v>21</v>
      </c>
      <c r="U1084" s="4">
        <v>89</v>
      </c>
      <c r="V1084" s="56">
        <f>IF(ISERROR(VLOOKUP($S$1084,'TAR FIN'!$A$1:$O$113,15,0)),0,VLOOKUP($S$1084,'TAR FIN'!$A$1:$O$113,15,0))</f>
        <v>0</v>
      </c>
      <c r="W1084" s="56">
        <f>IF(ISERROR(VLOOKUP($T$1084,'TAR FIN'!$A$1:$O$113,15,0)),0,VLOOKUP($T$1084,'TAR FIN'!$A$1:$O$113,15,0))*(1-0.04)</f>
        <v>49.219200000000001</v>
      </c>
      <c r="X1084" s="56">
        <f>IF(ISERROR(VLOOKUP($U$1084,'TAR FIN'!$A$1:$O$113,15,0)),0,VLOOKUP($U$1084,'TAR FIN'!$A$1:$O$113,15,0))*(1-0.04)</f>
        <v>213.41759999999999</v>
      </c>
      <c r="Y1084" s="56"/>
      <c r="Z1084" s="56">
        <f ca="1">('TUSD BE'!$AM$32+'TUSD BF'!$AM$32+'TUSD CVA'!$AM$32)*1*(1-0.02)</f>
        <v>63.70726143397826</v>
      </c>
      <c r="AA1084" s="56">
        <f>('TE BE'!$AA$11+'TE BF'!$AA$11+'TE CVA'!$AA$11)*1*(1-0.02)</f>
        <v>218.68270575803808</v>
      </c>
      <c r="AB1084" s="4">
        <f>$K$1084*$V$1084</f>
        <v>0</v>
      </c>
      <c r="AC1084" s="4">
        <f>$M$1084*$W$1084</f>
        <v>786.27671999999995</v>
      </c>
      <c r="AD1084" s="4">
        <f>$O$1084*$X$1084</f>
        <v>3409.3461599999996</v>
      </c>
      <c r="AE1084" s="4">
        <f>$K$1084*$Y$1084</f>
        <v>0</v>
      </c>
      <c r="AF1084" s="4">
        <f ca="1">$M$1084*$Z$1084</f>
        <v>1017.7235014078027</v>
      </c>
      <c r="AG1084" s="4">
        <f>$O$1084*$AA$1084</f>
        <v>3493.4562244846584</v>
      </c>
    </row>
    <row r="1085" spans="1:33" ht="11.25" customHeight="1" x14ac:dyDescent="0.25">
      <c r="A1085" s="3" t="s">
        <v>21</v>
      </c>
      <c r="B1085" s="3" t="s">
        <v>41</v>
      </c>
      <c r="C1085" s="3" t="s">
        <v>42</v>
      </c>
      <c r="D1085" s="3" t="s">
        <v>45</v>
      </c>
      <c r="E1085" s="3" t="s">
        <v>25</v>
      </c>
      <c r="F1085" s="3" t="s">
        <v>25</v>
      </c>
      <c r="G1085" s="3" t="s">
        <v>25</v>
      </c>
      <c r="H1085" s="3" t="s">
        <v>35</v>
      </c>
      <c r="I1085" s="6">
        <v>44531</v>
      </c>
      <c r="J1085" s="4">
        <v>0</v>
      </c>
      <c r="K1085" s="56">
        <v>0</v>
      </c>
      <c r="L1085" s="4">
        <v>1852.6690000000001</v>
      </c>
      <c r="M1085" s="56">
        <v>1852.6690000000001</v>
      </c>
      <c r="N1085" s="4">
        <v>1852.6690000000001</v>
      </c>
      <c r="O1085" s="56">
        <v>1852.6690000000001</v>
      </c>
      <c r="P1085" s="4">
        <v>0</v>
      </c>
      <c r="Q1085" s="3" t="s">
        <v>26</v>
      </c>
      <c r="R1085" s="3">
        <v>0</v>
      </c>
      <c r="S1085" s="4">
        <v>0</v>
      </c>
      <c r="T1085" s="4">
        <v>21</v>
      </c>
      <c r="U1085" s="4">
        <v>89</v>
      </c>
      <c r="V1085" s="56">
        <f>IF(ISERROR(VLOOKUP($S$1085,'TAR FIN'!$A$1:$O$113,15,0)),0,VLOOKUP($S$1085,'TAR FIN'!$A$1:$O$113,15,0))</f>
        <v>0</v>
      </c>
      <c r="W1085" s="56">
        <f>IF(ISERROR(VLOOKUP($T$1085,'TAR FIN'!$A$1:$O$113,15,0)),0,VLOOKUP($T$1085,'TAR FIN'!$A$1:$O$113,15,0))*(1-0.04)</f>
        <v>49.219200000000001</v>
      </c>
      <c r="X1085" s="56">
        <f>IF(ISERROR(VLOOKUP($U$1085,'TAR FIN'!$A$1:$O$113,15,0)),0,VLOOKUP($U$1085,'TAR FIN'!$A$1:$O$113,15,0))*(1-0.04)</f>
        <v>213.41759999999999</v>
      </c>
      <c r="Y1085" s="56"/>
      <c r="Z1085" s="56">
        <f ca="1">('TUSD BE'!$AM$32+'TUSD BF'!$AM$32+'TUSD CVA'!$AM$32)*1*(1-0.02)</f>
        <v>63.70726143397826</v>
      </c>
      <c r="AA1085" s="56">
        <f>('TE BE'!$AA$11+'TE BF'!$AA$11+'TE CVA'!$AA$11)*1*(1-0.02)</f>
        <v>218.68270575803808</v>
      </c>
      <c r="AB1085" s="4">
        <f>$K$1085*$V$1085</f>
        <v>0</v>
      </c>
      <c r="AC1085" s="4">
        <f>$M$1085*$W$1085</f>
        <v>91186.886044800005</v>
      </c>
      <c r="AD1085" s="4">
        <f>$O$1085*$X$1085</f>
        <v>395392.17157439998</v>
      </c>
      <c r="AE1085" s="4">
        <f>$K$1085*$Y$1085</f>
        <v>0</v>
      </c>
      <c r="AF1085" s="4">
        <f ca="1">$M$1085*$Z$1085</f>
        <v>118028.46833362708</v>
      </c>
      <c r="AG1085" s="4">
        <f>$O$1085*$AA$1085</f>
        <v>405146.66979403869</v>
      </c>
    </row>
    <row r="1086" spans="1:33" ht="11.25" customHeight="1" x14ac:dyDescent="0.25">
      <c r="A1086" s="3" t="s">
        <v>27</v>
      </c>
      <c r="B1086" s="3" t="s">
        <v>41</v>
      </c>
      <c r="C1086" s="3" t="s">
        <v>42</v>
      </c>
      <c r="D1086" s="3" t="s">
        <v>45</v>
      </c>
      <c r="E1086" s="3" t="s">
        <v>25</v>
      </c>
      <c r="F1086" s="3" t="s">
        <v>25</v>
      </c>
      <c r="G1086" s="3" t="s">
        <v>25</v>
      </c>
      <c r="H1086" s="3" t="s">
        <v>35</v>
      </c>
      <c r="I1086" s="6">
        <v>44531</v>
      </c>
      <c r="J1086" s="4">
        <v>0</v>
      </c>
      <c r="K1086" s="56">
        <v>0</v>
      </c>
      <c r="L1086" s="4">
        <v>-0.24</v>
      </c>
      <c r="M1086" s="56">
        <v>-0.24</v>
      </c>
      <c r="N1086" s="4">
        <v>-0.24</v>
      </c>
      <c r="O1086" s="56">
        <v>-0.24</v>
      </c>
      <c r="P1086" s="4">
        <v>0</v>
      </c>
      <c r="Q1086" s="3" t="s">
        <v>26</v>
      </c>
      <c r="R1086" s="3">
        <v>0</v>
      </c>
      <c r="S1086" s="4">
        <v>0</v>
      </c>
      <c r="T1086" s="4">
        <v>21</v>
      </c>
      <c r="U1086" s="4">
        <v>89</v>
      </c>
      <c r="V1086" s="56">
        <f>IF(ISERROR(VLOOKUP($S$1086,'TAR FIN'!$A$1:$O$113,15,0)),0,VLOOKUP($S$1086,'TAR FIN'!$A$1:$O$113,15,0))</f>
        <v>0</v>
      </c>
      <c r="W1086" s="56">
        <f>IF(ISERROR(VLOOKUP($T$1086,'TAR FIN'!$A$1:$O$113,15,0)),0,VLOOKUP($T$1086,'TAR FIN'!$A$1:$O$113,15,0))*(1-0.04)</f>
        <v>49.219200000000001</v>
      </c>
      <c r="X1086" s="56">
        <f>IF(ISERROR(VLOOKUP($U$1086,'TAR FIN'!$A$1:$O$113,15,0)),0,VLOOKUP($U$1086,'TAR FIN'!$A$1:$O$113,15,0))*(1-0.04)</f>
        <v>213.41759999999999</v>
      </c>
      <c r="Y1086" s="56"/>
      <c r="Z1086" s="56">
        <f ca="1">('TUSD BE'!$AM$32+'TUSD BF'!$AM$32+'TUSD CVA'!$AM$32)*1*(1-0.02)</f>
        <v>63.70726143397826</v>
      </c>
      <c r="AA1086" s="56">
        <f>('TE BE'!$AA$11+'TE BF'!$AA$11+'TE CVA'!$AA$11)*1*(1-0.02)</f>
        <v>218.68270575803808</v>
      </c>
      <c r="AB1086" s="4">
        <f>$K$1086*$V$1086</f>
        <v>0</v>
      </c>
      <c r="AC1086" s="4">
        <f>$M$1086*$W$1086</f>
        <v>-11.812607999999999</v>
      </c>
      <c r="AD1086" s="4">
        <f>$O$1086*$X$1086</f>
        <v>-51.220223999999995</v>
      </c>
      <c r="AE1086" s="4">
        <f>$K$1086*$Y$1086</f>
        <v>0</v>
      </c>
      <c r="AF1086" s="4">
        <f ca="1">$M$1086*$Z$1086</f>
        <v>-15.289742744154783</v>
      </c>
      <c r="AG1086" s="4">
        <f>$O$1086*$AA$1086</f>
        <v>-52.48384938192914</v>
      </c>
    </row>
    <row r="1087" spans="1:33" ht="11.25" customHeight="1" x14ac:dyDescent="0.25">
      <c r="A1087" s="3" t="s">
        <v>28</v>
      </c>
      <c r="B1087" s="3" t="s">
        <v>41</v>
      </c>
      <c r="C1087" s="3" t="s">
        <v>42</v>
      </c>
      <c r="D1087" s="3" t="s">
        <v>45</v>
      </c>
      <c r="E1087" s="3" t="s">
        <v>25</v>
      </c>
      <c r="F1087" s="3" t="s">
        <v>25</v>
      </c>
      <c r="G1087" s="3" t="s">
        <v>25</v>
      </c>
      <c r="H1087" s="3" t="s">
        <v>35</v>
      </c>
      <c r="I1087" s="6">
        <v>44531</v>
      </c>
      <c r="J1087" s="4">
        <v>0</v>
      </c>
      <c r="K1087" s="56">
        <v>0</v>
      </c>
      <c r="L1087" s="4">
        <v>2.2200000000000002</v>
      </c>
      <c r="M1087" s="56">
        <v>2.2200000000000002</v>
      </c>
      <c r="N1087" s="4">
        <v>2.2200000000000002</v>
      </c>
      <c r="O1087" s="56">
        <v>2.2200000000000002</v>
      </c>
      <c r="P1087" s="4">
        <v>0</v>
      </c>
      <c r="Q1087" s="3" t="s">
        <v>26</v>
      </c>
      <c r="R1087" s="3">
        <v>0</v>
      </c>
      <c r="S1087" s="4">
        <v>0</v>
      </c>
      <c r="T1087" s="4">
        <v>21</v>
      </c>
      <c r="U1087" s="4">
        <v>89</v>
      </c>
      <c r="V1087" s="56">
        <f>IF(ISERROR(VLOOKUP($S$1087,'TAR FIN'!$A$1:$O$113,15,0)),0,VLOOKUP($S$1087,'TAR FIN'!$A$1:$O$113,15,0))</f>
        <v>0</v>
      </c>
      <c r="W1087" s="56">
        <f>IF(ISERROR(VLOOKUP($T$1087,'TAR FIN'!$A$1:$O$113,15,0)),0,VLOOKUP($T$1087,'TAR FIN'!$A$1:$O$113,15,0))*(1-0.04)</f>
        <v>49.219200000000001</v>
      </c>
      <c r="X1087" s="56">
        <f>IF(ISERROR(VLOOKUP($U$1087,'TAR FIN'!$A$1:$O$113,15,0)),0,VLOOKUP($U$1087,'TAR FIN'!$A$1:$O$113,15,0))*(1-0.04)</f>
        <v>213.41759999999999</v>
      </c>
      <c r="Y1087" s="56"/>
      <c r="Z1087" s="56">
        <f ca="1">('TUSD BE'!$AM$32+'TUSD BF'!$AM$32+'TUSD CVA'!$AM$32)*1*(1-0.02)</f>
        <v>63.70726143397826</v>
      </c>
      <c r="AA1087" s="56">
        <f>('TE BE'!$AA$11+'TE BF'!$AA$11+'TE CVA'!$AA$11)*1*(1-0.02)</f>
        <v>218.68270575803808</v>
      </c>
      <c r="AB1087" s="4">
        <f>$K$1087*$V$1087</f>
        <v>0</v>
      </c>
      <c r="AC1087" s="4">
        <f>$M$1087*$W$1087</f>
        <v>109.26662400000001</v>
      </c>
      <c r="AD1087" s="4">
        <f>$O$1087*$X$1087</f>
        <v>473.78707200000002</v>
      </c>
      <c r="AE1087" s="4">
        <f>$K$1087*$Y$1087</f>
        <v>0</v>
      </c>
      <c r="AF1087" s="4">
        <f ca="1">$M$1087*$Z$1087</f>
        <v>141.43012038343176</v>
      </c>
      <c r="AG1087" s="4">
        <f>$O$1087*$AA$1087</f>
        <v>485.47560678284458</v>
      </c>
    </row>
    <row r="1088" spans="1:33" ht="11.25" customHeight="1" x14ac:dyDescent="0.25">
      <c r="A1088" s="3" t="s">
        <v>21</v>
      </c>
      <c r="B1088" s="3" t="s">
        <v>41</v>
      </c>
      <c r="C1088" s="3" t="s">
        <v>42</v>
      </c>
      <c r="D1088" s="3" t="s">
        <v>45</v>
      </c>
      <c r="E1088" s="3" t="s">
        <v>25</v>
      </c>
      <c r="F1088" s="3" t="s">
        <v>25</v>
      </c>
      <c r="G1088" s="3" t="s">
        <v>25</v>
      </c>
      <c r="H1088" s="3" t="s">
        <v>35</v>
      </c>
      <c r="I1088" s="6">
        <v>44562</v>
      </c>
      <c r="J1088" s="4">
        <v>0</v>
      </c>
      <c r="K1088" s="56">
        <v>0</v>
      </c>
      <c r="L1088" s="4">
        <v>2020.7329999999999</v>
      </c>
      <c r="M1088" s="56">
        <v>2020.7329999999999</v>
      </c>
      <c r="N1088" s="4">
        <v>2020.7329999999999</v>
      </c>
      <c r="O1088" s="56">
        <v>2020.7329999999999</v>
      </c>
      <c r="P1088" s="4">
        <v>0</v>
      </c>
      <c r="Q1088" s="3" t="s">
        <v>26</v>
      </c>
      <c r="R1088" s="3">
        <v>0</v>
      </c>
      <c r="S1088" s="4">
        <v>0</v>
      </c>
      <c r="T1088" s="4">
        <v>21</v>
      </c>
      <c r="U1088" s="4">
        <v>89</v>
      </c>
      <c r="V1088" s="56">
        <f>IF(ISERROR(VLOOKUP($S$1088,'TAR FIN'!$A$1:$O$113,15,0)),0,VLOOKUP($S$1088,'TAR FIN'!$A$1:$O$113,15,0))</f>
        <v>0</v>
      </c>
      <c r="W1088" s="56">
        <f>IF(ISERROR(VLOOKUP($T$1088,'TAR FIN'!$A$1:$O$113,15,0)),0,VLOOKUP($T$1088,'TAR FIN'!$A$1:$O$113,15,0))*(1-0.04)</f>
        <v>49.219200000000001</v>
      </c>
      <c r="X1088" s="56">
        <f>IF(ISERROR(VLOOKUP($U$1088,'TAR FIN'!$A$1:$O$113,15,0)),0,VLOOKUP($U$1088,'TAR FIN'!$A$1:$O$113,15,0))*(1-0.04)</f>
        <v>213.41759999999999</v>
      </c>
      <c r="Y1088" s="56"/>
      <c r="Z1088" s="56">
        <f ca="1">('TUSD BE'!$AM$32+'TUSD BF'!$AM$32+'TUSD CVA'!$AM$32)*1*(1-0.02)</f>
        <v>63.70726143397826</v>
      </c>
      <c r="AA1088" s="56">
        <f>('TE BE'!$AA$11+'TE BF'!$AA$11+'TE CVA'!$AA$11)*1*(1-0.02)</f>
        <v>218.68270575803808</v>
      </c>
      <c r="AB1088" s="4">
        <f>$K$1088*$V$1088</f>
        <v>0</v>
      </c>
      <c r="AC1088" s="4">
        <f>$M$1088*$W$1088</f>
        <v>99458.861673599997</v>
      </c>
      <c r="AD1088" s="4">
        <f>$O$1088*$X$1088</f>
        <v>431259.98710079998</v>
      </c>
      <c r="AE1088" s="4">
        <f>$K$1088*$Y$1088</f>
        <v>0</v>
      </c>
      <c r="AF1088" s="4">
        <f ca="1">$M$1088*$Z$1088</f>
        <v>128735.36551926719</v>
      </c>
      <c r="AG1088" s="4">
        <f>$O$1088*$AA$1088</f>
        <v>441899.36005455756</v>
      </c>
    </row>
    <row r="1089" spans="1:33" ht="11.25" customHeight="1" x14ac:dyDescent="0.25">
      <c r="A1089" s="3" t="s">
        <v>27</v>
      </c>
      <c r="B1089" s="3" t="s">
        <v>41</v>
      </c>
      <c r="C1089" s="3" t="s">
        <v>42</v>
      </c>
      <c r="D1089" s="3" t="s">
        <v>45</v>
      </c>
      <c r="E1089" s="3" t="s">
        <v>25</v>
      </c>
      <c r="F1089" s="3" t="s">
        <v>25</v>
      </c>
      <c r="G1089" s="3" t="s">
        <v>25</v>
      </c>
      <c r="H1089" s="3" t="s">
        <v>35</v>
      </c>
      <c r="I1089" s="6">
        <v>44562</v>
      </c>
      <c r="J1089" s="4">
        <v>0</v>
      </c>
      <c r="K1089" s="56">
        <v>0</v>
      </c>
      <c r="L1089" s="4">
        <v>-164.447</v>
      </c>
      <c r="M1089" s="56">
        <v>-164.447</v>
      </c>
      <c r="N1089" s="4">
        <v>-164.447</v>
      </c>
      <c r="O1089" s="56">
        <v>-164.447</v>
      </c>
      <c r="P1089" s="4">
        <v>0</v>
      </c>
      <c r="Q1089" s="3" t="s">
        <v>26</v>
      </c>
      <c r="R1089" s="3">
        <v>0</v>
      </c>
      <c r="S1089" s="4">
        <v>0</v>
      </c>
      <c r="T1089" s="4">
        <v>21</v>
      </c>
      <c r="U1089" s="4">
        <v>89</v>
      </c>
      <c r="V1089" s="56">
        <f>IF(ISERROR(VLOOKUP($S$1089,'TAR FIN'!$A$1:$O$113,15,0)),0,VLOOKUP($S$1089,'TAR FIN'!$A$1:$O$113,15,0))</f>
        <v>0</v>
      </c>
      <c r="W1089" s="56">
        <f>IF(ISERROR(VLOOKUP($T$1089,'TAR FIN'!$A$1:$O$113,15,0)),0,VLOOKUP($T$1089,'TAR FIN'!$A$1:$O$113,15,0))*(1-0.04)</f>
        <v>49.219200000000001</v>
      </c>
      <c r="X1089" s="56">
        <f>IF(ISERROR(VLOOKUP($U$1089,'TAR FIN'!$A$1:$O$113,15,0)),0,VLOOKUP($U$1089,'TAR FIN'!$A$1:$O$113,15,0))*(1-0.04)</f>
        <v>213.41759999999999</v>
      </c>
      <c r="Y1089" s="56"/>
      <c r="Z1089" s="56">
        <f ca="1">('TUSD BE'!$AM$32+'TUSD BF'!$AM$32+'TUSD CVA'!$AM$32)*1*(1-0.02)</f>
        <v>63.70726143397826</v>
      </c>
      <c r="AA1089" s="56">
        <f>('TE BE'!$AA$11+'TE BF'!$AA$11+'TE CVA'!$AA$11)*1*(1-0.02)</f>
        <v>218.68270575803808</v>
      </c>
      <c r="AB1089" s="4">
        <f>$K$1089*$V$1089</f>
        <v>0</v>
      </c>
      <c r="AC1089" s="4">
        <f>$M$1089*$W$1089</f>
        <v>-8093.9497824</v>
      </c>
      <c r="AD1089" s="4">
        <f>$O$1089*$X$1089</f>
        <v>-35095.884067200001</v>
      </c>
      <c r="AE1089" s="4">
        <f>$K$1089*$Y$1089</f>
        <v>0</v>
      </c>
      <c r="AF1089" s="4">
        <f ca="1">$M$1089*$Z$1089</f>
        <v>-10476.468021033423</v>
      </c>
      <c r="AG1089" s="4">
        <f>$O$1089*$AA$1089</f>
        <v>-35961.714913792086</v>
      </c>
    </row>
    <row r="1090" spans="1:33" ht="11.25" customHeight="1" x14ac:dyDescent="0.25">
      <c r="A1090" s="3" t="s">
        <v>28</v>
      </c>
      <c r="B1090" s="3" t="s">
        <v>41</v>
      </c>
      <c r="C1090" s="3" t="s">
        <v>42</v>
      </c>
      <c r="D1090" s="3" t="s">
        <v>45</v>
      </c>
      <c r="E1090" s="3" t="s">
        <v>25</v>
      </c>
      <c r="F1090" s="3" t="s">
        <v>25</v>
      </c>
      <c r="G1090" s="3" t="s">
        <v>25</v>
      </c>
      <c r="H1090" s="3" t="s">
        <v>35</v>
      </c>
      <c r="I1090" s="6">
        <v>44562</v>
      </c>
      <c r="J1090" s="4">
        <v>0</v>
      </c>
      <c r="K1090" s="56">
        <v>0</v>
      </c>
      <c r="L1090" s="4">
        <v>12.698</v>
      </c>
      <c r="M1090" s="56">
        <v>12.698</v>
      </c>
      <c r="N1090" s="4">
        <v>12.698</v>
      </c>
      <c r="O1090" s="56">
        <v>12.698</v>
      </c>
      <c r="P1090" s="4">
        <v>0</v>
      </c>
      <c r="Q1090" s="3" t="s">
        <v>26</v>
      </c>
      <c r="R1090" s="3">
        <v>0</v>
      </c>
      <c r="S1090" s="4">
        <v>0</v>
      </c>
      <c r="T1090" s="4">
        <v>21</v>
      </c>
      <c r="U1090" s="4">
        <v>89</v>
      </c>
      <c r="V1090" s="56">
        <f>IF(ISERROR(VLOOKUP($S$1090,'TAR FIN'!$A$1:$O$113,15,0)),0,VLOOKUP($S$1090,'TAR FIN'!$A$1:$O$113,15,0))</f>
        <v>0</v>
      </c>
      <c r="W1090" s="56">
        <f>IF(ISERROR(VLOOKUP($T$1090,'TAR FIN'!$A$1:$O$113,15,0)),0,VLOOKUP($T$1090,'TAR FIN'!$A$1:$O$113,15,0))*(1-0.04)</f>
        <v>49.219200000000001</v>
      </c>
      <c r="X1090" s="56">
        <f>IF(ISERROR(VLOOKUP($U$1090,'TAR FIN'!$A$1:$O$113,15,0)),0,VLOOKUP($U$1090,'TAR FIN'!$A$1:$O$113,15,0))*(1-0.04)</f>
        <v>213.41759999999999</v>
      </c>
      <c r="Y1090" s="56"/>
      <c r="Z1090" s="56">
        <f ca="1">('TUSD BE'!$AM$32+'TUSD BF'!$AM$32+'TUSD CVA'!$AM$32)*1*(1-0.02)</f>
        <v>63.70726143397826</v>
      </c>
      <c r="AA1090" s="56">
        <f>('TE BE'!$AA$11+'TE BF'!$AA$11+'TE CVA'!$AA$11)*1*(1-0.02)</f>
        <v>218.68270575803808</v>
      </c>
      <c r="AB1090" s="4">
        <f>$K$1090*$V$1090</f>
        <v>0</v>
      </c>
      <c r="AC1090" s="4">
        <f>$M$1090*$W$1090</f>
        <v>624.98540160000005</v>
      </c>
      <c r="AD1090" s="4">
        <f>$O$1090*$X$1090</f>
        <v>2709.9766847999999</v>
      </c>
      <c r="AE1090" s="4">
        <f>$K$1090*$Y$1090</f>
        <v>0</v>
      </c>
      <c r="AF1090" s="4">
        <f ca="1">$M$1090*$Z$1090</f>
        <v>808.95480568865594</v>
      </c>
      <c r="AG1090" s="4">
        <f>$O$1090*$AA$1090</f>
        <v>2776.8329977155677</v>
      </c>
    </row>
    <row r="1091" spans="1:33" ht="11.25" customHeight="1" x14ac:dyDescent="0.25">
      <c r="A1091" s="3" t="s">
        <v>21</v>
      </c>
      <c r="B1091" s="3" t="s">
        <v>41</v>
      </c>
      <c r="C1091" s="3" t="s">
        <v>42</v>
      </c>
      <c r="D1091" s="3" t="s">
        <v>45</v>
      </c>
      <c r="E1091" s="3" t="s">
        <v>25</v>
      </c>
      <c r="F1091" s="3" t="s">
        <v>25</v>
      </c>
      <c r="G1091" s="3" t="s">
        <v>25</v>
      </c>
      <c r="H1091" s="3" t="s">
        <v>35</v>
      </c>
      <c r="I1091" s="6">
        <v>44593</v>
      </c>
      <c r="J1091" s="4">
        <v>0</v>
      </c>
      <c r="K1091" s="56">
        <v>0</v>
      </c>
      <c r="L1091" s="4">
        <v>1885.9590000000001</v>
      </c>
      <c r="M1091" s="56">
        <v>1885.9590000000001</v>
      </c>
      <c r="N1091" s="4">
        <v>1885.9590000000001</v>
      </c>
      <c r="O1091" s="56">
        <v>1885.9590000000001</v>
      </c>
      <c r="P1091" s="4">
        <v>0</v>
      </c>
      <c r="Q1091" s="3" t="s">
        <v>26</v>
      </c>
      <c r="R1091" s="3">
        <v>0</v>
      </c>
      <c r="S1091" s="4">
        <v>0</v>
      </c>
      <c r="T1091" s="4">
        <v>21</v>
      </c>
      <c r="U1091" s="4">
        <v>89</v>
      </c>
      <c r="V1091" s="56">
        <f>IF(ISERROR(VLOOKUP($S$1091,'TAR FIN'!$A$1:$O$113,15,0)),0,VLOOKUP($S$1091,'TAR FIN'!$A$1:$O$113,15,0))</f>
        <v>0</v>
      </c>
      <c r="W1091" s="56">
        <f>IF(ISERROR(VLOOKUP($T$1091,'TAR FIN'!$A$1:$O$113,15,0)),0,VLOOKUP($T$1091,'TAR FIN'!$A$1:$O$113,15,0))*(1-0.04)</f>
        <v>49.219200000000001</v>
      </c>
      <c r="X1091" s="56">
        <f>IF(ISERROR(VLOOKUP($U$1091,'TAR FIN'!$A$1:$O$113,15,0)),0,VLOOKUP($U$1091,'TAR FIN'!$A$1:$O$113,15,0))*(1-0.04)</f>
        <v>213.41759999999999</v>
      </c>
      <c r="Y1091" s="56"/>
      <c r="Z1091" s="56">
        <f ca="1">('TUSD BE'!$AM$32+'TUSD BF'!$AM$32+'TUSD CVA'!$AM$32)*1*(1-0.02)</f>
        <v>63.70726143397826</v>
      </c>
      <c r="AA1091" s="56">
        <f>('TE BE'!$AA$11+'TE BF'!$AA$11+'TE CVA'!$AA$11)*1*(1-0.02)</f>
        <v>218.68270575803808</v>
      </c>
      <c r="AB1091" s="4">
        <f>$K$1091*$V$1091</f>
        <v>0</v>
      </c>
      <c r="AC1091" s="4">
        <f>$M$1091*$W$1091</f>
        <v>92825.393212800001</v>
      </c>
      <c r="AD1091" s="4">
        <f>$O$1091*$X$1091</f>
        <v>402496.84347840003</v>
      </c>
      <c r="AE1091" s="4">
        <f>$K$1091*$Y$1091</f>
        <v>0</v>
      </c>
      <c r="AF1091" s="4">
        <f ca="1">$M$1091*$Z$1091</f>
        <v>120149.28306676421</v>
      </c>
      <c r="AG1091" s="4">
        <f>$O$1091*$AA$1091</f>
        <v>412426.61706872378</v>
      </c>
    </row>
    <row r="1092" spans="1:33" ht="11.25" customHeight="1" x14ac:dyDescent="0.25">
      <c r="A1092" s="3" t="s">
        <v>27</v>
      </c>
      <c r="B1092" s="3" t="s">
        <v>41</v>
      </c>
      <c r="C1092" s="3" t="s">
        <v>42</v>
      </c>
      <c r="D1092" s="3" t="s">
        <v>45</v>
      </c>
      <c r="E1092" s="3" t="s">
        <v>25</v>
      </c>
      <c r="F1092" s="3" t="s">
        <v>25</v>
      </c>
      <c r="G1092" s="3" t="s">
        <v>25</v>
      </c>
      <c r="H1092" s="3" t="s">
        <v>35</v>
      </c>
      <c r="I1092" s="6">
        <v>44593</v>
      </c>
      <c r="J1092" s="4">
        <v>0</v>
      </c>
      <c r="K1092" s="56">
        <v>0</v>
      </c>
      <c r="L1092" s="4">
        <v>432.71899999999999</v>
      </c>
      <c r="M1092" s="56">
        <v>432.71899999999999</v>
      </c>
      <c r="N1092" s="4">
        <v>432.71899999999999</v>
      </c>
      <c r="O1092" s="56">
        <v>432.71899999999999</v>
      </c>
      <c r="P1092" s="4">
        <v>0</v>
      </c>
      <c r="Q1092" s="3" t="s">
        <v>26</v>
      </c>
      <c r="R1092" s="3">
        <v>0</v>
      </c>
      <c r="S1092" s="4">
        <v>0</v>
      </c>
      <c r="T1092" s="4">
        <v>21</v>
      </c>
      <c r="U1092" s="4">
        <v>89</v>
      </c>
      <c r="V1092" s="56">
        <f>IF(ISERROR(VLOOKUP($S$1092,'TAR FIN'!$A$1:$O$113,15,0)),0,VLOOKUP($S$1092,'TAR FIN'!$A$1:$O$113,15,0))</f>
        <v>0</v>
      </c>
      <c r="W1092" s="56">
        <f>IF(ISERROR(VLOOKUP($T$1092,'TAR FIN'!$A$1:$O$113,15,0)),0,VLOOKUP($T$1092,'TAR FIN'!$A$1:$O$113,15,0))*(1-0.04)</f>
        <v>49.219200000000001</v>
      </c>
      <c r="X1092" s="56">
        <f>IF(ISERROR(VLOOKUP($U$1092,'TAR FIN'!$A$1:$O$113,15,0)),0,VLOOKUP($U$1092,'TAR FIN'!$A$1:$O$113,15,0))*(1-0.04)</f>
        <v>213.41759999999999</v>
      </c>
      <c r="Y1092" s="56"/>
      <c r="Z1092" s="56">
        <f ca="1">('TUSD BE'!$AM$32+'TUSD BF'!$AM$32+'TUSD CVA'!$AM$32)*1*(1-0.02)</f>
        <v>63.70726143397826</v>
      </c>
      <c r="AA1092" s="56">
        <f>('TE BE'!$AA$11+'TE BF'!$AA$11+'TE CVA'!$AA$11)*1*(1-0.02)</f>
        <v>218.68270575803808</v>
      </c>
      <c r="AB1092" s="4">
        <f>$K$1092*$V$1092</f>
        <v>0</v>
      </c>
      <c r="AC1092" s="4">
        <f>$M$1092*$W$1092</f>
        <v>21298.083004799999</v>
      </c>
      <c r="AD1092" s="4">
        <f>$O$1092*$X$1092</f>
        <v>92349.850454400002</v>
      </c>
      <c r="AE1092" s="4">
        <f>$K$1092*$Y$1092</f>
        <v>0</v>
      </c>
      <c r="AF1092" s="4">
        <f ca="1">$M$1092*$Z$1092</f>
        <v>27567.342460449639</v>
      </c>
      <c r="AG1092" s="4">
        <f>$O$1092*$AA$1092</f>
        <v>94628.161752912478</v>
      </c>
    </row>
    <row r="1093" spans="1:33" ht="11.25" customHeight="1" x14ac:dyDescent="0.25">
      <c r="A1093" s="3" t="s">
        <v>28</v>
      </c>
      <c r="B1093" s="3" t="s">
        <v>41</v>
      </c>
      <c r="C1093" s="3" t="s">
        <v>42</v>
      </c>
      <c r="D1093" s="3" t="s">
        <v>45</v>
      </c>
      <c r="E1093" s="3" t="s">
        <v>25</v>
      </c>
      <c r="F1093" s="3" t="s">
        <v>25</v>
      </c>
      <c r="G1093" s="3" t="s">
        <v>25</v>
      </c>
      <c r="H1093" s="3" t="s">
        <v>35</v>
      </c>
      <c r="I1093" s="6">
        <v>44593</v>
      </c>
      <c r="J1093" s="4">
        <v>0</v>
      </c>
      <c r="K1093" s="56">
        <v>0</v>
      </c>
      <c r="L1093" s="4">
        <v>40.326000000000001</v>
      </c>
      <c r="M1093" s="56">
        <v>40.326000000000001</v>
      </c>
      <c r="N1093" s="4">
        <v>40.326000000000001</v>
      </c>
      <c r="O1093" s="56">
        <v>40.326000000000001</v>
      </c>
      <c r="P1093" s="4">
        <v>0</v>
      </c>
      <c r="Q1093" s="3" t="s">
        <v>26</v>
      </c>
      <c r="R1093" s="3">
        <v>0</v>
      </c>
      <c r="S1093" s="4">
        <v>0</v>
      </c>
      <c r="T1093" s="4">
        <v>21</v>
      </c>
      <c r="U1093" s="4">
        <v>89</v>
      </c>
      <c r="V1093" s="56">
        <f>IF(ISERROR(VLOOKUP($S$1093,'TAR FIN'!$A$1:$O$113,15,0)),0,VLOOKUP($S$1093,'TAR FIN'!$A$1:$O$113,15,0))</f>
        <v>0</v>
      </c>
      <c r="W1093" s="56">
        <f>IF(ISERROR(VLOOKUP($T$1093,'TAR FIN'!$A$1:$O$113,15,0)),0,VLOOKUP($T$1093,'TAR FIN'!$A$1:$O$113,15,0))*(1-0.04)</f>
        <v>49.219200000000001</v>
      </c>
      <c r="X1093" s="56">
        <f>IF(ISERROR(VLOOKUP($U$1093,'TAR FIN'!$A$1:$O$113,15,0)),0,VLOOKUP($U$1093,'TAR FIN'!$A$1:$O$113,15,0))*(1-0.04)</f>
        <v>213.41759999999999</v>
      </c>
      <c r="Y1093" s="56"/>
      <c r="Z1093" s="56">
        <f ca="1">('TUSD BE'!$AM$32+'TUSD BF'!$AM$32+'TUSD CVA'!$AM$32)*1*(1-0.02)</f>
        <v>63.70726143397826</v>
      </c>
      <c r="AA1093" s="56">
        <f>('TE BE'!$AA$11+'TE BF'!$AA$11+'TE CVA'!$AA$11)*1*(1-0.02)</f>
        <v>218.68270575803808</v>
      </c>
      <c r="AB1093" s="4">
        <f>$K$1093*$V$1093</f>
        <v>0</v>
      </c>
      <c r="AC1093" s="4">
        <f>$M$1093*$W$1093</f>
        <v>1984.8134592000001</v>
      </c>
      <c r="AD1093" s="4">
        <f>$O$1093*$X$1093</f>
        <v>8606.2781376000003</v>
      </c>
      <c r="AE1093" s="4">
        <f>$K$1093*$Y$1093</f>
        <v>0</v>
      </c>
      <c r="AF1093" s="4">
        <f ca="1">$M$1093*$Z$1093</f>
        <v>2569.0590245866074</v>
      </c>
      <c r="AG1093" s="4">
        <f>$O$1093*$AA$1093</f>
        <v>8818.5987923986431</v>
      </c>
    </row>
    <row r="1094" spans="1:33" ht="11.25" customHeight="1" x14ac:dyDescent="0.25">
      <c r="A1094" s="3" t="s">
        <v>56</v>
      </c>
      <c r="B1094" s="3" t="s">
        <v>41</v>
      </c>
      <c r="C1094" s="3" t="s">
        <v>42</v>
      </c>
      <c r="D1094" s="3" t="s">
        <v>45</v>
      </c>
      <c r="E1094" s="3" t="s">
        <v>25</v>
      </c>
      <c r="F1094" s="3" t="s">
        <v>25</v>
      </c>
      <c r="G1094" s="3" t="s">
        <v>25</v>
      </c>
      <c r="H1094" s="3" t="s">
        <v>35</v>
      </c>
      <c r="I1094" s="6">
        <v>44621</v>
      </c>
      <c r="J1094" s="4">
        <v>0</v>
      </c>
      <c r="K1094" s="56">
        <v>0</v>
      </c>
      <c r="L1094" s="4">
        <v>1885.9590000000001</v>
      </c>
      <c r="M1094" s="56">
        <v>1885.9590000000001</v>
      </c>
      <c r="N1094" s="4">
        <v>1885.9590000000001</v>
      </c>
      <c r="O1094" s="56">
        <v>1885.9590000000001</v>
      </c>
      <c r="P1094" s="4">
        <v>0</v>
      </c>
      <c r="Q1094" s="3" t="s">
        <v>26</v>
      </c>
      <c r="R1094" s="3">
        <v>0</v>
      </c>
      <c r="S1094" s="4">
        <v>0</v>
      </c>
      <c r="T1094" s="4">
        <v>21</v>
      </c>
      <c r="U1094" s="4">
        <v>89</v>
      </c>
      <c r="V1094" s="56">
        <f>IF(ISERROR(VLOOKUP($S$1094,'TAR FIN'!$A$1:$O$113,15,0)),0,VLOOKUP($S$1094,'TAR FIN'!$A$1:$O$113,15,0))</f>
        <v>0</v>
      </c>
      <c r="W1094" s="56">
        <f>IF(ISERROR(VLOOKUP($T$1094,'TAR FIN'!$A$1:$O$113,15,0)),0,VLOOKUP($T$1094,'TAR FIN'!$A$1:$O$113,15,0))*(1-0.04)</f>
        <v>49.219200000000001</v>
      </c>
      <c r="X1094" s="56">
        <f>IF(ISERROR(VLOOKUP($U$1094,'TAR FIN'!$A$1:$O$113,15,0)),0,VLOOKUP($U$1094,'TAR FIN'!$A$1:$O$113,15,0))*(1-0.04)</f>
        <v>213.41759999999999</v>
      </c>
      <c r="Y1094" s="56"/>
      <c r="Z1094" s="56">
        <f ca="1">('TUSD BE'!$AM$32+'TUSD BF'!$AM$32+'TUSD CVA'!$AM$32)*1*(1-0.02)</f>
        <v>63.70726143397826</v>
      </c>
      <c r="AA1094" s="56">
        <f>('TE BE'!$AA$11+'TE BF'!$AA$11+'TE CVA'!$AA$11)*1*(1-0.02)</f>
        <v>218.68270575803808</v>
      </c>
      <c r="AB1094" s="4">
        <f>$K$1094*$V$1094</f>
        <v>0</v>
      </c>
      <c r="AC1094" s="4">
        <f>$M$1094*$W$1094</f>
        <v>92825.393212800001</v>
      </c>
      <c r="AD1094" s="4">
        <f>$O$1094*$X$1094</f>
        <v>402496.84347840003</v>
      </c>
      <c r="AE1094" s="4">
        <f>$K$1094*$Y$1094</f>
        <v>0</v>
      </c>
      <c r="AF1094" s="4">
        <f ca="1">$M$1094*$Z$1094</f>
        <v>120149.28306676421</v>
      </c>
      <c r="AG1094" s="4">
        <f>$O$1094*$AA$1094</f>
        <v>412426.61706872378</v>
      </c>
    </row>
    <row r="1095" spans="1:33" ht="11.25" customHeight="1" x14ac:dyDescent="0.25">
      <c r="A1095" s="3" t="s">
        <v>56</v>
      </c>
      <c r="B1095" s="3" t="s">
        <v>41</v>
      </c>
      <c r="C1095" s="3" t="s">
        <v>42</v>
      </c>
      <c r="D1095" s="3" t="s">
        <v>45</v>
      </c>
      <c r="E1095" s="3" t="s">
        <v>25</v>
      </c>
      <c r="F1095" s="3" t="s">
        <v>25</v>
      </c>
      <c r="G1095" s="3" t="s">
        <v>25</v>
      </c>
      <c r="H1095" s="3" t="s">
        <v>35</v>
      </c>
      <c r="I1095" s="6">
        <v>44621</v>
      </c>
      <c r="J1095" s="4">
        <v>0</v>
      </c>
      <c r="K1095" s="56">
        <v>0</v>
      </c>
      <c r="L1095" s="4">
        <v>432.71899999999999</v>
      </c>
      <c r="M1095" s="56">
        <v>432.71899999999999</v>
      </c>
      <c r="N1095" s="4">
        <v>432.71899999999999</v>
      </c>
      <c r="O1095" s="56">
        <v>432.71899999999999</v>
      </c>
      <c r="P1095" s="4">
        <v>0</v>
      </c>
      <c r="Q1095" s="3" t="s">
        <v>26</v>
      </c>
      <c r="R1095" s="3">
        <v>0</v>
      </c>
      <c r="S1095" s="4">
        <v>0</v>
      </c>
      <c r="T1095" s="4">
        <v>21</v>
      </c>
      <c r="U1095" s="4">
        <v>89</v>
      </c>
      <c r="V1095" s="56">
        <f>IF(ISERROR(VLOOKUP($S$1095,'TAR FIN'!$A$1:$O$113,15,0)),0,VLOOKUP($S$1095,'TAR FIN'!$A$1:$O$113,15,0))</f>
        <v>0</v>
      </c>
      <c r="W1095" s="56">
        <f>IF(ISERROR(VLOOKUP($T$1095,'TAR FIN'!$A$1:$O$113,15,0)),0,VLOOKUP($T$1095,'TAR FIN'!$A$1:$O$113,15,0))*(1-0.04)</f>
        <v>49.219200000000001</v>
      </c>
      <c r="X1095" s="56">
        <f>IF(ISERROR(VLOOKUP($U$1095,'TAR FIN'!$A$1:$O$113,15,0)),0,VLOOKUP($U$1095,'TAR FIN'!$A$1:$O$113,15,0))*(1-0.04)</f>
        <v>213.41759999999999</v>
      </c>
      <c r="Y1095" s="56"/>
      <c r="Z1095" s="56">
        <f ca="1">('TUSD BE'!$AM$32+'TUSD BF'!$AM$32+'TUSD CVA'!$AM$32)*1*(1-0.02)</f>
        <v>63.70726143397826</v>
      </c>
      <c r="AA1095" s="56">
        <f>('TE BE'!$AA$11+'TE BF'!$AA$11+'TE CVA'!$AA$11)*1*(1-0.02)</f>
        <v>218.68270575803808</v>
      </c>
      <c r="AB1095" s="4">
        <f>$K$1095*$V$1095</f>
        <v>0</v>
      </c>
      <c r="AC1095" s="4">
        <f>$M$1095*$W$1095</f>
        <v>21298.083004799999</v>
      </c>
      <c r="AD1095" s="4">
        <f>$O$1095*$X$1095</f>
        <v>92349.850454400002</v>
      </c>
      <c r="AE1095" s="4">
        <f>$K$1095*$Y$1095</f>
        <v>0</v>
      </c>
      <c r="AF1095" s="4">
        <f ca="1">$M$1095*$Z$1095</f>
        <v>27567.342460449639</v>
      </c>
      <c r="AG1095" s="4">
        <f>$O$1095*$AA$1095</f>
        <v>94628.161752912478</v>
      </c>
    </row>
    <row r="1096" spans="1:33" ht="11.25" customHeight="1" x14ac:dyDescent="0.25">
      <c r="A1096" s="3" t="s">
        <v>56</v>
      </c>
      <c r="B1096" s="3" t="s">
        <v>41</v>
      </c>
      <c r="C1096" s="3" t="s">
        <v>42</v>
      </c>
      <c r="D1096" s="3" t="s">
        <v>45</v>
      </c>
      <c r="E1096" s="3" t="s">
        <v>25</v>
      </c>
      <c r="F1096" s="3" t="s">
        <v>25</v>
      </c>
      <c r="G1096" s="3" t="s">
        <v>25</v>
      </c>
      <c r="H1096" s="3" t="s">
        <v>35</v>
      </c>
      <c r="I1096" s="6">
        <v>44621</v>
      </c>
      <c r="J1096" s="4">
        <v>0</v>
      </c>
      <c r="K1096" s="56">
        <v>0</v>
      </c>
      <c r="L1096" s="4">
        <v>40.326000000000001</v>
      </c>
      <c r="M1096" s="56">
        <v>40.326000000000001</v>
      </c>
      <c r="N1096" s="4">
        <v>40.326000000000001</v>
      </c>
      <c r="O1096" s="56">
        <v>40.326000000000001</v>
      </c>
      <c r="P1096" s="4">
        <v>0</v>
      </c>
      <c r="Q1096" s="3" t="s">
        <v>26</v>
      </c>
      <c r="R1096" s="3">
        <v>0</v>
      </c>
      <c r="S1096" s="4">
        <v>0</v>
      </c>
      <c r="T1096" s="4">
        <v>21</v>
      </c>
      <c r="U1096" s="4">
        <v>89</v>
      </c>
      <c r="V1096" s="56">
        <f>IF(ISERROR(VLOOKUP($S$1096,'TAR FIN'!$A$1:$O$113,15,0)),0,VLOOKUP($S$1096,'TAR FIN'!$A$1:$O$113,15,0))</f>
        <v>0</v>
      </c>
      <c r="W1096" s="56">
        <f>IF(ISERROR(VLOOKUP($T$1096,'TAR FIN'!$A$1:$O$113,15,0)),0,VLOOKUP($T$1096,'TAR FIN'!$A$1:$O$113,15,0))*(1-0.04)</f>
        <v>49.219200000000001</v>
      </c>
      <c r="X1096" s="56">
        <f>IF(ISERROR(VLOOKUP($U$1096,'TAR FIN'!$A$1:$O$113,15,0)),0,VLOOKUP($U$1096,'TAR FIN'!$A$1:$O$113,15,0))*(1-0.04)</f>
        <v>213.41759999999999</v>
      </c>
      <c r="Y1096" s="56"/>
      <c r="Z1096" s="56">
        <f ca="1">('TUSD BE'!$AM$32+'TUSD BF'!$AM$32+'TUSD CVA'!$AM$32)*1*(1-0.02)</f>
        <v>63.70726143397826</v>
      </c>
      <c r="AA1096" s="56">
        <f>('TE BE'!$AA$11+'TE BF'!$AA$11+'TE CVA'!$AA$11)*1*(1-0.02)</f>
        <v>218.68270575803808</v>
      </c>
      <c r="AB1096" s="4">
        <f>$K$1096*$V$1096</f>
        <v>0</v>
      </c>
      <c r="AC1096" s="4">
        <f>$M$1096*$W$1096</f>
        <v>1984.8134592000001</v>
      </c>
      <c r="AD1096" s="4">
        <f>$O$1096*$X$1096</f>
        <v>8606.2781376000003</v>
      </c>
      <c r="AE1096" s="4">
        <f>$K$1096*$Y$1096</f>
        <v>0</v>
      </c>
      <c r="AF1096" s="4">
        <f ca="1">$M$1096*$Z$1096</f>
        <v>2569.0590245866074</v>
      </c>
      <c r="AG1096" s="4">
        <f>$O$1096*$AA$1096</f>
        <v>8818.5987923986431</v>
      </c>
    </row>
    <row r="1097" spans="1:33" ht="11.25" customHeight="1" x14ac:dyDescent="0.25">
      <c r="A1097" s="3" t="s">
        <v>21</v>
      </c>
      <c r="B1097" s="3" t="s">
        <v>41</v>
      </c>
      <c r="C1097" s="3" t="s">
        <v>42</v>
      </c>
      <c r="D1097" s="3" t="s">
        <v>45</v>
      </c>
      <c r="E1097" s="3" t="s">
        <v>25</v>
      </c>
      <c r="F1097" s="3" t="s">
        <v>25</v>
      </c>
      <c r="G1097" s="3" t="s">
        <v>25</v>
      </c>
      <c r="H1097" s="3" t="s">
        <v>25</v>
      </c>
      <c r="I1097" s="6">
        <v>44287</v>
      </c>
      <c r="J1097" s="4">
        <v>8807</v>
      </c>
      <c r="K1097" s="56">
        <v>8807</v>
      </c>
      <c r="L1097" s="4">
        <v>0</v>
      </c>
      <c r="M1097" s="56">
        <v>0</v>
      </c>
      <c r="N1097" s="4">
        <v>0</v>
      </c>
      <c r="O1097" s="56">
        <v>0</v>
      </c>
      <c r="P1097" s="4">
        <v>52</v>
      </c>
      <c r="Q1097" s="3" t="s">
        <v>26</v>
      </c>
      <c r="R1097" s="3">
        <v>0</v>
      </c>
      <c r="S1097" s="4">
        <v>44</v>
      </c>
      <c r="T1097" s="4">
        <v>0</v>
      </c>
      <c r="U1097" s="4">
        <v>0</v>
      </c>
      <c r="V1097" s="56">
        <f>IF(ISERROR(VLOOKUP($S$1097,'TAR FIN'!$A$1:$O$113,15,0)),0,VLOOKUP($S$1097,'TAR FIN'!$A$1:$O$113,15,0))*(1-0.04)</f>
        <v>23.337599999999998</v>
      </c>
      <c r="W1097" s="56">
        <f>IF(ISERROR(VLOOKUP($T$1097,'TAR FIN'!$A$1:$O$113,15,0)),0,VLOOKUP($T$1097,'TAR FIN'!$A$1:$O$113,15,0))</f>
        <v>0</v>
      </c>
      <c r="X1097" s="56">
        <f>IF(ISERROR(VLOOKUP($U$1097,'TAR FIN'!$A$1:$O$113,15,0)),0,VLOOKUP($U$1097,'TAR FIN'!$A$1:$O$113,15,0))</f>
        <v>0</v>
      </c>
      <c r="Y1097" s="56">
        <f ca="1">('TUSD BE'!$AM$30+'TUSD BF'!$AM$30+'TUSD CVA'!$AM$30)*1*(1-0.02)</f>
        <v>26.066113153707715</v>
      </c>
      <c r="Z1097" s="56"/>
      <c r="AA1097" s="56"/>
      <c r="AB1097" s="4">
        <f>$K$1097*$V$1097</f>
        <v>205534.2432</v>
      </c>
      <c r="AC1097" s="4">
        <f>$M$1097*$W$1097</f>
        <v>0</v>
      </c>
      <c r="AD1097" s="4">
        <f>$O$1097*$X$1097</f>
        <v>0</v>
      </c>
      <c r="AE1097" s="4">
        <f ca="1">$K$1097*$Y$1097</f>
        <v>229564.25854470383</v>
      </c>
      <c r="AF1097" s="4">
        <f>$M$1097*$Z$1097</f>
        <v>0</v>
      </c>
      <c r="AG1097" s="4">
        <f>$O$1097*$AA$1097</f>
        <v>0</v>
      </c>
    </row>
    <row r="1098" spans="1:33" ht="11.25" customHeight="1" x14ac:dyDescent="0.25">
      <c r="A1098" s="3" t="s">
        <v>21</v>
      </c>
      <c r="B1098" s="3" t="s">
        <v>41</v>
      </c>
      <c r="C1098" s="3" t="s">
        <v>42</v>
      </c>
      <c r="D1098" s="3" t="s">
        <v>45</v>
      </c>
      <c r="E1098" s="3" t="s">
        <v>25</v>
      </c>
      <c r="F1098" s="3" t="s">
        <v>25</v>
      </c>
      <c r="G1098" s="3" t="s">
        <v>25</v>
      </c>
      <c r="H1098" s="3" t="s">
        <v>25</v>
      </c>
      <c r="I1098" s="6">
        <v>44317</v>
      </c>
      <c r="J1098" s="4">
        <v>6338</v>
      </c>
      <c r="K1098" s="56">
        <v>6338</v>
      </c>
      <c r="L1098" s="4">
        <v>0</v>
      </c>
      <c r="M1098" s="56">
        <v>0</v>
      </c>
      <c r="N1098" s="4">
        <v>0</v>
      </c>
      <c r="O1098" s="56">
        <v>0</v>
      </c>
      <c r="P1098" s="4">
        <v>55</v>
      </c>
      <c r="Q1098" s="3" t="s">
        <v>26</v>
      </c>
      <c r="R1098" s="3">
        <v>0</v>
      </c>
      <c r="S1098" s="4">
        <v>44</v>
      </c>
      <c r="T1098" s="4">
        <v>0</v>
      </c>
      <c r="U1098" s="4">
        <v>0</v>
      </c>
      <c r="V1098" s="56">
        <f>IF(ISERROR(VLOOKUP($S$1098,'TAR FIN'!$A$1:$O$113,15,0)),0,VLOOKUP($S$1098,'TAR FIN'!$A$1:$O$113,15,0))*(1-0.04)</f>
        <v>23.337599999999998</v>
      </c>
      <c r="W1098" s="56">
        <f>IF(ISERROR(VLOOKUP($T$1098,'TAR FIN'!$A$1:$O$113,15,0)),0,VLOOKUP($T$1098,'TAR FIN'!$A$1:$O$113,15,0))</f>
        <v>0</v>
      </c>
      <c r="X1098" s="56">
        <f>IF(ISERROR(VLOOKUP($U$1098,'TAR FIN'!$A$1:$O$113,15,0)),0,VLOOKUP($U$1098,'TAR FIN'!$A$1:$O$113,15,0))</f>
        <v>0</v>
      </c>
      <c r="Y1098" s="56">
        <f ca="1">('TUSD BE'!$AM$30+'TUSD BF'!$AM$30+'TUSD CVA'!$AM$30)*1*(1-0.02)</f>
        <v>26.066113153707715</v>
      </c>
      <c r="Z1098" s="56"/>
      <c r="AA1098" s="56"/>
      <c r="AB1098" s="4">
        <f>$K$1098*$V$1098</f>
        <v>147913.70879999999</v>
      </c>
      <c r="AC1098" s="4">
        <f>$M$1098*$W$1098</f>
        <v>0</v>
      </c>
      <c r="AD1098" s="4">
        <f>$O$1098*$X$1098</f>
        <v>0</v>
      </c>
      <c r="AE1098" s="4">
        <f ca="1">$K$1098*$Y$1098</f>
        <v>165207.0251681995</v>
      </c>
      <c r="AF1098" s="4">
        <f>$M$1098*$Z$1098</f>
        <v>0</v>
      </c>
      <c r="AG1098" s="4">
        <f>$O$1098*$AA$1098</f>
        <v>0</v>
      </c>
    </row>
    <row r="1099" spans="1:33" ht="11.25" customHeight="1" x14ac:dyDescent="0.25">
      <c r="A1099" s="3" t="s">
        <v>27</v>
      </c>
      <c r="B1099" s="3" t="s">
        <v>41</v>
      </c>
      <c r="C1099" s="3" t="s">
        <v>42</v>
      </c>
      <c r="D1099" s="3" t="s">
        <v>45</v>
      </c>
      <c r="E1099" s="3" t="s">
        <v>25</v>
      </c>
      <c r="F1099" s="3" t="s">
        <v>25</v>
      </c>
      <c r="G1099" s="3" t="s">
        <v>25</v>
      </c>
      <c r="H1099" s="3" t="s">
        <v>25</v>
      </c>
      <c r="I1099" s="6">
        <v>44317</v>
      </c>
      <c r="J1099" s="4">
        <v>1</v>
      </c>
      <c r="K1099" s="56">
        <v>1</v>
      </c>
      <c r="L1099" s="4">
        <v>0</v>
      </c>
      <c r="M1099" s="56">
        <v>0</v>
      </c>
      <c r="N1099" s="4">
        <v>0</v>
      </c>
      <c r="O1099" s="56">
        <v>0</v>
      </c>
      <c r="P1099" s="4">
        <v>1</v>
      </c>
      <c r="Q1099" s="3" t="s">
        <v>26</v>
      </c>
      <c r="R1099" s="3">
        <v>0</v>
      </c>
      <c r="S1099" s="4">
        <v>44</v>
      </c>
      <c r="T1099" s="4">
        <v>0</v>
      </c>
      <c r="U1099" s="4">
        <v>0</v>
      </c>
      <c r="V1099" s="56">
        <f>IF(ISERROR(VLOOKUP($S$1099,'TAR FIN'!$A$1:$O$113,15,0)),0,VLOOKUP($S$1099,'TAR FIN'!$A$1:$O$113,15,0))*(1-0.04)</f>
        <v>23.337599999999998</v>
      </c>
      <c r="W1099" s="56">
        <f>IF(ISERROR(VLOOKUP($T$1099,'TAR FIN'!$A$1:$O$113,15,0)),0,VLOOKUP($T$1099,'TAR FIN'!$A$1:$O$113,15,0))</f>
        <v>0</v>
      </c>
      <c r="X1099" s="56">
        <f>IF(ISERROR(VLOOKUP($U$1099,'TAR FIN'!$A$1:$O$113,15,0)),0,VLOOKUP($U$1099,'TAR FIN'!$A$1:$O$113,15,0))</f>
        <v>0</v>
      </c>
      <c r="Y1099" s="56">
        <f ca="1">('TUSD BE'!$AM$30+'TUSD BF'!$AM$30+'TUSD CVA'!$AM$30)*1*(1-0.02)</f>
        <v>26.066113153707715</v>
      </c>
      <c r="Z1099" s="56"/>
      <c r="AA1099" s="56"/>
      <c r="AB1099" s="4">
        <f>$K$1099*$V$1099</f>
        <v>23.337599999999998</v>
      </c>
      <c r="AC1099" s="4">
        <f>$M$1099*$W$1099</f>
        <v>0</v>
      </c>
      <c r="AD1099" s="4">
        <f>$O$1099*$X$1099</f>
        <v>0</v>
      </c>
      <c r="AE1099" s="4">
        <f ca="1">$K$1099*$Y$1099</f>
        <v>26.066113153707715</v>
      </c>
      <c r="AF1099" s="4">
        <f>$M$1099*$Z$1099</f>
        <v>0</v>
      </c>
      <c r="AG1099" s="4">
        <f>$O$1099*$AA$1099</f>
        <v>0</v>
      </c>
    </row>
    <row r="1100" spans="1:33" ht="11.25" customHeight="1" x14ac:dyDescent="0.25">
      <c r="A1100" s="3" t="s">
        <v>28</v>
      </c>
      <c r="B1100" s="3" t="s">
        <v>41</v>
      </c>
      <c r="C1100" s="3" t="s">
        <v>42</v>
      </c>
      <c r="D1100" s="3" t="s">
        <v>45</v>
      </c>
      <c r="E1100" s="3" t="s">
        <v>25</v>
      </c>
      <c r="F1100" s="3" t="s">
        <v>25</v>
      </c>
      <c r="G1100" s="3" t="s">
        <v>25</v>
      </c>
      <c r="H1100" s="3" t="s">
        <v>25</v>
      </c>
      <c r="I1100" s="6">
        <v>44317</v>
      </c>
      <c r="J1100" s="4">
        <v>231</v>
      </c>
      <c r="K1100" s="56">
        <v>231</v>
      </c>
      <c r="L1100" s="4">
        <v>0</v>
      </c>
      <c r="M1100" s="56">
        <v>0</v>
      </c>
      <c r="N1100" s="4">
        <v>0</v>
      </c>
      <c r="O1100" s="56">
        <v>0</v>
      </c>
      <c r="P1100" s="4">
        <v>1</v>
      </c>
      <c r="Q1100" s="3" t="s">
        <v>26</v>
      </c>
      <c r="R1100" s="3">
        <v>0</v>
      </c>
      <c r="S1100" s="4">
        <v>44</v>
      </c>
      <c r="T1100" s="4">
        <v>0</v>
      </c>
      <c r="U1100" s="4">
        <v>0</v>
      </c>
      <c r="V1100" s="56">
        <f>IF(ISERROR(VLOOKUP($S$1100,'TAR FIN'!$A$1:$O$113,15,0)),0,VLOOKUP($S$1100,'TAR FIN'!$A$1:$O$113,15,0))*(1-0.04)</f>
        <v>23.337599999999998</v>
      </c>
      <c r="W1100" s="56">
        <f>IF(ISERROR(VLOOKUP($T$1100,'TAR FIN'!$A$1:$O$113,15,0)),0,VLOOKUP($T$1100,'TAR FIN'!$A$1:$O$113,15,0))</f>
        <v>0</v>
      </c>
      <c r="X1100" s="56">
        <f>IF(ISERROR(VLOOKUP($U$1100,'TAR FIN'!$A$1:$O$113,15,0)),0,VLOOKUP($U$1100,'TAR FIN'!$A$1:$O$113,15,0))</f>
        <v>0</v>
      </c>
      <c r="Y1100" s="56">
        <f ca="1">('TUSD BE'!$AM$30+'TUSD BF'!$AM$30+'TUSD CVA'!$AM$30)*1*(1-0.02)</f>
        <v>26.066113153707715</v>
      </c>
      <c r="Z1100" s="56"/>
      <c r="AA1100" s="56"/>
      <c r="AB1100" s="4">
        <f>$K$1100*$V$1100</f>
        <v>5390.9856</v>
      </c>
      <c r="AC1100" s="4">
        <f>$M$1100*$W$1100</f>
        <v>0</v>
      </c>
      <c r="AD1100" s="4">
        <f>$O$1100*$X$1100</f>
        <v>0</v>
      </c>
      <c r="AE1100" s="4">
        <f ca="1">$K$1100*$Y$1100</f>
        <v>6021.2721385064824</v>
      </c>
      <c r="AF1100" s="4">
        <f>$M$1100*$Z$1100</f>
        <v>0</v>
      </c>
      <c r="AG1100" s="4">
        <f>$O$1100*$AA$1100</f>
        <v>0</v>
      </c>
    </row>
    <row r="1101" spans="1:33" ht="11.25" customHeight="1" x14ac:dyDescent="0.25">
      <c r="A1101" s="3" t="s">
        <v>21</v>
      </c>
      <c r="B1101" s="3" t="s">
        <v>41</v>
      </c>
      <c r="C1101" s="3" t="s">
        <v>42</v>
      </c>
      <c r="D1101" s="3" t="s">
        <v>45</v>
      </c>
      <c r="E1101" s="3" t="s">
        <v>25</v>
      </c>
      <c r="F1101" s="3" t="s">
        <v>25</v>
      </c>
      <c r="G1101" s="3" t="s">
        <v>25</v>
      </c>
      <c r="H1101" s="3" t="s">
        <v>25</v>
      </c>
      <c r="I1101" s="6">
        <v>44348</v>
      </c>
      <c r="J1101" s="4">
        <v>6919</v>
      </c>
      <c r="K1101" s="56">
        <v>6919</v>
      </c>
      <c r="L1101" s="4">
        <v>0</v>
      </c>
      <c r="M1101" s="56">
        <v>0</v>
      </c>
      <c r="N1101" s="4">
        <v>0</v>
      </c>
      <c r="O1101" s="56">
        <v>0</v>
      </c>
      <c r="P1101" s="4">
        <v>58</v>
      </c>
      <c r="Q1101" s="3" t="s">
        <v>26</v>
      </c>
      <c r="R1101" s="3">
        <v>0</v>
      </c>
      <c r="S1101" s="4">
        <v>44</v>
      </c>
      <c r="T1101" s="4">
        <v>0</v>
      </c>
      <c r="U1101" s="4">
        <v>0</v>
      </c>
      <c r="V1101" s="56">
        <f>IF(ISERROR(VLOOKUP($S$1101,'TAR FIN'!$A$1:$O$113,15,0)),0,VLOOKUP($S$1101,'TAR FIN'!$A$1:$O$113,15,0))*(1-0.04)</f>
        <v>23.337599999999998</v>
      </c>
      <c r="W1101" s="56">
        <f>IF(ISERROR(VLOOKUP($T$1101,'TAR FIN'!$A$1:$O$113,15,0)),0,VLOOKUP($T$1101,'TAR FIN'!$A$1:$O$113,15,0))</f>
        <v>0</v>
      </c>
      <c r="X1101" s="56">
        <f>IF(ISERROR(VLOOKUP($U$1101,'TAR FIN'!$A$1:$O$113,15,0)),0,VLOOKUP($U$1101,'TAR FIN'!$A$1:$O$113,15,0))</f>
        <v>0</v>
      </c>
      <c r="Y1101" s="56">
        <f ca="1">('TUSD BE'!$AM$30+'TUSD BF'!$AM$30+'TUSD CVA'!$AM$30)*1*(1-0.02)</f>
        <v>26.066113153707715</v>
      </c>
      <c r="Z1101" s="56"/>
      <c r="AA1101" s="56"/>
      <c r="AB1101" s="4">
        <f>$K$1101*$V$1101</f>
        <v>161472.85439999998</v>
      </c>
      <c r="AC1101" s="4">
        <f>$M$1101*$W$1101</f>
        <v>0</v>
      </c>
      <c r="AD1101" s="4">
        <f>$O$1101*$X$1101</f>
        <v>0</v>
      </c>
      <c r="AE1101" s="4">
        <f ca="1">$K$1101*$Y$1101</f>
        <v>180351.43691050369</v>
      </c>
      <c r="AF1101" s="4">
        <f>$M$1101*$Z$1101</f>
        <v>0</v>
      </c>
      <c r="AG1101" s="4">
        <f>$O$1101*$AA$1101</f>
        <v>0</v>
      </c>
    </row>
    <row r="1102" spans="1:33" ht="11.25" customHeight="1" x14ac:dyDescent="0.25">
      <c r="A1102" s="3" t="s">
        <v>28</v>
      </c>
      <c r="B1102" s="3" t="s">
        <v>41</v>
      </c>
      <c r="C1102" s="3" t="s">
        <v>42</v>
      </c>
      <c r="D1102" s="3" t="s">
        <v>45</v>
      </c>
      <c r="E1102" s="3" t="s">
        <v>25</v>
      </c>
      <c r="F1102" s="3" t="s">
        <v>25</v>
      </c>
      <c r="G1102" s="3" t="s">
        <v>25</v>
      </c>
      <c r="H1102" s="3" t="s">
        <v>25</v>
      </c>
      <c r="I1102" s="6">
        <v>44348</v>
      </c>
      <c r="J1102" s="4">
        <v>238</v>
      </c>
      <c r="K1102" s="56">
        <v>238</v>
      </c>
      <c r="L1102" s="4">
        <v>0</v>
      </c>
      <c r="M1102" s="56">
        <v>0</v>
      </c>
      <c r="N1102" s="4">
        <v>0</v>
      </c>
      <c r="O1102" s="56">
        <v>0</v>
      </c>
      <c r="P1102" s="4">
        <v>1</v>
      </c>
      <c r="Q1102" s="3" t="s">
        <v>26</v>
      </c>
      <c r="R1102" s="3">
        <v>0</v>
      </c>
      <c r="S1102" s="4">
        <v>44</v>
      </c>
      <c r="T1102" s="4">
        <v>0</v>
      </c>
      <c r="U1102" s="4">
        <v>0</v>
      </c>
      <c r="V1102" s="56">
        <f>IF(ISERROR(VLOOKUP($S$1102,'TAR FIN'!$A$1:$O$113,15,0)),0,VLOOKUP($S$1102,'TAR FIN'!$A$1:$O$113,15,0))*(1-0.04)</f>
        <v>23.337599999999998</v>
      </c>
      <c r="W1102" s="56">
        <f>IF(ISERROR(VLOOKUP($T$1102,'TAR FIN'!$A$1:$O$113,15,0)),0,VLOOKUP($T$1102,'TAR FIN'!$A$1:$O$113,15,0))</f>
        <v>0</v>
      </c>
      <c r="X1102" s="56">
        <f>IF(ISERROR(VLOOKUP($U$1102,'TAR FIN'!$A$1:$O$113,15,0)),0,VLOOKUP($U$1102,'TAR FIN'!$A$1:$O$113,15,0))</f>
        <v>0</v>
      </c>
      <c r="Y1102" s="56">
        <f ca="1">('TUSD BE'!$AM$30+'TUSD BF'!$AM$30+'TUSD CVA'!$AM$30)*1*(1-0.02)</f>
        <v>26.066113153707715</v>
      </c>
      <c r="Z1102" s="56"/>
      <c r="AA1102" s="56"/>
      <c r="AB1102" s="4">
        <f>$K$1102*$V$1102</f>
        <v>5554.3487999999998</v>
      </c>
      <c r="AC1102" s="4">
        <f>$M$1102*$W$1102</f>
        <v>0</v>
      </c>
      <c r="AD1102" s="4">
        <f>$O$1102*$X$1102</f>
        <v>0</v>
      </c>
      <c r="AE1102" s="4">
        <f ca="1">$K$1102*$Y$1102</f>
        <v>6203.7349305824364</v>
      </c>
      <c r="AF1102" s="4">
        <f>$M$1102*$Z$1102</f>
        <v>0</v>
      </c>
      <c r="AG1102" s="4">
        <f>$O$1102*$AA$1102</f>
        <v>0</v>
      </c>
    </row>
    <row r="1103" spans="1:33" ht="11.25" customHeight="1" x14ac:dyDescent="0.25">
      <c r="A1103" s="3" t="s">
        <v>21</v>
      </c>
      <c r="B1103" s="3" t="s">
        <v>41</v>
      </c>
      <c r="C1103" s="3" t="s">
        <v>42</v>
      </c>
      <c r="D1103" s="3" t="s">
        <v>45</v>
      </c>
      <c r="E1103" s="3" t="s">
        <v>25</v>
      </c>
      <c r="F1103" s="3" t="s">
        <v>25</v>
      </c>
      <c r="G1103" s="3" t="s">
        <v>25</v>
      </c>
      <c r="H1103" s="3" t="s">
        <v>25</v>
      </c>
      <c r="I1103" s="6">
        <v>44378</v>
      </c>
      <c r="J1103" s="4">
        <v>5884</v>
      </c>
      <c r="K1103" s="56">
        <v>5884</v>
      </c>
      <c r="L1103" s="4">
        <v>0</v>
      </c>
      <c r="M1103" s="56">
        <v>0</v>
      </c>
      <c r="N1103" s="4">
        <v>0</v>
      </c>
      <c r="O1103" s="56">
        <v>0</v>
      </c>
      <c r="P1103" s="4">
        <v>59</v>
      </c>
      <c r="Q1103" s="3" t="s">
        <v>26</v>
      </c>
      <c r="R1103" s="3">
        <v>0</v>
      </c>
      <c r="S1103" s="4">
        <v>44</v>
      </c>
      <c r="T1103" s="4">
        <v>0</v>
      </c>
      <c r="U1103" s="4">
        <v>0</v>
      </c>
      <c r="V1103" s="56">
        <f>IF(ISERROR(VLOOKUP($S$1103,'TAR FIN'!$A$1:$O$113,15,0)),0,VLOOKUP($S$1103,'TAR FIN'!$A$1:$O$113,15,0))*(1-0.04)</f>
        <v>23.337599999999998</v>
      </c>
      <c r="W1103" s="56">
        <f>IF(ISERROR(VLOOKUP($T$1103,'TAR FIN'!$A$1:$O$113,15,0)),0,VLOOKUP($T$1103,'TAR FIN'!$A$1:$O$113,15,0))</f>
        <v>0</v>
      </c>
      <c r="X1103" s="56">
        <f>IF(ISERROR(VLOOKUP($U$1103,'TAR FIN'!$A$1:$O$113,15,0)),0,VLOOKUP($U$1103,'TAR FIN'!$A$1:$O$113,15,0))</f>
        <v>0</v>
      </c>
      <c r="Y1103" s="56">
        <f ca="1">('TUSD BE'!$AM$30+'TUSD BF'!$AM$30+'TUSD CVA'!$AM$30)*1*(1-0.02)</f>
        <v>26.066113153707715</v>
      </c>
      <c r="Z1103" s="56"/>
      <c r="AA1103" s="56"/>
      <c r="AB1103" s="4">
        <f>$K$1103*$V$1103</f>
        <v>137318.43839999998</v>
      </c>
      <c r="AC1103" s="4">
        <f>$M$1103*$W$1103</f>
        <v>0</v>
      </c>
      <c r="AD1103" s="4">
        <f>$O$1103*$X$1103</f>
        <v>0</v>
      </c>
      <c r="AE1103" s="4">
        <f ca="1">$K$1103*$Y$1103</f>
        <v>153373.00979641618</v>
      </c>
      <c r="AF1103" s="4">
        <f>$M$1103*$Z$1103</f>
        <v>0</v>
      </c>
      <c r="AG1103" s="4">
        <f>$O$1103*$AA$1103</f>
        <v>0</v>
      </c>
    </row>
    <row r="1104" spans="1:33" ht="11.25" customHeight="1" x14ac:dyDescent="0.25">
      <c r="A1104" s="3" t="s">
        <v>27</v>
      </c>
      <c r="B1104" s="3" t="s">
        <v>41</v>
      </c>
      <c r="C1104" s="3" t="s">
        <v>42</v>
      </c>
      <c r="D1104" s="3" t="s">
        <v>45</v>
      </c>
      <c r="E1104" s="3" t="s">
        <v>25</v>
      </c>
      <c r="F1104" s="3" t="s">
        <v>25</v>
      </c>
      <c r="G1104" s="3" t="s">
        <v>25</v>
      </c>
      <c r="H1104" s="3" t="s">
        <v>25</v>
      </c>
      <c r="I1104" s="6">
        <v>44378</v>
      </c>
      <c r="J1104" s="4">
        <v>3</v>
      </c>
      <c r="K1104" s="56">
        <v>3</v>
      </c>
      <c r="L1104" s="4">
        <v>0</v>
      </c>
      <c r="M1104" s="56">
        <v>0</v>
      </c>
      <c r="N1104" s="4">
        <v>0</v>
      </c>
      <c r="O1104" s="56">
        <v>0</v>
      </c>
      <c r="P1104" s="4">
        <v>0</v>
      </c>
      <c r="Q1104" s="3" t="s">
        <v>26</v>
      </c>
      <c r="R1104" s="3">
        <v>0</v>
      </c>
      <c r="S1104" s="4">
        <v>44</v>
      </c>
      <c r="T1104" s="4">
        <v>0</v>
      </c>
      <c r="U1104" s="4">
        <v>0</v>
      </c>
      <c r="V1104" s="56">
        <f>IF(ISERROR(VLOOKUP($S$1104,'TAR FIN'!$A$1:$O$113,15,0)),0,VLOOKUP($S$1104,'TAR FIN'!$A$1:$O$113,15,0))*(1-0.04)</f>
        <v>23.337599999999998</v>
      </c>
      <c r="W1104" s="56">
        <f>IF(ISERROR(VLOOKUP($T$1104,'TAR FIN'!$A$1:$O$113,15,0)),0,VLOOKUP($T$1104,'TAR FIN'!$A$1:$O$113,15,0))</f>
        <v>0</v>
      </c>
      <c r="X1104" s="56">
        <f>IF(ISERROR(VLOOKUP($U$1104,'TAR FIN'!$A$1:$O$113,15,0)),0,VLOOKUP($U$1104,'TAR FIN'!$A$1:$O$113,15,0))</f>
        <v>0</v>
      </c>
      <c r="Y1104" s="56">
        <f ca="1">('TUSD BE'!$AM$30+'TUSD BF'!$AM$30+'TUSD CVA'!$AM$30)*1*(1-0.02)</f>
        <v>26.066113153707715</v>
      </c>
      <c r="Z1104" s="56"/>
      <c r="AA1104" s="56"/>
      <c r="AB1104" s="4">
        <f>$K$1104*$V$1104</f>
        <v>70.012799999999999</v>
      </c>
      <c r="AC1104" s="4">
        <f>$M$1104*$W$1104</f>
        <v>0</v>
      </c>
      <c r="AD1104" s="4">
        <f>$O$1104*$X$1104</f>
        <v>0</v>
      </c>
      <c r="AE1104" s="4">
        <f ca="1">$K$1104*$Y$1104</f>
        <v>78.19833946112314</v>
      </c>
      <c r="AF1104" s="4">
        <f>$M$1104*$Z$1104</f>
        <v>0</v>
      </c>
      <c r="AG1104" s="4">
        <f>$O$1104*$AA$1104</f>
        <v>0</v>
      </c>
    </row>
    <row r="1105" spans="1:33" ht="11.25" customHeight="1" x14ac:dyDescent="0.25">
      <c r="A1105" s="3" t="s">
        <v>28</v>
      </c>
      <c r="B1105" s="3" t="s">
        <v>41</v>
      </c>
      <c r="C1105" s="3" t="s">
        <v>42</v>
      </c>
      <c r="D1105" s="3" t="s">
        <v>45</v>
      </c>
      <c r="E1105" s="3" t="s">
        <v>25</v>
      </c>
      <c r="F1105" s="3" t="s">
        <v>25</v>
      </c>
      <c r="G1105" s="3" t="s">
        <v>25</v>
      </c>
      <c r="H1105" s="3" t="s">
        <v>25</v>
      </c>
      <c r="I1105" s="6">
        <v>44378</v>
      </c>
      <c r="J1105" s="4">
        <v>206</v>
      </c>
      <c r="K1105" s="56">
        <v>206</v>
      </c>
      <c r="L1105" s="4">
        <v>0</v>
      </c>
      <c r="M1105" s="56">
        <v>0</v>
      </c>
      <c r="N1105" s="4">
        <v>0</v>
      </c>
      <c r="O1105" s="56">
        <v>0</v>
      </c>
      <c r="P1105" s="4">
        <v>1</v>
      </c>
      <c r="Q1105" s="3" t="s">
        <v>26</v>
      </c>
      <c r="R1105" s="3">
        <v>0</v>
      </c>
      <c r="S1105" s="4">
        <v>44</v>
      </c>
      <c r="T1105" s="4">
        <v>0</v>
      </c>
      <c r="U1105" s="4">
        <v>0</v>
      </c>
      <c r="V1105" s="56">
        <f>IF(ISERROR(VLOOKUP($S$1105,'TAR FIN'!$A$1:$O$113,15,0)),0,VLOOKUP($S$1105,'TAR FIN'!$A$1:$O$113,15,0))*(1-0.04)</f>
        <v>23.337599999999998</v>
      </c>
      <c r="W1105" s="56">
        <f>IF(ISERROR(VLOOKUP($T$1105,'TAR FIN'!$A$1:$O$113,15,0)),0,VLOOKUP($T$1105,'TAR FIN'!$A$1:$O$113,15,0))</f>
        <v>0</v>
      </c>
      <c r="X1105" s="56">
        <f>IF(ISERROR(VLOOKUP($U$1105,'TAR FIN'!$A$1:$O$113,15,0)),0,VLOOKUP($U$1105,'TAR FIN'!$A$1:$O$113,15,0))</f>
        <v>0</v>
      </c>
      <c r="Y1105" s="56">
        <f ca="1">('TUSD BE'!$AM$30+'TUSD BF'!$AM$30+'TUSD CVA'!$AM$30)*1*(1-0.02)</f>
        <v>26.066113153707715</v>
      </c>
      <c r="Z1105" s="56"/>
      <c r="AA1105" s="56"/>
      <c r="AB1105" s="4">
        <f>$K$1105*$V$1105</f>
        <v>4807.5455999999995</v>
      </c>
      <c r="AC1105" s="4">
        <f>$M$1105*$W$1105</f>
        <v>0</v>
      </c>
      <c r="AD1105" s="4">
        <f>$O$1105*$X$1105</f>
        <v>0</v>
      </c>
      <c r="AE1105" s="4">
        <f ca="1">$K$1105*$Y$1105</f>
        <v>5369.619309663789</v>
      </c>
      <c r="AF1105" s="4">
        <f>$M$1105*$Z$1105</f>
        <v>0</v>
      </c>
      <c r="AG1105" s="4">
        <f>$O$1105*$AA$1105</f>
        <v>0</v>
      </c>
    </row>
    <row r="1106" spans="1:33" ht="11.25" customHeight="1" x14ac:dyDescent="0.25">
      <c r="A1106" s="3" t="s">
        <v>21</v>
      </c>
      <c r="B1106" s="3" t="s">
        <v>41</v>
      </c>
      <c r="C1106" s="3" t="s">
        <v>42</v>
      </c>
      <c r="D1106" s="3" t="s">
        <v>45</v>
      </c>
      <c r="E1106" s="3" t="s">
        <v>25</v>
      </c>
      <c r="F1106" s="3" t="s">
        <v>25</v>
      </c>
      <c r="G1106" s="3" t="s">
        <v>25</v>
      </c>
      <c r="H1106" s="3" t="s">
        <v>25</v>
      </c>
      <c r="I1106" s="6">
        <v>44409</v>
      </c>
      <c r="J1106" s="4">
        <v>7219</v>
      </c>
      <c r="K1106" s="56">
        <v>7219</v>
      </c>
      <c r="L1106" s="4">
        <v>0</v>
      </c>
      <c r="M1106" s="56">
        <v>0</v>
      </c>
      <c r="N1106" s="4">
        <v>0</v>
      </c>
      <c r="O1106" s="56">
        <v>0</v>
      </c>
      <c r="P1106" s="4">
        <v>64</v>
      </c>
      <c r="Q1106" s="3" t="s">
        <v>26</v>
      </c>
      <c r="R1106" s="3">
        <v>0</v>
      </c>
      <c r="S1106" s="4">
        <v>44</v>
      </c>
      <c r="T1106" s="4">
        <v>0</v>
      </c>
      <c r="U1106" s="4">
        <v>0</v>
      </c>
      <c r="V1106" s="56">
        <f>IF(ISERROR(VLOOKUP($S$1106,'TAR FIN'!$A$1:$O$113,15,0)),0,VLOOKUP($S$1106,'TAR FIN'!$A$1:$O$113,15,0))*(1-0.04)</f>
        <v>23.337599999999998</v>
      </c>
      <c r="W1106" s="56">
        <f>IF(ISERROR(VLOOKUP($T$1106,'TAR FIN'!$A$1:$O$113,15,0)),0,VLOOKUP($T$1106,'TAR FIN'!$A$1:$O$113,15,0))</f>
        <v>0</v>
      </c>
      <c r="X1106" s="56">
        <f>IF(ISERROR(VLOOKUP($U$1106,'TAR FIN'!$A$1:$O$113,15,0)),0,VLOOKUP($U$1106,'TAR FIN'!$A$1:$O$113,15,0))</f>
        <v>0</v>
      </c>
      <c r="Y1106" s="56">
        <f ca="1">('TUSD BE'!$AM$30+'TUSD BF'!$AM$30+'TUSD CVA'!$AM$30)*1*(1-0.02)</f>
        <v>26.066113153707715</v>
      </c>
      <c r="Z1106" s="56"/>
      <c r="AA1106" s="56"/>
      <c r="AB1106" s="4">
        <f>$K$1106*$V$1106</f>
        <v>168474.13439999998</v>
      </c>
      <c r="AC1106" s="4">
        <f>$M$1106*$W$1106</f>
        <v>0</v>
      </c>
      <c r="AD1106" s="4">
        <f>$O$1106*$X$1106</f>
        <v>0</v>
      </c>
      <c r="AE1106" s="4">
        <f ca="1">$K$1106*$Y$1106</f>
        <v>188171.270856616</v>
      </c>
      <c r="AF1106" s="4">
        <f>$M$1106*$Z$1106</f>
        <v>0</v>
      </c>
      <c r="AG1106" s="4">
        <f>$O$1106*$AA$1106</f>
        <v>0</v>
      </c>
    </row>
    <row r="1107" spans="1:33" ht="11.25" customHeight="1" x14ac:dyDescent="0.25">
      <c r="A1107" s="3" t="s">
        <v>27</v>
      </c>
      <c r="B1107" s="3" t="s">
        <v>41</v>
      </c>
      <c r="C1107" s="3" t="s">
        <v>42</v>
      </c>
      <c r="D1107" s="3" t="s">
        <v>45</v>
      </c>
      <c r="E1107" s="3" t="s">
        <v>25</v>
      </c>
      <c r="F1107" s="3" t="s">
        <v>25</v>
      </c>
      <c r="G1107" s="3" t="s">
        <v>25</v>
      </c>
      <c r="H1107" s="3" t="s">
        <v>25</v>
      </c>
      <c r="I1107" s="6">
        <v>44409</v>
      </c>
      <c r="J1107" s="4">
        <v>2</v>
      </c>
      <c r="K1107" s="56">
        <v>2</v>
      </c>
      <c r="L1107" s="4">
        <v>0</v>
      </c>
      <c r="M1107" s="56">
        <v>0</v>
      </c>
      <c r="N1107" s="4">
        <v>0</v>
      </c>
      <c r="O1107" s="56">
        <v>0</v>
      </c>
      <c r="P1107" s="4">
        <v>-2</v>
      </c>
      <c r="Q1107" s="3" t="s">
        <v>26</v>
      </c>
      <c r="R1107" s="3">
        <v>0</v>
      </c>
      <c r="S1107" s="4">
        <v>44</v>
      </c>
      <c r="T1107" s="4">
        <v>0</v>
      </c>
      <c r="U1107" s="4">
        <v>0</v>
      </c>
      <c r="V1107" s="56">
        <f>IF(ISERROR(VLOOKUP($S$1107,'TAR FIN'!$A$1:$O$113,15,0)),0,VLOOKUP($S$1107,'TAR FIN'!$A$1:$O$113,15,0))*(1-0.04)</f>
        <v>23.337599999999998</v>
      </c>
      <c r="W1107" s="56">
        <f>IF(ISERROR(VLOOKUP($T$1107,'TAR FIN'!$A$1:$O$113,15,0)),0,VLOOKUP($T$1107,'TAR FIN'!$A$1:$O$113,15,0))</f>
        <v>0</v>
      </c>
      <c r="X1107" s="56">
        <f>IF(ISERROR(VLOOKUP($U$1107,'TAR FIN'!$A$1:$O$113,15,0)),0,VLOOKUP($U$1107,'TAR FIN'!$A$1:$O$113,15,0))</f>
        <v>0</v>
      </c>
      <c r="Y1107" s="56">
        <f ca="1">('TUSD BE'!$AM$30+'TUSD BF'!$AM$30+'TUSD CVA'!$AM$30)*1*(1-0.02)</f>
        <v>26.066113153707715</v>
      </c>
      <c r="Z1107" s="56"/>
      <c r="AA1107" s="56"/>
      <c r="AB1107" s="4">
        <f>$K$1107*$V$1107</f>
        <v>46.675199999999997</v>
      </c>
      <c r="AC1107" s="4">
        <f>$M$1107*$W$1107</f>
        <v>0</v>
      </c>
      <c r="AD1107" s="4">
        <f>$O$1107*$X$1107</f>
        <v>0</v>
      </c>
      <c r="AE1107" s="4">
        <f ca="1">$K$1107*$Y$1107</f>
        <v>52.132226307415429</v>
      </c>
      <c r="AF1107" s="4">
        <f>$M$1107*$Z$1107</f>
        <v>0</v>
      </c>
      <c r="AG1107" s="4">
        <f>$O$1107*$AA$1107</f>
        <v>0</v>
      </c>
    </row>
    <row r="1108" spans="1:33" ht="11.25" customHeight="1" x14ac:dyDescent="0.25">
      <c r="A1108" s="3" t="s">
        <v>28</v>
      </c>
      <c r="B1108" s="3" t="s">
        <v>41</v>
      </c>
      <c r="C1108" s="3" t="s">
        <v>42</v>
      </c>
      <c r="D1108" s="3" t="s">
        <v>45</v>
      </c>
      <c r="E1108" s="3" t="s">
        <v>25</v>
      </c>
      <c r="F1108" s="3" t="s">
        <v>25</v>
      </c>
      <c r="G1108" s="3" t="s">
        <v>25</v>
      </c>
      <c r="H1108" s="3" t="s">
        <v>25</v>
      </c>
      <c r="I1108" s="6">
        <v>44409</v>
      </c>
      <c r="J1108" s="4">
        <v>203</v>
      </c>
      <c r="K1108" s="56">
        <v>203</v>
      </c>
      <c r="L1108" s="4">
        <v>0</v>
      </c>
      <c r="M1108" s="56">
        <v>0</v>
      </c>
      <c r="N1108" s="4">
        <v>0</v>
      </c>
      <c r="O1108" s="56">
        <v>0</v>
      </c>
      <c r="P1108" s="4">
        <v>1</v>
      </c>
      <c r="Q1108" s="3" t="s">
        <v>26</v>
      </c>
      <c r="R1108" s="3">
        <v>0</v>
      </c>
      <c r="S1108" s="4">
        <v>44</v>
      </c>
      <c r="T1108" s="4">
        <v>0</v>
      </c>
      <c r="U1108" s="4">
        <v>0</v>
      </c>
      <c r="V1108" s="56">
        <f>IF(ISERROR(VLOOKUP($S$1108,'TAR FIN'!$A$1:$O$113,15,0)),0,VLOOKUP($S$1108,'TAR FIN'!$A$1:$O$113,15,0))*(1-0.04)</f>
        <v>23.337599999999998</v>
      </c>
      <c r="W1108" s="56">
        <f>IF(ISERROR(VLOOKUP($T$1108,'TAR FIN'!$A$1:$O$113,15,0)),0,VLOOKUP($T$1108,'TAR FIN'!$A$1:$O$113,15,0))</f>
        <v>0</v>
      </c>
      <c r="X1108" s="56">
        <f>IF(ISERROR(VLOOKUP($U$1108,'TAR FIN'!$A$1:$O$113,15,0)),0,VLOOKUP($U$1108,'TAR FIN'!$A$1:$O$113,15,0))</f>
        <v>0</v>
      </c>
      <c r="Y1108" s="56">
        <f ca="1">('TUSD BE'!$AM$30+'TUSD BF'!$AM$30+'TUSD CVA'!$AM$30)*1*(1-0.02)</f>
        <v>26.066113153707715</v>
      </c>
      <c r="Z1108" s="56"/>
      <c r="AA1108" s="56"/>
      <c r="AB1108" s="4">
        <f>$K$1108*$V$1108</f>
        <v>4737.5328</v>
      </c>
      <c r="AC1108" s="4">
        <f>$M$1108*$W$1108</f>
        <v>0</v>
      </c>
      <c r="AD1108" s="4">
        <f>$O$1108*$X$1108</f>
        <v>0</v>
      </c>
      <c r="AE1108" s="4">
        <f ca="1">$K$1108*$Y$1108</f>
        <v>5291.4209702026665</v>
      </c>
      <c r="AF1108" s="4">
        <f>$M$1108*$Z$1108</f>
        <v>0</v>
      </c>
      <c r="AG1108" s="4">
        <f>$O$1108*$AA$1108</f>
        <v>0</v>
      </c>
    </row>
    <row r="1109" spans="1:33" ht="11.25" customHeight="1" x14ac:dyDescent="0.25">
      <c r="A1109" s="3" t="s">
        <v>21</v>
      </c>
      <c r="B1109" s="3" t="s">
        <v>41</v>
      </c>
      <c r="C1109" s="3" t="s">
        <v>42</v>
      </c>
      <c r="D1109" s="3" t="s">
        <v>45</v>
      </c>
      <c r="E1109" s="3" t="s">
        <v>25</v>
      </c>
      <c r="F1109" s="3" t="s">
        <v>25</v>
      </c>
      <c r="G1109" s="3" t="s">
        <v>25</v>
      </c>
      <c r="H1109" s="3" t="s">
        <v>25</v>
      </c>
      <c r="I1109" s="6">
        <v>44440</v>
      </c>
      <c r="J1109" s="4">
        <v>8743</v>
      </c>
      <c r="K1109" s="56">
        <v>8743</v>
      </c>
      <c r="L1109" s="4">
        <v>0</v>
      </c>
      <c r="M1109" s="56">
        <v>0</v>
      </c>
      <c r="N1109" s="4">
        <v>0</v>
      </c>
      <c r="O1109" s="56">
        <v>0</v>
      </c>
      <c r="P1109" s="4">
        <v>55</v>
      </c>
      <c r="Q1109" s="3" t="s">
        <v>26</v>
      </c>
      <c r="R1109" s="3">
        <v>0</v>
      </c>
      <c r="S1109" s="4">
        <v>44</v>
      </c>
      <c r="T1109" s="4">
        <v>0</v>
      </c>
      <c r="U1109" s="4">
        <v>0</v>
      </c>
      <c r="V1109" s="56">
        <f>IF(ISERROR(VLOOKUP($S$1109,'TAR FIN'!$A$1:$O$113,15,0)),0,VLOOKUP($S$1109,'TAR FIN'!$A$1:$O$113,15,0))*(1-0.04)</f>
        <v>23.337599999999998</v>
      </c>
      <c r="W1109" s="56">
        <f>IF(ISERROR(VLOOKUP($T$1109,'TAR FIN'!$A$1:$O$113,15,0)),0,VLOOKUP($T$1109,'TAR FIN'!$A$1:$O$113,15,0))</f>
        <v>0</v>
      </c>
      <c r="X1109" s="56">
        <f>IF(ISERROR(VLOOKUP($U$1109,'TAR FIN'!$A$1:$O$113,15,0)),0,VLOOKUP($U$1109,'TAR FIN'!$A$1:$O$113,15,0))</f>
        <v>0</v>
      </c>
      <c r="Y1109" s="56">
        <f ca="1">('TUSD BE'!$AM$30+'TUSD BF'!$AM$30+'TUSD CVA'!$AM$30)*1*(1-0.02)</f>
        <v>26.066113153707715</v>
      </c>
      <c r="Z1109" s="56"/>
      <c r="AA1109" s="56"/>
      <c r="AB1109" s="4">
        <f>$K$1109*$V$1109</f>
        <v>204040.63679999998</v>
      </c>
      <c r="AC1109" s="4">
        <f>$M$1109*$W$1109</f>
        <v>0</v>
      </c>
      <c r="AD1109" s="4">
        <f>$O$1109*$X$1109</f>
        <v>0</v>
      </c>
      <c r="AE1109" s="4">
        <f ca="1">$K$1109*$Y$1109</f>
        <v>227896.02730286654</v>
      </c>
      <c r="AF1109" s="4">
        <f>$M$1109*$Z$1109</f>
        <v>0</v>
      </c>
      <c r="AG1109" s="4">
        <f>$O$1109*$AA$1109</f>
        <v>0</v>
      </c>
    </row>
    <row r="1110" spans="1:33" ht="11.25" customHeight="1" x14ac:dyDescent="0.25">
      <c r="A1110" s="3" t="s">
        <v>28</v>
      </c>
      <c r="B1110" s="3" t="s">
        <v>41</v>
      </c>
      <c r="C1110" s="3" t="s">
        <v>42</v>
      </c>
      <c r="D1110" s="3" t="s">
        <v>45</v>
      </c>
      <c r="E1110" s="3" t="s">
        <v>25</v>
      </c>
      <c r="F1110" s="3" t="s">
        <v>25</v>
      </c>
      <c r="G1110" s="3" t="s">
        <v>25</v>
      </c>
      <c r="H1110" s="3" t="s">
        <v>25</v>
      </c>
      <c r="I1110" s="6">
        <v>44440</v>
      </c>
      <c r="J1110" s="4">
        <v>171</v>
      </c>
      <c r="K1110" s="56">
        <v>171</v>
      </c>
      <c r="L1110" s="4">
        <v>0</v>
      </c>
      <c r="M1110" s="56">
        <v>0</v>
      </c>
      <c r="N1110" s="4">
        <v>0</v>
      </c>
      <c r="O1110" s="56">
        <v>0</v>
      </c>
      <c r="P1110" s="4">
        <v>1</v>
      </c>
      <c r="Q1110" s="3" t="s">
        <v>26</v>
      </c>
      <c r="R1110" s="3">
        <v>0</v>
      </c>
      <c r="S1110" s="4">
        <v>44</v>
      </c>
      <c r="T1110" s="4">
        <v>0</v>
      </c>
      <c r="U1110" s="4">
        <v>0</v>
      </c>
      <c r="V1110" s="56">
        <f>IF(ISERROR(VLOOKUP($S$1110,'TAR FIN'!$A$1:$O$113,15,0)),0,VLOOKUP($S$1110,'TAR FIN'!$A$1:$O$113,15,0))*(1-0.04)</f>
        <v>23.337599999999998</v>
      </c>
      <c r="W1110" s="56">
        <f>IF(ISERROR(VLOOKUP($T$1110,'TAR FIN'!$A$1:$O$113,15,0)),0,VLOOKUP($T$1110,'TAR FIN'!$A$1:$O$113,15,0))</f>
        <v>0</v>
      </c>
      <c r="X1110" s="56">
        <f>IF(ISERROR(VLOOKUP($U$1110,'TAR FIN'!$A$1:$O$113,15,0)),0,VLOOKUP($U$1110,'TAR FIN'!$A$1:$O$113,15,0))</f>
        <v>0</v>
      </c>
      <c r="Y1110" s="56">
        <f ca="1">('TUSD BE'!$AM$30+'TUSD BF'!$AM$30+'TUSD CVA'!$AM$30)*1*(1-0.02)</f>
        <v>26.066113153707715</v>
      </c>
      <c r="Z1110" s="56"/>
      <c r="AA1110" s="56"/>
      <c r="AB1110" s="4">
        <f>$K$1110*$V$1110</f>
        <v>3990.7295999999997</v>
      </c>
      <c r="AC1110" s="4">
        <f>$M$1110*$W$1110</f>
        <v>0</v>
      </c>
      <c r="AD1110" s="4">
        <f>$O$1110*$X$1110</f>
        <v>0</v>
      </c>
      <c r="AE1110" s="4">
        <f ca="1">$K$1110*$Y$1110</f>
        <v>4457.305349284019</v>
      </c>
      <c r="AF1110" s="4">
        <f>$M$1110*$Z$1110</f>
        <v>0</v>
      </c>
      <c r="AG1110" s="4">
        <f>$O$1110*$AA$1110</f>
        <v>0</v>
      </c>
    </row>
    <row r="1111" spans="1:33" ht="11.25" customHeight="1" x14ac:dyDescent="0.25">
      <c r="A1111" s="3" t="s">
        <v>21</v>
      </c>
      <c r="B1111" s="3" t="s">
        <v>41</v>
      </c>
      <c r="C1111" s="3" t="s">
        <v>42</v>
      </c>
      <c r="D1111" s="3" t="s">
        <v>45</v>
      </c>
      <c r="E1111" s="3" t="s">
        <v>25</v>
      </c>
      <c r="F1111" s="3" t="s">
        <v>25</v>
      </c>
      <c r="G1111" s="3" t="s">
        <v>25</v>
      </c>
      <c r="H1111" s="3" t="s">
        <v>25</v>
      </c>
      <c r="I1111" s="6">
        <v>44470</v>
      </c>
      <c r="J1111" s="4">
        <v>9526</v>
      </c>
      <c r="K1111" s="56">
        <v>9526</v>
      </c>
      <c r="L1111" s="4">
        <v>0</v>
      </c>
      <c r="M1111" s="56">
        <v>0</v>
      </c>
      <c r="N1111" s="4">
        <v>0</v>
      </c>
      <c r="O1111" s="56">
        <v>0</v>
      </c>
      <c r="P1111" s="4">
        <v>51</v>
      </c>
      <c r="Q1111" s="3" t="s">
        <v>26</v>
      </c>
      <c r="R1111" s="3">
        <v>0</v>
      </c>
      <c r="S1111" s="4">
        <v>44</v>
      </c>
      <c r="T1111" s="4">
        <v>0</v>
      </c>
      <c r="U1111" s="4">
        <v>0</v>
      </c>
      <c r="V1111" s="56">
        <f>IF(ISERROR(VLOOKUP($S$1111,'TAR FIN'!$A$1:$O$113,15,0)),0,VLOOKUP($S$1111,'TAR FIN'!$A$1:$O$113,15,0))*(1-0.04)</f>
        <v>23.337599999999998</v>
      </c>
      <c r="W1111" s="56">
        <f>IF(ISERROR(VLOOKUP($T$1111,'TAR FIN'!$A$1:$O$113,15,0)),0,VLOOKUP($T$1111,'TAR FIN'!$A$1:$O$113,15,0))</f>
        <v>0</v>
      </c>
      <c r="X1111" s="56">
        <f>IF(ISERROR(VLOOKUP($U$1111,'TAR FIN'!$A$1:$O$113,15,0)),0,VLOOKUP($U$1111,'TAR FIN'!$A$1:$O$113,15,0))</f>
        <v>0</v>
      </c>
      <c r="Y1111" s="56">
        <f ca="1">('TUSD BE'!$AM$30+'TUSD BF'!$AM$30+'TUSD CVA'!$AM$30)*1*(1-0.02)</f>
        <v>26.066113153707715</v>
      </c>
      <c r="Z1111" s="56"/>
      <c r="AA1111" s="56"/>
      <c r="AB1111" s="4">
        <f>$K$1111*$V$1111</f>
        <v>222313.97759999998</v>
      </c>
      <c r="AC1111" s="4">
        <f>$M$1111*$W$1111</f>
        <v>0</v>
      </c>
      <c r="AD1111" s="4">
        <f>$O$1111*$X$1111</f>
        <v>0</v>
      </c>
      <c r="AE1111" s="4">
        <f ca="1">$K$1111*$Y$1111</f>
        <v>248305.79390221968</v>
      </c>
      <c r="AF1111" s="4">
        <f>$M$1111*$Z$1111</f>
        <v>0</v>
      </c>
      <c r="AG1111" s="4">
        <f>$O$1111*$AA$1111</f>
        <v>0</v>
      </c>
    </row>
    <row r="1112" spans="1:33" ht="11.25" customHeight="1" x14ac:dyDescent="0.25">
      <c r="A1112" s="3" t="s">
        <v>28</v>
      </c>
      <c r="B1112" s="3" t="s">
        <v>41</v>
      </c>
      <c r="C1112" s="3" t="s">
        <v>42</v>
      </c>
      <c r="D1112" s="3" t="s">
        <v>45</v>
      </c>
      <c r="E1112" s="3" t="s">
        <v>25</v>
      </c>
      <c r="F1112" s="3" t="s">
        <v>25</v>
      </c>
      <c r="G1112" s="3" t="s">
        <v>25</v>
      </c>
      <c r="H1112" s="3" t="s">
        <v>25</v>
      </c>
      <c r="I1112" s="6">
        <v>44470</v>
      </c>
      <c r="J1112" s="4">
        <v>234</v>
      </c>
      <c r="K1112" s="56">
        <v>234</v>
      </c>
      <c r="L1112" s="4">
        <v>0</v>
      </c>
      <c r="M1112" s="56">
        <v>0</v>
      </c>
      <c r="N1112" s="4">
        <v>0</v>
      </c>
      <c r="O1112" s="56">
        <v>0</v>
      </c>
      <c r="P1112" s="4">
        <v>1</v>
      </c>
      <c r="Q1112" s="3" t="s">
        <v>26</v>
      </c>
      <c r="R1112" s="3">
        <v>0</v>
      </c>
      <c r="S1112" s="4">
        <v>44</v>
      </c>
      <c r="T1112" s="4">
        <v>0</v>
      </c>
      <c r="U1112" s="4">
        <v>0</v>
      </c>
      <c r="V1112" s="56">
        <f>IF(ISERROR(VLOOKUP($S$1112,'TAR FIN'!$A$1:$O$113,15,0)),0,VLOOKUP($S$1112,'TAR FIN'!$A$1:$O$113,15,0))*(1-0.04)</f>
        <v>23.337599999999998</v>
      </c>
      <c r="W1112" s="56">
        <f>IF(ISERROR(VLOOKUP($T$1112,'TAR FIN'!$A$1:$O$113,15,0)),0,VLOOKUP($T$1112,'TAR FIN'!$A$1:$O$113,15,0))</f>
        <v>0</v>
      </c>
      <c r="X1112" s="56">
        <f>IF(ISERROR(VLOOKUP($U$1112,'TAR FIN'!$A$1:$O$113,15,0)),0,VLOOKUP($U$1112,'TAR FIN'!$A$1:$O$113,15,0))</f>
        <v>0</v>
      </c>
      <c r="Y1112" s="56">
        <f ca="1">('TUSD BE'!$AM$30+'TUSD BF'!$AM$30+'TUSD CVA'!$AM$30)*1*(1-0.02)</f>
        <v>26.066113153707715</v>
      </c>
      <c r="Z1112" s="56"/>
      <c r="AA1112" s="56"/>
      <c r="AB1112" s="4">
        <f>$K$1112*$V$1112</f>
        <v>5460.9983999999995</v>
      </c>
      <c r="AC1112" s="4">
        <f>$M$1112*$W$1112</f>
        <v>0</v>
      </c>
      <c r="AD1112" s="4">
        <f>$O$1112*$X$1112</f>
        <v>0</v>
      </c>
      <c r="AE1112" s="4">
        <f ca="1">$K$1112*$Y$1112</f>
        <v>6099.4704779676049</v>
      </c>
      <c r="AF1112" s="4">
        <f>$M$1112*$Z$1112</f>
        <v>0</v>
      </c>
      <c r="AG1112" s="4">
        <f>$O$1112*$AA$1112</f>
        <v>0</v>
      </c>
    </row>
    <row r="1113" spans="1:33" ht="11.25" customHeight="1" x14ac:dyDescent="0.25">
      <c r="A1113" s="3" t="s">
        <v>21</v>
      </c>
      <c r="B1113" s="3" t="s">
        <v>41</v>
      </c>
      <c r="C1113" s="3" t="s">
        <v>42</v>
      </c>
      <c r="D1113" s="3" t="s">
        <v>45</v>
      </c>
      <c r="E1113" s="3" t="s">
        <v>25</v>
      </c>
      <c r="F1113" s="3" t="s">
        <v>25</v>
      </c>
      <c r="G1113" s="3" t="s">
        <v>25</v>
      </c>
      <c r="H1113" s="3" t="s">
        <v>25</v>
      </c>
      <c r="I1113" s="6">
        <v>44501</v>
      </c>
      <c r="J1113" s="4">
        <v>9001</v>
      </c>
      <c r="K1113" s="56">
        <v>9001</v>
      </c>
      <c r="L1113" s="4">
        <v>0</v>
      </c>
      <c r="M1113" s="56">
        <v>0</v>
      </c>
      <c r="N1113" s="4">
        <v>0</v>
      </c>
      <c r="O1113" s="56">
        <v>0</v>
      </c>
      <c r="P1113" s="4">
        <v>51</v>
      </c>
      <c r="Q1113" s="3" t="s">
        <v>26</v>
      </c>
      <c r="R1113" s="3">
        <v>0</v>
      </c>
      <c r="S1113" s="4">
        <v>44</v>
      </c>
      <c r="T1113" s="4">
        <v>0</v>
      </c>
      <c r="U1113" s="4">
        <v>0</v>
      </c>
      <c r="V1113" s="56">
        <f>IF(ISERROR(VLOOKUP($S$1113,'TAR FIN'!$A$1:$O$113,15,0)),0,VLOOKUP($S$1113,'TAR FIN'!$A$1:$O$113,15,0))*(1-0.04)</f>
        <v>23.337599999999998</v>
      </c>
      <c r="W1113" s="56">
        <f>IF(ISERROR(VLOOKUP($T$1113,'TAR FIN'!$A$1:$O$113,15,0)),0,VLOOKUP($T$1113,'TAR FIN'!$A$1:$O$113,15,0))</f>
        <v>0</v>
      </c>
      <c r="X1113" s="56">
        <f>IF(ISERROR(VLOOKUP($U$1113,'TAR FIN'!$A$1:$O$113,15,0)),0,VLOOKUP($U$1113,'TAR FIN'!$A$1:$O$113,15,0))</f>
        <v>0</v>
      </c>
      <c r="Y1113" s="56">
        <f ca="1">('TUSD BE'!$AM$30+'TUSD BF'!$AM$30+'TUSD CVA'!$AM$30)*1*(1-0.02)</f>
        <v>26.066113153707715</v>
      </c>
      <c r="Z1113" s="56"/>
      <c r="AA1113" s="56"/>
      <c r="AB1113" s="4">
        <f>$K$1113*$V$1113</f>
        <v>210061.73759999999</v>
      </c>
      <c r="AC1113" s="4">
        <f>$M$1113*$W$1113</f>
        <v>0</v>
      </c>
      <c r="AD1113" s="4">
        <f>$O$1113*$X$1113</f>
        <v>0</v>
      </c>
      <c r="AE1113" s="4">
        <f ca="1">$K$1113*$Y$1113</f>
        <v>234621.08449652314</v>
      </c>
      <c r="AF1113" s="4">
        <f>$M$1113*$Z$1113</f>
        <v>0</v>
      </c>
      <c r="AG1113" s="4">
        <f>$O$1113*$AA$1113</f>
        <v>0</v>
      </c>
    </row>
    <row r="1114" spans="1:33" ht="11.25" customHeight="1" x14ac:dyDescent="0.25">
      <c r="A1114" s="3" t="s">
        <v>28</v>
      </c>
      <c r="B1114" s="3" t="s">
        <v>41</v>
      </c>
      <c r="C1114" s="3" t="s">
        <v>42</v>
      </c>
      <c r="D1114" s="3" t="s">
        <v>45</v>
      </c>
      <c r="E1114" s="3" t="s">
        <v>25</v>
      </c>
      <c r="F1114" s="3" t="s">
        <v>25</v>
      </c>
      <c r="G1114" s="3" t="s">
        <v>25</v>
      </c>
      <c r="H1114" s="3" t="s">
        <v>25</v>
      </c>
      <c r="I1114" s="6">
        <v>44501</v>
      </c>
      <c r="J1114" s="4">
        <v>227</v>
      </c>
      <c r="K1114" s="56">
        <v>227</v>
      </c>
      <c r="L1114" s="4">
        <v>0</v>
      </c>
      <c r="M1114" s="56">
        <v>0</v>
      </c>
      <c r="N1114" s="4">
        <v>0</v>
      </c>
      <c r="O1114" s="56">
        <v>0</v>
      </c>
      <c r="P1114" s="4">
        <v>1</v>
      </c>
      <c r="Q1114" s="3" t="s">
        <v>26</v>
      </c>
      <c r="R1114" s="3">
        <v>0</v>
      </c>
      <c r="S1114" s="4">
        <v>44</v>
      </c>
      <c r="T1114" s="4">
        <v>0</v>
      </c>
      <c r="U1114" s="4">
        <v>0</v>
      </c>
      <c r="V1114" s="56">
        <f>IF(ISERROR(VLOOKUP($S$1114,'TAR FIN'!$A$1:$O$113,15,0)),0,VLOOKUP($S$1114,'TAR FIN'!$A$1:$O$113,15,0))*(1-0.04)</f>
        <v>23.337599999999998</v>
      </c>
      <c r="W1114" s="56">
        <f>IF(ISERROR(VLOOKUP($T$1114,'TAR FIN'!$A$1:$O$113,15,0)),0,VLOOKUP($T$1114,'TAR FIN'!$A$1:$O$113,15,0))</f>
        <v>0</v>
      </c>
      <c r="X1114" s="56">
        <f>IF(ISERROR(VLOOKUP($U$1114,'TAR FIN'!$A$1:$O$113,15,0)),0,VLOOKUP($U$1114,'TAR FIN'!$A$1:$O$113,15,0))</f>
        <v>0</v>
      </c>
      <c r="Y1114" s="56">
        <f ca="1">('TUSD BE'!$AM$30+'TUSD BF'!$AM$30+'TUSD CVA'!$AM$30)*1*(1-0.02)</f>
        <v>26.066113153707715</v>
      </c>
      <c r="Z1114" s="56"/>
      <c r="AA1114" s="56"/>
      <c r="AB1114" s="4">
        <f>$K$1114*$V$1114</f>
        <v>5297.6351999999997</v>
      </c>
      <c r="AC1114" s="4">
        <f>$M$1114*$W$1114</f>
        <v>0</v>
      </c>
      <c r="AD1114" s="4">
        <f>$O$1114*$X$1114</f>
        <v>0</v>
      </c>
      <c r="AE1114" s="4">
        <f ca="1">$K$1114*$Y$1114</f>
        <v>5917.0076858916509</v>
      </c>
      <c r="AF1114" s="4">
        <f>$M$1114*$Z$1114</f>
        <v>0</v>
      </c>
      <c r="AG1114" s="4">
        <f>$O$1114*$AA$1114</f>
        <v>0</v>
      </c>
    </row>
    <row r="1115" spans="1:33" ht="11.25" customHeight="1" x14ac:dyDescent="0.25">
      <c r="A1115" s="3" t="s">
        <v>21</v>
      </c>
      <c r="B1115" s="3" t="s">
        <v>41</v>
      </c>
      <c r="C1115" s="3" t="s">
        <v>42</v>
      </c>
      <c r="D1115" s="3" t="s">
        <v>45</v>
      </c>
      <c r="E1115" s="3" t="s">
        <v>25</v>
      </c>
      <c r="F1115" s="3" t="s">
        <v>25</v>
      </c>
      <c r="G1115" s="3" t="s">
        <v>25</v>
      </c>
      <c r="H1115" s="3" t="s">
        <v>25</v>
      </c>
      <c r="I1115" s="6">
        <v>44531</v>
      </c>
      <c r="J1115" s="4">
        <v>7799</v>
      </c>
      <c r="K1115" s="56">
        <v>7799</v>
      </c>
      <c r="L1115" s="4">
        <v>0</v>
      </c>
      <c r="M1115" s="56">
        <v>0</v>
      </c>
      <c r="N1115" s="4">
        <v>0</v>
      </c>
      <c r="O1115" s="56">
        <v>0</v>
      </c>
      <c r="P1115" s="4">
        <v>47</v>
      </c>
      <c r="Q1115" s="3" t="s">
        <v>26</v>
      </c>
      <c r="R1115" s="3">
        <v>0</v>
      </c>
      <c r="S1115" s="4">
        <v>44</v>
      </c>
      <c r="T1115" s="4">
        <v>0</v>
      </c>
      <c r="U1115" s="4">
        <v>0</v>
      </c>
      <c r="V1115" s="56">
        <f>IF(ISERROR(VLOOKUP($S$1115,'TAR FIN'!$A$1:$O$113,15,0)),0,VLOOKUP($S$1115,'TAR FIN'!$A$1:$O$113,15,0))*(1-0.04)</f>
        <v>23.337599999999998</v>
      </c>
      <c r="W1115" s="56">
        <f>IF(ISERROR(VLOOKUP($T$1115,'TAR FIN'!$A$1:$O$113,15,0)),0,VLOOKUP($T$1115,'TAR FIN'!$A$1:$O$113,15,0))</f>
        <v>0</v>
      </c>
      <c r="X1115" s="56">
        <f>IF(ISERROR(VLOOKUP($U$1115,'TAR FIN'!$A$1:$O$113,15,0)),0,VLOOKUP($U$1115,'TAR FIN'!$A$1:$O$113,15,0))</f>
        <v>0</v>
      </c>
      <c r="Y1115" s="56">
        <f ca="1">('TUSD BE'!$AM$30+'TUSD BF'!$AM$30+'TUSD CVA'!$AM$30)*1*(1-0.02)</f>
        <v>26.066113153707715</v>
      </c>
      <c r="Z1115" s="56"/>
      <c r="AA1115" s="56"/>
      <c r="AB1115" s="4">
        <f>$K$1115*$V$1115</f>
        <v>182009.9424</v>
      </c>
      <c r="AC1115" s="4">
        <f>$M$1115*$W$1115</f>
        <v>0</v>
      </c>
      <c r="AD1115" s="4">
        <f>$O$1115*$X$1115</f>
        <v>0</v>
      </c>
      <c r="AE1115" s="4">
        <f ca="1">$K$1115*$Y$1115</f>
        <v>203289.61648576646</v>
      </c>
      <c r="AF1115" s="4">
        <f>$M$1115*$Z$1115</f>
        <v>0</v>
      </c>
      <c r="AG1115" s="4">
        <f>$O$1115*$AA$1115</f>
        <v>0</v>
      </c>
    </row>
    <row r="1116" spans="1:33" ht="11.25" customHeight="1" x14ac:dyDescent="0.25">
      <c r="A1116" s="3" t="s">
        <v>28</v>
      </c>
      <c r="B1116" s="3" t="s">
        <v>41</v>
      </c>
      <c r="C1116" s="3" t="s">
        <v>42</v>
      </c>
      <c r="D1116" s="3" t="s">
        <v>45</v>
      </c>
      <c r="E1116" s="3" t="s">
        <v>25</v>
      </c>
      <c r="F1116" s="3" t="s">
        <v>25</v>
      </c>
      <c r="G1116" s="3" t="s">
        <v>25</v>
      </c>
      <c r="H1116" s="3" t="s">
        <v>25</v>
      </c>
      <c r="I1116" s="6">
        <v>44531</v>
      </c>
      <c r="J1116" s="4">
        <v>206</v>
      </c>
      <c r="K1116" s="56">
        <v>206</v>
      </c>
      <c r="L1116" s="4">
        <v>0</v>
      </c>
      <c r="M1116" s="56">
        <v>0</v>
      </c>
      <c r="N1116" s="4">
        <v>0</v>
      </c>
      <c r="O1116" s="56">
        <v>0</v>
      </c>
      <c r="P1116" s="4">
        <v>1</v>
      </c>
      <c r="Q1116" s="3" t="s">
        <v>26</v>
      </c>
      <c r="R1116" s="3">
        <v>0</v>
      </c>
      <c r="S1116" s="4">
        <v>44</v>
      </c>
      <c r="T1116" s="4">
        <v>0</v>
      </c>
      <c r="U1116" s="4">
        <v>0</v>
      </c>
      <c r="V1116" s="56">
        <f>IF(ISERROR(VLOOKUP($S$1116,'TAR FIN'!$A$1:$O$113,15,0)),0,VLOOKUP($S$1116,'TAR FIN'!$A$1:$O$113,15,0))*(1-0.04)</f>
        <v>23.337599999999998</v>
      </c>
      <c r="W1116" s="56">
        <f>IF(ISERROR(VLOOKUP($T$1116,'TAR FIN'!$A$1:$O$113,15,0)),0,VLOOKUP($T$1116,'TAR FIN'!$A$1:$O$113,15,0))</f>
        <v>0</v>
      </c>
      <c r="X1116" s="56">
        <f>IF(ISERROR(VLOOKUP($U$1116,'TAR FIN'!$A$1:$O$113,15,0)),0,VLOOKUP($U$1116,'TAR FIN'!$A$1:$O$113,15,0))</f>
        <v>0</v>
      </c>
      <c r="Y1116" s="56">
        <f ca="1">('TUSD BE'!$AM$30+'TUSD BF'!$AM$30+'TUSD CVA'!$AM$30)*1*(1-0.02)</f>
        <v>26.066113153707715</v>
      </c>
      <c r="Z1116" s="56"/>
      <c r="AA1116" s="56"/>
      <c r="AB1116" s="4">
        <f>$K$1116*$V$1116</f>
        <v>4807.5455999999995</v>
      </c>
      <c r="AC1116" s="4">
        <f>$M$1116*$W$1116</f>
        <v>0</v>
      </c>
      <c r="AD1116" s="4">
        <f>$O$1116*$X$1116</f>
        <v>0</v>
      </c>
      <c r="AE1116" s="4">
        <f ca="1">$K$1116*$Y$1116</f>
        <v>5369.619309663789</v>
      </c>
      <c r="AF1116" s="4">
        <f>$M$1116*$Z$1116</f>
        <v>0</v>
      </c>
      <c r="AG1116" s="4">
        <f>$O$1116*$AA$1116</f>
        <v>0</v>
      </c>
    </row>
    <row r="1117" spans="1:33" ht="11.25" customHeight="1" x14ac:dyDescent="0.25">
      <c r="A1117" s="3" t="s">
        <v>21</v>
      </c>
      <c r="B1117" s="3" t="s">
        <v>41</v>
      </c>
      <c r="C1117" s="3" t="s">
        <v>42</v>
      </c>
      <c r="D1117" s="3" t="s">
        <v>45</v>
      </c>
      <c r="E1117" s="3" t="s">
        <v>25</v>
      </c>
      <c r="F1117" s="3" t="s">
        <v>25</v>
      </c>
      <c r="G1117" s="3" t="s">
        <v>25</v>
      </c>
      <c r="H1117" s="3" t="s">
        <v>25</v>
      </c>
      <c r="I1117" s="6">
        <v>44562</v>
      </c>
      <c r="J1117" s="4">
        <v>8140</v>
      </c>
      <c r="K1117" s="56">
        <v>8140</v>
      </c>
      <c r="L1117" s="4">
        <v>0</v>
      </c>
      <c r="M1117" s="56">
        <v>0</v>
      </c>
      <c r="N1117" s="4">
        <v>0</v>
      </c>
      <c r="O1117" s="56">
        <v>0</v>
      </c>
      <c r="P1117" s="4">
        <v>44</v>
      </c>
      <c r="Q1117" s="3" t="s">
        <v>26</v>
      </c>
      <c r="R1117" s="3">
        <v>0</v>
      </c>
      <c r="S1117" s="4">
        <v>44</v>
      </c>
      <c r="T1117" s="4">
        <v>0</v>
      </c>
      <c r="U1117" s="4">
        <v>0</v>
      </c>
      <c r="V1117" s="56">
        <f>IF(ISERROR(VLOOKUP($S$1117,'TAR FIN'!$A$1:$O$113,15,0)),0,VLOOKUP($S$1117,'TAR FIN'!$A$1:$O$113,15,0))*(1-0.04)</f>
        <v>23.337599999999998</v>
      </c>
      <c r="W1117" s="56">
        <f>IF(ISERROR(VLOOKUP($T$1117,'TAR FIN'!$A$1:$O$113,15,0)),0,VLOOKUP($T$1117,'TAR FIN'!$A$1:$O$113,15,0))</f>
        <v>0</v>
      </c>
      <c r="X1117" s="56">
        <f>IF(ISERROR(VLOOKUP($U$1117,'TAR FIN'!$A$1:$O$113,15,0)),0,VLOOKUP($U$1117,'TAR FIN'!$A$1:$O$113,15,0))</f>
        <v>0</v>
      </c>
      <c r="Y1117" s="56">
        <f ca="1">('TUSD BE'!$AM$30+'TUSD BF'!$AM$30+'TUSD CVA'!$AM$30)*1*(1-0.02)</f>
        <v>26.066113153707715</v>
      </c>
      <c r="Z1117" s="56"/>
      <c r="AA1117" s="56"/>
      <c r="AB1117" s="4">
        <f>$K$1117*$V$1117</f>
        <v>189968.06399999998</v>
      </c>
      <c r="AC1117" s="4">
        <f>$M$1117*$W$1117</f>
        <v>0</v>
      </c>
      <c r="AD1117" s="4">
        <f>$O$1117*$X$1117</f>
        <v>0</v>
      </c>
      <c r="AE1117" s="4">
        <f ca="1">$K$1117*$Y$1117</f>
        <v>212178.1610711808</v>
      </c>
      <c r="AF1117" s="4">
        <f>$M$1117*$Z$1117</f>
        <v>0</v>
      </c>
      <c r="AG1117" s="4">
        <f>$O$1117*$AA$1117</f>
        <v>0</v>
      </c>
    </row>
    <row r="1118" spans="1:33" ht="11.25" customHeight="1" x14ac:dyDescent="0.25">
      <c r="A1118" s="3" t="s">
        <v>27</v>
      </c>
      <c r="B1118" s="3" t="s">
        <v>41</v>
      </c>
      <c r="C1118" s="3" t="s">
        <v>42</v>
      </c>
      <c r="D1118" s="3" t="s">
        <v>45</v>
      </c>
      <c r="E1118" s="3" t="s">
        <v>25</v>
      </c>
      <c r="F1118" s="3" t="s">
        <v>25</v>
      </c>
      <c r="G1118" s="3" t="s">
        <v>25</v>
      </c>
      <c r="H1118" s="3" t="s">
        <v>25</v>
      </c>
      <c r="I1118" s="6">
        <v>44562</v>
      </c>
      <c r="J1118" s="4">
        <v>-414</v>
      </c>
      <c r="K1118" s="56">
        <v>-414</v>
      </c>
      <c r="L1118" s="4">
        <v>0</v>
      </c>
      <c r="M1118" s="56">
        <v>0</v>
      </c>
      <c r="N1118" s="4">
        <v>0</v>
      </c>
      <c r="O1118" s="56">
        <v>0</v>
      </c>
      <c r="P1118" s="4">
        <v>-4</v>
      </c>
      <c r="Q1118" s="3" t="s">
        <v>26</v>
      </c>
      <c r="R1118" s="3">
        <v>0</v>
      </c>
      <c r="S1118" s="4">
        <v>44</v>
      </c>
      <c r="T1118" s="4">
        <v>0</v>
      </c>
      <c r="U1118" s="4">
        <v>0</v>
      </c>
      <c r="V1118" s="56">
        <f>IF(ISERROR(VLOOKUP($S$1118,'TAR FIN'!$A$1:$O$113,15,0)),0,VLOOKUP($S$1118,'TAR FIN'!$A$1:$O$113,15,0))*(1-0.04)</f>
        <v>23.337599999999998</v>
      </c>
      <c r="W1118" s="56">
        <f>IF(ISERROR(VLOOKUP($T$1118,'TAR FIN'!$A$1:$O$113,15,0)),0,VLOOKUP($T$1118,'TAR FIN'!$A$1:$O$113,15,0))</f>
        <v>0</v>
      </c>
      <c r="X1118" s="56">
        <f>IF(ISERROR(VLOOKUP($U$1118,'TAR FIN'!$A$1:$O$113,15,0)),0,VLOOKUP($U$1118,'TAR FIN'!$A$1:$O$113,15,0))</f>
        <v>0</v>
      </c>
      <c r="Y1118" s="56">
        <f ca="1">('TUSD BE'!$AM$30+'TUSD BF'!$AM$30+'TUSD CVA'!$AM$30)*1*(1-0.02)</f>
        <v>26.066113153707715</v>
      </c>
      <c r="Z1118" s="56"/>
      <c r="AA1118" s="56"/>
      <c r="AB1118" s="4">
        <f>$K$1118*$V$1118</f>
        <v>-9661.7663999999986</v>
      </c>
      <c r="AC1118" s="4">
        <f>$M$1118*$W$1118</f>
        <v>0</v>
      </c>
      <c r="AD1118" s="4">
        <f>$O$1118*$X$1118</f>
        <v>0</v>
      </c>
      <c r="AE1118" s="4">
        <f ca="1">$K$1118*$Y$1118</f>
        <v>-10791.370845634994</v>
      </c>
      <c r="AF1118" s="4">
        <f>$M$1118*$Z$1118</f>
        <v>0</v>
      </c>
      <c r="AG1118" s="4">
        <f>$O$1118*$AA$1118</f>
        <v>0</v>
      </c>
    </row>
    <row r="1119" spans="1:33" ht="11.25" customHeight="1" x14ac:dyDescent="0.25">
      <c r="A1119" s="3" t="s">
        <v>28</v>
      </c>
      <c r="B1119" s="3" t="s">
        <v>41</v>
      </c>
      <c r="C1119" s="3" t="s">
        <v>42</v>
      </c>
      <c r="D1119" s="3" t="s">
        <v>45</v>
      </c>
      <c r="E1119" s="3" t="s">
        <v>25</v>
      </c>
      <c r="F1119" s="3" t="s">
        <v>25</v>
      </c>
      <c r="G1119" s="3" t="s">
        <v>25</v>
      </c>
      <c r="H1119" s="3" t="s">
        <v>25</v>
      </c>
      <c r="I1119" s="6">
        <v>44562</v>
      </c>
      <c r="J1119" s="4">
        <v>179</v>
      </c>
      <c r="K1119" s="56">
        <v>179</v>
      </c>
      <c r="L1119" s="4">
        <v>0</v>
      </c>
      <c r="M1119" s="56">
        <v>0</v>
      </c>
      <c r="N1119" s="4">
        <v>0</v>
      </c>
      <c r="O1119" s="56">
        <v>0</v>
      </c>
      <c r="P1119" s="4">
        <v>1</v>
      </c>
      <c r="Q1119" s="3" t="s">
        <v>26</v>
      </c>
      <c r="R1119" s="3">
        <v>0</v>
      </c>
      <c r="S1119" s="4">
        <v>44</v>
      </c>
      <c r="T1119" s="4">
        <v>0</v>
      </c>
      <c r="U1119" s="4">
        <v>0</v>
      </c>
      <c r="V1119" s="56">
        <f>IF(ISERROR(VLOOKUP($S$1119,'TAR FIN'!$A$1:$O$113,15,0)),0,VLOOKUP($S$1119,'TAR FIN'!$A$1:$O$113,15,0))*(1-0.04)</f>
        <v>23.337599999999998</v>
      </c>
      <c r="W1119" s="56">
        <f>IF(ISERROR(VLOOKUP($T$1119,'TAR FIN'!$A$1:$O$113,15,0)),0,VLOOKUP($T$1119,'TAR FIN'!$A$1:$O$113,15,0))</f>
        <v>0</v>
      </c>
      <c r="X1119" s="56">
        <f>IF(ISERROR(VLOOKUP($U$1119,'TAR FIN'!$A$1:$O$113,15,0)),0,VLOOKUP($U$1119,'TAR FIN'!$A$1:$O$113,15,0))</f>
        <v>0</v>
      </c>
      <c r="Y1119" s="56">
        <f ca="1">('TUSD BE'!$AM$30+'TUSD BF'!$AM$30+'TUSD CVA'!$AM$30)*1*(1-0.02)</f>
        <v>26.066113153707715</v>
      </c>
      <c r="Z1119" s="56"/>
      <c r="AA1119" s="56"/>
      <c r="AB1119" s="4">
        <f>$K$1119*$V$1119</f>
        <v>4177.4303999999993</v>
      </c>
      <c r="AC1119" s="4">
        <f>$M$1119*$W$1119</f>
        <v>0</v>
      </c>
      <c r="AD1119" s="4">
        <f>$O$1119*$X$1119</f>
        <v>0</v>
      </c>
      <c r="AE1119" s="4">
        <f ca="1">$K$1119*$Y$1119</f>
        <v>4665.8342545136811</v>
      </c>
      <c r="AF1119" s="4">
        <f>$M$1119*$Z$1119</f>
        <v>0</v>
      </c>
      <c r="AG1119" s="4">
        <f>$O$1119*$AA$1119</f>
        <v>0</v>
      </c>
    </row>
    <row r="1120" spans="1:33" ht="11.25" customHeight="1" x14ac:dyDescent="0.25">
      <c r="A1120" s="3" t="s">
        <v>21</v>
      </c>
      <c r="B1120" s="3" t="s">
        <v>41</v>
      </c>
      <c r="C1120" s="3" t="s">
        <v>42</v>
      </c>
      <c r="D1120" s="3" t="s">
        <v>45</v>
      </c>
      <c r="E1120" s="3" t="s">
        <v>25</v>
      </c>
      <c r="F1120" s="3" t="s">
        <v>25</v>
      </c>
      <c r="G1120" s="3" t="s">
        <v>25</v>
      </c>
      <c r="H1120" s="3" t="s">
        <v>25</v>
      </c>
      <c r="I1120" s="6">
        <v>44593</v>
      </c>
      <c r="J1120" s="4">
        <v>8638</v>
      </c>
      <c r="K1120" s="56">
        <v>8638</v>
      </c>
      <c r="L1120" s="4">
        <v>0</v>
      </c>
      <c r="M1120" s="56">
        <v>0</v>
      </c>
      <c r="N1120" s="4">
        <v>0</v>
      </c>
      <c r="O1120" s="56">
        <v>0</v>
      </c>
      <c r="P1120" s="4">
        <v>43</v>
      </c>
      <c r="Q1120" s="3" t="s">
        <v>26</v>
      </c>
      <c r="R1120" s="3">
        <v>0</v>
      </c>
      <c r="S1120" s="4">
        <v>44</v>
      </c>
      <c r="T1120" s="4">
        <v>0</v>
      </c>
      <c r="U1120" s="4">
        <v>0</v>
      </c>
      <c r="V1120" s="56">
        <f>IF(ISERROR(VLOOKUP($S$1120,'TAR FIN'!$A$1:$O$113,15,0)),0,VLOOKUP($S$1120,'TAR FIN'!$A$1:$O$113,15,0))*(1-0.04)</f>
        <v>23.337599999999998</v>
      </c>
      <c r="W1120" s="56">
        <f>IF(ISERROR(VLOOKUP($T$1120,'TAR FIN'!$A$1:$O$113,15,0)),0,VLOOKUP($T$1120,'TAR FIN'!$A$1:$O$113,15,0))</f>
        <v>0</v>
      </c>
      <c r="X1120" s="56">
        <f>IF(ISERROR(VLOOKUP($U$1120,'TAR FIN'!$A$1:$O$113,15,0)),0,VLOOKUP($U$1120,'TAR FIN'!$A$1:$O$113,15,0))</f>
        <v>0</v>
      </c>
      <c r="Y1120" s="56">
        <f ca="1">('TUSD BE'!$AM$30+'TUSD BF'!$AM$30+'TUSD CVA'!$AM$30)*1*(1-0.02)</f>
        <v>26.066113153707715</v>
      </c>
      <c r="Z1120" s="56"/>
      <c r="AA1120" s="56"/>
      <c r="AB1120" s="4">
        <f>$K$1120*$V$1120</f>
        <v>201590.18879999997</v>
      </c>
      <c r="AC1120" s="4">
        <f>$M$1120*$W$1120</f>
        <v>0</v>
      </c>
      <c r="AD1120" s="4">
        <f>$O$1120*$X$1120</f>
        <v>0</v>
      </c>
      <c r="AE1120" s="4">
        <f ca="1">$K$1120*$Y$1120</f>
        <v>225159.08542172724</v>
      </c>
      <c r="AF1120" s="4">
        <f>$M$1120*$Z$1120</f>
        <v>0</v>
      </c>
      <c r="AG1120" s="4">
        <f>$O$1120*$AA$1120</f>
        <v>0</v>
      </c>
    </row>
    <row r="1121" spans="1:33" ht="11.25" customHeight="1" x14ac:dyDescent="0.25">
      <c r="A1121" s="3" t="s">
        <v>27</v>
      </c>
      <c r="B1121" s="3" t="s">
        <v>41</v>
      </c>
      <c r="C1121" s="3" t="s">
        <v>42</v>
      </c>
      <c r="D1121" s="3" t="s">
        <v>45</v>
      </c>
      <c r="E1121" s="3" t="s">
        <v>25</v>
      </c>
      <c r="F1121" s="3" t="s">
        <v>25</v>
      </c>
      <c r="G1121" s="3" t="s">
        <v>25</v>
      </c>
      <c r="H1121" s="3" t="s">
        <v>25</v>
      </c>
      <c r="I1121" s="6">
        <v>44593</v>
      </c>
      <c r="J1121" s="4">
        <v>14</v>
      </c>
      <c r="K1121" s="56">
        <v>14</v>
      </c>
      <c r="L1121" s="4">
        <v>0</v>
      </c>
      <c r="M1121" s="56">
        <v>0</v>
      </c>
      <c r="N1121" s="4">
        <v>0</v>
      </c>
      <c r="O1121" s="56">
        <v>0</v>
      </c>
      <c r="P1121" s="4">
        <v>1</v>
      </c>
      <c r="Q1121" s="3" t="s">
        <v>26</v>
      </c>
      <c r="R1121" s="3">
        <v>0</v>
      </c>
      <c r="S1121" s="4">
        <v>44</v>
      </c>
      <c r="T1121" s="4">
        <v>0</v>
      </c>
      <c r="U1121" s="4">
        <v>0</v>
      </c>
      <c r="V1121" s="56">
        <f>IF(ISERROR(VLOOKUP($S$1121,'TAR FIN'!$A$1:$O$113,15,0)),0,VLOOKUP($S$1121,'TAR FIN'!$A$1:$O$113,15,0))*(1-0.04)</f>
        <v>23.337599999999998</v>
      </c>
      <c r="W1121" s="56">
        <f>IF(ISERROR(VLOOKUP($T$1121,'TAR FIN'!$A$1:$O$113,15,0)),0,VLOOKUP($T$1121,'TAR FIN'!$A$1:$O$113,15,0))</f>
        <v>0</v>
      </c>
      <c r="X1121" s="56">
        <f>IF(ISERROR(VLOOKUP($U$1121,'TAR FIN'!$A$1:$O$113,15,0)),0,VLOOKUP($U$1121,'TAR FIN'!$A$1:$O$113,15,0))</f>
        <v>0</v>
      </c>
      <c r="Y1121" s="56">
        <f ca="1">('TUSD BE'!$AM$30+'TUSD BF'!$AM$30+'TUSD CVA'!$AM$30)*1*(1-0.02)</f>
        <v>26.066113153707715</v>
      </c>
      <c r="Z1121" s="56"/>
      <c r="AA1121" s="56"/>
      <c r="AB1121" s="4">
        <f>$K$1121*$V$1121</f>
        <v>326.72639999999996</v>
      </c>
      <c r="AC1121" s="4">
        <f>$M$1121*$W$1121</f>
        <v>0</v>
      </c>
      <c r="AD1121" s="4">
        <f>$O$1121*$X$1121</f>
        <v>0</v>
      </c>
      <c r="AE1121" s="4">
        <f ca="1">$K$1121*$Y$1121</f>
        <v>364.92558415190803</v>
      </c>
      <c r="AF1121" s="4">
        <f>$M$1121*$Z$1121</f>
        <v>0</v>
      </c>
      <c r="AG1121" s="4">
        <f>$O$1121*$AA$1121</f>
        <v>0</v>
      </c>
    </row>
    <row r="1122" spans="1:33" ht="11.25" customHeight="1" x14ac:dyDescent="0.25">
      <c r="A1122" s="3" t="s">
        <v>28</v>
      </c>
      <c r="B1122" s="3" t="s">
        <v>41</v>
      </c>
      <c r="C1122" s="3" t="s">
        <v>42</v>
      </c>
      <c r="D1122" s="3" t="s">
        <v>45</v>
      </c>
      <c r="E1122" s="3" t="s">
        <v>25</v>
      </c>
      <c r="F1122" s="3" t="s">
        <v>25</v>
      </c>
      <c r="G1122" s="3" t="s">
        <v>25</v>
      </c>
      <c r="H1122" s="3" t="s">
        <v>25</v>
      </c>
      <c r="I1122" s="6">
        <v>44593</v>
      </c>
      <c r="J1122" s="4">
        <v>270</v>
      </c>
      <c r="K1122" s="56">
        <v>270</v>
      </c>
      <c r="L1122" s="4">
        <v>0</v>
      </c>
      <c r="M1122" s="56">
        <v>0</v>
      </c>
      <c r="N1122" s="4">
        <v>0</v>
      </c>
      <c r="O1122" s="56">
        <v>0</v>
      </c>
      <c r="P1122" s="4">
        <v>2</v>
      </c>
      <c r="Q1122" s="3" t="s">
        <v>26</v>
      </c>
      <c r="R1122" s="3">
        <v>0</v>
      </c>
      <c r="S1122" s="4">
        <v>44</v>
      </c>
      <c r="T1122" s="4">
        <v>0</v>
      </c>
      <c r="U1122" s="4">
        <v>0</v>
      </c>
      <c r="V1122" s="56">
        <f>IF(ISERROR(VLOOKUP($S$1122,'TAR FIN'!$A$1:$O$113,15,0)),0,VLOOKUP($S$1122,'TAR FIN'!$A$1:$O$113,15,0))*(1-0.04)</f>
        <v>23.337599999999998</v>
      </c>
      <c r="W1122" s="56">
        <f>IF(ISERROR(VLOOKUP($T$1122,'TAR FIN'!$A$1:$O$113,15,0)),0,VLOOKUP($T$1122,'TAR FIN'!$A$1:$O$113,15,0))</f>
        <v>0</v>
      </c>
      <c r="X1122" s="56">
        <f>IF(ISERROR(VLOOKUP($U$1122,'TAR FIN'!$A$1:$O$113,15,0)),0,VLOOKUP($U$1122,'TAR FIN'!$A$1:$O$113,15,0))</f>
        <v>0</v>
      </c>
      <c r="Y1122" s="56">
        <f ca="1">('TUSD BE'!$AM$30+'TUSD BF'!$AM$30+'TUSD CVA'!$AM$30)*1*(1-0.02)</f>
        <v>26.066113153707715</v>
      </c>
      <c r="Z1122" s="56"/>
      <c r="AA1122" s="56"/>
      <c r="AB1122" s="4">
        <f>$K$1122*$V$1122</f>
        <v>6301.1519999999991</v>
      </c>
      <c r="AC1122" s="4">
        <f>$M$1122*$W$1122</f>
        <v>0</v>
      </c>
      <c r="AD1122" s="4">
        <f>$O$1122*$X$1122</f>
        <v>0</v>
      </c>
      <c r="AE1122" s="4">
        <f ca="1">$K$1122*$Y$1122</f>
        <v>7037.8505515010829</v>
      </c>
      <c r="AF1122" s="4">
        <f>$M$1122*$Z$1122</f>
        <v>0</v>
      </c>
      <c r="AG1122" s="4">
        <f>$O$1122*$AA$1122</f>
        <v>0</v>
      </c>
    </row>
    <row r="1123" spans="1:33" ht="11.25" customHeight="1" x14ac:dyDescent="0.25">
      <c r="A1123" s="3" t="s">
        <v>56</v>
      </c>
      <c r="B1123" s="3" t="s">
        <v>41</v>
      </c>
      <c r="C1123" s="3" t="s">
        <v>42</v>
      </c>
      <c r="D1123" s="3" t="s">
        <v>45</v>
      </c>
      <c r="E1123" s="3" t="s">
        <v>25</v>
      </c>
      <c r="F1123" s="3" t="s">
        <v>25</v>
      </c>
      <c r="G1123" s="3" t="s">
        <v>25</v>
      </c>
      <c r="H1123" s="3" t="s">
        <v>25</v>
      </c>
      <c r="I1123" s="6">
        <v>44621</v>
      </c>
      <c r="J1123" s="4">
        <v>8638</v>
      </c>
      <c r="K1123" s="56">
        <v>8638</v>
      </c>
      <c r="L1123" s="4">
        <v>0</v>
      </c>
      <c r="M1123" s="56">
        <v>0</v>
      </c>
      <c r="N1123" s="4">
        <v>0</v>
      </c>
      <c r="O1123" s="56">
        <v>0</v>
      </c>
      <c r="P1123" s="4">
        <v>43</v>
      </c>
      <c r="Q1123" s="3" t="s">
        <v>26</v>
      </c>
      <c r="R1123" s="3">
        <v>0</v>
      </c>
      <c r="S1123" s="4">
        <v>44</v>
      </c>
      <c r="T1123" s="4">
        <v>0</v>
      </c>
      <c r="U1123" s="4">
        <v>0</v>
      </c>
      <c r="V1123" s="56">
        <f>IF(ISERROR(VLOOKUP($S$1123,'TAR FIN'!$A$1:$O$113,15,0)),0,VLOOKUP($S$1123,'TAR FIN'!$A$1:$O$113,15,0))*(1-0.04)</f>
        <v>23.337599999999998</v>
      </c>
      <c r="W1123" s="56">
        <f>IF(ISERROR(VLOOKUP($T$1123,'TAR FIN'!$A$1:$O$113,15,0)),0,VLOOKUP($T$1123,'TAR FIN'!$A$1:$O$113,15,0))</f>
        <v>0</v>
      </c>
      <c r="X1123" s="56">
        <f>IF(ISERROR(VLOOKUP($U$1123,'TAR FIN'!$A$1:$O$113,15,0)),0,VLOOKUP($U$1123,'TAR FIN'!$A$1:$O$113,15,0))</f>
        <v>0</v>
      </c>
      <c r="Y1123" s="56">
        <f ca="1">('TUSD BE'!$AM$30+'TUSD BF'!$AM$30+'TUSD CVA'!$AM$30)*1*(1-0.02)</f>
        <v>26.066113153707715</v>
      </c>
      <c r="Z1123" s="56"/>
      <c r="AA1123" s="56"/>
      <c r="AB1123" s="4">
        <f>$K$1123*$V$1123</f>
        <v>201590.18879999997</v>
      </c>
      <c r="AC1123" s="4">
        <f>$M$1123*$W$1123</f>
        <v>0</v>
      </c>
      <c r="AD1123" s="4">
        <f>$O$1123*$X$1123</f>
        <v>0</v>
      </c>
      <c r="AE1123" s="4">
        <f ca="1">$K$1123*$Y$1123</f>
        <v>225159.08542172724</v>
      </c>
      <c r="AF1123" s="4">
        <f>$M$1123*$Z$1123</f>
        <v>0</v>
      </c>
      <c r="AG1123" s="4">
        <f>$O$1123*$AA$1123</f>
        <v>0</v>
      </c>
    </row>
    <row r="1124" spans="1:33" ht="11.25" customHeight="1" x14ac:dyDescent="0.25">
      <c r="A1124" s="3" t="s">
        <v>56</v>
      </c>
      <c r="B1124" s="3" t="s">
        <v>41</v>
      </c>
      <c r="C1124" s="3" t="s">
        <v>42</v>
      </c>
      <c r="D1124" s="3" t="s">
        <v>45</v>
      </c>
      <c r="E1124" s="3" t="s">
        <v>25</v>
      </c>
      <c r="F1124" s="3" t="s">
        <v>25</v>
      </c>
      <c r="G1124" s="3" t="s">
        <v>25</v>
      </c>
      <c r="H1124" s="3" t="s">
        <v>25</v>
      </c>
      <c r="I1124" s="6">
        <v>44621</v>
      </c>
      <c r="J1124" s="4">
        <v>14</v>
      </c>
      <c r="K1124" s="56">
        <v>14</v>
      </c>
      <c r="L1124" s="4">
        <v>0</v>
      </c>
      <c r="M1124" s="56">
        <v>0</v>
      </c>
      <c r="N1124" s="4">
        <v>0</v>
      </c>
      <c r="O1124" s="56">
        <v>0</v>
      </c>
      <c r="P1124" s="4">
        <v>1</v>
      </c>
      <c r="Q1124" s="3" t="s">
        <v>26</v>
      </c>
      <c r="R1124" s="3">
        <v>0</v>
      </c>
      <c r="S1124" s="4">
        <v>44</v>
      </c>
      <c r="T1124" s="4">
        <v>0</v>
      </c>
      <c r="U1124" s="4">
        <v>0</v>
      </c>
      <c r="V1124" s="56">
        <f>IF(ISERROR(VLOOKUP($S$1124,'TAR FIN'!$A$1:$O$113,15,0)),0,VLOOKUP($S$1124,'TAR FIN'!$A$1:$O$113,15,0))*(1-0.04)</f>
        <v>23.337599999999998</v>
      </c>
      <c r="W1124" s="56">
        <f>IF(ISERROR(VLOOKUP($T$1124,'TAR FIN'!$A$1:$O$113,15,0)),0,VLOOKUP($T$1124,'TAR FIN'!$A$1:$O$113,15,0))</f>
        <v>0</v>
      </c>
      <c r="X1124" s="56">
        <f>IF(ISERROR(VLOOKUP($U$1124,'TAR FIN'!$A$1:$O$113,15,0)),0,VLOOKUP($U$1124,'TAR FIN'!$A$1:$O$113,15,0))</f>
        <v>0</v>
      </c>
      <c r="Y1124" s="56">
        <f ca="1">('TUSD BE'!$AM$30+'TUSD BF'!$AM$30+'TUSD CVA'!$AM$30)*1*(1-0.02)</f>
        <v>26.066113153707715</v>
      </c>
      <c r="Z1124" s="56"/>
      <c r="AA1124" s="56"/>
      <c r="AB1124" s="4">
        <f>$K$1124*$V$1124</f>
        <v>326.72639999999996</v>
      </c>
      <c r="AC1124" s="4">
        <f>$M$1124*$W$1124</f>
        <v>0</v>
      </c>
      <c r="AD1124" s="4">
        <f>$O$1124*$X$1124</f>
        <v>0</v>
      </c>
      <c r="AE1124" s="4">
        <f ca="1">$K$1124*$Y$1124</f>
        <v>364.92558415190803</v>
      </c>
      <c r="AF1124" s="4">
        <f>$M$1124*$Z$1124</f>
        <v>0</v>
      </c>
      <c r="AG1124" s="4">
        <f>$O$1124*$AA$1124</f>
        <v>0</v>
      </c>
    </row>
    <row r="1125" spans="1:33" ht="11.25" customHeight="1" x14ac:dyDescent="0.25">
      <c r="A1125" s="3" t="s">
        <v>56</v>
      </c>
      <c r="B1125" s="3" t="s">
        <v>41</v>
      </c>
      <c r="C1125" s="3" t="s">
        <v>42</v>
      </c>
      <c r="D1125" s="3" t="s">
        <v>45</v>
      </c>
      <c r="E1125" s="3" t="s">
        <v>25</v>
      </c>
      <c r="F1125" s="3" t="s">
        <v>25</v>
      </c>
      <c r="G1125" s="3" t="s">
        <v>25</v>
      </c>
      <c r="H1125" s="3" t="s">
        <v>25</v>
      </c>
      <c r="I1125" s="6">
        <v>44621</v>
      </c>
      <c r="J1125" s="4">
        <v>270</v>
      </c>
      <c r="K1125" s="56">
        <v>270</v>
      </c>
      <c r="L1125" s="4">
        <v>0</v>
      </c>
      <c r="M1125" s="56">
        <v>0</v>
      </c>
      <c r="N1125" s="4">
        <v>0</v>
      </c>
      <c r="O1125" s="56">
        <v>0</v>
      </c>
      <c r="P1125" s="4">
        <v>2</v>
      </c>
      <c r="Q1125" s="3" t="s">
        <v>26</v>
      </c>
      <c r="R1125" s="3">
        <v>0</v>
      </c>
      <c r="S1125" s="4">
        <v>44</v>
      </c>
      <c r="T1125" s="4">
        <v>0</v>
      </c>
      <c r="U1125" s="4">
        <v>0</v>
      </c>
      <c r="V1125" s="56">
        <f>IF(ISERROR(VLOOKUP($S$1125,'TAR FIN'!$A$1:$O$113,15,0)),0,VLOOKUP($S$1125,'TAR FIN'!$A$1:$O$113,15,0))*(1-0.04)</f>
        <v>23.337599999999998</v>
      </c>
      <c r="W1125" s="56">
        <f>IF(ISERROR(VLOOKUP($T$1125,'TAR FIN'!$A$1:$O$113,15,0)),0,VLOOKUP($T$1125,'TAR FIN'!$A$1:$O$113,15,0))</f>
        <v>0</v>
      </c>
      <c r="X1125" s="56">
        <f>IF(ISERROR(VLOOKUP($U$1125,'TAR FIN'!$A$1:$O$113,15,0)),0,VLOOKUP($U$1125,'TAR FIN'!$A$1:$O$113,15,0))</f>
        <v>0</v>
      </c>
      <c r="Y1125" s="56">
        <f ca="1">('TUSD BE'!$AM$30+'TUSD BF'!$AM$30+'TUSD CVA'!$AM$30)*1*(1-0.02)</f>
        <v>26.066113153707715</v>
      </c>
      <c r="Z1125" s="56"/>
      <c r="AA1125" s="56"/>
      <c r="AB1125" s="4">
        <f>$K$1125*$V$1125</f>
        <v>6301.1519999999991</v>
      </c>
      <c r="AC1125" s="4">
        <f>$M$1125*$W$1125</f>
        <v>0</v>
      </c>
      <c r="AD1125" s="4">
        <f>$O$1125*$X$1125</f>
        <v>0</v>
      </c>
      <c r="AE1125" s="4">
        <f ca="1">$K$1125*$Y$1125</f>
        <v>7037.8505515010829</v>
      </c>
      <c r="AF1125" s="4">
        <f>$M$1125*$Z$1125</f>
        <v>0</v>
      </c>
      <c r="AG1125" s="4">
        <f>$O$1125*$AA$1125</f>
        <v>0</v>
      </c>
    </row>
    <row r="1126" spans="1:33" ht="11.25" customHeight="1" x14ac:dyDescent="0.25">
      <c r="A1126" s="3" t="s">
        <v>21</v>
      </c>
      <c r="B1126" s="3" t="s">
        <v>41</v>
      </c>
      <c r="C1126" s="3" t="s">
        <v>42</v>
      </c>
      <c r="D1126" s="3" t="s">
        <v>45</v>
      </c>
      <c r="E1126" s="3" t="s">
        <v>25</v>
      </c>
      <c r="F1126" s="3" t="s">
        <v>25</v>
      </c>
      <c r="G1126" s="3" t="s">
        <v>25</v>
      </c>
      <c r="H1126" s="3" t="s">
        <v>34</v>
      </c>
      <c r="I1126" s="6">
        <v>44287</v>
      </c>
      <c r="J1126" s="4">
        <v>0</v>
      </c>
      <c r="K1126" s="56">
        <v>0</v>
      </c>
      <c r="L1126" s="4">
        <v>30.745999999999999</v>
      </c>
      <c r="M1126" s="56">
        <v>30.745999999999999</v>
      </c>
      <c r="N1126" s="4">
        <v>30.745999999999999</v>
      </c>
      <c r="O1126" s="56">
        <v>30.745999999999999</v>
      </c>
      <c r="P1126" s="4">
        <v>0</v>
      </c>
      <c r="Q1126" s="3" t="s">
        <v>26</v>
      </c>
      <c r="R1126" s="3">
        <v>0</v>
      </c>
      <c r="S1126" s="4">
        <v>0</v>
      </c>
      <c r="T1126" s="4">
        <v>20</v>
      </c>
      <c r="U1126" s="4">
        <v>88</v>
      </c>
      <c r="V1126" s="56">
        <f>IF(ISERROR(VLOOKUP($S$1126,'TAR FIN'!$A$1:$O$113,15,0)),0,VLOOKUP($S$1126,'TAR FIN'!$A$1:$O$113,15,0))</f>
        <v>0</v>
      </c>
      <c r="W1126" s="56">
        <f>IF(ISERROR(VLOOKUP($T$1126,'TAR FIN'!$A$1:$O$113,15,0)),0,VLOOKUP($T$1126,'TAR FIN'!$A$1:$O$113,15,0))*(1-0.04)</f>
        <v>1502.0063999999998</v>
      </c>
      <c r="X1126" s="56">
        <f>IF(ISERROR(VLOOKUP($U$1126,'TAR FIN'!$A$1:$O$113,15,0)),0,VLOOKUP($U$1126,'TAR FIN'!$A$1:$O$113,15,0))*(1-0.04)</f>
        <v>350.88</v>
      </c>
      <c r="Y1126" s="56"/>
      <c r="Z1126" s="56">
        <f ca="1">('TUSD BE'!$AM$31+'TUSD BF'!$AM$31+'TUSD CVA'!$AM$31)*1*(1-0.02)</f>
        <v>1801.1318198709657</v>
      </c>
      <c r="AA1126" s="56">
        <f>('TE BE'!$AA$10+'TE BF'!$AA$10+'TE CVA'!$AA$10)*1*(1-0.02)</f>
        <v>354.31913150043306</v>
      </c>
      <c r="AB1126" s="4">
        <f>$K$1126*$V$1126</f>
        <v>0</v>
      </c>
      <c r="AC1126" s="4">
        <f>$M$1126*$W$1126</f>
        <v>46180.688774399991</v>
      </c>
      <c r="AD1126" s="4">
        <f>$O$1126*$X$1126</f>
        <v>10788.15648</v>
      </c>
      <c r="AE1126" s="4">
        <f>$K$1126*$Y$1126</f>
        <v>0</v>
      </c>
      <c r="AF1126" s="4">
        <f ca="1">$M$1126*$Z$1126</f>
        <v>55377.598933752713</v>
      </c>
      <c r="AG1126" s="4">
        <f>$O$1126*$AA$1126</f>
        <v>10893.896017112314</v>
      </c>
    </row>
    <row r="1127" spans="1:33" ht="11.25" customHeight="1" x14ac:dyDescent="0.25">
      <c r="A1127" s="3" t="s">
        <v>21</v>
      </c>
      <c r="B1127" s="3" t="s">
        <v>41</v>
      </c>
      <c r="C1127" s="3" t="s">
        <v>42</v>
      </c>
      <c r="D1127" s="3" t="s">
        <v>45</v>
      </c>
      <c r="E1127" s="3" t="s">
        <v>25</v>
      </c>
      <c r="F1127" s="3" t="s">
        <v>25</v>
      </c>
      <c r="G1127" s="3" t="s">
        <v>25</v>
      </c>
      <c r="H1127" s="3" t="s">
        <v>34</v>
      </c>
      <c r="I1127" s="6">
        <v>44317</v>
      </c>
      <c r="J1127" s="4">
        <v>0</v>
      </c>
      <c r="K1127" s="56">
        <v>0</v>
      </c>
      <c r="L1127" s="4">
        <v>260.08</v>
      </c>
      <c r="M1127" s="56">
        <v>260.08</v>
      </c>
      <c r="N1127" s="4">
        <v>260.08</v>
      </c>
      <c r="O1127" s="56">
        <v>260.08</v>
      </c>
      <c r="P1127" s="4">
        <v>0</v>
      </c>
      <c r="Q1127" s="3" t="s">
        <v>26</v>
      </c>
      <c r="R1127" s="3">
        <v>0</v>
      </c>
      <c r="S1127" s="4">
        <v>0</v>
      </c>
      <c r="T1127" s="4">
        <v>20</v>
      </c>
      <c r="U1127" s="4">
        <v>88</v>
      </c>
      <c r="V1127" s="56">
        <f>IF(ISERROR(VLOOKUP($S$1127,'TAR FIN'!$A$1:$O$113,15,0)),0,VLOOKUP($S$1127,'TAR FIN'!$A$1:$O$113,15,0))</f>
        <v>0</v>
      </c>
      <c r="W1127" s="56">
        <f>IF(ISERROR(VLOOKUP($T$1127,'TAR FIN'!$A$1:$O$113,15,0)),0,VLOOKUP($T$1127,'TAR FIN'!$A$1:$O$113,15,0))*(1-0.04)</f>
        <v>1502.0063999999998</v>
      </c>
      <c r="X1127" s="56">
        <f>IF(ISERROR(VLOOKUP($U$1127,'TAR FIN'!$A$1:$O$113,15,0)),0,VLOOKUP($U$1127,'TAR FIN'!$A$1:$O$113,15,0))*(1-0.04)</f>
        <v>350.88</v>
      </c>
      <c r="Y1127" s="56"/>
      <c r="Z1127" s="56">
        <f ca="1">('TUSD BE'!$AM$31+'TUSD BF'!$AM$31+'TUSD CVA'!$AM$31)*1*(1-0.02)</f>
        <v>1801.1318198709657</v>
      </c>
      <c r="AA1127" s="56">
        <f>('TE BE'!$AA$10+'TE BF'!$AA$10+'TE CVA'!$AA$10)*1*(1-0.02)</f>
        <v>354.31913150043306</v>
      </c>
      <c r="AB1127" s="4">
        <f>$K$1127*$V$1127</f>
        <v>0</v>
      </c>
      <c r="AC1127" s="4">
        <f>$M$1127*$W$1127</f>
        <v>390641.8245119999</v>
      </c>
      <c r="AD1127" s="4">
        <f>$O$1127*$X$1127</f>
        <v>91256.8704</v>
      </c>
      <c r="AE1127" s="4">
        <f>$K$1127*$Y$1127</f>
        <v>0</v>
      </c>
      <c r="AF1127" s="4">
        <f ca="1">$M$1127*$Z$1127</f>
        <v>468438.36371204077</v>
      </c>
      <c r="AG1127" s="4">
        <f>$O$1127*$AA$1127</f>
        <v>92151.319720632629</v>
      </c>
    </row>
    <row r="1128" spans="1:33" ht="11.25" customHeight="1" x14ac:dyDescent="0.25">
      <c r="A1128" s="3" t="s">
        <v>27</v>
      </c>
      <c r="B1128" s="3" t="s">
        <v>41</v>
      </c>
      <c r="C1128" s="3" t="s">
        <v>42</v>
      </c>
      <c r="D1128" s="3" t="s">
        <v>45</v>
      </c>
      <c r="E1128" s="3" t="s">
        <v>25</v>
      </c>
      <c r="F1128" s="3" t="s">
        <v>25</v>
      </c>
      <c r="G1128" s="3" t="s">
        <v>25</v>
      </c>
      <c r="H1128" s="3" t="s">
        <v>34</v>
      </c>
      <c r="I1128" s="6">
        <v>44317</v>
      </c>
      <c r="J1128" s="4">
        <v>0</v>
      </c>
      <c r="K1128" s="56">
        <v>0</v>
      </c>
      <c r="L1128" s="4">
        <v>0.08</v>
      </c>
      <c r="M1128" s="56">
        <v>0.08</v>
      </c>
      <c r="N1128" s="4">
        <v>0.08</v>
      </c>
      <c r="O1128" s="56">
        <v>0.08</v>
      </c>
      <c r="P1128" s="4">
        <v>0</v>
      </c>
      <c r="Q1128" s="3" t="s">
        <v>26</v>
      </c>
      <c r="R1128" s="3">
        <v>0</v>
      </c>
      <c r="S1128" s="4">
        <v>0</v>
      </c>
      <c r="T1128" s="4">
        <v>20</v>
      </c>
      <c r="U1128" s="4">
        <v>88</v>
      </c>
      <c r="V1128" s="56">
        <f>IF(ISERROR(VLOOKUP($S$1128,'TAR FIN'!$A$1:$O$113,15,0)),0,VLOOKUP($S$1128,'TAR FIN'!$A$1:$O$113,15,0))</f>
        <v>0</v>
      </c>
      <c r="W1128" s="56">
        <f>IF(ISERROR(VLOOKUP($T$1128,'TAR FIN'!$A$1:$O$113,15,0)),0,VLOOKUP($T$1128,'TAR FIN'!$A$1:$O$113,15,0))*(1-0.04)</f>
        <v>1502.0063999999998</v>
      </c>
      <c r="X1128" s="56">
        <f>IF(ISERROR(VLOOKUP($U$1128,'TAR FIN'!$A$1:$O$113,15,0)),0,VLOOKUP($U$1128,'TAR FIN'!$A$1:$O$113,15,0))*(1-0.04)</f>
        <v>350.88</v>
      </c>
      <c r="Y1128" s="56"/>
      <c r="Z1128" s="56">
        <f ca="1">('TUSD BE'!$AM$31+'TUSD BF'!$AM$31+'TUSD CVA'!$AM$31)*1*(1-0.02)</f>
        <v>1801.1318198709657</v>
      </c>
      <c r="AA1128" s="56">
        <f>('TE BE'!$AA$10+'TE BF'!$AA$10+'TE CVA'!$AA$10)*1*(1-0.02)</f>
        <v>354.31913150043306</v>
      </c>
      <c r="AB1128" s="4">
        <f>$K$1128*$V$1128</f>
        <v>0</v>
      </c>
      <c r="AC1128" s="4">
        <f>$M$1128*$W$1128</f>
        <v>120.16051199999998</v>
      </c>
      <c r="AD1128" s="4">
        <f>$O$1128*$X$1128</f>
        <v>28.070399999999999</v>
      </c>
      <c r="AE1128" s="4">
        <f>$K$1128*$Y$1128</f>
        <v>0</v>
      </c>
      <c r="AF1128" s="4">
        <f ca="1">$M$1128*$Z$1128</f>
        <v>144.09054558967725</v>
      </c>
      <c r="AG1128" s="4">
        <f>$O$1128*$AA$1128</f>
        <v>28.345530520034647</v>
      </c>
    </row>
    <row r="1129" spans="1:33" ht="11.25" customHeight="1" x14ac:dyDescent="0.25">
      <c r="A1129" s="3" t="s">
        <v>21</v>
      </c>
      <c r="B1129" s="3" t="s">
        <v>41</v>
      </c>
      <c r="C1129" s="3" t="s">
        <v>42</v>
      </c>
      <c r="D1129" s="3" t="s">
        <v>45</v>
      </c>
      <c r="E1129" s="3" t="s">
        <v>25</v>
      </c>
      <c r="F1129" s="3" t="s">
        <v>25</v>
      </c>
      <c r="G1129" s="3" t="s">
        <v>25</v>
      </c>
      <c r="H1129" s="3" t="s">
        <v>34</v>
      </c>
      <c r="I1129" s="6">
        <v>44348</v>
      </c>
      <c r="J1129" s="4">
        <v>0</v>
      </c>
      <c r="K1129" s="56">
        <v>0</v>
      </c>
      <c r="L1129" s="4">
        <v>24.515999999999998</v>
      </c>
      <c r="M1129" s="56">
        <v>24.515999999999998</v>
      </c>
      <c r="N1129" s="4">
        <v>24.515999999999998</v>
      </c>
      <c r="O1129" s="56">
        <v>24.515999999999998</v>
      </c>
      <c r="P1129" s="4">
        <v>0</v>
      </c>
      <c r="Q1129" s="3" t="s">
        <v>26</v>
      </c>
      <c r="R1129" s="3">
        <v>0</v>
      </c>
      <c r="S1129" s="4">
        <v>0</v>
      </c>
      <c r="T1129" s="4">
        <v>20</v>
      </c>
      <c r="U1129" s="4">
        <v>88</v>
      </c>
      <c r="V1129" s="56">
        <f>IF(ISERROR(VLOOKUP($S$1129,'TAR FIN'!$A$1:$O$113,15,0)),0,VLOOKUP($S$1129,'TAR FIN'!$A$1:$O$113,15,0))</f>
        <v>0</v>
      </c>
      <c r="W1129" s="56">
        <f>IF(ISERROR(VLOOKUP($T$1129,'TAR FIN'!$A$1:$O$113,15,0)),0,VLOOKUP($T$1129,'TAR FIN'!$A$1:$O$113,15,0))*(1-0.04)</f>
        <v>1502.0063999999998</v>
      </c>
      <c r="X1129" s="56">
        <f>IF(ISERROR(VLOOKUP($U$1129,'TAR FIN'!$A$1:$O$113,15,0)),0,VLOOKUP($U$1129,'TAR FIN'!$A$1:$O$113,15,0))*(1-0.04)</f>
        <v>350.88</v>
      </c>
      <c r="Y1129" s="56"/>
      <c r="Z1129" s="56">
        <f ca="1">('TUSD BE'!$AM$31+'TUSD BF'!$AM$31+'TUSD CVA'!$AM$31)*1*(1-0.02)</f>
        <v>1801.1318198709657</v>
      </c>
      <c r="AA1129" s="56">
        <f>('TE BE'!$AA$10+'TE BF'!$AA$10+'TE CVA'!$AA$10)*1*(1-0.02)</f>
        <v>354.31913150043306</v>
      </c>
      <c r="AB1129" s="4">
        <f>$K$1129*$V$1129</f>
        <v>0</v>
      </c>
      <c r="AC1129" s="4">
        <f>$M$1129*$W$1129</f>
        <v>36823.18890239999</v>
      </c>
      <c r="AD1129" s="4">
        <f>$O$1129*$X$1129</f>
        <v>8602.1740799999989</v>
      </c>
      <c r="AE1129" s="4">
        <f>$K$1129*$Y$1129</f>
        <v>0</v>
      </c>
      <c r="AF1129" s="4">
        <f ca="1">$M$1129*$Z$1129</f>
        <v>44156.547695956593</v>
      </c>
      <c r="AG1129" s="4">
        <f>$O$1129*$AA$1129</f>
        <v>8686.4878278646156</v>
      </c>
    </row>
    <row r="1130" spans="1:33" ht="11.25" customHeight="1" x14ac:dyDescent="0.25">
      <c r="A1130" s="3" t="s">
        <v>21</v>
      </c>
      <c r="B1130" s="3" t="s">
        <v>41</v>
      </c>
      <c r="C1130" s="3" t="s">
        <v>42</v>
      </c>
      <c r="D1130" s="3" t="s">
        <v>45</v>
      </c>
      <c r="E1130" s="3" t="s">
        <v>25</v>
      </c>
      <c r="F1130" s="3" t="s">
        <v>25</v>
      </c>
      <c r="G1130" s="3" t="s">
        <v>25</v>
      </c>
      <c r="H1130" s="3" t="s">
        <v>34</v>
      </c>
      <c r="I1130" s="6">
        <v>44378</v>
      </c>
      <c r="J1130" s="4">
        <v>0</v>
      </c>
      <c r="K1130" s="56">
        <v>0</v>
      </c>
      <c r="L1130" s="4">
        <v>27.988</v>
      </c>
      <c r="M1130" s="56">
        <v>27.988</v>
      </c>
      <c r="N1130" s="4">
        <v>27.988</v>
      </c>
      <c r="O1130" s="56">
        <v>27.988</v>
      </c>
      <c r="P1130" s="4">
        <v>0</v>
      </c>
      <c r="Q1130" s="3" t="s">
        <v>26</v>
      </c>
      <c r="R1130" s="3">
        <v>0</v>
      </c>
      <c r="S1130" s="4">
        <v>0</v>
      </c>
      <c r="T1130" s="4">
        <v>20</v>
      </c>
      <c r="U1130" s="4">
        <v>88</v>
      </c>
      <c r="V1130" s="56">
        <f>IF(ISERROR(VLOOKUP($S$1130,'TAR FIN'!$A$1:$O$113,15,0)),0,VLOOKUP($S$1130,'TAR FIN'!$A$1:$O$113,15,0))</f>
        <v>0</v>
      </c>
      <c r="W1130" s="56">
        <f>IF(ISERROR(VLOOKUP($T$1130,'TAR FIN'!$A$1:$O$113,15,0)),0,VLOOKUP($T$1130,'TAR FIN'!$A$1:$O$113,15,0))*(1-0.04)</f>
        <v>1502.0063999999998</v>
      </c>
      <c r="X1130" s="56">
        <f>IF(ISERROR(VLOOKUP($U$1130,'TAR FIN'!$A$1:$O$113,15,0)),0,VLOOKUP($U$1130,'TAR FIN'!$A$1:$O$113,15,0))*(1-0.04)</f>
        <v>350.88</v>
      </c>
      <c r="Y1130" s="56"/>
      <c r="Z1130" s="56">
        <f ca="1">('TUSD BE'!$AM$31+'TUSD BF'!$AM$31+'TUSD CVA'!$AM$31)*1*(1-0.02)</f>
        <v>1801.1318198709657</v>
      </c>
      <c r="AA1130" s="56">
        <f>('TE BE'!$AA$10+'TE BF'!$AA$10+'TE CVA'!$AA$10)*1*(1-0.02)</f>
        <v>354.31913150043306</v>
      </c>
      <c r="AB1130" s="4">
        <f>$K$1130*$V$1130</f>
        <v>0</v>
      </c>
      <c r="AC1130" s="4">
        <f>$M$1130*$W$1130</f>
        <v>42038.155123199991</v>
      </c>
      <c r="AD1130" s="4">
        <f>$O$1130*$X$1130</f>
        <v>9820.4294399999999</v>
      </c>
      <c r="AE1130" s="4">
        <f>$K$1130*$Y$1130</f>
        <v>0</v>
      </c>
      <c r="AF1130" s="4">
        <f ca="1">$M$1130*$Z$1130</f>
        <v>50410.077374548586</v>
      </c>
      <c r="AG1130" s="4">
        <f>$O$1130*$AA$1130</f>
        <v>9916.6838524341201</v>
      </c>
    </row>
    <row r="1131" spans="1:33" ht="11.25" customHeight="1" x14ac:dyDescent="0.25">
      <c r="A1131" s="3" t="s">
        <v>27</v>
      </c>
      <c r="B1131" s="3" t="s">
        <v>41</v>
      </c>
      <c r="C1131" s="3" t="s">
        <v>42</v>
      </c>
      <c r="D1131" s="3" t="s">
        <v>45</v>
      </c>
      <c r="E1131" s="3" t="s">
        <v>25</v>
      </c>
      <c r="F1131" s="3" t="s">
        <v>25</v>
      </c>
      <c r="G1131" s="3" t="s">
        <v>25</v>
      </c>
      <c r="H1131" s="3" t="s">
        <v>34</v>
      </c>
      <c r="I1131" s="6">
        <v>44378</v>
      </c>
      <c r="J1131" s="4">
        <v>0</v>
      </c>
      <c r="K1131" s="56">
        <v>0</v>
      </c>
      <c r="L1131" s="4">
        <v>8.2000000000000003E-2</v>
      </c>
      <c r="M1131" s="56">
        <v>8.2000000000000003E-2</v>
      </c>
      <c r="N1131" s="4">
        <v>8.2000000000000003E-2</v>
      </c>
      <c r="O1131" s="56">
        <v>8.2000000000000003E-2</v>
      </c>
      <c r="P1131" s="4">
        <v>0</v>
      </c>
      <c r="Q1131" s="3" t="s">
        <v>26</v>
      </c>
      <c r="R1131" s="3">
        <v>0</v>
      </c>
      <c r="S1131" s="4">
        <v>0</v>
      </c>
      <c r="T1131" s="4">
        <v>20</v>
      </c>
      <c r="U1131" s="4">
        <v>88</v>
      </c>
      <c r="V1131" s="56">
        <f>IF(ISERROR(VLOOKUP($S$1131,'TAR FIN'!$A$1:$O$113,15,0)),0,VLOOKUP($S$1131,'TAR FIN'!$A$1:$O$113,15,0))</f>
        <v>0</v>
      </c>
      <c r="W1131" s="56">
        <f>IF(ISERROR(VLOOKUP($T$1131,'TAR FIN'!$A$1:$O$113,15,0)),0,VLOOKUP($T$1131,'TAR FIN'!$A$1:$O$113,15,0))*(1-0.04)</f>
        <v>1502.0063999999998</v>
      </c>
      <c r="X1131" s="56">
        <f>IF(ISERROR(VLOOKUP($U$1131,'TAR FIN'!$A$1:$O$113,15,0)),0,VLOOKUP($U$1131,'TAR FIN'!$A$1:$O$113,15,0))*(1-0.04)</f>
        <v>350.88</v>
      </c>
      <c r="Y1131" s="56"/>
      <c r="Z1131" s="56">
        <f ca="1">('TUSD BE'!$AM$31+'TUSD BF'!$AM$31+'TUSD CVA'!$AM$31)*1*(1-0.02)</f>
        <v>1801.1318198709657</v>
      </c>
      <c r="AA1131" s="56">
        <f>('TE BE'!$AA$10+'TE BF'!$AA$10+'TE CVA'!$AA$10)*1*(1-0.02)</f>
        <v>354.31913150043306</v>
      </c>
      <c r="AB1131" s="4">
        <f>$K$1131*$V$1131</f>
        <v>0</v>
      </c>
      <c r="AC1131" s="4">
        <f>$M$1131*$W$1131</f>
        <v>123.16452479999998</v>
      </c>
      <c r="AD1131" s="4">
        <f>$O$1131*$X$1131</f>
        <v>28.77216</v>
      </c>
      <c r="AE1131" s="4">
        <f>$K$1131*$Y$1131</f>
        <v>0</v>
      </c>
      <c r="AF1131" s="4">
        <f ca="1">$M$1131*$Z$1131</f>
        <v>147.6928092294192</v>
      </c>
      <c r="AG1131" s="4">
        <f>$O$1131*$AA$1131</f>
        <v>29.054168783035511</v>
      </c>
    </row>
    <row r="1132" spans="1:33" ht="11.25" customHeight="1" x14ac:dyDescent="0.25">
      <c r="A1132" s="3" t="s">
        <v>28</v>
      </c>
      <c r="B1132" s="3" t="s">
        <v>41</v>
      </c>
      <c r="C1132" s="3" t="s">
        <v>42</v>
      </c>
      <c r="D1132" s="3" t="s">
        <v>45</v>
      </c>
      <c r="E1132" s="3" t="s">
        <v>25</v>
      </c>
      <c r="F1132" s="3" t="s">
        <v>25</v>
      </c>
      <c r="G1132" s="3" t="s">
        <v>25</v>
      </c>
      <c r="H1132" s="3" t="s">
        <v>34</v>
      </c>
      <c r="I1132" s="6">
        <v>44378</v>
      </c>
      <c r="J1132" s="4">
        <v>0</v>
      </c>
      <c r="K1132" s="56">
        <v>0</v>
      </c>
      <c r="L1132" s="4">
        <v>0.35</v>
      </c>
      <c r="M1132" s="56">
        <v>0.35</v>
      </c>
      <c r="N1132" s="4">
        <v>0.35</v>
      </c>
      <c r="O1132" s="56">
        <v>0.35</v>
      </c>
      <c r="P1132" s="4">
        <v>0</v>
      </c>
      <c r="Q1132" s="3" t="s">
        <v>26</v>
      </c>
      <c r="R1132" s="3">
        <v>0</v>
      </c>
      <c r="S1132" s="4">
        <v>0</v>
      </c>
      <c r="T1132" s="4">
        <v>20</v>
      </c>
      <c r="U1132" s="4">
        <v>88</v>
      </c>
      <c r="V1132" s="56">
        <f>IF(ISERROR(VLOOKUP($S$1132,'TAR FIN'!$A$1:$O$113,15,0)),0,VLOOKUP($S$1132,'TAR FIN'!$A$1:$O$113,15,0))</f>
        <v>0</v>
      </c>
      <c r="W1132" s="56">
        <f>IF(ISERROR(VLOOKUP($T$1132,'TAR FIN'!$A$1:$O$113,15,0)),0,VLOOKUP($T$1132,'TAR FIN'!$A$1:$O$113,15,0))*(1-0.04)</f>
        <v>1502.0063999999998</v>
      </c>
      <c r="X1132" s="56">
        <f>IF(ISERROR(VLOOKUP($U$1132,'TAR FIN'!$A$1:$O$113,15,0)),0,VLOOKUP($U$1132,'TAR FIN'!$A$1:$O$113,15,0))*(1-0.04)</f>
        <v>350.88</v>
      </c>
      <c r="Y1132" s="56"/>
      <c r="Z1132" s="56">
        <f ca="1">('TUSD BE'!$AM$31+'TUSD BF'!$AM$31+'TUSD CVA'!$AM$31)*1*(1-0.02)</f>
        <v>1801.1318198709657</v>
      </c>
      <c r="AA1132" s="56">
        <f>('TE BE'!$AA$10+'TE BF'!$AA$10+'TE CVA'!$AA$10)*1*(1-0.02)</f>
        <v>354.31913150043306</v>
      </c>
      <c r="AB1132" s="4">
        <f>$K$1132*$V$1132</f>
        <v>0</v>
      </c>
      <c r="AC1132" s="4">
        <f>$M$1132*$W$1132</f>
        <v>525.70223999999985</v>
      </c>
      <c r="AD1132" s="4">
        <f>$O$1132*$X$1132</f>
        <v>122.80799999999999</v>
      </c>
      <c r="AE1132" s="4">
        <f>$K$1132*$Y$1132</f>
        <v>0</v>
      </c>
      <c r="AF1132" s="4">
        <f ca="1">$M$1132*$Z$1132</f>
        <v>630.39613695483797</v>
      </c>
      <c r="AG1132" s="4">
        <f>$O$1132*$AA$1132</f>
        <v>124.01169602515156</v>
      </c>
    </row>
    <row r="1133" spans="1:33" ht="11.25" customHeight="1" x14ac:dyDescent="0.25">
      <c r="A1133" s="3" t="s">
        <v>21</v>
      </c>
      <c r="B1133" s="3" t="s">
        <v>41</v>
      </c>
      <c r="C1133" s="3" t="s">
        <v>42</v>
      </c>
      <c r="D1133" s="3" t="s">
        <v>45</v>
      </c>
      <c r="E1133" s="3" t="s">
        <v>25</v>
      </c>
      <c r="F1133" s="3" t="s">
        <v>25</v>
      </c>
      <c r="G1133" s="3" t="s">
        <v>25</v>
      </c>
      <c r="H1133" s="3" t="s">
        <v>34</v>
      </c>
      <c r="I1133" s="6">
        <v>44409</v>
      </c>
      <c r="J1133" s="4">
        <v>0</v>
      </c>
      <c r="K1133" s="56">
        <v>0</v>
      </c>
      <c r="L1133" s="4">
        <v>24.655999999999999</v>
      </c>
      <c r="M1133" s="56">
        <v>24.655999999999999</v>
      </c>
      <c r="N1133" s="4">
        <v>24.655999999999999</v>
      </c>
      <c r="O1133" s="56">
        <v>24.655999999999999</v>
      </c>
      <c r="P1133" s="4">
        <v>0</v>
      </c>
      <c r="Q1133" s="3" t="s">
        <v>26</v>
      </c>
      <c r="R1133" s="3">
        <v>0</v>
      </c>
      <c r="S1133" s="4">
        <v>0</v>
      </c>
      <c r="T1133" s="4">
        <v>20</v>
      </c>
      <c r="U1133" s="4">
        <v>88</v>
      </c>
      <c r="V1133" s="56">
        <f>IF(ISERROR(VLOOKUP($S$1133,'TAR FIN'!$A$1:$O$113,15,0)),0,VLOOKUP($S$1133,'TAR FIN'!$A$1:$O$113,15,0))</f>
        <v>0</v>
      </c>
      <c r="W1133" s="56">
        <f>IF(ISERROR(VLOOKUP($T$1133,'TAR FIN'!$A$1:$O$113,15,0)),0,VLOOKUP($T$1133,'TAR FIN'!$A$1:$O$113,15,0))*(1-0.04)</f>
        <v>1502.0063999999998</v>
      </c>
      <c r="X1133" s="56">
        <f>IF(ISERROR(VLOOKUP($U$1133,'TAR FIN'!$A$1:$O$113,15,0)),0,VLOOKUP($U$1133,'TAR FIN'!$A$1:$O$113,15,0))*(1-0.04)</f>
        <v>350.88</v>
      </c>
      <c r="Y1133" s="56"/>
      <c r="Z1133" s="56">
        <f ca="1">('TUSD BE'!$AM$31+'TUSD BF'!$AM$31+'TUSD CVA'!$AM$31)*1*(1-0.02)</f>
        <v>1801.1318198709657</v>
      </c>
      <c r="AA1133" s="56">
        <f>('TE BE'!$AA$10+'TE BF'!$AA$10+'TE CVA'!$AA$10)*1*(1-0.02)</f>
        <v>354.31913150043306</v>
      </c>
      <c r="AB1133" s="4">
        <f>$K$1133*$V$1133</f>
        <v>0</v>
      </c>
      <c r="AC1133" s="4">
        <f>$M$1133*$W$1133</f>
        <v>37033.469798399994</v>
      </c>
      <c r="AD1133" s="4">
        <f>$O$1133*$X$1133</f>
        <v>8651.2972799999989</v>
      </c>
      <c r="AE1133" s="4">
        <f>$K$1133*$Y$1133</f>
        <v>0</v>
      </c>
      <c r="AF1133" s="4">
        <f ca="1">$M$1133*$Z$1133</f>
        <v>44408.70615073853</v>
      </c>
      <c r="AG1133" s="4">
        <f>$O$1133*$AA$1133</f>
        <v>8736.0925062746774</v>
      </c>
    </row>
    <row r="1134" spans="1:33" ht="11.25" customHeight="1" x14ac:dyDescent="0.25">
      <c r="A1134" s="3" t="s">
        <v>27</v>
      </c>
      <c r="B1134" s="3" t="s">
        <v>41</v>
      </c>
      <c r="C1134" s="3" t="s">
        <v>42</v>
      </c>
      <c r="D1134" s="3" t="s">
        <v>45</v>
      </c>
      <c r="E1134" s="3" t="s">
        <v>25</v>
      </c>
      <c r="F1134" s="3" t="s">
        <v>25</v>
      </c>
      <c r="G1134" s="3" t="s">
        <v>25</v>
      </c>
      <c r="H1134" s="3" t="s">
        <v>34</v>
      </c>
      <c r="I1134" s="6">
        <v>44409</v>
      </c>
      <c r="J1134" s="4">
        <v>0</v>
      </c>
      <c r="K1134" s="56">
        <v>0</v>
      </c>
      <c r="L1134" s="4">
        <v>-233.1</v>
      </c>
      <c r="M1134" s="56">
        <v>-233.1</v>
      </c>
      <c r="N1134" s="4">
        <v>-233.1</v>
      </c>
      <c r="O1134" s="56">
        <v>-233.1</v>
      </c>
      <c r="P1134" s="4">
        <v>0</v>
      </c>
      <c r="Q1134" s="3" t="s">
        <v>26</v>
      </c>
      <c r="R1134" s="3">
        <v>0</v>
      </c>
      <c r="S1134" s="4">
        <v>0</v>
      </c>
      <c r="T1134" s="4">
        <v>20</v>
      </c>
      <c r="U1134" s="4">
        <v>88</v>
      </c>
      <c r="V1134" s="56">
        <f>IF(ISERROR(VLOOKUP($S$1134,'TAR FIN'!$A$1:$O$113,15,0)),0,VLOOKUP($S$1134,'TAR FIN'!$A$1:$O$113,15,0))</f>
        <v>0</v>
      </c>
      <c r="W1134" s="56">
        <f>IF(ISERROR(VLOOKUP($T$1134,'TAR FIN'!$A$1:$O$113,15,0)),0,VLOOKUP($T$1134,'TAR FIN'!$A$1:$O$113,15,0))*(1-0.04)</f>
        <v>1502.0063999999998</v>
      </c>
      <c r="X1134" s="56">
        <f>IF(ISERROR(VLOOKUP($U$1134,'TAR FIN'!$A$1:$O$113,15,0)),0,VLOOKUP($U$1134,'TAR FIN'!$A$1:$O$113,15,0))*(1-0.04)</f>
        <v>350.88</v>
      </c>
      <c r="Y1134" s="56"/>
      <c r="Z1134" s="56">
        <f ca="1">('TUSD BE'!$AM$31+'TUSD BF'!$AM$31+'TUSD CVA'!$AM$31)*1*(1-0.02)</f>
        <v>1801.1318198709657</v>
      </c>
      <c r="AA1134" s="56">
        <f>('TE BE'!$AA$10+'TE BF'!$AA$10+'TE CVA'!$AA$10)*1*(1-0.02)</f>
        <v>354.31913150043306</v>
      </c>
      <c r="AB1134" s="4">
        <f>$K$1134*$V$1134</f>
        <v>0</v>
      </c>
      <c r="AC1134" s="4">
        <f>$M$1134*$W$1134</f>
        <v>-350117.69183999993</v>
      </c>
      <c r="AD1134" s="4">
        <f>$O$1134*$X$1134</f>
        <v>-81790.127999999997</v>
      </c>
      <c r="AE1134" s="4">
        <f>$K$1134*$Y$1134</f>
        <v>0</v>
      </c>
      <c r="AF1134" s="4">
        <f ca="1">$M$1134*$Z$1134</f>
        <v>-419843.82721192209</v>
      </c>
      <c r="AG1134" s="4">
        <f>$O$1134*$AA$1134</f>
        <v>-82591.789552750939</v>
      </c>
    </row>
    <row r="1135" spans="1:33" ht="11.25" customHeight="1" x14ac:dyDescent="0.25">
      <c r="A1135" s="3" t="s">
        <v>21</v>
      </c>
      <c r="B1135" s="3" t="s">
        <v>41</v>
      </c>
      <c r="C1135" s="3" t="s">
        <v>42</v>
      </c>
      <c r="D1135" s="3" t="s">
        <v>45</v>
      </c>
      <c r="E1135" s="3" t="s">
        <v>25</v>
      </c>
      <c r="F1135" s="3" t="s">
        <v>25</v>
      </c>
      <c r="G1135" s="3" t="s">
        <v>25</v>
      </c>
      <c r="H1135" s="3" t="s">
        <v>34</v>
      </c>
      <c r="I1135" s="6">
        <v>44440</v>
      </c>
      <c r="J1135" s="4">
        <v>0</v>
      </c>
      <c r="K1135" s="56">
        <v>0</v>
      </c>
      <c r="L1135" s="4">
        <v>29.007000000000001</v>
      </c>
      <c r="M1135" s="56">
        <v>29.007000000000001</v>
      </c>
      <c r="N1135" s="4">
        <v>29.007000000000001</v>
      </c>
      <c r="O1135" s="56">
        <v>29.007000000000001</v>
      </c>
      <c r="P1135" s="4">
        <v>0</v>
      </c>
      <c r="Q1135" s="3" t="s">
        <v>26</v>
      </c>
      <c r="R1135" s="3">
        <v>0</v>
      </c>
      <c r="S1135" s="4">
        <v>0</v>
      </c>
      <c r="T1135" s="4">
        <v>20</v>
      </c>
      <c r="U1135" s="4">
        <v>88</v>
      </c>
      <c r="V1135" s="56">
        <f>IF(ISERROR(VLOOKUP($S$1135,'TAR FIN'!$A$1:$O$113,15,0)),0,VLOOKUP($S$1135,'TAR FIN'!$A$1:$O$113,15,0))</f>
        <v>0</v>
      </c>
      <c r="W1135" s="56">
        <f>IF(ISERROR(VLOOKUP($T$1135,'TAR FIN'!$A$1:$O$113,15,0)),0,VLOOKUP($T$1135,'TAR FIN'!$A$1:$O$113,15,0))*(1-0.04)</f>
        <v>1502.0063999999998</v>
      </c>
      <c r="X1135" s="56">
        <f>IF(ISERROR(VLOOKUP($U$1135,'TAR FIN'!$A$1:$O$113,15,0)),0,VLOOKUP($U$1135,'TAR FIN'!$A$1:$O$113,15,0))*(1-0.04)</f>
        <v>350.88</v>
      </c>
      <c r="Y1135" s="56"/>
      <c r="Z1135" s="56">
        <f ca="1">('TUSD BE'!$AM$31+'TUSD BF'!$AM$31+'TUSD CVA'!$AM$31)*1*(1-0.02)</f>
        <v>1801.1318198709657</v>
      </c>
      <c r="AA1135" s="56">
        <f>('TE BE'!$AA$10+'TE BF'!$AA$10+'TE CVA'!$AA$10)*1*(1-0.02)</f>
        <v>354.31913150043306</v>
      </c>
      <c r="AB1135" s="4">
        <f>$K$1135*$V$1135</f>
        <v>0</v>
      </c>
      <c r="AC1135" s="4">
        <f>$M$1135*$W$1135</f>
        <v>43568.699644799992</v>
      </c>
      <c r="AD1135" s="4">
        <f>$O$1135*$X$1135</f>
        <v>10177.97616</v>
      </c>
      <c r="AE1135" s="4">
        <f>$K$1135*$Y$1135</f>
        <v>0</v>
      </c>
      <c r="AF1135" s="4">
        <f ca="1">$M$1135*$Z$1135</f>
        <v>52245.430698997108</v>
      </c>
      <c r="AG1135" s="4">
        <f>$O$1135*$AA$1135</f>
        <v>10277.735047433061</v>
      </c>
    </row>
    <row r="1136" spans="1:33" ht="11.25" customHeight="1" x14ac:dyDescent="0.25">
      <c r="A1136" s="3" t="s">
        <v>28</v>
      </c>
      <c r="B1136" s="3" t="s">
        <v>41</v>
      </c>
      <c r="C1136" s="3" t="s">
        <v>42</v>
      </c>
      <c r="D1136" s="3" t="s">
        <v>45</v>
      </c>
      <c r="E1136" s="3" t="s">
        <v>25</v>
      </c>
      <c r="F1136" s="3" t="s">
        <v>25</v>
      </c>
      <c r="G1136" s="3" t="s">
        <v>25</v>
      </c>
      <c r="H1136" s="3" t="s">
        <v>34</v>
      </c>
      <c r="I1136" s="6">
        <v>44440</v>
      </c>
      <c r="J1136" s="4">
        <v>0</v>
      </c>
      <c r="K1136" s="56">
        <v>0</v>
      </c>
      <c r="L1136" s="4">
        <v>0.35</v>
      </c>
      <c r="M1136" s="56">
        <v>0.35</v>
      </c>
      <c r="N1136" s="4">
        <v>0.35</v>
      </c>
      <c r="O1136" s="56">
        <v>0.35</v>
      </c>
      <c r="P1136" s="4">
        <v>0</v>
      </c>
      <c r="Q1136" s="3" t="s">
        <v>26</v>
      </c>
      <c r="R1136" s="3">
        <v>0</v>
      </c>
      <c r="S1136" s="4">
        <v>0</v>
      </c>
      <c r="T1136" s="4">
        <v>20</v>
      </c>
      <c r="U1136" s="4">
        <v>88</v>
      </c>
      <c r="V1136" s="56">
        <f>IF(ISERROR(VLOOKUP($S$1136,'TAR FIN'!$A$1:$O$113,15,0)),0,VLOOKUP($S$1136,'TAR FIN'!$A$1:$O$113,15,0))</f>
        <v>0</v>
      </c>
      <c r="W1136" s="56">
        <f>IF(ISERROR(VLOOKUP($T$1136,'TAR FIN'!$A$1:$O$113,15,0)),0,VLOOKUP($T$1136,'TAR FIN'!$A$1:$O$113,15,0))*(1-0.04)</f>
        <v>1502.0063999999998</v>
      </c>
      <c r="X1136" s="56">
        <f>IF(ISERROR(VLOOKUP($U$1136,'TAR FIN'!$A$1:$O$113,15,0)),0,VLOOKUP($U$1136,'TAR FIN'!$A$1:$O$113,15,0))*(1-0.04)</f>
        <v>350.88</v>
      </c>
      <c r="Y1136" s="56"/>
      <c r="Z1136" s="56">
        <f ca="1">('TUSD BE'!$AM$31+'TUSD BF'!$AM$31+'TUSD CVA'!$AM$31)*1*(1-0.02)</f>
        <v>1801.1318198709657</v>
      </c>
      <c r="AA1136" s="56">
        <f>('TE BE'!$AA$10+'TE BF'!$AA$10+'TE CVA'!$AA$10)*1*(1-0.02)</f>
        <v>354.31913150043306</v>
      </c>
      <c r="AB1136" s="4">
        <f>$K$1136*$V$1136</f>
        <v>0</v>
      </c>
      <c r="AC1136" s="4">
        <f>$M$1136*$W$1136</f>
        <v>525.70223999999985</v>
      </c>
      <c r="AD1136" s="4">
        <f>$O$1136*$X$1136</f>
        <v>122.80799999999999</v>
      </c>
      <c r="AE1136" s="4">
        <f>$K$1136*$Y$1136</f>
        <v>0</v>
      </c>
      <c r="AF1136" s="4">
        <f ca="1">$M$1136*$Z$1136</f>
        <v>630.39613695483797</v>
      </c>
      <c r="AG1136" s="4">
        <f>$O$1136*$AA$1136</f>
        <v>124.01169602515156</v>
      </c>
    </row>
    <row r="1137" spans="1:33" ht="11.25" customHeight="1" x14ac:dyDescent="0.25">
      <c r="A1137" s="3" t="s">
        <v>21</v>
      </c>
      <c r="B1137" s="3" t="s">
        <v>41</v>
      </c>
      <c r="C1137" s="3" t="s">
        <v>42</v>
      </c>
      <c r="D1137" s="3" t="s">
        <v>45</v>
      </c>
      <c r="E1137" s="3" t="s">
        <v>25</v>
      </c>
      <c r="F1137" s="3" t="s">
        <v>25</v>
      </c>
      <c r="G1137" s="3" t="s">
        <v>25</v>
      </c>
      <c r="H1137" s="3" t="s">
        <v>34</v>
      </c>
      <c r="I1137" s="6">
        <v>44470</v>
      </c>
      <c r="J1137" s="4">
        <v>0</v>
      </c>
      <c r="K1137" s="56">
        <v>0</v>
      </c>
      <c r="L1137" s="4">
        <v>35.317999999999998</v>
      </c>
      <c r="M1137" s="56">
        <v>35.317999999999998</v>
      </c>
      <c r="N1137" s="4">
        <v>35.317999999999998</v>
      </c>
      <c r="O1137" s="56">
        <v>35.317999999999998</v>
      </c>
      <c r="P1137" s="4">
        <v>0</v>
      </c>
      <c r="Q1137" s="3" t="s">
        <v>26</v>
      </c>
      <c r="R1137" s="3">
        <v>0</v>
      </c>
      <c r="S1137" s="4">
        <v>0</v>
      </c>
      <c r="T1137" s="4">
        <v>20</v>
      </c>
      <c r="U1137" s="4">
        <v>88</v>
      </c>
      <c r="V1137" s="56">
        <f>IF(ISERROR(VLOOKUP($S$1137,'TAR FIN'!$A$1:$O$113,15,0)),0,VLOOKUP($S$1137,'TAR FIN'!$A$1:$O$113,15,0))</f>
        <v>0</v>
      </c>
      <c r="W1137" s="56">
        <f>IF(ISERROR(VLOOKUP($T$1137,'TAR FIN'!$A$1:$O$113,15,0)),0,VLOOKUP($T$1137,'TAR FIN'!$A$1:$O$113,15,0))*(1-0.04)</f>
        <v>1502.0063999999998</v>
      </c>
      <c r="X1137" s="56">
        <f>IF(ISERROR(VLOOKUP($U$1137,'TAR FIN'!$A$1:$O$113,15,0)),0,VLOOKUP($U$1137,'TAR FIN'!$A$1:$O$113,15,0))*(1-0.04)</f>
        <v>350.88</v>
      </c>
      <c r="Y1137" s="56"/>
      <c r="Z1137" s="56">
        <f ca="1">('TUSD BE'!$AM$31+'TUSD BF'!$AM$31+'TUSD CVA'!$AM$31)*1*(1-0.02)</f>
        <v>1801.1318198709657</v>
      </c>
      <c r="AA1137" s="56">
        <f>('TE BE'!$AA$10+'TE BF'!$AA$10+'TE CVA'!$AA$10)*1*(1-0.02)</f>
        <v>354.31913150043306</v>
      </c>
      <c r="AB1137" s="4">
        <f>$K$1137*$V$1137</f>
        <v>0</v>
      </c>
      <c r="AC1137" s="4">
        <f>$M$1137*$W$1137</f>
        <v>53047.862035199985</v>
      </c>
      <c r="AD1137" s="4">
        <f>$O$1137*$X$1137</f>
        <v>12392.37984</v>
      </c>
      <c r="AE1137" s="4">
        <f>$K$1137*$Y$1137</f>
        <v>0</v>
      </c>
      <c r="AF1137" s="4">
        <f ca="1">$M$1137*$Z$1137</f>
        <v>63612.373614202763</v>
      </c>
      <c r="AG1137" s="4">
        <f>$O$1137*$AA$1137</f>
        <v>12513.843086332294</v>
      </c>
    </row>
    <row r="1138" spans="1:33" ht="11.25" customHeight="1" x14ac:dyDescent="0.25">
      <c r="A1138" s="3" t="s">
        <v>21</v>
      </c>
      <c r="B1138" s="3" t="s">
        <v>41</v>
      </c>
      <c r="C1138" s="3" t="s">
        <v>42</v>
      </c>
      <c r="D1138" s="3" t="s">
        <v>45</v>
      </c>
      <c r="E1138" s="3" t="s">
        <v>25</v>
      </c>
      <c r="F1138" s="3" t="s">
        <v>25</v>
      </c>
      <c r="G1138" s="3" t="s">
        <v>25</v>
      </c>
      <c r="H1138" s="3" t="s">
        <v>34</v>
      </c>
      <c r="I1138" s="6">
        <v>44501</v>
      </c>
      <c r="J1138" s="4">
        <v>0</v>
      </c>
      <c r="K1138" s="56">
        <v>0</v>
      </c>
      <c r="L1138" s="4">
        <v>46.494</v>
      </c>
      <c r="M1138" s="56">
        <v>46.494</v>
      </c>
      <c r="N1138" s="4">
        <v>46.494</v>
      </c>
      <c r="O1138" s="56">
        <v>46.494</v>
      </c>
      <c r="P1138" s="4">
        <v>0</v>
      </c>
      <c r="Q1138" s="3" t="s">
        <v>26</v>
      </c>
      <c r="R1138" s="3">
        <v>0</v>
      </c>
      <c r="S1138" s="4">
        <v>0</v>
      </c>
      <c r="T1138" s="4">
        <v>20</v>
      </c>
      <c r="U1138" s="4">
        <v>88</v>
      </c>
      <c r="V1138" s="56">
        <f>IF(ISERROR(VLOOKUP($S$1138,'TAR FIN'!$A$1:$O$113,15,0)),0,VLOOKUP($S$1138,'TAR FIN'!$A$1:$O$113,15,0))</f>
        <v>0</v>
      </c>
      <c r="W1138" s="56">
        <f>IF(ISERROR(VLOOKUP($T$1138,'TAR FIN'!$A$1:$O$113,15,0)),0,VLOOKUP($T$1138,'TAR FIN'!$A$1:$O$113,15,0))*(1-0.04)</f>
        <v>1502.0063999999998</v>
      </c>
      <c r="X1138" s="56">
        <f>IF(ISERROR(VLOOKUP($U$1138,'TAR FIN'!$A$1:$O$113,15,0)),0,VLOOKUP($U$1138,'TAR FIN'!$A$1:$O$113,15,0))*(1-0.04)</f>
        <v>350.88</v>
      </c>
      <c r="Y1138" s="56"/>
      <c r="Z1138" s="56">
        <f ca="1">('TUSD BE'!$AM$31+'TUSD BF'!$AM$31+'TUSD CVA'!$AM$31)*1*(1-0.02)</f>
        <v>1801.1318198709657</v>
      </c>
      <c r="AA1138" s="56">
        <f>('TE BE'!$AA$10+'TE BF'!$AA$10+'TE CVA'!$AA$10)*1*(1-0.02)</f>
        <v>354.31913150043306</v>
      </c>
      <c r="AB1138" s="4">
        <f>$K$1138*$V$1138</f>
        <v>0</v>
      </c>
      <c r="AC1138" s="4">
        <f>$M$1138*$W$1138</f>
        <v>69834.285561599987</v>
      </c>
      <c r="AD1138" s="4">
        <f>$O$1138*$X$1138</f>
        <v>16313.81472</v>
      </c>
      <c r="AE1138" s="4">
        <f>$K$1138*$Y$1138</f>
        <v>0</v>
      </c>
      <c r="AF1138" s="4">
        <f ca="1">$M$1138*$Z$1138</f>
        <v>83741.822833080674</v>
      </c>
      <c r="AG1138" s="4">
        <f>$O$1138*$AA$1138</f>
        <v>16473.713699981134</v>
      </c>
    </row>
    <row r="1139" spans="1:33" ht="11.25" customHeight="1" x14ac:dyDescent="0.25">
      <c r="A1139" s="3" t="s">
        <v>21</v>
      </c>
      <c r="B1139" s="3" t="s">
        <v>41</v>
      </c>
      <c r="C1139" s="3" t="s">
        <v>42</v>
      </c>
      <c r="D1139" s="3" t="s">
        <v>45</v>
      </c>
      <c r="E1139" s="3" t="s">
        <v>25</v>
      </c>
      <c r="F1139" s="3" t="s">
        <v>25</v>
      </c>
      <c r="G1139" s="3" t="s">
        <v>25</v>
      </c>
      <c r="H1139" s="3" t="s">
        <v>34</v>
      </c>
      <c r="I1139" s="6">
        <v>44531</v>
      </c>
      <c r="J1139" s="4">
        <v>0</v>
      </c>
      <c r="K1139" s="56">
        <v>0</v>
      </c>
      <c r="L1139" s="4">
        <v>36.526000000000003</v>
      </c>
      <c r="M1139" s="56">
        <v>36.526000000000003</v>
      </c>
      <c r="N1139" s="4">
        <v>36.526000000000003</v>
      </c>
      <c r="O1139" s="56">
        <v>36.526000000000003</v>
      </c>
      <c r="P1139" s="4">
        <v>0</v>
      </c>
      <c r="Q1139" s="3" t="s">
        <v>26</v>
      </c>
      <c r="R1139" s="3">
        <v>0</v>
      </c>
      <c r="S1139" s="4">
        <v>0</v>
      </c>
      <c r="T1139" s="4">
        <v>20</v>
      </c>
      <c r="U1139" s="4">
        <v>88</v>
      </c>
      <c r="V1139" s="56">
        <f>IF(ISERROR(VLOOKUP($S$1139,'TAR FIN'!$A$1:$O$113,15,0)),0,VLOOKUP($S$1139,'TAR FIN'!$A$1:$O$113,15,0))</f>
        <v>0</v>
      </c>
      <c r="W1139" s="56">
        <f>IF(ISERROR(VLOOKUP($T$1139,'TAR FIN'!$A$1:$O$113,15,0)),0,VLOOKUP($T$1139,'TAR FIN'!$A$1:$O$113,15,0))*(1-0.04)</f>
        <v>1502.0063999999998</v>
      </c>
      <c r="X1139" s="56">
        <f>IF(ISERROR(VLOOKUP($U$1139,'TAR FIN'!$A$1:$O$113,15,0)),0,VLOOKUP($U$1139,'TAR FIN'!$A$1:$O$113,15,0))*(1-0.04)</f>
        <v>350.88</v>
      </c>
      <c r="Y1139" s="56"/>
      <c r="Z1139" s="56">
        <f ca="1">('TUSD BE'!$AM$31+'TUSD BF'!$AM$31+'TUSD CVA'!$AM$31)*1*(1-0.02)</f>
        <v>1801.1318198709657</v>
      </c>
      <c r="AA1139" s="56">
        <f>('TE BE'!$AA$10+'TE BF'!$AA$10+'TE CVA'!$AA$10)*1*(1-0.02)</f>
        <v>354.31913150043306</v>
      </c>
      <c r="AB1139" s="4">
        <f>$K$1139*$V$1139</f>
        <v>0</v>
      </c>
      <c r="AC1139" s="4">
        <f>$M$1139*$W$1139</f>
        <v>54862.285766399997</v>
      </c>
      <c r="AD1139" s="4">
        <f>$O$1139*$X$1139</f>
        <v>12816.242880000002</v>
      </c>
      <c r="AE1139" s="4">
        <f>$K$1139*$Y$1139</f>
        <v>0</v>
      </c>
      <c r="AF1139" s="4">
        <f ca="1">$M$1139*$Z$1139</f>
        <v>65788.140852606899</v>
      </c>
      <c r="AG1139" s="4">
        <f>$O$1139*$AA$1139</f>
        <v>12941.860597184819</v>
      </c>
    </row>
    <row r="1140" spans="1:33" ht="11.25" customHeight="1" x14ac:dyDescent="0.25">
      <c r="A1140" s="3" t="s">
        <v>28</v>
      </c>
      <c r="B1140" s="3" t="s">
        <v>41</v>
      </c>
      <c r="C1140" s="3" t="s">
        <v>42</v>
      </c>
      <c r="D1140" s="3" t="s">
        <v>45</v>
      </c>
      <c r="E1140" s="3" t="s">
        <v>25</v>
      </c>
      <c r="F1140" s="3" t="s">
        <v>25</v>
      </c>
      <c r="G1140" s="3" t="s">
        <v>25</v>
      </c>
      <c r="H1140" s="3" t="s">
        <v>34</v>
      </c>
      <c r="I1140" s="6">
        <v>44531</v>
      </c>
      <c r="J1140" s="4">
        <v>0</v>
      </c>
      <c r="K1140" s="56">
        <v>0</v>
      </c>
      <c r="L1140" s="4">
        <v>0.35</v>
      </c>
      <c r="M1140" s="56">
        <v>0.35</v>
      </c>
      <c r="N1140" s="4">
        <v>0.35</v>
      </c>
      <c r="O1140" s="56">
        <v>0.35</v>
      </c>
      <c r="P1140" s="4">
        <v>0</v>
      </c>
      <c r="Q1140" s="3" t="s">
        <v>26</v>
      </c>
      <c r="R1140" s="3">
        <v>0</v>
      </c>
      <c r="S1140" s="4">
        <v>0</v>
      </c>
      <c r="T1140" s="4">
        <v>20</v>
      </c>
      <c r="U1140" s="4">
        <v>88</v>
      </c>
      <c r="V1140" s="56">
        <f>IF(ISERROR(VLOOKUP($S$1140,'TAR FIN'!$A$1:$O$113,15,0)),0,VLOOKUP($S$1140,'TAR FIN'!$A$1:$O$113,15,0))</f>
        <v>0</v>
      </c>
      <c r="W1140" s="56">
        <f>IF(ISERROR(VLOOKUP($T$1140,'TAR FIN'!$A$1:$O$113,15,0)),0,VLOOKUP($T$1140,'TAR FIN'!$A$1:$O$113,15,0))*(1-0.04)</f>
        <v>1502.0063999999998</v>
      </c>
      <c r="X1140" s="56">
        <f>IF(ISERROR(VLOOKUP($U$1140,'TAR FIN'!$A$1:$O$113,15,0)),0,VLOOKUP($U$1140,'TAR FIN'!$A$1:$O$113,15,0))*(1-0.04)</f>
        <v>350.88</v>
      </c>
      <c r="Y1140" s="56"/>
      <c r="Z1140" s="56">
        <f ca="1">('TUSD BE'!$AM$31+'TUSD BF'!$AM$31+'TUSD CVA'!$AM$31)*1*(1-0.02)</f>
        <v>1801.1318198709657</v>
      </c>
      <c r="AA1140" s="56">
        <f>('TE BE'!$AA$10+'TE BF'!$AA$10+'TE CVA'!$AA$10)*1*(1-0.02)</f>
        <v>354.31913150043306</v>
      </c>
      <c r="AB1140" s="4">
        <f>$K$1140*$V$1140</f>
        <v>0</v>
      </c>
      <c r="AC1140" s="4">
        <f>$M$1140*$W$1140</f>
        <v>525.70223999999985</v>
      </c>
      <c r="AD1140" s="4">
        <f>$O$1140*$X$1140</f>
        <v>122.80799999999999</v>
      </c>
      <c r="AE1140" s="4">
        <f>$K$1140*$Y$1140</f>
        <v>0</v>
      </c>
      <c r="AF1140" s="4">
        <f ca="1">$M$1140*$Z$1140</f>
        <v>630.39613695483797</v>
      </c>
      <c r="AG1140" s="4">
        <f>$O$1140*$AA$1140</f>
        <v>124.01169602515156</v>
      </c>
    </row>
    <row r="1141" spans="1:33" ht="11.25" customHeight="1" x14ac:dyDescent="0.25">
      <c r="A1141" s="3" t="s">
        <v>21</v>
      </c>
      <c r="B1141" s="3" t="s">
        <v>41</v>
      </c>
      <c r="C1141" s="3" t="s">
        <v>42</v>
      </c>
      <c r="D1141" s="3" t="s">
        <v>45</v>
      </c>
      <c r="E1141" s="3" t="s">
        <v>25</v>
      </c>
      <c r="F1141" s="3" t="s">
        <v>25</v>
      </c>
      <c r="G1141" s="3" t="s">
        <v>25</v>
      </c>
      <c r="H1141" s="3" t="s">
        <v>34</v>
      </c>
      <c r="I1141" s="6">
        <v>44562</v>
      </c>
      <c r="J1141" s="4">
        <v>0</v>
      </c>
      <c r="K1141" s="56">
        <v>0</v>
      </c>
      <c r="L1141" s="4">
        <v>29.971</v>
      </c>
      <c r="M1141" s="56">
        <v>29.971</v>
      </c>
      <c r="N1141" s="4">
        <v>29.971</v>
      </c>
      <c r="O1141" s="56">
        <v>29.971</v>
      </c>
      <c r="P1141" s="4">
        <v>0</v>
      </c>
      <c r="Q1141" s="3" t="s">
        <v>26</v>
      </c>
      <c r="R1141" s="3">
        <v>0</v>
      </c>
      <c r="S1141" s="4">
        <v>0</v>
      </c>
      <c r="T1141" s="4">
        <v>20</v>
      </c>
      <c r="U1141" s="4">
        <v>88</v>
      </c>
      <c r="V1141" s="56">
        <f>IF(ISERROR(VLOOKUP($S$1141,'TAR FIN'!$A$1:$O$113,15,0)),0,VLOOKUP($S$1141,'TAR FIN'!$A$1:$O$113,15,0))</f>
        <v>0</v>
      </c>
      <c r="W1141" s="56">
        <f>IF(ISERROR(VLOOKUP($T$1141,'TAR FIN'!$A$1:$O$113,15,0)),0,VLOOKUP($T$1141,'TAR FIN'!$A$1:$O$113,15,0))*(1-0.04)</f>
        <v>1502.0063999999998</v>
      </c>
      <c r="X1141" s="56">
        <f>IF(ISERROR(VLOOKUP($U$1141,'TAR FIN'!$A$1:$O$113,15,0)),0,VLOOKUP($U$1141,'TAR FIN'!$A$1:$O$113,15,0))*(1-0.04)</f>
        <v>350.88</v>
      </c>
      <c r="Y1141" s="56"/>
      <c r="Z1141" s="56">
        <f ca="1">('TUSD BE'!$AM$31+'TUSD BF'!$AM$31+'TUSD CVA'!$AM$31)*1*(1-0.02)</f>
        <v>1801.1318198709657</v>
      </c>
      <c r="AA1141" s="56">
        <f>('TE BE'!$AA$10+'TE BF'!$AA$10+'TE CVA'!$AA$10)*1*(1-0.02)</f>
        <v>354.31913150043306</v>
      </c>
      <c r="AB1141" s="4">
        <f>$K$1141*$V$1141</f>
        <v>0</v>
      </c>
      <c r="AC1141" s="4">
        <f>$M$1141*$W$1141</f>
        <v>45016.633814399996</v>
      </c>
      <c r="AD1141" s="4">
        <f>$O$1141*$X$1141</f>
        <v>10516.224480000001</v>
      </c>
      <c r="AE1141" s="4">
        <f>$K$1141*$Y$1141</f>
        <v>0</v>
      </c>
      <c r="AF1141" s="4">
        <f ca="1">$M$1141*$Z$1141</f>
        <v>53981.721773352714</v>
      </c>
      <c r="AG1141" s="4">
        <f>$O$1141*$AA$1141</f>
        <v>10619.298690199479</v>
      </c>
    </row>
    <row r="1142" spans="1:33" ht="11.25" customHeight="1" x14ac:dyDescent="0.25">
      <c r="A1142" s="3" t="s">
        <v>27</v>
      </c>
      <c r="B1142" s="3" t="s">
        <v>41</v>
      </c>
      <c r="C1142" s="3" t="s">
        <v>42</v>
      </c>
      <c r="D1142" s="3" t="s">
        <v>45</v>
      </c>
      <c r="E1142" s="3" t="s">
        <v>25</v>
      </c>
      <c r="F1142" s="3" t="s">
        <v>25</v>
      </c>
      <c r="G1142" s="3" t="s">
        <v>25</v>
      </c>
      <c r="H1142" s="3" t="s">
        <v>34</v>
      </c>
      <c r="I1142" s="6">
        <v>44562</v>
      </c>
      <c r="J1142" s="4">
        <v>0</v>
      </c>
      <c r="K1142" s="56">
        <v>0</v>
      </c>
      <c r="L1142" s="4">
        <v>-0.20100000000000001</v>
      </c>
      <c r="M1142" s="56">
        <v>-0.20100000000000001</v>
      </c>
      <c r="N1142" s="4">
        <v>-0.20100000000000001</v>
      </c>
      <c r="O1142" s="56">
        <v>-0.20100000000000001</v>
      </c>
      <c r="P1142" s="4">
        <v>0</v>
      </c>
      <c r="Q1142" s="3" t="s">
        <v>26</v>
      </c>
      <c r="R1142" s="3">
        <v>0</v>
      </c>
      <c r="S1142" s="4">
        <v>0</v>
      </c>
      <c r="T1142" s="4">
        <v>20</v>
      </c>
      <c r="U1142" s="4">
        <v>88</v>
      </c>
      <c r="V1142" s="56">
        <f>IF(ISERROR(VLOOKUP($S$1142,'TAR FIN'!$A$1:$O$113,15,0)),0,VLOOKUP($S$1142,'TAR FIN'!$A$1:$O$113,15,0))</f>
        <v>0</v>
      </c>
      <c r="W1142" s="56">
        <f>IF(ISERROR(VLOOKUP($T$1142,'TAR FIN'!$A$1:$O$113,15,0)),0,VLOOKUP($T$1142,'TAR FIN'!$A$1:$O$113,15,0))*(1-0.04)</f>
        <v>1502.0063999999998</v>
      </c>
      <c r="X1142" s="56">
        <f>IF(ISERROR(VLOOKUP($U$1142,'TAR FIN'!$A$1:$O$113,15,0)),0,VLOOKUP($U$1142,'TAR FIN'!$A$1:$O$113,15,0))*(1-0.04)</f>
        <v>350.88</v>
      </c>
      <c r="Y1142" s="56"/>
      <c r="Z1142" s="56">
        <f ca="1">('TUSD BE'!$AM$31+'TUSD BF'!$AM$31+'TUSD CVA'!$AM$31)*1*(1-0.02)</f>
        <v>1801.1318198709657</v>
      </c>
      <c r="AA1142" s="56">
        <f>('TE BE'!$AA$10+'TE BF'!$AA$10+'TE CVA'!$AA$10)*1*(1-0.02)</f>
        <v>354.31913150043306</v>
      </c>
      <c r="AB1142" s="4">
        <f>$K$1142*$V$1142</f>
        <v>0</v>
      </c>
      <c r="AC1142" s="4">
        <f>$M$1142*$W$1142</f>
        <v>-301.90328639999996</v>
      </c>
      <c r="AD1142" s="4">
        <f>$O$1142*$X$1142</f>
        <v>-70.526880000000006</v>
      </c>
      <c r="AE1142" s="4">
        <f>$K$1142*$Y$1142</f>
        <v>0</v>
      </c>
      <c r="AF1142" s="4">
        <f ca="1">$M$1142*$Z$1142</f>
        <v>-362.02749579406412</v>
      </c>
      <c r="AG1142" s="4">
        <f>$O$1142*$AA$1142</f>
        <v>-71.218145431587047</v>
      </c>
    </row>
    <row r="1143" spans="1:33" ht="11.25" customHeight="1" x14ac:dyDescent="0.25">
      <c r="A1143" s="3" t="s">
        <v>28</v>
      </c>
      <c r="B1143" s="3" t="s">
        <v>41</v>
      </c>
      <c r="C1143" s="3" t="s">
        <v>42</v>
      </c>
      <c r="D1143" s="3" t="s">
        <v>45</v>
      </c>
      <c r="E1143" s="3" t="s">
        <v>25</v>
      </c>
      <c r="F1143" s="3" t="s">
        <v>25</v>
      </c>
      <c r="G1143" s="3" t="s">
        <v>25</v>
      </c>
      <c r="H1143" s="3" t="s">
        <v>34</v>
      </c>
      <c r="I1143" s="6">
        <v>44562</v>
      </c>
      <c r="J1143" s="4">
        <v>0</v>
      </c>
      <c r="K1143" s="56">
        <v>0</v>
      </c>
      <c r="L1143" s="4">
        <v>4.4999999999999998E-2</v>
      </c>
      <c r="M1143" s="56">
        <v>4.4999999999999998E-2</v>
      </c>
      <c r="N1143" s="4">
        <v>4.4999999999999998E-2</v>
      </c>
      <c r="O1143" s="56">
        <v>4.4999999999999998E-2</v>
      </c>
      <c r="P1143" s="4">
        <v>0</v>
      </c>
      <c r="Q1143" s="3" t="s">
        <v>26</v>
      </c>
      <c r="R1143" s="3">
        <v>0</v>
      </c>
      <c r="S1143" s="4">
        <v>0</v>
      </c>
      <c r="T1143" s="4">
        <v>20</v>
      </c>
      <c r="U1143" s="4">
        <v>88</v>
      </c>
      <c r="V1143" s="56">
        <f>IF(ISERROR(VLOOKUP($S$1143,'TAR FIN'!$A$1:$O$113,15,0)),0,VLOOKUP($S$1143,'TAR FIN'!$A$1:$O$113,15,0))</f>
        <v>0</v>
      </c>
      <c r="W1143" s="56">
        <f>IF(ISERROR(VLOOKUP($T$1143,'TAR FIN'!$A$1:$O$113,15,0)),0,VLOOKUP($T$1143,'TAR FIN'!$A$1:$O$113,15,0))*(1-0.04)</f>
        <v>1502.0063999999998</v>
      </c>
      <c r="X1143" s="56">
        <f>IF(ISERROR(VLOOKUP($U$1143,'TAR FIN'!$A$1:$O$113,15,0)),0,VLOOKUP($U$1143,'TAR FIN'!$A$1:$O$113,15,0))*(1-0.04)</f>
        <v>350.88</v>
      </c>
      <c r="Y1143" s="56"/>
      <c r="Z1143" s="56">
        <f ca="1">('TUSD BE'!$AM$31+'TUSD BF'!$AM$31+'TUSD CVA'!$AM$31)*1*(1-0.02)</f>
        <v>1801.1318198709657</v>
      </c>
      <c r="AA1143" s="56">
        <f>('TE BE'!$AA$10+'TE BF'!$AA$10+'TE CVA'!$AA$10)*1*(1-0.02)</f>
        <v>354.31913150043306</v>
      </c>
      <c r="AB1143" s="4">
        <f>$K$1143*$V$1143</f>
        <v>0</v>
      </c>
      <c r="AC1143" s="4">
        <f>$M$1143*$W$1143</f>
        <v>67.590287999999987</v>
      </c>
      <c r="AD1143" s="4">
        <f>$O$1143*$X$1143</f>
        <v>15.7896</v>
      </c>
      <c r="AE1143" s="4">
        <f>$K$1143*$Y$1143</f>
        <v>0</v>
      </c>
      <c r="AF1143" s="4">
        <f ca="1">$M$1143*$Z$1143</f>
        <v>81.050931894193454</v>
      </c>
      <c r="AG1143" s="4">
        <f>$O$1143*$AA$1143</f>
        <v>15.944360917519488</v>
      </c>
    </row>
    <row r="1144" spans="1:33" ht="11.25" customHeight="1" x14ac:dyDescent="0.25">
      <c r="A1144" s="3" t="s">
        <v>21</v>
      </c>
      <c r="B1144" s="3" t="s">
        <v>41</v>
      </c>
      <c r="C1144" s="3" t="s">
        <v>42</v>
      </c>
      <c r="D1144" s="3" t="s">
        <v>45</v>
      </c>
      <c r="E1144" s="3" t="s">
        <v>25</v>
      </c>
      <c r="F1144" s="3" t="s">
        <v>25</v>
      </c>
      <c r="G1144" s="3" t="s">
        <v>25</v>
      </c>
      <c r="H1144" s="3" t="s">
        <v>34</v>
      </c>
      <c r="I1144" s="6">
        <v>44593</v>
      </c>
      <c r="J1144" s="4">
        <v>0</v>
      </c>
      <c r="K1144" s="56">
        <v>0</v>
      </c>
      <c r="L1144" s="4">
        <v>25.776</v>
      </c>
      <c r="M1144" s="56">
        <v>25.776</v>
      </c>
      <c r="N1144" s="4">
        <v>25.776</v>
      </c>
      <c r="O1144" s="56">
        <v>25.776</v>
      </c>
      <c r="P1144" s="4">
        <v>0</v>
      </c>
      <c r="Q1144" s="3" t="s">
        <v>26</v>
      </c>
      <c r="R1144" s="3">
        <v>0</v>
      </c>
      <c r="S1144" s="4">
        <v>0</v>
      </c>
      <c r="T1144" s="4">
        <v>20</v>
      </c>
      <c r="U1144" s="4">
        <v>88</v>
      </c>
      <c r="V1144" s="56">
        <f>IF(ISERROR(VLOOKUP($S$1144,'TAR FIN'!$A$1:$O$113,15,0)),0,VLOOKUP($S$1144,'TAR FIN'!$A$1:$O$113,15,0))</f>
        <v>0</v>
      </c>
      <c r="W1144" s="56">
        <f>IF(ISERROR(VLOOKUP($T$1144,'TAR FIN'!$A$1:$O$113,15,0)),0,VLOOKUP($T$1144,'TAR FIN'!$A$1:$O$113,15,0))*(1-0.04)</f>
        <v>1502.0063999999998</v>
      </c>
      <c r="X1144" s="56">
        <f>IF(ISERROR(VLOOKUP($U$1144,'TAR FIN'!$A$1:$O$113,15,0)),0,VLOOKUP($U$1144,'TAR FIN'!$A$1:$O$113,15,0))*(1-0.04)</f>
        <v>350.88</v>
      </c>
      <c r="Y1144" s="56"/>
      <c r="Z1144" s="56">
        <f ca="1">('TUSD BE'!$AM$31+'TUSD BF'!$AM$31+'TUSD CVA'!$AM$31)*1*(1-0.02)</f>
        <v>1801.1318198709657</v>
      </c>
      <c r="AA1144" s="56">
        <f>('TE BE'!$AA$10+'TE BF'!$AA$10+'TE CVA'!$AA$10)*1*(1-0.02)</f>
        <v>354.31913150043306</v>
      </c>
      <c r="AB1144" s="4">
        <f>$K$1144*$V$1144</f>
        <v>0</v>
      </c>
      <c r="AC1144" s="4">
        <f>$M$1144*$W$1144</f>
        <v>38715.716966399996</v>
      </c>
      <c r="AD1144" s="4">
        <f>$O$1144*$X$1144</f>
        <v>9044.2828800000007</v>
      </c>
      <c r="AE1144" s="4">
        <f>$K$1144*$Y$1144</f>
        <v>0</v>
      </c>
      <c r="AF1144" s="4">
        <f ca="1">$M$1144*$Z$1144</f>
        <v>46425.973788994015</v>
      </c>
      <c r="AG1144" s="4">
        <f>$O$1144*$AA$1144</f>
        <v>9132.9299335551623</v>
      </c>
    </row>
    <row r="1145" spans="1:33" ht="11.25" customHeight="1" x14ac:dyDescent="0.25">
      <c r="A1145" s="3" t="s">
        <v>27</v>
      </c>
      <c r="B1145" s="3" t="s">
        <v>41</v>
      </c>
      <c r="C1145" s="3" t="s">
        <v>42</v>
      </c>
      <c r="D1145" s="3" t="s">
        <v>45</v>
      </c>
      <c r="E1145" s="3" t="s">
        <v>25</v>
      </c>
      <c r="F1145" s="3" t="s">
        <v>25</v>
      </c>
      <c r="G1145" s="3" t="s">
        <v>25</v>
      </c>
      <c r="H1145" s="3" t="s">
        <v>34</v>
      </c>
      <c r="I1145" s="6">
        <v>44593</v>
      </c>
      <c r="J1145" s="4">
        <v>0</v>
      </c>
      <c r="K1145" s="56">
        <v>0</v>
      </c>
      <c r="L1145" s="4">
        <v>7.0000000000000001E-3</v>
      </c>
      <c r="M1145" s="56">
        <v>7.0000000000000001E-3</v>
      </c>
      <c r="N1145" s="4">
        <v>7.0000000000000001E-3</v>
      </c>
      <c r="O1145" s="56">
        <v>7.0000000000000001E-3</v>
      </c>
      <c r="P1145" s="4">
        <v>0</v>
      </c>
      <c r="Q1145" s="3" t="s">
        <v>26</v>
      </c>
      <c r="R1145" s="3">
        <v>0</v>
      </c>
      <c r="S1145" s="4">
        <v>0</v>
      </c>
      <c r="T1145" s="4">
        <v>20</v>
      </c>
      <c r="U1145" s="4">
        <v>88</v>
      </c>
      <c r="V1145" s="56">
        <f>IF(ISERROR(VLOOKUP($S$1145,'TAR FIN'!$A$1:$O$113,15,0)),0,VLOOKUP($S$1145,'TAR FIN'!$A$1:$O$113,15,0))</f>
        <v>0</v>
      </c>
      <c r="W1145" s="56">
        <f>IF(ISERROR(VLOOKUP($T$1145,'TAR FIN'!$A$1:$O$113,15,0)),0,VLOOKUP($T$1145,'TAR FIN'!$A$1:$O$113,15,0))*(1-0.04)</f>
        <v>1502.0063999999998</v>
      </c>
      <c r="X1145" s="56">
        <f>IF(ISERROR(VLOOKUP($U$1145,'TAR FIN'!$A$1:$O$113,15,0)),0,VLOOKUP($U$1145,'TAR FIN'!$A$1:$O$113,15,0))*(1-0.04)</f>
        <v>350.88</v>
      </c>
      <c r="Y1145" s="56"/>
      <c r="Z1145" s="56">
        <f ca="1">('TUSD BE'!$AM$31+'TUSD BF'!$AM$31+'TUSD CVA'!$AM$31)*1*(1-0.02)</f>
        <v>1801.1318198709657</v>
      </c>
      <c r="AA1145" s="56">
        <f>('TE BE'!$AA$10+'TE BF'!$AA$10+'TE CVA'!$AA$10)*1*(1-0.02)</f>
        <v>354.31913150043306</v>
      </c>
      <c r="AB1145" s="4">
        <f>$K$1145*$V$1145</f>
        <v>0</v>
      </c>
      <c r="AC1145" s="4">
        <f>$M$1145*$W$1145</f>
        <v>10.514044799999999</v>
      </c>
      <c r="AD1145" s="4">
        <f>$O$1145*$X$1145</f>
        <v>2.4561600000000001</v>
      </c>
      <c r="AE1145" s="4">
        <f>$K$1145*$Y$1145</f>
        <v>0</v>
      </c>
      <c r="AF1145" s="4">
        <f ca="1">$M$1145*$Z$1145</f>
        <v>12.607922739096761</v>
      </c>
      <c r="AG1145" s="4">
        <f>$O$1145*$AA$1145</f>
        <v>2.4802339205030313</v>
      </c>
    </row>
    <row r="1146" spans="1:33" ht="11.25" customHeight="1" x14ac:dyDescent="0.25">
      <c r="A1146" s="3" t="s">
        <v>28</v>
      </c>
      <c r="B1146" s="3" t="s">
        <v>41</v>
      </c>
      <c r="C1146" s="3" t="s">
        <v>42</v>
      </c>
      <c r="D1146" s="3" t="s">
        <v>45</v>
      </c>
      <c r="E1146" s="3" t="s">
        <v>25</v>
      </c>
      <c r="F1146" s="3" t="s">
        <v>25</v>
      </c>
      <c r="G1146" s="3" t="s">
        <v>25</v>
      </c>
      <c r="H1146" s="3" t="s">
        <v>34</v>
      </c>
      <c r="I1146" s="6">
        <v>44593</v>
      </c>
      <c r="J1146" s="4">
        <v>0</v>
      </c>
      <c r="K1146" s="56">
        <v>0</v>
      </c>
      <c r="L1146" s="4">
        <v>4.4029999999999996</v>
      </c>
      <c r="M1146" s="56">
        <v>4.4029999999999996</v>
      </c>
      <c r="N1146" s="4">
        <v>4.4029999999999996</v>
      </c>
      <c r="O1146" s="56">
        <v>4.4029999999999996</v>
      </c>
      <c r="P1146" s="4">
        <v>0</v>
      </c>
      <c r="Q1146" s="3" t="s">
        <v>26</v>
      </c>
      <c r="R1146" s="3">
        <v>0</v>
      </c>
      <c r="S1146" s="4">
        <v>0</v>
      </c>
      <c r="T1146" s="4">
        <v>20</v>
      </c>
      <c r="U1146" s="4">
        <v>88</v>
      </c>
      <c r="V1146" s="56">
        <f>IF(ISERROR(VLOOKUP($S$1146,'TAR FIN'!$A$1:$O$113,15,0)),0,VLOOKUP($S$1146,'TAR FIN'!$A$1:$O$113,15,0))</f>
        <v>0</v>
      </c>
      <c r="W1146" s="56">
        <f>IF(ISERROR(VLOOKUP($T$1146,'TAR FIN'!$A$1:$O$113,15,0)),0,VLOOKUP($T$1146,'TAR FIN'!$A$1:$O$113,15,0))*(1-0.04)</f>
        <v>1502.0063999999998</v>
      </c>
      <c r="X1146" s="56">
        <f>IF(ISERROR(VLOOKUP($U$1146,'TAR FIN'!$A$1:$O$113,15,0)),0,VLOOKUP($U$1146,'TAR FIN'!$A$1:$O$113,15,0))*(1-0.04)</f>
        <v>350.88</v>
      </c>
      <c r="Y1146" s="56"/>
      <c r="Z1146" s="56">
        <f ca="1">('TUSD BE'!$AM$31+'TUSD BF'!$AM$31+'TUSD CVA'!$AM$31)*1*(1-0.02)</f>
        <v>1801.1318198709657</v>
      </c>
      <c r="AA1146" s="56">
        <f>('TE BE'!$AA$10+'TE BF'!$AA$10+'TE CVA'!$AA$10)*1*(1-0.02)</f>
        <v>354.31913150043306</v>
      </c>
      <c r="AB1146" s="4">
        <f>$K$1146*$V$1146</f>
        <v>0</v>
      </c>
      <c r="AC1146" s="4">
        <f>$M$1146*$W$1146</f>
        <v>6613.3341791999983</v>
      </c>
      <c r="AD1146" s="4">
        <f>$O$1146*$X$1146</f>
        <v>1544.9246399999997</v>
      </c>
      <c r="AE1146" s="4">
        <f>$K$1146*$Y$1146</f>
        <v>0</v>
      </c>
      <c r="AF1146" s="4">
        <f ca="1">$M$1146*$Z$1146</f>
        <v>7930.3834028918609</v>
      </c>
      <c r="AG1146" s="4">
        <f>$O$1146*$AA$1146</f>
        <v>1560.0671359964067</v>
      </c>
    </row>
    <row r="1147" spans="1:33" ht="11.25" customHeight="1" x14ac:dyDescent="0.25">
      <c r="A1147" s="3" t="s">
        <v>56</v>
      </c>
      <c r="B1147" s="3" t="s">
        <v>41</v>
      </c>
      <c r="C1147" s="3" t="s">
        <v>42</v>
      </c>
      <c r="D1147" s="3" t="s">
        <v>45</v>
      </c>
      <c r="E1147" s="3" t="s">
        <v>25</v>
      </c>
      <c r="F1147" s="3" t="s">
        <v>25</v>
      </c>
      <c r="G1147" s="3" t="s">
        <v>25</v>
      </c>
      <c r="H1147" s="3" t="s">
        <v>34</v>
      </c>
      <c r="I1147" s="6">
        <v>44621</v>
      </c>
      <c r="J1147" s="4">
        <v>0</v>
      </c>
      <c r="K1147" s="56">
        <v>0</v>
      </c>
      <c r="L1147" s="4">
        <v>25.776</v>
      </c>
      <c r="M1147" s="56">
        <v>25.776</v>
      </c>
      <c r="N1147" s="4">
        <v>25.776</v>
      </c>
      <c r="O1147" s="56">
        <v>25.776</v>
      </c>
      <c r="P1147" s="4">
        <v>0</v>
      </c>
      <c r="Q1147" s="3" t="s">
        <v>26</v>
      </c>
      <c r="R1147" s="3">
        <v>0</v>
      </c>
      <c r="S1147" s="4">
        <v>0</v>
      </c>
      <c r="T1147" s="4">
        <v>20</v>
      </c>
      <c r="U1147" s="4">
        <v>88</v>
      </c>
      <c r="V1147" s="56">
        <f>IF(ISERROR(VLOOKUP($S$1147,'TAR FIN'!$A$1:$O$113,15,0)),0,VLOOKUP($S$1147,'TAR FIN'!$A$1:$O$113,15,0))</f>
        <v>0</v>
      </c>
      <c r="W1147" s="56">
        <f>IF(ISERROR(VLOOKUP($T$1147,'TAR FIN'!$A$1:$O$113,15,0)),0,VLOOKUP($T$1147,'TAR FIN'!$A$1:$O$113,15,0))*(1-0.04)</f>
        <v>1502.0063999999998</v>
      </c>
      <c r="X1147" s="56">
        <f>IF(ISERROR(VLOOKUP($U$1147,'TAR FIN'!$A$1:$O$113,15,0)),0,VLOOKUP($U$1147,'TAR FIN'!$A$1:$O$113,15,0))*(1-0.04)</f>
        <v>350.88</v>
      </c>
      <c r="Y1147" s="56"/>
      <c r="Z1147" s="56">
        <f ca="1">('TUSD BE'!$AM$31+'TUSD BF'!$AM$31+'TUSD CVA'!$AM$31)*1*(1-0.02)</f>
        <v>1801.1318198709657</v>
      </c>
      <c r="AA1147" s="56">
        <f>('TE BE'!$AA$10+'TE BF'!$AA$10+'TE CVA'!$AA$10)*1*(1-0.02)</f>
        <v>354.31913150043306</v>
      </c>
      <c r="AB1147" s="4">
        <f>$K$1147*$V$1147</f>
        <v>0</v>
      </c>
      <c r="AC1147" s="4">
        <f>$M$1147*$W$1147</f>
        <v>38715.716966399996</v>
      </c>
      <c r="AD1147" s="4">
        <f>$O$1147*$X$1147</f>
        <v>9044.2828800000007</v>
      </c>
      <c r="AE1147" s="4">
        <f>$K$1147*$Y$1147</f>
        <v>0</v>
      </c>
      <c r="AF1147" s="4">
        <f ca="1">$M$1147*$Z$1147</f>
        <v>46425.973788994015</v>
      </c>
      <c r="AG1147" s="4">
        <f>$O$1147*$AA$1147</f>
        <v>9132.9299335551623</v>
      </c>
    </row>
    <row r="1148" spans="1:33" ht="11.25" customHeight="1" x14ac:dyDescent="0.25">
      <c r="A1148" s="3" t="s">
        <v>56</v>
      </c>
      <c r="B1148" s="3" t="s">
        <v>41</v>
      </c>
      <c r="C1148" s="3" t="s">
        <v>42</v>
      </c>
      <c r="D1148" s="3" t="s">
        <v>45</v>
      </c>
      <c r="E1148" s="3" t="s">
        <v>25</v>
      </c>
      <c r="F1148" s="3" t="s">
        <v>25</v>
      </c>
      <c r="G1148" s="3" t="s">
        <v>25</v>
      </c>
      <c r="H1148" s="3" t="s">
        <v>34</v>
      </c>
      <c r="I1148" s="6">
        <v>44621</v>
      </c>
      <c r="J1148" s="4">
        <v>0</v>
      </c>
      <c r="K1148" s="56">
        <v>0</v>
      </c>
      <c r="L1148" s="4">
        <v>7.0000000000000001E-3</v>
      </c>
      <c r="M1148" s="56">
        <v>7.0000000000000001E-3</v>
      </c>
      <c r="N1148" s="4">
        <v>7.0000000000000001E-3</v>
      </c>
      <c r="O1148" s="56">
        <v>7.0000000000000001E-3</v>
      </c>
      <c r="P1148" s="4">
        <v>0</v>
      </c>
      <c r="Q1148" s="3" t="s">
        <v>26</v>
      </c>
      <c r="R1148" s="3">
        <v>0</v>
      </c>
      <c r="S1148" s="4">
        <v>0</v>
      </c>
      <c r="T1148" s="4">
        <v>20</v>
      </c>
      <c r="U1148" s="4">
        <v>88</v>
      </c>
      <c r="V1148" s="56">
        <f>IF(ISERROR(VLOOKUP($S$1148,'TAR FIN'!$A$1:$O$113,15,0)),0,VLOOKUP($S$1148,'TAR FIN'!$A$1:$O$113,15,0))</f>
        <v>0</v>
      </c>
      <c r="W1148" s="56">
        <f>IF(ISERROR(VLOOKUP($T$1148,'TAR FIN'!$A$1:$O$113,15,0)),0,VLOOKUP($T$1148,'TAR FIN'!$A$1:$O$113,15,0))*(1-0.04)</f>
        <v>1502.0063999999998</v>
      </c>
      <c r="X1148" s="56">
        <f>IF(ISERROR(VLOOKUP($U$1148,'TAR FIN'!$A$1:$O$113,15,0)),0,VLOOKUP($U$1148,'TAR FIN'!$A$1:$O$113,15,0))*(1-0.04)</f>
        <v>350.88</v>
      </c>
      <c r="Y1148" s="56"/>
      <c r="Z1148" s="56">
        <f ca="1">('TUSD BE'!$AM$31+'TUSD BF'!$AM$31+'TUSD CVA'!$AM$31)*1*(1-0.02)</f>
        <v>1801.1318198709657</v>
      </c>
      <c r="AA1148" s="56">
        <f>('TE BE'!$AA$10+'TE BF'!$AA$10+'TE CVA'!$AA$10)*1*(1-0.02)</f>
        <v>354.31913150043306</v>
      </c>
      <c r="AB1148" s="4">
        <f>$K$1148*$V$1148</f>
        <v>0</v>
      </c>
      <c r="AC1148" s="4">
        <f>$M$1148*$W$1148</f>
        <v>10.514044799999999</v>
      </c>
      <c r="AD1148" s="4">
        <f>$O$1148*$X$1148</f>
        <v>2.4561600000000001</v>
      </c>
      <c r="AE1148" s="4">
        <f>$K$1148*$Y$1148</f>
        <v>0</v>
      </c>
      <c r="AF1148" s="4">
        <f ca="1">$M$1148*$Z$1148</f>
        <v>12.607922739096761</v>
      </c>
      <c r="AG1148" s="4">
        <f>$O$1148*$AA$1148</f>
        <v>2.4802339205030313</v>
      </c>
    </row>
    <row r="1149" spans="1:33" ht="11.25" customHeight="1" x14ac:dyDescent="0.25">
      <c r="A1149" s="3" t="s">
        <v>56</v>
      </c>
      <c r="B1149" s="3" t="s">
        <v>41</v>
      </c>
      <c r="C1149" s="3" t="s">
        <v>42</v>
      </c>
      <c r="D1149" s="3" t="s">
        <v>45</v>
      </c>
      <c r="E1149" s="3" t="s">
        <v>25</v>
      </c>
      <c r="F1149" s="3" t="s">
        <v>25</v>
      </c>
      <c r="G1149" s="3" t="s">
        <v>25</v>
      </c>
      <c r="H1149" s="3" t="s">
        <v>34</v>
      </c>
      <c r="I1149" s="6">
        <v>44621</v>
      </c>
      <c r="J1149" s="4">
        <v>0</v>
      </c>
      <c r="K1149" s="56">
        <v>0</v>
      </c>
      <c r="L1149" s="4">
        <v>4.4029999999999996</v>
      </c>
      <c r="M1149" s="56">
        <v>4.4029999999999996</v>
      </c>
      <c r="N1149" s="4">
        <v>4.4029999999999996</v>
      </c>
      <c r="O1149" s="56">
        <v>4.4029999999999996</v>
      </c>
      <c r="P1149" s="4">
        <v>0</v>
      </c>
      <c r="Q1149" s="3" t="s">
        <v>26</v>
      </c>
      <c r="R1149" s="3">
        <v>0</v>
      </c>
      <c r="S1149" s="4">
        <v>0</v>
      </c>
      <c r="T1149" s="4">
        <v>20</v>
      </c>
      <c r="U1149" s="4">
        <v>88</v>
      </c>
      <c r="V1149" s="56">
        <f>IF(ISERROR(VLOOKUP($S$1149,'TAR FIN'!$A$1:$O$113,15,0)),0,VLOOKUP($S$1149,'TAR FIN'!$A$1:$O$113,15,0))</f>
        <v>0</v>
      </c>
      <c r="W1149" s="56">
        <f>IF(ISERROR(VLOOKUP($T$1149,'TAR FIN'!$A$1:$O$113,15,0)),0,VLOOKUP($T$1149,'TAR FIN'!$A$1:$O$113,15,0))*(1-0.04)</f>
        <v>1502.0063999999998</v>
      </c>
      <c r="X1149" s="56">
        <f>IF(ISERROR(VLOOKUP($U$1149,'TAR FIN'!$A$1:$O$113,15,0)),0,VLOOKUP($U$1149,'TAR FIN'!$A$1:$O$113,15,0))*(1-0.04)</f>
        <v>350.88</v>
      </c>
      <c r="Y1149" s="56"/>
      <c r="Z1149" s="56">
        <f ca="1">('TUSD BE'!$AM$31+'TUSD BF'!$AM$31+'TUSD CVA'!$AM$31)*1*(1-0.02)</f>
        <v>1801.1318198709657</v>
      </c>
      <c r="AA1149" s="56">
        <f>('TE BE'!$AA$10+'TE BF'!$AA$10+'TE CVA'!$AA$10)*1*(1-0.02)</f>
        <v>354.31913150043306</v>
      </c>
      <c r="AB1149" s="4">
        <f>$K$1149*$V$1149</f>
        <v>0</v>
      </c>
      <c r="AC1149" s="4">
        <f>$M$1149*$W$1149</f>
        <v>6613.3341791999983</v>
      </c>
      <c r="AD1149" s="4">
        <f>$O$1149*$X$1149</f>
        <v>1544.9246399999997</v>
      </c>
      <c r="AE1149" s="4">
        <f>$K$1149*$Y$1149</f>
        <v>0</v>
      </c>
      <c r="AF1149" s="4">
        <f ca="1">$M$1149*$Z$1149</f>
        <v>7930.3834028918609</v>
      </c>
      <c r="AG1149" s="4">
        <f>$O$1149*$AA$1149</f>
        <v>1560.0671359964067</v>
      </c>
    </row>
    <row r="1150" spans="1:33" ht="11.25" customHeight="1" x14ac:dyDescent="0.25">
      <c r="A1150" s="3" t="s">
        <v>21</v>
      </c>
      <c r="B1150" s="3" t="s">
        <v>41</v>
      </c>
      <c r="C1150" s="3" t="s">
        <v>42</v>
      </c>
      <c r="D1150" s="3" t="s">
        <v>50</v>
      </c>
      <c r="E1150" s="3" t="s">
        <v>51</v>
      </c>
      <c r="F1150" s="3" t="s">
        <v>25</v>
      </c>
      <c r="G1150" s="3" t="s">
        <v>25</v>
      </c>
      <c r="H1150" s="3" t="s">
        <v>35</v>
      </c>
      <c r="I1150" s="6">
        <v>44287</v>
      </c>
      <c r="J1150" s="4">
        <v>0</v>
      </c>
      <c r="K1150" s="56">
        <v>0</v>
      </c>
      <c r="L1150" s="4">
        <v>6324.3580000000002</v>
      </c>
      <c r="M1150" s="56">
        <v>6324.3580000000002</v>
      </c>
      <c r="N1150" s="4">
        <v>6324.3580000000002</v>
      </c>
      <c r="O1150" s="56">
        <v>6324.3580000000002</v>
      </c>
      <c r="P1150" s="4">
        <v>0</v>
      </c>
      <c r="Q1150" s="3" t="s">
        <v>26</v>
      </c>
      <c r="R1150" s="3">
        <v>0</v>
      </c>
      <c r="S1150" s="4">
        <v>0</v>
      </c>
      <c r="T1150" s="4">
        <v>21</v>
      </c>
      <c r="U1150" s="4">
        <v>89</v>
      </c>
      <c r="V1150" s="56">
        <f>IF(ISERROR(VLOOKUP($S$1150,'TAR FIN'!$A$1:$O$113,15,0)),0,VLOOKUP($S$1150,'TAR FIN'!$A$1:$O$113,15,0))</f>
        <v>0</v>
      </c>
      <c r="W1150" s="56">
        <f>IF(ISERROR(VLOOKUP($T$1150,'TAR FIN'!$A$1:$O$113,15,0)),0,VLOOKUP($T$1150,'TAR FIN'!$A$1:$O$113,15,0))*(1-0.06)</f>
        <v>48.193800000000003</v>
      </c>
      <c r="X1150" s="56">
        <f>IF(ISERROR(VLOOKUP($U$1150,'TAR FIN'!$A$1:$O$113,15,0)),0,VLOOKUP($U$1150,'TAR FIN'!$A$1:$O$113,15,0))*(1-0.06)</f>
        <v>208.97139999999999</v>
      </c>
      <c r="Y1150" s="56"/>
      <c r="Z1150" s="56">
        <f ca="1">('TUSD BE'!$AM$32+'TUSD BF'!$AM$32+'TUSD CVA'!$AM$32)*1*(1-0.03)</f>
        <v>63.057187337713181</v>
      </c>
      <c r="AA1150" s="56">
        <f>('TE BE'!$AA$11+'TE BF'!$AA$11+'TE CVA'!$AA$11)*1*(1-0.03)</f>
        <v>216.45124957683362</v>
      </c>
      <c r="AB1150" s="4">
        <f>$K$1150*$V$1150</f>
        <v>0</v>
      </c>
      <c r="AC1150" s="4">
        <f>$M$1150*$W$1150</f>
        <v>304794.84458040004</v>
      </c>
      <c r="AD1150" s="4">
        <f>$O$1150*$X$1150</f>
        <v>1321609.9453612</v>
      </c>
      <c r="AE1150" s="4">
        <f>$K$1150*$Y$1150</f>
        <v>0</v>
      </c>
      <c r="AF1150" s="4">
        <f ca="1">$M$1150*$Z$1150</f>
        <v>398796.22719676507</v>
      </c>
      <c r="AG1150" s="4">
        <f>$O$1150*$AA$1150</f>
        <v>1368915.1918712445</v>
      </c>
    </row>
    <row r="1151" spans="1:33" ht="11.25" customHeight="1" x14ac:dyDescent="0.25">
      <c r="A1151" s="3" t="s">
        <v>21</v>
      </c>
      <c r="B1151" s="3" t="s">
        <v>41</v>
      </c>
      <c r="C1151" s="3" t="s">
        <v>42</v>
      </c>
      <c r="D1151" s="3" t="s">
        <v>50</v>
      </c>
      <c r="E1151" s="3" t="s">
        <v>51</v>
      </c>
      <c r="F1151" s="3" t="s">
        <v>25</v>
      </c>
      <c r="G1151" s="3" t="s">
        <v>25</v>
      </c>
      <c r="H1151" s="3" t="s">
        <v>35</v>
      </c>
      <c r="I1151" s="6">
        <v>44317</v>
      </c>
      <c r="J1151" s="4">
        <v>0</v>
      </c>
      <c r="K1151" s="56">
        <v>0</v>
      </c>
      <c r="L1151" s="4">
        <v>6309.06</v>
      </c>
      <c r="M1151" s="56">
        <v>6309.06</v>
      </c>
      <c r="N1151" s="4">
        <v>6309.06</v>
      </c>
      <c r="O1151" s="56">
        <v>6309.06</v>
      </c>
      <c r="P1151" s="4">
        <v>0</v>
      </c>
      <c r="Q1151" s="3" t="s">
        <v>26</v>
      </c>
      <c r="R1151" s="3">
        <v>0</v>
      </c>
      <c r="S1151" s="4">
        <v>0</v>
      </c>
      <c r="T1151" s="4">
        <v>21</v>
      </c>
      <c r="U1151" s="4">
        <v>89</v>
      </c>
      <c r="V1151" s="56">
        <f>IF(ISERROR(VLOOKUP($S$1151,'TAR FIN'!$A$1:$O$113,15,0)),0,VLOOKUP($S$1151,'TAR FIN'!$A$1:$O$113,15,0))</f>
        <v>0</v>
      </c>
      <c r="W1151" s="56">
        <f>IF(ISERROR(VLOOKUP($T$1151,'TAR FIN'!$A$1:$O$113,15,0)),0,VLOOKUP($T$1151,'TAR FIN'!$A$1:$O$113,15,0))*(1-0.06)</f>
        <v>48.193800000000003</v>
      </c>
      <c r="X1151" s="56">
        <f>IF(ISERROR(VLOOKUP($U$1151,'TAR FIN'!$A$1:$O$113,15,0)),0,VLOOKUP($U$1151,'TAR FIN'!$A$1:$O$113,15,0))*(1-0.06)</f>
        <v>208.97139999999999</v>
      </c>
      <c r="Y1151" s="56"/>
      <c r="Z1151" s="56">
        <f ca="1">('TUSD BE'!$AM$32+'TUSD BF'!$AM$32+'TUSD CVA'!$AM$32)*1*(1-0.03)</f>
        <v>63.057187337713181</v>
      </c>
      <c r="AA1151" s="56">
        <f>('TE BE'!$AA$11+'TE BF'!$AA$11+'TE CVA'!$AA$11)*1*(1-0.03)</f>
        <v>216.45124957683362</v>
      </c>
      <c r="AB1151" s="4">
        <f>$K$1151*$V$1151</f>
        <v>0</v>
      </c>
      <c r="AC1151" s="4">
        <f>$M$1151*$W$1151</f>
        <v>304057.57582800003</v>
      </c>
      <c r="AD1151" s="4">
        <f>$O$1151*$X$1151</f>
        <v>1318413.1008840001</v>
      </c>
      <c r="AE1151" s="4">
        <f>$K$1151*$Y$1151</f>
        <v>0</v>
      </c>
      <c r="AF1151" s="4">
        <f ca="1">$M$1151*$Z$1151</f>
        <v>397831.57834487275</v>
      </c>
      <c r="AG1151" s="4">
        <f>$O$1151*$AA$1151</f>
        <v>1365603.920655218</v>
      </c>
    </row>
    <row r="1152" spans="1:33" ht="11.25" customHeight="1" x14ac:dyDescent="0.25">
      <c r="A1152" s="3" t="s">
        <v>21</v>
      </c>
      <c r="B1152" s="3" t="s">
        <v>41</v>
      </c>
      <c r="C1152" s="3" t="s">
        <v>42</v>
      </c>
      <c r="D1152" s="3" t="s">
        <v>50</v>
      </c>
      <c r="E1152" s="3" t="s">
        <v>51</v>
      </c>
      <c r="F1152" s="3" t="s">
        <v>25</v>
      </c>
      <c r="G1152" s="3" t="s">
        <v>25</v>
      </c>
      <c r="H1152" s="3" t="s">
        <v>35</v>
      </c>
      <c r="I1152" s="6">
        <v>44348</v>
      </c>
      <c r="J1152" s="4">
        <v>0</v>
      </c>
      <c r="K1152" s="56">
        <v>0</v>
      </c>
      <c r="L1152" s="4">
        <v>4076.402</v>
      </c>
      <c r="M1152" s="56">
        <v>4076.402</v>
      </c>
      <c r="N1152" s="4">
        <v>4076.402</v>
      </c>
      <c r="O1152" s="56">
        <v>4076.402</v>
      </c>
      <c r="P1152" s="4">
        <v>0</v>
      </c>
      <c r="Q1152" s="3" t="s">
        <v>26</v>
      </c>
      <c r="R1152" s="3">
        <v>0</v>
      </c>
      <c r="S1152" s="4">
        <v>0</v>
      </c>
      <c r="T1152" s="4">
        <v>21</v>
      </c>
      <c r="U1152" s="4">
        <v>89</v>
      </c>
      <c r="V1152" s="56">
        <f>IF(ISERROR(VLOOKUP($S$1152,'TAR FIN'!$A$1:$O$113,15,0)),0,VLOOKUP($S$1152,'TAR FIN'!$A$1:$O$113,15,0))</f>
        <v>0</v>
      </c>
      <c r="W1152" s="56">
        <f>IF(ISERROR(VLOOKUP($T$1152,'TAR FIN'!$A$1:$O$113,15,0)),0,VLOOKUP($T$1152,'TAR FIN'!$A$1:$O$113,15,0))*(1-0.06)</f>
        <v>48.193800000000003</v>
      </c>
      <c r="X1152" s="56">
        <f>IF(ISERROR(VLOOKUP($U$1152,'TAR FIN'!$A$1:$O$113,15,0)),0,VLOOKUP($U$1152,'TAR FIN'!$A$1:$O$113,15,0))*(1-0.06)</f>
        <v>208.97139999999999</v>
      </c>
      <c r="Y1152" s="56"/>
      <c r="Z1152" s="56">
        <f ca="1">('TUSD BE'!$AM$32+'TUSD BF'!$AM$32+'TUSD CVA'!$AM$32)*1*(1-0.03)</f>
        <v>63.057187337713181</v>
      </c>
      <c r="AA1152" s="56">
        <f>('TE BE'!$AA$11+'TE BF'!$AA$11+'TE CVA'!$AA$11)*1*(1-0.03)</f>
        <v>216.45124957683362</v>
      </c>
      <c r="AB1152" s="4">
        <f>$K$1152*$V$1152</f>
        <v>0</v>
      </c>
      <c r="AC1152" s="4">
        <f>$M$1152*$W$1152</f>
        <v>196457.30270760003</v>
      </c>
      <c r="AD1152" s="4">
        <f>$O$1152*$X$1152</f>
        <v>851851.43290279992</v>
      </c>
      <c r="AE1152" s="4">
        <f>$K$1152*$Y$1152</f>
        <v>0</v>
      </c>
      <c r="AF1152" s="4">
        <f ca="1">$M$1152*$Z$1152</f>
        <v>257046.44457782869</v>
      </c>
      <c r="AG1152" s="4">
        <f>$O$1152*$AA$1152</f>
        <v>882342.30667750374</v>
      </c>
    </row>
    <row r="1153" spans="1:33" ht="11.25" customHeight="1" x14ac:dyDescent="0.25">
      <c r="A1153" s="3" t="s">
        <v>21</v>
      </c>
      <c r="B1153" s="3" t="s">
        <v>41</v>
      </c>
      <c r="C1153" s="3" t="s">
        <v>42</v>
      </c>
      <c r="D1153" s="3" t="s">
        <v>50</v>
      </c>
      <c r="E1153" s="3" t="s">
        <v>51</v>
      </c>
      <c r="F1153" s="3" t="s">
        <v>25</v>
      </c>
      <c r="G1153" s="3" t="s">
        <v>25</v>
      </c>
      <c r="H1153" s="3" t="s">
        <v>35</v>
      </c>
      <c r="I1153" s="6">
        <v>44378</v>
      </c>
      <c r="J1153" s="4">
        <v>0</v>
      </c>
      <c r="K1153" s="56">
        <v>0</v>
      </c>
      <c r="L1153" s="4">
        <v>4288.4340000000002</v>
      </c>
      <c r="M1153" s="56">
        <v>4288.4340000000002</v>
      </c>
      <c r="N1153" s="4">
        <v>4288.4340000000002</v>
      </c>
      <c r="O1153" s="56">
        <v>4288.4340000000002</v>
      </c>
      <c r="P1153" s="4">
        <v>0</v>
      </c>
      <c r="Q1153" s="3" t="s">
        <v>26</v>
      </c>
      <c r="R1153" s="3">
        <v>0</v>
      </c>
      <c r="S1153" s="4">
        <v>0</v>
      </c>
      <c r="T1153" s="4">
        <v>21</v>
      </c>
      <c r="U1153" s="4">
        <v>89</v>
      </c>
      <c r="V1153" s="56">
        <f>IF(ISERROR(VLOOKUP($S$1153,'TAR FIN'!$A$1:$O$113,15,0)),0,VLOOKUP($S$1153,'TAR FIN'!$A$1:$O$113,15,0))</f>
        <v>0</v>
      </c>
      <c r="W1153" s="56">
        <f>IF(ISERROR(VLOOKUP($T$1153,'TAR FIN'!$A$1:$O$113,15,0)),0,VLOOKUP($T$1153,'TAR FIN'!$A$1:$O$113,15,0))*(1-0.06)</f>
        <v>48.193800000000003</v>
      </c>
      <c r="X1153" s="56">
        <f>IF(ISERROR(VLOOKUP($U$1153,'TAR FIN'!$A$1:$O$113,15,0)),0,VLOOKUP($U$1153,'TAR FIN'!$A$1:$O$113,15,0))*(1-0.06)</f>
        <v>208.97139999999999</v>
      </c>
      <c r="Y1153" s="56"/>
      <c r="Z1153" s="56">
        <f ca="1">('TUSD BE'!$AM$32+'TUSD BF'!$AM$32+'TUSD CVA'!$AM$32)*1*(1-0.03)</f>
        <v>63.057187337713181</v>
      </c>
      <c r="AA1153" s="56">
        <f>('TE BE'!$AA$11+'TE BF'!$AA$11+'TE CVA'!$AA$11)*1*(1-0.03)</f>
        <v>216.45124957683362</v>
      </c>
      <c r="AB1153" s="4">
        <f>$K$1153*$V$1153</f>
        <v>0</v>
      </c>
      <c r="AC1153" s="4">
        <f>$M$1153*$W$1153</f>
        <v>206675.93050920003</v>
      </c>
      <c r="AD1153" s="4">
        <f>$O$1153*$X$1153</f>
        <v>896160.05678760004</v>
      </c>
      <c r="AE1153" s="4">
        <f>$K$1153*$Y$1153</f>
        <v>0</v>
      </c>
      <c r="AF1153" s="4">
        <f ca="1">$M$1153*$Z$1153</f>
        <v>270416.5861234187</v>
      </c>
      <c r="AG1153" s="4">
        <f>$O$1153*$AA$1153</f>
        <v>928236.89802777895</v>
      </c>
    </row>
    <row r="1154" spans="1:33" ht="11.25" customHeight="1" x14ac:dyDescent="0.25">
      <c r="A1154" s="3" t="s">
        <v>27</v>
      </c>
      <c r="B1154" s="3" t="s">
        <v>41</v>
      </c>
      <c r="C1154" s="3" t="s">
        <v>42</v>
      </c>
      <c r="D1154" s="3" t="s">
        <v>50</v>
      </c>
      <c r="E1154" s="3" t="s">
        <v>51</v>
      </c>
      <c r="F1154" s="3" t="s">
        <v>25</v>
      </c>
      <c r="G1154" s="3" t="s">
        <v>25</v>
      </c>
      <c r="H1154" s="3" t="s">
        <v>35</v>
      </c>
      <c r="I1154" s="6">
        <v>44378</v>
      </c>
      <c r="J1154" s="4">
        <v>0</v>
      </c>
      <c r="K1154" s="56">
        <v>0</v>
      </c>
      <c r="L1154" s="4">
        <v>-5.7969999999999997</v>
      </c>
      <c r="M1154" s="56">
        <v>-5.7969999999999997</v>
      </c>
      <c r="N1154" s="4">
        <v>-5.7969999999999997</v>
      </c>
      <c r="O1154" s="56">
        <v>-5.7969999999999997</v>
      </c>
      <c r="P1154" s="4">
        <v>0</v>
      </c>
      <c r="Q1154" s="3" t="s">
        <v>26</v>
      </c>
      <c r="R1154" s="3">
        <v>0</v>
      </c>
      <c r="S1154" s="4">
        <v>0</v>
      </c>
      <c r="T1154" s="4">
        <v>21</v>
      </c>
      <c r="U1154" s="4">
        <v>89</v>
      </c>
      <c r="V1154" s="56">
        <f>IF(ISERROR(VLOOKUP($S$1154,'TAR FIN'!$A$1:$O$113,15,0)),0,VLOOKUP($S$1154,'TAR FIN'!$A$1:$O$113,15,0))</f>
        <v>0</v>
      </c>
      <c r="W1154" s="56">
        <f>IF(ISERROR(VLOOKUP($T$1154,'TAR FIN'!$A$1:$O$113,15,0)),0,VLOOKUP($T$1154,'TAR FIN'!$A$1:$O$113,15,0))*(1-0.06)</f>
        <v>48.193800000000003</v>
      </c>
      <c r="X1154" s="56">
        <f>IF(ISERROR(VLOOKUP($U$1154,'TAR FIN'!$A$1:$O$113,15,0)),0,VLOOKUP($U$1154,'TAR FIN'!$A$1:$O$113,15,0))*(1-0.06)</f>
        <v>208.97139999999999</v>
      </c>
      <c r="Y1154" s="56"/>
      <c r="Z1154" s="56">
        <f ca="1">('TUSD BE'!$AM$32+'TUSD BF'!$AM$32+'TUSD CVA'!$AM$32)*1*(1-0.03)</f>
        <v>63.057187337713181</v>
      </c>
      <c r="AA1154" s="56">
        <f>('TE BE'!$AA$11+'TE BF'!$AA$11+'TE CVA'!$AA$11)*1*(1-0.03)</f>
        <v>216.45124957683362</v>
      </c>
      <c r="AB1154" s="4">
        <f>$K$1154*$V$1154</f>
        <v>0</v>
      </c>
      <c r="AC1154" s="4">
        <f>$M$1154*$W$1154</f>
        <v>-279.37945860000002</v>
      </c>
      <c r="AD1154" s="4">
        <f>$O$1154*$X$1154</f>
        <v>-1211.4072057999999</v>
      </c>
      <c r="AE1154" s="4">
        <f>$K$1154*$Y$1154</f>
        <v>0</v>
      </c>
      <c r="AF1154" s="4">
        <f ca="1">$M$1154*$Z$1154</f>
        <v>-365.5425149967233</v>
      </c>
      <c r="AG1154" s="4">
        <f>$O$1154*$AA$1154</f>
        <v>-1254.7678937969044</v>
      </c>
    </row>
    <row r="1155" spans="1:33" ht="11.25" customHeight="1" x14ac:dyDescent="0.25">
      <c r="A1155" s="3" t="s">
        <v>21</v>
      </c>
      <c r="B1155" s="3" t="s">
        <v>41</v>
      </c>
      <c r="C1155" s="3" t="s">
        <v>42</v>
      </c>
      <c r="D1155" s="3" t="s">
        <v>50</v>
      </c>
      <c r="E1155" s="3" t="s">
        <v>51</v>
      </c>
      <c r="F1155" s="3" t="s">
        <v>25</v>
      </c>
      <c r="G1155" s="3" t="s">
        <v>25</v>
      </c>
      <c r="H1155" s="3" t="s">
        <v>35</v>
      </c>
      <c r="I1155" s="6">
        <v>44409</v>
      </c>
      <c r="J1155" s="4">
        <v>0</v>
      </c>
      <c r="K1155" s="56">
        <v>0</v>
      </c>
      <c r="L1155" s="4">
        <v>3834.7689999999998</v>
      </c>
      <c r="M1155" s="56">
        <v>3834.7689999999998</v>
      </c>
      <c r="N1155" s="4">
        <v>3834.7689999999998</v>
      </c>
      <c r="O1155" s="56">
        <v>3834.7689999999998</v>
      </c>
      <c r="P1155" s="4">
        <v>0</v>
      </c>
      <c r="Q1155" s="3" t="s">
        <v>26</v>
      </c>
      <c r="R1155" s="3">
        <v>0</v>
      </c>
      <c r="S1155" s="4">
        <v>0</v>
      </c>
      <c r="T1155" s="4">
        <v>21</v>
      </c>
      <c r="U1155" s="4">
        <v>89</v>
      </c>
      <c r="V1155" s="56">
        <f>IF(ISERROR(VLOOKUP($S$1155,'TAR FIN'!$A$1:$O$113,15,0)),0,VLOOKUP($S$1155,'TAR FIN'!$A$1:$O$113,15,0))</f>
        <v>0</v>
      </c>
      <c r="W1155" s="56">
        <f>IF(ISERROR(VLOOKUP($T$1155,'TAR FIN'!$A$1:$O$113,15,0)),0,VLOOKUP($T$1155,'TAR FIN'!$A$1:$O$113,15,0))*(1-0.06)</f>
        <v>48.193800000000003</v>
      </c>
      <c r="X1155" s="56">
        <f>IF(ISERROR(VLOOKUP($U$1155,'TAR FIN'!$A$1:$O$113,15,0)),0,VLOOKUP($U$1155,'TAR FIN'!$A$1:$O$113,15,0))*(1-0.06)</f>
        <v>208.97139999999999</v>
      </c>
      <c r="Y1155" s="56"/>
      <c r="Z1155" s="56">
        <f ca="1">('TUSD BE'!$AM$32+'TUSD BF'!$AM$32+'TUSD CVA'!$AM$32)*1*(1-0.03)</f>
        <v>63.057187337713181</v>
      </c>
      <c r="AA1155" s="56">
        <f>('TE BE'!$AA$11+'TE BF'!$AA$11+'TE CVA'!$AA$11)*1*(1-0.03)</f>
        <v>216.45124957683362</v>
      </c>
      <c r="AB1155" s="4">
        <f>$K$1155*$V$1155</f>
        <v>0</v>
      </c>
      <c r="AC1155" s="4">
        <f>$M$1155*$W$1155</f>
        <v>184812.09023219999</v>
      </c>
      <c r="AD1155" s="4">
        <f>$O$1155*$X$1155</f>
        <v>801357.04660659994</v>
      </c>
      <c r="AE1155" s="4">
        <f>$K$1155*$Y$1155</f>
        <v>0</v>
      </c>
      <c r="AF1155" s="4">
        <f ca="1">$M$1155*$Z$1155</f>
        <v>241809.74722985501</v>
      </c>
      <c r="AG1155" s="4">
        <f>$O$1155*$AA$1155</f>
        <v>830040.54188850464</v>
      </c>
    </row>
    <row r="1156" spans="1:33" ht="11.25" customHeight="1" x14ac:dyDescent="0.25">
      <c r="A1156" s="3" t="s">
        <v>21</v>
      </c>
      <c r="B1156" s="3" t="s">
        <v>41</v>
      </c>
      <c r="C1156" s="3" t="s">
        <v>42</v>
      </c>
      <c r="D1156" s="3" t="s">
        <v>50</v>
      </c>
      <c r="E1156" s="3" t="s">
        <v>51</v>
      </c>
      <c r="F1156" s="3" t="s">
        <v>25</v>
      </c>
      <c r="G1156" s="3" t="s">
        <v>25</v>
      </c>
      <c r="H1156" s="3" t="s">
        <v>35</v>
      </c>
      <c r="I1156" s="6">
        <v>44440</v>
      </c>
      <c r="J1156" s="4">
        <v>0</v>
      </c>
      <c r="K1156" s="56">
        <v>0</v>
      </c>
      <c r="L1156" s="4">
        <v>3731.7869999999998</v>
      </c>
      <c r="M1156" s="56">
        <v>3731.7869999999998</v>
      </c>
      <c r="N1156" s="4">
        <v>3731.7869999999998</v>
      </c>
      <c r="O1156" s="56">
        <v>3731.7869999999998</v>
      </c>
      <c r="P1156" s="4">
        <v>0</v>
      </c>
      <c r="Q1156" s="3" t="s">
        <v>26</v>
      </c>
      <c r="R1156" s="3">
        <v>0</v>
      </c>
      <c r="S1156" s="4">
        <v>0</v>
      </c>
      <c r="T1156" s="4">
        <v>21</v>
      </c>
      <c r="U1156" s="4">
        <v>89</v>
      </c>
      <c r="V1156" s="56">
        <f>IF(ISERROR(VLOOKUP($S$1156,'TAR FIN'!$A$1:$O$113,15,0)),0,VLOOKUP($S$1156,'TAR FIN'!$A$1:$O$113,15,0))</f>
        <v>0</v>
      </c>
      <c r="W1156" s="56">
        <f>IF(ISERROR(VLOOKUP($T$1156,'TAR FIN'!$A$1:$O$113,15,0)),0,VLOOKUP($T$1156,'TAR FIN'!$A$1:$O$113,15,0))*(1-0.06)</f>
        <v>48.193800000000003</v>
      </c>
      <c r="X1156" s="56">
        <f>IF(ISERROR(VLOOKUP($U$1156,'TAR FIN'!$A$1:$O$113,15,0)),0,VLOOKUP($U$1156,'TAR FIN'!$A$1:$O$113,15,0))*(1-0.06)</f>
        <v>208.97139999999999</v>
      </c>
      <c r="Y1156" s="56"/>
      <c r="Z1156" s="56">
        <f ca="1">('TUSD BE'!$AM$32+'TUSD BF'!$AM$32+'TUSD CVA'!$AM$32)*1*(1-0.03)</f>
        <v>63.057187337713181</v>
      </c>
      <c r="AA1156" s="56">
        <f>('TE BE'!$AA$11+'TE BF'!$AA$11+'TE CVA'!$AA$11)*1*(1-0.03)</f>
        <v>216.45124957683362</v>
      </c>
      <c r="AB1156" s="4">
        <f>$K$1156*$V$1156</f>
        <v>0</v>
      </c>
      <c r="AC1156" s="4">
        <f>$M$1156*$W$1156</f>
        <v>179848.99632060001</v>
      </c>
      <c r="AD1156" s="4">
        <f>$O$1156*$X$1156</f>
        <v>779836.75389179995</v>
      </c>
      <c r="AE1156" s="4">
        <f>$K$1156*$Y$1156</f>
        <v>0</v>
      </c>
      <c r="AF1156" s="4">
        <f ca="1">$M$1156*$Z$1156</f>
        <v>235315.99196344265</v>
      </c>
      <c r="AG1156" s="4">
        <f>$O$1156*$AA$1156</f>
        <v>807749.95930458314</v>
      </c>
    </row>
    <row r="1157" spans="1:33" ht="11.25" customHeight="1" x14ac:dyDescent="0.25">
      <c r="A1157" s="3" t="s">
        <v>21</v>
      </c>
      <c r="B1157" s="3" t="s">
        <v>41</v>
      </c>
      <c r="C1157" s="3" t="s">
        <v>42</v>
      </c>
      <c r="D1157" s="3" t="s">
        <v>50</v>
      </c>
      <c r="E1157" s="3" t="s">
        <v>51</v>
      </c>
      <c r="F1157" s="3" t="s">
        <v>25</v>
      </c>
      <c r="G1157" s="3" t="s">
        <v>25</v>
      </c>
      <c r="H1157" s="3" t="s">
        <v>35</v>
      </c>
      <c r="I1157" s="6">
        <v>44470</v>
      </c>
      <c r="J1157" s="4">
        <v>0</v>
      </c>
      <c r="K1157" s="56">
        <v>0</v>
      </c>
      <c r="L1157" s="4">
        <v>3771.1889999999999</v>
      </c>
      <c r="M1157" s="56">
        <v>3771.1889999999999</v>
      </c>
      <c r="N1157" s="4">
        <v>3771.1889999999999</v>
      </c>
      <c r="O1157" s="56">
        <v>3771.1889999999999</v>
      </c>
      <c r="P1157" s="4">
        <v>0</v>
      </c>
      <c r="Q1157" s="3" t="s">
        <v>26</v>
      </c>
      <c r="R1157" s="3">
        <v>0</v>
      </c>
      <c r="S1157" s="4">
        <v>0</v>
      </c>
      <c r="T1157" s="4">
        <v>21</v>
      </c>
      <c r="U1157" s="4">
        <v>89</v>
      </c>
      <c r="V1157" s="56">
        <f>IF(ISERROR(VLOOKUP($S$1157,'TAR FIN'!$A$1:$O$113,15,0)),0,VLOOKUP($S$1157,'TAR FIN'!$A$1:$O$113,15,0))</f>
        <v>0</v>
      </c>
      <c r="W1157" s="56">
        <f>IF(ISERROR(VLOOKUP($T$1157,'TAR FIN'!$A$1:$O$113,15,0)),0,VLOOKUP($T$1157,'TAR FIN'!$A$1:$O$113,15,0))*(1-0.06)</f>
        <v>48.193800000000003</v>
      </c>
      <c r="X1157" s="56">
        <f>IF(ISERROR(VLOOKUP($U$1157,'TAR FIN'!$A$1:$O$113,15,0)),0,VLOOKUP($U$1157,'TAR FIN'!$A$1:$O$113,15,0))*(1-0.06)</f>
        <v>208.97139999999999</v>
      </c>
      <c r="Y1157" s="56"/>
      <c r="Z1157" s="56">
        <f ca="1">('TUSD BE'!$AM$32+'TUSD BF'!$AM$32+'TUSD CVA'!$AM$32)*1*(1-0.03)</f>
        <v>63.057187337713181</v>
      </c>
      <c r="AA1157" s="56">
        <f>('TE BE'!$AA$11+'TE BF'!$AA$11+'TE CVA'!$AA$11)*1*(1-0.03)</f>
        <v>216.45124957683362</v>
      </c>
      <c r="AB1157" s="4">
        <f>$K$1157*$V$1157</f>
        <v>0</v>
      </c>
      <c r="AC1157" s="4">
        <f>$M$1157*$W$1157</f>
        <v>181747.92842820002</v>
      </c>
      <c r="AD1157" s="4">
        <f>$O$1157*$X$1157</f>
        <v>788070.64499459998</v>
      </c>
      <c r="AE1157" s="4">
        <f>$K$1157*$Y$1157</f>
        <v>0</v>
      </c>
      <c r="AF1157" s="4">
        <f ca="1">$M$1157*$Z$1157</f>
        <v>237800.57125892321</v>
      </c>
      <c r="AG1157" s="4">
        <f>$O$1157*$AA$1157</f>
        <v>816278.57144040952</v>
      </c>
    </row>
    <row r="1158" spans="1:33" ht="11.25" customHeight="1" x14ac:dyDescent="0.25">
      <c r="A1158" s="3" t="s">
        <v>21</v>
      </c>
      <c r="B1158" s="3" t="s">
        <v>41</v>
      </c>
      <c r="C1158" s="3" t="s">
        <v>42</v>
      </c>
      <c r="D1158" s="3" t="s">
        <v>50</v>
      </c>
      <c r="E1158" s="3" t="s">
        <v>51</v>
      </c>
      <c r="F1158" s="3" t="s">
        <v>25</v>
      </c>
      <c r="G1158" s="3" t="s">
        <v>25</v>
      </c>
      <c r="H1158" s="3" t="s">
        <v>35</v>
      </c>
      <c r="I1158" s="6">
        <v>44501</v>
      </c>
      <c r="J1158" s="4">
        <v>0</v>
      </c>
      <c r="K1158" s="56">
        <v>0</v>
      </c>
      <c r="L1158" s="4">
        <v>3388.88</v>
      </c>
      <c r="M1158" s="56">
        <v>3388.88</v>
      </c>
      <c r="N1158" s="4">
        <v>3388.88</v>
      </c>
      <c r="O1158" s="56">
        <v>3388.88</v>
      </c>
      <c r="P1158" s="4">
        <v>0</v>
      </c>
      <c r="Q1158" s="3" t="s">
        <v>26</v>
      </c>
      <c r="R1158" s="3">
        <v>0</v>
      </c>
      <c r="S1158" s="4">
        <v>0</v>
      </c>
      <c r="T1158" s="4">
        <v>21</v>
      </c>
      <c r="U1158" s="4">
        <v>89</v>
      </c>
      <c r="V1158" s="56">
        <f>IF(ISERROR(VLOOKUP($S$1158,'TAR FIN'!$A$1:$O$113,15,0)),0,VLOOKUP($S$1158,'TAR FIN'!$A$1:$O$113,15,0))</f>
        <v>0</v>
      </c>
      <c r="W1158" s="56">
        <f>IF(ISERROR(VLOOKUP($T$1158,'TAR FIN'!$A$1:$O$113,15,0)),0,VLOOKUP($T$1158,'TAR FIN'!$A$1:$O$113,15,0))*(1-0.06)</f>
        <v>48.193800000000003</v>
      </c>
      <c r="X1158" s="56">
        <f>IF(ISERROR(VLOOKUP($U$1158,'TAR FIN'!$A$1:$O$113,15,0)),0,VLOOKUP($U$1158,'TAR FIN'!$A$1:$O$113,15,0))*(1-0.06)</f>
        <v>208.97139999999999</v>
      </c>
      <c r="Y1158" s="56"/>
      <c r="Z1158" s="56">
        <f ca="1">('TUSD BE'!$AM$32+'TUSD BF'!$AM$32+'TUSD CVA'!$AM$32)*1*(1-0.03)</f>
        <v>63.057187337713181</v>
      </c>
      <c r="AA1158" s="56">
        <f>('TE BE'!$AA$11+'TE BF'!$AA$11+'TE CVA'!$AA$11)*1*(1-0.03)</f>
        <v>216.45124957683362</v>
      </c>
      <c r="AB1158" s="4">
        <f>$K$1158*$V$1158</f>
        <v>0</v>
      </c>
      <c r="AC1158" s="4">
        <f>$M$1158*$W$1158</f>
        <v>163323.00494400001</v>
      </c>
      <c r="AD1158" s="4">
        <f>$O$1158*$X$1158</f>
        <v>708178.99803200003</v>
      </c>
      <c r="AE1158" s="4">
        <f>$K$1158*$Y$1158</f>
        <v>0</v>
      </c>
      <c r="AF1158" s="4">
        <f ca="1">$M$1158*$Z$1158</f>
        <v>213693.24102502945</v>
      </c>
      <c r="AG1158" s="4">
        <f>$O$1158*$AA$1158</f>
        <v>733527.31066593993</v>
      </c>
    </row>
    <row r="1159" spans="1:33" ht="11.25" customHeight="1" x14ac:dyDescent="0.25">
      <c r="A1159" s="3" t="s">
        <v>21</v>
      </c>
      <c r="B1159" s="3" t="s">
        <v>41</v>
      </c>
      <c r="C1159" s="3" t="s">
        <v>42</v>
      </c>
      <c r="D1159" s="3" t="s">
        <v>50</v>
      </c>
      <c r="E1159" s="3" t="s">
        <v>51</v>
      </c>
      <c r="F1159" s="3" t="s">
        <v>25</v>
      </c>
      <c r="G1159" s="3" t="s">
        <v>25</v>
      </c>
      <c r="H1159" s="3" t="s">
        <v>35</v>
      </c>
      <c r="I1159" s="6">
        <v>44531</v>
      </c>
      <c r="J1159" s="4">
        <v>0</v>
      </c>
      <c r="K1159" s="56">
        <v>0</v>
      </c>
      <c r="L1159" s="4">
        <v>3739.8969999999999</v>
      </c>
      <c r="M1159" s="56">
        <v>3739.8969999999999</v>
      </c>
      <c r="N1159" s="4">
        <v>3739.8969999999999</v>
      </c>
      <c r="O1159" s="56">
        <v>3739.8969999999999</v>
      </c>
      <c r="P1159" s="4">
        <v>0</v>
      </c>
      <c r="Q1159" s="3" t="s">
        <v>26</v>
      </c>
      <c r="R1159" s="3">
        <v>0</v>
      </c>
      <c r="S1159" s="4">
        <v>0</v>
      </c>
      <c r="T1159" s="4">
        <v>21</v>
      </c>
      <c r="U1159" s="4">
        <v>89</v>
      </c>
      <c r="V1159" s="56">
        <f>IF(ISERROR(VLOOKUP($S$1159,'TAR FIN'!$A$1:$O$113,15,0)),0,VLOOKUP($S$1159,'TAR FIN'!$A$1:$O$113,15,0))</f>
        <v>0</v>
      </c>
      <c r="W1159" s="56">
        <f>IF(ISERROR(VLOOKUP($T$1159,'TAR FIN'!$A$1:$O$113,15,0)),0,VLOOKUP($T$1159,'TAR FIN'!$A$1:$O$113,15,0))*(1-0.06)</f>
        <v>48.193800000000003</v>
      </c>
      <c r="X1159" s="56">
        <f>IF(ISERROR(VLOOKUP($U$1159,'TAR FIN'!$A$1:$O$113,15,0)),0,VLOOKUP($U$1159,'TAR FIN'!$A$1:$O$113,15,0))*(1-0.06)</f>
        <v>208.97139999999999</v>
      </c>
      <c r="Y1159" s="56"/>
      <c r="Z1159" s="56">
        <f ca="1">('TUSD BE'!$AM$32+'TUSD BF'!$AM$32+'TUSD CVA'!$AM$32)*1*(1-0.03)</f>
        <v>63.057187337713181</v>
      </c>
      <c r="AA1159" s="56">
        <f>('TE BE'!$AA$11+'TE BF'!$AA$11+'TE CVA'!$AA$11)*1*(1-0.03)</f>
        <v>216.45124957683362</v>
      </c>
      <c r="AB1159" s="4">
        <f>$K$1159*$V$1159</f>
        <v>0</v>
      </c>
      <c r="AC1159" s="4">
        <f>$M$1159*$W$1159</f>
        <v>180239.8480386</v>
      </c>
      <c r="AD1159" s="4">
        <f>$O$1159*$X$1159</f>
        <v>781531.51194579992</v>
      </c>
      <c r="AE1159" s="4">
        <f>$K$1159*$Y$1159</f>
        <v>0</v>
      </c>
      <c r="AF1159" s="4">
        <f ca="1">$M$1159*$Z$1159</f>
        <v>235827.38575275152</v>
      </c>
      <c r="AG1159" s="4">
        <f>$O$1159*$AA$1159</f>
        <v>809505.37893865129</v>
      </c>
    </row>
    <row r="1160" spans="1:33" ht="11.25" customHeight="1" x14ac:dyDescent="0.25">
      <c r="A1160" s="3" t="s">
        <v>21</v>
      </c>
      <c r="B1160" s="3" t="s">
        <v>41</v>
      </c>
      <c r="C1160" s="3" t="s">
        <v>42</v>
      </c>
      <c r="D1160" s="3" t="s">
        <v>50</v>
      </c>
      <c r="E1160" s="3" t="s">
        <v>51</v>
      </c>
      <c r="F1160" s="3" t="s">
        <v>25</v>
      </c>
      <c r="G1160" s="3" t="s">
        <v>25</v>
      </c>
      <c r="H1160" s="3" t="s">
        <v>35</v>
      </c>
      <c r="I1160" s="6">
        <v>44562</v>
      </c>
      <c r="J1160" s="4">
        <v>0</v>
      </c>
      <c r="K1160" s="56">
        <v>0</v>
      </c>
      <c r="L1160" s="4">
        <v>3930.538</v>
      </c>
      <c r="M1160" s="56">
        <v>3930.538</v>
      </c>
      <c r="N1160" s="4">
        <v>3930.538</v>
      </c>
      <c r="O1160" s="56">
        <v>3930.538</v>
      </c>
      <c r="P1160" s="4">
        <v>0</v>
      </c>
      <c r="Q1160" s="3" t="s">
        <v>26</v>
      </c>
      <c r="R1160" s="3">
        <v>0</v>
      </c>
      <c r="S1160" s="4">
        <v>0</v>
      </c>
      <c r="T1160" s="4">
        <v>21</v>
      </c>
      <c r="U1160" s="4">
        <v>89</v>
      </c>
      <c r="V1160" s="56">
        <f>IF(ISERROR(VLOOKUP($S$1160,'TAR FIN'!$A$1:$O$113,15,0)),0,VLOOKUP($S$1160,'TAR FIN'!$A$1:$O$113,15,0))</f>
        <v>0</v>
      </c>
      <c r="W1160" s="56">
        <f>IF(ISERROR(VLOOKUP($T$1160,'TAR FIN'!$A$1:$O$113,15,0)),0,VLOOKUP($T$1160,'TAR FIN'!$A$1:$O$113,15,0))*(1-0.06)</f>
        <v>48.193800000000003</v>
      </c>
      <c r="X1160" s="56">
        <f>IF(ISERROR(VLOOKUP($U$1160,'TAR FIN'!$A$1:$O$113,15,0)),0,VLOOKUP($U$1160,'TAR FIN'!$A$1:$O$113,15,0))*(1-0.06)</f>
        <v>208.97139999999999</v>
      </c>
      <c r="Y1160" s="56"/>
      <c r="Z1160" s="56">
        <f ca="1">('TUSD BE'!$AM$32+'TUSD BF'!$AM$32+'TUSD CVA'!$AM$32)*1*(1-0.03)</f>
        <v>63.057187337713181</v>
      </c>
      <c r="AA1160" s="56">
        <f>('TE BE'!$AA$11+'TE BF'!$AA$11+'TE CVA'!$AA$11)*1*(1-0.03)</f>
        <v>216.45124957683362</v>
      </c>
      <c r="AB1160" s="4">
        <f>$K$1160*$V$1160</f>
        <v>0</v>
      </c>
      <c r="AC1160" s="4">
        <f>$M$1160*$W$1160</f>
        <v>189427.56226440001</v>
      </c>
      <c r="AD1160" s="4">
        <f>$O$1160*$X$1160</f>
        <v>821370.02861319995</v>
      </c>
      <c r="AE1160" s="4">
        <f>$K$1160*$Y$1160</f>
        <v>0</v>
      </c>
      <c r="AF1160" s="4">
        <f ca="1">$M$1160*$Z$1160</f>
        <v>247848.6710040005</v>
      </c>
      <c r="AG1160" s="4">
        <f>$O$1160*$AA$1160</f>
        <v>850769.86160922842</v>
      </c>
    </row>
    <row r="1161" spans="1:33" ht="11.25" customHeight="1" x14ac:dyDescent="0.25">
      <c r="A1161" s="3" t="s">
        <v>21</v>
      </c>
      <c r="B1161" s="3" t="s">
        <v>41</v>
      </c>
      <c r="C1161" s="3" t="s">
        <v>42</v>
      </c>
      <c r="D1161" s="3" t="s">
        <v>50</v>
      </c>
      <c r="E1161" s="3" t="s">
        <v>51</v>
      </c>
      <c r="F1161" s="3" t="s">
        <v>25</v>
      </c>
      <c r="G1161" s="3" t="s">
        <v>25</v>
      </c>
      <c r="H1161" s="3" t="s">
        <v>35</v>
      </c>
      <c r="I1161" s="6">
        <v>44593</v>
      </c>
      <c r="J1161" s="4">
        <v>0</v>
      </c>
      <c r="K1161" s="56">
        <v>0</v>
      </c>
      <c r="L1161" s="4">
        <v>3564.7330000000002</v>
      </c>
      <c r="M1161" s="56">
        <v>3564.7330000000002</v>
      </c>
      <c r="N1161" s="4">
        <v>3564.7330000000002</v>
      </c>
      <c r="O1161" s="56">
        <v>3564.7330000000002</v>
      </c>
      <c r="P1161" s="4">
        <v>0</v>
      </c>
      <c r="Q1161" s="3" t="s">
        <v>26</v>
      </c>
      <c r="R1161" s="3">
        <v>0</v>
      </c>
      <c r="S1161" s="4">
        <v>0</v>
      </c>
      <c r="T1161" s="4">
        <v>21</v>
      </c>
      <c r="U1161" s="4">
        <v>89</v>
      </c>
      <c r="V1161" s="56">
        <f>IF(ISERROR(VLOOKUP($S$1161,'TAR FIN'!$A$1:$O$113,15,0)),0,VLOOKUP($S$1161,'TAR FIN'!$A$1:$O$113,15,0))</f>
        <v>0</v>
      </c>
      <c r="W1161" s="56">
        <f>IF(ISERROR(VLOOKUP($T$1161,'TAR FIN'!$A$1:$O$113,15,0)),0,VLOOKUP($T$1161,'TAR FIN'!$A$1:$O$113,15,0))*(1-0.06)</f>
        <v>48.193800000000003</v>
      </c>
      <c r="X1161" s="56">
        <f>IF(ISERROR(VLOOKUP($U$1161,'TAR FIN'!$A$1:$O$113,15,0)),0,VLOOKUP($U$1161,'TAR FIN'!$A$1:$O$113,15,0))*(1-0.06)</f>
        <v>208.97139999999999</v>
      </c>
      <c r="Y1161" s="56"/>
      <c r="Z1161" s="56">
        <f ca="1">('TUSD BE'!$AM$32+'TUSD BF'!$AM$32+'TUSD CVA'!$AM$32)*1*(1-0.03)</f>
        <v>63.057187337713181</v>
      </c>
      <c r="AA1161" s="56">
        <f>('TE BE'!$AA$11+'TE BF'!$AA$11+'TE CVA'!$AA$11)*1*(1-0.03)</f>
        <v>216.45124957683362</v>
      </c>
      <c r="AB1161" s="4">
        <f>$K$1161*$V$1161</f>
        <v>0</v>
      </c>
      <c r="AC1161" s="4">
        <f>$M$1161*$W$1161</f>
        <v>171798.02925540003</v>
      </c>
      <c r="AD1161" s="4">
        <f>$O$1161*$X$1161</f>
        <v>744927.24563619995</v>
      </c>
      <c r="AE1161" s="4">
        <f>$K$1161*$Y$1161</f>
        <v>0</v>
      </c>
      <c r="AF1161" s="4">
        <f ca="1">$M$1161*$Z$1161</f>
        <v>224782.03658992832</v>
      </c>
      <c r="AG1161" s="4">
        <f>$O$1161*$AA$1161</f>
        <v>771590.91225777485</v>
      </c>
    </row>
    <row r="1162" spans="1:33" ht="11.25" customHeight="1" x14ac:dyDescent="0.25">
      <c r="A1162" s="3" t="s">
        <v>56</v>
      </c>
      <c r="B1162" s="3" t="s">
        <v>41</v>
      </c>
      <c r="C1162" s="3" t="s">
        <v>42</v>
      </c>
      <c r="D1162" s="3" t="s">
        <v>50</v>
      </c>
      <c r="E1162" s="3" t="s">
        <v>51</v>
      </c>
      <c r="F1162" s="3" t="s">
        <v>25</v>
      </c>
      <c r="G1162" s="3" t="s">
        <v>25</v>
      </c>
      <c r="H1162" s="3" t="s">
        <v>35</v>
      </c>
      <c r="I1162" s="6">
        <v>44621</v>
      </c>
      <c r="J1162" s="4">
        <v>0</v>
      </c>
      <c r="K1162" s="56">
        <v>0</v>
      </c>
      <c r="L1162" s="4">
        <v>3564.7330000000002</v>
      </c>
      <c r="M1162" s="56">
        <v>3564.7330000000002</v>
      </c>
      <c r="N1162" s="4">
        <v>3564.7330000000002</v>
      </c>
      <c r="O1162" s="56">
        <v>3564.7330000000002</v>
      </c>
      <c r="P1162" s="4">
        <v>0</v>
      </c>
      <c r="Q1162" s="3" t="s">
        <v>26</v>
      </c>
      <c r="R1162" s="3">
        <v>0</v>
      </c>
      <c r="S1162" s="4">
        <v>0</v>
      </c>
      <c r="T1162" s="4">
        <v>21</v>
      </c>
      <c r="U1162" s="4">
        <v>89</v>
      </c>
      <c r="V1162" s="56">
        <f>IF(ISERROR(VLOOKUP($S$1162,'TAR FIN'!$A$1:$O$113,15,0)),0,VLOOKUP($S$1162,'TAR FIN'!$A$1:$O$113,15,0))</f>
        <v>0</v>
      </c>
      <c r="W1162" s="56">
        <f>IF(ISERROR(VLOOKUP($T$1162,'TAR FIN'!$A$1:$O$113,15,0)),0,VLOOKUP($T$1162,'TAR FIN'!$A$1:$O$113,15,0))*(1-0.06)</f>
        <v>48.193800000000003</v>
      </c>
      <c r="X1162" s="56">
        <f>IF(ISERROR(VLOOKUP($U$1162,'TAR FIN'!$A$1:$O$113,15,0)),0,VLOOKUP($U$1162,'TAR FIN'!$A$1:$O$113,15,0))*(1-0.06)</f>
        <v>208.97139999999999</v>
      </c>
      <c r="Y1162" s="56"/>
      <c r="Z1162" s="56">
        <f ca="1">('TUSD BE'!$AM$32+'TUSD BF'!$AM$32+'TUSD CVA'!$AM$32)*1*(1-0.03)</f>
        <v>63.057187337713181</v>
      </c>
      <c r="AA1162" s="56">
        <f>('TE BE'!$AA$11+'TE BF'!$AA$11+'TE CVA'!$AA$11)*1*(1-0.03)</f>
        <v>216.45124957683362</v>
      </c>
      <c r="AB1162" s="4">
        <f>$K$1162*$V$1162</f>
        <v>0</v>
      </c>
      <c r="AC1162" s="4">
        <f>$M$1162*$W$1162</f>
        <v>171798.02925540003</v>
      </c>
      <c r="AD1162" s="4">
        <f>$O$1162*$X$1162</f>
        <v>744927.24563619995</v>
      </c>
      <c r="AE1162" s="4">
        <f>$K$1162*$Y$1162</f>
        <v>0</v>
      </c>
      <c r="AF1162" s="4">
        <f ca="1">$M$1162*$Z$1162</f>
        <v>224782.03658992832</v>
      </c>
      <c r="AG1162" s="4">
        <f>$O$1162*$AA$1162</f>
        <v>771590.91225777485</v>
      </c>
    </row>
    <row r="1163" spans="1:33" ht="11.25" customHeight="1" x14ac:dyDescent="0.25">
      <c r="A1163" s="3" t="s">
        <v>21</v>
      </c>
      <c r="B1163" s="3" t="s">
        <v>41</v>
      </c>
      <c r="C1163" s="3" t="s">
        <v>42</v>
      </c>
      <c r="D1163" s="3" t="s">
        <v>50</v>
      </c>
      <c r="E1163" s="3" t="s">
        <v>51</v>
      </c>
      <c r="F1163" s="3" t="s">
        <v>25</v>
      </c>
      <c r="G1163" s="3" t="s">
        <v>25</v>
      </c>
      <c r="H1163" s="3" t="s">
        <v>25</v>
      </c>
      <c r="I1163" s="6">
        <v>44287</v>
      </c>
      <c r="J1163" s="4">
        <v>14195</v>
      </c>
      <c r="K1163" s="57">
        <v>14195</v>
      </c>
      <c r="L1163" s="4">
        <v>0</v>
      </c>
      <c r="M1163" s="56">
        <v>0</v>
      </c>
      <c r="N1163" s="4">
        <v>0</v>
      </c>
      <c r="O1163" s="56">
        <v>0</v>
      </c>
      <c r="P1163" s="4">
        <v>58</v>
      </c>
      <c r="Q1163" s="3" t="s">
        <v>26</v>
      </c>
      <c r="R1163" s="3">
        <v>0</v>
      </c>
      <c r="S1163" s="4">
        <v>44</v>
      </c>
      <c r="T1163" s="4">
        <v>0</v>
      </c>
      <c r="U1163" s="4">
        <v>0</v>
      </c>
      <c r="V1163" s="56">
        <f>IF(ISERROR(VLOOKUP($S$1163,'TAR FIN'!$A$1:$O$113,15,0)),0,VLOOKUP($S$1163,'TAR FIN'!$A$1:$O$113,15,0))*(1-0.06)</f>
        <v>22.851399999999998</v>
      </c>
      <c r="W1163" s="56">
        <f>IF(ISERROR(VLOOKUP($T$1163,'TAR FIN'!$A$1:$O$113,15,0)),0,VLOOKUP($T$1163,'TAR FIN'!$A$1:$O$113,15,0))</f>
        <v>0</v>
      </c>
      <c r="X1163" s="56">
        <f>IF(ISERROR(VLOOKUP($U$1163,'TAR FIN'!$A$1:$O$113,15,0)),0,VLOOKUP($U$1163,'TAR FIN'!$A$1:$O$113,15,0))</f>
        <v>0</v>
      </c>
      <c r="Y1163" s="56">
        <f ca="1">('TUSD BE'!$AM$30+'TUSD BF'!$AM$30+'TUSD CVA'!$AM$30)*1*(1-0.03)</f>
        <v>25.800132407241311</v>
      </c>
      <c r="Z1163" s="56"/>
      <c r="AA1163" s="56"/>
      <c r="AB1163" s="4">
        <f>$K$1163*$V$1163</f>
        <v>324375.62299999996</v>
      </c>
      <c r="AC1163" s="4">
        <f>$M$1163*$W$1163</f>
        <v>0</v>
      </c>
      <c r="AD1163" s="4">
        <f>$O$1163*$X$1163</f>
        <v>0</v>
      </c>
      <c r="AE1163" s="4">
        <f ca="1">$K$1163*$Y$1163</f>
        <v>366232.87952079042</v>
      </c>
      <c r="AF1163" s="4">
        <f>$M$1163*$Z$1163</f>
        <v>0</v>
      </c>
      <c r="AG1163" s="4">
        <f>$O$1163*$AA$1163</f>
        <v>0</v>
      </c>
    </row>
    <row r="1164" spans="1:33" ht="11.25" customHeight="1" x14ac:dyDescent="0.25">
      <c r="A1164" s="3" t="s">
        <v>21</v>
      </c>
      <c r="B1164" s="3" t="s">
        <v>41</v>
      </c>
      <c r="C1164" s="3" t="s">
        <v>42</v>
      </c>
      <c r="D1164" s="3" t="s">
        <v>50</v>
      </c>
      <c r="E1164" s="3" t="s">
        <v>51</v>
      </c>
      <c r="F1164" s="3" t="s">
        <v>25</v>
      </c>
      <c r="G1164" s="3" t="s">
        <v>25</v>
      </c>
      <c r="H1164" s="3" t="s">
        <v>25</v>
      </c>
      <c r="I1164" s="6">
        <v>44317</v>
      </c>
      <c r="J1164" s="4">
        <v>14252</v>
      </c>
      <c r="K1164" s="57">
        <v>14252</v>
      </c>
      <c r="L1164" s="4">
        <v>0</v>
      </c>
      <c r="M1164" s="56">
        <v>0</v>
      </c>
      <c r="N1164" s="4">
        <v>0</v>
      </c>
      <c r="O1164" s="56">
        <v>0</v>
      </c>
      <c r="P1164" s="4">
        <v>58</v>
      </c>
      <c r="Q1164" s="3" t="s">
        <v>26</v>
      </c>
      <c r="R1164" s="3">
        <v>0</v>
      </c>
      <c r="S1164" s="4">
        <v>44</v>
      </c>
      <c r="T1164" s="4">
        <v>0</v>
      </c>
      <c r="U1164" s="4">
        <v>0</v>
      </c>
      <c r="V1164" s="56">
        <f>IF(ISERROR(VLOOKUP($S$1164,'TAR FIN'!$A$1:$O$113,15,0)),0,VLOOKUP($S$1164,'TAR FIN'!$A$1:$O$113,15,0))*(1-0.06)</f>
        <v>22.851399999999998</v>
      </c>
      <c r="W1164" s="56">
        <f>IF(ISERROR(VLOOKUP($T$1164,'TAR FIN'!$A$1:$O$113,15,0)),0,VLOOKUP($T$1164,'TAR FIN'!$A$1:$O$113,15,0))</f>
        <v>0</v>
      </c>
      <c r="X1164" s="56">
        <f>IF(ISERROR(VLOOKUP($U$1164,'TAR FIN'!$A$1:$O$113,15,0)),0,VLOOKUP($U$1164,'TAR FIN'!$A$1:$O$113,15,0))</f>
        <v>0</v>
      </c>
      <c r="Y1164" s="56">
        <f ca="1">('TUSD BE'!$AM$30+'TUSD BF'!$AM$30+'TUSD CVA'!$AM$30)*1*(1-0.03)</f>
        <v>25.800132407241311</v>
      </c>
      <c r="Z1164" s="56"/>
      <c r="AA1164" s="56"/>
      <c r="AB1164" s="4">
        <f>$K$1164*$V$1164</f>
        <v>325678.15279999998</v>
      </c>
      <c r="AC1164" s="4">
        <f>$M$1164*$W$1164</f>
        <v>0</v>
      </c>
      <c r="AD1164" s="4">
        <f>$O$1164*$X$1164</f>
        <v>0</v>
      </c>
      <c r="AE1164" s="4">
        <f ca="1">$K$1164*$Y$1164</f>
        <v>367703.48706800316</v>
      </c>
      <c r="AF1164" s="4">
        <f>$M$1164*$Z$1164</f>
        <v>0</v>
      </c>
      <c r="AG1164" s="4">
        <f>$O$1164*$AA$1164</f>
        <v>0</v>
      </c>
    </row>
    <row r="1165" spans="1:33" ht="11.25" customHeight="1" x14ac:dyDescent="0.25">
      <c r="A1165" s="3" t="s">
        <v>21</v>
      </c>
      <c r="B1165" s="3" t="s">
        <v>41</v>
      </c>
      <c r="C1165" s="3" t="s">
        <v>42</v>
      </c>
      <c r="D1165" s="3" t="s">
        <v>50</v>
      </c>
      <c r="E1165" s="3" t="s">
        <v>51</v>
      </c>
      <c r="F1165" s="3" t="s">
        <v>25</v>
      </c>
      <c r="G1165" s="3" t="s">
        <v>25</v>
      </c>
      <c r="H1165" s="3" t="s">
        <v>25</v>
      </c>
      <c r="I1165" s="6">
        <v>44348</v>
      </c>
      <c r="J1165" s="4">
        <v>9983</v>
      </c>
      <c r="K1165" s="57">
        <v>9983</v>
      </c>
      <c r="L1165" s="4">
        <v>0</v>
      </c>
      <c r="M1165" s="56">
        <v>0</v>
      </c>
      <c r="N1165" s="4">
        <v>0</v>
      </c>
      <c r="O1165" s="56">
        <v>0</v>
      </c>
      <c r="P1165" s="4">
        <v>53</v>
      </c>
      <c r="Q1165" s="3" t="s">
        <v>26</v>
      </c>
      <c r="R1165" s="3">
        <v>0</v>
      </c>
      <c r="S1165" s="4">
        <v>44</v>
      </c>
      <c r="T1165" s="4">
        <v>0</v>
      </c>
      <c r="U1165" s="4">
        <v>0</v>
      </c>
      <c r="V1165" s="56">
        <f>IF(ISERROR(VLOOKUP($S$1165,'TAR FIN'!$A$1:$O$113,15,0)),0,VLOOKUP($S$1165,'TAR FIN'!$A$1:$O$113,15,0))*(1-0.06)</f>
        <v>22.851399999999998</v>
      </c>
      <c r="W1165" s="56">
        <f>IF(ISERROR(VLOOKUP($T$1165,'TAR FIN'!$A$1:$O$113,15,0)),0,VLOOKUP($T$1165,'TAR FIN'!$A$1:$O$113,15,0))</f>
        <v>0</v>
      </c>
      <c r="X1165" s="56">
        <f>IF(ISERROR(VLOOKUP($U$1165,'TAR FIN'!$A$1:$O$113,15,0)),0,VLOOKUP($U$1165,'TAR FIN'!$A$1:$O$113,15,0))</f>
        <v>0</v>
      </c>
      <c r="Y1165" s="56">
        <f ca="1">('TUSD BE'!$AM$30+'TUSD BF'!$AM$30+'TUSD CVA'!$AM$30)*1*(1-0.03)</f>
        <v>25.800132407241311</v>
      </c>
      <c r="Z1165" s="56"/>
      <c r="AA1165" s="56"/>
      <c r="AB1165" s="4">
        <f>$K$1165*$V$1165</f>
        <v>228125.52619999999</v>
      </c>
      <c r="AC1165" s="4">
        <f>$M$1165*$W$1165</f>
        <v>0</v>
      </c>
      <c r="AD1165" s="4">
        <f>$O$1165*$X$1165</f>
        <v>0</v>
      </c>
      <c r="AE1165" s="4">
        <f ca="1">$K$1165*$Y$1165</f>
        <v>257562.72182149001</v>
      </c>
      <c r="AF1165" s="4">
        <f>$M$1165*$Z$1165</f>
        <v>0</v>
      </c>
      <c r="AG1165" s="4">
        <f>$O$1165*$AA$1165</f>
        <v>0</v>
      </c>
    </row>
    <row r="1166" spans="1:33" ht="11.25" customHeight="1" x14ac:dyDescent="0.25">
      <c r="A1166" s="3" t="s">
        <v>21</v>
      </c>
      <c r="B1166" s="3" t="s">
        <v>41</v>
      </c>
      <c r="C1166" s="3" t="s">
        <v>42</v>
      </c>
      <c r="D1166" s="3" t="s">
        <v>50</v>
      </c>
      <c r="E1166" s="3" t="s">
        <v>51</v>
      </c>
      <c r="F1166" s="3" t="s">
        <v>25</v>
      </c>
      <c r="G1166" s="3" t="s">
        <v>25</v>
      </c>
      <c r="H1166" s="3" t="s">
        <v>25</v>
      </c>
      <c r="I1166" s="6">
        <v>44378</v>
      </c>
      <c r="J1166" s="4">
        <v>9891</v>
      </c>
      <c r="K1166" s="57">
        <v>9891</v>
      </c>
      <c r="L1166" s="4">
        <v>0</v>
      </c>
      <c r="M1166" s="56">
        <v>0</v>
      </c>
      <c r="N1166" s="4">
        <v>0</v>
      </c>
      <c r="O1166" s="56">
        <v>0</v>
      </c>
      <c r="P1166" s="4">
        <v>51</v>
      </c>
      <c r="Q1166" s="3" t="s">
        <v>26</v>
      </c>
      <c r="R1166" s="3">
        <v>0</v>
      </c>
      <c r="S1166" s="4">
        <v>44</v>
      </c>
      <c r="T1166" s="4">
        <v>0</v>
      </c>
      <c r="U1166" s="4">
        <v>0</v>
      </c>
      <c r="V1166" s="56">
        <f>IF(ISERROR(VLOOKUP($S$1166,'TAR FIN'!$A$1:$O$113,15,0)),0,VLOOKUP($S$1166,'TAR FIN'!$A$1:$O$113,15,0))*(1-0.06)</f>
        <v>22.851399999999998</v>
      </c>
      <c r="W1166" s="56">
        <f>IF(ISERROR(VLOOKUP($T$1166,'TAR FIN'!$A$1:$O$113,15,0)),0,VLOOKUP($T$1166,'TAR FIN'!$A$1:$O$113,15,0))</f>
        <v>0</v>
      </c>
      <c r="X1166" s="56">
        <f>IF(ISERROR(VLOOKUP($U$1166,'TAR FIN'!$A$1:$O$113,15,0)),0,VLOOKUP($U$1166,'TAR FIN'!$A$1:$O$113,15,0))</f>
        <v>0</v>
      </c>
      <c r="Y1166" s="56">
        <f ca="1">('TUSD BE'!$AM$30+'TUSD BF'!$AM$30+'TUSD CVA'!$AM$30)*1*(1-0.03)</f>
        <v>25.800132407241311</v>
      </c>
      <c r="Z1166" s="56"/>
      <c r="AA1166" s="56"/>
      <c r="AB1166" s="4">
        <f>$K$1166*$V$1166</f>
        <v>226023.19739999998</v>
      </c>
      <c r="AC1166" s="4">
        <f>$M$1166*$W$1166</f>
        <v>0</v>
      </c>
      <c r="AD1166" s="4">
        <f>$O$1166*$X$1166</f>
        <v>0</v>
      </c>
      <c r="AE1166" s="4">
        <f ca="1">$K$1166*$Y$1166</f>
        <v>255189.10964002382</v>
      </c>
      <c r="AF1166" s="4">
        <f>$M$1166*$Z$1166</f>
        <v>0</v>
      </c>
      <c r="AG1166" s="4">
        <f>$O$1166*$AA$1166</f>
        <v>0</v>
      </c>
    </row>
    <row r="1167" spans="1:33" ht="11.25" customHeight="1" x14ac:dyDescent="0.25">
      <c r="A1167" s="3" t="s">
        <v>21</v>
      </c>
      <c r="B1167" s="3" t="s">
        <v>41</v>
      </c>
      <c r="C1167" s="3" t="s">
        <v>42</v>
      </c>
      <c r="D1167" s="3" t="s">
        <v>50</v>
      </c>
      <c r="E1167" s="3" t="s">
        <v>51</v>
      </c>
      <c r="F1167" s="3" t="s">
        <v>25</v>
      </c>
      <c r="G1167" s="3" t="s">
        <v>25</v>
      </c>
      <c r="H1167" s="3" t="s">
        <v>25</v>
      </c>
      <c r="I1167" s="6">
        <v>44409</v>
      </c>
      <c r="J1167" s="4">
        <v>8790</v>
      </c>
      <c r="K1167" s="57">
        <v>8790</v>
      </c>
      <c r="L1167" s="4">
        <v>0</v>
      </c>
      <c r="M1167" s="56">
        <v>0</v>
      </c>
      <c r="N1167" s="4">
        <v>0</v>
      </c>
      <c r="O1167" s="56">
        <v>0</v>
      </c>
      <c r="P1167" s="4">
        <v>50</v>
      </c>
      <c r="Q1167" s="3" t="s">
        <v>26</v>
      </c>
      <c r="R1167" s="3">
        <v>0</v>
      </c>
      <c r="S1167" s="4">
        <v>44</v>
      </c>
      <c r="T1167" s="4">
        <v>0</v>
      </c>
      <c r="U1167" s="4">
        <v>0</v>
      </c>
      <c r="V1167" s="56">
        <f>IF(ISERROR(VLOOKUP($S$1167,'TAR FIN'!$A$1:$O$113,15,0)),0,VLOOKUP($S$1167,'TAR FIN'!$A$1:$O$113,15,0))*(1-0.06)</f>
        <v>22.851399999999998</v>
      </c>
      <c r="W1167" s="56">
        <f>IF(ISERROR(VLOOKUP($T$1167,'TAR FIN'!$A$1:$O$113,15,0)),0,VLOOKUP($T$1167,'TAR FIN'!$A$1:$O$113,15,0))</f>
        <v>0</v>
      </c>
      <c r="X1167" s="56">
        <f>IF(ISERROR(VLOOKUP($U$1167,'TAR FIN'!$A$1:$O$113,15,0)),0,VLOOKUP($U$1167,'TAR FIN'!$A$1:$O$113,15,0))</f>
        <v>0</v>
      </c>
      <c r="Y1167" s="56">
        <f ca="1">('TUSD BE'!$AM$30+'TUSD BF'!$AM$30+'TUSD CVA'!$AM$30)*1*(1-0.03)</f>
        <v>25.800132407241311</v>
      </c>
      <c r="Z1167" s="56"/>
      <c r="AA1167" s="56"/>
      <c r="AB1167" s="4">
        <f>$K$1167*$V$1167</f>
        <v>200863.80599999998</v>
      </c>
      <c r="AC1167" s="4">
        <f>$M$1167*$W$1167</f>
        <v>0</v>
      </c>
      <c r="AD1167" s="4">
        <f>$O$1167*$X$1167</f>
        <v>0</v>
      </c>
      <c r="AE1167" s="4">
        <f ca="1">$K$1167*$Y$1167</f>
        <v>226783.16385965113</v>
      </c>
      <c r="AF1167" s="4">
        <f>$M$1167*$Z$1167</f>
        <v>0</v>
      </c>
      <c r="AG1167" s="4">
        <f>$O$1167*$AA$1167</f>
        <v>0</v>
      </c>
    </row>
    <row r="1168" spans="1:33" ht="11.25" customHeight="1" x14ac:dyDescent="0.25">
      <c r="A1168" s="3" t="s">
        <v>21</v>
      </c>
      <c r="B1168" s="3" t="s">
        <v>41</v>
      </c>
      <c r="C1168" s="3" t="s">
        <v>42</v>
      </c>
      <c r="D1168" s="3" t="s">
        <v>50</v>
      </c>
      <c r="E1168" s="3" t="s">
        <v>51</v>
      </c>
      <c r="F1168" s="3" t="s">
        <v>25</v>
      </c>
      <c r="G1168" s="3" t="s">
        <v>25</v>
      </c>
      <c r="H1168" s="3" t="s">
        <v>25</v>
      </c>
      <c r="I1168" s="6">
        <v>44440</v>
      </c>
      <c r="J1168" s="4">
        <v>8837</v>
      </c>
      <c r="K1168" s="57">
        <v>8837</v>
      </c>
      <c r="L1168" s="4">
        <v>0</v>
      </c>
      <c r="M1168" s="56">
        <v>0</v>
      </c>
      <c r="N1168" s="4">
        <v>0</v>
      </c>
      <c r="O1168" s="56">
        <v>0</v>
      </c>
      <c r="P1168" s="4">
        <v>50</v>
      </c>
      <c r="Q1168" s="3" t="s">
        <v>26</v>
      </c>
      <c r="R1168" s="3">
        <v>0</v>
      </c>
      <c r="S1168" s="4">
        <v>44</v>
      </c>
      <c r="T1168" s="4">
        <v>0</v>
      </c>
      <c r="U1168" s="4">
        <v>0</v>
      </c>
      <c r="V1168" s="56">
        <f>IF(ISERROR(VLOOKUP($S$1168,'TAR FIN'!$A$1:$O$113,15,0)),0,VLOOKUP($S$1168,'TAR FIN'!$A$1:$O$113,15,0))*(1-0.06)</f>
        <v>22.851399999999998</v>
      </c>
      <c r="W1168" s="56">
        <f>IF(ISERROR(VLOOKUP($T$1168,'TAR FIN'!$A$1:$O$113,15,0)),0,VLOOKUP($T$1168,'TAR FIN'!$A$1:$O$113,15,0))</f>
        <v>0</v>
      </c>
      <c r="X1168" s="56">
        <f>IF(ISERROR(VLOOKUP($U$1168,'TAR FIN'!$A$1:$O$113,15,0)),0,VLOOKUP($U$1168,'TAR FIN'!$A$1:$O$113,15,0))</f>
        <v>0</v>
      </c>
      <c r="Y1168" s="56">
        <f ca="1">('TUSD BE'!$AM$30+'TUSD BF'!$AM$30+'TUSD CVA'!$AM$30)*1*(1-0.03)</f>
        <v>25.800132407241311</v>
      </c>
      <c r="Z1168" s="56"/>
      <c r="AA1168" s="56"/>
      <c r="AB1168" s="4">
        <f>$K$1168*$V$1168</f>
        <v>201937.82179999998</v>
      </c>
      <c r="AC1168" s="4">
        <f>$M$1168*$W$1168</f>
        <v>0</v>
      </c>
      <c r="AD1168" s="4">
        <f>$O$1168*$X$1168</f>
        <v>0</v>
      </c>
      <c r="AE1168" s="4">
        <f ca="1">$K$1168*$Y$1168</f>
        <v>227995.77008279145</v>
      </c>
      <c r="AF1168" s="4">
        <f>$M$1168*$Z$1168</f>
        <v>0</v>
      </c>
      <c r="AG1168" s="4">
        <f>$O$1168*$AA$1168</f>
        <v>0</v>
      </c>
    </row>
    <row r="1169" spans="1:33" ht="11.25" customHeight="1" x14ac:dyDescent="0.25">
      <c r="A1169" s="3" t="s">
        <v>21</v>
      </c>
      <c r="B1169" s="3" t="s">
        <v>41</v>
      </c>
      <c r="C1169" s="3" t="s">
        <v>42</v>
      </c>
      <c r="D1169" s="3" t="s">
        <v>50</v>
      </c>
      <c r="E1169" s="3" t="s">
        <v>51</v>
      </c>
      <c r="F1169" s="3" t="s">
        <v>25</v>
      </c>
      <c r="G1169" s="3" t="s">
        <v>25</v>
      </c>
      <c r="H1169" s="3" t="s">
        <v>25</v>
      </c>
      <c r="I1169" s="6">
        <v>44470</v>
      </c>
      <c r="J1169" s="4">
        <v>8702</v>
      </c>
      <c r="K1169" s="57">
        <v>8702</v>
      </c>
      <c r="L1169" s="4">
        <v>0</v>
      </c>
      <c r="M1169" s="56">
        <v>0</v>
      </c>
      <c r="N1169" s="4">
        <v>0</v>
      </c>
      <c r="O1169" s="56">
        <v>0</v>
      </c>
      <c r="P1169" s="4">
        <v>50</v>
      </c>
      <c r="Q1169" s="3" t="s">
        <v>26</v>
      </c>
      <c r="R1169" s="3">
        <v>0</v>
      </c>
      <c r="S1169" s="4">
        <v>44</v>
      </c>
      <c r="T1169" s="4">
        <v>0</v>
      </c>
      <c r="U1169" s="4">
        <v>0</v>
      </c>
      <c r="V1169" s="56">
        <f>IF(ISERROR(VLOOKUP($S$1169,'TAR FIN'!$A$1:$O$113,15,0)),0,VLOOKUP($S$1169,'TAR FIN'!$A$1:$O$113,15,0))*(1-0.06)</f>
        <v>22.851399999999998</v>
      </c>
      <c r="W1169" s="56">
        <f>IF(ISERROR(VLOOKUP($T$1169,'TAR FIN'!$A$1:$O$113,15,0)),0,VLOOKUP($T$1169,'TAR FIN'!$A$1:$O$113,15,0))</f>
        <v>0</v>
      </c>
      <c r="X1169" s="56">
        <f>IF(ISERROR(VLOOKUP($U$1169,'TAR FIN'!$A$1:$O$113,15,0)),0,VLOOKUP($U$1169,'TAR FIN'!$A$1:$O$113,15,0))</f>
        <v>0</v>
      </c>
      <c r="Y1169" s="56">
        <f ca="1">('TUSD BE'!$AM$30+'TUSD BF'!$AM$30+'TUSD CVA'!$AM$30)*1*(1-0.03)</f>
        <v>25.800132407241311</v>
      </c>
      <c r="Z1169" s="56"/>
      <c r="AA1169" s="56"/>
      <c r="AB1169" s="4">
        <f>$K$1169*$V$1169</f>
        <v>198852.88279999999</v>
      </c>
      <c r="AC1169" s="4">
        <f>$M$1169*$W$1169</f>
        <v>0</v>
      </c>
      <c r="AD1169" s="4">
        <f>$O$1169*$X$1169</f>
        <v>0</v>
      </c>
      <c r="AE1169" s="4">
        <f ca="1">$K$1169*$Y$1169</f>
        <v>224512.75220781387</v>
      </c>
      <c r="AF1169" s="4">
        <f>$M$1169*$Z$1169</f>
        <v>0</v>
      </c>
      <c r="AG1169" s="4">
        <f>$O$1169*$AA$1169</f>
        <v>0</v>
      </c>
    </row>
    <row r="1170" spans="1:33" ht="11.25" customHeight="1" x14ac:dyDescent="0.25">
      <c r="A1170" s="3" t="s">
        <v>21</v>
      </c>
      <c r="B1170" s="3" t="s">
        <v>41</v>
      </c>
      <c r="C1170" s="3" t="s">
        <v>42</v>
      </c>
      <c r="D1170" s="3" t="s">
        <v>50</v>
      </c>
      <c r="E1170" s="3" t="s">
        <v>51</v>
      </c>
      <c r="F1170" s="3" t="s">
        <v>25</v>
      </c>
      <c r="G1170" s="3" t="s">
        <v>25</v>
      </c>
      <c r="H1170" s="3" t="s">
        <v>25</v>
      </c>
      <c r="I1170" s="6">
        <v>44501</v>
      </c>
      <c r="J1170" s="4">
        <v>8809</v>
      </c>
      <c r="K1170" s="57">
        <v>8809</v>
      </c>
      <c r="L1170" s="4">
        <v>0</v>
      </c>
      <c r="M1170" s="56">
        <v>0</v>
      </c>
      <c r="N1170" s="4">
        <v>0</v>
      </c>
      <c r="O1170" s="56">
        <v>0</v>
      </c>
      <c r="P1170" s="4">
        <v>51</v>
      </c>
      <c r="Q1170" s="3" t="s">
        <v>26</v>
      </c>
      <c r="R1170" s="3">
        <v>0</v>
      </c>
      <c r="S1170" s="4">
        <v>44</v>
      </c>
      <c r="T1170" s="4">
        <v>0</v>
      </c>
      <c r="U1170" s="4">
        <v>0</v>
      </c>
      <c r="V1170" s="56">
        <f>IF(ISERROR(VLOOKUP($S$1170,'TAR FIN'!$A$1:$O$113,15,0)),0,VLOOKUP($S$1170,'TAR FIN'!$A$1:$O$113,15,0))*(1-0.06)</f>
        <v>22.851399999999998</v>
      </c>
      <c r="W1170" s="56">
        <f>IF(ISERROR(VLOOKUP($T$1170,'TAR FIN'!$A$1:$O$113,15,0)),0,VLOOKUP($T$1170,'TAR FIN'!$A$1:$O$113,15,0))</f>
        <v>0</v>
      </c>
      <c r="X1170" s="56">
        <f>IF(ISERROR(VLOOKUP($U$1170,'TAR FIN'!$A$1:$O$113,15,0)),0,VLOOKUP($U$1170,'TAR FIN'!$A$1:$O$113,15,0))</f>
        <v>0</v>
      </c>
      <c r="Y1170" s="56">
        <f ca="1">('TUSD BE'!$AM$30+'TUSD BF'!$AM$30+'TUSD CVA'!$AM$30)*1*(1-0.03)</f>
        <v>25.800132407241311</v>
      </c>
      <c r="Z1170" s="56"/>
      <c r="AA1170" s="56"/>
      <c r="AB1170" s="4">
        <f>$K$1170*$V$1170</f>
        <v>201297.98259999999</v>
      </c>
      <c r="AC1170" s="4">
        <f>$M$1170*$W$1170</f>
        <v>0</v>
      </c>
      <c r="AD1170" s="4">
        <f>$O$1170*$X$1170</f>
        <v>0</v>
      </c>
      <c r="AE1170" s="4">
        <f ca="1">$K$1170*$Y$1170</f>
        <v>227273.36637538869</v>
      </c>
      <c r="AF1170" s="4">
        <f>$M$1170*$Z$1170</f>
        <v>0</v>
      </c>
      <c r="AG1170" s="4">
        <f>$O$1170*$AA$1170</f>
        <v>0</v>
      </c>
    </row>
    <row r="1171" spans="1:33" ht="11.25" customHeight="1" x14ac:dyDescent="0.25">
      <c r="A1171" s="3" t="s">
        <v>21</v>
      </c>
      <c r="B1171" s="3" t="s">
        <v>41</v>
      </c>
      <c r="C1171" s="3" t="s">
        <v>42</v>
      </c>
      <c r="D1171" s="3" t="s">
        <v>50</v>
      </c>
      <c r="E1171" s="3" t="s">
        <v>51</v>
      </c>
      <c r="F1171" s="3" t="s">
        <v>25</v>
      </c>
      <c r="G1171" s="3" t="s">
        <v>25</v>
      </c>
      <c r="H1171" s="3" t="s">
        <v>25</v>
      </c>
      <c r="I1171" s="6">
        <v>44531</v>
      </c>
      <c r="J1171" s="4">
        <v>8757</v>
      </c>
      <c r="K1171" s="57">
        <v>8757</v>
      </c>
      <c r="L1171" s="4">
        <v>0</v>
      </c>
      <c r="M1171" s="56">
        <v>0</v>
      </c>
      <c r="N1171" s="4">
        <v>0</v>
      </c>
      <c r="O1171" s="56">
        <v>0</v>
      </c>
      <c r="P1171" s="4">
        <v>49</v>
      </c>
      <c r="Q1171" s="3" t="s">
        <v>26</v>
      </c>
      <c r="R1171" s="3">
        <v>0</v>
      </c>
      <c r="S1171" s="4">
        <v>44</v>
      </c>
      <c r="T1171" s="4">
        <v>0</v>
      </c>
      <c r="U1171" s="4">
        <v>0</v>
      </c>
      <c r="V1171" s="56">
        <f>IF(ISERROR(VLOOKUP($S$1171,'TAR FIN'!$A$1:$O$113,15,0)),0,VLOOKUP($S$1171,'TAR FIN'!$A$1:$O$113,15,0))*(1-0.06)</f>
        <v>22.851399999999998</v>
      </c>
      <c r="W1171" s="56">
        <f>IF(ISERROR(VLOOKUP($T$1171,'TAR FIN'!$A$1:$O$113,15,0)),0,VLOOKUP($T$1171,'TAR FIN'!$A$1:$O$113,15,0))</f>
        <v>0</v>
      </c>
      <c r="X1171" s="56">
        <f>IF(ISERROR(VLOOKUP($U$1171,'TAR FIN'!$A$1:$O$113,15,0)),0,VLOOKUP($U$1171,'TAR FIN'!$A$1:$O$113,15,0))</f>
        <v>0</v>
      </c>
      <c r="Y1171" s="56">
        <f ca="1">('TUSD BE'!$AM$30+'TUSD BF'!$AM$30+'TUSD CVA'!$AM$30)*1*(1-0.03)</f>
        <v>25.800132407241311</v>
      </c>
      <c r="Z1171" s="56"/>
      <c r="AA1171" s="56"/>
      <c r="AB1171" s="4">
        <f>$K$1171*$V$1171</f>
        <v>200109.70979999998</v>
      </c>
      <c r="AC1171" s="4">
        <f>$M$1171*$W$1171</f>
        <v>0</v>
      </c>
      <c r="AD1171" s="4">
        <f>$O$1171*$X$1171</f>
        <v>0</v>
      </c>
      <c r="AE1171" s="4">
        <f ca="1">$K$1171*$Y$1171</f>
        <v>225931.75949021216</v>
      </c>
      <c r="AF1171" s="4">
        <f>$M$1171*$Z$1171</f>
        <v>0</v>
      </c>
      <c r="AG1171" s="4">
        <f>$O$1171*$AA$1171</f>
        <v>0</v>
      </c>
    </row>
    <row r="1172" spans="1:33" ht="11.25" customHeight="1" x14ac:dyDescent="0.25">
      <c r="A1172" s="3" t="s">
        <v>21</v>
      </c>
      <c r="B1172" s="3" t="s">
        <v>41</v>
      </c>
      <c r="C1172" s="3" t="s">
        <v>42</v>
      </c>
      <c r="D1172" s="3" t="s">
        <v>50</v>
      </c>
      <c r="E1172" s="3" t="s">
        <v>51</v>
      </c>
      <c r="F1172" s="3" t="s">
        <v>25</v>
      </c>
      <c r="G1172" s="3" t="s">
        <v>25</v>
      </c>
      <c r="H1172" s="3" t="s">
        <v>25</v>
      </c>
      <c r="I1172" s="6">
        <v>44562</v>
      </c>
      <c r="J1172" s="4">
        <v>8848</v>
      </c>
      <c r="K1172" s="57">
        <v>8848</v>
      </c>
      <c r="L1172" s="4">
        <v>0</v>
      </c>
      <c r="M1172" s="56">
        <v>0</v>
      </c>
      <c r="N1172" s="4">
        <v>0</v>
      </c>
      <c r="O1172" s="56">
        <v>0</v>
      </c>
      <c r="P1172" s="4">
        <v>50</v>
      </c>
      <c r="Q1172" s="3" t="s">
        <v>26</v>
      </c>
      <c r="R1172" s="3">
        <v>0</v>
      </c>
      <c r="S1172" s="4">
        <v>44</v>
      </c>
      <c r="T1172" s="4">
        <v>0</v>
      </c>
      <c r="U1172" s="4">
        <v>0</v>
      </c>
      <c r="V1172" s="56">
        <f>IF(ISERROR(VLOOKUP($S$1172,'TAR FIN'!$A$1:$O$113,15,0)),0,VLOOKUP($S$1172,'TAR FIN'!$A$1:$O$113,15,0))*(1-0.06)</f>
        <v>22.851399999999998</v>
      </c>
      <c r="W1172" s="56">
        <f>IF(ISERROR(VLOOKUP($T$1172,'TAR FIN'!$A$1:$O$113,15,0)),0,VLOOKUP($T$1172,'TAR FIN'!$A$1:$O$113,15,0))</f>
        <v>0</v>
      </c>
      <c r="X1172" s="56">
        <f>IF(ISERROR(VLOOKUP($U$1172,'TAR FIN'!$A$1:$O$113,15,0)),0,VLOOKUP($U$1172,'TAR FIN'!$A$1:$O$113,15,0))</f>
        <v>0</v>
      </c>
      <c r="Y1172" s="56">
        <f ca="1">('TUSD BE'!$AM$30+'TUSD BF'!$AM$30+'TUSD CVA'!$AM$30)*1*(1-0.03)</f>
        <v>25.800132407241311</v>
      </c>
      <c r="Z1172" s="56"/>
      <c r="AA1172" s="56"/>
      <c r="AB1172" s="4">
        <f>$K$1172*$V$1172</f>
        <v>202189.18719999999</v>
      </c>
      <c r="AC1172" s="4">
        <f>$M$1172*$W$1172</f>
        <v>0</v>
      </c>
      <c r="AD1172" s="4">
        <f>$O$1172*$X$1172</f>
        <v>0</v>
      </c>
      <c r="AE1172" s="4">
        <f ca="1">$K$1172*$Y$1172</f>
        <v>228279.57153927113</v>
      </c>
      <c r="AF1172" s="4">
        <f>$M$1172*$Z$1172</f>
        <v>0</v>
      </c>
      <c r="AG1172" s="4">
        <f>$O$1172*$AA$1172</f>
        <v>0</v>
      </c>
    </row>
    <row r="1173" spans="1:33" ht="11.25" customHeight="1" x14ac:dyDescent="0.25">
      <c r="A1173" s="3" t="s">
        <v>21</v>
      </c>
      <c r="B1173" s="3" t="s">
        <v>41</v>
      </c>
      <c r="C1173" s="3" t="s">
        <v>42</v>
      </c>
      <c r="D1173" s="3" t="s">
        <v>50</v>
      </c>
      <c r="E1173" s="3" t="s">
        <v>51</v>
      </c>
      <c r="F1173" s="3" t="s">
        <v>25</v>
      </c>
      <c r="G1173" s="3" t="s">
        <v>25</v>
      </c>
      <c r="H1173" s="3" t="s">
        <v>25</v>
      </c>
      <c r="I1173" s="6">
        <v>44593</v>
      </c>
      <c r="J1173" s="4">
        <v>8890</v>
      </c>
      <c r="K1173" s="57">
        <v>8890</v>
      </c>
      <c r="L1173" s="4">
        <v>0</v>
      </c>
      <c r="M1173" s="56">
        <v>0</v>
      </c>
      <c r="N1173" s="4">
        <v>0</v>
      </c>
      <c r="O1173" s="56">
        <v>0</v>
      </c>
      <c r="P1173" s="4">
        <v>51</v>
      </c>
      <c r="Q1173" s="3" t="s">
        <v>26</v>
      </c>
      <c r="R1173" s="3">
        <v>0</v>
      </c>
      <c r="S1173" s="4">
        <v>44</v>
      </c>
      <c r="T1173" s="4">
        <v>0</v>
      </c>
      <c r="U1173" s="4">
        <v>0</v>
      </c>
      <c r="V1173" s="56">
        <f>IF(ISERROR(VLOOKUP($S$1173,'TAR FIN'!$A$1:$O$113,15,0)),0,VLOOKUP($S$1173,'TAR FIN'!$A$1:$O$113,15,0))*(1-0.06)</f>
        <v>22.851399999999998</v>
      </c>
      <c r="W1173" s="56">
        <f>IF(ISERROR(VLOOKUP($T$1173,'TAR FIN'!$A$1:$O$113,15,0)),0,VLOOKUP($T$1173,'TAR FIN'!$A$1:$O$113,15,0))</f>
        <v>0</v>
      </c>
      <c r="X1173" s="56">
        <f>IF(ISERROR(VLOOKUP($U$1173,'TAR FIN'!$A$1:$O$113,15,0)),0,VLOOKUP($U$1173,'TAR FIN'!$A$1:$O$113,15,0))</f>
        <v>0</v>
      </c>
      <c r="Y1173" s="56">
        <f ca="1">('TUSD BE'!$AM$30+'TUSD BF'!$AM$30+'TUSD CVA'!$AM$30)*1*(1-0.03)</f>
        <v>25.800132407241311</v>
      </c>
      <c r="Z1173" s="56"/>
      <c r="AA1173" s="56"/>
      <c r="AB1173" s="4">
        <f>$K$1173*$V$1173</f>
        <v>203148.946</v>
      </c>
      <c r="AC1173" s="4">
        <f>$M$1173*$W$1173</f>
        <v>0</v>
      </c>
      <c r="AD1173" s="4">
        <f>$O$1173*$X$1173</f>
        <v>0</v>
      </c>
      <c r="AE1173" s="4">
        <f ca="1">$K$1173*$Y$1173</f>
        <v>229363.17710037524</v>
      </c>
      <c r="AF1173" s="4">
        <f>$M$1173*$Z$1173</f>
        <v>0</v>
      </c>
      <c r="AG1173" s="4">
        <f>$O$1173*$AA$1173</f>
        <v>0</v>
      </c>
    </row>
    <row r="1174" spans="1:33" ht="11.25" customHeight="1" x14ac:dyDescent="0.25">
      <c r="A1174" s="3" t="s">
        <v>27</v>
      </c>
      <c r="B1174" s="3" t="s">
        <v>41</v>
      </c>
      <c r="C1174" s="3" t="s">
        <v>42</v>
      </c>
      <c r="D1174" s="3" t="s">
        <v>50</v>
      </c>
      <c r="E1174" s="3" t="s">
        <v>51</v>
      </c>
      <c r="F1174" s="3" t="s">
        <v>25</v>
      </c>
      <c r="G1174" s="3" t="s">
        <v>25</v>
      </c>
      <c r="H1174" s="3" t="s">
        <v>25</v>
      </c>
      <c r="I1174" s="6">
        <v>44593</v>
      </c>
      <c r="J1174" s="4">
        <v>30</v>
      </c>
      <c r="K1174" s="57">
        <v>30</v>
      </c>
      <c r="L1174" s="4">
        <v>0</v>
      </c>
      <c r="M1174" s="56">
        <v>0</v>
      </c>
      <c r="N1174" s="4">
        <v>0</v>
      </c>
      <c r="O1174" s="56">
        <v>0</v>
      </c>
      <c r="P1174" s="4">
        <v>0</v>
      </c>
      <c r="Q1174" s="3" t="s">
        <v>26</v>
      </c>
      <c r="R1174" s="3">
        <v>0</v>
      </c>
      <c r="S1174" s="4">
        <v>44</v>
      </c>
      <c r="T1174" s="4">
        <v>0</v>
      </c>
      <c r="U1174" s="4">
        <v>0</v>
      </c>
      <c r="V1174" s="56">
        <f>IF(ISERROR(VLOOKUP($S$1174,'TAR FIN'!$A$1:$O$113,15,0)),0,VLOOKUP($S$1174,'TAR FIN'!$A$1:$O$113,15,0))*(1-0.06)</f>
        <v>22.851399999999998</v>
      </c>
      <c r="W1174" s="56">
        <f>IF(ISERROR(VLOOKUP($T$1174,'TAR FIN'!$A$1:$O$113,15,0)),0,VLOOKUP($T$1174,'TAR FIN'!$A$1:$O$113,15,0))</f>
        <v>0</v>
      </c>
      <c r="X1174" s="56">
        <f>IF(ISERROR(VLOOKUP($U$1174,'TAR FIN'!$A$1:$O$113,15,0)),0,VLOOKUP($U$1174,'TAR FIN'!$A$1:$O$113,15,0))</f>
        <v>0</v>
      </c>
      <c r="Y1174" s="56">
        <f ca="1">('TUSD BE'!$AM$30+'TUSD BF'!$AM$30+'TUSD CVA'!$AM$30)*1*(1-0.03)</f>
        <v>25.800132407241311</v>
      </c>
      <c r="Z1174" s="56"/>
      <c r="AA1174" s="56"/>
      <c r="AB1174" s="4">
        <f>$K$1174*$V$1174</f>
        <v>685.54199999999992</v>
      </c>
      <c r="AC1174" s="4">
        <f>$M$1174*$W$1174</f>
        <v>0</v>
      </c>
      <c r="AD1174" s="4">
        <f>$O$1174*$X$1174</f>
        <v>0</v>
      </c>
      <c r="AE1174" s="4">
        <f ca="1">$K$1174*$Y$1174</f>
        <v>774.00397221723927</v>
      </c>
      <c r="AF1174" s="4">
        <f>$M$1174*$Z$1174</f>
        <v>0</v>
      </c>
      <c r="AG1174" s="4">
        <f>$O$1174*$AA$1174</f>
        <v>0</v>
      </c>
    </row>
    <row r="1175" spans="1:33" ht="11.25" customHeight="1" x14ac:dyDescent="0.25">
      <c r="A1175" s="3" t="s">
        <v>56</v>
      </c>
      <c r="B1175" s="3" t="s">
        <v>41</v>
      </c>
      <c r="C1175" s="3" t="s">
        <v>42</v>
      </c>
      <c r="D1175" s="3" t="s">
        <v>50</v>
      </c>
      <c r="E1175" s="3" t="s">
        <v>51</v>
      </c>
      <c r="F1175" s="3" t="s">
        <v>25</v>
      </c>
      <c r="G1175" s="3" t="s">
        <v>25</v>
      </c>
      <c r="H1175" s="3" t="s">
        <v>25</v>
      </c>
      <c r="I1175" s="6">
        <v>44621</v>
      </c>
      <c r="J1175" s="4">
        <v>8890</v>
      </c>
      <c r="K1175" s="57">
        <v>8890</v>
      </c>
      <c r="L1175" s="4">
        <v>0</v>
      </c>
      <c r="M1175" s="56">
        <v>0</v>
      </c>
      <c r="N1175" s="4">
        <v>0</v>
      </c>
      <c r="O1175" s="56">
        <v>0</v>
      </c>
      <c r="P1175" s="4">
        <v>51</v>
      </c>
      <c r="Q1175" s="3" t="s">
        <v>26</v>
      </c>
      <c r="R1175" s="3">
        <v>0</v>
      </c>
      <c r="S1175" s="4">
        <v>44</v>
      </c>
      <c r="T1175" s="4">
        <v>0</v>
      </c>
      <c r="U1175" s="4">
        <v>0</v>
      </c>
      <c r="V1175" s="56">
        <f>IF(ISERROR(VLOOKUP($S$1175,'TAR FIN'!$A$1:$O$113,15,0)),0,VLOOKUP($S$1175,'TAR FIN'!$A$1:$O$113,15,0))*(1-0.06)</f>
        <v>22.851399999999998</v>
      </c>
      <c r="W1175" s="56">
        <f>IF(ISERROR(VLOOKUP($T$1175,'TAR FIN'!$A$1:$O$113,15,0)),0,VLOOKUP($T$1175,'TAR FIN'!$A$1:$O$113,15,0))</f>
        <v>0</v>
      </c>
      <c r="X1175" s="56">
        <f>IF(ISERROR(VLOOKUP($U$1175,'TAR FIN'!$A$1:$O$113,15,0)),0,VLOOKUP($U$1175,'TAR FIN'!$A$1:$O$113,15,0))</f>
        <v>0</v>
      </c>
      <c r="Y1175" s="56">
        <f ca="1">('TUSD BE'!$AM$30+'TUSD BF'!$AM$30+'TUSD CVA'!$AM$30)*1*(1-0.03)</f>
        <v>25.800132407241311</v>
      </c>
      <c r="Z1175" s="56"/>
      <c r="AA1175" s="56"/>
      <c r="AB1175" s="4">
        <f>$K$1175*$V$1175</f>
        <v>203148.946</v>
      </c>
      <c r="AC1175" s="4">
        <f>$M$1175*$W$1175</f>
        <v>0</v>
      </c>
      <c r="AD1175" s="4">
        <f>$O$1175*$X$1175</f>
        <v>0</v>
      </c>
      <c r="AE1175" s="4">
        <f ca="1">$K$1175*$Y$1175</f>
        <v>229363.17710037524</v>
      </c>
      <c r="AF1175" s="4">
        <f>$M$1175*$Z$1175</f>
        <v>0</v>
      </c>
      <c r="AG1175" s="4">
        <f>$O$1175*$AA$1175</f>
        <v>0</v>
      </c>
    </row>
    <row r="1176" spans="1:33" ht="11.25" customHeight="1" x14ac:dyDescent="0.25">
      <c r="A1176" s="3" t="s">
        <v>56</v>
      </c>
      <c r="B1176" s="3" t="s">
        <v>41</v>
      </c>
      <c r="C1176" s="3" t="s">
        <v>42</v>
      </c>
      <c r="D1176" s="3" t="s">
        <v>50</v>
      </c>
      <c r="E1176" s="3" t="s">
        <v>51</v>
      </c>
      <c r="F1176" s="3" t="s">
        <v>25</v>
      </c>
      <c r="G1176" s="3" t="s">
        <v>25</v>
      </c>
      <c r="H1176" s="3" t="s">
        <v>25</v>
      </c>
      <c r="I1176" s="6">
        <v>44621</v>
      </c>
      <c r="J1176" s="4">
        <v>30</v>
      </c>
      <c r="K1176" s="57">
        <v>30</v>
      </c>
      <c r="L1176" s="4">
        <v>0</v>
      </c>
      <c r="M1176" s="56">
        <v>0</v>
      </c>
      <c r="N1176" s="4">
        <v>0</v>
      </c>
      <c r="O1176" s="56">
        <v>0</v>
      </c>
      <c r="P1176" s="4">
        <v>0</v>
      </c>
      <c r="Q1176" s="3" t="s">
        <v>26</v>
      </c>
      <c r="R1176" s="3">
        <v>0</v>
      </c>
      <c r="S1176" s="4">
        <v>44</v>
      </c>
      <c r="T1176" s="4">
        <v>0</v>
      </c>
      <c r="U1176" s="4">
        <v>0</v>
      </c>
      <c r="V1176" s="56">
        <f>IF(ISERROR(VLOOKUP($S$1176,'TAR FIN'!$A$1:$O$113,15,0)),0,VLOOKUP($S$1176,'TAR FIN'!$A$1:$O$113,15,0))*(1-0.06)</f>
        <v>22.851399999999998</v>
      </c>
      <c r="W1176" s="56">
        <f>IF(ISERROR(VLOOKUP($T$1176,'TAR FIN'!$A$1:$O$113,15,0)),0,VLOOKUP($T$1176,'TAR FIN'!$A$1:$O$113,15,0))</f>
        <v>0</v>
      </c>
      <c r="X1176" s="56">
        <f>IF(ISERROR(VLOOKUP($U$1176,'TAR FIN'!$A$1:$O$113,15,0)),0,VLOOKUP($U$1176,'TAR FIN'!$A$1:$O$113,15,0))</f>
        <v>0</v>
      </c>
      <c r="Y1176" s="56">
        <f ca="1">('TUSD BE'!$AM$30+'TUSD BF'!$AM$30+'TUSD CVA'!$AM$30)*1*(1-0.03)</f>
        <v>25.800132407241311</v>
      </c>
      <c r="Z1176" s="56"/>
      <c r="AA1176" s="56"/>
      <c r="AB1176" s="4">
        <f>$K$1176*$V$1176</f>
        <v>685.54199999999992</v>
      </c>
      <c r="AC1176" s="4">
        <f>$M$1176*$W$1176</f>
        <v>0</v>
      </c>
      <c r="AD1176" s="4">
        <f>$O$1176*$X$1176</f>
        <v>0</v>
      </c>
      <c r="AE1176" s="4">
        <f ca="1">$K$1176*$Y$1176</f>
        <v>774.00397221723927</v>
      </c>
      <c r="AF1176" s="4">
        <f>$M$1176*$Z$1176</f>
        <v>0</v>
      </c>
      <c r="AG1176" s="4">
        <f>$O$1176*$AA$1176</f>
        <v>0</v>
      </c>
    </row>
    <row r="1177" spans="1:33" ht="11.25" customHeight="1" x14ac:dyDescent="0.25">
      <c r="A1177" s="3" t="s">
        <v>21</v>
      </c>
      <c r="B1177" s="3" t="s">
        <v>41</v>
      </c>
      <c r="C1177" s="3" t="s">
        <v>42</v>
      </c>
      <c r="D1177" s="3" t="s">
        <v>50</v>
      </c>
      <c r="E1177" s="3" t="s">
        <v>51</v>
      </c>
      <c r="F1177" s="3" t="s">
        <v>25</v>
      </c>
      <c r="G1177" s="3" t="s">
        <v>25</v>
      </c>
      <c r="H1177" s="3" t="s">
        <v>34</v>
      </c>
      <c r="I1177" s="6">
        <v>44287</v>
      </c>
      <c r="J1177" s="4">
        <v>0</v>
      </c>
      <c r="K1177" s="56">
        <v>0</v>
      </c>
      <c r="L1177" s="4">
        <v>517</v>
      </c>
      <c r="M1177" s="56">
        <v>517</v>
      </c>
      <c r="N1177" s="4">
        <v>517</v>
      </c>
      <c r="O1177" s="56">
        <v>517</v>
      </c>
      <c r="P1177" s="4">
        <v>0</v>
      </c>
      <c r="Q1177" s="3" t="s">
        <v>26</v>
      </c>
      <c r="R1177" s="3">
        <v>0</v>
      </c>
      <c r="S1177" s="4">
        <v>0</v>
      </c>
      <c r="T1177" s="4">
        <v>20</v>
      </c>
      <c r="U1177" s="4">
        <v>88</v>
      </c>
      <c r="V1177" s="56">
        <f>IF(ISERROR(VLOOKUP($S$1177,'TAR FIN'!$A$1:$O$113,15,0)),0,VLOOKUP($S$1177,'TAR FIN'!$A$1:$O$113,15,0))</f>
        <v>0</v>
      </c>
      <c r="W1177" s="56">
        <f>IF(ISERROR(VLOOKUP($T$1177,'TAR FIN'!$A$1:$O$113,15,0)),0,VLOOKUP($T$1177,'TAR FIN'!$A$1:$O$113,15,0))*(1-0.06)</f>
        <v>1470.7145999999998</v>
      </c>
      <c r="X1177" s="56">
        <f>IF(ISERROR(VLOOKUP($U$1177,'TAR FIN'!$A$1:$O$113,15,0)),0,VLOOKUP($U$1177,'TAR FIN'!$A$1:$O$113,15,0))*(1-0.06)</f>
        <v>343.57</v>
      </c>
      <c r="Y1177" s="56"/>
      <c r="Z1177" s="56">
        <f ca="1">('TUSD BE'!$AM$31+'TUSD BF'!$AM$31+'TUSD CVA'!$AM$31)*1*(1-0.03)</f>
        <v>1782.7529237498334</v>
      </c>
      <c r="AA1177" s="56">
        <f>('TE BE'!$AA$10+'TE BF'!$AA$10+'TE CVA'!$AA$10)*1*(1-0.03)</f>
        <v>350.70363015859192</v>
      </c>
      <c r="AB1177" s="4">
        <f>$K$1177*$V$1177</f>
        <v>0</v>
      </c>
      <c r="AC1177" s="4">
        <f>$M$1177*$W$1177</f>
        <v>760359.44819999987</v>
      </c>
      <c r="AD1177" s="4">
        <f>$O$1177*$X$1177</f>
        <v>177625.69</v>
      </c>
      <c r="AE1177" s="4">
        <f>$K$1177*$Y$1177</f>
        <v>0</v>
      </c>
      <c r="AF1177" s="4">
        <f ca="1">$M$1177*$Z$1177</f>
        <v>921683.26157866383</v>
      </c>
      <c r="AG1177" s="4">
        <f>$O$1177*$AA$1177</f>
        <v>181313.77679199202</v>
      </c>
    </row>
    <row r="1178" spans="1:33" ht="11.25" customHeight="1" x14ac:dyDescent="0.25">
      <c r="A1178" s="3" t="s">
        <v>21</v>
      </c>
      <c r="B1178" s="3" t="s">
        <v>41</v>
      </c>
      <c r="C1178" s="3" t="s">
        <v>42</v>
      </c>
      <c r="D1178" s="3" t="s">
        <v>50</v>
      </c>
      <c r="E1178" s="3" t="s">
        <v>51</v>
      </c>
      <c r="F1178" s="3" t="s">
        <v>25</v>
      </c>
      <c r="G1178" s="3" t="s">
        <v>25</v>
      </c>
      <c r="H1178" s="3" t="s">
        <v>34</v>
      </c>
      <c r="I1178" s="6">
        <v>44317</v>
      </c>
      <c r="J1178" s="4">
        <v>0</v>
      </c>
      <c r="K1178" s="56">
        <v>0</v>
      </c>
      <c r="L1178" s="4">
        <v>467.923</v>
      </c>
      <c r="M1178" s="56">
        <v>467.923</v>
      </c>
      <c r="N1178" s="4">
        <v>467.923</v>
      </c>
      <c r="O1178" s="56">
        <v>467.923</v>
      </c>
      <c r="P1178" s="4">
        <v>0</v>
      </c>
      <c r="Q1178" s="3" t="s">
        <v>26</v>
      </c>
      <c r="R1178" s="3">
        <v>0</v>
      </c>
      <c r="S1178" s="4">
        <v>0</v>
      </c>
      <c r="T1178" s="4">
        <v>20</v>
      </c>
      <c r="U1178" s="4">
        <v>88</v>
      </c>
      <c r="V1178" s="56">
        <f>IF(ISERROR(VLOOKUP($S$1178,'TAR FIN'!$A$1:$O$113,15,0)),0,VLOOKUP($S$1178,'TAR FIN'!$A$1:$O$113,15,0))</f>
        <v>0</v>
      </c>
      <c r="W1178" s="56">
        <f>IF(ISERROR(VLOOKUP($T$1178,'TAR FIN'!$A$1:$O$113,15,0)),0,VLOOKUP($T$1178,'TAR FIN'!$A$1:$O$113,15,0))*(1-0.06)</f>
        <v>1470.7145999999998</v>
      </c>
      <c r="X1178" s="56">
        <f>IF(ISERROR(VLOOKUP($U$1178,'TAR FIN'!$A$1:$O$113,15,0)),0,VLOOKUP($U$1178,'TAR FIN'!$A$1:$O$113,15,0))*(1-0.06)</f>
        <v>343.57</v>
      </c>
      <c r="Y1178" s="56"/>
      <c r="Z1178" s="56">
        <f ca="1">('TUSD BE'!$AM$31+'TUSD BF'!$AM$31+'TUSD CVA'!$AM$31)*1*(1-0.03)</f>
        <v>1782.7529237498334</v>
      </c>
      <c r="AA1178" s="56">
        <f>('TE BE'!$AA$10+'TE BF'!$AA$10+'TE CVA'!$AA$10)*1*(1-0.03)</f>
        <v>350.70363015859192</v>
      </c>
      <c r="AB1178" s="4">
        <f>$K$1178*$V$1178</f>
        <v>0</v>
      </c>
      <c r="AC1178" s="4">
        <f>$M$1178*$W$1178</f>
        <v>688181.18777579989</v>
      </c>
      <c r="AD1178" s="4">
        <f>$O$1178*$X$1178</f>
        <v>160764.30510999999</v>
      </c>
      <c r="AE1178" s="4">
        <f>$K$1178*$Y$1178</f>
        <v>0</v>
      </c>
      <c r="AF1178" s="4">
        <f ca="1">$M$1178*$Z$1178</f>
        <v>834191.09633979329</v>
      </c>
      <c r="AG1178" s="4">
        <f>$O$1178*$AA$1178</f>
        <v>164102.29473469881</v>
      </c>
    </row>
    <row r="1179" spans="1:33" ht="11.25" customHeight="1" x14ac:dyDescent="0.25">
      <c r="A1179" s="3" t="s">
        <v>21</v>
      </c>
      <c r="B1179" s="3" t="s">
        <v>41</v>
      </c>
      <c r="C1179" s="3" t="s">
        <v>42</v>
      </c>
      <c r="D1179" s="3" t="s">
        <v>50</v>
      </c>
      <c r="E1179" s="3" t="s">
        <v>51</v>
      </c>
      <c r="F1179" s="3" t="s">
        <v>25</v>
      </c>
      <c r="G1179" s="3" t="s">
        <v>25</v>
      </c>
      <c r="H1179" s="3" t="s">
        <v>34</v>
      </c>
      <c r="I1179" s="6">
        <v>44348</v>
      </c>
      <c r="J1179" s="4">
        <v>0</v>
      </c>
      <c r="K1179" s="56">
        <v>0</v>
      </c>
      <c r="L1179" s="4">
        <v>309.91500000000002</v>
      </c>
      <c r="M1179" s="56">
        <v>309.91500000000002</v>
      </c>
      <c r="N1179" s="4">
        <v>309.91500000000002</v>
      </c>
      <c r="O1179" s="56">
        <v>309.91500000000002</v>
      </c>
      <c r="P1179" s="4">
        <v>0</v>
      </c>
      <c r="Q1179" s="3" t="s">
        <v>26</v>
      </c>
      <c r="R1179" s="3">
        <v>0</v>
      </c>
      <c r="S1179" s="4">
        <v>0</v>
      </c>
      <c r="T1179" s="4">
        <v>20</v>
      </c>
      <c r="U1179" s="4">
        <v>88</v>
      </c>
      <c r="V1179" s="56">
        <f>IF(ISERROR(VLOOKUP($S$1179,'TAR FIN'!$A$1:$O$113,15,0)),0,VLOOKUP($S$1179,'TAR FIN'!$A$1:$O$113,15,0))</f>
        <v>0</v>
      </c>
      <c r="W1179" s="56">
        <f>IF(ISERROR(VLOOKUP($T$1179,'TAR FIN'!$A$1:$O$113,15,0)),0,VLOOKUP($T$1179,'TAR FIN'!$A$1:$O$113,15,0))*(1-0.06)</f>
        <v>1470.7145999999998</v>
      </c>
      <c r="X1179" s="56">
        <f>IF(ISERROR(VLOOKUP($U$1179,'TAR FIN'!$A$1:$O$113,15,0)),0,VLOOKUP($U$1179,'TAR FIN'!$A$1:$O$113,15,0))*(1-0.06)</f>
        <v>343.57</v>
      </c>
      <c r="Y1179" s="56"/>
      <c r="Z1179" s="56">
        <f ca="1">('TUSD BE'!$AM$31+'TUSD BF'!$AM$31+'TUSD CVA'!$AM$31)*1*(1-0.03)</f>
        <v>1782.7529237498334</v>
      </c>
      <c r="AA1179" s="56">
        <f>('TE BE'!$AA$10+'TE BF'!$AA$10+'TE CVA'!$AA$10)*1*(1-0.03)</f>
        <v>350.70363015859192</v>
      </c>
      <c r="AB1179" s="4">
        <f>$K$1179*$V$1179</f>
        <v>0</v>
      </c>
      <c r="AC1179" s="4">
        <f>$M$1179*$W$1179</f>
        <v>455796.51525899995</v>
      </c>
      <c r="AD1179" s="4">
        <f>$O$1179*$X$1179</f>
        <v>106477.49655000001</v>
      </c>
      <c r="AE1179" s="4">
        <f>$K$1179*$Y$1179</f>
        <v>0</v>
      </c>
      <c r="AF1179" s="4">
        <f ca="1">$M$1179*$Z$1179</f>
        <v>552501.87236392964</v>
      </c>
      <c r="AG1179" s="4">
        <f>$O$1179*$AA$1179</f>
        <v>108688.31554060002</v>
      </c>
    </row>
    <row r="1180" spans="1:33" ht="11.25" customHeight="1" x14ac:dyDescent="0.25">
      <c r="A1180" s="3" t="s">
        <v>21</v>
      </c>
      <c r="B1180" s="3" t="s">
        <v>41</v>
      </c>
      <c r="C1180" s="3" t="s">
        <v>42</v>
      </c>
      <c r="D1180" s="3" t="s">
        <v>50</v>
      </c>
      <c r="E1180" s="3" t="s">
        <v>51</v>
      </c>
      <c r="F1180" s="3" t="s">
        <v>25</v>
      </c>
      <c r="G1180" s="3" t="s">
        <v>25</v>
      </c>
      <c r="H1180" s="3" t="s">
        <v>34</v>
      </c>
      <c r="I1180" s="6">
        <v>44378</v>
      </c>
      <c r="J1180" s="4">
        <v>0</v>
      </c>
      <c r="K1180" s="56">
        <v>0</v>
      </c>
      <c r="L1180" s="4">
        <v>338.399</v>
      </c>
      <c r="M1180" s="56">
        <v>338.399</v>
      </c>
      <c r="N1180" s="4">
        <v>338.399</v>
      </c>
      <c r="O1180" s="56">
        <v>338.399</v>
      </c>
      <c r="P1180" s="4">
        <v>0</v>
      </c>
      <c r="Q1180" s="3" t="s">
        <v>26</v>
      </c>
      <c r="R1180" s="3">
        <v>0</v>
      </c>
      <c r="S1180" s="4">
        <v>0</v>
      </c>
      <c r="T1180" s="4">
        <v>20</v>
      </c>
      <c r="U1180" s="4">
        <v>88</v>
      </c>
      <c r="V1180" s="56">
        <f>IF(ISERROR(VLOOKUP($S$1180,'TAR FIN'!$A$1:$O$113,15,0)),0,VLOOKUP($S$1180,'TAR FIN'!$A$1:$O$113,15,0))</f>
        <v>0</v>
      </c>
      <c r="W1180" s="56">
        <f>IF(ISERROR(VLOOKUP($T$1180,'TAR FIN'!$A$1:$O$113,15,0)),0,VLOOKUP($T$1180,'TAR FIN'!$A$1:$O$113,15,0))*(1-0.06)</f>
        <v>1470.7145999999998</v>
      </c>
      <c r="X1180" s="56">
        <f>IF(ISERROR(VLOOKUP($U$1180,'TAR FIN'!$A$1:$O$113,15,0)),0,VLOOKUP($U$1180,'TAR FIN'!$A$1:$O$113,15,0))*(1-0.06)</f>
        <v>343.57</v>
      </c>
      <c r="Y1180" s="56"/>
      <c r="Z1180" s="56">
        <f ca="1">('TUSD BE'!$AM$31+'TUSD BF'!$AM$31+'TUSD CVA'!$AM$31)*1*(1-0.03)</f>
        <v>1782.7529237498334</v>
      </c>
      <c r="AA1180" s="56">
        <f>('TE BE'!$AA$10+'TE BF'!$AA$10+'TE CVA'!$AA$10)*1*(1-0.03)</f>
        <v>350.70363015859192</v>
      </c>
      <c r="AB1180" s="4">
        <f>$K$1180*$V$1180</f>
        <v>0</v>
      </c>
      <c r="AC1180" s="4">
        <f>$M$1180*$W$1180</f>
        <v>497688.34992539993</v>
      </c>
      <c r="AD1180" s="4">
        <f>$O$1180*$X$1180</f>
        <v>116263.74442999999</v>
      </c>
      <c r="AE1180" s="4">
        <f>$K$1180*$Y$1180</f>
        <v>0</v>
      </c>
      <c r="AF1180" s="4">
        <f ca="1">$M$1180*$Z$1180</f>
        <v>603281.8066440199</v>
      </c>
      <c r="AG1180" s="4">
        <f>$O$1180*$AA$1180</f>
        <v>118677.75774203734</v>
      </c>
    </row>
    <row r="1181" spans="1:33" ht="11.25" customHeight="1" x14ac:dyDescent="0.25">
      <c r="A1181" s="3" t="s">
        <v>27</v>
      </c>
      <c r="B1181" s="3" t="s">
        <v>41</v>
      </c>
      <c r="C1181" s="3" t="s">
        <v>42</v>
      </c>
      <c r="D1181" s="3" t="s">
        <v>50</v>
      </c>
      <c r="E1181" s="3" t="s">
        <v>51</v>
      </c>
      <c r="F1181" s="3" t="s">
        <v>25</v>
      </c>
      <c r="G1181" s="3" t="s">
        <v>25</v>
      </c>
      <c r="H1181" s="3" t="s">
        <v>34</v>
      </c>
      <c r="I1181" s="6">
        <v>44378</v>
      </c>
      <c r="J1181" s="4">
        <v>0</v>
      </c>
      <c r="K1181" s="56">
        <v>0</v>
      </c>
      <c r="L1181" s="4">
        <v>-1.6579999999999999</v>
      </c>
      <c r="M1181" s="56">
        <v>-1.6579999999999999</v>
      </c>
      <c r="N1181" s="4">
        <v>-1.6579999999999999</v>
      </c>
      <c r="O1181" s="56">
        <v>-1.6579999999999999</v>
      </c>
      <c r="P1181" s="4">
        <v>0</v>
      </c>
      <c r="Q1181" s="3" t="s">
        <v>26</v>
      </c>
      <c r="R1181" s="3">
        <v>0</v>
      </c>
      <c r="S1181" s="4">
        <v>0</v>
      </c>
      <c r="T1181" s="4">
        <v>20</v>
      </c>
      <c r="U1181" s="4">
        <v>88</v>
      </c>
      <c r="V1181" s="56">
        <f>IF(ISERROR(VLOOKUP($S$1181,'TAR FIN'!$A$1:$O$113,15,0)),0,VLOOKUP($S$1181,'TAR FIN'!$A$1:$O$113,15,0))</f>
        <v>0</v>
      </c>
      <c r="W1181" s="56">
        <f>IF(ISERROR(VLOOKUP($T$1181,'TAR FIN'!$A$1:$O$113,15,0)),0,VLOOKUP($T$1181,'TAR FIN'!$A$1:$O$113,15,0))*(1-0.06)</f>
        <v>1470.7145999999998</v>
      </c>
      <c r="X1181" s="56">
        <f>IF(ISERROR(VLOOKUP($U$1181,'TAR FIN'!$A$1:$O$113,15,0)),0,VLOOKUP($U$1181,'TAR FIN'!$A$1:$O$113,15,0))*(1-0.06)</f>
        <v>343.57</v>
      </c>
      <c r="Y1181" s="56"/>
      <c r="Z1181" s="56">
        <f ca="1">('TUSD BE'!$AM$31+'TUSD BF'!$AM$31+'TUSD CVA'!$AM$31)*1*(1-0.03)</f>
        <v>1782.7529237498334</v>
      </c>
      <c r="AA1181" s="56">
        <f>('TE BE'!$AA$10+'TE BF'!$AA$10+'TE CVA'!$AA$10)*1*(1-0.03)</f>
        <v>350.70363015859192</v>
      </c>
      <c r="AB1181" s="4">
        <f>$K$1181*$V$1181</f>
        <v>0</v>
      </c>
      <c r="AC1181" s="4">
        <f>$M$1181*$W$1181</f>
        <v>-2438.4448067999997</v>
      </c>
      <c r="AD1181" s="4">
        <f>$O$1181*$X$1181</f>
        <v>-569.63905999999997</v>
      </c>
      <c r="AE1181" s="4">
        <f>$K$1181*$Y$1181</f>
        <v>0</v>
      </c>
      <c r="AF1181" s="4">
        <f ca="1">$M$1181*$Z$1181</f>
        <v>-2955.8043475772238</v>
      </c>
      <c r="AG1181" s="4">
        <f>$O$1181*$AA$1181</f>
        <v>-581.46661880294539</v>
      </c>
    </row>
    <row r="1182" spans="1:33" ht="11.25" customHeight="1" x14ac:dyDescent="0.25">
      <c r="A1182" s="3" t="s">
        <v>21</v>
      </c>
      <c r="B1182" s="3" t="s">
        <v>41</v>
      </c>
      <c r="C1182" s="3" t="s">
        <v>42</v>
      </c>
      <c r="D1182" s="3" t="s">
        <v>50</v>
      </c>
      <c r="E1182" s="3" t="s">
        <v>51</v>
      </c>
      <c r="F1182" s="3" t="s">
        <v>25</v>
      </c>
      <c r="G1182" s="3" t="s">
        <v>25</v>
      </c>
      <c r="H1182" s="3" t="s">
        <v>34</v>
      </c>
      <c r="I1182" s="6">
        <v>44409</v>
      </c>
      <c r="J1182" s="4">
        <v>0</v>
      </c>
      <c r="K1182" s="56">
        <v>0</v>
      </c>
      <c r="L1182" s="4">
        <v>343.34199999999998</v>
      </c>
      <c r="M1182" s="56">
        <v>343.34199999999998</v>
      </c>
      <c r="N1182" s="4">
        <v>343.34199999999998</v>
      </c>
      <c r="O1182" s="56">
        <v>343.34199999999998</v>
      </c>
      <c r="P1182" s="4">
        <v>0</v>
      </c>
      <c r="Q1182" s="3" t="s">
        <v>26</v>
      </c>
      <c r="R1182" s="3">
        <v>0</v>
      </c>
      <c r="S1182" s="4">
        <v>0</v>
      </c>
      <c r="T1182" s="4">
        <v>20</v>
      </c>
      <c r="U1182" s="4">
        <v>88</v>
      </c>
      <c r="V1182" s="56">
        <f>IF(ISERROR(VLOOKUP($S$1182,'TAR FIN'!$A$1:$O$113,15,0)),0,VLOOKUP($S$1182,'TAR FIN'!$A$1:$O$113,15,0))</f>
        <v>0</v>
      </c>
      <c r="W1182" s="56">
        <f>IF(ISERROR(VLOOKUP($T$1182,'TAR FIN'!$A$1:$O$113,15,0)),0,VLOOKUP($T$1182,'TAR FIN'!$A$1:$O$113,15,0))*(1-0.06)</f>
        <v>1470.7145999999998</v>
      </c>
      <c r="X1182" s="56">
        <f>IF(ISERROR(VLOOKUP($U$1182,'TAR FIN'!$A$1:$O$113,15,0)),0,VLOOKUP($U$1182,'TAR FIN'!$A$1:$O$113,15,0))*(1-0.06)</f>
        <v>343.57</v>
      </c>
      <c r="Y1182" s="56"/>
      <c r="Z1182" s="56">
        <f ca="1">('TUSD BE'!$AM$31+'TUSD BF'!$AM$31+'TUSD CVA'!$AM$31)*1*(1-0.03)</f>
        <v>1782.7529237498334</v>
      </c>
      <c r="AA1182" s="56">
        <f>('TE BE'!$AA$10+'TE BF'!$AA$10+'TE CVA'!$AA$10)*1*(1-0.03)</f>
        <v>350.70363015859192</v>
      </c>
      <c r="AB1182" s="4">
        <f>$K$1182*$V$1182</f>
        <v>0</v>
      </c>
      <c r="AC1182" s="4">
        <f>$M$1182*$W$1182</f>
        <v>504958.0921931999</v>
      </c>
      <c r="AD1182" s="4">
        <f>$O$1182*$X$1182</f>
        <v>117962.01093999999</v>
      </c>
      <c r="AE1182" s="4">
        <f>$K$1182*$Y$1182</f>
        <v>0</v>
      </c>
      <c r="AF1182" s="4">
        <f ca="1">$M$1182*$Z$1182</f>
        <v>612093.95434611524</v>
      </c>
      <c r="AG1182" s="4">
        <f>$O$1182*$AA$1182</f>
        <v>120411.28578591126</v>
      </c>
    </row>
    <row r="1183" spans="1:33" ht="11.25" customHeight="1" x14ac:dyDescent="0.25">
      <c r="A1183" s="3" t="s">
        <v>21</v>
      </c>
      <c r="B1183" s="3" t="s">
        <v>41</v>
      </c>
      <c r="C1183" s="3" t="s">
        <v>42</v>
      </c>
      <c r="D1183" s="3" t="s">
        <v>50</v>
      </c>
      <c r="E1183" s="3" t="s">
        <v>51</v>
      </c>
      <c r="F1183" s="3" t="s">
        <v>25</v>
      </c>
      <c r="G1183" s="3" t="s">
        <v>25</v>
      </c>
      <c r="H1183" s="3" t="s">
        <v>34</v>
      </c>
      <c r="I1183" s="6">
        <v>44440</v>
      </c>
      <c r="J1183" s="4">
        <v>0</v>
      </c>
      <c r="K1183" s="56">
        <v>0</v>
      </c>
      <c r="L1183" s="4">
        <v>255.63300000000001</v>
      </c>
      <c r="M1183" s="56">
        <v>255.63300000000001</v>
      </c>
      <c r="N1183" s="4">
        <v>255.63300000000001</v>
      </c>
      <c r="O1183" s="56">
        <v>255.63300000000001</v>
      </c>
      <c r="P1183" s="4">
        <v>0</v>
      </c>
      <c r="Q1183" s="3" t="s">
        <v>26</v>
      </c>
      <c r="R1183" s="3">
        <v>0</v>
      </c>
      <c r="S1183" s="4">
        <v>0</v>
      </c>
      <c r="T1183" s="4">
        <v>20</v>
      </c>
      <c r="U1183" s="4">
        <v>88</v>
      </c>
      <c r="V1183" s="56">
        <f>IF(ISERROR(VLOOKUP($S$1183,'TAR FIN'!$A$1:$O$113,15,0)),0,VLOOKUP($S$1183,'TAR FIN'!$A$1:$O$113,15,0))</f>
        <v>0</v>
      </c>
      <c r="W1183" s="56">
        <f>IF(ISERROR(VLOOKUP($T$1183,'TAR FIN'!$A$1:$O$113,15,0)),0,VLOOKUP($T$1183,'TAR FIN'!$A$1:$O$113,15,0))*(1-0.06)</f>
        <v>1470.7145999999998</v>
      </c>
      <c r="X1183" s="56">
        <f>IF(ISERROR(VLOOKUP($U$1183,'TAR FIN'!$A$1:$O$113,15,0)),0,VLOOKUP($U$1183,'TAR FIN'!$A$1:$O$113,15,0))*(1-0.06)</f>
        <v>343.57</v>
      </c>
      <c r="Y1183" s="56"/>
      <c r="Z1183" s="56">
        <f ca="1">('TUSD BE'!$AM$31+'TUSD BF'!$AM$31+'TUSD CVA'!$AM$31)*1*(1-0.03)</f>
        <v>1782.7529237498334</v>
      </c>
      <c r="AA1183" s="56">
        <f>('TE BE'!$AA$10+'TE BF'!$AA$10+'TE CVA'!$AA$10)*1*(1-0.03)</f>
        <v>350.70363015859192</v>
      </c>
      <c r="AB1183" s="4">
        <f>$K$1183*$V$1183</f>
        <v>0</v>
      </c>
      <c r="AC1183" s="4">
        <f>$M$1183*$W$1183</f>
        <v>375963.18534179998</v>
      </c>
      <c r="AD1183" s="4">
        <f>$O$1183*$X$1183</f>
        <v>87827.829809999996</v>
      </c>
      <c r="AE1183" s="4">
        <f>$K$1183*$Y$1183</f>
        <v>0</v>
      </c>
      <c r="AF1183" s="4">
        <f ca="1">$M$1183*$Z$1183</f>
        <v>455730.47815694119</v>
      </c>
      <c r="AG1183" s="4">
        <f>$O$1183*$AA$1183</f>
        <v>89651.421088331335</v>
      </c>
    </row>
    <row r="1184" spans="1:33" ht="11.25" customHeight="1" x14ac:dyDescent="0.25">
      <c r="A1184" s="3" t="s">
        <v>21</v>
      </c>
      <c r="B1184" s="3" t="s">
        <v>41</v>
      </c>
      <c r="C1184" s="3" t="s">
        <v>42</v>
      </c>
      <c r="D1184" s="3" t="s">
        <v>50</v>
      </c>
      <c r="E1184" s="3" t="s">
        <v>51</v>
      </c>
      <c r="F1184" s="3" t="s">
        <v>25</v>
      </c>
      <c r="G1184" s="3" t="s">
        <v>25</v>
      </c>
      <c r="H1184" s="3" t="s">
        <v>34</v>
      </c>
      <c r="I1184" s="6">
        <v>44470</v>
      </c>
      <c r="J1184" s="4">
        <v>0</v>
      </c>
      <c r="K1184" s="56">
        <v>0</v>
      </c>
      <c r="L1184" s="4">
        <v>254.77699999999999</v>
      </c>
      <c r="M1184" s="56">
        <v>254.77699999999999</v>
      </c>
      <c r="N1184" s="4">
        <v>254.77699999999999</v>
      </c>
      <c r="O1184" s="56">
        <v>254.77699999999999</v>
      </c>
      <c r="P1184" s="4">
        <v>0</v>
      </c>
      <c r="Q1184" s="3" t="s">
        <v>26</v>
      </c>
      <c r="R1184" s="3">
        <v>0</v>
      </c>
      <c r="S1184" s="4">
        <v>0</v>
      </c>
      <c r="T1184" s="4">
        <v>20</v>
      </c>
      <c r="U1184" s="4">
        <v>88</v>
      </c>
      <c r="V1184" s="56">
        <f>IF(ISERROR(VLOOKUP($S$1184,'TAR FIN'!$A$1:$O$113,15,0)),0,VLOOKUP($S$1184,'TAR FIN'!$A$1:$O$113,15,0))</f>
        <v>0</v>
      </c>
      <c r="W1184" s="56">
        <f>IF(ISERROR(VLOOKUP($T$1184,'TAR FIN'!$A$1:$O$113,15,0)),0,VLOOKUP($T$1184,'TAR FIN'!$A$1:$O$113,15,0))*(1-0.06)</f>
        <v>1470.7145999999998</v>
      </c>
      <c r="X1184" s="56">
        <f>IF(ISERROR(VLOOKUP($U$1184,'TAR FIN'!$A$1:$O$113,15,0)),0,VLOOKUP($U$1184,'TAR FIN'!$A$1:$O$113,15,0))*(1-0.06)</f>
        <v>343.57</v>
      </c>
      <c r="Y1184" s="56"/>
      <c r="Z1184" s="56">
        <f ca="1">('TUSD BE'!$AM$31+'TUSD BF'!$AM$31+'TUSD CVA'!$AM$31)*1*(1-0.03)</f>
        <v>1782.7529237498334</v>
      </c>
      <c r="AA1184" s="56">
        <f>('TE BE'!$AA$10+'TE BF'!$AA$10+'TE CVA'!$AA$10)*1*(1-0.03)</f>
        <v>350.70363015859192</v>
      </c>
      <c r="AB1184" s="4">
        <f>$K$1184*$V$1184</f>
        <v>0</v>
      </c>
      <c r="AC1184" s="4">
        <f>$M$1184*$W$1184</f>
        <v>374704.25364419993</v>
      </c>
      <c r="AD1184" s="4">
        <f>$O$1184*$X$1184</f>
        <v>87533.733889999989</v>
      </c>
      <c r="AE1184" s="4">
        <f>$K$1184*$Y$1184</f>
        <v>0</v>
      </c>
      <c r="AF1184" s="4">
        <f ca="1">$M$1184*$Z$1184</f>
        <v>454204.44165421126</v>
      </c>
      <c r="AG1184" s="4">
        <f>$O$1184*$AA$1184</f>
        <v>89351.218780915573</v>
      </c>
    </row>
    <row r="1185" spans="1:33" ht="11.25" customHeight="1" x14ac:dyDescent="0.25">
      <c r="A1185" s="3" t="s">
        <v>21</v>
      </c>
      <c r="B1185" s="3" t="s">
        <v>41</v>
      </c>
      <c r="C1185" s="3" t="s">
        <v>42</v>
      </c>
      <c r="D1185" s="3" t="s">
        <v>50</v>
      </c>
      <c r="E1185" s="3" t="s">
        <v>51</v>
      </c>
      <c r="F1185" s="3" t="s">
        <v>25</v>
      </c>
      <c r="G1185" s="3" t="s">
        <v>25</v>
      </c>
      <c r="H1185" s="3" t="s">
        <v>34</v>
      </c>
      <c r="I1185" s="6">
        <v>44501</v>
      </c>
      <c r="J1185" s="4">
        <v>0</v>
      </c>
      <c r="K1185" s="56">
        <v>0</v>
      </c>
      <c r="L1185" s="4">
        <v>263.03699999999998</v>
      </c>
      <c r="M1185" s="56">
        <v>263.03699999999998</v>
      </c>
      <c r="N1185" s="4">
        <v>263.03699999999998</v>
      </c>
      <c r="O1185" s="56">
        <v>263.03699999999998</v>
      </c>
      <c r="P1185" s="4">
        <v>0</v>
      </c>
      <c r="Q1185" s="3" t="s">
        <v>26</v>
      </c>
      <c r="R1185" s="3">
        <v>0</v>
      </c>
      <c r="S1185" s="4">
        <v>0</v>
      </c>
      <c r="T1185" s="4">
        <v>20</v>
      </c>
      <c r="U1185" s="4">
        <v>88</v>
      </c>
      <c r="V1185" s="56">
        <f>IF(ISERROR(VLOOKUP($S$1185,'TAR FIN'!$A$1:$O$113,15,0)),0,VLOOKUP($S$1185,'TAR FIN'!$A$1:$O$113,15,0))</f>
        <v>0</v>
      </c>
      <c r="W1185" s="56">
        <f>IF(ISERROR(VLOOKUP($T$1185,'TAR FIN'!$A$1:$O$113,15,0)),0,VLOOKUP($T$1185,'TAR FIN'!$A$1:$O$113,15,0))*(1-0.06)</f>
        <v>1470.7145999999998</v>
      </c>
      <c r="X1185" s="56">
        <f>IF(ISERROR(VLOOKUP($U$1185,'TAR FIN'!$A$1:$O$113,15,0)),0,VLOOKUP($U$1185,'TAR FIN'!$A$1:$O$113,15,0))*(1-0.06)</f>
        <v>343.57</v>
      </c>
      <c r="Y1185" s="56"/>
      <c r="Z1185" s="56">
        <f ca="1">('TUSD BE'!$AM$31+'TUSD BF'!$AM$31+'TUSD CVA'!$AM$31)*1*(1-0.03)</f>
        <v>1782.7529237498334</v>
      </c>
      <c r="AA1185" s="56">
        <f>('TE BE'!$AA$10+'TE BF'!$AA$10+'TE CVA'!$AA$10)*1*(1-0.03)</f>
        <v>350.70363015859192</v>
      </c>
      <c r="AB1185" s="4">
        <f>$K$1185*$V$1185</f>
        <v>0</v>
      </c>
      <c r="AC1185" s="4">
        <f>$M$1185*$W$1185</f>
        <v>386852.35624019994</v>
      </c>
      <c r="AD1185" s="4">
        <f>$O$1185*$X$1185</f>
        <v>90371.62208999999</v>
      </c>
      <c r="AE1185" s="4">
        <f>$K$1185*$Y$1185</f>
        <v>0</v>
      </c>
      <c r="AF1185" s="4">
        <f ca="1">$M$1185*$Z$1185</f>
        <v>468929.98080438486</v>
      </c>
      <c r="AG1185" s="4">
        <f>$O$1185*$AA$1185</f>
        <v>92248.030766025535</v>
      </c>
    </row>
    <row r="1186" spans="1:33" ht="11.25" customHeight="1" x14ac:dyDescent="0.25">
      <c r="A1186" s="3" t="s">
        <v>21</v>
      </c>
      <c r="B1186" s="3" t="s">
        <v>41</v>
      </c>
      <c r="C1186" s="3" t="s">
        <v>42</v>
      </c>
      <c r="D1186" s="3" t="s">
        <v>50</v>
      </c>
      <c r="E1186" s="3" t="s">
        <v>51</v>
      </c>
      <c r="F1186" s="3" t="s">
        <v>25</v>
      </c>
      <c r="G1186" s="3" t="s">
        <v>25</v>
      </c>
      <c r="H1186" s="3" t="s">
        <v>34</v>
      </c>
      <c r="I1186" s="6">
        <v>44531</v>
      </c>
      <c r="J1186" s="4">
        <v>0</v>
      </c>
      <c r="K1186" s="56">
        <v>0</v>
      </c>
      <c r="L1186" s="4">
        <v>296.10899999999998</v>
      </c>
      <c r="M1186" s="56">
        <v>296.10899999999998</v>
      </c>
      <c r="N1186" s="4">
        <v>296.10899999999998</v>
      </c>
      <c r="O1186" s="56">
        <v>296.10899999999998</v>
      </c>
      <c r="P1186" s="4">
        <v>0</v>
      </c>
      <c r="Q1186" s="3" t="s">
        <v>26</v>
      </c>
      <c r="R1186" s="3">
        <v>0</v>
      </c>
      <c r="S1186" s="4">
        <v>0</v>
      </c>
      <c r="T1186" s="4">
        <v>20</v>
      </c>
      <c r="U1186" s="4">
        <v>88</v>
      </c>
      <c r="V1186" s="56">
        <f>IF(ISERROR(VLOOKUP($S$1186,'TAR FIN'!$A$1:$O$113,15,0)),0,VLOOKUP($S$1186,'TAR FIN'!$A$1:$O$113,15,0))</f>
        <v>0</v>
      </c>
      <c r="W1186" s="56">
        <f>IF(ISERROR(VLOOKUP($T$1186,'TAR FIN'!$A$1:$O$113,15,0)),0,VLOOKUP($T$1186,'TAR FIN'!$A$1:$O$113,15,0))*(1-0.06)</f>
        <v>1470.7145999999998</v>
      </c>
      <c r="X1186" s="56">
        <f>IF(ISERROR(VLOOKUP($U$1186,'TAR FIN'!$A$1:$O$113,15,0)),0,VLOOKUP($U$1186,'TAR FIN'!$A$1:$O$113,15,0))*(1-0.06)</f>
        <v>343.57</v>
      </c>
      <c r="Y1186" s="56"/>
      <c r="Z1186" s="56">
        <f ca="1">('TUSD BE'!$AM$31+'TUSD BF'!$AM$31+'TUSD CVA'!$AM$31)*1*(1-0.03)</f>
        <v>1782.7529237498334</v>
      </c>
      <c r="AA1186" s="56">
        <f>('TE BE'!$AA$10+'TE BF'!$AA$10+'TE CVA'!$AA$10)*1*(1-0.03)</f>
        <v>350.70363015859192</v>
      </c>
      <c r="AB1186" s="4">
        <f>$K$1186*$V$1186</f>
        <v>0</v>
      </c>
      <c r="AC1186" s="4">
        <f>$M$1186*$W$1186</f>
        <v>435491.82949139993</v>
      </c>
      <c r="AD1186" s="4">
        <f>$O$1186*$X$1186</f>
        <v>101734.16912999999</v>
      </c>
      <c r="AE1186" s="4">
        <f>$K$1186*$Y$1186</f>
        <v>0</v>
      </c>
      <c r="AF1186" s="4">
        <f ca="1">$M$1186*$Z$1186</f>
        <v>527889.18549863936</v>
      </c>
      <c r="AG1186" s="4">
        <f>$O$1186*$AA$1186</f>
        <v>103846.50122263048</v>
      </c>
    </row>
    <row r="1187" spans="1:33" ht="11.25" customHeight="1" x14ac:dyDescent="0.25">
      <c r="A1187" s="3" t="s">
        <v>21</v>
      </c>
      <c r="B1187" s="3" t="s">
        <v>41</v>
      </c>
      <c r="C1187" s="3" t="s">
        <v>42</v>
      </c>
      <c r="D1187" s="3" t="s">
        <v>50</v>
      </c>
      <c r="E1187" s="3" t="s">
        <v>51</v>
      </c>
      <c r="F1187" s="3" t="s">
        <v>25</v>
      </c>
      <c r="G1187" s="3" t="s">
        <v>25</v>
      </c>
      <c r="H1187" s="3" t="s">
        <v>34</v>
      </c>
      <c r="I1187" s="6">
        <v>44562</v>
      </c>
      <c r="J1187" s="4">
        <v>0</v>
      </c>
      <c r="K1187" s="56">
        <v>0</v>
      </c>
      <c r="L1187" s="4">
        <v>283.55799999999999</v>
      </c>
      <c r="M1187" s="56">
        <v>283.55799999999999</v>
      </c>
      <c r="N1187" s="4">
        <v>283.55799999999999</v>
      </c>
      <c r="O1187" s="56">
        <v>283.55799999999999</v>
      </c>
      <c r="P1187" s="4">
        <v>0</v>
      </c>
      <c r="Q1187" s="3" t="s">
        <v>26</v>
      </c>
      <c r="R1187" s="3">
        <v>0</v>
      </c>
      <c r="S1187" s="4">
        <v>0</v>
      </c>
      <c r="T1187" s="4">
        <v>20</v>
      </c>
      <c r="U1187" s="4">
        <v>88</v>
      </c>
      <c r="V1187" s="56">
        <f>IF(ISERROR(VLOOKUP($S$1187,'TAR FIN'!$A$1:$O$113,15,0)),0,VLOOKUP($S$1187,'TAR FIN'!$A$1:$O$113,15,0))</f>
        <v>0</v>
      </c>
      <c r="W1187" s="56">
        <f>IF(ISERROR(VLOOKUP($T$1187,'TAR FIN'!$A$1:$O$113,15,0)),0,VLOOKUP($T$1187,'TAR FIN'!$A$1:$O$113,15,0))*(1-0.06)</f>
        <v>1470.7145999999998</v>
      </c>
      <c r="X1187" s="56">
        <f>IF(ISERROR(VLOOKUP($U$1187,'TAR FIN'!$A$1:$O$113,15,0)),0,VLOOKUP($U$1187,'TAR FIN'!$A$1:$O$113,15,0))*(1-0.06)</f>
        <v>343.57</v>
      </c>
      <c r="Y1187" s="56"/>
      <c r="Z1187" s="56">
        <f ca="1">('TUSD BE'!$AM$31+'TUSD BF'!$AM$31+'TUSD CVA'!$AM$31)*1*(1-0.03)</f>
        <v>1782.7529237498334</v>
      </c>
      <c r="AA1187" s="56">
        <f>('TE BE'!$AA$10+'TE BF'!$AA$10+'TE CVA'!$AA$10)*1*(1-0.03)</f>
        <v>350.70363015859192</v>
      </c>
      <c r="AB1187" s="4">
        <f>$K$1187*$V$1187</f>
        <v>0</v>
      </c>
      <c r="AC1187" s="4">
        <f>$M$1187*$W$1187</f>
        <v>417032.89054679993</v>
      </c>
      <c r="AD1187" s="4">
        <f>$O$1187*$X$1187</f>
        <v>97422.022059999988</v>
      </c>
      <c r="AE1187" s="4">
        <f>$K$1187*$Y$1187</f>
        <v>0</v>
      </c>
      <c r="AF1187" s="4">
        <f ca="1">$M$1187*$Z$1187</f>
        <v>505513.85355265526</v>
      </c>
      <c r="AG1187" s="4">
        <f>$O$1187*$AA$1187</f>
        <v>99444.819960510009</v>
      </c>
    </row>
    <row r="1188" spans="1:33" ht="11.25" customHeight="1" x14ac:dyDescent="0.25">
      <c r="A1188" s="3" t="s">
        <v>21</v>
      </c>
      <c r="B1188" s="3" t="s">
        <v>41</v>
      </c>
      <c r="C1188" s="3" t="s">
        <v>42</v>
      </c>
      <c r="D1188" s="3" t="s">
        <v>50</v>
      </c>
      <c r="E1188" s="3" t="s">
        <v>51</v>
      </c>
      <c r="F1188" s="3" t="s">
        <v>25</v>
      </c>
      <c r="G1188" s="3" t="s">
        <v>25</v>
      </c>
      <c r="H1188" s="3" t="s">
        <v>34</v>
      </c>
      <c r="I1188" s="6">
        <v>44593</v>
      </c>
      <c r="J1188" s="4">
        <v>0</v>
      </c>
      <c r="K1188" s="56">
        <v>0</v>
      </c>
      <c r="L1188" s="4">
        <v>267.255</v>
      </c>
      <c r="M1188" s="56">
        <v>267.255</v>
      </c>
      <c r="N1188" s="4">
        <v>267.255</v>
      </c>
      <c r="O1188" s="56">
        <v>267.255</v>
      </c>
      <c r="P1188" s="4">
        <v>0</v>
      </c>
      <c r="Q1188" s="3" t="s">
        <v>26</v>
      </c>
      <c r="R1188" s="3">
        <v>0</v>
      </c>
      <c r="S1188" s="4">
        <v>0</v>
      </c>
      <c r="T1188" s="4">
        <v>20</v>
      </c>
      <c r="U1188" s="4">
        <v>88</v>
      </c>
      <c r="V1188" s="56">
        <f>IF(ISERROR(VLOOKUP($S$1188,'TAR FIN'!$A$1:$O$113,15,0)),0,VLOOKUP($S$1188,'TAR FIN'!$A$1:$O$113,15,0))</f>
        <v>0</v>
      </c>
      <c r="W1188" s="56">
        <f>IF(ISERROR(VLOOKUP($T$1188,'TAR FIN'!$A$1:$O$113,15,0)),0,VLOOKUP($T$1188,'TAR FIN'!$A$1:$O$113,15,0))*(1-0.06)</f>
        <v>1470.7145999999998</v>
      </c>
      <c r="X1188" s="56">
        <f>IF(ISERROR(VLOOKUP($U$1188,'TAR FIN'!$A$1:$O$113,15,0)),0,VLOOKUP($U$1188,'TAR FIN'!$A$1:$O$113,15,0))*(1-0.06)</f>
        <v>343.57</v>
      </c>
      <c r="Y1188" s="56"/>
      <c r="Z1188" s="56">
        <f ca="1">('TUSD BE'!$AM$31+'TUSD BF'!$AM$31+'TUSD CVA'!$AM$31)*1*(1-0.03)</f>
        <v>1782.7529237498334</v>
      </c>
      <c r="AA1188" s="56">
        <f>('TE BE'!$AA$10+'TE BF'!$AA$10+'TE CVA'!$AA$10)*1*(1-0.03)</f>
        <v>350.70363015859192</v>
      </c>
      <c r="AB1188" s="4">
        <f>$K$1188*$V$1188</f>
        <v>0</v>
      </c>
      <c r="AC1188" s="4">
        <f>$M$1188*$W$1188</f>
        <v>393055.83042299992</v>
      </c>
      <c r="AD1188" s="4">
        <f>$O$1188*$X$1188</f>
        <v>91820.80034999999</v>
      </c>
      <c r="AE1188" s="4">
        <f>$K$1188*$Y$1188</f>
        <v>0</v>
      </c>
      <c r="AF1188" s="4">
        <f ca="1">$M$1188*$Z$1188</f>
        <v>476449.6326367617</v>
      </c>
      <c r="AG1188" s="4">
        <f>$O$1188*$AA$1188</f>
        <v>93727.29867803448</v>
      </c>
    </row>
    <row r="1189" spans="1:33" ht="11.25" customHeight="1" x14ac:dyDescent="0.25">
      <c r="A1189" s="3" t="s">
        <v>56</v>
      </c>
      <c r="B1189" s="3" t="s">
        <v>41</v>
      </c>
      <c r="C1189" s="3" t="s">
        <v>42</v>
      </c>
      <c r="D1189" s="3" t="s">
        <v>50</v>
      </c>
      <c r="E1189" s="3" t="s">
        <v>51</v>
      </c>
      <c r="F1189" s="3" t="s">
        <v>25</v>
      </c>
      <c r="G1189" s="3" t="s">
        <v>25</v>
      </c>
      <c r="H1189" s="3" t="s">
        <v>34</v>
      </c>
      <c r="I1189" s="6">
        <v>44621</v>
      </c>
      <c r="J1189" s="4">
        <v>0</v>
      </c>
      <c r="K1189" s="56">
        <v>0</v>
      </c>
      <c r="L1189" s="4">
        <v>267.255</v>
      </c>
      <c r="M1189" s="56">
        <v>267.255</v>
      </c>
      <c r="N1189" s="4">
        <v>267.255</v>
      </c>
      <c r="O1189" s="56">
        <v>267.255</v>
      </c>
      <c r="P1189" s="4">
        <v>0</v>
      </c>
      <c r="Q1189" s="3" t="s">
        <v>26</v>
      </c>
      <c r="R1189" s="3">
        <v>0</v>
      </c>
      <c r="S1189" s="4">
        <v>0</v>
      </c>
      <c r="T1189" s="4">
        <v>20</v>
      </c>
      <c r="U1189" s="4">
        <v>88</v>
      </c>
      <c r="V1189" s="56">
        <f>IF(ISERROR(VLOOKUP($S$1189,'TAR FIN'!$A$1:$O$113,15,0)),0,VLOOKUP($S$1189,'TAR FIN'!$A$1:$O$113,15,0))</f>
        <v>0</v>
      </c>
      <c r="W1189" s="56">
        <f>IF(ISERROR(VLOOKUP($T$1189,'TAR FIN'!$A$1:$O$113,15,0)),0,VLOOKUP($T$1189,'TAR FIN'!$A$1:$O$113,15,0))*(1-0.06)</f>
        <v>1470.7145999999998</v>
      </c>
      <c r="X1189" s="56">
        <f>IF(ISERROR(VLOOKUP($U$1189,'TAR FIN'!$A$1:$O$113,15,0)),0,VLOOKUP($U$1189,'TAR FIN'!$A$1:$O$113,15,0))*(1-0.06)</f>
        <v>343.57</v>
      </c>
      <c r="Y1189" s="56"/>
      <c r="Z1189" s="56">
        <f ca="1">('TUSD BE'!$AM$31+'TUSD BF'!$AM$31+'TUSD CVA'!$AM$31)*1*(1-0.03)</f>
        <v>1782.7529237498334</v>
      </c>
      <c r="AA1189" s="56">
        <f>('TE BE'!$AA$10+'TE BF'!$AA$10+'TE CVA'!$AA$10)*1*(1-0.03)</f>
        <v>350.70363015859192</v>
      </c>
      <c r="AB1189" s="4">
        <f>$K$1189*$V$1189</f>
        <v>0</v>
      </c>
      <c r="AC1189" s="4">
        <f>$M$1189*$W$1189</f>
        <v>393055.83042299992</v>
      </c>
      <c r="AD1189" s="4">
        <f>$O$1189*$X$1189</f>
        <v>91820.80034999999</v>
      </c>
      <c r="AE1189" s="4">
        <f>$K$1189*$Y$1189</f>
        <v>0</v>
      </c>
      <c r="AF1189" s="4">
        <f ca="1">$M$1189*$Z$1189</f>
        <v>476449.6326367617</v>
      </c>
      <c r="AG1189" s="4">
        <f>$O$1189*$AA$1189</f>
        <v>93727.29867803448</v>
      </c>
    </row>
    <row r="1190" spans="1:33" ht="11.25" customHeight="1" x14ac:dyDescent="0.25">
      <c r="A1190" s="3" t="s">
        <v>21</v>
      </c>
      <c r="B1190" s="3" t="s">
        <v>22</v>
      </c>
      <c r="C1190" s="3" t="s">
        <v>33</v>
      </c>
      <c r="D1190" s="3" t="s">
        <v>24</v>
      </c>
      <c r="E1190" s="3" t="s">
        <v>24</v>
      </c>
      <c r="F1190" s="3" t="s">
        <v>25</v>
      </c>
      <c r="G1190" s="3" t="s">
        <v>25</v>
      </c>
      <c r="H1190" s="3" t="s">
        <v>35</v>
      </c>
      <c r="I1190" s="6">
        <v>44287</v>
      </c>
      <c r="J1190" s="4">
        <v>0</v>
      </c>
      <c r="K1190" s="4">
        <v>0</v>
      </c>
      <c r="L1190" s="4">
        <v>126.31399999999999</v>
      </c>
      <c r="M1190" s="4">
        <v>126.31399999999999</v>
      </c>
      <c r="N1190" s="4">
        <v>126.31399999999999</v>
      </c>
      <c r="O1190" s="4">
        <v>126.31399999999999</v>
      </c>
      <c r="P1190" s="4">
        <v>0</v>
      </c>
      <c r="Q1190" s="3" t="s">
        <v>26</v>
      </c>
      <c r="R1190" s="3">
        <v>0</v>
      </c>
      <c r="S1190" s="4">
        <v>0</v>
      </c>
      <c r="T1190" s="4">
        <v>47</v>
      </c>
      <c r="U1190" s="4">
        <v>64</v>
      </c>
      <c r="V1190" s="4">
        <f>IF(ISERROR(VLOOKUP($S$1190,'TAR FIN'!$A$1:$O$113,15,0)),0,VLOOKUP($S$1190,'TAR FIN'!$A$1:$O$113,15,0))</f>
        <v>0</v>
      </c>
      <c r="W1190" s="4">
        <f>IF(ISERROR(VLOOKUP($T$1190,'TAR FIN'!$A$1:$O$113,15,0)),0,VLOOKUP($T$1190,'TAR FIN'!$A$1:$O$113,15,0))</f>
        <v>236.61</v>
      </c>
      <c r="X1190" s="4">
        <f>IF(ISERROR(VLOOKUP($U$1190,'TAR FIN'!$A$1:$O$113,15,0)),0,VLOOKUP($U$1190,'TAR FIN'!$A$1:$O$113,15,0))</f>
        <v>222.31</v>
      </c>
      <c r="Y1190" s="4"/>
      <c r="Z1190" s="4">
        <f ca="1">('TUSD BE'!$AM$39+'TUSD BF'!$AM$39+'TUSD CVA'!$AM$39)*1</f>
        <v>282.46460860934536</v>
      </c>
      <c r="AA1190" s="4">
        <f>('TE BE'!$AA$18+'TE BF'!$AA$18+'TE CVA'!$AA$18)*1</f>
        <v>223.14561812044704</v>
      </c>
      <c r="AB1190" s="4">
        <f>$K$1190*$V$1190</f>
        <v>0</v>
      </c>
      <c r="AC1190" s="4">
        <f>$M$1190*$W$1190</f>
        <v>29887.15554</v>
      </c>
      <c r="AD1190" s="4">
        <f>$O$1190*$X$1190</f>
        <v>28080.86534</v>
      </c>
      <c r="AE1190" s="4">
        <f>$K$1190*$Y$1190</f>
        <v>0</v>
      </c>
      <c r="AF1190" s="4">
        <f ca="1">$M$1190*$Z$1190</f>
        <v>35679.23457188085</v>
      </c>
      <c r="AG1190" s="4">
        <f>$O$1190*$AA$1190</f>
        <v>28186.415607266146</v>
      </c>
    </row>
    <row r="1191" spans="1:33" ht="11.25" customHeight="1" x14ac:dyDescent="0.25">
      <c r="A1191" s="3" t="s">
        <v>28</v>
      </c>
      <c r="B1191" s="3" t="s">
        <v>22</v>
      </c>
      <c r="C1191" s="3" t="s">
        <v>33</v>
      </c>
      <c r="D1191" s="3" t="s">
        <v>24</v>
      </c>
      <c r="E1191" s="3" t="s">
        <v>24</v>
      </c>
      <c r="F1191" s="3" t="s">
        <v>25</v>
      </c>
      <c r="G1191" s="3" t="s">
        <v>25</v>
      </c>
      <c r="H1191" s="3" t="s">
        <v>35</v>
      </c>
      <c r="I1191" s="6">
        <v>44287</v>
      </c>
      <c r="J1191" s="4">
        <v>0</v>
      </c>
      <c r="K1191" s="4">
        <v>0</v>
      </c>
      <c r="L1191" s="4">
        <v>1.649</v>
      </c>
      <c r="M1191" s="4">
        <v>1.649</v>
      </c>
      <c r="N1191" s="4">
        <v>1.649</v>
      </c>
      <c r="O1191" s="4">
        <v>1.649</v>
      </c>
      <c r="P1191" s="4">
        <v>0</v>
      </c>
      <c r="Q1191" s="3" t="s">
        <v>26</v>
      </c>
      <c r="R1191" s="3">
        <v>0</v>
      </c>
      <c r="S1191" s="4">
        <v>0</v>
      </c>
      <c r="T1191" s="4">
        <v>47</v>
      </c>
      <c r="U1191" s="4">
        <v>64</v>
      </c>
      <c r="V1191" s="4">
        <f>IF(ISERROR(VLOOKUP($S$1191,'TAR FIN'!$A$1:$O$113,15,0)),0,VLOOKUP($S$1191,'TAR FIN'!$A$1:$O$113,15,0))</f>
        <v>0</v>
      </c>
      <c r="W1191" s="4">
        <f>IF(ISERROR(VLOOKUP($T$1191,'TAR FIN'!$A$1:$O$113,15,0)),0,VLOOKUP($T$1191,'TAR FIN'!$A$1:$O$113,15,0))</f>
        <v>236.61</v>
      </c>
      <c r="X1191" s="4">
        <f>IF(ISERROR(VLOOKUP($U$1191,'TAR FIN'!$A$1:$O$113,15,0)),0,VLOOKUP($U$1191,'TAR FIN'!$A$1:$O$113,15,0))</f>
        <v>222.31</v>
      </c>
      <c r="Y1191" s="4"/>
      <c r="Z1191" s="4">
        <f ca="1">('TUSD BE'!$AM$39+'TUSD BF'!$AM$39+'TUSD CVA'!$AM$39)*1</f>
        <v>282.46460860934536</v>
      </c>
      <c r="AA1191" s="4">
        <f>('TE BE'!$AA$18+'TE BF'!$AA$18+'TE CVA'!$AA$18)*1</f>
        <v>223.14561812044704</v>
      </c>
      <c r="AB1191" s="4">
        <f>$K$1191*$V$1191</f>
        <v>0</v>
      </c>
      <c r="AC1191" s="4">
        <f>$M$1191*$W$1191</f>
        <v>390.16989000000001</v>
      </c>
      <c r="AD1191" s="4">
        <f>$O$1191*$X$1191</f>
        <v>366.58919000000003</v>
      </c>
      <c r="AE1191" s="4">
        <f>$K$1191*$Y$1191</f>
        <v>0</v>
      </c>
      <c r="AF1191" s="4">
        <f ca="1">$M$1191*$Z$1191</f>
        <v>465.78413959681052</v>
      </c>
      <c r="AG1191" s="4">
        <f>$O$1191*$AA$1191</f>
        <v>367.96712428061716</v>
      </c>
    </row>
    <row r="1192" spans="1:33" ht="11.25" customHeight="1" x14ac:dyDescent="0.25">
      <c r="A1192" s="3" t="s">
        <v>21</v>
      </c>
      <c r="B1192" s="3" t="s">
        <v>22</v>
      </c>
      <c r="C1192" s="3" t="s">
        <v>33</v>
      </c>
      <c r="D1192" s="3" t="s">
        <v>24</v>
      </c>
      <c r="E1192" s="3" t="s">
        <v>24</v>
      </c>
      <c r="F1192" s="3" t="s">
        <v>25</v>
      </c>
      <c r="G1192" s="3" t="s">
        <v>25</v>
      </c>
      <c r="H1192" s="3" t="s">
        <v>35</v>
      </c>
      <c r="I1192" s="6">
        <v>44317</v>
      </c>
      <c r="J1192" s="4">
        <v>0</v>
      </c>
      <c r="K1192" s="4">
        <v>0</v>
      </c>
      <c r="L1192" s="4">
        <v>108.97499999999999</v>
      </c>
      <c r="M1192" s="4">
        <v>108.97499999999999</v>
      </c>
      <c r="N1192" s="4">
        <v>108.97499999999999</v>
      </c>
      <c r="O1192" s="4">
        <v>108.97499999999999</v>
      </c>
      <c r="P1192" s="4">
        <v>0</v>
      </c>
      <c r="Q1192" s="3" t="s">
        <v>26</v>
      </c>
      <c r="R1192" s="3">
        <v>0</v>
      </c>
      <c r="S1192" s="4">
        <v>0</v>
      </c>
      <c r="T1192" s="4">
        <v>47</v>
      </c>
      <c r="U1192" s="4">
        <v>64</v>
      </c>
      <c r="V1192" s="4">
        <f>IF(ISERROR(VLOOKUP($S$1192,'TAR FIN'!$A$1:$O$113,15,0)),0,VLOOKUP($S$1192,'TAR FIN'!$A$1:$O$113,15,0))</f>
        <v>0</v>
      </c>
      <c r="W1192" s="4">
        <f>IF(ISERROR(VLOOKUP($T$1192,'TAR FIN'!$A$1:$O$113,15,0)),0,VLOOKUP($T$1192,'TAR FIN'!$A$1:$O$113,15,0))</f>
        <v>236.61</v>
      </c>
      <c r="X1192" s="4">
        <f>IF(ISERROR(VLOOKUP($U$1192,'TAR FIN'!$A$1:$O$113,15,0)),0,VLOOKUP($U$1192,'TAR FIN'!$A$1:$O$113,15,0))</f>
        <v>222.31</v>
      </c>
      <c r="Y1192" s="4"/>
      <c r="Z1192" s="4">
        <f ca="1">('TUSD BE'!$AM$39+'TUSD BF'!$AM$39+'TUSD CVA'!$AM$39)*1</f>
        <v>282.46460860934536</v>
      </c>
      <c r="AA1192" s="4">
        <f>('TE BE'!$AA$18+'TE BF'!$AA$18+'TE CVA'!$AA$18)*1</f>
        <v>223.14561812044704</v>
      </c>
      <c r="AB1192" s="4">
        <f>$K$1192*$V$1192</f>
        <v>0</v>
      </c>
      <c r="AC1192" s="4">
        <f>$M$1192*$W$1192</f>
        <v>25784.57475</v>
      </c>
      <c r="AD1192" s="4">
        <f>$O$1192*$X$1192</f>
        <v>24226.232249999997</v>
      </c>
      <c r="AE1192" s="4">
        <f>$K$1192*$Y$1192</f>
        <v>0</v>
      </c>
      <c r="AF1192" s="4">
        <f ca="1">$M$1192*$Z$1192</f>
        <v>30781.580723203409</v>
      </c>
      <c r="AG1192" s="4">
        <f>$O$1192*$AA$1192</f>
        <v>24317.293734675713</v>
      </c>
    </row>
    <row r="1193" spans="1:33" ht="11.25" customHeight="1" x14ac:dyDescent="0.25">
      <c r="A1193" s="3" t="s">
        <v>28</v>
      </c>
      <c r="B1193" s="3" t="s">
        <v>22</v>
      </c>
      <c r="C1193" s="3" t="s">
        <v>33</v>
      </c>
      <c r="D1193" s="3" t="s">
        <v>24</v>
      </c>
      <c r="E1193" s="3" t="s">
        <v>24</v>
      </c>
      <c r="F1193" s="3" t="s">
        <v>25</v>
      </c>
      <c r="G1193" s="3" t="s">
        <v>25</v>
      </c>
      <c r="H1193" s="3" t="s">
        <v>35</v>
      </c>
      <c r="I1193" s="6">
        <v>44317</v>
      </c>
      <c r="J1193" s="4">
        <v>0</v>
      </c>
      <c r="K1193" s="4">
        <v>0</v>
      </c>
      <c r="L1193" s="4">
        <v>1.0229999999999999</v>
      </c>
      <c r="M1193" s="4">
        <v>1.0229999999999999</v>
      </c>
      <c r="N1193" s="4">
        <v>1.0229999999999999</v>
      </c>
      <c r="O1193" s="4">
        <v>1.0229999999999999</v>
      </c>
      <c r="P1193" s="4">
        <v>0</v>
      </c>
      <c r="Q1193" s="3" t="s">
        <v>26</v>
      </c>
      <c r="R1193" s="3">
        <v>0</v>
      </c>
      <c r="S1193" s="4">
        <v>0</v>
      </c>
      <c r="T1193" s="4">
        <v>47</v>
      </c>
      <c r="U1193" s="4">
        <v>64</v>
      </c>
      <c r="V1193" s="4">
        <f>IF(ISERROR(VLOOKUP($S$1193,'TAR FIN'!$A$1:$O$113,15,0)),0,VLOOKUP($S$1193,'TAR FIN'!$A$1:$O$113,15,0))</f>
        <v>0</v>
      </c>
      <c r="W1193" s="4">
        <f>IF(ISERROR(VLOOKUP($T$1193,'TAR FIN'!$A$1:$O$113,15,0)),0,VLOOKUP($T$1193,'TAR FIN'!$A$1:$O$113,15,0))</f>
        <v>236.61</v>
      </c>
      <c r="X1193" s="4">
        <f>IF(ISERROR(VLOOKUP($U$1193,'TAR FIN'!$A$1:$O$113,15,0)),0,VLOOKUP($U$1193,'TAR FIN'!$A$1:$O$113,15,0))</f>
        <v>222.31</v>
      </c>
      <c r="Y1193" s="4"/>
      <c r="Z1193" s="4">
        <f ca="1">('TUSD BE'!$AM$39+'TUSD BF'!$AM$39+'TUSD CVA'!$AM$39)*1</f>
        <v>282.46460860934536</v>
      </c>
      <c r="AA1193" s="4">
        <f>('TE BE'!$AA$18+'TE BF'!$AA$18+'TE CVA'!$AA$18)*1</f>
        <v>223.14561812044704</v>
      </c>
      <c r="AB1193" s="4">
        <f>$K$1193*$V$1193</f>
        <v>0</v>
      </c>
      <c r="AC1193" s="4">
        <f>$M$1193*$W$1193</f>
        <v>242.05203</v>
      </c>
      <c r="AD1193" s="4">
        <f>$O$1193*$X$1193</f>
        <v>227.42312999999999</v>
      </c>
      <c r="AE1193" s="4">
        <f>$K$1193*$Y$1193</f>
        <v>0</v>
      </c>
      <c r="AF1193" s="4">
        <f ca="1">$M$1193*$Z$1193</f>
        <v>288.96129460736029</v>
      </c>
      <c r="AG1193" s="4">
        <f>$O$1193*$AA$1193</f>
        <v>228.27796733721729</v>
      </c>
    </row>
    <row r="1194" spans="1:33" ht="11.25" customHeight="1" x14ac:dyDescent="0.25">
      <c r="A1194" s="3" t="s">
        <v>21</v>
      </c>
      <c r="B1194" s="3" t="s">
        <v>22</v>
      </c>
      <c r="C1194" s="3" t="s">
        <v>33</v>
      </c>
      <c r="D1194" s="3" t="s">
        <v>24</v>
      </c>
      <c r="E1194" s="3" t="s">
        <v>24</v>
      </c>
      <c r="F1194" s="3" t="s">
        <v>25</v>
      </c>
      <c r="G1194" s="3" t="s">
        <v>25</v>
      </c>
      <c r="H1194" s="3" t="s">
        <v>35</v>
      </c>
      <c r="I1194" s="6">
        <v>44348</v>
      </c>
      <c r="J1194" s="4">
        <v>0</v>
      </c>
      <c r="K1194" s="4">
        <v>0</v>
      </c>
      <c r="L1194" s="4">
        <v>102.21</v>
      </c>
      <c r="M1194" s="4">
        <v>102.21</v>
      </c>
      <c r="N1194" s="4">
        <v>102.21</v>
      </c>
      <c r="O1194" s="4">
        <v>102.21</v>
      </c>
      <c r="P1194" s="4">
        <v>0</v>
      </c>
      <c r="Q1194" s="3" t="s">
        <v>26</v>
      </c>
      <c r="R1194" s="3">
        <v>0</v>
      </c>
      <c r="S1194" s="4">
        <v>0</v>
      </c>
      <c r="T1194" s="4">
        <v>47</v>
      </c>
      <c r="U1194" s="4">
        <v>64</v>
      </c>
      <c r="V1194" s="4">
        <f>IF(ISERROR(VLOOKUP($S$1194,'TAR FIN'!$A$1:$O$113,15,0)),0,VLOOKUP($S$1194,'TAR FIN'!$A$1:$O$113,15,0))</f>
        <v>0</v>
      </c>
      <c r="W1194" s="4">
        <f>IF(ISERROR(VLOOKUP($T$1194,'TAR FIN'!$A$1:$O$113,15,0)),0,VLOOKUP($T$1194,'TAR FIN'!$A$1:$O$113,15,0))</f>
        <v>236.61</v>
      </c>
      <c r="X1194" s="4">
        <f>IF(ISERROR(VLOOKUP($U$1194,'TAR FIN'!$A$1:$O$113,15,0)),0,VLOOKUP($U$1194,'TAR FIN'!$A$1:$O$113,15,0))</f>
        <v>222.31</v>
      </c>
      <c r="Y1194" s="4"/>
      <c r="Z1194" s="4">
        <f ca="1">('TUSD BE'!$AM$39+'TUSD BF'!$AM$39+'TUSD CVA'!$AM$39)*1</f>
        <v>282.46460860934536</v>
      </c>
      <c r="AA1194" s="4">
        <f>('TE BE'!$AA$18+'TE BF'!$AA$18+'TE CVA'!$AA$18)*1</f>
        <v>223.14561812044704</v>
      </c>
      <c r="AB1194" s="4">
        <f>$K$1194*$V$1194</f>
        <v>0</v>
      </c>
      <c r="AC1194" s="4">
        <f>$M$1194*$W$1194</f>
        <v>24183.908100000001</v>
      </c>
      <c r="AD1194" s="4">
        <f>$O$1194*$X$1194</f>
        <v>22722.305099999998</v>
      </c>
      <c r="AE1194" s="4">
        <f>$K$1194*$Y$1194</f>
        <v>0</v>
      </c>
      <c r="AF1194" s="4">
        <f ca="1">$M$1194*$Z$1194</f>
        <v>28870.707645961189</v>
      </c>
      <c r="AG1194" s="4">
        <f>$O$1194*$AA$1194</f>
        <v>22807.713628090889</v>
      </c>
    </row>
    <row r="1195" spans="1:33" ht="11.25" customHeight="1" x14ac:dyDescent="0.25">
      <c r="A1195" s="3" t="s">
        <v>28</v>
      </c>
      <c r="B1195" s="3" t="s">
        <v>22</v>
      </c>
      <c r="C1195" s="3" t="s">
        <v>33</v>
      </c>
      <c r="D1195" s="3" t="s">
        <v>24</v>
      </c>
      <c r="E1195" s="3" t="s">
        <v>24</v>
      </c>
      <c r="F1195" s="3" t="s">
        <v>25</v>
      </c>
      <c r="G1195" s="3" t="s">
        <v>25</v>
      </c>
      <c r="H1195" s="3" t="s">
        <v>35</v>
      </c>
      <c r="I1195" s="6">
        <v>44348</v>
      </c>
      <c r="J1195" s="4">
        <v>0</v>
      </c>
      <c r="K1195" s="4">
        <v>0</v>
      </c>
      <c r="L1195" s="4">
        <v>0.625</v>
      </c>
      <c r="M1195" s="4">
        <v>0.625</v>
      </c>
      <c r="N1195" s="4">
        <v>0.625</v>
      </c>
      <c r="O1195" s="4">
        <v>0.625</v>
      </c>
      <c r="P1195" s="4">
        <v>0</v>
      </c>
      <c r="Q1195" s="3" t="s">
        <v>26</v>
      </c>
      <c r="R1195" s="3">
        <v>0</v>
      </c>
      <c r="S1195" s="4">
        <v>0</v>
      </c>
      <c r="T1195" s="4">
        <v>47</v>
      </c>
      <c r="U1195" s="4">
        <v>64</v>
      </c>
      <c r="V1195" s="4">
        <f>IF(ISERROR(VLOOKUP($S$1195,'TAR FIN'!$A$1:$O$113,15,0)),0,VLOOKUP($S$1195,'TAR FIN'!$A$1:$O$113,15,0))</f>
        <v>0</v>
      </c>
      <c r="W1195" s="4">
        <f>IF(ISERROR(VLOOKUP($T$1195,'TAR FIN'!$A$1:$O$113,15,0)),0,VLOOKUP($T$1195,'TAR FIN'!$A$1:$O$113,15,0))</f>
        <v>236.61</v>
      </c>
      <c r="X1195" s="4">
        <f>IF(ISERROR(VLOOKUP($U$1195,'TAR FIN'!$A$1:$O$113,15,0)),0,VLOOKUP($U$1195,'TAR FIN'!$A$1:$O$113,15,0))</f>
        <v>222.31</v>
      </c>
      <c r="Y1195" s="4"/>
      <c r="Z1195" s="4">
        <f ca="1">('TUSD BE'!$AM$39+'TUSD BF'!$AM$39+'TUSD CVA'!$AM$39)*1</f>
        <v>282.46460860934536</v>
      </c>
      <c r="AA1195" s="4">
        <f>('TE BE'!$AA$18+'TE BF'!$AA$18+'TE CVA'!$AA$18)*1</f>
        <v>223.14561812044704</v>
      </c>
      <c r="AB1195" s="4">
        <f>$K$1195*$V$1195</f>
        <v>0</v>
      </c>
      <c r="AC1195" s="4">
        <f>$M$1195*$W$1195</f>
        <v>147.88125000000002</v>
      </c>
      <c r="AD1195" s="4">
        <f>$O$1195*$X$1195</f>
        <v>138.94374999999999</v>
      </c>
      <c r="AE1195" s="4">
        <f>$K$1195*$Y$1195</f>
        <v>0</v>
      </c>
      <c r="AF1195" s="4">
        <f ca="1">$M$1195*$Z$1195</f>
        <v>176.54038038084084</v>
      </c>
      <c r="AG1195" s="4">
        <f>$O$1195*$AA$1195</f>
        <v>139.4660113252794</v>
      </c>
    </row>
    <row r="1196" spans="1:33" ht="11.25" customHeight="1" x14ac:dyDescent="0.25">
      <c r="A1196" s="3" t="s">
        <v>21</v>
      </c>
      <c r="B1196" s="3" t="s">
        <v>22</v>
      </c>
      <c r="C1196" s="3" t="s">
        <v>33</v>
      </c>
      <c r="D1196" s="3" t="s">
        <v>24</v>
      </c>
      <c r="E1196" s="3" t="s">
        <v>24</v>
      </c>
      <c r="F1196" s="3" t="s">
        <v>25</v>
      </c>
      <c r="G1196" s="3" t="s">
        <v>25</v>
      </c>
      <c r="H1196" s="3" t="s">
        <v>35</v>
      </c>
      <c r="I1196" s="6">
        <v>44378</v>
      </c>
      <c r="J1196" s="4">
        <v>0</v>
      </c>
      <c r="K1196" s="4">
        <v>0</v>
      </c>
      <c r="L1196" s="4">
        <v>93.563000000000002</v>
      </c>
      <c r="M1196" s="4">
        <v>93.563000000000002</v>
      </c>
      <c r="N1196" s="4">
        <v>93.563000000000002</v>
      </c>
      <c r="O1196" s="4">
        <v>93.563000000000002</v>
      </c>
      <c r="P1196" s="4">
        <v>0</v>
      </c>
      <c r="Q1196" s="3" t="s">
        <v>26</v>
      </c>
      <c r="R1196" s="3">
        <v>0</v>
      </c>
      <c r="S1196" s="4">
        <v>0</v>
      </c>
      <c r="T1196" s="4">
        <v>47</v>
      </c>
      <c r="U1196" s="4">
        <v>64</v>
      </c>
      <c r="V1196" s="4">
        <f>IF(ISERROR(VLOOKUP($S$1196,'TAR FIN'!$A$1:$O$113,15,0)),0,VLOOKUP($S$1196,'TAR FIN'!$A$1:$O$113,15,0))</f>
        <v>0</v>
      </c>
      <c r="W1196" s="4">
        <f>IF(ISERROR(VLOOKUP($T$1196,'TAR FIN'!$A$1:$O$113,15,0)),0,VLOOKUP($T$1196,'TAR FIN'!$A$1:$O$113,15,0))</f>
        <v>236.61</v>
      </c>
      <c r="X1196" s="4">
        <f>IF(ISERROR(VLOOKUP($U$1196,'TAR FIN'!$A$1:$O$113,15,0)),0,VLOOKUP($U$1196,'TAR FIN'!$A$1:$O$113,15,0))</f>
        <v>222.31</v>
      </c>
      <c r="Y1196" s="4"/>
      <c r="Z1196" s="4">
        <f ca="1">('TUSD BE'!$AM$39+'TUSD BF'!$AM$39+'TUSD CVA'!$AM$39)*1</f>
        <v>282.46460860934536</v>
      </c>
      <c r="AA1196" s="4">
        <f>('TE BE'!$AA$18+'TE BF'!$AA$18+'TE CVA'!$AA$18)*1</f>
        <v>223.14561812044704</v>
      </c>
      <c r="AB1196" s="4">
        <f>$K$1196*$V$1196</f>
        <v>0</v>
      </c>
      <c r="AC1196" s="4">
        <f>$M$1196*$W$1196</f>
        <v>22137.941430000003</v>
      </c>
      <c r="AD1196" s="4">
        <f>$O$1196*$X$1196</f>
        <v>20799.990529999999</v>
      </c>
      <c r="AE1196" s="4">
        <f>$K$1196*$Y$1196</f>
        <v>0</v>
      </c>
      <c r="AF1196" s="4">
        <f ca="1">$M$1196*$Z$1196</f>
        <v>26428.236175316182</v>
      </c>
      <c r="AG1196" s="4">
        <f>$O$1196*$AA$1196</f>
        <v>20878.173468203386</v>
      </c>
    </row>
    <row r="1197" spans="1:33" ht="11.25" customHeight="1" x14ac:dyDescent="0.25">
      <c r="A1197" s="3" t="s">
        <v>28</v>
      </c>
      <c r="B1197" s="3" t="s">
        <v>22</v>
      </c>
      <c r="C1197" s="3" t="s">
        <v>33</v>
      </c>
      <c r="D1197" s="3" t="s">
        <v>24</v>
      </c>
      <c r="E1197" s="3" t="s">
        <v>24</v>
      </c>
      <c r="F1197" s="3" t="s">
        <v>25</v>
      </c>
      <c r="G1197" s="3" t="s">
        <v>25</v>
      </c>
      <c r="H1197" s="3" t="s">
        <v>35</v>
      </c>
      <c r="I1197" s="6">
        <v>44378</v>
      </c>
      <c r="J1197" s="4">
        <v>0</v>
      </c>
      <c r="K1197" s="4">
        <v>0</v>
      </c>
      <c r="L1197" s="4">
        <v>0.59299999999999997</v>
      </c>
      <c r="M1197" s="4">
        <v>0.59299999999999997</v>
      </c>
      <c r="N1197" s="4">
        <v>0.59299999999999997</v>
      </c>
      <c r="O1197" s="4">
        <v>0.59299999999999997</v>
      </c>
      <c r="P1197" s="4">
        <v>0</v>
      </c>
      <c r="Q1197" s="3" t="s">
        <v>26</v>
      </c>
      <c r="R1197" s="3">
        <v>0</v>
      </c>
      <c r="S1197" s="4">
        <v>0</v>
      </c>
      <c r="T1197" s="4">
        <v>47</v>
      </c>
      <c r="U1197" s="4">
        <v>64</v>
      </c>
      <c r="V1197" s="4">
        <f>IF(ISERROR(VLOOKUP($S$1197,'TAR FIN'!$A$1:$O$113,15,0)),0,VLOOKUP($S$1197,'TAR FIN'!$A$1:$O$113,15,0))</f>
        <v>0</v>
      </c>
      <c r="W1197" s="4">
        <f>IF(ISERROR(VLOOKUP($T$1197,'TAR FIN'!$A$1:$O$113,15,0)),0,VLOOKUP($T$1197,'TAR FIN'!$A$1:$O$113,15,0))</f>
        <v>236.61</v>
      </c>
      <c r="X1197" s="4">
        <f>IF(ISERROR(VLOOKUP($U$1197,'TAR FIN'!$A$1:$O$113,15,0)),0,VLOOKUP($U$1197,'TAR FIN'!$A$1:$O$113,15,0))</f>
        <v>222.31</v>
      </c>
      <c r="Y1197" s="4"/>
      <c r="Z1197" s="4">
        <f ca="1">('TUSD BE'!$AM$39+'TUSD BF'!$AM$39+'TUSD CVA'!$AM$39)*1</f>
        <v>282.46460860934536</v>
      </c>
      <c r="AA1197" s="4">
        <f>('TE BE'!$AA$18+'TE BF'!$AA$18+'TE CVA'!$AA$18)*1</f>
        <v>223.14561812044704</v>
      </c>
      <c r="AB1197" s="4">
        <f>$K$1197*$V$1197</f>
        <v>0</v>
      </c>
      <c r="AC1197" s="4">
        <f>$M$1197*$W$1197</f>
        <v>140.30973</v>
      </c>
      <c r="AD1197" s="4">
        <f>$O$1197*$X$1197</f>
        <v>131.82982999999999</v>
      </c>
      <c r="AE1197" s="4">
        <f>$K$1197*$Y$1197</f>
        <v>0</v>
      </c>
      <c r="AF1197" s="4">
        <f ca="1">$M$1197*$Z$1197</f>
        <v>167.5015129053418</v>
      </c>
      <c r="AG1197" s="4">
        <f>$O$1197*$AA$1197</f>
        <v>132.32535154542509</v>
      </c>
    </row>
    <row r="1198" spans="1:33" ht="11.25" customHeight="1" x14ac:dyDescent="0.25">
      <c r="A1198" s="3" t="s">
        <v>21</v>
      </c>
      <c r="B1198" s="3" t="s">
        <v>22</v>
      </c>
      <c r="C1198" s="3" t="s">
        <v>33</v>
      </c>
      <c r="D1198" s="3" t="s">
        <v>24</v>
      </c>
      <c r="E1198" s="3" t="s">
        <v>24</v>
      </c>
      <c r="F1198" s="3" t="s">
        <v>25</v>
      </c>
      <c r="G1198" s="3" t="s">
        <v>25</v>
      </c>
      <c r="H1198" s="3" t="s">
        <v>35</v>
      </c>
      <c r="I1198" s="6">
        <v>44409</v>
      </c>
      <c r="J1198" s="4">
        <v>0</v>
      </c>
      <c r="K1198" s="4">
        <v>0</v>
      </c>
      <c r="L1198" s="4">
        <v>91.730999999999995</v>
      </c>
      <c r="M1198" s="4">
        <v>91.730999999999995</v>
      </c>
      <c r="N1198" s="4">
        <v>91.730999999999995</v>
      </c>
      <c r="O1198" s="4">
        <v>91.730999999999995</v>
      </c>
      <c r="P1198" s="4">
        <v>0</v>
      </c>
      <c r="Q1198" s="3" t="s">
        <v>26</v>
      </c>
      <c r="R1198" s="3">
        <v>0</v>
      </c>
      <c r="S1198" s="4">
        <v>0</v>
      </c>
      <c r="T1198" s="4">
        <v>47</v>
      </c>
      <c r="U1198" s="4">
        <v>64</v>
      </c>
      <c r="V1198" s="4">
        <f>IF(ISERROR(VLOOKUP($S$1198,'TAR FIN'!$A$1:$O$113,15,0)),0,VLOOKUP($S$1198,'TAR FIN'!$A$1:$O$113,15,0))</f>
        <v>0</v>
      </c>
      <c r="W1198" s="4">
        <f>IF(ISERROR(VLOOKUP($T$1198,'TAR FIN'!$A$1:$O$113,15,0)),0,VLOOKUP($T$1198,'TAR FIN'!$A$1:$O$113,15,0))</f>
        <v>236.61</v>
      </c>
      <c r="X1198" s="4">
        <f>IF(ISERROR(VLOOKUP($U$1198,'TAR FIN'!$A$1:$O$113,15,0)),0,VLOOKUP($U$1198,'TAR FIN'!$A$1:$O$113,15,0))</f>
        <v>222.31</v>
      </c>
      <c r="Y1198" s="4"/>
      <c r="Z1198" s="4">
        <f ca="1">('TUSD BE'!$AM$39+'TUSD BF'!$AM$39+'TUSD CVA'!$AM$39)*1</f>
        <v>282.46460860934536</v>
      </c>
      <c r="AA1198" s="4">
        <f>('TE BE'!$AA$18+'TE BF'!$AA$18+'TE CVA'!$AA$18)*1</f>
        <v>223.14561812044704</v>
      </c>
      <c r="AB1198" s="4">
        <f>$K$1198*$V$1198</f>
        <v>0</v>
      </c>
      <c r="AC1198" s="4">
        <f>$M$1198*$W$1198</f>
        <v>21704.47191</v>
      </c>
      <c r="AD1198" s="4">
        <f>$O$1198*$X$1198</f>
        <v>20392.71861</v>
      </c>
      <c r="AE1198" s="4">
        <f>$K$1198*$Y$1198</f>
        <v>0</v>
      </c>
      <c r="AF1198" s="4">
        <f ca="1">$M$1198*$Z$1198</f>
        <v>25910.761012343857</v>
      </c>
      <c r="AG1198" s="4">
        <f>$O$1198*$AA$1198</f>
        <v>20469.370695806727</v>
      </c>
    </row>
    <row r="1199" spans="1:33" ht="11.25" customHeight="1" x14ac:dyDescent="0.25">
      <c r="A1199" s="3" t="s">
        <v>28</v>
      </c>
      <c r="B1199" s="3" t="s">
        <v>22</v>
      </c>
      <c r="C1199" s="3" t="s">
        <v>33</v>
      </c>
      <c r="D1199" s="3" t="s">
        <v>24</v>
      </c>
      <c r="E1199" s="3" t="s">
        <v>24</v>
      </c>
      <c r="F1199" s="3" t="s">
        <v>25</v>
      </c>
      <c r="G1199" s="3" t="s">
        <v>25</v>
      </c>
      <c r="H1199" s="3" t="s">
        <v>35</v>
      </c>
      <c r="I1199" s="6">
        <v>44409</v>
      </c>
      <c r="J1199" s="4">
        <v>0</v>
      </c>
      <c r="K1199" s="4">
        <v>0</v>
      </c>
      <c r="L1199" s="4">
        <v>0.84299999999999997</v>
      </c>
      <c r="M1199" s="4">
        <v>0.84299999999999997</v>
      </c>
      <c r="N1199" s="4">
        <v>0.84299999999999997</v>
      </c>
      <c r="O1199" s="4">
        <v>0.84299999999999997</v>
      </c>
      <c r="P1199" s="4">
        <v>0</v>
      </c>
      <c r="Q1199" s="3" t="s">
        <v>26</v>
      </c>
      <c r="R1199" s="3">
        <v>0</v>
      </c>
      <c r="S1199" s="4">
        <v>0</v>
      </c>
      <c r="T1199" s="4">
        <v>47</v>
      </c>
      <c r="U1199" s="4">
        <v>64</v>
      </c>
      <c r="V1199" s="4">
        <f>IF(ISERROR(VLOOKUP($S$1199,'TAR FIN'!$A$1:$O$113,15,0)),0,VLOOKUP($S$1199,'TAR FIN'!$A$1:$O$113,15,0))</f>
        <v>0</v>
      </c>
      <c r="W1199" s="4">
        <f>IF(ISERROR(VLOOKUP($T$1199,'TAR FIN'!$A$1:$O$113,15,0)),0,VLOOKUP($T$1199,'TAR FIN'!$A$1:$O$113,15,0))</f>
        <v>236.61</v>
      </c>
      <c r="X1199" s="4">
        <f>IF(ISERROR(VLOOKUP($U$1199,'TAR FIN'!$A$1:$O$113,15,0)),0,VLOOKUP($U$1199,'TAR FIN'!$A$1:$O$113,15,0))</f>
        <v>222.31</v>
      </c>
      <c r="Y1199" s="4"/>
      <c r="Z1199" s="4">
        <f ca="1">('TUSD BE'!$AM$39+'TUSD BF'!$AM$39+'TUSD CVA'!$AM$39)*1</f>
        <v>282.46460860934536</v>
      </c>
      <c r="AA1199" s="4">
        <f>('TE BE'!$AA$18+'TE BF'!$AA$18+'TE CVA'!$AA$18)*1</f>
        <v>223.14561812044704</v>
      </c>
      <c r="AB1199" s="4">
        <f>$K$1199*$V$1199</f>
        <v>0</v>
      </c>
      <c r="AC1199" s="4">
        <f>$M$1199*$W$1199</f>
        <v>199.46223000000001</v>
      </c>
      <c r="AD1199" s="4">
        <f>$O$1199*$X$1199</f>
        <v>187.40733</v>
      </c>
      <c r="AE1199" s="4">
        <f>$K$1199*$Y$1199</f>
        <v>0</v>
      </c>
      <c r="AF1199" s="4">
        <f ca="1">$M$1199*$Z$1199</f>
        <v>238.11766505767812</v>
      </c>
      <c r="AG1199" s="4">
        <f>$O$1199*$AA$1199</f>
        <v>188.11175607553685</v>
      </c>
    </row>
    <row r="1200" spans="1:33" ht="11.25" customHeight="1" x14ac:dyDescent="0.25">
      <c r="A1200" s="3" t="s">
        <v>21</v>
      </c>
      <c r="B1200" s="3" t="s">
        <v>22</v>
      </c>
      <c r="C1200" s="3" t="s">
        <v>33</v>
      </c>
      <c r="D1200" s="3" t="s">
        <v>24</v>
      </c>
      <c r="E1200" s="3" t="s">
        <v>24</v>
      </c>
      <c r="F1200" s="3" t="s">
        <v>25</v>
      </c>
      <c r="G1200" s="3" t="s">
        <v>25</v>
      </c>
      <c r="H1200" s="3" t="s">
        <v>35</v>
      </c>
      <c r="I1200" s="6">
        <v>44440</v>
      </c>
      <c r="J1200" s="4">
        <v>0</v>
      </c>
      <c r="K1200" s="4">
        <v>0</v>
      </c>
      <c r="L1200" s="4">
        <v>102.303</v>
      </c>
      <c r="M1200" s="4">
        <v>102.303</v>
      </c>
      <c r="N1200" s="4">
        <v>102.303</v>
      </c>
      <c r="O1200" s="4">
        <v>102.303</v>
      </c>
      <c r="P1200" s="4">
        <v>0</v>
      </c>
      <c r="Q1200" s="3" t="s">
        <v>26</v>
      </c>
      <c r="R1200" s="3">
        <v>0</v>
      </c>
      <c r="S1200" s="4">
        <v>0</v>
      </c>
      <c r="T1200" s="4">
        <v>47</v>
      </c>
      <c r="U1200" s="4">
        <v>64</v>
      </c>
      <c r="V1200" s="4">
        <f>IF(ISERROR(VLOOKUP($S$1200,'TAR FIN'!$A$1:$O$113,15,0)),0,VLOOKUP($S$1200,'TAR FIN'!$A$1:$O$113,15,0))</f>
        <v>0</v>
      </c>
      <c r="W1200" s="4">
        <f>IF(ISERROR(VLOOKUP($T$1200,'TAR FIN'!$A$1:$O$113,15,0)),0,VLOOKUP($T$1200,'TAR FIN'!$A$1:$O$113,15,0))</f>
        <v>236.61</v>
      </c>
      <c r="X1200" s="4">
        <f>IF(ISERROR(VLOOKUP($U$1200,'TAR FIN'!$A$1:$O$113,15,0)),0,VLOOKUP($U$1200,'TAR FIN'!$A$1:$O$113,15,0))</f>
        <v>222.31</v>
      </c>
      <c r="Y1200" s="4"/>
      <c r="Z1200" s="4">
        <f ca="1">('TUSD BE'!$AM$39+'TUSD BF'!$AM$39+'TUSD CVA'!$AM$39)*1</f>
        <v>282.46460860934536</v>
      </c>
      <c r="AA1200" s="4">
        <f>('TE BE'!$AA$18+'TE BF'!$AA$18+'TE CVA'!$AA$18)*1</f>
        <v>223.14561812044704</v>
      </c>
      <c r="AB1200" s="4">
        <f>$K$1200*$V$1200</f>
        <v>0</v>
      </c>
      <c r="AC1200" s="4">
        <f>$M$1200*$W$1200</f>
        <v>24205.912830000001</v>
      </c>
      <c r="AD1200" s="4">
        <f>$O$1200*$X$1200</f>
        <v>22742.979930000001</v>
      </c>
      <c r="AE1200" s="4">
        <f>$K$1200*$Y$1200</f>
        <v>0</v>
      </c>
      <c r="AF1200" s="4">
        <f ca="1">$M$1200*$Z$1200</f>
        <v>28896.976854561857</v>
      </c>
      <c r="AG1200" s="4">
        <f>$O$1200*$AA$1200</f>
        <v>22828.466170576092</v>
      </c>
    </row>
    <row r="1201" spans="1:33" ht="11.25" customHeight="1" x14ac:dyDescent="0.25">
      <c r="A1201" s="3" t="s">
        <v>27</v>
      </c>
      <c r="B1201" s="3" t="s">
        <v>22</v>
      </c>
      <c r="C1201" s="3" t="s">
        <v>33</v>
      </c>
      <c r="D1201" s="3" t="s">
        <v>24</v>
      </c>
      <c r="E1201" s="3" t="s">
        <v>24</v>
      </c>
      <c r="F1201" s="3" t="s">
        <v>25</v>
      </c>
      <c r="G1201" s="3" t="s">
        <v>25</v>
      </c>
      <c r="H1201" s="3" t="s">
        <v>35</v>
      </c>
      <c r="I1201" s="6">
        <v>44440</v>
      </c>
      <c r="J1201" s="4">
        <v>0</v>
      </c>
      <c r="K1201" s="4">
        <v>0</v>
      </c>
      <c r="L1201" s="4">
        <v>-0.33100000000000002</v>
      </c>
      <c r="M1201" s="4">
        <v>-0.33100000000000002</v>
      </c>
      <c r="N1201" s="4">
        <v>-0.33100000000000002</v>
      </c>
      <c r="O1201" s="4">
        <v>-0.33100000000000002</v>
      </c>
      <c r="P1201" s="4">
        <v>0</v>
      </c>
      <c r="Q1201" s="3" t="s">
        <v>26</v>
      </c>
      <c r="R1201" s="3">
        <v>0</v>
      </c>
      <c r="S1201" s="4">
        <v>0</v>
      </c>
      <c r="T1201" s="4">
        <v>47</v>
      </c>
      <c r="U1201" s="4">
        <v>64</v>
      </c>
      <c r="V1201" s="4">
        <f>IF(ISERROR(VLOOKUP($S$1201,'TAR FIN'!$A$1:$O$113,15,0)),0,VLOOKUP($S$1201,'TAR FIN'!$A$1:$O$113,15,0))</f>
        <v>0</v>
      </c>
      <c r="W1201" s="4">
        <f>IF(ISERROR(VLOOKUP($T$1201,'TAR FIN'!$A$1:$O$113,15,0)),0,VLOOKUP($T$1201,'TAR FIN'!$A$1:$O$113,15,0))</f>
        <v>236.61</v>
      </c>
      <c r="X1201" s="4">
        <f>IF(ISERROR(VLOOKUP($U$1201,'TAR FIN'!$A$1:$O$113,15,0)),0,VLOOKUP($U$1201,'TAR FIN'!$A$1:$O$113,15,0))</f>
        <v>222.31</v>
      </c>
      <c r="Y1201" s="4"/>
      <c r="Z1201" s="4">
        <f ca="1">('TUSD BE'!$AM$39+'TUSD BF'!$AM$39+'TUSD CVA'!$AM$39)*1</f>
        <v>282.46460860934536</v>
      </c>
      <c r="AA1201" s="4">
        <f>('TE BE'!$AA$18+'TE BF'!$AA$18+'TE CVA'!$AA$18)*1</f>
        <v>223.14561812044704</v>
      </c>
      <c r="AB1201" s="4">
        <f>$K$1201*$V$1201</f>
        <v>0</v>
      </c>
      <c r="AC1201" s="4">
        <f>$M$1201*$W$1201</f>
        <v>-78.317910000000012</v>
      </c>
      <c r="AD1201" s="4">
        <f>$O$1201*$X$1201</f>
        <v>-73.584609999999998</v>
      </c>
      <c r="AE1201" s="4">
        <f>$K$1201*$Y$1201</f>
        <v>0</v>
      </c>
      <c r="AF1201" s="4">
        <f ca="1">$M$1201*$Z$1201</f>
        <v>-93.495785449693315</v>
      </c>
      <c r="AG1201" s="4">
        <f>$O$1201*$AA$1201</f>
        <v>-73.86119959786798</v>
      </c>
    </row>
    <row r="1202" spans="1:33" ht="11.25" customHeight="1" x14ac:dyDescent="0.25">
      <c r="A1202" s="3" t="s">
        <v>28</v>
      </c>
      <c r="B1202" s="3" t="s">
        <v>22</v>
      </c>
      <c r="C1202" s="3" t="s">
        <v>33</v>
      </c>
      <c r="D1202" s="3" t="s">
        <v>24</v>
      </c>
      <c r="E1202" s="3" t="s">
        <v>24</v>
      </c>
      <c r="F1202" s="3" t="s">
        <v>25</v>
      </c>
      <c r="G1202" s="3" t="s">
        <v>25</v>
      </c>
      <c r="H1202" s="3" t="s">
        <v>35</v>
      </c>
      <c r="I1202" s="6">
        <v>44440</v>
      </c>
      <c r="J1202" s="4">
        <v>0</v>
      </c>
      <c r="K1202" s="4">
        <v>0</v>
      </c>
      <c r="L1202" s="4">
        <v>0.80800000000000005</v>
      </c>
      <c r="M1202" s="4">
        <v>0.80800000000000005</v>
      </c>
      <c r="N1202" s="4">
        <v>0.80800000000000005</v>
      </c>
      <c r="O1202" s="4">
        <v>0.80800000000000005</v>
      </c>
      <c r="P1202" s="4">
        <v>0</v>
      </c>
      <c r="Q1202" s="3" t="s">
        <v>26</v>
      </c>
      <c r="R1202" s="3">
        <v>0</v>
      </c>
      <c r="S1202" s="4">
        <v>0</v>
      </c>
      <c r="T1202" s="4">
        <v>47</v>
      </c>
      <c r="U1202" s="4">
        <v>64</v>
      </c>
      <c r="V1202" s="4">
        <f>IF(ISERROR(VLOOKUP($S$1202,'TAR FIN'!$A$1:$O$113,15,0)),0,VLOOKUP($S$1202,'TAR FIN'!$A$1:$O$113,15,0))</f>
        <v>0</v>
      </c>
      <c r="W1202" s="4">
        <f>IF(ISERROR(VLOOKUP($T$1202,'TAR FIN'!$A$1:$O$113,15,0)),0,VLOOKUP($T$1202,'TAR FIN'!$A$1:$O$113,15,0))</f>
        <v>236.61</v>
      </c>
      <c r="X1202" s="4">
        <f>IF(ISERROR(VLOOKUP($U$1202,'TAR FIN'!$A$1:$O$113,15,0)),0,VLOOKUP($U$1202,'TAR FIN'!$A$1:$O$113,15,0))</f>
        <v>222.31</v>
      </c>
      <c r="Y1202" s="4"/>
      <c r="Z1202" s="4">
        <f ca="1">('TUSD BE'!$AM$39+'TUSD BF'!$AM$39+'TUSD CVA'!$AM$39)*1</f>
        <v>282.46460860934536</v>
      </c>
      <c r="AA1202" s="4">
        <f>('TE BE'!$AA$18+'TE BF'!$AA$18+'TE CVA'!$AA$18)*1</f>
        <v>223.14561812044704</v>
      </c>
      <c r="AB1202" s="4">
        <f>$K$1202*$V$1202</f>
        <v>0</v>
      </c>
      <c r="AC1202" s="4">
        <f>$M$1202*$W$1202</f>
        <v>191.18088000000003</v>
      </c>
      <c r="AD1202" s="4">
        <f>$O$1202*$X$1202</f>
        <v>179.62648000000002</v>
      </c>
      <c r="AE1202" s="4">
        <f>$K$1202*$Y$1202</f>
        <v>0</v>
      </c>
      <c r="AF1202" s="4">
        <f ca="1">$M$1202*$Z$1202</f>
        <v>228.23140375635106</v>
      </c>
      <c r="AG1202" s="4">
        <f>$O$1202*$AA$1202</f>
        <v>180.30165944132122</v>
      </c>
    </row>
    <row r="1203" spans="1:33" ht="11.25" customHeight="1" x14ac:dyDescent="0.25">
      <c r="A1203" s="3" t="s">
        <v>21</v>
      </c>
      <c r="B1203" s="3" t="s">
        <v>22</v>
      </c>
      <c r="C1203" s="3" t="s">
        <v>33</v>
      </c>
      <c r="D1203" s="3" t="s">
        <v>24</v>
      </c>
      <c r="E1203" s="3" t="s">
        <v>24</v>
      </c>
      <c r="F1203" s="3" t="s">
        <v>25</v>
      </c>
      <c r="G1203" s="3" t="s">
        <v>25</v>
      </c>
      <c r="H1203" s="3" t="s">
        <v>35</v>
      </c>
      <c r="I1203" s="6">
        <v>44470</v>
      </c>
      <c r="J1203" s="4">
        <v>0</v>
      </c>
      <c r="K1203" s="4">
        <v>0</v>
      </c>
      <c r="L1203" s="4">
        <v>210.53399999999999</v>
      </c>
      <c r="M1203" s="4">
        <v>210.53399999999999</v>
      </c>
      <c r="N1203" s="4">
        <v>210.53399999999999</v>
      </c>
      <c r="O1203" s="4">
        <v>210.53399999999999</v>
      </c>
      <c r="P1203" s="4">
        <v>0</v>
      </c>
      <c r="Q1203" s="3" t="s">
        <v>26</v>
      </c>
      <c r="R1203" s="3">
        <v>0</v>
      </c>
      <c r="S1203" s="4">
        <v>0</v>
      </c>
      <c r="T1203" s="4">
        <v>47</v>
      </c>
      <c r="U1203" s="4">
        <v>64</v>
      </c>
      <c r="V1203" s="4">
        <f>IF(ISERROR(VLOOKUP($S$1203,'TAR FIN'!$A$1:$O$113,15,0)),0,VLOOKUP($S$1203,'TAR FIN'!$A$1:$O$113,15,0))</f>
        <v>0</v>
      </c>
      <c r="W1203" s="4">
        <f>IF(ISERROR(VLOOKUP($T$1203,'TAR FIN'!$A$1:$O$113,15,0)),0,VLOOKUP($T$1203,'TAR FIN'!$A$1:$O$113,15,0))</f>
        <v>236.61</v>
      </c>
      <c r="X1203" s="4">
        <f>IF(ISERROR(VLOOKUP($U$1203,'TAR FIN'!$A$1:$O$113,15,0)),0,VLOOKUP($U$1203,'TAR FIN'!$A$1:$O$113,15,0))</f>
        <v>222.31</v>
      </c>
      <c r="Y1203" s="4"/>
      <c r="Z1203" s="4">
        <f ca="1">('TUSD BE'!$AM$39+'TUSD BF'!$AM$39+'TUSD CVA'!$AM$39)*1</f>
        <v>282.46460860934536</v>
      </c>
      <c r="AA1203" s="4">
        <f>('TE BE'!$AA$18+'TE BF'!$AA$18+'TE CVA'!$AA$18)*1</f>
        <v>223.14561812044704</v>
      </c>
      <c r="AB1203" s="4">
        <f>$K$1203*$V$1203</f>
        <v>0</v>
      </c>
      <c r="AC1203" s="4">
        <f>$M$1203*$W$1203</f>
        <v>49814.449740000004</v>
      </c>
      <c r="AD1203" s="4">
        <f>$O$1203*$X$1203</f>
        <v>46803.813539999996</v>
      </c>
      <c r="AE1203" s="4">
        <f>$K$1203*$Y$1203</f>
        <v>0</v>
      </c>
      <c r="AF1203" s="4">
        <f ca="1">$M$1203*$Z$1203</f>
        <v>59468.403908959917</v>
      </c>
      <c r="AG1203" s="4">
        <f>$O$1203*$AA$1203</f>
        <v>46979.739565370197</v>
      </c>
    </row>
    <row r="1204" spans="1:33" ht="11.25" customHeight="1" x14ac:dyDescent="0.25">
      <c r="A1204" s="3" t="s">
        <v>28</v>
      </c>
      <c r="B1204" s="3" t="s">
        <v>22</v>
      </c>
      <c r="C1204" s="3" t="s">
        <v>33</v>
      </c>
      <c r="D1204" s="3" t="s">
        <v>24</v>
      </c>
      <c r="E1204" s="3" t="s">
        <v>24</v>
      </c>
      <c r="F1204" s="3" t="s">
        <v>25</v>
      </c>
      <c r="G1204" s="3" t="s">
        <v>25</v>
      </c>
      <c r="H1204" s="3" t="s">
        <v>35</v>
      </c>
      <c r="I1204" s="6">
        <v>44470</v>
      </c>
      <c r="J1204" s="4">
        <v>0</v>
      </c>
      <c r="K1204" s="4">
        <v>0</v>
      </c>
      <c r="L1204" s="4">
        <v>1.4079999999999999</v>
      </c>
      <c r="M1204" s="4">
        <v>1.4079999999999999</v>
      </c>
      <c r="N1204" s="4">
        <v>1.4079999999999999</v>
      </c>
      <c r="O1204" s="4">
        <v>1.4079999999999999</v>
      </c>
      <c r="P1204" s="4">
        <v>0</v>
      </c>
      <c r="Q1204" s="3" t="s">
        <v>26</v>
      </c>
      <c r="R1204" s="3">
        <v>0</v>
      </c>
      <c r="S1204" s="4">
        <v>0</v>
      </c>
      <c r="T1204" s="4">
        <v>47</v>
      </c>
      <c r="U1204" s="4">
        <v>64</v>
      </c>
      <c r="V1204" s="4">
        <f>IF(ISERROR(VLOOKUP($S$1204,'TAR FIN'!$A$1:$O$113,15,0)),0,VLOOKUP($S$1204,'TAR FIN'!$A$1:$O$113,15,0))</f>
        <v>0</v>
      </c>
      <c r="W1204" s="4">
        <f>IF(ISERROR(VLOOKUP($T$1204,'TAR FIN'!$A$1:$O$113,15,0)),0,VLOOKUP($T$1204,'TAR FIN'!$A$1:$O$113,15,0))</f>
        <v>236.61</v>
      </c>
      <c r="X1204" s="4">
        <f>IF(ISERROR(VLOOKUP($U$1204,'TAR FIN'!$A$1:$O$113,15,0)),0,VLOOKUP($U$1204,'TAR FIN'!$A$1:$O$113,15,0))</f>
        <v>222.31</v>
      </c>
      <c r="Y1204" s="4"/>
      <c r="Z1204" s="4">
        <f ca="1">('TUSD BE'!$AM$39+'TUSD BF'!$AM$39+'TUSD CVA'!$AM$39)*1</f>
        <v>282.46460860934536</v>
      </c>
      <c r="AA1204" s="4">
        <f>('TE BE'!$AA$18+'TE BF'!$AA$18+'TE CVA'!$AA$18)*1</f>
        <v>223.14561812044704</v>
      </c>
      <c r="AB1204" s="4">
        <f>$K$1204*$V$1204</f>
        <v>0</v>
      </c>
      <c r="AC1204" s="4">
        <f>$M$1204*$W$1204</f>
        <v>333.14688000000001</v>
      </c>
      <c r="AD1204" s="4">
        <f>$O$1204*$X$1204</f>
        <v>313.01247999999998</v>
      </c>
      <c r="AE1204" s="4">
        <f>$K$1204*$Y$1204</f>
        <v>0</v>
      </c>
      <c r="AF1204" s="4">
        <f ca="1">$M$1204*$Z$1204</f>
        <v>397.71016892195826</v>
      </c>
      <c r="AG1204" s="4">
        <f>$O$1204*$AA$1204</f>
        <v>314.1890303135894</v>
      </c>
    </row>
    <row r="1205" spans="1:33" ht="11.25" customHeight="1" x14ac:dyDescent="0.25">
      <c r="A1205" s="3" t="s">
        <v>21</v>
      </c>
      <c r="B1205" s="3" t="s">
        <v>22</v>
      </c>
      <c r="C1205" s="3" t="s">
        <v>33</v>
      </c>
      <c r="D1205" s="3" t="s">
        <v>24</v>
      </c>
      <c r="E1205" s="3" t="s">
        <v>24</v>
      </c>
      <c r="F1205" s="3" t="s">
        <v>25</v>
      </c>
      <c r="G1205" s="3" t="s">
        <v>25</v>
      </c>
      <c r="H1205" s="3" t="s">
        <v>35</v>
      </c>
      <c r="I1205" s="6">
        <v>44501</v>
      </c>
      <c r="J1205" s="4">
        <v>0</v>
      </c>
      <c r="K1205" s="4">
        <v>0</v>
      </c>
      <c r="L1205" s="4">
        <v>113.337</v>
      </c>
      <c r="M1205" s="4">
        <v>113.337</v>
      </c>
      <c r="N1205" s="4">
        <v>113.337</v>
      </c>
      <c r="O1205" s="4">
        <v>113.337</v>
      </c>
      <c r="P1205" s="4">
        <v>0</v>
      </c>
      <c r="Q1205" s="3" t="s">
        <v>26</v>
      </c>
      <c r="R1205" s="3">
        <v>0</v>
      </c>
      <c r="S1205" s="4">
        <v>0</v>
      </c>
      <c r="T1205" s="4">
        <v>47</v>
      </c>
      <c r="U1205" s="4">
        <v>64</v>
      </c>
      <c r="V1205" s="4">
        <f>IF(ISERROR(VLOOKUP($S$1205,'TAR FIN'!$A$1:$O$113,15,0)),0,VLOOKUP($S$1205,'TAR FIN'!$A$1:$O$113,15,0))</f>
        <v>0</v>
      </c>
      <c r="W1205" s="4">
        <f>IF(ISERROR(VLOOKUP($T$1205,'TAR FIN'!$A$1:$O$113,15,0)),0,VLOOKUP($T$1205,'TAR FIN'!$A$1:$O$113,15,0))</f>
        <v>236.61</v>
      </c>
      <c r="X1205" s="4">
        <f>IF(ISERROR(VLOOKUP($U$1205,'TAR FIN'!$A$1:$O$113,15,0)),0,VLOOKUP($U$1205,'TAR FIN'!$A$1:$O$113,15,0))</f>
        <v>222.31</v>
      </c>
      <c r="Y1205" s="4"/>
      <c r="Z1205" s="4">
        <f ca="1">('TUSD BE'!$AM$39+'TUSD BF'!$AM$39+'TUSD CVA'!$AM$39)*1</f>
        <v>282.46460860934536</v>
      </c>
      <c r="AA1205" s="4">
        <f>('TE BE'!$AA$18+'TE BF'!$AA$18+'TE CVA'!$AA$18)*1</f>
        <v>223.14561812044704</v>
      </c>
      <c r="AB1205" s="4">
        <f>$K$1205*$V$1205</f>
        <v>0</v>
      </c>
      <c r="AC1205" s="4">
        <f>$M$1205*$W$1205</f>
        <v>26816.667570000001</v>
      </c>
      <c r="AD1205" s="4">
        <f>$O$1205*$X$1205</f>
        <v>25195.948469999999</v>
      </c>
      <c r="AE1205" s="4">
        <f>$K$1205*$Y$1205</f>
        <v>0</v>
      </c>
      <c r="AF1205" s="4">
        <f ca="1">$M$1205*$Z$1205</f>
        <v>32013.691345957377</v>
      </c>
      <c r="AG1205" s="4">
        <f>$O$1205*$AA$1205</f>
        <v>25290.654920917106</v>
      </c>
    </row>
    <row r="1206" spans="1:33" ht="11.25" customHeight="1" x14ac:dyDescent="0.25">
      <c r="A1206" s="3" t="s">
        <v>27</v>
      </c>
      <c r="B1206" s="3" t="s">
        <v>22</v>
      </c>
      <c r="C1206" s="3" t="s">
        <v>33</v>
      </c>
      <c r="D1206" s="3" t="s">
        <v>24</v>
      </c>
      <c r="E1206" s="3" t="s">
        <v>24</v>
      </c>
      <c r="F1206" s="3" t="s">
        <v>25</v>
      </c>
      <c r="G1206" s="3" t="s">
        <v>25</v>
      </c>
      <c r="H1206" s="3" t="s">
        <v>35</v>
      </c>
      <c r="I1206" s="6">
        <v>44501</v>
      </c>
      <c r="J1206" s="4">
        <v>0</v>
      </c>
      <c r="K1206" s="4">
        <v>0</v>
      </c>
      <c r="L1206" s="4">
        <v>-98.995000000000005</v>
      </c>
      <c r="M1206" s="4">
        <v>-98.995000000000005</v>
      </c>
      <c r="N1206" s="4">
        <v>-98.995000000000005</v>
      </c>
      <c r="O1206" s="4">
        <v>-98.995000000000005</v>
      </c>
      <c r="P1206" s="4">
        <v>0</v>
      </c>
      <c r="Q1206" s="3" t="s">
        <v>26</v>
      </c>
      <c r="R1206" s="3">
        <v>0</v>
      </c>
      <c r="S1206" s="4">
        <v>0</v>
      </c>
      <c r="T1206" s="4">
        <v>47</v>
      </c>
      <c r="U1206" s="4">
        <v>64</v>
      </c>
      <c r="V1206" s="4">
        <f>IF(ISERROR(VLOOKUP($S$1206,'TAR FIN'!$A$1:$O$113,15,0)),0,VLOOKUP($S$1206,'TAR FIN'!$A$1:$O$113,15,0))</f>
        <v>0</v>
      </c>
      <c r="W1206" s="4">
        <f>IF(ISERROR(VLOOKUP($T$1206,'TAR FIN'!$A$1:$O$113,15,0)),0,VLOOKUP($T$1206,'TAR FIN'!$A$1:$O$113,15,0))</f>
        <v>236.61</v>
      </c>
      <c r="X1206" s="4">
        <f>IF(ISERROR(VLOOKUP($U$1206,'TAR FIN'!$A$1:$O$113,15,0)),0,VLOOKUP($U$1206,'TAR FIN'!$A$1:$O$113,15,0))</f>
        <v>222.31</v>
      </c>
      <c r="Y1206" s="4"/>
      <c r="Z1206" s="4">
        <f ca="1">('TUSD BE'!$AM$39+'TUSD BF'!$AM$39+'TUSD CVA'!$AM$39)*1</f>
        <v>282.46460860934536</v>
      </c>
      <c r="AA1206" s="4">
        <f>('TE BE'!$AA$18+'TE BF'!$AA$18+'TE CVA'!$AA$18)*1</f>
        <v>223.14561812044704</v>
      </c>
      <c r="AB1206" s="4">
        <f>$K$1206*$V$1206</f>
        <v>0</v>
      </c>
      <c r="AC1206" s="4">
        <f>$M$1206*$W$1206</f>
        <v>-23423.206950000003</v>
      </c>
      <c r="AD1206" s="4">
        <f>$O$1206*$X$1206</f>
        <v>-22007.578450000001</v>
      </c>
      <c r="AE1206" s="4">
        <f>$K$1206*$Y$1206</f>
        <v>0</v>
      </c>
      <c r="AF1206" s="4">
        <f ca="1">$M$1206*$Z$1206</f>
        <v>-27962.583929282144</v>
      </c>
      <c r="AG1206" s="4">
        <f>$O$1206*$AA$1206</f>
        <v>-22090.300465833654</v>
      </c>
    </row>
    <row r="1207" spans="1:33" ht="11.25" customHeight="1" x14ac:dyDescent="0.25">
      <c r="A1207" s="3" t="s">
        <v>28</v>
      </c>
      <c r="B1207" s="3" t="s">
        <v>22</v>
      </c>
      <c r="C1207" s="3" t="s">
        <v>33</v>
      </c>
      <c r="D1207" s="3" t="s">
        <v>24</v>
      </c>
      <c r="E1207" s="3" t="s">
        <v>24</v>
      </c>
      <c r="F1207" s="3" t="s">
        <v>25</v>
      </c>
      <c r="G1207" s="3" t="s">
        <v>25</v>
      </c>
      <c r="H1207" s="3" t="s">
        <v>35</v>
      </c>
      <c r="I1207" s="6">
        <v>44501</v>
      </c>
      <c r="J1207" s="4">
        <v>0</v>
      </c>
      <c r="K1207" s="4">
        <v>0</v>
      </c>
      <c r="L1207" s="4">
        <v>2.802</v>
      </c>
      <c r="M1207" s="4">
        <v>2.802</v>
      </c>
      <c r="N1207" s="4">
        <v>2.802</v>
      </c>
      <c r="O1207" s="4">
        <v>2.802</v>
      </c>
      <c r="P1207" s="4">
        <v>0</v>
      </c>
      <c r="Q1207" s="3" t="s">
        <v>26</v>
      </c>
      <c r="R1207" s="3">
        <v>0</v>
      </c>
      <c r="S1207" s="4">
        <v>0</v>
      </c>
      <c r="T1207" s="4">
        <v>47</v>
      </c>
      <c r="U1207" s="4">
        <v>64</v>
      </c>
      <c r="V1207" s="4">
        <f>IF(ISERROR(VLOOKUP($S$1207,'TAR FIN'!$A$1:$O$113,15,0)),0,VLOOKUP($S$1207,'TAR FIN'!$A$1:$O$113,15,0))</f>
        <v>0</v>
      </c>
      <c r="W1207" s="4">
        <f>IF(ISERROR(VLOOKUP($T$1207,'TAR FIN'!$A$1:$O$113,15,0)),0,VLOOKUP($T$1207,'TAR FIN'!$A$1:$O$113,15,0))</f>
        <v>236.61</v>
      </c>
      <c r="X1207" s="4">
        <f>IF(ISERROR(VLOOKUP($U$1207,'TAR FIN'!$A$1:$O$113,15,0)),0,VLOOKUP($U$1207,'TAR FIN'!$A$1:$O$113,15,0))</f>
        <v>222.31</v>
      </c>
      <c r="Y1207" s="4"/>
      <c r="Z1207" s="4">
        <f ca="1">('TUSD BE'!$AM$39+'TUSD BF'!$AM$39+'TUSD CVA'!$AM$39)*1</f>
        <v>282.46460860934536</v>
      </c>
      <c r="AA1207" s="4">
        <f>('TE BE'!$AA$18+'TE BF'!$AA$18+'TE CVA'!$AA$18)*1</f>
        <v>223.14561812044704</v>
      </c>
      <c r="AB1207" s="4">
        <f>$K$1207*$V$1207</f>
        <v>0</v>
      </c>
      <c r="AC1207" s="4">
        <f>$M$1207*$W$1207</f>
        <v>662.98122000000001</v>
      </c>
      <c r="AD1207" s="4">
        <f>$O$1207*$X$1207</f>
        <v>622.91262000000006</v>
      </c>
      <c r="AE1207" s="4">
        <f>$K$1207*$Y$1207</f>
        <v>0</v>
      </c>
      <c r="AF1207" s="4">
        <f ca="1">$M$1207*$Z$1207</f>
        <v>791.46583332338571</v>
      </c>
      <c r="AG1207" s="4">
        <f>$O$1207*$AA$1207</f>
        <v>625.25402197349263</v>
      </c>
    </row>
    <row r="1208" spans="1:33" ht="11.25" customHeight="1" x14ac:dyDescent="0.25">
      <c r="A1208" s="3" t="s">
        <v>21</v>
      </c>
      <c r="B1208" s="3" t="s">
        <v>22</v>
      </c>
      <c r="C1208" s="3" t="s">
        <v>33</v>
      </c>
      <c r="D1208" s="3" t="s">
        <v>24</v>
      </c>
      <c r="E1208" s="3" t="s">
        <v>24</v>
      </c>
      <c r="F1208" s="3" t="s">
        <v>25</v>
      </c>
      <c r="G1208" s="3" t="s">
        <v>25</v>
      </c>
      <c r="H1208" s="3" t="s">
        <v>35</v>
      </c>
      <c r="I1208" s="6">
        <v>44531</v>
      </c>
      <c r="J1208" s="4">
        <v>0</v>
      </c>
      <c r="K1208" s="4">
        <v>0</v>
      </c>
      <c r="L1208" s="4">
        <v>118.518</v>
      </c>
      <c r="M1208" s="4">
        <v>118.518</v>
      </c>
      <c r="N1208" s="4">
        <v>118.518</v>
      </c>
      <c r="O1208" s="4">
        <v>118.518</v>
      </c>
      <c r="P1208" s="4">
        <v>0</v>
      </c>
      <c r="Q1208" s="3" t="s">
        <v>26</v>
      </c>
      <c r="R1208" s="3">
        <v>0</v>
      </c>
      <c r="S1208" s="4">
        <v>0</v>
      </c>
      <c r="T1208" s="4">
        <v>47</v>
      </c>
      <c r="U1208" s="4">
        <v>64</v>
      </c>
      <c r="V1208" s="4">
        <f>IF(ISERROR(VLOOKUP($S$1208,'TAR FIN'!$A$1:$O$113,15,0)),0,VLOOKUP($S$1208,'TAR FIN'!$A$1:$O$113,15,0))</f>
        <v>0</v>
      </c>
      <c r="W1208" s="4">
        <f>IF(ISERROR(VLOOKUP($T$1208,'TAR FIN'!$A$1:$O$113,15,0)),0,VLOOKUP($T$1208,'TAR FIN'!$A$1:$O$113,15,0))</f>
        <v>236.61</v>
      </c>
      <c r="X1208" s="4">
        <f>IF(ISERROR(VLOOKUP($U$1208,'TAR FIN'!$A$1:$O$113,15,0)),0,VLOOKUP($U$1208,'TAR FIN'!$A$1:$O$113,15,0))</f>
        <v>222.31</v>
      </c>
      <c r="Y1208" s="4"/>
      <c r="Z1208" s="4">
        <f ca="1">('TUSD BE'!$AM$39+'TUSD BF'!$AM$39+'TUSD CVA'!$AM$39)*1</f>
        <v>282.46460860934536</v>
      </c>
      <c r="AA1208" s="4">
        <f>('TE BE'!$AA$18+'TE BF'!$AA$18+'TE CVA'!$AA$18)*1</f>
        <v>223.14561812044704</v>
      </c>
      <c r="AB1208" s="4">
        <f>$K$1208*$V$1208</f>
        <v>0</v>
      </c>
      <c r="AC1208" s="4">
        <f>$M$1208*$W$1208</f>
        <v>28042.543980000002</v>
      </c>
      <c r="AD1208" s="4">
        <f>$O$1208*$X$1208</f>
        <v>26347.736580000001</v>
      </c>
      <c r="AE1208" s="4">
        <f>$K$1208*$Y$1208</f>
        <v>0</v>
      </c>
      <c r="AF1208" s="4">
        <f ca="1">$M$1208*$Z$1208</f>
        <v>33477.140483162395</v>
      </c>
      <c r="AG1208" s="4">
        <f>$O$1208*$AA$1208</f>
        <v>26446.772368399143</v>
      </c>
    </row>
    <row r="1209" spans="1:33" ht="11.25" customHeight="1" x14ac:dyDescent="0.25">
      <c r="A1209" s="3" t="s">
        <v>27</v>
      </c>
      <c r="B1209" s="3" t="s">
        <v>22</v>
      </c>
      <c r="C1209" s="3" t="s">
        <v>33</v>
      </c>
      <c r="D1209" s="3" t="s">
        <v>24</v>
      </c>
      <c r="E1209" s="3" t="s">
        <v>24</v>
      </c>
      <c r="F1209" s="3" t="s">
        <v>25</v>
      </c>
      <c r="G1209" s="3" t="s">
        <v>25</v>
      </c>
      <c r="H1209" s="3" t="s">
        <v>35</v>
      </c>
      <c r="I1209" s="6">
        <v>44531</v>
      </c>
      <c r="J1209" s="4">
        <v>0</v>
      </c>
      <c r="K1209" s="4">
        <v>0</v>
      </c>
      <c r="L1209" s="4">
        <v>0.52900000000000003</v>
      </c>
      <c r="M1209" s="4">
        <v>0.52900000000000003</v>
      </c>
      <c r="N1209" s="4">
        <v>0.52900000000000003</v>
      </c>
      <c r="O1209" s="4">
        <v>0.52900000000000003</v>
      </c>
      <c r="P1209" s="4">
        <v>0</v>
      </c>
      <c r="Q1209" s="3" t="s">
        <v>26</v>
      </c>
      <c r="R1209" s="3">
        <v>0</v>
      </c>
      <c r="S1209" s="4">
        <v>0</v>
      </c>
      <c r="T1209" s="4">
        <v>47</v>
      </c>
      <c r="U1209" s="4">
        <v>64</v>
      </c>
      <c r="V1209" s="4">
        <f>IF(ISERROR(VLOOKUP($S$1209,'TAR FIN'!$A$1:$O$113,15,0)),0,VLOOKUP($S$1209,'TAR FIN'!$A$1:$O$113,15,0))</f>
        <v>0</v>
      </c>
      <c r="W1209" s="4">
        <f>IF(ISERROR(VLOOKUP($T$1209,'TAR FIN'!$A$1:$O$113,15,0)),0,VLOOKUP($T$1209,'TAR FIN'!$A$1:$O$113,15,0))</f>
        <v>236.61</v>
      </c>
      <c r="X1209" s="4">
        <f>IF(ISERROR(VLOOKUP($U$1209,'TAR FIN'!$A$1:$O$113,15,0)),0,VLOOKUP($U$1209,'TAR FIN'!$A$1:$O$113,15,0))</f>
        <v>222.31</v>
      </c>
      <c r="Y1209" s="4"/>
      <c r="Z1209" s="4">
        <f ca="1">('TUSD BE'!$AM$39+'TUSD BF'!$AM$39+'TUSD CVA'!$AM$39)*1</f>
        <v>282.46460860934536</v>
      </c>
      <c r="AA1209" s="4">
        <f>('TE BE'!$AA$18+'TE BF'!$AA$18+'TE CVA'!$AA$18)*1</f>
        <v>223.14561812044704</v>
      </c>
      <c r="AB1209" s="4">
        <f>$K$1209*$V$1209</f>
        <v>0</v>
      </c>
      <c r="AC1209" s="4">
        <f>$M$1209*$W$1209</f>
        <v>125.16669000000002</v>
      </c>
      <c r="AD1209" s="4">
        <f>$O$1209*$X$1209</f>
        <v>117.60199</v>
      </c>
      <c r="AE1209" s="4">
        <f>$K$1209*$Y$1209</f>
        <v>0</v>
      </c>
      <c r="AF1209" s="4">
        <f ca="1">$M$1209*$Z$1209</f>
        <v>149.42377795434371</v>
      </c>
      <c r="AG1209" s="4">
        <f>$O$1209*$AA$1209</f>
        <v>118.04403198571649</v>
      </c>
    </row>
    <row r="1210" spans="1:33" ht="11.25" customHeight="1" x14ac:dyDescent="0.25">
      <c r="A1210" s="3" t="s">
        <v>28</v>
      </c>
      <c r="B1210" s="3" t="s">
        <v>22</v>
      </c>
      <c r="C1210" s="3" t="s">
        <v>33</v>
      </c>
      <c r="D1210" s="3" t="s">
        <v>24</v>
      </c>
      <c r="E1210" s="3" t="s">
        <v>24</v>
      </c>
      <c r="F1210" s="3" t="s">
        <v>25</v>
      </c>
      <c r="G1210" s="3" t="s">
        <v>25</v>
      </c>
      <c r="H1210" s="3" t="s">
        <v>35</v>
      </c>
      <c r="I1210" s="6">
        <v>44531</v>
      </c>
      <c r="J1210" s="4">
        <v>0</v>
      </c>
      <c r="K1210" s="4">
        <v>0</v>
      </c>
      <c r="L1210" s="4">
        <v>2.5430000000000001</v>
      </c>
      <c r="M1210" s="4">
        <v>2.5430000000000001</v>
      </c>
      <c r="N1210" s="4">
        <v>2.5430000000000001</v>
      </c>
      <c r="O1210" s="4">
        <v>2.5430000000000001</v>
      </c>
      <c r="P1210" s="4">
        <v>0</v>
      </c>
      <c r="Q1210" s="3" t="s">
        <v>26</v>
      </c>
      <c r="R1210" s="3">
        <v>0</v>
      </c>
      <c r="S1210" s="4">
        <v>0</v>
      </c>
      <c r="T1210" s="4">
        <v>47</v>
      </c>
      <c r="U1210" s="4">
        <v>64</v>
      </c>
      <c r="V1210" s="4">
        <f>IF(ISERROR(VLOOKUP($S$1210,'TAR FIN'!$A$1:$O$113,15,0)),0,VLOOKUP($S$1210,'TAR FIN'!$A$1:$O$113,15,0))</f>
        <v>0</v>
      </c>
      <c r="W1210" s="4">
        <f>IF(ISERROR(VLOOKUP($T$1210,'TAR FIN'!$A$1:$O$113,15,0)),0,VLOOKUP($T$1210,'TAR FIN'!$A$1:$O$113,15,0))</f>
        <v>236.61</v>
      </c>
      <c r="X1210" s="4">
        <f>IF(ISERROR(VLOOKUP($U$1210,'TAR FIN'!$A$1:$O$113,15,0)),0,VLOOKUP($U$1210,'TAR FIN'!$A$1:$O$113,15,0))</f>
        <v>222.31</v>
      </c>
      <c r="Y1210" s="4"/>
      <c r="Z1210" s="4">
        <f ca="1">('TUSD BE'!$AM$39+'TUSD BF'!$AM$39+'TUSD CVA'!$AM$39)*1</f>
        <v>282.46460860934536</v>
      </c>
      <c r="AA1210" s="4">
        <f>('TE BE'!$AA$18+'TE BF'!$AA$18+'TE CVA'!$AA$18)*1</f>
        <v>223.14561812044704</v>
      </c>
      <c r="AB1210" s="4">
        <f>$K$1210*$V$1210</f>
        <v>0</v>
      </c>
      <c r="AC1210" s="4">
        <f>$M$1210*$W$1210</f>
        <v>601.69923000000006</v>
      </c>
      <c r="AD1210" s="4">
        <f>$O$1210*$X$1210</f>
        <v>565.33433000000002</v>
      </c>
      <c r="AE1210" s="4">
        <f>$K$1210*$Y$1210</f>
        <v>0</v>
      </c>
      <c r="AF1210" s="4">
        <f ca="1">$M$1210*$Z$1210</f>
        <v>718.30749969356532</v>
      </c>
      <c r="AG1210" s="4">
        <f>$O$1210*$AA$1210</f>
        <v>567.45930688029682</v>
      </c>
    </row>
    <row r="1211" spans="1:33" ht="11.25" customHeight="1" x14ac:dyDescent="0.25">
      <c r="A1211" s="3" t="s">
        <v>21</v>
      </c>
      <c r="B1211" s="3" t="s">
        <v>22</v>
      </c>
      <c r="C1211" s="3" t="s">
        <v>33</v>
      </c>
      <c r="D1211" s="3" t="s">
        <v>24</v>
      </c>
      <c r="E1211" s="3" t="s">
        <v>24</v>
      </c>
      <c r="F1211" s="3" t="s">
        <v>25</v>
      </c>
      <c r="G1211" s="3" t="s">
        <v>25</v>
      </c>
      <c r="H1211" s="3" t="s">
        <v>35</v>
      </c>
      <c r="I1211" s="6">
        <v>44562</v>
      </c>
      <c r="J1211" s="4">
        <v>0</v>
      </c>
      <c r="K1211" s="4">
        <v>0</v>
      </c>
      <c r="L1211" s="4">
        <v>120.30800000000001</v>
      </c>
      <c r="M1211" s="4">
        <v>120.30800000000001</v>
      </c>
      <c r="N1211" s="4">
        <v>120.30800000000001</v>
      </c>
      <c r="O1211" s="4">
        <v>120.30800000000001</v>
      </c>
      <c r="P1211" s="4">
        <v>0</v>
      </c>
      <c r="Q1211" s="3" t="s">
        <v>26</v>
      </c>
      <c r="R1211" s="3">
        <v>0</v>
      </c>
      <c r="S1211" s="4">
        <v>0</v>
      </c>
      <c r="T1211" s="4">
        <v>47</v>
      </c>
      <c r="U1211" s="4">
        <v>64</v>
      </c>
      <c r="V1211" s="4">
        <f>IF(ISERROR(VLOOKUP($S$1211,'TAR FIN'!$A$1:$O$113,15,0)),0,VLOOKUP($S$1211,'TAR FIN'!$A$1:$O$113,15,0))</f>
        <v>0</v>
      </c>
      <c r="W1211" s="4">
        <f>IF(ISERROR(VLOOKUP($T$1211,'TAR FIN'!$A$1:$O$113,15,0)),0,VLOOKUP($T$1211,'TAR FIN'!$A$1:$O$113,15,0))</f>
        <v>236.61</v>
      </c>
      <c r="X1211" s="4">
        <f>IF(ISERROR(VLOOKUP($U$1211,'TAR FIN'!$A$1:$O$113,15,0)),0,VLOOKUP($U$1211,'TAR FIN'!$A$1:$O$113,15,0))</f>
        <v>222.31</v>
      </c>
      <c r="Y1211" s="4"/>
      <c r="Z1211" s="4">
        <f ca="1">('TUSD BE'!$AM$39+'TUSD BF'!$AM$39+'TUSD CVA'!$AM$39)*1</f>
        <v>282.46460860934536</v>
      </c>
      <c r="AA1211" s="4">
        <f>('TE BE'!$AA$18+'TE BF'!$AA$18+'TE CVA'!$AA$18)*1</f>
        <v>223.14561812044704</v>
      </c>
      <c r="AB1211" s="4">
        <f>$K$1211*$V$1211</f>
        <v>0</v>
      </c>
      <c r="AC1211" s="4">
        <f>$M$1211*$W$1211</f>
        <v>28466.075880000004</v>
      </c>
      <c r="AD1211" s="4">
        <f>$O$1211*$X$1211</f>
        <v>26745.671480000001</v>
      </c>
      <c r="AE1211" s="4">
        <f>$K$1211*$Y$1211</f>
        <v>0</v>
      </c>
      <c r="AF1211" s="4">
        <f ca="1">$M$1211*$Z$1211</f>
        <v>33982.752132573121</v>
      </c>
      <c r="AG1211" s="4">
        <f>$O$1211*$AA$1211</f>
        <v>26846.203024834744</v>
      </c>
    </row>
    <row r="1212" spans="1:33" ht="11.25" customHeight="1" x14ac:dyDescent="0.25">
      <c r="A1212" s="3" t="s">
        <v>28</v>
      </c>
      <c r="B1212" s="3" t="s">
        <v>22</v>
      </c>
      <c r="C1212" s="3" t="s">
        <v>33</v>
      </c>
      <c r="D1212" s="3" t="s">
        <v>24</v>
      </c>
      <c r="E1212" s="3" t="s">
        <v>24</v>
      </c>
      <c r="F1212" s="3" t="s">
        <v>25</v>
      </c>
      <c r="G1212" s="3" t="s">
        <v>25</v>
      </c>
      <c r="H1212" s="3" t="s">
        <v>35</v>
      </c>
      <c r="I1212" s="6">
        <v>44562</v>
      </c>
      <c r="J1212" s="4">
        <v>0</v>
      </c>
      <c r="K1212" s="4">
        <v>0</v>
      </c>
      <c r="L1212" s="4">
        <v>1.855</v>
      </c>
      <c r="M1212" s="4">
        <v>1.855</v>
      </c>
      <c r="N1212" s="4">
        <v>1.855</v>
      </c>
      <c r="O1212" s="4">
        <v>1.855</v>
      </c>
      <c r="P1212" s="4">
        <v>0</v>
      </c>
      <c r="Q1212" s="3" t="s">
        <v>26</v>
      </c>
      <c r="R1212" s="3">
        <v>0</v>
      </c>
      <c r="S1212" s="4">
        <v>0</v>
      </c>
      <c r="T1212" s="4">
        <v>47</v>
      </c>
      <c r="U1212" s="4">
        <v>64</v>
      </c>
      <c r="V1212" s="4">
        <f>IF(ISERROR(VLOOKUP($S$1212,'TAR FIN'!$A$1:$O$113,15,0)),0,VLOOKUP($S$1212,'TAR FIN'!$A$1:$O$113,15,0))</f>
        <v>0</v>
      </c>
      <c r="W1212" s="4">
        <f>IF(ISERROR(VLOOKUP($T$1212,'TAR FIN'!$A$1:$O$113,15,0)),0,VLOOKUP($T$1212,'TAR FIN'!$A$1:$O$113,15,0))</f>
        <v>236.61</v>
      </c>
      <c r="X1212" s="4">
        <f>IF(ISERROR(VLOOKUP($U$1212,'TAR FIN'!$A$1:$O$113,15,0)),0,VLOOKUP($U$1212,'TAR FIN'!$A$1:$O$113,15,0))</f>
        <v>222.31</v>
      </c>
      <c r="Y1212" s="4"/>
      <c r="Z1212" s="4">
        <f ca="1">('TUSD BE'!$AM$39+'TUSD BF'!$AM$39+'TUSD CVA'!$AM$39)*1</f>
        <v>282.46460860934536</v>
      </c>
      <c r="AA1212" s="4">
        <f>('TE BE'!$AA$18+'TE BF'!$AA$18+'TE CVA'!$AA$18)*1</f>
        <v>223.14561812044704</v>
      </c>
      <c r="AB1212" s="4">
        <f>$K$1212*$V$1212</f>
        <v>0</v>
      </c>
      <c r="AC1212" s="4">
        <f>$M$1212*$W$1212</f>
        <v>438.91155000000003</v>
      </c>
      <c r="AD1212" s="4">
        <f>$O$1212*$X$1212</f>
        <v>412.38504999999998</v>
      </c>
      <c r="AE1212" s="4">
        <f>$K$1212*$Y$1212</f>
        <v>0</v>
      </c>
      <c r="AF1212" s="4">
        <f ca="1">$M$1212*$Z$1212</f>
        <v>523.9718489703356</v>
      </c>
      <c r="AG1212" s="4">
        <f>$O$1212*$AA$1212</f>
        <v>413.93512161342926</v>
      </c>
    </row>
    <row r="1213" spans="1:33" ht="11.25" customHeight="1" x14ac:dyDescent="0.25">
      <c r="A1213" s="3" t="s">
        <v>21</v>
      </c>
      <c r="B1213" s="3" t="s">
        <v>22</v>
      </c>
      <c r="C1213" s="3" t="s">
        <v>33</v>
      </c>
      <c r="D1213" s="3" t="s">
        <v>24</v>
      </c>
      <c r="E1213" s="3" t="s">
        <v>24</v>
      </c>
      <c r="F1213" s="3" t="s">
        <v>25</v>
      </c>
      <c r="G1213" s="3" t="s">
        <v>25</v>
      </c>
      <c r="H1213" s="3" t="s">
        <v>35</v>
      </c>
      <c r="I1213" s="6">
        <v>44593</v>
      </c>
      <c r="J1213" s="4">
        <v>0</v>
      </c>
      <c r="K1213" s="4">
        <v>0</v>
      </c>
      <c r="L1213" s="4">
        <v>125.955</v>
      </c>
      <c r="M1213" s="4">
        <v>125.955</v>
      </c>
      <c r="N1213" s="4">
        <v>125.955</v>
      </c>
      <c r="O1213" s="4">
        <v>125.955</v>
      </c>
      <c r="P1213" s="4">
        <v>0</v>
      </c>
      <c r="Q1213" s="3" t="s">
        <v>26</v>
      </c>
      <c r="R1213" s="3">
        <v>0</v>
      </c>
      <c r="S1213" s="4">
        <v>0</v>
      </c>
      <c r="T1213" s="4">
        <v>47</v>
      </c>
      <c r="U1213" s="4">
        <v>64</v>
      </c>
      <c r="V1213" s="4">
        <f>IF(ISERROR(VLOOKUP($S$1213,'TAR FIN'!$A$1:$O$113,15,0)),0,VLOOKUP($S$1213,'TAR FIN'!$A$1:$O$113,15,0))</f>
        <v>0</v>
      </c>
      <c r="W1213" s="4">
        <f>IF(ISERROR(VLOOKUP($T$1213,'TAR FIN'!$A$1:$O$113,15,0)),0,VLOOKUP($T$1213,'TAR FIN'!$A$1:$O$113,15,0))</f>
        <v>236.61</v>
      </c>
      <c r="X1213" s="4">
        <f>IF(ISERROR(VLOOKUP($U$1213,'TAR FIN'!$A$1:$O$113,15,0)),0,VLOOKUP($U$1213,'TAR FIN'!$A$1:$O$113,15,0))</f>
        <v>222.31</v>
      </c>
      <c r="Y1213" s="4"/>
      <c r="Z1213" s="4">
        <f ca="1">('TUSD BE'!$AM$39+'TUSD BF'!$AM$39+'TUSD CVA'!$AM$39)*1</f>
        <v>282.46460860934536</v>
      </c>
      <c r="AA1213" s="4">
        <f>('TE BE'!$AA$18+'TE BF'!$AA$18+'TE CVA'!$AA$18)*1</f>
        <v>223.14561812044704</v>
      </c>
      <c r="AB1213" s="4">
        <f>$K$1213*$V$1213</f>
        <v>0</v>
      </c>
      <c r="AC1213" s="4">
        <f>$M$1213*$W$1213</f>
        <v>29802.21255</v>
      </c>
      <c r="AD1213" s="4">
        <f>$O$1213*$X$1213</f>
        <v>28001.056049999999</v>
      </c>
      <c r="AE1213" s="4">
        <f>$K$1213*$Y$1213</f>
        <v>0</v>
      </c>
      <c r="AF1213" s="4">
        <f ca="1">$M$1213*$Z$1213</f>
        <v>35577.829777390092</v>
      </c>
      <c r="AG1213" s="4">
        <f>$O$1213*$AA$1213</f>
        <v>28106.306330360905</v>
      </c>
    </row>
    <row r="1214" spans="1:33" ht="11.25" customHeight="1" x14ac:dyDescent="0.25">
      <c r="A1214" s="3" t="s">
        <v>28</v>
      </c>
      <c r="B1214" s="3" t="s">
        <v>22</v>
      </c>
      <c r="C1214" s="3" t="s">
        <v>33</v>
      </c>
      <c r="D1214" s="3" t="s">
        <v>24</v>
      </c>
      <c r="E1214" s="3" t="s">
        <v>24</v>
      </c>
      <c r="F1214" s="3" t="s">
        <v>25</v>
      </c>
      <c r="G1214" s="3" t="s">
        <v>25</v>
      </c>
      <c r="H1214" s="3" t="s">
        <v>35</v>
      </c>
      <c r="I1214" s="6">
        <v>44593</v>
      </c>
      <c r="J1214" s="4">
        <v>0</v>
      </c>
      <c r="K1214" s="4">
        <v>0</v>
      </c>
      <c r="L1214" s="4">
        <v>0.83699999999999997</v>
      </c>
      <c r="M1214" s="4">
        <v>0.83699999999999997</v>
      </c>
      <c r="N1214" s="4">
        <v>0.83699999999999997</v>
      </c>
      <c r="O1214" s="4">
        <v>0.83699999999999997</v>
      </c>
      <c r="P1214" s="4">
        <v>0</v>
      </c>
      <c r="Q1214" s="3" t="s">
        <v>26</v>
      </c>
      <c r="R1214" s="3">
        <v>0</v>
      </c>
      <c r="S1214" s="4">
        <v>0</v>
      </c>
      <c r="T1214" s="4">
        <v>47</v>
      </c>
      <c r="U1214" s="4">
        <v>64</v>
      </c>
      <c r="V1214" s="4">
        <f>IF(ISERROR(VLOOKUP($S$1214,'TAR FIN'!$A$1:$O$113,15,0)),0,VLOOKUP($S$1214,'TAR FIN'!$A$1:$O$113,15,0))</f>
        <v>0</v>
      </c>
      <c r="W1214" s="4">
        <f>IF(ISERROR(VLOOKUP($T$1214,'TAR FIN'!$A$1:$O$113,15,0)),0,VLOOKUP($T$1214,'TAR FIN'!$A$1:$O$113,15,0))</f>
        <v>236.61</v>
      </c>
      <c r="X1214" s="4">
        <f>IF(ISERROR(VLOOKUP($U$1214,'TAR FIN'!$A$1:$O$113,15,0)),0,VLOOKUP($U$1214,'TAR FIN'!$A$1:$O$113,15,0))</f>
        <v>222.31</v>
      </c>
      <c r="Y1214" s="4"/>
      <c r="Z1214" s="4">
        <f ca="1">('TUSD BE'!$AM$39+'TUSD BF'!$AM$39+'TUSD CVA'!$AM$39)*1</f>
        <v>282.46460860934536</v>
      </c>
      <c r="AA1214" s="4">
        <f>('TE BE'!$AA$18+'TE BF'!$AA$18+'TE CVA'!$AA$18)*1</f>
        <v>223.14561812044704</v>
      </c>
      <c r="AB1214" s="4">
        <f>$K$1214*$V$1214</f>
        <v>0</v>
      </c>
      <c r="AC1214" s="4">
        <f>$M$1214*$W$1214</f>
        <v>198.04257000000001</v>
      </c>
      <c r="AD1214" s="4">
        <f>$O$1214*$X$1214</f>
        <v>186.07346999999999</v>
      </c>
      <c r="AE1214" s="4">
        <f>$K$1214*$Y$1214</f>
        <v>0</v>
      </c>
      <c r="AF1214" s="4">
        <f ca="1">$M$1214*$Z$1214</f>
        <v>236.42287740602205</v>
      </c>
      <c r="AG1214" s="4">
        <f>$O$1214*$AA$1214</f>
        <v>186.77288236681417</v>
      </c>
    </row>
    <row r="1215" spans="1:33" ht="11.25" customHeight="1" x14ac:dyDescent="0.25">
      <c r="A1215" s="3" t="s">
        <v>28</v>
      </c>
      <c r="B1215" s="3" t="s">
        <v>22</v>
      </c>
      <c r="C1215" s="3" t="s">
        <v>33</v>
      </c>
      <c r="D1215" s="3" t="s">
        <v>24</v>
      </c>
      <c r="E1215" s="3" t="s">
        <v>24</v>
      </c>
      <c r="F1215" s="3" t="s">
        <v>25</v>
      </c>
      <c r="G1215" s="3" t="s">
        <v>25</v>
      </c>
      <c r="H1215" s="3" t="s">
        <v>35</v>
      </c>
      <c r="I1215" s="6">
        <v>44593</v>
      </c>
      <c r="J1215" s="4">
        <v>0</v>
      </c>
      <c r="K1215" s="4">
        <v>0</v>
      </c>
      <c r="L1215" s="4">
        <v>-1.506</v>
      </c>
      <c r="M1215" s="4">
        <v>-1.506</v>
      </c>
      <c r="N1215" s="4">
        <v>-1.506</v>
      </c>
      <c r="O1215" s="4">
        <v>-1.506</v>
      </c>
      <c r="P1215" s="4">
        <v>0</v>
      </c>
      <c r="Q1215" s="3" t="s">
        <v>26</v>
      </c>
      <c r="R1215" s="3">
        <v>0</v>
      </c>
      <c r="S1215" s="4">
        <v>0</v>
      </c>
      <c r="T1215" s="4">
        <v>47</v>
      </c>
      <c r="U1215" s="4">
        <v>64</v>
      </c>
      <c r="V1215" s="4">
        <f>IF(ISERROR(VLOOKUP($S$1215,'TAR FIN'!$A$1:$O$113,15,0)),0,VLOOKUP($S$1215,'TAR FIN'!$A$1:$O$113,15,0))</f>
        <v>0</v>
      </c>
      <c r="W1215" s="4">
        <f>IF(ISERROR(VLOOKUP($T$1215,'TAR FIN'!$A$1:$O$113,15,0)),0,VLOOKUP($T$1215,'TAR FIN'!$A$1:$O$113,15,0))</f>
        <v>236.61</v>
      </c>
      <c r="X1215" s="4">
        <f>IF(ISERROR(VLOOKUP($U$1215,'TAR FIN'!$A$1:$O$113,15,0)),0,VLOOKUP($U$1215,'TAR FIN'!$A$1:$O$113,15,0))</f>
        <v>222.31</v>
      </c>
      <c r="Y1215" s="4"/>
      <c r="Z1215" s="4">
        <f ca="1">('TUSD BE'!$AM$39+'TUSD BF'!$AM$39+'TUSD CVA'!$AM$39)*1</f>
        <v>282.46460860934536</v>
      </c>
      <c r="AA1215" s="4">
        <f>('TE BE'!$AA$18+'TE BF'!$AA$18+'TE CVA'!$AA$18)*1</f>
        <v>223.14561812044704</v>
      </c>
      <c r="AB1215" s="4">
        <f>$K$1215*$V$1215</f>
        <v>0</v>
      </c>
      <c r="AC1215" s="4">
        <f>$M$1215*$W$1215</f>
        <v>-356.33466000000004</v>
      </c>
      <c r="AD1215" s="4">
        <f>$O$1215*$X$1215</f>
        <v>-334.79885999999999</v>
      </c>
      <c r="AE1215" s="4">
        <f>$K$1215*$Y$1215</f>
        <v>0</v>
      </c>
      <c r="AF1215" s="4">
        <f ca="1">$M$1215*$Z$1215</f>
        <v>-425.39170056567411</v>
      </c>
      <c r="AG1215" s="4">
        <f>$O$1215*$AA$1215</f>
        <v>-336.05730088939322</v>
      </c>
    </row>
    <row r="1216" spans="1:33" ht="11.25" customHeight="1" x14ac:dyDescent="0.25">
      <c r="A1216" s="3" t="s">
        <v>56</v>
      </c>
      <c r="B1216" s="3" t="s">
        <v>22</v>
      </c>
      <c r="C1216" s="3" t="s">
        <v>33</v>
      </c>
      <c r="D1216" s="3" t="s">
        <v>24</v>
      </c>
      <c r="E1216" s="3" t="s">
        <v>24</v>
      </c>
      <c r="F1216" s="3" t="s">
        <v>25</v>
      </c>
      <c r="G1216" s="3" t="s">
        <v>25</v>
      </c>
      <c r="H1216" s="3" t="s">
        <v>35</v>
      </c>
      <c r="I1216" s="6">
        <v>44621</v>
      </c>
      <c r="J1216" s="4">
        <v>0</v>
      </c>
      <c r="K1216" s="4">
        <v>0</v>
      </c>
      <c r="L1216" s="4">
        <v>125.955</v>
      </c>
      <c r="M1216" s="4">
        <v>125.955</v>
      </c>
      <c r="N1216" s="4">
        <v>125.955</v>
      </c>
      <c r="O1216" s="4">
        <v>125.955</v>
      </c>
      <c r="P1216" s="4">
        <v>0</v>
      </c>
      <c r="Q1216" s="3" t="s">
        <v>26</v>
      </c>
      <c r="R1216" s="3">
        <v>0</v>
      </c>
      <c r="S1216" s="4">
        <v>0</v>
      </c>
      <c r="T1216" s="4">
        <v>47</v>
      </c>
      <c r="U1216" s="4">
        <v>64</v>
      </c>
      <c r="V1216" s="4">
        <f>IF(ISERROR(VLOOKUP($S$1216,'TAR FIN'!$A$1:$O$113,15,0)),0,VLOOKUP($S$1216,'TAR FIN'!$A$1:$O$113,15,0))</f>
        <v>0</v>
      </c>
      <c r="W1216" s="4">
        <f>IF(ISERROR(VLOOKUP($T$1216,'TAR FIN'!$A$1:$O$113,15,0)),0,VLOOKUP($T$1216,'TAR FIN'!$A$1:$O$113,15,0))</f>
        <v>236.61</v>
      </c>
      <c r="X1216" s="4">
        <f>IF(ISERROR(VLOOKUP($U$1216,'TAR FIN'!$A$1:$O$113,15,0)),0,VLOOKUP($U$1216,'TAR FIN'!$A$1:$O$113,15,0))</f>
        <v>222.31</v>
      </c>
      <c r="Y1216" s="4"/>
      <c r="Z1216" s="4">
        <f ca="1">('TUSD BE'!$AM$39+'TUSD BF'!$AM$39+'TUSD CVA'!$AM$39)*1</f>
        <v>282.46460860934536</v>
      </c>
      <c r="AA1216" s="4">
        <f>('TE BE'!$AA$18+'TE BF'!$AA$18+'TE CVA'!$AA$18)*1</f>
        <v>223.14561812044704</v>
      </c>
      <c r="AB1216" s="4">
        <f>$K$1216*$V$1216</f>
        <v>0</v>
      </c>
      <c r="AC1216" s="4">
        <f>$M$1216*$W$1216</f>
        <v>29802.21255</v>
      </c>
      <c r="AD1216" s="4">
        <f>$O$1216*$X$1216</f>
        <v>28001.056049999999</v>
      </c>
      <c r="AE1216" s="4">
        <f>$K$1216*$Y$1216</f>
        <v>0</v>
      </c>
      <c r="AF1216" s="4">
        <f ca="1">$M$1216*$Z$1216</f>
        <v>35577.829777390092</v>
      </c>
      <c r="AG1216" s="4">
        <f>$O$1216*$AA$1216</f>
        <v>28106.306330360905</v>
      </c>
    </row>
    <row r="1217" spans="1:33" ht="11.25" customHeight="1" x14ac:dyDescent="0.25">
      <c r="A1217" s="3" t="s">
        <v>56</v>
      </c>
      <c r="B1217" s="3" t="s">
        <v>22</v>
      </c>
      <c r="C1217" s="3" t="s">
        <v>33</v>
      </c>
      <c r="D1217" s="3" t="s">
        <v>24</v>
      </c>
      <c r="E1217" s="3" t="s">
        <v>24</v>
      </c>
      <c r="F1217" s="3" t="s">
        <v>25</v>
      </c>
      <c r="G1217" s="3" t="s">
        <v>25</v>
      </c>
      <c r="H1217" s="3" t="s">
        <v>35</v>
      </c>
      <c r="I1217" s="6">
        <v>44621</v>
      </c>
      <c r="J1217" s="4">
        <v>0</v>
      </c>
      <c r="K1217" s="4">
        <v>0</v>
      </c>
      <c r="L1217" s="4">
        <v>0.83699999999999997</v>
      </c>
      <c r="M1217" s="4">
        <v>0.83699999999999997</v>
      </c>
      <c r="N1217" s="4">
        <v>0.83699999999999997</v>
      </c>
      <c r="O1217" s="4">
        <v>0.83699999999999997</v>
      </c>
      <c r="P1217" s="4">
        <v>0</v>
      </c>
      <c r="Q1217" s="3" t="s">
        <v>26</v>
      </c>
      <c r="R1217" s="3">
        <v>0</v>
      </c>
      <c r="S1217" s="4">
        <v>0</v>
      </c>
      <c r="T1217" s="4">
        <v>47</v>
      </c>
      <c r="U1217" s="4">
        <v>64</v>
      </c>
      <c r="V1217" s="4">
        <f>IF(ISERROR(VLOOKUP($S$1217,'TAR FIN'!$A$1:$O$113,15,0)),0,VLOOKUP($S$1217,'TAR FIN'!$A$1:$O$113,15,0))</f>
        <v>0</v>
      </c>
      <c r="W1217" s="4">
        <f>IF(ISERROR(VLOOKUP($T$1217,'TAR FIN'!$A$1:$O$113,15,0)),0,VLOOKUP($T$1217,'TAR FIN'!$A$1:$O$113,15,0))</f>
        <v>236.61</v>
      </c>
      <c r="X1217" s="4">
        <f>IF(ISERROR(VLOOKUP($U$1217,'TAR FIN'!$A$1:$O$113,15,0)),0,VLOOKUP($U$1217,'TAR FIN'!$A$1:$O$113,15,0))</f>
        <v>222.31</v>
      </c>
      <c r="Y1217" s="4"/>
      <c r="Z1217" s="4">
        <f ca="1">('TUSD BE'!$AM$39+'TUSD BF'!$AM$39+'TUSD CVA'!$AM$39)*1</f>
        <v>282.46460860934536</v>
      </c>
      <c r="AA1217" s="4">
        <f>('TE BE'!$AA$18+'TE BF'!$AA$18+'TE CVA'!$AA$18)*1</f>
        <v>223.14561812044704</v>
      </c>
      <c r="AB1217" s="4">
        <f>$K$1217*$V$1217</f>
        <v>0</v>
      </c>
      <c r="AC1217" s="4">
        <f>$M$1217*$W$1217</f>
        <v>198.04257000000001</v>
      </c>
      <c r="AD1217" s="4">
        <f>$O$1217*$X$1217</f>
        <v>186.07346999999999</v>
      </c>
      <c r="AE1217" s="4">
        <f>$K$1217*$Y$1217</f>
        <v>0</v>
      </c>
      <c r="AF1217" s="4">
        <f ca="1">$M$1217*$Z$1217</f>
        <v>236.42287740602205</v>
      </c>
      <c r="AG1217" s="4">
        <f>$O$1217*$AA$1217</f>
        <v>186.77288236681417</v>
      </c>
    </row>
    <row r="1218" spans="1:33" ht="11.25" customHeight="1" x14ac:dyDescent="0.25">
      <c r="A1218" s="3" t="s">
        <v>56</v>
      </c>
      <c r="B1218" s="3" t="s">
        <v>22</v>
      </c>
      <c r="C1218" s="3" t="s">
        <v>33</v>
      </c>
      <c r="D1218" s="3" t="s">
        <v>24</v>
      </c>
      <c r="E1218" s="3" t="s">
        <v>24</v>
      </c>
      <c r="F1218" s="3" t="s">
        <v>25</v>
      </c>
      <c r="G1218" s="3" t="s">
        <v>25</v>
      </c>
      <c r="H1218" s="3" t="s">
        <v>35</v>
      </c>
      <c r="I1218" s="6">
        <v>44621</v>
      </c>
      <c r="J1218" s="4">
        <v>0</v>
      </c>
      <c r="K1218" s="4">
        <v>0</v>
      </c>
      <c r="L1218" s="4">
        <v>-1.506</v>
      </c>
      <c r="M1218" s="4">
        <v>-1.506</v>
      </c>
      <c r="N1218" s="4">
        <v>-1.506</v>
      </c>
      <c r="O1218" s="4">
        <v>-1.506</v>
      </c>
      <c r="P1218" s="4">
        <v>0</v>
      </c>
      <c r="Q1218" s="3" t="s">
        <v>26</v>
      </c>
      <c r="R1218" s="3">
        <v>0</v>
      </c>
      <c r="S1218" s="4">
        <v>0</v>
      </c>
      <c r="T1218" s="4">
        <v>47</v>
      </c>
      <c r="U1218" s="4">
        <v>64</v>
      </c>
      <c r="V1218" s="4">
        <f>IF(ISERROR(VLOOKUP($S$1218,'TAR FIN'!$A$1:$O$113,15,0)),0,VLOOKUP($S$1218,'TAR FIN'!$A$1:$O$113,15,0))</f>
        <v>0</v>
      </c>
      <c r="W1218" s="4">
        <f>IF(ISERROR(VLOOKUP($T$1218,'TAR FIN'!$A$1:$O$113,15,0)),0,VLOOKUP($T$1218,'TAR FIN'!$A$1:$O$113,15,0))</f>
        <v>236.61</v>
      </c>
      <c r="X1218" s="4">
        <f>IF(ISERROR(VLOOKUP($U$1218,'TAR FIN'!$A$1:$O$113,15,0)),0,VLOOKUP($U$1218,'TAR FIN'!$A$1:$O$113,15,0))</f>
        <v>222.31</v>
      </c>
      <c r="Y1218" s="4"/>
      <c r="Z1218" s="4">
        <f ca="1">('TUSD BE'!$AM$39+'TUSD BF'!$AM$39+'TUSD CVA'!$AM$39)*1</f>
        <v>282.46460860934536</v>
      </c>
      <c r="AA1218" s="4">
        <f>('TE BE'!$AA$18+'TE BF'!$AA$18+'TE CVA'!$AA$18)*1</f>
        <v>223.14561812044704</v>
      </c>
      <c r="AB1218" s="4">
        <f>$K$1218*$V$1218</f>
        <v>0</v>
      </c>
      <c r="AC1218" s="4">
        <f>$M$1218*$W$1218</f>
        <v>-356.33466000000004</v>
      </c>
      <c r="AD1218" s="4">
        <f>$O$1218*$X$1218</f>
        <v>-334.79885999999999</v>
      </c>
      <c r="AE1218" s="4">
        <f>$K$1218*$Y$1218</f>
        <v>0</v>
      </c>
      <c r="AF1218" s="4">
        <f ca="1">$M$1218*$Z$1218</f>
        <v>-425.39170056567411</v>
      </c>
      <c r="AG1218" s="4">
        <f>$O$1218*$AA$1218</f>
        <v>-336.05730088939322</v>
      </c>
    </row>
    <row r="1219" spans="1:33" ht="11.25" customHeight="1" x14ac:dyDescent="0.25">
      <c r="A1219" s="3" t="s">
        <v>21</v>
      </c>
      <c r="B1219" s="3" t="s">
        <v>22</v>
      </c>
      <c r="C1219" s="3" t="s">
        <v>33</v>
      </c>
      <c r="D1219" s="3" t="s">
        <v>24</v>
      </c>
      <c r="E1219" s="3" t="s">
        <v>24</v>
      </c>
      <c r="F1219" s="3" t="s">
        <v>25</v>
      </c>
      <c r="G1219" s="3" t="s">
        <v>25</v>
      </c>
      <c r="H1219" s="3" t="s">
        <v>36</v>
      </c>
      <c r="I1219" s="6">
        <v>44287</v>
      </c>
      <c r="J1219" s="4">
        <v>0</v>
      </c>
      <c r="K1219" s="4">
        <v>0</v>
      </c>
      <c r="L1219" s="4">
        <v>6.7119999999999997</v>
      </c>
      <c r="M1219" s="4">
        <v>6.7119999999999997</v>
      </c>
      <c r="N1219" s="4">
        <v>6.7119999999999997</v>
      </c>
      <c r="O1219" s="4">
        <v>6.7119999999999997</v>
      </c>
      <c r="P1219" s="4">
        <v>0</v>
      </c>
      <c r="Q1219" s="3" t="s">
        <v>26</v>
      </c>
      <c r="R1219" s="3">
        <v>0</v>
      </c>
      <c r="S1219" s="4">
        <v>0</v>
      </c>
      <c r="T1219" s="4">
        <v>25</v>
      </c>
      <c r="U1219" s="4">
        <v>63</v>
      </c>
      <c r="V1219" s="4">
        <f>IF(ISERROR(VLOOKUP($S$1219,'TAR FIN'!$A$1:$O$113,15,0)),0,VLOOKUP($S$1219,'TAR FIN'!$A$1:$O$113,15,0))</f>
        <v>0</v>
      </c>
      <c r="W1219" s="4">
        <f>IF(ISERROR(VLOOKUP($T$1219,'TAR FIN'!$A$1:$O$113,15,0)),0,VLOOKUP($T$1219,'TAR FIN'!$A$1:$O$113,15,0))</f>
        <v>565.36</v>
      </c>
      <c r="X1219" s="4">
        <f>IF(ISERROR(VLOOKUP($U$1219,'TAR FIN'!$A$1:$O$113,15,0)),0,VLOOKUP($U$1219,'TAR FIN'!$A$1:$O$113,15,0))</f>
        <v>222.31</v>
      </c>
      <c r="Y1219" s="4"/>
      <c r="Z1219" s="4">
        <f ca="1">('TUSD BE'!$AM$38+'TUSD BF'!$AM$38+'TUSD CVA'!$AM$38)*1</f>
        <v>668.49805620193388</v>
      </c>
      <c r="AA1219" s="4">
        <f>('TE BE'!$AA$17+'TE BF'!$AA$17+'TE CVA'!$AA$17)*1</f>
        <v>223.14561812044704</v>
      </c>
      <c r="AB1219" s="4">
        <f>$K$1219*$V$1219</f>
        <v>0</v>
      </c>
      <c r="AC1219" s="4">
        <f>$M$1219*$W$1219</f>
        <v>3794.69632</v>
      </c>
      <c r="AD1219" s="4">
        <f>$O$1219*$X$1219</f>
        <v>1492.14472</v>
      </c>
      <c r="AE1219" s="4">
        <f>$K$1219*$Y$1219</f>
        <v>0</v>
      </c>
      <c r="AF1219" s="4">
        <f ca="1">$M$1219*$Z$1219</f>
        <v>4486.9589532273803</v>
      </c>
      <c r="AG1219" s="4">
        <f>$O$1219*$AA$1219</f>
        <v>1497.7533888244404</v>
      </c>
    </row>
    <row r="1220" spans="1:33" ht="11.25" customHeight="1" x14ac:dyDescent="0.25">
      <c r="A1220" s="3" t="s">
        <v>28</v>
      </c>
      <c r="B1220" s="3" t="s">
        <v>22</v>
      </c>
      <c r="C1220" s="3" t="s">
        <v>33</v>
      </c>
      <c r="D1220" s="3" t="s">
        <v>24</v>
      </c>
      <c r="E1220" s="3" t="s">
        <v>24</v>
      </c>
      <c r="F1220" s="3" t="s">
        <v>25</v>
      </c>
      <c r="G1220" s="3" t="s">
        <v>25</v>
      </c>
      <c r="H1220" s="3" t="s">
        <v>36</v>
      </c>
      <c r="I1220" s="6">
        <v>44287</v>
      </c>
      <c r="J1220" s="4">
        <v>0</v>
      </c>
      <c r="K1220" s="4">
        <v>0</v>
      </c>
      <c r="L1220" s="4">
        <v>0.13200000000000001</v>
      </c>
      <c r="M1220" s="4">
        <v>0.13200000000000001</v>
      </c>
      <c r="N1220" s="4">
        <v>0.13200000000000001</v>
      </c>
      <c r="O1220" s="4">
        <v>0.13200000000000001</v>
      </c>
      <c r="P1220" s="4">
        <v>0</v>
      </c>
      <c r="Q1220" s="3" t="s">
        <v>26</v>
      </c>
      <c r="R1220" s="3">
        <v>0</v>
      </c>
      <c r="S1220" s="4">
        <v>0</v>
      </c>
      <c r="T1220" s="4">
        <v>25</v>
      </c>
      <c r="U1220" s="4">
        <v>63</v>
      </c>
      <c r="V1220" s="4">
        <f>IF(ISERROR(VLOOKUP($S$1220,'TAR FIN'!$A$1:$O$113,15,0)),0,VLOOKUP($S$1220,'TAR FIN'!$A$1:$O$113,15,0))</f>
        <v>0</v>
      </c>
      <c r="W1220" s="4">
        <f>IF(ISERROR(VLOOKUP($T$1220,'TAR FIN'!$A$1:$O$113,15,0)),0,VLOOKUP($T$1220,'TAR FIN'!$A$1:$O$113,15,0))</f>
        <v>565.36</v>
      </c>
      <c r="X1220" s="4">
        <f>IF(ISERROR(VLOOKUP($U$1220,'TAR FIN'!$A$1:$O$113,15,0)),0,VLOOKUP($U$1220,'TAR FIN'!$A$1:$O$113,15,0))</f>
        <v>222.31</v>
      </c>
      <c r="Y1220" s="4"/>
      <c r="Z1220" s="4">
        <f ca="1">('TUSD BE'!$AM$38+'TUSD BF'!$AM$38+'TUSD CVA'!$AM$38)*1</f>
        <v>668.49805620193388</v>
      </c>
      <c r="AA1220" s="4">
        <f>('TE BE'!$AA$17+'TE BF'!$AA$17+'TE CVA'!$AA$17)*1</f>
        <v>223.14561812044704</v>
      </c>
      <c r="AB1220" s="4">
        <f>$K$1220*$V$1220</f>
        <v>0</v>
      </c>
      <c r="AC1220" s="4">
        <f>$M$1220*$W$1220</f>
        <v>74.627520000000004</v>
      </c>
      <c r="AD1220" s="4">
        <f>$O$1220*$X$1220</f>
        <v>29.344920000000002</v>
      </c>
      <c r="AE1220" s="4">
        <f>$K$1220*$Y$1220</f>
        <v>0</v>
      </c>
      <c r="AF1220" s="4">
        <f ca="1">$M$1220*$Z$1220</f>
        <v>88.241743418655275</v>
      </c>
      <c r="AG1220" s="4">
        <f>$O$1220*$AA$1220</f>
        <v>29.455221591899011</v>
      </c>
    </row>
    <row r="1221" spans="1:33" ht="11.25" customHeight="1" x14ac:dyDescent="0.25">
      <c r="A1221" s="3" t="s">
        <v>21</v>
      </c>
      <c r="B1221" s="3" t="s">
        <v>22</v>
      </c>
      <c r="C1221" s="3" t="s">
        <v>33</v>
      </c>
      <c r="D1221" s="3" t="s">
        <v>24</v>
      </c>
      <c r="E1221" s="3" t="s">
        <v>24</v>
      </c>
      <c r="F1221" s="3" t="s">
        <v>25</v>
      </c>
      <c r="G1221" s="3" t="s">
        <v>25</v>
      </c>
      <c r="H1221" s="3" t="s">
        <v>36</v>
      </c>
      <c r="I1221" s="6">
        <v>44317</v>
      </c>
      <c r="J1221" s="4">
        <v>0</v>
      </c>
      <c r="K1221" s="4">
        <v>0</v>
      </c>
      <c r="L1221" s="4">
        <v>6.2249999999999996</v>
      </c>
      <c r="M1221" s="4">
        <v>6.2249999999999996</v>
      </c>
      <c r="N1221" s="4">
        <v>6.2249999999999996</v>
      </c>
      <c r="O1221" s="4">
        <v>6.2249999999999996</v>
      </c>
      <c r="P1221" s="4">
        <v>0</v>
      </c>
      <c r="Q1221" s="3" t="s">
        <v>26</v>
      </c>
      <c r="R1221" s="3">
        <v>0</v>
      </c>
      <c r="S1221" s="4">
        <v>0</v>
      </c>
      <c r="T1221" s="4">
        <v>25</v>
      </c>
      <c r="U1221" s="4">
        <v>63</v>
      </c>
      <c r="V1221" s="4">
        <f>IF(ISERROR(VLOOKUP($S$1221,'TAR FIN'!$A$1:$O$113,15,0)),0,VLOOKUP($S$1221,'TAR FIN'!$A$1:$O$113,15,0))</f>
        <v>0</v>
      </c>
      <c r="W1221" s="4">
        <f>IF(ISERROR(VLOOKUP($T$1221,'TAR FIN'!$A$1:$O$113,15,0)),0,VLOOKUP($T$1221,'TAR FIN'!$A$1:$O$113,15,0))</f>
        <v>565.36</v>
      </c>
      <c r="X1221" s="4">
        <f>IF(ISERROR(VLOOKUP($U$1221,'TAR FIN'!$A$1:$O$113,15,0)),0,VLOOKUP($U$1221,'TAR FIN'!$A$1:$O$113,15,0))</f>
        <v>222.31</v>
      </c>
      <c r="Y1221" s="4"/>
      <c r="Z1221" s="4">
        <f ca="1">('TUSD BE'!$AM$38+'TUSD BF'!$AM$38+'TUSD CVA'!$AM$38)*1</f>
        <v>668.49805620193388</v>
      </c>
      <c r="AA1221" s="4">
        <f>('TE BE'!$AA$17+'TE BF'!$AA$17+'TE CVA'!$AA$17)*1</f>
        <v>223.14561812044704</v>
      </c>
      <c r="AB1221" s="4">
        <f>$K$1221*$V$1221</f>
        <v>0</v>
      </c>
      <c r="AC1221" s="4">
        <f>$M$1221*$W$1221</f>
        <v>3519.366</v>
      </c>
      <c r="AD1221" s="4">
        <f>$O$1221*$X$1221</f>
        <v>1383.8797499999998</v>
      </c>
      <c r="AE1221" s="4">
        <f>$K$1221*$Y$1221</f>
        <v>0</v>
      </c>
      <c r="AF1221" s="4">
        <f ca="1">$M$1221*$Z$1221</f>
        <v>4161.4003998570379</v>
      </c>
      <c r="AG1221" s="4">
        <f>$O$1221*$AA$1221</f>
        <v>1389.0814727997827</v>
      </c>
    </row>
    <row r="1222" spans="1:33" ht="11.25" customHeight="1" x14ac:dyDescent="0.25">
      <c r="A1222" s="3" t="s">
        <v>28</v>
      </c>
      <c r="B1222" s="3" t="s">
        <v>22</v>
      </c>
      <c r="C1222" s="3" t="s">
        <v>33</v>
      </c>
      <c r="D1222" s="3" t="s">
        <v>24</v>
      </c>
      <c r="E1222" s="3" t="s">
        <v>24</v>
      </c>
      <c r="F1222" s="3" t="s">
        <v>25</v>
      </c>
      <c r="G1222" s="3" t="s">
        <v>25</v>
      </c>
      <c r="H1222" s="3" t="s">
        <v>36</v>
      </c>
      <c r="I1222" s="6">
        <v>44317</v>
      </c>
      <c r="J1222" s="4">
        <v>0</v>
      </c>
      <c r="K1222" s="4">
        <v>0</v>
      </c>
      <c r="L1222" s="4">
        <v>4.8000000000000001E-2</v>
      </c>
      <c r="M1222" s="4">
        <v>4.8000000000000001E-2</v>
      </c>
      <c r="N1222" s="4">
        <v>4.8000000000000001E-2</v>
      </c>
      <c r="O1222" s="4">
        <v>4.8000000000000001E-2</v>
      </c>
      <c r="P1222" s="4">
        <v>0</v>
      </c>
      <c r="Q1222" s="3" t="s">
        <v>26</v>
      </c>
      <c r="R1222" s="3">
        <v>0</v>
      </c>
      <c r="S1222" s="4">
        <v>0</v>
      </c>
      <c r="T1222" s="4">
        <v>25</v>
      </c>
      <c r="U1222" s="4">
        <v>63</v>
      </c>
      <c r="V1222" s="4">
        <f>IF(ISERROR(VLOOKUP($S$1222,'TAR FIN'!$A$1:$O$113,15,0)),0,VLOOKUP($S$1222,'TAR FIN'!$A$1:$O$113,15,0))</f>
        <v>0</v>
      </c>
      <c r="W1222" s="4">
        <f>IF(ISERROR(VLOOKUP($T$1222,'TAR FIN'!$A$1:$O$113,15,0)),0,VLOOKUP($T$1222,'TAR FIN'!$A$1:$O$113,15,0))</f>
        <v>565.36</v>
      </c>
      <c r="X1222" s="4">
        <f>IF(ISERROR(VLOOKUP($U$1222,'TAR FIN'!$A$1:$O$113,15,0)),0,VLOOKUP($U$1222,'TAR FIN'!$A$1:$O$113,15,0))</f>
        <v>222.31</v>
      </c>
      <c r="Y1222" s="4"/>
      <c r="Z1222" s="4">
        <f ca="1">('TUSD BE'!$AM$38+'TUSD BF'!$AM$38+'TUSD CVA'!$AM$38)*1</f>
        <v>668.49805620193388</v>
      </c>
      <c r="AA1222" s="4">
        <f>('TE BE'!$AA$17+'TE BF'!$AA$17+'TE CVA'!$AA$17)*1</f>
        <v>223.14561812044704</v>
      </c>
      <c r="AB1222" s="4">
        <f>$K$1222*$V$1222</f>
        <v>0</v>
      </c>
      <c r="AC1222" s="4">
        <f>$M$1222*$W$1222</f>
        <v>27.137280000000001</v>
      </c>
      <c r="AD1222" s="4">
        <f>$O$1222*$X$1222</f>
        <v>10.67088</v>
      </c>
      <c r="AE1222" s="4">
        <f>$K$1222*$Y$1222</f>
        <v>0</v>
      </c>
      <c r="AF1222" s="4">
        <f ca="1">$M$1222*$Z$1222</f>
        <v>32.08790669769283</v>
      </c>
      <c r="AG1222" s="4">
        <f>$O$1222*$AA$1222</f>
        <v>10.710989669781458</v>
      </c>
    </row>
    <row r="1223" spans="1:33" ht="11.25" customHeight="1" x14ac:dyDescent="0.25">
      <c r="A1223" s="3" t="s">
        <v>21</v>
      </c>
      <c r="B1223" s="3" t="s">
        <v>22</v>
      </c>
      <c r="C1223" s="3" t="s">
        <v>33</v>
      </c>
      <c r="D1223" s="3" t="s">
        <v>24</v>
      </c>
      <c r="E1223" s="3" t="s">
        <v>24</v>
      </c>
      <c r="F1223" s="3" t="s">
        <v>25</v>
      </c>
      <c r="G1223" s="3" t="s">
        <v>25</v>
      </c>
      <c r="H1223" s="3" t="s">
        <v>36</v>
      </c>
      <c r="I1223" s="6">
        <v>44348</v>
      </c>
      <c r="J1223" s="4">
        <v>0</v>
      </c>
      <c r="K1223" s="4">
        <v>0</v>
      </c>
      <c r="L1223" s="4">
        <v>6.5419999999999998</v>
      </c>
      <c r="M1223" s="4">
        <v>6.5419999999999998</v>
      </c>
      <c r="N1223" s="4">
        <v>6.5419999999999998</v>
      </c>
      <c r="O1223" s="4">
        <v>6.5419999999999998</v>
      </c>
      <c r="P1223" s="4">
        <v>0</v>
      </c>
      <c r="Q1223" s="3" t="s">
        <v>26</v>
      </c>
      <c r="R1223" s="3">
        <v>0</v>
      </c>
      <c r="S1223" s="4">
        <v>0</v>
      </c>
      <c r="T1223" s="4">
        <v>25</v>
      </c>
      <c r="U1223" s="4">
        <v>63</v>
      </c>
      <c r="V1223" s="4">
        <f>IF(ISERROR(VLOOKUP($S$1223,'TAR FIN'!$A$1:$O$113,15,0)),0,VLOOKUP($S$1223,'TAR FIN'!$A$1:$O$113,15,0))</f>
        <v>0</v>
      </c>
      <c r="W1223" s="4">
        <f>IF(ISERROR(VLOOKUP($T$1223,'TAR FIN'!$A$1:$O$113,15,0)),0,VLOOKUP($T$1223,'TAR FIN'!$A$1:$O$113,15,0))</f>
        <v>565.36</v>
      </c>
      <c r="X1223" s="4">
        <f>IF(ISERROR(VLOOKUP($U$1223,'TAR FIN'!$A$1:$O$113,15,0)),0,VLOOKUP($U$1223,'TAR FIN'!$A$1:$O$113,15,0))</f>
        <v>222.31</v>
      </c>
      <c r="Y1223" s="4"/>
      <c r="Z1223" s="4">
        <f ca="1">('TUSD BE'!$AM$38+'TUSD BF'!$AM$38+'TUSD CVA'!$AM$38)*1</f>
        <v>668.49805620193388</v>
      </c>
      <c r="AA1223" s="4">
        <f>('TE BE'!$AA$17+'TE BF'!$AA$17+'TE CVA'!$AA$17)*1</f>
        <v>223.14561812044704</v>
      </c>
      <c r="AB1223" s="4">
        <f>$K$1223*$V$1223</f>
        <v>0</v>
      </c>
      <c r="AC1223" s="4">
        <f>$M$1223*$W$1223</f>
        <v>3698.5851200000002</v>
      </c>
      <c r="AD1223" s="4">
        <f>$O$1223*$X$1223</f>
        <v>1454.35202</v>
      </c>
      <c r="AE1223" s="4">
        <f>$K$1223*$Y$1223</f>
        <v>0</v>
      </c>
      <c r="AF1223" s="4">
        <f ca="1">$M$1223*$Z$1223</f>
        <v>4373.3142836730512</v>
      </c>
      <c r="AG1223" s="4">
        <f>$O$1223*$AA$1223</f>
        <v>1459.8186337439645</v>
      </c>
    </row>
    <row r="1224" spans="1:33" ht="11.25" customHeight="1" x14ac:dyDescent="0.25">
      <c r="A1224" s="3" t="s">
        <v>28</v>
      </c>
      <c r="B1224" s="3" t="s">
        <v>22</v>
      </c>
      <c r="C1224" s="3" t="s">
        <v>33</v>
      </c>
      <c r="D1224" s="3" t="s">
        <v>24</v>
      </c>
      <c r="E1224" s="3" t="s">
        <v>24</v>
      </c>
      <c r="F1224" s="3" t="s">
        <v>25</v>
      </c>
      <c r="G1224" s="3" t="s">
        <v>25</v>
      </c>
      <c r="H1224" s="3" t="s">
        <v>36</v>
      </c>
      <c r="I1224" s="6">
        <v>44348</v>
      </c>
      <c r="J1224" s="4">
        <v>0</v>
      </c>
      <c r="K1224" s="4">
        <v>0</v>
      </c>
      <c r="L1224" s="4">
        <v>6.3E-2</v>
      </c>
      <c r="M1224" s="4">
        <v>6.3E-2</v>
      </c>
      <c r="N1224" s="4">
        <v>6.3E-2</v>
      </c>
      <c r="O1224" s="4">
        <v>6.3E-2</v>
      </c>
      <c r="P1224" s="4">
        <v>0</v>
      </c>
      <c r="Q1224" s="3" t="s">
        <v>26</v>
      </c>
      <c r="R1224" s="3">
        <v>0</v>
      </c>
      <c r="S1224" s="4">
        <v>0</v>
      </c>
      <c r="T1224" s="4">
        <v>25</v>
      </c>
      <c r="U1224" s="4">
        <v>63</v>
      </c>
      <c r="V1224" s="4">
        <f>IF(ISERROR(VLOOKUP($S$1224,'TAR FIN'!$A$1:$O$113,15,0)),0,VLOOKUP($S$1224,'TAR FIN'!$A$1:$O$113,15,0))</f>
        <v>0</v>
      </c>
      <c r="W1224" s="4">
        <f>IF(ISERROR(VLOOKUP($T$1224,'TAR FIN'!$A$1:$O$113,15,0)),0,VLOOKUP($T$1224,'TAR FIN'!$A$1:$O$113,15,0))</f>
        <v>565.36</v>
      </c>
      <c r="X1224" s="4">
        <f>IF(ISERROR(VLOOKUP($U$1224,'TAR FIN'!$A$1:$O$113,15,0)),0,VLOOKUP($U$1224,'TAR FIN'!$A$1:$O$113,15,0))</f>
        <v>222.31</v>
      </c>
      <c r="Y1224" s="4"/>
      <c r="Z1224" s="4">
        <f ca="1">('TUSD BE'!$AM$38+'TUSD BF'!$AM$38+'TUSD CVA'!$AM$38)*1</f>
        <v>668.49805620193388</v>
      </c>
      <c r="AA1224" s="4">
        <f>('TE BE'!$AA$17+'TE BF'!$AA$17+'TE CVA'!$AA$17)*1</f>
        <v>223.14561812044704</v>
      </c>
      <c r="AB1224" s="4">
        <f>$K$1224*$V$1224</f>
        <v>0</v>
      </c>
      <c r="AC1224" s="4">
        <f>$M$1224*$W$1224</f>
        <v>35.61768</v>
      </c>
      <c r="AD1224" s="4">
        <f>$O$1224*$X$1224</f>
        <v>14.00553</v>
      </c>
      <c r="AE1224" s="4">
        <f>$K$1224*$Y$1224</f>
        <v>0</v>
      </c>
      <c r="AF1224" s="4">
        <f ca="1">$M$1224*$Z$1224</f>
        <v>42.115377540721838</v>
      </c>
      <c r="AG1224" s="4">
        <f>$O$1224*$AA$1224</f>
        <v>14.058173941588164</v>
      </c>
    </row>
    <row r="1225" spans="1:33" ht="11.25" customHeight="1" x14ac:dyDescent="0.25">
      <c r="A1225" s="3" t="s">
        <v>21</v>
      </c>
      <c r="B1225" s="3" t="s">
        <v>22</v>
      </c>
      <c r="C1225" s="3" t="s">
        <v>33</v>
      </c>
      <c r="D1225" s="3" t="s">
        <v>24</v>
      </c>
      <c r="E1225" s="3" t="s">
        <v>24</v>
      </c>
      <c r="F1225" s="3" t="s">
        <v>25</v>
      </c>
      <c r="G1225" s="3" t="s">
        <v>25</v>
      </c>
      <c r="H1225" s="3" t="s">
        <v>36</v>
      </c>
      <c r="I1225" s="6">
        <v>44378</v>
      </c>
      <c r="J1225" s="4">
        <v>0</v>
      </c>
      <c r="K1225" s="4">
        <v>0</v>
      </c>
      <c r="L1225" s="4">
        <v>5.8940000000000001</v>
      </c>
      <c r="M1225" s="4">
        <v>5.8940000000000001</v>
      </c>
      <c r="N1225" s="4">
        <v>5.8940000000000001</v>
      </c>
      <c r="O1225" s="4">
        <v>5.8940000000000001</v>
      </c>
      <c r="P1225" s="4">
        <v>0</v>
      </c>
      <c r="Q1225" s="3" t="s">
        <v>26</v>
      </c>
      <c r="R1225" s="3">
        <v>0</v>
      </c>
      <c r="S1225" s="4">
        <v>0</v>
      </c>
      <c r="T1225" s="4">
        <v>25</v>
      </c>
      <c r="U1225" s="4">
        <v>63</v>
      </c>
      <c r="V1225" s="4">
        <f>IF(ISERROR(VLOOKUP($S$1225,'TAR FIN'!$A$1:$O$113,15,0)),0,VLOOKUP($S$1225,'TAR FIN'!$A$1:$O$113,15,0))</f>
        <v>0</v>
      </c>
      <c r="W1225" s="4">
        <f>IF(ISERROR(VLOOKUP($T$1225,'TAR FIN'!$A$1:$O$113,15,0)),0,VLOOKUP($T$1225,'TAR FIN'!$A$1:$O$113,15,0))</f>
        <v>565.36</v>
      </c>
      <c r="X1225" s="4">
        <f>IF(ISERROR(VLOOKUP($U$1225,'TAR FIN'!$A$1:$O$113,15,0)),0,VLOOKUP($U$1225,'TAR FIN'!$A$1:$O$113,15,0))</f>
        <v>222.31</v>
      </c>
      <c r="Y1225" s="4"/>
      <c r="Z1225" s="4">
        <f ca="1">('TUSD BE'!$AM$38+'TUSD BF'!$AM$38+'TUSD CVA'!$AM$38)*1</f>
        <v>668.49805620193388</v>
      </c>
      <c r="AA1225" s="4">
        <f>('TE BE'!$AA$17+'TE BF'!$AA$17+'TE CVA'!$AA$17)*1</f>
        <v>223.14561812044704</v>
      </c>
      <c r="AB1225" s="4">
        <f>$K$1225*$V$1225</f>
        <v>0</v>
      </c>
      <c r="AC1225" s="4">
        <f>$M$1225*$W$1225</f>
        <v>3332.2318400000004</v>
      </c>
      <c r="AD1225" s="4">
        <f>$O$1225*$X$1225</f>
        <v>1310.2951399999999</v>
      </c>
      <c r="AE1225" s="4">
        <f>$K$1225*$Y$1225</f>
        <v>0</v>
      </c>
      <c r="AF1225" s="4">
        <f ca="1">$M$1225*$Z$1225</f>
        <v>3940.1275432541984</v>
      </c>
      <c r="AG1225" s="4">
        <f>$O$1225*$AA$1225</f>
        <v>1315.2202732019148</v>
      </c>
    </row>
    <row r="1226" spans="1:33" ht="11.25" customHeight="1" x14ac:dyDescent="0.25">
      <c r="A1226" s="3" t="s">
        <v>28</v>
      </c>
      <c r="B1226" s="3" t="s">
        <v>22</v>
      </c>
      <c r="C1226" s="3" t="s">
        <v>33</v>
      </c>
      <c r="D1226" s="3" t="s">
        <v>24</v>
      </c>
      <c r="E1226" s="3" t="s">
        <v>24</v>
      </c>
      <c r="F1226" s="3" t="s">
        <v>25</v>
      </c>
      <c r="G1226" s="3" t="s">
        <v>25</v>
      </c>
      <c r="H1226" s="3" t="s">
        <v>36</v>
      </c>
      <c r="I1226" s="6">
        <v>44378</v>
      </c>
      <c r="J1226" s="4">
        <v>0</v>
      </c>
      <c r="K1226" s="4">
        <v>0</v>
      </c>
      <c r="L1226" s="4">
        <v>4.7E-2</v>
      </c>
      <c r="M1226" s="4">
        <v>4.7E-2</v>
      </c>
      <c r="N1226" s="4">
        <v>4.7E-2</v>
      </c>
      <c r="O1226" s="4">
        <v>4.7E-2</v>
      </c>
      <c r="P1226" s="4">
        <v>0</v>
      </c>
      <c r="Q1226" s="3" t="s">
        <v>26</v>
      </c>
      <c r="R1226" s="3">
        <v>0</v>
      </c>
      <c r="S1226" s="4">
        <v>0</v>
      </c>
      <c r="T1226" s="4">
        <v>25</v>
      </c>
      <c r="U1226" s="4">
        <v>63</v>
      </c>
      <c r="V1226" s="4">
        <f>IF(ISERROR(VLOOKUP($S$1226,'TAR FIN'!$A$1:$O$113,15,0)),0,VLOOKUP($S$1226,'TAR FIN'!$A$1:$O$113,15,0))</f>
        <v>0</v>
      </c>
      <c r="W1226" s="4">
        <f>IF(ISERROR(VLOOKUP($T$1226,'TAR FIN'!$A$1:$O$113,15,0)),0,VLOOKUP($T$1226,'TAR FIN'!$A$1:$O$113,15,0))</f>
        <v>565.36</v>
      </c>
      <c r="X1226" s="4">
        <f>IF(ISERROR(VLOOKUP($U$1226,'TAR FIN'!$A$1:$O$113,15,0)),0,VLOOKUP($U$1226,'TAR FIN'!$A$1:$O$113,15,0))</f>
        <v>222.31</v>
      </c>
      <c r="Y1226" s="4"/>
      <c r="Z1226" s="4">
        <f ca="1">('TUSD BE'!$AM$38+'TUSD BF'!$AM$38+'TUSD CVA'!$AM$38)*1</f>
        <v>668.49805620193388</v>
      </c>
      <c r="AA1226" s="4">
        <f>('TE BE'!$AA$17+'TE BF'!$AA$17+'TE CVA'!$AA$17)*1</f>
        <v>223.14561812044704</v>
      </c>
      <c r="AB1226" s="4">
        <f>$K$1226*$V$1226</f>
        <v>0</v>
      </c>
      <c r="AC1226" s="4">
        <f>$M$1226*$W$1226</f>
        <v>26.571920000000002</v>
      </c>
      <c r="AD1226" s="4">
        <f>$O$1226*$X$1226</f>
        <v>10.44857</v>
      </c>
      <c r="AE1226" s="4">
        <f>$K$1226*$Y$1226</f>
        <v>0</v>
      </c>
      <c r="AF1226" s="4">
        <f ca="1">$M$1226*$Z$1226</f>
        <v>31.419408641490893</v>
      </c>
      <c r="AG1226" s="4">
        <f>$O$1226*$AA$1226</f>
        <v>10.487844051661011</v>
      </c>
    </row>
    <row r="1227" spans="1:33" ht="11.25" customHeight="1" x14ac:dyDescent="0.25">
      <c r="A1227" s="3" t="s">
        <v>21</v>
      </c>
      <c r="B1227" s="3" t="s">
        <v>22</v>
      </c>
      <c r="C1227" s="3" t="s">
        <v>33</v>
      </c>
      <c r="D1227" s="3" t="s">
        <v>24</v>
      </c>
      <c r="E1227" s="3" t="s">
        <v>24</v>
      </c>
      <c r="F1227" s="3" t="s">
        <v>25</v>
      </c>
      <c r="G1227" s="3" t="s">
        <v>25</v>
      </c>
      <c r="H1227" s="3" t="s">
        <v>36</v>
      </c>
      <c r="I1227" s="6">
        <v>44409</v>
      </c>
      <c r="J1227" s="4">
        <v>0</v>
      </c>
      <c r="K1227" s="4">
        <v>0</v>
      </c>
      <c r="L1227" s="4">
        <v>5.8639999999999999</v>
      </c>
      <c r="M1227" s="4">
        <v>5.8639999999999999</v>
      </c>
      <c r="N1227" s="4">
        <v>5.8639999999999999</v>
      </c>
      <c r="O1227" s="4">
        <v>5.8639999999999999</v>
      </c>
      <c r="P1227" s="4">
        <v>0</v>
      </c>
      <c r="Q1227" s="3" t="s">
        <v>26</v>
      </c>
      <c r="R1227" s="3">
        <v>0</v>
      </c>
      <c r="S1227" s="4">
        <v>0</v>
      </c>
      <c r="T1227" s="4">
        <v>25</v>
      </c>
      <c r="U1227" s="4">
        <v>63</v>
      </c>
      <c r="V1227" s="4">
        <f>IF(ISERROR(VLOOKUP($S$1227,'TAR FIN'!$A$1:$O$113,15,0)),0,VLOOKUP($S$1227,'TAR FIN'!$A$1:$O$113,15,0))</f>
        <v>0</v>
      </c>
      <c r="W1227" s="4">
        <f>IF(ISERROR(VLOOKUP($T$1227,'TAR FIN'!$A$1:$O$113,15,0)),0,VLOOKUP($T$1227,'TAR FIN'!$A$1:$O$113,15,0))</f>
        <v>565.36</v>
      </c>
      <c r="X1227" s="4">
        <f>IF(ISERROR(VLOOKUP($U$1227,'TAR FIN'!$A$1:$O$113,15,0)),0,VLOOKUP($U$1227,'TAR FIN'!$A$1:$O$113,15,0))</f>
        <v>222.31</v>
      </c>
      <c r="Y1227" s="4"/>
      <c r="Z1227" s="4">
        <f ca="1">('TUSD BE'!$AM$38+'TUSD BF'!$AM$38+'TUSD CVA'!$AM$38)*1</f>
        <v>668.49805620193388</v>
      </c>
      <c r="AA1227" s="4">
        <f>('TE BE'!$AA$17+'TE BF'!$AA$17+'TE CVA'!$AA$17)*1</f>
        <v>223.14561812044704</v>
      </c>
      <c r="AB1227" s="4">
        <f>$K$1227*$V$1227</f>
        <v>0</v>
      </c>
      <c r="AC1227" s="4">
        <f>$M$1227*$W$1227</f>
        <v>3315.2710400000001</v>
      </c>
      <c r="AD1227" s="4">
        <f>$O$1227*$X$1227</f>
        <v>1303.6258399999999</v>
      </c>
      <c r="AE1227" s="4">
        <f>$K$1227*$Y$1227</f>
        <v>0</v>
      </c>
      <c r="AF1227" s="4">
        <f ca="1">$M$1227*$Z$1227</f>
        <v>3920.0726015681403</v>
      </c>
      <c r="AG1227" s="4">
        <f>$O$1227*$AA$1227</f>
        <v>1308.5259046583014</v>
      </c>
    </row>
    <row r="1228" spans="1:33" ht="11.25" customHeight="1" x14ac:dyDescent="0.25">
      <c r="A1228" s="3" t="s">
        <v>28</v>
      </c>
      <c r="B1228" s="3" t="s">
        <v>22</v>
      </c>
      <c r="C1228" s="3" t="s">
        <v>33</v>
      </c>
      <c r="D1228" s="3" t="s">
        <v>24</v>
      </c>
      <c r="E1228" s="3" t="s">
        <v>24</v>
      </c>
      <c r="F1228" s="3" t="s">
        <v>25</v>
      </c>
      <c r="G1228" s="3" t="s">
        <v>25</v>
      </c>
      <c r="H1228" s="3" t="s">
        <v>36</v>
      </c>
      <c r="I1228" s="6">
        <v>44409</v>
      </c>
      <c r="J1228" s="4">
        <v>0</v>
      </c>
      <c r="K1228" s="4">
        <v>0</v>
      </c>
      <c r="L1228" s="4">
        <v>4.3999999999999997E-2</v>
      </c>
      <c r="M1228" s="4">
        <v>4.3999999999999997E-2</v>
      </c>
      <c r="N1228" s="4">
        <v>4.3999999999999997E-2</v>
      </c>
      <c r="O1228" s="4">
        <v>4.3999999999999997E-2</v>
      </c>
      <c r="P1228" s="4">
        <v>0</v>
      </c>
      <c r="Q1228" s="3" t="s">
        <v>26</v>
      </c>
      <c r="R1228" s="3">
        <v>0</v>
      </c>
      <c r="S1228" s="4">
        <v>0</v>
      </c>
      <c r="T1228" s="4">
        <v>25</v>
      </c>
      <c r="U1228" s="4">
        <v>63</v>
      </c>
      <c r="V1228" s="4">
        <f>IF(ISERROR(VLOOKUP($S$1228,'TAR FIN'!$A$1:$O$113,15,0)),0,VLOOKUP($S$1228,'TAR FIN'!$A$1:$O$113,15,0))</f>
        <v>0</v>
      </c>
      <c r="W1228" s="4">
        <f>IF(ISERROR(VLOOKUP($T$1228,'TAR FIN'!$A$1:$O$113,15,0)),0,VLOOKUP($T$1228,'TAR FIN'!$A$1:$O$113,15,0))</f>
        <v>565.36</v>
      </c>
      <c r="X1228" s="4">
        <f>IF(ISERROR(VLOOKUP($U$1228,'TAR FIN'!$A$1:$O$113,15,0)),0,VLOOKUP($U$1228,'TAR FIN'!$A$1:$O$113,15,0))</f>
        <v>222.31</v>
      </c>
      <c r="Y1228" s="4"/>
      <c r="Z1228" s="4">
        <f ca="1">('TUSD BE'!$AM$38+'TUSD BF'!$AM$38+'TUSD CVA'!$AM$38)*1</f>
        <v>668.49805620193388</v>
      </c>
      <c r="AA1228" s="4">
        <f>('TE BE'!$AA$17+'TE BF'!$AA$17+'TE CVA'!$AA$17)*1</f>
        <v>223.14561812044704</v>
      </c>
      <c r="AB1228" s="4">
        <f>$K$1228*$V$1228</f>
        <v>0</v>
      </c>
      <c r="AC1228" s="4">
        <f>$M$1228*$W$1228</f>
        <v>24.87584</v>
      </c>
      <c r="AD1228" s="4">
        <f>$O$1228*$X$1228</f>
        <v>9.7816399999999994</v>
      </c>
      <c r="AE1228" s="4">
        <f>$K$1228*$Y$1228</f>
        <v>0</v>
      </c>
      <c r="AF1228" s="4">
        <f ca="1">$M$1228*$Z$1228</f>
        <v>29.413914472885089</v>
      </c>
      <c r="AG1228" s="4">
        <f>$O$1228*$AA$1228</f>
        <v>9.8184071972996687</v>
      </c>
    </row>
    <row r="1229" spans="1:33" ht="11.25" customHeight="1" x14ac:dyDescent="0.25">
      <c r="A1229" s="3" t="s">
        <v>21</v>
      </c>
      <c r="B1229" s="3" t="s">
        <v>22</v>
      </c>
      <c r="C1229" s="3" t="s">
        <v>33</v>
      </c>
      <c r="D1229" s="3" t="s">
        <v>24</v>
      </c>
      <c r="E1229" s="3" t="s">
        <v>24</v>
      </c>
      <c r="F1229" s="3" t="s">
        <v>25</v>
      </c>
      <c r="G1229" s="3" t="s">
        <v>25</v>
      </c>
      <c r="H1229" s="3" t="s">
        <v>36</v>
      </c>
      <c r="I1229" s="6">
        <v>44440</v>
      </c>
      <c r="J1229" s="4">
        <v>0</v>
      </c>
      <c r="K1229" s="4">
        <v>0</v>
      </c>
      <c r="L1229" s="4">
        <v>5.6269999999999998</v>
      </c>
      <c r="M1229" s="4">
        <v>5.6269999999999998</v>
      </c>
      <c r="N1229" s="4">
        <v>5.6269999999999998</v>
      </c>
      <c r="O1229" s="4">
        <v>5.6269999999999998</v>
      </c>
      <c r="P1229" s="4">
        <v>0</v>
      </c>
      <c r="Q1229" s="3" t="s">
        <v>26</v>
      </c>
      <c r="R1229" s="3">
        <v>0</v>
      </c>
      <c r="S1229" s="4">
        <v>0</v>
      </c>
      <c r="T1229" s="4">
        <v>25</v>
      </c>
      <c r="U1229" s="4">
        <v>63</v>
      </c>
      <c r="V1229" s="4">
        <f>IF(ISERROR(VLOOKUP($S$1229,'TAR FIN'!$A$1:$O$113,15,0)),0,VLOOKUP($S$1229,'TAR FIN'!$A$1:$O$113,15,0))</f>
        <v>0</v>
      </c>
      <c r="W1229" s="4">
        <f>IF(ISERROR(VLOOKUP($T$1229,'TAR FIN'!$A$1:$O$113,15,0)),0,VLOOKUP($T$1229,'TAR FIN'!$A$1:$O$113,15,0))</f>
        <v>565.36</v>
      </c>
      <c r="X1229" s="4">
        <f>IF(ISERROR(VLOOKUP($U$1229,'TAR FIN'!$A$1:$O$113,15,0)),0,VLOOKUP($U$1229,'TAR FIN'!$A$1:$O$113,15,0))</f>
        <v>222.31</v>
      </c>
      <c r="Y1229" s="4"/>
      <c r="Z1229" s="4">
        <f ca="1">('TUSD BE'!$AM$38+'TUSD BF'!$AM$38+'TUSD CVA'!$AM$38)*1</f>
        <v>668.49805620193388</v>
      </c>
      <c r="AA1229" s="4">
        <f>('TE BE'!$AA$17+'TE BF'!$AA$17+'TE CVA'!$AA$17)*1</f>
        <v>223.14561812044704</v>
      </c>
      <c r="AB1229" s="4">
        <f>$K$1229*$V$1229</f>
        <v>0</v>
      </c>
      <c r="AC1229" s="4">
        <f>$M$1229*$W$1229</f>
        <v>3181.2807199999997</v>
      </c>
      <c r="AD1229" s="4">
        <f>$O$1229*$X$1229</f>
        <v>1250.9383700000001</v>
      </c>
      <c r="AE1229" s="4">
        <f>$K$1229*$Y$1229</f>
        <v>0</v>
      </c>
      <c r="AF1229" s="4">
        <f ca="1">$M$1229*$Z$1229</f>
        <v>3761.6385622482817</v>
      </c>
      <c r="AG1229" s="4">
        <f>$O$1229*$AA$1229</f>
        <v>1255.6403931637553</v>
      </c>
    </row>
    <row r="1230" spans="1:33" ht="11.25" customHeight="1" x14ac:dyDescent="0.25">
      <c r="A1230" s="3" t="s">
        <v>27</v>
      </c>
      <c r="B1230" s="3" t="s">
        <v>22</v>
      </c>
      <c r="C1230" s="3" t="s">
        <v>33</v>
      </c>
      <c r="D1230" s="3" t="s">
        <v>24</v>
      </c>
      <c r="E1230" s="3" t="s">
        <v>24</v>
      </c>
      <c r="F1230" s="3" t="s">
        <v>25</v>
      </c>
      <c r="G1230" s="3" t="s">
        <v>25</v>
      </c>
      <c r="H1230" s="3" t="s">
        <v>36</v>
      </c>
      <c r="I1230" s="6">
        <v>44440</v>
      </c>
      <c r="J1230" s="4">
        <v>0</v>
      </c>
      <c r="K1230" s="4">
        <v>0</v>
      </c>
      <c r="L1230" s="4">
        <v>-2.3E-2</v>
      </c>
      <c r="M1230" s="4">
        <v>-2.3E-2</v>
      </c>
      <c r="N1230" s="4">
        <v>-2.3E-2</v>
      </c>
      <c r="O1230" s="4">
        <v>-2.3E-2</v>
      </c>
      <c r="P1230" s="4">
        <v>0</v>
      </c>
      <c r="Q1230" s="3" t="s">
        <v>26</v>
      </c>
      <c r="R1230" s="3">
        <v>0</v>
      </c>
      <c r="S1230" s="4">
        <v>0</v>
      </c>
      <c r="T1230" s="4">
        <v>25</v>
      </c>
      <c r="U1230" s="4">
        <v>63</v>
      </c>
      <c r="V1230" s="4">
        <f>IF(ISERROR(VLOOKUP($S$1230,'TAR FIN'!$A$1:$O$113,15,0)),0,VLOOKUP($S$1230,'TAR FIN'!$A$1:$O$113,15,0))</f>
        <v>0</v>
      </c>
      <c r="W1230" s="4">
        <f>IF(ISERROR(VLOOKUP($T$1230,'TAR FIN'!$A$1:$O$113,15,0)),0,VLOOKUP($T$1230,'TAR FIN'!$A$1:$O$113,15,0))</f>
        <v>565.36</v>
      </c>
      <c r="X1230" s="4">
        <f>IF(ISERROR(VLOOKUP($U$1230,'TAR FIN'!$A$1:$O$113,15,0)),0,VLOOKUP($U$1230,'TAR FIN'!$A$1:$O$113,15,0))</f>
        <v>222.31</v>
      </c>
      <c r="Y1230" s="4"/>
      <c r="Z1230" s="4">
        <f ca="1">('TUSD BE'!$AM$38+'TUSD BF'!$AM$38+'TUSD CVA'!$AM$38)*1</f>
        <v>668.49805620193388</v>
      </c>
      <c r="AA1230" s="4">
        <f>('TE BE'!$AA$17+'TE BF'!$AA$17+'TE CVA'!$AA$17)*1</f>
        <v>223.14561812044704</v>
      </c>
      <c r="AB1230" s="4">
        <f>$K$1230*$V$1230</f>
        <v>0</v>
      </c>
      <c r="AC1230" s="4">
        <f>$M$1230*$W$1230</f>
        <v>-13.00328</v>
      </c>
      <c r="AD1230" s="4">
        <f>$O$1230*$X$1230</f>
        <v>-5.11313</v>
      </c>
      <c r="AE1230" s="4">
        <f>$K$1230*$Y$1230</f>
        <v>0</v>
      </c>
      <c r="AF1230" s="4">
        <f ca="1">$M$1230*$Z$1230</f>
        <v>-15.375455292644478</v>
      </c>
      <c r="AG1230" s="4">
        <f>$O$1230*$AA$1230</f>
        <v>-5.1323492167702822</v>
      </c>
    </row>
    <row r="1231" spans="1:33" ht="11.25" customHeight="1" x14ac:dyDescent="0.25">
      <c r="A1231" s="3" t="s">
        <v>28</v>
      </c>
      <c r="B1231" s="3" t="s">
        <v>22</v>
      </c>
      <c r="C1231" s="3" t="s">
        <v>33</v>
      </c>
      <c r="D1231" s="3" t="s">
        <v>24</v>
      </c>
      <c r="E1231" s="3" t="s">
        <v>24</v>
      </c>
      <c r="F1231" s="3" t="s">
        <v>25</v>
      </c>
      <c r="G1231" s="3" t="s">
        <v>25</v>
      </c>
      <c r="H1231" s="3" t="s">
        <v>36</v>
      </c>
      <c r="I1231" s="6">
        <v>44440</v>
      </c>
      <c r="J1231" s="4">
        <v>0</v>
      </c>
      <c r="K1231" s="4">
        <v>0</v>
      </c>
      <c r="L1231" s="4">
        <v>5.0999999999999997E-2</v>
      </c>
      <c r="M1231" s="4">
        <v>5.0999999999999997E-2</v>
      </c>
      <c r="N1231" s="4">
        <v>5.0999999999999997E-2</v>
      </c>
      <c r="O1231" s="4">
        <v>5.0999999999999997E-2</v>
      </c>
      <c r="P1231" s="4">
        <v>0</v>
      </c>
      <c r="Q1231" s="3" t="s">
        <v>26</v>
      </c>
      <c r="R1231" s="3">
        <v>0</v>
      </c>
      <c r="S1231" s="4">
        <v>0</v>
      </c>
      <c r="T1231" s="4">
        <v>25</v>
      </c>
      <c r="U1231" s="4">
        <v>63</v>
      </c>
      <c r="V1231" s="4">
        <f>IF(ISERROR(VLOOKUP($S$1231,'TAR FIN'!$A$1:$O$113,15,0)),0,VLOOKUP($S$1231,'TAR FIN'!$A$1:$O$113,15,0))</f>
        <v>0</v>
      </c>
      <c r="W1231" s="4">
        <f>IF(ISERROR(VLOOKUP($T$1231,'TAR FIN'!$A$1:$O$113,15,0)),0,VLOOKUP($T$1231,'TAR FIN'!$A$1:$O$113,15,0))</f>
        <v>565.36</v>
      </c>
      <c r="X1231" s="4">
        <f>IF(ISERROR(VLOOKUP($U$1231,'TAR FIN'!$A$1:$O$113,15,0)),0,VLOOKUP($U$1231,'TAR FIN'!$A$1:$O$113,15,0))</f>
        <v>222.31</v>
      </c>
      <c r="Y1231" s="4"/>
      <c r="Z1231" s="4">
        <f ca="1">('TUSD BE'!$AM$38+'TUSD BF'!$AM$38+'TUSD CVA'!$AM$38)*1</f>
        <v>668.49805620193388</v>
      </c>
      <c r="AA1231" s="4">
        <f>('TE BE'!$AA$17+'TE BF'!$AA$17+'TE CVA'!$AA$17)*1</f>
        <v>223.14561812044704</v>
      </c>
      <c r="AB1231" s="4">
        <f>$K$1231*$V$1231</f>
        <v>0</v>
      </c>
      <c r="AC1231" s="4">
        <f>$M$1231*$W$1231</f>
        <v>28.833359999999999</v>
      </c>
      <c r="AD1231" s="4">
        <f>$O$1231*$X$1231</f>
        <v>11.337809999999999</v>
      </c>
      <c r="AE1231" s="4">
        <f>$K$1231*$Y$1231</f>
        <v>0</v>
      </c>
      <c r="AF1231" s="4">
        <f ca="1">$M$1231*$Z$1231</f>
        <v>34.093400866298623</v>
      </c>
      <c r="AG1231" s="4">
        <f>$O$1231*$AA$1231</f>
        <v>11.380426524142798</v>
      </c>
    </row>
    <row r="1232" spans="1:33" ht="11.25" customHeight="1" x14ac:dyDescent="0.25">
      <c r="A1232" s="3" t="s">
        <v>21</v>
      </c>
      <c r="B1232" s="3" t="s">
        <v>22</v>
      </c>
      <c r="C1232" s="3" t="s">
        <v>33</v>
      </c>
      <c r="D1232" s="3" t="s">
        <v>24</v>
      </c>
      <c r="E1232" s="3" t="s">
        <v>24</v>
      </c>
      <c r="F1232" s="3" t="s">
        <v>25</v>
      </c>
      <c r="G1232" s="3" t="s">
        <v>25</v>
      </c>
      <c r="H1232" s="3" t="s">
        <v>36</v>
      </c>
      <c r="I1232" s="6">
        <v>44470</v>
      </c>
      <c r="J1232" s="4">
        <v>0</v>
      </c>
      <c r="K1232" s="4">
        <v>0</v>
      </c>
      <c r="L1232" s="4">
        <v>6.2569999999999997</v>
      </c>
      <c r="M1232" s="4">
        <v>6.2569999999999997</v>
      </c>
      <c r="N1232" s="4">
        <v>6.2569999999999997</v>
      </c>
      <c r="O1232" s="4">
        <v>6.2569999999999997</v>
      </c>
      <c r="P1232" s="4">
        <v>0</v>
      </c>
      <c r="Q1232" s="3" t="s">
        <v>26</v>
      </c>
      <c r="R1232" s="3">
        <v>0</v>
      </c>
      <c r="S1232" s="4">
        <v>0</v>
      </c>
      <c r="T1232" s="4">
        <v>25</v>
      </c>
      <c r="U1232" s="4">
        <v>63</v>
      </c>
      <c r="V1232" s="4">
        <f>IF(ISERROR(VLOOKUP($S$1232,'TAR FIN'!$A$1:$O$113,15,0)),0,VLOOKUP($S$1232,'TAR FIN'!$A$1:$O$113,15,0))</f>
        <v>0</v>
      </c>
      <c r="W1232" s="4">
        <f>IF(ISERROR(VLOOKUP($T$1232,'TAR FIN'!$A$1:$O$113,15,0)),0,VLOOKUP($T$1232,'TAR FIN'!$A$1:$O$113,15,0))</f>
        <v>565.36</v>
      </c>
      <c r="X1232" s="4">
        <f>IF(ISERROR(VLOOKUP($U$1232,'TAR FIN'!$A$1:$O$113,15,0)),0,VLOOKUP($U$1232,'TAR FIN'!$A$1:$O$113,15,0))</f>
        <v>222.31</v>
      </c>
      <c r="Y1232" s="4"/>
      <c r="Z1232" s="4">
        <f ca="1">('TUSD BE'!$AM$38+'TUSD BF'!$AM$38+'TUSD CVA'!$AM$38)*1</f>
        <v>668.49805620193388</v>
      </c>
      <c r="AA1232" s="4">
        <f>('TE BE'!$AA$17+'TE BF'!$AA$17+'TE CVA'!$AA$17)*1</f>
        <v>223.14561812044704</v>
      </c>
      <c r="AB1232" s="4">
        <f>$K$1232*$V$1232</f>
        <v>0</v>
      </c>
      <c r="AC1232" s="4">
        <f>$M$1232*$W$1232</f>
        <v>3537.4575199999999</v>
      </c>
      <c r="AD1232" s="4">
        <f>$O$1232*$X$1232</f>
        <v>1390.9936699999998</v>
      </c>
      <c r="AE1232" s="4">
        <f>$K$1232*$Y$1232</f>
        <v>0</v>
      </c>
      <c r="AF1232" s="4">
        <f ca="1">$M$1232*$Z$1232</f>
        <v>4182.7923376555</v>
      </c>
      <c r="AG1232" s="4">
        <f>$O$1232*$AA$1232</f>
        <v>1396.222132579637</v>
      </c>
    </row>
    <row r="1233" spans="1:33" ht="11.25" customHeight="1" x14ac:dyDescent="0.25">
      <c r="A1233" s="3" t="s">
        <v>28</v>
      </c>
      <c r="B1233" s="3" t="s">
        <v>22</v>
      </c>
      <c r="C1233" s="3" t="s">
        <v>33</v>
      </c>
      <c r="D1233" s="3" t="s">
        <v>24</v>
      </c>
      <c r="E1233" s="3" t="s">
        <v>24</v>
      </c>
      <c r="F1233" s="3" t="s">
        <v>25</v>
      </c>
      <c r="G1233" s="3" t="s">
        <v>25</v>
      </c>
      <c r="H1233" s="3" t="s">
        <v>36</v>
      </c>
      <c r="I1233" s="6">
        <v>44470</v>
      </c>
      <c r="J1233" s="4">
        <v>0</v>
      </c>
      <c r="K1233" s="4">
        <v>0</v>
      </c>
      <c r="L1233" s="4">
        <v>8.5000000000000006E-2</v>
      </c>
      <c r="M1233" s="4">
        <v>8.5000000000000006E-2</v>
      </c>
      <c r="N1233" s="4">
        <v>8.5000000000000006E-2</v>
      </c>
      <c r="O1233" s="4">
        <v>8.5000000000000006E-2</v>
      </c>
      <c r="P1233" s="4">
        <v>0</v>
      </c>
      <c r="Q1233" s="3" t="s">
        <v>26</v>
      </c>
      <c r="R1233" s="3">
        <v>0</v>
      </c>
      <c r="S1233" s="4">
        <v>0</v>
      </c>
      <c r="T1233" s="4">
        <v>25</v>
      </c>
      <c r="U1233" s="4">
        <v>63</v>
      </c>
      <c r="V1233" s="4">
        <f>IF(ISERROR(VLOOKUP($S$1233,'TAR FIN'!$A$1:$O$113,15,0)),0,VLOOKUP($S$1233,'TAR FIN'!$A$1:$O$113,15,0))</f>
        <v>0</v>
      </c>
      <c r="W1233" s="4">
        <f>IF(ISERROR(VLOOKUP($T$1233,'TAR FIN'!$A$1:$O$113,15,0)),0,VLOOKUP($T$1233,'TAR FIN'!$A$1:$O$113,15,0))</f>
        <v>565.36</v>
      </c>
      <c r="X1233" s="4">
        <f>IF(ISERROR(VLOOKUP($U$1233,'TAR FIN'!$A$1:$O$113,15,0)),0,VLOOKUP($U$1233,'TAR FIN'!$A$1:$O$113,15,0))</f>
        <v>222.31</v>
      </c>
      <c r="Y1233" s="4"/>
      <c r="Z1233" s="4">
        <f ca="1">('TUSD BE'!$AM$38+'TUSD BF'!$AM$38+'TUSD CVA'!$AM$38)*1</f>
        <v>668.49805620193388</v>
      </c>
      <c r="AA1233" s="4">
        <f>('TE BE'!$AA$17+'TE BF'!$AA$17+'TE CVA'!$AA$17)*1</f>
        <v>223.14561812044704</v>
      </c>
      <c r="AB1233" s="4">
        <f>$K$1233*$V$1233</f>
        <v>0</v>
      </c>
      <c r="AC1233" s="4">
        <f>$M$1233*$W$1233</f>
        <v>48.055600000000005</v>
      </c>
      <c r="AD1233" s="4">
        <f>$O$1233*$X$1233</f>
        <v>18.896350000000002</v>
      </c>
      <c r="AE1233" s="4">
        <f>$K$1233*$Y$1233</f>
        <v>0</v>
      </c>
      <c r="AF1233" s="4">
        <f ca="1">$M$1233*$Z$1233</f>
        <v>56.822334777164386</v>
      </c>
      <c r="AG1233" s="4">
        <f>$O$1233*$AA$1233</f>
        <v>18.967377540238001</v>
      </c>
    </row>
    <row r="1234" spans="1:33" ht="11.25" customHeight="1" x14ac:dyDescent="0.25">
      <c r="A1234" s="3" t="s">
        <v>21</v>
      </c>
      <c r="B1234" s="3" t="s">
        <v>22</v>
      </c>
      <c r="C1234" s="3" t="s">
        <v>33</v>
      </c>
      <c r="D1234" s="3" t="s">
        <v>24</v>
      </c>
      <c r="E1234" s="3" t="s">
        <v>24</v>
      </c>
      <c r="F1234" s="3" t="s">
        <v>25</v>
      </c>
      <c r="G1234" s="3" t="s">
        <v>25</v>
      </c>
      <c r="H1234" s="3" t="s">
        <v>36</v>
      </c>
      <c r="I1234" s="6">
        <v>44501</v>
      </c>
      <c r="J1234" s="4">
        <v>0</v>
      </c>
      <c r="K1234" s="4">
        <v>0</v>
      </c>
      <c r="L1234" s="4">
        <v>5.7450000000000001</v>
      </c>
      <c r="M1234" s="4">
        <v>5.7450000000000001</v>
      </c>
      <c r="N1234" s="4">
        <v>5.7450000000000001</v>
      </c>
      <c r="O1234" s="4">
        <v>5.7450000000000001</v>
      </c>
      <c r="P1234" s="4">
        <v>0</v>
      </c>
      <c r="Q1234" s="3" t="s">
        <v>26</v>
      </c>
      <c r="R1234" s="3">
        <v>0</v>
      </c>
      <c r="S1234" s="4">
        <v>0</v>
      </c>
      <c r="T1234" s="4">
        <v>25</v>
      </c>
      <c r="U1234" s="4">
        <v>63</v>
      </c>
      <c r="V1234" s="4">
        <f>IF(ISERROR(VLOOKUP($S$1234,'TAR FIN'!$A$1:$O$113,15,0)),0,VLOOKUP($S$1234,'TAR FIN'!$A$1:$O$113,15,0))</f>
        <v>0</v>
      </c>
      <c r="W1234" s="4">
        <f>IF(ISERROR(VLOOKUP($T$1234,'TAR FIN'!$A$1:$O$113,15,0)),0,VLOOKUP($T$1234,'TAR FIN'!$A$1:$O$113,15,0))</f>
        <v>565.36</v>
      </c>
      <c r="X1234" s="4">
        <f>IF(ISERROR(VLOOKUP($U$1234,'TAR FIN'!$A$1:$O$113,15,0)),0,VLOOKUP($U$1234,'TAR FIN'!$A$1:$O$113,15,0))</f>
        <v>222.31</v>
      </c>
      <c r="Y1234" s="4"/>
      <c r="Z1234" s="4">
        <f ca="1">('TUSD BE'!$AM$38+'TUSD BF'!$AM$38+'TUSD CVA'!$AM$38)*1</f>
        <v>668.49805620193388</v>
      </c>
      <c r="AA1234" s="4">
        <f>('TE BE'!$AA$17+'TE BF'!$AA$17+'TE CVA'!$AA$17)*1</f>
        <v>223.14561812044704</v>
      </c>
      <c r="AB1234" s="4">
        <f>$K$1234*$V$1234</f>
        <v>0</v>
      </c>
      <c r="AC1234" s="4">
        <f>$M$1234*$W$1234</f>
        <v>3247.9932000000003</v>
      </c>
      <c r="AD1234" s="4">
        <f>$O$1234*$X$1234</f>
        <v>1277.1709499999999</v>
      </c>
      <c r="AE1234" s="4">
        <f>$K$1234*$Y$1234</f>
        <v>0</v>
      </c>
      <c r="AF1234" s="4">
        <f ca="1">$M$1234*$Z$1234</f>
        <v>3840.5213328801101</v>
      </c>
      <c r="AG1234" s="4">
        <f>$O$1234*$AA$1234</f>
        <v>1281.9715761019684</v>
      </c>
    </row>
    <row r="1235" spans="1:33" ht="11.25" customHeight="1" x14ac:dyDescent="0.25">
      <c r="A1235" s="3" t="s">
        <v>28</v>
      </c>
      <c r="B1235" s="3" t="s">
        <v>22</v>
      </c>
      <c r="C1235" s="3" t="s">
        <v>33</v>
      </c>
      <c r="D1235" s="3" t="s">
        <v>24</v>
      </c>
      <c r="E1235" s="3" t="s">
        <v>24</v>
      </c>
      <c r="F1235" s="3" t="s">
        <v>25</v>
      </c>
      <c r="G1235" s="3" t="s">
        <v>25</v>
      </c>
      <c r="H1235" s="3" t="s">
        <v>36</v>
      </c>
      <c r="I1235" s="6">
        <v>44501</v>
      </c>
      <c r="J1235" s="4">
        <v>0</v>
      </c>
      <c r="K1235" s="4">
        <v>0</v>
      </c>
      <c r="L1235" s="4">
        <v>0.156</v>
      </c>
      <c r="M1235" s="4">
        <v>0.156</v>
      </c>
      <c r="N1235" s="4">
        <v>0.156</v>
      </c>
      <c r="O1235" s="4">
        <v>0.156</v>
      </c>
      <c r="P1235" s="4">
        <v>0</v>
      </c>
      <c r="Q1235" s="3" t="s">
        <v>26</v>
      </c>
      <c r="R1235" s="3">
        <v>0</v>
      </c>
      <c r="S1235" s="4">
        <v>0</v>
      </c>
      <c r="T1235" s="4">
        <v>25</v>
      </c>
      <c r="U1235" s="4">
        <v>63</v>
      </c>
      <c r="V1235" s="4">
        <f>IF(ISERROR(VLOOKUP($S$1235,'TAR FIN'!$A$1:$O$113,15,0)),0,VLOOKUP($S$1235,'TAR FIN'!$A$1:$O$113,15,0))</f>
        <v>0</v>
      </c>
      <c r="W1235" s="4">
        <f>IF(ISERROR(VLOOKUP($T$1235,'TAR FIN'!$A$1:$O$113,15,0)),0,VLOOKUP($T$1235,'TAR FIN'!$A$1:$O$113,15,0))</f>
        <v>565.36</v>
      </c>
      <c r="X1235" s="4">
        <f>IF(ISERROR(VLOOKUP($U$1235,'TAR FIN'!$A$1:$O$113,15,0)),0,VLOOKUP($U$1235,'TAR FIN'!$A$1:$O$113,15,0))</f>
        <v>222.31</v>
      </c>
      <c r="Y1235" s="4"/>
      <c r="Z1235" s="4">
        <f ca="1">('TUSD BE'!$AM$38+'TUSD BF'!$AM$38+'TUSD CVA'!$AM$38)*1</f>
        <v>668.49805620193388</v>
      </c>
      <c r="AA1235" s="4">
        <f>('TE BE'!$AA$17+'TE BF'!$AA$17+'TE CVA'!$AA$17)*1</f>
        <v>223.14561812044704</v>
      </c>
      <c r="AB1235" s="4">
        <f>$K$1235*$V$1235</f>
        <v>0</v>
      </c>
      <c r="AC1235" s="4">
        <f>$M$1235*$W$1235</f>
        <v>88.196160000000006</v>
      </c>
      <c r="AD1235" s="4">
        <f>$O$1235*$X$1235</f>
        <v>34.68036</v>
      </c>
      <c r="AE1235" s="4">
        <f>$K$1235*$Y$1235</f>
        <v>0</v>
      </c>
      <c r="AF1235" s="4">
        <f ca="1">$M$1235*$Z$1235</f>
        <v>104.28569676750169</v>
      </c>
      <c r="AG1235" s="4">
        <f>$O$1235*$AA$1235</f>
        <v>34.810716426789739</v>
      </c>
    </row>
    <row r="1236" spans="1:33" ht="11.25" customHeight="1" x14ac:dyDescent="0.25">
      <c r="A1236" s="3" t="s">
        <v>21</v>
      </c>
      <c r="B1236" s="3" t="s">
        <v>22</v>
      </c>
      <c r="C1236" s="3" t="s">
        <v>33</v>
      </c>
      <c r="D1236" s="3" t="s">
        <v>24</v>
      </c>
      <c r="E1236" s="3" t="s">
        <v>24</v>
      </c>
      <c r="F1236" s="3" t="s">
        <v>25</v>
      </c>
      <c r="G1236" s="3" t="s">
        <v>25</v>
      </c>
      <c r="H1236" s="3" t="s">
        <v>36</v>
      </c>
      <c r="I1236" s="6">
        <v>44531</v>
      </c>
      <c r="J1236" s="4">
        <v>0</v>
      </c>
      <c r="K1236" s="4">
        <v>0</v>
      </c>
      <c r="L1236" s="4">
        <v>6.2869999999999999</v>
      </c>
      <c r="M1236" s="4">
        <v>6.2869999999999999</v>
      </c>
      <c r="N1236" s="4">
        <v>6.2869999999999999</v>
      </c>
      <c r="O1236" s="4">
        <v>6.2869999999999999</v>
      </c>
      <c r="P1236" s="4">
        <v>0</v>
      </c>
      <c r="Q1236" s="3" t="s">
        <v>26</v>
      </c>
      <c r="R1236" s="3">
        <v>0</v>
      </c>
      <c r="S1236" s="4">
        <v>0</v>
      </c>
      <c r="T1236" s="4">
        <v>25</v>
      </c>
      <c r="U1236" s="4">
        <v>63</v>
      </c>
      <c r="V1236" s="4">
        <f>IF(ISERROR(VLOOKUP($S$1236,'TAR FIN'!$A$1:$O$113,15,0)),0,VLOOKUP($S$1236,'TAR FIN'!$A$1:$O$113,15,0))</f>
        <v>0</v>
      </c>
      <c r="W1236" s="4">
        <f>IF(ISERROR(VLOOKUP($T$1236,'TAR FIN'!$A$1:$O$113,15,0)),0,VLOOKUP($T$1236,'TAR FIN'!$A$1:$O$113,15,0))</f>
        <v>565.36</v>
      </c>
      <c r="X1236" s="4">
        <f>IF(ISERROR(VLOOKUP($U$1236,'TAR FIN'!$A$1:$O$113,15,0)),0,VLOOKUP($U$1236,'TAR FIN'!$A$1:$O$113,15,0))</f>
        <v>222.31</v>
      </c>
      <c r="Y1236" s="4"/>
      <c r="Z1236" s="4">
        <f ca="1">('TUSD BE'!$AM$38+'TUSD BF'!$AM$38+'TUSD CVA'!$AM$38)*1</f>
        <v>668.49805620193388</v>
      </c>
      <c r="AA1236" s="4">
        <f>('TE BE'!$AA$17+'TE BF'!$AA$17+'TE CVA'!$AA$17)*1</f>
        <v>223.14561812044704</v>
      </c>
      <c r="AB1236" s="4">
        <f>$K$1236*$V$1236</f>
        <v>0</v>
      </c>
      <c r="AC1236" s="4">
        <f>$M$1236*$W$1236</f>
        <v>3554.4183200000002</v>
      </c>
      <c r="AD1236" s="4">
        <f>$O$1236*$X$1236</f>
        <v>1397.6629700000001</v>
      </c>
      <c r="AE1236" s="4">
        <f>$K$1236*$Y$1236</f>
        <v>0</v>
      </c>
      <c r="AF1236" s="4">
        <f ca="1">$M$1236*$Z$1236</f>
        <v>4202.8472793415585</v>
      </c>
      <c r="AG1236" s="4">
        <f>$O$1236*$AA$1236</f>
        <v>1402.9165011232506</v>
      </c>
    </row>
    <row r="1237" spans="1:33" ht="11.25" customHeight="1" x14ac:dyDescent="0.25">
      <c r="A1237" s="3" t="s">
        <v>27</v>
      </c>
      <c r="B1237" s="3" t="s">
        <v>22</v>
      </c>
      <c r="C1237" s="3" t="s">
        <v>33</v>
      </c>
      <c r="D1237" s="3" t="s">
        <v>24</v>
      </c>
      <c r="E1237" s="3" t="s">
        <v>24</v>
      </c>
      <c r="F1237" s="3" t="s">
        <v>25</v>
      </c>
      <c r="G1237" s="3" t="s">
        <v>25</v>
      </c>
      <c r="H1237" s="3" t="s">
        <v>36</v>
      </c>
      <c r="I1237" s="6">
        <v>44531</v>
      </c>
      <c r="J1237" s="4">
        <v>0</v>
      </c>
      <c r="K1237" s="4">
        <v>0</v>
      </c>
      <c r="L1237" s="4">
        <v>1E-3</v>
      </c>
      <c r="M1237" s="4">
        <v>1E-3</v>
      </c>
      <c r="N1237" s="4">
        <v>1E-3</v>
      </c>
      <c r="O1237" s="4">
        <v>1E-3</v>
      </c>
      <c r="P1237" s="4">
        <v>0</v>
      </c>
      <c r="Q1237" s="3" t="s">
        <v>26</v>
      </c>
      <c r="R1237" s="3">
        <v>0</v>
      </c>
      <c r="S1237" s="4">
        <v>0</v>
      </c>
      <c r="T1237" s="4">
        <v>25</v>
      </c>
      <c r="U1237" s="4">
        <v>63</v>
      </c>
      <c r="V1237" s="4">
        <f>IF(ISERROR(VLOOKUP($S$1237,'TAR FIN'!$A$1:$O$113,15,0)),0,VLOOKUP($S$1237,'TAR FIN'!$A$1:$O$113,15,0))</f>
        <v>0</v>
      </c>
      <c r="W1237" s="4">
        <f>IF(ISERROR(VLOOKUP($T$1237,'TAR FIN'!$A$1:$O$113,15,0)),0,VLOOKUP($T$1237,'TAR FIN'!$A$1:$O$113,15,0))</f>
        <v>565.36</v>
      </c>
      <c r="X1237" s="4">
        <f>IF(ISERROR(VLOOKUP($U$1237,'TAR FIN'!$A$1:$O$113,15,0)),0,VLOOKUP($U$1237,'TAR FIN'!$A$1:$O$113,15,0))</f>
        <v>222.31</v>
      </c>
      <c r="Y1237" s="4"/>
      <c r="Z1237" s="4">
        <f ca="1">('TUSD BE'!$AM$38+'TUSD BF'!$AM$38+'TUSD CVA'!$AM$38)*1</f>
        <v>668.49805620193388</v>
      </c>
      <c r="AA1237" s="4">
        <f>('TE BE'!$AA$17+'TE BF'!$AA$17+'TE CVA'!$AA$17)*1</f>
        <v>223.14561812044704</v>
      </c>
      <c r="AB1237" s="4">
        <f>$K$1237*$V$1237</f>
        <v>0</v>
      </c>
      <c r="AC1237" s="4">
        <f>$M$1237*$W$1237</f>
        <v>0.56535999999999997</v>
      </c>
      <c r="AD1237" s="4">
        <f>$O$1237*$X$1237</f>
        <v>0.22231000000000001</v>
      </c>
      <c r="AE1237" s="4">
        <f>$K$1237*$Y$1237</f>
        <v>0</v>
      </c>
      <c r="AF1237" s="4">
        <f ca="1">$M$1237*$Z$1237</f>
        <v>0.66849805620193392</v>
      </c>
      <c r="AG1237" s="4">
        <f>$O$1237*$AA$1237</f>
        <v>0.22314561812044703</v>
      </c>
    </row>
    <row r="1238" spans="1:33" ht="11.25" customHeight="1" x14ac:dyDescent="0.25">
      <c r="A1238" s="3" t="s">
        <v>28</v>
      </c>
      <c r="B1238" s="3" t="s">
        <v>22</v>
      </c>
      <c r="C1238" s="3" t="s">
        <v>33</v>
      </c>
      <c r="D1238" s="3" t="s">
        <v>24</v>
      </c>
      <c r="E1238" s="3" t="s">
        <v>24</v>
      </c>
      <c r="F1238" s="3" t="s">
        <v>25</v>
      </c>
      <c r="G1238" s="3" t="s">
        <v>25</v>
      </c>
      <c r="H1238" s="3" t="s">
        <v>36</v>
      </c>
      <c r="I1238" s="6">
        <v>44531</v>
      </c>
      <c r="J1238" s="4">
        <v>0</v>
      </c>
      <c r="K1238" s="4">
        <v>0</v>
      </c>
      <c r="L1238" s="4">
        <v>0.16400000000000001</v>
      </c>
      <c r="M1238" s="4">
        <v>0.16400000000000001</v>
      </c>
      <c r="N1238" s="4">
        <v>0.16400000000000001</v>
      </c>
      <c r="O1238" s="4">
        <v>0.16400000000000001</v>
      </c>
      <c r="P1238" s="4">
        <v>0</v>
      </c>
      <c r="Q1238" s="3" t="s">
        <v>26</v>
      </c>
      <c r="R1238" s="3">
        <v>0</v>
      </c>
      <c r="S1238" s="4">
        <v>0</v>
      </c>
      <c r="T1238" s="4">
        <v>25</v>
      </c>
      <c r="U1238" s="4">
        <v>63</v>
      </c>
      <c r="V1238" s="4">
        <f>IF(ISERROR(VLOOKUP($S$1238,'TAR FIN'!$A$1:$O$113,15,0)),0,VLOOKUP($S$1238,'TAR FIN'!$A$1:$O$113,15,0))</f>
        <v>0</v>
      </c>
      <c r="W1238" s="4">
        <f>IF(ISERROR(VLOOKUP($T$1238,'TAR FIN'!$A$1:$O$113,15,0)),0,VLOOKUP($T$1238,'TAR FIN'!$A$1:$O$113,15,0))</f>
        <v>565.36</v>
      </c>
      <c r="X1238" s="4">
        <f>IF(ISERROR(VLOOKUP($U$1238,'TAR FIN'!$A$1:$O$113,15,0)),0,VLOOKUP($U$1238,'TAR FIN'!$A$1:$O$113,15,0))</f>
        <v>222.31</v>
      </c>
      <c r="Y1238" s="4"/>
      <c r="Z1238" s="4">
        <f ca="1">('TUSD BE'!$AM$38+'TUSD BF'!$AM$38+'TUSD CVA'!$AM$38)*1</f>
        <v>668.49805620193388</v>
      </c>
      <c r="AA1238" s="4">
        <f>('TE BE'!$AA$17+'TE BF'!$AA$17+'TE CVA'!$AA$17)*1</f>
        <v>223.14561812044704</v>
      </c>
      <c r="AB1238" s="4">
        <f>$K$1238*$V$1238</f>
        <v>0</v>
      </c>
      <c r="AC1238" s="4">
        <f>$M$1238*$W$1238</f>
        <v>92.719040000000007</v>
      </c>
      <c r="AD1238" s="4">
        <f>$O$1238*$X$1238</f>
        <v>36.458840000000002</v>
      </c>
      <c r="AE1238" s="4">
        <f>$K$1238*$Y$1238</f>
        <v>0</v>
      </c>
      <c r="AF1238" s="4">
        <f ca="1">$M$1238*$Z$1238</f>
        <v>109.63368121711716</v>
      </c>
      <c r="AG1238" s="4">
        <f>$O$1238*$AA$1238</f>
        <v>36.595881371753315</v>
      </c>
    </row>
    <row r="1239" spans="1:33" ht="11.25" customHeight="1" x14ac:dyDescent="0.25">
      <c r="A1239" s="3" t="s">
        <v>21</v>
      </c>
      <c r="B1239" s="3" t="s">
        <v>22</v>
      </c>
      <c r="C1239" s="3" t="s">
        <v>33</v>
      </c>
      <c r="D1239" s="3" t="s">
        <v>24</v>
      </c>
      <c r="E1239" s="3" t="s">
        <v>24</v>
      </c>
      <c r="F1239" s="3" t="s">
        <v>25</v>
      </c>
      <c r="G1239" s="3" t="s">
        <v>25</v>
      </c>
      <c r="H1239" s="3" t="s">
        <v>36</v>
      </c>
      <c r="I1239" s="6">
        <v>44562</v>
      </c>
      <c r="J1239" s="4">
        <v>0</v>
      </c>
      <c r="K1239" s="4">
        <v>0</v>
      </c>
      <c r="L1239" s="4">
        <v>6.6689999999999996</v>
      </c>
      <c r="M1239" s="4">
        <v>6.6689999999999996</v>
      </c>
      <c r="N1239" s="4">
        <v>6.6689999999999996</v>
      </c>
      <c r="O1239" s="4">
        <v>6.6689999999999996</v>
      </c>
      <c r="P1239" s="4">
        <v>0</v>
      </c>
      <c r="Q1239" s="3" t="s">
        <v>26</v>
      </c>
      <c r="R1239" s="3">
        <v>0</v>
      </c>
      <c r="S1239" s="4">
        <v>0</v>
      </c>
      <c r="T1239" s="4">
        <v>25</v>
      </c>
      <c r="U1239" s="4">
        <v>63</v>
      </c>
      <c r="V1239" s="4">
        <f>IF(ISERROR(VLOOKUP($S$1239,'TAR FIN'!$A$1:$O$113,15,0)),0,VLOOKUP($S$1239,'TAR FIN'!$A$1:$O$113,15,0))</f>
        <v>0</v>
      </c>
      <c r="W1239" s="4">
        <f>IF(ISERROR(VLOOKUP($T$1239,'TAR FIN'!$A$1:$O$113,15,0)),0,VLOOKUP($T$1239,'TAR FIN'!$A$1:$O$113,15,0))</f>
        <v>565.36</v>
      </c>
      <c r="X1239" s="4">
        <f>IF(ISERROR(VLOOKUP($U$1239,'TAR FIN'!$A$1:$O$113,15,0)),0,VLOOKUP($U$1239,'TAR FIN'!$A$1:$O$113,15,0))</f>
        <v>222.31</v>
      </c>
      <c r="Y1239" s="4"/>
      <c r="Z1239" s="4">
        <f ca="1">('TUSD BE'!$AM$38+'TUSD BF'!$AM$38+'TUSD CVA'!$AM$38)*1</f>
        <v>668.49805620193388</v>
      </c>
      <c r="AA1239" s="4">
        <f>('TE BE'!$AA$17+'TE BF'!$AA$17+'TE CVA'!$AA$17)*1</f>
        <v>223.14561812044704</v>
      </c>
      <c r="AB1239" s="4">
        <f>$K$1239*$V$1239</f>
        <v>0</v>
      </c>
      <c r="AC1239" s="4">
        <f>$M$1239*$W$1239</f>
        <v>3770.3858399999999</v>
      </c>
      <c r="AD1239" s="4">
        <f>$O$1239*$X$1239</f>
        <v>1482.58539</v>
      </c>
      <c r="AE1239" s="4">
        <f>$K$1239*$Y$1239</f>
        <v>0</v>
      </c>
      <c r="AF1239" s="4">
        <f ca="1">$M$1239*$Z$1239</f>
        <v>4458.2135368106965</v>
      </c>
      <c r="AG1239" s="4">
        <f>$O$1239*$AA$1239</f>
        <v>1488.1581272452613</v>
      </c>
    </row>
    <row r="1240" spans="1:33" ht="11.25" customHeight="1" x14ac:dyDescent="0.25">
      <c r="A1240" s="3" t="s">
        <v>28</v>
      </c>
      <c r="B1240" s="3" t="s">
        <v>22</v>
      </c>
      <c r="C1240" s="3" t="s">
        <v>33</v>
      </c>
      <c r="D1240" s="3" t="s">
        <v>24</v>
      </c>
      <c r="E1240" s="3" t="s">
        <v>24</v>
      </c>
      <c r="F1240" s="3" t="s">
        <v>25</v>
      </c>
      <c r="G1240" s="3" t="s">
        <v>25</v>
      </c>
      <c r="H1240" s="3" t="s">
        <v>36</v>
      </c>
      <c r="I1240" s="6">
        <v>44562</v>
      </c>
      <c r="J1240" s="4">
        <v>0</v>
      </c>
      <c r="K1240" s="4">
        <v>0</v>
      </c>
      <c r="L1240" s="4">
        <v>0.17</v>
      </c>
      <c r="M1240" s="4">
        <v>0.17</v>
      </c>
      <c r="N1240" s="4">
        <v>0.17</v>
      </c>
      <c r="O1240" s="4">
        <v>0.17</v>
      </c>
      <c r="P1240" s="4">
        <v>0</v>
      </c>
      <c r="Q1240" s="3" t="s">
        <v>26</v>
      </c>
      <c r="R1240" s="3">
        <v>0</v>
      </c>
      <c r="S1240" s="4">
        <v>0</v>
      </c>
      <c r="T1240" s="4">
        <v>25</v>
      </c>
      <c r="U1240" s="4">
        <v>63</v>
      </c>
      <c r="V1240" s="4">
        <f>IF(ISERROR(VLOOKUP($S$1240,'TAR FIN'!$A$1:$O$113,15,0)),0,VLOOKUP($S$1240,'TAR FIN'!$A$1:$O$113,15,0))</f>
        <v>0</v>
      </c>
      <c r="W1240" s="4">
        <f>IF(ISERROR(VLOOKUP($T$1240,'TAR FIN'!$A$1:$O$113,15,0)),0,VLOOKUP($T$1240,'TAR FIN'!$A$1:$O$113,15,0))</f>
        <v>565.36</v>
      </c>
      <c r="X1240" s="4">
        <f>IF(ISERROR(VLOOKUP($U$1240,'TAR FIN'!$A$1:$O$113,15,0)),0,VLOOKUP($U$1240,'TAR FIN'!$A$1:$O$113,15,0))</f>
        <v>222.31</v>
      </c>
      <c r="Y1240" s="4"/>
      <c r="Z1240" s="4">
        <f ca="1">('TUSD BE'!$AM$38+'TUSD BF'!$AM$38+'TUSD CVA'!$AM$38)*1</f>
        <v>668.49805620193388</v>
      </c>
      <c r="AA1240" s="4">
        <f>('TE BE'!$AA$17+'TE BF'!$AA$17+'TE CVA'!$AA$17)*1</f>
        <v>223.14561812044704</v>
      </c>
      <c r="AB1240" s="4">
        <f>$K$1240*$V$1240</f>
        <v>0</v>
      </c>
      <c r="AC1240" s="4">
        <f>$M$1240*$W$1240</f>
        <v>96.111200000000011</v>
      </c>
      <c r="AD1240" s="4">
        <f>$O$1240*$X$1240</f>
        <v>37.792700000000004</v>
      </c>
      <c r="AE1240" s="4">
        <f>$K$1240*$Y$1240</f>
        <v>0</v>
      </c>
      <c r="AF1240" s="4">
        <f ca="1">$M$1240*$Z$1240</f>
        <v>113.64466955432877</v>
      </c>
      <c r="AG1240" s="4">
        <f>$O$1240*$AA$1240</f>
        <v>37.934755080476002</v>
      </c>
    </row>
    <row r="1241" spans="1:33" ht="11.25" customHeight="1" x14ac:dyDescent="0.25">
      <c r="A1241" s="3" t="s">
        <v>21</v>
      </c>
      <c r="B1241" s="3" t="s">
        <v>22</v>
      </c>
      <c r="C1241" s="3" t="s">
        <v>33</v>
      </c>
      <c r="D1241" s="3" t="s">
        <v>24</v>
      </c>
      <c r="E1241" s="3" t="s">
        <v>24</v>
      </c>
      <c r="F1241" s="3" t="s">
        <v>25</v>
      </c>
      <c r="G1241" s="3" t="s">
        <v>25</v>
      </c>
      <c r="H1241" s="3" t="s">
        <v>36</v>
      </c>
      <c r="I1241" s="6">
        <v>44593</v>
      </c>
      <c r="J1241" s="4">
        <v>0</v>
      </c>
      <c r="K1241" s="4">
        <v>0</v>
      </c>
      <c r="L1241" s="4">
        <v>6.8369999999999997</v>
      </c>
      <c r="M1241" s="4">
        <v>6.8369999999999997</v>
      </c>
      <c r="N1241" s="4">
        <v>6.8369999999999997</v>
      </c>
      <c r="O1241" s="4">
        <v>6.8369999999999997</v>
      </c>
      <c r="P1241" s="4">
        <v>0</v>
      </c>
      <c r="Q1241" s="3" t="s">
        <v>26</v>
      </c>
      <c r="R1241" s="3">
        <v>0</v>
      </c>
      <c r="S1241" s="4">
        <v>0</v>
      </c>
      <c r="T1241" s="4">
        <v>25</v>
      </c>
      <c r="U1241" s="4">
        <v>63</v>
      </c>
      <c r="V1241" s="4">
        <f>IF(ISERROR(VLOOKUP($S$1241,'TAR FIN'!$A$1:$O$113,15,0)),0,VLOOKUP($S$1241,'TAR FIN'!$A$1:$O$113,15,0))</f>
        <v>0</v>
      </c>
      <c r="W1241" s="4">
        <f>IF(ISERROR(VLOOKUP($T$1241,'TAR FIN'!$A$1:$O$113,15,0)),0,VLOOKUP($T$1241,'TAR FIN'!$A$1:$O$113,15,0))</f>
        <v>565.36</v>
      </c>
      <c r="X1241" s="4">
        <f>IF(ISERROR(VLOOKUP($U$1241,'TAR FIN'!$A$1:$O$113,15,0)),0,VLOOKUP($U$1241,'TAR FIN'!$A$1:$O$113,15,0))</f>
        <v>222.31</v>
      </c>
      <c r="Y1241" s="4"/>
      <c r="Z1241" s="4">
        <f ca="1">('TUSD BE'!$AM$38+'TUSD BF'!$AM$38+'TUSD CVA'!$AM$38)*1</f>
        <v>668.49805620193388</v>
      </c>
      <c r="AA1241" s="4">
        <f>('TE BE'!$AA$17+'TE BF'!$AA$17+'TE CVA'!$AA$17)*1</f>
        <v>223.14561812044704</v>
      </c>
      <c r="AB1241" s="4">
        <f>$K$1241*$V$1241</f>
        <v>0</v>
      </c>
      <c r="AC1241" s="4">
        <f>$M$1241*$W$1241</f>
        <v>3865.3663200000001</v>
      </c>
      <c r="AD1241" s="4">
        <f>$O$1241*$X$1241</f>
        <v>1519.9334699999999</v>
      </c>
      <c r="AE1241" s="4">
        <f>$K$1241*$Y$1241</f>
        <v>0</v>
      </c>
      <c r="AF1241" s="4">
        <f ca="1">$M$1241*$Z$1241</f>
        <v>4570.521210252622</v>
      </c>
      <c r="AG1241" s="4">
        <f>$O$1241*$AA$1241</f>
        <v>1525.6465910894963</v>
      </c>
    </row>
    <row r="1242" spans="1:33" ht="11.25" customHeight="1" x14ac:dyDescent="0.25">
      <c r="A1242" s="3" t="s">
        <v>27</v>
      </c>
      <c r="B1242" s="3" t="s">
        <v>22</v>
      </c>
      <c r="C1242" s="3" t="s">
        <v>33</v>
      </c>
      <c r="D1242" s="3" t="s">
        <v>24</v>
      </c>
      <c r="E1242" s="3" t="s">
        <v>24</v>
      </c>
      <c r="F1242" s="3" t="s">
        <v>25</v>
      </c>
      <c r="G1242" s="3" t="s">
        <v>25</v>
      </c>
      <c r="H1242" s="3" t="s">
        <v>36</v>
      </c>
      <c r="I1242" s="6">
        <v>44593</v>
      </c>
      <c r="J1242" s="4">
        <v>0</v>
      </c>
      <c r="K1242" s="4">
        <v>0</v>
      </c>
      <c r="L1242" s="4">
        <v>-2.5000000000000001E-2</v>
      </c>
      <c r="M1242" s="4">
        <v>-2.5000000000000001E-2</v>
      </c>
      <c r="N1242" s="4">
        <v>-2.5000000000000001E-2</v>
      </c>
      <c r="O1242" s="4">
        <v>-2.5000000000000001E-2</v>
      </c>
      <c r="P1242" s="4">
        <v>0</v>
      </c>
      <c r="Q1242" s="3" t="s">
        <v>26</v>
      </c>
      <c r="R1242" s="3">
        <v>0</v>
      </c>
      <c r="S1242" s="4">
        <v>0</v>
      </c>
      <c r="T1242" s="4">
        <v>25</v>
      </c>
      <c r="U1242" s="4">
        <v>63</v>
      </c>
      <c r="V1242" s="4">
        <f>IF(ISERROR(VLOOKUP($S$1242,'TAR FIN'!$A$1:$O$113,15,0)),0,VLOOKUP($S$1242,'TAR FIN'!$A$1:$O$113,15,0))</f>
        <v>0</v>
      </c>
      <c r="W1242" s="4">
        <f>IF(ISERROR(VLOOKUP($T$1242,'TAR FIN'!$A$1:$O$113,15,0)),0,VLOOKUP($T$1242,'TAR FIN'!$A$1:$O$113,15,0))</f>
        <v>565.36</v>
      </c>
      <c r="X1242" s="4">
        <f>IF(ISERROR(VLOOKUP($U$1242,'TAR FIN'!$A$1:$O$113,15,0)),0,VLOOKUP($U$1242,'TAR FIN'!$A$1:$O$113,15,0))</f>
        <v>222.31</v>
      </c>
      <c r="Y1242" s="4"/>
      <c r="Z1242" s="4">
        <f ca="1">('TUSD BE'!$AM$38+'TUSD BF'!$AM$38+'TUSD CVA'!$AM$38)*1</f>
        <v>668.49805620193388</v>
      </c>
      <c r="AA1242" s="4">
        <f>('TE BE'!$AA$17+'TE BF'!$AA$17+'TE CVA'!$AA$17)*1</f>
        <v>223.14561812044704</v>
      </c>
      <c r="AB1242" s="4">
        <f>$K$1242*$V$1242</f>
        <v>0</v>
      </c>
      <c r="AC1242" s="4">
        <f>$M$1242*$W$1242</f>
        <v>-14.134</v>
      </c>
      <c r="AD1242" s="4">
        <f>$O$1242*$X$1242</f>
        <v>-5.5577500000000004</v>
      </c>
      <c r="AE1242" s="4">
        <f>$K$1242*$Y$1242</f>
        <v>0</v>
      </c>
      <c r="AF1242" s="4">
        <f ca="1">$M$1242*$Z$1242</f>
        <v>-16.712451405048348</v>
      </c>
      <c r="AG1242" s="4">
        <f>$O$1242*$AA$1242</f>
        <v>-5.5786404530111762</v>
      </c>
    </row>
    <row r="1243" spans="1:33" ht="11.25" customHeight="1" x14ac:dyDescent="0.25">
      <c r="A1243" s="3" t="s">
        <v>28</v>
      </c>
      <c r="B1243" s="3" t="s">
        <v>22</v>
      </c>
      <c r="C1243" s="3" t="s">
        <v>33</v>
      </c>
      <c r="D1243" s="3" t="s">
        <v>24</v>
      </c>
      <c r="E1243" s="3" t="s">
        <v>24</v>
      </c>
      <c r="F1243" s="3" t="s">
        <v>25</v>
      </c>
      <c r="G1243" s="3" t="s">
        <v>25</v>
      </c>
      <c r="H1243" s="3" t="s">
        <v>36</v>
      </c>
      <c r="I1243" s="6">
        <v>44593</v>
      </c>
      <c r="J1243" s="4">
        <v>0</v>
      </c>
      <c r="K1243" s="4">
        <v>0</v>
      </c>
      <c r="L1243" s="4">
        <v>7.6999999999999999E-2</v>
      </c>
      <c r="M1243" s="4">
        <v>7.6999999999999999E-2</v>
      </c>
      <c r="N1243" s="4">
        <v>7.6999999999999999E-2</v>
      </c>
      <c r="O1243" s="4">
        <v>7.6999999999999999E-2</v>
      </c>
      <c r="P1243" s="4">
        <v>0</v>
      </c>
      <c r="Q1243" s="3" t="s">
        <v>26</v>
      </c>
      <c r="R1243" s="3">
        <v>0</v>
      </c>
      <c r="S1243" s="4">
        <v>0</v>
      </c>
      <c r="T1243" s="4">
        <v>25</v>
      </c>
      <c r="U1243" s="4">
        <v>63</v>
      </c>
      <c r="V1243" s="4">
        <f>IF(ISERROR(VLOOKUP($S$1243,'TAR FIN'!$A$1:$O$113,15,0)),0,VLOOKUP($S$1243,'TAR FIN'!$A$1:$O$113,15,0))</f>
        <v>0</v>
      </c>
      <c r="W1243" s="4">
        <f>IF(ISERROR(VLOOKUP($T$1243,'TAR FIN'!$A$1:$O$113,15,0)),0,VLOOKUP($T$1243,'TAR FIN'!$A$1:$O$113,15,0))</f>
        <v>565.36</v>
      </c>
      <c r="X1243" s="4">
        <f>IF(ISERROR(VLOOKUP($U$1243,'TAR FIN'!$A$1:$O$113,15,0)),0,VLOOKUP($U$1243,'TAR FIN'!$A$1:$O$113,15,0))</f>
        <v>222.31</v>
      </c>
      <c r="Y1243" s="4"/>
      <c r="Z1243" s="4">
        <f ca="1">('TUSD BE'!$AM$38+'TUSD BF'!$AM$38+'TUSD CVA'!$AM$38)*1</f>
        <v>668.49805620193388</v>
      </c>
      <c r="AA1243" s="4">
        <f>('TE BE'!$AA$17+'TE BF'!$AA$17+'TE CVA'!$AA$17)*1</f>
        <v>223.14561812044704</v>
      </c>
      <c r="AB1243" s="4">
        <f>$K$1243*$V$1243</f>
        <v>0</v>
      </c>
      <c r="AC1243" s="4">
        <f>$M$1243*$W$1243</f>
        <v>43.532719999999998</v>
      </c>
      <c r="AD1243" s="4">
        <f>$O$1243*$X$1243</f>
        <v>17.11787</v>
      </c>
      <c r="AE1243" s="4">
        <f>$K$1243*$Y$1243</f>
        <v>0</v>
      </c>
      <c r="AF1243" s="4">
        <f ca="1">$M$1243*$Z$1243</f>
        <v>51.474350327548905</v>
      </c>
      <c r="AG1243" s="4">
        <f>$O$1243*$AA$1243</f>
        <v>17.182212595274422</v>
      </c>
    </row>
    <row r="1244" spans="1:33" ht="11.25" customHeight="1" x14ac:dyDescent="0.25">
      <c r="A1244" s="3" t="s">
        <v>28</v>
      </c>
      <c r="B1244" s="3" t="s">
        <v>22</v>
      </c>
      <c r="C1244" s="3" t="s">
        <v>33</v>
      </c>
      <c r="D1244" s="3" t="s">
        <v>24</v>
      </c>
      <c r="E1244" s="3" t="s">
        <v>24</v>
      </c>
      <c r="F1244" s="3" t="s">
        <v>25</v>
      </c>
      <c r="G1244" s="3" t="s">
        <v>25</v>
      </c>
      <c r="H1244" s="3" t="s">
        <v>36</v>
      </c>
      <c r="I1244" s="6">
        <v>44593</v>
      </c>
      <c r="J1244" s="4">
        <v>0</v>
      </c>
      <c r="K1244" s="4">
        <v>0</v>
      </c>
      <c r="L1244" s="4">
        <v>-9.6000000000000002E-2</v>
      </c>
      <c r="M1244" s="4">
        <v>-9.6000000000000002E-2</v>
      </c>
      <c r="N1244" s="4">
        <v>-9.6000000000000002E-2</v>
      </c>
      <c r="O1244" s="4">
        <v>-9.6000000000000002E-2</v>
      </c>
      <c r="P1244" s="4">
        <v>0</v>
      </c>
      <c r="Q1244" s="3" t="s">
        <v>26</v>
      </c>
      <c r="R1244" s="3">
        <v>0</v>
      </c>
      <c r="S1244" s="4">
        <v>0</v>
      </c>
      <c r="T1244" s="4">
        <v>25</v>
      </c>
      <c r="U1244" s="4">
        <v>63</v>
      </c>
      <c r="V1244" s="4">
        <f>IF(ISERROR(VLOOKUP($S$1244,'TAR FIN'!$A$1:$O$113,15,0)),0,VLOOKUP($S$1244,'TAR FIN'!$A$1:$O$113,15,0))</f>
        <v>0</v>
      </c>
      <c r="W1244" s="4">
        <f>IF(ISERROR(VLOOKUP($T$1244,'TAR FIN'!$A$1:$O$113,15,0)),0,VLOOKUP($T$1244,'TAR FIN'!$A$1:$O$113,15,0))</f>
        <v>565.36</v>
      </c>
      <c r="X1244" s="4">
        <f>IF(ISERROR(VLOOKUP($U$1244,'TAR FIN'!$A$1:$O$113,15,0)),0,VLOOKUP($U$1244,'TAR FIN'!$A$1:$O$113,15,0))</f>
        <v>222.31</v>
      </c>
      <c r="Y1244" s="4"/>
      <c r="Z1244" s="4">
        <f ca="1">('TUSD BE'!$AM$38+'TUSD BF'!$AM$38+'TUSD CVA'!$AM$38)*1</f>
        <v>668.49805620193388</v>
      </c>
      <c r="AA1244" s="4">
        <f>('TE BE'!$AA$17+'TE BF'!$AA$17+'TE CVA'!$AA$17)*1</f>
        <v>223.14561812044704</v>
      </c>
      <c r="AB1244" s="4">
        <f>$K$1244*$V$1244</f>
        <v>0</v>
      </c>
      <c r="AC1244" s="4">
        <f>$M$1244*$W$1244</f>
        <v>-54.274560000000001</v>
      </c>
      <c r="AD1244" s="4">
        <f>$O$1244*$X$1244</f>
        <v>-21.341760000000001</v>
      </c>
      <c r="AE1244" s="4">
        <f>$K$1244*$Y$1244</f>
        <v>0</v>
      </c>
      <c r="AF1244" s="4">
        <f ca="1">$M$1244*$Z$1244</f>
        <v>-64.17581339538566</v>
      </c>
      <c r="AG1244" s="4">
        <f>$O$1244*$AA$1244</f>
        <v>-21.421979339562917</v>
      </c>
    </row>
    <row r="1245" spans="1:33" ht="11.25" customHeight="1" x14ac:dyDescent="0.25">
      <c r="A1245" s="3" t="s">
        <v>56</v>
      </c>
      <c r="B1245" s="3" t="s">
        <v>22</v>
      </c>
      <c r="C1245" s="3" t="s">
        <v>33</v>
      </c>
      <c r="D1245" s="3" t="s">
        <v>24</v>
      </c>
      <c r="E1245" s="3" t="s">
        <v>24</v>
      </c>
      <c r="F1245" s="3" t="s">
        <v>25</v>
      </c>
      <c r="G1245" s="3" t="s">
        <v>25</v>
      </c>
      <c r="H1245" s="3" t="s">
        <v>36</v>
      </c>
      <c r="I1245" s="6">
        <v>44621</v>
      </c>
      <c r="J1245" s="4">
        <v>0</v>
      </c>
      <c r="K1245" s="4">
        <v>0</v>
      </c>
      <c r="L1245" s="4">
        <v>6.8369999999999997</v>
      </c>
      <c r="M1245" s="4">
        <v>6.8369999999999997</v>
      </c>
      <c r="N1245" s="4">
        <v>6.8369999999999997</v>
      </c>
      <c r="O1245" s="4">
        <v>6.8369999999999997</v>
      </c>
      <c r="P1245" s="4">
        <v>0</v>
      </c>
      <c r="Q1245" s="3" t="s">
        <v>26</v>
      </c>
      <c r="R1245" s="3">
        <v>0</v>
      </c>
      <c r="S1245" s="4">
        <v>0</v>
      </c>
      <c r="T1245" s="4">
        <v>25</v>
      </c>
      <c r="U1245" s="4">
        <v>63</v>
      </c>
      <c r="V1245" s="4">
        <f>IF(ISERROR(VLOOKUP($S$1245,'TAR FIN'!$A$1:$O$113,15,0)),0,VLOOKUP($S$1245,'TAR FIN'!$A$1:$O$113,15,0))</f>
        <v>0</v>
      </c>
      <c r="W1245" s="4">
        <f>IF(ISERROR(VLOOKUP($T$1245,'TAR FIN'!$A$1:$O$113,15,0)),0,VLOOKUP($T$1245,'TAR FIN'!$A$1:$O$113,15,0))</f>
        <v>565.36</v>
      </c>
      <c r="X1245" s="4">
        <f>IF(ISERROR(VLOOKUP($U$1245,'TAR FIN'!$A$1:$O$113,15,0)),0,VLOOKUP($U$1245,'TAR FIN'!$A$1:$O$113,15,0))</f>
        <v>222.31</v>
      </c>
      <c r="Y1245" s="4"/>
      <c r="Z1245" s="4">
        <f ca="1">('TUSD BE'!$AM$38+'TUSD BF'!$AM$38+'TUSD CVA'!$AM$38)*1</f>
        <v>668.49805620193388</v>
      </c>
      <c r="AA1245" s="4">
        <f>('TE BE'!$AA$17+'TE BF'!$AA$17+'TE CVA'!$AA$17)*1</f>
        <v>223.14561812044704</v>
      </c>
      <c r="AB1245" s="4">
        <f>$K$1245*$V$1245</f>
        <v>0</v>
      </c>
      <c r="AC1245" s="4">
        <f>$M$1245*$W$1245</f>
        <v>3865.3663200000001</v>
      </c>
      <c r="AD1245" s="4">
        <f>$O$1245*$X$1245</f>
        <v>1519.9334699999999</v>
      </c>
      <c r="AE1245" s="4">
        <f>$K$1245*$Y$1245</f>
        <v>0</v>
      </c>
      <c r="AF1245" s="4">
        <f ca="1">$M$1245*$Z$1245</f>
        <v>4570.521210252622</v>
      </c>
      <c r="AG1245" s="4">
        <f>$O$1245*$AA$1245</f>
        <v>1525.6465910894963</v>
      </c>
    </row>
    <row r="1246" spans="1:33" ht="11.25" customHeight="1" x14ac:dyDescent="0.25">
      <c r="A1246" s="3" t="s">
        <v>56</v>
      </c>
      <c r="B1246" s="3" t="s">
        <v>22</v>
      </c>
      <c r="C1246" s="3" t="s">
        <v>33</v>
      </c>
      <c r="D1246" s="3" t="s">
        <v>24</v>
      </c>
      <c r="E1246" s="3" t="s">
        <v>24</v>
      </c>
      <c r="F1246" s="3" t="s">
        <v>25</v>
      </c>
      <c r="G1246" s="3" t="s">
        <v>25</v>
      </c>
      <c r="H1246" s="3" t="s">
        <v>36</v>
      </c>
      <c r="I1246" s="6">
        <v>44621</v>
      </c>
      <c r="J1246" s="4">
        <v>0</v>
      </c>
      <c r="K1246" s="4">
        <v>0</v>
      </c>
      <c r="L1246" s="4">
        <v>-2.5000000000000001E-2</v>
      </c>
      <c r="M1246" s="4">
        <v>-2.5000000000000001E-2</v>
      </c>
      <c r="N1246" s="4">
        <v>-2.5000000000000001E-2</v>
      </c>
      <c r="O1246" s="4">
        <v>-2.5000000000000001E-2</v>
      </c>
      <c r="P1246" s="4">
        <v>0</v>
      </c>
      <c r="Q1246" s="3" t="s">
        <v>26</v>
      </c>
      <c r="R1246" s="3">
        <v>0</v>
      </c>
      <c r="S1246" s="4">
        <v>0</v>
      </c>
      <c r="T1246" s="4">
        <v>25</v>
      </c>
      <c r="U1246" s="4">
        <v>63</v>
      </c>
      <c r="V1246" s="4">
        <f>IF(ISERROR(VLOOKUP($S$1246,'TAR FIN'!$A$1:$O$113,15,0)),0,VLOOKUP($S$1246,'TAR FIN'!$A$1:$O$113,15,0))</f>
        <v>0</v>
      </c>
      <c r="W1246" s="4">
        <f>IF(ISERROR(VLOOKUP($T$1246,'TAR FIN'!$A$1:$O$113,15,0)),0,VLOOKUP($T$1246,'TAR FIN'!$A$1:$O$113,15,0))</f>
        <v>565.36</v>
      </c>
      <c r="X1246" s="4">
        <f>IF(ISERROR(VLOOKUP($U$1246,'TAR FIN'!$A$1:$O$113,15,0)),0,VLOOKUP($U$1246,'TAR FIN'!$A$1:$O$113,15,0))</f>
        <v>222.31</v>
      </c>
      <c r="Y1246" s="4"/>
      <c r="Z1246" s="4">
        <f ca="1">('TUSD BE'!$AM$38+'TUSD BF'!$AM$38+'TUSD CVA'!$AM$38)*1</f>
        <v>668.49805620193388</v>
      </c>
      <c r="AA1246" s="4">
        <f>('TE BE'!$AA$17+'TE BF'!$AA$17+'TE CVA'!$AA$17)*1</f>
        <v>223.14561812044704</v>
      </c>
      <c r="AB1246" s="4">
        <f>$K$1246*$V$1246</f>
        <v>0</v>
      </c>
      <c r="AC1246" s="4">
        <f>$M$1246*$W$1246</f>
        <v>-14.134</v>
      </c>
      <c r="AD1246" s="4">
        <f>$O$1246*$X$1246</f>
        <v>-5.5577500000000004</v>
      </c>
      <c r="AE1246" s="4">
        <f>$K$1246*$Y$1246</f>
        <v>0</v>
      </c>
      <c r="AF1246" s="4">
        <f ca="1">$M$1246*$Z$1246</f>
        <v>-16.712451405048348</v>
      </c>
      <c r="AG1246" s="4">
        <f>$O$1246*$AA$1246</f>
        <v>-5.5786404530111762</v>
      </c>
    </row>
    <row r="1247" spans="1:33" ht="11.25" customHeight="1" x14ac:dyDescent="0.25">
      <c r="A1247" s="3" t="s">
        <v>56</v>
      </c>
      <c r="B1247" s="3" t="s">
        <v>22</v>
      </c>
      <c r="C1247" s="3" t="s">
        <v>33</v>
      </c>
      <c r="D1247" s="3" t="s">
        <v>24</v>
      </c>
      <c r="E1247" s="3" t="s">
        <v>24</v>
      </c>
      <c r="F1247" s="3" t="s">
        <v>25</v>
      </c>
      <c r="G1247" s="3" t="s">
        <v>25</v>
      </c>
      <c r="H1247" s="3" t="s">
        <v>36</v>
      </c>
      <c r="I1247" s="6">
        <v>44621</v>
      </c>
      <c r="J1247" s="4">
        <v>0</v>
      </c>
      <c r="K1247" s="4">
        <v>0</v>
      </c>
      <c r="L1247" s="4">
        <v>7.6999999999999999E-2</v>
      </c>
      <c r="M1247" s="4">
        <v>7.6999999999999999E-2</v>
      </c>
      <c r="N1247" s="4">
        <v>7.6999999999999999E-2</v>
      </c>
      <c r="O1247" s="4">
        <v>7.6999999999999999E-2</v>
      </c>
      <c r="P1247" s="4">
        <v>0</v>
      </c>
      <c r="Q1247" s="3" t="s">
        <v>26</v>
      </c>
      <c r="R1247" s="3">
        <v>0</v>
      </c>
      <c r="S1247" s="4">
        <v>0</v>
      </c>
      <c r="T1247" s="4">
        <v>25</v>
      </c>
      <c r="U1247" s="4">
        <v>63</v>
      </c>
      <c r="V1247" s="4">
        <f>IF(ISERROR(VLOOKUP($S$1247,'TAR FIN'!$A$1:$O$113,15,0)),0,VLOOKUP($S$1247,'TAR FIN'!$A$1:$O$113,15,0))</f>
        <v>0</v>
      </c>
      <c r="W1247" s="4">
        <f>IF(ISERROR(VLOOKUP($T$1247,'TAR FIN'!$A$1:$O$113,15,0)),0,VLOOKUP($T$1247,'TAR FIN'!$A$1:$O$113,15,0))</f>
        <v>565.36</v>
      </c>
      <c r="X1247" s="4">
        <f>IF(ISERROR(VLOOKUP($U$1247,'TAR FIN'!$A$1:$O$113,15,0)),0,VLOOKUP($U$1247,'TAR FIN'!$A$1:$O$113,15,0))</f>
        <v>222.31</v>
      </c>
      <c r="Y1247" s="4"/>
      <c r="Z1247" s="4">
        <f ca="1">('TUSD BE'!$AM$38+'TUSD BF'!$AM$38+'TUSD CVA'!$AM$38)*1</f>
        <v>668.49805620193388</v>
      </c>
      <c r="AA1247" s="4">
        <f>('TE BE'!$AA$17+'TE BF'!$AA$17+'TE CVA'!$AA$17)*1</f>
        <v>223.14561812044704</v>
      </c>
      <c r="AB1247" s="4">
        <f>$K$1247*$V$1247</f>
        <v>0</v>
      </c>
      <c r="AC1247" s="4">
        <f>$M$1247*$W$1247</f>
        <v>43.532719999999998</v>
      </c>
      <c r="AD1247" s="4">
        <f>$O$1247*$X$1247</f>
        <v>17.11787</v>
      </c>
      <c r="AE1247" s="4">
        <f>$K$1247*$Y$1247</f>
        <v>0</v>
      </c>
      <c r="AF1247" s="4">
        <f ca="1">$M$1247*$Z$1247</f>
        <v>51.474350327548905</v>
      </c>
      <c r="AG1247" s="4">
        <f>$O$1247*$AA$1247</f>
        <v>17.182212595274422</v>
      </c>
    </row>
    <row r="1248" spans="1:33" ht="11.25" customHeight="1" x14ac:dyDescent="0.25">
      <c r="A1248" s="3" t="s">
        <v>56</v>
      </c>
      <c r="B1248" s="3" t="s">
        <v>22</v>
      </c>
      <c r="C1248" s="3" t="s">
        <v>33</v>
      </c>
      <c r="D1248" s="3" t="s">
        <v>24</v>
      </c>
      <c r="E1248" s="3" t="s">
        <v>24</v>
      </c>
      <c r="F1248" s="3" t="s">
        <v>25</v>
      </c>
      <c r="G1248" s="3" t="s">
        <v>25</v>
      </c>
      <c r="H1248" s="3" t="s">
        <v>36</v>
      </c>
      <c r="I1248" s="6">
        <v>44621</v>
      </c>
      <c r="J1248" s="4">
        <v>0</v>
      </c>
      <c r="K1248" s="4">
        <v>0</v>
      </c>
      <c r="L1248" s="4">
        <v>-9.6000000000000002E-2</v>
      </c>
      <c r="M1248" s="4">
        <v>-9.6000000000000002E-2</v>
      </c>
      <c r="N1248" s="4">
        <v>-9.6000000000000002E-2</v>
      </c>
      <c r="O1248" s="4">
        <v>-9.6000000000000002E-2</v>
      </c>
      <c r="P1248" s="4">
        <v>0</v>
      </c>
      <c r="Q1248" s="3" t="s">
        <v>26</v>
      </c>
      <c r="R1248" s="3">
        <v>0</v>
      </c>
      <c r="S1248" s="4">
        <v>0</v>
      </c>
      <c r="T1248" s="4">
        <v>25</v>
      </c>
      <c r="U1248" s="4">
        <v>63</v>
      </c>
      <c r="V1248" s="4">
        <f>IF(ISERROR(VLOOKUP($S$1248,'TAR FIN'!$A$1:$O$113,15,0)),0,VLOOKUP($S$1248,'TAR FIN'!$A$1:$O$113,15,0))</f>
        <v>0</v>
      </c>
      <c r="W1248" s="4">
        <f>IF(ISERROR(VLOOKUP($T$1248,'TAR FIN'!$A$1:$O$113,15,0)),0,VLOOKUP($T$1248,'TAR FIN'!$A$1:$O$113,15,0))</f>
        <v>565.36</v>
      </c>
      <c r="X1248" s="4">
        <f>IF(ISERROR(VLOOKUP($U$1248,'TAR FIN'!$A$1:$O$113,15,0)),0,VLOOKUP($U$1248,'TAR FIN'!$A$1:$O$113,15,0))</f>
        <v>222.31</v>
      </c>
      <c r="Y1248" s="4"/>
      <c r="Z1248" s="4">
        <f ca="1">('TUSD BE'!$AM$38+'TUSD BF'!$AM$38+'TUSD CVA'!$AM$38)*1</f>
        <v>668.49805620193388</v>
      </c>
      <c r="AA1248" s="4">
        <f>('TE BE'!$AA$17+'TE BF'!$AA$17+'TE CVA'!$AA$17)*1</f>
        <v>223.14561812044704</v>
      </c>
      <c r="AB1248" s="4">
        <f>$K$1248*$V$1248</f>
        <v>0</v>
      </c>
      <c r="AC1248" s="4">
        <f>$M$1248*$W$1248</f>
        <v>-54.274560000000001</v>
      </c>
      <c r="AD1248" s="4">
        <f>$O$1248*$X$1248</f>
        <v>-21.341760000000001</v>
      </c>
      <c r="AE1248" s="4">
        <f>$K$1248*$Y$1248</f>
        <v>0</v>
      </c>
      <c r="AF1248" s="4">
        <f ca="1">$M$1248*$Z$1248</f>
        <v>-64.17581339538566</v>
      </c>
      <c r="AG1248" s="4">
        <f>$O$1248*$AA$1248</f>
        <v>-21.421979339562917</v>
      </c>
    </row>
    <row r="1249" spans="1:33" ht="11.25" customHeight="1" x14ac:dyDescent="0.25">
      <c r="A1249" s="3" t="s">
        <v>21</v>
      </c>
      <c r="B1249" s="3" t="s">
        <v>22</v>
      </c>
      <c r="C1249" s="3" t="s">
        <v>33</v>
      </c>
      <c r="D1249" s="3" t="s">
        <v>24</v>
      </c>
      <c r="E1249" s="3" t="s">
        <v>24</v>
      </c>
      <c r="F1249" s="3" t="s">
        <v>25</v>
      </c>
      <c r="G1249" s="3" t="s">
        <v>25</v>
      </c>
      <c r="H1249" s="3" t="s">
        <v>34</v>
      </c>
      <c r="I1249" s="6">
        <v>44287</v>
      </c>
      <c r="J1249" s="4">
        <v>0</v>
      </c>
      <c r="K1249" s="4">
        <v>0</v>
      </c>
      <c r="L1249" s="4">
        <v>9.1419999999999995</v>
      </c>
      <c r="M1249" s="4">
        <v>9.1419999999999995</v>
      </c>
      <c r="N1249" s="4">
        <v>9.1419999999999995</v>
      </c>
      <c r="O1249" s="4">
        <v>9.1419999999999995</v>
      </c>
      <c r="P1249" s="4">
        <v>0</v>
      </c>
      <c r="Q1249" s="3" t="s">
        <v>26</v>
      </c>
      <c r="R1249" s="3">
        <v>0</v>
      </c>
      <c r="S1249" s="4">
        <v>0</v>
      </c>
      <c r="T1249" s="4">
        <v>24</v>
      </c>
      <c r="U1249" s="4">
        <v>98</v>
      </c>
      <c r="V1249" s="4">
        <f>IF(ISERROR(VLOOKUP($S$1249,'TAR FIN'!$A$1:$O$113,15,0)),0,VLOOKUP($S$1249,'TAR FIN'!$A$1:$O$113,15,0))</f>
        <v>0</v>
      </c>
      <c r="W1249" s="4">
        <f>IF(ISERROR(VLOOKUP($T$1249,'TAR FIN'!$A$1:$O$113,15,0)),0,VLOOKUP($T$1249,'TAR FIN'!$A$1:$O$113,15,0))</f>
        <v>894.12</v>
      </c>
      <c r="X1249" s="4">
        <f>IF(ISERROR(VLOOKUP($U$1249,'TAR FIN'!$A$1:$O$113,15,0)),0,VLOOKUP($U$1249,'TAR FIN'!$A$1:$O$113,15,0))</f>
        <v>365.5</v>
      </c>
      <c r="Y1249" s="4"/>
      <c r="Z1249" s="4">
        <f ca="1">('TUSD BE'!$AM$37+'TUSD BF'!$AM$37+'TUSD CVA'!$AM$37)*1</f>
        <v>1054.531052783949</v>
      </c>
      <c r="AA1249" s="4">
        <f>('TE BE'!$AA$16+'TE BF'!$AA$16+'TE CVA'!$AA$16)*1</f>
        <v>361.55013418411539</v>
      </c>
      <c r="AB1249" s="4">
        <f>$K$1249*$V$1249</f>
        <v>0</v>
      </c>
      <c r="AC1249" s="4">
        <f>$M$1249*$W$1249</f>
        <v>8174.04504</v>
      </c>
      <c r="AD1249" s="4">
        <f>$O$1249*$X$1249</f>
        <v>3341.4009999999998</v>
      </c>
      <c r="AE1249" s="4">
        <f>$K$1249*$Y$1249</f>
        <v>0</v>
      </c>
      <c r="AF1249" s="4">
        <f ca="1">$M$1249*$Z$1249</f>
        <v>9640.5228845508609</v>
      </c>
      <c r="AG1249" s="4">
        <f>$O$1249*$AA$1249</f>
        <v>3305.2913267111826</v>
      </c>
    </row>
    <row r="1250" spans="1:33" ht="11.25" customHeight="1" x14ac:dyDescent="0.25">
      <c r="A1250" s="3" t="s">
        <v>28</v>
      </c>
      <c r="B1250" s="3" t="s">
        <v>22</v>
      </c>
      <c r="C1250" s="3" t="s">
        <v>33</v>
      </c>
      <c r="D1250" s="3" t="s">
        <v>24</v>
      </c>
      <c r="E1250" s="3" t="s">
        <v>24</v>
      </c>
      <c r="F1250" s="3" t="s">
        <v>25</v>
      </c>
      <c r="G1250" s="3" t="s">
        <v>25</v>
      </c>
      <c r="H1250" s="3" t="s">
        <v>34</v>
      </c>
      <c r="I1250" s="6">
        <v>44287</v>
      </c>
      <c r="J1250" s="4">
        <v>0</v>
      </c>
      <c r="K1250" s="4">
        <v>0</v>
      </c>
      <c r="L1250" s="4">
        <v>0.183</v>
      </c>
      <c r="M1250" s="4">
        <v>0.183</v>
      </c>
      <c r="N1250" s="4">
        <v>0.183</v>
      </c>
      <c r="O1250" s="4">
        <v>0.183</v>
      </c>
      <c r="P1250" s="4">
        <v>0</v>
      </c>
      <c r="Q1250" s="3" t="s">
        <v>26</v>
      </c>
      <c r="R1250" s="3">
        <v>0</v>
      </c>
      <c r="S1250" s="4">
        <v>0</v>
      </c>
      <c r="T1250" s="4">
        <v>24</v>
      </c>
      <c r="U1250" s="4">
        <v>98</v>
      </c>
      <c r="V1250" s="4">
        <f>IF(ISERROR(VLOOKUP($S$1250,'TAR FIN'!$A$1:$O$113,15,0)),0,VLOOKUP($S$1250,'TAR FIN'!$A$1:$O$113,15,0))</f>
        <v>0</v>
      </c>
      <c r="W1250" s="4">
        <f>IF(ISERROR(VLOOKUP($T$1250,'TAR FIN'!$A$1:$O$113,15,0)),0,VLOOKUP($T$1250,'TAR FIN'!$A$1:$O$113,15,0))</f>
        <v>894.12</v>
      </c>
      <c r="X1250" s="4">
        <f>IF(ISERROR(VLOOKUP($U$1250,'TAR FIN'!$A$1:$O$113,15,0)),0,VLOOKUP($U$1250,'TAR FIN'!$A$1:$O$113,15,0))</f>
        <v>365.5</v>
      </c>
      <c r="Y1250" s="4"/>
      <c r="Z1250" s="4">
        <f ca="1">('TUSD BE'!$AM$37+'TUSD BF'!$AM$37+'TUSD CVA'!$AM$37)*1</f>
        <v>1054.531052783949</v>
      </c>
      <c r="AA1250" s="4">
        <f>('TE BE'!$AA$16+'TE BF'!$AA$16+'TE CVA'!$AA$16)*1</f>
        <v>361.55013418411539</v>
      </c>
      <c r="AB1250" s="4">
        <f>$K$1250*$V$1250</f>
        <v>0</v>
      </c>
      <c r="AC1250" s="4">
        <f>$M$1250*$W$1250</f>
        <v>163.62396000000001</v>
      </c>
      <c r="AD1250" s="4">
        <f>$O$1250*$X$1250</f>
        <v>66.886499999999998</v>
      </c>
      <c r="AE1250" s="4">
        <f>$K$1250*$Y$1250</f>
        <v>0</v>
      </c>
      <c r="AF1250" s="4">
        <f ca="1">$M$1250*$Z$1250</f>
        <v>192.97918265946265</v>
      </c>
      <c r="AG1250" s="4">
        <f>$O$1250*$AA$1250</f>
        <v>66.16367455569312</v>
      </c>
    </row>
    <row r="1251" spans="1:33" ht="11.25" customHeight="1" x14ac:dyDescent="0.25">
      <c r="A1251" s="3" t="s">
        <v>21</v>
      </c>
      <c r="B1251" s="3" t="s">
        <v>22</v>
      </c>
      <c r="C1251" s="3" t="s">
        <v>33</v>
      </c>
      <c r="D1251" s="3" t="s">
        <v>24</v>
      </c>
      <c r="E1251" s="3" t="s">
        <v>24</v>
      </c>
      <c r="F1251" s="3" t="s">
        <v>25</v>
      </c>
      <c r="G1251" s="3" t="s">
        <v>25</v>
      </c>
      <c r="H1251" s="3" t="s">
        <v>34</v>
      </c>
      <c r="I1251" s="6">
        <v>44317</v>
      </c>
      <c r="J1251" s="4">
        <v>0</v>
      </c>
      <c r="K1251" s="4">
        <v>0</v>
      </c>
      <c r="L1251" s="4">
        <v>8.7949999999999999</v>
      </c>
      <c r="M1251" s="4">
        <v>8.7949999999999999</v>
      </c>
      <c r="N1251" s="4">
        <v>8.7949999999999999</v>
      </c>
      <c r="O1251" s="4">
        <v>8.7949999999999999</v>
      </c>
      <c r="P1251" s="4">
        <v>0</v>
      </c>
      <c r="Q1251" s="3" t="s">
        <v>26</v>
      </c>
      <c r="R1251" s="3">
        <v>0</v>
      </c>
      <c r="S1251" s="4">
        <v>0</v>
      </c>
      <c r="T1251" s="4">
        <v>24</v>
      </c>
      <c r="U1251" s="4">
        <v>98</v>
      </c>
      <c r="V1251" s="4">
        <f>IF(ISERROR(VLOOKUP($S$1251,'TAR FIN'!$A$1:$O$113,15,0)),0,VLOOKUP($S$1251,'TAR FIN'!$A$1:$O$113,15,0))</f>
        <v>0</v>
      </c>
      <c r="W1251" s="4">
        <f>IF(ISERROR(VLOOKUP($T$1251,'TAR FIN'!$A$1:$O$113,15,0)),0,VLOOKUP($T$1251,'TAR FIN'!$A$1:$O$113,15,0))</f>
        <v>894.12</v>
      </c>
      <c r="X1251" s="4">
        <f>IF(ISERROR(VLOOKUP($U$1251,'TAR FIN'!$A$1:$O$113,15,0)),0,VLOOKUP($U$1251,'TAR FIN'!$A$1:$O$113,15,0))</f>
        <v>365.5</v>
      </c>
      <c r="Y1251" s="4"/>
      <c r="Z1251" s="4">
        <f ca="1">('TUSD BE'!$AM$37+'TUSD BF'!$AM$37+'TUSD CVA'!$AM$37)*1</f>
        <v>1054.531052783949</v>
      </c>
      <c r="AA1251" s="4">
        <f>('TE BE'!$AA$16+'TE BF'!$AA$16+'TE CVA'!$AA$16)*1</f>
        <v>361.55013418411539</v>
      </c>
      <c r="AB1251" s="4">
        <f>$K$1251*$V$1251</f>
        <v>0</v>
      </c>
      <c r="AC1251" s="4">
        <f>$M$1251*$W$1251</f>
        <v>7863.7853999999998</v>
      </c>
      <c r="AD1251" s="4">
        <f>$O$1251*$X$1251</f>
        <v>3214.5724999999998</v>
      </c>
      <c r="AE1251" s="4">
        <f>$K$1251*$Y$1251</f>
        <v>0</v>
      </c>
      <c r="AF1251" s="4">
        <f ca="1">$M$1251*$Z$1251</f>
        <v>9274.6006092348307</v>
      </c>
      <c r="AG1251" s="4">
        <f>$O$1251*$AA$1251</f>
        <v>3179.8334301492951</v>
      </c>
    </row>
    <row r="1252" spans="1:33" ht="11.25" customHeight="1" x14ac:dyDescent="0.25">
      <c r="A1252" s="3" t="s">
        <v>28</v>
      </c>
      <c r="B1252" s="3" t="s">
        <v>22</v>
      </c>
      <c r="C1252" s="3" t="s">
        <v>33</v>
      </c>
      <c r="D1252" s="3" t="s">
        <v>24</v>
      </c>
      <c r="E1252" s="3" t="s">
        <v>24</v>
      </c>
      <c r="F1252" s="3" t="s">
        <v>25</v>
      </c>
      <c r="G1252" s="3" t="s">
        <v>25</v>
      </c>
      <c r="H1252" s="3" t="s">
        <v>34</v>
      </c>
      <c r="I1252" s="6">
        <v>44317</v>
      </c>
      <c r="J1252" s="4">
        <v>0</v>
      </c>
      <c r="K1252" s="4">
        <v>0</v>
      </c>
      <c r="L1252" s="4">
        <v>0.06</v>
      </c>
      <c r="M1252" s="4">
        <v>0.06</v>
      </c>
      <c r="N1252" s="4">
        <v>0.06</v>
      </c>
      <c r="O1252" s="4">
        <v>0.06</v>
      </c>
      <c r="P1252" s="4">
        <v>0</v>
      </c>
      <c r="Q1252" s="3" t="s">
        <v>26</v>
      </c>
      <c r="R1252" s="3">
        <v>0</v>
      </c>
      <c r="S1252" s="4">
        <v>0</v>
      </c>
      <c r="T1252" s="4">
        <v>24</v>
      </c>
      <c r="U1252" s="4">
        <v>98</v>
      </c>
      <c r="V1252" s="4">
        <f>IF(ISERROR(VLOOKUP($S$1252,'TAR FIN'!$A$1:$O$113,15,0)),0,VLOOKUP($S$1252,'TAR FIN'!$A$1:$O$113,15,0))</f>
        <v>0</v>
      </c>
      <c r="W1252" s="4">
        <f>IF(ISERROR(VLOOKUP($T$1252,'TAR FIN'!$A$1:$O$113,15,0)),0,VLOOKUP($T$1252,'TAR FIN'!$A$1:$O$113,15,0))</f>
        <v>894.12</v>
      </c>
      <c r="X1252" s="4">
        <f>IF(ISERROR(VLOOKUP($U$1252,'TAR FIN'!$A$1:$O$113,15,0)),0,VLOOKUP($U$1252,'TAR FIN'!$A$1:$O$113,15,0))</f>
        <v>365.5</v>
      </c>
      <c r="Y1252" s="4"/>
      <c r="Z1252" s="4">
        <f ca="1">('TUSD BE'!$AM$37+'TUSD BF'!$AM$37+'TUSD CVA'!$AM$37)*1</f>
        <v>1054.531052783949</v>
      </c>
      <c r="AA1252" s="4">
        <f>('TE BE'!$AA$16+'TE BF'!$AA$16+'TE CVA'!$AA$16)*1</f>
        <v>361.55013418411539</v>
      </c>
      <c r="AB1252" s="4">
        <f>$K$1252*$V$1252</f>
        <v>0</v>
      </c>
      <c r="AC1252" s="4">
        <f>$M$1252*$W$1252</f>
        <v>53.647199999999998</v>
      </c>
      <c r="AD1252" s="4">
        <f>$O$1252*$X$1252</f>
        <v>21.93</v>
      </c>
      <c r="AE1252" s="4">
        <f>$K$1252*$Y$1252</f>
        <v>0</v>
      </c>
      <c r="AF1252" s="4">
        <f ca="1">$M$1252*$Z$1252</f>
        <v>63.27186316703694</v>
      </c>
      <c r="AG1252" s="4">
        <f>$O$1252*$AA$1252</f>
        <v>21.693008051046924</v>
      </c>
    </row>
    <row r="1253" spans="1:33" ht="11.25" customHeight="1" x14ac:dyDescent="0.25">
      <c r="A1253" s="3" t="s">
        <v>21</v>
      </c>
      <c r="B1253" s="3" t="s">
        <v>22</v>
      </c>
      <c r="C1253" s="3" t="s">
        <v>33</v>
      </c>
      <c r="D1253" s="3" t="s">
        <v>24</v>
      </c>
      <c r="E1253" s="3" t="s">
        <v>24</v>
      </c>
      <c r="F1253" s="3" t="s">
        <v>25</v>
      </c>
      <c r="G1253" s="3" t="s">
        <v>25</v>
      </c>
      <c r="H1253" s="3" t="s">
        <v>34</v>
      </c>
      <c r="I1253" s="6">
        <v>44348</v>
      </c>
      <c r="J1253" s="4">
        <v>0</v>
      </c>
      <c r="K1253" s="4">
        <v>0</v>
      </c>
      <c r="L1253" s="4">
        <v>9.17</v>
      </c>
      <c r="M1253" s="4">
        <v>9.17</v>
      </c>
      <c r="N1253" s="4">
        <v>9.17</v>
      </c>
      <c r="O1253" s="4">
        <v>9.17</v>
      </c>
      <c r="P1253" s="4">
        <v>0</v>
      </c>
      <c r="Q1253" s="3" t="s">
        <v>26</v>
      </c>
      <c r="R1253" s="3">
        <v>0</v>
      </c>
      <c r="S1253" s="4">
        <v>0</v>
      </c>
      <c r="T1253" s="4">
        <v>24</v>
      </c>
      <c r="U1253" s="4">
        <v>98</v>
      </c>
      <c r="V1253" s="4">
        <f>IF(ISERROR(VLOOKUP($S$1253,'TAR FIN'!$A$1:$O$113,15,0)),0,VLOOKUP($S$1253,'TAR FIN'!$A$1:$O$113,15,0))</f>
        <v>0</v>
      </c>
      <c r="W1253" s="4">
        <f>IF(ISERROR(VLOOKUP($T$1253,'TAR FIN'!$A$1:$O$113,15,0)),0,VLOOKUP($T$1253,'TAR FIN'!$A$1:$O$113,15,0))</f>
        <v>894.12</v>
      </c>
      <c r="X1253" s="4">
        <f>IF(ISERROR(VLOOKUP($U$1253,'TAR FIN'!$A$1:$O$113,15,0)),0,VLOOKUP($U$1253,'TAR FIN'!$A$1:$O$113,15,0))</f>
        <v>365.5</v>
      </c>
      <c r="Y1253" s="4"/>
      <c r="Z1253" s="4">
        <f ca="1">('TUSD BE'!$AM$37+'TUSD BF'!$AM$37+'TUSD CVA'!$AM$37)*1</f>
        <v>1054.531052783949</v>
      </c>
      <c r="AA1253" s="4">
        <f>('TE BE'!$AA$16+'TE BF'!$AA$16+'TE CVA'!$AA$16)*1</f>
        <v>361.55013418411539</v>
      </c>
      <c r="AB1253" s="4">
        <f>$K$1253*$V$1253</f>
        <v>0</v>
      </c>
      <c r="AC1253" s="4">
        <f>$M$1253*$W$1253</f>
        <v>8199.0804000000007</v>
      </c>
      <c r="AD1253" s="4">
        <f>$O$1253*$X$1253</f>
        <v>3351.6349999999998</v>
      </c>
      <c r="AE1253" s="4">
        <f>$K$1253*$Y$1253</f>
        <v>0</v>
      </c>
      <c r="AF1253" s="4">
        <f ca="1">$M$1253*$Z$1253</f>
        <v>9670.0497540288125</v>
      </c>
      <c r="AG1253" s="4">
        <f>$O$1253*$AA$1253</f>
        <v>3315.4147304683383</v>
      </c>
    </row>
    <row r="1254" spans="1:33" ht="11.25" customHeight="1" x14ac:dyDescent="0.25">
      <c r="A1254" s="3" t="s">
        <v>28</v>
      </c>
      <c r="B1254" s="3" t="s">
        <v>22</v>
      </c>
      <c r="C1254" s="3" t="s">
        <v>33</v>
      </c>
      <c r="D1254" s="3" t="s">
        <v>24</v>
      </c>
      <c r="E1254" s="3" t="s">
        <v>24</v>
      </c>
      <c r="F1254" s="3" t="s">
        <v>25</v>
      </c>
      <c r="G1254" s="3" t="s">
        <v>25</v>
      </c>
      <c r="H1254" s="3" t="s">
        <v>34</v>
      </c>
      <c r="I1254" s="6">
        <v>44348</v>
      </c>
      <c r="J1254" s="4">
        <v>0</v>
      </c>
      <c r="K1254" s="4">
        <v>0</v>
      </c>
      <c r="L1254" s="4">
        <v>0.1</v>
      </c>
      <c r="M1254" s="4">
        <v>0.1</v>
      </c>
      <c r="N1254" s="4">
        <v>0.1</v>
      </c>
      <c r="O1254" s="4">
        <v>0.1</v>
      </c>
      <c r="P1254" s="4">
        <v>0</v>
      </c>
      <c r="Q1254" s="3" t="s">
        <v>26</v>
      </c>
      <c r="R1254" s="3">
        <v>0</v>
      </c>
      <c r="S1254" s="4">
        <v>0</v>
      </c>
      <c r="T1254" s="4">
        <v>24</v>
      </c>
      <c r="U1254" s="4">
        <v>98</v>
      </c>
      <c r="V1254" s="4">
        <f>IF(ISERROR(VLOOKUP($S$1254,'TAR FIN'!$A$1:$O$113,15,0)),0,VLOOKUP($S$1254,'TAR FIN'!$A$1:$O$113,15,0))</f>
        <v>0</v>
      </c>
      <c r="W1254" s="4">
        <f>IF(ISERROR(VLOOKUP($T$1254,'TAR FIN'!$A$1:$O$113,15,0)),0,VLOOKUP($T$1254,'TAR FIN'!$A$1:$O$113,15,0))</f>
        <v>894.12</v>
      </c>
      <c r="X1254" s="4">
        <f>IF(ISERROR(VLOOKUP($U$1254,'TAR FIN'!$A$1:$O$113,15,0)),0,VLOOKUP($U$1254,'TAR FIN'!$A$1:$O$113,15,0))</f>
        <v>365.5</v>
      </c>
      <c r="Y1254" s="4"/>
      <c r="Z1254" s="4">
        <f ca="1">('TUSD BE'!$AM$37+'TUSD BF'!$AM$37+'TUSD CVA'!$AM$37)*1</f>
        <v>1054.531052783949</v>
      </c>
      <c r="AA1254" s="4">
        <f>('TE BE'!$AA$16+'TE BF'!$AA$16+'TE CVA'!$AA$16)*1</f>
        <v>361.55013418411539</v>
      </c>
      <c r="AB1254" s="4">
        <f>$K$1254*$V$1254</f>
        <v>0</v>
      </c>
      <c r="AC1254" s="4">
        <f>$M$1254*$W$1254</f>
        <v>89.412000000000006</v>
      </c>
      <c r="AD1254" s="4">
        <f>$O$1254*$X$1254</f>
        <v>36.550000000000004</v>
      </c>
      <c r="AE1254" s="4">
        <f>$K$1254*$Y$1254</f>
        <v>0</v>
      </c>
      <c r="AF1254" s="4">
        <f ca="1">$M$1254*$Z$1254</f>
        <v>105.4531052783949</v>
      </c>
      <c r="AG1254" s="4">
        <f>$O$1254*$AA$1254</f>
        <v>36.155013418411542</v>
      </c>
    </row>
    <row r="1255" spans="1:33" ht="11.25" customHeight="1" x14ac:dyDescent="0.25">
      <c r="A1255" s="3" t="s">
        <v>21</v>
      </c>
      <c r="B1255" s="3" t="s">
        <v>22</v>
      </c>
      <c r="C1255" s="3" t="s">
        <v>33</v>
      </c>
      <c r="D1255" s="3" t="s">
        <v>24</v>
      </c>
      <c r="E1255" s="3" t="s">
        <v>24</v>
      </c>
      <c r="F1255" s="3" t="s">
        <v>25</v>
      </c>
      <c r="G1255" s="3" t="s">
        <v>25</v>
      </c>
      <c r="H1255" s="3" t="s">
        <v>34</v>
      </c>
      <c r="I1255" s="6">
        <v>44378</v>
      </c>
      <c r="J1255" s="4">
        <v>0</v>
      </c>
      <c r="K1255" s="4">
        <v>0</v>
      </c>
      <c r="L1255" s="4">
        <v>8.8780000000000001</v>
      </c>
      <c r="M1255" s="4">
        <v>8.8780000000000001</v>
      </c>
      <c r="N1255" s="4">
        <v>8.8780000000000001</v>
      </c>
      <c r="O1255" s="4">
        <v>8.8780000000000001</v>
      </c>
      <c r="P1255" s="4">
        <v>0</v>
      </c>
      <c r="Q1255" s="3" t="s">
        <v>26</v>
      </c>
      <c r="R1255" s="3">
        <v>0</v>
      </c>
      <c r="S1255" s="4">
        <v>0</v>
      </c>
      <c r="T1255" s="4">
        <v>24</v>
      </c>
      <c r="U1255" s="4">
        <v>98</v>
      </c>
      <c r="V1255" s="4">
        <f>IF(ISERROR(VLOOKUP($S$1255,'TAR FIN'!$A$1:$O$113,15,0)),0,VLOOKUP($S$1255,'TAR FIN'!$A$1:$O$113,15,0))</f>
        <v>0</v>
      </c>
      <c r="W1255" s="4">
        <f>IF(ISERROR(VLOOKUP($T$1255,'TAR FIN'!$A$1:$O$113,15,0)),0,VLOOKUP($T$1255,'TAR FIN'!$A$1:$O$113,15,0))</f>
        <v>894.12</v>
      </c>
      <c r="X1255" s="4">
        <f>IF(ISERROR(VLOOKUP($U$1255,'TAR FIN'!$A$1:$O$113,15,0)),0,VLOOKUP($U$1255,'TAR FIN'!$A$1:$O$113,15,0))</f>
        <v>365.5</v>
      </c>
      <c r="Y1255" s="4"/>
      <c r="Z1255" s="4">
        <f ca="1">('TUSD BE'!$AM$37+'TUSD BF'!$AM$37+'TUSD CVA'!$AM$37)*1</f>
        <v>1054.531052783949</v>
      </c>
      <c r="AA1255" s="4">
        <f>('TE BE'!$AA$16+'TE BF'!$AA$16+'TE CVA'!$AA$16)*1</f>
        <v>361.55013418411539</v>
      </c>
      <c r="AB1255" s="4">
        <f>$K$1255*$V$1255</f>
        <v>0</v>
      </c>
      <c r="AC1255" s="4">
        <f>$M$1255*$W$1255</f>
        <v>7937.9973600000003</v>
      </c>
      <c r="AD1255" s="4">
        <f>$O$1255*$X$1255</f>
        <v>3244.9090000000001</v>
      </c>
      <c r="AE1255" s="4">
        <f>$K$1255*$Y$1255</f>
        <v>0</v>
      </c>
      <c r="AF1255" s="4">
        <f ca="1">$M$1255*$Z$1255</f>
        <v>9362.1266866158985</v>
      </c>
      <c r="AG1255" s="4">
        <f>$O$1255*$AA$1255</f>
        <v>3209.8420912865763</v>
      </c>
    </row>
    <row r="1256" spans="1:33" ht="11.25" customHeight="1" x14ac:dyDescent="0.25">
      <c r="A1256" s="3" t="s">
        <v>28</v>
      </c>
      <c r="B1256" s="3" t="s">
        <v>22</v>
      </c>
      <c r="C1256" s="3" t="s">
        <v>33</v>
      </c>
      <c r="D1256" s="3" t="s">
        <v>24</v>
      </c>
      <c r="E1256" s="3" t="s">
        <v>24</v>
      </c>
      <c r="F1256" s="3" t="s">
        <v>25</v>
      </c>
      <c r="G1256" s="3" t="s">
        <v>25</v>
      </c>
      <c r="H1256" s="3" t="s">
        <v>34</v>
      </c>
      <c r="I1256" s="6">
        <v>44378</v>
      </c>
      <c r="J1256" s="4">
        <v>0</v>
      </c>
      <c r="K1256" s="4">
        <v>0</v>
      </c>
      <c r="L1256" s="4">
        <v>6.0999999999999999E-2</v>
      </c>
      <c r="M1256" s="4">
        <v>6.0999999999999999E-2</v>
      </c>
      <c r="N1256" s="4">
        <v>6.0999999999999999E-2</v>
      </c>
      <c r="O1256" s="4">
        <v>6.0999999999999999E-2</v>
      </c>
      <c r="P1256" s="4">
        <v>0</v>
      </c>
      <c r="Q1256" s="3" t="s">
        <v>26</v>
      </c>
      <c r="R1256" s="3">
        <v>0</v>
      </c>
      <c r="S1256" s="4">
        <v>0</v>
      </c>
      <c r="T1256" s="4">
        <v>24</v>
      </c>
      <c r="U1256" s="4">
        <v>98</v>
      </c>
      <c r="V1256" s="4">
        <f>IF(ISERROR(VLOOKUP($S$1256,'TAR FIN'!$A$1:$O$113,15,0)),0,VLOOKUP($S$1256,'TAR FIN'!$A$1:$O$113,15,0))</f>
        <v>0</v>
      </c>
      <c r="W1256" s="4">
        <f>IF(ISERROR(VLOOKUP($T$1256,'TAR FIN'!$A$1:$O$113,15,0)),0,VLOOKUP($T$1256,'TAR FIN'!$A$1:$O$113,15,0))</f>
        <v>894.12</v>
      </c>
      <c r="X1256" s="4">
        <f>IF(ISERROR(VLOOKUP($U$1256,'TAR FIN'!$A$1:$O$113,15,0)),0,VLOOKUP($U$1256,'TAR FIN'!$A$1:$O$113,15,0))</f>
        <v>365.5</v>
      </c>
      <c r="Y1256" s="4"/>
      <c r="Z1256" s="4">
        <f ca="1">('TUSD BE'!$AM$37+'TUSD BF'!$AM$37+'TUSD CVA'!$AM$37)*1</f>
        <v>1054.531052783949</v>
      </c>
      <c r="AA1256" s="4">
        <f>('TE BE'!$AA$16+'TE BF'!$AA$16+'TE CVA'!$AA$16)*1</f>
        <v>361.55013418411539</v>
      </c>
      <c r="AB1256" s="4">
        <f>$K$1256*$V$1256</f>
        <v>0</v>
      </c>
      <c r="AC1256" s="4">
        <f>$M$1256*$W$1256</f>
        <v>54.541319999999999</v>
      </c>
      <c r="AD1256" s="4">
        <f>$O$1256*$X$1256</f>
        <v>22.295500000000001</v>
      </c>
      <c r="AE1256" s="4">
        <f>$K$1256*$Y$1256</f>
        <v>0</v>
      </c>
      <c r="AF1256" s="4">
        <f ca="1">$M$1256*$Z$1256</f>
        <v>64.326394219820884</v>
      </c>
      <c r="AG1256" s="4">
        <f>$O$1256*$AA$1256</f>
        <v>22.054558185231038</v>
      </c>
    </row>
    <row r="1257" spans="1:33" ht="11.25" customHeight="1" x14ac:dyDescent="0.25">
      <c r="A1257" s="3" t="s">
        <v>21</v>
      </c>
      <c r="B1257" s="3" t="s">
        <v>22</v>
      </c>
      <c r="C1257" s="3" t="s">
        <v>33</v>
      </c>
      <c r="D1257" s="3" t="s">
        <v>24</v>
      </c>
      <c r="E1257" s="3" t="s">
        <v>24</v>
      </c>
      <c r="F1257" s="3" t="s">
        <v>25</v>
      </c>
      <c r="G1257" s="3" t="s">
        <v>25</v>
      </c>
      <c r="H1257" s="3" t="s">
        <v>34</v>
      </c>
      <c r="I1257" s="6">
        <v>44409</v>
      </c>
      <c r="J1257" s="4">
        <v>0</v>
      </c>
      <c r="K1257" s="4">
        <v>0</v>
      </c>
      <c r="L1257" s="4">
        <v>8.5839999999999996</v>
      </c>
      <c r="M1257" s="4">
        <v>8.5839999999999996</v>
      </c>
      <c r="N1257" s="4">
        <v>8.5839999999999996</v>
      </c>
      <c r="O1257" s="4">
        <v>8.5839999999999996</v>
      </c>
      <c r="P1257" s="4">
        <v>0</v>
      </c>
      <c r="Q1257" s="3" t="s">
        <v>26</v>
      </c>
      <c r="R1257" s="3">
        <v>0</v>
      </c>
      <c r="S1257" s="4">
        <v>0</v>
      </c>
      <c r="T1257" s="4">
        <v>24</v>
      </c>
      <c r="U1257" s="4">
        <v>98</v>
      </c>
      <c r="V1257" s="4">
        <f>IF(ISERROR(VLOOKUP($S$1257,'TAR FIN'!$A$1:$O$113,15,0)),0,VLOOKUP($S$1257,'TAR FIN'!$A$1:$O$113,15,0))</f>
        <v>0</v>
      </c>
      <c r="W1257" s="4">
        <f>IF(ISERROR(VLOOKUP($T$1257,'TAR FIN'!$A$1:$O$113,15,0)),0,VLOOKUP($T$1257,'TAR FIN'!$A$1:$O$113,15,0))</f>
        <v>894.12</v>
      </c>
      <c r="X1257" s="4">
        <f>IF(ISERROR(VLOOKUP($U$1257,'TAR FIN'!$A$1:$O$113,15,0)),0,VLOOKUP($U$1257,'TAR FIN'!$A$1:$O$113,15,0))</f>
        <v>365.5</v>
      </c>
      <c r="Y1257" s="4"/>
      <c r="Z1257" s="4">
        <f ca="1">('TUSD BE'!$AM$37+'TUSD BF'!$AM$37+'TUSD CVA'!$AM$37)*1</f>
        <v>1054.531052783949</v>
      </c>
      <c r="AA1257" s="4">
        <f>('TE BE'!$AA$16+'TE BF'!$AA$16+'TE CVA'!$AA$16)*1</f>
        <v>361.55013418411539</v>
      </c>
      <c r="AB1257" s="4">
        <f>$K$1257*$V$1257</f>
        <v>0</v>
      </c>
      <c r="AC1257" s="4">
        <f>$M$1257*$W$1257</f>
        <v>7675.12608</v>
      </c>
      <c r="AD1257" s="4">
        <f>$O$1257*$X$1257</f>
        <v>3137.4519999999998</v>
      </c>
      <c r="AE1257" s="4">
        <f>$K$1257*$Y$1257</f>
        <v>0</v>
      </c>
      <c r="AF1257" s="4">
        <f ca="1">$M$1257*$Z$1257</f>
        <v>9052.0945570974181</v>
      </c>
      <c r="AG1257" s="4">
        <f>$O$1257*$AA$1257</f>
        <v>3103.5463518364463</v>
      </c>
    </row>
    <row r="1258" spans="1:33" ht="11.25" customHeight="1" x14ac:dyDescent="0.25">
      <c r="A1258" s="3" t="s">
        <v>28</v>
      </c>
      <c r="B1258" s="3" t="s">
        <v>22</v>
      </c>
      <c r="C1258" s="3" t="s">
        <v>33</v>
      </c>
      <c r="D1258" s="3" t="s">
        <v>24</v>
      </c>
      <c r="E1258" s="3" t="s">
        <v>24</v>
      </c>
      <c r="F1258" s="3" t="s">
        <v>25</v>
      </c>
      <c r="G1258" s="3" t="s">
        <v>25</v>
      </c>
      <c r="H1258" s="3" t="s">
        <v>34</v>
      </c>
      <c r="I1258" s="6">
        <v>44409</v>
      </c>
      <c r="J1258" s="4">
        <v>0</v>
      </c>
      <c r="K1258" s="4">
        <v>0</v>
      </c>
      <c r="L1258" s="4">
        <v>6.2E-2</v>
      </c>
      <c r="M1258" s="4">
        <v>6.2E-2</v>
      </c>
      <c r="N1258" s="4">
        <v>6.2E-2</v>
      </c>
      <c r="O1258" s="4">
        <v>6.2E-2</v>
      </c>
      <c r="P1258" s="4">
        <v>0</v>
      </c>
      <c r="Q1258" s="3" t="s">
        <v>26</v>
      </c>
      <c r="R1258" s="3">
        <v>0</v>
      </c>
      <c r="S1258" s="4">
        <v>0</v>
      </c>
      <c r="T1258" s="4">
        <v>24</v>
      </c>
      <c r="U1258" s="4">
        <v>98</v>
      </c>
      <c r="V1258" s="4">
        <f>IF(ISERROR(VLOOKUP($S$1258,'TAR FIN'!$A$1:$O$113,15,0)),0,VLOOKUP($S$1258,'TAR FIN'!$A$1:$O$113,15,0))</f>
        <v>0</v>
      </c>
      <c r="W1258" s="4">
        <f>IF(ISERROR(VLOOKUP($T$1258,'TAR FIN'!$A$1:$O$113,15,0)),0,VLOOKUP($T$1258,'TAR FIN'!$A$1:$O$113,15,0))</f>
        <v>894.12</v>
      </c>
      <c r="X1258" s="4">
        <f>IF(ISERROR(VLOOKUP($U$1258,'TAR FIN'!$A$1:$O$113,15,0)),0,VLOOKUP($U$1258,'TAR FIN'!$A$1:$O$113,15,0))</f>
        <v>365.5</v>
      </c>
      <c r="Y1258" s="4"/>
      <c r="Z1258" s="4">
        <f ca="1">('TUSD BE'!$AM$37+'TUSD BF'!$AM$37+'TUSD CVA'!$AM$37)*1</f>
        <v>1054.531052783949</v>
      </c>
      <c r="AA1258" s="4">
        <f>('TE BE'!$AA$16+'TE BF'!$AA$16+'TE CVA'!$AA$16)*1</f>
        <v>361.55013418411539</v>
      </c>
      <c r="AB1258" s="4">
        <f>$K$1258*$V$1258</f>
        <v>0</v>
      </c>
      <c r="AC1258" s="4">
        <f>$M$1258*$W$1258</f>
        <v>55.43544</v>
      </c>
      <c r="AD1258" s="4">
        <f>$O$1258*$X$1258</f>
        <v>22.661000000000001</v>
      </c>
      <c r="AE1258" s="4">
        <f>$K$1258*$Y$1258</f>
        <v>0</v>
      </c>
      <c r="AF1258" s="4">
        <f ca="1">$M$1258*$Z$1258</f>
        <v>65.380925272604841</v>
      </c>
      <c r="AG1258" s="4">
        <f>$O$1258*$AA$1258</f>
        <v>22.416108319415155</v>
      </c>
    </row>
    <row r="1259" spans="1:33" ht="11.25" customHeight="1" x14ac:dyDescent="0.25">
      <c r="A1259" s="3" t="s">
        <v>21</v>
      </c>
      <c r="B1259" s="3" t="s">
        <v>22</v>
      </c>
      <c r="C1259" s="3" t="s">
        <v>33</v>
      </c>
      <c r="D1259" s="3" t="s">
        <v>24</v>
      </c>
      <c r="E1259" s="3" t="s">
        <v>24</v>
      </c>
      <c r="F1259" s="3" t="s">
        <v>25</v>
      </c>
      <c r="G1259" s="3" t="s">
        <v>25</v>
      </c>
      <c r="H1259" s="3" t="s">
        <v>34</v>
      </c>
      <c r="I1259" s="6">
        <v>44440</v>
      </c>
      <c r="J1259" s="4">
        <v>0</v>
      </c>
      <c r="K1259" s="4">
        <v>0</v>
      </c>
      <c r="L1259" s="4">
        <v>8.6370000000000005</v>
      </c>
      <c r="M1259" s="4">
        <v>8.6370000000000005</v>
      </c>
      <c r="N1259" s="4">
        <v>8.6370000000000005</v>
      </c>
      <c r="O1259" s="4">
        <v>8.6370000000000005</v>
      </c>
      <c r="P1259" s="4">
        <v>0</v>
      </c>
      <c r="Q1259" s="3" t="s">
        <v>26</v>
      </c>
      <c r="R1259" s="3">
        <v>0</v>
      </c>
      <c r="S1259" s="4">
        <v>0</v>
      </c>
      <c r="T1259" s="4">
        <v>24</v>
      </c>
      <c r="U1259" s="4">
        <v>98</v>
      </c>
      <c r="V1259" s="4">
        <f>IF(ISERROR(VLOOKUP($S$1259,'TAR FIN'!$A$1:$O$113,15,0)),0,VLOOKUP($S$1259,'TAR FIN'!$A$1:$O$113,15,0))</f>
        <v>0</v>
      </c>
      <c r="W1259" s="4">
        <f>IF(ISERROR(VLOOKUP($T$1259,'TAR FIN'!$A$1:$O$113,15,0)),0,VLOOKUP($T$1259,'TAR FIN'!$A$1:$O$113,15,0))</f>
        <v>894.12</v>
      </c>
      <c r="X1259" s="4">
        <f>IF(ISERROR(VLOOKUP($U$1259,'TAR FIN'!$A$1:$O$113,15,0)),0,VLOOKUP($U$1259,'TAR FIN'!$A$1:$O$113,15,0))</f>
        <v>365.5</v>
      </c>
      <c r="Y1259" s="4"/>
      <c r="Z1259" s="4">
        <f ca="1">('TUSD BE'!$AM$37+'TUSD BF'!$AM$37+'TUSD CVA'!$AM$37)*1</f>
        <v>1054.531052783949</v>
      </c>
      <c r="AA1259" s="4">
        <f>('TE BE'!$AA$16+'TE BF'!$AA$16+'TE CVA'!$AA$16)*1</f>
        <v>361.55013418411539</v>
      </c>
      <c r="AB1259" s="4">
        <f>$K$1259*$V$1259</f>
        <v>0</v>
      </c>
      <c r="AC1259" s="4">
        <f>$M$1259*$W$1259</f>
        <v>7722.5144400000008</v>
      </c>
      <c r="AD1259" s="4">
        <f>$O$1259*$X$1259</f>
        <v>3156.8235</v>
      </c>
      <c r="AE1259" s="4">
        <f>$K$1259*$Y$1259</f>
        <v>0</v>
      </c>
      <c r="AF1259" s="4">
        <f ca="1">$M$1259*$Z$1259</f>
        <v>9107.984702894968</v>
      </c>
      <c r="AG1259" s="4">
        <f>$O$1259*$AA$1259</f>
        <v>3122.7085089482048</v>
      </c>
    </row>
    <row r="1260" spans="1:33" ht="11.25" customHeight="1" x14ac:dyDescent="0.25">
      <c r="A1260" s="3" t="s">
        <v>27</v>
      </c>
      <c r="B1260" s="3" t="s">
        <v>22</v>
      </c>
      <c r="C1260" s="3" t="s">
        <v>33</v>
      </c>
      <c r="D1260" s="3" t="s">
        <v>24</v>
      </c>
      <c r="E1260" s="3" t="s">
        <v>24</v>
      </c>
      <c r="F1260" s="3" t="s">
        <v>25</v>
      </c>
      <c r="G1260" s="3" t="s">
        <v>25</v>
      </c>
      <c r="H1260" s="3" t="s">
        <v>34</v>
      </c>
      <c r="I1260" s="6">
        <v>44440</v>
      </c>
      <c r="J1260" s="4">
        <v>0</v>
      </c>
      <c r="K1260" s="4">
        <v>0</v>
      </c>
      <c r="L1260" s="4">
        <v>-2.9000000000000001E-2</v>
      </c>
      <c r="M1260" s="4">
        <v>-2.9000000000000001E-2</v>
      </c>
      <c r="N1260" s="4">
        <v>-2.9000000000000001E-2</v>
      </c>
      <c r="O1260" s="4">
        <v>-2.9000000000000001E-2</v>
      </c>
      <c r="P1260" s="4">
        <v>0</v>
      </c>
      <c r="Q1260" s="3" t="s">
        <v>26</v>
      </c>
      <c r="R1260" s="3">
        <v>0</v>
      </c>
      <c r="S1260" s="4">
        <v>0</v>
      </c>
      <c r="T1260" s="4">
        <v>24</v>
      </c>
      <c r="U1260" s="4">
        <v>98</v>
      </c>
      <c r="V1260" s="4">
        <f>IF(ISERROR(VLOOKUP($S$1260,'TAR FIN'!$A$1:$O$113,15,0)),0,VLOOKUP($S$1260,'TAR FIN'!$A$1:$O$113,15,0))</f>
        <v>0</v>
      </c>
      <c r="W1260" s="4">
        <f>IF(ISERROR(VLOOKUP($T$1260,'TAR FIN'!$A$1:$O$113,15,0)),0,VLOOKUP($T$1260,'TAR FIN'!$A$1:$O$113,15,0))</f>
        <v>894.12</v>
      </c>
      <c r="X1260" s="4">
        <f>IF(ISERROR(VLOOKUP($U$1260,'TAR FIN'!$A$1:$O$113,15,0)),0,VLOOKUP($U$1260,'TAR FIN'!$A$1:$O$113,15,0))</f>
        <v>365.5</v>
      </c>
      <c r="Y1260" s="4"/>
      <c r="Z1260" s="4">
        <f ca="1">('TUSD BE'!$AM$37+'TUSD BF'!$AM$37+'TUSD CVA'!$AM$37)*1</f>
        <v>1054.531052783949</v>
      </c>
      <c r="AA1260" s="4">
        <f>('TE BE'!$AA$16+'TE BF'!$AA$16+'TE CVA'!$AA$16)*1</f>
        <v>361.55013418411539</v>
      </c>
      <c r="AB1260" s="4">
        <f>$K$1260*$V$1260</f>
        <v>0</v>
      </c>
      <c r="AC1260" s="4">
        <f>$M$1260*$W$1260</f>
        <v>-25.929480000000002</v>
      </c>
      <c r="AD1260" s="4">
        <f>$O$1260*$X$1260</f>
        <v>-10.599500000000001</v>
      </c>
      <c r="AE1260" s="4">
        <f>$K$1260*$Y$1260</f>
        <v>0</v>
      </c>
      <c r="AF1260" s="4">
        <f ca="1">$M$1260*$Z$1260</f>
        <v>-30.581400530734523</v>
      </c>
      <c r="AG1260" s="4">
        <f>$O$1260*$AA$1260</f>
        <v>-10.484953891339346</v>
      </c>
    </row>
    <row r="1261" spans="1:33" ht="11.25" customHeight="1" x14ac:dyDescent="0.25">
      <c r="A1261" s="3" t="s">
        <v>28</v>
      </c>
      <c r="B1261" s="3" t="s">
        <v>22</v>
      </c>
      <c r="C1261" s="3" t="s">
        <v>33</v>
      </c>
      <c r="D1261" s="3" t="s">
        <v>24</v>
      </c>
      <c r="E1261" s="3" t="s">
        <v>24</v>
      </c>
      <c r="F1261" s="3" t="s">
        <v>25</v>
      </c>
      <c r="G1261" s="3" t="s">
        <v>25</v>
      </c>
      <c r="H1261" s="3" t="s">
        <v>34</v>
      </c>
      <c r="I1261" s="6">
        <v>44440</v>
      </c>
      <c r="J1261" s="4">
        <v>0</v>
      </c>
      <c r="K1261" s="4">
        <v>0</v>
      </c>
      <c r="L1261" s="4">
        <v>6.6000000000000003E-2</v>
      </c>
      <c r="M1261" s="4">
        <v>6.6000000000000003E-2</v>
      </c>
      <c r="N1261" s="4">
        <v>6.6000000000000003E-2</v>
      </c>
      <c r="O1261" s="4">
        <v>6.6000000000000003E-2</v>
      </c>
      <c r="P1261" s="4">
        <v>0</v>
      </c>
      <c r="Q1261" s="3" t="s">
        <v>26</v>
      </c>
      <c r="R1261" s="3">
        <v>0</v>
      </c>
      <c r="S1261" s="4">
        <v>0</v>
      </c>
      <c r="T1261" s="4">
        <v>24</v>
      </c>
      <c r="U1261" s="4">
        <v>98</v>
      </c>
      <c r="V1261" s="4">
        <f>IF(ISERROR(VLOOKUP($S$1261,'TAR FIN'!$A$1:$O$113,15,0)),0,VLOOKUP($S$1261,'TAR FIN'!$A$1:$O$113,15,0))</f>
        <v>0</v>
      </c>
      <c r="W1261" s="4">
        <f>IF(ISERROR(VLOOKUP($T$1261,'TAR FIN'!$A$1:$O$113,15,0)),0,VLOOKUP($T$1261,'TAR FIN'!$A$1:$O$113,15,0))</f>
        <v>894.12</v>
      </c>
      <c r="X1261" s="4">
        <f>IF(ISERROR(VLOOKUP($U$1261,'TAR FIN'!$A$1:$O$113,15,0)),0,VLOOKUP($U$1261,'TAR FIN'!$A$1:$O$113,15,0))</f>
        <v>365.5</v>
      </c>
      <c r="Y1261" s="4"/>
      <c r="Z1261" s="4">
        <f ca="1">('TUSD BE'!$AM$37+'TUSD BF'!$AM$37+'TUSD CVA'!$AM$37)*1</f>
        <v>1054.531052783949</v>
      </c>
      <c r="AA1261" s="4">
        <f>('TE BE'!$AA$16+'TE BF'!$AA$16+'TE CVA'!$AA$16)*1</f>
        <v>361.55013418411539</v>
      </c>
      <c r="AB1261" s="4">
        <f>$K$1261*$V$1261</f>
        <v>0</v>
      </c>
      <c r="AC1261" s="4">
        <f>$M$1261*$W$1261</f>
        <v>59.011920000000003</v>
      </c>
      <c r="AD1261" s="4">
        <f>$O$1261*$X$1261</f>
        <v>24.123000000000001</v>
      </c>
      <c r="AE1261" s="4">
        <f>$K$1261*$Y$1261</f>
        <v>0</v>
      </c>
      <c r="AF1261" s="4">
        <f ca="1">$M$1261*$Z$1261</f>
        <v>69.599049483740643</v>
      </c>
      <c r="AG1261" s="4">
        <f>$O$1261*$AA$1261</f>
        <v>23.862308856151618</v>
      </c>
    </row>
    <row r="1262" spans="1:33" ht="11.25" customHeight="1" x14ac:dyDescent="0.25">
      <c r="A1262" s="3" t="s">
        <v>21</v>
      </c>
      <c r="B1262" s="3" t="s">
        <v>22</v>
      </c>
      <c r="C1262" s="3" t="s">
        <v>33</v>
      </c>
      <c r="D1262" s="3" t="s">
        <v>24</v>
      </c>
      <c r="E1262" s="3" t="s">
        <v>24</v>
      </c>
      <c r="F1262" s="3" t="s">
        <v>25</v>
      </c>
      <c r="G1262" s="3" t="s">
        <v>25</v>
      </c>
      <c r="H1262" s="3" t="s">
        <v>34</v>
      </c>
      <c r="I1262" s="6">
        <v>44470</v>
      </c>
      <c r="J1262" s="4">
        <v>0</v>
      </c>
      <c r="K1262" s="4">
        <v>0</v>
      </c>
      <c r="L1262" s="4">
        <v>8.3379999999999992</v>
      </c>
      <c r="M1262" s="4">
        <v>8.3379999999999992</v>
      </c>
      <c r="N1262" s="4">
        <v>8.3379999999999992</v>
      </c>
      <c r="O1262" s="4">
        <v>8.3379999999999992</v>
      </c>
      <c r="P1262" s="4">
        <v>0</v>
      </c>
      <c r="Q1262" s="3" t="s">
        <v>26</v>
      </c>
      <c r="R1262" s="3">
        <v>0</v>
      </c>
      <c r="S1262" s="4">
        <v>0</v>
      </c>
      <c r="T1262" s="4">
        <v>24</v>
      </c>
      <c r="U1262" s="4">
        <v>98</v>
      </c>
      <c r="V1262" s="4">
        <f>IF(ISERROR(VLOOKUP($S$1262,'TAR FIN'!$A$1:$O$113,15,0)),0,VLOOKUP($S$1262,'TAR FIN'!$A$1:$O$113,15,0))</f>
        <v>0</v>
      </c>
      <c r="W1262" s="4">
        <f>IF(ISERROR(VLOOKUP($T$1262,'TAR FIN'!$A$1:$O$113,15,0)),0,VLOOKUP($T$1262,'TAR FIN'!$A$1:$O$113,15,0))</f>
        <v>894.12</v>
      </c>
      <c r="X1262" s="4">
        <f>IF(ISERROR(VLOOKUP($U$1262,'TAR FIN'!$A$1:$O$113,15,0)),0,VLOOKUP($U$1262,'TAR FIN'!$A$1:$O$113,15,0))</f>
        <v>365.5</v>
      </c>
      <c r="Y1262" s="4"/>
      <c r="Z1262" s="4">
        <f ca="1">('TUSD BE'!$AM$37+'TUSD BF'!$AM$37+'TUSD CVA'!$AM$37)*1</f>
        <v>1054.531052783949</v>
      </c>
      <c r="AA1262" s="4">
        <f>('TE BE'!$AA$16+'TE BF'!$AA$16+'TE CVA'!$AA$16)*1</f>
        <v>361.55013418411539</v>
      </c>
      <c r="AB1262" s="4">
        <f>$K$1262*$V$1262</f>
        <v>0</v>
      </c>
      <c r="AC1262" s="4">
        <f>$M$1262*$W$1262</f>
        <v>7455.1725599999991</v>
      </c>
      <c r="AD1262" s="4">
        <f>$O$1262*$X$1262</f>
        <v>3047.5389999999998</v>
      </c>
      <c r="AE1262" s="4">
        <f>$K$1262*$Y$1262</f>
        <v>0</v>
      </c>
      <c r="AF1262" s="4">
        <f ca="1">$M$1262*$Z$1262</f>
        <v>8792.6799181125662</v>
      </c>
      <c r="AG1262" s="4">
        <f>$O$1262*$AA$1262</f>
        <v>3014.6050188271538</v>
      </c>
    </row>
    <row r="1263" spans="1:33" ht="11.25" customHeight="1" x14ac:dyDescent="0.25">
      <c r="A1263" s="3" t="s">
        <v>28</v>
      </c>
      <c r="B1263" s="3" t="s">
        <v>22</v>
      </c>
      <c r="C1263" s="3" t="s">
        <v>33</v>
      </c>
      <c r="D1263" s="3" t="s">
        <v>24</v>
      </c>
      <c r="E1263" s="3" t="s">
        <v>24</v>
      </c>
      <c r="F1263" s="3" t="s">
        <v>25</v>
      </c>
      <c r="G1263" s="3" t="s">
        <v>25</v>
      </c>
      <c r="H1263" s="3" t="s">
        <v>34</v>
      </c>
      <c r="I1263" s="6">
        <v>44470</v>
      </c>
      <c r="J1263" s="4">
        <v>0</v>
      </c>
      <c r="K1263" s="4">
        <v>0</v>
      </c>
      <c r="L1263" s="4">
        <v>0.121</v>
      </c>
      <c r="M1263" s="4">
        <v>0.121</v>
      </c>
      <c r="N1263" s="4">
        <v>0.121</v>
      </c>
      <c r="O1263" s="4">
        <v>0.121</v>
      </c>
      <c r="P1263" s="4">
        <v>0</v>
      </c>
      <c r="Q1263" s="3" t="s">
        <v>26</v>
      </c>
      <c r="R1263" s="3">
        <v>0</v>
      </c>
      <c r="S1263" s="4">
        <v>0</v>
      </c>
      <c r="T1263" s="4">
        <v>24</v>
      </c>
      <c r="U1263" s="4">
        <v>98</v>
      </c>
      <c r="V1263" s="4">
        <f>IF(ISERROR(VLOOKUP($S$1263,'TAR FIN'!$A$1:$O$113,15,0)),0,VLOOKUP($S$1263,'TAR FIN'!$A$1:$O$113,15,0))</f>
        <v>0</v>
      </c>
      <c r="W1263" s="4">
        <f>IF(ISERROR(VLOOKUP($T$1263,'TAR FIN'!$A$1:$O$113,15,0)),0,VLOOKUP($T$1263,'TAR FIN'!$A$1:$O$113,15,0))</f>
        <v>894.12</v>
      </c>
      <c r="X1263" s="4">
        <f>IF(ISERROR(VLOOKUP($U$1263,'TAR FIN'!$A$1:$O$113,15,0)),0,VLOOKUP($U$1263,'TAR FIN'!$A$1:$O$113,15,0))</f>
        <v>365.5</v>
      </c>
      <c r="Y1263" s="4"/>
      <c r="Z1263" s="4">
        <f ca="1">('TUSD BE'!$AM$37+'TUSD BF'!$AM$37+'TUSD CVA'!$AM$37)*1</f>
        <v>1054.531052783949</v>
      </c>
      <c r="AA1263" s="4">
        <f>('TE BE'!$AA$16+'TE BF'!$AA$16+'TE CVA'!$AA$16)*1</f>
        <v>361.55013418411539</v>
      </c>
      <c r="AB1263" s="4">
        <f>$K$1263*$V$1263</f>
        <v>0</v>
      </c>
      <c r="AC1263" s="4">
        <f>$M$1263*$W$1263</f>
        <v>108.18852</v>
      </c>
      <c r="AD1263" s="4">
        <f>$O$1263*$X$1263</f>
        <v>44.225499999999997</v>
      </c>
      <c r="AE1263" s="4">
        <f>$K$1263*$Y$1263</f>
        <v>0</v>
      </c>
      <c r="AF1263" s="4">
        <f ca="1">$M$1263*$Z$1263</f>
        <v>127.59825738685782</v>
      </c>
      <c r="AG1263" s="4">
        <f>$O$1263*$AA$1263</f>
        <v>43.747566236277962</v>
      </c>
    </row>
    <row r="1264" spans="1:33" ht="11.25" customHeight="1" x14ac:dyDescent="0.25">
      <c r="A1264" s="3" t="s">
        <v>21</v>
      </c>
      <c r="B1264" s="3" t="s">
        <v>22</v>
      </c>
      <c r="C1264" s="3" t="s">
        <v>33</v>
      </c>
      <c r="D1264" s="3" t="s">
        <v>24</v>
      </c>
      <c r="E1264" s="3" t="s">
        <v>24</v>
      </c>
      <c r="F1264" s="3" t="s">
        <v>25</v>
      </c>
      <c r="G1264" s="3" t="s">
        <v>25</v>
      </c>
      <c r="H1264" s="3" t="s">
        <v>34</v>
      </c>
      <c r="I1264" s="6">
        <v>44501</v>
      </c>
      <c r="J1264" s="4">
        <v>0</v>
      </c>
      <c r="K1264" s="4">
        <v>0</v>
      </c>
      <c r="L1264" s="4">
        <v>7.7969999999999997</v>
      </c>
      <c r="M1264" s="4">
        <v>7.7969999999999997</v>
      </c>
      <c r="N1264" s="4">
        <v>7.7969999999999997</v>
      </c>
      <c r="O1264" s="4">
        <v>7.7969999999999997</v>
      </c>
      <c r="P1264" s="4">
        <v>0</v>
      </c>
      <c r="Q1264" s="3" t="s">
        <v>26</v>
      </c>
      <c r="R1264" s="3">
        <v>0</v>
      </c>
      <c r="S1264" s="4">
        <v>0</v>
      </c>
      <c r="T1264" s="4">
        <v>24</v>
      </c>
      <c r="U1264" s="4">
        <v>98</v>
      </c>
      <c r="V1264" s="4">
        <f>IF(ISERROR(VLOOKUP($S$1264,'TAR FIN'!$A$1:$O$113,15,0)),0,VLOOKUP($S$1264,'TAR FIN'!$A$1:$O$113,15,0))</f>
        <v>0</v>
      </c>
      <c r="W1264" s="4">
        <f>IF(ISERROR(VLOOKUP($T$1264,'TAR FIN'!$A$1:$O$113,15,0)),0,VLOOKUP($T$1264,'TAR FIN'!$A$1:$O$113,15,0))</f>
        <v>894.12</v>
      </c>
      <c r="X1264" s="4">
        <f>IF(ISERROR(VLOOKUP($U$1264,'TAR FIN'!$A$1:$O$113,15,0)),0,VLOOKUP($U$1264,'TAR FIN'!$A$1:$O$113,15,0))</f>
        <v>365.5</v>
      </c>
      <c r="Y1264" s="4"/>
      <c r="Z1264" s="4">
        <f ca="1">('TUSD BE'!$AM$37+'TUSD BF'!$AM$37+'TUSD CVA'!$AM$37)*1</f>
        <v>1054.531052783949</v>
      </c>
      <c r="AA1264" s="4">
        <f>('TE BE'!$AA$16+'TE BF'!$AA$16+'TE CVA'!$AA$16)*1</f>
        <v>361.55013418411539</v>
      </c>
      <c r="AB1264" s="4">
        <f>$K$1264*$V$1264</f>
        <v>0</v>
      </c>
      <c r="AC1264" s="4">
        <f>$M$1264*$W$1264</f>
        <v>6971.4536399999997</v>
      </c>
      <c r="AD1264" s="4">
        <f>$O$1264*$X$1264</f>
        <v>2849.8035</v>
      </c>
      <c r="AE1264" s="4">
        <f>$K$1264*$Y$1264</f>
        <v>0</v>
      </c>
      <c r="AF1264" s="4">
        <f ca="1">$M$1264*$Z$1264</f>
        <v>8222.1786185564506</v>
      </c>
      <c r="AG1264" s="4">
        <f>$O$1264*$AA$1264</f>
        <v>2819.0063962335475</v>
      </c>
    </row>
    <row r="1265" spans="1:33" ht="11.25" customHeight="1" x14ac:dyDescent="0.25">
      <c r="A1265" s="3" t="s">
        <v>28</v>
      </c>
      <c r="B1265" s="3" t="s">
        <v>22</v>
      </c>
      <c r="C1265" s="3" t="s">
        <v>33</v>
      </c>
      <c r="D1265" s="3" t="s">
        <v>24</v>
      </c>
      <c r="E1265" s="3" t="s">
        <v>24</v>
      </c>
      <c r="F1265" s="3" t="s">
        <v>25</v>
      </c>
      <c r="G1265" s="3" t="s">
        <v>25</v>
      </c>
      <c r="H1265" s="3" t="s">
        <v>34</v>
      </c>
      <c r="I1265" s="6">
        <v>44501</v>
      </c>
      <c r="J1265" s="4">
        <v>0</v>
      </c>
      <c r="K1265" s="4">
        <v>0</v>
      </c>
      <c r="L1265" s="4">
        <v>0.22800000000000001</v>
      </c>
      <c r="M1265" s="4">
        <v>0.22800000000000001</v>
      </c>
      <c r="N1265" s="4">
        <v>0.22800000000000001</v>
      </c>
      <c r="O1265" s="4">
        <v>0.22800000000000001</v>
      </c>
      <c r="P1265" s="4">
        <v>0</v>
      </c>
      <c r="Q1265" s="3" t="s">
        <v>26</v>
      </c>
      <c r="R1265" s="3">
        <v>0</v>
      </c>
      <c r="S1265" s="4">
        <v>0</v>
      </c>
      <c r="T1265" s="4">
        <v>24</v>
      </c>
      <c r="U1265" s="4">
        <v>98</v>
      </c>
      <c r="V1265" s="4">
        <f>IF(ISERROR(VLOOKUP($S$1265,'TAR FIN'!$A$1:$O$113,15,0)),0,VLOOKUP($S$1265,'TAR FIN'!$A$1:$O$113,15,0))</f>
        <v>0</v>
      </c>
      <c r="W1265" s="4">
        <f>IF(ISERROR(VLOOKUP($T$1265,'TAR FIN'!$A$1:$O$113,15,0)),0,VLOOKUP($T$1265,'TAR FIN'!$A$1:$O$113,15,0))</f>
        <v>894.12</v>
      </c>
      <c r="X1265" s="4">
        <f>IF(ISERROR(VLOOKUP($U$1265,'TAR FIN'!$A$1:$O$113,15,0)),0,VLOOKUP($U$1265,'TAR FIN'!$A$1:$O$113,15,0))</f>
        <v>365.5</v>
      </c>
      <c r="Y1265" s="4"/>
      <c r="Z1265" s="4">
        <f ca="1">('TUSD BE'!$AM$37+'TUSD BF'!$AM$37+'TUSD CVA'!$AM$37)*1</f>
        <v>1054.531052783949</v>
      </c>
      <c r="AA1265" s="4">
        <f>('TE BE'!$AA$16+'TE BF'!$AA$16+'TE CVA'!$AA$16)*1</f>
        <v>361.55013418411539</v>
      </c>
      <c r="AB1265" s="4">
        <f>$K$1265*$V$1265</f>
        <v>0</v>
      </c>
      <c r="AC1265" s="4">
        <f>$M$1265*$W$1265</f>
        <v>203.85936000000001</v>
      </c>
      <c r="AD1265" s="4">
        <f>$O$1265*$X$1265</f>
        <v>83.334000000000003</v>
      </c>
      <c r="AE1265" s="4">
        <f>$K$1265*$Y$1265</f>
        <v>0</v>
      </c>
      <c r="AF1265" s="4">
        <f ca="1">$M$1265*$Z$1265</f>
        <v>240.43308003474039</v>
      </c>
      <c r="AG1265" s="4">
        <f>$O$1265*$AA$1265</f>
        <v>82.433430593978315</v>
      </c>
    </row>
    <row r="1266" spans="1:33" ht="11.25" customHeight="1" x14ac:dyDescent="0.25">
      <c r="A1266" s="3" t="s">
        <v>21</v>
      </c>
      <c r="B1266" s="3" t="s">
        <v>22</v>
      </c>
      <c r="C1266" s="3" t="s">
        <v>33</v>
      </c>
      <c r="D1266" s="3" t="s">
        <v>24</v>
      </c>
      <c r="E1266" s="3" t="s">
        <v>24</v>
      </c>
      <c r="F1266" s="3" t="s">
        <v>25</v>
      </c>
      <c r="G1266" s="3" t="s">
        <v>25</v>
      </c>
      <c r="H1266" s="3" t="s">
        <v>34</v>
      </c>
      <c r="I1266" s="6">
        <v>44531</v>
      </c>
      <c r="J1266" s="4">
        <v>0</v>
      </c>
      <c r="K1266" s="4">
        <v>0</v>
      </c>
      <c r="L1266" s="4">
        <v>10.634</v>
      </c>
      <c r="M1266" s="4">
        <v>10.634</v>
      </c>
      <c r="N1266" s="4">
        <v>10.634</v>
      </c>
      <c r="O1266" s="4">
        <v>10.634</v>
      </c>
      <c r="P1266" s="4">
        <v>0</v>
      </c>
      <c r="Q1266" s="3" t="s">
        <v>26</v>
      </c>
      <c r="R1266" s="3">
        <v>0</v>
      </c>
      <c r="S1266" s="4">
        <v>0</v>
      </c>
      <c r="T1266" s="4">
        <v>24</v>
      </c>
      <c r="U1266" s="4">
        <v>98</v>
      </c>
      <c r="V1266" s="4">
        <f>IF(ISERROR(VLOOKUP($S$1266,'TAR FIN'!$A$1:$O$113,15,0)),0,VLOOKUP($S$1266,'TAR FIN'!$A$1:$O$113,15,0))</f>
        <v>0</v>
      </c>
      <c r="W1266" s="4">
        <f>IF(ISERROR(VLOOKUP($T$1266,'TAR FIN'!$A$1:$O$113,15,0)),0,VLOOKUP($T$1266,'TAR FIN'!$A$1:$O$113,15,0))</f>
        <v>894.12</v>
      </c>
      <c r="X1266" s="4">
        <f>IF(ISERROR(VLOOKUP($U$1266,'TAR FIN'!$A$1:$O$113,15,0)),0,VLOOKUP($U$1266,'TAR FIN'!$A$1:$O$113,15,0))</f>
        <v>365.5</v>
      </c>
      <c r="Y1266" s="4"/>
      <c r="Z1266" s="4">
        <f ca="1">('TUSD BE'!$AM$37+'TUSD BF'!$AM$37+'TUSD CVA'!$AM$37)*1</f>
        <v>1054.531052783949</v>
      </c>
      <c r="AA1266" s="4">
        <f>('TE BE'!$AA$16+'TE BF'!$AA$16+'TE CVA'!$AA$16)*1</f>
        <v>361.55013418411539</v>
      </c>
      <c r="AB1266" s="4">
        <f>$K$1266*$V$1266</f>
        <v>0</v>
      </c>
      <c r="AC1266" s="4">
        <f>$M$1266*$W$1266</f>
        <v>9508.0720799999999</v>
      </c>
      <c r="AD1266" s="4">
        <f>$O$1266*$X$1266</f>
        <v>3886.7270000000003</v>
      </c>
      <c r="AE1266" s="4">
        <f>$K$1266*$Y$1266</f>
        <v>0</v>
      </c>
      <c r="AF1266" s="4">
        <f ca="1">$M$1266*$Z$1266</f>
        <v>11213.883215304513</v>
      </c>
      <c r="AG1266" s="4">
        <f>$O$1266*$AA$1266</f>
        <v>3844.7241269138831</v>
      </c>
    </row>
    <row r="1267" spans="1:33" ht="11.25" customHeight="1" x14ac:dyDescent="0.25">
      <c r="A1267" s="3" t="s">
        <v>27</v>
      </c>
      <c r="B1267" s="3" t="s">
        <v>22</v>
      </c>
      <c r="C1267" s="3" t="s">
        <v>33</v>
      </c>
      <c r="D1267" s="3" t="s">
        <v>24</v>
      </c>
      <c r="E1267" s="3" t="s">
        <v>24</v>
      </c>
      <c r="F1267" s="3" t="s">
        <v>25</v>
      </c>
      <c r="G1267" s="3" t="s">
        <v>25</v>
      </c>
      <c r="H1267" s="3" t="s">
        <v>34</v>
      </c>
      <c r="I1267" s="6">
        <v>44531</v>
      </c>
      <c r="J1267" s="4">
        <v>0</v>
      </c>
      <c r="K1267" s="4">
        <v>0</v>
      </c>
      <c r="L1267" s="4">
        <v>2E-3</v>
      </c>
      <c r="M1267" s="4">
        <v>2E-3</v>
      </c>
      <c r="N1267" s="4">
        <v>2E-3</v>
      </c>
      <c r="O1267" s="4">
        <v>2E-3</v>
      </c>
      <c r="P1267" s="4">
        <v>0</v>
      </c>
      <c r="Q1267" s="3" t="s">
        <v>26</v>
      </c>
      <c r="R1267" s="3">
        <v>0</v>
      </c>
      <c r="S1267" s="4">
        <v>0</v>
      </c>
      <c r="T1267" s="4">
        <v>24</v>
      </c>
      <c r="U1267" s="4">
        <v>98</v>
      </c>
      <c r="V1267" s="4">
        <f>IF(ISERROR(VLOOKUP($S$1267,'TAR FIN'!$A$1:$O$113,15,0)),0,VLOOKUP($S$1267,'TAR FIN'!$A$1:$O$113,15,0))</f>
        <v>0</v>
      </c>
      <c r="W1267" s="4">
        <f>IF(ISERROR(VLOOKUP($T$1267,'TAR FIN'!$A$1:$O$113,15,0)),0,VLOOKUP($T$1267,'TAR FIN'!$A$1:$O$113,15,0))</f>
        <v>894.12</v>
      </c>
      <c r="X1267" s="4">
        <f>IF(ISERROR(VLOOKUP($U$1267,'TAR FIN'!$A$1:$O$113,15,0)),0,VLOOKUP($U$1267,'TAR FIN'!$A$1:$O$113,15,0))</f>
        <v>365.5</v>
      </c>
      <c r="Y1267" s="4"/>
      <c r="Z1267" s="4">
        <f ca="1">('TUSD BE'!$AM$37+'TUSD BF'!$AM$37+'TUSD CVA'!$AM$37)*1</f>
        <v>1054.531052783949</v>
      </c>
      <c r="AA1267" s="4">
        <f>('TE BE'!$AA$16+'TE BF'!$AA$16+'TE CVA'!$AA$16)*1</f>
        <v>361.55013418411539</v>
      </c>
      <c r="AB1267" s="4">
        <f>$K$1267*$V$1267</f>
        <v>0</v>
      </c>
      <c r="AC1267" s="4">
        <f>$M$1267*$W$1267</f>
        <v>1.7882400000000001</v>
      </c>
      <c r="AD1267" s="4">
        <f>$O$1267*$X$1267</f>
        <v>0.73099999999999998</v>
      </c>
      <c r="AE1267" s="4">
        <f>$K$1267*$Y$1267</f>
        <v>0</v>
      </c>
      <c r="AF1267" s="4">
        <f ca="1">$M$1267*$Z$1267</f>
        <v>2.1090621055678982</v>
      </c>
      <c r="AG1267" s="4">
        <f>$O$1267*$AA$1267</f>
        <v>0.72310026836823083</v>
      </c>
    </row>
    <row r="1268" spans="1:33" ht="11.25" customHeight="1" x14ac:dyDescent="0.25">
      <c r="A1268" s="3" t="s">
        <v>28</v>
      </c>
      <c r="B1268" s="3" t="s">
        <v>22</v>
      </c>
      <c r="C1268" s="3" t="s">
        <v>33</v>
      </c>
      <c r="D1268" s="3" t="s">
        <v>24</v>
      </c>
      <c r="E1268" s="3" t="s">
        <v>24</v>
      </c>
      <c r="F1268" s="3" t="s">
        <v>25</v>
      </c>
      <c r="G1268" s="3" t="s">
        <v>25</v>
      </c>
      <c r="H1268" s="3" t="s">
        <v>34</v>
      </c>
      <c r="I1268" s="6">
        <v>44531</v>
      </c>
      <c r="J1268" s="4">
        <v>0</v>
      </c>
      <c r="K1268" s="4">
        <v>0</v>
      </c>
      <c r="L1268" s="4">
        <v>0.23699999999999999</v>
      </c>
      <c r="M1268" s="4">
        <v>0.23699999999999999</v>
      </c>
      <c r="N1268" s="4">
        <v>0.23699999999999999</v>
      </c>
      <c r="O1268" s="4">
        <v>0.23699999999999999</v>
      </c>
      <c r="P1268" s="4">
        <v>0</v>
      </c>
      <c r="Q1268" s="3" t="s">
        <v>26</v>
      </c>
      <c r="R1268" s="3">
        <v>0</v>
      </c>
      <c r="S1268" s="4">
        <v>0</v>
      </c>
      <c r="T1268" s="4">
        <v>24</v>
      </c>
      <c r="U1268" s="4">
        <v>98</v>
      </c>
      <c r="V1268" s="4">
        <f>IF(ISERROR(VLOOKUP($S$1268,'TAR FIN'!$A$1:$O$113,15,0)),0,VLOOKUP($S$1268,'TAR FIN'!$A$1:$O$113,15,0))</f>
        <v>0</v>
      </c>
      <c r="W1268" s="4">
        <f>IF(ISERROR(VLOOKUP($T$1268,'TAR FIN'!$A$1:$O$113,15,0)),0,VLOOKUP($T$1268,'TAR FIN'!$A$1:$O$113,15,0))</f>
        <v>894.12</v>
      </c>
      <c r="X1268" s="4">
        <f>IF(ISERROR(VLOOKUP($U$1268,'TAR FIN'!$A$1:$O$113,15,0)),0,VLOOKUP($U$1268,'TAR FIN'!$A$1:$O$113,15,0))</f>
        <v>365.5</v>
      </c>
      <c r="Y1268" s="4"/>
      <c r="Z1268" s="4">
        <f ca="1">('TUSD BE'!$AM$37+'TUSD BF'!$AM$37+'TUSD CVA'!$AM$37)*1</f>
        <v>1054.531052783949</v>
      </c>
      <c r="AA1268" s="4">
        <f>('TE BE'!$AA$16+'TE BF'!$AA$16+'TE CVA'!$AA$16)*1</f>
        <v>361.55013418411539</v>
      </c>
      <c r="AB1268" s="4">
        <f>$K$1268*$V$1268</f>
        <v>0</v>
      </c>
      <c r="AC1268" s="4">
        <f>$M$1268*$W$1268</f>
        <v>211.90644</v>
      </c>
      <c r="AD1268" s="4">
        <f>$O$1268*$X$1268</f>
        <v>86.623499999999993</v>
      </c>
      <c r="AE1268" s="4">
        <f>$K$1268*$Y$1268</f>
        <v>0</v>
      </c>
      <c r="AF1268" s="4">
        <f ca="1">$M$1268*$Z$1268</f>
        <v>249.9238595097959</v>
      </c>
      <c r="AG1268" s="4">
        <f>$O$1268*$AA$1268</f>
        <v>85.68738180163534</v>
      </c>
    </row>
    <row r="1269" spans="1:33" ht="11.25" customHeight="1" x14ac:dyDescent="0.25">
      <c r="A1269" s="3" t="s">
        <v>21</v>
      </c>
      <c r="B1269" s="3" t="s">
        <v>22</v>
      </c>
      <c r="C1269" s="3" t="s">
        <v>33</v>
      </c>
      <c r="D1269" s="3" t="s">
        <v>24</v>
      </c>
      <c r="E1269" s="3" t="s">
        <v>24</v>
      </c>
      <c r="F1269" s="3" t="s">
        <v>25</v>
      </c>
      <c r="G1269" s="3" t="s">
        <v>25</v>
      </c>
      <c r="H1269" s="3" t="s">
        <v>34</v>
      </c>
      <c r="I1269" s="6">
        <v>44562</v>
      </c>
      <c r="J1269" s="4">
        <v>0</v>
      </c>
      <c r="K1269" s="4">
        <v>0</v>
      </c>
      <c r="L1269" s="4">
        <v>15.317</v>
      </c>
      <c r="M1269" s="4">
        <v>15.317</v>
      </c>
      <c r="N1269" s="4">
        <v>15.317</v>
      </c>
      <c r="O1269" s="4">
        <v>15.317</v>
      </c>
      <c r="P1269" s="4">
        <v>0</v>
      </c>
      <c r="Q1269" s="3" t="s">
        <v>26</v>
      </c>
      <c r="R1269" s="3">
        <v>0</v>
      </c>
      <c r="S1269" s="4">
        <v>0</v>
      </c>
      <c r="T1269" s="4">
        <v>24</v>
      </c>
      <c r="U1269" s="4">
        <v>98</v>
      </c>
      <c r="V1269" s="4">
        <f>IF(ISERROR(VLOOKUP($S$1269,'TAR FIN'!$A$1:$O$113,15,0)),0,VLOOKUP($S$1269,'TAR FIN'!$A$1:$O$113,15,0))</f>
        <v>0</v>
      </c>
      <c r="W1269" s="4">
        <f>IF(ISERROR(VLOOKUP($T$1269,'TAR FIN'!$A$1:$O$113,15,0)),0,VLOOKUP($T$1269,'TAR FIN'!$A$1:$O$113,15,0))</f>
        <v>894.12</v>
      </c>
      <c r="X1269" s="4">
        <f>IF(ISERROR(VLOOKUP($U$1269,'TAR FIN'!$A$1:$O$113,15,0)),0,VLOOKUP($U$1269,'TAR FIN'!$A$1:$O$113,15,0))</f>
        <v>365.5</v>
      </c>
      <c r="Y1269" s="4"/>
      <c r="Z1269" s="4">
        <f ca="1">('TUSD BE'!$AM$37+'TUSD BF'!$AM$37+'TUSD CVA'!$AM$37)*1</f>
        <v>1054.531052783949</v>
      </c>
      <c r="AA1269" s="4">
        <f>('TE BE'!$AA$16+'TE BF'!$AA$16+'TE CVA'!$AA$16)*1</f>
        <v>361.55013418411539</v>
      </c>
      <c r="AB1269" s="4">
        <f>$K$1269*$V$1269</f>
        <v>0</v>
      </c>
      <c r="AC1269" s="4">
        <f>$M$1269*$W$1269</f>
        <v>13695.23604</v>
      </c>
      <c r="AD1269" s="4">
        <f>$O$1269*$X$1269</f>
        <v>5598.3635000000004</v>
      </c>
      <c r="AE1269" s="4">
        <f>$K$1269*$Y$1269</f>
        <v>0</v>
      </c>
      <c r="AF1269" s="4">
        <f ca="1">$M$1269*$Z$1269</f>
        <v>16152.252135491746</v>
      </c>
      <c r="AG1269" s="4">
        <f>$O$1269*$AA$1269</f>
        <v>5537.8634052980951</v>
      </c>
    </row>
    <row r="1270" spans="1:33" ht="11.25" customHeight="1" x14ac:dyDescent="0.25">
      <c r="A1270" s="3" t="s">
        <v>28</v>
      </c>
      <c r="B1270" s="3" t="s">
        <v>22</v>
      </c>
      <c r="C1270" s="3" t="s">
        <v>33</v>
      </c>
      <c r="D1270" s="3" t="s">
        <v>24</v>
      </c>
      <c r="E1270" s="3" t="s">
        <v>24</v>
      </c>
      <c r="F1270" s="3" t="s">
        <v>25</v>
      </c>
      <c r="G1270" s="3" t="s">
        <v>25</v>
      </c>
      <c r="H1270" s="3" t="s">
        <v>34</v>
      </c>
      <c r="I1270" s="6">
        <v>44562</v>
      </c>
      <c r="J1270" s="4">
        <v>0</v>
      </c>
      <c r="K1270" s="4">
        <v>0</v>
      </c>
      <c r="L1270" s="4">
        <v>0.217</v>
      </c>
      <c r="M1270" s="4">
        <v>0.217</v>
      </c>
      <c r="N1270" s="4">
        <v>0.217</v>
      </c>
      <c r="O1270" s="4">
        <v>0.217</v>
      </c>
      <c r="P1270" s="4">
        <v>0</v>
      </c>
      <c r="Q1270" s="3" t="s">
        <v>26</v>
      </c>
      <c r="R1270" s="3">
        <v>0</v>
      </c>
      <c r="S1270" s="4">
        <v>0</v>
      </c>
      <c r="T1270" s="4">
        <v>24</v>
      </c>
      <c r="U1270" s="4">
        <v>98</v>
      </c>
      <c r="V1270" s="4">
        <f>IF(ISERROR(VLOOKUP($S$1270,'TAR FIN'!$A$1:$O$113,15,0)),0,VLOOKUP($S$1270,'TAR FIN'!$A$1:$O$113,15,0))</f>
        <v>0</v>
      </c>
      <c r="W1270" s="4">
        <f>IF(ISERROR(VLOOKUP($T$1270,'TAR FIN'!$A$1:$O$113,15,0)),0,VLOOKUP($T$1270,'TAR FIN'!$A$1:$O$113,15,0))</f>
        <v>894.12</v>
      </c>
      <c r="X1270" s="4">
        <f>IF(ISERROR(VLOOKUP($U$1270,'TAR FIN'!$A$1:$O$113,15,0)),0,VLOOKUP($U$1270,'TAR FIN'!$A$1:$O$113,15,0))</f>
        <v>365.5</v>
      </c>
      <c r="Y1270" s="4"/>
      <c r="Z1270" s="4">
        <f ca="1">('TUSD BE'!$AM$37+'TUSD BF'!$AM$37+'TUSD CVA'!$AM$37)*1</f>
        <v>1054.531052783949</v>
      </c>
      <c r="AA1270" s="4">
        <f>('TE BE'!$AA$16+'TE BF'!$AA$16+'TE CVA'!$AA$16)*1</f>
        <v>361.55013418411539</v>
      </c>
      <c r="AB1270" s="4">
        <f>$K$1270*$V$1270</f>
        <v>0</v>
      </c>
      <c r="AC1270" s="4">
        <f>$M$1270*$W$1270</f>
        <v>194.02404000000001</v>
      </c>
      <c r="AD1270" s="4">
        <f>$O$1270*$X$1270</f>
        <v>79.313500000000005</v>
      </c>
      <c r="AE1270" s="4">
        <f>$K$1270*$Y$1270</f>
        <v>0</v>
      </c>
      <c r="AF1270" s="4">
        <f ca="1">$M$1270*$Z$1270</f>
        <v>228.83323845411692</v>
      </c>
      <c r="AG1270" s="4">
        <f>$O$1270*$AA$1270</f>
        <v>78.456379117953034</v>
      </c>
    </row>
    <row r="1271" spans="1:33" ht="11.25" customHeight="1" x14ac:dyDescent="0.25">
      <c r="A1271" s="3" t="s">
        <v>21</v>
      </c>
      <c r="B1271" s="3" t="s">
        <v>22</v>
      </c>
      <c r="C1271" s="3" t="s">
        <v>33</v>
      </c>
      <c r="D1271" s="3" t="s">
        <v>24</v>
      </c>
      <c r="E1271" s="3" t="s">
        <v>24</v>
      </c>
      <c r="F1271" s="3" t="s">
        <v>25</v>
      </c>
      <c r="G1271" s="3" t="s">
        <v>25</v>
      </c>
      <c r="H1271" s="3" t="s">
        <v>34</v>
      </c>
      <c r="I1271" s="6">
        <v>44593</v>
      </c>
      <c r="J1271" s="4">
        <v>0</v>
      </c>
      <c r="K1271" s="4">
        <v>0</v>
      </c>
      <c r="L1271" s="4">
        <v>12.66</v>
      </c>
      <c r="M1271" s="4">
        <v>12.66</v>
      </c>
      <c r="N1271" s="4">
        <v>12.66</v>
      </c>
      <c r="O1271" s="4">
        <v>12.66</v>
      </c>
      <c r="P1271" s="4">
        <v>0</v>
      </c>
      <c r="Q1271" s="3" t="s">
        <v>26</v>
      </c>
      <c r="R1271" s="3">
        <v>0</v>
      </c>
      <c r="S1271" s="4">
        <v>0</v>
      </c>
      <c r="T1271" s="4">
        <v>24</v>
      </c>
      <c r="U1271" s="4">
        <v>98</v>
      </c>
      <c r="V1271" s="4">
        <f>IF(ISERROR(VLOOKUP($S$1271,'TAR FIN'!$A$1:$O$113,15,0)),0,VLOOKUP($S$1271,'TAR FIN'!$A$1:$O$113,15,0))</f>
        <v>0</v>
      </c>
      <c r="W1271" s="4">
        <f>IF(ISERROR(VLOOKUP($T$1271,'TAR FIN'!$A$1:$O$113,15,0)),0,VLOOKUP($T$1271,'TAR FIN'!$A$1:$O$113,15,0))</f>
        <v>894.12</v>
      </c>
      <c r="X1271" s="4">
        <f>IF(ISERROR(VLOOKUP($U$1271,'TAR FIN'!$A$1:$O$113,15,0)),0,VLOOKUP($U$1271,'TAR FIN'!$A$1:$O$113,15,0))</f>
        <v>365.5</v>
      </c>
      <c r="Y1271" s="4"/>
      <c r="Z1271" s="4">
        <f ca="1">('TUSD BE'!$AM$37+'TUSD BF'!$AM$37+'TUSD CVA'!$AM$37)*1</f>
        <v>1054.531052783949</v>
      </c>
      <c r="AA1271" s="4">
        <f>('TE BE'!$AA$16+'TE BF'!$AA$16+'TE CVA'!$AA$16)*1</f>
        <v>361.55013418411539</v>
      </c>
      <c r="AB1271" s="4">
        <f>$K$1271*$V$1271</f>
        <v>0</v>
      </c>
      <c r="AC1271" s="4">
        <f>$M$1271*$W$1271</f>
        <v>11319.5592</v>
      </c>
      <c r="AD1271" s="4">
        <f>$O$1271*$X$1271</f>
        <v>4627.2300000000005</v>
      </c>
      <c r="AE1271" s="4">
        <f>$K$1271*$Y$1271</f>
        <v>0</v>
      </c>
      <c r="AF1271" s="4">
        <f ca="1">$M$1271*$Z$1271</f>
        <v>13350.363128244795</v>
      </c>
      <c r="AG1271" s="4">
        <f>$O$1271*$AA$1271</f>
        <v>4577.2246987709013</v>
      </c>
    </row>
    <row r="1272" spans="1:33" ht="11.25" customHeight="1" x14ac:dyDescent="0.25">
      <c r="A1272" s="3" t="s">
        <v>27</v>
      </c>
      <c r="B1272" s="3" t="s">
        <v>22</v>
      </c>
      <c r="C1272" s="3" t="s">
        <v>33</v>
      </c>
      <c r="D1272" s="3" t="s">
        <v>24</v>
      </c>
      <c r="E1272" s="3" t="s">
        <v>24</v>
      </c>
      <c r="F1272" s="3" t="s">
        <v>25</v>
      </c>
      <c r="G1272" s="3" t="s">
        <v>25</v>
      </c>
      <c r="H1272" s="3" t="s">
        <v>34</v>
      </c>
      <c r="I1272" s="6">
        <v>44593</v>
      </c>
      <c r="J1272" s="4">
        <v>0</v>
      </c>
      <c r="K1272" s="4">
        <v>0</v>
      </c>
      <c r="L1272" s="4">
        <v>-1.6830000000000001</v>
      </c>
      <c r="M1272" s="4">
        <v>-1.6830000000000001</v>
      </c>
      <c r="N1272" s="4">
        <v>-1.6830000000000001</v>
      </c>
      <c r="O1272" s="4">
        <v>-1.6830000000000001</v>
      </c>
      <c r="P1272" s="4">
        <v>0</v>
      </c>
      <c r="Q1272" s="3" t="s">
        <v>26</v>
      </c>
      <c r="R1272" s="3">
        <v>0</v>
      </c>
      <c r="S1272" s="4">
        <v>0</v>
      </c>
      <c r="T1272" s="4">
        <v>24</v>
      </c>
      <c r="U1272" s="4">
        <v>98</v>
      </c>
      <c r="V1272" s="4">
        <f>IF(ISERROR(VLOOKUP($S$1272,'TAR FIN'!$A$1:$O$113,15,0)),0,VLOOKUP($S$1272,'TAR FIN'!$A$1:$O$113,15,0))</f>
        <v>0</v>
      </c>
      <c r="W1272" s="4">
        <f>IF(ISERROR(VLOOKUP($T$1272,'TAR FIN'!$A$1:$O$113,15,0)),0,VLOOKUP($T$1272,'TAR FIN'!$A$1:$O$113,15,0))</f>
        <v>894.12</v>
      </c>
      <c r="X1272" s="4">
        <f>IF(ISERROR(VLOOKUP($U$1272,'TAR FIN'!$A$1:$O$113,15,0)),0,VLOOKUP($U$1272,'TAR FIN'!$A$1:$O$113,15,0))</f>
        <v>365.5</v>
      </c>
      <c r="Y1272" s="4"/>
      <c r="Z1272" s="4">
        <f ca="1">('TUSD BE'!$AM$37+'TUSD BF'!$AM$37+'TUSD CVA'!$AM$37)*1</f>
        <v>1054.531052783949</v>
      </c>
      <c r="AA1272" s="4">
        <f>('TE BE'!$AA$16+'TE BF'!$AA$16+'TE CVA'!$AA$16)*1</f>
        <v>361.55013418411539</v>
      </c>
      <c r="AB1272" s="4">
        <f>$K$1272*$V$1272</f>
        <v>0</v>
      </c>
      <c r="AC1272" s="4">
        <f>$M$1272*$W$1272</f>
        <v>-1504.80396</v>
      </c>
      <c r="AD1272" s="4">
        <f>$O$1272*$X$1272</f>
        <v>-615.13650000000007</v>
      </c>
      <c r="AE1272" s="4">
        <f>$K$1272*$Y$1272</f>
        <v>0</v>
      </c>
      <c r="AF1272" s="4">
        <f ca="1">$M$1272*$Z$1272</f>
        <v>-1774.7757618353862</v>
      </c>
      <c r="AG1272" s="4">
        <f>$O$1272*$AA$1272</f>
        <v>-608.48887583186627</v>
      </c>
    </row>
    <row r="1273" spans="1:33" ht="11.25" customHeight="1" x14ac:dyDescent="0.25">
      <c r="A1273" s="3" t="s">
        <v>28</v>
      </c>
      <c r="B1273" s="3" t="s">
        <v>22</v>
      </c>
      <c r="C1273" s="3" t="s">
        <v>33</v>
      </c>
      <c r="D1273" s="3" t="s">
        <v>24</v>
      </c>
      <c r="E1273" s="3" t="s">
        <v>24</v>
      </c>
      <c r="F1273" s="3" t="s">
        <v>25</v>
      </c>
      <c r="G1273" s="3" t="s">
        <v>25</v>
      </c>
      <c r="H1273" s="3" t="s">
        <v>34</v>
      </c>
      <c r="I1273" s="6">
        <v>44593</v>
      </c>
      <c r="J1273" s="4">
        <v>0</v>
      </c>
      <c r="K1273" s="4">
        <v>0</v>
      </c>
      <c r="L1273" s="4">
        <v>7.0000000000000007E-2</v>
      </c>
      <c r="M1273" s="4">
        <v>7.0000000000000007E-2</v>
      </c>
      <c r="N1273" s="4">
        <v>7.0000000000000007E-2</v>
      </c>
      <c r="O1273" s="4">
        <v>7.0000000000000007E-2</v>
      </c>
      <c r="P1273" s="4">
        <v>0</v>
      </c>
      <c r="Q1273" s="3" t="s">
        <v>26</v>
      </c>
      <c r="R1273" s="3">
        <v>0</v>
      </c>
      <c r="S1273" s="4">
        <v>0</v>
      </c>
      <c r="T1273" s="4">
        <v>24</v>
      </c>
      <c r="U1273" s="4">
        <v>98</v>
      </c>
      <c r="V1273" s="4">
        <f>IF(ISERROR(VLOOKUP($S$1273,'TAR FIN'!$A$1:$O$113,15,0)),0,VLOOKUP($S$1273,'TAR FIN'!$A$1:$O$113,15,0))</f>
        <v>0</v>
      </c>
      <c r="W1273" s="4">
        <f>IF(ISERROR(VLOOKUP($T$1273,'TAR FIN'!$A$1:$O$113,15,0)),0,VLOOKUP($T$1273,'TAR FIN'!$A$1:$O$113,15,0))</f>
        <v>894.12</v>
      </c>
      <c r="X1273" s="4">
        <f>IF(ISERROR(VLOOKUP($U$1273,'TAR FIN'!$A$1:$O$113,15,0)),0,VLOOKUP($U$1273,'TAR FIN'!$A$1:$O$113,15,0))</f>
        <v>365.5</v>
      </c>
      <c r="Y1273" s="4"/>
      <c r="Z1273" s="4">
        <f ca="1">('TUSD BE'!$AM$37+'TUSD BF'!$AM$37+'TUSD CVA'!$AM$37)*1</f>
        <v>1054.531052783949</v>
      </c>
      <c r="AA1273" s="4">
        <f>('TE BE'!$AA$16+'TE BF'!$AA$16+'TE CVA'!$AA$16)*1</f>
        <v>361.55013418411539</v>
      </c>
      <c r="AB1273" s="4">
        <f>$K$1273*$V$1273</f>
        <v>0</v>
      </c>
      <c r="AC1273" s="4">
        <f>$M$1273*$W$1273</f>
        <v>62.588400000000007</v>
      </c>
      <c r="AD1273" s="4">
        <f>$O$1273*$X$1273</f>
        <v>25.585000000000001</v>
      </c>
      <c r="AE1273" s="4">
        <f>$K$1273*$Y$1273</f>
        <v>0</v>
      </c>
      <c r="AF1273" s="4">
        <f ca="1">$M$1273*$Z$1273</f>
        <v>73.817173694876431</v>
      </c>
      <c r="AG1273" s="4">
        <f>$O$1273*$AA$1273</f>
        <v>25.30850939288808</v>
      </c>
    </row>
    <row r="1274" spans="1:33" ht="11.25" customHeight="1" x14ac:dyDescent="0.25">
      <c r="A1274" s="3" t="s">
        <v>28</v>
      </c>
      <c r="B1274" s="3" t="s">
        <v>22</v>
      </c>
      <c r="C1274" s="3" t="s">
        <v>33</v>
      </c>
      <c r="D1274" s="3" t="s">
        <v>24</v>
      </c>
      <c r="E1274" s="3" t="s">
        <v>24</v>
      </c>
      <c r="F1274" s="3" t="s">
        <v>25</v>
      </c>
      <c r="G1274" s="3" t="s">
        <v>25</v>
      </c>
      <c r="H1274" s="3" t="s">
        <v>34</v>
      </c>
      <c r="I1274" s="6">
        <v>44593</v>
      </c>
      <c r="J1274" s="4">
        <v>0</v>
      </c>
      <c r="K1274" s="4">
        <v>0</v>
      </c>
      <c r="L1274" s="4">
        <v>-0.13800000000000001</v>
      </c>
      <c r="M1274" s="4">
        <v>-0.13800000000000001</v>
      </c>
      <c r="N1274" s="4">
        <v>-0.13800000000000001</v>
      </c>
      <c r="O1274" s="4">
        <v>-0.13800000000000001</v>
      </c>
      <c r="P1274" s="4">
        <v>0</v>
      </c>
      <c r="Q1274" s="3" t="s">
        <v>26</v>
      </c>
      <c r="R1274" s="3">
        <v>0</v>
      </c>
      <c r="S1274" s="4">
        <v>0</v>
      </c>
      <c r="T1274" s="4">
        <v>24</v>
      </c>
      <c r="U1274" s="4">
        <v>98</v>
      </c>
      <c r="V1274" s="4">
        <f>IF(ISERROR(VLOOKUP($S$1274,'TAR FIN'!$A$1:$O$113,15,0)),0,VLOOKUP($S$1274,'TAR FIN'!$A$1:$O$113,15,0))</f>
        <v>0</v>
      </c>
      <c r="W1274" s="4">
        <f>IF(ISERROR(VLOOKUP($T$1274,'TAR FIN'!$A$1:$O$113,15,0)),0,VLOOKUP($T$1274,'TAR FIN'!$A$1:$O$113,15,0))</f>
        <v>894.12</v>
      </c>
      <c r="X1274" s="4">
        <f>IF(ISERROR(VLOOKUP($U$1274,'TAR FIN'!$A$1:$O$113,15,0)),0,VLOOKUP($U$1274,'TAR FIN'!$A$1:$O$113,15,0))</f>
        <v>365.5</v>
      </c>
      <c r="Y1274" s="4"/>
      <c r="Z1274" s="4">
        <f ca="1">('TUSD BE'!$AM$37+'TUSD BF'!$AM$37+'TUSD CVA'!$AM$37)*1</f>
        <v>1054.531052783949</v>
      </c>
      <c r="AA1274" s="4">
        <f>('TE BE'!$AA$16+'TE BF'!$AA$16+'TE CVA'!$AA$16)*1</f>
        <v>361.55013418411539</v>
      </c>
      <c r="AB1274" s="4">
        <f>$K$1274*$V$1274</f>
        <v>0</v>
      </c>
      <c r="AC1274" s="4">
        <f>$M$1274*$W$1274</f>
        <v>-123.38856000000001</v>
      </c>
      <c r="AD1274" s="4">
        <f>$O$1274*$X$1274</f>
        <v>-50.439000000000007</v>
      </c>
      <c r="AE1274" s="4">
        <f>$K$1274*$Y$1274</f>
        <v>0</v>
      </c>
      <c r="AF1274" s="4">
        <f ca="1">$M$1274*$Z$1274</f>
        <v>-145.52528528418497</v>
      </c>
      <c r="AG1274" s="4">
        <f>$O$1274*$AA$1274</f>
        <v>-49.893918517407926</v>
      </c>
    </row>
    <row r="1275" spans="1:33" ht="11.25" customHeight="1" x14ac:dyDescent="0.25">
      <c r="A1275" s="3" t="s">
        <v>56</v>
      </c>
      <c r="B1275" s="3" t="s">
        <v>22</v>
      </c>
      <c r="C1275" s="3" t="s">
        <v>33</v>
      </c>
      <c r="D1275" s="3" t="s">
        <v>24</v>
      </c>
      <c r="E1275" s="3" t="s">
        <v>24</v>
      </c>
      <c r="F1275" s="3" t="s">
        <v>25</v>
      </c>
      <c r="G1275" s="3" t="s">
        <v>25</v>
      </c>
      <c r="H1275" s="3" t="s">
        <v>34</v>
      </c>
      <c r="I1275" s="6">
        <v>44621</v>
      </c>
      <c r="J1275" s="4">
        <v>0</v>
      </c>
      <c r="K1275" s="4">
        <v>0</v>
      </c>
      <c r="L1275" s="4">
        <v>12.66</v>
      </c>
      <c r="M1275" s="4">
        <v>12.66</v>
      </c>
      <c r="N1275" s="4">
        <v>12.66</v>
      </c>
      <c r="O1275" s="4">
        <v>12.66</v>
      </c>
      <c r="P1275" s="4">
        <v>0</v>
      </c>
      <c r="Q1275" s="3" t="s">
        <v>26</v>
      </c>
      <c r="R1275" s="3">
        <v>0</v>
      </c>
      <c r="S1275" s="4">
        <v>0</v>
      </c>
      <c r="T1275" s="4">
        <v>24</v>
      </c>
      <c r="U1275" s="4">
        <v>98</v>
      </c>
      <c r="V1275" s="4">
        <f>IF(ISERROR(VLOOKUP($S$1275,'TAR FIN'!$A$1:$O$113,15,0)),0,VLOOKUP($S$1275,'TAR FIN'!$A$1:$O$113,15,0))</f>
        <v>0</v>
      </c>
      <c r="W1275" s="4">
        <f>IF(ISERROR(VLOOKUP($T$1275,'TAR FIN'!$A$1:$O$113,15,0)),0,VLOOKUP($T$1275,'TAR FIN'!$A$1:$O$113,15,0))</f>
        <v>894.12</v>
      </c>
      <c r="X1275" s="4">
        <f>IF(ISERROR(VLOOKUP($U$1275,'TAR FIN'!$A$1:$O$113,15,0)),0,VLOOKUP($U$1275,'TAR FIN'!$A$1:$O$113,15,0))</f>
        <v>365.5</v>
      </c>
      <c r="Y1275" s="4"/>
      <c r="Z1275" s="4">
        <f ca="1">('TUSD BE'!$AM$37+'TUSD BF'!$AM$37+'TUSD CVA'!$AM$37)*1</f>
        <v>1054.531052783949</v>
      </c>
      <c r="AA1275" s="4">
        <f>('TE BE'!$AA$16+'TE BF'!$AA$16+'TE CVA'!$AA$16)*1</f>
        <v>361.55013418411539</v>
      </c>
      <c r="AB1275" s="4">
        <f>$K$1275*$V$1275</f>
        <v>0</v>
      </c>
      <c r="AC1275" s="4">
        <f>$M$1275*$W$1275</f>
        <v>11319.5592</v>
      </c>
      <c r="AD1275" s="4">
        <f>$O$1275*$X$1275</f>
        <v>4627.2300000000005</v>
      </c>
      <c r="AE1275" s="4">
        <f>$K$1275*$Y$1275</f>
        <v>0</v>
      </c>
      <c r="AF1275" s="4">
        <f ca="1">$M$1275*$Z$1275</f>
        <v>13350.363128244795</v>
      </c>
      <c r="AG1275" s="4">
        <f>$O$1275*$AA$1275</f>
        <v>4577.2246987709013</v>
      </c>
    </row>
    <row r="1276" spans="1:33" ht="11.25" customHeight="1" x14ac:dyDescent="0.25">
      <c r="A1276" s="3" t="s">
        <v>56</v>
      </c>
      <c r="B1276" s="3" t="s">
        <v>22</v>
      </c>
      <c r="C1276" s="3" t="s">
        <v>33</v>
      </c>
      <c r="D1276" s="3" t="s">
        <v>24</v>
      </c>
      <c r="E1276" s="3" t="s">
        <v>24</v>
      </c>
      <c r="F1276" s="3" t="s">
        <v>25</v>
      </c>
      <c r="G1276" s="3" t="s">
        <v>25</v>
      </c>
      <c r="H1276" s="3" t="s">
        <v>34</v>
      </c>
      <c r="I1276" s="6">
        <v>44621</v>
      </c>
      <c r="J1276" s="4">
        <v>0</v>
      </c>
      <c r="K1276" s="4">
        <v>0</v>
      </c>
      <c r="L1276" s="4">
        <v>-1.6830000000000001</v>
      </c>
      <c r="M1276" s="4">
        <v>-1.6830000000000001</v>
      </c>
      <c r="N1276" s="4">
        <v>-1.6830000000000001</v>
      </c>
      <c r="O1276" s="4">
        <v>-1.6830000000000001</v>
      </c>
      <c r="P1276" s="4">
        <v>0</v>
      </c>
      <c r="Q1276" s="3" t="s">
        <v>26</v>
      </c>
      <c r="R1276" s="3">
        <v>0</v>
      </c>
      <c r="S1276" s="4">
        <v>0</v>
      </c>
      <c r="T1276" s="4">
        <v>24</v>
      </c>
      <c r="U1276" s="4">
        <v>98</v>
      </c>
      <c r="V1276" s="4">
        <f>IF(ISERROR(VLOOKUP($S$1276,'TAR FIN'!$A$1:$O$113,15,0)),0,VLOOKUP($S$1276,'TAR FIN'!$A$1:$O$113,15,0))</f>
        <v>0</v>
      </c>
      <c r="W1276" s="4">
        <f>IF(ISERROR(VLOOKUP($T$1276,'TAR FIN'!$A$1:$O$113,15,0)),0,VLOOKUP($T$1276,'TAR FIN'!$A$1:$O$113,15,0))</f>
        <v>894.12</v>
      </c>
      <c r="X1276" s="4">
        <f>IF(ISERROR(VLOOKUP($U$1276,'TAR FIN'!$A$1:$O$113,15,0)),0,VLOOKUP($U$1276,'TAR FIN'!$A$1:$O$113,15,0))</f>
        <v>365.5</v>
      </c>
      <c r="Y1276" s="4"/>
      <c r="Z1276" s="4">
        <f ca="1">('TUSD BE'!$AM$37+'TUSD BF'!$AM$37+'TUSD CVA'!$AM$37)*1</f>
        <v>1054.531052783949</v>
      </c>
      <c r="AA1276" s="4">
        <f>('TE BE'!$AA$16+'TE BF'!$AA$16+'TE CVA'!$AA$16)*1</f>
        <v>361.55013418411539</v>
      </c>
      <c r="AB1276" s="4">
        <f>$K$1276*$V$1276</f>
        <v>0</v>
      </c>
      <c r="AC1276" s="4">
        <f>$M$1276*$W$1276</f>
        <v>-1504.80396</v>
      </c>
      <c r="AD1276" s="4">
        <f>$O$1276*$X$1276</f>
        <v>-615.13650000000007</v>
      </c>
      <c r="AE1276" s="4">
        <f>$K$1276*$Y$1276</f>
        <v>0</v>
      </c>
      <c r="AF1276" s="4">
        <f ca="1">$M$1276*$Z$1276</f>
        <v>-1774.7757618353862</v>
      </c>
      <c r="AG1276" s="4">
        <f>$O$1276*$AA$1276</f>
        <v>-608.48887583186627</v>
      </c>
    </row>
    <row r="1277" spans="1:33" ht="11.25" customHeight="1" x14ac:dyDescent="0.25">
      <c r="A1277" s="3" t="s">
        <v>56</v>
      </c>
      <c r="B1277" s="3" t="s">
        <v>22</v>
      </c>
      <c r="C1277" s="3" t="s">
        <v>33</v>
      </c>
      <c r="D1277" s="3" t="s">
        <v>24</v>
      </c>
      <c r="E1277" s="3" t="s">
        <v>24</v>
      </c>
      <c r="F1277" s="3" t="s">
        <v>25</v>
      </c>
      <c r="G1277" s="3" t="s">
        <v>25</v>
      </c>
      <c r="H1277" s="3" t="s">
        <v>34</v>
      </c>
      <c r="I1277" s="6">
        <v>44621</v>
      </c>
      <c r="J1277" s="4">
        <v>0</v>
      </c>
      <c r="K1277" s="4">
        <v>0</v>
      </c>
      <c r="L1277" s="4">
        <v>7.0000000000000007E-2</v>
      </c>
      <c r="M1277" s="4">
        <v>7.0000000000000007E-2</v>
      </c>
      <c r="N1277" s="4">
        <v>7.0000000000000007E-2</v>
      </c>
      <c r="O1277" s="4">
        <v>7.0000000000000007E-2</v>
      </c>
      <c r="P1277" s="4">
        <v>0</v>
      </c>
      <c r="Q1277" s="3" t="s">
        <v>26</v>
      </c>
      <c r="R1277" s="3">
        <v>0</v>
      </c>
      <c r="S1277" s="4">
        <v>0</v>
      </c>
      <c r="T1277" s="4">
        <v>24</v>
      </c>
      <c r="U1277" s="4">
        <v>98</v>
      </c>
      <c r="V1277" s="4">
        <f>IF(ISERROR(VLOOKUP($S$1277,'TAR FIN'!$A$1:$O$113,15,0)),0,VLOOKUP($S$1277,'TAR FIN'!$A$1:$O$113,15,0))</f>
        <v>0</v>
      </c>
      <c r="W1277" s="4">
        <f>IF(ISERROR(VLOOKUP($T$1277,'TAR FIN'!$A$1:$O$113,15,0)),0,VLOOKUP($T$1277,'TAR FIN'!$A$1:$O$113,15,0))</f>
        <v>894.12</v>
      </c>
      <c r="X1277" s="4">
        <f>IF(ISERROR(VLOOKUP($U$1277,'TAR FIN'!$A$1:$O$113,15,0)),0,VLOOKUP($U$1277,'TAR FIN'!$A$1:$O$113,15,0))</f>
        <v>365.5</v>
      </c>
      <c r="Y1277" s="4"/>
      <c r="Z1277" s="4">
        <f ca="1">('TUSD BE'!$AM$37+'TUSD BF'!$AM$37+'TUSD CVA'!$AM$37)*1</f>
        <v>1054.531052783949</v>
      </c>
      <c r="AA1277" s="4">
        <f>('TE BE'!$AA$16+'TE BF'!$AA$16+'TE CVA'!$AA$16)*1</f>
        <v>361.55013418411539</v>
      </c>
      <c r="AB1277" s="4">
        <f>$K$1277*$V$1277</f>
        <v>0</v>
      </c>
      <c r="AC1277" s="4">
        <f>$M$1277*$W$1277</f>
        <v>62.588400000000007</v>
      </c>
      <c r="AD1277" s="4">
        <f>$O$1277*$X$1277</f>
        <v>25.585000000000001</v>
      </c>
      <c r="AE1277" s="4">
        <f>$K$1277*$Y$1277</f>
        <v>0</v>
      </c>
      <c r="AF1277" s="4">
        <f ca="1">$M$1277*$Z$1277</f>
        <v>73.817173694876431</v>
      </c>
      <c r="AG1277" s="4">
        <f>$O$1277*$AA$1277</f>
        <v>25.30850939288808</v>
      </c>
    </row>
    <row r="1278" spans="1:33" ht="11.25" customHeight="1" x14ac:dyDescent="0.25">
      <c r="A1278" s="3" t="s">
        <v>56</v>
      </c>
      <c r="B1278" s="3" t="s">
        <v>22</v>
      </c>
      <c r="C1278" s="3" t="s">
        <v>33</v>
      </c>
      <c r="D1278" s="3" t="s">
        <v>24</v>
      </c>
      <c r="E1278" s="3" t="s">
        <v>24</v>
      </c>
      <c r="F1278" s="3" t="s">
        <v>25</v>
      </c>
      <c r="G1278" s="3" t="s">
        <v>25</v>
      </c>
      <c r="H1278" s="3" t="s">
        <v>34</v>
      </c>
      <c r="I1278" s="6">
        <v>44621</v>
      </c>
      <c r="J1278" s="4">
        <v>0</v>
      </c>
      <c r="K1278" s="4">
        <v>0</v>
      </c>
      <c r="L1278" s="4">
        <v>-0.13800000000000001</v>
      </c>
      <c r="M1278" s="4">
        <v>-0.13800000000000001</v>
      </c>
      <c r="N1278" s="4">
        <v>-0.13800000000000001</v>
      </c>
      <c r="O1278" s="4">
        <v>-0.13800000000000001</v>
      </c>
      <c r="P1278" s="4">
        <v>0</v>
      </c>
      <c r="Q1278" s="3" t="s">
        <v>26</v>
      </c>
      <c r="R1278" s="3">
        <v>0</v>
      </c>
      <c r="S1278" s="4">
        <v>0</v>
      </c>
      <c r="T1278" s="4">
        <v>24</v>
      </c>
      <c r="U1278" s="4">
        <v>98</v>
      </c>
      <c r="V1278" s="4">
        <f>IF(ISERROR(VLOOKUP($S$1278,'TAR FIN'!$A$1:$O$113,15,0)),0,VLOOKUP($S$1278,'TAR FIN'!$A$1:$O$113,15,0))</f>
        <v>0</v>
      </c>
      <c r="W1278" s="4">
        <f>IF(ISERROR(VLOOKUP($T$1278,'TAR FIN'!$A$1:$O$113,15,0)),0,VLOOKUP($T$1278,'TAR FIN'!$A$1:$O$113,15,0))</f>
        <v>894.12</v>
      </c>
      <c r="X1278" s="4">
        <f>IF(ISERROR(VLOOKUP($U$1278,'TAR FIN'!$A$1:$O$113,15,0)),0,VLOOKUP($U$1278,'TAR FIN'!$A$1:$O$113,15,0))</f>
        <v>365.5</v>
      </c>
      <c r="Y1278" s="4"/>
      <c r="Z1278" s="4">
        <f ca="1">('TUSD BE'!$AM$37+'TUSD BF'!$AM$37+'TUSD CVA'!$AM$37)*1</f>
        <v>1054.531052783949</v>
      </c>
      <c r="AA1278" s="4">
        <f>('TE BE'!$AA$16+'TE BF'!$AA$16+'TE CVA'!$AA$16)*1</f>
        <v>361.55013418411539</v>
      </c>
      <c r="AB1278" s="4">
        <f>$K$1278*$V$1278</f>
        <v>0</v>
      </c>
      <c r="AC1278" s="4">
        <f>$M$1278*$W$1278</f>
        <v>-123.38856000000001</v>
      </c>
      <c r="AD1278" s="4">
        <f>$O$1278*$X$1278</f>
        <v>-50.439000000000007</v>
      </c>
      <c r="AE1278" s="4">
        <f>$K$1278*$Y$1278</f>
        <v>0</v>
      </c>
      <c r="AF1278" s="4">
        <f ca="1">$M$1278*$Z$1278</f>
        <v>-145.52528528418497</v>
      </c>
      <c r="AG1278" s="4">
        <f>$O$1278*$AA$1278</f>
        <v>-49.893918517407926</v>
      </c>
    </row>
    <row r="1279" spans="1:33" ht="11.25" customHeight="1" x14ac:dyDescent="0.25">
      <c r="A1279" s="3" t="s">
        <v>21</v>
      </c>
      <c r="B1279" s="3" t="s">
        <v>22</v>
      </c>
      <c r="C1279" s="3" t="s">
        <v>23</v>
      </c>
      <c r="D1279" s="3" t="s">
        <v>24</v>
      </c>
      <c r="E1279" s="3" t="s">
        <v>24</v>
      </c>
      <c r="F1279" s="3" t="s">
        <v>25</v>
      </c>
      <c r="G1279" s="3" t="s">
        <v>25</v>
      </c>
      <c r="H1279" s="3" t="s">
        <v>25</v>
      </c>
      <c r="I1279" s="6">
        <v>44287</v>
      </c>
      <c r="J1279" s="4">
        <v>0</v>
      </c>
      <c r="K1279" s="4">
        <v>0</v>
      </c>
      <c r="L1279" s="4">
        <v>83240.540999999997</v>
      </c>
      <c r="M1279" s="4">
        <v>83240.540999999997</v>
      </c>
      <c r="N1279" s="4">
        <v>83240.540999999997</v>
      </c>
      <c r="O1279" s="4">
        <v>83240.540999999997</v>
      </c>
      <c r="P1279" s="4">
        <v>503995</v>
      </c>
      <c r="Q1279" s="3" t="s">
        <v>26</v>
      </c>
      <c r="R1279" s="3">
        <v>0</v>
      </c>
      <c r="S1279" s="4">
        <v>0</v>
      </c>
      <c r="T1279" s="4">
        <v>48</v>
      </c>
      <c r="U1279" s="4">
        <v>65</v>
      </c>
      <c r="V1279" s="4">
        <f>IF(ISERROR(VLOOKUP($S$1279,'TAR FIN'!$A$1:$O$113,15,0)),0,VLOOKUP($S$1279,'TAR FIN'!$A$1:$O$113,15,0))</f>
        <v>0</v>
      </c>
      <c r="W1279" s="4">
        <f>IF(ISERROR(VLOOKUP($T$1279,'TAR FIN'!$A$1:$O$113,15,0)),0,VLOOKUP($T$1279,'TAR FIN'!$A$1:$O$113,15,0))</f>
        <v>346.2</v>
      </c>
      <c r="X1279" s="4">
        <f>IF(ISERROR(VLOOKUP($U$1279,'TAR FIN'!$A$1:$O$113,15,0)),0,VLOOKUP($U$1279,'TAR FIN'!$A$1:$O$113,15,0))</f>
        <v>234.24</v>
      </c>
      <c r="Y1279" s="4"/>
      <c r="Z1279" s="4">
        <f ca="1">('TUSD BE'!$AM$40+'TUSD BF'!$AM$40+'TUSD CVA'!$AM$40)*1</f>
        <v>411.14246090221764</v>
      </c>
      <c r="AA1279" s="4">
        <f>('TE BE'!$AA$19+'TE BF'!$AA$19+'TE CVA'!$AA$19)*1</f>
        <v>234.67932779241937</v>
      </c>
      <c r="AB1279" s="4">
        <f>$K$1279*$V$1279</f>
        <v>0</v>
      </c>
      <c r="AC1279" s="4">
        <f>$M$1279*$W$1279</f>
        <v>28817875.294199999</v>
      </c>
      <c r="AD1279" s="4">
        <f>$O$1279*$X$1279</f>
        <v>19498264.32384</v>
      </c>
      <c r="AE1279" s="4">
        <f>$K$1279*$Y$1279</f>
        <v>0</v>
      </c>
      <c r="AF1279" s="4">
        <f ca="1">$M$1279*$Z$1279</f>
        <v>34223720.87357194</v>
      </c>
      <c r="AG1279" s="4">
        <f>$O$1279*$AA$1279</f>
        <v>19534834.206957325</v>
      </c>
    </row>
    <row r="1280" spans="1:33" ht="11.25" customHeight="1" x14ac:dyDescent="0.25">
      <c r="A1280" s="3" t="s">
        <v>27</v>
      </c>
      <c r="B1280" s="3" t="s">
        <v>22</v>
      </c>
      <c r="C1280" s="3" t="s">
        <v>23</v>
      </c>
      <c r="D1280" s="3" t="s">
        <v>24</v>
      </c>
      <c r="E1280" s="3" t="s">
        <v>24</v>
      </c>
      <c r="F1280" s="3" t="s">
        <v>25</v>
      </c>
      <c r="G1280" s="3" t="s">
        <v>25</v>
      </c>
      <c r="H1280" s="3" t="s">
        <v>25</v>
      </c>
      <c r="I1280" s="6">
        <v>44287</v>
      </c>
      <c r="J1280" s="4">
        <v>0</v>
      </c>
      <c r="K1280" s="4">
        <v>0</v>
      </c>
      <c r="L1280" s="4">
        <v>-218.554</v>
      </c>
      <c r="M1280" s="4">
        <v>-218.554</v>
      </c>
      <c r="N1280" s="4">
        <v>-218.554</v>
      </c>
      <c r="O1280" s="4">
        <v>-218.554</v>
      </c>
      <c r="P1280" s="4">
        <v>-132</v>
      </c>
      <c r="Q1280" s="3" t="s">
        <v>26</v>
      </c>
      <c r="R1280" s="3">
        <v>0</v>
      </c>
      <c r="S1280" s="4">
        <v>0</v>
      </c>
      <c r="T1280" s="4">
        <v>48</v>
      </c>
      <c r="U1280" s="4">
        <v>65</v>
      </c>
      <c r="V1280" s="4">
        <f>IF(ISERROR(VLOOKUP($S$1280,'TAR FIN'!$A$1:$O$113,15,0)),0,VLOOKUP($S$1280,'TAR FIN'!$A$1:$O$113,15,0))</f>
        <v>0</v>
      </c>
      <c r="W1280" s="4">
        <f>IF(ISERROR(VLOOKUP($T$1280,'TAR FIN'!$A$1:$O$113,15,0)),0,VLOOKUP($T$1280,'TAR FIN'!$A$1:$O$113,15,0))</f>
        <v>346.2</v>
      </c>
      <c r="X1280" s="4">
        <f>IF(ISERROR(VLOOKUP($U$1280,'TAR FIN'!$A$1:$O$113,15,0)),0,VLOOKUP($U$1280,'TAR FIN'!$A$1:$O$113,15,0))</f>
        <v>234.24</v>
      </c>
      <c r="Y1280" s="4"/>
      <c r="Z1280" s="4">
        <f ca="1">('TUSD BE'!$AM$40+'TUSD BF'!$AM$40+'TUSD CVA'!$AM$40)*1</f>
        <v>411.14246090221764</v>
      </c>
      <c r="AA1280" s="4">
        <f>('TE BE'!$AA$19+'TE BF'!$AA$19+'TE CVA'!$AA$19)*1</f>
        <v>234.67932779241937</v>
      </c>
      <c r="AB1280" s="4">
        <f>$K$1280*$V$1280</f>
        <v>0</v>
      </c>
      <c r="AC1280" s="4">
        <f>$M$1280*$W$1280</f>
        <v>-75663.394799999995</v>
      </c>
      <c r="AD1280" s="4">
        <f>$O$1280*$X$1280</f>
        <v>-51194.088960000001</v>
      </c>
      <c r="AE1280" s="4">
        <f>$K$1280*$Y$1280</f>
        <v>0</v>
      </c>
      <c r="AF1280" s="4">
        <f ca="1">$M$1280*$Z$1280</f>
        <v>-89856.829400023271</v>
      </c>
      <c r="AG1280" s="4">
        <f>$O$1280*$AA$1280</f>
        <v>-51290.105806344422</v>
      </c>
    </row>
    <row r="1281" spans="1:33" ht="11.25" customHeight="1" x14ac:dyDescent="0.25">
      <c r="A1281" s="3" t="s">
        <v>28</v>
      </c>
      <c r="B1281" s="3" t="s">
        <v>22</v>
      </c>
      <c r="C1281" s="3" t="s">
        <v>23</v>
      </c>
      <c r="D1281" s="3" t="s">
        <v>24</v>
      </c>
      <c r="E1281" s="3" t="s">
        <v>24</v>
      </c>
      <c r="F1281" s="3" t="s">
        <v>25</v>
      </c>
      <c r="G1281" s="3" t="s">
        <v>25</v>
      </c>
      <c r="H1281" s="3" t="s">
        <v>25</v>
      </c>
      <c r="I1281" s="6">
        <v>44287</v>
      </c>
      <c r="J1281" s="4">
        <v>0</v>
      </c>
      <c r="K1281" s="4">
        <v>0</v>
      </c>
      <c r="L1281" s="4">
        <v>731.52499999999998</v>
      </c>
      <c r="M1281" s="4">
        <v>731.52499999999998</v>
      </c>
      <c r="N1281" s="4">
        <v>731.52499999999998</v>
      </c>
      <c r="O1281" s="4">
        <v>731.52499999999998</v>
      </c>
      <c r="P1281" s="4">
        <v>3345</v>
      </c>
      <c r="Q1281" s="3" t="s">
        <v>26</v>
      </c>
      <c r="R1281" s="3">
        <v>0</v>
      </c>
      <c r="S1281" s="4">
        <v>0</v>
      </c>
      <c r="T1281" s="4">
        <v>48</v>
      </c>
      <c r="U1281" s="4">
        <v>65</v>
      </c>
      <c r="V1281" s="4">
        <f>IF(ISERROR(VLOOKUP($S$1281,'TAR FIN'!$A$1:$O$113,15,0)),0,VLOOKUP($S$1281,'TAR FIN'!$A$1:$O$113,15,0))</f>
        <v>0</v>
      </c>
      <c r="W1281" s="4">
        <f>IF(ISERROR(VLOOKUP($T$1281,'TAR FIN'!$A$1:$O$113,15,0)),0,VLOOKUP($T$1281,'TAR FIN'!$A$1:$O$113,15,0))</f>
        <v>346.2</v>
      </c>
      <c r="X1281" s="4">
        <f>IF(ISERROR(VLOOKUP($U$1281,'TAR FIN'!$A$1:$O$113,15,0)),0,VLOOKUP($U$1281,'TAR FIN'!$A$1:$O$113,15,0))</f>
        <v>234.24</v>
      </c>
      <c r="Y1281" s="4"/>
      <c r="Z1281" s="4">
        <f ca="1">('TUSD BE'!$AM$40+'TUSD BF'!$AM$40+'TUSD CVA'!$AM$40)*1</f>
        <v>411.14246090221764</v>
      </c>
      <c r="AA1281" s="4">
        <f>('TE BE'!$AA$19+'TE BF'!$AA$19+'TE CVA'!$AA$19)*1</f>
        <v>234.67932779241937</v>
      </c>
      <c r="AB1281" s="4">
        <f>$K$1281*$V$1281</f>
        <v>0</v>
      </c>
      <c r="AC1281" s="4">
        <f>$M$1281*$W$1281</f>
        <v>253253.95499999999</v>
      </c>
      <c r="AD1281" s="4">
        <f>$O$1281*$X$1281</f>
        <v>171352.416</v>
      </c>
      <c r="AE1281" s="4">
        <f>$K$1281*$Y$1281</f>
        <v>0</v>
      </c>
      <c r="AF1281" s="4">
        <f ca="1">$M$1281*$Z$1281</f>
        <v>300760.98871149472</v>
      </c>
      <c r="AG1281" s="4">
        <f>$O$1281*$AA$1281</f>
        <v>171673.79526334957</v>
      </c>
    </row>
    <row r="1282" spans="1:33" ht="11.25" customHeight="1" x14ac:dyDescent="0.25">
      <c r="A1282" s="3" t="s">
        <v>28</v>
      </c>
      <c r="B1282" s="3" t="s">
        <v>22</v>
      </c>
      <c r="C1282" s="3" t="s">
        <v>23</v>
      </c>
      <c r="D1282" s="3" t="s">
        <v>24</v>
      </c>
      <c r="E1282" s="3" t="s">
        <v>24</v>
      </c>
      <c r="F1282" s="3" t="s">
        <v>25</v>
      </c>
      <c r="G1282" s="3" t="s">
        <v>25</v>
      </c>
      <c r="H1282" s="3" t="s">
        <v>25</v>
      </c>
      <c r="I1282" s="6">
        <v>44287</v>
      </c>
      <c r="J1282" s="4">
        <v>0</v>
      </c>
      <c r="K1282" s="4">
        <v>0</v>
      </c>
      <c r="L1282" s="4">
        <v>-1.508</v>
      </c>
      <c r="M1282" s="4">
        <v>-1.508</v>
      </c>
      <c r="N1282" s="4">
        <v>-1.508</v>
      </c>
      <c r="O1282" s="4">
        <v>-1.508</v>
      </c>
      <c r="P1282" s="4">
        <v>0</v>
      </c>
      <c r="Q1282" s="3" t="s">
        <v>26</v>
      </c>
      <c r="R1282" s="3">
        <v>0</v>
      </c>
      <c r="S1282" s="4">
        <v>0</v>
      </c>
      <c r="T1282" s="4">
        <v>48</v>
      </c>
      <c r="U1282" s="4">
        <v>65</v>
      </c>
      <c r="V1282" s="4">
        <f>IF(ISERROR(VLOOKUP($S$1282,'TAR FIN'!$A$1:$O$113,15,0)),0,VLOOKUP($S$1282,'TAR FIN'!$A$1:$O$113,15,0))</f>
        <v>0</v>
      </c>
      <c r="W1282" s="4">
        <f>IF(ISERROR(VLOOKUP($T$1282,'TAR FIN'!$A$1:$O$113,15,0)),0,VLOOKUP($T$1282,'TAR FIN'!$A$1:$O$113,15,0))</f>
        <v>346.2</v>
      </c>
      <c r="X1282" s="4">
        <f>IF(ISERROR(VLOOKUP($U$1282,'TAR FIN'!$A$1:$O$113,15,0)),0,VLOOKUP($U$1282,'TAR FIN'!$A$1:$O$113,15,0))</f>
        <v>234.24</v>
      </c>
      <c r="Y1282" s="4"/>
      <c r="Z1282" s="4">
        <f ca="1">('TUSD BE'!$AM$40+'TUSD BF'!$AM$40+'TUSD CVA'!$AM$40)*1</f>
        <v>411.14246090221764</v>
      </c>
      <c r="AA1282" s="4">
        <f>('TE BE'!$AA$19+'TE BF'!$AA$19+'TE CVA'!$AA$19)*1</f>
        <v>234.67932779241937</v>
      </c>
      <c r="AB1282" s="4">
        <f>$K$1282*$V$1282</f>
        <v>0</v>
      </c>
      <c r="AC1282" s="4">
        <f>$M$1282*$W$1282</f>
        <v>-522.06960000000004</v>
      </c>
      <c r="AD1282" s="4">
        <f>$O$1282*$X$1282</f>
        <v>-353.23392000000001</v>
      </c>
      <c r="AE1282" s="4">
        <f>$K$1282*$Y$1282</f>
        <v>0</v>
      </c>
      <c r="AF1282" s="4">
        <f ca="1">$M$1282*$Z$1282</f>
        <v>-620.00283104054415</v>
      </c>
      <c r="AG1282" s="4">
        <f>$O$1282*$AA$1282</f>
        <v>-353.89642631096842</v>
      </c>
    </row>
    <row r="1283" spans="1:33" ht="11.25" customHeight="1" x14ac:dyDescent="0.25">
      <c r="A1283" s="3" t="s">
        <v>21</v>
      </c>
      <c r="B1283" s="3" t="s">
        <v>22</v>
      </c>
      <c r="C1283" s="3" t="s">
        <v>23</v>
      </c>
      <c r="D1283" s="3" t="s">
        <v>24</v>
      </c>
      <c r="E1283" s="3" t="s">
        <v>24</v>
      </c>
      <c r="F1283" s="3" t="s">
        <v>25</v>
      </c>
      <c r="G1283" s="3" t="s">
        <v>25</v>
      </c>
      <c r="H1283" s="3" t="s">
        <v>25</v>
      </c>
      <c r="I1283" s="6">
        <v>44317</v>
      </c>
      <c r="J1283" s="4">
        <v>0</v>
      </c>
      <c r="K1283" s="4">
        <v>0</v>
      </c>
      <c r="L1283" s="4">
        <v>75372.801000000007</v>
      </c>
      <c r="M1283" s="4">
        <v>75372.801000000007</v>
      </c>
      <c r="N1283" s="4">
        <v>75372.801000000007</v>
      </c>
      <c r="O1283" s="4">
        <v>75372.801000000007</v>
      </c>
      <c r="P1283" s="4">
        <v>504725</v>
      </c>
      <c r="Q1283" s="3" t="s">
        <v>26</v>
      </c>
      <c r="R1283" s="3">
        <v>0</v>
      </c>
      <c r="S1283" s="4">
        <v>0</v>
      </c>
      <c r="T1283" s="4">
        <v>48</v>
      </c>
      <c r="U1283" s="4">
        <v>65</v>
      </c>
      <c r="V1283" s="4">
        <f>IF(ISERROR(VLOOKUP($S$1283,'TAR FIN'!$A$1:$O$113,15,0)),0,VLOOKUP($S$1283,'TAR FIN'!$A$1:$O$113,15,0))</f>
        <v>0</v>
      </c>
      <c r="W1283" s="4">
        <f>IF(ISERROR(VLOOKUP($T$1283,'TAR FIN'!$A$1:$O$113,15,0)),0,VLOOKUP($T$1283,'TAR FIN'!$A$1:$O$113,15,0))</f>
        <v>346.2</v>
      </c>
      <c r="X1283" s="4">
        <f>IF(ISERROR(VLOOKUP($U$1283,'TAR FIN'!$A$1:$O$113,15,0)),0,VLOOKUP($U$1283,'TAR FIN'!$A$1:$O$113,15,0))</f>
        <v>234.24</v>
      </c>
      <c r="Y1283" s="4"/>
      <c r="Z1283" s="4">
        <f ca="1">('TUSD BE'!$AM$40+'TUSD BF'!$AM$40+'TUSD CVA'!$AM$40)*1</f>
        <v>411.14246090221764</v>
      </c>
      <c r="AA1283" s="4">
        <f>('TE BE'!$AA$19+'TE BF'!$AA$19+'TE CVA'!$AA$19)*1</f>
        <v>234.67932779241937</v>
      </c>
      <c r="AB1283" s="4">
        <f>$K$1283*$V$1283</f>
        <v>0</v>
      </c>
      <c r="AC1283" s="4">
        <f>$M$1283*$W$1283</f>
        <v>26094063.7062</v>
      </c>
      <c r="AD1283" s="4">
        <f>$O$1283*$X$1283</f>
        <v>17655324.906240001</v>
      </c>
      <c r="AE1283" s="4">
        <f>$K$1283*$Y$1283</f>
        <v>0</v>
      </c>
      <c r="AF1283" s="4">
        <f ca="1">$M$1283*$Z$1283</f>
        <v>30988958.888233133</v>
      </c>
      <c r="AG1283" s="4">
        <f>$O$1283*$AA$1283</f>
        <v>17688438.272511795</v>
      </c>
    </row>
    <row r="1284" spans="1:33" ht="11.25" customHeight="1" x14ac:dyDescent="0.25">
      <c r="A1284" s="3" t="s">
        <v>27</v>
      </c>
      <c r="B1284" s="3" t="s">
        <v>22</v>
      </c>
      <c r="C1284" s="3" t="s">
        <v>23</v>
      </c>
      <c r="D1284" s="3" t="s">
        <v>24</v>
      </c>
      <c r="E1284" s="3" t="s">
        <v>24</v>
      </c>
      <c r="F1284" s="3" t="s">
        <v>25</v>
      </c>
      <c r="G1284" s="3" t="s">
        <v>25</v>
      </c>
      <c r="H1284" s="3" t="s">
        <v>25</v>
      </c>
      <c r="I1284" s="6">
        <v>44317</v>
      </c>
      <c r="J1284" s="4">
        <v>0</v>
      </c>
      <c r="K1284" s="4">
        <v>0</v>
      </c>
      <c r="L1284" s="4">
        <v>-134.25399999999999</v>
      </c>
      <c r="M1284" s="4">
        <v>-134.25399999999999</v>
      </c>
      <c r="N1284" s="4">
        <v>-134.25399999999999</v>
      </c>
      <c r="O1284" s="4">
        <v>-134.25399999999999</v>
      </c>
      <c r="P1284" s="4">
        <v>-152</v>
      </c>
      <c r="Q1284" s="3" t="s">
        <v>26</v>
      </c>
      <c r="R1284" s="3">
        <v>0</v>
      </c>
      <c r="S1284" s="4">
        <v>0</v>
      </c>
      <c r="T1284" s="4">
        <v>48</v>
      </c>
      <c r="U1284" s="4">
        <v>65</v>
      </c>
      <c r="V1284" s="4">
        <f>IF(ISERROR(VLOOKUP($S$1284,'TAR FIN'!$A$1:$O$113,15,0)),0,VLOOKUP($S$1284,'TAR FIN'!$A$1:$O$113,15,0))</f>
        <v>0</v>
      </c>
      <c r="W1284" s="4">
        <f>IF(ISERROR(VLOOKUP($T$1284,'TAR FIN'!$A$1:$O$113,15,0)),0,VLOOKUP($T$1284,'TAR FIN'!$A$1:$O$113,15,0))</f>
        <v>346.2</v>
      </c>
      <c r="X1284" s="4">
        <f>IF(ISERROR(VLOOKUP($U$1284,'TAR FIN'!$A$1:$O$113,15,0)),0,VLOOKUP($U$1284,'TAR FIN'!$A$1:$O$113,15,0))</f>
        <v>234.24</v>
      </c>
      <c r="Y1284" s="4"/>
      <c r="Z1284" s="4">
        <f ca="1">('TUSD BE'!$AM$40+'TUSD BF'!$AM$40+'TUSD CVA'!$AM$40)*1</f>
        <v>411.14246090221764</v>
      </c>
      <c r="AA1284" s="4">
        <f>('TE BE'!$AA$19+'TE BF'!$AA$19+'TE CVA'!$AA$19)*1</f>
        <v>234.67932779241937</v>
      </c>
      <c r="AB1284" s="4">
        <f>$K$1284*$V$1284</f>
        <v>0</v>
      </c>
      <c r="AC1284" s="4">
        <f>$M$1284*$W$1284</f>
        <v>-46478.734799999998</v>
      </c>
      <c r="AD1284" s="4">
        <f>$O$1284*$X$1284</f>
        <v>-31447.65696</v>
      </c>
      <c r="AE1284" s="4">
        <f>$K$1284*$Y$1284</f>
        <v>0</v>
      </c>
      <c r="AF1284" s="4">
        <f ca="1">$M$1284*$Z$1284</f>
        <v>-55197.51994596632</v>
      </c>
      <c r="AG1284" s="4">
        <f>$O$1284*$AA$1284</f>
        <v>-31506.638473443469</v>
      </c>
    </row>
    <row r="1285" spans="1:33" ht="11.25" customHeight="1" x14ac:dyDescent="0.25">
      <c r="A1285" s="3" t="s">
        <v>28</v>
      </c>
      <c r="B1285" s="3" t="s">
        <v>22</v>
      </c>
      <c r="C1285" s="3" t="s">
        <v>23</v>
      </c>
      <c r="D1285" s="3" t="s">
        <v>24</v>
      </c>
      <c r="E1285" s="3" t="s">
        <v>24</v>
      </c>
      <c r="F1285" s="3" t="s">
        <v>25</v>
      </c>
      <c r="G1285" s="3" t="s">
        <v>25</v>
      </c>
      <c r="H1285" s="3" t="s">
        <v>25</v>
      </c>
      <c r="I1285" s="6">
        <v>44317</v>
      </c>
      <c r="J1285" s="4">
        <v>0</v>
      </c>
      <c r="K1285" s="4">
        <v>0</v>
      </c>
      <c r="L1285" s="4">
        <v>751.9</v>
      </c>
      <c r="M1285" s="4">
        <v>751.9</v>
      </c>
      <c r="N1285" s="4">
        <v>751.9</v>
      </c>
      <c r="O1285" s="4">
        <v>751.9</v>
      </c>
      <c r="P1285" s="4">
        <v>3552</v>
      </c>
      <c r="Q1285" s="3" t="s">
        <v>26</v>
      </c>
      <c r="R1285" s="3">
        <v>0</v>
      </c>
      <c r="S1285" s="4">
        <v>0</v>
      </c>
      <c r="T1285" s="4">
        <v>48</v>
      </c>
      <c r="U1285" s="4">
        <v>65</v>
      </c>
      <c r="V1285" s="4">
        <f>IF(ISERROR(VLOOKUP($S$1285,'TAR FIN'!$A$1:$O$113,15,0)),0,VLOOKUP($S$1285,'TAR FIN'!$A$1:$O$113,15,0))</f>
        <v>0</v>
      </c>
      <c r="W1285" s="4">
        <f>IF(ISERROR(VLOOKUP($T$1285,'TAR FIN'!$A$1:$O$113,15,0)),0,VLOOKUP($T$1285,'TAR FIN'!$A$1:$O$113,15,0))</f>
        <v>346.2</v>
      </c>
      <c r="X1285" s="4">
        <f>IF(ISERROR(VLOOKUP($U$1285,'TAR FIN'!$A$1:$O$113,15,0)),0,VLOOKUP($U$1285,'TAR FIN'!$A$1:$O$113,15,0))</f>
        <v>234.24</v>
      </c>
      <c r="Y1285" s="4"/>
      <c r="Z1285" s="4">
        <f ca="1">('TUSD BE'!$AM$40+'TUSD BF'!$AM$40+'TUSD CVA'!$AM$40)*1</f>
        <v>411.14246090221764</v>
      </c>
      <c r="AA1285" s="4">
        <f>('TE BE'!$AA$19+'TE BF'!$AA$19+'TE CVA'!$AA$19)*1</f>
        <v>234.67932779241937</v>
      </c>
      <c r="AB1285" s="4">
        <f>$K$1285*$V$1285</f>
        <v>0</v>
      </c>
      <c r="AC1285" s="4">
        <f>$M$1285*$W$1285</f>
        <v>260307.77999999997</v>
      </c>
      <c r="AD1285" s="4">
        <f>$O$1285*$X$1285</f>
        <v>176125.05600000001</v>
      </c>
      <c r="AE1285" s="4">
        <f>$K$1285*$Y$1285</f>
        <v>0</v>
      </c>
      <c r="AF1285" s="4">
        <f ca="1">$M$1285*$Z$1285</f>
        <v>309138.01635237742</v>
      </c>
      <c r="AG1285" s="4">
        <f>$O$1285*$AA$1285</f>
        <v>176455.38656712012</v>
      </c>
    </row>
    <row r="1286" spans="1:33" ht="11.25" customHeight="1" x14ac:dyDescent="0.25">
      <c r="A1286" s="3" t="s">
        <v>28</v>
      </c>
      <c r="B1286" s="3" t="s">
        <v>22</v>
      </c>
      <c r="C1286" s="3" t="s">
        <v>23</v>
      </c>
      <c r="D1286" s="3" t="s">
        <v>24</v>
      </c>
      <c r="E1286" s="3" t="s">
        <v>24</v>
      </c>
      <c r="F1286" s="3" t="s">
        <v>25</v>
      </c>
      <c r="G1286" s="3" t="s">
        <v>25</v>
      </c>
      <c r="H1286" s="3" t="s">
        <v>25</v>
      </c>
      <c r="I1286" s="6">
        <v>44317</v>
      </c>
      <c r="J1286" s="4">
        <v>0</v>
      </c>
      <c r="K1286" s="4">
        <v>0</v>
      </c>
      <c r="L1286" s="4">
        <v>-0.86899999999999999</v>
      </c>
      <c r="M1286" s="4">
        <v>-0.86899999999999999</v>
      </c>
      <c r="N1286" s="4">
        <v>-0.86899999999999999</v>
      </c>
      <c r="O1286" s="4">
        <v>-0.86899999999999999</v>
      </c>
      <c r="P1286" s="4">
        <v>0</v>
      </c>
      <c r="Q1286" s="3" t="s">
        <v>26</v>
      </c>
      <c r="R1286" s="3">
        <v>0</v>
      </c>
      <c r="S1286" s="4">
        <v>0</v>
      </c>
      <c r="T1286" s="4">
        <v>48</v>
      </c>
      <c r="U1286" s="4">
        <v>65</v>
      </c>
      <c r="V1286" s="4">
        <f>IF(ISERROR(VLOOKUP($S$1286,'TAR FIN'!$A$1:$O$113,15,0)),0,VLOOKUP($S$1286,'TAR FIN'!$A$1:$O$113,15,0))</f>
        <v>0</v>
      </c>
      <c r="W1286" s="4">
        <f>IF(ISERROR(VLOOKUP($T$1286,'TAR FIN'!$A$1:$O$113,15,0)),0,VLOOKUP($T$1286,'TAR FIN'!$A$1:$O$113,15,0))</f>
        <v>346.2</v>
      </c>
      <c r="X1286" s="4">
        <f>IF(ISERROR(VLOOKUP($U$1286,'TAR FIN'!$A$1:$O$113,15,0)),0,VLOOKUP($U$1286,'TAR FIN'!$A$1:$O$113,15,0))</f>
        <v>234.24</v>
      </c>
      <c r="Y1286" s="4"/>
      <c r="Z1286" s="4">
        <f ca="1">('TUSD BE'!$AM$40+'TUSD BF'!$AM$40+'TUSD CVA'!$AM$40)*1</f>
        <v>411.14246090221764</v>
      </c>
      <c r="AA1286" s="4">
        <f>('TE BE'!$AA$19+'TE BF'!$AA$19+'TE CVA'!$AA$19)*1</f>
        <v>234.67932779241937</v>
      </c>
      <c r="AB1286" s="4">
        <f>$K$1286*$V$1286</f>
        <v>0</v>
      </c>
      <c r="AC1286" s="4">
        <f>$M$1286*$W$1286</f>
        <v>-300.84780000000001</v>
      </c>
      <c r="AD1286" s="4">
        <f>$O$1286*$X$1286</f>
        <v>-203.55456000000001</v>
      </c>
      <c r="AE1286" s="4">
        <f>$K$1286*$Y$1286</f>
        <v>0</v>
      </c>
      <c r="AF1286" s="4">
        <f ca="1">$M$1286*$Z$1286</f>
        <v>-357.2827985240271</v>
      </c>
      <c r="AG1286" s="4">
        <f>$O$1286*$AA$1286</f>
        <v>-203.93633585161243</v>
      </c>
    </row>
    <row r="1287" spans="1:33" ht="11.25" customHeight="1" x14ac:dyDescent="0.25">
      <c r="A1287" s="3" t="s">
        <v>21</v>
      </c>
      <c r="B1287" s="3" t="s">
        <v>22</v>
      </c>
      <c r="C1287" s="3" t="s">
        <v>23</v>
      </c>
      <c r="D1287" s="3" t="s">
        <v>24</v>
      </c>
      <c r="E1287" s="3" t="s">
        <v>24</v>
      </c>
      <c r="F1287" s="3" t="s">
        <v>25</v>
      </c>
      <c r="G1287" s="3" t="s">
        <v>25</v>
      </c>
      <c r="H1287" s="3" t="s">
        <v>25</v>
      </c>
      <c r="I1287" s="6">
        <v>44348</v>
      </c>
      <c r="J1287" s="4">
        <v>0</v>
      </c>
      <c r="K1287" s="4">
        <v>0</v>
      </c>
      <c r="L1287" s="4">
        <v>73533.183000000005</v>
      </c>
      <c r="M1287" s="4">
        <v>73533.183000000005</v>
      </c>
      <c r="N1287" s="4">
        <v>73533.183000000005</v>
      </c>
      <c r="O1287" s="4">
        <v>73533.183000000005</v>
      </c>
      <c r="P1287" s="4">
        <v>506719</v>
      </c>
      <c r="Q1287" s="3" t="s">
        <v>26</v>
      </c>
      <c r="R1287" s="3">
        <v>0</v>
      </c>
      <c r="S1287" s="4">
        <v>0</v>
      </c>
      <c r="T1287" s="4">
        <v>48</v>
      </c>
      <c r="U1287" s="4">
        <v>65</v>
      </c>
      <c r="V1287" s="4">
        <f>IF(ISERROR(VLOOKUP($S$1287,'TAR FIN'!$A$1:$O$113,15,0)),0,VLOOKUP($S$1287,'TAR FIN'!$A$1:$O$113,15,0))</f>
        <v>0</v>
      </c>
      <c r="W1287" s="4">
        <f>IF(ISERROR(VLOOKUP($T$1287,'TAR FIN'!$A$1:$O$113,15,0)),0,VLOOKUP($T$1287,'TAR FIN'!$A$1:$O$113,15,0))</f>
        <v>346.2</v>
      </c>
      <c r="X1287" s="4">
        <f>IF(ISERROR(VLOOKUP($U$1287,'TAR FIN'!$A$1:$O$113,15,0)),0,VLOOKUP($U$1287,'TAR FIN'!$A$1:$O$113,15,0))</f>
        <v>234.24</v>
      </c>
      <c r="Y1287" s="4"/>
      <c r="Z1287" s="4">
        <f ca="1">('TUSD BE'!$AM$40+'TUSD BF'!$AM$40+'TUSD CVA'!$AM$40)*1</f>
        <v>411.14246090221764</v>
      </c>
      <c r="AA1287" s="4">
        <f>('TE BE'!$AA$19+'TE BF'!$AA$19+'TE CVA'!$AA$19)*1</f>
        <v>234.67932779241937</v>
      </c>
      <c r="AB1287" s="4">
        <f>$K$1287*$V$1287</f>
        <v>0</v>
      </c>
      <c r="AC1287" s="4">
        <f>$M$1287*$W$1287</f>
        <v>25457187.954599999</v>
      </c>
      <c r="AD1287" s="4">
        <f>$O$1287*$X$1287</f>
        <v>17224412.785920002</v>
      </c>
      <c r="AE1287" s="4">
        <f>$K$1287*$Y$1287</f>
        <v>0</v>
      </c>
      <c r="AF1287" s="4">
        <f ca="1">$M$1287*$Z$1287</f>
        <v>30232613.816593118</v>
      </c>
      <c r="AG1287" s="4">
        <f>$O$1287*$AA$1287</f>
        <v>17256717.95687696</v>
      </c>
    </row>
    <row r="1288" spans="1:33" ht="11.25" customHeight="1" x14ac:dyDescent="0.25">
      <c r="A1288" s="3" t="s">
        <v>27</v>
      </c>
      <c r="B1288" s="3" t="s">
        <v>22</v>
      </c>
      <c r="C1288" s="3" t="s">
        <v>23</v>
      </c>
      <c r="D1288" s="3" t="s">
        <v>24</v>
      </c>
      <c r="E1288" s="3" t="s">
        <v>24</v>
      </c>
      <c r="F1288" s="3" t="s">
        <v>25</v>
      </c>
      <c r="G1288" s="3" t="s">
        <v>25</v>
      </c>
      <c r="H1288" s="3" t="s">
        <v>25</v>
      </c>
      <c r="I1288" s="6">
        <v>44348</v>
      </c>
      <c r="J1288" s="4">
        <v>0</v>
      </c>
      <c r="K1288" s="4">
        <v>0</v>
      </c>
      <c r="L1288" s="4">
        <v>-305.64100000000002</v>
      </c>
      <c r="M1288" s="4">
        <v>-305.64100000000002</v>
      </c>
      <c r="N1288" s="4">
        <v>-305.64100000000002</v>
      </c>
      <c r="O1288" s="4">
        <v>-305.64100000000002</v>
      </c>
      <c r="P1288" s="4">
        <v>-110</v>
      </c>
      <c r="Q1288" s="3" t="s">
        <v>26</v>
      </c>
      <c r="R1288" s="3">
        <v>0</v>
      </c>
      <c r="S1288" s="4">
        <v>0</v>
      </c>
      <c r="T1288" s="4">
        <v>48</v>
      </c>
      <c r="U1288" s="4">
        <v>65</v>
      </c>
      <c r="V1288" s="4">
        <f>IF(ISERROR(VLOOKUP($S$1288,'TAR FIN'!$A$1:$O$113,15,0)),0,VLOOKUP($S$1288,'TAR FIN'!$A$1:$O$113,15,0))</f>
        <v>0</v>
      </c>
      <c r="W1288" s="4">
        <f>IF(ISERROR(VLOOKUP($T$1288,'TAR FIN'!$A$1:$O$113,15,0)),0,VLOOKUP($T$1288,'TAR FIN'!$A$1:$O$113,15,0))</f>
        <v>346.2</v>
      </c>
      <c r="X1288" s="4">
        <f>IF(ISERROR(VLOOKUP($U$1288,'TAR FIN'!$A$1:$O$113,15,0)),0,VLOOKUP($U$1288,'TAR FIN'!$A$1:$O$113,15,0))</f>
        <v>234.24</v>
      </c>
      <c r="Y1288" s="4"/>
      <c r="Z1288" s="4">
        <f ca="1">('TUSD BE'!$AM$40+'TUSD BF'!$AM$40+'TUSD CVA'!$AM$40)*1</f>
        <v>411.14246090221764</v>
      </c>
      <c r="AA1288" s="4">
        <f>('TE BE'!$AA$19+'TE BF'!$AA$19+'TE CVA'!$AA$19)*1</f>
        <v>234.67932779241937</v>
      </c>
      <c r="AB1288" s="4">
        <f>$K$1288*$V$1288</f>
        <v>0</v>
      </c>
      <c r="AC1288" s="4">
        <f>$M$1288*$W$1288</f>
        <v>-105812.9142</v>
      </c>
      <c r="AD1288" s="4">
        <f>$O$1288*$X$1288</f>
        <v>-71593.347840000002</v>
      </c>
      <c r="AE1288" s="4">
        <f>$K$1288*$Y$1288</f>
        <v>0</v>
      </c>
      <c r="AF1288" s="4">
        <f ca="1">$M$1288*$Z$1288</f>
        <v>-125661.99289261471</v>
      </c>
      <c r="AG1288" s="4">
        <f>$O$1288*$AA$1288</f>
        <v>-71727.62442580286</v>
      </c>
    </row>
    <row r="1289" spans="1:33" ht="11.25" customHeight="1" x14ac:dyDescent="0.25">
      <c r="A1289" s="3" t="s">
        <v>28</v>
      </c>
      <c r="B1289" s="3" t="s">
        <v>22</v>
      </c>
      <c r="C1289" s="3" t="s">
        <v>23</v>
      </c>
      <c r="D1289" s="3" t="s">
        <v>24</v>
      </c>
      <c r="E1289" s="3" t="s">
        <v>24</v>
      </c>
      <c r="F1289" s="3" t="s">
        <v>25</v>
      </c>
      <c r="G1289" s="3" t="s">
        <v>25</v>
      </c>
      <c r="H1289" s="3" t="s">
        <v>25</v>
      </c>
      <c r="I1289" s="6">
        <v>44348</v>
      </c>
      <c r="J1289" s="4">
        <v>0</v>
      </c>
      <c r="K1289" s="4">
        <v>0</v>
      </c>
      <c r="L1289" s="4">
        <v>736.95399999999995</v>
      </c>
      <c r="M1289" s="4">
        <v>736.95399999999995</v>
      </c>
      <c r="N1289" s="4">
        <v>736.95399999999995</v>
      </c>
      <c r="O1289" s="4">
        <v>736.95399999999995</v>
      </c>
      <c r="P1289" s="4">
        <v>3680</v>
      </c>
      <c r="Q1289" s="3" t="s">
        <v>26</v>
      </c>
      <c r="R1289" s="3">
        <v>0</v>
      </c>
      <c r="S1289" s="4">
        <v>0</v>
      </c>
      <c r="T1289" s="4">
        <v>48</v>
      </c>
      <c r="U1289" s="4">
        <v>65</v>
      </c>
      <c r="V1289" s="4">
        <f>IF(ISERROR(VLOOKUP($S$1289,'TAR FIN'!$A$1:$O$113,15,0)),0,VLOOKUP($S$1289,'TAR FIN'!$A$1:$O$113,15,0))</f>
        <v>0</v>
      </c>
      <c r="W1289" s="4">
        <f>IF(ISERROR(VLOOKUP($T$1289,'TAR FIN'!$A$1:$O$113,15,0)),0,VLOOKUP($T$1289,'TAR FIN'!$A$1:$O$113,15,0))</f>
        <v>346.2</v>
      </c>
      <c r="X1289" s="4">
        <f>IF(ISERROR(VLOOKUP($U$1289,'TAR FIN'!$A$1:$O$113,15,0)),0,VLOOKUP($U$1289,'TAR FIN'!$A$1:$O$113,15,0))</f>
        <v>234.24</v>
      </c>
      <c r="Y1289" s="4"/>
      <c r="Z1289" s="4">
        <f ca="1">('TUSD BE'!$AM$40+'TUSD BF'!$AM$40+'TUSD CVA'!$AM$40)*1</f>
        <v>411.14246090221764</v>
      </c>
      <c r="AA1289" s="4">
        <f>('TE BE'!$AA$19+'TE BF'!$AA$19+'TE CVA'!$AA$19)*1</f>
        <v>234.67932779241937</v>
      </c>
      <c r="AB1289" s="4">
        <f>$K$1289*$V$1289</f>
        <v>0</v>
      </c>
      <c r="AC1289" s="4">
        <f>$M$1289*$W$1289</f>
        <v>255133.47479999997</v>
      </c>
      <c r="AD1289" s="4">
        <f>$O$1289*$X$1289</f>
        <v>172624.10496</v>
      </c>
      <c r="AE1289" s="4">
        <f>$K$1289*$Y$1289</f>
        <v>0</v>
      </c>
      <c r="AF1289" s="4">
        <f ca="1">$M$1289*$Z$1289</f>
        <v>302993.08113173285</v>
      </c>
      <c r="AG1289" s="4">
        <f>$O$1289*$AA$1289</f>
        <v>172947.86933393462</v>
      </c>
    </row>
    <row r="1290" spans="1:33" ht="11.25" customHeight="1" x14ac:dyDescent="0.25">
      <c r="A1290" s="3" t="s">
        <v>28</v>
      </c>
      <c r="B1290" s="3" t="s">
        <v>22</v>
      </c>
      <c r="C1290" s="3" t="s">
        <v>23</v>
      </c>
      <c r="D1290" s="3" t="s">
        <v>24</v>
      </c>
      <c r="E1290" s="3" t="s">
        <v>24</v>
      </c>
      <c r="F1290" s="3" t="s">
        <v>25</v>
      </c>
      <c r="G1290" s="3" t="s">
        <v>25</v>
      </c>
      <c r="H1290" s="3" t="s">
        <v>25</v>
      </c>
      <c r="I1290" s="6">
        <v>44348</v>
      </c>
      <c r="J1290" s="4">
        <v>0</v>
      </c>
      <c r="K1290" s="4">
        <v>0</v>
      </c>
      <c r="L1290" s="4">
        <v>9.4E-2</v>
      </c>
      <c r="M1290" s="4">
        <v>9.4E-2</v>
      </c>
      <c r="N1290" s="4">
        <v>9.4E-2</v>
      </c>
      <c r="O1290" s="4">
        <v>9.4E-2</v>
      </c>
      <c r="P1290" s="4">
        <v>0</v>
      </c>
      <c r="Q1290" s="3" t="s">
        <v>26</v>
      </c>
      <c r="R1290" s="3">
        <v>0</v>
      </c>
      <c r="S1290" s="4">
        <v>0</v>
      </c>
      <c r="T1290" s="4">
        <v>48</v>
      </c>
      <c r="U1290" s="4">
        <v>65</v>
      </c>
      <c r="V1290" s="4">
        <f>IF(ISERROR(VLOOKUP($S$1290,'TAR FIN'!$A$1:$O$113,15,0)),0,VLOOKUP($S$1290,'TAR FIN'!$A$1:$O$113,15,0))</f>
        <v>0</v>
      </c>
      <c r="W1290" s="4">
        <f>IF(ISERROR(VLOOKUP($T$1290,'TAR FIN'!$A$1:$O$113,15,0)),0,VLOOKUP($T$1290,'TAR FIN'!$A$1:$O$113,15,0))</f>
        <v>346.2</v>
      </c>
      <c r="X1290" s="4">
        <f>IF(ISERROR(VLOOKUP($U$1290,'TAR FIN'!$A$1:$O$113,15,0)),0,VLOOKUP($U$1290,'TAR FIN'!$A$1:$O$113,15,0))</f>
        <v>234.24</v>
      </c>
      <c r="Y1290" s="4"/>
      <c r="Z1290" s="4">
        <f ca="1">('TUSD BE'!$AM$40+'TUSD BF'!$AM$40+'TUSD CVA'!$AM$40)*1</f>
        <v>411.14246090221764</v>
      </c>
      <c r="AA1290" s="4">
        <f>('TE BE'!$AA$19+'TE BF'!$AA$19+'TE CVA'!$AA$19)*1</f>
        <v>234.67932779241937</v>
      </c>
      <c r="AB1290" s="4">
        <f>$K$1290*$V$1290</f>
        <v>0</v>
      </c>
      <c r="AC1290" s="4">
        <f>$M$1290*$W$1290</f>
        <v>32.5428</v>
      </c>
      <c r="AD1290" s="4">
        <f>$O$1290*$X$1290</f>
        <v>22.018560000000001</v>
      </c>
      <c r="AE1290" s="4">
        <f>$K$1290*$Y$1290</f>
        <v>0</v>
      </c>
      <c r="AF1290" s="4">
        <f ca="1">$M$1290*$Z$1290</f>
        <v>38.64739132480846</v>
      </c>
      <c r="AG1290" s="4">
        <f>$O$1290*$AA$1290</f>
        <v>22.059856812487421</v>
      </c>
    </row>
    <row r="1291" spans="1:33" ht="11.25" customHeight="1" x14ac:dyDescent="0.25">
      <c r="A1291" s="3" t="s">
        <v>21</v>
      </c>
      <c r="B1291" s="3" t="s">
        <v>22</v>
      </c>
      <c r="C1291" s="3" t="s">
        <v>23</v>
      </c>
      <c r="D1291" s="3" t="s">
        <v>24</v>
      </c>
      <c r="E1291" s="3" t="s">
        <v>24</v>
      </c>
      <c r="F1291" s="3" t="s">
        <v>25</v>
      </c>
      <c r="G1291" s="3" t="s">
        <v>25</v>
      </c>
      <c r="H1291" s="3" t="s">
        <v>25</v>
      </c>
      <c r="I1291" s="6">
        <v>44378</v>
      </c>
      <c r="J1291" s="4">
        <v>0</v>
      </c>
      <c r="K1291" s="4">
        <v>0</v>
      </c>
      <c r="L1291" s="4">
        <v>71677</v>
      </c>
      <c r="M1291" s="4">
        <v>71677</v>
      </c>
      <c r="N1291" s="4">
        <v>71677</v>
      </c>
      <c r="O1291" s="4">
        <v>71677</v>
      </c>
      <c r="P1291" s="4">
        <v>507235</v>
      </c>
      <c r="Q1291" s="3" t="s">
        <v>26</v>
      </c>
      <c r="R1291" s="3">
        <v>0</v>
      </c>
      <c r="S1291" s="4">
        <v>0</v>
      </c>
      <c r="T1291" s="4">
        <v>48</v>
      </c>
      <c r="U1291" s="4">
        <v>65</v>
      </c>
      <c r="V1291" s="4">
        <f>IF(ISERROR(VLOOKUP($S$1291,'TAR FIN'!$A$1:$O$113,15,0)),0,VLOOKUP($S$1291,'TAR FIN'!$A$1:$O$113,15,0))</f>
        <v>0</v>
      </c>
      <c r="W1291" s="4">
        <f>IF(ISERROR(VLOOKUP($T$1291,'TAR FIN'!$A$1:$O$113,15,0)),0,VLOOKUP($T$1291,'TAR FIN'!$A$1:$O$113,15,0))</f>
        <v>346.2</v>
      </c>
      <c r="X1291" s="4">
        <f>IF(ISERROR(VLOOKUP($U$1291,'TAR FIN'!$A$1:$O$113,15,0)),0,VLOOKUP($U$1291,'TAR FIN'!$A$1:$O$113,15,0))</f>
        <v>234.24</v>
      </c>
      <c r="Y1291" s="4"/>
      <c r="Z1291" s="4">
        <f ca="1">('TUSD BE'!$AM$40+'TUSD BF'!$AM$40+'TUSD CVA'!$AM$40)*1</f>
        <v>411.14246090221764</v>
      </c>
      <c r="AA1291" s="4">
        <f>('TE BE'!$AA$19+'TE BF'!$AA$19+'TE CVA'!$AA$19)*1</f>
        <v>234.67932779241937</v>
      </c>
      <c r="AB1291" s="4">
        <f>$K$1291*$V$1291</f>
        <v>0</v>
      </c>
      <c r="AC1291" s="4">
        <f>$M$1291*$W$1291</f>
        <v>24814577.399999999</v>
      </c>
      <c r="AD1291" s="4">
        <f>$O$1291*$X$1291</f>
        <v>16789620.48</v>
      </c>
      <c r="AE1291" s="4">
        <f>$K$1291*$Y$1291</f>
        <v>0</v>
      </c>
      <c r="AF1291" s="4">
        <f ca="1">$M$1291*$Z$1291</f>
        <v>29469458.170088254</v>
      </c>
      <c r="AG1291" s="4">
        <f>$O$1291*$AA$1291</f>
        <v>16821110.178177245</v>
      </c>
    </row>
    <row r="1292" spans="1:33" ht="11.25" customHeight="1" x14ac:dyDescent="0.25">
      <c r="A1292" s="3" t="s">
        <v>27</v>
      </c>
      <c r="B1292" s="3" t="s">
        <v>22</v>
      </c>
      <c r="C1292" s="3" t="s">
        <v>23</v>
      </c>
      <c r="D1292" s="3" t="s">
        <v>24</v>
      </c>
      <c r="E1292" s="3" t="s">
        <v>24</v>
      </c>
      <c r="F1292" s="3" t="s">
        <v>25</v>
      </c>
      <c r="G1292" s="3" t="s">
        <v>25</v>
      </c>
      <c r="H1292" s="3" t="s">
        <v>25</v>
      </c>
      <c r="I1292" s="6">
        <v>44378</v>
      </c>
      <c r="J1292" s="4">
        <v>0</v>
      </c>
      <c r="K1292" s="4">
        <v>0</v>
      </c>
      <c r="L1292" s="4">
        <v>-1009.7619999999999</v>
      </c>
      <c r="M1292" s="4">
        <v>-1009.7619999999999</v>
      </c>
      <c r="N1292" s="4">
        <v>-1009.7619999999999</v>
      </c>
      <c r="O1292" s="4">
        <v>-1009.7619999999999</v>
      </c>
      <c r="P1292" s="4">
        <v>-511</v>
      </c>
      <c r="Q1292" s="3" t="s">
        <v>26</v>
      </c>
      <c r="R1292" s="3">
        <v>0</v>
      </c>
      <c r="S1292" s="4">
        <v>0</v>
      </c>
      <c r="T1292" s="4">
        <v>48</v>
      </c>
      <c r="U1292" s="4">
        <v>65</v>
      </c>
      <c r="V1292" s="4">
        <f>IF(ISERROR(VLOOKUP($S$1292,'TAR FIN'!$A$1:$O$113,15,0)),0,VLOOKUP($S$1292,'TAR FIN'!$A$1:$O$113,15,0))</f>
        <v>0</v>
      </c>
      <c r="W1292" s="4">
        <f>IF(ISERROR(VLOOKUP($T$1292,'TAR FIN'!$A$1:$O$113,15,0)),0,VLOOKUP($T$1292,'TAR FIN'!$A$1:$O$113,15,0))</f>
        <v>346.2</v>
      </c>
      <c r="X1292" s="4">
        <f>IF(ISERROR(VLOOKUP($U$1292,'TAR FIN'!$A$1:$O$113,15,0)),0,VLOOKUP($U$1292,'TAR FIN'!$A$1:$O$113,15,0))</f>
        <v>234.24</v>
      </c>
      <c r="Y1292" s="4"/>
      <c r="Z1292" s="4">
        <f ca="1">('TUSD BE'!$AM$40+'TUSD BF'!$AM$40+'TUSD CVA'!$AM$40)*1</f>
        <v>411.14246090221764</v>
      </c>
      <c r="AA1292" s="4">
        <f>('TE BE'!$AA$19+'TE BF'!$AA$19+'TE CVA'!$AA$19)*1</f>
        <v>234.67932779241937</v>
      </c>
      <c r="AB1292" s="4">
        <f>$K$1292*$V$1292</f>
        <v>0</v>
      </c>
      <c r="AC1292" s="4">
        <f>$M$1292*$W$1292</f>
        <v>-349579.60439999995</v>
      </c>
      <c r="AD1292" s="4">
        <f>$O$1292*$X$1292</f>
        <v>-236526.65088</v>
      </c>
      <c r="AE1292" s="4">
        <f>$K$1292*$Y$1292</f>
        <v>0</v>
      </c>
      <c r="AF1292" s="4">
        <f ca="1">$M$1292*$Z$1292</f>
        <v>-415156.03360554506</v>
      </c>
      <c r="AG1292" s="4">
        <f>$O$1292*$AA$1292</f>
        <v>-236970.26739032895</v>
      </c>
    </row>
    <row r="1293" spans="1:33" ht="11.25" customHeight="1" x14ac:dyDescent="0.25">
      <c r="A1293" s="3" t="s">
        <v>28</v>
      </c>
      <c r="B1293" s="3" t="s">
        <v>22</v>
      </c>
      <c r="C1293" s="3" t="s">
        <v>23</v>
      </c>
      <c r="D1293" s="3" t="s">
        <v>24</v>
      </c>
      <c r="E1293" s="3" t="s">
        <v>24</v>
      </c>
      <c r="F1293" s="3" t="s">
        <v>25</v>
      </c>
      <c r="G1293" s="3" t="s">
        <v>25</v>
      </c>
      <c r="H1293" s="3" t="s">
        <v>25</v>
      </c>
      <c r="I1293" s="6">
        <v>44378</v>
      </c>
      <c r="J1293" s="4">
        <v>0</v>
      </c>
      <c r="K1293" s="4">
        <v>0</v>
      </c>
      <c r="L1293" s="4">
        <v>715.673</v>
      </c>
      <c r="M1293" s="4">
        <v>715.673</v>
      </c>
      <c r="N1293" s="4">
        <v>715.673</v>
      </c>
      <c r="O1293" s="4">
        <v>715.673</v>
      </c>
      <c r="P1293" s="4">
        <v>3834</v>
      </c>
      <c r="Q1293" s="3" t="s">
        <v>26</v>
      </c>
      <c r="R1293" s="3">
        <v>0</v>
      </c>
      <c r="S1293" s="4">
        <v>0</v>
      </c>
      <c r="T1293" s="4">
        <v>48</v>
      </c>
      <c r="U1293" s="4">
        <v>65</v>
      </c>
      <c r="V1293" s="4">
        <f>IF(ISERROR(VLOOKUP($S$1293,'TAR FIN'!$A$1:$O$113,15,0)),0,VLOOKUP($S$1293,'TAR FIN'!$A$1:$O$113,15,0))</f>
        <v>0</v>
      </c>
      <c r="W1293" s="4">
        <f>IF(ISERROR(VLOOKUP($T$1293,'TAR FIN'!$A$1:$O$113,15,0)),0,VLOOKUP($T$1293,'TAR FIN'!$A$1:$O$113,15,0))</f>
        <v>346.2</v>
      </c>
      <c r="X1293" s="4">
        <f>IF(ISERROR(VLOOKUP($U$1293,'TAR FIN'!$A$1:$O$113,15,0)),0,VLOOKUP($U$1293,'TAR FIN'!$A$1:$O$113,15,0))</f>
        <v>234.24</v>
      </c>
      <c r="Y1293" s="4"/>
      <c r="Z1293" s="4">
        <f ca="1">('TUSD BE'!$AM$40+'TUSD BF'!$AM$40+'TUSD CVA'!$AM$40)*1</f>
        <v>411.14246090221764</v>
      </c>
      <c r="AA1293" s="4">
        <f>('TE BE'!$AA$19+'TE BF'!$AA$19+'TE CVA'!$AA$19)*1</f>
        <v>234.67932779241937</v>
      </c>
      <c r="AB1293" s="4">
        <f>$K$1293*$V$1293</f>
        <v>0</v>
      </c>
      <c r="AC1293" s="4">
        <f>$M$1293*$W$1293</f>
        <v>247765.9926</v>
      </c>
      <c r="AD1293" s="4">
        <f>$O$1293*$X$1293</f>
        <v>167639.24352000002</v>
      </c>
      <c r="AE1293" s="4">
        <f>$K$1293*$Y$1293</f>
        <v>0</v>
      </c>
      <c r="AF1293" s="4">
        <f ca="1">$M$1293*$Z$1293</f>
        <v>294243.55842127278</v>
      </c>
      <c r="AG1293" s="4">
        <f>$O$1293*$AA$1293</f>
        <v>167953.65855918414</v>
      </c>
    </row>
    <row r="1294" spans="1:33" ht="11.25" customHeight="1" x14ac:dyDescent="0.25">
      <c r="A1294" s="3" t="s">
        <v>28</v>
      </c>
      <c r="B1294" s="3" t="s">
        <v>22</v>
      </c>
      <c r="C1294" s="3" t="s">
        <v>23</v>
      </c>
      <c r="D1294" s="3" t="s">
        <v>24</v>
      </c>
      <c r="E1294" s="3" t="s">
        <v>24</v>
      </c>
      <c r="F1294" s="3" t="s">
        <v>25</v>
      </c>
      <c r="G1294" s="3" t="s">
        <v>25</v>
      </c>
      <c r="H1294" s="3" t="s">
        <v>25</v>
      </c>
      <c r="I1294" s="6">
        <v>44378</v>
      </c>
      <c r="J1294" s="4">
        <v>0</v>
      </c>
      <c r="K1294" s="4">
        <v>0</v>
      </c>
      <c r="L1294" s="4">
        <v>-4.7E-2</v>
      </c>
      <c r="M1294" s="4">
        <v>-4.7E-2</v>
      </c>
      <c r="N1294" s="4">
        <v>-4.7E-2</v>
      </c>
      <c r="O1294" s="4">
        <v>-4.7E-2</v>
      </c>
      <c r="P1294" s="4">
        <v>0</v>
      </c>
      <c r="Q1294" s="3" t="s">
        <v>26</v>
      </c>
      <c r="R1294" s="3">
        <v>0</v>
      </c>
      <c r="S1294" s="4">
        <v>0</v>
      </c>
      <c r="T1294" s="4">
        <v>48</v>
      </c>
      <c r="U1294" s="4">
        <v>65</v>
      </c>
      <c r="V1294" s="4">
        <f>IF(ISERROR(VLOOKUP($S$1294,'TAR FIN'!$A$1:$O$113,15,0)),0,VLOOKUP($S$1294,'TAR FIN'!$A$1:$O$113,15,0))</f>
        <v>0</v>
      </c>
      <c r="W1294" s="4">
        <f>IF(ISERROR(VLOOKUP($T$1294,'TAR FIN'!$A$1:$O$113,15,0)),0,VLOOKUP($T$1294,'TAR FIN'!$A$1:$O$113,15,0))</f>
        <v>346.2</v>
      </c>
      <c r="X1294" s="4">
        <f>IF(ISERROR(VLOOKUP($U$1294,'TAR FIN'!$A$1:$O$113,15,0)),0,VLOOKUP($U$1294,'TAR FIN'!$A$1:$O$113,15,0))</f>
        <v>234.24</v>
      </c>
      <c r="Y1294" s="4"/>
      <c r="Z1294" s="4">
        <f ca="1">('TUSD BE'!$AM$40+'TUSD BF'!$AM$40+'TUSD CVA'!$AM$40)*1</f>
        <v>411.14246090221764</v>
      </c>
      <c r="AA1294" s="4">
        <f>('TE BE'!$AA$19+'TE BF'!$AA$19+'TE CVA'!$AA$19)*1</f>
        <v>234.67932779241937</v>
      </c>
      <c r="AB1294" s="4">
        <f>$K$1294*$V$1294</f>
        <v>0</v>
      </c>
      <c r="AC1294" s="4">
        <f>$M$1294*$W$1294</f>
        <v>-16.2714</v>
      </c>
      <c r="AD1294" s="4">
        <f>$O$1294*$X$1294</f>
        <v>-11.00928</v>
      </c>
      <c r="AE1294" s="4">
        <f>$K$1294*$Y$1294</f>
        <v>0</v>
      </c>
      <c r="AF1294" s="4">
        <f ca="1">$M$1294*$Z$1294</f>
        <v>-19.32369566240423</v>
      </c>
      <c r="AG1294" s="4">
        <f>$O$1294*$AA$1294</f>
        <v>-11.029928406243711</v>
      </c>
    </row>
    <row r="1295" spans="1:33" ht="11.25" customHeight="1" x14ac:dyDescent="0.25">
      <c r="A1295" s="3" t="s">
        <v>21</v>
      </c>
      <c r="B1295" s="3" t="s">
        <v>22</v>
      </c>
      <c r="C1295" s="3" t="s">
        <v>23</v>
      </c>
      <c r="D1295" s="3" t="s">
        <v>24</v>
      </c>
      <c r="E1295" s="3" t="s">
        <v>24</v>
      </c>
      <c r="F1295" s="3" t="s">
        <v>25</v>
      </c>
      <c r="G1295" s="3" t="s">
        <v>25</v>
      </c>
      <c r="H1295" s="3" t="s">
        <v>25</v>
      </c>
      <c r="I1295" s="6">
        <v>44409</v>
      </c>
      <c r="J1295" s="4">
        <v>0</v>
      </c>
      <c r="K1295" s="4">
        <v>0</v>
      </c>
      <c r="L1295" s="4">
        <v>68285.770999999993</v>
      </c>
      <c r="M1295" s="4">
        <v>68285.770999999993</v>
      </c>
      <c r="N1295" s="4">
        <v>68285.770999999993</v>
      </c>
      <c r="O1295" s="4">
        <v>68285.770999999993</v>
      </c>
      <c r="P1295" s="4">
        <v>507048</v>
      </c>
      <c r="Q1295" s="3" t="s">
        <v>26</v>
      </c>
      <c r="R1295" s="3">
        <v>0</v>
      </c>
      <c r="S1295" s="4">
        <v>0</v>
      </c>
      <c r="T1295" s="4">
        <v>48</v>
      </c>
      <c r="U1295" s="4">
        <v>65</v>
      </c>
      <c r="V1295" s="4">
        <f>IF(ISERROR(VLOOKUP($S$1295,'TAR FIN'!$A$1:$O$113,15,0)),0,VLOOKUP($S$1295,'TAR FIN'!$A$1:$O$113,15,0))</f>
        <v>0</v>
      </c>
      <c r="W1295" s="4">
        <f>IF(ISERROR(VLOOKUP($T$1295,'TAR FIN'!$A$1:$O$113,15,0)),0,VLOOKUP($T$1295,'TAR FIN'!$A$1:$O$113,15,0))</f>
        <v>346.2</v>
      </c>
      <c r="X1295" s="4">
        <f>IF(ISERROR(VLOOKUP($U$1295,'TAR FIN'!$A$1:$O$113,15,0)),0,VLOOKUP($U$1295,'TAR FIN'!$A$1:$O$113,15,0))</f>
        <v>234.24</v>
      </c>
      <c r="Y1295" s="4"/>
      <c r="Z1295" s="4">
        <f ca="1">('TUSD BE'!$AM$40+'TUSD BF'!$AM$40+'TUSD CVA'!$AM$40)*1</f>
        <v>411.14246090221764</v>
      </c>
      <c r="AA1295" s="4">
        <f>('TE BE'!$AA$19+'TE BF'!$AA$19+'TE CVA'!$AA$19)*1</f>
        <v>234.67932779241937</v>
      </c>
      <c r="AB1295" s="4">
        <f>$K$1295*$V$1295</f>
        <v>0</v>
      </c>
      <c r="AC1295" s="4">
        <f>$M$1295*$W$1295</f>
        <v>23640533.920199998</v>
      </c>
      <c r="AD1295" s="4">
        <f>$O$1295*$X$1295</f>
        <v>15995258.999039998</v>
      </c>
      <c r="AE1295" s="4">
        <f>$K$1295*$Y$1295</f>
        <v>0</v>
      </c>
      <c r="AF1295" s="4">
        <f ca="1">$M$1295*$Z$1295</f>
        <v>28075179.933545284</v>
      </c>
      <c r="AG1295" s="4">
        <f>$O$1295*$AA$1295</f>
        <v>16025258.836067082</v>
      </c>
    </row>
    <row r="1296" spans="1:33" ht="11.25" customHeight="1" x14ac:dyDescent="0.25">
      <c r="A1296" s="3" t="s">
        <v>27</v>
      </c>
      <c r="B1296" s="3" t="s">
        <v>22</v>
      </c>
      <c r="C1296" s="3" t="s">
        <v>23</v>
      </c>
      <c r="D1296" s="3" t="s">
        <v>24</v>
      </c>
      <c r="E1296" s="3" t="s">
        <v>24</v>
      </c>
      <c r="F1296" s="3" t="s">
        <v>25</v>
      </c>
      <c r="G1296" s="3" t="s">
        <v>25</v>
      </c>
      <c r="H1296" s="3" t="s">
        <v>25</v>
      </c>
      <c r="I1296" s="6">
        <v>44409</v>
      </c>
      <c r="J1296" s="4">
        <v>0</v>
      </c>
      <c r="K1296" s="4">
        <v>0</v>
      </c>
      <c r="L1296" s="4">
        <v>-323.86099999999999</v>
      </c>
      <c r="M1296" s="4">
        <v>-323.86099999999999</v>
      </c>
      <c r="N1296" s="4">
        <v>-323.86099999999999</v>
      </c>
      <c r="O1296" s="4">
        <v>-323.86099999999999</v>
      </c>
      <c r="P1296" s="4">
        <v>-174</v>
      </c>
      <c r="Q1296" s="3" t="s">
        <v>26</v>
      </c>
      <c r="R1296" s="3">
        <v>0</v>
      </c>
      <c r="S1296" s="4">
        <v>0</v>
      </c>
      <c r="T1296" s="4">
        <v>48</v>
      </c>
      <c r="U1296" s="4">
        <v>65</v>
      </c>
      <c r="V1296" s="4">
        <f>IF(ISERROR(VLOOKUP($S$1296,'TAR FIN'!$A$1:$O$113,15,0)),0,VLOOKUP($S$1296,'TAR FIN'!$A$1:$O$113,15,0))</f>
        <v>0</v>
      </c>
      <c r="W1296" s="4">
        <f>IF(ISERROR(VLOOKUP($T$1296,'TAR FIN'!$A$1:$O$113,15,0)),0,VLOOKUP($T$1296,'TAR FIN'!$A$1:$O$113,15,0))</f>
        <v>346.2</v>
      </c>
      <c r="X1296" s="4">
        <f>IF(ISERROR(VLOOKUP($U$1296,'TAR FIN'!$A$1:$O$113,15,0)),0,VLOOKUP($U$1296,'TAR FIN'!$A$1:$O$113,15,0))</f>
        <v>234.24</v>
      </c>
      <c r="Y1296" s="4"/>
      <c r="Z1296" s="4">
        <f ca="1">('TUSD BE'!$AM$40+'TUSD BF'!$AM$40+'TUSD CVA'!$AM$40)*1</f>
        <v>411.14246090221764</v>
      </c>
      <c r="AA1296" s="4">
        <f>('TE BE'!$AA$19+'TE BF'!$AA$19+'TE CVA'!$AA$19)*1</f>
        <v>234.67932779241937</v>
      </c>
      <c r="AB1296" s="4">
        <f>$K$1296*$V$1296</f>
        <v>0</v>
      </c>
      <c r="AC1296" s="4">
        <f>$M$1296*$W$1296</f>
        <v>-112120.67819999999</v>
      </c>
      <c r="AD1296" s="4">
        <f>$O$1296*$X$1296</f>
        <v>-75861.200639999995</v>
      </c>
      <c r="AE1296" s="4">
        <f>$K$1296*$Y$1296</f>
        <v>0</v>
      </c>
      <c r="AF1296" s="4">
        <f ca="1">$M$1296*$Z$1296</f>
        <v>-133153.00853025311</v>
      </c>
      <c r="AG1296" s="4">
        <f>$O$1296*$AA$1296</f>
        <v>-76003.481778180721</v>
      </c>
    </row>
    <row r="1297" spans="1:33" ht="11.25" customHeight="1" x14ac:dyDescent="0.25">
      <c r="A1297" s="3" t="s">
        <v>28</v>
      </c>
      <c r="B1297" s="3" t="s">
        <v>22</v>
      </c>
      <c r="C1297" s="3" t="s">
        <v>23</v>
      </c>
      <c r="D1297" s="3" t="s">
        <v>24</v>
      </c>
      <c r="E1297" s="3" t="s">
        <v>24</v>
      </c>
      <c r="F1297" s="3" t="s">
        <v>25</v>
      </c>
      <c r="G1297" s="3" t="s">
        <v>25</v>
      </c>
      <c r="H1297" s="3" t="s">
        <v>25</v>
      </c>
      <c r="I1297" s="6">
        <v>44409</v>
      </c>
      <c r="J1297" s="4">
        <v>0</v>
      </c>
      <c r="K1297" s="4">
        <v>0</v>
      </c>
      <c r="L1297" s="4">
        <v>642.66</v>
      </c>
      <c r="M1297" s="4">
        <v>642.66</v>
      </c>
      <c r="N1297" s="4">
        <v>642.66</v>
      </c>
      <c r="O1297" s="4">
        <v>642.66</v>
      </c>
      <c r="P1297" s="4">
        <v>4026</v>
      </c>
      <c r="Q1297" s="3" t="s">
        <v>26</v>
      </c>
      <c r="R1297" s="3">
        <v>0</v>
      </c>
      <c r="S1297" s="4">
        <v>0</v>
      </c>
      <c r="T1297" s="4">
        <v>48</v>
      </c>
      <c r="U1297" s="4">
        <v>65</v>
      </c>
      <c r="V1297" s="4">
        <f>IF(ISERROR(VLOOKUP($S$1297,'TAR FIN'!$A$1:$O$113,15,0)),0,VLOOKUP($S$1297,'TAR FIN'!$A$1:$O$113,15,0))</f>
        <v>0</v>
      </c>
      <c r="W1297" s="4">
        <f>IF(ISERROR(VLOOKUP($T$1297,'TAR FIN'!$A$1:$O$113,15,0)),0,VLOOKUP($T$1297,'TAR FIN'!$A$1:$O$113,15,0))</f>
        <v>346.2</v>
      </c>
      <c r="X1297" s="4">
        <f>IF(ISERROR(VLOOKUP($U$1297,'TAR FIN'!$A$1:$O$113,15,0)),0,VLOOKUP($U$1297,'TAR FIN'!$A$1:$O$113,15,0))</f>
        <v>234.24</v>
      </c>
      <c r="Y1297" s="4"/>
      <c r="Z1297" s="4">
        <f ca="1">('TUSD BE'!$AM$40+'TUSD BF'!$AM$40+'TUSD CVA'!$AM$40)*1</f>
        <v>411.14246090221764</v>
      </c>
      <c r="AA1297" s="4">
        <f>('TE BE'!$AA$19+'TE BF'!$AA$19+'TE CVA'!$AA$19)*1</f>
        <v>234.67932779241937</v>
      </c>
      <c r="AB1297" s="4">
        <f>$K$1297*$V$1297</f>
        <v>0</v>
      </c>
      <c r="AC1297" s="4">
        <f>$M$1297*$W$1297</f>
        <v>222488.89199999999</v>
      </c>
      <c r="AD1297" s="4">
        <f>$O$1297*$X$1297</f>
        <v>150536.6784</v>
      </c>
      <c r="AE1297" s="4">
        <f>$K$1297*$Y$1297</f>
        <v>0</v>
      </c>
      <c r="AF1297" s="4">
        <f ca="1">$M$1297*$Z$1297</f>
        <v>264224.81392341916</v>
      </c>
      <c r="AG1297" s="4">
        <f>$O$1297*$AA$1297</f>
        <v>150819.01679907623</v>
      </c>
    </row>
    <row r="1298" spans="1:33" ht="11.25" customHeight="1" x14ac:dyDescent="0.25">
      <c r="A1298" s="3" t="s">
        <v>28</v>
      </c>
      <c r="B1298" s="3" t="s">
        <v>22</v>
      </c>
      <c r="C1298" s="3" t="s">
        <v>23</v>
      </c>
      <c r="D1298" s="3" t="s">
        <v>24</v>
      </c>
      <c r="E1298" s="3" t="s">
        <v>24</v>
      </c>
      <c r="F1298" s="3" t="s">
        <v>25</v>
      </c>
      <c r="G1298" s="3" t="s">
        <v>25</v>
      </c>
      <c r="H1298" s="3" t="s">
        <v>25</v>
      </c>
      <c r="I1298" s="6">
        <v>44409</v>
      </c>
      <c r="J1298" s="4">
        <v>0</v>
      </c>
      <c r="K1298" s="4">
        <v>0</v>
      </c>
      <c r="L1298" s="4">
        <v>-8.2370000000000001</v>
      </c>
      <c r="M1298" s="4">
        <v>-8.2370000000000001</v>
      </c>
      <c r="N1298" s="4">
        <v>-8.2370000000000001</v>
      </c>
      <c r="O1298" s="4">
        <v>-8.2370000000000001</v>
      </c>
      <c r="P1298" s="4">
        <v>0</v>
      </c>
      <c r="Q1298" s="3" t="s">
        <v>26</v>
      </c>
      <c r="R1298" s="3">
        <v>0</v>
      </c>
      <c r="S1298" s="4">
        <v>0</v>
      </c>
      <c r="T1298" s="4">
        <v>48</v>
      </c>
      <c r="U1298" s="4">
        <v>65</v>
      </c>
      <c r="V1298" s="4">
        <f>IF(ISERROR(VLOOKUP($S$1298,'TAR FIN'!$A$1:$O$113,15,0)),0,VLOOKUP($S$1298,'TAR FIN'!$A$1:$O$113,15,0))</f>
        <v>0</v>
      </c>
      <c r="W1298" s="4">
        <f>IF(ISERROR(VLOOKUP($T$1298,'TAR FIN'!$A$1:$O$113,15,0)),0,VLOOKUP($T$1298,'TAR FIN'!$A$1:$O$113,15,0))</f>
        <v>346.2</v>
      </c>
      <c r="X1298" s="4">
        <f>IF(ISERROR(VLOOKUP($U$1298,'TAR FIN'!$A$1:$O$113,15,0)),0,VLOOKUP($U$1298,'TAR FIN'!$A$1:$O$113,15,0))</f>
        <v>234.24</v>
      </c>
      <c r="Y1298" s="4"/>
      <c r="Z1298" s="4">
        <f ca="1">('TUSD BE'!$AM$40+'TUSD BF'!$AM$40+'TUSD CVA'!$AM$40)*1</f>
        <v>411.14246090221764</v>
      </c>
      <c r="AA1298" s="4">
        <f>('TE BE'!$AA$19+'TE BF'!$AA$19+'TE CVA'!$AA$19)*1</f>
        <v>234.67932779241937</v>
      </c>
      <c r="AB1298" s="4">
        <f>$K$1298*$V$1298</f>
        <v>0</v>
      </c>
      <c r="AC1298" s="4">
        <f>$M$1298*$W$1298</f>
        <v>-2851.6493999999998</v>
      </c>
      <c r="AD1298" s="4">
        <f>$O$1298*$X$1298</f>
        <v>-1929.43488</v>
      </c>
      <c r="AE1298" s="4">
        <f>$K$1298*$Y$1298</f>
        <v>0</v>
      </c>
      <c r="AF1298" s="4">
        <f ca="1">$M$1298*$Z$1298</f>
        <v>-3386.5804504515668</v>
      </c>
      <c r="AG1298" s="4">
        <f>$O$1298*$AA$1298</f>
        <v>-1933.0536230261584</v>
      </c>
    </row>
    <row r="1299" spans="1:33" ht="11.25" customHeight="1" x14ac:dyDescent="0.25">
      <c r="A1299" s="3" t="s">
        <v>21</v>
      </c>
      <c r="B1299" s="3" t="s">
        <v>22</v>
      </c>
      <c r="C1299" s="3" t="s">
        <v>23</v>
      </c>
      <c r="D1299" s="3" t="s">
        <v>24</v>
      </c>
      <c r="E1299" s="3" t="s">
        <v>24</v>
      </c>
      <c r="F1299" s="3" t="s">
        <v>25</v>
      </c>
      <c r="G1299" s="3" t="s">
        <v>25</v>
      </c>
      <c r="H1299" s="3" t="s">
        <v>25</v>
      </c>
      <c r="I1299" s="6">
        <v>44440</v>
      </c>
      <c r="J1299" s="4">
        <v>0</v>
      </c>
      <c r="K1299" s="4">
        <v>0</v>
      </c>
      <c r="L1299" s="4">
        <v>68394.902000000002</v>
      </c>
      <c r="M1299" s="4">
        <v>68394.902000000002</v>
      </c>
      <c r="N1299" s="4">
        <v>68394.902000000002</v>
      </c>
      <c r="O1299" s="4">
        <v>68394.902000000002</v>
      </c>
      <c r="P1299" s="4">
        <v>509182</v>
      </c>
      <c r="Q1299" s="3" t="s">
        <v>26</v>
      </c>
      <c r="R1299" s="3">
        <v>0</v>
      </c>
      <c r="S1299" s="4">
        <v>0</v>
      </c>
      <c r="T1299" s="4">
        <v>48</v>
      </c>
      <c r="U1299" s="4">
        <v>65</v>
      </c>
      <c r="V1299" s="4">
        <f>IF(ISERROR(VLOOKUP($S$1299,'TAR FIN'!$A$1:$O$113,15,0)),0,VLOOKUP($S$1299,'TAR FIN'!$A$1:$O$113,15,0))</f>
        <v>0</v>
      </c>
      <c r="W1299" s="4">
        <f>IF(ISERROR(VLOOKUP($T$1299,'TAR FIN'!$A$1:$O$113,15,0)),0,VLOOKUP($T$1299,'TAR FIN'!$A$1:$O$113,15,0))</f>
        <v>346.2</v>
      </c>
      <c r="X1299" s="4">
        <f>IF(ISERROR(VLOOKUP($U$1299,'TAR FIN'!$A$1:$O$113,15,0)),0,VLOOKUP($U$1299,'TAR FIN'!$A$1:$O$113,15,0))</f>
        <v>234.24</v>
      </c>
      <c r="Y1299" s="4"/>
      <c r="Z1299" s="4">
        <f ca="1">('TUSD BE'!$AM$40+'TUSD BF'!$AM$40+'TUSD CVA'!$AM$40)*1</f>
        <v>411.14246090221764</v>
      </c>
      <c r="AA1299" s="4">
        <f>('TE BE'!$AA$19+'TE BF'!$AA$19+'TE CVA'!$AA$19)*1</f>
        <v>234.67932779241937</v>
      </c>
      <c r="AB1299" s="4">
        <f>$K$1299*$V$1299</f>
        <v>0</v>
      </c>
      <c r="AC1299" s="4">
        <f>$M$1299*$W$1299</f>
        <v>23678315.0724</v>
      </c>
      <c r="AD1299" s="4">
        <f>$O$1299*$X$1299</f>
        <v>16020821.84448</v>
      </c>
      <c r="AE1299" s="4">
        <f>$K$1299*$Y$1299</f>
        <v>0</v>
      </c>
      <c r="AF1299" s="4">
        <f ca="1">$M$1299*$Z$1299</f>
        <v>28120048.321446009</v>
      </c>
      <c r="AG1299" s="4">
        <f>$O$1299*$AA$1299</f>
        <v>16050869.6257884</v>
      </c>
    </row>
    <row r="1300" spans="1:33" ht="11.25" customHeight="1" x14ac:dyDescent="0.25">
      <c r="A1300" s="3" t="s">
        <v>27</v>
      </c>
      <c r="B1300" s="3" t="s">
        <v>22</v>
      </c>
      <c r="C1300" s="3" t="s">
        <v>23</v>
      </c>
      <c r="D1300" s="3" t="s">
        <v>24</v>
      </c>
      <c r="E1300" s="3" t="s">
        <v>24</v>
      </c>
      <c r="F1300" s="3" t="s">
        <v>25</v>
      </c>
      <c r="G1300" s="3" t="s">
        <v>25</v>
      </c>
      <c r="H1300" s="3" t="s">
        <v>25</v>
      </c>
      <c r="I1300" s="6">
        <v>44440</v>
      </c>
      <c r="J1300" s="4">
        <v>0</v>
      </c>
      <c r="K1300" s="4">
        <v>0</v>
      </c>
      <c r="L1300" s="4">
        <v>-168.74199999999999</v>
      </c>
      <c r="M1300" s="4">
        <v>-168.74199999999999</v>
      </c>
      <c r="N1300" s="4">
        <v>-168.74199999999999</v>
      </c>
      <c r="O1300" s="4">
        <v>-168.74199999999999</v>
      </c>
      <c r="P1300" s="4">
        <v>-53</v>
      </c>
      <c r="Q1300" s="3" t="s">
        <v>26</v>
      </c>
      <c r="R1300" s="3">
        <v>0</v>
      </c>
      <c r="S1300" s="4">
        <v>0</v>
      </c>
      <c r="T1300" s="4">
        <v>48</v>
      </c>
      <c r="U1300" s="4">
        <v>65</v>
      </c>
      <c r="V1300" s="4">
        <f>IF(ISERROR(VLOOKUP($S$1300,'TAR FIN'!$A$1:$O$113,15,0)),0,VLOOKUP($S$1300,'TAR FIN'!$A$1:$O$113,15,0))</f>
        <v>0</v>
      </c>
      <c r="W1300" s="4">
        <f>IF(ISERROR(VLOOKUP($T$1300,'TAR FIN'!$A$1:$O$113,15,0)),0,VLOOKUP($T$1300,'TAR FIN'!$A$1:$O$113,15,0))</f>
        <v>346.2</v>
      </c>
      <c r="X1300" s="4">
        <f>IF(ISERROR(VLOOKUP($U$1300,'TAR FIN'!$A$1:$O$113,15,0)),0,VLOOKUP($U$1300,'TAR FIN'!$A$1:$O$113,15,0))</f>
        <v>234.24</v>
      </c>
      <c r="Y1300" s="4"/>
      <c r="Z1300" s="4">
        <f ca="1">('TUSD BE'!$AM$40+'TUSD BF'!$AM$40+'TUSD CVA'!$AM$40)*1</f>
        <v>411.14246090221764</v>
      </c>
      <c r="AA1300" s="4">
        <f>('TE BE'!$AA$19+'TE BF'!$AA$19+'TE CVA'!$AA$19)*1</f>
        <v>234.67932779241937</v>
      </c>
      <c r="AB1300" s="4">
        <f>$K$1300*$V$1300</f>
        <v>0</v>
      </c>
      <c r="AC1300" s="4">
        <f>$M$1300*$W$1300</f>
        <v>-58418.480399999993</v>
      </c>
      <c r="AD1300" s="4">
        <f>$O$1300*$X$1300</f>
        <v>-39526.126080000002</v>
      </c>
      <c r="AE1300" s="4">
        <f>$K$1300*$Y$1300</f>
        <v>0</v>
      </c>
      <c r="AF1300" s="4">
        <f ca="1">$M$1300*$Z$1300</f>
        <v>-69377.001137562009</v>
      </c>
      <c r="AG1300" s="4">
        <f>$O$1300*$AA$1300</f>
        <v>-39600.25913034843</v>
      </c>
    </row>
    <row r="1301" spans="1:33" ht="11.25" customHeight="1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 t="s">
        <v>24</v>
      </c>
      <c r="F1301" s="3" t="s">
        <v>25</v>
      </c>
      <c r="G1301" s="3" t="s">
        <v>25</v>
      </c>
      <c r="H1301" s="3" t="s">
        <v>25</v>
      </c>
      <c r="I1301" s="6">
        <v>44440</v>
      </c>
      <c r="J1301" s="4">
        <v>0</v>
      </c>
      <c r="K1301" s="4">
        <v>0</v>
      </c>
      <c r="L1301" s="4">
        <v>656.721</v>
      </c>
      <c r="M1301" s="4">
        <v>656.721</v>
      </c>
      <c r="N1301" s="4">
        <v>656.721</v>
      </c>
      <c r="O1301" s="4">
        <v>656.721</v>
      </c>
      <c r="P1301" s="4">
        <v>4221</v>
      </c>
      <c r="Q1301" s="3" t="s">
        <v>26</v>
      </c>
      <c r="R1301" s="3">
        <v>0</v>
      </c>
      <c r="S1301" s="4">
        <v>0</v>
      </c>
      <c r="T1301" s="4">
        <v>48</v>
      </c>
      <c r="U1301" s="4">
        <v>65</v>
      </c>
      <c r="V1301" s="4">
        <f>IF(ISERROR(VLOOKUP($S$1301,'TAR FIN'!$A$1:$O$113,15,0)),0,VLOOKUP($S$1301,'TAR FIN'!$A$1:$O$113,15,0))</f>
        <v>0</v>
      </c>
      <c r="W1301" s="4">
        <f>IF(ISERROR(VLOOKUP($T$1301,'TAR FIN'!$A$1:$O$113,15,0)),0,VLOOKUP($T$1301,'TAR FIN'!$A$1:$O$113,15,0))</f>
        <v>346.2</v>
      </c>
      <c r="X1301" s="4">
        <f>IF(ISERROR(VLOOKUP($U$1301,'TAR FIN'!$A$1:$O$113,15,0)),0,VLOOKUP($U$1301,'TAR FIN'!$A$1:$O$113,15,0))</f>
        <v>234.24</v>
      </c>
      <c r="Y1301" s="4"/>
      <c r="Z1301" s="4">
        <f ca="1">('TUSD BE'!$AM$40+'TUSD BF'!$AM$40+'TUSD CVA'!$AM$40)*1</f>
        <v>411.14246090221764</v>
      </c>
      <c r="AA1301" s="4">
        <f>('TE BE'!$AA$19+'TE BF'!$AA$19+'TE CVA'!$AA$19)*1</f>
        <v>234.67932779241937</v>
      </c>
      <c r="AB1301" s="4">
        <f>$K$1301*$V$1301</f>
        <v>0</v>
      </c>
      <c r="AC1301" s="4">
        <f>$M$1301*$W$1301</f>
        <v>227356.81020000001</v>
      </c>
      <c r="AD1301" s="4">
        <f>$O$1301*$X$1301</f>
        <v>153830.32704</v>
      </c>
      <c r="AE1301" s="4">
        <f>$K$1301*$Y$1301</f>
        <v>0</v>
      </c>
      <c r="AF1301" s="4">
        <f ca="1">$M$1301*$Z$1301</f>
        <v>270005.88806616527</v>
      </c>
      <c r="AG1301" s="4">
        <f>$O$1301*$AA$1301</f>
        <v>154118.84282716544</v>
      </c>
    </row>
    <row r="1302" spans="1:33" ht="11.25" customHeight="1" x14ac:dyDescent="0.25">
      <c r="A1302" s="3" t="s">
        <v>28</v>
      </c>
      <c r="B1302" s="3" t="s">
        <v>22</v>
      </c>
      <c r="C1302" s="3" t="s">
        <v>23</v>
      </c>
      <c r="D1302" s="3" t="s">
        <v>24</v>
      </c>
      <c r="E1302" s="3" t="s">
        <v>24</v>
      </c>
      <c r="F1302" s="3" t="s">
        <v>25</v>
      </c>
      <c r="G1302" s="3" t="s">
        <v>25</v>
      </c>
      <c r="H1302" s="3" t="s">
        <v>25</v>
      </c>
      <c r="I1302" s="6">
        <v>44440</v>
      </c>
      <c r="J1302" s="4">
        <v>0</v>
      </c>
      <c r="K1302" s="4">
        <v>0</v>
      </c>
      <c r="L1302" s="4">
        <v>-10.647</v>
      </c>
      <c r="M1302" s="4">
        <v>-10.647</v>
      </c>
      <c r="N1302" s="4">
        <v>-10.647</v>
      </c>
      <c r="O1302" s="4">
        <v>-10.647</v>
      </c>
      <c r="P1302" s="4">
        <v>0</v>
      </c>
      <c r="Q1302" s="3" t="s">
        <v>26</v>
      </c>
      <c r="R1302" s="3">
        <v>0</v>
      </c>
      <c r="S1302" s="4">
        <v>0</v>
      </c>
      <c r="T1302" s="4">
        <v>48</v>
      </c>
      <c r="U1302" s="4">
        <v>65</v>
      </c>
      <c r="V1302" s="4">
        <f>IF(ISERROR(VLOOKUP($S$1302,'TAR FIN'!$A$1:$O$113,15,0)),0,VLOOKUP($S$1302,'TAR FIN'!$A$1:$O$113,15,0))</f>
        <v>0</v>
      </c>
      <c r="W1302" s="4">
        <f>IF(ISERROR(VLOOKUP($T$1302,'TAR FIN'!$A$1:$O$113,15,0)),0,VLOOKUP($T$1302,'TAR FIN'!$A$1:$O$113,15,0))</f>
        <v>346.2</v>
      </c>
      <c r="X1302" s="4">
        <f>IF(ISERROR(VLOOKUP($U$1302,'TAR FIN'!$A$1:$O$113,15,0)),0,VLOOKUP($U$1302,'TAR FIN'!$A$1:$O$113,15,0))</f>
        <v>234.24</v>
      </c>
      <c r="Y1302" s="4"/>
      <c r="Z1302" s="4">
        <f ca="1">('TUSD BE'!$AM$40+'TUSD BF'!$AM$40+'TUSD CVA'!$AM$40)*1</f>
        <v>411.14246090221764</v>
      </c>
      <c r="AA1302" s="4">
        <f>('TE BE'!$AA$19+'TE BF'!$AA$19+'TE CVA'!$AA$19)*1</f>
        <v>234.67932779241937</v>
      </c>
      <c r="AB1302" s="4">
        <f>$K$1302*$V$1302</f>
        <v>0</v>
      </c>
      <c r="AC1302" s="4">
        <f>$M$1302*$W$1302</f>
        <v>-3685.9913999999999</v>
      </c>
      <c r="AD1302" s="4">
        <f>$O$1302*$X$1302</f>
        <v>-2493.9532800000002</v>
      </c>
      <c r="AE1302" s="4">
        <f>$K$1302*$Y$1302</f>
        <v>0</v>
      </c>
      <c r="AF1302" s="4">
        <f ca="1">$M$1302*$Z$1302</f>
        <v>-4377.4337812259109</v>
      </c>
      <c r="AG1302" s="4">
        <f>$O$1302*$AA$1302</f>
        <v>-2498.630803005889</v>
      </c>
    </row>
    <row r="1303" spans="1:33" ht="11.25" customHeight="1" x14ac:dyDescent="0.25">
      <c r="A1303" s="3" t="s">
        <v>21</v>
      </c>
      <c r="B1303" s="3" t="s">
        <v>22</v>
      </c>
      <c r="C1303" s="3" t="s">
        <v>23</v>
      </c>
      <c r="D1303" s="3" t="s">
        <v>24</v>
      </c>
      <c r="E1303" s="3" t="s">
        <v>24</v>
      </c>
      <c r="F1303" s="3" t="s">
        <v>25</v>
      </c>
      <c r="G1303" s="3" t="s">
        <v>25</v>
      </c>
      <c r="H1303" s="3" t="s">
        <v>25</v>
      </c>
      <c r="I1303" s="6">
        <v>44470</v>
      </c>
      <c r="J1303" s="4">
        <v>0</v>
      </c>
      <c r="K1303" s="4">
        <v>0</v>
      </c>
      <c r="L1303" s="4">
        <v>70450.296000000002</v>
      </c>
      <c r="M1303" s="4">
        <v>70450.296000000002</v>
      </c>
      <c r="N1303" s="4">
        <v>70450.296000000002</v>
      </c>
      <c r="O1303" s="4">
        <v>70450.296000000002</v>
      </c>
      <c r="P1303" s="4">
        <v>506902</v>
      </c>
      <c r="Q1303" s="3" t="s">
        <v>26</v>
      </c>
      <c r="R1303" s="3">
        <v>0</v>
      </c>
      <c r="S1303" s="4">
        <v>0</v>
      </c>
      <c r="T1303" s="4">
        <v>48</v>
      </c>
      <c r="U1303" s="4">
        <v>65</v>
      </c>
      <c r="V1303" s="4">
        <f>IF(ISERROR(VLOOKUP($S$1303,'TAR FIN'!$A$1:$O$113,15,0)),0,VLOOKUP($S$1303,'TAR FIN'!$A$1:$O$113,15,0))</f>
        <v>0</v>
      </c>
      <c r="W1303" s="4">
        <f>IF(ISERROR(VLOOKUP($T$1303,'TAR FIN'!$A$1:$O$113,15,0)),0,VLOOKUP($T$1303,'TAR FIN'!$A$1:$O$113,15,0))</f>
        <v>346.2</v>
      </c>
      <c r="X1303" s="4">
        <f>IF(ISERROR(VLOOKUP($U$1303,'TAR FIN'!$A$1:$O$113,15,0)),0,VLOOKUP($U$1303,'TAR FIN'!$A$1:$O$113,15,0))</f>
        <v>234.24</v>
      </c>
      <c r="Y1303" s="4"/>
      <c r="Z1303" s="4">
        <f ca="1">('TUSD BE'!$AM$40+'TUSD BF'!$AM$40+'TUSD CVA'!$AM$40)*1</f>
        <v>411.14246090221764</v>
      </c>
      <c r="AA1303" s="4">
        <f>('TE BE'!$AA$19+'TE BF'!$AA$19+'TE CVA'!$AA$19)*1</f>
        <v>234.67932779241937</v>
      </c>
      <c r="AB1303" s="4">
        <f>$K$1303*$V$1303</f>
        <v>0</v>
      </c>
      <c r="AC1303" s="4">
        <f>$M$1303*$W$1303</f>
        <v>24389892.475200001</v>
      </c>
      <c r="AD1303" s="4">
        <f>$O$1303*$X$1303</f>
        <v>16502277.335040001</v>
      </c>
      <c r="AE1303" s="4">
        <f>$K$1303*$Y$1303</f>
        <v>0</v>
      </c>
      <c r="AF1303" s="4">
        <f ca="1">$M$1303*$Z$1303</f>
        <v>28965108.068729661</v>
      </c>
      <c r="AG1303" s="4">
        <f>$O$1303*$AA$1303</f>
        <v>16533228.108056972</v>
      </c>
    </row>
    <row r="1304" spans="1:33" ht="11.25" customHeight="1" x14ac:dyDescent="0.25">
      <c r="A1304" s="3" t="s">
        <v>27</v>
      </c>
      <c r="B1304" s="3" t="s">
        <v>22</v>
      </c>
      <c r="C1304" s="3" t="s">
        <v>23</v>
      </c>
      <c r="D1304" s="3" t="s">
        <v>24</v>
      </c>
      <c r="E1304" s="3" t="s">
        <v>24</v>
      </c>
      <c r="F1304" s="3" t="s">
        <v>25</v>
      </c>
      <c r="G1304" s="3" t="s">
        <v>25</v>
      </c>
      <c r="H1304" s="3" t="s">
        <v>25</v>
      </c>
      <c r="I1304" s="6">
        <v>44470</v>
      </c>
      <c r="J1304" s="4">
        <v>0</v>
      </c>
      <c r="K1304" s="4">
        <v>0</v>
      </c>
      <c r="L1304" s="4">
        <v>-134.63999999999999</v>
      </c>
      <c r="M1304" s="4">
        <v>-134.63999999999999</v>
      </c>
      <c r="N1304" s="4">
        <v>-134.63999999999999</v>
      </c>
      <c r="O1304" s="4">
        <v>-134.63999999999999</v>
      </c>
      <c r="P1304" s="4">
        <v>-83</v>
      </c>
      <c r="Q1304" s="3" t="s">
        <v>26</v>
      </c>
      <c r="R1304" s="3">
        <v>0</v>
      </c>
      <c r="S1304" s="4">
        <v>0</v>
      </c>
      <c r="T1304" s="4">
        <v>48</v>
      </c>
      <c r="U1304" s="4">
        <v>65</v>
      </c>
      <c r="V1304" s="4">
        <f>IF(ISERROR(VLOOKUP($S$1304,'TAR FIN'!$A$1:$O$113,15,0)),0,VLOOKUP($S$1304,'TAR FIN'!$A$1:$O$113,15,0))</f>
        <v>0</v>
      </c>
      <c r="W1304" s="4">
        <f>IF(ISERROR(VLOOKUP($T$1304,'TAR FIN'!$A$1:$O$113,15,0)),0,VLOOKUP($T$1304,'TAR FIN'!$A$1:$O$113,15,0))</f>
        <v>346.2</v>
      </c>
      <c r="X1304" s="4">
        <f>IF(ISERROR(VLOOKUP($U$1304,'TAR FIN'!$A$1:$O$113,15,0)),0,VLOOKUP($U$1304,'TAR FIN'!$A$1:$O$113,15,0))</f>
        <v>234.24</v>
      </c>
      <c r="Y1304" s="4"/>
      <c r="Z1304" s="4">
        <f ca="1">('TUSD BE'!$AM$40+'TUSD BF'!$AM$40+'TUSD CVA'!$AM$40)*1</f>
        <v>411.14246090221764</v>
      </c>
      <c r="AA1304" s="4">
        <f>('TE BE'!$AA$19+'TE BF'!$AA$19+'TE CVA'!$AA$19)*1</f>
        <v>234.67932779241937</v>
      </c>
      <c r="AB1304" s="4">
        <f>$K$1304*$V$1304</f>
        <v>0</v>
      </c>
      <c r="AC1304" s="4">
        <f>$M$1304*$W$1304</f>
        <v>-46612.367999999995</v>
      </c>
      <c r="AD1304" s="4">
        <f>$O$1304*$X$1304</f>
        <v>-31538.0736</v>
      </c>
      <c r="AE1304" s="4">
        <f>$K$1304*$Y$1304</f>
        <v>0</v>
      </c>
      <c r="AF1304" s="4">
        <f ca="1">$M$1304*$Z$1304</f>
        <v>-55356.220935874575</v>
      </c>
      <c r="AG1304" s="4">
        <f>$O$1304*$AA$1304</f>
        <v>-31597.22469397134</v>
      </c>
    </row>
    <row r="1305" spans="1:33" ht="11.25" customHeight="1" x14ac:dyDescent="0.25">
      <c r="A1305" s="3" t="s">
        <v>28</v>
      </c>
      <c r="B1305" s="3" t="s">
        <v>22</v>
      </c>
      <c r="C1305" s="3" t="s">
        <v>23</v>
      </c>
      <c r="D1305" s="3" t="s">
        <v>24</v>
      </c>
      <c r="E1305" s="3" t="s">
        <v>24</v>
      </c>
      <c r="F1305" s="3" t="s">
        <v>25</v>
      </c>
      <c r="G1305" s="3" t="s">
        <v>25</v>
      </c>
      <c r="H1305" s="3" t="s">
        <v>25</v>
      </c>
      <c r="I1305" s="6">
        <v>44470</v>
      </c>
      <c r="J1305" s="4">
        <v>0</v>
      </c>
      <c r="K1305" s="4">
        <v>0</v>
      </c>
      <c r="L1305" s="4">
        <v>711.72400000000005</v>
      </c>
      <c r="M1305" s="4">
        <v>711.72400000000005</v>
      </c>
      <c r="N1305" s="4">
        <v>711.72400000000005</v>
      </c>
      <c r="O1305" s="4">
        <v>711.72400000000005</v>
      </c>
      <c r="P1305" s="4">
        <v>4444</v>
      </c>
      <c r="Q1305" s="3" t="s">
        <v>26</v>
      </c>
      <c r="R1305" s="3">
        <v>0</v>
      </c>
      <c r="S1305" s="4">
        <v>0</v>
      </c>
      <c r="T1305" s="4">
        <v>48</v>
      </c>
      <c r="U1305" s="4">
        <v>65</v>
      </c>
      <c r="V1305" s="4">
        <f>IF(ISERROR(VLOOKUP($S$1305,'TAR FIN'!$A$1:$O$113,15,0)),0,VLOOKUP($S$1305,'TAR FIN'!$A$1:$O$113,15,0))</f>
        <v>0</v>
      </c>
      <c r="W1305" s="4">
        <f>IF(ISERROR(VLOOKUP($T$1305,'TAR FIN'!$A$1:$O$113,15,0)),0,VLOOKUP($T$1305,'TAR FIN'!$A$1:$O$113,15,0))</f>
        <v>346.2</v>
      </c>
      <c r="X1305" s="4">
        <f>IF(ISERROR(VLOOKUP($U$1305,'TAR FIN'!$A$1:$O$113,15,0)),0,VLOOKUP($U$1305,'TAR FIN'!$A$1:$O$113,15,0))</f>
        <v>234.24</v>
      </c>
      <c r="Y1305" s="4"/>
      <c r="Z1305" s="4">
        <f ca="1">('TUSD BE'!$AM$40+'TUSD BF'!$AM$40+'TUSD CVA'!$AM$40)*1</f>
        <v>411.14246090221764</v>
      </c>
      <c r="AA1305" s="4">
        <f>('TE BE'!$AA$19+'TE BF'!$AA$19+'TE CVA'!$AA$19)*1</f>
        <v>234.67932779241937</v>
      </c>
      <c r="AB1305" s="4">
        <f>$K$1305*$V$1305</f>
        <v>0</v>
      </c>
      <c r="AC1305" s="4">
        <f>$M$1305*$W$1305</f>
        <v>246398.84880000001</v>
      </c>
      <c r="AD1305" s="4">
        <f>$O$1305*$X$1305</f>
        <v>166714.22976000002</v>
      </c>
      <c r="AE1305" s="4">
        <f>$K$1305*$Y$1305</f>
        <v>0</v>
      </c>
      <c r="AF1305" s="4">
        <f ca="1">$M$1305*$Z$1305</f>
        <v>292619.95684316999</v>
      </c>
      <c r="AG1305" s="4">
        <f>$O$1305*$AA$1305</f>
        <v>167026.90989373191</v>
      </c>
    </row>
    <row r="1306" spans="1:33" ht="11.25" customHeight="1" x14ac:dyDescent="0.25">
      <c r="A1306" s="3" t="s">
        <v>28</v>
      </c>
      <c r="B1306" s="3" t="s">
        <v>22</v>
      </c>
      <c r="C1306" s="3" t="s">
        <v>23</v>
      </c>
      <c r="D1306" s="3" t="s">
        <v>24</v>
      </c>
      <c r="E1306" s="3" t="s">
        <v>24</v>
      </c>
      <c r="F1306" s="3" t="s">
        <v>25</v>
      </c>
      <c r="G1306" s="3" t="s">
        <v>25</v>
      </c>
      <c r="H1306" s="3" t="s">
        <v>25</v>
      </c>
      <c r="I1306" s="6">
        <v>44470</v>
      </c>
      <c r="J1306" s="4">
        <v>0</v>
      </c>
      <c r="K1306" s="4">
        <v>0</v>
      </c>
      <c r="L1306" s="4">
        <v>-8.2000000000000003E-2</v>
      </c>
      <c r="M1306" s="4">
        <v>-8.2000000000000003E-2</v>
      </c>
      <c r="N1306" s="4">
        <v>-8.2000000000000003E-2</v>
      </c>
      <c r="O1306" s="4">
        <v>-8.2000000000000003E-2</v>
      </c>
      <c r="P1306" s="4">
        <v>0</v>
      </c>
      <c r="Q1306" s="3" t="s">
        <v>26</v>
      </c>
      <c r="R1306" s="3">
        <v>0</v>
      </c>
      <c r="S1306" s="4">
        <v>0</v>
      </c>
      <c r="T1306" s="4">
        <v>48</v>
      </c>
      <c r="U1306" s="4">
        <v>65</v>
      </c>
      <c r="V1306" s="4">
        <f>IF(ISERROR(VLOOKUP($S$1306,'TAR FIN'!$A$1:$O$113,15,0)),0,VLOOKUP($S$1306,'TAR FIN'!$A$1:$O$113,15,0))</f>
        <v>0</v>
      </c>
      <c r="W1306" s="4">
        <f>IF(ISERROR(VLOOKUP($T$1306,'TAR FIN'!$A$1:$O$113,15,0)),0,VLOOKUP($T$1306,'TAR FIN'!$A$1:$O$113,15,0))</f>
        <v>346.2</v>
      </c>
      <c r="X1306" s="4">
        <f>IF(ISERROR(VLOOKUP($U$1306,'TAR FIN'!$A$1:$O$113,15,0)),0,VLOOKUP($U$1306,'TAR FIN'!$A$1:$O$113,15,0))</f>
        <v>234.24</v>
      </c>
      <c r="Y1306" s="4"/>
      <c r="Z1306" s="4">
        <f ca="1">('TUSD BE'!$AM$40+'TUSD BF'!$AM$40+'TUSD CVA'!$AM$40)*1</f>
        <v>411.14246090221764</v>
      </c>
      <c r="AA1306" s="4">
        <f>('TE BE'!$AA$19+'TE BF'!$AA$19+'TE CVA'!$AA$19)*1</f>
        <v>234.67932779241937</v>
      </c>
      <c r="AB1306" s="4">
        <f>$K$1306*$V$1306</f>
        <v>0</v>
      </c>
      <c r="AC1306" s="4">
        <f>$M$1306*$W$1306</f>
        <v>-28.388400000000001</v>
      </c>
      <c r="AD1306" s="4">
        <f>$O$1306*$X$1306</f>
        <v>-19.20768</v>
      </c>
      <c r="AE1306" s="4">
        <f>$K$1306*$Y$1306</f>
        <v>0</v>
      </c>
      <c r="AF1306" s="4">
        <f ca="1">$M$1306*$Z$1306</f>
        <v>-33.713681793981849</v>
      </c>
      <c r="AG1306" s="4">
        <f>$O$1306*$AA$1306</f>
        <v>-19.243704878978388</v>
      </c>
    </row>
    <row r="1307" spans="1:33" ht="11.25" customHeight="1" x14ac:dyDescent="0.25">
      <c r="A1307" s="3" t="s">
        <v>21</v>
      </c>
      <c r="B1307" s="3" t="s">
        <v>22</v>
      </c>
      <c r="C1307" s="3" t="s">
        <v>23</v>
      </c>
      <c r="D1307" s="3" t="s">
        <v>24</v>
      </c>
      <c r="E1307" s="3" t="s">
        <v>24</v>
      </c>
      <c r="F1307" s="3" t="s">
        <v>25</v>
      </c>
      <c r="G1307" s="3" t="s">
        <v>25</v>
      </c>
      <c r="H1307" s="3" t="s">
        <v>25</v>
      </c>
      <c r="I1307" s="6">
        <v>44501</v>
      </c>
      <c r="J1307" s="4">
        <v>0</v>
      </c>
      <c r="K1307" s="4">
        <v>0</v>
      </c>
      <c r="L1307" s="4">
        <v>71859.870999999999</v>
      </c>
      <c r="M1307" s="4">
        <v>71859.870999999999</v>
      </c>
      <c r="N1307" s="4">
        <v>71859.870999999999</v>
      </c>
      <c r="O1307" s="4">
        <v>71859.870999999999</v>
      </c>
      <c r="P1307" s="4">
        <v>506049</v>
      </c>
      <c r="Q1307" s="3" t="s">
        <v>26</v>
      </c>
      <c r="R1307" s="3">
        <v>0</v>
      </c>
      <c r="S1307" s="4">
        <v>0</v>
      </c>
      <c r="T1307" s="4">
        <v>48</v>
      </c>
      <c r="U1307" s="4">
        <v>65</v>
      </c>
      <c r="V1307" s="4">
        <f>IF(ISERROR(VLOOKUP($S$1307,'TAR FIN'!$A$1:$O$113,15,0)),0,VLOOKUP($S$1307,'TAR FIN'!$A$1:$O$113,15,0))</f>
        <v>0</v>
      </c>
      <c r="W1307" s="4">
        <f>IF(ISERROR(VLOOKUP($T$1307,'TAR FIN'!$A$1:$O$113,15,0)),0,VLOOKUP($T$1307,'TAR FIN'!$A$1:$O$113,15,0))</f>
        <v>346.2</v>
      </c>
      <c r="X1307" s="4">
        <f>IF(ISERROR(VLOOKUP($U$1307,'TAR FIN'!$A$1:$O$113,15,0)),0,VLOOKUP($U$1307,'TAR FIN'!$A$1:$O$113,15,0))</f>
        <v>234.24</v>
      </c>
      <c r="Y1307" s="4"/>
      <c r="Z1307" s="4">
        <f ca="1">('TUSD BE'!$AM$40+'TUSD BF'!$AM$40+'TUSD CVA'!$AM$40)*1</f>
        <v>411.14246090221764</v>
      </c>
      <c r="AA1307" s="4">
        <f>('TE BE'!$AA$19+'TE BF'!$AA$19+'TE CVA'!$AA$19)*1</f>
        <v>234.67932779241937</v>
      </c>
      <c r="AB1307" s="4">
        <f>$K$1307*$V$1307</f>
        <v>0</v>
      </c>
      <c r="AC1307" s="4">
        <f>$M$1307*$W$1307</f>
        <v>24877887.3402</v>
      </c>
      <c r="AD1307" s="4">
        <f>$O$1307*$X$1307</f>
        <v>16832456.18304</v>
      </c>
      <c r="AE1307" s="4">
        <f>$K$1307*$Y$1307</f>
        <v>0</v>
      </c>
      <c r="AF1307" s="4">
        <f ca="1">$M$1307*$Z$1307</f>
        <v>29544644.203055903</v>
      </c>
      <c r="AG1307" s="4">
        <f>$O$1307*$AA$1307</f>
        <v>16864026.221529972</v>
      </c>
    </row>
    <row r="1308" spans="1:33" ht="11.25" customHeight="1" x14ac:dyDescent="0.25">
      <c r="A1308" s="3" t="s">
        <v>27</v>
      </c>
      <c r="B1308" s="3" t="s">
        <v>22</v>
      </c>
      <c r="C1308" s="3" t="s">
        <v>23</v>
      </c>
      <c r="D1308" s="3" t="s">
        <v>24</v>
      </c>
      <c r="E1308" s="3" t="s">
        <v>24</v>
      </c>
      <c r="F1308" s="3" t="s">
        <v>25</v>
      </c>
      <c r="G1308" s="3" t="s">
        <v>25</v>
      </c>
      <c r="H1308" s="3" t="s">
        <v>25</v>
      </c>
      <c r="I1308" s="6">
        <v>44501</v>
      </c>
      <c r="J1308" s="4">
        <v>0</v>
      </c>
      <c r="K1308" s="4">
        <v>0</v>
      </c>
      <c r="L1308" s="4">
        <v>-181.607</v>
      </c>
      <c r="M1308" s="4">
        <v>-181.607</v>
      </c>
      <c r="N1308" s="4">
        <v>-181.607</v>
      </c>
      <c r="O1308" s="4">
        <v>-181.607</v>
      </c>
      <c r="P1308" s="4">
        <v>-78</v>
      </c>
      <c r="Q1308" s="3" t="s">
        <v>26</v>
      </c>
      <c r="R1308" s="3">
        <v>0</v>
      </c>
      <c r="S1308" s="4">
        <v>0</v>
      </c>
      <c r="T1308" s="4">
        <v>48</v>
      </c>
      <c r="U1308" s="4">
        <v>65</v>
      </c>
      <c r="V1308" s="4">
        <f>IF(ISERROR(VLOOKUP($S$1308,'TAR FIN'!$A$1:$O$113,15,0)),0,VLOOKUP($S$1308,'TAR FIN'!$A$1:$O$113,15,0))</f>
        <v>0</v>
      </c>
      <c r="W1308" s="4">
        <f>IF(ISERROR(VLOOKUP($T$1308,'TAR FIN'!$A$1:$O$113,15,0)),0,VLOOKUP($T$1308,'TAR FIN'!$A$1:$O$113,15,0))</f>
        <v>346.2</v>
      </c>
      <c r="X1308" s="4">
        <f>IF(ISERROR(VLOOKUP($U$1308,'TAR FIN'!$A$1:$O$113,15,0)),0,VLOOKUP($U$1308,'TAR FIN'!$A$1:$O$113,15,0))</f>
        <v>234.24</v>
      </c>
      <c r="Y1308" s="4"/>
      <c r="Z1308" s="4">
        <f ca="1">('TUSD BE'!$AM$40+'TUSD BF'!$AM$40+'TUSD CVA'!$AM$40)*1</f>
        <v>411.14246090221764</v>
      </c>
      <c r="AA1308" s="4">
        <f>('TE BE'!$AA$19+'TE BF'!$AA$19+'TE CVA'!$AA$19)*1</f>
        <v>234.67932779241937</v>
      </c>
      <c r="AB1308" s="4">
        <f>$K$1308*$V$1308</f>
        <v>0</v>
      </c>
      <c r="AC1308" s="4">
        <f>$M$1308*$W$1308</f>
        <v>-62872.343399999998</v>
      </c>
      <c r="AD1308" s="4">
        <f>$O$1308*$X$1308</f>
        <v>-42539.623680000004</v>
      </c>
      <c r="AE1308" s="4">
        <f>$K$1308*$Y$1308</f>
        <v>0</v>
      </c>
      <c r="AF1308" s="4">
        <f ca="1">$M$1308*$Z$1308</f>
        <v>-74666.348897069038</v>
      </c>
      <c r="AG1308" s="4">
        <f>$O$1308*$AA$1308</f>
        <v>-42619.408682397901</v>
      </c>
    </row>
    <row r="1309" spans="1:33" ht="11.25" customHeight="1" x14ac:dyDescent="0.25">
      <c r="A1309" s="3" t="s">
        <v>28</v>
      </c>
      <c r="B1309" s="3" t="s">
        <v>22</v>
      </c>
      <c r="C1309" s="3" t="s">
        <v>23</v>
      </c>
      <c r="D1309" s="3" t="s">
        <v>24</v>
      </c>
      <c r="E1309" s="3" t="s">
        <v>24</v>
      </c>
      <c r="F1309" s="3" t="s">
        <v>25</v>
      </c>
      <c r="G1309" s="3" t="s">
        <v>25</v>
      </c>
      <c r="H1309" s="3" t="s">
        <v>25</v>
      </c>
      <c r="I1309" s="6">
        <v>44501</v>
      </c>
      <c r="J1309" s="4">
        <v>0</v>
      </c>
      <c r="K1309" s="4">
        <v>0</v>
      </c>
      <c r="L1309" s="4">
        <v>763.39599999999996</v>
      </c>
      <c r="M1309" s="4">
        <v>763.39599999999996</v>
      </c>
      <c r="N1309" s="4">
        <v>763.39599999999996</v>
      </c>
      <c r="O1309" s="4">
        <v>763.39599999999996</v>
      </c>
      <c r="P1309" s="4">
        <v>4602</v>
      </c>
      <c r="Q1309" s="3" t="s">
        <v>26</v>
      </c>
      <c r="R1309" s="3">
        <v>0</v>
      </c>
      <c r="S1309" s="4">
        <v>0</v>
      </c>
      <c r="T1309" s="4">
        <v>48</v>
      </c>
      <c r="U1309" s="4">
        <v>65</v>
      </c>
      <c r="V1309" s="4">
        <f>IF(ISERROR(VLOOKUP($S$1309,'TAR FIN'!$A$1:$O$113,15,0)),0,VLOOKUP($S$1309,'TAR FIN'!$A$1:$O$113,15,0))</f>
        <v>0</v>
      </c>
      <c r="W1309" s="4">
        <f>IF(ISERROR(VLOOKUP($T$1309,'TAR FIN'!$A$1:$O$113,15,0)),0,VLOOKUP($T$1309,'TAR FIN'!$A$1:$O$113,15,0))</f>
        <v>346.2</v>
      </c>
      <c r="X1309" s="4">
        <f>IF(ISERROR(VLOOKUP($U$1309,'TAR FIN'!$A$1:$O$113,15,0)),0,VLOOKUP($U$1309,'TAR FIN'!$A$1:$O$113,15,0))</f>
        <v>234.24</v>
      </c>
      <c r="Y1309" s="4"/>
      <c r="Z1309" s="4">
        <f ca="1">('TUSD BE'!$AM$40+'TUSD BF'!$AM$40+'TUSD CVA'!$AM$40)*1</f>
        <v>411.14246090221764</v>
      </c>
      <c r="AA1309" s="4">
        <f>('TE BE'!$AA$19+'TE BF'!$AA$19+'TE CVA'!$AA$19)*1</f>
        <v>234.67932779241937</v>
      </c>
      <c r="AB1309" s="4">
        <f>$K$1309*$V$1309</f>
        <v>0</v>
      </c>
      <c r="AC1309" s="4">
        <f>$M$1309*$W$1309</f>
        <v>264287.69519999996</v>
      </c>
      <c r="AD1309" s="4">
        <f>$O$1309*$X$1309</f>
        <v>178817.87904</v>
      </c>
      <c r="AE1309" s="4">
        <f>$K$1309*$Y$1309</f>
        <v>0</v>
      </c>
      <c r="AF1309" s="4">
        <f ca="1">$M$1309*$Z$1309</f>
        <v>313864.51008290931</v>
      </c>
      <c r="AG1309" s="4">
        <f>$O$1309*$AA$1309</f>
        <v>179153.26011942176</v>
      </c>
    </row>
    <row r="1310" spans="1:33" ht="11.25" customHeight="1" x14ac:dyDescent="0.25">
      <c r="A1310" s="3" t="s">
        <v>28</v>
      </c>
      <c r="B1310" s="3" t="s">
        <v>22</v>
      </c>
      <c r="C1310" s="3" t="s">
        <v>23</v>
      </c>
      <c r="D1310" s="3" t="s">
        <v>24</v>
      </c>
      <c r="E1310" s="3" t="s">
        <v>24</v>
      </c>
      <c r="F1310" s="3" t="s">
        <v>25</v>
      </c>
      <c r="G1310" s="3" t="s">
        <v>25</v>
      </c>
      <c r="H1310" s="3" t="s">
        <v>25</v>
      </c>
      <c r="I1310" s="6">
        <v>44501</v>
      </c>
      <c r="J1310" s="4">
        <v>0</v>
      </c>
      <c r="K1310" s="4">
        <v>0</v>
      </c>
      <c r="L1310" s="4">
        <v>-2.137</v>
      </c>
      <c r="M1310" s="4">
        <v>-2.137</v>
      </c>
      <c r="N1310" s="4">
        <v>-2.137</v>
      </c>
      <c r="O1310" s="4">
        <v>-2.137</v>
      </c>
      <c r="P1310" s="4">
        <v>0</v>
      </c>
      <c r="Q1310" s="3" t="s">
        <v>26</v>
      </c>
      <c r="R1310" s="3">
        <v>0</v>
      </c>
      <c r="S1310" s="4">
        <v>0</v>
      </c>
      <c r="T1310" s="4">
        <v>48</v>
      </c>
      <c r="U1310" s="4">
        <v>65</v>
      </c>
      <c r="V1310" s="4">
        <f>IF(ISERROR(VLOOKUP($S$1310,'TAR FIN'!$A$1:$O$113,15,0)),0,VLOOKUP($S$1310,'TAR FIN'!$A$1:$O$113,15,0))</f>
        <v>0</v>
      </c>
      <c r="W1310" s="4">
        <f>IF(ISERROR(VLOOKUP($T$1310,'TAR FIN'!$A$1:$O$113,15,0)),0,VLOOKUP($T$1310,'TAR FIN'!$A$1:$O$113,15,0))</f>
        <v>346.2</v>
      </c>
      <c r="X1310" s="4">
        <f>IF(ISERROR(VLOOKUP($U$1310,'TAR FIN'!$A$1:$O$113,15,0)),0,VLOOKUP($U$1310,'TAR FIN'!$A$1:$O$113,15,0))</f>
        <v>234.24</v>
      </c>
      <c r="Y1310" s="4"/>
      <c r="Z1310" s="4">
        <f ca="1">('TUSD BE'!$AM$40+'TUSD BF'!$AM$40+'TUSD CVA'!$AM$40)*1</f>
        <v>411.14246090221764</v>
      </c>
      <c r="AA1310" s="4">
        <f>('TE BE'!$AA$19+'TE BF'!$AA$19+'TE CVA'!$AA$19)*1</f>
        <v>234.67932779241937</v>
      </c>
      <c r="AB1310" s="4">
        <f>$K$1310*$V$1310</f>
        <v>0</v>
      </c>
      <c r="AC1310" s="4">
        <f>$M$1310*$W$1310</f>
        <v>-739.82939999999996</v>
      </c>
      <c r="AD1310" s="4">
        <f>$O$1310*$X$1310</f>
        <v>-500.57088000000005</v>
      </c>
      <c r="AE1310" s="4">
        <f>$K$1310*$Y$1310</f>
        <v>0</v>
      </c>
      <c r="AF1310" s="4">
        <f ca="1">$M$1310*$Z$1310</f>
        <v>-878.61143894803911</v>
      </c>
      <c r="AG1310" s="4">
        <f>$O$1310*$AA$1310</f>
        <v>-501.50972349240021</v>
      </c>
    </row>
    <row r="1311" spans="1:33" ht="11.25" customHeight="1" x14ac:dyDescent="0.25">
      <c r="A1311" s="3" t="s">
        <v>21</v>
      </c>
      <c r="B1311" s="3" t="s">
        <v>22</v>
      </c>
      <c r="C1311" s="3" t="s">
        <v>23</v>
      </c>
      <c r="D1311" s="3" t="s">
        <v>24</v>
      </c>
      <c r="E1311" s="3" t="s">
        <v>24</v>
      </c>
      <c r="F1311" s="3" t="s">
        <v>25</v>
      </c>
      <c r="G1311" s="3" t="s">
        <v>25</v>
      </c>
      <c r="H1311" s="3" t="s">
        <v>25</v>
      </c>
      <c r="I1311" s="6">
        <v>44531</v>
      </c>
      <c r="J1311" s="4">
        <v>0</v>
      </c>
      <c r="K1311" s="4">
        <v>0</v>
      </c>
      <c r="L1311" s="4">
        <v>84990.285000000003</v>
      </c>
      <c r="M1311" s="4">
        <v>84990.285000000003</v>
      </c>
      <c r="N1311" s="4">
        <v>84990.285000000003</v>
      </c>
      <c r="O1311" s="4">
        <v>84990.285000000003</v>
      </c>
      <c r="P1311" s="4">
        <v>510702</v>
      </c>
      <c r="Q1311" s="3" t="s">
        <v>26</v>
      </c>
      <c r="R1311" s="3">
        <v>0</v>
      </c>
      <c r="S1311" s="4">
        <v>0</v>
      </c>
      <c r="T1311" s="4">
        <v>48</v>
      </c>
      <c r="U1311" s="4">
        <v>65</v>
      </c>
      <c r="V1311" s="4">
        <f>IF(ISERROR(VLOOKUP($S$1311,'TAR FIN'!$A$1:$O$113,15,0)),0,VLOOKUP($S$1311,'TAR FIN'!$A$1:$O$113,15,0))</f>
        <v>0</v>
      </c>
      <c r="W1311" s="4">
        <f>IF(ISERROR(VLOOKUP($T$1311,'TAR FIN'!$A$1:$O$113,15,0)),0,VLOOKUP($T$1311,'TAR FIN'!$A$1:$O$113,15,0))</f>
        <v>346.2</v>
      </c>
      <c r="X1311" s="4">
        <f>IF(ISERROR(VLOOKUP($U$1311,'TAR FIN'!$A$1:$O$113,15,0)),0,VLOOKUP($U$1311,'TAR FIN'!$A$1:$O$113,15,0))</f>
        <v>234.24</v>
      </c>
      <c r="Y1311" s="4"/>
      <c r="Z1311" s="4">
        <f ca="1">('TUSD BE'!$AM$40+'TUSD BF'!$AM$40+'TUSD CVA'!$AM$40)*1</f>
        <v>411.14246090221764</v>
      </c>
      <c r="AA1311" s="4">
        <f>('TE BE'!$AA$19+'TE BF'!$AA$19+'TE CVA'!$AA$19)*1</f>
        <v>234.67932779241937</v>
      </c>
      <c r="AB1311" s="4">
        <f>$K$1311*$V$1311</f>
        <v>0</v>
      </c>
      <c r="AC1311" s="4">
        <f>$M$1311*$W$1311</f>
        <v>29423636.666999999</v>
      </c>
      <c r="AD1311" s="4">
        <f>$O$1311*$X$1311</f>
        <v>19908124.358400002</v>
      </c>
      <c r="AE1311" s="4">
        <f>$K$1311*$Y$1311</f>
        <v>0</v>
      </c>
      <c r="AF1311" s="4">
        <f ca="1">$M$1311*$Z$1311</f>
        <v>34943114.927680835</v>
      </c>
      <c r="AG1311" s="4">
        <f>$O$1311*$AA$1311</f>
        <v>19945462.952686146</v>
      </c>
    </row>
    <row r="1312" spans="1:33" ht="11.25" customHeight="1" x14ac:dyDescent="0.25">
      <c r="A1312" s="3" t="s">
        <v>27</v>
      </c>
      <c r="B1312" s="3" t="s">
        <v>22</v>
      </c>
      <c r="C1312" s="3" t="s">
        <v>23</v>
      </c>
      <c r="D1312" s="3" t="s">
        <v>24</v>
      </c>
      <c r="E1312" s="3" t="s">
        <v>24</v>
      </c>
      <c r="F1312" s="3" t="s">
        <v>25</v>
      </c>
      <c r="G1312" s="3" t="s">
        <v>25</v>
      </c>
      <c r="H1312" s="3" t="s">
        <v>25</v>
      </c>
      <c r="I1312" s="6">
        <v>44531</v>
      </c>
      <c r="J1312" s="4">
        <v>0</v>
      </c>
      <c r="K1312" s="4">
        <v>0</v>
      </c>
      <c r="L1312" s="4">
        <v>-6370.0129999999999</v>
      </c>
      <c r="M1312" s="4">
        <v>-6370.0129999999999</v>
      </c>
      <c r="N1312" s="4">
        <v>-6370.0129999999999</v>
      </c>
      <c r="O1312" s="4">
        <v>-6370.0129999999999</v>
      </c>
      <c r="P1312" s="4">
        <v>-2618</v>
      </c>
      <c r="Q1312" s="3" t="s">
        <v>26</v>
      </c>
      <c r="R1312" s="3">
        <v>0</v>
      </c>
      <c r="S1312" s="4">
        <v>0</v>
      </c>
      <c r="T1312" s="4">
        <v>48</v>
      </c>
      <c r="U1312" s="4">
        <v>65</v>
      </c>
      <c r="V1312" s="4">
        <f>IF(ISERROR(VLOOKUP($S$1312,'TAR FIN'!$A$1:$O$113,15,0)),0,VLOOKUP($S$1312,'TAR FIN'!$A$1:$O$113,15,0))</f>
        <v>0</v>
      </c>
      <c r="W1312" s="4">
        <f>IF(ISERROR(VLOOKUP($T$1312,'TAR FIN'!$A$1:$O$113,15,0)),0,VLOOKUP($T$1312,'TAR FIN'!$A$1:$O$113,15,0))</f>
        <v>346.2</v>
      </c>
      <c r="X1312" s="4">
        <f>IF(ISERROR(VLOOKUP($U$1312,'TAR FIN'!$A$1:$O$113,15,0)),0,VLOOKUP($U$1312,'TAR FIN'!$A$1:$O$113,15,0))</f>
        <v>234.24</v>
      </c>
      <c r="Y1312" s="4"/>
      <c r="Z1312" s="4">
        <f ca="1">('TUSD BE'!$AM$40+'TUSD BF'!$AM$40+'TUSD CVA'!$AM$40)*1</f>
        <v>411.14246090221764</v>
      </c>
      <c r="AA1312" s="4">
        <f>('TE BE'!$AA$19+'TE BF'!$AA$19+'TE CVA'!$AA$19)*1</f>
        <v>234.67932779241937</v>
      </c>
      <c r="AB1312" s="4">
        <f>$K$1312*$V$1312</f>
        <v>0</v>
      </c>
      <c r="AC1312" s="4">
        <f>$M$1312*$W$1312</f>
        <v>-2205298.5005999999</v>
      </c>
      <c r="AD1312" s="4">
        <f>$O$1312*$X$1312</f>
        <v>-1492111.84512</v>
      </c>
      <c r="AE1312" s="4">
        <f>$K$1312*$Y$1312</f>
        <v>0</v>
      </c>
      <c r="AF1312" s="4">
        <f ca="1">$M$1312*$Z$1312</f>
        <v>-2618982.8207991179</v>
      </c>
      <c r="AG1312" s="4">
        <f>$O$1312*$AA$1312</f>
        <v>-1494910.3688689726</v>
      </c>
    </row>
    <row r="1313" spans="1:33" ht="11.25" customHeight="1" x14ac:dyDescent="0.25">
      <c r="A1313" s="3" t="s">
        <v>28</v>
      </c>
      <c r="B1313" s="3" t="s">
        <v>22</v>
      </c>
      <c r="C1313" s="3" t="s">
        <v>23</v>
      </c>
      <c r="D1313" s="3" t="s">
        <v>24</v>
      </c>
      <c r="E1313" s="3" t="s">
        <v>24</v>
      </c>
      <c r="F1313" s="3" t="s">
        <v>25</v>
      </c>
      <c r="G1313" s="3" t="s">
        <v>25</v>
      </c>
      <c r="H1313" s="3" t="s">
        <v>25</v>
      </c>
      <c r="I1313" s="6">
        <v>44531</v>
      </c>
      <c r="J1313" s="4">
        <v>0</v>
      </c>
      <c r="K1313" s="4">
        <v>0</v>
      </c>
      <c r="L1313" s="4">
        <v>910.65499999999997</v>
      </c>
      <c r="M1313" s="4">
        <v>910.65499999999997</v>
      </c>
      <c r="N1313" s="4">
        <v>910.65499999999997</v>
      </c>
      <c r="O1313" s="4">
        <v>910.65499999999997</v>
      </c>
      <c r="P1313" s="4">
        <v>4900</v>
      </c>
      <c r="Q1313" s="3" t="s">
        <v>26</v>
      </c>
      <c r="R1313" s="3">
        <v>0</v>
      </c>
      <c r="S1313" s="4">
        <v>0</v>
      </c>
      <c r="T1313" s="4">
        <v>48</v>
      </c>
      <c r="U1313" s="4">
        <v>65</v>
      </c>
      <c r="V1313" s="4">
        <f>IF(ISERROR(VLOOKUP($S$1313,'TAR FIN'!$A$1:$O$113,15,0)),0,VLOOKUP($S$1313,'TAR FIN'!$A$1:$O$113,15,0))</f>
        <v>0</v>
      </c>
      <c r="W1313" s="4">
        <f>IF(ISERROR(VLOOKUP($T$1313,'TAR FIN'!$A$1:$O$113,15,0)),0,VLOOKUP($T$1313,'TAR FIN'!$A$1:$O$113,15,0))</f>
        <v>346.2</v>
      </c>
      <c r="X1313" s="4">
        <f>IF(ISERROR(VLOOKUP($U$1313,'TAR FIN'!$A$1:$O$113,15,0)),0,VLOOKUP($U$1313,'TAR FIN'!$A$1:$O$113,15,0))</f>
        <v>234.24</v>
      </c>
      <c r="Y1313" s="4"/>
      <c r="Z1313" s="4">
        <f ca="1">('TUSD BE'!$AM$40+'TUSD BF'!$AM$40+'TUSD CVA'!$AM$40)*1</f>
        <v>411.14246090221764</v>
      </c>
      <c r="AA1313" s="4">
        <f>('TE BE'!$AA$19+'TE BF'!$AA$19+'TE CVA'!$AA$19)*1</f>
        <v>234.67932779241937</v>
      </c>
      <c r="AB1313" s="4">
        <f>$K$1313*$V$1313</f>
        <v>0</v>
      </c>
      <c r="AC1313" s="4">
        <f>$M$1313*$W$1313</f>
        <v>315268.761</v>
      </c>
      <c r="AD1313" s="4">
        <f>$O$1313*$X$1313</f>
        <v>213311.8272</v>
      </c>
      <c r="AE1313" s="4">
        <f>$K$1313*$Y$1313</f>
        <v>0</v>
      </c>
      <c r="AF1313" s="4">
        <f ca="1">$M$1313*$Z$1313</f>
        <v>374408.93773290899</v>
      </c>
      <c r="AG1313" s="4">
        <f>$O$1313*$AA$1313</f>
        <v>213711.90325080566</v>
      </c>
    </row>
    <row r="1314" spans="1:33" ht="11.25" customHeight="1" x14ac:dyDescent="0.25">
      <c r="A1314" s="3" t="s">
        <v>28</v>
      </c>
      <c r="B1314" s="3" t="s">
        <v>22</v>
      </c>
      <c r="C1314" s="3" t="s">
        <v>23</v>
      </c>
      <c r="D1314" s="3" t="s">
        <v>24</v>
      </c>
      <c r="E1314" s="3" t="s">
        <v>24</v>
      </c>
      <c r="F1314" s="3" t="s">
        <v>25</v>
      </c>
      <c r="G1314" s="3" t="s">
        <v>25</v>
      </c>
      <c r="H1314" s="3" t="s">
        <v>25</v>
      </c>
      <c r="I1314" s="6">
        <v>44531</v>
      </c>
      <c r="J1314" s="4">
        <v>0</v>
      </c>
      <c r="K1314" s="4">
        <v>0</v>
      </c>
      <c r="L1314" s="4">
        <v>-0.92400000000000004</v>
      </c>
      <c r="M1314" s="4">
        <v>-0.92400000000000004</v>
      </c>
      <c r="N1314" s="4">
        <v>-0.92400000000000004</v>
      </c>
      <c r="O1314" s="4">
        <v>-0.92400000000000004</v>
      </c>
      <c r="P1314" s="4">
        <v>0</v>
      </c>
      <c r="Q1314" s="3" t="s">
        <v>26</v>
      </c>
      <c r="R1314" s="3">
        <v>0</v>
      </c>
      <c r="S1314" s="4">
        <v>0</v>
      </c>
      <c r="T1314" s="4">
        <v>48</v>
      </c>
      <c r="U1314" s="4">
        <v>65</v>
      </c>
      <c r="V1314" s="4">
        <f>IF(ISERROR(VLOOKUP($S$1314,'TAR FIN'!$A$1:$O$113,15,0)),0,VLOOKUP($S$1314,'TAR FIN'!$A$1:$O$113,15,0))</f>
        <v>0</v>
      </c>
      <c r="W1314" s="4">
        <f>IF(ISERROR(VLOOKUP($T$1314,'TAR FIN'!$A$1:$O$113,15,0)),0,VLOOKUP($T$1314,'TAR FIN'!$A$1:$O$113,15,0))</f>
        <v>346.2</v>
      </c>
      <c r="X1314" s="4">
        <f>IF(ISERROR(VLOOKUP($U$1314,'TAR FIN'!$A$1:$O$113,15,0)),0,VLOOKUP($U$1314,'TAR FIN'!$A$1:$O$113,15,0))</f>
        <v>234.24</v>
      </c>
      <c r="Y1314" s="4"/>
      <c r="Z1314" s="4">
        <f ca="1">('TUSD BE'!$AM$40+'TUSD BF'!$AM$40+'TUSD CVA'!$AM$40)*1</f>
        <v>411.14246090221764</v>
      </c>
      <c r="AA1314" s="4">
        <f>('TE BE'!$AA$19+'TE BF'!$AA$19+'TE CVA'!$AA$19)*1</f>
        <v>234.67932779241937</v>
      </c>
      <c r="AB1314" s="4">
        <f>$K$1314*$V$1314</f>
        <v>0</v>
      </c>
      <c r="AC1314" s="4">
        <f>$M$1314*$W$1314</f>
        <v>-319.8888</v>
      </c>
      <c r="AD1314" s="4">
        <f>$O$1314*$X$1314</f>
        <v>-216.43776000000003</v>
      </c>
      <c r="AE1314" s="4">
        <f>$K$1314*$Y$1314</f>
        <v>0</v>
      </c>
      <c r="AF1314" s="4">
        <f ca="1">$M$1314*$Z$1314</f>
        <v>-379.8956338736491</v>
      </c>
      <c r="AG1314" s="4">
        <f>$O$1314*$AA$1314</f>
        <v>-216.84369888019552</v>
      </c>
    </row>
    <row r="1315" spans="1:33" ht="11.25" customHeight="1" x14ac:dyDescent="0.25">
      <c r="A1315" s="3" t="s">
        <v>21</v>
      </c>
      <c r="B1315" s="3" t="s">
        <v>22</v>
      </c>
      <c r="C1315" s="3" t="s">
        <v>23</v>
      </c>
      <c r="D1315" s="3" t="s">
        <v>24</v>
      </c>
      <c r="E1315" s="3" t="s">
        <v>24</v>
      </c>
      <c r="F1315" s="3" t="s">
        <v>25</v>
      </c>
      <c r="G1315" s="3" t="s">
        <v>25</v>
      </c>
      <c r="H1315" s="3" t="s">
        <v>25</v>
      </c>
      <c r="I1315" s="6">
        <v>44562</v>
      </c>
      <c r="J1315" s="4">
        <v>0</v>
      </c>
      <c r="K1315" s="4">
        <v>0</v>
      </c>
      <c r="L1315" s="4">
        <v>77405.504000000001</v>
      </c>
      <c r="M1315" s="4">
        <v>77405.504000000001</v>
      </c>
      <c r="N1315" s="4">
        <v>77405.504000000001</v>
      </c>
      <c r="O1315" s="4">
        <v>77405.504000000001</v>
      </c>
      <c r="P1315" s="4">
        <v>506602</v>
      </c>
      <c r="Q1315" s="3" t="s">
        <v>26</v>
      </c>
      <c r="R1315" s="3">
        <v>0</v>
      </c>
      <c r="S1315" s="4">
        <v>0</v>
      </c>
      <c r="T1315" s="4">
        <v>48</v>
      </c>
      <c r="U1315" s="4">
        <v>65</v>
      </c>
      <c r="V1315" s="4">
        <f>IF(ISERROR(VLOOKUP($S$1315,'TAR FIN'!$A$1:$O$113,15,0)),0,VLOOKUP($S$1315,'TAR FIN'!$A$1:$O$113,15,0))</f>
        <v>0</v>
      </c>
      <c r="W1315" s="4">
        <f>IF(ISERROR(VLOOKUP($T$1315,'TAR FIN'!$A$1:$O$113,15,0)),0,VLOOKUP($T$1315,'TAR FIN'!$A$1:$O$113,15,0))</f>
        <v>346.2</v>
      </c>
      <c r="X1315" s="4">
        <f>IF(ISERROR(VLOOKUP($U$1315,'TAR FIN'!$A$1:$O$113,15,0)),0,VLOOKUP($U$1315,'TAR FIN'!$A$1:$O$113,15,0))</f>
        <v>234.24</v>
      </c>
      <c r="Y1315" s="4"/>
      <c r="Z1315" s="4">
        <f ca="1">('TUSD BE'!$AM$40+'TUSD BF'!$AM$40+'TUSD CVA'!$AM$40)*1</f>
        <v>411.14246090221764</v>
      </c>
      <c r="AA1315" s="4">
        <f>('TE BE'!$AA$19+'TE BF'!$AA$19+'TE CVA'!$AA$19)*1</f>
        <v>234.67932779241937</v>
      </c>
      <c r="AB1315" s="4">
        <f>$K$1315*$V$1315</f>
        <v>0</v>
      </c>
      <c r="AC1315" s="4">
        <f>$M$1315*$W$1315</f>
        <v>26797785.4848</v>
      </c>
      <c r="AD1315" s="4">
        <f>$O$1315*$X$1315</f>
        <v>18131465.256960001</v>
      </c>
      <c r="AE1315" s="4">
        <f>$K$1315*$Y$1315</f>
        <v>0</v>
      </c>
      <c r="AF1315" s="4">
        <f ca="1">$M$1315*$Z$1315</f>
        <v>31824689.401936453</v>
      </c>
      <c r="AG1315" s="4">
        <f>$O$1315*$AA$1315</f>
        <v>18165471.646153428</v>
      </c>
    </row>
    <row r="1316" spans="1:33" ht="11.25" customHeight="1" x14ac:dyDescent="0.25">
      <c r="A1316" s="3" t="s">
        <v>27</v>
      </c>
      <c r="B1316" s="3" t="s">
        <v>22</v>
      </c>
      <c r="C1316" s="3" t="s">
        <v>23</v>
      </c>
      <c r="D1316" s="3" t="s">
        <v>24</v>
      </c>
      <c r="E1316" s="3" t="s">
        <v>24</v>
      </c>
      <c r="F1316" s="3" t="s">
        <v>25</v>
      </c>
      <c r="G1316" s="3" t="s">
        <v>25</v>
      </c>
      <c r="H1316" s="3" t="s">
        <v>25</v>
      </c>
      <c r="I1316" s="6">
        <v>44562</v>
      </c>
      <c r="J1316" s="4">
        <v>0</v>
      </c>
      <c r="K1316" s="4">
        <v>0</v>
      </c>
      <c r="L1316" s="4">
        <v>-138.76300000000001</v>
      </c>
      <c r="M1316" s="4">
        <v>-138.76300000000001</v>
      </c>
      <c r="N1316" s="4">
        <v>-138.76300000000001</v>
      </c>
      <c r="O1316" s="4">
        <v>-138.76300000000001</v>
      </c>
      <c r="P1316" s="4">
        <v>-36</v>
      </c>
      <c r="Q1316" s="3" t="s">
        <v>26</v>
      </c>
      <c r="R1316" s="3">
        <v>0</v>
      </c>
      <c r="S1316" s="4">
        <v>0</v>
      </c>
      <c r="T1316" s="4">
        <v>48</v>
      </c>
      <c r="U1316" s="4">
        <v>65</v>
      </c>
      <c r="V1316" s="4">
        <f>IF(ISERROR(VLOOKUP($S$1316,'TAR FIN'!$A$1:$O$113,15,0)),0,VLOOKUP($S$1316,'TAR FIN'!$A$1:$O$113,15,0))</f>
        <v>0</v>
      </c>
      <c r="W1316" s="4">
        <f>IF(ISERROR(VLOOKUP($T$1316,'TAR FIN'!$A$1:$O$113,15,0)),0,VLOOKUP($T$1316,'TAR FIN'!$A$1:$O$113,15,0))</f>
        <v>346.2</v>
      </c>
      <c r="X1316" s="4">
        <f>IF(ISERROR(VLOOKUP($U$1316,'TAR FIN'!$A$1:$O$113,15,0)),0,VLOOKUP($U$1316,'TAR FIN'!$A$1:$O$113,15,0))</f>
        <v>234.24</v>
      </c>
      <c r="Y1316" s="4"/>
      <c r="Z1316" s="4">
        <f ca="1">('TUSD BE'!$AM$40+'TUSD BF'!$AM$40+'TUSD CVA'!$AM$40)*1</f>
        <v>411.14246090221764</v>
      </c>
      <c r="AA1316" s="4">
        <f>('TE BE'!$AA$19+'TE BF'!$AA$19+'TE CVA'!$AA$19)*1</f>
        <v>234.67932779241937</v>
      </c>
      <c r="AB1316" s="4">
        <f>$K$1316*$V$1316</f>
        <v>0</v>
      </c>
      <c r="AC1316" s="4">
        <f>$M$1316*$W$1316</f>
        <v>-48039.750599999999</v>
      </c>
      <c r="AD1316" s="4">
        <f>$O$1316*$X$1316</f>
        <v>-32503.845120000002</v>
      </c>
      <c r="AE1316" s="4">
        <f>$K$1316*$Y$1316</f>
        <v>0</v>
      </c>
      <c r="AF1316" s="4">
        <f ca="1">$M$1316*$Z$1316</f>
        <v>-57051.361302174431</v>
      </c>
      <c r="AG1316" s="4">
        <f>$O$1316*$AA$1316</f>
        <v>-32564.807562459489</v>
      </c>
    </row>
    <row r="1317" spans="1:33" ht="11.25" customHeight="1" x14ac:dyDescent="0.25">
      <c r="A1317" s="3" t="s">
        <v>28</v>
      </c>
      <c r="B1317" s="3" t="s">
        <v>22</v>
      </c>
      <c r="C1317" s="3" t="s">
        <v>23</v>
      </c>
      <c r="D1317" s="3" t="s">
        <v>24</v>
      </c>
      <c r="E1317" s="3" t="s">
        <v>24</v>
      </c>
      <c r="F1317" s="3" t="s">
        <v>25</v>
      </c>
      <c r="G1317" s="3" t="s">
        <v>25</v>
      </c>
      <c r="H1317" s="3" t="s">
        <v>25</v>
      </c>
      <c r="I1317" s="6">
        <v>44562</v>
      </c>
      <c r="J1317" s="4">
        <v>0</v>
      </c>
      <c r="K1317" s="4">
        <v>0</v>
      </c>
      <c r="L1317" s="4">
        <v>1001.061</v>
      </c>
      <c r="M1317" s="4">
        <v>1001.061</v>
      </c>
      <c r="N1317" s="4">
        <v>1001.061</v>
      </c>
      <c r="O1317" s="4">
        <v>1001.061</v>
      </c>
      <c r="P1317" s="4">
        <v>5168</v>
      </c>
      <c r="Q1317" s="3" t="s">
        <v>26</v>
      </c>
      <c r="R1317" s="3">
        <v>0</v>
      </c>
      <c r="S1317" s="4">
        <v>0</v>
      </c>
      <c r="T1317" s="4">
        <v>48</v>
      </c>
      <c r="U1317" s="4">
        <v>65</v>
      </c>
      <c r="V1317" s="4">
        <f>IF(ISERROR(VLOOKUP($S$1317,'TAR FIN'!$A$1:$O$113,15,0)),0,VLOOKUP($S$1317,'TAR FIN'!$A$1:$O$113,15,0))</f>
        <v>0</v>
      </c>
      <c r="W1317" s="4">
        <f>IF(ISERROR(VLOOKUP($T$1317,'TAR FIN'!$A$1:$O$113,15,0)),0,VLOOKUP($T$1317,'TAR FIN'!$A$1:$O$113,15,0))</f>
        <v>346.2</v>
      </c>
      <c r="X1317" s="4">
        <f>IF(ISERROR(VLOOKUP($U$1317,'TAR FIN'!$A$1:$O$113,15,0)),0,VLOOKUP($U$1317,'TAR FIN'!$A$1:$O$113,15,0))</f>
        <v>234.24</v>
      </c>
      <c r="Y1317" s="4"/>
      <c r="Z1317" s="4">
        <f ca="1">('TUSD BE'!$AM$40+'TUSD BF'!$AM$40+'TUSD CVA'!$AM$40)*1</f>
        <v>411.14246090221764</v>
      </c>
      <c r="AA1317" s="4">
        <f>('TE BE'!$AA$19+'TE BF'!$AA$19+'TE CVA'!$AA$19)*1</f>
        <v>234.67932779241937</v>
      </c>
      <c r="AB1317" s="4">
        <f>$K$1317*$V$1317</f>
        <v>0</v>
      </c>
      <c r="AC1317" s="4">
        <f>$M$1317*$W$1317</f>
        <v>346567.31819999998</v>
      </c>
      <c r="AD1317" s="4">
        <f>$O$1317*$X$1317</f>
        <v>234488.52864</v>
      </c>
      <c r="AE1317" s="4">
        <f>$K$1317*$Y$1317</f>
        <v>0</v>
      </c>
      <c r="AF1317" s="4">
        <f ca="1">$M$1317*$Z$1317</f>
        <v>411578.68305323488</v>
      </c>
      <c r="AG1317" s="4">
        <f>$O$1317*$AA$1317</f>
        <v>234928.32255920712</v>
      </c>
    </row>
    <row r="1318" spans="1:33" ht="11.25" customHeight="1" x14ac:dyDescent="0.25">
      <c r="A1318" s="3" t="s">
        <v>28</v>
      </c>
      <c r="B1318" s="3" t="s">
        <v>22</v>
      </c>
      <c r="C1318" s="3" t="s">
        <v>23</v>
      </c>
      <c r="D1318" s="3" t="s">
        <v>24</v>
      </c>
      <c r="E1318" s="3" t="s">
        <v>24</v>
      </c>
      <c r="F1318" s="3" t="s">
        <v>25</v>
      </c>
      <c r="G1318" s="3" t="s">
        <v>25</v>
      </c>
      <c r="H1318" s="3" t="s">
        <v>25</v>
      </c>
      <c r="I1318" s="6">
        <v>44562</v>
      </c>
      <c r="J1318" s="4">
        <v>0</v>
      </c>
      <c r="K1318" s="4">
        <v>0</v>
      </c>
      <c r="L1318" s="4">
        <v>-2.3050000000000002</v>
      </c>
      <c r="M1318" s="4">
        <v>-2.3050000000000002</v>
      </c>
      <c r="N1318" s="4">
        <v>-2.3050000000000002</v>
      </c>
      <c r="O1318" s="4">
        <v>-2.3050000000000002</v>
      </c>
      <c r="P1318" s="4">
        <v>0</v>
      </c>
      <c r="Q1318" s="3" t="s">
        <v>26</v>
      </c>
      <c r="R1318" s="3">
        <v>0</v>
      </c>
      <c r="S1318" s="4">
        <v>0</v>
      </c>
      <c r="T1318" s="4">
        <v>48</v>
      </c>
      <c r="U1318" s="4">
        <v>65</v>
      </c>
      <c r="V1318" s="4">
        <f>IF(ISERROR(VLOOKUP($S$1318,'TAR FIN'!$A$1:$O$113,15,0)),0,VLOOKUP($S$1318,'TAR FIN'!$A$1:$O$113,15,0))</f>
        <v>0</v>
      </c>
      <c r="W1318" s="4">
        <f>IF(ISERROR(VLOOKUP($T$1318,'TAR FIN'!$A$1:$O$113,15,0)),0,VLOOKUP($T$1318,'TAR FIN'!$A$1:$O$113,15,0))</f>
        <v>346.2</v>
      </c>
      <c r="X1318" s="4">
        <f>IF(ISERROR(VLOOKUP($U$1318,'TAR FIN'!$A$1:$O$113,15,0)),0,VLOOKUP($U$1318,'TAR FIN'!$A$1:$O$113,15,0))</f>
        <v>234.24</v>
      </c>
      <c r="Y1318" s="4"/>
      <c r="Z1318" s="4">
        <f ca="1">('TUSD BE'!$AM$40+'TUSD BF'!$AM$40+'TUSD CVA'!$AM$40)*1</f>
        <v>411.14246090221764</v>
      </c>
      <c r="AA1318" s="4">
        <f>('TE BE'!$AA$19+'TE BF'!$AA$19+'TE CVA'!$AA$19)*1</f>
        <v>234.67932779241937</v>
      </c>
      <c r="AB1318" s="4">
        <f>$K$1318*$V$1318</f>
        <v>0</v>
      </c>
      <c r="AC1318" s="4">
        <f>$M$1318*$W$1318</f>
        <v>-797.99099999999999</v>
      </c>
      <c r="AD1318" s="4">
        <f>$O$1318*$X$1318</f>
        <v>-539.92320000000007</v>
      </c>
      <c r="AE1318" s="4">
        <f>$K$1318*$Y$1318</f>
        <v>0</v>
      </c>
      <c r="AF1318" s="4">
        <f ca="1">$M$1318*$Z$1318</f>
        <v>-947.68337237961168</v>
      </c>
      <c r="AG1318" s="4">
        <f>$O$1318*$AA$1318</f>
        <v>-540.93585056152665</v>
      </c>
    </row>
    <row r="1319" spans="1:33" ht="11.25" customHeight="1" x14ac:dyDescent="0.25">
      <c r="A1319" s="3" t="s">
        <v>21</v>
      </c>
      <c r="B1319" s="3" t="s">
        <v>22</v>
      </c>
      <c r="C1319" s="3" t="s">
        <v>23</v>
      </c>
      <c r="D1319" s="3" t="s">
        <v>24</v>
      </c>
      <c r="E1319" s="3" t="s">
        <v>24</v>
      </c>
      <c r="F1319" s="3" t="s">
        <v>25</v>
      </c>
      <c r="G1319" s="3" t="s">
        <v>25</v>
      </c>
      <c r="H1319" s="3" t="s">
        <v>25</v>
      </c>
      <c r="I1319" s="6">
        <v>44593</v>
      </c>
      <c r="J1319" s="4">
        <v>0</v>
      </c>
      <c r="K1319" s="4">
        <v>0</v>
      </c>
      <c r="L1319" s="4">
        <v>78459.588000000003</v>
      </c>
      <c r="M1319" s="4">
        <v>78459.588000000003</v>
      </c>
      <c r="N1319" s="4">
        <v>78459.588000000003</v>
      </c>
      <c r="O1319" s="4">
        <v>78459.588000000003</v>
      </c>
      <c r="P1319" s="4">
        <v>500160</v>
      </c>
      <c r="Q1319" s="3" t="s">
        <v>26</v>
      </c>
      <c r="R1319" s="3">
        <v>0</v>
      </c>
      <c r="S1319" s="4">
        <v>0</v>
      </c>
      <c r="T1319" s="4">
        <v>48</v>
      </c>
      <c r="U1319" s="4">
        <v>65</v>
      </c>
      <c r="V1319" s="4">
        <f>IF(ISERROR(VLOOKUP($S$1319,'TAR FIN'!$A$1:$O$113,15,0)),0,VLOOKUP($S$1319,'TAR FIN'!$A$1:$O$113,15,0))</f>
        <v>0</v>
      </c>
      <c r="W1319" s="4">
        <f>IF(ISERROR(VLOOKUP($T$1319,'TAR FIN'!$A$1:$O$113,15,0)),0,VLOOKUP($T$1319,'TAR FIN'!$A$1:$O$113,15,0))</f>
        <v>346.2</v>
      </c>
      <c r="X1319" s="4">
        <f>IF(ISERROR(VLOOKUP($U$1319,'TAR FIN'!$A$1:$O$113,15,0)),0,VLOOKUP($U$1319,'TAR FIN'!$A$1:$O$113,15,0))</f>
        <v>234.24</v>
      </c>
      <c r="Y1319" s="4"/>
      <c r="Z1319" s="4">
        <f ca="1">('TUSD BE'!$AM$40+'TUSD BF'!$AM$40+'TUSD CVA'!$AM$40)*1</f>
        <v>411.14246090221764</v>
      </c>
      <c r="AA1319" s="4">
        <f>('TE BE'!$AA$19+'TE BF'!$AA$19+'TE CVA'!$AA$19)*1</f>
        <v>234.67932779241937</v>
      </c>
      <c r="AB1319" s="4">
        <f>$K$1319*$V$1319</f>
        <v>0</v>
      </c>
      <c r="AC1319" s="4">
        <f>$M$1319*$W$1319</f>
        <v>27162709.365600001</v>
      </c>
      <c r="AD1319" s="4">
        <f>$O$1319*$X$1319</f>
        <v>18378373.893120002</v>
      </c>
      <c r="AE1319" s="4">
        <f>$K$1319*$Y$1319</f>
        <v>0</v>
      </c>
      <c r="AF1319" s="4">
        <f ca="1">$M$1319*$Z$1319</f>
        <v>32258068.091694105</v>
      </c>
      <c r="AG1319" s="4">
        <f>$O$1319*$AA$1319</f>
        <v>18412843.370710175</v>
      </c>
    </row>
    <row r="1320" spans="1:33" ht="11.25" customHeight="1" x14ac:dyDescent="0.25">
      <c r="A1320" s="3" t="s">
        <v>27</v>
      </c>
      <c r="B1320" s="3" t="s">
        <v>22</v>
      </c>
      <c r="C1320" s="3" t="s">
        <v>23</v>
      </c>
      <c r="D1320" s="3" t="s">
        <v>24</v>
      </c>
      <c r="E1320" s="3" t="s">
        <v>24</v>
      </c>
      <c r="F1320" s="3" t="s">
        <v>25</v>
      </c>
      <c r="G1320" s="3" t="s">
        <v>25</v>
      </c>
      <c r="H1320" s="3" t="s">
        <v>25</v>
      </c>
      <c r="I1320" s="6">
        <v>44593</v>
      </c>
      <c r="J1320" s="4">
        <v>0</v>
      </c>
      <c r="K1320" s="4">
        <v>0</v>
      </c>
      <c r="L1320" s="4">
        <v>-211.90600000000001</v>
      </c>
      <c r="M1320" s="4">
        <v>-211.90600000000001</v>
      </c>
      <c r="N1320" s="4">
        <v>-211.90600000000001</v>
      </c>
      <c r="O1320" s="4">
        <v>-211.90600000000001</v>
      </c>
      <c r="P1320" s="4">
        <v>-104</v>
      </c>
      <c r="Q1320" s="3" t="s">
        <v>26</v>
      </c>
      <c r="R1320" s="3">
        <v>0</v>
      </c>
      <c r="S1320" s="4">
        <v>0</v>
      </c>
      <c r="T1320" s="4">
        <v>48</v>
      </c>
      <c r="U1320" s="4">
        <v>65</v>
      </c>
      <c r="V1320" s="4">
        <f>IF(ISERROR(VLOOKUP($S$1320,'TAR FIN'!$A$1:$O$113,15,0)),0,VLOOKUP($S$1320,'TAR FIN'!$A$1:$O$113,15,0))</f>
        <v>0</v>
      </c>
      <c r="W1320" s="4">
        <f>IF(ISERROR(VLOOKUP($T$1320,'TAR FIN'!$A$1:$O$113,15,0)),0,VLOOKUP($T$1320,'TAR FIN'!$A$1:$O$113,15,0))</f>
        <v>346.2</v>
      </c>
      <c r="X1320" s="4">
        <f>IF(ISERROR(VLOOKUP($U$1320,'TAR FIN'!$A$1:$O$113,15,0)),0,VLOOKUP($U$1320,'TAR FIN'!$A$1:$O$113,15,0))</f>
        <v>234.24</v>
      </c>
      <c r="Y1320" s="4"/>
      <c r="Z1320" s="4">
        <f ca="1">('TUSD BE'!$AM$40+'TUSD BF'!$AM$40+'TUSD CVA'!$AM$40)*1</f>
        <v>411.14246090221764</v>
      </c>
      <c r="AA1320" s="4">
        <f>('TE BE'!$AA$19+'TE BF'!$AA$19+'TE CVA'!$AA$19)*1</f>
        <v>234.67932779241937</v>
      </c>
      <c r="AB1320" s="4">
        <f>$K$1320*$V$1320</f>
        <v>0</v>
      </c>
      <c r="AC1320" s="4">
        <f>$M$1320*$W$1320</f>
        <v>-73361.857199999999</v>
      </c>
      <c r="AD1320" s="4">
        <f>$O$1320*$X$1320</f>
        <v>-49636.861440000001</v>
      </c>
      <c r="AE1320" s="4">
        <f>$K$1320*$Y$1320</f>
        <v>0</v>
      </c>
      <c r="AF1320" s="4">
        <f ca="1">$M$1320*$Z$1320</f>
        <v>-87123.554319945339</v>
      </c>
      <c r="AG1320" s="4">
        <f>$O$1320*$AA$1320</f>
        <v>-49729.957635180421</v>
      </c>
    </row>
    <row r="1321" spans="1:33" ht="11.25" customHeight="1" x14ac:dyDescent="0.25">
      <c r="A1321" s="3" t="s">
        <v>28</v>
      </c>
      <c r="B1321" s="3" t="s">
        <v>22</v>
      </c>
      <c r="C1321" s="3" t="s">
        <v>23</v>
      </c>
      <c r="D1321" s="3" t="s">
        <v>24</v>
      </c>
      <c r="E1321" s="3" t="s">
        <v>24</v>
      </c>
      <c r="F1321" s="3" t="s">
        <v>25</v>
      </c>
      <c r="G1321" s="3" t="s">
        <v>25</v>
      </c>
      <c r="H1321" s="3" t="s">
        <v>25</v>
      </c>
      <c r="I1321" s="6">
        <v>44593</v>
      </c>
      <c r="J1321" s="4">
        <v>0</v>
      </c>
      <c r="K1321" s="4">
        <v>0</v>
      </c>
      <c r="L1321" s="4">
        <v>1004.958</v>
      </c>
      <c r="M1321" s="4">
        <v>1004.958</v>
      </c>
      <c r="N1321" s="4">
        <v>1004.958</v>
      </c>
      <c r="O1321" s="4">
        <v>1004.958</v>
      </c>
      <c r="P1321" s="4">
        <v>5365</v>
      </c>
      <c r="Q1321" s="3" t="s">
        <v>26</v>
      </c>
      <c r="R1321" s="3">
        <v>0</v>
      </c>
      <c r="S1321" s="4">
        <v>0</v>
      </c>
      <c r="T1321" s="4">
        <v>48</v>
      </c>
      <c r="U1321" s="4">
        <v>65</v>
      </c>
      <c r="V1321" s="4">
        <f>IF(ISERROR(VLOOKUP($S$1321,'TAR FIN'!$A$1:$O$113,15,0)),0,VLOOKUP($S$1321,'TAR FIN'!$A$1:$O$113,15,0))</f>
        <v>0</v>
      </c>
      <c r="W1321" s="4">
        <f>IF(ISERROR(VLOOKUP($T$1321,'TAR FIN'!$A$1:$O$113,15,0)),0,VLOOKUP($T$1321,'TAR FIN'!$A$1:$O$113,15,0))</f>
        <v>346.2</v>
      </c>
      <c r="X1321" s="4">
        <f>IF(ISERROR(VLOOKUP($U$1321,'TAR FIN'!$A$1:$O$113,15,0)),0,VLOOKUP($U$1321,'TAR FIN'!$A$1:$O$113,15,0))</f>
        <v>234.24</v>
      </c>
      <c r="Y1321" s="4"/>
      <c r="Z1321" s="4">
        <f ca="1">('TUSD BE'!$AM$40+'TUSD BF'!$AM$40+'TUSD CVA'!$AM$40)*1</f>
        <v>411.14246090221764</v>
      </c>
      <c r="AA1321" s="4">
        <f>('TE BE'!$AA$19+'TE BF'!$AA$19+'TE CVA'!$AA$19)*1</f>
        <v>234.67932779241937</v>
      </c>
      <c r="AB1321" s="4">
        <f>$K$1321*$V$1321</f>
        <v>0</v>
      </c>
      <c r="AC1321" s="4">
        <f>$M$1321*$W$1321</f>
        <v>347916.4596</v>
      </c>
      <c r="AD1321" s="4">
        <f>$O$1321*$X$1321</f>
        <v>235401.36192</v>
      </c>
      <c r="AE1321" s="4">
        <f>$K$1321*$Y$1321</f>
        <v>0</v>
      </c>
      <c r="AF1321" s="4">
        <f ca="1">$M$1321*$Z$1321</f>
        <v>413180.90522337082</v>
      </c>
      <c r="AG1321" s="4">
        <f>$O$1321*$AA$1321</f>
        <v>235842.86789961418</v>
      </c>
    </row>
    <row r="1322" spans="1:33" ht="11.25" customHeight="1" x14ac:dyDescent="0.25">
      <c r="A1322" s="3" t="s">
        <v>28</v>
      </c>
      <c r="B1322" s="3" t="s">
        <v>22</v>
      </c>
      <c r="C1322" s="3" t="s">
        <v>23</v>
      </c>
      <c r="D1322" s="3" t="s">
        <v>24</v>
      </c>
      <c r="E1322" s="3" t="s">
        <v>24</v>
      </c>
      <c r="F1322" s="3" t="s">
        <v>25</v>
      </c>
      <c r="G1322" s="3" t="s">
        <v>25</v>
      </c>
      <c r="H1322" s="3" t="s">
        <v>25</v>
      </c>
      <c r="I1322" s="6">
        <v>44593</v>
      </c>
      <c r="J1322" s="4">
        <v>0</v>
      </c>
      <c r="K1322" s="4">
        <v>0</v>
      </c>
      <c r="L1322" s="4">
        <v>-10.169</v>
      </c>
      <c r="M1322" s="4">
        <v>-10.169</v>
      </c>
      <c r="N1322" s="4">
        <v>-10.169</v>
      </c>
      <c r="O1322" s="4">
        <v>-10.169</v>
      </c>
      <c r="P1322" s="4">
        <v>0</v>
      </c>
      <c r="Q1322" s="3" t="s">
        <v>26</v>
      </c>
      <c r="R1322" s="3">
        <v>0</v>
      </c>
      <c r="S1322" s="4">
        <v>0</v>
      </c>
      <c r="T1322" s="4">
        <v>48</v>
      </c>
      <c r="U1322" s="4">
        <v>65</v>
      </c>
      <c r="V1322" s="4">
        <f>IF(ISERROR(VLOOKUP($S$1322,'TAR FIN'!$A$1:$O$113,15,0)),0,VLOOKUP($S$1322,'TAR FIN'!$A$1:$O$113,15,0))</f>
        <v>0</v>
      </c>
      <c r="W1322" s="4">
        <f>IF(ISERROR(VLOOKUP($T$1322,'TAR FIN'!$A$1:$O$113,15,0)),0,VLOOKUP($T$1322,'TAR FIN'!$A$1:$O$113,15,0))</f>
        <v>346.2</v>
      </c>
      <c r="X1322" s="4">
        <f>IF(ISERROR(VLOOKUP($U$1322,'TAR FIN'!$A$1:$O$113,15,0)),0,VLOOKUP($U$1322,'TAR FIN'!$A$1:$O$113,15,0))</f>
        <v>234.24</v>
      </c>
      <c r="Y1322" s="4"/>
      <c r="Z1322" s="4">
        <f ca="1">('TUSD BE'!$AM$40+'TUSD BF'!$AM$40+'TUSD CVA'!$AM$40)*1</f>
        <v>411.14246090221764</v>
      </c>
      <c r="AA1322" s="4">
        <f>('TE BE'!$AA$19+'TE BF'!$AA$19+'TE CVA'!$AA$19)*1</f>
        <v>234.67932779241937</v>
      </c>
      <c r="AB1322" s="4">
        <f>$K$1322*$V$1322</f>
        <v>0</v>
      </c>
      <c r="AC1322" s="4">
        <f>$M$1322*$W$1322</f>
        <v>-3520.5077999999999</v>
      </c>
      <c r="AD1322" s="4">
        <f>$O$1322*$X$1322</f>
        <v>-2381.9865600000003</v>
      </c>
      <c r="AE1322" s="4">
        <f>$K$1322*$Y$1322</f>
        <v>0</v>
      </c>
      <c r="AF1322" s="4">
        <f ca="1">$M$1322*$Z$1322</f>
        <v>-4180.9076849146513</v>
      </c>
      <c r="AG1322" s="4">
        <f>$O$1322*$AA$1322</f>
        <v>-2386.4540843211125</v>
      </c>
    </row>
    <row r="1323" spans="1:33" ht="11.25" customHeight="1" x14ac:dyDescent="0.25">
      <c r="A1323" s="3" t="s">
        <v>56</v>
      </c>
      <c r="B1323" s="3" t="s">
        <v>22</v>
      </c>
      <c r="C1323" s="3" t="s">
        <v>23</v>
      </c>
      <c r="D1323" s="3" t="s">
        <v>24</v>
      </c>
      <c r="E1323" s="3" t="s">
        <v>24</v>
      </c>
      <c r="F1323" s="3" t="s">
        <v>25</v>
      </c>
      <c r="G1323" s="3" t="s">
        <v>25</v>
      </c>
      <c r="H1323" s="3" t="s">
        <v>25</v>
      </c>
      <c r="I1323" s="6">
        <v>44621</v>
      </c>
      <c r="J1323" s="4">
        <v>0</v>
      </c>
      <c r="K1323" s="4">
        <v>0</v>
      </c>
      <c r="L1323" s="4">
        <v>78459.588000000003</v>
      </c>
      <c r="M1323" s="4">
        <v>78459.588000000003</v>
      </c>
      <c r="N1323" s="4">
        <v>78459.588000000003</v>
      </c>
      <c r="O1323" s="4">
        <v>78459.588000000003</v>
      </c>
      <c r="P1323" s="4">
        <v>500160</v>
      </c>
      <c r="Q1323" s="3" t="s">
        <v>26</v>
      </c>
      <c r="R1323" s="3">
        <v>0</v>
      </c>
      <c r="S1323" s="4">
        <v>0</v>
      </c>
      <c r="T1323" s="4">
        <v>48</v>
      </c>
      <c r="U1323" s="4">
        <v>65</v>
      </c>
      <c r="V1323" s="4">
        <f>IF(ISERROR(VLOOKUP($S$1323,'TAR FIN'!$A$1:$O$113,15,0)),0,VLOOKUP($S$1323,'TAR FIN'!$A$1:$O$113,15,0))</f>
        <v>0</v>
      </c>
      <c r="W1323" s="4">
        <f>IF(ISERROR(VLOOKUP($T$1323,'TAR FIN'!$A$1:$O$113,15,0)),0,VLOOKUP($T$1323,'TAR FIN'!$A$1:$O$113,15,0))</f>
        <v>346.2</v>
      </c>
      <c r="X1323" s="4">
        <f>IF(ISERROR(VLOOKUP($U$1323,'TAR FIN'!$A$1:$O$113,15,0)),0,VLOOKUP($U$1323,'TAR FIN'!$A$1:$O$113,15,0))</f>
        <v>234.24</v>
      </c>
      <c r="Y1323" s="4"/>
      <c r="Z1323" s="4">
        <f ca="1">('TUSD BE'!$AM$40+'TUSD BF'!$AM$40+'TUSD CVA'!$AM$40)*1</f>
        <v>411.14246090221764</v>
      </c>
      <c r="AA1323" s="4">
        <f>('TE BE'!$AA$19+'TE BF'!$AA$19+'TE CVA'!$AA$19)*1</f>
        <v>234.67932779241937</v>
      </c>
      <c r="AB1323" s="4">
        <f>$K$1323*$V$1323</f>
        <v>0</v>
      </c>
      <c r="AC1323" s="4">
        <f>$M$1323*$W$1323</f>
        <v>27162709.365600001</v>
      </c>
      <c r="AD1323" s="4">
        <f>$O$1323*$X$1323</f>
        <v>18378373.893120002</v>
      </c>
      <c r="AE1323" s="4">
        <f>$K$1323*$Y$1323</f>
        <v>0</v>
      </c>
      <c r="AF1323" s="4">
        <f ca="1">$M$1323*$Z$1323</f>
        <v>32258068.091694105</v>
      </c>
      <c r="AG1323" s="4">
        <f>$O$1323*$AA$1323</f>
        <v>18412843.370710175</v>
      </c>
    </row>
    <row r="1324" spans="1:33" ht="11.25" customHeight="1" x14ac:dyDescent="0.25">
      <c r="A1324" s="3" t="s">
        <v>56</v>
      </c>
      <c r="B1324" s="3" t="s">
        <v>22</v>
      </c>
      <c r="C1324" s="3" t="s">
        <v>23</v>
      </c>
      <c r="D1324" s="3" t="s">
        <v>24</v>
      </c>
      <c r="E1324" s="3" t="s">
        <v>24</v>
      </c>
      <c r="F1324" s="3" t="s">
        <v>25</v>
      </c>
      <c r="G1324" s="3" t="s">
        <v>25</v>
      </c>
      <c r="H1324" s="3" t="s">
        <v>25</v>
      </c>
      <c r="I1324" s="6">
        <v>44621</v>
      </c>
      <c r="J1324" s="4">
        <v>0</v>
      </c>
      <c r="K1324" s="4">
        <v>0</v>
      </c>
      <c r="L1324" s="4">
        <v>-211.90600000000001</v>
      </c>
      <c r="M1324" s="4">
        <v>-211.90600000000001</v>
      </c>
      <c r="N1324" s="4">
        <v>-211.90600000000001</v>
      </c>
      <c r="O1324" s="4">
        <v>-211.90600000000001</v>
      </c>
      <c r="P1324" s="4">
        <v>-104</v>
      </c>
      <c r="Q1324" s="3" t="s">
        <v>26</v>
      </c>
      <c r="R1324" s="3">
        <v>0</v>
      </c>
      <c r="S1324" s="4">
        <v>0</v>
      </c>
      <c r="T1324" s="4">
        <v>48</v>
      </c>
      <c r="U1324" s="4">
        <v>65</v>
      </c>
      <c r="V1324" s="4">
        <f>IF(ISERROR(VLOOKUP($S$1324,'TAR FIN'!$A$1:$O$113,15,0)),0,VLOOKUP($S$1324,'TAR FIN'!$A$1:$O$113,15,0))</f>
        <v>0</v>
      </c>
      <c r="W1324" s="4">
        <f>IF(ISERROR(VLOOKUP($T$1324,'TAR FIN'!$A$1:$O$113,15,0)),0,VLOOKUP($T$1324,'TAR FIN'!$A$1:$O$113,15,0))</f>
        <v>346.2</v>
      </c>
      <c r="X1324" s="4">
        <f>IF(ISERROR(VLOOKUP($U$1324,'TAR FIN'!$A$1:$O$113,15,0)),0,VLOOKUP($U$1324,'TAR FIN'!$A$1:$O$113,15,0))</f>
        <v>234.24</v>
      </c>
      <c r="Y1324" s="4"/>
      <c r="Z1324" s="4">
        <f ca="1">('TUSD BE'!$AM$40+'TUSD BF'!$AM$40+'TUSD CVA'!$AM$40)*1</f>
        <v>411.14246090221764</v>
      </c>
      <c r="AA1324" s="4">
        <f>('TE BE'!$AA$19+'TE BF'!$AA$19+'TE CVA'!$AA$19)*1</f>
        <v>234.67932779241937</v>
      </c>
      <c r="AB1324" s="4">
        <f>$K$1324*$V$1324</f>
        <v>0</v>
      </c>
      <c r="AC1324" s="4">
        <f>$M$1324*$W$1324</f>
        <v>-73361.857199999999</v>
      </c>
      <c r="AD1324" s="4">
        <f>$O$1324*$X$1324</f>
        <v>-49636.861440000001</v>
      </c>
      <c r="AE1324" s="4">
        <f>$K$1324*$Y$1324</f>
        <v>0</v>
      </c>
      <c r="AF1324" s="4">
        <f ca="1">$M$1324*$Z$1324</f>
        <v>-87123.554319945339</v>
      </c>
      <c r="AG1324" s="4">
        <f>$O$1324*$AA$1324</f>
        <v>-49729.957635180421</v>
      </c>
    </row>
    <row r="1325" spans="1:33" ht="11.25" customHeight="1" x14ac:dyDescent="0.25">
      <c r="A1325" s="3" t="s">
        <v>56</v>
      </c>
      <c r="B1325" s="3" t="s">
        <v>22</v>
      </c>
      <c r="C1325" s="3" t="s">
        <v>23</v>
      </c>
      <c r="D1325" s="3" t="s">
        <v>24</v>
      </c>
      <c r="E1325" s="3" t="s">
        <v>24</v>
      </c>
      <c r="F1325" s="3" t="s">
        <v>25</v>
      </c>
      <c r="G1325" s="3" t="s">
        <v>25</v>
      </c>
      <c r="H1325" s="3" t="s">
        <v>25</v>
      </c>
      <c r="I1325" s="6">
        <v>44621</v>
      </c>
      <c r="J1325" s="4">
        <v>0</v>
      </c>
      <c r="K1325" s="4">
        <v>0</v>
      </c>
      <c r="L1325" s="4">
        <v>1004.958</v>
      </c>
      <c r="M1325" s="4">
        <v>1004.958</v>
      </c>
      <c r="N1325" s="4">
        <v>1004.958</v>
      </c>
      <c r="O1325" s="4">
        <v>1004.958</v>
      </c>
      <c r="P1325" s="4">
        <v>5365</v>
      </c>
      <c r="Q1325" s="3" t="s">
        <v>26</v>
      </c>
      <c r="R1325" s="3">
        <v>0</v>
      </c>
      <c r="S1325" s="4">
        <v>0</v>
      </c>
      <c r="T1325" s="4">
        <v>48</v>
      </c>
      <c r="U1325" s="4">
        <v>65</v>
      </c>
      <c r="V1325" s="4">
        <f>IF(ISERROR(VLOOKUP($S$1325,'TAR FIN'!$A$1:$O$113,15,0)),0,VLOOKUP($S$1325,'TAR FIN'!$A$1:$O$113,15,0))</f>
        <v>0</v>
      </c>
      <c r="W1325" s="4">
        <f>IF(ISERROR(VLOOKUP($T$1325,'TAR FIN'!$A$1:$O$113,15,0)),0,VLOOKUP($T$1325,'TAR FIN'!$A$1:$O$113,15,0))</f>
        <v>346.2</v>
      </c>
      <c r="X1325" s="4">
        <f>IF(ISERROR(VLOOKUP($U$1325,'TAR FIN'!$A$1:$O$113,15,0)),0,VLOOKUP($U$1325,'TAR FIN'!$A$1:$O$113,15,0))</f>
        <v>234.24</v>
      </c>
      <c r="Y1325" s="4"/>
      <c r="Z1325" s="4">
        <f ca="1">('TUSD BE'!$AM$40+'TUSD BF'!$AM$40+'TUSD CVA'!$AM$40)*1</f>
        <v>411.14246090221764</v>
      </c>
      <c r="AA1325" s="4">
        <f>('TE BE'!$AA$19+'TE BF'!$AA$19+'TE CVA'!$AA$19)*1</f>
        <v>234.67932779241937</v>
      </c>
      <c r="AB1325" s="4">
        <f>$K$1325*$V$1325</f>
        <v>0</v>
      </c>
      <c r="AC1325" s="4">
        <f>$M$1325*$W$1325</f>
        <v>347916.4596</v>
      </c>
      <c r="AD1325" s="4">
        <f>$O$1325*$X$1325</f>
        <v>235401.36192</v>
      </c>
      <c r="AE1325" s="4">
        <f>$K$1325*$Y$1325</f>
        <v>0</v>
      </c>
      <c r="AF1325" s="4">
        <f ca="1">$M$1325*$Z$1325</f>
        <v>413180.90522337082</v>
      </c>
      <c r="AG1325" s="4">
        <f>$O$1325*$AA$1325</f>
        <v>235842.86789961418</v>
      </c>
    </row>
    <row r="1326" spans="1:33" ht="11.25" customHeight="1" x14ac:dyDescent="0.25">
      <c r="A1326" s="3" t="s">
        <v>56</v>
      </c>
      <c r="B1326" s="3" t="s">
        <v>22</v>
      </c>
      <c r="C1326" s="3" t="s">
        <v>23</v>
      </c>
      <c r="D1326" s="3" t="s">
        <v>24</v>
      </c>
      <c r="E1326" s="3" t="s">
        <v>24</v>
      </c>
      <c r="F1326" s="3" t="s">
        <v>25</v>
      </c>
      <c r="G1326" s="3" t="s">
        <v>25</v>
      </c>
      <c r="H1326" s="3" t="s">
        <v>25</v>
      </c>
      <c r="I1326" s="6">
        <v>44621</v>
      </c>
      <c r="J1326" s="4">
        <v>0</v>
      </c>
      <c r="K1326" s="4">
        <v>0</v>
      </c>
      <c r="L1326" s="4">
        <v>-10.169</v>
      </c>
      <c r="M1326" s="4">
        <v>-10.169</v>
      </c>
      <c r="N1326" s="4">
        <v>-10.169</v>
      </c>
      <c r="O1326" s="4">
        <v>-10.169</v>
      </c>
      <c r="P1326" s="4">
        <v>0</v>
      </c>
      <c r="Q1326" s="3" t="s">
        <v>26</v>
      </c>
      <c r="R1326" s="3">
        <v>0</v>
      </c>
      <c r="S1326" s="4">
        <v>0</v>
      </c>
      <c r="T1326" s="4">
        <v>48</v>
      </c>
      <c r="U1326" s="4">
        <v>65</v>
      </c>
      <c r="V1326" s="4">
        <f>IF(ISERROR(VLOOKUP($S$1326,'TAR FIN'!$A$1:$O$113,15,0)),0,VLOOKUP($S$1326,'TAR FIN'!$A$1:$O$113,15,0))</f>
        <v>0</v>
      </c>
      <c r="W1326" s="4">
        <f>IF(ISERROR(VLOOKUP($T$1326,'TAR FIN'!$A$1:$O$113,15,0)),0,VLOOKUP($T$1326,'TAR FIN'!$A$1:$O$113,15,0))</f>
        <v>346.2</v>
      </c>
      <c r="X1326" s="4">
        <f>IF(ISERROR(VLOOKUP($U$1326,'TAR FIN'!$A$1:$O$113,15,0)),0,VLOOKUP($U$1326,'TAR FIN'!$A$1:$O$113,15,0))</f>
        <v>234.24</v>
      </c>
      <c r="Y1326" s="4"/>
      <c r="Z1326" s="4">
        <f ca="1">('TUSD BE'!$AM$40+'TUSD BF'!$AM$40+'TUSD CVA'!$AM$40)*1</f>
        <v>411.14246090221764</v>
      </c>
      <c r="AA1326" s="4">
        <f>('TE BE'!$AA$19+'TE BF'!$AA$19+'TE CVA'!$AA$19)*1</f>
        <v>234.67932779241937</v>
      </c>
      <c r="AB1326" s="4">
        <f>$K$1326*$V$1326</f>
        <v>0</v>
      </c>
      <c r="AC1326" s="4">
        <f>$M$1326*$W$1326</f>
        <v>-3520.5077999999999</v>
      </c>
      <c r="AD1326" s="4">
        <f>$O$1326*$X$1326</f>
        <v>-2381.9865600000003</v>
      </c>
      <c r="AE1326" s="4">
        <f>$K$1326*$Y$1326</f>
        <v>0</v>
      </c>
      <c r="AF1326" s="4">
        <f ca="1">$M$1326*$Z$1326</f>
        <v>-4180.9076849146513</v>
      </c>
      <c r="AG1326" s="4">
        <f>$O$1326*$AA$1326</f>
        <v>-2386.4540843211125</v>
      </c>
    </row>
    <row r="1327" spans="1:33" ht="11.25" customHeight="1" x14ac:dyDescent="0.25">
      <c r="A1327" s="3" t="s">
        <v>21</v>
      </c>
      <c r="B1327" s="3" t="s">
        <v>22</v>
      </c>
      <c r="C1327" s="3" t="s">
        <v>23</v>
      </c>
      <c r="D1327" s="3" t="s">
        <v>24</v>
      </c>
      <c r="E1327" s="3" t="s">
        <v>29</v>
      </c>
      <c r="F1327" s="3" t="s">
        <v>25</v>
      </c>
      <c r="G1327" s="3" t="s">
        <v>25</v>
      </c>
      <c r="H1327" s="3" t="s">
        <v>25</v>
      </c>
      <c r="I1327" s="6">
        <v>44287</v>
      </c>
      <c r="J1327" s="4">
        <v>0</v>
      </c>
      <c r="K1327" s="4">
        <v>0</v>
      </c>
      <c r="L1327" s="4">
        <v>6850.3620000000001</v>
      </c>
      <c r="M1327" s="4">
        <v>6850.3620000000001</v>
      </c>
      <c r="N1327" s="4">
        <v>6850.3620000000001</v>
      </c>
      <c r="O1327" s="4">
        <v>6850.3620000000001</v>
      </c>
      <c r="P1327" s="4">
        <v>20281</v>
      </c>
      <c r="Q1327" s="3" t="s">
        <v>26</v>
      </c>
      <c r="R1327" s="3">
        <v>0</v>
      </c>
      <c r="S1327" s="4">
        <v>0</v>
      </c>
      <c r="T1327" s="4">
        <v>26</v>
      </c>
      <c r="U1327" s="4">
        <v>99</v>
      </c>
      <c r="V1327" s="4">
        <f>IF(ISERROR(VLOOKUP($S$1327,'TAR FIN'!$A$1:$O$113,15,0)),0,VLOOKUP($S$1327,'TAR FIN'!$A$1:$O$113,15,0))</f>
        <v>0</v>
      </c>
      <c r="W1327" s="4">
        <f>IF(ISERROR(VLOOKUP($T$1327,'TAR FIN'!$A$1:$O$113,15,0)),0,VLOOKUP($T$1327,'TAR FIN'!$A$1:$O$113,15,0))</f>
        <v>107.74</v>
      </c>
      <c r="X1327" s="4">
        <f>IF(ISERROR(VLOOKUP($U$1327,'TAR FIN'!$A$1:$O$113,15,0)),0,VLOOKUP($U$1327,'TAR FIN'!$A$1:$O$113,15,0))</f>
        <v>81.98</v>
      </c>
      <c r="Y1327" s="4"/>
      <c r="Z132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27" s="4">
        <f>('TE BE'!$AA$20+'TE BF'!$AA$20+'TE CVA'!$AA$20)*(1-CUSTOS!$M$34)</f>
        <v>82.137764727346777</v>
      </c>
      <c r="AB1327" s="4">
        <f>$K$1327*$V$1327</f>
        <v>0</v>
      </c>
      <c r="AC1327" s="4">
        <f>$M$1327*$W$1327</f>
        <v>738058.00188</v>
      </c>
      <c r="AD1327" s="4">
        <f>$O$1327*$X$1327</f>
        <v>561592.67676000006</v>
      </c>
      <c r="AE1327" s="4">
        <f>$K$1327*$Y$1327</f>
        <v>0</v>
      </c>
      <c r="AF1327" s="4">
        <f ca="1">$M$1327*$Z$1327</f>
        <v>855130.00545393175</v>
      </c>
      <c r="AG1327" s="4">
        <f>$O$1327*$AA$1327</f>
        <v>562673.42225315678</v>
      </c>
    </row>
    <row r="1328" spans="1:33" ht="11.25" customHeight="1" x14ac:dyDescent="0.25">
      <c r="A1328" s="3" t="s">
        <v>27</v>
      </c>
      <c r="B1328" s="3" t="s">
        <v>22</v>
      </c>
      <c r="C1328" s="3" t="s">
        <v>23</v>
      </c>
      <c r="D1328" s="3" t="s">
        <v>24</v>
      </c>
      <c r="E1328" s="3" t="s">
        <v>29</v>
      </c>
      <c r="F1328" s="3" t="s">
        <v>25</v>
      </c>
      <c r="G1328" s="3" t="s">
        <v>25</v>
      </c>
      <c r="H1328" s="3" t="s">
        <v>25</v>
      </c>
      <c r="I1328" s="6">
        <v>44287</v>
      </c>
      <c r="J1328" s="4">
        <v>0</v>
      </c>
      <c r="K1328" s="4">
        <v>0</v>
      </c>
      <c r="L1328" s="4">
        <v>-1.675</v>
      </c>
      <c r="M1328" s="4">
        <v>-1.675</v>
      </c>
      <c r="N1328" s="4">
        <v>-1.675</v>
      </c>
      <c r="O1328" s="4">
        <v>-1.675</v>
      </c>
      <c r="P1328" s="4">
        <v>-38</v>
      </c>
      <c r="Q1328" s="3" t="s">
        <v>26</v>
      </c>
      <c r="R1328" s="3">
        <v>0</v>
      </c>
      <c r="S1328" s="4">
        <v>0</v>
      </c>
      <c r="T1328" s="4">
        <v>26</v>
      </c>
      <c r="U1328" s="4">
        <v>99</v>
      </c>
      <c r="V1328" s="4">
        <f>IF(ISERROR(VLOOKUP($S$1328,'TAR FIN'!$A$1:$O$113,15,0)),0,VLOOKUP($S$1328,'TAR FIN'!$A$1:$O$113,15,0))</f>
        <v>0</v>
      </c>
      <c r="W1328" s="4">
        <f>IF(ISERROR(VLOOKUP($T$1328,'TAR FIN'!$A$1:$O$113,15,0)),0,VLOOKUP($T$1328,'TAR FIN'!$A$1:$O$113,15,0))</f>
        <v>107.74</v>
      </c>
      <c r="X1328" s="4">
        <f>IF(ISERROR(VLOOKUP($U$1328,'TAR FIN'!$A$1:$O$113,15,0)),0,VLOOKUP($U$1328,'TAR FIN'!$A$1:$O$113,15,0))</f>
        <v>81.98</v>
      </c>
      <c r="Y1328" s="4"/>
      <c r="Z132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28" s="4">
        <f>('TE BE'!$AA$20+'TE BF'!$AA$20+'TE CVA'!$AA$20)*(1-CUSTOS!$M$34)</f>
        <v>82.137764727346777</v>
      </c>
      <c r="AB1328" s="4">
        <f>$K$1328*$V$1328</f>
        <v>0</v>
      </c>
      <c r="AC1328" s="4">
        <f>$M$1328*$W$1328</f>
        <v>-180.46449999999999</v>
      </c>
      <c r="AD1328" s="4">
        <f>$O$1328*$X$1328</f>
        <v>-137.31650000000002</v>
      </c>
      <c r="AE1328" s="4">
        <f>$K$1328*$Y$1328</f>
        <v>0</v>
      </c>
      <c r="AF1328" s="4">
        <f ca="1">$M$1328*$Z$1328</f>
        <v>-209.09008299639285</v>
      </c>
      <c r="AG1328" s="4">
        <f>$O$1328*$AA$1328</f>
        <v>-137.58075591830587</v>
      </c>
    </row>
    <row r="1329" spans="1:33" ht="11.25" customHeight="1" x14ac:dyDescent="0.25">
      <c r="A1329" s="3" t="s">
        <v>28</v>
      </c>
      <c r="B1329" s="3" t="s">
        <v>22</v>
      </c>
      <c r="C1329" s="3" t="s">
        <v>23</v>
      </c>
      <c r="D1329" s="3" t="s">
        <v>24</v>
      </c>
      <c r="E1329" s="3" t="s">
        <v>29</v>
      </c>
      <c r="F1329" s="3" t="s">
        <v>25</v>
      </c>
      <c r="G1329" s="3" t="s">
        <v>25</v>
      </c>
      <c r="H1329" s="3" t="s">
        <v>25</v>
      </c>
      <c r="I1329" s="6">
        <v>44287</v>
      </c>
      <c r="J1329" s="4">
        <v>0</v>
      </c>
      <c r="K1329" s="4">
        <v>0</v>
      </c>
      <c r="L1329" s="4">
        <v>1.32</v>
      </c>
      <c r="M1329" s="4">
        <v>1.32</v>
      </c>
      <c r="N1329" s="4">
        <v>1.32</v>
      </c>
      <c r="O1329" s="4">
        <v>1.32</v>
      </c>
      <c r="P1329" s="4">
        <v>7</v>
      </c>
      <c r="Q1329" s="3" t="s">
        <v>26</v>
      </c>
      <c r="R1329" s="3">
        <v>0</v>
      </c>
      <c r="S1329" s="4">
        <v>0</v>
      </c>
      <c r="T1329" s="4">
        <v>26</v>
      </c>
      <c r="U1329" s="4">
        <v>99</v>
      </c>
      <c r="V1329" s="4">
        <f>IF(ISERROR(VLOOKUP($S$1329,'TAR FIN'!$A$1:$O$113,15,0)),0,VLOOKUP($S$1329,'TAR FIN'!$A$1:$O$113,15,0))</f>
        <v>0</v>
      </c>
      <c r="W1329" s="4">
        <f>IF(ISERROR(VLOOKUP($T$1329,'TAR FIN'!$A$1:$O$113,15,0)),0,VLOOKUP($T$1329,'TAR FIN'!$A$1:$O$113,15,0))</f>
        <v>107.74</v>
      </c>
      <c r="X1329" s="4">
        <f>IF(ISERROR(VLOOKUP($U$1329,'TAR FIN'!$A$1:$O$113,15,0)),0,VLOOKUP($U$1329,'TAR FIN'!$A$1:$O$113,15,0))</f>
        <v>81.98</v>
      </c>
      <c r="Y1329" s="4"/>
      <c r="Z132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29" s="4">
        <f>('TE BE'!$AA$20+'TE BF'!$AA$20+'TE CVA'!$AA$20)*(1-CUSTOS!$M$34)</f>
        <v>82.137764727346777</v>
      </c>
      <c r="AB1329" s="4">
        <f>$K$1329*$V$1329</f>
        <v>0</v>
      </c>
      <c r="AC1329" s="4">
        <f>$M$1329*$W$1329</f>
        <v>142.21680000000001</v>
      </c>
      <c r="AD1329" s="4">
        <f>$O$1329*$X$1329</f>
        <v>108.21360000000001</v>
      </c>
      <c r="AE1329" s="4">
        <f>$K$1329*$Y$1329</f>
        <v>0</v>
      </c>
      <c r="AF1329" s="4">
        <f ca="1">$M$1329*$Z$1329</f>
        <v>164.77546839118722</v>
      </c>
      <c r="AG1329" s="4">
        <f>$O$1329*$AA$1329</f>
        <v>108.42184944009774</v>
      </c>
    </row>
    <row r="1330" spans="1:33" ht="11.25" customHeight="1" x14ac:dyDescent="0.25">
      <c r="A1330" s="3" t="s">
        <v>21</v>
      </c>
      <c r="B1330" s="3" t="s">
        <v>22</v>
      </c>
      <c r="C1330" s="3" t="s">
        <v>23</v>
      </c>
      <c r="D1330" s="3" t="s">
        <v>24</v>
      </c>
      <c r="E1330" s="3" t="s">
        <v>29</v>
      </c>
      <c r="F1330" s="3" t="s">
        <v>25</v>
      </c>
      <c r="G1330" s="3" t="s">
        <v>25</v>
      </c>
      <c r="H1330" s="3" t="s">
        <v>25</v>
      </c>
      <c r="I1330" s="6">
        <v>44317</v>
      </c>
      <c r="J1330" s="4">
        <v>0</v>
      </c>
      <c r="K1330" s="4">
        <v>0</v>
      </c>
      <c r="L1330" s="4">
        <v>6865.0609999999997</v>
      </c>
      <c r="M1330" s="4">
        <v>6865.0609999999997</v>
      </c>
      <c r="N1330" s="4">
        <v>6865.0609999999997</v>
      </c>
      <c r="O1330" s="4">
        <v>6865.0609999999997</v>
      </c>
      <c r="P1330" s="4">
        <v>21755</v>
      </c>
      <c r="Q1330" s="3" t="s">
        <v>26</v>
      </c>
      <c r="R1330" s="3">
        <v>0</v>
      </c>
      <c r="S1330" s="4">
        <v>0</v>
      </c>
      <c r="T1330" s="4">
        <v>26</v>
      </c>
      <c r="U1330" s="4">
        <v>99</v>
      </c>
      <c r="V1330" s="4">
        <f>IF(ISERROR(VLOOKUP($S$1330,'TAR FIN'!$A$1:$O$113,15,0)),0,VLOOKUP($S$1330,'TAR FIN'!$A$1:$O$113,15,0))</f>
        <v>0</v>
      </c>
      <c r="W1330" s="4">
        <f>IF(ISERROR(VLOOKUP($T$1330,'TAR FIN'!$A$1:$O$113,15,0)),0,VLOOKUP($T$1330,'TAR FIN'!$A$1:$O$113,15,0))</f>
        <v>107.74</v>
      </c>
      <c r="X1330" s="4">
        <f>IF(ISERROR(VLOOKUP($U$1330,'TAR FIN'!$A$1:$O$113,15,0)),0,VLOOKUP($U$1330,'TAR FIN'!$A$1:$O$113,15,0))</f>
        <v>81.98</v>
      </c>
      <c r="Y1330" s="4"/>
      <c r="Z133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0" s="4">
        <f>('TE BE'!$AA$20+'TE BF'!$AA$20+'TE CVA'!$AA$20)*(1-CUSTOS!$M$34)</f>
        <v>82.137764727346777</v>
      </c>
      <c r="AB1330" s="4">
        <f>$K$1330*$V$1330</f>
        <v>0</v>
      </c>
      <c r="AC1330" s="4">
        <f>$M$1330*$W$1330</f>
        <v>739641.67213999992</v>
      </c>
      <c r="AD1330" s="4">
        <f>$O$1330*$X$1330</f>
        <v>562797.70077999996</v>
      </c>
      <c r="AE1330" s="4">
        <f>$K$1330*$Y$1330</f>
        <v>0</v>
      </c>
      <c r="AF1330" s="4">
        <f ca="1">$M$1330*$Z$1330</f>
        <v>856964.88015838782</v>
      </c>
      <c r="AG1330" s="4">
        <f>$O$1330*$AA$1330</f>
        <v>563880.76525688393</v>
      </c>
    </row>
    <row r="1331" spans="1:33" ht="11.25" customHeight="1" x14ac:dyDescent="0.25">
      <c r="A1331" s="3" t="s">
        <v>27</v>
      </c>
      <c r="B1331" s="3" t="s">
        <v>22</v>
      </c>
      <c r="C1331" s="3" t="s">
        <v>23</v>
      </c>
      <c r="D1331" s="3" t="s">
        <v>24</v>
      </c>
      <c r="E1331" s="3" t="s">
        <v>29</v>
      </c>
      <c r="F1331" s="3" t="s">
        <v>25</v>
      </c>
      <c r="G1331" s="3" t="s">
        <v>25</v>
      </c>
      <c r="H1331" s="3" t="s">
        <v>25</v>
      </c>
      <c r="I1331" s="6">
        <v>44317</v>
      </c>
      <c r="J1331" s="4">
        <v>0</v>
      </c>
      <c r="K1331" s="4">
        <v>0</v>
      </c>
      <c r="L1331" s="4">
        <v>-0.16</v>
      </c>
      <c r="M1331" s="4">
        <v>-0.16</v>
      </c>
      <c r="N1331" s="4">
        <v>-0.16</v>
      </c>
      <c r="O1331" s="4">
        <v>-0.16</v>
      </c>
      <c r="P1331" s="4">
        <v>-60</v>
      </c>
      <c r="Q1331" s="3" t="s">
        <v>26</v>
      </c>
      <c r="R1331" s="3">
        <v>0</v>
      </c>
      <c r="S1331" s="4">
        <v>0</v>
      </c>
      <c r="T1331" s="4">
        <v>26</v>
      </c>
      <c r="U1331" s="4">
        <v>99</v>
      </c>
      <c r="V1331" s="4">
        <f>IF(ISERROR(VLOOKUP($S$1331,'TAR FIN'!$A$1:$O$113,15,0)),0,VLOOKUP($S$1331,'TAR FIN'!$A$1:$O$113,15,0))</f>
        <v>0</v>
      </c>
      <c r="W1331" s="4">
        <f>IF(ISERROR(VLOOKUP($T$1331,'TAR FIN'!$A$1:$O$113,15,0)),0,VLOOKUP($T$1331,'TAR FIN'!$A$1:$O$113,15,0))</f>
        <v>107.74</v>
      </c>
      <c r="X1331" s="4">
        <f>IF(ISERROR(VLOOKUP($U$1331,'TAR FIN'!$A$1:$O$113,15,0)),0,VLOOKUP($U$1331,'TAR FIN'!$A$1:$O$113,15,0))</f>
        <v>81.98</v>
      </c>
      <c r="Y1331" s="4"/>
      <c r="Z133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1" s="4">
        <f>('TE BE'!$AA$20+'TE BF'!$AA$20+'TE CVA'!$AA$20)*(1-CUSTOS!$M$34)</f>
        <v>82.137764727346777</v>
      </c>
      <c r="AB1331" s="4">
        <f>$K$1331*$V$1331</f>
        <v>0</v>
      </c>
      <c r="AC1331" s="4">
        <f>$M$1331*$W$1331</f>
        <v>-17.238399999999999</v>
      </c>
      <c r="AD1331" s="4">
        <f>$O$1331*$X$1331</f>
        <v>-13.116800000000001</v>
      </c>
      <c r="AE1331" s="4">
        <f>$K$1331*$Y$1331</f>
        <v>0</v>
      </c>
      <c r="AF1331" s="4">
        <f ca="1">$M$1331*$Z$1331</f>
        <v>-19.972784047416631</v>
      </c>
      <c r="AG1331" s="4">
        <f>$O$1331*$AA$1331</f>
        <v>-13.142042356375484</v>
      </c>
    </row>
    <row r="1332" spans="1:33" ht="11.25" customHeight="1" x14ac:dyDescent="0.25">
      <c r="A1332" s="3" t="s">
        <v>28</v>
      </c>
      <c r="B1332" s="3" t="s">
        <v>22</v>
      </c>
      <c r="C1332" s="3" t="s">
        <v>23</v>
      </c>
      <c r="D1332" s="3" t="s">
        <v>24</v>
      </c>
      <c r="E1332" s="3" t="s">
        <v>29</v>
      </c>
      <c r="F1332" s="3" t="s">
        <v>25</v>
      </c>
      <c r="G1332" s="3" t="s">
        <v>25</v>
      </c>
      <c r="H1332" s="3" t="s">
        <v>25</v>
      </c>
      <c r="I1332" s="6">
        <v>44317</v>
      </c>
      <c r="J1332" s="4">
        <v>0</v>
      </c>
      <c r="K1332" s="4">
        <v>0</v>
      </c>
      <c r="L1332" s="4">
        <v>1.47</v>
      </c>
      <c r="M1332" s="4">
        <v>1.47</v>
      </c>
      <c r="N1332" s="4">
        <v>1.47</v>
      </c>
      <c r="O1332" s="4">
        <v>1.47</v>
      </c>
      <c r="P1332" s="4">
        <v>6</v>
      </c>
      <c r="Q1332" s="3" t="s">
        <v>26</v>
      </c>
      <c r="R1332" s="3">
        <v>0</v>
      </c>
      <c r="S1332" s="4">
        <v>0</v>
      </c>
      <c r="T1332" s="4">
        <v>26</v>
      </c>
      <c r="U1332" s="4">
        <v>99</v>
      </c>
      <c r="V1332" s="4">
        <f>IF(ISERROR(VLOOKUP($S$1332,'TAR FIN'!$A$1:$O$113,15,0)),0,VLOOKUP($S$1332,'TAR FIN'!$A$1:$O$113,15,0))</f>
        <v>0</v>
      </c>
      <c r="W1332" s="4">
        <f>IF(ISERROR(VLOOKUP($T$1332,'TAR FIN'!$A$1:$O$113,15,0)),0,VLOOKUP($T$1332,'TAR FIN'!$A$1:$O$113,15,0))</f>
        <v>107.74</v>
      </c>
      <c r="X1332" s="4">
        <f>IF(ISERROR(VLOOKUP($U$1332,'TAR FIN'!$A$1:$O$113,15,0)),0,VLOOKUP($U$1332,'TAR FIN'!$A$1:$O$113,15,0))</f>
        <v>81.98</v>
      </c>
      <c r="Y1332" s="4"/>
      <c r="Z133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2" s="4">
        <f>('TE BE'!$AA$20+'TE BF'!$AA$20+'TE CVA'!$AA$20)*(1-CUSTOS!$M$34)</f>
        <v>82.137764727346777</v>
      </c>
      <c r="AB1332" s="4">
        <f>$K$1332*$V$1332</f>
        <v>0</v>
      </c>
      <c r="AC1332" s="4">
        <f>$M$1332*$W$1332</f>
        <v>158.37779999999998</v>
      </c>
      <c r="AD1332" s="4">
        <f>$O$1332*$X$1332</f>
        <v>120.5106</v>
      </c>
      <c r="AE1332" s="4">
        <f>$K$1332*$Y$1332</f>
        <v>0</v>
      </c>
      <c r="AF1332" s="4">
        <f ca="1">$M$1332*$Z$1332</f>
        <v>183.49995343564029</v>
      </c>
      <c r="AG1332" s="4">
        <f>$O$1332*$AA$1332</f>
        <v>120.74251414919976</v>
      </c>
    </row>
    <row r="1333" spans="1:33" ht="11.25" customHeight="1" x14ac:dyDescent="0.25">
      <c r="A1333" s="3" t="s">
        <v>21</v>
      </c>
      <c r="B1333" s="3" t="s">
        <v>22</v>
      </c>
      <c r="C1333" s="3" t="s">
        <v>23</v>
      </c>
      <c r="D1333" s="3" t="s">
        <v>24</v>
      </c>
      <c r="E1333" s="3" t="s">
        <v>29</v>
      </c>
      <c r="F1333" s="3" t="s">
        <v>25</v>
      </c>
      <c r="G1333" s="3" t="s">
        <v>25</v>
      </c>
      <c r="H1333" s="3" t="s">
        <v>25</v>
      </c>
      <c r="I1333" s="6">
        <v>44348</v>
      </c>
      <c r="J1333" s="4">
        <v>0</v>
      </c>
      <c r="K1333" s="4">
        <v>0</v>
      </c>
      <c r="L1333" s="4">
        <v>6886.57</v>
      </c>
      <c r="M1333" s="4">
        <v>6886.57</v>
      </c>
      <c r="N1333" s="4">
        <v>6886.57</v>
      </c>
      <c r="O1333" s="4">
        <v>6886.57</v>
      </c>
      <c r="P1333" s="4">
        <v>22419</v>
      </c>
      <c r="Q1333" s="3" t="s">
        <v>26</v>
      </c>
      <c r="R1333" s="3">
        <v>0</v>
      </c>
      <c r="S1333" s="4">
        <v>0</v>
      </c>
      <c r="T1333" s="4">
        <v>26</v>
      </c>
      <c r="U1333" s="4">
        <v>99</v>
      </c>
      <c r="V1333" s="4">
        <f>IF(ISERROR(VLOOKUP($S$1333,'TAR FIN'!$A$1:$O$113,15,0)),0,VLOOKUP($S$1333,'TAR FIN'!$A$1:$O$113,15,0))</f>
        <v>0</v>
      </c>
      <c r="W1333" s="4">
        <f>IF(ISERROR(VLOOKUP($T$1333,'TAR FIN'!$A$1:$O$113,15,0)),0,VLOOKUP($T$1333,'TAR FIN'!$A$1:$O$113,15,0))</f>
        <v>107.74</v>
      </c>
      <c r="X1333" s="4">
        <f>IF(ISERROR(VLOOKUP($U$1333,'TAR FIN'!$A$1:$O$113,15,0)),0,VLOOKUP($U$1333,'TAR FIN'!$A$1:$O$113,15,0))</f>
        <v>81.98</v>
      </c>
      <c r="Y1333" s="4"/>
      <c r="Z133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3" s="4">
        <f>('TE BE'!$AA$20+'TE BF'!$AA$20+'TE CVA'!$AA$20)*(1-CUSTOS!$M$34)</f>
        <v>82.137764727346777</v>
      </c>
      <c r="AB1333" s="4">
        <f>$K$1333*$V$1333</f>
        <v>0</v>
      </c>
      <c r="AC1333" s="4">
        <f>$M$1333*$W$1333</f>
        <v>741959.0517999999</v>
      </c>
      <c r="AD1333" s="4">
        <f>$O$1333*$X$1333</f>
        <v>564561.00860000006</v>
      </c>
      <c r="AE1333" s="4">
        <f>$K$1333*$Y$1333</f>
        <v>0</v>
      </c>
      <c r="AF1333" s="4">
        <f ca="1">$M$1333*$Z$1333</f>
        <v>859649.84648386214</v>
      </c>
      <c r="AG1333" s="4">
        <f>$O$1333*$AA$1333</f>
        <v>565647.46643840452</v>
      </c>
    </row>
    <row r="1334" spans="1:33" ht="11.25" customHeight="1" x14ac:dyDescent="0.25">
      <c r="A1334" s="3" t="s">
        <v>27</v>
      </c>
      <c r="B1334" s="3" t="s">
        <v>22</v>
      </c>
      <c r="C1334" s="3" t="s">
        <v>23</v>
      </c>
      <c r="D1334" s="3" t="s">
        <v>24</v>
      </c>
      <c r="E1334" s="3" t="s">
        <v>29</v>
      </c>
      <c r="F1334" s="3" t="s">
        <v>25</v>
      </c>
      <c r="G1334" s="3" t="s">
        <v>25</v>
      </c>
      <c r="H1334" s="3" t="s">
        <v>25</v>
      </c>
      <c r="I1334" s="6">
        <v>44348</v>
      </c>
      <c r="J1334" s="4">
        <v>0</v>
      </c>
      <c r="K1334" s="4">
        <v>0</v>
      </c>
      <c r="L1334" s="4">
        <v>-0.126</v>
      </c>
      <c r="M1334" s="4">
        <v>-0.126</v>
      </c>
      <c r="N1334" s="4">
        <v>-0.126</v>
      </c>
      <c r="O1334" s="4">
        <v>-0.126</v>
      </c>
      <c r="P1334" s="4">
        <v>-6</v>
      </c>
      <c r="Q1334" s="3" t="s">
        <v>26</v>
      </c>
      <c r="R1334" s="3">
        <v>0</v>
      </c>
      <c r="S1334" s="4">
        <v>0</v>
      </c>
      <c r="T1334" s="4">
        <v>26</v>
      </c>
      <c r="U1334" s="4">
        <v>99</v>
      </c>
      <c r="V1334" s="4">
        <f>IF(ISERROR(VLOOKUP($S$1334,'TAR FIN'!$A$1:$O$113,15,0)),0,VLOOKUP($S$1334,'TAR FIN'!$A$1:$O$113,15,0))</f>
        <v>0</v>
      </c>
      <c r="W1334" s="4">
        <f>IF(ISERROR(VLOOKUP($T$1334,'TAR FIN'!$A$1:$O$113,15,0)),0,VLOOKUP($T$1334,'TAR FIN'!$A$1:$O$113,15,0))</f>
        <v>107.74</v>
      </c>
      <c r="X1334" s="4">
        <f>IF(ISERROR(VLOOKUP($U$1334,'TAR FIN'!$A$1:$O$113,15,0)),0,VLOOKUP($U$1334,'TAR FIN'!$A$1:$O$113,15,0))</f>
        <v>81.98</v>
      </c>
      <c r="Y1334" s="4"/>
      <c r="Z133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4" s="4">
        <f>('TE BE'!$AA$20+'TE BF'!$AA$20+'TE CVA'!$AA$20)*(1-CUSTOS!$M$34)</f>
        <v>82.137764727346777</v>
      </c>
      <c r="AB1334" s="4">
        <f>$K$1334*$V$1334</f>
        <v>0</v>
      </c>
      <c r="AC1334" s="4">
        <f>$M$1334*$W$1334</f>
        <v>-13.575239999999999</v>
      </c>
      <c r="AD1334" s="4">
        <f>$O$1334*$X$1334</f>
        <v>-10.32948</v>
      </c>
      <c r="AE1334" s="4">
        <f>$K$1334*$Y$1334</f>
        <v>0</v>
      </c>
      <c r="AF1334" s="4">
        <f ca="1">$M$1334*$Z$1334</f>
        <v>-15.728567437340597</v>
      </c>
      <c r="AG1334" s="4">
        <f>$O$1334*$AA$1334</f>
        <v>-10.349358355645695</v>
      </c>
    </row>
    <row r="1335" spans="1:33" ht="11.25" customHeight="1" x14ac:dyDescent="0.25">
      <c r="A1335" s="3" t="s">
        <v>28</v>
      </c>
      <c r="B1335" s="3" t="s">
        <v>22</v>
      </c>
      <c r="C1335" s="3" t="s">
        <v>23</v>
      </c>
      <c r="D1335" s="3" t="s">
        <v>24</v>
      </c>
      <c r="E1335" s="3" t="s">
        <v>29</v>
      </c>
      <c r="F1335" s="3" t="s">
        <v>25</v>
      </c>
      <c r="G1335" s="3" t="s">
        <v>25</v>
      </c>
      <c r="H1335" s="3" t="s">
        <v>25</v>
      </c>
      <c r="I1335" s="6">
        <v>44348</v>
      </c>
      <c r="J1335" s="4">
        <v>0</v>
      </c>
      <c r="K1335" s="4">
        <v>0</v>
      </c>
      <c r="L1335" s="4">
        <v>1.53</v>
      </c>
      <c r="M1335" s="4">
        <v>1.53</v>
      </c>
      <c r="N1335" s="4">
        <v>1.53</v>
      </c>
      <c r="O1335" s="4">
        <v>1.53</v>
      </c>
      <c r="P1335" s="4">
        <v>5</v>
      </c>
      <c r="Q1335" s="3" t="s">
        <v>26</v>
      </c>
      <c r="R1335" s="3">
        <v>0</v>
      </c>
      <c r="S1335" s="4">
        <v>0</v>
      </c>
      <c r="T1335" s="4">
        <v>26</v>
      </c>
      <c r="U1335" s="4">
        <v>99</v>
      </c>
      <c r="V1335" s="4">
        <f>IF(ISERROR(VLOOKUP($S$1335,'TAR FIN'!$A$1:$O$113,15,0)),0,VLOOKUP($S$1335,'TAR FIN'!$A$1:$O$113,15,0))</f>
        <v>0</v>
      </c>
      <c r="W1335" s="4">
        <f>IF(ISERROR(VLOOKUP($T$1335,'TAR FIN'!$A$1:$O$113,15,0)),0,VLOOKUP($T$1335,'TAR FIN'!$A$1:$O$113,15,0))</f>
        <v>107.74</v>
      </c>
      <c r="X1335" s="4">
        <f>IF(ISERROR(VLOOKUP($U$1335,'TAR FIN'!$A$1:$O$113,15,0)),0,VLOOKUP($U$1335,'TAR FIN'!$A$1:$O$113,15,0))</f>
        <v>81.98</v>
      </c>
      <c r="Y1335" s="4"/>
      <c r="Z133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5" s="4">
        <f>('TE BE'!$AA$20+'TE BF'!$AA$20+'TE CVA'!$AA$20)*(1-CUSTOS!$M$34)</f>
        <v>82.137764727346777</v>
      </c>
      <c r="AB1335" s="4">
        <f>$K$1335*$V$1335</f>
        <v>0</v>
      </c>
      <c r="AC1335" s="4">
        <f>$M$1335*$W$1335</f>
        <v>164.84219999999999</v>
      </c>
      <c r="AD1335" s="4">
        <f>$O$1335*$X$1335</f>
        <v>125.42940000000002</v>
      </c>
      <c r="AE1335" s="4">
        <f>$K$1335*$Y$1335</f>
        <v>0</v>
      </c>
      <c r="AF1335" s="4">
        <f ca="1">$M$1335*$Z$1335</f>
        <v>190.98974745342153</v>
      </c>
      <c r="AG1335" s="4">
        <f>$O$1335*$AA$1335</f>
        <v>125.67078003284057</v>
      </c>
    </row>
    <row r="1336" spans="1:33" ht="11.25" customHeight="1" x14ac:dyDescent="0.25">
      <c r="A1336" s="3" t="s">
        <v>21</v>
      </c>
      <c r="B1336" s="3" t="s">
        <v>22</v>
      </c>
      <c r="C1336" s="3" t="s">
        <v>23</v>
      </c>
      <c r="D1336" s="3" t="s">
        <v>24</v>
      </c>
      <c r="E1336" s="3" t="s">
        <v>29</v>
      </c>
      <c r="F1336" s="3" t="s">
        <v>25</v>
      </c>
      <c r="G1336" s="3" t="s">
        <v>25</v>
      </c>
      <c r="H1336" s="3" t="s">
        <v>25</v>
      </c>
      <c r="I1336" s="6">
        <v>44378</v>
      </c>
      <c r="J1336" s="4">
        <v>0</v>
      </c>
      <c r="K1336" s="4">
        <v>0</v>
      </c>
      <c r="L1336" s="4">
        <v>6931.933</v>
      </c>
      <c r="M1336" s="4">
        <v>6931.933</v>
      </c>
      <c r="N1336" s="4">
        <v>6931.933</v>
      </c>
      <c r="O1336" s="4">
        <v>6931.933</v>
      </c>
      <c r="P1336" s="4">
        <v>23087</v>
      </c>
      <c r="Q1336" s="3" t="s">
        <v>26</v>
      </c>
      <c r="R1336" s="3">
        <v>0</v>
      </c>
      <c r="S1336" s="4">
        <v>0</v>
      </c>
      <c r="T1336" s="4">
        <v>26</v>
      </c>
      <c r="U1336" s="4">
        <v>99</v>
      </c>
      <c r="V1336" s="4">
        <f>IF(ISERROR(VLOOKUP($S$1336,'TAR FIN'!$A$1:$O$113,15,0)),0,VLOOKUP($S$1336,'TAR FIN'!$A$1:$O$113,15,0))</f>
        <v>0</v>
      </c>
      <c r="W1336" s="4">
        <f>IF(ISERROR(VLOOKUP($T$1336,'TAR FIN'!$A$1:$O$113,15,0)),0,VLOOKUP($T$1336,'TAR FIN'!$A$1:$O$113,15,0))</f>
        <v>107.74</v>
      </c>
      <c r="X1336" s="4">
        <f>IF(ISERROR(VLOOKUP($U$1336,'TAR FIN'!$A$1:$O$113,15,0)),0,VLOOKUP($U$1336,'TAR FIN'!$A$1:$O$113,15,0))</f>
        <v>81.98</v>
      </c>
      <c r="Y1336" s="4"/>
      <c r="Z133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6" s="4">
        <f>('TE BE'!$AA$20+'TE BF'!$AA$20+'TE CVA'!$AA$20)*(1-CUSTOS!$M$34)</f>
        <v>82.137764727346777</v>
      </c>
      <c r="AB1336" s="4">
        <f>$K$1336*$V$1336</f>
        <v>0</v>
      </c>
      <c r="AC1336" s="4">
        <f>$M$1336*$W$1336</f>
        <v>746846.46141999995</v>
      </c>
      <c r="AD1336" s="4">
        <f>$O$1336*$X$1336</f>
        <v>568279.86734</v>
      </c>
      <c r="AE1336" s="4">
        <f>$K$1336*$Y$1336</f>
        <v>0</v>
      </c>
      <c r="AF1336" s="4">
        <f ca="1">$M$1336*$Z$1336</f>
        <v>865312.50525100564</v>
      </c>
      <c r="AG1336" s="4">
        <f>$O$1336*$AA$1336</f>
        <v>569373.48185973114</v>
      </c>
    </row>
    <row r="1337" spans="1:33" ht="11.25" customHeight="1" x14ac:dyDescent="0.25">
      <c r="A1337" s="3" t="s">
        <v>27</v>
      </c>
      <c r="B1337" s="3" t="s">
        <v>22</v>
      </c>
      <c r="C1337" s="3" t="s">
        <v>23</v>
      </c>
      <c r="D1337" s="3" t="s">
        <v>24</v>
      </c>
      <c r="E1337" s="3" t="s">
        <v>29</v>
      </c>
      <c r="F1337" s="3" t="s">
        <v>25</v>
      </c>
      <c r="G1337" s="3" t="s">
        <v>25</v>
      </c>
      <c r="H1337" s="3" t="s">
        <v>25</v>
      </c>
      <c r="I1337" s="6">
        <v>44378</v>
      </c>
      <c r="J1337" s="4">
        <v>0</v>
      </c>
      <c r="K1337" s="4">
        <v>0</v>
      </c>
      <c r="L1337" s="4">
        <v>1.5189999999999999</v>
      </c>
      <c r="M1337" s="4">
        <v>1.5189999999999999</v>
      </c>
      <c r="N1337" s="4">
        <v>1.5189999999999999</v>
      </c>
      <c r="O1337" s="4">
        <v>1.5189999999999999</v>
      </c>
      <c r="P1337" s="4">
        <v>14</v>
      </c>
      <c r="Q1337" s="3" t="s">
        <v>26</v>
      </c>
      <c r="R1337" s="3">
        <v>0</v>
      </c>
      <c r="S1337" s="4">
        <v>0</v>
      </c>
      <c r="T1337" s="4">
        <v>26</v>
      </c>
      <c r="U1337" s="4">
        <v>99</v>
      </c>
      <c r="V1337" s="4">
        <f>IF(ISERROR(VLOOKUP($S$1337,'TAR FIN'!$A$1:$O$113,15,0)),0,VLOOKUP($S$1337,'TAR FIN'!$A$1:$O$113,15,0))</f>
        <v>0</v>
      </c>
      <c r="W1337" s="4">
        <f>IF(ISERROR(VLOOKUP($T$1337,'TAR FIN'!$A$1:$O$113,15,0)),0,VLOOKUP($T$1337,'TAR FIN'!$A$1:$O$113,15,0))</f>
        <v>107.74</v>
      </c>
      <c r="X1337" s="4">
        <f>IF(ISERROR(VLOOKUP($U$1337,'TAR FIN'!$A$1:$O$113,15,0)),0,VLOOKUP($U$1337,'TAR FIN'!$A$1:$O$113,15,0))</f>
        <v>81.98</v>
      </c>
      <c r="Y1337" s="4"/>
      <c r="Z133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7" s="4">
        <f>('TE BE'!$AA$20+'TE BF'!$AA$20+'TE CVA'!$AA$20)*(1-CUSTOS!$M$34)</f>
        <v>82.137764727346777</v>
      </c>
      <c r="AB1337" s="4">
        <f>$K$1337*$V$1337</f>
        <v>0</v>
      </c>
      <c r="AC1337" s="4">
        <f>$M$1337*$W$1337</f>
        <v>163.65705999999997</v>
      </c>
      <c r="AD1337" s="4">
        <f>$O$1337*$X$1337</f>
        <v>124.52762</v>
      </c>
      <c r="AE1337" s="4">
        <f>$K$1337*$Y$1337</f>
        <v>0</v>
      </c>
      <c r="AF1337" s="4">
        <f ca="1">$M$1337*$Z$1337</f>
        <v>189.61661855016163</v>
      </c>
      <c r="AG1337" s="4">
        <f>$O$1337*$AA$1337</f>
        <v>124.76726462083975</v>
      </c>
    </row>
    <row r="1338" spans="1:33" ht="11.25" customHeight="1" x14ac:dyDescent="0.25">
      <c r="A1338" s="3" t="s">
        <v>28</v>
      </c>
      <c r="B1338" s="3" t="s">
        <v>22</v>
      </c>
      <c r="C1338" s="3" t="s">
        <v>23</v>
      </c>
      <c r="D1338" s="3" t="s">
        <v>24</v>
      </c>
      <c r="E1338" s="3" t="s">
        <v>29</v>
      </c>
      <c r="F1338" s="3" t="s">
        <v>25</v>
      </c>
      <c r="G1338" s="3" t="s">
        <v>25</v>
      </c>
      <c r="H1338" s="3" t="s">
        <v>25</v>
      </c>
      <c r="I1338" s="6">
        <v>44378</v>
      </c>
      <c r="J1338" s="4">
        <v>0</v>
      </c>
      <c r="K1338" s="4">
        <v>0</v>
      </c>
      <c r="L1338" s="4">
        <v>1.71</v>
      </c>
      <c r="M1338" s="4">
        <v>1.71</v>
      </c>
      <c r="N1338" s="4">
        <v>1.71</v>
      </c>
      <c r="O1338" s="4">
        <v>1.71</v>
      </c>
      <c r="P1338" s="4">
        <v>4</v>
      </c>
      <c r="Q1338" s="3" t="s">
        <v>26</v>
      </c>
      <c r="R1338" s="3">
        <v>0</v>
      </c>
      <c r="S1338" s="4">
        <v>0</v>
      </c>
      <c r="T1338" s="4">
        <v>26</v>
      </c>
      <c r="U1338" s="4">
        <v>99</v>
      </c>
      <c r="V1338" s="4">
        <f>IF(ISERROR(VLOOKUP($S$1338,'TAR FIN'!$A$1:$O$113,15,0)),0,VLOOKUP($S$1338,'TAR FIN'!$A$1:$O$113,15,0))</f>
        <v>0</v>
      </c>
      <c r="W1338" s="4">
        <f>IF(ISERROR(VLOOKUP($T$1338,'TAR FIN'!$A$1:$O$113,15,0)),0,VLOOKUP($T$1338,'TAR FIN'!$A$1:$O$113,15,0))</f>
        <v>107.74</v>
      </c>
      <c r="X1338" s="4">
        <f>IF(ISERROR(VLOOKUP($U$1338,'TAR FIN'!$A$1:$O$113,15,0)),0,VLOOKUP($U$1338,'TAR FIN'!$A$1:$O$113,15,0))</f>
        <v>81.98</v>
      </c>
      <c r="Y1338" s="4"/>
      <c r="Z133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8" s="4">
        <f>('TE BE'!$AA$20+'TE BF'!$AA$20+'TE CVA'!$AA$20)*(1-CUSTOS!$M$34)</f>
        <v>82.137764727346777</v>
      </c>
      <c r="AB1338" s="4">
        <f>$K$1338*$V$1338</f>
        <v>0</v>
      </c>
      <c r="AC1338" s="4">
        <f>$M$1338*$W$1338</f>
        <v>184.2354</v>
      </c>
      <c r="AD1338" s="4">
        <f>$O$1338*$X$1338</f>
        <v>140.1858</v>
      </c>
      <c r="AE1338" s="4">
        <f>$K$1338*$Y$1338</f>
        <v>0</v>
      </c>
      <c r="AF1338" s="4">
        <f ca="1">$M$1338*$Z$1338</f>
        <v>213.45912950676524</v>
      </c>
      <c r="AG1338" s="4">
        <f>$O$1338*$AA$1338</f>
        <v>140.45557768376298</v>
      </c>
    </row>
    <row r="1339" spans="1:33" ht="11.25" customHeight="1" x14ac:dyDescent="0.25">
      <c r="A1339" s="3" t="s">
        <v>21</v>
      </c>
      <c r="B1339" s="3" t="s">
        <v>22</v>
      </c>
      <c r="C1339" s="3" t="s">
        <v>23</v>
      </c>
      <c r="D1339" s="3" t="s">
        <v>24</v>
      </c>
      <c r="E1339" s="3" t="s">
        <v>29</v>
      </c>
      <c r="F1339" s="3" t="s">
        <v>25</v>
      </c>
      <c r="G1339" s="3" t="s">
        <v>25</v>
      </c>
      <c r="H1339" s="3" t="s">
        <v>25</v>
      </c>
      <c r="I1339" s="6">
        <v>44409</v>
      </c>
      <c r="J1339" s="4">
        <v>0</v>
      </c>
      <c r="K1339" s="4">
        <v>0</v>
      </c>
      <c r="L1339" s="4">
        <v>6971.5640000000003</v>
      </c>
      <c r="M1339" s="4">
        <v>6971.5640000000003</v>
      </c>
      <c r="N1339" s="4">
        <v>6971.5640000000003</v>
      </c>
      <c r="O1339" s="4">
        <v>6971.5640000000003</v>
      </c>
      <c r="P1339" s="4">
        <v>24466</v>
      </c>
      <c r="Q1339" s="3" t="s">
        <v>26</v>
      </c>
      <c r="R1339" s="3">
        <v>0</v>
      </c>
      <c r="S1339" s="4">
        <v>0</v>
      </c>
      <c r="T1339" s="4">
        <v>26</v>
      </c>
      <c r="U1339" s="4">
        <v>99</v>
      </c>
      <c r="V1339" s="4">
        <f>IF(ISERROR(VLOOKUP($S$1339,'TAR FIN'!$A$1:$O$113,15,0)),0,VLOOKUP($S$1339,'TAR FIN'!$A$1:$O$113,15,0))</f>
        <v>0</v>
      </c>
      <c r="W1339" s="4">
        <f>IF(ISERROR(VLOOKUP($T$1339,'TAR FIN'!$A$1:$O$113,15,0)),0,VLOOKUP($T$1339,'TAR FIN'!$A$1:$O$113,15,0))</f>
        <v>107.74</v>
      </c>
      <c r="X1339" s="4">
        <f>IF(ISERROR(VLOOKUP($U$1339,'TAR FIN'!$A$1:$O$113,15,0)),0,VLOOKUP($U$1339,'TAR FIN'!$A$1:$O$113,15,0))</f>
        <v>81.98</v>
      </c>
      <c r="Y1339" s="4"/>
      <c r="Z133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39" s="4">
        <f>('TE BE'!$AA$20+'TE BF'!$AA$20+'TE CVA'!$AA$20)*(1-CUSTOS!$M$34)</f>
        <v>82.137764727346777</v>
      </c>
      <c r="AB1339" s="4">
        <f>$K$1339*$V$1339</f>
        <v>0</v>
      </c>
      <c r="AC1339" s="4">
        <f>$M$1339*$W$1339</f>
        <v>751116.30536</v>
      </c>
      <c r="AD1339" s="4">
        <f>$O$1339*$X$1339</f>
        <v>571528.81672</v>
      </c>
      <c r="AE1339" s="4">
        <f>$K$1339*$Y$1339</f>
        <v>0</v>
      </c>
      <c r="AF1339" s="4">
        <f ca="1">$M$1339*$Z$1339</f>
        <v>870259.63902965048</v>
      </c>
      <c r="AG1339" s="4">
        <f>$O$1339*$AA$1339</f>
        <v>572628.68361364061</v>
      </c>
    </row>
    <row r="1340" spans="1:33" ht="11.25" customHeight="1" x14ac:dyDescent="0.25">
      <c r="A1340" s="3" t="s">
        <v>27</v>
      </c>
      <c r="B1340" s="3" t="s">
        <v>22</v>
      </c>
      <c r="C1340" s="3" t="s">
        <v>23</v>
      </c>
      <c r="D1340" s="3" t="s">
        <v>24</v>
      </c>
      <c r="E1340" s="3" t="s">
        <v>29</v>
      </c>
      <c r="F1340" s="3" t="s">
        <v>25</v>
      </c>
      <c r="G1340" s="3" t="s">
        <v>25</v>
      </c>
      <c r="H1340" s="3" t="s">
        <v>25</v>
      </c>
      <c r="I1340" s="6">
        <v>44409</v>
      </c>
      <c r="J1340" s="4">
        <v>0</v>
      </c>
      <c r="K1340" s="4">
        <v>0</v>
      </c>
      <c r="L1340" s="4">
        <v>3.0750000000000002</v>
      </c>
      <c r="M1340" s="4">
        <v>3.0750000000000002</v>
      </c>
      <c r="N1340" s="4">
        <v>3.0750000000000002</v>
      </c>
      <c r="O1340" s="4">
        <v>3.0750000000000002</v>
      </c>
      <c r="P1340" s="4">
        <v>13</v>
      </c>
      <c r="Q1340" s="3" t="s">
        <v>26</v>
      </c>
      <c r="R1340" s="3">
        <v>0</v>
      </c>
      <c r="S1340" s="4">
        <v>0</v>
      </c>
      <c r="T1340" s="4">
        <v>26</v>
      </c>
      <c r="U1340" s="4">
        <v>99</v>
      </c>
      <c r="V1340" s="4">
        <f>IF(ISERROR(VLOOKUP($S$1340,'TAR FIN'!$A$1:$O$113,15,0)),0,VLOOKUP($S$1340,'TAR FIN'!$A$1:$O$113,15,0))</f>
        <v>0</v>
      </c>
      <c r="W1340" s="4">
        <f>IF(ISERROR(VLOOKUP($T$1340,'TAR FIN'!$A$1:$O$113,15,0)),0,VLOOKUP($T$1340,'TAR FIN'!$A$1:$O$113,15,0))</f>
        <v>107.74</v>
      </c>
      <c r="X1340" s="4">
        <f>IF(ISERROR(VLOOKUP($U$1340,'TAR FIN'!$A$1:$O$113,15,0)),0,VLOOKUP($U$1340,'TAR FIN'!$A$1:$O$113,15,0))</f>
        <v>81.98</v>
      </c>
      <c r="Y1340" s="4"/>
      <c r="Z134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0" s="4">
        <f>('TE BE'!$AA$20+'TE BF'!$AA$20+'TE CVA'!$AA$20)*(1-CUSTOS!$M$34)</f>
        <v>82.137764727346777</v>
      </c>
      <c r="AB1340" s="4">
        <f>$K$1340*$V$1340</f>
        <v>0</v>
      </c>
      <c r="AC1340" s="4">
        <f>$M$1340*$W$1340</f>
        <v>331.3005</v>
      </c>
      <c r="AD1340" s="4">
        <f>$O$1340*$X$1340</f>
        <v>252.08850000000004</v>
      </c>
      <c r="AE1340" s="4">
        <f>$K$1340*$Y$1340</f>
        <v>0</v>
      </c>
      <c r="AF1340" s="4">
        <f ca="1">$M$1340*$Z$1340</f>
        <v>383.8519434112884</v>
      </c>
      <c r="AG1340" s="4">
        <f>$O$1340*$AA$1340</f>
        <v>252.57362653659135</v>
      </c>
    </row>
    <row r="1341" spans="1:33" ht="11.25" customHeight="1" x14ac:dyDescent="0.25">
      <c r="A1341" s="3" t="s">
        <v>28</v>
      </c>
      <c r="B1341" s="3" t="s">
        <v>22</v>
      </c>
      <c r="C1341" s="3" t="s">
        <v>23</v>
      </c>
      <c r="D1341" s="3" t="s">
        <v>24</v>
      </c>
      <c r="E1341" s="3" t="s">
        <v>29</v>
      </c>
      <c r="F1341" s="3" t="s">
        <v>25</v>
      </c>
      <c r="G1341" s="3" t="s">
        <v>25</v>
      </c>
      <c r="H1341" s="3" t="s">
        <v>25</v>
      </c>
      <c r="I1341" s="6">
        <v>44409</v>
      </c>
      <c r="J1341" s="4">
        <v>0</v>
      </c>
      <c r="K1341" s="4">
        <v>0</v>
      </c>
      <c r="L1341" s="4">
        <v>1.8</v>
      </c>
      <c r="M1341" s="4">
        <v>1.8</v>
      </c>
      <c r="N1341" s="4">
        <v>1.8</v>
      </c>
      <c r="O1341" s="4">
        <v>1.8</v>
      </c>
      <c r="P1341" s="4">
        <v>3</v>
      </c>
      <c r="Q1341" s="3" t="s">
        <v>26</v>
      </c>
      <c r="R1341" s="3">
        <v>0</v>
      </c>
      <c r="S1341" s="4">
        <v>0</v>
      </c>
      <c r="T1341" s="4">
        <v>26</v>
      </c>
      <c r="U1341" s="4">
        <v>99</v>
      </c>
      <c r="V1341" s="4">
        <f>IF(ISERROR(VLOOKUP($S$1341,'TAR FIN'!$A$1:$O$113,15,0)),0,VLOOKUP($S$1341,'TAR FIN'!$A$1:$O$113,15,0))</f>
        <v>0</v>
      </c>
      <c r="W1341" s="4">
        <f>IF(ISERROR(VLOOKUP($T$1341,'TAR FIN'!$A$1:$O$113,15,0)),0,VLOOKUP($T$1341,'TAR FIN'!$A$1:$O$113,15,0))</f>
        <v>107.74</v>
      </c>
      <c r="X1341" s="4">
        <f>IF(ISERROR(VLOOKUP($U$1341,'TAR FIN'!$A$1:$O$113,15,0)),0,VLOOKUP($U$1341,'TAR FIN'!$A$1:$O$113,15,0))</f>
        <v>81.98</v>
      </c>
      <c r="Y1341" s="4"/>
      <c r="Z134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1" s="4">
        <f>('TE BE'!$AA$20+'TE BF'!$AA$20+'TE CVA'!$AA$20)*(1-CUSTOS!$M$34)</f>
        <v>82.137764727346777</v>
      </c>
      <c r="AB1341" s="4">
        <f>$K$1341*$V$1341</f>
        <v>0</v>
      </c>
      <c r="AC1341" s="4">
        <f>$M$1341*$W$1341</f>
        <v>193.93199999999999</v>
      </c>
      <c r="AD1341" s="4">
        <f>$O$1341*$X$1341</f>
        <v>147.56400000000002</v>
      </c>
      <c r="AE1341" s="4">
        <f>$K$1341*$Y$1341</f>
        <v>0</v>
      </c>
      <c r="AF1341" s="4">
        <f ca="1">$M$1341*$Z$1341</f>
        <v>224.6938205334371</v>
      </c>
      <c r="AG1341" s="4">
        <f>$O$1341*$AA$1341</f>
        <v>147.8479765092242</v>
      </c>
    </row>
    <row r="1342" spans="1:33" ht="11.25" customHeight="1" x14ac:dyDescent="0.25">
      <c r="A1342" s="3" t="s">
        <v>21</v>
      </c>
      <c r="B1342" s="3" t="s">
        <v>22</v>
      </c>
      <c r="C1342" s="3" t="s">
        <v>23</v>
      </c>
      <c r="D1342" s="3" t="s">
        <v>24</v>
      </c>
      <c r="E1342" s="3" t="s">
        <v>29</v>
      </c>
      <c r="F1342" s="3" t="s">
        <v>25</v>
      </c>
      <c r="G1342" s="3" t="s">
        <v>25</v>
      </c>
      <c r="H1342" s="3" t="s">
        <v>25</v>
      </c>
      <c r="I1342" s="6">
        <v>44440</v>
      </c>
      <c r="J1342" s="4">
        <v>0</v>
      </c>
      <c r="K1342" s="4">
        <v>0</v>
      </c>
      <c r="L1342" s="4">
        <v>6875.5219999999999</v>
      </c>
      <c r="M1342" s="4">
        <v>6875.5219999999999</v>
      </c>
      <c r="N1342" s="4">
        <v>6875.5219999999999</v>
      </c>
      <c r="O1342" s="4">
        <v>6875.5219999999999</v>
      </c>
      <c r="P1342" s="4">
        <v>23075</v>
      </c>
      <c r="Q1342" s="3" t="s">
        <v>26</v>
      </c>
      <c r="R1342" s="3">
        <v>0</v>
      </c>
      <c r="S1342" s="4">
        <v>0</v>
      </c>
      <c r="T1342" s="4">
        <v>26</v>
      </c>
      <c r="U1342" s="4">
        <v>99</v>
      </c>
      <c r="V1342" s="4">
        <f>IF(ISERROR(VLOOKUP($S$1342,'TAR FIN'!$A$1:$O$113,15,0)),0,VLOOKUP($S$1342,'TAR FIN'!$A$1:$O$113,15,0))</f>
        <v>0</v>
      </c>
      <c r="W1342" s="4">
        <f>IF(ISERROR(VLOOKUP($T$1342,'TAR FIN'!$A$1:$O$113,15,0)),0,VLOOKUP($T$1342,'TAR FIN'!$A$1:$O$113,15,0))</f>
        <v>107.74</v>
      </c>
      <c r="X1342" s="4">
        <f>IF(ISERROR(VLOOKUP($U$1342,'TAR FIN'!$A$1:$O$113,15,0)),0,VLOOKUP($U$1342,'TAR FIN'!$A$1:$O$113,15,0))</f>
        <v>81.98</v>
      </c>
      <c r="Y1342" s="4"/>
      <c r="Z134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2" s="4">
        <f>('TE BE'!$AA$20+'TE BF'!$AA$20+'TE CVA'!$AA$20)*(1-CUSTOS!$M$34)</f>
        <v>82.137764727346777</v>
      </c>
      <c r="AB1342" s="4">
        <f>$K$1342*$V$1342</f>
        <v>0</v>
      </c>
      <c r="AC1342" s="4">
        <f>$M$1342*$W$1342</f>
        <v>740768.74027999991</v>
      </c>
      <c r="AD1342" s="4">
        <f>$O$1342*$X$1342</f>
        <v>563655.29356000002</v>
      </c>
      <c r="AE1342" s="4">
        <f>$K$1342*$Y$1342</f>
        <v>0</v>
      </c>
      <c r="AF1342" s="4">
        <f ca="1">$M$1342*$Z$1342</f>
        <v>858270.72574538807</v>
      </c>
      <c r="AG1342" s="4">
        <f>$O$1342*$AA$1342</f>
        <v>564740.00841369678</v>
      </c>
    </row>
    <row r="1343" spans="1:33" ht="11.25" customHeight="1" x14ac:dyDescent="0.25">
      <c r="A1343" s="3" t="s">
        <v>27</v>
      </c>
      <c r="B1343" s="3" t="s">
        <v>22</v>
      </c>
      <c r="C1343" s="3" t="s">
        <v>23</v>
      </c>
      <c r="D1343" s="3" t="s">
        <v>24</v>
      </c>
      <c r="E1343" s="3" t="s">
        <v>29</v>
      </c>
      <c r="F1343" s="3" t="s">
        <v>25</v>
      </c>
      <c r="G1343" s="3" t="s">
        <v>25</v>
      </c>
      <c r="H1343" s="3" t="s">
        <v>25</v>
      </c>
      <c r="I1343" s="6">
        <v>44440</v>
      </c>
      <c r="J1343" s="4">
        <v>0</v>
      </c>
      <c r="K1343" s="4">
        <v>0</v>
      </c>
      <c r="L1343" s="4">
        <v>7.2610000000000001</v>
      </c>
      <c r="M1343" s="4">
        <v>7.2610000000000001</v>
      </c>
      <c r="N1343" s="4">
        <v>7.2610000000000001</v>
      </c>
      <c r="O1343" s="4">
        <v>7.2610000000000001</v>
      </c>
      <c r="P1343" s="4">
        <v>19</v>
      </c>
      <c r="Q1343" s="3" t="s">
        <v>26</v>
      </c>
      <c r="R1343" s="3">
        <v>0</v>
      </c>
      <c r="S1343" s="4">
        <v>0</v>
      </c>
      <c r="T1343" s="4">
        <v>26</v>
      </c>
      <c r="U1343" s="4">
        <v>99</v>
      </c>
      <c r="V1343" s="4">
        <f>IF(ISERROR(VLOOKUP($S$1343,'TAR FIN'!$A$1:$O$113,15,0)),0,VLOOKUP($S$1343,'TAR FIN'!$A$1:$O$113,15,0))</f>
        <v>0</v>
      </c>
      <c r="W1343" s="4">
        <f>IF(ISERROR(VLOOKUP($T$1343,'TAR FIN'!$A$1:$O$113,15,0)),0,VLOOKUP($T$1343,'TAR FIN'!$A$1:$O$113,15,0))</f>
        <v>107.74</v>
      </c>
      <c r="X1343" s="4">
        <f>IF(ISERROR(VLOOKUP($U$1343,'TAR FIN'!$A$1:$O$113,15,0)),0,VLOOKUP($U$1343,'TAR FIN'!$A$1:$O$113,15,0))</f>
        <v>81.98</v>
      </c>
      <c r="Y1343" s="4"/>
      <c r="Z134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3" s="4">
        <f>('TE BE'!$AA$20+'TE BF'!$AA$20+'TE CVA'!$AA$20)*(1-CUSTOS!$M$34)</f>
        <v>82.137764727346777</v>
      </c>
      <c r="AB1343" s="4">
        <f>$K$1343*$V$1343</f>
        <v>0</v>
      </c>
      <c r="AC1343" s="4">
        <f>$M$1343*$W$1343</f>
        <v>782.30013999999994</v>
      </c>
      <c r="AD1343" s="4">
        <f>$O$1343*$X$1343</f>
        <v>595.25678000000005</v>
      </c>
      <c r="AE1343" s="4">
        <f>$K$1343*$Y$1343</f>
        <v>0</v>
      </c>
      <c r="AF1343" s="4">
        <f ca="1">$M$1343*$Z$1343</f>
        <v>906.38990605182596</v>
      </c>
      <c r="AG1343" s="4">
        <f>$O$1343*$AA$1343</f>
        <v>596.40230968526498</v>
      </c>
    </row>
    <row r="1344" spans="1:33" ht="11.25" customHeight="1" x14ac:dyDescent="0.25">
      <c r="A1344" s="3" t="s">
        <v>28</v>
      </c>
      <c r="B1344" s="3" t="s">
        <v>22</v>
      </c>
      <c r="C1344" s="3" t="s">
        <v>23</v>
      </c>
      <c r="D1344" s="3" t="s">
        <v>24</v>
      </c>
      <c r="E1344" s="3" t="s">
        <v>29</v>
      </c>
      <c r="F1344" s="3" t="s">
        <v>25</v>
      </c>
      <c r="G1344" s="3" t="s">
        <v>25</v>
      </c>
      <c r="H1344" s="3" t="s">
        <v>25</v>
      </c>
      <c r="I1344" s="6">
        <v>44440</v>
      </c>
      <c r="J1344" s="4">
        <v>0</v>
      </c>
      <c r="K1344" s="4">
        <v>0</v>
      </c>
      <c r="L1344" s="4">
        <v>1.86</v>
      </c>
      <c r="M1344" s="4">
        <v>1.86</v>
      </c>
      <c r="N1344" s="4">
        <v>1.86</v>
      </c>
      <c r="O1344" s="4">
        <v>1.86</v>
      </c>
      <c r="P1344" s="4">
        <v>3</v>
      </c>
      <c r="Q1344" s="3" t="s">
        <v>26</v>
      </c>
      <c r="R1344" s="3">
        <v>0</v>
      </c>
      <c r="S1344" s="4">
        <v>0</v>
      </c>
      <c r="T1344" s="4">
        <v>26</v>
      </c>
      <c r="U1344" s="4">
        <v>99</v>
      </c>
      <c r="V1344" s="4">
        <f>IF(ISERROR(VLOOKUP($S$1344,'TAR FIN'!$A$1:$O$113,15,0)),0,VLOOKUP($S$1344,'TAR FIN'!$A$1:$O$113,15,0))</f>
        <v>0</v>
      </c>
      <c r="W1344" s="4">
        <f>IF(ISERROR(VLOOKUP($T$1344,'TAR FIN'!$A$1:$O$113,15,0)),0,VLOOKUP($T$1344,'TAR FIN'!$A$1:$O$113,15,0))</f>
        <v>107.74</v>
      </c>
      <c r="X1344" s="4">
        <f>IF(ISERROR(VLOOKUP($U$1344,'TAR FIN'!$A$1:$O$113,15,0)),0,VLOOKUP($U$1344,'TAR FIN'!$A$1:$O$113,15,0))</f>
        <v>81.98</v>
      </c>
      <c r="Y1344" s="4"/>
      <c r="Z134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4" s="4">
        <f>('TE BE'!$AA$20+'TE BF'!$AA$20+'TE CVA'!$AA$20)*(1-CUSTOS!$M$34)</f>
        <v>82.137764727346777</v>
      </c>
      <c r="AB1344" s="4">
        <f>$K$1344*$V$1344</f>
        <v>0</v>
      </c>
      <c r="AC1344" s="4">
        <f>$M$1344*$W$1344</f>
        <v>200.3964</v>
      </c>
      <c r="AD1344" s="4">
        <f>$O$1344*$X$1344</f>
        <v>152.48280000000003</v>
      </c>
      <c r="AE1344" s="4">
        <f>$K$1344*$Y$1344</f>
        <v>0</v>
      </c>
      <c r="AF1344" s="4">
        <f ca="1">$M$1344*$Z$1344</f>
        <v>232.18361455121834</v>
      </c>
      <c r="AG1344" s="4">
        <f>$O$1344*$AA$1344</f>
        <v>152.77624239286502</v>
      </c>
    </row>
    <row r="1345" spans="1:33" ht="11.25" customHeight="1" x14ac:dyDescent="0.25">
      <c r="A1345" s="3" t="s">
        <v>21</v>
      </c>
      <c r="B1345" s="3" t="s">
        <v>22</v>
      </c>
      <c r="C1345" s="3" t="s">
        <v>23</v>
      </c>
      <c r="D1345" s="3" t="s">
        <v>24</v>
      </c>
      <c r="E1345" s="3" t="s">
        <v>29</v>
      </c>
      <c r="F1345" s="3" t="s">
        <v>25</v>
      </c>
      <c r="G1345" s="3" t="s">
        <v>25</v>
      </c>
      <c r="H1345" s="3" t="s">
        <v>25</v>
      </c>
      <c r="I1345" s="6">
        <v>44470</v>
      </c>
      <c r="J1345" s="4">
        <v>0</v>
      </c>
      <c r="K1345" s="4">
        <v>0</v>
      </c>
      <c r="L1345" s="4">
        <v>6927.3630000000003</v>
      </c>
      <c r="M1345" s="4">
        <v>6927.3630000000003</v>
      </c>
      <c r="N1345" s="4">
        <v>6927.3630000000003</v>
      </c>
      <c r="O1345" s="4">
        <v>6927.3630000000003</v>
      </c>
      <c r="P1345" s="4">
        <v>21996</v>
      </c>
      <c r="Q1345" s="3" t="s">
        <v>26</v>
      </c>
      <c r="R1345" s="3">
        <v>0</v>
      </c>
      <c r="S1345" s="4">
        <v>0</v>
      </c>
      <c r="T1345" s="4">
        <v>26</v>
      </c>
      <c r="U1345" s="4">
        <v>99</v>
      </c>
      <c r="V1345" s="4">
        <f>IF(ISERROR(VLOOKUP($S$1345,'TAR FIN'!$A$1:$O$113,15,0)),0,VLOOKUP($S$1345,'TAR FIN'!$A$1:$O$113,15,0))</f>
        <v>0</v>
      </c>
      <c r="W1345" s="4">
        <f>IF(ISERROR(VLOOKUP($T$1345,'TAR FIN'!$A$1:$O$113,15,0)),0,VLOOKUP($T$1345,'TAR FIN'!$A$1:$O$113,15,0))</f>
        <v>107.74</v>
      </c>
      <c r="X1345" s="4">
        <f>IF(ISERROR(VLOOKUP($U$1345,'TAR FIN'!$A$1:$O$113,15,0)),0,VLOOKUP($U$1345,'TAR FIN'!$A$1:$O$113,15,0))</f>
        <v>81.98</v>
      </c>
      <c r="Y1345" s="4"/>
      <c r="Z134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5" s="4">
        <f>('TE BE'!$AA$20+'TE BF'!$AA$20+'TE CVA'!$AA$20)*(1-CUSTOS!$M$34)</f>
        <v>82.137764727346777</v>
      </c>
      <c r="AB1345" s="4">
        <f>$K$1345*$V$1345</f>
        <v>0</v>
      </c>
      <c r="AC1345" s="4">
        <f>$M$1345*$W$1345</f>
        <v>746354.08961999998</v>
      </c>
      <c r="AD1345" s="4">
        <f>$O$1345*$X$1345</f>
        <v>567905.21874000004</v>
      </c>
      <c r="AE1345" s="4">
        <f>$K$1345*$Y$1345</f>
        <v>0</v>
      </c>
      <c r="AF1345" s="4">
        <f ca="1">$M$1345*$Z$1345</f>
        <v>864742.03260665131</v>
      </c>
      <c r="AG1345" s="4">
        <f>$O$1345*$AA$1345</f>
        <v>568998.1122749272</v>
      </c>
    </row>
    <row r="1346" spans="1:33" ht="11.25" customHeight="1" x14ac:dyDescent="0.25">
      <c r="A1346" s="3" t="s">
        <v>27</v>
      </c>
      <c r="B1346" s="3" t="s">
        <v>22</v>
      </c>
      <c r="C1346" s="3" t="s">
        <v>23</v>
      </c>
      <c r="D1346" s="3" t="s">
        <v>24</v>
      </c>
      <c r="E1346" s="3" t="s">
        <v>29</v>
      </c>
      <c r="F1346" s="3" t="s">
        <v>25</v>
      </c>
      <c r="G1346" s="3" t="s">
        <v>25</v>
      </c>
      <c r="H1346" s="3" t="s">
        <v>25</v>
      </c>
      <c r="I1346" s="6">
        <v>44470</v>
      </c>
      <c r="J1346" s="4">
        <v>0</v>
      </c>
      <c r="K1346" s="4">
        <v>0</v>
      </c>
      <c r="L1346" s="4">
        <v>1.2250000000000001</v>
      </c>
      <c r="M1346" s="4">
        <v>1.2250000000000001</v>
      </c>
      <c r="N1346" s="4">
        <v>1.2250000000000001</v>
      </c>
      <c r="O1346" s="4">
        <v>1.2250000000000001</v>
      </c>
      <c r="P1346" s="4">
        <v>17</v>
      </c>
      <c r="Q1346" s="3" t="s">
        <v>26</v>
      </c>
      <c r="R1346" s="3">
        <v>0</v>
      </c>
      <c r="S1346" s="4">
        <v>0</v>
      </c>
      <c r="T1346" s="4">
        <v>26</v>
      </c>
      <c r="U1346" s="4">
        <v>99</v>
      </c>
      <c r="V1346" s="4">
        <f>IF(ISERROR(VLOOKUP($S$1346,'TAR FIN'!$A$1:$O$113,15,0)),0,VLOOKUP($S$1346,'TAR FIN'!$A$1:$O$113,15,0))</f>
        <v>0</v>
      </c>
      <c r="W1346" s="4">
        <f>IF(ISERROR(VLOOKUP($T$1346,'TAR FIN'!$A$1:$O$113,15,0)),0,VLOOKUP($T$1346,'TAR FIN'!$A$1:$O$113,15,0))</f>
        <v>107.74</v>
      </c>
      <c r="X1346" s="4">
        <f>IF(ISERROR(VLOOKUP($U$1346,'TAR FIN'!$A$1:$O$113,15,0)),0,VLOOKUP($U$1346,'TAR FIN'!$A$1:$O$113,15,0))</f>
        <v>81.98</v>
      </c>
      <c r="Y1346" s="4"/>
      <c r="Z134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6" s="4">
        <f>('TE BE'!$AA$20+'TE BF'!$AA$20+'TE CVA'!$AA$20)*(1-CUSTOS!$M$34)</f>
        <v>82.137764727346777</v>
      </c>
      <c r="AB1346" s="4">
        <f>$K$1346*$V$1346</f>
        <v>0</v>
      </c>
      <c r="AC1346" s="4">
        <f>$M$1346*$W$1346</f>
        <v>131.98150000000001</v>
      </c>
      <c r="AD1346" s="4">
        <f>$O$1346*$X$1346</f>
        <v>100.42550000000001</v>
      </c>
      <c r="AE1346" s="4">
        <f>$K$1346*$Y$1346</f>
        <v>0</v>
      </c>
      <c r="AF1346" s="4">
        <f ca="1">$M$1346*$Z$1346</f>
        <v>152.9166278630336</v>
      </c>
      <c r="AG1346" s="4">
        <f>$O$1346*$AA$1346</f>
        <v>100.61876179099981</v>
      </c>
    </row>
    <row r="1347" spans="1:33" ht="11.25" customHeight="1" x14ac:dyDescent="0.25">
      <c r="A1347" s="3" t="s">
        <v>28</v>
      </c>
      <c r="B1347" s="3" t="s">
        <v>22</v>
      </c>
      <c r="C1347" s="3" t="s">
        <v>23</v>
      </c>
      <c r="D1347" s="3" t="s">
        <v>24</v>
      </c>
      <c r="E1347" s="3" t="s">
        <v>29</v>
      </c>
      <c r="F1347" s="3" t="s">
        <v>25</v>
      </c>
      <c r="G1347" s="3" t="s">
        <v>25</v>
      </c>
      <c r="H1347" s="3" t="s">
        <v>25</v>
      </c>
      <c r="I1347" s="6">
        <v>44470</v>
      </c>
      <c r="J1347" s="4">
        <v>0</v>
      </c>
      <c r="K1347" s="4">
        <v>0</v>
      </c>
      <c r="L1347" s="4">
        <v>1.95</v>
      </c>
      <c r="M1347" s="4">
        <v>1.95</v>
      </c>
      <c r="N1347" s="4">
        <v>1.95</v>
      </c>
      <c r="O1347" s="4">
        <v>1.95</v>
      </c>
      <c r="P1347" s="4">
        <v>5</v>
      </c>
      <c r="Q1347" s="3" t="s">
        <v>26</v>
      </c>
      <c r="R1347" s="3">
        <v>0</v>
      </c>
      <c r="S1347" s="4">
        <v>0</v>
      </c>
      <c r="T1347" s="4">
        <v>26</v>
      </c>
      <c r="U1347" s="4">
        <v>99</v>
      </c>
      <c r="V1347" s="4">
        <f>IF(ISERROR(VLOOKUP($S$1347,'TAR FIN'!$A$1:$O$113,15,0)),0,VLOOKUP($S$1347,'TAR FIN'!$A$1:$O$113,15,0))</f>
        <v>0</v>
      </c>
      <c r="W1347" s="4">
        <f>IF(ISERROR(VLOOKUP($T$1347,'TAR FIN'!$A$1:$O$113,15,0)),0,VLOOKUP($T$1347,'TAR FIN'!$A$1:$O$113,15,0))</f>
        <v>107.74</v>
      </c>
      <c r="X1347" s="4">
        <f>IF(ISERROR(VLOOKUP($U$1347,'TAR FIN'!$A$1:$O$113,15,0)),0,VLOOKUP($U$1347,'TAR FIN'!$A$1:$O$113,15,0))</f>
        <v>81.98</v>
      </c>
      <c r="Y1347" s="4"/>
      <c r="Z134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7" s="4">
        <f>('TE BE'!$AA$20+'TE BF'!$AA$20+'TE CVA'!$AA$20)*(1-CUSTOS!$M$34)</f>
        <v>82.137764727346777</v>
      </c>
      <c r="AB1347" s="4">
        <f>$K$1347*$V$1347</f>
        <v>0</v>
      </c>
      <c r="AC1347" s="4">
        <f>$M$1347*$W$1347</f>
        <v>210.09299999999999</v>
      </c>
      <c r="AD1347" s="4">
        <f>$O$1347*$X$1347</f>
        <v>159.86099999999999</v>
      </c>
      <c r="AE1347" s="4">
        <f>$K$1347*$Y$1347</f>
        <v>0</v>
      </c>
      <c r="AF1347" s="4">
        <f ca="1">$M$1347*$Z$1347</f>
        <v>243.41830557789018</v>
      </c>
      <c r="AG1347" s="4">
        <f>$O$1347*$AA$1347</f>
        <v>160.1686412183262</v>
      </c>
    </row>
    <row r="1348" spans="1:33" ht="11.25" customHeight="1" x14ac:dyDescent="0.25">
      <c r="A1348" s="3" t="s">
        <v>21</v>
      </c>
      <c r="B1348" s="3" t="s">
        <v>22</v>
      </c>
      <c r="C1348" s="3" t="s">
        <v>23</v>
      </c>
      <c r="D1348" s="3" t="s">
        <v>24</v>
      </c>
      <c r="E1348" s="3" t="s">
        <v>29</v>
      </c>
      <c r="F1348" s="3" t="s">
        <v>25</v>
      </c>
      <c r="G1348" s="3" t="s">
        <v>25</v>
      </c>
      <c r="H1348" s="3" t="s">
        <v>25</v>
      </c>
      <c r="I1348" s="6">
        <v>44501</v>
      </c>
      <c r="J1348" s="4">
        <v>0</v>
      </c>
      <c r="K1348" s="4">
        <v>0</v>
      </c>
      <c r="L1348" s="4">
        <v>6944.7920000000004</v>
      </c>
      <c r="M1348" s="4">
        <v>6944.7920000000004</v>
      </c>
      <c r="N1348" s="4">
        <v>6944.7920000000004</v>
      </c>
      <c r="O1348" s="4">
        <v>6944.7920000000004</v>
      </c>
      <c r="P1348" s="4">
        <v>21899</v>
      </c>
      <c r="Q1348" s="3" t="s">
        <v>26</v>
      </c>
      <c r="R1348" s="3">
        <v>0</v>
      </c>
      <c r="S1348" s="4">
        <v>0</v>
      </c>
      <c r="T1348" s="4">
        <v>26</v>
      </c>
      <c r="U1348" s="4">
        <v>99</v>
      </c>
      <c r="V1348" s="4">
        <f>IF(ISERROR(VLOOKUP($S$1348,'TAR FIN'!$A$1:$O$113,15,0)),0,VLOOKUP($S$1348,'TAR FIN'!$A$1:$O$113,15,0))</f>
        <v>0</v>
      </c>
      <c r="W1348" s="4">
        <f>IF(ISERROR(VLOOKUP($T$1348,'TAR FIN'!$A$1:$O$113,15,0)),0,VLOOKUP($T$1348,'TAR FIN'!$A$1:$O$113,15,0))</f>
        <v>107.74</v>
      </c>
      <c r="X1348" s="4">
        <f>IF(ISERROR(VLOOKUP($U$1348,'TAR FIN'!$A$1:$O$113,15,0)),0,VLOOKUP($U$1348,'TAR FIN'!$A$1:$O$113,15,0))</f>
        <v>81.98</v>
      </c>
      <c r="Y1348" s="4"/>
      <c r="Z134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8" s="4">
        <f>('TE BE'!$AA$20+'TE BF'!$AA$20+'TE CVA'!$AA$20)*(1-CUSTOS!$M$34)</f>
        <v>82.137764727346777</v>
      </c>
      <c r="AB1348" s="4">
        <f>$K$1348*$V$1348</f>
        <v>0</v>
      </c>
      <c r="AC1348" s="4">
        <f>$M$1348*$W$1348</f>
        <v>748231.89008000004</v>
      </c>
      <c r="AD1348" s="4">
        <f>$O$1348*$X$1348</f>
        <v>569334.04816000001</v>
      </c>
      <c r="AE1348" s="4">
        <f>$K$1348*$Y$1348</f>
        <v>0</v>
      </c>
      <c r="AF1348" s="4">
        <f ca="1">$M$1348*$Z$1348</f>
        <v>866917.6929389165</v>
      </c>
      <c r="AG1348" s="4">
        <f>$O$1348*$AA$1348</f>
        <v>570429.69137636013</v>
      </c>
    </row>
    <row r="1349" spans="1:33" ht="11.25" customHeight="1" x14ac:dyDescent="0.25">
      <c r="A1349" s="3" t="s">
        <v>27</v>
      </c>
      <c r="B1349" s="3" t="s">
        <v>22</v>
      </c>
      <c r="C1349" s="3" t="s">
        <v>23</v>
      </c>
      <c r="D1349" s="3" t="s">
        <v>24</v>
      </c>
      <c r="E1349" s="3" t="s">
        <v>29</v>
      </c>
      <c r="F1349" s="3" t="s">
        <v>25</v>
      </c>
      <c r="G1349" s="3" t="s">
        <v>25</v>
      </c>
      <c r="H1349" s="3" t="s">
        <v>25</v>
      </c>
      <c r="I1349" s="6">
        <v>44501</v>
      </c>
      <c r="J1349" s="4">
        <v>0</v>
      </c>
      <c r="K1349" s="4">
        <v>0</v>
      </c>
      <c r="L1349" s="4">
        <v>1.409</v>
      </c>
      <c r="M1349" s="4">
        <v>1.409</v>
      </c>
      <c r="N1349" s="4">
        <v>1.409</v>
      </c>
      <c r="O1349" s="4">
        <v>1.409</v>
      </c>
      <c r="P1349" s="4">
        <v>-1</v>
      </c>
      <c r="Q1349" s="3" t="s">
        <v>26</v>
      </c>
      <c r="R1349" s="3">
        <v>0</v>
      </c>
      <c r="S1349" s="4">
        <v>0</v>
      </c>
      <c r="T1349" s="4">
        <v>26</v>
      </c>
      <c r="U1349" s="4">
        <v>99</v>
      </c>
      <c r="V1349" s="4">
        <f>IF(ISERROR(VLOOKUP($S$1349,'TAR FIN'!$A$1:$O$113,15,0)),0,VLOOKUP($S$1349,'TAR FIN'!$A$1:$O$113,15,0))</f>
        <v>0</v>
      </c>
      <c r="W1349" s="4">
        <f>IF(ISERROR(VLOOKUP($T$1349,'TAR FIN'!$A$1:$O$113,15,0)),0,VLOOKUP($T$1349,'TAR FIN'!$A$1:$O$113,15,0))</f>
        <v>107.74</v>
      </c>
      <c r="X1349" s="4">
        <f>IF(ISERROR(VLOOKUP($U$1349,'TAR FIN'!$A$1:$O$113,15,0)),0,VLOOKUP($U$1349,'TAR FIN'!$A$1:$O$113,15,0))</f>
        <v>81.98</v>
      </c>
      <c r="Y1349" s="4"/>
      <c r="Z134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49" s="4">
        <f>('TE BE'!$AA$20+'TE BF'!$AA$20+'TE CVA'!$AA$20)*(1-CUSTOS!$M$34)</f>
        <v>82.137764727346777</v>
      </c>
      <c r="AB1349" s="4">
        <f>$K$1349*$V$1349</f>
        <v>0</v>
      </c>
      <c r="AC1349" s="4">
        <f>$M$1349*$W$1349</f>
        <v>151.80565999999999</v>
      </c>
      <c r="AD1349" s="4">
        <f>$O$1349*$X$1349</f>
        <v>115.50982</v>
      </c>
      <c r="AE1349" s="4">
        <f>$K$1349*$Y$1349</f>
        <v>0</v>
      </c>
      <c r="AF1349" s="4">
        <f ca="1">$M$1349*$Z$1349</f>
        <v>175.8853295175627</v>
      </c>
      <c r="AG1349" s="4">
        <f>$O$1349*$AA$1349</f>
        <v>115.73211050083161</v>
      </c>
    </row>
    <row r="1350" spans="1:33" ht="11.25" customHeight="1" x14ac:dyDescent="0.25">
      <c r="A1350" s="3" t="s">
        <v>28</v>
      </c>
      <c r="B1350" s="3" t="s">
        <v>22</v>
      </c>
      <c r="C1350" s="3" t="s">
        <v>23</v>
      </c>
      <c r="D1350" s="3" t="s">
        <v>24</v>
      </c>
      <c r="E1350" s="3" t="s">
        <v>29</v>
      </c>
      <c r="F1350" s="3" t="s">
        <v>25</v>
      </c>
      <c r="G1350" s="3" t="s">
        <v>25</v>
      </c>
      <c r="H1350" s="3" t="s">
        <v>25</v>
      </c>
      <c r="I1350" s="6">
        <v>44501</v>
      </c>
      <c r="J1350" s="4">
        <v>0</v>
      </c>
      <c r="K1350" s="4">
        <v>0</v>
      </c>
      <c r="L1350" s="4">
        <v>2.0099999999999998</v>
      </c>
      <c r="M1350" s="4">
        <v>2.0099999999999998</v>
      </c>
      <c r="N1350" s="4">
        <v>2.0099999999999998</v>
      </c>
      <c r="O1350" s="4">
        <v>2.0099999999999998</v>
      </c>
      <c r="P1350" s="4">
        <v>3</v>
      </c>
      <c r="Q1350" s="3" t="s">
        <v>26</v>
      </c>
      <c r="R1350" s="3">
        <v>0</v>
      </c>
      <c r="S1350" s="4">
        <v>0</v>
      </c>
      <c r="T1350" s="4">
        <v>26</v>
      </c>
      <c r="U1350" s="4">
        <v>99</v>
      </c>
      <c r="V1350" s="4">
        <f>IF(ISERROR(VLOOKUP($S$1350,'TAR FIN'!$A$1:$O$113,15,0)),0,VLOOKUP($S$1350,'TAR FIN'!$A$1:$O$113,15,0))</f>
        <v>0</v>
      </c>
      <c r="W1350" s="4">
        <f>IF(ISERROR(VLOOKUP($T$1350,'TAR FIN'!$A$1:$O$113,15,0)),0,VLOOKUP($T$1350,'TAR FIN'!$A$1:$O$113,15,0))</f>
        <v>107.74</v>
      </c>
      <c r="X1350" s="4">
        <f>IF(ISERROR(VLOOKUP($U$1350,'TAR FIN'!$A$1:$O$113,15,0)),0,VLOOKUP($U$1350,'TAR FIN'!$A$1:$O$113,15,0))</f>
        <v>81.98</v>
      </c>
      <c r="Y1350" s="4"/>
      <c r="Z135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0" s="4">
        <f>('TE BE'!$AA$20+'TE BF'!$AA$20+'TE CVA'!$AA$20)*(1-CUSTOS!$M$34)</f>
        <v>82.137764727346777</v>
      </c>
      <c r="AB1350" s="4">
        <f>$K$1350*$V$1350</f>
        <v>0</v>
      </c>
      <c r="AC1350" s="4">
        <f>$M$1350*$W$1350</f>
        <v>216.55739999999997</v>
      </c>
      <c r="AD1350" s="4">
        <f>$O$1350*$X$1350</f>
        <v>164.77979999999999</v>
      </c>
      <c r="AE1350" s="4">
        <f>$K$1350*$Y$1350</f>
        <v>0</v>
      </c>
      <c r="AF1350" s="4">
        <f ca="1">$M$1350*$Z$1350</f>
        <v>250.90809959567139</v>
      </c>
      <c r="AG1350" s="4">
        <f>$O$1350*$AA$1350</f>
        <v>165.09690710196699</v>
      </c>
    </row>
    <row r="1351" spans="1:33" ht="11.25" customHeight="1" x14ac:dyDescent="0.25">
      <c r="A1351" s="3" t="s">
        <v>21</v>
      </c>
      <c r="B1351" s="3" t="s">
        <v>22</v>
      </c>
      <c r="C1351" s="3" t="s">
        <v>23</v>
      </c>
      <c r="D1351" s="3" t="s">
        <v>24</v>
      </c>
      <c r="E1351" s="3" t="s">
        <v>29</v>
      </c>
      <c r="F1351" s="3" t="s">
        <v>25</v>
      </c>
      <c r="G1351" s="3" t="s">
        <v>25</v>
      </c>
      <c r="H1351" s="3" t="s">
        <v>25</v>
      </c>
      <c r="I1351" s="6">
        <v>44531</v>
      </c>
      <c r="J1351" s="4">
        <v>0</v>
      </c>
      <c r="K1351" s="4">
        <v>0</v>
      </c>
      <c r="L1351" s="4">
        <v>6935.1530000000002</v>
      </c>
      <c r="M1351" s="4">
        <v>6935.1530000000002</v>
      </c>
      <c r="N1351" s="4">
        <v>6935.1530000000002</v>
      </c>
      <c r="O1351" s="4">
        <v>6935.1530000000002</v>
      </c>
      <c r="P1351" s="4">
        <v>20869</v>
      </c>
      <c r="Q1351" s="3" t="s">
        <v>26</v>
      </c>
      <c r="R1351" s="3">
        <v>0</v>
      </c>
      <c r="S1351" s="4">
        <v>0</v>
      </c>
      <c r="T1351" s="4">
        <v>26</v>
      </c>
      <c r="U1351" s="4">
        <v>99</v>
      </c>
      <c r="V1351" s="4">
        <f>IF(ISERROR(VLOOKUP($S$1351,'TAR FIN'!$A$1:$O$113,15,0)),0,VLOOKUP($S$1351,'TAR FIN'!$A$1:$O$113,15,0))</f>
        <v>0</v>
      </c>
      <c r="W1351" s="4">
        <f>IF(ISERROR(VLOOKUP($T$1351,'TAR FIN'!$A$1:$O$113,15,0)),0,VLOOKUP($T$1351,'TAR FIN'!$A$1:$O$113,15,0))</f>
        <v>107.74</v>
      </c>
      <c r="X1351" s="4">
        <f>IF(ISERROR(VLOOKUP($U$1351,'TAR FIN'!$A$1:$O$113,15,0)),0,VLOOKUP($U$1351,'TAR FIN'!$A$1:$O$113,15,0))</f>
        <v>81.98</v>
      </c>
      <c r="Y1351" s="4"/>
      <c r="Z135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1" s="4">
        <f>('TE BE'!$AA$20+'TE BF'!$AA$20+'TE CVA'!$AA$20)*(1-CUSTOS!$M$34)</f>
        <v>82.137764727346777</v>
      </c>
      <c r="AB1351" s="4">
        <f>$K$1351*$V$1351</f>
        <v>0</v>
      </c>
      <c r="AC1351" s="4">
        <f>$M$1351*$W$1351</f>
        <v>747193.38422000001</v>
      </c>
      <c r="AD1351" s="4">
        <f>$O$1351*$X$1351</f>
        <v>568543.84294</v>
      </c>
      <c r="AE1351" s="4">
        <f>$K$1351*$Y$1351</f>
        <v>0</v>
      </c>
      <c r="AF1351" s="4">
        <f ca="1">$M$1351*$Z$1351</f>
        <v>865714.45752995997</v>
      </c>
      <c r="AG1351" s="4">
        <f>$O$1351*$AA$1351</f>
        <v>569637.9654621532</v>
      </c>
    </row>
    <row r="1352" spans="1:33" ht="11.25" customHeight="1" x14ac:dyDescent="0.25">
      <c r="A1352" s="3" t="s">
        <v>27</v>
      </c>
      <c r="B1352" s="3" t="s">
        <v>22</v>
      </c>
      <c r="C1352" s="3" t="s">
        <v>23</v>
      </c>
      <c r="D1352" s="3" t="s">
        <v>24</v>
      </c>
      <c r="E1352" s="3" t="s">
        <v>29</v>
      </c>
      <c r="F1352" s="3" t="s">
        <v>25</v>
      </c>
      <c r="G1352" s="3" t="s">
        <v>25</v>
      </c>
      <c r="H1352" s="3" t="s">
        <v>25</v>
      </c>
      <c r="I1352" s="6">
        <v>44531</v>
      </c>
      <c r="J1352" s="4">
        <v>0</v>
      </c>
      <c r="K1352" s="4">
        <v>0</v>
      </c>
      <c r="L1352" s="4">
        <v>3.1930000000000001</v>
      </c>
      <c r="M1352" s="4">
        <v>3.1930000000000001</v>
      </c>
      <c r="N1352" s="4">
        <v>3.1930000000000001</v>
      </c>
      <c r="O1352" s="4">
        <v>3.1930000000000001</v>
      </c>
      <c r="P1352" s="4">
        <v>38</v>
      </c>
      <c r="Q1352" s="3" t="s">
        <v>26</v>
      </c>
      <c r="R1352" s="3">
        <v>0</v>
      </c>
      <c r="S1352" s="4">
        <v>0</v>
      </c>
      <c r="T1352" s="4">
        <v>26</v>
      </c>
      <c r="U1352" s="4">
        <v>99</v>
      </c>
      <c r="V1352" s="4">
        <f>IF(ISERROR(VLOOKUP($S$1352,'TAR FIN'!$A$1:$O$113,15,0)),0,VLOOKUP($S$1352,'TAR FIN'!$A$1:$O$113,15,0))</f>
        <v>0</v>
      </c>
      <c r="W1352" s="4">
        <f>IF(ISERROR(VLOOKUP($T$1352,'TAR FIN'!$A$1:$O$113,15,0)),0,VLOOKUP($T$1352,'TAR FIN'!$A$1:$O$113,15,0))</f>
        <v>107.74</v>
      </c>
      <c r="X1352" s="4">
        <f>IF(ISERROR(VLOOKUP($U$1352,'TAR FIN'!$A$1:$O$113,15,0)),0,VLOOKUP($U$1352,'TAR FIN'!$A$1:$O$113,15,0))</f>
        <v>81.98</v>
      </c>
      <c r="Y1352" s="4"/>
      <c r="Z135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2" s="4">
        <f>('TE BE'!$AA$20+'TE BF'!$AA$20+'TE CVA'!$AA$20)*(1-CUSTOS!$M$34)</f>
        <v>82.137764727346777</v>
      </c>
      <c r="AB1352" s="4">
        <f>$K$1352*$V$1352</f>
        <v>0</v>
      </c>
      <c r="AC1352" s="4">
        <f>$M$1352*$W$1352</f>
        <v>344.01382000000001</v>
      </c>
      <c r="AD1352" s="4">
        <f>$O$1352*$X$1352</f>
        <v>261.76214000000004</v>
      </c>
      <c r="AE1352" s="4">
        <f>$K$1352*$Y$1352</f>
        <v>0</v>
      </c>
      <c r="AF1352" s="4">
        <f ca="1">$M$1352*$Z$1352</f>
        <v>398.58187164625815</v>
      </c>
      <c r="AG1352" s="4">
        <f>$O$1352*$AA$1352</f>
        <v>262.26588277441829</v>
      </c>
    </row>
    <row r="1353" spans="1:33" ht="11.25" customHeight="1" x14ac:dyDescent="0.25">
      <c r="A1353" s="3" t="s">
        <v>28</v>
      </c>
      <c r="B1353" s="3" t="s">
        <v>22</v>
      </c>
      <c r="C1353" s="3" t="s">
        <v>23</v>
      </c>
      <c r="D1353" s="3" t="s">
        <v>24</v>
      </c>
      <c r="E1353" s="3" t="s">
        <v>29</v>
      </c>
      <c r="F1353" s="3" t="s">
        <v>25</v>
      </c>
      <c r="G1353" s="3" t="s">
        <v>25</v>
      </c>
      <c r="H1353" s="3" t="s">
        <v>25</v>
      </c>
      <c r="I1353" s="6">
        <v>44531</v>
      </c>
      <c r="J1353" s="4">
        <v>0</v>
      </c>
      <c r="K1353" s="4">
        <v>0</v>
      </c>
      <c r="L1353" s="4">
        <v>2.13</v>
      </c>
      <c r="M1353" s="4">
        <v>2.13</v>
      </c>
      <c r="N1353" s="4">
        <v>2.13</v>
      </c>
      <c r="O1353" s="4">
        <v>2.13</v>
      </c>
      <c r="P1353" s="4">
        <v>4</v>
      </c>
      <c r="Q1353" s="3" t="s">
        <v>26</v>
      </c>
      <c r="R1353" s="3">
        <v>0</v>
      </c>
      <c r="S1353" s="4">
        <v>0</v>
      </c>
      <c r="T1353" s="4">
        <v>26</v>
      </c>
      <c r="U1353" s="4">
        <v>99</v>
      </c>
      <c r="V1353" s="4">
        <f>IF(ISERROR(VLOOKUP($S$1353,'TAR FIN'!$A$1:$O$113,15,0)),0,VLOOKUP($S$1353,'TAR FIN'!$A$1:$O$113,15,0))</f>
        <v>0</v>
      </c>
      <c r="W1353" s="4">
        <f>IF(ISERROR(VLOOKUP($T$1353,'TAR FIN'!$A$1:$O$113,15,0)),0,VLOOKUP($T$1353,'TAR FIN'!$A$1:$O$113,15,0))</f>
        <v>107.74</v>
      </c>
      <c r="X1353" s="4">
        <f>IF(ISERROR(VLOOKUP($U$1353,'TAR FIN'!$A$1:$O$113,15,0)),0,VLOOKUP($U$1353,'TAR FIN'!$A$1:$O$113,15,0))</f>
        <v>81.98</v>
      </c>
      <c r="Y1353" s="4"/>
      <c r="Z135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3" s="4">
        <f>('TE BE'!$AA$20+'TE BF'!$AA$20+'TE CVA'!$AA$20)*(1-CUSTOS!$M$34)</f>
        <v>82.137764727346777</v>
      </c>
      <c r="AB1353" s="4">
        <f>$K$1353*$V$1353</f>
        <v>0</v>
      </c>
      <c r="AC1353" s="4">
        <f>$M$1353*$W$1353</f>
        <v>229.48619999999997</v>
      </c>
      <c r="AD1353" s="4">
        <f>$O$1353*$X$1353</f>
        <v>174.6174</v>
      </c>
      <c r="AE1353" s="4">
        <f>$K$1353*$Y$1353</f>
        <v>0</v>
      </c>
      <c r="AF1353" s="4">
        <f ca="1">$M$1353*$Z$1353</f>
        <v>265.88768763123386</v>
      </c>
      <c r="AG1353" s="4">
        <f>$O$1353*$AA$1353</f>
        <v>174.95343886924863</v>
      </c>
    </row>
    <row r="1354" spans="1:33" ht="11.25" customHeight="1" x14ac:dyDescent="0.25">
      <c r="A1354" s="3" t="s">
        <v>21</v>
      </c>
      <c r="B1354" s="3" t="s">
        <v>22</v>
      </c>
      <c r="C1354" s="3" t="s">
        <v>23</v>
      </c>
      <c r="D1354" s="3" t="s">
        <v>24</v>
      </c>
      <c r="E1354" s="3" t="s">
        <v>29</v>
      </c>
      <c r="F1354" s="3" t="s">
        <v>25</v>
      </c>
      <c r="G1354" s="3" t="s">
        <v>25</v>
      </c>
      <c r="H1354" s="3" t="s">
        <v>25</v>
      </c>
      <c r="I1354" s="6">
        <v>44562</v>
      </c>
      <c r="J1354" s="4">
        <v>0</v>
      </c>
      <c r="K1354" s="4">
        <v>0</v>
      </c>
      <c r="L1354" s="4">
        <v>6954.357</v>
      </c>
      <c r="M1354" s="4">
        <v>6954.357</v>
      </c>
      <c r="N1354" s="4">
        <v>6954.357</v>
      </c>
      <c r="O1354" s="4">
        <v>6954.357</v>
      </c>
      <c r="P1354" s="4">
        <v>19774</v>
      </c>
      <c r="Q1354" s="3" t="s">
        <v>26</v>
      </c>
      <c r="R1354" s="3">
        <v>0</v>
      </c>
      <c r="S1354" s="4">
        <v>0</v>
      </c>
      <c r="T1354" s="4">
        <v>26</v>
      </c>
      <c r="U1354" s="4">
        <v>99</v>
      </c>
      <c r="V1354" s="4">
        <f>IF(ISERROR(VLOOKUP($S$1354,'TAR FIN'!$A$1:$O$113,15,0)),0,VLOOKUP($S$1354,'TAR FIN'!$A$1:$O$113,15,0))</f>
        <v>0</v>
      </c>
      <c r="W1354" s="4">
        <f>IF(ISERROR(VLOOKUP($T$1354,'TAR FIN'!$A$1:$O$113,15,0)),0,VLOOKUP($T$1354,'TAR FIN'!$A$1:$O$113,15,0))</f>
        <v>107.74</v>
      </c>
      <c r="X1354" s="4">
        <f>IF(ISERROR(VLOOKUP($U$1354,'TAR FIN'!$A$1:$O$113,15,0)),0,VLOOKUP($U$1354,'TAR FIN'!$A$1:$O$113,15,0))</f>
        <v>81.98</v>
      </c>
      <c r="Y1354" s="4"/>
      <c r="Z135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4" s="4">
        <f>('TE BE'!$AA$20+'TE BF'!$AA$20+'TE CVA'!$AA$20)*(1-CUSTOS!$M$34)</f>
        <v>82.137764727346777</v>
      </c>
      <c r="AB1354" s="4">
        <f>$K$1354*$V$1354</f>
        <v>0</v>
      </c>
      <c r="AC1354" s="4">
        <f>$M$1354*$W$1354</f>
        <v>749262.42317999993</v>
      </c>
      <c r="AD1354" s="4">
        <f>$O$1354*$X$1354</f>
        <v>570118.18686000002</v>
      </c>
      <c r="AE1354" s="4">
        <f>$K$1354*$Y$1354</f>
        <v>0</v>
      </c>
      <c r="AF1354" s="4">
        <f ca="1">$M$1354*$Z$1354</f>
        <v>868111.69093525107</v>
      </c>
      <c r="AG1354" s="4">
        <f>$O$1354*$AA$1354</f>
        <v>571215.33909597714</v>
      </c>
    </row>
    <row r="1355" spans="1:33" ht="11.25" customHeight="1" x14ac:dyDescent="0.25">
      <c r="A1355" s="3" t="s">
        <v>27</v>
      </c>
      <c r="B1355" s="3" t="s">
        <v>22</v>
      </c>
      <c r="C1355" s="3" t="s">
        <v>23</v>
      </c>
      <c r="D1355" s="3" t="s">
        <v>24</v>
      </c>
      <c r="E1355" s="3" t="s">
        <v>29</v>
      </c>
      <c r="F1355" s="3" t="s">
        <v>25</v>
      </c>
      <c r="G1355" s="3" t="s">
        <v>25</v>
      </c>
      <c r="H1355" s="3" t="s">
        <v>25</v>
      </c>
      <c r="I1355" s="6">
        <v>44562</v>
      </c>
      <c r="J1355" s="4">
        <v>0</v>
      </c>
      <c r="K1355" s="4">
        <v>0</v>
      </c>
      <c r="L1355" s="4">
        <v>0.28299999999999997</v>
      </c>
      <c r="M1355" s="4">
        <v>0.28299999999999997</v>
      </c>
      <c r="N1355" s="4">
        <v>0.28299999999999997</v>
      </c>
      <c r="O1355" s="4">
        <v>0.28299999999999997</v>
      </c>
      <c r="P1355" s="4">
        <v>1</v>
      </c>
      <c r="Q1355" s="3" t="s">
        <v>26</v>
      </c>
      <c r="R1355" s="3">
        <v>0</v>
      </c>
      <c r="S1355" s="4">
        <v>0</v>
      </c>
      <c r="T1355" s="4">
        <v>26</v>
      </c>
      <c r="U1355" s="4">
        <v>99</v>
      </c>
      <c r="V1355" s="4">
        <f>IF(ISERROR(VLOOKUP($S$1355,'TAR FIN'!$A$1:$O$113,15,0)),0,VLOOKUP($S$1355,'TAR FIN'!$A$1:$O$113,15,0))</f>
        <v>0</v>
      </c>
      <c r="W1355" s="4">
        <f>IF(ISERROR(VLOOKUP($T$1355,'TAR FIN'!$A$1:$O$113,15,0)),0,VLOOKUP($T$1355,'TAR FIN'!$A$1:$O$113,15,0))</f>
        <v>107.74</v>
      </c>
      <c r="X1355" s="4">
        <f>IF(ISERROR(VLOOKUP($U$1355,'TAR FIN'!$A$1:$O$113,15,0)),0,VLOOKUP($U$1355,'TAR FIN'!$A$1:$O$113,15,0))</f>
        <v>81.98</v>
      </c>
      <c r="Y1355" s="4"/>
      <c r="Z135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5" s="4">
        <f>('TE BE'!$AA$20+'TE BF'!$AA$20+'TE CVA'!$AA$20)*(1-CUSTOS!$M$34)</f>
        <v>82.137764727346777</v>
      </c>
      <c r="AB1355" s="4">
        <f>$K$1355*$V$1355</f>
        <v>0</v>
      </c>
      <c r="AC1355" s="4">
        <f>$M$1355*$W$1355</f>
        <v>30.490419999999997</v>
      </c>
      <c r="AD1355" s="4">
        <f>$O$1355*$X$1355</f>
        <v>23.200340000000001</v>
      </c>
      <c r="AE1355" s="4">
        <f>$K$1355*$Y$1355</f>
        <v>0</v>
      </c>
      <c r="AF1355" s="4">
        <f ca="1">$M$1355*$Z$1355</f>
        <v>35.326861783868161</v>
      </c>
      <c r="AG1355" s="4">
        <f>$O$1355*$AA$1355</f>
        <v>23.244987417839138</v>
      </c>
    </row>
    <row r="1356" spans="1:33" ht="11.25" customHeight="1" x14ac:dyDescent="0.25">
      <c r="A1356" s="3" t="s">
        <v>28</v>
      </c>
      <c r="B1356" s="3" t="s">
        <v>22</v>
      </c>
      <c r="C1356" s="3" t="s">
        <v>23</v>
      </c>
      <c r="D1356" s="3" t="s">
        <v>24</v>
      </c>
      <c r="E1356" s="3" t="s">
        <v>29</v>
      </c>
      <c r="F1356" s="3" t="s">
        <v>25</v>
      </c>
      <c r="G1356" s="3" t="s">
        <v>25</v>
      </c>
      <c r="H1356" s="3" t="s">
        <v>25</v>
      </c>
      <c r="I1356" s="6">
        <v>44562</v>
      </c>
      <c r="J1356" s="4">
        <v>0</v>
      </c>
      <c r="K1356" s="4">
        <v>0</v>
      </c>
      <c r="L1356" s="4">
        <v>2.34</v>
      </c>
      <c r="M1356" s="4">
        <v>2.34</v>
      </c>
      <c r="N1356" s="4">
        <v>2.34</v>
      </c>
      <c r="O1356" s="4">
        <v>2.34</v>
      </c>
      <c r="P1356" s="4">
        <v>7</v>
      </c>
      <c r="Q1356" s="3" t="s">
        <v>26</v>
      </c>
      <c r="R1356" s="3">
        <v>0</v>
      </c>
      <c r="S1356" s="4">
        <v>0</v>
      </c>
      <c r="T1356" s="4">
        <v>26</v>
      </c>
      <c r="U1356" s="4">
        <v>99</v>
      </c>
      <c r="V1356" s="4">
        <f>IF(ISERROR(VLOOKUP($S$1356,'TAR FIN'!$A$1:$O$113,15,0)),0,VLOOKUP($S$1356,'TAR FIN'!$A$1:$O$113,15,0))</f>
        <v>0</v>
      </c>
      <c r="W1356" s="4">
        <f>IF(ISERROR(VLOOKUP($T$1356,'TAR FIN'!$A$1:$O$113,15,0)),0,VLOOKUP($T$1356,'TAR FIN'!$A$1:$O$113,15,0))</f>
        <v>107.74</v>
      </c>
      <c r="X1356" s="4">
        <f>IF(ISERROR(VLOOKUP($U$1356,'TAR FIN'!$A$1:$O$113,15,0)),0,VLOOKUP($U$1356,'TAR FIN'!$A$1:$O$113,15,0))</f>
        <v>81.98</v>
      </c>
      <c r="Y1356" s="4"/>
      <c r="Z135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6" s="4">
        <f>('TE BE'!$AA$20+'TE BF'!$AA$20+'TE CVA'!$AA$20)*(1-CUSTOS!$M$34)</f>
        <v>82.137764727346777</v>
      </c>
      <c r="AB1356" s="4">
        <f>$K$1356*$V$1356</f>
        <v>0</v>
      </c>
      <c r="AC1356" s="4">
        <f>$M$1356*$W$1356</f>
        <v>252.11159999999998</v>
      </c>
      <c r="AD1356" s="4">
        <f>$O$1356*$X$1356</f>
        <v>191.83320000000001</v>
      </c>
      <c r="AE1356" s="4">
        <f>$K$1356*$Y$1356</f>
        <v>0</v>
      </c>
      <c r="AF1356" s="4">
        <f ca="1">$M$1356*$Z$1356</f>
        <v>292.10196669346823</v>
      </c>
      <c r="AG1356" s="4">
        <f>$O$1356*$AA$1356</f>
        <v>192.20236946199145</v>
      </c>
    </row>
    <row r="1357" spans="1:33" ht="11.25" customHeight="1" x14ac:dyDescent="0.25">
      <c r="A1357" s="3" t="s">
        <v>21</v>
      </c>
      <c r="B1357" s="3" t="s">
        <v>22</v>
      </c>
      <c r="C1357" s="3" t="s">
        <v>23</v>
      </c>
      <c r="D1357" s="3" t="s">
        <v>24</v>
      </c>
      <c r="E1357" s="3" t="s">
        <v>29</v>
      </c>
      <c r="F1357" s="3" t="s">
        <v>25</v>
      </c>
      <c r="G1357" s="3" t="s">
        <v>25</v>
      </c>
      <c r="H1357" s="3" t="s">
        <v>25</v>
      </c>
      <c r="I1357" s="6">
        <v>44593</v>
      </c>
      <c r="J1357" s="4">
        <v>0</v>
      </c>
      <c r="K1357" s="4">
        <v>0</v>
      </c>
      <c r="L1357" s="4">
        <v>7246.22</v>
      </c>
      <c r="M1357" s="4">
        <v>7246.22</v>
      </c>
      <c r="N1357" s="4">
        <v>7246.22</v>
      </c>
      <c r="O1357" s="4">
        <v>7246.22</v>
      </c>
      <c r="P1357" s="4">
        <v>20972</v>
      </c>
      <c r="Q1357" s="3" t="s">
        <v>26</v>
      </c>
      <c r="R1357" s="3">
        <v>0</v>
      </c>
      <c r="S1357" s="4">
        <v>0</v>
      </c>
      <c r="T1357" s="4">
        <v>26</v>
      </c>
      <c r="U1357" s="4">
        <v>99</v>
      </c>
      <c r="V1357" s="4">
        <f>IF(ISERROR(VLOOKUP($S$1357,'TAR FIN'!$A$1:$O$113,15,0)),0,VLOOKUP($S$1357,'TAR FIN'!$A$1:$O$113,15,0))</f>
        <v>0</v>
      </c>
      <c r="W1357" s="4">
        <f>IF(ISERROR(VLOOKUP($T$1357,'TAR FIN'!$A$1:$O$113,15,0)),0,VLOOKUP($T$1357,'TAR FIN'!$A$1:$O$113,15,0))</f>
        <v>107.74</v>
      </c>
      <c r="X1357" s="4">
        <f>IF(ISERROR(VLOOKUP($U$1357,'TAR FIN'!$A$1:$O$113,15,0)),0,VLOOKUP($U$1357,'TAR FIN'!$A$1:$O$113,15,0))</f>
        <v>81.98</v>
      </c>
      <c r="Y1357" s="4"/>
      <c r="Z135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7" s="4">
        <f>('TE BE'!$AA$20+'TE BF'!$AA$20+'TE CVA'!$AA$20)*(1-CUSTOS!$M$34)</f>
        <v>82.137764727346777</v>
      </c>
      <c r="AB1357" s="4">
        <f>$K$1357*$V$1357</f>
        <v>0</v>
      </c>
      <c r="AC1357" s="4">
        <f>$M$1357*$W$1357</f>
        <v>780707.74280000001</v>
      </c>
      <c r="AD1357" s="4">
        <f>$O$1357*$X$1357</f>
        <v>594045.11560000002</v>
      </c>
      <c r="AE1357" s="4">
        <f>$K$1357*$Y$1357</f>
        <v>0</v>
      </c>
      <c r="AF1357" s="4">
        <f ca="1">$M$1357*$Z$1357</f>
        <v>904544.92012544593</v>
      </c>
      <c r="AG1357" s="4">
        <f>$O$1357*$AA$1357</f>
        <v>595188.31352259475</v>
      </c>
    </row>
    <row r="1358" spans="1:33" ht="11.25" customHeight="1" x14ac:dyDescent="0.25">
      <c r="A1358" s="3" t="s">
        <v>27</v>
      </c>
      <c r="B1358" s="3" t="s">
        <v>22</v>
      </c>
      <c r="C1358" s="3" t="s">
        <v>23</v>
      </c>
      <c r="D1358" s="3" t="s">
        <v>24</v>
      </c>
      <c r="E1358" s="3" t="s">
        <v>29</v>
      </c>
      <c r="F1358" s="3" t="s">
        <v>25</v>
      </c>
      <c r="G1358" s="3" t="s">
        <v>25</v>
      </c>
      <c r="H1358" s="3" t="s">
        <v>25</v>
      </c>
      <c r="I1358" s="6">
        <v>44593</v>
      </c>
      <c r="J1358" s="4">
        <v>0</v>
      </c>
      <c r="K1358" s="4">
        <v>0</v>
      </c>
      <c r="L1358" s="4">
        <v>1.155</v>
      </c>
      <c r="M1358" s="4">
        <v>1.155</v>
      </c>
      <c r="N1358" s="4">
        <v>1.155</v>
      </c>
      <c r="O1358" s="4">
        <v>1.155</v>
      </c>
      <c r="P1358" s="4">
        <v>8</v>
      </c>
      <c r="Q1358" s="3" t="s">
        <v>26</v>
      </c>
      <c r="R1358" s="3">
        <v>0</v>
      </c>
      <c r="S1358" s="4">
        <v>0</v>
      </c>
      <c r="T1358" s="4">
        <v>26</v>
      </c>
      <c r="U1358" s="4">
        <v>99</v>
      </c>
      <c r="V1358" s="4">
        <f>IF(ISERROR(VLOOKUP($S$1358,'TAR FIN'!$A$1:$O$113,15,0)),0,VLOOKUP($S$1358,'TAR FIN'!$A$1:$O$113,15,0))</f>
        <v>0</v>
      </c>
      <c r="W1358" s="4">
        <f>IF(ISERROR(VLOOKUP($T$1358,'TAR FIN'!$A$1:$O$113,15,0)),0,VLOOKUP($T$1358,'TAR FIN'!$A$1:$O$113,15,0))</f>
        <v>107.74</v>
      </c>
      <c r="X1358" s="4">
        <f>IF(ISERROR(VLOOKUP($U$1358,'TAR FIN'!$A$1:$O$113,15,0)),0,VLOOKUP($U$1358,'TAR FIN'!$A$1:$O$113,15,0))</f>
        <v>81.98</v>
      </c>
      <c r="Y1358" s="4"/>
      <c r="Z135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8" s="4">
        <f>('TE BE'!$AA$20+'TE BF'!$AA$20+'TE CVA'!$AA$20)*(1-CUSTOS!$M$34)</f>
        <v>82.137764727346777</v>
      </c>
      <c r="AB1358" s="4">
        <f>$K$1358*$V$1358</f>
        <v>0</v>
      </c>
      <c r="AC1358" s="4">
        <f>$M$1358*$W$1358</f>
        <v>124.4397</v>
      </c>
      <c r="AD1358" s="4">
        <f>$O$1358*$X$1358</f>
        <v>94.686900000000009</v>
      </c>
      <c r="AE1358" s="4">
        <f>$K$1358*$Y$1358</f>
        <v>0</v>
      </c>
      <c r="AF1358" s="4">
        <f ca="1">$M$1358*$Z$1358</f>
        <v>144.1785348422888</v>
      </c>
      <c r="AG1358" s="4">
        <f>$O$1358*$AA$1358</f>
        <v>94.869118260085529</v>
      </c>
    </row>
    <row r="1359" spans="1:33" ht="11.25" customHeight="1" x14ac:dyDescent="0.25">
      <c r="A1359" s="3" t="s">
        <v>28</v>
      </c>
      <c r="B1359" s="3" t="s">
        <v>22</v>
      </c>
      <c r="C1359" s="3" t="s">
        <v>23</v>
      </c>
      <c r="D1359" s="3" t="s">
        <v>24</v>
      </c>
      <c r="E1359" s="3" t="s">
        <v>29</v>
      </c>
      <c r="F1359" s="3" t="s">
        <v>25</v>
      </c>
      <c r="G1359" s="3" t="s">
        <v>25</v>
      </c>
      <c r="H1359" s="3" t="s">
        <v>25</v>
      </c>
      <c r="I1359" s="6">
        <v>44593</v>
      </c>
      <c r="J1359" s="4">
        <v>0</v>
      </c>
      <c r="K1359" s="4">
        <v>0</v>
      </c>
      <c r="L1359" s="4">
        <v>2.4300000000000002</v>
      </c>
      <c r="M1359" s="4">
        <v>2.4300000000000002</v>
      </c>
      <c r="N1359" s="4">
        <v>2.4300000000000002</v>
      </c>
      <c r="O1359" s="4">
        <v>2.4300000000000002</v>
      </c>
      <c r="P1359" s="4">
        <v>7</v>
      </c>
      <c r="Q1359" s="3" t="s">
        <v>26</v>
      </c>
      <c r="R1359" s="3">
        <v>0</v>
      </c>
      <c r="S1359" s="4">
        <v>0</v>
      </c>
      <c r="T1359" s="4">
        <v>26</v>
      </c>
      <c r="U1359" s="4">
        <v>99</v>
      </c>
      <c r="V1359" s="4">
        <f>IF(ISERROR(VLOOKUP($S$1359,'TAR FIN'!$A$1:$O$113,15,0)),0,VLOOKUP($S$1359,'TAR FIN'!$A$1:$O$113,15,0))</f>
        <v>0</v>
      </c>
      <c r="W1359" s="4">
        <f>IF(ISERROR(VLOOKUP($T$1359,'TAR FIN'!$A$1:$O$113,15,0)),0,VLOOKUP($T$1359,'TAR FIN'!$A$1:$O$113,15,0))</f>
        <v>107.74</v>
      </c>
      <c r="X1359" s="4">
        <f>IF(ISERROR(VLOOKUP($U$1359,'TAR FIN'!$A$1:$O$113,15,0)),0,VLOOKUP($U$1359,'TAR FIN'!$A$1:$O$113,15,0))</f>
        <v>81.98</v>
      </c>
      <c r="Y1359" s="4"/>
      <c r="Z135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59" s="4">
        <f>('TE BE'!$AA$20+'TE BF'!$AA$20+'TE CVA'!$AA$20)*(1-CUSTOS!$M$34)</f>
        <v>82.137764727346777</v>
      </c>
      <c r="AB1359" s="4">
        <f>$K$1359*$V$1359</f>
        <v>0</v>
      </c>
      <c r="AC1359" s="4">
        <f>$M$1359*$W$1359</f>
        <v>261.8082</v>
      </c>
      <c r="AD1359" s="4">
        <f>$O$1359*$X$1359</f>
        <v>199.21140000000003</v>
      </c>
      <c r="AE1359" s="4">
        <f>$K$1359*$Y$1359</f>
        <v>0</v>
      </c>
      <c r="AF1359" s="4">
        <f ca="1">$M$1359*$Z$1359</f>
        <v>303.33665772014012</v>
      </c>
      <c r="AG1359" s="4">
        <f>$O$1359*$AA$1359</f>
        <v>199.59476828745269</v>
      </c>
    </row>
    <row r="1360" spans="1:33" ht="11.25" customHeight="1" x14ac:dyDescent="0.25">
      <c r="A1360" s="3" t="s">
        <v>56</v>
      </c>
      <c r="B1360" s="3" t="s">
        <v>22</v>
      </c>
      <c r="C1360" s="3" t="s">
        <v>23</v>
      </c>
      <c r="D1360" s="3" t="s">
        <v>24</v>
      </c>
      <c r="E1360" s="3" t="s">
        <v>29</v>
      </c>
      <c r="F1360" s="3" t="s">
        <v>25</v>
      </c>
      <c r="G1360" s="3" t="s">
        <v>25</v>
      </c>
      <c r="H1360" s="3" t="s">
        <v>25</v>
      </c>
      <c r="I1360" s="6">
        <v>44621</v>
      </c>
      <c r="J1360" s="4">
        <v>0</v>
      </c>
      <c r="K1360" s="4">
        <v>0</v>
      </c>
      <c r="L1360" s="4">
        <v>7246.22</v>
      </c>
      <c r="M1360" s="4">
        <v>7246.22</v>
      </c>
      <c r="N1360" s="4">
        <v>7246.22</v>
      </c>
      <c r="O1360" s="4">
        <v>7246.22</v>
      </c>
      <c r="P1360" s="4">
        <v>20972</v>
      </c>
      <c r="Q1360" s="3" t="s">
        <v>26</v>
      </c>
      <c r="R1360" s="3">
        <v>0</v>
      </c>
      <c r="S1360" s="4">
        <v>0</v>
      </c>
      <c r="T1360" s="4">
        <v>26</v>
      </c>
      <c r="U1360" s="4">
        <v>99</v>
      </c>
      <c r="V1360" s="4">
        <f>IF(ISERROR(VLOOKUP($S$1360,'TAR FIN'!$A$1:$O$113,15,0)),0,VLOOKUP($S$1360,'TAR FIN'!$A$1:$O$113,15,0))</f>
        <v>0</v>
      </c>
      <c r="W1360" s="4">
        <f>IF(ISERROR(VLOOKUP($T$1360,'TAR FIN'!$A$1:$O$113,15,0)),0,VLOOKUP($T$1360,'TAR FIN'!$A$1:$O$113,15,0))</f>
        <v>107.74</v>
      </c>
      <c r="X1360" s="4">
        <f>IF(ISERROR(VLOOKUP($U$1360,'TAR FIN'!$A$1:$O$113,15,0)),0,VLOOKUP($U$1360,'TAR FIN'!$A$1:$O$113,15,0))</f>
        <v>81.98</v>
      </c>
      <c r="Y1360" s="4"/>
      <c r="Z136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60" s="4">
        <f>('TE BE'!$AA$20+'TE BF'!$AA$20+'TE CVA'!$AA$20)*(1-CUSTOS!$M$34)</f>
        <v>82.137764727346777</v>
      </c>
      <c r="AB1360" s="4">
        <f>$K$1360*$V$1360</f>
        <v>0</v>
      </c>
      <c r="AC1360" s="4">
        <f>$M$1360*$W$1360</f>
        <v>780707.74280000001</v>
      </c>
      <c r="AD1360" s="4">
        <f>$O$1360*$X$1360</f>
        <v>594045.11560000002</v>
      </c>
      <c r="AE1360" s="4">
        <f>$K$1360*$Y$1360</f>
        <v>0</v>
      </c>
      <c r="AF1360" s="4">
        <f ca="1">$M$1360*$Z$1360</f>
        <v>904544.92012544593</v>
      </c>
      <c r="AG1360" s="4">
        <f>$O$1360*$AA$1360</f>
        <v>595188.31352259475</v>
      </c>
    </row>
    <row r="1361" spans="1:33" ht="11.25" customHeight="1" x14ac:dyDescent="0.25">
      <c r="A1361" s="3" t="s">
        <v>56</v>
      </c>
      <c r="B1361" s="3" t="s">
        <v>22</v>
      </c>
      <c r="C1361" s="3" t="s">
        <v>23</v>
      </c>
      <c r="D1361" s="3" t="s">
        <v>24</v>
      </c>
      <c r="E1361" s="3" t="s">
        <v>29</v>
      </c>
      <c r="F1361" s="3" t="s">
        <v>25</v>
      </c>
      <c r="G1361" s="3" t="s">
        <v>25</v>
      </c>
      <c r="H1361" s="3" t="s">
        <v>25</v>
      </c>
      <c r="I1361" s="6">
        <v>44621</v>
      </c>
      <c r="J1361" s="4">
        <v>0</v>
      </c>
      <c r="K1361" s="4">
        <v>0</v>
      </c>
      <c r="L1361" s="4">
        <v>1.155</v>
      </c>
      <c r="M1361" s="4">
        <v>1.155</v>
      </c>
      <c r="N1361" s="4">
        <v>1.155</v>
      </c>
      <c r="O1361" s="4">
        <v>1.155</v>
      </c>
      <c r="P1361" s="4">
        <v>8</v>
      </c>
      <c r="Q1361" s="3" t="s">
        <v>26</v>
      </c>
      <c r="R1361" s="3">
        <v>0</v>
      </c>
      <c r="S1361" s="4">
        <v>0</v>
      </c>
      <c r="T1361" s="4">
        <v>26</v>
      </c>
      <c r="U1361" s="4">
        <v>99</v>
      </c>
      <c r="V1361" s="4">
        <f>IF(ISERROR(VLOOKUP($S$1361,'TAR FIN'!$A$1:$O$113,15,0)),0,VLOOKUP($S$1361,'TAR FIN'!$A$1:$O$113,15,0))</f>
        <v>0</v>
      </c>
      <c r="W1361" s="4">
        <f>IF(ISERROR(VLOOKUP($T$1361,'TAR FIN'!$A$1:$O$113,15,0)),0,VLOOKUP($T$1361,'TAR FIN'!$A$1:$O$113,15,0))</f>
        <v>107.74</v>
      </c>
      <c r="X1361" s="4">
        <f>IF(ISERROR(VLOOKUP($U$1361,'TAR FIN'!$A$1:$O$113,15,0)),0,VLOOKUP($U$1361,'TAR FIN'!$A$1:$O$113,15,0))</f>
        <v>81.98</v>
      </c>
      <c r="Y1361" s="4"/>
      <c r="Z136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61" s="4">
        <f>('TE BE'!$AA$20+'TE BF'!$AA$20+'TE CVA'!$AA$20)*(1-CUSTOS!$M$34)</f>
        <v>82.137764727346777</v>
      </c>
      <c r="AB1361" s="4">
        <f>$K$1361*$V$1361</f>
        <v>0</v>
      </c>
      <c r="AC1361" s="4">
        <f>$M$1361*$W$1361</f>
        <v>124.4397</v>
      </c>
      <c r="AD1361" s="4">
        <f>$O$1361*$X$1361</f>
        <v>94.686900000000009</v>
      </c>
      <c r="AE1361" s="4">
        <f>$K$1361*$Y$1361</f>
        <v>0</v>
      </c>
      <c r="AF1361" s="4">
        <f ca="1">$M$1361*$Z$1361</f>
        <v>144.1785348422888</v>
      </c>
      <c r="AG1361" s="4">
        <f>$O$1361*$AA$1361</f>
        <v>94.869118260085529</v>
      </c>
    </row>
    <row r="1362" spans="1:33" ht="11.25" customHeight="1" x14ac:dyDescent="0.25">
      <c r="A1362" s="3" t="s">
        <v>56</v>
      </c>
      <c r="B1362" s="3" t="s">
        <v>22</v>
      </c>
      <c r="C1362" s="3" t="s">
        <v>23</v>
      </c>
      <c r="D1362" s="3" t="s">
        <v>24</v>
      </c>
      <c r="E1362" s="3" t="s">
        <v>29</v>
      </c>
      <c r="F1362" s="3" t="s">
        <v>25</v>
      </c>
      <c r="G1362" s="3" t="s">
        <v>25</v>
      </c>
      <c r="H1362" s="3" t="s">
        <v>25</v>
      </c>
      <c r="I1362" s="6">
        <v>44621</v>
      </c>
      <c r="J1362" s="4">
        <v>0</v>
      </c>
      <c r="K1362" s="4">
        <v>0</v>
      </c>
      <c r="L1362" s="4">
        <v>2.4300000000000002</v>
      </c>
      <c r="M1362" s="4">
        <v>2.4300000000000002</v>
      </c>
      <c r="N1362" s="4">
        <v>2.4300000000000002</v>
      </c>
      <c r="O1362" s="4">
        <v>2.4300000000000002</v>
      </c>
      <c r="P1362" s="4">
        <v>7</v>
      </c>
      <c r="Q1362" s="3" t="s">
        <v>26</v>
      </c>
      <c r="R1362" s="3">
        <v>0</v>
      </c>
      <c r="S1362" s="4">
        <v>0</v>
      </c>
      <c r="T1362" s="4">
        <v>26</v>
      </c>
      <c r="U1362" s="4">
        <v>99</v>
      </c>
      <c r="V1362" s="4">
        <f>IF(ISERROR(VLOOKUP($S$1362,'TAR FIN'!$A$1:$O$113,15,0)),0,VLOOKUP($S$1362,'TAR FIN'!$A$1:$O$113,15,0))</f>
        <v>0</v>
      </c>
      <c r="W1362" s="4">
        <f>IF(ISERROR(VLOOKUP($T$1362,'TAR FIN'!$A$1:$O$113,15,0)),0,VLOOKUP($T$1362,'TAR FIN'!$A$1:$O$113,15,0))</f>
        <v>107.74</v>
      </c>
      <c r="X1362" s="4">
        <f>IF(ISERROR(VLOOKUP($U$1362,'TAR FIN'!$A$1:$O$113,15,0)),0,VLOOKUP($U$1362,'TAR FIN'!$A$1:$O$113,15,0))</f>
        <v>81.98</v>
      </c>
      <c r="Y1362" s="4"/>
      <c r="Z136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1362" s="4">
        <f>('TE BE'!$AA$20+'TE BF'!$AA$20+'TE CVA'!$AA$20)*(1-CUSTOS!$M$34)</f>
        <v>82.137764727346777</v>
      </c>
      <c r="AB1362" s="4">
        <f>$K$1362*$V$1362</f>
        <v>0</v>
      </c>
      <c r="AC1362" s="4">
        <f>$M$1362*$W$1362</f>
        <v>261.8082</v>
      </c>
      <c r="AD1362" s="4">
        <f>$O$1362*$X$1362</f>
        <v>199.21140000000003</v>
      </c>
      <c r="AE1362" s="4">
        <f>$K$1362*$Y$1362</f>
        <v>0</v>
      </c>
      <c r="AF1362" s="4">
        <f ca="1">$M$1362*$Z$1362</f>
        <v>303.33665772014012</v>
      </c>
      <c r="AG1362" s="4">
        <f>$O$1362*$AA$1362</f>
        <v>199.59476828745269</v>
      </c>
    </row>
    <row r="1363" spans="1:33" ht="11.25" customHeight="1" x14ac:dyDescent="0.25">
      <c r="A1363" s="3" t="s">
        <v>21</v>
      </c>
      <c r="B1363" s="3" t="s">
        <v>22</v>
      </c>
      <c r="C1363" s="3" t="s">
        <v>23</v>
      </c>
      <c r="D1363" s="3" t="s">
        <v>24</v>
      </c>
      <c r="E1363" s="3" t="s">
        <v>30</v>
      </c>
      <c r="F1363" s="3" t="s">
        <v>25</v>
      </c>
      <c r="G1363" s="3" t="s">
        <v>25</v>
      </c>
      <c r="H1363" s="3" t="s">
        <v>25</v>
      </c>
      <c r="I1363" s="6">
        <v>44287</v>
      </c>
      <c r="J1363" s="4">
        <v>0</v>
      </c>
      <c r="K1363" s="4">
        <v>0</v>
      </c>
      <c r="L1363" s="4">
        <v>11784.513999999999</v>
      </c>
      <c r="M1363" s="4">
        <v>11784.513999999999</v>
      </c>
      <c r="N1363" s="4">
        <v>11784.513999999999</v>
      </c>
      <c r="O1363" s="4">
        <v>11784.513999999999</v>
      </c>
      <c r="P1363" s="4">
        <v>98290</v>
      </c>
      <c r="Q1363" s="3" t="s">
        <v>26</v>
      </c>
      <c r="R1363" s="3">
        <v>0</v>
      </c>
      <c r="S1363" s="4">
        <v>0</v>
      </c>
      <c r="T1363" s="4">
        <v>27</v>
      </c>
      <c r="U1363" s="4">
        <v>100</v>
      </c>
      <c r="V1363" s="4">
        <f>IF(ISERROR(VLOOKUP($S$1363,'TAR FIN'!$A$1:$O$113,15,0)),0,VLOOKUP($S$1363,'TAR FIN'!$A$1:$O$113,15,0))</f>
        <v>0</v>
      </c>
      <c r="W1363" s="4">
        <f>IF(ISERROR(VLOOKUP($T$1363,'TAR FIN'!$A$1:$O$113,15,0)),0,VLOOKUP($T$1363,'TAR FIN'!$A$1:$O$113,15,0))</f>
        <v>184.7</v>
      </c>
      <c r="X1363" s="4">
        <f>IF(ISERROR(VLOOKUP($U$1363,'TAR FIN'!$A$1:$O$113,15,0)),0,VLOOKUP($U$1363,'TAR FIN'!$A$1:$O$113,15,0))</f>
        <v>140.54</v>
      </c>
      <c r="Y1363" s="4"/>
      <c r="Z136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3" s="4">
        <f>('TE BE'!$AA$21+'TE BF'!$AA$21+'TE CVA'!$AA$21)*(1-CUSTOS!$M$35)</f>
        <v>140.80759667545161</v>
      </c>
      <c r="AB1363" s="4">
        <f>$K$1363*$V$1363</f>
        <v>0</v>
      </c>
      <c r="AC1363" s="4">
        <f>$M$1363*$W$1363</f>
        <v>2176599.7357999999</v>
      </c>
      <c r="AD1363" s="4">
        <f>$O$1363*$X$1363</f>
        <v>1656195.5975599999</v>
      </c>
      <c r="AE1363" s="4">
        <f>$K$1363*$Y$1363</f>
        <v>0</v>
      </c>
      <c r="AF1363" s="4">
        <f ca="1">$M$1363*$Z$1363</f>
        <v>2521816.6417045491</v>
      </c>
      <c r="AG1363" s="4">
        <f>$O$1363*$AA$1363</f>
        <v>1659349.0943282128</v>
      </c>
    </row>
    <row r="1364" spans="1:33" ht="11.25" customHeight="1" x14ac:dyDescent="0.25">
      <c r="A1364" s="3" t="s">
        <v>27</v>
      </c>
      <c r="B1364" s="3" t="s">
        <v>22</v>
      </c>
      <c r="C1364" s="3" t="s">
        <v>23</v>
      </c>
      <c r="D1364" s="3" t="s">
        <v>24</v>
      </c>
      <c r="E1364" s="3" t="s">
        <v>30</v>
      </c>
      <c r="F1364" s="3" t="s">
        <v>25</v>
      </c>
      <c r="G1364" s="3" t="s">
        <v>25</v>
      </c>
      <c r="H1364" s="3" t="s">
        <v>25</v>
      </c>
      <c r="I1364" s="6">
        <v>44287</v>
      </c>
      <c r="J1364" s="4">
        <v>0</v>
      </c>
      <c r="K1364" s="4">
        <v>0</v>
      </c>
      <c r="L1364" s="4">
        <v>-2.8889999999999998</v>
      </c>
      <c r="M1364" s="4">
        <v>-2.8889999999999998</v>
      </c>
      <c r="N1364" s="4">
        <v>-2.8889999999999998</v>
      </c>
      <c r="O1364" s="4">
        <v>-2.8889999999999998</v>
      </c>
      <c r="P1364" s="4">
        <v>-34</v>
      </c>
      <c r="Q1364" s="3" t="s">
        <v>26</v>
      </c>
      <c r="R1364" s="3">
        <v>0</v>
      </c>
      <c r="S1364" s="4">
        <v>0</v>
      </c>
      <c r="T1364" s="4">
        <v>27</v>
      </c>
      <c r="U1364" s="4">
        <v>100</v>
      </c>
      <c r="V1364" s="4">
        <f>IF(ISERROR(VLOOKUP($S$1364,'TAR FIN'!$A$1:$O$113,15,0)),0,VLOOKUP($S$1364,'TAR FIN'!$A$1:$O$113,15,0))</f>
        <v>0</v>
      </c>
      <c r="W1364" s="4">
        <f>IF(ISERROR(VLOOKUP($T$1364,'TAR FIN'!$A$1:$O$113,15,0)),0,VLOOKUP($T$1364,'TAR FIN'!$A$1:$O$113,15,0))</f>
        <v>184.7</v>
      </c>
      <c r="X1364" s="4">
        <f>IF(ISERROR(VLOOKUP($U$1364,'TAR FIN'!$A$1:$O$113,15,0)),0,VLOOKUP($U$1364,'TAR FIN'!$A$1:$O$113,15,0))</f>
        <v>140.54</v>
      </c>
      <c r="Y1364" s="4"/>
      <c r="Z136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4" s="4">
        <f>('TE BE'!$AA$21+'TE BF'!$AA$21+'TE CVA'!$AA$21)*(1-CUSTOS!$M$35)</f>
        <v>140.80759667545161</v>
      </c>
      <c r="AB1364" s="4">
        <f>$K$1364*$V$1364</f>
        <v>0</v>
      </c>
      <c r="AC1364" s="4">
        <f>$M$1364*$W$1364</f>
        <v>-533.59829999999988</v>
      </c>
      <c r="AD1364" s="4">
        <f>$O$1364*$X$1364</f>
        <v>-406.02005999999994</v>
      </c>
      <c r="AE1364" s="4">
        <f>$K$1364*$Y$1364</f>
        <v>0</v>
      </c>
      <c r="AF1364" s="4">
        <f ca="1">$M$1364*$Z$1364</f>
        <v>-618.22899763914256</v>
      </c>
      <c r="AG1364" s="4">
        <f>$O$1364*$AA$1364</f>
        <v>-406.79314679537964</v>
      </c>
    </row>
    <row r="1365" spans="1:33" ht="11.25" customHeight="1" x14ac:dyDescent="0.25">
      <c r="A1365" s="3" t="s">
        <v>28</v>
      </c>
      <c r="B1365" s="3" t="s">
        <v>22</v>
      </c>
      <c r="C1365" s="3" t="s">
        <v>23</v>
      </c>
      <c r="D1365" s="3" t="s">
        <v>24</v>
      </c>
      <c r="E1365" s="3" t="s">
        <v>30</v>
      </c>
      <c r="F1365" s="3" t="s">
        <v>25</v>
      </c>
      <c r="G1365" s="3" t="s">
        <v>25</v>
      </c>
      <c r="H1365" s="3" t="s">
        <v>25</v>
      </c>
      <c r="I1365" s="6">
        <v>44287</v>
      </c>
      <c r="J1365" s="4">
        <v>0</v>
      </c>
      <c r="K1365" s="4">
        <v>0</v>
      </c>
      <c r="L1365" s="4">
        <v>1.8560000000000001</v>
      </c>
      <c r="M1365" s="4">
        <v>1.8560000000000001</v>
      </c>
      <c r="N1365" s="4">
        <v>1.8560000000000001</v>
      </c>
      <c r="O1365" s="4">
        <v>1.8560000000000001</v>
      </c>
      <c r="P1365" s="4">
        <v>5</v>
      </c>
      <c r="Q1365" s="3" t="s">
        <v>26</v>
      </c>
      <c r="R1365" s="3">
        <v>0</v>
      </c>
      <c r="S1365" s="4">
        <v>0</v>
      </c>
      <c r="T1365" s="4">
        <v>27</v>
      </c>
      <c r="U1365" s="4">
        <v>100</v>
      </c>
      <c r="V1365" s="4">
        <f>IF(ISERROR(VLOOKUP($S$1365,'TAR FIN'!$A$1:$O$113,15,0)),0,VLOOKUP($S$1365,'TAR FIN'!$A$1:$O$113,15,0))</f>
        <v>0</v>
      </c>
      <c r="W1365" s="4">
        <f>IF(ISERROR(VLOOKUP($T$1365,'TAR FIN'!$A$1:$O$113,15,0)),0,VLOOKUP($T$1365,'TAR FIN'!$A$1:$O$113,15,0))</f>
        <v>184.7</v>
      </c>
      <c r="X1365" s="4">
        <f>IF(ISERROR(VLOOKUP($U$1365,'TAR FIN'!$A$1:$O$113,15,0)),0,VLOOKUP($U$1365,'TAR FIN'!$A$1:$O$113,15,0))</f>
        <v>140.54</v>
      </c>
      <c r="Y1365" s="4"/>
      <c r="Z136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5" s="4">
        <f>('TE BE'!$AA$21+'TE BF'!$AA$21+'TE CVA'!$AA$21)*(1-CUSTOS!$M$35)</f>
        <v>140.80759667545161</v>
      </c>
      <c r="AB1365" s="4">
        <f>$K$1365*$V$1365</f>
        <v>0</v>
      </c>
      <c r="AC1365" s="4">
        <f>$M$1365*$W$1365</f>
        <v>342.8032</v>
      </c>
      <c r="AD1365" s="4">
        <f>$O$1365*$X$1365</f>
        <v>260.84224</v>
      </c>
      <c r="AE1365" s="4">
        <f>$K$1365*$Y$1365</f>
        <v>0</v>
      </c>
      <c r="AF1365" s="4">
        <f ca="1">$M$1365*$Z$1365</f>
        <v>397.17307705719929</v>
      </c>
      <c r="AG1365" s="4">
        <f>$O$1365*$AA$1365</f>
        <v>261.33889942963822</v>
      </c>
    </row>
    <row r="1366" spans="1:33" ht="11.25" customHeight="1" x14ac:dyDescent="0.25">
      <c r="A1366" s="3" t="s">
        <v>21</v>
      </c>
      <c r="B1366" s="3" t="s">
        <v>22</v>
      </c>
      <c r="C1366" s="3" t="s">
        <v>23</v>
      </c>
      <c r="D1366" s="3" t="s">
        <v>24</v>
      </c>
      <c r="E1366" s="3" t="s">
        <v>30</v>
      </c>
      <c r="F1366" s="3" t="s">
        <v>25</v>
      </c>
      <c r="G1366" s="3" t="s">
        <v>25</v>
      </c>
      <c r="H1366" s="3" t="s">
        <v>25</v>
      </c>
      <c r="I1366" s="6">
        <v>44317</v>
      </c>
      <c r="J1366" s="4">
        <v>0</v>
      </c>
      <c r="K1366" s="4">
        <v>0</v>
      </c>
      <c r="L1366" s="4">
        <v>10989.485000000001</v>
      </c>
      <c r="M1366" s="4">
        <v>10989.485000000001</v>
      </c>
      <c r="N1366" s="4">
        <v>10989.485000000001</v>
      </c>
      <c r="O1366" s="4">
        <v>10989.485000000001</v>
      </c>
      <c r="P1366" s="4">
        <v>114625</v>
      </c>
      <c r="Q1366" s="3" t="s">
        <v>26</v>
      </c>
      <c r="R1366" s="3">
        <v>0</v>
      </c>
      <c r="S1366" s="4">
        <v>0</v>
      </c>
      <c r="T1366" s="4">
        <v>27</v>
      </c>
      <c r="U1366" s="4">
        <v>100</v>
      </c>
      <c r="V1366" s="4">
        <f>IF(ISERROR(VLOOKUP($S$1366,'TAR FIN'!$A$1:$O$113,15,0)),0,VLOOKUP($S$1366,'TAR FIN'!$A$1:$O$113,15,0))</f>
        <v>0</v>
      </c>
      <c r="W1366" s="4">
        <f>IF(ISERROR(VLOOKUP($T$1366,'TAR FIN'!$A$1:$O$113,15,0)),0,VLOOKUP($T$1366,'TAR FIN'!$A$1:$O$113,15,0))</f>
        <v>184.7</v>
      </c>
      <c r="X1366" s="4">
        <f>IF(ISERROR(VLOOKUP($U$1366,'TAR FIN'!$A$1:$O$113,15,0)),0,VLOOKUP($U$1366,'TAR FIN'!$A$1:$O$113,15,0))</f>
        <v>140.54</v>
      </c>
      <c r="Y1366" s="4"/>
      <c r="Z136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6" s="4">
        <f>('TE BE'!$AA$21+'TE BF'!$AA$21+'TE CVA'!$AA$21)*(1-CUSTOS!$M$35)</f>
        <v>140.80759667545161</v>
      </c>
      <c r="AB1366" s="4">
        <f>$K$1366*$V$1366</f>
        <v>0</v>
      </c>
      <c r="AC1366" s="4">
        <f>$M$1366*$W$1366</f>
        <v>2029757.8795</v>
      </c>
      <c r="AD1366" s="4">
        <f>$O$1366*$X$1366</f>
        <v>1544462.2219</v>
      </c>
      <c r="AE1366" s="4">
        <f>$K$1366*$Y$1366</f>
        <v>0</v>
      </c>
      <c r="AF1366" s="4">
        <f ca="1">$M$1366*$Z$1366</f>
        <v>2351685.1146141896</v>
      </c>
      <c r="AG1366" s="4">
        <f>$O$1366*$AA$1366</f>
        <v>1547402.9715509254</v>
      </c>
    </row>
    <row r="1367" spans="1:33" ht="11.25" customHeight="1" x14ac:dyDescent="0.25">
      <c r="A1367" s="3" t="s">
        <v>27</v>
      </c>
      <c r="B1367" s="3" t="s">
        <v>22</v>
      </c>
      <c r="C1367" s="3" t="s">
        <v>23</v>
      </c>
      <c r="D1367" s="3" t="s">
        <v>24</v>
      </c>
      <c r="E1367" s="3" t="s">
        <v>30</v>
      </c>
      <c r="F1367" s="3" t="s">
        <v>25</v>
      </c>
      <c r="G1367" s="3" t="s">
        <v>25</v>
      </c>
      <c r="H1367" s="3" t="s">
        <v>25</v>
      </c>
      <c r="I1367" s="6">
        <v>44317</v>
      </c>
      <c r="J1367" s="4">
        <v>0</v>
      </c>
      <c r="K1367" s="4">
        <v>0</v>
      </c>
      <c r="L1367" s="4">
        <v>-0.79100000000000004</v>
      </c>
      <c r="M1367" s="4">
        <v>-0.79100000000000004</v>
      </c>
      <c r="N1367" s="4">
        <v>-0.79100000000000004</v>
      </c>
      <c r="O1367" s="4">
        <v>-0.79100000000000004</v>
      </c>
      <c r="P1367" s="4">
        <v>-3</v>
      </c>
      <c r="Q1367" s="3" t="s">
        <v>26</v>
      </c>
      <c r="R1367" s="3">
        <v>0</v>
      </c>
      <c r="S1367" s="4">
        <v>0</v>
      </c>
      <c r="T1367" s="4">
        <v>27</v>
      </c>
      <c r="U1367" s="4">
        <v>100</v>
      </c>
      <c r="V1367" s="4">
        <f>IF(ISERROR(VLOOKUP($S$1367,'TAR FIN'!$A$1:$O$113,15,0)),0,VLOOKUP($S$1367,'TAR FIN'!$A$1:$O$113,15,0))</f>
        <v>0</v>
      </c>
      <c r="W1367" s="4">
        <f>IF(ISERROR(VLOOKUP($T$1367,'TAR FIN'!$A$1:$O$113,15,0)),0,VLOOKUP($T$1367,'TAR FIN'!$A$1:$O$113,15,0))</f>
        <v>184.7</v>
      </c>
      <c r="X1367" s="4">
        <f>IF(ISERROR(VLOOKUP($U$1367,'TAR FIN'!$A$1:$O$113,15,0)),0,VLOOKUP($U$1367,'TAR FIN'!$A$1:$O$113,15,0))</f>
        <v>140.54</v>
      </c>
      <c r="Y1367" s="4"/>
      <c r="Z136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7" s="4">
        <f>('TE BE'!$AA$21+'TE BF'!$AA$21+'TE CVA'!$AA$21)*(1-CUSTOS!$M$35)</f>
        <v>140.80759667545161</v>
      </c>
      <c r="AB1367" s="4">
        <f>$K$1367*$V$1367</f>
        <v>0</v>
      </c>
      <c r="AC1367" s="4">
        <f>$M$1367*$W$1367</f>
        <v>-146.0977</v>
      </c>
      <c r="AD1367" s="4">
        <f>$O$1367*$X$1367</f>
        <v>-111.16714</v>
      </c>
      <c r="AE1367" s="4">
        <f>$K$1367*$Y$1367</f>
        <v>0</v>
      </c>
      <c r="AF1367" s="4">
        <f ca="1">$M$1367*$Z$1367</f>
        <v>-169.26934480185596</v>
      </c>
      <c r="AG1367" s="4">
        <f>$O$1367*$AA$1367</f>
        <v>-111.37880897028222</v>
      </c>
    </row>
    <row r="1368" spans="1:33" ht="11.25" customHeight="1" x14ac:dyDescent="0.25">
      <c r="A1368" s="3" t="s">
        <v>28</v>
      </c>
      <c r="B1368" s="3" t="s">
        <v>22</v>
      </c>
      <c r="C1368" s="3" t="s">
        <v>23</v>
      </c>
      <c r="D1368" s="3" t="s">
        <v>24</v>
      </c>
      <c r="E1368" s="3" t="s">
        <v>30</v>
      </c>
      <c r="F1368" s="3" t="s">
        <v>25</v>
      </c>
      <c r="G1368" s="3" t="s">
        <v>25</v>
      </c>
      <c r="H1368" s="3" t="s">
        <v>25</v>
      </c>
      <c r="I1368" s="6">
        <v>44317</v>
      </c>
      <c r="J1368" s="4">
        <v>0</v>
      </c>
      <c r="K1368" s="4">
        <v>0</v>
      </c>
      <c r="L1368" s="4">
        <v>2.222</v>
      </c>
      <c r="M1368" s="4">
        <v>2.222</v>
      </c>
      <c r="N1368" s="4">
        <v>2.222</v>
      </c>
      <c r="O1368" s="4">
        <v>2.222</v>
      </c>
      <c r="P1368" s="4">
        <v>6</v>
      </c>
      <c r="Q1368" s="3" t="s">
        <v>26</v>
      </c>
      <c r="R1368" s="3">
        <v>0</v>
      </c>
      <c r="S1368" s="4">
        <v>0</v>
      </c>
      <c r="T1368" s="4">
        <v>27</v>
      </c>
      <c r="U1368" s="4">
        <v>100</v>
      </c>
      <c r="V1368" s="4">
        <f>IF(ISERROR(VLOOKUP($S$1368,'TAR FIN'!$A$1:$O$113,15,0)),0,VLOOKUP($S$1368,'TAR FIN'!$A$1:$O$113,15,0))</f>
        <v>0</v>
      </c>
      <c r="W1368" s="4">
        <f>IF(ISERROR(VLOOKUP($T$1368,'TAR FIN'!$A$1:$O$113,15,0)),0,VLOOKUP($T$1368,'TAR FIN'!$A$1:$O$113,15,0))</f>
        <v>184.7</v>
      </c>
      <c r="X1368" s="4">
        <f>IF(ISERROR(VLOOKUP($U$1368,'TAR FIN'!$A$1:$O$113,15,0)),0,VLOOKUP($U$1368,'TAR FIN'!$A$1:$O$113,15,0))</f>
        <v>140.54</v>
      </c>
      <c r="Y1368" s="4"/>
      <c r="Z136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8" s="4">
        <f>('TE BE'!$AA$21+'TE BF'!$AA$21+'TE CVA'!$AA$21)*(1-CUSTOS!$M$35)</f>
        <v>140.80759667545161</v>
      </c>
      <c r="AB1368" s="4">
        <f>$K$1368*$V$1368</f>
        <v>0</v>
      </c>
      <c r="AC1368" s="4">
        <f>$M$1368*$W$1368</f>
        <v>410.40339999999998</v>
      </c>
      <c r="AD1368" s="4">
        <f>$O$1368*$X$1368</f>
        <v>312.27987999999999</v>
      </c>
      <c r="AE1368" s="4">
        <f>$K$1368*$Y$1368</f>
        <v>0</v>
      </c>
      <c r="AF1368" s="4">
        <f ca="1">$M$1368*$Z$1368</f>
        <v>475.49492307171164</v>
      </c>
      <c r="AG1368" s="4">
        <f>$O$1368*$AA$1368</f>
        <v>312.87447981285345</v>
      </c>
    </row>
    <row r="1369" spans="1:33" ht="11.25" customHeight="1" x14ac:dyDescent="0.25">
      <c r="A1369" s="3" t="s">
        <v>21</v>
      </c>
      <c r="B1369" s="3" t="s">
        <v>22</v>
      </c>
      <c r="C1369" s="3" t="s">
        <v>23</v>
      </c>
      <c r="D1369" s="3" t="s">
        <v>24</v>
      </c>
      <c r="E1369" s="3" t="s">
        <v>30</v>
      </c>
      <c r="F1369" s="3" t="s">
        <v>25</v>
      </c>
      <c r="G1369" s="3" t="s">
        <v>25</v>
      </c>
      <c r="H1369" s="3" t="s">
        <v>25</v>
      </c>
      <c r="I1369" s="6">
        <v>44348</v>
      </c>
      <c r="J1369" s="4">
        <v>0</v>
      </c>
      <c r="K1369" s="4">
        <v>0</v>
      </c>
      <c r="L1369" s="4">
        <v>10714.004999999999</v>
      </c>
      <c r="M1369" s="4">
        <v>10714.004999999999</v>
      </c>
      <c r="N1369" s="4">
        <v>10714.004999999999</v>
      </c>
      <c r="O1369" s="4">
        <v>10714.004999999999</v>
      </c>
      <c r="P1369" s="4">
        <v>120776</v>
      </c>
      <c r="Q1369" s="3" t="s">
        <v>26</v>
      </c>
      <c r="R1369" s="3">
        <v>0</v>
      </c>
      <c r="S1369" s="4">
        <v>0</v>
      </c>
      <c r="T1369" s="4">
        <v>27</v>
      </c>
      <c r="U1369" s="4">
        <v>100</v>
      </c>
      <c r="V1369" s="4">
        <f>IF(ISERROR(VLOOKUP($S$1369,'TAR FIN'!$A$1:$O$113,15,0)),0,VLOOKUP($S$1369,'TAR FIN'!$A$1:$O$113,15,0))</f>
        <v>0</v>
      </c>
      <c r="W1369" s="4">
        <f>IF(ISERROR(VLOOKUP($T$1369,'TAR FIN'!$A$1:$O$113,15,0)),0,VLOOKUP($T$1369,'TAR FIN'!$A$1:$O$113,15,0))</f>
        <v>184.7</v>
      </c>
      <c r="X1369" s="4">
        <f>IF(ISERROR(VLOOKUP($U$1369,'TAR FIN'!$A$1:$O$113,15,0)),0,VLOOKUP($U$1369,'TAR FIN'!$A$1:$O$113,15,0))</f>
        <v>140.54</v>
      </c>
      <c r="Y1369" s="4"/>
      <c r="Z136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69" s="4">
        <f>('TE BE'!$AA$21+'TE BF'!$AA$21+'TE CVA'!$AA$21)*(1-CUSTOS!$M$35)</f>
        <v>140.80759667545161</v>
      </c>
      <c r="AB1369" s="4">
        <f>$K$1369*$V$1369</f>
        <v>0</v>
      </c>
      <c r="AC1369" s="4">
        <f>$M$1369*$W$1369</f>
        <v>1978876.7234999996</v>
      </c>
      <c r="AD1369" s="4">
        <f>$O$1369*$X$1369</f>
        <v>1505746.2626999998</v>
      </c>
      <c r="AE1369" s="4">
        <f>$K$1369*$Y$1369</f>
        <v>0</v>
      </c>
      <c r="AF1369" s="4">
        <f ca="1">$M$1369*$Z$1369</f>
        <v>2292734.0158708072</v>
      </c>
      <c r="AG1369" s="4">
        <f>$O$1369*$AA$1369</f>
        <v>1508613.2948187718</v>
      </c>
    </row>
    <row r="1370" spans="1:33" ht="11.25" customHeight="1" x14ac:dyDescent="0.25">
      <c r="A1370" s="3" t="s">
        <v>27</v>
      </c>
      <c r="B1370" s="3" t="s">
        <v>22</v>
      </c>
      <c r="C1370" s="3" t="s">
        <v>23</v>
      </c>
      <c r="D1370" s="3" t="s">
        <v>24</v>
      </c>
      <c r="E1370" s="3" t="s">
        <v>30</v>
      </c>
      <c r="F1370" s="3" t="s">
        <v>25</v>
      </c>
      <c r="G1370" s="3" t="s">
        <v>25</v>
      </c>
      <c r="H1370" s="3" t="s">
        <v>25</v>
      </c>
      <c r="I1370" s="6">
        <v>44348</v>
      </c>
      <c r="J1370" s="4">
        <v>0</v>
      </c>
      <c r="K1370" s="4">
        <v>0</v>
      </c>
      <c r="L1370" s="4">
        <v>-1.67</v>
      </c>
      <c r="M1370" s="4">
        <v>-1.67</v>
      </c>
      <c r="N1370" s="4">
        <v>-1.67</v>
      </c>
      <c r="O1370" s="4">
        <v>-1.67</v>
      </c>
      <c r="P1370" s="4">
        <v>-10</v>
      </c>
      <c r="Q1370" s="3" t="s">
        <v>26</v>
      </c>
      <c r="R1370" s="3">
        <v>0</v>
      </c>
      <c r="S1370" s="4">
        <v>0</v>
      </c>
      <c r="T1370" s="4">
        <v>27</v>
      </c>
      <c r="U1370" s="4">
        <v>100</v>
      </c>
      <c r="V1370" s="4">
        <f>IF(ISERROR(VLOOKUP($S$1370,'TAR FIN'!$A$1:$O$113,15,0)),0,VLOOKUP($S$1370,'TAR FIN'!$A$1:$O$113,15,0))</f>
        <v>0</v>
      </c>
      <c r="W1370" s="4">
        <f>IF(ISERROR(VLOOKUP($T$1370,'TAR FIN'!$A$1:$O$113,15,0)),0,VLOOKUP($T$1370,'TAR FIN'!$A$1:$O$113,15,0))</f>
        <v>184.7</v>
      </c>
      <c r="X1370" s="4">
        <f>IF(ISERROR(VLOOKUP($U$1370,'TAR FIN'!$A$1:$O$113,15,0)),0,VLOOKUP($U$1370,'TAR FIN'!$A$1:$O$113,15,0))</f>
        <v>140.54</v>
      </c>
      <c r="Y1370" s="4"/>
      <c r="Z137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0" s="4">
        <f>('TE BE'!$AA$21+'TE BF'!$AA$21+'TE CVA'!$AA$21)*(1-CUSTOS!$M$35)</f>
        <v>140.80759667545161</v>
      </c>
      <c r="AB1370" s="4">
        <f>$K$1370*$V$1370</f>
        <v>0</v>
      </c>
      <c r="AC1370" s="4">
        <f>$M$1370*$W$1370</f>
        <v>-308.44899999999996</v>
      </c>
      <c r="AD1370" s="4">
        <f>$O$1370*$X$1370</f>
        <v>-234.70179999999996</v>
      </c>
      <c r="AE1370" s="4">
        <f>$K$1370*$Y$1370</f>
        <v>0</v>
      </c>
      <c r="AF1370" s="4">
        <f ca="1">$M$1370*$Z$1370</f>
        <v>-357.37017170556186</v>
      </c>
      <c r="AG1370" s="4">
        <f>$O$1370*$AA$1370</f>
        <v>-235.14868644800418</v>
      </c>
    </row>
    <row r="1371" spans="1:33" ht="11.25" customHeight="1" x14ac:dyDescent="0.25">
      <c r="A1371" s="3" t="s">
        <v>28</v>
      </c>
      <c r="B1371" s="3" t="s">
        <v>22</v>
      </c>
      <c r="C1371" s="3" t="s">
        <v>23</v>
      </c>
      <c r="D1371" s="3" t="s">
        <v>24</v>
      </c>
      <c r="E1371" s="3" t="s">
        <v>30</v>
      </c>
      <c r="F1371" s="3" t="s">
        <v>25</v>
      </c>
      <c r="G1371" s="3" t="s">
        <v>25</v>
      </c>
      <c r="H1371" s="3" t="s">
        <v>25</v>
      </c>
      <c r="I1371" s="6">
        <v>44348</v>
      </c>
      <c r="J1371" s="4">
        <v>0</v>
      </c>
      <c r="K1371" s="4">
        <v>0</v>
      </c>
      <c r="L1371" s="4">
        <v>2.242</v>
      </c>
      <c r="M1371" s="4">
        <v>2.242</v>
      </c>
      <c r="N1371" s="4">
        <v>2.242</v>
      </c>
      <c r="O1371" s="4">
        <v>2.242</v>
      </c>
      <c r="P1371" s="4">
        <v>6</v>
      </c>
      <c r="Q1371" s="3" t="s">
        <v>26</v>
      </c>
      <c r="R1371" s="3">
        <v>0</v>
      </c>
      <c r="S1371" s="4">
        <v>0</v>
      </c>
      <c r="T1371" s="4">
        <v>27</v>
      </c>
      <c r="U1371" s="4">
        <v>100</v>
      </c>
      <c r="V1371" s="4">
        <f>IF(ISERROR(VLOOKUP($S$1371,'TAR FIN'!$A$1:$O$113,15,0)),0,VLOOKUP($S$1371,'TAR FIN'!$A$1:$O$113,15,0))</f>
        <v>0</v>
      </c>
      <c r="W1371" s="4">
        <f>IF(ISERROR(VLOOKUP($T$1371,'TAR FIN'!$A$1:$O$113,15,0)),0,VLOOKUP($T$1371,'TAR FIN'!$A$1:$O$113,15,0))</f>
        <v>184.7</v>
      </c>
      <c r="X1371" s="4">
        <f>IF(ISERROR(VLOOKUP($U$1371,'TAR FIN'!$A$1:$O$113,15,0)),0,VLOOKUP($U$1371,'TAR FIN'!$A$1:$O$113,15,0))</f>
        <v>140.54</v>
      </c>
      <c r="Y1371" s="4"/>
      <c r="Z137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1" s="4">
        <f>('TE BE'!$AA$21+'TE BF'!$AA$21+'TE CVA'!$AA$21)*(1-CUSTOS!$M$35)</f>
        <v>140.80759667545161</v>
      </c>
      <c r="AB1371" s="4">
        <f>$K$1371*$V$1371</f>
        <v>0</v>
      </c>
      <c r="AC1371" s="4">
        <f>$M$1371*$W$1371</f>
        <v>414.09739999999999</v>
      </c>
      <c r="AD1371" s="4">
        <f>$O$1371*$X$1371</f>
        <v>315.09067999999996</v>
      </c>
      <c r="AE1371" s="4">
        <f>$K$1371*$Y$1371</f>
        <v>0</v>
      </c>
      <c r="AF1371" s="4">
        <f ca="1">$M$1371*$Z$1371</f>
        <v>479.77480536758662</v>
      </c>
      <c r="AG1371" s="4">
        <f>$O$1371*$AA$1371</f>
        <v>315.6906317463625</v>
      </c>
    </row>
    <row r="1372" spans="1:33" ht="11.25" customHeight="1" x14ac:dyDescent="0.25">
      <c r="A1372" s="3" t="s">
        <v>21</v>
      </c>
      <c r="B1372" s="3" t="s">
        <v>22</v>
      </c>
      <c r="C1372" s="3" t="s">
        <v>23</v>
      </c>
      <c r="D1372" s="3" t="s">
        <v>24</v>
      </c>
      <c r="E1372" s="3" t="s">
        <v>30</v>
      </c>
      <c r="F1372" s="3" t="s">
        <v>25</v>
      </c>
      <c r="G1372" s="3" t="s">
        <v>25</v>
      </c>
      <c r="H1372" s="3" t="s">
        <v>25</v>
      </c>
      <c r="I1372" s="6">
        <v>44378</v>
      </c>
      <c r="J1372" s="4">
        <v>0</v>
      </c>
      <c r="K1372" s="4">
        <v>0</v>
      </c>
      <c r="L1372" s="4">
        <v>10670.163</v>
      </c>
      <c r="M1372" s="4">
        <v>10670.163</v>
      </c>
      <c r="N1372" s="4">
        <v>10670.163</v>
      </c>
      <c r="O1372" s="4">
        <v>10670.163</v>
      </c>
      <c r="P1372" s="4">
        <v>123431</v>
      </c>
      <c r="Q1372" s="3" t="s">
        <v>26</v>
      </c>
      <c r="R1372" s="3">
        <v>0</v>
      </c>
      <c r="S1372" s="4">
        <v>0</v>
      </c>
      <c r="T1372" s="4">
        <v>27</v>
      </c>
      <c r="U1372" s="4">
        <v>100</v>
      </c>
      <c r="V1372" s="4">
        <f>IF(ISERROR(VLOOKUP($S$1372,'TAR FIN'!$A$1:$O$113,15,0)),0,VLOOKUP($S$1372,'TAR FIN'!$A$1:$O$113,15,0))</f>
        <v>0</v>
      </c>
      <c r="W1372" s="4">
        <f>IF(ISERROR(VLOOKUP($T$1372,'TAR FIN'!$A$1:$O$113,15,0)),0,VLOOKUP($T$1372,'TAR FIN'!$A$1:$O$113,15,0))</f>
        <v>184.7</v>
      </c>
      <c r="X1372" s="4">
        <f>IF(ISERROR(VLOOKUP($U$1372,'TAR FIN'!$A$1:$O$113,15,0)),0,VLOOKUP($U$1372,'TAR FIN'!$A$1:$O$113,15,0))</f>
        <v>140.54</v>
      </c>
      <c r="Y1372" s="4"/>
      <c r="Z137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2" s="4">
        <f>('TE BE'!$AA$21+'TE BF'!$AA$21+'TE CVA'!$AA$21)*(1-CUSTOS!$M$35)</f>
        <v>140.80759667545161</v>
      </c>
      <c r="AB1372" s="4">
        <f>$K$1372*$V$1372</f>
        <v>0</v>
      </c>
      <c r="AC1372" s="4">
        <f>$M$1372*$W$1372</f>
        <v>1970779.1061</v>
      </c>
      <c r="AD1372" s="4">
        <f>$O$1372*$X$1372</f>
        <v>1499584.70802</v>
      </c>
      <c r="AE1372" s="4">
        <f>$K$1372*$Y$1372</f>
        <v>0</v>
      </c>
      <c r="AF1372" s="4">
        <f ca="1">$M$1372*$Z$1372</f>
        <v>2283352.0858900198</v>
      </c>
      <c r="AG1372" s="4">
        <f>$O$1372*$AA$1372</f>
        <v>1502440.0081653269</v>
      </c>
    </row>
    <row r="1373" spans="1:33" ht="11.25" customHeight="1" x14ac:dyDescent="0.25">
      <c r="A1373" s="3" t="s">
        <v>27</v>
      </c>
      <c r="B1373" s="3" t="s">
        <v>22</v>
      </c>
      <c r="C1373" s="3" t="s">
        <v>23</v>
      </c>
      <c r="D1373" s="3" t="s">
        <v>24</v>
      </c>
      <c r="E1373" s="3" t="s">
        <v>30</v>
      </c>
      <c r="F1373" s="3" t="s">
        <v>25</v>
      </c>
      <c r="G1373" s="3" t="s">
        <v>25</v>
      </c>
      <c r="H1373" s="3" t="s">
        <v>25</v>
      </c>
      <c r="I1373" s="6">
        <v>44378</v>
      </c>
      <c r="J1373" s="4">
        <v>0</v>
      </c>
      <c r="K1373" s="4">
        <v>0</v>
      </c>
      <c r="L1373" s="4">
        <v>-1.9139999999999999</v>
      </c>
      <c r="M1373" s="4">
        <v>-1.9139999999999999</v>
      </c>
      <c r="N1373" s="4">
        <v>-1.9139999999999999</v>
      </c>
      <c r="O1373" s="4">
        <v>-1.9139999999999999</v>
      </c>
      <c r="P1373" s="4">
        <v>-24</v>
      </c>
      <c r="Q1373" s="3" t="s">
        <v>26</v>
      </c>
      <c r="R1373" s="3">
        <v>0</v>
      </c>
      <c r="S1373" s="4">
        <v>0</v>
      </c>
      <c r="T1373" s="4">
        <v>27</v>
      </c>
      <c r="U1373" s="4">
        <v>100</v>
      </c>
      <c r="V1373" s="4">
        <f>IF(ISERROR(VLOOKUP($S$1373,'TAR FIN'!$A$1:$O$113,15,0)),0,VLOOKUP($S$1373,'TAR FIN'!$A$1:$O$113,15,0))</f>
        <v>0</v>
      </c>
      <c r="W1373" s="4">
        <f>IF(ISERROR(VLOOKUP($T$1373,'TAR FIN'!$A$1:$O$113,15,0)),0,VLOOKUP($T$1373,'TAR FIN'!$A$1:$O$113,15,0))</f>
        <v>184.7</v>
      </c>
      <c r="X1373" s="4">
        <f>IF(ISERROR(VLOOKUP($U$1373,'TAR FIN'!$A$1:$O$113,15,0)),0,VLOOKUP($U$1373,'TAR FIN'!$A$1:$O$113,15,0))</f>
        <v>140.54</v>
      </c>
      <c r="Y1373" s="4"/>
      <c r="Z137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3" s="4">
        <f>('TE BE'!$AA$21+'TE BF'!$AA$21+'TE CVA'!$AA$21)*(1-CUSTOS!$M$35)</f>
        <v>140.80759667545161</v>
      </c>
      <c r="AB1373" s="4">
        <f>$K$1373*$V$1373</f>
        <v>0</v>
      </c>
      <c r="AC1373" s="4">
        <f>$M$1373*$W$1373</f>
        <v>-353.51579999999996</v>
      </c>
      <c r="AD1373" s="4">
        <f>$O$1373*$X$1373</f>
        <v>-268.99356</v>
      </c>
      <c r="AE1373" s="4">
        <f>$K$1373*$Y$1373</f>
        <v>0</v>
      </c>
      <c r="AF1373" s="4">
        <f ca="1">$M$1373*$Z$1373</f>
        <v>-409.58473571523677</v>
      </c>
      <c r="AG1373" s="4">
        <f>$O$1373*$AA$1373</f>
        <v>-269.50574003681436</v>
      </c>
    </row>
    <row r="1374" spans="1:33" ht="11.25" customHeight="1" x14ac:dyDescent="0.25">
      <c r="A1374" s="3" t="s">
        <v>28</v>
      </c>
      <c r="B1374" s="3" t="s">
        <v>22</v>
      </c>
      <c r="C1374" s="3" t="s">
        <v>23</v>
      </c>
      <c r="D1374" s="3" t="s">
        <v>24</v>
      </c>
      <c r="E1374" s="3" t="s">
        <v>30</v>
      </c>
      <c r="F1374" s="3" t="s">
        <v>25</v>
      </c>
      <c r="G1374" s="3" t="s">
        <v>25</v>
      </c>
      <c r="H1374" s="3" t="s">
        <v>25</v>
      </c>
      <c r="I1374" s="6">
        <v>44378</v>
      </c>
      <c r="J1374" s="4">
        <v>0</v>
      </c>
      <c r="K1374" s="4">
        <v>0</v>
      </c>
      <c r="L1374" s="4">
        <v>2.36</v>
      </c>
      <c r="M1374" s="4">
        <v>2.36</v>
      </c>
      <c r="N1374" s="4">
        <v>2.36</v>
      </c>
      <c r="O1374" s="4">
        <v>2.36</v>
      </c>
      <c r="P1374" s="4">
        <v>10</v>
      </c>
      <c r="Q1374" s="3" t="s">
        <v>26</v>
      </c>
      <c r="R1374" s="3">
        <v>0</v>
      </c>
      <c r="S1374" s="4">
        <v>0</v>
      </c>
      <c r="T1374" s="4">
        <v>27</v>
      </c>
      <c r="U1374" s="4">
        <v>100</v>
      </c>
      <c r="V1374" s="4">
        <f>IF(ISERROR(VLOOKUP($S$1374,'TAR FIN'!$A$1:$O$113,15,0)),0,VLOOKUP($S$1374,'TAR FIN'!$A$1:$O$113,15,0))</f>
        <v>0</v>
      </c>
      <c r="W1374" s="4">
        <f>IF(ISERROR(VLOOKUP($T$1374,'TAR FIN'!$A$1:$O$113,15,0)),0,VLOOKUP($T$1374,'TAR FIN'!$A$1:$O$113,15,0))</f>
        <v>184.7</v>
      </c>
      <c r="X1374" s="4">
        <f>IF(ISERROR(VLOOKUP($U$1374,'TAR FIN'!$A$1:$O$113,15,0)),0,VLOOKUP($U$1374,'TAR FIN'!$A$1:$O$113,15,0))</f>
        <v>140.54</v>
      </c>
      <c r="Y1374" s="4"/>
      <c r="Z137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4" s="4">
        <f>('TE BE'!$AA$21+'TE BF'!$AA$21+'TE CVA'!$AA$21)*(1-CUSTOS!$M$35)</f>
        <v>140.80759667545161</v>
      </c>
      <c r="AB1374" s="4">
        <f>$K$1374*$V$1374</f>
        <v>0</v>
      </c>
      <c r="AC1374" s="4">
        <f>$M$1374*$W$1374</f>
        <v>435.89199999999994</v>
      </c>
      <c r="AD1374" s="4">
        <f>$O$1374*$X$1374</f>
        <v>331.67439999999999</v>
      </c>
      <c r="AE1374" s="4">
        <f>$K$1374*$Y$1374</f>
        <v>0</v>
      </c>
      <c r="AF1374" s="4">
        <f ca="1">$M$1374*$Z$1374</f>
        <v>505.02611091324906</v>
      </c>
      <c r="AG1374" s="4">
        <f>$O$1374*$AA$1374</f>
        <v>332.30592815406578</v>
      </c>
    </row>
    <row r="1375" spans="1:33" ht="11.25" customHeight="1" x14ac:dyDescent="0.25">
      <c r="A1375" s="3" t="s">
        <v>21</v>
      </c>
      <c r="B1375" s="3" t="s">
        <v>22</v>
      </c>
      <c r="C1375" s="3" t="s">
        <v>23</v>
      </c>
      <c r="D1375" s="3" t="s">
        <v>24</v>
      </c>
      <c r="E1375" s="3" t="s">
        <v>30</v>
      </c>
      <c r="F1375" s="3" t="s">
        <v>25</v>
      </c>
      <c r="G1375" s="3" t="s">
        <v>25</v>
      </c>
      <c r="H1375" s="3" t="s">
        <v>25</v>
      </c>
      <c r="I1375" s="6">
        <v>44409</v>
      </c>
      <c r="J1375" s="4">
        <v>0</v>
      </c>
      <c r="K1375" s="4">
        <v>0</v>
      </c>
      <c r="L1375" s="4">
        <v>10254.171</v>
      </c>
      <c r="M1375" s="4">
        <v>10254.171</v>
      </c>
      <c r="N1375" s="4">
        <v>10254.171</v>
      </c>
      <c r="O1375" s="4">
        <v>10254.171</v>
      </c>
      <c r="P1375" s="4">
        <v>131714</v>
      </c>
      <c r="Q1375" s="3" t="s">
        <v>26</v>
      </c>
      <c r="R1375" s="3">
        <v>0</v>
      </c>
      <c r="S1375" s="4">
        <v>0</v>
      </c>
      <c r="T1375" s="4">
        <v>27</v>
      </c>
      <c r="U1375" s="4">
        <v>100</v>
      </c>
      <c r="V1375" s="4">
        <f>IF(ISERROR(VLOOKUP($S$1375,'TAR FIN'!$A$1:$O$113,15,0)),0,VLOOKUP($S$1375,'TAR FIN'!$A$1:$O$113,15,0))</f>
        <v>0</v>
      </c>
      <c r="W1375" s="4">
        <f>IF(ISERROR(VLOOKUP($T$1375,'TAR FIN'!$A$1:$O$113,15,0)),0,VLOOKUP($T$1375,'TAR FIN'!$A$1:$O$113,15,0))</f>
        <v>184.7</v>
      </c>
      <c r="X1375" s="4">
        <f>IF(ISERROR(VLOOKUP($U$1375,'TAR FIN'!$A$1:$O$113,15,0)),0,VLOOKUP($U$1375,'TAR FIN'!$A$1:$O$113,15,0))</f>
        <v>140.54</v>
      </c>
      <c r="Y1375" s="4"/>
      <c r="Z137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5" s="4">
        <f>('TE BE'!$AA$21+'TE BF'!$AA$21+'TE CVA'!$AA$21)*(1-CUSTOS!$M$35)</f>
        <v>140.80759667545161</v>
      </c>
      <c r="AB1375" s="4">
        <f>$K$1375*$V$1375</f>
        <v>0</v>
      </c>
      <c r="AC1375" s="4">
        <f>$M$1375*$W$1375</f>
        <v>1893945.3836999999</v>
      </c>
      <c r="AD1375" s="4">
        <f>$O$1375*$X$1375</f>
        <v>1441121.1923400001</v>
      </c>
      <c r="AE1375" s="4">
        <f>$K$1375*$Y$1375</f>
        <v>0</v>
      </c>
      <c r="AF1375" s="4">
        <f ca="1">$M$1375*$Z$1375</f>
        <v>2194332.2460887386</v>
      </c>
      <c r="AG1375" s="4">
        <f>$O$1375*$AA$1375</f>
        <v>1443865.1744091122</v>
      </c>
    </row>
    <row r="1376" spans="1:33" ht="11.25" customHeight="1" x14ac:dyDescent="0.25">
      <c r="A1376" s="3" t="s">
        <v>27</v>
      </c>
      <c r="B1376" s="3" t="s">
        <v>22</v>
      </c>
      <c r="C1376" s="3" t="s">
        <v>23</v>
      </c>
      <c r="D1376" s="3" t="s">
        <v>24</v>
      </c>
      <c r="E1376" s="3" t="s">
        <v>30</v>
      </c>
      <c r="F1376" s="3" t="s">
        <v>25</v>
      </c>
      <c r="G1376" s="3" t="s">
        <v>25</v>
      </c>
      <c r="H1376" s="3" t="s">
        <v>25</v>
      </c>
      <c r="I1376" s="6">
        <v>44409</v>
      </c>
      <c r="J1376" s="4">
        <v>0</v>
      </c>
      <c r="K1376" s="4">
        <v>0</v>
      </c>
      <c r="L1376" s="4">
        <v>-1.6839999999999999</v>
      </c>
      <c r="M1376" s="4">
        <v>-1.6839999999999999</v>
      </c>
      <c r="N1376" s="4">
        <v>-1.6839999999999999</v>
      </c>
      <c r="O1376" s="4">
        <v>-1.6839999999999999</v>
      </c>
      <c r="P1376" s="4">
        <v>-17</v>
      </c>
      <c r="Q1376" s="3" t="s">
        <v>26</v>
      </c>
      <c r="R1376" s="3">
        <v>0</v>
      </c>
      <c r="S1376" s="4">
        <v>0</v>
      </c>
      <c r="T1376" s="4">
        <v>27</v>
      </c>
      <c r="U1376" s="4">
        <v>100</v>
      </c>
      <c r="V1376" s="4">
        <f>IF(ISERROR(VLOOKUP($S$1376,'TAR FIN'!$A$1:$O$113,15,0)),0,VLOOKUP($S$1376,'TAR FIN'!$A$1:$O$113,15,0))</f>
        <v>0</v>
      </c>
      <c r="W1376" s="4">
        <f>IF(ISERROR(VLOOKUP($T$1376,'TAR FIN'!$A$1:$O$113,15,0)),0,VLOOKUP($T$1376,'TAR FIN'!$A$1:$O$113,15,0))</f>
        <v>184.7</v>
      </c>
      <c r="X1376" s="4">
        <f>IF(ISERROR(VLOOKUP($U$1376,'TAR FIN'!$A$1:$O$113,15,0)),0,VLOOKUP($U$1376,'TAR FIN'!$A$1:$O$113,15,0))</f>
        <v>140.54</v>
      </c>
      <c r="Y1376" s="4"/>
      <c r="Z137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6" s="4">
        <f>('TE BE'!$AA$21+'TE BF'!$AA$21+'TE CVA'!$AA$21)*(1-CUSTOS!$M$35)</f>
        <v>140.80759667545161</v>
      </c>
      <c r="AB1376" s="4">
        <f>$K$1376*$V$1376</f>
        <v>0</v>
      </c>
      <c r="AC1376" s="4">
        <f>$M$1376*$W$1376</f>
        <v>-311.03479999999996</v>
      </c>
      <c r="AD1376" s="4">
        <f>$O$1376*$X$1376</f>
        <v>-236.66935999999998</v>
      </c>
      <c r="AE1376" s="4">
        <f>$K$1376*$Y$1376</f>
        <v>0</v>
      </c>
      <c r="AF1376" s="4">
        <f ca="1">$M$1376*$Z$1376</f>
        <v>-360.36608931267432</v>
      </c>
      <c r="AG1376" s="4">
        <f>$O$1376*$AA$1376</f>
        <v>-237.11999280146048</v>
      </c>
    </row>
    <row r="1377" spans="1:33" ht="11.25" customHeight="1" x14ac:dyDescent="0.25">
      <c r="A1377" s="3" t="s">
        <v>28</v>
      </c>
      <c r="B1377" s="3" t="s">
        <v>22</v>
      </c>
      <c r="C1377" s="3" t="s">
        <v>23</v>
      </c>
      <c r="D1377" s="3" t="s">
        <v>24</v>
      </c>
      <c r="E1377" s="3" t="s">
        <v>30</v>
      </c>
      <c r="F1377" s="3" t="s">
        <v>25</v>
      </c>
      <c r="G1377" s="3" t="s">
        <v>25</v>
      </c>
      <c r="H1377" s="3" t="s">
        <v>25</v>
      </c>
      <c r="I1377" s="6">
        <v>44409</v>
      </c>
      <c r="J1377" s="4">
        <v>0</v>
      </c>
      <c r="K1377" s="4">
        <v>0</v>
      </c>
      <c r="L1377" s="4">
        <v>2.266</v>
      </c>
      <c r="M1377" s="4">
        <v>2.266</v>
      </c>
      <c r="N1377" s="4">
        <v>2.266</v>
      </c>
      <c r="O1377" s="4">
        <v>2.266</v>
      </c>
      <c r="P1377" s="4">
        <v>11</v>
      </c>
      <c r="Q1377" s="3" t="s">
        <v>26</v>
      </c>
      <c r="R1377" s="3">
        <v>0</v>
      </c>
      <c r="S1377" s="4">
        <v>0</v>
      </c>
      <c r="T1377" s="4">
        <v>27</v>
      </c>
      <c r="U1377" s="4">
        <v>100</v>
      </c>
      <c r="V1377" s="4">
        <f>IF(ISERROR(VLOOKUP($S$1377,'TAR FIN'!$A$1:$O$113,15,0)),0,VLOOKUP($S$1377,'TAR FIN'!$A$1:$O$113,15,0))</f>
        <v>0</v>
      </c>
      <c r="W1377" s="4">
        <f>IF(ISERROR(VLOOKUP($T$1377,'TAR FIN'!$A$1:$O$113,15,0)),0,VLOOKUP($T$1377,'TAR FIN'!$A$1:$O$113,15,0))</f>
        <v>184.7</v>
      </c>
      <c r="X1377" s="4">
        <f>IF(ISERROR(VLOOKUP($U$1377,'TAR FIN'!$A$1:$O$113,15,0)),0,VLOOKUP($U$1377,'TAR FIN'!$A$1:$O$113,15,0))</f>
        <v>140.54</v>
      </c>
      <c r="Y1377" s="4"/>
      <c r="Z137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7" s="4">
        <f>('TE BE'!$AA$21+'TE BF'!$AA$21+'TE CVA'!$AA$21)*(1-CUSTOS!$M$35)</f>
        <v>140.80759667545161</v>
      </c>
      <c r="AB1377" s="4">
        <f>$K$1377*$V$1377</f>
        <v>0</v>
      </c>
      <c r="AC1377" s="4">
        <f>$M$1377*$W$1377</f>
        <v>418.53019999999998</v>
      </c>
      <c r="AD1377" s="4">
        <f>$O$1377*$X$1377</f>
        <v>318.46364</v>
      </c>
      <c r="AE1377" s="4">
        <f>$K$1377*$Y$1377</f>
        <v>0</v>
      </c>
      <c r="AF1377" s="4">
        <f ca="1">$M$1377*$Z$1377</f>
        <v>484.91066412263666</v>
      </c>
      <c r="AG1377" s="4">
        <f>$O$1377*$AA$1377</f>
        <v>319.07001406657332</v>
      </c>
    </row>
    <row r="1378" spans="1:33" ht="11.25" customHeight="1" x14ac:dyDescent="0.25">
      <c r="A1378" s="3" t="s">
        <v>21</v>
      </c>
      <c r="B1378" s="3" t="s">
        <v>22</v>
      </c>
      <c r="C1378" s="3" t="s">
        <v>23</v>
      </c>
      <c r="D1378" s="3" t="s">
        <v>24</v>
      </c>
      <c r="E1378" s="3" t="s">
        <v>30</v>
      </c>
      <c r="F1378" s="3" t="s">
        <v>25</v>
      </c>
      <c r="G1378" s="3" t="s">
        <v>25</v>
      </c>
      <c r="H1378" s="3" t="s">
        <v>25</v>
      </c>
      <c r="I1378" s="6">
        <v>44440</v>
      </c>
      <c r="J1378" s="4">
        <v>0</v>
      </c>
      <c r="K1378" s="4">
        <v>0</v>
      </c>
      <c r="L1378" s="4">
        <v>10326.647999999999</v>
      </c>
      <c r="M1378" s="4">
        <v>10326.647999999999</v>
      </c>
      <c r="N1378" s="4">
        <v>10326.647999999999</v>
      </c>
      <c r="O1378" s="4">
        <v>10326.647999999999</v>
      </c>
      <c r="P1378" s="4">
        <v>128109</v>
      </c>
      <c r="Q1378" s="3" t="s">
        <v>26</v>
      </c>
      <c r="R1378" s="3">
        <v>0</v>
      </c>
      <c r="S1378" s="4">
        <v>0</v>
      </c>
      <c r="T1378" s="4">
        <v>27</v>
      </c>
      <c r="U1378" s="4">
        <v>100</v>
      </c>
      <c r="V1378" s="4">
        <f>IF(ISERROR(VLOOKUP($S$1378,'TAR FIN'!$A$1:$O$113,15,0)),0,VLOOKUP($S$1378,'TAR FIN'!$A$1:$O$113,15,0))</f>
        <v>0</v>
      </c>
      <c r="W1378" s="4">
        <f>IF(ISERROR(VLOOKUP($T$1378,'TAR FIN'!$A$1:$O$113,15,0)),0,VLOOKUP($T$1378,'TAR FIN'!$A$1:$O$113,15,0))</f>
        <v>184.7</v>
      </c>
      <c r="X1378" s="4">
        <f>IF(ISERROR(VLOOKUP($U$1378,'TAR FIN'!$A$1:$O$113,15,0)),0,VLOOKUP($U$1378,'TAR FIN'!$A$1:$O$113,15,0))</f>
        <v>140.54</v>
      </c>
      <c r="Y1378" s="4"/>
      <c r="Z137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8" s="4">
        <f>('TE BE'!$AA$21+'TE BF'!$AA$21+'TE CVA'!$AA$21)*(1-CUSTOS!$M$35)</f>
        <v>140.80759667545161</v>
      </c>
      <c r="AB1378" s="4">
        <f>$K$1378*$V$1378</f>
        <v>0</v>
      </c>
      <c r="AC1378" s="4">
        <f>$M$1378*$W$1378</f>
        <v>1907331.8855999997</v>
      </c>
      <c r="AD1378" s="4">
        <f>$O$1378*$X$1378</f>
        <v>1451307.1099199997</v>
      </c>
      <c r="AE1378" s="4">
        <f>$K$1378*$Y$1378</f>
        <v>0</v>
      </c>
      <c r="AF1378" s="4">
        <f ca="1">$M$1378*$Z$1378</f>
        <v>2209841.8975466448</v>
      </c>
      <c r="AG1378" s="4">
        <f>$O$1378*$AA$1378</f>
        <v>1454070.4865933589</v>
      </c>
    </row>
    <row r="1379" spans="1:33" ht="11.25" customHeight="1" x14ac:dyDescent="0.25">
      <c r="A1379" s="3" t="s">
        <v>27</v>
      </c>
      <c r="B1379" s="3" t="s">
        <v>22</v>
      </c>
      <c r="C1379" s="3" t="s">
        <v>23</v>
      </c>
      <c r="D1379" s="3" t="s">
        <v>24</v>
      </c>
      <c r="E1379" s="3" t="s">
        <v>30</v>
      </c>
      <c r="F1379" s="3" t="s">
        <v>25</v>
      </c>
      <c r="G1379" s="3" t="s">
        <v>25</v>
      </c>
      <c r="H1379" s="3" t="s">
        <v>25</v>
      </c>
      <c r="I1379" s="6">
        <v>44440</v>
      </c>
      <c r="J1379" s="4">
        <v>0</v>
      </c>
      <c r="K1379" s="4">
        <v>0</v>
      </c>
      <c r="L1379" s="4">
        <v>-2.097</v>
      </c>
      <c r="M1379" s="4">
        <v>-2.097</v>
      </c>
      <c r="N1379" s="4">
        <v>-2.097</v>
      </c>
      <c r="O1379" s="4">
        <v>-2.097</v>
      </c>
      <c r="P1379" s="4">
        <v>-17</v>
      </c>
      <c r="Q1379" s="3" t="s">
        <v>26</v>
      </c>
      <c r="R1379" s="3">
        <v>0</v>
      </c>
      <c r="S1379" s="4">
        <v>0</v>
      </c>
      <c r="T1379" s="4">
        <v>27</v>
      </c>
      <c r="U1379" s="4">
        <v>100</v>
      </c>
      <c r="V1379" s="4">
        <f>IF(ISERROR(VLOOKUP($S$1379,'TAR FIN'!$A$1:$O$113,15,0)),0,VLOOKUP($S$1379,'TAR FIN'!$A$1:$O$113,15,0))</f>
        <v>0</v>
      </c>
      <c r="W1379" s="4">
        <f>IF(ISERROR(VLOOKUP($T$1379,'TAR FIN'!$A$1:$O$113,15,0)),0,VLOOKUP($T$1379,'TAR FIN'!$A$1:$O$113,15,0))</f>
        <v>184.7</v>
      </c>
      <c r="X1379" s="4">
        <f>IF(ISERROR(VLOOKUP($U$1379,'TAR FIN'!$A$1:$O$113,15,0)),0,VLOOKUP($U$1379,'TAR FIN'!$A$1:$O$113,15,0))</f>
        <v>140.54</v>
      </c>
      <c r="Y1379" s="4"/>
      <c r="Z137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79" s="4">
        <f>('TE BE'!$AA$21+'TE BF'!$AA$21+'TE CVA'!$AA$21)*(1-CUSTOS!$M$35)</f>
        <v>140.80759667545161</v>
      </c>
      <c r="AB1379" s="4">
        <f>$K$1379*$V$1379</f>
        <v>0</v>
      </c>
      <c r="AC1379" s="4">
        <f>$M$1379*$W$1379</f>
        <v>-387.3159</v>
      </c>
      <c r="AD1379" s="4">
        <f>$O$1379*$X$1379</f>
        <v>-294.71238</v>
      </c>
      <c r="AE1379" s="4">
        <f>$K$1379*$Y$1379</f>
        <v>0</v>
      </c>
      <c r="AF1379" s="4">
        <f ca="1">$M$1379*$Z$1379</f>
        <v>-448.74565872249292</v>
      </c>
      <c r="AG1379" s="4">
        <f>$O$1379*$AA$1379</f>
        <v>-295.27353022842203</v>
      </c>
    </row>
    <row r="1380" spans="1:33" ht="11.25" customHeight="1" x14ac:dyDescent="0.25">
      <c r="A1380" s="3" t="s">
        <v>28</v>
      </c>
      <c r="B1380" s="3" t="s">
        <v>22</v>
      </c>
      <c r="C1380" s="3" t="s">
        <v>23</v>
      </c>
      <c r="D1380" s="3" t="s">
        <v>24</v>
      </c>
      <c r="E1380" s="3" t="s">
        <v>30</v>
      </c>
      <c r="F1380" s="3" t="s">
        <v>25</v>
      </c>
      <c r="G1380" s="3" t="s">
        <v>25</v>
      </c>
      <c r="H1380" s="3" t="s">
        <v>25</v>
      </c>
      <c r="I1380" s="6">
        <v>44440</v>
      </c>
      <c r="J1380" s="4">
        <v>0</v>
      </c>
      <c r="K1380" s="4">
        <v>0</v>
      </c>
      <c r="L1380" s="4">
        <v>2.266</v>
      </c>
      <c r="M1380" s="4">
        <v>2.266</v>
      </c>
      <c r="N1380" s="4">
        <v>2.266</v>
      </c>
      <c r="O1380" s="4">
        <v>2.266</v>
      </c>
      <c r="P1380" s="4">
        <v>11</v>
      </c>
      <c r="Q1380" s="3" t="s">
        <v>26</v>
      </c>
      <c r="R1380" s="3">
        <v>0</v>
      </c>
      <c r="S1380" s="4">
        <v>0</v>
      </c>
      <c r="T1380" s="4">
        <v>27</v>
      </c>
      <c r="U1380" s="4">
        <v>100</v>
      </c>
      <c r="V1380" s="4">
        <f>IF(ISERROR(VLOOKUP($S$1380,'TAR FIN'!$A$1:$O$113,15,0)),0,VLOOKUP($S$1380,'TAR FIN'!$A$1:$O$113,15,0))</f>
        <v>0</v>
      </c>
      <c r="W1380" s="4">
        <f>IF(ISERROR(VLOOKUP($T$1380,'TAR FIN'!$A$1:$O$113,15,0)),0,VLOOKUP($T$1380,'TAR FIN'!$A$1:$O$113,15,0))</f>
        <v>184.7</v>
      </c>
      <c r="X1380" s="4">
        <f>IF(ISERROR(VLOOKUP($U$1380,'TAR FIN'!$A$1:$O$113,15,0)),0,VLOOKUP($U$1380,'TAR FIN'!$A$1:$O$113,15,0))</f>
        <v>140.54</v>
      </c>
      <c r="Y1380" s="4"/>
      <c r="Z138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0" s="4">
        <f>('TE BE'!$AA$21+'TE BF'!$AA$21+'TE CVA'!$AA$21)*(1-CUSTOS!$M$35)</f>
        <v>140.80759667545161</v>
      </c>
      <c r="AB1380" s="4">
        <f>$K$1380*$V$1380</f>
        <v>0</v>
      </c>
      <c r="AC1380" s="4">
        <f>$M$1380*$W$1380</f>
        <v>418.53019999999998</v>
      </c>
      <c r="AD1380" s="4">
        <f>$O$1380*$X$1380</f>
        <v>318.46364</v>
      </c>
      <c r="AE1380" s="4">
        <f>$K$1380*$Y$1380</f>
        <v>0</v>
      </c>
      <c r="AF1380" s="4">
        <f ca="1">$M$1380*$Z$1380</f>
        <v>484.91066412263666</v>
      </c>
      <c r="AG1380" s="4">
        <f>$O$1380*$AA$1380</f>
        <v>319.07001406657332</v>
      </c>
    </row>
    <row r="1381" spans="1:33" ht="11.25" customHeight="1" x14ac:dyDescent="0.25">
      <c r="A1381" s="3" t="s">
        <v>21</v>
      </c>
      <c r="B1381" s="3" t="s">
        <v>22</v>
      </c>
      <c r="C1381" s="3" t="s">
        <v>23</v>
      </c>
      <c r="D1381" s="3" t="s">
        <v>24</v>
      </c>
      <c r="E1381" s="3" t="s">
        <v>30</v>
      </c>
      <c r="F1381" s="3" t="s">
        <v>25</v>
      </c>
      <c r="G1381" s="3" t="s">
        <v>25</v>
      </c>
      <c r="H1381" s="3" t="s">
        <v>25</v>
      </c>
      <c r="I1381" s="6">
        <v>44470</v>
      </c>
      <c r="J1381" s="4">
        <v>0</v>
      </c>
      <c r="K1381" s="4">
        <v>0</v>
      </c>
      <c r="L1381" s="4">
        <v>10969.75</v>
      </c>
      <c r="M1381" s="4">
        <v>10969.75</v>
      </c>
      <c r="N1381" s="4">
        <v>10969.75</v>
      </c>
      <c r="O1381" s="4">
        <v>10969.75</v>
      </c>
      <c r="P1381" s="4">
        <v>120014</v>
      </c>
      <c r="Q1381" s="3" t="s">
        <v>26</v>
      </c>
      <c r="R1381" s="3">
        <v>0</v>
      </c>
      <c r="S1381" s="4">
        <v>0</v>
      </c>
      <c r="T1381" s="4">
        <v>27</v>
      </c>
      <c r="U1381" s="4">
        <v>100</v>
      </c>
      <c r="V1381" s="4">
        <f>IF(ISERROR(VLOOKUP($S$1381,'TAR FIN'!$A$1:$O$113,15,0)),0,VLOOKUP($S$1381,'TAR FIN'!$A$1:$O$113,15,0))</f>
        <v>0</v>
      </c>
      <c r="W1381" s="4">
        <f>IF(ISERROR(VLOOKUP($T$1381,'TAR FIN'!$A$1:$O$113,15,0)),0,VLOOKUP($T$1381,'TAR FIN'!$A$1:$O$113,15,0))</f>
        <v>184.7</v>
      </c>
      <c r="X1381" s="4">
        <f>IF(ISERROR(VLOOKUP($U$1381,'TAR FIN'!$A$1:$O$113,15,0)),0,VLOOKUP($U$1381,'TAR FIN'!$A$1:$O$113,15,0))</f>
        <v>140.54</v>
      </c>
      <c r="Y1381" s="4"/>
      <c r="Z138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1" s="4">
        <f>('TE BE'!$AA$21+'TE BF'!$AA$21+'TE CVA'!$AA$21)*(1-CUSTOS!$M$35)</f>
        <v>140.80759667545161</v>
      </c>
      <c r="AB1381" s="4">
        <f>$K$1381*$V$1381</f>
        <v>0</v>
      </c>
      <c r="AC1381" s="4">
        <f>$M$1381*$W$1381</f>
        <v>2026112.825</v>
      </c>
      <c r="AD1381" s="4">
        <f>$O$1381*$X$1381</f>
        <v>1541688.6649999998</v>
      </c>
      <c r="AE1381" s="4">
        <f>$K$1381*$Y$1381</f>
        <v>0</v>
      </c>
      <c r="AF1381" s="4">
        <f ca="1">$M$1381*$Z$1381</f>
        <v>2347461.9407587349</v>
      </c>
      <c r="AG1381" s="4">
        <f>$O$1381*$AA$1381</f>
        <v>1544624.1336305353</v>
      </c>
    </row>
    <row r="1382" spans="1:33" ht="11.25" customHeight="1" x14ac:dyDescent="0.25">
      <c r="A1382" s="3" t="s">
        <v>27</v>
      </c>
      <c r="B1382" s="3" t="s">
        <v>22</v>
      </c>
      <c r="C1382" s="3" t="s">
        <v>23</v>
      </c>
      <c r="D1382" s="3" t="s">
        <v>24</v>
      </c>
      <c r="E1382" s="3" t="s">
        <v>30</v>
      </c>
      <c r="F1382" s="3" t="s">
        <v>25</v>
      </c>
      <c r="G1382" s="3" t="s">
        <v>25</v>
      </c>
      <c r="H1382" s="3" t="s">
        <v>25</v>
      </c>
      <c r="I1382" s="6">
        <v>44470</v>
      </c>
      <c r="J1382" s="4">
        <v>0</v>
      </c>
      <c r="K1382" s="4">
        <v>0</v>
      </c>
      <c r="L1382" s="4">
        <v>-2.4649999999999999</v>
      </c>
      <c r="M1382" s="4">
        <v>-2.4649999999999999</v>
      </c>
      <c r="N1382" s="4">
        <v>-2.4649999999999999</v>
      </c>
      <c r="O1382" s="4">
        <v>-2.4649999999999999</v>
      </c>
      <c r="P1382" s="4">
        <v>-13</v>
      </c>
      <c r="Q1382" s="3" t="s">
        <v>26</v>
      </c>
      <c r="R1382" s="3">
        <v>0</v>
      </c>
      <c r="S1382" s="4">
        <v>0</v>
      </c>
      <c r="T1382" s="4">
        <v>27</v>
      </c>
      <c r="U1382" s="4">
        <v>100</v>
      </c>
      <c r="V1382" s="4">
        <f>IF(ISERROR(VLOOKUP($S$1382,'TAR FIN'!$A$1:$O$113,15,0)),0,VLOOKUP($S$1382,'TAR FIN'!$A$1:$O$113,15,0))</f>
        <v>0</v>
      </c>
      <c r="W1382" s="4">
        <f>IF(ISERROR(VLOOKUP($T$1382,'TAR FIN'!$A$1:$O$113,15,0)),0,VLOOKUP($T$1382,'TAR FIN'!$A$1:$O$113,15,0))</f>
        <v>184.7</v>
      </c>
      <c r="X1382" s="4">
        <f>IF(ISERROR(VLOOKUP($U$1382,'TAR FIN'!$A$1:$O$113,15,0)),0,VLOOKUP($U$1382,'TAR FIN'!$A$1:$O$113,15,0))</f>
        <v>140.54</v>
      </c>
      <c r="Y1382" s="4"/>
      <c r="Z138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2" s="4">
        <f>('TE BE'!$AA$21+'TE BF'!$AA$21+'TE CVA'!$AA$21)*(1-CUSTOS!$M$35)</f>
        <v>140.80759667545161</v>
      </c>
      <c r="AB1382" s="4">
        <f>$K$1382*$V$1382</f>
        <v>0</v>
      </c>
      <c r="AC1382" s="4">
        <f>$M$1382*$W$1382</f>
        <v>-455.28549999999996</v>
      </c>
      <c r="AD1382" s="4">
        <f>$O$1382*$X$1382</f>
        <v>-346.43109999999996</v>
      </c>
      <c r="AE1382" s="4">
        <f>$K$1382*$Y$1382</f>
        <v>0</v>
      </c>
      <c r="AF1382" s="4">
        <f ca="1">$M$1382*$Z$1382</f>
        <v>-527.49549296659279</v>
      </c>
      <c r="AG1382" s="4">
        <f>$O$1382*$AA$1382</f>
        <v>-347.09072580498821</v>
      </c>
    </row>
    <row r="1383" spans="1:33" ht="11.25" customHeight="1" x14ac:dyDescent="0.25">
      <c r="A1383" s="3" t="s">
        <v>28</v>
      </c>
      <c r="B1383" s="3" t="s">
        <v>22</v>
      </c>
      <c r="C1383" s="3" t="s">
        <v>23</v>
      </c>
      <c r="D1383" s="3" t="s">
        <v>24</v>
      </c>
      <c r="E1383" s="3" t="s">
        <v>30</v>
      </c>
      <c r="F1383" s="3" t="s">
        <v>25</v>
      </c>
      <c r="G1383" s="3" t="s">
        <v>25</v>
      </c>
      <c r="H1383" s="3" t="s">
        <v>25</v>
      </c>
      <c r="I1383" s="6">
        <v>44470</v>
      </c>
      <c r="J1383" s="4">
        <v>0</v>
      </c>
      <c r="K1383" s="4">
        <v>0</v>
      </c>
      <c r="L1383" s="4">
        <v>2.5099999999999998</v>
      </c>
      <c r="M1383" s="4">
        <v>2.5099999999999998</v>
      </c>
      <c r="N1383" s="4">
        <v>2.5099999999999998</v>
      </c>
      <c r="O1383" s="4">
        <v>2.5099999999999998</v>
      </c>
      <c r="P1383" s="4">
        <v>11</v>
      </c>
      <c r="Q1383" s="3" t="s">
        <v>26</v>
      </c>
      <c r="R1383" s="3">
        <v>0</v>
      </c>
      <c r="S1383" s="4">
        <v>0</v>
      </c>
      <c r="T1383" s="4">
        <v>27</v>
      </c>
      <c r="U1383" s="4">
        <v>100</v>
      </c>
      <c r="V1383" s="4">
        <f>IF(ISERROR(VLOOKUP($S$1383,'TAR FIN'!$A$1:$O$113,15,0)),0,VLOOKUP($S$1383,'TAR FIN'!$A$1:$O$113,15,0))</f>
        <v>0</v>
      </c>
      <c r="W1383" s="4">
        <f>IF(ISERROR(VLOOKUP($T$1383,'TAR FIN'!$A$1:$O$113,15,0)),0,VLOOKUP($T$1383,'TAR FIN'!$A$1:$O$113,15,0))</f>
        <v>184.7</v>
      </c>
      <c r="X1383" s="4">
        <f>IF(ISERROR(VLOOKUP($U$1383,'TAR FIN'!$A$1:$O$113,15,0)),0,VLOOKUP($U$1383,'TAR FIN'!$A$1:$O$113,15,0))</f>
        <v>140.54</v>
      </c>
      <c r="Y1383" s="4"/>
      <c r="Z138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3" s="4">
        <f>('TE BE'!$AA$21+'TE BF'!$AA$21+'TE CVA'!$AA$21)*(1-CUSTOS!$M$35)</f>
        <v>140.80759667545161</v>
      </c>
      <c r="AB1383" s="4">
        <f>$K$1383*$V$1383</f>
        <v>0</v>
      </c>
      <c r="AC1383" s="4">
        <f>$M$1383*$W$1383</f>
        <v>463.59699999999992</v>
      </c>
      <c r="AD1383" s="4">
        <f>$O$1383*$X$1383</f>
        <v>352.75539999999995</v>
      </c>
      <c r="AE1383" s="4">
        <f>$K$1383*$Y$1383</f>
        <v>0</v>
      </c>
      <c r="AF1383" s="4">
        <f ca="1">$M$1383*$Z$1383</f>
        <v>537.12522813231146</v>
      </c>
      <c r="AG1383" s="4">
        <f>$O$1383*$AA$1383</f>
        <v>353.4270676553835</v>
      </c>
    </row>
    <row r="1384" spans="1:33" ht="11.25" customHeight="1" x14ac:dyDescent="0.25">
      <c r="A1384" s="3" t="s">
        <v>21</v>
      </c>
      <c r="B1384" s="3" t="s">
        <v>22</v>
      </c>
      <c r="C1384" s="3" t="s">
        <v>23</v>
      </c>
      <c r="D1384" s="3" t="s">
        <v>24</v>
      </c>
      <c r="E1384" s="3" t="s">
        <v>30</v>
      </c>
      <c r="F1384" s="3" t="s">
        <v>25</v>
      </c>
      <c r="G1384" s="3" t="s">
        <v>25</v>
      </c>
      <c r="H1384" s="3" t="s">
        <v>25</v>
      </c>
      <c r="I1384" s="6">
        <v>44501</v>
      </c>
      <c r="J1384" s="4">
        <v>0</v>
      </c>
      <c r="K1384" s="4">
        <v>0</v>
      </c>
      <c r="L1384" s="4">
        <v>11186.839</v>
      </c>
      <c r="M1384" s="4">
        <v>11186.839</v>
      </c>
      <c r="N1384" s="4">
        <v>11186.839</v>
      </c>
      <c r="O1384" s="4">
        <v>11186.839</v>
      </c>
      <c r="P1384" s="4">
        <v>116155</v>
      </c>
      <c r="Q1384" s="3" t="s">
        <v>26</v>
      </c>
      <c r="R1384" s="3">
        <v>0</v>
      </c>
      <c r="S1384" s="4">
        <v>0</v>
      </c>
      <c r="T1384" s="4">
        <v>27</v>
      </c>
      <c r="U1384" s="4">
        <v>100</v>
      </c>
      <c r="V1384" s="4">
        <f>IF(ISERROR(VLOOKUP($S$1384,'TAR FIN'!$A$1:$O$113,15,0)),0,VLOOKUP($S$1384,'TAR FIN'!$A$1:$O$113,15,0))</f>
        <v>0</v>
      </c>
      <c r="W1384" s="4">
        <f>IF(ISERROR(VLOOKUP($T$1384,'TAR FIN'!$A$1:$O$113,15,0)),0,VLOOKUP($T$1384,'TAR FIN'!$A$1:$O$113,15,0))</f>
        <v>184.7</v>
      </c>
      <c r="X1384" s="4">
        <f>IF(ISERROR(VLOOKUP($U$1384,'TAR FIN'!$A$1:$O$113,15,0)),0,VLOOKUP($U$1384,'TAR FIN'!$A$1:$O$113,15,0))</f>
        <v>140.54</v>
      </c>
      <c r="Y1384" s="4"/>
      <c r="Z138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4" s="4">
        <f>('TE BE'!$AA$21+'TE BF'!$AA$21+'TE CVA'!$AA$21)*(1-CUSTOS!$M$35)</f>
        <v>140.80759667545161</v>
      </c>
      <c r="AB1384" s="4">
        <f>$K$1384*$V$1384</f>
        <v>0</v>
      </c>
      <c r="AC1384" s="4">
        <f>$M$1384*$W$1384</f>
        <v>2066209.1632999999</v>
      </c>
      <c r="AD1384" s="4">
        <f>$O$1384*$X$1384</f>
        <v>1572198.3530599999</v>
      </c>
      <c r="AE1384" s="4">
        <f>$K$1384*$Y$1384</f>
        <v>0</v>
      </c>
      <c r="AF1384" s="4">
        <f ca="1">$M$1384*$Z$1384</f>
        <v>2393917.7091451953</v>
      </c>
      <c r="AG1384" s="4">
        <f>$O$1384*$AA$1384</f>
        <v>1575191.9139852123</v>
      </c>
    </row>
    <row r="1385" spans="1:33" ht="11.25" customHeight="1" x14ac:dyDescent="0.25">
      <c r="A1385" s="3" t="s">
        <v>27</v>
      </c>
      <c r="B1385" s="3" t="s">
        <v>22</v>
      </c>
      <c r="C1385" s="3" t="s">
        <v>23</v>
      </c>
      <c r="D1385" s="3" t="s">
        <v>24</v>
      </c>
      <c r="E1385" s="3" t="s">
        <v>30</v>
      </c>
      <c r="F1385" s="3" t="s">
        <v>25</v>
      </c>
      <c r="G1385" s="3" t="s">
        <v>25</v>
      </c>
      <c r="H1385" s="3" t="s">
        <v>25</v>
      </c>
      <c r="I1385" s="6">
        <v>44501</v>
      </c>
      <c r="J1385" s="4">
        <v>0</v>
      </c>
      <c r="K1385" s="4">
        <v>0</v>
      </c>
      <c r="L1385" s="4">
        <v>-2.331</v>
      </c>
      <c r="M1385" s="4">
        <v>-2.331</v>
      </c>
      <c r="N1385" s="4">
        <v>-2.331</v>
      </c>
      <c r="O1385" s="4">
        <v>-2.331</v>
      </c>
      <c r="P1385" s="4">
        <v>-13</v>
      </c>
      <c r="Q1385" s="3" t="s">
        <v>26</v>
      </c>
      <c r="R1385" s="3">
        <v>0</v>
      </c>
      <c r="S1385" s="4">
        <v>0</v>
      </c>
      <c r="T1385" s="4">
        <v>27</v>
      </c>
      <c r="U1385" s="4">
        <v>100</v>
      </c>
      <c r="V1385" s="4">
        <f>IF(ISERROR(VLOOKUP($S$1385,'TAR FIN'!$A$1:$O$113,15,0)),0,VLOOKUP($S$1385,'TAR FIN'!$A$1:$O$113,15,0))</f>
        <v>0</v>
      </c>
      <c r="W1385" s="4">
        <f>IF(ISERROR(VLOOKUP($T$1385,'TAR FIN'!$A$1:$O$113,15,0)),0,VLOOKUP($T$1385,'TAR FIN'!$A$1:$O$113,15,0))</f>
        <v>184.7</v>
      </c>
      <c r="X1385" s="4">
        <f>IF(ISERROR(VLOOKUP($U$1385,'TAR FIN'!$A$1:$O$113,15,0)),0,VLOOKUP($U$1385,'TAR FIN'!$A$1:$O$113,15,0))</f>
        <v>140.54</v>
      </c>
      <c r="Y1385" s="4"/>
      <c r="Z138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5" s="4">
        <f>('TE BE'!$AA$21+'TE BF'!$AA$21+'TE CVA'!$AA$21)*(1-CUSTOS!$M$35)</f>
        <v>140.80759667545161</v>
      </c>
      <c r="AB1385" s="4">
        <f>$K$1385*$V$1385</f>
        <v>0</v>
      </c>
      <c r="AC1385" s="4">
        <f>$M$1385*$W$1385</f>
        <v>-430.53569999999996</v>
      </c>
      <c r="AD1385" s="4">
        <f>$O$1385*$X$1385</f>
        <v>-327.59873999999996</v>
      </c>
      <c r="AE1385" s="4">
        <f>$K$1385*$Y$1385</f>
        <v>0</v>
      </c>
      <c r="AF1385" s="4">
        <f ca="1">$M$1385*$Z$1385</f>
        <v>-498.82028158423037</v>
      </c>
      <c r="AG1385" s="4">
        <f>$O$1385*$AA$1385</f>
        <v>-328.22250785047771</v>
      </c>
    </row>
    <row r="1386" spans="1:33" ht="11.25" customHeight="1" x14ac:dyDescent="0.25">
      <c r="A1386" s="3" t="s">
        <v>28</v>
      </c>
      <c r="B1386" s="3" t="s">
        <v>22</v>
      </c>
      <c r="C1386" s="3" t="s">
        <v>23</v>
      </c>
      <c r="D1386" s="3" t="s">
        <v>24</v>
      </c>
      <c r="E1386" s="3" t="s">
        <v>30</v>
      </c>
      <c r="F1386" s="3" t="s">
        <v>25</v>
      </c>
      <c r="G1386" s="3" t="s">
        <v>25</v>
      </c>
      <c r="H1386" s="3" t="s">
        <v>25</v>
      </c>
      <c r="I1386" s="6">
        <v>44501</v>
      </c>
      <c r="J1386" s="4">
        <v>0</v>
      </c>
      <c r="K1386" s="4">
        <v>0</v>
      </c>
      <c r="L1386" s="4">
        <v>2.714</v>
      </c>
      <c r="M1386" s="4">
        <v>2.714</v>
      </c>
      <c r="N1386" s="4">
        <v>2.714</v>
      </c>
      <c r="O1386" s="4">
        <v>2.714</v>
      </c>
      <c r="P1386" s="4">
        <v>13</v>
      </c>
      <c r="Q1386" s="3" t="s">
        <v>26</v>
      </c>
      <c r="R1386" s="3">
        <v>0</v>
      </c>
      <c r="S1386" s="4">
        <v>0</v>
      </c>
      <c r="T1386" s="4">
        <v>27</v>
      </c>
      <c r="U1386" s="4">
        <v>100</v>
      </c>
      <c r="V1386" s="4">
        <f>IF(ISERROR(VLOOKUP($S$1386,'TAR FIN'!$A$1:$O$113,15,0)),0,VLOOKUP($S$1386,'TAR FIN'!$A$1:$O$113,15,0))</f>
        <v>0</v>
      </c>
      <c r="W1386" s="4">
        <f>IF(ISERROR(VLOOKUP($T$1386,'TAR FIN'!$A$1:$O$113,15,0)),0,VLOOKUP($T$1386,'TAR FIN'!$A$1:$O$113,15,0))</f>
        <v>184.7</v>
      </c>
      <c r="X1386" s="4">
        <f>IF(ISERROR(VLOOKUP($U$1386,'TAR FIN'!$A$1:$O$113,15,0)),0,VLOOKUP($U$1386,'TAR FIN'!$A$1:$O$113,15,0))</f>
        <v>140.54</v>
      </c>
      <c r="Y1386" s="4"/>
      <c r="Z138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6" s="4">
        <f>('TE BE'!$AA$21+'TE BF'!$AA$21+'TE CVA'!$AA$21)*(1-CUSTOS!$M$35)</f>
        <v>140.80759667545161</v>
      </c>
      <c r="AB1386" s="4">
        <f>$K$1386*$V$1386</f>
        <v>0</v>
      </c>
      <c r="AC1386" s="4">
        <f>$M$1386*$W$1386</f>
        <v>501.27579999999995</v>
      </c>
      <c r="AD1386" s="4">
        <f>$O$1386*$X$1386</f>
        <v>381.42555999999996</v>
      </c>
      <c r="AE1386" s="4">
        <f>$K$1386*$Y$1386</f>
        <v>0</v>
      </c>
      <c r="AF1386" s="4">
        <f ca="1">$M$1386*$Z$1386</f>
        <v>580.78002755023647</v>
      </c>
      <c r="AG1386" s="4">
        <f>$O$1386*$AA$1386</f>
        <v>382.15181737717563</v>
      </c>
    </row>
    <row r="1387" spans="1:33" ht="11.25" customHeight="1" x14ac:dyDescent="0.25">
      <c r="A1387" s="3" t="s">
        <v>21</v>
      </c>
      <c r="B1387" s="3" t="s">
        <v>22</v>
      </c>
      <c r="C1387" s="3" t="s">
        <v>23</v>
      </c>
      <c r="D1387" s="3" t="s">
        <v>24</v>
      </c>
      <c r="E1387" s="3" t="s">
        <v>30</v>
      </c>
      <c r="F1387" s="3" t="s">
        <v>25</v>
      </c>
      <c r="G1387" s="3" t="s">
        <v>25</v>
      </c>
      <c r="H1387" s="3" t="s">
        <v>25</v>
      </c>
      <c r="I1387" s="6">
        <v>44531</v>
      </c>
      <c r="J1387" s="4">
        <v>0</v>
      </c>
      <c r="K1387" s="4">
        <v>0</v>
      </c>
      <c r="L1387" s="4">
        <v>11445.136</v>
      </c>
      <c r="M1387" s="4">
        <v>11445.136</v>
      </c>
      <c r="N1387" s="4">
        <v>11445.136</v>
      </c>
      <c r="O1387" s="4">
        <v>11445.136</v>
      </c>
      <c r="P1387" s="4">
        <v>111590</v>
      </c>
      <c r="Q1387" s="3" t="s">
        <v>26</v>
      </c>
      <c r="R1387" s="3">
        <v>0</v>
      </c>
      <c r="S1387" s="4">
        <v>0</v>
      </c>
      <c r="T1387" s="4">
        <v>27</v>
      </c>
      <c r="U1387" s="4">
        <v>100</v>
      </c>
      <c r="V1387" s="4">
        <f>IF(ISERROR(VLOOKUP($S$1387,'TAR FIN'!$A$1:$O$113,15,0)),0,VLOOKUP($S$1387,'TAR FIN'!$A$1:$O$113,15,0))</f>
        <v>0</v>
      </c>
      <c r="W1387" s="4">
        <f>IF(ISERROR(VLOOKUP($T$1387,'TAR FIN'!$A$1:$O$113,15,0)),0,VLOOKUP($T$1387,'TAR FIN'!$A$1:$O$113,15,0))</f>
        <v>184.7</v>
      </c>
      <c r="X1387" s="4">
        <f>IF(ISERROR(VLOOKUP($U$1387,'TAR FIN'!$A$1:$O$113,15,0)),0,VLOOKUP($U$1387,'TAR FIN'!$A$1:$O$113,15,0))</f>
        <v>140.54</v>
      </c>
      <c r="Y1387" s="4"/>
      <c r="Z138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7" s="4">
        <f>('TE BE'!$AA$21+'TE BF'!$AA$21+'TE CVA'!$AA$21)*(1-CUSTOS!$M$35)</f>
        <v>140.80759667545161</v>
      </c>
      <c r="AB1387" s="4">
        <f>$K$1387*$V$1387</f>
        <v>0</v>
      </c>
      <c r="AC1387" s="4">
        <f>$M$1387*$W$1387</f>
        <v>2113916.6192000001</v>
      </c>
      <c r="AD1387" s="4">
        <f>$O$1387*$X$1387</f>
        <v>1608499.41344</v>
      </c>
      <c r="AE1387" s="4">
        <f>$K$1387*$Y$1387</f>
        <v>0</v>
      </c>
      <c r="AF1387" s="4">
        <f ca="1">$M$1387*$Z$1387</f>
        <v>2449191.7470140764</v>
      </c>
      <c r="AG1387" s="4">
        <f>$O$1387*$AA$1387</f>
        <v>1611562.0937836915</v>
      </c>
    </row>
    <row r="1388" spans="1:33" ht="11.25" customHeight="1" x14ac:dyDescent="0.25">
      <c r="A1388" s="3" t="s">
        <v>27</v>
      </c>
      <c r="B1388" s="3" t="s">
        <v>22</v>
      </c>
      <c r="C1388" s="3" t="s">
        <v>23</v>
      </c>
      <c r="D1388" s="3" t="s">
        <v>24</v>
      </c>
      <c r="E1388" s="3" t="s">
        <v>30</v>
      </c>
      <c r="F1388" s="3" t="s">
        <v>25</v>
      </c>
      <c r="G1388" s="3" t="s">
        <v>25</v>
      </c>
      <c r="H1388" s="3" t="s">
        <v>25</v>
      </c>
      <c r="I1388" s="6">
        <v>44531</v>
      </c>
      <c r="J1388" s="4">
        <v>0</v>
      </c>
      <c r="K1388" s="4">
        <v>0</v>
      </c>
      <c r="L1388" s="4">
        <v>-2.0310000000000001</v>
      </c>
      <c r="M1388" s="4">
        <v>-2.0310000000000001</v>
      </c>
      <c r="N1388" s="4">
        <v>-2.0310000000000001</v>
      </c>
      <c r="O1388" s="4">
        <v>-2.0310000000000001</v>
      </c>
      <c r="P1388" s="4">
        <v>-30</v>
      </c>
      <c r="Q1388" s="3" t="s">
        <v>26</v>
      </c>
      <c r="R1388" s="3">
        <v>0</v>
      </c>
      <c r="S1388" s="4">
        <v>0</v>
      </c>
      <c r="T1388" s="4">
        <v>27</v>
      </c>
      <c r="U1388" s="4">
        <v>100</v>
      </c>
      <c r="V1388" s="4">
        <f>IF(ISERROR(VLOOKUP($S$1388,'TAR FIN'!$A$1:$O$113,15,0)),0,VLOOKUP($S$1388,'TAR FIN'!$A$1:$O$113,15,0))</f>
        <v>0</v>
      </c>
      <c r="W1388" s="4">
        <f>IF(ISERROR(VLOOKUP($T$1388,'TAR FIN'!$A$1:$O$113,15,0)),0,VLOOKUP($T$1388,'TAR FIN'!$A$1:$O$113,15,0))</f>
        <v>184.7</v>
      </c>
      <c r="X1388" s="4">
        <f>IF(ISERROR(VLOOKUP($U$1388,'TAR FIN'!$A$1:$O$113,15,0)),0,VLOOKUP($U$1388,'TAR FIN'!$A$1:$O$113,15,0))</f>
        <v>140.54</v>
      </c>
      <c r="Y1388" s="4"/>
      <c r="Z138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8" s="4">
        <f>('TE BE'!$AA$21+'TE BF'!$AA$21+'TE CVA'!$AA$21)*(1-CUSTOS!$M$35)</f>
        <v>140.80759667545161</v>
      </c>
      <c r="AB1388" s="4">
        <f>$K$1388*$V$1388</f>
        <v>0</v>
      </c>
      <c r="AC1388" s="4">
        <f>$M$1388*$W$1388</f>
        <v>-375.12569999999999</v>
      </c>
      <c r="AD1388" s="4">
        <f>$O$1388*$X$1388</f>
        <v>-285.43673999999999</v>
      </c>
      <c r="AE1388" s="4">
        <f>$K$1388*$Y$1388</f>
        <v>0</v>
      </c>
      <c r="AF1388" s="4">
        <f ca="1">$M$1388*$Z$1388</f>
        <v>-434.6220471461055</v>
      </c>
      <c r="AG1388" s="4">
        <f>$O$1388*$AA$1388</f>
        <v>-285.98022884784223</v>
      </c>
    </row>
    <row r="1389" spans="1:33" ht="11.25" customHeight="1" x14ac:dyDescent="0.25">
      <c r="A1389" s="3" t="s">
        <v>28</v>
      </c>
      <c r="B1389" s="3" t="s">
        <v>22</v>
      </c>
      <c r="C1389" s="3" t="s">
        <v>23</v>
      </c>
      <c r="D1389" s="3" t="s">
        <v>24</v>
      </c>
      <c r="E1389" s="3" t="s">
        <v>30</v>
      </c>
      <c r="F1389" s="3" t="s">
        <v>25</v>
      </c>
      <c r="G1389" s="3" t="s">
        <v>25</v>
      </c>
      <c r="H1389" s="3" t="s">
        <v>25</v>
      </c>
      <c r="I1389" s="6">
        <v>44531</v>
      </c>
      <c r="J1389" s="4">
        <v>0</v>
      </c>
      <c r="K1389" s="4">
        <v>0</v>
      </c>
      <c r="L1389" s="4">
        <v>2.9689999999999999</v>
      </c>
      <c r="M1389" s="4">
        <v>2.9689999999999999</v>
      </c>
      <c r="N1389" s="4">
        <v>2.9689999999999999</v>
      </c>
      <c r="O1389" s="4">
        <v>2.9689999999999999</v>
      </c>
      <c r="P1389" s="4">
        <v>11</v>
      </c>
      <c r="Q1389" s="3" t="s">
        <v>26</v>
      </c>
      <c r="R1389" s="3">
        <v>0</v>
      </c>
      <c r="S1389" s="4">
        <v>0</v>
      </c>
      <c r="T1389" s="4">
        <v>27</v>
      </c>
      <c r="U1389" s="4">
        <v>100</v>
      </c>
      <c r="V1389" s="4">
        <f>IF(ISERROR(VLOOKUP($S$1389,'TAR FIN'!$A$1:$O$113,15,0)),0,VLOOKUP($S$1389,'TAR FIN'!$A$1:$O$113,15,0))</f>
        <v>0</v>
      </c>
      <c r="W1389" s="4">
        <f>IF(ISERROR(VLOOKUP($T$1389,'TAR FIN'!$A$1:$O$113,15,0)),0,VLOOKUP($T$1389,'TAR FIN'!$A$1:$O$113,15,0))</f>
        <v>184.7</v>
      </c>
      <c r="X1389" s="4">
        <f>IF(ISERROR(VLOOKUP($U$1389,'TAR FIN'!$A$1:$O$113,15,0)),0,VLOOKUP($U$1389,'TAR FIN'!$A$1:$O$113,15,0))</f>
        <v>140.54</v>
      </c>
      <c r="Y1389" s="4"/>
      <c r="Z138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89" s="4">
        <f>('TE BE'!$AA$21+'TE BF'!$AA$21+'TE CVA'!$AA$21)*(1-CUSTOS!$M$35)</f>
        <v>140.80759667545161</v>
      </c>
      <c r="AB1389" s="4">
        <f>$K$1389*$V$1389</f>
        <v>0</v>
      </c>
      <c r="AC1389" s="4">
        <f>$M$1389*$W$1389</f>
        <v>548.37429999999995</v>
      </c>
      <c r="AD1389" s="4">
        <f>$O$1389*$X$1389</f>
        <v>417.26325999999995</v>
      </c>
      <c r="AE1389" s="4">
        <f>$K$1389*$Y$1389</f>
        <v>0</v>
      </c>
      <c r="AF1389" s="4">
        <f ca="1">$M$1389*$Z$1389</f>
        <v>635.34852682264261</v>
      </c>
      <c r="AG1389" s="4">
        <f>$O$1389*$AA$1389</f>
        <v>418.05775452941577</v>
      </c>
    </row>
    <row r="1390" spans="1:33" ht="11.25" customHeight="1" x14ac:dyDescent="0.25">
      <c r="A1390" s="3" t="s">
        <v>21</v>
      </c>
      <c r="B1390" s="3" t="s">
        <v>22</v>
      </c>
      <c r="C1390" s="3" t="s">
        <v>23</v>
      </c>
      <c r="D1390" s="3" t="s">
        <v>24</v>
      </c>
      <c r="E1390" s="3" t="s">
        <v>30</v>
      </c>
      <c r="F1390" s="3" t="s">
        <v>25</v>
      </c>
      <c r="G1390" s="3" t="s">
        <v>25</v>
      </c>
      <c r="H1390" s="3" t="s">
        <v>25</v>
      </c>
      <c r="I1390" s="6">
        <v>44562</v>
      </c>
      <c r="J1390" s="4">
        <v>0</v>
      </c>
      <c r="K1390" s="4">
        <v>0</v>
      </c>
      <c r="L1390" s="4">
        <v>11832.243</v>
      </c>
      <c r="M1390" s="4">
        <v>11832.243</v>
      </c>
      <c r="N1390" s="4">
        <v>11832.243</v>
      </c>
      <c r="O1390" s="4">
        <v>11832.243</v>
      </c>
      <c r="P1390" s="4">
        <v>104732</v>
      </c>
      <c r="Q1390" s="3" t="s">
        <v>26</v>
      </c>
      <c r="R1390" s="3">
        <v>0</v>
      </c>
      <c r="S1390" s="4">
        <v>0</v>
      </c>
      <c r="T1390" s="4">
        <v>27</v>
      </c>
      <c r="U1390" s="4">
        <v>100</v>
      </c>
      <c r="V1390" s="4">
        <f>IF(ISERROR(VLOOKUP($S$1390,'TAR FIN'!$A$1:$O$113,15,0)),0,VLOOKUP($S$1390,'TAR FIN'!$A$1:$O$113,15,0))</f>
        <v>0</v>
      </c>
      <c r="W1390" s="4">
        <f>IF(ISERROR(VLOOKUP($T$1390,'TAR FIN'!$A$1:$O$113,15,0)),0,VLOOKUP($T$1390,'TAR FIN'!$A$1:$O$113,15,0))</f>
        <v>184.7</v>
      </c>
      <c r="X1390" s="4">
        <f>IF(ISERROR(VLOOKUP($U$1390,'TAR FIN'!$A$1:$O$113,15,0)),0,VLOOKUP($U$1390,'TAR FIN'!$A$1:$O$113,15,0))</f>
        <v>140.54</v>
      </c>
      <c r="Y1390" s="4"/>
      <c r="Z139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0" s="4">
        <f>('TE BE'!$AA$21+'TE BF'!$AA$21+'TE CVA'!$AA$21)*(1-CUSTOS!$M$35)</f>
        <v>140.80759667545161</v>
      </c>
      <c r="AB1390" s="4">
        <f>$K$1390*$V$1390</f>
        <v>0</v>
      </c>
      <c r="AC1390" s="4">
        <f>$M$1390*$W$1390</f>
        <v>2185415.2821</v>
      </c>
      <c r="AD1390" s="4">
        <f>$O$1390*$X$1390</f>
        <v>1662903.4312199999</v>
      </c>
      <c r="AE1390" s="4">
        <f>$K$1390*$Y$1390</f>
        <v>0</v>
      </c>
      <c r="AF1390" s="4">
        <f ca="1">$M$1390*$Z$1390</f>
        <v>2532030.3668095404</v>
      </c>
      <c r="AG1390" s="4">
        <f>$O$1390*$AA$1390</f>
        <v>1666069.7001099356</v>
      </c>
    </row>
    <row r="1391" spans="1:33" ht="11.25" customHeight="1" x14ac:dyDescent="0.25">
      <c r="A1391" s="3" t="s">
        <v>27</v>
      </c>
      <c r="B1391" s="3" t="s">
        <v>22</v>
      </c>
      <c r="C1391" s="3" t="s">
        <v>23</v>
      </c>
      <c r="D1391" s="3" t="s">
        <v>24</v>
      </c>
      <c r="E1391" s="3" t="s">
        <v>30</v>
      </c>
      <c r="F1391" s="3" t="s">
        <v>25</v>
      </c>
      <c r="G1391" s="3" t="s">
        <v>25</v>
      </c>
      <c r="H1391" s="3" t="s">
        <v>25</v>
      </c>
      <c r="I1391" s="6">
        <v>44562</v>
      </c>
      <c r="J1391" s="4">
        <v>0</v>
      </c>
      <c r="K1391" s="4">
        <v>0</v>
      </c>
      <c r="L1391" s="4">
        <v>-0.53900000000000003</v>
      </c>
      <c r="M1391" s="4">
        <v>-0.53900000000000003</v>
      </c>
      <c r="N1391" s="4">
        <v>-0.53900000000000003</v>
      </c>
      <c r="O1391" s="4">
        <v>-0.53900000000000003</v>
      </c>
      <c r="P1391" s="4">
        <v>-6</v>
      </c>
      <c r="Q1391" s="3" t="s">
        <v>26</v>
      </c>
      <c r="R1391" s="3">
        <v>0</v>
      </c>
      <c r="S1391" s="4">
        <v>0</v>
      </c>
      <c r="T1391" s="4">
        <v>27</v>
      </c>
      <c r="U1391" s="4">
        <v>100</v>
      </c>
      <c r="V1391" s="4">
        <f>IF(ISERROR(VLOOKUP($S$1391,'TAR FIN'!$A$1:$O$113,15,0)),0,VLOOKUP($S$1391,'TAR FIN'!$A$1:$O$113,15,0))</f>
        <v>0</v>
      </c>
      <c r="W1391" s="4">
        <f>IF(ISERROR(VLOOKUP($T$1391,'TAR FIN'!$A$1:$O$113,15,0)),0,VLOOKUP($T$1391,'TAR FIN'!$A$1:$O$113,15,0))</f>
        <v>184.7</v>
      </c>
      <c r="X1391" s="4">
        <f>IF(ISERROR(VLOOKUP($U$1391,'TAR FIN'!$A$1:$O$113,15,0)),0,VLOOKUP($U$1391,'TAR FIN'!$A$1:$O$113,15,0))</f>
        <v>140.54</v>
      </c>
      <c r="Y1391" s="4"/>
      <c r="Z139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1" s="4">
        <f>('TE BE'!$AA$21+'TE BF'!$AA$21+'TE CVA'!$AA$21)*(1-CUSTOS!$M$35)</f>
        <v>140.80759667545161</v>
      </c>
      <c r="AB1391" s="4">
        <f>$K$1391*$V$1391</f>
        <v>0</v>
      </c>
      <c r="AC1391" s="4">
        <f>$M$1391*$W$1391</f>
        <v>-99.553300000000007</v>
      </c>
      <c r="AD1391" s="4">
        <f>$O$1391*$X$1391</f>
        <v>-75.751059999999995</v>
      </c>
      <c r="AE1391" s="4">
        <f>$K$1391*$Y$1391</f>
        <v>0</v>
      </c>
      <c r="AF1391" s="4">
        <f ca="1">$M$1391*$Z$1391</f>
        <v>-115.34282787383106</v>
      </c>
      <c r="AG1391" s="4">
        <f>$O$1391*$AA$1391</f>
        <v>-75.895294608068426</v>
      </c>
    </row>
    <row r="1392" spans="1:33" ht="11.25" customHeight="1" x14ac:dyDescent="0.25">
      <c r="A1392" s="3" t="s">
        <v>28</v>
      </c>
      <c r="B1392" s="3" t="s">
        <v>22</v>
      </c>
      <c r="C1392" s="3" t="s">
        <v>23</v>
      </c>
      <c r="D1392" s="3" t="s">
        <v>24</v>
      </c>
      <c r="E1392" s="3" t="s">
        <v>30</v>
      </c>
      <c r="F1392" s="3" t="s">
        <v>25</v>
      </c>
      <c r="G1392" s="3" t="s">
        <v>25</v>
      </c>
      <c r="H1392" s="3" t="s">
        <v>25</v>
      </c>
      <c r="I1392" s="6">
        <v>44562</v>
      </c>
      <c r="J1392" s="4">
        <v>0</v>
      </c>
      <c r="K1392" s="4">
        <v>0</v>
      </c>
      <c r="L1392" s="4">
        <v>3.4470000000000001</v>
      </c>
      <c r="M1392" s="4">
        <v>3.4470000000000001</v>
      </c>
      <c r="N1392" s="4">
        <v>3.4470000000000001</v>
      </c>
      <c r="O1392" s="4">
        <v>3.4470000000000001</v>
      </c>
      <c r="P1392" s="4">
        <v>11</v>
      </c>
      <c r="Q1392" s="3" t="s">
        <v>26</v>
      </c>
      <c r="R1392" s="3">
        <v>0</v>
      </c>
      <c r="S1392" s="4">
        <v>0</v>
      </c>
      <c r="T1392" s="4">
        <v>27</v>
      </c>
      <c r="U1392" s="4">
        <v>100</v>
      </c>
      <c r="V1392" s="4">
        <f>IF(ISERROR(VLOOKUP($S$1392,'TAR FIN'!$A$1:$O$113,15,0)),0,VLOOKUP($S$1392,'TAR FIN'!$A$1:$O$113,15,0))</f>
        <v>0</v>
      </c>
      <c r="W1392" s="4">
        <f>IF(ISERROR(VLOOKUP($T$1392,'TAR FIN'!$A$1:$O$113,15,0)),0,VLOOKUP($T$1392,'TAR FIN'!$A$1:$O$113,15,0))</f>
        <v>184.7</v>
      </c>
      <c r="X1392" s="4">
        <f>IF(ISERROR(VLOOKUP($U$1392,'TAR FIN'!$A$1:$O$113,15,0)),0,VLOOKUP($U$1392,'TAR FIN'!$A$1:$O$113,15,0))</f>
        <v>140.54</v>
      </c>
      <c r="Y1392" s="4"/>
      <c r="Z139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2" s="4">
        <f>('TE BE'!$AA$21+'TE BF'!$AA$21+'TE CVA'!$AA$21)*(1-CUSTOS!$M$35)</f>
        <v>140.80759667545161</v>
      </c>
      <c r="AB1392" s="4">
        <f>$K$1392*$V$1392</f>
        <v>0</v>
      </c>
      <c r="AC1392" s="4">
        <f>$M$1392*$W$1392</f>
        <v>636.66089999999997</v>
      </c>
      <c r="AD1392" s="4">
        <f>$O$1392*$X$1392</f>
        <v>484.44137999999998</v>
      </c>
      <c r="AE1392" s="4">
        <f>$K$1392*$Y$1392</f>
        <v>0</v>
      </c>
      <c r="AF1392" s="4">
        <f ca="1">$M$1392*$Z$1392</f>
        <v>737.63771369405492</v>
      </c>
      <c r="AG1392" s="4">
        <f>$O$1392*$AA$1392</f>
        <v>485.36378574028168</v>
      </c>
    </row>
    <row r="1393" spans="1:33" ht="11.25" customHeight="1" x14ac:dyDescent="0.25">
      <c r="A1393" s="3" t="s">
        <v>21</v>
      </c>
      <c r="B1393" s="3" t="s">
        <v>22</v>
      </c>
      <c r="C1393" s="3" t="s">
        <v>23</v>
      </c>
      <c r="D1393" s="3" t="s">
        <v>24</v>
      </c>
      <c r="E1393" s="3" t="s">
        <v>30</v>
      </c>
      <c r="F1393" s="3" t="s">
        <v>25</v>
      </c>
      <c r="G1393" s="3" t="s">
        <v>25</v>
      </c>
      <c r="H1393" s="3" t="s">
        <v>25</v>
      </c>
      <c r="I1393" s="6">
        <v>44593</v>
      </c>
      <c r="J1393" s="4">
        <v>0</v>
      </c>
      <c r="K1393" s="4">
        <v>0</v>
      </c>
      <c r="L1393" s="4">
        <v>12139.191000000001</v>
      </c>
      <c r="M1393" s="4">
        <v>12139.191000000001</v>
      </c>
      <c r="N1393" s="4">
        <v>12139.191000000001</v>
      </c>
      <c r="O1393" s="4">
        <v>12139.191000000001</v>
      </c>
      <c r="P1393" s="4">
        <v>112859</v>
      </c>
      <c r="Q1393" s="3" t="s">
        <v>26</v>
      </c>
      <c r="R1393" s="3">
        <v>0</v>
      </c>
      <c r="S1393" s="4">
        <v>0</v>
      </c>
      <c r="T1393" s="4">
        <v>27</v>
      </c>
      <c r="U1393" s="4">
        <v>100</v>
      </c>
      <c r="V1393" s="4">
        <f>IF(ISERROR(VLOOKUP($S$1393,'TAR FIN'!$A$1:$O$113,15,0)),0,VLOOKUP($S$1393,'TAR FIN'!$A$1:$O$113,15,0))</f>
        <v>0</v>
      </c>
      <c r="W1393" s="4">
        <f>IF(ISERROR(VLOOKUP($T$1393,'TAR FIN'!$A$1:$O$113,15,0)),0,VLOOKUP($T$1393,'TAR FIN'!$A$1:$O$113,15,0))</f>
        <v>184.7</v>
      </c>
      <c r="X1393" s="4">
        <f>IF(ISERROR(VLOOKUP($U$1393,'TAR FIN'!$A$1:$O$113,15,0)),0,VLOOKUP($U$1393,'TAR FIN'!$A$1:$O$113,15,0))</f>
        <v>140.54</v>
      </c>
      <c r="Y1393" s="4"/>
      <c r="Z139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3" s="4">
        <f>('TE BE'!$AA$21+'TE BF'!$AA$21+'TE CVA'!$AA$21)*(1-CUSTOS!$M$35)</f>
        <v>140.80759667545161</v>
      </c>
      <c r="AB1393" s="4">
        <f>$K$1393*$V$1393</f>
        <v>0</v>
      </c>
      <c r="AC1393" s="4">
        <f>$M$1393*$W$1393</f>
        <v>2242108.5776999998</v>
      </c>
      <c r="AD1393" s="4">
        <f>$O$1393*$X$1393</f>
        <v>1706041.9031400001</v>
      </c>
      <c r="AE1393" s="4">
        <f>$K$1393*$Y$1393</f>
        <v>0</v>
      </c>
      <c r="AF1393" s="4">
        <f ca="1">$M$1393*$Z$1393</f>
        <v>2597715.4323572526</v>
      </c>
      <c r="AG1393" s="4">
        <f>$O$1393*$AA$1393</f>
        <v>1709290.3102942721</v>
      </c>
    </row>
    <row r="1394" spans="1:33" ht="11.25" customHeight="1" x14ac:dyDescent="0.25">
      <c r="A1394" s="3" t="s">
        <v>27</v>
      </c>
      <c r="B1394" s="3" t="s">
        <v>22</v>
      </c>
      <c r="C1394" s="3" t="s">
        <v>23</v>
      </c>
      <c r="D1394" s="3" t="s">
        <v>24</v>
      </c>
      <c r="E1394" s="3" t="s">
        <v>30</v>
      </c>
      <c r="F1394" s="3" t="s">
        <v>25</v>
      </c>
      <c r="G1394" s="3" t="s">
        <v>25</v>
      </c>
      <c r="H1394" s="3" t="s">
        <v>25</v>
      </c>
      <c r="I1394" s="6">
        <v>44593</v>
      </c>
      <c r="J1394" s="4">
        <v>0</v>
      </c>
      <c r="K1394" s="4">
        <v>0</v>
      </c>
      <c r="L1394" s="4">
        <v>-0.7</v>
      </c>
      <c r="M1394" s="4">
        <v>-0.7</v>
      </c>
      <c r="N1394" s="4">
        <v>-0.7</v>
      </c>
      <c r="O1394" s="4">
        <v>-0.7</v>
      </c>
      <c r="P1394" s="4">
        <v>0</v>
      </c>
      <c r="Q1394" s="3" t="s">
        <v>26</v>
      </c>
      <c r="R1394" s="3">
        <v>0</v>
      </c>
      <c r="S1394" s="4">
        <v>0</v>
      </c>
      <c r="T1394" s="4">
        <v>27</v>
      </c>
      <c r="U1394" s="4">
        <v>100</v>
      </c>
      <c r="V1394" s="4">
        <f>IF(ISERROR(VLOOKUP($S$1394,'TAR FIN'!$A$1:$O$113,15,0)),0,VLOOKUP($S$1394,'TAR FIN'!$A$1:$O$113,15,0))</f>
        <v>0</v>
      </c>
      <c r="W1394" s="4">
        <f>IF(ISERROR(VLOOKUP($T$1394,'TAR FIN'!$A$1:$O$113,15,0)),0,VLOOKUP($T$1394,'TAR FIN'!$A$1:$O$113,15,0))</f>
        <v>184.7</v>
      </c>
      <c r="X1394" s="4">
        <f>IF(ISERROR(VLOOKUP($U$1394,'TAR FIN'!$A$1:$O$113,15,0)),0,VLOOKUP($U$1394,'TAR FIN'!$A$1:$O$113,15,0))</f>
        <v>140.54</v>
      </c>
      <c r="Y1394" s="4"/>
      <c r="Z139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4" s="4">
        <f>('TE BE'!$AA$21+'TE BF'!$AA$21+'TE CVA'!$AA$21)*(1-CUSTOS!$M$35)</f>
        <v>140.80759667545161</v>
      </c>
      <c r="AB1394" s="4">
        <f>$K$1394*$V$1394</f>
        <v>0</v>
      </c>
      <c r="AC1394" s="4">
        <f>$M$1394*$W$1394</f>
        <v>-129.29</v>
      </c>
      <c r="AD1394" s="4">
        <f>$O$1394*$X$1394</f>
        <v>-98.377999999999986</v>
      </c>
      <c r="AE1394" s="4">
        <f>$K$1394*$Y$1394</f>
        <v>0</v>
      </c>
      <c r="AF1394" s="4">
        <f ca="1">$M$1394*$Z$1394</f>
        <v>-149.79588035562472</v>
      </c>
      <c r="AG1394" s="4">
        <f>$O$1394*$AA$1394</f>
        <v>-98.565317672816121</v>
      </c>
    </row>
    <row r="1395" spans="1:33" ht="11.25" customHeight="1" x14ac:dyDescent="0.25">
      <c r="A1395" s="3" t="s">
        <v>28</v>
      </c>
      <c r="B1395" s="3" t="s">
        <v>22</v>
      </c>
      <c r="C1395" s="3" t="s">
        <v>23</v>
      </c>
      <c r="D1395" s="3" t="s">
        <v>24</v>
      </c>
      <c r="E1395" s="3" t="s">
        <v>30</v>
      </c>
      <c r="F1395" s="3" t="s">
        <v>25</v>
      </c>
      <c r="G1395" s="3" t="s">
        <v>25</v>
      </c>
      <c r="H1395" s="3" t="s">
        <v>25</v>
      </c>
      <c r="I1395" s="6">
        <v>44593</v>
      </c>
      <c r="J1395" s="4">
        <v>0</v>
      </c>
      <c r="K1395" s="4">
        <v>0</v>
      </c>
      <c r="L1395" s="4">
        <v>3.7210000000000001</v>
      </c>
      <c r="M1395" s="4">
        <v>3.7210000000000001</v>
      </c>
      <c r="N1395" s="4">
        <v>3.7210000000000001</v>
      </c>
      <c r="O1395" s="4">
        <v>3.7210000000000001</v>
      </c>
      <c r="P1395" s="4">
        <v>10</v>
      </c>
      <c r="Q1395" s="3" t="s">
        <v>26</v>
      </c>
      <c r="R1395" s="3">
        <v>0</v>
      </c>
      <c r="S1395" s="4">
        <v>0</v>
      </c>
      <c r="T1395" s="4">
        <v>27</v>
      </c>
      <c r="U1395" s="4">
        <v>100</v>
      </c>
      <c r="V1395" s="4">
        <f>IF(ISERROR(VLOOKUP($S$1395,'TAR FIN'!$A$1:$O$113,15,0)),0,VLOOKUP($S$1395,'TAR FIN'!$A$1:$O$113,15,0))</f>
        <v>0</v>
      </c>
      <c r="W1395" s="4">
        <f>IF(ISERROR(VLOOKUP($T$1395,'TAR FIN'!$A$1:$O$113,15,0)),0,VLOOKUP($T$1395,'TAR FIN'!$A$1:$O$113,15,0))</f>
        <v>184.7</v>
      </c>
      <c r="X1395" s="4">
        <f>IF(ISERROR(VLOOKUP($U$1395,'TAR FIN'!$A$1:$O$113,15,0)),0,VLOOKUP($U$1395,'TAR FIN'!$A$1:$O$113,15,0))</f>
        <v>140.54</v>
      </c>
      <c r="Y1395" s="4"/>
      <c r="Z139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5" s="4">
        <f>('TE BE'!$AA$21+'TE BF'!$AA$21+'TE CVA'!$AA$21)*(1-CUSTOS!$M$35)</f>
        <v>140.80759667545161</v>
      </c>
      <c r="AB1395" s="4">
        <f>$K$1395*$V$1395</f>
        <v>0</v>
      </c>
      <c r="AC1395" s="4">
        <f>$M$1395*$W$1395</f>
        <v>687.26869999999997</v>
      </c>
      <c r="AD1395" s="4">
        <f>$O$1395*$X$1395</f>
        <v>522.94934000000001</v>
      </c>
      <c r="AE1395" s="4">
        <f>$K$1395*$Y$1395</f>
        <v>0</v>
      </c>
      <c r="AF1395" s="4">
        <f ca="1">$M$1395*$Z$1395</f>
        <v>796.27210114754234</v>
      </c>
      <c r="AG1395" s="4">
        <f>$O$1395*$AA$1395</f>
        <v>523.94506722935546</v>
      </c>
    </row>
    <row r="1396" spans="1:33" ht="11.25" customHeight="1" x14ac:dyDescent="0.25">
      <c r="A1396" s="3" t="s">
        <v>56</v>
      </c>
      <c r="B1396" s="3" t="s">
        <v>22</v>
      </c>
      <c r="C1396" s="3" t="s">
        <v>23</v>
      </c>
      <c r="D1396" s="3" t="s">
        <v>24</v>
      </c>
      <c r="E1396" s="3" t="s">
        <v>30</v>
      </c>
      <c r="F1396" s="3" t="s">
        <v>25</v>
      </c>
      <c r="G1396" s="3" t="s">
        <v>25</v>
      </c>
      <c r="H1396" s="3" t="s">
        <v>25</v>
      </c>
      <c r="I1396" s="6">
        <v>44621</v>
      </c>
      <c r="J1396" s="4">
        <v>0</v>
      </c>
      <c r="K1396" s="4">
        <v>0</v>
      </c>
      <c r="L1396" s="4">
        <v>12139.191000000001</v>
      </c>
      <c r="M1396" s="4">
        <v>12139.191000000001</v>
      </c>
      <c r="N1396" s="4">
        <v>12139.191000000001</v>
      </c>
      <c r="O1396" s="4">
        <v>12139.191000000001</v>
      </c>
      <c r="P1396" s="4">
        <v>112859</v>
      </c>
      <c r="Q1396" s="3" t="s">
        <v>26</v>
      </c>
      <c r="R1396" s="3">
        <v>0</v>
      </c>
      <c r="S1396" s="4">
        <v>0</v>
      </c>
      <c r="T1396" s="4">
        <v>27</v>
      </c>
      <c r="U1396" s="4">
        <v>100</v>
      </c>
      <c r="V1396" s="4">
        <f>IF(ISERROR(VLOOKUP($S$1396,'TAR FIN'!$A$1:$O$113,15,0)),0,VLOOKUP($S$1396,'TAR FIN'!$A$1:$O$113,15,0))</f>
        <v>0</v>
      </c>
      <c r="W1396" s="4">
        <f>IF(ISERROR(VLOOKUP($T$1396,'TAR FIN'!$A$1:$O$113,15,0)),0,VLOOKUP($T$1396,'TAR FIN'!$A$1:$O$113,15,0))</f>
        <v>184.7</v>
      </c>
      <c r="X1396" s="4">
        <f>IF(ISERROR(VLOOKUP($U$1396,'TAR FIN'!$A$1:$O$113,15,0)),0,VLOOKUP($U$1396,'TAR FIN'!$A$1:$O$113,15,0))</f>
        <v>140.54</v>
      </c>
      <c r="Y1396" s="4"/>
      <c r="Z139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6" s="4">
        <f>('TE BE'!$AA$21+'TE BF'!$AA$21+'TE CVA'!$AA$21)*(1-CUSTOS!$M$35)</f>
        <v>140.80759667545161</v>
      </c>
      <c r="AB1396" s="4">
        <f>$K$1396*$V$1396</f>
        <v>0</v>
      </c>
      <c r="AC1396" s="4">
        <f>$M$1396*$W$1396</f>
        <v>2242108.5776999998</v>
      </c>
      <c r="AD1396" s="4">
        <f>$O$1396*$X$1396</f>
        <v>1706041.9031400001</v>
      </c>
      <c r="AE1396" s="4">
        <f>$K$1396*$Y$1396</f>
        <v>0</v>
      </c>
      <c r="AF1396" s="4">
        <f ca="1">$M$1396*$Z$1396</f>
        <v>2597715.4323572526</v>
      </c>
      <c r="AG1396" s="4">
        <f>$O$1396*$AA$1396</f>
        <v>1709290.3102942721</v>
      </c>
    </row>
    <row r="1397" spans="1:33" ht="11.25" customHeight="1" x14ac:dyDescent="0.25">
      <c r="A1397" s="3" t="s">
        <v>56</v>
      </c>
      <c r="B1397" s="3" t="s">
        <v>22</v>
      </c>
      <c r="C1397" s="3" t="s">
        <v>23</v>
      </c>
      <c r="D1397" s="3" t="s">
        <v>24</v>
      </c>
      <c r="E1397" s="3" t="s">
        <v>30</v>
      </c>
      <c r="F1397" s="3" t="s">
        <v>25</v>
      </c>
      <c r="G1397" s="3" t="s">
        <v>25</v>
      </c>
      <c r="H1397" s="3" t="s">
        <v>25</v>
      </c>
      <c r="I1397" s="6">
        <v>44621</v>
      </c>
      <c r="J1397" s="4">
        <v>0</v>
      </c>
      <c r="K1397" s="4">
        <v>0</v>
      </c>
      <c r="L1397" s="4">
        <v>-0.7</v>
      </c>
      <c r="M1397" s="4">
        <v>-0.7</v>
      </c>
      <c r="N1397" s="4">
        <v>-0.7</v>
      </c>
      <c r="O1397" s="4">
        <v>-0.7</v>
      </c>
      <c r="P1397" s="4">
        <v>0</v>
      </c>
      <c r="Q1397" s="3" t="s">
        <v>26</v>
      </c>
      <c r="R1397" s="3">
        <v>0</v>
      </c>
      <c r="S1397" s="4">
        <v>0</v>
      </c>
      <c r="T1397" s="4">
        <v>27</v>
      </c>
      <c r="U1397" s="4">
        <v>100</v>
      </c>
      <c r="V1397" s="4">
        <f>IF(ISERROR(VLOOKUP($S$1397,'TAR FIN'!$A$1:$O$113,15,0)),0,VLOOKUP($S$1397,'TAR FIN'!$A$1:$O$113,15,0))</f>
        <v>0</v>
      </c>
      <c r="W1397" s="4">
        <f>IF(ISERROR(VLOOKUP($T$1397,'TAR FIN'!$A$1:$O$113,15,0)),0,VLOOKUP($T$1397,'TAR FIN'!$A$1:$O$113,15,0))</f>
        <v>184.7</v>
      </c>
      <c r="X1397" s="4">
        <f>IF(ISERROR(VLOOKUP($U$1397,'TAR FIN'!$A$1:$O$113,15,0)),0,VLOOKUP($U$1397,'TAR FIN'!$A$1:$O$113,15,0))</f>
        <v>140.54</v>
      </c>
      <c r="Y1397" s="4"/>
      <c r="Z139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7" s="4">
        <f>('TE BE'!$AA$21+'TE BF'!$AA$21+'TE CVA'!$AA$21)*(1-CUSTOS!$M$35)</f>
        <v>140.80759667545161</v>
      </c>
      <c r="AB1397" s="4">
        <f>$K$1397*$V$1397</f>
        <v>0</v>
      </c>
      <c r="AC1397" s="4">
        <f>$M$1397*$W$1397</f>
        <v>-129.29</v>
      </c>
      <c r="AD1397" s="4">
        <f>$O$1397*$X$1397</f>
        <v>-98.377999999999986</v>
      </c>
      <c r="AE1397" s="4">
        <f>$K$1397*$Y$1397</f>
        <v>0</v>
      </c>
      <c r="AF1397" s="4">
        <f ca="1">$M$1397*$Z$1397</f>
        <v>-149.79588035562472</v>
      </c>
      <c r="AG1397" s="4">
        <f>$O$1397*$AA$1397</f>
        <v>-98.565317672816121</v>
      </c>
    </row>
    <row r="1398" spans="1:33" ht="11.25" customHeight="1" x14ac:dyDescent="0.25">
      <c r="A1398" s="3" t="s">
        <v>56</v>
      </c>
      <c r="B1398" s="3" t="s">
        <v>22</v>
      </c>
      <c r="C1398" s="3" t="s">
        <v>23</v>
      </c>
      <c r="D1398" s="3" t="s">
        <v>24</v>
      </c>
      <c r="E1398" s="3" t="s">
        <v>30</v>
      </c>
      <c r="F1398" s="3" t="s">
        <v>25</v>
      </c>
      <c r="G1398" s="3" t="s">
        <v>25</v>
      </c>
      <c r="H1398" s="3" t="s">
        <v>25</v>
      </c>
      <c r="I1398" s="6">
        <v>44621</v>
      </c>
      <c r="J1398" s="4">
        <v>0</v>
      </c>
      <c r="K1398" s="4">
        <v>0</v>
      </c>
      <c r="L1398" s="4">
        <v>3.7210000000000001</v>
      </c>
      <c r="M1398" s="4">
        <v>3.7210000000000001</v>
      </c>
      <c r="N1398" s="4">
        <v>3.7210000000000001</v>
      </c>
      <c r="O1398" s="4">
        <v>3.7210000000000001</v>
      </c>
      <c r="P1398" s="4">
        <v>10</v>
      </c>
      <c r="Q1398" s="3" t="s">
        <v>26</v>
      </c>
      <c r="R1398" s="3">
        <v>0</v>
      </c>
      <c r="S1398" s="4">
        <v>0</v>
      </c>
      <c r="T1398" s="4">
        <v>27</v>
      </c>
      <c r="U1398" s="4">
        <v>100</v>
      </c>
      <c r="V1398" s="4">
        <f>IF(ISERROR(VLOOKUP($S$1398,'TAR FIN'!$A$1:$O$113,15,0)),0,VLOOKUP($S$1398,'TAR FIN'!$A$1:$O$113,15,0))</f>
        <v>0</v>
      </c>
      <c r="W1398" s="4">
        <f>IF(ISERROR(VLOOKUP($T$1398,'TAR FIN'!$A$1:$O$113,15,0)),0,VLOOKUP($T$1398,'TAR FIN'!$A$1:$O$113,15,0))</f>
        <v>184.7</v>
      </c>
      <c r="X1398" s="4">
        <f>IF(ISERROR(VLOOKUP($U$1398,'TAR FIN'!$A$1:$O$113,15,0)),0,VLOOKUP($U$1398,'TAR FIN'!$A$1:$O$113,15,0))</f>
        <v>140.54</v>
      </c>
      <c r="Y1398" s="4"/>
      <c r="Z139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1398" s="4">
        <f>('TE BE'!$AA$21+'TE BF'!$AA$21+'TE CVA'!$AA$21)*(1-CUSTOS!$M$35)</f>
        <v>140.80759667545161</v>
      </c>
      <c r="AB1398" s="4">
        <f>$K$1398*$V$1398</f>
        <v>0</v>
      </c>
      <c r="AC1398" s="4">
        <f>$M$1398*$W$1398</f>
        <v>687.26869999999997</v>
      </c>
      <c r="AD1398" s="4">
        <f>$O$1398*$X$1398</f>
        <v>522.94934000000001</v>
      </c>
      <c r="AE1398" s="4">
        <f>$K$1398*$Y$1398</f>
        <v>0</v>
      </c>
      <c r="AF1398" s="4">
        <f ca="1">$M$1398*$Z$1398</f>
        <v>796.27210114754234</v>
      </c>
      <c r="AG1398" s="4">
        <f>$O$1398*$AA$1398</f>
        <v>523.94506722935546</v>
      </c>
    </row>
    <row r="1399" spans="1:33" ht="11.25" customHeight="1" x14ac:dyDescent="0.25">
      <c r="A1399" s="3" t="s">
        <v>21</v>
      </c>
      <c r="B1399" s="3" t="s">
        <v>22</v>
      </c>
      <c r="C1399" s="3" t="s">
        <v>23</v>
      </c>
      <c r="D1399" s="3" t="s">
        <v>24</v>
      </c>
      <c r="E1399" s="3" t="s">
        <v>31</v>
      </c>
      <c r="F1399" s="3" t="s">
        <v>25</v>
      </c>
      <c r="G1399" s="3" t="s">
        <v>25</v>
      </c>
      <c r="H1399" s="3" t="s">
        <v>25</v>
      </c>
      <c r="I1399" s="6">
        <v>44287</v>
      </c>
      <c r="J1399" s="4">
        <v>0</v>
      </c>
      <c r="K1399" s="4">
        <v>0</v>
      </c>
      <c r="L1399" s="4">
        <v>6124.4390000000003</v>
      </c>
      <c r="M1399" s="4">
        <v>6124.4390000000003</v>
      </c>
      <c r="N1399" s="4">
        <v>6124.4390000000003</v>
      </c>
      <c r="O1399" s="4">
        <v>6124.4390000000003</v>
      </c>
      <c r="P1399" s="4">
        <v>92729</v>
      </c>
      <c r="Q1399" s="3" t="s">
        <v>26</v>
      </c>
      <c r="R1399" s="3">
        <v>0</v>
      </c>
      <c r="S1399" s="4">
        <v>0</v>
      </c>
      <c r="T1399" s="4">
        <v>28</v>
      </c>
      <c r="U1399" s="4">
        <v>101</v>
      </c>
      <c r="V1399" s="4">
        <f>IF(ISERROR(VLOOKUP($S$1399,'TAR FIN'!$A$1:$O$113,15,0)),0,VLOOKUP($S$1399,'TAR FIN'!$A$1:$O$113,15,0))</f>
        <v>0</v>
      </c>
      <c r="W1399" s="4">
        <f>IF(ISERROR(VLOOKUP($T$1399,'TAR FIN'!$A$1:$O$113,15,0)),0,VLOOKUP($T$1399,'TAR FIN'!$A$1:$O$113,15,0))</f>
        <v>277.05</v>
      </c>
      <c r="X1399" s="4">
        <f>IF(ISERROR(VLOOKUP($U$1399,'TAR FIN'!$A$1:$O$113,15,0)),0,VLOOKUP($U$1399,'TAR FIN'!$A$1:$O$113,15,0))</f>
        <v>210.82</v>
      </c>
      <c r="Y1399" s="4"/>
      <c r="Z139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399" s="4">
        <f>('TE BE'!$AA$22+'TE BF'!$AA$22+'TE CVA'!$AA$22)*(1-CUSTOS!$M$36)</f>
        <v>211.21139501317745</v>
      </c>
      <c r="AB1399" s="4">
        <f>$K$1399*$V$1399</f>
        <v>0</v>
      </c>
      <c r="AC1399" s="4">
        <f>$M$1399*$W$1399</f>
        <v>1696775.82495</v>
      </c>
      <c r="AD1399" s="4">
        <f>$O$1399*$X$1399</f>
        <v>1291154.2299800001</v>
      </c>
      <c r="AE1399" s="4">
        <f>$K$1399*$Y$1399</f>
        <v>0</v>
      </c>
      <c r="AF1399" s="4">
        <f ca="1">$M$1399*$Z$1399</f>
        <v>1965890.853619976</v>
      </c>
      <c r="AG1399" s="4">
        <f>$O$1399*$AA$1399</f>
        <v>1293551.3048631095</v>
      </c>
    </row>
    <row r="1400" spans="1:33" ht="11.25" customHeight="1" x14ac:dyDescent="0.25">
      <c r="A1400" s="3" t="s">
        <v>27</v>
      </c>
      <c r="B1400" s="3" t="s">
        <v>22</v>
      </c>
      <c r="C1400" s="3" t="s">
        <v>23</v>
      </c>
      <c r="D1400" s="3" t="s">
        <v>24</v>
      </c>
      <c r="E1400" s="3" t="s">
        <v>31</v>
      </c>
      <c r="F1400" s="3" t="s">
        <v>25</v>
      </c>
      <c r="G1400" s="3" t="s">
        <v>25</v>
      </c>
      <c r="H1400" s="3" t="s">
        <v>25</v>
      </c>
      <c r="I1400" s="6">
        <v>44287</v>
      </c>
      <c r="J1400" s="4">
        <v>0</v>
      </c>
      <c r="K1400" s="4">
        <v>0</v>
      </c>
      <c r="L1400" s="4">
        <v>-0.98899999999999999</v>
      </c>
      <c r="M1400" s="4">
        <v>-0.98899999999999999</v>
      </c>
      <c r="N1400" s="4">
        <v>-0.98899999999999999</v>
      </c>
      <c r="O1400" s="4">
        <v>-0.98899999999999999</v>
      </c>
      <c r="P1400" s="4">
        <v>-15</v>
      </c>
      <c r="Q1400" s="3" t="s">
        <v>26</v>
      </c>
      <c r="R1400" s="3">
        <v>0</v>
      </c>
      <c r="S1400" s="4">
        <v>0</v>
      </c>
      <c r="T1400" s="4">
        <v>28</v>
      </c>
      <c r="U1400" s="4">
        <v>101</v>
      </c>
      <c r="V1400" s="4">
        <f>IF(ISERROR(VLOOKUP($S$1400,'TAR FIN'!$A$1:$O$113,15,0)),0,VLOOKUP($S$1400,'TAR FIN'!$A$1:$O$113,15,0))</f>
        <v>0</v>
      </c>
      <c r="W1400" s="4">
        <f>IF(ISERROR(VLOOKUP($T$1400,'TAR FIN'!$A$1:$O$113,15,0)),0,VLOOKUP($T$1400,'TAR FIN'!$A$1:$O$113,15,0))</f>
        <v>277.05</v>
      </c>
      <c r="X1400" s="4">
        <f>IF(ISERROR(VLOOKUP($U$1400,'TAR FIN'!$A$1:$O$113,15,0)),0,VLOOKUP($U$1400,'TAR FIN'!$A$1:$O$113,15,0))</f>
        <v>210.82</v>
      </c>
      <c r="Y1400" s="4"/>
      <c r="Z140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0" s="4">
        <f>('TE BE'!$AA$22+'TE BF'!$AA$22+'TE CVA'!$AA$22)*(1-CUSTOS!$M$36)</f>
        <v>211.21139501317745</v>
      </c>
      <c r="AB1400" s="4">
        <f>$K$1400*$V$1400</f>
        <v>0</v>
      </c>
      <c r="AC1400" s="4">
        <f>$M$1400*$W$1400</f>
        <v>-274.00245000000001</v>
      </c>
      <c r="AD1400" s="4">
        <f>$O$1400*$X$1400</f>
        <v>-208.50098</v>
      </c>
      <c r="AE1400" s="4">
        <f>$K$1400*$Y$1400</f>
        <v>0</v>
      </c>
      <c r="AF1400" s="4">
        <f ca="1">$M$1400*$Z$1400</f>
        <v>-317.4602692965276</v>
      </c>
      <c r="AG1400" s="4">
        <f>$O$1400*$AA$1400</f>
        <v>-208.8880696680325</v>
      </c>
    </row>
    <row r="1401" spans="1:33" ht="11.25" customHeight="1" x14ac:dyDescent="0.25">
      <c r="A1401" s="3" t="s">
        <v>28</v>
      </c>
      <c r="B1401" s="3" t="s">
        <v>22</v>
      </c>
      <c r="C1401" s="3" t="s">
        <v>23</v>
      </c>
      <c r="D1401" s="3" t="s">
        <v>24</v>
      </c>
      <c r="E1401" s="3" t="s">
        <v>31</v>
      </c>
      <c r="F1401" s="3" t="s">
        <v>25</v>
      </c>
      <c r="G1401" s="3" t="s">
        <v>25</v>
      </c>
      <c r="H1401" s="3" t="s">
        <v>25</v>
      </c>
      <c r="I1401" s="6">
        <v>44287</v>
      </c>
      <c r="J1401" s="4">
        <v>0</v>
      </c>
      <c r="K1401" s="4">
        <v>0</v>
      </c>
      <c r="L1401" s="4">
        <v>0.89400000000000002</v>
      </c>
      <c r="M1401" s="4">
        <v>0.89400000000000002</v>
      </c>
      <c r="N1401" s="4">
        <v>0.89400000000000002</v>
      </c>
      <c r="O1401" s="4">
        <v>0.89400000000000002</v>
      </c>
      <c r="P1401" s="4">
        <v>9</v>
      </c>
      <c r="Q1401" s="3" t="s">
        <v>26</v>
      </c>
      <c r="R1401" s="3">
        <v>0</v>
      </c>
      <c r="S1401" s="4">
        <v>0</v>
      </c>
      <c r="T1401" s="4">
        <v>28</v>
      </c>
      <c r="U1401" s="4">
        <v>101</v>
      </c>
      <c r="V1401" s="4">
        <f>IF(ISERROR(VLOOKUP($S$1401,'TAR FIN'!$A$1:$O$113,15,0)),0,VLOOKUP($S$1401,'TAR FIN'!$A$1:$O$113,15,0))</f>
        <v>0</v>
      </c>
      <c r="W1401" s="4">
        <f>IF(ISERROR(VLOOKUP($T$1401,'TAR FIN'!$A$1:$O$113,15,0)),0,VLOOKUP($T$1401,'TAR FIN'!$A$1:$O$113,15,0))</f>
        <v>277.05</v>
      </c>
      <c r="X1401" s="4">
        <f>IF(ISERROR(VLOOKUP($U$1401,'TAR FIN'!$A$1:$O$113,15,0)),0,VLOOKUP($U$1401,'TAR FIN'!$A$1:$O$113,15,0))</f>
        <v>210.82</v>
      </c>
      <c r="Y1401" s="4"/>
      <c r="Z140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1" s="4">
        <f>('TE BE'!$AA$22+'TE BF'!$AA$22+'TE CVA'!$AA$22)*(1-CUSTOS!$M$36)</f>
        <v>211.21139501317745</v>
      </c>
      <c r="AB1401" s="4">
        <f>$K$1401*$V$1401</f>
        <v>0</v>
      </c>
      <c r="AC1401" s="4">
        <f>$M$1401*$W$1401</f>
        <v>247.68270000000001</v>
      </c>
      <c r="AD1401" s="4">
        <f>$O$1401*$X$1401</f>
        <v>188.47308000000001</v>
      </c>
      <c r="AE1401" s="4">
        <f>$K$1401*$Y$1401</f>
        <v>0</v>
      </c>
      <c r="AF1401" s="4">
        <f ca="1">$M$1401*$Z$1401</f>
        <v>286.9661079384183</v>
      </c>
      <c r="AG1401" s="4">
        <f>$O$1401*$AA$1401</f>
        <v>188.82298714178066</v>
      </c>
    </row>
    <row r="1402" spans="1:33" ht="11.25" customHeight="1" x14ac:dyDescent="0.25">
      <c r="A1402" s="3" t="s">
        <v>21</v>
      </c>
      <c r="B1402" s="3" t="s">
        <v>22</v>
      </c>
      <c r="C1402" s="3" t="s">
        <v>23</v>
      </c>
      <c r="D1402" s="3" t="s">
        <v>24</v>
      </c>
      <c r="E1402" s="3" t="s">
        <v>31</v>
      </c>
      <c r="F1402" s="3" t="s">
        <v>25</v>
      </c>
      <c r="G1402" s="3" t="s">
        <v>25</v>
      </c>
      <c r="H1402" s="3" t="s">
        <v>25</v>
      </c>
      <c r="I1402" s="6">
        <v>44317</v>
      </c>
      <c r="J1402" s="4">
        <v>0</v>
      </c>
      <c r="K1402" s="4">
        <v>0</v>
      </c>
      <c r="L1402" s="4">
        <v>4778.491</v>
      </c>
      <c r="M1402" s="4">
        <v>4778.491</v>
      </c>
      <c r="N1402" s="4">
        <v>4778.491</v>
      </c>
      <c r="O1402" s="4">
        <v>4778.491</v>
      </c>
      <c r="P1402" s="4">
        <v>80621</v>
      </c>
      <c r="Q1402" s="3" t="s">
        <v>26</v>
      </c>
      <c r="R1402" s="3">
        <v>0</v>
      </c>
      <c r="S1402" s="4">
        <v>0</v>
      </c>
      <c r="T1402" s="4">
        <v>28</v>
      </c>
      <c r="U1402" s="4">
        <v>101</v>
      </c>
      <c r="V1402" s="4">
        <f>IF(ISERROR(VLOOKUP($S$1402,'TAR FIN'!$A$1:$O$113,15,0)),0,VLOOKUP($S$1402,'TAR FIN'!$A$1:$O$113,15,0))</f>
        <v>0</v>
      </c>
      <c r="W1402" s="4">
        <f>IF(ISERROR(VLOOKUP($T$1402,'TAR FIN'!$A$1:$O$113,15,0)),0,VLOOKUP($T$1402,'TAR FIN'!$A$1:$O$113,15,0))</f>
        <v>277.05</v>
      </c>
      <c r="X1402" s="4">
        <f>IF(ISERROR(VLOOKUP($U$1402,'TAR FIN'!$A$1:$O$113,15,0)),0,VLOOKUP($U$1402,'TAR FIN'!$A$1:$O$113,15,0))</f>
        <v>210.82</v>
      </c>
      <c r="Y1402" s="4"/>
      <c r="Z140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2" s="4">
        <f>('TE BE'!$AA$22+'TE BF'!$AA$22+'TE CVA'!$AA$22)*(1-CUSTOS!$M$36)</f>
        <v>211.21139501317745</v>
      </c>
      <c r="AB1402" s="4">
        <f>$K$1402*$V$1402</f>
        <v>0</v>
      </c>
      <c r="AC1402" s="4">
        <f>$M$1402*$W$1402</f>
        <v>1323880.9315500001</v>
      </c>
      <c r="AD1402" s="4">
        <f>$O$1402*$X$1402</f>
        <v>1007401.47262</v>
      </c>
      <c r="AE1402" s="4">
        <f>$K$1402*$Y$1402</f>
        <v>0</v>
      </c>
      <c r="AF1402" s="4">
        <f ca="1">$M$1402*$Z$1402</f>
        <v>1533853.4273923493</v>
      </c>
      <c r="AG1402" s="4">
        <f>$O$1402*$AA$1402</f>
        <v>1009271.7501679134</v>
      </c>
    </row>
    <row r="1403" spans="1:33" ht="11.25" customHeight="1" x14ac:dyDescent="0.25">
      <c r="A1403" s="3" t="s">
        <v>27</v>
      </c>
      <c r="B1403" s="3" t="s">
        <v>22</v>
      </c>
      <c r="C1403" s="3" t="s">
        <v>23</v>
      </c>
      <c r="D1403" s="3" t="s">
        <v>24</v>
      </c>
      <c r="E1403" s="3" t="s">
        <v>31</v>
      </c>
      <c r="F1403" s="3" t="s">
        <v>25</v>
      </c>
      <c r="G1403" s="3" t="s">
        <v>25</v>
      </c>
      <c r="H1403" s="3" t="s">
        <v>25</v>
      </c>
      <c r="I1403" s="6">
        <v>44317</v>
      </c>
      <c r="J1403" s="4">
        <v>0</v>
      </c>
      <c r="K1403" s="4">
        <v>0</v>
      </c>
      <c r="L1403" s="4">
        <v>-0.498</v>
      </c>
      <c r="M1403" s="4">
        <v>-0.498</v>
      </c>
      <c r="N1403" s="4">
        <v>-0.498</v>
      </c>
      <c r="O1403" s="4">
        <v>-0.498</v>
      </c>
      <c r="P1403" s="4">
        <v>-8</v>
      </c>
      <c r="Q1403" s="3" t="s">
        <v>26</v>
      </c>
      <c r="R1403" s="3">
        <v>0</v>
      </c>
      <c r="S1403" s="4">
        <v>0</v>
      </c>
      <c r="T1403" s="4">
        <v>28</v>
      </c>
      <c r="U1403" s="4">
        <v>101</v>
      </c>
      <c r="V1403" s="4">
        <f>IF(ISERROR(VLOOKUP($S$1403,'TAR FIN'!$A$1:$O$113,15,0)),0,VLOOKUP($S$1403,'TAR FIN'!$A$1:$O$113,15,0))</f>
        <v>0</v>
      </c>
      <c r="W1403" s="4">
        <f>IF(ISERROR(VLOOKUP($T$1403,'TAR FIN'!$A$1:$O$113,15,0)),0,VLOOKUP($T$1403,'TAR FIN'!$A$1:$O$113,15,0))</f>
        <v>277.05</v>
      </c>
      <c r="X1403" s="4">
        <f>IF(ISERROR(VLOOKUP($U$1403,'TAR FIN'!$A$1:$O$113,15,0)),0,VLOOKUP($U$1403,'TAR FIN'!$A$1:$O$113,15,0))</f>
        <v>210.82</v>
      </c>
      <c r="Y1403" s="4"/>
      <c r="Z140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3" s="4">
        <f>('TE BE'!$AA$22+'TE BF'!$AA$22+'TE CVA'!$AA$22)*(1-CUSTOS!$M$36)</f>
        <v>211.21139501317745</v>
      </c>
      <c r="AB1403" s="4">
        <f>$K$1403*$V$1403</f>
        <v>0</v>
      </c>
      <c r="AC1403" s="4">
        <f>$M$1403*$W$1403</f>
        <v>-137.9709</v>
      </c>
      <c r="AD1403" s="4">
        <f>$O$1403*$X$1403</f>
        <v>-104.98836</v>
      </c>
      <c r="AE1403" s="4">
        <f>$K$1403*$Y$1403</f>
        <v>0</v>
      </c>
      <c r="AF1403" s="4">
        <f ca="1">$M$1403*$Z$1403</f>
        <v>-159.85360375093097</v>
      </c>
      <c r="AG1403" s="4">
        <f>$O$1403*$AA$1403</f>
        <v>-105.18327471656237</v>
      </c>
    </row>
    <row r="1404" spans="1:33" ht="11.25" customHeight="1" x14ac:dyDescent="0.25">
      <c r="A1404" s="3" t="s">
        <v>28</v>
      </c>
      <c r="B1404" s="3" t="s">
        <v>22</v>
      </c>
      <c r="C1404" s="3" t="s">
        <v>23</v>
      </c>
      <c r="D1404" s="3" t="s">
        <v>24</v>
      </c>
      <c r="E1404" s="3" t="s">
        <v>31</v>
      </c>
      <c r="F1404" s="3" t="s">
        <v>25</v>
      </c>
      <c r="G1404" s="3" t="s">
        <v>25</v>
      </c>
      <c r="H1404" s="3" t="s">
        <v>25</v>
      </c>
      <c r="I1404" s="6">
        <v>44317</v>
      </c>
      <c r="J1404" s="4">
        <v>0</v>
      </c>
      <c r="K1404" s="4">
        <v>0</v>
      </c>
      <c r="L1404" s="4">
        <v>1.2569999999999999</v>
      </c>
      <c r="M1404" s="4">
        <v>1.2569999999999999</v>
      </c>
      <c r="N1404" s="4">
        <v>1.2569999999999999</v>
      </c>
      <c r="O1404" s="4">
        <v>1.2569999999999999</v>
      </c>
      <c r="P1404" s="4">
        <v>14</v>
      </c>
      <c r="Q1404" s="3" t="s">
        <v>26</v>
      </c>
      <c r="R1404" s="3">
        <v>0</v>
      </c>
      <c r="S1404" s="4">
        <v>0</v>
      </c>
      <c r="T1404" s="4">
        <v>28</v>
      </c>
      <c r="U1404" s="4">
        <v>101</v>
      </c>
      <c r="V1404" s="4">
        <f>IF(ISERROR(VLOOKUP($S$1404,'TAR FIN'!$A$1:$O$113,15,0)),0,VLOOKUP($S$1404,'TAR FIN'!$A$1:$O$113,15,0))</f>
        <v>0</v>
      </c>
      <c r="W1404" s="4">
        <f>IF(ISERROR(VLOOKUP($T$1404,'TAR FIN'!$A$1:$O$113,15,0)),0,VLOOKUP($T$1404,'TAR FIN'!$A$1:$O$113,15,0))</f>
        <v>277.05</v>
      </c>
      <c r="X1404" s="4">
        <f>IF(ISERROR(VLOOKUP($U$1404,'TAR FIN'!$A$1:$O$113,15,0)),0,VLOOKUP($U$1404,'TAR FIN'!$A$1:$O$113,15,0))</f>
        <v>210.82</v>
      </c>
      <c r="Y1404" s="4"/>
      <c r="Z140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4" s="4">
        <f>('TE BE'!$AA$22+'TE BF'!$AA$22+'TE CVA'!$AA$22)*(1-CUSTOS!$M$36)</f>
        <v>211.21139501317745</v>
      </c>
      <c r="AB1404" s="4">
        <f>$K$1404*$V$1404</f>
        <v>0</v>
      </c>
      <c r="AC1404" s="4">
        <f>$M$1404*$W$1404</f>
        <v>348.25184999999999</v>
      </c>
      <c r="AD1404" s="4">
        <f>$O$1404*$X$1404</f>
        <v>265.00073999999995</v>
      </c>
      <c r="AE1404" s="4">
        <f>$K$1404*$Y$1404</f>
        <v>0</v>
      </c>
      <c r="AF1404" s="4">
        <f ca="1">$M$1404*$Z$1404</f>
        <v>403.48590344361492</v>
      </c>
      <c r="AG1404" s="4">
        <f>$O$1404*$AA$1404</f>
        <v>265.49272353156402</v>
      </c>
    </row>
    <row r="1405" spans="1:33" ht="11.25" customHeight="1" x14ac:dyDescent="0.25">
      <c r="A1405" s="3" t="s">
        <v>21</v>
      </c>
      <c r="B1405" s="3" t="s">
        <v>22</v>
      </c>
      <c r="C1405" s="3" t="s">
        <v>23</v>
      </c>
      <c r="D1405" s="3" t="s">
        <v>24</v>
      </c>
      <c r="E1405" s="3" t="s">
        <v>31</v>
      </c>
      <c r="F1405" s="3" t="s">
        <v>25</v>
      </c>
      <c r="G1405" s="3" t="s">
        <v>25</v>
      </c>
      <c r="H1405" s="3" t="s">
        <v>25</v>
      </c>
      <c r="I1405" s="6">
        <v>44348</v>
      </c>
      <c r="J1405" s="4">
        <v>0</v>
      </c>
      <c r="K1405" s="4">
        <v>0</v>
      </c>
      <c r="L1405" s="4">
        <v>4336.3</v>
      </c>
      <c r="M1405" s="4">
        <v>4336.3</v>
      </c>
      <c r="N1405" s="4">
        <v>4336.3</v>
      </c>
      <c r="O1405" s="4">
        <v>4336.3</v>
      </c>
      <c r="P1405" s="4">
        <v>76065</v>
      </c>
      <c r="Q1405" s="3" t="s">
        <v>26</v>
      </c>
      <c r="R1405" s="3">
        <v>0</v>
      </c>
      <c r="S1405" s="4">
        <v>0</v>
      </c>
      <c r="T1405" s="4">
        <v>28</v>
      </c>
      <c r="U1405" s="4">
        <v>101</v>
      </c>
      <c r="V1405" s="4">
        <f>IF(ISERROR(VLOOKUP($S$1405,'TAR FIN'!$A$1:$O$113,15,0)),0,VLOOKUP($S$1405,'TAR FIN'!$A$1:$O$113,15,0))</f>
        <v>0</v>
      </c>
      <c r="W1405" s="4">
        <f>IF(ISERROR(VLOOKUP($T$1405,'TAR FIN'!$A$1:$O$113,15,0)),0,VLOOKUP($T$1405,'TAR FIN'!$A$1:$O$113,15,0))</f>
        <v>277.05</v>
      </c>
      <c r="X1405" s="4">
        <f>IF(ISERROR(VLOOKUP($U$1405,'TAR FIN'!$A$1:$O$113,15,0)),0,VLOOKUP($U$1405,'TAR FIN'!$A$1:$O$113,15,0))</f>
        <v>210.82</v>
      </c>
      <c r="Y1405" s="4"/>
      <c r="Z140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5" s="4">
        <f>('TE BE'!$AA$22+'TE BF'!$AA$22+'TE CVA'!$AA$22)*(1-CUSTOS!$M$36)</f>
        <v>211.21139501317745</v>
      </c>
      <c r="AB1405" s="4">
        <f>$K$1405*$V$1405</f>
        <v>0</v>
      </c>
      <c r="AC1405" s="4">
        <f>$M$1405*$W$1405</f>
        <v>1201371.915</v>
      </c>
      <c r="AD1405" s="4">
        <f>$O$1405*$X$1405</f>
        <v>914178.76600000006</v>
      </c>
      <c r="AE1405" s="4">
        <f>$K$1405*$Y$1405</f>
        <v>0</v>
      </c>
      <c r="AF1405" s="4">
        <f ca="1">$M$1405*$Z$1405</f>
        <v>1391914.0199702049</v>
      </c>
      <c r="AG1405" s="4">
        <f>$O$1405*$AA$1405</f>
        <v>915875.97219564137</v>
      </c>
    </row>
    <row r="1406" spans="1:33" ht="11.25" customHeight="1" x14ac:dyDescent="0.25">
      <c r="A1406" s="3" t="s">
        <v>27</v>
      </c>
      <c r="B1406" s="3" t="s">
        <v>22</v>
      </c>
      <c r="C1406" s="3" t="s">
        <v>23</v>
      </c>
      <c r="D1406" s="3" t="s">
        <v>24</v>
      </c>
      <c r="E1406" s="3" t="s">
        <v>31</v>
      </c>
      <c r="F1406" s="3" t="s">
        <v>25</v>
      </c>
      <c r="G1406" s="3" t="s">
        <v>25</v>
      </c>
      <c r="H1406" s="3" t="s">
        <v>25</v>
      </c>
      <c r="I1406" s="6">
        <v>44348</v>
      </c>
      <c r="J1406" s="4">
        <v>0</v>
      </c>
      <c r="K1406" s="4">
        <v>0</v>
      </c>
      <c r="L1406" s="4">
        <v>-13.119</v>
      </c>
      <c r="M1406" s="4">
        <v>-13.119</v>
      </c>
      <c r="N1406" s="4">
        <v>-13.119</v>
      </c>
      <c r="O1406" s="4">
        <v>-13.119</v>
      </c>
      <c r="P1406" s="4">
        <v>-17</v>
      </c>
      <c r="Q1406" s="3" t="s">
        <v>26</v>
      </c>
      <c r="R1406" s="3">
        <v>0</v>
      </c>
      <c r="S1406" s="4">
        <v>0</v>
      </c>
      <c r="T1406" s="4">
        <v>28</v>
      </c>
      <c r="U1406" s="4">
        <v>101</v>
      </c>
      <c r="V1406" s="4">
        <f>IF(ISERROR(VLOOKUP($S$1406,'TAR FIN'!$A$1:$O$113,15,0)),0,VLOOKUP($S$1406,'TAR FIN'!$A$1:$O$113,15,0))</f>
        <v>0</v>
      </c>
      <c r="W1406" s="4">
        <f>IF(ISERROR(VLOOKUP($T$1406,'TAR FIN'!$A$1:$O$113,15,0)),0,VLOOKUP($T$1406,'TAR FIN'!$A$1:$O$113,15,0))</f>
        <v>277.05</v>
      </c>
      <c r="X1406" s="4">
        <f>IF(ISERROR(VLOOKUP($U$1406,'TAR FIN'!$A$1:$O$113,15,0)),0,VLOOKUP($U$1406,'TAR FIN'!$A$1:$O$113,15,0))</f>
        <v>210.82</v>
      </c>
      <c r="Y1406" s="4"/>
      <c r="Z140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6" s="4">
        <f>('TE BE'!$AA$22+'TE BF'!$AA$22+'TE CVA'!$AA$22)*(1-CUSTOS!$M$36)</f>
        <v>211.21139501317745</v>
      </c>
      <c r="AB1406" s="4">
        <f>$K$1406*$V$1406</f>
        <v>0</v>
      </c>
      <c r="AC1406" s="4">
        <f>$M$1406*$W$1406</f>
        <v>-3634.61895</v>
      </c>
      <c r="AD1406" s="4">
        <f>$O$1406*$X$1406</f>
        <v>-2765.7475799999997</v>
      </c>
      <c r="AE1406" s="4">
        <f>$K$1406*$Y$1406</f>
        <v>0</v>
      </c>
      <c r="AF1406" s="4">
        <f ca="1">$M$1406*$Z$1406</f>
        <v>-4211.0831879688021</v>
      </c>
      <c r="AG1406" s="4">
        <f>$O$1406*$AA$1406</f>
        <v>-2770.8822911778748</v>
      </c>
    </row>
    <row r="1407" spans="1:33" ht="11.25" customHeight="1" x14ac:dyDescent="0.25">
      <c r="A1407" s="3" t="s">
        <v>28</v>
      </c>
      <c r="B1407" s="3" t="s">
        <v>22</v>
      </c>
      <c r="C1407" s="3" t="s">
        <v>23</v>
      </c>
      <c r="D1407" s="3" t="s">
        <v>24</v>
      </c>
      <c r="E1407" s="3" t="s">
        <v>31</v>
      </c>
      <c r="F1407" s="3" t="s">
        <v>25</v>
      </c>
      <c r="G1407" s="3" t="s">
        <v>25</v>
      </c>
      <c r="H1407" s="3" t="s">
        <v>25</v>
      </c>
      <c r="I1407" s="6">
        <v>44348</v>
      </c>
      <c r="J1407" s="4">
        <v>0</v>
      </c>
      <c r="K1407" s="4">
        <v>0</v>
      </c>
      <c r="L1407" s="4">
        <v>1.196</v>
      </c>
      <c r="M1407" s="4">
        <v>1.196</v>
      </c>
      <c r="N1407" s="4">
        <v>1.196</v>
      </c>
      <c r="O1407" s="4">
        <v>1.196</v>
      </c>
      <c r="P1407" s="4">
        <v>21</v>
      </c>
      <c r="Q1407" s="3" t="s">
        <v>26</v>
      </c>
      <c r="R1407" s="3">
        <v>0</v>
      </c>
      <c r="S1407" s="4">
        <v>0</v>
      </c>
      <c r="T1407" s="4">
        <v>28</v>
      </c>
      <c r="U1407" s="4">
        <v>101</v>
      </c>
      <c r="V1407" s="4">
        <f>IF(ISERROR(VLOOKUP($S$1407,'TAR FIN'!$A$1:$O$113,15,0)),0,VLOOKUP($S$1407,'TAR FIN'!$A$1:$O$113,15,0))</f>
        <v>0</v>
      </c>
      <c r="W1407" s="4">
        <f>IF(ISERROR(VLOOKUP($T$1407,'TAR FIN'!$A$1:$O$113,15,0)),0,VLOOKUP($T$1407,'TAR FIN'!$A$1:$O$113,15,0))</f>
        <v>277.05</v>
      </c>
      <c r="X1407" s="4">
        <f>IF(ISERROR(VLOOKUP($U$1407,'TAR FIN'!$A$1:$O$113,15,0)),0,VLOOKUP($U$1407,'TAR FIN'!$A$1:$O$113,15,0))</f>
        <v>210.82</v>
      </c>
      <c r="Y1407" s="4"/>
      <c r="Z140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7" s="4">
        <f>('TE BE'!$AA$22+'TE BF'!$AA$22+'TE CVA'!$AA$22)*(1-CUSTOS!$M$36)</f>
        <v>211.21139501317745</v>
      </c>
      <c r="AB1407" s="4">
        <f>$K$1407*$V$1407</f>
        <v>0</v>
      </c>
      <c r="AC1407" s="4">
        <f>$M$1407*$W$1407</f>
        <v>331.35180000000003</v>
      </c>
      <c r="AD1407" s="4">
        <f>$O$1407*$X$1407</f>
        <v>252.14071999999999</v>
      </c>
      <c r="AE1407" s="4">
        <f>$K$1407*$Y$1407</f>
        <v>0</v>
      </c>
      <c r="AF1407" s="4">
        <f ca="1">$M$1407*$Z$1407</f>
        <v>383.90544193998687</v>
      </c>
      <c r="AG1407" s="4">
        <f>$O$1407*$AA$1407</f>
        <v>252.60882843576022</v>
      </c>
    </row>
    <row r="1408" spans="1:33" ht="11.25" customHeight="1" x14ac:dyDescent="0.25">
      <c r="A1408" s="3" t="s">
        <v>21</v>
      </c>
      <c r="B1408" s="3" t="s">
        <v>22</v>
      </c>
      <c r="C1408" s="3" t="s">
        <v>23</v>
      </c>
      <c r="D1408" s="3" t="s">
        <v>24</v>
      </c>
      <c r="E1408" s="3" t="s">
        <v>31</v>
      </c>
      <c r="F1408" s="3" t="s">
        <v>25</v>
      </c>
      <c r="G1408" s="3" t="s">
        <v>25</v>
      </c>
      <c r="H1408" s="3" t="s">
        <v>25</v>
      </c>
      <c r="I1408" s="6">
        <v>44378</v>
      </c>
      <c r="J1408" s="4">
        <v>0</v>
      </c>
      <c r="K1408" s="4">
        <v>0</v>
      </c>
      <c r="L1408" s="4">
        <v>4159.99</v>
      </c>
      <c r="M1408" s="4">
        <v>4159.99</v>
      </c>
      <c r="N1408" s="4">
        <v>4159.99</v>
      </c>
      <c r="O1408" s="4">
        <v>4159.99</v>
      </c>
      <c r="P1408" s="4">
        <v>75018</v>
      </c>
      <c r="Q1408" s="3" t="s">
        <v>26</v>
      </c>
      <c r="R1408" s="3">
        <v>0</v>
      </c>
      <c r="S1408" s="4">
        <v>0</v>
      </c>
      <c r="T1408" s="4">
        <v>28</v>
      </c>
      <c r="U1408" s="4">
        <v>101</v>
      </c>
      <c r="V1408" s="4">
        <f>IF(ISERROR(VLOOKUP($S$1408,'TAR FIN'!$A$1:$O$113,15,0)),0,VLOOKUP($S$1408,'TAR FIN'!$A$1:$O$113,15,0))</f>
        <v>0</v>
      </c>
      <c r="W1408" s="4">
        <f>IF(ISERROR(VLOOKUP($T$1408,'TAR FIN'!$A$1:$O$113,15,0)),0,VLOOKUP($T$1408,'TAR FIN'!$A$1:$O$113,15,0))</f>
        <v>277.05</v>
      </c>
      <c r="X1408" s="4">
        <f>IF(ISERROR(VLOOKUP($U$1408,'TAR FIN'!$A$1:$O$113,15,0)),0,VLOOKUP($U$1408,'TAR FIN'!$A$1:$O$113,15,0))</f>
        <v>210.82</v>
      </c>
      <c r="Y1408" s="4"/>
      <c r="Z140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8" s="4">
        <f>('TE BE'!$AA$22+'TE BF'!$AA$22+'TE CVA'!$AA$22)*(1-CUSTOS!$M$36)</f>
        <v>211.21139501317745</v>
      </c>
      <c r="AB1408" s="4">
        <f>$K$1408*$V$1408</f>
        <v>0</v>
      </c>
      <c r="AC1408" s="4">
        <f>$M$1408*$W$1408</f>
        <v>1152525.2294999999</v>
      </c>
      <c r="AD1408" s="4">
        <f>$O$1408*$X$1408</f>
        <v>877009.09179999994</v>
      </c>
      <c r="AE1408" s="4">
        <f>$K$1408*$Y$1408</f>
        <v>0</v>
      </c>
      <c r="AF1408" s="4">
        <f ca="1">$M$1408*$Z$1408</f>
        <v>1335320.0664012758</v>
      </c>
      <c r="AG1408" s="4">
        <f>$O$1408*$AA$1408</f>
        <v>878637.29114086798</v>
      </c>
    </row>
    <row r="1409" spans="1:33" ht="11.25" customHeight="1" x14ac:dyDescent="0.25">
      <c r="A1409" s="3" t="s">
        <v>27</v>
      </c>
      <c r="B1409" s="3" t="s">
        <v>22</v>
      </c>
      <c r="C1409" s="3" t="s">
        <v>23</v>
      </c>
      <c r="D1409" s="3" t="s">
        <v>24</v>
      </c>
      <c r="E1409" s="3" t="s">
        <v>31</v>
      </c>
      <c r="F1409" s="3" t="s">
        <v>25</v>
      </c>
      <c r="G1409" s="3" t="s">
        <v>25</v>
      </c>
      <c r="H1409" s="3" t="s">
        <v>25</v>
      </c>
      <c r="I1409" s="6">
        <v>44378</v>
      </c>
      <c r="J1409" s="4">
        <v>0</v>
      </c>
      <c r="K1409" s="4">
        <v>0</v>
      </c>
      <c r="L1409" s="4">
        <v>-2.1030000000000002</v>
      </c>
      <c r="M1409" s="4">
        <v>-2.1030000000000002</v>
      </c>
      <c r="N1409" s="4">
        <v>-2.1030000000000002</v>
      </c>
      <c r="O1409" s="4">
        <v>-2.1030000000000002</v>
      </c>
      <c r="P1409" s="4">
        <v>-3</v>
      </c>
      <c r="Q1409" s="3" t="s">
        <v>26</v>
      </c>
      <c r="R1409" s="3">
        <v>0</v>
      </c>
      <c r="S1409" s="4">
        <v>0</v>
      </c>
      <c r="T1409" s="4">
        <v>28</v>
      </c>
      <c r="U1409" s="4">
        <v>101</v>
      </c>
      <c r="V1409" s="4">
        <f>IF(ISERROR(VLOOKUP($S$1409,'TAR FIN'!$A$1:$O$113,15,0)),0,VLOOKUP($S$1409,'TAR FIN'!$A$1:$O$113,15,0))</f>
        <v>0</v>
      </c>
      <c r="W1409" s="4">
        <f>IF(ISERROR(VLOOKUP($T$1409,'TAR FIN'!$A$1:$O$113,15,0)),0,VLOOKUP($T$1409,'TAR FIN'!$A$1:$O$113,15,0))</f>
        <v>277.05</v>
      </c>
      <c r="X1409" s="4">
        <f>IF(ISERROR(VLOOKUP($U$1409,'TAR FIN'!$A$1:$O$113,15,0)),0,VLOOKUP($U$1409,'TAR FIN'!$A$1:$O$113,15,0))</f>
        <v>210.82</v>
      </c>
      <c r="Y1409" s="4"/>
      <c r="Z140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09" s="4">
        <f>('TE BE'!$AA$22+'TE BF'!$AA$22+'TE CVA'!$AA$22)*(1-CUSTOS!$M$36)</f>
        <v>211.21139501317745</v>
      </c>
      <c r="AB1409" s="4">
        <f>$K$1409*$V$1409</f>
        <v>0</v>
      </c>
      <c r="AC1409" s="4">
        <f>$M$1409*$W$1409</f>
        <v>-582.63615000000004</v>
      </c>
      <c r="AD1409" s="4">
        <f>$O$1409*$X$1409</f>
        <v>-443.35446000000002</v>
      </c>
      <c r="AE1409" s="4">
        <f>$K$1409*$Y$1409</f>
        <v>0</v>
      </c>
      <c r="AF1409" s="4">
        <f ca="1">$M$1409*$Z$1409</f>
        <v>-675.04443511688328</v>
      </c>
      <c r="AG1409" s="4">
        <f>$O$1409*$AA$1409</f>
        <v>-444.17756371271224</v>
      </c>
    </row>
    <row r="1410" spans="1:33" ht="11.25" customHeight="1" x14ac:dyDescent="0.25">
      <c r="A1410" s="3" t="s">
        <v>28</v>
      </c>
      <c r="B1410" s="3" t="s">
        <v>22</v>
      </c>
      <c r="C1410" s="3" t="s">
        <v>23</v>
      </c>
      <c r="D1410" s="3" t="s">
        <v>24</v>
      </c>
      <c r="E1410" s="3" t="s">
        <v>31</v>
      </c>
      <c r="F1410" s="3" t="s">
        <v>25</v>
      </c>
      <c r="G1410" s="3" t="s">
        <v>25</v>
      </c>
      <c r="H1410" s="3" t="s">
        <v>25</v>
      </c>
      <c r="I1410" s="6">
        <v>44378</v>
      </c>
      <c r="J1410" s="4">
        <v>0</v>
      </c>
      <c r="K1410" s="4">
        <v>0</v>
      </c>
      <c r="L1410" s="4">
        <v>1.7070000000000001</v>
      </c>
      <c r="M1410" s="4">
        <v>1.7070000000000001</v>
      </c>
      <c r="N1410" s="4">
        <v>1.7070000000000001</v>
      </c>
      <c r="O1410" s="4">
        <v>1.7070000000000001</v>
      </c>
      <c r="P1410" s="4">
        <v>23</v>
      </c>
      <c r="Q1410" s="3" t="s">
        <v>26</v>
      </c>
      <c r="R1410" s="3">
        <v>0</v>
      </c>
      <c r="S1410" s="4">
        <v>0</v>
      </c>
      <c r="T1410" s="4">
        <v>28</v>
      </c>
      <c r="U1410" s="4">
        <v>101</v>
      </c>
      <c r="V1410" s="4">
        <f>IF(ISERROR(VLOOKUP($S$1410,'TAR FIN'!$A$1:$O$113,15,0)),0,VLOOKUP($S$1410,'TAR FIN'!$A$1:$O$113,15,0))</f>
        <v>0</v>
      </c>
      <c r="W1410" s="4">
        <f>IF(ISERROR(VLOOKUP($T$1410,'TAR FIN'!$A$1:$O$113,15,0)),0,VLOOKUP($T$1410,'TAR FIN'!$A$1:$O$113,15,0))</f>
        <v>277.05</v>
      </c>
      <c r="X1410" s="4">
        <f>IF(ISERROR(VLOOKUP($U$1410,'TAR FIN'!$A$1:$O$113,15,0)),0,VLOOKUP($U$1410,'TAR FIN'!$A$1:$O$113,15,0))</f>
        <v>210.82</v>
      </c>
      <c r="Y1410" s="4"/>
      <c r="Z141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0" s="4">
        <f>('TE BE'!$AA$22+'TE BF'!$AA$22+'TE CVA'!$AA$22)*(1-CUSTOS!$M$36)</f>
        <v>211.21139501317745</v>
      </c>
      <c r="AB1410" s="4">
        <f>$K$1410*$V$1410</f>
        <v>0</v>
      </c>
      <c r="AC1410" s="4">
        <f>$M$1410*$W$1410</f>
        <v>472.92435000000006</v>
      </c>
      <c r="AD1410" s="4">
        <f>$O$1410*$X$1410</f>
        <v>359.86973999999998</v>
      </c>
      <c r="AE1410" s="4">
        <f>$K$1410*$Y$1410</f>
        <v>0</v>
      </c>
      <c r="AF1410" s="4">
        <f ca="1">$M$1410*$Z$1410</f>
        <v>547.931930929396</v>
      </c>
      <c r="AG1410" s="4">
        <f>$O$1410*$AA$1410</f>
        <v>360.53785128749394</v>
      </c>
    </row>
    <row r="1411" spans="1:33" ht="11.25" customHeight="1" x14ac:dyDescent="0.25">
      <c r="A1411" s="3" t="s">
        <v>21</v>
      </c>
      <c r="B1411" s="3" t="s">
        <v>22</v>
      </c>
      <c r="C1411" s="3" t="s">
        <v>23</v>
      </c>
      <c r="D1411" s="3" t="s">
        <v>24</v>
      </c>
      <c r="E1411" s="3" t="s">
        <v>31</v>
      </c>
      <c r="F1411" s="3" t="s">
        <v>25</v>
      </c>
      <c r="G1411" s="3" t="s">
        <v>25</v>
      </c>
      <c r="H1411" s="3" t="s">
        <v>25</v>
      </c>
      <c r="I1411" s="6">
        <v>44409</v>
      </c>
      <c r="J1411" s="4">
        <v>0</v>
      </c>
      <c r="K1411" s="4">
        <v>0</v>
      </c>
      <c r="L1411" s="4">
        <v>3609.5309999999999</v>
      </c>
      <c r="M1411" s="4">
        <v>3609.5309999999999</v>
      </c>
      <c r="N1411" s="4">
        <v>3609.5309999999999</v>
      </c>
      <c r="O1411" s="4">
        <v>3609.5309999999999</v>
      </c>
      <c r="P1411" s="4">
        <v>68251</v>
      </c>
      <c r="Q1411" s="3" t="s">
        <v>26</v>
      </c>
      <c r="R1411" s="3">
        <v>0</v>
      </c>
      <c r="S1411" s="4">
        <v>0</v>
      </c>
      <c r="T1411" s="4">
        <v>28</v>
      </c>
      <c r="U1411" s="4">
        <v>101</v>
      </c>
      <c r="V1411" s="4">
        <f>IF(ISERROR(VLOOKUP($S$1411,'TAR FIN'!$A$1:$O$113,15,0)),0,VLOOKUP($S$1411,'TAR FIN'!$A$1:$O$113,15,0))</f>
        <v>0</v>
      </c>
      <c r="W1411" s="4">
        <f>IF(ISERROR(VLOOKUP($T$1411,'TAR FIN'!$A$1:$O$113,15,0)),0,VLOOKUP($T$1411,'TAR FIN'!$A$1:$O$113,15,0))</f>
        <v>277.05</v>
      </c>
      <c r="X1411" s="4">
        <f>IF(ISERROR(VLOOKUP($U$1411,'TAR FIN'!$A$1:$O$113,15,0)),0,VLOOKUP($U$1411,'TAR FIN'!$A$1:$O$113,15,0))</f>
        <v>210.82</v>
      </c>
      <c r="Y1411" s="4"/>
      <c r="Z141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1" s="4">
        <f>('TE BE'!$AA$22+'TE BF'!$AA$22+'TE CVA'!$AA$22)*(1-CUSTOS!$M$36)</f>
        <v>211.21139501317745</v>
      </c>
      <c r="AB1411" s="4">
        <f>$K$1411*$V$1411</f>
        <v>0</v>
      </c>
      <c r="AC1411" s="4">
        <f>$M$1411*$W$1411</f>
        <v>1000020.5635500001</v>
      </c>
      <c r="AD1411" s="4">
        <f>$O$1411*$X$1411</f>
        <v>760961.32542000001</v>
      </c>
      <c r="AE1411" s="4">
        <f>$K$1411*$Y$1411</f>
        <v>0</v>
      </c>
      <c r="AF1411" s="4">
        <f ca="1">$M$1411*$Z$1411</f>
        <v>1158627.586748397</v>
      </c>
      <c r="AG1411" s="4">
        <f>$O$1411*$AA$1411</f>
        <v>762374.07785330946</v>
      </c>
    </row>
    <row r="1412" spans="1:33" ht="11.25" customHeight="1" x14ac:dyDescent="0.25">
      <c r="A1412" s="3" t="s">
        <v>27</v>
      </c>
      <c r="B1412" s="3" t="s">
        <v>22</v>
      </c>
      <c r="C1412" s="3" t="s">
        <v>23</v>
      </c>
      <c r="D1412" s="3" t="s">
        <v>24</v>
      </c>
      <c r="E1412" s="3" t="s">
        <v>31</v>
      </c>
      <c r="F1412" s="3" t="s">
        <v>25</v>
      </c>
      <c r="G1412" s="3" t="s">
        <v>25</v>
      </c>
      <c r="H1412" s="3" t="s">
        <v>25</v>
      </c>
      <c r="I1412" s="6">
        <v>44409</v>
      </c>
      <c r="J1412" s="4">
        <v>0</v>
      </c>
      <c r="K1412" s="4">
        <v>0</v>
      </c>
      <c r="L1412" s="4">
        <v>-1.468</v>
      </c>
      <c r="M1412" s="4">
        <v>-1.468</v>
      </c>
      <c r="N1412" s="4">
        <v>-1.468</v>
      </c>
      <c r="O1412" s="4">
        <v>-1.468</v>
      </c>
      <c r="P1412" s="4">
        <v>-8</v>
      </c>
      <c r="Q1412" s="3" t="s">
        <v>26</v>
      </c>
      <c r="R1412" s="3">
        <v>0</v>
      </c>
      <c r="S1412" s="4">
        <v>0</v>
      </c>
      <c r="T1412" s="4">
        <v>28</v>
      </c>
      <c r="U1412" s="4">
        <v>101</v>
      </c>
      <c r="V1412" s="4">
        <f>IF(ISERROR(VLOOKUP($S$1412,'TAR FIN'!$A$1:$O$113,15,0)),0,VLOOKUP($S$1412,'TAR FIN'!$A$1:$O$113,15,0))</f>
        <v>0</v>
      </c>
      <c r="W1412" s="4">
        <f>IF(ISERROR(VLOOKUP($T$1412,'TAR FIN'!$A$1:$O$113,15,0)),0,VLOOKUP($T$1412,'TAR FIN'!$A$1:$O$113,15,0))</f>
        <v>277.05</v>
      </c>
      <c r="X1412" s="4">
        <f>IF(ISERROR(VLOOKUP($U$1412,'TAR FIN'!$A$1:$O$113,15,0)),0,VLOOKUP($U$1412,'TAR FIN'!$A$1:$O$113,15,0))</f>
        <v>210.82</v>
      </c>
      <c r="Y1412" s="4"/>
      <c r="Z141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2" s="4">
        <f>('TE BE'!$AA$22+'TE BF'!$AA$22+'TE CVA'!$AA$22)*(1-CUSTOS!$M$36)</f>
        <v>211.21139501317745</v>
      </c>
      <c r="AB1412" s="4">
        <f>$K$1412*$V$1412</f>
        <v>0</v>
      </c>
      <c r="AC1412" s="4">
        <f>$M$1412*$W$1412</f>
        <v>-406.70940000000002</v>
      </c>
      <c r="AD1412" s="4">
        <f>$O$1412*$X$1412</f>
        <v>-309.48375999999996</v>
      </c>
      <c r="AE1412" s="4">
        <f>$K$1412*$Y$1412</f>
        <v>0</v>
      </c>
      <c r="AF1412" s="4">
        <f ca="1">$M$1412*$Z$1412</f>
        <v>-471.21504077583671</v>
      </c>
      <c r="AG1412" s="4">
        <f>$O$1412*$AA$1412</f>
        <v>-310.05832787934452</v>
      </c>
    </row>
    <row r="1413" spans="1:33" ht="11.25" customHeight="1" x14ac:dyDescent="0.25">
      <c r="A1413" s="3" t="s">
        <v>28</v>
      </c>
      <c r="B1413" s="3" t="s">
        <v>22</v>
      </c>
      <c r="C1413" s="3" t="s">
        <v>23</v>
      </c>
      <c r="D1413" s="3" t="s">
        <v>24</v>
      </c>
      <c r="E1413" s="3" t="s">
        <v>31</v>
      </c>
      <c r="F1413" s="3" t="s">
        <v>25</v>
      </c>
      <c r="G1413" s="3" t="s">
        <v>25</v>
      </c>
      <c r="H1413" s="3" t="s">
        <v>25</v>
      </c>
      <c r="I1413" s="6">
        <v>44409</v>
      </c>
      <c r="J1413" s="4">
        <v>0</v>
      </c>
      <c r="K1413" s="4">
        <v>0</v>
      </c>
      <c r="L1413" s="4">
        <v>1.56</v>
      </c>
      <c r="M1413" s="4">
        <v>1.56</v>
      </c>
      <c r="N1413" s="4">
        <v>1.56</v>
      </c>
      <c r="O1413" s="4">
        <v>1.56</v>
      </c>
      <c r="P1413" s="4">
        <v>26</v>
      </c>
      <c r="Q1413" s="3" t="s">
        <v>26</v>
      </c>
      <c r="R1413" s="3">
        <v>0</v>
      </c>
      <c r="S1413" s="4">
        <v>0</v>
      </c>
      <c r="T1413" s="4">
        <v>28</v>
      </c>
      <c r="U1413" s="4">
        <v>101</v>
      </c>
      <c r="V1413" s="4">
        <f>IF(ISERROR(VLOOKUP($S$1413,'TAR FIN'!$A$1:$O$113,15,0)),0,VLOOKUP($S$1413,'TAR FIN'!$A$1:$O$113,15,0))</f>
        <v>0</v>
      </c>
      <c r="W1413" s="4">
        <f>IF(ISERROR(VLOOKUP($T$1413,'TAR FIN'!$A$1:$O$113,15,0)),0,VLOOKUP($T$1413,'TAR FIN'!$A$1:$O$113,15,0))</f>
        <v>277.05</v>
      </c>
      <c r="X1413" s="4">
        <f>IF(ISERROR(VLOOKUP($U$1413,'TAR FIN'!$A$1:$O$113,15,0)),0,VLOOKUP($U$1413,'TAR FIN'!$A$1:$O$113,15,0))</f>
        <v>210.82</v>
      </c>
      <c r="Y1413" s="4"/>
      <c r="Z141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3" s="4">
        <f>('TE BE'!$AA$22+'TE BF'!$AA$22+'TE CVA'!$AA$22)*(1-CUSTOS!$M$36)</f>
        <v>211.21139501317745</v>
      </c>
      <c r="AB1413" s="4">
        <f>$K$1413*$V$1413</f>
        <v>0</v>
      </c>
      <c r="AC1413" s="4">
        <f>$M$1413*$W$1413</f>
        <v>432.19800000000004</v>
      </c>
      <c r="AD1413" s="4">
        <f>$O$1413*$X$1413</f>
        <v>328.87920000000003</v>
      </c>
      <c r="AE1413" s="4">
        <f>$K$1413*$Y$1413</f>
        <v>0</v>
      </c>
      <c r="AF1413" s="4">
        <f ca="1">$M$1413*$Z$1413</f>
        <v>500.74622861737419</v>
      </c>
      <c r="AG1413" s="4">
        <f>$O$1413*$AA$1413</f>
        <v>329.48977622055685</v>
      </c>
    </row>
    <row r="1414" spans="1:33" ht="11.25" customHeight="1" x14ac:dyDescent="0.25">
      <c r="A1414" s="3" t="s">
        <v>21</v>
      </c>
      <c r="B1414" s="3" t="s">
        <v>22</v>
      </c>
      <c r="C1414" s="3" t="s">
        <v>23</v>
      </c>
      <c r="D1414" s="3" t="s">
        <v>24</v>
      </c>
      <c r="E1414" s="3" t="s">
        <v>31</v>
      </c>
      <c r="F1414" s="3" t="s">
        <v>25</v>
      </c>
      <c r="G1414" s="3" t="s">
        <v>25</v>
      </c>
      <c r="H1414" s="3" t="s">
        <v>25</v>
      </c>
      <c r="I1414" s="6">
        <v>44440</v>
      </c>
      <c r="J1414" s="4">
        <v>0</v>
      </c>
      <c r="K1414" s="4">
        <v>0</v>
      </c>
      <c r="L1414" s="4">
        <v>3733.4540000000002</v>
      </c>
      <c r="M1414" s="4">
        <v>3733.4540000000002</v>
      </c>
      <c r="N1414" s="4">
        <v>3733.4540000000002</v>
      </c>
      <c r="O1414" s="4">
        <v>3733.4540000000002</v>
      </c>
      <c r="P1414" s="4">
        <v>69672</v>
      </c>
      <c r="Q1414" s="3" t="s">
        <v>26</v>
      </c>
      <c r="R1414" s="3">
        <v>0</v>
      </c>
      <c r="S1414" s="4">
        <v>0</v>
      </c>
      <c r="T1414" s="4">
        <v>28</v>
      </c>
      <c r="U1414" s="4">
        <v>101</v>
      </c>
      <c r="V1414" s="4">
        <f>IF(ISERROR(VLOOKUP($S$1414,'TAR FIN'!$A$1:$O$113,15,0)),0,VLOOKUP($S$1414,'TAR FIN'!$A$1:$O$113,15,0))</f>
        <v>0</v>
      </c>
      <c r="W1414" s="4">
        <f>IF(ISERROR(VLOOKUP($T$1414,'TAR FIN'!$A$1:$O$113,15,0)),0,VLOOKUP($T$1414,'TAR FIN'!$A$1:$O$113,15,0))</f>
        <v>277.05</v>
      </c>
      <c r="X1414" s="4">
        <f>IF(ISERROR(VLOOKUP($U$1414,'TAR FIN'!$A$1:$O$113,15,0)),0,VLOOKUP($U$1414,'TAR FIN'!$A$1:$O$113,15,0))</f>
        <v>210.82</v>
      </c>
      <c r="Y1414" s="4"/>
      <c r="Z141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4" s="4">
        <f>('TE BE'!$AA$22+'TE BF'!$AA$22+'TE CVA'!$AA$22)*(1-CUSTOS!$M$36)</f>
        <v>211.21139501317745</v>
      </c>
      <c r="AB1414" s="4">
        <f>$K$1414*$V$1414</f>
        <v>0</v>
      </c>
      <c r="AC1414" s="4">
        <f>$M$1414*$W$1414</f>
        <v>1034353.4307000001</v>
      </c>
      <c r="AD1414" s="4">
        <f>$O$1414*$X$1414</f>
        <v>787086.77228000003</v>
      </c>
      <c r="AE1414" s="4">
        <f>$K$1414*$Y$1414</f>
        <v>0</v>
      </c>
      <c r="AF1414" s="4">
        <f ca="1">$M$1414*$Z$1414</f>
        <v>1198405.7757797758</v>
      </c>
      <c r="AG1414" s="4">
        <f>$O$1414*$AA$1414</f>
        <v>788548.02755752741</v>
      </c>
    </row>
    <row r="1415" spans="1:33" ht="11.25" customHeight="1" x14ac:dyDescent="0.25">
      <c r="A1415" s="3" t="s">
        <v>27</v>
      </c>
      <c r="B1415" s="3" t="s">
        <v>22</v>
      </c>
      <c r="C1415" s="3" t="s">
        <v>23</v>
      </c>
      <c r="D1415" s="3" t="s">
        <v>24</v>
      </c>
      <c r="E1415" s="3" t="s">
        <v>31</v>
      </c>
      <c r="F1415" s="3" t="s">
        <v>25</v>
      </c>
      <c r="G1415" s="3" t="s">
        <v>25</v>
      </c>
      <c r="H1415" s="3" t="s">
        <v>25</v>
      </c>
      <c r="I1415" s="6">
        <v>44440</v>
      </c>
      <c r="J1415" s="4">
        <v>0</v>
      </c>
      <c r="K1415" s="4">
        <v>0</v>
      </c>
      <c r="L1415" s="4">
        <v>-2.117</v>
      </c>
      <c r="M1415" s="4">
        <v>-2.117</v>
      </c>
      <c r="N1415" s="4">
        <v>-2.117</v>
      </c>
      <c r="O1415" s="4">
        <v>-2.117</v>
      </c>
      <c r="P1415" s="4">
        <v>-10</v>
      </c>
      <c r="Q1415" s="3" t="s">
        <v>26</v>
      </c>
      <c r="R1415" s="3">
        <v>0</v>
      </c>
      <c r="S1415" s="4">
        <v>0</v>
      </c>
      <c r="T1415" s="4">
        <v>28</v>
      </c>
      <c r="U1415" s="4">
        <v>101</v>
      </c>
      <c r="V1415" s="4">
        <f>IF(ISERROR(VLOOKUP($S$1415,'TAR FIN'!$A$1:$O$113,15,0)),0,VLOOKUP($S$1415,'TAR FIN'!$A$1:$O$113,15,0))</f>
        <v>0</v>
      </c>
      <c r="W1415" s="4">
        <f>IF(ISERROR(VLOOKUP($T$1415,'TAR FIN'!$A$1:$O$113,15,0)),0,VLOOKUP($T$1415,'TAR FIN'!$A$1:$O$113,15,0))</f>
        <v>277.05</v>
      </c>
      <c r="X1415" s="4">
        <f>IF(ISERROR(VLOOKUP($U$1415,'TAR FIN'!$A$1:$O$113,15,0)),0,VLOOKUP($U$1415,'TAR FIN'!$A$1:$O$113,15,0))</f>
        <v>210.82</v>
      </c>
      <c r="Y1415" s="4"/>
      <c r="Z141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5" s="4">
        <f>('TE BE'!$AA$22+'TE BF'!$AA$22+'TE CVA'!$AA$22)*(1-CUSTOS!$M$36)</f>
        <v>211.21139501317745</v>
      </c>
      <c r="AB1415" s="4">
        <f>$K$1415*$V$1415</f>
        <v>0</v>
      </c>
      <c r="AC1415" s="4">
        <f>$M$1415*$W$1415</f>
        <v>-586.51485000000002</v>
      </c>
      <c r="AD1415" s="4">
        <f>$O$1415*$X$1415</f>
        <v>-446.30593999999996</v>
      </c>
      <c r="AE1415" s="4">
        <f>$K$1415*$Y$1415</f>
        <v>0</v>
      </c>
      <c r="AF1415" s="4">
        <f ca="1">$M$1415*$Z$1415</f>
        <v>-679.53831152755197</v>
      </c>
      <c r="AG1415" s="4">
        <f>$O$1415*$AA$1415</f>
        <v>-447.13452324289665</v>
      </c>
    </row>
    <row r="1416" spans="1:33" ht="11.25" customHeight="1" x14ac:dyDescent="0.25">
      <c r="A1416" s="3" t="s">
        <v>28</v>
      </c>
      <c r="B1416" s="3" t="s">
        <v>22</v>
      </c>
      <c r="C1416" s="3" t="s">
        <v>23</v>
      </c>
      <c r="D1416" s="3" t="s">
        <v>24</v>
      </c>
      <c r="E1416" s="3" t="s">
        <v>31</v>
      </c>
      <c r="F1416" s="3" t="s">
        <v>25</v>
      </c>
      <c r="G1416" s="3" t="s">
        <v>25</v>
      </c>
      <c r="H1416" s="3" t="s">
        <v>25</v>
      </c>
      <c r="I1416" s="6">
        <v>44440</v>
      </c>
      <c r="J1416" s="4">
        <v>0</v>
      </c>
      <c r="K1416" s="4">
        <v>0</v>
      </c>
      <c r="L1416" s="4">
        <v>1.6120000000000001</v>
      </c>
      <c r="M1416" s="4">
        <v>1.6120000000000001</v>
      </c>
      <c r="N1416" s="4">
        <v>1.6120000000000001</v>
      </c>
      <c r="O1416" s="4">
        <v>1.6120000000000001</v>
      </c>
      <c r="P1416" s="4">
        <v>23</v>
      </c>
      <c r="Q1416" s="3" t="s">
        <v>26</v>
      </c>
      <c r="R1416" s="3">
        <v>0</v>
      </c>
      <c r="S1416" s="4">
        <v>0</v>
      </c>
      <c r="T1416" s="4">
        <v>28</v>
      </c>
      <c r="U1416" s="4">
        <v>101</v>
      </c>
      <c r="V1416" s="4">
        <f>IF(ISERROR(VLOOKUP($S$1416,'TAR FIN'!$A$1:$O$113,15,0)),0,VLOOKUP($S$1416,'TAR FIN'!$A$1:$O$113,15,0))</f>
        <v>0</v>
      </c>
      <c r="W1416" s="4">
        <f>IF(ISERROR(VLOOKUP($T$1416,'TAR FIN'!$A$1:$O$113,15,0)),0,VLOOKUP($T$1416,'TAR FIN'!$A$1:$O$113,15,0))</f>
        <v>277.05</v>
      </c>
      <c r="X1416" s="4">
        <f>IF(ISERROR(VLOOKUP($U$1416,'TAR FIN'!$A$1:$O$113,15,0)),0,VLOOKUP($U$1416,'TAR FIN'!$A$1:$O$113,15,0))</f>
        <v>210.82</v>
      </c>
      <c r="Y1416" s="4"/>
      <c r="Z141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6" s="4">
        <f>('TE BE'!$AA$22+'TE BF'!$AA$22+'TE CVA'!$AA$22)*(1-CUSTOS!$M$36)</f>
        <v>211.21139501317745</v>
      </c>
      <c r="AB1416" s="4">
        <f>$K$1416*$V$1416</f>
        <v>0</v>
      </c>
      <c r="AC1416" s="4">
        <f>$M$1416*$W$1416</f>
        <v>446.60460000000006</v>
      </c>
      <c r="AD1416" s="4">
        <f>$O$1416*$X$1416</f>
        <v>339.84183999999999</v>
      </c>
      <c r="AE1416" s="4">
        <f>$K$1416*$Y$1416</f>
        <v>0</v>
      </c>
      <c r="AF1416" s="4">
        <f ca="1">$M$1416*$Z$1416</f>
        <v>517.43776957128671</v>
      </c>
      <c r="AG1416" s="4">
        <f>$O$1416*$AA$1416</f>
        <v>340.47276876124209</v>
      </c>
    </row>
    <row r="1417" spans="1:33" ht="11.25" customHeight="1" x14ac:dyDescent="0.25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31</v>
      </c>
      <c r="F1417" s="3" t="s">
        <v>25</v>
      </c>
      <c r="G1417" s="3" t="s">
        <v>25</v>
      </c>
      <c r="H1417" s="3" t="s">
        <v>25</v>
      </c>
      <c r="I1417" s="6">
        <v>44470</v>
      </c>
      <c r="J1417" s="4">
        <v>0</v>
      </c>
      <c r="K1417" s="4">
        <v>0</v>
      </c>
      <c r="L1417" s="4">
        <v>4422.8530000000001</v>
      </c>
      <c r="M1417" s="4">
        <v>4422.8530000000001</v>
      </c>
      <c r="N1417" s="4">
        <v>4422.8530000000001</v>
      </c>
      <c r="O1417" s="4">
        <v>4422.8530000000001</v>
      </c>
      <c r="P1417" s="4">
        <v>78395</v>
      </c>
      <c r="Q1417" s="3" t="s">
        <v>26</v>
      </c>
      <c r="R1417" s="3">
        <v>0</v>
      </c>
      <c r="S1417" s="4">
        <v>0</v>
      </c>
      <c r="T1417" s="4">
        <v>28</v>
      </c>
      <c r="U1417" s="4">
        <v>101</v>
      </c>
      <c r="V1417" s="4">
        <f>IF(ISERROR(VLOOKUP($S$1417,'TAR FIN'!$A$1:$O$113,15,0)),0,VLOOKUP($S$1417,'TAR FIN'!$A$1:$O$113,15,0))</f>
        <v>0</v>
      </c>
      <c r="W1417" s="4">
        <f>IF(ISERROR(VLOOKUP($T$1417,'TAR FIN'!$A$1:$O$113,15,0)),0,VLOOKUP($T$1417,'TAR FIN'!$A$1:$O$113,15,0))</f>
        <v>277.05</v>
      </c>
      <c r="X1417" s="4">
        <f>IF(ISERROR(VLOOKUP($U$1417,'TAR FIN'!$A$1:$O$113,15,0)),0,VLOOKUP($U$1417,'TAR FIN'!$A$1:$O$113,15,0))</f>
        <v>210.82</v>
      </c>
      <c r="Y1417" s="4"/>
      <c r="Z141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7" s="4">
        <f>('TE BE'!$AA$22+'TE BF'!$AA$22+'TE CVA'!$AA$22)*(1-CUSTOS!$M$36)</f>
        <v>211.21139501317745</v>
      </c>
      <c r="AB1417" s="4">
        <f>$K$1417*$V$1417</f>
        <v>0</v>
      </c>
      <c r="AC1417" s="4">
        <f>$M$1417*$W$1417</f>
        <v>1225351.42365</v>
      </c>
      <c r="AD1417" s="4">
        <f>$O$1417*$X$1417</f>
        <v>932425.86945999996</v>
      </c>
      <c r="AE1417" s="4">
        <f>$K$1417*$Y$1417</f>
        <v>0</v>
      </c>
      <c r="AF1417" s="4">
        <f ca="1">$M$1417*$Z$1417</f>
        <v>1419696.76889682</v>
      </c>
      <c r="AG1417" s="4">
        <f>$O$1417*$AA$1417</f>
        <v>934156.95206821698</v>
      </c>
    </row>
    <row r="1418" spans="1:33" ht="11.25" customHeight="1" x14ac:dyDescent="0.25">
      <c r="A1418" s="3" t="s">
        <v>27</v>
      </c>
      <c r="B1418" s="3" t="s">
        <v>22</v>
      </c>
      <c r="C1418" s="3" t="s">
        <v>23</v>
      </c>
      <c r="D1418" s="3" t="s">
        <v>24</v>
      </c>
      <c r="E1418" s="3" t="s">
        <v>31</v>
      </c>
      <c r="F1418" s="3" t="s">
        <v>25</v>
      </c>
      <c r="G1418" s="3" t="s">
        <v>25</v>
      </c>
      <c r="H1418" s="3" t="s">
        <v>25</v>
      </c>
      <c r="I1418" s="6">
        <v>44470</v>
      </c>
      <c r="J1418" s="4">
        <v>0</v>
      </c>
      <c r="K1418" s="4">
        <v>0</v>
      </c>
      <c r="L1418" s="4">
        <v>-1.7949999999999999</v>
      </c>
      <c r="M1418" s="4">
        <v>-1.7949999999999999</v>
      </c>
      <c r="N1418" s="4">
        <v>-1.7949999999999999</v>
      </c>
      <c r="O1418" s="4">
        <v>-1.7949999999999999</v>
      </c>
      <c r="P1418" s="4">
        <v>-18</v>
      </c>
      <c r="Q1418" s="3" t="s">
        <v>26</v>
      </c>
      <c r="R1418" s="3">
        <v>0</v>
      </c>
      <c r="S1418" s="4">
        <v>0</v>
      </c>
      <c r="T1418" s="4">
        <v>28</v>
      </c>
      <c r="U1418" s="4">
        <v>101</v>
      </c>
      <c r="V1418" s="4">
        <f>IF(ISERROR(VLOOKUP($S$1418,'TAR FIN'!$A$1:$O$113,15,0)),0,VLOOKUP($S$1418,'TAR FIN'!$A$1:$O$113,15,0))</f>
        <v>0</v>
      </c>
      <c r="W1418" s="4">
        <f>IF(ISERROR(VLOOKUP($T$1418,'TAR FIN'!$A$1:$O$113,15,0)),0,VLOOKUP($T$1418,'TAR FIN'!$A$1:$O$113,15,0))</f>
        <v>277.05</v>
      </c>
      <c r="X1418" s="4">
        <f>IF(ISERROR(VLOOKUP($U$1418,'TAR FIN'!$A$1:$O$113,15,0)),0,VLOOKUP($U$1418,'TAR FIN'!$A$1:$O$113,15,0))</f>
        <v>210.82</v>
      </c>
      <c r="Y1418" s="4"/>
      <c r="Z141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8" s="4">
        <f>('TE BE'!$AA$22+'TE BF'!$AA$22+'TE CVA'!$AA$22)*(1-CUSTOS!$M$36)</f>
        <v>211.21139501317745</v>
      </c>
      <c r="AB1418" s="4">
        <f>$K$1418*$V$1418</f>
        <v>0</v>
      </c>
      <c r="AC1418" s="4">
        <f>$M$1418*$W$1418</f>
        <v>-497.30475000000001</v>
      </c>
      <c r="AD1418" s="4">
        <f>$O$1418*$X$1418</f>
        <v>-378.42189999999999</v>
      </c>
      <c r="AE1418" s="4">
        <f>$K$1418*$Y$1418</f>
        <v>0</v>
      </c>
      <c r="AF1418" s="4">
        <f ca="1">$M$1418*$Z$1418</f>
        <v>-576.17915408217095</v>
      </c>
      <c r="AG1418" s="4">
        <f>$O$1418*$AA$1418</f>
        <v>-379.12445404865349</v>
      </c>
    </row>
    <row r="1419" spans="1:33" ht="11.25" customHeight="1" x14ac:dyDescent="0.25">
      <c r="A1419" s="3" t="s">
        <v>28</v>
      </c>
      <c r="B1419" s="3" t="s">
        <v>22</v>
      </c>
      <c r="C1419" s="3" t="s">
        <v>23</v>
      </c>
      <c r="D1419" s="3" t="s">
        <v>24</v>
      </c>
      <c r="E1419" s="3" t="s">
        <v>31</v>
      </c>
      <c r="F1419" s="3" t="s">
        <v>25</v>
      </c>
      <c r="G1419" s="3" t="s">
        <v>25</v>
      </c>
      <c r="H1419" s="3" t="s">
        <v>25</v>
      </c>
      <c r="I1419" s="6">
        <v>44470</v>
      </c>
      <c r="J1419" s="4">
        <v>0</v>
      </c>
      <c r="K1419" s="4">
        <v>0</v>
      </c>
      <c r="L1419" s="4">
        <v>1.9690000000000001</v>
      </c>
      <c r="M1419" s="4">
        <v>1.9690000000000001</v>
      </c>
      <c r="N1419" s="4">
        <v>1.9690000000000001</v>
      </c>
      <c r="O1419" s="4">
        <v>1.9690000000000001</v>
      </c>
      <c r="P1419" s="4">
        <v>24</v>
      </c>
      <c r="Q1419" s="3" t="s">
        <v>26</v>
      </c>
      <c r="R1419" s="3">
        <v>0</v>
      </c>
      <c r="S1419" s="4">
        <v>0</v>
      </c>
      <c r="T1419" s="4">
        <v>28</v>
      </c>
      <c r="U1419" s="4">
        <v>101</v>
      </c>
      <c r="V1419" s="4">
        <f>IF(ISERROR(VLOOKUP($S$1419,'TAR FIN'!$A$1:$O$113,15,0)),0,VLOOKUP($S$1419,'TAR FIN'!$A$1:$O$113,15,0))</f>
        <v>0</v>
      </c>
      <c r="W1419" s="4">
        <f>IF(ISERROR(VLOOKUP($T$1419,'TAR FIN'!$A$1:$O$113,15,0)),0,VLOOKUP($T$1419,'TAR FIN'!$A$1:$O$113,15,0))</f>
        <v>277.05</v>
      </c>
      <c r="X1419" s="4">
        <f>IF(ISERROR(VLOOKUP($U$1419,'TAR FIN'!$A$1:$O$113,15,0)),0,VLOOKUP($U$1419,'TAR FIN'!$A$1:$O$113,15,0))</f>
        <v>210.82</v>
      </c>
      <c r="Y1419" s="4"/>
      <c r="Z141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19" s="4">
        <f>('TE BE'!$AA$22+'TE BF'!$AA$22+'TE CVA'!$AA$22)*(1-CUSTOS!$M$36)</f>
        <v>211.21139501317745</v>
      </c>
      <c r="AB1419" s="4">
        <f>$K$1419*$V$1419</f>
        <v>0</v>
      </c>
      <c r="AC1419" s="4">
        <f>$M$1419*$W$1419</f>
        <v>545.51145000000008</v>
      </c>
      <c r="AD1419" s="4">
        <f>$O$1419*$X$1419</f>
        <v>415.10458</v>
      </c>
      <c r="AE1419" s="4">
        <f>$K$1419*$Y$1419</f>
        <v>0</v>
      </c>
      <c r="AF1419" s="4">
        <f ca="1">$M$1419*$Z$1419</f>
        <v>632.03161804333956</v>
      </c>
      <c r="AG1419" s="4">
        <f>$O$1419*$AA$1419</f>
        <v>415.87523678094641</v>
      </c>
    </row>
    <row r="1420" spans="1:33" ht="11.25" customHeight="1" x14ac:dyDescent="0.25">
      <c r="A1420" s="3" t="s">
        <v>21</v>
      </c>
      <c r="B1420" s="3" t="s">
        <v>22</v>
      </c>
      <c r="C1420" s="3" t="s">
        <v>23</v>
      </c>
      <c r="D1420" s="3" t="s">
        <v>24</v>
      </c>
      <c r="E1420" s="3" t="s">
        <v>31</v>
      </c>
      <c r="F1420" s="3" t="s">
        <v>25</v>
      </c>
      <c r="G1420" s="3" t="s">
        <v>25</v>
      </c>
      <c r="H1420" s="3" t="s">
        <v>25</v>
      </c>
      <c r="I1420" s="6">
        <v>44501</v>
      </c>
      <c r="J1420" s="4">
        <v>0</v>
      </c>
      <c r="K1420" s="4">
        <v>0</v>
      </c>
      <c r="L1420" s="4">
        <v>4714.8689999999997</v>
      </c>
      <c r="M1420" s="4">
        <v>4714.8689999999997</v>
      </c>
      <c r="N1420" s="4">
        <v>4714.8689999999997</v>
      </c>
      <c r="O1420" s="4">
        <v>4714.8689999999997</v>
      </c>
      <c r="P1420" s="4">
        <v>81912</v>
      </c>
      <c r="Q1420" s="3" t="s">
        <v>26</v>
      </c>
      <c r="R1420" s="3">
        <v>0</v>
      </c>
      <c r="S1420" s="4">
        <v>0</v>
      </c>
      <c r="T1420" s="4">
        <v>28</v>
      </c>
      <c r="U1420" s="4">
        <v>101</v>
      </c>
      <c r="V1420" s="4">
        <f>IF(ISERROR(VLOOKUP($S$1420,'TAR FIN'!$A$1:$O$113,15,0)),0,VLOOKUP($S$1420,'TAR FIN'!$A$1:$O$113,15,0))</f>
        <v>0</v>
      </c>
      <c r="W1420" s="4">
        <f>IF(ISERROR(VLOOKUP($T$1420,'TAR FIN'!$A$1:$O$113,15,0)),0,VLOOKUP($T$1420,'TAR FIN'!$A$1:$O$113,15,0))</f>
        <v>277.05</v>
      </c>
      <c r="X1420" s="4">
        <f>IF(ISERROR(VLOOKUP($U$1420,'TAR FIN'!$A$1:$O$113,15,0)),0,VLOOKUP($U$1420,'TAR FIN'!$A$1:$O$113,15,0))</f>
        <v>210.82</v>
      </c>
      <c r="Y1420" s="4"/>
      <c r="Z142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0" s="4">
        <f>('TE BE'!$AA$22+'TE BF'!$AA$22+'TE CVA'!$AA$22)*(1-CUSTOS!$M$36)</f>
        <v>211.21139501317745</v>
      </c>
      <c r="AB1420" s="4">
        <f>$K$1420*$V$1420</f>
        <v>0</v>
      </c>
      <c r="AC1420" s="4">
        <f>$M$1420*$W$1420</f>
        <v>1306254.4564499999</v>
      </c>
      <c r="AD1420" s="4">
        <f>$O$1420*$X$1420</f>
        <v>993988.68257999991</v>
      </c>
      <c r="AE1420" s="4">
        <f>$K$1420*$Y$1420</f>
        <v>0</v>
      </c>
      <c r="AF1420" s="4">
        <f ca="1">$M$1420*$Z$1420</f>
        <v>1513431.3270352373</v>
      </c>
      <c r="AG1420" s="4">
        <f>$O$1420*$AA$1420</f>
        <v>995834.05879438494</v>
      </c>
    </row>
    <row r="1421" spans="1:33" ht="11.25" customHeight="1" x14ac:dyDescent="0.25">
      <c r="A1421" s="3" t="s">
        <v>27</v>
      </c>
      <c r="B1421" s="3" t="s">
        <v>22</v>
      </c>
      <c r="C1421" s="3" t="s">
        <v>23</v>
      </c>
      <c r="D1421" s="3" t="s">
        <v>24</v>
      </c>
      <c r="E1421" s="3" t="s">
        <v>31</v>
      </c>
      <c r="F1421" s="3" t="s">
        <v>25</v>
      </c>
      <c r="G1421" s="3" t="s">
        <v>25</v>
      </c>
      <c r="H1421" s="3" t="s">
        <v>25</v>
      </c>
      <c r="I1421" s="6">
        <v>44501</v>
      </c>
      <c r="J1421" s="4">
        <v>0</v>
      </c>
      <c r="K1421" s="4">
        <v>0</v>
      </c>
      <c r="L1421" s="4">
        <v>-2.2469999999999999</v>
      </c>
      <c r="M1421" s="4">
        <v>-2.2469999999999999</v>
      </c>
      <c r="N1421" s="4">
        <v>-2.2469999999999999</v>
      </c>
      <c r="O1421" s="4">
        <v>-2.2469999999999999</v>
      </c>
      <c r="P1421" s="4">
        <v>-9</v>
      </c>
      <c r="Q1421" s="3" t="s">
        <v>26</v>
      </c>
      <c r="R1421" s="3">
        <v>0</v>
      </c>
      <c r="S1421" s="4">
        <v>0</v>
      </c>
      <c r="T1421" s="4">
        <v>28</v>
      </c>
      <c r="U1421" s="4">
        <v>101</v>
      </c>
      <c r="V1421" s="4">
        <f>IF(ISERROR(VLOOKUP($S$1421,'TAR FIN'!$A$1:$O$113,15,0)),0,VLOOKUP($S$1421,'TAR FIN'!$A$1:$O$113,15,0))</f>
        <v>0</v>
      </c>
      <c r="W1421" s="4">
        <f>IF(ISERROR(VLOOKUP($T$1421,'TAR FIN'!$A$1:$O$113,15,0)),0,VLOOKUP($T$1421,'TAR FIN'!$A$1:$O$113,15,0))</f>
        <v>277.05</v>
      </c>
      <c r="X1421" s="4">
        <f>IF(ISERROR(VLOOKUP($U$1421,'TAR FIN'!$A$1:$O$113,15,0)),0,VLOOKUP($U$1421,'TAR FIN'!$A$1:$O$113,15,0))</f>
        <v>210.82</v>
      </c>
      <c r="Y1421" s="4"/>
      <c r="Z142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1" s="4">
        <f>('TE BE'!$AA$22+'TE BF'!$AA$22+'TE CVA'!$AA$22)*(1-CUSTOS!$M$36)</f>
        <v>211.21139501317745</v>
      </c>
      <c r="AB1421" s="4">
        <f>$K$1421*$V$1421</f>
        <v>0</v>
      </c>
      <c r="AC1421" s="4">
        <f>$M$1421*$W$1421</f>
        <v>-622.53134999999997</v>
      </c>
      <c r="AD1421" s="4">
        <f>$O$1421*$X$1421</f>
        <v>-473.71253999999993</v>
      </c>
      <c r="AE1421" s="4">
        <f>$K$1421*$Y$1421</f>
        <v>0</v>
      </c>
      <c r="AF1421" s="4">
        <f ca="1">$M$1421*$Z$1421</f>
        <v>-721.2671639123331</v>
      </c>
      <c r="AG1421" s="4">
        <f>$O$1421*$AA$1421</f>
        <v>-474.5920045946097</v>
      </c>
    </row>
    <row r="1422" spans="1:33" ht="11.25" customHeight="1" x14ac:dyDescent="0.25">
      <c r="A1422" s="3" t="s">
        <v>28</v>
      </c>
      <c r="B1422" s="3" t="s">
        <v>22</v>
      </c>
      <c r="C1422" s="3" t="s">
        <v>23</v>
      </c>
      <c r="D1422" s="3" t="s">
        <v>24</v>
      </c>
      <c r="E1422" s="3" t="s">
        <v>31</v>
      </c>
      <c r="F1422" s="3" t="s">
        <v>25</v>
      </c>
      <c r="G1422" s="3" t="s">
        <v>25</v>
      </c>
      <c r="H1422" s="3" t="s">
        <v>25</v>
      </c>
      <c r="I1422" s="6">
        <v>44501</v>
      </c>
      <c r="J1422" s="4">
        <v>0</v>
      </c>
      <c r="K1422" s="4">
        <v>0</v>
      </c>
      <c r="L1422" s="4">
        <v>1.698</v>
      </c>
      <c r="M1422" s="4">
        <v>1.698</v>
      </c>
      <c r="N1422" s="4">
        <v>1.698</v>
      </c>
      <c r="O1422" s="4">
        <v>1.698</v>
      </c>
      <c r="P1422" s="4">
        <v>21</v>
      </c>
      <c r="Q1422" s="3" t="s">
        <v>26</v>
      </c>
      <c r="R1422" s="3">
        <v>0</v>
      </c>
      <c r="S1422" s="4">
        <v>0</v>
      </c>
      <c r="T1422" s="4">
        <v>28</v>
      </c>
      <c r="U1422" s="4">
        <v>101</v>
      </c>
      <c r="V1422" s="4">
        <f>IF(ISERROR(VLOOKUP($S$1422,'TAR FIN'!$A$1:$O$113,15,0)),0,VLOOKUP($S$1422,'TAR FIN'!$A$1:$O$113,15,0))</f>
        <v>0</v>
      </c>
      <c r="W1422" s="4">
        <f>IF(ISERROR(VLOOKUP($T$1422,'TAR FIN'!$A$1:$O$113,15,0)),0,VLOOKUP($T$1422,'TAR FIN'!$A$1:$O$113,15,0))</f>
        <v>277.05</v>
      </c>
      <c r="X1422" s="4">
        <f>IF(ISERROR(VLOOKUP($U$1422,'TAR FIN'!$A$1:$O$113,15,0)),0,VLOOKUP($U$1422,'TAR FIN'!$A$1:$O$113,15,0))</f>
        <v>210.82</v>
      </c>
      <c r="Y1422" s="4"/>
      <c r="Z142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2" s="4">
        <f>('TE BE'!$AA$22+'TE BF'!$AA$22+'TE CVA'!$AA$22)*(1-CUSTOS!$M$36)</f>
        <v>211.21139501317745</v>
      </c>
      <c r="AB1422" s="4">
        <f>$K$1422*$V$1422</f>
        <v>0</v>
      </c>
      <c r="AC1422" s="4">
        <f>$M$1422*$W$1422</f>
        <v>470.43090000000001</v>
      </c>
      <c r="AD1422" s="4">
        <f>$O$1422*$X$1422</f>
        <v>357.97235999999998</v>
      </c>
      <c r="AE1422" s="4">
        <f>$K$1422*$Y$1422</f>
        <v>0</v>
      </c>
      <c r="AF1422" s="4">
        <f ca="1">$M$1422*$Z$1422</f>
        <v>545.04301037968037</v>
      </c>
      <c r="AG1422" s="4">
        <f>$O$1422*$AA$1422</f>
        <v>358.63694873237529</v>
      </c>
    </row>
    <row r="1423" spans="1:33" ht="11.25" customHeight="1" x14ac:dyDescent="0.25">
      <c r="A1423" s="3" t="s">
        <v>21</v>
      </c>
      <c r="B1423" s="3" t="s">
        <v>22</v>
      </c>
      <c r="C1423" s="3" t="s">
        <v>23</v>
      </c>
      <c r="D1423" s="3" t="s">
        <v>24</v>
      </c>
      <c r="E1423" s="3" t="s">
        <v>31</v>
      </c>
      <c r="F1423" s="3" t="s">
        <v>25</v>
      </c>
      <c r="G1423" s="3" t="s">
        <v>25</v>
      </c>
      <c r="H1423" s="3" t="s">
        <v>25</v>
      </c>
      <c r="I1423" s="6">
        <v>44531</v>
      </c>
      <c r="J1423" s="4">
        <v>0</v>
      </c>
      <c r="K1423" s="4">
        <v>0</v>
      </c>
      <c r="L1423" s="4">
        <v>5086.26</v>
      </c>
      <c r="M1423" s="4">
        <v>5086.26</v>
      </c>
      <c r="N1423" s="4">
        <v>5086.26</v>
      </c>
      <c r="O1423" s="4">
        <v>5086.26</v>
      </c>
      <c r="P1423" s="4">
        <v>85812</v>
      </c>
      <c r="Q1423" s="3" t="s">
        <v>26</v>
      </c>
      <c r="R1423" s="3">
        <v>0</v>
      </c>
      <c r="S1423" s="4">
        <v>0</v>
      </c>
      <c r="T1423" s="4">
        <v>28</v>
      </c>
      <c r="U1423" s="4">
        <v>101</v>
      </c>
      <c r="V1423" s="4">
        <f>IF(ISERROR(VLOOKUP($S$1423,'TAR FIN'!$A$1:$O$113,15,0)),0,VLOOKUP($S$1423,'TAR FIN'!$A$1:$O$113,15,0))</f>
        <v>0</v>
      </c>
      <c r="W1423" s="4">
        <f>IF(ISERROR(VLOOKUP($T$1423,'TAR FIN'!$A$1:$O$113,15,0)),0,VLOOKUP($T$1423,'TAR FIN'!$A$1:$O$113,15,0))</f>
        <v>277.05</v>
      </c>
      <c r="X1423" s="4">
        <f>IF(ISERROR(VLOOKUP($U$1423,'TAR FIN'!$A$1:$O$113,15,0)),0,VLOOKUP($U$1423,'TAR FIN'!$A$1:$O$113,15,0))</f>
        <v>210.82</v>
      </c>
      <c r="Y1423" s="4"/>
      <c r="Z142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3" s="4">
        <f>('TE BE'!$AA$22+'TE BF'!$AA$22+'TE CVA'!$AA$22)*(1-CUSTOS!$M$36)</f>
        <v>211.21139501317745</v>
      </c>
      <c r="AB1423" s="4">
        <f>$K$1423*$V$1423</f>
        <v>0</v>
      </c>
      <c r="AC1423" s="4">
        <f>$M$1423*$W$1423</f>
        <v>1409148.3330000001</v>
      </c>
      <c r="AD1423" s="4">
        <f>$O$1423*$X$1423</f>
        <v>1072285.3332</v>
      </c>
      <c r="AE1423" s="4">
        <f>$K$1423*$Y$1423</f>
        <v>0</v>
      </c>
      <c r="AF1423" s="4">
        <f ca="1">$M$1423*$Z$1423</f>
        <v>1632644.5594662856</v>
      </c>
      <c r="AG1423" s="4">
        <f>$O$1423*$AA$1423</f>
        <v>1074276.0699997239</v>
      </c>
    </row>
    <row r="1424" spans="1:33" ht="11.25" customHeight="1" x14ac:dyDescent="0.25">
      <c r="A1424" s="3" t="s">
        <v>27</v>
      </c>
      <c r="B1424" s="3" t="s">
        <v>22</v>
      </c>
      <c r="C1424" s="3" t="s">
        <v>23</v>
      </c>
      <c r="D1424" s="3" t="s">
        <v>24</v>
      </c>
      <c r="E1424" s="3" t="s">
        <v>31</v>
      </c>
      <c r="F1424" s="3" t="s">
        <v>25</v>
      </c>
      <c r="G1424" s="3" t="s">
        <v>25</v>
      </c>
      <c r="H1424" s="3" t="s">
        <v>25</v>
      </c>
      <c r="I1424" s="6">
        <v>44531</v>
      </c>
      <c r="J1424" s="4">
        <v>0</v>
      </c>
      <c r="K1424" s="4">
        <v>0</v>
      </c>
      <c r="L1424" s="4">
        <v>-0.73099999999999998</v>
      </c>
      <c r="M1424" s="4">
        <v>-0.73099999999999998</v>
      </c>
      <c r="N1424" s="4">
        <v>-0.73099999999999998</v>
      </c>
      <c r="O1424" s="4">
        <v>-0.73099999999999998</v>
      </c>
      <c r="P1424" s="4">
        <v>-6</v>
      </c>
      <c r="Q1424" s="3" t="s">
        <v>26</v>
      </c>
      <c r="R1424" s="3">
        <v>0</v>
      </c>
      <c r="S1424" s="4">
        <v>0</v>
      </c>
      <c r="T1424" s="4">
        <v>28</v>
      </c>
      <c r="U1424" s="4">
        <v>101</v>
      </c>
      <c r="V1424" s="4">
        <f>IF(ISERROR(VLOOKUP($S$1424,'TAR FIN'!$A$1:$O$113,15,0)),0,VLOOKUP($S$1424,'TAR FIN'!$A$1:$O$113,15,0))</f>
        <v>0</v>
      </c>
      <c r="W1424" s="4">
        <f>IF(ISERROR(VLOOKUP($T$1424,'TAR FIN'!$A$1:$O$113,15,0)),0,VLOOKUP($T$1424,'TAR FIN'!$A$1:$O$113,15,0))</f>
        <v>277.05</v>
      </c>
      <c r="X1424" s="4">
        <f>IF(ISERROR(VLOOKUP($U$1424,'TAR FIN'!$A$1:$O$113,15,0)),0,VLOOKUP($U$1424,'TAR FIN'!$A$1:$O$113,15,0))</f>
        <v>210.82</v>
      </c>
      <c r="Y1424" s="4"/>
      <c r="Z142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4" s="4">
        <f>('TE BE'!$AA$22+'TE BF'!$AA$22+'TE CVA'!$AA$22)*(1-CUSTOS!$M$36)</f>
        <v>211.21139501317745</v>
      </c>
      <c r="AB1424" s="4">
        <f>$K$1424*$V$1424</f>
        <v>0</v>
      </c>
      <c r="AC1424" s="4">
        <f>$M$1424*$W$1424</f>
        <v>-202.52355</v>
      </c>
      <c r="AD1424" s="4">
        <f>$O$1424*$X$1424</f>
        <v>-154.10942</v>
      </c>
      <c r="AE1424" s="4">
        <f>$K$1424*$Y$1424</f>
        <v>0</v>
      </c>
      <c r="AF1424" s="4">
        <f ca="1">$M$1424*$Z$1424</f>
        <v>-234.64454687134648</v>
      </c>
      <c r="AG1424" s="4">
        <f>$O$1424*$AA$1424</f>
        <v>-154.39552975463272</v>
      </c>
    </row>
    <row r="1425" spans="1:33" ht="11.25" customHeight="1" x14ac:dyDescent="0.25">
      <c r="A1425" s="3" t="s">
        <v>28</v>
      </c>
      <c r="B1425" s="3" t="s">
        <v>22</v>
      </c>
      <c r="C1425" s="3" t="s">
        <v>23</v>
      </c>
      <c r="D1425" s="3" t="s">
        <v>24</v>
      </c>
      <c r="E1425" s="3" t="s">
        <v>31</v>
      </c>
      <c r="F1425" s="3" t="s">
        <v>25</v>
      </c>
      <c r="G1425" s="3" t="s">
        <v>25</v>
      </c>
      <c r="H1425" s="3" t="s">
        <v>25</v>
      </c>
      <c r="I1425" s="6">
        <v>44531</v>
      </c>
      <c r="J1425" s="4">
        <v>0</v>
      </c>
      <c r="K1425" s="4">
        <v>0</v>
      </c>
      <c r="L1425" s="4">
        <v>2.2170000000000001</v>
      </c>
      <c r="M1425" s="4">
        <v>2.2170000000000001</v>
      </c>
      <c r="N1425" s="4">
        <v>2.2170000000000001</v>
      </c>
      <c r="O1425" s="4">
        <v>2.2170000000000001</v>
      </c>
      <c r="P1425" s="4">
        <v>19</v>
      </c>
      <c r="Q1425" s="3" t="s">
        <v>26</v>
      </c>
      <c r="R1425" s="3">
        <v>0</v>
      </c>
      <c r="S1425" s="4">
        <v>0</v>
      </c>
      <c r="T1425" s="4">
        <v>28</v>
      </c>
      <c r="U1425" s="4">
        <v>101</v>
      </c>
      <c r="V1425" s="4">
        <f>IF(ISERROR(VLOOKUP($S$1425,'TAR FIN'!$A$1:$O$113,15,0)),0,VLOOKUP($S$1425,'TAR FIN'!$A$1:$O$113,15,0))</f>
        <v>0</v>
      </c>
      <c r="W1425" s="4">
        <f>IF(ISERROR(VLOOKUP($T$1425,'TAR FIN'!$A$1:$O$113,15,0)),0,VLOOKUP($T$1425,'TAR FIN'!$A$1:$O$113,15,0))</f>
        <v>277.05</v>
      </c>
      <c r="X1425" s="4">
        <f>IF(ISERROR(VLOOKUP($U$1425,'TAR FIN'!$A$1:$O$113,15,0)),0,VLOOKUP($U$1425,'TAR FIN'!$A$1:$O$113,15,0))</f>
        <v>210.82</v>
      </c>
      <c r="Y1425" s="4"/>
      <c r="Z142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5" s="4">
        <f>('TE BE'!$AA$22+'TE BF'!$AA$22+'TE CVA'!$AA$22)*(1-CUSTOS!$M$36)</f>
        <v>211.21139501317745</v>
      </c>
      <c r="AB1425" s="4">
        <f>$K$1425*$V$1425</f>
        <v>0</v>
      </c>
      <c r="AC1425" s="4">
        <f>$M$1425*$W$1425</f>
        <v>614.21985000000006</v>
      </c>
      <c r="AD1425" s="4">
        <f>$O$1425*$X$1425</f>
        <v>467.38794000000001</v>
      </c>
      <c r="AE1425" s="4">
        <f>$K$1425*$Y$1425</f>
        <v>0</v>
      </c>
      <c r="AF1425" s="4">
        <f ca="1">$M$1425*$Z$1425</f>
        <v>711.63742874661443</v>
      </c>
      <c r="AG1425" s="4">
        <f>$O$1425*$AA$1425</f>
        <v>468.25566274421442</v>
      </c>
    </row>
    <row r="1426" spans="1:33" ht="11.25" customHeight="1" x14ac:dyDescent="0.25">
      <c r="A1426" s="3" t="s">
        <v>21</v>
      </c>
      <c r="B1426" s="3" t="s">
        <v>22</v>
      </c>
      <c r="C1426" s="3" t="s">
        <v>23</v>
      </c>
      <c r="D1426" s="3" t="s">
        <v>24</v>
      </c>
      <c r="E1426" s="3" t="s">
        <v>31</v>
      </c>
      <c r="F1426" s="3" t="s">
        <v>25</v>
      </c>
      <c r="G1426" s="3" t="s">
        <v>25</v>
      </c>
      <c r="H1426" s="3" t="s">
        <v>25</v>
      </c>
      <c r="I1426" s="6">
        <v>44562</v>
      </c>
      <c r="J1426" s="4">
        <v>0</v>
      </c>
      <c r="K1426" s="4">
        <v>0</v>
      </c>
      <c r="L1426" s="4">
        <v>5801.4319999999998</v>
      </c>
      <c r="M1426" s="4">
        <v>5801.4319999999998</v>
      </c>
      <c r="N1426" s="4">
        <v>5801.4319999999998</v>
      </c>
      <c r="O1426" s="4">
        <v>5801.4319999999998</v>
      </c>
      <c r="P1426" s="4">
        <v>91780</v>
      </c>
      <c r="Q1426" s="3" t="s">
        <v>26</v>
      </c>
      <c r="R1426" s="3">
        <v>0</v>
      </c>
      <c r="S1426" s="4">
        <v>0</v>
      </c>
      <c r="T1426" s="4">
        <v>28</v>
      </c>
      <c r="U1426" s="4">
        <v>101</v>
      </c>
      <c r="V1426" s="4">
        <f>IF(ISERROR(VLOOKUP($S$1426,'TAR FIN'!$A$1:$O$113,15,0)),0,VLOOKUP($S$1426,'TAR FIN'!$A$1:$O$113,15,0))</f>
        <v>0</v>
      </c>
      <c r="W1426" s="4">
        <f>IF(ISERROR(VLOOKUP($T$1426,'TAR FIN'!$A$1:$O$113,15,0)),0,VLOOKUP($T$1426,'TAR FIN'!$A$1:$O$113,15,0))</f>
        <v>277.05</v>
      </c>
      <c r="X1426" s="4">
        <f>IF(ISERROR(VLOOKUP($U$1426,'TAR FIN'!$A$1:$O$113,15,0)),0,VLOOKUP($U$1426,'TAR FIN'!$A$1:$O$113,15,0))</f>
        <v>210.82</v>
      </c>
      <c r="Y1426" s="4"/>
      <c r="Z142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6" s="4">
        <f>('TE BE'!$AA$22+'TE BF'!$AA$22+'TE CVA'!$AA$22)*(1-CUSTOS!$M$36)</f>
        <v>211.21139501317745</v>
      </c>
      <c r="AB1426" s="4">
        <f>$K$1426*$V$1426</f>
        <v>0</v>
      </c>
      <c r="AC1426" s="4">
        <f>$M$1426*$W$1426</f>
        <v>1607286.7356</v>
      </c>
      <c r="AD1426" s="4">
        <f>$O$1426*$X$1426</f>
        <v>1223057.8942399998</v>
      </c>
      <c r="AE1426" s="4">
        <f>$K$1426*$Y$1426</f>
        <v>0</v>
      </c>
      <c r="AF1426" s="4">
        <f ca="1">$M$1426*$Z$1426</f>
        <v>1862208.4580641987</v>
      </c>
      <c r="AG1426" s="4">
        <f>$O$1426*$AA$1426</f>
        <v>1225328.5457940882</v>
      </c>
    </row>
    <row r="1427" spans="1:33" ht="11.25" customHeight="1" x14ac:dyDescent="0.25">
      <c r="A1427" s="3" t="s">
        <v>27</v>
      </c>
      <c r="B1427" s="3" t="s">
        <v>22</v>
      </c>
      <c r="C1427" s="3" t="s">
        <v>23</v>
      </c>
      <c r="D1427" s="3" t="s">
        <v>24</v>
      </c>
      <c r="E1427" s="3" t="s">
        <v>31</v>
      </c>
      <c r="F1427" s="3" t="s">
        <v>25</v>
      </c>
      <c r="G1427" s="3" t="s">
        <v>25</v>
      </c>
      <c r="H1427" s="3" t="s">
        <v>25</v>
      </c>
      <c r="I1427" s="6">
        <v>44562</v>
      </c>
      <c r="J1427" s="4">
        <v>0</v>
      </c>
      <c r="K1427" s="4">
        <v>0</v>
      </c>
      <c r="L1427" s="4">
        <v>-0.48499999999999999</v>
      </c>
      <c r="M1427" s="4">
        <v>-0.48499999999999999</v>
      </c>
      <c r="N1427" s="4">
        <v>-0.48499999999999999</v>
      </c>
      <c r="O1427" s="4">
        <v>-0.48499999999999999</v>
      </c>
      <c r="P1427" s="4">
        <v>-1</v>
      </c>
      <c r="Q1427" s="3" t="s">
        <v>26</v>
      </c>
      <c r="R1427" s="3">
        <v>0</v>
      </c>
      <c r="S1427" s="4">
        <v>0</v>
      </c>
      <c r="T1427" s="4">
        <v>28</v>
      </c>
      <c r="U1427" s="4">
        <v>101</v>
      </c>
      <c r="V1427" s="4">
        <f>IF(ISERROR(VLOOKUP($S$1427,'TAR FIN'!$A$1:$O$113,15,0)),0,VLOOKUP($S$1427,'TAR FIN'!$A$1:$O$113,15,0))</f>
        <v>0</v>
      </c>
      <c r="W1427" s="4">
        <f>IF(ISERROR(VLOOKUP($T$1427,'TAR FIN'!$A$1:$O$113,15,0)),0,VLOOKUP($T$1427,'TAR FIN'!$A$1:$O$113,15,0))</f>
        <v>277.05</v>
      </c>
      <c r="X1427" s="4">
        <f>IF(ISERROR(VLOOKUP($U$1427,'TAR FIN'!$A$1:$O$113,15,0)),0,VLOOKUP($U$1427,'TAR FIN'!$A$1:$O$113,15,0))</f>
        <v>210.82</v>
      </c>
      <c r="Y1427" s="4"/>
      <c r="Z142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7" s="4">
        <f>('TE BE'!$AA$22+'TE BF'!$AA$22+'TE CVA'!$AA$22)*(1-CUSTOS!$M$36)</f>
        <v>211.21139501317745</v>
      </c>
      <c r="AB1427" s="4">
        <f>$K$1427*$V$1427</f>
        <v>0</v>
      </c>
      <c r="AC1427" s="4">
        <f>$M$1427*$W$1427</f>
        <v>-134.36924999999999</v>
      </c>
      <c r="AD1427" s="4">
        <f>$O$1427*$X$1427</f>
        <v>-102.24769999999999</v>
      </c>
      <c r="AE1427" s="4">
        <f>$K$1427*$Y$1427</f>
        <v>0</v>
      </c>
      <c r="AF1427" s="4">
        <f ca="1">$M$1427*$Z$1427</f>
        <v>-155.68071851245287</v>
      </c>
      <c r="AG1427" s="4">
        <f>$O$1427*$AA$1427</f>
        <v>-102.43752658139105</v>
      </c>
    </row>
    <row r="1428" spans="1:33" ht="11.25" customHeight="1" x14ac:dyDescent="0.25">
      <c r="A1428" s="3" t="s">
        <v>28</v>
      </c>
      <c r="B1428" s="3" t="s">
        <v>22</v>
      </c>
      <c r="C1428" s="3" t="s">
        <v>23</v>
      </c>
      <c r="D1428" s="3" t="s">
        <v>24</v>
      </c>
      <c r="E1428" s="3" t="s">
        <v>31</v>
      </c>
      <c r="F1428" s="3" t="s">
        <v>25</v>
      </c>
      <c r="G1428" s="3" t="s">
        <v>25</v>
      </c>
      <c r="H1428" s="3" t="s">
        <v>25</v>
      </c>
      <c r="I1428" s="6">
        <v>44562</v>
      </c>
      <c r="J1428" s="4">
        <v>0</v>
      </c>
      <c r="K1428" s="4">
        <v>0</v>
      </c>
      <c r="L1428" s="4">
        <v>2.5019999999999998</v>
      </c>
      <c r="M1428" s="4">
        <v>2.5019999999999998</v>
      </c>
      <c r="N1428" s="4">
        <v>2.5019999999999998</v>
      </c>
      <c r="O1428" s="4">
        <v>2.5019999999999998</v>
      </c>
      <c r="P1428" s="4">
        <v>18</v>
      </c>
      <c r="Q1428" s="3" t="s">
        <v>26</v>
      </c>
      <c r="R1428" s="3">
        <v>0</v>
      </c>
      <c r="S1428" s="4">
        <v>0</v>
      </c>
      <c r="T1428" s="4">
        <v>28</v>
      </c>
      <c r="U1428" s="4">
        <v>101</v>
      </c>
      <c r="V1428" s="4">
        <f>IF(ISERROR(VLOOKUP($S$1428,'TAR FIN'!$A$1:$O$113,15,0)),0,VLOOKUP($S$1428,'TAR FIN'!$A$1:$O$113,15,0))</f>
        <v>0</v>
      </c>
      <c r="W1428" s="4">
        <f>IF(ISERROR(VLOOKUP($T$1428,'TAR FIN'!$A$1:$O$113,15,0)),0,VLOOKUP($T$1428,'TAR FIN'!$A$1:$O$113,15,0))</f>
        <v>277.05</v>
      </c>
      <c r="X1428" s="4">
        <f>IF(ISERROR(VLOOKUP($U$1428,'TAR FIN'!$A$1:$O$113,15,0)),0,VLOOKUP($U$1428,'TAR FIN'!$A$1:$O$113,15,0))</f>
        <v>210.82</v>
      </c>
      <c r="Y1428" s="4"/>
      <c r="Z142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8" s="4">
        <f>('TE BE'!$AA$22+'TE BF'!$AA$22+'TE CVA'!$AA$22)*(1-CUSTOS!$M$36)</f>
        <v>211.21139501317745</v>
      </c>
      <c r="AB1428" s="4">
        <f>$K$1428*$V$1428</f>
        <v>0</v>
      </c>
      <c r="AC1428" s="4">
        <f>$M$1428*$W$1428</f>
        <v>693.17909999999995</v>
      </c>
      <c r="AD1428" s="4">
        <f>$O$1428*$X$1428</f>
        <v>527.47163999999998</v>
      </c>
      <c r="AE1428" s="4">
        <f>$K$1428*$Y$1428</f>
        <v>0</v>
      </c>
      <c r="AF1428" s="4">
        <f ca="1">$M$1428*$Z$1428</f>
        <v>803.11991282094232</v>
      </c>
      <c r="AG1428" s="4">
        <f>$O$1428*$AA$1428</f>
        <v>528.45091032296989</v>
      </c>
    </row>
    <row r="1429" spans="1:33" ht="11.25" customHeight="1" x14ac:dyDescent="0.25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31</v>
      </c>
      <c r="F1429" s="3" t="s">
        <v>25</v>
      </c>
      <c r="G1429" s="3" t="s">
        <v>25</v>
      </c>
      <c r="H1429" s="3" t="s">
        <v>25</v>
      </c>
      <c r="I1429" s="6">
        <v>44593</v>
      </c>
      <c r="J1429" s="4">
        <v>0</v>
      </c>
      <c r="K1429" s="4">
        <v>0</v>
      </c>
      <c r="L1429" s="4">
        <v>5685.732</v>
      </c>
      <c r="M1429" s="4">
        <v>5685.732</v>
      </c>
      <c r="N1429" s="4">
        <v>5685.732</v>
      </c>
      <c r="O1429" s="4">
        <v>5685.732</v>
      </c>
      <c r="P1429" s="4">
        <v>92791</v>
      </c>
      <c r="Q1429" s="3" t="s">
        <v>26</v>
      </c>
      <c r="R1429" s="3">
        <v>0</v>
      </c>
      <c r="S1429" s="4">
        <v>0</v>
      </c>
      <c r="T1429" s="4">
        <v>28</v>
      </c>
      <c r="U1429" s="4">
        <v>101</v>
      </c>
      <c r="V1429" s="4">
        <f>IF(ISERROR(VLOOKUP($S$1429,'TAR FIN'!$A$1:$O$113,15,0)),0,VLOOKUP($S$1429,'TAR FIN'!$A$1:$O$113,15,0))</f>
        <v>0</v>
      </c>
      <c r="W1429" s="4">
        <f>IF(ISERROR(VLOOKUP($T$1429,'TAR FIN'!$A$1:$O$113,15,0)),0,VLOOKUP($T$1429,'TAR FIN'!$A$1:$O$113,15,0))</f>
        <v>277.05</v>
      </c>
      <c r="X1429" s="4">
        <f>IF(ISERROR(VLOOKUP($U$1429,'TAR FIN'!$A$1:$O$113,15,0)),0,VLOOKUP($U$1429,'TAR FIN'!$A$1:$O$113,15,0))</f>
        <v>210.82</v>
      </c>
      <c r="Y1429" s="4"/>
      <c r="Z142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29" s="4">
        <f>('TE BE'!$AA$22+'TE BF'!$AA$22+'TE CVA'!$AA$22)*(1-CUSTOS!$M$36)</f>
        <v>211.21139501317745</v>
      </c>
      <c r="AB1429" s="4">
        <f>$K$1429*$V$1429</f>
        <v>0</v>
      </c>
      <c r="AC1429" s="4">
        <f>$M$1429*$W$1429</f>
        <v>1575232.0506</v>
      </c>
      <c r="AD1429" s="4">
        <f>$O$1429*$X$1429</f>
        <v>1198666.02024</v>
      </c>
      <c r="AE1429" s="4">
        <f>$K$1429*$Y$1429</f>
        <v>0</v>
      </c>
      <c r="AF1429" s="4">
        <f ca="1">$M$1429*$Z$1429</f>
        <v>1825069.7794417436</v>
      </c>
      <c r="AG1429" s="4">
        <f>$O$1429*$AA$1429</f>
        <v>1200891.3873910634</v>
      </c>
    </row>
    <row r="1430" spans="1:33" ht="11.25" customHeight="1" x14ac:dyDescent="0.25">
      <c r="A1430" s="3" t="s">
        <v>27</v>
      </c>
      <c r="B1430" s="3" t="s">
        <v>22</v>
      </c>
      <c r="C1430" s="3" t="s">
        <v>23</v>
      </c>
      <c r="D1430" s="3" t="s">
        <v>24</v>
      </c>
      <c r="E1430" s="3" t="s">
        <v>31</v>
      </c>
      <c r="F1430" s="3" t="s">
        <v>25</v>
      </c>
      <c r="G1430" s="3" t="s">
        <v>25</v>
      </c>
      <c r="H1430" s="3" t="s">
        <v>25</v>
      </c>
      <c r="I1430" s="6">
        <v>44593</v>
      </c>
      <c r="J1430" s="4">
        <v>0</v>
      </c>
      <c r="K1430" s="4">
        <v>0</v>
      </c>
      <c r="L1430" s="4">
        <v>-0.94499999999999995</v>
      </c>
      <c r="M1430" s="4">
        <v>-0.94499999999999995</v>
      </c>
      <c r="N1430" s="4">
        <v>-0.94499999999999995</v>
      </c>
      <c r="O1430" s="4">
        <v>-0.94499999999999995</v>
      </c>
      <c r="P1430" s="4">
        <v>-5</v>
      </c>
      <c r="Q1430" s="3" t="s">
        <v>26</v>
      </c>
      <c r="R1430" s="3">
        <v>0</v>
      </c>
      <c r="S1430" s="4">
        <v>0</v>
      </c>
      <c r="T1430" s="4">
        <v>28</v>
      </c>
      <c r="U1430" s="4">
        <v>101</v>
      </c>
      <c r="V1430" s="4">
        <f>IF(ISERROR(VLOOKUP($S$1430,'TAR FIN'!$A$1:$O$113,15,0)),0,VLOOKUP($S$1430,'TAR FIN'!$A$1:$O$113,15,0))</f>
        <v>0</v>
      </c>
      <c r="W1430" s="4">
        <f>IF(ISERROR(VLOOKUP($T$1430,'TAR FIN'!$A$1:$O$113,15,0)),0,VLOOKUP($T$1430,'TAR FIN'!$A$1:$O$113,15,0))</f>
        <v>277.05</v>
      </c>
      <c r="X1430" s="4">
        <f>IF(ISERROR(VLOOKUP($U$1430,'TAR FIN'!$A$1:$O$113,15,0)),0,VLOOKUP($U$1430,'TAR FIN'!$A$1:$O$113,15,0))</f>
        <v>210.82</v>
      </c>
      <c r="Y1430" s="4"/>
      <c r="Z143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30" s="4">
        <f>('TE BE'!$AA$22+'TE BF'!$AA$22+'TE CVA'!$AA$22)*(1-CUSTOS!$M$36)</f>
        <v>211.21139501317745</v>
      </c>
      <c r="AB1430" s="4">
        <f>$K$1430*$V$1430</f>
        <v>0</v>
      </c>
      <c r="AC1430" s="4">
        <f>$M$1430*$W$1430</f>
        <v>-261.81225000000001</v>
      </c>
      <c r="AD1430" s="4">
        <f>$O$1430*$X$1430</f>
        <v>-199.22489999999999</v>
      </c>
      <c r="AE1430" s="4">
        <f>$K$1430*$Y$1430</f>
        <v>0</v>
      </c>
      <c r="AF1430" s="4">
        <f ca="1">$M$1430*$Z$1430</f>
        <v>-303.33665772014012</v>
      </c>
      <c r="AG1430" s="4">
        <f>$O$1430*$AA$1430</f>
        <v>-199.59476828745269</v>
      </c>
    </row>
    <row r="1431" spans="1:33" ht="11.25" customHeight="1" x14ac:dyDescent="0.25">
      <c r="A1431" s="3" t="s">
        <v>28</v>
      </c>
      <c r="B1431" s="3" t="s">
        <v>22</v>
      </c>
      <c r="C1431" s="3" t="s">
        <v>23</v>
      </c>
      <c r="D1431" s="3" t="s">
        <v>24</v>
      </c>
      <c r="E1431" s="3" t="s">
        <v>31</v>
      </c>
      <c r="F1431" s="3" t="s">
        <v>25</v>
      </c>
      <c r="G1431" s="3" t="s">
        <v>25</v>
      </c>
      <c r="H1431" s="3" t="s">
        <v>25</v>
      </c>
      <c r="I1431" s="6">
        <v>44593</v>
      </c>
      <c r="J1431" s="4">
        <v>0</v>
      </c>
      <c r="K1431" s="4">
        <v>0</v>
      </c>
      <c r="L1431" s="4">
        <v>2.363</v>
      </c>
      <c r="M1431" s="4">
        <v>2.363</v>
      </c>
      <c r="N1431" s="4">
        <v>2.363</v>
      </c>
      <c r="O1431" s="4">
        <v>2.363</v>
      </c>
      <c r="P1431" s="4">
        <v>17</v>
      </c>
      <c r="Q1431" s="3" t="s">
        <v>26</v>
      </c>
      <c r="R1431" s="3">
        <v>0</v>
      </c>
      <c r="S1431" s="4">
        <v>0</v>
      </c>
      <c r="T1431" s="4">
        <v>28</v>
      </c>
      <c r="U1431" s="4">
        <v>101</v>
      </c>
      <c r="V1431" s="4">
        <f>IF(ISERROR(VLOOKUP($S$1431,'TAR FIN'!$A$1:$O$113,15,0)),0,VLOOKUP($S$1431,'TAR FIN'!$A$1:$O$113,15,0))</f>
        <v>0</v>
      </c>
      <c r="W1431" s="4">
        <f>IF(ISERROR(VLOOKUP($T$1431,'TAR FIN'!$A$1:$O$113,15,0)),0,VLOOKUP($T$1431,'TAR FIN'!$A$1:$O$113,15,0))</f>
        <v>277.05</v>
      </c>
      <c r="X1431" s="4">
        <f>IF(ISERROR(VLOOKUP($U$1431,'TAR FIN'!$A$1:$O$113,15,0)),0,VLOOKUP($U$1431,'TAR FIN'!$A$1:$O$113,15,0))</f>
        <v>210.82</v>
      </c>
      <c r="Y1431" s="4"/>
      <c r="Z143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31" s="4">
        <f>('TE BE'!$AA$22+'TE BF'!$AA$22+'TE CVA'!$AA$22)*(1-CUSTOS!$M$36)</f>
        <v>211.21139501317745</v>
      </c>
      <c r="AB1431" s="4">
        <f>$K$1431*$V$1431</f>
        <v>0</v>
      </c>
      <c r="AC1431" s="4">
        <f>$M$1431*$W$1431</f>
        <v>654.66915000000006</v>
      </c>
      <c r="AD1431" s="4">
        <f>$O$1431*$X$1431</f>
        <v>498.16765999999996</v>
      </c>
      <c r="AE1431" s="4">
        <f>$K$1431*$Y$1431</f>
        <v>0</v>
      </c>
      <c r="AF1431" s="4">
        <f ca="1">$M$1431*$Z$1431</f>
        <v>758.50213988644566</v>
      </c>
      <c r="AG1431" s="4">
        <f>$O$1431*$AA$1431</f>
        <v>499.0925264161383</v>
      </c>
    </row>
    <row r="1432" spans="1:33" ht="11.25" customHeight="1" x14ac:dyDescent="0.25">
      <c r="A1432" s="3" t="s">
        <v>56</v>
      </c>
      <c r="B1432" s="3" t="s">
        <v>22</v>
      </c>
      <c r="C1432" s="3" t="s">
        <v>23</v>
      </c>
      <c r="D1432" s="3" t="s">
        <v>24</v>
      </c>
      <c r="E1432" s="3" t="s">
        <v>31</v>
      </c>
      <c r="F1432" s="3" t="s">
        <v>25</v>
      </c>
      <c r="G1432" s="3" t="s">
        <v>25</v>
      </c>
      <c r="H1432" s="3" t="s">
        <v>25</v>
      </c>
      <c r="I1432" s="6">
        <v>44621</v>
      </c>
      <c r="J1432" s="4">
        <v>0</v>
      </c>
      <c r="K1432" s="4">
        <v>0</v>
      </c>
      <c r="L1432" s="4">
        <v>5685.732</v>
      </c>
      <c r="M1432" s="4">
        <v>5685.732</v>
      </c>
      <c r="N1432" s="4">
        <v>5685.732</v>
      </c>
      <c r="O1432" s="4">
        <v>5685.732</v>
      </c>
      <c r="P1432" s="4">
        <v>92791</v>
      </c>
      <c r="Q1432" s="3" t="s">
        <v>26</v>
      </c>
      <c r="R1432" s="3">
        <v>0</v>
      </c>
      <c r="S1432" s="4">
        <v>0</v>
      </c>
      <c r="T1432" s="4">
        <v>28</v>
      </c>
      <c r="U1432" s="4">
        <v>101</v>
      </c>
      <c r="V1432" s="4">
        <f>IF(ISERROR(VLOOKUP($S$1432,'TAR FIN'!$A$1:$O$113,15,0)),0,VLOOKUP($S$1432,'TAR FIN'!$A$1:$O$113,15,0))</f>
        <v>0</v>
      </c>
      <c r="W1432" s="4">
        <f>IF(ISERROR(VLOOKUP($T$1432,'TAR FIN'!$A$1:$O$113,15,0)),0,VLOOKUP($T$1432,'TAR FIN'!$A$1:$O$113,15,0))</f>
        <v>277.05</v>
      </c>
      <c r="X1432" s="4">
        <f>IF(ISERROR(VLOOKUP($U$1432,'TAR FIN'!$A$1:$O$113,15,0)),0,VLOOKUP($U$1432,'TAR FIN'!$A$1:$O$113,15,0))</f>
        <v>210.82</v>
      </c>
      <c r="Y1432" s="4"/>
      <c r="Z143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32" s="4">
        <f>('TE BE'!$AA$22+'TE BF'!$AA$22+'TE CVA'!$AA$22)*(1-CUSTOS!$M$36)</f>
        <v>211.21139501317745</v>
      </c>
      <c r="AB1432" s="4">
        <f>$K$1432*$V$1432</f>
        <v>0</v>
      </c>
      <c r="AC1432" s="4">
        <f>$M$1432*$W$1432</f>
        <v>1575232.0506</v>
      </c>
      <c r="AD1432" s="4">
        <f>$O$1432*$X$1432</f>
        <v>1198666.02024</v>
      </c>
      <c r="AE1432" s="4">
        <f>$K$1432*$Y$1432</f>
        <v>0</v>
      </c>
      <c r="AF1432" s="4">
        <f ca="1">$M$1432*$Z$1432</f>
        <v>1825069.7794417436</v>
      </c>
      <c r="AG1432" s="4">
        <f>$O$1432*$AA$1432</f>
        <v>1200891.3873910634</v>
      </c>
    </row>
    <row r="1433" spans="1:33" ht="11.25" customHeight="1" x14ac:dyDescent="0.25">
      <c r="A1433" s="3" t="s">
        <v>56</v>
      </c>
      <c r="B1433" s="3" t="s">
        <v>22</v>
      </c>
      <c r="C1433" s="3" t="s">
        <v>23</v>
      </c>
      <c r="D1433" s="3" t="s">
        <v>24</v>
      </c>
      <c r="E1433" s="3" t="s">
        <v>31</v>
      </c>
      <c r="F1433" s="3" t="s">
        <v>25</v>
      </c>
      <c r="G1433" s="3" t="s">
        <v>25</v>
      </c>
      <c r="H1433" s="3" t="s">
        <v>25</v>
      </c>
      <c r="I1433" s="6">
        <v>44621</v>
      </c>
      <c r="J1433" s="4">
        <v>0</v>
      </c>
      <c r="K1433" s="4">
        <v>0</v>
      </c>
      <c r="L1433" s="4">
        <v>-0.94499999999999995</v>
      </c>
      <c r="M1433" s="4">
        <v>-0.94499999999999995</v>
      </c>
      <c r="N1433" s="4">
        <v>-0.94499999999999995</v>
      </c>
      <c r="O1433" s="4">
        <v>-0.94499999999999995</v>
      </c>
      <c r="P1433" s="4">
        <v>-5</v>
      </c>
      <c r="Q1433" s="3" t="s">
        <v>26</v>
      </c>
      <c r="R1433" s="3">
        <v>0</v>
      </c>
      <c r="S1433" s="4">
        <v>0</v>
      </c>
      <c r="T1433" s="4">
        <v>28</v>
      </c>
      <c r="U1433" s="4">
        <v>101</v>
      </c>
      <c r="V1433" s="4">
        <f>IF(ISERROR(VLOOKUP($S$1433,'TAR FIN'!$A$1:$O$113,15,0)),0,VLOOKUP($S$1433,'TAR FIN'!$A$1:$O$113,15,0))</f>
        <v>0</v>
      </c>
      <c r="W1433" s="4">
        <f>IF(ISERROR(VLOOKUP($T$1433,'TAR FIN'!$A$1:$O$113,15,0)),0,VLOOKUP($T$1433,'TAR FIN'!$A$1:$O$113,15,0))</f>
        <v>277.05</v>
      </c>
      <c r="X1433" s="4">
        <f>IF(ISERROR(VLOOKUP($U$1433,'TAR FIN'!$A$1:$O$113,15,0)),0,VLOOKUP($U$1433,'TAR FIN'!$A$1:$O$113,15,0))</f>
        <v>210.82</v>
      </c>
      <c r="Y1433" s="4"/>
      <c r="Z143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33" s="4">
        <f>('TE BE'!$AA$22+'TE BF'!$AA$22+'TE CVA'!$AA$22)*(1-CUSTOS!$M$36)</f>
        <v>211.21139501317745</v>
      </c>
      <c r="AB1433" s="4">
        <f>$K$1433*$V$1433</f>
        <v>0</v>
      </c>
      <c r="AC1433" s="4">
        <f>$M$1433*$W$1433</f>
        <v>-261.81225000000001</v>
      </c>
      <c r="AD1433" s="4">
        <f>$O$1433*$X$1433</f>
        <v>-199.22489999999999</v>
      </c>
      <c r="AE1433" s="4">
        <f>$K$1433*$Y$1433</f>
        <v>0</v>
      </c>
      <c r="AF1433" s="4">
        <f ca="1">$M$1433*$Z$1433</f>
        <v>-303.33665772014012</v>
      </c>
      <c r="AG1433" s="4">
        <f>$O$1433*$AA$1433</f>
        <v>-199.59476828745269</v>
      </c>
    </row>
    <row r="1434" spans="1:33" ht="11.25" customHeight="1" x14ac:dyDescent="0.25">
      <c r="A1434" s="3" t="s">
        <v>56</v>
      </c>
      <c r="B1434" s="3" t="s">
        <v>22</v>
      </c>
      <c r="C1434" s="3" t="s">
        <v>23</v>
      </c>
      <c r="D1434" s="3" t="s">
        <v>24</v>
      </c>
      <c r="E1434" s="3" t="s">
        <v>31</v>
      </c>
      <c r="F1434" s="3" t="s">
        <v>25</v>
      </c>
      <c r="G1434" s="3" t="s">
        <v>25</v>
      </c>
      <c r="H1434" s="3" t="s">
        <v>25</v>
      </c>
      <c r="I1434" s="6">
        <v>44621</v>
      </c>
      <c r="J1434" s="4">
        <v>0</v>
      </c>
      <c r="K1434" s="4">
        <v>0</v>
      </c>
      <c r="L1434" s="4">
        <v>2.363</v>
      </c>
      <c r="M1434" s="4">
        <v>2.363</v>
      </c>
      <c r="N1434" s="4">
        <v>2.363</v>
      </c>
      <c r="O1434" s="4">
        <v>2.363</v>
      </c>
      <c r="P1434" s="4">
        <v>17</v>
      </c>
      <c r="Q1434" s="3" t="s">
        <v>26</v>
      </c>
      <c r="R1434" s="3">
        <v>0</v>
      </c>
      <c r="S1434" s="4">
        <v>0</v>
      </c>
      <c r="T1434" s="4">
        <v>28</v>
      </c>
      <c r="U1434" s="4">
        <v>101</v>
      </c>
      <c r="V1434" s="4">
        <f>IF(ISERROR(VLOOKUP($S$1434,'TAR FIN'!$A$1:$O$113,15,0)),0,VLOOKUP($S$1434,'TAR FIN'!$A$1:$O$113,15,0))</f>
        <v>0</v>
      </c>
      <c r="W1434" s="4">
        <f>IF(ISERROR(VLOOKUP($T$1434,'TAR FIN'!$A$1:$O$113,15,0)),0,VLOOKUP($T$1434,'TAR FIN'!$A$1:$O$113,15,0))</f>
        <v>277.05</v>
      </c>
      <c r="X1434" s="4">
        <f>IF(ISERROR(VLOOKUP($U$1434,'TAR FIN'!$A$1:$O$113,15,0)),0,VLOOKUP($U$1434,'TAR FIN'!$A$1:$O$113,15,0))</f>
        <v>210.82</v>
      </c>
      <c r="Y1434" s="4"/>
      <c r="Z143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1434" s="4">
        <f>('TE BE'!$AA$22+'TE BF'!$AA$22+'TE CVA'!$AA$22)*(1-CUSTOS!$M$36)</f>
        <v>211.21139501317745</v>
      </c>
      <c r="AB1434" s="4">
        <f>$K$1434*$V$1434</f>
        <v>0</v>
      </c>
      <c r="AC1434" s="4">
        <f>$M$1434*$W$1434</f>
        <v>654.66915000000006</v>
      </c>
      <c r="AD1434" s="4">
        <f>$O$1434*$X$1434</f>
        <v>498.16765999999996</v>
      </c>
      <c r="AE1434" s="4">
        <f>$K$1434*$Y$1434</f>
        <v>0</v>
      </c>
      <c r="AF1434" s="4">
        <f ca="1">$M$1434*$Z$1434</f>
        <v>758.50213988644566</v>
      </c>
      <c r="AG1434" s="4">
        <f>$O$1434*$AA$1434</f>
        <v>499.0925264161383</v>
      </c>
    </row>
    <row r="1435" spans="1:33" ht="11.25" customHeight="1" x14ac:dyDescent="0.25">
      <c r="A1435" s="3" t="s">
        <v>21</v>
      </c>
      <c r="B1435" s="3" t="s">
        <v>22</v>
      </c>
      <c r="C1435" s="3" t="s">
        <v>23</v>
      </c>
      <c r="D1435" s="3" t="s">
        <v>24</v>
      </c>
      <c r="E1435" s="3" t="s">
        <v>32</v>
      </c>
      <c r="F1435" s="3" t="s">
        <v>25</v>
      </c>
      <c r="G1435" s="3" t="s">
        <v>25</v>
      </c>
      <c r="H1435" s="3" t="s">
        <v>25</v>
      </c>
      <c r="I1435" s="6">
        <v>44287</v>
      </c>
      <c r="J1435" s="4">
        <v>0</v>
      </c>
      <c r="K1435" s="4">
        <v>0</v>
      </c>
      <c r="L1435" s="4">
        <v>1840.585</v>
      </c>
      <c r="M1435" s="4">
        <v>1840.585</v>
      </c>
      <c r="N1435" s="4">
        <v>1840.585</v>
      </c>
      <c r="O1435" s="4">
        <v>1840.585</v>
      </c>
      <c r="P1435" s="4">
        <v>18521</v>
      </c>
      <c r="Q1435" s="3" t="s">
        <v>26</v>
      </c>
      <c r="R1435" s="3">
        <v>0</v>
      </c>
      <c r="S1435" s="4">
        <v>0</v>
      </c>
      <c r="T1435" s="4">
        <v>29</v>
      </c>
      <c r="U1435" s="4">
        <v>66</v>
      </c>
      <c r="V1435" s="4">
        <f>IF(ISERROR(VLOOKUP($S$1435,'TAR FIN'!$A$1:$O$113,15,0)),0,VLOOKUP($S$1435,'TAR FIN'!$A$1:$O$113,15,0))</f>
        <v>0</v>
      </c>
      <c r="W1435" s="4">
        <f>IF(ISERROR(VLOOKUP($T$1435,'TAR FIN'!$A$1:$O$113,15,0)),0,VLOOKUP($T$1435,'TAR FIN'!$A$1:$O$113,15,0))</f>
        <v>307.83999999999997</v>
      </c>
      <c r="X1435" s="4">
        <f>IF(ISERROR(VLOOKUP($U$1435,'TAR FIN'!$A$1:$O$113,15,0)),0,VLOOKUP($U$1435,'TAR FIN'!$A$1:$O$113,15,0))</f>
        <v>234.24</v>
      </c>
      <c r="Y1435" s="4"/>
      <c r="Z143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35" s="4">
        <f>('TE BE'!$AA$23+'TE BF'!$AA$23+'TE CVA'!$AA$23)*(1-CUSTOS!$M$37)</f>
        <v>234.67932779241937</v>
      </c>
      <c r="AB1435" s="4">
        <f>$K$1435*$V$1435</f>
        <v>0</v>
      </c>
      <c r="AC1435" s="4">
        <f>$M$1435*$W$1435</f>
        <v>566605.68640000001</v>
      </c>
      <c r="AD1435" s="4">
        <f>$O$1435*$X$1435</f>
        <v>431138.63040000002</v>
      </c>
      <c r="AE1435" s="4">
        <f>$K$1435*$Y$1435</f>
        <v>0</v>
      </c>
      <c r="AF1435" s="4">
        <f ca="1">$M$1435*$Z$1435</f>
        <v>656457.2629627561</v>
      </c>
      <c r="AG1435" s="4">
        <f>$O$1435*$AA$1435</f>
        <v>431947.2505448102</v>
      </c>
    </row>
    <row r="1436" spans="1:33" ht="11.25" customHeight="1" x14ac:dyDescent="0.25">
      <c r="A1436" s="3" t="s">
        <v>27</v>
      </c>
      <c r="B1436" s="3" t="s">
        <v>22</v>
      </c>
      <c r="C1436" s="3" t="s">
        <v>23</v>
      </c>
      <c r="D1436" s="3" t="s">
        <v>24</v>
      </c>
      <c r="E1436" s="3" t="s">
        <v>32</v>
      </c>
      <c r="F1436" s="3" t="s">
        <v>25</v>
      </c>
      <c r="G1436" s="3" t="s">
        <v>25</v>
      </c>
      <c r="H1436" s="3" t="s">
        <v>25</v>
      </c>
      <c r="I1436" s="6">
        <v>44287</v>
      </c>
      <c r="J1436" s="4">
        <v>0</v>
      </c>
      <c r="K1436" s="4">
        <v>0</v>
      </c>
      <c r="L1436" s="4">
        <v>-6.4489999999999998</v>
      </c>
      <c r="M1436" s="4">
        <v>-6.4489999999999998</v>
      </c>
      <c r="N1436" s="4">
        <v>-6.4489999999999998</v>
      </c>
      <c r="O1436" s="4">
        <v>-6.4489999999999998</v>
      </c>
      <c r="P1436" s="4">
        <v>-4</v>
      </c>
      <c r="Q1436" s="3" t="s">
        <v>26</v>
      </c>
      <c r="R1436" s="3">
        <v>0</v>
      </c>
      <c r="S1436" s="4">
        <v>0</v>
      </c>
      <c r="T1436" s="4">
        <v>29</v>
      </c>
      <c r="U1436" s="4">
        <v>66</v>
      </c>
      <c r="V1436" s="4">
        <f>IF(ISERROR(VLOOKUP($S$1436,'TAR FIN'!$A$1:$O$113,15,0)),0,VLOOKUP($S$1436,'TAR FIN'!$A$1:$O$113,15,0))</f>
        <v>0</v>
      </c>
      <c r="W1436" s="4">
        <f>IF(ISERROR(VLOOKUP($T$1436,'TAR FIN'!$A$1:$O$113,15,0)),0,VLOOKUP($T$1436,'TAR FIN'!$A$1:$O$113,15,0))</f>
        <v>307.83999999999997</v>
      </c>
      <c r="X1436" s="4">
        <f>IF(ISERROR(VLOOKUP($U$1436,'TAR FIN'!$A$1:$O$113,15,0)),0,VLOOKUP($U$1436,'TAR FIN'!$A$1:$O$113,15,0))</f>
        <v>234.24</v>
      </c>
      <c r="Y1436" s="4"/>
      <c r="Z143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36" s="4">
        <f>('TE BE'!$AA$23+'TE BF'!$AA$23+'TE CVA'!$AA$23)*(1-CUSTOS!$M$37)</f>
        <v>234.67932779241937</v>
      </c>
      <c r="AB1436" s="4">
        <f>$K$1436*$V$1436</f>
        <v>0</v>
      </c>
      <c r="AC1436" s="4">
        <f>$M$1436*$W$1436</f>
        <v>-1985.2601599999998</v>
      </c>
      <c r="AD1436" s="4">
        <f>$O$1436*$X$1436</f>
        <v>-1510.61376</v>
      </c>
      <c r="AE1436" s="4">
        <f>$K$1436*$Y$1436</f>
        <v>0</v>
      </c>
      <c r="AF1436" s="4">
        <f ca="1">$M$1436*$Z$1436</f>
        <v>-2300.0800771748186</v>
      </c>
      <c r="AG1436" s="4">
        <f>$O$1436*$AA$1436</f>
        <v>-1513.4469849333125</v>
      </c>
    </row>
    <row r="1437" spans="1:33" ht="11.25" customHeight="1" x14ac:dyDescent="0.25">
      <c r="A1437" s="3" t="s">
        <v>28</v>
      </c>
      <c r="B1437" s="3" t="s">
        <v>22</v>
      </c>
      <c r="C1437" s="3" t="s">
        <v>23</v>
      </c>
      <c r="D1437" s="3" t="s">
        <v>24</v>
      </c>
      <c r="E1437" s="3" t="s">
        <v>32</v>
      </c>
      <c r="F1437" s="3" t="s">
        <v>25</v>
      </c>
      <c r="G1437" s="3" t="s">
        <v>25</v>
      </c>
      <c r="H1437" s="3" t="s">
        <v>25</v>
      </c>
      <c r="I1437" s="6">
        <v>44287</v>
      </c>
      <c r="J1437" s="4">
        <v>0</v>
      </c>
      <c r="K1437" s="4">
        <v>0</v>
      </c>
      <c r="L1437" s="4">
        <v>2.9940000000000002</v>
      </c>
      <c r="M1437" s="4">
        <v>2.9940000000000002</v>
      </c>
      <c r="N1437" s="4">
        <v>2.9940000000000002</v>
      </c>
      <c r="O1437" s="4">
        <v>2.9940000000000002</v>
      </c>
      <c r="P1437" s="4">
        <v>23</v>
      </c>
      <c r="Q1437" s="3" t="s">
        <v>26</v>
      </c>
      <c r="R1437" s="3">
        <v>0</v>
      </c>
      <c r="S1437" s="4">
        <v>0</v>
      </c>
      <c r="T1437" s="4">
        <v>29</v>
      </c>
      <c r="U1437" s="4">
        <v>66</v>
      </c>
      <c r="V1437" s="4">
        <f>IF(ISERROR(VLOOKUP($S$1437,'TAR FIN'!$A$1:$O$113,15,0)),0,VLOOKUP($S$1437,'TAR FIN'!$A$1:$O$113,15,0))</f>
        <v>0</v>
      </c>
      <c r="W1437" s="4">
        <f>IF(ISERROR(VLOOKUP($T$1437,'TAR FIN'!$A$1:$O$113,15,0)),0,VLOOKUP($T$1437,'TAR FIN'!$A$1:$O$113,15,0))</f>
        <v>307.83999999999997</v>
      </c>
      <c r="X1437" s="4">
        <f>IF(ISERROR(VLOOKUP($U$1437,'TAR FIN'!$A$1:$O$113,15,0)),0,VLOOKUP($U$1437,'TAR FIN'!$A$1:$O$113,15,0))</f>
        <v>234.24</v>
      </c>
      <c r="Y1437" s="4"/>
      <c r="Z143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37" s="4">
        <f>('TE BE'!$AA$23+'TE BF'!$AA$23+'TE CVA'!$AA$23)*(1-CUSTOS!$M$37)</f>
        <v>234.67932779241937</v>
      </c>
      <c r="AB1437" s="4">
        <f>$K$1437*$V$1437</f>
        <v>0</v>
      </c>
      <c r="AC1437" s="4">
        <f>$M$1437*$W$1437</f>
        <v>921.67295999999999</v>
      </c>
      <c r="AD1437" s="4">
        <f>$O$1437*$X$1437</f>
        <v>701.31456000000003</v>
      </c>
      <c r="AE1437" s="4">
        <f>$K$1437*$Y$1437</f>
        <v>0</v>
      </c>
      <c r="AF1437" s="4">
        <f ca="1">$M$1437*$Z$1437</f>
        <v>1067.8306328208107</v>
      </c>
      <c r="AG1437" s="4">
        <f>$O$1437*$AA$1437</f>
        <v>702.62990741050362</v>
      </c>
    </row>
    <row r="1438" spans="1:33" ht="11.25" customHeight="1" x14ac:dyDescent="0.25">
      <c r="A1438" s="3" t="s">
        <v>21</v>
      </c>
      <c r="B1438" s="3" t="s">
        <v>22</v>
      </c>
      <c r="C1438" s="3" t="s">
        <v>23</v>
      </c>
      <c r="D1438" s="3" t="s">
        <v>24</v>
      </c>
      <c r="E1438" s="3" t="s">
        <v>32</v>
      </c>
      <c r="F1438" s="3" t="s">
        <v>25</v>
      </c>
      <c r="G1438" s="3" t="s">
        <v>25</v>
      </c>
      <c r="H1438" s="3" t="s">
        <v>25</v>
      </c>
      <c r="I1438" s="6">
        <v>44317</v>
      </c>
      <c r="J1438" s="4">
        <v>0</v>
      </c>
      <c r="K1438" s="4">
        <v>0</v>
      </c>
      <c r="L1438" s="4">
        <v>1271.867</v>
      </c>
      <c r="M1438" s="4">
        <v>1271.867</v>
      </c>
      <c r="N1438" s="4">
        <v>1271.867</v>
      </c>
      <c r="O1438" s="4">
        <v>1271.867</v>
      </c>
      <c r="P1438" s="4">
        <v>13296</v>
      </c>
      <c r="Q1438" s="3" t="s">
        <v>26</v>
      </c>
      <c r="R1438" s="3">
        <v>0</v>
      </c>
      <c r="S1438" s="4">
        <v>0</v>
      </c>
      <c r="T1438" s="4">
        <v>29</v>
      </c>
      <c r="U1438" s="4">
        <v>66</v>
      </c>
      <c r="V1438" s="4">
        <f>IF(ISERROR(VLOOKUP($S$1438,'TAR FIN'!$A$1:$O$113,15,0)),0,VLOOKUP($S$1438,'TAR FIN'!$A$1:$O$113,15,0))</f>
        <v>0</v>
      </c>
      <c r="W1438" s="4">
        <f>IF(ISERROR(VLOOKUP($T$1438,'TAR FIN'!$A$1:$O$113,15,0)),0,VLOOKUP($T$1438,'TAR FIN'!$A$1:$O$113,15,0))</f>
        <v>307.83999999999997</v>
      </c>
      <c r="X1438" s="4">
        <f>IF(ISERROR(VLOOKUP($U$1438,'TAR FIN'!$A$1:$O$113,15,0)),0,VLOOKUP($U$1438,'TAR FIN'!$A$1:$O$113,15,0))</f>
        <v>234.24</v>
      </c>
      <c r="Y1438" s="4"/>
      <c r="Z143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38" s="4">
        <f>('TE BE'!$AA$23+'TE BF'!$AA$23+'TE CVA'!$AA$23)*(1-CUSTOS!$M$37)</f>
        <v>234.67932779241937</v>
      </c>
      <c r="AB1438" s="4">
        <f>$K$1438*$V$1438</f>
        <v>0</v>
      </c>
      <c r="AC1438" s="4">
        <f>$M$1438*$W$1438</f>
        <v>391531.53727999993</v>
      </c>
      <c r="AD1438" s="4">
        <f>$O$1438*$X$1438</f>
        <v>297922.12608000002</v>
      </c>
      <c r="AE1438" s="4">
        <f>$K$1438*$Y$1438</f>
        <v>0</v>
      </c>
      <c r="AF1438" s="4">
        <f ca="1">$M$1438*$Z$1438</f>
        <v>453620.08800063655</v>
      </c>
      <c r="AG1438" s="4">
        <f>$O$1438*$AA$1438</f>
        <v>298480.89260136103</v>
      </c>
    </row>
    <row r="1439" spans="1:33" ht="11.25" customHeight="1" x14ac:dyDescent="0.25">
      <c r="A1439" s="3" t="s">
        <v>27</v>
      </c>
      <c r="B1439" s="3" t="s">
        <v>22</v>
      </c>
      <c r="C1439" s="3" t="s">
        <v>23</v>
      </c>
      <c r="D1439" s="3" t="s">
        <v>24</v>
      </c>
      <c r="E1439" s="3" t="s">
        <v>32</v>
      </c>
      <c r="F1439" s="3" t="s">
        <v>25</v>
      </c>
      <c r="G1439" s="3" t="s">
        <v>25</v>
      </c>
      <c r="H1439" s="3" t="s">
        <v>25</v>
      </c>
      <c r="I1439" s="6">
        <v>44317</v>
      </c>
      <c r="J1439" s="4">
        <v>0</v>
      </c>
      <c r="K1439" s="4">
        <v>0</v>
      </c>
      <c r="L1439" s="4">
        <v>-9.8000000000000004E-2</v>
      </c>
      <c r="M1439" s="4">
        <v>-9.8000000000000004E-2</v>
      </c>
      <c r="N1439" s="4">
        <v>-9.8000000000000004E-2</v>
      </c>
      <c r="O1439" s="4">
        <v>-9.8000000000000004E-2</v>
      </c>
      <c r="P1439" s="4">
        <v>-2</v>
      </c>
      <c r="Q1439" s="3" t="s">
        <v>26</v>
      </c>
      <c r="R1439" s="3">
        <v>0</v>
      </c>
      <c r="S1439" s="4">
        <v>0</v>
      </c>
      <c r="T1439" s="4">
        <v>29</v>
      </c>
      <c r="U1439" s="4">
        <v>66</v>
      </c>
      <c r="V1439" s="4">
        <f>IF(ISERROR(VLOOKUP($S$1439,'TAR FIN'!$A$1:$O$113,15,0)),0,VLOOKUP($S$1439,'TAR FIN'!$A$1:$O$113,15,0))</f>
        <v>0</v>
      </c>
      <c r="W1439" s="4">
        <f>IF(ISERROR(VLOOKUP($T$1439,'TAR FIN'!$A$1:$O$113,15,0)),0,VLOOKUP($T$1439,'TAR FIN'!$A$1:$O$113,15,0))</f>
        <v>307.83999999999997</v>
      </c>
      <c r="X1439" s="4">
        <f>IF(ISERROR(VLOOKUP($U$1439,'TAR FIN'!$A$1:$O$113,15,0)),0,VLOOKUP($U$1439,'TAR FIN'!$A$1:$O$113,15,0))</f>
        <v>234.24</v>
      </c>
      <c r="Y1439" s="4"/>
      <c r="Z143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39" s="4">
        <f>('TE BE'!$AA$23+'TE BF'!$AA$23+'TE CVA'!$AA$23)*(1-CUSTOS!$M$37)</f>
        <v>234.67932779241937</v>
      </c>
      <c r="AB1439" s="4">
        <f>$K$1439*$V$1439</f>
        <v>0</v>
      </c>
      <c r="AC1439" s="4">
        <f>$M$1439*$W$1439</f>
        <v>-30.168319999999998</v>
      </c>
      <c r="AD1439" s="4">
        <f>$O$1439*$X$1439</f>
        <v>-22.955520000000003</v>
      </c>
      <c r="AE1439" s="4">
        <f>$K$1439*$Y$1439</f>
        <v>0</v>
      </c>
      <c r="AF1439" s="4">
        <f ca="1">$M$1439*$Z$1439</f>
        <v>-34.952372082979103</v>
      </c>
      <c r="AG1439" s="4">
        <f>$O$1439*$AA$1439</f>
        <v>-22.9985741236571</v>
      </c>
    </row>
    <row r="1440" spans="1:33" ht="11.25" customHeight="1" x14ac:dyDescent="0.25">
      <c r="A1440" s="3" t="s">
        <v>28</v>
      </c>
      <c r="B1440" s="3" t="s">
        <v>22</v>
      </c>
      <c r="C1440" s="3" t="s">
        <v>23</v>
      </c>
      <c r="D1440" s="3" t="s">
        <v>24</v>
      </c>
      <c r="E1440" s="3" t="s">
        <v>32</v>
      </c>
      <c r="F1440" s="3" t="s">
        <v>25</v>
      </c>
      <c r="G1440" s="3" t="s">
        <v>25</v>
      </c>
      <c r="H1440" s="3" t="s">
        <v>25</v>
      </c>
      <c r="I1440" s="6">
        <v>44317</v>
      </c>
      <c r="J1440" s="4">
        <v>0</v>
      </c>
      <c r="K1440" s="4">
        <v>0</v>
      </c>
      <c r="L1440" s="4">
        <v>2.5760000000000001</v>
      </c>
      <c r="M1440" s="4">
        <v>2.5760000000000001</v>
      </c>
      <c r="N1440" s="4">
        <v>2.5760000000000001</v>
      </c>
      <c r="O1440" s="4">
        <v>2.5760000000000001</v>
      </c>
      <c r="P1440" s="4">
        <v>23</v>
      </c>
      <c r="Q1440" s="3" t="s">
        <v>26</v>
      </c>
      <c r="R1440" s="3">
        <v>0</v>
      </c>
      <c r="S1440" s="4">
        <v>0</v>
      </c>
      <c r="T1440" s="4">
        <v>29</v>
      </c>
      <c r="U1440" s="4">
        <v>66</v>
      </c>
      <c r="V1440" s="4">
        <f>IF(ISERROR(VLOOKUP($S$1440,'TAR FIN'!$A$1:$O$113,15,0)),0,VLOOKUP($S$1440,'TAR FIN'!$A$1:$O$113,15,0))</f>
        <v>0</v>
      </c>
      <c r="W1440" s="4">
        <f>IF(ISERROR(VLOOKUP($T$1440,'TAR FIN'!$A$1:$O$113,15,0)),0,VLOOKUP($T$1440,'TAR FIN'!$A$1:$O$113,15,0))</f>
        <v>307.83999999999997</v>
      </c>
      <c r="X1440" s="4">
        <f>IF(ISERROR(VLOOKUP($U$1440,'TAR FIN'!$A$1:$O$113,15,0)),0,VLOOKUP($U$1440,'TAR FIN'!$A$1:$O$113,15,0))</f>
        <v>234.24</v>
      </c>
      <c r="Y1440" s="4"/>
      <c r="Z144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0" s="4">
        <f>('TE BE'!$AA$23+'TE BF'!$AA$23+'TE CVA'!$AA$23)*(1-CUSTOS!$M$37)</f>
        <v>234.67932779241937</v>
      </c>
      <c r="AB1440" s="4">
        <f>$K$1440*$V$1440</f>
        <v>0</v>
      </c>
      <c r="AC1440" s="4">
        <f>$M$1440*$W$1440</f>
        <v>792.99583999999993</v>
      </c>
      <c r="AD1440" s="4">
        <f>$O$1440*$X$1440</f>
        <v>603.40224000000001</v>
      </c>
      <c r="AE1440" s="4">
        <f>$K$1440*$Y$1440</f>
        <v>0</v>
      </c>
      <c r="AF1440" s="4">
        <f ca="1">$M$1440*$Z$1440</f>
        <v>918.74806618116509</v>
      </c>
      <c r="AG1440" s="4">
        <f>$O$1440*$AA$1440</f>
        <v>604.53394839327234</v>
      </c>
    </row>
    <row r="1441" spans="1:33" ht="11.25" customHeight="1" x14ac:dyDescent="0.25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32</v>
      </c>
      <c r="F1441" s="3" t="s">
        <v>25</v>
      </c>
      <c r="G1441" s="3" t="s">
        <v>25</v>
      </c>
      <c r="H1441" s="3" t="s">
        <v>25</v>
      </c>
      <c r="I1441" s="6">
        <v>44348</v>
      </c>
      <c r="J1441" s="4">
        <v>0</v>
      </c>
      <c r="K1441" s="4">
        <v>0</v>
      </c>
      <c r="L1441" s="4">
        <v>1126.193</v>
      </c>
      <c r="M1441" s="4">
        <v>1126.193</v>
      </c>
      <c r="N1441" s="4">
        <v>1126.193</v>
      </c>
      <c r="O1441" s="4">
        <v>1126.193</v>
      </c>
      <c r="P1441" s="4">
        <v>11760</v>
      </c>
      <c r="Q1441" s="3" t="s">
        <v>26</v>
      </c>
      <c r="R1441" s="3">
        <v>0</v>
      </c>
      <c r="S1441" s="4">
        <v>0</v>
      </c>
      <c r="T1441" s="4">
        <v>29</v>
      </c>
      <c r="U1441" s="4">
        <v>66</v>
      </c>
      <c r="V1441" s="4">
        <f>IF(ISERROR(VLOOKUP($S$1441,'TAR FIN'!$A$1:$O$113,15,0)),0,VLOOKUP($S$1441,'TAR FIN'!$A$1:$O$113,15,0))</f>
        <v>0</v>
      </c>
      <c r="W1441" s="4">
        <f>IF(ISERROR(VLOOKUP($T$1441,'TAR FIN'!$A$1:$O$113,15,0)),0,VLOOKUP($T$1441,'TAR FIN'!$A$1:$O$113,15,0))</f>
        <v>307.83999999999997</v>
      </c>
      <c r="X1441" s="4">
        <f>IF(ISERROR(VLOOKUP($U$1441,'TAR FIN'!$A$1:$O$113,15,0)),0,VLOOKUP($U$1441,'TAR FIN'!$A$1:$O$113,15,0))</f>
        <v>234.24</v>
      </c>
      <c r="Y1441" s="4"/>
      <c r="Z144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1" s="4">
        <f>('TE BE'!$AA$23+'TE BF'!$AA$23+'TE CVA'!$AA$23)*(1-CUSTOS!$M$37)</f>
        <v>234.67932779241937</v>
      </c>
      <c r="AB1441" s="4">
        <f>$K$1441*$V$1441</f>
        <v>0</v>
      </c>
      <c r="AC1441" s="4">
        <f>$M$1441*$W$1441</f>
        <v>346687.25311999995</v>
      </c>
      <c r="AD1441" s="4">
        <f>$O$1441*$X$1441</f>
        <v>263799.44832000002</v>
      </c>
      <c r="AE1441" s="4">
        <f>$K$1441*$Y$1441</f>
        <v>0</v>
      </c>
      <c r="AF1441" s="4">
        <f ca="1">$M$1441*$Z$1441</f>
        <v>401664.4568698621</v>
      </c>
      <c r="AG1441" s="4">
        <f>$O$1441*$AA$1441</f>
        <v>264294.21620452817</v>
      </c>
    </row>
    <row r="1442" spans="1:33" ht="11.25" customHeight="1" x14ac:dyDescent="0.25">
      <c r="A1442" s="3" t="s">
        <v>27</v>
      </c>
      <c r="B1442" s="3" t="s">
        <v>22</v>
      </c>
      <c r="C1442" s="3" t="s">
        <v>23</v>
      </c>
      <c r="D1442" s="3" t="s">
        <v>24</v>
      </c>
      <c r="E1442" s="3" t="s">
        <v>32</v>
      </c>
      <c r="F1442" s="3" t="s">
        <v>25</v>
      </c>
      <c r="G1442" s="3" t="s">
        <v>25</v>
      </c>
      <c r="H1442" s="3" t="s">
        <v>25</v>
      </c>
      <c r="I1442" s="6">
        <v>44348</v>
      </c>
      <c r="J1442" s="4">
        <v>0</v>
      </c>
      <c r="K1442" s="4">
        <v>0</v>
      </c>
      <c r="L1442" s="4">
        <v>-0.02</v>
      </c>
      <c r="M1442" s="4">
        <v>-0.02</v>
      </c>
      <c r="N1442" s="4">
        <v>-0.02</v>
      </c>
      <c r="O1442" s="4">
        <v>-0.02</v>
      </c>
      <c r="P1442" s="4">
        <v>-1</v>
      </c>
      <c r="Q1442" s="3" t="s">
        <v>26</v>
      </c>
      <c r="R1442" s="3">
        <v>0</v>
      </c>
      <c r="S1442" s="4">
        <v>0</v>
      </c>
      <c r="T1442" s="4">
        <v>29</v>
      </c>
      <c r="U1442" s="4">
        <v>66</v>
      </c>
      <c r="V1442" s="4">
        <f>IF(ISERROR(VLOOKUP($S$1442,'TAR FIN'!$A$1:$O$113,15,0)),0,VLOOKUP($S$1442,'TAR FIN'!$A$1:$O$113,15,0))</f>
        <v>0</v>
      </c>
      <c r="W1442" s="4">
        <f>IF(ISERROR(VLOOKUP($T$1442,'TAR FIN'!$A$1:$O$113,15,0)),0,VLOOKUP($T$1442,'TAR FIN'!$A$1:$O$113,15,0))</f>
        <v>307.83999999999997</v>
      </c>
      <c r="X1442" s="4">
        <f>IF(ISERROR(VLOOKUP($U$1442,'TAR FIN'!$A$1:$O$113,15,0)),0,VLOOKUP($U$1442,'TAR FIN'!$A$1:$O$113,15,0))</f>
        <v>234.24</v>
      </c>
      <c r="Y1442" s="4"/>
      <c r="Z144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2" s="4">
        <f>('TE BE'!$AA$23+'TE BF'!$AA$23+'TE CVA'!$AA$23)*(1-CUSTOS!$M$37)</f>
        <v>234.67932779241937</v>
      </c>
      <c r="AB1442" s="4">
        <f>$K$1442*$V$1442</f>
        <v>0</v>
      </c>
      <c r="AC1442" s="4">
        <f>$M$1442*$W$1442</f>
        <v>-6.1567999999999996</v>
      </c>
      <c r="AD1442" s="4">
        <f>$O$1442*$X$1442</f>
        <v>-4.6848000000000001</v>
      </c>
      <c r="AE1442" s="4">
        <f>$K$1442*$Y$1442</f>
        <v>0</v>
      </c>
      <c r="AF1442" s="4">
        <f ca="1">$M$1442*$Z$1442</f>
        <v>-7.1331371597916542</v>
      </c>
      <c r="AG1442" s="4">
        <f>$O$1442*$AA$1442</f>
        <v>-4.6935865558483876</v>
      </c>
    </row>
    <row r="1443" spans="1:33" ht="11.25" customHeight="1" x14ac:dyDescent="0.25">
      <c r="A1443" s="3" t="s">
        <v>28</v>
      </c>
      <c r="B1443" s="3" t="s">
        <v>22</v>
      </c>
      <c r="C1443" s="3" t="s">
        <v>23</v>
      </c>
      <c r="D1443" s="3" t="s">
        <v>24</v>
      </c>
      <c r="E1443" s="3" t="s">
        <v>32</v>
      </c>
      <c r="F1443" s="3" t="s">
        <v>25</v>
      </c>
      <c r="G1443" s="3" t="s">
        <v>25</v>
      </c>
      <c r="H1443" s="3" t="s">
        <v>25</v>
      </c>
      <c r="I1443" s="6">
        <v>44348</v>
      </c>
      <c r="J1443" s="4">
        <v>0</v>
      </c>
      <c r="K1443" s="4">
        <v>0</v>
      </c>
      <c r="L1443" s="4">
        <v>1.595</v>
      </c>
      <c r="M1443" s="4">
        <v>1.595</v>
      </c>
      <c r="N1443" s="4">
        <v>1.595</v>
      </c>
      <c r="O1443" s="4">
        <v>1.595</v>
      </c>
      <c r="P1443" s="4">
        <v>19</v>
      </c>
      <c r="Q1443" s="3" t="s">
        <v>26</v>
      </c>
      <c r="R1443" s="3">
        <v>0</v>
      </c>
      <c r="S1443" s="4">
        <v>0</v>
      </c>
      <c r="T1443" s="4">
        <v>29</v>
      </c>
      <c r="U1443" s="4">
        <v>66</v>
      </c>
      <c r="V1443" s="4">
        <f>IF(ISERROR(VLOOKUP($S$1443,'TAR FIN'!$A$1:$O$113,15,0)),0,VLOOKUP($S$1443,'TAR FIN'!$A$1:$O$113,15,0))</f>
        <v>0</v>
      </c>
      <c r="W1443" s="4">
        <f>IF(ISERROR(VLOOKUP($T$1443,'TAR FIN'!$A$1:$O$113,15,0)),0,VLOOKUP($T$1443,'TAR FIN'!$A$1:$O$113,15,0))</f>
        <v>307.83999999999997</v>
      </c>
      <c r="X1443" s="4">
        <f>IF(ISERROR(VLOOKUP($U$1443,'TAR FIN'!$A$1:$O$113,15,0)),0,VLOOKUP($U$1443,'TAR FIN'!$A$1:$O$113,15,0))</f>
        <v>234.24</v>
      </c>
      <c r="Y1443" s="4"/>
      <c r="Z144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3" s="4">
        <f>('TE BE'!$AA$23+'TE BF'!$AA$23+'TE CVA'!$AA$23)*(1-CUSTOS!$M$37)</f>
        <v>234.67932779241937</v>
      </c>
      <c r="AB1443" s="4">
        <f>$K$1443*$V$1443</f>
        <v>0</v>
      </c>
      <c r="AC1443" s="4">
        <f>$M$1443*$W$1443</f>
        <v>491.00479999999993</v>
      </c>
      <c r="AD1443" s="4">
        <f>$O$1443*$X$1443</f>
        <v>373.61279999999999</v>
      </c>
      <c r="AE1443" s="4">
        <f>$K$1443*$Y$1443</f>
        <v>0</v>
      </c>
      <c r="AF1443" s="4">
        <f ca="1">$M$1443*$Z$1443</f>
        <v>568.86768849338443</v>
      </c>
      <c r="AG1443" s="4">
        <f>$O$1443*$AA$1443</f>
        <v>374.31352782890889</v>
      </c>
    </row>
    <row r="1444" spans="1:33" ht="11.25" customHeight="1" x14ac:dyDescent="0.25">
      <c r="A1444" s="3" t="s">
        <v>21</v>
      </c>
      <c r="B1444" s="3" t="s">
        <v>22</v>
      </c>
      <c r="C1444" s="3" t="s">
        <v>23</v>
      </c>
      <c r="D1444" s="3" t="s">
        <v>24</v>
      </c>
      <c r="E1444" s="3" t="s">
        <v>32</v>
      </c>
      <c r="F1444" s="3" t="s">
        <v>25</v>
      </c>
      <c r="G1444" s="3" t="s">
        <v>25</v>
      </c>
      <c r="H1444" s="3" t="s">
        <v>25</v>
      </c>
      <c r="I1444" s="6">
        <v>44378</v>
      </c>
      <c r="J1444" s="4">
        <v>0</v>
      </c>
      <c r="K1444" s="4">
        <v>0</v>
      </c>
      <c r="L1444" s="4">
        <v>1052.328</v>
      </c>
      <c r="M1444" s="4">
        <v>1052.328</v>
      </c>
      <c r="N1444" s="4">
        <v>1052.328</v>
      </c>
      <c r="O1444" s="4">
        <v>1052.328</v>
      </c>
      <c r="P1444" s="4">
        <v>11008</v>
      </c>
      <c r="Q1444" s="3" t="s">
        <v>26</v>
      </c>
      <c r="R1444" s="3">
        <v>0</v>
      </c>
      <c r="S1444" s="4">
        <v>0</v>
      </c>
      <c r="T1444" s="4">
        <v>29</v>
      </c>
      <c r="U1444" s="4">
        <v>66</v>
      </c>
      <c r="V1444" s="4">
        <f>IF(ISERROR(VLOOKUP($S$1444,'TAR FIN'!$A$1:$O$113,15,0)),0,VLOOKUP($S$1444,'TAR FIN'!$A$1:$O$113,15,0))</f>
        <v>0</v>
      </c>
      <c r="W1444" s="4">
        <f>IF(ISERROR(VLOOKUP($T$1444,'TAR FIN'!$A$1:$O$113,15,0)),0,VLOOKUP($T$1444,'TAR FIN'!$A$1:$O$113,15,0))</f>
        <v>307.83999999999997</v>
      </c>
      <c r="X1444" s="4">
        <f>IF(ISERROR(VLOOKUP($U$1444,'TAR FIN'!$A$1:$O$113,15,0)),0,VLOOKUP($U$1444,'TAR FIN'!$A$1:$O$113,15,0))</f>
        <v>234.24</v>
      </c>
      <c r="Y1444" s="4"/>
      <c r="Z144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4" s="4">
        <f>('TE BE'!$AA$23+'TE BF'!$AA$23+'TE CVA'!$AA$23)*(1-CUSTOS!$M$37)</f>
        <v>234.67932779241937</v>
      </c>
      <c r="AB1444" s="4">
        <f>$K$1444*$V$1444</f>
        <v>0</v>
      </c>
      <c r="AC1444" s="4">
        <f>$M$1444*$W$1444</f>
        <v>323948.65151999996</v>
      </c>
      <c r="AD1444" s="4">
        <f>$O$1444*$X$1444</f>
        <v>246497.31072000001</v>
      </c>
      <c r="AE1444" s="4">
        <f>$K$1444*$Y$1444</f>
        <v>0</v>
      </c>
      <c r="AF1444" s="4">
        <f ca="1">$M$1444*$Z$1444</f>
        <v>375319.99805446155</v>
      </c>
      <c r="AG1444" s="4">
        <f>$O$1444*$AA$1444</f>
        <v>246959.6276571411</v>
      </c>
    </row>
    <row r="1445" spans="1:33" ht="11.25" customHeight="1" x14ac:dyDescent="0.25">
      <c r="A1445" s="3" t="s">
        <v>27</v>
      </c>
      <c r="B1445" s="3" t="s">
        <v>22</v>
      </c>
      <c r="C1445" s="3" t="s">
        <v>23</v>
      </c>
      <c r="D1445" s="3" t="s">
        <v>24</v>
      </c>
      <c r="E1445" s="3" t="s">
        <v>32</v>
      </c>
      <c r="F1445" s="3" t="s">
        <v>25</v>
      </c>
      <c r="G1445" s="3" t="s">
        <v>25</v>
      </c>
      <c r="H1445" s="3" t="s">
        <v>25</v>
      </c>
      <c r="I1445" s="6">
        <v>44378</v>
      </c>
      <c r="J1445" s="4">
        <v>0</v>
      </c>
      <c r="K1445" s="4">
        <v>0</v>
      </c>
      <c r="L1445" s="4">
        <v>-17.094000000000001</v>
      </c>
      <c r="M1445" s="4">
        <v>-17.094000000000001</v>
      </c>
      <c r="N1445" s="4">
        <v>-17.094000000000001</v>
      </c>
      <c r="O1445" s="4">
        <v>-17.094000000000001</v>
      </c>
      <c r="P1445" s="4">
        <v>-16</v>
      </c>
      <c r="Q1445" s="3" t="s">
        <v>26</v>
      </c>
      <c r="R1445" s="3">
        <v>0</v>
      </c>
      <c r="S1445" s="4">
        <v>0</v>
      </c>
      <c r="T1445" s="4">
        <v>29</v>
      </c>
      <c r="U1445" s="4">
        <v>66</v>
      </c>
      <c r="V1445" s="4">
        <f>IF(ISERROR(VLOOKUP($S$1445,'TAR FIN'!$A$1:$O$113,15,0)),0,VLOOKUP($S$1445,'TAR FIN'!$A$1:$O$113,15,0))</f>
        <v>0</v>
      </c>
      <c r="W1445" s="4">
        <f>IF(ISERROR(VLOOKUP($T$1445,'TAR FIN'!$A$1:$O$113,15,0)),0,VLOOKUP($T$1445,'TAR FIN'!$A$1:$O$113,15,0))</f>
        <v>307.83999999999997</v>
      </c>
      <c r="X1445" s="4">
        <f>IF(ISERROR(VLOOKUP($U$1445,'TAR FIN'!$A$1:$O$113,15,0)),0,VLOOKUP($U$1445,'TAR FIN'!$A$1:$O$113,15,0))</f>
        <v>234.24</v>
      </c>
      <c r="Y1445" s="4"/>
      <c r="Z144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5" s="4">
        <f>('TE BE'!$AA$23+'TE BF'!$AA$23+'TE CVA'!$AA$23)*(1-CUSTOS!$M$37)</f>
        <v>234.67932779241937</v>
      </c>
      <c r="AB1445" s="4">
        <f>$K$1445*$V$1445</f>
        <v>0</v>
      </c>
      <c r="AC1445" s="4">
        <f>$M$1445*$W$1445</f>
        <v>-5262.2169599999997</v>
      </c>
      <c r="AD1445" s="4">
        <f>$O$1445*$X$1445</f>
        <v>-4004.0985600000004</v>
      </c>
      <c r="AE1445" s="4">
        <f>$K$1445*$Y$1445</f>
        <v>0</v>
      </c>
      <c r="AF1445" s="4">
        <f ca="1">$M$1445*$Z$1445</f>
        <v>-6096.6923304739275</v>
      </c>
      <c r="AG1445" s="4">
        <f>$O$1445*$AA$1445</f>
        <v>-4011.6084292836172</v>
      </c>
    </row>
    <row r="1446" spans="1:33" ht="11.25" customHeight="1" x14ac:dyDescent="0.25">
      <c r="A1446" s="3" t="s">
        <v>28</v>
      </c>
      <c r="B1446" s="3" t="s">
        <v>22</v>
      </c>
      <c r="C1446" s="3" t="s">
        <v>23</v>
      </c>
      <c r="D1446" s="3" t="s">
        <v>24</v>
      </c>
      <c r="E1446" s="3" t="s">
        <v>32</v>
      </c>
      <c r="F1446" s="3" t="s">
        <v>25</v>
      </c>
      <c r="G1446" s="3" t="s">
        <v>25</v>
      </c>
      <c r="H1446" s="3" t="s">
        <v>25</v>
      </c>
      <c r="I1446" s="6">
        <v>44378</v>
      </c>
      <c r="J1446" s="4">
        <v>0</v>
      </c>
      <c r="K1446" s="4">
        <v>0</v>
      </c>
      <c r="L1446" s="4">
        <v>1.3480000000000001</v>
      </c>
      <c r="M1446" s="4">
        <v>1.3480000000000001</v>
      </c>
      <c r="N1446" s="4">
        <v>1.3480000000000001</v>
      </c>
      <c r="O1446" s="4">
        <v>1.3480000000000001</v>
      </c>
      <c r="P1446" s="4">
        <v>20</v>
      </c>
      <c r="Q1446" s="3" t="s">
        <v>26</v>
      </c>
      <c r="R1446" s="3">
        <v>0</v>
      </c>
      <c r="S1446" s="4">
        <v>0</v>
      </c>
      <c r="T1446" s="4">
        <v>29</v>
      </c>
      <c r="U1446" s="4">
        <v>66</v>
      </c>
      <c r="V1446" s="4">
        <f>IF(ISERROR(VLOOKUP($S$1446,'TAR FIN'!$A$1:$O$113,15,0)),0,VLOOKUP($S$1446,'TAR FIN'!$A$1:$O$113,15,0))</f>
        <v>0</v>
      </c>
      <c r="W1446" s="4">
        <f>IF(ISERROR(VLOOKUP($T$1446,'TAR FIN'!$A$1:$O$113,15,0)),0,VLOOKUP($T$1446,'TAR FIN'!$A$1:$O$113,15,0))</f>
        <v>307.83999999999997</v>
      </c>
      <c r="X1446" s="4">
        <f>IF(ISERROR(VLOOKUP($U$1446,'TAR FIN'!$A$1:$O$113,15,0)),0,VLOOKUP($U$1446,'TAR FIN'!$A$1:$O$113,15,0))</f>
        <v>234.24</v>
      </c>
      <c r="Y1446" s="4"/>
      <c r="Z144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6" s="4">
        <f>('TE BE'!$AA$23+'TE BF'!$AA$23+'TE CVA'!$AA$23)*(1-CUSTOS!$M$37)</f>
        <v>234.67932779241937</v>
      </c>
      <c r="AB1446" s="4">
        <f>$K$1446*$V$1446</f>
        <v>0</v>
      </c>
      <c r="AC1446" s="4">
        <f>$M$1446*$W$1446</f>
        <v>414.96832000000001</v>
      </c>
      <c r="AD1446" s="4">
        <f>$O$1446*$X$1446</f>
        <v>315.75552000000005</v>
      </c>
      <c r="AE1446" s="4">
        <f>$K$1446*$Y$1446</f>
        <v>0</v>
      </c>
      <c r="AF1446" s="4">
        <f ca="1">$M$1446*$Z$1446</f>
        <v>480.77344456995752</v>
      </c>
      <c r="AG1446" s="4">
        <f>$O$1446*$AA$1446</f>
        <v>316.34773386418135</v>
      </c>
    </row>
    <row r="1447" spans="1:33" ht="11.25" customHeight="1" x14ac:dyDescent="0.25">
      <c r="A1447" s="3" t="s">
        <v>21</v>
      </c>
      <c r="B1447" s="3" t="s">
        <v>22</v>
      </c>
      <c r="C1447" s="3" t="s">
        <v>23</v>
      </c>
      <c r="D1447" s="3" t="s">
        <v>24</v>
      </c>
      <c r="E1447" s="3" t="s">
        <v>32</v>
      </c>
      <c r="F1447" s="3" t="s">
        <v>25</v>
      </c>
      <c r="G1447" s="3" t="s">
        <v>25</v>
      </c>
      <c r="H1447" s="3" t="s">
        <v>25</v>
      </c>
      <c r="I1447" s="6">
        <v>44409</v>
      </c>
      <c r="J1447" s="4">
        <v>0</v>
      </c>
      <c r="K1447" s="4">
        <v>0</v>
      </c>
      <c r="L1447" s="4">
        <v>915.596</v>
      </c>
      <c r="M1447" s="4">
        <v>915.596</v>
      </c>
      <c r="N1447" s="4">
        <v>915.596</v>
      </c>
      <c r="O1447" s="4">
        <v>915.596</v>
      </c>
      <c r="P1447" s="4">
        <v>9367</v>
      </c>
      <c r="Q1447" s="3" t="s">
        <v>26</v>
      </c>
      <c r="R1447" s="3">
        <v>0</v>
      </c>
      <c r="S1447" s="4">
        <v>0</v>
      </c>
      <c r="T1447" s="4">
        <v>29</v>
      </c>
      <c r="U1447" s="4">
        <v>66</v>
      </c>
      <c r="V1447" s="4">
        <f>IF(ISERROR(VLOOKUP($S$1447,'TAR FIN'!$A$1:$O$113,15,0)),0,VLOOKUP($S$1447,'TAR FIN'!$A$1:$O$113,15,0))</f>
        <v>0</v>
      </c>
      <c r="W1447" s="4">
        <f>IF(ISERROR(VLOOKUP($T$1447,'TAR FIN'!$A$1:$O$113,15,0)),0,VLOOKUP($T$1447,'TAR FIN'!$A$1:$O$113,15,0))</f>
        <v>307.83999999999997</v>
      </c>
      <c r="X1447" s="4">
        <f>IF(ISERROR(VLOOKUP($U$1447,'TAR FIN'!$A$1:$O$113,15,0)),0,VLOOKUP($U$1447,'TAR FIN'!$A$1:$O$113,15,0))</f>
        <v>234.24</v>
      </c>
      <c r="Y1447" s="4"/>
      <c r="Z144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7" s="4">
        <f>('TE BE'!$AA$23+'TE BF'!$AA$23+'TE CVA'!$AA$23)*(1-CUSTOS!$M$37)</f>
        <v>234.67932779241937</v>
      </c>
      <c r="AB1447" s="4">
        <f>$K$1447*$V$1447</f>
        <v>0</v>
      </c>
      <c r="AC1447" s="4">
        <f>$M$1447*$W$1447</f>
        <v>281857.07263999997</v>
      </c>
      <c r="AD1447" s="4">
        <f>$O$1447*$X$1447</f>
        <v>214469.20704000001</v>
      </c>
      <c r="AE1447" s="4">
        <f>$K$1447*$Y$1447</f>
        <v>0</v>
      </c>
      <c r="AF1447" s="4">
        <f ca="1">$M$1447*$Z$1447</f>
        <v>326553.59254782996</v>
      </c>
      <c r="AG1447" s="4">
        <f>$O$1447*$AA$1447</f>
        <v>214871.453809428</v>
      </c>
    </row>
    <row r="1448" spans="1:33" ht="11.25" customHeight="1" x14ac:dyDescent="0.25">
      <c r="A1448" s="3" t="s">
        <v>27</v>
      </c>
      <c r="B1448" s="3" t="s">
        <v>22</v>
      </c>
      <c r="C1448" s="3" t="s">
        <v>23</v>
      </c>
      <c r="D1448" s="3" t="s">
        <v>24</v>
      </c>
      <c r="E1448" s="3" t="s">
        <v>32</v>
      </c>
      <c r="F1448" s="3" t="s">
        <v>25</v>
      </c>
      <c r="G1448" s="3" t="s">
        <v>25</v>
      </c>
      <c r="H1448" s="3" t="s">
        <v>25</v>
      </c>
      <c r="I1448" s="6">
        <v>44409</v>
      </c>
      <c r="J1448" s="4">
        <v>0</v>
      </c>
      <c r="K1448" s="4">
        <v>0</v>
      </c>
      <c r="L1448" s="4">
        <v>-10.167</v>
      </c>
      <c r="M1448" s="4">
        <v>-10.167</v>
      </c>
      <c r="N1448" s="4">
        <v>-10.167</v>
      </c>
      <c r="O1448" s="4">
        <v>-10.167</v>
      </c>
      <c r="P1448" s="4">
        <v>-10</v>
      </c>
      <c r="Q1448" s="3" t="s">
        <v>26</v>
      </c>
      <c r="R1448" s="3">
        <v>0</v>
      </c>
      <c r="S1448" s="4">
        <v>0</v>
      </c>
      <c r="T1448" s="4">
        <v>29</v>
      </c>
      <c r="U1448" s="4">
        <v>66</v>
      </c>
      <c r="V1448" s="4">
        <f>IF(ISERROR(VLOOKUP($S$1448,'TAR FIN'!$A$1:$O$113,15,0)),0,VLOOKUP($S$1448,'TAR FIN'!$A$1:$O$113,15,0))</f>
        <v>0</v>
      </c>
      <c r="W1448" s="4">
        <f>IF(ISERROR(VLOOKUP($T$1448,'TAR FIN'!$A$1:$O$113,15,0)),0,VLOOKUP($T$1448,'TAR FIN'!$A$1:$O$113,15,0))</f>
        <v>307.83999999999997</v>
      </c>
      <c r="X1448" s="4">
        <f>IF(ISERROR(VLOOKUP($U$1448,'TAR FIN'!$A$1:$O$113,15,0)),0,VLOOKUP($U$1448,'TAR FIN'!$A$1:$O$113,15,0))</f>
        <v>234.24</v>
      </c>
      <c r="Y1448" s="4"/>
      <c r="Z144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8" s="4">
        <f>('TE BE'!$AA$23+'TE BF'!$AA$23+'TE CVA'!$AA$23)*(1-CUSTOS!$M$37)</f>
        <v>234.67932779241937</v>
      </c>
      <c r="AB1448" s="4">
        <f>$K$1448*$V$1448</f>
        <v>0</v>
      </c>
      <c r="AC1448" s="4">
        <f>$M$1448*$W$1448</f>
        <v>-3129.8092799999995</v>
      </c>
      <c r="AD1448" s="4">
        <f>$O$1448*$X$1448</f>
        <v>-2381.5180799999998</v>
      </c>
      <c r="AE1448" s="4">
        <f>$K$1448*$Y$1448</f>
        <v>0</v>
      </c>
      <c r="AF1448" s="4">
        <f ca="1">$M$1448*$Z$1448</f>
        <v>-3626.1302751800872</v>
      </c>
      <c r="AG1448" s="4">
        <f>$O$1448*$AA$1448</f>
        <v>-2385.9847256655275</v>
      </c>
    </row>
    <row r="1449" spans="1:33" ht="11.25" customHeight="1" x14ac:dyDescent="0.25">
      <c r="A1449" s="3" t="s">
        <v>28</v>
      </c>
      <c r="B1449" s="3" t="s">
        <v>22</v>
      </c>
      <c r="C1449" s="3" t="s">
        <v>23</v>
      </c>
      <c r="D1449" s="3" t="s">
        <v>24</v>
      </c>
      <c r="E1449" s="3" t="s">
        <v>32</v>
      </c>
      <c r="F1449" s="3" t="s">
        <v>25</v>
      </c>
      <c r="G1449" s="3" t="s">
        <v>25</v>
      </c>
      <c r="H1449" s="3" t="s">
        <v>25</v>
      </c>
      <c r="I1449" s="6">
        <v>44409</v>
      </c>
      <c r="J1449" s="4">
        <v>0</v>
      </c>
      <c r="K1449" s="4">
        <v>0</v>
      </c>
      <c r="L1449" s="4">
        <v>1.4430000000000001</v>
      </c>
      <c r="M1449" s="4">
        <v>1.4430000000000001</v>
      </c>
      <c r="N1449" s="4">
        <v>1.4430000000000001</v>
      </c>
      <c r="O1449" s="4">
        <v>1.4430000000000001</v>
      </c>
      <c r="P1449" s="4">
        <v>20</v>
      </c>
      <c r="Q1449" s="3" t="s">
        <v>26</v>
      </c>
      <c r="R1449" s="3">
        <v>0</v>
      </c>
      <c r="S1449" s="4">
        <v>0</v>
      </c>
      <c r="T1449" s="4">
        <v>29</v>
      </c>
      <c r="U1449" s="4">
        <v>66</v>
      </c>
      <c r="V1449" s="4">
        <f>IF(ISERROR(VLOOKUP($S$1449,'TAR FIN'!$A$1:$O$113,15,0)),0,VLOOKUP($S$1449,'TAR FIN'!$A$1:$O$113,15,0))</f>
        <v>0</v>
      </c>
      <c r="W1449" s="4">
        <f>IF(ISERROR(VLOOKUP($T$1449,'TAR FIN'!$A$1:$O$113,15,0)),0,VLOOKUP($T$1449,'TAR FIN'!$A$1:$O$113,15,0))</f>
        <v>307.83999999999997</v>
      </c>
      <c r="X1449" s="4">
        <f>IF(ISERROR(VLOOKUP($U$1449,'TAR FIN'!$A$1:$O$113,15,0)),0,VLOOKUP($U$1449,'TAR FIN'!$A$1:$O$113,15,0))</f>
        <v>234.24</v>
      </c>
      <c r="Y1449" s="4"/>
      <c r="Z144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49" s="4">
        <f>('TE BE'!$AA$23+'TE BF'!$AA$23+'TE CVA'!$AA$23)*(1-CUSTOS!$M$37)</f>
        <v>234.67932779241937</v>
      </c>
      <c r="AB1449" s="4">
        <f>$K$1449*$V$1449</f>
        <v>0</v>
      </c>
      <c r="AC1449" s="4">
        <f>$M$1449*$W$1449</f>
        <v>444.21312</v>
      </c>
      <c r="AD1449" s="4">
        <f>$O$1449*$X$1449</f>
        <v>338.00832000000003</v>
      </c>
      <c r="AE1449" s="4">
        <f>$K$1449*$Y$1449</f>
        <v>0</v>
      </c>
      <c r="AF1449" s="4">
        <f ca="1">$M$1449*$Z$1449</f>
        <v>514.6558460789679</v>
      </c>
      <c r="AG1449" s="4">
        <f>$O$1449*$AA$1449</f>
        <v>338.64227000446118</v>
      </c>
    </row>
    <row r="1450" spans="1:33" ht="11.25" customHeight="1" x14ac:dyDescent="0.25">
      <c r="A1450" s="3" t="s">
        <v>21</v>
      </c>
      <c r="B1450" s="3" t="s">
        <v>22</v>
      </c>
      <c r="C1450" s="3" t="s">
        <v>23</v>
      </c>
      <c r="D1450" s="3" t="s">
        <v>24</v>
      </c>
      <c r="E1450" s="3" t="s">
        <v>32</v>
      </c>
      <c r="F1450" s="3" t="s">
        <v>25</v>
      </c>
      <c r="G1450" s="3" t="s">
        <v>25</v>
      </c>
      <c r="H1450" s="3" t="s">
        <v>25</v>
      </c>
      <c r="I1450" s="6">
        <v>44440</v>
      </c>
      <c r="J1450" s="4">
        <v>0</v>
      </c>
      <c r="K1450" s="4">
        <v>0</v>
      </c>
      <c r="L1450" s="4">
        <v>968.34100000000001</v>
      </c>
      <c r="M1450" s="4">
        <v>968.34100000000001</v>
      </c>
      <c r="N1450" s="4">
        <v>968.34100000000001</v>
      </c>
      <c r="O1450" s="4">
        <v>968.34100000000001</v>
      </c>
      <c r="P1450" s="4">
        <v>9801</v>
      </c>
      <c r="Q1450" s="3" t="s">
        <v>26</v>
      </c>
      <c r="R1450" s="3">
        <v>0</v>
      </c>
      <c r="S1450" s="4">
        <v>0</v>
      </c>
      <c r="T1450" s="4">
        <v>29</v>
      </c>
      <c r="U1450" s="4">
        <v>66</v>
      </c>
      <c r="V1450" s="4">
        <f>IF(ISERROR(VLOOKUP($S$1450,'TAR FIN'!$A$1:$O$113,15,0)),0,VLOOKUP($S$1450,'TAR FIN'!$A$1:$O$113,15,0))</f>
        <v>0</v>
      </c>
      <c r="W1450" s="4">
        <f>IF(ISERROR(VLOOKUP($T$1450,'TAR FIN'!$A$1:$O$113,15,0)),0,VLOOKUP($T$1450,'TAR FIN'!$A$1:$O$113,15,0))</f>
        <v>307.83999999999997</v>
      </c>
      <c r="X1450" s="4">
        <f>IF(ISERROR(VLOOKUP($U$1450,'TAR FIN'!$A$1:$O$113,15,0)),0,VLOOKUP($U$1450,'TAR FIN'!$A$1:$O$113,15,0))</f>
        <v>234.24</v>
      </c>
      <c r="Y1450" s="4"/>
      <c r="Z145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0" s="4">
        <f>('TE BE'!$AA$23+'TE BF'!$AA$23+'TE CVA'!$AA$23)*(1-CUSTOS!$M$37)</f>
        <v>234.67932779241937</v>
      </c>
      <c r="AB1450" s="4">
        <f>$K$1450*$V$1450</f>
        <v>0</v>
      </c>
      <c r="AC1450" s="4">
        <f>$M$1450*$W$1450</f>
        <v>298094.09343999997</v>
      </c>
      <c r="AD1450" s="4">
        <f>$O$1450*$X$1450</f>
        <v>226824.19584</v>
      </c>
      <c r="AE1450" s="4">
        <f>$K$1450*$Y$1450</f>
        <v>0</v>
      </c>
      <c r="AF1450" s="4">
        <f ca="1">$M$1450*$Z$1450</f>
        <v>345365.45852249052</v>
      </c>
      <c r="AG1450" s="4">
        <f>$O$1450*$AA$1450</f>
        <v>227249.61495383916</v>
      </c>
    </row>
    <row r="1451" spans="1:33" ht="11.25" customHeight="1" x14ac:dyDescent="0.25">
      <c r="A1451" s="3" t="s">
        <v>27</v>
      </c>
      <c r="B1451" s="3" t="s">
        <v>22</v>
      </c>
      <c r="C1451" s="3" t="s">
        <v>23</v>
      </c>
      <c r="D1451" s="3" t="s">
        <v>24</v>
      </c>
      <c r="E1451" s="3" t="s">
        <v>32</v>
      </c>
      <c r="F1451" s="3" t="s">
        <v>25</v>
      </c>
      <c r="G1451" s="3" t="s">
        <v>25</v>
      </c>
      <c r="H1451" s="3" t="s">
        <v>25</v>
      </c>
      <c r="I1451" s="6">
        <v>44440</v>
      </c>
      <c r="J1451" s="4">
        <v>0</v>
      </c>
      <c r="K1451" s="4">
        <v>0</v>
      </c>
      <c r="L1451" s="4">
        <v>-2.8090000000000002</v>
      </c>
      <c r="M1451" s="4">
        <v>-2.8090000000000002</v>
      </c>
      <c r="N1451" s="4">
        <v>-2.8090000000000002</v>
      </c>
      <c r="O1451" s="4">
        <v>-2.8090000000000002</v>
      </c>
      <c r="P1451" s="4">
        <v>-11</v>
      </c>
      <c r="Q1451" s="3" t="s">
        <v>26</v>
      </c>
      <c r="R1451" s="3">
        <v>0</v>
      </c>
      <c r="S1451" s="4">
        <v>0</v>
      </c>
      <c r="T1451" s="4">
        <v>29</v>
      </c>
      <c r="U1451" s="4">
        <v>66</v>
      </c>
      <c r="V1451" s="4">
        <f>IF(ISERROR(VLOOKUP($S$1451,'TAR FIN'!$A$1:$O$113,15,0)),0,VLOOKUP($S$1451,'TAR FIN'!$A$1:$O$113,15,0))</f>
        <v>0</v>
      </c>
      <c r="W1451" s="4">
        <f>IF(ISERROR(VLOOKUP($T$1451,'TAR FIN'!$A$1:$O$113,15,0)),0,VLOOKUP($T$1451,'TAR FIN'!$A$1:$O$113,15,0))</f>
        <v>307.83999999999997</v>
      </c>
      <c r="X1451" s="4">
        <f>IF(ISERROR(VLOOKUP($U$1451,'TAR FIN'!$A$1:$O$113,15,0)),0,VLOOKUP($U$1451,'TAR FIN'!$A$1:$O$113,15,0))</f>
        <v>234.24</v>
      </c>
      <c r="Y1451" s="4"/>
      <c r="Z145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1" s="4">
        <f>('TE BE'!$AA$23+'TE BF'!$AA$23+'TE CVA'!$AA$23)*(1-CUSTOS!$M$37)</f>
        <v>234.67932779241937</v>
      </c>
      <c r="AB1451" s="4">
        <f>$K$1451*$V$1451</f>
        <v>0</v>
      </c>
      <c r="AC1451" s="4">
        <f>$M$1451*$W$1451</f>
        <v>-864.72255999999993</v>
      </c>
      <c r="AD1451" s="4">
        <f>$O$1451*$X$1451</f>
        <v>-657.98016000000007</v>
      </c>
      <c r="AE1451" s="4">
        <f>$K$1451*$Y$1451</f>
        <v>0</v>
      </c>
      <c r="AF1451" s="4">
        <f ca="1">$M$1451*$Z$1451</f>
        <v>-1001.8491140927379</v>
      </c>
      <c r="AG1451" s="4">
        <f>$O$1451*$AA$1451</f>
        <v>-659.21423176890607</v>
      </c>
    </row>
    <row r="1452" spans="1:33" ht="11.25" customHeight="1" x14ac:dyDescent="0.25">
      <c r="A1452" s="3" t="s">
        <v>28</v>
      </c>
      <c r="B1452" s="3" t="s">
        <v>22</v>
      </c>
      <c r="C1452" s="3" t="s">
        <v>23</v>
      </c>
      <c r="D1452" s="3" t="s">
        <v>24</v>
      </c>
      <c r="E1452" s="3" t="s">
        <v>32</v>
      </c>
      <c r="F1452" s="3" t="s">
        <v>25</v>
      </c>
      <c r="G1452" s="3" t="s">
        <v>25</v>
      </c>
      <c r="H1452" s="3" t="s">
        <v>25</v>
      </c>
      <c r="I1452" s="6">
        <v>44440</v>
      </c>
      <c r="J1452" s="4">
        <v>0</v>
      </c>
      <c r="K1452" s="4">
        <v>0</v>
      </c>
      <c r="L1452" s="4">
        <v>2.2029999999999998</v>
      </c>
      <c r="M1452" s="4">
        <v>2.2029999999999998</v>
      </c>
      <c r="N1452" s="4">
        <v>2.2029999999999998</v>
      </c>
      <c r="O1452" s="4">
        <v>2.2029999999999998</v>
      </c>
      <c r="P1452" s="4">
        <v>25</v>
      </c>
      <c r="Q1452" s="3" t="s">
        <v>26</v>
      </c>
      <c r="R1452" s="3">
        <v>0</v>
      </c>
      <c r="S1452" s="4">
        <v>0</v>
      </c>
      <c r="T1452" s="4">
        <v>29</v>
      </c>
      <c r="U1452" s="4">
        <v>66</v>
      </c>
      <c r="V1452" s="4">
        <f>IF(ISERROR(VLOOKUP($S$1452,'TAR FIN'!$A$1:$O$113,15,0)),0,VLOOKUP($S$1452,'TAR FIN'!$A$1:$O$113,15,0))</f>
        <v>0</v>
      </c>
      <c r="W1452" s="4">
        <f>IF(ISERROR(VLOOKUP($T$1452,'TAR FIN'!$A$1:$O$113,15,0)),0,VLOOKUP($T$1452,'TAR FIN'!$A$1:$O$113,15,0))</f>
        <v>307.83999999999997</v>
      </c>
      <c r="X1452" s="4">
        <f>IF(ISERROR(VLOOKUP($U$1452,'TAR FIN'!$A$1:$O$113,15,0)),0,VLOOKUP($U$1452,'TAR FIN'!$A$1:$O$113,15,0))</f>
        <v>234.24</v>
      </c>
      <c r="Y1452" s="4"/>
      <c r="Z145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2" s="4">
        <f>('TE BE'!$AA$23+'TE BF'!$AA$23+'TE CVA'!$AA$23)*(1-CUSTOS!$M$37)</f>
        <v>234.67932779241937</v>
      </c>
      <c r="AB1452" s="4">
        <f>$K$1452*$V$1452</f>
        <v>0</v>
      </c>
      <c r="AC1452" s="4">
        <f>$M$1452*$W$1452</f>
        <v>678.17151999999987</v>
      </c>
      <c r="AD1452" s="4">
        <f>$O$1452*$X$1452</f>
        <v>516.03071999999997</v>
      </c>
      <c r="AE1452" s="4">
        <f>$K$1452*$Y$1452</f>
        <v>0</v>
      </c>
      <c r="AF1452" s="4">
        <f ca="1">$M$1452*$Z$1452</f>
        <v>785.7150581510507</v>
      </c>
      <c r="AG1452" s="4">
        <f>$O$1452*$AA$1452</f>
        <v>516.99855912669989</v>
      </c>
    </row>
    <row r="1453" spans="1:33" ht="11.25" customHeight="1" x14ac:dyDescent="0.25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32</v>
      </c>
      <c r="F1453" s="3" t="s">
        <v>25</v>
      </c>
      <c r="G1453" s="3" t="s">
        <v>25</v>
      </c>
      <c r="H1453" s="3" t="s">
        <v>25</v>
      </c>
      <c r="I1453" s="6">
        <v>44470</v>
      </c>
      <c r="J1453" s="4">
        <v>0</v>
      </c>
      <c r="K1453" s="4">
        <v>0</v>
      </c>
      <c r="L1453" s="4">
        <v>1199.5029999999999</v>
      </c>
      <c r="M1453" s="4">
        <v>1199.5029999999999</v>
      </c>
      <c r="N1453" s="4">
        <v>1199.5029999999999</v>
      </c>
      <c r="O1453" s="4">
        <v>1199.5029999999999</v>
      </c>
      <c r="P1453" s="4">
        <v>11981</v>
      </c>
      <c r="Q1453" s="3" t="s">
        <v>26</v>
      </c>
      <c r="R1453" s="3">
        <v>0</v>
      </c>
      <c r="S1453" s="4">
        <v>0</v>
      </c>
      <c r="T1453" s="4">
        <v>29</v>
      </c>
      <c r="U1453" s="4">
        <v>66</v>
      </c>
      <c r="V1453" s="4">
        <f>IF(ISERROR(VLOOKUP($S$1453,'TAR FIN'!$A$1:$O$113,15,0)),0,VLOOKUP($S$1453,'TAR FIN'!$A$1:$O$113,15,0))</f>
        <v>0</v>
      </c>
      <c r="W1453" s="4">
        <f>IF(ISERROR(VLOOKUP($T$1453,'TAR FIN'!$A$1:$O$113,15,0)),0,VLOOKUP($T$1453,'TAR FIN'!$A$1:$O$113,15,0))</f>
        <v>307.83999999999997</v>
      </c>
      <c r="X1453" s="4">
        <f>IF(ISERROR(VLOOKUP($U$1453,'TAR FIN'!$A$1:$O$113,15,0)),0,VLOOKUP($U$1453,'TAR FIN'!$A$1:$O$113,15,0))</f>
        <v>234.24</v>
      </c>
      <c r="Y1453" s="4"/>
      <c r="Z145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3" s="4">
        <f>('TE BE'!$AA$23+'TE BF'!$AA$23+'TE CVA'!$AA$23)*(1-CUSTOS!$M$37)</f>
        <v>234.67932779241937</v>
      </c>
      <c r="AB1453" s="4">
        <f>$K$1453*$V$1453</f>
        <v>0</v>
      </c>
      <c r="AC1453" s="4">
        <f>$M$1453*$W$1453</f>
        <v>369255.00351999997</v>
      </c>
      <c r="AD1453" s="4">
        <f>$O$1453*$X$1453</f>
        <v>280971.58272000001</v>
      </c>
      <c r="AE1453" s="4">
        <f>$K$1453*$Y$1453</f>
        <v>0</v>
      </c>
      <c r="AF1453" s="4">
        <f ca="1">$M$1453*$Z$1453</f>
        <v>427810.97112907842</v>
      </c>
      <c r="AG1453" s="4">
        <f>$O$1453*$AA$1453</f>
        <v>281498.55772499042</v>
      </c>
    </row>
    <row r="1454" spans="1:33" ht="11.25" customHeight="1" x14ac:dyDescent="0.25">
      <c r="A1454" s="3" t="s">
        <v>27</v>
      </c>
      <c r="B1454" s="3" t="s">
        <v>22</v>
      </c>
      <c r="C1454" s="3" t="s">
        <v>23</v>
      </c>
      <c r="D1454" s="3" t="s">
        <v>24</v>
      </c>
      <c r="E1454" s="3" t="s">
        <v>32</v>
      </c>
      <c r="F1454" s="3" t="s">
        <v>25</v>
      </c>
      <c r="G1454" s="3" t="s">
        <v>25</v>
      </c>
      <c r="H1454" s="3" t="s">
        <v>25</v>
      </c>
      <c r="I1454" s="6">
        <v>44470</v>
      </c>
      <c r="J1454" s="4">
        <v>0</v>
      </c>
      <c r="K1454" s="4">
        <v>0</v>
      </c>
      <c r="L1454" s="4">
        <v>-6.9909999999999997</v>
      </c>
      <c r="M1454" s="4">
        <v>-6.9909999999999997</v>
      </c>
      <c r="N1454" s="4">
        <v>-6.9909999999999997</v>
      </c>
      <c r="O1454" s="4">
        <v>-6.9909999999999997</v>
      </c>
      <c r="P1454" s="4">
        <v>-9</v>
      </c>
      <c r="Q1454" s="3" t="s">
        <v>26</v>
      </c>
      <c r="R1454" s="3">
        <v>0</v>
      </c>
      <c r="S1454" s="4">
        <v>0</v>
      </c>
      <c r="T1454" s="4">
        <v>29</v>
      </c>
      <c r="U1454" s="4">
        <v>66</v>
      </c>
      <c r="V1454" s="4">
        <f>IF(ISERROR(VLOOKUP($S$1454,'TAR FIN'!$A$1:$O$113,15,0)),0,VLOOKUP($S$1454,'TAR FIN'!$A$1:$O$113,15,0))</f>
        <v>0</v>
      </c>
      <c r="W1454" s="4">
        <f>IF(ISERROR(VLOOKUP($T$1454,'TAR FIN'!$A$1:$O$113,15,0)),0,VLOOKUP($T$1454,'TAR FIN'!$A$1:$O$113,15,0))</f>
        <v>307.83999999999997</v>
      </c>
      <c r="X1454" s="4">
        <f>IF(ISERROR(VLOOKUP($U$1454,'TAR FIN'!$A$1:$O$113,15,0)),0,VLOOKUP($U$1454,'TAR FIN'!$A$1:$O$113,15,0))</f>
        <v>234.24</v>
      </c>
      <c r="Y1454" s="4"/>
      <c r="Z145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4" s="4">
        <f>('TE BE'!$AA$23+'TE BF'!$AA$23+'TE CVA'!$AA$23)*(1-CUSTOS!$M$37)</f>
        <v>234.67932779241937</v>
      </c>
      <c r="AB1454" s="4">
        <f>$K$1454*$V$1454</f>
        <v>0</v>
      </c>
      <c r="AC1454" s="4">
        <f>$M$1454*$W$1454</f>
        <v>-2152.1094399999997</v>
      </c>
      <c r="AD1454" s="4">
        <f>$O$1454*$X$1454</f>
        <v>-1637.5718400000001</v>
      </c>
      <c r="AE1454" s="4">
        <f>$K$1454*$Y$1454</f>
        <v>0</v>
      </c>
      <c r="AF1454" s="4">
        <f ca="1">$M$1454*$Z$1454</f>
        <v>-2493.3880942051724</v>
      </c>
      <c r="AG1454" s="4">
        <f>$O$1454*$AA$1454</f>
        <v>-1640.6431805968039</v>
      </c>
    </row>
    <row r="1455" spans="1:33" ht="11.25" customHeight="1" x14ac:dyDescent="0.25">
      <c r="A1455" s="3" t="s">
        <v>28</v>
      </c>
      <c r="B1455" s="3" t="s">
        <v>22</v>
      </c>
      <c r="C1455" s="3" t="s">
        <v>23</v>
      </c>
      <c r="D1455" s="3" t="s">
        <v>24</v>
      </c>
      <c r="E1455" s="3" t="s">
        <v>32</v>
      </c>
      <c r="F1455" s="3" t="s">
        <v>25</v>
      </c>
      <c r="G1455" s="3" t="s">
        <v>25</v>
      </c>
      <c r="H1455" s="3" t="s">
        <v>25</v>
      </c>
      <c r="I1455" s="6">
        <v>44470</v>
      </c>
      <c r="J1455" s="4">
        <v>0</v>
      </c>
      <c r="K1455" s="4">
        <v>0</v>
      </c>
      <c r="L1455" s="4">
        <v>2.5920000000000001</v>
      </c>
      <c r="M1455" s="4">
        <v>2.5920000000000001</v>
      </c>
      <c r="N1455" s="4">
        <v>2.5920000000000001</v>
      </c>
      <c r="O1455" s="4">
        <v>2.5920000000000001</v>
      </c>
      <c r="P1455" s="4">
        <v>25</v>
      </c>
      <c r="Q1455" s="3" t="s">
        <v>26</v>
      </c>
      <c r="R1455" s="3">
        <v>0</v>
      </c>
      <c r="S1455" s="4">
        <v>0</v>
      </c>
      <c r="T1455" s="4">
        <v>29</v>
      </c>
      <c r="U1455" s="4">
        <v>66</v>
      </c>
      <c r="V1455" s="4">
        <f>IF(ISERROR(VLOOKUP($S$1455,'TAR FIN'!$A$1:$O$113,15,0)),0,VLOOKUP($S$1455,'TAR FIN'!$A$1:$O$113,15,0))</f>
        <v>0</v>
      </c>
      <c r="W1455" s="4">
        <f>IF(ISERROR(VLOOKUP($T$1455,'TAR FIN'!$A$1:$O$113,15,0)),0,VLOOKUP($T$1455,'TAR FIN'!$A$1:$O$113,15,0))</f>
        <v>307.83999999999997</v>
      </c>
      <c r="X1455" s="4">
        <f>IF(ISERROR(VLOOKUP($U$1455,'TAR FIN'!$A$1:$O$113,15,0)),0,VLOOKUP($U$1455,'TAR FIN'!$A$1:$O$113,15,0))</f>
        <v>234.24</v>
      </c>
      <c r="Y1455" s="4"/>
      <c r="Z145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5" s="4">
        <f>('TE BE'!$AA$23+'TE BF'!$AA$23+'TE CVA'!$AA$23)*(1-CUSTOS!$M$37)</f>
        <v>234.67932779241937</v>
      </c>
      <c r="AB1455" s="4">
        <f>$K$1455*$V$1455</f>
        <v>0</v>
      </c>
      <c r="AC1455" s="4">
        <f>$M$1455*$W$1455</f>
        <v>797.92127999999991</v>
      </c>
      <c r="AD1455" s="4">
        <f>$O$1455*$X$1455</f>
        <v>607.15008</v>
      </c>
      <c r="AE1455" s="4">
        <f>$K$1455*$Y$1455</f>
        <v>0</v>
      </c>
      <c r="AF1455" s="4">
        <f ca="1">$M$1455*$Z$1455</f>
        <v>924.45457590899844</v>
      </c>
      <c r="AG1455" s="4">
        <f>$O$1455*$AA$1455</f>
        <v>608.28881763795107</v>
      </c>
    </row>
    <row r="1456" spans="1:33" ht="11.25" customHeight="1" x14ac:dyDescent="0.25">
      <c r="A1456" s="3" t="s">
        <v>21</v>
      </c>
      <c r="B1456" s="3" t="s">
        <v>22</v>
      </c>
      <c r="C1456" s="3" t="s">
        <v>23</v>
      </c>
      <c r="D1456" s="3" t="s">
        <v>24</v>
      </c>
      <c r="E1456" s="3" t="s">
        <v>32</v>
      </c>
      <c r="F1456" s="3" t="s">
        <v>25</v>
      </c>
      <c r="G1456" s="3" t="s">
        <v>25</v>
      </c>
      <c r="H1456" s="3" t="s">
        <v>25</v>
      </c>
      <c r="I1456" s="6">
        <v>44501</v>
      </c>
      <c r="J1456" s="4">
        <v>0</v>
      </c>
      <c r="K1456" s="4">
        <v>0</v>
      </c>
      <c r="L1456" s="4">
        <v>1299.3150000000001</v>
      </c>
      <c r="M1456" s="4">
        <v>1299.3150000000001</v>
      </c>
      <c r="N1456" s="4">
        <v>1299.3150000000001</v>
      </c>
      <c r="O1456" s="4">
        <v>1299.3150000000001</v>
      </c>
      <c r="P1456" s="4">
        <v>12988</v>
      </c>
      <c r="Q1456" s="3" t="s">
        <v>26</v>
      </c>
      <c r="R1456" s="3">
        <v>0</v>
      </c>
      <c r="S1456" s="4">
        <v>0</v>
      </c>
      <c r="T1456" s="4">
        <v>29</v>
      </c>
      <c r="U1456" s="4">
        <v>66</v>
      </c>
      <c r="V1456" s="4">
        <f>IF(ISERROR(VLOOKUP($S$1456,'TAR FIN'!$A$1:$O$113,15,0)),0,VLOOKUP($S$1456,'TAR FIN'!$A$1:$O$113,15,0))</f>
        <v>0</v>
      </c>
      <c r="W1456" s="4">
        <f>IF(ISERROR(VLOOKUP($T$1456,'TAR FIN'!$A$1:$O$113,15,0)),0,VLOOKUP($T$1456,'TAR FIN'!$A$1:$O$113,15,0))</f>
        <v>307.83999999999997</v>
      </c>
      <c r="X1456" s="4">
        <f>IF(ISERROR(VLOOKUP($U$1456,'TAR FIN'!$A$1:$O$113,15,0)),0,VLOOKUP($U$1456,'TAR FIN'!$A$1:$O$113,15,0))</f>
        <v>234.24</v>
      </c>
      <c r="Y1456" s="4"/>
      <c r="Z145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6" s="4">
        <f>('TE BE'!$AA$23+'TE BF'!$AA$23+'TE CVA'!$AA$23)*(1-CUSTOS!$M$37)</f>
        <v>234.67932779241937</v>
      </c>
      <c r="AB1456" s="4">
        <f>$K$1456*$V$1456</f>
        <v>0</v>
      </c>
      <c r="AC1456" s="4">
        <f>$M$1456*$W$1456</f>
        <v>399981.12959999999</v>
      </c>
      <c r="AD1456" s="4">
        <f>$O$1456*$X$1456</f>
        <v>304351.54560000001</v>
      </c>
      <c r="AE1456" s="4">
        <f>$K$1456*$Y$1456</f>
        <v>0</v>
      </c>
      <c r="AF1456" s="4">
        <f ca="1">$M$1456*$Z$1456</f>
        <v>463409.6054387347</v>
      </c>
      <c r="AG1456" s="4">
        <f>$O$1456*$AA$1456</f>
        <v>304922.37079060741</v>
      </c>
    </row>
    <row r="1457" spans="1:33" ht="11.25" customHeight="1" x14ac:dyDescent="0.25">
      <c r="A1457" s="3" t="s">
        <v>27</v>
      </c>
      <c r="B1457" s="3" t="s">
        <v>22</v>
      </c>
      <c r="C1457" s="3" t="s">
        <v>23</v>
      </c>
      <c r="D1457" s="3" t="s">
        <v>24</v>
      </c>
      <c r="E1457" s="3" t="s">
        <v>32</v>
      </c>
      <c r="F1457" s="3" t="s">
        <v>25</v>
      </c>
      <c r="G1457" s="3" t="s">
        <v>25</v>
      </c>
      <c r="H1457" s="3" t="s">
        <v>25</v>
      </c>
      <c r="I1457" s="6">
        <v>44501</v>
      </c>
      <c r="J1457" s="4">
        <v>0</v>
      </c>
      <c r="K1457" s="4">
        <v>0</v>
      </c>
      <c r="L1457" s="4">
        <v>-3.6970000000000001</v>
      </c>
      <c r="M1457" s="4">
        <v>-3.6970000000000001</v>
      </c>
      <c r="N1457" s="4">
        <v>-3.6970000000000001</v>
      </c>
      <c r="O1457" s="4">
        <v>-3.6970000000000001</v>
      </c>
      <c r="P1457" s="4">
        <v>-5</v>
      </c>
      <c r="Q1457" s="3" t="s">
        <v>26</v>
      </c>
      <c r="R1457" s="3">
        <v>0</v>
      </c>
      <c r="S1457" s="4">
        <v>0</v>
      </c>
      <c r="T1457" s="4">
        <v>29</v>
      </c>
      <c r="U1457" s="4">
        <v>66</v>
      </c>
      <c r="V1457" s="4">
        <f>IF(ISERROR(VLOOKUP($S$1457,'TAR FIN'!$A$1:$O$113,15,0)),0,VLOOKUP($S$1457,'TAR FIN'!$A$1:$O$113,15,0))</f>
        <v>0</v>
      </c>
      <c r="W1457" s="4">
        <f>IF(ISERROR(VLOOKUP($T$1457,'TAR FIN'!$A$1:$O$113,15,0)),0,VLOOKUP($T$1457,'TAR FIN'!$A$1:$O$113,15,0))</f>
        <v>307.83999999999997</v>
      </c>
      <c r="X1457" s="4">
        <f>IF(ISERROR(VLOOKUP($U$1457,'TAR FIN'!$A$1:$O$113,15,0)),0,VLOOKUP($U$1457,'TAR FIN'!$A$1:$O$113,15,0))</f>
        <v>234.24</v>
      </c>
      <c r="Y1457" s="4"/>
      <c r="Z145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7" s="4">
        <f>('TE BE'!$AA$23+'TE BF'!$AA$23+'TE CVA'!$AA$23)*(1-CUSTOS!$M$37)</f>
        <v>234.67932779241937</v>
      </c>
      <c r="AB1457" s="4">
        <f>$K$1457*$V$1457</f>
        <v>0</v>
      </c>
      <c r="AC1457" s="4">
        <f>$M$1457*$W$1457</f>
        <v>-1138.08448</v>
      </c>
      <c r="AD1457" s="4">
        <f>$O$1457*$X$1457</f>
        <v>-865.9852800000001</v>
      </c>
      <c r="AE1457" s="4">
        <f>$K$1457*$Y$1457</f>
        <v>0</v>
      </c>
      <c r="AF1457" s="4">
        <f ca="1">$M$1457*$Z$1457</f>
        <v>-1318.5604039874872</v>
      </c>
      <c r="AG1457" s="4">
        <f>$O$1457*$AA$1457</f>
        <v>-867.60947484857445</v>
      </c>
    </row>
    <row r="1458" spans="1:33" ht="11.25" customHeight="1" x14ac:dyDescent="0.25">
      <c r="A1458" s="3" t="s">
        <v>28</v>
      </c>
      <c r="B1458" s="3" t="s">
        <v>22</v>
      </c>
      <c r="C1458" s="3" t="s">
        <v>23</v>
      </c>
      <c r="D1458" s="3" t="s">
        <v>24</v>
      </c>
      <c r="E1458" s="3" t="s">
        <v>32</v>
      </c>
      <c r="F1458" s="3" t="s">
        <v>25</v>
      </c>
      <c r="G1458" s="3" t="s">
        <v>25</v>
      </c>
      <c r="H1458" s="3" t="s">
        <v>25</v>
      </c>
      <c r="I1458" s="6">
        <v>44501</v>
      </c>
      <c r="J1458" s="4">
        <v>0</v>
      </c>
      <c r="K1458" s="4">
        <v>0</v>
      </c>
      <c r="L1458" s="4">
        <v>3.089</v>
      </c>
      <c r="M1458" s="4">
        <v>3.089</v>
      </c>
      <c r="N1458" s="4">
        <v>3.089</v>
      </c>
      <c r="O1458" s="4">
        <v>3.089</v>
      </c>
      <c r="P1458" s="4">
        <v>30</v>
      </c>
      <c r="Q1458" s="3" t="s">
        <v>26</v>
      </c>
      <c r="R1458" s="3">
        <v>0</v>
      </c>
      <c r="S1458" s="4">
        <v>0</v>
      </c>
      <c r="T1458" s="4">
        <v>29</v>
      </c>
      <c r="U1458" s="4">
        <v>66</v>
      </c>
      <c r="V1458" s="4">
        <f>IF(ISERROR(VLOOKUP($S$1458,'TAR FIN'!$A$1:$O$113,15,0)),0,VLOOKUP($S$1458,'TAR FIN'!$A$1:$O$113,15,0))</f>
        <v>0</v>
      </c>
      <c r="W1458" s="4">
        <f>IF(ISERROR(VLOOKUP($T$1458,'TAR FIN'!$A$1:$O$113,15,0)),0,VLOOKUP($T$1458,'TAR FIN'!$A$1:$O$113,15,0))</f>
        <v>307.83999999999997</v>
      </c>
      <c r="X1458" s="4">
        <f>IF(ISERROR(VLOOKUP($U$1458,'TAR FIN'!$A$1:$O$113,15,0)),0,VLOOKUP($U$1458,'TAR FIN'!$A$1:$O$113,15,0))</f>
        <v>234.24</v>
      </c>
      <c r="Y1458" s="4"/>
      <c r="Z145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8" s="4">
        <f>('TE BE'!$AA$23+'TE BF'!$AA$23+'TE CVA'!$AA$23)*(1-CUSTOS!$M$37)</f>
        <v>234.67932779241937</v>
      </c>
      <c r="AB1458" s="4">
        <f>$K$1458*$V$1458</f>
        <v>0</v>
      </c>
      <c r="AC1458" s="4">
        <f>$M$1458*$W$1458</f>
        <v>950.91775999999993</v>
      </c>
      <c r="AD1458" s="4">
        <f>$O$1458*$X$1458</f>
        <v>723.56736000000001</v>
      </c>
      <c r="AE1458" s="4">
        <f>$K$1458*$Y$1458</f>
        <v>0</v>
      </c>
      <c r="AF1458" s="4">
        <f ca="1">$M$1458*$Z$1458</f>
        <v>1101.7130343298209</v>
      </c>
      <c r="AG1458" s="4">
        <f>$O$1458*$AA$1458</f>
        <v>724.92444355078339</v>
      </c>
    </row>
    <row r="1459" spans="1:33" ht="11.25" customHeight="1" x14ac:dyDescent="0.25">
      <c r="A1459" s="3" t="s">
        <v>21</v>
      </c>
      <c r="B1459" s="3" t="s">
        <v>22</v>
      </c>
      <c r="C1459" s="3" t="s">
        <v>23</v>
      </c>
      <c r="D1459" s="3" t="s">
        <v>24</v>
      </c>
      <c r="E1459" s="3" t="s">
        <v>32</v>
      </c>
      <c r="F1459" s="3" t="s">
        <v>25</v>
      </c>
      <c r="G1459" s="3" t="s">
        <v>25</v>
      </c>
      <c r="H1459" s="3" t="s">
        <v>25</v>
      </c>
      <c r="I1459" s="6">
        <v>44531</v>
      </c>
      <c r="J1459" s="4">
        <v>0</v>
      </c>
      <c r="K1459" s="4">
        <v>0</v>
      </c>
      <c r="L1459" s="4">
        <v>1451.0260000000001</v>
      </c>
      <c r="M1459" s="4">
        <v>1451.0260000000001</v>
      </c>
      <c r="N1459" s="4">
        <v>1451.0260000000001</v>
      </c>
      <c r="O1459" s="4">
        <v>1451.0260000000001</v>
      </c>
      <c r="P1459" s="4">
        <v>14328</v>
      </c>
      <c r="Q1459" s="3" t="s">
        <v>26</v>
      </c>
      <c r="R1459" s="3">
        <v>0</v>
      </c>
      <c r="S1459" s="4">
        <v>0</v>
      </c>
      <c r="T1459" s="4">
        <v>29</v>
      </c>
      <c r="U1459" s="4">
        <v>66</v>
      </c>
      <c r="V1459" s="4">
        <f>IF(ISERROR(VLOOKUP($S$1459,'TAR FIN'!$A$1:$O$113,15,0)),0,VLOOKUP($S$1459,'TAR FIN'!$A$1:$O$113,15,0))</f>
        <v>0</v>
      </c>
      <c r="W1459" s="4">
        <f>IF(ISERROR(VLOOKUP($T$1459,'TAR FIN'!$A$1:$O$113,15,0)),0,VLOOKUP($T$1459,'TAR FIN'!$A$1:$O$113,15,0))</f>
        <v>307.83999999999997</v>
      </c>
      <c r="X1459" s="4">
        <f>IF(ISERROR(VLOOKUP($U$1459,'TAR FIN'!$A$1:$O$113,15,0)),0,VLOOKUP($U$1459,'TAR FIN'!$A$1:$O$113,15,0))</f>
        <v>234.24</v>
      </c>
      <c r="Y1459" s="4"/>
      <c r="Z145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59" s="4">
        <f>('TE BE'!$AA$23+'TE BF'!$AA$23+'TE CVA'!$AA$23)*(1-CUSTOS!$M$37)</f>
        <v>234.67932779241937</v>
      </c>
      <c r="AB1459" s="4">
        <f>$K$1459*$V$1459</f>
        <v>0</v>
      </c>
      <c r="AC1459" s="4">
        <f>$M$1459*$W$1459</f>
        <v>446683.84383999999</v>
      </c>
      <c r="AD1459" s="4">
        <f>$O$1459*$X$1459</f>
        <v>339888.33024000004</v>
      </c>
      <c r="AE1459" s="4">
        <f>$K$1459*$Y$1459</f>
        <v>0</v>
      </c>
      <c r="AF1459" s="4">
        <f ca="1">$M$1459*$Z$1459</f>
        <v>517518.37402119226</v>
      </c>
      <c r="AG1459" s="4">
        <f>$O$1459*$AA$1459</f>
        <v>340525.80628932314</v>
      </c>
    </row>
    <row r="1460" spans="1:33" ht="11.25" customHeight="1" x14ac:dyDescent="0.25">
      <c r="A1460" s="3" t="s">
        <v>27</v>
      </c>
      <c r="B1460" s="3" t="s">
        <v>22</v>
      </c>
      <c r="C1460" s="3" t="s">
        <v>23</v>
      </c>
      <c r="D1460" s="3" t="s">
        <v>24</v>
      </c>
      <c r="E1460" s="3" t="s">
        <v>32</v>
      </c>
      <c r="F1460" s="3" t="s">
        <v>25</v>
      </c>
      <c r="G1460" s="3" t="s">
        <v>25</v>
      </c>
      <c r="H1460" s="3" t="s">
        <v>25</v>
      </c>
      <c r="I1460" s="6">
        <v>44531</v>
      </c>
      <c r="J1460" s="4">
        <v>0</v>
      </c>
      <c r="K1460" s="4">
        <v>0</v>
      </c>
      <c r="L1460" s="4">
        <v>-7.14</v>
      </c>
      <c r="M1460" s="4">
        <v>-7.14</v>
      </c>
      <c r="N1460" s="4">
        <v>-7.14</v>
      </c>
      <c r="O1460" s="4">
        <v>-7.14</v>
      </c>
      <c r="P1460" s="4">
        <v>-4</v>
      </c>
      <c r="Q1460" s="3" t="s">
        <v>26</v>
      </c>
      <c r="R1460" s="3">
        <v>0</v>
      </c>
      <c r="S1460" s="4">
        <v>0</v>
      </c>
      <c r="T1460" s="4">
        <v>29</v>
      </c>
      <c r="U1460" s="4">
        <v>66</v>
      </c>
      <c r="V1460" s="4">
        <f>IF(ISERROR(VLOOKUP($S$1460,'TAR FIN'!$A$1:$O$113,15,0)),0,VLOOKUP($S$1460,'TAR FIN'!$A$1:$O$113,15,0))</f>
        <v>0</v>
      </c>
      <c r="W1460" s="4">
        <f>IF(ISERROR(VLOOKUP($T$1460,'TAR FIN'!$A$1:$O$113,15,0)),0,VLOOKUP($T$1460,'TAR FIN'!$A$1:$O$113,15,0))</f>
        <v>307.83999999999997</v>
      </c>
      <c r="X1460" s="4">
        <f>IF(ISERROR(VLOOKUP($U$1460,'TAR FIN'!$A$1:$O$113,15,0)),0,VLOOKUP($U$1460,'TAR FIN'!$A$1:$O$113,15,0))</f>
        <v>234.24</v>
      </c>
      <c r="Y1460" s="4"/>
      <c r="Z146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0" s="4">
        <f>('TE BE'!$AA$23+'TE BF'!$AA$23+'TE CVA'!$AA$23)*(1-CUSTOS!$M$37)</f>
        <v>234.67932779241937</v>
      </c>
      <c r="AB1460" s="4">
        <f>$K$1460*$V$1460</f>
        <v>0</v>
      </c>
      <c r="AC1460" s="4">
        <f>$M$1460*$W$1460</f>
        <v>-2197.9775999999997</v>
      </c>
      <c r="AD1460" s="4">
        <f>$O$1460*$X$1460</f>
        <v>-1672.4736</v>
      </c>
      <c r="AE1460" s="4">
        <f>$K$1460*$Y$1460</f>
        <v>0</v>
      </c>
      <c r="AF1460" s="4">
        <f ca="1">$M$1460*$Z$1460</f>
        <v>-2546.5299660456203</v>
      </c>
      <c r="AG1460" s="4">
        <f>$O$1460*$AA$1460</f>
        <v>-1675.6104004378742</v>
      </c>
    </row>
    <row r="1461" spans="1:33" ht="11.25" customHeight="1" x14ac:dyDescent="0.25">
      <c r="A1461" s="3" t="s">
        <v>28</v>
      </c>
      <c r="B1461" s="3" t="s">
        <v>22</v>
      </c>
      <c r="C1461" s="3" t="s">
        <v>23</v>
      </c>
      <c r="D1461" s="3" t="s">
        <v>24</v>
      </c>
      <c r="E1461" s="3" t="s">
        <v>32</v>
      </c>
      <c r="F1461" s="3" t="s">
        <v>25</v>
      </c>
      <c r="G1461" s="3" t="s">
        <v>25</v>
      </c>
      <c r="H1461" s="3" t="s">
        <v>25</v>
      </c>
      <c r="I1461" s="6">
        <v>44531</v>
      </c>
      <c r="J1461" s="4">
        <v>0</v>
      </c>
      <c r="K1461" s="4">
        <v>0</v>
      </c>
      <c r="L1461" s="4">
        <v>4.8970000000000002</v>
      </c>
      <c r="M1461" s="4">
        <v>4.8970000000000002</v>
      </c>
      <c r="N1461" s="4">
        <v>4.8970000000000002</v>
      </c>
      <c r="O1461" s="4">
        <v>4.8970000000000002</v>
      </c>
      <c r="P1461" s="4">
        <v>37</v>
      </c>
      <c r="Q1461" s="3" t="s">
        <v>26</v>
      </c>
      <c r="R1461" s="3">
        <v>0</v>
      </c>
      <c r="S1461" s="4">
        <v>0</v>
      </c>
      <c r="T1461" s="4">
        <v>29</v>
      </c>
      <c r="U1461" s="4">
        <v>66</v>
      </c>
      <c r="V1461" s="4">
        <f>IF(ISERROR(VLOOKUP($S$1461,'TAR FIN'!$A$1:$O$113,15,0)),0,VLOOKUP($S$1461,'TAR FIN'!$A$1:$O$113,15,0))</f>
        <v>0</v>
      </c>
      <c r="W1461" s="4">
        <f>IF(ISERROR(VLOOKUP($T$1461,'TAR FIN'!$A$1:$O$113,15,0)),0,VLOOKUP($T$1461,'TAR FIN'!$A$1:$O$113,15,0))</f>
        <v>307.83999999999997</v>
      </c>
      <c r="X1461" s="4">
        <f>IF(ISERROR(VLOOKUP($U$1461,'TAR FIN'!$A$1:$O$113,15,0)),0,VLOOKUP($U$1461,'TAR FIN'!$A$1:$O$113,15,0))</f>
        <v>234.24</v>
      </c>
      <c r="Y1461" s="4"/>
      <c r="Z146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1" s="4">
        <f>('TE BE'!$AA$23+'TE BF'!$AA$23+'TE CVA'!$AA$23)*(1-CUSTOS!$M$37)</f>
        <v>234.67932779241937</v>
      </c>
      <c r="AB1461" s="4">
        <f>$K$1461*$V$1461</f>
        <v>0</v>
      </c>
      <c r="AC1461" s="4">
        <f>$M$1461*$W$1461</f>
        <v>1507.4924799999999</v>
      </c>
      <c r="AD1461" s="4">
        <f>$O$1461*$X$1461</f>
        <v>1147.0732800000001</v>
      </c>
      <c r="AE1461" s="4">
        <f>$K$1461*$Y$1461</f>
        <v>0</v>
      </c>
      <c r="AF1461" s="4">
        <f ca="1">$M$1461*$Z$1461</f>
        <v>1746.5486335749865</v>
      </c>
      <c r="AG1461" s="4">
        <f>$O$1461*$AA$1461</f>
        <v>1149.2246681994777</v>
      </c>
    </row>
    <row r="1462" spans="1:33" ht="11.25" customHeight="1" x14ac:dyDescent="0.25">
      <c r="A1462" s="3" t="s">
        <v>21</v>
      </c>
      <c r="B1462" s="3" t="s">
        <v>22</v>
      </c>
      <c r="C1462" s="3" t="s">
        <v>23</v>
      </c>
      <c r="D1462" s="3" t="s">
        <v>24</v>
      </c>
      <c r="E1462" s="3" t="s">
        <v>32</v>
      </c>
      <c r="F1462" s="3" t="s">
        <v>25</v>
      </c>
      <c r="G1462" s="3" t="s">
        <v>25</v>
      </c>
      <c r="H1462" s="3" t="s">
        <v>25</v>
      </c>
      <c r="I1462" s="6">
        <v>44562</v>
      </c>
      <c r="J1462" s="4">
        <v>0</v>
      </c>
      <c r="K1462" s="4">
        <v>0</v>
      </c>
      <c r="L1462" s="4">
        <v>1663.5</v>
      </c>
      <c r="M1462" s="4">
        <v>1663.5</v>
      </c>
      <c r="N1462" s="4">
        <v>1663.5</v>
      </c>
      <c r="O1462" s="4">
        <v>1663.5</v>
      </c>
      <c r="P1462" s="4">
        <v>16919</v>
      </c>
      <c r="Q1462" s="3" t="s">
        <v>26</v>
      </c>
      <c r="R1462" s="3">
        <v>0</v>
      </c>
      <c r="S1462" s="4">
        <v>0</v>
      </c>
      <c r="T1462" s="4">
        <v>29</v>
      </c>
      <c r="U1462" s="4">
        <v>66</v>
      </c>
      <c r="V1462" s="4">
        <f>IF(ISERROR(VLOOKUP($S$1462,'TAR FIN'!$A$1:$O$113,15,0)),0,VLOOKUP($S$1462,'TAR FIN'!$A$1:$O$113,15,0))</f>
        <v>0</v>
      </c>
      <c r="W1462" s="4">
        <f>IF(ISERROR(VLOOKUP($T$1462,'TAR FIN'!$A$1:$O$113,15,0)),0,VLOOKUP($T$1462,'TAR FIN'!$A$1:$O$113,15,0))</f>
        <v>307.83999999999997</v>
      </c>
      <c r="X1462" s="4">
        <f>IF(ISERROR(VLOOKUP($U$1462,'TAR FIN'!$A$1:$O$113,15,0)),0,VLOOKUP($U$1462,'TAR FIN'!$A$1:$O$113,15,0))</f>
        <v>234.24</v>
      </c>
      <c r="Y1462" s="4"/>
      <c r="Z146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2" s="4">
        <f>('TE BE'!$AA$23+'TE BF'!$AA$23+'TE CVA'!$AA$23)*(1-CUSTOS!$M$37)</f>
        <v>234.67932779241937</v>
      </c>
      <c r="AB1462" s="4">
        <f>$K$1462*$V$1462</f>
        <v>0</v>
      </c>
      <c r="AC1462" s="4">
        <f>$M$1462*$W$1462</f>
        <v>512091.83999999997</v>
      </c>
      <c r="AD1462" s="4">
        <f>$O$1462*$X$1462</f>
        <v>389658.24</v>
      </c>
      <c r="AE1462" s="4">
        <f>$K$1462*$Y$1462</f>
        <v>0</v>
      </c>
      <c r="AF1462" s="4">
        <f ca="1">$M$1462*$Z$1462</f>
        <v>593298.68326567078</v>
      </c>
      <c r="AG1462" s="4">
        <f>$O$1462*$AA$1462</f>
        <v>390389.06178268965</v>
      </c>
    </row>
    <row r="1463" spans="1:33" ht="11.25" customHeight="1" x14ac:dyDescent="0.25">
      <c r="A1463" s="3" t="s">
        <v>27</v>
      </c>
      <c r="B1463" s="3" t="s">
        <v>22</v>
      </c>
      <c r="C1463" s="3" t="s">
        <v>23</v>
      </c>
      <c r="D1463" s="3" t="s">
        <v>24</v>
      </c>
      <c r="E1463" s="3" t="s">
        <v>32</v>
      </c>
      <c r="F1463" s="3" t="s">
        <v>25</v>
      </c>
      <c r="G1463" s="3" t="s">
        <v>25</v>
      </c>
      <c r="H1463" s="3" t="s">
        <v>25</v>
      </c>
      <c r="I1463" s="6">
        <v>44562</v>
      </c>
      <c r="J1463" s="4">
        <v>0</v>
      </c>
      <c r="K1463" s="4">
        <v>0</v>
      </c>
      <c r="L1463" s="4">
        <v>-1.9239999999999999</v>
      </c>
      <c r="M1463" s="4">
        <v>-1.9239999999999999</v>
      </c>
      <c r="N1463" s="4">
        <v>-1.9239999999999999</v>
      </c>
      <c r="O1463" s="4">
        <v>-1.9239999999999999</v>
      </c>
      <c r="P1463" s="4">
        <v>-7</v>
      </c>
      <c r="Q1463" s="3" t="s">
        <v>26</v>
      </c>
      <c r="R1463" s="3">
        <v>0</v>
      </c>
      <c r="S1463" s="4">
        <v>0</v>
      </c>
      <c r="T1463" s="4">
        <v>29</v>
      </c>
      <c r="U1463" s="4">
        <v>66</v>
      </c>
      <c r="V1463" s="4">
        <f>IF(ISERROR(VLOOKUP($S$1463,'TAR FIN'!$A$1:$O$113,15,0)),0,VLOOKUP($S$1463,'TAR FIN'!$A$1:$O$113,15,0))</f>
        <v>0</v>
      </c>
      <c r="W1463" s="4">
        <f>IF(ISERROR(VLOOKUP($T$1463,'TAR FIN'!$A$1:$O$113,15,0)),0,VLOOKUP($T$1463,'TAR FIN'!$A$1:$O$113,15,0))</f>
        <v>307.83999999999997</v>
      </c>
      <c r="X1463" s="4">
        <f>IF(ISERROR(VLOOKUP($U$1463,'TAR FIN'!$A$1:$O$113,15,0)),0,VLOOKUP($U$1463,'TAR FIN'!$A$1:$O$113,15,0))</f>
        <v>234.24</v>
      </c>
      <c r="Y1463" s="4"/>
      <c r="Z146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3" s="4">
        <f>('TE BE'!$AA$23+'TE BF'!$AA$23+'TE CVA'!$AA$23)*(1-CUSTOS!$M$37)</f>
        <v>234.67932779241937</v>
      </c>
      <c r="AB1463" s="4">
        <f>$K$1463*$V$1463</f>
        <v>0</v>
      </c>
      <c r="AC1463" s="4">
        <f>$M$1463*$W$1463</f>
        <v>-592.28415999999993</v>
      </c>
      <c r="AD1463" s="4">
        <f>$O$1463*$X$1463</f>
        <v>-450.67775999999998</v>
      </c>
      <c r="AE1463" s="4">
        <f>$K$1463*$Y$1463</f>
        <v>0</v>
      </c>
      <c r="AF1463" s="4">
        <f ca="1">$M$1463*$Z$1463</f>
        <v>-686.20779477195708</v>
      </c>
      <c r="AG1463" s="4">
        <f>$O$1463*$AA$1463</f>
        <v>-451.52302667261483</v>
      </c>
    </row>
    <row r="1464" spans="1:33" ht="11.25" customHeight="1" x14ac:dyDescent="0.25">
      <c r="A1464" s="3" t="s">
        <v>28</v>
      </c>
      <c r="B1464" s="3" t="s">
        <v>22</v>
      </c>
      <c r="C1464" s="3" t="s">
        <v>23</v>
      </c>
      <c r="D1464" s="3" t="s">
        <v>24</v>
      </c>
      <c r="E1464" s="3" t="s">
        <v>32</v>
      </c>
      <c r="F1464" s="3" t="s">
        <v>25</v>
      </c>
      <c r="G1464" s="3" t="s">
        <v>25</v>
      </c>
      <c r="H1464" s="3" t="s">
        <v>25</v>
      </c>
      <c r="I1464" s="6">
        <v>44562</v>
      </c>
      <c r="J1464" s="4">
        <v>0</v>
      </c>
      <c r="K1464" s="4">
        <v>0</v>
      </c>
      <c r="L1464" s="4">
        <v>5.907</v>
      </c>
      <c r="M1464" s="4">
        <v>5.907</v>
      </c>
      <c r="N1464" s="4">
        <v>5.907</v>
      </c>
      <c r="O1464" s="4">
        <v>5.907</v>
      </c>
      <c r="P1464" s="4">
        <v>42</v>
      </c>
      <c r="Q1464" s="3" t="s">
        <v>26</v>
      </c>
      <c r="R1464" s="3">
        <v>0</v>
      </c>
      <c r="S1464" s="4">
        <v>0</v>
      </c>
      <c r="T1464" s="4">
        <v>29</v>
      </c>
      <c r="U1464" s="4">
        <v>66</v>
      </c>
      <c r="V1464" s="4">
        <f>IF(ISERROR(VLOOKUP($S$1464,'TAR FIN'!$A$1:$O$113,15,0)),0,VLOOKUP($S$1464,'TAR FIN'!$A$1:$O$113,15,0))</f>
        <v>0</v>
      </c>
      <c r="W1464" s="4">
        <f>IF(ISERROR(VLOOKUP($T$1464,'TAR FIN'!$A$1:$O$113,15,0)),0,VLOOKUP($T$1464,'TAR FIN'!$A$1:$O$113,15,0))</f>
        <v>307.83999999999997</v>
      </c>
      <c r="X1464" s="4">
        <f>IF(ISERROR(VLOOKUP($U$1464,'TAR FIN'!$A$1:$O$113,15,0)),0,VLOOKUP($U$1464,'TAR FIN'!$A$1:$O$113,15,0))</f>
        <v>234.24</v>
      </c>
      <c r="Y1464" s="4"/>
      <c r="Z146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4" s="4">
        <f>('TE BE'!$AA$23+'TE BF'!$AA$23+'TE CVA'!$AA$23)*(1-CUSTOS!$M$37)</f>
        <v>234.67932779241937</v>
      </c>
      <c r="AB1464" s="4">
        <f>$K$1464*$V$1464</f>
        <v>0</v>
      </c>
      <c r="AC1464" s="4">
        <f>$M$1464*$W$1464</f>
        <v>1818.4108799999999</v>
      </c>
      <c r="AD1464" s="4">
        <f>$O$1464*$X$1464</f>
        <v>1383.6556800000001</v>
      </c>
      <c r="AE1464" s="4">
        <f>$K$1464*$Y$1464</f>
        <v>0</v>
      </c>
      <c r="AF1464" s="4">
        <f ca="1">$M$1464*$Z$1464</f>
        <v>2106.7720601444648</v>
      </c>
      <c r="AG1464" s="4">
        <f>$O$1464*$AA$1464</f>
        <v>1386.2507892698213</v>
      </c>
    </row>
    <row r="1465" spans="1:33" ht="11.25" customHeight="1" x14ac:dyDescent="0.25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32</v>
      </c>
      <c r="F1465" s="3" t="s">
        <v>25</v>
      </c>
      <c r="G1465" s="3" t="s">
        <v>25</v>
      </c>
      <c r="H1465" s="3" t="s">
        <v>25</v>
      </c>
      <c r="I1465" s="6">
        <v>44593</v>
      </c>
      <c r="J1465" s="4">
        <v>0</v>
      </c>
      <c r="K1465" s="4">
        <v>0</v>
      </c>
      <c r="L1465" s="4">
        <v>1648.4870000000001</v>
      </c>
      <c r="M1465" s="4">
        <v>1648.4870000000001</v>
      </c>
      <c r="N1465" s="4">
        <v>1648.4870000000001</v>
      </c>
      <c r="O1465" s="4">
        <v>1648.4870000000001</v>
      </c>
      <c r="P1465" s="4">
        <v>16331</v>
      </c>
      <c r="Q1465" s="3" t="s">
        <v>26</v>
      </c>
      <c r="R1465" s="3">
        <v>0</v>
      </c>
      <c r="S1465" s="4">
        <v>0</v>
      </c>
      <c r="T1465" s="4">
        <v>29</v>
      </c>
      <c r="U1465" s="4">
        <v>66</v>
      </c>
      <c r="V1465" s="4">
        <f>IF(ISERROR(VLOOKUP($S$1465,'TAR FIN'!$A$1:$O$113,15,0)),0,VLOOKUP($S$1465,'TAR FIN'!$A$1:$O$113,15,0))</f>
        <v>0</v>
      </c>
      <c r="W1465" s="4">
        <f>IF(ISERROR(VLOOKUP($T$1465,'TAR FIN'!$A$1:$O$113,15,0)),0,VLOOKUP($T$1465,'TAR FIN'!$A$1:$O$113,15,0))</f>
        <v>307.83999999999997</v>
      </c>
      <c r="X1465" s="4">
        <f>IF(ISERROR(VLOOKUP($U$1465,'TAR FIN'!$A$1:$O$113,15,0)),0,VLOOKUP($U$1465,'TAR FIN'!$A$1:$O$113,15,0))</f>
        <v>234.24</v>
      </c>
      <c r="Y1465" s="4"/>
      <c r="Z146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5" s="4">
        <f>('TE BE'!$AA$23+'TE BF'!$AA$23+'TE CVA'!$AA$23)*(1-CUSTOS!$M$37)</f>
        <v>234.67932779241937</v>
      </c>
      <c r="AB1465" s="4">
        <f>$K$1465*$V$1465</f>
        <v>0</v>
      </c>
      <c r="AC1465" s="4">
        <f>$M$1465*$W$1465</f>
        <v>507470.23807999998</v>
      </c>
      <c r="AD1465" s="4">
        <f>$O$1465*$X$1465</f>
        <v>386141.59488000005</v>
      </c>
      <c r="AE1465" s="4">
        <f>$K$1465*$Y$1465</f>
        <v>0</v>
      </c>
      <c r="AF1465" s="4">
        <f ca="1">$M$1465*$Z$1465</f>
        <v>587944.1938566732</v>
      </c>
      <c r="AG1465" s="4">
        <f>$O$1465*$AA$1465</f>
        <v>386865.82103454205</v>
      </c>
    </row>
    <row r="1466" spans="1:33" ht="11.25" customHeight="1" x14ac:dyDescent="0.25">
      <c r="A1466" s="3" t="s">
        <v>27</v>
      </c>
      <c r="B1466" s="3" t="s">
        <v>22</v>
      </c>
      <c r="C1466" s="3" t="s">
        <v>23</v>
      </c>
      <c r="D1466" s="3" t="s">
        <v>24</v>
      </c>
      <c r="E1466" s="3" t="s">
        <v>32</v>
      </c>
      <c r="F1466" s="3" t="s">
        <v>25</v>
      </c>
      <c r="G1466" s="3" t="s">
        <v>25</v>
      </c>
      <c r="H1466" s="3" t="s">
        <v>25</v>
      </c>
      <c r="I1466" s="6">
        <v>44593</v>
      </c>
      <c r="J1466" s="4">
        <v>0</v>
      </c>
      <c r="K1466" s="4">
        <v>0</v>
      </c>
      <c r="L1466" s="4">
        <v>-1.3140000000000001</v>
      </c>
      <c r="M1466" s="4">
        <v>-1.3140000000000001</v>
      </c>
      <c r="N1466" s="4">
        <v>-1.3140000000000001</v>
      </c>
      <c r="O1466" s="4">
        <v>-1.3140000000000001</v>
      </c>
      <c r="P1466" s="4">
        <v>-5</v>
      </c>
      <c r="Q1466" s="3" t="s">
        <v>26</v>
      </c>
      <c r="R1466" s="3">
        <v>0</v>
      </c>
      <c r="S1466" s="4">
        <v>0</v>
      </c>
      <c r="T1466" s="4">
        <v>29</v>
      </c>
      <c r="U1466" s="4">
        <v>66</v>
      </c>
      <c r="V1466" s="4">
        <f>IF(ISERROR(VLOOKUP($S$1466,'TAR FIN'!$A$1:$O$113,15,0)),0,VLOOKUP($S$1466,'TAR FIN'!$A$1:$O$113,15,0))</f>
        <v>0</v>
      </c>
      <c r="W1466" s="4">
        <f>IF(ISERROR(VLOOKUP($T$1466,'TAR FIN'!$A$1:$O$113,15,0)),0,VLOOKUP($T$1466,'TAR FIN'!$A$1:$O$113,15,0))</f>
        <v>307.83999999999997</v>
      </c>
      <c r="X1466" s="4">
        <f>IF(ISERROR(VLOOKUP($U$1466,'TAR FIN'!$A$1:$O$113,15,0)),0,VLOOKUP($U$1466,'TAR FIN'!$A$1:$O$113,15,0))</f>
        <v>234.24</v>
      </c>
      <c r="Y1466" s="4"/>
      <c r="Z146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6" s="4">
        <f>('TE BE'!$AA$23+'TE BF'!$AA$23+'TE CVA'!$AA$23)*(1-CUSTOS!$M$37)</f>
        <v>234.67932779241937</v>
      </c>
      <c r="AB1466" s="4">
        <f>$K$1466*$V$1466</f>
        <v>0</v>
      </c>
      <c r="AC1466" s="4">
        <f>$M$1466*$W$1466</f>
        <v>-404.50175999999999</v>
      </c>
      <c r="AD1466" s="4">
        <f>$O$1466*$X$1466</f>
        <v>-307.79136</v>
      </c>
      <c r="AE1466" s="4">
        <f>$K$1466*$Y$1466</f>
        <v>0</v>
      </c>
      <c r="AF1466" s="4">
        <f ca="1">$M$1466*$Z$1466</f>
        <v>-468.64711139831172</v>
      </c>
      <c r="AG1466" s="4">
        <f>$O$1466*$AA$1466</f>
        <v>-308.36863671923908</v>
      </c>
    </row>
    <row r="1467" spans="1:33" ht="11.25" customHeight="1" x14ac:dyDescent="0.25">
      <c r="A1467" s="3" t="s">
        <v>28</v>
      </c>
      <c r="B1467" s="3" t="s">
        <v>22</v>
      </c>
      <c r="C1467" s="3" t="s">
        <v>23</v>
      </c>
      <c r="D1467" s="3" t="s">
        <v>24</v>
      </c>
      <c r="E1467" s="3" t="s">
        <v>32</v>
      </c>
      <c r="F1467" s="3" t="s">
        <v>25</v>
      </c>
      <c r="G1467" s="3" t="s">
        <v>25</v>
      </c>
      <c r="H1467" s="3" t="s">
        <v>25</v>
      </c>
      <c r="I1467" s="6">
        <v>44593</v>
      </c>
      <c r="J1467" s="4">
        <v>0</v>
      </c>
      <c r="K1467" s="4">
        <v>0</v>
      </c>
      <c r="L1467" s="4">
        <v>4.5259999999999998</v>
      </c>
      <c r="M1467" s="4">
        <v>4.5259999999999998</v>
      </c>
      <c r="N1467" s="4">
        <v>4.5259999999999998</v>
      </c>
      <c r="O1467" s="4">
        <v>4.5259999999999998</v>
      </c>
      <c r="P1467" s="4">
        <v>47</v>
      </c>
      <c r="Q1467" s="3" t="s">
        <v>26</v>
      </c>
      <c r="R1467" s="3">
        <v>0</v>
      </c>
      <c r="S1467" s="4">
        <v>0</v>
      </c>
      <c r="T1467" s="4">
        <v>29</v>
      </c>
      <c r="U1467" s="4">
        <v>66</v>
      </c>
      <c r="V1467" s="4">
        <f>IF(ISERROR(VLOOKUP($S$1467,'TAR FIN'!$A$1:$O$113,15,0)),0,VLOOKUP($S$1467,'TAR FIN'!$A$1:$O$113,15,0))</f>
        <v>0</v>
      </c>
      <c r="W1467" s="4">
        <f>IF(ISERROR(VLOOKUP($T$1467,'TAR FIN'!$A$1:$O$113,15,0)),0,VLOOKUP($T$1467,'TAR FIN'!$A$1:$O$113,15,0))</f>
        <v>307.83999999999997</v>
      </c>
      <c r="X1467" s="4">
        <f>IF(ISERROR(VLOOKUP($U$1467,'TAR FIN'!$A$1:$O$113,15,0)),0,VLOOKUP($U$1467,'TAR FIN'!$A$1:$O$113,15,0))</f>
        <v>234.24</v>
      </c>
      <c r="Y1467" s="4"/>
      <c r="Z146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7" s="4">
        <f>('TE BE'!$AA$23+'TE BF'!$AA$23+'TE CVA'!$AA$23)*(1-CUSTOS!$M$37)</f>
        <v>234.67932779241937</v>
      </c>
      <c r="AB1467" s="4">
        <f>$K$1467*$V$1467</f>
        <v>0</v>
      </c>
      <c r="AC1467" s="4">
        <f>$M$1467*$W$1467</f>
        <v>1393.2838399999998</v>
      </c>
      <c r="AD1467" s="4">
        <f>$O$1467*$X$1467</f>
        <v>1060.1702399999999</v>
      </c>
      <c r="AE1467" s="4">
        <f>$K$1467*$Y$1467</f>
        <v>0</v>
      </c>
      <c r="AF1467" s="4">
        <f ca="1">$M$1467*$Z$1467</f>
        <v>1614.2289392608513</v>
      </c>
      <c r="AG1467" s="4">
        <f>$O$1467*$AA$1467</f>
        <v>1062.1586375884901</v>
      </c>
    </row>
    <row r="1468" spans="1:33" ht="11.25" customHeight="1" x14ac:dyDescent="0.25">
      <c r="A1468" s="3" t="s">
        <v>56</v>
      </c>
      <c r="B1468" s="3" t="s">
        <v>22</v>
      </c>
      <c r="C1468" s="3" t="s">
        <v>23</v>
      </c>
      <c r="D1468" s="3" t="s">
        <v>24</v>
      </c>
      <c r="E1468" s="3" t="s">
        <v>32</v>
      </c>
      <c r="F1468" s="3" t="s">
        <v>25</v>
      </c>
      <c r="G1468" s="3" t="s">
        <v>25</v>
      </c>
      <c r="H1468" s="3" t="s">
        <v>25</v>
      </c>
      <c r="I1468" s="6">
        <v>44621</v>
      </c>
      <c r="J1468" s="4">
        <v>0</v>
      </c>
      <c r="K1468" s="4">
        <v>0</v>
      </c>
      <c r="L1468" s="4">
        <v>1648.4870000000001</v>
      </c>
      <c r="M1468" s="4">
        <v>1648.4870000000001</v>
      </c>
      <c r="N1468" s="4">
        <v>1648.4870000000001</v>
      </c>
      <c r="O1468" s="4">
        <v>1648.4870000000001</v>
      </c>
      <c r="P1468" s="4">
        <v>16331</v>
      </c>
      <c r="Q1468" s="3" t="s">
        <v>26</v>
      </c>
      <c r="R1468" s="3">
        <v>0</v>
      </c>
      <c r="S1468" s="4">
        <v>0</v>
      </c>
      <c r="T1468" s="4">
        <v>29</v>
      </c>
      <c r="U1468" s="4">
        <v>66</v>
      </c>
      <c r="V1468" s="4">
        <f>IF(ISERROR(VLOOKUP($S$1468,'TAR FIN'!$A$1:$O$113,15,0)),0,VLOOKUP($S$1468,'TAR FIN'!$A$1:$O$113,15,0))</f>
        <v>0</v>
      </c>
      <c r="W1468" s="4">
        <f>IF(ISERROR(VLOOKUP($T$1468,'TAR FIN'!$A$1:$O$113,15,0)),0,VLOOKUP($T$1468,'TAR FIN'!$A$1:$O$113,15,0))</f>
        <v>307.83999999999997</v>
      </c>
      <c r="X1468" s="4">
        <f>IF(ISERROR(VLOOKUP($U$1468,'TAR FIN'!$A$1:$O$113,15,0)),0,VLOOKUP($U$1468,'TAR FIN'!$A$1:$O$113,15,0))</f>
        <v>234.24</v>
      </c>
      <c r="Y1468" s="4"/>
      <c r="Z146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8" s="4">
        <f>('TE BE'!$AA$23+'TE BF'!$AA$23+'TE CVA'!$AA$23)*(1-CUSTOS!$M$37)</f>
        <v>234.67932779241937</v>
      </c>
      <c r="AB1468" s="4">
        <f>$K$1468*$V$1468</f>
        <v>0</v>
      </c>
      <c r="AC1468" s="4">
        <f>$M$1468*$W$1468</f>
        <v>507470.23807999998</v>
      </c>
      <c r="AD1468" s="4">
        <f>$O$1468*$X$1468</f>
        <v>386141.59488000005</v>
      </c>
      <c r="AE1468" s="4">
        <f>$K$1468*$Y$1468</f>
        <v>0</v>
      </c>
      <c r="AF1468" s="4">
        <f ca="1">$M$1468*$Z$1468</f>
        <v>587944.1938566732</v>
      </c>
      <c r="AG1468" s="4">
        <f>$O$1468*$AA$1468</f>
        <v>386865.82103454205</v>
      </c>
    </row>
    <row r="1469" spans="1:33" ht="11.25" customHeight="1" x14ac:dyDescent="0.25">
      <c r="A1469" s="3" t="s">
        <v>56</v>
      </c>
      <c r="B1469" s="3" t="s">
        <v>22</v>
      </c>
      <c r="C1469" s="3" t="s">
        <v>23</v>
      </c>
      <c r="D1469" s="3" t="s">
        <v>24</v>
      </c>
      <c r="E1469" s="3" t="s">
        <v>32</v>
      </c>
      <c r="F1469" s="3" t="s">
        <v>25</v>
      </c>
      <c r="G1469" s="3" t="s">
        <v>25</v>
      </c>
      <c r="H1469" s="3" t="s">
        <v>25</v>
      </c>
      <c r="I1469" s="6">
        <v>44621</v>
      </c>
      <c r="J1469" s="4">
        <v>0</v>
      </c>
      <c r="K1469" s="4">
        <v>0</v>
      </c>
      <c r="L1469" s="4">
        <v>-1.3140000000000001</v>
      </c>
      <c r="M1469" s="4">
        <v>-1.3140000000000001</v>
      </c>
      <c r="N1469" s="4">
        <v>-1.3140000000000001</v>
      </c>
      <c r="O1469" s="4">
        <v>-1.3140000000000001</v>
      </c>
      <c r="P1469" s="4">
        <v>-5</v>
      </c>
      <c r="Q1469" s="3" t="s">
        <v>26</v>
      </c>
      <c r="R1469" s="3">
        <v>0</v>
      </c>
      <c r="S1469" s="4">
        <v>0</v>
      </c>
      <c r="T1469" s="4">
        <v>29</v>
      </c>
      <c r="U1469" s="4">
        <v>66</v>
      </c>
      <c r="V1469" s="4">
        <f>IF(ISERROR(VLOOKUP($S$1469,'TAR FIN'!$A$1:$O$113,15,0)),0,VLOOKUP($S$1469,'TAR FIN'!$A$1:$O$113,15,0))</f>
        <v>0</v>
      </c>
      <c r="W1469" s="4">
        <f>IF(ISERROR(VLOOKUP($T$1469,'TAR FIN'!$A$1:$O$113,15,0)),0,VLOOKUP($T$1469,'TAR FIN'!$A$1:$O$113,15,0))</f>
        <v>307.83999999999997</v>
      </c>
      <c r="X1469" s="4">
        <f>IF(ISERROR(VLOOKUP($U$1469,'TAR FIN'!$A$1:$O$113,15,0)),0,VLOOKUP($U$1469,'TAR FIN'!$A$1:$O$113,15,0))</f>
        <v>234.24</v>
      </c>
      <c r="Y1469" s="4"/>
      <c r="Z146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69" s="4">
        <f>('TE BE'!$AA$23+'TE BF'!$AA$23+'TE CVA'!$AA$23)*(1-CUSTOS!$M$37)</f>
        <v>234.67932779241937</v>
      </c>
      <c r="AB1469" s="4">
        <f>$K$1469*$V$1469</f>
        <v>0</v>
      </c>
      <c r="AC1469" s="4">
        <f>$M$1469*$W$1469</f>
        <v>-404.50175999999999</v>
      </c>
      <c r="AD1469" s="4">
        <f>$O$1469*$X$1469</f>
        <v>-307.79136</v>
      </c>
      <c r="AE1469" s="4">
        <f>$K$1469*$Y$1469</f>
        <v>0</v>
      </c>
      <c r="AF1469" s="4">
        <f ca="1">$M$1469*$Z$1469</f>
        <v>-468.64711139831172</v>
      </c>
      <c r="AG1469" s="4">
        <f>$O$1469*$AA$1469</f>
        <v>-308.36863671923908</v>
      </c>
    </row>
    <row r="1470" spans="1:33" ht="11.25" customHeight="1" x14ac:dyDescent="0.25">
      <c r="A1470" s="3" t="s">
        <v>56</v>
      </c>
      <c r="B1470" s="3" t="s">
        <v>22</v>
      </c>
      <c r="C1470" s="3" t="s">
        <v>23</v>
      </c>
      <c r="D1470" s="3" t="s">
        <v>24</v>
      </c>
      <c r="E1470" s="3" t="s">
        <v>32</v>
      </c>
      <c r="F1470" s="3" t="s">
        <v>25</v>
      </c>
      <c r="G1470" s="3" t="s">
        <v>25</v>
      </c>
      <c r="H1470" s="3" t="s">
        <v>25</v>
      </c>
      <c r="I1470" s="6">
        <v>44621</v>
      </c>
      <c r="J1470" s="4">
        <v>0</v>
      </c>
      <c r="K1470" s="4">
        <v>0</v>
      </c>
      <c r="L1470" s="4">
        <v>4.5259999999999998</v>
      </c>
      <c r="M1470" s="4">
        <v>4.5259999999999998</v>
      </c>
      <c r="N1470" s="4">
        <v>4.5259999999999998</v>
      </c>
      <c r="O1470" s="4">
        <v>4.5259999999999998</v>
      </c>
      <c r="P1470" s="4">
        <v>47</v>
      </c>
      <c r="Q1470" s="3" t="s">
        <v>26</v>
      </c>
      <c r="R1470" s="3">
        <v>0</v>
      </c>
      <c r="S1470" s="4">
        <v>0</v>
      </c>
      <c r="T1470" s="4">
        <v>29</v>
      </c>
      <c r="U1470" s="4">
        <v>66</v>
      </c>
      <c r="V1470" s="4">
        <f>IF(ISERROR(VLOOKUP($S$1470,'TAR FIN'!$A$1:$O$113,15,0)),0,VLOOKUP($S$1470,'TAR FIN'!$A$1:$O$113,15,0))</f>
        <v>0</v>
      </c>
      <c r="W1470" s="4">
        <f>IF(ISERROR(VLOOKUP($T$1470,'TAR FIN'!$A$1:$O$113,15,0)),0,VLOOKUP($T$1470,'TAR FIN'!$A$1:$O$113,15,0))</f>
        <v>307.83999999999997</v>
      </c>
      <c r="X1470" s="4">
        <f>IF(ISERROR(VLOOKUP($U$1470,'TAR FIN'!$A$1:$O$113,15,0)),0,VLOOKUP($U$1470,'TAR FIN'!$A$1:$O$113,15,0))</f>
        <v>234.24</v>
      </c>
      <c r="Y1470" s="4"/>
      <c r="Z147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1470" s="4">
        <f>('TE BE'!$AA$23+'TE BF'!$AA$23+'TE CVA'!$AA$23)*(1-CUSTOS!$M$37)</f>
        <v>234.67932779241937</v>
      </c>
      <c r="AB1470" s="4">
        <f>$K$1470*$V$1470</f>
        <v>0</v>
      </c>
      <c r="AC1470" s="4">
        <f>$M$1470*$W$1470</f>
        <v>1393.2838399999998</v>
      </c>
      <c r="AD1470" s="4">
        <f>$O$1470*$X$1470</f>
        <v>1060.1702399999999</v>
      </c>
      <c r="AE1470" s="4">
        <f>$K$1470*$Y$1470</f>
        <v>0</v>
      </c>
      <c r="AF1470" s="4">
        <f ca="1">$M$1470*$Z$1470</f>
        <v>1614.2289392608513</v>
      </c>
      <c r="AG1470" s="4">
        <f>$O$1470*$AA$1470</f>
        <v>1062.1586375884901</v>
      </c>
    </row>
    <row r="1471" spans="1:33" ht="11.25" customHeight="1" x14ac:dyDescent="0.25">
      <c r="A1471" s="3" t="s">
        <v>21</v>
      </c>
      <c r="B1471" s="3" t="s">
        <v>44</v>
      </c>
      <c r="C1471" s="3" t="s">
        <v>33</v>
      </c>
      <c r="D1471" s="3" t="s">
        <v>45</v>
      </c>
      <c r="E1471" s="3" t="s">
        <v>53</v>
      </c>
      <c r="F1471" s="3" t="s">
        <v>54</v>
      </c>
      <c r="G1471" s="3" t="s">
        <v>25</v>
      </c>
      <c r="H1471" s="3" t="s">
        <v>35</v>
      </c>
      <c r="I1471" s="6">
        <v>44470</v>
      </c>
      <c r="J1471" s="4">
        <v>0</v>
      </c>
      <c r="K1471" s="4">
        <v>0</v>
      </c>
      <c r="L1471" s="4">
        <v>4.3259999999999996</v>
      </c>
      <c r="M1471" s="4">
        <v>4.3259999999999996</v>
      </c>
      <c r="N1471" s="4">
        <v>4.3259999999999996</v>
      </c>
      <c r="O1471" s="4">
        <v>4.3259999999999996</v>
      </c>
      <c r="P1471" s="4">
        <v>0</v>
      </c>
      <c r="Q1471" s="3" t="s">
        <v>26</v>
      </c>
      <c r="R1471" s="3">
        <v>0</v>
      </c>
      <c r="S1471" s="4">
        <v>0</v>
      </c>
      <c r="T1471" s="4">
        <v>33</v>
      </c>
      <c r="U1471" s="4">
        <v>71</v>
      </c>
      <c r="V1471" s="4">
        <f>IF(ISERROR(VLOOKUP($S$1471,'TAR FIN'!$A$1:$O$113,15,0)),0,VLOOKUP($S$1471,'TAR FIN'!$A$1:$O$113,15,0))</f>
        <v>0</v>
      </c>
      <c r="W1471" s="4">
        <f>IF(ISERROR(VLOOKUP($T$1471,'TAR FIN'!$A$1:$O$113,15,0)),0,VLOOKUP($T$1471,'TAR FIN'!$A$1:$O$113,15,0))</f>
        <v>208.22</v>
      </c>
      <c r="X1471" s="4">
        <f>IF(ISERROR(VLOOKUP($U$1471,'TAR FIN'!$A$1:$O$113,15,0)),0,VLOOKUP($U$1471,'TAR FIN'!$A$1:$O$113,15,0))</f>
        <v>195.63</v>
      </c>
      <c r="Y1471" s="4"/>
      <c r="Z1471" s="4">
        <f ca="1">('TUSD BE'!$AM$52+'TUSD BF'!$AM$52+'TUSD CVA'!$AM$52)*(1-CUSTOS!$M$38)</f>
        <v>265.51673209278465</v>
      </c>
      <c r="AA1471" s="4">
        <f>('TE BE'!$AA$31+'TE BF'!$AA$31+'TE CVA'!$AA$31)*(1-CUSTOS!$M$38)</f>
        <v>209.7568810332202</v>
      </c>
      <c r="AB1471" s="4">
        <f>$K$1471*$V$1471</f>
        <v>0</v>
      </c>
      <c r="AC1471" s="4">
        <f>$M$1471*$W$1471</f>
        <v>900.7597199999999</v>
      </c>
      <c r="AD1471" s="4">
        <f>$O$1471*$X$1471</f>
        <v>846.29537999999991</v>
      </c>
      <c r="AE1471" s="4">
        <f>$K$1471*$Y$1471</f>
        <v>0</v>
      </c>
      <c r="AF1471" s="4">
        <f ca="1">$M$1471*$Z$1471</f>
        <v>1148.6253830333862</v>
      </c>
      <c r="AG1471" s="4">
        <f>$O$1471*$AA$1471</f>
        <v>907.40826734971051</v>
      </c>
    </row>
    <row r="1472" spans="1:33" ht="11.25" customHeight="1" x14ac:dyDescent="0.25">
      <c r="A1472" s="3" t="s">
        <v>21</v>
      </c>
      <c r="B1472" s="3" t="s">
        <v>44</v>
      </c>
      <c r="C1472" s="3" t="s">
        <v>33</v>
      </c>
      <c r="D1472" s="3" t="s">
        <v>45</v>
      </c>
      <c r="E1472" s="3" t="s">
        <v>53</v>
      </c>
      <c r="F1472" s="3" t="s">
        <v>54</v>
      </c>
      <c r="G1472" s="3" t="s">
        <v>25</v>
      </c>
      <c r="H1472" s="3" t="s">
        <v>35</v>
      </c>
      <c r="I1472" s="6">
        <v>44501</v>
      </c>
      <c r="J1472" s="4">
        <v>0</v>
      </c>
      <c r="K1472" s="4">
        <v>0</v>
      </c>
      <c r="L1472" s="4">
        <v>4.3259999999999996</v>
      </c>
      <c r="M1472" s="4">
        <v>4.3259999999999996</v>
      </c>
      <c r="N1472" s="4">
        <v>4.3259999999999996</v>
      </c>
      <c r="O1472" s="4">
        <v>4.3259999999999996</v>
      </c>
      <c r="P1472" s="4">
        <v>0</v>
      </c>
      <c r="Q1472" s="3" t="s">
        <v>26</v>
      </c>
      <c r="R1472" s="3">
        <v>0</v>
      </c>
      <c r="S1472" s="4">
        <v>0</v>
      </c>
      <c r="T1472" s="4">
        <v>33</v>
      </c>
      <c r="U1472" s="4">
        <v>71</v>
      </c>
      <c r="V1472" s="4">
        <f>IF(ISERROR(VLOOKUP($S$1472,'TAR FIN'!$A$1:$O$113,15,0)),0,VLOOKUP($S$1472,'TAR FIN'!$A$1:$O$113,15,0))</f>
        <v>0</v>
      </c>
      <c r="W1472" s="4">
        <f>IF(ISERROR(VLOOKUP($T$1472,'TAR FIN'!$A$1:$O$113,15,0)),0,VLOOKUP($T$1472,'TAR FIN'!$A$1:$O$113,15,0))</f>
        <v>208.22</v>
      </c>
      <c r="X1472" s="4">
        <f>IF(ISERROR(VLOOKUP($U$1472,'TAR FIN'!$A$1:$O$113,15,0)),0,VLOOKUP($U$1472,'TAR FIN'!$A$1:$O$113,15,0))</f>
        <v>195.63</v>
      </c>
      <c r="Y1472" s="4"/>
      <c r="Z1472" s="4">
        <f ca="1">('TUSD BE'!$AM$52+'TUSD BF'!$AM$52+'TUSD CVA'!$AM$52)*(1-CUSTOS!$M$38)</f>
        <v>265.51673209278465</v>
      </c>
      <c r="AA1472" s="4">
        <f>('TE BE'!$AA$31+'TE BF'!$AA$31+'TE CVA'!$AA$31)*(1-CUSTOS!$M$38)</f>
        <v>209.7568810332202</v>
      </c>
      <c r="AB1472" s="4">
        <f>$K$1472*$V$1472</f>
        <v>0</v>
      </c>
      <c r="AC1472" s="4">
        <f>$M$1472*$W$1472</f>
        <v>900.7597199999999</v>
      </c>
      <c r="AD1472" s="4">
        <f>$O$1472*$X$1472</f>
        <v>846.29537999999991</v>
      </c>
      <c r="AE1472" s="4">
        <f>$K$1472*$Y$1472</f>
        <v>0</v>
      </c>
      <c r="AF1472" s="4">
        <f ca="1">$M$1472*$Z$1472</f>
        <v>1148.6253830333862</v>
      </c>
      <c r="AG1472" s="4">
        <f>$O$1472*$AA$1472</f>
        <v>907.40826734971051</v>
      </c>
    </row>
    <row r="1473" spans="1:33" ht="11.25" customHeight="1" x14ac:dyDescent="0.25">
      <c r="A1473" s="3" t="s">
        <v>21</v>
      </c>
      <c r="B1473" s="3" t="s">
        <v>44</v>
      </c>
      <c r="C1473" s="3" t="s">
        <v>33</v>
      </c>
      <c r="D1473" s="3" t="s">
        <v>45</v>
      </c>
      <c r="E1473" s="3" t="s">
        <v>53</v>
      </c>
      <c r="F1473" s="3" t="s">
        <v>54</v>
      </c>
      <c r="G1473" s="3" t="s">
        <v>25</v>
      </c>
      <c r="H1473" s="3" t="s">
        <v>35</v>
      </c>
      <c r="I1473" s="6">
        <v>44531</v>
      </c>
      <c r="J1473" s="4">
        <v>0</v>
      </c>
      <c r="K1473" s="4">
        <v>0</v>
      </c>
      <c r="L1473" s="4">
        <v>40.625999999999998</v>
      </c>
      <c r="M1473" s="4">
        <v>40.625999999999998</v>
      </c>
      <c r="N1473" s="4">
        <v>40.625999999999998</v>
      </c>
      <c r="O1473" s="4">
        <v>40.625999999999998</v>
      </c>
      <c r="P1473" s="4">
        <v>0</v>
      </c>
      <c r="Q1473" s="3" t="s">
        <v>26</v>
      </c>
      <c r="R1473" s="3">
        <v>0</v>
      </c>
      <c r="S1473" s="4">
        <v>0</v>
      </c>
      <c r="T1473" s="4">
        <v>33</v>
      </c>
      <c r="U1473" s="4">
        <v>71</v>
      </c>
      <c r="V1473" s="4">
        <f>IF(ISERROR(VLOOKUP($S$1473,'TAR FIN'!$A$1:$O$113,15,0)),0,VLOOKUP($S$1473,'TAR FIN'!$A$1:$O$113,15,0))</f>
        <v>0</v>
      </c>
      <c r="W1473" s="4">
        <f>IF(ISERROR(VLOOKUP($T$1473,'TAR FIN'!$A$1:$O$113,15,0)),0,VLOOKUP($T$1473,'TAR FIN'!$A$1:$O$113,15,0))</f>
        <v>208.22</v>
      </c>
      <c r="X1473" s="4">
        <f>IF(ISERROR(VLOOKUP($U$1473,'TAR FIN'!$A$1:$O$113,15,0)),0,VLOOKUP($U$1473,'TAR FIN'!$A$1:$O$113,15,0))</f>
        <v>195.63</v>
      </c>
      <c r="Y1473" s="4"/>
      <c r="Z1473" s="4">
        <f ca="1">('TUSD BE'!$AM$52+'TUSD BF'!$AM$52+'TUSD CVA'!$AM$52)*(1-CUSTOS!$M$38)</f>
        <v>265.51673209278465</v>
      </c>
      <c r="AA1473" s="4">
        <f>('TE BE'!$AA$31+'TE BF'!$AA$31+'TE CVA'!$AA$31)*(1-CUSTOS!$M$38)</f>
        <v>209.7568810332202</v>
      </c>
      <c r="AB1473" s="4">
        <f>$K$1473*$V$1473</f>
        <v>0</v>
      </c>
      <c r="AC1473" s="4">
        <f>$M$1473*$W$1473</f>
        <v>8459.1457199999986</v>
      </c>
      <c r="AD1473" s="4">
        <f>$O$1473*$X$1473</f>
        <v>7947.6643799999993</v>
      </c>
      <c r="AE1473" s="4">
        <f>$K$1473*$Y$1473</f>
        <v>0</v>
      </c>
      <c r="AF1473" s="4">
        <f ca="1">$M$1473*$Z$1473</f>
        <v>10786.882758001469</v>
      </c>
      <c r="AG1473" s="4">
        <f>$O$1473*$AA$1473</f>
        <v>8521.5830488556039</v>
      </c>
    </row>
    <row r="1474" spans="1:33" ht="11.25" customHeight="1" x14ac:dyDescent="0.25">
      <c r="A1474" s="3" t="s">
        <v>21</v>
      </c>
      <c r="B1474" s="3" t="s">
        <v>44</v>
      </c>
      <c r="C1474" s="3" t="s">
        <v>33</v>
      </c>
      <c r="D1474" s="3" t="s">
        <v>45</v>
      </c>
      <c r="E1474" s="3" t="s">
        <v>53</v>
      </c>
      <c r="F1474" s="3" t="s">
        <v>54</v>
      </c>
      <c r="G1474" s="3" t="s">
        <v>25</v>
      </c>
      <c r="H1474" s="3" t="s">
        <v>35</v>
      </c>
      <c r="I1474" s="6">
        <v>44562</v>
      </c>
      <c r="J1474" s="4">
        <v>0</v>
      </c>
      <c r="K1474" s="4">
        <v>0</v>
      </c>
      <c r="L1474" s="4">
        <v>36.36</v>
      </c>
      <c r="M1474" s="4">
        <v>36.36</v>
      </c>
      <c r="N1474" s="4">
        <v>36.36</v>
      </c>
      <c r="O1474" s="4">
        <v>36.36</v>
      </c>
      <c r="P1474" s="4">
        <v>0</v>
      </c>
      <c r="Q1474" s="3" t="s">
        <v>26</v>
      </c>
      <c r="R1474" s="3">
        <v>0</v>
      </c>
      <c r="S1474" s="4">
        <v>0</v>
      </c>
      <c r="T1474" s="4">
        <v>33</v>
      </c>
      <c r="U1474" s="4">
        <v>71</v>
      </c>
      <c r="V1474" s="4">
        <f>IF(ISERROR(VLOOKUP($S$1474,'TAR FIN'!$A$1:$O$113,15,0)),0,VLOOKUP($S$1474,'TAR FIN'!$A$1:$O$113,15,0))</f>
        <v>0</v>
      </c>
      <c r="W1474" s="4">
        <f>IF(ISERROR(VLOOKUP($T$1474,'TAR FIN'!$A$1:$O$113,15,0)),0,VLOOKUP($T$1474,'TAR FIN'!$A$1:$O$113,15,0))</f>
        <v>208.22</v>
      </c>
      <c r="X1474" s="4">
        <f>IF(ISERROR(VLOOKUP($U$1474,'TAR FIN'!$A$1:$O$113,15,0)),0,VLOOKUP($U$1474,'TAR FIN'!$A$1:$O$113,15,0))</f>
        <v>195.63</v>
      </c>
      <c r="Y1474" s="4"/>
      <c r="Z1474" s="4">
        <f ca="1">('TUSD BE'!$AM$52+'TUSD BF'!$AM$52+'TUSD CVA'!$AM$52)*(1-CUSTOS!$M$38)</f>
        <v>265.51673209278465</v>
      </c>
      <c r="AA1474" s="4">
        <f>('TE BE'!$AA$31+'TE BF'!$AA$31+'TE CVA'!$AA$31)*(1-CUSTOS!$M$38)</f>
        <v>209.7568810332202</v>
      </c>
      <c r="AB1474" s="4">
        <f>$K$1474*$V$1474</f>
        <v>0</v>
      </c>
      <c r="AC1474" s="4">
        <f>$M$1474*$W$1474</f>
        <v>7570.8791999999994</v>
      </c>
      <c r="AD1474" s="4">
        <f>$O$1474*$X$1474</f>
        <v>7113.1067999999996</v>
      </c>
      <c r="AE1474" s="4">
        <f>$K$1474*$Y$1474</f>
        <v>0</v>
      </c>
      <c r="AF1474" s="4">
        <f ca="1">$M$1474*$Z$1474</f>
        <v>9654.1883788936502</v>
      </c>
      <c r="AG1474" s="4">
        <f>$O$1474*$AA$1474</f>
        <v>7626.7601943678865</v>
      </c>
    </row>
    <row r="1475" spans="1:33" ht="11.25" customHeight="1" x14ac:dyDescent="0.25">
      <c r="A1475" s="3" t="s">
        <v>27</v>
      </c>
      <c r="B1475" s="3" t="s">
        <v>44</v>
      </c>
      <c r="C1475" s="3" t="s">
        <v>33</v>
      </c>
      <c r="D1475" s="3" t="s">
        <v>45</v>
      </c>
      <c r="E1475" s="3" t="s">
        <v>53</v>
      </c>
      <c r="F1475" s="3" t="s">
        <v>54</v>
      </c>
      <c r="G1475" s="3" t="s">
        <v>25</v>
      </c>
      <c r="H1475" s="3" t="s">
        <v>35</v>
      </c>
      <c r="I1475" s="6">
        <v>44593</v>
      </c>
      <c r="J1475" s="4">
        <v>0</v>
      </c>
      <c r="K1475" s="4">
        <v>0</v>
      </c>
      <c r="L1475" s="4">
        <v>-36.64</v>
      </c>
      <c r="M1475" s="4">
        <v>-36.64</v>
      </c>
      <c r="N1475" s="4">
        <v>-36.64</v>
      </c>
      <c r="O1475" s="4">
        <v>-36.64</v>
      </c>
      <c r="P1475" s="4">
        <v>0</v>
      </c>
      <c r="Q1475" s="3" t="s">
        <v>26</v>
      </c>
      <c r="R1475" s="3">
        <v>0</v>
      </c>
      <c r="S1475" s="4">
        <v>0</v>
      </c>
      <c r="T1475" s="4">
        <v>33</v>
      </c>
      <c r="U1475" s="4">
        <v>71</v>
      </c>
      <c r="V1475" s="4">
        <f>IF(ISERROR(VLOOKUP($S$1475,'TAR FIN'!$A$1:$O$113,15,0)),0,VLOOKUP($S$1475,'TAR FIN'!$A$1:$O$113,15,0))</f>
        <v>0</v>
      </c>
      <c r="W1475" s="4">
        <f>IF(ISERROR(VLOOKUP($T$1475,'TAR FIN'!$A$1:$O$113,15,0)),0,VLOOKUP($T$1475,'TAR FIN'!$A$1:$O$113,15,0))</f>
        <v>208.22</v>
      </c>
      <c r="X1475" s="4">
        <f>IF(ISERROR(VLOOKUP($U$1475,'TAR FIN'!$A$1:$O$113,15,0)),0,VLOOKUP($U$1475,'TAR FIN'!$A$1:$O$113,15,0))</f>
        <v>195.63</v>
      </c>
      <c r="Y1475" s="4"/>
      <c r="Z1475" s="4">
        <f ca="1">('TUSD BE'!$AM$52+'TUSD BF'!$AM$52+'TUSD CVA'!$AM$52)*(1-CUSTOS!$M$38)</f>
        <v>265.51673209278465</v>
      </c>
      <c r="AA1475" s="4">
        <f>('TE BE'!$AA$31+'TE BF'!$AA$31+'TE CVA'!$AA$31)*(1-CUSTOS!$M$38)</f>
        <v>209.7568810332202</v>
      </c>
      <c r="AB1475" s="4">
        <f>$K$1475*$V$1475</f>
        <v>0</v>
      </c>
      <c r="AC1475" s="4">
        <f>$M$1475*$W$1475</f>
        <v>-7629.1808000000001</v>
      </c>
      <c r="AD1475" s="4">
        <f>$O$1475*$X$1475</f>
        <v>-7167.8832000000002</v>
      </c>
      <c r="AE1475" s="4">
        <f>$K$1475*$Y$1475</f>
        <v>0</v>
      </c>
      <c r="AF1475" s="4">
        <f ca="1">$M$1475*$Z$1475</f>
        <v>-9728.5330638796295</v>
      </c>
      <c r="AG1475" s="4">
        <f>$O$1475*$AA$1475</f>
        <v>-7685.4921210571883</v>
      </c>
    </row>
    <row r="1476" spans="1:33" ht="11.25" customHeight="1" x14ac:dyDescent="0.25">
      <c r="A1476" s="3" t="s">
        <v>56</v>
      </c>
      <c r="B1476" s="3" t="s">
        <v>44</v>
      </c>
      <c r="C1476" s="3" t="s">
        <v>33</v>
      </c>
      <c r="D1476" s="3" t="s">
        <v>45</v>
      </c>
      <c r="E1476" s="3" t="s">
        <v>53</v>
      </c>
      <c r="F1476" s="3" t="s">
        <v>54</v>
      </c>
      <c r="G1476" s="3" t="s">
        <v>25</v>
      </c>
      <c r="H1476" s="3" t="s">
        <v>35</v>
      </c>
      <c r="I1476" s="6">
        <v>44621</v>
      </c>
      <c r="J1476" s="4">
        <v>0</v>
      </c>
      <c r="K1476" s="4">
        <v>0</v>
      </c>
      <c r="L1476" s="4">
        <v>-36.64</v>
      </c>
      <c r="M1476" s="4">
        <v>-36.64</v>
      </c>
      <c r="N1476" s="4">
        <v>-36.64</v>
      </c>
      <c r="O1476" s="4">
        <v>-36.64</v>
      </c>
      <c r="P1476" s="4">
        <v>0</v>
      </c>
      <c r="Q1476" s="3" t="s">
        <v>26</v>
      </c>
      <c r="R1476" s="3">
        <v>0</v>
      </c>
      <c r="S1476" s="4">
        <v>0</v>
      </c>
      <c r="T1476" s="4">
        <v>33</v>
      </c>
      <c r="U1476" s="4">
        <v>71</v>
      </c>
      <c r="V1476" s="4">
        <f>IF(ISERROR(VLOOKUP($S$1476,'TAR FIN'!$A$1:$O$113,15,0)),0,VLOOKUP($S$1476,'TAR FIN'!$A$1:$O$113,15,0))</f>
        <v>0</v>
      </c>
      <c r="W1476" s="4">
        <f>IF(ISERROR(VLOOKUP($T$1476,'TAR FIN'!$A$1:$O$113,15,0)),0,VLOOKUP($T$1476,'TAR FIN'!$A$1:$O$113,15,0))</f>
        <v>208.22</v>
      </c>
      <c r="X1476" s="4">
        <f>IF(ISERROR(VLOOKUP($U$1476,'TAR FIN'!$A$1:$O$113,15,0)),0,VLOOKUP($U$1476,'TAR FIN'!$A$1:$O$113,15,0))</f>
        <v>195.63</v>
      </c>
      <c r="Y1476" s="4"/>
      <c r="Z1476" s="4">
        <f ca="1">('TUSD BE'!$AM$52+'TUSD BF'!$AM$52+'TUSD CVA'!$AM$52)*(1-CUSTOS!$M$38)</f>
        <v>265.51673209278465</v>
      </c>
      <c r="AA1476" s="4">
        <f>('TE BE'!$AA$31+'TE BF'!$AA$31+'TE CVA'!$AA$31)*(1-CUSTOS!$M$38)</f>
        <v>209.7568810332202</v>
      </c>
      <c r="AB1476" s="4">
        <f>$K$1476*$V$1476</f>
        <v>0</v>
      </c>
      <c r="AC1476" s="4">
        <f>$M$1476*$W$1476</f>
        <v>-7629.1808000000001</v>
      </c>
      <c r="AD1476" s="4">
        <f>$O$1476*$X$1476</f>
        <v>-7167.8832000000002</v>
      </c>
      <c r="AE1476" s="4">
        <f>$K$1476*$Y$1476</f>
        <v>0</v>
      </c>
      <c r="AF1476" s="4">
        <f ca="1">$M$1476*$Z$1476</f>
        <v>-9728.5330638796295</v>
      </c>
      <c r="AG1476" s="4">
        <f>$O$1476*$AA$1476</f>
        <v>-7685.4921210571883</v>
      </c>
    </row>
    <row r="1477" spans="1:33" ht="11.25" customHeight="1" x14ac:dyDescent="0.25">
      <c r="A1477" s="3" t="s">
        <v>21</v>
      </c>
      <c r="B1477" s="3" t="s">
        <v>44</v>
      </c>
      <c r="C1477" s="3" t="s">
        <v>33</v>
      </c>
      <c r="D1477" s="3" t="s">
        <v>45</v>
      </c>
      <c r="E1477" s="3" t="s">
        <v>53</v>
      </c>
      <c r="F1477" s="3" t="s">
        <v>54</v>
      </c>
      <c r="G1477" s="3" t="s">
        <v>25</v>
      </c>
      <c r="H1477" s="3" t="s">
        <v>36</v>
      </c>
      <c r="I1477" s="6">
        <v>44470</v>
      </c>
      <c r="J1477" s="4">
        <v>0</v>
      </c>
      <c r="K1477" s="4">
        <v>0</v>
      </c>
      <c r="L1477" s="4">
        <v>7.4999999999999997E-2</v>
      </c>
      <c r="M1477" s="4">
        <v>7.4999999999999997E-2</v>
      </c>
      <c r="N1477" s="4">
        <v>7.4999999999999997E-2</v>
      </c>
      <c r="O1477" s="4">
        <v>7.4999999999999997E-2</v>
      </c>
      <c r="P1477" s="4">
        <v>0</v>
      </c>
      <c r="Q1477" s="3" t="s">
        <v>26</v>
      </c>
      <c r="R1477" s="3">
        <v>0</v>
      </c>
      <c r="S1477" s="4">
        <v>0</v>
      </c>
      <c r="T1477" s="4">
        <v>52</v>
      </c>
      <c r="U1477" s="4">
        <v>70</v>
      </c>
      <c r="V1477" s="4">
        <f>IF(ISERROR(VLOOKUP($S$1477,'TAR FIN'!$A$1:$O$113,15,0)),0,VLOOKUP($S$1477,'TAR FIN'!$A$1:$O$113,15,0))</f>
        <v>0</v>
      </c>
      <c r="W1477" s="4">
        <f>IF(ISERROR(VLOOKUP($T$1477,'TAR FIN'!$A$1:$O$113,15,0)),0,VLOOKUP($T$1477,'TAR FIN'!$A$1:$O$113,15,0))</f>
        <v>497.52</v>
      </c>
      <c r="X1477" s="4">
        <f>IF(ISERROR(VLOOKUP($U$1477,'TAR FIN'!$A$1:$O$113,15,0)),0,VLOOKUP($U$1477,'TAR FIN'!$A$1:$O$113,15,0))</f>
        <v>195.63</v>
      </c>
      <c r="Y1477" s="4"/>
      <c r="Z1477" s="4">
        <f ca="1">('TUSD BE'!$AM$51+'TUSD BF'!$AM$51+'TUSD CVA'!$AM$51)*(1-CUSTOS!$M$38)</f>
        <v>628.38817282981779</v>
      </c>
      <c r="AA1477" s="4">
        <f>('TE BE'!$AA$30+'TE BF'!$AA$30+'TE CVA'!$AA$30)*(1-CUSTOS!$M$38)</f>
        <v>209.7568810332202</v>
      </c>
      <c r="AB1477" s="4">
        <f>$K$1477*$V$1477</f>
        <v>0</v>
      </c>
      <c r="AC1477" s="4">
        <f>$M$1477*$W$1477</f>
        <v>37.314</v>
      </c>
      <c r="AD1477" s="4">
        <f>$O$1477*$X$1477</f>
        <v>14.672249999999998</v>
      </c>
      <c r="AE1477" s="4">
        <f>$K$1477*$Y$1477</f>
        <v>0</v>
      </c>
      <c r="AF1477" s="4">
        <f ca="1">$M$1477*$Z$1477</f>
        <v>47.129112962236334</v>
      </c>
      <c r="AG1477" s="4">
        <f>$O$1477*$AA$1477</f>
        <v>15.731766077491514</v>
      </c>
    </row>
    <row r="1478" spans="1:33" ht="11.25" customHeight="1" x14ac:dyDescent="0.25">
      <c r="A1478" s="3" t="s">
        <v>21</v>
      </c>
      <c r="B1478" s="3" t="s">
        <v>44</v>
      </c>
      <c r="C1478" s="3" t="s">
        <v>33</v>
      </c>
      <c r="D1478" s="3" t="s">
        <v>45</v>
      </c>
      <c r="E1478" s="3" t="s">
        <v>53</v>
      </c>
      <c r="F1478" s="3" t="s">
        <v>54</v>
      </c>
      <c r="G1478" s="3" t="s">
        <v>25</v>
      </c>
      <c r="H1478" s="3" t="s">
        <v>36</v>
      </c>
      <c r="I1478" s="6">
        <v>44501</v>
      </c>
      <c r="J1478" s="4">
        <v>0</v>
      </c>
      <c r="K1478" s="4">
        <v>0</v>
      </c>
      <c r="L1478" s="4">
        <v>7.4999999999999997E-2</v>
      </c>
      <c r="M1478" s="4">
        <v>7.4999999999999997E-2</v>
      </c>
      <c r="N1478" s="4">
        <v>7.4999999999999997E-2</v>
      </c>
      <c r="O1478" s="4">
        <v>7.4999999999999997E-2</v>
      </c>
      <c r="P1478" s="4">
        <v>0</v>
      </c>
      <c r="Q1478" s="3" t="s">
        <v>26</v>
      </c>
      <c r="R1478" s="3">
        <v>0</v>
      </c>
      <c r="S1478" s="4">
        <v>0</v>
      </c>
      <c r="T1478" s="4">
        <v>52</v>
      </c>
      <c r="U1478" s="4">
        <v>70</v>
      </c>
      <c r="V1478" s="4">
        <f>IF(ISERROR(VLOOKUP($S$1478,'TAR FIN'!$A$1:$O$113,15,0)),0,VLOOKUP($S$1478,'TAR FIN'!$A$1:$O$113,15,0))</f>
        <v>0</v>
      </c>
      <c r="W1478" s="4">
        <f>IF(ISERROR(VLOOKUP($T$1478,'TAR FIN'!$A$1:$O$113,15,0)),0,VLOOKUP($T$1478,'TAR FIN'!$A$1:$O$113,15,0))</f>
        <v>497.52</v>
      </c>
      <c r="X1478" s="4">
        <f>IF(ISERROR(VLOOKUP($U$1478,'TAR FIN'!$A$1:$O$113,15,0)),0,VLOOKUP($U$1478,'TAR FIN'!$A$1:$O$113,15,0))</f>
        <v>195.63</v>
      </c>
      <c r="Y1478" s="4"/>
      <c r="Z1478" s="4">
        <f ca="1">('TUSD BE'!$AM$51+'TUSD BF'!$AM$51+'TUSD CVA'!$AM$51)*(1-CUSTOS!$M$38)</f>
        <v>628.38817282981779</v>
      </c>
      <c r="AA1478" s="4">
        <f>('TE BE'!$AA$30+'TE BF'!$AA$30+'TE CVA'!$AA$30)*(1-CUSTOS!$M$38)</f>
        <v>209.7568810332202</v>
      </c>
      <c r="AB1478" s="4">
        <f>$K$1478*$V$1478</f>
        <v>0</v>
      </c>
      <c r="AC1478" s="4">
        <f>$M$1478*$W$1478</f>
        <v>37.314</v>
      </c>
      <c r="AD1478" s="4">
        <f>$O$1478*$X$1478</f>
        <v>14.672249999999998</v>
      </c>
      <c r="AE1478" s="4">
        <f>$K$1478*$Y$1478</f>
        <v>0</v>
      </c>
      <c r="AF1478" s="4">
        <f ca="1">$M$1478*$Z$1478</f>
        <v>47.129112962236334</v>
      </c>
      <c r="AG1478" s="4">
        <f>$O$1478*$AA$1478</f>
        <v>15.731766077491514</v>
      </c>
    </row>
    <row r="1479" spans="1:33" ht="11.25" customHeight="1" x14ac:dyDescent="0.25">
      <c r="A1479" s="3" t="s">
        <v>21</v>
      </c>
      <c r="B1479" s="3" t="s">
        <v>44</v>
      </c>
      <c r="C1479" s="3" t="s">
        <v>33</v>
      </c>
      <c r="D1479" s="3" t="s">
        <v>45</v>
      </c>
      <c r="E1479" s="3" t="s">
        <v>53</v>
      </c>
      <c r="F1479" s="3" t="s">
        <v>54</v>
      </c>
      <c r="G1479" s="3" t="s">
        <v>25</v>
      </c>
      <c r="H1479" s="3" t="s">
        <v>36</v>
      </c>
      <c r="I1479" s="6">
        <v>44531</v>
      </c>
      <c r="J1479" s="4">
        <v>0</v>
      </c>
      <c r="K1479" s="4">
        <v>0</v>
      </c>
      <c r="L1479" s="4">
        <v>0.17499999999999999</v>
      </c>
      <c r="M1479" s="4">
        <v>0.17499999999999999</v>
      </c>
      <c r="N1479" s="4">
        <v>0.17499999999999999</v>
      </c>
      <c r="O1479" s="4">
        <v>0.17499999999999999</v>
      </c>
      <c r="P1479" s="4">
        <v>0</v>
      </c>
      <c r="Q1479" s="3" t="s">
        <v>26</v>
      </c>
      <c r="R1479" s="3">
        <v>0</v>
      </c>
      <c r="S1479" s="4">
        <v>0</v>
      </c>
      <c r="T1479" s="4">
        <v>52</v>
      </c>
      <c r="U1479" s="4">
        <v>70</v>
      </c>
      <c r="V1479" s="4">
        <f>IF(ISERROR(VLOOKUP($S$1479,'TAR FIN'!$A$1:$O$113,15,0)),0,VLOOKUP($S$1479,'TAR FIN'!$A$1:$O$113,15,0))</f>
        <v>0</v>
      </c>
      <c r="W1479" s="4">
        <f>IF(ISERROR(VLOOKUP($T$1479,'TAR FIN'!$A$1:$O$113,15,0)),0,VLOOKUP($T$1479,'TAR FIN'!$A$1:$O$113,15,0))</f>
        <v>497.52</v>
      </c>
      <c r="X1479" s="4">
        <f>IF(ISERROR(VLOOKUP($U$1479,'TAR FIN'!$A$1:$O$113,15,0)),0,VLOOKUP($U$1479,'TAR FIN'!$A$1:$O$113,15,0))</f>
        <v>195.63</v>
      </c>
      <c r="Y1479" s="4"/>
      <c r="Z1479" s="4">
        <f ca="1">('TUSD BE'!$AM$51+'TUSD BF'!$AM$51+'TUSD CVA'!$AM$51)*(1-CUSTOS!$M$38)</f>
        <v>628.38817282981779</v>
      </c>
      <c r="AA1479" s="4">
        <f>('TE BE'!$AA$30+'TE BF'!$AA$30+'TE CVA'!$AA$30)*(1-CUSTOS!$M$38)</f>
        <v>209.7568810332202</v>
      </c>
      <c r="AB1479" s="4">
        <f>$K$1479*$V$1479</f>
        <v>0</v>
      </c>
      <c r="AC1479" s="4">
        <f>$M$1479*$W$1479</f>
        <v>87.065999999999988</v>
      </c>
      <c r="AD1479" s="4">
        <f>$O$1479*$X$1479</f>
        <v>34.235249999999994</v>
      </c>
      <c r="AE1479" s="4">
        <f>$K$1479*$Y$1479</f>
        <v>0</v>
      </c>
      <c r="AF1479" s="4">
        <f ca="1">$M$1479*$Z$1479</f>
        <v>109.96793024521811</v>
      </c>
      <c r="AG1479" s="4">
        <f>$O$1479*$AA$1479</f>
        <v>36.707454180813535</v>
      </c>
    </row>
    <row r="1480" spans="1:33" ht="11.25" customHeight="1" x14ac:dyDescent="0.25">
      <c r="A1480" s="3" t="s">
        <v>21</v>
      </c>
      <c r="B1480" s="3" t="s">
        <v>44</v>
      </c>
      <c r="C1480" s="3" t="s">
        <v>33</v>
      </c>
      <c r="D1480" s="3" t="s">
        <v>45</v>
      </c>
      <c r="E1480" s="3" t="s">
        <v>53</v>
      </c>
      <c r="F1480" s="3" t="s">
        <v>54</v>
      </c>
      <c r="G1480" s="3" t="s">
        <v>25</v>
      </c>
      <c r="H1480" s="3" t="s">
        <v>36</v>
      </c>
      <c r="I1480" s="6">
        <v>44562</v>
      </c>
      <c r="J1480" s="4">
        <v>0</v>
      </c>
      <c r="K1480" s="4">
        <v>0</v>
      </c>
      <c r="L1480" s="4">
        <v>0.02</v>
      </c>
      <c r="M1480" s="4">
        <v>0.02</v>
      </c>
      <c r="N1480" s="4">
        <v>0.02</v>
      </c>
      <c r="O1480" s="4">
        <v>0.02</v>
      </c>
      <c r="P1480" s="4">
        <v>0</v>
      </c>
      <c r="Q1480" s="3" t="s">
        <v>26</v>
      </c>
      <c r="R1480" s="3">
        <v>0</v>
      </c>
      <c r="S1480" s="4">
        <v>0</v>
      </c>
      <c r="T1480" s="4">
        <v>52</v>
      </c>
      <c r="U1480" s="4">
        <v>70</v>
      </c>
      <c r="V1480" s="4">
        <f>IF(ISERROR(VLOOKUP($S$1480,'TAR FIN'!$A$1:$O$113,15,0)),0,VLOOKUP($S$1480,'TAR FIN'!$A$1:$O$113,15,0))</f>
        <v>0</v>
      </c>
      <c r="W1480" s="4">
        <f>IF(ISERROR(VLOOKUP($T$1480,'TAR FIN'!$A$1:$O$113,15,0)),0,VLOOKUP($T$1480,'TAR FIN'!$A$1:$O$113,15,0))</f>
        <v>497.52</v>
      </c>
      <c r="X1480" s="4">
        <f>IF(ISERROR(VLOOKUP($U$1480,'TAR FIN'!$A$1:$O$113,15,0)),0,VLOOKUP($U$1480,'TAR FIN'!$A$1:$O$113,15,0))</f>
        <v>195.63</v>
      </c>
      <c r="Y1480" s="4"/>
      <c r="Z1480" s="4">
        <f ca="1">('TUSD BE'!$AM$51+'TUSD BF'!$AM$51+'TUSD CVA'!$AM$51)*(1-CUSTOS!$M$38)</f>
        <v>628.38817282981779</v>
      </c>
      <c r="AA1480" s="4">
        <f>('TE BE'!$AA$30+'TE BF'!$AA$30+'TE CVA'!$AA$30)*(1-CUSTOS!$M$38)</f>
        <v>209.7568810332202</v>
      </c>
      <c r="AB1480" s="4">
        <f>$K$1480*$V$1480</f>
        <v>0</v>
      </c>
      <c r="AC1480" s="4">
        <f>$M$1480*$W$1480</f>
        <v>9.9504000000000001</v>
      </c>
      <c r="AD1480" s="4">
        <f>$O$1480*$X$1480</f>
        <v>3.9125999999999999</v>
      </c>
      <c r="AE1480" s="4">
        <f>$K$1480*$Y$1480</f>
        <v>0</v>
      </c>
      <c r="AF1480" s="4">
        <f ca="1">$M$1480*$Z$1480</f>
        <v>12.567763456596357</v>
      </c>
      <c r="AG1480" s="4">
        <f>$O$1480*$AA$1480</f>
        <v>4.1951376206644042</v>
      </c>
    </row>
    <row r="1481" spans="1:33" ht="11.25" customHeight="1" x14ac:dyDescent="0.25">
      <c r="A1481" s="3" t="s">
        <v>21</v>
      </c>
      <c r="B1481" s="3" t="s">
        <v>44</v>
      </c>
      <c r="C1481" s="3" t="s">
        <v>33</v>
      </c>
      <c r="D1481" s="3" t="s">
        <v>45</v>
      </c>
      <c r="E1481" s="3" t="s">
        <v>53</v>
      </c>
      <c r="F1481" s="3" t="s">
        <v>54</v>
      </c>
      <c r="G1481" s="3" t="s">
        <v>25</v>
      </c>
      <c r="H1481" s="3" t="s">
        <v>34</v>
      </c>
      <c r="I1481" s="6">
        <v>44531</v>
      </c>
      <c r="J1481" s="4">
        <v>0</v>
      </c>
      <c r="K1481" s="4">
        <v>0</v>
      </c>
      <c r="L1481" s="4">
        <v>0.04</v>
      </c>
      <c r="M1481" s="4">
        <v>0.04</v>
      </c>
      <c r="N1481" s="4">
        <v>0.04</v>
      </c>
      <c r="O1481" s="4">
        <v>0.04</v>
      </c>
      <c r="P1481" s="4">
        <v>0</v>
      </c>
      <c r="Q1481" s="3" t="s">
        <v>26</v>
      </c>
      <c r="R1481" s="3">
        <v>0</v>
      </c>
      <c r="S1481" s="4">
        <v>0</v>
      </c>
      <c r="T1481" s="4">
        <v>51</v>
      </c>
      <c r="U1481" s="4">
        <v>69</v>
      </c>
      <c r="V1481" s="4">
        <f>IF(ISERROR(VLOOKUP($S$1481,'TAR FIN'!$A$1:$O$113,15,0)),0,VLOOKUP($S$1481,'TAR FIN'!$A$1:$O$113,15,0))</f>
        <v>0</v>
      </c>
      <c r="W1481" s="4">
        <f>IF(ISERROR(VLOOKUP($T$1481,'TAR FIN'!$A$1:$O$113,15,0)),0,VLOOKUP($T$1481,'TAR FIN'!$A$1:$O$113,15,0))</f>
        <v>786.82</v>
      </c>
      <c r="X1481" s="4">
        <f>IF(ISERROR(VLOOKUP($U$1481,'TAR FIN'!$A$1:$O$113,15,0)),0,VLOOKUP($U$1481,'TAR FIN'!$A$1:$O$113,15,0))</f>
        <v>321.64</v>
      </c>
      <c r="Y1481" s="4"/>
      <c r="Z1481" s="4">
        <f ca="1">('TUSD BE'!$AM$50+'TUSD BF'!$AM$50+'TUSD CVA'!$AM$50)*(1-CUSTOS!$M$38)</f>
        <v>991.25918961691207</v>
      </c>
      <c r="AA1481" s="4">
        <f>('TE BE'!$AA$29+'TE BF'!$AA$29+'TE CVA'!$AA$29)*(1-CUSTOS!$M$38)</f>
        <v>339.85712613306845</v>
      </c>
      <c r="AB1481" s="4">
        <f>$K$1481*$V$1481</f>
        <v>0</v>
      </c>
      <c r="AC1481" s="4">
        <f>$M$1481*$W$1481</f>
        <v>31.472800000000003</v>
      </c>
      <c r="AD1481" s="4">
        <f>$O$1481*$X$1481</f>
        <v>12.865600000000001</v>
      </c>
      <c r="AE1481" s="4">
        <f>$K$1481*$Y$1481</f>
        <v>0</v>
      </c>
      <c r="AF1481" s="4">
        <f ca="1">$M$1481*$Z$1481</f>
        <v>39.650367584676481</v>
      </c>
      <c r="AG1481" s="4">
        <f>$O$1481*$AA$1481</f>
        <v>13.594285045322739</v>
      </c>
    </row>
    <row r="1482" spans="1:33" ht="11.25" customHeight="1" x14ac:dyDescent="0.25">
      <c r="A1482" s="3" t="s">
        <v>21</v>
      </c>
      <c r="B1482" s="3" t="s">
        <v>44</v>
      </c>
      <c r="C1482" s="3" t="s">
        <v>33</v>
      </c>
      <c r="D1482" s="3" t="s">
        <v>45</v>
      </c>
      <c r="E1482" s="3" t="s">
        <v>53</v>
      </c>
      <c r="F1482" s="3" t="s">
        <v>54</v>
      </c>
      <c r="G1482" s="3" t="s">
        <v>25</v>
      </c>
      <c r="H1482" s="3" t="s">
        <v>34</v>
      </c>
      <c r="I1482" s="6">
        <v>44562</v>
      </c>
      <c r="J1482" s="4">
        <v>0</v>
      </c>
      <c r="K1482" s="4">
        <v>0</v>
      </c>
      <c r="L1482" s="4">
        <v>0.04</v>
      </c>
      <c r="M1482" s="4">
        <v>0.04</v>
      </c>
      <c r="N1482" s="4">
        <v>0.04</v>
      </c>
      <c r="O1482" s="4">
        <v>0.04</v>
      </c>
      <c r="P1482" s="4">
        <v>0</v>
      </c>
      <c r="Q1482" s="3" t="s">
        <v>26</v>
      </c>
      <c r="R1482" s="3">
        <v>0</v>
      </c>
      <c r="S1482" s="4">
        <v>0</v>
      </c>
      <c r="T1482" s="4">
        <v>51</v>
      </c>
      <c r="U1482" s="4">
        <v>69</v>
      </c>
      <c r="V1482" s="4">
        <f>IF(ISERROR(VLOOKUP($S$1482,'TAR FIN'!$A$1:$O$113,15,0)),0,VLOOKUP($S$1482,'TAR FIN'!$A$1:$O$113,15,0))</f>
        <v>0</v>
      </c>
      <c r="W1482" s="4">
        <f>IF(ISERROR(VLOOKUP($T$1482,'TAR FIN'!$A$1:$O$113,15,0)),0,VLOOKUP($T$1482,'TAR FIN'!$A$1:$O$113,15,0))</f>
        <v>786.82</v>
      </c>
      <c r="X1482" s="4">
        <f>IF(ISERROR(VLOOKUP($U$1482,'TAR FIN'!$A$1:$O$113,15,0)),0,VLOOKUP($U$1482,'TAR FIN'!$A$1:$O$113,15,0))</f>
        <v>321.64</v>
      </c>
      <c r="Y1482" s="4"/>
      <c r="Z1482" s="4">
        <f ca="1">('TUSD BE'!$AM$50+'TUSD BF'!$AM$50+'TUSD CVA'!$AM$50)*(1-CUSTOS!$M$38)</f>
        <v>991.25918961691207</v>
      </c>
      <c r="AA1482" s="4">
        <f>('TE BE'!$AA$29+'TE BF'!$AA$29+'TE CVA'!$AA$29)*(1-CUSTOS!$M$38)</f>
        <v>339.85712613306845</v>
      </c>
      <c r="AB1482" s="4">
        <f>$K$1482*$V$1482</f>
        <v>0</v>
      </c>
      <c r="AC1482" s="4">
        <f>$M$1482*$W$1482</f>
        <v>31.472800000000003</v>
      </c>
      <c r="AD1482" s="4">
        <f>$O$1482*$X$1482</f>
        <v>12.865600000000001</v>
      </c>
      <c r="AE1482" s="4">
        <f>$K$1482*$Y$1482</f>
        <v>0</v>
      </c>
      <c r="AF1482" s="4">
        <f ca="1">$M$1482*$Z$1482</f>
        <v>39.650367584676481</v>
      </c>
      <c r="AG1482" s="4">
        <f>$O$1482*$AA$1482</f>
        <v>13.594285045322739</v>
      </c>
    </row>
    <row r="1483" spans="1:33" ht="11.25" customHeight="1" x14ac:dyDescent="0.25">
      <c r="A1483" s="3" t="s">
        <v>21</v>
      </c>
      <c r="B1483" s="3" t="s">
        <v>44</v>
      </c>
      <c r="C1483" s="3" t="s">
        <v>33</v>
      </c>
      <c r="D1483" s="3" t="s">
        <v>45</v>
      </c>
      <c r="E1483" s="3" t="s">
        <v>53</v>
      </c>
      <c r="F1483" s="3" t="s">
        <v>55</v>
      </c>
      <c r="G1483" s="3" t="s">
        <v>25</v>
      </c>
      <c r="H1483" s="3" t="s">
        <v>35</v>
      </c>
      <c r="I1483" s="6">
        <v>44593</v>
      </c>
      <c r="J1483" s="4">
        <v>0</v>
      </c>
      <c r="K1483" s="4">
        <v>0</v>
      </c>
      <c r="L1483" s="4">
        <v>42.04</v>
      </c>
      <c r="M1483" s="4">
        <v>4.2039999999999997</v>
      </c>
      <c r="N1483" s="4">
        <v>42.04</v>
      </c>
      <c r="O1483" s="4">
        <v>4.2039999999999997</v>
      </c>
      <c r="P1483" s="4">
        <v>0</v>
      </c>
      <c r="Q1483" s="3" t="s">
        <v>26</v>
      </c>
      <c r="R1483" s="3">
        <v>0</v>
      </c>
      <c r="S1483" s="4">
        <v>0</v>
      </c>
      <c r="T1483" s="4">
        <v>33</v>
      </c>
      <c r="U1483" s="4">
        <v>71</v>
      </c>
      <c r="V1483" s="4">
        <f>IF(ISERROR(VLOOKUP($S$1483,'TAR FIN'!$A$1:$O$113,15,0)),0,VLOOKUP($S$1483,'TAR FIN'!$A$1:$O$113,15,0))</f>
        <v>0</v>
      </c>
      <c r="W1483" s="4">
        <f>IF(ISERROR(VLOOKUP($T$1483,'TAR FIN'!$A$1:$O$113,15,0)),0,VLOOKUP($T$1483,'TAR FIN'!$A$1:$O$113,15,0))</f>
        <v>208.22</v>
      </c>
      <c r="X1483" s="4">
        <f>IF(ISERROR(VLOOKUP($U$1483,'TAR FIN'!$A$1:$O$113,15,0)),0,VLOOKUP($U$1483,'TAR FIN'!$A$1:$O$113,15,0))</f>
        <v>195.63</v>
      </c>
      <c r="Y1483" s="4"/>
      <c r="Z1483" s="4">
        <f ca="1">('TUSD BE'!$AM$52+'TUSD BF'!$AM$52+'TUSD CVA'!$AM$52)*(1-CUSTOS!$M$38)</f>
        <v>265.51673209278465</v>
      </c>
      <c r="AA1483" s="4">
        <f>('TE BE'!$AA$31+'TE BF'!$AA$31+'TE CVA'!$AA$31)*(1-CUSTOS!$M$38)</f>
        <v>209.7568810332202</v>
      </c>
      <c r="AB1483" s="4">
        <f>$K$1483*$V$1483</f>
        <v>0</v>
      </c>
      <c r="AC1483" s="4">
        <f>$M$1483*$W$1483</f>
        <v>875.35687999999993</v>
      </c>
      <c r="AD1483" s="4">
        <f>$O$1483*$X$1483</f>
        <v>822.42851999999993</v>
      </c>
      <c r="AE1483" s="4">
        <f>$K$1483*$Y$1483</f>
        <v>0</v>
      </c>
      <c r="AF1483" s="4">
        <f ca="1">$M$1483*$Z$1483</f>
        <v>1116.2323417180667</v>
      </c>
      <c r="AG1483" s="4">
        <f>$O$1483*$AA$1483</f>
        <v>881.8179278636577</v>
      </c>
    </row>
    <row r="1484" spans="1:33" ht="11.25" customHeight="1" x14ac:dyDescent="0.25">
      <c r="A1484" s="3" t="s">
        <v>27</v>
      </c>
      <c r="B1484" s="3" t="s">
        <v>44</v>
      </c>
      <c r="C1484" s="3" t="s">
        <v>33</v>
      </c>
      <c r="D1484" s="3" t="s">
        <v>45</v>
      </c>
      <c r="E1484" s="3" t="s">
        <v>53</v>
      </c>
      <c r="F1484" s="3" t="s">
        <v>55</v>
      </c>
      <c r="G1484" s="3" t="s">
        <v>25</v>
      </c>
      <c r="H1484" s="3" t="s">
        <v>35</v>
      </c>
      <c r="I1484" s="6">
        <v>44593</v>
      </c>
      <c r="J1484" s="4">
        <v>0</v>
      </c>
      <c r="K1484" s="4">
        <v>0</v>
      </c>
      <c r="L1484" s="4">
        <v>36.64</v>
      </c>
      <c r="M1484" s="4">
        <v>36.64</v>
      </c>
      <c r="N1484" s="4">
        <v>36.64</v>
      </c>
      <c r="O1484" s="4">
        <v>36.64</v>
      </c>
      <c r="P1484" s="4">
        <v>0</v>
      </c>
      <c r="Q1484" s="3" t="s">
        <v>26</v>
      </c>
      <c r="R1484" s="3">
        <v>0</v>
      </c>
      <c r="S1484" s="4">
        <v>0</v>
      </c>
      <c r="T1484" s="4">
        <v>33</v>
      </c>
      <c r="U1484" s="4">
        <v>71</v>
      </c>
      <c r="V1484" s="4">
        <f>IF(ISERROR(VLOOKUP($S$1484,'TAR FIN'!$A$1:$O$113,15,0)),0,VLOOKUP($S$1484,'TAR FIN'!$A$1:$O$113,15,0))</f>
        <v>0</v>
      </c>
      <c r="W1484" s="4">
        <f>IF(ISERROR(VLOOKUP($T$1484,'TAR FIN'!$A$1:$O$113,15,0)),0,VLOOKUP($T$1484,'TAR FIN'!$A$1:$O$113,15,0))</f>
        <v>208.22</v>
      </c>
      <c r="X1484" s="4">
        <f>IF(ISERROR(VLOOKUP($U$1484,'TAR FIN'!$A$1:$O$113,15,0)),0,VLOOKUP($U$1484,'TAR FIN'!$A$1:$O$113,15,0))</f>
        <v>195.63</v>
      </c>
      <c r="Y1484" s="4"/>
      <c r="Z1484" s="4">
        <f ca="1">('TUSD BE'!$AM$52+'TUSD BF'!$AM$52+'TUSD CVA'!$AM$52)*(1-CUSTOS!$M$38)</f>
        <v>265.51673209278465</v>
      </c>
      <c r="AA1484" s="4">
        <f>('TE BE'!$AA$31+'TE BF'!$AA$31+'TE CVA'!$AA$31)*(1-CUSTOS!$M$38)</f>
        <v>209.7568810332202</v>
      </c>
      <c r="AB1484" s="4">
        <f>$K$1484*$V$1484</f>
        <v>0</v>
      </c>
      <c r="AC1484" s="4">
        <f>$M$1484*$W$1484</f>
        <v>7629.1808000000001</v>
      </c>
      <c r="AD1484" s="4">
        <f>$O$1484*$X$1484</f>
        <v>7167.8832000000002</v>
      </c>
      <c r="AE1484" s="4">
        <f>$K$1484*$Y$1484</f>
        <v>0</v>
      </c>
      <c r="AF1484" s="4">
        <f ca="1">$M$1484*$Z$1484</f>
        <v>9728.5330638796295</v>
      </c>
      <c r="AG1484" s="4">
        <f>$O$1484*$AA$1484</f>
        <v>7685.4921210571883</v>
      </c>
    </row>
    <row r="1485" spans="1:33" ht="11.25" customHeight="1" x14ac:dyDescent="0.25">
      <c r="A1485" s="3" t="s">
        <v>56</v>
      </c>
      <c r="B1485" s="3" t="s">
        <v>44</v>
      </c>
      <c r="C1485" s="3" t="s">
        <v>33</v>
      </c>
      <c r="D1485" s="3" t="s">
        <v>45</v>
      </c>
      <c r="E1485" s="3" t="s">
        <v>53</v>
      </c>
      <c r="F1485" s="3" t="s">
        <v>55</v>
      </c>
      <c r="G1485" s="3" t="s">
        <v>25</v>
      </c>
      <c r="H1485" s="3" t="s">
        <v>35</v>
      </c>
      <c r="I1485" s="6">
        <v>44621</v>
      </c>
      <c r="J1485" s="4">
        <v>0</v>
      </c>
      <c r="K1485" s="4">
        <v>0</v>
      </c>
      <c r="L1485" s="4">
        <v>42.04</v>
      </c>
      <c r="M1485" s="4">
        <v>4.2039999999999997</v>
      </c>
      <c r="N1485" s="4">
        <v>42.04</v>
      </c>
      <c r="O1485" s="4">
        <v>4.2039999999999997</v>
      </c>
      <c r="P1485" s="4">
        <v>0</v>
      </c>
      <c r="Q1485" s="3" t="s">
        <v>26</v>
      </c>
      <c r="R1485" s="3">
        <v>0</v>
      </c>
      <c r="S1485" s="4">
        <v>0</v>
      </c>
      <c r="T1485" s="4">
        <v>33</v>
      </c>
      <c r="U1485" s="4">
        <v>71</v>
      </c>
      <c r="V1485" s="4">
        <f>IF(ISERROR(VLOOKUP($S$1485,'TAR FIN'!$A$1:$O$113,15,0)),0,VLOOKUP($S$1485,'TAR FIN'!$A$1:$O$113,15,0))</f>
        <v>0</v>
      </c>
      <c r="W1485" s="4">
        <f>IF(ISERROR(VLOOKUP($T$1485,'TAR FIN'!$A$1:$O$113,15,0)),0,VLOOKUP($T$1485,'TAR FIN'!$A$1:$O$113,15,0))</f>
        <v>208.22</v>
      </c>
      <c r="X1485" s="4">
        <f>IF(ISERROR(VLOOKUP($U$1485,'TAR FIN'!$A$1:$O$113,15,0)),0,VLOOKUP($U$1485,'TAR FIN'!$A$1:$O$113,15,0))</f>
        <v>195.63</v>
      </c>
      <c r="Y1485" s="4"/>
      <c r="Z1485" s="4">
        <f ca="1">('TUSD BE'!$AM$52+'TUSD BF'!$AM$52+'TUSD CVA'!$AM$52)*(1-CUSTOS!$M$38)</f>
        <v>265.51673209278465</v>
      </c>
      <c r="AA1485" s="4">
        <f>('TE BE'!$AA$31+'TE BF'!$AA$31+'TE CVA'!$AA$31)*(1-CUSTOS!$M$38)</f>
        <v>209.7568810332202</v>
      </c>
      <c r="AB1485" s="4">
        <f>$K$1485*$V$1485</f>
        <v>0</v>
      </c>
      <c r="AC1485" s="4">
        <f>$M$1485*$W$1485</f>
        <v>875.35687999999993</v>
      </c>
      <c r="AD1485" s="4">
        <f>$O$1485*$X$1485</f>
        <v>822.42851999999993</v>
      </c>
      <c r="AE1485" s="4">
        <f>$K$1485*$Y$1485</f>
        <v>0</v>
      </c>
      <c r="AF1485" s="4">
        <f ca="1">$M$1485*$Z$1485</f>
        <v>1116.2323417180667</v>
      </c>
      <c r="AG1485" s="4">
        <f>$O$1485*$AA$1485</f>
        <v>881.8179278636577</v>
      </c>
    </row>
    <row r="1486" spans="1:33" ht="11.25" customHeight="1" x14ac:dyDescent="0.25">
      <c r="A1486" s="3" t="s">
        <v>56</v>
      </c>
      <c r="B1486" s="3" t="s">
        <v>44</v>
      </c>
      <c r="C1486" s="3" t="s">
        <v>33</v>
      </c>
      <c r="D1486" s="3" t="s">
        <v>45</v>
      </c>
      <c r="E1486" s="3" t="s">
        <v>53</v>
      </c>
      <c r="F1486" s="3" t="s">
        <v>55</v>
      </c>
      <c r="G1486" s="3" t="s">
        <v>25</v>
      </c>
      <c r="H1486" s="3" t="s">
        <v>35</v>
      </c>
      <c r="I1486" s="6">
        <v>44621</v>
      </c>
      <c r="J1486" s="4">
        <v>0</v>
      </c>
      <c r="K1486" s="4">
        <v>0</v>
      </c>
      <c r="L1486" s="4">
        <v>36.64</v>
      </c>
      <c r="M1486" s="4">
        <v>36.64</v>
      </c>
      <c r="N1486" s="4">
        <v>36.64</v>
      </c>
      <c r="O1486" s="4">
        <v>36.64</v>
      </c>
      <c r="P1486" s="4">
        <v>0</v>
      </c>
      <c r="Q1486" s="3" t="s">
        <v>26</v>
      </c>
      <c r="R1486" s="3">
        <v>0</v>
      </c>
      <c r="S1486" s="4">
        <v>0</v>
      </c>
      <c r="T1486" s="4">
        <v>33</v>
      </c>
      <c r="U1486" s="4">
        <v>71</v>
      </c>
      <c r="V1486" s="4">
        <f>IF(ISERROR(VLOOKUP($S$1486,'TAR FIN'!$A$1:$O$113,15,0)),0,VLOOKUP($S$1486,'TAR FIN'!$A$1:$O$113,15,0))</f>
        <v>0</v>
      </c>
      <c r="W1486" s="4">
        <f>IF(ISERROR(VLOOKUP($T$1486,'TAR FIN'!$A$1:$O$113,15,0)),0,VLOOKUP($T$1486,'TAR FIN'!$A$1:$O$113,15,0))</f>
        <v>208.22</v>
      </c>
      <c r="X1486" s="4">
        <f>IF(ISERROR(VLOOKUP($U$1486,'TAR FIN'!$A$1:$O$113,15,0)),0,VLOOKUP($U$1486,'TAR FIN'!$A$1:$O$113,15,0))</f>
        <v>195.63</v>
      </c>
      <c r="Y1486" s="4"/>
      <c r="Z1486" s="4">
        <f ca="1">('TUSD BE'!$AM$52+'TUSD BF'!$AM$52+'TUSD CVA'!$AM$52)*(1-CUSTOS!$M$38)</f>
        <v>265.51673209278465</v>
      </c>
      <c r="AA1486" s="4">
        <f>('TE BE'!$AA$31+'TE BF'!$AA$31+'TE CVA'!$AA$31)*(1-CUSTOS!$M$38)</f>
        <v>209.7568810332202</v>
      </c>
      <c r="AB1486" s="4">
        <f>$K$1486*$V$1486</f>
        <v>0</v>
      </c>
      <c r="AC1486" s="4">
        <f>$M$1486*$W$1486</f>
        <v>7629.1808000000001</v>
      </c>
      <c r="AD1486" s="4">
        <f>$O$1486*$X$1486</f>
        <v>7167.8832000000002</v>
      </c>
      <c r="AE1486" s="4">
        <f>$K$1486*$Y$1486</f>
        <v>0</v>
      </c>
      <c r="AF1486" s="4">
        <f ca="1">$M$1486*$Z$1486</f>
        <v>9728.5330638796295</v>
      </c>
      <c r="AG1486" s="4">
        <f>$O$1486*$AA$1486</f>
        <v>7685.4921210571883</v>
      </c>
    </row>
    <row r="1487" spans="1:33" ht="11.25" customHeight="1" x14ac:dyDescent="0.25">
      <c r="A1487" s="3" t="s">
        <v>21</v>
      </c>
      <c r="B1487" s="3" t="s">
        <v>44</v>
      </c>
      <c r="C1487" s="3" t="s">
        <v>33</v>
      </c>
      <c r="D1487" s="3" t="s">
        <v>45</v>
      </c>
      <c r="E1487" s="3" t="s">
        <v>25</v>
      </c>
      <c r="F1487" s="3" t="s">
        <v>25</v>
      </c>
      <c r="G1487" s="3" t="s">
        <v>25</v>
      </c>
      <c r="H1487" s="3" t="s">
        <v>35</v>
      </c>
      <c r="I1487" s="6">
        <v>44287</v>
      </c>
      <c r="J1487" s="4">
        <v>0</v>
      </c>
      <c r="K1487" s="4">
        <v>0</v>
      </c>
      <c r="L1487" s="4">
        <v>1.82</v>
      </c>
      <c r="M1487" s="4">
        <v>1.82</v>
      </c>
      <c r="N1487" s="4">
        <v>1.82</v>
      </c>
      <c r="O1487" s="4">
        <v>1.82</v>
      </c>
      <c r="P1487" s="4">
        <v>0</v>
      </c>
      <c r="Q1487" s="3" t="s">
        <v>26</v>
      </c>
      <c r="R1487" s="3">
        <v>0</v>
      </c>
      <c r="S1487" s="4">
        <v>0</v>
      </c>
      <c r="T1487" s="4">
        <v>33</v>
      </c>
      <c r="U1487" s="4">
        <v>71</v>
      </c>
      <c r="V1487" s="4">
        <f>IF(ISERROR(VLOOKUP($S$1487,'TAR FIN'!$A$1:$O$113,15,0)),0,VLOOKUP($S$1487,'TAR FIN'!$A$1:$O$113,15,0))</f>
        <v>0</v>
      </c>
      <c r="W1487" s="4">
        <f>IF(ISERROR(VLOOKUP($T$1487,'TAR FIN'!$A$1:$O$113,15,0)),0,VLOOKUP($T$1487,'TAR FIN'!$A$1:$O$113,15,0))</f>
        <v>208.22</v>
      </c>
      <c r="X1487" s="4">
        <f>IF(ISERROR(VLOOKUP($U$1487,'TAR FIN'!$A$1:$O$113,15,0)),0,VLOOKUP($U$1487,'TAR FIN'!$A$1:$O$113,15,0))</f>
        <v>195.63</v>
      </c>
      <c r="Y1487" s="4"/>
      <c r="Z1487" s="4">
        <f ca="1">('TUSD BE'!$AM$52+'TUSD BF'!$AM$52+'TUSD CVA'!$AM$52)*(1-CUSTOS!$M$38)</f>
        <v>265.51673209278465</v>
      </c>
      <c r="AA1487" s="4">
        <f>('TE BE'!$AA$31+'TE BF'!$AA$31+'TE CVA'!$AA$31)*(1-CUSTOS!$M$38)</f>
        <v>209.7568810332202</v>
      </c>
      <c r="AB1487" s="4">
        <f>$K$1487*$V$1487</f>
        <v>0</v>
      </c>
      <c r="AC1487" s="4">
        <f>$M$1487*$W$1487</f>
        <v>378.96039999999999</v>
      </c>
      <c r="AD1487" s="4">
        <f>$O$1487*$X$1487</f>
        <v>356.04660000000001</v>
      </c>
      <c r="AE1487" s="4">
        <f>$K$1487*$Y$1487</f>
        <v>0</v>
      </c>
      <c r="AF1487" s="4">
        <f ca="1">$M$1487*$Z$1487</f>
        <v>483.24045240886807</v>
      </c>
      <c r="AG1487" s="4">
        <f>$O$1487*$AA$1487</f>
        <v>381.75752348046075</v>
      </c>
    </row>
    <row r="1488" spans="1:33" ht="11.25" customHeight="1" x14ac:dyDescent="0.25">
      <c r="A1488" s="3" t="s">
        <v>21</v>
      </c>
      <c r="B1488" s="3" t="s">
        <v>44</v>
      </c>
      <c r="C1488" s="3" t="s">
        <v>33</v>
      </c>
      <c r="D1488" s="3" t="s">
        <v>45</v>
      </c>
      <c r="E1488" s="3" t="s">
        <v>25</v>
      </c>
      <c r="F1488" s="3" t="s">
        <v>25</v>
      </c>
      <c r="G1488" s="3" t="s">
        <v>25</v>
      </c>
      <c r="H1488" s="3" t="s">
        <v>35</v>
      </c>
      <c r="I1488" s="6">
        <v>44317</v>
      </c>
      <c r="J1488" s="4">
        <v>0</v>
      </c>
      <c r="K1488" s="4">
        <v>0</v>
      </c>
      <c r="L1488" s="4">
        <v>0.80300000000000005</v>
      </c>
      <c r="M1488" s="4">
        <v>0.80300000000000005</v>
      </c>
      <c r="N1488" s="4">
        <v>0.80300000000000005</v>
      </c>
      <c r="O1488" s="4">
        <v>0.80300000000000005</v>
      </c>
      <c r="P1488" s="4">
        <v>0</v>
      </c>
      <c r="Q1488" s="3" t="s">
        <v>26</v>
      </c>
      <c r="R1488" s="3">
        <v>0</v>
      </c>
      <c r="S1488" s="4">
        <v>0</v>
      </c>
      <c r="T1488" s="4">
        <v>33</v>
      </c>
      <c r="U1488" s="4">
        <v>71</v>
      </c>
      <c r="V1488" s="4">
        <f>IF(ISERROR(VLOOKUP($S$1488,'TAR FIN'!$A$1:$O$113,15,0)),0,VLOOKUP($S$1488,'TAR FIN'!$A$1:$O$113,15,0))</f>
        <v>0</v>
      </c>
      <c r="W1488" s="4">
        <f>IF(ISERROR(VLOOKUP($T$1488,'TAR FIN'!$A$1:$O$113,15,0)),0,VLOOKUP($T$1488,'TAR FIN'!$A$1:$O$113,15,0))</f>
        <v>208.22</v>
      </c>
      <c r="X1488" s="4">
        <f>IF(ISERROR(VLOOKUP($U$1488,'TAR FIN'!$A$1:$O$113,15,0)),0,VLOOKUP($U$1488,'TAR FIN'!$A$1:$O$113,15,0))</f>
        <v>195.63</v>
      </c>
      <c r="Y1488" s="4"/>
      <c r="Z1488" s="4">
        <f ca="1">('TUSD BE'!$AM$52+'TUSD BF'!$AM$52+'TUSD CVA'!$AM$52)*(1-CUSTOS!$M$38)</f>
        <v>265.51673209278465</v>
      </c>
      <c r="AA1488" s="4">
        <f>('TE BE'!$AA$31+'TE BF'!$AA$31+'TE CVA'!$AA$31)*(1-CUSTOS!$M$38)</f>
        <v>209.7568810332202</v>
      </c>
      <c r="AB1488" s="4">
        <f>$K$1488*$V$1488</f>
        <v>0</v>
      </c>
      <c r="AC1488" s="4">
        <f>$M$1488*$W$1488</f>
        <v>167.20066</v>
      </c>
      <c r="AD1488" s="4">
        <f>$O$1488*$X$1488</f>
        <v>157.09089</v>
      </c>
      <c r="AE1488" s="4">
        <f>$K$1488*$Y$1488</f>
        <v>0</v>
      </c>
      <c r="AF1488" s="4">
        <f ca="1">$M$1488*$Z$1488</f>
        <v>213.20993587050609</v>
      </c>
      <c r="AG1488" s="4">
        <f>$O$1488*$AA$1488</f>
        <v>168.43477546967583</v>
      </c>
    </row>
    <row r="1489" spans="1:33" ht="11.25" customHeight="1" x14ac:dyDescent="0.25">
      <c r="A1489" s="3" t="s">
        <v>21</v>
      </c>
      <c r="B1489" s="3" t="s">
        <v>44</v>
      </c>
      <c r="C1489" s="3" t="s">
        <v>33</v>
      </c>
      <c r="D1489" s="3" t="s">
        <v>45</v>
      </c>
      <c r="E1489" s="3" t="s">
        <v>25</v>
      </c>
      <c r="F1489" s="3" t="s">
        <v>25</v>
      </c>
      <c r="G1489" s="3" t="s">
        <v>25</v>
      </c>
      <c r="H1489" s="3" t="s">
        <v>35</v>
      </c>
      <c r="I1489" s="6">
        <v>44348</v>
      </c>
      <c r="J1489" s="4">
        <v>0</v>
      </c>
      <c r="K1489" s="4">
        <v>0</v>
      </c>
      <c r="L1489" s="4">
        <v>0.92800000000000005</v>
      </c>
      <c r="M1489" s="4">
        <v>0.92800000000000005</v>
      </c>
      <c r="N1489" s="4">
        <v>0.92800000000000005</v>
      </c>
      <c r="O1489" s="4">
        <v>0.92800000000000005</v>
      </c>
      <c r="P1489" s="4">
        <v>0</v>
      </c>
      <c r="Q1489" s="3" t="s">
        <v>26</v>
      </c>
      <c r="R1489" s="3">
        <v>0</v>
      </c>
      <c r="S1489" s="4">
        <v>0</v>
      </c>
      <c r="T1489" s="4">
        <v>33</v>
      </c>
      <c r="U1489" s="4">
        <v>71</v>
      </c>
      <c r="V1489" s="4">
        <f>IF(ISERROR(VLOOKUP($S$1489,'TAR FIN'!$A$1:$O$113,15,0)),0,VLOOKUP($S$1489,'TAR FIN'!$A$1:$O$113,15,0))</f>
        <v>0</v>
      </c>
      <c r="W1489" s="4">
        <f>IF(ISERROR(VLOOKUP($T$1489,'TAR FIN'!$A$1:$O$113,15,0)),0,VLOOKUP($T$1489,'TAR FIN'!$A$1:$O$113,15,0))</f>
        <v>208.22</v>
      </c>
      <c r="X1489" s="4">
        <f>IF(ISERROR(VLOOKUP($U$1489,'TAR FIN'!$A$1:$O$113,15,0)),0,VLOOKUP($U$1489,'TAR FIN'!$A$1:$O$113,15,0))</f>
        <v>195.63</v>
      </c>
      <c r="Y1489" s="4"/>
      <c r="Z1489" s="4">
        <f ca="1">('TUSD BE'!$AM$52+'TUSD BF'!$AM$52+'TUSD CVA'!$AM$52)*(1-CUSTOS!$M$38)</f>
        <v>265.51673209278465</v>
      </c>
      <c r="AA1489" s="4">
        <f>('TE BE'!$AA$31+'TE BF'!$AA$31+'TE CVA'!$AA$31)*(1-CUSTOS!$M$38)</f>
        <v>209.7568810332202</v>
      </c>
      <c r="AB1489" s="4">
        <f>$K$1489*$V$1489</f>
        <v>0</v>
      </c>
      <c r="AC1489" s="4">
        <f>$M$1489*$W$1489</f>
        <v>193.22816</v>
      </c>
      <c r="AD1489" s="4">
        <f>$O$1489*$X$1489</f>
        <v>181.54464000000002</v>
      </c>
      <c r="AE1489" s="4">
        <f>$K$1489*$Y$1489</f>
        <v>0</v>
      </c>
      <c r="AF1489" s="4">
        <f ca="1">$M$1489*$Z$1489</f>
        <v>246.39952738210417</v>
      </c>
      <c r="AG1489" s="4">
        <f>$O$1489*$AA$1489</f>
        <v>194.65438559882836</v>
      </c>
    </row>
    <row r="1490" spans="1:33" ht="11.25" customHeight="1" x14ac:dyDescent="0.25">
      <c r="A1490" s="3" t="s">
        <v>21</v>
      </c>
      <c r="B1490" s="3" t="s">
        <v>44</v>
      </c>
      <c r="C1490" s="3" t="s">
        <v>33</v>
      </c>
      <c r="D1490" s="3" t="s">
        <v>45</v>
      </c>
      <c r="E1490" s="3" t="s">
        <v>25</v>
      </c>
      <c r="F1490" s="3" t="s">
        <v>25</v>
      </c>
      <c r="G1490" s="3" t="s">
        <v>25</v>
      </c>
      <c r="H1490" s="3" t="s">
        <v>35</v>
      </c>
      <c r="I1490" s="6">
        <v>44378</v>
      </c>
      <c r="J1490" s="4">
        <v>0</v>
      </c>
      <c r="K1490" s="4">
        <v>0</v>
      </c>
      <c r="L1490" s="4">
        <v>0.55600000000000005</v>
      </c>
      <c r="M1490" s="4">
        <v>0.55600000000000005</v>
      </c>
      <c r="N1490" s="4">
        <v>0.55600000000000005</v>
      </c>
      <c r="O1490" s="4">
        <v>0.55600000000000005</v>
      </c>
      <c r="P1490" s="4">
        <v>0</v>
      </c>
      <c r="Q1490" s="3" t="s">
        <v>26</v>
      </c>
      <c r="R1490" s="3">
        <v>0</v>
      </c>
      <c r="S1490" s="4">
        <v>0</v>
      </c>
      <c r="T1490" s="4">
        <v>33</v>
      </c>
      <c r="U1490" s="4">
        <v>71</v>
      </c>
      <c r="V1490" s="4">
        <f>IF(ISERROR(VLOOKUP($S$1490,'TAR FIN'!$A$1:$O$113,15,0)),0,VLOOKUP($S$1490,'TAR FIN'!$A$1:$O$113,15,0))</f>
        <v>0</v>
      </c>
      <c r="W1490" s="4">
        <f>IF(ISERROR(VLOOKUP($T$1490,'TAR FIN'!$A$1:$O$113,15,0)),0,VLOOKUP($T$1490,'TAR FIN'!$A$1:$O$113,15,0))</f>
        <v>208.22</v>
      </c>
      <c r="X1490" s="4">
        <f>IF(ISERROR(VLOOKUP($U$1490,'TAR FIN'!$A$1:$O$113,15,0)),0,VLOOKUP($U$1490,'TAR FIN'!$A$1:$O$113,15,0))</f>
        <v>195.63</v>
      </c>
      <c r="Y1490" s="4"/>
      <c r="Z1490" s="4">
        <f ca="1">('TUSD BE'!$AM$52+'TUSD BF'!$AM$52+'TUSD CVA'!$AM$52)*(1-CUSTOS!$M$38)</f>
        <v>265.51673209278465</v>
      </c>
      <c r="AA1490" s="4">
        <f>('TE BE'!$AA$31+'TE BF'!$AA$31+'TE CVA'!$AA$31)*(1-CUSTOS!$M$38)</f>
        <v>209.7568810332202</v>
      </c>
      <c r="AB1490" s="4">
        <f>$K$1490*$V$1490</f>
        <v>0</v>
      </c>
      <c r="AC1490" s="4">
        <f>$M$1490*$W$1490</f>
        <v>115.77032000000001</v>
      </c>
      <c r="AD1490" s="4">
        <f>$O$1490*$X$1490</f>
        <v>108.77028000000001</v>
      </c>
      <c r="AE1490" s="4">
        <f>$K$1490*$Y$1490</f>
        <v>0</v>
      </c>
      <c r="AF1490" s="4">
        <f ca="1">$M$1490*$Z$1490</f>
        <v>147.62730304358828</v>
      </c>
      <c r="AG1490" s="4">
        <f>$O$1490*$AA$1490</f>
        <v>116.62482585447044</v>
      </c>
    </row>
    <row r="1491" spans="1:33" ht="11.25" customHeight="1" x14ac:dyDescent="0.25">
      <c r="A1491" s="3" t="s">
        <v>21</v>
      </c>
      <c r="B1491" s="3" t="s">
        <v>44</v>
      </c>
      <c r="C1491" s="3" t="s">
        <v>33</v>
      </c>
      <c r="D1491" s="3" t="s">
        <v>45</v>
      </c>
      <c r="E1491" s="3" t="s">
        <v>25</v>
      </c>
      <c r="F1491" s="3" t="s">
        <v>25</v>
      </c>
      <c r="G1491" s="3" t="s">
        <v>25</v>
      </c>
      <c r="H1491" s="3" t="s">
        <v>35</v>
      </c>
      <c r="I1491" s="6">
        <v>44409</v>
      </c>
      <c r="J1491" s="4">
        <v>0</v>
      </c>
      <c r="K1491" s="4">
        <v>0</v>
      </c>
      <c r="L1491" s="4">
        <v>0.75900000000000001</v>
      </c>
      <c r="M1491" s="4">
        <v>0.75900000000000001</v>
      </c>
      <c r="N1491" s="4">
        <v>0.75900000000000001</v>
      </c>
      <c r="O1491" s="4">
        <v>0.75900000000000001</v>
      </c>
      <c r="P1491" s="4">
        <v>0</v>
      </c>
      <c r="Q1491" s="3" t="s">
        <v>26</v>
      </c>
      <c r="R1491" s="3">
        <v>0</v>
      </c>
      <c r="S1491" s="4">
        <v>0</v>
      </c>
      <c r="T1491" s="4">
        <v>33</v>
      </c>
      <c r="U1491" s="4">
        <v>71</v>
      </c>
      <c r="V1491" s="4">
        <f>IF(ISERROR(VLOOKUP($S$1491,'TAR FIN'!$A$1:$O$113,15,0)),0,VLOOKUP($S$1491,'TAR FIN'!$A$1:$O$113,15,0))</f>
        <v>0</v>
      </c>
      <c r="W1491" s="4">
        <f>IF(ISERROR(VLOOKUP($T$1491,'TAR FIN'!$A$1:$O$113,15,0)),0,VLOOKUP($T$1491,'TAR FIN'!$A$1:$O$113,15,0))</f>
        <v>208.22</v>
      </c>
      <c r="X1491" s="4">
        <f>IF(ISERROR(VLOOKUP($U$1491,'TAR FIN'!$A$1:$O$113,15,0)),0,VLOOKUP($U$1491,'TAR FIN'!$A$1:$O$113,15,0))</f>
        <v>195.63</v>
      </c>
      <c r="Y1491" s="4"/>
      <c r="Z1491" s="4">
        <f ca="1">('TUSD BE'!$AM$52+'TUSD BF'!$AM$52+'TUSD CVA'!$AM$52)*(1-CUSTOS!$M$38)</f>
        <v>265.51673209278465</v>
      </c>
      <c r="AA1491" s="4">
        <f>('TE BE'!$AA$31+'TE BF'!$AA$31+'TE CVA'!$AA$31)*(1-CUSTOS!$M$38)</f>
        <v>209.7568810332202</v>
      </c>
      <c r="AB1491" s="4">
        <f>$K$1491*$V$1491</f>
        <v>0</v>
      </c>
      <c r="AC1491" s="4">
        <f>$M$1491*$W$1491</f>
        <v>158.03898000000001</v>
      </c>
      <c r="AD1491" s="4">
        <f>$O$1491*$X$1491</f>
        <v>148.48317</v>
      </c>
      <c r="AE1491" s="4">
        <f>$K$1491*$Y$1491</f>
        <v>0</v>
      </c>
      <c r="AF1491" s="4">
        <f ca="1">$M$1491*$Z$1491</f>
        <v>201.52719965842354</v>
      </c>
      <c r="AG1491" s="4">
        <f>$O$1491*$AA$1491</f>
        <v>159.20547270421412</v>
      </c>
    </row>
    <row r="1492" spans="1:33" ht="11.25" customHeight="1" x14ac:dyDescent="0.25">
      <c r="A1492" s="3" t="s">
        <v>21</v>
      </c>
      <c r="B1492" s="3" t="s">
        <v>44</v>
      </c>
      <c r="C1492" s="3" t="s">
        <v>33</v>
      </c>
      <c r="D1492" s="3" t="s">
        <v>45</v>
      </c>
      <c r="E1492" s="3" t="s">
        <v>25</v>
      </c>
      <c r="F1492" s="3" t="s">
        <v>25</v>
      </c>
      <c r="G1492" s="3" t="s">
        <v>25</v>
      </c>
      <c r="H1492" s="3" t="s">
        <v>35</v>
      </c>
      <c r="I1492" s="6">
        <v>44440</v>
      </c>
      <c r="J1492" s="4">
        <v>0</v>
      </c>
      <c r="K1492" s="4">
        <v>0</v>
      </c>
      <c r="L1492" s="4">
        <v>1.877</v>
      </c>
      <c r="M1492" s="4">
        <v>1.877</v>
      </c>
      <c r="N1492" s="4">
        <v>1.877</v>
      </c>
      <c r="O1492" s="4">
        <v>1.877</v>
      </c>
      <c r="P1492" s="4">
        <v>0</v>
      </c>
      <c r="Q1492" s="3" t="s">
        <v>26</v>
      </c>
      <c r="R1492" s="3">
        <v>0</v>
      </c>
      <c r="S1492" s="4">
        <v>0</v>
      </c>
      <c r="T1492" s="4">
        <v>33</v>
      </c>
      <c r="U1492" s="4">
        <v>71</v>
      </c>
      <c r="V1492" s="4">
        <f>IF(ISERROR(VLOOKUP($S$1492,'TAR FIN'!$A$1:$O$113,15,0)),0,VLOOKUP($S$1492,'TAR FIN'!$A$1:$O$113,15,0))</f>
        <v>0</v>
      </c>
      <c r="W1492" s="4">
        <f>IF(ISERROR(VLOOKUP($T$1492,'TAR FIN'!$A$1:$O$113,15,0)),0,VLOOKUP($T$1492,'TAR FIN'!$A$1:$O$113,15,0))</f>
        <v>208.22</v>
      </c>
      <c r="X1492" s="4">
        <f>IF(ISERROR(VLOOKUP($U$1492,'TAR FIN'!$A$1:$O$113,15,0)),0,VLOOKUP($U$1492,'TAR FIN'!$A$1:$O$113,15,0))</f>
        <v>195.63</v>
      </c>
      <c r="Y1492" s="4"/>
      <c r="Z1492" s="4">
        <f ca="1">('TUSD BE'!$AM$52+'TUSD BF'!$AM$52+'TUSD CVA'!$AM$52)*(1-CUSTOS!$M$38)</f>
        <v>265.51673209278465</v>
      </c>
      <c r="AA1492" s="4">
        <f>('TE BE'!$AA$31+'TE BF'!$AA$31+'TE CVA'!$AA$31)*(1-CUSTOS!$M$38)</f>
        <v>209.7568810332202</v>
      </c>
      <c r="AB1492" s="4">
        <f>$K$1492*$V$1492</f>
        <v>0</v>
      </c>
      <c r="AC1492" s="4">
        <f>$M$1492*$W$1492</f>
        <v>390.82893999999999</v>
      </c>
      <c r="AD1492" s="4">
        <f>$O$1492*$X$1492</f>
        <v>367.19750999999997</v>
      </c>
      <c r="AE1492" s="4">
        <f>$K$1492*$Y$1492</f>
        <v>0</v>
      </c>
      <c r="AF1492" s="4">
        <f ca="1">$M$1492*$Z$1492</f>
        <v>498.3749061381568</v>
      </c>
      <c r="AG1492" s="4">
        <f>$O$1492*$AA$1492</f>
        <v>393.71366569935429</v>
      </c>
    </row>
    <row r="1493" spans="1:33" ht="11.25" customHeight="1" x14ac:dyDescent="0.25">
      <c r="A1493" s="3" t="s">
        <v>21</v>
      </c>
      <c r="B1493" s="3" t="s">
        <v>44</v>
      </c>
      <c r="C1493" s="3" t="s">
        <v>33</v>
      </c>
      <c r="D1493" s="3" t="s">
        <v>45</v>
      </c>
      <c r="E1493" s="3" t="s">
        <v>25</v>
      </c>
      <c r="F1493" s="3" t="s">
        <v>25</v>
      </c>
      <c r="G1493" s="3" t="s">
        <v>25</v>
      </c>
      <c r="H1493" s="3" t="s">
        <v>35</v>
      </c>
      <c r="I1493" s="6">
        <v>44470</v>
      </c>
      <c r="J1493" s="4">
        <v>0</v>
      </c>
      <c r="K1493" s="4">
        <v>0</v>
      </c>
      <c r="L1493" s="4">
        <v>2.1579999999999999</v>
      </c>
      <c r="M1493" s="4">
        <v>2.1579999999999999</v>
      </c>
      <c r="N1493" s="4">
        <v>2.1579999999999999</v>
      </c>
      <c r="O1493" s="4">
        <v>2.1579999999999999</v>
      </c>
      <c r="P1493" s="4">
        <v>0</v>
      </c>
      <c r="Q1493" s="3" t="s">
        <v>26</v>
      </c>
      <c r="R1493" s="3">
        <v>0</v>
      </c>
      <c r="S1493" s="4">
        <v>0</v>
      </c>
      <c r="T1493" s="4">
        <v>33</v>
      </c>
      <c r="U1493" s="4">
        <v>71</v>
      </c>
      <c r="V1493" s="4">
        <f>IF(ISERROR(VLOOKUP($S$1493,'TAR FIN'!$A$1:$O$113,15,0)),0,VLOOKUP($S$1493,'TAR FIN'!$A$1:$O$113,15,0))</f>
        <v>0</v>
      </c>
      <c r="W1493" s="4">
        <f>IF(ISERROR(VLOOKUP($T$1493,'TAR FIN'!$A$1:$O$113,15,0)),0,VLOOKUP($T$1493,'TAR FIN'!$A$1:$O$113,15,0))</f>
        <v>208.22</v>
      </c>
      <c r="X1493" s="4">
        <f>IF(ISERROR(VLOOKUP($U$1493,'TAR FIN'!$A$1:$O$113,15,0)),0,VLOOKUP($U$1493,'TAR FIN'!$A$1:$O$113,15,0))</f>
        <v>195.63</v>
      </c>
      <c r="Y1493" s="4"/>
      <c r="Z1493" s="4">
        <f ca="1">('TUSD BE'!$AM$52+'TUSD BF'!$AM$52+'TUSD CVA'!$AM$52)*(1-CUSTOS!$M$38)</f>
        <v>265.51673209278465</v>
      </c>
      <c r="AA1493" s="4">
        <f>('TE BE'!$AA$31+'TE BF'!$AA$31+'TE CVA'!$AA$31)*(1-CUSTOS!$M$38)</f>
        <v>209.7568810332202</v>
      </c>
      <c r="AB1493" s="4">
        <f>$K$1493*$V$1493</f>
        <v>0</v>
      </c>
      <c r="AC1493" s="4">
        <f>$M$1493*$W$1493</f>
        <v>449.33875999999998</v>
      </c>
      <c r="AD1493" s="4">
        <f>$O$1493*$X$1493</f>
        <v>422.16953999999998</v>
      </c>
      <c r="AE1493" s="4">
        <f>$K$1493*$Y$1493</f>
        <v>0</v>
      </c>
      <c r="AF1493" s="4">
        <f ca="1">$M$1493*$Z$1493</f>
        <v>572.98510785622921</v>
      </c>
      <c r="AG1493" s="4">
        <f>$O$1493*$AA$1493</f>
        <v>452.65534926968917</v>
      </c>
    </row>
    <row r="1494" spans="1:33" ht="11.25" customHeight="1" x14ac:dyDescent="0.25">
      <c r="A1494" s="3" t="s">
        <v>21</v>
      </c>
      <c r="B1494" s="3" t="s">
        <v>44</v>
      </c>
      <c r="C1494" s="3" t="s">
        <v>33</v>
      </c>
      <c r="D1494" s="3" t="s">
        <v>45</v>
      </c>
      <c r="E1494" s="3" t="s">
        <v>25</v>
      </c>
      <c r="F1494" s="3" t="s">
        <v>25</v>
      </c>
      <c r="G1494" s="3" t="s">
        <v>25</v>
      </c>
      <c r="H1494" s="3" t="s">
        <v>35</v>
      </c>
      <c r="I1494" s="6">
        <v>44501</v>
      </c>
      <c r="J1494" s="4">
        <v>0</v>
      </c>
      <c r="K1494" s="4">
        <v>0</v>
      </c>
      <c r="L1494" s="4">
        <v>1.6240000000000001</v>
      </c>
      <c r="M1494" s="4">
        <v>1.6240000000000001</v>
      </c>
      <c r="N1494" s="4">
        <v>1.6240000000000001</v>
      </c>
      <c r="O1494" s="4">
        <v>1.6240000000000001</v>
      </c>
      <c r="P1494" s="4">
        <v>0</v>
      </c>
      <c r="Q1494" s="3" t="s">
        <v>26</v>
      </c>
      <c r="R1494" s="3">
        <v>0</v>
      </c>
      <c r="S1494" s="4">
        <v>0</v>
      </c>
      <c r="T1494" s="4">
        <v>33</v>
      </c>
      <c r="U1494" s="4">
        <v>71</v>
      </c>
      <c r="V1494" s="4">
        <f>IF(ISERROR(VLOOKUP($S$1494,'TAR FIN'!$A$1:$O$113,15,0)),0,VLOOKUP($S$1494,'TAR FIN'!$A$1:$O$113,15,0))</f>
        <v>0</v>
      </c>
      <c r="W1494" s="4">
        <f>IF(ISERROR(VLOOKUP($T$1494,'TAR FIN'!$A$1:$O$113,15,0)),0,VLOOKUP($T$1494,'TAR FIN'!$A$1:$O$113,15,0))</f>
        <v>208.22</v>
      </c>
      <c r="X1494" s="4">
        <f>IF(ISERROR(VLOOKUP($U$1494,'TAR FIN'!$A$1:$O$113,15,0)),0,VLOOKUP($U$1494,'TAR FIN'!$A$1:$O$113,15,0))</f>
        <v>195.63</v>
      </c>
      <c r="Y1494" s="4"/>
      <c r="Z1494" s="4">
        <f ca="1">('TUSD BE'!$AM$52+'TUSD BF'!$AM$52+'TUSD CVA'!$AM$52)*(1-CUSTOS!$M$38)</f>
        <v>265.51673209278465</v>
      </c>
      <c r="AA1494" s="4">
        <f>('TE BE'!$AA$31+'TE BF'!$AA$31+'TE CVA'!$AA$31)*(1-CUSTOS!$M$38)</f>
        <v>209.7568810332202</v>
      </c>
      <c r="AB1494" s="4">
        <f>$K$1494*$V$1494</f>
        <v>0</v>
      </c>
      <c r="AC1494" s="4">
        <f>$M$1494*$W$1494</f>
        <v>338.14928000000003</v>
      </c>
      <c r="AD1494" s="4">
        <f>$O$1494*$X$1494</f>
        <v>317.70312000000001</v>
      </c>
      <c r="AE1494" s="4">
        <f>$K$1494*$Y$1494</f>
        <v>0</v>
      </c>
      <c r="AF1494" s="4">
        <f ca="1">$M$1494*$Z$1494</f>
        <v>431.19917291868228</v>
      </c>
      <c r="AG1494" s="4">
        <f>$O$1494*$AA$1494</f>
        <v>340.64517479794961</v>
      </c>
    </row>
    <row r="1495" spans="1:33" ht="11.25" customHeight="1" x14ac:dyDescent="0.25">
      <c r="A1495" s="3" t="s">
        <v>21</v>
      </c>
      <c r="B1495" s="3" t="s">
        <v>44</v>
      </c>
      <c r="C1495" s="3" t="s">
        <v>33</v>
      </c>
      <c r="D1495" s="3" t="s">
        <v>45</v>
      </c>
      <c r="E1495" s="3" t="s">
        <v>25</v>
      </c>
      <c r="F1495" s="3" t="s">
        <v>25</v>
      </c>
      <c r="G1495" s="3" t="s">
        <v>25</v>
      </c>
      <c r="H1495" s="3" t="s">
        <v>35</v>
      </c>
      <c r="I1495" s="6">
        <v>44531</v>
      </c>
      <c r="J1495" s="4">
        <v>0</v>
      </c>
      <c r="K1495" s="4">
        <v>0</v>
      </c>
      <c r="L1495" s="4">
        <v>1.0289999999999999</v>
      </c>
      <c r="M1495" s="4">
        <v>1.0289999999999999</v>
      </c>
      <c r="N1495" s="4">
        <v>1.0289999999999999</v>
      </c>
      <c r="O1495" s="4">
        <v>1.0289999999999999</v>
      </c>
      <c r="P1495" s="4">
        <v>0</v>
      </c>
      <c r="Q1495" s="3" t="s">
        <v>26</v>
      </c>
      <c r="R1495" s="3">
        <v>0</v>
      </c>
      <c r="S1495" s="4">
        <v>0</v>
      </c>
      <c r="T1495" s="4">
        <v>33</v>
      </c>
      <c r="U1495" s="4">
        <v>71</v>
      </c>
      <c r="V1495" s="4">
        <f>IF(ISERROR(VLOOKUP($S$1495,'TAR FIN'!$A$1:$O$113,15,0)),0,VLOOKUP($S$1495,'TAR FIN'!$A$1:$O$113,15,0))</f>
        <v>0</v>
      </c>
      <c r="W1495" s="4">
        <f>IF(ISERROR(VLOOKUP($T$1495,'TAR FIN'!$A$1:$O$113,15,0)),0,VLOOKUP($T$1495,'TAR FIN'!$A$1:$O$113,15,0))</f>
        <v>208.22</v>
      </c>
      <c r="X1495" s="4">
        <f>IF(ISERROR(VLOOKUP($U$1495,'TAR FIN'!$A$1:$O$113,15,0)),0,VLOOKUP($U$1495,'TAR FIN'!$A$1:$O$113,15,0))</f>
        <v>195.63</v>
      </c>
      <c r="Y1495" s="4"/>
      <c r="Z1495" s="4">
        <f ca="1">('TUSD BE'!$AM$52+'TUSD BF'!$AM$52+'TUSD CVA'!$AM$52)*(1-CUSTOS!$M$38)</f>
        <v>265.51673209278465</v>
      </c>
      <c r="AA1495" s="4">
        <f>('TE BE'!$AA$31+'TE BF'!$AA$31+'TE CVA'!$AA$31)*(1-CUSTOS!$M$38)</f>
        <v>209.7568810332202</v>
      </c>
      <c r="AB1495" s="4">
        <f>$K$1495*$V$1495</f>
        <v>0</v>
      </c>
      <c r="AC1495" s="4">
        <f>$M$1495*$W$1495</f>
        <v>214.25837999999999</v>
      </c>
      <c r="AD1495" s="4">
        <f>$O$1495*$X$1495</f>
        <v>201.30326999999997</v>
      </c>
      <c r="AE1495" s="4">
        <f>$K$1495*$Y$1495</f>
        <v>0</v>
      </c>
      <c r="AF1495" s="4">
        <f ca="1">$M$1495*$Z$1495</f>
        <v>273.21671732347539</v>
      </c>
      <c r="AG1495" s="4">
        <f>$O$1495*$AA$1495</f>
        <v>215.83983058318356</v>
      </c>
    </row>
    <row r="1496" spans="1:33" ht="11.25" customHeight="1" x14ac:dyDescent="0.25">
      <c r="A1496" s="3" t="s">
        <v>21</v>
      </c>
      <c r="B1496" s="3" t="s">
        <v>44</v>
      </c>
      <c r="C1496" s="3" t="s">
        <v>33</v>
      </c>
      <c r="D1496" s="3" t="s">
        <v>45</v>
      </c>
      <c r="E1496" s="3" t="s">
        <v>25</v>
      </c>
      <c r="F1496" s="3" t="s">
        <v>25</v>
      </c>
      <c r="G1496" s="3" t="s">
        <v>25</v>
      </c>
      <c r="H1496" s="3" t="s">
        <v>35</v>
      </c>
      <c r="I1496" s="6">
        <v>44562</v>
      </c>
      <c r="J1496" s="4">
        <v>0</v>
      </c>
      <c r="K1496" s="4">
        <v>0</v>
      </c>
      <c r="L1496" s="4">
        <v>1.0189999999999999</v>
      </c>
      <c r="M1496" s="4">
        <v>1.0189999999999999</v>
      </c>
      <c r="N1496" s="4">
        <v>1.0189999999999999</v>
      </c>
      <c r="O1496" s="4">
        <v>1.0189999999999999</v>
      </c>
      <c r="P1496" s="4">
        <v>0</v>
      </c>
      <c r="Q1496" s="3" t="s">
        <v>26</v>
      </c>
      <c r="R1496" s="3">
        <v>0</v>
      </c>
      <c r="S1496" s="4">
        <v>0</v>
      </c>
      <c r="T1496" s="4">
        <v>33</v>
      </c>
      <c r="U1496" s="4">
        <v>71</v>
      </c>
      <c r="V1496" s="4">
        <f>IF(ISERROR(VLOOKUP($S$1496,'TAR FIN'!$A$1:$O$113,15,0)),0,VLOOKUP($S$1496,'TAR FIN'!$A$1:$O$113,15,0))</f>
        <v>0</v>
      </c>
      <c r="W1496" s="4">
        <f>IF(ISERROR(VLOOKUP($T$1496,'TAR FIN'!$A$1:$O$113,15,0)),0,VLOOKUP($T$1496,'TAR FIN'!$A$1:$O$113,15,0))</f>
        <v>208.22</v>
      </c>
      <c r="X1496" s="4">
        <f>IF(ISERROR(VLOOKUP($U$1496,'TAR FIN'!$A$1:$O$113,15,0)),0,VLOOKUP($U$1496,'TAR FIN'!$A$1:$O$113,15,0))</f>
        <v>195.63</v>
      </c>
      <c r="Y1496" s="4"/>
      <c r="Z1496" s="4">
        <f ca="1">('TUSD BE'!$AM$52+'TUSD BF'!$AM$52+'TUSD CVA'!$AM$52)*(1-CUSTOS!$M$38)</f>
        <v>265.51673209278465</v>
      </c>
      <c r="AA1496" s="4">
        <f>('TE BE'!$AA$31+'TE BF'!$AA$31+'TE CVA'!$AA$31)*(1-CUSTOS!$M$38)</f>
        <v>209.7568810332202</v>
      </c>
      <c r="AB1496" s="4">
        <f>$K$1496*$V$1496</f>
        <v>0</v>
      </c>
      <c r="AC1496" s="4">
        <f>$M$1496*$W$1496</f>
        <v>212.17617999999999</v>
      </c>
      <c r="AD1496" s="4">
        <f>$O$1496*$X$1496</f>
        <v>199.34696999999997</v>
      </c>
      <c r="AE1496" s="4">
        <f>$K$1496*$Y$1496</f>
        <v>0</v>
      </c>
      <c r="AF1496" s="4">
        <f ca="1">$M$1496*$Z$1496</f>
        <v>270.56155000254751</v>
      </c>
      <c r="AG1496" s="4">
        <f>$O$1496*$AA$1496</f>
        <v>213.74226177285135</v>
      </c>
    </row>
    <row r="1497" spans="1:33" ht="11.25" customHeight="1" x14ac:dyDescent="0.25">
      <c r="A1497" s="3" t="s">
        <v>21</v>
      </c>
      <c r="B1497" s="3" t="s">
        <v>44</v>
      </c>
      <c r="C1497" s="3" t="s">
        <v>33</v>
      </c>
      <c r="D1497" s="3" t="s">
        <v>45</v>
      </c>
      <c r="E1497" s="3" t="s">
        <v>25</v>
      </c>
      <c r="F1497" s="3" t="s">
        <v>25</v>
      </c>
      <c r="G1497" s="3" t="s">
        <v>25</v>
      </c>
      <c r="H1497" s="3" t="s">
        <v>35</v>
      </c>
      <c r="I1497" s="6">
        <v>44593</v>
      </c>
      <c r="J1497" s="4">
        <v>0</v>
      </c>
      <c r="K1497" s="4">
        <v>0</v>
      </c>
      <c r="L1497" s="4">
        <v>1.262</v>
      </c>
      <c r="M1497" s="4">
        <v>1.262</v>
      </c>
      <c r="N1497" s="4">
        <v>1.262</v>
      </c>
      <c r="O1497" s="4">
        <v>1.262</v>
      </c>
      <c r="P1497" s="4">
        <v>0</v>
      </c>
      <c r="Q1497" s="3" t="s">
        <v>26</v>
      </c>
      <c r="R1497" s="3">
        <v>0</v>
      </c>
      <c r="S1497" s="4">
        <v>0</v>
      </c>
      <c r="T1497" s="4">
        <v>33</v>
      </c>
      <c r="U1497" s="4">
        <v>71</v>
      </c>
      <c r="V1497" s="4">
        <f>IF(ISERROR(VLOOKUP($S$1497,'TAR FIN'!$A$1:$O$113,15,0)),0,VLOOKUP($S$1497,'TAR FIN'!$A$1:$O$113,15,0))</f>
        <v>0</v>
      </c>
      <c r="W1497" s="4">
        <f>IF(ISERROR(VLOOKUP($T$1497,'TAR FIN'!$A$1:$O$113,15,0)),0,VLOOKUP($T$1497,'TAR FIN'!$A$1:$O$113,15,0))</f>
        <v>208.22</v>
      </c>
      <c r="X1497" s="4">
        <f>IF(ISERROR(VLOOKUP($U$1497,'TAR FIN'!$A$1:$O$113,15,0)),0,VLOOKUP($U$1497,'TAR FIN'!$A$1:$O$113,15,0))</f>
        <v>195.63</v>
      </c>
      <c r="Y1497" s="4"/>
      <c r="Z1497" s="4">
        <f ca="1">('TUSD BE'!$AM$52+'TUSD BF'!$AM$52+'TUSD CVA'!$AM$52)*(1-CUSTOS!$M$38)</f>
        <v>265.51673209278465</v>
      </c>
      <c r="AA1497" s="4">
        <f>('TE BE'!$AA$31+'TE BF'!$AA$31+'TE CVA'!$AA$31)*(1-CUSTOS!$M$38)</f>
        <v>209.7568810332202</v>
      </c>
      <c r="AB1497" s="4">
        <f>$K$1497*$V$1497</f>
        <v>0</v>
      </c>
      <c r="AC1497" s="4">
        <f>$M$1497*$W$1497</f>
        <v>262.77364</v>
      </c>
      <c r="AD1497" s="4">
        <f>$O$1497*$X$1497</f>
        <v>246.88506000000001</v>
      </c>
      <c r="AE1497" s="4">
        <f>$K$1497*$Y$1497</f>
        <v>0</v>
      </c>
      <c r="AF1497" s="4">
        <f ca="1">$M$1497*$Z$1497</f>
        <v>335.08211590109426</v>
      </c>
      <c r="AG1497" s="4">
        <f>$O$1497*$AA$1497</f>
        <v>264.71318386392392</v>
      </c>
    </row>
    <row r="1498" spans="1:33" ht="11.25" customHeight="1" x14ac:dyDescent="0.25">
      <c r="A1498" s="3" t="s">
        <v>56</v>
      </c>
      <c r="B1498" s="3" t="s">
        <v>44</v>
      </c>
      <c r="C1498" s="3" t="s">
        <v>33</v>
      </c>
      <c r="D1498" s="3" t="s">
        <v>45</v>
      </c>
      <c r="E1498" s="3" t="s">
        <v>25</v>
      </c>
      <c r="F1498" s="3" t="s">
        <v>25</v>
      </c>
      <c r="G1498" s="3" t="s">
        <v>25</v>
      </c>
      <c r="H1498" s="3" t="s">
        <v>35</v>
      </c>
      <c r="I1498" s="6">
        <v>44621</v>
      </c>
      <c r="J1498" s="4">
        <v>0</v>
      </c>
      <c r="K1498" s="4">
        <v>0</v>
      </c>
      <c r="L1498" s="4">
        <v>1.262</v>
      </c>
      <c r="M1498" s="4">
        <v>1.262</v>
      </c>
      <c r="N1498" s="4">
        <v>1.262</v>
      </c>
      <c r="O1498" s="4">
        <v>1.262</v>
      </c>
      <c r="P1498" s="4">
        <v>0</v>
      </c>
      <c r="Q1498" s="3" t="s">
        <v>26</v>
      </c>
      <c r="R1498" s="3">
        <v>0</v>
      </c>
      <c r="S1498" s="4">
        <v>0</v>
      </c>
      <c r="T1498" s="4">
        <v>33</v>
      </c>
      <c r="U1498" s="4">
        <v>71</v>
      </c>
      <c r="V1498" s="4">
        <f>IF(ISERROR(VLOOKUP($S$1498,'TAR FIN'!$A$1:$O$113,15,0)),0,VLOOKUP($S$1498,'TAR FIN'!$A$1:$O$113,15,0))</f>
        <v>0</v>
      </c>
      <c r="W1498" s="4">
        <f>IF(ISERROR(VLOOKUP($T$1498,'TAR FIN'!$A$1:$O$113,15,0)),0,VLOOKUP($T$1498,'TAR FIN'!$A$1:$O$113,15,0))</f>
        <v>208.22</v>
      </c>
      <c r="X1498" s="4">
        <f>IF(ISERROR(VLOOKUP($U$1498,'TAR FIN'!$A$1:$O$113,15,0)),0,VLOOKUP($U$1498,'TAR FIN'!$A$1:$O$113,15,0))</f>
        <v>195.63</v>
      </c>
      <c r="Y1498" s="4"/>
      <c r="Z1498" s="4">
        <f ca="1">('TUSD BE'!$AM$52+'TUSD BF'!$AM$52+'TUSD CVA'!$AM$52)*(1-CUSTOS!$M$38)</f>
        <v>265.51673209278465</v>
      </c>
      <c r="AA1498" s="4">
        <f>('TE BE'!$AA$31+'TE BF'!$AA$31+'TE CVA'!$AA$31)*(1-CUSTOS!$M$38)</f>
        <v>209.7568810332202</v>
      </c>
      <c r="AB1498" s="4">
        <f>$K$1498*$V$1498</f>
        <v>0</v>
      </c>
      <c r="AC1498" s="4">
        <f>$M$1498*$W$1498</f>
        <v>262.77364</v>
      </c>
      <c r="AD1498" s="4">
        <f>$O$1498*$X$1498</f>
        <v>246.88506000000001</v>
      </c>
      <c r="AE1498" s="4">
        <f>$K$1498*$Y$1498</f>
        <v>0</v>
      </c>
      <c r="AF1498" s="4">
        <f ca="1">$M$1498*$Z$1498</f>
        <v>335.08211590109426</v>
      </c>
      <c r="AG1498" s="4">
        <f>$O$1498*$AA$1498</f>
        <v>264.71318386392392</v>
      </c>
    </row>
    <row r="1499" spans="1:33" ht="11.25" customHeight="1" x14ac:dyDescent="0.25">
      <c r="A1499" s="3" t="s">
        <v>21</v>
      </c>
      <c r="B1499" s="3" t="s">
        <v>44</v>
      </c>
      <c r="C1499" s="3" t="s">
        <v>33</v>
      </c>
      <c r="D1499" s="3" t="s">
        <v>45</v>
      </c>
      <c r="E1499" s="3" t="s">
        <v>25</v>
      </c>
      <c r="F1499" s="3" t="s">
        <v>25</v>
      </c>
      <c r="G1499" s="3" t="s">
        <v>25</v>
      </c>
      <c r="H1499" s="3" t="s">
        <v>36</v>
      </c>
      <c r="I1499" s="6">
        <v>44287</v>
      </c>
      <c r="J1499" s="4">
        <v>0</v>
      </c>
      <c r="K1499" s="4">
        <v>0</v>
      </c>
      <c r="L1499" s="4">
        <v>9.2999999999999999E-2</v>
      </c>
      <c r="M1499" s="4">
        <v>9.2999999999999999E-2</v>
      </c>
      <c r="N1499" s="4">
        <v>9.2999999999999999E-2</v>
      </c>
      <c r="O1499" s="4">
        <v>9.2999999999999999E-2</v>
      </c>
      <c r="P1499" s="4">
        <v>0</v>
      </c>
      <c r="Q1499" s="3" t="s">
        <v>26</v>
      </c>
      <c r="R1499" s="3">
        <v>0</v>
      </c>
      <c r="S1499" s="4">
        <v>0</v>
      </c>
      <c r="T1499" s="4">
        <v>52</v>
      </c>
      <c r="U1499" s="4">
        <v>70</v>
      </c>
      <c r="V1499" s="4">
        <f>IF(ISERROR(VLOOKUP($S$1499,'TAR FIN'!$A$1:$O$113,15,0)),0,VLOOKUP($S$1499,'TAR FIN'!$A$1:$O$113,15,0))</f>
        <v>0</v>
      </c>
      <c r="W1499" s="4">
        <f>IF(ISERROR(VLOOKUP($T$1499,'TAR FIN'!$A$1:$O$113,15,0)),0,VLOOKUP($T$1499,'TAR FIN'!$A$1:$O$113,15,0))</f>
        <v>497.52</v>
      </c>
      <c r="X1499" s="4">
        <f>IF(ISERROR(VLOOKUP($U$1499,'TAR FIN'!$A$1:$O$113,15,0)),0,VLOOKUP($U$1499,'TAR FIN'!$A$1:$O$113,15,0))</f>
        <v>195.63</v>
      </c>
      <c r="Y1499" s="4"/>
      <c r="Z1499" s="4">
        <f ca="1">('TUSD BE'!$AM$51+'TUSD BF'!$AM$51+'TUSD CVA'!$AM$51)*(1-CUSTOS!$M$38)</f>
        <v>628.38817282981779</v>
      </c>
      <c r="AA1499" s="4">
        <f>('TE BE'!$AA$30+'TE BF'!$AA$30+'TE CVA'!$AA$30)*(1-CUSTOS!$M$38)</f>
        <v>209.7568810332202</v>
      </c>
      <c r="AB1499" s="4">
        <f>$K$1499*$V$1499</f>
        <v>0</v>
      </c>
      <c r="AC1499" s="4">
        <f>$M$1499*$W$1499</f>
        <v>46.269359999999999</v>
      </c>
      <c r="AD1499" s="4">
        <f>$O$1499*$X$1499</f>
        <v>18.19359</v>
      </c>
      <c r="AE1499" s="4">
        <f>$K$1499*$Y$1499</f>
        <v>0</v>
      </c>
      <c r="AF1499" s="4">
        <f ca="1">$M$1499*$Z$1499</f>
        <v>58.440100073173056</v>
      </c>
      <c r="AG1499" s="4">
        <f>$O$1499*$AA$1499</f>
        <v>19.507389936089478</v>
      </c>
    </row>
    <row r="1500" spans="1:33" ht="11.25" customHeight="1" x14ac:dyDescent="0.25">
      <c r="A1500" s="3" t="s">
        <v>21</v>
      </c>
      <c r="B1500" s="3" t="s">
        <v>44</v>
      </c>
      <c r="C1500" s="3" t="s">
        <v>33</v>
      </c>
      <c r="D1500" s="3" t="s">
        <v>45</v>
      </c>
      <c r="E1500" s="3" t="s">
        <v>25</v>
      </c>
      <c r="F1500" s="3" t="s">
        <v>25</v>
      </c>
      <c r="G1500" s="3" t="s">
        <v>25</v>
      </c>
      <c r="H1500" s="3" t="s">
        <v>36</v>
      </c>
      <c r="I1500" s="6">
        <v>44317</v>
      </c>
      <c r="J1500" s="4">
        <v>0</v>
      </c>
      <c r="K1500" s="4">
        <v>0</v>
      </c>
      <c r="L1500" s="4">
        <v>3.7999999999999999E-2</v>
      </c>
      <c r="M1500" s="4">
        <v>3.7999999999999999E-2</v>
      </c>
      <c r="N1500" s="4">
        <v>3.7999999999999999E-2</v>
      </c>
      <c r="O1500" s="4">
        <v>3.7999999999999999E-2</v>
      </c>
      <c r="P1500" s="4">
        <v>0</v>
      </c>
      <c r="Q1500" s="3" t="s">
        <v>26</v>
      </c>
      <c r="R1500" s="3">
        <v>0</v>
      </c>
      <c r="S1500" s="4">
        <v>0</v>
      </c>
      <c r="T1500" s="4">
        <v>52</v>
      </c>
      <c r="U1500" s="4">
        <v>70</v>
      </c>
      <c r="V1500" s="4">
        <f>IF(ISERROR(VLOOKUP($S$1500,'TAR FIN'!$A$1:$O$113,15,0)),0,VLOOKUP($S$1500,'TAR FIN'!$A$1:$O$113,15,0))</f>
        <v>0</v>
      </c>
      <c r="W1500" s="4">
        <f>IF(ISERROR(VLOOKUP($T$1500,'TAR FIN'!$A$1:$O$113,15,0)),0,VLOOKUP($T$1500,'TAR FIN'!$A$1:$O$113,15,0))</f>
        <v>497.52</v>
      </c>
      <c r="X1500" s="4">
        <f>IF(ISERROR(VLOOKUP($U$1500,'TAR FIN'!$A$1:$O$113,15,0)),0,VLOOKUP($U$1500,'TAR FIN'!$A$1:$O$113,15,0))</f>
        <v>195.63</v>
      </c>
      <c r="Y1500" s="4"/>
      <c r="Z1500" s="4">
        <f ca="1">('TUSD BE'!$AM$51+'TUSD BF'!$AM$51+'TUSD CVA'!$AM$51)*(1-CUSTOS!$M$38)</f>
        <v>628.38817282981779</v>
      </c>
      <c r="AA1500" s="4">
        <f>('TE BE'!$AA$30+'TE BF'!$AA$30+'TE CVA'!$AA$30)*(1-CUSTOS!$M$38)</f>
        <v>209.7568810332202</v>
      </c>
      <c r="AB1500" s="4">
        <f>$K$1500*$V$1500</f>
        <v>0</v>
      </c>
      <c r="AC1500" s="4">
        <f>$M$1500*$W$1500</f>
        <v>18.905759999999997</v>
      </c>
      <c r="AD1500" s="4">
        <f>$O$1500*$X$1500</f>
        <v>7.4339399999999998</v>
      </c>
      <c r="AE1500" s="4">
        <f>$K$1500*$Y$1500</f>
        <v>0</v>
      </c>
      <c r="AF1500" s="4">
        <f ca="1">$M$1500*$Z$1500</f>
        <v>23.878750567533075</v>
      </c>
      <c r="AG1500" s="4">
        <f>$O$1500*$AA$1500</f>
        <v>7.9707614792623671</v>
      </c>
    </row>
    <row r="1501" spans="1:33" ht="11.25" customHeight="1" x14ac:dyDescent="0.25">
      <c r="A1501" s="3" t="s">
        <v>21</v>
      </c>
      <c r="B1501" s="3" t="s">
        <v>44</v>
      </c>
      <c r="C1501" s="3" t="s">
        <v>33</v>
      </c>
      <c r="D1501" s="3" t="s">
        <v>45</v>
      </c>
      <c r="E1501" s="3" t="s">
        <v>25</v>
      </c>
      <c r="F1501" s="3" t="s">
        <v>25</v>
      </c>
      <c r="G1501" s="3" t="s">
        <v>25</v>
      </c>
      <c r="H1501" s="3" t="s">
        <v>36</v>
      </c>
      <c r="I1501" s="6">
        <v>44348</v>
      </c>
      <c r="J1501" s="4">
        <v>0</v>
      </c>
      <c r="K1501" s="4">
        <v>0</v>
      </c>
      <c r="L1501" s="4">
        <v>3.1E-2</v>
      </c>
      <c r="M1501" s="4">
        <v>3.1E-2</v>
      </c>
      <c r="N1501" s="4">
        <v>3.1E-2</v>
      </c>
      <c r="O1501" s="4">
        <v>3.1E-2</v>
      </c>
      <c r="P1501" s="4">
        <v>0</v>
      </c>
      <c r="Q1501" s="3" t="s">
        <v>26</v>
      </c>
      <c r="R1501" s="3">
        <v>0</v>
      </c>
      <c r="S1501" s="4">
        <v>0</v>
      </c>
      <c r="T1501" s="4">
        <v>52</v>
      </c>
      <c r="U1501" s="4">
        <v>70</v>
      </c>
      <c r="V1501" s="4">
        <f>IF(ISERROR(VLOOKUP($S$1501,'TAR FIN'!$A$1:$O$113,15,0)),0,VLOOKUP($S$1501,'TAR FIN'!$A$1:$O$113,15,0))</f>
        <v>0</v>
      </c>
      <c r="W1501" s="4">
        <f>IF(ISERROR(VLOOKUP($T$1501,'TAR FIN'!$A$1:$O$113,15,0)),0,VLOOKUP($T$1501,'TAR FIN'!$A$1:$O$113,15,0))</f>
        <v>497.52</v>
      </c>
      <c r="X1501" s="4">
        <f>IF(ISERROR(VLOOKUP($U$1501,'TAR FIN'!$A$1:$O$113,15,0)),0,VLOOKUP($U$1501,'TAR FIN'!$A$1:$O$113,15,0))</f>
        <v>195.63</v>
      </c>
      <c r="Y1501" s="4"/>
      <c r="Z1501" s="4">
        <f ca="1">('TUSD BE'!$AM$51+'TUSD BF'!$AM$51+'TUSD CVA'!$AM$51)*(1-CUSTOS!$M$38)</f>
        <v>628.38817282981779</v>
      </c>
      <c r="AA1501" s="4">
        <f>('TE BE'!$AA$30+'TE BF'!$AA$30+'TE CVA'!$AA$30)*(1-CUSTOS!$M$38)</f>
        <v>209.7568810332202</v>
      </c>
      <c r="AB1501" s="4">
        <f>$K$1501*$V$1501</f>
        <v>0</v>
      </c>
      <c r="AC1501" s="4">
        <f>$M$1501*$W$1501</f>
        <v>15.423119999999999</v>
      </c>
      <c r="AD1501" s="4">
        <f>$O$1501*$X$1501</f>
        <v>6.0645299999999995</v>
      </c>
      <c r="AE1501" s="4">
        <f>$K$1501*$Y$1501</f>
        <v>0</v>
      </c>
      <c r="AF1501" s="4">
        <f ca="1">$M$1501*$Z$1501</f>
        <v>19.480033357724352</v>
      </c>
      <c r="AG1501" s="4">
        <f>$O$1501*$AA$1501</f>
        <v>6.5024633120298256</v>
      </c>
    </row>
    <row r="1502" spans="1:33" ht="11.25" customHeight="1" x14ac:dyDescent="0.25">
      <c r="A1502" s="3" t="s">
        <v>21</v>
      </c>
      <c r="B1502" s="3" t="s">
        <v>44</v>
      </c>
      <c r="C1502" s="3" t="s">
        <v>33</v>
      </c>
      <c r="D1502" s="3" t="s">
        <v>45</v>
      </c>
      <c r="E1502" s="3" t="s">
        <v>25</v>
      </c>
      <c r="F1502" s="3" t="s">
        <v>25</v>
      </c>
      <c r="G1502" s="3" t="s">
        <v>25</v>
      </c>
      <c r="H1502" s="3" t="s">
        <v>36</v>
      </c>
      <c r="I1502" s="6">
        <v>44378</v>
      </c>
      <c r="J1502" s="4">
        <v>0</v>
      </c>
      <c r="K1502" s="4">
        <v>0</v>
      </c>
      <c r="L1502" s="4">
        <v>3.4000000000000002E-2</v>
      </c>
      <c r="M1502" s="4">
        <v>3.4000000000000002E-2</v>
      </c>
      <c r="N1502" s="4">
        <v>3.4000000000000002E-2</v>
      </c>
      <c r="O1502" s="4">
        <v>3.4000000000000002E-2</v>
      </c>
      <c r="P1502" s="4">
        <v>0</v>
      </c>
      <c r="Q1502" s="3" t="s">
        <v>26</v>
      </c>
      <c r="R1502" s="3">
        <v>0</v>
      </c>
      <c r="S1502" s="4">
        <v>0</v>
      </c>
      <c r="T1502" s="4">
        <v>52</v>
      </c>
      <c r="U1502" s="4">
        <v>70</v>
      </c>
      <c r="V1502" s="4">
        <f>IF(ISERROR(VLOOKUP($S$1502,'TAR FIN'!$A$1:$O$113,15,0)),0,VLOOKUP($S$1502,'TAR FIN'!$A$1:$O$113,15,0))</f>
        <v>0</v>
      </c>
      <c r="W1502" s="4">
        <f>IF(ISERROR(VLOOKUP($T$1502,'TAR FIN'!$A$1:$O$113,15,0)),0,VLOOKUP($T$1502,'TAR FIN'!$A$1:$O$113,15,0))</f>
        <v>497.52</v>
      </c>
      <c r="X1502" s="4">
        <f>IF(ISERROR(VLOOKUP($U$1502,'TAR FIN'!$A$1:$O$113,15,0)),0,VLOOKUP($U$1502,'TAR FIN'!$A$1:$O$113,15,0))</f>
        <v>195.63</v>
      </c>
      <c r="Y1502" s="4"/>
      <c r="Z1502" s="4">
        <f ca="1">('TUSD BE'!$AM$51+'TUSD BF'!$AM$51+'TUSD CVA'!$AM$51)*(1-CUSTOS!$M$38)</f>
        <v>628.38817282981779</v>
      </c>
      <c r="AA1502" s="4">
        <f>('TE BE'!$AA$30+'TE BF'!$AA$30+'TE CVA'!$AA$30)*(1-CUSTOS!$M$38)</f>
        <v>209.7568810332202</v>
      </c>
      <c r="AB1502" s="4">
        <f>$K$1502*$V$1502</f>
        <v>0</v>
      </c>
      <c r="AC1502" s="4">
        <f>$M$1502*$W$1502</f>
        <v>16.915680000000002</v>
      </c>
      <c r="AD1502" s="4">
        <f>$O$1502*$X$1502</f>
        <v>6.6514199999999999</v>
      </c>
      <c r="AE1502" s="4">
        <f>$K$1502*$Y$1502</f>
        <v>0</v>
      </c>
      <c r="AF1502" s="4">
        <f ca="1">$M$1502*$Z$1502</f>
        <v>21.365197876213806</v>
      </c>
      <c r="AG1502" s="4">
        <f>$O$1502*$AA$1502</f>
        <v>7.1317339551294872</v>
      </c>
    </row>
    <row r="1503" spans="1:33" ht="11.25" customHeight="1" x14ac:dyDescent="0.25">
      <c r="A1503" s="3" t="s">
        <v>21</v>
      </c>
      <c r="B1503" s="3" t="s">
        <v>44</v>
      </c>
      <c r="C1503" s="3" t="s">
        <v>33</v>
      </c>
      <c r="D1503" s="3" t="s">
        <v>45</v>
      </c>
      <c r="E1503" s="3" t="s">
        <v>25</v>
      </c>
      <c r="F1503" s="3" t="s">
        <v>25</v>
      </c>
      <c r="G1503" s="3" t="s">
        <v>25</v>
      </c>
      <c r="H1503" s="3" t="s">
        <v>36</v>
      </c>
      <c r="I1503" s="6">
        <v>44409</v>
      </c>
      <c r="J1503" s="4">
        <v>0</v>
      </c>
      <c r="K1503" s="4">
        <v>0</v>
      </c>
      <c r="L1503" s="4">
        <v>3.2000000000000001E-2</v>
      </c>
      <c r="M1503" s="4">
        <v>3.2000000000000001E-2</v>
      </c>
      <c r="N1503" s="4">
        <v>3.2000000000000001E-2</v>
      </c>
      <c r="O1503" s="4">
        <v>3.2000000000000001E-2</v>
      </c>
      <c r="P1503" s="4">
        <v>0</v>
      </c>
      <c r="Q1503" s="3" t="s">
        <v>26</v>
      </c>
      <c r="R1503" s="3">
        <v>0</v>
      </c>
      <c r="S1503" s="4">
        <v>0</v>
      </c>
      <c r="T1503" s="4">
        <v>52</v>
      </c>
      <c r="U1503" s="4">
        <v>70</v>
      </c>
      <c r="V1503" s="4">
        <f>IF(ISERROR(VLOOKUP($S$1503,'TAR FIN'!$A$1:$O$113,15,0)),0,VLOOKUP($S$1503,'TAR FIN'!$A$1:$O$113,15,0))</f>
        <v>0</v>
      </c>
      <c r="W1503" s="4">
        <f>IF(ISERROR(VLOOKUP($T$1503,'TAR FIN'!$A$1:$O$113,15,0)),0,VLOOKUP($T$1503,'TAR FIN'!$A$1:$O$113,15,0))</f>
        <v>497.52</v>
      </c>
      <c r="X1503" s="4">
        <f>IF(ISERROR(VLOOKUP($U$1503,'TAR FIN'!$A$1:$O$113,15,0)),0,VLOOKUP($U$1503,'TAR FIN'!$A$1:$O$113,15,0))</f>
        <v>195.63</v>
      </c>
      <c r="Y1503" s="4"/>
      <c r="Z1503" s="4">
        <f ca="1">('TUSD BE'!$AM$51+'TUSD BF'!$AM$51+'TUSD CVA'!$AM$51)*(1-CUSTOS!$M$38)</f>
        <v>628.38817282981779</v>
      </c>
      <c r="AA1503" s="4">
        <f>('TE BE'!$AA$30+'TE BF'!$AA$30+'TE CVA'!$AA$30)*(1-CUSTOS!$M$38)</f>
        <v>209.7568810332202</v>
      </c>
      <c r="AB1503" s="4">
        <f>$K$1503*$V$1503</f>
        <v>0</v>
      </c>
      <c r="AC1503" s="4">
        <f>$M$1503*$W$1503</f>
        <v>15.920640000000001</v>
      </c>
      <c r="AD1503" s="4">
        <f>$O$1503*$X$1503</f>
        <v>6.2601599999999999</v>
      </c>
      <c r="AE1503" s="4">
        <f>$K$1503*$Y$1503</f>
        <v>0</v>
      </c>
      <c r="AF1503" s="4">
        <f ca="1">$M$1503*$Z$1503</f>
        <v>20.108421530554171</v>
      </c>
      <c r="AG1503" s="4">
        <f>$O$1503*$AA$1503</f>
        <v>6.7122201930630467</v>
      </c>
    </row>
    <row r="1504" spans="1:33" ht="11.25" customHeight="1" x14ac:dyDescent="0.25">
      <c r="A1504" s="3" t="s">
        <v>21</v>
      </c>
      <c r="B1504" s="3" t="s">
        <v>44</v>
      </c>
      <c r="C1504" s="3" t="s">
        <v>33</v>
      </c>
      <c r="D1504" s="3" t="s">
        <v>45</v>
      </c>
      <c r="E1504" s="3" t="s">
        <v>25</v>
      </c>
      <c r="F1504" s="3" t="s">
        <v>25</v>
      </c>
      <c r="G1504" s="3" t="s">
        <v>25</v>
      </c>
      <c r="H1504" s="3" t="s">
        <v>36</v>
      </c>
      <c r="I1504" s="6">
        <v>44440</v>
      </c>
      <c r="J1504" s="4">
        <v>0</v>
      </c>
      <c r="K1504" s="4">
        <v>0</v>
      </c>
      <c r="L1504" s="4">
        <v>0.04</v>
      </c>
      <c r="M1504" s="4">
        <v>0.04</v>
      </c>
      <c r="N1504" s="4">
        <v>0.04</v>
      </c>
      <c r="O1504" s="4">
        <v>0.04</v>
      </c>
      <c r="P1504" s="4">
        <v>0</v>
      </c>
      <c r="Q1504" s="3" t="s">
        <v>26</v>
      </c>
      <c r="R1504" s="3">
        <v>0</v>
      </c>
      <c r="S1504" s="4">
        <v>0</v>
      </c>
      <c r="T1504" s="4">
        <v>52</v>
      </c>
      <c r="U1504" s="4">
        <v>70</v>
      </c>
      <c r="V1504" s="4">
        <f>IF(ISERROR(VLOOKUP($S$1504,'TAR FIN'!$A$1:$O$113,15,0)),0,VLOOKUP($S$1504,'TAR FIN'!$A$1:$O$113,15,0))</f>
        <v>0</v>
      </c>
      <c r="W1504" s="4">
        <f>IF(ISERROR(VLOOKUP($T$1504,'TAR FIN'!$A$1:$O$113,15,0)),0,VLOOKUP($T$1504,'TAR FIN'!$A$1:$O$113,15,0))</f>
        <v>497.52</v>
      </c>
      <c r="X1504" s="4">
        <f>IF(ISERROR(VLOOKUP($U$1504,'TAR FIN'!$A$1:$O$113,15,0)),0,VLOOKUP($U$1504,'TAR FIN'!$A$1:$O$113,15,0))</f>
        <v>195.63</v>
      </c>
      <c r="Y1504" s="4"/>
      <c r="Z1504" s="4">
        <f ca="1">('TUSD BE'!$AM$51+'TUSD BF'!$AM$51+'TUSD CVA'!$AM$51)*(1-CUSTOS!$M$38)</f>
        <v>628.38817282981779</v>
      </c>
      <c r="AA1504" s="4">
        <f>('TE BE'!$AA$30+'TE BF'!$AA$30+'TE CVA'!$AA$30)*(1-CUSTOS!$M$38)</f>
        <v>209.7568810332202</v>
      </c>
      <c r="AB1504" s="4">
        <f>$K$1504*$V$1504</f>
        <v>0</v>
      </c>
      <c r="AC1504" s="4">
        <f>$M$1504*$W$1504</f>
        <v>19.9008</v>
      </c>
      <c r="AD1504" s="4">
        <f>$O$1504*$X$1504</f>
        <v>7.8251999999999997</v>
      </c>
      <c r="AE1504" s="4">
        <f>$K$1504*$Y$1504</f>
        <v>0</v>
      </c>
      <c r="AF1504" s="4">
        <f ca="1">$M$1504*$Z$1504</f>
        <v>25.135526913192713</v>
      </c>
      <c r="AG1504" s="4">
        <f>$O$1504*$AA$1504</f>
        <v>8.3902752413288084</v>
      </c>
    </row>
    <row r="1505" spans="1:33" ht="11.25" customHeight="1" x14ac:dyDescent="0.25">
      <c r="A1505" s="3" t="s">
        <v>21</v>
      </c>
      <c r="B1505" s="3" t="s">
        <v>44</v>
      </c>
      <c r="C1505" s="3" t="s">
        <v>33</v>
      </c>
      <c r="D1505" s="3" t="s">
        <v>45</v>
      </c>
      <c r="E1505" s="3" t="s">
        <v>25</v>
      </c>
      <c r="F1505" s="3" t="s">
        <v>25</v>
      </c>
      <c r="G1505" s="3" t="s">
        <v>25</v>
      </c>
      <c r="H1505" s="3" t="s">
        <v>36</v>
      </c>
      <c r="I1505" s="6">
        <v>44470</v>
      </c>
      <c r="J1505" s="4">
        <v>0</v>
      </c>
      <c r="K1505" s="4">
        <v>0</v>
      </c>
      <c r="L1505" s="4">
        <v>3.6999999999999998E-2</v>
      </c>
      <c r="M1505" s="4">
        <v>3.6999999999999998E-2</v>
      </c>
      <c r="N1505" s="4">
        <v>3.6999999999999998E-2</v>
      </c>
      <c r="O1505" s="4">
        <v>3.6999999999999998E-2</v>
      </c>
      <c r="P1505" s="4">
        <v>0</v>
      </c>
      <c r="Q1505" s="3" t="s">
        <v>26</v>
      </c>
      <c r="R1505" s="3">
        <v>0</v>
      </c>
      <c r="S1505" s="4">
        <v>0</v>
      </c>
      <c r="T1505" s="4">
        <v>52</v>
      </c>
      <c r="U1505" s="4">
        <v>70</v>
      </c>
      <c r="V1505" s="4">
        <f>IF(ISERROR(VLOOKUP($S$1505,'TAR FIN'!$A$1:$O$113,15,0)),0,VLOOKUP($S$1505,'TAR FIN'!$A$1:$O$113,15,0))</f>
        <v>0</v>
      </c>
      <c r="W1505" s="4">
        <f>IF(ISERROR(VLOOKUP($T$1505,'TAR FIN'!$A$1:$O$113,15,0)),0,VLOOKUP($T$1505,'TAR FIN'!$A$1:$O$113,15,0))</f>
        <v>497.52</v>
      </c>
      <c r="X1505" s="4">
        <f>IF(ISERROR(VLOOKUP($U$1505,'TAR FIN'!$A$1:$O$113,15,0)),0,VLOOKUP($U$1505,'TAR FIN'!$A$1:$O$113,15,0))</f>
        <v>195.63</v>
      </c>
      <c r="Y1505" s="4"/>
      <c r="Z1505" s="4">
        <f ca="1">('TUSD BE'!$AM$51+'TUSD BF'!$AM$51+'TUSD CVA'!$AM$51)*(1-CUSTOS!$M$38)</f>
        <v>628.38817282981779</v>
      </c>
      <c r="AA1505" s="4">
        <f>('TE BE'!$AA$30+'TE BF'!$AA$30+'TE CVA'!$AA$30)*(1-CUSTOS!$M$38)</f>
        <v>209.7568810332202</v>
      </c>
      <c r="AB1505" s="4">
        <f>$K$1505*$V$1505</f>
        <v>0</v>
      </c>
      <c r="AC1505" s="4">
        <f>$M$1505*$W$1505</f>
        <v>18.408239999999999</v>
      </c>
      <c r="AD1505" s="4">
        <f>$O$1505*$X$1505</f>
        <v>7.2383099999999994</v>
      </c>
      <c r="AE1505" s="4">
        <f>$K$1505*$Y$1505</f>
        <v>0</v>
      </c>
      <c r="AF1505" s="4">
        <f ca="1">$M$1505*$Z$1505</f>
        <v>23.250362394703256</v>
      </c>
      <c r="AG1505" s="4">
        <f>$O$1505*$AA$1505</f>
        <v>7.7610045982291469</v>
      </c>
    </row>
    <row r="1506" spans="1:33" ht="11.25" customHeight="1" x14ac:dyDescent="0.25">
      <c r="A1506" s="3" t="s">
        <v>21</v>
      </c>
      <c r="B1506" s="3" t="s">
        <v>44</v>
      </c>
      <c r="C1506" s="3" t="s">
        <v>33</v>
      </c>
      <c r="D1506" s="3" t="s">
        <v>45</v>
      </c>
      <c r="E1506" s="3" t="s">
        <v>25</v>
      </c>
      <c r="F1506" s="3" t="s">
        <v>25</v>
      </c>
      <c r="G1506" s="3" t="s">
        <v>25</v>
      </c>
      <c r="H1506" s="3" t="s">
        <v>36</v>
      </c>
      <c r="I1506" s="6">
        <v>44501</v>
      </c>
      <c r="J1506" s="4">
        <v>0</v>
      </c>
      <c r="K1506" s="4">
        <v>0</v>
      </c>
      <c r="L1506" s="4">
        <v>3.1E-2</v>
      </c>
      <c r="M1506" s="4">
        <v>3.1E-2</v>
      </c>
      <c r="N1506" s="4">
        <v>3.1E-2</v>
      </c>
      <c r="O1506" s="4">
        <v>3.1E-2</v>
      </c>
      <c r="P1506" s="4">
        <v>0</v>
      </c>
      <c r="Q1506" s="3" t="s">
        <v>26</v>
      </c>
      <c r="R1506" s="3">
        <v>0</v>
      </c>
      <c r="S1506" s="4">
        <v>0</v>
      </c>
      <c r="T1506" s="4">
        <v>52</v>
      </c>
      <c r="U1506" s="4">
        <v>70</v>
      </c>
      <c r="V1506" s="4">
        <f>IF(ISERROR(VLOOKUP($S$1506,'TAR FIN'!$A$1:$O$113,15,0)),0,VLOOKUP($S$1506,'TAR FIN'!$A$1:$O$113,15,0))</f>
        <v>0</v>
      </c>
      <c r="W1506" s="4">
        <f>IF(ISERROR(VLOOKUP($T$1506,'TAR FIN'!$A$1:$O$113,15,0)),0,VLOOKUP($T$1506,'TAR FIN'!$A$1:$O$113,15,0))</f>
        <v>497.52</v>
      </c>
      <c r="X1506" s="4">
        <f>IF(ISERROR(VLOOKUP($U$1506,'TAR FIN'!$A$1:$O$113,15,0)),0,VLOOKUP($U$1506,'TAR FIN'!$A$1:$O$113,15,0))</f>
        <v>195.63</v>
      </c>
      <c r="Y1506" s="4"/>
      <c r="Z1506" s="4">
        <f ca="1">('TUSD BE'!$AM$51+'TUSD BF'!$AM$51+'TUSD CVA'!$AM$51)*(1-CUSTOS!$M$38)</f>
        <v>628.38817282981779</v>
      </c>
      <c r="AA1506" s="4">
        <f>('TE BE'!$AA$30+'TE BF'!$AA$30+'TE CVA'!$AA$30)*(1-CUSTOS!$M$38)</f>
        <v>209.7568810332202</v>
      </c>
      <c r="AB1506" s="4">
        <f>$K$1506*$V$1506</f>
        <v>0</v>
      </c>
      <c r="AC1506" s="4">
        <f>$M$1506*$W$1506</f>
        <v>15.423119999999999</v>
      </c>
      <c r="AD1506" s="4">
        <f>$O$1506*$X$1506</f>
        <v>6.0645299999999995</v>
      </c>
      <c r="AE1506" s="4">
        <f>$K$1506*$Y$1506</f>
        <v>0</v>
      </c>
      <c r="AF1506" s="4">
        <f ca="1">$M$1506*$Z$1506</f>
        <v>19.480033357724352</v>
      </c>
      <c r="AG1506" s="4">
        <f>$O$1506*$AA$1506</f>
        <v>6.5024633120298256</v>
      </c>
    </row>
    <row r="1507" spans="1:33" ht="11.25" customHeight="1" x14ac:dyDescent="0.25">
      <c r="A1507" s="3" t="s">
        <v>21</v>
      </c>
      <c r="B1507" s="3" t="s">
        <v>44</v>
      </c>
      <c r="C1507" s="3" t="s">
        <v>33</v>
      </c>
      <c r="D1507" s="3" t="s">
        <v>45</v>
      </c>
      <c r="E1507" s="3" t="s">
        <v>25</v>
      </c>
      <c r="F1507" s="3" t="s">
        <v>25</v>
      </c>
      <c r="G1507" s="3" t="s">
        <v>25</v>
      </c>
      <c r="H1507" s="3" t="s">
        <v>36</v>
      </c>
      <c r="I1507" s="6">
        <v>44531</v>
      </c>
      <c r="J1507" s="4">
        <v>0</v>
      </c>
      <c r="K1507" s="4">
        <v>0</v>
      </c>
      <c r="L1507" s="4">
        <v>0.03</v>
      </c>
      <c r="M1507" s="4">
        <v>0.03</v>
      </c>
      <c r="N1507" s="4">
        <v>0.03</v>
      </c>
      <c r="O1507" s="4">
        <v>0.03</v>
      </c>
      <c r="P1507" s="4">
        <v>0</v>
      </c>
      <c r="Q1507" s="3" t="s">
        <v>26</v>
      </c>
      <c r="R1507" s="3">
        <v>0</v>
      </c>
      <c r="S1507" s="4">
        <v>0</v>
      </c>
      <c r="T1507" s="4">
        <v>52</v>
      </c>
      <c r="U1507" s="4">
        <v>70</v>
      </c>
      <c r="V1507" s="4">
        <f>IF(ISERROR(VLOOKUP($S$1507,'TAR FIN'!$A$1:$O$113,15,0)),0,VLOOKUP($S$1507,'TAR FIN'!$A$1:$O$113,15,0))</f>
        <v>0</v>
      </c>
      <c r="W1507" s="4">
        <f>IF(ISERROR(VLOOKUP($T$1507,'TAR FIN'!$A$1:$O$113,15,0)),0,VLOOKUP($T$1507,'TAR FIN'!$A$1:$O$113,15,0))</f>
        <v>497.52</v>
      </c>
      <c r="X1507" s="4">
        <f>IF(ISERROR(VLOOKUP($U$1507,'TAR FIN'!$A$1:$O$113,15,0)),0,VLOOKUP($U$1507,'TAR FIN'!$A$1:$O$113,15,0))</f>
        <v>195.63</v>
      </c>
      <c r="Y1507" s="4"/>
      <c r="Z1507" s="4">
        <f ca="1">('TUSD BE'!$AM$51+'TUSD BF'!$AM$51+'TUSD CVA'!$AM$51)*(1-CUSTOS!$M$38)</f>
        <v>628.38817282981779</v>
      </c>
      <c r="AA1507" s="4">
        <f>('TE BE'!$AA$30+'TE BF'!$AA$30+'TE CVA'!$AA$30)*(1-CUSTOS!$M$38)</f>
        <v>209.7568810332202</v>
      </c>
      <c r="AB1507" s="4">
        <f>$K$1507*$V$1507</f>
        <v>0</v>
      </c>
      <c r="AC1507" s="4">
        <f>$M$1507*$W$1507</f>
        <v>14.925599999999999</v>
      </c>
      <c r="AD1507" s="4">
        <f>$O$1507*$X$1507</f>
        <v>5.8689</v>
      </c>
      <c r="AE1507" s="4">
        <f>$K$1507*$Y$1507</f>
        <v>0</v>
      </c>
      <c r="AF1507" s="4">
        <f ca="1">$M$1507*$Z$1507</f>
        <v>18.851645184894533</v>
      </c>
      <c r="AG1507" s="4">
        <f>$O$1507*$AA$1507</f>
        <v>6.2927064309966054</v>
      </c>
    </row>
    <row r="1508" spans="1:33" ht="11.25" customHeight="1" x14ac:dyDescent="0.25">
      <c r="A1508" s="3" t="s">
        <v>21</v>
      </c>
      <c r="B1508" s="3" t="s">
        <v>44</v>
      </c>
      <c r="C1508" s="3" t="s">
        <v>33</v>
      </c>
      <c r="D1508" s="3" t="s">
        <v>45</v>
      </c>
      <c r="E1508" s="3" t="s">
        <v>25</v>
      </c>
      <c r="F1508" s="3" t="s">
        <v>25</v>
      </c>
      <c r="G1508" s="3" t="s">
        <v>25</v>
      </c>
      <c r="H1508" s="3" t="s">
        <v>36</v>
      </c>
      <c r="I1508" s="6">
        <v>44562</v>
      </c>
      <c r="J1508" s="4">
        <v>0</v>
      </c>
      <c r="K1508" s="4">
        <v>0</v>
      </c>
      <c r="L1508" s="4">
        <v>3.7999999999999999E-2</v>
      </c>
      <c r="M1508" s="4">
        <v>3.7999999999999999E-2</v>
      </c>
      <c r="N1508" s="4">
        <v>3.7999999999999999E-2</v>
      </c>
      <c r="O1508" s="4">
        <v>3.7999999999999999E-2</v>
      </c>
      <c r="P1508" s="4">
        <v>0</v>
      </c>
      <c r="Q1508" s="3" t="s">
        <v>26</v>
      </c>
      <c r="R1508" s="3">
        <v>0</v>
      </c>
      <c r="S1508" s="4">
        <v>0</v>
      </c>
      <c r="T1508" s="4">
        <v>52</v>
      </c>
      <c r="U1508" s="4">
        <v>70</v>
      </c>
      <c r="V1508" s="4">
        <f>IF(ISERROR(VLOOKUP($S$1508,'TAR FIN'!$A$1:$O$113,15,0)),0,VLOOKUP($S$1508,'TAR FIN'!$A$1:$O$113,15,0))</f>
        <v>0</v>
      </c>
      <c r="W1508" s="4">
        <f>IF(ISERROR(VLOOKUP($T$1508,'TAR FIN'!$A$1:$O$113,15,0)),0,VLOOKUP($T$1508,'TAR FIN'!$A$1:$O$113,15,0))</f>
        <v>497.52</v>
      </c>
      <c r="X1508" s="4">
        <f>IF(ISERROR(VLOOKUP($U$1508,'TAR FIN'!$A$1:$O$113,15,0)),0,VLOOKUP($U$1508,'TAR FIN'!$A$1:$O$113,15,0))</f>
        <v>195.63</v>
      </c>
      <c r="Y1508" s="4"/>
      <c r="Z1508" s="4">
        <f ca="1">('TUSD BE'!$AM$51+'TUSD BF'!$AM$51+'TUSD CVA'!$AM$51)*(1-CUSTOS!$M$38)</f>
        <v>628.38817282981779</v>
      </c>
      <c r="AA1508" s="4">
        <f>('TE BE'!$AA$30+'TE BF'!$AA$30+'TE CVA'!$AA$30)*(1-CUSTOS!$M$38)</f>
        <v>209.7568810332202</v>
      </c>
      <c r="AB1508" s="4">
        <f>$K$1508*$V$1508</f>
        <v>0</v>
      </c>
      <c r="AC1508" s="4">
        <f>$M$1508*$W$1508</f>
        <v>18.905759999999997</v>
      </c>
      <c r="AD1508" s="4">
        <f>$O$1508*$X$1508</f>
        <v>7.4339399999999998</v>
      </c>
      <c r="AE1508" s="4">
        <f>$K$1508*$Y$1508</f>
        <v>0</v>
      </c>
      <c r="AF1508" s="4">
        <f ca="1">$M$1508*$Z$1508</f>
        <v>23.878750567533075</v>
      </c>
      <c r="AG1508" s="4">
        <f>$O$1508*$AA$1508</f>
        <v>7.9707614792623671</v>
      </c>
    </row>
    <row r="1509" spans="1:33" ht="11.25" customHeight="1" x14ac:dyDescent="0.25">
      <c r="A1509" s="3" t="s">
        <v>21</v>
      </c>
      <c r="B1509" s="3" t="s">
        <v>44</v>
      </c>
      <c r="C1509" s="3" t="s">
        <v>33</v>
      </c>
      <c r="D1509" s="3" t="s">
        <v>45</v>
      </c>
      <c r="E1509" s="3" t="s">
        <v>25</v>
      </c>
      <c r="F1509" s="3" t="s">
        <v>25</v>
      </c>
      <c r="G1509" s="3" t="s">
        <v>25</v>
      </c>
      <c r="H1509" s="3" t="s">
        <v>36</v>
      </c>
      <c r="I1509" s="6">
        <v>44593</v>
      </c>
      <c r="J1509" s="4">
        <v>0</v>
      </c>
      <c r="K1509" s="4">
        <v>0</v>
      </c>
      <c r="L1509" s="4">
        <v>3.1E-2</v>
      </c>
      <c r="M1509" s="4">
        <v>3.1E-2</v>
      </c>
      <c r="N1509" s="4">
        <v>3.1E-2</v>
      </c>
      <c r="O1509" s="4">
        <v>3.1E-2</v>
      </c>
      <c r="P1509" s="4">
        <v>0</v>
      </c>
      <c r="Q1509" s="3" t="s">
        <v>26</v>
      </c>
      <c r="R1509" s="3">
        <v>0</v>
      </c>
      <c r="S1509" s="4">
        <v>0</v>
      </c>
      <c r="T1509" s="4">
        <v>52</v>
      </c>
      <c r="U1509" s="4">
        <v>70</v>
      </c>
      <c r="V1509" s="4">
        <f>IF(ISERROR(VLOOKUP($S$1509,'TAR FIN'!$A$1:$O$113,15,0)),0,VLOOKUP($S$1509,'TAR FIN'!$A$1:$O$113,15,0))</f>
        <v>0</v>
      </c>
      <c r="W1509" s="4">
        <f>IF(ISERROR(VLOOKUP($T$1509,'TAR FIN'!$A$1:$O$113,15,0)),0,VLOOKUP($T$1509,'TAR FIN'!$A$1:$O$113,15,0))</f>
        <v>497.52</v>
      </c>
      <c r="X1509" s="4">
        <f>IF(ISERROR(VLOOKUP($U$1509,'TAR FIN'!$A$1:$O$113,15,0)),0,VLOOKUP($U$1509,'TAR FIN'!$A$1:$O$113,15,0))</f>
        <v>195.63</v>
      </c>
      <c r="Y1509" s="4"/>
      <c r="Z1509" s="4">
        <f ca="1">('TUSD BE'!$AM$51+'TUSD BF'!$AM$51+'TUSD CVA'!$AM$51)*(1-CUSTOS!$M$38)</f>
        <v>628.38817282981779</v>
      </c>
      <c r="AA1509" s="4">
        <f>('TE BE'!$AA$30+'TE BF'!$AA$30+'TE CVA'!$AA$30)*(1-CUSTOS!$M$38)</f>
        <v>209.7568810332202</v>
      </c>
      <c r="AB1509" s="4">
        <f>$K$1509*$V$1509</f>
        <v>0</v>
      </c>
      <c r="AC1509" s="4">
        <f>$M$1509*$W$1509</f>
        <v>15.423119999999999</v>
      </c>
      <c r="AD1509" s="4">
        <f>$O$1509*$X$1509</f>
        <v>6.0645299999999995</v>
      </c>
      <c r="AE1509" s="4">
        <f>$K$1509*$Y$1509</f>
        <v>0</v>
      </c>
      <c r="AF1509" s="4">
        <f ca="1">$M$1509*$Z$1509</f>
        <v>19.480033357724352</v>
      </c>
      <c r="AG1509" s="4">
        <f>$O$1509*$AA$1509</f>
        <v>6.5024633120298256</v>
      </c>
    </row>
    <row r="1510" spans="1:33" ht="11.25" customHeight="1" x14ac:dyDescent="0.25">
      <c r="A1510" s="3" t="s">
        <v>56</v>
      </c>
      <c r="B1510" s="3" t="s">
        <v>44</v>
      </c>
      <c r="C1510" s="3" t="s">
        <v>33</v>
      </c>
      <c r="D1510" s="3" t="s">
        <v>45</v>
      </c>
      <c r="E1510" s="3" t="s">
        <v>25</v>
      </c>
      <c r="F1510" s="3" t="s">
        <v>25</v>
      </c>
      <c r="G1510" s="3" t="s">
        <v>25</v>
      </c>
      <c r="H1510" s="3" t="s">
        <v>36</v>
      </c>
      <c r="I1510" s="6">
        <v>44621</v>
      </c>
      <c r="J1510" s="4">
        <v>0</v>
      </c>
      <c r="K1510" s="4">
        <v>0</v>
      </c>
      <c r="L1510" s="4">
        <v>3.1E-2</v>
      </c>
      <c r="M1510" s="4">
        <v>3.1E-2</v>
      </c>
      <c r="N1510" s="4">
        <v>3.1E-2</v>
      </c>
      <c r="O1510" s="4">
        <v>3.1E-2</v>
      </c>
      <c r="P1510" s="4">
        <v>0</v>
      </c>
      <c r="Q1510" s="3" t="s">
        <v>26</v>
      </c>
      <c r="R1510" s="3">
        <v>0</v>
      </c>
      <c r="S1510" s="4">
        <v>0</v>
      </c>
      <c r="T1510" s="4">
        <v>52</v>
      </c>
      <c r="U1510" s="4">
        <v>70</v>
      </c>
      <c r="V1510" s="4">
        <f>IF(ISERROR(VLOOKUP($S$1510,'TAR FIN'!$A$1:$O$113,15,0)),0,VLOOKUP($S$1510,'TAR FIN'!$A$1:$O$113,15,0))</f>
        <v>0</v>
      </c>
      <c r="W1510" s="4">
        <f>IF(ISERROR(VLOOKUP($T$1510,'TAR FIN'!$A$1:$O$113,15,0)),0,VLOOKUP($T$1510,'TAR FIN'!$A$1:$O$113,15,0))</f>
        <v>497.52</v>
      </c>
      <c r="X1510" s="4">
        <f>IF(ISERROR(VLOOKUP($U$1510,'TAR FIN'!$A$1:$O$113,15,0)),0,VLOOKUP($U$1510,'TAR FIN'!$A$1:$O$113,15,0))</f>
        <v>195.63</v>
      </c>
      <c r="Y1510" s="4"/>
      <c r="Z1510" s="4">
        <f ca="1">('TUSD BE'!$AM$51+'TUSD BF'!$AM$51+'TUSD CVA'!$AM$51)*(1-CUSTOS!$M$38)</f>
        <v>628.38817282981779</v>
      </c>
      <c r="AA1510" s="4">
        <f>('TE BE'!$AA$30+'TE BF'!$AA$30+'TE CVA'!$AA$30)*(1-CUSTOS!$M$38)</f>
        <v>209.7568810332202</v>
      </c>
      <c r="AB1510" s="4">
        <f>$K$1510*$V$1510</f>
        <v>0</v>
      </c>
      <c r="AC1510" s="4">
        <f>$M$1510*$W$1510</f>
        <v>15.423119999999999</v>
      </c>
      <c r="AD1510" s="4">
        <f>$O$1510*$X$1510</f>
        <v>6.0645299999999995</v>
      </c>
      <c r="AE1510" s="4">
        <f>$K$1510*$Y$1510</f>
        <v>0</v>
      </c>
      <c r="AF1510" s="4">
        <f ca="1">$M$1510*$Z$1510</f>
        <v>19.480033357724352</v>
      </c>
      <c r="AG1510" s="4">
        <f>$O$1510*$AA$1510</f>
        <v>6.5024633120298256</v>
      </c>
    </row>
    <row r="1511" spans="1:33" ht="11.25" customHeight="1" x14ac:dyDescent="0.25">
      <c r="A1511" s="3" t="s">
        <v>21</v>
      </c>
      <c r="B1511" s="3" t="s">
        <v>44</v>
      </c>
      <c r="C1511" s="3" t="s">
        <v>33</v>
      </c>
      <c r="D1511" s="3" t="s">
        <v>45</v>
      </c>
      <c r="E1511" s="3" t="s">
        <v>25</v>
      </c>
      <c r="F1511" s="3" t="s">
        <v>25</v>
      </c>
      <c r="G1511" s="3" t="s">
        <v>25</v>
      </c>
      <c r="H1511" s="3" t="s">
        <v>34</v>
      </c>
      <c r="I1511" s="6">
        <v>44287</v>
      </c>
      <c r="J1511" s="4">
        <v>0</v>
      </c>
      <c r="K1511" s="4">
        <v>0</v>
      </c>
      <c r="L1511" s="4">
        <v>6.0999999999999999E-2</v>
      </c>
      <c r="M1511" s="4">
        <v>6.0999999999999999E-2</v>
      </c>
      <c r="N1511" s="4">
        <v>6.0999999999999999E-2</v>
      </c>
      <c r="O1511" s="4">
        <v>6.0999999999999999E-2</v>
      </c>
      <c r="P1511" s="4">
        <v>0</v>
      </c>
      <c r="Q1511" s="3" t="s">
        <v>26</v>
      </c>
      <c r="R1511" s="3">
        <v>0</v>
      </c>
      <c r="S1511" s="4">
        <v>0</v>
      </c>
      <c r="T1511" s="4">
        <v>51</v>
      </c>
      <c r="U1511" s="4">
        <v>69</v>
      </c>
      <c r="V1511" s="4">
        <f>IF(ISERROR(VLOOKUP($S$1511,'TAR FIN'!$A$1:$O$113,15,0)),0,VLOOKUP($S$1511,'TAR FIN'!$A$1:$O$113,15,0))</f>
        <v>0</v>
      </c>
      <c r="W1511" s="4">
        <f>IF(ISERROR(VLOOKUP($T$1511,'TAR FIN'!$A$1:$O$113,15,0)),0,VLOOKUP($T$1511,'TAR FIN'!$A$1:$O$113,15,0))</f>
        <v>786.82</v>
      </c>
      <c r="X1511" s="4">
        <f>IF(ISERROR(VLOOKUP($U$1511,'TAR FIN'!$A$1:$O$113,15,0)),0,VLOOKUP($U$1511,'TAR FIN'!$A$1:$O$113,15,0))</f>
        <v>321.64</v>
      </c>
      <c r="Y1511" s="4"/>
      <c r="Z1511" s="4">
        <f ca="1">('TUSD BE'!$AM$50+'TUSD BF'!$AM$50+'TUSD CVA'!$AM$50)*(1-CUSTOS!$M$38)</f>
        <v>991.25918961691207</v>
      </c>
      <c r="AA1511" s="4">
        <f>('TE BE'!$AA$29+'TE BF'!$AA$29+'TE CVA'!$AA$29)*(1-CUSTOS!$M$38)</f>
        <v>339.85712613306845</v>
      </c>
      <c r="AB1511" s="4">
        <f>$K$1511*$V$1511</f>
        <v>0</v>
      </c>
      <c r="AC1511" s="4">
        <f>$M$1511*$W$1511</f>
        <v>47.996020000000001</v>
      </c>
      <c r="AD1511" s="4">
        <f>$O$1511*$X$1511</f>
        <v>19.620039999999999</v>
      </c>
      <c r="AE1511" s="4">
        <f>$K$1511*$Y$1511</f>
        <v>0</v>
      </c>
      <c r="AF1511" s="4">
        <f ca="1">$M$1511*$Z$1511</f>
        <v>60.466810566631636</v>
      </c>
      <c r="AG1511" s="4">
        <f>$O$1511*$AA$1511</f>
        <v>20.731284694117175</v>
      </c>
    </row>
    <row r="1512" spans="1:33" ht="11.25" customHeight="1" x14ac:dyDescent="0.25">
      <c r="A1512" s="3" t="s">
        <v>21</v>
      </c>
      <c r="B1512" s="3" t="s">
        <v>44</v>
      </c>
      <c r="C1512" s="3" t="s">
        <v>33</v>
      </c>
      <c r="D1512" s="3" t="s">
        <v>45</v>
      </c>
      <c r="E1512" s="3" t="s">
        <v>25</v>
      </c>
      <c r="F1512" s="3" t="s">
        <v>25</v>
      </c>
      <c r="G1512" s="3" t="s">
        <v>25</v>
      </c>
      <c r="H1512" s="3" t="s">
        <v>34</v>
      </c>
      <c r="I1512" s="6">
        <v>44317</v>
      </c>
      <c r="J1512" s="4">
        <v>0</v>
      </c>
      <c r="K1512" s="4">
        <v>0</v>
      </c>
      <c r="L1512" s="4">
        <v>5.8000000000000003E-2</v>
      </c>
      <c r="M1512" s="4">
        <v>5.8000000000000003E-2</v>
      </c>
      <c r="N1512" s="4">
        <v>5.8000000000000003E-2</v>
      </c>
      <c r="O1512" s="4">
        <v>5.8000000000000003E-2</v>
      </c>
      <c r="P1512" s="4">
        <v>0</v>
      </c>
      <c r="Q1512" s="3" t="s">
        <v>26</v>
      </c>
      <c r="R1512" s="3">
        <v>0</v>
      </c>
      <c r="S1512" s="4">
        <v>0</v>
      </c>
      <c r="T1512" s="4">
        <v>51</v>
      </c>
      <c r="U1512" s="4">
        <v>69</v>
      </c>
      <c r="V1512" s="4">
        <f>IF(ISERROR(VLOOKUP($S$1512,'TAR FIN'!$A$1:$O$113,15,0)),0,VLOOKUP($S$1512,'TAR FIN'!$A$1:$O$113,15,0))</f>
        <v>0</v>
      </c>
      <c r="W1512" s="4">
        <f>IF(ISERROR(VLOOKUP($T$1512,'TAR FIN'!$A$1:$O$113,15,0)),0,VLOOKUP($T$1512,'TAR FIN'!$A$1:$O$113,15,0))</f>
        <v>786.82</v>
      </c>
      <c r="X1512" s="4">
        <f>IF(ISERROR(VLOOKUP($U$1512,'TAR FIN'!$A$1:$O$113,15,0)),0,VLOOKUP($U$1512,'TAR FIN'!$A$1:$O$113,15,0))</f>
        <v>321.64</v>
      </c>
      <c r="Y1512" s="4"/>
      <c r="Z1512" s="4">
        <f ca="1">('TUSD BE'!$AM$50+'TUSD BF'!$AM$50+'TUSD CVA'!$AM$50)*(1-CUSTOS!$M$38)</f>
        <v>991.25918961691207</v>
      </c>
      <c r="AA1512" s="4">
        <f>('TE BE'!$AA$29+'TE BF'!$AA$29+'TE CVA'!$AA$29)*(1-CUSTOS!$M$38)</f>
        <v>339.85712613306845</v>
      </c>
      <c r="AB1512" s="4">
        <f>$K$1512*$V$1512</f>
        <v>0</v>
      </c>
      <c r="AC1512" s="4">
        <f>$M$1512*$W$1512</f>
        <v>45.635560000000005</v>
      </c>
      <c r="AD1512" s="4">
        <f>$O$1512*$X$1512</f>
        <v>18.65512</v>
      </c>
      <c r="AE1512" s="4">
        <f>$K$1512*$Y$1512</f>
        <v>0</v>
      </c>
      <c r="AF1512" s="4">
        <f ca="1">$M$1512*$Z$1512</f>
        <v>57.493032997780901</v>
      </c>
      <c r="AG1512" s="4">
        <f>$O$1512*$AA$1512</f>
        <v>19.711713315717972</v>
      </c>
    </row>
    <row r="1513" spans="1:33" ht="11.25" customHeight="1" x14ac:dyDescent="0.25">
      <c r="A1513" s="3" t="s">
        <v>21</v>
      </c>
      <c r="B1513" s="3" t="s">
        <v>44</v>
      </c>
      <c r="C1513" s="3" t="s">
        <v>33</v>
      </c>
      <c r="D1513" s="3" t="s">
        <v>45</v>
      </c>
      <c r="E1513" s="3" t="s">
        <v>25</v>
      </c>
      <c r="F1513" s="3" t="s">
        <v>25</v>
      </c>
      <c r="G1513" s="3" t="s">
        <v>25</v>
      </c>
      <c r="H1513" s="3" t="s">
        <v>34</v>
      </c>
      <c r="I1513" s="6">
        <v>44348</v>
      </c>
      <c r="J1513" s="4">
        <v>0</v>
      </c>
      <c r="K1513" s="4">
        <v>0</v>
      </c>
      <c r="L1513" s="4">
        <v>5.3999999999999999E-2</v>
      </c>
      <c r="M1513" s="4">
        <v>5.3999999999999999E-2</v>
      </c>
      <c r="N1513" s="4">
        <v>5.3999999999999999E-2</v>
      </c>
      <c r="O1513" s="4">
        <v>5.3999999999999999E-2</v>
      </c>
      <c r="P1513" s="4">
        <v>0</v>
      </c>
      <c r="Q1513" s="3" t="s">
        <v>26</v>
      </c>
      <c r="R1513" s="3">
        <v>0</v>
      </c>
      <c r="S1513" s="4">
        <v>0</v>
      </c>
      <c r="T1513" s="4">
        <v>51</v>
      </c>
      <c r="U1513" s="4">
        <v>69</v>
      </c>
      <c r="V1513" s="4">
        <f>IF(ISERROR(VLOOKUP($S$1513,'TAR FIN'!$A$1:$O$113,15,0)),0,VLOOKUP($S$1513,'TAR FIN'!$A$1:$O$113,15,0))</f>
        <v>0</v>
      </c>
      <c r="W1513" s="4">
        <f>IF(ISERROR(VLOOKUP($T$1513,'TAR FIN'!$A$1:$O$113,15,0)),0,VLOOKUP($T$1513,'TAR FIN'!$A$1:$O$113,15,0))</f>
        <v>786.82</v>
      </c>
      <c r="X1513" s="4">
        <f>IF(ISERROR(VLOOKUP($U$1513,'TAR FIN'!$A$1:$O$113,15,0)),0,VLOOKUP($U$1513,'TAR FIN'!$A$1:$O$113,15,0))</f>
        <v>321.64</v>
      </c>
      <c r="Y1513" s="4"/>
      <c r="Z1513" s="4">
        <f ca="1">('TUSD BE'!$AM$50+'TUSD BF'!$AM$50+'TUSD CVA'!$AM$50)*(1-CUSTOS!$M$38)</f>
        <v>991.25918961691207</v>
      </c>
      <c r="AA1513" s="4">
        <f>('TE BE'!$AA$29+'TE BF'!$AA$29+'TE CVA'!$AA$29)*(1-CUSTOS!$M$38)</f>
        <v>339.85712613306845</v>
      </c>
      <c r="AB1513" s="4">
        <f>$K$1513*$V$1513</f>
        <v>0</v>
      </c>
      <c r="AC1513" s="4">
        <f>$M$1513*$W$1513</f>
        <v>42.488280000000003</v>
      </c>
      <c r="AD1513" s="4">
        <f>$O$1513*$X$1513</f>
        <v>17.368559999999999</v>
      </c>
      <c r="AE1513" s="4">
        <f>$K$1513*$Y$1513</f>
        <v>0</v>
      </c>
      <c r="AF1513" s="4">
        <f ca="1">$M$1513*$Z$1513</f>
        <v>53.527996239313254</v>
      </c>
      <c r="AG1513" s="4">
        <f>$O$1513*$AA$1513</f>
        <v>18.352284811185697</v>
      </c>
    </row>
    <row r="1514" spans="1:33" ht="11.25" customHeight="1" x14ac:dyDescent="0.25">
      <c r="A1514" s="3" t="s">
        <v>21</v>
      </c>
      <c r="B1514" s="3" t="s">
        <v>44</v>
      </c>
      <c r="C1514" s="3" t="s">
        <v>33</v>
      </c>
      <c r="D1514" s="3" t="s">
        <v>45</v>
      </c>
      <c r="E1514" s="3" t="s">
        <v>25</v>
      </c>
      <c r="F1514" s="3" t="s">
        <v>25</v>
      </c>
      <c r="G1514" s="3" t="s">
        <v>25</v>
      </c>
      <c r="H1514" s="3" t="s">
        <v>34</v>
      </c>
      <c r="I1514" s="6">
        <v>44378</v>
      </c>
      <c r="J1514" s="4">
        <v>0</v>
      </c>
      <c r="K1514" s="4">
        <v>0</v>
      </c>
      <c r="L1514" s="4">
        <v>6.3E-2</v>
      </c>
      <c r="M1514" s="4">
        <v>6.3E-2</v>
      </c>
      <c r="N1514" s="4">
        <v>6.3E-2</v>
      </c>
      <c r="O1514" s="4">
        <v>6.3E-2</v>
      </c>
      <c r="P1514" s="4">
        <v>0</v>
      </c>
      <c r="Q1514" s="3" t="s">
        <v>26</v>
      </c>
      <c r="R1514" s="3">
        <v>0</v>
      </c>
      <c r="S1514" s="4">
        <v>0</v>
      </c>
      <c r="T1514" s="4">
        <v>51</v>
      </c>
      <c r="U1514" s="4">
        <v>69</v>
      </c>
      <c r="V1514" s="4">
        <f>IF(ISERROR(VLOOKUP($S$1514,'TAR FIN'!$A$1:$O$113,15,0)),0,VLOOKUP($S$1514,'TAR FIN'!$A$1:$O$113,15,0))</f>
        <v>0</v>
      </c>
      <c r="W1514" s="4">
        <f>IF(ISERROR(VLOOKUP($T$1514,'TAR FIN'!$A$1:$O$113,15,0)),0,VLOOKUP($T$1514,'TAR FIN'!$A$1:$O$113,15,0))</f>
        <v>786.82</v>
      </c>
      <c r="X1514" s="4">
        <f>IF(ISERROR(VLOOKUP($U$1514,'TAR FIN'!$A$1:$O$113,15,0)),0,VLOOKUP($U$1514,'TAR FIN'!$A$1:$O$113,15,0))</f>
        <v>321.64</v>
      </c>
      <c r="Y1514" s="4"/>
      <c r="Z1514" s="4">
        <f ca="1">('TUSD BE'!$AM$50+'TUSD BF'!$AM$50+'TUSD CVA'!$AM$50)*(1-CUSTOS!$M$38)</f>
        <v>991.25918961691207</v>
      </c>
      <c r="AA1514" s="4">
        <f>('TE BE'!$AA$29+'TE BF'!$AA$29+'TE CVA'!$AA$29)*(1-CUSTOS!$M$38)</f>
        <v>339.85712613306845</v>
      </c>
      <c r="AB1514" s="4">
        <f>$K$1514*$V$1514</f>
        <v>0</v>
      </c>
      <c r="AC1514" s="4">
        <f>$M$1514*$W$1514</f>
        <v>49.569660000000006</v>
      </c>
      <c r="AD1514" s="4">
        <f>$O$1514*$X$1514</f>
        <v>20.26332</v>
      </c>
      <c r="AE1514" s="4">
        <f>$K$1514*$Y$1514</f>
        <v>0</v>
      </c>
      <c r="AF1514" s="4">
        <f ca="1">$M$1514*$Z$1514</f>
        <v>62.44932894586546</v>
      </c>
      <c r="AG1514" s="4">
        <f>$O$1514*$AA$1514</f>
        <v>21.410998946383312</v>
      </c>
    </row>
    <row r="1515" spans="1:33" ht="11.25" customHeight="1" x14ac:dyDescent="0.25">
      <c r="A1515" s="3" t="s">
        <v>21</v>
      </c>
      <c r="B1515" s="3" t="s">
        <v>44</v>
      </c>
      <c r="C1515" s="3" t="s">
        <v>33</v>
      </c>
      <c r="D1515" s="3" t="s">
        <v>45</v>
      </c>
      <c r="E1515" s="3" t="s">
        <v>25</v>
      </c>
      <c r="F1515" s="3" t="s">
        <v>25</v>
      </c>
      <c r="G1515" s="3" t="s">
        <v>25</v>
      </c>
      <c r="H1515" s="3" t="s">
        <v>34</v>
      </c>
      <c r="I1515" s="6">
        <v>44409</v>
      </c>
      <c r="J1515" s="4">
        <v>0</v>
      </c>
      <c r="K1515" s="4">
        <v>0</v>
      </c>
      <c r="L1515" s="4">
        <v>5.8000000000000003E-2</v>
      </c>
      <c r="M1515" s="4">
        <v>5.8000000000000003E-2</v>
      </c>
      <c r="N1515" s="4">
        <v>5.8000000000000003E-2</v>
      </c>
      <c r="O1515" s="4">
        <v>5.8000000000000003E-2</v>
      </c>
      <c r="P1515" s="4">
        <v>0</v>
      </c>
      <c r="Q1515" s="3" t="s">
        <v>26</v>
      </c>
      <c r="R1515" s="3">
        <v>0</v>
      </c>
      <c r="S1515" s="4">
        <v>0</v>
      </c>
      <c r="T1515" s="4">
        <v>51</v>
      </c>
      <c r="U1515" s="4">
        <v>69</v>
      </c>
      <c r="V1515" s="4">
        <f>IF(ISERROR(VLOOKUP($S$1515,'TAR FIN'!$A$1:$O$113,15,0)),0,VLOOKUP($S$1515,'TAR FIN'!$A$1:$O$113,15,0))</f>
        <v>0</v>
      </c>
      <c r="W1515" s="4">
        <f>IF(ISERROR(VLOOKUP($T$1515,'TAR FIN'!$A$1:$O$113,15,0)),0,VLOOKUP($T$1515,'TAR FIN'!$A$1:$O$113,15,0))</f>
        <v>786.82</v>
      </c>
      <c r="X1515" s="4">
        <f>IF(ISERROR(VLOOKUP($U$1515,'TAR FIN'!$A$1:$O$113,15,0)),0,VLOOKUP($U$1515,'TAR FIN'!$A$1:$O$113,15,0))</f>
        <v>321.64</v>
      </c>
      <c r="Y1515" s="4"/>
      <c r="Z1515" s="4">
        <f ca="1">('TUSD BE'!$AM$50+'TUSD BF'!$AM$50+'TUSD CVA'!$AM$50)*(1-CUSTOS!$M$38)</f>
        <v>991.25918961691207</v>
      </c>
      <c r="AA1515" s="4">
        <f>('TE BE'!$AA$29+'TE BF'!$AA$29+'TE CVA'!$AA$29)*(1-CUSTOS!$M$38)</f>
        <v>339.85712613306845</v>
      </c>
      <c r="AB1515" s="4">
        <f>$K$1515*$V$1515</f>
        <v>0</v>
      </c>
      <c r="AC1515" s="4">
        <f>$M$1515*$W$1515</f>
        <v>45.635560000000005</v>
      </c>
      <c r="AD1515" s="4">
        <f>$O$1515*$X$1515</f>
        <v>18.65512</v>
      </c>
      <c r="AE1515" s="4">
        <f>$K$1515*$Y$1515</f>
        <v>0</v>
      </c>
      <c r="AF1515" s="4">
        <f ca="1">$M$1515*$Z$1515</f>
        <v>57.493032997780901</v>
      </c>
      <c r="AG1515" s="4">
        <f>$O$1515*$AA$1515</f>
        <v>19.711713315717972</v>
      </c>
    </row>
    <row r="1516" spans="1:33" ht="11.25" customHeight="1" x14ac:dyDescent="0.25">
      <c r="A1516" s="3" t="s">
        <v>21</v>
      </c>
      <c r="B1516" s="3" t="s">
        <v>44</v>
      </c>
      <c r="C1516" s="3" t="s">
        <v>33</v>
      </c>
      <c r="D1516" s="3" t="s">
        <v>45</v>
      </c>
      <c r="E1516" s="3" t="s">
        <v>25</v>
      </c>
      <c r="F1516" s="3" t="s">
        <v>25</v>
      </c>
      <c r="G1516" s="3" t="s">
        <v>25</v>
      </c>
      <c r="H1516" s="3" t="s">
        <v>34</v>
      </c>
      <c r="I1516" s="6">
        <v>44440</v>
      </c>
      <c r="J1516" s="4">
        <v>0</v>
      </c>
      <c r="K1516" s="4">
        <v>0</v>
      </c>
      <c r="L1516" s="4">
        <v>5.8000000000000003E-2</v>
      </c>
      <c r="M1516" s="4">
        <v>5.8000000000000003E-2</v>
      </c>
      <c r="N1516" s="4">
        <v>5.8000000000000003E-2</v>
      </c>
      <c r="O1516" s="4">
        <v>5.8000000000000003E-2</v>
      </c>
      <c r="P1516" s="4">
        <v>0</v>
      </c>
      <c r="Q1516" s="3" t="s">
        <v>26</v>
      </c>
      <c r="R1516" s="3">
        <v>0</v>
      </c>
      <c r="S1516" s="4">
        <v>0</v>
      </c>
      <c r="T1516" s="4">
        <v>51</v>
      </c>
      <c r="U1516" s="4">
        <v>69</v>
      </c>
      <c r="V1516" s="4">
        <f>IF(ISERROR(VLOOKUP($S$1516,'TAR FIN'!$A$1:$O$113,15,0)),0,VLOOKUP($S$1516,'TAR FIN'!$A$1:$O$113,15,0))</f>
        <v>0</v>
      </c>
      <c r="W1516" s="4">
        <f>IF(ISERROR(VLOOKUP($T$1516,'TAR FIN'!$A$1:$O$113,15,0)),0,VLOOKUP($T$1516,'TAR FIN'!$A$1:$O$113,15,0))</f>
        <v>786.82</v>
      </c>
      <c r="X1516" s="4">
        <f>IF(ISERROR(VLOOKUP($U$1516,'TAR FIN'!$A$1:$O$113,15,0)),0,VLOOKUP($U$1516,'TAR FIN'!$A$1:$O$113,15,0))</f>
        <v>321.64</v>
      </c>
      <c r="Y1516" s="4"/>
      <c r="Z1516" s="4">
        <f ca="1">('TUSD BE'!$AM$50+'TUSD BF'!$AM$50+'TUSD CVA'!$AM$50)*(1-CUSTOS!$M$38)</f>
        <v>991.25918961691207</v>
      </c>
      <c r="AA1516" s="4">
        <f>('TE BE'!$AA$29+'TE BF'!$AA$29+'TE CVA'!$AA$29)*(1-CUSTOS!$M$38)</f>
        <v>339.85712613306845</v>
      </c>
      <c r="AB1516" s="4">
        <f>$K$1516*$V$1516</f>
        <v>0</v>
      </c>
      <c r="AC1516" s="4">
        <f>$M$1516*$W$1516</f>
        <v>45.635560000000005</v>
      </c>
      <c r="AD1516" s="4">
        <f>$O$1516*$X$1516</f>
        <v>18.65512</v>
      </c>
      <c r="AE1516" s="4">
        <f>$K$1516*$Y$1516</f>
        <v>0</v>
      </c>
      <c r="AF1516" s="4">
        <f ca="1">$M$1516*$Z$1516</f>
        <v>57.493032997780901</v>
      </c>
      <c r="AG1516" s="4">
        <f>$O$1516*$AA$1516</f>
        <v>19.711713315717972</v>
      </c>
    </row>
    <row r="1517" spans="1:33" ht="11.25" customHeight="1" x14ac:dyDescent="0.25">
      <c r="A1517" s="3" t="s">
        <v>21</v>
      </c>
      <c r="B1517" s="3" t="s">
        <v>44</v>
      </c>
      <c r="C1517" s="3" t="s">
        <v>33</v>
      </c>
      <c r="D1517" s="3" t="s">
        <v>45</v>
      </c>
      <c r="E1517" s="3" t="s">
        <v>25</v>
      </c>
      <c r="F1517" s="3" t="s">
        <v>25</v>
      </c>
      <c r="G1517" s="3" t="s">
        <v>25</v>
      </c>
      <c r="H1517" s="3" t="s">
        <v>34</v>
      </c>
      <c r="I1517" s="6">
        <v>44470</v>
      </c>
      <c r="J1517" s="4">
        <v>0</v>
      </c>
      <c r="K1517" s="4">
        <v>0</v>
      </c>
      <c r="L1517" s="4">
        <v>5.1999999999999998E-2</v>
      </c>
      <c r="M1517" s="4">
        <v>5.1999999999999998E-2</v>
      </c>
      <c r="N1517" s="4">
        <v>5.1999999999999998E-2</v>
      </c>
      <c r="O1517" s="4">
        <v>5.1999999999999998E-2</v>
      </c>
      <c r="P1517" s="4">
        <v>0</v>
      </c>
      <c r="Q1517" s="3" t="s">
        <v>26</v>
      </c>
      <c r="R1517" s="3">
        <v>0</v>
      </c>
      <c r="S1517" s="4">
        <v>0</v>
      </c>
      <c r="T1517" s="4">
        <v>51</v>
      </c>
      <c r="U1517" s="4">
        <v>69</v>
      </c>
      <c r="V1517" s="4">
        <f>IF(ISERROR(VLOOKUP($S$1517,'TAR FIN'!$A$1:$O$113,15,0)),0,VLOOKUP($S$1517,'TAR FIN'!$A$1:$O$113,15,0))</f>
        <v>0</v>
      </c>
      <c r="W1517" s="4">
        <f>IF(ISERROR(VLOOKUP($T$1517,'TAR FIN'!$A$1:$O$113,15,0)),0,VLOOKUP($T$1517,'TAR FIN'!$A$1:$O$113,15,0))</f>
        <v>786.82</v>
      </c>
      <c r="X1517" s="4">
        <f>IF(ISERROR(VLOOKUP($U$1517,'TAR FIN'!$A$1:$O$113,15,0)),0,VLOOKUP($U$1517,'TAR FIN'!$A$1:$O$113,15,0))</f>
        <v>321.64</v>
      </c>
      <c r="Y1517" s="4"/>
      <c r="Z1517" s="4">
        <f ca="1">('TUSD BE'!$AM$50+'TUSD BF'!$AM$50+'TUSD CVA'!$AM$50)*(1-CUSTOS!$M$38)</f>
        <v>991.25918961691207</v>
      </c>
      <c r="AA1517" s="4">
        <f>('TE BE'!$AA$29+'TE BF'!$AA$29+'TE CVA'!$AA$29)*(1-CUSTOS!$M$38)</f>
        <v>339.85712613306845</v>
      </c>
      <c r="AB1517" s="4">
        <f>$K$1517*$V$1517</f>
        <v>0</v>
      </c>
      <c r="AC1517" s="4">
        <f>$M$1517*$W$1517</f>
        <v>40.914639999999999</v>
      </c>
      <c r="AD1517" s="4">
        <f>$O$1517*$X$1517</f>
        <v>16.725279999999998</v>
      </c>
      <c r="AE1517" s="4">
        <f>$K$1517*$Y$1517</f>
        <v>0</v>
      </c>
      <c r="AF1517" s="4">
        <f ca="1">$M$1517*$Z$1517</f>
        <v>51.545477860079423</v>
      </c>
      <c r="AG1517" s="4">
        <f>$O$1517*$AA$1517</f>
        <v>17.67257055891956</v>
      </c>
    </row>
    <row r="1518" spans="1:33" ht="11.25" customHeight="1" x14ac:dyDescent="0.25">
      <c r="A1518" s="3" t="s">
        <v>21</v>
      </c>
      <c r="B1518" s="3" t="s">
        <v>44</v>
      </c>
      <c r="C1518" s="3" t="s">
        <v>33</v>
      </c>
      <c r="D1518" s="3" t="s">
        <v>45</v>
      </c>
      <c r="E1518" s="3" t="s">
        <v>25</v>
      </c>
      <c r="F1518" s="3" t="s">
        <v>25</v>
      </c>
      <c r="G1518" s="3" t="s">
        <v>25</v>
      </c>
      <c r="H1518" s="3" t="s">
        <v>34</v>
      </c>
      <c r="I1518" s="6">
        <v>44501</v>
      </c>
      <c r="J1518" s="4">
        <v>0</v>
      </c>
      <c r="K1518" s="4">
        <v>0</v>
      </c>
      <c r="L1518" s="4">
        <v>4.7E-2</v>
      </c>
      <c r="M1518" s="4">
        <v>4.7E-2</v>
      </c>
      <c r="N1518" s="4">
        <v>4.7E-2</v>
      </c>
      <c r="O1518" s="4">
        <v>4.7E-2</v>
      </c>
      <c r="P1518" s="4">
        <v>0</v>
      </c>
      <c r="Q1518" s="3" t="s">
        <v>26</v>
      </c>
      <c r="R1518" s="3">
        <v>0</v>
      </c>
      <c r="S1518" s="4">
        <v>0</v>
      </c>
      <c r="T1518" s="4">
        <v>51</v>
      </c>
      <c r="U1518" s="4">
        <v>69</v>
      </c>
      <c r="V1518" s="4">
        <f>IF(ISERROR(VLOOKUP($S$1518,'TAR FIN'!$A$1:$O$113,15,0)),0,VLOOKUP($S$1518,'TAR FIN'!$A$1:$O$113,15,0))</f>
        <v>0</v>
      </c>
      <c r="W1518" s="4">
        <f>IF(ISERROR(VLOOKUP($T$1518,'TAR FIN'!$A$1:$O$113,15,0)),0,VLOOKUP($T$1518,'TAR FIN'!$A$1:$O$113,15,0))</f>
        <v>786.82</v>
      </c>
      <c r="X1518" s="4">
        <f>IF(ISERROR(VLOOKUP($U$1518,'TAR FIN'!$A$1:$O$113,15,0)),0,VLOOKUP($U$1518,'TAR FIN'!$A$1:$O$113,15,0))</f>
        <v>321.64</v>
      </c>
      <c r="Y1518" s="4"/>
      <c r="Z1518" s="4">
        <f ca="1">('TUSD BE'!$AM$50+'TUSD BF'!$AM$50+'TUSD CVA'!$AM$50)*(1-CUSTOS!$M$38)</f>
        <v>991.25918961691207</v>
      </c>
      <c r="AA1518" s="4">
        <f>('TE BE'!$AA$29+'TE BF'!$AA$29+'TE CVA'!$AA$29)*(1-CUSTOS!$M$38)</f>
        <v>339.85712613306845</v>
      </c>
      <c r="AB1518" s="4">
        <f>$K$1518*$V$1518</f>
        <v>0</v>
      </c>
      <c r="AC1518" s="4">
        <f>$M$1518*$W$1518</f>
        <v>36.980540000000005</v>
      </c>
      <c r="AD1518" s="4">
        <f>$O$1518*$X$1518</f>
        <v>15.11708</v>
      </c>
      <c r="AE1518" s="4">
        <f>$K$1518*$Y$1518</f>
        <v>0</v>
      </c>
      <c r="AF1518" s="4">
        <f ca="1">$M$1518*$Z$1518</f>
        <v>46.589181911994871</v>
      </c>
      <c r="AG1518" s="4">
        <f>$O$1518*$AA$1518</f>
        <v>15.973284928254218</v>
      </c>
    </row>
    <row r="1519" spans="1:33" ht="11.25" customHeight="1" x14ac:dyDescent="0.25">
      <c r="A1519" s="3" t="s">
        <v>21</v>
      </c>
      <c r="B1519" s="3" t="s">
        <v>44</v>
      </c>
      <c r="C1519" s="3" t="s">
        <v>33</v>
      </c>
      <c r="D1519" s="3" t="s">
        <v>45</v>
      </c>
      <c r="E1519" s="3" t="s">
        <v>25</v>
      </c>
      <c r="F1519" s="3" t="s">
        <v>25</v>
      </c>
      <c r="G1519" s="3" t="s">
        <v>25</v>
      </c>
      <c r="H1519" s="3" t="s">
        <v>34</v>
      </c>
      <c r="I1519" s="6">
        <v>44531</v>
      </c>
      <c r="J1519" s="4">
        <v>0</v>
      </c>
      <c r="K1519" s="4">
        <v>0</v>
      </c>
      <c r="L1519" s="4">
        <v>2.1999999999999999E-2</v>
      </c>
      <c r="M1519" s="4">
        <v>2.1999999999999999E-2</v>
      </c>
      <c r="N1519" s="4">
        <v>2.1999999999999999E-2</v>
      </c>
      <c r="O1519" s="4">
        <v>2.1999999999999999E-2</v>
      </c>
      <c r="P1519" s="4">
        <v>0</v>
      </c>
      <c r="Q1519" s="3" t="s">
        <v>26</v>
      </c>
      <c r="R1519" s="3">
        <v>0</v>
      </c>
      <c r="S1519" s="4">
        <v>0</v>
      </c>
      <c r="T1519" s="4">
        <v>51</v>
      </c>
      <c r="U1519" s="4">
        <v>69</v>
      </c>
      <c r="V1519" s="4">
        <f>IF(ISERROR(VLOOKUP($S$1519,'TAR FIN'!$A$1:$O$113,15,0)),0,VLOOKUP($S$1519,'TAR FIN'!$A$1:$O$113,15,0))</f>
        <v>0</v>
      </c>
      <c r="W1519" s="4">
        <f>IF(ISERROR(VLOOKUP($T$1519,'TAR FIN'!$A$1:$O$113,15,0)),0,VLOOKUP($T$1519,'TAR FIN'!$A$1:$O$113,15,0))</f>
        <v>786.82</v>
      </c>
      <c r="X1519" s="4">
        <f>IF(ISERROR(VLOOKUP($U$1519,'TAR FIN'!$A$1:$O$113,15,0)),0,VLOOKUP($U$1519,'TAR FIN'!$A$1:$O$113,15,0))</f>
        <v>321.64</v>
      </c>
      <c r="Y1519" s="4"/>
      <c r="Z1519" s="4">
        <f ca="1">('TUSD BE'!$AM$50+'TUSD BF'!$AM$50+'TUSD CVA'!$AM$50)*(1-CUSTOS!$M$38)</f>
        <v>991.25918961691207</v>
      </c>
      <c r="AA1519" s="4">
        <f>('TE BE'!$AA$29+'TE BF'!$AA$29+'TE CVA'!$AA$29)*(1-CUSTOS!$M$38)</f>
        <v>339.85712613306845</v>
      </c>
      <c r="AB1519" s="4">
        <f>$K$1519*$V$1519</f>
        <v>0</v>
      </c>
      <c r="AC1519" s="4">
        <f>$M$1519*$W$1519</f>
        <v>17.310040000000001</v>
      </c>
      <c r="AD1519" s="4">
        <f>$O$1519*$X$1519</f>
        <v>7.0760799999999993</v>
      </c>
      <c r="AE1519" s="4">
        <f>$K$1519*$Y$1519</f>
        <v>0</v>
      </c>
      <c r="AF1519" s="4">
        <f ca="1">$M$1519*$Z$1519</f>
        <v>21.807702171572064</v>
      </c>
      <c r="AG1519" s="4">
        <f>$O$1519*$AA$1519</f>
        <v>7.476856774927505</v>
      </c>
    </row>
    <row r="1520" spans="1:33" ht="11.25" customHeight="1" x14ac:dyDescent="0.25">
      <c r="A1520" s="3" t="s">
        <v>21</v>
      </c>
      <c r="B1520" s="3" t="s">
        <v>44</v>
      </c>
      <c r="C1520" s="3" t="s">
        <v>33</v>
      </c>
      <c r="D1520" s="3" t="s">
        <v>45</v>
      </c>
      <c r="E1520" s="3" t="s">
        <v>25</v>
      </c>
      <c r="F1520" s="3" t="s">
        <v>25</v>
      </c>
      <c r="G1520" s="3" t="s">
        <v>25</v>
      </c>
      <c r="H1520" s="3" t="s">
        <v>34</v>
      </c>
      <c r="I1520" s="6">
        <v>44562</v>
      </c>
      <c r="J1520" s="4">
        <v>0</v>
      </c>
      <c r="K1520" s="4">
        <v>0</v>
      </c>
      <c r="L1520" s="4">
        <v>2.1999999999999999E-2</v>
      </c>
      <c r="M1520" s="4">
        <v>2.1999999999999999E-2</v>
      </c>
      <c r="N1520" s="4">
        <v>2.1999999999999999E-2</v>
      </c>
      <c r="O1520" s="4">
        <v>2.1999999999999999E-2</v>
      </c>
      <c r="P1520" s="4">
        <v>0</v>
      </c>
      <c r="Q1520" s="3" t="s">
        <v>26</v>
      </c>
      <c r="R1520" s="3">
        <v>0</v>
      </c>
      <c r="S1520" s="4">
        <v>0</v>
      </c>
      <c r="T1520" s="4">
        <v>51</v>
      </c>
      <c r="U1520" s="4">
        <v>69</v>
      </c>
      <c r="V1520" s="4">
        <f>IF(ISERROR(VLOOKUP($S$1520,'TAR FIN'!$A$1:$O$113,15,0)),0,VLOOKUP($S$1520,'TAR FIN'!$A$1:$O$113,15,0))</f>
        <v>0</v>
      </c>
      <c r="W1520" s="4">
        <f>IF(ISERROR(VLOOKUP($T$1520,'TAR FIN'!$A$1:$O$113,15,0)),0,VLOOKUP($T$1520,'TAR FIN'!$A$1:$O$113,15,0))</f>
        <v>786.82</v>
      </c>
      <c r="X1520" s="4">
        <f>IF(ISERROR(VLOOKUP($U$1520,'TAR FIN'!$A$1:$O$113,15,0)),0,VLOOKUP($U$1520,'TAR FIN'!$A$1:$O$113,15,0))</f>
        <v>321.64</v>
      </c>
      <c r="Y1520" s="4"/>
      <c r="Z1520" s="4">
        <f ca="1">('TUSD BE'!$AM$50+'TUSD BF'!$AM$50+'TUSD CVA'!$AM$50)*(1-CUSTOS!$M$38)</f>
        <v>991.25918961691207</v>
      </c>
      <c r="AA1520" s="4">
        <f>('TE BE'!$AA$29+'TE BF'!$AA$29+'TE CVA'!$AA$29)*(1-CUSTOS!$M$38)</f>
        <v>339.85712613306845</v>
      </c>
      <c r="AB1520" s="4">
        <f>$K$1520*$V$1520</f>
        <v>0</v>
      </c>
      <c r="AC1520" s="4">
        <f>$M$1520*$W$1520</f>
        <v>17.310040000000001</v>
      </c>
      <c r="AD1520" s="4">
        <f>$O$1520*$X$1520</f>
        <v>7.0760799999999993</v>
      </c>
      <c r="AE1520" s="4">
        <f>$K$1520*$Y$1520</f>
        <v>0</v>
      </c>
      <c r="AF1520" s="4">
        <f ca="1">$M$1520*$Z$1520</f>
        <v>21.807702171572064</v>
      </c>
      <c r="AG1520" s="4">
        <f>$O$1520*$AA$1520</f>
        <v>7.476856774927505</v>
      </c>
    </row>
    <row r="1521" spans="1:33" ht="11.25" customHeight="1" x14ac:dyDescent="0.25">
      <c r="A1521" s="3" t="s">
        <v>21</v>
      </c>
      <c r="B1521" s="3" t="s">
        <v>44</v>
      </c>
      <c r="C1521" s="3" t="s">
        <v>33</v>
      </c>
      <c r="D1521" s="3" t="s">
        <v>45</v>
      </c>
      <c r="E1521" s="3" t="s">
        <v>25</v>
      </c>
      <c r="F1521" s="3" t="s">
        <v>25</v>
      </c>
      <c r="G1521" s="3" t="s">
        <v>25</v>
      </c>
      <c r="H1521" s="3" t="s">
        <v>34</v>
      </c>
      <c r="I1521" s="6">
        <v>44593</v>
      </c>
      <c r="J1521" s="4">
        <v>0</v>
      </c>
      <c r="K1521" s="4">
        <v>0</v>
      </c>
      <c r="L1521" s="4">
        <v>1.7999999999999999E-2</v>
      </c>
      <c r="M1521" s="4">
        <v>1.7999999999999999E-2</v>
      </c>
      <c r="N1521" s="4">
        <v>1.7999999999999999E-2</v>
      </c>
      <c r="O1521" s="4">
        <v>1.7999999999999999E-2</v>
      </c>
      <c r="P1521" s="4">
        <v>0</v>
      </c>
      <c r="Q1521" s="3" t="s">
        <v>26</v>
      </c>
      <c r="R1521" s="3">
        <v>0</v>
      </c>
      <c r="S1521" s="4">
        <v>0</v>
      </c>
      <c r="T1521" s="4">
        <v>51</v>
      </c>
      <c r="U1521" s="4">
        <v>69</v>
      </c>
      <c r="V1521" s="4">
        <f>IF(ISERROR(VLOOKUP($S$1521,'TAR FIN'!$A$1:$O$113,15,0)),0,VLOOKUP($S$1521,'TAR FIN'!$A$1:$O$113,15,0))</f>
        <v>0</v>
      </c>
      <c r="W1521" s="4">
        <f>IF(ISERROR(VLOOKUP($T$1521,'TAR FIN'!$A$1:$O$113,15,0)),0,VLOOKUP($T$1521,'TAR FIN'!$A$1:$O$113,15,0))</f>
        <v>786.82</v>
      </c>
      <c r="X1521" s="4">
        <f>IF(ISERROR(VLOOKUP($U$1521,'TAR FIN'!$A$1:$O$113,15,0)),0,VLOOKUP($U$1521,'TAR FIN'!$A$1:$O$113,15,0))</f>
        <v>321.64</v>
      </c>
      <c r="Y1521" s="4"/>
      <c r="Z1521" s="4">
        <f ca="1">('TUSD BE'!$AM$50+'TUSD BF'!$AM$50+'TUSD CVA'!$AM$50)*(1-CUSTOS!$M$38)</f>
        <v>991.25918961691207</v>
      </c>
      <c r="AA1521" s="4">
        <f>('TE BE'!$AA$29+'TE BF'!$AA$29+'TE CVA'!$AA$29)*(1-CUSTOS!$M$38)</f>
        <v>339.85712613306845</v>
      </c>
      <c r="AB1521" s="4">
        <f>$K$1521*$V$1521</f>
        <v>0</v>
      </c>
      <c r="AC1521" s="4">
        <f>$M$1521*$W$1521</f>
        <v>14.16276</v>
      </c>
      <c r="AD1521" s="4">
        <f>$O$1521*$X$1521</f>
        <v>5.7895199999999996</v>
      </c>
      <c r="AE1521" s="4">
        <f>$K$1521*$Y$1521</f>
        <v>0</v>
      </c>
      <c r="AF1521" s="4">
        <f ca="1">$M$1521*$Z$1521</f>
        <v>17.842665413104417</v>
      </c>
      <c r="AG1521" s="4">
        <f>$O$1521*$AA$1521</f>
        <v>6.1174282703952318</v>
      </c>
    </row>
    <row r="1522" spans="1:33" ht="11.25" customHeight="1" x14ac:dyDescent="0.25">
      <c r="A1522" s="3" t="s">
        <v>56</v>
      </c>
      <c r="B1522" s="3" t="s">
        <v>44</v>
      </c>
      <c r="C1522" s="3" t="s">
        <v>33</v>
      </c>
      <c r="D1522" s="3" t="s">
        <v>45</v>
      </c>
      <c r="E1522" s="3" t="s">
        <v>25</v>
      </c>
      <c r="F1522" s="3" t="s">
        <v>25</v>
      </c>
      <c r="G1522" s="3" t="s">
        <v>25</v>
      </c>
      <c r="H1522" s="3" t="s">
        <v>34</v>
      </c>
      <c r="I1522" s="6">
        <v>44621</v>
      </c>
      <c r="J1522" s="4">
        <v>0</v>
      </c>
      <c r="K1522" s="4">
        <v>0</v>
      </c>
      <c r="L1522" s="4">
        <v>1.7999999999999999E-2</v>
      </c>
      <c r="M1522" s="4">
        <v>1.7999999999999999E-2</v>
      </c>
      <c r="N1522" s="4">
        <v>1.7999999999999999E-2</v>
      </c>
      <c r="O1522" s="4">
        <v>1.7999999999999999E-2</v>
      </c>
      <c r="P1522" s="4">
        <v>0</v>
      </c>
      <c r="Q1522" s="3" t="s">
        <v>26</v>
      </c>
      <c r="R1522" s="3">
        <v>0</v>
      </c>
      <c r="S1522" s="4">
        <v>0</v>
      </c>
      <c r="T1522" s="4">
        <v>51</v>
      </c>
      <c r="U1522" s="4">
        <v>69</v>
      </c>
      <c r="V1522" s="4">
        <f>IF(ISERROR(VLOOKUP($S$1522,'TAR FIN'!$A$1:$O$113,15,0)),0,VLOOKUP($S$1522,'TAR FIN'!$A$1:$O$113,15,0))</f>
        <v>0</v>
      </c>
      <c r="W1522" s="4">
        <f>IF(ISERROR(VLOOKUP($T$1522,'TAR FIN'!$A$1:$O$113,15,0)),0,VLOOKUP($T$1522,'TAR FIN'!$A$1:$O$113,15,0))</f>
        <v>786.82</v>
      </c>
      <c r="X1522" s="4">
        <f>IF(ISERROR(VLOOKUP($U$1522,'TAR FIN'!$A$1:$O$113,15,0)),0,VLOOKUP($U$1522,'TAR FIN'!$A$1:$O$113,15,0))</f>
        <v>321.64</v>
      </c>
      <c r="Y1522" s="4"/>
      <c r="Z1522" s="4">
        <f ca="1">('TUSD BE'!$AM$50+'TUSD BF'!$AM$50+'TUSD CVA'!$AM$50)*(1-CUSTOS!$M$38)</f>
        <v>991.25918961691207</v>
      </c>
      <c r="AA1522" s="4">
        <f>('TE BE'!$AA$29+'TE BF'!$AA$29+'TE CVA'!$AA$29)*(1-CUSTOS!$M$38)</f>
        <v>339.85712613306845</v>
      </c>
      <c r="AB1522" s="4">
        <f>$K$1522*$V$1522</f>
        <v>0</v>
      </c>
      <c r="AC1522" s="4">
        <f>$M$1522*$W$1522</f>
        <v>14.16276</v>
      </c>
      <c r="AD1522" s="4">
        <f>$O$1522*$X$1522</f>
        <v>5.7895199999999996</v>
      </c>
      <c r="AE1522" s="4">
        <f>$K$1522*$Y$1522</f>
        <v>0</v>
      </c>
      <c r="AF1522" s="4">
        <f ca="1">$M$1522*$Z$1522</f>
        <v>17.842665413104417</v>
      </c>
      <c r="AG1522" s="4">
        <f>$O$1522*$AA$1522</f>
        <v>6.1174282703952318</v>
      </c>
    </row>
    <row r="1523" spans="1:33" ht="11.25" customHeight="1" x14ac:dyDescent="0.25">
      <c r="A1523" s="3" t="s">
        <v>21</v>
      </c>
      <c r="B1523" s="3" t="s">
        <v>44</v>
      </c>
      <c r="C1523" s="3" t="s">
        <v>23</v>
      </c>
      <c r="D1523" s="3" t="s">
        <v>45</v>
      </c>
      <c r="E1523" s="3" t="s">
        <v>53</v>
      </c>
      <c r="F1523" s="3" t="s">
        <v>54</v>
      </c>
      <c r="G1523" s="3" t="s">
        <v>25</v>
      </c>
      <c r="H1523" s="3" t="s">
        <v>25</v>
      </c>
      <c r="I1523" s="6">
        <v>44287</v>
      </c>
      <c r="J1523" s="4">
        <v>0</v>
      </c>
      <c r="K1523" s="4">
        <v>0</v>
      </c>
      <c r="L1523" s="4">
        <v>345.04199999999997</v>
      </c>
      <c r="M1523" s="4">
        <v>345.04199999999997</v>
      </c>
      <c r="N1523" s="4">
        <v>345.04199999999997</v>
      </c>
      <c r="O1523" s="4">
        <v>345.04199999999997</v>
      </c>
      <c r="P1523" s="4">
        <v>0</v>
      </c>
      <c r="Q1523" s="3" t="s">
        <v>26</v>
      </c>
      <c r="R1523" s="3">
        <v>0</v>
      </c>
      <c r="S1523" s="4">
        <v>0</v>
      </c>
      <c r="T1523" s="4">
        <v>34</v>
      </c>
      <c r="U1523" s="4">
        <v>53</v>
      </c>
      <c r="V1523" s="4">
        <f>IF(ISERROR(VLOOKUP($S$1523,'TAR FIN'!$A$1:$O$113,15,0)),0,VLOOKUP($S$1523,'TAR FIN'!$A$1:$O$113,15,0))</f>
        <v>0</v>
      </c>
      <c r="W1523" s="4">
        <f>IF(ISERROR(VLOOKUP($T$1523,'TAR FIN'!$A$1:$O$113,15,0)),0,VLOOKUP($T$1523,'TAR FIN'!$A$1:$O$113,15,0))</f>
        <v>304.64999999999998</v>
      </c>
      <c r="X1523" s="4">
        <f>IF(ISERROR(VLOOKUP($U$1523,'TAR FIN'!$A$1:$O$113,15,0)),0,VLOOKUP($U$1523,'TAR FIN'!$A$1:$O$113,15,0))</f>
        <v>206.13</v>
      </c>
      <c r="Y1523" s="4"/>
      <c r="Z1523" s="4">
        <f ca="1">('TUSD BE'!$AM$53+'TUSD BF'!$AM$53+'TUSD CVA'!$AM$53)*(1-CUSTOS!$M$38)</f>
        <v>386.47391324808456</v>
      </c>
      <c r="AA1523" s="4">
        <f>('TE BE'!$AA$32+'TE BF'!$AA$32+'TE CVA'!$AA$32)*(1-CUSTOS!$M$38)</f>
        <v>220.59856812487419</v>
      </c>
      <c r="AB1523" s="4">
        <f>$K$1523*$V$1523</f>
        <v>0</v>
      </c>
      <c r="AC1523" s="4">
        <f>$M$1523*$W$1523</f>
        <v>105117.04529999998</v>
      </c>
      <c r="AD1523" s="4">
        <f>$O$1523*$X$1523</f>
        <v>71123.507459999993</v>
      </c>
      <c r="AE1523" s="4">
        <f>$K$1523*$Y$1523</f>
        <v>0</v>
      </c>
      <c r="AF1523" s="4">
        <f ca="1">$M$1523*$Z$1523</f>
        <v>133349.73197494558</v>
      </c>
      <c r="AG1523" s="4">
        <f>$O$1523*$AA$1523</f>
        <v>76115.771142942831</v>
      </c>
    </row>
    <row r="1524" spans="1:33" ht="11.25" customHeight="1" x14ac:dyDescent="0.25">
      <c r="A1524" s="3" t="s">
        <v>27</v>
      </c>
      <c r="B1524" s="3" t="s">
        <v>44</v>
      </c>
      <c r="C1524" s="3" t="s">
        <v>23</v>
      </c>
      <c r="D1524" s="3" t="s">
        <v>45</v>
      </c>
      <c r="E1524" s="3" t="s">
        <v>53</v>
      </c>
      <c r="F1524" s="3" t="s">
        <v>54</v>
      </c>
      <c r="G1524" s="3" t="s">
        <v>25</v>
      </c>
      <c r="H1524" s="3" t="s">
        <v>25</v>
      </c>
      <c r="I1524" s="6">
        <v>44287</v>
      </c>
      <c r="J1524" s="4">
        <v>0</v>
      </c>
      <c r="K1524" s="4">
        <v>0</v>
      </c>
      <c r="L1524" s="4">
        <v>-6.665</v>
      </c>
      <c r="M1524" s="4">
        <v>-6.665</v>
      </c>
      <c r="N1524" s="4">
        <v>-6.665</v>
      </c>
      <c r="O1524" s="4">
        <v>-6.665</v>
      </c>
      <c r="P1524" s="4">
        <v>0</v>
      </c>
      <c r="Q1524" s="3" t="s">
        <v>26</v>
      </c>
      <c r="R1524" s="3">
        <v>0</v>
      </c>
      <c r="S1524" s="4">
        <v>0</v>
      </c>
      <c r="T1524" s="4">
        <v>34</v>
      </c>
      <c r="U1524" s="4">
        <v>53</v>
      </c>
      <c r="V1524" s="4">
        <f>IF(ISERROR(VLOOKUP($S$1524,'TAR FIN'!$A$1:$O$113,15,0)),0,VLOOKUP($S$1524,'TAR FIN'!$A$1:$O$113,15,0))</f>
        <v>0</v>
      </c>
      <c r="W1524" s="4">
        <f>IF(ISERROR(VLOOKUP($T$1524,'TAR FIN'!$A$1:$O$113,15,0)),0,VLOOKUP($T$1524,'TAR FIN'!$A$1:$O$113,15,0))</f>
        <v>304.64999999999998</v>
      </c>
      <c r="X1524" s="4">
        <f>IF(ISERROR(VLOOKUP($U$1524,'TAR FIN'!$A$1:$O$113,15,0)),0,VLOOKUP($U$1524,'TAR FIN'!$A$1:$O$113,15,0))</f>
        <v>206.13</v>
      </c>
      <c r="Y1524" s="4"/>
      <c r="Z1524" s="4">
        <f ca="1">('TUSD BE'!$AM$53+'TUSD BF'!$AM$53+'TUSD CVA'!$AM$53)*(1-CUSTOS!$M$38)</f>
        <v>386.47391324808456</v>
      </c>
      <c r="AA1524" s="4">
        <f>('TE BE'!$AA$32+'TE BF'!$AA$32+'TE CVA'!$AA$32)*(1-CUSTOS!$M$38)</f>
        <v>220.59856812487419</v>
      </c>
      <c r="AB1524" s="4">
        <f>$K$1524*$V$1524</f>
        <v>0</v>
      </c>
      <c r="AC1524" s="4">
        <f>$M$1524*$W$1524</f>
        <v>-2030.4922499999998</v>
      </c>
      <c r="AD1524" s="4">
        <f>$O$1524*$X$1524</f>
        <v>-1373.85645</v>
      </c>
      <c r="AE1524" s="4">
        <f>$K$1524*$Y$1524</f>
        <v>0</v>
      </c>
      <c r="AF1524" s="4">
        <f ca="1">$M$1524*$Z$1524</f>
        <v>-2575.8486317984834</v>
      </c>
      <c r="AG1524" s="4">
        <f>$O$1524*$AA$1524</f>
        <v>-1470.2894565522865</v>
      </c>
    </row>
    <row r="1525" spans="1:33" ht="11.25" customHeight="1" x14ac:dyDescent="0.25">
      <c r="A1525" s="3" t="s">
        <v>28</v>
      </c>
      <c r="B1525" s="3" t="s">
        <v>44</v>
      </c>
      <c r="C1525" s="3" t="s">
        <v>23</v>
      </c>
      <c r="D1525" s="3" t="s">
        <v>45</v>
      </c>
      <c r="E1525" s="3" t="s">
        <v>53</v>
      </c>
      <c r="F1525" s="3" t="s">
        <v>54</v>
      </c>
      <c r="G1525" s="3" t="s">
        <v>25</v>
      </c>
      <c r="H1525" s="3" t="s">
        <v>25</v>
      </c>
      <c r="I1525" s="6">
        <v>44287</v>
      </c>
      <c r="J1525" s="4">
        <v>0</v>
      </c>
      <c r="K1525" s="4">
        <v>0</v>
      </c>
      <c r="L1525" s="4">
        <v>1.4039999999999999</v>
      </c>
      <c r="M1525" s="4">
        <v>1.4039999999999999</v>
      </c>
      <c r="N1525" s="4">
        <v>1.4039999999999999</v>
      </c>
      <c r="O1525" s="4">
        <v>1.4039999999999999</v>
      </c>
      <c r="P1525" s="4">
        <v>0</v>
      </c>
      <c r="Q1525" s="3" t="s">
        <v>26</v>
      </c>
      <c r="R1525" s="3">
        <v>0</v>
      </c>
      <c r="S1525" s="4">
        <v>0</v>
      </c>
      <c r="T1525" s="4">
        <v>34</v>
      </c>
      <c r="U1525" s="4">
        <v>53</v>
      </c>
      <c r="V1525" s="4">
        <f>IF(ISERROR(VLOOKUP($S$1525,'TAR FIN'!$A$1:$O$113,15,0)),0,VLOOKUP($S$1525,'TAR FIN'!$A$1:$O$113,15,0))</f>
        <v>0</v>
      </c>
      <c r="W1525" s="4">
        <f>IF(ISERROR(VLOOKUP($T$1525,'TAR FIN'!$A$1:$O$113,15,0)),0,VLOOKUP($T$1525,'TAR FIN'!$A$1:$O$113,15,0))</f>
        <v>304.64999999999998</v>
      </c>
      <c r="X1525" s="4">
        <f>IF(ISERROR(VLOOKUP($U$1525,'TAR FIN'!$A$1:$O$113,15,0)),0,VLOOKUP($U$1525,'TAR FIN'!$A$1:$O$113,15,0))</f>
        <v>206.13</v>
      </c>
      <c r="Y1525" s="4"/>
      <c r="Z1525" s="4">
        <f ca="1">('TUSD BE'!$AM$53+'TUSD BF'!$AM$53+'TUSD CVA'!$AM$53)*(1-CUSTOS!$M$38)</f>
        <v>386.47391324808456</v>
      </c>
      <c r="AA1525" s="4">
        <f>('TE BE'!$AA$32+'TE BF'!$AA$32+'TE CVA'!$AA$32)*(1-CUSTOS!$M$38)</f>
        <v>220.59856812487419</v>
      </c>
      <c r="AB1525" s="4">
        <f>$K$1525*$V$1525</f>
        <v>0</v>
      </c>
      <c r="AC1525" s="4">
        <f>$M$1525*$W$1525</f>
        <v>427.72859999999991</v>
      </c>
      <c r="AD1525" s="4">
        <f>$O$1525*$X$1525</f>
        <v>289.40652</v>
      </c>
      <c r="AE1525" s="4">
        <f>$K$1525*$Y$1525</f>
        <v>0</v>
      </c>
      <c r="AF1525" s="4">
        <f ca="1">$M$1525*$Z$1525</f>
        <v>542.60937420031064</v>
      </c>
      <c r="AG1525" s="4">
        <f>$O$1525*$AA$1525</f>
        <v>309.72038964732337</v>
      </c>
    </row>
    <row r="1526" spans="1:33" ht="11.25" customHeight="1" x14ac:dyDescent="0.25">
      <c r="A1526" s="3" t="s">
        <v>21</v>
      </c>
      <c r="B1526" s="3" t="s">
        <v>44</v>
      </c>
      <c r="C1526" s="3" t="s">
        <v>23</v>
      </c>
      <c r="D1526" s="3" t="s">
        <v>45</v>
      </c>
      <c r="E1526" s="3" t="s">
        <v>53</v>
      </c>
      <c r="F1526" s="3" t="s">
        <v>54</v>
      </c>
      <c r="G1526" s="3" t="s">
        <v>25</v>
      </c>
      <c r="H1526" s="3" t="s">
        <v>25</v>
      </c>
      <c r="I1526" s="6">
        <v>44317</v>
      </c>
      <c r="J1526" s="4">
        <v>0</v>
      </c>
      <c r="K1526" s="4">
        <v>0</v>
      </c>
      <c r="L1526" s="4">
        <v>128.46299999999999</v>
      </c>
      <c r="M1526" s="4">
        <v>128.46299999999999</v>
      </c>
      <c r="N1526" s="4">
        <v>128.46299999999999</v>
      </c>
      <c r="O1526" s="4">
        <v>128.46299999999999</v>
      </c>
      <c r="P1526" s="4">
        <v>0</v>
      </c>
      <c r="Q1526" s="3" t="s">
        <v>26</v>
      </c>
      <c r="R1526" s="3">
        <v>0</v>
      </c>
      <c r="S1526" s="4">
        <v>0</v>
      </c>
      <c r="T1526" s="4">
        <v>34</v>
      </c>
      <c r="U1526" s="4">
        <v>53</v>
      </c>
      <c r="V1526" s="4">
        <f>IF(ISERROR(VLOOKUP($S$1526,'TAR FIN'!$A$1:$O$113,15,0)),0,VLOOKUP($S$1526,'TAR FIN'!$A$1:$O$113,15,0))</f>
        <v>0</v>
      </c>
      <c r="W1526" s="4">
        <f>IF(ISERROR(VLOOKUP($T$1526,'TAR FIN'!$A$1:$O$113,15,0)),0,VLOOKUP($T$1526,'TAR FIN'!$A$1:$O$113,15,0))</f>
        <v>304.64999999999998</v>
      </c>
      <c r="X1526" s="4">
        <f>IF(ISERROR(VLOOKUP($U$1526,'TAR FIN'!$A$1:$O$113,15,0)),0,VLOOKUP($U$1526,'TAR FIN'!$A$1:$O$113,15,0))</f>
        <v>206.13</v>
      </c>
      <c r="Y1526" s="4"/>
      <c r="Z1526" s="4">
        <f ca="1">('TUSD BE'!$AM$53+'TUSD BF'!$AM$53+'TUSD CVA'!$AM$53)*(1-CUSTOS!$M$38)</f>
        <v>386.47391324808456</v>
      </c>
      <c r="AA1526" s="4">
        <f>('TE BE'!$AA$32+'TE BF'!$AA$32+'TE CVA'!$AA$32)*(1-CUSTOS!$M$38)</f>
        <v>220.59856812487419</v>
      </c>
      <c r="AB1526" s="4">
        <f>$K$1526*$V$1526</f>
        <v>0</v>
      </c>
      <c r="AC1526" s="4">
        <f>$M$1526*$W$1526</f>
        <v>39136.252949999995</v>
      </c>
      <c r="AD1526" s="4">
        <f>$O$1526*$X$1526</f>
        <v>26480.078189999997</v>
      </c>
      <c r="AE1526" s="4">
        <f>$K$1526*$Y$1526</f>
        <v>0</v>
      </c>
      <c r="AF1526" s="4">
        <f ca="1">$M$1526*$Z$1526</f>
        <v>49647.598317588687</v>
      </c>
      <c r="AG1526" s="4">
        <f>$O$1526*$AA$1526</f>
        <v>28338.753857025713</v>
      </c>
    </row>
    <row r="1527" spans="1:33" ht="11.25" customHeight="1" x14ac:dyDescent="0.25">
      <c r="A1527" s="3" t="s">
        <v>27</v>
      </c>
      <c r="B1527" s="3" t="s">
        <v>44</v>
      </c>
      <c r="C1527" s="3" t="s">
        <v>23</v>
      </c>
      <c r="D1527" s="3" t="s">
        <v>45</v>
      </c>
      <c r="E1527" s="3" t="s">
        <v>53</v>
      </c>
      <c r="F1527" s="3" t="s">
        <v>54</v>
      </c>
      <c r="G1527" s="3" t="s">
        <v>25</v>
      </c>
      <c r="H1527" s="3" t="s">
        <v>25</v>
      </c>
      <c r="I1527" s="6">
        <v>44317</v>
      </c>
      <c r="J1527" s="4">
        <v>0</v>
      </c>
      <c r="K1527" s="4">
        <v>0</v>
      </c>
      <c r="L1527" s="4">
        <v>-235.178</v>
      </c>
      <c r="M1527" s="4">
        <v>-235.178</v>
      </c>
      <c r="N1527" s="4">
        <v>-235.178</v>
      </c>
      <c r="O1527" s="4">
        <v>-235.178</v>
      </c>
      <c r="P1527" s="4">
        <v>0</v>
      </c>
      <c r="Q1527" s="3" t="s">
        <v>26</v>
      </c>
      <c r="R1527" s="3">
        <v>0</v>
      </c>
      <c r="S1527" s="4">
        <v>0</v>
      </c>
      <c r="T1527" s="4">
        <v>34</v>
      </c>
      <c r="U1527" s="4">
        <v>53</v>
      </c>
      <c r="V1527" s="4">
        <f>IF(ISERROR(VLOOKUP($S$1527,'TAR FIN'!$A$1:$O$113,15,0)),0,VLOOKUP($S$1527,'TAR FIN'!$A$1:$O$113,15,0))</f>
        <v>0</v>
      </c>
      <c r="W1527" s="4">
        <f>IF(ISERROR(VLOOKUP($T$1527,'TAR FIN'!$A$1:$O$113,15,0)),0,VLOOKUP($T$1527,'TAR FIN'!$A$1:$O$113,15,0))</f>
        <v>304.64999999999998</v>
      </c>
      <c r="X1527" s="4">
        <f>IF(ISERROR(VLOOKUP($U$1527,'TAR FIN'!$A$1:$O$113,15,0)),0,VLOOKUP($U$1527,'TAR FIN'!$A$1:$O$113,15,0))</f>
        <v>206.13</v>
      </c>
      <c r="Y1527" s="4"/>
      <c r="Z1527" s="4">
        <f ca="1">('TUSD BE'!$AM$53+'TUSD BF'!$AM$53+'TUSD CVA'!$AM$53)*(1-CUSTOS!$M$38)</f>
        <v>386.47391324808456</v>
      </c>
      <c r="AA1527" s="4">
        <f>('TE BE'!$AA$32+'TE BF'!$AA$32+'TE CVA'!$AA$32)*(1-CUSTOS!$M$38)</f>
        <v>220.59856812487419</v>
      </c>
      <c r="AB1527" s="4">
        <f>$K$1527*$V$1527</f>
        <v>0</v>
      </c>
      <c r="AC1527" s="4">
        <f>$M$1527*$W$1527</f>
        <v>-71646.977699999989</v>
      </c>
      <c r="AD1527" s="4">
        <f>$O$1527*$X$1527</f>
        <v>-48477.241139999998</v>
      </c>
      <c r="AE1527" s="4">
        <f>$K$1527*$Y$1527</f>
        <v>0</v>
      </c>
      <c r="AF1527" s="4">
        <f ca="1">$M$1527*$Z$1527</f>
        <v>-90890.161969858033</v>
      </c>
      <c r="AG1527" s="4">
        <f>$O$1527*$AA$1527</f>
        <v>-51879.930054471661</v>
      </c>
    </row>
    <row r="1528" spans="1:33" ht="11.25" customHeight="1" x14ac:dyDescent="0.25">
      <c r="A1528" s="3" t="s">
        <v>28</v>
      </c>
      <c r="B1528" s="3" t="s">
        <v>44</v>
      </c>
      <c r="C1528" s="3" t="s">
        <v>23</v>
      </c>
      <c r="D1528" s="3" t="s">
        <v>45</v>
      </c>
      <c r="E1528" s="3" t="s">
        <v>53</v>
      </c>
      <c r="F1528" s="3" t="s">
        <v>54</v>
      </c>
      <c r="G1528" s="3" t="s">
        <v>25</v>
      </c>
      <c r="H1528" s="3" t="s">
        <v>25</v>
      </c>
      <c r="I1528" s="6">
        <v>44317</v>
      </c>
      <c r="J1528" s="4">
        <v>0</v>
      </c>
      <c r="K1528" s="4">
        <v>0</v>
      </c>
      <c r="L1528" s="4">
        <v>0.92800000000000005</v>
      </c>
      <c r="M1528" s="4">
        <v>0.92800000000000005</v>
      </c>
      <c r="N1528" s="4">
        <v>0.92800000000000005</v>
      </c>
      <c r="O1528" s="4">
        <v>0.92800000000000005</v>
      </c>
      <c r="P1528" s="4">
        <v>0</v>
      </c>
      <c r="Q1528" s="3" t="s">
        <v>26</v>
      </c>
      <c r="R1528" s="3">
        <v>0</v>
      </c>
      <c r="S1528" s="4">
        <v>0</v>
      </c>
      <c r="T1528" s="4">
        <v>34</v>
      </c>
      <c r="U1528" s="4">
        <v>53</v>
      </c>
      <c r="V1528" s="4">
        <f>IF(ISERROR(VLOOKUP($S$1528,'TAR FIN'!$A$1:$O$113,15,0)),0,VLOOKUP($S$1528,'TAR FIN'!$A$1:$O$113,15,0))</f>
        <v>0</v>
      </c>
      <c r="W1528" s="4">
        <f>IF(ISERROR(VLOOKUP($T$1528,'TAR FIN'!$A$1:$O$113,15,0)),0,VLOOKUP($T$1528,'TAR FIN'!$A$1:$O$113,15,0))</f>
        <v>304.64999999999998</v>
      </c>
      <c r="X1528" s="4">
        <f>IF(ISERROR(VLOOKUP($U$1528,'TAR FIN'!$A$1:$O$113,15,0)),0,VLOOKUP($U$1528,'TAR FIN'!$A$1:$O$113,15,0))</f>
        <v>206.13</v>
      </c>
      <c r="Y1528" s="4"/>
      <c r="Z1528" s="4">
        <f ca="1">('TUSD BE'!$AM$53+'TUSD BF'!$AM$53+'TUSD CVA'!$AM$53)*(1-CUSTOS!$M$38)</f>
        <v>386.47391324808456</v>
      </c>
      <c r="AA1528" s="4">
        <f>('TE BE'!$AA$32+'TE BF'!$AA$32+'TE CVA'!$AA$32)*(1-CUSTOS!$M$38)</f>
        <v>220.59856812487419</v>
      </c>
      <c r="AB1528" s="4">
        <f>$K$1528*$V$1528</f>
        <v>0</v>
      </c>
      <c r="AC1528" s="4">
        <f>$M$1528*$W$1528</f>
        <v>282.71519999999998</v>
      </c>
      <c r="AD1528" s="4">
        <f>$O$1528*$X$1528</f>
        <v>191.28864000000002</v>
      </c>
      <c r="AE1528" s="4">
        <f>$K$1528*$Y$1528</f>
        <v>0</v>
      </c>
      <c r="AF1528" s="4">
        <f ca="1">$M$1528*$Z$1528</f>
        <v>358.64779149422247</v>
      </c>
      <c r="AG1528" s="4">
        <f>$O$1528*$AA$1528</f>
        <v>204.71547121988326</v>
      </c>
    </row>
    <row r="1529" spans="1:33" ht="11.25" customHeight="1" x14ac:dyDescent="0.25">
      <c r="A1529" s="3" t="s">
        <v>21</v>
      </c>
      <c r="B1529" s="3" t="s">
        <v>44</v>
      </c>
      <c r="C1529" s="3" t="s">
        <v>23</v>
      </c>
      <c r="D1529" s="3" t="s">
        <v>45</v>
      </c>
      <c r="E1529" s="3" t="s">
        <v>53</v>
      </c>
      <c r="F1529" s="3" t="s">
        <v>54</v>
      </c>
      <c r="G1529" s="3" t="s">
        <v>25</v>
      </c>
      <c r="H1529" s="3" t="s">
        <v>25</v>
      </c>
      <c r="I1529" s="6">
        <v>44348</v>
      </c>
      <c r="J1529" s="4">
        <v>0</v>
      </c>
      <c r="K1529" s="4">
        <v>0</v>
      </c>
      <c r="L1529" s="4">
        <v>127.322</v>
      </c>
      <c r="M1529" s="4">
        <v>127.322</v>
      </c>
      <c r="N1529" s="4">
        <v>127.322</v>
      </c>
      <c r="O1529" s="4">
        <v>127.322</v>
      </c>
      <c r="P1529" s="4">
        <v>0</v>
      </c>
      <c r="Q1529" s="3" t="s">
        <v>26</v>
      </c>
      <c r="R1529" s="3">
        <v>0</v>
      </c>
      <c r="S1529" s="4">
        <v>0</v>
      </c>
      <c r="T1529" s="4">
        <v>34</v>
      </c>
      <c r="U1529" s="4">
        <v>53</v>
      </c>
      <c r="V1529" s="4">
        <f>IF(ISERROR(VLOOKUP($S$1529,'TAR FIN'!$A$1:$O$113,15,0)),0,VLOOKUP($S$1529,'TAR FIN'!$A$1:$O$113,15,0))</f>
        <v>0</v>
      </c>
      <c r="W1529" s="4">
        <f>IF(ISERROR(VLOOKUP($T$1529,'TAR FIN'!$A$1:$O$113,15,0)),0,VLOOKUP($T$1529,'TAR FIN'!$A$1:$O$113,15,0))</f>
        <v>304.64999999999998</v>
      </c>
      <c r="X1529" s="4">
        <f>IF(ISERROR(VLOOKUP($U$1529,'TAR FIN'!$A$1:$O$113,15,0)),0,VLOOKUP($U$1529,'TAR FIN'!$A$1:$O$113,15,0))</f>
        <v>206.13</v>
      </c>
      <c r="Y1529" s="4"/>
      <c r="Z1529" s="4">
        <f ca="1">('TUSD BE'!$AM$53+'TUSD BF'!$AM$53+'TUSD CVA'!$AM$53)*(1-CUSTOS!$M$38)</f>
        <v>386.47391324808456</v>
      </c>
      <c r="AA1529" s="4">
        <f>('TE BE'!$AA$32+'TE BF'!$AA$32+'TE CVA'!$AA$32)*(1-CUSTOS!$M$38)</f>
        <v>220.59856812487419</v>
      </c>
      <c r="AB1529" s="4">
        <f>$K$1529*$V$1529</f>
        <v>0</v>
      </c>
      <c r="AC1529" s="4">
        <f>$M$1529*$W$1529</f>
        <v>38788.647299999997</v>
      </c>
      <c r="AD1529" s="4">
        <f>$O$1529*$X$1529</f>
        <v>26244.883860000002</v>
      </c>
      <c r="AE1529" s="4">
        <f>$K$1529*$Y$1529</f>
        <v>0</v>
      </c>
      <c r="AF1529" s="4">
        <f ca="1">$M$1529*$Z$1529</f>
        <v>49206.63158257262</v>
      </c>
      <c r="AG1529" s="4">
        <f>$O$1529*$AA$1529</f>
        <v>28087.050890795232</v>
      </c>
    </row>
    <row r="1530" spans="1:33" ht="11.25" customHeight="1" x14ac:dyDescent="0.25">
      <c r="A1530" s="3" t="s">
        <v>27</v>
      </c>
      <c r="B1530" s="3" t="s">
        <v>44</v>
      </c>
      <c r="C1530" s="3" t="s">
        <v>23</v>
      </c>
      <c r="D1530" s="3" t="s">
        <v>45</v>
      </c>
      <c r="E1530" s="3" t="s">
        <v>53</v>
      </c>
      <c r="F1530" s="3" t="s">
        <v>54</v>
      </c>
      <c r="G1530" s="3" t="s">
        <v>25</v>
      </c>
      <c r="H1530" s="3" t="s">
        <v>25</v>
      </c>
      <c r="I1530" s="6">
        <v>44348</v>
      </c>
      <c r="J1530" s="4">
        <v>0</v>
      </c>
      <c r="K1530" s="4">
        <v>0</v>
      </c>
      <c r="L1530" s="4">
        <v>0.63300000000000001</v>
      </c>
      <c r="M1530" s="4">
        <v>0.63300000000000001</v>
      </c>
      <c r="N1530" s="4">
        <v>0.63300000000000001</v>
      </c>
      <c r="O1530" s="4">
        <v>0.63300000000000001</v>
      </c>
      <c r="P1530" s="4">
        <v>0</v>
      </c>
      <c r="Q1530" s="3" t="s">
        <v>26</v>
      </c>
      <c r="R1530" s="3">
        <v>0</v>
      </c>
      <c r="S1530" s="4">
        <v>0</v>
      </c>
      <c r="T1530" s="4">
        <v>34</v>
      </c>
      <c r="U1530" s="4">
        <v>53</v>
      </c>
      <c r="V1530" s="4">
        <f>IF(ISERROR(VLOOKUP($S$1530,'TAR FIN'!$A$1:$O$113,15,0)),0,VLOOKUP($S$1530,'TAR FIN'!$A$1:$O$113,15,0))</f>
        <v>0</v>
      </c>
      <c r="W1530" s="4">
        <f>IF(ISERROR(VLOOKUP($T$1530,'TAR FIN'!$A$1:$O$113,15,0)),0,VLOOKUP($T$1530,'TAR FIN'!$A$1:$O$113,15,0))</f>
        <v>304.64999999999998</v>
      </c>
      <c r="X1530" s="4">
        <f>IF(ISERROR(VLOOKUP($U$1530,'TAR FIN'!$A$1:$O$113,15,0)),0,VLOOKUP($U$1530,'TAR FIN'!$A$1:$O$113,15,0))</f>
        <v>206.13</v>
      </c>
      <c r="Y1530" s="4"/>
      <c r="Z1530" s="4">
        <f ca="1">('TUSD BE'!$AM$53+'TUSD BF'!$AM$53+'TUSD CVA'!$AM$53)*(1-CUSTOS!$M$38)</f>
        <v>386.47391324808456</v>
      </c>
      <c r="AA1530" s="4">
        <f>('TE BE'!$AA$32+'TE BF'!$AA$32+'TE CVA'!$AA$32)*(1-CUSTOS!$M$38)</f>
        <v>220.59856812487419</v>
      </c>
      <c r="AB1530" s="4">
        <f>$K$1530*$V$1530</f>
        <v>0</v>
      </c>
      <c r="AC1530" s="4">
        <f>$M$1530*$W$1530</f>
        <v>192.84344999999999</v>
      </c>
      <c r="AD1530" s="4">
        <f>$O$1530*$X$1530</f>
        <v>130.48029</v>
      </c>
      <c r="AE1530" s="4">
        <f>$K$1530*$Y$1530</f>
        <v>0</v>
      </c>
      <c r="AF1530" s="4">
        <f ca="1">$M$1530*$Z$1530</f>
        <v>244.63798708603753</v>
      </c>
      <c r="AG1530" s="4">
        <f>$O$1530*$AA$1530</f>
        <v>139.63889362304536</v>
      </c>
    </row>
    <row r="1531" spans="1:33" ht="11.25" customHeight="1" x14ac:dyDescent="0.25">
      <c r="A1531" s="3" t="s">
        <v>28</v>
      </c>
      <c r="B1531" s="3" t="s">
        <v>44</v>
      </c>
      <c r="C1531" s="3" t="s">
        <v>23</v>
      </c>
      <c r="D1531" s="3" t="s">
        <v>45</v>
      </c>
      <c r="E1531" s="3" t="s">
        <v>53</v>
      </c>
      <c r="F1531" s="3" t="s">
        <v>54</v>
      </c>
      <c r="G1531" s="3" t="s">
        <v>25</v>
      </c>
      <c r="H1531" s="3" t="s">
        <v>25</v>
      </c>
      <c r="I1531" s="6">
        <v>44348</v>
      </c>
      <c r="J1531" s="4">
        <v>0</v>
      </c>
      <c r="K1531" s="4">
        <v>0</v>
      </c>
      <c r="L1531" s="4">
        <v>0.49199999999999999</v>
      </c>
      <c r="M1531" s="4">
        <v>0.49199999999999999</v>
      </c>
      <c r="N1531" s="4">
        <v>0.49199999999999999</v>
      </c>
      <c r="O1531" s="4">
        <v>0.49199999999999999</v>
      </c>
      <c r="P1531" s="4">
        <v>0</v>
      </c>
      <c r="Q1531" s="3" t="s">
        <v>26</v>
      </c>
      <c r="R1531" s="3">
        <v>0</v>
      </c>
      <c r="S1531" s="4">
        <v>0</v>
      </c>
      <c r="T1531" s="4">
        <v>34</v>
      </c>
      <c r="U1531" s="4">
        <v>53</v>
      </c>
      <c r="V1531" s="4">
        <f>IF(ISERROR(VLOOKUP($S$1531,'TAR FIN'!$A$1:$O$113,15,0)),0,VLOOKUP($S$1531,'TAR FIN'!$A$1:$O$113,15,0))</f>
        <v>0</v>
      </c>
      <c r="W1531" s="4">
        <f>IF(ISERROR(VLOOKUP($T$1531,'TAR FIN'!$A$1:$O$113,15,0)),0,VLOOKUP($T$1531,'TAR FIN'!$A$1:$O$113,15,0))</f>
        <v>304.64999999999998</v>
      </c>
      <c r="X1531" s="4">
        <f>IF(ISERROR(VLOOKUP($U$1531,'TAR FIN'!$A$1:$O$113,15,0)),0,VLOOKUP($U$1531,'TAR FIN'!$A$1:$O$113,15,0))</f>
        <v>206.13</v>
      </c>
      <c r="Y1531" s="4"/>
      <c r="Z1531" s="4">
        <f ca="1">('TUSD BE'!$AM$53+'TUSD BF'!$AM$53+'TUSD CVA'!$AM$53)*(1-CUSTOS!$M$38)</f>
        <v>386.47391324808456</v>
      </c>
      <c r="AA1531" s="4">
        <f>('TE BE'!$AA$32+'TE BF'!$AA$32+'TE CVA'!$AA$32)*(1-CUSTOS!$M$38)</f>
        <v>220.59856812487419</v>
      </c>
      <c r="AB1531" s="4">
        <f>$K$1531*$V$1531</f>
        <v>0</v>
      </c>
      <c r="AC1531" s="4">
        <f>$M$1531*$W$1531</f>
        <v>149.8878</v>
      </c>
      <c r="AD1531" s="4">
        <f>$O$1531*$X$1531</f>
        <v>101.41596</v>
      </c>
      <c r="AE1531" s="4">
        <f>$K$1531*$Y$1531</f>
        <v>0</v>
      </c>
      <c r="AF1531" s="4">
        <f ca="1">$M$1531*$Z$1531</f>
        <v>190.14516531805759</v>
      </c>
      <c r="AG1531" s="4">
        <f>$O$1531*$AA$1531</f>
        <v>108.5344955174381</v>
      </c>
    </row>
    <row r="1532" spans="1:33" ht="11.25" customHeight="1" x14ac:dyDescent="0.25">
      <c r="A1532" s="3" t="s">
        <v>21</v>
      </c>
      <c r="B1532" s="3" t="s">
        <v>44</v>
      </c>
      <c r="C1532" s="3" t="s">
        <v>23</v>
      </c>
      <c r="D1532" s="3" t="s">
        <v>45</v>
      </c>
      <c r="E1532" s="3" t="s">
        <v>53</v>
      </c>
      <c r="F1532" s="3" t="s">
        <v>54</v>
      </c>
      <c r="G1532" s="3" t="s">
        <v>25</v>
      </c>
      <c r="H1532" s="3" t="s">
        <v>25</v>
      </c>
      <c r="I1532" s="6">
        <v>44378</v>
      </c>
      <c r="J1532" s="4">
        <v>0</v>
      </c>
      <c r="K1532" s="4">
        <v>0</v>
      </c>
      <c r="L1532" s="4">
        <v>108.435</v>
      </c>
      <c r="M1532" s="4">
        <v>108.435</v>
      </c>
      <c r="N1532" s="4">
        <v>108.435</v>
      </c>
      <c r="O1532" s="4">
        <v>108.435</v>
      </c>
      <c r="P1532" s="4">
        <v>0</v>
      </c>
      <c r="Q1532" s="3" t="s">
        <v>26</v>
      </c>
      <c r="R1532" s="3">
        <v>0</v>
      </c>
      <c r="S1532" s="4">
        <v>0</v>
      </c>
      <c r="T1532" s="4">
        <v>34</v>
      </c>
      <c r="U1532" s="4">
        <v>53</v>
      </c>
      <c r="V1532" s="4">
        <f>IF(ISERROR(VLOOKUP($S$1532,'TAR FIN'!$A$1:$O$113,15,0)),0,VLOOKUP($S$1532,'TAR FIN'!$A$1:$O$113,15,0))</f>
        <v>0</v>
      </c>
      <c r="W1532" s="4">
        <f>IF(ISERROR(VLOOKUP($T$1532,'TAR FIN'!$A$1:$O$113,15,0)),0,VLOOKUP($T$1532,'TAR FIN'!$A$1:$O$113,15,0))</f>
        <v>304.64999999999998</v>
      </c>
      <c r="X1532" s="4">
        <f>IF(ISERROR(VLOOKUP($U$1532,'TAR FIN'!$A$1:$O$113,15,0)),0,VLOOKUP($U$1532,'TAR FIN'!$A$1:$O$113,15,0))</f>
        <v>206.13</v>
      </c>
      <c r="Y1532" s="4"/>
      <c r="Z1532" s="4">
        <f ca="1">('TUSD BE'!$AM$53+'TUSD BF'!$AM$53+'TUSD CVA'!$AM$53)*(1-CUSTOS!$M$38)</f>
        <v>386.47391324808456</v>
      </c>
      <c r="AA1532" s="4">
        <f>('TE BE'!$AA$32+'TE BF'!$AA$32+'TE CVA'!$AA$32)*(1-CUSTOS!$M$38)</f>
        <v>220.59856812487419</v>
      </c>
      <c r="AB1532" s="4">
        <f>$K$1532*$V$1532</f>
        <v>0</v>
      </c>
      <c r="AC1532" s="4">
        <f>$M$1532*$W$1532</f>
        <v>33034.722750000001</v>
      </c>
      <c r="AD1532" s="4">
        <f>$O$1532*$X$1532</f>
        <v>22351.706549999999</v>
      </c>
      <c r="AE1532" s="4">
        <f>$K$1532*$Y$1532</f>
        <v>0</v>
      </c>
      <c r="AF1532" s="4">
        <f ca="1">$M$1532*$Z$1532</f>
        <v>41907.298783056052</v>
      </c>
      <c r="AG1532" s="4">
        <f>$O$1532*$AA$1532</f>
        <v>23920.605734620734</v>
      </c>
    </row>
    <row r="1533" spans="1:33" ht="11.25" customHeight="1" x14ac:dyDescent="0.25">
      <c r="A1533" s="3" t="s">
        <v>27</v>
      </c>
      <c r="B1533" s="3" t="s">
        <v>44</v>
      </c>
      <c r="C1533" s="3" t="s">
        <v>23</v>
      </c>
      <c r="D1533" s="3" t="s">
        <v>45</v>
      </c>
      <c r="E1533" s="3" t="s">
        <v>53</v>
      </c>
      <c r="F1533" s="3" t="s">
        <v>54</v>
      </c>
      <c r="G1533" s="3" t="s">
        <v>25</v>
      </c>
      <c r="H1533" s="3" t="s">
        <v>25</v>
      </c>
      <c r="I1533" s="6">
        <v>44378</v>
      </c>
      <c r="J1533" s="4">
        <v>0</v>
      </c>
      <c r="K1533" s="4">
        <v>0</v>
      </c>
      <c r="L1533" s="4">
        <v>-1.014</v>
      </c>
      <c r="M1533" s="4">
        <v>-1.014</v>
      </c>
      <c r="N1533" s="4">
        <v>-1.014</v>
      </c>
      <c r="O1533" s="4">
        <v>-1.014</v>
      </c>
      <c r="P1533" s="4">
        <v>0</v>
      </c>
      <c r="Q1533" s="3" t="s">
        <v>26</v>
      </c>
      <c r="R1533" s="3">
        <v>0</v>
      </c>
      <c r="S1533" s="4">
        <v>0</v>
      </c>
      <c r="T1533" s="4">
        <v>34</v>
      </c>
      <c r="U1533" s="4">
        <v>53</v>
      </c>
      <c r="V1533" s="4">
        <f>IF(ISERROR(VLOOKUP($S$1533,'TAR FIN'!$A$1:$O$113,15,0)),0,VLOOKUP($S$1533,'TAR FIN'!$A$1:$O$113,15,0))</f>
        <v>0</v>
      </c>
      <c r="W1533" s="4">
        <f>IF(ISERROR(VLOOKUP($T$1533,'TAR FIN'!$A$1:$O$113,15,0)),0,VLOOKUP($T$1533,'TAR FIN'!$A$1:$O$113,15,0))</f>
        <v>304.64999999999998</v>
      </c>
      <c r="X1533" s="4">
        <f>IF(ISERROR(VLOOKUP($U$1533,'TAR FIN'!$A$1:$O$113,15,0)),0,VLOOKUP($U$1533,'TAR FIN'!$A$1:$O$113,15,0))</f>
        <v>206.13</v>
      </c>
      <c r="Y1533" s="4"/>
      <c r="Z1533" s="4">
        <f ca="1">('TUSD BE'!$AM$53+'TUSD BF'!$AM$53+'TUSD CVA'!$AM$53)*(1-CUSTOS!$M$38)</f>
        <v>386.47391324808456</v>
      </c>
      <c r="AA1533" s="4">
        <f>('TE BE'!$AA$32+'TE BF'!$AA$32+'TE CVA'!$AA$32)*(1-CUSTOS!$M$38)</f>
        <v>220.59856812487419</v>
      </c>
      <c r="AB1533" s="4">
        <f>$K$1533*$V$1533</f>
        <v>0</v>
      </c>
      <c r="AC1533" s="4">
        <f>$M$1533*$W$1533</f>
        <v>-308.9151</v>
      </c>
      <c r="AD1533" s="4">
        <f>$O$1533*$X$1533</f>
        <v>-209.01581999999999</v>
      </c>
      <c r="AE1533" s="4">
        <f>$K$1533*$Y$1533</f>
        <v>0</v>
      </c>
      <c r="AF1533" s="4">
        <f ca="1">$M$1533*$Z$1533</f>
        <v>-391.88454803355773</v>
      </c>
      <c r="AG1533" s="4">
        <f>$O$1533*$AA$1533</f>
        <v>-223.68694807862244</v>
      </c>
    </row>
    <row r="1534" spans="1:33" ht="11.25" customHeight="1" x14ac:dyDescent="0.25">
      <c r="A1534" s="3" t="s">
        <v>28</v>
      </c>
      <c r="B1534" s="3" t="s">
        <v>44</v>
      </c>
      <c r="C1534" s="3" t="s">
        <v>23</v>
      </c>
      <c r="D1534" s="3" t="s">
        <v>45</v>
      </c>
      <c r="E1534" s="3" t="s">
        <v>53</v>
      </c>
      <c r="F1534" s="3" t="s">
        <v>54</v>
      </c>
      <c r="G1534" s="3" t="s">
        <v>25</v>
      </c>
      <c r="H1534" s="3" t="s">
        <v>25</v>
      </c>
      <c r="I1534" s="6">
        <v>44378</v>
      </c>
      <c r="J1534" s="4">
        <v>0</v>
      </c>
      <c r="K1534" s="4">
        <v>0</v>
      </c>
      <c r="L1534" s="4">
        <v>0.625</v>
      </c>
      <c r="M1534" s="4">
        <v>0.625</v>
      </c>
      <c r="N1534" s="4">
        <v>0.625</v>
      </c>
      <c r="O1534" s="4">
        <v>0.625</v>
      </c>
      <c r="P1534" s="4">
        <v>0</v>
      </c>
      <c r="Q1534" s="3" t="s">
        <v>26</v>
      </c>
      <c r="R1534" s="3">
        <v>0</v>
      </c>
      <c r="S1534" s="4">
        <v>0</v>
      </c>
      <c r="T1534" s="4">
        <v>34</v>
      </c>
      <c r="U1534" s="4">
        <v>53</v>
      </c>
      <c r="V1534" s="4">
        <f>IF(ISERROR(VLOOKUP($S$1534,'TAR FIN'!$A$1:$O$113,15,0)),0,VLOOKUP($S$1534,'TAR FIN'!$A$1:$O$113,15,0))</f>
        <v>0</v>
      </c>
      <c r="W1534" s="4">
        <f>IF(ISERROR(VLOOKUP($T$1534,'TAR FIN'!$A$1:$O$113,15,0)),0,VLOOKUP($T$1534,'TAR FIN'!$A$1:$O$113,15,0))</f>
        <v>304.64999999999998</v>
      </c>
      <c r="X1534" s="4">
        <f>IF(ISERROR(VLOOKUP($U$1534,'TAR FIN'!$A$1:$O$113,15,0)),0,VLOOKUP($U$1534,'TAR FIN'!$A$1:$O$113,15,0))</f>
        <v>206.13</v>
      </c>
      <c r="Y1534" s="4"/>
      <c r="Z1534" s="4">
        <f ca="1">('TUSD BE'!$AM$53+'TUSD BF'!$AM$53+'TUSD CVA'!$AM$53)*(1-CUSTOS!$M$38)</f>
        <v>386.47391324808456</v>
      </c>
      <c r="AA1534" s="4">
        <f>('TE BE'!$AA$32+'TE BF'!$AA$32+'TE CVA'!$AA$32)*(1-CUSTOS!$M$38)</f>
        <v>220.59856812487419</v>
      </c>
      <c r="AB1534" s="4">
        <f>$K$1534*$V$1534</f>
        <v>0</v>
      </c>
      <c r="AC1534" s="4">
        <f>$M$1534*$W$1534</f>
        <v>190.40625</v>
      </c>
      <c r="AD1534" s="4">
        <f>$O$1534*$X$1534</f>
        <v>128.83125000000001</v>
      </c>
      <c r="AE1534" s="4">
        <f>$K$1534*$Y$1534</f>
        <v>0</v>
      </c>
      <c r="AF1534" s="4">
        <f ca="1">$M$1534*$Z$1534</f>
        <v>241.54619578005284</v>
      </c>
      <c r="AG1534" s="4">
        <f>$O$1534*$AA$1534</f>
        <v>137.87410507804637</v>
      </c>
    </row>
    <row r="1535" spans="1:33" ht="11.25" customHeight="1" x14ac:dyDescent="0.25">
      <c r="A1535" s="3" t="s">
        <v>21</v>
      </c>
      <c r="B1535" s="3" t="s">
        <v>44</v>
      </c>
      <c r="C1535" s="3" t="s">
        <v>23</v>
      </c>
      <c r="D1535" s="3" t="s">
        <v>45</v>
      </c>
      <c r="E1535" s="3" t="s">
        <v>53</v>
      </c>
      <c r="F1535" s="3" t="s">
        <v>54</v>
      </c>
      <c r="G1535" s="3" t="s">
        <v>25</v>
      </c>
      <c r="H1535" s="3" t="s">
        <v>25</v>
      </c>
      <c r="I1535" s="6">
        <v>44409</v>
      </c>
      <c r="J1535" s="4">
        <v>0</v>
      </c>
      <c r="K1535" s="4">
        <v>0</v>
      </c>
      <c r="L1535" s="4">
        <v>109.678</v>
      </c>
      <c r="M1535" s="4">
        <v>109.678</v>
      </c>
      <c r="N1535" s="4">
        <v>109.678</v>
      </c>
      <c r="O1535" s="4">
        <v>109.678</v>
      </c>
      <c r="P1535" s="4">
        <v>0</v>
      </c>
      <c r="Q1535" s="3" t="s">
        <v>26</v>
      </c>
      <c r="R1535" s="3">
        <v>0</v>
      </c>
      <c r="S1535" s="4">
        <v>0</v>
      </c>
      <c r="T1535" s="4">
        <v>34</v>
      </c>
      <c r="U1535" s="4">
        <v>53</v>
      </c>
      <c r="V1535" s="4">
        <f>IF(ISERROR(VLOOKUP($S$1535,'TAR FIN'!$A$1:$O$113,15,0)),0,VLOOKUP($S$1535,'TAR FIN'!$A$1:$O$113,15,0))</f>
        <v>0</v>
      </c>
      <c r="W1535" s="4">
        <f>IF(ISERROR(VLOOKUP($T$1535,'TAR FIN'!$A$1:$O$113,15,0)),0,VLOOKUP($T$1535,'TAR FIN'!$A$1:$O$113,15,0))</f>
        <v>304.64999999999998</v>
      </c>
      <c r="X1535" s="4">
        <f>IF(ISERROR(VLOOKUP($U$1535,'TAR FIN'!$A$1:$O$113,15,0)),0,VLOOKUP($U$1535,'TAR FIN'!$A$1:$O$113,15,0))</f>
        <v>206.13</v>
      </c>
      <c r="Y1535" s="4"/>
      <c r="Z1535" s="4">
        <f ca="1">('TUSD BE'!$AM$53+'TUSD BF'!$AM$53+'TUSD CVA'!$AM$53)*(1-CUSTOS!$M$38)</f>
        <v>386.47391324808456</v>
      </c>
      <c r="AA1535" s="4">
        <f>('TE BE'!$AA$32+'TE BF'!$AA$32+'TE CVA'!$AA$32)*(1-CUSTOS!$M$38)</f>
        <v>220.59856812487419</v>
      </c>
      <c r="AB1535" s="4">
        <f>$K$1535*$V$1535</f>
        <v>0</v>
      </c>
      <c r="AC1535" s="4">
        <f>$M$1535*$W$1535</f>
        <v>33413.402699999999</v>
      </c>
      <c r="AD1535" s="4">
        <f>$O$1535*$X$1535</f>
        <v>22607.92614</v>
      </c>
      <c r="AE1535" s="4">
        <f>$K$1535*$Y$1535</f>
        <v>0</v>
      </c>
      <c r="AF1535" s="4">
        <f ca="1">$M$1535*$Z$1535</f>
        <v>42387.68585722342</v>
      </c>
      <c r="AG1535" s="4">
        <f>$O$1535*$AA$1535</f>
        <v>24194.80975479995</v>
      </c>
    </row>
    <row r="1536" spans="1:33" ht="11.25" customHeight="1" x14ac:dyDescent="0.25">
      <c r="A1536" s="3" t="s">
        <v>27</v>
      </c>
      <c r="B1536" s="3" t="s">
        <v>44</v>
      </c>
      <c r="C1536" s="3" t="s">
        <v>23</v>
      </c>
      <c r="D1536" s="3" t="s">
        <v>45</v>
      </c>
      <c r="E1536" s="3" t="s">
        <v>53</v>
      </c>
      <c r="F1536" s="3" t="s">
        <v>54</v>
      </c>
      <c r="G1536" s="3" t="s">
        <v>25</v>
      </c>
      <c r="H1536" s="3" t="s">
        <v>25</v>
      </c>
      <c r="I1536" s="6">
        <v>44409</v>
      </c>
      <c r="J1536" s="4">
        <v>0</v>
      </c>
      <c r="K1536" s="4">
        <v>0</v>
      </c>
      <c r="L1536" s="4">
        <v>-5.5410000000000004</v>
      </c>
      <c r="M1536" s="4">
        <v>-5.5410000000000004</v>
      </c>
      <c r="N1536" s="4">
        <v>-5.5410000000000004</v>
      </c>
      <c r="O1536" s="4">
        <v>-5.5410000000000004</v>
      </c>
      <c r="P1536" s="4">
        <v>0</v>
      </c>
      <c r="Q1536" s="3" t="s">
        <v>26</v>
      </c>
      <c r="R1536" s="3">
        <v>0</v>
      </c>
      <c r="S1536" s="4">
        <v>0</v>
      </c>
      <c r="T1536" s="4">
        <v>34</v>
      </c>
      <c r="U1536" s="4">
        <v>53</v>
      </c>
      <c r="V1536" s="4">
        <f>IF(ISERROR(VLOOKUP($S$1536,'TAR FIN'!$A$1:$O$113,15,0)),0,VLOOKUP($S$1536,'TAR FIN'!$A$1:$O$113,15,0))</f>
        <v>0</v>
      </c>
      <c r="W1536" s="4">
        <f>IF(ISERROR(VLOOKUP($T$1536,'TAR FIN'!$A$1:$O$113,15,0)),0,VLOOKUP($T$1536,'TAR FIN'!$A$1:$O$113,15,0))</f>
        <v>304.64999999999998</v>
      </c>
      <c r="X1536" s="4">
        <f>IF(ISERROR(VLOOKUP($U$1536,'TAR FIN'!$A$1:$O$113,15,0)),0,VLOOKUP($U$1536,'TAR FIN'!$A$1:$O$113,15,0))</f>
        <v>206.13</v>
      </c>
      <c r="Y1536" s="4"/>
      <c r="Z1536" s="4">
        <f ca="1">('TUSD BE'!$AM$53+'TUSD BF'!$AM$53+'TUSD CVA'!$AM$53)*(1-CUSTOS!$M$38)</f>
        <v>386.47391324808456</v>
      </c>
      <c r="AA1536" s="4">
        <f>('TE BE'!$AA$32+'TE BF'!$AA$32+'TE CVA'!$AA$32)*(1-CUSTOS!$M$38)</f>
        <v>220.59856812487419</v>
      </c>
      <c r="AB1536" s="4">
        <f>$K$1536*$V$1536</f>
        <v>0</v>
      </c>
      <c r="AC1536" s="4">
        <f>$M$1536*$W$1536</f>
        <v>-1688.06565</v>
      </c>
      <c r="AD1536" s="4">
        <f>$O$1536*$X$1536</f>
        <v>-1142.16633</v>
      </c>
      <c r="AE1536" s="4">
        <f>$K$1536*$Y$1536</f>
        <v>0</v>
      </c>
      <c r="AF1536" s="4">
        <f ca="1">$M$1536*$Z$1536</f>
        <v>-2141.4519533076368</v>
      </c>
      <c r="AG1536" s="4">
        <f>$O$1536*$AA$1536</f>
        <v>-1222.3366659799281</v>
      </c>
    </row>
    <row r="1537" spans="1:33" ht="11.25" customHeight="1" x14ac:dyDescent="0.25">
      <c r="A1537" s="3" t="s">
        <v>28</v>
      </c>
      <c r="B1537" s="3" t="s">
        <v>44</v>
      </c>
      <c r="C1537" s="3" t="s">
        <v>23</v>
      </c>
      <c r="D1537" s="3" t="s">
        <v>45</v>
      </c>
      <c r="E1537" s="3" t="s">
        <v>53</v>
      </c>
      <c r="F1537" s="3" t="s">
        <v>54</v>
      </c>
      <c r="G1537" s="3" t="s">
        <v>25</v>
      </c>
      <c r="H1537" s="3" t="s">
        <v>25</v>
      </c>
      <c r="I1537" s="6">
        <v>44409</v>
      </c>
      <c r="J1537" s="4">
        <v>0</v>
      </c>
      <c r="K1537" s="4">
        <v>0</v>
      </c>
      <c r="L1537" s="4">
        <v>0.66200000000000003</v>
      </c>
      <c r="M1537" s="4">
        <v>0.66200000000000003</v>
      </c>
      <c r="N1537" s="4">
        <v>0.66200000000000003</v>
      </c>
      <c r="O1537" s="4">
        <v>0.66200000000000003</v>
      </c>
      <c r="P1537" s="4">
        <v>0</v>
      </c>
      <c r="Q1537" s="3" t="s">
        <v>26</v>
      </c>
      <c r="R1537" s="3">
        <v>0</v>
      </c>
      <c r="S1537" s="4">
        <v>0</v>
      </c>
      <c r="T1537" s="4">
        <v>34</v>
      </c>
      <c r="U1537" s="4">
        <v>53</v>
      </c>
      <c r="V1537" s="4">
        <f>IF(ISERROR(VLOOKUP($S$1537,'TAR FIN'!$A$1:$O$113,15,0)),0,VLOOKUP($S$1537,'TAR FIN'!$A$1:$O$113,15,0))</f>
        <v>0</v>
      </c>
      <c r="W1537" s="4">
        <f>IF(ISERROR(VLOOKUP($T$1537,'TAR FIN'!$A$1:$O$113,15,0)),0,VLOOKUP($T$1537,'TAR FIN'!$A$1:$O$113,15,0))</f>
        <v>304.64999999999998</v>
      </c>
      <c r="X1537" s="4">
        <f>IF(ISERROR(VLOOKUP($U$1537,'TAR FIN'!$A$1:$O$113,15,0)),0,VLOOKUP($U$1537,'TAR FIN'!$A$1:$O$113,15,0))</f>
        <v>206.13</v>
      </c>
      <c r="Y1537" s="4"/>
      <c r="Z1537" s="4">
        <f ca="1">('TUSD BE'!$AM$53+'TUSD BF'!$AM$53+'TUSD CVA'!$AM$53)*(1-CUSTOS!$M$38)</f>
        <v>386.47391324808456</v>
      </c>
      <c r="AA1537" s="4">
        <f>('TE BE'!$AA$32+'TE BF'!$AA$32+'TE CVA'!$AA$32)*(1-CUSTOS!$M$38)</f>
        <v>220.59856812487419</v>
      </c>
      <c r="AB1537" s="4">
        <f>$K$1537*$V$1537</f>
        <v>0</v>
      </c>
      <c r="AC1537" s="4">
        <f>$M$1537*$W$1537</f>
        <v>201.67830000000001</v>
      </c>
      <c r="AD1537" s="4">
        <f>$O$1537*$X$1537</f>
        <v>136.45806000000002</v>
      </c>
      <c r="AE1537" s="4">
        <f>$K$1537*$Y$1537</f>
        <v>0</v>
      </c>
      <c r="AF1537" s="4">
        <f ca="1">$M$1537*$Z$1537</f>
        <v>255.84573057023198</v>
      </c>
      <c r="AG1537" s="4">
        <f>$O$1537*$AA$1537</f>
        <v>146.03625209866672</v>
      </c>
    </row>
    <row r="1538" spans="1:33" ht="11.25" customHeight="1" x14ac:dyDescent="0.25">
      <c r="A1538" s="3" t="s">
        <v>21</v>
      </c>
      <c r="B1538" s="3" t="s">
        <v>44</v>
      </c>
      <c r="C1538" s="3" t="s">
        <v>23</v>
      </c>
      <c r="D1538" s="3" t="s">
        <v>45</v>
      </c>
      <c r="E1538" s="3" t="s">
        <v>53</v>
      </c>
      <c r="F1538" s="3" t="s">
        <v>54</v>
      </c>
      <c r="G1538" s="3" t="s">
        <v>25</v>
      </c>
      <c r="H1538" s="3" t="s">
        <v>25</v>
      </c>
      <c r="I1538" s="6">
        <v>44440</v>
      </c>
      <c r="J1538" s="4">
        <v>0</v>
      </c>
      <c r="K1538" s="4">
        <v>0</v>
      </c>
      <c r="L1538" s="4">
        <v>194.71899999999999</v>
      </c>
      <c r="M1538" s="4">
        <v>194.71899999999999</v>
      </c>
      <c r="N1538" s="4">
        <v>194.71899999999999</v>
      </c>
      <c r="O1538" s="4">
        <v>194.71899999999999</v>
      </c>
      <c r="P1538" s="4">
        <v>0</v>
      </c>
      <c r="Q1538" s="3" t="s">
        <v>26</v>
      </c>
      <c r="R1538" s="3">
        <v>0</v>
      </c>
      <c r="S1538" s="4">
        <v>0</v>
      </c>
      <c r="T1538" s="4">
        <v>34</v>
      </c>
      <c r="U1538" s="4">
        <v>53</v>
      </c>
      <c r="V1538" s="4">
        <f>IF(ISERROR(VLOOKUP($S$1538,'TAR FIN'!$A$1:$O$113,15,0)),0,VLOOKUP($S$1538,'TAR FIN'!$A$1:$O$113,15,0))</f>
        <v>0</v>
      </c>
      <c r="W1538" s="4">
        <f>IF(ISERROR(VLOOKUP($T$1538,'TAR FIN'!$A$1:$O$113,15,0)),0,VLOOKUP($T$1538,'TAR FIN'!$A$1:$O$113,15,0))</f>
        <v>304.64999999999998</v>
      </c>
      <c r="X1538" s="4">
        <f>IF(ISERROR(VLOOKUP($U$1538,'TAR FIN'!$A$1:$O$113,15,0)),0,VLOOKUP($U$1538,'TAR FIN'!$A$1:$O$113,15,0))</f>
        <v>206.13</v>
      </c>
      <c r="Y1538" s="4"/>
      <c r="Z1538" s="4">
        <f ca="1">('TUSD BE'!$AM$53+'TUSD BF'!$AM$53+'TUSD CVA'!$AM$53)*(1-CUSTOS!$M$38)</f>
        <v>386.47391324808456</v>
      </c>
      <c r="AA1538" s="4">
        <f>('TE BE'!$AA$32+'TE BF'!$AA$32+'TE CVA'!$AA$32)*(1-CUSTOS!$M$38)</f>
        <v>220.59856812487419</v>
      </c>
      <c r="AB1538" s="4">
        <f>$K$1538*$V$1538</f>
        <v>0</v>
      </c>
      <c r="AC1538" s="4">
        <f>$M$1538*$W$1538</f>
        <v>59321.143349999991</v>
      </c>
      <c r="AD1538" s="4">
        <f>$O$1538*$X$1538</f>
        <v>40137.427469999995</v>
      </c>
      <c r="AE1538" s="4">
        <f>$K$1538*$Y$1538</f>
        <v>0</v>
      </c>
      <c r="AF1538" s="4">
        <f ca="1">$M$1538*$Z$1538</f>
        <v>75253.81391375378</v>
      </c>
      <c r="AG1538" s="4">
        <f>$O$1538*$AA$1538</f>
        <v>42954.732586707374</v>
      </c>
    </row>
    <row r="1539" spans="1:33" ht="11.25" customHeight="1" x14ac:dyDescent="0.25">
      <c r="A1539" s="3" t="s">
        <v>27</v>
      </c>
      <c r="B1539" s="3" t="s">
        <v>44</v>
      </c>
      <c r="C1539" s="3" t="s">
        <v>23</v>
      </c>
      <c r="D1539" s="3" t="s">
        <v>45</v>
      </c>
      <c r="E1539" s="3" t="s">
        <v>53</v>
      </c>
      <c r="F1539" s="3" t="s">
        <v>54</v>
      </c>
      <c r="G1539" s="3" t="s">
        <v>25</v>
      </c>
      <c r="H1539" s="3" t="s">
        <v>25</v>
      </c>
      <c r="I1539" s="6">
        <v>44440</v>
      </c>
      <c r="J1539" s="4">
        <v>0</v>
      </c>
      <c r="K1539" s="4">
        <v>0</v>
      </c>
      <c r="L1539" s="4">
        <v>-16.681000000000001</v>
      </c>
      <c r="M1539" s="4">
        <v>-16.681000000000001</v>
      </c>
      <c r="N1539" s="4">
        <v>-16.681000000000001</v>
      </c>
      <c r="O1539" s="4">
        <v>-16.681000000000001</v>
      </c>
      <c r="P1539" s="4">
        <v>0</v>
      </c>
      <c r="Q1539" s="3" t="s">
        <v>26</v>
      </c>
      <c r="R1539" s="3">
        <v>0</v>
      </c>
      <c r="S1539" s="4">
        <v>0</v>
      </c>
      <c r="T1539" s="4">
        <v>34</v>
      </c>
      <c r="U1539" s="4">
        <v>53</v>
      </c>
      <c r="V1539" s="4">
        <f>IF(ISERROR(VLOOKUP($S$1539,'TAR FIN'!$A$1:$O$113,15,0)),0,VLOOKUP($S$1539,'TAR FIN'!$A$1:$O$113,15,0))</f>
        <v>0</v>
      </c>
      <c r="W1539" s="4">
        <f>IF(ISERROR(VLOOKUP($T$1539,'TAR FIN'!$A$1:$O$113,15,0)),0,VLOOKUP($T$1539,'TAR FIN'!$A$1:$O$113,15,0))</f>
        <v>304.64999999999998</v>
      </c>
      <c r="X1539" s="4">
        <f>IF(ISERROR(VLOOKUP($U$1539,'TAR FIN'!$A$1:$O$113,15,0)),0,VLOOKUP($U$1539,'TAR FIN'!$A$1:$O$113,15,0))</f>
        <v>206.13</v>
      </c>
      <c r="Y1539" s="4"/>
      <c r="Z1539" s="4">
        <f ca="1">('TUSD BE'!$AM$53+'TUSD BF'!$AM$53+'TUSD CVA'!$AM$53)*(1-CUSTOS!$M$38)</f>
        <v>386.47391324808456</v>
      </c>
      <c r="AA1539" s="4">
        <f>('TE BE'!$AA$32+'TE BF'!$AA$32+'TE CVA'!$AA$32)*(1-CUSTOS!$M$38)</f>
        <v>220.59856812487419</v>
      </c>
      <c r="AB1539" s="4">
        <f>$K$1539*$V$1539</f>
        <v>0</v>
      </c>
      <c r="AC1539" s="4">
        <f>$M$1539*$W$1539</f>
        <v>-5081.8666499999999</v>
      </c>
      <c r="AD1539" s="4">
        <f>$O$1539*$X$1539</f>
        <v>-3438.45453</v>
      </c>
      <c r="AE1539" s="4">
        <f>$K$1539*$Y$1539</f>
        <v>0</v>
      </c>
      <c r="AF1539" s="4">
        <f ca="1">$M$1539*$Z$1539</f>
        <v>-6446.7713468912989</v>
      </c>
      <c r="AG1539" s="4">
        <f>$O$1539*$AA$1539</f>
        <v>-3679.8047148910264</v>
      </c>
    </row>
    <row r="1540" spans="1:33" ht="11.25" customHeight="1" x14ac:dyDescent="0.25">
      <c r="A1540" s="3" t="s">
        <v>28</v>
      </c>
      <c r="B1540" s="3" t="s">
        <v>44</v>
      </c>
      <c r="C1540" s="3" t="s">
        <v>23</v>
      </c>
      <c r="D1540" s="3" t="s">
        <v>45</v>
      </c>
      <c r="E1540" s="3" t="s">
        <v>53</v>
      </c>
      <c r="F1540" s="3" t="s">
        <v>54</v>
      </c>
      <c r="G1540" s="3" t="s">
        <v>25</v>
      </c>
      <c r="H1540" s="3" t="s">
        <v>25</v>
      </c>
      <c r="I1540" s="6">
        <v>44440</v>
      </c>
      <c r="J1540" s="4">
        <v>0</v>
      </c>
      <c r="K1540" s="4">
        <v>0</v>
      </c>
      <c r="L1540" s="4">
        <v>1.1639999999999999</v>
      </c>
      <c r="M1540" s="4">
        <v>1.1639999999999999</v>
      </c>
      <c r="N1540" s="4">
        <v>1.1639999999999999</v>
      </c>
      <c r="O1540" s="4">
        <v>1.1639999999999999</v>
      </c>
      <c r="P1540" s="4">
        <v>0</v>
      </c>
      <c r="Q1540" s="3" t="s">
        <v>26</v>
      </c>
      <c r="R1540" s="3">
        <v>0</v>
      </c>
      <c r="S1540" s="4">
        <v>0</v>
      </c>
      <c r="T1540" s="4">
        <v>34</v>
      </c>
      <c r="U1540" s="4">
        <v>53</v>
      </c>
      <c r="V1540" s="4">
        <f>IF(ISERROR(VLOOKUP($S$1540,'TAR FIN'!$A$1:$O$113,15,0)),0,VLOOKUP($S$1540,'TAR FIN'!$A$1:$O$113,15,0))</f>
        <v>0</v>
      </c>
      <c r="W1540" s="4">
        <f>IF(ISERROR(VLOOKUP($T$1540,'TAR FIN'!$A$1:$O$113,15,0)),0,VLOOKUP($T$1540,'TAR FIN'!$A$1:$O$113,15,0))</f>
        <v>304.64999999999998</v>
      </c>
      <c r="X1540" s="4">
        <f>IF(ISERROR(VLOOKUP($U$1540,'TAR FIN'!$A$1:$O$113,15,0)),0,VLOOKUP($U$1540,'TAR FIN'!$A$1:$O$113,15,0))</f>
        <v>206.13</v>
      </c>
      <c r="Y1540" s="4"/>
      <c r="Z1540" s="4">
        <f ca="1">('TUSD BE'!$AM$53+'TUSD BF'!$AM$53+'TUSD CVA'!$AM$53)*(1-CUSTOS!$M$38)</f>
        <v>386.47391324808456</v>
      </c>
      <c r="AA1540" s="4">
        <f>('TE BE'!$AA$32+'TE BF'!$AA$32+'TE CVA'!$AA$32)*(1-CUSTOS!$M$38)</f>
        <v>220.59856812487419</v>
      </c>
      <c r="AB1540" s="4">
        <f>$K$1540*$V$1540</f>
        <v>0</v>
      </c>
      <c r="AC1540" s="4">
        <f>$M$1540*$W$1540</f>
        <v>354.61259999999993</v>
      </c>
      <c r="AD1540" s="4">
        <f>$O$1540*$X$1540</f>
        <v>239.93531999999999</v>
      </c>
      <c r="AE1540" s="4">
        <f>$K$1540*$Y$1540</f>
        <v>0</v>
      </c>
      <c r="AF1540" s="4">
        <f ca="1">$M$1540*$Z$1540</f>
        <v>449.85563502077042</v>
      </c>
      <c r="AG1540" s="4">
        <f>$O$1540*$AA$1540</f>
        <v>256.77673329735353</v>
      </c>
    </row>
    <row r="1541" spans="1:33" ht="11.25" customHeight="1" x14ac:dyDescent="0.25">
      <c r="A1541" s="3" t="s">
        <v>21</v>
      </c>
      <c r="B1541" s="3" t="s">
        <v>44</v>
      </c>
      <c r="C1541" s="3" t="s">
        <v>23</v>
      </c>
      <c r="D1541" s="3" t="s">
        <v>45</v>
      </c>
      <c r="E1541" s="3" t="s">
        <v>53</v>
      </c>
      <c r="F1541" s="3" t="s">
        <v>54</v>
      </c>
      <c r="G1541" s="3" t="s">
        <v>25</v>
      </c>
      <c r="H1541" s="3" t="s">
        <v>25</v>
      </c>
      <c r="I1541" s="6">
        <v>44470</v>
      </c>
      <c r="J1541" s="4">
        <v>0</v>
      </c>
      <c r="K1541" s="4">
        <v>0</v>
      </c>
      <c r="L1541" s="4">
        <v>328.14800000000002</v>
      </c>
      <c r="M1541" s="4">
        <v>328.14800000000002</v>
      </c>
      <c r="N1541" s="4">
        <v>328.14800000000002</v>
      </c>
      <c r="O1541" s="4">
        <v>328.14800000000002</v>
      </c>
      <c r="P1541" s="4">
        <v>0</v>
      </c>
      <c r="Q1541" s="3" t="s">
        <v>26</v>
      </c>
      <c r="R1541" s="3">
        <v>0</v>
      </c>
      <c r="S1541" s="4">
        <v>0</v>
      </c>
      <c r="T1541" s="4">
        <v>34</v>
      </c>
      <c r="U1541" s="4">
        <v>53</v>
      </c>
      <c r="V1541" s="4">
        <f>IF(ISERROR(VLOOKUP($S$1541,'TAR FIN'!$A$1:$O$113,15,0)),0,VLOOKUP($S$1541,'TAR FIN'!$A$1:$O$113,15,0))</f>
        <v>0</v>
      </c>
      <c r="W1541" s="4">
        <f>IF(ISERROR(VLOOKUP($T$1541,'TAR FIN'!$A$1:$O$113,15,0)),0,VLOOKUP($T$1541,'TAR FIN'!$A$1:$O$113,15,0))</f>
        <v>304.64999999999998</v>
      </c>
      <c r="X1541" s="4">
        <f>IF(ISERROR(VLOOKUP($U$1541,'TAR FIN'!$A$1:$O$113,15,0)),0,VLOOKUP($U$1541,'TAR FIN'!$A$1:$O$113,15,0))</f>
        <v>206.13</v>
      </c>
      <c r="Y1541" s="4"/>
      <c r="Z1541" s="4">
        <f ca="1">('TUSD BE'!$AM$53+'TUSD BF'!$AM$53+'TUSD CVA'!$AM$53)*(1-CUSTOS!$M$38)</f>
        <v>386.47391324808456</v>
      </c>
      <c r="AA1541" s="4">
        <f>('TE BE'!$AA$32+'TE BF'!$AA$32+'TE CVA'!$AA$32)*(1-CUSTOS!$M$38)</f>
        <v>220.59856812487419</v>
      </c>
      <c r="AB1541" s="4">
        <f>$K$1541*$V$1541</f>
        <v>0</v>
      </c>
      <c r="AC1541" s="4">
        <f>$M$1541*$W$1541</f>
        <v>99970.288199999995</v>
      </c>
      <c r="AD1541" s="4">
        <f>$O$1541*$X$1541</f>
        <v>67641.147240000006</v>
      </c>
      <c r="AE1541" s="4">
        <f>$K$1541*$Y$1541</f>
        <v>0</v>
      </c>
      <c r="AF1541" s="4">
        <f ca="1">$M$1541*$Z$1541</f>
        <v>126820.64168453246</v>
      </c>
      <c r="AG1541" s="4">
        <f>$O$1541*$AA$1541</f>
        <v>72388.978933041217</v>
      </c>
    </row>
    <row r="1542" spans="1:33" ht="11.25" customHeight="1" x14ac:dyDescent="0.25">
      <c r="A1542" s="3" t="s">
        <v>27</v>
      </c>
      <c r="B1542" s="3" t="s">
        <v>44</v>
      </c>
      <c r="C1542" s="3" t="s">
        <v>23</v>
      </c>
      <c r="D1542" s="3" t="s">
        <v>45</v>
      </c>
      <c r="E1542" s="3" t="s">
        <v>53</v>
      </c>
      <c r="F1542" s="3" t="s">
        <v>54</v>
      </c>
      <c r="G1542" s="3" t="s">
        <v>25</v>
      </c>
      <c r="H1542" s="3" t="s">
        <v>25</v>
      </c>
      <c r="I1542" s="6">
        <v>44470</v>
      </c>
      <c r="J1542" s="4">
        <v>0</v>
      </c>
      <c r="K1542" s="4">
        <v>0</v>
      </c>
      <c r="L1542" s="4">
        <v>-1.736</v>
      </c>
      <c r="M1542" s="4">
        <v>-1.736</v>
      </c>
      <c r="N1542" s="4">
        <v>-1.736</v>
      </c>
      <c r="O1542" s="4">
        <v>-1.736</v>
      </c>
      <c r="P1542" s="4">
        <v>0</v>
      </c>
      <c r="Q1542" s="3" t="s">
        <v>26</v>
      </c>
      <c r="R1542" s="3">
        <v>0</v>
      </c>
      <c r="S1542" s="4">
        <v>0</v>
      </c>
      <c r="T1542" s="4">
        <v>34</v>
      </c>
      <c r="U1542" s="4">
        <v>53</v>
      </c>
      <c r="V1542" s="4">
        <f>IF(ISERROR(VLOOKUP($S$1542,'TAR FIN'!$A$1:$O$113,15,0)),0,VLOOKUP($S$1542,'TAR FIN'!$A$1:$O$113,15,0))</f>
        <v>0</v>
      </c>
      <c r="W1542" s="4">
        <f>IF(ISERROR(VLOOKUP($T$1542,'TAR FIN'!$A$1:$O$113,15,0)),0,VLOOKUP($T$1542,'TAR FIN'!$A$1:$O$113,15,0))</f>
        <v>304.64999999999998</v>
      </c>
      <c r="X1542" s="4">
        <f>IF(ISERROR(VLOOKUP($U$1542,'TAR FIN'!$A$1:$O$113,15,0)),0,VLOOKUP($U$1542,'TAR FIN'!$A$1:$O$113,15,0))</f>
        <v>206.13</v>
      </c>
      <c r="Y1542" s="4"/>
      <c r="Z1542" s="4">
        <f ca="1">('TUSD BE'!$AM$53+'TUSD BF'!$AM$53+'TUSD CVA'!$AM$53)*(1-CUSTOS!$M$38)</f>
        <v>386.47391324808456</v>
      </c>
      <c r="AA1542" s="4">
        <f>('TE BE'!$AA$32+'TE BF'!$AA$32+'TE CVA'!$AA$32)*(1-CUSTOS!$M$38)</f>
        <v>220.59856812487419</v>
      </c>
      <c r="AB1542" s="4">
        <f>$K$1542*$V$1542</f>
        <v>0</v>
      </c>
      <c r="AC1542" s="4">
        <f>$M$1542*$W$1542</f>
        <v>-528.87239999999997</v>
      </c>
      <c r="AD1542" s="4">
        <f>$O$1542*$X$1542</f>
        <v>-357.84168</v>
      </c>
      <c r="AE1542" s="4">
        <f>$K$1542*$Y$1542</f>
        <v>0</v>
      </c>
      <c r="AF1542" s="4">
        <f ca="1">$M$1542*$Z$1542</f>
        <v>-670.91871339867475</v>
      </c>
      <c r="AG1542" s="4">
        <f>$O$1542*$AA$1542</f>
        <v>-382.95911426478159</v>
      </c>
    </row>
    <row r="1543" spans="1:33" ht="11.25" customHeight="1" x14ac:dyDescent="0.25">
      <c r="A1543" s="3" t="s">
        <v>28</v>
      </c>
      <c r="B1543" s="3" t="s">
        <v>44</v>
      </c>
      <c r="C1543" s="3" t="s">
        <v>23</v>
      </c>
      <c r="D1543" s="3" t="s">
        <v>45</v>
      </c>
      <c r="E1543" s="3" t="s">
        <v>53</v>
      </c>
      <c r="F1543" s="3" t="s">
        <v>54</v>
      </c>
      <c r="G1543" s="3" t="s">
        <v>25</v>
      </c>
      <c r="H1543" s="3" t="s">
        <v>25</v>
      </c>
      <c r="I1543" s="6">
        <v>44470</v>
      </c>
      <c r="J1543" s="4">
        <v>0</v>
      </c>
      <c r="K1543" s="4">
        <v>0</v>
      </c>
      <c r="L1543" s="4">
        <v>2.2109999999999999</v>
      </c>
      <c r="M1543" s="4">
        <v>2.2109999999999999</v>
      </c>
      <c r="N1543" s="4">
        <v>2.2109999999999999</v>
      </c>
      <c r="O1543" s="4">
        <v>2.2109999999999999</v>
      </c>
      <c r="P1543" s="4">
        <v>0</v>
      </c>
      <c r="Q1543" s="3" t="s">
        <v>26</v>
      </c>
      <c r="R1543" s="3">
        <v>0</v>
      </c>
      <c r="S1543" s="4">
        <v>0</v>
      </c>
      <c r="T1543" s="4">
        <v>34</v>
      </c>
      <c r="U1543" s="4">
        <v>53</v>
      </c>
      <c r="V1543" s="4">
        <f>IF(ISERROR(VLOOKUP($S$1543,'TAR FIN'!$A$1:$O$113,15,0)),0,VLOOKUP($S$1543,'TAR FIN'!$A$1:$O$113,15,0))</f>
        <v>0</v>
      </c>
      <c r="W1543" s="4">
        <f>IF(ISERROR(VLOOKUP($T$1543,'TAR FIN'!$A$1:$O$113,15,0)),0,VLOOKUP($T$1543,'TAR FIN'!$A$1:$O$113,15,0))</f>
        <v>304.64999999999998</v>
      </c>
      <c r="X1543" s="4">
        <f>IF(ISERROR(VLOOKUP($U$1543,'TAR FIN'!$A$1:$O$113,15,0)),0,VLOOKUP($U$1543,'TAR FIN'!$A$1:$O$113,15,0))</f>
        <v>206.13</v>
      </c>
      <c r="Y1543" s="4"/>
      <c r="Z1543" s="4">
        <f ca="1">('TUSD BE'!$AM$53+'TUSD BF'!$AM$53+'TUSD CVA'!$AM$53)*(1-CUSTOS!$M$38)</f>
        <v>386.47391324808456</v>
      </c>
      <c r="AA1543" s="4">
        <f>('TE BE'!$AA$32+'TE BF'!$AA$32+'TE CVA'!$AA$32)*(1-CUSTOS!$M$38)</f>
        <v>220.59856812487419</v>
      </c>
      <c r="AB1543" s="4">
        <f>$K$1543*$V$1543</f>
        <v>0</v>
      </c>
      <c r="AC1543" s="4">
        <f>$M$1543*$W$1543</f>
        <v>673.58114999999987</v>
      </c>
      <c r="AD1543" s="4">
        <f>$O$1543*$X$1543</f>
        <v>455.75342999999998</v>
      </c>
      <c r="AE1543" s="4">
        <f>$K$1543*$Y$1543</f>
        <v>0</v>
      </c>
      <c r="AF1543" s="4">
        <f ca="1">$M$1543*$Z$1543</f>
        <v>854.49382219151494</v>
      </c>
      <c r="AG1543" s="4">
        <f>$O$1543*$AA$1543</f>
        <v>487.74343412409678</v>
      </c>
    </row>
    <row r="1544" spans="1:33" ht="11.25" customHeight="1" x14ac:dyDescent="0.25">
      <c r="A1544" s="3" t="s">
        <v>21</v>
      </c>
      <c r="B1544" s="3" t="s">
        <v>44</v>
      </c>
      <c r="C1544" s="3" t="s">
        <v>23</v>
      </c>
      <c r="D1544" s="3" t="s">
        <v>45</v>
      </c>
      <c r="E1544" s="3" t="s">
        <v>53</v>
      </c>
      <c r="F1544" s="3" t="s">
        <v>54</v>
      </c>
      <c r="G1544" s="3" t="s">
        <v>25</v>
      </c>
      <c r="H1544" s="3" t="s">
        <v>25</v>
      </c>
      <c r="I1544" s="6">
        <v>44501</v>
      </c>
      <c r="J1544" s="4">
        <v>0</v>
      </c>
      <c r="K1544" s="4">
        <v>0</v>
      </c>
      <c r="L1544" s="4">
        <v>306.173</v>
      </c>
      <c r="M1544" s="4">
        <v>306.173</v>
      </c>
      <c r="N1544" s="4">
        <v>306.173</v>
      </c>
      <c r="O1544" s="4">
        <v>306.173</v>
      </c>
      <c r="P1544" s="4">
        <v>0</v>
      </c>
      <c r="Q1544" s="3" t="s">
        <v>26</v>
      </c>
      <c r="R1544" s="3">
        <v>0</v>
      </c>
      <c r="S1544" s="4">
        <v>0</v>
      </c>
      <c r="T1544" s="4">
        <v>34</v>
      </c>
      <c r="U1544" s="4">
        <v>53</v>
      </c>
      <c r="V1544" s="4">
        <f>IF(ISERROR(VLOOKUP($S$1544,'TAR FIN'!$A$1:$O$113,15,0)),0,VLOOKUP($S$1544,'TAR FIN'!$A$1:$O$113,15,0))</f>
        <v>0</v>
      </c>
      <c r="W1544" s="4">
        <f>IF(ISERROR(VLOOKUP($T$1544,'TAR FIN'!$A$1:$O$113,15,0)),0,VLOOKUP($T$1544,'TAR FIN'!$A$1:$O$113,15,0))</f>
        <v>304.64999999999998</v>
      </c>
      <c r="X1544" s="4">
        <f>IF(ISERROR(VLOOKUP($U$1544,'TAR FIN'!$A$1:$O$113,15,0)),0,VLOOKUP($U$1544,'TAR FIN'!$A$1:$O$113,15,0))</f>
        <v>206.13</v>
      </c>
      <c r="Y1544" s="4"/>
      <c r="Z1544" s="4">
        <f ca="1">('TUSD BE'!$AM$53+'TUSD BF'!$AM$53+'TUSD CVA'!$AM$53)*(1-CUSTOS!$M$38)</f>
        <v>386.47391324808456</v>
      </c>
      <c r="AA1544" s="4">
        <f>('TE BE'!$AA$32+'TE BF'!$AA$32+'TE CVA'!$AA$32)*(1-CUSTOS!$M$38)</f>
        <v>220.59856812487419</v>
      </c>
      <c r="AB1544" s="4">
        <f>$K$1544*$V$1544</f>
        <v>0</v>
      </c>
      <c r="AC1544" s="4">
        <f>$M$1544*$W$1544</f>
        <v>93275.604449999999</v>
      </c>
      <c r="AD1544" s="4">
        <f>$O$1544*$X$1544</f>
        <v>63111.440490000001</v>
      </c>
      <c r="AE1544" s="4">
        <f>$K$1544*$Y$1544</f>
        <v>0</v>
      </c>
      <c r="AF1544" s="4">
        <f ca="1">$M$1544*$Z$1544</f>
        <v>118327.8774409058</v>
      </c>
      <c r="AG1544" s="4">
        <f>$O$1544*$AA$1544</f>
        <v>67541.325398497109</v>
      </c>
    </row>
    <row r="1545" spans="1:33" ht="11.25" customHeight="1" x14ac:dyDescent="0.25">
      <c r="A1545" s="3" t="s">
        <v>27</v>
      </c>
      <c r="B1545" s="3" t="s">
        <v>44</v>
      </c>
      <c r="C1545" s="3" t="s">
        <v>23</v>
      </c>
      <c r="D1545" s="3" t="s">
        <v>45</v>
      </c>
      <c r="E1545" s="3" t="s">
        <v>53</v>
      </c>
      <c r="F1545" s="3" t="s">
        <v>54</v>
      </c>
      <c r="G1545" s="3" t="s">
        <v>25</v>
      </c>
      <c r="H1545" s="3" t="s">
        <v>25</v>
      </c>
      <c r="I1545" s="6">
        <v>44501</v>
      </c>
      <c r="J1545" s="4">
        <v>0</v>
      </c>
      <c r="K1545" s="4">
        <v>0</v>
      </c>
      <c r="L1545" s="4">
        <v>-14.065</v>
      </c>
      <c r="M1545" s="4">
        <v>-14.065</v>
      </c>
      <c r="N1545" s="4">
        <v>-14.065</v>
      </c>
      <c r="O1545" s="4">
        <v>-14.065</v>
      </c>
      <c r="P1545" s="4">
        <v>0</v>
      </c>
      <c r="Q1545" s="3" t="s">
        <v>26</v>
      </c>
      <c r="R1545" s="3">
        <v>0</v>
      </c>
      <c r="S1545" s="4">
        <v>0</v>
      </c>
      <c r="T1545" s="4">
        <v>34</v>
      </c>
      <c r="U1545" s="4">
        <v>53</v>
      </c>
      <c r="V1545" s="4">
        <f>IF(ISERROR(VLOOKUP($S$1545,'TAR FIN'!$A$1:$O$113,15,0)),0,VLOOKUP($S$1545,'TAR FIN'!$A$1:$O$113,15,0))</f>
        <v>0</v>
      </c>
      <c r="W1545" s="4">
        <f>IF(ISERROR(VLOOKUP($T$1545,'TAR FIN'!$A$1:$O$113,15,0)),0,VLOOKUP($T$1545,'TAR FIN'!$A$1:$O$113,15,0))</f>
        <v>304.64999999999998</v>
      </c>
      <c r="X1545" s="4">
        <f>IF(ISERROR(VLOOKUP($U$1545,'TAR FIN'!$A$1:$O$113,15,0)),0,VLOOKUP($U$1545,'TAR FIN'!$A$1:$O$113,15,0))</f>
        <v>206.13</v>
      </c>
      <c r="Y1545" s="4"/>
      <c r="Z1545" s="4">
        <f ca="1">('TUSD BE'!$AM$53+'TUSD BF'!$AM$53+'TUSD CVA'!$AM$53)*(1-CUSTOS!$M$38)</f>
        <v>386.47391324808456</v>
      </c>
      <c r="AA1545" s="4">
        <f>('TE BE'!$AA$32+'TE BF'!$AA$32+'TE CVA'!$AA$32)*(1-CUSTOS!$M$38)</f>
        <v>220.59856812487419</v>
      </c>
      <c r="AB1545" s="4">
        <f>$K$1545*$V$1545</f>
        <v>0</v>
      </c>
      <c r="AC1545" s="4">
        <f>$M$1545*$W$1545</f>
        <v>-4284.9022499999992</v>
      </c>
      <c r="AD1545" s="4">
        <f>$O$1545*$X$1545</f>
        <v>-2899.2184499999998</v>
      </c>
      <c r="AE1545" s="4">
        <f>$K$1545*$Y$1545</f>
        <v>0</v>
      </c>
      <c r="AF1545" s="4">
        <f ca="1">$M$1545*$Z$1545</f>
        <v>-5435.7555898343089</v>
      </c>
      <c r="AG1545" s="4">
        <f>$O$1545*$AA$1545</f>
        <v>-3102.7188606763552</v>
      </c>
    </row>
    <row r="1546" spans="1:33" ht="11.25" customHeight="1" x14ac:dyDescent="0.25">
      <c r="A1546" s="3" t="s">
        <v>28</v>
      </c>
      <c r="B1546" s="3" t="s">
        <v>44</v>
      </c>
      <c r="C1546" s="3" t="s">
        <v>23</v>
      </c>
      <c r="D1546" s="3" t="s">
        <v>45</v>
      </c>
      <c r="E1546" s="3" t="s">
        <v>53</v>
      </c>
      <c r="F1546" s="3" t="s">
        <v>54</v>
      </c>
      <c r="G1546" s="3" t="s">
        <v>25</v>
      </c>
      <c r="H1546" s="3" t="s">
        <v>25</v>
      </c>
      <c r="I1546" s="6">
        <v>44501</v>
      </c>
      <c r="J1546" s="4">
        <v>0</v>
      </c>
      <c r="K1546" s="4">
        <v>0</v>
      </c>
      <c r="L1546" s="4">
        <v>2.3330000000000002</v>
      </c>
      <c r="M1546" s="4">
        <v>2.3330000000000002</v>
      </c>
      <c r="N1546" s="4">
        <v>2.3330000000000002</v>
      </c>
      <c r="O1546" s="4">
        <v>2.3330000000000002</v>
      </c>
      <c r="P1546" s="4">
        <v>0</v>
      </c>
      <c r="Q1546" s="3" t="s">
        <v>26</v>
      </c>
      <c r="R1546" s="3">
        <v>0</v>
      </c>
      <c r="S1546" s="4">
        <v>0</v>
      </c>
      <c r="T1546" s="4">
        <v>34</v>
      </c>
      <c r="U1546" s="4">
        <v>53</v>
      </c>
      <c r="V1546" s="4">
        <f>IF(ISERROR(VLOOKUP($S$1546,'TAR FIN'!$A$1:$O$113,15,0)),0,VLOOKUP($S$1546,'TAR FIN'!$A$1:$O$113,15,0))</f>
        <v>0</v>
      </c>
      <c r="W1546" s="4">
        <f>IF(ISERROR(VLOOKUP($T$1546,'TAR FIN'!$A$1:$O$113,15,0)),0,VLOOKUP($T$1546,'TAR FIN'!$A$1:$O$113,15,0))</f>
        <v>304.64999999999998</v>
      </c>
      <c r="X1546" s="4">
        <f>IF(ISERROR(VLOOKUP($U$1546,'TAR FIN'!$A$1:$O$113,15,0)),0,VLOOKUP($U$1546,'TAR FIN'!$A$1:$O$113,15,0))</f>
        <v>206.13</v>
      </c>
      <c r="Y1546" s="4"/>
      <c r="Z1546" s="4">
        <f ca="1">('TUSD BE'!$AM$53+'TUSD BF'!$AM$53+'TUSD CVA'!$AM$53)*(1-CUSTOS!$M$38)</f>
        <v>386.47391324808456</v>
      </c>
      <c r="AA1546" s="4">
        <f>('TE BE'!$AA$32+'TE BF'!$AA$32+'TE CVA'!$AA$32)*(1-CUSTOS!$M$38)</f>
        <v>220.59856812487419</v>
      </c>
      <c r="AB1546" s="4">
        <f>$K$1546*$V$1546</f>
        <v>0</v>
      </c>
      <c r="AC1546" s="4">
        <f>$M$1546*$W$1546</f>
        <v>710.74845000000005</v>
      </c>
      <c r="AD1546" s="4">
        <f>$O$1546*$X$1546</f>
        <v>480.90129000000002</v>
      </c>
      <c r="AE1546" s="4">
        <f>$K$1546*$Y$1546</f>
        <v>0</v>
      </c>
      <c r="AF1546" s="4">
        <f ca="1">$M$1546*$Z$1546</f>
        <v>901.64363960778132</v>
      </c>
      <c r="AG1546" s="4">
        <f>$O$1546*$AA$1546</f>
        <v>514.6564594353315</v>
      </c>
    </row>
    <row r="1547" spans="1:33" ht="11.25" customHeight="1" x14ac:dyDescent="0.25">
      <c r="A1547" s="3" t="s">
        <v>21</v>
      </c>
      <c r="B1547" s="3" t="s">
        <v>44</v>
      </c>
      <c r="C1547" s="3" t="s">
        <v>23</v>
      </c>
      <c r="D1547" s="3" t="s">
        <v>45</v>
      </c>
      <c r="E1547" s="3" t="s">
        <v>53</v>
      </c>
      <c r="F1547" s="3" t="s">
        <v>54</v>
      </c>
      <c r="G1547" s="3" t="s">
        <v>25</v>
      </c>
      <c r="H1547" s="3" t="s">
        <v>25</v>
      </c>
      <c r="I1547" s="6">
        <v>44531</v>
      </c>
      <c r="J1547" s="4">
        <v>0</v>
      </c>
      <c r="K1547" s="4">
        <v>0</v>
      </c>
      <c r="L1547" s="4">
        <v>268.79700000000003</v>
      </c>
      <c r="M1547" s="4">
        <v>268.79700000000003</v>
      </c>
      <c r="N1547" s="4">
        <v>268.79700000000003</v>
      </c>
      <c r="O1547" s="4">
        <v>268.79700000000003</v>
      </c>
      <c r="P1547" s="4">
        <v>0</v>
      </c>
      <c r="Q1547" s="3" t="s">
        <v>26</v>
      </c>
      <c r="R1547" s="3">
        <v>0</v>
      </c>
      <c r="S1547" s="4">
        <v>0</v>
      </c>
      <c r="T1547" s="4">
        <v>34</v>
      </c>
      <c r="U1547" s="4">
        <v>53</v>
      </c>
      <c r="V1547" s="4">
        <f>IF(ISERROR(VLOOKUP($S$1547,'TAR FIN'!$A$1:$O$113,15,0)),0,VLOOKUP($S$1547,'TAR FIN'!$A$1:$O$113,15,0))</f>
        <v>0</v>
      </c>
      <c r="W1547" s="4">
        <f>IF(ISERROR(VLOOKUP($T$1547,'TAR FIN'!$A$1:$O$113,15,0)),0,VLOOKUP($T$1547,'TAR FIN'!$A$1:$O$113,15,0))</f>
        <v>304.64999999999998</v>
      </c>
      <c r="X1547" s="4">
        <f>IF(ISERROR(VLOOKUP($U$1547,'TAR FIN'!$A$1:$O$113,15,0)),0,VLOOKUP($U$1547,'TAR FIN'!$A$1:$O$113,15,0))</f>
        <v>206.13</v>
      </c>
      <c r="Y1547" s="4"/>
      <c r="Z1547" s="4">
        <f ca="1">('TUSD BE'!$AM$53+'TUSD BF'!$AM$53+'TUSD CVA'!$AM$53)*(1-CUSTOS!$M$38)</f>
        <v>386.47391324808456</v>
      </c>
      <c r="AA1547" s="4">
        <f>('TE BE'!$AA$32+'TE BF'!$AA$32+'TE CVA'!$AA$32)*(1-CUSTOS!$M$38)</f>
        <v>220.59856812487419</v>
      </c>
      <c r="AB1547" s="4">
        <f>$K$1547*$V$1547</f>
        <v>0</v>
      </c>
      <c r="AC1547" s="4">
        <f>$M$1547*$W$1547</f>
        <v>81889.006049999996</v>
      </c>
      <c r="AD1547" s="4">
        <f>$O$1547*$X$1547</f>
        <v>55407.125610000003</v>
      </c>
      <c r="AE1547" s="4">
        <f>$K$1547*$Y$1547</f>
        <v>0</v>
      </c>
      <c r="AF1547" s="4">
        <f ca="1">$M$1547*$Z$1547</f>
        <v>103883.0284593454</v>
      </c>
      <c r="AG1547" s="4">
        <f>$O$1547*$AA$1547</f>
        <v>59296.233316261816</v>
      </c>
    </row>
    <row r="1548" spans="1:33" ht="11.25" customHeight="1" x14ac:dyDescent="0.25">
      <c r="A1548" s="3" t="s">
        <v>27</v>
      </c>
      <c r="B1548" s="3" t="s">
        <v>44</v>
      </c>
      <c r="C1548" s="3" t="s">
        <v>23</v>
      </c>
      <c r="D1548" s="3" t="s">
        <v>45</v>
      </c>
      <c r="E1548" s="3" t="s">
        <v>53</v>
      </c>
      <c r="F1548" s="3" t="s">
        <v>54</v>
      </c>
      <c r="G1548" s="3" t="s">
        <v>25</v>
      </c>
      <c r="H1548" s="3" t="s">
        <v>25</v>
      </c>
      <c r="I1548" s="6">
        <v>44531</v>
      </c>
      <c r="J1548" s="4">
        <v>0</v>
      </c>
      <c r="K1548" s="4">
        <v>0</v>
      </c>
      <c r="L1548" s="4">
        <v>-15.727</v>
      </c>
      <c r="M1548" s="4">
        <v>-15.727</v>
      </c>
      <c r="N1548" s="4">
        <v>-15.727</v>
      </c>
      <c r="O1548" s="4">
        <v>-15.727</v>
      </c>
      <c r="P1548" s="4">
        <v>0</v>
      </c>
      <c r="Q1548" s="3" t="s">
        <v>26</v>
      </c>
      <c r="R1548" s="3">
        <v>0</v>
      </c>
      <c r="S1548" s="4">
        <v>0</v>
      </c>
      <c r="T1548" s="4">
        <v>34</v>
      </c>
      <c r="U1548" s="4">
        <v>53</v>
      </c>
      <c r="V1548" s="4">
        <f>IF(ISERROR(VLOOKUP($S$1548,'TAR FIN'!$A$1:$O$113,15,0)),0,VLOOKUP($S$1548,'TAR FIN'!$A$1:$O$113,15,0))</f>
        <v>0</v>
      </c>
      <c r="W1548" s="4">
        <f>IF(ISERROR(VLOOKUP($T$1548,'TAR FIN'!$A$1:$O$113,15,0)),0,VLOOKUP($T$1548,'TAR FIN'!$A$1:$O$113,15,0))</f>
        <v>304.64999999999998</v>
      </c>
      <c r="X1548" s="4">
        <f>IF(ISERROR(VLOOKUP($U$1548,'TAR FIN'!$A$1:$O$113,15,0)),0,VLOOKUP($U$1548,'TAR FIN'!$A$1:$O$113,15,0))</f>
        <v>206.13</v>
      </c>
      <c r="Y1548" s="4"/>
      <c r="Z1548" s="4">
        <f ca="1">('TUSD BE'!$AM$53+'TUSD BF'!$AM$53+'TUSD CVA'!$AM$53)*(1-CUSTOS!$M$38)</f>
        <v>386.47391324808456</v>
      </c>
      <c r="AA1548" s="4">
        <f>('TE BE'!$AA$32+'TE BF'!$AA$32+'TE CVA'!$AA$32)*(1-CUSTOS!$M$38)</f>
        <v>220.59856812487419</v>
      </c>
      <c r="AB1548" s="4">
        <f>$K$1548*$V$1548</f>
        <v>0</v>
      </c>
      <c r="AC1548" s="4">
        <f>$M$1548*$W$1548</f>
        <v>-4791.2305499999993</v>
      </c>
      <c r="AD1548" s="4">
        <f>$O$1548*$X$1548</f>
        <v>-3241.8065099999999</v>
      </c>
      <c r="AE1548" s="4">
        <f>$K$1548*$Y$1548</f>
        <v>0</v>
      </c>
      <c r="AF1548" s="4">
        <f ca="1">$M$1548*$Z$1548</f>
        <v>-6078.0752336526257</v>
      </c>
      <c r="AG1548" s="4">
        <f>$O$1548*$AA$1548</f>
        <v>-3469.3536808998965</v>
      </c>
    </row>
    <row r="1549" spans="1:33" ht="11.25" customHeight="1" x14ac:dyDescent="0.25">
      <c r="A1549" s="3" t="s">
        <v>28</v>
      </c>
      <c r="B1549" s="3" t="s">
        <v>44</v>
      </c>
      <c r="C1549" s="3" t="s">
        <v>23</v>
      </c>
      <c r="D1549" s="3" t="s">
        <v>45</v>
      </c>
      <c r="E1549" s="3" t="s">
        <v>53</v>
      </c>
      <c r="F1549" s="3" t="s">
        <v>54</v>
      </c>
      <c r="G1549" s="3" t="s">
        <v>25</v>
      </c>
      <c r="H1549" s="3" t="s">
        <v>25</v>
      </c>
      <c r="I1549" s="6">
        <v>44531</v>
      </c>
      <c r="J1549" s="4">
        <v>0</v>
      </c>
      <c r="K1549" s="4">
        <v>0</v>
      </c>
      <c r="L1549" s="4">
        <v>2.2290000000000001</v>
      </c>
      <c r="M1549" s="4">
        <v>2.2290000000000001</v>
      </c>
      <c r="N1549" s="4">
        <v>2.2290000000000001</v>
      </c>
      <c r="O1549" s="4">
        <v>2.2290000000000001</v>
      </c>
      <c r="P1549" s="4">
        <v>0</v>
      </c>
      <c r="Q1549" s="3" t="s">
        <v>26</v>
      </c>
      <c r="R1549" s="3">
        <v>0</v>
      </c>
      <c r="S1549" s="4">
        <v>0</v>
      </c>
      <c r="T1549" s="4">
        <v>34</v>
      </c>
      <c r="U1549" s="4">
        <v>53</v>
      </c>
      <c r="V1549" s="4">
        <f>IF(ISERROR(VLOOKUP($S$1549,'TAR FIN'!$A$1:$O$113,15,0)),0,VLOOKUP($S$1549,'TAR FIN'!$A$1:$O$113,15,0))</f>
        <v>0</v>
      </c>
      <c r="W1549" s="4">
        <f>IF(ISERROR(VLOOKUP($T$1549,'TAR FIN'!$A$1:$O$113,15,0)),0,VLOOKUP($T$1549,'TAR FIN'!$A$1:$O$113,15,0))</f>
        <v>304.64999999999998</v>
      </c>
      <c r="X1549" s="4">
        <f>IF(ISERROR(VLOOKUP($U$1549,'TAR FIN'!$A$1:$O$113,15,0)),0,VLOOKUP($U$1549,'TAR FIN'!$A$1:$O$113,15,0))</f>
        <v>206.13</v>
      </c>
      <c r="Y1549" s="4"/>
      <c r="Z1549" s="4">
        <f ca="1">('TUSD BE'!$AM$53+'TUSD BF'!$AM$53+'TUSD CVA'!$AM$53)*(1-CUSTOS!$M$38)</f>
        <v>386.47391324808456</v>
      </c>
      <c r="AA1549" s="4">
        <f>('TE BE'!$AA$32+'TE BF'!$AA$32+'TE CVA'!$AA$32)*(1-CUSTOS!$M$38)</f>
        <v>220.59856812487419</v>
      </c>
      <c r="AB1549" s="4">
        <f>$K$1549*$V$1549</f>
        <v>0</v>
      </c>
      <c r="AC1549" s="4">
        <f>$M$1549*$W$1549</f>
        <v>679.06484999999998</v>
      </c>
      <c r="AD1549" s="4">
        <f>$O$1549*$X$1549</f>
        <v>459.46377000000001</v>
      </c>
      <c r="AE1549" s="4">
        <f>$K$1549*$Y$1549</f>
        <v>0</v>
      </c>
      <c r="AF1549" s="4">
        <f ca="1">$M$1549*$Z$1549</f>
        <v>861.45035262998056</v>
      </c>
      <c r="AG1549" s="4">
        <f>$O$1549*$AA$1549</f>
        <v>491.71420835034462</v>
      </c>
    </row>
    <row r="1550" spans="1:33" ht="11.25" customHeight="1" x14ac:dyDescent="0.25">
      <c r="A1550" s="3" t="s">
        <v>21</v>
      </c>
      <c r="B1550" s="3" t="s">
        <v>44</v>
      </c>
      <c r="C1550" s="3" t="s">
        <v>23</v>
      </c>
      <c r="D1550" s="3" t="s">
        <v>45</v>
      </c>
      <c r="E1550" s="3" t="s">
        <v>53</v>
      </c>
      <c r="F1550" s="3" t="s">
        <v>54</v>
      </c>
      <c r="G1550" s="3" t="s">
        <v>25</v>
      </c>
      <c r="H1550" s="3" t="s">
        <v>25</v>
      </c>
      <c r="I1550" s="6">
        <v>44562</v>
      </c>
      <c r="J1550" s="4">
        <v>0</v>
      </c>
      <c r="K1550" s="4">
        <v>0</v>
      </c>
      <c r="L1550" s="4">
        <v>247.02600000000001</v>
      </c>
      <c r="M1550" s="4">
        <v>247.02600000000001</v>
      </c>
      <c r="N1550" s="4">
        <v>247.02600000000001</v>
      </c>
      <c r="O1550" s="4">
        <v>247.02600000000001</v>
      </c>
      <c r="P1550" s="4">
        <v>0</v>
      </c>
      <c r="Q1550" s="3" t="s">
        <v>26</v>
      </c>
      <c r="R1550" s="3">
        <v>0</v>
      </c>
      <c r="S1550" s="4">
        <v>0</v>
      </c>
      <c r="T1550" s="4">
        <v>34</v>
      </c>
      <c r="U1550" s="4">
        <v>53</v>
      </c>
      <c r="V1550" s="4">
        <f>IF(ISERROR(VLOOKUP($S$1550,'TAR FIN'!$A$1:$O$113,15,0)),0,VLOOKUP($S$1550,'TAR FIN'!$A$1:$O$113,15,0))</f>
        <v>0</v>
      </c>
      <c r="W1550" s="4">
        <f>IF(ISERROR(VLOOKUP($T$1550,'TAR FIN'!$A$1:$O$113,15,0)),0,VLOOKUP($T$1550,'TAR FIN'!$A$1:$O$113,15,0))</f>
        <v>304.64999999999998</v>
      </c>
      <c r="X1550" s="4">
        <f>IF(ISERROR(VLOOKUP($U$1550,'TAR FIN'!$A$1:$O$113,15,0)),0,VLOOKUP($U$1550,'TAR FIN'!$A$1:$O$113,15,0))</f>
        <v>206.13</v>
      </c>
      <c r="Y1550" s="4"/>
      <c r="Z1550" s="4">
        <f ca="1">('TUSD BE'!$AM$53+'TUSD BF'!$AM$53+'TUSD CVA'!$AM$53)*(1-CUSTOS!$M$38)</f>
        <v>386.47391324808456</v>
      </c>
      <c r="AA1550" s="4">
        <f>('TE BE'!$AA$32+'TE BF'!$AA$32+'TE CVA'!$AA$32)*(1-CUSTOS!$M$38)</f>
        <v>220.59856812487419</v>
      </c>
      <c r="AB1550" s="4">
        <f>$K$1550*$V$1550</f>
        <v>0</v>
      </c>
      <c r="AC1550" s="4">
        <f>$M$1550*$W$1550</f>
        <v>75256.4709</v>
      </c>
      <c r="AD1550" s="4">
        <f>$O$1550*$X$1550</f>
        <v>50919.469380000002</v>
      </c>
      <c r="AE1550" s="4">
        <f>$K$1550*$Y$1550</f>
        <v>0</v>
      </c>
      <c r="AF1550" s="4">
        <f ca="1">$M$1550*$Z$1550</f>
        <v>95469.104894021337</v>
      </c>
      <c r="AG1550" s="4">
        <f>$O$1550*$AA$1550</f>
        <v>54493.581889615176</v>
      </c>
    </row>
    <row r="1551" spans="1:33" ht="11.25" customHeight="1" x14ac:dyDescent="0.25">
      <c r="A1551" s="3" t="s">
        <v>28</v>
      </c>
      <c r="B1551" s="3" t="s">
        <v>44</v>
      </c>
      <c r="C1551" s="3" t="s">
        <v>23</v>
      </c>
      <c r="D1551" s="3" t="s">
        <v>45</v>
      </c>
      <c r="E1551" s="3" t="s">
        <v>53</v>
      </c>
      <c r="F1551" s="3" t="s">
        <v>54</v>
      </c>
      <c r="G1551" s="3" t="s">
        <v>25</v>
      </c>
      <c r="H1551" s="3" t="s">
        <v>25</v>
      </c>
      <c r="I1551" s="6">
        <v>44562</v>
      </c>
      <c r="J1551" s="4">
        <v>0</v>
      </c>
      <c r="K1551" s="4">
        <v>0</v>
      </c>
      <c r="L1551" s="4">
        <v>1.9119999999999999</v>
      </c>
      <c r="M1551" s="4">
        <v>1.9119999999999999</v>
      </c>
      <c r="N1551" s="4">
        <v>1.9119999999999999</v>
      </c>
      <c r="O1551" s="4">
        <v>1.9119999999999999</v>
      </c>
      <c r="P1551" s="4">
        <v>0</v>
      </c>
      <c r="Q1551" s="3" t="s">
        <v>26</v>
      </c>
      <c r="R1551" s="3">
        <v>0</v>
      </c>
      <c r="S1551" s="4">
        <v>0</v>
      </c>
      <c r="T1551" s="4">
        <v>34</v>
      </c>
      <c r="U1551" s="4">
        <v>53</v>
      </c>
      <c r="V1551" s="4">
        <f>IF(ISERROR(VLOOKUP($S$1551,'TAR FIN'!$A$1:$O$113,15,0)),0,VLOOKUP($S$1551,'TAR FIN'!$A$1:$O$113,15,0))</f>
        <v>0</v>
      </c>
      <c r="W1551" s="4">
        <f>IF(ISERROR(VLOOKUP($T$1551,'TAR FIN'!$A$1:$O$113,15,0)),0,VLOOKUP($T$1551,'TAR FIN'!$A$1:$O$113,15,0))</f>
        <v>304.64999999999998</v>
      </c>
      <c r="X1551" s="4">
        <f>IF(ISERROR(VLOOKUP($U$1551,'TAR FIN'!$A$1:$O$113,15,0)),0,VLOOKUP($U$1551,'TAR FIN'!$A$1:$O$113,15,0))</f>
        <v>206.13</v>
      </c>
      <c r="Y1551" s="4"/>
      <c r="Z1551" s="4">
        <f ca="1">('TUSD BE'!$AM$53+'TUSD BF'!$AM$53+'TUSD CVA'!$AM$53)*(1-CUSTOS!$M$38)</f>
        <v>386.47391324808456</v>
      </c>
      <c r="AA1551" s="4">
        <f>('TE BE'!$AA$32+'TE BF'!$AA$32+'TE CVA'!$AA$32)*(1-CUSTOS!$M$38)</f>
        <v>220.59856812487419</v>
      </c>
      <c r="AB1551" s="4">
        <f>$K$1551*$V$1551</f>
        <v>0</v>
      </c>
      <c r="AC1551" s="4">
        <f>$M$1551*$W$1551</f>
        <v>582.49079999999992</v>
      </c>
      <c r="AD1551" s="4">
        <f>$O$1551*$X$1551</f>
        <v>394.12055999999995</v>
      </c>
      <c r="AE1551" s="4">
        <f>$K$1551*$Y$1551</f>
        <v>0</v>
      </c>
      <c r="AF1551" s="4">
        <f ca="1">$M$1551*$Z$1551</f>
        <v>738.93812213033766</v>
      </c>
      <c r="AG1551" s="4">
        <f>$O$1551*$AA$1551</f>
        <v>421.78446225475943</v>
      </c>
    </row>
    <row r="1552" spans="1:33" ht="11.25" customHeight="1" x14ac:dyDescent="0.25">
      <c r="A1552" s="3" t="s">
        <v>21</v>
      </c>
      <c r="B1552" s="3" t="s">
        <v>44</v>
      </c>
      <c r="C1552" s="3" t="s">
        <v>23</v>
      </c>
      <c r="D1552" s="3" t="s">
        <v>45</v>
      </c>
      <c r="E1552" s="3" t="s">
        <v>53</v>
      </c>
      <c r="F1552" s="3" t="s">
        <v>54</v>
      </c>
      <c r="G1552" s="3" t="s">
        <v>25</v>
      </c>
      <c r="H1552" s="3" t="s">
        <v>25</v>
      </c>
      <c r="I1552" s="6">
        <v>44593</v>
      </c>
      <c r="J1552" s="4">
        <v>0</v>
      </c>
      <c r="K1552" s="4">
        <v>0</v>
      </c>
      <c r="L1552" s="4">
        <v>254.04</v>
      </c>
      <c r="M1552" s="4">
        <v>254.04</v>
      </c>
      <c r="N1552" s="4">
        <v>254.04</v>
      </c>
      <c r="O1552" s="4">
        <v>254.04</v>
      </c>
      <c r="P1552" s="4">
        <v>0</v>
      </c>
      <c r="Q1552" s="3" t="s">
        <v>26</v>
      </c>
      <c r="R1552" s="3">
        <v>0</v>
      </c>
      <c r="S1552" s="4">
        <v>0</v>
      </c>
      <c r="T1552" s="4">
        <v>34</v>
      </c>
      <c r="U1552" s="4">
        <v>53</v>
      </c>
      <c r="V1552" s="4">
        <f>IF(ISERROR(VLOOKUP($S$1552,'TAR FIN'!$A$1:$O$113,15,0)),0,VLOOKUP($S$1552,'TAR FIN'!$A$1:$O$113,15,0))</f>
        <v>0</v>
      </c>
      <c r="W1552" s="4">
        <f>IF(ISERROR(VLOOKUP($T$1552,'TAR FIN'!$A$1:$O$113,15,0)),0,VLOOKUP($T$1552,'TAR FIN'!$A$1:$O$113,15,0))</f>
        <v>304.64999999999998</v>
      </c>
      <c r="X1552" s="4">
        <f>IF(ISERROR(VLOOKUP($U$1552,'TAR FIN'!$A$1:$O$113,15,0)),0,VLOOKUP($U$1552,'TAR FIN'!$A$1:$O$113,15,0))</f>
        <v>206.13</v>
      </c>
      <c r="Y1552" s="4"/>
      <c r="Z1552" s="4">
        <f ca="1">('TUSD BE'!$AM$53+'TUSD BF'!$AM$53+'TUSD CVA'!$AM$53)*(1-CUSTOS!$M$38)</f>
        <v>386.47391324808456</v>
      </c>
      <c r="AA1552" s="4">
        <f>('TE BE'!$AA$32+'TE BF'!$AA$32+'TE CVA'!$AA$32)*(1-CUSTOS!$M$38)</f>
        <v>220.59856812487419</v>
      </c>
      <c r="AB1552" s="4">
        <f>$K$1552*$V$1552</f>
        <v>0</v>
      </c>
      <c r="AC1552" s="4">
        <f>$M$1552*$W$1552</f>
        <v>77393.285999999993</v>
      </c>
      <c r="AD1552" s="4">
        <f>$O$1552*$X$1552</f>
        <v>52365.265199999994</v>
      </c>
      <c r="AE1552" s="4">
        <f>$K$1552*$Y$1552</f>
        <v>0</v>
      </c>
      <c r="AF1552" s="4">
        <f ca="1">$M$1552*$Z$1552</f>
        <v>98179.832921543391</v>
      </c>
      <c r="AG1552" s="4">
        <f>$O$1552*$AA$1552</f>
        <v>56040.860246443037</v>
      </c>
    </row>
    <row r="1553" spans="1:33" ht="11.25" customHeight="1" x14ac:dyDescent="0.25">
      <c r="A1553" s="3" t="s">
        <v>28</v>
      </c>
      <c r="B1553" s="3" t="s">
        <v>44</v>
      </c>
      <c r="C1553" s="3" t="s">
        <v>23</v>
      </c>
      <c r="D1553" s="3" t="s">
        <v>45</v>
      </c>
      <c r="E1553" s="3" t="s">
        <v>53</v>
      </c>
      <c r="F1553" s="3" t="s">
        <v>54</v>
      </c>
      <c r="G1553" s="3" t="s">
        <v>25</v>
      </c>
      <c r="H1553" s="3" t="s">
        <v>25</v>
      </c>
      <c r="I1553" s="6">
        <v>44593</v>
      </c>
      <c r="J1553" s="4">
        <v>0</v>
      </c>
      <c r="K1553" s="4">
        <v>0</v>
      </c>
      <c r="L1553" s="4">
        <v>2.0529999999999999</v>
      </c>
      <c r="M1553" s="4">
        <v>2.0529999999999999</v>
      </c>
      <c r="N1553" s="4">
        <v>2.0529999999999999</v>
      </c>
      <c r="O1553" s="4">
        <v>2.0529999999999999</v>
      </c>
      <c r="P1553" s="4">
        <v>0</v>
      </c>
      <c r="Q1553" s="3" t="s">
        <v>26</v>
      </c>
      <c r="R1553" s="3">
        <v>0</v>
      </c>
      <c r="S1553" s="4">
        <v>0</v>
      </c>
      <c r="T1553" s="4">
        <v>34</v>
      </c>
      <c r="U1553" s="4">
        <v>53</v>
      </c>
      <c r="V1553" s="4">
        <f>IF(ISERROR(VLOOKUP($S$1553,'TAR FIN'!$A$1:$O$113,15,0)),0,VLOOKUP($S$1553,'TAR FIN'!$A$1:$O$113,15,0))</f>
        <v>0</v>
      </c>
      <c r="W1553" s="4">
        <f>IF(ISERROR(VLOOKUP($T$1553,'TAR FIN'!$A$1:$O$113,15,0)),0,VLOOKUP($T$1553,'TAR FIN'!$A$1:$O$113,15,0))</f>
        <v>304.64999999999998</v>
      </c>
      <c r="X1553" s="4">
        <f>IF(ISERROR(VLOOKUP($U$1553,'TAR FIN'!$A$1:$O$113,15,0)),0,VLOOKUP($U$1553,'TAR FIN'!$A$1:$O$113,15,0))</f>
        <v>206.13</v>
      </c>
      <c r="Y1553" s="4"/>
      <c r="Z1553" s="4">
        <f ca="1">('TUSD BE'!$AM$53+'TUSD BF'!$AM$53+'TUSD CVA'!$AM$53)*(1-CUSTOS!$M$38)</f>
        <v>386.47391324808456</v>
      </c>
      <c r="AA1553" s="4">
        <f>('TE BE'!$AA$32+'TE BF'!$AA$32+'TE CVA'!$AA$32)*(1-CUSTOS!$M$38)</f>
        <v>220.59856812487419</v>
      </c>
      <c r="AB1553" s="4">
        <f>$K$1553*$V$1553</f>
        <v>0</v>
      </c>
      <c r="AC1553" s="4">
        <f>$M$1553*$W$1553</f>
        <v>625.44644999999991</v>
      </c>
      <c r="AD1553" s="4">
        <f>$O$1553*$X$1553</f>
        <v>423.18489</v>
      </c>
      <c r="AE1553" s="4">
        <f>$K$1553*$Y$1553</f>
        <v>0</v>
      </c>
      <c r="AF1553" s="4">
        <f ca="1">$M$1553*$Z$1553</f>
        <v>793.43094389831754</v>
      </c>
      <c r="AG1553" s="4">
        <f>$O$1553*$AA$1553</f>
        <v>452.88886036036672</v>
      </c>
    </row>
    <row r="1554" spans="1:33" ht="11.25" customHeight="1" x14ac:dyDescent="0.25">
      <c r="A1554" s="3" t="s">
        <v>56</v>
      </c>
      <c r="B1554" s="3" t="s">
        <v>44</v>
      </c>
      <c r="C1554" s="3" t="s">
        <v>23</v>
      </c>
      <c r="D1554" s="3" t="s">
        <v>45</v>
      </c>
      <c r="E1554" s="3" t="s">
        <v>53</v>
      </c>
      <c r="F1554" s="3" t="s">
        <v>54</v>
      </c>
      <c r="G1554" s="3" t="s">
        <v>25</v>
      </c>
      <c r="H1554" s="3" t="s">
        <v>25</v>
      </c>
      <c r="I1554" s="6">
        <v>44621</v>
      </c>
      <c r="J1554" s="4">
        <v>0</v>
      </c>
      <c r="K1554" s="4">
        <v>0</v>
      </c>
      <c r="L1554" s="4">
        <v>254.04</v>
      </c>
      <c r="M1554" s="4">
        <v>254.04</v>
      </c>
      <c r="N1554" s="4">
        <v>254.04</v>
      </c>
      <c r="O1554" s="4">
        <v>254.04</v>
      </c>
      <c r="P1554" s="4">
        <v>0</v>
      </c>
      <c r="Q1554" s="3" t="s">
        <v>26</v>
      </c>
      <c r="R1554" s="3">
        <v>0</v>
      </c>
      <c r="S1554" s="4">
        <v>0</v>
      </c>
      <c r="T1554" s="4">
        <v>34</v>
      </c>
      <c r="U1554" s="4">
        <v>53</v>
      </c>
      <c r="V1554" s="4">
        <f>IF(ISERROR(VLOOKUP($S$1554,'TAR FIN'!$A$1:$O$113,15,0)),0,VLOOKUP($S$1554,'TAR FIN'!$A$1:$O$113,15,0))</f>
        <v>0</v>
      </c>
      <c r="W1554" s="4">
        <f>IF(ISERROR(VLOOKUP($T$1554,'TAR FIN'!$A$1:$O$113,15,0)),0,VLOOKUP($T$1554,'TAR FIN'!$A$1:$O$113,15,0))</f>
        <v>304.64999999999998</v>
      </c>
      <c r="X1554" s="4">
        <f>IF(ISERROR(VLOOKUP($U$1554,'TAR FIN'!$A$1:$O$113,15,0)),0,VLOOKUP($U$1554,'TAR FIN'!$A$1:$O$113,15,0))</f>
        <v>206.13</v>
      </c>
      <c r="Y1554" s="4"/>
      <c r="Z1554" s="4">
        <f ca="1">('TUSD BE'!$AM$53+'TUSD BF'!$AM$53+'TUSD CVA'!$AM$53)*(1-CUSTOS!$M$38)</f>
        <v>386.47391324808456</v>
      </c>
      <c r="AA1554" s="4">
        <f>('TE BE'!$AA$32+'TE BF'!$AA$32+'TE CVA'!$AA$32)*(1-CUSTOS!$M$38)</f>
        <v>220.59856812487419</v>
      </c>
      <c r="AB1554" s="4">
        <f>$K$1554*$V$1554</f>
        <v>0</v>
      </c>
      <c r="AC1554" s="4">
        <f>$M$1554*$W$1554</f>
        <v>77393.285999999993</v>
      </c>
      <c r="AD1554" s="4">
        <f>$O$1554*$X$1554</f>
        <v>52365.265199999994</v>
      </c>
      <c r="AE1554" s="4">
        <f>$K$1554*$Y$1554</f>
        <v>0</v>
      </c>
      <c r="AF1554" s="4">
        <f ca="1">$M$1554*$Z$1554</f>
        <v>98179.832921543391</v>
      </c>
      <c r="AG1554" s="4">
        <f>$O$1554*$AA$1554</f>
        <v>56040.860246443037</v>
      </c>
    </row>
    <row r="1555" spans="1:33" ht="11.25" customHeight="1" x14ac:dyDescent="0.25">
      <c r="A1555" s="3" t="s">
        <v>56</v>
      </c>
      <c r="B1555" s="3" t="s">
        <v>44</v>
      </c>
      <c r="C1555" s="3" t="s">
        <v>23</v>
      </c>
      <c r="D1555" s="3" t="s">
        <v>45</v>
      </c>
      <c r="E1555" s="3" t="s">
        <v>53</v>
      </c>
      <c r="F1555" s="3" t="s">
        <v>54</v>
      </c>
      <c r="G1555" s="3" t="s">
        <v>25</v>
      </c>
      <c r="H1555" s="3" t="s">
        <v>25</v>
      </c>
      <c r="I1555" s="6">
        <v>44621</v>
      </c>
      <c r="J1555" s="4">
        <v>0</v>
      </c>
      <c r="K1555" s="4">
        <v>0</v>
      </c>
      <c r="L1555" s="4">
        <v>2.0529999999999999</v>
      </c>
      <c r="M1555" s="4">
        <v>2.0529999999999999</v>
      </c>
      <c r="N1555" s="4">
        <v>2.0529999999999999</v>
      </c>
      <c r="O1555" s="4">
        <v>2.0529999999999999</v>
      </c>
      <c r="P1555" s="4">
        <v>0</v>
      </c>
      <c r="Q1555" s="3" t="s">
        <v>26</v>
      </c>
      <c r="R1555" s="3">
        <v>0</v>
      </c>
      <c r="S1555" s="4">
        <v>0</v>
      </c>
      <c r="T1555" s="4">
        <v>34</v>
      </c>
      <c r="U1555" s="4">
        <v>53</v>
      </c>
      <c r="V1555" s="4">
        <f>IF(ISERROR(VLOOKUP($S$1555,'TAR FIN'!$A$1:$O$113,15,0)),0,VLOOKUP($S$1555,'TAR FIN'!$A$1:$O$113,15,0))</f>
        <v>0</v>
      </c>
      <c r="W1555" s="4">
        <f>IF(ISERROR(VLOOKUP($T$1555,'TAR FIN'!$A$1:$O$113,15,0)),0,VLOOKUP($T$1555,'TAR FIN'!$A$1:$O$113,15,0))</f>
        <v>304.64999999999998</v>
      </c>
      <c r="X1555" s="4">
        <f>IF(ISERROR(VLOOKUP($U$1555,'TAR FIN'!$A$1:$O$113,15,0)),0,VLOOKUP($U$1555,'TAR FIN'!$A$1:$O$113,15,0))</f>
        <v>206.13</v>
      </c>
      <c r="Y1555" s="4"/>
      <c r="Z1555" s="4">
        <f ca="1">('TUSD BE'!$AM$53+'TUSD BF'!$AM$53+'TUSD CVA'!$AM$53)*(1-CUSTOS!$M$38)</f>
        <v>386.47391324808456</v>
      </c>
      <c r="AA1555" s="4">
        <f>('TE BE'!$AA$32+'TE BF'!$AA$32+'TE CVA'!$AA$32)*(1-CUSTOS!$M$38)</f>
        <v>220.59856812487419</v>
      </c>
      <c r="AB1555" s="4">
        <f>$K$1555*$V$1555</f>
        <v>0</v>
      </c>
      <c r="AC1555" s="4">
        <f>$M$1555*$W$1555</f>
        <v>625.44644999999991</v>
      </c>
      <c r="AD1555" s="4">
        <f>$O$1555*$X$1555</f>
        <v>423.18489</v>
      </c>
      <c r="AE1555" s="4">
        <f>$K$1555*$Y$1555</f>
        <v>0</v>
      </c>
      <c r="AF1555" s="4">
        <f ca="1">$M$1555*$Z$1555</f>
        <v>793.43094389831754</v>
      </c>
      <c r="AG1555" s="4">
        <f>$O$1555*$AA$1555</f>
        <v>452.88886036036672</v>
      </c>
    </row>
    <row r="1556" spans="1:33" ht="11.25" customHeight="1" x14ac:dyDescent="0.25">
      <c r="A1556" s="3" t="s">
        <v>21</v>
      </c>
      <c r="B1556" s="3" t="s">
        <v>44</v>
      </c>
      <c r="C1556" s="3" t="s">
        <v>23</v>
      </c>
      <c r="D1556" s="3" t="s">
        <v>45</v>
      </c>
      <c r="E1556" s="3" t="s">
        <v>53</v>
      </c>
      <c r="F1556" s="3" t="s">
        <v>55</v>
      </c>
      <c r="G1556" s="3" t="s">
        <v>25</v>
      </c>
      <c r="H1556" s="3" t="s">
        <v>25</v>
      </c>
      <c r="I1556" s="6">
        <v>44287</v>
      </c>
      <c r="J1556" s="4">
        <v>0</v>
      </c>
      <c r="K1556" s="4">
        <v>0</v>
      </c>
      <c r="L1556" s="4">
        <v>328.82900000000001</v>
      </c>
      <c r="M1556" s="4">
        <v>88.783829999999995</v>
      </c>
      <c r="N1556" s="4">
        <v>328.82900000000001</v>
      </c>
      <c r="O1556" s="4">
        <v>88.783829999999995</v>
      </c>
      <c r="P1556" s="4">
        <v>0</v>
      </c>
      <c r="Q1556" s="3" t="s">
        <v>26</v>
      </c>
      <c r="R1556" s="3">
        <v>0</v>
      </c>
      <c r="S1556" s="4">
        <v>0</v>
      </c>
      <c r="T1556" s="4">
        <v>34</v>
      </c>
      <c r="U1556" s="4">
        <v>53</v>
      </c>
      <c r="V1556" s="4">
        <f>IF(ISERROR(VLOOKUP($S$1556,'TAR FIN'!$A$1:$O$113,15,0)),0,VLOOKUP($S$1556,'TAR FIN'!$A$1:$O$113,15,0))</f>
        <v>0</v>
      </c>
      <c r="W1556" s="4">
        <f>IF(ISERROR(VLOOKUP($T$1556,'TAR FIN'!$A$1:$O$113,15,0)),0,VLOOKUP($T$1556,'TAR FIN'!$A$1:$O$113,15,0))</f>
        <v>304.64999999999998</v>
      </c>
      <c r="X1556" s="4">
        <f>IF(ISERROR(VLOOKUP($U$1556,'TAR FIN'!$A$1:$O$113,15,0)),0,VLOOKUP($U$1556,'TAR FIN'!$A$1:$O$113,15,0))</f>
        <v>206.13</v>
      </c>
      <c r="Y1556" s="4"/>
      <c r="Z1556" s="4">
        <f ca="1">('TUSD BE'!$AM$53+'TUSD BF'!$AM$53+'TUSD CVA'!$AM$53)*(1-CUSTOS!$M$38)</f>
        <v>386.47391324808456</v>
      </c>
      <c r="AA1556" s="4">
        <f>('TE BE'!$AA$32+'TE BF'!$AA$32+'TE CVA'!$AA$32)*(1-CUSTOS!$M$38)</f>
        <v>220.59856812487419</v>
      </c>
      <c r="AB1556" s="4">
        <f>$K$1556*$V$1556</f>
        <v>0</v>
      </c>
      <c r="AC1556" s="4">
        <f>$M$1556*$W$1556</f>
        <v>27047.993809499996</v>
      </c>
      <c r="AD1556" s="4">
        <f>$O$1556*$X$1556</f>
        <v>18301.0108779</v>
      </c>
      <c r="AE1556" s="4">
        <f>$K$1556*$Y$1556</f>
        <v>0</v>
      </c>
      <c r="AF1556" s="4">
        <f ca="1">$M$1556*$Z$1556</f>
        <v>34312.634213252684</v>
      </c>
      <c r="AG1556" s="4">
        <f>$O$1556*$AA$1556</f>
        <v>19585.585770642247</v>
      </c>
    </row>
    <row r="1557" spans="1:33" ht="11.25" customHeight="1" x14ac:dyDescent="0.25">
      <c r="A1557" s="3" t="s">
        <v>27</v>
      </c>
      <c r="B1557" s="3" t="s">
        <v>44</v>
      </c>
      <c r="C1557" s="3" t="s">
        <v>23</v>
      </c>
      <c r="D1557" s="3" t="s">
        <v>45</v>
      </c>
      <c r="E1557" s="3" t="s">
        <v>53</v>
      </c>
      <c r="F1557" s="3" t="s">
        <v>55</v>
      </c>
      <c r="G1557" s="3" t="s">
        <v>25</v>
      </c>
      <c r="H1557" s="3" t="s">
        <v>25</v>
      </c>
      <c r="I1557" s="6">
        <v>44287</v>
      </c>
      <c r="J1557" s="4">
        <v>0</v>
      </c>
      <c r="K1557" s="4">
        <v>0</v>
      </c>
      <c r="L1557" s="4">
        <v>-6.5629999999999997</v>
      </c>
      <c r="M1557" s="4">
        <v>-1.7720100000000001</v>
      </c>
      <c r="N1557" s="4">
        <v>-6.5629999999999997</v>
      </c>
      <c r="O1557" s="4">
        <v>-1.7720100000000001</v>
      </c>
      <c r="P1557" s="4">
        <v>0</v>
      </c>
      <c r="Q1557" s="3" t="s">
        <v>26</v>
      </c>
      <c r="R1557" s="3">
        <v>0</v>
      </c>
      <c r="S1557" s="4">
        <v>0</v>
      </c>
      <c r="T1557" s="4">
        <v>34</v>
      </c>
      <c r="U1557" s="4">
        <v>53</v>
      </c>
      <c r="V1557" s="4">
        <f>IF(ISERROR(VLOOKUP($S$1557,'TAR FIN'!$A$1:$O$113,15,0)),0,VLOOKUP($S$1557,'TAR FIN'!$A$1:$O$113,15,0))</f>
        <v>0</v>
      </c>
      <c r="W1557" s="4">
        <f>IF(ISERROR(VLOOKUP($T$1557,'TAR FIN'!$A$1:$O$113,15,0)),0,VLOOKUP($T$1557,'TAR FIN'!$A$1:$O$113,15,0))</f>
        <v>304.64999999999998</v>
      </c>
      <c r="X1557" s="4">
        <f>IF(ISERROR(VLOOKUP($U$1557,'TAR FIN'!$A$1:$O$113,15,0)),0,VLOOKUP($U$1557,'TAR FIN'!$A$1:$O$113,15,0))</f>
        <v>206.13</v>
      </c>
      <c r="Y1557" s="4"/>
      <c r="Z1557" s="4">
        <f ca="1">('TUSD BE'!$AM$53+'TUSD BF'!$AM$53+'TUSD CVA'!$AM$53)*(1-CUSTOS!$M$38)</f>
        <v>386.47391324808456</v>
      </c>
      <c r="AA1557" s="4">
        <f>('TE BE'!$AA$32+'TE BF'!$AA$32+'TE CVA'!$AA$32)*(1-CUSTOS!$M$38)</f>
        <v>220.59856812487419</v>
      </c>
      <c r="AB1557" s="4">
        <f>$K$1557*$V$1557</f>
        <v>0</v>
      </c>
      <c r="AC1557" s="4">
        <f>$M$1557*$W$1557</f>
        <v>-539.84284649999995</v>
      </c>
      <c r="AD1557" s="4">
        <f>$O$1557*$X$1557</f>
        <v>-365.26442130000004</v>
      </c>
      <c r="AE1557" s="4">
        <f>$K$1557*$Y$1557</f>
        <v>0</v>
      </c>
      <c r="AF1557" s="4">
        <f ca="1">$M$1557*$Z$1557</f>
        <v>-684.83563901473838</v>
      </c>
      <c r="AG1557" s="4">
        <f>$O$1557*$AA$1557</f>
        <v>-390.90286870295836</v>
      </c>
    </row>
    <row r="1558" spans="1:33" ht="11.25" customHeight="1" x14ac:dyDescent="0.25">
      <c r="A1558" s="3" t="s">
        <v>28</v>
      </c>
      <c r="B1558" s="3" t="s">
        <v>44</v>
      </c>
      <c r="C1558" s="3" t="s">
        <v>23</v>
      </c>
      <c r="D1558" s="3" t="s">
        <v>45</v>
      </c>
      <c r="E1558" s="3" t="s">
        <v>53</v>
      </c>
      <c r="F1558" s="3" t="s">
        <v>55</v>
      </c>
      <c r="G1558" s="3" t="s">
        <v>25</v>
      </c>
      <c r="H1558" s="3" t="s">
        <v>25</v>
      </c>
      <c r="I1558" s="6">
        <v>44287</v>
      </c>
      <c r="J1558" s="4">
        <v>0</v>
      </c>
      <c r="K1558" s="4">
        <v>0</v>
      </c>
      <c r="L1558" s="4">
        <v>1.4239999999999999</v>
      </c>
      <c r="M1558" s="4">
        <v>0.38447999999999999</v>
      </c>
      <c r="N1558" s="4">
        <v>1.4239999999999999</v>
      </c>
      <c r="O1558" s="4">
        <v>0.38447999999999999</v>
      </c>
      <c r="P1558" s="4">
        <v>0</v>
      </c>
      <c r="Q1558" s="3" t="s">
        <v>26</v>
      </c>
      <c r="R1558" s="3">
        <v>0</v>
      </c>
      <c r="S1558" s="4">
        <v>0</v>
      </c>
      <c r="T1558" s="4">
        <v>34</v>
      </c>
      <c r="U1558" s="4">
        <v>53</v>
      </c>
      <c r="V1558" s="4">
        <f>IF(ISERROR(VLOOKUP($S$1558,'TAR FIN'!$A$1:$O$113,15,0)),0,VLOOKUP($S$1558,'TAR FIN'!$A$1:$O$113,15,0))</f>
        <v>0</v>
      </c>
      <c r="W1558" s="4">
        <f>IF(ISERROR(VLOOKUP($T$1558,'TAR FIN'!$A$1:$O$113,15,0)),0,VLOOKUP($T$1558,'TAR FIN'!$A$1:$O$113,15,0))</f>
        <v>304.64999999999998</v>
      </c>
      <c r="X1558" s="4">
        <f>IF(ISERROR(VLOOKUP($U$1558,'TAR FIN'!$A$1:$O$113,15,0)),0,VLOOKUP($U$1558,'TAR FIN'!$A$1:$O$113,15,0))</f>
        <v>206.13</v>
      </c>
      <c r="Y1558" s="4"/>
      <c r="Z1558" s="4">
        <f ca="1">('TUSD BE'!$AM$53+'TUSD BF'!$AM$53+'TUSD CVA'!$AM$53)*(1-CUSTOS!$M$38)</f>
        <v>386.47391324808456</v>
      </c>
      <c r="AA1558" s="4">
        <f>('TE BE'!$AA$32+'TE BF'!$AA$32+'TE CVA'!$AA$32)*(1-CUSTOS!$M$38)</f>
        <v>220.59856812487419</v>
      </c>
      <c r="AB1558" s="4">
        <f>$K$1558*$V$1558</f>
        <v>0</v>
      </c>
      <c r="AC1558" s="4">
        <f>$M$1558*$W$1558</f>
        <v>117.13183199999999</v>
      </c>
      <c r="AD1558" s="4">
        <f>$O$1558*$X$1558</f>
        <v>79.252862399999998</v>
      </c>
      <c r="AE1558" s="4">
        <f>$K$1558*$Y$1558</f>
        <v>0</v>
      </c>
      <c r="AF1558" s="4">
        <f ca="1">$M$1558*$Z$1558</f>
        <v>148.59149016562355</v>
      </c>
      <c r="AG1558" s="4">
        <f>$O$1558*$AA$1558</f>
        <v>84.81573747265162</v>
      </c>
    </row>
    <row r="1559" spans="1:33" ht="11.25" customHeight="1" x14ac:dyDescent="0.25">
      <c r="A1559" s="3" t="s">
        <v>21</v>
      </c>
      <c r="B1559" s="3" t="s">
        <v>44</v>
      </c>
      <c r="C1559" s="3" t="s">
        <v>23</v>
      </c>
      <c r="D1559" s="3" t="s">
        <v>45</v>
      </c>
      <c r="E1559" s="3" t="s">
        <v>53</v>
      </c>
      <c r="F1559" s="3" t="s">
        <v>55</v>
      </c>
      <c r="G1559" s="3" t="s">
        <v>25</v>
      </c>
      <c r="H1559" s="3" t="s">
        <v>25</v>
      </c>
      <c r="I1559" s="6">
        <v>44317</v>
      </c>
      <c r="J1559" s="4">
        <v>0</v>
      </c>
      <c r="K1559" s="4">
        <v>0</v>
      </c>
      <c r="L1559" s="4">
        <v>120.88200000000001</v>
      </c>
      <c r="M1559" s="4">
        <v>32.63814</v>
      </c>
      <c r="N1559" s="4">
        <v>120.88200000000001</v>
      </c>
      <c r="O1559" s="4">
        <v>32.63814</v>
      </c>
      <c r="P1559" s="4">
        <v>0</v>
      </c>
      <c r="Q1559" s="3" t="s">
        <v>26</v>
      </c>
      <c r="R1559" s="3">
        <v>0</v>
      </c>
      <c r="S1559" s="4">
        <v>0</v>
      </c>
      <c r="T1559" s="4">
        <v>34</v>
      </c>
      <c r="U1559" s="4">
        <v>53</v>
      </c>
      <c r="V1559" s="4">
        <f>IF(ISERROR(VLOOKUP($S$1559,'TAR FIN'!$A$1:$O$113,15,0)),0,VLOOKUP($S$1559,'TAR FIN'!$A$1:$O$113,15,0))</f>
        <v>0</v>
      </c>
      <c r="W1559" s="4">
        <f>IF(ISERROR(VLOOKUP($T$1559,'TAR FIN'!$A$1:$O$113,15,0)),0,VLOOKUP($T$1559,'TAR FIN'!$A$1:$O$113,15,0))</f>
        <v>304.64999999999998</v>
      </c>
      <c r="X1559" s="4">
        <f>IF(ISERROR(VLOOKUP($U$1559,'TAR FIN'!$A$1:$O$113,15,0)),0,VLOOKUP($U$1559,'TAR FIN'!$A$1:$O$113,15,0))</f>
        <v>206.13</v>
      </c>
      <c r="Y1559" s="4"/>
      <c r="Z1559" s="4">
        <f ca="1">('TUSD BE'!$AM$53+'TUSD BF'!$AM$53+'TUSD CVA'!$AM$53)*(1-CUSTOS!$M$38)</f>
        <v>386.47391324808456</v>
      </c>
      <c r="AA1559" s="4">
        <f>('TE BE'!$AA$32+'TE BF'!$AA$32+'TE CVA'!$AA$32)*(1-CUSTOS!$M$38)</f>
        <v>220.59856812487419</v>
      </c>
      <c r="AB1559" s="4">
        <f>$K$1559*$V$1559</f>
        <v>0</v>
      </c>
      <c r="AC1559" s="4">
        <f>$M$1559*$W$1559</f>
        <v>9943.2093509999995</v>
      </c>
      <c r="AD1559" s="4">
        <f>$O$1559*$X$1559</f>
        <v>6727.6997982000003</v>
      </c>
      <c r="AE1559" s="4">
        <f>$K$1559*$Y$1559</f>
        <v>0</v>
      </c>
      <c r="AF1559" s="4">
        <f ca="1">$M$1559*$Z$1559</f>
        <v>12613.789686938839</v>
      </c>
      <c r="AG1559" s="4">
        <f>$O$1559*$AA$1559</f>
        <v>7199.9269502591815</v>
      </c>
    </row>
    <row r="1560" spans="1:33" ht="11.25" customHeight="1" x14ac:dyDescent="0.25">
      <c r="A1560" s="3" t="s">
        <v>27</v>
      </c>
      <c r="B1560" s="3" t="s">
        <v>44</v>
      </c>
      <c r="C1560" s="3" t="s">
        <v>23</v>
      </c>
      <c r="D1560" s="3" t="s">
        <v>45</v>
      </c>
      <c r="E1560" s="3" t="s">
        <v>53</v>
      </c>
      <c r="F1560" s="3" t="s">
        <v>55</v>
      </c>
      <c r="G1560" s="3" t="s">
        <v>25</v>
      </c>
      <c r="H1560" s="3" t="s">
        <v>25</v>
      </c>
      <c r="I1560" s="6">
        <v>44317</v>
      </c>
      <c r="J1560" s="4">
        <v>0</v>
      </c>
      <c r="K1560" s="4">
        <v>0</v>
      </c>
      <c r="L1560" s="4">
        <v>-1.8</v>
      </c>
      <c r="M1560" s="4">
        <v>-0.48599999999999999</v>
      </c>
      <c r="N1560" s="4">
        <v>-1.8</v>
      </c>
      <c r="O1560" s="4">
        <v>-0.48599999999999999</v>
      </c>
      <c r="P1560" s="4">
        <v>0</v>
      </c>
      <c r="Q1560" s="3" t="s">
        <v>26</v>
      </c>
      <c r="R1560" s="3">
        <v>0</v>
      </c>
      <c r="S1560" s="4">
        <v>0</v>
      </c>
      <c r="T1560" s="4">
        <v>34</v>
      </c>
      <c r="U1560" s="4">
        <v>53</v>
      </c>
      <c r="V1560" s="4">
        <f>IF(ISERROR(VLOOKUP($S$1560,'TAR FIN'!$A$1:$O$113,15,0)),0,VLOOKUP($S$1560,'TAR FIN'!$A$1:$O$113,15,0))</f>
        <v>0</v>
      </c>
      <c r="W1560" s="4">
        <f>IF(ISERROR(VLOOKUP($T$1560,'TAR FIN'!$A$1:$O$113,15,0)),0,VLOOKUP($T$1560,'TAR FIN'!$A$1:$O$113,15,0))</f>
        <v>304.64999999999998</v>
      </c>
      <c r="X1560" s="4">
        <f>IF(ISERROR(VLOOKUP($U$1560,'TAR FIN'!$A$1:$O$113,15,0)),0,VLOOKUP($U$1560,'TAR FIN'!$A$1:$O$113,15,0))</f>
        <v>206.13</v>
      </c>
      <c r="Y1560" s="4"/>
      <c r="Z1560" s="4">
        <f ca="1">('TUSD BE'!$AM$53+'TUSD BF'!$AM$53+'TUSD CVA'!$AM$53)*(1-CUSTOS!$M$38)</f>
        <v>386.47391324808456</v>
      </c>
      <c r="AA1560" s="4">
        <f>('TE BE'!$AA$32+'TE BF'!$AA$32+'TE CVA'!$AA$32)*(1-CUSTOS!$M$38)</f>
        <v>220.59856812487419</v>
      </c>
      <c r="AB1560" s="4">
        <f>$K$1560*$V$1560</f>
        <v>0</v>
      </c>
      <c r="AC1560" s="4">
        <f>$M$1560*$W$1560</f>
        <v>-148.0599</v>
      </c>
      <c r="AD1560" s="4">
        <f>$O$1560*$X$1560</f>
        <v>-100.17917999999999</v>
      </c>
      <c r="AE1560" s="4">
        <f>$K$1560*$Y$1560</f>
        <v>0</v>
      </c>
      <c r="AF1560" s="4">
        <f ca="1">$M$1560*$Z$1560</f>
        <v>-187.8263218385691</v>
      </c>
      <c r="AG1560" s="4">
        <f>$O$1560*$AA$1560</f>
        <v>-107.21090410868885</v>
      </c>
    </row>
    <row r="1561" spans="1:33" ht="11.25" customHeight="1" x14ac:dyDescent="0.25">
      <c r="A1561" s="3" t="s">
        <v>28</v>
      </c>
      <c r="B1561" s="3" t="s">
        <v>44</v>
      </c>
      <c r="C1561" s="3" t="s">
        <v>23</v>
      </c>
      <c r="D1561" s="3" t="s">
        <v>45</v>
      </c>
      <c r="E1561" s="3" t="s">
        <v>53</v>
      </c>
      <c r="F1561" s="3" t="s">
        <v>55</v>
      </c>
      <c r="G1561" s="3" t="s">
        <v>25</v>
      </c>
      <c r="H1561" s="3" t="s">
        <v>25</v>
      </c>
      <c r="I1561" s="6">
        <v>44317</v>
      </c>
      <c r="J1561" s="4">
        <v>0</v>
      </c>
      <c r="K1561" s="4">
        <v>0</v>
      </c>
      <c r="L1561" s="4">
        <v>0.38500000000000001</v>
      </c>
      <c r="M1561" s="4">
        <v>0.10395</v>
      </c>
      <c r="N1561" s="4">
        <v>0.38500000000000001</v>
      </c>
      <c r="O1561" s="4">
        <v>0.10395</v>
      </c>
      <c r="P1561" s="4">
        <v>0</v>
      </c>
      <c r="Q1561" s="3" t="s">
        <v>26</v>
      </c>
      <c r="R1561" s="3">
        <v>0</v>
      </c>
      <c r="S1561" s="4">
        <v>0</v>
      </c>
      <c r="T1561" s="4">
        <v>34</v>
      </c>
      <c r="U1561" s="4">
        <v>53</v>
      </c>
      <c r="V1561" s="4">
        <f>IF(ISERROR(VLOOKUP($S$1561,'TAR FIN'!$A$1:$O$113,15,0)),0,VLOOKUP($S$1561,'TAR FIN'!$A$1:$O$113,15,0))</f>
        <v>0</v>
      </c>
      <c r="W1561" s="4">
        <f>IF(ISERROR(VLOOKUP($T$1561,'TAR FIN'!$A$1:$O$113,15,0)),0,VLOOKUP($T$1561,'TAR FIN'!$A$1:$O$113,15,0))</f>
        <v>304.64999999999998</v>
      </c>
      <c r="X1561" s="4">
        <f>IF(ISERROR(VLOOKUP($U$1561,'TAR FIN'!$A$1:$O$113,15,0)),0,VLOOKUP($U$1561,'TAR FIN'!$A$1:$O$113,15,0))</f>
        <v>206.13</v>
      </c>
      <c r="Y1561" s="4"/>
      <c r="Z1561" s="4">
        <f ca="1">('TUSD BE'!$AM$53+'TUSD BF'!$AM$53+'TUSD CVA'!$AM$53)*(1-CUSTOS!$M$38)</f>
        <v>386.47391324808456</v>
      </c>
      <c r="AA1561" s="4">
        <f>('TE BE'!$AA$32+'TE BF'!$AA$32+'TE CVA'!$AA$32)*(1-CUSTOS!$M$38)</f>
        <v>220.59856812487419</v>
      </c>
      <c r="AB1561" s="4">
        <f>$K$1561*$V$1561</f>
        <v>0</v>
      </c>
      <c r="AC1561" s="4">
        <f>$M$1561*$W$1561</f>
        <v>31.668367499999999</v>
      </c>
      <c r="AD1561" s="4">
        <f>$O$1561*$X$1561</f>
        <v>21.427213500000001</v>
      </c>
      <c r="AE1561" s="4">
        <f>$K$1561*$Y$1561</f>
        <v>0</v>
      </c>
      <c r="AF1561" s="4">
        <f ca="1">$M$1561*$Z$1561</f>
        <v>40.173963282138388</v>
      </c>
      <c r="AG1561" s="4">
        <f>$O$1561*$AA$1561</f>
        <v>22.931221156580673</v>
      </c>
    </row>
    <row r="1562" spans="1:33" ht="11.25" customHeight="1" x14ac:dyDescent="0.25">
      <c r="A1562" s="3" t="s">
        <v>21</v>
      </c>
      <c r="B1562" s="3" t="s">
        <v>44</v>
      </c>
      <c r="C1562" s="3" t="s">
        <v>23</v>
      </c>
      <c r="D1562" s="3" t="s">
        <v>45</v>
      </c>
      <c r="E1562" s="3" t="s">
        <v>53</v>
      </c>
      <c r="F1562" s="3" t="s">
        <v>55</v>
      </c>
      <c r="G1562" s="3" t="s">
        <v>25</v>
      </c>
      <c r="H1562" s="3" t="s">
        <v>25</v>
      </c>
      <c r="I1562" s="6">
        <v>44348</v>
      </c>
      <c r="J1562" s="4">
        <v>0</v>
      </c>
      <c r="K1562" s="4">
        <v>0</v>
      </c>
      <c r="L1562" s="4">
        <v>109.247</v>
      </c>
      <c r="M1562" s="4">
        <v>29.496690000000001</v>
      </c>
      <c r="N1562" s="4">
        <v>109.247</v>
      </c>
      <c r="O1562" s="4">
        <v>29.496690000000001</v>
      </c>
      <c r="P1562" s="4">
        <v>0</v>
      </c>
      <c r="Q1562" s="3" t="s">
        <v>26</v>
      </c>
      <c r="R1562" s="3">
        <v>0</v>
      </c>
      <c r="S1562" s="4">
        <v>0</v>
      </c>
      <c r="T1562" s="4">
        <v>34</v>
      </c>
      <c r="U1562" s="4">
        <v>53</v>
      </c>
      <c r="V1562" s="4">
        <f>IF(ISERROR(VLOOKUP($S$1562,'TAR FIN'!$A$1:$O$113,15,0)),0,VLOOKUP($S$1562,'TAR FIN'!$A$1:$O$113,15,0))</f>
        <v>0</v>
      </c>
      <c r="W1562" s="4">
        <f>IF(ISERROR(VLOOKUP($T$1562,'TAR FIN'!$A$1:$O$113,15,0)),0,VLOOKUP($T$1562,'TAR FIN'!$A$1:$O$113,15,0))</f>
        <v>304.64999999999998</v>
      </c>
      <c r="X1562" s="4">
        <f>IF(ISERROR(VLOOKUP($U$1562,'TAR FIN'!$A$1:$O$113,15,0)),0,VLOOKUP($U$1562,'TAR FIN'!$A$1:$O$113,15,0))</f>
        <v>206.13</v>
      </c>
      <c r="Y1562" s="4"/>
      <c r="Z1562" s="4">
        <f ca="1">('TUSD BE'!$AM$53+'TUSD BF'!$AM$53+'TUSD CVA'!$AM$53)*(1-CUSTOS!$M$38)</f>
        <v>386.47391324808456</v>
      </c>
      <c r="AA1562" s="4">
        <f>('TE BE'!$AA$32+'TE BF'!$AA$32+'TE CVA'!$AA$32)*(1-CUSTOS!$M$38)</f>
        <v>220.59856812487419</v>
      </c>
      <c r="AB1562" s="4">
        <f>$K$1562*$V$1562</f>
        <v>0</v>
      </c>
      <c r="AC1562" s="4">
        <f>$M$1562*$W$1562</f>
        <v>8986.1666084999997</v>
      </c>
      <c r="AD1562" s="4">
        <f>$O$1562*$X$1562</f>
        <v>6080.1527096999998</v>
      </c>
      <c r="AE1562" s="4">
        <f>$K$1562*$Y$1562</f>
        <v>0</v>
      </c>
      <c r="AF1562" s="4">
        <f ca="1">$M$1562*$Z$1562</f>
        <v>11399.701212165644</v>
      </c>
      <c r="AG1562" s="4">
        <f>$O$1562*$AA$1562</f>
        <v>6506.9275784232959</v>
      </c>
    </row>
    <row r="1563" spans="1:33" ht="11.25" customHeight="1" x14ac:dyDescent="0.25">
      <c r="A1563" s="3" t="s">
        <v>27</v>
      </c>
      <c r="B1563" s="3" t="s">
        <v>44</v>
      </c>
      <c r="C1563" s="3" t="s">
        <v>23</v>
      </c>
      <c r="D1563" s="3" t="s">
        <v>45</v>
      </c>
      <c r="E1563" s="3" t="s">
        <v>53</v>
      </c>
      <c r="F1563" s="3" t="s">
        <v>55</v>
      </c>
      <c r="G1563" s="3" t="s">
        <v>25</v>
      </c>
      <c r="H1563" s="3" t="s">
        <v>25</v>
      </c>
      <c r="I1563" s="6">
        <v>44348</v>
      </c>
      <c r="J1563" s="4">
        <v>0</v>
      </c>
      <c r="K1563" s="4">
        <v>0</v>
      </c>
      <c r="L1563" s="4">
        <v>-0.35899999999999999</v>
      </c>
      <c r="M1563" s="4">
        <v>-9.6930000000000002E-2</v>
      </c>
      <c r="N1563" s="4">
        <v>-0.35899999999999999</v>
      </c>
      <c r="O1563" s="4">
        <v>-9.6930000000000002E-2</v>
      </c>
      <c r="P1563" s="4">
        <v>0</v>
      </c>
      <c r="Q1563" s="3" t="s">
        <v>26</v>
      </c>
      <c r="R1563" s="3">
        <v>0</v>
      </c>
      <c r="S1563" s="4">
        <v>0</v>
      </c>
      <c r="T1563" s="4">
        <v>34</v>
      </c>
      <c r="U1563" s="4">
        <v>53</v>
      </c>
      <c r="V1563" s="4">
        <f>IF(ISERROR(VLOOKUP($S$1563,'TAR FIN'!$A$1:$O$113,15,0)),0,VLOOKUP($S$1563,'TAR FIN'!$A$1:$O$113,15,0))</f>
        <v>0</v>
      </c>
      <c r="W1563" s="4">
        <f>IF(ISERROR(VLOOKUP($T$1563,'TAR FIN'!$A$1:$O$113,15,0)),0,VLOOKUP($T$1563,'TAR FIN'!$A$1:$O$113,15,0))</f>
        <v>304.64999999999998</v>
      </c>
      <c r="X1563" s="4">
        <f>IF(ISERROR(VLOOKUP($U$1563,'TAR FIN'!$A$1:$O$113,15,0)),0,VLOOKUP($U$1563,'TAR FIN'!$A$1:$O$113,15,0))</f>
        <v>206.13</v>
      </c>
      <c r="Y1563" s="4"/>
      <c r="Z1563" s="4">
        <f ca="1">('TUSD BE'!$AM$53+'TUSD BF'!$AM$53+'TUSD CVA'!$AM$53)*(1-CUSTOS!$M$38)</f>
        <v>386.47391324808456</v>
      </c>
      <c r="AA1563" s="4">
        <f>('TE BE'!$AA$32+'TE BF'!$AA$32+'TE CVA'!$AA$32)*(1-CUSTOS!$M$38)</f>
        <v>220.59856812487419</v>
      </c>
      <c r="AB1563" s="4">
        <f>$K$1563*$V$1563</f>
        <v>0</v>
      </c>
      <c r="AC1563" s="4">
        <f>$M$1563*$W$1563</f>
        <v>-29.529724499999997</v>
      </c>
      <c r="AD1563" s="4">
        <f>$O$1563*$X$1563</f>
        <v>-19.980180900000001</v>
      </c>
      <c r="AE1563" s="4">
        <f>$K$1563*$Y$1563</f>
        <v>0</v>
      </c>
      <c r="AF1563" s="4">
        <f ca="1">$M$1563*$Z$1563</f>
        <v>-37.460916411136836</v>
      </c>
      <c r="AG1563" s="4">
        <f>$O$1563*$AA$1563</f>
        <v>-21.382619208344057</v>
      </c>
    </row>
    <row r="1564" spans="1:33" ht="11.25" customHeight="1" x14ac:dyDescent="0.25">
      <c r="A1564" s="3" t="s">
        <v>28</v>
      </c>
      <c r="B1564" s="3" t="s">
        <v>44</v>
      </c>
      <c r="C1564" s="3" t="s">
        <v>23</v>
      </c>
      <c r="D1564" s="3" t="s">
        <v>45</v>
      </c>
      <c r="E1564" s="3" t="s">
        <v>53</v>
      </c>
      <c r="F1564" s="3" t="s">
        <v>55</v>
      </c>
      <c r="G1564" s="3" t="s">
        <v>25</v>
      </c>
      <c r="H1564" s="3" t="s">
        <v>25</v>
      </c>
      <c r="I1564" s="6">
        <v>44348</v>
      </c>
      <c r="J1564" s="4">
        <v>0</v>
      </c>
      <c r="K1564" s="4">
        <v>0</v>
      </c>
      <c r="L1564" s="4">
        <v>9.4E-2</v>
      </c>
      <c r="M1564" s="4">
        <v>2.538E-2</v>
      </c>
      <c r="N1564" s="4">
        <v>9.4E-2</v>
      </c>
      <c r="O1564" s="4">
        <v>2.538E-2</v>
      </c>
      <c r="P1564" s="4">
        <v>0</v>
      </c>
      <c r="Q1564" s="3" t="s">
        <v>26</v>
      </c>
      <c r="R1564" s="3">
        <v>0</v>
      </c>
      <c r="S1564" s="4">
        <v>0</v>
      </c>
      <c r="T1564" s="4">
        <v>34</v>
      </c>
      <c r="U1564" s="4">
        <v>53</v>
      </c>
      <c r="V1564" s="4">
        <f>IF(ISERROR(VLOOKUP($S$1564,'TAR FIN'!$A$1:$O$113,15,0)),0,VLOOKUP($S$1564,'TAR FIN'!$A$1:$O$113,15,0))</f>
        <v>0</v>
      </c>
      <c r="W1564" s="4">
        <f>IF(ISERROR(VLOOKUP($T$1564,'TAR FIN'!$A$1:$O$113,15,0)),0,VLOOKUP($T$1564,'TAR FIN'!$A$1:$O$113,15,0))</f>
        <v>304.64999999999998</v>
      </c>
      <c r="X1564" s="4">
        <f>IF(ISERROR(VLOOKUP($U$1564,'TAR FIN'!$A$1:$O$113,15,0)),0,VLOOKUP($U$1564,'TAR FIN'!$A$1:$O$113,15,0))</f>
        <v>206.13</v>
      </c>
      <c r="Y1564" s="4"/>
      <c r="Z1564" s="4">
        <f ca="1">('TUSD BE'!$AM$53+'TUSD BF'!$AM$53+'TUSD CVA'!$AM$53)*(1-CUSTOS!$M$38)</f>
        <v>386.47391324808456</v>
      </c>
      <c r="AA1564" s="4">
        <f>('TE BE'!$AA$32+'TE BF'!$AA$32+'TE CVA'!$AA$32)*(1-CUSTOS!$M$38)</f>
        <v>220.59856812487419</v>
      </c>
      <c r="AB1564" s="4">
        <f>$K$1564*$V$1564</f>
        <v>0</v>
      </c>
      <c r="AC1564" s="4">
        <f>$M$1564*$W$1564</f>
        <v>7.732016999999999</v>
      </c>
      <c r="AD1564" s="4">
        <f>$O$1564*$X$1564</f>
        <v>5.2315794000000002</v>
      </c>
      <c r="AE1564" s="4">
        <f>$K$1564*$Y$1564</f>
        <v>0</v>
      </c>
      <c r="AF1564" s="4">
        <f ca="1">$M$1564*$Z$1564</f>
        <v>9.8087079182363865</v>
      </c>
      <c r="AG1564" s="4">
        <f>$O$1564*$AA$1564</f>
        <v>5.598791659009307</v>
      </c>
    </row>
    <row r="1565" spans="1:33" ht="11.25" customHeight="1" x14ac:dyDescent="0.25">
      <c r="A1565" s="3" t="s">
        <v>21</v>
      </c>
      <c r="B1565" s="3" t="s">
        <v>44</v>
      </c>
      <c r="C1565" s="3" t="s">
        <v>23</v>
      </c>
      <c r="D1565" s="3" t="s">
        <v>45</v>
      </c>
      <c r="E1565" s="3" t="s">
        <v>53</v>
      </c>
      <c r="F1565" s="3" t="s">
        <v>55</v>
      </c>
      <c r="G1565" s="3" t="s">
        <v>25</v>
      </c>
      <c r="H1565" s="3" t="s">
        <v>25</v>
      </c>
      <c r="I1565" s="6">
        <v>44378</v>
      </c>
      <c r="J1565" s="4">
        <v>0</v>
      </c>
      <c r="K1565" s="4">
        <v>0</v>
      </c>
      <c r="L1565" s="4">
        <v>90.728999999999999</v>
      </c>
      <c r="M1565" s="4">
        <v>24.496829999999999</v>
      </c>
      <c r="N1565" s="4">
        <v>90.728999999999999</v>
      </c>
      <c r="O1565" s="4">
        <v>24.496829999999999</v>
      </c>
      <c r="P1565" s="4">
        <v>0</v>
      </c>
      <c r="Q1565" s="3" t="s">
        <v>26</v>
      </c>
      <c r="R1565" s="3">
        <v>0</v>
      </c>
      <c r="S1565" s="4">
        <v>0</v>
      </c>
      <c r="T1565" s="4">
        <v>34</v>
      </c>
      <c r="U1565" s="4">
        <v>53</v>
      </c>
      <c r="V1565" s="4">
        <f>IF(ISERROR(VLOOKUP($S$1565,'TAR FIN'!$A$1:$O$113,15,0)),0,VLOOKUP($S$1565,'TAR FIN'!$A$1:$O$113,15,0))</f>
        <v>0</v>
      </c>
      <c r="W1565" s="4">
        <f>IF(ISERROR(VLOOKUP($T$1565,'TAR FIN'!$A$1:$O$113,15,0)),0,VLOOKUP($T$1565,'TAR FIN'!$A$1:$O$113,15,0))</f>
        <v>304.64999999999998</v>
      </c>
      <c r="X1565" s="4">
        <f>IF(ISERROR(VLOOKUP($U$1565,'TAR FIN'!$A$1:$O$113,15,0)),0,VLOOKUP($U$1565,'TAR FIN'!$A$1:$O$113,15,0))</f>
        <v>206.13</v>
      </c>
      <c r="Y1565" s="4"/>
      <c r="Z1565" s="4">
        <f ca="1">('TUSD BE'!$AM$53+'TUSD BF'!$AM$53+'TUSD CVA'!$AM$53)*(1-CUSTOS!$M$38)</f>
        <v>386.47391324808456</v>
      </c>
      <c r="AA1565" s="4">
        <f>('TE BE'!$AA$32+'TE BF'!$AA$32+'TE CVA'!$AA$32)*(1-CUSTOS!$M$38)</f>
        <v>220.59856812487419</v>
      </c>
      <c r="AB1565" s="4">
        <f>$K$1565*$V$1565</f>
        <v>0</v>
      </c>
      <c r="AC1565" s="4">
        <f>$M$1565*$W$1565</f>
        <v>7462.9592594999995</v>
      </c>
      <c r="AD1565" s="4">
        <f>$O$1565*$X$1565</f>
        <v>5049.5315678999996</v>
      </c>
      <c r="AE1565" s="4">
        <f>$K$1565*$Y$1565</f>
        <v>0</v>
      </c>
      <c r="AF1565" s="4">
        <f ca="1">$M$1565*$Z$1565</f>
        <v>9467.3857522730741</v>
      </c>
      <c r="AG1565" s="4">
        <f>$O$1565*$AA$1565</f>
        <v>5403.9656215984614</v>
      </c>
    </row>
    <row r="1566" spans="1:33" ht="11.25" customHeight="1" x14ac:dyDescent="0.25">
      <c r="A1566" s="3" t="s">
        <v>27</v>
      </c>
      <c r="B1566" s="3" t="s">
        <v>44</v>
      </c>
      <c r="C1566" s="3" t="s">
        <v>23</v>
      </c>
      <c r="D1566" s="3" t="s">
        <v>45</v>
      </c>
      <c r="E1566" s="3" t="s">
        <v>53</v>
      </c>
      <c r="F1566" s="3" t="s">
        <v>55</v>
      </c>
      <c r="G1566" s="3" t="s">
        <v>25</v>
      </c>
      <c r="H1566" s="3" t="s">
        <v>25</v>
      </c>
      <c r="I1566" s="6">
        <v>44378</v>
      </c>
      <c r="J1566" s="4">
        <v>0</v>
      </c>
      <c r="K1566" s="4">
        <v>0</v>
      </c>
      <c r="L1566" s="4">
        <v>-0.32200000000000001</v>
      </c>
      <c r="M1566" s="4">
        <v>-8.6940000000000003E-2</v>
      </c>
      <c r="N1566" s="4">
        <v>-0.32200000000000001</v>
      </c>
      <c r="O1566" s="4">
        <v>-8.6940000000000003E-2</v>
      </c>
      <c r="P1566" s="4">
        <v>0</v>
      </c>
      <c r="Q1566" s="3" t="s">
        <v>26</v>
      </c>
      <c r="R1566" s="3">
        <v>0</v>
      </c>
      <c r="S1566" s="4">
        <v>0</v>
      </c>
      <c r="T1566" s="4">
        <v>34</v>
      </c>
      <c r="U1566" s="4">
        <v>53</v>
      </c>
      <c r="V1566" s="4">
        <f>IF(ISERROR(VLOOKUP($S$1566,'TAR FIN'!$A$1:$O$113,15,0)),0,VLOOKUP($S$1566,'TAR FIN'!$A$1:$O$113,15,0))</f>
        <v>0</v>
      </c>
      <c r="W1566" s="4">
        <f>IF(ISERROR(VLOOKUP($T$1566,'TAR FIN'!$A$1:$O$113,15,0)),0,VLOOKUP($T$1566,'TAR FIN'!$A$1:$O$113,15,0))</f>
        <v>304.64999999999998</v>
      </c>
      <c r="X1566" s="4">
        <f>IF(ISERROR(VLOOKUP($U$1566,'TAR FIN'!$A$1:$O$113,15,0)),0,VLOOKUP($U$1566,'TAR FIN'!$A$1:$O$113,15,0))</f>
        <v>206.13</v>
      </c>
      <c r="Y1566" s="4"/>
      <c r="Z1566" s="4">
        <f ca="1">('TUSD BE'!$AM$53+'TUSD BF'!$AM$53+'TUSD CVA'!$AM$53)*(1-CUSTOS!$M$38)</f>
        <v>386.47391324808456</v>
      </c>
      <c r="AA1566" s="4">
        <f>('TE BE'!$AA$32+'TE BF'!$AA$32+'TE CVA'!$AA$32)*(1-CUSTOS!$M$38)</f>
        <v>220.59856812487419</v>
      </c>
      <c r="AB1566" s="4">
        <f>$K$1566*$V$1566</f>
        <v>0</v>
      </c>
      <c r="AC1566" s="4">
        <f>$M$1566*$W$1566</f>
        <v>-26.486270999999999</v>
      </c>
      <c r="AD1566" s="4">
        <f>$O$1566*$X$1566</f>
        <v>-17.920942199999999</v>
      </c>
      <c r="AE1566" s="4">
        <f>$K$1566*$Y$1566</f>
        <v>0</v>
      </c>
      <c r="AF1566" s="4">
        <f ca="1">$M$1566*$Z$1566</f>
        <v>-33.600042017788475</v>
      </c>
      <c r="AG1566" s="4">
        <f>$O$1566*$AA$1566</f>
        <v>-19.178839512776563</v>
      </c>
    </row>
    <row r="1567" spans="1:33" ht="11.25" customHeight="1" x14ac:dyDescent="0.25">
      <c r="A1567" s="3" t="s">
        <v>28</v>
      </c>
      <c r="B1567" s="3" t="s">
        <v>44</v>
      </c>
      <c r="C1567" s="3" t="s">
        <v>23</v>
      </c>
      <c r="D1567" s="3" t="s">
        <v>45</v>
      </c>
      <c r="E1567" s="3" t="s">
        <v>53</v>
      </c>
      <c r="F1567" s="3" t="s">
        <v>55</v>
      </c>
      <c r="G1567" s="3" t="s">
        <v>25</v>
      </c>
      <c r="H1567" s="3" t="s">
        <v>25</v>
      </c>
      <c r="I1567" s="6">
        <v>44378</v>
      </c>
      <c r="J1567" s="4">
        <v>0</v>
      </c>
      <c r="K1567" s="4">
        <v>0</v>
      </c>
      <c r="L1567" s="4">
        <v>0.38900000000000001</v>
      </c>
      <c r="M1567" s="4">
        <v>0.10503</v>
      </c>
      <c r="N1567" s="4">
        <v>0.38900000000000001</v>
      </c>
      <c r="O1567" s="4">
        <v>0.10503</v>
      </c>
      <c r="P1567" s="4">
        <v>0</v>
      </c>
      <c r="Q1567" s="3" t="s">
        <v>26</v>
      </c>
      <c r="R1567" s="3">
        <v>0</v>
      </c>
      <c r="S1567" s="4">
        <v>0</v>
      </c>
      <c r="T1567" s="4">
        <v>34</v>
      </c>
      <c r="U1567" s="4">
        <v>53</v>
      </c>
      <c r="V1567" s="4">
        <f>IF(ISERROR(VLOOKUP($S$1567,'TAR FIN'!$A$1:$O$113,15,0)),0,VLOOKUP($S$1567,'TAR FIN'!$A$1:$O$113,15,0))</f>
        <v>0</v>
      </c>
      <c r="W1567" s="4">
        <f>IF(ISERROR(VLOOKUP($T$1567,'TAR FIN'!$A$1:$O$113,15,0)),0,VLOOKUP($T$1567,'TAR FIN'!$A$1:$O$113,15,0))</f>
        <v>304.64999999999998</v>
      </c>
      <c r="X1567" s="4">
        <f>IF(ISERROR(VLOOKUP($U$1567,'TAR FIN'!$A$1:$O$113,15,0)),0,VLOOKUP($U$1567,'TAR FIN'!$A$1:$O$113,15,0))</f>
        <v>206.13</v>
      </c>
      <c r="Y1567" s="4"/>
      <c r="Z1567" s="4">
        <f ca="1">('TUSD BE'!$AM$53+'TUSD BF'!$AM$53+'TUSD CVA'!$AM$53)*(1-CUSTOS!$M$38)</f>
        <v>386.47391324808456</v>
      </c>
      <c r="AA1567" s="4">
        <f>('TE BE'!$AA$32+'TE BF'!$AA$32+'TE CVA'!$AA$32)*(1-CUSTOS!$M$38)</f>
        <v>220.59856812487419</v>
      </c>
      <c r="AB1567" s="4">
        <f>$K$1567*$V$1567</f>
        <v>0</v>
      </c>
      <c r="AC1567" s="4">
        <f>$M$1567*$W$1567</f>
        <v>31.997389499999997</v>
      </c>
      <c r="AD1567" s="4">
        <f>$O$1567*$X$1567</f>
        <v>21.649833900000001</v>
      </c>
      <c r="AE1567" s="4">
        <f>$K$1567*$Y$1567</f>
        <v>0</v>
      </c>
      <c r="AF1567" s="4">
        <f ca="1">$M$1567*$Z$1567</f>
        <v>40.591355108446322</v>
      </c>
      <c r="AG1567" s="4">
        <f>$O$1567*$AA$1567</f>
        <v>23.169467610155536</v>
      </c>
    </row>
    <row r="1568" spans="1:33" ht="11.25" customHeight="1" x14ac:dyDescent="0.25">
      <c r="A1568" s="3" t="s">
        <v>21</v>
      </c>
      <c r="B1568" s="3" t="s">
        <v>44</v>
      </c>
      <c r="C1568" s="3" t="s">
        <v>23</v>
      </c>
      <c r="D1568" s="3" t="s">
        <v>45</v>
      </c>
      <c r="E1568" s="3" t="s">
        <v>53</v>
      </c>
      <c r="F1568" s="3" t="s">
        <v>55</v>
      </c>
      <c r="G1568" s="3" t="s">
        <v>25</v>
      </c>
      <c r="H1568" s="3" t="s">
        <v>25</v>
      </c>
      <c r="I1568" s="6">
        <v>44409</v>
      </c>
      <c r="J1568" s="4">
        <v>0</v>
      </c>
      <c r="K1568" s="4">
        <v>0</v>
      </c>
      <c r="L1568" s="4">
        <v>96.778000000000006</v>
      </c>
      <c r="M1568" s="4">
        <v>26.13006</v>
      </c>
      <c r="N1568" s="4">
        <v>96.778000000000006</v>
      </c>
      <c r="O1568" s="4">
        <v>26.13006</v>
      </c>
      <c r="P1568" s="4">
        <v>0</v>
      </c>
      <c r="Q1568" s="3" t="s">
        <v>26</v>
      </c>
      <c r="R1568" s="3">
        <v>0</v>
      </c>
      <c r="S1568" s="4">
        <v>0</v>
      </c>
      <c r="T1568" s="4">
        <v>34</v>
      </c>
      <c r="U1568" s="4">
        <v>53</v>
      </c>
      <c r="V1568" s="4">
        <f>IF(ISERROR(VLOOKUP($S$1568,'TAR FIN'!$A$1:$O$113,15,0)),0,VLOOKUP($S$1568,'TAR FIN'!$A$1:$O$113,15,0))</f>
        <v>0</v>
      </c>
      <c r="W1568" s="4">
        <f>IF(ISERROR(VLOOKUP($T$1568,'TAR FIN'!$A$1:$O$113,15,0)),0,VLOOKUP($T$1568,'TAR FIN'!$A$1:$O$113,15,0))</f>
        <v>304.64999999999998</v>
      </c>
      <c r="X1568" s="4">
        <f>IF(ISERROR(VLOOKUP($U$1568,'TAR FIN'!$A$1:$O$113,15,0)),0,VLOOKUP($U$1568,'TAR FIN'!$A$1:$O$113,15,0))</f>
        <v>206.13</v>
      </c>
      <c r="Y1568" s="4"/>
      <c r="Z1568" s="4">
        <f ca="1">('TUSD BE'!$AM$53+'TUSD BF'!$AM$53+'TUSD CVA'!$AM$53)*(1-CUSTOS!$M$38)</f>
        <v>386.47391324808456</v>
      </c>
      <c r="AA1568" s="4">
        <f>('TE BE'!$AA$32+'TE BF'!$AA$32+'TE CVA'!$AA$32)*(1-CUSTOS!$M$38)</f>
        <v>220.59856812487419</v>
      </c>
      <c r="AB1568" s="4">
        <f>$K$1568*$V$1568</f>
        <v>0</v>
      </c>
      <c r="AC1568" s="4">
        <f>$M$1568*$W$1568</f>
        <v>7960.5227789999999</v>
      </c>
      <c r="AD1568" s="4">
        <f>$O$1568*$X$1568</f>
        <v>5386.1892678000004</v>
      </c>
      <c r="AE1568" s="4">
        <f>$K$1568*$Y$1568</f>
        <v>0</v>
      </c>
      <c r="AF1568" s="4">
        <f ca="1">$M$1568*$Z$1568</f>
        <v>10098.586541607245</v>
      </c>
      <c r="AG1568" s="4">
        <f>$O$1568*$AA$1568</f>
        <v>5764.2538210170505</v>
      </c>
    </row>
    <row r="1569" spans="1:33" ht="11.25" customHeight="1" x14ac:dyDescent="0.25">
      <c r="A1569" s="3" t="s">
        <v>27</v>
      </c>
      <c r="B1569" s="3" t="s">
        <v>44</v>
      </c>
      <c r="C1569" s="3" t="s">
        <v>23</v>
      </c>
      <c r="D1569" s="3" t="s">
        <v>45</v>
      </c>
      <c r="E1569" s="3" t="s">
        <v>53</v>
      </c>
      <c r="F1569" s="3" t="s">
        <v>55</v>
      </c>
      <c r="G1569" s="3" t="s">
        <v>25</v>
      </c>
      <c r="H1569" s="3" t="s">
        <v>25</v>
      </c>
      <c r="I1569" s="6">
        <v>44409</v>
      </c>
      <c r="J1569" s="4">
        <v>0</v>
      </c>
      <c r="K1569" s="4">
        <v>0</v>
      </c>
      <c r="L1569" s="4">
        <v>-0.51700000000000002</v>
      </c>
      <c r="M1569" s="4">
        <v>-0.13958999999999999</v>
      </c>
      <c r="N1569" s="4">
        <v>-0.51700000000000002</v>
      </c>
      <c r="O1569" s="4">
        <v>-0.13958999999999999</v>
      </c>
      <c r="P1569" s="4">
        <v>0</v>
      </c>
      <c r="Q1569" s="3" t="s">
        <v>26</v>
      </c>
      <c r="R1569" s="3">
        <v>0</v>
      </c>
      <c r="S1569" s="4">
        <v>0</v>
      </c>
      <c r="T1569" s="4">
        <v>34</v>
      </c>
      <c r="U1569" s="4">
        <v>53</v>
      </c>
      <c r="V1569" s="4">
        <f>IF(ISERROR(VLOOKUP($S$1569,'TAR FIN'!$A$1:$O$113,15,0)),0,VLOOKUP($S$1569,'TAR FIN'!$A$1:$O$113,15,0))</f>
        <v>0</v>
      </c>
      <c r="W1569" s="4">
        <f>IF(ISERROR(VLOOKUP($T$1569,'TAR FIN'!$A$1:$O$113,15,0)),0,VLOOKUP($T$1569,'TAR FIN'!$A$1:$O$113,15,0))</f>
        <v>304.64999999999998</v>
      </c>
      <c r="X1569" s="4">
        <f>IF(ISERROR(VLOOKUP($U$1569,'TAR FIN'!$A$1:$O$113,15,0)),0,VLOOKUP($U$1569,'TAR FIN'!$A$1:$O$113,15,0))</f>
        <v>206.13</v>
      </c>
      <c r="Y1569" s="4"/>
      <c r="Z1569" s="4">
        <f ca="1">('TUSD BE'!$AM$53+'TUSD BF'!$AM$53+'TUSD CVA'!$AM$53)*(1-CUSTOS!$M$38)</f>
        <v>386.47391324808456</v>
      </c>
      <c r="AA1569" s="4">
        <f>('TE BE'!$AA$32+'TE BF'!$AA$32+'TE CVA'!$AA$32)*(1-CUSTOS!$M$38)</f>
        <v>220.59856812487419</v>
      </c>
      <c r="AB1569" s="4">
        <f>$K$1569*$V$1569</f>
        <v>0</v>
      </c>
      <c r="AC1569" s="4">
        <f>$M$1569*$W$1569</f>
        <v>-42.526093499999995</v>
      </c>
      <c r="AD1569" s="4">
        <f>$O$1569*$X$1569</f>
        <v>-28.773686699999999</v>
      </c>
      <c r="AE1569" s="4">
        <f>$K$1569*$Y$1569</f>
        <v>0</v>
      </c>
      <c r="AF1569" s="4">
        <f ca="1">$M$1569*$Z$1569</f>
        <v>-53.947893550300122</v>
      </c>
      <c r="AG1569" s="4">
        <f>$O$1569*$AA$1569</f>
        <v>-30.793354124551186</v>
      </c>
    </row>
    <row r="1570" spans="1:33" ht="11.25" customHeight="1" x14ac:dyDescent="0.25">
      <c r="A1570" s="3" t="s">
        <v>28</v>
      </c>
      <c r="B1570" s="3" t="s">
        <v>44</v>
      </c>
      <c r="C1570" s="3" t="s">
        <v>23</v>
      </c>
      <c r="D1570" s="3" t="s">
        <v>45</v>
      </c>
      <c r="E1570" s="3" t="s">
        <v>53</v>
      </c>
      <c r="F1570" s="3" t="s">
        <v>55</v>
      </c>
      <c r="G1570" s="3" t="s">
        <v>25</v>
      </c>
      <c r="H1570" s="3" t="s">
        <v>25</v>
      </c>
      <c r="I1570" s="6">
        <v>44409</v>
      </c>
      <c r="J1570" s="4">
        <v>0</v>
      </c>
      <c r="K1570" s="4">
        <v>0</v>
      </c>
      <c r="L1570" s="4">
        <v>0.185</v>
      </c>
      <c r="M1570" s="4">
        <v>4.9950000000000001E-2</v>
      </c>
      <c r="N1570" s="4">
        <v>0.185</v>
      </c>
      <c r="O1570" s="4">
        <v>4.9950000000000001E-2</v>
      </c>
      <c r="P1570" s="4">
        <v>0</v>
      </c>
      <c r="Q1570" s="3" t="s">
        <v>26</v>
      </c>
      <c r="R1570" s="3">
        <v>0</v>
      </c>
      <c r="S1570" s="4">
        <v>0</v>
      </c>
      <c r="T1570" s="4">
        <v>34</v>
      </c>
      <c r="U1570" s="4">
        <v>53</v>
      </c>
      <c r="V1570" s="4">
        <f>IF(ISERROR(VLOOKUP($S$1570,'TAR FIN'!$A$1:$O$113,15,0)),0,VLOOKUP($S$1570,'TAR FIN'!$A$1:$O$113,15,0))</f>
        <v>0</v>
      </c>
      <c r="W1570" s="4">
        <f>IF(ISERROR(VLOOKUP($T$1570,'TAR FIN'!$A$1:$O$113,15,0)),0,VLOOKUP($T$1570,'TAR FIN'!$A$1:$O$113,15,0))</f>
        <v>304.64999999999998</v>
      </c>
      <c r="X1570" s="4">
        <f>IF(ISERROR(VLOOKUP($U$1570,'TAR FIN'!$A$1:$O$113,15,0)),0,VLOOKUP($U$1570,'TAR FIN'!$A$1:$O$113,15,0))</f>
        <v>206.13</v>
      </c>
      <c r="Y1570" s="4"/>
      <c r="Z1570" s="4">
        <f ca="1">('TUSD BE'!$AM$53+'TUSD BF'!$AM$53+'TUSD CVA'!$AM$53)*(1-CUSTOS!$M$38)</f>
        <v>386.47391324808456</v>
      </c>
      <c r="AA1570" s="4">
        <f>('TE BE'!$AA$32+'TE BF'!$AA$32+'TE CVA'!$AA$32)*(1-CUSTOS!$M$38)</f>
        <v>220.59856812487419</v>
      </c>
      <c r="AB1570" s="4">
        <f>$K$1570*$V$1570</f>
        <v>0</v>
      </c>
      <c r="AC1570" s="4">
        <f>$M$1570*$W$1570</f>
        <v>15.217267499999998</v>
      </c>
      <c r="AD1570" s="4">
        <f>$O$1570*$X$1570</f>
        <v>10.296193499999999</v>
      </c>
      <c r="AE1570" s="4">
        <f>$K$1570*$Y$1570</f>
        <v>0</v>
      </c>
      <c r="AF1570" s="4">
        <f ca="1">$M$1570*$Z$1570</f>
        <v>19.304371966741826</v>
      </c>
      <c r="AG1570" s="4">
        <f>$O$1570*$AA$1570</f>
        <v>11.018898477837466</v>
      </c>
    </row>
    <row r="1571" spans="1:33" ht="11.25" customHeight="1" x14ac:dyDescent="0.25">
      <c r="A1571" s="3" t="s">
        <v>21</v>
      </c>
      <c r="B1571" s="3" t="s">
        <v>44</v>
      </c>
      <c r="C1571" s="3" t="s">
        <v>23</v>
      </c>
      <c r="D1571" s="3" t="s">
        <v>45</v>
      </c>
      <c r="E1571" s="3" t="s">
        <v>53</v>
      </c>
      <c r="F1571" s="3" t="s">
        <v>55</v>
      </c>
      <c r="G1571" s="3" t="s">
        <v>25</v>
      </c>
      <c r="H1571" s="3" t="s">
        <v>25</v>
      </c>
      <c r="I1571" s="6">
        <v>44440</v>
      </c>
      <c r="J1571" s="4">
        <v>0</v>
      </c>
      <c r="K1571" s="4">
        <v>0</v>
      </c>
      <c r="L1571" s="4">
        <v>227.708</v>
      </c>
      <c r="M1571" s="4">
        <v>61.481160000000003</v>
      </c>
      <c r="N1571" s="4">
        <v>227.708</v>
      </c>
      <c r="O1571" s="4">
        <v>61.481160000000003</v>
      </c>
      <c r="P1571" s="4">
        <v>0</v>
      </c>
      <c r="Q1571" s="3" t="s">
        <v>26</v>
      </c>
      <c r="R1571" s="3">
        <v>0</v>
      </c>
      <c r="S1571" s="4">
        <v>0</v>
      </c>
      <c r="T1571" s="4">
        <v>34</v>
      </c>
      <c r="U1571" s="4">
        <v>53</v>
      </c>
      <c r="V1571" s="4">
        <f>IF(ISERROR(VLOOKUP($S$1571,'TAR FIN'!$A$1:$O$113,15,0)),0,VLOOKUP($S$1571,'TAR FIN'!$A$1:$O$113,15,0))</f>
        <v>0</v>
      </c>
      <c r="W1571" s="4">
        <f>IF(ISERROR(VLOOKUP($T$1571,'TAR FIN'!$A$1:$O$113,15,0)),0,VLOOKUP($T$1571,'TAR FIN'!$A$1:$O$113,15,0))</f>
        <v>304.64999999999998</v>
      </c>
      <c r="X1571" s="4">
        <f>IF(ISERROR(VLOOKUP($U$1571,'TAR FIN'!$A$1:$O$113,15,0)),0,VLOOKUP($U$1571,'TAR FIN'!$A$1:$O$113,15,0))</f>
        <v>206.13</v>
      </c>
      <c r="Y1571" s="4"/>
      <c r="Z1571" s="4">
        <f ca="1">('TUSD BE'!$AM$53+'TUSD BF'!$AM$53+'TUSD CVA'!$AM$53)*(1-CUSTOS!$M$38)</f>
        <v>386.47391324808456</v>
      </c>
      <c r="AA1571" s="4">
        <f>('TE BE'!$AA$32+'TE BF'!$AA$32+'TE CVA'!$AA$32)*(1-CUSTOS!$M$38)</f>
        <v>220.59856812487419</v>
      </c>
      <c r="AB1571" s="4">
        <f>$K$1571*$V$1571</f>
        <v>0</v>
      </c>
      <c r="AC1571" s="4">
        <f>$M$1571*$W$1571</f>
        <v>18730.235393999999</v>
      </c>
      <c r="AD1571" s="4">
        <f>$O$1571*$X$1571</f>
        <v>12673.111510799999</v>
      </c>
      <c r="AE1571" s="4">
        <f>$K$1571*$Y$1571</f>
        <v>0</v>
      </c>
      <c r="AF1571" s="4">
        <f ca="1">$M$1571*$Z$1571</f>
        <v>23760.864496231607</v>
      </c>
      <c r="AG1571" s="4">
        <f>$O$1571*$AA$1571</f>
        <v>13562.655862656291</v>
      </c>
    </row>
    <row r="1572" spans="1:33" ht="11.25" customHeight="1" x14ac:dyDescent="0.25">
      <c r="A1572" s="3" t="s">
        <v>27</v>
      </c>
      <c r="B1572" s="3" t="s">
        <v>44</v>
      </c>
      <c r="C1572" s="3" t="s">
        <v>23</v>
      </c>
      <c r="D1572" s="3" t="s">
        <v>45</v>
      </c>
      <c r="E1572" s="3" t="s">
        <v>53</v>
      </c>
      <c r="F1572" s="3" t="s">
        <v>55</v>
      </c>
      <c r="G1572" s="3" t="s">
        <v>25</v>
      </c>
      <c r="H1572" s="3" t="s">
        <v>25</v>
      </c>
      <c r="I1572" s="6">
        <v>44440</v>
      </c>
      <c r="J1572" s="4">
        <v>0</v>
      </c>
      <c r="K1572" s="4">
        <v>0</v>
      </c>
      <c r="L1572" s="4">
        <v>-5.0880000000000001</v>
      </c>
      <c r="M1572" s="4">
        <v>-1.3737600000000001</v>
      </c>
      <c r="N1572" s="4">
        <v>-5.0880000000000001</v>
      </c>
      <c r="O1572" s="4">
        <v>-1.3737600000000001</v>
      </c>
      <c r="P1572" s="4">
        <v>0</v>
      </c>
      <c r="Q1572" s="3" t="s">
        <v>26</v>
      </c>
      <c r="R1572" s="3">
        <v>0</v>
      </c>
      <c r="S1572" s="4">
        <v>0</v>
      </c>
      <c r="T1572" s="4">
        <v>34</v>
      </c>
      <c r="U1572" s="4">
        <v>53</v>
      </c>
      <c r="V1572" s="4">
        <f>IF(ISERROR(VLOOKUP($S$1572,'TAR FIN'!$A$1:$O$113,15,0)),0,VLOOKUP($S$1572,'TAR FIN'!$A$1:$O$113,15,0))</f>
        <v>0</v>
      </c>
      <c r="W1572" s="4">
        <f>IF(ISERROR(VLOOKUP($T$1572,'TAR FIN'!$A$1:$O$113,15,0)),0,VLOOKUP($T$1572,'TAR FIN'!$A$1:$O$113,15,0))</f>
        <v>304.64999999999998</v>
      </c>
      <c r="X1572" s="4">
        <f>IF(ISERROR(VLOOKUP($U$1572,'TAR FIN'!$A$1:$O$113,15,0)),0,VLOOKUP($U$1572,'TAR FIN'!$A$1:$O$113,15,0))</f>
        <v>206.13</v>
      </c>
      <c r="Y1572" s="4"/>
      <c r="Z1572" s="4">
        <f ca="1">('TUSD BE'!$AM$53+'TUSD BF'!$AM$53+'TUSD CVA'!$AM$53)*(1-CUSTOS!$M$38)</f>
        <v>386.47391324808456</v>
      </c>
      <c r="AA1572" s="4">
        <f>('TE BE'!$AA$32+'TE BF'!$AA$32+'TE CVA'!$AA$32)*(1-CUSTOS!$M$38)</f>
        <v>220.59856812487419</v>
      </c>
      <c r="AB1572" s="4">
        <f>$K$1572*$V$1572</f>
        <v>0</v>
      </c>
      <c r="AC1572" s="4">
        <f>$M$1572*$W$1572</f>
        <v>-418.515984</v>
      </c>
      <c r="AD1572" s="4">
        <f>$O$1572*$X$1572</f>
        <v>-283.17314880000004</v>
      </c>
      <c r="AE1572" s="4">
        <f>$K$1572*$Y$1572</f>
        <v>0</v>
      </c>
      <c r="AF1572" s="4">
        <f ca="1">$M$1572*$Z$1572</f>
        <v>-530.92240306368865</v>
      </c>
      <c r="AG1572" s="4">
        <f>$O$1572*$AA$1572</f>
        <v>-303.04948894722719</v>
      </c>
    </row>
    <row r="1573" spans="1:33" ht="11.25" customHeight="1" x14ac:dyDescent="0.25">
      <c r="A1573" s="3" t="s">
        <v>28</v>
      </c>
      <c r="B1573" s="3" t="s">
        <v>44</v>
      </c>
      <c r="C1573" s="3" t="s">
        <v>23</v>
      </c>
      <c r="D1573" s="3" t="s">
        <v>45</v>
      </c>
      <c r="E1573" s="3" t="s">
        <v>53</v>
      </c>
      <c r="F1573" s="3" t="s">
        <v>55</v>
      </c>
      <c r="G1573" s="3" t="s">
        <v>25</v>
      </c>
      <c r="H1573" s="3" t="s">
        <v>25</v>
      </c>
      <c r="I1573" s="6">
        <v>44440</v>
      </c>
      <c r="J1573" s="4">
        <v>0</v>
      </c>
      <c r="K1573" s="4">
        <v>0</v>
      </c>
      <c r="L1573" s="4">
        <v>0.40799999999999997</v>
      </c>
      <c r="M1573" s="4">
        <v>0.11015999999999999</v>
      </c>
      <c r="N1573" s="4">
        <v>0.40799999999999997</v>
      </c>
      <c r="O1573" s="4">
        <v>0.11015999999999999</v>
      </c>
      <c r="P1573" s="4">
        <v>0</v>
      </c>
      <c r="Q1573" s="3" t="s">
        <v>26</v>
      </c>
      <c r="R1573" s="3">
        <v>0</v>
      </c>
      <c r="S1573" s="4">
        <v>0</v>
      </c>
      <c r="T1573" s="4">
        <v>34</v>
      </c>
      <c r="U1573" s="4">
        <v>53</v>
      </c>
      <c r="V1573" s="4">
        <f>IF(ISERROR(VLOOKUP($S$1573,'TAR FIN'!$A$1:$O$113,15,0)),0,VLOOKUP($S$1573,'TAR FIN'!$A$1:$O$113,15,0))</f>
        <v>0</v>
      </c>
      <c r="W1573" s="4">
        <f>IF(ISERROR(VLOOKUP($T$1573,'TAR FIN'!$A$1:$O$113,15,0)),0,VLOOKUP($T$1573,'TAR FIN'!$A$1:$O$113,15,0))</f>
        <v>304.64999999999998</v>
      </c>
      <c r="X1573" s="4">
        <f>IF(ISERROR(VLOOKUP($U$1573,'TAR FIN'!$A$1:$O$113,15,0)),0,VLOOKUP($U$1573,'TAR FIN'!$A$1:$O$113,15,0))</f>
        <v>206.13</v>
      </c>
      <c r="Y1573" s="4"/>
      <c r="Z1573" s="4">
        <f ca="1">('TUSD BE'!$AM$53+'TUSD BF'!$AM$53+'TUSD CVA'!$AM$53)*(1-CUSTOS!$M$38)</f>
        <v>386.47391324808456</v>
      </c>
      <c r="AA1573" s="4">
        <f>('TE BE'!$AA$32+'TE BF'!$AA$32+'TE CVA'!$AA$32)*(1-CUSTOS!$M$38)</f>
        <v>220.59856812487419</v>
      </c>
      <c r="AB1573" s="4">
        <f>$K$1573*$V$1573</f>
        <v>0</v>
      </c>
      <c r="AC1573" s="4">
        <f>$M$1573*$W$1573</f>
        <v>33.560243999999997</v>
      </c>
      <c r="AD1573" s="4">
        <f>$O$1573*$X$1573</f>
        <v>22.707280799999999</v>
      </c>
      <c r="AE1573" s="4">
        <f>$K$1573*$Y$1573</f>
        <v>0</v>
      </c>
      <c r="AF1573" s="4">
        <f ca="1">$M$1573*$Z$1573</f>
        <v>42.573966283408993</v>
      </c>
      <c r="AG1573" s="4">
        <f>$O$1573*$AA$1573</f>
        <v>24.30113826463614</v>
      </c>
    </row>
    <row r="1574" spans="1:33" ht="11.25" customHeight="1" x14ac:dyDescent="0.25">
      <c r="A1574" s="3" t="s">
        <v>21</v>
      </c>
      <c r="B1574" s="3" t="s">
        <v>44</v>
      </c>
      <c r="C1574" s="3" t="s">
        <v>23</v>
      </c>
      <c r="D1574" s="3" t="s">
        <v>45</v>
      </c>
      <c r="E1574" s="3" t="s">
        <v>53</v>
      </c>
      <c r="F1574" s="3" t="s">
        <v>55</v>
      </c>
      <c r="G1574" s="3" t="s">
        <v>25</v>
      </c>
      <c r="H1574" s="3" t="s">
        <v>25</v>
      </c>
      <c r="I1574" s="6">
        <v>44470</v>
      </c>
      <c r="J1574" s="4">
        <v>0</v>
      </c>
      <c r="K1574" s="4">
        <v>0</v>
      </c>
      <c r="L1574" s="4">
        <v>387.99700000000001</v>
      </c>
      <c r="M1574" s="4">
        <v>104.75919</v>
      </c>
      <c r="N1574" s="4">
        <v>387.99700000000001</v>
      </c>
      <c r="O1574" s="4">
        <v>104.75919</v>
      </c>
      <c r="P1574" s="4">
        <v>0</v>
      </c>
      <c r="Q1574" s="3" t="s">
        <v>26</v>
      </c>
      <c r="R1574" s="3">
        <v>0</v>
      </c>
      <c r="S1574" s="4">
        <v>0</v>
      </c>
      <c r="T1574" s="4">
        <v>34</v>
      </c>
      <c r="U1574" s="4">
        <v>53</v>
      </c>
      <c r="V1574" s="4">
        <f>IF(ISERROR(VLOOKUP($S$1574,'TAR FIN'!$A$1:$O$113,15,0)),0,VLOOKUP($S$1574,'TAR FIN'!$A$1:$O$113,15,0))</f>
        <v>0</v>
      </c>
      <c r="W1574" s="4">
        <f>IF(ISERROR(VLOOKUP($T$1574,'TAR FIN'!$A$1:$O$113,15,0)),0,VLOOKUP($T$1574,'TAR FIN'!$A$1:$O$113,15,0))</f>
        <v>304.64999999999998</v>
      </c>
      <c r="X1574" s="4">
        <f>IF(ISERROR(VLOOKUP($U$1574,'TAR FIN'!$A$1:$O$113,15,0)),0,VLOOKUP($U$1574,'TAR FIN'!$A$1:$O$113,15,0))</f>
        <v>206.13</v>
      </c>
      <c r="Y1574" s="4"/>
      <c r="Z1574" s="4">
        <f ca="1">('TUSD BE'!$AM$53+'TUSD BF'!$AM$53+'TUSD CVA'!$AM$53)*(1-CUSTOS!$M$38)</f>
        <v>386.47391324808456</v>
      </c>
      <c r="AA1574" s="4">
        <f>('TE BE'!$AA$32+'TE BF'!$AA$32+'TE CVA'!$AA$32)*(1-CUSTOS!$M$38)</f>
        <v>220.59856812487419</v>
      </c>
      <c r="AB1574" s="4">
        <f>$K$1574*$V$1574</f>
        <v>0</v>
      </c>
      <c r="AC1574" s="4">
        <f>$M$1574*$W$1574</f>
        <v>31914.887233499998</v>
      </c>
      <c r="AD1574" s="4">
        <f>$O$1574*$X$1574</f>
        <v>21594.011834699999</v>
      </c>
      <c r="AE1574" s="4">
        <f>$K$1574*$Y$1574</f>
        <v>0</v>
      </c>
      <c r="AF1574" s="4">
        <f ca="1">$M$1574*$Z$1574</f>
        <v>40486.69410799961</v>
      </c>
      <c r="AG1574" s="4">
        <f>$O$1574*$AA$1574</f>
        <v>23109.727311921641</v>
      </c>
    </row>
    <row r="1575" spans="1:33" ht="11.25" customHeight="1" x14ac:dyDescent="0.25">
      <c r="A1575" s="3" t="s">
        <v>27</v>
      </c>
      <c r="B1575" s="3" t="s">
        <v>44</v>
      </c>
      <c r="C1575" s="3" t="s">
        <v>23</v>
      </c>
      <c r="D1575" s="3" t="s">
        <v>45</v>
      </c>
      <c r="E1575" s="3" t="s">
        <v>53</v>
      </c>
      <c r="F1575" s="3" t="s">
        <v>55</v>
      </c>
      <c r="G1575" s="3" t="s">
        <v>25</v>
      </c>
      <c r="H1575" s="3" t="s">
        <v>25</v>
      </c>
      <c r="I1575" s="6">
        <v>44470</v>
      </c>
      <c r="J1575" s="4">
        <v>0</v>
      </c>
      <c r="K1575" s="4">
        <v>0</v>
      </c>
      <c r="L1575" s="4">
        <v>2.5510000000000002</v>
      </c>
      <c r="M1575" s="4">
        <v>0.68876999999999999</v>
      </c>
      <c r="N1575" s="4">
        <v>2.5510000000000002</v>
      </c>
      <c r="O1575" s="4">
        <v>0.68876999999999999</v>
      </c>
      <c r="P1575" s="4">
        <v>0</v>
      </c>
      <c r="Q1575" s="3" t="s">
        <v>26</v>
      </c>
      <c r="R1575" s="3">
        <v>0</v>
      </c>
      <c r="S1575" s="4">
        <v>0</v>
      </c>
      <c r="T1575" s="4">
        <v>34</v>
      </c>
      <c r="U1575" s="4">
        <v>53</v>
      </c>
      <c r="V1575" s="4">
        <f>IF(ISERROR(VLOOKUP($S$1575,'TAR FIN'!$A$1:$O$113,15,0)),0,VLOOKUP($S$1575,'TAR FIN'!$A$1:$O$113,15,0))</f>
        <v>0</v>
      </c>
      <c r="W1575" s="4">
        <f>IF(ISERROR(VLOOKUP($T$1575,'TAR FIN'!$A$1:$O$113,15,0)),0,VLOOKUP($T$1575,'TAR FIN'!$A$1:$O$113,15,0))</f>
        <v>304.64999999999998</v>
      </c>
      <c r="X1575" s="4">
        <f>IF(ISERROR(VLOOKUP($U$1575,'TAR FIN'!$A$1:$O$113,15,0)),0,VLOOKUP($U$1575,'TAR FIN'!$A$1:$O$113,15,0))</f>
        <v>206.13</v>
      </c>
      <c r="Y1575" s="4"/>
      <c r="Z1575" s="4">
        <f ca="1">('TUSD BE'!$AM$53+'TUSD BF'!$AM$53+'TUSD CVA'!$AM$53)*(1-CUSTOS!$M$38)</f>
        <v>386.47391324808456</v>
      </c>
      <c r="AA1575" s="4">
        <f>('TE BE'!$AA$32+'TE BF'!$AA$32+'TE CVA'!$AA$32)*(1-CUSTOS!$M$38)</f>
        <v>220.59856812487419</v>
      </c>
      <c r="AB1575" s="4">
        <f>$K$1575*$V$1575</f>
        <v>0</v>
      </c>
      <c r="AC1575" s="4">
        <f>$M$1575*$W$1575</f>
        <v>209.83378049999999</v>
      </c>
      <c r="AD1575" s="4">
        <f>$O$1575*$X$1575</f>
        <v>141.97616009999999</v>
      </c>
      <c r="AE1575" s="4">
        <f>$K$1575*$Y$1575</f>
        <v>0</v>
      </c>
      <c r="AF1575" s="4">
        <f ca="1">$M$1575*$Z$1575</f>
        <v>266.19163722788318</v>
      </c>
      <c r="AG1575" s="4">
        <f>$O$1575*$AA$1575</f>
        <v>151.94167576736959</v>
      </c>
    </row>
    <row r="1576" spans="1:33" ht="11.25" customHeight="1" x14ac:dyDescent="0.25">
      <c r="A1576" s="3" t="s">
        <v>28</v>
      </c>
      <c r="B1576" s="3" t="s">
        <v>44</v>
      </c>
      <c r="C1576" s="3" t="s">
        <v>23</v>
      </c>
      <c r="D1576" s="3" t="s">
        <v>45</v>
      </c>
      <c r="E1576" s="3" t="s">
        <v>53</v>
      </c>
      <c r="F1576" s="3" t="s">
        <v>55</v>
      </c>
      <c r="G1576" s="3" t="s">
        <v>25</v>
      </c>
      <c r="H1576" s="3" t="s">
        <v>25</v>
      </c>
      <c r="I1576" s="6">
        <v>44470</v>
      </c>
      <c r="J1576" s="4">
        <v>0</v>
      </c>
      <c r="K1576" s="4">
        <v>0</v>
      </c>
      <c r="L1576" s="4">
        <v>1.5389999999999999</v>
      </c>
      <c r="M1576" s="4">
        <v>0.41553000000000001</v>
      </c>
      <c r="N1576" s="4">
        <v>1.5389999999999999</v>
      </c>
      <c r="O1576" s="4">
        <v>0.41553000000000001</v>
      </c>
      <c r="P1576" s="4">
        <v>0</v>
      </c>
      <c r="Q1576" s="3" t="s">
        <v>26</v>
      </c>
      <c r="R1576" s="3">
        <v>0</v>
      </c>
      <c r="S1576" s="4">
        <v>0</v>
      </c>
      <c r="T1576" s="4">
        <v>34</v>
      </c>
      <c r="U1576" s="4">
        <v>53</v>
      </c>
      <c r="V1576" s="4">
        <f>IF(ISERROR(VLOOKUP($S$1576,'TAR FIN'!$A$1:$O$113,15,0)),0,VLOOKUP($S$1576,'TAR FIN'!$A$1:$O$113,15,0))</f>
        <v>0</v>
      </c>
      <c r="W1576" s="4">
        <f>IF(ISERROR(VLOOKUP($T$1576,'TAR FIN'!$A$1:$O$113,15,0)),0,VLOOKUP($T$1576,'TAR FIN'!$A$1:$O$113,15,0))</f>
        <v>304.64999999999998</v>
      </c>
      <c r="X1576" s="4">
        <f>IF(ISERROR(VLOOKUP($U$1576,'TAR FIN'!$A$1:$O$113,15,0)),0,VLOOKUP($U$1576,'TAR FIN'!$A$1:$O$113,15,0))</f>
        <v>206.13</v>
      </c>
      <c r="Y1576" s="4"/>
      <c r="Z1576" s="4">
        <f ca="1">('TUSD BE'!$AM$53+'TUSD BF'!$AM$53+'TUSD CVA'!$AM$53)*(1-CUSTOS!$M$38)</f>
        <v>386.47391324808456</v>
      </c>
      <c r="AA1576" s="4">
        <f>('TE BE'!$AA$32+'TE BF'!$AA$32+'TE CVA'!$AA$32)*(1-CUSTOS!$M$38)</f>
        <v>220.59856812487419</v>
      </c>
      <c r="AB1576" s="4">
        <f>$K$1576*$V$1576</f>
        <v>0</v>
      </c>
      <c r="AC1576" s="4">
        <f>$M$1576*$W$1576</f>
        <v>126.59121449999999</v>
      </c>
      <c r="AD1576" s="4">
        <f>$O$1576*$X$1576</f>
        <v>85.653198900000007</v>
      </c>
      <c r="AE1576" s="4">
        <f>$K$1576*$Y$1576</f>
        <v>0</v>
      </c>
      <c r="AF1576" s="4">
        <f ca="1">$M$1576*$Z$1576</f>
        <v>160.59150517197659</v>
      </c>
      <c r="AG1576" s="4">
        <f>$O$1576*$AA$1576</f>
        <v>91.66532301292898</v>
      </c>
    </row>
    <row r="1577" spans="1:33" ht="11.25" customHeight="1" x14ac:dyDescent="0.25">
      <c r="A1577" s="3" t="s">
        <v>21</v>
      </c>
      <c r="B1577" s="3" t="s">
        <v>44</v>
      </c>
      <c r="C1577" s="3" t="s">
        <v>23</v>
      </c>
      <c r="D1577" s="3" t="s">
        <v>45</v>
      </c>
      <c r="E1577" s="3" t="s">
        <v>53</v>
      </c>
      <c r="F1577" s="3" t="s">
        <v>55</v>
      </c>
      <c r="G1577" s="3" t="s">
        <v>25</v>
      </c>
      <c r="H1577" s="3" t="s">
        <v>25</v>
      </c>
      <c r="I1577" s="6">
        <v>44501</v>
      </c>
      <c r="J1577" s="4">
        <v>0</v>
      </c>
      <c r="K1577" s="4">
        <v>0</v>
      </c>
      <c r="L1577" s="4">
        <v>388.52300000000002</v>
      </c>
      <c r="M1577" s="4">
        <v>104.90121000000001</v>
      </c>
      <c r="N1577" s="4">
        <v>388.52300000000002</v>
      </c>
      <c r="O1577" s="4">
        <v>104.90121000000001</v>
      </c>
      <c r="P1577" s="4">
        <v>0</v>
      </c>
      <c r="Q1577" s="3" t="s">
        <v>26</v>
      </c>
      <c r="R1577" s="3">
        <v>0</v>
      </c>
      <c r="S1577" s="4">
        <v>0</v>
      </c>
      <c r="T1577" s="4">
        <v>34</v>
      </c>
      <c r="U1577" s="4">
        <v>53</v>
      </c>
      <c r="V1577" s="4">
        <f>IF(ISERROR(VLOOKUP($S$1577,'TAR FIN'!$A$1:$O$113,15,0)),0,VLOOKUP($S$1577,'TAR FIN'!$A$1:$O$113,15,0))</f>
        <v>0</v>
      </c>
      <c r="W1577" s="4">
        <f>IF(ISERROR(VLOOKUP($T$1577,'TAR FIN'!$A$1:$O$113,15,0)),0,VLOOKUP($T$1577,'TAR FIN'!$A$1:$O$113,15,0))</f>
        <v>304.64999999999998</v>
      </c>
      <c r="X1577" s="4">
        <f>IF(ISERROR(VLOOKUP($U$1577,'TAR FIN'!$A$1:$O$113,15,0)),0,VLOOKUP($U$1577,'TAR FIN'!$A$1:$O$113,15,0))</f>
        <v>206.13</v>
      </c>
      <c r="Y1577" s="4"/>
      <c r="Z1577" s="4">
        <f ca="1">('TUSD BE'!$AM$53+'TUSD BF'!$AM$53+'TUSD CVA'!$AM$53)*(1-CUSTOS!$M$38)</f>
        <v>386.47391324808456</v>
      </c>
      <c r="AA1577" s="4">
        <f>('TE BE'!$AA$32+'TE BF'!$AA$32+'TE CVA'!$AA$32)*(1-CUSTOS!$M$38)</f>
        <v>220.59856812487419</v>
      </c>
      <c r="AB1577" s="4">
        <f>$K$1577*$V$1577</f>
        <v>0</v>
      </c>
      <c r="AC1577" s="4">
        <f>$M$1577*$W$1577</f>
        <v>31958.1536265</v>
      </c>
      <c r="AD1577" s="4">
        <f>$O$1577*$X$1577</f>
        <v>21623.286417300002</v>
      </c>
      <c r="AE1577" s="4">
        <f>$K$1577*$Y$1577</f>
        <v>0</v>
      </c>
      <c r="AF1577" s="4">
        <f ca="1">$M$1577*$Z$1577</f>
        <v>40541.581133159103</v>
      </c>
      <c r="AG1577" s="4">
        <f>$O$1577*$AA$1577</f>
        <v>23141.056720566736</v>
      </c>
    </row>
    <row r="1578" spans="1:33" ht="11.25" customHeight="1" x14ac:dyDescent="0.25">
      <c r="A1578" s="3" t="s">
        <v>27</v>
      </c>
      <c r="B1578" s="3" t="s">
        <v>44</v>
      </c>
      <c r="C1578" s="3" t="s">
        <v>23</v>
      </c>
      <c r="D1578" s="3" t="s">
        <v>45</v>
      </c>
      <c r="E1578" s="3" t="s">
        <v>53</v>
      </c>
      <c r="F1578" s="3" t="s">
        <v>55</v>
      </c>
      <c r="G1578" s="3" t="s">
        <v>25</v>
      </c>
      <c r="H1578" s="3" t="s">
        <v>25</v>
      </c>
      <c r="I1578" s="6">
        <v>44501</v>
      </c>
      <c r="J1578" s="4">
        <v>0</v>
      </c>
      <c r="K1578" s="4">
        <v>0</v>
      </c>
      <c r="L1578" s="4">
        <v>-8.1</v>
      </c>
      <c r="M1578" s="4">
        <v>-2.1869999999999998</v>
      </c>
      <c r="N1578" s="4">
        <v>-8.1</v>
      </c>
      <c r="O1578" s="4">
        <v>-2.1869999999999998</v>
      </c>
      <c r="P1578" s="4">
        <v>0</v>
      </c>
      <c r="Q1578" s="3" t="s">
        <v>26</v>
      </c>
      <c r="R1578" s="3">
        <v>0</v>
      </c>
      <c r="S1578" s="4">
        <v>0</v>
      </c>
      <c r="T1578" s="4">
        <v>34</v>
      </c>
      <c r="U1578" s="4">
        <v>53</v>
      </c>
      <c r="V1578" s="4">
        <f>IF(ISERROR(VLOOKUP($S$1578,'TAR FIN'!$A$1:$O$113,15,0)),0,VLOOKUP($S$1578,'TAR FIN'!$A$1:$O$113,15,0))</f>
        <v>0</v>
      </c>
      <c r="W1578" s="4">
        <f>IF(ISERROR(VLOOKUP($T$1578,'TAR FIN'!$A$1:$O$113,15,0)),0,VLOOKUP($T$1578,'TAR FIN'!$A$1:$O$113,15,0))</f>
        <v>304.64999999999998</v>
      </c>
      <c r="X1578" s="4">
        <f>IF(ISERROR(VLOOKUP($U$1578,'TAR FIN'!$A$1:$O$113,15,0)),0,VLOOKUP($U$1578,'TAR FIN'!$A$1:$O$113,15,0))</f>
        <v>206.13</v>
      </c>
      <c r="Y1578" s="4"/>
      <c r="Z1578" s="4">
        <f ca="1">('TUSD BE'!$AM$53+'TUSD BF'!$AM$53+'TUSD CVA'!$AM$53)*(1-CUSTOS!$M$38)</f>
        <v>386.47391324808456</v>
      </c>
      <c r="AA1578" s="4">
        <f>('TE BE'!$AA$32+'TE BF'!$AA$32+'TE CVA'!$AA$32)*(1-CUSTOS!$M$38)</f>
        <v>220.59856812487419</v>
      </c>
      <c r="AB1578" s="4">
        <f>$K$1578*$V$1578</f>
        <v>0</v>
      </c>
      <c r="AC1578" s="4">
        <f>$M$1578*$W$1578</f>
        <v>-666.26954999999987</v>
      </c>
      <c r="AD1578" s="4">
        <f>$O$1578*$X$1578</f>
        <v>-450.80630999999994</v>
      </c>
      <c r="AE1578" s="4">
        <f>$K$1578*$Y$1578</f>
        <v>0</v>
      </c>
      <c r="AF1578" s="4">
        <f ca="1">$M$1578*$Z$1578</f>
        <v>-845.21844827356085</v>
      </c>
      <c r="AG1578" s="4">
        <f>$O$1578*$AA$1578</f>
        <v>-482.44906848909983</v>
      </c>
    </row>
    <row r="1579" spans="1:33" ht="11.25" customHeight="1" x14ac:dyDescent="0.25">
      <c r="A1579" s="3" t="s">
        <v>28</v>
      </c>
      <c r="B1579" s="3" t="s">
        <v>44</v>
      </c>
      <c r="C1579" s="3" t="s">
        <v>23</v>
      </c>
      <c r="D1579" s="3" t="s">
        <v>45</v>
      </c>
      <c r="E1579" s="3" t="s">
        <v>53</v>
      </c>
      <c r="F1579" s="3" t="s">
        <v>55</v>
      </c>
      <c r="G1579" s="3" t="s">
        <v>25</v>
      </c>
      <c r="H1579" s="3" t="s">
        <v>25</v>
      </c>
      <c r="I1579" s="6">
        <v>44501</v>
      </c>
      <c r="J1579" s="4">
        <v>0</v>
      </c>
      <c r="K1579" s="4">
        <v>0</v>
      </c>
      <c r="L1579" s="4">
        <v>1.032</v>
      </c>
      <c r="M1579" s="4">
        <v>0.27864</v>
      </c>
      <c r="N1579" s="4">
        <v>1.032</v>
      </c>
      <c r="O1579" s="4">
        <v>0.27864</v>
      </c>
      <c r="P1579" s="4">
        <v>0</v>
      </c>
      <c r="Q1579" s="3" t="s">
        <v>26</v>
      </c>
      <c r="R1579" s="3">
        <v>0</v>
      </c>
      <c r="S1579" s="4">
        <v>0</v>
      </c>
      <c r="T1579" s="4">
        <v>34</v>
      </c>
      <c r="U1579" s="4">
        <v>53</v>
      </c>
      <c r="V1579" s="4">
        <f>IF(ISERROR(VLOOKUP($S$1579,'TAR FIN'!$A$1:$O$113,15,0)),0,VLOOKUP($S$1579,'TAR FIN'!$A$1:$O$113,15,0))</f>
        <v>0</v>
      </c>
      <c r="W1579" s="4">
        <f>IF(ISERROR(VLOOKUP($T$1579,'TAR FIN'!$A$1:$O$113,15,0)),0,VLOOKUP($T$1579,'TAR FIN'!$A$1:$O$113,15,0))</f>
        <v>304.64999999999998</v>
      </c>
      <c r="X1579" s="4">
        <f>IF(ISERROR(VLOOKUP($U$1579,'TAR FIN'!$A$1:$O$113,15,0)),0,VLOOKUP($U$1579,'TAR FIN'!$A$1:$O$113,15,0))</f>
        <v>206.13</v>
      </c>
      <c r="Y1579" s="4"/>
      <c r="Z1579" s="4">
        <f ca="1">('TUSD BE'!$AM$53+'TUSD BF'!$AM$53+'TUSD CVA'!$AM$53)*(1-CUSTOS!$M$38)</f>
        <v>386.47391324808456</v>
      </c>
      <c r="AA1579" s="4">
        <f>('TE BE'!$AA$32+'TE BF'!$AA$32+'TE CVA'!$AA$32)*(1-CUSTOS!$M$38)</f>
        <v>220.59856812487419</v>
      </c>
      <c r="AB1579" s="4">
        <f>$K$1579*$V$1579</f>
        <v>0</v>
      </c>
      <c r="AC1579" s="4">
        <f>$M$1579*$W$1579</f>
        <v>84.887675999999999</v>
      </c>
      <c r="AD1579" s="4">
        <f>$O$1579*$X$1579</f>
        <v>57.4360632</v>
      </c>
      <c r="AE1579" s="4">
        <f>$K$1579*$Y$1579</f>
        <v>0</v>
      </c>
      <c r="AF1579" s="4">
        <f ca="1">$M$1579*$Z$1579</f>
        <v>107.68709118744628</v>
      </c>
      <c r="AG1579" s="4">
        <f>$O$1579*$AA$1579</f>
        <v>61.467585022314942</v>
      </c>
    </row>
    <row r="1580" spans="1:33" ht="11.25" customHeight="1" x14ac:dyDescent="0.25">
      <c r="A1580" s="3" t="s">
        <v>21</v>
      </c>
      <c r="B1580" s="3" t="s">
        <v>44</v>
      </c>
      <c r="C1580" s="3" t="s">
        <v>23</v>
      </c>
      <c r="D1580" s="3" t="s">
        <v>45</v>
      </c>
      <c r="E1580" s="3" t="s">
        <v>53</v>
      </c>
      <c r="F1580" s="3" t="s">
        <v>55</v>
      </c>
      <c r="G1580" s="3" t="s">
        <v>25</v>
      </c>
      <c r="H1580" s="3" t="s">
        <v>25</v>
      </c>
      <c r="I1580" s="6">
        <v>44531</v>
      </c>
      <c r="J1580" s="4">
        <v>0</v>
      </c>
      <c r="K1580" s="4">
        <v>0</v>
      </c>
      <c r="L1580" s="4">
        <v>360.911</v>
      </c>
      <c r="M1580" s="4">
        <v>97.445970000000003</v>
      </c>
      <c r="N1580" s="4">
        <v>360.911</v>
      </c>
      <c r="O1580" s="4">
        <v>97.445970000000003</v>
      </c>
      <c r="P1580" s="4">
        <v>0</v>
      </c>
      <c r="Q1580" s="3" t="s">
        <v>26</v>
      </c>
      <c r="R1580" s="3">
        <v>0</v>
      </c>
      <c r="S1580" s="4">
        <v>0</v>
      </c>
      <c r="T1580" s="4">
        <v>34</v>
      </c>
      <c r="U1580" s="4">
        <v>53</v>
      </c>
      <c r="V1580" s="4">
        <f>IF(ISERROR(VLOOKUP($S$1580,'TAR FIN'!$A$1:$O$113,15,0)),0,VLOOKUP($S$1580,'TAR FIN'!$A$1:$O$113,15,0))</f>
        <v>0</v>
      </c>
      <c r="W1580" s="4">
        <f>IF(ISERROR(VLOOKUP($T$1580,'TAR FIN'!$A$1:$O$113,15,0)),0,VLOOKUP($T$1580,'TAR FIN'!$A$1:$O$113,15,0))</f>
        <v>304.64999999999998</v>
      </c>
      <c r="X1580" s="4">
        <f>IF(ISERROR(VLOOKUP($U$1580,'TAR FIN'!$A$1:$O$113,15,0)),0,VLOOKUP($U$1580,'TAR FIN'!$A$1:$O$113,15,0))</f>
        <v>206.13</v>
      </c>
      <c r="Y1580" s="4"/>
      <c r="Z1580" s="4">
        <f ca="1">('TUSD BE'!$AM$53+'TUSD BF'!$AM$53+'TUSD CVA'!$AM$53)*(1-CUSTOS!$M$38)</f>
        <v>386.47391324808456</v>
      </c>
      <c r="AA1580" s="4">
        <f>('TE BE'!$AA$32+'TE BF'!$AA$32+'TE CVA'!$AA$32)*(1-CUSTOS!$M$38)</f>
        <v>220.59856812487419</v>
      </c>
      <c r="AB1580" s="4">
        <f>$K$1580*$V$1580</f>
        <v>0</v>
      </c>
      <c r="AC1580" s="4">
        <f>$M$1580*$W$1580</f>
        <v>29686.9147605</v>
      </c>
      <c r="AD1580" s="4">
        <f>$O$1580*$X$1580</f>
        <v>20086.537796100001</v>
      </c>
      <c r="AE1580" s="4">
        <f>$K$1580*$Y$1580</f>
        <v>0</v>
      </c>
      <c r="AF1580" s="4">
        <f ca="1">$M$1580*$Z$1580</f>
        <v>37660.325356155452</v>
      </c>
      <c r="AG1580" s="4">
        <f>$O$1580*$AA$1580</f>
        <v>21496.441451539446</v>
      </c>
    </row>
    <row r="1581" spans="1:33" ht="11.25" customHeight="1" x14ac:dyDescent="0.25">
      <c r="A1581" s="3" t="s">
        <v>27</v>
      </c>
      <c r="B1581" s="3" t="s">
        <v>44</v>
      </c>
      <c r="C1581" s="3" t="s">
        <v>23</v>
      </c>
      <c r="D1581" s="3" t="s">
        <v>45</v>
      </c>
      <c r="E1581" s="3" t="s">
        <v>53</v>
      </c>
      <c r="F1581" s="3" t="s">
        <v>55</v>
      </c>
      <c r="G1581" s="3" t="s">
        <v>25</v>
      </c>
      <c r="H1581" s="3" t="s">
        <v>25</v>
      </c>
      <c r="I1581" s="6">
        <v>44531</v>
      </c>
      <c r="J1581" s="4">
        <v>0</v>
      </c>
      <c r="K1581" s="4">
        <v>0</v>
      </c>
      <c r="L1581" s="4">
        <v>-6.673</v>
      </c>
      <c r="M1581" s="4">
        <v>-1.8017099999999999</v>
      </c>
      <c r="N1581" s="4">
        <v>-6.673</v>
      </c>
      <c r="O1581" s="4">
        <v>-1.8017099999999999</v>
      </c>
      <c r="P1581" s="4">
        <v>0</v>
      </c>
      <c r="Q1581" s="3" t="s">
        <v>26</v>
      </c>
      <c r="R1581" s="3">
        <v>0</v>
      </c>
      <c r="S1581" s="4">
        <v>0</v>
      </c>
      <c r="T1581" s="4">
        <v>34</v>
      </c>
      <c r="U1581" s="4">
        <v>53</v>
      </c>
      <c r="V1581" s="4">
        <f>IF(ISERROR(VLOOKUP($S$1581,'TAR FIN'!$A$1:$O$113,15,0)),0,VLOOKUP($S$1581,'TAR FIN'!$A$1:$O$113,15,0))</f>
        <v>0</v>
      </c>
      <c r="W1581" s="4">
        <f>IF(ISERROR(VLOOKUP($T$1581,'TAR FIN'!$A$1:$O$113,15,0)),0,VLOOKUP($T$1581,'TAR FIN'!$A$1:$O$113,15,0))</f>
        <v>304.64999999999998</v>
      </c>
      <c r="X1581" s="4">
        <f>IF(ISERROR(VLOOKUP($U$1581,'TAR FIN'!$A$1:$O$113,15,0)),0,VLOOKUP($U$1581,'TAR FIN'!$A$1:$O$113,15,0))</f>
        <v>206.13</v>
      </c>
      <c r="Y1581" s="4"/>
      <c r="Z1581" s="4">
        <f ca="1">('TUSD BE'!$AM$53+'TUSD BF'!$AM$53+'TUSD CVA'!$AM$53)*(1-CUSTOS!$M$38)</f>
        <v>386.47391324808456</v>
      </c>
      <c r="AA1581" s="4">
        <f>('TE BE'!$AA$32+'TE BF'!$AA$32+'TE CVA'!$AA$32)*(1-CUSTOS!$M$38)</f>
        <v>220.59856812487419</v>
      </c>
      <c r="AB1581" s="4">
        <f>$K$1581*$V$1581</f>
        <v>0</v>
      </c>
      <c r="AC1581" s="4">
        <f>$M$1581*$W$1581</f>
        <v>-548.89095149999991</v>
      </c>
      <c r="AD1581" s="4">
        <f>$O$1581*$X$1581</f>
        <v>-371.38648229999995</v>
      </c>
      <c r="AE1581" s="4">
        <f>$K$1581*$Y$1581</f>
        <v>0</v>
      </c>
      <c r="AF1581" s="4">
        <f ca="1">$M$1581*$Z$1581</f>
        <v>-696.31391423820639</v>
      </c>
      <c r="AG1581" s="4">
        <f>$O$1581*$AA$1581</f>
        <v>-397.45464617626709</v>
      </c>
    </row>
    <row r="1582" spans="1:33" ht="11.25" customHeight="1" x14ac:dyDescent="0.25">
      <c r="A1582" s="3" t="s">
        <v>28</v>
      </c>
      <c r="B1582" s="3" t="s">
        <v>44</v>
      </c>
      <c r="C1582" s="3" t="s">
        <v>23</v>
      </c>
      <c r="D1582" s="3" t="s">
        <v>45</v>
      </c>
      <c r="E1582" s="3" t="s">
        <v>53</v>
      </c>
      <c r="F1582" s="3" t="s">
        <v>55</v>
      </c>
      <c r="G1582" s="3" t="s">
        <v>25</v>
      </c>
      <c r="H1582" s="3" t="s">
        <v>25</v>
      </c>
      <c r="I1582" s="6">
        <v>44531</v>
      </c>
      <c r="J1582" s="4">
        <v>0</v>
      </c>
      <c r="K1582" s="4">
        <v>0</v>
      </c>
      <c r="L1582" s="4">
        <v>0.97099999999999997</v>
      </c>
      <c r="M1582" s="4">
        <v>0.26217000000000001</v>
      </c>
      <c r="N1582" s="4">
        <v>0.97099999999999997</v>
      </c>
      <c r="O1582" s="4">
        <v>0.26217000000000001</v>
      </c>
      <c r="P1582" s="4">
        <v>0</v>
      </c>
      <c r="Q1582" s="3" t="s">
        <v>26</v>
      </c>
      <c r="R1582" s="3">
        <v>0</v>
      </c>
      <c r="S1582" s="4">
        <v>0</v>
      </c>
      <c r="T1582" s="4">
        <v>34</v>
      </c>
      <c r="U1582" s="4">
        <v>53</v>
      </c>
      <c r="V1582" s="4">
        <f>IF(ISERROR(VLOOKUP($S$1582,'TAR FIN'!$A$1:$O$113,15,0)),0,VLOOKUP($S$1582,'TAR FIN'!$A$1:$O$113,15,0))</f>
        <v>0</v>
      </c>
      <c r="W1582" s="4">
        <f>IF(ISERROR(VLOOKUP($T$1582,'TAR FIN'!$A$1:$O$113,15,0)),0,VLOOKUP($T$1582,'TAR FIN'!$A$1:$O$113,15,0))</f>
        <v>304.64999999999998</v>
      </c>
      <c r="X1582" s="4">
        <f>IF(ISERROR(VLOOKUP($U$1582,'TAR FIN'!$A$1:$O$113,15,0)),0,VLOOKUP($U$1582,'TAR FIN'!$A$1:$O$113,15,0))</f>
        <v>206.13</v>
      </c>
      <c r="Y1582" s="4"/>
      <c r="Z1582" s="4">
        <f ca="1">('TUSD BE'!$AM$53+'TUSD BF'!$AM$53+'TUSD CVA'!$AM$53)*(1-CUSTOS!$M$38)</f>
        <v>386.47391324808456</v>
      </c>
      <c r="AA1582" s="4">
        <f>('TE BE'!$AA$32+'TE BF'!$AA$32+'TE CVA'!$AA$32)*(1-CUSTOS!$M$38)</f>
        <v>220.59856812487419</v>
      </c>
      <c r="AB1582" s="4">
        <f>$K$1582*$V$1582</f>
        <v>0</v>
      </c>
      <c r="AC1582" s="4">
        <f>$M$1582*$W$1582</f>
        <v>79.870090500000003</v>
      </c>
      <c r="AD1582" s="4">
        <f>$O$1582*$X$1582</f>
        <v>54.041102100000003</v>
      </c>
      <c r="AE1582" s="4">
        <f>$K$1582*$Y$1582</f>
        <v>0</v>
      </c>
      <c r="AF1582" s="4">
        <f ca="1">$M$1582*$Z$1582</f>
        <v>101.32186583625034</v>
      </c>
      <c r="AG1582" s="4">
        <f>$O$1582*$AA$1582</f>
        <v>57.834326605298273</v>
      </c>
    </row>
    <row r="1583" spans="1:33" ht="11.25" customHeight="1" x14ac:dyDescent="0.25">
      <c r="A1583" s="3" t="s">
        <v>21</v>
      </c>
      <c r="B1583" s="3" t="s">
        <v>44</v>
      </c>
      <c r="C1583" s="3" t="s">
        <v>23</v>
      </c>
      <c r="D1583" s="3" t="s">
        <v>45</v>
      </c>
      <c r="E1583" s="3" t="s">
        <v>53</v>
      </c>
      <c r="F1583" s="3" t="s">
        <v>55</v>
      </c>
      <c r="G1583" s="3" t="s">
        <v>25</v>
      </c>
      <c r="H1583" s="3" t="s">
        <v>25</v>
      </c>
      <c r="I1583" s="6">
        <v>44562</v>
      </c>
      <c r="J1583" s="4">
        <v>0</v>
      </c>
      <c r="K1583" s="4">
        <v>0</v>
      </c>
      <c r="L1583" s="4">
        <v>321.29599999999999</v>
      </c>
      <c r="M1583" s="4">
        <v>86.749920000000003</v>
      </c>
      <c r="N1583" s="4">
        <v>321.29599999999999</v>
      </c>
      <c r="O1583" s="4">
        <v>86.749920000000003</v>
      </c>
      <c r="P1583" s="4">
        <v>0</v>
      </c>
      <c r="Q1583" s="3" t="s">
        <v>26</v>
      </c>
      <c r="R1583" s="3">
        <v>0</v>
      </c>
      <c r="S1583" s="4">
        <v>0</v>
      </c>
      <c r="T1583" s="4">
        <v>34</v>
      </c>
      <c r="U1583" s="4">
        <v>53</v>
      </c>
      <c r="V1583" s="4">
        <f>IF(ISERROR(VLOOKUP($S$1583,'TAR FIN'!$A$1:$O$113,15,0)),0,VLOOKUP($S$1583,'TAR FIN'!$A$1:$O$113,15,0))</f>
        <v>0</v>
      </c>
      <c r="W1583" s="4">
        <f>IF(ISERROR(VLOOKUP($T$1583,'TAR FIN'!$A$1:$O$113,15,0)),0,VLOOKUP($T$1583,'TAR FIN'!$A$1:$O$113,15,0))</f>
        <v>304.64999999999998</v>
      </c>
      <c r="X1583" s="4">
        <f>IF(ISERROR(VLOOKUP($U$1583,'TAR FIN'!$A$1:$O$113,15,0)),0,VLOOKUP($U$1583,'TAR FIN'!$A$1:$O$113,15,0))</f>
        <v>206.13</v>
      </c>
      <c r="Y1583" s="4"/>
      <c r="Z1583" s="4">
        <f ca="1">('TUSD BE'!$AM$53+'TUSD BF'!$AM$53+'TUSD CVA'!$AM$53)*(1-CUSTOS!$M$38)</f>
        <v>386.47391324808456</v>
      </c>
      <c r="AA1583" s="4">
        <f>('TE BE'!$AA$32+'TE BF'!$AA$32+'TE CVA'!$AA$32)*(1-CUSTOS!$M$38)</f>
        <v>220.59856812487419</v>
      </c>
      <c r="AB1583" s="4">
        <f>$K$1583*$V$1583</f>
        <v>0</v>
      </c>
      <c r="AC1583" s="4">
        <f>$M$1583*$W$1583</f>
        <v>26428.363127999997</v>
      </c>
      <c r="AD1583" s="4">
        <f>$O$1583*$X$1583</f>
        <v>17881.761009599999</v>
      </c>
      <c r="AE1583" s="4">
        <f>$K$1583*$Y$1583</f>
        <v>0</v>
      </c>
      <c r="AF1583" s="4">
        <f ca="1">$M$1583*$Z$1583</f>
        <v>33526.581056358278</v>
      </c>
      <c r="AG1583" s="4">
        <f>$O$1583*$AA$1583</f>
        <v>19136.908136947386</v>
      </c>
    </row>
    <row r="1584" spans="1:33" ht="11.25" customHeight="1" x14ac:dyDescent="0.25">
      <c r="A1584" s="3" t="s">
        <v>28</v>
      </c>
      <c r="B1584" s="3" t="s">
        <v>44</v>
      </c>
      <c r="C1584" s="3" t="s">
        <v>23</v>
      </c>
      <c r="D1584" s="3" t="s">
        <v>45</v>
      </c>
      <c r="E1584" s="3" t="s">
        <v>53</v>
      </c>
      <c r="F1584" s="3" t="s">
        <v>55</v>
      </c>
      <c r="G1584" s="3" t="s">
        <v>25</v>
      </c>
      <c r="H1584" s="3" t="s">
        <v>25</v>
      </c>
      <c r="I1584" s="6">
        <v>44562</v>
      </c>
      <c r="J1584" s="4">
        <v>0</v>
      </c>
      <c r="K1584" s="4">
        <v>0</v>
      </c>
      <c r="L1584" s="4">
        <v>1.0580000000000001</v>
      </c>
      <c r="M1584" s="4">
        <v>0.28566000000000003</v>
      </c>
      <c r="N1584" s="4">
        <v>1.0580000000000001</v>
      </c>
      <c r="O1584" s="4">
        <v>0.28566000000000003</v>
      </c>
      <c r="P1584" s="4">
        <v>0</v>
      </c>
      <c r="Q1584" s="3" t="s">
        <v>26</v>
      </c>
      <c r="R1584" s="3">
        <v>0</v>
      </c>
      <c r="S1584" s="4">
        <v>0</v>
      </c>
      <c r="T1584" s="4">
        <v>34</v>
      </c>
      <c r="U1584" s="4">
        <v>53</v>
      </c>
      <c r="V1584" s="4">
        <f>IF(ISERROR(VLOOKUP($S$1584,'TAR FIN'!$A$1:$O$113,15,0)),0,VLOOKUP($S$1584,'TAR FIN'!$A$1:$O$113,15,0))</f>
        <v>0</v>
      </c>
      <c r="W1584" s="4">
        <f>IF(ISERROR(VLOOKUP($T$1584,'TAR FIN'!$A$1:$O$113,15,0)),0,VLOOKUP($T$1584,'TAR FIN'!$A$1:$O$113,15,0))</f>
        <v>304.64999999999998</v>
      </c>
      <c r="X1584" s="4">
        <f>IF(ISERROR(VLOOKUP($U$1584,'TAR FIN'!$A$1:$O$113,15,0)),0,VLOOKUP($U$1584,'TAR FIN'!$A$1:$O$113,15,0))</f>
        <v>206.13</v>
      </c>
      <c r="Y1584" s="4"/>
      <c r="Z1584" s="4">
        <f ca="1">('TUSD BE'!$AM$53+'TUSD BF'!$AM$53+'TUSD CVA'!$AM$53)*(1-CUSTOS!$M$38)</f>
        <v>386.47391324808456</v>
      </c>
      <c r="AA1584" s="4">
        <f>('TE BE'!$AA$32+'TE BF'!$AA$32+'TE CVA'!$AA$32)*(1-CUSTOS!$M$38)</f>
        <v>220.59856812487419</v>
      </c>
      <c r="AB1584" s="4">
        <f>$K$1584*$V$1584</f>
        <v>0</v>
      </c>
      <c r="AC1584" s="4">
        <f>$M$1584*$W$1584</f>
        <v>87.026319000000001</v>
      </c>
      <c r="AD1584" s="4">
        <f>$O$1584*$X$1584</f>
        <v>58.883095800000007</v>
      </c>
      <c r="AE1584" s="4">
        <f>$K$1584*$Y$1584</f>
        <v>0</v>
      </c>
      <c r="AF1584" s="4">
        <f ca="1">$M$1584*$Z$1584</f>
        <v>110.40013805844785</v>
      </c>
      <c r="AG1584" s="4">
        <f>$O$1584*$AA$1584</f>
        <v>63.016186970551566</v>
      </c>
    </row>
    <row r="1585" spans="1:33" ht="11.25" customHeight="1" x14ac:dyDescent="0.25">
      <c r="A1585" s="3" t="s">
        <v>21</v>
      </c>
      <c r="B1585" s="3" t="s">
        <v>44</v>
      </c>
      <c r="C1585" s="3" t="s">
        <v>23</v>
      </c>
      <c r="D1585" s="3" t="s">
        <v>45</v>
      </c>
      <c r="E1585" s="3" t="s">
        <v>53</v>
      </c>
      <c r="F1585" s="3" t="s">
        <v>55</v>
      </c>
      <c r="G1585" s="3" t="s">
        <v>25</v>
      </c>
      <c r="H1585" s="3" t="s">
        <v>25</v>
      </c>
      <c r="I1585" s="6">
        <v>44593</v>
      </c>
      <c r="J1585" s="4">
        <v>0</v>
      </c>
      <c r="K1585" s="4">
        <v>0</v>
      </c>
      <c r="L1585" s="4">
        <v>475.80099999999999</v>
      </c>
      <c r="M1585" s="4">
        <v>128.46627000000001</v>
      </c>
      <c r="N1585" s="4">
        <v>475.80099999999999</v>
      </c>
      <c r="O1585" s="4">
        <v>128.46627000000001</v>
      </c>
      <c r="P1585" s="4">
        <v>0</v>
      </c>
      <c r="Q1585" s="3" t="s">
        <v>26</v>
      </c>
      <c r="R1585" s="3">
        <v>0</v>
      </c>
      <c r="S1585" s="4">
        <v>0</v>
      </c>
      <c r="T1585" s="4">
        <v>34</v>
      </c>
      <c r="U1585" s="4">
        <v>53</v>
      </c>
      <c r="V1585" s="4">
        <f>IF(ISERROR(VLOOKUP($S$1585,'TAR FIN'!$A$1:$O$113,15,0)),0,VLOOKUP($S$1585,'TAR FIN'!$A$1:$O$113,15,0))</f>
        <v>0</v>
      </c>
      <c r="W1585" s="4">
        <f>IF(ISERROR(VLOOKUP($T$1585,'TAR FIN'!$A$1:$O$113,15,0)),0,VLOOKUP($T$1585,'TAR FIN'!$A$1:$O$113,15,0))</f>
        <v>304.64999999999998</v>
      </c>
      <c r="X1585" s="4">
        <f>IF(ISERROR(VLOOKUP($U$1585,'TAR FIN'!$A$1:$O$113,15,0)),0,VLOOKUP($U$1585,'TAR FIN'!$A$1:$O$113,15,0))</f>
        <v>206.13</v>
      </c>
      <c r="Y1585" s="4"/>
      <c r="Z1585" s="4">
        <f ca="1">('TUSD BE'!$AM$53+'TUSD BF'!$AM$53+'TUSD CVA'!$AM$53)*(1-CUSTOS!$M$38)</f>
        <v>386.47391324808456</v>
      </c>
      <c r="AA1585" s="4">
        <f>('TE BE'!$AA$32+'TE BF'!$AA$32+'TE CVA'!$AA$32)*(1-CUSTOS!$M$38)</f>
        <v>220.59856812487419</v>
      </c>
      <c r="AB1585" s="4">
        <f>$K$1585*$V$1585</f>
        <v>0</v>
      </c>
      <c r="AC1585" s="4">
        <f>$M$1585*$W$1585</f>
        <v>39137.249155500002</v>
      </c>
      <c r="AD1585" s="4">
        <f>$O$1585*$X$1585</f>
        <v>26480.752235100001</v>
      </c>
      <c r="AE1585" s="4">
        <f>$K$1585*$Y$1585</f>
        <v>0</v>
      </c>
      <c r="AF1585" s="4">
        <f ca="1">$M$1585*$Z$1585</f>
        <v>49648.862087285008</v>
      </c>
      <c r="AG1585" s="4">
        <f>$O$1585*$AA$1585</f>
        <v>28339.475214343485</v>
      </c>
    </row>
    <row r="1586" spans="1:33" ht="11.25" customHeight="1" x14ac:dyDescent="0.25">
      <c r="A1586" s="3" t="s">
        <v>28</v>
      </c>
      <c r="B1586" s="3" t="s">
        <v>44</v>
      </c>
      <c r="C1586" s="3" t="s">
        <v>23</v>
      </c>
      <c r="D1586" s="3" t="s">
        <v>45</v>
      </c>
      <c r="E1586" s="3" t="s">
        <v>53</v>
      </c>
      <c r="F1586" s="3" t="s">
        <v>55</v>
      </c>
      <c r="G1586" s="3" t="s">
        <v>25</v>
      </c>
      <c r="H1586" s="3" t="s">
        <v>25</v>
      </c>
      <c r="I1586" s="6">
        <v>44593</v>
      </c>
      <c r="J1586" s="4">
        <v>0</v>
      </c>
      <c r="K1586" s="4">
        <v>0</v>
      </c>
      <c r="L1586" s="4">
        <v>1.107</v>
      </c>
      <c r="M1586" s="4">
        <v>0.29888999999999999</v>
      </c>
      <c r="N1586" s="4">
        <v>1.107</v>
      </c>
      <c r="O1586" s="4">
        <v>0.29888999999999999</v>
      </c>
      <c r="P1586" s="4">
        <v>0</v>
      </c>
      <c r="Q1586" s="3" t="s">
        <v>26</v>
      </c>
      <c r="R1586" s="3">
        <v>0</v>
      </c>
      <c r="S1586" s="4">
        <v>0</v>
      </c>
      <c r="T1586" s="4">
        <v>34</v>
      </c>
      <c r="U1586" s="4">
        <v>53</v>
      </c>
      <c r="V1586" s="4">
        <f>IF(ISERROR(VLOOKUP($S$1586,'TAR FIN'!$A$1:$O$113,15,0)),0,VLOOKUP($S$1586,'TAR FIN'!$A$1:$O$113,15,0))</f>
        <v>0</v>
      </c>
      <c r="W1586" s="4">
        <f>IF(ISERROR(VLOOKUP($T$1586,'TAR FIN'!$A$1:$O$113,15,0)),0,VLOOKUP($T$1586,'TAR FIN'!$A$1:$O$113,15,0))</f>
        <v>304.64999999999998</v>
      </c>
      <c r="X1586" s="4">
        <f>IF(ISERROR(VLOOKUP($U$1586,'TAR FIN'!$A$1:$O$113,15,0)),0,VLOOKUP($U$1586,'TAR FIN'!$A$1:$O$113,15,0))</f>
        <v>206.13</v>
      </c>
      <c r="Y1586" s="4"/>
      <c r="Z1586" s="4">
        <f ca="1">('TUSD BE'!$AM$53+'TUSD BF'!$AM$53+'TUSD CVA'!$AM$53)*(1-CUSTOS!$M$38)</f>
        <v>386.47391324808456</v>
      </c>
      <c r="AA1586" s="4">
        <f>('TE BE'!$AA$32+'TE BF'!$AA$32+'TE CVA'!$AA$32)*(1-CUSTOS!$M$38)</f>
        <v>220.59856812487419</v>
      </c>
      <c r="AB1586" s="4">
        <f>$K$1586*$V$1586</f>
        <v>0</v>
      </c>
      <c r="AC1586" s="4">
        <f>$M$1586*$W$1586</f>
        <v>91.056838499999984</v>
      </c>
      <c r="AD1586" s="4">
        <f>$O$1586*$X$1586</f>
        <v>61.610195699999998</v>
      </c>
      <c r="AE1586" s="4">
        <f>$K$1586*$Y$1586</f>
        <v>0</v>
      </c>
      <c r="AF1586" s="4">
        <f ca="1">$M$1586*$Z$1586</f>
        <v>115.51318793071999</v>
      </c>
      <c r="AG1586" s="4">
        <f>$O$1586*$AA$1586</f>
        <v>65.934706026843642</v>
      </c>
    </row>
    <row r="1587" spans="1:33" ht="11.25" customHeight="1" x14ac:dyDescent="0.25">
      <c r="A1587" s="3" t="s">
        <v>56</v>
      </c>
      <c r="B1587" s="3" t="s">
        <v>44</v>
      </c>
      <c r="C1587" s="3" t="s">
        <v>23</v>
      </c>
      <c r="D1587" s="3" t="s">
        <v>45</v>
      </c>
      <c r="E1587" s="3" t="s">
        <v>53</v>
      </c>
      <c r="F1587" s="3" t="s">
        <v>55</v>
      </c>
      <c r="G1587" s="3" t="s">
        <v>25</v>
      </c>
      <c r="H1587" s="3" t="s">
        <v>25</v>
      </c>
      <c r="I1587" s="6">
        <v>44621</v>
      </c>
      <c r="J1587" s="4">
        <v>0</v>
      </c>
      <c r="K1587" s="4">
        <v>0</v>
      </c>
      <c r="L1587" s="4">
        <v>475.80099999999999</v>
      </c>
      <c r="M1587" s="4">
        <v>128.46627000000001</v>
      </c>
      <c r="N1587" s="4">
        <v>475.80099999999999</v>
      </c>
      <c r="O1587" s="4">
        <v>128.46627000000001</v>
      </c>
      <c r="P1587" s="4">
        <v>0</v>
      </c>
      <c r="Q1587" s="3" t="s">
        <v>26</v>
      </c>
      <c r="R1587" s="3">
        <v>0</v>
      </c>
      <c r="S1587" s="4">
        <v>0</v>
      </c>
      <c r="T1587" s="4">
        <v>34</v>
      </c>
      <c r="U1587" s="4">
        <v>53</v>
      </c>
      <c r="V1587" s="4">
        <f>IF(ISERROR(VLOOKUP($S$1587,'TAR FIN'!$A$1:$O$113,15,0)),0,VLOOKUP($S$1587,'TAR FIN'!$A$1:$O$113,15,0))</f>
        <v>0</v>
      </c>
      <c r="W1587" s="4">
        <f>IF(ISERROR(VLOOKUP($T$1587,'TAR FIN'!$A$1:$O$113,15,0)),0,VLOOKUP($T$1587,'TAR FIN'!$A$1:$O$113,15,0))</f>
        <v>304.64999999999998</v>
      </c>
      <c r="X1587" s="4">
        <f>IF(ISERROR(VLOOKUP($U$1587,'TAR FIN'!$A$1:$O$113,15,0)),0,VLOOKUP($U$1587,'TAR FIN'!$A$1:$O$113,15,0))</f>
        <v>206.13</v>
      </c>
      <c r="Y1587" s="4"/>
      <c r="Z1587" s="4">
        <f ca="1">('TUSD BE'!$AM$53+'TUSD BF'!$AM$53+'TUSD CVA'!$AM$53)*(1-CUSTOS!$M$38)</f>
        <v>386.47391324808456</v>
      </c>
      <c r="AA1587" s="4">
        <f>('TE BE'!$AA$32+'TE BF'!$AA$32+'TE CVA'!$AA$32)*(1-CUSTOS!$M$38)</f>
        <v>220.59856812487419</v>
      </c>
      <c r="AB1587" s="4">
        <f>$K$1587*$V$1587</f>
        <v>0</v>
      </c>
      <c r="AC1587" s="4">
        <f>$M$1587*$W$1587</f>
        <v>39137.249155500002</v>
      </c>
      <c r="AD1587" s="4">
        <f>$O$1587*$X$1587</f>
        <v>26480.752235100001</v>
      </c>
      <c r="AE1587" s="4">
        <f>$K$1587*$Y$1587</f>
        <v>0</v>
      </c>
      <c r="AF1587" s="4">
        <f ca="1">$M$1587*$Z$1587</f>
        <v>49648.862087285008</v>
      </c>
      <c r="AG1587" s="4">
        <f>$O$1587*$AA$1587</f>
        <v>28339.475214343485</v>
      </c>
    </row>
    <row r="1588" spans="1:33" ht="11.25" customHeight="1" x14ac:dyDescent="0.25">
      <c r="A1588" s="3" t="s">
        <v>56</v>
      </c>
      <c r="B1588" s="3" t="s">
        <v>44</v>
      </c>
      <c r="C1588" s="3" t="s">
        <v>23</v>
      </c>
      <c r="D1588" s="3" t="s">
        <v>45</v>
      </c>
      <c r="E1588" s="3" t="s">
        <v>53</v>
      </c>
      <c r="F1588" s="3" t="s">
        <v>55</v>
      </c>
      <c r="G1588" s="3" t="s">
        <v>25</v>
      </c>
      <c r="H1588" s="3" t="s">
        <v>25</v>
      </c>
      <c r="I1588" s="6">
        <v>44621</v>
      </c>
      <c r="J1588" s="4">
        <v>0</v>
      </c>
      <c r="K1588" s="4">
        <v>0</v>
      </c>
      <c r="L1588" s="4">
        <v>1.107</v>
      </c>
      <c r="M1588" s="4">
        <v>0.29888999999999999</v>
      </c>
      <c r="N1588" s="4">
        <v>1.107</v>
      </c>
      <c r="O1588" s="4">
        <v>0.29888999999999999</v>
      </c>
      <c r="P1588" s="4">
        <v>0</v>
      </c>
      <c r="Q1588" s="3" t="s">
        <v>26</v>
      </c>
      <c r="R1588" s="3">
        <v>0</v>
      </c>
      <c r="S1588" s="4">
        <v>0</v>
      </c>
      <c r="T1588" s="4">
        <v>34</v>
      </c>
      <c r="U1588" s="4">
        <v>53</v>
      </c>
      <c r="V1588" s="4">
        <f>IF(ISERROR(VLOOKUP($S$1588,'TAR FIN'!$A$1:$O$113,15,0)),0,VLOOKUP($S$1588,'TAR FIN'!$A$1:$O$113,15,0))</f>
        <v>0</v>
      </c>
      <c r="W1588" s="4">
        <f>IF(ISERROR(VLOOKUP($T$1588,'TAR FIN'!$A$1:$O$113,15,0)),0,VLOOKUP($T$1588,'TAR FIN'!$A$1:$O$113,15,0))</f>
        <v>304.64999999999998</v>
      </c>
      <c r="X1588" s="4">
        <f>IF(ISERROR(VLOOKUP($U$1588,'TAR FIN'!$A$1:$O$113,15,0)),0,VLOOKUP($U$1588,'TAR FIN'!$A$1:$O$113,15,0))</f>
        <v>206.13</v>
      </c>
      <c r="Y1588" s="4"/>
      <c r="Z1588" s="4">
        <f ca="1">('TUSD BE'!$AM$53+'TUSD BF'!$AM$53+'TUSD CVA'!$AM$53)*(1-CUSTOS!$M$38)</f>
        <v>386.47391324808456</v>
      </c>
      <c r="AA1588" s="4">
        <f>('TE BE'!$AA$32+'TE BF'!$AA$32+'TE CVA'!$AA$32)*(1-CUSTOS!$M$38)</f>
        <v>220.59856812487419</v>
      </c>
      <c r="AB1588" s="4">
        <f>$K$1588*$V$1588</f>
        <v>0</v>
      </c>
      <c r="AC1588" s="4">
        <f>$M$1588*$W$1588</f>
        <v>91.056838499999984</v>
      </c>
      <c r="AD1588" s="4">
        <f>$O$1588*$X$1588</f>
        <v>61.610195699999998</v>
      </c>
      <c r="AE1588" s="4">
        <f>$K$1588*$Y$1588</f>
        <v>0</v>
      </c>
      <c r="AF1588" s="4">
        <f ca="1">$M$1588*$Z$1588</f>
        <v>115.51318793071999</v>
      </c>
      <c r="AG1588" s="4">
        <f>$O$1588*$AA$1588</f>
        <v>65.934706026843642</v>
      </c>
    </row>
    <row r="1589" spans="1:33" ht="11.25" customHeight="1" x14ac:dyDescent="0.25">
      <c r="A1589" s="3" t="s">
        <v>21</v>
      </c>
      <c r="B1589" s="3" t="s">
        <v>44</v>
      </c>
      <c r="C1589" s="3" t="s">
        <v>23</v>
      </c>
      <c r="D1589" s="3" t="s">
        <v>45</v>
      </c>
      <c r="E1589" s="3" t="s">
        <v>25</v>
      </c>
      <c r="F1589" s="3" t="s">
        <v>25</v>
      </c>
      <c r="G1589" s="3" t="s">
        <v>25</v>
      </c>
      <c r="H1589" s="3" t="s">
        <v>25</v>
      </c>
      <c r="I1589" s="6">
        <v>44287</v>
      </c>
      <c r="J1589" s="4">
        <v>0</v>
      </c>
      <c r="K1589" s="4">
        <v>0</v>
      </c>
      <c r="L1589" s="4">
        <v>5373.0360000000001</v>
      </c>
      <c r="M1589" s="4">
        <v>5373.0360000000001</v>
      </c>
      <c r="N1589" s="4">
        <v>5373.0360000000001</v>
      </c>
      <c r="O1589" s="4">
        <v>5373.0360000000001</v>
      </c>
      <c r="P1589" s="4">
        <v>22764</v>
      </c>
      <c r="Q1589" s="3" t="s">
        <v>26</v>
      </c>
      <c r="R1589" s="3">
        <v>0</v>
      </c>
      <c r="S1589" s="4">
        <v>0</v>
      </c>
      <c r="T1589" s="4">
        <v>34</v>
      </c>
      <c r="U1589" s="4">
        <v>53</v>
      </c>
      <c r="V1589" s="4">
        <f>IF(ISERROR(VLOOKUP($S$1589,'TAR FIN'!$A$1:$O$113,15,0)),0,VLOOKUP($S$1589,'TAR FIN'!$A$1:$O$113,15,0))</f>
        <v>0</v>
      </c>
      <c r="W1589" s="4">
        <f>IF(ISERROR(VLOOKUP($T$1589,'TAR FIN'!$A$1:$O$113,15,0)),0,VLOOKUP($T$1589,'TAR FIN'!$A$1:$O$113,15,0))</f>
        <v>304.64999999999998</v>
      </c>
      <c r="X1589" s="4">
        <f>IF(ISERROR(VLOOKUP($U$1589,'TAR FIN'!$A$1:$O$113,15,0)),0,VLOOKUP($U$1589,'TAR FIN'!$A$1:$O$113,15,0))</f>
        <v>206.13</v>
      </c>
      <c r="Y1589" s="4"/>
      <c r="Z1589" s="4">
        <f ca="1">('TUSD BE'!$AM$53+'TUSD BF'!$AM$53+'TUSD CVA'!$AM$53)*(1-CUSTOS!$M$38)</f>
        <v>386.47391324808456</v>
      </c>
      <c r="AA1589" s="4">
        <f>('TE BE'!$AA$32+'TE BF'!$AA$32+'TE CVA'!$AA$32)*(1-CUSTOS!$M$38)</f>
        <v>220.59856812487419</v>
      </c>
      <c r="AB1589" s="4">
        <f>$K$1589*$V$1589</f>
        <v>0</v>
      </c>
      <c r="AC1589" s="4">
        <f>$M$1589*$W$1589</f>
        <v>1636895.4173999999</v>
      </c>
      <c r="AD1589" s="4">
        <f>$O$1589*$X$1589</f>
        <v>1107543.91068</v>
      </c>
      <c r="AE1589" s="4">
        <f>$K$1589*$Y$1589</f>
        <v>0</v>
      </c>
      <c r="AF1589" s="4">
        <f ca="1">$M$1589*$Z$1589</f>
        <v>2076538.2489428353</v>
      </c>
      <c r="AG1589" s="4">
        <f>$O$1589*$AA$1589</f>
        <v>1185284.0480834015</v>
      </c>
    </row>
    <row r="1590" spans="1:33" ht="11.25" customHeight="1" x14ac:dyDescent="0.25">
      <c r="A1590" s="3" t="s">
        <v>27</v>
      </c>
      <c r="B1590" s="3" t="s">
        <v>44</v>
      </c>
      <c r="C1590" s="3" t="s">
        <v>23</v>
      </c>
      <c r="D1590" s="3" t="s">
        <v>45</v>
      </c>
      <c r="E1590" s="3" t="s">
        <v>25</v>
      </c>
      <c r="F1590" s="3" t="s">
        <v>25</v>
      </c>
      <c r="G1590" s="3" t="s">
        <v>25</v>
      </c>
      <c r="H1590" s="3" t="s">
        <v>25</v>
      </c>
      <c r="I1590" s="6">
        <v>44287</v>
      </c>
      <c r="J1590" s="4">
        <v>0</v>
      </c>
      <c r="K1590" s="4">
        <v>0</v>
      </c>
      <c r="L1590" s="4">
        <v>-0.26</v>
      </c>
      <c r="M1590" s="4">
        <v>-0.26</v>
      </c>
      <c r="N1590" s="4">
        <v>-0.26</v>
      </c>
      <c r="O1590" s="4">
        <v>-0.26</v>
      </c>
      <c r="P1590" s="4">
        <v>-2</v>
      </c>
      <c r="Q1590" s="3" t="s">
        <v>26</v>
      </c>
      <c r="R1590" s="3">
        <v>0</v>
      </c>
      <c r="S1590" s="4">
        <v>0</v>
      </c>
      <c r="T1590" s="4">
        <v>34</v>
      </c>
      <c r="U1590" s="4">
        <v>53</v>
      </c>
      <c r="V1590" s="4">
        <f>IF(ISERROR(VLOOKUP($S$1590,'TAR FIN'!$A$1:$O$113,15,0)),0,VLOOKUP($S$1590,'TAR FIN'!$A$1:$O$113,15,0))</f>
        <v>0</v>
      </c>
      <c r="W1590" s="4">
        <f>IF(ISERROR(VLOOKUP($T$1590,'TAR FIN'!$A$1:$O$113,15,0)),0,VLOOKUP($T$1590,'TAR FIN'!$A$1:$O$113,15,0))</f>
        <v>304.64999999999998</v>
      </c>
      <c r="X1590" s="4">
        <f>IF(ISERROR(VLOOKUP($U$1590,'TAR FIN'!$A$1:$O$113,15,0)),0,VLOOKUP($U$1590,'TAR FIN'!$A$1:$O$113,15,0))</f>
        <v>206.13</v>
      </c>
      <c r="Y1590" s="4"/>
      <c r="Z1590" s="4">
        <f ca="1">('TUSD BE'!$AM$53+'TUSD BF'!$AM$53+'TUSD CVA'!$AM$53)*(1-CUSTOS!$M$38)</f>
        <v>386.47391324808456</v>
      </c>
      <c r="AA1590" s="4">
        <f>('TE BE'!$AA$32+'TE BF'!$AA$32+'TE CVA'!$AA$32)*(1-CUSTOS!$M$38)</f>
        <v>220.59856812487419</v>
      </c>
      <c r="AB1590" s="4">
        <f>$K$1590*$V$1590</f>
        <v>0</v>
      </c>
      <c r="AC1590" s="4">
        <f>$M$1590*$W$1590</f>
        <v>-79.209000000000003</v>
      </c>
      <c r="AD1590" s="4">
        <f>$O$1590*$X$1590</f>
        <v>-53.593800000000002</v>
      </c>
      <c r="AE1590" s="4">
        <f>$K$1590*$Y$1590</f>
        <v>0</v>
      </c>
      <c r="AF1590" s="4">
        <f ca="1">$M$1590*$Z$1590</f>
        <v>-100.48321744450199</v>
      </c>
      <c r="AG1590" s="4">
        <f>$O$1590*$AA$1590</f>
        <v>-57.355627712467289</v>
      </c>
    </row>
    <row r="1591" spans="1:33" ht="11.25" customHeight="1" x14ac:dyDescent="0.25">
      <c r="A1591" s="3" t="s">
        <v>28</v>
      </c>
      <c r="B1591" s="3" t="s">
        <v>44</v>
      </c>
      <c r="C1591" s="3" t="s">
        <v>23</v>
      </c>
      <c r="D1591" s="3" t="s">
        <v>45</v>
      </c>
      <c r="E1591" s="3" t="s">
        <v>25</v>
      </c>
      <c r="F1591" s="3" t="s">
        <v>25</v>
      </c>
      <c r="G1591" s="3" t="s">
        <v>25</v>
      </c>
      <c r="H1591" s="3" t="s">
        <v>25</v>
      </c>
      <c r="I1591" s="6">
        <v>44287</v>
      </c>
      <c r="J1591" s="4">
        <v>0</v>
      </c>
      <c r="K1591" s="4">
        <v>0</v>
      </c>
      <c r="L1591" s="4">
        <v>83.564999999999998</v>
      </c>
      <c r="M1591" s="4">
        <v>83.564999999999998</v>
      </c>
      <c r="N1591" s="4">
        <v>83.564999999999998</v>
      </c>
      <c r="O1591" s="4">
        <v>83.564999999999998</v>
      </c>
      <c r="P1591" s="4">
        <v>152</v>
      </c>
      <c r="Q1591" s="3" t="s">
        <v>26</v>
      </c>
      <c r="R1591" s="3">
        <v>0</v>
      </c>
      <c r="S1591" s="4">
        <v>0</v>
      </c>
      <c r="T1591" s="4">
        <v>34</v>
      </c>
      <c r="U1591" s="4">
        <v>53</v>
      </c>
      <c r="V1591" s="4">
        <f>IF(ISERROR(VLOOKUP($S$1591,'TAR FIN'!$A$1:$O$113,15,0)),0,VLOOKUP($S$1591,'TAR FIN'!$A$1:$O$113,15,0))</f>
        <v>0</v>
      </c>
      <c r="W1591" s="4">
        <f>IF(ISERROR(VLOOKUP($T$1591,'TAR FIN'!$A$1:$O$113,15,0)),0,VLOOKUP($T$1591,'TAR FIN'!$A$1:$O$113,15,0))</f>
        <v>304.64999999999998</v>
      </c>
      <c r="X1591" s="4">
        <f>IF(ISERROR(VLOOKUP($U$1591,'TAR FIN'!$A$1:$O$113,15,0)),0,VLOOKUP($U$1591,'TAR FIN'!$A$1:$O$113,15,0))</f>
        <v>206.13</v>
      </c>
      <c r="Y1591" s="4"/>
      <c r="Z1591" s="4">
        <f ca="1">('TUSD BE'!$AM$53+'TUSD BF'!$AM$53+'TUSD CVA'!$AM$53)*(1-CUSTOS!$M$38)</f>
        <v>386.47391324808456</v>
      </c>
      <c r="AA1591" s="4">
        <f>('TE BE'!$AA$32+'TE BF'!$AA$32+'TE CVA'!$AA$32)*(1-CUSTOS!$M$38)</f>
        <v>220.59856812487419</v>
      </c>
      <c r="AB1591" s="4">
        <f>$K$1591*$V$1591</f>
        <v>0</v>
      </c>
      <c r="AC1591" s="4">
        <f>$M$1591*$W$1591</f>
        <v>25458.077249999998</v>
      </c>
      <c r="AD1591" s="4">
        <f>$O$1591*$X$1591</f>
        <v>17225.25345</v>
      </c>
      <c r="AE1591" s="4">
        <f>$K$1591*$Y$1591</f>
        <v>0</v>
      </c>
      <c r="AF1591" s="4">
        <f ca="1">$M$1591*$Z$1591</f>
        <v>32295.692560576186</v>
      </c>
      <c r="AG1591" s="4">
        <f>$O$1591*$AA$1591</f>
        <v>18434.31934535511</v>
      </c>
    </row>
    <row r="1592" spans="1:33" ht="11.25" customHeight="1" x14ac:dyDescent="0.25">
      <c r="A1592" s="3" t="s">
        <v>21</v>
      </c>
      <c r="B1592" s="3" t="s">
        <v>44</v>
      </c>
      <c r="C1592" s="3" t="s">
        <v>23</v>
      </c>
      <c r="D1592" s="3" t="s">
        <v>45</v>
      </c>
      <c r="E1592" s="3" t="s">
        <v>25</v>
      </c>
      <c r="F1592" s="3" t="s">
        <v>25</v>
      </c>
      <c r="G1592" s="3" t="s">
        <v>25</v>
      </c>
      <c r="H1592" s="3" t="s">
        <v>25</v>
      </c>
      <c r="I1592" s="6">
        <v>44317</v>
      </c>
      <c r="J1592" s="4">
        <v>0</v>
      </c>
      <c r="K1592" s="4">
        <v>0</v>
      </c>
      <c r="L1592" s="4">
        <v>4323.9170000000004</v>
      </c>
      <c r="M1592" s="4">
        <v>4323.9170000000004</v>
      </c>
      <c r="N1592" s="4">
        <v>4323.9170000000004</v>
      </c>
      <c r="O1592" s="4">
        <v>4323.9170000000004</v>
      </c>
      <c r="P1592" s="4">
        <v>22763</v>
      </c>
      <c r="Q1592" s="3" t="s">
        <v>26</v>
      </c>
      <c r="R1592" s="3">
        <v>0</v>
      </c>
      <c r="S1592" s="4">
        <v>0</v>
      </c>
      <c r="T1592" s="4">
        <v>34</v>
      </c>
      <c r="U1592" s="4">
        <v>53</v>
      </c>
      <c r="V1592" s="4">
        <f>IF(ISERROR(VLOOKUP($S$1592,'TAR FIN'!$A$1:$O$113,15,0)),0,VLOOKUP($S$1592,'TAR FIN'!$A$1:$O$113,15,0))</f>
        <v>0</v>
      </c>
      <c r="W1592" s="4">
        <f>IF(ISERROR(VLOOKUP($T$1592,'TAR FIN'!$A$1:$O$113,15,0)),0,VLOOKUP($T$1592,'TAR FIN'!$A$1:$O$113,15,0))</f>
        <v>304.64999999999998</v>
      </c>
      <c r="X1592" s="4">
        <f>IF(ISERROR(VLOOKUP($U$1592,'TAR FIN'!$A$1:$O$113,15,0)),0,VLOOKUP($U$1592,'TAR FIN'!$A$1:$O$113,15,0))</f>
        <v>206.13</v>
      </c>
      <c r="Y1592" s="4"/>
      <c r="Z1592" s="4">
        <f ca="1">('TUSD BE'!$AM$53+'TUSD BF'!$AM$53+'TUSD CVA'!$AM$53)*(1-CUSTOS!$M$38)</f>
        <v>386.47391324808456</v>
      </c>
      <c r="AA1592" s="4">
        <f>('TE BE'!$AA$32+'TE BF'!$AA$32+'TE CVA'!$AA$32)*(1-CUSTOS!$M$38)</f>
        <v>220.59856812487419</v>
      </c>
      <c r="AB1592" s="4">
        <f>$K$1592*$V$1592</f>
        <v>0</v>
      </c>
      <c r="AC1592" s="4">
        <f>$M$1592*$W$1592</f>
        <v>1317281.3140499999</v>
      </c>
      <c r="AD1592" s="4">
        <f>$O$1592*$X$1592</f>
        <v>891289.01121000003</v>
      </c>
      <c r="AE1592" s="4">
        <f>$K$1592*$Y$1592</f>
        <v>0</v>
      </c>
      <c r="AF1592" s="4">
        <f ca="1">$M$1592*$Z$1592</f>
        <v>1671081.1235499182</v>
      </c>
      <c r="AG1592" s="4">
        <f>$O$1592*$AA$1592</f>
        <v>953849.89889080171</v>
      </c>
    </row>
    <row r="1593" spans="1:33" ht="11.25" customHeight="1" x14ac:dyDescent="0.25">
      <c r="A1593" s="3" t="s">
        <v>27</v>
      </c>
      <c r="B1593" s="3" t="s">
        <v>44</v>
      </c>
      <c r="C1593" s="3" t="s">
        <v>23</v>
      </c>
      <c r="D1593" s="3" t="s">
        <v>45</v>
      </c>
      <c r="E1593" s="3" t="s">
        <v>25</v>
      </c>
      <c r="F1593" s="3" t="s">
        <v>25</v>
      </c>
      <c r="G1593" s="3" t="s">
        <v>25</v>
      </c>
      <c r="H1593" s="3" t="s">
        <v>25</v>
      </c>
      <c r="I1593" s="6">
        <v>44317</v>
      </c>
      <c r="J1593" s="4">
        <v>0</v>
      </c>
      <c r="K1593" s="4">
        <v>0</v>
      </c>
      <c r="L1593" s="4">
        <v>-7.1609999999999996</v>
      </c>
      <c r="M1593" s="4">
        <v>-7.1609999999999996</v>
      </c>
      <c r="N1593" s="4">
        <v>-7.1609999999999996</v>
      </c>
      <c r="O1593" s="4">
        <v>-7.1609999999999996</v>
      </c>
      <c r="P1593" s="4">
        <v>-3</v>
      </c>
      <c r="Q1593" s="3" t="s">
        <v>26</v>
      </c>
      <c r="R1593" s="3">
        <v>0</v>
      </c>
      <c r="S1593" s="4">
        <v>0</v>
      </c>
      <c r="T1593" s="4">
        <v>34</v>
      </c>
      <c r="U1593" s="4">
        <v>53</v>
      </c>
      <c r="V1593" s="4">
        <f>IF(ISERROR(VLOOKUP($S$1593,'TAR FIN'!$A$1:$O$113,15,0)),0,VLOOKUP($S$1593,'TAR FIN'!$A$1:$O$113,15,0))</f>
        <v>0</v>
      </c>
      <c r="W1593" s="4">
        <f>IF(ISERROR(VLOOKUP($T$1593,'TAR FIN'!$A$1:$O$113,15,0)),0,VLOOKUP($T$1593,'TAR FIN'!$A$1:$O$113,15,0))</f>
        <v>304.64999999999998</v>
      </c>
      <c r="X1593" s="4">
        <f>IF(ISERROR(VLOOKUP($U$1593,'TAR FIN'!$A$1:$O$113,15,0)),0,VLOOKUP($U$1593,'TAR FIN'!$A$1:$O$113,15,0))</f>
        <v>206.13</v>
      </c>
      <c r="Y1593" s="4"/>
      <c r="Z1593" s="4">
        <f ca="1">('TUSD BE'!$AM$53+'TUSD BF'!$AM$53+'TUSD CVA'!$AM$53)*(1-CUSTOS!$M$38)</f>
        <v>386.47391324808456</v>
      </c>
      <c r="AA1593" s="4">
        <f>('TE BE'!$AA$32+'TE BF'!$AA$32+'TE CVA'!$AA$32)*(1-CUSTOS!$M$38)</f>
        <v>220.59856812487419</v>
      </c>
      <c r="AB1593" s="4">
        <f>$K$1593*$V$1593</f>
        <v>0</v>
      </c>
      <c r="AC1593" s="4">
        <f>$M$1593*$W$1593</f>
        <v>-2181.5986499999999</v>
      </c>
      <c r="AD1593" s="4">
        <f>$O$1593*$X$1593</f>
        <v>-1476.0969299999999</v>
      </c>
      <c r="AE1593" s="4">
        <f>$K$1593*$Y$1593</f>
        <v>0</v>
      </c>
      <c r="AF1593" s="4">
        <f ca="1">$M$1593*$Z$1593</f>
        <v>-2767.5396927695333</v>
      </c>
      <c r="AG1593" s="4">
        <f>$O$1593*$AA$1593</f>
        <v>-1579.7063463422239</v>
      </c>
    </row>
    <row r="1594" spans="1:33" ht="11.25" customHeight="1" x14ac:dyDescent="0.25">
      <c r="A1594" s="3" t="s">
        <v>28</v>
      </c>
      <c r="B1594" s="3" t="s">
        <v>44</v>
      </c>
      <c r="C1594" s="3" t="s">
        <v>23</v>
      </c>
      <c r="D1594" s="3" t="s">
        <v>45</v>
      </c>
      <c r="E1594" s="3" t="s">
        <v>25</v>
      </c>
      <c r="F1594" s="3" t="s">
        <v>25</v>
      </c>
      <c r="G1594" s="3" t="s">
        <v>25</v>
      </c>
      <c r="H1594" s="3" t="s">
        <v>25</v>
      </c>
      <c r="I1594" s="6">
        <v>44317</v>
      </c>
      <c r="J1594" s="4">
        <v>0</v>
      </c>
      <c r="K1594" s="4">
        <v>0</v>
      </c>
      <c r="L1594" s="4">
        <v>60.284999999999997</v>
      </c>
      <c r="M1594" s="4">
        <v>60.284999999999997</v>
      </c>
      <c r="N1594" s="4">
        <v>60.284999999999997</v>
      </c>
      <c r="O1594" s="4">
        <v>60.284999999999997</v>
      </c>
      <c r="P1594" s="4">
        <v>160</v>
      </c>
      <c r="Q1594" s="3" t="s">
        <v>26</v>
      </c>
      <c r="R1594" s="3">
        <v>0</v>
      </c>
      <c r="S1594" s="4">
        <v>0</v>
      </c>
      <c r="T1594" s="4">
        <v>34</v>
      </c>
      <c r="U1594" s="4">
        <v>53</v>
      </c>
      <c r="V1594" s="4">
        <f>IF(ISERROR(VLOOKUP($S$1594,'TAR FIN'!$A$1:$O$113,15,0)),0,VLOOKUP($S$1594,'TAR FIN'!$A$1:$O$113,15,0))</f>
        <v>0</v>
      </c>
      <c r="W1594" s="4">
        <f>IF(ISERROR(VLOOKUP($T$1594,'TAR FIN'!$A$1:$O$113,15,0)),0,VLOOKUP($T$1594,'TAR FIN'!$A$1:$O$113,15,0))</f>
        <v>304.64999999999998</v>
      </c>
      <c r="X1594" s="4">
        <f>IF(ISERROR(VLOOKUP($U$1594,'TAR FIN'!$A$1:$O$113,15,0)),0,VLOOKUP($U$1594,'TAR FIN'!$A$1:$O$113,15,0))</f>
        <v>206.13</v>
      </c>
      <c r="Y1594" s="4"/>
      <c r="Z1594" s="4">
        <f ca="1">('TUSD BE'!$AM$53+'TUSD BF'!$AM$53+'TUSD CVA'!$AM$53)*(1-CUSTOS!$M$38)</f>
        <v>386.47391324808456</v>
      </c>
      <c r="AA1594" s="4">
        <f>('TE BE'!$AA$32+'TE BF'!$AA$32+'TE CVA'!$AA$32)*(1-CUSTOS!$M$38)</f>
        <v>220.59856812487419</v>
      </c>
      <c r="AB1594" s="4">
        <f>$K$1594*$V$1594</f>
        <v>0</v>
      </c>
      <c r="AC1594" s="4">
        <f>$M$1594*$W$1594</f>
        <v>18365.825249999998</v>
      </c>
      <c r="AD1594" s="4">
        <f>$O$1594*$X$1594</f>
        <v>12426.547049999999</v>
      </c>
      <c r="AE1594" s="4">
        <f>$K$1594*$Y$1594</f>
        <v>0</v>
      </c>
      <c r="AF1594" s="4">
        <f ca="1">$M$1594*$Z$1594</f>
        <v>23298.579860160775</v>
      </c>
      <c r="AG1594" s="4">
        <f>$O$1594*$AA$1594</f>
        <v>13298.78467940804</v>
      </c>
    </row>
    <row r="1595" spans="1:33" ht="11.25" customHeight="1" x14ac:dyDescent="0.25">
      <c r="A1595" s="3" t="s">
        <v>21</v>
      </c>
      <c r="B1595" s="3" t="s">
        <v>44</v>
      </c>
      <c r="C1595" s="3" t="s">
        <v>23</v>
      </c>
      <c r="D1595" s="3" t="s">
        <v>45</v>
      </c>
      <c r="E1595" s="3" t="s">
        <v>25</v>
      </c>
      <c r="F1595" s="3" t="s">
        <v>25</v>
      </c>
      <c r="G1595" s="3" t="s">
        <v>25</v>
      </c>
      <c r="H1595" s="3" t="s">
        <v>25</v>
      </c>
      <c r="I1595" s="6">
        <v>44348</v>
      </c>
      <c r="J1595" s="4">
        <v>0</v>
      </c>
      <c r="K1595" s="4">
        <v>0</v>
      </c>
      <c r="L1595" s="4">
        <v>3880.1350000000002</v>
      </c>
      <c r="M1595" s="4">
        <v>3880.1350000000002</v>
      </c>
      <c r="N1595" s="4">
        <v>3880.1350000000002</v>
      </c>
      <c r="O1595" s="4">
        <v>3880.1350000000002</v>
      </c>
      <c r="P1595" s="4">
        <v>22750</v>
      </c>
      <c r="Q1595" s="3" t="s">
        <v>26</v>
      </c>
      <c r="R1595" s="3">
        <v>0</v>
      </c>
      <c r="S1595" s="4">
        <v>0</v>
      </c>
      <c r="T1595" s="4">
        <v>34</v>
      </c>
      <c r="U1595" s="4">
        <v>53</v>
      </c>
      <c r="V1595" s="4">
        <f>IF(ISERROR(VLOOKUP($S$1595,'TAR FIN'!$A$1:$O$113,15,0)),0,VLOOKUP($S$1595,'TAR FIN'!$A$1:$O$113,15,0))</f>
        <v>0</v>
      </c>
      <c r="W1595" s="4">
        <f>IF(ISERROR(VLOOKUP($T$1595,'TAR FIN'!$A$1:$O$113,15,0)),0,VLOOKUP($T$1595,'TAR FIN'!$A$1:$O$113,15,0))</f>
        <v>304.64999999999998</v>
      </c>
      <c r="X1595" s="4">
        <f>IF(ISERROR(VLOOKUP($U$1595,'TAR FIN'!$A$1:$O$113,15,0)),0,VLOOKUP($U$1595,'TAR FIN'!$A$1:$O$113,15,0))</f>
        <v>206.13</v>
      </c>
      <c r="Y1595" s="4"/>
      <c r="Z1595" s="4">
        <f ca="1">('TUSD BE'!$AM$53+'TUSD BF'!$AM$53+'TUSD CVA'!$AM$53)*(1-CUSTOS!$M$38)</f>
        <v>386.47391324808456</v>
      </c>
      <c r="AA1595" s="4">
        <f>('TE BE'!$AA$32+'TE BF'!$AA$32+'TE CVA'!$AA$32)*(1-CUSTOS!$M$38)</f>
        <v>220.59856812487419</v>
      </c>
      <c r="AB1595" s="4">
        <f>$K$1595*$V$1595</f>
        <v>0</v>
      </c>
      <c r="AC1595" s="4">
        <f>$M$1595*$W$1595</f>
        <v>1182083.12775</v>
      </c>
      <c r="AD1595" s="4">
        <f>$O$1595*$X$1595</f>
        <v>799812.22755000007</v>
      </c>
      <c r="AE1595" s="4">
        <f>$K$1595*$Y$1595</f>
        <v>0</v>
      </c>
      <c r="AF1595" s="4">
        <f ca="1">$M$1595*$Z$1595</f>
        <v>1499570.9573808566</v>
      </c>
      <c r="AG1595" s="4">
        <f>$O$1595*$AA$1595</f>
        <v>855952.22513120878</v>
      </c>
    </row>
    <row r="1596" spans="1:33" ht="11.25" customHeight="1" x14ac:dyDescent="0.25">
      <c r="A1596" s="3" t="s">
        <v>27</v>
      </c>
      <c r="B1596" s="3" t="s">
        <v>44</v>
      </c>
      <c r="C1596" s="3" t="s">
        <v>23</v>
      </c>
      <c r="D1596" s="3" t="s">
        <v>45</v>
      </c>
      <c r="E1596" s="3" t="s">
        <v>25</v>
      </c>
      <c r="F1596" s="3" t="s">
        <v>25</v>
      </c>
      <c r="G1596" s="3" t="s">
        <v>25</v>
      </c>
      <c r="H1596" s="3" t="s">
        <v>25</v>
      </c>
      <c r="I1596" s="6">
        <v>44348</v>
      </c>
      <c r="J1596" s="4">
        <v>0</v>
      </c>
      <c r="K1596" s="4">
        <v>0</v>
      </c>
      <c r="L1596" s="4">
        <v>-72.650999999999996</v>
      </c>
      <c r="M1596" s="4">
        <v>-72.650999999999996</v>
      </c>
      <c r="N1596" s="4">
        <v>-72.650999999999996</v>
      </c>
      <c r="O1596" s="4">
        <v>-72.650999999999996</v>
      </c>
      <c r="P1596" s="4">
        <v>-4</v>
      </c>
      <c r="Q1596" s="3" t="s">
        <v>26</v>
      </c>
      <c r="R1596" s="3">
        <v>0</v>
      </c>
      <c r="S1596" s="4">
        <v>0</v>
      </c>
      <c r="T1596" s="4">
        <v>34</v>
      </c>
      <c r="U1596" s="4">
        <v>53</v>
      </c>
      <c r="V1596" s="4">
        <f>IF(ISERROR(VLOOKUP($S$1596,'TAR FIN'!$A$1:$O$113,15,0)),0,VLOOKUP($S$1596,'TAR FIN'!$A$1:$O$113,15,0))</f>
        <v>0</v>
      </c>
      <c r="W1596" s="4">
        <f>IF(ISERROR(VLOOKUP($T$1596,'TAR FIN'!$A$1:$O$113,15,0)),0,VLOOKUP($T$1596,'TAR FIN'!$A$1:$O$113,15,0))</f>
        <v>304.64999999999998</v>
      </c>
      <c r="X1596" s="4">
        <f>IF(ISERROR(VLOOKUP($U$1596,'TAR FIN'!$A$1:$O$113,15,0)),0,VLOOKUP($U$1596,'TAR FIN'!$A$1:$O$113,15,0))</f>
        <v>206.13</v>
      </c>
      <c r="Y1596" s="4"/>
      <c r="Z1596" s="4">
        <f ca="1">('TUSD BE'!$AM$53+'TUSD BF'!$AM$53+'TUSD CVA'!$AM$53)*(1-CUSTOS!$M$38)</f>
        <v>386.47391324808456</v>
      </c>
      <c r="AA1596" s="4">
        <f>('TE BE'!$AA$32+'TE BF'!$AA$32+'TE CVA'!$AA$32)*(1-CUSTOS!$M$38)</f>
        <v>220.59856812487419</v>
      </c>
      <c r="AB1596" s="4">
        <f>$K$1596*$V$1596</f>
        <v>0</v>
      </c>
      <c r="AC1596" s="4">
        <f>$M$1596*$W$1596</f>
        <v>-22133.127149999997</v>
      </c>
      <c r="AD1596" s="4">
        <f>$O$1596*$X$1596</f>
        <v>-14975.55063</v>
      </c>
      <c r="AE1596" s="4">
        <f>$K$1596*$Y$1596</f>
        <v>0</v>
      </c>
      <c r="AF1596" s="4">
        <f ca="1">$M$1596*$Z$1596</f>
        <v>-28077.716271386591</v>
      </c>
      <c r="AG1596" s="4">
        <f>$O$1596*$AA$1596</f>
        <v>-16026.706572840234</v>
      </c>
    </row>
    <row r="1597" spans="1:33" ht="11.25" customHeight="1" x14ac:dyDescent="0.25">
      <c r="A1597" s="3" t="s">
        <v>28</v>
      </c>
      <c r="B1597" s="3" t="s">
        <v>44</v>
      </c>
      <c r="C1597" s="3" t="s">
        <v>23</v>
      </c>
      <c r="D1597" s="3" t="s">
        <v>45</v>
      </c>
      <c r="E1597" s="3" t="s">
        <v>25</v>
      </c>
      <c r="F1597" s="3" t="s">
        <v>25</v>
      </c>
      <c r="G1597" s="3" t="s">
        <v>25</v>
      </c>
      <c r="H1597" s="3" t="s">
        <v>25</v>
      </c>
      <c r="I1597" s="6">
        <v>44348</v>
      </c>
      <c r="J1597" s="4">
        <v>0</v>
      </c>
      <c r="K1597" s="4">
        <v>0</v>
      </c>
      <c r="L1597" s="4">
        <v>83.388999999999996</v>
      </c>
      <c r="M1597" s="4">
        <v>83.388999999999996</v>
      </c>
      <c r="N1597" s="4">
        <v>83.388999999999996</v>
      </c>
      <c r="O1597" s="4">
        <v>83.388999999999996</v>
      </c>
      <c r="P1597" s="4">
        <v>169</v>
      </c>
      <c r="Q1597" s="3" t="s">
        <v>26</v>
      </c>
      <c r="R1597" s="3">
        <v>0</v>
      </c>
      <c r="S1597" s="4">
        <v>0</v>
      </c>
      <c r="T1597" s="4">
        <v>34</v>
      </c>
      <c r="U1597" s="4">
        <v>53</v>
      </c>
      <c r="V1597" s="4">
        <f>IF(ISERROR(VLOOKUP($S$1597,'TAR FIN'!$A$1:$O$113,15,0)),0,VLOOKUP($S$1597,'TAR FIN'!$A$1:$O$113,15,0))</f>
        <v>0</v>
      </c>
      <c r="W1597" s="4">
        <f>IF(ISERROR(VLOOKUP($T$1597,'TAR FIN'!$A$1:$O$113,15,0)),0,VLOOKUP($T$1597,'TAR FIN'!$A$1:$O$113,15,0))</f>
        <v>304.64999999999998</v>
      </c>
      <c r="X1597" s="4">
        <f>IF(ISERROR(VLOOKUP($U$1597,'TAR FIN'!$A$1:$O$113,15,0)),0,VLOOKUP($U$1597,'TAR FIN'!$A$1:$O$113,15,0))</f>
        <v>206.13</v>
      </c>
      <c r="Y1597" s="4"/>
      <c r="Z1597" s="4">
        <f ca="1">('TUSD BE'!$AM$53+'TUSD BF'!$AM$53+'TUSD CVA'!$AM$53)*(1-CUSTOS!$M$38)</f>
        <v>386.47391324808456</v>
      </c>
      <c r="AA1597" s="4">
        <f>('TE BE'!$AA$32+'TE BF'!$AA$32+'TE CVA'!$AA$32)*(1-CUSTOS!$M$38)</f>
        <v>220.59856812487419</v>
      </c>
      <c r="AB1597" s="4">
        <f>$K$1597*$V$1597</f>
        <v>0</v>
      </c>
      <c r="AC1597" s="4">
        <f>$M$1597*$W$1597</f>
        <v>25404.458849999995</v>
      </c>
      <c r="AD1597" s="4">
        <f>$O$1597*$X$1597</f>
        <v>17188.974569999998</v>
      </c>
      <c r="AE1597" s="4">
        <f>$K$1597*$Y$1597</f>
        <v>0</v>
      </c>
      <c r="AF1597" s="4">
        <f ca="1">$M$1597*$Z$1597</f>
        <v>32227.673151844523</v>
      </c>
      <c r="AG1597" s="4">
        <f>$O$1597*$AA$1597</f>
        <v>18395.493997365134</v>
      </c>
    </row>
    <row r="1598" spans="1:33" ht="11.25" customHeight="1" x14ac:dyDescent="0.25">
      <c r="A1598" s="3" t="s">
        <v>28</v>
      </c>
      <c r="B1598" s="3" t="s">
        <v>44</v>
      </c>
      <c r="C1598" s="3" t="s">
        <v>23</v>
      </c>
      <c r="D1598" s="3" t="s">
        <v>45</v>
      </c>
      <c r="E1598" s="3" t="s">
        <v>25</v>
      </c>
      <c r="F1598" s="3" t="s">
        <v>25</v>
      </c>
      <c r="G1598" s="3" t="s">
        <v>25</v>
      </c>
      <c r="H1598" s="3" t="s">
        <v>25</v>
      </c>
      <c r="I1598" s="6">
        <v>44348</v>
      </c>
      <c r="J1598" s="4">
        <v>0</v>
      </c>
      <c r="K1598" s="4">
        <v>0</v>
      </c>
      <c r="L1598" s="4">
        <v>-0.57999999999999996</v>
      </c>
      <c r="M1598" s="4">
        <v>-0.57999999999999996</v>
      </c>
      <c r="N1598" s="4">
        <v>-0.57999999999999996</v>
      </c>
      <c r="O1598" s="4">
        <v>-0.57999999999999996</v>
      </c>
      <c r="P1598" s="4">
        <v>0</v>
      </c>
      <c r="Q1598" s="3" t="s">
        <v>26</v>
      </c>
      <c r="R1598" s="3">
        <v>0</v>
      </c>
      <c r="S1598" s="4">
        <v>0</v>
      </c>
      <c r="T1598" s="4">
        <v>34</v>
      </c>
      <c r="U1598" s="4">
        <v>53</v>
      </c>
      <c r="V1598" s="4">
        <f>IF(ISERROR(VLOOKUP($S$1598,'TAR FIN'!$A$1:$O$113,15,0)),0,VLOOKUP($S$1598,'TAR FIN'!$A$1:$O$113,15,0))</f>
        <v>0</v>
      </c>
      <c r="W1598" s="4">
        <f>IF(ISERROR(VLOOKUP($T$1598,'TAR FIN'!$A$1:$O$113,15,0)),0,VLOOKUP($T$1598,'TAR FIN'!$A$1:$O$113,15,0))</f>
        <v>304.64999999999998</v>
      </c>
      <c r="X1598" s="4">
        <f>IF(ISERROR(VLOOKUP($U$1598,'TAR FIN'!$A$1:$O$113,15,0)),0,VLOOKUP($U$1598,'TAR FIN'!$A$1:$O$113,15,0))</f>
        <v>206.13</v>
      </c>
      <c r="Y1598" s="4"/>
      <c r="Z1598" s="4">
        <f ca="1">('TUSD BE'!$AM$53+'TUSD BF'!$AM$53+'TUSD CVA'!$AM$53)*(1-CUSTOS!$M$38)</f>
        <v>386.47391324808456</v>
      </c>
      <c r="AA1598" s="4">
        <f>('TE BE'!$AA$32+'TE BF'!$AA$32+'TE CVA'!$AA$32)*(1-CUSTOS!$M$38)</f>
        <v>220.59856812487419</v>
      </c>
      <c r="AB1598" s="4">
        <f>$K$1598*$V$1598</f>
        <v>0</v>
      </c>
      <c r="AC1598" s="4">
        <f>$M$1598*$W$1598</f>
        <v>-176.69699999999997</v>
      </c>
      <c r="AD1598" s="4">
        <f>$O$1598*$X$1598</f>
        <v>-119.55539999999999</v>
      </c>
      <c r="AE1598" s="4">
        <f>$K$1598*$Y$1598</f>
        <v>0</v>
      </c>
      <c r="AF1598" s="4">
        <f ca="1">$M$1598*$Z$1598</f>
        <v>-224.15486968388902</v>
      </c>
      <c r="AG1598" s="4">
        <f>$O$1598*$AA$1598</f>
        <v>-127.94716951242702</v>
      </c>
    </row>
    <row r="1599" spans="1:33" ht="11.25" customHeight="1" x14ac:dyDescent="0.25">
      <c r="A1599" s="3" t="s">
        <v>21</v>
      </c>
      <c r="B1599" s="3" t="s">
        <v>44</v>
      </c>
      <c r="C1599" s="3" t="s">
        <v>23</v>
      </c>
      <c r="D1599" s="3" t="s">
        <v>45</v>
      </c>
      <c r="E1599" s="3" t="s">
        <v>25</v>
      </c>
      <c r="F1599" s="3" t="s">
        <v>25</v>
      </c>
      <c r="G1599" s="3" t="s">
        <v>25</v>
      </c>
      <c r="H1599" s="3" t="s">
        <v>25</v>
      </c>
      <c r="I1599" s="6">
        <v>44378</v>
      </c>
      <c r="J1599" s="4">
        <v>0</v>
      </c>
      <c r="K1599" s="4">
        <v>0</v>
      </c>
      <c r="L1599" s="4">
        <v>3885.18</v>
      </c>
      <c r="M1599" s="4">
        <v>3885.18</v>
      </c>
      <c r="N1599" s="4">
        <v>3885.18</v>
      </c>
      <c r="O1599" s="4">
        <v>3885.18</v>
      </c>
      <c r="P1599" s="4">
        <v>22755</v>
      </c>
      <c r="Q1599" s="3" t="s">
        <v>26</v>
      </c>
      <c r="R1599" s="3">
        <v>0</v>
      </c>
      <c r="S1599" s="4">
        <v>0</v>
      </c>
      <c r="T1599" s="4">
        <v>34</v>
      </c>
      <c r="U1599" s="4">
        <v>53</v>
      </c>
      <c r="V1599" s="4">
        <f>IF(ISERROR(VLOOKUP($S$1599,'TAR FIN'!$A$1:$O$113,15,0)),0,VLOOKUP($S$1599,'TAR FIN'!$A$1:$O$113,15,0))</f>
        <v>0</v>
      </c>
      <c r="W1599" s="4">
        <f>IF(ISERROR(VLOOKUP($T$1599,'TAR FIN'!$A$1:$O$113,15,0)),0,VLOOKUP($T$1599,'TAR FIN'!$A$1:$O$113,15,0))</f>
        <v>304.64999999999998</v>
      </c>
      <c r="X1599" s="4">
        <f>IF(ISERROR(VLOOKUP($U$1599,'TAR FIN'!$A$1:$O$113,15,0)),0,VLOOKUP($U$1599,'TAR FIN'!$A$1:$O$113,15,0))</f>
        <v>206.13</v>
      </c>
      <c r="Y1599" s="4"/>
      <c r="Z1599" s="4">
        <f ca="1">('TUSD BE'!$AM$53+'TUSD BF'!$AM$53+'TUSD CVA'!$AM$53)*(1-CUSTOS!$M$38)</f>
        <v>386.47391324808456</v>
      </c>
      <c r="AA1599" s="4">
        <f>('TE BE'!$AA$32+'TE BF'!$AA$32+'TE CVA'!$AA$32)*(1-CUSTOS!$M$38)</f>
        <v>220.59856812487419</v>
      </c>
      <c r="AB1599" s="4">
        <f>$K$1599*$V$1599</f>
        <v>0</v>
      </c>
      <c r="AC1599" s="4">
        <f>$M$1599*$W$1599</f>
        <v>1183620.0869999998</v>
      </c>
      <c r="AD1599" s="4">
        <f>$O$1599*$X$1599</f>
        <v>800852.15339999995</v>
      </c>
      <c r="AE1599" s="4">
        <f>$K$1599*$Y$1599</f>
        <v>0</v>
      </c>
      <c r="AF1599" s="4">
        <f ca="1">$M$1599*$Z$1599</f>
        <v>1501520.7182731931</v>
      </c>
      <c r="AG1599" s="4">
        <f>$O$1599*$AA$1599</f>
        <v>857065.14490739873</v>
      </c>
    </row>
    <row r="1600" spans="1:33" ht="11.25" customHeight="1" x14ac:dyDescent="0.25">
      <c r="A1600" s="3" t="s">
        <v>27</v>
      </c>
      <c r="B1600" s="3" t="s">
        <v>44</v>
      </c>
      <c r="C1600" s="3" t="s">
        <v>23</v>
      </c>
      <c r="D1600" s="3" t="s">
        <v>45</v>
      </c>
      <c r="E1600" s="3" t="s">
        <v>25</v>
      </c>
      <c r="F1600" s="3" t="s">
        <v>25</v>
      </c>
      <c r="G1600" s="3" t="s">
        <v>25</v>
      </c>
      <c r="H1600" s="3" t="s">
        <v>25</v>
      </c>
      <c r="I1600" s="6">
        <v>44378</v>
      </c>
      <c r="J1600" s="4">
        <v>0</v>
      </c>
      <c r="K1600" s="4">
        <v>0</v>
      </c>
      <c r="L1600" s="4">
        <v>-35.954000000000001</v>
      </c>
      <c r="M1600" s="4">
        <v>-35.954000000000001</v>
      </c>
      <c r="N1600" s="4">
        <v>-35.954000000000001</v>
      </c>
      <c r="O1600" s="4">
        <v>-35.954000000000001</v>
      </c>
      <c r="P1600" s="4">
        <v>-21</v>
      </c>
      <c r="Q1600" s="3" t="s">
        <v>26</v>
      </c>
      <c r="R1600" s="3">
        <v>0</v>
      </c>
      <c r="S1600" s="4">
        <v>0</v>
      </c>
      <c r="T1600" s="4">
        <v>34</v>
      </c>
      <c r="U1600" s="4">
        <v>53</v>
      </c>
      <c r="V1600" s="4">
        <f>IF(ISERROR(VLOOKUP($S$1600,'TAR FIN'!$A$1:$O$113,15,0)),0,VLOOKUP($S$1600,'TAR FIN'!$A$1:$O$113,15,0))</f>
        <v>0</v>
      </c>
      <c r="W1600" s="4">
        <f>IF(ISERROR(VLOOKUP($T$1600,'TAR FIN'!$A$1:$O$113,15,0)),0,VLOOKUP($T$1600,'TAR FIN'!$A$1:$O$113,15,0))</f>
        <v>304.64999999999998</v>
      </c>
      <c r="X1600" s="4">
        <f>IF(ISERROR(VLOOKUP($U$1600,'TAR FIN'!$A$1:$O$113,15,0)),0,VLOOKUP($U$1600,'TAR FIN'!$A$1:$O$113,15,0))</f>
        <v>206.13</v>
      </c>
      <c r="Y1600" s="4"/>
      <c r="Z1600" s="4">
        <f ca="1">('TUSD BE'!$AM$53+'TUSD BF'!$AM$53+'TUSD CVA'!$AM$53)*(1-CUSTOS!$M$38)</f>
        <v>386.47391324808456</v>
      </c>
      <c r="AA1600" s="4">
        <f>('TE BE'!$AA$32+'TE BF'!$AA$32+'TE CVA'!$AA$32)*(1-CUSTOS!$M$38)</f>
        <v>220.59856812487419</v>
      </c>
      <c r="AB1600" s="4">
        <f>$K$1600*$V$1600</f>
        <v>0</v>
      </c>
      <c r="AC1600" s="4">
        <f>$M$1600*$W$1600</f>
        <v>-10953.3861</v>
      </c>
      <c r="AD1600" s="4">
        <f>$O$1600*$X$1600</f>
        <v>-7411.1980199999998</v>
      </c>
      <c r="AE1600" s="4">
        <f>$K$1600*$Y$1600</f>
        <v>0</v>
      </c>
      <c r="AF1600" s="4">
        <f ca="1">$M$1600*$Z$1600</f>
        <v>-13895.283076921633</v>
      </c>
      <c r="AG1600" s="4">
        <f>$O$1600*$AA$1600</f>
        <v>-7931.4009183617272</v>
      </c>
    </row>
    <row r="1601" spans="1:33" ht="11.25" customHeight="1" x14ac:dyDescent="0.25">
      <c r="A1601" s="3" t="s">
        <v>28</v>
      </c>
      <c r="B1601" s="3" t="s">
        <v>44</v>
      </c>
      <c r="C1601" s="3" t="s">
        <v>23</v>
      </c>
      <c r="D1601" s="3" t="s">
        <v>45</v>
      </c>
      <c r="E1601" s="3" t="s">
        <v>25</v>
      </c>
      <c r="F1601" s="3" t="s">
        <v>25</v>
      </c>
      <c r="G1601" s="3" t="s">
        <v>25</v>
      </c>
      <c r="H1601" s="3" t="s">
        <v>25</v>
      </c>
      <c r="I1601" s="6">
        <v>44378</v>
      </c>
      <c r="J1601" s="4">
        <v>0</v>
      </c>
      <c r="K1601" s="4">
        <v>0</v>
      </c>
      <c r="L1601" s="4">
        <v>104.20399999999999</v>
      </c>
      <c r="M1601" s="4">
        <v>104.20399999999999</v>
      </c>
      <c r="N1601" s="4">
        <v>104.20399999999999</v>
      </c>
      <c r="O1601" s="4">
        <v>104.20399999999999</v>
      </c>
      <c r="P1601" s="4">
        <v>176</v>
      </c>
      <c r="Q1601" s="3" t="s">
        <v>26</v>
      </c>
      <c r="R1601" s="3">
        <v>0</v>
      </c>
      <c r="S1601" s="4">
        <v>0</v>
      </c>
      <c r="T1601" s="4">
        <v>34</v>
      </c>
      <c r="U1601" s="4">
        <v>53</v>
      </c>
      <c r="V1601" s="4">
        <f>IF(ISERROR(VLOOKUP($S$1601,'TAR FIN'!$A$1:$O$113,15,0)),0,VLOOKUP($S$1601,'TAR FIN'!$A$1:$O$113,15,0))</f>
        <v>0</v>
      </c>
      <c r="W1601" s="4">
        <f>IF(ISERROR(VLOOKUP($T$1601,'TAR FIN'!$A$1:$O$113,15,0)),0,VLOOKUP($T$1601,'TAR FIN'!$A$1:$O$113,15,0))</f>
        <v>304.64999999999998</v>
      </c>
      <c r="X1601" s="4">
        <f>IF(ISERROR(VLOOKUP($U$1601,'TAR FIN'!$A$1:$O$113,15,0)),0,VLOOKUP($U$1601,'TAR FIN'!$A$1:$O$113,15,0))</f>
        <v>206.13</v>
      </c>
      <c r="Y1601" s="4"/>
      <c r="Z1601" s="4">
        <f ca="1">('TUSD BE'!$AM$53+'TUSD BF'!$AM$53+'TUSD CVA'!$AM$53)*(1-CUSTOS!$M$38)</f>
        <v>386.47391324808456</v>
      </c>
      <c r="AA1601" s="4">
        <f>('TE BE'!$AA$32+'TE BF'!$AA$32+'TE CVA'!$AA$32)*(1-CUSTOS!$M$38)</f>
        <v>220.59856812487419</v>
      </c>
      <c r="AB1601" s="4">
        <f>$K$1601*$V$1601</f>
        <v>0</v>
      </c>
      <c r="AC1601" s="4">
        <f>$M$1601*$W$1601</f>
        <v>31745.748599999995</v>
      </c>
      <c r="AD1601" s="4">
        <f>$O$1601*$X$1601</f>
        <v>21479.570519999997</v>
      </c>
      <c r="AE1601" s="4">
        <f>$K$1601*$Y$1601</f>
        <v>0</v>
      </c>
      <c r="AF1601" s="4">
        <f ca="1">$M$1601*$Z$1601</f>
        <v>40272.127656103403</v>
      </c>
      <c r="AG1601" s="4">
        <f>$O$1601*$AA$1601</f>
        <v>22987.253192884389</v>
      </c>
    </row>
    <row r="1602" spans="1:33" ht="11.25" customHeight="1" x14ac:dyDescent="0.25">
      <c r="A1602" s="3" t="s">
        <v>21</v>
      </c>
      <c r="B1602" s="3" t="s">
        <v>44</v>
      </c>
      <c r="C1602" s="3" t="s">
        <v>23</v>
      </c>
      <c r="D1602" s="3" t="s">
        <v>45</v>
      </c>
      <c r="E1602" s="3" t="s">
        <v>25</v>
      </c>
      <c r="F1602" s="3" t="s">
        <v>25</v>
      </c>
      <c r="G1602" s="3" t="s">
        <v>25</v>
      </c>
      <c r="H1602" s="3" t="s">
        <v>25</v>
      </c>
      <c r="I1602" s="6">
        <v>44409</v>
      </c>
      <c r="J1602" s="4">
        <v>0</v>
      </c>
      <c r="K1602" s="4">
        <v>0</v>
      </c>
      <c r="L1602" s="4">
        <v>3766.8429999999998</v>
      </c>
      <c r="M1602" s="4">
        <v>3766.8429999999998</v>
      </c>
      <c r="N1602" s="4">
        <v>3766.8429999999998</v>
      </c>
      <c r="O1602" s="4">
        <v>3766.8429999999998</v>
      </c>
      <c r="P1602" s="4">
        <v>22745</v>
      </c>
      <c r="Q1602" s="3" t="s">
        <v>26</v>
      </c>
      <c r="R1602" s="3">
        <v>0</v>
      </c>
      <c r="S1602" s="4">
        <v>0</v>
      </c>
      <c r="T1602" s="4">
        <v>34</v>
      </c>
      <c r="U1602" s="4">
        <v>53</v>
      </c>
      <c r="V1602" s="4">
        <f>IF(ISERROR(VLOOKUP($S$1602,'TAR FIN'!$A$1:$O$113,15,0)),0,VLOOKUP($S$1602,'TAR FIN'!$A$1:$O$113,15,0))</f>
        <v>0</v>
      </c>
      <c r="W1602" s="4">
        <f>IF(ISERROR(VLOOKUP($T$1602,'TAR FIN'!$A$1:$O$113,15,0)),0,VLOOKUP($T$1602,'TAR FIN'!$A$1:$O$113,15,0))</f>
        <v>304.64999999999998</v>
      </c>
      <c r="X1602" s="4">
        <f>IF(ISERROR(VLOOKUP($U$1602,'TAR FIN'!$A$1:$O$113,15,0)),0,VLOOKUP($U$1602,'TAR FIN'!$A$1:$O$113,15,0))</f>
        <v>206.13</v>
      </c>
      <c r="Y1602" s="4"/>
      <c r="Z1602" s="4">
        <f ca="1">('TUSD BE'!$AM$53+'TUSD BF'!$AM$53+'TUSD CVA'!$AM$53)*(1-CUSTOS!$M$38)</f>
        <v>386.47391324808456</v>
      </c>
      <c r="AA1602" s="4">
        <f>('TE BE'!$AA$32+'TE BF'!$AA$32+'TE CVA'!$AA$32)*(1-CUSTOS!$M$38)</f>
        <v>220.59856812487419</v>
      </c>
      <c r="AB1602" s="4">
        <f>$K$1602*$V$1602</f>
        <v>0</v>
      </c>
      <c r="AC1602" s="4">
        <f>$M$1602*$W$1602</f>
        <v>1147568.7199499998</v>
      </c>
      <c r="AD1602" s="4">
        <f>$O$1602*$X$1602</f>
        <v>776459.3475899999</v>
      </c>
      <c r="AE1602" s="4">
        <f>$K$1602*$Y$1602</f>
        <v>0</v>
      </c>
      <c r="AF1602" s="4">
        <f ca="1">$M$1602*$Z$1602</f>
        <v>1455786.5548011544</v>
      </c>
      <c r="AG1602" s="4">
        <f>$O$1602*$AA$1602</f>
        <v>830960.17215120548</v>
      </c>
    </row>
    <row r="1603" spans="1:33" ht="11.25" customHeight="1" x14ac:dyDescent="0.25">
      <c r="A1603" s="3" t="s">
        <v>27</v>
      </c>
      <c r="B1603" s="3" t="s">
        <v>44</v>
      </c>
      <c r="C1603" s="3" t="s">
        <v>23</v>
      </c>
      <c r="D1603" s="3" t="s">
        <v>45</v>
      </c>
      <c r="E1603" s="3" t="s">
        <v>25</v>
      </c>
      <c r="F1603" s="3" t="s">
        <v>25</v>
      </c>
      <c r="G1603" s="3" t="s">
        <v>25</v>
      </c>
      <c r="H1603" s="3" t="s">
        <v>25</v>
      </c>
      <c r="I1603" s="6">
        <v>44409</v>
      </c>
      <c r="J1603" s="4">
        <v>0</v>
      </c>
      <c r="K1603" s="4">
        <v>0</v>
      </c>
      <c r="L1603" s="4">
        <v>-22.149000000000001</v>
      </c>
      <c r="M1603" s="4">
        <v>-22.149000000000001</v>
      </c>
      <c r="N1603" s="4">
        <v>-22.149000000000001</v>
      </c>
      <c r="O1603" s="4">
        <v>-22.149000000000001</v>
      </c>
      <c r="P1603" s="4">
        <v>-4</v>
      </c>
      <c r="Q1603" s="3" t="s">
        <v>26</v>
      </c>
      <c r="R1603" s="3">
        <v>0</v>
      </c>
      <c r="S1603" s="4">
        <v>0</v>
      </c>
      <c r="T1603" s="4">
        <v>34</v>
      </c>
      <c r="U1603" s="4">
        <v>53</v>
      </c>
      <c r="V1603" s="4">
        <f>IF(ISERROR(VLOOKUP($S$1603,'TAR FIN'!$A$1:$O$113,15,0)),0,VLOOKUP($S$1603,'TAR FIN'!$A$1:$O$113,15,0))</f>
        <v>0</v>
      </c>
      <c r="W1603" s="4">
        <f>IF(ISERROR(VLOOKUP($T$1603,'TAR FIN'!$A$1:$O$113,15,0)),0,VLOOKUP($T$1603,'TAR FIN'!$A$1:$O$113,15,0))</f>
        <v>304.64999999999998</v>
      </c>
      <c r="X1603" s="4">
        <f>IF(ISERROR(VLOOKUP($U$1603,'TAR FIN'!$A$1:$O$113,15,0)),0,VLOOKUP($U$1603,'TAR FIN'!$A$1:$O$113,15,0))</f>
        <v>206.13</v>
      </c>
      <c r="Y1603" s="4"/>
      <c r="Z1603" s="4">
        <f ca="1">('TUSD BE'!$AM$53+'TUSD BF'!$AM$53+'TUSD CVA'!$AM$53)*(1-CUSTOS!$M$38)</f>
        <v>386.47391324808456</v>
      </c>
      <c r="AA1603" s="4">
        <f>('TE BE'!$AA$32+'TE BF'!$AA$32+'TE CVA'!$AA$32)*(1-CUSTOS!$M$38)</f>
        <v>220.59856812487419</v>
      </c>
      <c r="AB1603" s="4">
        <f>$K$1603*$V$1603</f>
        <v>0</v>
      </c>
      <c r="AC1603" s="4">
        <f>$M$1603*$W$1603</f>
        <v>-6747.6928499999995</v>
      </c>
      <c r="AD1603" s="4">
        <f>$O$1603*$X$1603</f>
        <v>-4565.5733700000001</v>
      </c>
      <c r="AE1603" s="4">
        <f>$K$1603*$Y$1603</f>
        <v>0</v>
      </c>
      <c r="AF1603" s="4">
        <f ca="1">$M$1603*$Z$1603</f>
        <v>-8560.0107045318255</v>
      </c>
      <c r="AG1603" s="4">
        <f>$O$1603*$AA$1603</f>
        <v>-4886.0376853978387</v>
      </c>
    </row>
    <row r="1604" spans="1:33" ht="11.25" customHeight="1" x14ac:dyDescent="0.25">
      <c r="A1604" s="3" t="s">
        <v>28</v>
      </c>
      <c r="B1604" s="3" t="s">
        <v>44</v>
      </c>
      <c r="C1604" s="3" t="s">
        <v>23</v>
      </c>
      <c r="D1604" s="3" t="s">
        <v>45</v>
      </c>
      <c r="E1604" s="3" t="s">
        <v>25</v>
      </c>
      <c r="F1604" s="3" t="s">
        <v>25</v>
      </c>
      <c r="G1604" s="3" t="s">
        <v>25</v>
      </c>
      <c r="H1604" s="3" t="s">
        <v>25</v>
      </c>
      <c r="I1604" s="6">
        <v>44409</v>
      </c>
      <c r="J1604" s="4">
        <v>0</v>
      </c>
      <c r="K1604" s="4">
        <v>0</v>
      </c>
      <c r="L1604" s="4">
        <v>94.795000000000002</v>
      </c>
      <c r="M1604" s="4">
        <v>94.795000000000002</v>
      </c>
      <c r="N1604" s="4">
        <v>94.795000000000002</v>
      </c>
      <c r="O1604" s="4">
        <v>94.795000000000002</v>
      </c>
      <c r="P1604" s="4">
        <v>192</v>
      </c>
      <c r="Q1604" s="3" t="s">
        <v>26</v>
      </c>
      <c r="R1604" s="3">
        <v>0</v>
      </c>
      <c r="S1604" s="4">
        <v>0</v>
      </c>
      <c r="T1604" s="4">
        <v>34</v>
      </c>
      <c r="U1604" s="4">
        <v>53</v>
      </c>
      <c r="V1604" s="4">
        <f>IF(ISERROR(VLOOKUP($S$1604,'TAR FIN'!$A$1:$O$113,15,0)),0,VLOOKUP($S$1604,'TAR FIN'!$A$1:$O$113,15,0))</f>
        <v>0</v>
      </c>
      <c r="W1604" s="4">
        <f>IF(ISERROR(VLOOKUP($T$1604,'TAR FIN'!$A$1:$O$113,15,0)),0,VLOOKUP($T$1604,'TAR FIN'!$A$1:$O$113,15,0))</f>
        <v>304.64999999999998</v>
      </c>
      <c r="X1604" s="4">
        <f>IF(ISERROR(VLOOKUP($U$1604,'TAR FIN'!$A$1:$O$113,15,0)),0,VLOOKUP($U$1604,'TAR FIN'!$A$1:$O$113,15,0))</f>
        <v>206.13</v>
      </c>
      <c r="Y1604" s="4"/>
      <c r="Z1604" s="4">
        <f ca="1">('TUSD BE'!$AM$53+'TUSD BF'!$AM$53+'TUSD CVA'!$AM$53)*(1-CUSTOS!$M$38)</f>
        <v>386.47391324808456</v>
      </c>
      <c r="AA1604" s="4">
        <f>('TE BE'!$AA$32+'TE BF'!$AA$32+'TE CVA'!$AA$32)*(1-CUSTOS!$M$38)</f>
        <v>220.59856812487419</v>
      </c>
      <c r="AB1604" s="4">
        <f>$K$1604*$V$1604</f>
        <v>0</v>
      </c>
      <c r="AC1604" s="4">
        <f>$M$1604*$W$1604</f>
        <v>28879.296749999998</v>
      </c>
      <c r="AD1604" s="4">
        <f>$O$1604*$X$1604</f>
        <v>19540.093349999999</v>
      </c>
      <c r="AE1604" s="4">
        <f>$K$1604*$Y$1604</f>
        <v>0</v>
      </c>
      <c r="AF1604" s="4">
        <f ca="1">$M$1604*$Z$1604</f>
        <v>36635.794606352174</v>
      </c>
      <c r="AG1604" s="4">
        <f>$O$1604*$AA$1604</f>
        <v>20911.641265397448</v>
      </c>
    </row>
    <row r="1605" spans="1:33" ht="11.25" customHeight="1" x14ac:dyDescent="0.25">
      <c r="A1605" s="3" t="s">
        <v>28</v>
      </c>
      <c r="B1605" s="3" t="s">
        <v>44</v>
      </c>
      <c r="C1605" s="3" t="s">
        <v>23</v>
      </c>
      <c r="D1605" s="3" t="s">
        <v>45</v>
      </c>
      <c r="E1605" s="3" t="s">
        <v>25</v>
      </c>
      <c r="F1605" s="3" t="s">
        <v>25</v>
      </c>
      <c r="G1605" s="3" t="s">
        <v>25</v>
      </c>
      <c r="H1605" s="3" t="s">
        <v>25</v>
      </c>
      <c r="I1605" s="6">
        <v>44409</v>
      </c>
      <c r="J1605" s="4">
        <v>0</v>
      </c>
      <c r="K1605" s="4">
        <v>0</v>
      </c>
      <c r="L1605" s="4">
        <v>-0.97799999999999998</v>
      </c>
      <c r="M1605" s="4">
        <v>-0.97799999999999998</v>
      </c>
      <c r="N1605" s="4">
        <v>-0.97799999999999998</v>
      </c>
      <c r="O1605" s="4">
        <v>-0.97799999999999998</v>
      </c>
      <c r="P1605" s="4">
        <v>0</v>
      </c>
      <c r="Q1605" s="3" t="s">
        <v>26</v>
      </c>
      <c r="R1605" s="3">
        <v>0</v>
      </c>
      <c r="S1605" s="4">
        <v>0</v>
      </c>
      <c r="T1605" s="4">
        <v>34</v>
      </c>
      <c r="U1605" s="4">
        <v>53</v>
      </c>
      <c r="V1605" s="4">
        <f>IF(ISERROR(VLOOKUP($S$1605,'TAR FIN'!$A$1:$O$113,15,0)),0,VLOOKUP($S$1605,'TAR FIN'!$A$1:$O$113,15,0))</f>
        <v>0</v>
      </c>
      <c r="W1605" s="4">
        <f>IF(ISERROR(VLOOKUP($T$1605,'TAR FIN'!$A$1:$O$113,15,0)),0,VLOOKUP($T$1605,'TAR FIN'!$A$1:$O$113,15,0))</f>
        <v>304.64999999999998</v>
      </c>
      <c r="X1605" s="4">
        <f>IF(ISERROR(VLOOKUP($U$1605,'TAR FIN'!$A$1:$O$113,15,0)),0,VLOOKUP($U$1605,'TAR FIN'!$A$1:$O$113,15,0))</f>
        <v>206.13</v>
      </c>
      <c r="Y1605" s="4"/>
      <c r="Z1605" s="4">
        <f ca="1">('TUSD BE'!$AM$53+'TUSD BF'!$AM$53+'TUSD CVA'!$AM$53)*(1-CUSTOS!$M$38)</f>
        <v>386.47391324808456</v>
      </c>
      <c r="AA1605" s="4">
        <f>('TE BE'!$AA$32+'TE BF'!$AA$32+'TE CVA'!$AA$32)*(1-CUSTOS!$M$38)</f>
        <v>220.59856812487419</v>
      </c>
      <c r="AB1605" s="4">
        <f>$K$1605*$V$1605</f>
        <v>0</v>
      </c>
      <c r="AC1605" s="4">
        <f>$M$1605*$W$1605</f>
        <v>-297.9477</v>
      </c>
      <c r="AD1605" s="4">
        <f>$O$1605*$X$1605</f>
        <v>-201.59513999999999</v>
      </c>
      <c r="AE1605" s="4">
        <f>$K$1605*$Y$1605</f>
        <v>0</v>
      </c>
      <c r="AF1605" s="4">
        <f ca="1">$M$1605*$Z$1605</f>
        <v>-377.97148715662667</v>
      </c>
      <c r="AG1605" s="4">
        <f>$O$1605*$AA$1605</f>
        <v>-215.74539962612695</v>
      </c>
    </row>
    <row r="1606" spans="1:33" ht="11.25" customHeight="1" x14ac:dyDescent="0.25">
      <c r="A1606" s="3" t="s">
        <v>21</v>
      </c>
      <c r="B1606" s="3" t="s">
        <v>44</v>
      </c>
      <c r="C1606" s="3" t="s">
        <v>23</v>
      </c>
      <c r="D1606" s="3" t="s">
        <v>45</v>
      </c>
      <c r="E1606" s="3" t="s">
        <v>25</v>
      </c>
      <c r="F1606" s="3" t="s">
        <v>25</v>
      </c>
      <c r="G1606" s="3" t="s">
        <v>25</v>
      </c>
      <c r="H1606" s="3" t="s">
        <v>25</v>
      </c>
      <c r="I1606" s="6">
        <v>44440</v>
      </c>
      <c r="J1606" s="4">
        <v>0</v>
      </c>
      <c r="K1606" s="4">
        <v>0</v>
      </c>
      <c r="L1606" s="4">
        <v>4080.922</v>
      </c>
      <c r="M1606" s="4">
        <v>4080.922</v>
      </c>
      <c r="N1606" s="4">
        <v>4080.922</v>
      </c>
      <c r="O1606" s="4">
        <v>4080.922</v>
      </c>
      <c r="P1606" s="4">
        <v>22652</v>
      </c>
      <c r="Q1606" s="3" t="s">
        <v>26</v>
      </c>
      <c r="R1606" s="3">
        <v>0</v>
      </c>
      <c r="S1606" s="4">
        <v>0</v>
      </c>
      <c r="T1606" s="4">
        <v>34</v>
      </c>
      <c r="U1606" s="4">
        <v>53</v>
      </c>
      <c r="V1606" s="4">
        <f>IF(ISERROR(VLOOKUP($S$1606,'TAR FIN'!$A$1:$O$113,15,0)),0,VLOOKUP($S$1606,'TAR FIN'!$A$1:$O$113,15,0))</f>
        <v>0</v>
      </c>
      <c r="W1606" s="4">
        <f>IF(ISERROR(VLOOKUP($T$1606,'TAR FIN'!$A$1:$O$113,15,0)),0,VLOOKUP($T$1606,'TAR FIN'!$A$1:$O$113,15,0))</f>
        <v>304.64999999999998</v>
      </c>
      <c r="X1606" s="4">
        <f>IF(ISERROR(VLOOKUP($U$1606,'TAR FIN'!$A$1:$O$113,15,0)),0,VLOOKUP($U$1606,'TAR FIN'!$A$1:$O$113,15,0))</f>
        <v>206.13</v>
      </c>
      <c r="Y1606" s="4"/>
      <c r="Z1606" s="4">
        <f ca="1">('TUSD BE'!$AM$53+'TUSD BF'!$AM$53+'TUSD CVA'!$AM$53)*(1-CUSTOS!$M$38)</f>
        <v>386.47391324808456</v>
      </c>
      <c r="AA1606" s="4">
        <f>('TE BE'!$AA$32+'TE BF'!$AA$32+'TE CVA'!$AA$32)*(1-CUSTOS!$M$38)</f>
        <v>220.59856812487419</v>
      </c>
      <c r="AB1606" s="4">
        <f>$K$1606*$V$1606</f>
        <v>0</v>
      </c>
      <c r="AC1606" s="4">
        <f>$M$1606*$W$1606</f>
        <v>1243252.8872999998</v>
      </c>
      <c r="AD1606" s="4">
        <f>$O$1606*$X$1606</f>
        <v>841200.45186000003</v>
      </c>
      <c r="AE1606" s="4">
        <f>$K$1606*$Y$1606</f>
        <v>0</v>
      </c>
      <c r="AF1606" s="4">
        <f ca="1">$M$1606*$Z$1606</f>
        <v>1577169.8950001998</v>
      </c>
      <c r="AG1606" s="4">
        <f>$O$1606*$AA$1606</f>
        <v>900245.54982929782</v>
      </c>
    </row>
    <row r="1607" spans="1:33" ht="11.25" customHeight="1" x14ac:dyDescent="0.25">
      <c r="A1607" s="3" t="s">
        <v>27</v>
      </c>
      <c r="B1607" s="3" t="s">
        <v>44</v>
      </c>
      <c r="C1607" s="3" t="s">
        <v>23</v>
      </c>
      <c r="D1607" s="3" t="s">
        <v>45</v>
      </c>
      <c r="E1607" s="3" t="s">
        <v>25</v>
      </c>
      <c r="F1607" s="3" t="s">
        <v>25</v>
      </c>
      <c r="G1607" s="3" t="s">
        <v>25</v>
      </c>
      <c r="H1607" s="3" t="s">
        <v>25</v>
      </c>
      <c r="I1607" s="6">
        <v>44440</v>
      </c>
      <c r="J1607" s="4">
        <v>0</v>
      </c>
      <c r="K1607" s="4">
        <v>0</v>
      </c>
      <c r="L1607" s="4">
        <v>0.61199999999999999</v>
      </c>
      <c r="M1607" s="4">
        <v>0.61199999999999999</v>
      </c>
      <c r="N1607" s="4">
        <v>0.61199999999999999</v>
      </c>
      <c r="O1607" s="4">
        <v>0.61199999999999999</v>
      </c>
      <c r="P1607" s="4">
        <v>0</v>
      </c>
      <c r="Q1607" s="3" t="s">
        <v>26</v>
      </c>
      <c r="R1607" s="3">
        <v>0</v>
      </c>
      <c r="S1607" s="4">
        <v>0</v>
      </c>
      <c r="T1607" s="4">
        <v>34</v>
      </c>
      <c r="U1607" s="4">
        <v>53</v>
      </c>
      <c r="V1607" s="4">
        <f>IF(ISERROR(VLOOKUP($S$1607,'TAR FIN'!$A$1:$O$113,15,0)),0,VLOOKUP($S$1607,'TAR FIN'!$A$1:$O$113,15,0))</f>
        <v>0</v>
      </c>
      <c r="W1607" s="4">
        <f>IF(ISERROR(VLOOKUP($T$1607,'TAR FIN'!$A$1:$O$113,15,0)),0,VLOOKUP($T$1607,'TAR FIN'!$A$1:$O$113,15,0))</f>
        <v>304.64999999999998</v>
      </c>
      <c r="X1607" s="4">
        <f>IF(ISERROR(VLOOKUP($U$1607,'TAR FIN'!$A$1:$O$113,15,0)),0,VLOOKUP($U$1607,'TAR FIN'!$A$1:$O$113,15,0))</f>
        <v>206.13</v>
      </c>
      <c r="Y1607" s="4"/>
      <c r="Z1607" s="4">
        <f ca="1">('TUSD BE'!$AM$53+'TUSD BF'!$AM$53+'TUSD CVA'!$AM$53)*(1-CUSTOS!$M$38)</f>
        <v>386.47391324808456</v>
      </c>
      <c r="AA1607" s="4">
        <f>('TE BE'!$AA$32+'TE BF'!$AA$32+'TE CVA'!$AA$32)*(1-CUSTOS!$M$38)</f>
        <v>220.59856812487419</v>
      </c>
      <c r="AB1607" s="4">
        <f>$K$1607*$V$1607</f>
        <v>0</v>
      </c>
      <c r="AC1607" s="4">
        <f>$M$1607*$W$1607</f>
        <v>186.44579999999999</v>
      </c>
      <c r="AD1607" s="4">
        <f>$O$1607*$X$1607</f>
        <v>126.15155999999999</v>
      </c>
      <c r="AE1607" s="4">
        <f>$K$1607*$Y$1607</f>
        <v>0</v>
      </c>
      <c r="AF1607" s="4">
        <f ca="1">$M$1607*$Z$1607</f>
        <v>236.52203490782773</v>
      </c>
      <c r="AG1607" s="4">
        <f>$O$1607*$AA$1607</f>
        <v>135.006323692423</v>
      </c>
    </row>
    <row r="1608" spans="1:33" ht="11.25" customHeight="1" x14ac:dyDescent="0.25">
      <c r="A1608" s="3" t="s">
        <v>28</v>
      </c>
      <c r="B1608" s="3" t="s">
        <v>44</v>
      </c>
      <c r="C1608" s="3" t="s">
        <v>23</v>
      </c>
      <c r="D1608" s="3" t="s">
        <v>45</v>
      </c>
      <c r="E1608" s="3" t="s">
        <v>25</v>
      </c>
      <c r="F1608" s="3" t="s">
        <v>25</v>
      </c>
      <c r="G1608" s="3" t="s">
        <v>25</v>
      </c>
      <c r="H1608" s="3" t="s">
        <v>25</v>
      </c>
      <c r="I1608" s="6">
        <v>44440</v>
      </c>
      <c r="J1608" s="4">
        <v>0</v>
      </c>
      <c r="K1608" s="4">
        <v>0</v>
      </c>
      <c r="L1608" s="4">
        <v>84.361999999999995</v>
      </c>
      <c r="M1608" s="4">
        <v>84.361999999999995</v>
      </c>
      <c r="N1608" s="4">
        <v>84.361999999999995</v>
      </c>
      <c r="O1608" s="4">
        <v>84.361999999999995</v>
      </c>
      <c r="P1608" s="4">
        <v>205</v>
      </c>
      <c r="Q1608" s="3" t="s">
        <v>26</v>
      </c>
      <c r="R1608" s="3">
        <v>0</v>
      </c>
      <c r="S1608" s="4">
        <v>0</v>
      </c>
      <c r="T1608" s="4">
        <v>34</v>
      </c>
      <c r="U1608" s="4">
        <v>53</v>
      </c>
      <c r="V1608" s="4">
        <f>IF(ISERROR(VLOOKUP($S$1608,'TAR FIN'!$A$1:$O$113,15,0)),0,VLOOKUP($S$1608,'TAR FIN'!$A$1:$O$113,15,0))</f>
        <v>0</v>
      </c>
      <c r="W1608" s="4">
        <f>IF(ISERROR(VLOOKUP($T$1608,'TAR FIN'!$A$1:$O$113,15,0)),0,VLOOKUP($T$1608,'TAR FIN'!$A$1:$O$113,15,0))</f>
        <v>304.64999999999998</v>
      </c>
      <c r="X1608" s="4">
        <f>IF(ISERROR(VLOOKUP($U$1608,'TAR FIN'!$A$1:$O$113,15,0)),0,VLOOKUP($U$1608,'TAR FIN'!$A$1:$O$113,15,0))</f>
        <v>206.13</v>
      </c>
      <c r="Y1608" s="4"/>
      <c r="Z1608" s="4">
        <f ca="1">('TUSD BE'!$AM$53+'TUSD BF'!$AM$53+'TUSD CVA'!$AM$53)*(1-CUSTOS!$M$38)</f>
        <v>386.47391324808456</v>
      </c>
      <c r="AA1608" s="4">
        <f>('TE BE'!$AA$32+'TE BF'!$AA$32+'TE CVA'!$AA$32)*(1-CUSTOS!$M$38)</f>
        <v>220.59856812487419</v>
      </c>
      <c r="AB1608" s="4">
        <f>$K$1608*$V$1608</f>
        <v>0</v>
      </c>
      <c r="AC1608" s="4">
        <f>$M$1608*$W$1608</f>
        <v>25700.883299999998</v>
      </c>
      <c r="AD1608" s="4">
        <f>$O$1608*$X$1608</f>
        <v>17389.539059999999</v>
      </c>
      <c r="AE1608" s="4">
        <f>$K$1608*$Y$1608</f>
        <v>0</v>
      </c>
      <c r="AF1608" s="4">
        <f ca="1">$M$1608*$Z$1608</f>
        <v>32603.712269434909</v>
      </c>
      <c r="AG1608" s="4">
        <f>$O$1608*$AA$1608</f>
        <v>18610.136404150635</v>
      </c>
    </row>
    <row r="1609" spans="1:33" ht="11.25" customHeight="1" x14ac:dyDescent="0.25">
      <c r="A1609" s="3" t="s">
        <v>21</v>
      </c>
      <c r="B1609" s="3" t="s">
        <v>44</v>
      </c>
      <c r="C1609" s="3" t="s">
        <v>23</v>
      </c>
      <c r="D1609" s="3" t="s">
        <v>45</v>
      </c>
      <c r="E1609" s="3" t="s">
        <v>25</v>
      </c>
      <c r="F1609" s="3" t="s">
        <v>25</v>
      </c>
      <c r="G1609" s="3" t="s">
        <v>25</v>
      </c>
      <c r="H1609" s="3" t="s">
        <v>25</v>
      </c>
      <c r="I1609" s="6">
        <v>44470</v>
      </c>
      <c r="J1609" s="4">
        <v>0</v>
      </c>
      <c r="K1609" s="4">
        <v>0</v>
      </c>
      <c r="L1609" s="4">
        <v>4730.3190000000004</v>
      </c>
      <c r="M1609" s="4">
        <v>4730.3190000000004</v>
      </c>
      <c r="N1609" s="4">
        <v>4730.3190000000004</v>
      </c>
      <c r="O1609" s="4">
        <v>4730.3190000000004</v>
      </c>
      <c r="P1609" s="4">
        <v>22467</v>
      </c>
      <c r="Q1609" s="3" t="s">
        <v>26</v>
      </c>
      <c r="R1609" s="3">
        <v>0</v>
      </c>
      <c r="S1609" s="4">
        <v>0</v>
      </c>
      <c r="T1609" s="4">
        <v>34</v>
      </c>
      <c r="U1609" s="4">
        <v>53</v>
      </c>
      <c r="V1609" s="4">
        <f>IF(ISERROR(VLOOKUP($S$1609,'TAR FIN'!$A$1:$O$113,15,0)),0,VLOOKUP($S$1609,'TAR FIN'!$A$1:$O$113,15,0))</f>
        <v>0</v>
      </c>
      <c r="W1609" s="4">
        <f>IF(ISERROR(VLOOKUP($T$1609,'TAR FIN'!$A$1:$O$113,15,0)),0,VLOOKUP($T$1609,'TAR FIN'!$A$1:$O$113,15,0))</f>
        <v>304.64999999999998</v>
      </c>
      <c r="X1609" s="4">
        <f>IF(ISERROR(VLOOKUP($U$1609,'TAR FIN'!$A$1:$O$113,15,0)),0,VLOOKUP($U$1609,'TAR FIN'!$A$1:$O$113,15,0))</f>
        <v>206.13</v>
      </c>
      <c r="Y1609" s="4"/>
      <c r="Z1609" s="4">
        <f ca="1">('TUSD BE'!$AM$53+'TUSD BF'!$AM$53+'TUSD CVA'!$AM$53)*(1-CUSTOS!$M$38)</f>
        <v>386.47391324808456</v>
      </c>
      <c r="AA1609" s="4">
        <f>('TE BE'!$AA$32+'TE BF'!$AA$32+'TE CVA'!$AA$32)*(1-CUSTOS!$M$38)</f>
        <v>220.59856812487419</v>
      </c>
      <c r="AB1609" s="4">
        <f>$K$1609*$V$1609</f>
        <v>0</v>
      </c>
      <c r="AC1609" s="4">
        <f>$M$1609*$W$1609</f>
        <v>1441091.6833500001</v>
      </c>
      <c r="AD1609" s="4">
        <f>$O$1609*$X$1609</f>
        <v>975060.65547000011</v>
      </c>
      <c r="AE1609" s="4">
        <f>$K$1609*$Y$1609</f>
        <v>0</v>
      </c>
      <c r="AF1609" s="4">
        <f ca="1">$M$1609*$Z$1609</f>
        <v>1828144.8948417662</v>
      </c>
      <c r="AG1609" s="4">
        <f>$O$1609*$AA$1609</f>
        <v>1043501.5981738869</v>
      </c>
    </row>
    <row r="1610" spans="1:33" ht="11.25" customHeight="1" x14ac:dyDescent="0.25">
      <c r="A1610" s="3" t="s">
        <v>27</v>
      </c>
      <c r="B1610" s="3" t="s">
        <v>44</v>
      </c>
      <c r="C1610" s="3" t="s">
        <v>23</v>
      </c>
      <c r="D1610" s="3" t="s">
        <v>45</v>
      </c>
      <c r="E1610" s="3" t="s">
        <v>25</v>
      </c>
      <c r="F1610" s="3" t="s">
        <v>25</v>
      </c>
      <c r="G1610" s="3" t="s">
        <v>25</v>
      </c>
      <c r="H1610" s="3" t="s">
        <v>25</v>
      </c>
      <c r="I1610" s="6">
        <v>44470</v>
      </c>
      <c r="J1610" s="4">
        <v>0</v>
      </c>
      <c r="K1610" s="4">
        <v>0</v>
      </c>
      <c r="L1610" s="4">
        <v>-71.680000000000007</v>
      </c>
      <c r="M1610" s="4">
        <v>-71.680000000000007</v>
      </c>
      <c r="N1610" s="4">
        <v>-71.680000000000007</v>
      </c>
      <c r="O1610" s="4">
        <v>-71.680000000000007</v>
      </c>
      <c r="P1610" s="4">
        <v>-3</v>
      </c>
      <c r="Q1610" s="3" t="s">
        <v>26</v>
      </c>
      <c r="R1610" s="3">
        <v>0</v>
      </c>
      <c r="S1610" s="4">
        <v>0</v>
      </c>
      <c r="T1610" s="4">
        <v>34</v>
      </c>
      <c r="U1610" s="4">
        <v>53</v>
      </c>
      <c r="V1610" s="4">
        <f>IF(ISERROR(VLOOKUP($S$1610,'TAR FIN'!$A$1:$O$113,15,0)),0,VLOOKUP($S$1610,'TAR FIN'!$A$1:$O$113,15,0))</f>
        <v>0</v>
      </c>
      <c r="W1610" s="4">
        <f>IF(ISERROR(VLOOKUP($T$1610,'TAR FIN'!$A$1:$O$113,15,0)),0,VLOOKUP($T$1610,'TAR FIN'!$A$1:$O$113,15,0))</f>
        <v>304.64999999999998</v>
      </c>
      <c r="X1610" s="4">
        <f>IF(ISERROR(VLOOKUP($U$1610,'TAR FIN'!$A$1:$O$113,15,0)),0,VLOOKUP($U$1610,'TAR FIN'!$A$1:$O$113,15,0))</f>
        <v>206.13</v>
      </c>
      <c r="Y1610" s="4"/>
      <c r="Z1610" s="4">
        <f ca="1">('TUSD BE'!$AM$53+'TUSD BF'!$AM$53+'TUSD CVA'!$AM$53)*(1-CUSTOS!$M$38)</f>
        <v>386.47391324808456</v>
      </c>
      <c r="AA1610" s="4">
        <f>('TE BE'!$AA$32+'TE BF'!$AA$32+'TE CVA'!$AA$32)*(1-CUSTOS!$M$38)</f>
        <v>220.59856812487419</v>
      </c>
      <c r="AB1610" s="4">
        <f>$K$1610*$V$1610</f>
        <v>0</v>
      </c>
      <c r="AC1610" s="4">
        <f>$M$1610*$W$1610</f>
        <v>-21837.312000000002</v>
      </c>
      <c r="AD1610" s="4">
        <f>$O$1610*$X$1610</f>
        <v>-14775.398400000002</v>
      </c>
      <c r="AE1610" s="4">
        <f>$K$1610*$Y$1610</f>
        <v>0</v>
      </c>
      <c r="AF1610" s="4">
        <f ca="1">$M$1610*$Z$1610</f>
        <v>-27702.450101622704</v>
      </c>
      <c r="AG1610" s="4">
        <f>$O$1610*$AA$1610</f>
        <v>-15812.505363190983</v>
      </c>
    </row>
    <row r="1611" spans="1:33" ht="11.25" customHeight="1" x14ac:dyDescent="0.25">
      <c r="A1611" s="3" t="s">
        <v>28</v>
      </c>
      <c r="B1611" s="3" t="s">
        <v>44</v>
      </c>
      <c r="C1611" s="3" t="s">
        <v>23</v>
      </c>
      <c r="D1611" s="3" t="s">
        <v>45</v>
      </c>
      <c r="E1611" s="3" t="s">
        <v>25</v>
      </c>
      <c r="F1611" s="3" t="s">
        <v>25</v>
      </c>
      <c r="G1611" s="3" t="s">
        <v>25</v>
      </c>
      <c r="H1611" s="3" t="s">
        <v>25</v>
      </c>
      <c r="I1611" s="6">
        <v>44470</v>
      </c>
      <c r="J1611" s="4">
        <v>0</v>
      </c>
      <c r="K1611" s="4">
        <v>0</v>
      </c>
      <c r="L1611" s="4">
        <v>64.623000000000005</v>
      </c>
      <c r="M1611" s="4">
        <v>64.623000000000005</v>
      </c>
      <c r="N1611" s="4">
        <v>64.623000000000005</v>
      </c>
      <c r="O1611" s="4">
        <v>64.623000000000005</v>
      </c>
      <c r="P1611" s="4">
        <v>217</v>
      </c>
      <c r="Q1611" s="3" t="s">
        <v>26</v>
      </c>
      <c r="R1611" s="3">
        <v>0</v>
      </c>
      <c r="S1611" s="4">
        <v>0</v>
      </c>
      <c r="T1611" s="4">
        <v>34</v>
      </c>
      <c r="U1611" s="4">
        <v>53</v>
      </c>
      <c r="V1611" s="4">
        <f>IF(ISERROR(VLOOKUP($S$1611,'TAR FIN'!$A$1:$O$113,15,0)),0,VLOOKUP($S$1611,'TAR FIN'!$A$1:$O$113,15,0))</f>
        <v>0</v>
      </c>
      <c r="W1611" s="4">
        <f>IF(ISERROR(VLOOKUP($T$1611,'TAR FIN'!$A$1:$O$113,15,0)),0,VLOOKUP($T$1611,'TAR FIN'!$A$1:$O$113,15,0))</f>
        <v>304.64999999999998</v>
      </c>
      <c r="X1611" s="4">
        <f>IF(ISERROR(VLOOKUP($U$1611,'TAR FIN'!$A$1:$O$113,15,0)),0,VLOOKUP($U$1611,'TAR FIN'!$A$1:$O$113,15,0))</f>
        <v>206.13</v>
      </c>
      <c r="Y1611" s="4"/>
      <c r="Z1611" s="4">
        <f ca="1">('TUSD BE'!$AM$53+'TUSD BF'!$AM$53+'TUSD CVA'!$AM$53)*(1-CUSTOS!$M$38)</f>
        <v>386.47391324808456</v>
      </c>
      <c r="AA1611" s="4">
        <f>('TE BE'!$AA$32+'TE BF'!$AA$32+'TE CVA'!$AA$32)*(1-CUSTOS!$M$38)</f>
        <v>220.59856812487419</v>
      </c>
      <c r="AB1611" s="4">
        <f>$K$1611*$V$1611</f>
        <v>0</v>
      </c>
      <c r="AC1611" s="4">
        <f>$M$1611*$W$1611</f>
        <v>19687.396949999998</v>
      </c>
      <c r="AD1611" s="4">
        <f>$O$1611*$X$1611</f>
        <v>13320.73899</v>
      </c>
      <c r="AE1611" s="4">
        <f>$K$1611*$Y$1611</f>
        <v>0</v>
      </c>
      <c r="AF1611" s="4">
        <f ca="1">$M$1611*$Z$1611</f>
        <v>24975.103695830971</v>
      </c>
      <c r="AG1611" s="4">
        <f>$O$1611*$AA$1611</f>
        <v>14255.741267933747</v>
      </c>
    </row>
    <row r="1612" spans="1:33" ht="11.25" customHeight="1" x14ac:dyDescent="0.25">
      <c r="A1612" s="3" t="s">
        <v>21</v>
      </c>
      <c r="B1612" s="3" t="s">
        <v>44</v>
      </c>
      <c r="C1612" s="3" t="s">
        <v>23</v>
      </c>
      <c r="D1612" s="3" t="s">
        <v>45</v>
      </c>
      <c r="E1612" s="3" t="s">
        <v>25</v>
      </c>
      <c r="F1612" s="3" t="s">
        <v>25</v>
      </c>
      <c r="G1612" s="3" t="s">
        <v>25</v>
      </c>
      <c r="H1612" s="3" t="s">
        <v>25</v>
      </c>
      <c r="I1612" s="6">
        <v>44501</v>
      </c>
      <c r="J1612" s="4">
        <v>0</v>
      </c>
      <c r="K1612" s="4">
        <v>0</v>
      </c>
      <c r="L1612" s="4">
        <v>4794.9560000000001</v>
      </c>
      <c r="M1612" s="4">
        <v>4794.9560000000001</v>
      </c>
      <c r="N1612" s="4">
        <v>4794.9560000000001</v>
      </c>
      <c r="O1612" s="4">
        <v>4794.9560000000001</v>
      </c>
      <c r="P1612" s="4">
        <v>22387</v>
      </c>
      <c r="Q1612" s="3" t="s">
        <v>26</v>
      </c>
      <c r="R1612" s="3">
        <v>0</v>
      </c>
      <c r="S1612" s="4">
        <v>0</v>
      </c>
      <c r="T1612" s="4">
        <v>34</v>
      </c>
      <c r="U1612" s="4">
        <v>53</v>
      </c>
      <c r="V1612" s="4">
        <f>IF(ISERROR(VLOOKUP($S$1612,'TAR FIN'!$A$1:$O$113,15,0)),0,VLOOKUP($S$1612,'TAR FIN'!$A$1:$O$113,15,0))</f>
        <v>0</v>
      </c>
      <c r="W1612" s="4">
        <f>IF(ISERROR(VLOOKUP($T$1612,'TAR FIN'!$A$1:$O$113,15,0)),0,VLOOKUP($T$1612,'TAR FIN'!$A$1:$O$113,15,0))</f>
        <v>304.64999999999998</v>
      </c>
      <c r="X1612" s="4">
        <f>IF(ISERROR(VLOOKUP($U$1612,'TAR FIN'!$A$1:$O$113,15,0)),0,VLOOKUP($U$1612,'TAR FIN'!$A$1:$O$113,15,0))</f>
        <v>206.13</v>
      </c>
      <c r="Y1612" s="4"/>
      <c r="Z1612" s="4">
        <f ca="1">('TUSD BE'!$AM$53+'TUSD BF'!$AM$53+'TUSD CVA'!$AM$53)*(1-CUSTOS!$M$38)</f>
        <v>386.47391324808456</v>
      </c>
      <c r="AA1612" s="4">
        <f>('TE BE'!$AA$32+'TE BF'!$AA$32+'TE CVA'!$AA$32)*(1-CUSTOS!$M$38)</f>
        <v>220.59856812487419</v>
      </c>
      <c r="AB1612" s="4">
        <f>$K$1612*$V$1612</f>
        <v>0</v>
      </c>
      <c r="AC1612" s="4">
        <f>$M$1612*$W$1612</f>
        <v>1460783.3454</v>
      </c>
      <c r="AD1612" s="4">
        <f>$O$1612*$X$1612</f>
        <v>988384.28027999995</v>
      </c>
      <c r="AE1612" s="4">
        <f>$K$1612*$Y$1612</f>
        <v>0</v>
      </c>
      <c r="AF1612" s="4">
        <f ca="1">$M$1612*$Z$1612</f>
        <v>1853125.4091723827</v>
      </c>
      <c r="AG1612" s="4">
        <f>$O$1612*$AA$1612</f>
        <v>1057760.4278217743</v>
      </c>
    </row>
    <row r="1613" spans="1:33" ht="11.25" customHeight="1" x14ac:dyDescent="0.25">
      <c r="A1613" s="3" t="s">
        <v>27</v>
      </c>
      <c r="B1613" s="3" t="s">
        <v>44</v>
      </c>
      <c r="C1613" s="3" t="s">
        <v>23</v>
      </c>
      <c r="D1613" s="3" t="s">
        <v>45</v>
      </c>
      <c r="E1613" s="3" t="s">
        <v>25</v>
      </c>
      <c r="F1613" s="3" t="s">
        <v>25</v>
      </c>
      <c r="G1613" s="3" t="s">
        <v>25</v>
      </c>
      <c r="H1613" s="3" t="s">
        <v>25</v>
      </c>
      <c r="I1613" s="6">
        <v>44501</v>
      </c>
      <c r="J1613" s="4">
        <v>0</v>
      </c>
      <c r="K1613" s="4">
        <v>0</v>
      </c>
      <c r="L1613" s="4">
        <v>-39.015999999999998</v>
      </c>
      <c r="M1613" s="4">
        <v>-39.015999999999998</v>
      </c>
      <c r="N1613" s="4">
        <v>-39.015999999999998</v>
      </c>
      <c r="O1613" s="4">
        <v>-39.015999999999998</v>
      </c>
      <c r="P1613" s="4">
        <v>-2</v>
      </c>
      <c r="Q1613" s="3" t="s">
        <v>26</v>
      </c>
      <c r="R1613" s="3">
        <v>0</v>
      </c>
      <c r="S1613" s="4">
        <v>0</v>
      </c>
      <c r="T1613" s="4">
        <v>34</v>
      </c>
      <c r="U1613" s="4">
        <v>53</v>
      </c>
      <c r="V1613" s="4">
        <f>IF(ISERROR(VLOOKUP($S$1613,'TAR FIN'!$A$1:$O$113,15,0)),0,VLOOKUP($S$1613,'TAR FIN'!$A$1:$O$113,15,0))</f>
        <v>0</v>
      </c>
      <c r="W1613" s="4">
        <f>IF(ISERROR(VLOOKUP($T$1613,'TAR FIN'!$A$1:$O$113,15,0)),0,VLOOKUP($T$1613,'TAR FIN'!$A$1:$O$113,15,0))</f>
        <v>304.64999999999998</v>
      </c>
      <c r="X1613" s="4">
        <f>IF(ISERROR(VLOOKUP($U$1613,'TAR FIN'!$A$1:$O$113,15,0)),0,VLOOKUP($U$1613,'TAR FIN'!$A$1:$O$113,15,0))</f>
        <v>206.13</v>
      </c>
      <c r="Y1613" s="4"/>
      <c r="Z1613" s="4">
        <f ca="1">('TUSD BE'!$AM$53+'TUSD BF'!$AM$53+'TUSD CVA'!$AM$53)*(1-CUSTOS!$M$38)</f>
        <v>386.47391324808456</v>
      </c>
      <c r="AA1613" s="4">
        <f>('TE BE'!$AA$32+'TE BF'!$AA$32+'TE CVA'!$AA$32)*(1-CUSTOS!$M$38)</f>
        <v>220.59856812487419</v>
      </c>
      <c r="AB1613" s="4">
        <f>$K$1613*$V$1613</f>
        <v>0</v>
      </c>
      <c r="AC1613" s="4">
        <f>$M$1613*$W$1613</f>
        <v>-11886.224399999999</v>
      </c>
      <c r="AD1613" s="4">
        <f>$O$1613*$X$1613</f>
        <v>-8042.3680799999993</v>
      </c>
      <c r="AE1613" s="4">
        <f>$K$1613*$Y$1613</f>
        <v>0</v>
      </c>
      <c r="AF1613" s="4">
        <f ca="1">$M$1613*$Z$1613</f>
        <v>-15078.666199287267</v>
      </c>
      <c r="AG1613" s="4">
        <f>$O$1613*$AA$1613</f>
        <v>-8606.8737339600902</v>
      </c>
    </row>
    <row r="1614" spans="1:33" ht="11.25" customHeight="1" x14ac:dyDescent="0.25">
      <c r="A1614" s="3" t="s">
        <v>28</v>
      </c>
      <c r="B1614" s="3" t="s">
        <v>44</v>
      </c>
      <c r="C1614" s="3" t="s">
        <v>23</v>
      </c>
      <c r="D1614" s="3" t="s">
        <v>45</v>
      </c>
      <c r="E1614" s="3" t="s">
        <v>25</v>
      </c>
      <c r="F1614" s="3" t="s">
        <v>25</v>
      </c>
      <c r="G1614" s="3" t="s">
        <v>25</v>
      </c>
      <c r="H1614" s="3" t="s">
        <v>25</v>
      </c>
      <c r="I1614" s="6">
        <v>44501</v>
      </c>
      <c r="J1614" s="4">
        <v>0</v>
      </c>
      <c r="K1614" s="4">
        <v>0</v>
      </c>
      <c r="L1614" s="4">
        <v>151.994</v>
      </c>
      <c r="M1614" s="4">
        <v>151.994</v>
      </c>
      <c r="N1614" s="4">
        <v>151.994</v>
      </c>
      <c r="O1614" s="4">
        <v>151.994</v>
      </c>
      <c r="P1614" s="4">
        <v>224</v>
      </c>
      <c r="Q1614" s="3" t="s">
        <v>26</v>
      </c>
      <c r="R1614" s="3">
        <v>0</v>
      </c>
      <c r="S1614" s="4">
        <v>0</v>
      </c>
      <c r="T1614" s="4">
        <v>34</v>
      </c>
      <c r="U1614" s="4">
        <v>53</v>
      </c>
      <c r="V1614" s="4">
        <f>IF(ISERROR(VLOOKUP($S$1614,'TAR FIN'!$A$1:$O$113,15,0)),0,VLOOKUP($S$1614,'TAR FIN'!$A$1:$O$113,15,0))</f>
        <v>0</v>
      </c>
      <c r="W1614" s="4">
        <f>IF(ISERROR(VLOOKUP($T$1614,'TAR FIN'!$A$1:$O$113,15,0)),0,VLOOKUP($T$1614,'TAR FIN'!$A$1:$O$113,15,0))</f>
        <v>304.64999999999998</v>
      </c>
      <c r="X1614" s="4">
        <f>IF(ISERROR(VLOOKUP($U$1614,'TAR FIN'!$A$1:$O$113,15,0)),0,VLOOKUP($U$1614,'TAR FIN'!$A$1:$O$113,15,0))</f>
        <v>206.13</v>
      </c>
      <c r="Y1614" s="4"/>
      <c r="Z1614" s="4">
        <f ca="1">('TUSD BE'!$AM$53+'TUSD BF'!$AM$53+'TUSD CVA'!$AM$53)*(1-CUSTOS!$M$38)</f>
        <v>386.47391324808456</v>
      </c>
      <c r="AA1614" s="4">
        <f>('TE BE'!$AA$32+'TE BF'!$AA$32+'TE CVA'!$AA$32)*(1-CUSTOS!$M$38)</f>
        <v>220.59856812487419</v>
      </c>
      <c r="AB1614" s="4">
        <f>$K$1614*$V$1614</f>
        <v>0</v>
      </c>
      <c r="AC1614" s="4">
        <f>$M$1614*$W$1614</f>
        <v>46304.972099999999</v>
      </c>
      <c r="AD1614" s="4">
        <f>$O$1614*$X$1614</f>
        <v>31330.523219999999</v>
      </c>
      <c r="AE1614" s="4">
        <f>$K$1614*$Y$1614</f>
        <v>0</v>
      </c>
      <c r="AF1614" s="4">
        <f ca="1">$M$1614*$Z$1614</f>
        <v>58741.715970229365</v>
      </c>
      <c r="AG1614" s="4">
        <f>$O$1614*$AA$1614</f>
        <v>33529.65876357213</v>
      </c>
    </row>
    <row r="1615" spans="1:33" ht="11.25" customHeight="1" x14ac:dyDescent="0.25">
      <c r="A1615" s="3" t="s">
        <v>21</v>
      </c>
      <c r="B1615" s="3" t="s">
        <v>44</v>
      </c>
      <c r="C1615" s="3" t="s">
        <v>23</v>
      </c>
      <c r="D1615" s="3" t="s">
        <v>45</v>
      </c>
      <c r="E1615" s="3" t="s">
        <v>25</v>
      </c>
      <c r="F1615" s="3" t="s">
        <v>25</v>
      </c>
      <c r="G1615" s="3" t="s">
        <v>25</v>
      </c>
      <c r="H1615" s="3" t="s">
        <v>25</v>
      </c>
      <c r="I1615" s="6">
        <v>44531</v>
      </c>
      <c r="J1615" s="4">
        <v>0</v>
      </c>
      <c r="K1615" s="4">
        <v>0</v>
      </c>
      <c r="L1615" s="4">
        <v>5064.9989999999998</v>
      </c>
      <c r="M1615" s="4">
        <v>5064.9989999999998</v>
      </c>
      <c r="N1615" s="4">
        <v>5064.9989999999998</v>
      </c>
      <c r="O1615" s="4">
        <v>5064.9989999999998</v>
      </c>
      <c r="P1615" s="4">
        <v>22501</v>
      </c>
      <c r="Q1615" s="3" t="s">
        <v>26</v>
      </c>
      <c r="R1615" s="3">
        <v>0</v>
      </c>
      <c r="S1615" s="4">
        <v>0</v>
      </c>
      <c r="T1615" s="4">
        <v>34</v>
      </c>
      <c r="U1615" s="4">
        <v>53</v>
      </c>
      <c r="V1615" s="4">
        <f>IF(ISERROR(VLOOKUP($S$1615,'TAR FIN'!$A$1:$O$113,15,0)),0,VLOOKUP($S$1615,'TAR FIN'!$A$1:$O$113,15,0))</f>
        <v>0</v>
      </c>
      <c r="W1615" s="4">
        <f>IF(ISERROR(VLOOKUP($T$1615,'TAR FIN'!$A$1:$O$113,15,0)),0,VLOOKUP($T$1615,'TAR FIN'!$A$1:$O$113,15,0))</f>
        <v>304.64999999999998</v>
      </c>
      <c r="X1615" s="4">
        <f>IF(ISERROR(VLOOKUP($U$1615,'TAR FIN'!$A$1:$O$113,15,0)),0,VLOOKUP($U$1615,'TAR FIN'!$A$1:$O$113,15,0))</f>
        <v>206.13</v>
      </c>
      <c r="Y1615" s="4"/>
      <c r="Z1615" s="4">
        <f ca="1">('TUSD BE'!$AM$53+'TUSD BF'!$AM$53+'TUSD CVA'!$AM$53)*(1-CUSTOS!$M$38)</f>
        <v>386.47391324808456</v>
      </c>
      <c r="AA1615" s="4">
        <f>('TE BE'!$AA$32+'TE BF'!$AA$32+'TE CVA'!$AA$32)*(1-CUSTOS!$M$38)</f>
        <v>220.59856812487419</v>
      </c>
      <c r="AB1615" s="4">
        <f>$K$1615*$V$1615</f>
        <v>0</v>
      </c>
      <c r="AC1615" s="4">
        <f>$M$1615*$W$1615</f>
        <v>1543051.9453499999</v>
      </c>
      <c r="AD1615" s="4">
        <f>$O$1615*$X$1615</f>
        <v>1044048.2438699999</v>
      </c>
      <c r="AE1615" s="4">
        <f>$K$1615*$Y$1615</f>
        <v>0</v>
      </c>
      <c r="AF1615" s="4">
        <f ca="1">$M$1615*$Z$1615</f>
        <v>1957489.9841276349</v>
      </c>
      <c r="AG1615" s="4">
        <f>$O$1615*$AA$1615</f>
        <v>1117331.5269539196</v>
      </c>
    </row>
    <row r="1616" spans="1:33" ht="11.25" customHeight="1" x14ac:dyDescent="0.25">
      <c r="A1616" s="3" t="s">
        <v>27</v>
      </c>
      <c r="B1616" s="3" t="s">
        <v>44</v>
      </c>
      <c r="C1616" s="3" t="s">
        <v>23</v>
      </c>
      <c r="D1616" s="3" t="s">
        <v>45</v>
      </c>
      <c r="E1616" s="3" t="s">
        <v>25</v>
      </c>
      <c r="F1616" s="3" t="s">
        <v>25</v>
      </c>
      <c r="G1616" s="3" t="s">
        <v>25</v>
      </c>
      <c r="H1616" s="3" t="s">
        <v>25</v>
      </c>
      <c r="I1616" s="6">
        <v>44531</v>
      </c>
      <c r="J1616" s="4">
        <v>0</v>
      </c>
      <c r="K1616" s="4">
        <v>0</v>
      </c>
      <c r="L1616" s="4">
        <v>-314.42899999999997</v>
      </c>
      <c r="M1616" s="4">
        <v>-314.42899999999997</v>
      </c>
      <c r="N1616" s="4">
        <v>-314.42899999999997</v>
      </c>
      <c r="O1616" s="4">
        <v>-314.42899999999997</v>
      </c>
      <c r="P1616" s="4">
        <v>-55</v>
      </c>
      <c r="Q1616" s="3" t="s">
        <v>26</v>
      </c>
      <c r="R1616" s="3">
        <v>0</v>
      </c>
      <c r="S1616" s="4">
        <v>0</v>
      </c>
      <c r="T1616" s="4">
        <v>34</v>
      </c>
      <c r="U1616" s="4">
        <v>53</v>
      </c>
      <c r="V1616" s="4">
        <f>IF(ISERROR(VLOOKUP($S$1616,'TAR FIN'!$A$1:$O$113,15,0)),0,VLOOKUP($S$1616,'TAR FIN'!$A$1:$O$113,15,0))</f>
        <v>0</v>
      </c>
      <c r="W1616" s="4">
        <f>IF(ISERROR(VLOOKUP($T$1616,'TAR FIN'!$A$1:$O$113,15,0)),0,VLOOKUP($T$1616,'TAR FIN'!$A$1:$O$113,15,0))</f>
        <v>304.64999999999998</v>
      </c>
      <c r="X1616" s="4">
        <f>IF(ISERROR(VLOOKUP($U$1616,'TAR FIN'!$A$1:$O$113,15,0)),0,VLOOKUP($U$1616,'TAR FIN'!$A$1:$O$113,15,0))</f>
        <v>206.13</v>
      </c>
      <c r="Y1616" s="4"/>
      <c r="Z1616" s="4">
        <f ca="1">('TUSD BE'!$AM$53+'TUSD BF'!$AM$53+'TUSD CVA'!$AM$53)*(1-CUSTOS!$M$38)</f>
        <v>386.47391324808456</v>
      </c>
      <c r="AA1616" s="4">
        <f>('TE BE'!$AA$32+'TE BF'!$AA$32+'TE CVA'!$AA$32)*(1-CUSTOS!$M$38)</f>
        <v>220.59856812487419</v>
      </c>
      <c r="AB1616" s="4">
        <f>$K$1616*$V$1616</f>
        <v>0</v>
      </c>
      <c r="AC1616" s="4">
        <f>$M$1616*$W$1616</f>
        <v>-95790.794849999991</v>
      </c>
      <c r="AD1616" s="4">
        <f>$O$1616*$X$1616</f>
        <v>-64813.249769999995</v>
      </c>
      <c r="AE1616" s="4">
        <f>$K$1616*$Y$1616</f>
        <v>0</v>
      </c>
      <c r="AF1616" s="4">
        <f ca="1">$M$1616*$Z$1616</f>
        <v>-121518.60606868197</v>
      </c>
      <c r="AG1616" s="4">
        <f>$O$1616*$AA$1616</f>
        <v>-69362.587176936067</v>
      </c>
    </row>
    <row r="1617" spans="1:33" ht="11.25" customHeight="1" x14ac:dyDescent="0.25">
      <c r="A1617" s="3" t="s">
        <v>28</v>
      </c>
      <c r="B1617" s="3" t="s">
        <v>44</v>
      </c>
      <c r="C1617" s="3" t="s">
        <v>23</v>
      </c>
      <c r="D1617" s="3" t="s">
        <v>45</v>
      </c>
      <c r="E1617" s="3" t="s">
        <v>25</v>
      </c>
      <c r="F1617" s="3" t="s">
        <v>25</v>
      </c>
      <c r="G1617" s="3" t="s">
        <v>25</v>
      </c>
      <c r="H1617" s="3" t="s">
        <v>25</v>
      </c>
      <c r="I1617" s="6">
        <v>44531</v>
      </c>
      <c r="J1617" s="4">
        <v>0</v>
      </c>
      <c r="K1617" s="4">
        <v>0</v>
      </c>
      <c r="L1617" s="4">
        <v>153.38999999999999</v>
      </c>
      <c r="M1617" s="4">
        <v>153.38999999999999</v>
      </c>
      <c r="N1617" s="4">
        <v>153.38999999999999</v>
      </c>
      <c r="O1617" s="4">
        <v>153.38999999999999</v>
      </c>
      <c r="P1617" s="4">
        <v>233</v>
      </c>
      <c r="Q1617" s="3" t="s">
        <v>26</v>
      </c>
      <c r="R1617" s="3">
        <v>0</v>
      </c>
      <c r="S1617" s="4">
        <v>0</v>
      </c>
      <c r="T1617" s="4">
        <v>34</v>
      </c>
      <c r="U1617" s="4">
        <v>53</v>
      </c>
      <c r="V1617" s="4">
        <f>IF(ISERROR(VLOOKUP($S$1617,'TAR FIN'!$A$1:$O$113,15,0)),0,VLOOKUP($S$1617,'TAR FIN'!$A$1:$O$113,15,0))</f>
        <v>0</v>
      </c>
      <c r="W1617" s="4">
        <f>IF(ISERROR(VLOOKUP($T$1617,'TAR FIN'!$A$1:$O$113,15,0)),0,VLOOKUP($T$1617,'TAR FIN'!$A$1:$O$113,15,0))</f>
        <v>304.64999999999998</v>
      </c>
      <c r="X1617" s="4">
        <f>IF(ISERROR(VLOOKUP($U$1617,'TAR FIN'!$A$1:$O$113,15,0)),0,VLOOKUP($U$1617,'TAR FIN'!$A$1:$O$113,15,0))</f>
        <v>206.13</v>
      </c>
      <c r="Y1617" s="4"/>
      <c r="Z1617" s="4">
        <f ca="1">('TUSD BE'!$AM$53+'TUSD BF'!$AM$53+'TUSD CVA'!$AM$53)*(1-CUSTOS!$M$38)</f>
        <v>386.47391324808456</v>
      </c>
      <c r="AA1617" s="4">
        <f>('TE BE'!$AA$32+'TE BF'!$AA$32+'TE CVA'!$AA$32)*(1-CUSTOS!$M$38)</f>
        <v>220.59856812487419</v>
      </c>
      <c r="AB1617" s="4">
        <f>$K$1617*$V$1617</f>
        <v>0</v>
      </c>
      <c r="AC1617" s="4">
        <f>$M$1617*$W$1617</f>
        <v>46730.263499999994</v>
      </c>
      <c r="AD1617" s="4">
        <f>$O$1617*$X$1617</f>
        <v>31618.280699999996</v>
      </c>
      <c r="AE1617" s="4">
        <f>$K$1617*$Y$1617</f>
        <v>0</v>
      </c>
      <c r="AF1617" s="4">
        <f ca="1">$M$1617*$Z$1617</f>
        <v>59281.233553123682</v>
      </c>
      <c r="AG1617" s="4">
        <f>$O$1617*$AA$1617</f>
        <v>33837.614364674446</v>
      </c>
    </row>
    <row r="1618" spans="1:33" ht="11.25" customHeight="1" x14ac:dyDescent="0.25">
      <c r="A1618" s="3" t="s">
        <v>21</v>
      </c>
      <c r="B1618" s="3" t="s">
        <v>44</v>
      </c>
      <c r="C1618" s="3" t="s">
        <v>23</v>
      </c>
      <c r="D1618" s="3" t="s">
        <v>45</v>
      </c>
      <c r="E1618" s="3" t="s">
        <v>25</v>
      </c>
      <c r="F1618" s="3" t="s">
        <v>25</v>
      </c>
      <c r="G1618" s="3" t="s">
        <v>25</v>
      </c>
      <c r="H1618" s="3" t="s">
        <v>25</v>
      </c>
      <c r="I1618" s="6">
        <v>44562</v>
      </c>
      <c r="J1618" s="4">
        <v>0</v>
      </c>
      <c r="K1618" s="4">
        <v>0</v>
      </c>
      <c r="L1618" s="4">
        <v>4767.04</v>
      </c>
      <c r="M1618" s="4">
        <v>4767.04</v>
      </c>
      <c r="N1618" s="4">
        <v>4767.04</v>
      </c>
      <c r="O1618" s="4">
        <v>4767.04</v>
      </c>
      <c r="P1618" s="4">
        <v>22420</v>
      </c>
      <c r="Q1618" s="3" t="s">
        <v>26</v>
      </c>
      <c r="R1618" s="3">
        <v>0</v>
      </c>
      <c r="S1618" s="4">
        <v>0</v>
      </c>
      <c r="T1618" s="4">
        <v>34</v>
      </c>
      <c r="U1618" s="4">
        <v>53</v>
      </c>
      <c r="V1618" s="4">
        <f>IF(ISERROR(VLOOKUP($S$1618,'TAR FIN'!$A$1:$O$113,15,0)),0,VLOOKUP($S$1618,'TAR FIN'!$A$1:$O$113,15,0))</f>
        <v>0</v>
      </c>
      <c r="W1618" s="4">
        <f>IF(ISERROR(VLOOKUP($T$1618,'TAR FIN'!$A$1:$O$113,15,0)),0,VLOOKUP($T$1618,'TAR FIN'!$A$1:$O$113,15,0))</f>
        <v>304.64999999999998</v>
      </c>
      <c r="X1618" s="4">
        <f>IF(ISERROR(VLOOKUP($U$1618,'TAR FIN'!$A$1:$O$113,15,0)),0,VLOOKUP($U$1618,'TAR FIN'!$A$1:$O$113,15,0))</f>
        <v>206.13</v>
      </c>
      <c r="Y1618" s="4"/>
      <c r="Z1618" s="4">
        <f ca="1">('TUSD BE'!$AM$53+'TUSD BF'!$AM$53+'TUSD CVA'!$AM$53)*(1-CUSTOS!$M$38)</f>
        <v>386.47391324808456</v>
      </c>
      <c r="AA1618" s="4">
        <f>('TE BE'!$AA$32+'TE BF'!$AA$32+'TE CVA'!$AA$32)*(1-CUSTOS!$M$38)</f>
        <v>220.59856812487419</v>
      </c>
      <c r="AB1618" s="4">
        <f>$K$1618*$V$1618</f>
        <v>0</v>
      </c>
      <c r="AC1618" s="4">
        <f>$M$1618*$W$1618</f>
        <v>1452278.7359999998</v>
      </c>
      <c r="AD1618" s="4">
        <f>$O$1618*$X$1618</f>
        <v>982629.95519999997</v>
      </c>
      <c r="AE1618" s="4">
        <f>$K$1618*$Y$1618</f>
        <v>0</v>
      </c>
      <c r="AF1618" s="4">
        <f ca="1">$M$1618*$Z$1618</f>
        <v>1842336.603410149</v>
      </c>
      <c r="AG1618" s="4">
        <f>$O$1618*$AA$1618</f>
        <v>1051602.1981940002</v>
      </c>
    </row>
    <row r="1619" spans="1:33" ht="11.25" customHeight="1" x14ac:dyDescent="0.25">
      <c r="A1619" s="3" t="s">
        <v>27</v>
      </c>
      <c r="B1619" s="3" t="s">
        <v>44</v>
      </c>
      <c r="C1619" s="3" t="s">
        <v>23</v>
      </c>
      <c r="D1619" s="3" t="s">
        <v>45</v>
      </c>
      <c r="E1619" s="3" t="s">
        <v>25</v>
      </c>
      <c r="F1619" s="3" t="s">
        <v>25</v>
      </c>
      <c r="G1619" s="3" t="s">
        <v>25</v>
      </c>
      <c r="H1619" s="3" t="s">
        <v>25</v>
      </c>
      <c r="I1619" s="6">
        <v>44562</v>
      </c>
      <c r="J1619" s="4">
        <v>0</v>
      </c>
      <c r="K1619" s="4">
        <v>0</v>
      </c>
      <c r="L1619" s="4">
        <v>-41.344999999999999</v>
      </c>
      <c r="M1619" s="4">
        <v>-41.344999999999999</v>
      </c>
      <c r="N1619" s="4">
        <v>-41.344999999999999</v>
      </c>
      <c r="O1619" s="4">
        <v>-41.344999999999999</v>
      </c>
      <c r="P1619" s="4">
        <v>-3</v>
      </c>
      <c r="Q1619" s="3" t="s">
        <v>26</v>
      </c>
      <c r="R1619" s="3">
        <v>0</v>
      </c>
      <c r="S1619" s="4">
        <v>0</v>
      </c>
      <c r="T1619" s="4">
        <v>34</v>
      </c>
      <c r="U1619" s="4">
        <v>53</v>
      </c>
      <c r="V1619" s="4">
        <f>IF(ISERROR(VLOOKUP($S$1619,'TAR FIN'!$A$1:$O$113,15,0)),0,VLOOKUP($S$1619,'TAR FIN'!$A$1:$O$113,15,0))</f>
        <v>0</v>
      </c>
      <c r="W1619" s="4">
        <f>IF(ISERROR(VLOOKUP($T$1619,'TAR FIN'!$A$1:$O$113,15,0)),0,VLOOKUP($T$1619,'TAR FIN'!$A$1:$O$113,15,0))</f>
        <v>304.64999999999998</v>
      </c>
      <c r="X1619" s="4">
        <f>IF(ISERROR(VLOOKUP($U$1619,'TAR FIN'!$A$1:$O$113,15,0)),0,VLOOKUP($U$1619,'TAR FIN'!$A$1:$O$113,15,0))</f>
        <v>206.13</v>
      </c>
      <c r="Y1619" s="4"/>
      <c r="Z1619" s="4">
        <f ca="1">('TUSD BE'!$AM$53+'TUSD BF'!$AM$53+'TUSD CVA'!$AM$53)*(1-CUSTOS!$M$38)</f>
        <v>386.47391324808456</v>
      </c>
      <c r="AA1619" s="4">
        <f>('TE BE'!$AA$32+'TE BF'!$AA$32+'TE CVA'!$AA$32)*(1-CUSTOS!$M$38)</f>
        <v>220.59856812487419</v>
      </c>
      <c r="AB1619" s="4">
        <f>$K$1619*$V$1619</f>
        <v>0</v>
      </c>
      <c r="AC1619" s="4">
        <f>$M$1619*$W$1619</f>
        <v>-12595.754249999998</v>
      </c>
      <c r="AD1619" s="4">
        <f>$O$1619*$X$1619</f>
        <v>-8522.4448499999999</v>
      </c>
      <c r="AE1619" s="4">
        <f>$K$1619*$Y$1619</f>
        <v>0</v>
      </c>
      <c r="AF1619" s="4">
        <f ca="1">$M$1619*$Z$1619</f>
        <v>-15978.763943242055</v>
      </c>
      <c r="AG1619" s="4">
        <f>$O$1619*$AA$1619</f>
        <v>-9120.647799122924</v>
      </c>
    </row>
    <row r="1620" spans="1:33" ht="11.25" customHeight="1" x14ac:dyDescent="0.25">
      <c r="A1620" s="3" t="s">
        <v>28</v>
      </c>
      <c r="B1620" s="3" t="s">
        <v>44</v>
      </c>
      <c r="C1620" s="3" t="s">
        <v>23</v>
      </c>
      <c r="D1620" s="3" t="s">
        <v>45</v>
      </c>
      <c r="E1620" s="3" t="s">
        <v>25</v>
      </c>
      <c r="F1620" s="3" t="s">
        <v>25</v>
      </c>
      <c r="G1620" s="3" t="s">
        <v>25</v>
      </c>
      <c r="H1620" s="3" t="s">
        <v>25</v>
      </c>
      <c r="I1620" s="6">
        <v>44562</v>
      </c>
      <c r="J1620" s="4">
        <v>0</v>
      </c>
      <c r="K1620" s="4">
        <v>0</v>
      </c>
      <c r="L1620" s="4">
        <v>146.203</v>
      </c>
      <c r="M1620" s="4">
        <v>146.203</v>
      </c>
      <c r="N1620" s="4">
        <v>146.203</v>
      </c>
      <c r="O1620" s="4">
        <v>146.203</v>
      </c>
      <c r="P1620" s="4">
        <v>246</v>
      </c>
      <c r="Q1620" s="3" t="s">
        <v>26</v>
      </c>
      <c r="R1620" s="3">
        <v>0</v>
      </c>
      <c r="S1620" s="4">
        <v>0</v>
      </c>
      <c r="T1620" s="4">
        <v>34</v>
      </c>
      <c r="U1620" s="4">
        <v>53</v>
      </c>
      <c r="V1620" s="4">
        <f>IF(ISERROR(VLOOKUP($S$1620,'TAR FIN'!$A$1:$O$113,15,0)),0,VLOOKUP($S$1620,'TAR FIN'!$A$1:$O$113,15,0))</f>
        <v>0</v>
      </c>
      <c r="W1620" s="4">
        <f>IF(ISERROR(VLOOKUP($T$1620,'TAR FIN'!$A$1:$O$113,15,0)),0,VLOOKUP($T$1620,'TAR FIN'!$A$1:$O$113,15,0))</f>
        <v>304.64999999999998</v>
      </c>
      <c r="X1620" s="4">
        <f>IF(ISERROR(VLOOKUP($U$1620,'TAR FIN'!$A$1:$O$113,15,0)),0,VLOOKUP($U$1620,'TAR FIN'!$A$1:$O$113,15,0))</f>
        <v>206.13</v>
      </c>
      <c r="Y1620" s="4"/>
      <c r="Z1620" s="4">
        <f ca="1">('TUSD BE'!$AM$53+'TUSD BF'!$AM$53+'TUSD CVA'!$AM$53)*(1-CUSTOS!$M$38)</f>
        <v>386.47391324808456</v>
      </c>
      <c r="AA1620" s="4">
        <f>('TE BE'!$AA$32+'TE BF'!$AA$32+'TE CVA'!$AA$32)*(1-CUSTOS!$M$38)</f>
        <v>220.59856812487419</v>
      </c>
      <c r="AB1620" s="4">
        <f>$K$1620*$V$1620</f>
        <v>0</v>
      </c>
      <c r="AC1620" s="4">
        <f>$M$1620*$W$1620</f>
        <v>44540.743949999996</v>
      </c>
      <c r="AD1620" s="4">
        <f>$O$1620*$X$1620</f>
        <v>30136.824390000002</v>
      </c>
      <c r="AE1620" s="4">
        <f>$K$1620*$Y$1620</f>
        <v>0</v>
      </c>
      <c r="AF1620" s="4">
        <f ca="1">$M$1620*$Z$1620</f>
        <v>56503.645538609708</v>
      </c>
      <c r="AG1620" s="4">
        <f>$O$1620*$AA$1620</f>
        <v>32252.172455560984</v>
      </c>
    </row>
    <row r="1621" spans="1:33" ht="11.25" customHeight="1" x14ac:dyDescent="0.25">
      <c r="A1621" s="3" t="s">
        <v>21</v>
      </c>
      <c r="B1621" s="3" t="s">
        <v>44</v>
      </c>
      <c r="C1621" s="3" t="s">
        <v>23</v>
      </c>
      <c r="D1621" s="3" t="s">
        <v>45</v>
      </c>
      <c r="E1621" s="3" t="s">
        <v>25</v>
      </c>
      <c r="F1621" s="3" t="s">
        <v>25</v>
      </c>
      <c r="G1621" s="3" t="s">
        <v>25</v>
      </c>
      <c r="H1621" s="3" t="s">
        <v>25</v>
      </c>
      <c r="I1621" s="6">
        <v>44593</v>
      </c>
      <c r="J1621" s="4">
        <v>0</v>
      </c>
      <c r="K1621" s="4">
        <v>0</v>
      </c>
      <c r="L1621" s="4">
        <v>4899.8429999999998</v>
      </c>
      <c r="M1621" s="4">
        <v>4899.8429999999998</v>
      </c>
      <c r="N1621" s="4">
        <v>4899.8429999999998</v>
      </c>
      <c r="O1621" s="4">
        <v>4899.8429999999998</v>
      </c>
      <c r="P1621" s="4">
        <v>21300</v>
      </c>
      <c r="Q1621" s="3" t="s">
        <v>26</v>
      </c>
      <c r="R1621" s="3">
        <v>0</v>
      </c>
      <c r="S1621" s="4">
        <v>0</v>
      </c>
      <c r="T1621" s="4">
        <v>34</v>
      </c>
      <c r="U1621" s="4">
        <v>53</v>
      </c>
      <c r="V1621" s="4">
        <f>IF(ISERROR(VLOOKUP($S$1621,'TAR FIN'!$A$1:$O$113,15,0)),0,VLOOKUP($S$1621,'TAR FIN'!$A$1:$O$113,15,0))</f>
        <v>0</v>
      </c>
      <c r="W1621" s="4">
        <f>IF(ISERROR(VLOOKUP($T$1621,'TAR FIN'!$A$1:$O$113,15,0)),0,VLOOKUP($T$1621,'TAR FIN'!$A$1:$O$113,15,0))</f>
        <v>304.64999999999998</v>
      </c>
      <c r="X1621" s="4">
        <f>IF(ISERROR(VLOOKUP($U$1621,'TAR FIN'!$A$1:$O$113,15,0)),0,VLOOKUP($U$1621,'TAR FIN'!$A$1:$O$113,15,0))</f>
        <v>206.13</v>
      </c>
      <c r="Y1621" s="4"/>
      <c r="Z1621" s="4">
        <f ca="1">('TUSD BE'!$AM$53+'TUSD BF'!$AM$53+'TUSD CVA'!$AM$53)*(1-CUSTOS!$M$38)</f>
        <v>386.47391324808456</v>
      </c>
      <c r="AA1621" s="4">
        <f>('TE BE'!$AA$32+'TE BF'!$AA$32+'TE CVA'!$AA$32)*(1-CUSTOS!$M$38)</f>
        <v>220.59856812487419</v>
      </c>
      <c r="AB1621" s="4">
        <f>$K$1621*$V$1621</f>
        <v>0</v>
      </c>
      <c r="AC1621" s="4">
        <f>$M$1621*$W$1621</f>
        <v>1492737.1699499998</v>
      </c>
      <c r="AD1621" s="4">
        <f>$O$1621*$X$1621</f>
        <v>1010004.6375899999</v>
      </c>
      <c r="AE1621" s="4">
        <f>$K$1621*$Y$1621</f>
        <v>0</v>
      </c>
      <c r="AF1621" s="4">
        <f ca="1">$M$1621*$Z$1621</f>
        <v>1893661.4985112343</v>
      </c>
      <c r="AG1621" s="4">
        <f>$O$1621*$AA$1621</f>
        <v>1080898.3498366878</v>
      </c>
    </row>
    <row r="1622" spans="1:33" ht="11.25" customHeight="1" x14ac:dyDescent="0.25">
      <c r="A1622" s="3" t="s">
        <v>27</v>
      </c>
      <c r="B1622" s="3" t="s">
        <v>44</v>
      </c>
      <c r="C1622" s="3" t="s">
        <v>23</v>
      </c>
      <c r="D1622" s="3" t="s">
        <v>45</v>
      </c>
      <c r="E1622" s="3" t="s">
        <v>25</v>
      </c>
      <c r="F1622" s="3" t="s">
        <v>25</v>
      </c>
      <c r="G1622" s="3" t="s">
        <v>25</v>
      </c>
      <c r="H1622" s="3" t="s">
        <v>25</v>
      </c>
      <c r="I1622" s="6">
        <v>44593</v>
      </c>
      <c r="J1622" s="4">
        <v>0</v>
      </c>
      <c r="K1622" s="4">
        <v>0</v>
      </c>
      <c r="L1622" s="4">
        <v>-4.2949999999999999</v>
      </c>
      <c r="M1622" s="4">
        <v>-4.2949999999999999</v>
      </c>
      <c r="N1622" s="4">
        <v>-4.2949999999999999</v>
      </c>
      <c r="O1622" s="4">
        <v>-4.2949999999999999</v>
      </c>
      <c r="P1622" s="4">
        <v>-5</v>
      </c>
      <c r="Q1622" s="3" t="s">
        <v>26</v>
      </c>
      <c r="R1622" s="3">
        <v>0</v>
      </c>
      <c r="S1622" s="4">
        <v>0</v>
      </c>
      <c r="T1622" s="4">
        <v>34</v>
      </c>
      <c r="U1622" s="4">
        <v>53</v>
      </c>
      <c r="V1622" s="4">
        <f>IF(ISERROR(VLOOKUP($S$1622,'TAR FIN'!$A$1:$O$113,15,0)),0,VLOOKUP($S$1622,'TAR FIN'!$A$1:$O$113,15,0))</f>
        <v>0</v>
      </c>
      <c r="W1622" s="4">
        <f>IF(ISERROR(VLOOKUP($T$1622,'TAR FIN'!$A$1:$O$113,15,0)),0,VLOOKUP($T$1622,'TAR FIN'!$A$1:$O$113,15,0))</f>
        <v>304.64999999999998</v>
      </c>
      <c r="X1622" s="4">
        <f>IF(ISERROR(VLOOKUP($U$1622,'TAR FIN'!$A$1:$O$113,15,0)),0,VLOOKUP($U$1622,'TAR FIN'!$A$1:$O$113,15,0))</f>
        <v>206.13</v>
      </c>
      <c r="Y1622" s="4"/>
      <c r="Z1622" s="4">
        <f ca="1">('TUSD BE'!$AM$53+'TUSD BF'!$AM$53+'TUSD CVA'!$AM$53)*(1-CUSTOS!$M$38)</f>
        <v>386.47391324808456</v>
      </c>
      <c r="AA1622" s="4">
        <f>('TE BE'!$AA$32+'TE BF'!$AA$32+'TE CVA'!$AA$32)*(1-CUSTOS!$M$38)</f>
        <v>220.59856812487419</v>
      </c>
      <c r="AB1622" s="4">
        <f>$K$1622*$V$1622</f>
        <v>0</v>
      </c>
      <c r="AC1622" s="4">
        <f>$M$1622*$W$1622</f>
        <v>-1308.4717499999999</v>
      </c>
      <c r="AD1622" s="4">
        <f>$O$1622*$X$1622</f>
        <v>-885.32835</v>
      </c>
      <c r="AE1622" s="4">
        <f>$K$1622*$Y$1622</f>
        <v>0</v>
      </c>
      <c r="AF1622" s="4">
        <f ca="1">$M$1622*$Z$1622</f>
        <v>-1659.9054574005231</v>
      </c>
      <c r="AG1622" s="4">
        <f>$O$1622*$AA$1622</f>
        <v>-947.47085009633463</v>
      </c>
    </row>
    <row r="1623" spans="1:33" ht="11.25" customHeight="1" x14ac:dyDescent="0.25">
      <c r="A1623" s="3" t="s">
        <v>28</v>
      </c>
      <c r="B1623" s="3" t="s">
        <v>44</v>
      </c>
      <c r="C1623" s="3" t="s">
        <v>23</v>
      </c>
      <c r="D1623" s="3" t="s">
        <v>45</v>
      </c>
      <c r="E1623" s="3" t="s">
        <v>25</v>
      </c>
      <c r="F1623" s="3" t="s">
        <v>25</v>
      </c>
      <c r="G1623" s="3" t="s">
        <v>25</v>
      </c>
      <c r="H1623" s="3" t="s">
        <v>25</v>
      </c>
      <c r="I1623" s="6">
        <v>44593</v>
      </c>
      <c r="J1623" s="4">
        <v>0</v>
      </c>
      <c r="K1623" s="4">
        <v>0</v>
      </c>
      <c r="L1623" s="4">
        <v>157.54300000000001</v>
      </c>
      <c r="M1623" s="4">
        <v>157.54300000000001</v>
      </c>
      <c r="N1623" s="4">
        <v>157.54300000000001</v>
      </c>
      <c r="O1623" s="4">
        <v>157.54300000000001</v>
      </c>
      <c r="P1623" s="4">
        <v>257</v>
      </c>
      <c r="Q1623" s="3" t="s">
        <v>26</v>
      </c>
      <c r="R1623" s="3">
        <v>0</v>
      </c>
      <c r="S1623" s="4">
        <v>0</v>
      </c>
      <c r="T1623" s="4">
        <v>34</v>
      </c>
      <c r="U1623" s="4">
        <v>53</v>
      </c>
      <c r="V1623" s="4">
        <f>IF(ISERROR(VLOOKUP($S$1623,'TAR FIN'!$A$1:$O$113,15,0)),0,VLOOKUP($S$1623,'TAR FIN'!$A$1:$O$113,15,0))</f>
        <v>0</v>
      </c>
      <c r="W1623" s="4">
        <f>IF(ISERROR(VLOOKUP($T$1623,'TAR FIN'!$A$1:$O$113,15,0)),0,VLOOKUP($T$1623,'TAR FIN'!$A$1:$O$113,15,0))</f>
        <v>304.64999999999998</v>
      </c>
      <c r="X1623" s="4">
        <f>IF(ISERROR(VLOOKUP($U$1623,'TAR FIN'!$A$1:$O$113,15,0)),0,VLOOKUP($U$1623,'TAR FIN'!$A$1:$O$113,15,0))</f>
        <v>206.13</v>
      </c>
      <c r="Y1623" s="4"/>
      <c r="Z1623" s="4">
        <f ca="1">('TUSD BE'!$AM$53+'TUSD BF'!$AM$53+'TUSD CVA'!$AM$53)*(1-CUSTOS!$M$38)</f>
        <v>386.47391324808456</v>
      </c>
      <c r="AA1623" s="4">
        <f>('TE BE'!$AA$32+'TE BF'!$AA$32+'TE CVA'!$AA$32)*(1-CUSTOS!$M$38)</f>
        <v>220.59856812487419</v>
      </c>
      <c r="AB1623" s="4">
        <f>$K$1623*$V$1623</f>
        <v>0</v>
      </c>
      <c r="AC1623" s="4">
        <f>$M$1623*$W$1623</f>
        <v>47995.474949999996</v>
      </c>
      <c r="AD1623" s="4">
        <f>$O$1623*$X$1623</f>
        <v>32474.338589999999</v>
      </c>
      <c r="AE1623" s="4">
        <f>$K$1623*$Y$1623</f>
        <v>0</v>
      </c>
      <c r="AF1623" s="4">
        <f ca="1">$M$1623*$Z$1623</f>
        <v>60886.259714842985</v>
      </c>
      <c r="AG1623" s="4">
        <f>$O$1623*$AA$1623</f>
        <v>34753.760218097057</v>
      </c>
    </row>
    <row r="1624" spans="1:33" ht="11.25" customHeight="1" x14ac:dyDescent="0.25">
      <c r="A1624" s="3" t="s">
        <v>56</v>
      </c>
      <c r="B1624" s="3" t="s">
        <v>44</v>
      </c>
      <c r="C1624" s="3" t="s">
        <v>23</v>
      </c>
      <c r="D1624" s="3" t="s">
        <v>45</v>
      </c>
      <c r="E1624" s="3" t="s">
        <v>25</v>
      </c>
      <c r="F1624" s="3" t="s">
        <v>25</v>
      </c>
      <c r="G1624" s="3" t="s">
        <v>25</v>
      </c>
      <c r="H1624" s="3" t="s">
        <v>25</v>
      </c>
      <c r="I1624" s="6">
        <v>44621</v>
      </c>
      <c r="J1624" s="4">
        <v>0</v>
      </c>
      <c r="K1624" s="4">
        <v>0</v>
      </c>
      <c r="L1624" s="4">
        <v>4899.8429999999998</v>
      </c>
      <c r="M1624" s="4">
        <v>4899.8429999999998</v>
      </c>
      <c r="N1624" s="4">
        <v>4899.8429999999998</v>
      </c>
      <c r="O1624" s="4">
        <v>4899.8429999999998</v>
      </c>
      <c r="P1624" s="4">
        <v>21300</v>
      </c>
      <c r="Q1624" s="3" t="s">
        <v>26</v>
      </c>
      <c r="R1624" s="3">
        <v>0</v>
      </c>
      <c r="S1624" s="4">
        <v>0</v>
      </c>
      <c r="T1624" s="4">
        <v>34</v>
      </c>
      <c r="U1624" s="4">
        <v>53</v>
      </c>
      <c r="V1624" s="4">
        <f>IF(ISERROR(VLOOKUP($S$1624,'TAR FIN'!$A$1:$O$113,15,0)),0,VLOOKUP($S$1624,'TAR FIN'!$A$1:$O$113,15,0))</f>
        <v>0</v>
      </c>
      <c r="W1624" s="4">
        <f>IF(ISERROR(VLOOKUP($T$1624,'TAR FIN'!$A$1:$O$113,15,0)),0,VLOOKUP($T$1624,'TAR FIN'!$A$1:$O$113,15,0))</f>
        <v>304.64999999999998</v>
      </c>
      <c r="X1624" s="4">
        <f>IF(ISERROR(VLOOKUP($U$1624,'TAR FIN'!$A$1:$O$113,15,0)),0,VLOOKUP($U$1624,'TAR FIN'!$A$1:$O$113,15,0))</f>
        <v>206.13</v>
      </c>
      <c r="Y1624" s="4"/>
      <c r="Z1624" s="4">
        <f ca="1">('TUSD BE'!$AM$53+'TUSD BF'!$AM$53+'TUSD CVA'!$AM$53)*(1-CUSTOS!$M$38)</f>
        <v>386.47391324808456</v>
      </c>
      <c r="AA1624" s="4">
        <f>('TE BE'!$AA$32+'TE BF'!$AA$32+'TE CVA'!$AA$32)*(1-CUSTOS!$M$38)</f>
        <v>220.59856812487419</v>
      </c>
      <c r="AB1624" s="4">
        <f>$K$1624*$V$1624</f>
        <v>0</v>
      </c>
      <c r="AC1624" s="4">
        <f>$M$1624*$W$1624</f>
        <v>1492737.1699499998</v>
      </c>
      <c r="AD1624" s="4">
        <f>$O$1624*$X$1624</f>
        <v>1010004.6375899999</v>
      </c>
      <c r="AE1624" s="4">
        <f>$K$1624*$Y$1624</f>
        <v>0</v>
      </c>
      <c r="AF1624" s="4">
        <f ca="1">$M$1624*$Z$1624</f>
        <v>1893661.4985112343</v>
      </c>
      <c r="AG1624" s="4">
        <f>$O$1624*$AA$1624</f>
        <v>1080898.3498366878</v>
      </c>
    </row>
    <row r="1625" spans="1:33" ht="11.25" customHeight="1" x14ac:dyDescent="0.25">
      <c r="A1625" s="3" t="s">
        <v>56</v>
      </c>
      <c r="B1625" s="3" t="s">
        <v>44</v>
      </c>
      <c r="C1625" s="3" t="s">
        <v>23</v>
      </c>
      <c r="D1625" s="3" t="s">
        <v>45</v>
      </c>
      <c r="E1625" s="3" t="s">
        <v>25</v>
      </c>
      <c r="F1625" s="3" t="s">
        <v>25</v>
      </c>
      <c r="G1625" s="3" t="s">
        <v>25</v>
      </c>
      <c r="H1625" s="3" t="s">
        <v>25</v>
      </c>
      <c r="I1625" s="6">
        <v>44621</v>
      </c>
      <c r="J1625" s="4">
        <v>0</v>
      </c>
      <c r="K1625" s="4">
        <v>0</v>
      </c>
      <c r="L1625" s="4">
        <v>-4.2949999999999999</v>
      </c>
      <c r="M1625" s="4">
        <v>-4.2949999999999999</v>
      </c>
      <c r="N1625" s="4">
        <v>-4.2949999999999999</v>
      </c>
      <c r="O1625" s="4">
        <v>-4.2949999999999999</v>
      </c>
      <c r="P1625" s="4">
        <v>-5</v>
      </c>
      <c r="Q1625" s="3" t="s">
        <v>26</v>
      </c>
      <c r="R1625" s="3">
        <v>0</v>
      </c>
      <c r="S1625" s="4">
        <v>0</v>
      </c>
      <c r="T1625" s="4">
        <v>34</v>
      </c>
      <c r="U1625" s="4">
        <v>53</v>
      </c>
      <c r="V1625" s="4">
        <f>IF(ISERROR(VLOOKUP($S$1625,'TAR FIN'!$A$1:$O$113,15,0)),0,VLOOKUP($S$1625,'TAR FIN'!$A$1:$O$113,15,0))</f>
        <v>0</v>
      </c>
      <c r="W1625" s="4">
        <f>IF(ISERROR(VLOOKUP($T$1625,'TAR FIN'!$A$1:$O$113,15,0)),0,VLOOKUP($T$1625,'TAR FIN'!$A$1:$O$113,15,0))</f>
        <v>304.64999999999998</v>
      </c>
      <c r="X1625" s="4">
        <f>IF(ISERROR(VLOOKUP($U$1625,'TAR FIN'!$A$1:$O$113,15,0)),0,VLOOKUP($U$1625,'TAR FIN'!$A$1:$O$113,15,0))</f>
        <v>206.13</v>
      </c>
      <c r="Y1625" s="4"/>
      <c r="Z1625" s="4">
        <f ca="1">('TUSD BE'!$AM$53+'TUSD BF'!$AM$53+'TUSD CVA'!$AM$53)*(1-CUSTOS!$M$38)</f>
        <v>386.47391324808456</v>
      </c>
      <c r="AA1625" s="4">
        <f>('TE BE'!$AA$32+'TE BF'!$AA$32+'TE CVA'!$AA$32)*(1-CUSTOS!$M$38)</f>
        <v>220.59856812487419</v>
      </c>
      <c r="AB1625" s="4">
        <f>$K$1625*$V$1625</f>
        <v>0</v>
      </c>
      <c r="AC1625" s="4">
        <f>$M$1625*$W$1625</f>
        <v>-1308.4717499999999</v>
      </c>
      <c r="AD1625" s="4">
        <f>$O$1625*$X$1625</f>
        <v>-885.32835</v>
      </c>
      <c r="AE1625" s="4">
        <f>$K$1625*$Y$1625</f>
        <v>0</v>
      </c>
      <c r="AF1625" s="4">
        <f ca="1">$M$1625*$Z$1625</f>
        <v>-1659.9054574005231</v>
      </c>
      <c r="AG1625" s="4">
        <f>$O$1625*$AA$1625</f>
        <v>-947.47085009633463</v>
      </c>
    </row>
    <row r="1626" spans="1:33" ht="11.25" customHeight="1" x14ac:dyDescent="0.25">
      <c r="A1626" s="3" t="s">
        <v>56</v>
      </c>
      <c r="B1626" s="3" t="s">
        <v>44</v>
      </c>
      <c r="C1626" s="3" t="s">
        <v>23</v>
      </c>
      <c r="D1626" s="3" t="s">
        <v>45</v>
      </c>
      <c r="E1626" s="3" t="s">
        <v>25</v>
      </c>
      <c r="F1626" s="3" t="s">
        <v>25</v>
      </c>
      <c r="G1626" s="3" t="s">
        <v>25</v>
      </c>
      <c r="H1626" s="3" t="s">
        <v>25</v>
      </c>
      <c r="I1626" s="6">
        <v>44621</v>
      </c>
      <c r="J1626" s="4">
        <v>0</v>
      </c>
      <c r="K1626" s="4">
        <v>0</v>
      </c>
      <c r="L1626" s="4">
        <v>157.54300000000001</v>
      </c>
      <c r="M1626" s="4">
        <v>157.54300000000001</v>
      </c>
      <c r="N1626" s="4">
        <v>157.54300000000001</v>
      </c>
      <c r="O1626" s="4">
        <v>157.54300000000001</v>
      </c>
      <c r="P1626" s="4">
        <v>257</v>
      </c>
      <c r="Q1626" s="3" t="s">
        <v>26</v>
      </c>
      <c r="R1626" s="3">
        <v>0</v>
      </c>
      <c r="S1626" s="4">
        <v>0</v>
      </c>
      <c r="T1626" s="4">
        <v>34</v>
      </c>
      <c r="U1626" s="4">
        <v>53</v>
      </c>
      <c r="V1626" s="4">
        <f>IF(ISERROR(VLOOKUP($S$1626,'TAR FIN'!$A$1:$O$113,15,0)),0,VLOOKUP($S$1626,'TAR FIN'!$A$1:$O$113,15,0))</f>
        <v>0</v>
      </c>
      <c r="W1626" s="4">
        <f>IF(ISERROR(VLOOKUP($T$1626,'TAR FIN'!$A$1:$O$113,15,0)),0,VLOOKUP($T$1626,'TAR FIN'!$A$1:$O$113,15,0))</f>
        <v>304.64999999999998</v>
      </c>
      <c r="X1626" s="4">
        <f>IF(ISERROR(VLOOKUP($U$1626,'TAR FIN'!$A$1:$O$113,15,0)),0,VLOOKUP($U$1626,'TAR FIN'!$A$1:$O$113,15,0))</f>
        <v>206.13</v>
      </c>
      <c r="Y1626" s="4"/>
      <c r="Z1626" s="4">
        <f ca="1">('TUSD BE'!$AM$53+'TUSD BF'!$AM$53+'TUSD CVA'!$AM$53)*(1-CUSTOS!$M$38)</f>
        <v>386.47391324808456</v>
      </c>
      <c r="AA1626" s="4">
        <f>('TE BE'!$AA$32+'TE BF'!$AA$32+'TE CVA'!$AA$32)*(1-CUSTOS!$M$38)</f>
        <v>220.59856812487419</v>
      </c>
      <c r="AB1626" s="4">
        <f>$K$1626*$V$1626</f>
        <v>0</v>
      </c>
      <c r="AC1626" s="4">
        <f>$M$1626*$W$1626</f>
        <v>47995.474949999996</v>
      </c>
      <c r="AD1626" s="4">
        <f>$O$1626*$X$1626</f>
        <v>32474.338589999999</v>
      </c>
      <c r="AE1626" s="4">
        <f>$K$1626*$Y$1626</f>
        <v>0</v>
      </c>
      <c r="AF1626" s="4">
        <f ca="1">$M$1626*$Z$1626</f>
        <v>60886.259714842985</v>
      </c>
      <c r="AG1626" s="4">
        <f>$O$1626*$AA$1626</f>
        <v>34753.760218097057</v>
      </c>
    </row>
    <row r="1627" spans="1:33" ht="11.25" customHeight="1" x14ac:dyDescent="0.25">
      <c r="A1627" s="3" t="s">
        <v>21</v>
      </c>
      <c r="B1627" s="3" t="s">
        <v>37</v>
      </c>
      <c r="C1627" s="3" t="s">
        <v>33</v>
      </c>
      <c r="D1627" s="3" t="s">
        <v>43</v>
      </c>
      <c r="E1627" s="3" t="s">
        <v>25</v>
      </c>
      <c r="F1627" s="3" t="s">
        <v>25</v>
      </c>
      <c r="G1627" s="3" t="s">
        <v>25</v>
      </c>
      <c r="H1627" s="3" t="s">
        <v>35</v>
      </c>
      <c r="I1627" s="6">
        <v>44287</v>
      </c>
      <c r="J1627" s="4">
        <v>0</v>
      </c>
      <c r="K1627" s="4">
        <v>0</v>
      </c>
      <c r="L1627" s="4">
        <v>97.596999999999994</v>
      </c>
      <c r="M1627" s="4">
        <v>97.596999999999994</v>
      </c>
      <c r="N1627" s="4">
        <v>97.596999999999994</v>
      </c>
      <c r="O1627" s="4">
        <v>97.596999999999994</v>
      </c>
      <c r="P1627" s="4">
        <v>0</v>
      </c>
      <c r="Q1627" s="3" t="s">
        <v>26</v>
      </c>
      <c r="R1627" s="3">
        <v>0</v>
      </c>
      <c r="S1627" s="4">
        <v>0</v>
      </c>
      <c r="T1627" s="4">
        <v>83</v>
      </c>
      <c r="U1627" s="4">
        <v>61</v>
      </c>
      <c r="V1627" s="4">
        <f>IF(ISERROR(VLOOKUP($S$1627,'TAR FIN'!$A$1:$O$113,15,0)),0,VLOOKUP($S$1627,'TAR FIN'!$A$1:$O$113,15,0))</f>
        <v>0</v>
      </c>
      <c r="W1627" s="4">
        <f>IF(ISERROR(VLOOKUP($T$1627,'TAR FIN'!$A$1:$O$113,15,0)),0,VLOOKUP($T$1627,'TAR FIN'!$A$1:$O$113,15,0))</f>
        <v>250.31</v>
      </c>
      <c r="X1627" s="4">
        <f>IF(ISERROR(VLOOKUP($U$1627,'TAR FIN'!$A$1:$O$113,15,0)),0,VLOOKUP($U$1627,'TAR FIN'!$A$1:$O$113,15,0))</f>
        <v>222.31</v>
      </c>
      <c r="Y1627" s="4"/>
      <c r="Z1627" s="4">
        <f ca="1">('TUSD BE'!$AM$67+'TUSD BF'!$AM$67+'TUSD CVA'!$AM$67)*1</f>
        <v>298.54935824624732</v>
      </c>
      <c r="AA1627" s="4">
        <f>('TE BE'!$AA$46+'TE BF'!$AA$46+'TE CVA'!$AA$46)*1</f>
        <v>223.14561812044704</v>
      </c>
      <c r="AB1627" s="4">
        <f>$K$1627*$V$1627</f>
        <v>0</v>
      </c>
      <c r="AC1627" s="4">
        <f>$M$1627*$W$1627</f>
        <v>24429.505069999999</v>
      </c>
      <c r="AD1627" s="4">
        <f>$O$1627*$X$1627</f>
        <v>21696.789069999999</v>
      </c>
      <c r="AE1627" s="4">
        <f>$K$1627*$Y$1627</f>
        <v>0</v>
      </c>
      <c r="AF1627" s="4">
        <f ca="1">$M$1627*$Z$1627</f>
        <v>29137.521716758998</v>
      </c>
      <c r="AG1627" s="4">
        <f>$O$1627*$AA$1627</f>
        <v>21778.342891701268</v>
      </c>
    </row>
    <row r="1628" spans="1:33" ht="11.25" customHeight="1" x14ac:dyDescent="0.25">
      <c r="A1628" s="3" t="s">
        <v>21</v>
      </c>
      <c r="B1628" s="3" t="s">
        <v>37</v>
      </c>
      <c r="C1628" s="3" t="s">
        <v>33</v>
      </c>
      <c r="D1628" s="3" t="s">
        <v>43</v>
      </c>
      <c r="E1628" s="3" t="s">
        <v>25</v>
      </c>
      <c r="F1628" s="3" t="s">
        <v>25</v>
      </c>
      <c r="G1628" s="3" t="s">
        <v>25</v>
      </c>
      <c r="H1628" s="3" t="s">
        <v>35</v>
      </c>
      <c r="I1628" s="6">
        <v>44317</v>
      </c>
      <c r="J1628" s="4">
        <v>0</v>
      </c>
      <c r="K1628" s="4">
        <v>0</v>
      </c>
      <c r="L1628" s="4">
        <v>95.65</v>
      </c>
      <c r="M1628" s="4">
        <v>95.65</v>
      </c>
      <c r="N1628" s="4">
        <v>95.65</v>
      </c>
      <c r="O1628" s="4">
        <v>95.65</v>
      </c>
      <c r="P1628" s="4">
        <v>0</v>
      </c>
      <c r="Q1628" s="3" t="s">
        <v>26</v>
      </c>
      <c r="R1628" s="3">
        <v>0</v>
      </c>
      <c r="S1628" s="4">
        <v>0</v>
      </c>
      <c r="T1628" s="4">
        <v>83</v>
      </c>
      <c r="U1628" s="4">
        <v>61</v>
      </c>
      <c r="V1628" s="4">
        <f>IF(ISERROR(VLOOKUP($S$1628,'TAR FIN'!$A$1:$O$113,15,0)),0,VLOOKUP($S$1628,'TAR FIN'!$A$1:$O$113,15,0))</f>
        <v>0</v>
      </c>
      <c r="W1628" s="4">
        <f>IF(ISERROR(VLOOKUP($T$1628,'TAR FIN'!$A$1:$O$113,15,0)),0,VLOOKUP($T$1628,'TAR FIN'!$A$1:$O$113,15,0))</f>
        <v>250.31</v>
      </c>
      <c r="X1628" s="4">
        <f>IF(ISERROR(VLOOKUP($U$1628,'TAR FIN'!$A$1:$O$113,15,0)),0,VLOOKUP($U$1628,'TAR FIN'!$A$1:$O$113,15,0))</f>
        <v>222.31</v>
      </c>
      <c r="Y1628" s="4"/>
      <c r="Z1628" s="4">
        <f ca="1">('TUSD BE'!$AM$67+'TUSD BF'!$AM$67+'TUSD CVA'!$AM$67)*1</f>
        <v>298.54935824624732</v>
      </c>
      <c r="AA1628" s="4">
        <f>('TE BE'!$AA$46+'TE BF'!$AA$46+'TE CVA'!$AA$46)*1</f>
        <v>223.14561812044704</v>
      </c>
      <c r="AB1628" s="4">
        <f>$K$1628*$V$1628</f>
        <v>0</v>
      </c>
      <c r="AC1628" s="4">
        <f>$M$1628*$W$1628</f>
        <v>23942.1515</v>
      </c>
      <c r="AD1628" s="4">
        <f>$O$1628*$X$1628</f>
        <v>21263.951500000003</v>
      </c>
      <c r="AE1628" s="4">
        <f>$K$1628*$Y$1628</f>
        <v>0</v>
      </c>
      <c r="AF1628" s="4">
        <f ca="1">$M$1628*$Z$1628</f>
        <v>28556.246116253558</v>
      </c>
      <c r="AG1628" s="4">
        <f>$O$1628*$AA$1628</f>
        <v>21343.878373220759</v>
      </c>
    </row>
    <row r="1629" spans="1:33" ht="11.25" customHeight="1" x14ac:dyDescent="0.25">
      <c r="A1629" s="3" t="s">
        <v>21</v>
      </c>
      <c r="B1629" s="3" t="s">
        <v>37</v>
      </c>
      <c r="C1629" s="3" t="s">
        <v>33</v>
      </c>
      <c r="D1629" s="3" t="s">
        <v>43</v>
      </c>
      <c r="E1629" s="3" t="s">
        <v>25</v>
      </c>
      <c r="F1629" s="3" t="s">
        <v>25</v>
      </c>
      <c r="G1629" s="3" t="s">
        <v>25</v>
      </c>
      <c r="H1629" s="3" t="s">
        <v>35</v>
      </c>
      <c r="I1629" s="6">
        <v>44348</v>
      </c>
      <c r="J1629" s="4">
        <v>0</v>
      </c>
      <c r="K1629" s="4">
        <v>0</v>
      </c>
      <c r="L1629" s="4">
        <v>92.948999999999998</v>
      </c>
      <c r="M1629" s="4">
        <v>92.948999999999998</v>
      </c>
      <c r="N1629" s="4">
        <v>92.948999999999998</v>
      </c>
      <c r="O1629" s="4">
        <v>92.948999999999998</v>
      </c>
      <c r="P1629" s="4">
        <v>0</v>
      </c>
      <c r="Q1629" s="3" t="s">
        <v>26</v>
      </c>
      <c r="R1629" s="3">
        <v>0</v>
      </c>
      <c r="S1629" s="4">
        <v>0</v>
      </c>
      <c r="T1629" s="4">
        <v>83</v>
      </c>
      <c r="U1629" s="4">
        <v>61</v>
      </c>
      <c r="V1629" s="4">
        <f>IF(ISERROR(VLOOKUP($S$1629,'TAR FIN'!$A$1:$O$113,15,0)),0,VLOOKUP($S$1629,'TAR FIN'!$A$1:$O$113,15,0))</f>
        <v>0</v>
      </c>
      <c r="W1629" s="4">
        <f>IF(ISERROR(VLOOKUP($T$1629,'TAR FIN'!$A$1:$O$113,15,0)),0,VLOOKUP($T$1629,'TAR FIN'!$A$1:$O$113,15,0))</f>
        <v>250.31</v>
      </c>
      <c r="X1629" s="4">
        <f>IF(ISERROR(VLOOKUP($U$1629,'TAR FIN'!$A$1:$O$113,15,0)),0,VLOOKUP($U$1629,'TAR FIN'!$A$1:$O$113,15,0))</f>
        <v>222.31</v>
      </c>
      <c r="Y1629" s="4"/>
      <c r="Z1629" s="4">
        <f ca="1">('TUSD BE'!$AM$67+'TUSD BF'!$AM$67+'TUSD CVA'!$AM$67)*1</f>
        <v>298.54935824624732</v>
      </c>
      <c r="AA1629" s="4">
        <f>('TE BE'!$AA$46+'TE BF'!$AA$46+'TE CVA'!$AA$46)*1</f>
        <v>223.14561812044704</v>
      </c>
      <c r="AB1629" s="4">
        <f>$K$1629*$V$1629</f>
        <v>0</v>
      </c>
      <c r="AC1629" s="4">
        <f>$M$1629*$W$1629</f>
        <v>23266.064190000001</v>
      </c>
      <c r="AD1629" s="4">
        <f>$O$1629*$X$1629</f>
        <v>20663.492190000001</v>
      </c>
      <c r="AE1629" s="4">
        <f>$K$1629*$Y$1629</f>
        <v>0</v>
      </c>
      <c r="AF1629" s="4">
        <f ca="1">$M$1629*$Z$1629</f>
        <v>27749.864299630441</v>
      </c>
      <c r="AG1629" s="4">
        <f>$O$1629*$AA$1629</f>
        <v>20741.16205867743</v>
      </c>
    </row>
    <row r="1630" spans="1:33" ht="11.25" customHeight="1" x14ac:dyDescent="0.25">
      <c r="A1630" s="3" t="s">
        <v>21</v>
      </c>
      <c r="B1630" s="3" t="s">
        <v>37</v>
      </c>
      <c r="C1630" s="3" t="s">
        <v>33</v>
      </c>
      <c r="D1630" s="3" t="s">
        <v>43</v>
      </c>
      <c r="E1630" s="3" t="s">
        <v>25</v>
      </c>
      <c r="F1630" s="3" t="s">
        <v>25</v>
      </c>
      <c r="G1630" s="3" t="s">
        <v>25</v>
      </c>
      <c r="H1630" s="3" t="s">
        <v>35</v>
      </c>
      <c r="I1630" s="6">
        <v>44378</v>
      </c>
      <c r="J1630" s="4">
        <v>0</v>
      </c>
      <c r="K1630" s="4">
        <v>0</v>
      </c>
      <c r="L1630" s="4">
        <v>95.912999999999997</v>
      </c>
      <c r="M1630" s="4">
        <v>95.912999999999997</v>
      </c>
      <c r="N1630" s="4">
        <v>95.912999999999997</v>
      </c>
      <c r="O1630" s="4">
        <v>95.912999999999997</v>
      </c>
      <c r="P1630" s="4">
        <v>0</v>
      </c>
      <c r="Q1630" s="3" t="s">
        <v>26</v>
      </c>
      <c r="R1630" s="3">
        <v>0</v>
      </c>
      <c r="S1630" s="4">
        <v>0</v>
      </c>
      <c r="T1630" s="4">
        <v>83</v>
      </c>
      <c r="U1630" s="4">
        <v>61</v>
      </c>
      <c r="V1630" s="4">
        <f>IF(ISERROR(VLOOKUP($S$1630,'TAR FIN'!$A$1:$O$113,15,0)),0,VLOOKUP($S$1630,'TAR FIN'!$A$1:$O$113,15,0))</f>
        <v>0</v>
      </c>
      <c r="W1630" s="4">
        <f>IF(ISERROR(VLOOKUP($T$1630,'TAR FIN'!$A$1:$O$113,15,0)),0,VLOOKUP($T$1630,'TAR FIN'!$A$1:$O$113,15,0))</f>
        <v>250.31</v>
      </c>
      <c r="X1630" s="4">
        <f>IF(ISERROR(VLOOKUP($U$1630,'TAR FIN'!$A$1:$O$113,15,0)),0,VLOOKUP($U$1630,'TAR FIN'!$A$1:$O$113,15,0))</f>
        <v>222.31</v>
      </c>
      <c r="Y1630" s="4"/>
      <c r="Z1630" s="4">
        <f ca="1">('TUSD BE'!$AM$67+'TUSD BF'!$AM$67+'TUSD CVA'!$AM$67)*1</f>
        <v>298.54935824624732</v>
      </c>
      <c r="AA1630" s="4">
        <f>('TE BE'!$AA$46+'TE BF'!$AA$46+'TE CVA'!$AA$46)*1</f>
        <v>223.14561812044704</v>
      </c>
      <c r="AB1630" s="4">
        <f>$K$1630*$V$1630</f>
        <v>0</v>
      </c>
      <c r="AC1630" s="4">
        <f>$M$1630*$W$1630</f>
        <v>24007.983029999999</v>
      </c>
      <c r="AD1630" s="4">
        <f>$O$1630*$X$1630</f>
        <v>21322.419030000001</v>
      </c>
      <c r="AE1630" s="4">
        <f>$K$1630*$Y$1630</f>
        <v>0</v>
      </c>
      <c r="AF1630" s="4">
        <f ca="1">$M$1630*$Z$1630</f>
        <v>28634.76459747232</v>
      </c>
      <c r="AG1630" s="4">
        <f>$O$1630*$AA$1630</f>
        <v>21402.565670786436</v>
      </c>
    </row>
    <row r="1631" spans="1:33" ht="11.25" customHeight="1" x14ac:dyDescent="0.25">
      <c r="A1631" s="3" t="s">
        <v>21</v>
      </c>
      <c r="B1631" s="3" t="s">
        <v>37</v>
      </c>
      <c r="C1631" s="3" t="s">
        <v>33</v>
      </c>
      <c r="D1631" s="3" t="s">
        <v>43</v>
      </c>
      <c r="E1631" s="3" t="s">
        <v>25</v>
      </c>
      <c r="F1631" s="3" t="s">
        <v>25</v>
      </c>
      <c r="G1631" s="3" t="s">
        <v>25</v>
      </c>
      <c r="H1631" s="3" t="s">
        <v>35</v>
      </c>
      <c r="I1631" s="6">
        <v>44409</v>
      </c>
      <c r="J1631" s="4">
        <v>0</v>
      </c>
      <c r="K1631" s="4">
        <v>0</v>
      </c>
      <c r="L1631" s="4">
        <v>96.564999999999998</v>
      </c>
      <c r="M1631" s="4">
        <v>96.564999999999998</v>
      </c>
      <c r="N1631" s="4">
        <v>96.564999999999998</v>
      </c>
      <c r="O1631" s="4">
        <v>96.564999999999998</v>
      </c>
      <c r="P1631" s="4">
        <v>0</v>
      </c>
      <c r="Q1631" s="3" t="s">
        <v>26</v>
      </c>
      <c r="R1631" s="3">
        <v>0</v>
      </c>
      <c r="S1631" s="4">
        <v>0</v>
      </c>
      <c r="T1631" s="4">
        <v>83</v>
      </c>
      <c r="U1631" s="4">
        <v>61</v>
      </c>
      <c r="V1631" s="4">
        <f>IF(ISERROR(VLOOKUP($S$1631,'TAR FIN'!$A$1:$O$113,15,0)),0,VLOOKUP($S$1631,'TAR FIN'!$A$1:$O$113,15,0))</f>
        <v>0</v>
      </c>
      <c r="W1631" s="4">
        <f>IF(ISERROR(VLOOKUP($T$1631,'TAR FIN'!$A$1:$O$113,15,0)),0,VLOOKUP($T$1631,'TAR FIN'!$A$1:$O$113,15,0))</f>
        <v>250.31</v>
      </c>
      <c r="X1631" s="4">
        <f>IF(ISERROR(VLOOKUP($U$1631,'TAR FIN'!$A$1:$O$113,15,0)),0,VLOOKUP($U$1631,'TAR FIN'!$A$1:$O$113,15,0))</f>
        <v>222.31</v>
      </c>
      <c r="Y1631" s="4"/>
      <c r="Z1631" s="4">
        <f ca="1">('TUSD BE'!$AM$67+'TUSD BF'!$AM$67+'TUSD CVA'!$AM$67)*1</f>
        <v>298.54935824624732</v>
      </c>
      <c r="AA1631" s="4">
        <f>('TE BE'!$AA$46+'TE BF'!$AA$46+'TE CVA'!$AA$46)*1</f>
        <v>223.14561812044704</v>
      </c>
      <c r="AB1631" s="4">
        <f>$K$1631*$V$1631</f>
        <v>0</v>
      </c>
      <c r="AC1631" s="4">
        <f>$M$1631*$W$1631</f>
        <v>24171.185150000001</v>
      </c>
      <c r="AD1631" s="4">
        <f>$O$1631*$X$1631</f>
        <v>21467.365150000001</v>
      </c>
      <c r="AE1631" s="4">
        <f>$K$1631*$Y$1631</f>
        <v>0</v>
      </c>
      <c r="AF1631" s="4">
        <f ca="1">$M$1631*$Z$1631</f>
        <v>28829.418779048872</v>
      </c>
      <c r="AG1631" s="4">
        <f>$O$1631*$AA$1631</f>
        <v>21548.056613800967</v>
      </c>
    </row>
    <row r="1632" spans="1:33" ht="11.25" customHeight="1" x14ac:dyDescent="0.25">
      <c r="A1632" s="3" t="s">
        <v>21</v>
      </c>
      <c r="B1632" s="3" t="s">
        <v>37</v>
      </c>
      <c r="C1632" s="3" t="s">
        <v>33</v>
      </c>
      <c r="D1632" s="3" t="s">
        <v>43</v>
      </c>
      <c r="E1632" s="3" t="s">
        <v>25</v>
      </c>
      <c r="F1632" s="3" t="s">
        <v>25</v>
      </c>
      <c r="G1632" s="3" t="s">
        <v>25</v>
      </c>
      <c r="H1632" s="3" t="s">
        <v>35</v>
      </c>
      <c r="I1632" s="6">
        <v>44440</v>
      </c>
      <c r="J1632" s="4">
        <v>0</v>
      </c>
      <c r="K1632" s="4">
        <v>0</v>
      </c>
      <c r="L1632" s="4">
        <v>101.881</v>
      </c>
      <c r="M1632" s="4">
        <v>101.881</v>
      </c>
      <c r="N1632" s="4">
        <v>101.881</v>
      </c>
      <c r="O1632" s="4">
        <v>101.881</v>
      </c>
      <c r="P1632" s="4">
        <v>0</v>
      </c>
      <c r="Q1632" s="3" t="s">
        <v>26</v>
      </c>
      <c r="R1632" s="3">
        <v>0</v>
      </c>
      <c r="S1632" s="4">
        <v>0</v>
      </c>
      <c r="T1632" s="4">
        <v>83</v>
      </c>
      <c r="U1632" s="4">
        <v>61</v>
      </c>
      <c r="V1632" s="4">
        <f>IF(ISERROR(VLOOKUP($S$1632,'TAR FIN'!$A$1:$O$113,15,0)),0,VLOOKUP($S$1632,'TAR FIN'!$A$1:$O$113,15,0))</f>
        <v>0</v>
      </c>
      <c r="W1632" s="4">
        <f>IF(ISERROR(VLOOKUP($T$1632,'TAR FIN'!$A$1:$O$113,15,0)),0,VLOOKUP($T$1632,'TAR FIN'!$A$1:$O$113,15,0))</f>
        <v>250.31</v>
      </c>
      <c r="X1632" s="4">
        <f>IF(ISERROR(VLOOKUP($U$1632,'TAR FIN'!$A$1:$O$113,15,0)),0,VLOOKUP($U$1632,'TAR FIN'!$A$1:$O$113,15,0))</f>
        <v>222.31</v>
      </c>
      <c r="Y1632" s="4"/>
      <c r="Z1632" s="4">
        <f ca="1">('TUSD BE'!$AM$67+'TUSD BF'!$AM$67+'TUSD CVA'!$AM$67)*1</f>
        <v>298.54935824624732</v>
      </c>
      <c r="AA1632" s="4">
        <f>('TE BE'!$AA$46+'TE BF'!$AA$46+'TE CVA'!$AA$46)*1</f>
        <v>223.14561812044704</v>
      </c>
      <c r="AB1632" s="4">
        <f>$K$1632*$V$1632</f>
        <v>0</v>
      </c>
      <c r="AC1632" s="4">
        <f>$M$1632*$W$1632</f>
        <v>25501.83311</v>
      </c>
      <c r="AD1632" s="4">
        <f>$O$1632*$X$1632</f>
        <v>22649.165110000002</v>
      </c>
      <c r="AE1632" s="4">
        <f>$K$1632*$Y$1632</f>
        <v>0</v>
      </c>
      <c r="AF1632" s="4">
        <f ca="1">$M$1632*$Z$1632</f>
        <v>30416.507167485925</v>
      </c>
      <c r="AG1632" s="4">
        <f>$O$1632*$AA$1632</f>
        <v>22734.298719729264</v>
      </c>
    </row>
    <row r="1633" spans="1:33" ht="11.25" customHeight="1" x14ac:dyDescent="0.25">
      <c r="A1633" s="3" t="s">
        <v>21</v>
      </c>
      <c r="B1633" s="3" t="s">
        <v>37</v>
      </c>
      <c r="C1633" s="3" t="s">
        <v>33</v>
      </c>
      <c r="D1633" s="3" t="s">
        <v>43</v>
      </c>
      <c r="E1633" s="3" t="s">
        <v>25</v>
      </c>
      <c r="F1633" s="3" t="s">
        <v>25</v>
      </c>
      <c r="G1633" s="3" t="s">
        <v>25</v>
      </c>
      <c r="H1633" s="3" t="s">
        <v>35</v>
      </c>
      <c r="I1633" s="6">
        <v>44470</v>
      </c>
      <c r="J1633" s="4">
        <v>0</v>
      </c>
      <c r="K1633" s="4">
        <v>0</v>
      </c>
      <c r="L1633" s="4">
        <v>117.217</v>
      </c>
      <c r="M1633" s="4">
        <v>117.217</v>
      </c>
      <c r="N1633" s="4">
        <v>117.217</v>
      </c>
      <c r="O1633" s="4">
        <v>117.217</v>
      </c>
      <c r="P1633" s="4">
        <v>0</v>
      </c>
      <c r="Q1633" s="3" t="s">
        <v>26</v>
      </c>
      <c r="R1633" s="3">
        <v>0</v>
      </c>
      <c r="S1633" s="4">
        <v>0</v>
      </c>
      <c r="T1633" s="4">
        <v>83</v>
      </c>
      <c r="U1633" s="4">
        <v>61</v>
      </c>
      <c r="V1633" s="4">
        <f>IF(ISERROR(VLOOKUP($S$1633,'TAR FIN'!$A$1:$O$113,15,0)),0,VLOOKUP($S$1633,'TAR FIN'!$A$1:$O$113,15,0))</f>
        <v>0</v>
      </c>
      <c r="W1633" s="4">
        <f>IF(ISERROR(VLOOKUP($T$1633,'TAR FIN'!$A$1:$O$113,15,0)),0,VLOOKUP($T$1633,'TAR FIN'!$A$1:$O$113,15,0))</f>
        <v>250.31</v>
      </c>
      <c r="X1633" s="4">
        <f>IF(ISERROR(VLOOKUP($U$1633,'TAR FIN'!$A$1:$O$113,15,0)),0,VLOOKUP($U$1633,'TAR FIN'!$A$1:$O$113,15,0))</f>
        <v>222.31</v>
      </c>
      <c r="Y1633" s="4"/>
      <c r="Z1633" s="4">
        <f ca="1">('TUSD BE'!$AM$67+'TUSD BF'!$AM$67+'TUSD CVA'!$AM$67)*1</f>
        <v>298.54935824624732</v>
      </c>
      <c r="AA1633" s="4">
        <f>('TE BE'!$AA$46+'TE BF'!$AA$46+'TE CVA'!$AA$46)*1</f>
        <v>223.14561812044704</v>
      </c>
      <c r="AB1633" s="4">
        <f>$K$1633*$V$1633</f>
        <v>0</v>
      </c>
      <c r="AC1633" s="4">
        <f>$M$1633*$W$1633</f>
        <v>29340.58727</v>
      </c>
      <c r="AD1633" s="4">
        <f>$O$1633*$X$1633</f>
        <v>26058.511269999999</v>
      </c>
      <c r="AE1633" s="4">
        <f>$K$1633*$Y$1633</f>
        <v>0</v>
      </c>
      <c r="AF1633" s="4">
        <f ca="1">$M$1633*$Z$1633</f>
        <v>34995.060125550372</v>
      </c>
      <c r="AG1633" s="4">
        <f>$O$1633*$AA$1633</f>
        <v>26156.459919224439</v>
      </c>
    </row>
    <row r="1634" spans="1:33" ht="11.25" customHeight="1" x14ac:dyDescent="0.25">
      <c r="A1634" s="3" t="s">
        <v>28</v>
      </c>
      <c r="B1634" s="3" t="s">
        <v>37</v>
      </c>
      <c r="C1634" s="3" t="s">
        <v>33</v>
      </c>
      <c r="D1634" s="3" t="s">
        <v>43</v>
      </c>
      <c r="E1634" s="3" t="s">
        <v>25</v>
      </c>
      <c r="F1634" s="3" t="s">
        <v>25</v>
      </c>
      <c r="G1634" s="3" t="s">
        <v>25</v>
      </c>
      <c r="H1634" s="3" t="s">
        <v>35</v>
      </c>
      <c r="I1634" s="6">
        <v>44470</v>
      </c>
      <c r="J1634" s="4">
        <v>0</v>
      </c>
      <c r="K1634" s="4">
        <v>0</v>
      </c>
      <c r="L1634" s="4">
        <v>0.78300000000000003</v>
      </c>
      <c r="M1634" s="4">
        <v>0.78300000000000003</v>
      </c>
      <c r="N1634" s="4">
        <v>0.78300000000000003</v>
      </c>
      <c r="O1634" s="4">
        <v>0.78300000000000003</v>
      </c>
      <c r="P1634" s="4">
        <v>0</v>
      </c>
      <c r="Q1634" s="3" t="s">
        <v>26</v>
      </c>
      <c r="R1634" s="3">
        <v>0</v>
      </c>
      <c r="S1634" s="4">
        <v>0</v>
      </c>
      <c r="T1634" s="4">
        <v>83</v>
      </c>
      <c r="U1634" s="4">
        <v>61</v>
      </c>
      <c r="V1634" s="4">
        <f>IF(ISERROR(VLOOKUP($S$1634,'TAR FIN'!$A$1:$O$113,15,0)),0,VLOOKUP($S$1634,'TAR FIN'!$A$1:$O$113,15,0))</f>
        <v>0</v>
      </c>
      <c r="W1634" s="4">
        <f>IF(ISERROR(VLOOKUP($T$1634,'TAR FIN'!$A$1:$O$113,15,0)),0,VLOOKUP($T$1634,'TAR FIN'!$A$1:$O$113,15,0))</f>
        <v>250.31</v>
      </c>
      <c r="X1634" s="4">
        <f>IF(ISERROR(VLOOKUP($U$1634,'TAR FIN'!$A$1:$O$113,15,0)),0,VLOOKUP($U$1634,'TAR FIN'!$A$1:$O$113,15,0))</f>
        <v>222.31</v>
      </c>
      <c r="Y1634" s="4"/>
      <c r="Z1634" s="4">
        <f ca="1">('TUSD BE'!$AM$67+'TUSD BF'!$AM$67+'TUSD CVA'!$AM$67)*1</f>
        <v>298.54935824624732</v>
      </c>
      <c r="AA1634" s="4">
        <f>('TE BE'!$AA$46+'TE BF'!$AA$46+'TE CVA'!$AA$46)*1</f>
        <v>223.14561812044704</v>
      </c>
      <c r="AB1634" s="4">
        <f>$K$1634*$V$1634</f>
        <v>0</v>
      </c>
      <c r="AC1634" s="4">
        <f>$M$1634*$W$1634</f>
        <v>195.99273000000002</v>
      </c>
      <c r="AD1634" s="4">
        <f>$O$1634*$X$1634</f>
        <v>174.06873000000002</v>
      </c>
      <c r="AE1634" s="4">
        <f>$K$1634*$Y$1634</f>
        <v>0</v>
      </c>
      <c r="AF1634" s="4">
        <f ca="1">$M$1634*$Z$1634</f>
        <v>233.76414750681167</v>
      </c>
      <c r="AG1634" s="4">
        <f>$O$1634*$AA$1634</f>
        <v>174.72301898831003</v>
      </c>
    </row>
    <row r="1635" spans="1:33" ht="11.25" customHeight="1" x14ac:dyDescent="0.25">
      <c r="A1635" s="3" t="s">
        <v>21</v>
      </c>
      <c r="B1635" s="3" t="s">
        <v>37</v>
      </c>
      <c r="C1635" s="3" t="s">
        <v>33</v>
      </c>
      <c r="D1635" s="3" t="s">
        <v>43</v>
      </c>
      <c r="E1635" s="3" t="s">
        <v>25</v>
      </c>
      <c r="F1635" s="3" t="s">
        <v>25</v>
      </c>
      <c r="G1635" s="3" t="s">
        <v>25</v>
      </c>
      <c r="H1635" s="3" t="s">
        <v>35</v>
      </c>
      <c r="I1635" s="6">
        <v>44501</v>
      </c>
      <c r="J1635" s="4">
        <v>0</v>
      </c>
      <c r="K1635" s="4">
        <v>0</v>
      </c>
      <c r="L1635" s="4">
        <v>118.175</v>
      </c>
      <c r="M1635" s="4">
        <v>118.175</v>
      </c>
      <c r="N1635" s="4">
        <v>118.175</v>
      </c>
      <c r="O1635" s="4">
        <v>118.175</v>
      </c>
      <c r="P1635" s="4">
        <v>0</v>
      </c>
      <c r="Q1635" s="3" t="s">
        <v>26</v>
      </c>
      <c r="R1635" s="3">
        <v>0</v>
      </c>
      <c r="S1635" s="4">
        <v>0</v>
      </c>
      <c r="T1635" s="4">
        <v>83</v>
      </c>
      <c r="U1635" s="4">
        <v>61</v>
      </c>
      <c r="V1635" s="4">
        <f>IF(ISERROR(VLOOKUP($S$1635,'TAR FIN'!$A$1:$O$113,15,0)),0,VLOOKUP($S$1635,'TAR FIN'!$A$1:$O$113,15,0))</f>
        <v>0</v>
      </c>
      <c r="W1635" s="4">
        <f>IF(ISERROR(VLOOKUP($T$1635,'TAR FIN'!$A$1:$O$113,15,0)),0,VLOOKUP($T$1635,'TAR FIN'!$A$1:$O$113,15,0))</f>
        <v>250.31</v>
      </c>
      <c r="X1635" s="4">
        <f>IF(ISERROR(VLOOKUP($U$1635,'TAR FIN'!$A$1:$O$113,15,0)),0,VLOOKUP($U$1635,'TAR FIN'!$A$1:$O$113,15,0))</f>
        <v>222.31</v>
      </c>
      <c r="Y1635" s="4"/>
      <c r="Z1635" s="4">
        <f ca="1">('TUSD BE'!$AM$67+'TUSD BF'!$AM$67+'TUSD CVA'!$AM$67)*1</f>
        <v>298.54935824624732</v>
      </c>
      <c r="AA1635" s="4">
        <f>('TE BE'!$AA$46+'TE BF'!$AA$46+'TE CVA'!$AA$46)*1</f>
        <v>223.14561812044704</v>
      </c>
      <c r="AB1635" s="4">
        <f>$K$1635*$V$1635</f>
        <v>0</v>
      </c>
      <c r="AC1635" s="4">
        <f>$M$1635*$W$1635</f>
        <v>29580.384249999999</v>
      </c>
      <c r="AD1635" s="4">
        <f>$O$1635*$X$1635</f>
        <v>26271.484250000001</v>
      </c>
      <c r="AE1635" s="4">
        <f>$K$1635*$Y$1635</f>
        <v>0</v>
      </c>
      <c r="AF1635" s="4">
        <f ca="1">$M$1635*$Z$1635</f>
        <v>35281.070410750275</v>
      </c>
      <c r="AG1635" s="4">
        <f>$O$1635*$AA$1635</f>
        <v>26370.233421383829</v>
      </c>
    </row>
    <row r="1636" spans="1:33" ht="11.25" customHeight="1" x14ac:dyDescent="0.25">
      <c r="A1636" s="3" t="s">
        <v>21</v>
      </c>
      <c r="B1636" s="3" t="s">
        <v>37</v>
      </c>
      <c r="C1636" s="3" t="s">
        <v>33</v>
      </c>
      <c r="D1636" s="3" t="s">
        <v>43</v>
      </c>
      <c r="E1636" s="3" t="s">
        <v>25</v>
      </c>
      <c r="F1636" s="3" t="s">
        <v>25</v>
      </c>
      <c r="G1636" s="3" t="s">
        <v>25</v>
      </c>
      <c r="H1636" s="3" t="s">
        <v>35</v>
      </c>
      <c r="I1636" s="6">
        <v>44531</v>
      </c>
      <c r="J1636" s="4">
        <v>0</v>
      </c>
      <c r="K1636" s="4">
        <v>0</v>
      </c>
      <c r="L1636" s="4">
        <v>127.02500000000001</v>
      </c>
      <c r="M1636" s="4">
        <v>127.02500000000001</v>
      </c>
      <c r="N1636" s="4">
        <v>127.02500000000001</v>
      </c>
      <c r="O1636" s="4">
        <v>127.02500000000001</v>
      </c>
      <c r="P1636" s="4">
        <v>0</v>
      </c>
      <c r="Q1636" s="3" t="s">
        <v>26</v>
      </c>
      <c r="R1636" s="3">
        <v>0</v>
      </c>
      <c r="S1636" s="4">
        <v>0</v>
      </c>
      <c r="T1636" s="4">
        <v>83</v>
      </c>
      <c r="U1636" s="4">
        <v>61</v>
      </c>
      <c r="V1636" s="4">
        <f>IF(ISERROR(VLOOKUP($S$1636,'TAR FIN'!$A$1:$O$113,15,0)),0,VLOOKUP($S$1636,'TAR FIN'!$A$1:$O$113,15,0))</f>
        <v>0</v>
      </c>
      <c r="W1636" s="4">
        <f>IF(ISERROR(VLOOKUP($T$1636,'TAR FIN'!$A$1:$O$113,15,0)),0,VLOOKUP($T$1636,'TAR FIN'!$A$1:$O$113,15,0))</f>
        <v>250.31</v>
      </c>
      <c r="X1636" s="4">
        <f>IF(ISERROR(VLOOKUP($U$1636,'TAR FIN'!$A$1:$O$113,15,0)),0,VLOOKUP($U$1636,'TAR FIN'!$A$1:$O$113,15,0))</f>
        <v>222.31</v>
      </c>
      <c r="Y1636" s="4"/>
      <c r="Z1636" s="4">
        <f ca="1">('TUSD BE'!$AM$67+'TUSD BF'!$AM$67+'TUSD CVA'!$AM$67)*1</f>
        <v>298.54935824624732</v>
      </c>
      <c r="AA1636" s="4">
        <f>('TE BE'!$AA$46+'TE BF'!$AA$46+'TE CVA'!$AA$46)*1</f>
        <v>223.14561812044704</v>
      </c>
      <c r="AB1636" s="4">
        <f>$K$1636*$V$1636</f>
        <v>0</v>
      </c>
      <c r="AC1636" s="4">
        <f>$M$1636*$W$1636</f>
        <v>31795.627750000003</v>
      </c>
      <c r="AD1636" s="4">
        <f>$O$1636*$X$1636</f>
        <v>28238.927750000003</v>
      </c>
      <c r="AE1636" s="4">
        <f>$K$1636*$Y$1636</f>
        <v>0</v>
      </c>
      <c r="AF1636" s="4">
        <f ca="1">$M$1636*$Z$1636</f>
        <v>37923.232231229566</v>
      </c>
      <c r="AG1636" s="4">
        <f>$O$1636*$AA$1636</f>
        <v>28345.072141749788</v>
      </c>
    </row>
    <row r="1637" spans="1:33" ht="11.25" customHeight="1" x14ac:dyDescent="0.25">
      <c r="A1637" s="3" t="s">
        <v>21</v>
      </c>
      <c r="B1637" s="3" t="s">
        <v>37</v>
      </c>
      <c r="C1637" s="3" t="s">
        <v>33</v>
      </c>
      <c r="D1637" s="3" t="s">
        <v>43</v>
      </c>
      <c r="E1637" s="3" t="s">
        <v>25</v>
      </c>
      <c r="F1637" s="3" t="s">
        <v>25</v>
      </c>
      <c r="G1637" s="3" t="s">
        <v>25</v>
      </c>
      <c r="H1637" s="3" t="s">
        <v>35</v>
      </c>
      <c r="I1637" s="6">
        <v>44562</v>
      </c>
      <c r="J1637" s="4">
        <v>0</v>
      </c>
      <c r="K1637" s="4">
        <v>0</v>
      </c>
      <c r="L1637" s="4">
        <v>123.901</v>
      </c>
      <c r="M1637" s="4">
        <v>123.901</v>
      </c>
      <c r="N1637" s="4">
        <v>123.901</v>
      </c>
      <c r="O1637" s="4">
        <v>123.901</v>
      </c>
      <c r="P1637" s="4">
        <v>0</v>
      </c>
      <c r="Q1637" s="3" t="s">
        <v>26</v>
      </c>
      <c r="R1637" s="3">
        <v>0</v>
      </c>
      <c r="S1637" s="4">
        <v>0</v>
      </c>
      <c r="T1637" s="4">
        <v>83</v>
      </c>
      <c r="U1637" s="4">
        <v>61</v>
      </c>
      <c r="V1637" s="4">
        <f>IF(ISERROR(VLOOKUP($S$1637,'TAR FIN'!$A$1:$O$113,15,0)),0,VLOOKUP($S$1637,'TAR FIN'!$A$1:$O$113,15,0))</f>
        <v>0</v>
      </c>
      <c r="W1637" s="4">
        <f>IF(ISERROR(VLOOKUP($T$1637,'TAR FIN'!$A$1:$O$113,15,0)),0,VLOOKUP($T$1637,'TAR FIN'!$A$1:$O$113,15,0))</f>
        <v>250.31</v>
      </c>
      <c r="X1637" s="4">
        <f>IF(ISERROR(VLOOKUP($U$1637,'TAR FIN'!$A$1:$O$113,15,0)),0,VLOOKUP($U$1637,'TAR FIN'!$A$1:$O$113,15,0))</f>
        <v>222.31</v>
      </c>
      <c r="Y1637" s="4"/>
      <c r="Z1637" s="4">
        <f ca="1">('TUSD BE'!$AM$67+'TUSD BF'!$AM$67+'TUSD CVA'!$AM$67)*1</f>
        <v>298.54935824624732</v>
      </c>
      <c r="AA1637" s="4">
        <f>('TE BE'!$AA$46+'TE BF'!$AA$46+'TE CVA'!$AA$46)*1</f>
        <v>223.14561812044704</v>
      </c>
      <c r="AB1637" s="4">
        <f>$K$1637*$V$1637</f>
        <v>0</v>
      </c>
      <c r="AC1637" s="4">
        <f>$M$1637*$W$1637</f>
        <v>31013.659309999999</v>
      </c>
      <c r="AD1637" s="4">
        <f>$O$1637*$X$1637</f>
        <v>27544.43131</v>
      </c>
      <c r="AE1637" s="4">
        <f>$K$1637*$Y$1637</f>
        <v>0</v>
      </c>
      <c r="AF1637" s="4">
        <f ca="1">$M$1637*$Z$1637</f>
        <v>36990.564036068288</v>
      </c>
      <c r="AG1637" s="4">
        <f>$O$1637*$AA$1637</f>
        <v>27647.965230741509</v>
      </c>
    </row>
    <row r="1638" spans="1:33" ht="11.25" customHeight="1" x14ac:dyDescent="0.25">
      <c r="A1638" s="3" t="s">
        <v>28</v>
      </c>
      <c r="B1638" s="3" t="s">
        <v>37</v>
      </c>
      <c r="C1638" s="3" t="s">
        <v>33</v>
      </c>
      <c r="D1638" s="3" t="s">
        <v>43</v>
      </c>
      <c r="E1638" s="3" t="s">
        <v>25</v>
      </c>
      <c r="F1638" s="3" t="s">
        <v>25</v>
      </c>
      <c r="G1638" s="3" t="s">
        <v>25</v>
      </c>
      <c r="H1638" s="3" t="s">
        <v>35</v>
      </c>
      <c r="I1638" s="6">
        <v>44562</v>
      </c>
      <c r="J1638" s="4">
        <v>0</v>
      </c>
      <c r="K1638" s="4">
        <v>0</v>
      </c>
      <c r="L1638" s="4">
        <v>1.1459999999999999</v>
      </c>
      <c r="M1638" s="4">
        <v>1.1459999999999999</v>
      </c>
      <c r="N1638" s="4">
        <v>1.1459999999999999</v>
      </c>
      <c r="O1638" s="4">
        <v>1.1459999999999999</v>
      </c>
      <c r="P1638" s="4">
        <v>0</v>
      </c>
      <c r="Q1638" s="3" t="s">
        <v>26</v>
      </c>
      <c r="R1638" s="3">
        <v>0</v>
      </c>
      <c r="S1638" s="4">
        <v>0</v>
      </c>
      <c r="T1638" s="4">
        <v>83</v>
      </c>
      <c r="U1638" s="4">
        <v>61</v>
      </c>
      <c r="V1638" s="4">
        <f>IF(ISERROR(VLOOKUP($S$1638,'TAR FIN'!$A$1:$O$113,15,0)),0,VLOOKUP($S$1638,'TAR FIN'!$A$1:$O$113,15,0))</f>
        <v>0</v>
      </c>
      <c r="W1638" s="4">
        <f>IF(ISERROR(VLOOKUP($T$1638,'TAR FIN'!$A$1:$O$113,15,0)),0,VLOOKUP($T$1638,'TAR FIN'!$A$1:$O$113,15,0))</f>
        <v>250.31</v>
      </c>
      <c r="X1638" s="4">
        <f>IF(ISERROR(VLOOKUP($U$1638,'TAR FIN'!$A$1:$O$113,15,0)),0,VLOOKUP($U$1638,'TAR FIN'!$A$1:$O$113,15,0))</f>
        <v>222.31</v>
      </c>
      <c r="Y1638" s="4"/>
      <c r="Z1638" s="4">
        <f ca="1">('TUSD BE'!$AM$67+'TUSD BF'!$AM$67+'TUSD CVA'!$AM$67)*1</f>
        <v>298.54935824624732</v>
      </c>
      <c r="AA1638" s="4">
        <f>('TE BE'!$AA$46+'TE BF'!$AA$46+'TE CVA'!$AA$46)*1</f>
        <v>223.14561812044704</v>
      </c>
      <c r="AB1638" s="4">
        <f>$K$1638*$V$1638</f>
        <v>0</v>
      </c>
      <c r="AC1638" s="4">
        <f>$M$1638*$W$1638</f>
        <v>286.85525999999999</v>
      </c>
      <c r="AD1638" s="4">
        <f>$O$1638*$X$1638</f>
        <v>254.76725999999999</v>
      </c>
      <c r="AE1638" s="4">
        <f>$K$1638*$Y$1638</f>
        <v>0</v>
      </c>
      <c r="AF1638" s="4">
        <f ca="1">$M$1638*$Z$1638</f>
        <v>342.13756455019939</v>
      </c>
      <c r="AG1638" s="4">
        <f>$O$1638*$AA$1638</f>
        <v>255.7248783660323</v>
      </c>
    </row>
    <row r="1639" spans="1:33" ht="11.25" customHeight="1" x14ac:dyDescent="0.25">
      <c r="A1639" s="3" t="s">
        <v>21</v>
      </c>
      <c r="B1639" s="3" t="s">
        <v>37</v>
      </c>
      <c r="C1639" s="3" t="s">
        <v>33</v>
      </c>
      <c r="D1639" s="3" t="s">
        <v>43</v>
      </c>
      <c r="E1639" s="3" t="s">
        <v>25</v>
      </c>
      <c r="F1639" s="3" t="s">
        <v>25</v>
      </c>
      <c r="G1639" s="3" t="s">
        <v>25</v>
      </c>
      <c r="H1639" s="3" t="s">
        <v>35</v>
      </c>
      <c r="I1639" s="6">
        <v>44593</v>
      </c>
      <c r="J1639" s="4">
        <v>0</v>
      </c>
      <c r="K1639" s="4">
        <v>0</v>
      </c>
      <c r="L1639" s="4">
        <v>116.524</v>
      </c>
      <c r="M1639" s="4">
        <v>116.524</v>
      </c>
      <c r="N1639" s="4">
        <v>116.524</v>
      </c>
      <c r="O1639" s="4">
        <v>116.524</v>
      </c>
      <c r="P1639" s="4">
        <v>0</v>
      </c>
      <c r="Q1639" s="3" t="s">
        <v>26</v>
      </c>
      <c r="R1639" s="3">
        <v>0</v>
      </c>
      <c r="S1639" s="4">
        <v>0</v>
      </c>
      <c r="T1639" s="4">
        <v>83</v>
      </c>
      <c r="U1639" s="4">
        <v>61</v>
      </c>
      <c r="V1639" s="4">
        <f>IF(ISERROR(VLOOKUP($S$1639,'TAR FIN'!$A$1:$O$113,15,0)),0,VLOOKUP($S$1639,'TAR FIN'!$A$1:$O$113,15,0))</f>
        <v>0</v>
      </c>
      <c r="W1639" s="4">
        <f>IF(ISERROR(VLOOKUP($T$1639,'TAR FIN'!$A$1:$O$113,15,0)),0,VLOOKUP($T$1639,'TAR FIN'!$A$1:$O$113,15,0))</f>
        <v>250.31</v>
      </c>
      <c r="X1639" s="4">
        <f>IF(ISERROR(VLOOKUP($U$1639,'TAR FIN'!$A$1:$O$113,15,0)),0,VLOOKUP($U$1639,'TAR FIN'!$A$1:$O$113,15,0))</f>
        <v>222.31</v>
      </c>
      <c r="Y1639" s="4"/>
      <c r="Z1639" s="4">
        <f ca="1">('TUSD BE'!$AM$67+'TUSD BF'!$AM$67+'TUSD CVA'!$AM$67)*1</f>
        <v>298.54935824624732</v>
      </c>
      <c r="AA1639" s="4">
        <f>('TE BE'!$AA$46+'TE BF'!$AA$46+'TE CVA'!$AA$46)*1</f>
        <v>223.14561812044704</v>
      </c>
      <c r="AB1639" s="4">
        <f>$K$1639*$V$1639</f>
        <v>0</v>
      </c>
      <c r="AC1639" s="4">
        <f>$M$1639*$W$1639</f>
        <v>29167.122439999999</v>
      </c>
      <c r="AD1639" s="4">
        <f>$O$1639*$X$1639</f>
        <v>25904.450440000001</v>
      </c>
      <c r="AE1639" s="4">
        <f>$K$1639*$Y$1639</f>
        <v>0</v>
      </c>
      <c r="AF1639" s="4">
        <f ca="1">$M$1639*$Z$1639</f>
        <v>34788.165420285724</v>
      </c>
      <c r="AG1639" s="4">
        <f>$O$1639*$AA$1639</f>
        <v>26001.820005866972</v>
      </c>
    </row>
    <row r="1640" spans="1:33" ht="11.25" customHeight="1" x14ac:dyDescent="0.25">
      <c r="A1640" s="3" t="s">
        <v>56</v>
      </c>
      <c r="B1640" s="3" t="s">
        <v>37</v>
      </c>
      <c r="C1640" s="3" t="s">
        <v>33</v>
      </c>
      <c r="D1640" s="3" t="s">
        <v>43</v>
      </c>
      <c r="E1640" s="3" t="s">
        <v>25</v>
      </c>
      <c r="F1640" s="3" t="s">
        <v>25</v>
      </c>
      <c r="G1640" s="3" t="s">
        <v>25</v>
      </c>
      <c r="H1640" s="3" t="s">
        <v>35</v>
      </c>
      <c r="I1640" s="6">
        <v>44621</v>
      </c>
      <c r="J1640" s="4">
        <v>0</v>
      </c>
      <c r="K1640" s="4">
        <v>0</v>
      </c>
      <c r="L1640" s="4">
        <v>116.524</v>
      </c>
      <c r="M1640" s="4">
        <v>116.524</v>
      </c>
      <c r="N1640" s="4">
        <v>116.524</v>
      </c>
      <c r="O1640" s="4">
        <v>116.524</v>
      </c>
      <c r="P1640" s="4">
        <v>0</v>
      </c>
      <c r="Q1640" s="3" t="s">
        <v>26</v>
      </c>
      <c r="R1640" s="3">
        <v>0</v>
      </c>
      <c r="S1640" s="4">
        <v>0</v>
      </c>
      <c r="T1640" s="4">
        <v>83</v>
      </c>
      <c r="U1640" s="4">
        <v>61</v>
      </c>
      <c r="V1640" s="4">
        <f>IF(ISERROR(VLOOKUP($S$1640,'TAR FIN'!$A$1:$O$113,15,0)),0,VLOOKUP($S$1640,'TAR FIN'!$A$1:$O$113,15,0))</f>
        <v>0</v>
      </c>
      <c r="W1640" s="4">
        <f>IF(ISERROR(VLOOKUP($T$1640,'TAR FIN'!$A$1:$O$113,15,0)),0,VLOOKUP($T$1640,'TAR FIN'!$A$1:$O$113,15,0))</f>
        <v>250.31</v>
      </c>
      <c r="X1640" s="4">
        <f>IF(ISERROR(VLOOKUP($U$1640,'TAR FIN'!$A$1:$O$113,15,0)),0,VLOOKUP($U$1640,'TAR FIN'!$A$1:$O$113,15,0))</f>
        <v>222.31</v>
      </c>
      <c r="Y1640" s="4"/>
      <c r="Z1640" s="4">
        <f ca="1">('TUSD BE'!$AM$67+'TUSD BF'!$AM$67+'TUSD CVA'!$AM$67)*1</f>
        <v>298.54935824624732</v>
      </c>
      <c r="AA1640" s="4">
        <f>('TE BE'!$AA$46+'TE BF'!$AA$46+'TE CVA'!$AA$46)*1</f>
        <v>223.14561812044704</v>
      </c>
      <c r="AB1640" s="4">
        <f>$K$1640*$V$1640</f>
        <v>0</v>
      </c>
      <c r="AC1640" s="4">
        <f>$M$1640*$W$1640</f>
        <v>29167.122439999999</v>
      </c>
      <c r="AD1640" s="4">
        <f>$O$1640*$X$1640</f>
        <v>25904.450440000001</v>
      </c>
      <c r="AE1640" s="4">
        <f>$K$1640*$Y$1640</f>
        <v>0</v>
      </c>
      <c r="AF1640" s="4">
        <f ca="1">$M$1640*$Z$1640</f>
        <v>34788.165420285724</v>
      </c>
      <c r="AG1640" s="4">
        <f>$O$1640*$AA$1640</f>
        <v>26001.820005866972</v>
      </c>
    </row>
    <row r="1641" spans="1:33" ht="11.25" customHeight="1" x14ac:dyDescent="0.25">
      <c r="A1641" s="3" t="s">
        <v>21</v>
      </c>
      <c r="B1641" s="3" t="s">
        <v>37</v>
      </c>
      <c r="C1641" s="3" t="s">
        <v>33</v>
      </c>
      <c r="D1641" s="3" t="s">
        <v>43</v>
      </c>
      <c r="E1641" s="3" t="s">
        <v>25</v>
      </c>
      <c r="F1641" s="3" t="s">
        <v>25</v>
      </c>
      <c r="G1641" s="3" t="s">
        <v>25</v>
      </c>
      <c r="H1641" s="3" t="s">
        <v>36</v>
      </c>
      <c r="I1641" s="6">
        <v>44287</v>
      </c>
      <c r="J1641" s="4">
        <v>0</v>
      </c>
      <c r="K1641" s="4">
        <v>0</v>
      </c>
      <c r="L1641" s="4">
        <v>5.09</v>
      </c>
      <c r="M1641" s="4">
        <v>5.09</v>
      </c>
      <c r="N1641" s="4">
        <v>5.09</v>
      </c>
      <c r="O1641" s="4">
        <v>5.09</v>
      </c>
      <c r="P1641" s="4">
        <v>0</v>
      </c>
      <c r="Q1641" s="3" t="s">
        <v>26</v>
      </c>
      <c r="R1641" s="3">
        <v>0</v>
      </c>
      <c r="S1641" s="4">
        <v>0</v>
      </c>
      <c r="T1641" s="4">
        <v>82</v>
      </c>
      <c r="U1641" s="4">
        <v>60</v>
      </c>
      <c r="V1641" s="4">
        <f>IF(ISERROR(VLOOKUP($S$1641,'TAR FIN'!$A$1:$O$113,15,0)),0,VLOOKUP($S$1641,'TAR FIN'!$A$1:$O$113,15,0))</f>
        <v>0</v>
      </c>
      <c r="W1641" s="4">
        <f>IF(ISERROR(VLOOKUP($T$1641,'TAR FIN'!$A$1:$O$113,15,0)),0,VLOOKUP($T$1641,'TAR FIN'!$A$1:$O$113,15,0))</f>
        <v>606.46</v>
      </c>
      <c r="X1641" s="4">
        <f>IF(ISERROR(VLOOKUP($U$1641,'TAR FIN'!$A$1:$O$113,15,0)),0,VLOOKUP($U$1641,'TAR FIN'!$A$1:$O$113,15,0))</f>
        <v>222.31</v>
      </c>
      <c r="Y1641" s="4"/>
      <c r="Z1641" s="4">
        <f ca="1">('TUSD BE'!$AM$66+'TUSD BF'!$AM$66+'TUSD CVA'!$AM$66)*1</f>
        <v>716.75210650833424</v>
      </c>
      <c r="AA1641" s="4">
        <f>('TE BE'!$AA$45+'TE BF'!$AA$45+'TE CVA'!$AA$45)*1</f>
        <v>223.14561812044704</v>
      </c>
      <c r="AB1641" s="4">
        <f>$K$1641*$V$1641</f>
        <v>0</v>
      </c>
      <c r="AC1641" s="4">
        <f>$M$1641*$W$1641</f>
        <v>3086.8814000000002</v>
      </c>
      <c r="AD1641" s="4">
        <f>$O$1641*$X$1641</f>
        <v>1131.5579</v>
      </c>
      <c r="AE1641" s="4">
        <f>$K$1641*$Y$1641</f>
        <v>0</v>
      </c>
      <c r="AF1641" s="4">
        <f ca="1">$M$1641*$Z$1641</f>
        <v>3648.2682221274213</v>
      </c>
      <c r="AG1641" s="4">
        <f>$O$1641*$AA$1641</f>
        <v>1135.8111962330754</v>
      </c>
    </row>
    <row r="1642" spans="1:33" ht="11.25" customHeight="1" x14ac:dyDescent="0.25">
      <c r="A1642" s="3" t="s">
        <v>21</v>
      </c>
      <c r="B1642" s="3" t="s">
        <v>37</v>
      </c>
      <c r="C1642" s="3" t="s">
        <v>33</v>
      </c>
      <c r="D1642" s="3" t="s">
        <v>43</v>
      </c>
      <c r="E1642" s="3" t="s">
        <v>25</v>
      </c>
      <c r="F1642" s="3" t="s">
        <v>25</v>
      </c>
      <c r="G1642" s="3" t="s">
        <v>25</v>
      </c>
      <c r="H1642" s="3" t="s">
        <v>36</v>
      </c>
      <c r="I1642" s="6">
        <v>44317</v>
      </c>
      <c r="J1642" s="4">
        <v>0</v>
      </c>
      <c r="K1642" s="4">
        <v>0</v>
      </c>
      <c r="L1642" s="4">
        <v>4.9470000000000001</v>
      </c>
      <c r="M1642" s="4">
        <v>4.9470000000000001</v>
      </c>
      <c r="N1642" s="4">
        <v>4.9470000000000001</v>
      </c>
      <c r="O1642" s="4">
        <v>4.9470000000000001</v>
      </c>
      <c r="P1642" s="4">
        <v>0</v>
      </c>
      <c r="Q1642" s="3" t="s">
        <v>26</v>
      </c>
      <c r="R1642" s="3">
        <v>0</v>
      </c>
      <c r="S1642" s="4">
        <v>0</v>
      </c>
      <c r="T1642" s="4">
        <v>82</v>
      </c>
      <c r="U1642" s="4">
        <v>60</v>
      </c>
      <c r="V1642" s="4">
        <f>IF(ISERROR(VLOOKUP($S$1642,'TAR FIN'!$A$1:$O$113,15,0)),0,VLOOKUP($S$1642,'TAR FIN'!$A$1:$O$113,15,0))</f>
        <v>0</v>
      </c>
      <c r="W1642" s="4">
        <f>IF(ISERROR(VLOOKUP($T$1642,'TAR FIN'!$A$1:$O$113,15,0)),0,VLOOKUP($T$1642,'TAR FIN'!$A$1:$O$113,15,0))</f>
        <v>606.46</v>
      </c>
      <c r="X1642" s="4">
        <f>IF(ISERROR(VLOOKUP($U$1642,'TAR FIN'!$A$1:$O$113,15,0)),0,VLOOKUP($U$1642,'TAR FIN'!$A$1:$O$113,15,0))</f>
        <v>222.31</v>
      </c>
      <c r="Y1642" s="4"/>
      <c r="Z1642" s="4">
        <f ca="1">('TUSD BE'!$AM$66+'TUSD BF'!$AM$66+'TUSD CVA'!$AM$66)*1</f>
        <v>716.75210650833424</v>
      </c>
      <c r="AA1642" s="4">
        <f>('TE BE'!$AA$45+'TE BF'!$AA$45+'TE CVA'!$AA$45)*1</f>
        <v>223.14561812044704</v>
      </c>
      <c r="AB1642" s="4">
        <f>$K$1642*$V$1642</f>
        <v>0</v>
      </c>
      <c r="AC1642" s="4">
        <f>$M$1642*$W$1642</f>
        <v>3000.1576200000004</v>
      </c>
      <c r="AD1642" s="4">
        <f>$O$1642*$X$1642</f>
        <v>1099.76757</v>
      </c>
      <c r="AE1642" s="4">
        <f>$K$1642*$Y$1642</f>
        <v>0</v>
      </c>
      <c r="AF1642" s="4">
        <f ca="1">$M$1642*$Z$1642</f>
        <v>3545.7726708967293</v>
      </c>
      <c r="AG1642" s="4">
        <f>$O$1642*$AA$1642</f>
        <v>1103.9013728418515</v>
      </c>
    </row>
    <row r="1643" spans="1:33" ht="11.25" customHeight="1" x14ac:dyDescent="0.25">
      <c r="A1643" s="3" t="s">
        <v>21</v>
      </c>
      <c r="B1643" s="3" t="s">
        <v>37</v>
      </c>
      <c r="C1643" s="3" t="s">
        <v>33</v>
      </c>
      <c r="D1643" s="3" t="s">
        <v>43</v>
      </c>
      <c r="E1643" s="3" t="s">
        <v>25</v>
      </c>
      <c r="F1643" s="3" t="s">
        <v>25</v>
      </c>
      <c r="G1643" s="3" t="s">
        <v>25</v>
      </c>
      <c r="H1643" s="3" t="s">
        <v>36</v>
      </c>
      <c r="I1643" s="6">
        <v>44348</v>
      </c>
      <c r="J1643" s="4">
        <v>0</v>
      </c>
      <c r="K1643" s="4">
        <v>0</v>
      </c>
      <c r="L1643" s="4">
        <v>4.702</v>
      </c>
      <c r="M1643" s="4">
        <v>4.702</v>
      </c>
      <c r="N1643" s="4">
        <v>4.702</v>
      </c>
      <c r="O1643" s="4">
        <v>4.702</v>
      </c>
      <c r="P1643" s="4">
        <v>0</v>
      </c>
      <c r="Q1643" s="3" t="s">
        <v>26</v>
      </c>
      <c r="R1643" s="3">
        <v>0</v>
      </c>
      <c r="S1643" s="4">
        <v>0</v>
      </c>
      <c r="T1643" s="4">
        <v>82</v>
      </c>
      <c r="U1643" s="4">
        <v>60</v>
      </c>
      <c r="V1643" s="4">
        <f>IF(ISERROR(VLOOKUP($S$1643,'TAR FIN'!$A$1:$O$113,15,0)),0,VLOOKUP($S$1643,'TAR FIN'!$A$1:$O$113,15,0))</f>
        <v>0</v>
      </c>
      <c r="W1643" s="4">
        <f>IF(ISERROR(VLOOKUP($T$1643,'TAR FIN'!$A$1:$O$113,15,0)),0,VLOOKUP($T$1643,'TAR FIN'!$A$1:$O$113,15,0))</f>
        <v>606.46</v>
      </c>
      <c r="X1643" s="4">
        <f>IF(ISERROR(VLOOKUP($U$1643,'TAR FIN'!$A$1:$O$113,15,0)),0,VLOOKUP($U$1643,'TAR FIN'!$A$1:$O$113,15,0))</f>
        <v>222.31</v>
      </c>
      <c r="Y1643" s="4"/>
      <c r="Z1643" s="4">
        <f ca="1">('TUSD BE'!$AM$66+'TUSD BF'!$AM$66+'TUSD CVA'!$AM$66)*1</f>
        <v>716.75210650833424</v>
      </c>
      <c r="AA1643" s="4">
        <f>('TE BE'!$AA$45+'TE BF'!$AA$45+'TE CVA'!$AA$45)*1</f>
        <v>223.14561812044704</v>
      </c>
      <c r="AB1643" s="4">
        <f>$K$1643*$V$1643</f>
        <v>0</v>
      </c>
      <c r="AC1643" s="4">
        <f>$M$1643*$W$1643</f>
        <v>2851.57492</v>
      </c>
      <c r="AD1643" s="4">
        <f>$O$1643*$X$1643</f>
        <v>1045.30162</v>
      </c>
      <c r="AE1643" s="4">
        <f>$K$1643*$Y$1643</f>
        <v>0</v>
      </c>
      <c r="AF1643" s="4">
        <f ca="1">$M$1643*$Z$1643</f>
        <v>3370.1684048021875</v>
      </c>
      <c r="AG1643" s="4">
        <f>$O$1643*$AA$1643</f>
        <v>1049.2306964023419</v>
      </c>
    </row>
    <row r="1644" spans="1:33" ht="11.25" customHeight="1" x14ac:dyDescent="0.25">
      <c r="A1644" s="3" t="s">
        <v>21</v>
      </c>
      <c r="B1644" s="3" t="s">
        <v>37</v>
      </c>
      <c r="C1644" s="3" t="s">
        <v>33</v>
      </c>
      <c r="D1644" s="3" t="s">
        <v>43</v>
      </c>
      <c r="E1644" s="3" t="s">
        <v>25</v>
      </c>
      <c r="F1644" s="3" t="s">
        <v>25</v>
      </c>
      <c r="G1644" s="3" t="s">
        <v>25</v>
      </c>
      <c r="H1644" s="3" t="s">
        <v>36</v>
      </c>
      <c r="I1644" s="6">
        <v>44378</v>
      </c>
      <c r="J1644" s="4">
        <v>0</v>
      </c>
      <c r="K1644" s="4">
        <v>0</v>
      </c>
      <c r="L1644" s="4">
        <v>5.1050000000000004</v>
      </c>
      <c r="M1644" s="4">
        <v>5.1050000000000004</v>
      </c>
      <c r="N1644" s="4">
        <v>5.1050000000000004</v>
      </c>
      <c r="O1644" s="4">
        <v>5.1050000000000004</v>
      </c>
      <c r="P1644" s="4">
        <v>0</v>
      </c>
      <c r="Q1644" s="3" t="s">
        <v>26</v>
      </c>
      <c r="R1644" s="3">
        <v>0</v>
      </c>
      <c r="S1644" s="4">
        <v>0</v>
      </c>
      <c r="T1644" s="4">
        <v>82</v>
      </c>
      <c r="U1644" s="4">
        <v>60</v>
      </c>
      <c r="V1644" s="4">
        <f>IF(ISERROR(VLOOKUP($S$1644,'TAR FIN'!$A$1:$O$113,15,0)),0,VLOOKUP($S$1644,'TAR FIN'!$A$1:$O$113,15,0))</f>
        <v>0</v>
      </c>
      <c r="W1644" s="4">
        <f>IF(ISERROR(VLOOKUP($T$1644,'TAR FIN'!$A$1:$O$113,15,0)),0,VLOOKUP($T$1644,'TAR FIN'!$A$1:$O$113,15,0))</f>
        <v>606.46</v>
      </c>
      <c r="X1644" s="4">
        <f>IF(ISERROR(VLOOKUP($U$1644,'TAR FIN'!$A$1:$O$113,15,0)),0,VLOOKUP($U$1644,'TAR FIN'!$A$1:$O$113,15,0))</f>
        <v>222.31</v>
      </c>
      <c r="Y1644" s="4"/>
      <c r="Z1644" s="4">
        <f ca="1">('TUSD BE'!$AM$66+'TUSD BF'!$AM$66+'TUSD CVA'!$AM$66)*1</f>
        <v>716.75210650833424</v>
      </c>
      <c r="AA1644" s="4">
        <f>('TE BE'!$AA$45+'TE BF'!$AA$45+'TE CVA'!$AA$45)*1</f>
        <v>223.14561812044704</v>
      </c>
      <c r="AB1644" s="4">
        <f>$K$1644*$V$1644</f>
        <v>0</v>
      </c>
      <c r="AC1644" s="4">
        <f>$M$1644*$W$1644</f>
        <v>3095.9783000000002</v>
      </c>
      <c r="AD1644" s="4">
        <f>$O$1644*$X$1644</f>
        <v>1134.89255</v>
      </c>
      <c r="AE1644" s="4">
        <f>$K$1644*$Y$1644</f>
        <v>0</v>
      </c>
      <c r="AF1644" s="4">
        <f ca="1">$M$1644*$Z$1644</f>
        <v>3659.0195037250464</v>
      </c>
      <c r="AG1644" s="4">
        <f>$O$1644*$AA$1644</f>
        <v>1139.1583805048822</v>
      </c>
    </row>
    <row r="1645" spans="1:33" ht="11.25" customHeight="1" x14ac:dyDescent="0.25">
      <c r="A1645" s="3" t="s">
        <v>21</v>
      </c>
      <c r="B1645" s="3" t="s">
        <v>37</v>
      </c>
      <c r="C1645" s="3" t="s">
        <v>33</v>
      </c>
      <c r="D1645" s="3" t="s">
        <v>43</v>
      </c>
      <c r="E1645" s="3" t="s">
        <v>25</v>
      </c>
      <c r="F1645" s="3" t="s">
        <v>25</v>
      </c>
      <c r="G1645" s="3" t="s">
        <v>25</v>
      </c>
      <c r="H1645" s="3" t="s">
        <v>36</v>
      </c>
      <c r="I1645" s="6">
        <v>44409</v>
      </c>
      <c r="J1645" s="4">
        <v>0</v>
      </c>
      <c r="K1645" s="4">
        <v>0</v>
      </c>
      <c r="L1645" s="4">
        <v>5.3280000000000003</v>
      </c>
      <c r="M1645" s="4">
        <v>5.3280000000000003</v>
      </c>
      <c r="N1645" s="4">
        <v>5.3280000000000003</v>
      </c>
      <c r="O1645" s="4">
        <v>5.3280000000000003</v>
      </c>
      <c r="P1645" s="4">
        <v>0</v>
      </c>
      <c r="Q1645" s="3" t="s">
        <v>26</v>
      </c>
      <c r="R1645" s="3">
        <v>0</v>
      </c>
      <c r="S1645" s="4">
        <v>0</v>
      </c>
      <c r="T1645" s="4">
        <v>82</v>
      </c>
      <c r="U1645" s="4">
        <v>60</v>
      </c>
      <c r="V1645" s="4">
        <f>IF(ISERROR(VLOOKUP($S$1645,'TAR FIN'!$A$1:$O$113,15,0)),0,VLOOKUP($S$1645,'TAR FIN'!$A$1:$O$113,15,0))</f>
        <v>0</v>
      </c>
      <c r="W1645" s="4">
        <f>IF(ISERROR(VLOOKUP($T$1645,'TAR FIN'!$A$1:$O$113,15,0)),0,VLOOKUP($T$1645,'TAR FIN'!$A$1:$O$113,15,0))</f>
        <v>606.46</v>
      </c>
      <c r="X1645" s="4">
        <f>IF(ISERROR(VLOOKUP($U$1645,'TAR FIN'!$A$1:$O$113,15,0)),0,VLOOKUP($U$1645,'TAR FIN'!$A$1:$O$113,15,0))</f>
        <v>222.31</v>
      </c>
      <c r="Y1645" s="4"/>
      <c r="Z1645" s="4">
        <f ca="1">('TUSD BE'!$AM$66+'TUSD BF'!$AM$66+'TUSD CVA'!$AM$66)*1</f>
        <v>716.75210650833424</v>
      </c>
      <c r="AA1645" s="4">
        <f>('TE BE'!$AA$45+'TE BF'!$AA$45+'TE CVA'!$AA$45)*1</f>
        <v>223.14561812044704</v>
      </c>
      <c r="AB1645" s="4">
        <f>$K$1645*$V$1645</f>
        <v>0</v>
      </c>
      <c r="AC1645" s="4">
        <f>$M$1645*$W$1645</f>
        <v>3231.2188800000004</v>
      </c>
      <c r="AD1645" s="4">
        <f>$O$1645*$X$1645</f>
        <v>1184.46768</v>
      </c>
      <c r="AE1645" s="4">
        <f>$K$1645*$Y$1645</f>
        <v>0</v>
      </c>
      <c r="AF1645" s="4">
        <f ca="1">$M$1645*$Z$1645</f>
        <v>3818.8552234764052</v>
      </c>
      <c r="AG1645" s="4">
        <f>$O$1645*$AA$1645</f>
        <v>1188.9198533457418</v>
      </c>
    </row>
    <row r="1646" spans="1:33" ht="11.25" customHeight="1" x14ac:dyDescent="0.25">
      <c r="A1646" s="3" t="s">
        <v>21</v>
      </c>
      <c r="B1646" s="3" t="s">
        <v>37</v>
      </c>
      <c r="C1646" s="3" t="s">
        <v>33</v>
      </c>
      <c r="D1646" s="3" t="s">
        <v>43</v>
      </c>
      <c r="E1646" s="3" t="s">
        <v>25</v>
      </c>
      <c r="F1646" s="3" t="s">
        <v>25</v>
      </c>
      <c r="G1646" s="3" t="s">
        <v>25</v>
      </c>
      <c r="H1646" s="3" t="s">
        <v>36</v>
      </c>
      <c r="I1646" s="6">
        <v>44440</v>
      </c>
      <c r="J1646" s="4">
        <v>0</v>
      </c>
      <c r="K1646" s="4">
        <v>0</v>
      </c>
      <c r="L1646" s="4">
        <v>5.383</v>
      </c>
      <c r="M1646" s="4">
        <v>5.383</v>
      </c>
      <c r="N1646" s="4">
        <v>5.383</v>
      </c>
      <c r="O1646" s="4">
        <v>5.383</v>
      </c>
      <c r="P1646" s="4">
        <v>0</v>
      </c>
      <c r="Q1646" s="3" t="s">
        <v>26</v>
      </c>
      <c r="R1646" s="3">
        <v>0</v>
      </c>
      <c r="S1646" s="4">
        <v>0</v>
      </c>
      <c r="T1646" s="4">
        <v>82</v>
      </c>
      <c r="U1646" s="4">
        <v>60</v>
      </c>
      <c r="V1646" s="4">
        <f>IF(ISERROR(VLOOKUP($S$1646,'TAR FIN'!$A$1:$O$113,15,0)),0,VLOOKUP($S$1646,'TAR FIN'!$A$1:$O$113,15,0))</f>
        <v>0</v>
      </c>
      <c r="W1646" s="4">
        <f>IF(ISERROR(VLOOKUP($T$1646,'TAR FIN'!$A$1:$O$113,15,0)),0,VLOOKUP($T$1646,'TAR FIN'!$A$1:$O$113,15,0))</f>
        <v>606.46</v>
      </c>
      <c r="X1646" s="4">
        <f>IF(ISERROR(VLOOKUP($U$1646,'TAR FIN'!$A$1:$O$113,15,0)),0,VLOOKUP($U$1646,'TAR FIN'!$A$1:$O$113,15,0))</f>
        <v>222.31</v>
      </c>
      <c r="Y1646" s="4"/>
      <c r="Z1646" s="4">
        <f ca="1">('TUSD BE'!$AM$66+'TUSD BF'!$AM$66+'TUSD CVA'!$AM$66)*1</f>
        <v>716.75210650833424</v>
      </c>
      <c r="AA1646" s="4">
        <f>('TE BE'!$AA$45+'TE BF'!$AA$45+'TE CVA'!$AA$45)*1</f>
        <v>223.14561812044704</v>
      </c>
      <c r="AB1646" s="4">
        <f>$K$1646*$V$1646</f>
        <v>0</v>
      </c>
      <c r="AC1646" s="4">
        <f>$M$1646*$W$1646</f>
        <v>3264.5741800000001</v>
      </c>
      <c r="AD1646" s="4">
        <f>$O$1646*$X$1646</f>
        <v>1196.6947299999999</v>
      </c>
      <c r="AE1646" s="4">
        <f>$K$1646*$Y$1646</f>
        <v>0</v>
      </c>
      <c r="AF1646" s="4">
        <f ca="1">$M$1646*$Z$1646</f>
        <v>3858.2765893343631</v>
      </c>
      <c r="AG1646" s="4">
        <f>$O$1646*$AA$1646</f>
        <v>1201.1928623423664</v>
      </c>
    </row>
    <row r="1647" spans="1:33" ht="11.25" customHeight="1" x14ac:dyDescent="0.25">
      <c r="A1647" s="3" t="s">
        <v>21</v>
      </c>
      <c r="B1647" s="3" t="s">
        <v>37</v>
      </c>
      <c r="C1647" s="3" t="s">
        <v>33</v>
      </c>
      <c r="D1647" s="3" t="s">
        <v>43</v>
      </c>
      <c r="E1647" s="3" t="s">
        <v>25</v>
      </c>
      <c r="F1647" s="3" t="s">
        <v>25</v>
      </c>
      <c r="G1647" s="3" t="s">
        <v>25</v>
      </c>
      <c r="H1647" s="3" t="s">
        <v>36</v>
      </c>
      <c r="I1647" s="6">
        <v>44470</v>
      </c>
      <c r="J1647" s="4">
        <v>0</v>
      </c>
      <c r="K1647" s="4">
        <v>0</v>
      </c>
      <c r="L1647" s="4">
        <v>6.2469999999999999</v>
      </c>
      <c r="M1647" s="4">
        <v>6.2469999999999999</v>
      </c>
      <c r="N1647" s="4">
        <v>6.2469999999999999</v>
      </c>
      <c r="O1647" s="4">
        <v>6.2469999999999999</v>
      </c>
      <c r="P1647" s="4">
        <v>0</v>
      </c>
      <c r="Q1647" s="3" t="s">
        <v>26</v>
      </c>
      <c r="R1647" s="3">
        <v>0</v>
      </c>
      <c r="S1647" s="4">
        <v>0</v>
      </c>
      <c r="T1647" s="4">
        <v>82</v>
      </c>
      <c r="U1647" s="4">
        <v>60</v>
      </c>
      <c r="V1647" s="4">
        <f>IF(ISERROR(VLOOKUP($S$1647,'TAR FIN'!$A$1:$O$113,15,0)),0,VLOOKUP($S$1647,'TAR FIN'!$A$1:$O$113,15,0))</f>
        <v>0</v>
      </c>
      <c r="W1647" s="4">
        <f>IF(ISERROR(VLOOKUP($T$1647,'TAR FIN'!$A$1:$O$113,15,0)),0,VLOOKUP($T$1647,'TAR FIN'!$A$1:$O$113,15,0))</f>
        <v>606.46</v>
      </c>
      <c r="X1647" s="4">
        <f>IF(ISERROR(VLOOKUP($U$1647,'TAR FIN'!$A$1:$O$113,15,0)),0,VLOOKUP($U$1647,'TAR FIN'!$A$1:$O$113,15,0))</f>
        <v>222.31</v>
      </c>
      <c r="Y1647" s="4"/>
      <c r="Z1647" s="4">
        <f ca="1">('TUSD BE'!$AM$66+'TUSD BF'!$AM$66+'TUSD CVA'!$AM$66)*1</f>
        <v>716.75210650833424</v>
      </c>
      <c r="AA1647" s="4">
        <f>('TE BE'!$AA$45+'TE BF'!$AA$45+'TE CVA'!$AA$45)*1</f>
        <v>223.14561812044704</v>
      </c>
      <c r="AB1647" s="4">
        <f>$K$1647*$V$1647</f>
        <v>0</v>
      </c>
      <c r="AC1647" s="4">
        <f>$M$1647*$W$1647</f>
        <v>3788.5556200000001</v>
      </c>
      <c r="AD1647" s="4">
        <f>$O$1647*$X$1647</f>
        <v>1388.7705699999999</v>
      </c>
      <c r="AE1647" s="4">
        <f>$K$1647*$Y$1647</f>
        <v>0</v>
      </c>
      <c r="AF1647" s="4">
        <f ca="1">$M$1647*$Z$1647</f>
        <v>4477.5504093575637</v>
      </c>
      <c r="AG1647" s="4">
        <f>$O$1647*$AA$1647</f>
        <v>1393.9906763984327</v>
      </c>
    </row>
    <row r="1648" spans="1:33" ht="11.25" customHeight="1" x14ac:dyDescent="0.25">
      <c r="A1648" s="3" t="s">
        <v>28</v>
      </c>
      <c r="B1648" s="3" t="s">
        <v>37</v>
      </c>
      <c r="C1648" s="3" t="s">
        <v>33</v>
      </c>
      <c r="D1648" s="3" t="s">
        <v>43</v>
      </c>
      <c r="E1648" s="3" t="s">
        <v>25</v>
      </c>
      <c r="F1648" s="3" t="s">
        <v>25</v>
      </c>
      <c r="G1648" s="3" t="s">
        <v>25</v>
      </c>
      <c r="H1648" s="3" t="s">
        <v>36</v>
      </c>
      <c r="I1648" s="6">
        <v>44470</v>
      </c>
      <c r="J1648" s="4">
        <v>0</v>
      </c>
      <c r="K1648" s="4">
        <v>0</v>
      </c>
      <c r="L1648" s="4">
        <v>2.8000000000000001E-2</v>
      </c>
      <c r="M1648" s="4">
        <v>2.8000000000000001E-2</v>
      </c>
      <c r="N1648" s="4">
        <v>2.8000000000000001E-2</v>
      </c>
      <c r="O1648" s="4">
        <v>2.8000000000000001E-2</v>
      </c>
      <c r="P1648" s="4">
        <v>0</v>
      </c>
      <c r="Q1648" s="3" t="s">
        <v>26</v>
      </c>
      <c r="R1648" s="3">
        <v>0</v>
      </c>
      <c r="S1648" s="4">
        <v>0</v>
      </c>
      <c r="T1648" s="4">
        <v>82</v>
      </c>
      <c r="U1648" s="4">
        <v>60</v>
      </c>
      <c r="V1648" s="4">
        <f>IF(ISERROR(VLOOKUP($S$1648,'TAR FIN'!$A$1:$O$113,15,0)),0,VLOOKUP($S$1648,'TAR FIN'!$A$1:$O$113,15,0))</f>
        <v>0</v>
      </c>
      <c r="W1648" s="4">
        <f>IF(ISERROR(VLOOKUP($T$1648,'TAR FIN'!$A$1:$O$113,15,0)),0,VLOOKUP($T$1648,'TAR FIN'!$A$1:$O$113,15,0))</f>
        <v>606.46</v>
      </c>
      <c r="X1648" s="4">
        <f>IF(ISERROR(VLOOKUP($U$1648,'TAR FIN'!$A$1:$O$113,15,0)),0,VLOOKUP($U$1648,'TAR FIN'!$A$1:$O$113,15,0))</f>
        <v>222.31</v>
      </c>
      <c r="Y1648" s="4"/>
      <c r="Z1648" s="4">
        <f ca="1">('TUSD BE'!$AM$66+'TUSD BF'!$AM$66+'TUSD CVA'!$AM$66)*1</f>
        <v>716.75210650833424</v>
      </c>
      <c r="AA1648" s="4">
        <f>('TE BE'!$AA$45+'TE BF'!$AA$45+'TE CVA'!$AA$45)*1</f>
        <v>223.14561812044704</v>
      </c>
      <c r="AB1648" s="4">
        <f>$K$1648*$V$1648</f>
        <v>0</v>
      </c>
      <c r="AC1648" s="4">
        <f>$M$1648*$W$1648</f>
        <v>16.980880000000003</v>
      </c>
      <c r="AD1648" s="4">
        <f>$O$1648*$X$1648</f>
        <v>6.2246800000000002</v>
      </c>
      <c r="AE1648" s="4">
        <f>$K$1648*$Y$1648</f>
        <v>0</v>
      </c>
      <c r="AF1648" s="4">
        <f ca="1">$M$1648*$Z$1648</f>
        <v>20.069058982233358</v>
      </c>
      <c r="AG1648" s="4">
        <f>$O$1648*$AA$1648</f>
        <v>6.2480773073725171</v>
      </c>
    </row>
    <row r="1649" spans="1:33" ht="11.25" customHeight="1" x14ac:dyDescent="0.25">
      <c r="A1649" s="3" t="s">
        <v>21</v>
      </c>
      <c r="B1649" s="3" t="s">
        <v>37</v>
      </c>
      <c r="C1649" s="3" t="s">
        <v>33</v>
      </c>
      <c r="D1649" s="3" t="s">
        <v>43</v>
      </c>
      <c r="E1649" s="3" t="s">
        <v>25</v>
      </c>
      <c r="F1649" s="3" t="s">
        <v>25</v>
      </c>
      <c r="G1649" s="3" t="s">
        <v>25</v>
      </c>
      <c r="H1649" s="3" t="s">
        <v>36</v>
      </c>
      <c r="I1649" s="6">
        <v>44501</v>
      </c>
      <c r="J1649" s="4">
        <v>0</v>
      </c>
      <c r="K1649" s="4">
        <v>0</v>
      </c>
      <c r="L1649" s="4">
        <v>5.9210000000000003</v>
      </c>
      <c r="M1649" s="4">
        <v>5.9210000000000003</v>
      </c>
      <c r="N1649" s="4">
        <v>5.9210000000000003</v>
      </c>
      <c r="O1649" s="4">
        <v>5.9210000000000003</v>
      </c>
      <c r="P1649" s="4">
        <v>0</v>
      </c>
      <c r="Q1649" s="3" t="s">
        <v>26</v>
      </c>
      <c r="R1649" s="3">
        <v>0</v>
      </c>
      <c r="S1649" s="4">
        <v>0</v>
      </c>
      <c r="T1649" s="4">
        <v>82</v>
      </c>
      <c r="U1649" s="4">
        <v>60</v>
      </c>
      <c r="V1649" s="4">
        <f>IF(ISERROR(VLOOKUP($S$1649,'TAR FIN'!$A$1:$O$113,15,0)),0,VLOOKUP($S$1649,'TAR FIN'!$A$1:$O$113,15,0))</f>
        <v>0</v>
      </c>
      <c r="W1649" s="4">
        <f>IF(ISERROR(VLOOKUP($T$1649,'TAR FIN'!$A$1:$O$113,15,0)),0,VLOOKUP($T$1649,'TAR FIN'!$A$1:$O$113,15,0))</f>
        <v>606.46</v>
      </c>
      <c r="X1649" s="4">
        <f>IF(ISERROR(VLOOKUP($U$1649,'TAR FIN'!$A$1:$O$113,15,0)),0,VLOOKUP($U$1649,'TAR FIN'!$A$1:$O$113,15,0))</f>
        <v>222.31</v>
      </c>
      <c r="Y1649" s="4"/>
      <c r="Z1649" s="4">
        <f ca="1">('TUSD BE'!$AM$66+'TUSD BF'!$AM$66+'TUSD CVA'!$AM$66)*1</f>
        <v>716.75210650833424</v>
      </c>
      <c r="AA1649" s="4">
        <f>('TE BE'!$AA$45+'TE BF'!$AA$45+'TE CVA'!$AA$45)*1</f>
        <v>223.14561812044704</v>
      </c>
      <c r="AB1649" s="4">
        <f>$K$1649*$V$1649</f>
        <v>0</v>
      </c>
      <c r="AC1649" s="4">
        <f>$M$1649*$W$1649</f>
        <v>3590.8496600000003</v>
      </c>
      <c r="AD1649" s="4">
        <f>$O$1649*$X$1649</f>
        <v>1316.2975100000001</v>
      </c>
      <c r="AE1649" s="4">
        <f>$K$1649*$Y$1649</f>
        <v>0</v>
      </c>
      <c r="AF1649" s="4">
        <f ca="1">$M$1649*$Z$1649</f>
        <v>4243.8892226358475</v>
      </c>
      <c r="AG1649" s="4">
        <f>$O$1649*$AA$1649</f>
        <v>1321.2452048911671</v>
      </c>
    </row>
    <row r="1650" spans="1:33" ht="11.25" customHeight="1" x14ac:dyDescent="0.25">
      <c r="A1650" s="3" t="s">
        <v>21</v>
      </c>
      <c r="B1650" s="3" t="s">
        <v>37</v>
      </c>
      <c r="C1650" s="3" t="s">
        <v>33</v>
      </c>
      <c r="D1650" s="3" t="s">
        <v>43</v>
      </c>
      <c r="E1650" s="3" t="s">
        <v>25</v>
      </c>
      <c r="F1650" s="3" t="s">
        <v>25</v>
      </c>
      <c r="G1650" s="3" t="s">
        <v>25</v>
      </c>
      <c r="H1650" s="3" t="s">
        <v>36</v>
      </c>
      <c r="I1650" s="6">
        <v>44531</v>
      </c>
      <c r="J1650" s="4">
        <v>0</v>
      </c>
      <c r="K1650" s="4">
        <v>0</v>
      </c>
      <c r="L1650" s="4">
        <v>6.5469999999999997</v>
      </c>
      <c r="M1650" s="4">
        <v>6.5469999999999997</v>
      </c>
      <c r="N1650" s="4">
        <v>6.5469999999999997</v>
      </c>
      <c r="O1650" s="4">
        <v>6.5469999999999997</v>
      </c>
      <c r="P1650" s="4">
        <v>0</v>
      </c>
      <c r="Q1650" s="3" t="s">
        <v>26</v>
      </c>
      <c r="R1650" s="3">
        <v>0</v>
      </c>
      <c r="S1650" s="4">
        <v>0</v>
      </c>
      <c r="T1650" s="4">
        <v>82</v>
      </c>
      <c r="U1650" s="4">
        <v>60</v>
      </c>
      <c r="V1650" s="4">
        <f>IF(ISERROR(VLOOKUP($S$1650,'TAR FIN'!$A$1:$O$113,15,0)),0,VLOOKUP($S$1650,'TAR FIN'!$A$1:$O$113,15,0))</f>
        <v>0</v>
      </c>
      <c r="W1650" s="4">
        <f>IF(ISERROR(VLOOKUP($T$1650,'TAR FIN'!$A$1:$O$113,15,0)),0,VLOOKUP($T$1650,'TAR FIN'!$A$1:$O$113,15,0))</f>
        <v>606.46</v>
      </c>
      <c r="X1650" s="4">
        <f>IF(ISERROR(VLOOKUP($U$1650,'TAR FIN'!$A$1:$O$113,15,0)),0,VLOOKUP($U$1650,'TAR FIN'!$A$1:$O$113,15,0))</f>
        <v>222.31</v>
      </c>
      <c r="Y1650" s="4"/>
      <c r="Z1650" s="4">
        <f ca="1">('TUSD BE'!$AM$66+'TUSD BF'!$AM$66+'TUSD CVA'!$AM$66)*1</f>
        <v>716.75210650833424</v>
      </c>
      <c r="AA1650" s="4">
        <f>('TE BE'!$AA$45+'TE BF'!$AA$45+'TE CVA'!$AA$45)*1</f>
        <v>223.14561812044704</v>
      </c>
      <c r="AB1650" s="4">
        <f>$K$1650*$V$1650</f>
        <v>0</v>
      </c>
      <c r="AC1650" s="4">
        <f>$M$1650*$W$1650</f>
        <v>3970.4936200000002</v>
      </c>
      <c r="AD1650" s="4">
        <f>$O$1650*$X$1650</f>
        <v>1455.4635699999999</v>
      </c>
      <c r="AE1650" s="4">
        <f>$K$1650*$Y$1650</f>
        <v>0</v>
      </c>
      <c r="AF1650" s="4">
        <f ca="1">$M$1650*$Z$1650</f>
        <v>4692.5760413100643</v>
      </c>
      <c r="AG1650" s="4">
        <f>$O$1650*$AA$1650</f>
        <v>1460.9343618345667</v>
      </c>
    </row>
    <row r="1651" spans="1:33" ht="11.25" customHeight="1" x14ac:dyDescent="0.25">
      <c r="A1651" s="3" t="s">
        <v>21</v>
      </c>
      <c r="B1651" s="3" t="s">
        <v>37</v>
      </c>
      <c r="C1651" s="3" t="s">
        <v>33</v>
      </c>
      <c r="D1651" s="3" t="s">
        <v>43</v>
      </c>
      <c r="E1651" s="3" t="s">
        <v>25</v>
      </c>
      <c r="F1651" s="3" t="s">
        <v>25</v>
      </c>
      <c r="G1651" s="3" t="s">
        <v>25</v>
      </c>
      <c r="H1651" s="3" t="s">
        <v>36</v>
      </c>
      <c r="I1651" s="6">
        <v>44562</v>
      </c>
      <c r="J1651" s="4">
        <v>0</v>
      </c>
      <c r="K1651" s="4">
        <v>0</v>
      </c>
      <c r="L1651" s="4">
        <v>6.1669999999999998</v>
      </c>
      <c r="M1651" s="4">
        <v>6.1669999999999998</v>
      </c>
      <c r="N1651" s="4">
        <v>6.1669999999999998</v>
      </c>
      <c r="O1651" s="4">
        <v>6.1669999999999998</v>
      </c>
      <c r="P1651" s="4">
        <v>0</v>
      </c>
      <c r="Q1651" s="3" t="s">
        <v>26</v>
      </c>
      <c r="R1651" s="3">
        <v>0</v>
      </c>
      <c r="S1651" s="4">
        <v>0</v>
      </c>
      <c r="T1651" s="4">
        <v>82</v>
      </c>
      <c r="U1651" s="4">
        <v>60</v>
      </c>
      <c r="V1651" s="4">
        <f>IF(ISERROR(VLOOKUP($S$1651,'TAR FIN'!$A$1:$O$113,15,0)),0,VLOOKUP($S$1651,'TAR FIN'!$A$1:$O$113,15,0))</f>
        <v>0</v>
      </c>
      <c r="W1651" s="4">
        <f>IF(ISERROR(VLOOKUP($T$1651,'TAR FIN'!$A$1:$O$113,15,0)),0,VLOOKUP($T$1651,'TAR FIN'!$A$1:$O$113,15,0))</f>
        <v>606.46</v>
      </c>
      <c r="X1651" s="4">
        <f>IF(ISERROR(VLOOKUP($U$1651,'TAR FIN'!$A$1:$O$113,15,0)),0,VLOOKUP($U$1651,'TAR FIN'!$A$1:$O$113,15,0))</f>
        <v>222.31</v>
      </c>
      <c r="Y1651" s="4"/>
      <c r="Z1651" s="4">
        <f ca="1">('TUSD BE'!$AM$66+'TUSD BF'!$AM$66+'TUSD CVA'!$AM$66)*1</f>
        <v>716.75210650833424</v>
      </c>
      <c r="AA1651" s="4">
        <f>('TE BE'!$AA$45+'TE BF'!$AA$45+'TE CVA'!$AA$45)*1</f>
        <v>223.14561812044704</v>
      </c>
      <c r="AB1651" s="4">
        <f>$K$1651*$V$1651</f>
        <v>0</v>
      </c>
      <c r="AC1651" s="4">
        <f>$M$1651*$W$1651</f>
        <v>3740.0388200000002</v>
      </c>
      <c r="AD1651" s="4">
        <f>$O$1651*$X$1651</f>
        <v>1370.98577</v>
      </c>
      <c r="AE1651" s="4">
        <f>$K$1651*$Y$1651</f>
        <v>0</v>
      </c>
      <c r="AF1651" s="4">
        <f ca="1">$M$1651*$Z$1651</f>
        <v>4420.2102408368974</v>
      </c>
      <c r="AG1651" s="4">
        <f>$O$1651*$AA$1651</f>
        <v>1376.1390269487968</v>
      </c>
    </row>
    <row r="1652" spans="1:33" ht="11.25" customHeight="1" x14ac:dyDescent="0.25">
      <c r="A1652" s="3" t="s">
        <v>28</v>
      </c>
      <c r="B1652" s="3" t="s">
        <v>37</v>
      </c>
      <c r="C1652" s="3" t="s">
        <v>33</v>
      </c>
      <c r="D1652" s="3" t="s">
        <v>43</v>
      </c>
      <c r="E1652" s="3" t="s">
        <v>25</v>
      </c>
      <c r="F1652" s="3" t="s">
        <v>25</v>
      </c>
      <c r="G1652" s="3" t="s">
        <v>25</v>
      </c>
      <c r="H1652" s="3" t="s">
        <v>36</v>
      </c>
      <c r="I1652" s="6">
        <v>44562</v>
      </c>
      <c r="J1652" s="4">
        <v>0</v>
      </c>
      <c r="K1652" s="4">
        <v>0</v>
      </c>
      <c r="L1652" s="4">
        <v>7.1999999999999995E-2</v>
      </c>
      <c r="M1652" s="4">
        <v>7.1999999999999995E-2</v>
      </c>
      <c r="N1652" s="4">
        <v>7.1999999999999995E-2</v>
      </c>
      <c r="O1652" s="4">
        <v>7.1999999999999995E-2</v>
      </c>
      <c r="P1652" s="4">
        <v>0</v>
      </c>
      <c r="Q1652" s="3" t="s">
        <v>26</v>
      </c>
      <c r="R1652" s="3">
        <v>0</v>
      </c>
      <c r="S1652" s="4">
        <v>0</v>
      </c>
      <c r="T1652" s="4">
        <v>82</v>
      </c>
      <c r="U1652" s="4">
        <v>60</v>
      </c>
      <c r="V1652" s="4">
        <f>IF(ISERROR(VLOOKUP($S$1652,'TAR FIN'!$A$1:$O$113,15,0)),0,VLOOKUP($S$1652,'TAR FIN'!$A$1:$O$113,15,0))</f>
        <v>0</v>
      </c>
      <c r="W1652" s="4">
        <f>IF(ISERROR(VLOOKUP($T$1652,'TAR FIN'!$A$1:$O$113,15,0)),0,VLOOKUP($T$1652,'TAR FIN'!$A$1:$O$113,15,0))</f>
        <v>606.46</v>
      </c>
      <c r="X1652" s="4">
        <f>IF(ISERROR(VLOOKUP($U$1652,'TAR FIN'!$A$1:$O$113,15,0)),0,VLOOKUP($U$1652,'TAR FIN'!$A$1:$O$113,15,0))</f>
        <v>222.31</v>
      </c>
      <c r="Y1652" s="4"/>
      <c r="Z1652" s="4">
        <f ca="1">('TUSD BE'!$AM$66+'TUSD BF'!$AM$66+'TUSD CVA'!$AM$66)*1</f>
        <v>716.75210650833424</v>
      </c>
      <c r="AA1652" s="4">
        <f>('TE BE'!$AA$45+'TE BF'!$AA$45+'TE CVA'!$AA$45)*1</f>
        <v>223.14561812044704</v>
      </c>
      <c r="AB1652" s="4">
        <f>$K$1652*$V$1652</f>
        <v>0</v>
      </c>
      <c r="AC1652" s="4">
        <f>$M$1652*$W$1652</f>
        <v>43.665120000000002</v>
      </c>
      <c r="AD1652" s="4">
        <f>$O$1652*$X$1652</f>
        <v>16.006319999999999</v>
      </c>
      <c r="AE1652" s="4">
        <f>$K$1652*$Y$1652</f>
        <v>0</v>
      </c>
      <c r="AF1652" s="4">
        <f ca="1">$M$1652*$Z$1652</f>
        <v>51.606151668600063</v>
      </c>
      <c r="AG1652" s="4">
        <f>$O$1652*$AA$1652</f>
        <v>16.066484504672186</v>
      </c>
    </row>
    <row r="1653" spans="1:33" ht="11.25" customHeight="1" x14ac:dyDescent="0.25">
      <c r="A1653" s="3" t="s">
        <v>21</v>
      </c>
      <c r="B1653" s="3" t="s">
        <v>37</v>
      </c>
      <c r="C1653" s="3" t="s">
        <v>33</v>
      </c>
      <c r="D1653" s="3" t="s">
        <v>43</v>
      </c>
      <c r="E1653" s="3" t="s">
        <v>25</v>
      </c>
      <c r="F1653" s="3" t="s">
        <v>25</v>
      </c>
      <c r="G1653" s="3" t="s">
        <v>25</v>
      </c>
      <c r="H1653" s="3" t="s">
        <v>36</v>
      </c>
      <c r="I1653" s="6">
        <v>44593</v>
      </c>
      <c r="J1653" s="4">
        <v>0</v>
      </c>
      <c r="K1653" s="4">
        <v>0</v>
      </c>
      <c r="L1653" s="4">
        <v>6.37</v>
      </c>
      <c r="M1653" s="4">
        <v>6.37</v>
      </c>
      <c r="N1653" s="4">
        <v>6.37</v>
      </c>
      <c r="O1653" s="4">
        <v>6.37</v>
      </c>
      <c r="P1653" s="4">
        <v>0</v>
      </c>
      <c r="Q1653" s="3" t="s">
        <v>26</v>
      </c>
      <c r="R1653" s="3">
        <v>0</v>
      </c>
      <c r="S1653" s="4">
        <v>0</v>
      </c>
      <c r="T1653" s="4">
        <v>82</v>
      </c>
      <c r="U1653" s="4">
        <v>60</v>
      </c>
      <c r="V1653" s="4">
        <f>IF(ISERROR(VLOOKUP($S$1653,'TAR FIN'!$A$1:$O$113,15,0)),0,VLOOKUP($S$1653,'TAR FIN'!$A$1:$O$113,15,0))</f>
        <v>0</v>
      </c>
      <c r="W1653" s="4">
        <f>IF(ISERROR(VLOOKUP($T$1653,'TAR FIN'!$A$1:$O$113,15,0)),0,VLOOKUP($T$1653,'TAR FIN'!$A$1:$O$113,15,0))</f>
        <v>606.46</v>
      </c>
      <c r="X1653" s="4">
        <f>IF(ISERROR(VLOOKUP($U$1653,'TAR FIN'!$A$1:$O$113,15,0)),0,VLOOKUP($U$1653,'TAR FIN'!$A$1:$O$113,15,0))</f>
        <v>222.31</v>
      </c>
      <c r="Y1653" s="4"/>
      <c r="Z1653" s="4">
        <f ca="1">('TUSD BE'!$AM$66+'TUSD BF'!$AM$66+'TUSD CVA'!$AM$66)*1</f>
        <v>716.75210650833424</v>
      </c>
      <c r="AA1653" s="4">
        <f>('TE BE'!$AA$45+'TE BF'!$AA$45+'TE CVA'!$AA$45)*1</f>
        <v>223.14561812044704</v>
      </c>
      <c r="AB1653" s="4">
        <f>$K$1653*$V$1653</f>
        <v>0</v>
      </c>
      <c r="AC1653" s="4">
        <f>$M$1653*$W$1653</f>
        <v>3863.1502000000005</v>
      </c>
      <c r="AD1653" s="4">
        <f>$O$1653*$X$1653</f>
        <v>1416.1147000000001</v>
      </c>
      <c r="AE1653" s="4">
        <f>$K$1653*$Y$1653</f>
        <v>0</v>
      </c>
      <c r="AF1653" s="4">
        <f ca="1">$M$1653*$Z$1653</f>
        <v>4565.7109184580895</v>
      </c>
      <c r="AG1653" s="4">
        <f>$O$1653*$AA$1653</f>
        <v>1421.4375874272478</v>
      </c>
    </row>
    <row r="1654" spans="1:33" ht="11.25" customHeight="1" x14ac:dyDescent="0.25">
      <c r="A1654" s="3" t="s">
        <v>56</v>
      </c>
      <c r="B1654" s="3" t="s">
        <v>37</v>
      </c>
      <c r="C1654" s="3" t="s">
        <v>33</v>
      </c>
      <c r="D1654" s="3" t="s">
        <v>43</v>
      </c>
      <c r="E1654" s="3" t="s">
        <v>25</v>
      </c>
      <c r="F1654" s="3" t="s">
        <v>25</v>
      </c>
      <c r="G1654" s="3" t="s">
        <v>25</v>
      </c>
      <c r="H1654" s="3" t="s">
        <v>36</v>
      </c>
      <c r="I1654" s="6">
        <v>44621</v>
      </c>
      <c r="J1654" s="4">
        <v>0</v>
      </c>
      <c r="K1654" s="4">
        <v>0</v>
      </c>
      <c r="L1654" s="4">
        <v>6.37</v>
      </c>
      <c r="M1654" s="4">
        <v>6.37</v>
      </c>
      <c r="N1654" s="4">
        <v>6.37</v>
      </c>
      <c r="O1654" s="4">
        <v>6.37</v>
      </c>
      <c r="P1654" s="4">
        <v>0</v>
      </c>
      <c r="Q1654" s="3" t="s">
        <v>26</v>
      </c>
      <c r="R1654" s="3">
        <v>0</v>
      </c>
      <c r="S1654" s="4">
        <v>0</v>
      </c>
      <c r="T1654" s="4">
        <v>82</v>
      </c>
      <c r="U1654" s="4">
        <v>60</v>
      </c>
      <c r="V1654" s="4">
        <f>IF(ISERROR(VLOOKUP($S$1654,'TAR FIN'!$A$1:$O$113,15,0)),0,VLOOKUP($S$1654,'TAR FIN'!$A$1:$O$113,15,0))</f>
        <v>0</v>
      </c>
      <c r="W1654" s="4">
        <f>IF(ISERROR(VLOOKUP($T$1654,'TAR FIN'!$A$1:$O$113,15,0)),0,VLOOKUP($T$1654,'TAR FIN'!$A$1:$O$113,15,0))</f>
        <v>606.46</v>
      </c>
      <c r="X1654" s="4">
        <f>IF(ISERROR(VLOOKUP($U$1654,'TAR FIN'!$A$1:$O$113,15,0)),0,VLOOKUP($U$1654,'TAR FIN'!$A$1:$O$113,15,0))</f>
        <v>222.31</v>
      </c>
      <c r="Y1654" s="4"/>
      <c r="Z1654" s="4">
        <f ca="1">('TUSD BE'!$AM$66+'TUSD BF'!$AM$66+'TUSD CVA'!$AM$66)*1</f>
        <v>716.75210650833424</v>
      </c>
      <c r="AA1654" s="4">
        <f>('TE BE'!$AA$45+'TE BF'!$AA$45+'TE CVA'!$AA$45)*1</f>
        <v>223.14561812044704</v>
      </c>
      <c r="AB1654" s="4">
        <f>$K$1654*$V$1654</f>
        <v>0</v>
      </c>
      <c r="AC1654" s="4">
        <f>$M$1654*$W$1654</f>
        <v>3863.1502000000005</v>
      </c>
      <c r="AD1654" s="4">
        <f>$O$1654*$X$1654</f>
        <v>1416.1147000000001</v>
      </c>
      <c r="AE1654" s="4">
        <f>$K$1654*$Y$1654</f>
        <v>0</v>
      </c>
      <c r="AF1654" s="4">
        <f ca="1">$M$1654*$Z$1654</f>
        <v>4565.7109184580895</v>
      </c>
      <c r="AG1654" s="4">
        <f>$O$1654*$AA$1654</f>
        <v>1421.4375874272478</v>
      </c>
    </row>
    <row r="1655" spans="1:33" ht="11.25" customHeight="1" x14ac:dyDescent="0.25">
      <c r="A1655" s="3" t="s">
        <v>21</v>
      </c>
      <c r="B1655" s="3" t="s">
        <v>37</v>
      </c>
      <c r="C1655" s="3" t="s">
        <v>33</v>
      </c>
      <c r="D1655" s="3" t="s">
        <v>43</v>
      </c>
      <c r="E1655" s="3" t="s">
        <v>25</v>
      </c>
      <c r="F1655" s="3" t="s">
        <v>25</v>
      </c>
      <c r="G1655" s="3" t="s">
        <v>25</v>
      </c>
      <c r="H1655" s="3" t="s">
        <v>34</v>
      </c>
      <c r="I1655" s="6">
        <v>44287</v>
      </c>
      <c r="J1655" s="4">
        <v>0</v>
      </c>
      <c r="K1655" s="4">
        <v>0</v>
      </c>
      <c r="L1655" s="4">
        <v>7.1260000000000003</v>
      </c>
      <c r="M1655" s="4">
        <v>7.1260000000000003</v>
      </c>
      <c r="N1655" s="4">
        <v>7.1260000000000003</v>
      </c>
      <c r="O1655" s="4">
        <v>7.1260000000000003</v>
      </c>
      <c r="P1655" s="4">
        <v>0</v>
      </c>
      <c r="Q1655" s="3" t="s">
        <v>26</v>
      </c>
      <c r="R1655" s="3">
        <v>0</v>
      </c>
      <c r="S1655" s="4">
        <v>0</v>
      </c>
      <c r="T1655" s="4">
        <v>42</v>
      </c>
      <c r="U1655" s="4">
        <v>59</v>
      </c>
      <c r="V1655" s="4">
        <f>IF(ISERROR(VLOOKUP($S$1655,'TAR FIN'!$A$1:$O$113,15,0)),0,VLOOKUP($S$1655,'TAR FIN'!$A$1:$O$113,15,0))</f>
        <v>0</v>
      </c>
      <c r="W1655" s="4">
        <f>IF(ISERROR(VLOOKUP($T$1655,'TAR FIN'!$A$1:$O$113,15,0)),0,VLOOKUP($T$1655,'TAR FIN'!$A$1:$O$113,15,0))</f>
        <v>962.61</v>
      </c>
      <c r="X1655" s="4">
        <f>IF(ISERROR(VLOOKUP($U$1655,'TAR FIN'!$A$1:$O$113,15,0)),0,VLOOKUP($U$1655,'TAR FIN'!$A$1:$O$113,15,0))</f>
        <v>365.5</v>
      </c>
      <c r="Y1655" s="4"/>
      <c r="Z1655" s="4">
        <f ca="1">('TUSD BE'!$AM$65+'TUSD BF'!$AM$65+'TUSD CVA'!$AM$65)*1</f>
        <v>1134.9548547704212</v>
      </c>
      <c r="AA1655" s="4">
        <f>('TE BE'!$AA$44+'TE BF'!$AA$44+'TE CVA'!$AA$44)*1</f>
        <v>361.55013418411539</v>
      </c>
      <c r="AB1655" s="4">
        <f>$K$1655*$V$1655</f>
        <v>0</v>
      </c>
      <c r="AC1655" s="4">
        <f>$M$1655*$W$1655</f>
        <v>6859.5588600000001</v>
      </c>
      <c r="AD1655" s="4">
        <f>$O$1655*$X$1655</f>
        <v>2604.5530000000003</v>
      </c>
      <c r="AE1655" s="4">
        <f>$K$1655*$Y$1655</f>
        <v>0</v>
      </c>
      <c r="AF1655" s="4">
        <f ca="1">$M$1655*$Z$1655</f>
        <v>8087.6882950940217</v>
      </c>
      <c r="AG1655" s="4">
        <f>$O$1655*$AA$1655</f>
        <v>2576.4062561960063</v>
      </c>
    </row>
    <row r="1656" spans="1:33" ht="11.25" customHeight="1" x14ac:dyDescent="0.25">
      <c r="A1656" s="3" t="s">
        <v>21</v>
      </c>
      <c r="B1656" s="3" t="s">
        <v>37</v>
      </c>
      <c r="C1656" s="3" t="s">
        <v>33</v>
      </c>
      <c r="D1656" s="3" t="s">
        <v>43</v>
      </c>
      <c r="E1656" s="3" t="s">
        <v>25</v>
      </c>
      <c r="F1656" s="3" t="s">
        <v>25</v>
      </c>
      <c r="G1656" s="3" t="s">
        <v>25</v>
      </c>
      <c r="H1656" s="3" t="s">
        <v>34</v>
      </c>
      <c r="I1656" s="6">
        <v>44317</v>
      </c>
      <c r="J1656" s="4">
        <v>0</v>
      </c>
      <c r="K1656" s="4">
        <v>0</v>
      </c>
      <c r="L1656" s="4">
        <v>6.9219999999999997</v>
      </c>
      <c r="M1656" s="4">
        <v>6.9219999999999997</v>
      </c>
      <c r="N1656" s="4">
        <v>6.9219999999999997</v>
      </c>
      <c r="O1656" s="4">
        <v>6.9219999999999997</v>
      </c>
      <c r="P1656" s="4">
        <v>0</v>
      </c>
      <c r="Q1656" s="3" t="s">
        <v>26</v>
      </c>
      <c r="R1656" s="3">
        <v>0</v>
      </c>
      <c r="S1656" s="4">
        <v>0</v>
      </c>
      <c r="T1656" s="4">
        <v>42</v>
      </c>
      <c r="U1656" s="4">
        <v>59</v>
      </c>
      <c r="V1656" s="4">
        <f>IF(ISERROR(VLOOKUP($S$1656,'TAR FIN'!$A$1:$O$113,15,0)),0,VLOOKUP($S$1656,'TAR FIN'!$A$1:$O$113,15,0))</f>
        <v>0</v>
      </c>
      <c r="W1656" s="4">
        <f>IF(ISERROR(VLOOKUP($T$1656,'TAR FIN'!$A$1:$O$113,15,0)),0,VLOOKUP($T$1656,'TAR FIN'!$A$1:$O$113,15,0))</f>
        <v>962.61</v>
      </c>
      <c r="X1656" s="4">
        <f>IF(ISERROR(VLOOKUP($U$1656,'TAR FIN'!$A$1:$O$113,15,0)),0,VLOOKUP($U$1656,'TAR FIN'!$A$1:$O$113,15,0))</f>
        <v>365.5</v>
      </c>
      <c r="Y1656" s="4"/>
      <c r="Z1656" s="4">
        <f ca="1">('TUSD BE'!$AM$65+'TUSD BF'!$AM$65+'TUSD CVA'!$AM$65)*1</f>
        <v>1134.9548547704212</v>
      </c>
      <c r="AA1656" s="4">
        <f>('TE BE'!$AA$44+'TE BF'!$AA$44+'TE CVA'!$AA$44)*1</f>
        <v>361.55013418411539</v>
      </c>
      <c r="AB1656" s="4">
        <f>$K$1656*$V$1656</f>
        <v>0</v>
      </c>
      <c r="AC1656" s="4">
        <f>$M$1656*$W$1656</f>
        <v>6663.18642</v>
      </c>
      <c r="AD1656" s="4">
        <f>$O$1656*$X$1656</f>
        <v>2529.991</v>
      </c>
      <c r="AE1656" s="4">
        <f>$K$1656*$Y$1656</f>
        <v>0</v>
      </c>
      <c r="AF1656" s="4">
        <f ca="1">$M$1656*$Z$1656</f>
        <v>7856.1575047208553</v>
      </c>
      <c r="AG1656" s="4">
        <f>$O$1656*$AA$1656</f>
        <v>2502.6500288224465</v>
      </c>
    </row>
    <row r="1657" spans="1:33" ht="11.25" customHeight="1" x14ac:dyDescent="0.25">
      <c r="A1657" s="3" t="s">
        <v>21</v>
      </c>
      <c r="B1657" s="3" t="s">
        <v>37</v>
      </c>
      <c r="C1657" s="3" t="s">
        <v>33</v>
      </c>
      <c r="D1657" s="3" t="s">
        <v>43</v>
      </c>
      <c r="E1657" s="3" t="s">
        <v>25</v>
      </c>
      <c r="F1657" s="3" t="s">
        <v>25</v>
      </c>
      <c r="G1657" s="3" t="s">
        <v>25</v>
      </c>
      <c r="H1657" s="3" t="s">
        <v>34</v>
      </c>
      <c r="I1657" s="6">
        <v>44348</v>
      </c>
      <c r="J1657" s="4">
        <v>0</v>
      </c>
      <c r="K1657" s="4">
        <v>0</v>
      </c>
      <c r="L1657" s="4">
        <v>7.1859999999999999</v>
      </c>
      <c r="M1657" s="4">
        <v>7.1859999999999999</v>
      </c>
      <c r="N1657" s="4">
        <v>7.1859999999999999</v>
      </c>
      <c r="O1657" s="4">
        <v>7.1859999999999999</v>
      </c>
      <c r="P1657" s="4">
        <v>0</v>
      </c>
      <c r="Q1657" s="3" t="s">
        <v>26</v>
      </c>
      <c r="R1657" s="3">
        <v>0</v>
      </c>
      <c r="S1657" s="4">
        <v>0</v>
      </c>
      <c r="T1657" s="4">
        <v>42</v>
      </c>
      <c r="U1657" s="4">
        <v>59</v>
      </c>
      <c r="V1657" s="4">
        <f>IF(ISERROR(VLOOKUP($S$1657,'TAR FIN'!$A$1:$O$113,15,0)),0,VLOOKUP($S$1657,'TAR FIN'!$A$1:$O$113,15,0))</f>
        <v>0</v>
      </c>
      <c r="W1657" s="4">
        <f>IF(ISERROR(VLOOKUP($T$1657,'TAR FIN'!$A$1:$O$113,15,0)),0,VLOOKUP($T$1657,'TAR FIN'!$A$1:$O$113,15,0))</f>
        <v>962.61</v>
      </c>
      <c r="X1657" s="4">
        <f>IF(ISERROR(VLOOKUP($U$1657,'TAR FIN'!$A$1:$O$113,15,0)),0,VLOOKUP($U$1657,'TAR FIN'!$A$1:$O$113,15,0))</f>
        <v>365.5</v>
      </c>
      <c r="Y1657" s="4"/>
      <c r="Z1657" s="4">
        <f ca="1">('TUSD BE'!$AM$65+'TUSD BF'!$AM$65+'TUSD CVA'!$AM$65)*1</f>
        <v>1134.9548547704212</v>
      </c>
      <c r="AA1657" s="4">
        <f>('TE BE'!$AA$44+'TE BF'!$AA$44+'TE CVA'!$AA$44)*1</f>
        <v>361.55013418411539</v>
      </c>
      <c r="AB1657" s="4">
        <f>$K$1657*$V$1657</f>
        <v>0</v>
      </c>
      <c r="AC1657" s="4">
        <f>$M$1657*$W$1657</f>
        <v>6917.3154599999998</v>
      </c>
      <c r="AD1657" s="4">
        <f>$O$1657*$X$1657</f>
        <v>2626.4830000000002</v>
      </c>
      <c r="AE1657" s="4">
        <f>$K$1657*$Y$1657</f>
        <v>0</v>
      </c>
      <c r="AF1657" s="4">
        <f ca="1">$M$1657*$Z$1657</f>
        <v>8155.785586380247</v>
      </c>
      <c r="AG1657" s="4">
        <f>$O$1657*$AA$1657</f>
        <v>2598.0992642470533</v>
      </c>
    </row>
    <row r="1658" spans="1:33" ht="11.25" customHeight="1" x14ac:dyDescent="0.25">
      <c r="A1658" s="3" t="s">
        <v>21</v>
      </c>
      <c r="B1658" s="3" t="s">
        <v>37</v>
      </c>
      <c r="C1658" s="3" t="s">
        <v>33</v>
      </c>
      <c r="D1658" s="3" t="s">
        <v>43</v>
      </c>
      <c r="E1658" s="3" t="s">
        <v>25</v>
      </c>
      <c r="F1658" s="3" t="s">
        <v>25</v>
      </c>
      <c r="G1658" s="3" t="s">
        <v>25</v>
      </c>
      <c r="H1658" s="3" t="s">
        <v>34</v>
      </c>
      <c r="I1658" s="6">
        <v>44378</v>
      </c>
      <c r="J1658" s="4">
        <v>0</v>
      </c>
      <c r="K1658" s="4">
        <v>0</v>
      </c>
      <c r="L1658" s="4">
        <v>7.8330000000000002</v>
      </c>
      <c r="M1658" s="4">
        <v>7.8330000000000002</v>
      </c>
      <c r="N1658" s="4">
        <v>7.8330000000000002</v>
      </c>
      <c r="O1658" s="4">
        <v>7.8330000000000002</v>
      </c>
      <c r="P1658" s="4">
        <v>0</v>
      </c>
      <c r="Q1658" s="3" t="s">
        <v>26</v>
      </c>
      <c r="R1658" s="3">
        <v>0</v>
      </c>
      <c r="S1658" s="4">
        <v>0</v>
      </c>
      <c r="T1658" s="4">
        <v>42</v>
      </c>
      <c r="U1658" s="4">
        <v>59</v>
      </c>
      <c r="V1658" s="4">
        <f>IF(ISERROR(VLOOKUP($S$1658,'TAR FIN'!$A$1:$O$113,15,0)),0,VLOOKUP($S$1658,'TAR FIN'!$A$1:$O$113,15,0))</f>
        <v>0</v>
      </c>
      <c r="W1658" s="4">
        <f>IF(ISERROR(VLOOKUP($T$1658,'TAR FIN'!$A$1:$O$113,15,0)),0,VLOOKUP($T$1658,'TAR FIN'!$A$1:$O$113,15,0))</f>
        <v>962.61</v>
      </c>
      <c r="X1658" s="4">
        <f>IF(ISERROR(VLOOKUP($U$1658,'TAR FIN'!$A$1:$O$113,15,0)),0,VLOOKUP($U$1658,'TAR FIN'!$A$1:$O$113,15,0))</f>
        <v>365.5</v>
      </c>
      <c r="Y1658" s="4"/>
      <c r="Z1658" s="4">
        <f ca="1">('TUSD BE'!$AM$65+'TUSD BF'!$AM$65+'TUSD CVA'!$AM$65)*1</f>
        <v>1134.9548547704212</v>
      </c>
      <c r="AA1658" s="4">
        <f>('TE BE'!$AA$44+'TE BF'!$AA$44+'TE CVA'!$AA$44)*1</f>
        <v>361.55013418411539</v>
      </c>
      <c r="AB1658" s="4">
        <f>$K$1658*$V$1658</f>
        <v>0</v>
      </c>
      <c r="AC1658" s="4">
        <f>$M$1658*$W$1658</f>
        <v>7540.1241300000002</v>
      </c>
      <c r="AD1658" s="4">
        <f>$O$1658*$X$1658</f>
        <v>2862.9614999999999</v>
      </c>
      <c r="AE1658" s="4">
        <f>$K$1658*$Y$1658</f>
        <v>0</v>
      </c>
      <c r="AF1658" s="4">
        <f ca="1">$M$1658*$Z$1658</f>
        <v>8890.1013774167095</v>
      </c>
      <c r="AG1658" s="4">
        <f>$O$1658*$AA$1658</f>
        <v>2832.022201064176</v>
      </c>
    </row>
    <row r="1659" spans="1:33" ht="11.25" customHeight="1" x14ac:dyDescent="0.25">
      <c r="A1659" s="3" t="s">
        <v>21</v>
      </c>
      <c r="B1659" s="3" t="s">
        <v>37</v>
      </c>
      <c r="C1659" s="3" t="s">
        <v>33</v>
      </c>
      <c r="D1659" s="3" t="s">
        <v>43</v>
      </c>
      <c r="E1659" s="3" t="s">
        <v>25</v>
      </c>
      <c r="F1659" s="3" t="s">
        <v>25</v>
      </c>
      <c r="G1659" s="3" t="s">
        <v>25</v>
      </c>
      <c r="H1659" s="3" t="s">
        <v>34</v>
      </c>
      <c r="I1659" s="6">
        <v>44409</v>
      </c>
      <c r="J1659" s="4">
        <v>0</v>
      </c>
      <c r="K1659" s="4">
        <v>0</v>
      </c>
      <c r="L1659" s="4">
        <v>8.5350000000000001</v>
      </c>
      <c r="M1659" s="4">
        <v>8.5350000000000001</v>
      </c>
      <c r="N1659" s="4">
        <v>8.5350000000000001</v>
      </c>
      <c r="O1659" s="4">
        <v>8.5350000000000001</v>
      </c>
      <c r="P1659" s="4">
        <v>0</v>
      </c>
      <c r="Q1659" s="3" t="s">
        <v>26</v>
      </c>
      <c r="R1659" s="3">
        <v>0</v>
      </c>
      <c r="S1659" s="4">
        <v>0</v>
      </c>
      <c r="T1659" s="4">
        <v>42</v>
      </c>
      <c r="U1659" s="4">
        <v>59</v>
      </c>
      <c r="V1659" s="4">
        <f>IF(ISERROR(VLOOKUP($S$1659,'TAR FIN'!$A$1:$O$113,15,0)),0,VLOOKUP($S$1659,'TAR FIN'!$A$1:$O$113,15,0))</f>
        <v>0</v>
      </c>
      <c r="W1659" s="4">
        <f>IF(ISERROR(VLOOKUP($T$1659,'TAR FIN'!$A$1:$O$113,15,0)),0,VLOOKUP($T$1659,'TAR FIN'!$A$1:$O$113,15,0))</f>
        <v>962.61</v>
      </c>
      <c r="X1659" s="4">
        <f>IF(ISERROR(VLOOKUP($U$1659,'TAR FIN'!$A$1:$O$113,15,0)),0,VLOOKUP($U$1659,'TAR FIN'!$A$1:$O$113,15,0))</f>
        <v>365.5</v>
      </c>
      <c r="Y1659" s="4"/>
      <c r="Z1659" s="4">
        <f ca="1">('TUSD BE'!$AM$65+'TUSD BF'!$AM$65+'TUSD CVA'!$AM$65)*1</f>
        <v>1134.9548547704212</v>
      </c>
      <c r="AA1659" s="4">
        <f>('TE BE'!$AA$44+'TE BF'!$AA$44+'TE CVA'!$AA$44)*1</f>
        <v>361.55013418411539</v>
      </c>
      <c r="AB1659" s="4">
        <f>$K$1659*$V$1659</f>
        <v>0</v>
      </c>
      <c r="AC1659" s="4">
        <f>$M$1659*$W$1659</f>
        <v>8215.8763500000005</v>
      </c>
      <c r="AD1659" s="4">
        <f>$O$1659*$X$1659</f>
        <v>3119.5425</v>
      </c>
      <c r="AE1659" s="4">
        <f>$K$1659*$Y$1659</f>
        <v>0</v>
      </c>
      <c r="AF1659" s="4">
        <f ca="1">$M$1659*$Z$1659</f>
        <v>9686.8396854655457</v>
      </c>
      <c r="AG1659" s="4">
        <f>$O$1659*$AA$1659</f>
        <v>3085.8303952614251</v>
      </c>
    </row>
    <row r="1660" spans="1:33" ht="11.25" customHeight="1" x14ac:dyDescent="0.25">
      <c r="A1660" s="3" t="s">
        <v>21</v>
      </c>
      <c r="B1660" s="3" t="s">
        <v>37</v>
      </c>
      <c r="C1660" s="3" t="s">
        <v>33</v>
      </c>
      <c r="D1660" s="3" t="s">
        <v>43</v>
      </c>
      <c r="E1660" s="3" t="s">
        <v>25</v>
      </c>
      <c r="F1660" s="3" t="s">
        <v>25</v>
      </c>
      <c r="G1660" s="3" t="s">
        <v>25</v>
      </c>
      <c r="H1660" s="3" t="s">
        <v>34</v>
      </c>
      <c r="I1660" s="6">
        <v>44440</v>
      </c>
      <c r="J1660" s="4">
        <v>0</v>
      </c>
      <c r="K1660" s="4">
        <v>0</v>
      </c>
      <c r="L1660" s="4">
        <v>8.9109999999999996</v>
      </c>
      <c r="M1660" s="4">
        <v>8.9109999999999996</v>
      </c>
      <c r="N1660" s="4">
        <v>8.9109999999999996</v>
      </c>
      <c r="O1660" s="4">
        <v>8.9109999999999996</v>
      </c>
      <c r="P1660" s="4">
        <v>0</v>
      </c>
      <c r="Q1660" s="3" t="s">
        <v>26</v>
      </c>
      <c r="R1660" s="3">
        <v>0</v>
      </c>
      <c r="S1660" s="4">
        <v>0</v>
      </c>
      <c r="T1660" s="4">
        <v>42</v>
      </c>
      <c r="U1660" s="4">
        <v>59</v>
      </c>
      <c r="V1660" s="4">
        <f>IF(ISERROR(VLOOKUP($S$1660,'TAR FIN'!$A$1:$O$113,15,0)),0,VLOOKUP($S$1660,'TAR FIN'!$A$1:$O$113,15,0))</f>
        <v>0</v>
      </c>
      <c r="W1660" s="4">
        <f>IF(ISERROR(VLOOKUP($T$1660,'TAR FIN'!$A$1:$O$113,15,0)),0,VLOOKUP($T$1660,'TAR FIN'!$A$1:$O$113,15,0))</f>
        <v>962.61</v>
      </c>
      <c r="X1660" s="4">
        <f>IF(ISERROR(VLOOKUP($U$1660,'TAR FIN'!$A$1:$O$113,15,0)),0,VLOOKUP($U$1660,'TAR FIN'!$A$1:$O$113,15,0))</f>
        <v>365.5</v>
      </c>
      <c r="Y1660" s="4"/>
      <c r="Z1660" s="4">
        <f ca="1">('TUSD BE'!$AM$65+'TUSD BF'!$AM$65+'TUSD CVA'!$AM$65)*1</f>
        <v>1134.9548547704212</v>
      </c>
      <c r="AA1660" s="4">
        <f>('TE BE'!$AA$44+'TE BF'!$AA$44+'TE CVA'!$AA$44)*1</f>
        <v>361.55013418411539</v>
      </c>
      <c r="AB1660" s="4">
        <f>$K$1660*$V$1660</f>
        <v>0</v>
      </c>
      <c r="AC1660" s="4">
        <f>$M$1660*$W$1660</f>
        <v>8577.8177099999994</v>
      </c>
      <c r="AD1660" s="4">
        <f>$O$1660*$X$1660</f>
        <v>3256.9704999999999</v>
      </c>
      <c r="AE1660" s="4">
        <f>$K$1660*$Y$1660</f>
        <v>0</v>
      </c>
      <c r="AF1660" s="4">
        <f ca="1">$M$1660*$Z$1660</f>
        <v>10113.582710859222</v>
      </c>
      <c r="AG1660" s="4">
        <f>$O$1660*$AA$1660</f>
        <v>3221.7732457146521</v>
      </c>
    </row>
    <row r="1661" spans="1:33" ht="11.25" customHeight="1" x14ac:dyDescent="0.25">
      <c r="A1661" s="3" t="s">
        <v>21</v>
      </c>
      <c r="B1661" s="3" t="s">
        <v>37</v>
      </c>
      <c r="C1661" s="3" t="s">
        <v>33</v>
      </c>
      <c r="D1661" s="3" t="s">
        <v>43</v>
      </c>
      <c r="E1661" s="3" t="s">
        <v>25</v>
      </c>
      <c r="F1661" s="3" t="s">
        <v>25</v>
      </c>
      <c r="G1661" s="3" t="s">
        <v>25</v>
      </c>
      <c r="H1661" s="3" t="s">
        <v>34</v>
      </c>
      <c r="I1661" s="6">
        <v>44470</v>
      </c>
      <c r="J1661" s="4">
        <v>0</v>
      </c>
      <c r="K1661" s="4">
        <v>0</v>
      </c>
      <c r="L1661" s="4">
        <v>9.76</v>
      </c>
      <c r="M1661" s="4">
        <v>9.76</v>
      </c>
      <c r="N1661" s="4">
        <v>9.76</v>
      </c>
      <c r="O1661" s="4">
        <v>9.76</v>
      </c>
      <c r="P1661" s="4">
        <v>0</v>
      </c>
      <c r="Q1661" s="3" t="s">
        <v>26</v>
      </c>
      <c r="R1661" s="3">
        <v>0</v>
      </c>
      <c r="S1661" s="4">
        <v>0</v>
      </c>
      <c r="T1661" s="4">
        <v>42</v>
      </c>
      <c r="U1661" s="4">
        <v>59</v>
      </c>
      <c r="V1661" s="4">
        <f>IF(ISERROR(VLOOKUP($S$1661,'TAR FIN'!$A$1:$O$113,15,0)),0,VLOOKUP($S$1661,'TAR FIN'!$A$1:$O$113,15,0))</f>
        <v>0</v>
      </c>
      <c r="W1661" s="4">
        <f>IF(ISERROR(VLOOKUP($T$1661,'TAR FIN'!$A$1:$O$113,15,0)),0,VLOOKUP($T$1661,'TAR FIN'!$A$1:$O$113,15,0))</f>
        <v>962.61</v>
      </c>
      <c r="X1661" s="4">
        <f>IF(ISERROR(VLOOKUP($U$1661,'TAR FIN'!$A$1:$O$113,15,0)),0,VLOOKUP($U$1661,'TAR FIN'!$A$1:$O$113,15,0))</f>
        <v>365.5</v>
      </c>
      <c r="Y1661" s="4"/>
      <c r="Z1661" s="4">
        <f ca="1">('TUSD BE'!$AM$65+'TUSD BF'!$AM$65+'TUSD CVA'!$AM$65)*1</f>
        <v>1134.9548547704212</v>
      </c>
      <c r="AA1661" s="4">
        <f>('TE BE'!$AA$44+'TE BF'!$AA$44+'TE CVA'!$AA$44)*1</f>
        <v>361.55013418411539</v>
      </c>
      <c r="AB1661" s="4">
        <f>$K$1661*$V$1661</f>
        <v>0</v>
      </c>
      <c r="AC1661" s="4">
        <f>$M$1661*$W$1661</f>
        <v>9395.0735999999997</v>
      </c>
      <c r="AD1661" s="4">
        <f>$O$1661*$X$1661</f>
        <v>3567.2799999999997</v>
      </c>
      <c r="AE1661" s="4">
        <f>$K$1661*$Y$1661</f>
        <v>0</v>
      </c>
      <c r="AF1661" s="4">
        <f ca="1">$M$1661*$Z$1661</f>
        <v>11077.15938255931</v>
      </c>
      <c r="AG1661" s="4">
        <f>$O$1661*$AA$1661</f>
        <v>3528.7293096369663</v>
      </c>
    </row>
    <row r="1662" spans="1:33" ht="11.25" customHeight="1" x14ac:dyDescent="0.25">
      <c r="A1662" s="3" t="s">
        <v>28</v>
      </c>
      <c r="B1662" s="3" t="s">
        <v>37</v>
      </c>
      <c r="C1662" s="3" t="s">
        <v>33</v>
      </c>
      <c r="D1662" s="3" t="s">
        <v>43</v>
      </c>
      <c r="E1662" s="3" t="s">
        <v>25</v>
      </c>
      <c r="F1662" s="3" t="s">
        <v>25</v>
      </c>
      <c r="G1662" s="3" t="s">
        <v>25</v>
      </c>
      <c r="H1662" s="3" t="s">
        <v>34</v>
      </c>
      <c r="I1662" s="6">
        <v>44470</v>
      </c>
      <c r="J1662" s="4">
        <v>0</v>
      </c>
      <c r="K1662" s="4">
        <v>0</v>
      </c>
      <c r="L1662" s="4">
        <v>2.5999999999999999E-2</v>
      </c>
      <c r="M1662" s="4">
        <v>2.5999999999999999E-2</v>
      </c>
      <c r="N1662" s="4">
        <v>2.5999999999999999E-2</v>
      </c>
      <c r="O1662" s="4">
        <v>2.5999999999999999E-2</v>
      </c>
      <c r="P1662" s="4">
        <v>0</v>
      </c>
      <c r="Q1662" s="3" t="s">
        <v>26</v>
      </c>
      <c r="R1662" s="3">
        <v>0</v>
      </c>
      <c r="S1662" s="4">
        <v>0</v>
      </c>
      <c r="T1662" s="4">
        <v>42</v>
      </c>
      <c r="U1662" s="4">
        <v>59</v>
      </c>
      <c r="V1662" s="4">
        <f>IF(ISERROR(VLOOKUP($S$1662,'TAR FIN'!$A$1:$O$113,15,0)),0,VLOOKUP($S$1662,'TAR FIN'!$A$1:$O$113,15,0))</f>
        <v>0</v>
      </c>
      <c r="W1662" s="4">
        <f>IF(ISERROR(VLOOKUP($T$1662,'TAR FIN'!$A$1:$O$113,15,0)),0,VLOOKUP($T$1662,'TAR FIN'!$A$1:$O$113,15,0))</f>
        <v>962.61</v>
      </c>
      <c r="X1662" s="4">
        <f>IF(ISERROR(VLOOKUP($U$1662,'TAR FIN'!$A$1:$O$113,15,0)),0,VLOOKUP($U$1662,'TAR FIN'!$A$1:$O$113,15,0))</f>
        <v>365.5</v>
      </c>
      <c r="Y1662" s="4"/>
      <c r="Z1662" s="4">
        <f ca="1">('TUSD BE'!$AM$65+'TUSD BF'!$AM$65+'TUSD CVA'!$AM$65)*1</f>
        <v>1134.9548547704212</v>
      </c>
      <c r="AA1662" s="4">
        <f>('TE BE'!$AA$44+'TE BF'!$AA$44+'TE CVA'!$AA$44)*1</f>
        <v>361.55013418411539</v>
      </c>
      <c r="AB1662" s="4">
        <f>$K$1662*$V$1662</f>
        <v>0</v>
      </c>
      <c r="AC1662" s="4">
        <f>$M$1662*$W$1662</f>
        <v>25.02786</v>
      </c>
      <c r="AD1662" s="4">
        <f>$O$1662*$X$1662</f>
        <v>9.5030000000000001</v>
      </c>
      <c r="AE1662" s="4">
        <f>$K$1662*$Y$1662</f>
        <v>0</v>
      </c>
      <c r="AF1662" s="4">
        <f ca="1">$M$1662*$Z$1662</f>
        <v>29.508826224030951</v>
      </c>
      <c r="AG1662" s="4">
        <f>$O$1662*$AA$1662</f>
        <v>9.4003034887869994</v>
      </c>
    </row>
    <row r="1663" spans="1:33" ht="11.25" customHeight="1" x14ac:dyDescent="0.25">
      <c r="A1663" s="3" t="s">
        <v>21</v>
      </c>
      <c r="B1663" s="3" t="s">
        <v>37</v>
      </c>
      <c r="C1663" s="3" t="s">
        <v>33</v>
      </c>
      <c r="D1663" s="3" t="s">
        <v>43</v>
      </c>
      <c r="E1663" s="3" t="s">
        <v>25</v>
      </c>
      <c r="F1663" s="3" t="s">
        <v>25</v>
      </c>
      <c r="G1663" s="3" t="s">
        <v>25</v>
      </c>
      <c r="H1663" s="3" t="s">
        <v>34</v>
      </c>
      <c r="I1663" s="6">
        <v>44501</v>
      </c>
      <c r="J1663" s="4">
        <v>0</v>
      </c>
      <c r="K1663" s="4">
        <v>0</v>
      </c>
      <c r="L1663" s="4">
        <v>8.2430000000000003</v>
      </c>
      <c r="M1663" s="4">
        <v>8.2430000000000003</v>
      </c>
      <c r="N1663" s="4">
        <v>8.2430000000000003</v>
      </c>
      <c r="O1663" s="4">
        <v>8.2430000000000003</v>
      </c>
      <c r="P1663" s="4">
        <v>0</v>
      </c>
      <c r="Q1663" s="3" t="s">
        <v>26</v>
      </c>
      <c r="R1663" s="3">
        <v>0</v>
      </c>
      <c r="S1663" s="4">
        <v>0</v>
      </c>
      <c r="T1663" s="4">
        <v>42</v>
      </c>
      <c r="U1663" s="4">
        <v>59</v>
      </c>
      <c r="V1663" s="4">
        <f>IF(ISERROR(VLOOKUP($S$1663,'TAR FIN'!$A$1:$O$113,15,0)),0,VLOOKUP($S$1663,'TAR FIN'!$A$1:$O$113,15,0))</f>
        <v>0</v>
      </c>
      <c r="W1663" s="4">
        <f>IF(ISERROR(VLOOKUP($T$1663,'TAR FIN'!$A$1:$O$113,15,0)),0,VLOOKUP($T$1663,'TAR FIN'!$A$1:$O$113,15,0))</f>
        <v>962.61</v>
      </c>
      <c r="X1663" s="4">
        <f>IF(ISERROR(VLOOKUP($U$1663,'TAR FIN'!$A$1:$O$113,15,0)),0,VLOOKUP($U$1663,'TAR FIN'!$A$1:$O$113,15,0))</f>
        <v>365.5</v>
      </c>
      <c r="Y1663" s="4"/>
      <c r="Z1663" s="4">
        <f ca="1">('TUSD BE'!$AM$65+'TUSD BF'!$AM$65+'TUSD CVA'!$AM$65)*1</f>
        <v>1134.9548547704212</v>
      </c>
      <c r="AA1663" s="4">
        <f>('TE BE'!$AA$44+'TE BF'!$AA$44+'TE CVA'!$AA$44)*1</f>
        <v>361.55013418411539</v>
      </c>
      <c r="AB1663" s="4">
        <f>$K$1663*$V$1663</f>
        <v>0</v>
      </c>
      <c r="AC1663" s="4">
        <f>$M$1663*$W$1663</f>
        <v>7934.7942300000004</v>
      </c>
      <c r="AD1663" s="4">
        <f>$O$1663*$X$1663</f>
        <v>3012.8164999999999</v>
      </c>
      <c r="AE1663" s="4">
        <f>$K$1663*$Y$1663</f>
        <v>0</v>
      </c>
      <c r="AF1663" s="4">
        <f ca="1">$M$1663*$Z$1663</f>
        <v>9355.4328678725815</v>
      </c>
      <c r="AG1663" s="4">
        <f>$O$1663*$AA$1663</f>
        <v>2980.2577560796635</v>
      </c>
    </row>
    <row r="1664" spans="1:33" ht="11.25" customHeight="1" x14ac:dyDescent="0.25">
      <c r="A1664" s="3" t="s">
        <v>21</v>
      </c>
      <c r="B1664" s="3" t="s">
        <v>37</v>
      </c>
      <c r="C1664" s="3" t="s">
        <v>33</v>
      </c>
      <c r="D1664" s="3" t="s">
        <v>43</v>
      </c>
      <c r="E1664" s="3" t="s">
        <v>25</v>
      </c>
      <c r="F1664" s="3" t="s">
        <v>25</v>
      </c>
      <c r="G1664" s="3" t="s">
        <v>25</v>
      </c>
      <c r="H1664" s="3" t="s">
        <v>34</v>
      </c>
      <c r="I1664" s="6">
        <v>44531</v>
      </c>
      <c r="J1664" s="4">
        <v>0</v>
      </c>
      <c r="K1664" s="4">
        <v>0</v>
      </c>
      <c r="L1664" s="4">
        <v>9.0890000000000004</v>
      </c>
      <c r="M1664" s="4">
        <v>9.0890000000000004</v>
      </c>
      <c r="N1664" s="4">
        <v>9.0890000000000004</v>
      </c>
      <c r="O1664" s="4">
        <v>9.0890000000000004</v>
      </c>
      <c r="P1664" s="4">
        <v>0</v>
      </c>
      <c r="Q1664" s="3" t="s">
        <v>26</v>
      </c>
      <c r="R1664" s="3">
        <v>0</v>
      </c>
      <c r="S1664" s="4">
        <v>0</v>
      </c>
      <c r="T1664" s="4">
        <v>42</v>
      </c>
      <c r="U1664" s="4">
        <v>59</v>
      </c>
      <c r="V1664" s="4">
        <f>IF(ISERROR(VLOOKUP($S$1664,'TAR FIN'!$A$1:$O$113,15,0)),0,VLOOKUP($S$1664,'TAR FIN'!$A$1:$O$113,15,0))</f>
        <v>0</v>
      </c>
      <c r="W1664" s="4">
        <f>IF(ISERROR(VLOOKUP($T$1664,'TAR FIN'!$A$1:$O$113,15,0)),0,VLOOKUP($T$1664,'TAR FIN'!$A$1:$O$113,15,0))</f>
        <v>962.61</v>
      </c>
      <c r="X1664" s="4">
        <f>IF(ISERROR(VLOOKUP($U$1664,'TAR FIN'!$A$1:$O$113,15,0)),0,VLOOKUP($U$1664,'TAR FIN'!$A$1:$O$113,15,0))</f>
        <v>365.5</v>
      </c>
      <c r="Y1664" s="4"/>
      <c r="Z1664" s="4">
        <f ca="1">('TUSD BE'!$AM$65+'TUSD BF'!$AM$65+'TUSD CVA'!$AM$65)*1</f>
        <v>1134.9548547704212</v>
      </c>
      <c r="AA1664" s="4">
        <f>('TE BE'!$AA$44+'TE BF'!$AA$44+'TE CVA'!$AA$44)*1</f>
        <v>361.55013418411539</v>
      </c>
      <c r="AB1664" s="4">
        <f>$K$1664*$V$1664</f>
        <v>0</v>
      </c>
      <c r="AC1664" s="4">
        <f>$M$1664*$W$1664</f>
        <v>8749.1622900000002</v>
      </c>
      <c r="AD1664" s="4">
        <f>$O$1664*$X$1664</f>
        <v>3322.0295000000001</v>
      </c>
      <c r="AE1664" s="4">
        <f>$K$1664*$Y$1664</f>
        <v>0</v>
      </c>
      <c r="AF1664" s="4">
        <f ca="1">$M$1664*$Z$1664</f>
        <v>10315.604675008359</v>
      </c>
      <c r="AG1664" s="4">
        <f>$O$1664*$AA$1664</f>
        <v>3286.129169599425</v>
      </c>
    </row>
    <row r="1665" spans="1:33" ht="11.25" customHeight="1" x14ac:dyDescent="0.25">
      <c r="A1665" s="3" t="s">
        <v>21</v>
      </c>
      <c r="B1665" s="3" t="s">
        <v>37</v>
      </c>
      <c r="C1665" s="3" t="s">
        <v>33</v>
      </c>
      <c r="D1665" s="3" t="s">
        <v>43</v>
      </c>
      <c r="E1665" s="3" t="s">
        <v>25</v>
      </c>
      <c r="F1665" s="3" t="s">
        <v>25</v>
      </c>
      <c r="G1665" s="3" t="s">
        <v>25</v>
      </c>
      <c r="H1665" s="3" t="s">
        <v>34</v>
      </c>
      <c r="I1665" s="6">
        <v>44562</v>
      </c>
      <c r="J1665" s="4">
        <v>0</v>
      </c>
      <c r="K1665" s="4">
        <v>0</v>
      </c>
      <c r="L1665" s="4">
        <v>9.5449999999999999</v>
      </c>
      <c r="M1665" s="4">
        <v>9.5449999999999999</v>
      </c>
      <c r="N1665" s="4">
        <v>9.5449999999999999</v>
      </c>
      <c r="O1665" s="4">
        <v>9.5449999999999999</v>
      </c>
      <c r="P1665" s="4">
        <v>0</v>
      </c>
      <c r="Q1665" s="3" t="s">
        <v>26</v>
      </c>
      <c r="R1665" s="3">
        <v>0</v>
      </c>
      <c r="S1665" s="4">
        <v>0</v>
      </c>
      <c r="T1665" s="4">
        <v>42</v>
      </c>
      <c r="U1665" s="4">
        <v>59</v>
      </c>
      <c r="V1665" s="4">
        <f>IF(ISERROR(VLOOKUP($S$1665,'TAR FIN'!$A$1:$O$113,15,0)),0,VLOOKUP($S$1665,'TAR FIN'!$A$1:$O$113,15,0))</f>
        <v>0</v>
      </c>
      <c r="W1665" s="4">
        <f>IF(ISERROR(VLOOKUP($T$1665,'TAR FIN'!$A$1:$O$113,15,0)),0,VLOOKUP($T$1665,'TAR FIN'!$A$1:$O$113,15,0))</f>
        <v>962.61</v>
      </c>
      <c r="X1665" s="4">
        <f>IF(ISERROR(VLOOKUP($U$1665,'TAR FIN'!$A$1:$O$113,15,0)),0,VLOOKUP($U$1665,'TAR FIN'!$A$1:$O$113,15,0))</f>
        <v>365.5</v>
      </c>
      <c r="Y1665" s="4"/>
      <c r="Z1665" s="4">
        <f ca="1">('TUSD BE'!$AM$65+'TUSD BF'!$AM$65+'TUSD CVA'!$AM$65)*1</f>
        <v>1134.9548547704212</v>
      </c>
      <c r="AA1665" s="4">
        <f>('TE BE'!$AA$44+'TE BF'!$AA$44+'TE CVA'!$AA$44)*1</f>
        <v>361.55013418411539</v>
      </c>
      <c r="AB1665" s="4">
        <f>$K$1665*$V$1665</f>
        <v>0</v>
      </c>
      <c r="AC1665" s="4">
        <f>$M$1665*$W$1665</f>
        <v>9188.1124500000005</v>
      </c>
      <c r="AD1665" s="4">
        <f>$O$1665*$X$1665</f>
        <v>3488.6974999999998</v>
      </c>
      <c r="AE1665" s="4">
        <f>$K$1665*$Y$1665</f>
        <v>0</v>
      </c>
      <c r="AF1665" s="4">
        <f ca="1">$M$1665*$Z$1665</f>
        <v>10833.144088783671</v>
      </c>
      <c r="AG1665" s="4">
        <f>$O$1665*$AA$1665</f>
        <v>3450.9960307873812</v>
      </c>
    </row>
    <row r="1666" spans="1:33" ht="11.25" customHeight="1" x14ac:dyDescent="0.25">
      <c r="A1666" s="3" t="s">
        <v>28</v>
      </c>
      <c r="B1666" s="3" t="s">
        <v>37</v>
      </c>
      <c r="C1666" s="3" t="s">
        <v>33</v>
      </c>
      <c r="D1666" s="3" t="s">
        <v>43</v>
      </c>
      <c r="E1666" s="3" t="s">
        <v>25</v>
      </c>
      <c r="F1666" s="3" t="s">
        <v>25</v>
      </c>
      <c r="G1666" s="3" t="s">
        <v>25</v>
      </c>
      <c r="H1666" s="3" t="s">
        <v>34</v>
      </c>
      <c r="I1666" s="6">
        <v>44562</v>
      </c>
      <c r="J1666" s="4">
        <v>0</v>
      </c>
      <c r="K1666" s="4">
        <v>0</v>
      </c>
      <c r="L1666" s="4">
        <v>7.1999999999999995E-2</v>
      </c>
      <c r="M1666" s="4">
        <v>7.1999999999999995E-2</v>
      </c>
      <c r="N1666" s="4">
        <v>7.1999999999999995E-2</v>
      </c>
      <c r="O1666" s="4">
        <v>7.1999999999999995E-2</v>
      </c>
      <c r="P1666" s="4">
        <v>0</v>
      </c>
      <c r="Q1666" s="3" t="s">
        <v>26</v>
      </c>
      <c r="R1666" s="3">
        <v>0</v>
      </c>
      <c r="S1666" s="4">
        <v>0</v>
      </c>
      <c r="T1666" s="4">
        <v>42</v>
      </c>
      <c r="U1666" s="4">
        <v>59</v>
      </c>
      <c r="V1666" s="4">
        <f>IF(ISERROR(VLOOKUP($S$1666,'TAR FIN'!$A$1:$O$113,15,0)),0,VLOOKUP($S$1666,'TAR FIN'!$A$1:$O$113,15,0))</f>
        <v>0</v>
      </c>
      <c r="W1666" s="4">
        <f>IF(ISERROR(VLOOKUP($T$1666,'TAR FIN'!$A$1:$O$113,15,0)),0,VLOOKUP($T$1666,'TAR FIN'!$A$1:$O$113,15,0))</f>
        <v>962.61</v>
      </c>
      <c r="X1666" s="4">
        <f>IF(ISERROR(VLOOKUP($U$1666,'TAR FIN'!$A$1:$O$113,15,0)),0,VLOOKUP($U$1666,'TAR FIN'!$A$1:$O$113,15,0))</f>
        <v>365.5</v>
      </c>
      <c r="Y1666" s="4"/>
      <c r="Z1666" s="4">
        <f ca="1">('TUSD BE'!$AM$65+'TUSD BF'!$AM$65+'TUSD CVA'!$AM$65)*1</f>
        <v>1134.9548547704212</v>
      </c>
      <c r="AA1666" s="4">
        <f>('TE BE'!$AA$44+'TE BF'!$AA$44+'TE CVA'!$AA$44)*1</f>
        <v>361.55013418411539</v>
      </c>
      <c r="AB1666" s="4">
        <f>$K$1666*$V$1666</f>
        <v>0</v>
      </c>
      <c r="AC1666" s="4">
        <f>$M$1666*$W$1666</f>
        <v>69.307919999999996</v>
      </c>
      <c r="AD1666" s="4">
        <f>$O$1666*$X$1666</f>
        <v>26.315999999999999</v>
      </c>
      <c r="AE1666" s="4">
        <f>$K$1666*$Y$1666</f>
        <v>0</v>
      </c>
      <c r="AF1666" s="4">
        <f ca="1">$M$1666*$Z$1666</f>
        <v>81.716749543470314</v>
      </c>
      <c r="AG1666" s="4">
        <f>$O$1666*$AA$1666</f>
        <v>26.031609661256308</v>
      </c>
    </row>
    <row r="1667" spans="1:33" ht="11.25" customHeight="1" x14ac:dyDescent="0.25">
      <c r="A1667" s="3" t="s">
        <v>21</v>
      </c>
      <c r="B1667" s="3" t="s">
        <v>37</v>
      </c>
      <c r="C1667" s="3" t="s">
        <v>33</v>
      </c>
      <c r="D1667" s="3" t="s">
        <v>43</v>
      </c>
      <c r="E1667" s="3" t="s">
        <v>25</v>
      </c>
      <c r="F1667" s="3" t="s">
        <v>25</v>
      </c>
      <c r="G1667" s="3" t="s">
        <v>25</v>
      </c>
      <c r="H1667" s="3" t="s">
        <v>34</v>
      </c>
      <c r="I1667" s="6">
        <v>44593</v>
      </c>
      <c r="J1667" s="4">
        <v>0</v>
      </c>
      <c r="K1667" s="4">
        <v>0</v>
      </c>
      <c r="L1667" s="4">
        <v>8.7550000000000008</v>
      </c>
      <c r="M1667" s="4">
        <v>8.7550000000000008</v>
      </c>
      <c r="N1667" s="4">
        <v>8.7550000000000008</v>
      </c>
      <c r="O1667" s="4">
        <v>8.7550000000000008</v>
      </c>
      <c r="P1667" s="4">
        <v>0</v>
      </c>
      <c r="Q1667" s="3" t="s">
        <v>26</v>
      </c>
      <c r="R1667" s="3">
        <v>0</v>
      </c>
      <c r="S1667" s="4">
        <v>0</v>
      </c>
      <c r="T1667" s="4">
        <v>42</v>
      </c>
      <c r="U1667" s="4">
        <v>59</v>
      </c>
      <c r="V1667" s="4">
        <f>IF(ISERROR(VLOOKUP($S$1667,'TAR FIN'!$A$1:$O$113,15,0)),0,VLOOKUP($S$1667,'TAR FIN'!$A$1:$O$113,15,0))</f>
        <v>0</v>
      </c>
      <c r="W1667" s="4">
        <f>IF(ISERROR(VLOOKUP($T$1667,'TAR FIN'!$A$1:$O$113,15,0)),0,VLOOKUP($T$1667,'TAR FIN'!$A$1:$O$113,15,0))</f>
        <v>962.61</v>
      </c>
      <c r="X1667" s="4">
        <f>IF(ISERROR(VLOOKUP($U$1667,'TAR FIN'!$A$1:$O$113,15,0)),0,VLOOKUP($U$1667,'TAR FIN'!$A$1:$O$113,15,0))</f>
        <v>365.5</v>
      </c>
      <c r="Y1667" s="4"/>
      <c r="Z1667" s="4">
        <f ca="1">('TUSD BE'!$AM$65+'TUSD BF'!$AM$65+'TUSD CVA'!$AM$65)*1</f>
        <v>1134.9548547704212</v>
      </c>
      <c r="AA1667" s="4">
        <f>('TE BE'!$AA$44+'TE BF'!$AA$44+'TE CVA'!$AA$44)*1</f>
        <v>361.55013418411539</v>
      </c>
      <c r="AB1667" s="4">
        <f>$K$1667*$V$1667</f>
        <v>0</v>
      </c>
      <c r="AC1667" s="4">
        <f>$M$1667*$W$1667</f>
        <v>8427.6505500000003</v>
      </c>
      <c r="AD1667" s="4">
        <f>$O$1667*$X$1667</f>
        <v>3199.9525000000003</v>
      </c>
      <c r="AE1667" s="4">
        <f>$K$1667*$Y$1667</f>
        <v>0</v>
      </c>
      <c r="AF1667" s="4">
        <f ca="1">$M$1667*$Z$1667</f>
        <v>9936.5297535150385</v>
      </c>
      <c r="AG1667" s="4">
        <f>$O$1667*$AA$1667</f>
        <v>3165.3714247819307</v>
      </c>
    </row>
    <row r="1668" spans="1:33" ht="11.25" customHeight="1" x14ac:dyDescent="0.25">
      <c r="A1668" s="3" t="s">
        <v>56</v>
      </c>
      <c r="B1668" s="3" t="s">
        <v>37</v>
      </c>
      <c r="C1668" s="3" t="s">
        <v>33</v>
      </c>
      <c r="D1668" s="3" t="s">
        <v>43</v>
      </c>
      <c r="E1668" s="3" t="s">
        <v>25</v>
      </c>
      <c r="F1668" s="3" t="s">
        <v>25</v>
      </c>
      <c r="G1668" s="3" t="s">
        <v>25</v>
      </c>
      <c r="H1668" s="3" t="s">
        <v>34</v>
      </c>
      <c r="I1668" s="6">
        <v>44621</v>
      </c>
      <c r="J1668" s="4">
        <v>0</v>
      </c>
      <c r="K1668" s="4">
        <v>0</v>
      </c>
      <c r="L1668" s="4">
        <v>8.7550000000000008</v>
      </c>
      <c r="M1668" s="4">
        <v>8.7550000000000008</v>
      </c>
      <c r="N1668" s="4">
        <v>8.7550000000000008</v>
      </c>
      <c r="O1668" s="4">
        <v>8.7550000000000008</v>
      </c>
      <c r="P1668" s="4">
        <v>0</v>
      </c>
      <c r="Q1668" s="3" t="s">
        <v>26</v>
      </c>
      <c r="R1668" s="3">
        <v>0</v>
      </c>
      <c r="S1668" s="4">
        <v>0</v>
      </c>
      <c r="T1668" s="4">
        <v>42</v>
      </c>
      <c r="U1668" s="4">
        <v>59</v>
      </c>
      <c r="V1668" s="4">
        <f>IF(ISERROR(VLOOKUP($S$1668,'TAR FIN'!$A$1:$O$113,15,0)),0,VLOOKUP($S$1668,'TAR FIN'!$A$1:$O$113,15,0))</f>
        <v>0</v>
      </c>
      <c r="W1668" s="4">
        <f>IF(ISERROR(VLOOKUP($T$1668,'TAR FIN'!$A$1:$O$113,15,0)),0,VLOOKUP($T$1668,'TAR FIN'!$A$1:$O$113,15,0))</f>
        <v>962.61</v>
      </c>
      <c r="X1668" s="4">
        <f>IF(ISERROR(VLOOKUP($U$1668,'TAR FIN'!$A$1:$O$113,15,0)),0,VLOOKUP($U$1668,'TAR FIN'!$A$1:$O$113,15,0))</f>
        <v>365.5</v>
      </c>
      <c r="Y1668" s="4"/>
      <c r="Z1668" s="4">
        <f ca="1">('TUSD BE'!$AM$65+'TUSD BF'!$AM$65+'TUSD CVA'!$AM$65)*1</f>
        <v>1134.9548547704212</v>
      </c>
      <c r="AA1668" s="4">
        <f>('TE BE'!$AA$44+'TE BF'!$AA$44+'TE CVA'!$AA$44)*1</f>
        <v>361.55013418411539</v>
      </c>
      <c r="AB1668" s="4">
        <f>$K$1668*$V$1668</f>
        <v>0</v>
      </c>
      <c r="AC1668" s="4">
        <f>$M$1668*$W$1668</f>
        <v>8427.6505500000003</v>
      </c>
      <c r="AD1668" s="4">
        <f>$O$1668*$X$1668</f>
        <v>3199.9525000000003</v>
      </c>
      <c r="AE1668" s="4">
        <f>$K$1668*$Y$1668</f>
        <v>0</v>
      </c>
      <c r="AF1668" s="4">
        <f ca="1">$M$1668*$Z$1668</f>
        <v>9936.5297535150385</v>
      </c>
      <c r="AG1668" s="4">
        <f>$O$1668*$AA$1668</f>
        <v>3165.3714247819307</v>
      </c>
    </row>
    <row r="1669" spans="1:33" ht="11.25" customHeight="1" x14ac:dyDescent="0.25">
      <c r="A1669" s="3" t="s">
        <v>21</v>
      </c>
      <c r="B1669" s="3" t="s">
        <v>37</v>
      </c>
      <c r="C1669" s="3" t="s">
        <v>33</v>
      </c>
      <c r="D1669" s="3" t="s">
        <v>38</v>
      </c>
      <c r="E1669" s="3" t="s">
        <v>25</v>
      </c>
      <c r="F1669" s="3" t="s">
        <v>25</v>
      </c>
      <c r="G1669" s="3" t="s">
        <v>25</v>
      </c>
      <c r="H1669" s="3" t="s">
        <v>35</v>
      </c>
      <c r="I1669" s="6">
        <v>44287</v>
      </c>
      <c r="J1669" s="4">
        <v>0</v>
      </c>
      <c r="K1669" s="4">
        <v>0</v>
      </c>
      <c r="L1669" s="4">
        <v>9.4700000000000006</v>
      </c>
      <c r="M1669" s="4">
        <v>9.4700000000000006</v>
      </c>
      <c r="N1669" s="4">
        <v>9.4700000000000006</v>
      </c>
      <c r="O1669" s="4">
        <v>9.4700000000000006</v>
      </c>
      <c r="P1669" s="4">
        <v>0</v>
      </c>
      <c r="Q1669" s="3" t="s">
        <v>26</v>
      </c>
      <c r="R1669" s="3">
        <v>0</v>
      </c>
      <c r="S1669" s="4">
        <v>0</v>
      </c>
      <c r="T1669" s="4">
        <v>83</v>
      </c>
      <c r="U1669" s="4">
        <v>61</v>
      </c>
      <c r="V1669" s="4">
        <f>IF(ISERROR(VLOOKUP($S$1669,'TAR FIN'!$A$1:$O$113,15,0)),0,VLOOKUP($S$1669,'TAR FIN'!$A$1:$O$113,15,0))</f>
        <v>0</v>
      </c>
      <c r="W1669" s="4">
        <f>IF(ISERROR(VLOOKUP($T$1669,'TAR FIN'!$A$1:$O$113,15,0)),0,VLOOKUP($T$1669,'TAR FIN'!$A$1:$O$113,15,0))</f>
        <v>250.31</v>
      </c>
      <c r="X1669" s="4">
        <f>IF(ISERROR(VLOOKUP($U$1669,'TAR FIN'!$A$1:$O$113,15,0)),0,VLOOKUP($U$1669,'TAR FIN'!$A$1:$O$113,15,0))</f>
        <v>222.31</v>
      </c>
      <c r="Y1669" s="4"/>
      <c r="Z1669" s="4">
        <f ca="1">('TUSD BE'!$AM$67+'TUSD BF'!$AM$67+'TUSD CVA'!$AM$67)*1</f>
        <v>298.54935824624732</v>
      </c>
      <c r="AA1669" s="4">
        <f>('TE BE'!$AA$46+'TE BF'!$AA$46+'TE CVA'!$AA$46)*1</f>
        <v>223.14561812044704</v>
      </c>
      <c r="AB1669" s="4">
        <f>$K$1669*$V$1669</f>
        <v>0</v>
      </c>
      <c r="AC1669" s="4">
        <f>$M$1669*$W$1669</f>
        <v>2370.4357</v>
      </c>
      <c r="AD1669" s="4">
        <f>$O$1669*$X$1669</f>
        <v>2105.2757000000001</v>
      </c>
      <c r="AE1669" s="4">
        <f>$K$1669*$Y$1669</f>
        <v>0</v>
      </c>
      <c r="AF1669" s="4">
        <f ca="1">$M$1669*$Z$1669</f>
        <v>2827.2624225919621</v>
      </c>
      <c r="AG1669" s="4">
        <f>$O$1669*$AA$1669</f>
        <v>2113.1890036006334</v>
      </c>
    </row>
    <row r="1670" spans="1:33" ht="11.25" customHeight="1" x14ac:dyDescent="0.25">
      <c r="A1670" s="3" t="s">
        <v>21</v>
      </c>
      <c r="B1670" s="3" t="s">
        <v>37</v>
      </c>
      <c r="C1670" s="3" t="s">
        <v>33</v>
      </c>
      <c r="D1670" s="3" t="s">
        <v>38</v>
      </c>
      <c r="E1670" s="3" t="s">
        <v>25</v>
      </c>
      <c r="F1670" s="3" t="s">
        <v>25</v>
      </c>
      <c r="G1670" s="3" t="s">
        <v>25</v>
      </c>
      <c r="H1670" s="3" t="s">
        <v>35</v>
      </c>
      <c r="I1670" s="6">
        <v>44317</v>
      </c>
      <c r="J1670" s="4">
        <v>0</v>
      </c>
      <c r="K1670" s="4">
        <v>0</v>
      </c>
      <c r="L1670" s="4">
        <v>9.3260000000000005</v>
      </c>
      <c r="M1670" s="4">
        <v>9.3260000000000005</v>
      </c>
      <c r="N1670" s="4">
        <v>9.3260000000000005</v>
      </c>
      <c r="O1670" s="4">
        <v>9.3260000000000005</v>
      </c>
      <c r="P1670" s="4">
        <v>0</v>
      </c>
      <c r="Q1670" s="3" t="s">
        <v>26</v>
      </c>
      <c r="R1670" s="3">
        <v>0</v>
      </c>
      <c r="S1670" s="4">
        <v>0</v>
      </c>
      <c r="T1670" s="4">
        <v>83</v>
      </c>
      <c r="U1670" s="4">
        <v>61</v>
      </c>
      <c r="V1670" s="4">
        <f>IF(ISERROR(VLOOKUP($S$1670,'TAR FIN'!$A$1:$O$113,15,0)),0,VLOOKUP($S$1670,'TAR FIN'!$A$1:$O$113,15,0))</f>
        <v>0</v>
      </c>
      <c r="W1670" s="4">
        <f>IF(ISERROR(VLOOKUP($T$1670,'TAR FIN'!$A$1:$O$113,15,0)),0,VLOOKUP($T$1670,'TAR FIN'!$A$1:$O$113,15,0))</f>
        <v>250.31</v>
      </c>
      <c r="X1670" s="4">
        <f>IF(ISERROR(VLOOKUP($U$1670,'TAR FIN'!$A$1:$O$113,15,0)),0,VLOOKUP($U$1670,'TAR FIN'!$A$1:$O$113,15,0))</f>
        <v>222.31</v>
      </c>
      <c r="Y1670" s="4"/>
      <c r="Z1670" s="4">
        <f ca="1">('TUSD BE'!$AM$67+'TUSD BF'!$AM$67+'TUSD CVA'!$AM$67)*1</f>
        <v>298.54935824624732</v>
      </c>
      <c r="AA1670" s="4">
        <f>('TE BE'!$AA$46+'TE BF'!$AA$46+'TE CVA'!$AA$46)*1</f>
        <v>223.14561812044704</v>
      </c>
      <c r="AB1670" s="4">
        <f>$K$1670*$V$1670</f>
        <v>0</v>
      </c>
      <c r="AC1670" s="4">
        <f>$M$1670*$W$1670</f>
        <v>2334.3910599999999</v>
      </c>
      <c r="AD1670" s="4">
        <f>$O$1670*$X$1670</f>
        <v>2073.2630600000002</v>
      </c>
      <c r="AE1670" s="4">
        <f>$K$1670*$Y$1670</f>
        <v>0</v>
      </c>
      <c r="AF1670" s="4">
        <f ca="1">$M$1670*$Z$1670</f>
        <v>2784.2713150045029</v>
      </c>
      <c r="AG1670" s="4">
        <f>$O$1670*$AA$1670</f>
        <v>2081.0560345912891</v>
      </c>
    </row>
    <row r="1671" spans="1:33" ht="11.25" customHeight="1" x14ac:dyDescent="0.25">
      <c r="A1671" s="3" t="s">
        <v>21</v>
      </c>
      <c r="B1671" s="3" t="s">
        <v>37</v>
      </c>
      <c r="C1671" s="3" t="s">
        <v>33</v>
      </c>
      <c r="D1671" s="3" t="s">
        <v>38</v>
      </c>
      <c r="E1671" s="3" t="s">
        <v>25</v>
      </c>
      <c r="F1671" s="3" t="s">
        <v>25</v>
      </c>
      <c r="G1671" s="3" t="s">
        <v>25</v>
      </c>
      <c r="H1671" s="3" t="s">
        <v>35</v>
      </c>
      <c r="I1671" s="6">
        <v>44348</v>
      </c>
      <c r="J1671" s="4">
        <v>0</v>
      </c>
      <c r="K1671" s="4">
        <v>0</v>
      </c>
      <c r="L1671" s="4">
        <v>9.3239999999999998</v>
      </c>
      <c r="M1671" s="4">
        <v>9.3239999999999998</v>
      </c>
      <c r="N1671" s="4">
        <v>9.3239999999999998</v>
      </c>
      <c r="O1671" s="4">
        <v>9.3239999999999998</v>
      </c>
      <c r="P1671" s="4">
        <v>0</v>
      </c>
      <c r="Q1671" s="3" t="s">
        <v>26</v>
      </c>
      <c r="R1671" s="3">
        <v>0</v>
      </c>
      <c r="S1671" s="4">
        <v>0</v>
      </c>
      <c r="T1671" s="4">
        <v>83</v>
      </c>
      <c r="U1671" s="4">
        <v>61</v>
      </c>
      <c r="V1671" s="4">
        <f>IF(ISERROR(VLOOKUP($S$1671,'TAR FIN'!$A$1:$O$113,15,0)),0,VLOOKUP($S$1671,'TAR FIN'!$A$1:$O$113,15,0))</f>
        <v>0</v>
      </c>
      <c r="W1671" s="4">
        <f>IF(ISERROR(VLOOKUP($T$1671,'TAR FIN'!$A$1:$O$113,15,0)),0,VLOOKUP($T$1671,'TAR FIN'!$A$1:$O$113,15,0))</f>
        <v>250.31</v>
      </c>
      <c r="X1671" s="4">
        <f>IF(ISERROR(VLOOKUP($U$1671,'TAR FIN'!$A$1:$O$113,15,0)),0,VLOOKUP($U$1671,'TAR FIN'!$A$1:$O$113,15,0))</f>
        <v>222.31</v>
      </c>
      <c r="Y1671" s="4"/>
      <c r="Z1671" s="4">
        <f ca="1">('TUSD BE'!$AM$67+'TUSD BF'!$AM$67+'TUSD CVA'!$AM$67)*1</f>
        <v>298.54935824624732</v>
      </c>
      <c r="AA1671" s="4">
        <f>('TE BE'!$AA$46+'TE BF'!$AA$46+'TE CVA'!$AA$46)*1</f>
        <v>223.14561812044704</v>
      </c>
      <c r="AB1671" s="4">
        <f>$K$1671*$V$1671</f>
        <v>0</v>
      </c>
      <c r="AC1671" s="4">
        <f>$M$1671*$W$1671</f>
        <v>2333.8904400000001</v>
      </c>
      <c r="AD1671" s="4">
        <f>$O$1671*$X$1671</f>
        <v>2072.81844</v>
      </c>
      <c r="AE1671" s="4">
        <f>$K$1671*$Y$1671</f>
        <v>0</v>
      </c>
      <c r="AF1671" s="4">
        <f ca="1">$M$1671*$Z$1671</f>
        <v>2783.67421628801</v>
      </c>
      <c r="AG1671" s="4">
        <f>$O$1671*$AA$1671</f>
        <v>2080.6097433550481</v>
      </c>
    </row>
    <row r="1672" spans="1:33" ht="11.25" customHeight="1" x14ac:dyDescent="0.25">
      <c r="A1672" s="3" t="s">
        <v>21</v>
      </c>
      <c r="B1672" s="3" t="s">
        <v>37</v>
      </c>
      <c r="C1672" s="3" t="s">
        <v>33</v>
      </c>
      <c r="D1672" s="3" t="s">
        <v>38</v>
      </c>
      <c r="E1672" s="3" t="s">
        <v>25</v>
      </c>
      <c r="F1672" s="3" t="s">
        <v>25</v>
      </c>
      <c r="G1672" s="3" t="s">
        <v>25</v>
      </c>
      <c r="H1672" s="3" t="s">
        <v>35</v>
      </c>
      <c r="I1672" s="6">
        <v>44378</v>
      </c>
      <c r="J1672" s="4">
        <v>0</v>
      </c>
      <c r="K1672" s="4">
        <v>0</v>
      </c>
      <c r="L1672" s="4">
        <v>0.71099999999999997</v>
      </c>
      <c r="M1672" s="4">
        <v>0.71099999999999997</v>
      </c>
      <c r="N1672" s="4">
        <v>0.71099999999999997</v>
      </c>
      <c r="O1672" s="4">
        <v>0.71099999999999997</v>
      </c>
      <c r="P1672" s="4">
        <v>0</v>
      </c>
      <c r="Q1672" s="3" t="s">
        <v>26</v>
      </c>
      <c r="R1672" s="3">
        <v>0</v>
      </c>
      <c r="S1672" s="4">
        <v>0</v>
      </c>
      <c r="T1672" s="4">
        <v>83</v>
      </c>
      <c r="U1672" s="4">
        <v>61</v>
      </c>
      <c r="V1672" s="4">
        <f>IF(ISERROR(VLOOKUP($S$1672,'TAR FIN'!$A$1:$O$113,15,0)),0,VLOOKUP($S$1672,'TAR FIN'!$A$1:$O$113,15,0))</f>
        <v>0</v>
      </c>
      <c r="W1672" s="4">
        <f>IF(ISERROR(VLOOKUP($T$1672,'TAR FIN'!$A$1:$O$113,15,0)),0,VLOOKUP($T$1672,'TAR FIN'!$A$1:$O$113,15,0))</f>
        <v>250.31</v>
      </c>
      <c r="X1672" s="4">
        <f>IF(ISERROR(VLOOKUP($U$1672,'TAR FIN'!$A$1:$O$113,15,0)),0,VLOOKUP($U$1672,'TAR FIN'!$A$1:$O$113,15,0))</f>
        <v>222.31</v>
      </c>
      <c r="Y1672" s="4"/>
      <c r="Z1672" s="4">
        <f ca="1">('TUSD BE'!$AM$67+'TUSD BF'!$AM$67+'TUSD CVA'!$AM$67)*1</f>
        <v>298.54935824624732</v>
      </c>
      <c r="AA1672" s="4">
        <f>('TE BE'!$AA$46+'TE BF'!$AA$46+'TE CVA'!$AA$46)*1</f>
        <v>223.14561812044704</v>
      </c>
      <c r="AB1672" s="4">
        <f>$K$1672*$V$1672</f>
        <v>0</v>
      </c>
      <c r="AC1672" s="4">
        <f>$M$1672*$W$1672</f>
        <v>177.97040999999999</v>
      </c>
      <c r="AD1672" s="4">
        <f>$O$1672*$X$1672</f>
        <v>158.06241</v>
      </c>
      <c r="AE1672" s="4">
        <f>$K$1672*$Y$1672</f>
        <v>0</v>
      </c>
      <c r="AF1672" s="4">
        <f ca="1">$M$1672*$Z$1672</f>
        <v>212.26859371308183</v>
      </c>
      <c r="AG1672" s="4">
        <f>$O$1672*$AA$1672</f>
        <v>158.65653448363784</v>
      </c>
    </row>
    <row r="1673" spans="1:33" ht="11.25" customHeight="1" x14ac:dyDescent="0.25">
      <c r="A1673" s="3" t="s">
        <v>21</v>
      </c>
      <c r="B1673" s="3" t="s">
        <v>37</v>
      </c>
      <c r="C1673" s="3" t="s">
        <v>33</v>
      </c>
      <c r="D1673" s="3" t="s">
        <v>38</v>
      </c>
      <c r="E1673" s="3" t="s">
        <v>25</v>
      </c>
      <c r="F1673" s="3" t="s">
        <v>25</v>
      </c>
      <c r="G1673" s="3" t="s">
        <v>25</v>
      </c>
      <c r="H1673" s="3" t="s">
        <v>35</v>
      </c>
      <c r="I1673" s="6">
        <v>44409</v>
      </c>
      <c r="J1673" s="4">
        <v>0</v>
      </c>
      <c r="K1673" s="4">
        <v>0</v>
      </c>
      <c r="L1673" s="4">
        <v>0.67200000000000004</v>
      </c>
      <c r="M1673" s="4">
        <v>0.67200000000000004</v>
      </c>
      <c r="N1673" s="4">
        <v>0.67200000000000004</v>
      </c>
      <c r="O1673" s="4">
        <v>0.67200000000000004</v>
      </c>
      <c r="P1673" s="4">
        <v>0</v>
      </c>
      <c r="Q1673" s="3" t="s">
        <v>26</v>
      </c>
      <c r="R1673" s="3">
        <v>0</v>
      </c>
      <c r="S1673" s="4">
        <v>0</v>
      </c>
      <c r="T1673" s="4">
        <v>83</v>
      </c>
      <c r="U1673" s="4">
        <v>61</v>
      </c>
      <c r="V1673" s="4">
        <f>IF(ISERROR(VLOOKUP($S$1673,'TAR FIN'!$A$1:$O$113,15,0)),0,VLOOKUP($S$1673,'TAR FIN'!$A$1:$O$113,15,0))</f>
        <v>0</v>
      </c>
      <c r="W1673" s="4">
        <f>IF(ISERROR(VLOOKUP($T$1673,'TAR FIN'!$A$1:$O$113,15,0)),0,VLOOKUP($T$1673,'TAR FIN'!$A$1:$O$113,15,0))</f>
        <v>250.31</v>
      </c>
      <c r="X1673" s="4">
        <f>IF(ISERROR(VLOOKUP($U$1673,'TAR FIN'!$A$1:$O$113,15,0)),0,VLOOKUP($U$1673,'TAR FIN'!$A$1:$O$113,15,0))</f>
        <v>222.31</v>
      </c>
      <c r="Y1673" s="4"/>
      <c r="Z1673" s="4">
        <f ca="1">('TUSD BE'!$AM$67+'TUSD BF'!$AM$67+'TUSD CVA'!$AM$67)*1</f>
        <v>298.54935824624732</v>
      </c>
      <c r="AA1673" s="4">
        <f>('TE BE'!$AA$46+'TE BF'!$AA$46+'TE CVA'!$AA$46)*1</f>
        <v>223.14561812044704</v>
      </c>
      <c r="AB1673" s="4">
        <f>$K$1673*$V$1673</f>
        <v>0</v>
      </c>
      <c r="AC1673" s="4">
        <f>$M$1673*$W$1673</f>
        <v>168.20832000000001</v>
      </c>
      <c r="AD1673" s="4">
        <f>$O$1673*$X$1673</f>
        <v>149.39232000000001</v>
      </c>
      <c r="AE1673" s="4">
        <f>$K$1673*$Y$1673</f>
        <v>0</v>
      </c>
      <c r="AF1673" s="4">
        <f ca="1">$M$1673*$Z$1673</f>
        <v>200.62516874147821</v>
      </c>
      <c r="AG1673" s="4">
        <f>$O$1673*$AA$1673</f>
        <v>149.95385537694042</v>
      </c>
    </row>
    <row r="1674" spans="1:33" ht="11.25" customHeight="1" x14ac:dyDescent="0.25">
      <c r="A1674" s="3" t="s">
        <v>21</v>
      </c>
      <c r="B1674" s="3" t="s">
        <v>37</v>
      </c>
      <c r="C1674" s="3" t="s">
        <v>33</v>
      </c>
      <c r="D1674" s="3" t="s">
        <v>38</v>
      </c>
      <c r="E1674" s="3" t="s">
        <v>25</v>
      </c>
      <c r="F1674" s="3" t="s">
        <v>25</v>
      </c>
      <c r="G1674" s="3" t="s">
        <v>25</v>
      </c>
      <c r="H1674" s="3" t="s">
        <v>35</v>
      </c>
      <c r="I1674" s="6">
        <v>44440</v>
      </c>
      <c r="J1674" s="4">
        <v>0</v>
      </c>
      <c r="K1674" s="4">
        <v>0</v>
      </c>
      <c r="L1674" s="4">
        <v>7.6740000000000004</v>
      </c>
      <c r="M1674" s="4">
        <v>7.6740000000000004</v>
      </c>
      <c r="N1674" s="4">
        <v>7.6740000000000004</v>
      </c>
      <c r="O1674" s="4">
        <v>7.6740000000000004</v>
      </c>
      <c r="P1674" s="4">
        <v>0</v>
      </c>
      <c r="Q1674" s="3" t="s">
        <v>26</v>
      </c>
      <c r="R1674" s="3">
        <v>0</v>
      </c>
      <c r="S1674" s="4">
        <v>0</v>
      </c>
      <c r="T1674" s="4">
        <v>83</v>
      </c>
      <c r="U1674" s="4">
        <v>61</v>
      </c>
      <c r="V1674" s="4">
        <f>IF(ISERROR(VLOOKUP($S$1674,'TAR FIN'!$A$1:$O$113,15,0)),0,VLOOKUP($S$1674,'TAR FIN'!$A$1:$O$113,15,0))</f>
        <v>0</v>
      </c>
      <c r="W1674" s="4">
        <f>IF(ISERROR(VLOOKUP($T$1674,'TAR FIN'!$A$1:$O$113,15,0)),0,VLOOKUP($T$1674,'TAR FIN'!$A$1:$O$113,15,0))</f>
        <v>250.31</v>
      </c>
      <c r="X1674" s="4">
        <f>IF(ISERROR(VLOOKUP($U$1674,'TAR FIN'!$A$1:$O$113,15,0)),0,VLOOKUP($U$1674,'TAR FIN'!$A$1:$O$113,15,0))</f>
        <v>222.31</v>
      </c>
      <c r="Y1674" s="4"/>
      <c r="Z1674" s="4">
        <f ca="1">('TUSD BE'!$AM$67+'TUSD BF'!$AM$67+'TUSD CVA'!$AM$67)*1</f>
        <v>298.54935824624732</v>
      </c>
      <c r="AA1674" s="4">
        <f>('TE BE'!$AA$46+'TE BF'!$AA$46+'TE CVA'!$AA$46)*1</f>
        <v>223.14561812044704</v>
      </c>
      <c r="AB1674" s="4">
        <f>$K$1674*$V$1674</f>
        <v>0</v>
      </c>
      <c r="AC1674" s="4">
        <f>$M$1674*$W$1674</f>
        <v>1920.8789400000001</v>
      </c>
      <c r="AD1674" s="4">
        <f>$O$1674*$X$1674</f>
        <v>1706.0069400000002</v>
      </c>
      <c r="AE1674" s="4">
        <f>$K$1674*$Y$1674</f>
        <v>0</v>
      </c>
      <c r="AF1674" s="4">
        <f ca="1">$M$1674*$Z$1674</f>
        <v>2291.067775181702</v>
      </c>
      <c r="AG1674" s="4">
        <f>$O$1674*$AA$1674</f>
        <v>1712.4194734563107</v>
      </c>
    </row>
    <row r="1675" spans="1:33" ht="11.25" customHeight="1" x14ac:dyDescent="0.25">
      <c r="A1675" s="3" t="s">
        <v>21</v>
      </c>
      <c r="B1675" s="3" t="s">
        <v>37</v>
      </c>
      <c r="C1675" s="3" t="s">
        <v>33</v>
      </c>
      <c r="D1675" s="3" t="s">
        <v>38</v>
      </c>
      <c r="E1675" s="3" t="s">
        <v>25</v>
      </c>
      <c r="F1675" s="3" t="s">
        <v>25</v>
      </c>
      <c r="G1675" s="3" t="s">
        <v>25</v>
      </c>
      <c r="H1675" s="3" t="s">
        <v>35</v>
      </c>
      <c r="I1675" s="6">
        <v>44470</v>
      </c>
      <c r="J1675" s="4">
        <v>0</v>
      </c>
      <c r="K1675" s="4">
        <v>0</v>
      </c>
      <c r="L1675" s="4">
        <v>4.8280000000000003</v>
      </c>
      <c r="M1675" s="4">
        <v>4.8280000000000003</v>
      </c>
      <c r="N1675" s="4">
        <v>4.8280000000000003</v>
      </c>
      <c r="O1675" s="4">
        <v>4.8280000000000003</v>
      </c>
      <c r="P1675" s="4">
        <v>0</v>
      </c>
      <c r="Q1675" s="3" t="s">
        <v>26</v>
      </c>
      <c r="R1675" s="3">
        <v>0</v>
      </c>
      <c r="S1675" s="4">
        <v>0</v>
      </c>
      <c r="T1675" s="4">
        <v>83</v>
      </c>
      <c r="U1675" s="4">
        <v>61</v>
      </c>
      <c r="V1675" s="4">
        <f>IF(ISERROR(VLOOKUP($S$1675,'TAR FIN'!$A$1:$O$113,15,0)),0,VLOOKUP($S$1675,'TAR FIN'!$A$1:$O$113,15,0))</f>
        <v>0</v>
      </c>
      <c r="W1675" s="4">
        <f>IF(ISERROR(VLOOKUP($T$1675,'TAR FIN'!$A$1:$O$113,15,0)),0,VLOOKUP($T$1675,'TAR FIN'!$A$1:$O$113,15,0))</f>
        <v>250.31</v>
      </c>
      <c r="X1675" s="4">
        <f>IF(ISERROR(VLOOKUP($U$1675,'TAR FIN'!$A$1:$O$113,15,0)),0,VLOOKUP($U$1675,'TAR FIN'!$A$1:$O$113,15,0))</f>
        <v>222.31</v>
      </c>
      <c r="Y1675" s="4"/>
      <c r="Z1675" s="4">
        <f ca="1">('TUSD BE'!$AM$67+'TUSD BF'!$AM$67+'TUSD CVA'!$AM$67)*1</f>
        <v>298.54935824624732</v>
      </c>
      <c r="AA1675" s="4">
        <f>('TE BE'!$AA$46+'TE BF'!$AA$46+'TE CVA'!$AA$46)*1</f>
        <v>223.14561812044704</v>
      </c>
      <c r="AB1675" s="4">
        <f>$K$1675*$V$1675</f>
        <v>0</v>
      </c>
      <c r="AC1675" s="4">
        <f>$M$1675*$W$1675</f>
        <v>1208.4966800000002</v>
      </c>
      <c r="AD1675" s="4">
        <f>$O$1675*$X$1675</f>
        <v>1073.31268</v>
      </c>
      <c r="AE1675" s="4">
        <f>$K$1675*$Y$1675</f>
        <v>0</v>
      </c>
      <c r="AF1675" s="4">
        <f ca="1">$M$1675*$Z$1675</f>
        <v>1441.3963016128821</v>
      </c>
      <c r="AG1675" s="4">
        <f>$O$1675*$AA$1675</f>
        <v>1077.3470442855185</v>
      </c>
    </row>
    <row r="1676" spans="1:33" ht="11.25" customHeight="1" x14ac:dyDescent="0.25">
      <c r="A1676" s="3" t="s">
        <v>21</v>
      </c>
      <c r="B1676" s="3" t="s">
        <v>37</v>
      </c>
      <c r="C1676" s="3" t="s">
        <v>33</v>
      </c>
      <c r="D1676" s="3" t="s">
        <v>38</v>
      </c>
      <c r="E1676" s="3" t="s">
        <v>25</v>
      </c>
      <c r="F1676" s="3" t="s">
        <v>25</v>
      </c>
      <c r="G1676" s="3" t="s">
        <v>25</v>
      </c>
      <c r="H1676" s="3" t="s">
        <v>35</v>
      </c>
      <c r="I1676" s="6">
        <v>44501</v>
      </c>
      <c r="J1676" s="4">
        <v>0</v>
      </c>
      <c r="K1676" s="4">
        <v>0</v>
      </c>
      <c r="L1676" s="4">
        <v>10.782999999999999</v>
      </c>
      <c r="M1676" s="4">
        <v>10.782999999999999</v>
      </c>
      <c r="N1676" s="4">
        <v>10.782999999999999</v>
      </c>
      <c r="O1676" s="4">
        <v>10.782999999999999</v>
      </c>
      <c r="P1676" s="4">
        <v>0</v>
      </c>
      <c r="Q1676" s="3" t="s">
        <v>26</v>
      </c>
      <c r="R1676" s="3">
        <v>0</v>
      </c>
      <c r="S1676" s="4">
        <v>0</v>
      </c>
      <c r="T1676" s="4">
        <v>83</v>
      </c>
      <c r="U1676" s="4">
        <v>61</v>
      </c>
      <c r="V1676" s="4">
        <f>IF(ISERROR(VLOOKUP($S$1676,'TAR FIN'!$A$1:$O$113,15,0)),0,VLOOKUP($S$1676,'TAR FIN'!$A$1:$O$113,15,0))</f>
        <v>0</v>
      </c>
      <c r="W1676" s="4">
        <f>IF(ISERROR(VLOOKUP($T$1676,'TAR FIN'!$A$1:$O$113,15,0)),0,VLOOKUP($T$1676,'TAR FIN'!$A$1:$O$113,15,0))</f>
        <v>250.31</v>
      </c>
      <c r="X1676" s="4">
        <f>IF(ISERROR(VLOOKUP($U$1676,'TAR FIN'!$A$1:$O$113,15,0)),0,VLOOKUP($U$1676,'TAR FIN'!$A$1:$O$113,15,0))</f>
        <v>222.31</v>
      </c>
      <c r="Y1676" s="4"/>
      <c r="Z1676" s="4">
        <f ca="1">('TUSD BE'!$AM$67+'TUSD BF'!$AM$67+'TUSD CVA'!$AM$67)*1</f>
        <v>298.54935824624732</v>
      </c>
      <c r="AA1676" s="4">
        <f>('TE BE'!$AA$46+'TE BF'!$AA$46+'TE CVA'!$AA$46)*1</f>
        <v>223.14561812044704</v>
      </c>
      <c r="AB1676" s="4">
        <f>$K$1676*$V$1676</f>
        <v>0</v>
      </c>
      <c r="AC1676" s="4">
        <f>$M$1676*$W$1676</f>
        <v>2699.0927299999998</v>
      </c>
      <c r="AD1676" s="4">
        <f>$O$1676*$X$1676</f>
        <v>2397.1687299999999</v>
      </c>
      <c r="AE1676" s="4">
        <f>$K$1676*$Y$1676</f>
        <v>0</v>
      </c>
      <c r="AF1676" s="4">
        <f ca="1">$M$1676*$Z$1676</f>
        <v>3219.2577299692848</v>
      </c>
      <c r="AG1676" s="4">
        <f>$O$1676*$AA$1676</f>
        <v>2406.1792001927802</v>
      </c>
    </row>
    <row r="1677" spans="1:33" ht="11.25" customHeight="1" x14ac:dyDescent="0.25">
      <c r="A1677" s="3" t="s">
        <v>21</v>
      </c>
      <c r="B1677" s="3" t="s">
        <v>37</v>
      </c>
      <c r="C1677" s="3" t="s">
        <v>33</v>
      </c>
      <c r="D1677" s="3" t="s">
        <v>38</v>
      </c>
      <c r="E1677" s="3" t="s">
        <v>25</v>
      </c>
      <c r="F1677" s="3" t="s">
        <v>25</v>
      </c>
      <c r="G1677" s="3" t="s">
        <v>25</v>
      </c>
      <c r="H1677" s="3" t="s">
        <v>35</v>
      </c>
      <c r="I1677" s="6">
        <v>44531</v>
      </c>
      <c r="J1677" s="4">
        <v>0</v>
      </c>
      <c r="K1677" s="4">
        <v>0</v>
      </c>
      <c r="L1677" s="4">
        <v>11.68</v>
      </c>
      <c r="M1677" s="4">
        <v>11.68</v>
      </c>
      <c r="N1677" s="4">
        <v>11.68</v>
      </c>
      <c r="O1677" s="4">
        <v>11.68</v>
      </c>
      <c r="P1677" s="4">
        <v>0</v>
      </c>
      <c r="Q1677" s="3" t="s">
        <v>26</v>
      </c>
      <c r="R1677" s="3">
        <v>0</v>
      </c>
      <c r="S1677" s="4">
        <v>0</v>
      </c>
      <c r="T1677" s="4">
        <v>83</v>
      </c>
      <c r="U1677" s="4">
        <v>61</v>
      </c>
      <c r="V1677" s="4">
        <f>IF(ISERROR(VLOOKUP($S$1677,'TAR FIN'!$A$1:$O$113,15,0)),0,VLOOKUP($S$1677,'TAR FIN'!$A$1:$O$113,15,0))</f>
        <v>0</v>
      </c>
      <c r="W1677" s="4">
        <f>IF(ISERROR(VLOOKUP($T$1677,'TAR FIN'!$A$1:$O$113,15,0)),0,VLOOKUP($T$1677,'TAR FIN'!$A$1:$O$113,15,0))</f>
        <v>250.31</v>
      </c>
      <c r="X1677" s="4">
        <f>IF(ISERROR(VLOOKUP($U$1677,'TAR FIN'!$A$1:$O$113,15,0)),0,VLOOKUP($U$1677,'TAR FIN'!$A$1:$O$113,15,0))</f>
        <v>222.31</v>
      </c>
      <c r="Y1677" s="4"/>
      <c r="Z1677" s="4">
        <f ca="1">('TUSD BE'!$AM$67+'TUSD BF'!$AM$67+'TUSD CVA'!$AM$67)*1</f>
        <v>298.54935824624732</v>
      </c>
      <c r="AA1677" s="4">
        <f>('TE BE'!$AA$46+'TE BF'!$AA$46+'TE CVA'!$AA$46)*1</f>
        <v>223.14561812044704</v>
      </c>
      <c r="AB1677" s="4">
        <f>$K$1677*$V$1677</f>
        <v>0</v>
      </c>
      <c r="AC1677" s="4">
        <f>$M$1677*$W$1677</f>
        <v>2923.6208000000001</v>
      </c>
      <c r="AD1677" s="4">
        <f>$O$1677*$X$1677</f>
        <v>2596.5808000000002</v>
      </c>
      <c r="AE1677" s="4">
        <f>$K$1677*$Y$1677</f>
        <v>0</v>
      </c>
      <c r="AF1677" s="4">
        <f ca="1">$M$1677*$Z$1677</f>
        <v>3487.0565043161687</v>
      </c>
      <c r="AG1677" s="4">
        <f>$O$1677*$AA$1677</f>
        <v>2606.3408196468213</v>
      </c>
    </row>
    <row r="1678" spans="1:33" ht="11.25" customHeight="1" x14ac:dyDescent="0.25">
      <c r="A1678" s="3" t="s">
        <v>21</v>
      </c>
      <c r="B1678" s="3" t="s">
        <v>37</v>
      </c>
      <c r="C1678" s="3" t="s">
        <v>33</v>
      </c>
      <c r="D1678" s="3" t="s">
        <v>38</v>
      </c>
      <c r="E1678" s="3" t="s">
        <v>25</v>
      </c>
      <c r="F1678" s="3" t="s">
        <v>25</v>
      </c>
      <c r="G1678" s="3" t="s">
        <v>25</v>
      </c>
      <c r="H1678" s="3" t="s">
        <v>35</v>
      </c>
      <c r="I1678" s="6">
        <v>44562</v>
      </c>
      <c r="J1678" s="4">
        <v>0</v>
      </c>
      <c r="K1678" s="4">
        <v>0</v>
      </c>
      <c r="L1678" s="4">
        <v>11.061999999999999</v>
      </c>
      <c r="M1678" s="4">
        <v>11.061999999999999</v>
      </c>
      <c r="N1678" s="4">
        <v>11.061999999999999</v>
      </c>
      <c r="O1678" s="4">
        <v>11.061999999999999</v>
      </c>
      <c r="P1678" s="4">
        <v>0</v>
      </c>
      <c r="Q1678" s="3" t="s">
        <v>26</v>
      </c>
      <c r="R1678" s="3">
        <v>0</v>
      </c>
      <c r="S1678" s="4">
        <v>0</v>
      </c>
      <c r="T1678" s="4">
        <v>83</v>
      </c>
      <c r="U1678" s="4">
        <v>61</v>
      </c>
      <c r="V1678" s="4">
        <f>IF(ISERROR(VLOOKUP($S$1678,'TAR FIN'!$A$1:$O$113,15,0)),0,VLOOKUP($S$1678,'TAR FIN'!$A$1:$O$113,15,0))</f>
        <v>0</v>
      </c>
      <c r="W1678" s="4">
        <f>IF(ISERROR(VLOOKUP($T$1678,'TAR FIN'!$A$1:$O$113,15,0)),0,VLOOKUP($T$1678,'TAR FIN'!$A$1:$O$113,15,0))</f>
        <v>250.31</v>
      </c>
      <c r="X1678" s="4">
        <f>IF(ISERROR(VLOOKUP($U$1678,'TAR FIN'!$A$1:$O$113,15,0)),0,VLOOKUP($U$1678,'TAR FIN'!$A$1:$O$113,15,0))</f>
        <v>222.31</v>
      </c>
      <c r="Y1678" s="4"/>
      <c r="Z1678" s="4">
        <f ca="1">('TUSD BE'!$AM$67+'TUSD BF'!$AM$67+'TUSD CVA'!$AM$67)*1</f>
        <v>298.54935824624732</v>
      </c>
      <c r="AA1678" s="4">
        <f>('TE BE'!$AA$46+'TE BF'!$AA$46+'TE CVA'!$AA$46)*1</f>
        <v>223.14561812044704</v>
      </c>
      <c r="AB1678" s="4">
        <f>$K$1678*$V$1678</f>
        <v>0</v>
      </c>
      <c r="AC1678" s="4">
        <f>$M$1678*$W$1678</f>
        <v>2768.92922</v>
      </c>
      <c r="AD1678" s="4">
        <f>$O$1678*$X$1678</f>
        <v>2459.1932200000001</v>
      </c>
      <c r="AE1678" s="4">
        <f>$K$1678*$Y$1678</f>
        <v>0</v>
      </c>
      <c r="AF1678" s="4">
        <f ca="1">$M$1678*$Z$1678</f>
        <v>3302.5530009199879</v>
      </c>
      <c r="AG1678" s="4">
        <f>$O$1678*$AA$1678</f>
        <v>2468.4368276483851</v>
      </c>
    </row>
    <row r="1679" spans="1:33" ht="11.25" customHeight="1" x14ac:dyDescent="0.25">
      <c r="A1679" s="3" t="s">
        <v>21</v>
      </c>
      <c r="B1679" s="3" t="s">
        <v>37</v>
      </c>
      <c r="C1679" s="3" t="s">
        <v>33</v>
      </c>
      <c r="D1679" s="3" t="s">
        <v>38</v>
      </c>
      <c r="E1679" s="3" t="s">
        <v>25</v>
      </c>
      <c r="F1679" s="3" t="s">
        <v>25</v>
      </c>
      <c r="G1679" s="3" t="s">
        <v>25</v>
      </c>
      <c r="H1679" s="3" t="s">
        <v>35</v>
      </c>
      <c r="I1679" s="6">
        <v>44593</v>
      </c>
      <c r="J1679" s="4">
        <v>0</v>
      </c>
      <c r="K1679" s="4">
        <v>0</v>
      </c>
      <c r="L1679" s="4">
        <v>12.076000000000001</v>
      </c>
      <c r="M1679" s="4">
        <v>12.076000000000001</v>
      </c>
      <c r="N1679" s="4">
        <v>12.076000000000001</v>
      </c>
      <c r="O1679" s="4">
        <v>12.076000000000001</v>
      </c>
      <c r="P1679" s="4">
        <v>0</v>
      </c>
      <c r="Q1679" s="3" t="s">
        <v>26</v>
      </c>
      <c r="R1679" s="3">
        <v>0</v>
      </c>
      <c r="S1679" s="4">
        <v>0</v>
      </c>
      <c r="T1679" s="4">
        <v>83</v>
      </c>
      <c r="U1679" s="4">
        <v>61</v>
      </c>
      <c r="V1679" s="4">
        <f>IF(ISERROR(VLOOKUP($S$1679,'TAR FIN'!$A$1:$O$113,15,0)),0,VLOOKUP($S$1679,'TAR FIN'!$A$1:$O$113,15,0))</f>
        <v>0</v>
      </c>
      <c r="W1679" s="4">
        <f>IF(ISERROR(VLOOKUP($T$1679,'TAR FIN'!$A$1:$O$113,15,0)),0,VLOOKUP($T$1679,'TAR FIN'!$A$1:$O$113,15,0))</f>
        <v>250.31</v>
      </c>
      <c r="X1679" s="4">
        <f>IF(ISERROR(VLOOKUP($U$1679,'TAR FIN'!$A$1:$O$113,15,0)),0,VLOOKUP($U$1679,'TAR FIN'!$A$1:$O$113,15,0))</f>
        <v>222.31</v>
      </c>
      <c r="Y1679" s="4"/>
      <c r="Z1679" s="4">
        <f ca="1">('TUSD BE'!$AM$67+'TUSD BF'!$AM$67+'TUSD CVA'!$AM$67)*1</f>
        <v>298.54935824624732</v>
      </c>
      <c r="AA1679" s="4">
        <f>('TE BE'!$AA$46+'TE BF'!$AA$46+'TE CVA'!$AA$46)*1</f>
        <v>223.14561812044704</v>
      </c>
      <c r="AB1679" s="4">
        <f>$K$1679*$V$1679</f>
        <v>0</v>
      </c>
      <c r="AC1679" s="4">
        <f>$M$1679*$W$1679</f>
        <v>3022.7435600000003</v>
      </c>
      <c r="AD1679" s="4">
        <f>$O$1679*$X$1679</f>
        <v>2684.6155600000002</v>
      </c>
      <c r="AE1679" s="4">
        <f>$K$1679*$Y$1679</f>
        <v>0</v>
      </c>
      <c r="AF1679" s="4">
        <f ca="1">$M$1679*$Z$1679</f>
        <v>3605.2820501816827</v>
      </c>
      <c r="AG1679" s="4">
        <f>$O$1679*$AA$1679</f>
        <v>2694.7064844225188</v>
      </c>
    </row>
    <row r="1680" spans="1:33" ht="11.25" customHeight="1" x14ac:dyDescent="0.25">
      <c r="A1680" s="3" t="s">
        <v>56</v>
      </c>
      <c r="B1680" s="3" t="s">
        <v>37</v>
      </c>
      <c r="C1680" s="3" t="s">
        <v>33</v>
      </c>
      <c r="D1680" s="3" t="s">
        <v>38</v>
      </c>
      <c r="E1680" s="3" t="s">
        <v>25</v>
      </c>
      <c r="F1680" s="3" t="s">
        <v>25</v>
      </c>
      <c r="G1680" s="3" t="s">
        <v>25</v>
      </c>
      <c r="H1680" s="3" t="s">
        <v>35</v>
      </c>
      <c r="I1680" s="6">
        <v>44621</v>
      </c>
      <c r="J1680" s="4">
        <v>0</v>
      </c>
      <c r="K1680" s="4">
        <v>0</v>
      </c>
      <c r="L1680" s="4">
        <v>12.076000000000001</v>
      </c>
      <c r="M1680" s="4">
        <v>12.076000000000001</v>
      </c>
      <c r="N1680" s="4">
        <v>12.076000000000001</v>
      </c>
      <c r="O1680" s="4">
        <v>12.076000000000001</v>
      </c>
      <c r="P1680" s="4">
        <v>0</v>
      </c>
      <c r="Q1680" s="3" t="s">
        <v>26</v>
      </c>
      <c r="R1680" s="3">
        <v>0</v>
      </c>
      <c r="S1680" s="4">
        <v>0</v>
      </c>
      <c r="T1680" s="4">
        <v>83</v>
      </c>
      <c r="U1680" s="4">
        <v>61</v>
      </c>
      <c r="V1680" s="4">
        <f>IF(ISERROR(VLOOKUP($S$1680,'TAR FIN'!$A$1:$O$113,15,0)),0,VLOOKUP($S$1680,'TAR FIN'!$A$1:$O$113,15,0))</f>
        <v>0</v>
      </c>
      <c r="W1680" s="4">
        <f>IF(ISERROR(VLOOKUP($T$1680,'TAR FIN'!$A$1:$O$113,15,0)),0,VLOOKUP($T$1680,'TAR FIN'!$A$1:$O$113,15,0))</f>
        <v>250.31</v>
      </c>
      <c r="X1680" s="4">
        <f>IF(ISERROR(VLOOKUP($U$1680,'TAR FIN'!$A$1:$O$113,15,0)),0,VLOOKUP($U$1680,'TAR FIN'!$A$1:$O$113,15,0))</f>
        <v>222.31</v>
      </c>
      <c r="Y1680" s="4"/>
      <c r="Z1680" s="4">
        <f ca="1">('TUSD BE'!$AM$67+'TUSD BF'!$AM$67+'TUSD CVA'!$AM$67)*1</f>
        <v>298.54935824624732</v>
      </c>
      <c r="AA1680" s="4">
        <f>('TE BE'!$AA$46+'TE BF'!$AA$46+'TE CVA'!$AA$46)*1</f>
        <v>223.14561812044704</v>
      </c>
      <c r="AB1680" s="4">
        <f>$K$1680*$V$1680</f>
        <v>0</v>
      </c>
      <c r="AC1680" s="4">
        <f>$M$1680*$W$1680</f>
        <v>3022.7435600000003</v>
      </c>
      <c r="AD1680" s="4">
        <f>$O$1680*$X$1680</f>
        <v>2684.6155600000002</v>
      </c>
      <c r="AE1680" s="4">
        <f>$K$1680*$Y$1680</f>
        <v>0</v>
      </c>
      <c r="AF1680" s="4">
        <f ca="1">$M$1680*$Z$1680</f>
        <v>3605.2820501816827</v>
      </c>
      <c r="AG1680" s="4">
        <f>$O$1680*$AA$1680</f>
        <v>2694.7064844225188</v>
      </c>
    </row>
    <row r="1681" spans="1:33" ht="11.25" customHeight="1" x14ac:dyDescent="0.25">
      <c r="A1681" s="3" t="s">
        <v>21</v>
      </c>
      <c r="B1681" s="3" t="s">
        <v>37</v>
      </c>
      <c r="C1681" s="3" t="s">
        <v>33</v>
      </c>
      <c r="D1681" s="3" t="s">
        <v>38</v>
      </c>
      <c r="E1681" s="3" t="s">
        <v>25</v>
      </c>
      <c r="F1681" s="3" t="s">
        <v>25</v>
      </c>
      <c r="G1681" s="3" t="s">
        <v>25</v>
      </c>
      <c r="H1681" s="3" t="s">
        <v>36</v>
      </c>
      <c r="I1681" s="6">
        <v>44287</v>
      </c>
      <c r="J1681" s="4">
        <v>0</v>
      </c>
      <c r="K1681" s="4">
        <v>0</v>
      </c>
      <c r="L1681" s="4">
        <v>0.443</v>
      </c>
      <c r="M1681" s="4">
        <v>0.443</v>
      </c>
      <c r="N1681" s="4">
        <v>0.443</v>
      </c>
      <c r="O1681" s="4">
        <v>0.443</v>
      </c>
      <c r="P1681" s="4">
        <v>0</v>
      </c>
      <c r="Q1681" s="3" t="s">
        <v>26</v>
      </c>
      <c r="R1681" s="3">
        <v>0</v>
      </c>
      <c r="S1681" s="4">
        <v>0</v>
      </c>
      <c r="T1681" s="4">
        <v>82</v>
      </c>
      <c r="U1681" s="4">
        <v>60</v>
      </c>
      <c r="V1681" s="4">
        <f>IF(ISERROR(VLOOKUP($S$1681,'TAR FIN'!$A$1:$O$113,15,0)),0,VLOOKUP($S$1681,'TAR FIN'!$A$1:$O$113,15,0))</f>
        <v>0</v>
      </c>
      <c r="W1681" s="4">
        <f>IF(ISERROR(VLOOKUP($T$1681,'TAR FIN'!$A$1:$O$113,15,0)),0,VLOOKUP($T$1681,'TAR FIN'!$A$1:$O$113,15,0))</f>
        <v>606.46</v>
      </c>
      <c r="X1681" s="4">
        <f>IF(ISERROR(VLOOKUP($U$1681,'TAR FIN'!$A$1:$O$113,15,0)),0,VLOOKUP($U$1681,'TAR FIN'!$A$1:$O$113,15,0))</f>
        <v>222.31</v>
      </c>
      <c r="Y1681" s="4"/>
      <c r="Z1681" s="4">
        <f ca="1">('TUSD BE'!$AM$66+'TUSD BF'!$AM$66+'TUSD CVA'!$AM$66)*1</f>
        <v>716.75210650833424</v>
      </c>
      <c r="AA1681" s="4">
        <f>('TE BE'!$AA$45+'TE BF'!$AA$45+'TE CVA'!$AA$45)*1</f>
        <v>223.14561812044704</v>
      </c>
      <c r="AB1681" s="4">
        <f>$K$1681*$V$1681</f>
        <v>0</v>
      </c>
      <c r="AC1681" s="4">
        <f>$M$1681*$W$1681</f>
        <v>268.66178000000002</v>
      </c>
      <c r="AD1681" s="4">
        <f>$O$1681*$X$1681</f>
        <v>98.483329999999995</v>
      </c>
      <c r="AE1681" s="4">
        <f>$K$1681*$Y$1681</f>
        <v>0</v>
      </c>
      <c r="AF1681" s="4">
        <f ca="1">$M$1681*$Z$1681</f>
        <v>317.52118318319208</v>
      </c>
      <c r="AG1681" s="4">
        <f>$O$1681*$AA$1681</f>
        <v>98.853508827358041</v>
      </c>
    </row>
    <row r="1682" spans="1:33" ht="11.25" customHeight="1" x14ac:dyDescent="0.25">
      <c r="A1682" s="3" t="s">
        <v>21</v>
      </c>
      <c r="B1682" s="3" t="s">
        <v>37</v>
      </c>
      <c r="C1682" s="3" t="s">
        <v>33</v>
      </c>
      <c r="D1682" s="3" t="s">
        <v>38</v>
      </c>
      <c r="E1682" s="3" t="s">
        <v>25</v>
      </c>
      <c r="F1682" s="3" t="s">
        <v>25</v>
      </c>
      <c r="G1682" s="3" t="s">
        <v>25</v>
      </c>
      <c r="H1682" s="3" t="s">
        <v>36</v>
      </c>
      <c r="I1682" s="6">
        <v>44317</v>
      </c>
      <c r="J1682" s="4">
        <v>0</v>
      </c>
      <c r="K1682" s="4">
        <v>0</v>
      </c>
      <c r="L1682" s="4">
        <v>0.42799999999999999</v>
      </c>
      <c r="M1682" s="4">
        <v>0.42799999999999999</v>
      </c>
      <c r="N1682" s="4">
        <v>0.42799999999999999</v>
      </c>
      <c r="O1682" s="4">
        <v>0.42799999999999999</v>
      </c>
      <c r="P1682" s="4">
        <v>0</v>
      </c>
      <c r="Q1682" s="3" t="s">
        <v>26</v>
      </c>
      <c r="R1682" s="3">
        <v>0</v>
      </c>
      <c r="S1682" s="4">
        <v>0</v>
      </c>
      <c r="T1682" s="4">
        <v>82</v>
      </c>
      <c r="U1682" s="4">
        <v>60</v>
      </c>
      <c r="V1682" s="4">
        <f>IF(ISERROR(VLOOKUP($S$1682,'TAR FIN'!$A$1:$O$113,15,0)),0,VLOOKUP($S$1682,'TAR FIN'!$A$1:$O$113,15,0))</f>
        <v>0</v>
      </c>
      <c r="W1682" s="4">
        <f>IF(ISERROR(VLOOKUP($T$1682,'TAR FIN'!$A$1:$O$113,15,0)),0,VLOOKUP($T$1682,'TAR FIN'!$A$1:$O$113,15,0))</f>
        <v>606.46</v>
      </c>
      <c r="X1682" s="4">
        <f>IF(ISERROR(VLOOKUP($U$1682,'TAR FIN'!$A$1:$O$113,15,0)),0,VLOOKUP($U$1682,'TAR FIN'!$A$1:$O$113,15,0))</f>
        <v>222.31</v>
      </c>
      <c r="Y1682" s="4"/>
      <c r="Z1682" s="4">
        <f ca="1">('TUSD BE'!$AM$66+'TUSD BF'!$AM$66+'TUSD CVA'!$AM$66)*1</f>
        <v>716.75210650833424</v>
      </c>
      <c r="AA1682" s="4">
        <f>('TE BE'!$AA$45+'TE BF'!$AA$45+'TE CVA'!$AA$45)*1</f>
        <v>223.14561812044704</v>
      </c>
      <c r="AB1682" s="4">
        <f>$K$1682*$V$1682</f>
        <v>0</v>
      </c>
      <c r="AC1682" s="4">
        <f>$M$1682*$W$1682</f>
        <v>259.56488000000002</v>
      </c>
      <c r="AD1682" s="4">
        <f>$O$1682*$X$1682</f>
        <v>95.148679999999999</v>
      </c>
      <c r="AE1682" s="4">
        <f>$K$1682*$Y$1682</f>
        <v>0</v>
      </c>
      <c r="AF1682" s="4">
        <f ca="1">$M$1682*$Z$1682</f>
        <v>306.76990158556703</v>
      </c>
      <c r="AG1682" s="4">
        <f>$O$1682*$AA$1682</f>
        <v>95.50632455555133</v>
      </c>
    </row>
    <row r="1683" spans="1:33" ht="11.25" customHeight="1" x14ac:dyDescent="0.25">
      <c r="A1683" s="3" t="s">
        <v>21</v>
      </c>
      <c r="B1683" s="3" t="s">
        <v>37</v>
      </c>
      <c r="C1683" s="3" t="s">
        <v>33</v>
      </c>
      <c r="D1683" s="3" t="s">
        <v>38</v>
      </c>
      <c r="E1683" s="3" t="s">
        <v>25</v>
      </c>
      <c r="F1683" s="3" t="s">
        <v>25</v>
      </c>
      <c r="G1683" s="3" t="s">
        <v>25</v>
      </c>
      <c r="H1683" s="3" t="s">
        <v>36</v>
      </c>
      <c r="I1683" s="6">
        <v>44348</v>
      </c>
      <c r="J1683" s="4">
        <v>0</v>
      </c>
      <c r="K1683" s="4">
        <v>0</v>
      </c>
      <c r="L1683" s="4">
        <v>0.42899999999999999</v>
      </c>
      <c r="M1683" s="4">
        <v>0.42899999999999999</v>
      </c>
      <c r="N1683" s="4">
        <v>0.42899999999999999</v>
      </c>
      <c r="O1683" s="4">
        <v>0.42899999999999999</v>
      </c>
      <c r="P1683" s="4">
        <v>0</v>
      </c>
      <c r="Q1683" s="3" t="s">
        <v>26</v>
      </c>
      <c r="R1683" s="3">
        <v>0</v>
      </c>
      <c r="S1683" s="4">
        <v>0</v>
      </c>
      <c r="T1683" s="4">
        <v>82</v>
      </c>
      <c r="U1683" s="4">
        <v>60</v>
      </c>
      <c r="V1683" s="4">
        <f>IF(ISERROR(VLOOKUP($S$1683,'TAR FIN'!$A$1:$O$113,15,0)),0,VLOOKUP($S$1683,'TAR FIN'!$A$1:$O$113,15,0))</f>
        <v>0</v>
      </c>
      <c r="W1683" s="4">
        <f>IF(ISERROR(VLOOKUP($T$1683,'TAR FIN'!$A$1:$O$113,15,0)),0,VLOOKUP($T$1683,'TAR FIN'!$A$1:$O$113,15,0))</f>
        <v>606.46</v>
      </c>
      <c r="X1683" s="4">
        <f>IF(ISERROR(VLOOKUP($U$1683,'TAR FIN'!$A$1:$O$113,15,0)),0,VLOOKUP($U$1683,'TAR FIN'!$A$1:$O$113,15,0))</f>
        <v>222.31</v>
      </c>
      <c r="Y1683" s="4"/>
      <c r="Z1683" s="4">
        <f ca="1">('TUSD BE'!$AM$66+'TUSD BF'!$AM$66+'TUSD CVA'!$AM$66)*1</f>
        <v>716.75210650833424</v>
      </c>
      <c r="AA1683" s="4">
        <f>('TE BE'!$AA$45+'TE BF'!$AA$45+'TE CVA'!$AA$45)*1</f>
        <v>223.14561812044704</v>
      </c>
      <c r="AB1683" s="4">
        <f>$K$1683*$V$1683</f>
        <v>0</v>
      </c>
      <c r="AC1683" s="4">
        <f>$M$1683*$W$1683</f>
        <v>260.17133999999999</v>
      </c>
      <c r="AD1683" s="4">
        <f>$O$1683*$X$1683</f>
        <v>95.370990000000006</v>
      </c>
      <c r="AE1683" s="4">
        <f>$K$1683*$Y$1683</f>
        <v>0</v>
      </c>
      <c r="AF1683" s="4">
        <f ca="1">$M$1683*$Z$1683</f>
        <v>307.48665369207538</v>
      </c>
      <c r="AG1683" s="4">
        <f>$O$1683*$AA$1683</f>
        <v>95.729470173671771</v>
      </c>
    </row>
    <row r="1684" spans="1:33" ht="11.25" customHeight="1" x14ac:dyDescent="0.25">
      <c r="A1684" s="3" t="s">
        <v>21</v>
      </c>
      <c r="B1684" s="3" t="s">
        <v>37</v>
      </c>
      <c r="C1684" s="3" t="s">
        <v>33</v>
      </c>
      <c r="D1684" s="3" t="s">
        <v>38</v>
      </c>
      <c r="E1684" s="3" t="s">
        <v>25</v>
      </c>
      <c r="F1684" s="3" t="s">
        <v>25</v>
      </c>
      <c r="G1684" s="3" t="s">
        <v>25</v>
      </c>
      <c r="H1684" s="3" t="s">
        <v>36</v>
      </c>
      <c r="I1684" s="6">
        <v>44378</v>
      </c>
      <c r="J1684" s="4">
        <v>0</v>
      </c>
      <c r="K1684" s="4">
        <v>0</v>
      </c>
      <c r="L1684" s="4">
        <v>7.6999999999999999E-2</v>
      </c>
      <c r="M1684" s="4">
        <v>7.6999999999999999E-2</v>
      </c>
      <c r="N1684" s="4">
        <v>7.6999999999999999E-2</v>
      </c>
      <c r="O1684" s="4">
        <v>7.6999999999999999E-2</v>
      </c>
      <c r="P1684" s="4">
        <v>0</v>
      </c>
      <c r="Q1684" s="3" t="s">
        <v>26</v>
      </c>
      <c r="R1684" s="3">
        <v>0</v>
      </c>
      <c r="S1684" s="4">
        <v>0</v>
      </c>
      <c r="T1684" s="4">
        <v>82</v>
      </c>
      <c r="U1684" s="4">
        <v>60</v>
      </c>
      <c r="V1684" s="4">
        <f>IF(ISERROR(VLOOKUP($S$1684,'TAR FIN'!$A$1:$O$113,15,0)),0,VLOOKUP($S$1684,'TAR FIN'!$A$1:$O$113,15,0))</f>
        <v>0</v>
      </c>
      <c r="W1684" s="4">
        <f>IF(ISERROR(VLOOKUP($T$1684,'TAR FIN'!$A$1:$O$113,15,0)),0,VLOOKUP($T$1684,'TAR FIN'!$A$1:$O$113,15,0))</f>
        <v>606.46</v>
      </c>
      <c r="X1684" s="4">
        <f>IF(ISERROR(VLOOKUP($U$1684,'TAR FIN'!$A$1:$O$113,15,0)),0,VLOOKUP($U$1684,'TAR FIN'!$A$1:$O$113,15,0))</f>
        <v>222.31</v>
      </c>
      <c r="Y1684" s="4"/>
      <c r="Z1684" s="4">
        <f ca="1">('TUSD BE'!$AM$66+'TUSD BF'!$AM$66+'TUSD CVA'!$AM$66)*1</f>
        <v>716.75210650833424</v>
      </c>
      <c r="AA1684" s="4">
        <f>('TE BE'!$AA$45+'TE BF'!$AA$45+'TE CVA'!$AA$45)*1</f>
        <v>223.14561812044704</v>
      </c>
      <c r="AB1684" s="4">
        <f>$K$1684*$V$1684</f>
        <v>0</v>
      </c>
      <c r="AC1684" s="4">
        <f>$M$1684*$W$1684</f>
        <v>46.697420000000001</v>
      </c>
      <c r="AD1684" s="4">
        <f>$O$1684*$X$1684</f>
        <v>17.11787</v>
      </c>
      <c r="AE1684" s="4">
        <f>$K$1684*$Y$1684</f>
        <v>0</v>
      </c>
      <c r="AF1684" s="4">
        <f ca="1">$M$1684*$Z$1684</f>
        <v>55.189912201141738</v>
      </c>
      <c r="AG1684" s="4">
        <f>$O$1684*$AA$1684</f>
        <v>17.182212595274422</v>
      </c>
    </row>
    <row r="1685" spans="1:33" ht="11.25" customHeight="1" x14ac:dyDescent="0.25">
      <c r="A1685" s="3" t="s">
        <v>21</v>
      </c>
      <c r="B1685" s="3" t="s">
        <v>37</v>
      </c>
      <c r="C1685" s="3" t="s">
        <v>33</v>
      </c>
      <c r="D1685" s="3" t="s">
        <v>38</v>
      </c>
      <c r="E1685" s="3" t="s">
        <v>25</v>
      </c>
      <c r="F1685" s="3" t="s">
        <v>25</v>
      </c>
      <c r="G1685" s="3" t="s">
        <v>25</v>
      </c>
      <c r="H1685" s="3" t="s">
        <v>36</v>
      </c>
      <c r="I1685" s="6">
        <v>44409</v>
      </c>
      <c r="J1685" s="4">
        <v>0</v>
      </c>
      <c r="K1685" s="4">
        <v>0</v>
      </c>
      <c r="L1685" s="4">
        <v>0.08</v>
      </c>
      <c r="M1685" s="4">
        <v>0.08</v>
      </c>
      <c r="N1685" s="4">
        <v>0.08</v>
      </c>
      <c r="O1685" s="4">
        <v>0.08</v>
      </c>
      <c r="P1685" s="4">
        <v>0</v>
      </c>
      <c r="Q1685" s="3" t="s">
        <v>26</v>
      </c>
      <c r="R1685" s="3">
        <v>0</v>
      </c>
      <c r="S1685" s="4">
        <v>0</v>
      </c>
      <c r="T1685" s="4">
        <v>82</v>
      </c>
      <c r="U1685" s="4">
        <v>60</v>
      </c>
      <c r="V1685" s="4">
        <f>IF(ISERROR(VLOOKUP($S$1685,'TAR FIN'!$A$1:$O$113,15,0)),0,VLOOKUP($S$1685,'TAR FIN'!$A$1:$O$113,15,0))</f>
        <v>0</v>
      </c>
      <c r="W1685" s="4">
        <f>IF(ISERROR(VLOOKUP($T$1685,'TAR FIN'!$A$1:$O$113,15,0)),0,VLOOKUP($T$1685,'TAR FIN'!$A$1:$O$113,15,0))</f>
        <v>606.46</v>
      </c>
      <c r="X1685" s="4">
        <f>IF(ISERROR(VLOOKUP($U$1685,'TAR FIN'!$A$1:$O$113,15,0)),0,VLOOKUP($U$1685,'TAR FIN'!$A$1:$O$113,15,0))</f>
        <v>222.31</v>
      </c>
      <c r="Y1685" s="4"/>
      <c r="Z1685" s="4">
        <f ca="1">('TUSD BE'!$AM$66+'TUSD BF'!$AM$66+'TUSD CVA'!$AM$66)*1</f>
        <v>716.75210650833424</v>
      </c>
      <c r="AA1685" s="4">
        <f>('TE BE'!$AA$45+'TE BF'!$AA$45+'TE CVA'!$AA$45)*1</f>
        <v>223.14561812044704</v>
      </c>
      <c r="AB1685" s="4">
        <f>$K$1685*$V$1685</f>
        <v>0</v>
      </c>
      <c r="AC1685" s="4">
        <f>$M$1685*$W$1685</f>
        <v>48.516800000000003</v>
      </c>
      <c r="AD1685" s="4">
        <f>$O$1685*$X$1685</f>
        <v>17.784800000000001</v>
      </c>
      <c r="AE1685" s="4">
        <f>$K$1685*$Y$1685</f>
        <v>0</v>
      </c>
      <c r="AF1685" s="4">
        <f ca="1">$M$1685*$Z$1685</f>
        <v>57.340168520666737</v>
      </c>
      <c r="AG1685" s="4">
        <f>$O$1685*$AA$1685</f>
        <v>17.851649449635765</v>
      </c>
    </row>
    <row r="1686" spans="1:33" ht="11.25" customHeight="1" x14ac:dyDescent="0.25">
      <c r="A1686" s="3" t="s">
        <v>21</v>
      </c>
      <c r="B1686" s="3" t="s">
        <v>37</v>
      </c>
      <c r="C1686" s="3" t="s">
        <v>33</v>
      </c>
      <c r="D1686" s="3" t="s">
        <v>38</v>
      </c>
      <c r="E1686" s="3" t="s">
        <v>25</v>
      </c>
      <c r="F1686" s="3" t="s">
        <v>25</v>
      </c>
      <c r="G1686" s="3" t="s">
        <v>25</v>
      </c>
      <c r="H1686" s="3" t="s">
        <v>36</v>
      </c>
      <c r="I1686" s="6">
        <v>44440</v>
      </c>
      <c r="J1686" s="4">
        <v>0</v>
      </c>
      <c r="K1686" s="4">
        <v>0</v>
      </c>
      <c r="L1686" s="4">
        <v>0.35499999999999998</v>
      </c>
      <c r="M1686" s="4">
        <v>0.35499999999999998</v>
      </c>
      <c r="N1686" s="4">
        <v>0.35499999999999998</v>
      </c>
      <c r="O1686" s="4">
        <v>0.35499999999999998</v>
      </c>
      <c r="P1686" s="4">
        <v>0</v>
      </c>
      <c r="Q1686" s="3" t="s">
        <v>26</v>
      </c>
      <c r="R1686" s="3">
        <v>0</v>
      </c>
      <c r="S1686" s="4">
        <v>0</v>
      </c>
      <c r="T1686" s="4">
        <v>82</v>
      </c>
      <c r="U1686" s="4">
        <v>60</v>
      </c>
      <c r="V1686" s="4">
        <f>IF(ISERROR(VLOOKUP($S$1686,'TAR FIN'!$A$1:$O$113,15,0)),0,VLOOKUP($S$1686,'TAR FIN'!$A$1:$O$113,15,0))</f>
        <v>0</v>
      </c>
      <c r="W1686" s="4">
        <f>IF(ISERROR(VLOOKUP($T$1686,'TAR FIN'!$A$1:$O$113,15,0)),0,VLOOKUP($T$1686,'TAR FIN'!$A$1:$O$113,15,0))</f>
        <v>606.46</v>
      </c>
      <c r="X1686" s="4">
        <f>IF(ISERROR(VLOOKUP($U$1686,'TAR FIN'!$A$1:$O$113,15,0)),0,VLOOKUP($U$1686,'TAR FIN'!$A$1:$O$113,15,0))</f>
        <v>222.31</v>
      </c>
      <c r="Y1686" s="4"/>
      <c r="Z1686" s="4">
        <f ca="1">('TUSD BE'!$AM$66+'TUSD BF'!$AM$66+'TUSD CVA'!$AM$66)*1</f>
        <v>716.75210650833424</v>
      </c>
      <c r="AA1686" s="4">
        <f>('TE BE'!$AA$45+'TE BF'!$AA$45+'TE CVA'!$AA$45)*1</f>
        <v>223.14561812044704</v>
      </c>
      <c r="AB1686" s="4">
        <f>$K$1686*$V$1686</f>
        <v>0</v>
      </c>
      <c r="AC1686" s="4">
        <f>$M$1686*$W$1686</f>
        <v>215.29330000000002</v>
      </c>
      <c r="AD1686" s="4">
        <f>$O$1686*$X$1686</f>
        <v>78.920050000000003</v>
      </c>
      <c r="AE1686" s="4">
        <f>$K$1686*$Y$1686</f>
        <v>0</v>
      </c>
      <c r="AF1686" s="4">
        <f ca="1">$M$1686*$Z$1686</f>
        <v>254.44699781045864</v>
      </c>
      <c r="AG1686" s="4">
        <f>$O$1686*$AA$1686</f>
        <v>79.2166944327587</v>
      </c>
    </row>
    <row r="1687" spans="1:33" ht="11.25" customHeight="1" x14ac:dyDescent="0.25">
      <c r="A1687" s="3" t="s">
        <v>21</v>
      </c>
      <c r="B1687" s="3" t="s">
        <v>37</v>
      </c>
      <c r="C1687" s="3" t="s">
        <v>33</v>
      </c>
      <c r="D1687" s="3" t="s">
        <v>38</v>
      </c>
      <c r="E1687" s="3" t="s">
        <v>25</v>
      </c>
      <c r="F1687" s="3" t="s">
        <v>25</v>
      </c>
      <c r="G1687" s="3" t="s">
        <v>25</v>
      </c>
      <c r="H1687" s="3" t="s">
        <v>36</v>
      </c>
      <c r="I1687" s="6">
        <v>44470</v>
      </c>
      <c r="J1687" s="4">
        <v>0</v>
      </c>
      <c r="K1687" s="4">
        <v>0</v>
      </c>
      <c r="L1687" s="4">
        <v>0.23699999999999999</v>
      </c>
      <c r="M1687" s="4">
        <v>0.23699999999999999</v>
      </c>
      <c r="N1687" s="4">
        <v>0.23699999999999999</v>
      </c>
      <c r="O1687" s="4">
        <v>0.23699999999999999</v>
      </c>
      <c r="P1687" s="4">
        <v>0</v>
      </c>
      <c r="Q1687" s="3" t="s">
        <v>26</v>
      </c>
      <c r="R1687" s="3">
        <v>0</v>
      </c>
      <c r="S1687" s="4">
        <v>0</v>
      </c>
      <c r="T1687" s="4">
        <v>82</v>
      </c>
      <c r="U1687" s="4">
        <v>60</v>
      </c>
      <c r="V1687" s="4">
        <f>IF(ISERROR(VLOOKUP($S$1687,'TAR FIN'!$A$1:$O$113,15,0)),0,VLOOKUP($S$1687,'TAR FIN'!$A$1:$O$113,15,0))</f>
        <v>0</v>
      </c>
      <c r="W1687" s="4">
        <f>IF(ISERROR(VLOOKUP($T$1687,'TAR FIN'!$A$1:$O$113,15,0)),0,VLOOKUP($T$1687,'TAR FIN'!$A$1:$O$113,15,0))</f>
        <v>606.46</v>
      </c>
      <c r="X1687" s="4">
        <f>IF(ISERROR(VLOOKUP($U$1687,'TAR FIN'!$A$1:$O$113,15,0)),0,VLOOKUP($U$1687,'TAR FIN'!$A$1:$O$113,15,0))</f>
        <v>222.31</v>
      </c>
      <c r="Y1687" s="4"/>
      <c r="Z1687" s="4">
        <f ca="1">('TUSD BE'!$AM$66+'TUSD BF'!$AM$66+'TUSD CVA'!$AM$66)*1</f>
        <v>716.75210650833424</v>
      </c>
      <c r="AA1687" s="4">
        <f>('TE BE'!$AA$45+'TE BF'!$AA$45+'TE CVA'!$AA$45)*1</f>
        <v>223.14561812044704</v>
      </c>
      <c r="AB1687" s="4">
        <f>$K$1687*$V$1687</f>
        <v>0</v>
      </c>
      <c r="AC1687" s="4">
        <f>$M$1687*$W$1687</f>
        <v>143.73102</v>
      </c>
      <c r="AD1687" s="4">
        <f>$O$1687*$X$1687</f>
        <v>52.687469999999998</v>
      </c>
      <c r="AE1687" s="4">
        <f>$K$1687*$Y$1687</f>
        <v>0</v>
      </c>
      <c r="AF1687" s="4">
        <f ca="1">$M$1687*$Z$1687</f>
        <v>169.87024924247521</v>
      </c>
      <c r="AG1687" s="4">
        <f>$O$1687*$AA$1687</f>
        <v>52.885511494545945</v>
      </c>
    </row>
    <row r="1688" spans="1:33" ht="11.25" customHeight="1" x14ac:dyDescent="0.25">
      <c r="A1688" s="3" t="s">
        <v>21</v>
      </c>
      <c r="B1688" s="3" t="s">
        <v>37</v>
      </c>
      <c r="C1688" s="3" t="s">
        <v>33</v>
      </c>
      <c r="D1688" s="3" t="s">
        <v>38</v>
      </c>
      <c r="E1688" s="3" t="s">
        <v>25</v>
      </c>
      <c r="F1688" s="3" t="s">
        <v>25</v>
      </c>
      <c r="G1688" s="3" t="s">
        <v>25</v>
      </c>
      <c r="H1688" s="3" t="s">
        <v>36</v>
      </c>
      <c r="I1688" s="6">
        <v>44501</v>
      </c>
      <c r="J1688" s="4">
        <v>0</v>
      </c>
      <c r="K1688" s="4">
        <v>0</v>
      </c>
      <c r="L1688" s="4">
        <v>0.44</v>
      </c>
      <c r="M1688" s="4">
        <v>0.44</v>
      </c>
      <c r="N1688" s="4">
        <v>0.44</v>
      </c>
      <c r="O1688" s="4">
        <v>0.44</v>
      </c>
      <c r="P1688" s="4">
        <v>0</v>
      </c>
      <c r="Q1688" s="3" t="s">
        <v>26</v>
      </c>
      <c r="R1688" s="3">
        <v>0</v>
      </c>
      <c r="S1688" s="4">
        <v>0</v>
      </c>
      <c r="T1688" s="4">
        <v>82</v>
      </c>
      <c r="U1688" s="4">
        <v>60</v>
      </c>
      <c r="V1688" s="4">
        <f>IF(ISERROR(VLOOKUP($S$1688,'TAR FIN'!$A$1:$O$113,15,0)),0,VLOOKUP($S$1688,'TAR FIN'!$A$1:$O$113,15,0))</f>
        <v>0</v>
      </c>
      <c r="W1688" s="4">
        <f>IF(ISERROR(VLOOKUP($T$1688,'TAR FIN'!$A$1:$O$113,15,0)),0,VLOOKUP($T$1688,'TAR FIN'!$A$1:$O$113,15,0))</f>
        <v>606.46</v>
      </c>
      <c r="X1688" s="4">
        <f>IF(ISERROR(VLOOKUP($U$1688,'TAR FIN'!$A$1:$O$113,15,0)),0,VLOOKUP($U$1688,'TAR FIN'!$A$1:$O$113,15,0))</f>
        <v>222.31</v>
      </c>
      <c r="Y1688" s="4"/>
      <c r="Z1688" s="4">
        <f ca="1">('TUSD BE'!$AM$66+'TUSD BF'!$AM$66+'TUSD CVA'!$AM$66)*1</f>
        <v>716.75210650833424</v>
      </c>
      <c r="AA1688" s="4">
        <f>('TE BE'!$AA$45+'TE BF'!$AA$45+'TE CVA'!$AA$45)*1</f>
        <v>223.14561812044704</v>
      </c>
      <c r="AB1688" s="4">
        <f>$K$1688*$V$1688</f>
        <v>0</v>
      </c>
      <c r="AC1688" s="4">
        <f>$M$1688*$W$1688</f>
        <v>266.8424</v>
      </c>
      <c r="AD1688" s="4">
        <f>$O$1688*$X$1688</f>
        <v>97.816400000000002</v>
      </c>
      <c r="AE1688" s="4">
        <f>$K$1688*$Y$1688</f>
        <v>0</v>
      </c>
      <c r="AF1688" s="4">
        <f ca="1">$M$1688*$Z$1688</f>
        <v>315.37092686366708</v>
      </c>
      <c r="AG1688" s="4">
        <f>$O$1688*$AA$1688</f>
        <v>98.184071972996705</v>
      </c>
    </row>
    <row r="1689" spans="1:33" ht="11.25" customHeight="1" x14ac:dyDescent="0.25">
      <c r="A1689" s="3" t="s">
        <v>21</v>
      </c>
      <c r="B1689" s="3" t="s">
        <v>37</v>
      </c>
      <c r="C1689" s="3" t="s">
        <v>33</v>
      </c>
      <c r="D1689" s="3" t="s">
        <v>38</v>
      </c>
      <c r="E1689" s="3" t="s">
        <v>25</v>
      </c>
      <c r="F1689" s="3" t="s">
        <v>25</v>
      </c>
      <c r="G1689" s="3" t="s">
        <v>25</v>
      </c>
      <c r="H1689" s="3" t="s">
        <v>36</v>
      </c>
      <c r="I1689" s="6">
        <v>44531</v>
      </c>
      <c r="J1689" s="4">
        <v>0</v>
      </c>
      <c r="K1689" s="4">
        <v>0</v>
      </c>
      <c r="L1689" s="4">
        <v>0.41899999999999998</v>
      </c>
      <c r="M1689" s="4">
        <v>0.41899999999999998</v>
      </c>
      <c r="N1689" s="4">
        <v>0.41899999999999998</v>
      </c>
      <c r="O1689" s="4">
        <v>0.41899999999999998</v>
      </c>
      <c r="P1689" s="4">
        <v>0</v>
      </c>
      <c r="Q1689" s="3" t="s">
        <v>26</v>
      </c>
      <c r="R1689" s="3">
        <v>0</v>
      </c>
      <c r="S1689" s="4">
        <v>0</v>
      </c>
      <c r="T1689" s="4">
        <v>82</v>
      </c>
      <c r="U1689" s="4">
        <v>60</v>
      </c>
      <c r="V1689" s="4">
        <f>IF(ISERROR(VLOOKUP($S$1689,'TAR FIN'!$A$1:$O$113,15,0)),0,VLOOKUP($S$1689,'TAR FIN'!$A$1:$O$113,15,0))</f>
        <v>0</v>
      </c>
      <c r="W1689" s="4">
        <f>IF(ISERROR(VLOOKUP($T$1689,'TAR FIN'!$A$1:$O$113,15,0)),0,VLOOKUP($T$1689,'TAR FIN'!$A$1:$O$113,15,0))</f>
        <v>606.46</v>
      </c>
      <c r="X1689" s="4">
        <f>IF(ISERROR(VLOOKUP($U$1689,'TAR FIN'!$A$1:$O$113,15,0)),0,VLOOKUP($U$1689,'TAR FIN'!$A$1:$O$113,15,0))</f>
        <v>222.31</v>
      </c>
      <c r="Y1689" s="4"/>
      <c r="Z1689" s="4">
        <f ca="1">('TUSD BE'!$AM$66+'TUSD BF'!$AM$66+'TUSD CVA'!$AM$66)*1</f>
        <v>716.75210650833424</v>
      </c>
      <c r="AA1689" s="4">
        <f>('TE BE'!$AA$45+'TE BF'!$AA$45+'TE CVA'!$AA$45)*1</f>
        <v>223.14561812044704</v>
      </c>
      <c r="AB1689" s="4">
        <f>$K$1689*$V$1689</f>
        <v>0</v>
      </c>
      <c r="AC1689" s="4">
        <f>$M$1689*$W$1689</f>
        <v>254.10674</v>
      </c>
      <c r="AD1689" s="4">
        <f>$O$1689*$X$1689</f>
        <v>93.147890000000004</v>
      </c>
      <c r="AE1689" s="4">
        <f>$K$1689*$Y$1689</f>
        <v>0</v>
      </c>
      <c r="AF1689" s="4">
        <f ca="1">$M$1689*$Z$1689</f>
        <v>300.31913262699203</v>
      </c>
      <c r="AG1689" s="4">
        <f>$O$1689*$AA$1689</f>
        <v>93.498013992467307</v>
      </c>
    </row>
    <row r="1690" spans="1:33" ht="11.25" customHeight="1" x14ac:dyDescent="0.25">
      <c r="A1690" s="3" t="s">
        <v>21</v>
      </c>
      <c r="B1690" s="3" t="s">
        <v>37</v>
      </c>
      <c r="C1690" s="3" t="s">
        <v>33</v>
      </c>
      <c r="D1690" s="3" t="s">
        <v>38</v>
      </c>
      <c r="E1690" s="3" t="s">
        <v>25</v>
      </c>
      <c r="F1690" s="3" t="s">
        <v>25</v>
      </c>
      <c r="G1690" s="3" t="s">
        <v>25</v>
      </c>
      <c r="H1690" s="3" t="s">
        <v>36</v>
      </c>
      <c r="I1690" s="6">
        <v>44562</v>
      </c>
      <c r="J1690" s="4">
        <v>0</v>
      </c>
      <c r="K1690" s="4">
        <v>0</v>
      </c>
      <c r="L1690" s="4">
        <v>0.442</v>
      </c>
      <c r="M1690" s="4">
        <v>0.442</v>
      </c>
      <c r="N1690" s="4">
        <v>0.442</v>
      </c>
      <c r="O1690" s="4">
        <v>0.442</v>
      </c>
      <c r="P1690" s="4">
        <v>0</v>
      </c>
      <c r="Q1690" s="3" t="s">
        <v>26</v>
      </c>
      <c r="R1690" s="3">
        <v>0</v>
      </c>
      <c r="S1690" s="4">
        <v>0</v>
      </c>
      <c r="T1690" s="4">
        <v>82</v>
      </c>
      <c r="U1690" s="4">
        <v>60</v>
      </c>
      <c r="V1690" s="4">
        <f>IF(ISERROR(VLOOKUP($S$1690,'TAR FIN'!$A$1:$O$113,15,0)),0,VLOOKUP($S$1690,'TAR FIN'!$A$1:$O$113,15,0))</f>
        <v>0</v>
      </c>
      <c r="W1690" s="4">
        <f>IF(ISERROR(VLOOKUP($T$1690,'TAR FIN'!$A$1:$O$113,15,0)),0,VLOOKUP($T$1690,'TAR FIN'!$A$1:$O$113,15,0))</f>
        <v>606.46</v>
      </c>
      <c r="X1690" s="4">
        <f>IF(ISERROR(VLOOKUP($U$1690,'TAR FIN'!$A$1:$O$113,15,0)),0,VLOOKUP($U$1690,'TAR FIN'!$A$1:$O$113,15,0))</f>
        <v>222.31</v>
      </c>
      <c r="Y1690" s="4"/>
      <c r="Z1690" s="4">
        <f ca="1">('TUSD BE'!$AM$66+'TUSD BF'!$AM$66+'TUSD CVA'!$AM$66)*1</f>
        <v>716.75210650833424</v>
      </c>
      <c r="AA1690" s="4">
        <f>('TE BE'!$AA$45+'TE BF'!$AA$45+'TE CVA'!$AA$45)*1</f>
        <v>223.14561812044704</v>
      </c>
      <c r="AB1690" s="4">
        <f>$K$1690*$V$1690</f>
        <v>0</v>
      </c>
      <c r="AC1690" s="4">
        <f>$M$1690*$W$1690</f>
        <v>268.05531999999999</v>
      </c>
      <c r="AD1690" s="4">
        <f>$O$1690*$X$1690</f>
        <v>98.261020000000002</v>
      </c>
      <c r="AE1690" s="4">
        <f>$K$1690*$Y$1690</f>
        <v>0</v>
      </c>
      <c r="AF1690" s="4">
        <f ca="1">$M$1690*$Z$1690</f>
        <v>316.80443107668373</v>
      </c>
      <c r="AG1690" s="4">
        <f>$O$1690*$AA$1690</f>
        <v>98.630363209237586</v>
      </c>
    </row>
    <row r="1691" spans="1:33" ht="11.25" customHeight="1" x14ac:dyDescent="0.25">
      <c r="A1691" s="3" t="s">
        <v>21</v>
      </c>
      <c r="B1691" s="3" t="s">
        <v>37</v>
      </c>
      <c r="C1691" s="3" t="s">
        <v>33</v>
      </c>
      <c r="D1691" s="3" t="s">
        <v>38</v>
      </c>
      <c r="E1691" s="3" t="s">
        <v>25</v>
      </c>
      <c r="F1691" s="3" t="s">
        <v>25</v>
      </c>
      <c r="G1691" s="3" t="s">
        <v>25</v>
      </c>
      <c r="H1691" s="3" t="s">
        <v>36</v>
      </c>
      <c r="I1691" s="6">
        <v>44593</v>
      </c>
      <c r="J1691" s="4">
        <v>0</v>
      </c>
      <c r="K1691" s="4">
        <v>0</v>
      </c>
      <c r="L1691" s="4">
        <v>0.48199999999999998</v>
      </c>
      <c r="M1691" s="4">
        <v>0.48199999999999998</v>
      </c>
      <c r="N1691" s="4">
        <v>0.48199999999999998</v>
      </c>
      <c r="O1691" s="4">
        <v>0.48199999999999998</v>
      </c>
      <c r="P1691" s="4">
        <v>0</v>
      </c>
      <c r="Q1691" s="3" t="s">
        <v>26</v>
      </c>
      <c r="R1691" s="3">
        <v>0</v>
      </c>
      <c r="S1691" s="4">
        <v>0</v>
      </c>
      <c r="T1691" s="4">
        <v>82</v>
      </c>
      <c r="U1691" s="4">
        <v>60</v>
      </c>
      <c r="V1691" s="4">
        <f>IF(ISERROR(VLOOKUP($S$1691,'TAR FIN'!$A$1:$O$113,15,0)),0,VLOOKUP($S$1691,'TAR FIN'!$A$1:$O$113,15,0))</f>
        <v>0</v>
      </c>
      <c r="W1691" s="4">
        <f>IF(ISERROR(VLOOKUP($T$1691,'TAR FIN'!$A$1:$O$113,15,0)),0,VLOOKUP($T$1691,'TAR FIN'!$A$1:$O$113,15,0))</f>
        <v>606.46</v>
      </c>
      <c r="X1691" s="4">
        <f>IF(ISERROR(VLOOKUP($U$1691,'TAR FIN'!$A$1:$O$113,15,0)),0,VLOOKUP($U$1691,'TAR FIN'!$A$1:$O$113,15,0))</f>
        <v>222.31</v>
      </c>
      <c r="Y1691" s="4"/>
      <c r="Z1691" s="4">
        <f ca="1">('TUSD BE'!$AM$66+'TUSD BF'!$AM$66+'TUSD CVA'!$AM$66)*1</f>
        <v>716.75210650833424</v>
      </c>
      <c r="AA1691" s="4">
        <f>('TE BE'!$AA$45+'TE BF'!$AA$45+'TE CVA'!$AA$45)*1</f>
        <v>223.14561812044704</v>
      </c>
      <c r="AB1691" s="4">
        <f>$K$1691*$V$1691</f>
        <v>0</v>
      </c>
      <c r="AC1691" s="4">
        <f>$M$1691*$W$1691</f>
        <v>292.31371999999999</v>
      </c>
      <c r="AD1691" s="4">
        <f>$O$1691*$X$1691</f>
        <v>107.15342</v>
      </c>
      <c r="AE1691" s="4">
        <f>$K$1691*$Y$1691</f>
        <v>0</v>
      </c>
      <c r="AF1691" s="4">
        <f ca="1">$M$1691*$Z$1691</f>
        <v>345.47451533701707</v>
      </c>
      <c r="AG1691" s="4">
        <f>$O$1691*$AA$1691</f>
        <v>107.55618793405547</v>
      </c>
    </row>
    <row r="1692" spans="1:33" ht="11.25" customHeight="1" x14ac:dyDescent="0.25">
      <c r="A1692" s="3" t="s">
        <v>56</v>
      </c>
      <c r="B1692" s="3" t="s">
        <v>37</v>
      </c>
      <c r="C1692" s="3" t="s">
        <v>33</v>
      </c>
      <c r="D1692" s="3" t="s">
        <v>38</v>
      </c>
      <c r="E1692" s="3" t="s">
        <v>25</v>
      </c>
      <c r="F1692" s="3" t="s">
        <v>25</v>
      </c>
      <c r="G1692" s="3" t="s">
        <v>25</v>
      </c>
      <c r="H1692" s="3" t="s">
        <v>36</v>
      </c>
      <c r="I1692" s="6">
        <v>44621</v>
      </c>
      <c r="J1692" s="4">
        <v>0</v>
      </c>
      <c r="K1692" s="4">
        <v>0</v>
      </c>
      <c r="L1692" s="4">
        <v>0.48199999999999998</v>
      </c>
      <c r="M1692" s="4">
        <v>0.48199999999999998</v>
      </c>
      <c r="N1692" s="4">
        <v>0.48199999999999998</v>
      </c>
      <c r="O1692" s="4">
        <v>0.48199999999999998</v>
      </c>
      <c r="P1692" s="4">
        <v>0</v>
      </c>
      <c r="Q1692" s="3" t="s">
        <v>26</v>
      </c>
      <c r="R1692" s="3">
        <v>0</v>
      </c>
      <c r="S1692" s="4">
        <v>0</v>
      </c>
      <c r="T1692" s="4">
        <v>82</v>
      </c>
      <c r="U1692" s="4">
        <v>60</v>
      </c>
      <c r="V1692" s="4">
        <f>IF(ISERROR(VLOOKUP($S$1692,'TAR FIN'!$A$1:$O$113,15,0)),0,VLOOKUP($S$1692,'TAR FIN'!$A$1:$O$113,15,0))</f>
        <v>0</v>
      </c>
      <c r="W1692" s="4">
        <f>IF(ISERROR(VLOOKUP($T$1692,'TAR FIN'!$A$1:$O$113,15,0)),0,VLOOKUP($T$1692,'TAR FIN'!$A$1:$O$113,15,0))</f>
        <v>606.46</v>
      </c>
      <c r="X1692" s="4">
        <f>IF(ISERROR(VLOOKUP($U$1692,'TAR FIN'!$A$1:$O$113,15,0)),0,VLOOKUP($U$1692,'TAR FIN'!$A$1:$O$113,15,0))</f>
        <v>222.31</v>
      </c>
      <c r="Y1692" s="4"/>
      <c r="Z1692" s="4">
        <f ca="1">('TUSD BE'!$AM$66+'TUSD BF'!$AM$66+'TUSD CVA'!$AM$66)*1</f>
        <v>716.75210650833424</v>
      </c>
      <c r="AA1692" s="4">
        <f>('TE BE'!$AA$45+'TE BF'!$AA$45+'TE CVA'!$AA$45)*1</f>
        <v>223.14561812044704</v>
      </c>
      <c r="AB1692" s="4">
        <f>$K$1692*$V$1692</f>
        <v>0</v>
      </c>
      <c r="AC1692" s="4">
        <f>$M$1692*$W$1692</f>
        <v>292.31371999999999</v>
      </c>
      <c r="AD1692" s="4">
        <f>$O$1692*$X$1692</f>
        <v>107.15342</v>
      </c>
      <c r="AE1692" s="4">
        <f>$K$1692*$Y$1692</f>
        <v>0</v>
      </c>
      <c r="AF1692" s="4">
        <f ca="1">$M$1692*$Z$1692</f>
        <v>345.47451533701707</v>
      </c>
      <c r="AG1692" s="4">
        <f>$O$1692*$AA$1692</f>
        <v>107.55618793405547</v>
      </c>
    </row>
    <row r="1693" spans="1:33" ht="11.25" customHeight="1" x14ac:dyDescent="0.25">
      <c r="A1693" s="3" t="s">
        <v>21</v>
      </c>
      <c r="B1693" s="3" t="s">
        <v>37</v>
      </c>
      <c r="C1693" s="3" t="s">
        <v>33</v>
      </c>
      <c r="D1693" s="3" t="s">
        <v>38</v>
      </c>
      <c r="E1693" s="3" t="s">
        <v>25</v>
      </c>
      <c r="F1693" s="3" t="s">
        <v>25</v>
      </c>
      <c r="G1693" s="3" t="s">
        <v>25</v>
      </c>
      <c r="H1693" s="3" t="s">
        <v>34</v>
      </c>
      <c r="I1693" s="6">
        <v>44287</v>
      </c>
      <c r="J1693" s="4">
        <v>0</v>
      </c>
      <c r="K1693" s="4">
        <v>0</v>
      </c>
      <c r="L1693" s="4">
        <v>0.11</v>
      </c>
      <c r="M1693" s="4">
        <v>0.11</v>
      </c>
      <c r="N1693" s="4">
        <v>0.11</v>
      </c>
      <c r="O1693" s="4">
        <v>0.11</v>
      </c>
      <c r="P1693" s="4">
        <v>0</v>
      </c>
      <c r="Q1693" s="3" t="s">
        <v>26</v>
      </c>
      <c r="R1693" s="3">
        <v>0</v>
      </c>
      <c r="S1693" s="4">
        <v>0</v>
      </c>
      <c r="T1693" s="4">
        <v>42</v>
      </c>
      <c r="U1693" s="4">
        <v>59</v>
      </c>
      <c r="V1693" s="4">
        <f>IF(ISERROR(VLOOKUP($S$1693,'TAR FIN'!$A$1:$O$113,15,0)),0,VLOOKUP($S$1693,'TAR FIN'!$A$1:$O$113,15,0))</f>
        <v>0</v>
      </c>
      <c r="W1693" s="4">
        <f>IF(ISERROR(VLOOKUP($T$1693,'TAR FIN'!$A$1:$O$113,15,0)),0,VLOOKUP($T$1693,'TAR FIN'!$A$1:$O$113,15,0))</f>
        <v>962.61</v>
      </c>
      <c r="X1693" s="4">
        <f>IF(ISERROR(VLOOKUP($U$1693,'TAR FIN'!$A$1:$O$113,15,0)),0,VLOOKUP($U$1693,'TAR FIN'!$A$1:$O$113,15,0))</f>
        <v>365.5</v>
      </c>
      <c r="Y1693" s="4"/>
      <c r="Z1693" s="4">
        <f ca="1">('TUSD BE'!$AM$65+'TUSD BF'!$AM$65+'TUSD CVA'!$AM$65)*1</f>
        <v>1134.9548547704212</v>
      </c>
      <c r="AA1693" s="4">
        <f>('TE BE'!$AA$44+'TE BF'!$AA$44+'TE CVA'!$AA$44)*1</f>
        <v>361.55013418411539</v>
      </c>
      <c r="AB1693" s="4">
        <f>$K$1693*$V$1693</f>
        <v>0</v>
      </c>
      <c r="AC1693" s="4">
        <f>$M$1693*$W$1693</f>
        <v>105.8871</v>
      </c>
      <c r="AD1693" s="4">
        <f>$O$1693*$X$1693</f>
        <v>40.204999999999998</v>
      </c>
      <c r="AE1693" s="4">
        <f>$K$1693*$Y$1693</f>
        <v>0</v>
      </c>
      <c r="AF1693" s="4">
        <f ca="1">$M$1693*$Z$1693</f>
        <v>124.84503402474634</v>
      </c>
      <c r="AG1693" s="4">
        <f>$O$1693*$AA$1693</f>
        <v>39.770514760252695</v>
      </c>
    </row>
    <row r="1694" spans="1:33" ht="11.25" customHeight="1" x14ac:dyDescent="0.25">
      <c r="A1694" s="3" t="s">
        <v>21</v>
      </c>
      <c r="B1694" s="3" t="s">
        <v>37</v>
      </c>
      <c r="C1694" s="3" t="s">
        <v>33</v>
      </c>
      <c r="D1694" s="3" t="s">
        <v>38</v>
      </c>
      <c r="E1694" s="3" t="s">
        <v>25</v>
      </c>
      <c r="F1694" s="3" t="s">
        <v>25</v>
      </c>
      <c r="G1694" s="3" t="s">
        <v>25</v>
      </c>
      <c r="H1694" s="3" t="s">
        <v>34</v>
      </c>
      <c r="I1694" s="6">
        <v>44317</v>
      </c>
      <c r="J1694" s="4">
        <v>0</v>
      </c>
      <c r="K1694" s="4">
        <v>0</v>
      </c>
      <c r="L1694" s="4">
        <v>0.10199999999999999</v>
      </c>
      <c r="M1694" s="4">
        <v>0.10199999999999999</v>
      </c>
      <c r="N1694" s="4">
        <v>0.10199999999999999</v>
      </c>
      <c r="O1694" s="4">
        <v>0.10199999999999999</v>
      </c>
      <c r="P1694" s="4">
        <v>0</v>
      </c>
      <c r="Q1694" s="3" t="s">
        <v>26</v>
      </c>
      <c r="R1694" s="3">
        <v>0</v>
      </c>
      <c r="S1694" s="4">
        <v>0</v>
      </c>
      <c r="T1694" s="4">
        <v>42</v>
      </c>
      <c r="U1694" s="4">
        <v>59</v>
      </c>
      <c r="V1694" s="4">
        <f>IF(ISERROR(VLOOKUP($S$1694,'TAR FIN'!$A$1:$O$113,15,0)),0,VLOOKUP($S$1694,'TAR FIN'!$A$1:$O$113,15,0))</f>
        <v>0</v>
      </c>
      <c r="W1694" s="4">
        <f>IF(ISERROR(VLOOKUP($T$1694,'TAR FIN'!$A$1:$O$113,15,0)),0,VLOOKUP($T$1694,'TAR FIN'!$A$1:$O$113,15,0))</f>
        <v>962.61</v>
      </c>
      <c r="X1694" s="4">
        <f>IF(ISERROR(VLOOKUP($U$1694,'TAR FIN'!$A$1:$O$113,15,0)),0,VLOOKUP($U$1694,'TAR FIN'!$A$1:$O$113,15,0))</f>
        <v>365.5</v>
      </c>
      <c r="Y1694" s="4"/>
      <c r="Z1694" s="4">
        <f ca="1">('TUSD BE'!$AM$65+'TUSD BF'!$AM$65+'TUSD CVA'!$AM$65)*1</f>
        <v>1134.9548547704212</v>
      </c>
      <c r="AA1694" s="4">
        <f>('TE BE'!$AA$44+'TE BF'!$AA$44+'TE CVA'!$AA$44)*1</f>
        <v>361.55013418411539</v>
      </c>
      <c r="AB1694" s="4">
        <f>$K$1694*$V$1694</f>
        <v>0</v>
      </c>
      <c r="AC1694" s="4">
        <f>$M$1694*$W$1694</f>
        <v>98.186219999999992</v>
      </c>
      <c r="AD1694" s="4">
        <f>$O$1694*$X$1694</f>
        <v>37.280999999999999</v>
      </c>
      <c r="AE1694" s="4">
        <f>$K$1694*$Y$1694</f>
        <v>0</v>
      </c>
      <c r="AF1694" s="4">
        <f ca="1">$M$1694*$Z$1694</f>
        <v>115.76539518658295</v>
      </c>
      <c r="AG1694" s="4">
        <f>$O$1694*$AA$1694</f>
        <v>36.87811368677977</v>
      </c>
    </row>
    <row r="1695" spans="1:33" ht="11.25" customHeight="1" x14ac:dyDescent="0.25">
      <c r="A1695" s="3" t="s">
        <v>21</v>
      </c>
      <c r="B1695" s="3" t="s">
        <v>37</v>
      </c>
      <c r="C1695" s="3" t="s">
        <v>33</v>
      </c>
      <c r="D1695" s="3" t="s">
        <v>38</v>
      </c>
      <c r="E1695" s="3" t="s">
        <v>25</v>
      </c>
      <c r="F1695" s="3" t="s">
        <v>25</v>
      </c>
      <c r="G1695" s="3" t="s">
        <v>25</v>
      </c>
      <c r="H1695" s="3" t="s">
        <v>34</v>
      </c>
      <c r="I1695" s="6">
        <v>44348</v>
      </c>
      <c r="J1695" s="4">
        <v>0</v>
      </c>
      <c r="K1695" s="4">
        <v>0</v>
      </c>
      <c r="L1695" s="4">
        <v>9.5000000000000001E-2</v>
      </c>
      <c r="M1695" s="4">
        <v>9.5000000000000001E-2</v>
      </c>
      <c r="N1695" s="4">
        <v>9.5000000000000001E-2</v>
      </c>
      <c r="O1695" s="4">
        <v>9.5000000000000001E-2</v>
      </c>
      <c r="P1695" s="4">
        <v>0</v>
      </c>
      <c r="Q1695" s="3" t="s">
        <v>26</v>
      </c>
      <c r="R1695" s="3">
        <v>0</v>
      </c>
      <c r="S1695" s="4">
        <v>0</v>
      </c>
      <c r="T1695" s="4">
        <v>42</v>
      </c>
      <c r="U1695" s="4">
        <v>59</v>
      </c>
      <c r="V1695" s="4">
        <f>IF(ISERROR(VLOOKUP($S$1695,'TAR FIN'!$A$1:$O$113,15,0)),0,VLOOKUP($S$1695,'TAR FIN'!$A$1:$O$113,15,0))</f>
        <v>0</v>
      </c>
      <c r="W1695" s="4">
        <f>IF(ISERROR(VLOOKUP($T$1695,'TAR FIN'!$A$1:$O$113,15,0)),0,VLOOKUP($T$1695,'TAR FIN'!$A$1:$O$113,15,0))</f>
        <v>962.61</v>
      </c>
      <c r="X1695" s="4">
        <f>IF(ISERROR(VLOOKUP($U$1695,'TAR FIN'!$A$1:$O$113,15,0)),0,VLOOKUP($U$1695,'TAR FIN'!$A$1:$O$113,15,0))</f>
        <v>365.5</v>
      </c>
      <c r="Y1695" s="4"/>
      <c r="Z1695" s="4">
        <f ca="1">('TUSD BE'!$AM$65+'TUSD BF'!$AM$65+'TUSD CVA'!$AM$65)*1</f>
        <v>1134.9548547704212</v>
      </c>
      <c r="AA1695" s="4">
        <f>('TE BE'!$AA$44+'TE BF'!$AA$44+'TE CVA'!$AA$44)*1</f>
        <v>361.55013418411539</v>
      </c>
      <c r="AB1695" s="4">
        <f>$K$1695*$V$1695</f>
        <v>0</v>
      </c>
      <c r="AC1695" s="4">
        <f>$M$1695*$W$1695</f>
        <v>91.447950000000006</v>
      </c>
      <c r="AD1695" s="4">
        <f>$O$1695*$X$1695</f>
        <v>34.722500000000004</v>
      </c>
      <c r="AE1695" s="4">
        <f>$K$1695*$Y$1695</f>
        <v>0</v>
      </c>
      <c r="AF1695" s="4">
        <f ca="1">$M$1695*$Z$1695</f>
        <v>107.82071120319002</v>
      </c>
      <c r="AG1695" s="4">
        <f>$O$1695*$AA$1695</f>
        <v>34.347262747490966</v>
      </c>
    </row>
    <row r="1696" spans="1:33" ht="11.25" customHeight="1" x14ac:dyDescent="0.25">
      <c r="A1696" s="3" t="s">
        <v>21</v>
      </c>
      <c r="B1696" s="3" t="s">
        <v>37</v>
      </c>
      <c r="C1696" s="3" t="s">
        <v>33</v>
      </c>
      <c r="D1696" s="3" t="s">
        <v>38</v>
      </c>
      <c r="E1696" s="3" t="s">
        <v>25</v>
      </c>
      <c r="F1696" s="3" t="s">
        <v>25</v>
      </c>
      <c r="G1696" s="3" t="s">
        <v>25</v>
      </c>
      <c r="H1696" s="3" t="s">
        <v>34</v>
      </c>
      <c r="I1696" s="6">
        <v>44378</v>
      </c>
      <c r="J1696" s="4">
        <v>0</v>
      </c>
      <c r="K1696" s="4">
        <v>0</v>
      </c>
      <c r="L1696" s="4">
        <v>8.6999999999999994E-2</v>
      </c>
      <c r="M1696" s="4">
        <v>8.6999999999999994E-2</v>
      </c>
      <c r="N1696" s="4">
        <v>8.6999999999999994E-2</v>
      </c>
      <c r="O1696" s="4">
        <v>8.6999999999999994E-2</v>
      </c>
      <c r="P1696" s="4">
        <v>0</v>
      </c>
      <c r="Q1696" s="3" t="s">
        <v>26</v>
      </c>
      <c r="R1696" s="3">
        <v>0</v>
      </c>
      <c r="S1696" s="4">
        <v>0</v>
      </c>
      <c r="T1696" s="4">
        <v>42</v>
      </c>
      <c r="U1696" s="4">
        <v>59</v>
      </c>
      <c r="V1696" s="4">
        <f>IF(ISERROR(VLOOKUP($S$1696,'TAR FIN'!$A$1:$O$113,15,0)),0,VLOOKUP($S$1696,'TAR FIN'!$A$1:$O$113,15,0))</f>
        <v>0</v>
      </c>
      <c r="W1696" s="4">
        <f>IF(ISERROR(VLOOKUP($T$1696,'TAR FIN'!$A$1:$O$113,15,0)),0,VLOOKUP($T$1696,'TAR FIN'!$A$1:$O$113,15,0))</f>
        <v>962.61</v>
      </c>
      <c r="X1696" s="4">
        <f>IF(ISERROR(VLOOKUP($U$1696,'TAR FIN'!$A$1:$O$113,15,0)),0,VLOOKUP($U$1696,'TAR FIN'!$A$1:$O$113,15,0))</f>
        <v>365.5</v>
      </c>
      <c r="Y1696" s="4"/>
      <c r="Z1696" s="4">
        <f ca="1">('TUSD BE'!$AM$65+'TUSD BF'!$AM$65+'TUSD CVA'!$AM$65)*1</f>
        <v>1134.9548547704212</v>
      </c>
      <c r="AA1696" s="4">
        <f>('TE BE'!$AA$44+'TE BF'!$AA$44+'TE CVA'!$AA$44)*1</f>
        <v>361.55013418411539</v>
      </c>
      <c r="AB1696" s="4">
        <f>$K$1696*$V$1696</f>
        <v>0</v>
      </c>
      <c r="AC1696" s="4">
        <f>$M$1696*$W$1696</f>
        <v>83.747069999999994</v>
      </c>
      <c r="AD1696" s="4">
        <f>$O$1696*$X$1696</f>
        <v>31.798499999999997</v>
      </c>
      <c r="AE1696" s="4">
        <f>$K$1696*$Y$1696</f>
        <v>0</v>
      </c>
      <c r="AF1696" s="4">
        <f ca="1">$M$1696*$Z$1696</f>
        <v>98.741072365026639</v>
      </c>
      <c r="AG1696" s="4">
        <f>$O$1696*$AA$1696</f>
        <v>31.454861674018037</v>
      </c>
    </row>
    <row r="1697" spans="1:33" ht="11.25" customHeight="1" x14ac:dyDescent="0.25">
      <c r="A1697" s="3" t="s">
        <v>21</v>
      </c>
      <c r="B1697" s="3" t="s">
        <v>37</v>
      </c>
      <c r="C1697" s="3" t="s">
        <v>33</v>
      </c>
      <c r="D1697" s="3" t="s">
        <v>38</v>
      </c>
      <c r="E1697" s="3" t="s">
        <v>25</v>
      </c>
      <c r="F1697" s="3" t="s">
        <v>25</v>
      </c>
      <c r="G1697" s="3" t="s">
        <v>25</v>
      </c>
      <c r="H1697" s="3" t="s">
        <v>34</v>
      </c>
      <c r="I1697" s="6">
        <v>44409</v>
      </c>
      <c r="J1697" s="4">
        <v>0</v>
      </c>
      <c r="K1697" s="4">
        <v>0</v>
      </c>
      <c r="L1697" s="4">
        <v>9.6000000000000002E-2</v>
      </c>
      <c r="M1697" s="4">
        <v>9.6000000000000002E-2</v>
      </c>
      <c r="N1697" s="4">
        <v>9.6000000000000002E-2</v>
      </c>
      <c r="O1697" s="4">
        <v>9.6000000000000002E-2</v>
      </c>
      <c r="P1697" s="4">
        <v>0</v>
      </c>
      <c r="Q1697" s="3" t="s">
        <v>26</v>
      </c>
      <c r="R1697" s="3">
        <v>0</v>
      </c>
      <c r="S1697" s="4">
        <v>0</v>
      </c>
      <c r="T1697" s="4">
        <v>42</v>
      </c>
      <c r="U1697" s="4">
        <v>59</v>
      </c>
      <c r="V1697" s="4">
        <f>IF(ISERROR(VLOOKUP($S$1697,'TAR FIN'!$A$1:$O$113,15,0)),0,VLOOKUP($S$1697,'TAR FIN'!$A$1:$O$113,15,0))</f>
        <v>0</v>
      </c>
      <c r="W1697" s="4">
        <f>IF(ISERROR(VLOOKUP($T$1697,'TAR FIN'!$A$1:$O$113,15,0)),0,VLOOKUP($T$1697,'TAR FIN'!$A$1:$O$113,15,0))</f>
        <v>962.61</v>
      </c>
      <c r="X1697" s="4">
        <f>IF(ISERROR(VLOOKUP($U$1697,'TAR FIN'!$A$1:$O$113,15,0)),0,VLOOKUP($U$1697,'TAR FIN'!$A$1:$O$113,15,0))</f>
        <v>365.5</v>
      </c>
      <c r="Y1697" s="4"/>
      <c r="Z1697" s="4">
        <f ca="1">('TUSD BE'!$AM$65+'TUSD BF'!$AM$65+'TUSD CVA'!$AM$65)*1</f>
        <v>1134.9548547704212</v>
      </c>
      <c r="AA1697" s="4">
        <f>('TE BE'!$AA$44+'TE BF'!$AA$44+'TE CVA'!$AA$44)*1</f>
        <v>361.55013418411539</v>
      </c>
      <c r="AB1697" s="4">
        <f>$K$1697*$V$1697</f>
        <v>0</v>
      </c>
      <c r="AC1697" s="4">
        <f>$M$1697*$W$1697</f>
        <v>92.410560000000004</v>
      </c>
      <c r="AD1697" s="4">
        <f>$O$1697*$X$1697</f>
        <v>35.088000000000001</v>
      </c>
      <c r="AE1697" s="4">
        <f>$K$1697*$Y$1697</f>
        <v>0</v>
      </c>
      <c r="AF1697" s="4">
        <f ca="1">$M$1697*$Z$1697</f>
        <v>108.95566605796044</v>
      </c>
      <c r="AG1697" s="4">
        <f>$O$1697*$AA$1697</f>
        <v>34.70881288167508</v>
      </c>
    </row>
    <row r="1698" spans="1:33" ht="11.25" customHeight="1" x14ac:dyDescent="0.25">
      <c r="A1698" s="3" t="s">
        <v>21</v>
      </c>
      <c r="B1698" s="3" t="s">
        <v>37</v>
      </c>
      <c r="C1698" s="3" t="s">
        <v>33</v>
      </c>
      <c r="D1698" s="3" t="s">
        <v>38</v>
      </c>
      <c r="E1698" s="3" t="s">
        <v>25</v>
      </c>
      <c r="F1698" s="3" t="s">
        <v>25</v>
      </c>
      <c r="G1698" s="3" t="s">
        <v>25</v>
      </c>
      <c r="H1698" s="3" t="s">
        <v>34</v>
      </c>
      <c r="I1698" s="6">
        <v>44440</v>
      </c>
      <c r="J1698" s="4">
        <v>0</v>
      </c>
      <c r="K1698" s="4">
        <v>0</v>
      </c>
      <c r="L1698" s="4">
        <v>9.0999999999999998E-2</v>
      </c>
      <c r="M1698" s="4">
        <v>9.0999999999999998E-2</v>
      </c>
      <c r="N1698" s="4">
        <v>9.0999999999999998E-2</v>
      </c>
      <c r="O1698" s="4">
        <v>9.0999999999999998E-2</v>
      </c>
      <c r="P1698" s="4">
        <v>0</v>
      </c>
      <c r="Q1698" s="3" t="s">
        <v>26</v>
      </c>
      <c r="R1698" s="3">
        <v>0</v>
      </c>
      <c r="S1698" s="4">
        <v>0</v>
      </c>
      <c r="T1698" s="4">
        <v>42</v>
      </c>
      <c r="U1698" s="4">
        <v>59</v>
      </c>
      <c r="V1698" s="4">
        <f>IF(ISERROR(VLOOKUP($S$1698,'TAR FIN'!$A$1:$O$113,15,0)),0,VLOOKUP($S$1698,'TAR FIN'!$A$1:$O$113,15,0))</f>
        <v>0</v>
      </c>
      <c r="W1698" s="4">
        <f>IF(ISERROR(VLOOKUP($T$1698,'TAR FIN'!$A$1:$O$113,15,0)),0,VLOOKUP($T$1698,'TAR FIN'!$A$1:$O$113,15,0))</f>
        <v>962.61</v>
      </c>
      <c r="X1698" s="4">
        <f>IF(ISERROR(VLOOKUP($U$1698,'TAR FIN'!$A$1:$O$113,15,0)),0,VLOOKUP($U$1698,'TAR FIN'!$A$1:$O$113,15,0))</f>
        <v>365.5</v>
      </c>
      <c r="Y1698" s="4"/>
      <c r="Z1698" s="4">
        <f ca="1">('TUSD BE'!$AM$65+'TUSD BF'!$AM$65+'TUSD CVA'!$AM$65)*1</f>
        <v>1134.9548547704212</v>
      </c>
      <c r="AA1698" s="4">
        <f>('TE BE'!$AA$44+'TE BF'!$AA$44+'TE CVA'!$AA$44)*1</f>
        <v>361.55013418411539</v>
      </c>
      <c r="AB1698" s="4">
        <f>$K$1698*$V$1698</f>
        <v>0</v>
      </c>
      <c r="AC1698" s="4">
        <f>$M$1698*$W$1698</f>
        <v>87.59751</v>
      </c>
      <c r="AD1698" s="4">
        <f>$O$1698*$X$1698</f>
        <v>33.2605</v>
      </c>
      <c r="AE1698" s="4">
        <f>$K$1698*$Y$1698</f>
        <v>0</v>
      </c>
      <c r="AF1698" s="4">
        <f ca="1">$M$1698*$Z$1698</f>
        <v>103.28089178410832</v>
      </c>
      <c r="AG1698" s="4">
        <f>$O$1698*$AA$1698</f>
        <v>32.901062210754503</v>
      </c>
    </row>
    <row r="1699" spans="1:33" ht="11.25" customHeight="1" x14ac:dyDescent="0.25">
      <c r="A1699" s="3" t="s">
        <v>21</v>
      </c>
      <c r="B1699" s="3" t="s">
        <v>37</v>
      </c>
      <c r="C1699" s="3" t="s">
        <v>33</v>
      </c>
      <c r="D1699" s="3" t="s">
        <v>38</v>
      </c>
      <c r="E1699" s="3" t="s">
        <v>25</v>
      </c>
      <c r="F1699" s="3" t="s">
        <v>25</v>
      </c>
      <c r="G1699" s="3" t="s">
        <v>25</v>
      </c>
      <c r="H1699" s="3" t="s">
        <v>34</v>
      </c>
      <c r="I1699" s="6">
        <v>44470</v>
      </c>
      <c r="J1699" s="4">
        <v>0</v>
      </c>
      <c r="K1699" s="4">
        <v>0</v>
      </c>
      <c r="L1699" s="4">
        <v>0.105</v>
      </c>
      <c r="M1699" s="4">
        <v>0.105</v>
      </c>
      <c r="N1699" s="4">
        <v>0.105</v>
      </c>
      <c r="O1699" s="4">
        <v>0.105</v>
      </c>
      <c r="P1699" s="4">
        <v>0</v>
      </c>
      <c r="Q1699" s="3" t="s">
        <v>26</v>
      </c>
      <c r="R1699" s="3">
        <v>0</v>
      </c>
      <c r="S1699" s="4">
        <v>0</v>
      </c>
      <c r="T1699" s="4">
        <v>42</v>
      </c>
      <c r="U1699" s="4">
        <v>59</v>
      </c>
      <c r="V1699" s="4">
        <f>IF(ISERROR(VLOOKUP($S$1699,'TAR FIN'!$A$1:$O$113,15,0)),0,VLOOKUP($S$1699,'TAR FIN'!$A$1:$O$113,15,0))</f>
        <v>0</v>
      </c>
      <c r="W1699" s="4">
        <f>IF(ISERROR(VLOOKUP($T$1699,'TAR FIN'!$A$1:$O$113,15,0)),0,VLOOKUP($T$1699,'TAR FIN'!$A$1:$O$113,15,0))</f>
        <v>962.61</v>
      </c>
      <c r="X1699" s="4">
        <f>IF(ISERROR(VLOOKUP($U$1699,'TAR FIN'!$A$1:$O$113,15,0)),0,VLOOKUP($U$1699,'TAR FIN'!$A$1:$O$113,15,0))</f>
        <v>365.5</v>
      </c>
      <c r="Y1699" s="4"/>
      <c r="Z1699" s="4">
        <f ca="1">('TUSD BE'!$AM$65+'TUSD BF'!$AM$65+'TUSD CVA'!$AM$65)*1</f>
        <v>1134.9548547704212</v>
      </c>
      <c r="AA1699" s="4">
        <f>('TE BE'!$AA$44+'TE BF'!$AA$44+'TE CVA'!$AA$44)*1</f>
        <v>361.55013418411539</v>
      </c>
      <c r="AB1699" s="4">
        <f>$K$1699*$V$1699</f>
        <v>0</v>
      </c>
      <c r="AC1699" s="4">
        <f>$M$1699*$W$1699</f>
        <v>101.07405</v>
      </c>
      <c r="AD1699" s="4">
        <f>$O$1699*$X$1699</f>
        <v>38.377499999999998</v>
      </c>
      <c r="AE1699" s="4">
        <f>$K$1699*$Y$1699</f>
        <v>0</v>
      </c>
      <c r="AF1699" s="4">
        <f ca="1">$M$1699*$Z$1699</f>
        <v>119.17025975089422</v>
      </c>
      <c r="AG1699" s="4">
        <f>$O$1699*$AA$1699</f>
        <v>37.962764089332111</v>
      </c>
    </row>
    <row r="1700" spans="1:33" ht="11.25" customHeight="1" x14ac:dyDescent="0.25">
      <c r="A1700" s="3" t="s">
        <v>21</v>
      </c>
      <c r="B1700" s="3" t="s">
        <v>37</v>
      </c>
      <c r="C1700" s="3" t="s">
        <v>33</v>
      </c>
      <c r="D1700" s="3" t="s">
        <v>38</v>
      </c>
      <c r="E1700" s="3" t="s">
        <v>25</v>
      </c>
      <c r="F1700" s="3" t="s">
        <v>25</v>
      </c>
      <c r="G1700" s="3" t="s">
        <v>25</v>
      </c>
      <c r="H1700" s="3" t="s">
        <v>34</v>
      </c>
      <c r="I1700" s="6">
        <v>44501</v>
      </c>
      <c r="J1700" s="4">
        <v>0</v>
      </c>
      <c r="K1700" s="4">
        <v>0</v>
      </c>
      <c r="L1700" s="4">
        <v>0.10299999999999999</v>
      </c>
      <c r="M1700" s="4">
        <v>0.10299999999999999</v>
      </c>
      <c r="N1700" s="4">
        <v>0.10299999999999999</v>
      </c>
      <c r="O1700" s="4">
        <v>0.10299999999999999</v>
      </c>
      <c r="P1700" s="4">
        <v>0</v>
      </c>
      <c r="Q1700" s="3" t="s">
        <v>26</v>
      </c>
      <c r="R1700" s="3">
        <v>0</v>
      </c>
      <c r="S1700" s="4">
        <v>0</v>
      </c>
      <c r="T1700" s="4">
        <v>42</v>
      </c>
      <c r="U1700" s="4">
        <v>59</v>
      </c>
      <c r="V1700" s="4">
        <f>IF(ISERROR(VLOOKUP($S$1700,'TAR FIN'!$A$1:$O$113,15,0)),0,VLOOKUP($S$1700,'TAR FIN'!$A$1:$O$113,15,0))</f>
        <v>0</v>
      </c>
      <c r="W1700" s="4">
        <f>IF(ISERROR(VLOOKUP($T$1700,'TAR FIN'!$A$1:$O$113,15,0)),0,VLOOKUP($T$1700,'TAR FIN'!$A$1:$O$113,15,0))</f>
        <v>962.61</v>
      </c>
      <c r="X1700" s="4">
        <f>IF(ISERROR(VLOOKUP($U$1700,'TAR FIN'!$A$1:$O$113,15,0)),0,VLOOKUP($U$1700,'TAR FIN'!$A$1:$O$113,15,0))</f>
        <v>365.5</v>
      </c>
      <c r="Y1700" s="4"/>
      <c r="Z1700" s="4">
        <f ca="1">('TUSD BE'!$AM$65+'TUSD BF'!$AM$65+'TUSD CVA'!$AM$65)*1</f>
        <v>1134.9548547704212</v>
      </c>
      <c r="AA1700" s="4">
        <f>('TE BE'!$AA$44+'TE BF'!$AA$44+'TE CVA'!$AA$44)*1</f>
        <v>361.55013418411539</v>
      </c>
      <c r="AB1700" s="4">
        <f>$K$1700*$V$1700</f>
        <v>0</v>
      </c>
      <c r="AC1700" s="4">
        <f>$M$1700*$W$1700</f>
        <v>99.14882999999999</v>
      </c>
      <c r="AD1700" s="4">
        <f>$O$1700*$X$1700</f>
        <v>37.646499999999996</v>
      </c>
      <c r="AE1700" s="4">
        <f>$K$1700*$Y$1700</f>
        <v>0</v>
      </c>
      <c r="AF1700" s="4">
        <f ca="1">$M$1700*$Z$1700</f>
        <v>116.90035004135338</v>
      </c>
      <c r="AG1700" s="4">
        <f>$O$1700*$AA$1700</f>
        <v>37.239663820963884</v>
      </c>
    </row>
    <row r="1701" spans="1:33" ht="11.25" customHeight="1" x14ac:dyDescent="0.25">
      <c r="A1701" s="3" t="s">
        <v>21</v>
      </c>
      <c r="B1701" s="3" t="s">
        <v>37</v>
      </c>
      <c r="C1701" s="3" t="s">
        <v>33</v>
      </c>
      <c r="D1701" s="3" t="s">
        <v>38</v>
      </c>
      <c r="E1701" s="3" t="s">
        <v>25</v>
      </c>
      <c r="F1701" s="3" t="s">
        <v>25</v>
      </c>
      <c r="G1701" s="3" t="s">
        <v>25</v>
      </c>
      <c r="H1701" s="3" t="s">
        <v>34</v>
      </c>
      <c r="I1701" s="6">
        <v>44531</v>
      </c>
      <c r="J1701" s="4">
        <v>0</v>
      </c>
      <c r="K1701" s="4">
        <v>0</v>
      </c>
      <c r="L1701" s="4">
        <v>0.11</v>
      </c>
      <c r="M1701" s="4">
        <v>0.11</v>
      </c>
      <c r="N1701" s="4">
        <v>0.11</v>
      </c>
      <c r="O1701" s="4">
        <v>0.11</v>
      </c>
      <c r="P1701" s="4">
        <v>0</v>
      </c>
      <c r="Q1701" s="3" t="s">
        <v>26</v>
      </c>
      <c r="R1701" s="3">
        <v>0</v>
      </c>
      <c r="S1701" s="4">
        <v>0</v>
      </c>
      <c r="T1701" s="4">
        <v>42</v>
      </c>
      <c r="U1701" s="4">
        <v>59</v>
      </c>
      <c r="V1701" s="4">
        <f>IF(ISERROR(VLOOKUP($S$1701,'TAR FIN'!$A$1:$O$113,15,0)),0,VLOOKUP($S$1701,'TAR FIN'!$A$1:$O$113,15,0))</f>
        <v>0</v>
      </c>
      <c r="W1701" s="4">
        <f>IF(ISERROR(VLOOKUP($T$1701,'TAR FIN'!$A$1:$O$113,15,0)),0,VLOOKUP($T$1701,'TAR FIN'!$A$1:$O$113,15,0))</f>
        <v>962.61</v>
      </c>
      <c r="X1701" s="4">
        <f>IF(ISERROR(VLOOKUP($U$1701,'TAR FIN'!$A$1:$O$113,15,0)),0,VLOOKUP($U$1701,'TAR FIN'!$A$1:$O$113,15,0))</f>
        <v>365.5</v>
      </c>
      <c r="Y1701" s="4"/>
      <c r="Z1701" s="4">
        <f ca="1">('TUSD BE'!$AM$65+'TUSD BF'!$AM$65+'TUSD CVA'!$AM$65)*1</f>
        <v>1134.9548547704212</v>
      </c>
      <c r="AA1701" s="4">
        <f>('TE BE'!$AA$44+'TE BF'!$AA$44+'TE CVA'!$AA$44)*1</f>
        <v>361.55013418411539</v>
      </c>
      <c r="AB1701" s="4">
        <f>$K$1701*$V$1701</f>
        <v>0</v>
      </c>
      <c r="AC1701" s="4">
        <f>$M$1701*$W$1701</f>
        <v>105.8871</v>
      </c>
      <c r="AD1701" s="4">
        <f>$O$1701*$X$1701</f>
        <v>40.204999999999998</v>
      </c>
      <c r="AE1701" s="4">
        <f>$K$1701*$Y$1701</f>
        <v>0</v>
      </c>
      <c r="AF1701" s="4">
        <f ca="1">$M$1701*$Z$1701</f>
        <v>124.84503402474634</v>
      </c>
      <c r="AG1701" s="4">
        <f>$O$1701*$AA$1701</f>
        <v>39.770514760252695</v>
      </c>
    </row>
    <row r="1702" spans="1:33" ht="11.25" customHeight="1" x14ac:dyDescent="0.25">
      <c r="A1702" s="3" t="s">
        <v>21</v>
      </c>
      <c r="B1702" s="3" t="s">
        <v>37</v>
      </c>
      <c r="C1702" s="3" t="s">
        <v>33</v>
      </c>
      <c r="D1702" s="3" t="s">
        <v>38</v>
      </c>
      <c r="E1702" s="3" t="s">
        <v>25</v>
      </c>
      <c r="F1702" s="3" t="s">
        <v>25</v>
      </c>
      <c r="G1702" s="3" t="s">
        <v>25</v>
      </c>
      <c r="H1702" s="3" t="s">
        <v>34</v>
      </c>
      <c r="I1702" s="6">
        <v>44562</v>
      </c>
      <c r="J1702" s="4">
        <v>0</v>
      </c>
      <c r="K1702" s="4">
        <v>0</v>
      </c>
      <c r="L1702" s="4">
        <v>0.107</v>
      </c>
      <c r="M1702" s="4">
        <v>0.107</v>
      </c>
      <c r="N1702" s="4">
        <v>0.107</v>
      </c>
      <c r="O1702" s="4">
        <v>0.107</v>
      </c>
      <c r="P1702" s="4">
        <v>0</v>
      </c>
      <c r="Q1702" s="3" t="s">
        <v>26</v>
      </c>
      <c r="R1702" s="3">
        <v>0</v>
      </c>
      <c r="S1702" s="4">
        <v>0</v>
      </c>
      <c r="T1702" s="4">
        <v>42</v>
      </c>
      <c r="U1702" s="4">
        <v>59</v>
      </c>
      <c r="V1702" s="4">
        <f>IF(ISERROR(VLOOKUP($S$1702,'TAR FIN'!$A$1:$O$113,15,0)),0,VLOOKUP($S$1702,'TAR FIN'!$A$1:$O$113,15,0))</f>
        <v>0</v>
      </c>
      <c r="W1702" s="4">
        <f>IF(ISERROR(VLOOKUP($T$1702,'TAR FIN'!$A$1:$O$113,15,0)),0,VLOOKUP($T$1702,'TAR FIN'!$A$1:$O$113,15,0))</f>
        <v>962.61</v>
      </c>
      <c r="X1702" s="4">
        <f>IF(ISERROR(VLOOKUP($U$1702,'TAR FIN'!$A$1:$O$113,15,0)),0,VLOOKUP($U$1702,'TAR FIN'!$A$1:$O$113,15,0))</f>
        <v>365.5</v>
      </c>
      <c r="Y1702" s="4"/>
      <c r="Z1702" s="4">
        <f ca="1">('TUSD BE'!$AM$65+'TUSD BF'!$AM$65+'TUSD CVA'!$AM$65)*1</f>
        <v>1134.9548547704212</v>
      </c>
      <c r="AA1702" s="4">
        <f>('TE BE'!$AA$44+'TE BF'!$AA$44+'TE CVA'!$AA$44)*1</f>
        <v>361.55013418411539</v>
      </c>
      <c r="AB1702" s="4">
        <f>$K$1702*$V$1702</f>
        <v>0</v>
      </c>
      <c r="AC1702" s="4">
        <f>$M$1702*$W$1702</f>
        <v>102.99927</v>
      </c>
      <c r="AD1702" s="4">
        <f>$O$1702*$X$1702</f>
        <v>39.108499999999999</v>
      </c>
      <c r="AE1702" s="4">
        <f>$K$1702*$Y$1702</f>
        <v>0</v>
      </c>
      <c r="AF1702" s="4">
        <f ca="1">$M$1702*$Z$1702</f>
        <v>121.44016946043507</v>
      </c>
      <c r="AG1702" s="4">
        <f>$O$1702*$AA$1702</f>
        <v>38.685864357700346</v>
      </c>
    </row>
    <row r="1703" spans="1:33" ht="11.25" customHeight="1" x14ac:dyDescent="0.25">
      <c r="A1703" s="3" t="s">
        <v>21</v>
      </c>
      <c r="B1703" s="3" t="s">
        <v>37</v>
      </c>
      <c r="C1703" s="3" t="s">
        <v>33</v>
      </c>
      <c r="D1703" s="3" t="s">
        <v>38</v>
      </c>
      <c r="E1703" s="3" t="s">
        <v>25</v>
      </c>
      <c r="F1703" s="3" t="s">
        <v>25</v>
      </c>
      <c r="G1703" s="3" t="s">
        <v>25</v>
      </c>
      <c r="H1703" s="3" t="s">
        <v>34</v>
      </c>
      <c r="I1703" s="6">
        <v>44593</v>
      </c>
      <c r="J1703" s="4">
        <v>0</v>
      </c>
      <c r="K1703" s="4">
        <v>0</v>
      </c>
      <c r="L1703" s="4">
        <v>0.13400000000000001</v>
      </c>
      <c r="M1703" s="4">
        <v>0.13400000000000001</v>
      </c>
      <c r="N1703" s="4">
        <v>0.13400000000000001</v>
      </c>
      <c r="O1703" s="4">
        <v>0.13400000000000001</v>
      </c>
      <c r="P1703" s="4">
        <v>0</v>
      </c>
      <c r="Q1703" s="3" t="s">
        <v>26</v>
      </c>
      <c r="R1703" s="3">
        <v>0</v>
      </c>
      <c r="S1703" s="4">
        <v>0</v>
      </c>
      <c r="T1703" s="4">
        <v>42</v>
      </c>
      <c r="U1703" s="4">
        <v>59</v>
      </c>
      <c r="V1703" s="4">
        <f>IF(ISERROR(VLOOKUP($S$1703,'TAR FIN'!$A$1:$O$113,15,0)),0,VLOOKUP($S$1703,'TAR FIN'!$A$1:$O$113,15,0))</f>
        <v>0</v>
      </c>
      <c r="W1703" s="4">
        <f>IF(ISERROR(VLOOKUP($T$1703,'TAR FIN'!$A$1:$O$113,15,0)),0,VLOOKUP($T$1703,'TAR FIN'!$A$1:$O$113,15,0))</f>
        <v>962.61</v>
      </c>
      <c r="X1703" s="4">
        <f>IF(ISERROR(VLOOKUP($U$1703,'TAR FIN'!$A$1:$O$113,15,0)),0,VLOOKUP($U$1703,'TAR FIN'!$A$1:$O$113,15,0))</f>
        <v>365.5</v>
      </c>
      <c r="Y1703" s="4"/>
      <c r="Z1703" s="4">
        <f ca="1">('TUSD BE'!$AM$65+'TUSD BF'!$AM$65+'TUSD CVA'!$AM$65)*1</f>
        <v>1134.9548547704212</v>
      </c>
      <c r="AA1703" s="4">
        <f>('TE BE'!$AA$44+'TE BF'!$AA$44+'TE CVA'!$AA$44)*1</f>
        <v>361.55013418411539</v>
      </c>
      <c r="AB1703" s="4">
        <f>$K$1703*$V$1703</f>
        <v>0</v>
      </c>
      <c r="AC1703" s="4">
        <f>$M$1703*$W$1703</f>
        <v>128.98974000000001</v>
      </c>
      <c r="AD1703" s="4">
        <f>$O$1703*$X$1703</f>
        <v>48.977000000000004</v>
      </c>
      <c r="AE1703" s="4">
        <f>$K$1703*$Y$1703</f>
        <v>0</v>
      </c>
      <c r="AF1703" s="4">
        <f ca="1">$M$1703*$Z$1703</f>
        <v>152.08395053923644</v>
      </c>
      <c r="AG1703" s="4">
        <f>$O$1703*$AA$1703</f>
        <v>48.447717980671463</v>
      </c>
    </row>
    <row r="1704" spans="1:33" ht="11.25" customHeight="1" x14ac:dyDescent="0.25">
      <c r="A1704" s="3" t="s">
        <v>56</v>
      </c>
      <c r="B1704" s="3" t="s">
        <v>37</v>
      </c>
      <c r="C1704" s="3" t="s">
        <v>33</v>
      </c>
      <c r="D1704" s="3" t="s">
        <v>38</v>
      </c>
      <c r="E1704" s="3" t="s">
        <v>25</v>
      </c>
      <c r="F1704" s="3" t="s">
        <v>25</v>
      </c>
      <c r="G1704" s="3" t="s">
        <v>25</v>
      </c>
      <c r="H1704" s="3" t="s">
        <v>34</v>
      </c>
      <c r="I1704" s="6">
        <v>44621</v>
      </c>
      <c r="J1704" s="4">
        <v>0</v>
      </c>
      <c r="K1704" s="4">
        <v>0</v>
      </c>
      <c r="L1704" s="4">
        <v>0.13400000000000001</v>
      </c>
      <c r="M1704" s="4">
        <v>0.13400000000000001</v>
      </c>
      <c r="N1704" s="4">
        <v>0.13400000000000001</v>
      </c>
      <c r="O1704" s="4">
        <v>0.13400000000000001</v>
      </c>
      <c r="P1704" s="4">
        <v>0</v>
      </c>
      <c r="Q1704" s="3" t="s">
        <v>26</v>
      </c>
      <c r="R1704" s="3">
        <v>0</v>
      </c>
      <c r="S1704" s="4">
        <v>0</v>
      </c>
      <c r="T1704" s="4">
        <v>42</v>
      </c>
      <c r="U1704" s="4">
        <v>59</v>
      </c>
      <c r="V1704" s="4">
        <f>IF(ISERROR(VLOOKUP($S$1704,'TAR FIN'!$A$1:$O$113,15,0)),0,VLOOKUP($S$1704,'TAR FIN'!$A$1:$O$113,15,0))</f>
        <v>0</v>
      </c>
      <c r="W1704" s="4">
        <f>IF(ISERROR(VLOOKUP($T$1704,'TAR FIN'!$A$1:$O$113,15,0)),0,VLOOKUP($T$1704,'TAR FIN'!$A$1:$O$113,15,0))</f>
        <v>962.61</v>
      </c>
      <c r="X1704" s="4">
        <f>IF(ISERROR(VLOOKUP($U$1704,'TAR FIN'!$A$1:$O$113,15,0)),0,VLOOKUP($U$1704,'TAR FIN'!$A$1:$O$113,15,0))</f>
        <v>365.5</v>
      </c>
      <c r="Y1704" s="4"/>
      <c r="Z1704" s="4">
        <f ca="1">('TUSD BE'!$AM$65+'TUSD BF'!$AM$65+'TUSD CVA'!$AM$65)*1</f>
        <v>1134.9548547704212</v>
      </c>
      <c r="AA1704" s="4">
        <f>('TE BE'!$AA$44+'TE BF'!$AA$44+'TE CVA'!$AA$44)*1</f>
        <v>361.55013418411539</v>
      </c>
      <c r="AB1704" s="4">
        <f>$K$1704*$V$1704</f>
        <v>0</v>
      </c>
      <c r="AC1704" s="4">
        <f>$M$1704*$W$1704</f>
        <v>128.98974000000001</v>
      </c>
      <c r="AD1704" s="4">
        <f>$O$1704*$X$1704</f>
        <v>48.977000000000004</v>
      </c>
      <c r="AE1704" s="4">
        <f>$K$1704*$Y$1704</f>
        <v>0</v>
      </c>
      <c r="AF1704" s="4">
        <f ca="1">$M$1704*$Z$1704</f>
        <v>152.08395053923644</v>
      </c>
      <c r="AG1704" s="4">
        <f>$O$1704*$AA$1704</f>
        <v>48.447717980671463</v>
      </c>
    </row>
    <row r="1705" spans="1:33" ht="11.25" customHeight="1" x14ac:dyDescent="0.25">
      <c r="A1705" s="3" t="s">
        <v>21</v>
      </c>
      <c r="B1705" s="3" t="s">
        <v>37</v>
      </c>
      <c r="C1705" s="3" t="s">
        <v>23</v>
      </c>
      <c r="D1705" s="3" t="s">
        <v>43</v>
      </c>
      <c r="E1705" s="3" t="s">
        <v>25</v>
      </c>
      <c r="F1705" s="3" t="s">
        <v>25</v>
      </c>
      <c r="G1705" s="3" t="s">
        <v>25</v>
      </c>
      <c r="H1705" s="3" t="s">
        <v>25</v>
      </c>
      <c r="I1705" s="6">
        <v>44287</v>
      </c>
      <c r="J1705" s="4">
        <v>0</v>
      </c>
      <c r="K1705" s="4">
        <v>0</v>
      </c>
      <c r="L1705" s="4">
        <v>21437.172999999999</v>
      </c>
      <c r="M1705" s="4">
        <v>21437.172999999999</v>
      </c>
      <c r="N1705" s="4">
        <v>21437.172999999999</v>
      </c>
      <c r="O1705" s="4">
        <v>21437.172999999999</v>
      </c>
      <c r="P1705" s="4">
        <v>43343</v>
      </c>
      <c r="Q1705" s="3" t="s">
        <v>26</v>
      </c>
      <c r="R1705" s="3">
        <v>0</v>
      </c>
      <c r="S1705" s="4">
        <v>0</v>
      </c>
      <c r="T1705" s="4">
        <v>84</v>
      </c>
      <c r="U1705" s="4">
        <v>7</v>
      </c>
      <c r="V1705" s="4">
        <f>IF(ISERROR(VLOOKUP($S$1705,'TAR FIN'!$A$1:$O$113,15,0)),0,VLOOKUP($S$1705,'TAR FIN'!$A$1:$O$113,15,0))</f>
        <v>0</v>
      </c>
      <c r="W1705" s="4">
        <f>IF(ISERROR(VLOOKUP($T$1705,'TAR FIN'!$A$1:$O$113,15,0)),0,VLOOKUP($T$1705,'TAR FIN'!$A$1:$O$113,15,0))</f>
        <v>346.2</v>
      </c>
      <c r="X1705" s="4">
        <f>IF(ISERROR(VLOOKUP($U$1705,'TAR FIN'!$A$1:$O$113,15,0)),0,VLOOKUP($U$1705,'TAR FIN'!$A$1:$O$113,15,0))</f>
        <v>234.24</v>
      </c>
      <c r="Y1705" s="4"/>
      <c r="Z1705" s="4">
        <f ca="1">('TUSD BE'!$AM$68+'TUSD BF'!$AM$68+'TUSD CVA'!$AM$68)*1</f>
        <v>411.14246090221764</v>
      </c>
      <c r="AA1705" s="4">
        <f>('TE BE'!$AA$47+'TE BF'!$AA$47+'TE CVA'!$AA$47)*1</f>
        <v>234.67932779241937</v>
      </c>
      <c r="AB1705" s="4">
        <f>$K$1705*$V$1705</f>
        <v>0</v>
      </c>
      <c r="AC1705" s="4">
        <f>$M$1705*$W$1705</f>
        <v>7421549.2925999993</v>
      </c>
      <c r="AD1705" s="4">
        <f>$O$1705*$X$1705</f>
        <v>5021443.4035200002</v>
      </c>
      <c r="AE1705" s="4">
        <f>$K$1705*$Y$1705</f>
        <v>0</v>
      </c>
      <c r="AF1705" s="4">
        <f ca="1">$M$1705*$Z$1705</f>
        <v>8813732.062006576</v>
      </c>
      <c r="AG1705" s="4">
        <f>$O$1705*$AA$1705</f>
        <v>5030861.3494098019</v>
      </c>
    </row>
    <row r="1706" spans="1:33" ht="11.25" customHeight="1" x14ac:dyDescent="0.25">
      <c r="A1706" s="3" t="s">
        <v>27</v>
      </c>
      <c r="B1706" s="3" t="s">
        <v>37</v>
      </c>
      <c r="C1706" s="3" t="s">
        <v>23</v>
      </c>
      <c r="D1706" s="3" t="s">
        <v>43</v>
      </c>
      <c r="E1706" s="3" t="s">
        <v>25</v>
      </c>
      <c r="F1706" s="3" t="s">
        <v>25</v>
      </c>
      <c r="G1706" s="3" t="s">
        <v>25</v>
      </c>
      <c r="H1706" s="3" t="s">
        <v>25</v>
      </c>
      <c r="I1706" s="6">
        <v>44287</v>
      </c>
      <c r="J1706" s="4">
        <v>0</v>
      </c>
      <c r="K1706" s="4">
        <v>0</v>
      </c>
      <c r="L1706" s="4">
        <v>-108.08199999999999</v>
      </c>
      <c r="M1706" s="4">
        <v>-108.08199999999999</v>
      </c>
      <c r="N1706" s="4">
        <v>-108.08199999999999</v>
      </c>
      <c r="O1706" s="4">
        <v>-108.08199999999999</v>
      </c>
      <c r="P1706" s="4">
        <v>-18</v>
      </c>
      <c r="Q1706" s="3" t="s">
        <v>26</v>
      </c>
      <c r="R1706" s="3">
        <v>0</v>
      </c>
      <c r="S1706" s="4">
        <v>0</v>
      </c>
      <c r="T1706" s="4">
        <v>84</v>
      </c>
      <c r="U1706" s="4">
        <v>7</v>
      </c>
      <c r="V1706" s="4">
        <f>IF(ISERROR(VLOOKUP($S$1706,'TAR FIN'!$A$1:$O$113,15,0)),0,VLOOKUP($S$1706,'TAR FIN'!$A$1:$O$113,15,0))</f>
        <v>0</v>
      </c>
      <c r="W1706" s="4">
        <f>IF(ISERROR(VLOOKUP($T$1706,'TAR FIN'!$A$1:$O$113,15,0)),0,VLOOKUP($T$1706,'TAR FIN'!$A$1:$O$113,15,0))</f>
        <v>346.2</v>
      </c>
      <c r="X1706" s="4">
        <f>IF(ISERROR(VLOOKUP($U$1706,'TAR FIN'!$A$1:$O$113,15,0)),0,VLOOKUP($U$1706,'TAR FIN'!$A$1:$O$113,15,0))</f>
        <v>234.24</v>
      </c>
      <c r="Y1706" s="4"/>
      <c r="Z1706" s="4">
        <f ca="1">('TUSD BE'!$AM$68+'TUSD BF'!$AM$68+'TUSD CVA'!$AM$68)*1</f>
        <v>411.14246090221764</v>
      </c>
      <c r="AA1706" s="4">
        <f>('TE BE'!$AA$47+'TE BF'!$AA$47+'TE CVA'!$AA$47)*1</f>
        <v>234.67932779241937</v>
      </c>
      <c r="AB1706" s="4">
        <f>$K$1706*$V$1706</f>
        <v>0</v>
      </c>
      <c r="AC1706" s="4">
        <f>$M$1706*$W$1706</f>
        <v>-37417.988399999995</v>
      </c>
      <c r="AD1706" s="4">
        <f>$O$1706*$X$1706</f>
        <v>-25317.127679999998</v>
      </c>
      <c r="AE1706" s="4">
        <f>$K$1706*$Y$1706</f>
        <v>0</v>
      </c>
      <c r="AF1706" s="4">
        <f ca="1">$M$1706*$Z$1706</f>
        <v>-44437.099459233483</v>
      </c>
      <c r="AG1706" s="4">
        <f>$O$1706*$AA$1706</f>
        <v>-25364.61110646027</v>
      </c>
    </row>
    <row r="1707" spans="1:33" ht="11.25" customHeight="1" x14ac:dyDescent="0.25">
      <c r="A1707" s="3" t="s">
        <v>28</v>
      </c>
      <c r="B1707" s="3" t="s">
        <v>37</v>
      </c>
      <c r="C1707" s="3" t="s">
        <v>23</v>
      </c>
      <c r="D1707" s="3" t="s">
        <v>43</v>
      </c>
      <c r="E1707" s="3" t="s">
        <v>25</v>
      </c>
      <c r="F1707" s="3" t="s">
        <v>25</v>
      </c>
      <c r="G1707" s="3" t="s">
        <v>25</v>
      </c>
      <c r="H1707" s="3" t="s">
        <v>25</v>
      </c>
      <c r="I1707" s="6">
        <v>44287</v>
      </c>
      <c r="J1707" s="4">
        <v>0</v>
      </c>
      <c r="K1707" s="4">
        <v>0</v>
      </c>
      <c r="L1707" s="4">
        <v>1304.846</v>
      </c>
      <c r="M1707" s="4">
        <v>1304.846</v>
      </c>
      <c r="N1707" s="4">
        <v>1304.846</v>
      </c>
      <c r="O1707" s="4">
        <v>1304.846</v>
      </c>
      <c r="P1707" s="4">
        <v>1593</v>
      </c>
      <c r="Q1707" s="3" t="s">
        <v>26</v>
      </c>
      <c r="R1707" s="3">
        <v>0</v>
      </c>
      <c r="S1707" s="4">
        <v>0</v>
      </c>
      <c r="T1707" s="4">
        <v>84</v>
      </c>
      <c r="U1707" s="4">
        <v>7</v>
      </c>
      <c r="V1707" s="4">
        <f>IF(ISERROR(VLOOKUP($S$1707,'TAR FIN'!$A$1:$O$113,15,0)),0,VLOOKUP($S$1707,'TAR FIN'!$A$1:$O$113,15,0))</f>
        <v>0</v>
      </c>
      <c r="W1707" s="4">
        <f>IF(ISERROR(VLOOKUP($T$1707,'TAR FIN'!$A$1:$O$113,15,0)),0,VLOOKUP($T$1707,'TAR FIN'!$A$1:$O$113,15,0))</f>
        <v>346.2</v>
      </c>
      <c r="X1707" s="4">
        <f>IF(ISERROR(VLOOKUP($U$1707,'TAR FIN'!$A$1:$O$113,15,0)),0,VLOOKUP($U$1707,'TAR FIN'!$A$1:$O$113,15,0))</f>
        <v>234.24</v>
      </c>
      <c r="Y1707" s="4"/>
      <c r="Z1707" s="4">
        <f ca="1">('TUSD BE'!$AM$68+'TUSD BF'!$AM$68+'TUSD CVA'!$AM$68)*1</f>
        <v>411.14246090221764</v>
      </c>
      <c r="AA1707" s="4">
        <f>('TE BE'!$AA$47+'TE BF'!$AA$47+'TE CVA'!$AA$47)*1</f>
        <v>234.67932779241937</v>
      </c>
      <c r="AB1707" s="4">
        <f>$K$1707*$V$1707</f>
        <v>0</v>
      </c>
      <c r="AC1707" s="4">
        <f>$M$1707*$W$1707</f>
        <v>451737.68520000001</v>
      </c>
      <c r="AD1707" s="4">
        <f>$O$1707*$X$1707</f>
        <v>305647.12703999999</v>
      </c>
      <c r="AE1707" s="4">
        <f>$K$1707*$Y$1707</f>
        <v>0</v>
      </c>
      <c r="AF1707" s="4">
        <f ca="1">$M$1707*$Z$1707</f>
        <v>536477.59553841513</v>
      </c>
      <c r="AG1707" s="4">
        <f>$O$1707*$AA$1707</f>
        <v>306220.38215262722</v>
      </c>
    </row>
    <row r="1708" spans="1:33" ht="11.25" customHeight="1" x14ac:dyDescent="0.25">
      <c r="A1708" s="3" t="s">
        <v>28</v>
      </c>
      <c r="B1708" s="3" t="s">
        <v>37</v>
      </c>
      <c r="C1708" s="3" t="s">
        <v>23</v>
      </c>
      <c r="D1708" s="3" t="s">
        <v>43</v>
      </c>
      <c r="E1708" s="3" t="s">
        <v>25</v>
      </c>
      <c r="F1708" s="3" t="s">
        <v>25</v>
      </c>
      <c r="G1708" s="3" t="s">
        <v>25</v>
      </c>
      <c r="H1708" s="3" t="s">
        <v>25</v>
      </c>
      <c r="I1708" s="6">
        <v>44287</v>
      </c>
      <c r="J1708" s="4">
        <v>0</v>
      </c>
      <c r="K1708" s="4">
        <v>0</v>
      </c>
      <c r="L1708" s="4">
        <v>-1.081</v>
      </c>
      <c r="M1708" s="4">
        <v>-1.081</v>
      </c>
      <c r="N1708" s="4">
        <v>-1.081</v>
      </c>
      <c r="O1708" s="4">
        <v>-1.081</v>
      </c>
      <c r="P1708" s="4">
        <v>0</v>
      </c>
      <c r="Q1708" s="3" t="s">
        <v>26</v>
      </c>
      <c r="R1708" s="3">
        <v>0</v>
      </c>
      <c r="S1708" s="4">
        <v>0</v>
      </c>
      <c r="T1708" s="4">
        <v>84</v>
      </c>
      <c r="U1708" s="4">
        <v>7</v>
      </c>
      <c r="V1708" s="4">
        <f>IF(ISERROR(VLOOKUP($S$1708,'TAR FIN'!$A$1:$O$113,15,0)),0,VLOOKUP($S$1708,'TAR FIN'!$A$1:$O$113,15,0))</f>
        <v>0</v>
      </c>
      <c r="W1708" s="4">
        <f>IF(ISERROR(VLOOKUP($T$1708,'TAR FIN'!$A$1:$O$113,15,0)),0,VLOOKUP($T$1708,'TAR FIN'!$A$1:$O$113,15,0))</f>
        <v>346.2</v>
      </c>
      <c r="X1708" s="4">
        <f>IF(ISERROR(VLOOKUP($U$1708,'TAR FIN'!$A$1:$O$113,15,0)),0,VLOOKUP($U$1708,'TAR FIN'!$A$1:$O$113,15,0))</f>
        <v>234.24</v>
      </c>
      <c r="Y1708" s="4"/>
      <c r="Z1708" s="4">
        <f ca="1">('TUSD BE'!$AM$68+'TUSD BF'!$AM$68+'TUSD CVA'!$AM$68)*1</f>
        <v>411.14246090221764</v>
      </c>
      <c r="AA1708" s="4">
        <f>('TE BE'!$AA$47+'TE BF'!$AA$47+'TE CVA'!$AA$47)*1</f>
        <v>234.67932779241937</v>
      </c>
      <c r="AB1708" s="4">
        <f>$K$1708*$V$1708</f>
        <v>0</v>
      </c>
      <c r="AC1708" s="4">
        <f>$M$1708*$W$1708</f>
        <v>-374.24219999999997</v>
      </c>
      <c r="AD1708" s="4">
        <f>$O$1708*$X$1708</f>
        <v>-253.21343999999999</v>
      </c>
      <c r="AE1708" s="4">
        <f>$K$1708*$Y$1708</f>
        <v>0</v>
      </c>
      <c r="AF1708" s="4">
        <f ca="1">$M$1708*$Z$1708</f>
        <v>-444.44500023529724</v>
      </c>
      <c r="AG1708" s="4">
        <f>$O$1708*$AA$1708</f>
        <v>-253.68835334360534</v>
      </c>
    </row>
    <row r="1709" spans="1:33" ht="11.25" customHeight="1" x14ac:dyDescent="0.25">
      <c r="A1709" s="3" t="s">
        <v>21</v>
      </c>
      <c r="B1709" s="3" t="s">
        <v>37</v>
      </c>
      <c r="C1709" s="3" t="s">
        <v>23</v>
      </c>
      <c r="D1709" s="3" t="s">
        <v>43</v>
      </c>
      <c r="E1709" s="3" t="s">
        <v>25</v>
      </c>
      <c r="F1709" s="3" t="s">
        <v>25</v>
      </c>
      <c r="G1709" s="3" t="s">
        <v>25</v>
      </c>
      <c r="H1709" s="3" t="s">
        <v>25</v>
      </c>
      <c r="I1709" s="6">
        <v>44317</v>
      </c>
      <c r="J1709" s="4">
        <v>0</v>
      </c>
      <c r="K1709" s="4">
        <v>0</v>
      </c>
      <c r="L1709" s="4">
        <v>19891.690999999999</v>
      </c>
      <c r="M1709" s="4">
        <v>19891.690999999999</v>
      </c>
      <c r="N1709" s="4">
        <v>19891.690999999999</v>
      </c>
      <c r="O1709" s="4">
        <v>19891.690999999999</v>
      </c>
      <c r="P1709" s="4">
        <v>43279</v>
      </c>
      <c r="Q1709" s="3" t="s">
        <v>26</v>
      </c>
      <c r="R1709" s="3">
        <v>0</v>
      </c>
      <c r="S1709" s="4">
        <v>0</v>
      </c>
      <c r="T1709" s="4">
        <v>84</v>
      </c>
      <c r="U1709" s="4">
        <v>7</v>
      </c>
      <c r="V1709" s="4">
        <f>IF(ISERROR(VLOOKUP($S$1709,'TAR FIN'!$A$1:$O$113,15,0)),0,VLOOKUP($S$1709,'TAR FIN'!$A$1:$O$113,15,0))</f>
        <v>0</v>
      </c>
      <c r="W1709" s="4">
        <f>IF(ISERROR(VLOOKUP($T$1709,'TAR FIN'!$A$1:$O$113,15,0)),0,VLOOKUP($T$1709,'TAR FIN'!$A$1:$O$113,15,0))</f>
        <v>346.2</v>
      </c>
      <c r="X1709" s="4">
        <f>IF(ISERROR(VLOOKUP($U$1709,'TAR FIN'!$A$1:$O$113,15,0)),0,VLOOKUP($U$1709,'TAR FIN'!$A$1:$O$113,15,0))</f>
        <v>234.24</v>
      </c>
      <c r="Y1709" s="4"/>
      <c r="Z1709" s="4">
        <f ca="1">('TUSD BE'!$AM$68+'TUSD BF'!$AM$68+'TUSD CVA'!$AM$68)*1</f>
        <v>411.14246090221764</v>
      </c>
      <c r="AA1709" s="4">
        <f>('TE BE'!$AA$47+'TE BF'!$AA$47+'TE CVA'!$AA$47)*1</f>
        <v>234.67932779241937</v>
      </c>
      <c r="AB1709" s="4">
        <f>$K$1709*$V$1709</f>
        <v>0</v>
      </c>
      <c r="AC1709" s="4">
        <f>$M$1709*$W$1709</f>
        <v>6886503.4241999993</v>
      </c>
      <c r="AD1709" s="4">
        <f>$O$1709*$X$1709</f>
        <v>4659429.6998399999</v>
      </c>
      <c r="AE1709" s="4">
        <f>$K$1709*$Y$1709</f>
        <v>0</v>
      </c>
      <c r="AF1709" s="4">
        <f ca="1">$M$1709*$Z$1709</f>
        <v>8178318.789246494</v>
      </c>
      <c r="AG1709" s="4">
        <f>$O$1709*$AA$1709</f>
        <v>4668168.6725345179</v>
      </c>
    </row>
    <row r="1710" spans="1:33" ht="11.25" customHeight="1" x14ac:dyDescent="0.25">
      <c r="A1710" s="3" t="s">
        <v>27</v>
      </c>
      <c r="B1710" s="3" t="s">
        <v>37</v>
      </c>
      <c r="C1710" s="3" t="s">
        <v>23</v>
      </c>
      <c r="D1710" s="3" t="s">
        <v>43</v>
      </c>
      <c r="E1710" s="3" t="s">
        <v>25</v>
      </c>
      <c r="F1710" s="3" t="s">
        <v>25</v>
      </c>
      <c r="G1710" s="3" t="s">
        <v>25</v>
      </c>
      <c r="H1710" s="3" t="s">
        <v>25</v>
      </c>
      <c r="I1710" s="6">
        <v>44317</v>
      </c>
      <c r="J1710" s="4">
        <v>0</v>
      </c>
      <c r="K1710" s="4">
        <v>0</v>
      </c>
      <c r="L1710" s="4">
        <v>-135.714</v>
      </c>
      <c r="M1710" s="4">
        <v>-135.714</v>
      </c>
      <c r="N1710" s="4">
        <v>-135.714</v>
      </c>
      <c r="O1710" s="4">
        <v>-135.714</v>
      </c>
      <c r="P1710" s="4">
        <v>-10</v>
      </c>
      <c r="Q1710" s="3" t="s">
        <v>26</v>
      </c>
      <c r="R1710" s="3">
        <v>0</v>
      </c>
      <c r="S1710" s="4">
        <v>0</v>
      </c>
      <c r="T1710" s="4">
        <v>84</v>
      </c>
      <c r="U1710" s="4">
        <v>7</v>
      </c>
      <c r="V1710" s="4">
        <f>IF(ISERROR(VLOOKUP($S$1710,'TAR FIN'!$A$1:$O$113,15,0)),0,VLOOKUP($S$1710,'TAR FIN'!$A$1:$O$113,15,0))</f>
        <v>0</v>
      </c>
      <c r="W1710" s="4">
        <f>IF(ISERROR(VLOOKUP($T$1710,'TAR FIN'!$A$1:$O$113,15,0)),0,VLOOKUP($T$1710,'TAR FIN'!$A$1:$O$113,15,0))</f>
        <v>346.2</v>
      </c>
      <c r="X1710" s="4">
        <f>IF(ISERROR(VLOOKUP($U$1710,'TAR FIN'!$A$1:$O$113,15,0)),0,VLOOKUP($U$1710,'TAR FIN'!$A$1:$O$113,15,0))</f>
        <v>234.24</v>
      </c>
      <c r="Y1710" s="4"/>
      <c r="Z1710" s="4">
        <f ca="1">('TUSD BE'!$AM$68+'TUSD BF'!$AM$68+'TUSD CVA'!$AM$68)*1</f>
        <v>411.14246090221764</v>
      </c>
      <c r="AA1710" s="4">
        <f>('TE BE'!$AA$47+'TE BF'!$AA$47+'TE CVA'!$AA$47)*1</f>
        <v>234.67932779241937</v>
      </c>
      <c r="AB1710" s="4">
        <f>$K$1710*$V$1710</f>
        <v>0</v>
      </c>
      <c r="AC1710" s="4">
        <f>$M$1710*$W$1710</f>
        <v>-46984.186799999996</v>
      </c>
      <c r="AD1710" s="4">
        <f>$O$1710*$X$1710</f>
        <v>-31789.647360000003</v>
      </c>
      <c r="AE1710" s="4">
        <f>$K$1710*$Y$1710</f>
        <v>0</v>
      </c>
      <c r="AF1710" s="4">
        <f ca="1">$M$1710*$Z$1710</f>
        <v>-55797.787938883564</v>
      </c>
      <c r="AG1710" s="4">
        <f>$O$1710*$AA$1710</f>
        <v>-31849.270292020403</v>
      </c>
    </row>
    <row r="1711" spans="1:33" ht="11.25" customHeight="1" x14ac:dyDescent="0.25">
      <c r="A1711" s="3" t="s">
        <v>28</v>
      </c>
      <c r="B1711" s="3" t="s">
        <v>37</v>
      </c>
      <c r="C1711" s="3" t="s">
        <v>23</v>
      </c>
      <c r="D1711" s="3" t="s">
        <v>43</v>
      </c>
      <c r="E1711" s="3" t="s">
        <v>25</v>
      </c>
      <c r="F1711" s="3" t="s">
        <v>25</v>
      </c>
      <c r="G1711" s="3" t="s">
        <v>25</v>
      </c>
      <c r="H1711" s="3" t="s">
        <v>25</v>
      </c>
      <c r="I1711" s="6">
        <v>44317</v>
      </c>
      <c r="J1711" s="4">
        <v>0</v>
      </c>
      <c r="K1711" s="4">
        <v>0</v>
      </c>
      <c r="L1711" s="4">
        <v>1190.616</v>
      </c>
      <c r="M1711" s="4">
        <v>1190.616</v>
      </c>
      <c r="N1711" s="4">
        <v>1190.616</v>
      </c>
      <c r="O1711" s="4">
        <v>1190.616</v>
      </c>
      <c r="P1711" s="4">
        <v>1632</v>
      </c>
      <c r="Q1711" s="3" t="s">
        <v>26</v>
      </c>
      <c r="R1711" s="3">
        <v>0</v>
      </c>
      <c r="S1711" s="4">
        <v>0</v>
      </c>
      <c r="T1711" s="4">
        <v>84</v>
      </c>
      <c r="U1711" s="4">
        <v>7</v>
      </c>
      <c r="V1711" s="4">
        <f>IF(ISERROR(VLOOKUP($S$1711,'TAR FIN'!$A$1:$O$113,15,0)),0,VLOOKUP($S$1711,'TAR FIN'!$A$1:$O$113,15,0))</f>
        <v>0</v>
      </c>
      <c r="W1711" s="4">
        <f>IF(ISERROR(VLOOKUP($T$1711,'TAR FIN'!$A$1:$O$113,15,0)),0,VLOOKUP($T$1711,'TAR FIN'!$A$1:$O$113,15,0))</f>
        <v>346.2</v>
      </c>
      <c r="X1711" s="4">
        <f>IF(ISERROR(VLOOKUP($U$1711,'TAR FIN'!$A$1:$O$113,15,0)),0,VLOOKUP($U$1711,'TAR FIN'!$A$1:$O$113,15,0))</f>
        <v>234.24</v>
      </c>
      <c r="Y1711" s="4"/>
      <c r="Z1711" s="4">
        <f ca="1">('TUSD BE'!$AM$68+'TUSD BF'!$AM$68+'TUSD CVA'!$AM$68)*1</f>
        <v>411.14246090221764</v>
      </c>
      <c r="AA1711" s="4">
        <f>('TE BE'!$AA$47+'TE BF'!$AA$47+'TE CVA'!$AA$47)*1</f>
        <v>234.67932779241937</v>
      </c>
      <c r="AB1711" s="4">
        <f>$K$1711*$V$1711</f>
        <v>0</v>
      </c>
      <c r="AC1711" s="4">
        <f>$M$1711*$W$1711</f>
        <v>412191.25919999997</v>
      </c>
      <c r="AD1711" s="4">
        <f>$O$1711*$X$1711</f>
        <v>278889.89184</v>
      </c>
      <c r="AE1711" s="4">
        <f>$K$1711*$Y$1711</f>
        <v>0</v>
      </c>
      <c r="AF1711" s="4">
        <f ca="1">$M$1711*$Z$1711</f>
        <v>489512.79222955473</v>
      </c>
      <c r="AG1711" s="4">
        <f>$O$1711*$AA$1711</f>
        <v>279412.96253889916</v>
      </c>
    </row>
    <row r="1712" spans="1:33" ht="11.25" customHeight="1" x14ac:dyDescent="0.25">
      <c r="A1712" s="3" t="s">
        <v>21</v>
      </c>
      <c r="B1712" s="3" t="s">
        <v>37</v>
      </c>
      <c r="C1712" s="3" t="s">
        <v>23</v>
      </c>
      <c r="D1712" s="3" t="s">
        <v>43</v>
      </c>
      <c r="E1712" s="3" t="s">
        <v>25</v>
      </c>
      <c r="F1712" s="3" t="s">
        <v>25</v>
      </c>
      <c r="G1712" s="3" t="s">
        <v>25</v>
      </c>
      <c r="H1712" s="3" t="s">
        <v>25</v>
      </c>
      <c r="I1712" s="6">
        <v>44348</v>
      </c>
      <c r="J1712" s="4">
        <v>0</v>
      </c>
      <c r="K1712" s="4">
        <v>0</v>
      </c>
      <c r="L1712" s="4">
        <v>19684.055</v>
      </c>
      <c r="M1712" s="4">
        <v>19684.055</v>
      </c>
      <c r="N1712" s="4">
        <v>19684.055</v>
      </c>
      <c r="O1712" s="4">
        <v>19684.055</v>
      </c>
      <c r="P1712" s="4">
        <v>43297</v>
      </c>
      <c r="Q1712" s="3" t="s">
        <v>26</v>
      </c>
      <c r="R1712" s="3">
        <v>0</v>
      </c>
      <c r="S1712" s="4">
        <v>0</v>
      </c>
      <c r="T1712" s="4">
        <v>84</v>
      </c>
      <c r="U1712" s="4">
        <v>7</v>
      </c>
      <c r="V1712" s="4">
        <f>IF(ISERROR(VLOOKUP($S$1712,'TAR FIN'!$A$1:$O$113,15,0)),0,VLOOKUP($S$1712,'TAR FIN'!$A$1:$O$113,15,0))</f>
        <v>0</v>
      </c>
      <c r="W1712" s="4">
        <f>IF(ISERROR(VLOOKUP($T$1712,'TAR FIN'!$A$1:$O$113,15,0)),0,VLOOKUP($T$1712,'TAR FIN'!$A$1:$O$113,15,0))</f>
        <v>346.2</v>
      </c>
      <c r="X1712" s="4">
        <f>IF(ISERROR(VLOOKUP($U$1712,'TAR FIN'!$A$1:$O$113,15,0)),0,VLOOKUP($U$1712,'TAR FIN'!$A$1:$O$113,15,0))</f>
        <v>234.24</v>
      </c>
      <c r="Y1712" s="4"/>
      <c r="Z1712" s="4">
        <f ca="1">('TUSD BE'!$AM$68+'TUSD BF'!$AM$68+'TUSD CVA'!$AM$68)*1</f>
        <v>411.14246090221764</v>
      </c>
      <c r="AA1712" s="4">
        <f>('TE BE'!$AA$47+'TE BF'!$AA$47+'TE CVA'!$AA$47)*1</f>
        <v>234.67932779241937</v>
      </c>
      <c r="AB1712" s="4">
        <f>$K$1712*$V$1712</f>
        <v>0</v>
      </c>
      <c r="AC1712" s="4">
        <f>$M$1712*$W$1712</f>
        <v>6814619.841</v>
      </c>
      <c r="AD1712" s="4">
        <f>$O$1712*$X$1712</f>
        <v>4610793.0432000002</v>
      </c>
      <c r="AE1712" s="4">
        <f>$K$1712*$Y$1712</f>
        <v>0</v>
      </c>
      <c r="AF1712" s="4">
        <f ca="1">$M$1712*$Z$1712</f>
        <v>8092950.8132346021</v>
      </c>
      <c r="AG1712" s="4">
        <f>$O$1712*$AA$1712</f>
        <v>4619440.7956290115</v>
      </c>
    </row>
    <row r="1713" spans="1:33" ht="11.25" customHeight="1" x14ac:dyDescent="0.25">
      <c r="A1713" s="3" t="s">
        <v>27</v>
      </c>
      <c r="B1713" s="3" t="s">
        <v>37</v>
      </c>
      <c r="C1713" s="3" t="s">
        <v>23</v>
      </c>
      <c r="D1713" s="3" t="s">
        <v>43</v>
      </c>
      <c r="E1713" s="3" t="s">
        <v>25</v>
      </c>
      <c r="F1713" s="3" t="s">
        <v>25</v>
      </c>
      <c r="G1713" s="3" t="s">
        <v>25</v>
      </c>
      <c r="H1713" s="3" t="s">
        <v>25</v>
      </c>
      <c r="I1713" s="6">
        <v>44348</v>
      </c>
      <c r="J1713" s="4">
        <v>0</v>
      </c>
      <c r="K1713" s="4">
        <v>0</v>
      </c>
      <c r="L1713" s="4">
        <v>-125.229</v>
      </c>
      <c r="M1713" s="4">
        <v>-125.229</v>
      </c>
      <c r="N1713" s="4">
        <v>-125.229</v>
      </c>
      <c r="O1713" s="4">
        <v>-125.229</v>
      </c>
      <c r="P1713" s="4">
        <v>-12</v>
      </c>
      <c r="Q1713" s="3" t="s">
        <v>26</v>
      </c>
      <c r="R1713" s="3">
        <v>0</v>
      </c>
      <c r="S1713" s="4">
        <v>0</v>
      </c>
      <c r="T1713" s="4">
        <v>84</v>
      </c>
      <c r="U1713" s="4">
        <v>7</v>
      </c>
      <c r="V1713" s="4">
        <f>IF(ISERROR(VLOOKUP($S$1713,'TAR FIN'!$A$1:$O$113,15,0)),0,VLOOKUP($S$1713,'TAR FIN'!$A$1:$O$113,15,0))</f>
        <v>0</v>
      </c>
      <c r="W1713" s="4">
        <f>IF(ISERROR(VLOOKUP($T$1713,'TAR FIN'!$A$1:$O$113,15,0)),0,VLOOKUP($T$1713,'TAR FIN'!$A$1:$O$113,15,0))</f>
        <v>346.2</v>
      </c>
      <c r="X1713" s="4">
        <f>IF(ISERROR(VLOOKUP($U$1713,'TAR FIN'!$A$1:$O$113,15,0)),0,VLOOKUP($U$1713,'TAR FIN'!$A$1:$O$113,15,0))</f>
        <v>234.24</v>
      </c>
      <c r="Y1713" s="4"/>
      <c r="Z1713" s="4">
        <f ca="1">('TUSD BE'!$AM$68+'TUSD BF'!$AM$68+'TUSD CVA'!$AM$68)*1</f>
        <v>411.14246090221764</v>
      </c>
      <c r="AA1713" s="4">
        <f>('TE BE'!$AA$47+'TE BF'!$AA$47+'TE CVA'!$AA$47)*1</f>
        <v>234.67932779241937</v>
      </c>
      <c r="AB1713" s="4">
        <f>$K$1713*$V$1713</f>
        <v>0</v>
      </c>
      <c r="AC1713" s="4">
        <f>$M$1713*$W$1713</f>
        <v>-43354.279799999997</v>
      </c>
      <c r="AD1713" s="4">
        <f>$O$1713*$X$1713</f>
        <v>-29333.640960000001</v>
      </c>
      <c r="AE1713" s="4">
        <f>$K$1713*$Y$1713</f>
        <v>0</v>
      </c>
      <c r="AF1713" s="4">
        <f ca="1">$M$1713*$Z$1713</f>
        <v>-51486.959236323812</v>
      </c>
      <c r="AG1713" s="4">
        <f>$O$1713*$AA$1713</f>
        <v>-29388.657540116885</v>
      </c>
    </row>
    <row r="1714" spans="1:33" ht="11.25" customHeight="1" x14ac:dyDescent="0.25">
      <c r="A1714" s="3" t="s">
        <v>28</v>
      </c>
      <c r="B1714" s="3" t="s">
        <v>37</v>
      </c>
      <c r="C1714" s="3" t="s">
        <v>23</v>
      </c>
      <c r="D1714" s="3" t="s">
        <v>43</v>
      </c>
      <c r="E1714" s="3" t="s">
        <v>25</v>
      </c>
      <c r="F1714" s="3" t="s">
        <v>25</v>
      </c>
      <c r="G1714" s="3" t="s">
        <v>25</v>
      </c>
      <c r="H1714" s="3" t="s">
        <v>25</v>
      </c>
      <c r="I1714" s="6">
        <v>44348</v>
      </c>
      <c r="J1714" s="4">
        <v>0</v>
      </c>
      <c r="K1714" s="4">
        <v>0</v>
      </c>
      <c r="L1714" s="4">
        <v>1159.0909999999999</v>
      </c>
      <c r="M1714" s="4">
        <v>1159.0909999999999</v>
      </c>
      <c r="N1714" s="4">
        <v>1159.0909999999999</v>
      </c>
      <c r="O1714" s="4">
        <v>1159.0909999999999</v>
      </c>
      <c r="P1714" s="4">
        <v>1680</v>
      </c>
      <c r="Q1714" s="3" t="s">
        <v>26</v>
      </c>
      <c r="R1714" s="3">
        <v>0</v>
      </c>
      <c r="S1714" s="4">
        <v>0</v>
      </c>
      <c r="T1714" s="4">
        <v>84</v>
      </c>
      <c r="U1714" s="4">
        <v>7</v>
      </c>
      <c r="V1714" s="4">
        <f>IF(ISERROR(VLOOKUP($S$1714,'TAR FIN'!$A$1:$O$113,15,0)),0,VLOOKUP($S$1714,'TAR FIN'!$A$1:$O$113,15,0))</f>
        <v>0</v>
      </c>
      <c r="W1714" s="4">
        <f>IF(ISERROR(VLOOKUP($T$1714,'TAR FIN'!$A$1:$O$113,15,0)),0,VLOOKUP($T$1714,'TAR FIN'!$A$1:$O$113,15,0))</f>
        <v>346.2</v>
      </c>
      <c r="X1714" s="4">
        <f>IF(ISERROR(VLOOKUP($U$1714,'TAR FIN'!$A$1:$O$113,15,0)),0,VLOOKUP($U$1714,'TAR FIN'!$A$1:$O$113,15,0))</f>
        <v>234.24</v>
      </c>
      <c r="Y1714" s="4"/>
      <c r="Z1714" s="4">
        <f ca="1">('TUSD BE'!$AM$68+'TUSD BF'!$AM$68+'TUSD CVA'!$AM$68)*1</f>
        <v>411.14246090221764</v>
      </c>
      <c r="AA1714" s="4">
        <f>('TE BE'!$AA$47+'TE BF'!$AA$47+'TE CVA'!$AA$47)*1</f>
        <v>234.67932779241937</v>
      </c>
      <c r="AB1714" s="4">
        <f>$K$1714*$V$1714</f>
        <v>0</v>
      </c>
      <c r="AC1714" s="4">
        <f>$M$1714*$W$1714</f>
        <v>401277.30419999996</v>
      </c>
      <c r="AD1714" s="4">
        <f>$O$1714*$X$1714</f>
        <v>271505.47583999997</v>
      </c>
      <c r="AE1714" s="4">
        <f>$K$1714*$Y$1714</f>
        <v>0</v>
      </c>
      <c r="AF1714" s="4">
        <f ca="1">$M$1714*$Z$1714</f>
        <v>476551.52614961227</v>
      </c>
      <c r="AG1714" s="4">
        <f>$O$1714*$AA$1714</f>
        <v>272014.69673024316</v>
      </c>
    </row>
    <row r="1715" spans="1:33" ht="11.25" customHeight="1" x14ac:dyDescent="0.25">
      <c r="A1715" s="3" t="s">
        <v>28</v>
      </c>
      <c r="B1715" s="3" t="s">
        <v>37</v>
      </c>
      <c r="C1715" s="3" t="s">
        <v>23</v>
      </c>
      <c r="D1715" s="3" t="s">
        <v>43</v>
      </c>
      <c r="E1715" s="3" t="s">
        <v>25</v>
      </c>
      <c r="F1715" s="3" t="s">
        <v>25</v>
      </c>
      <c r="G1715" s="3" t="s">
        <v>25</v>
      </c>
      <c r="H1715" s="3" t="s">
        <v>25</v>
      </c>
      <c r="I1715" s="6">
        <v>44348</v>
      </c>
      <c r="J1715" s="4">
        <v>0</v>
      </c>
      <c r="K1715" s="4">
        <v>0</v>
      </c>
      <c r="L1715" s="4">
        <v>-1.337</v>
      </c>
      <c r="M1715" s="4">
        <v>-1.337</v>
      </c>
      <c r="N1715" s="4">
        <v>-1.337</v>
      </c>
      <c r="O1715" s="4">
        <v>-1.337</v>
      </c>
      <c r="P1715" s="4">
        <v>0</v>
      </c>
      <c r="Q1715" s="3" t="s">
        <v>26</v>
      </c>
      <c r="R1715" s="3">
        <v>0</v>
      </c>
      <c r="S1715" s="4">
        <v>0</v>
      </c>
      <c r="T1715" s="4">
        <v>84</v>
      </c>
      <c r="U1715" s="4">
        <v>7</v>
      </c>
      <c r="V1715" s="4">
        <f>IF(ISERROR(VLOOKUP($S$1715,'TAR FIN'!$A$1:$O$113,15,0)),0,VLOOKUP($S$1715,'TAR FIN'!$A$1:$O$113,15,0))</f>
        <v>0</v>
      </c>
      <c r="W1715" s="4">
        <f>IF(ISERROR(VLOOKUP($T$1715,'TAR FIN'!$A$1:$O$113,15,0)),0,VLOOKUP($T$1715,'TAR FIN'!$A$1:$O$113,15,0))</f>
        <v>346.2</v>
      </c>
      <c r="X1715" s="4">
        <f>IF(ISERROR(VLOOKUP($U$1715,'TAR FIN'!$A$1:$O$113,15,0)),0,VLOOKUP($U$1715,'TAR FIN'!$A$1:$O$113,15,0))</f>
        <v>234.24</v>
      </c>
      <c r="Y1715" s="4"/>
      <c r="Z1715" s="4">
        <f ca="1">('TUSD BE'!$AM$68+'TUSD BF'!$AM$68+'TUSD CVA'!$AM$68)*1</f>
        <v>411.14246090221764</v>
      </c>
      <c r="AA1715" s="4">
        <f>('TE BE'!$AA$47+'TE BF'!$AA$47+'TE CVA'!$AA$47)*1</f>
        <v>234.67932779241937</v>
      </c>
      <c r="AB1715" s="4">
        <f>$K$1715*$V$1715</f>
        <v>0</v>
      </c>
      <c r="AC1715" s="4">
        <f>$M$1715*$W$1715</f>
        <v>-462.86939999999998</v>
      </c>
      <c r="AD1715" s="4">
        <f>$O$1715*$X$1715</f>
        <v>-313.17887999999999</v>
      </c>
      <c r="AE1715" s="4">
        <f>$K$1715*$Y$1715</f>
        <v>0</v>
      </c>
      <c r="AF1715" s="4">
        <f ca="1">$M$1715*$Z$1715</f>
        <v>-549.69747022626495</v>
      </c>
      <c r="AG1715" s="4">
        <f>$O$1715*$AA$1715</f>
        <v>-313.76626125846468</v>
      </c>
    </row>
    <row r="1716" spans="1:33" ht="11.25" customHeight="1" x14ac:dyDescent="0.25">
      <c r="A1716" s="3" t="s">
        <v>21</v>
      </c>
      <c r="B1716" s="3" t="s">
        <v>37</v>
      </c>
      <c r="C1716" s="3" t="s">
        <v>23</v>
      </c>
      <c r="D1716" s="3" t="s">
        <v>43</v>
      </c>
      <c r="E1716" s="3" t="s">
        <v>25</v>
      </c>
      <c r="F1716" s="3" t="s">
        <v>25</v>
      </c>
      <c r="G1716" s="3" t="s">
        <v>25</v>
      </c>
      <c r="H1716" s="3" t="s">
        <v>25</v>
      </c>
      <c r="I1716" s="6">
        <v>44378</v>
      </c>
      <c r="J1716" s="4">
        <v>0</v>
      </c>
      <c r="K1716" s="4">
        <v>0</v>
      </c>
      <c r="L1716" s="4">
        <v>19330.27</v>
      </c>
      <c r="M1716" s="4">
        <v>19330.27</v>
      </c>
      <c r="N1716" s="4">
        <v>19330.27</v>
      </c>
      <c r="O1716" s="4">
        <v>19330.27</v>
      </c>
      <c r="P1716" s="4">
        <v>43276</v>
      </c>
      <c r="Q1716" s="3" t="s">
        <v>26</v>
      </c>
      <c r="R1716" s="3">
        <v>0</v>
      </c>
      <c r="S1716" s="4">
        <v>0</v>
      </c>
      <c r="T1716" s="4">
        <v>84</v>
      </c>
      <c r="U1716" s="4">
        <v>7</v>
      </c>
      <c r="V1716" s="4">
        <f>IF(ISERROR(VLOOKUP($S$1716,'TAR FIN'!$A$1:$O$113,15,0)),0,VLOOKUP($S$1716,'TAR FIN'!$A$1:$O$113,15,0))</f>
        <v>0</v>
      </c>
      <c r="W1716" s="4">
        <f>IF(ISERROR(VLOOKUP($T$1716,'TAR FIN'!$A$1:$O$113,15,0)),0,VLOOKUP($T$1716,'TAR FIN'!$A$1:$O$113,15,0))</f>
        <v>346.2</v>
      </c>
      <c r="X1716" s="4">
        <f>IF(ISERROR(VLOOKUP($U$1716,'TAR FIN'!$A$1:$O$113,15,0)),0,VLOOKUP($U$1716,'TAR FIN'!$A$1:$O$113,15,0))</f>
        <v>234.24</v>
      </c>
      <c r="Y1716" s="4"/>
      <c r="Z1716" s="4">
        <f ca="1">('TUSD BE'!$AM$68+'TUSD BF'!$AM$68+'TUSD CVA'!$AM$68)*1</f>
        <v>411.14246090221764</v>
      </c>
      <c r="AA1716" s="4">
        <f>('TE BE'!$AA$47+'TE BF'!$AA$47+'TE CVA'!$AA$47)*1</f>
        <v>234.67932779241937</v>
      </c>
      <c r="AB1716" s="4">
        <f>$K$1716*$V$1716</f>
        <v>0</v>
      </c>
      <c r="AC1716" s="4">
        <f>$M$1716*$W$1716</f>
        <v>6692139.4740000004</v>
      </c>
      <c r="AD1716" s="4">
        <f>$O$1716*$X$1716</f>
        <v>4527922.4448000006</v>
      </c>
      <c r="AE1716" s="4">
        <f>$K$1716*$Y$1716</f>
        <v>0</v>
      </c>
      <c r="AF1716" s="4">
        <f ca="1">$M$1716*$Z$1716</f>
        <v>7947494.7777043106</v>
      </c>
      <c r="AG1716" s="4">
        <f>$O$1716*$AA$1716</f>
        <v>4536414.7696459703</v>
      </c>
    </row>
    <row r="1717" spans="1:33" ht="11.25" customHeight="1" x14ac:dyDescent="0.25">
      <c r="A1717" s="3" t="s">
        <v>27</v>
      </c>
      <c r="B1717" s="3" t="s">
        <v>37</v>
      </c>
      <c r="C1717" s="3" t="s">
        <v>23</v>
      </c>
      <c r="D1717" s="3" t="s">
        <v>43</v>
      </c>
      <c r="E1717" s="3" t="s">
        <v>25</v>
      </c>
      <c r="F1717" s="3" t="s">
        <v>25</v>
      </c>
      <c r="G1717" s="3" t="s">
        <v>25</v>
      </c>
      <c r="H1717" s="3" t="s">
        <v>25</v>
      </c>
      <c r="I1717" s="6">
        <v>44378</v>
      </c>
      <c r="J1717" s="4">
        <v>0</v>
      </c>
      <c r="K1717" s="4">
        <v>0</v>
      </c>
      <c r="L1717" s="4">
        <v>-6.5590000000000002</v>
      </c>
      <c r="M1717" s="4">
        <v>-6.5590000000000002</v>
      </c>
      <c r="N1717" s="4">
        <v>-6.5590000000000002</v>
      </c>
      <c r="O1717" s="4">
        <v>-6.5590000000000002</v>
      </c>
      <c r="P1717" s="4">
        <v>-16</v>
      </c>
      <c r="Q1717" s="3" t="s">
        <v>26</v>
      </c>
      <c r="R1717" s="3">
        <v>0</v>
      </c>
      <c r="S1717" s="4">
        <v>0</v>
      </c>
      <c r="T1717" s="4">
        <v>84</v>
      </c>
      <c r="U1717" s="4">
        <v>7</v>
      </c>
      <c r="V1717" s="4">
        <f>IF(ISERROR(VLOOKUP($S$1717,'TAR FIN'!$A$1:$O$113,15,0)),0,VLOOKUP($S$1717,'TAR FIN'!$A$1:$O$113,15,0))</f>
        <v>0</v>
      </c>
      <c r="W1717" s="4">
        <f>IF(ISERROR(VLOOKUP($T$1717,'TAR FIN'!$A$1:$O$113,15,0)),0,VLOOKUP($T$1717,'TAR FIN'!$A$1:$O$113,15,0))</f>
        <v>346.2</v>
      </c>
      <c r="X1717" s="4">
        <f>IF(ISERROR(VLOOKUP($U$1717,'TAR FIN'!$A$1:$O$113,15,0)),0,VLOOKUP($U$1717,'TAR FIN'!$A$1:$O$113,15,0))</f>
        <v>234.24</v>
      </c>
      <c r="Y1717" s="4"/>
      <c r="Z1717" s="4">
        <f ca="1">('TUSD BE'!$AM$68+'TUSD BF'!$AM$68+'TUSD CVA'!$AM$68)*1</f>
        <v>411.14246090221764</v>
      </c>
      <c r="AA1717" s="4">
        <f>('TE BE'!$AA$47+'TE BF'!$AA$47+'TE CVA'!$AA$47)*1</f>
        <v>234.67932779241937</v>
      </c>
      <c r="AB1717" s="4">
        <f>$K$1717*$V$1717</f>
        <v>0</v>
      </c>
      <c r="AC1717" s="4">
        <f>$M$1717*$W$1717</f>
        <v>-2270.7258000000002</v>
      </c>
      <c r="AD1717" s="4">
        <f>$O$1717*$X$1717</f>
        <v>-1536.3801600000002</v>
      </c>
      <c r="AE1717" s="4">
        <f>$K$1717*$Y$1717</f>
        <v>0</v>
      </c>
      <c r="AF1717" s="4">
        <f ca="1">$M$1717*$Z$1717</f>
        <v>-2696.6834010576454</v>
      </c>
      <c r="AG1717" s="4">
        <f>$O$1717*$AA$1717</f>
        <v>-1539.2617109904786</v>
      </c>
    </row>
    <row r="1718" spans="1:33" ht="11.25" customHeight="1" x14ac:dyDescent="0.25">
      <c r="A1718" s="3" t="s">
        <v>28</v>
      </c>
      <c r="B1718" s="3" t="s">
        <v>37</v>
      </c>
      <c r="C1718" s="3" t="s">
        <v>23</v>
      </c>
      <c r="D1718" s="3" t="s">
        <v>43</v>
      </c>
      <c r="E1718" s="3" t="s">
        <v>25</v>
      </c>
      <c r="F1718" s="3" t="s">
        <v>25</v>
      </c>
      <c r="G1718" s="3" t="s">
        <v>25</v>
      </c>
      <c r="H1718" s="3" t="s">
        <v>25</v>
      </c>
      <c r="I1718" s="6">
        <v>44378</v>
      </c>
      <c r="J1718" s="4">
        <v>0</v>
      </c>
      <c r="K1718" s="4">
        <v>0</v>
      </c>
      <c r="L1718" s="4">
        <v>1196.0029999999999</v>
      </c>
      <c r="M1718" s="4">
        <v>1196.0029999999999</v>
      </c>
      <c r="N1718" s="4">
        <v>1196.0029999999999</v>
      </c>
      <c r="O1718" s="4">
        <v>1196.0029999999999</v>
      </c>
      <c r="P1718" s="4">
        <v>1714</v>
      </c>
      <c r="Q1718" s="3" t="s">
        <v>26</v>
      </c>
      <c r="R1718" s="3">
        <v>0</v>
      </c>
      <c r="S1718" s="4">
        <v>0</v>
      </c>
      <c r="T1718" s="4">
        <v>84</v>
      </c>
      <c r="U1718" s="4">
        <v>7</v>
      </c>
      <c r="V1718" s="4">
        <f>IF(ISERROR(VLOOKUP($S$1718,'TAR FIN'!$A$1:$O$113,15,0)),0,VLOOKUP($S$1718,'TAR FIN'!$A$1:$O$113,15,0))</f>
        <v>0</v>
      </c>
      <c r="W1718" s="4">
        <f>IF(ISERROR(VLOOKUP($T$1718,'TAR FIN'!$A$1:$O$113,15,0)),0,VLOOKUP($T$1718,'TAR FIN'!$A$1:$O$113,15,0))</f>
        <v>346.2</v>
      </c>
      <c r="X1718" s="4">
        <f>IF(ISERROR(VLOOKUP($U$1718,'TAR FIN'!$A$1:$O$113,15,0)),0,VLOOKUP($U$1718,'TAR FIN'!$A$1:$O$113,15,0))</f>
        <v>234.24</v>
      </c>
      <c r="Y1718" s="4"/>
      <c r="Z1718" s="4">
        <f ca="1">('TUSD BE'!$AM$68+'TUSD BF'!$AM$68+'TUSD CVA'!$AM$68)*1</f>
        <v>411.14246090221764</v>
      </c>
      <c r="AA1718" s="4">
        <f>('TE BE'!$AA$47+'TE BF'!$AA$47+'TE CVA'!$AA$47)*1</f>
        <v>234.67932779241937</v>
      </c>
      <c r="AB1718" s="4">
        <f>$K$1718*$V$1718</f>
        <v>0</v>
      </c>
      <c r="AC1718" s="4">
        <f>$M$1718*$W$1718</f>
        <v>414056.23859999998</v>
      </c>
      <c r="AD1718" s="4">
        <f>$O$1718*$X$1718</f>
        <v>280151.74271999998</v>
      </c>
      <c r="AE1718" s="4">
        <f>$K$1718*$Y$1718</f>
        <v>0</v>
      </c>
      <c r="AF1718" s="4">
        <f ca="1">$M$1718*$Z$1718</f>
        <v>491727.61666643497</v>
      </c>
      <c r="AG1718" s="4">
        <f>$O$1718*$AA$1718</f>
        <v>280677.18007771694</v>
      </c>
    </row>
    <row r="1719" spans="1:33" ht="11.25" customHeight="1" x14ac:dyDescent="0.25">
      <c r="A1719" s="3" t="s">
        <v>28</v>
      </c>
      <c r="B1719" s="3" t="s">
        <v>37</v>
      </c>
      <c r="C1719" s="3" t="s">
        <v>23</v>
      </c>
      <c r="D1719" s="3" t="s">
        <v>43</v>
      </c>
      <c r="E1719" s="3" t="s">
        <v>25</v>
      </c>
      <c r="F1719" s="3" t="s">
        <v>25</v>
      </c>
      <c r="G1719" s="3" t="s">
        <v>25</v>
      </c>
      <c r="H1719" s="3" t="s">
        <v>25</v>
      </c>
      <c r="I1719" s="6">
        <v>44378</v>
      </c>
      <c r="J1719" s="4">
        <v>0</v>
      </c>
      <c r="K1719" s="4">
        <v>0</v>
      </c>
      <c r="L1719" s="4">
        <v>-21.298999999999999</v>
      </c>
      <c r="M1719" s="4">
        <v>-21.298999999999999</v>
      </c>
      <c r="N1719" s="4">
        <v>-21.298999999999999</v>
      </c>
      <c r="O1719" s="4">
        <v>-21.298999999999999</v>
      </c>
      <c r="P1719" s="4">
        <v>0</v>
      </c>
      <c r="Q1719" s="3" t="s">
        <v>26</v>
      </c>
      <c r="R1719" s="3">
        <v>0</v>
      </c>
      <c r="S1719" s="4">
        <v>0</v>
      </c>
      <c r="T1719" s="4">
        <v>84</v>
      </c>
      <c r="U1719" s="4">
        <v>7</v>
      </c>
      <c r="V1719" s="4">
        <f>IF(ISERROR(VLOOKUP($S$1719,'TAR FIN'!$A$1:$O$113,15,0)),0,VLOOKUP($S$1719,'TAR FIN'!$A$1:$O$113,15,0))</f>
        <v>0</v>
      </c>
      <c r="W1719" s="4">
        <f>IF(ISERROR(VLOOKUP($T$1719,'TAR FIN'!$A$1:$O$113,15,0)),0,VLOOKUP($T$1719,'TAR FIN'!$A$1:$O$113,15,0))</f>
        <v>346.2</v>
      </c>
      <c r="X1719" s="4">
        <f>IF(ISERROR(VLOOKUP($U$1719,'TAR FIN'!$A$1:$O$113,15,0)),0,VLOOKUP($U$1719,'TAR FIN'!$A$1:$O$113,15,0))</f>
        <v>234.24</v>
      </c>
      <c r="Y1719" s="4"/>
      <c r="Z1719" s="4">
        <f ca="1">('TUSD BE'!$AM$68+'TUSD BF'!$AM$68+'TUSD CVA'!$AM$68)*1</f>
        <v>411.14246090221764</v>
      </c>
      <c r="AA1719" s="4">
        <f>('TE BE'!$AA$47+'TE BF'!$AA$47+'TE CVA'!$AA$47)*1</f>
        <v>234.67932779241937</v>
      </c>
      <c r="AB1719" s="4">
        <f>$K$1719*$V$1719</f>
        <v>0</v>
      </c>
      <c r="AC1719" s="4">
        <f>$M$1719*$W$1719</f>
        <v>-7373.7137999999995</v>
      </c>
      <c r="AD1719" s="4">
        <f>$O$1719*$X$1719</f>
        <v>-4989.0777600000001</v>
      </c>
      <c r="AE1719" s="4">
        <f>$K$1719*$Y$1719</f>
        <v>0</v>
      </c>
      <c r="AF1719" s="4">
        <f ca="1">$M$1719*$Z$1719</f>
        <v>-8756.9232747563328</v>
      </c>
      <c r="AG1719" s="4">
        <f>$O$1719*$AA$1719</f>
        <v>-4998.43500265074</v>
      </c>
    </row>
    <row r="1720" spans="1:33" ht="11.25" customHeight="1" x14ac:dyDescent="0.25">
      <c r="A1720" s="3" t="s">
        <v>21</v>
      </c>
      <c r="B1720" s="3" t="s">
        <v>37</v>
      </c>
      <c r="C1720" s="3" t="s">
        <v>23</v>
      </c>
      <c r="D1720" s="3" t="s">
        <v>43</v>
      </c>
      <c r="E1720" s="3" t="s">
        <v>25</v>
      </c>
      <c r="F1720" s="3" t="s">
        <v>25</v>
      </c>
      <c r="G1720" s="3" t="s">
        <v>25</v>
      </c>
      <c r="H1720" s="3" t="s">
        <v>25</v>
      </c>
      <c r="I1720" s="6">
        <v>44409</v>
      </c>
      <c r="J1720" s="4">
        <v>0</v>
      </c>
      <c r="K1720" s="4">
        <v>0</v>
      </c>
      <c r="L1720" s="4">
        <v>19158.03</v>
      </c>
      <c r="M1720" s="4">
        <v>19158.03</v>
      </c>
      <c r="N1720" s="4">
        <v>19158.03</v>
      </c>
      <c r="O1720" s="4">
        <v>19158.03</v>
      </c>
      <c r="P1720" s="4">
        <v>43244</v>
      </c>
      <c r="Q1720" s="3" t="s">
        <v>26</v>
      </c>
      <c r="R1720" s="3">
        <v>0</v>
      </c>
      <c r="S1720" s="4">
        <v>0</v>
      </c>
      <c r="T1720" s="4">
        <v>84</v>
      </c>
      <c r="U1720" s="4">
        <v>7</v>
      </c>
      <c r="V1720" s="4">
        <f>IF(ISERROR(VLOOKUP($S$1720,'TAR FIN'!$A$1:$O$113,15,0)),0,VLOOKUP($S$1720,'TAR FIN'!$A$1:$O$113,15,0))</f>
        <v>0</v>
      </c>
      <c r="W1720" s="4">
        <f>IF(ISERROR(VLOOKUP($T$1720,'TAR FIN'!$A$1:$O$113,15,0)),0,VLOOKUP($T$1720,'TAR FIN'!$A$1:$O$113,15,0))</f>
        <v>346.2</v>
      </c>
      <c r="X1720" s="4">
        <f>IF(ISERROR(VLOOKUP($U$1720,'TAR FIN'!$A$1:$O$113,15,0)),0,VLOOKUP($U$1720,'TAR FIN'!$A$1:$O$113,15,0))</f>
        <v>234.24</v>
      </c>
      <c r="Y1720" s="4"/>
      <c r="Z1720" s="4">
        <f ca="1">('TUSD BE'!$AM$68+'TUSD BF'!$AM$68+'TUSD CVA'!$AM$68)*1</f>
        <v>411.14246090221764</v>
      </c>
      <c r="AA1720" s="4">
        <f>('TE BE'!$AA$47+'TE BF'!$AA$47+'TE CVA'!$AA$47)*1</f>
        <v>234.67932779241937</v>
      </c>
      <c r="AB1720" s="4">
        <f>$K$1720*$V$1720</f>
        <v>0</v>
      </c>
      <c r="AC1720" s="4">
        <f>$M$1720*$W$1720</f>
        <v>6632509.9859999996</v>
      </c>
      <c r="AD1720" s="4">
        <f>$O$1720*$X$1720</f>
        <v>4487576.9472000003</v>
      </c>
      <c r="AE1720" s="4">
        <f>$K$1720*$Y$1720</f>
        <v>0</v>
      </c>
      <c r="AF1720" s="4">
        <f ca="1">$M$1720*$Z$1720</f>
        <v>7876679.6002385123</v>
      </c>
      <c r="AG1720" s="4">
        <f>$O$1720*$AA$1720</f>
        <v>4495993.6022270042</v>
      </c>
    </row>
    <row r="1721" spans="1:33" ht="11.25" customHeight="1" x14ac:dyDescent="0.25">
      <c r="A1721" s="3" t="s">
        <v>27</v>
      </c>
      <c r="B1721" s="3" t="s">
        <v>37</v>
      </c>
      <c r="C1721" s="3" t="s">
        <v>23</v>
      </c>
      <c r="D1721" s="3" t="s">
        <v>43</v>
      </c>
      <c r="E1721" s="3" t="s">
        <v>25</v>
      </c>
      <c r="F1721" s="3" t="s">
        <v>25</v>
      </c>
      <c r="G1721" s="3" t="s">
        <v>25</v>
      </c>
      <c r="H1721" s="3" t="s">
        <v>25</v>
      </c>
      <c r="I1721" s="6">
        <v>44409</v>
      </c>
      <c r="J1721" s="4">
        <v>0</v>
      </c>
      <c r="K1721" s="4">
        <v>0</v>
      </c>
      <c r="L1721" s="4">
        <v>-193.30199999999999</v>
      </c>
      <c r="M1721" s="4">
        <v>-193.30199999999999</v>
      </c>
      <c r="N1721" s="4">
        <v>-193.30199999999999</v>
      </c>
      <c r="O1721" s="4">
        <v>-193.30199999999999</v>
      </c>
      <c r="P1721" s="4">
        <v>-123</v>
      </c>
      <c r="Q1721" s="3" t="s">
        <v>26</v>
      </c>
      <c r="R1721" s="3">
        <v>0</v>
      </c>
      <c r="S1721" s="4">
        <v>0</v>
      </c>
      <c r="T1721" s="4">
        <v>84</v>
      </c>
      <c r="U1721" s="4">
        <v>7</v>
      </c>
      <c r="V1721" s="4">
        <f>IF(ISERROR(VLOOKUP($S$1721,'TAR FIN'!$A$1:$O$113,15,0)),0,VLOOKUP($S$1721,'TAR FIN'!$A$1:$O$113,15,0))</f>
        <v>0</v>
      </c>
      <c r="W1721" s="4">
        <f>IF(ISERROR(VLOOKUP($T$1721,'TAR FIN'!$A$1:$O$113,15,0)),0,VLOOKUP($T$1721,'TAR FIN'!$A$1:$O$113,15,0))</f>
        <v>346.2</v>
      </c>
      <c r="X1721" s="4">
        <f>IF(ISERROR(VLOOKUP($U$1721,'TAR FIN'!$A$1:$O$113,15,0)),0,VLOOKUP($U$1721,'TAR FIN'!$A$1:$O$113,15,0))</f>
        <v>234.24</v>
      </c>
      <c r="Y1721" s="4"/>
      <c r="Z1721" s="4">
        <f ca="1">('TUSD BE'!$AM$68+'TUSD BF'!$AM$68+'TUSD CVA'!$AM$68)*1</f>
        <v>411.14246090221764</v>
      </c>
      <c r="AA1721" s="4">
        <f>('TE BE'!$AA$47+'TE BF'!$AA$47+'TE CVA'!$AA$47)*1</f>
        <v>234.67932779241937</v>
      </c>
      <c r="AB1721" s="4">
        <f>$K$1721*$V$1721</f>
        <v>0</v>
      </c>
      <c r="AC1721" s="4">
        <f>$M$1721*$W$1721</f>
        <v>-66921.152399999992</v>
      </c>
      <c r="AD1721" s="4">
        <f>$O$1721*$X$1721</f>
        <v>-45279.06048</v>
      </c>
      <c r="AE1721" s="4">
        <f>$K$1721*$Y$1721</f>
        <v>0</v>
      </c>
      <c r="AF1721" s="4">
        <f ca="1">$M$1721*$Z$1721</f>
        <v>-79474.659977320465</v>
      </c>
      <c r="AG1721" s="4">
        <f>$O$1721*$AA$1721</f>
        <v>-45363.98342093025</v>
      </c>
    </row>
    <row r="1722" spans="1:33" ht="11.25" customHeight="1" x14ac:dyDescent="0.25">
      <c r="A1722" s="3" t="s">
        <v>28</v>
      </c>
      <c r="B1722" s="3" t="s">
        <v>37</v>
      </c>
      <c r="C1722" s="3" t="s">
        <v>23</v>
      </c>
      <c r="D1722" s="3" t="s">
        <v>43</v>
      </c>
      <c r="E1722" s="3" t="s">
        <v>25</v>
      </c>
      <c r="F1722" s="3" t="s">
        <v>25</v>
      </c>
      <c r="G1722" s="3" t="s">
        <v>25</v>
      </c>
      <c r="H1722" s="3" t="s">
        <v>25</v>
      </c>
      <c r="I1722" s="6">
        <v>44409</v>
      </c>
      <c r="J1722" s="4">
        <v>0</v>
      </c>
      <c r="K1722" s="4">
        <v>0</v>
      </c>
      <c r="L1722" s="4">
        <v>1098.7</v>
      </c>
      <c r="M1722" s="4">
        <v>1098.7</v>
      </c>
      <c r="N1722" s="4">
        <v>1098.7</v>
      </c>
      <c r="O1722" s="4">
        <v>1098.7</v>
      </c>
      <c r="P1722" s="4">
        <v>1764</v>
      </c>
      <c r="Q1722" s="3" t="s">
        <v>26</v>
      </c>
      <c r="R1722" s="3">
        <v>0</v>
      </c>
      <c r="S1722" s="4">
        <v>0</v>
      </c>
      <c r="T1722" s="4">
        <v>84</v>
      </c>
      <c r="U1722" s="4">
        <v>7</v>
      </c>
      <c r="V1722" s="4">
        <f>IF(ISERROR(VLOOKUP($S$1722,'TAR FIN'!$A$1:$O$113,15,0)),0,VLOOKUP($S$1722,'TAR FIN'!$A$1:$O$113,15,0))</f>
        <v>0</v>
      </c>
      <c r="W1722" s="4">
        <f>IF(ISERROR(VLOOKUP($T$1722,'TAR FIN'!$A$1:$O$113,15,0)),0,VLOOKUP($T$1722,'TAR FIN'!$A$1:$O$113,15,0))</f>
        <v>346.2</v>
      </c>
      <c r="X1722" s="4">
        <f>IF(ISERROR(VLOOKUP($U$1722,'TAR FIN'!$A$1:$O$113,15,0)),0,VLOOKUP($U$1722,'TAR FIN'!$A$1:$O$113,15,0))</f>
        <v>234.24</v>
      </c>
      <c r="Y1722" s="4"/>
      <c r="Z1722" s="4">
        <f ca="1">('TUSD BE'!$AM$68+'TUSD BF'!$AM$68+'TUSD CVA'!$AM$68)*1</f>
        <v>411.14246090221764</v>
      </c>
      <c r="AA1722" s="4">
        <f>('TE BE'!$AA$47+'TE BF'!$AA$47+'TE CVA'!$AA$47)*1</f>
        <v>234.67932779241937</v>
      </c>
      <c r="AB1722" s="4">
        <f>$K$1722*$V$1722</f>
        <v>0</v>
      </c>
      <c r="AC1722" s="4">
        <f>$M$1722*$W$1722</f>
        <v>380369.94</v>
      </c>
      <c r="AD1722" s="4">
        <f>$O$1722*$X$1722</f>
        <v>257359.48800000001</v>
      </c>
      <c r="AE1722" s="4">
        <f>$K$1722*$Y$1722</f>
        <v>0</v>
      </c>
      <c r="AF1722" s="4">
        <f ca="1">$M$1722*$Z$1722</f>
        <v>451722.22179326654</v>
      </c>
      <c r="AG1722" s="4">
        <f>$O$1722*$AA$1722</f>
        <v>257842.17744553118</v>
      </c>
    </row>
    <row r="1723" spans="1:33" ht="11.25" customHeight="1" x14ac:dyDescent="0.25">
      <c r="A1723" s="3" t="s">
        <v>28</v>
      </c>
      <c r="B1723" s="3" t="s">
        <v>37</v>
      </c>
      <c r="C1723" s="3" t="s">
        <v>23</v>
      </c>
      <c r="D1723" s="3" t="s">
        <v>43</v>
      </c>
      <c r="E1723" s="3" t="s">
        <v>25</v>
      </c>
      <c r="F1723" s="3" t="s">
        <v>25</v>
      </c>
      <c r="G1723" s="3" t="s">
        <v>25</v>
      </c>
      <c r="H1723" s="3" t="s">
        <v>25</v>
      </c>
      <c r="I1723" s="6">
        <v>44409</v>
      </c>
      <c r="J1723" s="4">
        <v>0</v>
      </c>
      <c r="K1723" s="4">
        <v>0</v>
      </c>
      <c r="L1723" s="4">
        <v>-8.3520000000000003</v>
      </c>
      <c r="M1723" s="4">
        <v>-8.3520000000000003</v>
      </c>
      <c r="N1723" s="4">
        <v>-8.3520000000000003</v>
      </c>
      <c r="O1723" s="4">
        <v>-8.3520000000000003</v>
      </c>
      <c r="P1723" s="4">
        <v>0</v>
      </c>
      <c r="Q1723" s="3" t="s">
        <v>26</v>
      </c>
      <c r="R1723" s="3">
        <v>0</v>
      </c>
      <c r="S1723" s="4">
        <v>0</v>
      </c>
      <c r="T1723" s="4">
        <v>84</v>
      </c>
      <c r="U1723" s="4">
        <v>7</v>
      </c>
      <c r="V1723" s="4">
        <f>IF(ISERROR(VLOOKUP($S$1723,'TAR FIN'!$A$1:$O$113,15,0)),0,VLOOKUP($S$1723,'TAR FIN'!$A$1:$O$113,15,0))</f>
        <v>0</v>
      </c>
      <c r="W1723" s="4">
        <f>IF(ISERROR(VLOOKUP($T$1723,'TAR FIN'!$A$1:$O$113,15,0)),0,VLOOKUP($T$1723,'TAR FIN'!$A$1:$O$113,15,0))</f>
        <v>346.2</v>
      </c>
      <c r="X1723" s="4">
        <f>IF(ISERROR(VLOOKUP($U$1723,'TAR FIN'!$A$1:$O$113,15,0)),0,VLOOKUP($U$1723,'TAR FIN'!$A$1:$O$113,15,0))</f>
        <v>234.24</v>
      </c>
      <c r="Y1723" s="4"/>
      <c r="Z1723" s="4">
        <f ca="1">('TUSD BE'!$AM$68+'TUSD BF'!$AM$68+'TUSD CVA'!$AM$68)*1</f>
        <v>411.14246090221764</v>
      </c>
      <c r="AA1723" s="4">
        <f>('TE BE'!$AA$47+'TE BF'!$AA$47+'TE CVA'!$AA$47)*1</f>
        <v>234.67932779241937</v>
      </c>
      <c r="AB1723" s="4">
        <f>$K$1723*$V$1723</f>
        <v>0</v>
      </c>
      <c r="AC1723" s="4">
        <f>$M$1723*$W$1723</f>
        <v>-2891.4623999999999</v>
      </c>
      <c r="AD1723" s="4">
        <f>$O$1723*$X$1723</f>
        <v>-1956.3724800000002</v>
      </c>
      <c r="AE1723" s="4">
        <f>$K$1723*$Y$1723</f>
        <v>0</v>
      </c>
      <c r="AF1723" s="4">
        <f ca="1">$M$1723*$Z$1723</f>
        <v>-3433.8618334553216</v>
      </c>
      <c r="AG1723" s="4">
        <f>$O$1723*$AA$1723</f>
        <v>-1960.0417457222866</v>
      </c>
    </row>
    <row r="1724" spans="1:33" ht="11.25" customHeight="1" x14ac:dyDescent="0.25">
      <c r="A1724" s="3" t="s">
        <v>21</v>
      </c>
      <c r="B1724" s="3" t="s">
        <v>37</v>
      </c>
      <c r="C1724" s="3" t="s">
        <v>23</v>
      </c>
      <c r="D1724" s="3" t="s">
        <v>43</v>
      </c>
      <c r="E1724" s="3" t="s">
        <v>25</v>
      </c>
      <c r="F1724" s="3" t="s">
        <v>25</v>
      </c>
      <c r="G1724" s="3" t="s">
        <v>25</v>
      </c>
      <c r="H1724" s="3" t="s">
        <v>25</v>
      </c>
      <c r="I1724" s="6">
        <v>44440</v>
      </c>
      <c r="J1724" s="4">
        <v>0</v>
      </c>
      <c r="K1724" s="4">
        <v>0</v>
      </c>
      <c r="L1724" s="4">
        <v>19831.866999999998</v>
      </c>
      <c r="M1724" s="4">
        <v>19831.866999999998</v>
      </c>
      <c r="N1724" s="4">
        <v>19831.866999999998</v>
      </c>
      <c r="O1724" s="4">
        <v>19831.866999999998</v>
      </c>
      <c r="P1724" s="4">
        <v>43164</v>
      </c>
      <c r="Q1724" s="3" t="s">
        <v>26</v>
      </c>
      <c r="R1724" s="3">
        <v>0</v>
      </c>
      <c r="S1724" s="4">
        <v>0</v>
      </c>
      <c r="T1724" s="4">
        <v>84</v>
      </c>
      <c r="U1724" s="4">
        <v>7</v>
      </c>
      <c r="V1724" s="4">
        <f>IF(ISERROR(VLOOKUP($S$1724,'TAR FIN'!$A$1:$O$113,15,0)),0,VLOOKUP($S$1724,'TAR FIN'!$A$1:$O$113,15,0))</f>
        <v>0</v>
      </c>
      <c r="W1724" s="4">
        <f>IF(ISERROR(VLOOKUP($T$1724,'TAR FIN'!$A$1:$O$113,15,0)),0,VLOOKUP($T$1724,'TAR FIN'!$A$1:$O$113,15,0))</f>
        <v>346.2</v>
      </c>
      <c r="X1724" s="4">
        <f>IF(ISERROR(VLOOKUP($U$1724,'TAR FIN'!$A$1:$O$113,15,0)),0,VLOOKUP($U$1724,'TAR FIN'!$A$1:$O$113,15,0))</f>
        <v>234.24</v>
      </c>
      <c r="Y1724" s="4"/>
      <c r="Z1724" s="4">
        <f ca="1">('TUSD BE'!$AM$68+'TUSD BF'!$AM$68+'TUSD CVA'!$AM$68)*1</f>
        <v>411.14246090221764</v>
      </c>
      <c r="AA1724" s="4">
        <f>('TE BE'!$AA$47+'TE BF'!$AA$47+'TE CVA'!$AA$47)*1</f>
        <v>234.67932779241937</v>
      </c>
      <c r="AB1724" s="4">
        <f>$K$1724*$V$1724</f>
        <v>0</v>
      </c>
      <c r="AC1724" s="4">
        <f>$M$1724*$W$1724</f>
        <v>6865792.3553999988</v>
      </c>
      <c r="AD1724" s="4">
        <f>$O$1724*$X$1724</f>
        <v>4645416.5260800002</v>
      </c>
      <c r="AE1724" s="4">
        <f>$K$1724*$Y$1724</f>
        <v>0</v>
      </c>
      <c r="AF1724" s="4">
        <f ca="1">$M$1724*$Z$1724</f>
        <v>8153722.6026654793</v>
      </c>
      <c r="AG1724" s="4">
        <f>$O$1724*$AA$1724</f>
        <v>4654129.2164286645</v>
      </c>
    </row>
    <row r="1725" spans="1:33" ht="11.25" customHeight="1" x14ac:dyDescent="0.25">
      <c r="A1725" s="3" t="s">
        <v>27</v>
      </c>
      <c r="B1725" s="3" t="s">
        <v>37</v>
      </c>
      <c r="C1725" s="3" t="s">
        <v>23</v>
      </c>
      <c r="D1725" s="3" t="s">
        <v>43</v>
      </c>
      <c r="E1725" s="3" t="s">
        <v>25</v>
      </c>
      <c r="F1725" s="3" t="s">
        <v>25</v>
      </c>
      <c r="G1725" s="3" t="s">
        <v>25</v>
      </c>
      <c r="H1725" s="3" t="s">
        <v>25</v>
      </c>
      <c r="I1725" s="6">
        <v>44440</v>
      </c>
      <c r="J1725" s="4">
        <v>0</v>
      </c>
      <c r="K1725" s="4">
        <v>0</v>
      </c>
      <c r="L1725" s="4">
        <v>-142.93299999999999</v>
      </c>
      <c r="M1725" s="4">
        <v>-142.93299999999999</v>
      </c>
      <c r="N1725" s="4">
        <v>-142.93299999999999</v>
      </c>
      <c r="O1725" s="4">
        <v>-142.93299999999999</v>
      </c>
      <c r="P1725" s="4">
        <v>-29</v>
      </c>
      <c r="Q1725" s="3" t="s">
        <v>26</v>
      </c>
      <c r="R1725" s="3">
        <v>0</v>
      </c>
      <c r="S1725" s="4">
        <v>0</v>
      </c>
      <c r="T1725" s="4">
        <v>84</v>
      </c>
      <c r="U1725" s="4">
        <v>7</v>
      </c>
      <c r="V1725" s="4">
        <f>IF(ISERROR(VLOOKUP($S$1725,'TAR FIN'!$A$1:$O$113,15,0)),0,VLOOKUP($S$1725,'TAR FIN'!$A$1:$O$113,15,0))</f>
        <v>0</v>
      </c>
      <c r="W1725" s="4">
        <f>IF(ISERROR(VLOOKUP($T$1725,'TAR FIN'!$A$1:$O$113,15,0)),0,VLOOKUP($T$1725,'TAR FIN'!$A$1:$O$113,15,0))</f>
        <v>346.2</v>
      </c>
      <c r="X1725" s="4">
        <f>IF(ISERROR(VLOOKUP($U$1725,'TAR FIN'!$A$1:$O$113,15,0)),0,VLOOKUP($U$1725,'TAR FIN'!$A$1:$O$113,15,0))</f>
        <v>234.24</v>
      </c>
      <c r="Y1725" s="4"/>
      <c r="Z1725" s="4">
        <f ca="1">('TUSD BE'!$AM$68+'TUSD BF'!$AM$68+'TUSD CVA'!$AM$68)*1</f>
        <v>411.14246090221764</v>
      </c>
      <c r="AA1725" s="4">
        <f>('TE BE'!$AA$47+'TE BF'!$AA$47+'TE CVA'!$AA$47)*1</f>
        <v>234.67932779241937</v>
      </c>
      <c r="AB1725" s="4">
        <f>$K$1725*$V$1725</f>
        <v>0</v>
      </c>
      <c r="AC1725" s="4">
        <f>$M$1725*$W$1725</f>
        <v>-49483.404599999994</v>
      </c>
      <c r="AD1725" s="4">
        <f>$O$1725*$X$1725</f>
        <v>-33480.625919999999</v>
      </c>
      <c r="AE1725" s="4">
        <f>$K$1725*$Y$1725</f>
        <v>0</v>
      </c>
      <c r="AF1725" s="4">
        <f ca="1">$M$1725*$Z$1725</f>
        <v>-58765.825364136668</v>
      </c>
      <c r="AG1725" s="4">
        <f>$O$1725*$AA$1725</f>
        <v>-33543.420359353877</v>
      </c>
    </row>
    <row r="1726" spans="1:33" ht="11.25" customHeight="1" x14ac:dyDescent="0.25">
      <c r="A1726" s="3" t="s">
        <v>28</v>
      </c>
      <c r="B1726" s="3" t="s">
        <v>37</v>
      </c>
      <c r="C1726" s="3" t="s">
        <v>23</v>
      </c>
      <c r="D1726" s="3" t="s">
        <v>43</v>
      </c>
      <c r="E1726" s="3" t="s">
        <v>25</v>
      </c>
      <c r="F1726" s="3" t="s">
        <v>25</v>
      </c>
      <c r="G1726" s="3" t="s">
        <v>25</v>
      </c>
      <c r="H1726" s="3" t="s">
        <v>25</v>
      </c>
      <c r="I1726" s="6">
        <v>44440</v>
      </c>
      <c r="J1726" s="4">
        <v>0</v>
      </c>
      <c r="K1726" s="4">
        <v>0</v>
      </c>
      <c r="L1726" s="4">
        <v>1344.6369999999999</v>
      </c>
      <c r="M1726" s="4">
        <v>1344.6369999999999</v>
      </c>
      <c r="N1726" s="4">
        <v>1344.6369999999999</v>
      </c>
      <c r="O1726" s="4">
        <v>1344.6369999999999</v>
      </c>
      <c r="P1726" s="4">
        <v>1816</v>
      </c>
      <c r="Q1726" s="3" t="s">
        <v>26</v>
      </c>
      <c r="R1726" s="3">
        <v>0</v>
      </c>
      <c r="S1726" s="4">
        <v>0</v>
      </c>
      <c r="T1726" s="4">
        <v>84</v>
      </c>
      <c r="U1726" s="4">
        <v>7</v>
      </c>
      <c r="V1726" s="4">
        <f>IF(ISERROR(VLOOKUP($S$1726,'TAR FIN'!$A$1:$O$113,15,0)),0,VLOOKUP($S$1726,'TAR FIN'!$A$1:$O$113,15,0))</f>
        <v>0</v>
      </c>
      <c r="W1726" s="4">
        <f>IF(ISERROR(VLOOKUP($T$1726,'TAR FIN'!$A$1:$O$113,15,0)),0,VLOOKUP($T$1726,'TAR FIN'!$A$1:$O$113,15,0))</f>
        <v>346.2</v>
      </c>
      <c r="X1726" s="4">
        <f>IF(ISERROR(VLOOKUP($U$1726,'TAR FIN'!$A$1:$O$113,15,0)),0,VLOOKUP($U$1726,'TAR FIN'!$A$1:$O$113,15,0))</f>
        <v>234.24</v>
      </c>
      <c r="Y1726" s="4"/>
      <c r="Z1726" s="4">
        <f ca="1">('TUSD BE'!$AM$68+'TUSD BF'!$AM$68+'TUSD CVA'!$AM$68)*1</f>
        <v>411.14246090221764</v>
      </c>
      <c r="AA1726" s="4">
        <f>('TE BE'!$AA$47+'TE BF'!$AA$47+'TE CVA'!$AA$47)*1</f>
        <v>234.67932779241937</v>
      </c>
      <c r="AB1726" s="4">
        <f>$K$1726*$V$1726</f>
        <v>0</v>
      </c>
      <c r="AC1726" s="4">
        <f>$M$1726*$W$1726</f>
        <v>465513.32939999999</v>
      </c>
      <c r="AD1726" s="4">
        <f>$O$1726*$X$1726</f>
        <v>314967.77088000003</v>
      </c>
      <c r="AE1726" s="4">
        <f>$K$1726*$Y$1726</f>
        <v>0</v>
      </c>
      <c r="AF1726" s="4">
        <f ca="1">$M$1726*$Z$1726</f>
        <v>552837.36520017521</v>
      </c>
      <c r="AG1726" s="4">
        <f>$O$1726*$AA$1726</f>
        <v>315558.50728481536</v>
      </c>
    </row>
    <row r="1727" spans="1:33" ht="11.25" customHeight="1" x14ac:dyDescent="0.25">
      <c r="A1727" s="3" t="s">
        <v>28</v>
      </c>
      <c r="B1727" s="3" t="s">
        <v>37</v>
      </c>
      <c r="C1727" s="3" t="s">
        <v>23</v>
      </c>
      <c r="D1727" s="3" t="s">
        <v>43</v>
      </c>
      <c r="E1727" s="3" t="s">
        <v>25</v>
      </c>
      <c r="F1727" s="3" t="s">
        <v>25</v>
      </c>
      <c r="G1727" s="3" t="s">
        <v>25</v>
      </c>
      <c r="H1727" s="3" t="s">
        <v>25</v>
      </c>
      <c r="I1727" s="6">
        <v>44440</v>
      </c>
      <c r="J1727" s="4">
        <v>0</v>
      </c>
      <c r="K1727" s="4">
        <v>0</v>
      </c>
      <c r="L1727" s="4">
        <v>-9.9879999999999995</v>
      </c>
      <c r="M1727" s="4">
        <v>-9.9879999999999995</v>
      </c>
      <c r="N1727" s="4">
        <v>-9.9879999999999995</v>
      </c>
      <c r="O1727" s="4">
        <v>-9.9879999999999995</v>
      </c>
      <c r="P1727" s="4">
        <v>0</v>
      </c>
      <c r="Q1727" s="3" t="s">
        <v>26</v>
      </c>
      <c r="R1727" s="3">
        <v>0</v>
      </c>
      <c r="S1727" s="4">
        <v>0</v>
      </c>
      <c r="T1727" s="4">
        <v>84</v>
      </c>
      <c r="U1727" s="4">
        <v>7</v>
      </c>
      <c r="V1727" s="4">
        <f>IF(ISERROR(VLOOKUP($S$1727,'TAR FIN'!$A$1:$O$113,15,0)),0,VLOOKUP($S$1727,'TAR FIN'!$A$1:$O$113,15,0))</f>
        <v>0</v>
      </c>
      <c r="W1727" s="4">
        <f>IF(ISERROR(VLOOKUP($T$1727,'TAR FIN'!$A$1:$O$113,15,0)),0,VLOOKUP($T$1727,'TAR FIN'!$A$1:$O$113,15,0))</f>
        <v>346.2</v>
      </c>
      <c r="X1727" s="4">
        <f>IF(ISERROR(VLOOKUP($U$1727,'TAR FIN'!$A$1:$O$113,15,0)),0,VLOOKUP($U$1727,'TAR FIN'!$A$1:$O$113,15,0))</f>
        <v>234.24</v>
      </c>
      <c r="Y1727" s="4"/>
      <c r="Z1727" s="4">
        <f ca="1">('TUSD BE'!$AM$68+'TUSD BF'!$AM$68+'TUSD CVA'!$AM$68)*1</f>
        <v>411.14246090221764</v>
      </c>
      <c r="AA1727" s="4">
        <f>('TE BE'!$AA$47+'TE BF'!$AA$47+'TE CVA'!$AA$47)*1</f>
        <v>234.67932779241937</v>
      </c>
      <c r="AB1727" s="4">
        <f>$K$1727*$V$1727</f>
        <v>0</v>
      </c>
      <c r="AC1727" s="4">
        <f>$M$1727*$W$1727</f>
        <v>-3457.8455999999996</v>
      </c>
      <c r="AD1727" s="4">
        <f>$O$1727*$X$1727</f>
        <v>-2339.5891200000001</v>
      </c>
      <c r="AE1727" s="4">
        <f>$K$1727*$Y$1727</f>
        <v>0</v>
      </c>
      <c r="AF1727" s="4">
        <f ca="1">$M$1727*$Z$1727</f>
        <v>-4106.4908994913494</v>
      </c>
      <c r="AG1727" s="4">
        <f>$O$1727*$AA$1727</f>
        <v>-2343.9771259906847</v>
      </c>
    </row>
    <row r="1728" spans="1:33" ht="11.25" customHeight="1" x14ac:dyDescent="0.25">
      <c r="A1728" s="3" t="s">
        <v>21</v>
      </c>
      <c r="B1728" s="3" t="s">
        <v>37</v>
      </c>
      <c r="C1728" s="3" t="s">
        <v>23</v>
      </c>
      <c r="D1728" s="3" t="s">
        <v>43</v>
      </c>
      <c r="E1728" s="3" t="s">
        <v>25</v>
      </c>
      <c r="F1728" s="3" t="s">
        <v>25</v>
      </c>
      <c r="G1728" s="3" t="s">
        <v>25</v>
      </c>
      <c r="H1728" s="3" t="s">
        <v>25</v>
      </c>
      <c r="I1728" s="6">
        <v>44470</v>
      </c>
      <c r="J1728" s="4">
        <v>0</v>
      </c>
      <c r="K1728" s="4">
        <v>0</v>
      </c>
      <c r="L1728" s="4">
        <v>20951.933000000001</v>
      </c>
      <c r="M1728" s="4">
        <v>20951.933000000001</v>
      </c>
      <c r="N1728" s="4">
        <v>20951.933000000001</v>
      </c>
      <c r="O1728" s="4">
        <v>20951.933000000001</v>
      </c>
      <c r="P1728" s="4">
        <v>43016</v>
      </c>
      <c r="Q1728" s="3" t="s">
        <v>26</v>
      </c>
      <c r="R1728" s="3">
        <v>0</v>
      </c>
      <c r="S1728" s="4">
        <v>0</v>
      </c>
      <c r="T1728" s="4">
        <v>84</v>
      </c>
      <c r="U1728" s="4">
        <v>7</v>
      </c>
      <c r="V1728" s="4">
        <f>IF(ISERROR(VLOOKUP($S$1728,'TAR FIN'!$A$1:$O$113,15,0)),0,VLOOKUP($S$1728,'TAR FIN'!$A$1:$O$113,15,0))</f>
        <v>0</v>
      </c>
      <c r="W1728" s="4">
        <f>IF(ISERROR(VLOOKUP($T$1728,'TAR FIN'!$A$1:$O$113,15,0)),0,VLOOKUP($T$1728,'TAR FIN'!$A$1:$O$113,15,0))</f>
        <v>346.2</v>
      </c>
      <c r="X1728" s="4">
        <f>IF(ISERROR(VLOOKUP($U$1728,'TAR FIN'!$A$1:$O$113,15,0)),0,VLOOKUP($U$1728,'TAR FIN'!$A$1:$O$113,15,0))</f>
        <v>234.24</v>
      </c>
      <c r="Y1728" s="4"/>
      <c r="Z1728" s="4">
        <f ca="1">('TUSD BE'!$AM$68+'TUSD BF'!$AM$68+'TUSD CVA'!$AM$68)*1</f>
        <v>411.14246090221764</v>
      </c>
      <c r="AA1728" s="4">
        <f>('TE BE'!$AA$47+'TE BF'!$AA$47+'TE CVA'!$AA$47)*1</f>
        <v>234.67932779241937</v>
      </c>
      <c r="AB1728" s="4">
        <f>$K$1728*$V$1728</f>
        <v>0</v>
      </c>
      <c r="AC1728" s="4">
        <f>$M$1728*$W$1728</f>
        <v>7253559.2045999998</v>
      </c>
      <c r="AD1728" s="4">
        <f>$O$1728*$X$1728</f>
        <v>4907780.7859200006</v>
      </c>
      <c r="AE1728" s="4">
        <f>$K$1728*$Y$1728</f>
        <v>0</v>
      </c>
      <c r="AF1728" s="4">
        <f ca="1">$M$1728*$Z$1728</f>
        <v>8614229.2942783833</v>
      </c>
      <c r="AG1728" s="4">
        <f>$O$1728*$AA$1728</f>
        <v>4916985.5523918085</v>
      </c>
    </row>
    <row r="1729" spans="1:33" ht="11.25" customHeight="1" x14ac:dyDescent="0.25">
      <c r="A1729" s="3" t="s">
        <v>27</v>
      </c>
      <c r="B1729" s="3" t="s">
        <v>37</v>
      </c>
      <c r="C1729" s="3" t="s">
        <v>23</v>
      </c>
      <c r="D1729" s="3" t="s">
        <v>43</v>
      </c>
      <c r="E1729" s="3" t="s">
        <v>25</v>
      </c>
      <c r="F1729" s="3" t="s">
        <v>25</v>
      </c>
      <c r="G1729" s="3" t="s">
        <v>25</v>
      </c>
      <c r="H1729" s="3" t="s">
        <v>25</v>
      </c>
      <c r="I1729" s="6">
        <v>44470</v>
      </c>
      <c r="J1729" s="4">
        <v>0</v>
      </c>
      <c r="K1729" s="4">
        <v>0</v>
      </c>
      <c r="L1729" s="4">
        <v>-96.35</v>
      </c>
      <c r="M1729" s="4">
        <v>-96.35</v>
      </c>
      <c r="N1729" s="4">
        <v>-96.35</v>
      </c>
      <c r="O1729" s="4">
        <v>-96.35</v>
      </c>
      <c r="P1729" s="4">
        <v>-29</v>
      </c>
      <c r="Q1729" s="3" t="s">
        <v>26</v>
      </c>
      <c r="R1729" s="3">
        <v>0</v>
      </c>
      <c r="S1729" s="4">
        <v>0</v>
      </c>
      <c r="T1729" s="4">
        <v>84</v>
      </c>
      <c r="U1729" s="4">
        <v>7</v>
      </c>
      <c r="V1729" s="4">
        <f>IF(ISERROR(VLOOKUP($S$1729,'TAR FIN'!$A$1:$O$113,15,0)),0,VLOOKUP($S$1729,'TAR FIN'!$A$1:$O$113,15,0))</f>
        <v>0</v>
      </c>
      <c r="W1729" s="4">
        <f>IF(ISERROR(VLOOKUP($T$1729,'TAR FIN'!$A$1:$O$113,15,0)),0,VLOOKUP($T$1729,'TAR FIN'!$A$1:$O$113,15,0))</f>
        <v>346.2</v>
      </c>
      <c r="X1729" s="4">
        <f>IF(ISERROR(VLOOKUP($U$1729,'TAR FIN'!$A$1:$O$113,15,0)),0,VLOOKUP($U$1729,'TAR FIN'!$A$1:$O$113,15,0))</f>
        <v>234.24</v>
      </c>
      <c r="Y1729" s="4"/>
      <c r="Z1729" s="4">
        <f ca="1">('TUSD BE'!$AM$68+'TUSD BF'!$AM$68+'TUSD CVA'!$AM$68)*1</f>
        <v>411.14246090221764</v>
      </c>
      <c r="AA1729" s="4">
        <f>('TE BE'!$AA$47+'TE BF'!$AA$47+'TE CVA'!$AA$47)*1</f>
        <v>234.67932779241937</v>
      </c>
      <c r="AB1729" s="4">
        <f>$K$1729*$V$1729</f>
        <v>0</v>
      </c>
      <c r="AC1729" s="4">
        <f>$M$1729*$W$1729</f>
        <v>-33356.369999999995</v>
      </c>
      <c r="AD1729" s="4">
        <f>$O$1729*$X$1729</f>
        <v>-22569.024000000001</v>
      </c>
      <c r="AE1729" s="4">
        <f>$K$1729*$Y$1729</f>
        <v>0</v>
      </c>
      <c r="AF1729" s="4">
        <f ca="1">$M$1729*$Z$1729</f>
        <v>-39613.576107928668</v>
      </c>
      <c r="AG1729" s="4">
        <f>$O$1729*$AA$1729</f>
        <v>-22611.353232799604</v>
      </c>
    </row>
    <row r="1730" spans="1:33" ht="11.25" customHeight="1" x14ac:dyDescent="0.25">
      <c r="A1730" s="3" t="s">
        <v>28</v>
      </c>
      <c r="B1730" s="3" t="s">
        <v>37</v>
      </c>
      <c r="C1730" s="3" t="s">
        <v>23</v>
      </c>
      <c r="D1730" s="3" t="s">
        <v>43</v>
      </c>
      <c r="E1730" s="3" t="s">
        <v>25</v>
      </c>
      <c r="F1730" s="3" t="s">
        <v>25</v>
      </c>
      <c r="G1730" s="3" t="s">
        <v>25</v>
      </c>
      <c r="H1730" s="3" t="s">
        <v>25</v>
      </c>
      <c r="I1730" s="6">
        <v>44470</v>
      </c>
      <c r="J1730" s="4">
        <v>0</v>
      </c>
      <c r="K1730" s="4">
        <v>0</v>
      </c>
      <c r="L1730" s="4">
        <v>1619.181</v>
      </c>
      <c r="M1730" s="4">
        <v>1619.181</v>
      </c>
      <c r="N1730" s="4">
        <v>1619.181</v>
      </c>
      <c r="O1730" s="4">
        <v>1619.181</v>
      </c>
      <c r="P1730" s="4">
        <v>1905</v>
      </c>
      <c r="Q1730" s="3" t="s">
        <v>26</v>
      </c>
      <c r="R1730" s="3">
        <v>0</v>
      </c>
      <c r="S1730" s="4">
        <v>0</v>
      </c>
      <c r="T1730" s="4">
        <v>84</v>
      </c>
      <c r="U1730" s="4">
        <v>7</v>
      </c>
      <c r="V1730" s="4">
        <f>IF(ISERROR(VLOOKUP($S$1730,'TAR FIN'!$A$1:$O$113,15,0)),0,VLOOKUP($S$1730,'TAR FIN'!$A$1:$O$113,15,0))</f>
        <v>0</v>
      </c>
      <c r="W1730" s="4">
        <f>IF(ISERROR(VLOOKUP($T$1730,'TAR FIN'!$A$1:$O$113,15,0)),0,VLOOKUP($T$1730,'TAR FIN'!$A$1:$O$113,15,0))</f>
        <v>346.2</v>
      </c>
      <c r="X1730" s="4">
        <f>IF(ISERROR(VLOOKUP($U$1730,'TAR FIN'!$A$1:$O$113,15,0)),0,VLOOKUP($U$1730,'TAR FIN'!$A$1:$O$113,15,0))</f>
        <v>234.24</v>
      </c>
      <c r="Y1730" s="4"/>
      <c r="Z1730" s="4">
        <f ca="1">('TUSD BE'!$AM$68+'TUSD BF'!$AM$68+'TUSD CVA'!$AM$68)*1</f>
        <v>411.14246090221764</v>
      </c>
      <c r="AA1730" s="4">
        <f>('TE BE'!$AA$47+'TE BF'!$AA$47+'TE CVA'!$AA$47)*1</f>
        <v>234.67932779241937</v>
      </c>
      <c r="AB1730" s="4">
        <f>$K$1730*$V$1730</f>
        <v>0</v>
      </c>
      <c r="AC1730" s="4">
        <f>$M$1730*$W$1730</f>
        <v>560560.46219999995</v>
      </c>
      <c r="AD1730" s="4">
        <f>$O$1730*$X$1730</f>
        <v>379276.95744000003</v>
      </c>
      <c r="AE1730" s="4">
        <f>$K$1730*$Y$1730</f>
        <v>0</v>
      </c>
      <c r="AF1730" s="4">
        <f ca="1">$M$1730*$Z$1730</f>
        <v>665714.06098611362</v>
      </c>
      <c r="AG1730" s="4">
        <f>$O$1730*$AA$1730</f>
        <v>379988.30865425739</v>
      </c>
    </row>
    <row r="1731" spans="1:33" ht="11.25" customHeight="1" x14ac:dyDescent="0.25">
      <c r="A1731" s="3" t="s">
        <v>28</v>
      </c>
      <c r="B1731" s="3" t="s">
        <v>37</v>
      </c>
      <c r="C1731" s="3" t="s">
        <v>23</v>
      </c>
      <c r="D1731" s="3" t="s">
        <v>43</v>
      </c>
      <c r="E1731" s="3" t="s">
        <v>25</v>
      </c>
      <c r="F1731" s="3" t="s">
        <v>25</v>
      </c>
      <c r="G1731" s="3" t="s">
        <v>25</v>
      </c>
      <c r="H1731" s="3" t="s">
        <v>25</v>
      </c>
      <c r="I1731" s="6">
        <v>44470</v>
      </c>
      <c r="J1731" s="4">
        <v>0</v>
      </c>
      <c r="K1731" s="4">
        <v>0</v>
      </c>
      <c r="L1731" s="4">
        <v>-16.686</v>
      </c>
      <c r="M1731" s="4">
        <v>-16.686</v>
      </c>
      <c r="N1731" s="4">
        <v>-16.686</v>
      </c>
      <c r="O1731" s="4">
        <v>-16.686</v>
      </c>
      <c r="P1731" s="4">
        <v>0</v>
      </c>
      <c r="Q1731" s="3" t="s">
        <v>26</v>
      </c>
      <c r="R1731" s="3">
        <v>0</v>
      </c>
      <c r="S1731" s="4">
        <v>0</v>
      </c>
      <c r="T1731" s="4">
        <v>84</v>
      </c>
      <c r="U1731" s="4">
        <v>7</v>
      </c>
      <c r="V1731" s="4">
        <f>IF(ISERROR(VLOOKUP($S$1731,'TAR FIN'!$A$1:$O$113,15,0)),0,VLOOKUP($S$1731,'TAR FIN'!$A$1:$O$113,15,0))</f>
        <v>0</v>
      </c>
      <c r="W1731" s="4">
        <f>IF(ISERROR(VLOOKUP($T$1731,'TAR FIN'!$A$1:$O$113,15,0)),0,VLOOKUP($T$1731,'TAR FIN'!$A$1:$O$113,15,0))</f>
        <v>346.2</v>
      </c>
      <c r="X1731" s="4">
        <f>IF(ISERROR(VLOOKUP($U$1731,'TAR FIN'!$A$1:$O$113,15,0)),0,VLOOKUP($U$1731,'TAR FIN'!$A$1:$O$113,15,0))</f>
        <v>234.24</v>
      </c>
      <c r="Y1731" s="4"/>
      <c r="Z1731" s="4">
        <f ca="1">('TUSD BE'!$AM$68+'TUSD BF'!$AM$68+'TUSD CVA'!$AM$68)*1</f>
        <v>411.14246090221764</v>
      </c>
      <c r="AA1731" s="4">
        <f>('TE BE'!$AA$47+'TE BF'!$AA$47+'TE CVA'!$AA$47)*1</f>
        <v>234.67932779241937</v>
      </c>
      <c r="AB1731" s="4">
        <f>$K$1731*$V$1731</f>
        <v>0</v>
      </c>
      <c r="AC1731" s="4">
        <f>$M$1731*$W$1731</f>
        <v>-5776.6931999999997</v>
      </c>
      <c r="AD1731" s="4">
        <f>$O$1731*$X$1731</f>
        <v>-3908.52864</v>
      </c>
      <c r="AE1731" s="4">
        <f>$K$1731*$Y$1731</f>
        <v>0</v>
      </c>
      <c r="AF1731" s="4">
        <f ca="1">$M$1731*$Z$1731</f>
        <v>-6860.3231026144031</v>
      </c>
      <c r="AG1731" s="4">
        <f>$O$1731*$AA$1731</f>
        <v>-3915.8592635443097</v>
      </c>
    </row>
    <row r="1732" spans="1:33" ht="11.25" customHeight="1" x14ac:dyDescent="0.25">
      <c r="A1732" s="3" t="s">
        <v>21</v>
      </c>
      <c r="B1732" s="3" t="s">
        <v>37</v>
      </c>
      <c r="C1732" s="3" t="s">
        <v>23</v>
      </c>
      <c r="D1732" s="3" t="s">
        <v>43</v>
      </c>
      <c r="E1732" s="3" t="s">
        <v>25</v>
      </c>
      <c r="F1732" s="3" t="s">
        <v>25</v>
      </c>
      <c r="G1732" s="3" t="s">
        <v>25</v>
      </c>
      <c r="H1732" s="3" t="s">
        <v>25</v>
      </c>
      <c r="I1732" s="6">
        <v>44501</v>
      </c>
      <c r="J1732" s="4">
        <v>0</v>
      </c>
      <c r="K1732" s="4">
        <v>0</v>
      </c>
      <c r="L1732" s="4">
        <v>21163.519</v>
      </c>
      <c r="M1732" s="4">
        <v>21163.519</v>
      </c>
      <c r="N1732" s="4">
        <v>21163.519</v>
      </c>
      <c r="O1732" s="4">
        <v>21163.519</v>
      </c>
      <c r="P1732" s="4">
        <v>42986</v>
      </c>
      <c r="Q1732" s="3" t="s">
        <v>26</v>
      </c>
      <c r="R1732" s="3">
        <v>0</v>
      </c>
      <c r="S1732" s="4">
        <v>0</v>
      </c>
      <c r="T1732" s="4">
        <v>84</v>
      </c>
      <c r="U1732" s="4">
        <v>7</v>
      </c>
      <c r="V1732" s="4">
        <f>IF(ISERROR(VLOOKUP($S$1732,'TAR FIN'!$A$1:$O$113,15,0)),0,VLOOKUP($S$1732,'TAR FIN'!$A$1:$O$113,15,0))</f>
        <v>0</v>
      </c>
      <c r="W1732" s="4">
        <f>IF(ISERROR(VLOOKUP($T$1732,'TAR FIN'!$A$1:$O$113,15,0)),0,VLOOKUP($T$1732,'TAR FIN'!$A$1:$O$113,15,0))</f>
        <v>346.2</v>
      </c>
      <c r="X1732" s="4">
        <f>IF(ISERROR(VLOOKUP($U$1732,'TAR FIN'!$A$1:$O$113,15,0)),0,VLOOKUP($U$1732,'TAR FIN'!$A$1:$O$113,15,0))</f>
        <v>234.24</v>
      </c>
      <c r="Y1732" s="4"/>
      <c r="Z1732" s="4">
        <f ca="1">('TUSD BE'!$AM$68+'TUSD BF'!$AM$68+'TUSD CVA'!$AM$68)*1</f>
        <v>411.14246090221764</v>
      </c>
      <c r="AA1732" s="4">
        <f>('TE BE'!$AA$47+'TE BF'!$AA$47+'TE CVA'!$AA$47)*1</f>
        <v>234.67932779241937</v>
      </c>
      <c r="AB1732" s="4">
        <f>$K$1732*$V$1732</f>
        <v>0</v>
      </c>
      <c r="AC1732" s="4">
        <f>$M$1732*$W$1732</f>
        <v>7326810.2778000003</v>
      </c>
      <c r="AD1732" s="4">
        <f>$O$1732*$X$1732</f>
        <v>4957342.69056</v>
      </c>
      <c r="AE1732" s="4">
        <f>$K$1732*$Y$1732</f>
        <v>0</v>
      </c>
      <c r="AF1732" s="4">
        <f ca="1">$M$1732*$Z$1732</f>
        <v>8701221.2830108404</v>
      </c>
      <c r="AG1732" s="4">
        <f>$O$1732*$AA$1732</f>
        <v>4966640.4126420952</v>
      </c>
    </row>
    <row r="1733" spans="1:33" ht="11.25" customHeight="1" x14ac:dyDescent="0.25">
      <c r="A1733" s="3" t="s">
        <v>27</v>
      </c>
      <c r="B1733" s="3" t="s">
        <v>37</v>
      </c>
      <c r="C1733" s="3" t="s">
        <v>23</v>
      </c>
      <c r="D1733" s="3" t="s">
        <v>43</v>
      </c>
      <c r="E1733" s="3" t="s">
        <v>25</v>
      </c>
      <c r="F1733" s="3" t="s">
        <v>25</v>
      </c>
      <c r="G1733" s="3" t="s">
        <v>25</v>
      </c>
      <c r="H1733" s="3" t="s">
        <v>25</v>
      </c>
      <c r="I1733" s="6">
        <v>44501</v>
      </c>
      <c r="J1733" s="4">
        <v>0</v>
      </c>
      <c r="K1733" s="4">
        <v>0</v>
      </c>
      <c r="L1733" s="4">
        <v>-11.526</v>
      </c>
      <c r="M1733" s="4">
        <v>-11.526</v>
      </c>
      <c r="N1733" s="4">
        <v>-11.526</v>
      </c>
      <c r="O1733" s="4">
        <v>-11.526</v>
      </c>
      <c r="P1733" s="4">
        <v>-21</v>
      </c>
      <c r="Q1733" s="3" t="s">
        <v>26</v>
      </c>
      <c r="R1733" s="3">
        <v>0</v>
      </c>
      <c r="S1733" s="4">
        <v>0</v>
      </c>
      <c r="T1733" s="4">
        <v>84</v>
      </c>
      <c r="U1733" s="4">
        <v>7</v>
      </c>
      <c r="V1733" s="4">
        <f>IF(ISERROR(VLOOKUP($S$1733,'TAR FIN'!$A$1:$O$113,15,0)),0,VLOOKUP($S$1733,'TAR FIN'!$A$1:$O$113,15,0))</f>
        <v>0</v>
      </c>
      <c r="W1733" s="4">
        <f>IF(ISERROR(VLOOKUP($T$1733,'TAR FIN'!$A$1:$O$113,15,0)),0,VLOOKUP($T$1733,'TAR FIN'!$A$1:$O$113,15,0))</f>
        <v>346.2</v>
      </c>
      <c r="X1733" s="4">
        <f>IF(ISERROR(VLOOKUP($U$1733,'TAR FIN'!$A$1:$O$113,15,0)),0,VLOOKUP($U$1733,'TAR FIN'!$A$1:$O$113,15,0))</f>
        <v>234.24</v>
      </c>
      <c r="Y1733" s="4"/>
      <c r="Z1733" s="4">
        <f ca="1">('TUSD BE'!$AM$68+'TUSD BF'!$AM$68+'TUSD CVA'!$AM$68)*1</f>
        <v>411.14246090221764</v>
      </c>
      <c r="AA1733" s="4">
        <f>('TE BE'!$AA$47+'TE BF'!$AA$47+'TE CVA'!$AA$47)*1</f>
        <v>234.67932779241937</v>
      </c>
      <c r="AB1733" s="4">
        <f>$K$1733*$V$1733</f>
        <v>0</v>
      </c>
      <c r="AC1733" s="4">
        <f>$M$1733*$W$1733</f>
        <v>-3990.3011999999999</v>
      </c>
      <c r="AD1733" s="4">
        <f>$O$1733*$X$1733</f>
        <v>-2699.8502400000002</v>
      </c>
      <c r="AE1733" s="4">
        <f>$K$1733*$Y$1733</f>
        <v>0</v>
      </c>
      <c r="AF1733" s="4">
        <f ca="1">$M$1733*$Z$1733</f>
        <v>-4738.8280043589602</v>
      </c>
      <c r="AG1733" s="4">
        <f>$O$1733*$AA$1733</f>
        <v>-2704.9139321354255</v>
      </c>
    </row>
    <row r="1734" spans="1:33" ht="11.25" customHeight="1" x14ac:dyDescent="0.25">
      <c r="A1734" s="3" t="s">
        <v>28</v>
      </c>
      <c r="B1734" s="3" t="s">
        <v>37</v>
      </c>
      <c r="C1734" s="3" t="s">
        <v>23</v>
      </c>
      <c r="D1734" s="3" t="s">
        <v>43</v>
      </c>
      <c r="E1734" s="3" t="s">
        <v>25</v>
      </c>
      <c r="F1734" s="3" t="s">
        <v>25</v>
      </c>
      <c r="G1734" s="3" t="s">
        <v>25</v>
      </c>
      <c r="H1734" s="3" t="s">
        <v>25</v>
      </c>
      <c r="I1734" s="6">
        <v>44501</v>
      </c>
      <c r="J1734" s="4">
        <v>0</v>
      </c>
      <c r="K1734" s="4">
        <v>0</v>
      </c>
      <c r="L1734" s="4">
        <v>1660.3520000000001</v>
      </c>
      <c r="M1734" s="4">
        <v>1660.3520000000001</v>
      </c>
      <c r="N1734" s="4">
        <v>1660.3520000000001</v>
      </c>
      <c r="O1734" s="4">
        <v>1660.3520000000001</v>
      </c>
      <c r="P1734" s="4">
        <v>1948</v>
      </c>
      <c r="Q1734" s="3" t="s">
        <v>26</v>
      </c>
      <c r="R1734" s="3">
        <v>0</v>
      </c>
      <c r="S1734" s="4">
        <v>0</v>
      </c>
      <c r="T1734" s="4">
        <v>84</v>
      </c>
      <c r="U1734" s="4">
        <v>7</v>
      </c>
      <c r="V1734" s="4">
        <f>IF(ISERROR(VLOOKUP($S$1734,'TAR FIN'!$A$1:$O$113,15,0)),0,VLOOKUP($S$1734,'TAR FIN'!$A$1:$O$113,15,0))</f>
        <v>0</v>
      </c>
      <c r="W1734" s="4">
        <f>IF(ISERROR(VLOOKUP($T$1734,'TAR FIN'!$A$1:$O$113,15,0)),0,VLOOKUP($T$1734,'TAR FIN'!$A$1:$O$113,15,0))</f>
        <v>346.2</v>
      </c>
      <c r="X1734" s="4">
        <f>IF(ISERROR(VLOOKUP($U$1734,'TAR FIN'!$A$1:$O$113,15,0)),0,VLOOKUP($U$1734,'TAR FIN'!$A$1:$O$113,15,0))</f>
        <v>234.24</v>
      </c>
      <c r="Y1734" s="4"/>
      <c r="Z1734" s="4">
        <f ca="1">('TUSD BE'!$AM$68+'TUSD BF'!$AM$68+'TUSD CVA'!$AM$68)*1</f>
        <v>411.14246090221764</v>
      </c>
      <c r="AA1734" s="4">
        <f>('TE BE'!$AA$47+'TE BF'!$AA$47+'TE CVA'!$AA$47)*1</f>
        <v>234.67932779241937</v>
      </c>
      <c r="AB1734" s="4">
        <f>$K$1734*$V$1734</f>
        <v>0</v>
      </c>
      <c r="AC1734" s="4">
        <f>$M$1734*$W$1734</f>
        <v>574813.86239999998</v>
      </c>
      <c r="AD1734" s="4">
        <f>$O$1734*$X$1734</f>
        <v>388920.85248000006</v>
      </c>
      <c r="AE1734" s="4">
        <f>$K$1734*$Y$1734</f>
        <v>0</v>
      </c>
      <c r="AF1734" s="4">
        <f ca="1">$M$1734*$Z$1734</f>
        <v>682641.20724391891</v>
      </c>
      <c r="AG1734" s="4">
        <f>$O$1734*$AA$1734</f>
        <v>389650.29125879909</v>
      </c>
    </row>
    <row r="1735" spans="1:33" ht="11.25" customHeight="1" x14ac:dyDescent="0.25">
      <c r="A1735" s="3" t="s">
        <v>28</v>
      </c>
      <c r="B1735" s="3" t="s">
        <v>37</v>
      </c>
      <c r="C1735" s="3" t="s">
        <v>23</v>
      </c>
      <c r="D1735" s="3" t="s">
        <v>43</v>
      </c>
      <c r="E1735" s="3" t="s">
        <v>25</v>
      </c>
      <c r="F1735" s="3" t="s">
        <v>25</v>
      </c>
      <c r="G1735" s="3" t="s">
        <v>25</v>
      </c>
      <c r="H1735" s="3" t="s">
        <v>25</v>
      </c>
      <c r="I1735" s="6">
        <v>44501</v>
      </c>
      <c r="J1735" s="4">
        <v>0</v>
      </c>
      <c r="K1735" s="4">
        <v>0</v>
      </c>
      <c r="L1735" s="4">
        <v>-6.2990000000000004</v>
      </c>
      <c r="M1735" s="4">
        <v>-6.2990000000000004</v>
      </c>
      <c r="N1735" s="4">
        <v>-6.2990000000000004</v>
      </c>
      <c r="O1735" s="4">
        <v>-6.2990000000000004</v>
      </c>
      <c r="P1735" s="4">
        <v>0</v>
      </c>
      <c r="Q1735" s="3" t="s">
        <v>26</v>
      </c>
      <c r="R1735" s="3">
        <v>0</v>
      </c>
      <c r="S1735" s="4">
        <v>0</v>
      </c>
      <c r="T1735" s="4">
        <v>84</v>
      </c>
      <c r="U1735" s="4">
        <v>7</v>
      </c>
      <c r="V1735" s="4">
        <f>IF(ISERROR(VLOOKUP($S$1735,'TAR FIN'!$A$1:$O$113,15,0)),0,VLOOKUP($S$1735,'TAR FIN'!$A$1:$O$113,15,0))</f>
        <v>0</v>
      </c>
      <c r="W1735" s="4">
        <f>IF(ISERROR(VLOOKUP($T$1735,'TAR FIN'!$A$1:$O$113,15,0)),0,VLOOKUP($T$1735,'TAR FIN'!$A$1:$O$113,15,0))</f>
        <v>346.2</v>
      </c>
      <c r="X1735" s="4">
        <f>IF(ISERROR(VLOOKUP($U$1735,'TAR FIN'!$A$1:$O$113,15,0)),0,VLOOKUP($U$1735,'TAR FIN'!$A$1:$O$113,15,0))</f>
        <v>234.24</v>
      </c>
      <c r="Y1735" s="4"/>
      <c r="Z1735" s="4">
        <f ca="1">('TUSD BE'!$AM$68+'TUSD BF'!$AM$68+'TUSD CVA'!$AM$68)*1</f>
        <v>411.14246090221764</v>
      </c>
      <c r="AA1735" s="4">
        <f>('TE BE'!$AA$47+'TE BF'!$AA$47+'TE CVA'!$AA$47)*1</f>
        <v>234.67932779241937</v>
      </c>
      <c r="AB1735" s="4">
        <f>$K$1735*$V$1735</f>
        <v>0</v>
      </c>
      <c r="AC1735" s="4">
        <f>$M$1735*$W$1735</f>
        <v>-2180.7138</v>
      </c>
      <c r="AD1735" s="4">
        <f>$O$1735*$X$1735</f>
        <v>-1475.4777600000002</v>
      </c>
      <c r="AE1735" s="4">
        <f>$K$1735*$Y$1735</f>
        <v>0</v>
      </c>
      <c r="AF1735" s="4">
        <f ca="1">$M$1735*$Z$1735</f>
        <v>-2589.786361223069</v>
      </c>
      <c r="AG1735" s="4">
        <f>$O$1735*$AA$1735</f>
        <v>-1478.2450857644496</v>
      </c>
    </row>
    <row r="1736" spans="1:33" ht="11.25" customHeight="1" x14ac:dyDescent="0.25">
      <c r="A1736" s="3" t="s">
        <v>21</v>
      </c>
      <c r="B1736" s="3" t="s">
        <v>37</v>
      </c>
      <c r="C1736" s="3" t="s">
        <v>23</v>
      </c>
      <c r="D1736" s="3" t="s">
        <v>43</v>
      </c>
      <c r="E1736" s="3" t="s">
        <v>25</v>
      </c>
      <c r="F1736" s="3" t="s">
        <v>25</v>
      </c>
      <c r="G1736" s="3" t="s">
        <v>25</v>
      </c>
      <c r="H1736" s="3" t="s">
        <v>25</v>
      </c>
      <c r="I1736" s="6">
        <v>44531</v>
      </c>
      <c r="J1736" s="4">
        <v>0</v>
      </c>
      <c r="K1736" s="4">
        <v>0</v>
      </c>
      <c r="L1736" s="4">
        <v>22505.344000000001</v>
      </c>
      <c r="M1736" s="4">
        <v>22505.344000000001</v>
      </c>
      <c r="N1736" s="4">
        <v>22505.344000000001</v>
      </c>
      <c r="O1736" s="4">
        <v>22505.344000000001</v>
      </c>
      <c r="P1736" s="4">
        <v>43045</v>
      </c>
      <c r="Q1736" s="3" t="s">
        <v>26</v>
      </c>
      <c r="R1736" s="3">
        <v>0</v>
      </c>
      <c r="S1736" s="4">
        <v>0</v>
      </c>
      <c r="T1736" s="4">
        <v>84</v>
      </c>
      <c r="U1736" s="4">
        <v>7</v>
      </c>
      <c r="V1736" s="4">
        <f>IF(ISERROR(VLOOKUP($S$1736,'TAR FIN'!$A$1:$O$113,15,0)),0,VLOOKUP($S$1736,'TAR FIN'!$A$1:$O$113,15,0))</f>
        <v>0</v>
      </c>
      <c r="W1736" s="4">
        <f>IF(ISERROR(VLOOKUP($T$1736,'TAR FIN'!$A$1:$O$113,15,0)),0,VLOOKUP($T$1736,'TAR FIN'!$A$1:$O$113,15,0))</f>
        <v>346.2</v>
      </c>
      <c r="X1736" s="4">
        <f>IF(ISERROR(VLOOKUP($U$1736,'TAR FIN'!$A$1:$O$113,15,0)),0,VLOOKUP($U$1736,'TAR FIN'!$A$1:$O$113,15,0))</f>
        <v>234.24</v>
      </c>
      <c r="Y1736" s="4"/>
      <c r="Z1736" s="4">
        <f ca="1">('TUSD BE'!$AM$68+'TUSD BF'!$AM$68+'TUSD CVA'!$AM$68)*1</f>
        <v>411.14246090221764</v>
      </c>
      <c r="AA1736" s="4">
        <f>('TE BE'!$AA$47+'TE BF'!$AA$47+'TE CVA'!$AA$47)*1</f>
        <v>234.67932779241937</v>
      </c>
      <c r="AB1736" s="4">
        <f>$K$1736*$V$1736</f>
        <v>0</v>
      </c>
      <c r="AC1736" s="4">
        <f>$M$1736*$W$1736</f>
        <v>7791350.0927999998</v>
      </c>
      <c r="AD1736" s="4">
        <f>$O$1736*$X$1736</f>
        <v>5271651.7785600005</v>
      </c>
      <c r="AE1736" s="4">
        <f>$K$1736*$Y$1736</f>
        <v>0</v>
      </c>
      <c r="AF1736" s="4">
        <f ca="1">$M$1736*$Z$1736</f>
        <v>9252902.5156109594</v>
      </c>
      <c r="AG1736" s="4">
        <f>$O$1736*$AA$1736</f>
        <v>5281539.0016571591</v>
      </c>
    </row>
    <row r="1737" spans="1:33" ht="11.25" customHeight="1" x14ac:dyDescent="0.25">
      <c r="A1737" s="3" t="s">
        <v>27</v>
      </c>
      <c r="B1737" s="3" t="s">
        <v>37</v>
      </c>
      <c r="C1737" s="3" t="s">
        <v>23</v>
      </c>
      <c r="D1737" s="3" t="s">
        <v>43</v>
      </c>
      <c r="E1737" s="3" t="s">
        <v>25</v>
      </c>
      <c r="F1737" s="3" t="s">
        <v>25</v>
      </c>
      <c r="G1737" s="3" t="s">
        <v>25</v>
      </c>
      <c r="H1737" s="3" t="s">
        <v>25</v>
      </c>
      <c r="I1737" s="6">
        <v>44531</v>
      </c>
      <c r="J1737" s="4">
        <v>0</v>
      </c>
      <c r="K1737" s="4">
        <v>0</v>
      </c>
      <c r="L1737" s="4">
        <v>-413.149</v>
      </c>
      <c r="M1737" s="4">
        <v>-413.149</v>
      </c>
      <c r="N1737" s="4">
        <v>-413.149</v>
      </c>
      <c r="O1737" s="4">
        <v>-413.149</v>
      </c>
      <c r="P1737" s="4">
        <v>-72</v>
      </c>
      <c r="Q1737" s="3" t="s">
        <v>26</v>
      </c>
      <c r="R1737" s="3">
        <v>0</v>
      </c>
      <c r="S1737" s="4">
        <v>0</v>
      </c>
      <c r="T1737" s="4">
        <v>84</v>
      </c>
      <c r="U1737" s="4">
        <v>7</v>
      </c>
      <c r="V1737" s="4">
        <f>IF(ISERROR(VLOOKUP($S$1737,'TAR FIN'!$A$1:$O$113,15,0)),0,VLOOKUP($S$1737,'TAR FIN'!$A$1:$O$113,15,0))</f>
        <v>0</v>
      </c>
      <c r="W1737" s="4">
        <f>IF(ISERROR(VLOOKUP($T$1737,'TAR FIN'!$A$1:$O$113,15,0)),0,VLOOKUP($T$1737,'TAR FIN'!$A$1:$O$113,15,0))</f>
        <v>346.2</v>
      </c>
      <c r="X1737" s="4">
        <f>IF(ISERROR(VLOOKUP($U$1737,'TAR FIN'!$A$1:$O$113,15,0)),0,VLOOKUP($U$1737,'TAR FIN'!$A$1:$O$113,15,0))</f>
        <v>234.24</v>
      </c>
      <c r="Y1737" s="4"/>
      <c r="Z1737" s="4">
        <f ca="1">('TUSD BE'!$AM$68+'TUSD BF'!$AM$68+'TUSD CVA'!$AM$68)*1</f>
        <v>411.14246090221764</v>
      </c>
      <c r="AA1737" s="4">
        <f>('TE BE'!$AA$47+'TE BF'!$AA$47+'TE CVA'!$AA$47)*1</f>
        <v>234.67932779241937</v>
      </c>
      <c r="AB1737" s="4">
        <f>$K$1737*$V$1737</f>
        <v>0</v>
      </c>
      <c r="AC1737" s="4">
        <f>$M$1737*$W$1737</f>
        <v>-143032.1838</v>
      </c>
      <c r="AD1737" s="4">
        <f>$O$1737*$X$1737</f>
        <v>-96776.021760000003</v>
      </c>
      <c r="AE1737" s="4">
        <f>$K$1737*$Y$1737</f>
        <v>0</v>
      </c>
      <c r="AF1737" s="4">
        <f ca="1">$M$1737*$Z$1737</f>
        <v>-169863.09657929032</v>
      </c>
      <c r="AG1737" s="4">
        <f>$O$1737*$AA$1737</f>
        <v>-96957.529598110268</v>
      </c>
    </row>
    <row r="1738" spans="1:33" ht="11.25" customHeight="1" x14ac:dyDescent="0.25">
      <c r="A1738" s="3" t="s">
        <v>28</v>
      </c>
      <c r="B1738" s="3" t="s">
        <v>37</v>
      </c>
      <c r="C1738" s="3" t="s">
        <v>23</v>
      </c>
      <c r="D1738" s="3" t="s">
        <v>43</v>
      </c>
      <c r="E1738" s="3" t="s">
        <v>25</v>
      </c>
      <c r="F1738" s="3" t="s">
        <v>25</v>
      </c>
      <c r="G1738" s="3" t="s">
        <v>25</v>
      </c>
      <c r="H1738" s="3" t="s">
        <v>25</v>
      </c>
      <c r="I1738" s="6">
        <v>44531</v>
      </c>
      <c r="J1738" s="4">
        <v>0</v>
      </c>
      <c r="K1738" s="4">
        <v>0</v>
      </c>
      <c r="L1738" s="4">
        <v>1875.0419999999999</v>
      </c>
      <c r="M1738" s="4">
        <v>1875.0419999999999</v>
      </c>
      <c r="N1738" s="4">
        <v>1875.0419999999999</v>
      </c>
      <c r="O1738" s="4">
        <v>1875.0419999999999</v>
      </c>
      <c r="P1738" s="4">
        <v>2035</v>
      </c>
      <c r="Q1738" s="3" t="s">
        <v>26</v>
      </c>
      <c r="R1738" s="3">
        <v>0</v>
      </c>
      <c r="S1738" s="4">
        <v>0</v>
      </c>
      <c r="T1738" s="4">
        <v>84</v>
      </c>
      <c r="U1738" s="4">
        <v>7</v>
      </c>
      <c r="V1738" s="4">
        <f>IF(ISERROR(VLOOKUP($S$1738,'TAR FIN'!$A$1:$O$113,15,0)),0,VLOOKUP($S$1738,'TAR FIN'!$A$1:$O$113,15,0))</f>
        <v>0</v>
      </c>
      <c r="W1738" s="4">
        <f>IF(ISERROR(VLOOKUP($T$1738,'TAR FIN'!$A$1:$O$113,15,0)),0,VLOOKUP($T$1738,'TAR FIN'!$A$1:$O$113,15,0))</f>
        <v>346.2</v>
      </c>
      <c r="X1738" s="4">
        <f>IF(ISERROR(VLOOKUP($U$1738,'TAR FIN'!$A$1:$O$113,15,0)),0,VLOOKUP($U$1738,'TAR FIN'!$A$1:$O$113,15,0))</f>
        <v>234.24</v>
      </c>
      <c r="Y1738" s="4"/>
      <c r="Z1738" s="4">
        <f ca="1">('TUSD BE'!$AM$68+'TUSD BF'!$AM$68+'TUSD CVA'!$AM$68)*1</f>
        <v>411.14246090221764</v>
      </c>
      <c r="AA1738" s="4">
        <f>('TE BE'!$AA$47+'TE BF'!$AA$47+'TE CVA'!$AA$47)*1</f>
        <v>234.67932779241937</v>
      </c>
      <c r="AB1738" s="4">
        <f>$K$1738*$V$1738</f>
        <v>0</v>
      </c>
      <c r="AC1738" s="4">
        <f>$M$1738*$W$1738</f>
        <v>649139.54039999994</v>
      </c>
      <c r="AD1738" s="4">
        <f>$O$1738*$X$1738</f>
        <v>439209.83808000002</v>
      </c>
      <c r="AE1738" s="4">
        <f>$K$1738*$Y$1738</f>
        <v>0</v>
      </c>
      <c r="AF1738" s="4">
        <f ca="1">$M$1738*$Z$1738</f>
        <v>770909.38217501587</v>
      </c>
      <c r="AG1738" s="4">
        <f>$O$1738*$AA$1738</f>
        <v>440033.59614255361</v>
      </c>
    </row>
    <row r="1739" spans="1:33" ht="11.25" customHeight="1" x14ac:dyDescent="0.25">
      <c r="A1739" s="3" t="s">
        <v>28</v>
      </c>
      <c r="B1739" s="3" t="s">
        <v>37</v>
      </c>
      <c r="C1739" s="3" t="s">
        <v>23</v>
      </c>
      <c r="D1739" s="3" t="s">
        <v>43</v>
      </c>
      <c r="E1739" s="3" t="s">
        <v>25</v>
      </c>
      <c r="F1739" s="3" t="s">
        <v>25</v>
      </c>
      <c r="G1739" s="3" t="s">
        <v>25</v>
      </c>
      <c r="H1739" s="3" t="s">
        <v>25</v>
      </c>
      <c r="I1739" s="6">
        <v>44531</v>
      </c>
      <c r="J1739" s="4">
        <v>0</v>
      </c>
      <c r="K1739" s="4">
        <v>0</v>
      </c>
      <c r="L1739" s="4">
        <v>-4.4870000000000001</v>
      </c>
      <c r="M1739" s="4">
        <v>-4.4870000000000001</v>
      </c>
      <c r="N1739" s="4">
        <v>-4.4870000000000001</v>
      </c>
      <c r="O1739" s="4">
        <v>-4.4870000000000001</v>
      </c>
      <c r="P1739" s="4">
        <v>0</v>
      </c>
      <c r="Q1739" s="3" t="s">
        <v>26</v>
      </c>
      <c r="R1739" s="3">
        <v>0</v>
      </c>
      <c r="S1739" s="4">
        <v>0</v>
      </c>
      <c r="T1739" s="4">
        <v>84</v>
      </c>
      <c r="U1739" s="4">
        <v>7</v>
      </c>
      <c r="V1739" s="4">
        <f>IF(ISERROR(VLOOKUP($S$1739,'TAR FIN'!$A$1:$O$113,15,0)),0,VLOOKUP($S$1739,'TAR FIN'!$A$1:$O$113,15,0))</f>
        <v>0</v>
      </c>
      <c r="W1739" s="4">
        <f>IF(ISERROR(VLOOKUP($T$1739,'TAR FIN'!$A$1:$O$113,15,0)),0,VLOOKUP($T$1739,'TAR FIN'!$A$1:$O$113,15,0))</f>
        <v>346.2</v>
      </c>
      <c r="X1739" s="4">
        <f>IF(ISERROR(VLOOKUP($U$1739,'TAR FIN'!$A$1:$O$113,15,0)),0,VLOOKUP($U$1739,'TAR FIN'!$A$1:$O$113,15,0))</f>
        <v>234.24</v>
      </c>
      <c r="Y1739" s="4"/>
      <c r="Z1739" s="4">
        <f ca="1">('TUSD BE'!$AM$68+'TUSD BF'!$AM$68+'TUSD CVA'!$AM$68)*1</f>
        <v>411.14246090221764</v>
      </c>
      <c r="AA1739" s="4">
        <f>('TE BE'!$AA$47+'TE BF'!$AA$47+'TE CVA'!$AA$47)*1</f>
        <v>234.67932779241937</v>
      </c>
      <c r="AB1739" s="4">
        <f>$K$1739*$V$1739</f>
        <v>0</v>
      </c>
      <c r="AC1739" s="4">
        <f>$M$1739*$W$1739</f>
        <v>-1553.3994</v>
      </c>
      <c r="AD1739" s="4">
        <f>$O$1739*$X$1739</f>
        <v>-1051.0348800000002</v>
      </c>
      <c r="AE1739" s="4">
        <f>$K$1739*$Y$1739</f>
        <v>0</v>
      </c>
      <c r="AF1739" s="4">
        <f ca="1">$M$1739*$Z$1739</f>
        <v>-1844.7962220682505</v>
      </c>
      <c r="AG1739" s="4">
        <f>$O$1739*$AA$1739</f>
        <v>-1053.0061438045857</v>
      </c>
    </row>
    <row r="1740" spans="1:33" ht="11.25" customHeight="1" x14ac:dyDescent="0.25">
      <c r="A1740" s="3" t="s">
        <v>21</v>
      </c>
      <c r="B1740" s="3" t="s">
        <v>37</v>
      </c>
      <c r="C1740" s="3" t="s">
        <v>23</v>
      </c>
      <c r="D1740" s="3" t="s">
        <v>43</v>
      </c>
      <c r="E1740" s="3" t="s">
        <v>25</v>
      </c>
      <c r="F1740" s="3" t="s">
        <v>25</v>
      </c>
      <c r="G1740" s="3" t="s">
        <v>25</v>
      </c>
      <c r="H1740" s="3" t="s">
        <v>25</v>
      </c>
      <c r="I1740" s="6">
        <v>44562</v>
      </c>
      <c r="J1740" s="4">
        <v>0</v>
      </c>
      <c r="K1740" s="4">
        <v>0</v>
      </c>
      <c r="L1740" s="4">
        <v>21653.513999999999</v>
      </c>
      <c r="M1740" s="4">
        <v>21653.513999999999</v>
      </c>
      <c r="N1740" s="4">
        <v>21653.513999999999</v>
      </c>
      <c r="O1740" s="4">
        <v>21653.513999999999</v>
      </c>
      <c r="P1740" s="4">
        <v>42814</v>
      </c>
      <c r="Q1740" s="3" t="s">
        <v>26</v>
      </c>
      <c r="R1740" s="3">
        <v>0</v>
      </c>
      <c r="S1740" s="4">
        <v>0</v>
      </c>
      <c r="T1740" s="4">
        <v>84</v>
      </c>
      <c r="U1740" s="4">
        <v>7</v>
      </c>
      <c r="V1740" s="4">
        <f>IF(ISERROR(VLOOKUP($S$1740,'TAR FIN'!$A$1:$O$113,15,0)),0,VLOOKUP($S$1740,'TAR FIN'!$A$1:$O$113,15,0))</f>
        <v>0</v>
      </c>
      <c r="W1740" s="4">
        <f>IF(ISERROR(VLOOKUP($T$1740,'TAR FIN'!$A$1:$O$113,15,0)),0,VLOOKUP($T$1740,'TAR FIN'!$A$1:$O$113,15,0))</f>
        <v>346.2</v>
      </c>
      <c r="X1740" s="4">
        <f>IF(ISERROR(VLOOKUP($U$1740,'TAR FIN'!$A$1:$O$113,15,0)),0,VLOOKUP($U$1740,'TAR FIN'!$A$1:$O$113,15,0))</f>
        <v>234.24</v>
      </c>
      <c r="Y1740" s="4"/>
      <c r="Z1740" s="4">
        <f ca="1">('TUSD BE'!$AM$68+'TUSD BF'!$AM$68+'TUSD CVA'!$AM$68)*1</f>
        <v>411.14246090221764</v>
      </c>
      <c r="AA1740" s="4">
        <f>('TE BE'!$AA$47+'TE BF'!$AA$47+'TE CVA'!$AA$47)*1</f>
        <v>234.67932779241937</v>
      </c>
      <c r="AB1740" s="4">
        <f>$K$1740*$V$1740</f>
        <v>0</v>
      </c>
      <c r="AC1740" s="4">
        <f>$M$1740*$W$1740</f>
        <v>7496446.5467999997</v>
      </c>
      <c r="AD1740" s="4">
        <f>$O$1740*$X$1740</f>
        <v>5072119.1193599999</v>
      </c>
      <c r="AE1740" s="4">
        <f>$K$1740*$Y$1740</f>
        <v>0</v>
      </c>
      <c r="AF1740" s="4">
        <f ca="1">$M$1740*$Z$1740</f>
        <v>8902679.0331406221</v>
      </c>
      <c r="AG1740" s="4">
        <f>$O$1740*$AA$1740</f>
        <v>5081632.1098637413</v>
      </c>
    </row>
    <row r="1741" spans="1:33" ht="11.25" customHeight="1" x14ac:dyDescent="0.25">
      <c r="A1741" s="3" t="s">
        <v>27</v>
      </c>
      <c r="B1741" s="3" t="s">
        <v>37</v>
      </c>
      <c r="C1741" s="3" t="s">
        <v>23</v>
      </c>
      <c r="D1741" s="3" t="s">
        <v>43</v>
      </c>
      <c r="E1741" s="3" t="s">
        <v>25</v>
      </c>
      <c r="F1741" s="3" t="s">
        <v>25</v>
      </c>
      <c r="G1741" s="3" t="s">
        <v>25</v>
      </c>
      <c r="H1741" s="3" t="s">
        <v>25</v>
      </c>
      <c r="I1741" s="6">
        <v>44562</v>
      </c>
      <c r="J1741" s="4">
        <v>0</v>
      </c>
      <c r="K1741" s="4">
        <v>0</v>
      </c>
      <c r="L1741" s="4">
        <v>-46.255000000000003</v>
      </c>
      <c r="M1741" s="4">
        <v>-46.255000000000003</v>
      </c>
      <c r="N1741" s="4">
        <v>-46.255000000000003</v>
      </c>
      <c r="O1741" s="4">
        <v>-46.255000000000003</v>
      </c>
      <c r="P1741" s="4">
        <v>-7</v>
      </c>
      <c r="Q1741" s="3" t="s">
        <v>26</v>
      </c>
      <c r="R1741" s="3">
        <v>0</v>
      </c>
      <c r="S1741" s="4">
        <v>0</v>
      </c>
      <c r="T1741" s="4">
        <v>84</v>
      </c>
      <c r="U1741" s="4">
        <v>7</v>
      </c>
      <c r="V1741" s="4">
        <f>IF(ISERROR(VLOOKUP($S$1741,'TAR FIN'!$A$1:$O$113,15,0)),0,VLOOKUP($S$1741,'TAR FIN'!$A$1:$O$113,15,0))</f>
        <v>0</v>
      </c>
      <c r="W1741" s="4">
        <f>IF(ISERROR(VLOOKUP($T$1741,'TAR FIN'!$A$1:$O$113,15,0)),0,VLOOKUP($T$1741,'TAR FIN'!$A$1:$O$113,15,0))</f>
        <v>346.2</v>
      </c>
      <c r="X1741" s="4">
        <f>IF(ISERROR(VLOOKUP($U$1741,'TAR FIN'!$A$1:$O$113,15,0)),0,VLOOKUP($U$1741,'TAR FIN'!$A$1:$O$113,15,0))</f>
        <v>234.24</v>
      </c>
      <c r="Y1741" s="4"/>
      <c r="Z1741" s="4">
        <f ca="1">('TUSD BE'!$AM$68+'TUSD BF'!$AM$68+'TUSD CVA'!$AM$68)*1</f>
        <v>411.14246090221764</v>
      </c>
      <c r="AA1741" s="4">
        <f>('TE BE'!$AA$47+'TE BF'!$AA$47+'TE CVA'!$AA$47)*1</f>
        <v>234.67932779241937</v>
      </c>
      <c r="AB1741" s="4">
        <f>$K$1741*$V$1741</f>
        <v>0</v>
      </c>
      <c r="AC1741" s="4">
        <f>$M$1741*$W$1741</f>
        <v>-16013.481</v>
      </c>
      <c r="AD1741" s="4">
        <f>$O$1741*$X$1741</f>
        <v>-10834.771200000001</v>
      </c>
      <c r="AE1741" s="4">
        <f>$K$1741*$Y$1741</f>
        <v>0</v>
      </c>
      <c r="AF1741" s="4">
        <f ca="1">$M$1741*$Z$1741</f>
        <v>-19017.394529032077</v>
      </c>
      <c r="AG1741" s="4">
        <f>$O$1741*$AA$1741</f>
        <v>-10855.092307038358</v>
      </c>
    </row>
    <row r="1742" spans="1:33" ht="11.25" customHeight="1" x14ac:dyDescent="0.25">
      <c r="A1742" s="3" t="s">
        <v>28</v>
      </c>
      <c r="B1742" s="3" t="s">
        <v>37</v>
      </c>
      <c r="C1742" s="3" t="s">
        <v>23</v>
      </c>
      <c r="D1742" s="3" t="s">
        <v>43</v>
      </c>
      <c r="E1742" s="3" t="s">
        <v>25</v>
      </c>
      <c r="F1742" s="3" t="s">
        <v>25</v>
      </c>
      <c r="G1742" s="3" t="s">
        <v>25</v>
      </c>
      <c r="H1742" s="3" t="s">
        <v>25</v>
      </c>
      <c r="I1742" s="6">
        <v>44562</v>
      </c>
      <c r="J1742" s="4">
        <v>0</v>
      </c>
      <c r="K1742" s="4">
        <v>0</v>
      </c>
      <c r="L1742" s="4">
        <v>2000.874</v>
      </c>
      <c r="M1742" s="4">
        <v>2000.874</v>
      </c>
      <c r="N1742" s="4">
        <v>2000.874</v>
      </c>
      <c r="O1742" s="4">
        <v>2000.874</v>
      </c>
      <c r="P1742" s="4">
        <v>2149</v>
      </c>
      <c r="Q1742" s="3" t="s">
        <v>26</v>
      </c>
      <c r="R1742" s="3">
        <v>0</v>
      </c>
      <c r="S1742" s="4">
        <v>0</v>
      </c>
      <c r="T1742" s="4">
        <v>84</v>
      </c>
      <c r="U1742" s="4">
        <v>7</v>
      </c>
      <c r="V1742" s="4">
        <f>IF(ISERROR(VLOOKUP($S$1742,'TAR FIN'!$A$1:$O$113,15,0)),0,VLOOKUP($S$1742,'TAR FIN'!$A$1:$O$113,15,0))</f>
        <v>0</v>
      </c>
      <c r="W1742" s="4">
        <f>IF(ISERROR(VLOOKUP($T$1742,'TAR FIN'!$A$1:$O$113,15,0)),0,VLOOKUP($T$1742,'TAR FIN'!$A$1:$O$113,15,0))</f>
        <v>346.2</v>
      </c>
      <c r="X1742" s="4">
        <f>IF(ISERROR(VLOOKUP($U$1742,'TAR FIN'!$A$1:$O$113,15,0)),0,VLOOKUP($U$1742,'TAR FIN'!$A$1:$O$113,15,0))</f>
        <v>234.24</v>
      </c>
      <c r="Y1742" s="4"/>
      <c r="Z1742" s="4">
        <f ca="1">('TUSD BE'!$AM$68+'TUSD BF'!$AM$68+'TUSD CVA'!$AM$68)*1</f>
        <v>411.14246090221764</v>
      </c>
      <c r="AA1742" s="4">
        <f>('TE BE'!$AA$47+'TE BF'!$AA$47+'TE CVA'!$AA$47)*1</f>
        <v>234.67932779241937</v>
      </c>
      <c r="AB1742" s="4">
        <f>$K$1742*$V$1742</f>
        <v>0</v>
      </c>
      <c r="AC1742" s="4">
        <f>$M$1742*$W$1742</f>
        <v>692702.57880000002</v>
      </c>
      <c r="AD1742" s="4">
        <f>$O$1742*$X$1742</f>
        <v>468684.72576</v>
      </c>
      <c r="AE1742" s="4">
        <f>$K$1742*$Y$1742</f>
        <v>0</v>
      </c>
      <c r="AF1742" s="4">
        <f ca="1">$M$1742*$Z$1742</f>
        <v>822644.26031526388</v>
      </c>
      <c r="AG1742" s="4">
        <f>$O$1742*$AA$1742</f>
        <v>469563.76531732932</v>
      </c>
    </row>
    <row r="1743" spans="1:33" ht="11.25" customHeight="1" x14ac:dyDescent="0.25">
      <c r="A1743" s="3" t="s">
        <v>28</v>
      </c>
      <c r="B1743" s="3" t="s">
        <v>37</v>
      </c>
      <c r="C1743" s="3" t="s">
        <v>23</v>
      </c>
      <c r="D1743" s="3" t="s">
        <v>43</v>
      </c>
      <c r="E1743" s="3" t="s">
        <v>25</v>
      </c>
      <c r="F1743" s="3" t="s">
        <v>25</v>
      </c>
      <c r="G1743" s="3" t="s">
        <v>25</v>
      </c>
      <c r="H1743" s="3" t="s">
        <v>25</v>
      </c>
      <c r="I1743" s="6">
        <v>44562</v>
      </c>
      <c r="J1743" s="4">
        <v>0</v>
      </c>
      <c r="K1743" s="4">
        <v>0</v>
      </c>
      <c r="L1743" s="4">
        <v>-3.49</v>
      </c>
      <c r="M1743" s="4">
        <v>-3.49</v>
      </c>
      <c r="N1743" s="4">
        <v>-3.49</v>
      </c>
      <c r="O1743" s="4">
        <v>-3.49</v>
      </c>
      <c r="P1743" s="4">
        <v>0</v>
      </c>
      <c r="Q1743" s="3" t="s">
        <v>26</v>
      </c>
      <c r="R1743" s="3">
        <v>0</v>
      </c>
      <c r="S1743" s="4">
        <v>0</v>
      </c>
      <c r="T1743" s="4">
        <v>84</v>
      </c>
      <c r="U1743" s="4">
        <v>7</v>
      </c>
      <c r="V1743" s="4">
        <f>IF(ISERROR(VLOOKUP($S$1743,'TAR FIN'!$A$1:$O$113,15,0)),0,VLOOKUP($S$1743,'TAR FIN'!$A$1:$O$113,15,0))</f>
        <v>0</v>
      </c>
      <c r="W1743" s="4">
        <f>IF(ISERROR(VLOOKUP($T$1743,'TAR FIN'!$A$1:$O$113,15,0)),0,VLOOKUP($T$1743,'TAR FIN'!$A$1:$O$113,15,0))</f>
        <v>346.2</v>
      </c>
      <c r="X1743" s="4">
        <f>IF(ISERROR(VLOOKUP($U$1743,'TAR FIN'!$A$1:$O$113,15,0)),0,VLOOKUP($U$1743,'TAR FIN'!$A$1:$O$113,15,0))</f>
        <v>234.24</v>
      </c>
      <c r="Y1743" s="4"/>
      <c r="Z1743" s="4">
        <f ca="1">('TUSD BE'!$AM$68+'TUSD BF'!$AM$68+'TUSD CVA'!$AM$68)*1</f>
        <v>411.14246090221764</v>
      </c>
      <c r="AA1743" s="4">
        <f>('TE BE'!$AA$47+'TE BF'!$AA$47+'TE CVA'!$AA$47)*1</f>
        <v>234.67932779241937</v>
      </c>
      <c r="AB1743" s="4">
        <f>$K$1743*$V$1743</f>
        <v>0</v>
      </c>
      <c r="AC1743" s="4">
        <f>$M$1743*$W$1743</f>
        <v>-1208.2380000000001</v>
      </c>
      <c r="AD1743" s="4">
        <f>$O$1743*$X$1743</f>
        <v>-817.49760000000003</v>
      </c>
      <c r="AE1743" s="4">
        <f>$K$1743*$Y$1743</f>
        <v>0</v>
      </c>
      <c r="AF1743" s="4">
        <f ca="1">$M$1743*$Z$1743</f>
        <v>-1434.8871885487397</v>
      </c>
      <c r="AG1743" s="4">
        <f>$O$1743*$AA$1743</f>
        <v>-819.03085399554368</v>
      </c>
    </row>
    <row r="1744" spans="1:33" ht="11.25" customHeight="1" x14ac:dyDescent="0.25">
      <c r="A1744" s="3" t="s">
        <v>21</v>
      </c>
      <c r="B1744" s="3" t="s">
        <v>37</v>
      </c>
      <c r="C1744" s="3" t="s">
        <v>23</v>
      </c>
      <c r="D1744" s="3" t="s">
        <v>43</v>
      </c>
      <c r="E1744" s="3" t="s">
        <v>25</v>
      </c>
      <c r="F1744" s="3" t="s">
        <v>25</v>
      </c>
      <c r="G1744" s="3" t="s">
        <v>25</v>
      </c>
      <c r="H1744" s="3" t="s">
        <v>25</v>
      </c>
      <c r="I1744" s="6">
        <v>44593</v>
      </c>
      <c r="J1744" s="4">
        <v>0</v>
      </c>
      <c r="K1744" s="4">
        <v>0</v>
      </c>
      <c r="L1744" s="4">
        <v>21829.773000000001</v>
      </c>
      <c r="M1744" s="4">
        <v>21829.773000000001</v>
      </c>
      <c r="N1744" s="4">
        <v>21829.773000000001</v>
      </c>
      <c r="O1744" s="4">
        <v>21829.773000000001</v>
      </c>
      <c r="P1744" s="4">
        <v>42696</v>
      </c>
      <c r="Q1744" s="3" t="s">
        <v>26</v>
      </c>
      <c r="R1744" s="3">
        <v>0</v>
      </c>
      <c r="S1744" s="4">
        <v>0</v>
      </c>
      <c r="T1744" s="4">
        <v>84</v>
      </c>
      <c r="U1744" s="4">
        <v>7</v>
      </c>
      <c r="V1744" s="4">
        <f>IF(ISERROR(VLOOKUP($S$1744,'TAR FIN'!$A$1:$O$113,15,0)),0,VLOOKUP($S$1744,'TAR FIN'!$A$1:$O$113,15,0))</f>
        <v>0</v>
      </c>
      <c r="W1744" s="4">
        <f>IF(ISERROR(VLOOKUP($T$1744,'TAR FIN'!$A$1:$O$113,15,0)),0,VLOOKUP($T$1744,'TAR FIN'!$A$1:$O$113,15,0))</f>
        <v>346.2</v>
      </c>
      <c r="X1744" s="4">
        <f>IF(ISERROR(VLOOKUP($U$1744,'TAR FIN'!$A$1:$O$113,15,0)),0,VLOOKUP($U$1744,'TAR FIN'!$A$1:$O$113,15,0))</f>
        <v>234.24</v>
      </c>
      <c r="Y1744" s="4"/>
      <c r="Z1744" s="4">
        <f ca="1">('TUSD BE'!$AM$68+'TUSD BF'!$AM$68+'TUSD CVA'!$AM$68)*1</f>
        <v>411.14246090221764</v>
      </c>
      <c r="AA1744" s="4">
        <f>('TE BE'!$AA$47+'TE BF'!$AA$47+'TE CVA'!$AA$47)*1</f>
        <v>234.67932779241937</v>
      </c>
      <c r="AB1744" s="4">
        <f>$K$1744*$V$1744</f>
        <v>0</v>
      </c>
      <c r="AC1744" s="4">
        <f>$M$1744*$W$1744</f>
        <v>7557467.4126000004</v>
      </c>
      <c r="AD1744" s="4">
        <f>$O$1744*$X$1744</f>
        <v>5113406.02752</v>
      </c>
      <c r="AE1744" s="4">
        <f>$K$1744*$Y$1744</f>
        <v>0</v>
      </c>
      <c r="AF1744" s="4">
        <f ca="1">$M$1744*$Z$1744</f>
        <v>8975146.5921567865</v>
      </c>
      <c r="AG1744" s="4">
        <f>$O$1744*$AA$1744</f>
        <v>5122996.4535011062</v>
      </c>
    </row>
    <row r="1745" spans="1:33" ht="11.25" customHeight="1" x14ac:dyDescent="0.25">
      <c r="A1745" s="3" t="s">
        <v>27</v>
      </c>
      <c r="B1745" s="3" t="s">
        <v>37</v>
      </c>
      <c r="C1745" s="3" t="s">
        <v>23</v>
      </c>
      <c r="D1745" s="3" t="s">
        <v>43</v>
      </c>
      <c r="E1745" s="3" t="s">
        <v>25</v>
      </c>
      <c r="F1745" s="3" t="s">
        <v>25</v>
      </c>
      <c r="G1745" s="3" t="s">
        <v>25</v>
      </c>
      <c r="H1745" s="3" t="s">
        <v>25</v>
      </c>
      <c r="I1745" s="6">
        <v>44593</v>
      </c>
      <c r="J1745" s="4">
        <v>0</v>
      </c>
      <c r="K1745" s="4">
        <v>0</v>
      </c>
      <c r="L1745" s="4">
        <v>-1.9750000000000001</v>
      </c>
      <c r="M1745" s="4">
        <v>-1.9750000000000001</v>
      </c>
      <c r="N1745" s="4">
        <v>-1.9750000000000001</v>
      </c>
      <c r="O1745" s="4">
        <v>-1.9750000000000001</v>
      </c>
      <c r="P1745" s="4">
        <v>-3</v>
      </c>
      <c r="Q1745" s="3" t="s">
        <v>26</v>
      </c>
      <c r="R1745" s="3">
        <v>0</v>
      </c>
      <c r="S1745" s="4">
        <v>0</v>
      </c>
      <c r="T1745" s="4">
        <v>84</v>
      </c>
      <c r="U1745" s="4">
        <v>7</v>
      </c>
      <c r="V1745" s="4">
        <f>IF(ISERROR(VLOOKUP($S$1745,'TAR FIN'!$A$1:$O$113,15,0)),0,VLOOKUP($S$1745,'TAR FIN'!$A$1:$O$113,15,0))</f>
        <v>0</v>
      </c>
      <c r="W1745" s="4">
        <f>IF(ISERROR(VLOOKUP($T$1745,'TAR FIN'!$A$1:$O$113,15,0)),0,VLOOKUP($T$1745,'TAR FIN'!$A$1:$O$113,15,0))</f>
        <v>346.2</v>
      </c>
      <c r="X1745" s="4">
        <f>IF(ISERROR(VLOOKUP($U$1745,'TAR FIN'!$A$1:$O$113,15,0)),0,VLOOKUP($U$1745,'TAR FIN'!$A$1:$O$113,15,0))</f>
        <v>234.24</v>
      </c>
      <c r="Y1745" s="4"/>
      <c r="Z1745" s="4">
        <f ca="1">('TUSD BE'!$AM$68+'TUSD BF'!$AM$68+'TUSD CVA'!$AM$68)*1</f>
        <v>411.14246090221764</v>
      </c>
      <c r="AA1745" s="4">
        <f>('TE BE'!$AA$47+'TE BF'!$AA$47+'TE CVA'!$AA$47)*1</f>
        <v>234.67932779241937</v>
      </c>
      <c r="AB1745" s="4">
        <f>$K$1745*$V$1745</f>
        <v>0</v>
      </c>
      <c r="AC1745" s="4">
        <f>$M$1745*$W$1745</f>
        <v>-683.745</v>
      </c>
      <c r="AD1745" s="4">
        <f>$O$1745*$X$1745</f>
        <v>-462.62400000000002</v>
      </c>
      <c r="AE1745" s="4">
        <f>$K$1745*$Y$1745</f>
        <v>0</v>
      </c>
      <c r="AF1745" s="4">
        <f ca="1">$M$1745*$Z$1745</f>
        <v>-812.00636028187989</v>
      </c>
      <c r="AG1745" s="4">
        <f>$O$1745*$AA$1745</f>
        <v>-463.49167239002827</v>
      </c>
    </row>
    <row r="1746" spans="1:33" ht="11.25" customHeight="1" x14ac:dyDescent="0.25">
      <c r="A1746" s="3" t="s">
        <v>28</v>
      </c>
      <c r="B1746" s="3" t="s">
        <v>37</v>
      </c>
      <c r="C1746" s="3" t="s">
        <v>23</v>
      </c>
      <c r="D1746" s="3" t="s">
        <v>43</v>
      </c>
      <c r="E1746" s="3" t="s">
        <v>25</v>
      </c>
      <c r="F1746" s="3" t="s">
        <v>25</v>
      </c>
      <c r="G1746" s="3" t="s">
        <v>25</v>
      </c>
      <c r="H1746" s="3" t="s">
        <v>25</v>
      </c>
      <c r="I1746" s="6">
        <v>44593</v>
      </c>
      <c r="J1746" s="4">
        <v>0</v>
      </c>
      <c r="K1746" s="4">
        <v>0</v>
      </c>
      <c r="L1746" s="4">
        <v>1941.952</v>
      </c>
      <c r="M1746" s="4">
        <v>1941.952</v>
      </c>
      <c r="N1746" s="4">
        <v>1941.952</v>
      </c>
      <c r="O1746" s="4">
        <v>1941.952</v>
      </c>
      <c r="P1746" s="4">
        <v>2252</v>
      </c>
      <c r="Q1746" s="3" t="s">
        <v>26</v>
      </c>
      <c r="R1746" s="3">
        <v>0</v>
      </c>
      <c r="S1746" s="4">
        <v>0</v>
      </c>
      <c r="T1746" s="4">
        <v>84</v>
      </c>
      <c r="U1746" s="4">
        <v>7</v>
      </c>
      <c r="V1746" s="4">
        <f>IF(ISERROR(VLOOKUP($S$1746,'TAR FIN'!$A$1:$O$113,15,0)),0,VLOOKUP($S$1746,'TAR FIN'!$A$1:$O$113,15,0))</f>
        <v>0</v>
      </c>
      <c r="W1746" s="4">
        <f>IF(ISERROR(VLOOKUP($T$1746,'TAR FIN'!$A$1:$O$113,15,0)),0,VLOOKUP($T$1746,'TAR FIN'!$A$1:$O$113,15,0))</f>
        <v>346.2</v>
      </c>
      <c r="X1746" s="4">
        <f>IF(ISERROR(VLOOKUP($U$1746,'TAR FIN'!$A$1:$O$113,15,0)),0,VLOOKUP($U$1746,'TAR FIN'!$A$1:$O$113,15,0))</f>
        <v>234.24</v>
      </c>
      <c r="Y1746" s="4"/>
      <c r="Z1746" s="4">
        <f ca="1">('TUSD BE'!$AM$68+'TUSD BF'!$AM$68+'TUSD CVA'!$AM$68)*1</f>
        <v>411.14246090221764</v>
      </c>
      <c r="AA1746" s="4">
        <f>('TE BE'!$AA$47+'TE BF'!$AA$47+'TE CVA'!$AA$47)*1</f>
        <v>234.67932779241937</v>
      </c>
      <c r="AB1746" s="4">
        <f>$K$1746*$V$1746</f>
        <v>0</v>
      </c>
      <c r="AC1746" s="4">
        <f>$M$1746*$W$1746</f>
        <v>672303.78240000003</v>
      </c>
      <c r="AD1746" s="4">
        <f>$O$1746*$X$1746</f>
        <v>454882.83648</v>
      </c>
      <c r="AE1746" s="4">
        <f>$K$1746*$Y$1746</f>
        <v>0</v>
      </c>
      <c r="AF1746" s="4">
        <f ca="1">$M$1746*$Z$1746</f>
        <v>798418.92423398339</v>
      </c>
      <c r="AG1746" s="4">
        <f>$O$1746*$AA$1746</f>
        <v>455735.98996514437</v>
      </c>
    </row>
    <row r="1747" spans="1:33" ht="11.25" customHeight="1" x14ac:dyDescent="0.25">
      <c r="A1747" s="3" t="s">
        <v>28</v>
      </c>
      <c r="B1747" s="3" t="s">
        <v>37</v>
      </c>
      <c r="C1747" s="3" t="s">
        <v>23</v>
      </c>
      <c r="D1747" s="3" t="s">
        <v>43</v>
      </c>
      <c r="E1747" s="3" t="s">
        <v>25</v>
      </c>
      <c r="F1747" s="3" t="s">
        <v>25</v>
      </c>
      <c r="G1747" s="3" t="s">
        <v>25</v>
      </c>
      <c r="H1747" s="3" t="s">
        <v>25</v>
      </c>
      <c r="I1747" s="6">
        <v>44593</v>
      </c>
      <c r="J1747" s="4">
        <v>0</v>
      </c>
      <c r="K1747" s="4">
        <v>0</v>
      </c>
      <c r="L1747" s="4">
        <v>-0.58199999999999996</v>
      </c>
      <c r="M1747" s="4">
        <v>-0.58199999999999996</v>
      </c>
      <c r="N1747" s="4">
        <v>-0.58199999999999996</v>
      </c>
      <c r="O1747" s="4">
        <v>-0.58199999999999996</v>
      </c>
      <c r="P1747" s="4">
        <v>0</v>
      </c>
      <c r="Q1747" s="3" t="s">
        <v>26</v>
      </c>
      <c r="R1747" s="3">
        <v>0</v>
      </c>
      <c r="S1747" s="4">
        <v>0</v>
      </c>
      <c r="T1747" s="4">
        <v>84</v>
      </c>
      <c r="U1747" s="4">
        <v>7</v>
      </c>
      <c r="V1747" s="4">
        <f>IF(ISERROR(VLOOKUP($S$1747,'TAR FIN'!$A$1:$O$113,15,0)),0,VLOOKUP($S$1747,'TAR FIN'!$A$1:$O$113,15,0))</f>
        <v>0</v>
      </c>
      <c r="W1747" s="4">
        <f>IF(ISERROR(VLOOKUP($T$1747,'TAR FIN'!$A$1:$O$113,15,0)),0,VLOOKUP($T$1747,'TAR FIN'!$A$1:$O$113,15,0))</f>
        <v>346.2</v>
      </c>
      <c r="X1747" s="4">
        <f>IF(ISERROR(VLOOKUP($U$1747,'TAR FIN'!$A$1:$O$113,15,0)),0,VLOOKUP($U$1747,'TAR FIN'!$A$1:$O$113,15,0))</f>
        <v>234.24</v>
      </c>
      <c r="Y1747" s="4"/>
      <c r="Z1747" s="4">
        <f ca="1">('TUSD BE'!$AM$68+'TUSD BF'!$AM$68+'TUSD CVA'!$AM$68)*1</f>
        <v>411.14246090221764</v>
      </c>
      <c r="AA1747" s="4">
        <f>('TE BE'!$AA$47+'TE BF'!$AA$47+'TE CVA'!$AA$47)*1</f>
        <v>234.67932779241937</v>
      </c>
      <c r="AB1747" s="4">
        <f>$K$1747*$V$1747</f>
        <v>0</v>
      </c>
      <c r="AC1747" s="4">
        <f>$M$1747*$W$1747</f>
        <v>-201.48839999999998</v>
      </c>
      <c r="AD1747" s="4">
        <f>$O$1747*$X$1747</f>
        <v>-136.32767999999999</v>
      </c>
      <c r="AE1747" s="4">
        <f>$K$1747*$Y$1747</f>
        <v>0</v>
      </c>
      <c r="AF1747" s="4">
        <f ca="1">$M$1747*$Z$1747</f>
        <v>-239.28491224509065</v>
      </c>
      <c r="AG1747" s="4">
        <f>$O$1747*$AA$1747</f>
        <v>-136.58336877518806</v>
      </c>
    </row>
    <row r="1748" spans="1:33" ht="11.25" customHeight="1" x14ac:dyDescent="0.25">
      <c r="A1748" s="3" t="s">
        <v>56</v>
      </c>
      <c r="B1748" s="3" t="s">
        <v>37</v>
      </c>
      <c r="C1748" s="3" t="s">
        <v>23</v>
      </c>
      <c r="D1748" s="3" t="s">
        <v>43</v>
      </c>
      <c r="E1748" s="3" t="s">
        <v>25</v>
      </c>
      <c r="F1748" s="3" t="s">
        <v>25</v>
      </c>
      <c r="G1748" s="3" t="s">
        <v>25</v>
      </c>
      <c r="H1748" s="3" t="s">
        <v>25</v>
      </c>
      <c r="I1748" s="6">
        <v>44621</v>
      </c>
      <c r="J1748" s="4">
        <v>0</v>
      </c>
      <c r="K1748" s="4">
        <v>0</v>
      </c>
      <c r="L1748" s="4">
        <v>21829.773000000001</v>
      </c>
      <c r="M1748" s="4">
        <v>21829.773000000001</v>
      </c>
      <c r="N1748" s="4">
        <v>21829.773000000001</v>
      </c>
      <c r="O1748" s="4">
        <v>21829.773000000001</v>
      </c>
      <c r="P1748" s="4">
        <v>42696</v>
      </c>
      <c r="Q1748" s="3" t="s">
        <v>26</v>
      </c>
      <c r="R1748" s="3">
        <v>0</v>
      </c>
      <c r="S1748" s="4">
        <v>0</v>
      </c>
      <c r="T1748" s="4">
        <v>84</v>
      </c>
      <c r="U1748" s="4">
        <v>7</v>
      </c>
      <c r="V1748" s="4">
        <f>IF(ISERROR(VLOOKUP($S$1748,'TAR FIN'!$A$1:$O$113,15,0)),0,VLOOKUP($S$1748,'TAR FIN'!$A$1:$O$113,15,0))</f>
        <v>0</v>
      </c>
      <c r="W1748" s="4">
        <f>IF(ISERROR(VLOOKUP($T$1748,'TAR FIN'!$A$1:$O$113,15,0)),0,VLOOKUP($T$1748,'TAR FIN'!$A$1:$O$113,15,0))</f>
        <v>346.2</v>
      </c>
      <c r="X1748" s="4">
        <f>IF(ISERROR(VLOOKUP($U$1748,'TAR FIN'!$A$1:$O$113,15,0)),0,VLOOKUP($U$1748,'TAR FIN'!$A$1:$O$113,15,0))</f>
        <v>234.24</v>
      </c>
      <c r="Y1748" s="4"/>
      <c r="Z1748" s="4">
        <f ca="1">('TUSD BE'!$AM$68+'TUSD BF'!$AM$68+'TUSD CVA'!$AM$68)*1</f>
        <v>411.14246090221764</v>
      </c>
      <c r="AA1748" s="4">
        <f>('TE BE'!$AA$47+'TE BF'!$AA$47+'TE CVA'!$AA$47)*1</f>
        <v>234.67932779241937</v>
      </c>
      <c r="AB1748" s="4">
        <f>$K$1748*$V$1748</f>
        <v>0</v>
      </c>
      <c r="AC1748" s="4">
        <f>$M$1748*$W$1748</f>
        <v>7557467.4126000004</v>
      </c>
      <c r="AD1748" s="4">
        <f>$O$1748*$X$1748</f>
        <v>5113406.02752</v>
      </c>
      <c r="AE1748" s="4">
        <f>$K$1748*$Y$1748</f>
        <v>0</v>
      </c>
      <c r="AF1748" s="4">
        <f ca="1">$M$1748*$Z$1748</f>
        <v>8975146.5921567865</v>
      </c>
      <c r="AG1748" s="4">
        <f>$O$1748*$AA$1748</f>
        <v>5122996.4535011062</v>
      </c>
    </row>
    <row r="1749" spans="1:33" ht="11.25" customHeight="1" x14ac:dyDescent="0.25">
      <c r="A1749" s="3" t="s">
        <v>56</v>
      </c>
      <c r="B1749" s="3" t="s">
        <v>37</v>
      </c>
      <c r="C1749" s="3" t="s">
        <v>23</v>
      </c>
      <c r="D1749" s="3" t="s">
        <v>43</v>
      </c>
      <c r="E1749" s="3" t="s">
        <v>25</v>
      </c>
      <c r="F1749" s="3" t="s">
        <v>25</v>
      </c>
      <c r="G1749" s="3" t="s">
        <v>25</v>
      </c>
      <c r="H1749" s="3" t="s">
        <v>25</v>
      </c>
      <c r="I1749" s="6">
        <v>44621</v>
      </c>
      <c r="J1749" s="4">
        <v>0</v>
      </c>
      <c r="K1749" s="4">
        <v>0</v>
      </c>
      <c r="L1749" s="4">
        <v>-1.9750000000000001</v>
      </c>
      <c r="M1749" s="4">
        <v>-1.9750000000000001</v>
      </c>
      <c r="N1749" s="4">
        <v>-1.9750000000000001</v>
      </c>
      <c r="O1749" s="4">
        <v>-1.9750000000000001</v>
      </c>
      <c r="P1749" s="4">
        <v>-3</v>
      </c>
      <c r="Q1749" s="3" t="s">
        <v>26</v>
      </c>
      <c r="R1749" s="3">
        <v>0</v>
      </c>
      <c r="S1749" s="4">
        <v>0</v>
      </c>
      <c r="T1749" s="4">
        <v>84</v>
      </c>
      <c r="U1749" s="4">
        <v>7</v>
      </c>
      <c r="V1749" s="4">
        <f>IF(ISERROR(VLOOKUP($S$1749,'TAR FIN'!$A$1:$O$113,15,0)),0,VLOOKUP($S$1749,'TAR FIN'!$A$1:$O$113,15,0))</f>
        <v>0</v>
      </c>
      <c r="W1749" s="4">
        <f>IF(ISERROR(VLOOKUP($T$1749,'TAR FIN'!$A$1:$O$113,15,0)),0,VLOOKUP($T$1749,'TAR FIN'!$A$1:$O$113,15,0))</f>
        <v>346.2</v>
      </c>
      <c r="X1749" s="4">
        <f>IF(ISERROR(VLOOKUP($U$1749,'TAR FIN'!$A$1:$O$113,15,0)),0,VLOOKUP($U$1749,'TAR FIN'!$A$1:$O$113,15,0))</f>
        <v>234.24</v>
      </c>
      <c r="Y1749" s="4"/>
      <c r="Z1749" s="4">
        <f ca="1">('TUSD BE'!$AM$68+'TUSD BF'!$AM$68+'TUSD CVA'!$AM$68)*1</f>
        <v>411.14246090221764</v>
      </c>
      <c r="AA1749" s="4">
        <f>('TE BE'!$AA$47+'TE BF'!$AA$47+'TE CVA'!$AA$47)*1</f>
        <v>234.67932779241937</v>
      </c>
      <c r="AB1749" s="4">
        <f>$K$1749*$V$1749</f>
        <v>0</v>
      </c>
      <c r="AC1749" s="4">
        <f>$M$1749*$W$1749</f>
        <v>-683.745</v>
      </c>
      <c r="AD1749" s="4">
        <f>$O$1749*$X$1749</f>
        <v>-462.62400000000002</v>
      </c>
      <c r="AE1749" s="4">
        <f>$K$1749*$Y$1749</f>
        <v>0</v>
      </c>
      <c r="AF1749" s="4">
        <f ca="1">$M$1749*$Z$1749</f>
        <v>-812.00636028187989</v>
      </c>
      <c r="AG1749" s="4">
        <f>$O$1749*$AA$1749</f>
        <v>-463.49167239002827</v>
      </c>
    </row>
    <row r="1750" spans="1:33" ht="11.25" customHeight="1" x14ac:dyDescent="0.25">
      <c r="A1750" s="3" t="s">
        <v>56</v>
      </c>
      <c r="B1750" s="3" t="s">
        <v>37</v>
      </c>
      <c r="C1750" s="3" t="s">
        <v>23</v>
      </c>
      <c r="D1750" s="3" t="s">
        <v>43</v>
      </c>
      <c r="E1750" s="3" t="s">
        <v>25</v>
      </c>
      <c r="F1750" s="3" t="s">
        <v>25</v>
      </c>
      <c r="G1750" s="3" t="s">
        <v>25</v>
      </c>
      <c r="H1750" s="3" t="s">
        <v>25</v>
      </c>
      <c r="I1750" s="6">
        <v>44621</v>
      </c>
      <c r="J1750" s="4">
        <v>0</v>
      </c>
      <c r="K1750" s="4">
        <v>0</v>
      </c>
      <c r="L1750" s="4">
        <v>1941.952</v>
      </c>
      <c r="M1750" s="4">
        <v>1941.952</v>
      </c>
      <c r="N1750" s="4">
        <v>1941.952</v>
      </c>
      <c r="O1750" s="4">
        <v>1941.952</v>
      </c>
      <c r="P1750" s="4">
        <v>2252</v>
      </c>
      <c r="Q1750" s="3" t="s">
        <v>26</v>
      </c>
      <c r="R1750" s="3">
        <v>0</v>
      </c>
      <c r="S1750" s="4">
        <v>0</v>
      </c>
      <c r="T1750" s="4">
        <v>84</v>
      </c>
      <c r="U1750" s="4">
        <v>7</v>
      </c>
      <c r="V1750" s="4">
        <f>IF(ISERROR(VLOOKUP($S$1750,'TAR FIN'!$A$1:$O$113,15,0)),0,VLOOKUP($S$1750,'TAR FIN'!$A$1:$O$113,15,0))</f>
        <v>0</v>
      </c>
      <c r="W1750" s="4">
        <f>IF(ISERROR(VLOOKUP($T$1750,'TAR FIN'!$A$1:$O$113,15,0)),0,VLOOKUP($T$1750,'TAR FIN'!$A$1:$O$113,15,0))</f>
        <v>346.2</v>
      </c>
      <c r="X1750" s="4">
        <f>IF(ISERROR(VLOOKUP($U$1750,'TAR FIN'!$A$1:$O$113,15,0)),0,VLOOKUP($U$1750,'TAR FIN'!$A$1:$O$113,15,0))</f>
        <v>234.24</v>
      </c>
      <c r="Y1750" s="4"/>
      <c r="Z1750" s="4">
        <f ca="1">('TUSD BE'!$AM$68+'TUSD BF'!$AM$68+'TUSD CVA'!$AM$68)*1</f>
        <v>411.14246090221764</v>
      </c>
      <c r="AA1750" s="4">
        <f>('TE BE'!$AA$47+'TE BF'!$AA$47+'TE CVA'!$AA$47)*1</f>
        <v>234.67932779241937</v>
      </c>
      <c r="AB1750" s="4">
        <f>$K$1750*$V$1750</f>
        <v>0</v>
      </c>
      <c r="AC1750" s="4">
        <f>$M$1750*$W$1750</f>
        <v>672303.78240000003</v>
      </c>
      <c r="AD1750" s="4">
        <f>$O$1750*$X$1750</f>
        <v>454882.83648</v>
      </c>
      <c r="AE1750" s="4">
        <f>$K$1750*$Y$1750</f>
        <v>0</v>
      </c>
      <c r="AF1750" s="4">
        <f ca="1">$M$1750*$Z$1750</f>
        <v>798418.92423398339</v>
      </c>
      <c r="AG1750" s="4">
        <f>$O$1750*$AA$1750</f>
        <v>455735.98996514437</v>
      </c>
    </row>
    <row r="1751" spans="1:33" ht="11.25" customHeight="1" x14ac:dyDescent="0.25">
      <c r="A1751" s="3" t="s">
        <v>56</v>
      </c>
      <c r="B1751" s="3" t="s">
        <v>37</v>
      </c>
      <c r="C1751" s="3" t="s">
        <v>23</v>
      </c>
      <c r="D1751" s="3" t="s">
        <v>43</v>
      </c>
      <c r="E1751" s="3" t="s">
        <v>25</v>
      </c>
      <c r="F1751" s="3" t="s">
        <v>25</v>
      </c>
      <c r="G1751" s="3" t="s">
        <v>25</v>
      </c>
      <c r="H1751" s="3" t="s">
        <v>25</v>
      </c>
      <c r="I1751" s="6">
        <v>44621</v>
      </c>
      <c r="J1751" s="4">
        <v>0</v>
      </c>
      <c r="K1751" s="4">
        <v>0</v>
      </c>
      <c r="L1751" s="4">
        <v>-0.58199999999999996</v>
      </c>
      <c r="M1751" s="4">
        <v>-0.58199999999999996</v>
      </c>
      <c r="N1751" s="4">
        <v>-0.58199999999999996</v>
      </c>
      <c r="O1751" s="4">
        <v>-0.58199999999999996</v>
      </c>
      <c r="P1751" s="4">
        <v>0</v>
      </c>
      <c r="Q1751" s="3" t="s">
        <v>26</v>
      </c>
      <c r="R1751" s="3">
        <v>0</v>
      </c>
      <c r="S1751" s="4">
        <v>0</v>
      </c>
      <c r="T1751" s="4">
        <v>84</v>
      </c>
      <c r="U1751" s="4">
        <v>7</v>
      </c>
      <c r="V1751" s="4">
        <f>IF(ISERROR(VLOOKUP($S$1751,'TAR FIN'!$A$1:$O$113,15,0)),0,VLOOKUP($S$1751,'TAR FIN'!$A$1:$O$113,15,0))</f>
        <v>0</v>
      </c>
      <c r="W1751" s="4">
        <f>IF(ISERROR(VLOOKUP($T$1751,'TAR FIN'!$A$1:$O$113,15,0)),0,VLOOKUP($T$1751,'TAR FIN'!$A$1:$O$113,15,0))</f>
        <v>346.2</v>
      </c>
      <c r="X1751" s="4">
        <f>IF(ISERROR(VLOOKUP($U$1751,'TAR FIN'!$A$1:$O$113,15,0)),0,VLOOKUP($U$1751,'TAR FIN'!$A$1:$O$113,15,0))</f>
        <v>234.24</v>
      </c>
      <c r="Y1751" s="4"/>
      <c r="Z1751" s="4">
        <f ca="1">('TUSD BE'!$AM$68+'TUSD BF'!$AM$68+'TUSD CVA'!$AM$68)*1</f>
        <v>411.14246090221764</v>
      </c>
      <c r="AA1751" s="4">
        <f>('TE BE'!$AA$47+'TE BF'!$AA$47+'TE CVA'!$AA$47)*1</f>
        <v>234.67932779241937</v>
      </c>
      <c r="AB1751" s="4">
        <f>$K$1751*$V$1751</f>
        <v>0</v>
      </c>
      <c r="AC1751" s="4">
        <f>$M$1751*$W$1751</f>
        <v>-201.48839999999998</v>
      </c>
      <c r="AD1751" s="4">
        <f>$O$1751*$X$1751</f>
        <v>-136.32767999999999</v>
      </c>
      <c r="AE1751" s="4">
        <f>$K$1751*$Y$1751</f>
        <v>0</v>
      </c>
      <c r="AF1751" s="4">
        <f ca="1">$M$1751*$Z$1751</f>
        <v>-239.28491224509065</v>
      </c>
      <c r="AG1751" s="4">
        <f>$O$1751*$AA$1751</f>
        <v>-136.58336877518806</v>
      </c>
    </row>
    <row r="1752" spans="1:33" ht="11.25" customHeight="1" x14ac:dyDescent="0.25">
      <c r="A1752" s="3" t="s">
        <v>21</v>
      </c>
      <c r="B1752" s="3" t="s">
        <v>37</v>
      </c>
      <c r="C1752" s="3" t="s">
        <v>23</v>
      </c>
      <c r="D1752" s="3" t="s">
        <v>52</v>
      </c>
      <c r="E1752" s="3" t="s">
        <v>25</v>
      </c>
      <c r="F1752" s="3" t="s">
        <v>25</v>
      </c>
      <c r="G1752" s="3" t="s">
        <v>25</v>
      </c>
      <c r="H1752" s="3" t="s">
        <v>25</v>
      </c>
      <c r="I1752" s="6">
        <v>44287</v>
      </c>
      <c r="J1752" s="4">
        <v>0</v>
      </c>
      <c r="K1752" s="4">
        <v>0</v>
      </c>
      <c r="L1752" s="4">
        <v>135.946</v>
      </c>
      <c r="M1752" s="4">
        <v>135.946</v>
      </c>
      <c r="N1752" s="4">
        <v>135.946</v>
      </c>
      <c r="O1752" s="4">
        <v>135.946</v>
      </c>
      <c r="P1752" s="4">
        <v>124</v>
      </c>
      <c r="Q1752" s="3" t="s">
        <v>26</v>
      </c>
      <c r="R1752" s="3">
        <v>0</v>
      </c>
      <c r="S1752" s="4">
        <v>0</v>
      </c>
      <c r="T1752" s="4">
        <v>84</v>
      </c>
      <c r="U1752" s="4">
        <v>7</v>
      </c>
      <c r="V1752" s="4">
        <f>IF(ISERROR(VLOOKUP($S$1752,'TAR FIN'!$A$1:$O$113,15,0)),0,VLOOKUP($S$1752,'TAR FIN'!$A$1:$O$113,15,0))</f>
        <v>0</v>
      </c>
      <c r="W1752" s="4">
        <f>IF(ISERROR(VLOOKUP($T$1752,'TAR FIN'!$A$1:$O$113,15,0)),0,VLOOKUP($T$1752,'TAR FIN'!$A$1:$O$113,15,0))</f>
        <v>346.2</v>
      </c>
      <c r="X1752" s="4">
        <f>IF(ISERROR(VLOOKUP($U$1752,'TAR FIN'!$A$1:$O$113,15,0)),0,VLOOKUP($U$1752,'TAR FIN'!$A$1:$O$113,15,0))</f>
        <v>234.24</v>
      </c>
      <c r="Y1752" s="4"/>
      <c r="Z1752" s="4">
        <f ca="1">('TUSD BE'!$AM$68+'TUSD BF'!$AM$68+'TUSD CVA'!$AM$68)*1</f>
        <v>411.14246090221764</v>
      </c>
      <c r="AA1752" s="4">
        <f>('TE BE'!$AA$47+'TE BF'!$AA$47+'TE CVA'!$AA$47)*1</f>
        <v>234.67932779241937</v>
      </c>
      <c r="AB1752" s="4">
        <f>$K$1752*$V$1752</f>
        <v>0</v>
      </c>
      <c r="AC1752" s="4">
        <f>$M$1752*$W$1752</f>
        <v>47064.5052</v>
      </c>
      <c r="AD1752" s="4">
        <f>$O$1752*$X$1752</f>
        <v>31843.991040000001</v>
      </c>
      <c r="AE1752" s="4">
        <f>$K$1752*$Y$1752</f>
        <v>0</v>
      </c>
      <c r="AF1752" s="4">
        <f ca="1">$M$1752*$Z$1752</f>
        <v>55893.172989812876</v>
      </c>
      <c r="AG1752" s="4">
        <f>$O$1752*$AA$1752</f>
        <v>31903.715896068243</v>
      </c>
    </row>
    <row r="1753" spans="1:33" ht="11.25" customHeight="1" x14ac:dyDescent="0.25">
      <c r="A1753" s="3" t="s">
        <v>21</v>
      </c>
      <c r="B1753" s="3" t="s">
        <v>37</v>
      </c>
      <c r="C1753" s="3" t="s">
        <v>23</v>
      </c>
      <c r="D1753" s="3" t="s">
        <v>52</v>
      </c>
      <c r="E1753" s="3" t="s">
        <v>25</v>
      </c>
      <c r="F1753" s="3" t="s">
        <v>25</v>
      </c>
      <c r="G1753" s="3" t="s">
        <v>25</v>
      </c>
      <c r="H1753" s="3" t="s">
        <v>25</v>
      </c>
      <c r="I1753" s="6">
        <v>44317</v>
      </c>
      <c r="J1753" s="4">
        <v>0</v>
      </c>
      <c r="K1753" s="4">
        <v>0</v>
      </c>
      <c r="L1753" s="4">
        <v>116.85299999999999</v>
      </c>
      <c r="M1753" s="4">
        <v>116.85299999999999</v>
      </c>
      <c r="N1753" s="4">
        <v>116.85299999999999</v>
      </c>
      <c r="O1753" s="4">
        <v>116.85299999999999</v>
      </c>
      <c r="P1753" s="4">
        <v>126</v>
      </c>
      <c r="Q1753" s="3" t="s">
        <v>26</v>
      </c>
      <c r="R1753" s="3">
        <v>0</v>
      </c>
      <c r="S1753" s="4">
        <v>0</v>
      </c>
      <c r="T1753" s="4">
        <v>84</v>
      </c>
      <c r="U1753" s="4">
        <v>7</v>
      </c>
      <c r="V1753" s="4">
        <f>IF(ISERROR(VLOOKUP($S$1753,'TAR FIN'!$A$1:$O$113,15,0)),0,VLOOKUP($S$1753,'TAR FIN'!$A$1:$O$113,15,0))</f>
        <v>0</v>
      </c>
      <c r="W1753" s="4">
        <f>IF(ISERROR(VLOOKUP($T$1753,'TAR FIN'!$A$1:$O$113,15,0)),0,VLOOKUP($T$1753,'TAR FIN'!$A$1:$O$113,15,0))</f>
        <v>346.2</v>
      </c>
      <c r="X1753" s="4">
        <f>IF(ISERROR(VLOOKUP($U$1753,'TAR FIN'!$A$1:$O$113,15,0)),0,VLOOKUP($U$1753,'TAR FIN'!$A$1:$O$113,15,0))</f>
        <v>234.24</v>
      </c>
      <c r="Y1753" s="4"/>
      <c r="Z1753" s="4">
        <f ca="1">('TUSD BE'!$AM$68+'TUSD BF'!$AM$68+'TUSD CVA'!$AM$68)*1</f>
        <v>411.14246090221764</v>
      </c>
      <c r="AA1753" s="4">
        <f>('TE BE'!$AA$47+'TE BF'!$AA$47+'TE CVA'!$AA$47)*1</f>
        <v>234.67932779241937</v>
      </c>
      <c r="AB1753" s="4">
        <f>$K$1753*$V$1753</f>
        <v>0</v>
      </c>
      <c r="AC1753" s="4">
        <f>$M$1753*$W$1753</f>
        <v>40454.508599999994</v>
      </c>
      <c r="AD1753" s="4">
        <f>$O$1753*$X$1753</f>
        <v>27371.646720000001</v>
      </c>
      <c r="AE1753" s="4">
        <f>$K$1753*$Y$1753</f>
        <v>0</v>
      </c>
      <c r="AF1753" s="4">
        <f ca="1">$M$1753*$Z$1753</f>
        <v>48043.229983806836</v>
      </c>
      <c r="AG1753" s="4">
        <f>$O$1753*$AA$1753</f>
        <v>27422.983490527578</v>
      </c>
    </row>
    <row r="1754" spans="1:33" ht="11.25" customHeight="1" x14ac:dyDescent="0.25">
      <c r="A1754" s="3" t="s">
        <v>21</v>
      </c>
      <c r="B1754" s="3" t="s">
        <v>37</v>
      </c>
      <c r="C1754" s="3" t="s">
        <v>23</v>
      </c>
      <c r="D1754" s="3" t="s">
        <v>52</v>
      </c>
      <c r="E1754" s="3" t="s">
        <v>25</v>
      </c>
      <c r="F1754" s="3" t="s">
        <v>25</v>
      </c>
      <c r="G1754" s="3" t="s">
        <v>25</v>
      </c>
      <c r="H1754" s="3" t="s">
        <v>25</v>
      </c>
      <c r="I1754" s="6">
        <v>44348</v>
      </c>
      <c r="J1754" s="4">
        <v>0</v>
      </c>
      <c r="K1754" s="4">
        <v>0</v>
      </c>
      <c r="L1754" s="4">
        <v>110.857</v>
      </c>
      <c r="M1754" s="4">
        <v>110.857</v>
      </c>
      <c r="N1754" s="4">
        <v>110.857</v>
      </c>
      <c r="O1754" s="4">
        <v>110.857</v>
      </c>
      <c r="P1754" s="4">
        <v>122</v>
      </c>
      <c r="Q1754" s="3" t="s">
        <v>26</v>
      </c>
      <c r="R1754" s="3">
        <v>0</v>
      </c>
      <c r="S1754" s="4">
        <v>0</v>
      </c>
      <c r="T1754" s="4">
        <v>84</v>
      </c>
      <c r="U1754" s="4">
        <v>7</v>
      </c>
      <c r="V1754" s="4">
        <f>IF(ISERROR(VLOOKUP($S$1754,'TAR FIN'!$A$1:$O$113,15,0)),0,VLOOKUP($S$1754,'TAR FIN'!$A$1:$O$113,15,0))</f>
        <v>0</v>
      </c>
      <c r="W1754" s="4">
        <f>IF(ISERROR(VLOOKUP($T$1754,'TAR FIN'!$A$1:$O$113,15,0)),0,VLOOKUP($T$1754,'TAR FIN'!$A$1:$O$113,15,0))</f>
        <v>346.2</v>
      </c>
      <c r="X1754" s="4">
        <f>IF(ISERROR(VLOOKUP($U$1754,'TAR FIN'!$A$1:$O$113,15,0)),0,VLOOKUP($U$1754,'TAR FIN'!$A$1:$O$113,15,0))</f>
        <v>234.24</v>
      </c>
      <c r="Y1754" s="4"/>
      <c r="Z1754" s="4">
        <f ca="1">('TUSD BE'!$AM$68+'TUSD BF'!$AM$68+'TUSD CVA'!$AM$68)*1</f>
        <v>411.14246090221764</v>
      </c>
      <c r="AA1754" s="4">
        <f>('TE BE'!$AA$47+'TE BF'!$AA$47+'TE CVA'!$AA$47)*1</f>
        <v>234.67932779241937</v>
      </c>
      <c r="AB1754" s="4">
        <f>$K$1754*$V$1754</f>
        <v>0</v>
      </c>
      <c r="AC1754" s="4">
        <f>$M$1754*$W$1754</f>
        <v>38378.693399999996</v>
      </c>
      <c r="AD1754" s="4">
        <f>$O$1754*$X$1754</f>
        <v>25967.143680000001</v>
      </c>
      <c r="AE1754" s="4">
        <f>$K$1754*$Y$1754</f>
        <v>0</v>
      </c>
      <c r="AF1754" s="4">
        <f ca="1">$M$1754*$Z$1754</f>
        <v>45578.019788237143</v>
      </c>
      <c r="AG1754" s="4">
        <f>$O$1754*$AA$1754</f>
        <v>26015.846241084233</v>
      </c>
    </row>
    <row r="1755" spans="1:33" ht="11.25" customHeight="1" x14ac:dyDescent="0.25">
      <c r="A1755" s="3" t="s">
        <v>27</v>
      </c>
      <c r="B1755" s="3" t="s">
        <v>37</v>
      </c>
      <c r="C1755" s="3" t="s">
        <v>23</v>
      </c>
      <c r="D1755" s="3" t="s">
        <v>52</v>
      </c>
      <c r="E1755" s="3" t="s">
        <v>25</v>
      </c>
      <c r="F1755" s="3" t="s">
        <v>25</v>
      </c>
      <c r="G1755" s="3" t="s">
        <v>25</v>
      </c>
      <c r="H1755" s="3" t="s">
        <v>25</v>
      </c>
      <c r="I1755" s="6">
        <v>44348</v>
      </c>
      <c r="J1755" s="4">
        <v>0</v>
      </c>
      <c r="K1755" s="4">
        <v>0</v>
      </c>
      <c r="L1755" s="4">
        <v>0.1</v>
      </c>
      <c r="M1755" s="4">
        <v>0.1</v>
      </c>
      <c r="N1755" s="4">
        <v>0.1</v>
      </c>
      <c r="O1755" s="4">
        <v>0.1</v>
      </c>
      <c r="P1755" s="4">
        <v>2</v>
      </c>
      <c r="Q1755" s="3" t="s">
        <v>26</v>
      </c>
      <c r="R1755" s="3">
        <v>0</v>
      </c>
      <c r="S1755" s="4">
        <v>0</v>
      </c>
      <c r="T1755" s="4">
        <v>84</v>
      </c>
      <c r="U1755" s="4">
        <v>7</v>
      </c>
      <c r="V1755" s="4">
        <f>IF(ISERROR(VLOOKUP($S$1755,'TAR FIN'!$A$1:$O$113,15,0)),0,VLOOKUP($S$1755,'TAR FIN'!$A$1:$O$113,15,0))</f>
        <v>0</v>
      </c>
      <c r="W1755" s="4">
        <f>IF(ISERROR(VLOOKUP($T$1755,'TAR FIN'!$A$1:$O$113,15,0)),0,VLOOKUP($T$1755,'TAR FIN'!$A$1:$O$113,15,0))</f>
        <v>346.2</v>
      </c>
      <c r="X1755" s="4">
        <f>IF(ISERROR(VLOOKUP($U$1755,'TAR FIN'!$A$1:$O$113,15,0)),0,VLOOKUP($U$1755,'TAR FIN'!$A$1:$O$113,15,0))</f>
        <v>234.24</v>
      </c>
      <c r="Y1755" s="4"/>
      <c r="Z1755" s="4">
        <f ca="1">('TUSD BE'!$AM$68+'TUSD BF'!$AM$68+'TUSD CVA'!$AM$68)*1</f>
        <v>411.14246090221764</v>
      </c>
      <c r="AA1755" s="4">
        <f>('TE BE'!$AA$47+'TE BF'!$AA$47+'TE CVA'!$AA$47)*1</f>
        <v>234.67932779241937</v>
      </c>
      <c r="AB1755" s="4">
        <f>$K$1755*$V$1755</f>
        <v>0</v>
      </c>
      <c r="AC1755" s="4">
        <f>$M$1755*$W$1755</f>
        <v>34.619999999999997</v>
      </c>
      <c r="AD1755" s="4">
        <f>$O$1755*$X$1755</f>
        <v>23.424000000000003</v>
      </c>
      <c r="AE1755" s="4">
        <f>$K$1755*$Y$1755</f>
        <v>0</v>
      </c>
      <c r="AF1755" s="4">
        <f ca="1">$M$1755*$Z$1755</f>
        <v>41.114246090221769</v>
      </c>
      <c r="AG1755" s="4">
        <f>$O$1755*$AA$1755</f>
        <v>23.467932779241938</v>
      </c>
    </row>
    <row r="1756" spans="1:33" ht="11.25" customHeight="1" x14ac:dyDescent="0.25">
      <c r="A1756" s="3" t="s">
        <v>21</v>
      </c>
      <c r="B1756" s="3" t="s">
        <v>37</v>
      </c>
      <c r="C1756" s="3" t="s">
        <v>23</v>
      </c>
      <c r="D1756" s="3" t="s">
        <v>52</v>
      </c>
      <c r="E1756" s="3" t="s">
        <v>25</v>
      </c>
      <c r="F1756" s="3" t="s">
        <v>25</v>
      </c>
      <c r="G1756" s="3" t="s">
        <v>25</v>
      </c>
      <c r="H1756" s="3" t="s">
        <v>25</v>
      </c>
      <c r="I1756" s="6">
        <v>44378</v>
      </c>
      <c r="J1756" s="4">
        <v>0</v>
      </c>
      <c r="K1756" s="4">
        <v>0</v>
      </c>
      <c r="L1756" s="4">
        <v>110.09099999999999</v>
      </c>
      <c r="M1756" s="4">
        <v>110.09099999999999</v>
      </c>
      <c r="N1756" s="4">
        <v>110.09099999999999</v>
      </c>
      <c r="O1756" s="4">
        <v>110.09099999999999</v>
      </c>
      <c r="P1756" s="4">
        <v>124</v>
      </c>
      <c r="Q1756" s="3" t="s">
        <v>26</v>
      </c>
      <c r="R1756" s="3">
        <v>0</v>
      </c>
      <c r="S1756" s="4">
        <v>0</v>
      </c>
      <c r="T1756" s="4">
        <v>84</v>
      </c>
      <c r="U1756" s="4">
        <v>7</v>
      </c>
      <c r="V1756" s="4">
        <f>IF(ISERROR(VLOOKUP($S$1756,'TAR FIN'!$A$1:$O$113,15,0)),0,VLOOKUP($S$1756,'TAR FIN'!$A$1:$O$113,15,0))</f>
        <v>0</v>
      </c>
      <c r="W1756" s="4">
        <f>IF(ISERROR(VLOOKUP($T$1756,'TAR FIN'!$A$1:$O$113,15,0)),0,VLOOKUP($T$1756,'TAR FIN'!$A$1:$O$113,15,0))</f>
        <v>346.2</v>
      </c>
      <c r="X1756" s="4">
        <f>IF(ISERROR(VLOOKUP($U$1756,'TAR FIN'!$A$1:$O$113,15,0)),0,VLOOKUP($U$1756,'TAR FIN'!$A$1:$O$113,15,0))</f>
        <v>234.24</v>
      </c>
      <c r="Y1756" s="4"/>
      <c r="Z1756" s="4">
        <f ca="1">('TUSD BE'!$AM$68+'TUSD BF'!$AM$68+'TUSD CVA'!$AM$68)*1</f>
        <v>411.14246090221764</v>
      </c>
      <c r="AA1756" s="4">
        <f>('TE BE'!$AA$47+'TE BF'!$AA$47+'TE CVA'!$AA$47)*1</f>
        <v>234.67932779241937</v>
      </c>
      <c r="AB1756" s="4">
        <f>$K$1756*$V$1756</f>
        <v>0</v>
      </c>
      <c r="AC1756" s="4">
        <f>$M$1756*$W$1756</f>
        <v>38113.504199999996</v>
      </c>
      <c r="AD1756" s="4">
        <f>$O$1756*$X$1756</f>
        <v>25787.715840000001</v>
      </c>
      <c r="AE1756" s="4">
        <f>$K$1756*$Y$1756</f>
        <v>0</v>
      </c>
      <c r="AF1756" s="4">
        <f ca="1">$M$1756*$Z$1756</f>
        <v>45263.08466318604</v>
      </c>
      <c r="AG1756" s="4">
        <f>$O$1756*$AA$1756</f>
        <v>25836.081875995238</v>
      </c>
    </row>
    <row r="1757" spans="1:33" ht="11.25" customHeight="1" x14ac:dyDescent="0.25">
      <c r="A1757" s="3" t="s">
        <v>21</v>
      </c>
      <c r="B1757" s="3" t="s">
        <v>37</v>
      </c>
      <c r="C1757" s="3" t="s">
        <v>23</v>
      </c>
      <c r="D1757" s="3" t="s">
        <v>52</v>
      </c>
      <c r="E1757" s="3" t="s">
        <v>25</v>
      </c>
      <c r="F1757" s="3" t="s">
        <v>25</v>
      </c>
      <c r="G1757" s="3" t="s">
        <v>25</v>
      </c>
      <c r="H1757" s="3" t="s">
        <v>25</v>
      </c>
      <c r="I1757" s="6">
        <v>44409</v>
      </c>
      <c r="J1757" s="4">
        <v>0</v>
      </c>
      <c r="K1757" s="4">
        <v>0</v>
      </c>
      <c r="L1757" s="4">
        <v>107.078</v>
      </c>
      <c r="M1757" s="4">
        <v>107.078</v>
      </c>
      <c r="N1757" s="4">
        <v>107.078</v>
      </c>
      <c r="O1757" s="4">
        <v>107.078</v>
      </c>
      <c r="P1757" s="4">
        <v>124</v>
      </c>
      <c r="Q1757" s="3" t="s">
        <v>26</v>
      </c>
      <c r="R1757" s="3">
        <v>0</v>
      </c>
      <c r="S1757" s="4">
        <v>0</v>
      </c>
      <c r="T1757" s="4">
        <v>84</v>
      </c>
      <c r="U1757" s="4">
        <v>7</v>
      </c>
      <c r="V1757" s="4">
        <f>IF(ISERROR(VLOOKUP($S$1757,'TAR FIN'!$A$1:$O$113,15,0)),0,VLOOKUP($S$1757,'TAR FIN'!$A$1:$O$113,15,0))</f>
        <v>0</v>
      </c>
      <c r="W1757" s="4">
        <f>IF(ISERROR(VLOOKUP($T$1757,'TAR FIN'!$A$1:$O$113,15,0)),0,VLOOKUP($T$1757,'TAR FIN'!$A$1:$O$113,15,0))</f>
        <v>346.2</v>
      </c>
      <c r="X1757" s="4">
        <f>IF(ISERROR(VLOOKUP($U$1757,'TAR FIN'!$A$1:$O$113,15,0)),0,VLOOKUP($U$1757,'TAR FIN'!$A$1:$O$113,15,0))</f>
        <v>234.24</v>
      </c>
      <c r="Y1757" s="4"/>
      <c r="Z1757" s="4">
        <f ca="1">('TUSD BE'!$AM$68+'TUSD BF'!$AM$68+'TUSD CVA'!$AM$68)*1</f>
        <v>411.14246090221764</v>
      </c>
      <c r="AA1757" s="4">
        <f>('TE BE'!$AA$47+'TE BF'!$AA$47+'TE CVA'!$AA$47)*1</f>
        <v>234.67932779241937</v>
      </c>
      <c r="AB1757" s="4">
        <f>$K$1757*$V$1757</f>
        <v>0</v>
      </c>
      <c r="AC1757" s="4">
        <f>$M$1757*$W$1757</f>
        <v>37070.403599999998</v>
      </c>
      <c r="AD1757" s="4">
        <f>$O$1757*$X$1757</f>
        <v>25081.950720000001</v>
      </c>
      <c r="AE1757" s="4">
        <f>$K$1757*$Y$1757</f>
        <v>0</v>
      </c>
      <c r="AF1757" s="4">
        <f ca="1">$M$1757*$Z$1757</f>
        <v>44024.312428487661</v>
      </c>
      <c r="AG1757" s="4">
        <f>$O$1757*$AA$1757</f>
        <v>25128.993061356683</v>
      </c>
    </row>
    <row r="1758" spans="1:33" ht="11.25" customHeight="1" x14ac:dyDescent="0.25">
      <c r="A1758" s="3" t="s">
        <v>21</v>
      </c>
      <c r="B1758" s="3" t="s">
        <v>37</v>
      </c>
      <c r="C1758" s="3" t="s">
        <v>23</v>
      </c>
      <c r="D1758" s="3" t="s">
        <v>52</v>
      </c>
      <c r="E1758" s="3" t="s">
        <v>25</v>
      </c>
      <c r="F1758" s="3" t="s">
        <v>25</v>
      </c>
      <c r="G1758" s="3" t="s">
        <v>25</v>
      </c>
      <c r="H1758" s="3" t="s">
        <v>25</v>
      </c>
      <c r="I1758" s="6">
        <v>44440</v>
      </c>
      <c r="J1758" s="4">
        <v>0</v>
      </c>
      <c r="K1758" s="4">
        <v>0</v>
      </c>
      <c r="L1758" s="4">
        <v>112.01900000000001</v>
      </c>
      <c r="M1758" s="4">
        <v>112.01900000000001</v>
      </c>
      <c r="N1758" s="4">
        <v>112.01900000000001</v>
      </c>
      <c r="O1758" s="4">
        <v>112.01900000000001</v>
      </c>
      <c r="P1758" s="4">
        <v>115</v>
      </c>
      <c r="Q1758" s="3" t="s">
        <v>26</v>
      </c>
      <c r="R1758" s="3">
        <v>0</v>
      </c>
      <c r="S1758" s="4">
        <v>0</v>
      </c>
      <c r="T1758" s="4">
        <v>84</v>
      </c>
      <c r="U1758" s="4">
        <v>7</v>
      </c>
      <c r="V1758" s="4">
        <f>IF(ISERROR(VLOOKUP($S$1758,'TAR FIN'!$A$1:$O$113,15,0)),0,VLOOKUP($S$1758,'TAR FIN'!$A$1:$O$113,15,0))</f>
        <v>0</v>
      </c>
      <c r="W1758" s="4">
        <f>IF(ISERROR(VLOOKUP($T$1758,'TAR FIN'!$A$1:$O$113,15,0)),0,VLOOKUP($T$1758,'TAR FIN'!$A$1:$O$113,15,0))</f>
        <v>346.2</v>
      </c>
      <c r="X1758" s="4">
        <f>IF(ISERROR(VLOOKUP($U$1758,'TAR FIN'!$A$1:$O$113,15,0)),0,VLOOKUP($U$1758,'TAR FIN'!$A$1:$O$113,15,0))</f>
        <v>234.24</v>
      </c>
      <c r="Y1758" s="4"/>
      <c r="Z1758" s="4">
        <f ca="1">('TUSD BE'!$AM$68+'TUSD BF'!$AM$68+'TUSD CVA'!$AM$68)*1</f>
        <v>411.14246090221764</v>
      </c>
      <c r="AA1758" s="4">
        <f>('TE BE'!$AA$47+'TE BF'!$AA$47+'TE CVA'!$AA$47)*1</f>
        <v>234.67932779241937</v>
      </c>
      <c r="AB1758" s="4">
        <f>$K$1758*$V$1758</f>
        <v>0</v>
      </c>
      <c r="AC1758" s="4">
        <f>$M$1758*$W$1758</f>
        <v>38780.977800000001</v>
      </c>
      <c r="AD1758" s="4">
        <f>$O$1758*$X$1758</f>
        <v>26239.330560000002</v>
      </c>
      <c r="AE1758" s="4">
        <f>$K$1758*$Y$1758</f>
        <v>0</v>
      </c>
      <c r="AF1758" s="4">
        <f ca="1">$M$1758*$Z$1758</f>
        <v>46055.767327805523</v>
      </c>
      <c r="AG1758" s="4">
        <f>$O$1758*$AA$1758</f>
        <v>26288.543619979027</v>
      </c>
    </row>
    <row r="1759" spans="1:33" ht="11.25" customHeight="1" x14ac:dyDescent="0.25">
      <c r="A1759" s="3" t="s">
        <v>21</v>
      </c>
      <c r="B1759" s="3" t="s">
        <v>37</v>
      </c>
      <c r="C1759" s="3" t="s">
        <v>23</v>
      </c>
      <c r="D1759" s="3" t="s">
        <v>52</v>
      </c>
      <c r="E1759" s="3" t="s">
        <v>25</v>
      </c>
      <c r="F1759" s="3" t="s">
        <v>25</v>
      </c>
      <c r="G1759" s="3" t="s">
        <v>25</v>
      </c>
      <c r="H1759" s="3" t="s">
        <v>25</v>
      </c>
      <c r="I1759" s="6">
        <v>44470</v>
      </c>
      <c r="J1759" s="4">
        <v>0</v>
      </c>
      <c r="K1759" s="4">
        <v>0</v>
      </c>
      <c r="L1759" s="4">
        <v>125.72799999999999</v>
      </c>
      <c r="M1759" s="4">
        <v>125.72799999999999</v>
      </c>
      <c r="N1759" s="4">
        <v>125.72799999999999</v>
      </c>
      <c r="O1759" s="4">
        <v>125.72799999999999</v>
      </c>
      <c r="P1759" s="4">
        <v>114</v>
      </c>
      <c r="Q1759" s="3" t="s">
        <v>26</v>
      </c>
      <c r="R1759" s="3">
        <v>0</v>
      </c>
      <c r="S1759" s="4">
        <v>0</v>
      </c>
      <c r="T1759" s="4">
        <v>84</v>
      </c>
      <c r="U1759" s="4">
        <v>7</v>
      </c>
      <c r="V1759" s="4">
        <f>IF(ISERROR(VLOOKUP($S$1759,'TAR FIN'!$A$1:$O$113,15,0)),0,VLOOKUP($S$1759,'TAR FIN'!$A$1:$O$113,15,0))</f>
        <v>0</v>
      </c>
      <c r="W1759" s="4">
        <f>IF(ISERROR(VLOOKUP($T$1759,'TAR FIN'!$A$1:$O$113,15,0)),0,VLOOKUP($T$1759,'TAR FIN'!$A$1:$O$113,15,0))</f>
        <v>346.2</v>
      </c>
      <c r="X1759" s="4">
        <f>IF(ISERROR(VLOOKUP($U$1759,'TAR FIN'!$A$1:$O$113,15,0)),0,VLOOKUP($U$1759,'TAR FIN'!$A$1:$O$113,15,0))</f>
        <v>234.24</v>
      </c>
      <c r="Y1759" s="4"/>
      <c r="Z1759" s="4">
        <f ca="1">('TUSD BE'!$AM$68+'TUSD BF'!$AM$68+'TUSD CVA'!$AM$68)*1</f>
        <v>411.14246090221764</v>
      </c>
      <c r="AA1759" s="4">
        <f>('TE BE'!$AA$47+'TE BF'!$AA$47+'TE CVA'!$AA$47)*1</f>
        <v>234.67932779241937</v>
      </c>
      <c r="AB1759" s="4">
        <f>$K$1759*$V$1759</f>
        <v>0</v>
      </c>
      <c r="AC1759" s="4">
        <f>$M$1759*$W$1759</f>
        <v>43527.033599999995</v>
      </c>
      <c r="AD1759" s="4">
        <f>$O$1759*$X$1759</f>
        <v>29450.526719999998</v>
      </c>
      <c r="AE1759" s="4">
        <f>$K$1759*$Y$1759</f>
        <v>0</v>
      </c>
      <c r="AF1759" s="4">
        <f ca="1">$M$1759*$Z$1759</f>
        <v>51692.119324314015</v>
      </c>
      <c r="AG1759" s="4">
        <f>$O$1759*$AA$1759</f>
        <v>29505.762524685302</v>
      </c>
    </row>
    <row r="1760" spans="1:33" ht="11.25" customHeight="1" x14ac:dyDescent="0.25">
      <c r="A1760" s="3" t="s">
        <v>21</v>
      </c>
      <c r="B1760" s="3" t="s">
        <v>37</v>
      </c>
      <c r="C1760" s="3" t="s">
        <v>23</v>
      </c>
      <c r="D1760" s="3" t="s">
        <v>52</v>
      </c>
      <c r="E1760" s="3" t="s">
        <v>25</v>
      </c>
      <c r="F1760" s="3" t="s">
        <v>25</v>
      </c>
      <c r="G1760" s="3" t="s">
        <v>25</v>
      </c>
      <c r="H1760" s="3" t="s">
        <v>25</v>
      </c>
      <c r="I1760" s="6">
        <v>44501</v>
      </c>
      <c r="J1760" s="4">
        <v>0</v>
      </c>
      <c r="K1760" s="4">
        <v>0</v>
      </c>
      <c r="L1760" s="4">
        <v>131.577</v>
      </c>
      <c r="M1760" s="4">
        <v>131.577</v>
      </c>
      <c r="N1760" s="4">
        <v>131.577</v>
      </c>
      <c r="O1760" s="4">
        <v>131.577</v>
      </c>
      <c r="P1760" s="4">
        <v>122</v>
      </c>
      <c r="Q1760" s="3" t="s">
        <v>26</v>
      </c>
      <c r="R1760" s="3">
        <v>0</v>
      </c>
      <c r="S1760" s="4">
        <v>0</v>
      </c>
      <c r="T1760" s="4">
        <v>84</v>
      </c>
      <c r="U1760" s="4">
        <v>7</v>
      </c>
      <c r="V1760" s="4">
        <f>IF(ISERROR(VLOOKUP($S$1760,'TAR FIN'!$A$1:$O$113,15,0)),0,VLOOKUP($S$1760,'TAR FIN'!$A$1:$O$113,15,0))</f>
        <v>0</v>
      </c>
      <c r="W1760" s="4">
        <f>IF(ISERROR(VLOOKUP($T$1760,'TAR FIN'!$A$1:$O$113,15,0)),0,VLOOKUP($T$1760,'TAR FIN'!$A$1:$O$113,15,0))</f>
        <v>346.2</v>
      </c>
      <c r="X1760" s="4">
        <f>IF(ISERROR(VLOOKUP($U$1760,'TAR FIN'!$A$1:$O$113,15,0)),0,VLOOKUP($U$1760,'TAR FIN'!$A$1:$O$113,15,0))</f>
        <v>234.24</v>
      </c>
      <c r="Y1760" s="4"/>
      <c r="Z1760" s="4">
        <f ca="1">('TUSD BE'!$AM$68+'TUSD BF'!$AM$68+'TUSD CVA'!$AM$68)*1</f>
        <v>411.14246090221764</v>
      </c>
      <c r="AA1760" s="4">
        <f>('TE BE'!$AA$47+'TE BF'!$AA$47+'TE CVA'!$AA$47)*1</f>
        <v>234.67932779241937</v>
      </c>
      <c r="AB1760" s="4">
        <f>$K$1760*$V$1760</f>
        <v>0</v>
      </c>
      <c r="AC1760" s="4">
        <f>$M$1760*$W$1760</f>
        <v>45551.957399999999</v>
      </c>
      <c r="AD1760" s="4">
        <f>$O$1760*$X$1760</f>
        <v>30820.59648</v>
      </c>
      <c r="AE1760" s="4">
        <f>$K$1760*$Y$1760</f>
        <v>0</v>
      </c>
      <c r="AF1760" s="4">
        <f ca="1">$M$1760*$Z$1760</f>
        <v>54096.891578131086</v>
      </c>
      <c r="AG1760" s="4">
        <f>$O$1760*$AA$1760</f>
        <v>30878.401912943162</v>
      </c>
    </row>
    <row r="1761" spans="1:33" ht="11.25" customHeight="1" x14ac:dyDescent="0.25">
      <c r="A1761" s="3" t="s">
        <v>21</v>
      </c>
      <c r="B1761" s="3" t="s">
        <v>37</v>
      </c>
      <c r="C1761" s="3" t="s">
        <v>23</v>
      </c>
      <c r="D1761" s="3" t="s">
        <v>52</v>
      </c>
      <c r="E1761" s="3" t="s">
        <v>25</v>
      </c>
      <c r="F1761" s="3" t="s">
        <v>25</v>
      </c>
      <c r="G1761" s="3" t="s">
        <v>25</v>
      </c>
      <c r="H1761" s="3" t="s">
        <v>25</v>
      </c>
      <c r="I1761" s="6">
        <v>44531</v>
      </c>
      <c r="J1761" s="4">
        <v>0</v>
      </c>
      <c r="K1761" s="4">
        <v>0</v>
      </c>
      <c r="L1761" s="4">
        <v>144.143</v>
      </c>
      <c r="M1761" s="4">
        <v>144.143</v>
      </c>
      <c r="N1761" s="4">
        <v>144.143</v>
      </c>
      <c r="O1761" s="4">
        <v>144.143</v>
      </c>
      <c r="P1761" s="4">
        <v>114</v>
      </c>
      <c r="Q1761" s="3" t="s">
        <v>26</v>
      </c>
      <c r="R1761" s="3">
        <v>0</v>
      </c>
      <c r="S1761" s="4">
        <v>0</v>
      </c>
      <c r="T1761" s="4">
        <v>84</v>
      </c>
      <c r="U1761" s="4">
        <v>7</v>
      </c>
      <c r="V1761" s="4">
        <f>IF(ISERROR(VLOOKUP($S$1761,'TAR FIN'!$A$1:$O$113,15,0)),0,VLOOKUP($S$1761,'TAR FIN'!$A$1:$O$113,15,0))</f>
        <v>0</v>
      </c>
      <c r="W1761" s="4">
        <f>IF(ISERROR(VLOOKUP($T$1761,'TAR FIN'!$A$1:$O$113,15,0)),0,VLOOKUP($T$1761,'TAR FIN'!$A$1:$O$113,15,0))</f>
        <v>346.2</v>
      </c>
      <c r="X1761" s="4">
        <f>IF(ISERROR(VLOOKUP($U$1761,'TAR FIN'!$A$1:$O$113,15,0)),0,VLOOKUP($U$1761,'TAR FIN'!$A$1:$O$113,15,0))</f>
        <v>234.24</v>
      </c>
      <c r="Y1761" s="4"/>
      <c r="Z1761" s="4">
        <f ca="1">('TUSD BE'!$AM$68+'TUSD BF'!$AM$68+'TUSD CVA'!$AM$68)*1</f>
        <v>411.14246090221764</v>
      </c>
      <c r="AA1761" s="4">
        <f>('TE BE'!$AA$47+'TE BF'!$AA$47+'TE CVA'!$AA$47)*1</f>
        <v>234.67932779241937</v>
      </c>
      <c r="AB1761" s="4">
        <f>$K$1761*$V$1761</f>
        <v>0</v>
      </c>
      <c r="AC1761" s="4">
        <f>$M$1761*$W$1761</f>
        <v>49902.306599999996</v>
      </c>
      <c r="AD1761" s="4">
        <f>$O$1761*$X$1761</f>
        <v>33764.056320000003</v>
      </c>
      <c r="AE1761" s="4">
        <f>$K$1761*$Y$1761</f>
        <v>0</v>
      </c>
      <c r="AF1761" s="4">
        <f ca="1">$M$1761*$Z$1761</f>
        <v>59263.307741828357</v>
      </c>
      <c r="AG1761" s="4">
        <f>$O$1761*$AA$1761</f>
        <v>33827.382345982704</v>
      </c>
    </row>
    <row r="1762" spans="1:33" ht="11.25" customHeight="1" x14ac:dyDescent="0.25">
      <c r="A1762" s="3" t="s">
        <v>21</v>
      </c>
      <c r="B1762" s="3" t="s">
        <v>37</v>
      </c>
      <c r="C1762" s="3" t="s">
        <v>23</v>
      </c>
      <c r="D1762" s="3" t="s">
        <v>52</v>
      </c>
      <c r="E1762" s="3" t="s">
        <v>25</v>
      </c>
      <c r="F1762" s="3" t="s">
        <v>25</v>
      </c>
      <c r="G1762" s="3" t="s">
        <v>25</v>
      </c>
      <c r="H1762" s="3" t="s">
        <v>25</v>
      </c>
      <c r="I1762" s="6">
        <v>44562</v>
      </c>
      <c r="J1762" s="4">
        <v>0</v>
      </c>
      <c r="K1762" s="4">
        <v>0</v>
      </c>
      <c r="L1762" s="4">
        <v>138.63300000000001</v>
      </c>
      <c r="M1762" s="4">
        <v>138.63300000000001</v>
      </c>
      <c r="N1762" s="4">
        <v>138.63300000000001</v>
      </c>
      <c r="O1762" s="4">
        <v>138.63300000000001</v>
      </c>
      <c r="P1762" s="4">
        <v>105</v>
      </c>
      <c r="Q1762" s="3" t="s">
        <v>26</v>
      </c>
      <c r="R1762" s="3">
        <v>0</v>
      </c>
      <c r="S1762" s="4">
        <v>0</v>
      </c>
      <c r="T1762" s="4">
        <v>84</v>
      </c>
      <c r="U1762" s="4">
        <v>7</v>
      </c>
      <c r="V1762" s="4">
        <f>IF(ISERROR(VLOOKUP($S$1762,'TAR FIN'!$A$1:$O$113,15,0)),0,VLOOKUP($S$1762,'TAR FIN'!$A$1:$O$113,15,0))</f>
        <v>0</v>
      </c>
      <c r="W1762" s="4">
        <f>IF(ISERROR(VLOOKUP($T$1762,'TAR FIN'!$A$1:$O$113,15,0)),0,VLOOKUP($T$1762,'TAR FIN'!$A$1:$O$113,15,0))</f>
        <v>346.2</v>
      </c>
      <c r="X1762" s="4">
        <f>IF(ISERROR(VLOOKUP($U$1762,'TAR FIN'!$A$1:$O$113,15,0)),0,VLOOKUP($U$1762,'TAR FIN'!$A$1:$O$113,15,0))</f>
        <v>234.24</v>
      </c>
      <c r="Y1762" s="4"/>
      <c r="Z1762" s="4">
        <f ca="1">('TUSD BE'!$AM$68+'TUSD BF'!$AM$68+'TUSD CVA'!$AM$68)*1</f>
        <v>411.14246090221764</v>
      </c>
      <c r="AA1762" s="4">
        <f>('TE BE'!$AA$47+'TE BF'!$AA$47+'TE CVA'!$AA$47)*1</f>
        <v>234.67932779241937</v>
      </c>
      <c r="AB1762" s="4">
        <f>$K$1762*$V$1762</f>
        <v>0</v>
      </c>
      <c r="AC1762" s="4">
        <f>$M$1762*$W$1762</f>
        <v>47994.744600000005</v>
      </c>
      <c r="AD1762" s="4">
        <f>$O$1762*$X$1762</f>
        <v>32473.393920000002</v>
      </c>
      <c r="AE1762" s="4">
        <f>$K$1762*$Y$1762</f>
        <v>0</v>
      </c>
      <c r="AF1762" s="4">
        <f ca="1">$M$1762*$Z$1762</f>
        <v>56997.912782257139</v>
      </c>
      <c r="AG1762" s="4">
        <f>$O$1762*$AA$1762</f>
        <v>32534.299249846477</v>
      </c>
    </row>
    <row r="1763" spans="1:33" ht="11.25" customHeight="1" x14ac:dyDescent="0.25">
      <c r="A1763" s="3" t="s">
        <v>21</v>
      </c>
      <c r="B1763" s="3" t="s">
        <v>37</v>
      </c>
      <c r="C1763" s="3" t="s">
        <v>23</v>
      </c>
      <c r="D1763" s="3" t="s">
        <v>52</v>
      </c>
      <c r="E1763" s="3" t="s">
        <v>25</v>
      </c>
      <c r="F1763" s="3" t="s">
        <v>25</v>
      </c>
      <c r="G1763" s="3" t="s">
        <v>25</v>
      </c>
      <c r="H1763" s="3" t="s">
        <v>25</v>
      </c>
      <c r="I1763" s="6">
        <v>44593</v>
      </c>
      <c r="J1763" s="4">
        <v>0</v>
      </c>
      <c r="K1763" s="4">
        <v>0</v>
      </c>
      <c r="L1763" s="4">
        <v>139.43199999999999</v>
      </c>
      <c r="M1763" s="4">
        <v>139.43199999999999</v>
      </c>
      <c r="N1763" s="4">
        <v>139.43199999999999</v>
      </c>
      <c r="O1763" s="4">
        <v>139.43199999999999</v>
      </c>
      <c r="P1763" s="4">
        <v>109</v>
      </c>
      <c r="Q1763" s="3" t="s">
        <v>26</v>
      </c>
      <c r="R1763" s="3">
        <v>0</v>
      </c>
      <c r="S1763" s="4">
        <v>0</v>
      </c>
      <c r="T1763" s="4">
        <v>84</v>
      </c>
      <c r="U1763" s="4">
        <v>7</v>
      </c>
      <c r="V1763" s="4">
        <f>IF(ISERROR(VLOOKUP($S$1763,'TAR FIN'!$A$1:$O$113,15,0)),0,VLOOKUP($S$1763,'TAR FIN'!$A$1:$O$113,15,0))</f>
        <v>0</v>
      </c>
      <c r="W1763" s="4">
        <f>IF(ISERROR(VLOOKUP($T$1763,'TAR FIN'!$A$1:$O$113,15,0)),0,VLOOKUP($T$1763,'TAR FIN'!$A$1:$O$113,15,0))</f>
        <v>346.2</v>
      </c>
      <c r="X1763" s="4">
        <f>IF(ISERROR(VLOOKUP($U$1763,'TAR FIN'!$A$1:$O$113,15,0)),0,VLOOKUP($U$1763,'TAR FIN'!$A$1:$O$113,15,0))</f>
        <v>234.24</v>
      </c>
      <c r="Y1763" s="4"/>
      <c r="Z1763" s="4">
        <f ca="1">('TUSD BE'!$AM$68+'TUSD BF'!$AM$68+'TUSD CVA'!$AM$68)*1</f>
        <v>411.14246090221764</v>
      </c>
      <c r="AA1763" s="4">
        <f>('TE BE'!$AA$47+'TE BF'!$AA$47+'TE CVA'!$AA$47)*1</f>
        <v>234.67932779241937</v>
      </c>
      <c r="AB1763" s="4">
        <f>$K$1763*$V$1763</f>
        <v>0</v>
      </c>
      <c r="AC1763" s="4">
        <f>$M$1763*$W$1763</f>
        <v>48271.358399999997</v>
      </c>
      <c r="AD1763" s="4">
        <f>$O$1763*$X$1763</f>
        <v>32660.551679999997</v>
      </c>
      <c r="AE1763" s="4">
        <f>$K$1763*$Y$1763</f>
        <v>0</v>
      </c>
      <c r="AF1763" s="4">
        <f ca="1">$M$1763*$Z$1763</f>
        <v>57326.415608518008</v>
      </c>
      <c r="AG1763" s="4">
        <f>$O$1763*$AA$1763</f>
        <v>32721.808032752615</v>
      </c>
    </row>
    <row r="1764" spans="1:33" ht="11.25" customHeight="1" x14ac:dyDescent="0.25">
      <c r="A1764" s="3" t="s">
        <v>56</v>
      </c>
      <c r="B1764" s="3" t="s">
        <v>37</v>
      </c>
      <c r="C1764" s="3" t="s">
        <v>23</v>
      </c>
      <c r="D1764" s="3" t="s">
        <v>52</v>
      </c>
      <c r="E1764" s="3" t="s">
        <v>25</v>
      </c>
      <c r="F1764" s="3" t="s">
        <v>25</v>
      </c>
      <c r="G1764" s="3" t="s">
        <v>25</v>
      </c>
      <c r="H1764" s="3" t="s">
        <v>25</v>
      </c>
      <c r="I1764" s="6">
        <v>44621</v>
      </c>
      <c r="J1764" s="4">
        <v>0</v>
      </c>
      <c r="K1764" s="4">
        <v>0</v>
      </c>
      <c r="L1764" s="4">
        <v>139.43199999999999</v>
      </c>
      <c r="M1764" s="4">
        <v>139.43199999999999</v>
      </c>
      <c r="N1764" s="4">
        <v>139.43199999999999</v>
      </c>
      <c r="O1764" s="4">
        <v>139.43199999999999</v>
      </c>
      <c r="P1764" s="4">
        <v>109</v>
      </c>
      <c r="Q1764" s="3" t="s">
        <v>26</v>
      </c>
      <c r="R1764" s="3">
        <v>0</v>
      </c>
      <c r="S1764" s="4">
        <v>0</v>
      </c>
      <c r="T1764" s="4">
        <v>84</v>
      </c>
      <c r="U1764" s="4">
        <v>7</v>
      </c>
      <c r="V1764" s="4">
        <f>IF(ISERROR(VLOOKUP($S$1764,'TAR FIN'!$A$1:$O$113,15,0)),0,VLOOKUP($S$1764,'TAR FIN'!$A$1:$O$113,15,0))</f>
        <v>0</v>
      </c>
      <c r="W1764" s="4">
        <f>IF(ISERROR(VLOOKUP($T$1764,'TAR FIN'!$A$1:$O$113,15,0)),0,VLOOKUP($T$1764,'TAR FIN'!$A$1:$O$113,15,0))</f>
        <v>346.2</v>
      </c>
      <c r="X1764" s="4">
        <f>IF(ISERROR(VLOOKUP($U$1764,'TAR FIN'!$A$1:$O$113,15,0)),0,VLOOKUP($U$1764,'TAR FIN'!$A$1:$O$113,15,0))</f>
        <v>234.24</v>
      </c>
      <c r="Y1764" s="4"/>
      <c r="Z1764" s="4">
        <f ca="1">('TUSD BE'!$AM$68+'TUSD BF'!$AM$68+'TUSD CVA'!$AM$68)*1</f>
        <v>411.14246090221764</v>
      </c>
      <c r="AA1764" s="4">
        <f>('TE BE'!$AA$47+'TE BF'!$AA$47+'TE CVA'!$AA$47)*1</f>
        <v>234.67932779241937</v>
      </c>
      <c r="AB1764" s="4">
        <f>$K$1764*$V$1764</f>
        <v>0</v>
      </c>
      <c r="AC1764" s="4">
        <f>$M$1764*$W$1764</f>
        <v>48271.358399999997</v>
      </c>
      <c r="AD1764" s="4">
        <f>$O$1764*$X$1764</f>
        <v>32660.551679999997</v>
      </c>
      <c r="AE1764" s="4">
        <f>$K$1764*$Y$1764</f>
        <v>0</v>
      </c>
      <c r="AF1764" s="4">
        <f ca="1">$M$1764*$Z$1764</f>
        <v>57326.415608518008</v>
      </c>
      <c r="AG1764" s="4">
        <f>$O$1764*$AA$1764</f>
        <v>32721.808032752615</v>
      </c>
    </row>
    <row r="1765" spans="1:33" ht="11.25" customHeight="1" x14ac:dyDescent="0.25">
      <c r="A1765" s="3" t="s">
        <v>21</v>
      </c>
      <c r="B1765" s="3" t="s">
        <v>37</v>
      </c>
      <c r="C1765" s="3" t="s">
        <v>23</v>
      </c>
      <c r="D1765" s="3" t="s">
        <v>38</v>
      </c>
      <c r="E1765" s="3" t="s">
        <v>25</v>
      </c>
      <c r="F1765" s="3" t="s">
        <v>25</v>
      </c>
      <c r="G1765" s="3" t="s">
        <v>25</v>
      </c>
      <c r="H1765" s="3" t="s">
        <v>25</v>
      </c>
      <c r="I1765" s="6">
        <v>44287</v>
      </c>
      <c r="J1765" s="4">
        <v>0</v>
      </c>
      <c r="K1765" s="4">
        <v>0</v>
      </c>
      <c r="L1765" s="4">
        <v>1293.548</v>
      </c>
      <c r="M1765" s="4">
        <v>1293.548</v>
      </c>
      <c r="N1765" s="4">
        <v>1293.548</v>
      </c>
      <c r="O1765" s="4">
        <v>1293.548</v>
      </c>
      <c r="P1765" s="4">
        <v>683</v>
      </c>
      <c r="Q1765" s="3" t="s">
        <v>26</v>
      </c>
      <c r="R1765" s="3">
        <v>0</v>
      </c>
      <c r="S1765" s="4">
        <v>0</v>
      </c>
      <c r="T1765" s="4">
        <v>84</v>
      </c>
      <c r="U1765" s="4">
        <v>7</v>
      </c>
      <c r="V1765" s="4">
        <f>IF(ISERROR(VLOOKUP($S$1765,'TAR FIN'!$A$1:$O$113,15,0)),0,VLOOKUP($S$1765,'TAR FIN'!$A$1:$O$113,15,0))</f>
        <v>0</v>
      </c>
      <c r="W1765" s="4">
        <f>IF(ISERROR(VLOOKUP($T$1765,'TAR FIN'!$A$1:$O$113,15,0)),0,VLOOKUP($T$1765,'TAR FIN'!$A$1:$O$113,15,0))</f>
        <v>346.2</v>
      </c>
      <c r="X1765" s="4">
        <f>IF(ISERROR(VLOOKUP($U$1765,'TAR FIN'!$A$1:$O$113,15,0)),0,VLOOKUP($U$1765,'TAR FIN'!$A$1:$O$113,15,0))</f>
        <v>234.24</v>
      </c>
      <c r="Y1765" s="4"/>
      <c r="Z1765" s="4">
        <f ca="1">('TUSD BE'!$AM$68+'TUSD BF'!$AM$68+'TUSD CVA'!$AM$68)*1</f>
        <v>411.14246090221764</v>
      </c>
      <c r="AA1765" s="4">
        <f>('TE BE'!$AA$47+'TE BF'!$AA$47+'TE CVA'!$AA$47)*1</f>
        <v>234.67932779241937</v>
      </c>
      <c r="AB1765" s="4">
        <f>$K$1765*$V$1765</f>
        <v>0</v>
      </c>
      <c r="AC1765" s="4">
        <f>$M$1765*$W$1765</f>
        <v>447826.31760000001</v>
      </c>
      <c r="AD1765" s="4">
        <f>$O$1765*$X$1765</f>
        <v>303000.68352000002</v>
      </c>
      <c r="AE1765" s="4">
        <f>$K$1765*$Y$1765</f>
        <v>0</v>
      </c>
      <c r="AF1765" s="4">
        <f ca="1">$M$1765*$Z$1765</f>
        <v>531832.50801514182</v>
      </c>
      <c r="AG1765" s="4">
        <f>$O$1765*$AA$1765</f>
        <v>303568.9751072285</v>
      </c>
    </row>
    <row r="1766" spans="1:33" ht="11.25" customHeight="1" x14ac:dyDescent="0.25">
      <c r="A1766" s="3" t="s">
        <v>27</v>
      </c>
      <c r="B1766" s="3" t="s">
        <v>37</v>
      </c>
      <c r="C1766" s="3" t="s">
        <v>23</v>
      </c>
      <c r="D1766" s="3" t="s">
        <v>38</v>
      </c>
      <c r="E1766" s="3" t="s">
        <v>25</v>
      </c>
      <c r="F1766" s="3" t="s">
        <v>25</v>
      </c>
      <c r="G1766" s="3" t="s">
        <v>25</v>
      </c>
      <c r="H1766" s="3" t="s">
        <v>25</v>
      </c>
      <c r="I1766" s="6">
        <v>44287</v>
      </c>
      <c r="J1766" s="4">
        <v>0</v>
      </c>
      <c r="K1766" s="4">
        <v>0</v>
      </c>
      <c r="L1766" s="4">
        <v>-0.186</v>
      </c>
      <c r="M1766" s="4">
        <v>-0.186</v>
      </c>
      <c r="N1766" s="4">
        <v>-0.186</v>
      </c>
      <c r="O1766" s="4">
        <v>-0.186</v>
      </c>
      <c r="P1766" s="4">
        <v>0</v>
      </c>
      <c r="Q1766" s="3" t="s">
        <v>26</v>
      </c>
      <c r="R1766" s="3">
        <v>0</v>
      </c>
      <c r="S1766" s="4">
        <v>0</v>
      </c>
      <c r="T1766" s="4">
        <v>84</v>
      </c>
      <c r="U1766" s="4">
        <v>7</v>
      </c>
      <c r="V1766" s="4">
        <f>IF(ISERROR(VLOOKUP($S$1766,'TAR FIN'!$A$1:$O$113,15,0)),0,VLOOKUP($S$1766,'TAR FIN'!$A$1:$O$113,15,0))</f>
        <v>0</v>
      </c>
      <c r="W1766" s="4">
        <f>IF(ISERROR(VLOOKUP($T$1766,'TAR FIN'!$A$1:$O$113,15,0)),0,VLOOKUP($T$1766,'TAR FIN'!$A$1:$O$113,15,0))</f>
        <v>346.2</v>
      </c>
      <c r="X1766" s="4">
        <f>IF(ISERROR(VLOOKUP($U$1766,'TAR FIN'!$A$1:$O$113,15,0)),0,VLOOKUP($U$1766,'TAR FIN'!$A$1:$O$113,15,0))</f>
        <v>234.24</v>
      </c>
      <c r="Y1766" s="4"/>
      <c r="Z1766" s="4">
        <f ca="1">('TUSD BE'!$AM$68+'TUSD BF'!$AM$68+'TUSD CVA'!$AM$68)*1</f>
        <v>411.14246090221764</v>
      </c>
      <c r="AA1766" s="4">
        <f>('TE BE'!$AA$47+'TE BF'!$AA$47+'TE CVA'!$AA$47)*1</f>
        <v>234.67932779241937</v>
      </c>
      <c r="AB1766" s="4">
        <f>$K$1766*$V$1766</f>
        <v>0</v>
      </c>
      <c r="AC1766" s="4">
        <f>$M$1766*$W$1766</f>
        <v>-64.393199999999993</v>
      </c>
      <c r="AD1766" s="4">
        <f>$O$1766*$X$1766</f>
        <v>-43.568640000000002</v>
      </c>
      <c r="AE1766" s="4">
        <f>$K$1766*$Y$1766</f>
        <v>0</v>
      </c>
      <c r="AF1766" s="4">
        <f ca="1">$M$1766*$Z$1766</f>
        <v>-76.472497727812481</v>
      </c>
      <c r="AG1766" s="4">
        <f>$O$1766*$AA$1766</f>
        <v>-43.650354969390001</v>
      </c>
    </row>
    <row r="1767" spans="1:33" ht="11.25" customHeight="1" x14ac:dyDescent="0.25">
      <c r="A1767" s="3" t="s">
        <v>28</v>
      </c>
      <c r="B1767" s="3" t="s">
        <v>37</v>
      </c>
      <c r="C1767" s="3" t="s">
        <v>23</v>
      </c>
      <c r="D1767" s="3" t="s">
        <v>38</v>
      </c>
      <c r="E1767" s="3" t="s">
        <v>25</v>
      </c>
      <c r="F1767" s="3" t="s">
        <v>25</v>
      </c>
      <c r="G1767" s="3" t="s">
        <v>25</v>
      </c>
      <c r="H1767" s="3" t="s">
        <v>25</v>
      </c>
      <c r="I1767" s="6">
        <v>44287</v>
      </c>
      <c r="J1767" s="4">
        <v>0</v>
      </c>
      <c r="K1767" s="4">
        <v>0</v>
      </c>
      <c r="L1767" s="4">
        <v>42.223999999999997</v>
      </c>
      <c r="M1767" s="4">
        <v>42.223999999999997</v>
      </c>
      <c r="N1767" s="4">
        <v>42.223999999999997</v>
      </c>
      <c r="O1767" s="4">
        <v>42.223999999999997</v>
      </c>
      <c r="P1767" s="4">
        <v>45</v>
      </c>
      <c r="Q1767" s="3" t="s">
        <v>26</v>
      </c>
      <c r="R1767" s="3">
        <v>0</v>
      </c>
      <c r="S1767" s="4">
        <v>0</v>
      </c>
      <c r="T1767" s="4">
        <v>84</v>
      </c>
      <c r="U1767" s="4">
        <v>7</v>
      </c>
      <c r="V1767" s="4">
        <f>IF(ISERROR(VLOOKUP($S$1767,'TAR FIN'!$A$1:$O$113,15,0)),0,VLOOKUP($S$1767,'TAR FIN'!$A$1:$O$113,15,0))</f>
        <v>0</v>
      </c>
      <c r="W1767" s="4">
        <f>IF(ISERROR(VLOOKUP($T$1767,'TAR FIN'!$A$1:$O$113,15,0)),0,VLOOKUP($T$1767,'TAR FIN'!$A$1:$O$113,15,0))</f>
        <v>346.2</v>
      </c>
      <c r="X1767" s="4">
        <f>IF(ISERROR(VLOOKUP($U$1767,'TAR FIN'!$A$1:$O$113,15,0)),0,VLOOKUP($U$1767,'TAR FIN'!$A$1:$O$113,15,0))</f>
        <v>234.24</v>
      </c>
      <c r="Y1767" s="4"/>
      <c r="Z1767" s="4">
        <f ca="1">('TUSD BE'!$AM$68+'TUSD BF'!$AM$68+'TUSD CVA'!$AM$68)*1</f>
        <v>411.14246090221764</v>
      </c>
      <c r="AA1767" s="4">
        <f>('TE BE'!$AA$47+'TE BF'!$AA$47+'TE CVA'!$AA$47)*1</f>
        <v>234.67932779241937</v>
      </c>
      <c r="AB1767" s="4">
        <f>$K$1767*$V$1767</f>
        <v>0</v>
      </c>
      <c r="AC1767" s="4">
        <f>$M$1767*$W$1767</f>
        <v>14617.948799999998</v>
      </c>
      <c r="AD1767" s="4">
        <f>$O$1767*$X$1767</f>
        <v>9890.5497599999999</v>
      </c>
      <c r="AE1767" s="4">
        <f>$K$1767*$Y$1767</f>
        <v>0</v>
      </c>
      <c r="AF1767" s="4">
        <f ca="1">$M$1767*$Z$1767</f>
        <v>17360.079269135236</v>
      </c>
      <c r="AG1767" s="4">
        <f>$O$1767*$AA$1767</f>
        <v>9909.0999367071145</v>
      </c>
    </row>
    <row r="1768" spans="1:33" ht="11.25" customHeight="1" x14ac:dyDescent="0.25">
      <c r="A1768" s="3" t="s">
        <v>21</v>
      </c>
      <c r="B1768" s="3" t="s">
        <v>37</v>
      </c>
      <c r="C1768" s="3" t="s">
        <v>23</v>
      </c>
      <c r="D1768" s="3" t="s">
        <v>38</v>
      </c>
      <c r="E1768" s="3" t="s">
        <v>25</v>
      </c>
      <c r="F1768" s="3" t="s">
        <v>25</v>
      </c>
      <c r="G1768" s="3" t="s">
        <v>25</v>
      </c>
      <c r="H1768" s="3" t="s">
        <v>25</v>
      </c>
      <c r="I1768" s="6">
        <v>44317</v>
      </c>
      <c r="J1768" s="4">
        <v>0</v>
      </c>
      <c r="K1768" s="4">
        <v>0</v>
      </c>
      <c r="L1768" s="4">
        <v>1185.8820000000001</v>
      </c>
      <c r="M1768" s="4">
        <v>1185.8820000000001</v>
      </c>
      <c r="N1768" s="4">
        <v>1185.8820000000001</v>
      </c>
      <c r="O1768" s="4">
        <v>1185.8820000000001</v>
      </c>
      <c r="P1768" s="4">
        <v>680</v>
      </c>
      <c r="Q1768" s="3" t="s">
        <v>26</v>
      </c>
      <c r="R1768" s="3">
        <v>0</v>
      </c>
      <c r="S1768" s="4">
        <v>0</v>
      </c>
      <c r="T1768" s="4">
        <v>84</v>
      </c>
      <c r="U1768" s="4">
        <v>7</v>
      </c>
      <c r="V1768" s="4">
        <f>IF(ISERROR(VLOOKUP($S$1768,'TAR FIN'!$A$1:$O$113,15,0)),0,VLOOKUP($S$1768,'TAR FIN'!$A$1:$O$113,15,0))</f>
        <v>0</v>
      </c>
      <c r="W1768" s="4">
        <f>IF(ISERROR(VLOOKUP($T$1768,'TAR FIN'!$A$1:$O$113,15,0)),0,VLOOKUP($T$1768,'TAR FIN'!$A$1:$O$113,15,0))</f>
        <v>346.2</v>
      </c>
      <c r="X1768" s="4">
        <f>IF(ISERROR(VLOOKUP($U$1768,'TAR FIN'!$A$1:$O$113,15,0)),0,VLOOKUP($U$1768,'TAR FIN'!$A$1:$O$113,15,0))</f>
        <v>234.24</v>
      </c>
      <c r="Y1768" s="4"/>
      <c r="Z1768" s="4">
        <f ca="1">('TUSD BE'!$AM$68+'TUSD BF'!$AM$68+'TUSD CVA'!$AM$68)*1</f>
        <v>411.14246090221764</v>
      </c>
      <c r="AA1768" s="4">
        <f>('TE BE'!$AA$47+'TE BF'!$AA$47+'TE CVA'!$AA$47)*1</f>
        <v>234.67932779241937</v>
      </c>
      <c r="AB1768" s="4">
        <f>$K$1768*$V$1768</f>
        <v>0</v>
      </c>
      <c r="AC1768" s="4">
        <f>$M$1768*$W$1768</f>
        <v>410552.34840000002</v>
      </c>
      <c r="AD1768" s="4">
        <f>$O$1768*$X$1768</f>
        <v>277780.99968000001</v>
      </c>
      <c r="AE1768" s="4">
        <f>$K$1768*$Y$1768</f>
        <v>0</v>
      </c>
      <c r="AF1768" s="4">
        <f ca="1">$M$1768*$Z$1768</f>
        <v>487566.4438196437</v>
      </c>
      <c r="AG1768" s="4">
        <f>$O$1768*$AA$1768</f>
        <v>278301.99060112989</v>
      </c>
    </row>
    <row r="1769" spans="1:33" ht="11.25" customHeight="1" x14ac:dyDescent="0.25">
      <c r="A1769" s="3" t="s">
        <v>27</v>
      </c>
      <c r="B1769" s="3" t="s">
        <v>37</v>
      </c>
      <c r="C1769" s="3" t="s">
        <v>23</v>
      </c>
      <c r="D1769" s="3" t="s">
        <v>38</v>
      </c>
      <c r="E1769" s="3" t="s">
        <v>25</v>
      </c>
      <c r="F1769" s="3" t="s">
        <v>25</v>
      </c>
      <c r="G1769" s="3" t="s">
        <v>25</v>
      </c>
      <c r="H1769" s="3" t="s">
        <v>25</v>
      </c>
      <c r="I1769" s="6">
        <v>44317</v>
      </c>
      <c r="J1769" s="4">
        <v>0</v>
      </c>
      <c r="K1769" s="4">
        <v>0</v>
      </c>
      <c r="L1769" s="4">
        <v>-1.38</v>
      </c>
      <c r="M1769" s="4">
        <v>-1.38</v>
      </c>
      <c r="N1769" s="4">
        <v>-1.38</v>
      </c>
      <c r="O1769" s="4">
        <v>-1.38</v>
      </c>
      <c r="P1769" s="4">
        <v>-9</v>
      </c>
      <c r="Q1769" s="3" t="s">
        <v>26</v>
      </c>
      <c r="R1769" s="3">
        <v>0</v>
      </c>
      <c r="S1769" s="4">
        <v>0</v>
      </c>
      <c r="T1769" s="4">
        <v>84</v>
      </c>
      <c r="U1769" s="4">
        <v>7</v>
      </c>
      <c r="V1769" s="4">
        <f>IF(ISERROR(VLOOKUP($S$1769,'TAR FIN'!$A$1:$O$113,15,0)),0,VLOOKUP($S$1769,'TAR FIN'!$A$1:$O$113,15,0))</f>
        <v>0</v>
      </c>
      <c r="W1769" s="4">
        <f>IF(ISERROR(VLOOKUP($T$1769,'TAR FIN'!$A$1:$O$113,15,0)),0,VLOOKUP($T$1769,'TAR FIN'!$A$1:$O$113,15,0))</f>
        <v>346.2</v>
      </c>
      <c r="X1769" s="4">
        <f>IF(ISERROR(VLOOKUP($U$1769,'TAR FIN'!$A$1:$O$113,15,0)),0,VLOOKUP($U$1769,'TAR FIN'!$A$1:$O$113,15,0))</f>
        <v>234.24</v>
      </c>
      <c r="Y1769" s="4"/>
      <c r="Z1769" s="4">
        <f ca="1">('TUSD BE'!$AM$68+'TUSD BF'!$AM$68+'TUSD CVA'!$AM$68)*1</f>
        <v>411.14246090221764</v>
      </c>
      <c r="AA1769" s="4">
        <f>('TE BE'!$AA$47+'TE BF'!$AA$47+'TE CVA'!$AA$47)*1</f>
        <v>234.67932779241937</v>
      </c>
      <c r="AB1769" s="4">
        <f>$K$1769*$V$1769</f>
        <v>0</v>
      </c>
      <c r="AC1769" s="4">
        <f>$M$1769*$W$1769</f>
        <v>-477.75599999999997</v>
      </c>
      <c r="AD1769" s="4">
        <f>$O$1769*$X$1769</f>
        <v>-323.25119999999998</v>
      </c>
      <c r="AE1769" s="4">
        <f>$K$1769*$Y$1769</f>
        <v>0</v>
      </c>
      <c r="AF1769" s="4">
        <f ca="1">$M$1769*$Z$1769</f>
        <v>-567.3765960450603</v>
      </c>
      <c r="AG1769" s="4">
        <f>$O$1769*$AA$1769</f>
        <v>-323.8574723535387</v>
      </c>
    </row>
    <row r="1770" spans="1:33" ht="11.25" customHeight="1" x14ac:dyDescent="0.25">
      <c r="A1770" s="3" t="s">
        <v>28</v>
      </c>
      <c r="B1770" s="3" t="s">
        <v>37</v>
      </c>
      <c r="C1770" s="3" t="s">
        <v>23</v>
      </c>
      <c r="D1770" s="3" t="s">
        <v>38</v>
      </c>
      <c r="E1770" s="3" t="s">
        <v>25</v>
      </c>
      <c r="F1770" s="3" t="s">
        <v>25</v>
      </c>
      <c r="G1770" s="3" t="s">
        <v>25</v>
      </c>
      <c r="H1770" s="3" t="s">
        <v>25</v>
      </c>
      <c r="I1770" s="6">
        <v>44317</v>
      </c>
      <c r="J1770" s="4">
        <v>0</v>
      </c>
      <c r="K1770" s="4">
        <v>0</v>
      </c>
      <c r="L1770" s="4">
        <v>49.832999999999998</v>
      </c>
      <c r="M1770" s="4">
        <v>49.832999999999998</v>
      </c>
      <c r="N1770" s="4">
        <v>49.832999999999998</v>
      </c>
      <c r="O1770" s="4">
        <v>49.832999999999998</v>
      </c>
      <c r="P1770" s="4">
        <v>49</v>
      </c>
      <c r="Q1770" s="3" t="s">
        <v>26</v>
      </c>
      <c r="R1770" s="3">
        <v>0</v>
      </c>
      <c r="S1770" s="4">
        <v>0</v>
      </c>
      <c r="T1770" s="4">
        <v>84</v>
      </c>
      <c r="U1770" s="4">
        <v>7</v>
      </c>
      <c r="V1770" s="4">
        <f>IF(ISERROR(VLOOKUP($S$1770,'TAR FIN'!$A$1:$O$113,15,0)),0,VLOOKUP($S$1770,'TAR FIN'!$A$1:$O$113,15,0))</f>
        <v>0</v>
      </c>
      <c r="W1770" s="4">
        <f>IF(ISERROR(VLOOKUP($T$1770,'TAR FIN'!$A$1:$O$113,15,0)),0,VLOOKUP($T$1770,'TAR FIN'!$A$1:$O$113,15,0))</f>
        <v>346.2</v>
      </c>
      <c r="X1770" s="4">
        <f>IF(ISERROR(VLOOKUP($U$1770,'TAR FIN'!$A$1:$O$113,15,0)),0,VLOOKUP($U$1770,'TAR FIN'!$A$1:$O$113,15,0))</f>
        <v>234.24</v>
      </c>
      <c r="Y1770" s="4"/>
      <c r="Z1770" s="4">
        <f ca="1">('TUSD BE'!$AM$68+'TUSD BF'!$AM$68+'TUSD CVA'!$AM$68)*1</f>
        <v>411.14246090221764</v>
      </c>
      <c r="AA1770" s="4">
        <f>('TE BE'!$AA$47+'TE BF'!$AA$47+'TE CVA'!$AA$47)*1</f>
        <v>234.67932779241937</v>
      </c>
      <c r="AB1770" s="4">
        <f>$K$1770*$V$1770</f>
        <v>0</v>
      </c>
      <c r="AC1770" s="4">
        <f>$M$1770*$W$1770</f>
        <v>17252.184600000001</v>
      </c>
      <c r="AD1770" s="4">
        <f>$O$1770*$X$1770</f>
        <v>11672.88192</v>
      </c>
      <c r="AE1770" s="4">
        <f>$K$1770*$Y$1770</f>
        <v>0</v>
      </c>
      <c r="AF1770" s="4">
        <f ca="1">$M$1770*$Z$1770</f>
        <v>20488.46225414021</v>
      </c>
      <c r="AG1770" s="4">
        <f>$O$1770*$AA$1770</f>
        <v>11694.774941879634</v>
      </c>
    </row>
    <row r="1771" spans="1:33" ht="11.25" customHeight="1" x14ac:dyDescent="0.25">
      <c r="A1771" s="3" t="s">
        <v>21</v>
      </c>
      <c r="B1771" s="3" t="s">
        <v>37</v>
      </c>
      <c r="C1771" s="3" t="s">
        <v>23</v>
      </c>
      <c r="D1771" s="3" t="s">
        <v>38</v>
      </c>
      <c r="E1771" s="3" t="s">
        <v>25</v>
      </c>
      <c r="F1771" s="3" t="s">
        <v>25</v>
      </c>
      <c r="G1771" s="3" t="s">
        <v>25</v>
      </c>
      <c r="H1771" s="3" t="s">
        <v>25</v>
      </c>
      <c r="I1771" s="6">
        <v>44348</v>
      </c>
      <c r="J1771" s="4">
        <v>0</v>
      </c>
      <c r="K1771" s="4">
        <v>0</v>
      </c>
      <c r="L1771" s="4">
        <v>1231.912</v>
      </c>
      <c r="M1771" s="4">
        <v>1231.912</v>
      </c>
      <c r="N1771" s="4">
        <v>1231.912</v>
      </c>
      <c r="O1771" s="4">
        <v>1231.912</v>
      </c>
      <c r="P1771" s="4">
        <v>680</v>
      </c>
      <c r="Q1771" s="3" t="s">
        <v>26</v>
      </c>
      <c r="R1771" s="3">
        <v>0</v>
      </c>
      <c r="S1771" s="4">
        <v>0</v>
      </c>
      <c r="T1771" s="4">
        <v>84</v>
      </c>
      <c r="U1771" s="4">
        <v>7</v>
      </c>
      <c r="V1771" s="4">
        <f>IF(ISERROR(VLOOKUP($S$1771,'TAR FIN'!$A$1:$O$113,15,0)),0,VLOOKUP($S$1771,'TAR FIN'!$A$1:$O$113,15,0))</f>
        <v>0</v>
      </c>
      <c r="W1771" s="4">
        <f>IF(ISERROR(VLOOKUP($T$1771,'TAR FIN'!$A$1:$O$113,15,0)),0,VLOOKUP($T$1771,'TAR FIN'!$A$1:$O$113,15,0))</f>
        <v>346.2</v>
      </c>
      <c r="X1771" s="4">
        <f>IF(ISERROR(VLOOKUP($U$1771,'TAR FIN'!$A$1:$O$113,15,0)),0,VLOOKUP($U$1771,'TAR FIN'!$A$1:$O$113,15,0))</f>
        <v>234.24</v>
      </c>
      <c r="Y1771" s="4"/>
      <c r="Z1771" s="4">
        <f ca="1">('TUSD BE'!$AM$68+'TUSD BF'!$AM$68+'TUSD CVA'!$AM$68)*1</f>
        <v>411.14246090221764</v>
      </c>
      <c r="AA1771" s="4">
        <f>('TE BE'!$AA$47+'TE BF'!$AA$47+'TE CVA'!$AA$47)*1</f>
        <v>234.67932779241937</v>
      </c>
      <c r="AB1771" s="4">
        <f>$K$1771*$V$1771</f>
        <v>0</v>
      </c>
      <c r="AC1771" s="4">
        <f>$M$1771*$W$1771</f>
        <v>426487.93439999997</v>
      </c>
      <c r="AD1771" s="4">
        <f>$O$1771*$X$1771</f>
        <v>288563.06688</v>
      </c>
      <c r="AE1771" s="4">
        <f>$K$1771*$Y$1771</f>
        <v>0</v>
      </c>
      <c r="AF1771" s="4">
        <f ca="1">$M$1771*$Z$1771</f>
        <v>506491.33129497274</v>
      </c>
      <c r="AG1771" s="4">
        <f>$O$1771*$AA$1771</f>
        <v>289104.28005941492</v>
      </c>
    </row>
    <row r="1772" spans="1:33" ht="11.25" customHeight="1" x14ac:dyDescent="0.25">
      <c r="A1772" s="3" t="s">
        <v>27</v>
      </c>
      <c r="B1772" s="3" t="s">
        <v>37</v>
      </c>
      <c r="C1772" s="3" t="s">
        <v>23</v>
      </c>
      <c r="D1772" s="3" t="s">
        <v>38</v>
      </c>
      <c r="E1772" s="3" t="s">
        <v>25</v>
      </c>
      <c r="F1772" s="3" t="s">
        <v>25</v>
      </c>
      <c r="G1772" s="3" t="s">
        <v>25</v>
      </c>
      <c r="H1772" s="3" t="s">
        <v>25</v>
      </c>
      <c r="I1772" s="6">
        <v>44348</v>
      </c>
      <c r="J1772" s="4">
        <v>0</v>
      </c>
      <c r="K1772" s="4">
        <v>0</v>
      </c>
      <c r="L1772" s="4">
        <v>-5.8999999999999997E-2</v>
      </c>
      <c r="M1772" s="4">
        <v>-5.8999999999999997E-2</v>
      </c>
      <c r="N1772" s="4">
        <v>-5.8999999999999997E-2</v>
      </c>
      <c r="O1772" s="4">
        <v>-5.8999999999999997E-2</v>
      </c>
      <c r="P1772" s="4">
        <v>0</v>
      </c>
      <c r="Q1772" s="3" t="s">
        <v>26</v>
      </c>
      <c r="R1772" s="3">
        <v>0</v>
      </c>
      <c r="S1772" s="4">
        <v>0</v>
      </c>
      <c r="T1772" s="4">
        <v>84</v>
      </c>
      <c r="U1772" s="4">
        <v>7</v>
      </c>
      <c r="V1772" s="4">
        <f>IF(ISERROR(VLOOKUP($S$1772,'TAR FIN'!$A$1:$O$113,15,0)),0,VLOOKUP($S$1772,'TAR FIN'!$A$1:$O$113,15,0))</f>
        <v>0</v>
      </c>
      <c r="W1772" s="4">
        <f>IF(ISERROR(VLOOKUP($T$1772,'TAR FIN'!$A$1:$O$113,15,0)),0,VLOOKUP($T$1772,'TAR FIN'!$A$1:$O$113,15,0))</f>
        <v>346.2</v>
      </c>
      <c r="X1772" s="4">
        <f>IF(ISERROR(VLOOKUP($U$1772,'TAR FIN'!$A$1:$O$113,15,0)),0,VLOOKUP($U$1772,'TAR FIN'!$A$1:$O$113,15,0))</f>
        <v>234.24</v>
      </c>
      <c r="Y1772" s="4"/>
      <c r="Z1772" s="4">
        <f ca="1">('TUSD BE'!$AM$68+'TUSD BF'!$AM$68+'TUSD CVA'!$AM$68)*1</f>
        <v>411.14246090221764</v>
      </c>
      <c r="AA1772" s="4">
        <f>('TE BE'!$AA$47+'TE BF'!$AA$47+'TE CVA'!$AA$47)*1</f>
        <v>234.67932779241937</v>
      </c>
      <c r="AB1772" s="4">
        <f>$K$1772*$V$1772</f>
        <v>0</v>
      </c>
      <c r="AC1772" s="4">
        <f>$M$1772*$W$1772</f>
        <v>-20.425799999999999</v>
      </c>
      <c r="AD1772" s="4">
        <f>$O$1772*$X$1772</f>
        <v>-13.82016</v>
      </c>
      <c r="AE1772" s="4">
        <f>$K$1772*$Y$1772</f>
        <v>0</v>
      </c>
      <c r="AF1772" s="4">
        <f ca="1">$M$1772*$Z$1772</f>
        <v>-24.257405193230838</v>
      </c>
      <c r="AG1772" s="4">
        <f>$O$1772*$AA$1772</f>
        <v>-13.846080339752742</v>
      </c>
    </row>
    <row r="1773" spans="1:33" ht="11.25" customHeight="1" x14ac:dyDescent="0.25">
      <c r="A1773" s="3" t="s">
        <v>28</v>
      </c>
      <c r="B1773" s="3" t="s">
        <v>37</v>
      </c>
      <c r="C1773" s="3" t="s">
        <v>23</v>
      </c>
      <c r="D1773" s="3" t="s">
        <v>38</v>
      </c>
      <c r="E1773" s="3" t="s">
        <v>25</v>
      </c>
      <c r="F1773" s="3" t="s">
        <v>25</v>
      </c>
      <c r="G1773" s="3" t="s">
        <v>25</v>
      </c>
      <c r="H1773" s="3" t="s">
        <v>25</v>
      </c>
      <c r="I1773" s="6">
        <v>44348</v>
      </c>
      <c r="J1773" s="4">
        <v>0</v>
      </c>
      <c r="K1773" s="4">
        <v>0</v>
      </c>
      <c r="L1773" s="4">
        <v>55.109000000000002</v>
      </c>
      <c r="M1773" s="4">
        <v>55.109000000000002</v>
      </c>
      <c r="N1773" s="4">
        <v>55.109000000000002</v>
      </c>
      <c r="O1773" s="4">
        <v>55.109000000000002</v>
      </c>
      <c r="P1773" s="4">
        <v>49</v>
      </c>
      <c r="Q1773" s="3" t="s">
        <v>26</v>
      </c>
      <c r="R1773" s="3">
        <v>0</v>
      </c>
      <c r="S1773" s="4">
        <v>0</v>
      </c>
      <c r="T1773" s="4">
        <v>84</v>
      </c>
      <c r="U1773" s="4">
        <v>7</v>
      </c>
      <c r="V1773" s="4">
        <f>IF(ISERROR(VLOOKUP($S$1773,'TAR FIN'!$A$1:$O$113,15,0)),0,VLOOKUP($S$1773,'TAR FIN'!$A$1:$O$113,15,0))</f>
        <v>0</v>
      </c>
      <c r="W1773" s="4">
        <f>IF(ISERROR(VLOOKUP($T$1773,'TAR FIN'!$A$1:$O$113,15,0)),0,VLOOKUP($T$1773,'TAR FIN'!$A$1:$O$113,15,0))</f>
        <v>346.2</v>
      </c>
      <c r="X1773" s="4">
        <f>IF(ISERROR(VLOOKUP($U$1773,'TAR FIN'!$A$1:$O$113,15,0)),0,VLOOKUP($U$1773,'TAR FIN'!$A$1:$O$113,15,0))</f>
        <v>234.24</v>
      </c>
      <c r="Y1773" s="4"/>
      <c r="Z1773" s="4">
        <f ca="1">('TUSD BE'!$AM$68+'TUSD BF'!$AM$68+'TUSD CVA'!$AM$68)*1</f>
        <v>411.14246090221764</v>
      </c>
      <c r="AA1773" s="4">
        <f>('TE BE'!$AA$47+'TE BF'!$AA$47+'TE CVA'!$AA$47)*1</f>
        <v>234.67932779241937</v>
      </c>
      <c r="AB1773" s="4">
        <f>$K$1773*$V$1773</f>
        <v>0</v>
      </c>
      <c r="AC1773" s="4">
        <f>$M$1773*$W$1773</f>
        <v>19078.735799999999</v>
      </c>
      <c r="AD1773" s="4">
        <f>$O$1773*$X$1773</f>
        <v>12908.732160000001</v>
      </c>
      <c r="AE1773" s="4">
        <f>$K$1773*$Y$1773</f>
        <v>0</v>
      </c>
      <c r="AF1773" s="4">
        <f ca="1">$M$1773*$Z$1773</f>
        <v>22657.649877860313</v>
      </c>
      <c r="AG1773" s="4">
        <f>$O$1773*$AA$1773</f>
        <v>12932.94307531244</v>
      </c>
    </row>
    <row r="1774" spans="1:33" ht="11.25" customHeight="1" x14ac:dyDescent="0.25">
      <c r="A1774" s="3" t="s">
        <v>21</v>
      </c>
      <c r="B1774" s="3" t="s">
        <v>37</v>
      </c>
      <c r="C1774" s="3" t="s">
        <v>23</v>
      </c>
      <c r="D1774" s="3" t="s">
        <v>38</v>
      </c>
      <c r="E1774" s="3" t="s">
        <v>25</v>
      </c>
      <c r="F1774" s="3" t="s">
        <v>25</v>
      </c>
      <c r="G1774" s="3" t="s">
        <v>25</v>
      </c>
      <c r="H1774" s="3" t="s">
        <v>25</v>
      </c>
      <c r="I1774" s="6">
        <v>44378</v>
      </c>
      <c r="J1774" s="4">
        <v>0</v>
      </c>
      <c r="K1774" s="4">
        <v>0</v>
      </c>
      <c r="L1774" s="4">
        <v>1177.837</v>
      </c>
      <c r="M1774" s="4">
        <v>1177.837</v>
      </c>
      <c r="N1774" s="4">
        <v>1177.837</v>
      </c>
      <c r="O1774" s="4">
        <v>1177.837</v>
      </c>
      <c r="P1774" s="4">
        <v>680</v>
      </c>
      <c r="Q1774" s="3" t="s">
        <v>26</v>
      </c>
      <c r="R1774" s="3">
        <v>0</v>
      </c>
      <c r="S1774" s="4">
        <v>0</v>
      </c>
      <c r="T1774" s="4">
        <v>84</v>
      </c>
      <c r="U1774" s="4">
        <v>7</v>
      </c>
      <c r="V1774" s="4">
        <f>IF(ISERROR(VLOOKUP($S$1774,'TAR FIN'!$A$1:$O$113,15,0)),0,VLOOKUP($S$1774,'TAR FIN'!$A$1:$O$113,15,0))</f>
        <v>0</v>
      </c>
      <c r="W1774" s="4">
        <f>IF(ISERROR(VLOOKUP($T$1774,'TAR FIN'!$A$1:$O$113,15,0)),0,VLOOKUP($T$1774,'TAR FIN'!$A$1:$O$113,15,0))</f>
        <v>346.2</v>
      </c>
      <c r="X1774" s="4">
        <f>IF(ISERROR(VLOOKUP($U$1774,'TAR FIN'!$A$1:$O$113,15,0)),0,VLOOKUP($U$1774,'TAR FIN'!$A$1:$O$113,15,0))</f>
        <v>234.24</v>
      </c>
      <c r="Y1774" s="4"/>
      <c r="Z1774" s="4">
        <f ca="1">('TUSD BE'!$AM$68+'TUSD BF'!$AM$68+'TUSD CVA'!$AM$68)*1</f>
        <v>411.14246090221764</v>
      </c>
      <c r="AA1774" s="4">
        <f>('TE BE'!$AA$47+'TE BF'!$AA$47+'TE CVA'!$AA$47)*1</f>
        <v>234.67932779241937</v>
      </c>
      <c r="AB1774" s="4">
        <f>$K$1774*$V$1774</f>
        <v>0</v>
      </c>
      <c r="AC1774" s="4">
        <f>$M$1774*$W$1774</f>
        <v>407767.16939999996</v>
      </c>
      <c r="AD1774" s="4">
        <f>$O$1774*$X$1774</f>
        <v>275896.53888000001</v>
      </c>
      <c r="AE1774" s="4">
        <f>$K$1774*$Y$1774</f>
        <v>0</v>
      </c>
      <c r="AF1774" s="4">
        <f ca="1">$M$1774*$Z$1774</f>
        <v>484258.80272168532</v>
      </c>
      <c r="AG1774" s="4">
        <f>$O$1774*$AA$1774</f>
        <v>276413.99540903984</v>
      </c>
    </row>
    <row r="1775" spans="1:33" ht="11.25" customHeight="1" x14ac:dyDescent="0.25">
      <c r="A1775" s="3" t="s">
        <v>28</v>
      </c>
      <c r="B1775" s="3" t="s">
        <v>37</v>
      </c>
      <c r="C1775" s="3" t="s">
        <v>23</v>
      </c>
      <c r="D1775" s="3" t="s">
        <v>38</v>
      </c>
      <c r="E1775" s="3" t="s">
        <v>25</v>
      </c>
      <c r="F1775" s="3" t="s">
        <v>25</v>
      </c>
      <c r="G1775" s="3" t="s">
        <v>25</v>
      </c>
      <c r="H1775" s="3" t="s">
        <v>25</v>
      </c>
      <c r="I1775" s="6">
        <v>44378</v>
      </c>
      <c r="J1775" s="4">
        <v>0</v>
      </c>
      <c r="K1775" s="4">
        <v>0</v>
      </c>
      <c r="L1775" s="4">
        <v>65.125</v>
      </c>
      <c r="M1775" s="4">
        <v>65.125</v>
      </c>
      <c r="N1775" s="4">
        <v>65.125</v>
      </c>
      <c r="O1775" s="4">
        <v>65.125</v>
      </c>
      <c r="P1775" s="4">
        <v>53</v>
      </c>
      <c r="Q1775" s="3" t="s">
        <v>26</v>
      </c>
      <c r="R1775" s="3">
        <v>0</v>
      </c>
      <c r="S1775" s="4">
        <v>0</v>
      </c>
      <c r="T1775" s="4">
        <v>84</v>
      </c>
      <c r="U1775" s="4">
        <v>7</v>
      </c>
      <c r="V1775" s="4">
        <f>IF(ISERROR(VLOOKUP($S$1775,'TAR FIN'!$A$1:$O$113,15,0)),0,VLOOKUP($S$1775,'TAR FIN'!$A$1:$O$113,15,0))</f>
        <v>0</v>
      </c>
      <c r="W1775" s="4">
        <f>IF(ISERROR(VLOOKUP($T$1775,'TAR FIN'!$A$1:$O$113,15,0)),0,VLOOKUP($T$1775,'TAR FIN'!$A$1:$O$113,15,0))</f>
        <v>346.2</v>
      </c>
      <c r="X1775" s="4">
        <f>IF(ISERROR(VLOOKUP($U$1775,'TAR FIN'!$A$1:$O$113,15,0)),0,VLOOKUP($U$1775,'TAR FIN'!$A$1:$O$113,15,0))</f>
        <v>234.24</v>
      </c>
      <c r="Y1775" s="4"/>
      <c r="Z1775" s="4">
        <f ca="1">('TUSD BE'!$AM$68+'TUSD BF'!$AM$68+'TUSD CVA'!$AM$68)*1</f>
        <v>411.14246090221764</v>
      </c>
      <c r="AA1775" s="4">
        <f>('TE BE'!$AA$47+'TE BF'!$AA$47+'TE CVA'!$AA$47)*1</f>
        <v>234.67932779241937</v>
      </c>
      <c r="AB1775" s="4">
        <f>$K$1775*$V$1775</f>
        <v>0</v>
      </c>
      <c r="AC1775" s="4">
        <f>$M$1775*$W$1775</f>
        <v>22546.274999999998</v>
      </c>
      <c r="AD1775" s="4">
        <f>$O$1775*$X$1775</f>
        <v>15254.880000000001</v>
      </c>
      <c r="AE1775" s="4">
        <f>$K$1775*$Y$1775</f>
        <v>0</v>
      </c>
      <c r="AF1775" s="4">
        <f ca="1">$M$1775*$Z$1775</f>
        <v>26775.652766256924</v>
      </c>
      <c r="AG1775" s="4">
        <f>$O$1775*$AA$1775</f>
        <v>15283.491222481312</v>
      </c>
    </row>
    <row r="1776" spans="1:33" ht="11.25" customHeight="1" x14ac:dyDescent="0.25">
      <c r="A1776" s="3" t="s">
        <v>21</v>
      </c>
      <c r="B1776" s="3" t="s">
        <v>37</v>
      </c>
      <c r="C1776" s="3" t="s">
        <v>23</v>
      </c>
      <c r="D1776" s="3" t="s">
        <v>38</v>
      </c>
      <c r="E1776" s="3" t="s">
        <v>25</v>
      </c>
      <c r="F1776" s="3" t="s">
        <v>25</v>
      </c>
      <c r="G1776" s="3" t="s">
        <v>25</v>
      </c>
      <c r="H1776" s="3" t="s">
        <v>25</v>
      </c>
      <c r="I1776" s="6">
        <v>44409</v>
      </c>
      <c r="J1776" s="4">
        <v>0</v>
      </c>
      <c r="K1776" s="4">
        <v>0</v>
      </c>
      <c r="L1776" s="4">
        <v>1243.7929999999999</v>
      </c>
      <c r="M1776" s="4">
        <v>1243.7929999999999</v>
      </c>
      <c r="N1776" s="4">
        <v>1243.7929999999999</v>
      </c>
      <c r="O1776" s="4">
        <v>1243.7929999999999</v>
      </c>
      <c r="P1776" s="4">
        <v>678</v>
      </c>
      <c r="Q1776" s="3" t="s">
        <v>26</v>
      </c>
      <c r="R1776" s="3">
        <v>0</v>
      </c>
      <c r="S1776" s="4">
        <v>0</v>
      </c>
      <c r="T1776" s="4">
        <v>84</v>
      </c>
      <c r="U1776" s="4">
        <v>7</v>
      </c>
      <c r="V1776" s="4">
        <f>IF(ISERROR(VLOOKUP($S$1776,'TAR FIN'!$A$1:$O$113,15,0)),0,VLOOKUP($S$1776,'TAR FIN'!$A$1:$O$113,15,0))</f>
        <v>0</v>
      </c>
      <c r="W1776" s="4">
        <f>IF(ISERROR(VLOOKUP($T$1776,'TAR FIN'!$A$1:$O$113,15,0)),0,VLOOKUP($T$1776,'TAR FIN'!$A$1:$O$113,15,0))</f>
        <v>346.2</v>
      </c>
      <c r="X1776" s="4">
        <f>IF(ISERROR(VLOOKUP($U$1776,'TAR FIN'!$A$1:$O$113,15,0)),0,VLOOKUP($U$1776,'TAR FIN'!$A$1:$O$113,15,0))</f>
        <v>234.24</v>
      </c>
      <c r="Y1776" s="4"/>
      <c r="Z1776" s="4">
        <f ca="1">('TUSD BE'!$AM$68+'TUSD BF'!$AM$68+'TUSD CVA'!$AM$68)*1</f>
        <v>411.14246090221764</v>
      </c>
      <c r="AA1776" s="4">
        <f>('TE BE'!$AA$47+'TE BF'!$AA$47+'TE CVA'!$AA$47)*1</f>
        <v>234.67932779241937</v>
      </c>
      <c r="AB1776" s="4">
        <f>$K$1776*$V$1776</f>
        <v>0</v>
      </c>
      <c r="AC1776" s="4">
        <f>$M$1776*$W$1776</f>
        <v>430601.13659999997</v>
      </c>
      <c r="AD1776" s="4">
        <f>$O$1776*$X$1776</f>
        <v>291346.07231999998</v>
      </c>
      <c r="AE1776" s="4">
        <f>$K$1776*$Y$1776</f>
        <v>0</v>
      </c>
      <c r="AF1776" s="4">
        <f ca="1">$M$1776*$Z$1776</f>
        <v>511376.11487295193</v>
      </c>
      <c r="AG1776" s="4">
        <f>$O$1776*$AA$1776</f>
        <v>291892.50515291665</v>
      </c>
    </row>
    <row r="1777" spans="1:33" ht="11.25" customHeight="1" x14ac:dyDescent="0.25">
      <c r="A1777" s="3" t="s">
        <v>28</v>
      </c>
      <c r="B1777" s="3" t="s">
        <v>37</v>
      </c>
      <c r="C1777" s="3" t="s">
        <v>23</v>
      </c>
      <c r="D1777" s="3" t="s">
        <v>38</v>
      </c>
      <c r="E1777" s="3" t="s">
        <v>25</v>
      </c>
      <c r="F1777" s="3" t="s">
        <v>25</v>
      </c>
      <c r="G1777" s="3" t="s">
        <v>25</v>
      </c>
      <c r="H1777" s="3" t="s">
        <v>25</v>
      </c>
      <c r="I1777" s="6">
        <v>44409</v>
      </c>
      <c r="J1777" s="4">
        <v>0</v>
      </c>
      <c r="K1777" s="4">
        <v>0</v>
      </c>
      <c r="L1777" s="4">
        <v>56.365000000000002</v>
      </c>
      <c r="M1777" s="4">
        <v>56.365000000000002</v>
      </c>
      <c r="N1777" s="4">
        <v>56.365000000000002</v>
      </c>
      <c r="O1777" s="4">
        <v>56.365000000000002</v>
      </c>
      <c r="P1777" s="4">
        <v>54</v>
      </c>
      <c r="Q1777" s="3" t="s">
        <v>26</v>
      </c>
      <c r="R1777" s="3">
        <v>0</v>
      </c>
      <c r="S1777" s="4">
        <v>0</v>
      </c>
      <c r="T1777" s="4">
        <v>84</v>
      </c>
      <c r="U1777" s="4">
        <v>7</v>
      </c>
      <c r="V1777" s="4">
        <f>IF(ISERROR(VLOOKUP($S$1777,'TAR FIN'!$A$1:$O$113,15,0)),0,VLOOKUP($S$1777,'TAR FIN'!$A$1:$O$113,15,0))</f>
        <v>0</v>
      </c>
      <c r="W1777" s="4">
        <f>IF(ISERROR(VLOOKUP($T$1777,'TAR FIN'!$A$1:$O$113,15,0)),0,VLOOKUP($T$1777,'TAR FIN'!$A$1:$O$113,15,0))</f>
        <v>346.2</v>
      </c>
      <c r="X1777" s="4">
        <f>IF(ISERROR(VLOOKUP($U$1777,'TAR FIN'!$A$1:$O$113,15,0)),0,VLOOKUP($U$1777,'TAR FIN'!$A$1:$O$113,15,0))</f>
        <v>234.24</v>
      </c>
      <c r="Y1777" s="4"/>
      <c r="Z1777" s="4">
        <f ca="1">('TUSD BE'!$AM$68+'TUSD BF'!$AM$68+'TUSD CVA'!$AM$68)*1</f>
        <v>411.14246090221764</v>
      </c>
      <c r="AA1777" s="4">
        <f>('TE BE'!$AA$47+'TE BF'!$AA$47+'TE CVA'!$AA$47)*1</f>
        <v>234.67932779241937</v>
      </c>
      <c r="AB1777" s="4">
        <f>$K$1777*$V$1777</f>
        <v>0</v>
      </c>
      <c r="AC1777" s="4">
        <f>$M$1777*$W$1777</f>
        <v>19513.562999999998</v>
      </c>
      <c r="AD1777" s="4">
        <f>$O$1777*$X$1777</f>
        <v>13202.937600000001</v>
      </c>
      <c r="AE1777" s="4">
        <f>$K$1777*$Y$1777</f>
        <v>0</v>
      </c>
      <c r="AF1777" s="4">
        <f ca="1">$M$1777*$Z$1777</f>
        <v>23174.044808753497</v>
      </c>
      <c r="AG1777" s="4">
        <f>$O$1777*$AA$1777</f>
        <v>13227.700311019718</v>
      </c>
    </row>
    <row r="1778" spans="1:33" ht="11.25" customHeight="1" x14ac:dyDescent="0.25">
      <c r="A1778" s="3" t="s">
        <v>21</v>
      </c>
      <c r="B1778" s="3" t="s">
        <v>37</v>
      </c>
      <c r="C1778" s="3" t="s">
        <v>23</v>
      </c>
      <c r="D1778" s="3" t="s">
        <v>38</v>
      </c>
      <c r="E1778" s="3" t="s">
        <v>25</v>
      </c>
      <c r="F1778" s="3" t="s">
        <v>25</v>
      </c>
      <c r="G1778" s="3" t="s">
        <v>25</v>
      </c>
      <c r="H1778" s="3" t="s">
        <v>25</v>
      </c>
      <c r="I1778" s="6">
        <v>44440</v>
      </c>
      <c r="J1778" s="4">
        <v>0</v>
      </c>
      <c r="K1778" s="4">
        <v>0</v>
      </c>
      <c r="L1778" s="4">
        <v>1239.357</v>
      </c>
      <c r="M1778" s="4">
        <v>1239.357</v>
      </c>
      <c r="N1778" s="4">
        <v>1239.357</v>
      </c>
      <c r="O1778" s="4">
        <v>1239.357</v>
      </c>
      <c r="P1778" s="4">
        <v>676</v>
      </c>
      <c r="Q1778" s="3" t="s">
        <v>26</v>
      </c>
      <c r="R1778" s="3">
        <v>0</v>
      </c>
      <c r="S1778" s="4">
        <v>0</v>
      </c>
      <c r="T1778" s="4">
        <v>84</v>
      </c>
      <c r="U1778" s="4">
        <v>7</v>
      </c>
      <c r="V1778" s="4">
        <f>IF(ISERROR(VLOOKUP($S$1778,'TAR FIN'!$A$1:$O$113,15,0)),0,VLOOKUP($S$1778,'TAR FIN'!$A$1:$O$113,15,0))</f>
        <v>0</v>
      </c>
      <c r="W1778" s="4">
        <f>IF(ISERROR(VLOOKUP($T$1778,'TAR FIN'!$A$1:$O$113,15,0)),0,VLOOKUP($T$1778,'TAR FIN'!$A$1:$O$113,15,0))</f>
        <v>346.2</v>
      </c>
      <c r="X1778" s="4">
        <f>IF(ISERROR(VLOOKUP($U$1778,'TAR FIN'!$A$1:$O$113,15,0)),0,VLOOKUP($U$1778,'TAR FIN'!$A$1:$O$113,15,0))</f>
        <v>234.24</v>
      </c>
      <c r="Y1778" s="4"/>
      <c r="Z1778" s="4">
        <f ca="1">('TUSD BE'!$AM$68+'TUSD BF'!$AM$68+'TUSD CVA'!$AM$68)*1</f>
        <v>411.14246090221764</v>
      </c>
      <c r="AA1778" s="4">
        <f>('TE BE'!$AA$47+'TE BF'!$AA$47+'TE CVA'!$AA$47)*1</f>
        <v>234.67932779241937</v>
      </c>
      <c r="AB1778" s="4">
        <f>$K$1778*$V$1778</f>
        <v>0</v>
      </c>
      <c r="AC1778" s="4">
        <f>$M$1778*$W$1778</f>
        <v>429065.3934</v>
      </c>
      <c r="AD1778" s="4">
        <f>$O$1778*$X$1778</f>
        <v>290306.98368</v>
      </c>
      <c r="AE1778" s="4">
        <f>$K$1778*$Y$1778</f>
        <v>0</v>
      </c>
      <c r="AF1778" s="4">
        <f ca="1">$M$1778*$Z$1778</f>
        <v>509552.28691638971</v>
      </c>
      <c r="AG1778" s="4">
        <f>$O$1778*$AA$1778</f>
        <v>290851.4676548295</v>
      </c>
    </row>
    <row r="1779" spans="1:33" ht="11.25" customHeight="1" x14ac:dyDescent="0.25">
      <c r="A1779" s="3" t="s">
        <v>28</v>
      </c>
      <c r="B1779" s="3" t="s">
        <v>37</v>
      </c>
      <c r="C1779" s="3" t="s">
        <v>23</v>
      </c>
      <c r="D1779" s="3" t="s">
        <v>38</v>
      </c>
      <c r="E1779" s="3" t="s">
        <v>25</v>
      </c>
      <c r="F1779" s="3" t="s">
        <v>25</v>
      </c>
      <c r="G1779" s="3" t="s">
        <v>25</v>
      </c>
      <c r="H1779" s="3" t="s">
        <v>25</v>
      </c>
      <c r="I1779" s="6">
        <v>44440</v>
      </c>
      <c r="J1779" s="4">
        <v>0</v>
      </c>
      <c r="K1779" s="4">
        <v>0</v>
      </c>
      <c r="L1779" s="4">
        <v>54.372</v>
      </c>
      <c r="M1779" s="4">
        <v>54.372</v>
      </c>
      <c r="N1779" s="4">
        <v>54.372</v>
      </c>
      <c r="O1779" s="4">
        <v>54.372</v>
      </c>
      <c r="P1779" s="4">
        <v>58</v>
      </c>
      <c r="Q1779" s="3" t="s">
        <v>26</v>
      </c>
      <c r="R1779" s="3">
        <v>0</v>
      </c>
      <c r="S1779" s="4">
        <v>0</v>
      </c>
      <c r="T1779" s="4">
        <v>84</v>
      </c>
      <c r="U1779" s="4">
        <v>7</v>
      </c>
      <c r="V1779" s="4">
        <f>IF(ISERROR(VLOOKUP($S$1779,'TAR FIN'!$A$1:$O$113,15,0)),0,VLOOKUP($S$1779,'TAR FIN'!$A$1:$O$113,15,0))</f>
        <v>0</v>
      </c>
      <c r="W1779" s="4">
        <f>IF(ISERROR(VLOOKUP($T$1779,'TAR FIN'!$A$1:$O$113,15,0)),0,VLOOKUP($T$1779,'TAR FIN'!$A$1:$O$113,15,0))</f>
        <v>346.2</v>
      </c>
      <c r="X1779" s="4">
        <f>IF(ISERROR(VLOOKUP($U$1779,'TAR FIN'!$A$1:$O$113,15,0)),0,VLOOKUP($U$1779,'TAR FIN'!$A$1:$O$113,15,0))</f>
        <v>234.24</v>
      </c>
      <c r="Y1779" s="4"/>
      <c r="Z1779" s="4">
        <f ca="1">('TUSD BE'!$AM$68+'TUSD BF'!$AM$68+'TUSD CVA'!$AM$68)*1</f>
        <v>411.14246090221764</v>
      </c>
      <c r="AA1779" s="4">
        <f>('TE BE'!$AA$47+'TE BF'!$AA$47+'TE CVA'!$AA$47)*1</f>
        <v>234.67932779241937</v>
      </c>
      <c r="AB1779" s="4">
        <f>$K$1779*$V$1779</f>
        <v>0</v>
      </c>
      <c r="AC1779" s="4">
        <f>$M$1779*$W$1779</f>
        <v>18823.5864</v>
      </c>
      <c r="AD1779" s="4">
        <f>$O$1779*$X$1779</f>
        <v>12736.09728</v>
      </c>
      <c r="AE1779" s="4">
        <f>$K$1779*$Y$1779</f>
        <v>0</v>
      </c>
      <c r="AF1779" s="4">
        <f ca="1">$M$1779*$Z$1779</f>
        <v>22354.637884175376</v>
      </c>
      <c r="AG1779" s="4">
        <f>$O$1779*$AA$1779</f>
        <v>12759.984410729427</v>
      </c>
    </row>
    <row r="1780" spans="1:33" ht="11.25" customHeight="1" x14ac:dyDescent="0.25">
      <c r="A1780" s="3" t="s">
        <v>21</v>
      </c>
      <c r="B1780" s="3" t="s">
        <v>37</v>
      </c>
      <c r="C1780" s="3" t="s">
        <v>23</v>
      </c>
      <c r="D1780" s="3" t="s">
        <v>38</v>
      </c>
      <c r="E1780" s="3" t="s">
        <v>25</v>
      </c>
      <c r="F1780" s="3" t="s">
        <v>25</v>
      </c>
      <c r="G1780" s="3" t="s">
        <v>25</v>
      </c>
      <c r="H1780" s="3" t="s">
        <v>25</v>
      </c>
      <c r="I1780" s="6">
        <v>44470</v>
      </c>
      <c r="J1780" s="4">
        <v>0</v>
      </c>
      <c r="K1780" s="4">
        <v>0</v>
      </c>
      <c r="L1780" s="4">
        <v>1250.835</v>
      </c>
      <c r="M1780" s="4">
        <v>1250.835</v>
      </c>
      <c r="N1780" s="4">
        <v>1250.835</v>
      </c>
      <c r="O1780" s="4">
        <v>1250.835</v>
      </c>
      <c r="P1780" s="4">
        <v>675</v>
      </c>
      <c r="Q1780" s="3" t="s">
        <v>26</v>
      </c>
      <c r="R1780" s="3">
        <v>0</v>
      </c>
      <c r="S1780" s="4">
        <v>0</v>
      </c>
      <c r="T1780" s="4">
        <v>84</v>
      </c>
      <c r="U1780" s="4">
        <v>7</v>
      </c>
      <c r="V1780" s="4">
        <f>IF(ISERROR(VLOOKUP($S$1780,'TAR FIN'!$A$1:$O$113,15,0)),0,VLOOKUP($S$1780,'TAR FIN'!$A$1:$O$113,15,0))</f>
        <v>0</v>
      </c>
      <c r="W1780" s="4">
        <f>IF(ISERROR(VLOOKUP($T$1780,'TAR FIN'!$A$1:$O$113,15,0)),0,VLOOKUP($T$1780,'TAR FIN'!$A$1:$O$113,15,0))</f>
        <v>346.2</v>
      </c>
      <c r="X1780" s="4">
        <f>IF(ISERROR(VLOOKUP($U$1780,'TAR FIN'!$A$1:$O$113,15,0)),0,VLOOKUP($U$1780,'TAR FIN'!$A$1:$O$113,15,0))</f>
        <v>234.24</v>
      </c>
      <c r="Y1780" s="4"/>
      <c r="Z1780" s="4">
        <f ca="1">('TUSD BE'!$AM$68+'TUSD BF'!$AM$68+'TUSD CVA'!$AM$68)*1</f>
        <v>411.14246090221764</v>
      </c>
      <c r="AA1780" s="4">
        <f>('TE BE'!$AA$47+'TE BF'!$AA$47+'TE CVA'!$AA$47)*1</f>
        <v>234.67932779241937</v>
      </c>
      <c r="AB1780" s="4">
        <f>$K$1780*$V$1780</f>
        <v>0</v>
      </c>
      <c r="AC1780" s="4">
        <f>$M$1780*$W$1780</f>
        <v>433039.07699999999</v>
      </c>
      <c r="AD1780" s="4">
        <f>$O$1780*$X$1780</f>
        <v>292995.59040000004</v>
      </c>
      <c r="AE1780" s="4">
        <f>$K$1780*$Y$1780</f>
        <v>0</v>
      </c>
      <c r="AF1780" s="4">
        <f ca="1">$M$1780*$Z$1780</f>
        <v>514271.38008262543</v>
      </c>
      <c r="AG1780" s="4">
        <f>$O$1780*$AA$1780</f>
        <v>293545.11697923089</v>
      </c>
    </row>
    <row r="1781" spans="1:33" ht="11.25" customHeight="1" x14ac:dyDescent="0.25">
      <c r="A1781" s="3" t="s">
        <v>27</v>
      </c>
      <c r="B1781" s="3" t="s">
        <v>37</v>
      </c>
      <c r="C1781" s="3" t="s">
        <v>23</v>
      </c>
      <c r="D1781" s="3" t="s">
        <v>38</v>
      </c>
      <c r="E1781" s="3" t="s">
        <v>25</v>
      </c>
      <c r="F1781" s="3" t="s">
        <v>25</v>
      </c>
      <c r="G1781" s="3" t="s">
        <v>25</v>
      </c>
      <c r="H1781" s="3" t="s">
        <v>25</v>
      </c>
      <c r="I1781" s="6">
        <v>44470</v>
      </c>
      <c r="J1781" s="4">
        <v>0</v>
      </c>
      <c r="K1781" s="4">
        <v>0</v>
      </c>
      <c r="L1781" s="4">
        <v>-1.1259999999999999</v>
      </c>
      <c r="M1781" s="4">
        <v>-1.1259999999999999</v>
      </c>
      <c r="N1781" s="4">
        <v>-1.1259999999999999</v>
      </c>
      <c r="O1781" s="4">
        <v>-1.1259999999999999</v>
      </c>
      <c r="P1781" s="4">
        <v>-5</v>
      </c>
      <c r="Q1781" s="3" t="s">
        <v>26</v>
      </c>
      <c r="R1781" s="3">
        <v>0</v>
      </c>
      <c r="S1781" s="4">
        <v>0</v>
      </c>
      <c r="T1781" s="4">
        <v>84</v>
      </c>
      <c r="U1781" s="4">
        <v>7</v>
      </c>
      <c r="V1781" s="4">
        <f>IF(ISERROR(VLOOKUP($S$1781,'TAR FIN'!$A$1:$O$113,15,0)),0,VLOOKUP($S$1781,'TAR FIN'!$A$1:$O$113,15,0))</f>
        <v>0</v>
      </c>
      <c r="W1781" s="4">
        <f>IF(ISERROR(VLOOKUP($T$1781,'TAR FIN'!$A$1:$O$113,15,0)),0,VLOOKUP($T$1781,'TAR FIN'!$A$1:$O$113,15,0))</f>
        <v>346.2</v>
      </c>
      <c r="X1781" s="4">
        <f>IF(ISERROR(VLOOKUP($U$1781,'TAR FIN'!$A$1:$O$113,15,0)),0,VLOOKUP($U$1781,'TAR FIN'!$A$1:$O$113,15,0))</f>
        <v>234.24</v>
      </c>
      <c r="Y1781" s="4"/>
      <c r="Z1781" s="4">
        <f ca="1">('TUSD BE'!$AM$68+'TUSD BF'!$AM$68+'TUSD CVA'!$AM$68)*1</f>
        <v>411.14246090221764</v>
      </c>
      <c r="AA1781" s="4">
        <f>('TE BE'!$AA$47+'TE BF'!$AA$47+'TE CVA'!$AA$47)*1</f>
        <v>234.67932779241937</v>
      </c>
      <c r="AB1781" s="4">
        <f>$K$1781*$V$1781</f>
        <v>0</v>
      </c>
      <c r="AC1781" s="4">
        <f>$M$1781*$W$1781</f>
        <v>-389.82119999999998</v>
      </c>
      <c r="AD1781" s="4">
        <f>$O$1781*$X$1781</f>
        <v>-263.75423999999998</v>
      </c>
      <c r="AE1781" s="4">
        <f>$K$1781*$Y$1781</f>
        <v>0</v>
      </c>
      <c r="AF1781" s="4">
        <f ca="1">$M$1781*$Z$1781</f>
        <v>-462.94641097589704</v>
      </c>
      <c r="AG1781" s="4">
        <f>$O$1781*$AA$1781</f>
        <v>-264.24892309426417</v>
      </c>
    </row>
    <row r="1782" spans="1:33" ht="11.25" customHeight="1" x14ac:dyDescent="0.25">
      <c r="A1782" s="3" t="s">
        <v>28</v>
      </c>
      <c r="B1782" s="3" t="s">
        <v>37</v>
      </c>
      <c r="C1782" s="3" t="s">
        <v>23</v>
      </c>
      <c r="D1782" s="3" t="s">
        <v>38</v>
      </c>
      <c r="E1782" s="3" t="s">
        <v>25</v>
      </c>
      <c r="F1782" s="3" t="s">
        <v>25</v>
      </c>
      <c r="G1782" s="3" t="s">
        <v>25</v>
      </c>
      <c r="H1782" s="3" t="s">
        <v>25</v>
      </c>
      <c r="I1782" s="6">
        <v>44470</v>
      </c>
      <c r="J1782" s="4">
        <v>0</v>
      </c>
      <c r="K1782" s="4">
        <v>0</v>
      </c>
      <c r="L1782" s="4">
        <v>53.360999999999997</v>
      </c>
      <c r="M1782" s="4">
        <v>53.360999999999997</v>
      </c>
      <c r="N1782" s="4">
        <v>53.360999999999997</v>
      </c>
      <c r="O1782" s="4">
        <v>53.360999999999997</v>
      </c>
      <c r="P1782" s="4">
        <v>60</v>
      </c>
      <c r="Q1782" s="3" t="s">
        <v>26</v>
      </c>
      <c r="R1782" s="3">
        <v>0</v>
      </c>
      <c r="S1782" s="4">
        <v>0</v>
      </c>
      <c r="T1782" s="4">
        <v>84</v>
      </c>
      <c r="U1782" s="4">
        <v>7</v>
      </c>
      <c r="V1782" s="4">
        <f>IF(ISERROR(VLOOKUP($S$1782,'TAR FIN'!$A$1:$O$113,15,0)),0,VLOOKUP($S$1782,'TAR FIN'!$A$1:$O$113,15,0))</f>
        <v>0</v>
      </c>
      <c r="W1782" s="4">
        <f>IF(ISERROR(VLOOKUP($T$1782,'TAR FIN'!$A$1:$O$113,15,0)),0,VLOOKUP($T$1782,'TAR FIN'!$A$1:$O$113,15,0))</f>
        <v>346.2</v>
      </c>
      <c r="X1782" s="4">
        <f>IF(ISERROR(VLOOKUP($U$1782,'TAR FIN'!$A$1:$O$113,15,0)),0,VLOOKUP($U$1782,'TAR FIN'!$A$1:$O$113,15,0))</f>
        <v>234.24</v>
      </c>
      <c r="Y1782" s="4"/>
      <c r="Z1782" s="4">
        <f ca="1">('TUSD BE'!$AM$68+'TUSD BF'!$AM$68+'TUSD CVA'!$AM$68)*1</f>
        <v>411.14246090221764</v>
      </c>
      <c r="AA1782" s="4">
        <f>('TE BE'!$AA$47+'TE BF'!$AA$47+'TE CVA'!$AA$47)*1</f>
        <v>234.67932779241937</v>
      </c>
      <c r="AB1782" s="4">
        <f>$K$1782*$V$1782</f>
        <v>0</v>
      </c>
      <c r="AC1782" s="4">
        <f>$M$1782*$W$1782</f>
        <v>18473.5782</v>
      </c>
      <c r="AD1782" s="4">
        <f>$O$1782*$X$1782</f>
        <v>12499.280639999999</v>
      </c>
      <c r="AE1782" s="4">
        <f>$K$1782*$Y$1782</f>
        <v>0</v>
      </c>
      <c r="AF1782" s="4">
        <f ca="1">$M$1782*$Z$1782</f>
        <v>21938.972856203232</v>
      </c>
      <c r="AG1782" s="4">
        <f>$O$1782*$AA$1782</f>
        <v>12522.72361033129</v>
      </c>
    </row>
    <row r="1783" spans="1:33" ht="11.25" customHeight="1" x14ac:dyDescent="0.25">
      <c r="A1783" s="3" t="s">
        <v>21</v>
      </c>
      <c r="B1783" s="3" t="s">
        <v>37</v>
      </c>
      <c r="C1783" s="3" t="s">
        <v>23</v>
      </c>
      <c r="D1783" s="3" t="s">
        <v>38</v>
      </c>
      <c r="E1783" s="3" t="s">
        <v>25</v>
      </c>
      <c r="F1783" s="3" t="s">
        <v>25</v>
      </c>
      <c r="G1783" s="3" t="s">
        <v>25</v>
      </c>
      <c r="H1783" s="3" t="s">
        <v>25</v>
      </c>
      <c r="I1783" s="6">
        <v>44501</v>
      </c>
      <c r="J1783" s="4">
        <v>0</v>
      </c>
      <c r="K1783" s="4">
        <v>0</v>
      </c>
      <c r="L1783" s="4">
        <v>1244.596</v>
      </c>
      <c r="M1783" s="4">
        <v>1244.596</v>
      </c>
      <c r="N1783" s="4">
        <v>1244.596</v>
      </c>
      <c r="O1783" s="4">
        <v>1244.596</v>
      </c>
      <c r="P1783" s="4">
        <v>678</v>
      </c>
      <c r="Q1783" s="3" t="s">
        <v>26</v>
      </c>
      <c r="R1783" s="3">
        <v>0</v>
      </c>
      <c r="S1783" s="4">
        <v>0</v>
      </c>
      <c r="T1783" s="4">
        <v>84</v>
      </c>
      <c r="U1783" s="4">
        <v>7</v>
      </c>
      <c r="V1783" s="4">
        <f>IF(ISERROR(VLOOKUP($S$1783,'TAR FIN'!$A$1:$O$113,15,0)),0,VLOOKUP($S$1783,'TAR FIN'!$A$1:$O$113,15,0))</f>
        <v>0</v>
      </c>
      <c r="W1783" s="4">
        <f>IF(ISERROR(VLOOKUP($T$1783,'TAR FIN'!$A$1:$O$113,15,0)),0,VLOOKUP($T$1783,'TAR FIN'!$A$1:$O$113,15,0))</f>
        <v>346.2</v>
      </c>
      <c r="X1783" s="4">
        <f>IF(ISERROR(VLOOKUP($U$1783,'TAR FIN'!$A$1:$O$113,15,0)),0,VLOOKUP($U$1783,'TAR FIN'!$A$1:$O$113,15,0))</f>
        <v>234.24</v>
      </c>
      <c r="Y1783" s="4"/>
      <c r="Z1783" s="4">
        <f ca="1">('TUSD BE'!$AM$68+'TUSD BF'!$AM$68+'TUSD CVA'!$AM$68)*1</f>
        <v>411.14246090221764</v>
      </c>
      <c r="AA1783" s="4">
        <f>('TE BE'!$AA$47+'TE BF'!$AA$47+'TE CVA'!$AA$47)*1</f>
        <v>234.67932779241937</v>
      </c>
      <c r="AB1783" s="4">
        <f>$K$1783*$V$1783</f>
        <v>0</v>
      </c>
      <c r="AC1783" s="4">
        <f>$M$1783*$W$1783</f>
        <v>430879.13519999996</v>
      </c>
      <c r="AD1783" s="4">
        <f>$O$1783*$X$1783</f>
        <v>291534.16704000003</v>
      </c>
      <c r="AE1783" s="4">
        <f>$K$1783*$Y$1783</f>
        <v>0</v>
      </c>
      <c r="AF1783" s="4">
        <f ca="1">$M$1783*$Z$1783</f>
        <v>511706.26226905646</v>
      </c>
      <c r="AG1783" s="4">
        <f>$O$1783*$AA$1783</f>
        <v>292080.95265313401</v>
      </c>
    </row>
    <row r="1784" spans="1:33" ht="11.25" customHeight="1" x14ac:dyDescent="0.25">
      <c r="A1784" s="3" t="s">
        <v>28</v>
      </c>
      <c r="B1784" s="3" t="s">
        <v>37</v>
      </c>
      <c r="C1784" s="3" t="s">
        <v>23</v>
      </c>
      <c r="D1784" s="3" t="s">
        <v>38</v>
      </c>
      <c r="E1784" s="3" t="s">
        <v>25</v>
      </c>
      <c r="F1784" s="3" t="s">
        <v>25</v>
      </c>
      <c r="G1784" s="3" t="s">
        <v>25</v>
      </c>
      <c r="H1784" s="3" t="s">
        <v>25</v>
      </c>
      <c r="I1784" s="6">
        <v>44501</v>
      </c>
      <c r="J1784" s="4">
        <v>0</v>
      </c>
      <c r="K1784" s="4">
        <v>0</v>
      </c>
      <c r="L1784" s="4">
        <v>54.143000000000001</v>
      </c>
      <c r="M1784" s="4">
        <v>54.143000000000001</v>
      </c>
      <c r="N1784" s="4">
        <v>54.143000000000001</v>
      </c>
      <c r="O1784" s="4">
        <v>54.143000000000001</v>
      </c>
      <c r="P1784" s="4">
        <v>61</v>
      </c>
      <c r="Q1784" s="3" t="s">
        <v>26</v>
      </c>
      <c r="R1784" s="3">
        <v>0</v>
      </c>
      <c r="S1784" s="4">
        <v>0</v>
      </c>
      <c r="T1784" s="4">
        <v>84</v>
      </c>
      <c r="U1784" s="4">
        <v>7</v>
      </c>
      <c r="V1784" s="4">
        <f>IF(ISERROR(VLOOKUP($S$1784,'TAR FIN'!$A$1:$O$113,15,0)),0,VLOOKUP($S$1784,'TAR FIN'!$A$1:$O$113,15,0))</f>
        <v>0</v>
      </c>
      <c r="W1784" s="4">
        <f>IF(ISERROR(VLOOKUP($T$1784,'TAR FIN'!$A$1:$O$113,15,0)),0,VLOOKUP($T$1784,'TAR FIN'!$A$1:$O$113,15,0))</f>
        <v>346.2</v>
      </c>
      <c r="X1784" s="4">
        <f>IF(ISERROR(VLOOKUP($U$1784,'TAR FIN'!$A$1:$O$113,15,0)),0,VLOOKUP($U$1784,'TAR FIN'!$A$1:$O$113,15,0))</f>
        <v>234.24</v>
      </c>
      <c r="Y1784" s="4"/>
      <c r="Z1784" s="4">
        <f ca="1">('TUSD BE'!$AM$68+'TUSD BF'!$AM$68+'TUSD CVA'!$AM$68)*1</f>
        <v>411.14246090221764</v>
      </c>
      <c r="AA1784" s="4">
        <f>('TE BE'!$AA$47+'TE BF'!$AA$47+'TE CVA'!$AA$47)*1</f>
        <v>234.67932779241937</v>
      </c>
      <c r="AB1784" s="4">
        <f>$K$1784*$V$1784</f>
        <v>0</v>
      </c>
      <c r="AC1784" s="4">
        <f>$M$1784*$W$1784</f>
        <v>18744.3066</v>
      </c>
      <c r="AD1784" s="4">
        <f>$O$1784*$X$1784</f>
        <v>12682.456320000001</v>
      </c>
      <c r="AE1784" s="4">
        <f>$K$1784*$Y$1784</f>
        <v>0</v>
      </c>
      <c r="AF1784" s="4">
        <f ca="1">$M$1784*$Z$1784</f>
        <v>22260.486260628768</v>
      </c>
      <c r="AG1784" s="4">
        <f>$O$1784*$AA$1784</f>
        <v>12706.242844664963</v>
      </c>
    </row>
    <row r="1785" spans="1:33" ht="11.25" customHeight="1" x14ac:dyDescent="0.25">
      <c r="A1785" s="3" t="s">
        <v>21</v>
      </c>
      <c r="B1785" s="3" t="s">
        <v>37</v>
      </c>
      <c r="C1785" s="3" t="s">
        <v>23</v>
      </c>
      <c r="D1785" s="3" t="s">
        <v>38</v>
      </c>
      <c r="E1785" s="3" t="s">
        <v>25</v>
      </c>
      <c r="F1785" s="3" t="s">
        <v>25</v>
      </c>
      <c r="G1785" s="3" t="s">
        <v>25</v>
      </c>
      <c r="H1785" s="3" t="s">
        <v>25</v>
      </c>
      <c r="I1785" s="6">
        <v>44531</v>
      </c>
      <c r="J1785" s="4">
        <v>0</v>
      </c>
      <c r="K1785" s="4">
        <v>0</v>
      </c>
      <c r="L1785" s="4">
        <v>1341.25</v>
      </c>
      <c r="M1785" s="4">
        <v>1341.25</v>
      </c>
      <c r="N1785" s="4">
        <v>1341.25</v>
      </c>
      <c r="O1785" s="4">
        <v>1341.25</v>
      </c>
      <c r="P1785" s="4">
        <v>689</v>
      </c>
      <c r="Q1785" s="3" t="s">
        <v>26</v>
      </c>
      <c r="R1785" s="3">
        <v>0</v>
      </c>
      <c r="S1785" s="4">
        <v>0</v>
      </c>
      <c r="T1785" s="4">
        <v>84</v>
      </c>
      <c r="U1785" s="4">
        <v>7</v>
      </c>
      <c r="V1785" s="4">
        <f>IF(ISERROR(VLOOKUP($S$1785,'TAR FIN'!$A$1:$O$113,15,0)),0,VLOOKUP($S$1785,'TAR FIN'!$A$1:$O$113,15,0))</f>
        <v>0</v>
      </c>
      <c r="W1785" s="4">
        <f>IF(ISERROR(VLOOKUP($T$1785,'TAR FIN'!$A$1:$O$113,15,0)),0,VLOOKUP($T$1785,'TAR FIN'!$A$1:$O$113,15,0))</f>
        <v>346.2</v>
      </c>
      <c r="X1785" s="4">
        <f>IF(ISERROR(VLOOKUP($U$1785,'TAR FIN'!$A$1:$O$113,15,0)),0,VLOOKUP($U$1785,'TAR FIN'!$A$1:$O$113,15,0))</f>
        <v>234.24</v>
      </c>
      <c r="Y1785" s="4"/>
      <c r="Z1785" s="4">
        <f ca="1">('TUSD BE'!$AM$68+'TUSD BF'!$AM$68+'TUSD CVA'!$AM$68)*1</f>
        <v>411.14246090221764</v>
      </c>
      <c r="AA1785" s="4">
        <f>('TE BE'!$AA$47+'TE BF'!$AA$47+'TE CVA'!$AA$47)*1</f>
        <v>234.67932779241937</v>
      </c>
      <c r="AB1785" s="4">
        <f>$K$1785*$V$1785</f>
        <v>0</v>
      </c>
      <c r="AC1785" s="4">
        <f>$M$1785*$W$1785</f>
        <v>464340.75</v>
      </c>
      <c r="AD1785" s="4">
        <f>$O$1785*$X$1785</f>
        <v>314174.40000000002</v>
      </c>
      <c r="AE1785" s="4">
        <f>$K$1785*$Y$1785</f>
        <v>0</v>
      </c>
      <c r="AF1785" s="4">
        <f ca="1">$M$1785*$Z$1785</f>
        <v>551444.82568509935</v>
      </c>
      <c r="AG1785" s="4">
        <f>$O$1785*$AA$1785</f>
        <v>314763.6484015825</v>
      </c>
    </row>
    <row r="1786" spans="1:33" ht="11.25" customHeight="1" x14ac:dyDescent="0.25">
      <c r="A1786" s="3" t="s">
        <v>27</v>
      </c>
      <c r="B1786" s="3" t="s">
        <v>37</v>
      </c>
      <c r="C1786" s="3" t="s">
        <v>23</v>
      </c>
      <c r="D1786" s="3" t="s">
        <v>38</v>
      </c>
      <c r="E1786" s="3" t="s">
        <v>25</v>
      </c>
      <c r="F1786" s="3" t="s">
        <v>25</v>
      </c>
      <c r="G1786" s="3" t="s">
        <v>25</v>
      </c>
      <c r="H1786" s="3" t="s">
        <v>25</v>
      </c>
      <c r="I1786" s="6">
        <v>44531</v>
      </c>
      <c r="J1786" s="4">
        <v>0</v>
      </c>
      <c r="K1786" s="4">
        <v>0</v>
      </c>
      <c r="L1786" s="4">
        <v>-3</v>
      </c>
      <c r="M1786" s="4">
        <v>-3</v>
      </c>
      <c r="N1786" s="4">
        <v>-3</v>
      </c>
      <c r="O1786" s="4">
        <v>-3</v>
      </c>
      <c r="P1786" s="4">
        <v>-2</v>
      </c>
      <c r="Q1786" s="3" t="s">
        <v>26</v>
      </c>
      <c r="R1786" s="3">
        <v>0</v>
      </c>
      <c r="S1786" s="4">
        <v>0</v>
      </c>
      <c r="T1786" s="4">
        <v>84</v>
      </c>
      <c r="U1786" s="4">
        <v>7</v>
      </c>
      <c r="V1786" s="4">
        <f>IF(ISERROR(VLOOKUP($S$1786,'TAR FIN'!$A$1:$O$113,15,0)),0,VLOOKUP($S$1786,'TAR FIN'!$A$1:$O$113,15,0))</f>
        <v>0</v>
      </c>
      <c r="W1786" s="4">
        <f>IF(ISERROR(VLOOKUP($T$1786,'TAR FIN'!$A$1:$O$113,15,0)),0,VLOOKUP($T$1786,'TAR FIN'!$A$1:$O$113,15,0))</f>
        <v>346.2</v>
      </c>
      <c r="X1786" s="4">
        <f>IF(ISERROR(VLOOKUP($U$1786,'TAR FIN'!$A$1:$O$113,15,0)),0,VLOOKUP($U$1786,'TAR FIN'!$A$1:$O$113,15,0))</f>
        <v>234.24</v>
      </c>
      <c r="Y1786" s="4"/>
      <c r="Z1786" s="4">
        <f ca="1">('TUSD BE'!$AM$68+'TUSD BF'!$AM$68+'TUSD CVA'!$AM$68)*1</f>
        <v>411.14246090221764</v>
      </c>
      <c r="AA1786" s="4">
        <f>('TE BE'!$AA$47+'TE BF'!$AA$47+'TE CVA'!$AA$47)*1</f>
        <v>234.67932779241937</v>
      </c>
      <c r="AB1786" s="4">
        <f>$K$1786*$V$1786</f>
        <v>0</v>
      </c>
      <c r="AC1786" s="4">
        <f>$M$1786*$W$1786</f>
        <v>-1038.5999999999999</v>
      </c>
      <c r="AD1786" s="4">
        <f>$O$1786*$X$1786</f>
        <v>-702.72</v>
      </c>
      <c r="AE1786" s="4">
        <f>$K$1786*$Y$1786</f>
        <v>0</v>
      </c>
      <c r="AF1786" s="4">
        <f ca="1">$M$1786*$Z$1786</f>
        <v>-1233.4273827066529</v>
      </c>
      <c r="AG1786" s="4">
        <f>$O$1786*$AA$1786</f>
        <v>-704.03798337725812</v>
      </c>
    </row>
    <row r="1787" spans="1:33" ht="11.25" customHeight="1" x14ac:dyDescent="0.25">
      <c r="A1787" s="3" t="s">
        <v>28</v>
      </c>
      <c r="B1787" s="3" t="s">
        <v>37</v>
      </c>
      <c r="C1787" s="3" t="s">
        <v>23</v>
      </c>
      <c r="D1787" s="3" t="s">
        <v>38</v>
      </c>
      <c r="E1787" s="3" t="s">
        <v>25</v>
      </c>
      <c r="F1787" s="3" t="s">
        <v>25</v>
      </c>
      <c r="G1787" s="3" t="s">
        <v>25</v>
      </c>
      <c r="H1787" s="3" t="s">
        <v>25</v>
      </c>
      <c r="I1787" s="6">
        <v>44531</v>
      </c>
      <c r="J1787" s="4">
        <v>0</v>
      </c>
      <c r="K1787" s="4">
        <v>0</v>
      </c>
      <c r="L1787" s="4">
        <v>70.896000000000001</v>
      </c>
      <c r="M1787" s="4">
        <v>70.896000000000001</v>
      </c>
      <c r="N1787" s="4">
        <v>70.896000000000001</v>
      </c>
      <c r="O1787" s="4">
        <v>70.896000000000001</v>
      </c>
      <c r="P1787" s="4">
        <v>63</v>
      </c>
      <c r="Q1787" s="3" t="s">
        <v>26</v>
      </c>
      <c r="R1787" s="3">
        <v>0</v>
      </c>
      <c r="S1787" s="4">
        <v>0</v>
      </c>
      <c r="T1787" s="4">
        <v>84</v>
      </c>
      <c r="U1787" s="4">
        <v>7</v>
      </c>
      <c r="V1787" s="4">
        <f>IF(ISERROR(VLOOKUP($S$1787,'TAR FIN'!$A$1:$O$113,15,0)),0,VLOOKUP($S$1787,'TAR FIN'!$A$1:$O$113,15,0))</f>
        <v>0</v>
      </c>
      <c r="W1787" s="4">
        <f>IF(ISERROR(VLOOKUP($T$1787,'TAR FIN'!$A$1:$O$113,15,0)),0,VLOOKUP($T$1787,'TAR FIN'!$A$1:$O$113,15,0))</f>
        <v>346.2</v>
      </c>
      <c r="X1787" s="4">
        <f>IF(ISERROR(VLOOKUP($U$1787,'TAR FIN'!$A$1:$O$113,15,0)),0,VLOOKUP($U$1787,'TAR FIN'!$A$1:$O$113,15,0))</f>
        <v>234.24</v>
      </c>
      <c r="Y1787" s="4"/>
      <c r="Z1787" s="4">
        <f ca="1">('TUSD BE'!$AM$68+'TUSD BF'!$AM$68+'TUSD CVA'!$AM$68)*1</f>
        <v>411.14246090221764</v>
      </c>
      <c r="AA1787" s="4">
        <f>('TE BE'!$AA$47+'TE BF'!$AA$47+'TE CVA'!$AA$47)*1</f>
        <v>234.67932779241937</v>
      </c>
      <c r="AB1787" s="4">
        <f>$K$1787*$V$1787</f>
        <v>0</v>
      </c>
      <c r="AC1787" s="4">
        <f>$M$1787*$W$1787</f>
        <v>24544.195199999998</v>
      </c>
      <c r="AD1787" s="4">
        <f>$O$1787*$X$1787</f>
        <v>16606.679039999999</v>
      </c>
      <c r="AE1787" s="4">
        <f>$K$1787*$Y$1787</f>
        <v>0</v>
      </c>
      <c r="AF1787" s="4">
        <f ca="1">$M$1787*$Z$1787</f>
        <v>29148.355908123624</v>
      </c>
      <c r="AG1787" s="4">
        <f>$O$1787*$AA$1787</f>
        <v>16637.825623171364</v>
      </c>
    </row>
    <row r="1788" spans="1:33" ht="11.25" customHeight="1" x14ac:dyDescent="0.25">
      <c r="A1788" s="3" t="s">
        <v>21</v>
      </c>
      <c r="B1788" s="3" t="s">
        <v>37</v>
      </c>
      <c r="C1788" s="3" t="s">
        <v>23</v>
      </c>
      <c r="D1788" s="3" t="s">
        <v>38</v>
      </c>
      <c r="E1788" s="3" t="s">
        <v>25</v>
      </c>
      <c r="F1788" s="3" t="s">
        <v>25</v>
      </c>
      <c r="G1788" s="3" t="s">
        <v>25</v>
      </c>
      <c r="H1788" s="3" t="s">
        <v>25</v>
      </c>
      <c r="I1788" s="6">
        <v>44562</v>
      </c>
      <c r="J1788" s="4">
        <v>0</v>
      </c>
      <c r="K1788" s="4">
        <v>0</v>
      </c>
      <c r="L1788" s="4">
        <v>1320.1410000000001</v>
      </c>
      <c r="M1788" s="4">
        <v>1320.1410000000001</v>
      </c>
      <c r="N1788" s="4">
        <v>1320.1410000000001</v>
      </c>
      <c r="O1788" s="4">
        <v>1320.1410000000001</v>
      </c>
      <c r="P1788" s="4">
        <v>689</v>
      </c>
      <c r="Q1788" s="3" t="s">
        <v>26</v>
      </c>
      <c r="R1788" s="3">
        <v>0</v>
      </c>
      <c r="S1788" s="4">
        <v>0</v>
      </c>
      <c r="T1788" s="4">
        <v>84</v>
      </c>
      <c r="U1788" s="4">
        <v>7</v>
      </c>
      <c r="V1788" s="4">
        <f>IF(ISERROR(VLOOKUP($S$1788,'TAR FIN'!$A$1:$O$113,15,0)),0,VLOOKUP($S$1788,'TAR FIN'!$A$1:$O$113,15,0))</f>
        <v>0</v>
      </c>
      <c r="W1788" s="4">
        <f>IF(ISERROR(VLOOKUP($T$1788,'TAR FIN'!$A$1:$O$113,15,0)),0,VLOOKUP($T$1788,'TAR FIN'!$A$1:$O$113,15,0))</f>
        <v>346.2</v>
      </c>
      <c r="X1788" s="4">
        <f>IF(ISERROR(VLOOKUP($U$1788,'TAR FIN'!$A$1:$O$113,15,0)),0,VLOOKUP($U$1788,'TAR FIN'!$A$1:$O$113,15,0))</f>
        <v>234.24</v>
      </c>
      <c r="Y1788" s="4"/>
      <c r="Z1788" s="4">
        <f ca="1">('TUSD BE'!$AM$68+'TUSD BF'!$AM$68+'TUSD CVA'!$AM$68)*1</f>
        <v>411.14246090221764</v>
      </c>
      <c r="AA1788" s="4">
        <f>('TE BE'!$AA$47+'TE BF'!$AA$47+'TE CVA'!$AA$47)*1</f>
        <v>234.67932779241937</v>
      </c>
      <c r="AB1788" s="4">
        <f>$K$1788*$V$1788</f>
        <v>0</v>
      </c>
      <c r="AC1788" s="4">
        <f>$M$1788*$W$1788</f>
        <v>457032.81420000002</v>
      </c>
      <c r="AD1788" s="4">
        <f>$O$1788*$X$1788</f>
        <v>309229.82784000004</v>
      </c>
      <c r="AE1788" s="4">
        <f>$K$1788*$Y$1788</f>
        <v>0</v>
      </c>
      <c r="AF1788" s="4">
        <f ca="1">$M$1788*$Z$1788</f>
        <v>542766.01947791455</v>
      </c>
      <c r="AG1788" s="4">
        <f>$O$1788*$AA$1788</f>
        <v>309809.80247121234</v>
      </c>
    </row>
    <row r="1789" spans="1:33" ht="11.25" customHeight="1" x14ac:dyDescent="0.25">
      <c r="A1789" s="3" t="s">
        <v>28</v>
      </c>
      <c r="B1789" s="3" t="s">
        <v>37</v>
      </c>
      <c r="C1789" s="3" t="s">
        <v>23</v>
      </c>
      <c r="D1789" s="3" t="s">
        <v>38</v>
      </c>
      <c r="E1789" s="3" t="s">
        <v>25</v>
      </c>
      <c r="F1789" s="3" t="s">
        <v>25</v>
      </c>
      <c r="G1789" s="3" t="s">
        <v>25</v>
      </c>
      <c r="H1789" s="3" t="s">
        <v>25</v>
      </c>
      <c r="I1789" s="6">
        <v>44562</v>
      </c>
      <c r="J1789" s="4">
        <v>0</v>
      </c>
      <c r="K1789" s="4">
        <v>0</v>
      </c>
      <c r="L1789" s="4">
        <v>71.986000000000004</v>
      </c>
      <c r="M1789" s="4">
        <v>71.986000000000004</v>
      </c>
      <c r="N1789" s="4">
        <v>71.986000000000004</v>
      </c>
      <c r="O1789" s="4">
        <v>71.986000000000004</v>
      </c>
      <c r="P1789" s="4">
        <v>64</v>
      </c>
      <c r="Q1789" s="3" t="s">
        <v>26</v>
      </c>
      <c r="R1789" s="3">
        <v>0</v>
      </c>
      <c r="S1789" s="4">
        <v>0</v>
      </c>
      <c r="T1789" s="4">
        <v>84</v>
      </c>
      <c r="U1789" s="4">
        <v>7</v>
      </c>
      <c r="V1789" s="4">
        <f>IF(ISERROR(VLOOKUP($S$1789,'TAR FIN'!$A$1:$O$113,15,0)),0,VLOOKUP($S$1789,'TAR FIN'!$A$1:$O$113,15,0))</f>
        <v>0</v>
      </c>
      <c r="W1789" s="4">
        <f>IF(ISERROR(VLOOKUP($T$1789,'TAR FIN'!$A$1:$O$113,15,0)),0,VLOOKUP($T$1789,'TAR FIN'!$A$1:$O$113,15,0))</f>
        <v>346.2</v>
      </c>
      <c r="X1789" s="4">
        <f>IF(ISERROR(VLOOKUP($U$1789,'TAR FIN'!$A$1:$O$113,15,0)),0,VLOOKUP($U$1789,'TAR FIN'!$A$1:$O$113,15,0))</f>
        <v>234.24</v>
      </c>
      <c r="Y1789" s="4"/>
      <c r="Z1789" s="4">
        <f ca="1">('TUSD BE'!$AM$68+'TUSD BF'!$AM$68+'TUSD CVA'!$AM$68)*1</f>
        <v>411.14246090221764</v>
      </c>
      <c r="AA1789" s="4">
        <f>('TE BE'!$AA$47+'TE BF'!$AA$47+'TE CVA'!$AA$47)*1</f>
        <v>234.67932779241937</v>
      </c>
      <c r="AB1789" s="4">
        <f>$K$1789*$V$1789</f>
        <v>0</v>
      </c>
      <c r="AC1789" s="4">
        <f>$M$1789*$W$1789</f>
        <v>24921.553200000002</v>
      </c>
      <c r="AD1789" s="4">
        <f>$O$1789*$X$1789</f>
        <v>16862.000640000002</v>
      </c>
      <c r="AE1789" s="4">
        <f>$K$1789*$Y$1789</f>
        <v>0</v>
      </c>
      <c r="AF1789" s="4">
        <f ca="1">$M$1789*$Z$1789</f>
        <v>29596.501190507039</v>
      </c>
      <c r="AG1789" s="4">
        <f>$O$1789*$AA$1789</f>
        <v>16893.626090465103</v>
      </c>
    </row>
    <row r="1790" spans="1:33" ht="11.25" customHeight="1" x14ac:dyDescent="0.25">
      <c r="A1790" s="3" t="s">
        <v>28</v>
      </c>
      <c r="B1790" s="3" t="s">
        <v>37</v>
      </c>
      <c r="C1790" s="3" t="s">
        <v>23</v>
      </c>
      <c r="D1790" s="3" t="s">
        <v>38</v>
      </c>
      <c r="E1790" s="3" t="s">
        <v>25</v>
      </c>
      <c r="F1790" s="3" t="s">
        <v>25</v>
      </c>
      <c r="G1790" s="3" t="s">
        <v>25</v>
      </c>
      <c r="H1790" s="3" t="s">
        <v>25</v>
      </c>
      <c r="I1790" s="6">
        <v>44562</v>
      </c>
      <c r="J1790" s="4">
        <v>0</v>
      </c>
      <c r="K1790" s="4">
        <v>0</v>
      </c>
      <c r="L1790" s="4">
        <v>0.10299999999999999</v>
      </c>
      <c r="M1790" s="4">
        <v>0.10299999999999999</v>
      </c>
      <c r="N1790" s="4">
        <v>0.10299999999999999</v>
      </c>
      <c r="O1790" s="4">
        <v>0.10299999999999999</v>
      </c>
      <c r="P1790" s="4">
        <v>0</v>
      </c>
      <c r="Q1790" s="3" t="s">
        <v>26</v>
      </c>
      <c r="R1790" s="3">
        <v>0</v>
      </c>
      <c r="S1790" s="4">
        <v>0</v>
      </c>
      <c r="T1790" s="4">
        <v>84</v>
      </c>
      <c r="U1790" s="4">
        <v>7</v>
      </c>
      <c r="V1790" s="4">
        <f>IF(ISERROR(VLOOKUP($S$1790,'TAR FIN'!$A$1:$O$113,15,0)),0,VLOOKUP($S$1790,'TAR FIN'!$A$1:$O$113,15,0))</f>
        <v>0</v>
      </c>
      <c r="W1790" s="4">
        <f>IF(ISERROR(VLOOKUP($T$1790,'TAR FIN'!$A$1:$O$113,15,0)),0,VLOOKUP($T$1790,'TAR FIN'!$A$1:$O$113,15,0))</f>
        <v>346.2</v>
      </c>
      <c r="X1790" s="4">
        <f>IF(ISERROR(VLOOKUP($U$1790,'TAR FIN'!$A$1:$O$113,15,0)),0,VLOOKUP($U$1790,'TAR FIN'!$A$1:$O$113,15,0))</f>
        <v>234.24</v>
      </c>
      <c r="Y1790" s="4"/>
      <c r="Z1790" s="4">
        <f ca="1">('TUSD BE'!$AM$68+'TUSD BF'!$AM$68+'TUSD CVA'!$AM$68)*1</f>
        <v>411.14246090221764</v>
      </c>
      <c r="AA1790" s="4">
        <f>('TE BE'!$AA$47+'TE BF'!$AA$47+'TE CVA'!$AA$47)*1</f>
        <v>234.67932779241937</v>
      </c>
      <c r="AB1790" s="4">
        <f>$K$1790*$V$1790</f>
        <v>0</v>
      </c>
      <c r="AC1790" s="4">
        <f>$M$1790*$W$1790</f>
        <v>35.6586</v>
      </c>
      <c r="AD1790" s="4">
        <f>$O$1790*$X$1790</f>
        <v>24.126719999999999</v>
      </c>
      <c r="AE1790" s="4">
        <f>$K$1790*$Y$1790</f>
        <v>0</v>
      </c>
      <c r="AF1790" s="4">
        <f ca="1">$M$1790*$Z$1790</f>
        <v>42.347673472928413</v>
      </c>
      <c r="AG1790" s="4">
        <f>$O$1790*$AA$1790</f>
        <v>24.171970762619193</v>
      </c>
    </row>
    <row r="1791" spans="1:33" ht="11.25" customHeight="1" x14ac:dyDescent="0.25">
      <c r="A1791" s="3" t="s">
        <v>21</v>
      </c>
      <c r="B1791" s="3" t="s">
        <v>37</v>
      </c>
      <c r="C1791" s="3" t="s">
        <v>23</v>
      </c>
      <c r="D1791" s="3" t="s">
        <v>38</v>
      </c>
      <c r="E1791" s="3" t="s">
        <v>25</v>
      </c>
      <c r="F1791" s="3" t="s">
        <v>25</v>
      </c>
      <c r="G1791" s="3" t="s">
        <v>25</v>
      </c>
      <c r="H1791" s="3" t="s">
        <v>25</v>
      </c>
      <c r="I1791" s="6">
        <v>44593</v>
      </c>
      <c r="J1791" s="4">
        <v>0</v>
      </c>
      <c r="K1791" s="4">
        <v>0</v>
      </c>
      <c r="L1791" s="4">
        <v>1197.2909999999999</v>
      </c>
      <c r="M1791" s="4">
        <v>1197.2909999999999</v>
      </c>
      <c r="N1791" s="4">
        <v>1197.2909999999999</v>
      </c>
      <c r="O1791" s="4">
        <v>1197.2909999999999</v>
      </c>
      <c r="P1791" s="4">
        <v>674</v>
      </c>
      <c r="Q1791" s="3" t="s">
        <v>26</v>
      </c>
      <c r="R1791" s="3">
        <v>0</v>
      </c>
      <c r="S1791" s="4">
        <v>0</v>
      </c>
      <c r="T1791" s="4">
        <v>84</v>
      </c>
      <c r="U1791" s="4">
        <v>7</v>
      </c>
      <c r="V1791" s="4">
        <f>IF(ISERROR(VLOOKUP($S$1791,'TAR FIN'!$A$1:$O$113,15,0)),0,VLOOKUP($S$1791,'TAR FIN'!$A$1:$O$113,15,0))</f>
        <v>0</v>
      </c>
      <c r="W1791" s="4">
        <f>IF(ISERROR(VLOOKUP($T$1791,'TAR FIN'!$A$1:$O$113,15,0)),0,VLOOKUP($T$1791,'TAR FIN'!$A$1:$O$113,15,0))</f>
        <v>346.2</v>
      </c>
      <c r="X1791" s="4">
        <f>IF(ISERROR(VLOOKUP($U$1791,'TAR FIN'!$A$1:$O$113,15,0)),0,VLOOKUP($U$1791,'TAR FIN'!$A$1:$O$113,15,0))</f>
        <v>234.24</v>
      </c>
      <c r="Y1791" s="4"/>
      <c r="Z1791" s="4">
        <f ca="1">('TUSD BE'!$AM$68+'TUSD BF'!$AM$68+'TUSD CVA'!$AM$68)*1</f>
        <v>411.14246090221764</v>
      </c>
      <c r="AA1791" s="4">
        <f>('TE BE'!$AA$47+'TE BF'!$AA$47+'TE CVA'!$AA$47)*1</f>
        <v>234.67932779241937</v>
      </c>
      <c r="AB1791" s="4">
        <f>$K$1791*$V$1791</f>
        <v>0</v>
      </c>
      <c r="AC1791" s="4">
        <f>$M$1791*$W$1791</f>
        <v>414502.14419999998</v>
      </c>
      <c r="AD1791" s="4">
        <f>$O$1791*$X$1791</f>
        <v>280453.44384000002</v>
      </c>
      <c r="AE1791" s="4">
        <f>$K$1791*$Y$1791</f>
        <v>0</v>
      </c>
      <c r="AF1791" s="4">
        <f ca="1">$M$1791*$Z$1791</f>
        <v>492257.16815607704</v>
      </c>
      <c r="AG1791" s="4">
        <f>$O$1791*$AA$1791</f>
        <v>280979.44705191359</v>
      </c>
    </row>
    <row r="1792" spans="1:33" ht="11.25" customHeight="1" x14ac:dyDescent="0.25">
      <c r="A1792" s="3" t="s">
        <v>27</v>
      </c>
      <c r="B1792" s="3" t="s">
        <v>37</v>
      </c>
      <c r="C1792" s="3" t="s">
        <v>23</v>
      </c>
      <c r="D1792" s="3" t="s">
        <v>38</v>
      </c>
      <c r="E1792" s="3" t="s">
        <v>25</v>
      </c>
      <c r="F1792" s="3" t="s">
        <v>25</v>
      </c>
      <c r="G1792" s="3" t="s">
        <v>25</v>
      </c>
      <c r="H1792" s="3" t="s">
        <v>25</v>
      </c>
      <c r="I1792" s="6">
        <v>44593</v>
      </c>
      <c r="J1792" s="4">
        <v>0</v>
      </c>
      <c r="K1792" s="4">
        <v>0</v>
      </c>
      <c r="L1792" s="4">
        <v>-1.044</v>
      </c>
      <c r="M1792" s="4">
        <v>-1.044</v>
      </c>
      <c r="N1792" s="4">
        <v>-1.044</v>
      </c>
      <c r="O1792" s="4">
        <v>-1.044</v>
      </c>
      <c r="P1792" s="4">
        <v>0</v>
      </c>
      <c r="Q1792" s="3" t="s">
        <v>26</v>
      </c>
      <c r="R1792" s="3">
        <v>0</v>
      </c>
      <c r="S1792" s="4">
        <v>0</v>
      </c>
      <c r="T1792" s="4">
        <v>84</v>
      </c>
      <c r="U1792" s="4">
        <v>7</v>
      </c>
      <c r="V1792" s="4">
        <f>IF(ISERROR(VLOOKUP($S$1792,'TAR FIN'!$A$1:$O$113,15,0)),0,VLOOKUP($S$1792,'TAR FIN'!$A$1:$O$113,15,0))</f>
        <v>0</v>
      </c>
      <c r="W1792" s="4">
        <f>IF(ISERROR(VLOOKUP($T$1792,'TAR FIN'!$A$1:$O$113,15,0)),0,VLOOKUP($T$1792,'TAR FIN'!$A$1:$O$113,15,0))</f>
        <v>346.2</v>
      </c>
      <c r="X1792" s="4">
        <f>IF(ISERROR(VLOOKUP($U$1792,'TAR FIN'!$A$1:$O$113,15,0)),0,VLOOKUP($U$1792,'TAR FIN'!$A$1:$O$113,15,0))</f>
        <v>234.24</v>
      </c>
      <c r="Y1792" s="4"/>
      <c r="Z1792" s="4">
        <f ca="1">('TUSD BE'!$AM$68+'TUSD BF'!$AM$68+'TUSD CVA'!$AM$68)*1</f>
        <v>411.14246090221764</v>
      </c>
      <c r="AA1792" s="4">
        <f>('TE BE'!$AA$47+'TE BF'!$AA$47+'TE CVA'!$AA$47)*1</f>
        <v>234.67932779241937</v>
      </c>
      <c r="AB1792" s="4">
        <f>$K$1792*$V$1792</f>
        <v>0</v>
      </c>
      <c r="AC1792" s="4">
        <f>$M$1792*$W$1792</f>
        <v>-361.43279999999999</v>
      </c>
      <c r="AD1792" s="4">
        <f>$O$1792*$X$1792</f>
        <v>-244.54656000000003</v>
      </c>
      <c r="AE1792" s="4">
        <f>$K$1792*$Y$1792</f>
        <v>0</v>
      </c>
      <c r="AF1792" s="4">
        <f ca="1">$M$1792*$Z$1792</f>
        <v>-429.2327291819152</v>
      </c>
      <c r="AG1792" s="4">
        <f>$O$1792*$AA$1792</f>
        <v>-245.00521821528582</v>
      </c>
    </row>
    <row r="1793" spans="1:33" ht="11.25" customHeight="1" x14ac:dyDescent="0.25">
      <c r="A1793" s="3" t="s">
        <v>28</v>
      </c>
      <c r="B1793" s="3" t="s">
        <v>37</v>
      </c>
      <c r="C1793" s="3" t="s">
        <v>23</v>
      </c>
      <c r="D1793" s="3" t="s">
        <v>38</v>
      </c>
      <c r="E1793" s="3" t="s">
        <v>25</v>
      </c>
      <c r="F1793" s="3" t="s">
        <v>25</v>
      </c>
      <c r="G1793" s="3" t="s">
        <v>25</v>
      </c>
      <c r="H1793" s="3" t="s">
        <v>25</v>
      </c>
      <c r="I1793" s="6">
        <v>44593</v>
      </c>
      <c r="J1793" s="4">
        <v>0</v>
      </c>
      <c r="K1793" s="4">
        <v>0</v>
      </c>
      <c r="L1793" s="4">
        <v>81.245000000000005</v>
      </c>
      <c r="M1793" s="4">
        <v>81.245000000000005</v>
      </c>
      <c r="N1793" s="4">
        <v>81.245000000000005</v>
      </c>
      <c r="O1793" s="4">
        <v>81.245000000000005</v>
      </c>
      <c r="P1793" s="4">
        <v>66</v>
      </c>
      <c r="Q1793" s="3" t="s">
        <v>26</v>
      </c>
      <c r="R1793" s="3">
        <v>0</v>
      </c>
      <c r="S1793" s="4">
        <v>0</v>
      </c>
      <c r="T1793" s="4">
        <v>84</v>
      </c>
      <c r="U1793" s="4">
        <v>7</v>
      </c>
      <c r="V1793" s="4">
        <f>IF(ISERROR(VLOOKUP($S$1793,'TAR FIN'!$A$1:$O$113,15,0)),0,VLOOKUP($S$1793,'TAR FIN'!$A$1:$O$113,15,0))</f>
        <v>0</v>
      </c>
      <c r="W1793" s="4">
        <f>IF(ISERROR(VLOOKUP($T$1793,'TAR FIN'!$A$1:$O$113,15,0)),0,VLOOKUP($T$1793,'TAR FIN'!$A$1:$O$113,15,0))</f>
        <v>346.2</v>
      </c>
      <c r="X1793" s="4">
        <f>IF(ISERROR(VLOOKUP($U$1793,'TAR FIN'!$A$1:$O$113,15,0)),0,VLOOKUP($U$1793,'TAR FIN'!$A$1:$O$113,15,0))</f>
        <v>234.24</v>
      </c>
      <c r="Y1793" s="4"/>
      <c r="Z1793" s="4">
        <f ca="1">('TUSD BE'!$AM$68+'TUSD BF'!$AM$68+'TUSD CVA'!$AM$68)*1</f>
        <v>411.14246090221764</v>
      </c>
      <c r="AA1793" s="4">
        <f>('TE BE'!$AA$47+'TE BF'!$AA$47+'TE CVA'!$AA$47)*1</f>
        <v>234.67932779241937</v>
      </c>
      <c r="AB1793" s="4">
        <f>$K$1793*$V$1793</f>
        <v>0</v>
      </c>
      <c r="AC1793" s="4">
        <f>$M$1793*$W$1793</f>
        <v>28127.019</v>
      </c>
      <c r="AD1793" s="4">
        <f>$O$1793*$X$1793</f>
        <v>19030.828800000003</v>
      </c>
      <c r="AE1793" s="4">
        <f>$K$1793*$Y$1793</f>
        <v>0</v>
      </c>
      <c r="AF1793" s="4">
        <f ca="1">$M$1793*$Z$1793</f>
        <v>33403.269236000677</v>
      </c>
      <c r="AG1793" s="4">
        <f>$O$1793*$AA$1793</f>
        <v>19066.521986495114</v>
      </c>
    </row>
    <row r="1794" spans="1:33" ht="11.25" customHeight="1" x14ac:dyDescent="0.25">
      <c r="A1794" s="3" t="s">
        <v>28</v>
      </c>
      <c r="B1794" s="3" t="s">
        <v>37</v>
      </c>
      <c r="C1794" s="3" t="s">
        <v>23</v>
      </c>
      <c r="D1794" s="3" t="s">
        <v>38</v>
      </c>
      <c r="E1794" s="3" t="s">
        <v>25</v>
      </c>
      <c r="F1794" s="3" t="s">
        <v>25</v>
      </c>
      <c r="G1794" s="3" t="s">
        <v>25</v>
      </c>
      <c r="H1794" s="3" t="s">
        <v>25</v>
      </c>
      <c r="I1794" s="6">
        <v>44593</v>
      </c>
      <c r="J1794" s="4">
        <v>0</v>
      </c>
      <c r="K1794" s="4">
        <v>0</v>
      </c>
      <c r="L1794" s="4">
        <v>-0.1</v>
      </c>
      <c r="M1794" s="4">
        <v>-0.1</v>
      </c>
      <c r="N1794" s="4">
        <v>-0.1</v>
      </c>
      <c r="O1794" s="4">
        <v>-0.1</v>
      </c>
      <c r="P1794" s="4">
        <v>-1</v>
      </c>
      <c r="Q1794" s="3" t="s">
        <v>26</v>
      </c>
      <c r="R1794" s="3">
        <v>0</v>
      </c>
      <c r="S1794" s="4">
        <v>0</v>
      </c>
      <c r="T1794" s="4">
        <v>84</v>
      </c>
      <c r="U1794" s="4">
        <v>7</v>
      </c>
      <c r="V1794" s="4">
        <f>IF(ISERROR(VLOOKUP($S$1794,'TAR FIN'!$A$1:$O$113,15,0)),0,VLOOKUP($S$1794,'TAR FIN'!$A$1:$O$113,15,0))</f>
        <v>0</v>
      </c>
      <c r="W1794" s="4">
        <f>IF(ISERROR(VLOOKUP($T$1794,'TAR FIN'!$A$1:$O$113,15,0)),0,VLOOKUP($T$1794,'TAR FIN'!$A$1:$O$113,15,0))</f>
        <v>346.2</v>
      </c>
      <c r="X1794" s="4">
        <f>IF(ISERROR(VLOOKUP($U$1794,'TAR FIN'!$A$1:$O$113,15,0)),0,VLOOKUP($U$1794,'TAR FIN'!$A$1:$O$113,15,0))</f>
        <v>234.24</v>
      </c>
      <c r="Y1794" s="4"/>
      <c r="Z1794" s="4">
        <f ca="1">('TUSD BE'!$AM$68+'TUSD BF'!$AM$68+'TUSD CVA'!$AM$68)*1</f>
        <v>411.14246090221764</v>
      </c>
      <c r="AA1794" s="4">
        <f>('TE BE'!$AA$47+'TE BF'!$AA$47+'TE CVA'!$AA$47)*1</f>
        <v>234.67932779241937</v>
      </c>
      <c r="AB1794" s="4">
        <f>$K$1794*$V$1794</f>
        <v>0</v>
      </c>
      <c r="AC1794" s="4">
        <f>$M$1794*$W$1794</f>
        <v>-34.619999999999997</v>
      </c>
      <c r="AD1794" s="4">
        <f>$O$1794*$X$1794</f>
        <v>-23.424000000000003</v>
      </c>
      <c r="AE1794" s="4">
        <f>$K$1794*$Y$1794</f>
        <v>0</v>
      </c>
      <c r="AF1794" s="4">
        <f ca="1">$M$1794*$Z$1794</f>
        <v>-41.114246090221769</v>
      </c>
      <c r="AG1794" s="4">
        <f>$O$1794*$AA$1794</f>
        <v>-23.467932779241938</v>
      </c>
    </row>
    <row r="1795" spans="1:33" ht="11.25" customHeight="1" x14ac:dyDescent="0.25">
      <c r="A1795" s="3" t="s">
        <v>56</v>
      </c>
      <c r="B1795" s="3" t="s">
        <v>37</v>
      </c>
      <c r="C1795" s="3" t="s">
        <v>23</v>
      </c>
      <c r="D1795" s="3" t="s">
        <v>38</v>
      </c>
      <c r="E1795" s="3" t="s">
        <v>25</v>
      </c>
      <c r="F1795" s="3" t="s">
        <v>25</v>
      </c>
      <c r="G1795" s="3" t="s">
        <v>25</v>
      </c>
      <c r="H1795" s="3" t="s">
        <v>25</v>
      </c>
      <c r="I1795" s="6">
        <v>44621</v>
      </c>
      <c r="J1795" s="4">
        <v>0</v>
      </c>
      <c r="K1795" s="4">
        <v>0</v>
      </c>
      <c r="L1795" s="4">
        <v>1197.2909999999999</v>
      </c>
      <c r="M1795" s="4">
        <v>1197.2909999999999</v>
      </c>
      <c r="N1795" s="4">
        <v>1197.2909999999999</v>
      </c>
      <c r="O1795" s="4">
        <v>1197.2909999999999</v>
      </c>
      <c r="P1795" s="4">
        <v>674</v>
      </c>
      <c r="Q1795" s="3" t="s">
        <v>26</v>
      </c>
      <c r="R1795" s="3">
        <v>0</v>
      </c>
      <c r="S1795" s="4">
        <v>0</v>
      </c>
      <c r="T1795" s="4">
        <v>84</v>
      </c>
      <c r="U1795" s="4">
        <v>7</v>
      </c>
      <c r="V1795" s="4">
        <f>IF(ISERROR(VLOOKUP($S$1795,'TAR FIN'!$A$1:$O$113,15,0)),0,VLOOKUP($S$1795,'TAR FIN'!$A$1:$O$113,15,0))</f>
        <v>0</v>
      </c>
      <c r="W1795" s="4">
        <f>IF(ISERROR(VLOOKUP($T$1795,'TAR FIN'!$A$1:$O$113,15,0)),0,VLOOKUP($T$1795,'TAR FIN'!$A$1:$O$113,15,0))</f>
        <v>346.2</v>
      </c>
      <c r="X1795" s="4">
        <f>IF(ISERROR(VLOOKUP($U$1795,'TAR FIN'!$A$1:$O$113,15,0)),0,VLOOKUP($U$1795,'TAR FIN'!$A$1:$O$113,15,0))</f>
        <v>234.24</v>
      </c>
      <c r="Y1795" s="4"/>
      <c r="Z1795" s="4">
        <f ca="1">('TUSD BE'!$AM$68+'TUSD BF'!$AM$68+'TUSD CVA'!$AM$68)*1</f>
        <v>411.14246090221764</v>
      </c>
      <c r="AA1795" s="4">
        <f>('TE BE'!$AA$47+'TE BF'!$AA$47+'TE CVA'!$AA$47)*1</f>
        <v>234.67932779241937</v>
      </c>
      <c r="AB1795" s="4">
        <f>$K$1795*$V$1795</f>
        <v>0</v>
      </c>
      <c r="AC1795" s="4">
        <f>$M$1795*$W$1795</f>
        <v>414502.14419999998</v>
      </c>
      <c r="AD1795" s="4">
        <f>$O$1795*$X$1795</f>
        <v>280453.44384000002</v>
      </c>
      <c r="AE1795" s="4">
        <f>$K$1795*$Y$1795</f>
        <v>0</v>
      </c>
      <c r="AF1795" s="4">
        <f ca="1">$M$1795*$Z$1795</f>
        <v>492257.16815607704</v>
      </c>
      <c r="AG1795" s="4">
        <f>$O$1795*$AA$1795</f>
        <v>280979.44705191359</v>
      </c>
    </row>
    <row r="1796" spans="1:33" ht="11.25" customHeight="1" x14ac:dyDescent="0.25">
      <c r="A1796" s="3" t="s">
        <v>56</v>
      </c>
      <c r="B1796" s="3" t="s">
        <v>37</v>
      </c>
      <c r="C1796" s="3" t="s">
        <v>23</v>
      </c>
      <c r="D1796" s="3" t="s">
        <v>38</v>
      </c>
      <c r="E1796" s="3" t="s">
        <v>25</v>
      </c>
      <c r="F1796" s="3" t="s">
        <v>25</v>
      </c>
      <c r="G1796" s="3" t="s">
        <v>25</v>
      </c>
      <c r="H1796" s="3" t="s">
        <v>25</v>
      </c>
      <c r="I1796" s="6">
        <v>44621</v>
      </c>
      <c r="J1796" s="4">
        <v>0</v>
      </c>
      <c r="K1796" s="4">
        <v>0</v>
      </c>
      <c r="L1796" s="4">
        <v>-1.044</v>
      </c>
      <c r="M1796" s="4">
        <v>-1.044</v>
      </c>
      <c r="N1796" s="4">
        <v>-1.044</v>
      </c>
      <c r="O1796" s="4">
        <v>-1.044</v>
      </c>
      <c r="P1796" s="4">
        <v>0</v>
      </c>
      <c r="Q1796" s="3" t="s">
        <v>26</v>
      </c>
      <c r="R1796" s="3">
        <v>0</v>
      </c>
      <c r="S1796" s="4">
        <v>0</v>
      </c>
      <c r="T1796" s="4">
        <v>84</v>
      </c>
      <c r="U1796" s="4">
        <v>7</v>
      </c>
      <c r="V1796" s="4">
        <f>IF(ISERROR(VLOOKUP($S$1796,'TAR FIN'!$A$1:$O$113,15,0)),0,VLOOKUP($S$1796,'TAR FIN'!$A$1:$O$113,15,0))</f>
        <v>0</v>
      </c>
      <c r="W1796" s="4">
        <f>IF(ISERROR(VLOOKUP($T$1796,'TAR FIN'!$A$1:$O$113,15,0)),0,VLOOKUP($T$1796,'TAR FIN'!$A$1:$O$113,15,0))</f>
        <v>346.2</v>
      </c>
      <c r="X1796" s="4">
        <f>IF(ISERROR(VLOOKUP($U$1796,'TAR FIN'!$A$1:$O$113,15,0)),0,VLOOKUP($U$1796,'TAR FIN'!$A$1:$O$113,15,0))</f>
        <v>234.24</v>
      </c>
      <c r="Y1796" s="4"/>
      <c r="Z1796" s="4">
        <f ca="1">('TUSD BE'!$AM$68+'TUSD BF'!$AM$68+'TUSD CVA'!$AM$68)*1</f>
        <v>411.14246090221764</v>
      </c>
      <c r="AA1796" s="4">
        <f>('TE BE'!$AA$47+'TE BF'!$AA$47+'TE CVA'!$AA$47)*1</f>
        <v>234.67932779241937</v>
      </c>
      <c r="AB1796" s="4">
        <f>$K$1796*$V$1796</f>
        <v>0</v>
      </c>
      <c r="AC1796" s="4">
        <f>$M$1796*$W$1796</f>
        <v>-361.43279999999999</v>
      </c>
      <c r="AD1796" s="4">
        <f>$O$1796*$X$1796</f>
        <v>-244.54656000000003</v>
      </c>
      <c r="AE1796" s="4">
        <f>$K$1796*$Y$1796</f>
        <v>0</v>
      </c>
      <c r="AF1796" s="4">
        <f ca="1">$M$1796*$Z$1796</f>
        <v>-429.2327291819152</v>
      </c>
      <c r="AG1796" s="4">
        <f>$O$1796*$AA$1796</f>
        <v>-245.00521821528582</v>
      </c>
    </row>
    <row r="1797" spans="1:33" ht="11.25" customHeight="1" x14ac:dyDescent="0.25">
      <c r="A1797" s="3" t="s">
        <v>56</v>
      </c>
      <c r="B1797" s="3" t="s">
        <v>37</v>
      </c>
      <c r="C1797" s="3" t="s">
        <v>23</v>
      </c>
      <c r="D1797" s="3" t="s">
        <v>38</v>
      </c>
      <c r="E1797" s="3" t="s">
        <v>25</v>
      </c>
      <c r="F1797" s="3" t="s">
        <v>25</v>
      </c>
      <c r="G1797" s="3" t="s">
        <v>25</v>
      </c>
      <c r="H1797" s="3" t="s">
        <v>25</v>
      </c>
      <c r="I1797" s="6">
        <v>44621</v>
      </c>
      <c r="J1797" s="4">
        <v>0</v>
      </c>
      <c r="K1797" s="4">
        <v>0</v>
      </c>
      <c r="L1797" s="4">
        <v>81.245000000000005</v>
      </c>
      <c r="M1797" s="4">
        <v>81.245000000000005</v>
      </c>
      <c r="N1797" s="4">
        <v>81.245000000000005</v>
      </c>
      <c r="O1797" s="4">
        <v>81.245000000000005</v>
      </c>
      <c r="P1797" s="4">
        <v>66</v>
      </c>
      <c r="Q1797" s="3" t="s">
        <v>26</v>
      </c>
      <c r="R1797" s="3">
        <v>0</v>
      </c>
      <c r="S1797" s="4">
        <v>0</v>
      </c>
      <c r="T1797" s="4">
        <v>84</v>
      </c>
      <c r="U1797" s="4">
        <v>7</v>
      </c>
      <c r="V1797" s="4">
        <f>IF(ISERROR(VLOOKUP($S$1797,'TAR FIN'!$A$1:$O$113,15,0)),0,VLOOKUP($S$1797,'TAR FIN'!$A$1:$O$113,15,0))</f>
        <v>0</v>
      </c>
      <c r="W1797" s="4">
        <f>IF(ISERROR(VLOOKUP($T$1797,'TAR FIN'!$A$1:$O$113,15,0)),0,VLOOKUP($T$1797,'TAR FIN'!$A$1:$O$113,15,0))</f>
        <v>346.2</v>
      </c>
      <c r="X1797" s="4">
        <f>IF(ISERROR(VLOOKUP($U$1797,'TAR FIN'!$A$1:$O$113,15,0)),0,VLOOKUP($U$1797,'TAR FIN'!$A$1:$O$113,15,0))</f>
        <v>234.24</v>
      </c>
      <c r="Y1797" s="4"/>
      <c r="Z1797" s="4">
        <f ca="1">('TUSD BE'!$AM$68+'TUSD BF'!$AM$68+'TUSD CVA'!$AM$68)*1</f>
        <v>411.14246090221764</v>
      </c>
      <c r="AA1797" s="4">
        <f>('TE BE'!$AA$47+'TE BF'!$AA$47+'TE CVA'!$AA$47)*1</f>
        <v>234.67932779241937</v>
      </c>
      <c r="AB1797" s="4">
        <f>$K$1797*$V$1797</f>
        <v>0</v>
      </c>
      <c r="AC1797" s="4">
        <f>$M$1797*$W$1797</f>
        <v>28127.019</v>
      </c>
      <c r="AD1797" s="4">
        <f>$O$1797*$X$1797</f>
        <v>19030.828800000003</v>
      </c>
      <c r="AE1797" s="4">
        <f>$K$1797*$Y$1797</f>
        <v>0</v>
      </c>
      <c r="AF1797" s="4">
        <f ca="1">$M$1797*$Z$1797</f>
        <v>33403.269236000677</v>
      </c>
      <c r="AG1797" s="4">
        <f>$O$1797*$AA$1797</f>
        <v>19066.521986495114</v>
      </c>
    </row>
    <row r="1798" spans="1:33" ht="11.25" customHeight="1" x14ac:dyDescent="0.25">
      <c r="A1798" s="3" t="s">
        <v>56</v>
      </c>
      <c r="B1798" s="3" t="s">
        <v>37</v>
      </c>
      <c r="C1798" s="3" t="s">
        <v>23</v>
      </c>
      <c r="D1798" s="3" t="s">
        <v>38</v>
      </c>
      <c r="E1798" s="3" t="s">
        <v>25</v>
      </c>
      <c r="F1798" s="3" t="s">
        <v>25</v>
      </c>
      <c r="G1798" s="3" t="s">
        <v>25</v>
      </c>
      <c r="H1798" s="3" t="s">
        <v>25</v>
      </c>
      <c r="I1798" s="6">
        <v>44621</v>
      </c>
      <c r="J1798" s="4">
        <v>0</v>
      </c>
      <c r="K1798" s="4">
        <v>0</v>
      </c>
      <c r="L1798" s="4">
        <v>-0.1</v>
      </c>
      <c r="M1798" s="4">
        <v>-0.1</v>
      </c>
      <c r="N1798" s="4">
        <v>-0.1</v>
      </c>
      <c r="O1798" s="4">
        <v>-0.1</v>
      </c>
      <c r="P1798" s="4">
        <v>-1</v>
      </c>
      <c r="Q1798" s="3" t="s">
        <v>26</v>
      </c>
      <c r="R1798" s="3">
        <v>0</v>
      </c>
      <c r="S1798" s="4">
        <v>0</v>
      </c>
      <c r="T1798" s="4">
        <v>84</v>
      </c>
      <c r="U1798" s="4">
        <v>7</v>
      </c>
      <c r="V1798" s="4">
        <f>IF(ISERROR(VLOOKUP($S$1798,'TAR FIN'!$A$1:$O$113,15,0)),0,VLOOKUP($S$1798,'TAR FIN'!$A$1:$O$113,15,0))</f>
        <v>0</v>
      </c>
      <c r="W1798" s="4">
        <f>IF(ISERROR(VLOOKUP($T$1798,'TAR FIN'!$A$1:$O$113,15,0)),0,VLOOKUP($T$1798,'TAR FIN'!$A$1:$O$113,15,0))</f>
        <v>346.2</v>
      </c>
      <c r="X1798" s="4">
        <f>IF(ISERROR(VLOOKUP($U$1798,'TAR FIN'!$A$1:$O$113,15,0)),0,VLOOKUP($U$1798,'TAR FIN'!$A$1:$O$113,15,0))</f>
        <v>234.24</v>
      </c>
      <c r="Y1798" s="4"/>
      <c r="Z1798" s="4">
        <f ca="1">('TUSD BE'!$AM$68+'TUSD BF'!$AM$68+'TUSD CVA'!$AM$68)*1</f>
        <v>411.14246090221764</v>
      </c>
      <c r="AA1798" s="4">
        <f>('TE BE'!$AA$47+'TE BF'!$AA$47+'TE CVA'!$AA$47)*1</f>
        <v>234.67932779241937</v>
      </c>
      <c r="AB1798" s="4">
        <f>$K$1798*$V$1798</f>
        <v>0</v>
      </c>
      <c r="AC1798" s="4">
        <f>$M$1798*$W$1798</f>
        <v>-34.619999999999997</v>
      </c>
      <c r="AD1798" s="4">
        <f>$O$1798*$X$1798</f>
        <v>-23.424000000000003</v>
      </c>
      <c r="AE1798" s="4">
        <f>$K$1798*$Y$1798</f>
        <v>0</v>
      </c>
      <c r="AF1798" s="4">
        <f ca="1">$M$1798*$Z$1798</f>
        <v>-41.114246090221769</v>
      </c>
      <c r="AG1798" s="4">
        <f>$O$1798*$AA$1798</f>
        <v>-23.467932779241938</v>
      </c>
    </row>
    <row r="1799" spans="1:33" ht="11.25" customHeight="1" x14ac:dyDescent="0.25">
      <c r="A1799" s="3" t="s">
        <v>21</v>
      </c>
      <c r="B1799" s="3" t="s">
        <v>37</v>
      </c>
      <c r="C1799" s="3" t="s">
        <v>23</v>
      </c>
      <c r="D1799" s="3" t="s">
        <v>46</v>
      </c>
      <c r="E1799" s="3" t="s">
        <v>25</v>
      </c>
      <c r="F1799" s="3" t="s">
        <v>25</v>
      </c>
      <c r="G1799" s="3" t="s">
        <v>25</v>
      </c>
      <c r="H1799" s="3" t="s">
        <v>25</v>
      </c>
      <c r="I1799" s="6">
        <v>44287</v>
      </c>
      <c r="J1799" s="4">
        <v>0</v>
      </c>
      <c r="K1799" s="4">
        <v>0</v>
      </c>
      <c r="L1799" s="4">
        <v>3815.0790000000002</v>
      </c>
      <c r="M1799" s="4">
        <v>3815.0790000000002</v>
      </c>
      <c r="N1799" s="4">
        <v>3815.0790000000002</v>
      </c>
      <c r="O1799" s="4">
        <v>3815.0790000000002</v>
      </c>
      <c r="P1799" s="4">
        <v>5238</v>
      </c>
      <c r="Q1799" s="3" t="s">
        <v>26</v>
      </c>
      <c r="R1799" s="3">
        <v>0</v>
      </c>
      <c r="S1799" s="4">
        <v>0</v>
      </c>
      <c r="T1799" s="4">
        <v>84</v>
      </c>
      <c r="U1799" s="4">
        <v>7</v>
      </c>
      <c r="V1799" s="4">
        <f>IF(ISERROR(VLOOKUP($S$1799,'TAR FIN'!$A$1:$O$113,15,0)),0,VLOOKUP($S$1799,'TAR FIN'!$A$1:$O$113,15,0))</f>
        <v>0</v>
      </c>
      <c r="W1799" s="4">
        <f>IF(ISERROR(VLOOKUP($T$1799,'TAR FIN'!$A$1:$O$113,15,0)),0,VLOOKUP($T$1799,'TAR FIN'!$A$1:$O$113,15,0))</f>
        <v>346.2</v>
      </c>
      <c r="X1799" s="4">
        <f>IF(ISERROR(VLOOKUP($U$1799,'TAR FIN'!$A$1:$O$113,15,0)),0,VLOOKUP($U$1799,'TAR FIN'!$A$1:$O$113,15,0))</f>
        <v>234.24</v>
      </c>
      <c r="Y1799" s="4"/>
      <c r="Z1799" s="4">
        <f ca="1">('TUSD BE'!$AM$68+'TUSD BF'!$AM$68+'TUSD CVA'!$AM$68)*1</f>
        <v>411.14246090221764</v>
      </c>
      <c r="AA1799" s="4">
        <f>('TE BE'!$AA$47+'TE BF'!$AA$47+'TE CVA'!$AA$47)*1</f>
        <v>234.67932779241937</v>
      </c>
      <c r="AB1799" s="4">
        <f>$K$1799*$V$1799</f>
        <v>0</v>
      </c>
      <c r="AC1799" s="4">
        <f>$M$1799*$W$1799</f>
        <v>1320780.3498</v>
      </c>
      <c r="AD1799" s="4">
        <f>$O$1799*$X$1799</f>
        <v>893644.10496000003</v>
      </c>
      <c r="AE1799" s="4">
        <f>$K$1799*$Y$1799</f>
        <v>0</v>
      </c>
      <c r="AF1799" s="4">
        <f ca="1">$M$1799*$Z$1799</f>
        <v>1568540.9685963716</v>
      </c>
      <c r="AG1799" s="4">
        <f>$O$1799*$AA$1799</f>
        <v>895320.17519497557</v>
      </c>
    </row>
    <row r="1800" spans="1:33" ht="11.25" customHeight="1" x14ac:dyDescent="0.25">
      <c r="A1800" s="3" t="s">
        <v>27</v>
      </c>
      <c r="B1800" s="3" t="s">
        <v>37</v>
      </c>
      <c r="C1800" s="3" t="s">
        <v>23</v>
      </c>
      <c r="D1800" s="3" t="s">
        <v>46</v>
      </c>
      <c r="E1800" s="3" t="s">
        <v>25</v>
      </c>
      <c r="F1800" s="3" t="s">
        <v>25</v>
      </c>
      <c r="G1800" s="3" t="s">
        <v>25</v>
      </c>
      <c r="H1800" s="3" t="s">
        <v>25</v>
      </c>
      <c r="I1800" s="6">
        <v>44287</v>
      </c>
      <c r="J1800" s="4">
        <v>0</v>
      </c>
      <c r="K1800" s="4">
        <v>0</v>
      </c>
      <c r="L1800" s="4">
        <v>-4.5730000000000004</v>
      </c>
      <c r="M1800" s="4">
        <v>-4.5730000000000004</v>
      </c>
      <c r="N1800" s="4">
        <v>-4.5730000000000004</v>
      </c>
      <c r="O1800" s="4">
        <v>-4.5730000000000004</v>
      </c>
      <c r="P1800" s="4">
        <v>-2</v>
      </c>
      <c r="Q1800" s="3" t="s">
        <v>26</v>
      </c>
      <c r="R1800" s="3">
        <v>0</v>
      </c>
      <c r="S1800" s="4">
        <v>0</v>
      </c>
      <c r="T1800" s="4">
        <v>84</v>
      </c>
      <c r="U1800" s="4">
        <v>7</v>
      </c>
      <c r="V1800" s="4">
        <f>IF(ISERROR(VLOOKUP($S$1800,'TAR FIN'!$A$1:$O$113,15,0)),0,VLOOKUP($S$1800,'TAR FIN'!$A$1:$O$113,15,0))</f>
        <v>0</v>
      </c>
      <c r="W1800" s="4">
        <f>IF(ISERROR(VLOOKUP($T$1800,'TAR FIN'!$A$1:$O$113,15,0)),0,VLOOKUP($T$1800,'TAR FIN'!$A$1:$O$113,15,0))</f>
        <v>346.2</v>
      </c>
      <c r="X1800" s="4">
        <f>IF(ISERROR(VLOOKUP($U$1800,'TAR FIN'!$A$1:$O$113,15,0)),0,VLOOKUP($U$1800,'TAR FIN'!$A$1:$O$113,15,0))</f>
        <v>234.24</v>
      </c>
      <c r="Y1800" s="4"/>
      <c r="Z1800" s="4">
        <f ca="1">('TUSD BE'!$AM$68+'TUSD BF'!$AM$68+'TUSD CVA'!$AM$68)*1</f>
        <v>411.14246090221764</v>
      </c>
      <c r="AA1800" s="4">
        <f>('TE BE'!$AA$47+'TE BF'!$AA$47+'TE CVA'!$AA$47)*1</f>
        <v>234.67932779241937</v>
      </c>
      <c r="AB1800" s="4">
        <f>$K$1800*$V$1800</f>
        <v>0</v>
      </c>
      <c r="AC1800" s="4">
        <f>$M$1800*$W$1800</f>
        <v>-1583.1726000000001</v>
      </c>
      <c r="AD1800" s="4">
        <f>$O$1800*$X$1800</f>
        <v>-1071.1795200000001</v>
      </c>
      <c r="AE1800" s="4">
        <f>$K$1800*$Y$1800</f>
        <v>0</v>
      </c>
      <c r="AF1800" s="4">
        <f ca="1">$M$1800*$Z$1800</f>
        <v>-1880.1544737058414</v>
      </c>
      <c r="AG1800" s="4">
        <f>$O$1800*$AA$1800</f>
        <v>-1073.1885659947338</v>
      </c>
    </row>
    <row r="1801" spans="1:33" ht="11.25" customHeight="1" x14ac:dyDescent="0.25">
      <c r="A1801" s="3" t="s">
        <v>28</v>
      </c>
      <c r="B1801" s="3" t="s">
        <v>37</v>
      </c>
      <c r="C1801" s="3" t="s">
        <v>23</v>
      </c>
      <c r="D1801" s="3" t="s">
        <v>46</v>
      </c>
      <c r="E1801" s="3" t="s">
        <v>25</v>
      </c>
      <c r="F1801" s="3" t="s">
        <v>25</v>
      </c>
      <c r="G1801" s="3" t="s">
        <v>25</v>
      </c>
      <c r="H1801" s="3" t="s">
        <v>25</v>
      </c>
      <c r="I1801" s="6">
        <v>44287</v>
      </c>
      <c r="J1801" s="4">
        <v>0</v>
      </c>
      <c r="K1801" s="4">
        <v>0</v>
      </c>
      <c r="L1801" s="4">
        <v>4.4059999999999997</v>
      </c>
      <c r="M1801" s="4">
        <v>4.4059999999999997</v>
      </c>
      <c r="N1801" s="4">
        <v>4.4059999999999997</v>
      </c>
      <c r="O1801" s="4">
        <v>4.4059999999999997</v>
      </c>
      <c r="P1801" s="4">
        <v>13</v>
      </c>
      <c r="Q1801" s="3" t="s">
        <v>26</v>
      </c>
      <c r="R1801" s="3">
        <v>0</v>
      </c>
      <c r="S1801" s="4">
        <v>0</v>
      </c>
      <c r="T1801" s="4">
        <v>84</v>
      </c>
      <c r="U1801" s="4">
        <v>7</v>
      </c>
      <c r="V1801" s="4">
        <f>IF(ISERROR(VLOOKUP($S$1801,'TAR FIN'!$A$1:$O$113,15,0)),0,VLOOKUP($S$1801,'TAR FIN'!$A$1:$O$113,15,0))</f>
        <v>0</v>
      </c>
      <c r="W1801" s="4">
        <f>IF(ISERROR(VLOOKUP($T$1801,'TAR FIN'!$A$1:$O$113,15,0)),0,VLOOKUP($T$1801,'TAR FIN'!$A$1:$O$113,15,0))</f>
        <v>346.2</v>
      </c>
      <c r="X1801" s="4">
        <f>IF(ISERROR(VLOOKUP($U$1801,'TAR FIN'!$A$1:$O$113,15,0)),0,VLOOKUP($U$1801,'TAR FIN'!$A$1:$O$113,15,0))</f>
        <v>234.24</v>
      </c>
      <c r="Y1801" s="4"/>
      <c r="Z1801" s="4">
        <f ca="1">('TUSD BE'!$AM$68+'TUSD BF'!$AM$68+'TUSD CVA'!$AM$68)*1</f>
        <v>411.14246090221764</v>
      </c>
      <c r="AA1801" s="4">
        <f>('TE BE'!$AA$47+'TE BF'!$AA$47+'TE CVA'!$AA$47)*1</f>
        <v>234.67932779241937</v>
      </c>
      <c r="AB1801" s="4">
        <f>$K$1801*$V$1801</f>
        <v>0</v>
      </c>
      <c r="AC1801" s="4">
        <f>$M$1801*$W$1801</f>
        <v>1525.3571999999999</v>
      </c>
      <c r="AD1801" s="4">
        <f>$O$1801*$X$1801</f>
        <v>1032.0614399999999</v>
      </c>
      <c r="AE1801" s="4">
        <f>$K$1801*$Y$1801</f>
        <v>0</v>
      </c>
      <c r="AF1801" s="4">
        <f ca="1">$M$1801*$Z$1801</f>
        <v>1811.4936827351708</v>
      </c>
      <c r="AG1801" s="4">
        <f>$O$1801*$AA$1801</f>
        <v>1033.9971182533998</v>
      </c>
    </row>
    <row r="1802" spans="1:33" ht="11.25" customHeight="1" x14ac:dyDescent="0.25">
      <c r="A1802" s="3" t="s">
        <v>21</v>
      </c>
      <c r="B1802" s="3" t="s">
        <v>37</v>
      </c>
      <c r="C1802" s="3" t="s">
        <v>23</v>
      </c>
      <c r="D1802" s="3" t="s">
        <v>46</v>
      </c>
      <c r="E1802" s="3" t="s">
        <v>25</v>
      </c>
      <c r="F1802" s="3" t="s">
        <v>25</v>
      </c>
      <c r="G1802" s="3" t="s">
        <v>25</v>
      </c>
      <c r="H1802" s="3" t="s">
        <v>25</v>
      </c>
      <c r="I1802" s="6">
        <v>44317</v>
      </c>
      <c r="J1802" s="4">
        <v>0</v>
      </c>
      <c r="K1802" s="4">
        <v>0</v>
      </c>
      <c r="L1802" s="4">
        <v>3428.962</v>
      </c>
      <c r="M1802" s="4">
        <v>3428.962</v>
      </c>
      <c r="N1802" s="4">
        <v>3428.962</v>
      </c>
      <c r="O1802" s="4">
        <v>3428.962</v>
      </c>
      <c r="P1802" s="4">
        <v>5237</v>
      </c>
      <c r="Q1802" s="3" t="s">
        <v>26</v>
      </c>
      <c r="R1802" s="3">
        <v>0</v>
      </c>
      <c r="S1802" s="4">
        <v>0</v>
      </c>
      <c r="T1802" s="4">
        <v>84</v>
      </c>
      <c r="U1802" s="4">
        <v>7</v>
      </c>
      <c r="V1802" s="4">
        <f>IF(ISERROR(VLOOKUP($S$1802,'TAR FIN'!$A$1:$O$113,15,0)),0,VLOOKUP($S$1802,'TAR FIN'!$A$1:$O$113,15,0))</f>
        <v>0</v>
      </c>
      <c r="W1802" s="4">
        <f>IF(ISERROR(VLOOKUP($T$1802,'TAR FIN'!$A$1:$O$113,15,0)),0,VLOOKUP($T$1802,'TAR FIN'!$A$1:$O$113,15,0))</f>
        <v>346.2</v>
      </c>
      <c r="X1802" s="4">
        <f>IF(ISERROR(VLOOKUP($U$1802,'TAR FIN'!$A$1:$O$113,15,0)),0,VLOOKUP($U$1802,'TAR FIN'!$A$1:$O$113,15,0))</f>
        <v>234.24</v>
      </c>
      <c r="Y1802" s="4"/>
      <c r="Z1802" s="4">
        <f ca="1">('TUSD BE'!$AM$68+'TUSD BF'!$AM$68+'TUSD CVA'!$AM$68)*1</f>
        <v>411.14246090221764</v>
      </c>
      <c r="AA1802" s="4">
        <f>('TE BE'!$AA$47+'TE BF'!$AA$47+'TE CVA'!$AA$47)*1</f>
        <v>234.67932779241937</v>
      </c>
      <c r="AB1802" s="4">
        <f>$K$1802*$V$1802</f>
        <v>0</v>
      </c>
      <c r="AC1802" s="4">
        <f>$M$1802*$W$1802</f>
        <v>1187106.6443999999</v>
      </c>
      <c r="AD1802" s="4">
        <f>$O$1802*$X$1802</f>
        <v>803200.05888000003</v>
      </c>
      <c r="AE1802" s="4">
        <f>$K$1802*$Y$1802</f>
        <v>0</v>
      </c>
      <c r="AF1802" s="4">
        <f ca="1">$M$1802*$Z$1802</f>
        <v>1409791.8750201899</v>
      </c>
      <c r="AG1802" s="4">
        <f>$O$1802*$AA$1802</f>
        <v>804706.49718574993</v>
      </c>
    </row>
    <row r="1803" spans="1:33" ht="11.25" customHeight="1" x14ac:dyDescent="0.25">
      <c r="A1803" s="3" t="s">
        <v>27</v>
      </c>
      <c r="B1803" s="3" t="s">
        <v>37</v>
      </c>
      <c r="C1803" s="3" t="s">
        <v>23</v>
      </c>
      <c r="D1803" s="3" t="s">
        <v>46</v>
      </c>
      <c r="E1803" s="3" t="s">
        <v>25</v>
      </c>
      <c r="F1803" s="3" t="s">
        <v>25</v>
      </c>
      <c r="G1803" s="3" t="s">
        <v>25</v>
      </c>
      <c r="H1803" s="3" t="s">
        <v>25</v>
      </c>
      <c r="I1803" s="6">
        <v>44317</v>
      </c>
      <c r="J1803" s="4">
        <v>0</v>
      </c>
      <c r="K1803" s="4">
        <v>0</v>
      </c>
      <c r="L1803" s="4">
        <v>0.1</v>
      </c>
      <c r="M1803" s="4">
        <v>0.1</v>
      </c>
      <c r="N1803" s="4">
        <v>0.1</v>
      </c>
      <c r="O1803" s="4">
        <v>0.1</v>
      </c>
      <c r="P1803" s="4">
        <v>1</v>
      </c>
      <c r="Q1803" s="3" t="s">
        <v>26</v>
      </c>
      <c r="R1803" s="3">
        <v>0</v>
      </c>
      <c r="S1803" s="4">
        <v>0</v>
      </c>
      <c r="T1803" s="4">
        <v>84</v>
      </c>
      <c r="U1803" s="4">
        <v>7</v>
      </c>
      <c r="V1803" s="4">
        <f>IF(ISERROR(VLOOKUP($S$1803,'TAR FIN'!$A$1:$O$113,15,0)),0,VLOOKUP($S$1803,'TAR FIN'!$A$1:$O$113,15,0))</f>
        <v>0</v>
      </c>
      <c r="W1803" s="4">
        <f>IF(ISERROR(VLOOKUP($T$1803,'TAR FIN'!$A$1:$O$113,15,0)),0,VLOOKUP($T$1803,'TAR FIN'!$A$1:$O$113,15,0))</f>
        <v>346.2</v>
      </c>
      <c r="X1803" s="4">
        <f>IF(ISERROR(VLOOKUP($U$1803,'TAR FIN'!$A$1:$O$113,15,0)),0,VLOOKUP($U$1803,'TAR FIN'!$A$1:$O$113,15,0))</f>
        <v>234.24</v>
      </c>
      <c r="Y1803" s="4"/>
      <c r="Z1803" s="4">
        <f ca="1">('TUSD BE'!$AM$68+'TUSD BF'!$AM$68+'TUSD CVA'!$AM$68)*1</f>
        <v>411.14246090221764</v>
      </c>
      <c r="AA1803" s="4">
        <f>('TE BE'!$AA$47+'TE BF'!$AA$47+'TE CVA'!$AA$47)*1</f>
        <v>234.67932779241937</v>
      </c>
      <c r="AB1803" s="4">
        <f>$K$1803*$V$1803</f>
        <v>0</v>
      </c>
      <c r="AC1803" s="4">
        <f>$M$1803*$W$1803</f>
        <v>34.619999999999997</v>
      </c>
      <c r="AD1803" s="4">
        <f>$O$1803*$X$1803</f>
        <v>23.424000000000003</v>
      </c>
      <c r="AE1803" s="4">
        <f>$K$1803*$Y$1803</f>
        <v>0</v>
      </c>
      <c r="AF1803" s="4">
        <f ca="1">$M$1803*$Z$1803</f>
        <v>41.114246090221769</v>
      </c>
      <c r="AG1803" s="4">
        <f>$O$1803*$AA$1803</f>
        <v>23.467932779241938</v>
      </c>
    </row>
    <row r="1804" spans="1:33" ht="11.25" customHeight="1" x14ac:dyDescent="0.25">
      <c r="A1804" s="3" t="s">
        <v>28</v>
      </c>
      <c r="B1804" s="3" t="s">
        <v>37</v>
      </c>
      <c r="C1804" s="3" t="s">
        <v>23</v>
      </c>
      <c r="D1804" s="3" t="s">
        <v>46</v>
      </c>
      <c r="E1804" s="3" t="s">
        <v>25</v>
      </c>
      <c r="F1804" s="3" t="s">
        <v>25</v>
      </c>
      <c r="G1804" s="3" t="s">
        <v>25</v>
      </c>
      <c r="H1804" s="3" t="s">
        <v>25</v>
      </c>
      <c r="I1804" s="6">
        <v>44317</v>
      </c>
      <c r="J1804" s="4">
        <v>0</v>
      </c>
      <c r="K1804" s="4">
        <v>0</v>
      </c>
      <c r="L1804" s="4">
        <v>4.5410000000000004</v>
      </c>
      <c r="M1804" s="4">
        <v>4.5410000000000004</v>
      </c>
      <c r="N1804" s="4">
        <v>4.5410000000000004</v>
      </c>
      <c r="O1804" s="4">
        <v>4.5410000000000004</v>
      </c>
      <c r="P1804" s="4">
        <v>13</v>
      </c>
      <c r="Q1804" s="3" t="s">
        <v>26</v>
      </c>
      <c r="R1804" s="3">
        <v>0</v>
      </c>
      <c r="S1804" s="4">
        <v>0</v>
      </c>
      <c r="T1804" s="4">
        <v>84</v>
      </c>
      <c r="U1804" s="4">
        <v>7</v>
      </c>
      <c r="V1804" s="4">
        <f>IF(ISERROR(VLOOKUP($S$1804,'TAR FIN'!$A$1:$O$113,15,0)),0,VLOOKUP($S$1804,'TAR FIN'!$A$1:$O$113,15,0))</f>
        <v>0</v>
      </c>
      <c r="W1804" s="4">
        <f>IF(ISERROR(VLOOKUP($T$1804,'TAR FIN'!$A$1:$O$113,15,0)),0,VLOOKUP($T$1804,'TAR FIN'!$A$1:$O$113,15,0))</f>
        <v>346.2</v>
      </c>
      <c r="X1804" s="4">
        <f>IF(ISERROR(VLOOKUP($U$1804,'TAR FIN'!$A$1:$O$113,15,0)),0,VLOOKUP($U$1804,'TAR FIN'!$A$1:$O$113,15,0))</f>
        <v>234.24</v>
      </c>
      <c r="Y1804" s="4"/>
      <c r="Z1804" s="4">
        <f ca="1">('TUSD BE'!$AM$68+'TUSD BF'!$AM$68+'TUSD CVA'!$AM$68)*1</f>
        <v>411.14246090221764</v>
      </c>
      <c r="AA1804" s="4">
        <f>('TE BE'!$AA$47+'TE BF'!$AA$47+'TE CVA'!$AA$47)*1</f>
        <v>234.67932779241937</v>
      </c>
      <c r="AB1804" s="4">
        <f>$K$1804*$V$1804</f>
        <v>0</v>
      </c>
      <c r="AC1804" s="4">
        <f>$M$1804*$W$1804</f>
        <v>1572.0942</v>
      </c>
      <c r="AD1804" s="4">
        <f>$O$1804*$X$1804</f>
        <v>1063.6838400000001</v>
      </c>
      <c r="AE1804" s="4">
        <f>$K$1804*$Y$1804</f>
        <v>0</v>
      </c>
      <c r="AF1804" s="4">
        <f ca="1">$M$1804*$Z$1804</f>
        <v>1866.9979149569704</v>
      </c>
      <c r="AG1804" s="4">
        <f>$O$1804*$AA$1804</f>
        <v>1065.6788275053764</v>
      </c>
    </row>
    <row r="1805" spans="1:33" ht="11.25" customHeight="1" x14ac:dyDescent="0.25">
      <c r="A1805" s="3" t="s">
        <v>21</v>
      </c>
      <c r="B1805" s="3" t="s">
        <v>37</v>
      </c>
      <c r="C1805" s="3" t="s">
        <v>23</v>
      </c>
      <c r="D1805" s="3" t="s">
        <v>46</v>
      </c>
      <c r="E1805" s="3" t="s">
        <v>25</v>
      </c>
      <c r="F1805" s="3" t="s">
        <v>25</v>
      </c>
      <c r="G1805" s="3" t="s">
        <v>25</v>
      </c>
      <c r="H1805" s="3" t="s">
        <v>25</v>
      </c>
      <c r="I1805" s="6">
        <v>44348</v>
      </c>
      <c r="J1805" s="4">
        <v>0</v>
      </c>
      <c r="K1805" s="4">
        <v>0</v>
      </c>
      <c r="L1805" s="4">
        <v>3281.2719999999999</v>
      </c>
      <c r="M1805" s="4">
        <v>3281.2719999999999</v>
      </c>
      <c r="N1805" s="4">
        <v>3281.2719999999999</v>
      </c>
      <c r="O1805" s="4">
        <v>3281.2719999999999</v>
      </c>
      <c r="P1805" s="4">
        <v>5236</v>
      </c>
      <c r="Q1805" s="3" t="s">
        <v>26</v>
      </c>
      <c r="R1805" s="3">
        <v>0</v>
      </c>
      <c r="S1805" s="4">
        <v>0</v>
      </c>
      <c r="T1805" s="4">
        <v>84</v>
      </c>
      <c r="U1805" s="4">
        <v>7</v>
      </c>
      <c r="V1805" s="4">
        <f>IF(ISERROR(VLOOKUP($S$1805,'TAR FIN'!$A$1:$O$113,15,0)),0,VLOOKUP($S$1805,'TAR FIN'!$A$1:$O$113,15,0))</f>
        <v>0</v>
      </c>
      <c r="W1805" s="4">
        <f>IF(ISERROR(VLOOKUP($T$1805,'TAR FIN'!$A$1:$O$113,15,0)),0,VLOOKUP($T$1805,'TAR FIN'!$A$1:$O$113,15,0))</f>
        <v>346.2</v>
      </c>
      <c r="X1805" s="4">
        <f>IF(ISERROR(VLOOKUP($U$1805,'TAR FIN'!$A$1:$O$113,15,0)),0,VLOOKUP($U$1805,'TAR FIN'!$A$1:$O$113,15,0))</f>
        <v>234.24</v>
      </c>
      <c r="Y1805" s="4"/>
      <c r="Z1805" s="4">
        <f ca="1">('TUSD BE'!$AM$68+'TUSD BF'!$AM$68+'TUSD CVA'!$AM$68)*1</f>
        <v>411.14246090221764</v>
      </c>
      <c r="AA1805" s="4">
        <f>('TE BE'!$AA$47+'TE BF'!$AA$47+'TE CVA'!$AA$47)*1</f>
        <v>234.67932779241937</v>
      </c>
      <c r="AB1805" s="4">
        <f>$K$1805*$V$1805</f>
        <v>0</v>
      </c>
      <c r="AC1805" s="4">
        <f>$M$1805*$W$1805</f>
        <v>1135976.3663999999</v>
      </c>
      <c r="AD1805" s="4">
        <f>$O$1805*$X$1805</f>
        <v>768605.15327999997</v>
      </c>
      <c r="AE1805" s="4">
        <f>$K$1805*$Y$1805</f>
        <v>0</v>
      </c>
      <c r="AF1805" s="4">
        <f ca="1">$M$1805*$Z$1805</f>
        <v>1349070.2449695414</v>
      </c>
      <c r="AG1805" s="4">
        <f>$O$1805*$AA$1805</f>
        <v>770046.70726408751</v>
      </c>
    </row>
    <row r="1806" spans="1:33" ht="11.25" customHeight="1" x14ac:dyDescent="0.25">
      <c r="A1806" s="3" t="s">
        <v>27</v>
      </c>
      <c r="B1806" s="3" t="s">
        <v>37</v>
      </c>
      <c r="C1806" s="3" t="s">
        <v>23</v>
      </c>
      <c r="D1806" s="3" t="s">
        <v>46</v>
      </c>
      <c r="E1806" s="3" t="s">
        <v>25</v>
      </c>
      <c r="F1806" s="3" t="s">
        <v>25</v>
      </c>
      <c r="G1806" s="3" t="s">
        <v>25</v>
      </c>
      <c r="H1806" s="3" t="s">
        <v>25</v>
      </c>
      <c r="I1806" s="6">
        <v>44348</v>
      </c>
      <c r="J1806" s="4">
        <v>0</v>
      </c>
      <c r="K1806" s="4">
        <v>0</v>
      </c>
      <c r="L1806" s="4">
        <v>-258.16399999999999</v>
      </c>
      <c r="M1806" s="4">
        <v>-258.16399999999999</v>
      </c>
      <c r="N1806" s="4">
        <v>-258.16399999999999</v>
      </c>
      <c r="O1806" s="4">
        <v>-258.16399999999999</v>
      </c>
      <c r="P1806" s="4">
        <v>-7</v>
      </c>
      <c r="Q1806" s="3" t="s">
        <v>26</v>
      </c>
      <c r="R1806" s="3">
        <v>0</v>
      </c>
      <c r="S1806" s="4">
        <v>0</v>
      </c>
      <c r="T1806" s="4">
        <v>84</v>
      </c>
      <c r="U1806" s="4">
        <v>7</v>
      </c>
      <c r="V1806" s="4">
        <f>IF(ISERROR(VLOOKUP($S$1806,'TAR FIN'!$A$1:$O$113,15,0)),0,VLOOKUP($S$1806,'TAR FIN'!$A$1:$O$113,15,0))</f>
        <v>0</v>
      </c>
      <c r="W1806" s="4">
        <f>IF(ISERROR(VLOOKUP($T$1806,'TAR FIN'!$A$1:$O$113,15,0)),0,VLOOKUP($T$1806,'TAR FIN'!$A$1:$O$113,15,0))</f>
        <v>346.2</v>
      </c>
      <c r="X1806" s="4">
        <f>IF(ISERROR(VLOOKUP($U$1806,'TAR FIN'!$A$1:$O$113,15,0)),0,VLOOKUP($U$1806,'TAR FIN'!$A$1:$O$113,15,0))</f>
        <v>234.24</v>
      </c>
      <c r="Y1806" s="4"/>
      <c r="Z1806" s="4">
        <f ca="1">('TUSD BE'!$AM$68+'TUSD BF'!$AM$68+'TUSD CVA'!$AM$68)*1</f>
        <v>411.14246090221764</v>
      </c>
      <c r="AA1806" s="4">
        <f>('TE BE'!$AA$47+'TE BF'!$AA$47+'TE CVA'!$AA$47)*1</f>
        <v>234.67932779241937</v>
      </c>
      <c r="AB1806" s="4">
        <f>$K$1806*$V$1806</f>
        <v>0</v>
      </c>
      <c r="AC1806" s="4">
        <f>$M$1806*$W$1806</f>
        <v>-89376.376799999998</v>
      </c>
      <c r="AD1806" s="4">
        <f>$O$1806*$X$1806</f>
        <v>-60472.335359999997</v>
      </c>
      <c r="AE1806" s="4">
        <f>$K$1806*$Y$1806</f>
        <v>0</v>
      </c>
      <c r="AF1806" s="4">
        <f ca="1">$M$1806*$Z$1806</f>
        <v>-106142.18227636011</v>
      </c>
      <c r="AG1806" s="4">
        <f>$O$1806*$AA$1806</f>
        <v>-60585.753980202149</v>
      </c>
    </row>
    <row r="1807" spans="1:33" ht="11.25" customHeight="1" x14ac:dyDescent="0.25">
      <c r="A1807" s="3" t="s">
        <v>28</v>
      </c>
      <c r="B1807" s="3" t="s">
        <v>37</v>
      </c>
      <c r="C1807" s="3" t="s">
        <v>23</v>
      </c>
      <c r="D1807" s="3" t="s">
        <v>46</v>
      </c>
      <c r="E1807" s="3" t="s">
        <v>25</v>
      </c>
      <c r="F1807" s="3" t="s">
        <v>25</v>
      </c>
      <c r="G1807" s="3" t="s">
        <v>25</v>
      </c>
      <c r="H1807" s="3" t="s">
        <v>25</v>
      </c>
      <c r="I1807" s="6">
        <v>44348</v>
      </c>
      <c r="J1807" s="4">
        <v>0</v>
      </c>
      <c r="K1807" s="4">
        <v>0</v>
      </c>
      <c r="L1807" s="4">
        <v>4.5250000000000004</v>
      </c>
      <c r="M1807" s="4">
        <v>4.5250000000000004</v>
      </c>
      <c r="N1807" s="4">
        <v>4.5250000000000004</v>
      </c>
      <c r="O1807" s="4">
        <v>4.5250000000000004</v>
      </c>
      <c r="P1807" s="4">
        <v>13</v>
      </c>
      <c r="Q1807" s="3" t="s">
        <v>26</v>
      </c>
      <c r="R1807" s="3">
        <v>0</v>
      </c>
      <c r="S1807" s="4">
        <v>0</v>
      </c>
      <c r="T1807" s="4">
        <v>84</v>
      </c>
      <c r="U1807" s="4">
        <v>7</v>
      </c>
      <c r="V1807" s="4">
        <f>IF(ISERROR(VLOOKUP($S$1807,'TAR FIN'!$A$1:$O$113,15,0)),0,VLOOKUP($S$1807,'TAR FIN'!$A$1:$O$113,15,0))</f>
        <v>0</v>
      </c>
      <c r="W1807" s="4">
        <f>IF(ISERROR(VLOOKUP($T$1807,'TAR FIN'!$A$1:$O$113,15,0)),0,VLOOKUP($T$1807,'TAR FIN'!$A$1:$O$113,15,0))</f>
        <v>346.2</v>
      </c>
      <c r="X1807" s="4">
        <f>IF(ISERROR(VLOOKUP($U$1807,'TAR FIN'!$A$1:$O$113,15,0)),0,VLOOKUP($U$1807,'TAR FIN'!$A$1:$O$113,15,0))</f>
        <v>234.24</v>
      </c>
      <c r="Y1807" s="4"/>
      <c r="Z1807" s="4">
        <f ca="1">('TUSD BE'!$AM$68+'TUSD BF'!$AM$68+'TUSD CVA'!$AM$68)*1</f>
        <v>411.14246090221764</v>
      </c>
      <c r="AA1807" s="4">
        <f>('TE BE'!$AA$47+'TE BF'!$AA$47+'TE CVA'!$AA$47)*1</f>
        <v>234.67932779241937</v>
      </c>
      <c r="AB1807" s="4">
        <f>$K$1807*$V$1807</f>
        <v>0</v>
      </c>
      <c r="AC1807" s="4">
        <f>$M$1807*$W$1807</f>
        <v>1566.5550000000001</v>
      </c>
      <c r="AD1807" s="4">
        <f>$O$1807*$X$1807</f>
        <v>1059.9360000000001</v>
      </c>
      <c r="AE1807" s="4">
        <f>$K$1807*$Y$1807</f>
        <v>0</v>
      </c>
      <c r="AF1807" s="4">
        <f ca="1">$M$1807*$Z$1807</f>
        <v>1860.419635582535</v>
      </c>
      <c r="AG1807" s="4">
        <f>$O$1807*$AA$1807</f>
        <v>1061.9239582606976</v>
      </c>
    </row>
    <row r="1808" spans="1:33" ht="11.25" customHeight="1" x14ac:dyDescent="0.25">
      <c r="A1808" s="3" t="s">
        <v>21</v>
      </c>
      <c r="B1808" s="3" t="s">
        <v>37</v>
      </c>
      <c r="C1808" s="3" t="s">
        <v>23</v>
      </c>
      <c r="D1808" s="3" t="s">
        <v>46</v>
      </c>
      <c r="E1808" s="3" t="s">
        <v>25</v>
      </c>
      <c r="F1808" s="3" t="s">
        <v>25</v>
      </c>
      <c r="G1808" s="3" t="s">
        <v>25</v>
      </c>
      <c r="H1808" s="3" t="s">
        <v>25</v>
      </c>
      <c r="I1808" s="6">
        <v>44378</v>
      </c>
      <c r="J1808" s="4">
        <v>0</v>
      </c>
      <c r="K1808" s="4">
        <v>0</v>
      </c>
      <c r="L1808" s="4">
        <v>3089.5680000000002</v>
      </c>
      <c r="M1808" s="4">
        <v>3089.5680000000002</v>
      </c>
      <c r="N1808" s="4">
        <v>3089.5680000000002</v>
      </c>
      <c r="O1808" s="4">
        <v>3089.5680000000002</v>
      </c>
      <c r="P1808" s="4">
        <v>5220</v>
      </c>
      <c r="Q1808" s="3" t="s">
        <v>26</v>
      </c>
      <c r="R1808" s="3">
        <v>0</v>
      </c>
      <c r="S1808" s="4">
        <v>0</v>
      </c>
      <c r="T1808" s="4">
        <v>84</v>
      </c>
      <c r="U1808" s="4">
        <v>7</v>
      </c>
      <c r="V1808" s="4">
        <f>IF(ISERROR(VLOOKUP($S$1808,'TAR FIN'!$A$1:$O$113,15,0)),0,VLOOKUP($S$1808,'TAR FIN'!$A$1:$O$113,15,0))</f>
        <v>0</v>
      </c>
      <c r="W1808" s="4">
        <f>IF(ISERROR(VLOOKUP($T$1808,'TAR FIN'!$A$1:$O$113,15,0)),0,VLOOKUP($T$1808,'TAR FIN'!$A$1:$O$113,15,0))</f>
        <v>346.2</v>
      </c>
      <c r="X1808" s="4">
        <f>IF(ISERROR(VLOOKUP($U$1808,'TAR FIN'!$A$1:$O$113,15,0)),0,VLOOKUP($U$1808,'TAR FIN'!$A$1:$O$113,15,0))</f>
        <v>234.24</v>
      </c>
      <c r="Y1808" s="4"/>
      <c r="Z1808" s="4">
        <f ca="1">('TUSD BE'!$AM$68+'TUSD BF'!$AM$68+'TUSD CVA'!$AM$68)*1</f>
        <v>411.14246090221764</v>
      </c>
      <c r="AA1808" s="4">
        <f>('TE BE'!$AA$47+'TE BF'!$AA$47+'TE CVA'!$AA$47)*1</f>
        <v>234.67932779241937</v>
      </c>
      <c r="AB1808" s="4">
        <f>$K$1808*$V$1808</f>
        <v>0</v>
      </c>
      <c r="AC1808" s="4">
        <f>$M$1808*$W$1808</f>
        <v>1069608.4416</v>
      </c>
      <c r="AD1808" s="4">
        <f>$O$1808*$X$1808</f>
        <v>723700.40832000005</v>
      </c>
      <c r="AE1808" s="4">
        <f>$K$1808*$Y$1808</f>
        <v>0</v>
      </c>
      <c r="AF1808" s="4">
        <f ca="1">$M$1808*$Z$1808</f>
        <v>1270252.5906447428</v>
      </c>
      <c r="AG1808" s="4">
        <f>$O$1808*$AA$1808</f>
        <v>725057.74140896962</v>
      </c>
    </row>
    <row r="1809" spans="1:33" ht="11.25" customHeight="1" x14ac:dyDescent="0.25">
      <c r="A1809" s="3" t="s">
        <v>27</v>
      </c>
      <c r="B1809" s="3" t="s">
        <v>37</v>
      </c>
      <c r="C1809" s="3" t="s">
        <v>23</v>
      </c>
      <c r="D1809" s="3" t="s">
        <v>46</v>
      </c>
      <c r="E1809" s="3" t="s">
        <v>25</v>
      </c>
      <c r="F1809" s="3" t="s">
        <v>25</v>
      </c>
      <c r="G1809" s="3" t="s">
        <v>25</v>
      </c>
      <c r="H1809" s="3" t="s">
        <v>25</v>
      </c>
      <c r="I1809" s="6">
        <v>44378</v>
      </c>
      <c r="J1809" s="4">
        <v>0</v>
      </c>
      <c r="K1809" s="4">
        <v>0</v>
      </c>
      <c r="L1809" s="4">
        <v>-114.49299999999999</v>
      </c>
      <c r="M1809" s="4">
        <v>-114.49299999999999</v>
      </c>
      <c r="N1809" s="4">
        <v>-114.49299999999999</v>
      </c>
      <c r="O1809" s="4">
        <v>-114.49299999999999</v>
      </c>
      <c r="P1809" s="4">
        <v>-10</v>
      </c>
      <c r="Q1809" s="3" t="s">
        <v>26</v>
      </c>
      <c r="R1809" s="3">
        <v>0</v>
      </c>
      <c r="S1809" s="4">
        <v>0</v>
      </c>
      <c r="T1809" s="4">
        <v>84</v>
      </c>
      <c r="U1809" s="4">
        <v>7</v>
      </c>
      <c r="V1809" s="4">
        <f>IF(ISERROR(VLOOKUP($S$1809,'TAR FIN'!$A$1:$O$113,15,0)),0,VLOOKUP($S$1809,'TAR FIN'!$A$1:$O$113,15,0))</f>
        <v>0</v>
      </c>
      <c r="W1809" s="4">
        <f>IF(ISERROR(VLOOKUP($T$1809,'TAR FIN'!$A$1:$O$113,15,0)),0,VLOOKUP($T$1809,'TAR FIN'!$A$1:$O$113,15,0))</f>
        <v>346.2</v>
      </c>
      <c r="X1809" s="4">
        <f>IF(ISERROR(VLOOKUP($U$1809,'TAR FIN'!$A$1:$O$113,15,0)),0,VLOOKUP($U$1809,'TAR FIN'!$A$1:$O$113,15,0))</f>
        <v>234.24</v>
      </c>
      <c r="Y1809" s="4"/>
      <c r="Z1809" s="4">
        <f ca="1">('TUSD BE'!$AM$68+'TUSD BF'!$AM$68+'TUSD CVA'!$AM$68)*1</f>
        <v>411.14246090221764</v>
      </c>
      <c r="AA1809" s="4">
        <f>('TE BE'!$AA$47+'TE BF'!$AA$47+'TE CVA'!$AA$47)*1</f>
        <v>234.67932779241937</v>
      </c>
      <c r="AB1809" s="4">
        <f>$K$1809*$V$1809</f>
        <v>0</v>
      </c>
      <c r="AC1809" s="4">
        <f>$M$1809*$W$1809</f>
        <v>-39637.476599999995</v>
      </c>
      <c r="AD1809" s="4">
        <f>$O$1809*$X$1809</f>
        <v>-26818.840319999999</v>
      </c>
      <c r="AE1809" s="4">
        <f>$K$1809*$Y$1809</f>
        <v>0</v>
      </c>
      <c r="AF1809" s="4">
        <f ca="1">$M$1809*$Z$1809</f>
        <v>-47072.933776077603</v>
      </c>
      <c r="AG1809" s="4">
        <f>$O$1809*$AA$1809</f>
        <v>-26869.140276937469</v>
      </c>
    </row>
    <row r="1810" spans="1:33" ht="11.25" customHeight="1" x14ac:dyDescent="0.25">
      <c r="A1810" s="3" t="s">
        <v>28</v>
      </c>
      <c r="B1810" s="3" t="s">
        <v>37</v>
      </c>
      <c r="C1810" s="3" t="s">
        <v>23</v>
      </c>
      <c r="D1810" s="3" t="s">
        <v>46</v>
      </c>
      <c r="E1810" s="3" t="s">
        <v>25</v>
      </c>
      <c r="F1810" s="3" t="s">
        <v>25</v>
      </c>
      <c r="G1810" s="3" t="s">
        <v>25</v>
      </c>
      <c r="H1810" s="3" t="s">
        <v>25</v>
      </c>
      <c r="I1810" s="6">
        <v>44378</v>
      </c>
      <c r="J1810" s="4">
        <v>0</v>
      </c>
      <c r="K1810" s="4">
        <v>0</v>
      </c>
      <c r="L1810" s="4">
        <v>3.0529999999999999</v>
      </c>
      <c r="M1810" s="4">
        <v>3.0529999999999999</v>
      </c>
      <c r="N1810" s="4">
        <v>3.0529999999999999</v>
      </c>
      <c r="O1810" s="4">
        <v>3.0529999999999999</v>
      </c>
      <c r="P1810" s="4">
        <v>13</v>
      </c>
      <c r="Q1810" s="3" t="s">
        <v>26</v>
      </c>
      <c r="R1810" s="3">
        <v>0</v>
      </c>
      <c r="S1810" s="4">
        <v>0</v>
      </c>
      <c r="T1810" s="4">
        <v>84</v>
      </c>
      <c r="U1810" s="4">
        <v>7</v>
      </c>
      <c r="V1810" s="4">
        <f>IF(ISERROR(VLOOKUP($S$1810,'TAR FIN'!$A$1:$O$113,15,0)),0,VLOOKUP($S$1810,'TAR FIN'!$A$1:$O$113,15,0))</f>
        <v>0</v>
      </c>
      <c r="W1810" s="4">
        <f>IF(ISERROR(VLOOKUP($T$1810,'TAR FIN'!$A$1:$O$113,15,0)),0,VLOOKUP($T$1810,'TAR FIN'!$A$1:$O$113,15,0))</f>
        <v>346.2</v>
      </c>
      <c r="X1810" s="4">
        <f>IF(ISERROR(VLOOKUP($U$1810,'TAR FIN'!$A$1:$O$113,15,0)),0,VLOOKUP($U$1810,'TAR FIN'!$A$1:$O$113,15,0))</f>
        <v>234.24</v>
      </c>
      <c r="Y1810" s="4"/>
      <c r="Z1810" s="4">
        <f ca="1">('TUSD BE'!$AM$68+'TUSD BF'!$AM$68+'TUSD CVA'!$AM$68)*1</f>
        <v>411.14246090221764</v>
      </c>
      <c r="AA1810" s="4">
        <f>('TE BE'!$AA$47+'TE BF'!$AA$47+'TE CVA'!$AA$47)*1</f>
        <v>234.67932779241937</v>
      </c>
      <c r="AB1810" s="4">
        <f>$K$1810*$V$1810</f>
        <v>0</v>
      </c>
      <c r="AC1810" s="4">
        <f>$M$1810*$W$1810</f>
        <v>1056.9485999999999</v>
      </c>
      <c r="AD1810" s="4">
        <f>$O$1810*$X$1810</f>
        <v>715.13472000000002</v>
      </c>
      <c r="AE1810" s="4">
        <f>$K$1810*$Y$1810</f>
        <v>0</v>
      </c>
      <c r="AF1810" s="4">
        <f ca="1">$M$1810*$Z$1810</f>
        <v>1255.2179331344705</v>
      </c>
      <c r="AG1810" s="4">
        <f>$O$1810*$AA$1810</f>
        <v>716.47598775025631</v>
      </c>
    </row>
    <row r="1811" spans="1:33" ht="11.25" customHeight="1" x14ac:dyDescent="0.25">
      <c r="A1811" s="3" t="s">
        <v>21</v>
      </c>
      <c r="B1811" s="3" t="s">
        <v>37</v>
      </c>
      <c r="C1811" s="3" t="s">
        <v>23</v>
      </c>
      <c r="D1811" s="3" t="s">
        <v>46</v>
      </c>
      <c r="E1811" s="3" t="s">
        <v>25</v>
      </c>
      <c r="F1811" s="3" t="s">
        <v>25</v>
      </c>
      <c r="G1811" s="3" t="s">
        <v>25</v>
      </c>
      <c r="H1811" s="3" t="s">
        <v>25</v>
      </c>
      <c r="I1811" s="6">
        <v>44409</v>
      </c>
      <c r="J1811" s="4">
        <v>0</v>
      </c>
      <c r="K1811" s="4">
        <v>0</v>
      </c>
      <c r="L1811" s="4">
        <v>3215.0770000000002</v>
      </c>
      <c r="M1811" s="4">
        <v>3215.0770000000002</v>
      </c>
      <c r="N1811" s="4">
        <v>3215.0770000000002</v>
      </c>
      <c r="O1811" s="4">
        <v>3215.0770000000002</v>
      </c>
      <c r="P1811" s="4">
        <v>5226</v>
      </c>
      <c r="Q1811" s="3" t="s">
        <v>26</v>
      </c>
      <c r="R1811" s="3">
        <v>0</v>
      </c>
      <c r="S1811" s="4">
        <v>0</v>
      </c>
      <c r="T1811" s="4">
        <v>84</v>
      </c>
      <c r="U1811" s="4">
        <v>7</v>
      </c>
      <c r="V1811" s="4">
        <f>IF(ISERROR(VLOOKUP($S$1811,'TAR FIN'!$A$1:$O$113,15,0)),0,VLOOKUP($S$1811,'TAR FIN'!$A$1:$O$113,15,0))</f>
        <v>0</v>
      </c>
      <c r="W1811" s="4">
        <f>IF(ISERROR(VLOOKUP($T$1811,'TAR FIN'!$A$1:$O$113,15,0)),0,VLOOKUP($T$1811,'TAR FIN'!$A$1:$O$113,15,0))</f>
        <v>346.2</v>
      </c>
      <c r="X1811" s="4">
        <f>IF(ISERROR(VLOOKUP($U$1811,'TAR FIN'!$A$1:$O$113,15,0)),0,VLOOKUP($U$1811,'TAR FIN'!$A$1:$O$113,15,0))</f>
        <v>234.24</v>
      </c>
      <c r="Y1811" s="4"/>
      <c r="Z1811" s="4">
        <f ca="1">('TUSD BE'!$AM$68+'TUSD BF'!$AM$68+'TUSD CVA'!$AM$68)*1</f>
        <v>411.14246090221764</v>
      </c>
      <c r="AA1811" s="4">
        <f>('TE BE'!$AA$47+'TE BF'!$AA$47+'TE CVA'!$AA$47)*1</f>
        <v>234.67932779241937</v>
      </c>
      <c r="AB1811" s="4">
        <f>$K$1811*$V$1811</f>
        <v>0</v>
      </c>
      <c r="AC1811" s="4">
        <f>$M$1811*$W$1811</f>
        <v>1113059.6574000001</v>
      </c>
      <c r="AD1811" s="4">
        <f>$O$1811*$X$1811</f>
        <v>753099.6364800001</v>
      </c>
      <c r="AE1811" s="4">
        <f>$K$1811*$Y$1811</f>
        <v>0</v>
      </c>
      <c r="AF1811" s="4">
        <f ca="1">$M$1811*$Z$1811</f>
        <v>1321854.6697701192</v>
      </c>
      <c r="AG1811" s="4">
        <f>$O$1811*$AA$1811</f>
        <v>754512.10916086833</v>
      </c>
    </row>
    <row r="1812" spans="1:33" ht="11.25" customHeight="1" x14ac:dyDescent="0.25">
      <c r="A1812" s="3" t="s">
        <v>27</v>
      </c>
      <c r="B1812" s="3" t="s">
        <v>37</v>
      </c>
      <c r="C1812" s="3" t="s">
        <v>23</v>
      </c>
      <c r="D1812" s="3" t="s">
        <v>46</v>
      </c>
      <c r="E1812" s="3" t="s">
        <v>25</v>
      </c>
      <c r="F1812" s="3" t="s">
        <v>25</v>
      </c>
      <c r="G1812" s="3" t="s">
        <v>25</v>
      </c>
      <c r="H1812" s="3" t="s">
        <v>25</v>
      </c>
      <c r="I1812" s="6">
        <v>44409</v>
      </c>
      <c r="J1812" s="4">
        <v>0</v>
      </c>
      <c r="K1812" s="4">
        <v>0</v>
      </c>
      <c r="L1812" s="4">
        <v>-157.59399999999999</v>
      </c>
      <c r="M1812" s="4">
        <v>-157.59399999999999</v>
      </c>
      <c r="N1812" s="4">
        <v>-157.59399999999999</v>
      </c>
      <c r="O1812" s="4">
        <v>-157.59399999999999</v>
      </c>
      <c r="P1812" s="4">
        <v>-17</v>
      </c>
      <c r="Q1812" s="3" t="s">
        <v>26</v>
      </c>
      <c r="R1812" s="3">
        <v>0</v>
      </c>
      <c r="S1812" s="4">
        <v>0</v>
      </c>
      <c r="T1812" s="4">
        <v>84</v>
      </c>
      <c r="U1812" s="4">
        <v>7</v>
      </c>
      <c r="V1812" s="4">
        <f>IF(ISERROR(VLOOKUP($S$1812,'TAR FIN'!$A$1:$O$113,15,0)),0,VLOOKUP($S$1812,'TAR FIN'!$A$1:$O$113,15,0))</f>
        <v>0</v>
      </c>
      <c r="W1812" s="4">
        <f>IF(ISERROR(VLOOKUP($T$1812,'TAR FIN'!$A$1:$O$113,15,0)),0,VLOOKUP($T$1812,'TAR FIN'!$A$1:$O$113,15,0))</f>
        <v>346.2</v>
      </c>
      <c r="X1812" s="4">
        <f>IF(ISERROR(VLOOKUP($U$1812,'TAR FIN'!$A$1:$O$113,15,0)),0,VLOOKUP($U$1812,'TAR FIN'!$A$1:$O$113,15,0))</f>
        <v>234.24</v>
      </c>
      <c r="Y1812" s="4"/>
      <c r="Z1812" s="4">
        <f ca="1">('TUSD BE'!$AM$68+'TUSD BF'!$AM$68+'TUSD CVA'!$AM$68)*1</f>
        <v>411.14246090221764</v>
      </c>
      <c r="AA1812" s="4">
        <f>('TE BE'!$AA$47+'TE BF'!$AA$47+'TE CVA'!$AA$47)*1</f>
        <v>234.67932779241937</v>
      </c>
      <c r="AB1812" s="4">
        <f>$K$1812*$V$1812</f>
        <v>0</v>
      </c>
      <c r="AC1812" s="4">
        <f>$M$1812*$W$1812</f>
        <v>-54559.042799999996</v>
      </c>
      <c r="AD1812" s="4">
        <f>$O$1812*$X$1812</f>
        <v>-36914.81856</v>
      </c>
      <c r="AE1812" s="4">
        <f>$K$1812*$Y$1812</f>
        <v>0</v>
      </c>
      <c r="AF1812" s="4">
        <f ca="1">$M$1812*$Z$1812</f>
        <v>-64793.584983424087</v>
      </c>
      <c r="AG1812" s="4">
        <f>$O$1812*$AA$1812</f>
        <v>-36984.053984118538</v>
      </c>
    </row>
    <row r="1813" spans="1:33" ht="11.25" customHeight="1" x14ac:dyDescent="0.25">
      <c r="A1813" s="3" t="s">
        <v>28</v>
      </c>
      <c r="B1813" s="3" t="s">
        <v>37</v>
      </c>
      <c r="C1813" s="3" t="s">
        <v>23</v>
      </c>
      <c r="D1813" s="3" t="s">
        <v>46</v>
      </c>
      <c r="E1813" s="3" t="s">
        <v>25</v>
      </c>
      <c r="F1813" s="3" t="s">
        <v>25</v>
      </c>
      <c r="G1813" s="3" t="s">
        <v>25</v>
      </c>
      <c r="H1813" s="3" t="s">
        <v>25</v>
      </c>
      <c r="I1813" s="6">
        <v>44409</v>
      </c>
      <c r="J1813" s="4">
        <v>0</v>
      </c>
      <c r="K1813" s="4">
        <v>0</v>
      </c>
      <c r="L1813" s="4">
        <v>4.55</v>
      </c>
      <c r="M1813" s="4">
        <v>4.55</v>
      </c>
      <c r="N1813" s="4">
        <v>4.55</v>
      </c>
      <c r="O1813" s="4">
        <v>4.55</v>
      </c>
      <c r="P1813" s="4">
        <v>14</v>
      </c>
      <c r="Q1813" s="3" t="s">
        <v>26</v>
      </c>
      <c r="R1813" s="3">
        <v>0</v>
      </c>
      <c r="S1813" s="4">
        <v>0</v>
      </c>
      <c r="T1813" s="4">
        <v>84</v>
      </c>
      <c r="U1813" s="4">
        <v>7</v>
      </c>
      <c r="V1813" s="4">
        <f>IF(ISERROR(VLOOKUP($S$1813,'TAR FIN'!$A$1:$O$113,15,0)),0,VLOOKUP($S$1813,'TAR FIN'!$A$1:$O$113,15,0))</f>
        <v>0</v>
      </c>
      <c r="W1813" s="4">
        <f>IF(ISERROR(VLOOKUP($T$1813,'TAR FIN'!$A$1:$O$113,15,0)),0,VLOOKUP($T$1813,'TAR FIN'!$A$1:$O$113,15,0))</f>
        <v>346.2</v>
      </c>
      <c r="X1813" s="4">
        <f>IF(ISERROR(VLOOKUP($U$1813,'TAR FIN'!$A$1:$O$113,15,0)),0,VLOOKUP($U$1813,'TAR FIN'!$A$1:$O$113,15,0))</f>
        <v>234.24</v>
      </c>
      <c r="Y1813" s="4"/>
      <c r="Z1813" s="4">
        <f ca="1">('TUSD BE'!$AM$68+'TUSD BF'!$AM$68+'TUSD CVA'!$AM$68)*1</f>
        <v>411.14246090221764</v>
      </c>
      <c r="AA1813" s="4">
        <f>('TE BE'!$AA$47+'TE BF'!$AA$47+'TE CVA'!$AA$47)*1</f>
        <v>234.67932779241937</v>
      </c>
      <c r="AB1813" s="4">
        <f>$K$1813*$V$1813</f>
        <v>0</v>
      </c>
      <c r="AC1813" s="4">
        <f>$M$1813*$W$1813</f>
        <v>1575.2099999999998</v>
      </c>
      <c r="AD1813" s="4">
        <f>$O$1813*$X$1813</f>
        <v>1065.7919999999999</v>
      </c>
      <c r="AE1813" s="4">
        <f>$K$1813*$Y$1813</f>
        <v>0</v>
      </c>
      <c r="AF1813" s="4">
        <f ca="1">$M$1813*$Z$1813</f>
        <v>1870.6981971050902</v>
      </c>
      <c r="AG1813" s="4">
        <f>$O$1813*$AA$1813</f>
        <v>1067.7909414555081</v>
      </c>
    </row>
    <row r="1814" spans="1:33" ht="11.25" customHeight="1" x14ac:dyDescent="0.25">
      <c r="A1814" s="3" t="s">
        <v>21</v>
      </c>
      <c r="B1814" s="3" t="s">
        <v>37</v>
      </c>
      <c r="C1814" s="3" t="s">
        <v>23</v>
      </c>
      <c r="D1814" s="3" t="s">
        <v>46</v>
      </c>
      <c r="E1814" s="3" t="s">
        <v>25</v>
      </c>
      <c r="F1814" s="3" t="s">
        <v>25</v>
      </c>
      <c r="G1814" s="3" t="s">
        <v>25</v>
      </c>
      <c r="H1814" s="3" t="s">
        <v>25</v>
      </c>
      <c r="I1814" s="6">
        <v>44440</v>
      </c>
      <c r="J1814" s="4">
        <v>0</v>
      </c>
      <c r="K1814" s="4">
        <v>0</v>
      </c>
      <c r="L1814" s="4">
        <v>3355.174</v>
      </c>
      <c r="M1814" s="4">
        <v>3355.174</v>
      </c>
      <c r="N1814" s="4">
        <v>3355.174</v>
      </c>
      <c r="O1814" s="4">
        <v>3355.174</v>
      </c>
      <c r="P1814" s="4">
        <v>5223</v>
      </c>
      <c r="Q1814" s="3" t="s">
        <v>26</v>
      </c>
      <c r="R1814" s="3">
        <v>0</v>
      </c>
      <c r="S1814" s="4">
        <v>0</v>
      </c>
      <c r="T1814" s="4">
        <v>84</v>
      </c>
      <c r="U1814" s="4">
        <v>7</v>
      </c>
      <c r="V1814" s="4">
        <f>IF(ISERROR(VLOOKUP($S$1814,'TAR FIN'!$A$1:$O$113,15,0)),0,VLOOKUP($S$1814,'TAR FIN'!$A$1:$O$113,15,0))</f>
        <v>0</v>
      </c>
      <c r="W1814" s="4">
        <f>IF(ISERROR(VLOOKUP($T$1814,'TAR FIN'!$A$1:$O$113,15,0)),0,VLOOKUP($T$1814,'TAR FIN'!$A$1:$O$113,15,0))</f>
        <v>346.2</v>
      </c>
      <c r="X1814" s="4">
        <f>IF(ISERROR(VLOOKUP($U$1814,'TAR FIN'!$A$1:$O$113,15,0)),0,VLOOKUP($U$1814,'TAR FIN'!$A$1:$O$113,15,0))</f>
        <v>234.24</v>
      </c>
      <c r="Y1814" s="4"/>
      <c r="Z1814" s="4">
        <f ca="1">('TUSD BE'!$AM$68+'TUSD BF'!$AM$68+'TUSD CVA'!$AM$68)*1</f>
        <v>411.14246090221764</v>
      </c>
      <c r="AA1814" s="4">
        <f>('TE BE'!$AA$47+'TE BF'!$AA$47+'TE CVA'!$AA$47)*1</f>
        <v>234.67932779241937</v>
      </c>
      <c r="AB1814" s="4">
        <f>$K$1814*$V$1814</f>
        <v>0</v>
      </c>
      <c r="AC1814" s="4">
        <f>$M$1814*$W$1814</f>
        <v>1161561.2387999999</v>
      </c>
      <c r="AD1814" s="4">
        <f>$O$1814*$X$1814</f>
        <v>785915.95776000002</v>
      </c>
      <c r="AE1814" s="4">
        <f>$K$1814*$Y$1814</f>
        <v>0</v>
      </c>
      <c r="AF1814" s="4">
        <f ca="1">$M$1814*$Z$1814</f>
        <v>1379454.4951151372</v>
      </c>
      <c r="AG1814" s="4">
        <f>$O$1814*$AA$1814</f>
        <v>787389.9789466029</v>
      </c>
    </row>
    <row r="1815" spans="1:33" ht="11.25" customHeight="1" x14ac:dyDescent="0.25">
      <c r="A1815" s="3" t="s">
        <v>28</v>
      </c>
      <c r="B1815" s="3" t="s">
        <v>37</v>
      </c>
      <c r="C1815" s="3" t="s">
        <v>23</v>
      </c>
      <c r="D1815" s="3" t="s">
        <v>46</v>
      </c>
      <c r="E1815" s="3" t="s">
        <v>25</v>
      </c>
      <c r="F1815" s="3" t="s">
        <v>25</v>
      </c>
      <c r="G1815" s="3" t="s">
        <v>25</v>
      </c>
      <c r="H1815" s="3" t="s">
        <v>25</v>
      </c>
      <c r="I1815" s="6">
        <v>44440</v>
      </c>
      <c r="J1815" s="4">
        <v>0</v>
      </c>
      <c r="K1815" s="4">
        <v>0</v>
      </c>
      <c r="L1815" s="4">
        <v>4.6550000000000002</v>
      </c>
      <c r="M1815" s="4">
        <v>4.6550000000000002</v>
      </c>
      <c r="N1815" s="4">
        <v>4.6550000000000002</v>
      </c>
      <c r="O1815" s="4">
        <v>4.6550000000000002</v>
      </c>
      <c r="P1815" s="4">
        <v>15</v>
      </c>
      <c r="Q1815" s="3" t="s">
        <v>26</v>
      </c>
      <c r="R1815" s="3">
        <v>0</v>
      </c>
      <c r="S1815" s="4">
        <v>0</v>
      </c>
      <c r="T1815" s="4">
        <v>84</v>
      </c>
      <c r="U1815" s="4">
        <v>7</v>
      </c>
      <c r="V1815" s="4">
        <f>IF(ISERROR(VLOOKUP($S$1815,'TAR FIN'!$A$1:$O$113,15,0)),0,VLOOKUP($S$1815,'TAR FIN'!$A$1:$O$113,15,0))</f>
        <v>0</v>
      </c>
      <c r="W1815" s="4">
        <f>IF(ISERROR(VLOOKUP($T$1815,'TAR FIN'!$A$1:$O$113,15,0)),0,VLOOKUP($T$1815,'TAR FIN'!$A$1:$O$113,15,0))</f>
        <v>346.2</v>
      </c>
      <c r="X1815" s="4">
        <f>IF(ISERROR(VLOOKUP($U$1815,'TAR FIN'!$A$1:$O$113,15,0)),0,VLOOKUP($U$1815,'TAR FIN'!$A$1:$O$113,15,0))</f>
        <v>234.24</v>
      </c>
      <c r="Y1815" s="4"/>
      <c r="Z1815" s="4">
        <f ca="1">('TUSD BE'!$AM$68+'TUSD BF'!$AM$68+'TUSD CVA'!$AM$68)*1</f>
        <v>411.14246090221764</v>
      </c>
      <c r="AA1815" s="4">
        <f>('TE BE'!$AA$47+'TE BF'!$AA$47+'TE CVA'!$AA$47)*1</f>
        <v>234.67932779241937</v>
      </c>
      <c r="AB1815" s="4">
        <f>$K$1815*$V$1815</f>
        <v>0</v>
      </c>
      <c r="AC1815" s="4">
        <f>$M$1815*$W$1815</f>
        <v>1611.5609999999999</v>
      </c>
      <c r="AD1815" s="4">
        <f>$O$1815*$X$1815</f>
        <v>1090.3872000000001</v>
      </c>
      <c r="AE1815" s="4">
        <f>$K$1815*$Y$1815</f>
        <v>0</v>
      </c>
      <c r="AF1815" s="4">
        <f ca="1">$M$1815*$Z$1815</f>
        <v>1913.8681554998232</v>
      </c>
      <c r="AG1815" s="4">
        <f>$O$1815*$AA$1815</f>
        <v>1092.4322708737122</v>
      </c>
    </row>
    <row r="1816" spans="1:33" ht="11.25" customHeight="1" x14ac:dyDescent="0.25">
      <c r="A1816" s="3" t="s">
        <v>21</v>
      </c>
      <c r="B1816" s="3" t="s">
        <v>37</v>
      </c>
      <c r="C1816" s="3" t="s">
        <v>23</v>
      </c>
      <c r="D1816" s="3" t="s">
        <v>46</v>
      </c>
      <c r="E1816" s="3" t="s">
        <v>25</v>
      </c>
      <c r="F1816" s="3" t="s">
        <v>25</v>
      </c>
      <c r="G1816" s="3" t="s">
        <v>25</v>
      </c>
      <c r="H1816" s="3" t="s">
        <v>25</v>
      </c>
      <c r="I1816" s="6">
        <v>44470</v>
      </c>
      <c r="J1816" s="4">
        <v>0</v>
      </c>
      <c r="K1816" s="4">
        <v>0</v>
      </c>
      <c r="L1816" s="4">
        <v>3832.8040000000001</v>
      </c>
      <c r="M1816" s="4">
        <v>3832.8040000000001</v>
      </c>
      <c r="N1816" s="4">
        <v>3832.8040000000001</v>
      </c>
      <c r="O1816" s="4">
        <v>3832.8040000000001</v>
      </c>
      <c r="P1816" s="4">
        <v>5195</v>
      </c>
      <c r="Q1816" s="3" t="s">
        <v>26</v>
      </c>
      <c r="R1816" s="3">
        <v>0</v>
      </c>
      <c r="S1816" s="4">
        <v>0</v>
      </c>
      <c r="T1816" s="4">
        <v>84</v>
      </c>
      <c r="U1816" s="4">
        <v>7</v>
      </c>
      <c r="V1816" s="4">
        <f>IF(ISERROR(VLOOKUP($S$1816,'TAR FIN'!$A$1:$O$113,15,0)),0,VLOOKUP($S$1816,'TAR FIN'!$A$1:$O$113,15,0))</f>
        <v>0</v>
      </c>
      <c r="W1816" s="4">
        <f>IF(ISERROR(VLOOKUP($T$1816,'TAR FIN'!$A$1:$O$113,15,0)),0,VLOOKUP($T$1816,'TAR FIN'!$A$1:$O$113,15,0))</f>
        <v>346.2</v>
      </c>
      <c r="X1816" s="4">
        <f>IF(ISERROR(VLOOKUP($U$1816,'TAR FIN'!$A$1:$O$113,15,0)),0,VLOOKUP($U$1816,'TAR FIN'!$A$1:$O$113,15,0))</f>
        <v>234.24</v>
      </c>
      <c r="Y1816" s="4"/>
      <c r="Z1816" s="4">
        <f ca="1">('TUSD BE'!$AM$68+'TUSD BF'!$AM$68+'TUSD CVA'!$AM$68)*1</f>
        <v>411.14246090221764</v>
      </c>
      <c r="AA1816" s="4">
        <f>('TE BE'!$AA$47+'TE BF'!$AA$47+'TE CVA'!$AA$47)*1</f>
        <v>234.67932779241937</v>
      </c>
      <c r="AB1816" s="4">
        <f>$K$1816*$V$1816</f>
        <v>0</v>
      </c>
      <c r="AC1816" s="4">
        <f>$M$1816*$W$1816</f>
        <v>1326916.7448</v>
      </c>
      <c r="AD1816" s="4">
        <f>$O$1816*$X$1816</f>
        <v>897796.00896000001</v>
      </c>
      <c r="AE1816" s="4">
        <f>$K$1816*$Y$1816</f>
        <v>0</v>
      </c>
      <c r="AF1816" s="4">
        <f ca="1">$M$1816*$Z$1816</f>
        <v>1575828.4687158633</v>
      </c>
      <c r="AG1816" s="4">
        <f>$O$1816*$AA$1816</f>
        <v>899479.86628009612</v>
      </c>
    </row>
    <row r="1817" spans="1:33" ht="11.25" customHeight="1" x14ac:dyDescent="0.25">
      <c r="A1817" s="3" t="s">
        <v>28</v>
      </c>
      <c r="B1817" s="3" t="s">
        <v>37</v>
      </c>
      <c r="C1817" s="3" t="s">
        <v>23</v>
      </c>
      <c r="D1817" s="3" t="s">
        <v>46</v>
      </c>
      <c r="E1817" s="3" t="s">
        <v>25</v>
      </c>
      <c r="F1817" s="3" t="s">
        <v>25</v>
      </c>
      <c r="G1817" s="3" t="s">
        <v>25</v>
      </c>
      <c r="H1817" s="3" t="s">
        <v>25</v>
      </c>
      <c r="I1817" s="6">
        <v>44470</v>
      </c>
      <c r="J1817" s="4">
        <v>0</v>
      </c>
      <c r="K1817" s="4">
        <v>0</v>
      </c>
      <c r="L1817" s="4">
        <v>4.8730000000000002</v>
      </c>
      <c r="M1817" s="4">
        <v>4.8730000000000002</v>
      </c>
      <c r="N1817" s="4">
        <v>4.8730000000000002</v>
      </c>
      <c r="O1817" s="4">
        <v>4.8730000000000002</v>
      </c>
      <c r="P1817" s="4">
        <v>15</v>
      </c>
      <c r="Q1817" s="3" t="s">
        <v>26</v>
      </c>
      <c r="R1817" s="3">
        <v>0</v>
      </c>
      <c r="S1817" s="4">
        <v>0</v>
      </c>
      <c r="T1817" s="4">
        <v>84</v>
      </c>
      <c r="U1817" s="4">
        <v>7</v>
      </c>
      <c r="V1817" s="4">
        <f>IF(ISERROR(VLOOKUP($S$1817,'TAR FIN'!$A$1:$O$113,15,0)),0,VLOOKUP($S$1817,'TAR FIN'!$A$1:$O$113,15,0))</f>
        <v>0</v>
      </c>
      <c r="W1817" s="4">
        <f>IF(ISERROR(VLOOKUP($T$1817,'TAR FIN'!$A$1:$O$113,15,0)),0,VLOOKUP($T$1817,'TAR FIN'!$A$1:$O$113,15,0))</f>
        <v>346.2</v>
      </c>
      <c r="X1817" s="4">
        <f>IF(ISERROR(VLOOKUP($U$1817,'TAR FIN'!$A$1:$O$113,15,0)),0,VLOOKUP($U$1817,'TAR FIN'!$A$1:$O$113,15,0))</f>
        <v>234.24</v>
      </c>
      <c r="Y1817" s="4"/>
      <c r="Z1817" s="4">
        <f ca="1">('TUSD BE'!$AM$68+'TUSD BF'!$AM$68+'TUSD CVA'!$AM$68)*1</f>
        <v>411.14246090221764</v>
      </c>
      <c r="AA1817" s="4">
        <f>('TE BE'!$AA$47+'TE BF'!$AA$47+'TE CVA'!$AA$47)*1</f>
        <v>234.67932779241937</v>
      </c>
      <c r="AB1817" s="4">
        <f>$K$1817*$V$1817</f>
        <v>0</v>
      </c>
      <c r="AC1817" s="4">
        <f>$M$1817*$W$1817</f>
        <v>1687.0326</v>
      </c>
      <c r="AD1817" s="4">
        <f>$O$1817*$X$1817</f>
        <v>1141.4515200000001</v>
      </c>
      <c r="AE1817" s="4">
        <f>$K$1817*$Y$1817</f>
        <v>0</v>
      </c>
      <c r="AF1817" s="4">
        <f ca="1">$M$1817*$Z$1817</f>
        <v>2003.4972119765066</v>
      </c>
      <c r="AG1817" s="4">
        <f>$O$1817*$AA$1817</f>
        <v>1143.5923643324597</v>
      </c>
    </row>
    <row r="1818" spans="1:33" ht="11.25" customHeight="1" x14ac:dyDescent="0.25">
      <c r="A1818" s="3" t="s">
        <v>21</v>
      </c>
      <c r="B1818" s="3" t="s">
        <v>37</v>
      </c>
      <c r="C1818" s="3" t="s">
        <v>23</v>
      </c>
      <c r="D1818" s="3" t="s">
        <v>46</v>
      </c>
      <c r="E1818" s="3" t="s">
        <v>25</v>
      </c>
      <c r="F1818" s="3" t="s">
        <v>25</v>
      </c>
      <c r="G1818" s="3" t="s">
        <v>25</v>
      </c>
      <c r="H1818" s="3" t="s">
        <v>25</v>
      </c>
      <c r="I1818" s="6">
        <v>44501</v>
      </c>
      <c r="J1818" s="4">
        <v>0</v>
      </c>
      <c r="K1818" s="4">
        <v>0</v>
      </c>
      <c r="L1818" s="4">
        <v>3970.9969999999998</v>
      </c>
      <c r="M1818" s="4">
        <v>3970.9969999999998</v>
      </c>
      <c r="N1818" s="4">
        <v>3970.9969999999998</v>
      </c>
      <c r="O1818" s="4">
        <v>3970.9969999999998</v>
      </c>
      <c r="P1818" s="4">
        <v>5077</v>
      </c>
      <c r="Q1818" s="3" t="s">
        <v>26</v>
      </c>
      <c r="R1818" s="3">
        <v>0</v>
      </c>
      <c r="S1818" s="4">
        <v>0</v>
      </c>
      <c r="T1818" s="4">
        <v>84</v>
      </c>
      <c r="U1818" s="4">
        <v>7</v>
      </c>
      <c r="V1818" s="4">
        <f>IF(ISERROR(VLOOKUP($S$1818,'TAR FIN'!$A$1:$O$113,15,0)),0,VLOOKUP($S$1818,'TAR FIN'!$A$1:$O$113,15,0))</f>
        <v>0</v>
      </c>
      <c r="W1818" s="4">
        <f>IF(ISERROR(VLOOKUP($T$1818,'TAR FIN'!$A$1:$O$113,15,0)),0,VLOOKUP($T$1818,'TAR FIN'!$A$1:$O$113,15,0))</f>
        <v>346.2</v>
      </c>
      <c r="X1818" s="4">
        <f>IF(ISERROR(VLOOKUP($U$1818,'TAR FIN'!$A$1:$O$113,15,0)),0,VLOOKUP($U$1818,'TAR FIN'!$A$1:$O$113,15,0))</f>
        <v>234.24</v>
      </c>
      <c r="Y1818" s="4"/>
      <c r="Z1818" s="4">
        <f ca="1">('TUSD BE'!$AM$68+'TUSD BF'!$AM$68+'TUSD CVA'!$AM$68)*1</f>
        <v>411.14246090221764</v>
      </c>
      <c r="AA1818" s="4">
        <f>('TE BE'!$AA$47+'TE BF'!$AA$47+'TE CVA'!$AA$47)*1</f>
        <v>234.67932779241937</v>
      </c>
      <c r="AB1818" s="4">
        <f>$K$1818*$V$1818</f>
        <v>0</v>
      </c>
      <c r="AC1818" s="4">
        <f>$M$1818*$W$1818</f>
        <v>1374759.1613999999</v>
      </c>
      <c r="AD1818" s="4">
        <f>$O$1818*$X$1818</f>
        <v>930166.33727999998</v>
      </c>
      <c r="AE1818" s="4">
        <f>$K$1818*$Y$1818</f>
        <v>0</v>
      </c>
      <c r="AF1818" s="4">
        <f ca="1">$M$1818*$Z$1818</f>
        <v>1632645.4788153234</v>
      </c>
      <c r="AG1818" s="4">
        <f>$O$1818*$AA$1818</f>
        <v>931910.90662571392</v>
      </c>
    </row>
    <row r="1819" spans="1:33" ht="11.25" customHeight="1" x14ac:dyDescent="0.25">
      <c r="A1819" s="3" t="s">
        <v>28</v>
      </c>
      <c r="B1819" s="3" t="s">
        <v>37</v>
      </c>
      <c r="C1819" s="3" t="s">
        <v>23</v>
      </c>
      <c r="D1819" s="3" t="s">
        <v>46</v>
      </c>
      <c r="E1819" s="3" t="s">
        <v>25</v>
      </c>
      <c r="F1819" s="3" t="s">
        <v>25</v>
      </c>
      <c r="G1819" s="3" t="s">
        <v>25</v>
      </c>
      <c r="H1819" s="3" t="s">
        <v>25</v>
      </c>
      <c r="I1819" s="6">
        <v>44501</v>
      </c>
      <c r="J1819" s="4">
        <v>0</v>
      </c>
      <c r="K1819" s="4">
        <v>0</v>
      </c>
      <c r="L1819" s="4">
        <v>5.6479999999999997</v>
      </c>
      <c r="M1819" s="4">
        <v>5.6479999999999997</v>
      </c>
      <c r="N1819" s="4">
        <v>5.6479999999999997</v>
      </c>
      <c r="O1819" s="4">
        <v>5.6479999999999997</v>
      </c>
      <c r="P1819" s="4">
        <v>15</v>
      </c>
      <c r="Q1819" s="3" t="s">
        <v>26</v>
      </c>
      <c r="R1819" s="3">
        <v>0</v>
      </c>
      <c r="S1819" s="4">
        <v>0</v>
      </c>
      <c r="T1819" s="4">
        <v>84</v>
      </c>
      <c r="U1819" s="4">
        <v>7</v>
      </c>
      <c r="V1819" s="4">
        <f>IF(ISERROR(VLOOKUP($S$1819,'TAR FIN'!$A$1:$O$113,15,0)),0,VLOOKUP($S$1819,'TAR FIN'!$A$1:$O$113,15,0))</f>
        <v>0</v>
      </c>
      <c r="W1819" s="4">
        <f>IF(ISERROR(VLOOKUP($T$1819,'TAR FIN'!$A$1:$O$113,15,0)),0,VLOOKUP($T$1819,'TAR FIN'!$A$1:$O$113,15,0))</f>
        <v>346.2</v>
      </c>
      <c r="X1819" s="4">
        <f>IF(ISERROR(VLOOKUP($U$1819,'TAR FIN'!$A$1:$O$113,15,0)),0,VLOOKUP($U$1819,'TAR FIN'!$A$1:$O$113,15,0))</f>
        <v>234.24</v>
      </c>
      <c r="Y1819" s="4"/>
      <c r="Z1819" s="4">
        <f ca="1">('TUSD BE'!$AM$68+'TUSD BF'!$AM$68+'TUSD CVA'!$AM$68)*1</f>
        <v>411.14246090221764</v>
      </c>
      <c r="AA1819" s="4">
        <f>('TE BE'!$AA$47+'TE BF'!$AA$47+'TE CVA'!$AA$47)*1</f>
        <v>234.67932779241937</v>
      </c>
      <c r="AB1819" s="4">
        <f>$K$1819*$V$1819</f>
        <v>0</v>
      </c>
      <c r="AC1819" s="4">
        <f>$M$1819*$W$1819</f>
        <v>1955.3375999999998</v>
      </c>
      <c r="AD1819" s="4">
        <f>$O$1819*$X$1819</f>
        <v>1322.9875199999999</v>
      </c>
      <c r="AE1819" s="4">
        <f>$K$1819*$Y$1819</f>
        <v>0</v>
      </c>
      <c r="AF1819" s="4">
        <f ca="1">$M$1819*$Z$1819</f>
        <v>2322.1326191757253</v>
      </c>
      <c r="AG1819" s="4">
        <f>$O$1819*$AA$1819</f>
        <v>1325.4688433715846</v>
      </c>
    </row>
    <row r="1820" spans="1:33" ht="11.25" customHeight="1" x14ac:dyDescent="0.25">
      <c r="A1820" s="3" t="s">
        <v>21</v>
      </c>
      <c r="B1820" s="3" t="s">
        <v>37</v>
      </c>
      <c r="C1820" s="3" t="s">
        <v>23</v>
      </c>
      <c r="D1820" s="3" t="s">
        <v>46</v>
      </c>
      <c r="E1820" s="3" t="s">
        <v>25</v>
      </c>
      <c r="F1820" s="3" t="s">
        <v>25</v>
      </c>
      <c r="G1820" s="3" t="s">
        <v>25</v>
      </c>
      <c r="H1820" s="3" t="s">
        <v>25</v>
      </c>
      <c r="I1820" s="6">
        <v>44531</v>
      </c>
      <c r="J1820" s="4">
        <v>0</v>
      </c>
      <c r="K1820" s="4">
        <v>0</v>
      </c>
      <c r="L1820" s="4">
        <v>4347.5320000000002</v>
      </c>
      <c r="M1820" s="4">
        <v>4347.5320000000002</v>
      </c>
      <c r="N1820" s="4">
        <v>4347.5320000000002</v>
      </c>
      <c r="O1820" s="4">
        <v>4347.5320000000002</v>
      </c>
      <c r="P1820" s="4">
        <v>4965</v>
      </c>
      <c r="Q1820" s="3" t="s">
        <v>26</v>
      </c>
      <c r="R1820" s="3">
        <v>0</v>
      </c>
      <c r="S1820" s="4">
        <v>0</v>
      </c>
      <c r="T1820" s="4">
        <v>84</v>
      </c>
      <c r="U1820" s="4">
        <v>7</v>
      </c>
      <c r="V1820" s="4">
        <f>IF(ISERROR(VLOOKUP($S$1820,'TAR FIN'!$A$1:$O$113,15,0)),0,VLOOKUP($S$1820,'TAR FIN'!$A$1:$O$113,15,0))</f>
        <v>0</v>
      </c>
      <c r="W1820" s="4">
        <f>IF(ISERROR(VLOOKUP($T$1820,'TAR FIN'!$A$1:$O$113,15,0)),0,VLOOKUP($T$1820,'TAR FIN'!$A$1:$O$113,15,0))</f>
        <v>346.2</v>
      </c>
      <c r="X1820" s="4">
        <f>IF(ISERROR(VLOOKUP($U$1820,'TAR FIN'!$A$1:$O$113,15,0)),0,VLOOKUP($U$1820,'TAR FIN'!$A$1:$O$113,15,0))</f>
        <v>234.24</v>
      </c>
      <c r="Y1820" s="4"/>
      <c r="Z1820" s="4">
        <f ca="1">('TUSD BE'!$AM$68+'TUSD BF'!$AM$68+'TUSD CVA'!$AM$68)*1</f>
        <v>411.14246090221764</v>
      </c>
      <c r="AA1820" s="4">
        <f>('TE BE'!$AA$47+'TE BF'!$AA$47+'TE CVA'!$AA$47)*1</f>
        <v>234.67932779241937</v>
      </c>
      <c r="AB1820" s="4">
        <f>$K$1820*$V$1820</f>
        <v>0</v>
      </c>
      <c r="AC1820" s="4">
        <f>$M$1820*$W$1820</f>
        <v>1505115.5784</v>
      </c>
      <c r="AD1820" s="4">
        <f>$O$1820*$X$1820</f>
        <v>1018365.8956800001</v>
      </c>
      <c r="AE1820" s="4">
        <f>$K$1820*$Y$1820</f>
        <v>0</v>
      </c>
      <c r="AF1820" s="4">
        <f ca="1">$M$1820*$Z$1820</f>
        <v>1787455.00533114</v>
      </c>
      <c r="AG1820" s="4">
        <f>$O$1820*$AA$1820</f>
        <v>1020275.8873160327</v>
      </c>
    </row>
    <row r="1821" spans="1:33" ht="11.25" customHeight="1" x14ac:dyDescent="0.25">
      <c r="A1821" s="3" t="s">
        <v>27</v>
      </c>
      <c r="B1821" s="3" t="s">
        <v>37</v>
      </c>
      <c r="C1821" s="3" t="s">
        <v>23</v>
      </c>
      <c r="D1821" s="3" t="s">
        <v>46</v>
      </c>
      <c r="E1821" s="3" t="s">
        <v>25</v>
      </c>
      <c r="F1821" s="3" t="s">
        <v>25</v>
      </c>
      <c r="G1821" s="3" t="s">
        <v>25</v>
      </c>
      <c r="H1821" s="3" t="s">
        <v>25</v>
      </c>
      <c r="I1821" s="6">
        <v>44531</v>
      </c>
      <c r="J1821" s="4">
        <v>0</v>
      </c>
      <c r="K1821" s="4">
        <v>0</v>
      </c>
      <c r="L1821" s="4">
        <v>-64.213999999999999</v>
      </c>
      <c r="M1821" s="4">
        <v>-64.213999999999999</v>
      </c>
      <c r="N1821" s="4">
        <v>-64.213999999999999</v>
      </c>
      <c r="O1821" s="4">
        <v>-64.213999999999999</v>
      </c>
      <c r="P1821" s="4">
        <v>-5</v>
      </c>
      <c r="Q1821" s="3" t="s">
        <v>26</v>
      </c>
      <c r="R1821" s="3">
        <v>0</v>
      </c>
      <c r="S1821" s="4">
        <v>0</v>
      </c>
      <c r="T1821" s="4">
        <v>84</v>
      </c>
      <c r="U1821" s="4">
        <v>7</v>
      </c>
      <c r="V1821" s="4">
        <f>IF(ISERROR(VLOOKUP($S$1821,'TAR FIN'!$A$1:$O$113,15,0)),0,VLOOKUP($S$1821,'TAR FIN'!$A$1:$O$113,15,0))</f>
        <v>0</v>
      </c>
      <c r="W1821" s="4">
        <f>IF(ISERROR(VLOOKUP($T$1821,'TAR FIN'!$A$1:$O$113,15,0)),0,VLOOKUP($T$1821,'TAR FIN'!$A$1:$O$113,15,0))</f>
        <v>346.2</v>
      </c>
      <c r="X1821" s="4">
        <f>IF(ISERROR(VLOOKUP($U$1821,'TAR FIN'!$A$1:$O$113,15,0)),0,VLOOKUP($U$1821,'TAR FIN'!$A$1:$O$113,15,0))</f>
        <v>234.24</v>
      </c>
      <c r="Y1821" s="4"/>
      <c r="Z1821" s="4">
        <f ca="1">('TUSD BE'!$AM$68+'TUSD BF'!$AM$68+'TUSD CVA'!$AM$68)*1</f>
        <v>411.14246090221764</v>
      </c>
      <c r="AA1821" s="4">
        <f>('TE BE'!$AA$47+'TE BF'!$AA$47+'TE CVA'!$AA$47)*1</f>
        <v>234.67932779241937</v>
      </c>
      <c r="AB1821" s="4">
        <f>$K$1821*$V$1821</f>
        <v>0</v>
      </c>
      <c r="AC1821" s="4">
        <f>$M$1821*$W$1821</f>
        <v>-22230.8868</v>
      </c>
      <c r="AD1821" s="4">
        <f>$O$1821*$X$1821</f>
        <v>-15041.487360000001</v>
      </c>
      <c r="AE1821" s="4">
        <f>$K$1821*$Y$1821</f>
        <v>0</v>
      </c>
      <c r="AF1821" s="4">
        <f ca="1">$M$1821*$Z$1821</f>
        <v>-26401.101984375004</v>
      </c>
      <c r="AG1821" s="4">
        <f>$O$1821*$AA$1821</f>
        <v>-15069.698354862418</v>
      </c>
    </row>
    <row r="1822" spans="1:33" ht="11.25" customHeight="1" x14ac:dyDescent="0.25">
      <c r="A1822" s="3" t="s">
        <v>28</v>
      </c>
      <c r="B1822" s="3" t="s">
        <v>37</v>
      </c>
      <c r="C1822" s="3" t="s">
        <v>23</v>
      </c>
      <c r="D1822" s="3" t="s">
        <v>46</v>
      </c>
      <c r="E1822" s="3" t="s">
        <v>25</v>
      </c>
      <c r="F1822" s="3" t="s">
        <v>25</v>
      </c>
      <c r="G1822" s="3" t="s">
        <v>25</v>
      </c>
      <c r="H1822" s="3" t="s">
        <v>25</v>
      </c>
      <c r="I1822" s="6">
        <v>44531</v>
      </c>
      <c r="J1822" s="4">
        <v>0</v>
      </c>
      <c r="K1822" s="4">
        <v>0</v>
      </c>
      <c r="L1822" s="4">
        <v>5.9720000000000004</v>
      </c>
      <c r="M1822" s="4">
        <v>5.9720000000000004</v>
      </c>
      <c r="N1822" s="4">
        <v>5.9720000000000004</v>
      </c>
      <c r="O1822" s="4">
        <v>5.9720000000000004</v>
      </c>
      <c r="P1822" s="4">
        <v>15</v>
      </c>
      <c r="Q1822" s="3" t="s">
        <v>26</v>
      </c>
      <c r="R1822" s="3">
        <v>0</v>
      </c>
      <c r="S1822" s="4">
        <v>0</v>
      </c>
      <c r="T1822" s="4">
        <v>84</v>
      </c>
      <c r="U1822" s="4">
        <v>7</v>
      </c>
      <c r="V1822" s="4">
        <f>IF(ISERROR(VLOOKUP($S$1822,'TAR FIN'!$A$1:$O$113,15,0)),0,VLOOKUP($S$1822,'TAR FIN'!$A$1:$O$113,15,0))</f>
        <v>0</v>
      </c>
      <c r="W1822" s="4">
        <f>IF(ISERROR(VLOOKUP($T$1822,'TAR FIN'!$A$1:$O$113,15,0)),0,VLOOKUP($T$1822,'TAR FIN'!$A$1:$O$113,15,0))</f>
        <v>346.2</v>
      </c>
      <c r="X1822" s="4">
        <f>IF(ISERROR(VLOOKUP($U$1822,'TAR FIN'!$A$1:$O$113,15,0)),0,VLOOKUP($U$1822,'TAR FIN'!$A$1:$O$113,15,0))</f>
        <v>234.24</v>
      </c>
      <c r="Y1822" s="4"/>
      <c r="Z1822" s="4">
        <f ca="1">('TUSD BE'!$AM$68+'TUSD BF'!$AM$68+'TUSD CVA'!$AM$68)*1</f>
        <v>411.14246090221764</v>
      </c>
      <c r="AA1822" s="4">
        <f>('TE BE'!$AA$47+'TE BF'!$AA$47+'TE CVA'!$AA$47)*1</f>
        <v>234.67932779241937</v>
      </c>
      <c r="AB1822" s="4">
        <f>$K$1822*$V$1822</f>
        <v>0</v>
      </c>
      <c r="AC1822" s="4">
        <f>$M$1822*$W$1822</f>
        <v>2067.5064000000002</v>
      </c>
      <c r="AD1822" s="4">
        <f>$O$1822*$X$1822</f>
        <v>1398.8812800000001</v>
      </c>
      <c r="AE1822" s="4">
        <f>$K$1822*$Y$1822</f>
        <v>0</v>
      </c>
      <c r="AF1822" s="4">
        <f ca="1">$M$1822*$Z$1822</f>
        <v>2455.3427765080437</v>
      </c>
      <c r="AG1822" s="4">
        <f>$O$1822*$AA$1822</f>
        <v>1401.5049455763285</v>
      </c>
    </row>
    <row r="1823" spans="1:33" ht="11.25" customHeight="1" x14ac:dyDescent="0.25">
      <c r="A1823" s="3" t="s">
        <v>21</v>
      </c>
      <c r="B1823" s="3" t="s">
        <v>37</v>
      </c>
      <c r="C1823" s="3" t="s">
        <v>23</v>
      </c>
      <c r="D1823" s="3" t="s">
        <v>46</v>
      </c>
      <c r="E1823" s="3" t="s">
        <v>25</v>
      </c>
      <c r="F1823" s="3" t="s">
        <v>25</v>
      </c>
      <c r="G1823" s="3" t="s">
        <v>25</v>
      </c>
      <c r="H1823" s="3" t="s">
        <v>25</v>
      </c>
      <c r="I1823" s="6">
        <v>44562</v>
      </c>
      <c r="J1823" s="4">
        <v>0</v>
      </c>
      <c r="K1823" s="4">
        <v>0</v>
      </c>
      <c r="L1823" s="4">
        <v>3783.2919999999999</v>
      </c>
      <c r="M1823" s="4">
        <v>3783.2919999999999</v>
      </c>
      <c r="N1823" s="4">
        <v>3783.2919999999999</v>
      </c>
      <c r="O1823" s="4">
        <v>3783.2919999999999</v>
      </c>
      <c r="P1823" s="4">
        <v>4948</v>
      </c>
      <c r="Q1823" s="3" t="s">
        <v>26</v>
      </c>
      <c r="R1823" s="3">
        <v>0</v>
      </c>
      <c r="S1823" s="4">
        <v>0</v>
      </c>
      <c r="T1823" s="4">
        <v>84</v>
      </c>
      <c r="U1823" s="4">
        <v>7</v>
      </c>
      <c r="V1823" s="4">
        <f>IF(ISERROR(VLOOKUP($S$1823,'TAR FIN'!$A$1:$O$113,15,0)),0,VLOOKUP($S$1823,'TAR FIN'!$A$1:$O$113,15,0))</f>
        <v>0</v>
      </c>
      <c r="W1823" s="4">
        <f>IF(ISERROR(VLOOKUP($T$1823,'TAR FIN'!$A$1:$O$113,15,0)),0,VLOOKUP($T$1823,'TAR FIN'!$A$1:$O$113,15,0))</f>
        <v>346.2</v>
      </c>
      <c r="X1823" s="4">
        <f>IF(ISERROR(VLOOKUP($U$1823,'TAR FIN'!$A$1:$O$113,15,0)),0,VLOOKUP($U$1823,'TAR FIN'!$A$1:$O$113,15,0))</f>
        <v>234.24</v>
      </c>
      <c r="Y1823" s="4"/>
      <c r="Z1823" s="4">
        <f ca="1">('TUSD BE'!$AM$68+'TUSD BF'!$AM$68+'TUSD CVA'!$AM$68)*1</f>
        <v>411.14246090221764</v>
      </c>
      <c r="AA1823" s="4">
        <f>('TE BE'!$AA$47+'TE BF'!$AA$47+'TE CVA'!$AA$47)*1</f>
        <v>234.67932779241937</v>
      </c>
      <c r="AB1823" s="4">
        <f>$K$1823*$V$1823</f>
        <v>0</v>
      </c>
      <c r="AC1823" s="4">
        <f>$M$1823*$W$1823</f>
        <v>1309775.6904</v>
      </c>
      <c r="AD1823" s="4">
        <f>$O$1823*$X$1823</f>
        <v>886198.31808</v>
      </c>
      <c r="AE1823" s="4">
        <f>$K$1823*$Y$1823</f>
        <v>0</v>
      </c>
      <c r="AF1823" s="4">
        <f ca="1">$M$1823*$Z$1823</f>
        <v>1555471.9831916727</v>
      </c>
      <c r="AG1823" s="4">
        <f>$O$1823*$AA$1823</f>
        <v>887860.42340243782</v>
      </c>
    </row>
    <row r="1824" spans="1:33" ht="11.25" customHeight="1" x14ac:dyDescent="0.25">
      <c r="A1824" s="3" t="s">
        <v>27</v>
      </c>
      <c r="B1824" s="3" t="s">
        <v>37</v>
      </c>
      <c r="C1824" s="3" t="s">
        <v>23</v>
      </c>
      <c r="D1824" s="3" t="s">
        <v>46</v>
      </c>
      <c r="E1824" s="3" t="s">
        <v>25</v>
      </c>
      <c r="F1824" s="3" t="s">
        <v>25</v>
      </c>
      <c r="G1824" s="3" t="s">
        <v>25</v>
      </c>
      <c r="H1824" s="3" t="s">
        <v>25</v>
      </c>
      <c r="I1824" s="6">
        <v>44562</v>
      </c>
      <c r="J1824" s="4">
        <v>0</v>
      </c>
      <c r="K1824" s="4">
        <v>0</v>
      </c>
      <c r="L1824" s="4">
        <v>-9.09</v>
      </c>
      <c r="M1824" s="4">
        <v>-9.09</v>
      </c>
      <c r="N1824" s="4">
        <v>-9.09</v>
      </c>
      <c r="O1824" s="4">
        <v>-9.09</v>
      </c>
      <c r="P1824" s="4">
        <v>-7</v>
      </c>
      <c r="Q1824" s="3" t="s">
        <v>26</v>
      </c>
      <c r="R1824" s="3">
        <v>0</v>
      </c>
      <c r="S1824" s="4">
        <v>0</v>
      </c>
      <c r="T1824" s="4">
        <v>84</v>
      </c>
      <c r="U1824" s="4">
        <v>7</v>
      </c>
      <c r="V1824" s="4">
        <f>IF(ISERROR(VLOOKUP($S$1824,'TAR FIN'!$A$1:$O$113,15,0)),0,VLOOKUP($S$1824,'TAR FIN'!$A$1:$O$113,15,0))</f>
        <v>0</v>
      </c>
      <c r="W1824" s="4">
        <f>IF(ISERROR(VLOOKUP($T$1824,'TAR FIN'!$A$1:$O$113,15,0)),0,VLOOKUP($T$1824,'TAR FIN'!$A$1:$O$113,15,0))</f>
        <v>346.2</v>
      </c>
      <c r="X1824" s="4">
        <f>IF(ISERROR(VLOOKUP($U$1824,'TAR FIN'!$A$1:$O$113,15,0)),0,VLOOKUP($U$1824,'TAR FIN'!$A$1:$O$113,15,0))</f>
        <v>234.24</v>
      </c>
      <c r="Y1824" s="4"/>
      <c r="Z1824" s="4">
        <f ca="1">('TUSD BE'!$AM$68+'TUSD BF'!$AM$68+'TUSD CVA'!$AM$68)*1</f>
        <v>411.14246090221764</v>
      </c>
      <c r="AA1824" s="4">
        <f>('TE BE'!$AA$47+'TE BF'!$AA$47+'TE CVA'!$AA$47)*1</f>
        <v>234.67932779241937</v>
      </c>
      <c r="AB1824" s="4">
        <f>$K$1824*$V$1824</f>
        <v>0</v>
      </c>
      <c r="AC1824" s="4">
        <f>$M$1824*$W$1824</f>
        <v>-3146.9579999999996</v>
      </c>
      <c r="AD1824" s="4">
        <f>$O$1824*$X$1824</f>
        <v>-2129.2415999999998</v>
      </c>
      <c r="AE1824" s="4">
        <f>$K$1824*$Y$1824</f>
        <v>0</v>
      </c>
      <c r="AF1824" s="4">
        <f ca="1">$M$1824*$Z$1824</f>
        <v>-3737.2849696011581</v>
      </c>
      <c r="AG1824" s="4">
        <f>$O$1824*$AA$1824</f>
        <v>-2133.2350896330922</v>
      </c>
    </row>
    <row r="1825" spans="1:33" ht="11.25" customHeight="1" x14ac:dyDescent="0.25">
      <c r="A1825" s="3" t="s">
        <v>28</v>
      </c>
      <c r="B1825" s="3" t="s">
        <v>37</v>
      </c>
      <c r="C1825" s="3" t="s">
        <v>23</v>
      </c>
      <c r="D1825" s="3" t="s">
        <v>46</v>
      </c>
      <c r="E1825" s="3" t="s">
        <v>25</v>
      </c>
      <c r="F1825" s="3" t="s">
        <v>25</v>
      </c>
      <c r="G1825" s="3" t="s">
        <v>25</v>
      </c>
      <c r="H1825" s="3" t="s">
        <v>25</v>
      </c>
      <c r="I1825" s="6">
        <v>44562</v>
      </c>
      <c r="J1825" s="4">
        <v>0</v>
      </c>
      <c r="K1825" s="4">
        <v>0</v>
      </c>
      <c r="L1825" s="4">
        <v>5.0510000000000002</v>
      </c>
      <c r="M1825" s="4">
        <v>5.0510000000000002</v>
      </c>
      <c r="N1825" s="4">
        <v>5.0510000000000002</v>
      </c>
      <c r="O1825" s="4">
        <v>5.0510000000000002</v>
      </c>
      <c r="P1825" s="4">
        <v>15</v>
      </c>
      <c r="Q1825" s="3" t="s">
        <v>26</v>
      </c>
      <c r="R1825" s="3">
        <v>0</v>
      </c>
      <c r="S1825" s="4">
        <v>0</v>
      </c>
      <c r="T1825" s="4">
        <v>84</v>
      </c>
      <c r="U1825" s="4">
        <v>7</v>
      </c>
      <c r="V1825" s="4">
        <f>IF(ISERROR(VLOOKUP($S$1825,'TAR FIN'!$A$1:$O$113,15,0)),0,VLOOKUP($S$1825,'TAR FIN'!$A$1:$O$113,15,0))</f>
        <v>0</v>
      </c>
      <c r="W1825" s="4">
        <f>IF(ISERROR(VLOOKUP($T$1825,'TAR FIN'!$A$1:$O$113,15,0)),0,VLOOKUP($T$1825,'TAR FIN'!$A$1:$O$113,15,0))</f>
        <v>346.2</v>
      </c>
      <c r="X1825" s="4">
        <f>IF(ISERROR(VLOOKUP($U$1825,'TAR FIN'!$A$1:$O$113,15,0)),0,VLOOKUP($U$1825,'TAR FIN'!$A$1:$O$113,15,0))</f>
        <v>234.24</v>
      </c>
      <c r="Y1825" s="4"/>
      <c r="Z1825" s="4">
        <f ca="1">('TUSD BE'!$AM$68+'TUSD BF'!$AM$68+'TUSD CVA'!$AM$68)*1</f>
        <v>411.14246090221764</v>
      </c>
      <c r="AA1825" s="4">
        <f>('TE BE'!$AA$47+'TE BF'!$AA$47+'TE CVA'!$AA$47)*1</f>
        <v>234.67932779241937</v>
      </c>
      <c r="AB1825" s="4">
        <f>$K$1825*$V$1825</f>
        <v>0</v>
      </c>
      <c r="AC1825" s="4">
        <f>$M$1825*$W$1825</f>
        <v>1748.6561999999999</v>
      </c>
      <c r="AD1825" s="4">
        <f>$O$1825*$X$1825</f>
        <v>1183.14624</v>
      </c>
      <c r="AE1825" s="4">
        <f>$K$1825*$Y$1825</f>
        <v>0</v>
      </c>
      <c r="AF1825" s="4">
        <f ca="1">$M$1825*$Z$1825</f>
        <v>2076.6805700171012</v>
      </c>
      <c r="AG1825" s="4">
        <f>$O$1825*$AA$1825</f>
        <v>1185.3652846795103</v>
      </c>
    </row>
    <row r="1826" spans="1:33" ht="11.25" customHeight="1" x14ac:dyDescent="0.25">
      <c r="A1826" s="3" t="s">
        <v>21</v>
      </c>
      <c r="B1826" s="3" t="s">
        <v>37</v>
      </c>
      <c r="C1826" s="3" t="s">
        <v>23</v>
      </c>
      <c r="D1826" s="3" t="s">
        <v>46</v>
      </c>
      <c r="E1826" s="3" t="s">
        <v>25</v>
      </c>
      <c r="F1826" s="3" t="s">
        <v>25</v>
      </c>
      <c r="G1826" s="3" t="s">
        <v>25</v>
      </c>
      <c r="H1826" s="3" t="s">
        <v>25</v>
      </c>
      <c r="I1826" s="6">
        <v>44593</v>
      </c>
      <c r="J1826" s="4">
        <v>0</v>
      </c>
      <c r="K1826" s="4">
        <v>0</v>
      </c>
      <c r="L1826" s="4">
        <v>3837.9850000000001</v>
      </c>
      <c r="M1826" s="4">
        <v>3837.9850000000001</v>
      </c>
      <c r="N1826" s="4">
        <v>3837.9850000000001</v>
      </c>
      <c r="O1826" s="4">
        <v>3837.9850000000001</v>
      </c>
      <c r="P1826" s="4">
        <v>4930</v>
      </c>
      <c r="Q1826" s="3" t="s">
        <v>26</v>
      </c>
      <c r="R1826" s="3">
        <v>0</v>
      </c>
      <c r="S1826" s="4">
        <v>0</v>
      </c>
      <c r="T1826" s="4">
        <v>84</v>
      </c>
      <c r="U1826" s="4">
        <v>7</v>
      </c>
      <c r="V1826" s="4">
        <f>IF(ISERROR(VLOOKUP($S$1826,'TAR FIN'!$A$1:$O$113,15,0)),0,VLOOKUP($S$1826,'TAR FIN'!$A$1:$O$113,15,0))</f>
        <v>0</v>
      </c>
      <c r="W1826" s="4">
        <f>IF(ISERROR(VLOOKUP($T$1826,'TAR FIN'!$A$1:$O$113,15,0)),0,VLOOKUP($T$1826,'TAR FIN'!$A$1:$O$113,15,0))</f>
        <v>346.2</v>
      </c>
      <c r="X1826" s="4">
        <f>IF(ISERROR(VLOOKUP($U$1826,'TAR FIN'!$A$1:$O$113,15,0)),0,VLOOKUP($U$1826,'TAR FIN'!$A$1:$O$113,15,0))</f>
        <v>234.24</v>
      </c>
      <c r="Y1826" s="4"/>
      <c r="Z1826" s="4">
        <f ca="1">('TUSD BE'!$AM$68+'TUSD BF'!$AM$68+'TUSD CVA'!$AM$68)*1</f>
        <v>411.14246090221764</v>
      </c>
      <c r="AA1826" s="4">
        <f>('TE BE'!$AA$47+'TE BF'!$AA$47+'TE CVA'!$AA$47)*1</f>
        <v>234.67932779241937</v>
      </c>
      <c r="AB1826" s="4">
        <f>$K$1826*$V$1826</f>
        <v>0</v>
      </c>
      <c r="AC1826" s="4">
        <f>$M$1826*$W$1826</f>
        <v>1328710.4069999999</v>
      </c>
      <c r="AD1826" s="4">
        <f>$O$1826*$X$1826</f>
        <v>899009.60640000005</v>
      </c>
      <c r="AE1826" s="4">
        <f>$K$1826*$Y$1826</f>
        <v>0</v>
      </c>
      <c r="AF1826" s="4">
        <f ca="1">$M$1826*$Z$1826</f>
        <v>1577958.5978057978</v>
      </c>
      <c r="AG1826" s="4">
        <f>$O$1826*$AA$1826</f>
        <v>900695.7398773887</v>
      </c>
    </row>
    <row r="1827" spans="1:33" ht="11.25" customHeight="1" x14ac:dyDescent="0.25">
      <c r="A1827" s="3" t="s">
        <v>28</v>
      </c>
      <c r="B1827" s="3" t="s">
        <v>37</v>
      </c>
      <c r="C1827" s="3" t="s">
        <v>23</v>
      </c>
      <c r="D1827" s="3" t="s">
        <v>46</v>
      </c>
      <c r="E1827" s="3" t="s">
        <v>25</v>
      </c>
      <c r="F1827" s="3" t="s">
        <v>25</v>
      </c>
      <c r="G1827" s="3" t="s">
        <v>25</v>
      </c>
      <c r="H1827" s="3" t="s">
        <v>25</v>
      </c>
      <c r="I1827" s="6">
        <v>44593</v>
      </c>
      <c r="J1827" s="4">
        <v>0</v>
      </c>
      <c r="K1827" s="4">
        <v>0</v>
      </c>
      <c r="L1827" s="4">
        <v>6.5780000000000003</v>
      </c>
      <c r="M1827" s="4">
        <v>6.5780000000000003</v>
      </c>
      <c r="N1827" s="4">
        <v>6.5780000000000003</v>
      </c>
      <c r="O1827" s="4">
        <v>6.5780000000000003</v>
      </c>
      <c r="P1827" s="4">
        <v>16</v>
      </c>
      <c r="Q1827" s="3" t="s">
        <v>26</v>
      </c>
      <c r="R1827" s="3">
        <v>0</v>
      </c>
      <c r="S1827" s="4">
        <v>0</v>
      </c>
      <c r="T1827" s="4">
        <v>84</v>
      </c>
      <c r="U1827" s="4">
        <v>7</v>
      </c>
      <c r="V1827" s="4">
        <f>IF(ISERROR(VLOOKUP($S$1827,'TAR FIN'!$A$1:$O$113,15,0)),0,VLOOKUP($S$1827,'TAR FIN'!$A$1:$O$113,15,0))</f>
        <v>0</v>
      </c>
      <c r="W1827" s="4">
        <f>IF(ISERROR(VLOOKUP($T$1827,'TAR FIN'!$A$1:$O$113,15,0)),0,VLOOKUP($T$1827,'TAR FIN'!$A$1:$O$113,15,0))</f>
        <v>346.2</v>
      </c>
      <c r="X1827" s="4">
        <f>IF(ISERROR(VLOOKUP($U$1827,'TAR FIN'!$A$1:$O$113,15,0)),0,VLOOKUP($U$1827,'TAR FIN'!$A$1:$O$113,15,0))</f>
        <v>234.24</v>
      </c>
      <c r="Y1827" s="4"/>
      <c r="Z1827" s="4">
        <f ca="1">('TUSD BE'!$AM$68+'TUSD BF'!$AM$68+'TUSD CVA'!$AM$68)*1</f>
        <v>411.14246090221764</v>
      </c>
      <c r="AA1827" s="4">
        <f>('TE BE'!$AA$47+'TE BF'!$AA$47+'TE CVA'!$AA$47)*1</f>
        <v>234.67932779241937</v>
      </c>
      <c r="AB1827" s="4">
        <f>$K$1827*$V$1827</f>
        <v>0</v>
      </c>
      <c r="AC1827" s="4">
        <f>$M$1827*$W$1827</f>
        <v>2277.3036000000002</v>
      </c>
      <c r="AD1827" s="4">
        <f>$O$1827*$X$1827</f>
        <v>1540.8307200000002</v>
      </c>
      <c r="AE1827" s="4">
        <f>$K$1827*$Y$1827</f>
        <v>0</v>
      </c>
      <c r="AF1827" s="4">
        <f ca="1">$M$1827*$Z$1827</f>
        <v>2704.4951078147878</v>
      </c>
      <c r="AG1827" s="4">
        <f>$O$1827*$AA$1827</f>
        <v>1543.7206182185346</v>
      </c>
    </row>
    <row r="1828" spans="1:33" ht="11.25" customHeight="1" x14ac:dyDescent="0.25">
      <c r="A1828" s="3" t="s">
        <v>56</v>
      </c>
      <c r="B1828" s="3" t="s">
        <v>37</v>
      </c>
      <c r="C1828" s="3" t="s">
        <v>23</v>
      </c>
      <c r="D1828" s="3" t="s">
        <v>46</v>
      </c>
      <c r="E1828" s="3" t="s">
        <v>25</v>
      </c>
      <c r="F1828" s="3" t="s">
        <v>25</v>
      </c>
      <c r="G1828" s="3" t="s">
        <v>25</v>
      </c>
      <c r="H1828" s="3" t="s">
        <v>25</v>
      </c>
      <c r="I1828" s="6">
        <v>44621</v>
      </c>
      <c r="J1828" s="4">
        <v>0</v>
      </c>
      <c r="K1828" s="4">
        <v>0</v>
      </c>
      <c r="L1828" s="4">
        <v>3837.9850000000001</v>
      </c>
      <c r="M1828" s="4">
        <v>3837.9850000000001</v>
      </c>
      <c r="N1828" s="4">
        <v>3837.9850000000001</v>
      </c>
      <c r="O1828" s="4">
        <v>3837.9850000000001</v>
      </c>
      <c r="P1828" s="4">
        <v>4930</v>
      </c>
      <c r="Q1828" s="3" t="s">
        <v>26</v>
      </c>
      <c r="R1828" s="3">
        <v>0</v>
      </c>
      <c r="S1828" s="4">
        <v>0</v>
      </c>
      <c r="T1828" s="4">
        <v>84</v>
      </c>
      <c r="U1828" s="4">
        <v>7</v>
      </c>
      <c r="V1828" s="4">
        <f>IF(ISERROR(VLOOKUP($S$1828,'TAR FIN'!$A$1:$O$113,15,0)),0,VLOOKUP($S$1828,'TAR FIN'!$A$1:$O$113,15,0))</f>
        <v>0</v>
      </c>
      <c r="W1828" s="4">
        <f>IF(ISERROR(VLOOKUP($T$1828,'TAR FIN'!$A$1:$O$113,15,0)),0,VLOOKUP($T$1828,'TAR FIN'!$A$1:$O$113,15,0))</f>
        <v>346.2</v>
      </c>
      <c r="X1828" s="4">
        <f>IF(ISERROR(VLOOKUP($U$1828,'TAR FIN'!$A$1:$O$113,15,0)),0,VLOOKUP($U$1828,'TAR FIN'!$A$1:$O$113,15,0))</f>
        <v>234.24</v>
      </c>
      <c r="Y1828" s="4"/>
      <c r="Z1828" s="4">
        <f ca="1">('TUSD BE'!$AM$68+'TUSD BF'!$AM$68+'TUSD CVA'!$AM$68)*1</f>
        <v>411.14246090221764</v>
      </c>
      <c r="AA1828" s="4">
        <f>('TE BE'!$AA$47+'TE BF'!$AA$47+'TE CVA'!$AA$47)*1</f>
        <v>234.67932779241937</v>
      </c>
      <c r="AB1828" s="4">
        <f>$K$1828*$V$1828</f>
        <v>0</v>
      </c>
      <c r="AC1828" s="4">
        <f>$M$1828*$W$1828</f>
        <v>1328710.4069999999</v>
      </c>
      <c r="AD1828" s="4">
        <f>$O$1828*$X$1828</f>
        <v>899009.60640000005</v>
      </c>
      <c r="AE1828" s="4">
        <f>$K$1828*$Y$1828</f>
        <v>0</v>
      </c>
      <c r="AF1828" s="4">
        <f ca="1">$M$1828*$Z$1828</f>
        <v>1577958.5978057978</v>
      </c>
      <c r="AG1828" s="4">
        <f>$O$1828*$AA$1828</f>
        <v>900695.7398773887</v>
      </c>
    </row>
    <row r="1829" spans="1:33" ht="11.25" customHeight="1" x14ac:dyDescent="0.25">
      <c r="A1829" s="3" t="s">
        <v>56</v>
      </c>
      <c r="B1829" s="3" t="s">
        <v>37</v>
      </c>
      <c r="C1829" s="3" t="s">
        <v>23</v>
      </c>
      <c r="D1829" s="3" t="s">
        <v>46</v>
      </c>
      <c r="E1829" s="3" t="s">
        <v>25</v>
      </c>
      <c r="F1829" s="3" t="s">
        <v>25</v>
      </c>
      <c r="G1829" s="3" t="s">
        <v>25</v>
      </c>
      <c r="H1829" s="3" t="s">
        <v>25</v>
      </c>
      <c r="I1829" s="6">
        <v>44621</v>
      </c>
      <c r="J1829" s="4">
        <v>0</v>
      </c>
      <c r="K1829" s="4">
        <v>0</v>
      </c>
      <c r="L1829" s="4">
        <v>6.5780000000000003</v>
      </c>
      <c r="M1829" s="4">
        <v>6.5780000000000003</v>
      </c>
      <c r="N1829" s="4">
        <v>6.5780000000000003</v>
      </c>
      <c r="O1829" s="4">
        <v>6.5780000000000003</v>
      </c>
      <c r="P1829" s="4">
        <v>16</v>
      </c>
      <c r="Q1829" s="3" t="s">
        <v>26</v>
      </c>
      <c r="R1829" s="3">
        <v>0</v>
      </c>
      <c r="S1829" s="4">
        <v>0</v>
      </c>
      <c r="T1829" s="4">
        <v>84</v>
      </c>
      <c r="U1829" s="4">
        <v>7</v>
      </c>
      <c r="V1829" s="4">
        <f>IF(ISERROR(VLOOKUP($S$1829,'TAR FIN'!$A$1:$O$113,15,0)),0,VLOOKUP($S$1829,'TAR FIN'!$A$1:$O$113,15,0))</f>
        <v>0</v>
      </c>
      <c r="W1829" s="4">
        <f>IF(ISERROR(VLOOKUP($T$1829,'TAR FIN'!$A$1:$O$113,15,0)),0,VLOOKUP($T$1829,'TAR FIN'!$A$1:$O$113,15,0))</f>
        <v>346.2</v>
      </c>
      <c r="X1829" s="4">
        <f>IF(ISERROR(VLOOKUP($U$1829,'TAR FIN'!$A$1:$O$113,15,0)),0,VLOOKUP($U$1829,'TAR FIN'!$A$1:$O$113,15,0))</f>
        <v>234.24</v>
      </c>
      <c r="Y1829" s="4"/>
      <c r="Z1829" s="4">
        <f ca="1">('TUSD BE'!$AM$68+'TUSD BF'!$AM$68+'TUSD CVA'!$AM$68)*1</f>
        <v>411.14246090221764</v>
      </c>
      <c r="AA1829" s="4">
        <f>('TE BE'!$AA$47+'TE BF'!$AA$47+'TE CVA'!$AA$47)*1</f>
        <v>234.67932779241937</v>
      </c>
      <c r="AB1829" s="4">
        <f>$K$1829*$V$1829</f>
        <v>0</v>
      </c>
      <c r="AC1829" s="4">
        <f>$M$1829*$W$1829</f>
        <v>2277.3036000000002</v>
      </c>
      <c r="AD1829" s="4">
        <f>$O$1829*$X$1829</f>
        <v>1540.8307200000002</v>
      </c>
      <c r="AE1829" s="4">
        <f>$K$1829*$Y$1829</f>
        <v>0</v>
      </c>
      <c r="AF1829" s="4">
        <f ca="1">$M$1829*$Z$1829</f>
        <v>2704.4951078147878</v>
      </c>
      <c r="AG1829" s="4">
        <f>$O$1829*$AA$1829</f>
        <v>1543.7206182185346</v>
      </c>
    </row>
    <row r="1830" spans="1:33" ht="11.25" customHeight="1" x14ac:dyDescent="0.25">
      <c r="A1830" s="3" t="s">
        <v>21</v>
      </c>
      <c r="B1830" s="3" t="s">
        <v>37</v>
      </c>
      <c r="C1830" s="3" t="s">
        <v>23</v>
      </c>
      <c r="D1830" s="3" t="s">
        <v>50</v>
      </c>
      <c r="E1830" s="3" t="s">
        <v>51</v>
      </c>
      <c r="F1830" s="3" t="s">
        <v>25</v>
      </c>
      <c r="G1830" s="3" t="s">
        <v>25</v>
      </c>
      <c r="H1830" s="3" t="s">
        <v>25</v>
      </c>
      <c r="I1830" s="6">
        <v>44287</v>
      </c>
      <c r="J1830" s="4">
        <v>0</v>
      </c>
      <c r="K1830" s="56">
        <v>0</v>
      </c>
      <c r="L1830" s="4">
        <v>2222.6619999999998</v>
      </c>
      <c r="M1830" s="56">
        <v>2222.6619999999998</v>
      </c>
      <c r="N1830" s="4">
        <v>2222.6619999999998</v>
      </c>
      <c r="O1830" s="56">
        <v>2222.6619999999998</v>
      </c>
      <c r="P1830" s="4">
        <v>1381</v>
      </c>
      <c r="Q1830" s="3" t="s">
        <v>26</v>
      </c>
      <c r="R1830" s="3">
        <v>0</v>
      </c>
      <c r="S1830" s="4">
        <v>0</v>
      </c>
      <c r="T1830" s="4">
        <v>84</v>
      </c>
      <c r="U1830" s="4">
        <v>7</v>
      </c>
      <c r="V1830" s="56">
        <f>IF(ISERROR(VLOOKUP($S$1830,'TAR FIN'!$A$1:$O$113,15,0)),0,VLOOKUP($S$1830,'TAR FIN'!$A$1:$O$113,15,0))</f>
        <v>0</v>
      </c>
      <c r="W1830" s="56">
        <f>IF(ISERROR(VLOOKUP($T$1830,'TAR FIN'!$A$1:$O$113,15,0)),0,VLOOKUP($T$1830,'TAR FIN'!$A$1:$O$113,15,0))*(1-0.06)</f>
        <v>325.428</v>
      </c>
      <c r="X1830" s="56">
        <f>IF(ISERROR(VLOOKUP($U$1830,'TAR FIN'!$A$1:$O$113,15,0)),0,VLOOKUP($U$1830,'TAR FIN'!$A$1:$O$113,15,0))*(1-0.06)</f>
        <v>220.18559999999999</v>
      </c>
      <c r="Y1830" s="56"/>
      <c r="Z1830" s="56">
        <f ca="1">('TUSD BE'!$AM$68+'TUSD BF'!$AM$68+'TUSD CVA'!$AM$68)*1*(1-0.03)</f>
        <v>398.80818707515107</v>
      </c>
      <c r="AA1830" s="56">
        <f>('TE BE'!$AA$47+'TE BF'!$AA$47+'TE CVA'!$AA$47)*1*(1-0.03)</f>
        <v>227.63894795864678</v>
      </c>
      <c r="AB1830" s="4">
        <f>$K$1830*$V$1830</f>
        <v>0</v>
      </c>
      <c r="AC1830" s="4">
        <f>$M$1830*$W$1830</f>
        <v>723316.4493359999</v>
      </c>
      <c r="AD1830" s="4">
        <f>$O$1830*$X$1830</f>
        <v>489398.16606719996</v>
      </c>
      <c r="AE1830" s="4">
        <f>$K$1830*$Y$1830</f>
        <v>0</v>
      </c>
      <c r="AF1830" s="4">
        <f ca="1">$M$1830*$Z$1830</f>
        <v>886415.80270082934</v>
      </c>
      <c r="AG1830" s="4">
        <f>$O$1830*$AA$1830</f>
        <v>505964.43934766174</v>
      </c>
    </row>
    <row r="1831" spans="1:33" ht="11.25" customHeight="1" x14ac:dyDescent="0.25">
      <c r="A1831" s="3" t="s">
        <v>21</v>
      </c>
      <c r="B1831" s="3" t="s">
        <v>37</v>
      </c>
      <c r="C1831" s="3" t="s">
        <v>23</v>
      </c>
      <c r="D1831" s="3" t="s">
        <v>50</v>
      </c>
      <c r="E1831" s="3" t="s">
        <v>51</v>
      </c>
      <c r="F1831" s="3" t="s">
        <v>25</v>
      </c>
      <c r="G1831" s="3" t="s">
        <v>25</v>
      </c>
      <c r="H1831" s="3" t="s">
        <v>25</v>
      </c>
      <c r="I1831" s="6">
        <v>44317</v>
      </c>
      <c r="J1831" s="4">
        <v>0</v>
      </c>
      <c r="K1831" s="56">
        <v>0</v>
      </c>
      <c r="L1831" s="4">
        <v>2071.386</v>
      </c>
      <c r="M1831" s="56">
        <v>2071.386</v>
      </c>
      <c r="N1831" s="4">
        <v>2071.386</v>
      </c>
      <c r="O1831" s="56">
        <v>2071.386</v>
      </c>
      <c r="P1831" s="4">
        <v>1384</v>
      </c>
      <c r="Q1831" s="3" t="s">
        <v>26</v>
      </c>
      <c r="R1831" s="3">
        <v>0</v>
      </c>
      <c r="S1831" s="4">
        <v>0</v>
      </c>
      <c r="T1831" s="4">
        <v>84</v>
      </c>
      <c r="U1831" s="4">
        <v>7</v>
      </c>
      <c r="V1831" s="56">
        <f>IF(ISERROR(VLOOKUP($S$1831,'TAR FIN'!$A$1:$O$113,15,0)),0,VLOOKUP($S$1831,'TAR FIN'!$A$1:$O$113,15,0))</f>
        <v>0</v>
      </c>
      <c r="W1831" s="56">
        <f>IF(ISERROR(VLOOKUP($T$1831,'TAR FIN'!$A$1:$O$113,15,0)),0,VLOOKUP($T$1831,'TAR FIN'!$A$1:$O$113,15,0))*(1-0.06)</f>
        <v>325.428</v>
      </c>
      <c r="X1831" s="56">
        <f>IF(ISERROR(VLOOKUP($U$1831,'TAR FIN'!$A$1:$O$113,15,0)),0,VLOOKUP($U$1831,'TAR FIN'!$A$1:$O$113,15,0))*(1-0.06)</f>
        <v>220.18559999999999</v>
      </c>
      <c r="Y1831" s="56"/>
      <c r="Z1831" s="56">
        <f ca="1">('TUSD BE'!$AM$68+'TUSD BF'!$AM$68+'TUSD CVA'!$AM$68)*1*(1-0.03)</f>
        <v>398.80818707515107</v>
      </c>
      <c r="AA1831" s="56">
        <f>('TE BE'!$AA$47+'TE BF'!$AA$47+'TE CVA'!$AA$47)*1*(1-0.03)</f>
        <v>227.63894795864678</v>
      </c>
      <c r="AB1831" s="4">
        <f>$K$1831*$V$1831</f>
        <v>0</v>
      </c>
      <c r="AC1831" s="4">
        <f>$M$1831*$W$1831</f>
        <v>674087.00320799998</v>
      </c>
      <c r="AD1831" s="4">
        <f>$O$1831*$X$1831</f>
        <v>456089.36924159998</v>
      </c>
      <c r="AE1831" s="4">
        <f>$K$1831*$Y$1831</f>
        <v>0</v>
      </c>
      <c r="AF1831" s="4">
        <f ca="1">$M$1831*$Z$1831</f>
        <v>826085.69539284881</v>
      </c>
      <c r="AG1831" s="4">
        <f>$O$1831*$AA$1831</f>
        <v>471528.12985626952</v>
      </c>
    </row>
    <row r="1832" spans="1:33" ht="11.25" customHeight="1" x14ac:dyDescent="0.25">
      <c r="A1832" s="3" t="s">
        <v>21</v>
      </c>
      <c r="B1832" s="3" t="s">
        <v>37</v>
      </c>
      <c r="C1832" s="3" t="s">
        <v>23</v>
      </c>
      <c r="D1832" s="3" t="s">
        <v>50</v>
      </c>
      <c r="E1832" s="3" t="s">
        <v>51</v>
      </c>
      <c r="F1832" s="3" t="s">
        <v>25</v>
      </c>
      <c r="G1832" s="3" t="s">
        <v>25</v>
      </c>
      <c r="H1832" s="3" t="s">
        <v>25</v>
      </c>
      <c r="I1832" s="6">
        <v>44348</v>
      </c>
      <c r="J1832" s="4">
        <v>0</v>
      </c>
      <c r="K1832" s="56">
        <v>0</v>
      </c>
      <c r="L1832" s="4">
        <v>2112.0059999999999</v>
      </c>
      <c r="M1832" s="56">
        <v>2112.0059999999999</v>
      </c>
      <c r="N1832" s="4">
        <v>2112.0059999999999</v>
      </c>
      <c r="O1832" s="56">
        <v>2112.0059999999999</v>
      </c>
      <c r="P1832" s="4">
        <v>1387</v>
      </c>
      <c r="Q1832" s="3" t="s">
        <v>26</v>
      </c>
      <c r="R1832" s="3">
        <v>0</v>
      </c>
      <c r="S1832" s="4">
        <v>0</v>
      </c>
      <c r="T1832" s="4">
        <v>84</v>
      </c>
      <c r="U1832" s="4">
        <v>7</v>
      </c>
      <c r="V1832" s="56">
        <f>IF(ISERROR(VLOOKUP($S$1832,'TAR FIN'!$A$1:$O$113,15,0)),0,VLOOKUP($S$1832,'TAR FIN'!$A$1:$O$113,15,0))</f>
        <v>0</v>
      </c>
      <c r="W1832" s="56">
        <f>IF(ISERROR(VLOOKUP($T$1832,'TAR FIN'!$A$1:$O$113,15,0)),0,VLOOKUP($T$1832,'TAR FIN'!$A$1:$O$113,15,0))*(1-0.06)</f>
        <v>325.428</v>
      </c>
      <c r="X1832" s="56">
        <f>IF(ISERROR(VLOOKUP($U$1832,'TAR FIN'!$A$1:$O$113,15,0)),0,VLOOKUP($U$1832,'TAR FIN'!$A$1:$O$113,15,0))*(1-0.06)</f>
        <v>220.18559999999999</v>
      </c>
      <c r="Y1832" s="56"/>
      <c r="Z1832" s="56">
        <f ca="1">('TUSD BE'!$AM$68+'TUSD BF'!$AM$68+'TUSD CVA'!$AM$68)*1*(1-0.03)</f>
        <v>398.80818707515107</v>
      </c>
      <c r="AA1832" s="56">
        <f>('TE BE'!$AA$47+'TE BF'!$AA$47+'TE CVA'!$AA$47)*1*(1-0.03)</f>
        <v>227.63894795864678</v>
      </c>
      <c r="AB1832" s="4">
        <f>$K$1832*$V$1832</f>
        <v>0</v>
      </c>
      <c r="AC1832" s="4">
        <f>$M$1832*$W$1832</f>
        <v>687305.88856799994</v>
      </c>
      <c r="AD1832" s="4">
        <f>$O$1832*$X$1832</f>
        <v>465033.30831359996</v>
      </c>
      <c r="AE1832" s="4">
        <f>$K$1832*$Y$1832</f>
        <v>0</v>
      </c>
      <c r="AF1832" s="4">
        <f ca="1">$M$1832*$Z$1832</f>
        <v>842285.28395184141</v>
      </c>
      <c r="AG1832" s="4">
        <f>$O$1832*$AA$1832</f>
        <v>480774.82392234972</v>
      </c>
    </row>
    <row r="1833" spans="1:33" ht="11.25" customHeight="1" x14ac:dyDescent="0.25">
      <c r="A1833" s="3" t="s">
        <v>21</v>
      </c>
      <c r="B1833" s="3" t="s">
        <v>37</v>
      </c>
      <c r="C1833" s="3" t="s">
        <v>23</v>
      </c>
      <c r="D1833" s="3" t="s">
        <v>50</v>
      </c>
      <c r="E1833" s="3" t="s">
        <v>51</v>
      </c>
      <c r="F1833" s="3" t="s">
        <v>25</v>
      </c>
      <c r="G1833" s="3" t="s">
        <v>25</v>
      </c>
      <c r="H1833" s="3" t="s">
        <v>25</v>
      </c>
      <c r="I1833" s="6">
        <v>44378</v>
      </c>
      <c r="J1833" s="4">
        <v>0</v>
      </c>
      <c r="K1833" s="56">
        <v>0</v>
      </c>
      <c r="L1833" s="4">
        <v>2159.7820000000002</v>
      </c>
      <c r="M1833" s="56">
        <v>2159.7820000000002</v>
      </c>
      <c r="N1833" s="4">
        <v>2159.7820000000002</v>
      </c>
      <c r="O1833" s="56">
        <v>2159.7820000000002</v>
      </c>
      <c r="P1833" s="4">
        <v>1394</v>
      </c>
      <c r="Q1833" s="3" t="s">
        <v>26</v>
      </c>
      <c r="R1833" s="3">
        <v>0</v>
      </c>
      <c r="S1833" s="4">
        <v>0</v>
      </c>
      <c r="T1833" s="4">
        <v>84</v>
      </c>
      <c r="U1833" s="4">
        <v>7</v>
      </c>
      <c r="V1833" s="56">
        <f>IF(ISERROR(VLOOKUP($S$1833,'TAR FIN'!$A$1:$O$113,15,0)),0,VLOOKUP($S$1833,'TAR FIN'!$A$1:$O$113,15,0))</f>
        <v>0</v>
      </c>
      <c r="W1833" s="56">
        <f>IF(ISERROR(VLOOKUP($T$1833,'TAR FIN'!$A$1:$O$113,15,0)),0,VLOOKUP($T$1833,'TAR FIN'!$A$1:$O$113,15,0))*(1-0.06)</f>
        <v>325.428</v>
      </c>
      <c r="X1833" s="56">
        <f>IF(ISERROR(VLOOKUP($U$1833,'TAR FIN'!$A$1:$O$113,15,0)),0,VLOOKUP($U$1833,'TAR FIN'!$A$1:$O$113,15,0))*(1-0.06)</f>
        <v>220.18559999999999</v>
      </c>
      <c r="Y1833" s="56"/>
      <c r="Z1833" s="56">
        <f ca="1">('TUSD BE'!$AM$68+'TUSD BF'!$AM$68+'TUSD CVA'!$AM$68)*1*(1-0.03)</f>
        <v>398.80818707515107</v>
      </c>
      <c r="AA1833" s="56">
        <f>('TE BE'!$AA$47+'TE BF'!$AA$47+'TE CVA'!$AA$47)*1*(1-0.03)</f>
        <v>227.63894795864678</v>
      </c>
      <c r="AB1833" s="4">
        <f>$K$1833*$V$1833</f>
        <v>0</v>
      </c>
      <c r="AC1833" s="4">
        <f>$M$1833*$W$1833</f>
        <v>702853.53669600002</v>
      </c>
      <c r="AD1833" s="4">
        <f>$O$1833*$X$1833</f>
        <v>475552.89553919999</v>
      </c>
      <c r="AE1833" s="4">
        <f>$K$1833*$Y$1833</f>
        <v>0</v>
      </c>
      <c r="AF1833" s="4">
        <f ca="1">$M$1833*$Z$1833</f>
        <v>861338.74389754399</v>
      </c>
      <c r="AG1833" s="4">
        <f>$O$1833*$AA$1833</f>
        <v>491650.50230002211</v>
      </c>
    </row>
    <row r="1834" spans="1:33" ht="11.25" customHeight="1" x14ac:dyDescent="0.25">
      <c r="A1834" s="3" t="s">
        <v>21</v>
      </c>
      <c r="B1834" s="3" t="s">
        <v>37</v>
      </c>
      <c r="C1834" s="3" t="s">
        <v>23</v>
      </c>
      <c r="D1834" s="3" t="s">
        <v>50</v>
      </c>
      <c r="E1834" s="3" t="s">
        <v>51</v>
      </c>
      <c r="F1834" s="3" t="s">
        <v>25</v>
      </c>
      <c r="G1834" s="3" t="s">
        <v>25</v>
      </c>
      <c r="H1834" s="3" t="s">
        <v>25</v>
      </c>
      <c r="I1834" s="6">
        <v>44409</v>
      </c>
      <c r="J1834" s="4">
        <v>0</v>
      </c>
      <c r="K1834" s="56">
        <v>0</v>
      </c>
      <c r="L1834" s="4">
        <v>2083.1799999999998</v>
      </c>
      <c r="M1834" s="56">
        <v>2083.1799999999998</v>
      </c>
      <c r="N1834" s="4">
        <v>2083.1799999999998</v>
      </c>
      <c r="O1834" s="56">
        <v>2083.1799999999998</v>
      </c>
      <c r="P1834" s="4">
        <v>1399</v>
      </c>
      <c r="Q1834" s="3" t="s">
        <v>26</v>
      </c>
      <c r="R1834" s="3">
        <v>0</v>
      </c>
      <c r="S1834" s="4">
        <v>0</v>
      </c>
      <c r="T1834" s="4">
        <v>84</v>
      </c>
      <c r="U1834" s="4">
        <v>7</v>
      </c>
      <c r="V1834" s="56">
        <f>IF(ISERROR(VLOOKUP($S$1834,'TAR FIN'!$A$1:$O$113,15,0)),0,VLOOKUP($S$1834,'TAR FIN'!$A$1:$O$113,15,0))</f>
        <v>0</v>
      </c>
      <c r="W1834" s="56">
        <f>IF(ISERROR(VLOOKUP($T$1834,'TAR FIN'!$A$1:$O$113,15,0)),0,VLOOKUP($T$1834,'TAR FIN'!$A$1:$O$113,15,0))*(1-0.06)</f>
        <v>325.428</v>
      </c>
      <c r="X1834" s="56">
        <f>IF(ISERROR(VLOOKUP($U$1834,'TAR FIN'!$A$1:$O$113,15,0)),0,VLOOKUP($U$1834,'TAR FIN'!$A$1:$O$113,15,0))*(1-0.06)</f>
        <v>220.18559999999999</v>
      </c>
      <c r="Y1834" s="56"/>
      <c r="Z1834" s="56">
        <f ca="1">('TUSD BE'!$AM$68+'TUSD BF'!$AM$68+'TUSD CVA'!$AM$68)*1*(1-0.03)</f>
        <v>398.80818707515107</v>
      </c>
      <c r="AA1834" s="56">
        <f>('TE BE'!$AA$47+'TE BF'!$AA$47+'TE CVA'!$AA$47)*1*(1-0.03)</f>
        <v>227.63894795864678</v>
      </c>
      <c r="AB1834" s="4">
        <f>$K$1834*$V$1834</f>
        <v>0</v>
      </c>
      <c r="AC1834" s="4">
        <f>$M$1834*$W$1834</f>
        <v>677925.10103999998</v>
      </c>
      <c r="AD1834" s="4">
        <f>$O$1834*$X$1834</f>
        <v>458686.23820799997</v>
      </c>
      <c r="AE1834" s="4">
        <f>$K$1834*$Y$1834</f>
        <v>0</v>
      </c>
      <c r="AF1834" s="4">
        <f ca="1">$M$1834*$Z$1834</f>
        <v>830789.23915121309</v>
      </c>
      <c r="AG1834" s="4">
        <f>$O$1834*$AA$1834</f>
        <v>474212.90360849374</v>
      </c>
    </row>
    <row r="1835" spans="1:33" ht="11.25" customHeight="1" x14ac:dyDescent="0.25">
      <c r="A1835" s="3" t="s">
        <v>27</v>
      </c>
      <c r="B1835" s="3" t="s">
        <v>37</v>
      </c>
      <c r="C1835" s="3" t="s">
        <v>23</v>
      </c>
      <c r="D1835" s="3" t="s">
        <v>50</v>
      </c>
      <c r="E1835" s="3" t="s">
        <v>51</v>
      </c>
      <c r="F1835" s="3" t="s">
        <v>25</v>
      </c>
      <c r="G1835" s="3" t="s">
        <v>25</v>
      </c>
      <c r="H1835" s="3" t="s">
        <v>25</v>
      </c>
      <c r="I1835" s="6">
        <v>44409</v>
      </c>
      <c r="J1835" s="4">
        <v>0</v>
      </c>
      <c r="K1835" s="56">
        <v>0</v>
      </c>
      <c r="L1835" s="4">
        <v>0.95099999999999996</v>
      </c>
      <c r="M1835" s="56">
        <v>0.95099999999999996</v>
      </c>
      <c r="N1835" s="4">
        <v>0.95099999999999996</v>
      </c>
      <c r="O1835" s="56">
        <v>0.95099999999999996</v>
      </c>
      <c r="P1835" s="4">
        <v>2</v>
      </c>
      <c r="Q1835" s="3" t="s">
        <v>26</v>
      </c>
      <c r="R1835" s="3">
        <v>0</v>
      </c>
      <c r="S1835" s="4">
        <v>0</v>
      </c>
      <c r="T1835" s="4">
        <v>84</v>
      </c>
      <c r="U1835" s="4">
        <v>7</v>
      </c>
      <c r="V1835" s="56">
        <f>IF(ISERROR(VLOOKUP($S$1835,'TAR FIN'!$A$1:$O$113,15,0)),0,VLOOKUP($S$1835,'TAR FIN'!$A$1:$O$113,15,0))</f>
        <v>0</v>
      </c>
      <c r="W1835" s="56">
        <f>IF(ISERROR(VLOOKUP($T$1835,'TAR FIN'!$A$1:$O$113,15,0)),0,VLOOKUP($T$1835,'TAR FIN'!$A$1:$O$113,15,0))*(1-0.06)</f>
        <v>325.428</v>
      </c>
      <c r="X1835" s="56">
        <f>IF(ISERROR(VLOOKUP($U$1835,'TAR FIN'!$A$1:$O$113,15,0)),0,VLOOKUP($U$1835,'TAR FIN'!$A$1:$O$113,15,0))*(1-0.06)</f>
        <v>220.18559999999999</v>
      </c>
      <c r="Y1835" s="56"/>
      <c r="Z1835" s="56">
        <f ca="1">('TUSD BE'!$AM$68+'TUSD BF'!$AM$68+'TUSD CVA'!$AM$68)*1*(1-0.03)</f>
        <v>398.80818707515107</v>
      </c>
      <c r="AA1835" s="56">
        <f>('TE BE'!$AA$47+'TE BF'!$AA$47+'TE CVA'!$AA$47)*1*(1-0.03)</f>
        <v>227.63894795864678</v>
      </c>
      <c r="AB1835" s="4">
        <f>$K$1835*$V$1835</f>
        <v>0</v>
      </c>
      <c r="AC1835" s="4">
        <f>$M$1835*$W$1835</f>
        <v>309.48202799999996</v>
      </c>
      <c r="AD1835" s="4">
        <f>$O$1835*$X$1835</f>
        <v>209.39650559999998</v>
      </c>
      <c r="AE1835" s="4">
        <f>$K$1835*$Y$1835</f>
        <v>0</v>
      </c>
      <c r="AF1835" s="4">
        <f ca="1">$M$1835*$Z$1835</f>
        <v>379.26658590846864</v>
      </c>
      <c r="AG1835" s="4">
        <f>$O$1835*$AA$1835</f>
        <v>216.48463950867307</v>
      </c>
    </row>
    <row r="1836" spans="1:33" ht="11.25" customHeight="1" x14ac:dyDescent="0.25">
      <c r="A1836" s="3" t="s">
        <v>21</v>
      </c>
      <c r="B1836" s="3" t="s">
        <v>37</v>
      </c>
      <c r="C1836" s="3" t="s">
        <v>23</v>
      </c>
      <c r="D1836" s="3" t="s">
        <v>50</v>
      </c>
      <c r="E1836" s="3" t="s">
        <v>51</v>
      </c>
      <c r="F1836" s="3" t="s">
        <v>25</v>
      </c>
      <c r="G1836" s="3" t="s">
        <v>25</v>
      </c>
      <c r="H1836" s="3" t="s">
        <v>25</v>
      </c>
      <c r="I1836" s="6">
        <v>44440</v>
      </c>
      <c r="J1836" s="4">
        <v>0</v>
      </c>
      <c r="K1836" s="56">
        <v>0</v>
      </c>
      <c r="L1836" s="4">
        <v>2109.3609999999999</v>
      </c>
      <c r="M1836" s="56">
        <v>2109.3609999999999</v>
      </c>
      <c r="N1836" s="4">
        <v>2109.3609999999999</v>
      </c>
      <c r="O1836" s="56">
        <v>2109.3609999999999</v>
      </c>
      <c r="P1836" s="4">
        <v>1402</v>
      </c>
      <c r="Q1836" s="3" t="s">
        <v>26</v>
      </c>
      <c r="R1836" s="3">
        <v>0</v>
      </c>
      <c r="S1836" s="4">
        <v>0</v>
      </c>
      <c r="T1836" s="4">
        <v>84</v>
      </c>
      <c r="U1836" s="4">
        <v>7</v>
      </c>
      <c r="V1836" s="56">
        <f>IF(ISERROR(VLOOKUP($S$1836,'TAR FIN'!$A$1:$O$113,15,0)),0,VLOOKUP($S$1836,'TAR FIN'!$A$1:$O$113,15,0))</f>
        <v>0</v>
      </c>
      <c r="W1836" s="56">
        <f>IF(ISERROR(VLOOKUP($T$1836,'TAR FIN'!$A$1:$O$113,15,0)),0,VLOOKUP($T$1836,'TAR FIN'!$A$1:$O$113,15,0))*(1-0.06)</f>
        <v>325.428</v>
      </c>
      <c r="X1836" s="56">
        <f>IF(ISERROR(VLOOKUP($U$1836,'TAR FIN'!$A$1:$O$113,15,0)),0,VLOOKUP($U$1836,'TAR FIN'!$A$1:$O$113,15,0))*(1-0.06)</f>
        <v>220.18559999999999</v>
      </c>
      <c r="Y1836" s="56"/>
      <c r="Z1836" s="56">
        <f ca="1">('TUSD BE'!$AM$68+'TUSD BF'!$AM$68+'TUSD CVA'!$AM$68)*1*(1-0.03)</f>
        <v>398.80818707515107</v>
      </c>
      <c r="AA1836" s="56">
        <f>('TE BE'!$AA$47+'TE BF'!$AA$47+'TE CVA'!$AA$47)*1*(1-0.03)</f>
        <v>227.63894795864678</v>
      </c>
      <c r="AB1836" s="4">
        <f>$K$1836*$V$1836</f>
        <v>0</v>
      </c>
      <c r="AC1836" s="4">
        <f>$M$1836*$W$1836</f>
        <v>686445.13150799996</v>
      </c>
      <c r="AD1836" s="4">
        <f>$O$1836*$X$1836</f>
        <v>464450.91740159993</v>
      </c>
      <c r="AE1836" s="4">
        <f>$K$1836*$Y$1836</f>
        <v>0</v>
      </c>
      <c r="AF1836" s="4">
        <f ca="1">$M$1836*$Z$1836</f>
        <v>841230.43629702763</v>
      </c>
      <c r="AG1836" s="4">
        <f>$O$1836*$AA$1836</f>
        <v>480172.71890499908</v>
      </c>
    </row>
    <row r="1837" spans="1:33" ht="11.25" customHeight="1" x14ac:dyDescent="0.25">
      <c r="A1837" s="3" t="s">
        <v>21</v>
      </c>
      <c r="B1837" s="3" t="s">
        <v>37</v>
      </c>
      <c r="C1837" s="3" t="s">
        <v>23</v>
      </c>
      <c r="D1837" s="3" t="s">
        <v>50</v>
      </c>
      <c r="E1837" s="3" t="s">
        <v>51</v>
      </c>
      <c r="F1837" s="3" t="s">
        <v>25</v>
      </c>
      <c r="G1837" s="3" t="s">
        <v>25</v>
      </c>
      <c r="H1837" s="3" t="s">
        <v>25</v>
      </c>
      <c r="I1837" s="6">
        <v>44470</v>
      </c>
      <c r="J1837" s="4">
        <v>0</v>
      </c>
      <c r="K1837" s="56">
        <v>0</v>
      </c>
      <c r="L1837" s="4">
        <v>2180.8290000000002</v>
      </c>
      <c r="M1837" s="56">
        <v>2180.8290000000002</v>
      </c>
      <c r="N1837" s="4">
        <v>2180.8290000000002</v>
      </c>
      <c r="O1837" s="56">
        <v>2180.8290000000002</v>
      </c>
      <c r="P1837" s="4">
        <v>1408</v>
      </c>
      <c r="Q1837" s="3" t="s">
        <v>26</v>
      </c>
      <c r="R1837" s="3">
        <v>0</v>
      </c>
      <c r="S1837" s="4">
        <v>0</v>
      </c>
      <c r="T1837" s="4">
        <v>84</v>
      </c>
      <c r="U1837" s="4">
        <v>7</v>
      </c>
      <c r="V1837" s="56">
        <f>IF(ISERROR(VLOOKUP($S$1837,'TAR FIN'!$A$1:$O$113,15,0)),0,VLOOKUP($S$1837,'TAR FIN'!$A$1:$O$113,15,0))</f>
        <v>0</v>
      </c>
      <c r="W1837" s="56">
        <f>IF(ISERROR(VLOOKUP($T$1837,'TAR FIN'!$A$1:$O$113,15,0)),0,VLOOKUP($T$1837,'TAR FIN'!$A$1:$O$113,15,0))*(1-0.06)</f>
        <v>325.428</v>
      </c>
      <c r="X1837" s="56">
        <f>IF(ISERROR(VLOOKUP($U$1837,'TAR FIN'!$A$1:$O$113,15,0)),0,VLOOKUP($U$1837,'TAR FIN'!$A$1:$O$113,15,0))*(1-0.06)</f>
        <v>220.18559999999999</v>
      </c>
      <c r="Y1837" s="56"/>
      <c r="Z1837" s="56">
        <f ca="1">('TUSD BE'!$AM$68+'TUSD BF'!$AM$68+'TUSD CVA'!$AM$68)*1*(1-0.03)</f>
        <v>398.80818707515107</v>
      </c>
      <c r="AA1837" s="56">
        <f>('TE BE'!$AA$47+'TE BF'!$AA$47+'TE CVA'!$AA$47)*1*(1-0.03)</f>
        <v>227.63894795864678</v>
      </c>
      <c r="AB1837" s="4">
        <f>$K$1837*$V$1837</f>
        <v>0</v>
      </c>
      <c r="AC1837" s="4">
        <f>$M$1837*$W$1837</f>
        <v>709702.81981200003</v>
      </c>
      <c r="AD1837" s="4">
        <f>$O$1837*$X$1837</f>
        <v>480187.14186240005</v>
      </c>
      <c r="AE1837" s="4">
        <f>$K$1837*$Y$1837</f>
        <v>0</v>
      </c>
      <c r="AF1837" s="4">
        <f ca="1">$M$1837*$Z$1837</f>
        <v>869732.4598109147</v>
      </c>
      <c r="AG1837" s="4">
        <f>$O$1837*$AA$1837</f>
        <v>496441.61923770775</v>
      </c>
    </row>
    <row r="1838" spans="1:33" ht="11.25" customHeight="1" x14ac:dyDescent="0.25">
      <c r="A1838" s="3" t="s">
        <v>27</v>
      </c>
      <c r="B1838" s="3" t="s">
        <v>37</v>
      </c>
      <c r="C1838" s="3" t="s">
        <v>23</v>
      </c>
      <c r="D1838" s="3" t="s">
        <v>50</v>
      </c>
      <c r="E1838" s="3" t="s">
        <v>51</v>
      </c>
      <c r="F1838" s="3" t="s">
        <v>25</v>
      </c>
      <c r="G1838" s="3" t="s">
        <v>25</v>
      </c>
      <c r="H1838" s="3" t="s">
        <v>25</v>
      </c>
      <c r="I1838" s="6">
        <v>44470</v>
      </c>
      <c r="J1838" s="4">
        <v>0</v>
      </c>
      <c r="K1838" s="56">
        <v>0</v>
      </c>
      <c r="L1838" s="4">
        <v>0.2</v>
      </c>
      <c r="M1838" s="56">
        <v>0.2</v>
      </c>
      <c r="N1838" s="4">
        <v>0.2</v>
      </c>
      <c r="O1838" s="56">
        <v>0.2</v>
      </c>
      <c r="P1838" s="4">
        <v>2</v>
      </c>
      <c r="Q1838" s="3" t="s">
        <v>26</v>
      </c>
      <c r="R1838" s="3">
        <v>0</v>
      </c>
      <c r="S1838" s="4">
        <v>0</v>
      </c>
      <c r="T1838" s="4">
        <v>84</v>
      </c>
      <c r="U1838" s="4">
        <v>7</v>
      </c>
      <c r="V1838" s="56">
        <f>IF(ISERROR(VLOOKUP($S$1838,'TAR FIN'!$A$1:$O$113,15,0)),0,VLOOKUP($S$1838,'TAR FIN'!$A$1:$O$113,15,0))</f>
        <v>0</v>
      </c>
      <c r="W1838" s="56">
        <f>IF(ISERROR(VLOOKUP($T$1838,'TAR FIN'!$A$1:$O$113,15,0)),0,VLOOKUP($T$1838,'TAR FIN'!$A$1:$O$113,15,0))*(1-0.06)</f>
        <v>325.428</v>
      </c>
      <c r="X1838" s="56">
        <f>IF(ISERROR(VLOOKUP($U$1838,'TAR FIN'!$A$1:$O$113,15,0)),0,VLOOKUP($U$1838,'TAR FIN'!$A$1:$O$113,15,0))*(1-0.06)</f>
        <v>220.18559999999999</v>
      </c>
      <c r="Y1838" s="56"/>
      <c r="Z1838" s="56">
        <f ca="1">('TUSD BE'!$AM$68+'TUSD BF'!$AM$68+'TUSD CVA'!$AM$68)*1*(1-0.03)</f>
        <v>398.80818707515107</v>
      </c>
      <c r="AA1838" s="56">
        <f>('TE BE'!$AA$47+'TE BF'!$AA$47+'TE CVA'!$AA$47)*1*(1-0.03)</f>
        <v>227.63894795864678</v>
      </c>
      <c r="AB1838" s="4">
        <f>$K$1838*$V$1838</f>
        <v>0</v>
      </c>
      <c r="AC1838" s="4">
        <f>$M$1838*$W$1838</f>
        <v>65.085599999999999</v>
      </c>
      <c r="AD1838" s="4">
        <f>$O$1838*$X$1838</f>
        <v>44.037120000000002</v>
      </c>
      <c r="AE1838" s="4">
        <f>$K$1838*$Y$1838</f>
        <v>0</v>
      </c>
      <c r="AF1838" s="4">
        <f ca="1">$M$1838*$Z$1838</f>
        <v>79.761637415030222</v>
      </c>
      <c r="AG1838" s="4">
        <f>$O$1838*$AA$1838</f>
        <v>45.527789591729359</v>
      </c>
    </row>
    <row r="1839" spans="1:33" ht="11.25" customHeight="1" x14ac:dyDescent="0.25">
      <c r="A1839" s="3" t="s">
        <v>21</v>
      </c>
      <c r="B1839" s="3" t="s">
        <v>37</v>
      </c>
      <c r="C1839" s="3" t="s">
        <v>23</v>
      </c>
      <c r="D1839" s="3" t="s">
        <v>50</v>
      </c>
      <c r="E1839" s="3" t="s">
        <v>51</v>
      </c>
      <c r="F1839" s="3" t="s">
        <v>25</v>
      </c>
      <c r="G1839" s="3" t="s">
        <v>25</v>
      </c>
      <c r="H1839" s="3" t="s">
        <v>25</v>
      </c>
      <c r="I1839" s="6">
        <v>44501</v>
      </c>
      <c r="J1839" s="4">
        <v>0</v>
      </c>
      <c r="K1839" s="56">
        <v>0</v>
      </c>
      <c r="L1839" s="4">
        <v>2149.145</v>
      </c>
      <c r="M1839" s="56">
        <v>2149.145</v>
      </c>
      <c r="N1839" s="4">
        <v>2149.145</v>
      </c>
      <c r="O1839" s="56">
        <v>2149.145</v>
      </c>
      <c r="P1839" s="4">
        <v>1438</v>
      </c>
      <c r="Q1839" s="3" t="s">
        <v>26</v>
      </c>
      <c r="R1839" s="3">
        <v>0</v>
      </c>
      <c r="S1839" s="4">
        <v>0</v>
      </c>
      <c r="T1839" s="4">
        <v>84</v>
      </c>
      <c r="U1839" s="4">
        <v>7</v>
      </c>
      <c r="V1839" s="56">
        <f>IF(ISERROR(VLOOKUP($S$1839,'TAR FIN'!$A$1:$O$113,15,0)),0,VLOOKUP($S$1839,'TAR FIN'!$A$1:$O$113,15,0))</f>
        <v>0</v>
      </c>
      <c r="W1839" s="56">
        <f>IF(ISERROR(VLOOKUP($T$1839,'TAR FIN'!$A$1:$O$113,15,0)),0,VLOOKUP($T$1839,'TAR FIN'!$A$1:$O$113,15,0))*(1-0.06)</f>
        <v>325.428</v>
      </c>
      <c r="X1839" s="56">
        <f>IF(ISERROR(VLOOKUP($U$1839,'TAR FIN'!$A$1:$O$113,15,0)),0,VLOOKUP($U$1839,'TAR FIN'!$A$1:$O$113,15,0))*(1-0.06)</f>
        <v>220.18559999999999</v>
      </c>
      <c r="Y1839" s="56"/>
      <c r="Z1839" s="56">
        <f ca="1">('TUSD BE'!$AM$68+'TUSD BF'!$AM$68+'TUSD CVA'!$AM$68)*1*(1-0.03)</f>
        <v>398.80818707515107</v>
      </c>
      <c r="AA1839" s="56">
        <f>('TE BE'!$AA$47+'TE BF'!$AA$47+'TE CVA'!$AA$47)*1*(1-0.03)</f>
        <v>227.63894795864678</v>
      </c>
      <c r="AB1839" s="4">
        <f>$K$1839*$V$1839</f>
        <v>0</v>
      </c>
      <c r="AC1839" s="4">
        <f>$M$1839*$W$1839</f>
        <v>699391.95906000002</v>
      </c>
      <c r="AD1839" s="4">
        <f>$O$1839*$X$1839</f>
        <v>473210.78131200001</v>
      </c>
      <c r="AE1839" s="4">
        <f>$K$1839*$Y$1839</f>
        <v>0</v>
      </c>
      <c r="AF1839" s="4">
        <f ca="1">$M$1839*$Z$1839</f>
        <v>857096.62121162552</v>
      </c>
      <c r="AG1839" s="4">
        <f>$O$1839*$AA$1839</f>
        <v>489229.10681058594</v>
      </c>
    </row>
    <row r="1840" spans="1:33" ht="11.25" customHeight="1" x14ac:dyDescent="0.25">
      <c r="A1840" s="3" t="s">
        <v>27</v>
      </c>
      <c r="B1840" s="3" t="s">
        <v>37</v>
      </c>
      <c r="C1840" s="3" t="s">
        <v>23</v>
      </c>
      <c r="D1840" s="3" t="s">
        <v>50</v>
      </c>
      <c r="E1840" s="3" t="s">
        <v>51</v>
      </c>
      <c r="F1840" s="3" t="s">
        <v>25</v>
      </c>
      <c r="G1840" s="3" t="s">
        <v>25</v>
      </c>
      <c r="H1840" s="3" t="s">
        <v>25</v>
      </c>
      <c r="I1840" s="6">
        <v>44501</v>
      </c>
      <c r="J1840" s="4">
        <v>0</v>
      </c>
      <c r="K1840" s="56">
        <v>0</v>
      </c>
      <c r="L1840" s="4">
        <v>-3.7999999999999999E-2</v>
      </c>
      <c r="M1840" s="56">
        <v>-3.7999999999999999E-2</v>
      </c>
      <c r="N1840" s="4">
        <v>-3.7999999999999999E-2</v>
      </c>
      <c r="O1840" s="56">
        <v>-3.7999999999999999E-2</v>
      </c>
      <c r="P1840" s="4">
        <v>0</v>
      </c>
      <c r="Q1840" s="3" t="s">
        <v>26</v>
      </c>
      <c r="R1840" s="3">
        <v>0</v>
      </c>
      <c r="S1840" s="4">
        <v>0</v>
      </c>
      <c r="T1840" s="4">
        <v>84</v>
      </c>
      <c r="U1840" s="4">
        <v>7</v>
      </c>
      <c r="V1840" s="56">
        <f>IF(ISERROR(VLOOKUP($S$1840,'TAR FIN'!$A$1:$O$113,15,0)),0,VLOOKUP($S$1840,'TAR FIN'!$A$1:$O$113,15,0))</f>
        <v>0</v>
      </c>
      <c r="W1840" s="56">
        <f>IF(ISERROR(VLOOKUP($T$1840,'TAR FIN'!$A$1:$O$113,15,0)),0,VLOOKUP($T$1840,'TAR FIN'!$A$1:$O$113,15,0))*(1-0.06)</f>
        <v>325.428</v>
      </c>
      <c r="X1840" s="56">
        <f>IF(ISERROR(VLOOKUP($U$1840,'TAR FIN'!$A$1:$O$113,15,0)),0,VLOOKUP($U$1840,'TAR FIN'!$A$1:$O$113,15,0))*(1-0.06)</f>
        <v>220.18559999999999</v>
      </c>
      <c r="Y1840" s="56"/>
      <c r="Z1840" s="56">
        <f ca="1">('TUSD BE'!$AM$68+'TUSD BF'!$AM$68+'TUSD CVA'!$AM$68)*1*(1-0.03)</f>
        <v>398.80818707515107</v>
      </c>
      <c r="AA1840" s="56">
        <f>('TE BE'!$AA$47+'TE BF'!$AA$47+'TE CVA'!$AA$47)*1*(1-0.03)</f>
        <v>227.63894795864678</v>
      </c>
      <c r="AB1840" s="4">
        <f>$K$1840*$V$1840</f>
        <v>0</v>
      </c>
      <c r="AC1840" s="4">
        <f>$M$1840*$W$1840</f>
        <v>-12.366263999999999</v>
      </c>
      <c r="AD1840" s="4">
        <f>$O$1840*$X$1840</f>
        <v>-8.3670527999999997</v>
      </c>
      <c r="AE1840" s="4">
        <f>$K$1840*$Y$1840</f>
        <v>0</v>
      </c>
      <c r="AF1840" s="4">
        <f ca="1">$M$1840*$Z$1840</f>
        <v>-15.154711108855739</v>
      </c>
      <c r="AG1840" s="4">
        <f>$O$1840*$AA$1840</f>
        <v>-8.6502800224285767</v>
      </c>
    </row>
    <row r="1841" spans="1:33" ht="11.25" customHeight="1" x14ac:dyDescent="0.25">
      <c r="A1841" s="3" t="s">
        <v>21</v>
      </c>
      <c r="B1841" s="3" t="s">
        <v>37</v>
      </c>
      <c r="C1841" s="3" t="s">
        <v>23</v>
      </c>
      <c r="D1841" s="3" t="s">
        <v>50</v>
      </c>
      <c r="E1841" s="3" t="s">
        <v>51</v>
      </c>
      <c r="F1841" s="3" t="s">
        <v>25</v>
      </c>
      <c r="G1841" s="3" t="s">
        <v>25</v>
      </c>
      <c r="H1841" s="3" t="s">
        <v>25</v>
      </c>
      <c r="I1841" s="6">
        <v>44531</v>
      </c>
      <c r="J1841" s="4">
        <v>0</v>
      </c>
      <c r="K1841" s="56">
        <v>0</v>
      </c>
      <c r="L1841" s="4">
        <v>2166.1439999999998</v>
      </c>
      <c r="M1841" s="56">
        <v>2166.1439999999998</v>
      </c>
      <c r="N1841" s="4">
        <v>2166.1439999999998</v>
      </c>
      <c r="O1841" s="56">
        <v>2166.1439999999998</v>
      </c>
      <c r="P1841" s="4">
        <v>1465</v>
      </c>
      <c r="Q1841" s="3" t="s">
        <v>26</v>
      </c>
      <c r="R1841" s="3">
        <v>0</v>
      </c>
      <c r="S1841" s="4">
        <v>0</v>
      </c>
      <c r="T1841" s="4">
        <v>84</v>
      </c>
      <c r="U1841" s="4">
        <v>7</v>
      </c>
      <c r="V1841" s="56">
        <f>IF(ISERROR(VLOOKUP($S$1841,'TAR FIN'!$A$1:$O$113,15,0)),0,VLOOKUP($S$1841,'TAR FIN'!$A$1:$O$113,15,0))</f>
        <v>0</v>
      </c>
      <c r="W1841" s="56">
        <f>IF(ISERROR(VLOOKUP($T$1841,'TAR FIN'!$A$1:$O$113,15,0)),0,VLOOKUP($T$1841,'TAR FIN'!$A$1:$O$113,15,0))*(1-0.06)</f>
        <v>325.428</v>
      </c>
      <c r="X1841" s="56">
        <f>IF(ISERROR(VLOOKUP($U$1841,'TAR FIN'!$A$1:$O$113,15,0)),0,VLOOKUP($U$1841,'TAR FIN'!$A$1:$O$113,15,0))*(1-0.06)</f>
        <v>220.18559999999999</v>
      </c>
      <c r="Y1841" s="56"/>
      <c r="Z1841" s="56">
        <f ca="1">('TUSD BE'!$AM$68+'TUSD BF'!$AM$68+'TUSD CVA'!$AM$68)*1*(1-0.03)</f>
        <v>398.80818707515107</v>
      </c>
      <c r="AA1841" s="56">
        <f>('TE BE'!$AA$47+'TE BF'!$AA$47+'TE CVA'!$AA$47)*1*(1-0.03)</f>
        <v>227.63894795864678</v>
      </c>
      <c r="AB1841" s="4">
        <f>$K$1841*$V$1841</f>
        <v>0</v>
      </c>
      <c r="AC1841" s="4">
        <f>$M$1841*$W$1841</f>
        <v>704923.90963199991</v>
      </c>
      <c r="AD1841" s="4">
        <f>$O$1841*$X$1841</f>
        <v>476953.71632639994</v>
      </c>
      <c r="AE1841" s="4">
        <f>$K$1841*$Y$1841</f>
        <v>0</v>
      </c>
      <c r="AF1841" s="4">
        <f ca="1">$M$1841*$Z$1841</f>
        <v>863875.96158371598</v>
      </c>
      <c r="AG1841" s="4">
        <f>$O$1841*$AA$1841</f>
        <v>493098.74128693494</v>
      </c>
    </row>
    <row r="1842" spans="1:33" ht="11.25" customHeight="1" x14ac:dyDescent="0.25">
      <c r="A1842" s="3" t="s">
        <v>21</v>
      </c>
      <c r="B1842" s="3" t="s">
        <v>37</v>
      </c>
      <c r="C1842" s="3" t="s">
        <v>23</v>
      </c>
      <c r="D1842" s="3" t="s">
        <v>50</v>
      </c>
      <c r="E1842" s="3" t="s">
        <v>51</v>
      </c>
      <c r="F1842" s="3" t="s">
        <v>25</v>
      </c>
      <c r="G1842" s="3" t="s">
        <v>25</v>
      </c>
      <c r="H1842" s="3" t="s">
        <v>25</v>
      </c>
      <c r="I1842" s="6">
        <v>44562</v>
      </c>
      <c r="J1842" s="4">
        <v>0</v>
      </c>
      <c r="K1842" s="56">
        <v>0</v>
      </c>
      <c r="L1842" s="4">
        <v>2216.3130000000001</v>
      </c>
      <c r="M1842" s="56">
        <v>2216.3130000000001</v>
      </c>
      <c r="N1842" s="4">
        <v>2216.3130000000001</v>
      </c>
      <c r="O1842" s="56">
        <v>2216.3130000000001</v>
      </c>
      <c r="P1842" s="4">
        <v>1475</v>
      </c>
      <c r="Q1842" s="3" t="s">
        <v>26</v>
      </c>
      <c r="R1842" s="3">
        <v>0</v>
      </c>
      <c r="S1842" s="4">
        <v>0</v>
      </c>
      <c r="T1842" s="4">
        <v>84</v>
      </c>
      <c r="U1842" s="4">
        <v>7</v>
      </c>
      <c r="V1842" s="56">
        <f>IF(ISERROR(VLOOKUP($S$1842,'TAR FIN'!$A$1:$O$113,15,0)),0,VLOOKUP($S$1842,'TAR FIN'!$A$1:$O$113,15,0))</f>
        <v>0</v>
      </c>
      <c r="W1842" s="56">
        <f>IF(ISERROR(VLOOKUP($T$1842,'TAR FIN'!$A$1:$O$113,15,0)),0,VLOOKUP($T$1842,'TAR FIN'!$A$1:$O$113,15,0))*(1-0.06)</f>
        <v>325.428</v>
      </c>
      <c r="X1842" s="56">
        <f>IF(ISERROR(VLOOKUP($U$1842,'TAR FIN'!$A$1:$O$113,15,0)),0,VLOOKUP($U$1842,'TAR FIN'!$A$1:$O$113,15,0))*(1-0.06)</f>
        <v>220.18559999999999</v>
      </c>
      <c r="Y1842" s="56"/>
      <c r="Z1842" s="56">
        <f ca="1">('TUSD BE'!$AM$68+'TUSD BF'!$AM$68+'TUSD CVA'!$AM$68)*1*(1-0.03)</f>
        <v>398.80818707515107</v>
      </c>
      <c r="AA1842" s="56">
        <f>('TE BE'!$AA$47+'TE BF'!$AA$47+'TE CVA'!$AA$47)*1*(1-0.03)</f>
        <v>227.63894795864678</v>
      </c>
      <c r="AB1842" s="4">
        <f>$K$1842*$V$1842</f>
        <v>0</v>
      </c>
      <c r="AC1842" s="4">
        <f>$M$1842*$W$1842</f>
        <v>721250.30696399999</v>
      </c>
      <c r="AD1842" s="4">
        <f>$O$1842*$X$1842</f>
        <v>488000.20769280003</v>
      </c>
      <c r="AE1842" s="4">
        <f>$K$1842*$Y$1842</f>
        <v>0</v>
      </c>
      <c r="AF1842" s="4">
        <f ca="1">$M$1842*$Z$1842</f>
        <v>883883.76952108939</v>
      </c>
      <c r="AG1842" s="4">
        <f>$O$1842*$AA$1842</f>
        <v>504519.15966707235</v>
      </c>
    </row>
    <row r="1843" spans="1:33" ht="11.25" customHeight="1" x14ac:dyDescent="0.25">
      <c r="A1843" s="3" t="s">
        <v>21</v>
      </c>
      <c r="B1843" s="3" t="s">
        <v>37</v>
      </c>
      <c r="C1843" s="3" t="s">
        <v>23</v>
      </c>
      <c r="D1843" s="3" t="s">
        <v>50</v>
      </c>
      <c r="E1843" s="3" t="s">
        <v>51</v>
      </c>
      <c r="F1843" s="3" t="s">
        <v>25</v>
      </c>
      <c r="G1843" s="3" t="s">
        <v>25</v>
      </c>
      <c r="H1843" s="3" t="s">
        <v>25</v>
      </c>
      <c r="I1843" s="6">
        <v>44593</v>
      </c>
      <c r="J1843" s="4">
        <v>0</v>
      </c>
      <c r="K1843" s="56">
        <v>0</v>
      </c>
      <c r="L1843" s="4">
        <v>2141.5509999999999</v>
      </c>
      <c r="M1843" s="56">
        <v>2141.5509999999999</v>
      </c>
      <c r="N1843" s="4">
        <v>2141.5509999999999</v>
      </c>
      <c r="O1843" s="56">
        <v>2141.5509999999999</v>
      </c>
      <c r="P1843" s="4">
        <v>1482</v>
      </c>
      <c r="Q1843" s="3" t="s">
        <v>26</v>
      </c>
      <c r="R1843" s="3">
        <v>0</v>
      </c>
      <c r="S1843" s="4">
        <v>0</v>
      </c>
      <c r="T1843" s="4">
        <v>84</v>
      </c>
      <c r="U1843" s="4">
        <v>7</v>
      </c>
      <c r="V1843" s="56">
        <f>IF(ISERROR(VLOOKUP($S$1843,'TAR FIN'!$A$1:$O$113,15,0)),0,VLOOKUP($S$1843,'TAR FIN'!$A$1:$O$113,15,0))</f>
        <v>0</v>
      </c>
      <c r="W1843" s="56">
        <f>IF(ISERROR(VLOOKUP($T$1843,'TAR FIN'!$A$1:$O$113,15,0)),0,VLOOKUP($T$1843,'TAR FIN'!$A$1:$O$113,15,0))*(1-0.06)</f>
        <v>325.428</v>
      </c>
      <c r="X1843" s="56">
        <f>IF(ISERROR(VLOOKUP($U$1843,'TAR FIN'!$A$1:$O$113,15,0)),0,VLOOKUP($U$1843,'TAR FIN'!$A$1:$O$113,15,0))*(1-0.06)</f>
        <v>220.18559999999999</v>
      </c>
      <c r="Y1843" s="56"/>
      <c r="Z1843" s="56">
        <f ca="1">('TUSD BE'!$AM$68+'TUSD BF'!$AM$68+'TUSD CVA'!$AM$68)*1*(1-0.03)</f>
        <v>398.80818707515107</v>
      </c>
      <c r="AA1843" s="56">
        <f>('TE BE'!$AA$47+'TE BF'!$AA$47+'TE CVA'!$AA$47)*1*(1-0.03)</f>
        <v>227.63894795864678</v>
      </c>
      <c r="AB1843" s="4">
        <f>$K$1843*$V$1843</f>
        <v>0</v>
      </c>
      <c r="AC1843" s="4">
        <f>$M$1843*$W$1843</f>
        <v>696920.65882799996</v>
      </c>
      <c r="AD1843" s="4">
        <f>$O$1843*$X$1843</f>
        <v>471538.69186559995</v>
      </c>
      <c r="AE1843" s="4">
        <f>$K$1843*$Y$1843</f>
        <v>0</v>
      </c>
      <c r="AF1843" s="4">
        <f ca="1">$M$1843*$Z$1843</f>
        <v>854068.07183897682</v>
      </c>
      <c r="AG1843" s="4">
        <f>$O$1843*$AA$1843</f>
        <v>487500.41663978796</v>
      </c>
    </row>
    <row r="1844" spans="1:33" ht="11.25" customHeight="1" x14ac:dyDescent="0.25">
      <c r="A1844" s="3" t="s">
        <v>56</v>
      </c>
      <c r="B1844" s="3" t="s">
        <v>37</v>
      </c>
      <c r="C1844" s="3" t="s">
        <v>23</v>
      </c>
      <c r="D1844" s="3" t="s">
        <v>50</v>
      </c>
      <c r="E1844" s="3" t="s">
        <v>51</v>
      </c>
      <c r="F1844" s="3" t="s">
        <v>25</v>
      </c>
      <c r="G1844" s="3" t="s">
        <v>25</v>
      </c>
      <c r="H1844" s="3" t="s">
        <v>25</v>
      </c>
      <c r="I1844" s="6">
        <v>44621</v>
      </c>
      <c r="J1844" s="4">
        <v>0</v>
      </c>
      <c r="K1844" s="56">
        <v>0</v>
      </c>
      <c r="L1844" s="4">
        <v>2141.5509999999999</v>
      </c>
      <c r="M1844" s="56">
        <v>2141.5509999999999</v>
      </c>
      <c r="N1844" s="4">
        <v>2141.5509999999999</v>
      </c>
      <c r="O1844" s="56">
        <v>2141.5509999999999</v>
      </c>
      <c r="P1844" s="4">
        <v>1482</v>
      </c>
      <c r="Q1844" s="3" t="s">
        <v>26</v>
      </c>
      <c r="R1844" s="3">
        <v>0</v>
      </c>
      <c r="S1844" s="4">
        <v>0</v>
      </c>
      <c r="T1844" s="4">
        <v>84</v>
      </c>
      <c r="U1844" s="4">
        <v>7</v>
      </c>
      <c r="V1844" s="56">
        <f>IF(ISERROR(VLOOKUP($S$1844,'TAR FIN'!$A$1:$O$113,15,0)),0,VLOOKUP($S$1844,'TAR FIN'!$A$1:$O$113,15,0))</f>
        <v>0</v>
      </c>
      <c r="W1844" s="56">
        <f>IF(ISERROR(VLOOKUP($T$1844,'TAR FIN'!$A$1:$O$113,15,0)),0,VLOOKUP($T$1844,'TAR FIN'!$A$1:$O$113,15,0))*(1-0.06)</f>
        <v>325.428</v>
      </c>
      <c r="X1844" s="56">
        <f>IF(ISERROR(VLOOKUP($U$1844,'TAR FIN'!$A$1:$O$113,15,0)),0,VLOOKUP($U$1844,'TAR FIN'!$A$1:$O$113,15,0))*(1-0.06)</f>
        <v>220.18559999999999</v>
      </c>
      <c r="Y1844" s="56"/>
      <c r="Z1844" s="56">
        <f ca="1">('TUSD BE'!$AM$68+'TUSD BF'!$AM$68+'TUSD CVA'!$AM$68)*1*(1-0.03)</f>
        <v>398.80818707515107</v>
      </c>
      <c r="AA1844" s="56">
        <f>('TE BE'!$AA$47+'TE BF'!$AA$47+'TE CVA'!$AA$47)*1*(1-0.03)</f>
        <v>227.63894795864678</v>
      </c>
      <c r="AB1844" s="4">
        <f>$K$1844*$V$1844</f>
        <v>0</v>
      </c>
      <c r="AC1844" s="4">
        <f>$M$1844*$W$1844</f>
        <v>696920.65882799996</v>
      </c>
      <c r="AD1844" s="4">
        <f>$O$1844*$X$1844</f>
        <v>471538.69186559995</v>
      </c>
      <c r="AE1844" s="4">
        <f>$K$1844*$Y$1844</f>
        <v>0</v>
      </c>
      <c r="AF1844" s="4">
        <f ca="1">$M$1844*$Z$1844</f>
        <v>854068.07183897682</v>
      </c>
      <c r="AG1844" s="4">
        <f>$O$1844*$AA$1844</f>
        <v>487500.41663978796</v>
      </c>
    </row>
    <row r="1845" spans="1:33" ht="11.25" customHeight="1" x14ac:dyDescent="0.25">
      <c r="A1845" s="3" t="s">
        <v>21</v>
      </c>
      <c r="B1845" s="3" t="s">
        <v>47</v>
      </c>
      <c r="C1845" s="3" t="s">
        <v>23</v>
      </c>
      <c r="D1845" s="3" t="s">
        <v>48</v>
      </c>
      <c r="E1845" s="3" t="s">
        <v>49</v>
      </c>
      <c r="F1845" s="3" t="s">
        <v>25</v>
      </c>
      <c r="G1845" s="3" t="s">
        <v>25</v>
      </c>
      <c r="H1845" s="3" t="s">
        <v>25</v>
      </c>
      <c r="I1845" s="6">
        <v>44287</v>
      </c>
      <c r="J1845" s="4">
        <v>0</v>
      </c>
      <c r="K1845" s="4">
        <v>0</v>
      </c>
      <c r="L1845" s="4">
        <v>16798.395</v>
      </c>
      <c r="M1845" s="4">
        <v>16798.395</v>
      </c>
      <c r="N1845" s="4">
        <v>16798.395</v>
      </c>
      <c r="O1845" s="4">
        <v>16798.395</v>
      </c>
      <c r="P1845" s="4">
        <v>932</v>
      </c>
      <c r="Q1845" s="3" t="s">
        <v>26</v>
      </c>
      <c r="R1845" s="3">
        <v>0</v>
      </c>
      <c r="S1845" s="4">
        <v>0</v>
      </c>
      <c r="T1845" s="4">
        <v>92</v>
      </c>
      <c r="U1845" s="4">
        <v>9</v>
      </c>
      <c r="V1845" s="4">
        <f>IF(ISERROR(VLOOKUP($S$1845,'TAR FIN'!$A$1:$O$113,15,0)),0,VLOOKUP($S$1845,'TAR FIN'!$A$1:$O$113,15,0))</f>
        <v>0</v>
      </c>
      <c r="W1845" s="4">
        <f>IF(ISERROR(VLOOKUP($T$1845,'TAR FIN'!$A$1:$O$113,15,0)),0,VLOOKUP($T$1845,'TAR FIN'!$A$1:$O$113,15,0))</f>
        <v>190.41</v>
      </c>
      <c r="X1845" s="4">
        <f>IF(ISERROR(VLOOKUP($U$1845,'TAR FIN'!$A$1:$O$113,15,0)),0,VLOOKUP($U$1845,'TAR FIN'!$A$1:$O$113,15,0))</f>
        <v>128.83000000000001</v>
      </c>
      <c r="Y1845" s="4"/>
      <c r="Z1845" s="4">
        <f ca="1">('TUSD BE'!$AM$70+'TUSD BF'!$AM$70+'TUSD CVA'!$AM$70)*1</f>
        <v>226.12835349621975</v>
      </c>
      <c r="AA1845" s="4">
        <f>('TE BE'!$AA$49+'TE BF'!$AA$49+'TE CVA'!$AA$49)*1</f>
        <v>129.07363028583066</v>
      </c>
      <c r="AB1845" s="4">
        <f>$K$1845*$V$1845</f>
        <v>0</v>
      </c>
      <c r="AC1845" s="4">
        <f>$M$1845*$W$1845</f>
        <v>3198582.3919500001</v>
      </c>
      <c r="AD1845" s="4">
        <f>$O$1845*$X$1845</f>
        <v>2164137.2278500004</v>
      </c>
      <c r="AE1845" s="4">
        <f>$K$1845*$Y$1845</f>
        <v>0</v>
      </c>
      <c r="AF1845" s="4">
        <f ca="1">$M$1845*$Z$1845</f>
        <v>3798593.4027291304</v>
      </c>
      <c r="AG1845" s="4">
        <f>$O$1845*$AA$1845</f>
        <v>2168229.8256253465</v>
      </c>
    </row>
    <row r="1846" spans="1:33" ht="11.25" customHeight="1" x14ac:dyDescent="0.25">
      <c r="A1846" s="3" t="s">
        <v>27</v>
      </c>
      <c r="B1846" s="3" t="s">
        <v>47</v>
      </c>
      <c r="C1846" s="3" t="s">
        <v>23</v>
      </c>
      <c r="D1846" s="3" t="s">
        <v>48</v>
      </c>
      <c r="E1846" s="3" t="s">
        <v>49</v>
      </c>
      <c r="F1846" s="3" t="s">
        <v>25</v>
      </c>
      <c r="G1846" s="3" t="s">
        <v>25</v>
      </c>
      <c r="H1846" s="3" t="s">
        <v>25</v>
      </c>
      <c r="I1846" s="6">
        <v>44287</v>
      </c>
      <c r="J1846" s="4">
        <v>0</v>
      </c>
      <c r="K1846" s="4">
        <v>0</v>
      </c>
      <c r="L1846" s="4">
        <v>35.203000000000003</v>
      </c>
      <c r="M1846" s="4">
        <v>35.203000000000003</v>
      </c>
      <c r="N1846" s="4">
        <v>35.203000000000003</v>
      </c>
      <c r="O1846" s="4">
        <v>35.203000000000003</v>
      </c>
      <c r="P1846" s="4">
        <v>2</v>
      </c>
      <c r="Q1846" s="3" t="s">
        <v>26</v>
      </c>
      <c r="R1846" s="3">
        <v>0</v>
      </c>
      <c r="S1846" s="4">
        <v>0</v>
      </c>
      <c r="T1846" s="4">
        <v>92</v>
      </c>
      <c r="U1846" s="4">
        <v>9</v>
      </c>
      <c r="V1846" s="4">
        <f>IF(ISERROR(VLOOKUP($S$1846,'TAR FIN'!$A$1:$O$113,15,0)),0,VLOOKUP($S$1846,'TAR FIN'!$A$1:$O$113,15,0))</f>
        <v>0</v>
      </c>
      <c r="W1846" s="4">
        <f>IF(ISERROR(VLOOKUP($T$1846,'TAR FIN'!$A$1:$O$113,15,0)),0,VLOOKUP($T$1846,'TAR FIN'!$A$1:$O$113,15,0))</f>
        <v>190.41</v>
      </c>
      <c r="X1846" s="4">
        <f>IF(ISERROR(VLOOKUP($U$1846,'TAR FIN'!$A$1:$O$113,15,0)),0,VLOOKUP($U$1846,'TAR FIN'!$A$1:$O$113,15,0))</f>
        <v>128.83000000000001</v>
      </c>
      <c r="Y1846" s="4"/>
      <c r="Z1846" s="4">
        <f ca="1">('TUSD BE'!$AM$70+'TUSD BF'!$AM$70+'TUSD CVA'!$AM$70)*1</f>
        <v>226.12835349621975</v>
      </c>
      <c r="AA1846" s="4">
        <f>('TE BE'!$AA$49+'TE BF'!$AA$49+'TE CVA'!$AA$49)*1</f>
        <v>129.07363028583066</v>
      </c>
      <c r="AB1846" s="4">
        <f>$K$1846*$V$1846</f>
        <v>0</v>
      </c>
      <c r="AC1846" s="4">
        <f>$M$1846*$W$1846</f>
        <v>6703.0032300000003</v>
      </c>
      <c r="AD1846" s="4">
        <f>$O$1846*$X$1846</f>
        <v>4535.2024900000006</v>
      </c>
      <c r="AE1846" s="4">
        <f>$K$1846*$Y$1846</f>
        <v>0</v>
      </c>
      <c r="AF1846" s="4">
        <f ca="1">$M$1846*$Z$1846</f>
        <v>7960.3964281274248</v>
      </c>
      <c r="AG1846" s="4">
        <f>$O$1846*$AA$1846</f>
        <v>4543.779006952097</v>
      </c>
    </row>
    <row r="1847" spans="1:33" ht="11.25" customHeight="1" x14ac:dyDescent="0.25">
      <c r="A1847" s="3" t="s">
        <v>21</v>
      </c>
      <c r="B1847" s="3" t="s">
        <v>47</v>
      </c>
      <c r="C1847" s="3" t="s">
        <v>23</v>
      </c>
      <c r="D1847" s="3" t="s">
        <v>48</v>
      </c>
      <c r="E1847" s="3" t="s">
        <v>49</v>
      </c>
      <c r="F1847" s="3" t="s">
        <v>25</v>
      </c>
      <c r="G1847" s="3" t="s">
        <v>25</v>
      </c>
      <c r="H1847" s="3" t="s">
        <v>25</v>
      </c>
      <c r="I1847" s="6">
        <v>44317</v>
      </c>
      <c r="J1847" s="4">
        <v>0</v>
      </c>
      <c r="K1847" s="4">
        <v>0</v>
      </c>
      <c r="L1847" s="4">
        <v>17108.749</v>
      </c>
      <c r="M1847" s="4">
        <v>17108.749</v>
      </c>
      <c r="N1847" s="4">
        <v>17108.749</v>
      </c>
      <c r="O1847" s="4">
        <v>17108.749</v>
      </c>
      <c r="P1847" s="4">
        <v>936</v>
      </c>
      <c r="Q1847" s="3" t="s">
        <v>26</v>
      </c>
      <c r="R1847" s="3">
        <v>0</v>
      </c>
      <c r="S1847" s="4">
        <v>0</v>
      </c>
      <c r="T1847" s="4">
        <v>92</v>
      </c>
      <c r="U1847" s="4">
        <v>9</v>
      </c>
      <c r="V1847" s="4">
        <f>IF(ISERROR(VLOOKUP($S$1847,'TAR FIN'!$A$1:$O$113,15,0)),0,VLOOKUP($S$1847,'TAR FIN'!$A$1:$O$113,15,0))</f>
        <v>0</v>
      </c>
      <c r="W1847" s="4">
        <f>IF(ISERROR(VLOOKUP($T$1847,'TAR FIN'!$A$1:$O$113,15,0)),0,VLOOKUP($T$1847,'TAR FIN'!$A$1:$O$113,15,0))</f>
        <v>190.41</v>
      </c>
      <c r="X1847" s="4">
        <f>IF(ISERROR(VLOOKUP($U$1847,'TAR FIN'!$A$1:$O$113,15,0)),0,VLOOKUP($U$1847,'TAR FIN'!$A$1:$O$113,15,0))</f>
        <v>128.83000000000001</v>
      </c>
      <c r="Y1847" s="4"/>
      <c r="Z1847" s="4">
        <f ca="1">('TUSD BE'!$AM$70+'TUSD BF'!$AM$70+'TUSD CVA'!$AM$70)*1</f>
        <v>226.12835349621975</v>
      </c>
      <c r="AA1847" s="4">
        <f>('TE BE'!$AA$49+'TE BF'!$AA$49+'TE CVA'!$AA$49)*1</f>
        <v>129.07363028583066</v>
      </c>
      <c r="AB1847" s="4">
        <f>$K$1847*$V$1847</f>
        <v>0</v>
      </c>
      <c r="AC1847" s="4">
        <f>$M$1847*$W$1847</f>
        <v>3257676.8970900001</v>
      </c>
      <c r="AD1847" s="4">
        <f>$O$1847*$X$1847</f>
        <v>2204120.1336700004</v>
      </c>
      <c r="AE1847" s="4">
        <f>$K$1847*$Y$1847</f>
        <v>0</v>
      </c>
      <c r="AF1847" s="4">
        <f ca="1">$M$1847*$Z$1847</f>
        <v>3868773.241750096</v>
      </c>
      <c r="AG1847" s="4">
        <f>$O$1847*$AA$1847</f>
        <v>2208288.3430790752</v>
      </c>
    </row>
    <row r="1848" spans="1:33" ht="11.25" customHeight="1" x14ac:dyDescent="0.25">
      <c r="A1848" s="3" t="s">
        <v>27</v>
      </c>
      <c r="B1848" s="3" t="s">
        <v>47</v>
      </c>
      <c r="C1848" s="3" t="s">
        <v>23</v>
      </c>
      <c r="D1848" s="3" t="s">
        <v>48</v>
      </c>
      <c r="E1848" s="3" t="s">
        <v>49</v>
      </c>
      <c r="F1848" s="3" t="s">
        <v>25</v>
      </c>
      <c r="G1848" s="3" t="s">
        <v>25</v>
      </c>
      <c r="H1848" s="3" t="s">
        <v>25</v>
      </c>
      <c r="I1848" s="6">
        <v>44317</v>
      </c>
      <c r="J1848" s="4">
        <v>0</v>
      </c>
      <c r="K1848" s="4">
        <v>0</v>
      </c>
      <c r="L1848" s="4">
        <v>-64.414000000000001</v>
      </c>
      <c r="M1848" s="4">
        <v>-64.414000000000001</v>
      </c>
      <c r="N1848" s="4">
        <v>-64.414000000000001</v>
      </c>
      <c r="O1848" s="4">
        <v>-64.414000000000001</v>
      </c>
      <c r="P1848" s="4">
        <v>-2</v>
      </c>
      <c r="Q1848" s="3" t="s">
        <v>26</v>
      </c>
      <c r="R1848" s="3">
        <v>0</v>
      </c>
      <c r="S1848" s="4">
        <v>0</v>
      </c>
      <c r="T1848" s="4">
        <v>92</v>
      </c>
      <c r="U1848" s="4">
        <v>9</v>
      </c>
      <c r="V1848" s="4">
        <f>IF(ISERROR(VLOOKUP($S$1848,'TAR FIN'!$A$1:$O$113,15,0)),0,VLOOKUP($S$1848,'TAR FIN'!$A$1:$O$113,15,0))</f>
        <v>0</v>
      </c>
      <c r="W1848" s="4">
        <f>IF(ISERROR(VLOOKUP($T$1848,'TAR FIN'!$A$1:$O$113,15,0)),0,VLOOKUP($T$1848,'TAR FIN'!$A$1:$O$113,15,0))</f>
        <v>190.41</v>
      </c>
      <c r="X1848" s="4">
        <f>IF(ISERROR(VLOOKUP($U$1848,'TAR FIN'!$A$1:$O$113,15,0)),0,VLOOKUP($U$1848,'TAR FIN'!$A$1:$O$113,15,0))</f>
        <v>128.83000000000001</v>
      </c>
      <c r="Y1848" s="4"/>
      <c r="Z1848" s="4">
        <f ca="1">('TUSD BE'!$AM$70+'TUSD BF'!$AM$70+'TUSD CVA'!$AM$70)*1</f>
        <v>226.12835349621975</v>
      </c>
      <c r="AA1848" s="4">
        <f>('TE BE'!$AA$49+'TE BF'!$AA$49+'TE CVA'!$AA$49)*1</f>
        <v>129.07363028583066</v>
      </c>
      <c r="AB1848" s="4">
        <f>$K$1848*$V$1848</f>
        <v>0</v>
      </c>
      <c r="AC1848" s="4">
        <f>$M$1848*$W$1848</f>
        <v>-12265.069740000001</v>
      </c>
      <c r="AD1848" s="4">
        <f>$O$1848*$X$1848</f>
        <v>-8298.4556200000006</v>
      </c>
      <c r="AE1848" s="4">
        <f>$K$1848*$Y$1848</f>
        <v>0</v>
      </c>
      <c r="AF1848" s="4">
        <f ca="1">$M$1848*$Z$1848</f>
        <v>-14565.831762105499</v>
      </c>
      <c r="AG1848" s="4">
        <f>$O$1848*$AA$1848</f>
        <v>-8314.1488212314962</v>
      </c>
    </row>
    <row r="1849" spans="1:33" ht="11.25" customHeight="1" x14ac:dyDescent="0.25">
      <c r="A1849" s="3" t="s">
        <v>21</v>
      </c>
      <c r="B1849" s="3" t="s">
        <v>47</v>
      </c>
      <c r="C1849" s="3" t="s">
        <v>23</v>
      </c>
      <c r="D1849" s="3" t="s">
        <v>48</v>
      </c>
      <c r="E1849" s="3" t="s">
        <v>49</v>
      </c>
      <c r="F1849" s="3" t="s">
        <v>25</v>
      </c>
      <c r="G1849" s="3" t="s">
        <v>25</v>
      </c>
      <c r="H1849" s="3" t="s">
        <v>25</v>
      </c>
      <c r="I1849" s="6">
        <v>44348</v>
      </c>
      <c r="J1849" s="4">
        <v>0</v>
      </c>
      <c r="K1849" s="4">
        <v>0</v>
      </c>
      <c r="L1849" s="4">
        <v>16346.535</v>
      </c>
      <c r="M1849" s="4">
        <v>16346.535</v>
      </c>
      <c r="N1849" s="4">
        <v>16346.535</v>
      </c>
      <c r="O1849" s="4">
        <v>16346.535</v>
      </c>
      <c r="P1849" s="4">
        <v>937</v>
      </c>
      <c r="Q1849" s="3" t="s">
        <v>26</v>
      </c>
      <c r="R1849" s="3">
        <v>0</v>
      </c>
      <c r="S1849" s="4">
        <v>0</v>
      </c>
      <c r="T1849" s="4">
        <v>92</v>
      </c>
      <c r="U1849" s="4">
        <v>9</v>
      </c>
      <c r="V1849" s="4">
        <f>IF(ISERROR(VLOOKUP($S$1849,'TAR FIN'!$A$1:$O$113,15,0)),0,VLOOKUP($S$1849,'TAR FIN'!$A$1:$O$113,15,0))</f>
        <v>0</v>
      </c>
      <c r="W1849" s="4">
        <f>IF(ISERROR(VLOOKUP($T$1849,'TAR FIN'!$A$1:$O$113,15,0)),0,VLOOKUP($T$1849,'TAR FIN'!$A$1:$O$113,15,0))</f>
        <v>190.41</v>
      </c>
      <c r="X1849" s="4">
        <f>IF(ISERROR(VLOOKUP($U$1849,'TAR FIN'!$A$1:$O$113,15,0)),0,VLOOKUP($U$1849,'TAR FIN'!$A$1:$O$113,15,0))</f>
        <v>128.83000000000001</v>
      </c>
      <c r="Y1849" s="4"/>
      <c r="Z1849" s="4">
        <f ca="1">('TUSD BE'!$AM$70+'TUSD BF'!$AM$70+'TUSD CVA'!$AM$70)*1</f>
        <v>226.12835349621975</v>
      </c>
      <c r="AA1849" s="4">
        <f>('TE BE'!$AA$49+'TE BF'!$AA$49+'TE CVA'!$AA$49)*1</f>
        <v>129.07363028583066</v>
      </c>
      <c r="AB1849" s="4">
        <f>$K$1849*$V$1849</f>
        <v>0</v>
      </c>
      <c r="AC1849" s="4">
        <f>$M$1849*$W$1849</f>
        <v>3112543.7293499997</v>
      </c>
      <c r="AD1849" s="4">
        <f>$O$1849*$X$1849</f>
        <v>2105924.1040500002</v>
      </c>
      <c r="AE1849" s="4">
        <f>$K$1849*$Y$1849</f>
        <v>0</v>
      </c>
      <c r="AF1849" s="4">
        <f ca="1">$M$1849*$Z$1849</f>
        <v>3696415.0449183285</v>
      </c>
      <c r="AG1849" s="4">
        <f>$O$1849*$AA$1849</f>
        <v>2109906.6150443908</v>
      </c>
    </row>
    <row r="1850" spans="1:33" ht="11.25" customHeight="1" x14ac:dyDescent="0.25">
      <c r="A1850" s="3" t="s">
        <v>27</v>
      </c>
      <c r="B1850" s="3" t="s">
        <v>47</v>
      </c>
      <c r="C1850" s="3" t="s">
        <v>23</v>
      </c>
      <c r="D1850" s="3" t="s">
        <v>48</v>
      </c>
      <c r="E1850" s="3" t="s">
        <v>49</v>
      </c>
      <c r="F1850" s="3" t="s">
        <v>25</v>
      </c>
      <c r="G1850" s="3" t="s">
        <v>25</v>
      </c>
      <c r="H1850" s="3" t="s">
        <v>25</v>
      </c>
      <c r="I1850" s="6">
        <v>44348</v>
      </c>
      <c r="J1850" s="4">
        <v>0</v>
      </c>
      <c r="K1850" s="4">
        <v>0</v>
      </c>
      <c r="L1850" s="4">
        <v>55.063000000000002</v>
      </c>
      <c r="M1850" s="4">
        <v>55.063000000000002</v>
      </c>
      <c r="N1850" s="4">
        <v>55.063000000000002</v>
      </c>
      <c r="O1850" s="4">
        <v>55.063000000000002</v>
      </c>
      <c r="P1850" s="4">
        <v>0</v>
      </c>
      <c r="Q1850" s="3" t="s">
        <v>26</v>
      </c>
      <c r="R1850" s="3">
        <v>0</v>
      </c>
      <c r="S1850" s="4">
        <v>0</v>
      </c>
      <c r="T1850" s="4">
        <v>92</v>
      </c>
      <c r="U1850" s="4">
        <v>9</v>
      </c>
      <c r="V1850" s="4">
        <f>IF(ISERROR(VLOOKUP($S$1850,'TAR FIN'!$A$1:$O$113,15,0)),0,VLOOKUP($S$1850,'TAR FIN'!$A$1:$O$113,15,0))</f>
        <v>0</v>
      </c>
      <c r="W1850" s="4">
        <f>IF(ISERROR(VLOOKUP($T$1850,'TAR FIN'!$A$1:$O$113,15,0)),0,VLOOKUP($T$1850,'TAR FIN'!$A$1:$O$113,15,0))</f>
        <v>190.41</v>
      </c>
      <c r="X1850" s="4">
        <f>IF(ISERROR(VLOOKUP($U$1850,'TAR FIN'!$A$1:$O$113,15,0)),0,VLOOKUP($U$1850,'TAR FIN'!$A$1:$O$113,15,0))</f>
        <v>128.83000000000001</v>
      </c>
      <c r="Y1850" s="4"/>
      <c r="Z1850" s="4">
        <f ca="1">('TUSD BE'!$AM$70+'TUSD BF'!$AM$70+'TUSD CVA'!$AM$70)*1</f>
        <v>226.12835349621975</v>
      </c>
      <c r="AA1850" s="4">
        <f>('TE BE'!$AA$49+'TE BF'!$AA$49+'TE CVA'!$AA$49)*1</f>
        <v>129.07363028583066</v>
      </c>
      <c r="AB1850" s="4">
        <f>$K$1850*$V$1850</f>
        <v>0</v>
      </c>
      <c r="AC1850" s="4">
        <f>$M$1850*$W$1850</f>
        <v>10484.545830000001</v>
      </c>
      <c r="AD1850" s="4">
        <f>$O$1850*$X$1850</f>
        <v>7093.7662900000014</v>
      </c>
      <c r="AE1850" s="4">
        <f>$K$1850*$Y$1850</f>
        <v>0</v>
      </c>
      <c r="AF1850" s="4">
        <f ca="1">$M$1850*$Z$1850</f>
        <v>12451.305528562349</v>
      </c>
      <c r="AG1850" s="4">
        <f>$O$1850*$AA$1850</f>
        <v>7107.1813044286937</v>
      </c>
    </row>
    <row r="1851" spans="1:33" ht="11.25" customHeight="1" x14ac:dyDescent="0.25">
      <c r="A1851" s="3" t="s">
        <v>21</v>
      </c>
      <c r="B1851" s="3" t="s">
        <v>47</v>
      </c>
      <c r="C1851" s="3" t="s">
        <v>23</v>
      </c>
      <c r="D1851" s="3" t="s">
        <v>48</v>
      </c>
      <c r="E1851" s="3" t="s">
        <v>49</v>
      </c>
      <c r="F1851" s="3" t="s">
        <v>25</v>
      </c>
      <c r="G1851" s="3" t="s">
        <v>25</v>
      </c>
      <c r="H1851" s="3" t="s">
        <v>25</v>
      </c>
      <c r="I1851" s="6">
        <v>44378</v>
      </c>
      <c r="J1851" s="4">
        <v>0</v>
      </c>
      <c r="K1851" s="4">
        <v>0</v>
      </c>
      <c r="L1851" s="4">
        <v>16810.743999999999</v>
      </c>
      <c r="M1851" s="4">
        <v>16810.743999999999</v>
      </c>
      <c r="N1851" s="4">
        <v>16810.743999999999</v>
      </c>
      <c r="O1851" s="4">
        <v>16810.743999999999</v>
      </c>
      <c r="P1851" s="4">
        <v>969</v>
      </c>
      <c r="Q1851" s="3" t="s">
        <v>26</v>
      </c>
      <c r="R1851" s="3">
        <v>0</v>
      </c>
      <c r="S1851" s="4">
        <v>0</v>
      </c>
      <c r="T1851" s="4">
        <v>92</v>
      </c>
      <c r="U1851" s="4">
        <v>9</v>
      </c>
      <c r="V1851" s="4">
        <f>IF(ISERROR(VLOOKUP($S$1851,'TAR FIN'!$A$1:$O$113,15,0)),0,VLOOKUP($S$1851,'TAR FIN'!$A$1:$O$113,15,0))</f>
        <v>0</v>
      </c>
      <c r="W1851" s="4">
        <f>IF(ISERROR(VLOOKUP($T$1851,'TAR FIN'!$A$1:$O$113,15,0)),0,VLOOKUP($T$1851,'TAR FIN'!$A$1:$O$113,15,0))</f>
        <v>190.41</v>
      </c>
      <c r="X1851" s="4">
        <f>IF(ISERROR(VLOOKUP($U$1851,'TAR FIN'!$A$1:$O$113,15,0)),0,VLOOKUP($U$1851,'TAR FIN'!$A$1:$O$113,15,0))</f>
        <v>128.83000000000001</v>
      </c>
      <c r="Y1851" s="4"/>
      <c r="Z1851" s="4">
        <f ca="1">('TUSD BE'!$AM$70+'TUSD BF'!$AM$70+'TUSD CVA'!$AM$70)*1</f>
        <v>226.12835349621975</v>
      </c>
      <c r="AA1851" s="4">
        <f>('TE BE'!$AA$49+'TE BF'!$AA$49+'TE CVA'!$AA$49)*1</f>
        <v>129.07363028583066</v>
      </c>
      <c r="AB1851" s="4">
        <f>$K$1851*$V$1851</f>
        <v>0</v>
      </c>
      <c r="AC1851" s="4">
        <f>$M$1851*$W$1851</f>
        <v>3200933.7650399995</v>
      </c>
      <c r="AD1851" s="4">
        <f>$O$1851*$X$1851</f>
        <v>2165728.14952</v>
      </c>
      <c r="AE1851" s="4">
        <f>$K$1851*$Y$1851</f>
        <v>0</v>
      </c>
      <c r="AF1851" s="4">
        <f ca="1">$M$1851*$Z$1851</f>
        <v>3801385.8617664548</v>
      </c>
      <c r="AG1851" s="4">
        <f>$O$1851*$AA$1851</f>
        <v>2169823.7558857459</v>
      </c>
    </row>
    <row r="1852" spans="1:33" ht="11.25" customHeight="1" x14ac:dyDescent="0.25">
      <c r="A1852" s="3" t="s">
        <v>27</v>
      </c>
      <c r="B1852" s="3" t="s">
        <v>47</v>
      </c>
      <c r="C1852" s="3" t="s">
        <v>23</v>
      </c>
      <c r="D1852" s="3" t="s">
        <v>48</v>
      </c>
      <c r="E1852" s="3" t="s">
        <v>49</v>
      </c>
      <c r="F1852" s="3" t="s">
        <v>25</v>
      </c>
      <c r="G1852" s="3" t="s">
        <v>25</v>
      </c>
      <c r="H1852" s="3" t="s">
        <v>25</v>
      </c>
      <c r="I1852" s="6">
        <v>44378</v>
      </c>
      <c r="J1852" s="4">
        <v>0</v>
      </c>
      <c r="K1852" s="4">
        <v>0</v>
      </c>
      <c r="L1852" s="4">
        <v>30.231000000000002</v>
      </c>
      <c r="M1852" s="4">
        <v>30.231000000000002</v>
      </c>
      <c r="N1852" s="4">
        <v>30.231000000000002</v>
      </c>
      <c r="O1852" s="4">
        <v>30.231000000000002</v>
      </c>
      <c r="P1852" s="4">
        <v>-1</v>
      </c>
      <c r="Q1852" s="3" t="s">
        <v>26</v>
      </c>
      <c r="R1852" s="3">
        <v>0</v>
      </c>
      <c r="S1852" s="4">
        <v>0</v>
      </c>
      <c r="T1852" s="4">
        <v>92</v>
      </c>
      <c r="U1852" s="4">
        <v>9</v>
      </c>
      <c r="V1852" s="4">
        <f>IF(ISERROR(VLOOKUP($S$1852,'TAR FIN'!$A$1:$O$113,15,0)),0,VLOOKUP($S$1852,'TAR FIN'!$A$1:$O$113,15,0))</f>
        <v>0</v>
      </c>
      <c r="W1852" s="4">
        <f>IF(ISERROR(VLOOKUP($T$1852,'TAR FIN'!$A$1:$O$113,15,0)),0,VLOOKUP($T$1852,'TAR FIN'!$A$1:$O$113,15,0))</f>
        <v>190.41</v>
      </c>
      <c r="X1852" s="4">
        <f>IF(ISERROR(VLOOKUP($U$1852,'TAR FIN'!$A$1:$O$113,15,0)),0,VLOOKUP($U$1852,'TAR FIN'!$A$1:$O$113,15,0))</f>
        <v>128.83000000000001</v>
      </c>
      <c r="Y1852" s="4"/>
      <c r="Z1852" s="4">
        <f ca="1">('TUSD BE'!$AM$70+'TUSD BF'!$AM$70+'TUSD CVA'!$AM$70)*1</f>
        <v>226.12835349621975</v>
      </c>
      <c r="AA1852" s="4">
        <f>('TE BE'!$AA$49+'TE BF'!$AA$49+'TE CVA'!$AA$49)*1</f>
        <v>129.07363028583066</v>
      </c>
      <c r="AB1852" s="4">
        <f>$K$1852*$V$1852</f>
        <v>0</v>
      </c>
      <c r="AC1852" s="4">
        <f>$M$1852*$W$1852</f>
        <v>5756.2847099999999</v>
      </c>
      <c r="AD1852" s="4">
        <f>$O$1852*$X$1852</f>
        <v>3894.6597300000008</v>
      </c>
      <c r="AE1852" s="4">
        <f>$K$1852*$Y$1852</f>
        <v>0</v>
      </c>
      <c r="AF1852" s="4">
        <f ca="1">$M$1852*$Z$1852</f>
        <v>6836.0862545442196</v>
      </c>
      <c r="AG1852" s="4">
        <f>$O$1852*$AA$1852</f>
        <v>3902.024917170947</v>
      </c>
    </row>
    <row r="1853" spans="1:33" ht="11.25" customHeight="1" x14ac:dyDescent="0.25">
      <c r="A1853" s="3" t="s">
        <v>21</v>
      </c>
      <c r="B1853" s="3" t="s">
        <v>47</v>
      </c>
      <c r="C1853" s="3" t="s">
        <v>23</v>
      </c>
      <c r="D1853" s="3" t="s">
        <v>48</v>
      </c>
      <c r="E1853" s="3" t="s">
        <v>49</v>
      </c>
      <c r="F1853" s="3" t="s">
        <v>25</v>
      </c>
      <c r="G1853" s="3" t="s">
        <v>25</v>
      </c>
      <c r="H1853" s="3" t="s">
        <v>25</v>
      </c>
      <c r="I1853" s="6">
        <v>44409</v>
      </c>
      <c r="J1853" s="4">
        <v>0</v>
      </c>
      <c r="K1853" s="4">
        <v>0</v>
      </c>
      <c r="L1853" s="4">
        <v>17011.956999999999</v>
      </c>
      <c r="M1853" s="4">
        <v>17011.956999999999</v>
      </c>
      <c r="N1853" s="4">
        <v>17011.956999999999</v>
      </c>
      <c r="O1853" s="4">
        <v>17011.956999999999</v>
      </c>
      <c r="P1853" s="4">
        <v>988</v>
      </c>
      <c r="Q1853" s="3" t="s">
        <v>26</v>
      </c>
      <c r="R1853" s="3">
        <v>0</v>
      </c>
      <c r="S1853" s="4">
        <v>0</v>
      </c>
      <c r="T1853" s="4">
        <v>92</v>
      </c>
      <c r="U1853" s="4">
        <v>9</v>
      </c>
      <c r="V1853" s="4">
        <f>IF(ISERROR(VLOOKUP($S$1853,'TAR FIN'!$A$1:$O$113,15,0)),0,VLOOKUP($S$1853,'TAR FIN'!$A$1:$O$113,15,0))</f>
        <v>0</v>
      </c>
      <c r="W1853" s="4">
        <f>IF(ISERROR(VLOOKUP($T$1853,'TAR FIN'!$A$1:$O$113,15,0)),0,VLOOKUP($T$1853,'TAR FIN'!$A$1:$O$113,15,0))</f>
        <v>190.41</v>
      </c>
      <c r="X1853" s="4">
        <f>IF(ISERROR(VLOOKUP($U$1853,'TAR FIN'!$A$1:$O$113,15,0)),0,VLOOKUP($U$1853,'TAR FIN'!$A$1:$O$113,15,0))</f>
        <v>128.83000000000001</v>
      </c>
      <c r="Y1853" s="4"/>
      <c r="Z1853" s="4">
        <f ca="1">('TUSD BE'!$AM$70+'TUSD BF'!$AM$70+'TUSD CVA'!$AM$70)*1</f>
        <v>226.12835349621975</v>
      </c>
      <c r="AA1853" s="4">
        <f>('TE BE'!$AA$49+'TE BF'!$AA$49+'TE CVA'!$AA$49)*1</f>
        <v>129.07363028583066</v>
      </c>
      <c r="AB1853" s="4">
        <f>$K$1853*$V$1853</f>
        <v>0</v>
      </c>
      <c r="AC1853" s="4">
        <f>$M$1853*$W$1853</f>
        <v>3239246.7323699999</v>
      </c>
      <c r="AD1853" s="4">
        <f>$O$1853*$X$1853</f>
        <v>2191650.42031</v>
      </c>
      <c r="AE1853" s="4">
        <f>$K$1853*$Y$1853</f>
        <v>0</v>
      </c>
      <c r="AF1853" s="4">
        <f ca="1">$M$1853*$Z$1853</f>
        <v>3846885.8261584896</v>
      </c>
      <c r="AG1853" s="4">
        <f>$O$1853*$AA$1853</f>
        <v>2195795.0482564489</v>
      </c>
    </row>
    <row r="1854" spans="1:33" ht="11.25" customHeight="1" x14ac:dyDescent="0.25">
      <c r="A1854" s="3" t="s">
        <v>27</v>
      </c>
      <c r="B1854" s="3" t="s">
        <v>47</v>
      </c>
      <c r="C1854" s="3" t="s">
        <v>23</v>
      </c>
      <c r="D1854" s="3" t="s">
        <v>48</v>
      </c>
      <c r="E1854" s="3" t="s">
        <v>49</v>
      </c>
      <c r="F1854" s="3" t="s">
        <v>25</v>
      </c>
      <c r="G1854" s="3" t="s">
        <v>25</v>
      </c>
      <c r="H1854" s="3" t="s">
        <v>25</v>
      </c>
      <c r="I1854" s="6">
        <v>44409</v>
      </c>
      <c r="J1854" s="4">
        <v>0</v>
      </c>
      <c r="K1854" s="4">
        <v>0</v>
      </c>
      <c r="L1854" s="4">
        <v>36.17</v>
      </c>
      <c r="M1854" s="4">
        <v>36.17</v>
      </c>
      <c r="N1854" s="4">
        <v>36.17</v>
      </c>
      <c r="O1854" s="4">
        <v>36.17</v>
      </c>
      <c r="P1854" s="4">
        <v>7</v>
      </c>
      <c r="Q1854" s="3" t="s">
        <v>26</v>
      </c>
      <c r="R1854" s="3">
        <v>0</v>
      </c>
      <c r="S1854" s="4">
        <v>0</v>
      </c>
      <c r="T1854" s="4">
        <v>92</v>
      </c>
      <c r="U1854" s="4">
        <v>9</v>
      </c>
      <c r="V1854" s="4">
        <f>IF(ISERROR(VLOOKUP($S$1854,'TAR FIN'!$A$1:$O$113,15,0)),0,VLOOKUP($S$1854,'TAR FIN'!$A$1:$O$113,15,0))</f>
        <v>0</v>
      </c>
      <c r="W1854" s="4">
        <f>IF(ISERROR(VLOOKUP($T$1854,'TAR FIN'!$A$1:$O$113,15,0)),0,VLOOKUP($T$1854,'TAR FIN'!$A$1:$O$113,15,0))</f>
        <v>190.41</v>
      </c>
      <c r="X1854" s="4">
        <f>IF(ISERROR(VLOOKUP($U$1854,'TAR FIN'!$A$1:$O$113,15,0)),0,VLOOKUP($U$1854,'TAR FIN'!$A$1:$O$113,15,0))</f>
        <v>128.83000000000001</v>
      </c>
      <c r="Y1854" s="4"/>
      <c r="Z1854" s="4">
        <f ca="1">('TUSD BE'!$AM$70+'TUSD BF'!$AM$70+'TUSD CVA'!$AM$70)*1</f>
        <v>226.12835349621975</v>
      </c>
      <c r="AA1854" s="4">
        <f>('TE BE'!$AA$49+'TE BF'!$AA$49+'TE CVA'!$AA$49)*1</f>
        <v>129.07363028583066</v>
      </c>
      <c r="AB1854" s="4">
        <f>$K$1854*$V$1854</f>
        <v>0</v>
      </c>
      <c r="AC1854" s="4">
        <f>$M$1854*$W$1854</f>
        <v>6887.1297000000004</v>
      </c>
      <c r="AD1854" s="4">
        <f>$O$1854*$X$1854</f>
        <v>4659.7811000000011</v>
      </c>
      <c r="AE1854" s="4">
        <f>$K$1854*$Y$1854</f>
        <v>0</v>
      </c>
      <c r="AF1854" s="4">
        <f ca="1">$M$1854*$Z$1854</f>
        <v>8179.0625459582689</v>
      </c>
      <c r="AG1854" s="4">
        <f>$O$1854*$AA$1854</f>
        <v>4668.5932074384955</v>
      </c>
    </row>
    <row r="1855" spans="1:33" ht="11.25" customHeight="1" x14ac:dyDescent="0.25">
      <c r="A1855" s="3" t="s">
        <v>21</v>
      </c>
      <c r="B1855" s="3" t="s">
        <v>47</v>
      </c>
      <c r="C1855" s="3" t="s">
        <v>23</v>
      </c>
      <c r="D1855" s="3" t="s">
        <v>48</v>
      </c>
      <c r="E1855" s="3" t="s">
        <v>49</v>
      </c>
      <c r="F1855" s="3" t="s">
        <v>25</v>
      </c>
      <c r="G1855" s="3" t="s">
        <v>25</v>
      </c>
      <c r="H1855" s="3" t="s">
        <v>25</v>
      </c>
      <c r="I1855" s="6">
        <v>44440</v>
      </c>
      <c r="J1855" s="4">
        <v>0</v>
      </c>
      <c r="K1855" s="4">
        <v>0</v>
      </c>
      <c r="L1855" s="4">
        <v>17258.758000000002</v>
      </c>
      <c r="M1855" s="4">
        <v>17258.758000000002</v>
      </c>
      <c r="N1855" s="4">
        <v>17258.758000000002</v>
      </c>
      <c r="O1855" s="4">
        <v>17258.758000000002</v>
      </c>
      <c r="P1855" s="4">
        <v>1030</v>
      </c>
      <c r="Q1855" s="3" t="s">
        <v>26</v>
      </c>
      <c r="R1855" s="3">
        <v>0</v>
      </c>
      <c r="S1855" s="4">
        <v>0</v>
      </c>
      <c r="T1855" s="4">
        <v>92</v>
      </c>
      <c r="U1855" s="4">
        <v>9</v>
      </c>
      <c r="V1855" s="4">
        <f>IF(ISERROR(VLOOKUP($S$1855,'TAR FIN'!$A$1:$O$113,15,0)),0,VLOOKUP($S$1855,'TAR FIN'!$A$1:$O$113,15,0))</f>
        <v>0</v>
      </c>
      <c r="W1855" s="4">
        <f>IF(ISERROR(VLOOKUP($T$1855,'TAR FIN'!$A$1:$O$113,15,0)),0,VLOOKUP($T$1855,'TAR FIN'!$A$1:$O$113,15,0))</f>
        <v>190.41</v>
      </c>
      <c r="X1855" s="4">
        <f>IF(ISERROR(VLOOKUP($U$1855,'TAR FIN'!$A$1:$O$113,15,0)),0,VLOOKUP($U$1855,'TAR FIN'!$A$1:$O$113,15,0))</f>
        <v>128.83000000000001</v>
      </c>
      <c r="Y1855" s="4"/>
      <c r="Z1855" s="4">
        <f ca="1">('TUSD BE'!$AM$70+'TUSD BF'!$AM$70+'TUSD CVA'!$AM$70)*1</f>
        <v>226.12835349621975</v>
      </c>
      <c r="AA1855" s="4">
        <f>('TE BE'!$AA$49+'TE BF'!$AA$49+'TE CVA'!$AA$49)*1</f>
        <v>129.07363028583066</v>
      </c>
      <c r="AB1855" s="4">
        <f>$K$1855*$V$1855</f>
        <v>0</v>
      </c>
      <c r="AC1855" s="4">
        <f>$M$1855*$W$1855</f>
        <v>3286240.1107800002</v>
      </c>
      <c r="AD1855" s="4">
        <f>$O$1855*$X$1855</f>
        <v>2223445.7931400002</v>
      </c>
      <c r="AE1855" s="4">
        <f>$K$1855*$Y$1855</f>
        <v>0</v>
      </c>
      <c r="AF1855" s="4">
        <f ca="1">$M$1855*$Z$1855</f>
        <v>3902694.529929711</v>
      </c>
      <c r="AG1855" s="4">
        <f>$O$1855*$AA$1855</f>
        <v>2227650.5492846225</v>
      </c>
    </row>
    <row r="1856" spans="1:33" ht="11.25" customHeight="1" x14ac:dyDescent="0.25">
      <c r="A1856" s="3" t="s">
        <v>27</v>
      </c>
      <c r="B1856" s="3" t="s">
        <v>47</v>
      </c>
      <c r="C1856" s="3" t="s">
        <v>23</v>
      </c>
      <c r="D1856" s="3" t="s">
        <v>48</v>
      </c>
      <c r="E1856" s="3" t="s">
        <v>49</v>
      </c>
      <c r="F1856" s="3" t="s">
        <v>25</v>
      </c>
      <c r="G1856" s="3" t="s">
        <v>25</v>
      </c>
      <c r="H1856" s="3" t="s">
        <v>25</v>
      </c>
      <c r="I1856" s="6">
        <v>44440</v>
      </c>
      <c r="J1856" s="4">
        <v>0</v>
      </c>
      <c r="K1856" s="4">
        <v>0</v>
      </c>
      <c r="L1856" s="4">
        <v>5.7240000000000002</v>
      </c>
      <c r="M1856" s="4">
        <v>5.7240000000000002</v>
      </c>
      <c r="N1856" s="4">
        <v>5.7240000000000002</v>
      </c>
      <c r="O1856" s="4">
        <v>5.7240000000000002</v>
      </c>
      <c r="P1856" s="4">
        <v>0</v>
      </c>
      <c r="Q1856" s="3" t="s">
        <v>26</v>
      </c>
      <c r="R1856" s="3">
        <v>0</v>
      </c>
      <c r="S1856" s="4">
        <v>0</v>
      </c>
      <c r="T1856" s="4">
        <v>92</v>
      </c>
      <c r="U1856" s="4">
        <v>9</v>
      </c>
      <c r="V1856" s="4">
        <f>IF(ISERROR(VLOOKUP($S$1856,'TAR FIN'!$A$1:$O$113,15,0)),0,VLOOKUP($S$1856,'TAR FIN'!$A$1:$O$113,15,0))</f>
        <v>0</v>
      </c>
      <c r="W1856" s="4">
        <f>IF(ISERROR(VLOOKUP($T$1856,'TAR FIN'!$A$1:$O$113,15,0)),0,VLOOKUP($T$1856,'TAR FIN'!$A$1:$O$113,15,0))</f>
        <v>190.41</v>
      </c>
      <c r="X1856" s="4">
        <f>IF(ISERROR(VLOOKUP($U$1856,'TAR FIN'!$A$1:$O$113,15,0)),0,VLOOKUP($U$1856,'TAR FIN'!$A$1:$O$113,15,0))</f>
        <v>128.83000000000001</v>
      </c>
      <c r="Y1856" s="4"/>
      <c r="Z1856" s="4">
        <f ca="1">('TUSD BE'!$AM$70+'TUSD BF'!$AM$70+'TUSD CVA'!$AM$70)*1</f>
        <v>226.12835349621975</v>
      </c>
      <c r="AA1856" s="4">
        <f>('TE BE'!$AA$49+'TE BF'!$AA$49+'TE CVA'!$AA$49)*1</f>
        <v>129.07363028583066</v>
      </c>
      <c r="AB1856" s="4">
        <f>$K$1856*$V$1856</f>
        <v>0</v>
      </c>
      <c r="AC1856" s="4">
        <f>$M$1856*$W$1856</f>
        <v>1089.9068400000001</v>
      </c>
      <c r="AD1856" s="4">
        <f>$O$1856*$X$1856</f>
        <v>737.42292000000009</v>
      </c>
      <c r="AE1856" s="4">
        <f>$K$1856*$Y$1856</f>
        <v>0</v>
      </c>
      <c r="AF1856" s="4">
        <f ca="1">$M$1856*$Z$1856</f>
        <v>1294.3586954123618</v>
      </c>
      <c r="AG1856" s="4">
        <f>$O$1856*$AA$1856</f>
        <v>738.81745975609476</v>
      </c>
    </row>
    <row r="1857" spans="1:33" ht="11.25" customHeight="1" x14ac:dyDescent="0.25">
      <c r="A1857" s="3" t="s">
        <v>21</v>
      </c>
      <c r="B1857" s="3" t="s">
        <v>47</v>
      </c>
      <c r="C1857" s="3" t="s">
        <v>23</v>
      </c>
      <c r="D1857" s="3" t="s">
        <v>48</v>
      </c>
      <c r="E1857" s="3" t="s">
        <v>49</v>
      </c>
      <c r="F1857" s="3" t="s">
        <v>25</v>
      </c>
      <c r="G1857" s="3" t="s">
        <v>25</v>
      </c>
      <c r="H1857" s="3" t="s">
        <v>25</v>
      </c>
      <c r="I1857" s="6">
        <v>44470</v>
      </c>
      <c r="J1857" s="4">
        <v>0</v>
      </c>
      <c r="K1857" s="4">
        <v>0</v>
      </c>
      <c r="L1857" s="4">
        <v>16963.59</v>
      </c>
      <c r="M1857" s="4">
        <v>16963.59</v>
      </c>
      <c r="N1857" s="4">
        <v>16963.59</v>
      </c>
      <c r="O1857" s="4">
        <v>16963.59</v>
      </c>
      <c r="P1857" s="4">
        <v>1025</v>
      </c>
      <c r="Q1857" s="3" t="s">
        <v>26</v>
      </c>
      <c r="R1857" s="3">
        <v>0</v>
      </c>
      <c r="S1857" s="4">
        <v>0</v>
      </c>
      <c r="T1857" s="4">
        <v>92</v>
      </c>
      <c r="U1857" s="4">
        <v>9</v>
      </c>
      <c r="V1857" s="4">
        <f>IF(ISERROR(VLOOKUP($S$1857,'TAR FIN'!$A$1:$O$113,15,0)),0,VLOOKUP($S$1857,'TAR FIN'!$A$1:$O$113,15,0))</f>
        <v>0</v>
      </c>
      <c r="W1857" s="4">
        <f>IF(ISERROR(VLOOKUP($T$1857,'TAR FIN'!$A$1:$O$113,15,0)),0,VLOOKUP($T$1857,'TAR FIN'!$A$1:$O$113,15,0))</f>
        <v>190.41</v>
      </c>
      <c r="X1857" s="4">
        <f>IF(ISERROR(VLOOKUP($U$1857,'TAR FIN'!$A$1:$O$113,15,0)),0,VLOOKUP($U$1857,'TAR FIN'!$A$1:$O$113,15,0))</f>
        <v>128.83000000000001</v>
      </c>
      <c r="Y1857" s="4"/>
      <c r="Z1857" s="4">
        <f ca="1">('TUSD BE'!$AM$70+'TUSD BF'!$AM$70+'TUSD CVA'!$AM$70)*1</f>
        <v>226.12835349621975</v>
      </c>
      <c r="AA1857" s="4">
        <f>('TE BE'!$AA$49+'TE BF'!$AA$49+'TE CVA'!$AA$49)*1</f>
        <v>129.07363028583066</v>
      </c>
      <c r="AB1857" s="4">
        <f>$K$1857*$V$1857</f>
        <v>0</v>
      </c>
      <c r="AC1857" s="4">
        <f>$M$1857*$W$1857</f>
        <v>3230037.1719</v>
      </c>
      <c r="AD1857" s="4">
        <f>$O$1857*$X$1857</f>
        <v>2185419.2997000003</v>
      </c>
      <c r="AE1857" s="4">
        <f>$K$1857*$Y$1857</f>
        <v>0</v>
      </c>
      <c r="AF1857" s="4">
        <f ca="1">$M$1857*$Z$1857</f>
        <v>3835948.6760849385</v>
      </c>
      <c r="AG1857" s="4">
        <f>$O$1857*$AA$1857</f>
        <v>2189552.1439804141</v>
      </c>
    </row>
    <row r="1858" spans="1:33" ht="11.25" customHeight="1" x14ac:dyDescent="0.25">
      <c r="A1858" s="3" t="s">
        <v>27</v>
      </c>
      <c r="B1858" s="3" t="s">
        <v>47</v>
      </c>
      <c r="C1858" s="3" t="s">
        <v>23</v>
      </c>
      <c r="D1858" s="3" t="s">
        <v>48</v>
      </c>
      <c r="E1858" s="3" t="s">
        <v>49</v>
      </c>
      <c r="F1858" s="3" t="s">
        <v>25</v>
      </c>
      <c r="G1858" s="3" t="s">
        <v>25</v>
      </c>
      <c r="H1858" s="3" t="s">
        <v>25</v>
      </c>
      <c r="I1858" s="6">
        <v>44470</v>
      </c>
      <c r="J1858" s="4">
        <v>0</v>
      </c>
      <c r="K1858" s="4">
        <v>0</v>
      </c>
      <c r="L1858" s="4">
        <v>-92.608999999999995</v>
      </c>
      <c r="M1858" s="4">
        <v>-92.608999999999995</v>
      </c>
      <c r="N1858" s="4">
        <v>-92.608999999999995</v>
      </c>
      <c r="O1858" s="4">
        <v>-92.608999999999995</v>
      </c>
      <c r="P1858" s="4">
        <v>-2</v>
      </c>
      <c r="Q1858" s="3" t="s">
        <v>26</v>
      </c>
      <c r="R1858" s="3">
        <v>0</v>
      </c>
      <c r="S1858" s="4">
        <v>0</v>
      </c>
      <c r="T1858" s="4">
        <v>92</v>
      </c>
      <c r="U1858" s="4">
        <v>9</v>
      </c>
      <c r="V1858" s="4">
        <f>IF(ISERROR(VLOOKUP($S$1858,'TAR FIN'!$A$1:$O$113,15,0)),0,VLOOKUP($S$1858,'TAR FIN'!$A$1:$O$113,15,0))</f>
        <v>0</v>
      </c>
      <c r="W1858" s="4">
        <f>IF(ISERROR(VLOOKUP($T$1858,'TAR FIN'!$A$1:$O$113,15,0)),0,VLOOKUP($T$1858,'TAR FIN'!$A$1:$O$113,15,0))</f>
        <v>190.41</v>
      </c>
      <c r="X1858" s="4">
        <f>IF(ISERROR(VLOOKUP($U$1858,'TAR FIN'!$A$1:$O$113,15,0)),0,VLOOKUP($U$1858,'TAR FIN'!$A$1:$O$113,15,0))</f>
        <v>128.83000000000001</v>
      </c>
      <c r="Y1858" s="4"/>
      <c r="Z1858" s="4">
        <f ca="1">('TUSD BE'!$AM$70+'TUSD BF'!$AM$70+'TUSD CVA'!$AM$70)*1</f>
        <v>226.12835349621975</v>
      </c>
      <c r="AA1858" s="4">
        <f>('TE BE'!$AA$49+'TE BF'!$AA$49+'TE CVA'!$AA$49)*1</f>
        <v>129.07363028583066</v>
      </c>
      <c r="AB1858" s="4">
        <f>$K$1858*$V$1858</f>
        <v>0</v>
      </c>
      <c r="AC1858" s="4">
        <f>$M$1858*$W$1858</f>
        <v>-17633.679689999997</v>
      </c>
      <c r="AD1858" s="4">
        <f>$O$1858*$X$1858</f>
        <v>-11930.81747</v>
      </c>
      <c r="AE1858" s="4">
        <f>$K$1858*$Y$1858</f>
        <v>0</v>
      </c>
      <c r="AF1858" s="4">
        <f ca="1">$M$1858*$Z$1858</f>
        <v>-20941.520688931414</v>
      </c>
      <c r="AG1858" s="4">
        <f>$O$1858*$AA$1858</f>
        <v>-11953.37982714049</v>
      </c>
    </row>
    <row r="1859" spans="1:33" ht="11.25" customHeight="1" x14ac:dyDescent="0.25">
      <c r="A1859" s="3" t="s">
        <v>21</v>
      </c>
      <c r="B1859" s="3" t="s">
        <v>47</v>
      </c>
      <c r="C1859" s="3" t="s">
        <v>23</v>
      </c>
      <c r="D1859" s="3" t="s">
        <v>48</v>
      </c>
      <c r="E1859" s="3" t="s">
        <v>49</v>
      </c>
      <c r="F1859" s="3" t="s">
        <v>25</v>
      </c>
      <c r="G1859" s="3" t="s">
        <v>25</v>
      </c>
      <c r="H1859" s="3" t="s">
        <v>25</v>
      </c>
      <c r="I1859" s="6">
        <v>44501</v>
      </c>
      <c r="J1859" s="4">
        <v>0</v>
      </c>
      <c r="K1859" s="4">
        <v>0</v>
      </c>
      <c r="L1859" s="4">
        <v>16131.279</v>
      </c>
      <c r="M1859" s="4">
        <v>16131.279</v>
      </c>
      <c r="N1859" s="4">
        <v>16131.279</v>
      </c>
      <c r="O1859" s="4">
        <v>16131.279</v>
      </c>
      <c r="P1859" s="4">
        <v>1112</v>
      </c>
      <c r="Q1859" s="3" t="s">
        <v>26</v>
      </c>
      <c r="R1859" s="3">
        <v>0</v>
      </c>
      <c r="S1859" s="4">
        <v>0</v>
      </c>
      <c r="T1859" s="4">
        <v>92</v>
      </c>
      <c r="U1859" s="4">
        <v>9</v>
      </c>
      <c r="V1859" s="4">
        <f>IF(ISERROR(VLOOKUP($S$1859,'TAR FIN'!$A$1:$O$113,15,0)),0,VLOOKUP($S$1859,'TAR FIN'!$A$1:$O$113,15,0))</f>
        <v>0</v>
      </c>
      <c r="W1859" s="4">
        <f>IF(ISERROR(VLOOKUP($T$1859,'TAR FIN'!$A$1:$O$113,15,0)),0,VLOOKUP($T$1859,'TAR FIN'!$A$1:$O$113,15,0))</f>
        <v>190.41</v>
      </c>
      <c r="X1859" s="4">
        <f>IF(ISERROR(VLOOKUP($U$1859,'TAR FIN'!$A$1:$O$113,15,0)),0,VLOOKUP($U$1859,'TAR FIN'!$A$1:$O$113,15,0))</f>
        <v>128.83000000000001</v>
      </c>
      <c r="Y1859" s="4"/>
      <c r="Z1859" s="4">
        <f ca="1">('TUSD BE'!$AM$70+'TUSD BF'!$AM$70+'TUSD CVA'!$AM$70)*1</f>
        <v>226.12835349621975</v>
      </c>
      <c r="AA1859" s="4">
        <f>('TE BE'!$AA$49+'TE BF'!$AA$49+'TE CVA'!$AA$49)*1</f>
        <v>129.07363028583066</v>
      </c>
      <c r="AB1859" s="4">
        <f>$K$1859*$V$1859</f>
        <v>0</v>
      </c>
      <c r="AC1859" s="4">
        <f>$M$1859*$W$1859</f>
        <v>3071556.83439</v>
      </c>
      <c r="AD1859" s="4">
        <f>$O$1859*$X$1859</f>
        <v>2078192.6735700003</v>
      </c>
      <c r="AE1859" s="4">
        <f>$K$1859*$Y$1859</f>
        <v>0</v>
      </c>
      <c r="AF1859" s="4">
        <f ca="1">$M$1859*$Z$1859</f>
        <v>3647739.5600581462</v>
      </c>
      <c r="AG1859" s="4">
        <f>$O$1859*$AA$1859</f>
        <v>2082122.7416835842</v>
      </c>
    </row>
    <row r="1860" spans="1:33" ht="11.25" customHeight="1" x14ac:dyDescent="0.25">
      <c r="A1860" s="3" t="s">
        <v>27</v>
      </c>
      <c r="B1860" s="3" t="s">
        <v>47</v>
      </c>
      <c r="C1860" s="3" t="s">
        <v>23</v>
      </c>
      <c r="D1860" s="3" t="s">
        <v>48</v>
      </c>
      <c r="E1860" s="3" t="s">
        <v>49</v>
      </c>
      <c r="F1860" s="3" t="s">
        <v>25</v>
      </c>
      <c r="G1860" s="3" t="s">
        <v>25</v>
      </c>
      <c r="H1860" s="3" t="s">
        <v>25</v>
      </c>
      <c r="I1860" s="6">
        <v>44501</v>
      </c>
      <c r="J1860" s="4">
        <v>0</v>
      </c>
      <c r="K1860" s="4">
        <v>0</v>
      </c>
      <c r="L1860" s="4">
        <v>-139.97800000000001</v>
      </c>
      <c r="M1860" s="4">
        <v>-139.97800000000001</v>
      </c>
      <c r="N1860" s="4">
        <v>-139.97800000000001</v>
      </c>
      <c r="O1860" s="4">
        <v>-139.97800000000001</v>
      </c>
      <c r="P1860" s="4">
        <v>0</v>
      </c>
      <c r="Q1860" s="3" t="s">
        <v>26</v>
      </c>
      <c r="R1860" s="3">
        <v>0</v>
      </c>
      <c r="S1860" s="4">
        <v>0</v>
      </c>
      <c r="T1860" s="4">
        <v>92</v>
      </c>
      <c r="U1860" s="4">
        <v>9</v>
      </c>
      <c r="V1860" s="4">
        <f>IF(ISERROR(VLOOKUP($S$1860,'TAR FIN'!$A$1:$O$113,15,0)),0,VLOOKUP($S$1860,'TAR FIN'!$A$1:$O$113,15,0))</f>
        <v>0</v>
      </c>
      <c r="W1860" s="4">
        <f>IF(ISERROR(VLOOKUP($T$1860,'TAR FIN'!$A$1:$O$113,15,0)),0,VLOOKUP($T$1860,'TAR FIN'!$A$1:$O$113,15,0))</f>
        <v>190.41</v>
      </c>
      <c r="X1860" s="4">
        <f>IF(ISERROR(VLOOKUP($U$1860,'TAR FIN'!$A$1:$O$113,15,0)),0,VLOOKUP($U$1860,'TAR FIN'!$A$1:$O$113,15,0))</f>
        <v>128.83000000000001</v>
      </c>
      <c r="Y1860" s="4"/>
      <c r="Z1860" s="4">
        <f ca="1">('TUSD BE'!$AM$70+'TUSD BF'!$AM$70+'TUSD CVA'!$AM$70)*1</f>
        <v>226.12835349621975</v>
      </c>
      <c r="AA1860" s="4">
        <f>('TE BE'!$AA$49+'TE BF'!$AA$49+'TE CVA'!$AA$49)*1</f>
        <v>129.07363028583066</v>
      </c>
      <c r="AB1860" s="4">
        <f>$K$1860*$V$1860</f>
        <v>0</v>
      </c>
      <c r="AC1860" s="4">
        <f>$M$1860*$W$1860</f>
        <v>-26653.21098</v>
      </c>
      <c r="AD1860" s="4">
        <f>$O$1860*$X$1860</f>
        <v>-18033.365740000001</v>
      </c>
      <c r="AE1860" s="4">
        <f>$K$1860*$Y$1860</f>
        <v>0</v>
      </c>
      <c r="AF1860" s="4">
        <f ca="1">$M$1860*$Z$1860</f>
        <v>-31652.994665693848</v>
      </c>
      <c r="AG1860" s="4">
        <f>$O$1860*$AA$1860</f>
        <v>-18067.468620150004</v>
      </c>
    </row>
    <row r="1861" spans="1:33" ht="11.25" customHeight="1" x14ac:dyDescent="0.25">
      <c r="A1861" s="3" t="s">
        <v>21</v>
      </c>
      <c r="B1861" s="3" t="s">
        <v>47</v>
      </c>
      <c r="C1861" s="3" t="s">
        <v>23</v>
      </c>
      <c r="D1861" s="3" t="s">
        <v>48</v>
      </c>
      <c r="E1861" s="3" t="s">
        <v>49</v>
      </c>
      <c r="F1861" s="3" t="s">
        <v>25</v>
      </c>
      <c r="G1861" s="3" t="s">
        <v>25</v>
      </c>
      <c r="H1861" s="3" t="s">
        <v>25</v>
      </c>
      <c r="I1861" s="6">
        <v>44531</v>
      </c>
      <c r="J1861" s="4">
        <v>0</v>
      </c>
      <c r="K1861" s="4">
        <v>0</v>
      </c>
      <c r="L1861" s="4">
        <v>16690.679</v>
      </c>
      <c r="M1861" s="4">
        <v>16690.679</v>
      </c>
      <c r="N1861" s="4">
        <v>16690.679</v>
      </c>
      <c r="O1861" s="4">
        <v>16690.679</v>
      </c>
      <c r="P1861" s="4">
        <v>1198</v>
      </c>
      <c r="Q1861" s="3" t="s">
        <v>26</v>
      </c>
      <c r="R1861" s="3">
        <v>0</v>
      </c>
      <c r="S1861" s="4">
        <v>0</v>
      </c>
      <c r="T1861" s="4">
        <v>92</v>
      </c>
      <c r="U1861" s="4">
        <v>9</v>
      </c>
      <c r="V1861" s="4">
        <f>IF(ISERROR(VLOOKUP($S$1861,'TAR FIN'!$A$1:$O$113,15,0)),0,VLOOKUP($S$1861,'TAR FIN'!$A$1:$O$113,15,0))</f>
        <v>0</v>
      </c>
      <c r="W1861" s="4">
        <f>IF(ISERROR(VLOOKUP($T$1861,'TAR FIN'!$A$1:$O$113,15,0)),0,VLOOKUP($T$1861,'TAR FIN'!$A$1:$O$113,15,0))</f>
        <v>190.41</v>
      </c>
      <c r="X1861" s="4">
        <f>IF(ISERROR(VLOOKUP($U$1861,'TAR FIN'!$A$1:$O$113,15,0)),0,VLOOKUP($U$1861,'TAR FIN'!$A$1:$O$113,15,0))</f>
        <v>128.83000000000001</v>
      </c>
      <c r="Y1861" s="4"/>
      <c r="Z1861" s="4">
        <f ca="1">('TUSD BE'!$AM$70+'TUSD BF'!$AM$70+'TUSD CVA'!$AM$70)*1</f>
        <v>226.12835349621975</v>
      </c>
      <c r="AA1861" s="4">
        <f>('TE BE'!$AA$49+'TE BF'!$AA$49+'TE CVA'!$AA$49)*1</f>
        <v>129.07363028583066</v>
      </c>
      <c r="AB1861" s="4">
        <f>$K$1861*$V$1861</f>
        <v>0</v>
      </c>
      <c r="AC1861" s="4">
        <f>$M$1861*$W$1861</f>
        <v>3178072.1883899998</v>
      </c>
      <c r="AD1861" s="4">
        <f>$O$1861*$X$1861</f>
        <v>2150260.1755700004</v>
      </c>
      <c r="AE1861" s="4">
        <f>$K$1861*$Y$1861</f>
        <v>0</v>
      </c>
      <c r="AF1861" s="4">
        <f ca="1">$M$1861*$Z$1861</f>
        <v>3774235.7610039315</v>
      </c>
      <c r="AG1861" s="4">
        <f>$O$1861*$AA$1861</f>
        <v>2154326.5304654776</v>
      </c>
    </row>
    <row r="1862" spans="1:33" ht="11.25" customHeight="1" x14ac:dyDescent="0.25">
      <c r="A1862" s="3" t="s">
        <v>27</v>
      </c>
      <c r="B1862" s="3" t="s">
        <v>47</v>
      </c>
      <c r="C1862" s="3" t="s">
        <v>23</v>
      </c>
      <c r="D1862" s="3" t="s">
        <v>48</v>
      </c>
      <c r="E1862" s="3" t="s">
        <v>49</v>
      </c>
      <c r="F1862" s="3" t="s">
        <v>25</v>
      </c>
      <c r="G1862" s="3" t="s">
        <v>25</v>
      </c>
      <c r="H1862" s="3" t="s">
        <v>25</v>
      </c>
      <c r="I1862" s="6">
        <v>44531</v>
      </c>
      <c r="J1862" s="4">
        <v>0</v>
      </c>
      <c r="K1862" s="4">
        <v>0</v>
      </c>
      <c r="L1862" s="4">
        <v>-43.968000000000004</v>
      </c>
      <c r="M1862" s="4">
        <v>-43.968000000000004</v>
      </c>
      <c r="N1862" s="4">
        <v>-43.968000000000004</v>
      </c>
      <c r="O1862" s="4">
        <v>-43.968000000000004</v>
      </c>
      <c r="P1862" s="4">
        <v>-1</v>
      </c>
      <c r="Q1862" s="3" t="s">
        <v>26</v>
      </c>
      <c r="R1862" s="3">
        <v>0</v>
      </c>
      <c r="S1862" s="4">
        <v>0</v>
      </c>
      <c r="T1862" s="4">
        <v>92</v>
      </c>
      <c r="U1862" s="4">
        <v>9</v>
      </c>
      <c r="V1862" s="4">
        <f>IF(ISERROR(VLOOKUP($S$1862,'TAR FIN'!$A$1:$O$113,15,0)),0,VLOOKUP($S$1862,'TAR FIN'!$A$1:$O$113,15,0))</f>
        <v>0</v>
      </c>
      <c r="W1862" s="4">
        <f>IF(ISERROR(VLOOKUP($T$1862,'TAR FIN'!$A$1:$O$113,15,0)),0,VLOOKUP($T$1862,'TAR FIN'!$A$1:$O$113,15,0))</f>
        <v>190.41</v>
      </c>
      <c r="X1862" s="4">
        <f>IF(ISERROR(VLOOKUP($U$1862,'TAR FIN'!$A$1:$O$113,15,0)),0,VLOOKUP($U$1862,'TAR FIN'!$A$1:$O$113,15,0))</f>
        <v>128.83000000000001</v>
      </c>
      <c r="Y1862" s="4"/>
      <c r="Z1862" s="4">
        <f ca="1">('TUSD BE'!$AM$70+'TUSD BF'!$AM$70+'TUSD CVA'!$AM$70)*1</f>
        <v>226.12835349621975</v>
      </c>
      <c r="AA1862" s="4">
        <f>('TE BE'!$AA$49+'TE BF'!$AA$49+'TE CVA'!$AA$49)*1</f>
        <v>129.07363028583066</v>
      </c>
      <c r="AB1862" s="4">
        <f>$K$1862*$V$1862</f>
        <v>0</v>
      </c>
      <c r="AC1862" s="4">
        <f>$M$1862*$W$1862</f>
        <v>-8371.9468800000013</v>
      </c>
      <c r="AD1862" s="4">
        <f>$O$1862*$X$1862</f>
        <v>-5664.3974400000006</v>
      </c>
      <c r="AE1862" s="4">
        <f>$K$1862*$Y$1862</f>
        <v>0</v>
      </c>
      <c r="AF1862" s="4">
        <f ca="1">$M$1862*$Z$1862</f>
        <v>-9942.4114465217899</v>
      </c>
      <c r="AG1862" s="4">
        <f>$O$1862*$AA$1862</f>
        <v>-5675.109376407403</v>
      </c>
    </row>
    <row r="1863" spans="1:33" ht="11.25" customHeight="1" x14ac:dyDescent="0.25">
      <c r="A1863" s="3" t="s">
        <v>21</v>
      </c>
      <c r="B1863" s="3" t="s">
        <v>47</v>
      </c>
      <c r="C1863" s="3" t="s">
        <v>23</v>
      </c>
      <c r="D1863" s="3" t="s">
        <v>48</v>
      </c>
      <c r="E1863" s="3" t="s">
        <v>49</v>
      </c>
      <c r="F1863" s="3" t="s">
        <v>25</v>
      </c>
      <c r="G1863" s="3" t="s">
        <v>25</v>
      </c>
      <c r="H1863" s="3" t="s">
        <v>25</v>
      </c>
      <c r="I1863" s="6">
        <v>44562</v>
      </c>
      <c r="J1863" s="4">
        <v>0</v>
      </c>
      <c r="K1863" s="4">
        <v>0</v>
      </c>
      <c r="L1863" s="4">
        <v>16553.510999999999</v>
      </c>
      <c r="M1863" s="4">
        <v>16553.510999999999</v>
      </c>
      <c r="N1863" s="4">
        <v>16553.510999999999</v>
      </c>
      <c r="O1863" s="4">
        <v>16553.510999999999</v>
      </c>
      <c r="P1863" s="4">
        <v>1206</v>
      </c>
      <c r="Q1863" s="3" t="s">
        <v>26</v>
      </c>
      <c r="R1863" s="3">
        <v>0</v>
      </c>
      <c r="S1863" s="4">
        <v>0</v>
      </c>
      <c r="T1863" s="4">
        <v>92</v>
      </c>
      <c r="U1863" s="4">
        <v>9</v>
      </c>
      <c r="V1863" s="4">
        <f>IF(ISERROR(VLOOKUP($S$1863,'TAR FIN'!$A$1:$O$113,15,0)),0,VLOOKUP($S$1863,'TAR FIN'!$A$1:$O$113,15,0))</f>
        <v>0</v>
      </c>
      <c r="W1863" s="4">
        <f>IF(ISERROR(VLOOKUP($T$1863,'TAR FIN'!$A$1:$O$113,15,0)),0,VLOOKUP($T$1863,'TAR FIN'!$A$1:$O$113,15,0))</f>
        <v>190.41</v>
      </c>
      <c r="X1863" s="4">
        <f>IF(ISERROR(VLOOKUP($U$1863,'TAR FIN'!$A$1:$O$113,15,0)),0,VLOOKUP($U$1863,'TAR FIN'!$A$1:$O$113,15,0))</f>
        <v>128.83000000000001</v>
      </c>
      <c r="Y1863" s="4"/>
      <c r="Z1863" s="4">
        <f ca="1">('TUSD BE'!$AM$70+'TUSD BF'!$AM$70+'TUSD CVA'!$AM$70)*1</f>
        <v>226.12835349621975</v>
      </c>
      <c r="AA1863" s="4">
        <f>('TE BE'!$AA$49+'TE BF'!$AA$49+'TE CVA'!$AA$49)*1</f>
        <v>129.07363028583066</v>
      </c>
      <c r="AB1863" s="4">
        <f>$K$1863*$V$1863</f>
        <v>0</v>
      </c>
      <c r="AC1863" s="4">
        <f>$M$1863*$W$1863</f>
        <v>3151954.0295099998</v>
      </c>
      <c r="AD1863" s="4">
        <f>$O$1863*$X$1863</f>
        <v>2132588.8221300002</v>
      </c>
      <c r="AE1863" s="4">
        <f>$K$1863*$Y$1863</f>
        <v>0</v>
      </c>
      <c r="AF1863" s="4">
        <f ca="1">$M$1863*$Z$1863</f>
        <v>3743218.1870115618</v>
      </c>
      <c r="AG1863" s="4">
        <f>$O$1863*$AA$1863</f>
        <v>2136621.7587464307</v>
      </c>
    </row>
    <row r="1864" spans="1:33" ht="11.25" customHeight="1" x14ac:dyDescent="0.25">
      <c r="A1864" s="3" t="s">
        <v>27</v>
      </c>
      <c r="B1864" s="3" t="s">
        <v>47</v>
      </c>
      <c r="C1864" s="3" t="s">
        <v>23</v>
      </c>
      <c r="D1864" s="3" t="s">
        <v>48</v>
      </c>
      <c r="E1864" s="3" t="s">
        <v>49</v>
      </c>
      <c r="F1864" s="3" t="s">
        <v>25</v>
      </c>
      <c r="G1864" s="3" t="s">
        <v>25</v>
      </c>
      <c r="H1864" s="3" t="s">
        <v>25</v>
      </c>
      <c r="I1864" s="6">
        <v>44562</v>
      </c>
      <c r="J1864" s="4">
        <v>0</v>
      </c>
      <c r="K1864" s="4">
        <v>0</v>
      </c>
      <c r="L1864" s="4">
        <v>9.09</v>
      </c>
      <c r="M1864" s="4">
        <v>9.09</v>
      </c>
      <c r="N1864" s="4">
        <v>9.09</v>
      </c>
      <c r="O1864" s="4">
        <v>9.09</v>
      </c>
      <c r="P1864" s="4">
        <v>7</v>
      </c>
      <c r="Q1864" s="3" t="s">
        <v>26</v>
      </c>
      <c r="R1864" s="3">
        <v>0</v>
      </c>
      <c r="S1864" s="4">
        <v>0</v>
      </c>
      <c r="T1864" s="4">
        <v>92</v>
      </c>
      <c r="U1864" s="4">
        <v>9</v>
      </c>
      <c r="V1864" s="4">
        <f>IF(ISERROR(VLOOKUP($S$1864,'TAR FIN'!$A$1:$O$113,15,0)),0,VLOOKUP($S$1864,'TAR FIN'!$A$1:$O$113,15,0))</f>
        <v>0</v>
      </c>
      <c r="W1864" s="4">
        <f>IF(ISERROR(VLOOKUP($T$1864,'TAR FIN'!$A$1:$O$113,15,0)),0,VLOOKUP($T$1864,'TAR FIN'!$A$1:$O$113,15,0))</f>
        <v>190.41</v>
      </c>
      <c r="X1864" s="4">
        <f>IF(ISERROR(VLOOKUP($U$1864,'TAR FIN'!$A$1:$O$113,15,0)),0,VLOOKUP($U$1864,'TAR FIN'!$A$1:$O$113,15,0))</f>
        <v>128.83000000000001</v>
      </c>
      <c r="Y1864" s="4"/>
      <c r="Z1864" s="4">
        <f ca="1">('TUSD BE'!$AM$70+'TUSD BF'!$AM$70+'TUSD CVA'!$AM$70)*1</f>
        <v>226.12835349621975</v>
      </c>
      <c r="AA1864" s="4">
        <f>('TE BE'!$AA$49+'TE BF'!$AA$49+'TE CVA'!$AA$49)*1</f>
        <v>129.07363028583066</v>
      </c>
      <c r="AB1864" s="4">
        <f>$K$1864*$V$1864</f>
        <v>0</v>
      </c>
      <c r="AC1864" s="4">
        <f>$M$1864*$W$1864</f>
        <v>1730.8269</v>
      </c>
      <c r="AD1864" s="4">
        <f>$O$1864*$X$1864</f>
        <v>1171.0647000000001</v>
      </c>
      <c r="AE1864" s="4">
        <f>$K$1864*$Y$1864</f>
        <v>0</v>
      </c>
      <c r="AF1864" s="4">
        <f ca="1">$M$1864*$Z$1864</f>
        <v>2055.5067332806375</v>
      </c>
      <c r="AG1864" s="4">
        <f>$O$1864*$AA$1864</f>
        <v>1173.2792992982006</v>
      </c>
    </row>
    <row r="1865" spans="1:33" ht="11.25" customHeight="1" x14ac:dyDescent="0.25">
      <c r="A1865" s="3" t="s">
        <v>21</v>
      </c>
      <c r="B1865" s="3" t="s">
        <v>47</v>
      </c>
      <c r="C1865" s="3" t="s">
        <v>23</v>
      </c>
      <c r="D1865" s="3" t="s">
        <v>48</v>
      </c>
      <c r="E1865" s="3" t="s">
        <v>49</v>
      </c>
      <c r="F1865" s="3" t="s">
        <v>25</v>
      </c>
      <c r="G1865" s="3" t="s">
        <v>25</v>
      </c>
      <c r="H1865" s="3" t="s">
        <v>25</v>
      </c>
      <c r="I1865" s="6">
        <v>44593</v>
      </c>
      <c r="J1865" s="4">
        <v>0</v>
      </c>
      <c r="K1865" s="4">
        <v>0</v>
      </c>
      <c r="L1865" s="4">
        <v>15015.512000000001</v>
      </c>
      <c r="M1865" s="4">
        <v>15015.512000000001</v>
      </c>
      <c r="N1865" s="4">
        <v>15015.512000000001</v>
      </c>
      <c r="O1865" s="4">
        <v>15015.512000000001</v>
      </c>
      <c r="P1865" s="4">
        <v>1217</v>
      </c>
      <c r="Q1865" s="3" t="s">
        <v>26</v>
      </c>
      <c r="R1865" s="3">
        <v>0</v>
      </c>
      <c r="S1865" s="4">
        <v>0</v>
      </c>
      <c r="T1865" s="4">
        <v>92</v>
      </c>
      <c r="U1865" s="4">
        <v>9</v>
      </c>
      <c r="V1865" s="4">
        <f>IF(ISERROR(VLOOKUP($S$1865,'TAR FIN'!$A$1:$O$113,15,0)),0,VLOOKUP($S$1865,'TAR FIN'!$A$1:$O$113,15,0))</f>
        <v>0</v>
      </c>
      <c r="W1865" s="4">
        <f>IF(ISERROR(VLOOKUP($T$1865,'TAR FIN'!$A$1:$O$113,15,0)),0,VLOOKUP($T$1865,'TAR FIN'!$A$1:$O$113,15,0))</f>
        <v>190.41</v>
      </c>
      <c r="X1865" s="4">
        <f>IF(ISERROR(VLOOKUP($U$1865,'TAR FIN'!$A$1:$O$113,15,0)),0,VLOOKUP($U$1865,'TAR FIN'!$A$1:$O$113,15,0))</f>
        <v>128.83000000000001</v>
      </c>
      <c r="Y1865" s="4"/>
      <c r="Z1865" s="4">
        <f ca="1">('TUSD BE'!$AM$70+'TUSD BF'!$AM$70+'TUSD CVA'!$AM$70)*1</f>
        <v>226.12835349621975</v>
      </c>
      <c r="AA1865" s="4">
        <f>('TE BE'!$AA$49+'TE BF'!$AA$49+'TE CVA'!$AA$49)*1</f>
        <v>129.07363028583066</v>
      </c>
      <c r="AB1865" s="4">
        <f>$K$1865*$V$1865</f>
        <v>0</v>
      </c>
      <c r="AC1865" s="4">
        <f>$M$1865*$W$1865</f>
        <v>2859103.63992</v>
      </c>
      <c r="AD1865" s="4">
        <f>$O$1865*$X$1865</f>
        <v>1934448.4109600002</v>
      </c>
      <c r="AE1865" s="4">
        <f>$K$1865*$Y$1865</f>
        <v>0</v>
      </c>
      <c r="AF1865" s="4">
        <f ca="1">$M$1865*$Z$1865</f>
        <v>3395433.0054627298</v>
      </c>
      <c r="AG1865" s="4">
        <f>$O$1865*$AA$1865</f>
        <v>1938106.6444404537</v>
      </c>
    </row>
    <row r="1866" spans="1:33" ht="11.25" customHeight="1" x14ac:dyDescent="0.25">
      <c r="A1866" s="3" t="s">
        <v>56</v>
      </c>
      <c r="B1866" s="3" t="s">
        <v>47</v>
      </c>
      <c r="C1866" s="3" t="s">
        <v>23</v>
      </c>
      <c r="D1866" s="3" t="s">
        <v>48</v>
      </c>
      <c r="E1866" s="3" t="s">
        <v>49</v>
      </c>
      <c r="F1866" s="3" t="s">
        <v>25</v>
      </c>
      <c r="G1866" s="3" t="s">
        <v>25</v>
      </c>
      <c r="H1866" s="3" t="s">
        <v>25</v>
      </c>
      <c r="I1866" s="6">
        <v>44621</v>
      </c>
      <c r="J1866" s="4">
        <v>0</v>
      </c>
      <c r="K1866" s="4">
        <v>0</v>
      </c>
      <c r="L1866" s="4">
        <v>15015.512000000001</v>
      </c>
      <c r="M1866" s="4">
        <v>15015.512000000001</v>
      </c>
      <c r="N1866" s="4">
        <v>15015.512000000001</v>
      </c>
      <c r="O1866" s="4">
        <v>15015.512000000001</v>
      </c>
      <c r="P1866" s="4">
        <v>1217</v>
      </c>
      <c r="Q1866" s="3" t="s">
        <v>26</v>
      </c>
      <c r="R1866" s="3">
        <v>0</v>
      </c>
      <c r="S1866" s="4">
        <v>0</v>
      </c>
      <c r="T1866" s="4">
        <v>92</v>
      </c>
      <c r="U1866" s="4">
        <v>9</v>
      </c>
      <c r="V1866" s="4">
        <f>IF(ISERROR(VLOOKUP($S$1866,'TAR FIN'!$A$1:$O$113,15,0)),0,VLOOKUP($S$1866,'TAR FIN'!$A$1:$O$113,15,0))</f>
        <v>0</v>
      </c>
      <c r="W1866" s="4">
        <f>IF(ISERROR(VLOOKUP($T$1866,'TAR FIN'!$A$1:$O$113,15,0)),0,VLOOKUP($T$1866,'TAR FIN'!$A$1:$O$113,15,0))</f>
        <v>190.41</v>
      </c>
      <c r="X1866" s="4">
        <f>IF(ISERROR(VLOOKUP($U$1866,'TAR FIN'!$A$1:$O$113,15,0)),0,VLOOKUP($U$1866,'TAR FIN'!$A$1:$O$113,15,0))</f>
        <v>128.83000000000001</v>
      </c>
      <c r="Y1866" s="4"/>
      <c r="Z1866" s="4">
        <f ca="1">('TUSD BE'!$AM$70+'TUSD BF'!$AM$70+'TUSD CVA'!$AM$70)*1</f>
        <v>226.12835349621975</v>
      </c>
      <c r="AA1866" s="4">
        <f>('TE BE'!$AA$49+'TE BF'!$AA$49+'TE CVA'!$AA$49)*1</f>
        <v>129.07363028583066</v>
      </c>
      <c r="AB1866" s="4">
        <f>$K$1866*$V$1866</f>
        <v>0</v>
      </c>
      <c r="AC1866" s="4">
        <f>$M$1866*$W$1866</f>
        <v>2859103.63992</v>
      </c>
      <c r="AD1866" s="4">
        <f>$O$1866*$X$1866</f>
        <v>1934448.4109600002</v>
      </c>
      <c r="AE1866" s="4">
        <f>$K$1866*$Y$1866</f>
        <v>0</v>
      </c>
      <c r="AF1866" s="4">
        <f ca="1">$M$1866*$Z$1866</f>
        <v>3395433.0054627298</v>
      </c>
      <c r="AG1866" s="4">
        <f>$O$1866*$AA$1866</f>
        <v>1938106.6444404537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A2A2-68F2-4421-9471-BD220EADEC9B}">
  <dimension ref="A1:AJ1867"/>
  <sheetViews>
    <sheetView showGridLines="0" topLeftCell="AA1" workbookViewId="0">
      <selection activeCell="AJ2" sqref="AJ2:AJ7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3.7109375" style="3" bestFit="1" customWidth="1"/>
    <col min="7" max="7" width="15.57031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5" width="10.85546875" style="3" bestFit="1" customWidth="1"/>
    <col min="36" max="36" width="11.7109375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986</v>
      </c>
      <c r="W1" s="1" t="s">
        <v>987</v>
      </c>
      <c r="X1" s="1" t="s">
        <v>988</v>
      </c>
      <c r="Y1" s="1" t="s">
        <v>989</v>
      </c>
      <c r="Z1" s="1" t="s">
        <v>990</v>
      </c>
      <c r="AA1" s="1" t="s">
        <v>991</v>
      </c>
      <c r="AB1" s="1" t="s">
        <v>1017</v>
      </c>
      <c r="AC1" s="1" t="s">
        <v>1018</v>
      </c>
      <c r="AD1" s="1" t="s">
        <v>1019</v>
      </c>
      <c r="AE1" s="1" t="s">
        <v>1020</v>
      </c>
      <c r="AF1" s="1" t="s">
        <v>1021</v>
      </c>
      <c r="AH1" s="50" t="s">
        <v>1021</v>
      </c>
      <c r="AI1" s="50" t="s">
        <v>1029</v>
      </c>
      <c r="AJ1" s="50" t="s">
        <v>1030</v>
      </c>
    </row>
    <row r="2" spans="1:36" ht="11.25" customHeight="1" x14ac:dyDescent="0.25">
      <c r="A2" s="3" t="s">
        <v>21</v>
      </c>
      <c r="B2" s="3" t="s">
        <v>39</v>
      </c>
      <c r="C2" s="3" t="s">
        <v>40</v>
      </c>
      <c r="D2" s="3" t="s">
        <v>38</v>
      </c>
      <c r="E2" s="3" t="s">
        <v>25</v>
      </c>
      <c r="F2" s="3" t="s">
        <v>60</v>
      </c>
      <c r="G2" s="3" t="s">
        <v>25</v>
      </c>
      <c r="H2" s="3" t="s">
        <v>35</v>
      </c>
      <c r="I2" s="6">
        <v>44287</v>
      </c>
      <c r="J2" s="4">
        <v>1500</v>
      </c>
      <c r="K2" s="4">
        <v>752.88340500000004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57</v>
      </c>
      <c r="R2" s="3">
        <v>0</v>
      </c>
      <c r="S2" s="3">
        <v>5</v>
      </c>
      <c r="T2" s="3">
        <v>0</v>
      </c>
      <c r="U2" s="3">
        <v>0</v>
      </c>
      <c r="V2" s="4">
        <f>IF(ISERROR(VLOOKUP($S$2,'TAR FIN'!$A$1:$O$113,15,0)),0,VLOOKUP($S$2,'TAR FIN'!$A$1:$O$113,15,0))</f>
        <v>11.59</v>
      </c>
      <c r="W2" s="4">
        <f>IF(ISERROR(VLOOKUP($T$2,'TAR FIN'!$A$1:$O$113,15,0)),0,VLOOKUP($T$2,'TAR FIN'!$A$1:$O$113,15,0))</f>
        <v>0</v>
      </c>
      <c r="X2" s="4">
        <f>IF(ISERROR(VLOOKUP($U$2,'TAR FIN'!$A$1:$O$113,15,0)),0,VLOOKUP($U$2,'TAR FIN'!$A$1:$O$113,15,0))</f>
        <v>0</v>
      </c>
      <c r="Y2" s="4">
        <f ca="1">('TUSD BE'!$AM$6+'TUSD BF'!$AM$6+'TUSD CVA'!$AM$6)*1</f>
        <v>10.94172345363083</v>
      </c>
      <c r="Z2" s="4">
        <f ca="1">('TUSD BE'!$AM$7+'TUSD BF'!$AM$7+'TUSD CVA'!$AM$7)*1</f>
        <v>45.946048451030222</v>
      </c>
      <c r="AA2" s="4"/>
      <c r="AB2" s="4">
        <f t="shared" ref="AB2:AB51" si="0">(J2-K2)*V2</f>
        <v>8659.0813360499997</v>
      </c>
      <c r="AC2" s="4">
        <f t="shared" ref="AC2:AC51" si="1">(L2-M2)*W2+(N2-O2)*X2</f>
        <v>0</v>
      </c>
      <c r="AD2" s="4">
        <f t="shared" ref="AD2:AD51" ca="1" si="2">(J2-K2)*Y2</f>
        <v>8174.743170108306</v>
      </c>
      <c r="AE2" s="4">
        <f t="shared" ref="AE2:AE51" ca="1" si="3">(L2-M2)*Z2+(N2-O2)*AA2</f>
        <v>0</v>
      </c>
      <c r="AF2" s="3" t="s">
        <v>1022</v>
      </c>
      <c r="AH2" s="51" t="s">
        <v>1022</v>
      </c>
      <c r="AI2" s="52">
        <f t="shared" ref="AI2:AI9" si="4">SUMIF($AF$2:$AF$1867,AH2,$AB$2:$AB$1867)+SUMIF($AF$2:$AF$1867,AH2,$AC$2:$AC$1867)</f>
        <v>26319986.172453571</v>
      </c>
      <c r="AJ2" s="52">
        <f t="shared" ref="AJ2:AJ9" ca="1" si="5">SUMIF($AF$2:$AF$1867,AH2,$AD$2:$AD$1867)+SUMIF($AF$2:$AF$1867,AH2,$AE$2:$AE$1867)</f>
        <v>30109254.615718402</v>
      </c>
    </row>
    <row r="3" spans="1:36" ht="11.25" customHeight="1" x14ac:dyDescent="0.25">
      <c r="A3" s="3" t="s">
        <v>21</v>
      </c>
      <c r="B3" s="3" t="s">
        <v>39</v>
      </c>
      <c r="C3" s="3" t="s">
        <v>40</v>
      </c>
      <c r="D3" s="3" t="s">
        <v>38</v>
      </c>
      <c r="E3" s="3" t="s">
        <v>25</v>
      </c>
      <c r="F3" s="3" t="s">
        <v>60</v>
      </c>
      <c r="G3" s="3" t="s">
        <v>25</v>
      </c>
      <c r="H3" s="3" t="s">
        <v>35</v>
      </c>
      <c r="I3" s="6">
        <v>44317</v>
      </c>
      <c r="J3" s="4">
        <v>1500</v>
      </c>
      <c r="K3" s="4">
        <v>754.02548999999999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57</v>
      </c>
      <c r="R3" s="3">
        <v>0</v>
      </c>
      <c r="S3" s="3">
        <v>5</v>
      </c>
      <c r="T3" s="3">
        <v>0</v>
      </c>
      <c r="U3" s="3">
        <v>0</v>
      </c>
      <c r="V3" s="4">
        <f>IF(ISERROR(VLOOKUP($S$3,'TAR FIN'!$A$1:$O$113,15,0)),0,VLOOKUP($S$3,'TAR FIN'!$A$1:$O$113,15,0))</f>
        <v>11.59</v>
      </c>
      <c r="W3" s="4">
        <f>IF(ISERROR(VLOOKUP($T$3,'TAR FIN'!$A$1:$O$113,15,0)),0,VLOOKUP($T$3,'TAR FIN'!$A$1:$O$113,15,0))</f>
        <v>0</v>
      </c>
      <c r="X3" s="4">
        <f>IF(ISERROR(VLOOKUP($U$3,'TAR FIN'!$A$1:$O$113,15,0)),0,VLOOKUP($U$3,'TAR FIN'!$A$1:$O$113,15,0))</f>
        <v>0</v>
      </c>
      <c r="Y3" s="4">
        <f ca="1">('TUSD BE'!$AM$6+'TUSD BF'!$AM$6+'TUSD CVA'!$AM$6)*1</f>
        <v>10.94172345363083</v>
      </c>
      <c r="Z3" s="4">
        <f ca="1">('TUSD BE'!$AM$7+'TUSD BF'!$AM$7+'TUSD CVA'!$AM$7)*1</f>
        <v>45.946048451030222</v>
      </c>
      <c r="AA3" s="4"/>
      <c r="AB3" s="4">
        <f t="shared" si="0"/>
        <v>8645.8445709000007</v>
      </c>
      <c r="AC3" s="4">
        <f t="shared" si="1"/>
        <v>0</v>
      </c>
      <c r="AD3" s="4">
        <f t="shared" ca="1" si="2"/>
        <v>8162.2467918777666</v>
      </c>
      <c r="AE3" s="4">
        <f t="shared" ca="1" si="3"/>
        <v>0</v>
      </c>
      <c r="AF3" s="3" t="s">
        <v>1022</v>
      </c>
      <c r="AH3" s="51" t="s">
        <v>1027</v>
      </c>
      <c r="AI3" s="52">
        <f t="shared" si="4"/>
        <v>3575381.100000001</v>
      </c>
      <c r="AJ3" s="52">
        <f t="shared" ca="1" si="5"/>
        <v>4390395.2175501771</v>
      </c>
    </row>
    <row r="4" spans="1:36" ht="11.25" customHeight="1" x14ac:dyDescent="0.25">
      <c r="A4" s="3" t="s">
        <v>21</v>
      </c>
      <c r="B4" s="3" t="s">
        <v>39</v>
      </c>
      <c r="C4" s="3" t="s">
        <v>40</v>
      </c>
      <c r="D4" s="3" t="s">
        <v>38</v>
      </c>
      <c r="E4" s="3" t="s">
        <v>25</v>
      </c>
      <c r="F4" s="3" t="s">
        <v>60</v>
      </c>
      <c r="G4" s="3" t="s">
        <v>25</v>
      </c>
      <c r="H4" s="3" t="s">
        <v>35</v>
      </c>
      <c r="I4" s="6">
        <v>44348</v>
      </c>
      <c r="J4" s="4">
        <v>1500</v>
      </c>
      <c r="K4" s="4">
        <v>750.61864500000001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0</v>
      </c>
      <c r="S4" s="3">
        <v>5</v>
      </c>
      <c r="T4" s="3">
        <v>0</v>
      </c>
      <c r="U4" s="3">
        <v>0</v>
      </c>
      <c r="V4" s="4">
        <f>IF(ISERROR(VLOOKUP($S$4,'TAR FIN'!$A$1:$O$113,15,0)),0,VLOOKUP($S$4,'TAR FIN'!$A$1:$O$113,15,0))</f>
        <v>11.59</v>
      </c>
      <c r="W4" s="4">
        <f>IF(ISERROR(VLOOKUP($T$4,'TAR FIN'!$A$1:$O$113,15,0)),0,VLOOKUP($T$4,'TAR FIN'!$A$1:$O$113,15,0))</f>
        <v>0</v>
      </c>
      <c r="X4" s="4">
        <f>IF(ISERROR(VLOOKUP($U$4,'TAR FIN'!$A$1:$O$113,15,0)),0,VLOOKUP($U$4,'TAR FIN'!$A$1:$O$113,15,0))</f>
        <v>0</v>
      </c>
      <c r="Y4" s="4">
        <f ca="1">('TUSD BE'!$AM$6+'TUSD BF'!$AM$6+'TUSD CVA'!$AM$6)*1</f>
        <v>10.94172345363083</v>
      </c>
      <c r="Z4" s="4">
        <f ca="1">('TUSD BE'!$AM$7+'TUSD BF'!$AM$7+'TUSD CVA'!$AM$7)*1</f>
        <v>45.946048451030222</v>
      </c>
      <c r="AA4" s="4"/>
      <c r="AB4" s="4">
        <f t="shared" si="0"/>
        <v>8685.32990445</v>
      </c>
      <c r="AC4" s="4">
        <f t="shared" si="1"/>
        <v>0</v>
      </c>
      <c r="AD4" s="4">
        <f t="shared" ca="1" si="2"/>
        <v>8199.5235477171518</v>
      </c>
      <c r="AE4" s="4">
        <f t="shared" ca="1" si="3"/>
        <v>0</v>
      </c>
      <c r="AF4" s="3" t="s">
        <v>1022</v>
      </c>
      <c r="AH4" s="51" t="s">
        <v>1026</v>
      </c>
      <c r="AI4" s="52">
        <f t="shared" si="4"/>
        <v>0</v>
      </c>
      <c r="AJ4" s="52">
        <f t="shared" ca="1" si="5"/>
        <v>0</v>
      </c>
    </row>
    <row r="5" spans="1:36" ht="11.25" customHeight="1" x14ac:dyDescent="0.25">
      <c r="A5" s="3" t="s">
        <v>21</v>
      </c>
      <c r="B5" s="3" t="s">
        <v>39</v>
      </c>
      <c r="C5" s="3" t="s">
        <v>40</v>
      </c>
      <c r="D5" s="3" t="s">
        <v>38</v>
      </c>
      <c r="E5" s="3" t="s">
        <v>25</v>
      </c>
      <c r="F5" s="3" t="s">
        <v>60</v>
      </c>
      <c r="G5" s="3" t="s">
        <v>25</v>
      </c>
      <c r="H5" s="3" t="s">
        <v>35</v>
      </c>
      <c r="I5" s="6">
        <v>44378</v>
      </c>
      <c r="J5" s="4">
        <v>1500</v>
      </c>
      <c r="K5" s="4">
        <v>784.87662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57</v>
      </c>
      <c r="R5" s="3">
        <v>0</v>
      </c>
      <c r="S5" s="3">
        <v>5</v>
      </c>
      <c r="T5" s="3">
        <v>0</v>
      </c>
      <c r="U5" s="3">
        <v>0</v>
      </c>
      <c r="V5" s="4">
        <f>IF(ISERROR(VLOOKUP($S$5,'TAR FIN'!$A$1:$O$113,15,0)),0,VLOOKUP($S$5,'TAR FIN'!$A$1:$O$113,15,0))</f>
        <v>11.59</v>
      </c>
      <c r="W5" s="4">
        <f>IF(ISERROR(VLOOKUP($T$5,'TAR FIN'!$A$1:$O$113,15,0)),0,VLOOKUP($T$5,'TAR FIN'!$A$1:$O$113,15,0))</f>
        <v>0</v>
      </c>
      <c r="X5" s="4">
        <f>IF(ISERROR(VLOOKUP($U$5,'TAR FIN'!$A$1:$O$113,15,0)),0,VLOOKUP($U$5,'TAR FIN'!$A$1:$O$113,15,0))</f>
        <v>0</v>
      </c>
      <c r="Y5" s="4">
        <f ca="1">('TUSD BE'!$AM$6+'TUSD BF'!$AM$6+'TUSD CVA'!$AM$6)*1</f>
        <v>10.94172345363083</v>
      </c>
      <c r="Z5" s="4">
        <f ca="1">('TUSD BE'!$AM$7+'TUSD BF'!$AM$7+'TUSD CVA'!$AM$7)*1</f>
        <v>45.946048451030222</v>
      </c>
      <c r="AA5" s="4"/>
      <c r="AB5" s="4">
        <f t="shared" si="0"/>
        <v>8288.2799742000007</v>
      </c>
      <c r="AC5" s="4">
        <f t="shared" si="1"/>
        <v>0</v>
      </c>
      <c r="AD5" s="4">
        <f t="shared" ca="1" si="2"/>
        <v>7824.6822591857526</v>
      </c>
      <c r="AE5" s="4">
        <f t="shared" ca="1" si="3"/>
        <v>0</v>
      </c>
      <c r="AF5" s="3" t="s">
        <v>1022</v>
      </c>
      <c r="AH5" s="51" t="s">
        <v>1025</v>
      </c>
      <c r="AI5" s="52">
        <f t="shared" si="4"/>
        <v>3884466.0616056006</v>
      </c>
      <c r="AJ5" s="52">
        <f t="shared" ca="1" si="5"/>
        <v>2109550.7830833686</v>
      </c>
    </row>
    <row r="6" spans="1:36" ht="11.25" customHeight="1" x14ac:dyDescent="0.25">
      <c r="A6" s="3" t="s">
        <v>21</v>
      </c>
      <c r="B6" s="3" t="s">
        <v>39</v>
      </c>
      <c r="C6" s="3" t="s">
        <v>40</v>
      </c>
      <c r="D6" s="3" t="s">
        <v>38</v>
      </c>
      <c r="E6" s="3" t="s">
        <v>25</v>
      </c>
      <c r="F6" s="3" t="s">
        <v>60</v>
      </c>
      <c r="G6" s="3" t="s">
        <v>25</v>
      </c>
      <c r="H6" s="3" t="s">
        <v>35</v>
      </c>
      <c r="I6" s="6">
        <v>44409</v>
      </c>
      <c r="J6" s="4">
        <v>1500</v>
      </c>
      <c r="K6" s="4">
        <v>749.76273000000003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57</v>
      </c>
      <c r="R6" s="3">
        <v>0</v>
      </c>
      <c r="S6" s="3">
        <v>5</v>
      </c>
      <c r="T6" s="3">
        <v>0</v>
      </c>
      <c r="U6" s="3">
        <v>0</v>
      </c>
      <c r="V6" s="4">
        <f>IF(ISERROR(VLOOKUP($S$6,'TAR FIN'!$A$1:$O$113,15,0)),0,VLOOKUP($S$6,'TAR FIN'!$A$1:$O$113,15,0))</f>
        <v>11.59</v>
      </c>
      <c r="W6" s="4">
        <f>IF(ISERROR(VLOOKUP($T$6,'TAR FIN'!$A$1:$O$113,15,0)),0,VLOOKUP($T$6,'TAR FIN'!$A$1:$O$113,15,0))</f>
        <v>0</v>
      </c>
      <c r="X6" s="4">
        <f>IF(ISERROR(VLOOKUP($U$6,'TAR FIN'!$A$1:$O$113,15,0)),0,VLOOKUP($U$6,'TAR FIN'!$A$1:$O$113,15,0))</f>
        <v>0</v>
      </c>
      <c r="Y6" s="4">
        <f ca="1">('TUSD BE'!$AM$6+'TUSD BF'!$AM$6+'TUSD CVA'!$AM$6)*1</f>
        <v>10.94172345363083</v>
      </c>
      <c r="Z6" s="4">
        <f ca="1">('TUSD BE'!$AM$7+'TUSD BF'!$AM$7+'TUSD CVA'!$AM$7)*1</f>
        <v>45.946048451030222</v>
      </c>
      <c r="AA6" s="4"/>
      <c r="AB6" s="4">
        <f t="shared" si="0"/>
        <v>8695.2499592999993</v>
      </c>
      <c r="AC6" s="4">
        <f t="shared" si="1"/>
        <v>0</v>
      </c>
      <c r="AD6" s="4">
        <f t="shared" ca="1" si="2"/>
        <v>8208.8887329469653</v>
      </c>
      <c r="AE6" s="4">
        <f t="shared" ca="1" si="3"/>
        <v>0</v>
      </c>
      <c r="AF6" s="3" t="s">
        <v>1022</v>
      </c>
      <c r="AH6" s="51" t="s">
        <v>1023</v>
      </c>
      <c r="AI6" s="52">
        <f t="shared" si="4"/>
        <v>4759548.1953022433</v>
      </c>
      <c r="AJ6" s="52">
        <f t="shared" ca="1" si="5"/>
        <v>2632649.3743514107</v>
      </c>
    </row>
    <row r="7" spans="1:36" ht="11.25" customHeight="1" x14ac:dyDescent="0.25">
      <c r="A7" s="3" t="s">
        <v>21</v>
      </c>
      <c r="B7" s="3" t="s">
        <v>39</v>
      </c>
      <c r="C7" s="3" t="s">
        <v>40</v>
      </c>
      <c r="D7" s="3" t="s">
        <v>38</v>
      </c>
      <c r="E7" s="3" t="s">
        <v>25</v>
      </c>
      <c r="F7" s="3" t="s">
        <v>60</v>
      </c>
      <c r="G7" s="3" t="s">
        <v>25</v>
      </c>
      <c r="H7" s="3" t="s">
        <v>35</v>
      </c>
      <c r="I7" s="6">
        <v>44440</v>
      </c>
      <c r="J7" s="4">
        <v>11100</v>
      </c>
      <c r="K7" s="4">
        <v>5550.6575640000001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0</v>
      </c>
      <c r="S7" s="3">
        <v>5</v>
      </c>
      <c r="T7" s="3">
        <v>0</v>
      </c>
      <c r="U7" s="3">
        <v>0</v>
      </c>
      <c r="V7" s="4">
        <f>IF(ISERROR(VLOOKUP($S$7,'TAR FIN'!$A$1:$O$113,15,0)),0,VLOOKUP($S$7,'TAR FIN'!$A$1:$O$113,15,0))</f>
        <v>11.59</v>
      </c>
      <c r="W7" s="4">
        <f>IF(ISERROR(VLOOKUP($T$7,'TAR FIN'!$A$1:$O$113,15,0)),0,VLOOKUP($T$7,'TAR FIN'!$A$1:$O$113,15,0))</f>
        <v>0</v>
      </c>
      <c r="X7" s="4">
        <f>IF(ISERROR(VLOOKUP($U$7,'TAR FIN'!$A$1:$O$113,15,0)),0,VLOOKUP($U$7,'TAR FIN'!$A$1:$O$113,15,0))</f>
        <v>0</v>
      </c>
      <c r="Y7" s="4">
        <f ca="1">('TUSD BE'!$AM$6+'TUSD BF'!$AM$6+'TUSD CVA'!$AM$6)*1</f>
        <v>10.94172345363083</v>
      </c>
      <c r="Z7" s="4">
        <f ca="1">('TUSD BE'!$AM$7+'TUSD BF'!$AM$7+'TUSD CVA'!$AM$7)*1</f>
        <v>45.946048451030222</v>
      </c>
      <c r="AA7" s="4"/>
      <c r="AB7" s="4">
        <f t="shared" si="0"/>
        <v>64316.87883324</v>
      </c>
      <c r="AC7" s="4">
        <f t="shared" si="1"/>
        <v>0</v>
      </c>
      <c r="AD7" s="4">
        <f t="shared" ca="1" si="2"/>
        <v>60719.370284210047</v>
      </c>
      <c r="AE7" s="4">
        <f t="shared" ca="1" si="3"/>
        <v>0</v>
      </c>
      <c r="AF7" s="3" t="s">
        <v>1022</v>
      </c>
      <c r="AH7" s="51" t="s">
        <v>1024</v>
      </c>
      <c r="AI7" s="52">
        <f t="shared" si="4"/>
        <v>5976107.2399549782</v>
      </c>
      <c r="AJ7" s="52">
        <f t="shared" ca="1" si="5"/>
        <v>6335263.7786980895</v>
      </c>
    </row>
    <row r="8" spans="1:36" ht="11.25" customHeight="1" x14ac:dyDescent="0.25">
      <c r="A8" s="3" t="s">
        <v>21</v>
      </c>
      <c r="B8" s="3" t="s">
        <v>39</v>
      </c>
      <c r="C8" s="3" t="s">
        <v>40</v>
      </c>
      <c r="D8" s="3" t="s">
        <v>38</v>
      </c>
      <c r="E8" s="3" t="s">
        <v>25</v>
      </c>
      <c r="F8" s="3" t="s">
        <v>60</v>
      </c>
      <c r="G8" s="3" t="s">
        <v>25</v>
      </c>
      <c r="H8" s="3" t="s">
        <v>35</v>
      </c>
      <c r="I8" s="6">
        <v>44470</v>
      </c>
      <c r="J8" s="4">
        <v>11100</v>
      </c>
      <c r="K8" s="4">
        <v>5551.2183359999999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57</v>
      </c>
      <c r="R8" s="3">
        <v>0</v>
      </c>
      <c r="S8" s="3">
        <v>5</v>
      </c>
      <c r="T8" s="3">
        <v>0</v>
      </c>
      <c r="U8" s="3">
        <v>0</v>
      </c>
      <c r="V8" s="4">
        <f>IF(ISERROR(VLOOKUP($S$8,'TAR FIN'!$A$1:$O$113,15,0)),0,VLOOKUP($S$8,'TAR FIN'!$A$1:$O$113,15,0))</f>
        <v>11.59</v>
      </c>
      <c r="W8" s="4">
        <f>IF(ISERROR(VLOOKUP($T$8,'TAR FIN'!$A$1:$O$113,15,0)),0,VLOOKUP($T$8,'TAR FIN'!$A$1:$O$113,15,0))</f>
        <v>0</v>
      </c>
      <c r="X8" s="4">
        <f>IF(ISERROR(VLOOKUP($U$8,'TAR FIN'!$A$1:$O$113,15,0)),0,VLOOKUP($U$8,'TAR FIN'!$A$1:$O$113,15,0))</f>
        <v>0</v>
      </c>
      <c r="Y8" s="4">
        <f ca="1">('TUSD BE'!$AM$6+'TUSD BF'!$AM$6+'TUSD CVA'!$AM$6)*1</f>
        <v>10.94172345363083</v>
      </c>
      <c r="Z8" s="4">
        <f ca="1">('TUSD BE'!$AM$7+'TUSD BF'!$AM$7+'TUSD CVA'!$AM$7)*1</f>
        <v>45.946048451030222</v>
      </c>
      <c r="AA8" s="4"/>
      <c r="AB8" s="4">
        <f t="shared" si="0"/>
        <v>64310.379485760001</v>
      </c>
      <c r="AC8" s="4">
        <f t="shared" si="1"/>
        <v>0</v>
      </c>
      <c r="AD8" s="4">
        <f t="shared" ca="1" si="2"/>
        <v>60713.234472065509</v>
      </c>
      <c r="AE8" s="4">
        <f t="shared" ca="1" si="3"/>
        <v>0</v>
      </c>
      <c r="AF8" s="3" t="s">
        <v>1022</v>
      </c>
      <c r="AH8" s="51" t="s">
        <v>1028</v>
      </c>
      <c r="AI8" s="52">
        <f t="shared" si="4"/>
        <v>61792743.483509973</v>
      </c>
      <c r="AJ8" s="52">
        <f t="shared" ca="1" si="5"/>
        <v>67405520.466690794</v>
      </c>
    </row>
    <row r="9" spans="1:36" ht="11.25" customHeight="1" x14ac:dyDescent="0.25">
      <c r="A9" s="3" t="s">
        <v>21</v>
      </c>
      <c r="B9" s="3" t="s">
        <v>39</v>
      </c>
      <c r="C9" s="3" t="s">
        <v>40</v>
      </c>
      <c r="D9" s="3" t="s">
        <v>38</v>
      </c>
      <c r="E9" s="3" t="s">
        <v>25</v>
      </c>
      <c r="F9" s="3" t="s">
        <v>60</v>
      </c>
      <c r="G9" s="3" t="s">
        <v>25</v>
      </c>
      <c r="H9" s="3" t="s">
        <v>35</v>
      </c>
      <c r="I9" s="6">
        <v>44501</v>
      </c>
      <c r="J9" s="4">
        <v>16522</v>
      </c>
      <c r="K9" s="4">
        <v>14758.487485940001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57</v>
      </c>
      <c r="R9" s="3">
        <v>0</v>
      </c>
      <c r="S9" s="3">
        <v>5</v>
      </c>
      <c r="T9" s="3">
        <v>0</v>
      </c>
      <c r="U9" s="3">
        <v>0</v>
      </c>
      <c r="V9" s="4">
        <f>IF(ISERROR(VLOOKUP($S$9,'TAR FIN'!$A$1:$O$113,15,0)),0,VLOOKUP($S$9,'TAR FIN'!$A$1:$O$113,15,0))</f>
        <v>11.59</v>
      </c>
      <c r="W9" s="4">
        <f>IF(ISERROR(VLOOKUP($T$9,'TAR FIN'!$A$1:$O$113,15,0)),0,VLOOKUP($T$9,'TAR FIN'!$A$1:$O$113,15,0))</f>
        <v>0</v>
      </c>
      <c r="X9" s="4">
        <f>IF(ISERROR(VLOOKUP($U$9,'TAR FIN'!$A$1:$O$113,15,0)),0,VLOOKUP($U$9,'TAR FIN'!$A$1:$O$113,15,0))</f>
        <v>0</v>
      </c>
      <c r="Y9" s="4">
        <f ca="1">('TUSD BE'!$AM$6+'TUSD BF'!$AM$6+'TUSD CVA'!$AM$6)*1</f>
        <v>10.94172345363083</v>
      </c>
      <c r="Z9" s="4">
        <f ca="1">('TUSD BE'!$AM$7+'TUSD BF'!$AM$7+'TUSD CVA'!$AM$7)*1</f>
        <v>45.946048451030222</v>
      </c>
      <c r="AA9" s="4"/>
      <c r="AB9" s="4">
        <f t="shared" si="0"/>
        <v>20439.110037955394</v>
      </c>
      <c r="AC9" s="4">
        <f t="shared" si="1"/>
        <v>0</v>
      </c>
      <c r="AD9" s="4">
        <f t="shared" ca="1" si="2"/>
        <v>19295.866235861766</v>
      </c>
      <c r="AE9" s="4">
        <f t="shared" ca="1" si="3"/>
        <v>0</v>
      </c>
      <c r="AF9" s="3" t="s">
        <v>1022</v>
      </c>
      <c r="AH9" s="51" t="s">
        <v>1031</v>
      </c>
      <c r="AI9" s="52">
        <f t="shared" si="4"/>
        <v>0</v>
      </c>
      <c r="AJ9" s="52">
        <f t="shared" si="5"/>
        <v>0</v>
      </c>
    </row>
    <row r="10" spans="1:36" ht="11.25" customHeight="1" x14ac:dyDescent="0.25">
      <c r="A10" s="3" t="s">
        <v>21</v>
      </c>
      <c r="B10" s="3" t="s">
        <v>39</v>
      </c>
      <c r="C10" s="3" t="s">
        <v>40</v>
      </c>
      <c r="D10" s="3" t="s">
        <v>38</v>
      </c>
      <c r="E10" s="3" t="s">
        <v>25</v>
      </c>
      <c r="F10" s="3" t="s">
        <v>60</v>
      </c>
      <c r="G10" s="3" t="s">
        <v>25</v>
      </c>
      <c r="H10" s="3" t="s">
        <v>35</v>
      </c>
      <c r="I10" s="6">
        <v>44531</v>
      </c>
      <c r="J10" s="4">
        <v>16610</v>
      </c>
      <c r="K10" s="4">
        <v>14474.657599599999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0</v>
      </c>
      <c r="S10" s="3">
        <v>5</v>
      </c>
      <c r="T10" s="3">
        <v>0</v>
      </c>
      <c r="U10" s="3">
        <v>0</v>
      </c>
      <c r="V10" s="4">
        <f>IF(ISERROR(VLOOKUP($S$10,'TAR FIN'!$A$1:$O$113,15,0)),0,VLOOKUP($S$10,'TAR FIN'!$A$1:$O$113,15,0))</f>
        <v>11.59</v>
      </c>
      <c r="W10" s="4">
        <f>IF(ISERROR(VLOOKUP($T$10,'TAR FIN'!$A$1:$O$113,15,0)),0,VLOOKUP($T$10,'TAR FIN'!$A$1:$O$113,15,0))</f>
        <v>0</v>
      </c>
      <c r="X10" s="4">
        <f>IF(ISERROR(VLOOKUP($U$10,'TAR FIN'!$A$1:$O$113,15,0)),0,VLOOKUP($U$10,'TAR FIN'!$A$1:$O$113,15,0))</f>
        <v>0</v>
      </c>
      <c r="Y10" s="4">
        <f ca="1">('TUSD BE'!$AM$6+'TUSD BF'!$AM$6+'TUSD CVA'!$AM$6)*1</f>
        <v>10.94172345363083</v>
      </c>
      <c r="Z10" s="4">
        <f ca="1">('TUSD BE'!$AM$7+'TUSD BF'!$AM$7+'TUSD CVA'!$AM$7)*1</f>
        <v>45.946048451030222</v>
      </c>
      <c r="AA10" s="4"/>
      <c r="AB10" s="4">
        <f t="shared" si="0"/>
        <v>24748.618420636009</v>
      </c>
      <c r="AC10" s="4">
        <f t="shared" si="1"/>
        <v>0</v>
      </c>
      <c r="AD10" s="4">
        <f t="shared" ca="1" si="2"/>
        <v>23364.326023989044</v>
      </c>
      <c r="AE10" s="4">
        <f t="shared" ca="1" si="3"/>
        <v>0</v>
      </c>
      <c r="AF10" s="3" t="s">
        <v>1022</v>
      </c>
    </row>
    <row r="11" spans="1:36" ht="11.25" customHeight="1" x14ac:dyDescent="0.25">
      <c r="A11" s="3" t="s">
        <v>21</v>
      </c>
      <c r="B11" s="3" t="s">
        <v>39</v>
      </c>
      <c r="C11" s="3" t="s">
        <v>40</v>
      </c>
      <c r="D11" s="3" t="s">
        <v>38</v>
      </c>
      <c r="E11" s="3" t="s">
        <v>25</v>
      </c>
      <c r="F11" s="3" t="s">
        <v>60</v>
      </c>
      <c r="G11" s="3" t="s">
        <v>25</v>
      </c>
      <c r="H11" s="3" t="s">
        <v>35</v>
      </c>
      <c r="I11" s="6">
        <v>44562</v>
      </c>
      <c r="J11" s="4">
        <v>11100</v>
      </c>
      <c r="K11" s="4">
        <v>10350.295122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57</v>
      </c>
      <c r="R11" s="3">
        <v>0</v>
      </c>
      <c r="S11" s="3">
        <v>5</v>
      </c>
      <c r="T11" s="3">
        <v>0</v>
      </c>
      <c r="U11" s="3">
        <v>0</v>
      </c>
      <c r="V11" s="4">
        <f>IF(ISERROR(VLOOKUP($S$11,'TAR FIN'!$A$1:$O$113,15,0)),0,VLOOKUP($S$11,'TAR FIN'!$A$1:$O$113,15,0))</f>
        <v>11.59</v>
      </c>
      <c r="W11" s="4">
        <f>IF(ISERROR(VLOOKUP($T$11,'TAR FIN'!$A$1:$O$113,15,0)),0,VLOOKUP($T$11,'TAR FIN'!$A$1:$O$113,15,0))</f>
        <v>0</v>
      </c>
      <c r="X11" s="4">
        <f>IF(ISERROR(VLOOKUP($U$11,'TAR FIN'!$A$1:$O$113,15,0)),0,VLOOKUP($U$11,'TAR FIN'!$A$1:$O$113,15,0))</f>
        <v>0</v>
      </c>
      <c r="Y11" s="4">
        <f ca="1">('TUSD BE'!$AM$6+'TUSD BF'!$AM$6+'TUSD CVA'!$AM$6)*1</f>
        <v>10.94172345363083</v>
      </c>
      <c r="Z11" s="4">
        <f ca="1">('TUSD BE'!$AM$7+'TUSD BF'!$AM$7+'TUSD CVA'!$AM$7)*1</f>
        <v>45.946048451030222</v>
      </c>
      <c r="AA11" s="4"/>
      <c r="AB11" s="4">
        <f t="shared" si="0"/>
        <v>8689.0795360200045</v>
      </c>
      <c r="AC11" s="4">
        <f t="shared" si="1"/>
        <v>0</v>
      </c>
      <c r="AD11" s="4">
        <f t="shared" ca="1" si="2"/>
        <v>8203.0634469140459</v>
      </c>
      <c r="AE11" s="4">
        <f t="shared" ca="1" si="3"/>
        <v>0</v>
      </c>
      <c r="AF11" s="3" t="s">
        <v>1022</v>
      </c>
      <c r="AJ11" s="4">
        <f ca="1">SUM(AJ2:AJ10)</f>
        <v>112982634.23609224</v>
      </c>
    </row>
    <row r="12" spans="1:36" ht="11.25" customHeight="1" x14ac:dyDescent="0.25">
      <c r="A12" s="3" t="s">
        <v>21</v>
      </c>
      <c r="B12" s="3" t="s">
        <v>39</v>
      </c>
      <c r="C12" s="3" t="s">
        <v>40</v>
      </c>
      <c r="D12" s="3" t="s">
        <v>38</v>
      </c>
      <c r="E12" s="3" t="s">
        <v>25</v>
      </c>
      <c r="F12" s="3" t="s">
        <v>60</v>
      </c>
      <c r="G12" s="3" t="s">
        <v>25</v>
      </c>
      <c r="H12" s="3" t="s">
        <v>35</v>
      </c>
      <c r="I12" s="6">
        <v>44593</v>
      </c>
      <c r="J12" s="4">
        <v>16543</v>
      </c>
      <c r="K12" s="4">
        <v>14361.89908338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0</v>
      </c>
      <c r="S12" s="3">
        <v>5</v>
      </c>
      <c r="T12" s="3">
        <v>0</v>
      </c>
      <c r="U12" s="3">
        <v>0</v>
      </c>
      <c r="V12" s="4">
        <f>IF(ISERROR(VLOOKUP($S$12,'TAR FIN'!$A$1:$O$113,15,0)),0,VLOOKUP($S$12,'TAR FIN'!$A$1:$O$113,15,0))</f>
        <v>11.59</v>
      </c>
      <c r="W12" s="4">
        <f>IF(ISERROR(VLOOKUP($T$12,'TAR FIN'!$A$1:$O$113,15,0)),0,VLOOKUP($T$12,'TAR FIN'!$A$1:$O$113,15,0))</f>
        <v>0</v>
      </c>
      <c r="X12" s="4">
        <f>IF(ISERROR(VLOOKUP($U$12,'TAR FIN'!$A$1:$O$113,15,0)),0,VLOOKUP($U$12,'TAR FIN'!$A$1:$O$113,15,0))</f>
        <v>0</v>
      </c>
      <c r="Y12" s="4">
        <f ca="1">('TUSD BE'!$AM$6+'TUSD BF'!$AM$6+'TUSD CVA'!$AM$6)*1</f>
        <v>10.94172345363083</v>
      </c>
      <c r="Z12" s="4">
        <f ca="1">('TUSD BE'!$AM$7+'TUSD BF'!$AM$7+'TUSD CVA'!$AM$7)*1</f>
        <v>45.946048451030222</v>
      </c>
      <c r="AA12" s="4"/>
      <c r="AB12" s="4">
        <f t="shared" si="0"/>
        <v>25278.9596236258</v>
      </c>
      <c r="AC12" s="4">
        <f t="shared" si="1"/>
        <v>0</v>
      </c>
      <c r="AD12" s="4">
        <f t="shared" ca="1" si="2"/>
        <v>23865.003054116758</v>
      </c>
      <c r="AE12" s="4">
        <f t="shared" ca="1" si="3"/>
        <v>0</v>
      </c>
      <c r="AF12" s="3" t="s">
        <v>1022</v>
      </c>
    </row>
    <row r="13" spans="1:36" ht="11.25" customHeight="1" x14ac:dyDescent="0.25">
      <c r="A13" s="3" t="s">
        <v>56</v>
      </c>
      <c r="B13" s="3" t="s">
        <v>39</v>
      </c>
      <c r="C13" s="3" t="s">
        <v>40</v>
      </c>
      <c r="D13" s="3" t="s">
        <v>38</v>
      </c>
      <c r="E13" s="3" t="s">
        <v>25</v>
      </c>
      <c r="F13" s="3" t="s">
        <v>60</v>
      </c>
      <c r="G13" s="3" t="s">
        <v>25</v>
      </c>
      <c r="H13" s="3" t="s">
        <v>35</v>
      </c>
      <c r="I13" s="6">
        <v>44621</v>
      </c>
      <c r="J13" s="4">
        <v>16543</v>
      </c>
      <c r="K13" s="4">
        <v>14361.89908338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57</v>
      </c>
      <c r="R13" s="3">
        <v>0</v>
      </c>
      <c r="S13" s="3">
        <v>5</v>
      </c>
      <c r="T13" s="3">
        <v>0</v>
      </c>
      <c r="U13" s="3">
        <v>0</v>
      </c>
      <c r="V13" s="4">
        <f>IF(ISERROR(VLOOKUP($S$13,'TAR FIN'!$A$1:$O$113,15,0)),0,VLOOKUP($S$13,'TAR FIN'!$A$1:$O$113,15,0))</f>
        <v>11.59</v>
      </c>
      <c r="W13" s="4">
        <f>IF(ISERROR(VLOOKUP($T$13,'TAR FIN'!$A$1:$O$113,15,0)),0,VLOOKUP($T$13,'TAR FIN'!$A$1:$O$113,15,0))</f>
        <v>0</v>
      </c>
      <c r="X13" s="4">
        <f>IF(ISERROR(VLOOKUP($U$13,'TAR FIN'!$A$1:$O$113,15,0)),0,VLOOKUP($U$13,'TAR FIN'!$A$1:$O$113,15,0))</f>
        <v>0</v>
      </c>
      <c r="Y13" s="4">
        <f ca="1">('TUSD BE'!$AM$6+'TUSD BF'!$AM$6+'TUSD CVA'!$AM$6)*1</f>
        <v>10.94172345363083</v>
      </c>
      <c r="Z13" s="4">
        <f ca="1">('TUSD BE'!$AM$7+'TUSD BF'!$AM$7+'TUSD CVA'!$AM$7)*1</f>
        <v>45.946048451030222</v>
      </c>
      <c r="AA13" s="4"/>
      <c r="AB13" s="4">
        <f t="shared" si="0"/>
        <v>25278.9596236258</v>
      </c>
      <c r="AC13" s="4">
        <f t="shared" si="1"/>
        <v>0</v>
      </c>
      <c r="AD13" s="4">
        <f t="shared" ca="1" si="2"/>
        <v>23865.003054116758</v>
      </c>
      <c r="AE13" s="4">
        <f t="shared" ca="1" si="3"/>
        <v>0</v>
      </c>
      <c r="AF13" s="3" t="s">
        <v>1022</v>
      </c>
    </row>
    <row r="14" spans="1:36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60</v>
      </c>
      <c r="G14" s="3" t="s">
        <v>25</v>
      </c>
      <c r="H14" s="3" t="s">
        <v>25</v>
      </c>
      <c r="I14" s="6">
        <v>44287</v>
      </c>
      <c r="J14" s="4">
        <v>0</v>
      </c>
      <c r="K14" s="4">
        <v>0</v>
      </c>
      <c r="L14" s="4">
        <v>370.19499999999999</v>
      </c>
      <c r="M14" s="4">
        <v>370.19499999999999</v>
      </c>
      <c r="N14" s="4">
        <v>0</v>
      </c>
      <c r="O14" s="4">
        <v>0</v>
      </c>
      <c r="P14" s="4">
        <v>1</v>
      </c>
      <c r="Q14" s="3" t="s">
        <v>57</v>
      </c>
      <c r="R14" s="3">
        <v>0</v>
      </c>
      <c r="S14" s="3">
        <v>0</v>
      </c>
      <c r="T14" s="3">
        <v>6</v>
      </c>
      <c r="U14" s="3">
        <v>0</v>
      </c>
      <c r="V14" s="4">
        <f>IF(ISERROR(VLOOKUP($S$14,'TAR FIN'!$A$1:$O$113,15,0)),0,VLOOKUP($S$14,'TAR FIN'!$A$1:$O$113,15,0))</f>
        <v>0</v>
      </c>
      <c r="W14" s="4">
        <f>IF(ISERROR(VLOOKUP($T$14,'TAR FIN'!$A$1:$O$113,15,0)),0,VLOOKUP($T$14,'TAR FIN'!$A$1:$O$113,15,0))</f>
        <v>35.86</v>
      </c>
      <c r="X14" s="4">
        <f>IF(ISERROR(VLOOKUP($U$14,'TAR FIN'!$A$1:$O$113,15,0)),0,VLOOKUP($U$14,'TAR FIN'!$A$1:$O$113,15,0))</f>
        <v>0</v>
      </c>
      <c r="Y14" s="4"/>
      <c r="Z14" s="4">
        <f ca="1">('TUSD BE'!$AM$7+'TUSD BF'!$AM$7+'TUSD CVA'!$AM$7)*1</f>
        <v>45.946048451030222</v>
      </c>
      <c r="AA14" s="4"/>
      <c r="AB14" s="4">
        <f t="shared" si="0"/>
        <v>0</v>
      </c>
      <c r="AC14" s="4">
        <f t="shared" si="1"/>
        <v>0</v>
      </c>
      <c r="AD14" s="4">
        <f t="shared" si="2"/>
        <v>0</v>
      </c>
      <c r="AE14" s="4">
        <f t="shared" ca="1" si="3"/>
        <v>0</v>
      </c>
      <c r="AF14" s="3" t="s">
        <v>1022</v>
      </c>
    </row>
    <row r="15" spans="1:36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60</v>
      </c>
      <c r="G15" s="3" t="s">
        <v>25</v>
      </c>
      <c r="H15" s="3" t="s">
        <v>25</v>
      </c>
      <c r="I15" s="6">
        <v>44317</v>
      </c>
      <c r="J15" s="4">
        <v>0</v>
      </c>
      <c r="K15" s="4">
        <v>0</v>
      </c>
      <c r="L15" s="4">
        <v>324.17899999999997</v>
      </c>
      <c r="M15" s="4">
        <v>324.17899999999997</v>
      </c>
      <c r="N15" s="4">
        <v>0</v>
      </c>
      <c r="O15" s="4">
        <v>0</v>
      </c>
      <c r="P15" s="4">
        <v>1</v>
      </c>
      <c r="Q15" s="3" t="s">
        <v>57</v>
      </c>
      <c r="R15" s="3">
        <v>0</v>
      </c>
      <c r="S15" s="3">
        <v>0</v>
      </c>
      <c r="T15" s="3">
        <v>6</v>
      </c>
      <c r="U15" s="3">
        <v>0</v>
      </c>
      <c r="V15" s="4">
        <f>IF(ISERROR(VLOOKUP($S$15,'TAR FIN'!$A$1:$O$113,15,0)),0,VLOOKUP($S$15,'TAR FIN'!$A$1:$O$113,15,0))</f>
        <v>0</v>
      </c>
      <c r="W15" s="4">
        <f>IF(ISERROR(VLOOKUP($T$15,'TAR FIN'!$A$1:$O$113,15,0)),0,VLOOKUP($T$15,'TAR FIN'!$A$1:$O$113,15,0))</f>
        <v>35.86</v>
      </c>
      <c r="X15" s="4">
        <f>IF(ISERROR(VLOOKUP($U$15,'TAR FIN'!$A$1:$O$113,15,0)),0,VLOOKUP($U$15,'TAR FIN'!$A$1:$O$113,15,0))</f>
        <v>0</v>
      </c>
      <c r="Y15" s="4"/>
      <c r="Z15" s="4">
        <f ca="1">('TUSD BE'!$AM$7+'TUSD BF'!$AM$7+'TUSD CVA'!$AM$7)*1</f>
        <v>45.946048451030222</v>
      </c>
      <c r="AA15" s="4"/>
      <c r="AB15" s="4">
        <f t="shared" si="0"/>
        <v>0</v>
      </c>
      <c r="AC15" s="4">
        <f t="shared" si="1"/>
        <v>0</v>
      </c>
      <c r="AD15" s="4">
        <f t="shared" si="2"/>
        <v>0</v>
      </c>
      <c r="AE15" s="4">
        <f t="shared" ca="1" si="3"/>
        <v>0</v>
      </c>
      <c r="AF15" s="3" t="s">
        <v>1022</v>
      </c>
    </row>
    <row r="16" spans="1:36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60</v>
      </c>
      <c r="G16" s="3" t="s">
        <v>25</v>
      </c>
      <c r="H16" s="3" t="s">
        <v>25</v>
      </c>
      <c r="I16" s="6">
        <v>44348</v>
      </c>
      <c r="J16" s="4">
        <v>0</v>
      </c>
      <c r="K16" s="4">
        <v>0</v>
      </c>
      <c r="L16" s="4">
        <v>327.90800000000002</v>
      </c>
      <c r="M16" s="4">
        <v>327.90800000000002</v>
      </c>
      <c r="N16" s="4">
        <v>0</v>
      </c>
      <c r="O16" s="4">
        <v>0</v>
      </c>
      <c r="P16" s="4">
        <v>1</v>
      </c>
      <c r="Q16" s="3" t="s">
        <v>57</v>
      </c>
      <c r="R16" s="3">
        <v>0</v>
      </c>
      <c r="S16" s="3">
        <v>0</v>
      </c>
      <c r="T16" s="3">
        <v>6</v>
      </c>
      <c r="U16" s="3">
        <v>0</v>
      </c>
      <c r="V16" s="4">
        <f>IF(ISERROR(VLOOKUP($S$16,'TAR FIN'!$A$1:$O$113,15,0)),0,VLOOKUP($S$16,'TAR FIN'!$A$1:$O$113,15,0))</f>
        <v>0</v>
      </c>
      <c r="W16" s="4">
        <f>IF(ISERROR(VLOOKUP($T$16,'TAR FIN'!$A$1:$O$113,15,0)),0,VLOOKUP($T$16,'TAR FIN'!$A$1:$O$113,15,0))</f>
        <v>35.86</v>
      </c>
      <c r="X16" s="4">
        <f>IF(ISERROR(VLOOKUP($U$16,'TAR FIN'!$A$1:$O$113,15,0)),0,VLOOKUP($U$16,'TAR FIN'!$A$1:$O$113,15,0))</f>
        <v>0</v>
      </c>
      <c r="Y16" s="4"/>
      <c r="Z16" s="4">
        <f ca="1">('TUSD BE'!$AM$7+'TUSD BF'!$AM$7+'TUSD CVA'!$AM$7)*1</f>
        <v>45.946048451030222</v>
      </c>
      <c r="AA16" s="4"/>
      <c r="AB16" s="4">
        <f t="shared" si="0"/>
        <v>0</v>
      </c>
      <c r="AC16" s="4">
        <f t="shared" si="1"/>
        <v>0</v>
      </c>
      <c r="AD16" s="4">
        <f t="shared" si="2"/>
        <v>0</v>
      </c>
      <c r="AE16" s="4">
        <f t="shared" ca="1" si="3"/>
        <v>0</v>
      </c>
      <c r="AF16" s="3" t="s">
        <v>1022</v>
      </c>
    </row>
    <row r="17" spans="1:32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60</v>
      </c>
      <c r="G17" s="3" t="s">
        <v>25</v>
      </c>
      <c r="H17" s="3" t="s">
        <v>25</v>
      </c>
      <c r="I17" s="6">
        <v>44378</v>
      </c>
      <c r="J17" s="4">
        <v>0</v>
      </c>
      <c r="K17" s="4">
        <v>0</v>
      </c>
      <c r="L17" s="4">
        <v>364.52300000000002</v>
      </c>
      <c r="M17" s="4">
        <v>364.52300000000002</v>
      </c>
      <c r="N17" s="4">
        <v>0</v>
      </c>
      <c r="O17" s="4">
        <v>0</v>
      </c>
      <c r="P17" s="4">
        <v>1</v>
      </c>
      <c r="Q17" s="3" t="s">
        <v>57</v>
      </c>
      <c r="R17" s="3">
        <v>0</v>
      </c>
      <c r="S17" s="3">
        <v>0</v>
      </c>
      <c r="T17" s="3">
        <v>6</v>
      </c>
      <c r="U17" s="3">
        <v>0</v>
      </c>
      <c r="V17" s="4">
        <f>IF(ISERROR(VLOOKUP($S$17,'TAR FIN'!$A$1:$O$113,15,0)),0,VLOOKUP($S$17,'TAR FIN'!$A$1:$O$113,15,0))</f>
        <v>0</v>
      </c>
      <c r="W17" s="4">
        <f>IF(ISERROR(VLOOKUP($T$17,'TAR FIN'!$A$1:$O$113,15,0)),0,VLOOKUP($T$17,'TAR FIN'!$A$1:$O$113,15,0))</f>
        <v>35.86</v>
      </c>
      <c r="X17" s="4">
        <f>IF(ISERROR(VLOOKUP($U$17,'TAR FIN'!$A$1:$O$113,15,0)),0,VLOOKUP($U$17,'TAR FIN'!$A$1:$O$113,15,0))</f>
        <v>0</v>
      </c>
      <c r="Y17" s="4"/>
      <c r="Z17" s="4">
        <f ca="1">('TUSD BE'!$AM$7+'TUSD BF'!$AM$7+'TUSD CVA'!$AM$7)*1</f>
        <v>45.946048451030222</v>
      </c>
      <c r="AA17" s="4"/>
      <c r="AB17" s="4">
        <f t="shared" si="0"/>
        <v>0</v>
      </c>
      <c r="AC17" s="4">
        <f t="shared" si="1"/>
        <v>0</v>
      </c>
      <c r="AD17" s="4">
        <f t="shared" si="2"/>
        <v>0</v>
      </c>
      <c r="AE17" s="4">
        <f t="shared" ca="1" si="3"/>
        <v>0</v>
      </c>
      <c r="AF17" s="3" t="s">
        <v>1022</v>
      </c>
    </row>
    <row r="18" spans="1:32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60</v>
      </c>
      <c r="G18" s="3" t="s">
        <v>25</v>
      </c>
      <c r="H18" s="3" t="s">
        <v>25</v>
      </c>
      <c r="I18" s="6">
        <v>44409</v>
      </c>
      <c r="J18" s="4">
        <v>0</v>
      </c>
      <c r="K18" s="4">
        <v>0</v>
      </c>
      <c r="L18" s="4">
        <v>414.50400000000002</v>
      </c>
      <c r="M18" s="4">
        <v>414.50400000000002</v>
      </c>
      <c r="N18" s="4">
        <v>0</v>
      </c>
      <c r="O18" s="4">
        <v>0</v>
      </c>
      <c r="P18" s="4">
        <v>1</v>
      </c>
      <c r="Q18" s="3" t="s">
        <v>57</v>
      </c>
      <c r="R18" s="3">
        <v>0</v>
      </c>
      <c r="S18" s="3">
        <v>0</v>
      </c>
      <c r="T18" s="3">
        <v>6</v>
      </c>
      <c r="U18" s="3">
        <v>0</v>
      </c>
      <c r="V18" s="4">
        <f>IF(ISERROR(VLOOKUP($S$18,'TAR FIN'!$A$1:$O$113,15,0)),0,VLOOKUP($S$18,'TAR FIN'!$A$1:$O$113,15,0))</f>
        <v>0</v>
      </c>
      <c r="W18" s="4">
        <f>IF(ISERROR(VLOOKUP($T$18,'TAR FIN'!$A$1:$O$113,15,0)),0,VLOOKUP($T$18,'TAR FIN'!$A$1:$O$113,15,0))</f>
        <v>35.86</v>
      </c>
      <c r="X18" s="4">
        <f>IF(ISERROR(VLOOKUP($U$18,'TAR FIN'!$A$1:$O$113,15,0)),0,VLOOKUP($U$18,'TAR FIN'!$A$1:$O$113,15,0))</f>
        <v>0</v>
      </c>
      <c r="Y18" s="4"/>
      <c r="Z18" s="4">
        <f ca="1">('TUSD BE'!$AM$7+'TUSD BF'!$AM$7+'TUSD CVA'!$AM$7)*1</f>
        <v>45.946048451030222</v>
      </c>
      <c r="AA18" s="4"/>
      <c r="AB18" s="4">
        <f t="shared" si="0"/>
        <v>0</v>
      </c>
      <c r="AC18" s="4">
        <f t="shared" si="1"/>
        <v>0</v>
      </c>
      <c r="AD18" s="4">
        <f t="shared" si="2"/>
        <v>0</v>
      </c>
      <c r="AE18" s="4">
        <f t="shared" ca="1" si="3"/>
        <v>0</v>
      </c>
      <c r="AF18" s="3" t="s">
        <v>1022</v>
      </c>
    </row>
    <row r="19" spans="1:32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60</v>
      </c>
      <c r="G19" s="3" t="s">
        <v>25</v>
      </c>
      <c r="H19" s="3" t="s">
        <v>25</v>
      </c>
      <c r="I19" s="6">
        <v>44440</v>
      </c>
      <c r="J19" s="4">
        <v>0</v>
      </c>
      <c r="K19" s="4">
        <v>0</v>
      </c>
      <c r="L19" s="4">
        <v>6877.1030000000001</v>
      </c>
      <c r="M19" s="4">
        <v>6877.1030000000001</v>
      </c>
      <c r="N19" s="4">
        <v>0</v>
      </c>
      <c r="O19" s="4">
        <v>0</v>
      </c>
      <c r="P19" s="4">
        <v>2</v>
      </c>
      <c r="Q19" s="3" t="s">
        <v>57</v>
      </c>
      <c r="R19" s="3">
        <v>0</v>
      </c>
      <c r="S19" s="3">
        <v>0</v>
      </c>
      <c r="T19" s="3">
        <v>6</v>
      </c>
      <c r="U19" s="3">
        <v>0</v>
      </c>
      <c r="V19" s="4">
        <f>IF(ISERROR(VLOOKUP($S$19,'TAR FIN'!$A$1:$O$113,15,0)),0,VLOOKUP($S$19,'TAR FIN'!$A$1:$O$113,15,0))</f>
        <v>0</v>
      </c>
      <c r="W19" s="4">
        <f>IF(ISERROR(VLOOKUP($T$19,'TAR FIN'!$A$1:$O$113,15,0)),0,VLOOKUP($T$19,'TAR FIN'!$A$1:$O$113,15,0))</f>
        <v>35.86</v>
      </c>
      <c r="X19" s="4">
        <f>IF(ISERROR(VLOOKUP($U$19,'TAR FIN'!$A$1:$O$113,15,0)),0,VLOOKUP($U$19,'TAR FIN'!$A$1:$O$113,15,0))</f>
        <v>0</v>
      </c>
      <c r="Y19" s="4"/>
      <c r="Z19" s="4">
        <f ca="1">('TUSD BE'!$AM$7+'TUSD BF'!$AM$7+'TUSD CVA'!$AM$7)*1</f>
        <v>45.946048451030222</v>
      </c>
      <c r="AA19" s="4"/>
      <c r="AB19" s="4">
        <f t="shared" si="0"/>
        <v>0</v>
      </c>
      <c r="AC19" s="4">
        <f t="shared" si="1"/>
        <v>0</v>
      </c>
      <c r="AD19" s="4">
        <f t="shared" si="2"/>
        <v>0</v>
      </c>
      <c r="AE19" s="4">
        <f t="shared" ca="1" si="3"/>
        <v>0</v>
      </c>
      <c r="AF19" s="3" t="s">
        <v>1022</v>
      </c>
    </row>
    <row r="20" spans="1:32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60</v>
      </c>
      <c r="G20" s="3" t="s">
        <v>25</v>
      </c>
      <c r="H20" s="3" t="s">
        <v>25</v>
      </c>
      <c r="I20" s="6">
        <v>44470</v>
      </c>
      <c r="J20" s="4">
        <v>0</v>
      </c>
      <c r="K20" s="4">
        <v>0</v>
      </c>
      <c r="L20" s="4">
        <v>6822.4920000000002</v>
      </c>
      <c r="M20" s="4">
        <v>6822.4920000000002</v>
      </c>
      <c r="N20" s="4">
        <v>0</v>
      </c>
      <c r="O20" s="4">
        <v>0</v>
      </c>
      <c r="P20" s="4">
        <v>2</v>
      </c>
      <c r="Q20" s="3" t="s">
        <v>57</v>
      </c>
      <c r="R20" s="3">
        <v>0</v>
      </c>
      <c r="S20" s="3">
        <v>0</v>
      </c>
      <c r="T20" s="3">
        <v>6</v>
      </c>
      <c r="U20" s="3">
        <v>0</v>
      </c>
      <c r="V20" s="4">
        <f>IF(ISERROR(VLOOKUP($S$20,'TAR FIN'!$A$1:$O$113,15,0)),0,VLOOKUP($S$20,'TAR FIN'!$A$1:$O$113,15,0))</f>
        <v>0</v>
      </c>
      <c r="W20" s="4">
        <f>IF(ISERROR(VLOOKUP($T$20,'TAR FIN'!$A$1:$O$113,15,0)),0,VLOOKUP($T$20,'TAR FIN'!$A$1:$O$113,15,0))</f>
        <v>35.86</v>
      </c>
      <c r="X20" s="4">
        <f>IF(ISERROR(VLOOKUP($U$20,'TAR FIN'!$A$1:$O$113,15,0)),0,VLOOKUP($U$20,'TAR FIN'!$A$1:$O$113,15,0))</f>
        <v>0</v>
      </c>
      <c r="Y20" s="4"/>
      <c r="Z20" s="4">
        <f ca="1">('TUSD BE'!$AM$7+'TUSD BF'!$AM$7+'TUSD CVA'!$AM$7)*1</f>
        <v>45.946048451030222</v>
      </c>
      <c r="AA20" s="4"/>
      <c r="AB20" s="4">
        <f t="shared" si="0"/>
        <v>0</v>
      </c>
      <c r="AC20" s="4">
        <f t="shared" si="1"/>
        <v>0</v>
      </c>
      <c r="AD20" s="4">
        <f t="shared" si="2"/>
        <v>0</v>
      </c>
      <c r="AE20" s="4">
        <f t="shared" ca="1" si="3"/>
        <v>0</v>
      </c>
      <c r="AF20" s="3" t="s">
        <v>1022</v>
      </c>
    </row>
    <row r="21" spans="1:32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60</v>
      </c>
      <c r="G21" s="3" t="s">
        <v>25</v>
      </c>
      <c r="H21" s="3" t="s">
        <v>25</v>
      </c>
      <c r="I21" s="6">
        <v>44501</v>
      </c>
      <c r="J21" s="4">
        <v>0</v>
      </c>
      <c r="K21" s="4">
        <v>0</v>
      </c>
      <c r="L21" s="4">
        <v>10120.803</v>
      </c>
      <c r="M21" s="4">
        <v>10120.803</v>
      </c>
      <c r="N21" s="4">
        <v>0</v>
      </c>
      <c r="O21" s="4">
        <v>0</v>
      </c>
      <c r="P21" s="4">
        <v>3</v>
      </c>
      <c r="Q21" s="3" t="s">
        <v>57</v>
      </c>
      <c r="R21" s="3">
        <v>0</v>
      </c>
      <c r="S21" s="3">
        <v>0</v>
      </c>
      <c r="T21" s="3">
        <v>6</v>
      </c>
      <c r="U21" s="3">
        <v>0</v>
      </c>
      <c r="V21" s="4">
        <f>IF(ISERROR(VLOOKUP($S$21,'TAR FIN'!$A$1:$O$113,15,0)),0,VLOOKUP($S$21,'TAR FIN'!$A$1:$O$113,15,0))</f>
        <v>0</v>
      </c>
      <c r="W21" s="4">
        <f>IF(ISERROR(VLOOKUP($T$21,'TAR FIN'!$A$1:$O$113,15,0)),0,VLOOKUP($T$21,'TAR FIN'!$A$1:$O$113,15,0))</f>
        <v>35.86</v>
      </c>
      <c r="X21" s="4">
        <f>IF(ISERROR(VLOOKUP($U$21,'TAR FIN'!$A$1:$O$113,15,0)),0,VLOOKUP($U$21,'TAR FIN'!$A$1:$O$113,15,0))</f>
        <v>0</v>
      </c>
      <c r="Y21" s="4"/>
      <c r="Z21" s="4">
        <f ca="1">('TUSD BE'!$AM$7+'TUSD BF'!$AM$7+'TUSD CVA'!$AM$7)*1</f>
        <v>45.946048451030222</v>
      </c>
      <c r="AA21" s="4"/>
      <c r="AB21" s="4">
        <f t="shared" si="0"/>
        <v>0</v>
      </c>
      <c r="AC21" s="4">
        <f t="shared" si="1"/>
        <v>0</v>
      </c>
      <c r="AD21" s="4">
        <f t="shared" si="2"/>
        <v>0</v>
      </c>
      <c r="AE21" s="4">
        <f t="shared" ca="1" si="3"/>
        <v>0</v>
      </c>
      <c r="AF21" s="3" t="s">
        <v>1022</v>
      </c>
    </row>
    <row r="22" spans="1:32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60</v>
      </c>
      <c r="G22" s="3" t="s">
        <v>25</v>
      </c>
      <c r="H22" s="3" t="s">
        <v>25</v>
      </c>
      <c r="I22" s="6">
        <v>44531</v>
      </c>
      <c r="J22" s="4">
        <v>0</v>
      </c>
      <c r="K22" s="4">
        <v>0</v>
      </c>
      <c r="L22" s="4">
        <v>10300.243</v>
      </c>
      <c r="M22" s="4">
        <v>10300.243</v>
      </c>
      <c r="N22" s="4">
        <v>0</v>
      </c>
      <c r="O22" s="4">
        <v>0</v>
      </c>
      <c r="P22" s="4">
        <v>3</v>
      </c>
      <c r="Q22" s="3" t="s">
        <v>57</v>
      </c>
      <c r="R22" s="3">
        <v>0</v>
      </c>
      <c r="S22" s="3">
        <v>0</v>
      </c>
      <c r="T22" s="3">
        <v>6</v>
      </c>
      <c r="U22" s="3">
        <v>0</v>
      </c>
      <c r="V22" s="4">
        <f>IF(ISERROR(VLOOKUP($S$22,'TAR FIN'!$A$1:$O$113,15,0)),0,VLOOKUP($S$22,'TAR FIN'!$A$1:$O$113,15,0))</f>
        <v>0</v>
      </c>
      <c r="W22" s="4">
        <f>IF(ISERROR(VLOOKUP($T$22,'TAR FIN'!$A$1:$O$113,15,0)),0,VLOOKUP($T$22,'TAR FIN'!$A$1:$O$113,15,0))</f>
        <v>35.86</v>
      </c>
      <c r="X22" s="4">
        <f>IF(ISERROR(VLOOKUP($U$22,'TAR FIN'!$A$1:$O$113,15,0)),0,VLOOKUP($U$22,'TAR FIN'!$A$1:$O$113,15,0))</f>
        <v>0</v>
      </c>
      <c r="Y22" s="4"/>
      <c r="Z22" s="4">
        <f ca="1">('TUSD BE'!$AM$7+'TUSD BF'!$AM$7+'TUSD CVA'!$AM$7)*1</f>
        <v>45.946048451030222</v>
      </c>
      <c r="AA22" s="4"/>
      <c r="AB22" s="4">
        <f t="shared" si="0"/>
        <v>0</v>
      </c>
      <c r="AC22" s="4">
        <f t="shared" si="1"/>
        <v>0</v>
      </c>
      <c r="AD22" s="4">
        <f t="shared" si="2"/>
        <v>0</v>
      </c>
      <c r="AE22" s="4">
        <f t="shared" ca="1" si="3"/>
        <v>0</v>
      </c>
      <c r="AF22" s="3" t="s">
        <v>1022</v>
      </c>
    </row>
    <row r="23" spans="1:32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60</v>
      </c>
      <c r="G23" s="3" t="s">
        <v>25</v>
      </c>
      <c r="H23" s="3" t="s">
        <v>25</v>
      </c>
      <c r="I23" s="6">
        <v>44562</v>
      </c>
      <c r="J23" s="4">
        <v>0</v>
      </c>
      <c r="K23" s="4">
        <v>0</v>
      </c>
      <c r="L23" s="4">
        <v>7118.0290000000005</v>
      </c>
      <c r="M23" s="4">
        <v>7118.0290000000005</v>
      </c>
      <c r="N23" s="4">
        <v>0</v>
      </c>
      <c r="O23" s="4">
        <v>0</v>
      </c>
      <c r="P23" s="4">
        <v>2</v>
      </c>
      <c r="Q23" s="3" t="s">
        <v>57</v>
      </c>
      <c r="R23" s="3">
        <v>0</v>
      </c>
      <c r="S23" s="3">
        <v>0</v>
      </c>
      <c r="T23" s="3">
        <v>6</v>
      </c>
      <c r="U23" s="3">
        <v>0</v>
      </c>
      <c r="V23" s="4">
        <f>IF(ISERROR(VLOOKUP($S$23,'TAR FIN'!$A$1:$O$113,15,0)),0,VLOOKUP($S$23,'TAR FIN'!$A$1:$O$113,15,0))</f>
        <v>0</v>
      </c>
      <c r="W23" s="4">
        <f>IF(ISERROR(VLOOKUP($T$23,'TAR FIN'!$A$1:$O$113,15,0)),0,VLOOKUP($T$23,'TAR FIN'!$A$1:$O$113,15,0))</f>
        <v>35.86</v>
      </c>
      <c r="X23" s="4">
        <f>IF(ISERROR(VLOOKUP($U$23,'TAR FIN'!$A$1:$O$113,15,0)),0,VLOOKUP($U$23,'TAR FIN'!$A$1:$O$113,15,0))</f>
        <v>0</v>
      </c>
      <c r="Y23" s="4"/>
      <c r="Z23" s="4">
        <f ca="1">('TUSD BE'!$AM$7+'TUSD BF'!$AM$7+'TUSD CVA'!$AM$7)*1</f>
        <v>45.946048451030222</v>
      </c>
      <c r="AA23" s="4"/>
      <c r="AB23" s="4">
        <f t="shared" si="0"/>
        <v>0</v>
      </c>
      <c r="AC23" s="4">
        <f t="shared" si="1"/>
        <v>0</v>
      </c>
      <c r="AD23" s="4">
        <f t="shared" si="2"/>
        <v>0</v>
      </c>
      <c r="AE23" s="4">
        <f t="shared" ca="1" si="3"/>
        <v>0</v>
      </c>
      <c r="AF23" s="3" t="s">
        <v>1022</v>
      </c>
    </row>
    <row r="24" spans="1:32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60</v>
      </c>
      <c r="G24" s="3" t="s">
        <v>25</v>
      </c>
      <c r="H24" s="3" t="s">
        <v>25</v>
      </c>
      <c r="I24" s="6">
        <v>44593</v>
      </c>
      <c r="J24" s="4">
        <v>0</v>
      </c>
      <c r="K24" s="4">
        <v>0</v>
      </c>
      <c r="L24" s="4">
        <v>10378.311</v>
      </c>
      <c r="M24" s="4">
        <v>10378.311</v>
      </c>
      <c r="N24" s="4">
        <v>0</v>
      </c>
      <c r="O24" s="4">
        <v>0</v>
      </c>
      <c r="P24" s="4">
        <v>3</v>
      </c>
      <c r="Q24" s="3" t="s">
        <v>57</v>
      </c>
      <c r="R24" s="3">
        <v>0</v>
      </c>
      <c r="S24" s="3">
        <v>0</v>
      </c>
      <c r="T24" s="3">
        <v>6</v>
      </c>
      <c r="U24" s="3">
        <v>0</v>
      </c>
      <c r="V24" s="4">
        <f>IF(ISERROR(VLOOKUP($S$24,'TAR FIN'!$A$1:$O$113,15,0)),0,VLOOKUP($S$24,'TAR FIN'!$A$1:$O$113,15,0))</f>
        <v>0</v>
      </c>
      <c r="W24" s="4">
        <f>IF(ISERROR(VLOOKUP($T$24,'TAR FIN'!$A$1:$O$113,15,0)),0,VLOOKUP($T$24,'TAR FIN'!$A$1:$O$113,15,0))</f>
        <v>35.86</v>
      </c>
      <c r="X24" s="4">
        <f>IF(ISERROR(VLOOKUP($U$24,'TAR FIN'!$A$1:$O$113,15,0)),0,VLOOKUP($U$24,'TAR FIN'!$A$1:$O$113,15,0))</f>
        <v>0</v>
      </c>
      <c r="Y24" s="4"/>
      <c r="Z24" s="4">
        <f ca="1">('TUSD BE'!$AM$7+'TUSD BF'!$AM$7+'TUSD CVA'!$AM$7)*1</f>
        <v>45.946048451030222</v>
      </c>
      <c r="AA24" s="4"/>
      <c r="AB24" s="4">
        <f t="shared" si="0"/>
        <v>0</v>
      </c>
      <c r="AC24" s="4">
        <f t="shared" si="1"/>
        <v>0</v>
      </c>
      <c r="AD24" s="4">
        <f t="shared" si="2"/>
        <v>0</v>
      </c>
      <c r="AE24" s="4">
        <f t="shared" ca="1" si="3"/>
        <v>0</v>
      </c>
      <c r="AF24" s="3" t="s">
        <v>1022</v>
      </c>
    </row>
    <row r="25" spans="1:32" ht="11.25" customHeight="1" x14ac:dyDescent="0.25">
      <c r="A25" s="3" t="s">
        <v>27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60</v>
      </c>
      <c r="G25" s="3" t="s">
        <v>25</v>
      </c>
      <c r="H25" s="3" t="s">
        <v>25</v>
      </c>
      <c r="I25" s="6">
        <v>44593</v>
      </c>
      <c r="J25" s="4">
        <v>0</v>
      </c>
      <c r="K25" s="4">
        <v>0</v>
      </c>
      <c r="L25" s="4">
        <v>-2009.1769999999999</v>
      </c>
      <c r="M25" s="4">
        <v>-2009.1769999999999</v>
      </c>
      <c r="N25" s="4">
        <v>0</v>
      </c>
      <c r="O25" s="4">
        <v>0</v>
      </c>
      <c r="P25" s="4">
        <v>0</v>
      </c>
      <c r="Q25" s="3" t="s">
        <v>57</v>
      </c>
      <c r="R25" s="3">
        <v>0</v>
      </c>
      <c r="S25" s="3">
        <v>0</v>
      </c>
      <c r="T25" s="3">
        <v>6</v>
      </c>
      <c r="U25" s="3">
        <v>0</v>
      </c>
      <c r="V25" s="4">
        <f>IF(ISERROR(VLOOKUP($S$25,'TAR FIN'!$A$1:$O$113,15,0)),0,VLOOKUP($S$25,'TAR FIN'!$A$1:$O$113,15,0))</f>
        <v>0</v>
      </c>
      <c r="W25" s="4">
        <f>IF(ISERROR(VLOOKUP($T$25,'TAR FIN'!$A$1:$O$113,15,0)),0,VLOOKUP($T$25,'TAR FIN'!$A$1:$O$113,15,0))</f>
        <v>35.86</v>
      </c>
      <c r="X25" s="4">
        <f>IF(ISERROR(VLOOKUP($U$25,'TAR FIN'!$A$1:$O$113,15,0)),0,VLOOKUP($U$25,'TAR FIN'!$A$1:$O$113,15,0))</f>
        <v>0</v>
      </c>
      <c r="Y25" s="4"/>
      <c r="Z25" s="4">
        <f ca="1">('TUSD BE'!$AM$7+'TUSD BF'!$AM$7+'TUSD CVA'!$AM$7)*1</f>
        <v>45.946048451030222</v>
      </c>
      <c r="AA25" s="4"/>
      <c r="AB25" s="4">
        <f t="shared" si="0"/>
        <v>0</v>
      </c>
      <c r="AC25" s="4">
        <f t="shared" si="1"/>
        <v>0</v>
      </c>
      <c r="AD25" s="4">
        <f t="shared" si="2"/>
        <v>0</v>
      </c>
      <c r="AE25" s="4">
        <f t="shared" ca="1" si="3"/>
        <v>0</v>
      </c>
      <c r="AF25" s="3" t="s">
        <v>1022</v>
      </c>
    </row>
    <row r="26" spans="1:32" ht="11.25" customHeight="1" x14ac:dyDescent="0.25">
      <c r="A26" s="3" t="s">
        <v>56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60</v>
      </c>
      <c r="G26" s="3" t="s">
        <v>25</v>
      </c>
      <c r="H26" s="3" t="s">
        <v>25</v>
      </c>
      <c r="I26" s="6">
        <v>44621</v>
      </c>
      <c r="J26" s="4">
        <v>0</v>
      </c>
      <c r="K26" s="4">
        <v>0</v>
      </c>
      <c r="L26" s="4">
        <v>10378.311</v>
      </c>
      <c r="M26" s="4">
        <v>10378.311</v>
      </c>
      <c r="N26" s="4">
        <v>0</v>
      </c>
      <c r="O26" s="4">
        <v>0</v>
      </c>
      <c r="P26" s="4">
        <v>3</v>
      </c>
      <c r="Q26" s="3" t="s">
        <v>57</v>
      </c>
      <c r="R26" s="3">
        <v>0</v>
      </c>
      <c r="S26" s="3">
        <v>0</v>
      </c>
      <c r="T26" s="3">
        <v>6</v>
      </c>
      <c r="U26" s="3">
        <v>0</v>
      </c>
      <c r="V26" s="4">
        <f>IF(ISERROR(VLOOKUP($S$26,'TAR FIN'!$A$1:$O$113,15,0)),0,VLOOKUP($S$26,'TAR FIN'!$A$1:$O$113,15,0))</f>
        <v>0</v>
      </c>
      <c r="W26" s="4">
        <f>IF(ISERROR(VLOOKUP($T$26,'TAR FIN'!$A$1:$O$113,15,0)),0,VLOOKUP($T$26,'TAR FIN'!$A$1:$O$113,15,0))</f>
        <v>35.86</v>
      </c>
      <c r="X26" s="4">
        <f>IF(ISERROR(VLOOKUP($U$26,'TAR FIN'!$A$1:$O$113,15,0)),0,VLOOKUP($U$26,'TAR FIN'!$A$1:$O$113,15,0))</f>
        <v>0</v>
      </c>
      <c r="Y26" s="4"/>
      <c r="Z26" s="4">
        <f ca="1">('TUSD BE'!$AM$7+'TUSD BF'!$AM$7+'TUSD CVA'!$AM$7)*1</f>
        <v>45.946048451030222</v>
      </c>
      <c r="AA26" s="4"/>
      <c r="AB26" s="4">
        <f t="shared" si="0"/>
        <v>0</v>
      </c>
      <c r="AC26" s="4">
        <f t="shared" si="1"/>
        <v>0</v>
      </c>
      <c r="AD26" s="4">
        <f t="shared" si="2"/>
        <v>0</v>
      </c>
      <c r="AE26" s="4">
        <f t="shared" ca="1" si="3"/>
        <v>0</v>
      </c>
      <c r="AF26" s="3" t="s">
        <v>1022</v>
      </c>
    </row>
    <row r="27" spans="1:32" ht="11.25" customHeight="1" x14ac:dyDescent="0.25">
      <c r="A27" s="3" t="s">
        <v>56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60</v>
      </c>
      <c r="G27" s="3" t="s">
        <v>25</v>
      </c>
      <c r="H27" s="3" t="s">
        <v>25</v>
      </c>
      <c r="I27" s="6">
        <v>44621</v>
      </c>
      <c r="J27" s="4">
        <v>0</v>
      </c>
      <c r="K27" s="4">
        <v>0</v>
      </c>
      <c r="L27" s="4">
        <v>-2009.1769999999999</v>
      </c>
      <c r="M27" s="4">
        <v>-2009.1769999999999</v>
      </c>
      <c r="N27" s="4">
        <v>0</v>
      </c>
      <c r="O27" s="4">
        <v>0</v>
      </c>
      <c r="P27" s="4">
        <v>0</v>
      </c>
      <c r="Q27" s="3" t="s">
        <v>57</v>
      </c>
      <c r="R27" s="3">
        <v>0</v>
      </c>
      <c r="S27" s="3">
        <v>0</v>
      </c>
      <c r="T27" s="3">
        <v>6</v>
      </c>
      <c r="U27" s="3">
        <v>0</v>
      </c>
      <c r="V27" s="4">
        <f>IF(ISERROR(VLOOKUP($S$27,'TAR FIN'!$A$1:$O$113,15,0)),0,VLOOKUP($S$27,'TAR FIN'!$A$1:$O$113,15,0))</f>
        <v>0</v>
      </c>
      <c r="W27" s="4">
        <f>IF(ISERROR(VLOOKUP($T$27,'TAR FIN'!$A$1:$O$113,15,0)),0,VLOOKUP($T$27,'TAR FIN'!$A$1:$O$113,15,0))</f>
        <v>35.86</v>
      </c>
      <c r="X27" s="4">
        <f>IF(ISERROR(VLOOKUP($U$27,'TAR FIN'!$A$1:$O$113,15,0)),0,VLOOKUP($U$27,'TAR FIN'!$A$1:$O$113,15,0))</f>
        <v>0</v>
      </c>
      <c r="Y27" s="4"/>
      <c r="Z27" s="4">
        <f ca="1">('TUSD BE'!$AM$7+'TUSD BF'!$AM$7+'TUSD CVA'!$AM$7)*1</f>
        <v>45.946048451030222</v>
      </c>
      <c r="AA27" s="4"/>
      <c r="AB27" s="4">
        <f t="shared" si="0"/>
        <v>0</v>
      </c>
      <c r="AC27" s="4">
        <f t="shared" si="1"/>
        <v>0</v>
      </c>
      <c r="AD27" s="4">
        <f t="shared" si="2"/>
        <v>0</v>
      </c>
      <c r="AE27" s="4">
        <f t="shared" ca="1" si="3"/>
        <v>0</v>
      </c>
      <c r="AF27" s="3" t="s">
        <v>1022</v>
      </c>
    </row>
    <row r="28" spans="1:32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60</v>
      </c>
      <c r="G28" s="3" t="s">
        <v>25</v>
      </c>
      <c r="H28" s="3" t="s">
        <v>34</v>
      </c>
      <c r="I28" s="6">
        <v>44287</v>
      </c>
      <c r="J28" s="4">
        <v>1210</v>
      </c>
      <c r="K28" s="4">
        <v>607.32558370000004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 t="s">
        <v>57</v>
      </c>
      <c r="R28" s="3">
        <v>0</v>
      </c>
      <c r="S28" s="3">
        <v>4</v>
      </c>
      <c r="T28" s="3">
        <v>0</v>
      </c>
      <c r="U28" s="3">
        <v>0</v>
      </c>
      <c r="V28" s="4">
        <f>IF(ISERROR(VLOOKUP($S$28,'TAR FIN'!$A$1:$O$113,15,0)),0,VLOOKUP($S$28,'TAR FIN'!$A$1:$O$113,15,0))</f>
        <v>28.34</v>
      </c>
      <c r="W28" s="4">
        <f>IF(ISERROR(VLOOKUP($T$28,'TAR FIN'!$A$1:$O$113,15,0)),0,VLOOKUP($T$28,'TAR FIN'!$A$1:$O$113,15,0))</f>
        <v>0</v>
      </c>
      <c r="X28" s="4">
        <f>IF(ISERROR(VLOOKUP($U$28,'TAR FIN'!$A$1:$O$113,15,0)),0,VLOOKUP($U$28,'TAR FIN'!$A$1:$O$113,15,0))</f>
        <v>0</v>
      </c>
      <c r="Y28" s="4">
        <f ca="1">('TUSD BE'!$AM$5+'TUSD BF'!$AM$5+'TUSD CVA'!$AM$5)*1</f>
        <v>31.331884047769289</v>
      </c>
      <c r="Z28" s="4">
        <f ca="1">('TUSD BE'!$AM$7+'TUSD BF'!$AM$7+'TUSD CVA'!$AM$7)*1</f>
        <v>45.946048451030222</v>
      </c>
      <c r="AA28" s="4"/>
      <c r="AB28" s="4">
        <f t="shared" si="0"/>
        <v>17079.792957941998</v>
      </c>
      <c r="AC28" s="4">
        <f t="shared" si="1"/>
        <v>0</v>
      </c>
      <c r="AD28" s="4">
        <f t="shared" ca="1" si="2"/>
        <v>18882.924930068635</v>
      </c>
      <c r="AE28" s="4">
        <f t="shared" ca="1" si="3"/>
        <v>0</v>
      </c>
      <c r="AF28" s="3" t="s">
        <v>1022</v>
      </c>
    </row>
    <row r="29" spans="1:32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60</v>
      </c>
      <c r="G29" s="3" t="s">
        <v>25</v>
      </c>
      <c r="H29" s="3" t="s">
        <v>34</v>
      </c>
      <c r="I29" s="6">
        <v>44317</v>
      </c>
      <c r="J29" s="4">
        <v>1210</v>
      </c>
      <c r="K29" s="4">
        <v>608.3789855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3" t="s">
        <v>57</v>
      </c>
      <c r="R29" s="3">
        <v>0</v>
      </c>
      <c r="S29" s="3">
        <v>4</v>
      </c>
      <c r="T29" s="3">
        <v>0</v>
      </c>
      <c r="U29" s="3">
        <v>0</v>
      </c>
      <c r="V29" s="4">
        <f>IF(ISERROR(VLOOKUP($S$29,'TAR FIN'!$A$1:$O$113,15,0)),0,VLOOKUP($S$29,'TAR FIN'!$A$1:$O$113,15,0))</f>
        <v>28.34</v>
      </c>
      <c r="W29" s="4">
        <f>IF(ISERROR(VLOOKUP($T$29,'TAR FIN'!$A$1:$O$113,15,0)),0,VLOOKUP($T$29,'TAR FIN'!$A$1:$O$113,15,0))</f>
        <v>0</v>
      </c>
      <c r="X29" s="4">
        <f>IF(ISERROR(VLOOKUP($U$29,'TAR FIN'!$A$1:$O$113,15,0)),0,VLOOKUP($U$29,'TAR FIN'!$A$1:$O$113,15,0))</f>
        <v>0</v>
      </c>
      <c r="Y29" s="4">
        <f ca="1">('TUSD BE'!$AM$5+'TUSD BF'!$AM$5+'TUSD CVA'!$AM$5)*1</f>
        <v>31.331884047769289</v>
      </c>
      <c r="Z29" s="4">
        <f ca="1">('TUSD BE'!$AM$7+'TUSD BF'!$AM$7+'TUSD CVA'!$AM$7)*1</f>
        <v>45.946048451030222</v>
      </c>
      <c r="AA29" s="4"/>
      <c r="AB29" s="4">
        <f t="shared" si="0"/>
        <v>17049.939550930001</v>
      </c>
      <c r="AC29" s="4">
        <f t="shared" si="1"/>
        <v>0</v>
      </c>
      <c r="AD29" s="4">
        <f t="shared" ca="1" si="2"/>
        <v>18849.919867015327</v>
      </c>
      <c r="AE29" s="4">
        <f t="shared" ca="1" si="3"/>
        <v>0</v>
      </c>
      <c r="AF29" s="3" t="s">
        <v>1022</v>
      </c>
    </row>
    <row r="30" spans="1:32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60</v>
      </c>
      <c r="G30" s="3" t="s">
        <v>25</v>
      </c>
      <c r="H30" s="3" t="s">
        <v>34</v>
      </c>
      <c r="I30" s="6">
        <v>44348</v>
      </c>
      <c r="J30" s="4">
        <v>1210</v>
      </c>
      <c r="K30" s="4">
        <v>605.55787050000004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3" t="s">
        <v>57</v>
      </c>
      <c r="R30" s="3">
        <v>0</v>
      </c>
      <c r="S30" s="3">
        <v>4</v>
      </c>
      <c r="T30" s="3">
        <v>0</v>
      </c>
      <c r="U30" s="3">
        <v>0</v>
      </c>
      <c r="V30" s="4">
        <f>IF(ISERROR(VLOOKUP($S$30,'TAR FIN'!$A$1:$O$113,15,0)),0,VLOOKUP($S$30,'TAR FIN'!$A$1:$O$113,15,0))</f>
        <v>28.34</v>
      </c>
      <c r="W30" s="4">
        <f>IF(ISERROR(VLOOKUP($T$30,'TAR FIN'!$A$1:$O$113,15,0)),0,VLOOKUP($T$30,'TAR FIN'!$A$1:$O$113,15,0))</f>
        <v>0</v>
      </c>
      <c r="X30" s="4">
        <f>IF(ISERROR(VLOOKUP($U$30,'TAR FIN'!$A$1:$O$113,15,0)),0,VLOOKUP($U$30,'TAR FIN'!$A$1:$O$113,15,0))</f>
        <v>0</v>
      </c>
      <c r="Y30" s="4">
        <f ca="1">('TUSD BE'!$AM$5+'TUSD BF'!$AM$5+'TUSD CVA'!$AM$5)*1</f>
        <v>31.331884047769289</v>
      </c>
      <c r="Z30" s="4">
        <f ca="1">('TUSD BE'!$AM$7+'TUSD BF'!$AM$7+'TUSD CVA'!$AM$7)*1</f>
        <v>45.946048451030222</v>
      </c>
      <c r="AA30" s="4"/>
      <c r="AB30" s="4">
        <f t="shared" si="0"/>
        <v>17129.889950029999</v>
      </c>
      <c r="AC30" s="4">
        <f t="shared" si="1"/>
        <v>0</v>
      </c>
      <c r="AD30" s="4">
        <f t="shared" ca="1" si="2"/>
        <v>18938.310715080748</v>
      </c>
      <c r="AE30" s="4">
        <f t="shared" ca="1" si="3"/>
        <v>0</v>
      </c>
      <c r="AF30" s="3" t="s">
        <v>1022</v>
      </c>
    </row>
    <row r="31" spans="1:32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60</v>
      </c>
      <c r="G31" s="3" t="s">
        <v>25</v>
      </c>
      <c r="H31" s="3" t="s">
        <v>34</v>
      </c>
      <c r="I31" s="6">
        <v>44378</v>
      </c>
      <c r="J31" s="4">
        <v>1210</v>
      </c>
      <c r="K31" s="4">
        <v>635.23677469999996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3" t="s">
        <v>57</v>
      </c>
      <c r="R31" s="3">
        <v>0</v>
      </c>
      <c r="S31" s="3">
        <v>4</v>
      </c>
      <c r="T31" s="3">
        <v>0</v>
      </c>
      <c r="U31" s="3">
        <v>0</v>
      </c>
      <c r="V31" s="4">
        <f>IF(ISERROR(VLOOKUP($S$31,'TAR FIN'!$A$1:$O$113,15,0)),0,VLOOKUP($S$31,'TAR FIN'!$A$1:$O$113,15,0))</f>
        <v>28.34</v>
      </c>
      <c r="W31" s="4">
        <f>IF(ISERROR(VLOOKUP($T$31,'TAR FIN'!$A$1:$O$113,15,0)),0,VLOOKUP($T$31,'TAR FIN'!$A$1:$O$113,15,0))</f>
        <v>0</v>
      </c>
      <c r="X31" s="4">
        <f>IF(ISERROR(VLOOKUP($U$31,'TAR FIN'!$A$1:$O$113,15,0)),0,VLOOKUP($U$31,'TAR FIN'!$A$1:$O$113,15,0))</f>
        <v>0</v>
      </c>
      <c r="Y31" s="4">
        <f ca="1">('TUSD BE'!$AM$5+'TUSD BF'!$AM$5+'TUSD CVA'!$AM$5)*1</f>
        <v>31.331884047769289</v>
      </c>
      <c r="Z31" s="4">
        <f ca="1">('TUSD BE'!$AM$7+'TUSD BF'!$AM$7+'TUSD CVA'!$AM$7)*1</f>
        <v>45.946048451030222</v>
      </c>
      <c r="AA31" s="4"/>
      <c r="AB31" s="4">
        <f t="shared" si="0"/>
        <v>16288.789805002001</v>
      </c>
      <c r="AC31" s="4">
        <f t="shared" si="1"/>
        <v>0</v>
      </c>
      <c r="AD31" s="4">
        <f t="shared" ca="1" si="2"/>
        <v>18008.414730021497</v>
      </c>
      <c r="AE31" s="4">
        <f t="shared" ca="1" si="3"/>
        <v>0</v>
      </c>
      <c r="AF31" s="3" t="s">
        <v>1022</v>
      </c>
    </row>
    <row r="32" spans="1:32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60</v>
      </c>
      <c r="G32" s="3" t="s">
        <v>25</v>
      </c>
      <c r="H32" s="3" t="s">
        <v>34</v>
      </c>
      <c r="I32" s="6">
        <v>44409</v>
      </c>
      <c r="J32" s="4">
        <v>1210</v>
      </c>
      <c r="K32" s="4">
        <v>604.80840860000001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3" t="s">
        <v>57</v>
      </c>
      <c r="R32" s="3">
        <v>0</v>
      </c>
      <c r="S32" s="3">
        <v>4</v>
      </c>
      <c r="T32" s="3">
        <v>0</v>
      </c>
      <c r="U32" s="3">
        <v>0</v>
      </c>
      <c r="V32" s="4">
        <f>IF(ISERROR(VLOOKUP($S$32,'TAR FIN'!$A$1:$O$113,15,0)),0,VLOOKUP($S$32,'TAR FIN'!$A$1:$O$113,15,0))</f>
        <v>28.34</v>
      </c>
      <c r="W32" s="4">
        <f>IF(ISERROR(VLOOKUP($T$32,'TAR FIN'!$A$1:$O$113,15,0)),0,VLOOKUP($T$32,'TAR FIN'!$A$1:$O$113,15,0))</f>
        <v>0</v>
      </c>
      <c r="X32" s="4">
        <f>IF(ISERROR(VLOOKUP($U$32,'TAR FIN'!$A$1:$O$113,15,0)),0,VLOOKUP($U$32,'TAR FIN'!$A$1:$O$113,15,0))</f>
        <v>0</v>
      </c>
      <c r="Y32" s="4">
        <f ca="1">('TUSD BE'!$AM$5+'TUSD BF'!$AM$5+'TUSD CVA'!$AM$5)*1</f>
        <v>31.331884047769289</v>
      </c>
      <c r="Z32" s="4">
        <f ca="1">('TUSD BE'!$AM$7+'TUSD BF'!$AM$7+'TUSD CVA'!$AM$7)*1</f>
        <v>45.946048451030222</v>
      </c>
      <c r="AA32" s="4"/>
      <c r="AB32" s="4">
        <f t="shared" si="0"/>
        <v>17151.129700276</v>
      </c>
      <c r="AC32" s="4">
        <f t="shared" si="1"/>
        <v>0</v>
      </c>
      <c r="AD32" s="4">
        <f t="shared" ca="1" si="2"/>
        <v>18961.792768429768</v>
      </c>
      <c r="AE32" s="4">
        <f t="shared" ca="1" si="3"/>
        <v>0</v>
      </c>
      <c r="AF32" s="3" t="s">
        <v>1022</v>
      </c>
    </row>
    <row r="33" spans="1:32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60</v>
      </c>
      <c r="G33" s="3" t="s">
        <v>25</v>
      </c>
      <c r="H33" s="3" t="s">
        <v>34</v>
      </c>
      <c r="I33" s="6">
        <v>44440</v>
      </c>
      <c r="J33" s="4">
        <v>4910</v>
      </c>
      <c r="K33" s="4">
        <v>2455.5318020999998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3" t="s">
        <v>57</v>
      </c>
      <c r="R33" s="3">
        <v>0</v>
      </c>
      <c r="S33" s="3">
        <v>4</v>
      </c>
      <c r="T33" s="3">
        <v>0</v>
      </c>
      <c r="U33" s="3">
        <v>0</v>
      </c>
      <c r="V33" s="4">
        <f>IF(ISERROR(VLOOKUP($S$33,'TAR FIN'!$A$1:$O$113,15,0)),0,VLOOKUP($S$33,'TAR FIN'!$A$1:$O$113,15,0))</f>
        <v>28.34</v>
      </c>
      <c r="W33" s="4">
        <f>IF(ISERROR(VLOOKUP($T$33,'TAR FIN'!$A$1:$O$113,15,0)),0,VLOOKUP($T$33,'TAR FIN'!$A$1:$O$113,15,0))</f>
        <v>0</v>
      </c>
      <c r="X33" s="4">
        <f>IF(ISERROR(VLOOKUP($U$33,'TAR FIN'!$A$1:$O$113,15,0)),0,VLOOKUP($U$33,'TAR FIN'!$A$1:$O$113,15,0))</f>
        <v>0</v>
      </c>
      <c r="Y33" s="4">
        <f ca="1">('TUSD BE'!$AM$5+'TUSD BF'!$AM$5+'TUSD CVA'!$AM$5)*1</f>
        <v>31.331884047769289</v>
      </c>
      <c r="Z33" s="4">
        <f ca="1">('TUSD BE'!$AM$7+'TUSD BF'!$AM$7+'TUSD CVA'!$AM$7)*1</f>
        <v>45.946048451030222</v>
      </c>
      <c r="AA33" s="4"/>
      <c r="AB33" s="4">
        <f t="shared" si="0"/>
        <v>69559.628728486001</v>
      </c>
      <c r="AC33" s="4">
        <f t="shared" si="1"/>
        <v>0</v>
      </c>
      <c r="AD33" s="4">
        <f t="shared" ca="1" si="2"/>
        <v>76903.112975540047</v>
      </c>
      <c r="AE33" s="4">
        <f t="shared" ca="1" si="3"/>
        <v>0</v>
      </c>
      <c r="AF33" s="3" t="s">
        <v>1022</v>
      </c>
    </row>
    <row r="34" spans="1:32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60</v>
      </c>
      <c r="G34" s="3" t="s">
        <v>25</v>
      </c>
      <c r="H34" s="3" t="s">
        <v>34</v>
      </c>
      <c r="I34" s="6">
        <v>44470</v>
      </c>
      <c r="J34" s="4">
        <v>4910</v>
      </c>
      <c r="K34" s="4">
        <v>2455.9827365000001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3" t="s">
        <v>57</v>
      </c>
      <c r="R34" s="3">
        <v>0</v>
      </c>
      <c r="S34" s="3">
        <v>4</v>
      </c>
      <c r="T34" s="3">
        <v>0</v>
      </c>
      <c r="U34" s="3">
        <v>0</v>
      </c>
      <c r="V34" s="4">
        <f>IF(ISERROR(VLOOKUP($S$34,'TAR FIN'!$A$1:$O$113,15,0)),0,VLOOKUP($S$34,'TAR FIN'!$A$1:$O$113,15,0))</f>
        <v>28.34</v>
      </c>
      <c r="W34" s="4">
        <f>IF(ISERROR(VLOOKUP($T$34,'TAR FIN'!$A$1:$O$113,15,0)),0,VLOOKUP($T$34,'TAR FIN'!$A$1:$O$113,15,0))</f>
        <v>0</v>
      </c>
      <c r="X34" s="4">
        <f>IF(ISERROR(VLOOKUP($U$34,'TAR FIN'!$A$1:$O$113,15,0)),0,VLOOKUP($U$34,'TAR FIN'!$A$1:$O$113,15,0))</f>
        <v>0</v>
      </c>
      <c r="Y34" s="4">
        <f ca="1">('TUSD BE'!$AM$5+'TUSD BF'!$AM$5+'TUSD CVA'!$AM$5)*1</f>
        <v>31.331884047769289</v>
      </c>
      <c r="Z34" s="4">
        <f ca="1">('TUSD BE'!$AM$7+'TUSD BF'!$AM$7+'TUSD CVA'!$AM$7)*1</f>
        <v>45.946048451030222</v>
      </c>
      <c r="AA34" s="4"/>
      <c r="AB34" s="4">
        <f t="shared" si="0"/>
        <v>69546.849247589998</v>
      </c>
      <c r="AC34" s="4">
        <f t="shared" si="1"/>
        <v>0</v>
      </c>
      <c r="AD34" s="4">
        <f t="shared" ca="1" si="2"/>
        <v>76888.984351206091</v>
      </c>
      <c r="AE34" s="4">
        <f t="shared" ca="1" si="3"/>
        <v>0</v>
      </c>
      <c r="AF34" s="3" t="s">
        <v>1022</v>
      </c>
    </row>
    <row r="35" spans="1:32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60</v>
      </c>
      <c r="G35" s="3" t="s">
        <v>25</v>
      </c>
      <c r="H35" s="3" t="s">
        <v>34</v>
      </c>
      <c r="I35" s="6">
        <v>44501</v>
      </c>
      <c r="J35" s="4">
        <v>8848</v>
      </c>
      <c r="K35" s="4">
        <v>7471.7574825600004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3" t="s">
        <v>57</v>
      </c>
      <c r="R35" s="3">
        <v>0</v>
      </c>
      <c r="S35" s="3">
        <v>4</v>
      </c>
      <c r="T35" s="3">
        <v>0</v>
      </c>
      <c r="U35" s="3">
        <v>0</v>
      </c>
      <c r="V35" s="4">
        <f>IF(ISERROR(VLOOKUP($S$35,'TAR FIN'!$A$1:$O$113,15,0)),0,VLOOKUP($S$35,'TAR FIN'!$A$1:$O$113,15,0))</f>
        <v>28.34</v>
      </c>
      <c r="W35" s="4">
        <f>IF(ISERROR(VLOOKUP($T$35,'TAR FIN'!$A$1:$O$113,15,0)),0,VLOOKUP($T$35,'TAR FIN'!$A$1:$O$113,15,0))</f>
        <v>0</v>
      </c>
      <c r="X35" s="4">
        <f>IF(ISERROR(VLOOKUP($U$35,'TAR FIN'!$A$1:$O$113,15,0)),0,VLOOKUP($U$35,'TAR FIN'!$A$1:$O$113,15,0))</f>
        <v>0</v>
      </c>
      <c r="Y35" s="4">
        <f ca="1">('TUSD BE'!$AM$5+'TUSD BF'!$AM$5+'TUSD CVA'!$AM$5)*1</f>
        <v>31.331884047769289</v>
      </c>
      <c r="Z35" s="4">
        <f ca="1">('TUSD BE'!$AM$7+'TUSD BF'!$AM$7+'TUSD CVA'!$AM$7)*1</f>
        <v>45.946048451030222</v>
      </c>
      <c r="AA35" s="4"/>
      <c r="AB35" s="4">
        <f t="shared" si="0"/>
        <v>39002.712944249586</v>
      </c>
      <c r="AC35" s="4">
        <f t="shared" si="1"/>
        <v>0</v>
      </c>
      <c r="AD35" s="4">
        <f t="shared" ca="1" si="2"/>
        <v>43120.270978040171</v>
      </c>
      <c r="AE35" s="4">
        <f t="shared" ca="1" si="3"/>
        <v>0</v>
      </c>
      <c r="AF35" s="3" t="s">
        <v>1022</v>
      </c>
    </row>
    <row r="36" spans="1:32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60</v>
      </c>
      <c r="G36" s="3" t="s">
        <v>25</v>
      </c>
      <c r="H36" s="3" t="s">
        <v>34</v>
      </c>
      <c r="I36" s="6">
        <v>44531</v>
      </c>
      <c r="J36" s="4">
        <v>9134</v>
      </c>
      <c r="K36" s="4">
        <v>7379.7821435799997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3" t="s">
        <v>57</v>
      </c>
      <c r="R36" s="3">
        <v>0</v>
      </c>
      <c r="S36" s="3">
        <v>4</v>
      </c>
      <c r="T36" s="3">
        <v>0</v>
      </c>
      <c r="U36" s="3">
        <v>0</v>
      </c>
      <c r="V36" s="4">
        <f>IF(ISERROR(VLOOKUP($S$36,'TAR FIN'!$A$1:$O$113,15,0)),0,VLOOKUP($S$36,'TAR FIN'!$A$1:$O$113,15,0))</f>
        <v>28.34</v>
      </c>
      <c r="W36" s="4">
        <f>IF(ISERROR(VLOOKUP($T$36,'TAR FIN'!$A$1:$O$113,15,0)),0,VLOOKUP($T$36,'TAR FIN'!$A$1:$O$113,15,0))</f>
        <v>0</v>
      </c>
      <c r="X36" s="4">
        <f>IF(ISERROR(VLOOKUP($U$36,'TAR FIN'!$A$1:$O$113,15,0)),0,VLOOKUP($U$36,'TAR FIN'!$A$1:$O$113,15,0))</f>
        <v>0</v>
      </c>
      <c r="Y36" s="4">
        <f ca="1">('TUSD BE'!$AM$5+'TUSD BF'!$AM$5+'TUSD CVA'!$AM$5)*1</f>
        <v>31.331884047769289</v>
      </c>
      <c r="Z36" s="4">
        <f ca="1">('TUSD BE'!$AM$7+'TUSD BF'!$AM$7+'TUSD CVA'!$AM$7)*1</f>
        <v>45.946048451030222</v>
      </c>
      <c r="AA36" s="4"/>
      <c r="AB36" s="4">
        <f t="shared" si="0"/>
        <v>49714.534050942806</v>
      </c>
      <c r="AC36" s="4">
        <f t="shared" si="1"/>
        <v>0</v>
      </c>
      <c r="AD36" s="4">
        <f t="shared" ca="1" si="2"/>
        <v>54962.950471877848</v>
      </c>
      <c r="AE36" s="4">
        <f t="shared" ca="1" si="3"/>
        <v>0</v>
      </c>
      <c r="AF36" s="3" t="s">
        <v>1022</v>
      </c>
    </row>
    <row r="37" spans="1:32" ht="11.25" customHeight="1" x14ac:dyDescent="0.25">
      <c r="A37" s="3" t="s">
        <v>21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60</v>
      </c>
      <c r="G37" s="3" t="s">
        <v>25</v>
      </c>
      <c r="H37" s="3" t="s">
        <v>34</v>
      </c>
      <c r="I37" s="6">
        <v>44562</v>
      </c>
      <c r="J37" s="4">
        <v>4960</v>
      </c>
      <c r="K37" s="4">
        <v>4349.5840096000002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3" t="s">
        <v>57</v>
      </c>
      <c r="R37" s="3">
        <v>0</v>
      </c>
      <c r="S37" s="3">
        <v>4</v>
      </c>
      <c r="T37" s="3">
        <v>0</v>
      </c>
      <c r="U37" s="3">
        <v>0</v>
      </c>
      <c r="V37" s="4">
        <f>IF(ISERROR(VLOOKUP($S$37,'TAR FIN'!$A$1:$O$113,15,0)),0,VLOOKUP($S$37,'TAR FIN'!$A$1:$O$113,15,0))</f>
        <v>28.34</v>
      </c>
      <c r="W37" s="4">
        <f>IF(ISERROR(VLOOKUP($T$37,'TAR FIN'!$A$1:$O$113,15,0)),0,VLOOKUP($T$37,'TAR FIN'!$A$1:$O$113,15,0))</f>
        <v>0</v>
      </c>
      <c r="X37" s="4">
        <f>IF(ISERROR(VLOOKUP($U$37,'TAR FIN'!$A$1:$O$113,15,0)),0,VLOOKUP($U$37,'TAR FIN'!$A$1:$O$113,15,0))</f>
        <v>0</v>
      </c>
      <c r="Y37" s="4">
        <f ca="1">('TUSD BE'!$AM$5+'TUSD BF'!$AM$5+'TUSD CVA'!$AM$5)*1</f>
        <v>31.331884047769289</v>
      </c>
      <c r="Z37" s="4">
        <f ca="1">('TUSD BE'!$AM$7+'TUSD BF'!$AM$7+'TUSD CVA'!$AM$7)*1</f>
        <v>45.946048451030222</v>
      </c>
      <c r="AA37" s="4"/>
      <c r="AB37" s="4">
        <f t="shared" si="0"/>
        <v>17299.189167935994</v>
      </c>
      <c r="AC37" s="4">
        <f t="shared" si="1"/>
        <v>0</v>
      </c>
      <c r="AD37" s="4">
        <f t="shared" ca="1" si="2"/>
        <v>19125.483032117045</v>
      </c>
      <c r="AE37" s="4">
        <f t="shared" ca="1" si="3"/>
        <v>0</v>
      </c>
      <c r="AF37" s="3" t="s">
        <v>1022</v>
      </c>
    </row>
    <row r="38" spans="1:32" ht="11.25" customHeight="1" x14ac:dyDescent="0.25">
      <c r="A38" s="3" t="s">
        <v>21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60</v>
      </c>
      <c r="G38" s="3" t="s">
        <v>25</v>
      </c>
      <c r="H38" s="3" t="s">
        <v>34</v>
      </c>
      <c r="I38" s="6">
        <v>44593</v>
      </c>
      <c r="J38" s="4">
        <v>8824</v>
      </c>
      <c r="K38" s="4">
        <v>7312.3944441599997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3" t="s">
        <v>57</v>
      </c>
      <c r="R38" s="3">
        <v>0</v>
      </c>
      <c r="S38" s="3">
        <v>4</v>
      </c>
      <c r="T38" s="3">
        <v>0</v>
      </c>
      <c r="U38" s="3">
        <v>0</v>
      </c>
      <c r="V38" s="4">
        <f>IF(ISERROR(VLOOKUP($S$38,'TAR FIN'!$A$1:$O$113,15,0)),0,VLOOKUP($S$38,'TAR FIN'!$A$1:$O$113,15,0))</f>
        <v>28.34</v>
      </c>
      <c r="W38" s="4">
        <f>IF(ISERROR(VLOOKUP($T$38,'TAR FIN'!$A$1:$O$113,15,0)),0,VLOOKUP($T$38,'TAR FIN'!$A$1:$O$113,15,0))</f>
        <v>0</v>
      </c>
      <c r="X38" s="4">
        <f>IF(ISERROR(VLOOKUP($U$38,'TAR FIN'!$A$1:$O$113,15,0)),0,VLOOKUP($U$38,'TAR FIN'!$A$1:$O$113,15,0))</f>
        <v>0</v>
      </c>
      <c r="Y38" s="4">
        <f ca="1">('TUSD BE'!$AM$5+'TUSD BF'!$AM$5+'TUSD CVA'!$AM$5)*1</f>
        <v>31.331884047769289</v>
      </c>
      <c r="Z38" s="4">
        <f ca="1">('TUSD BE'!$AM$7+'TUSD BF'!$AM$7+'TUSD CVA'!$AM$7)*1</f>
        <v>45.946048451030222</v>
      </c>
      <c r="AA38" s="4"/>
      <c r="AB38" s="4">
        <f t="shared" si="0"/>
        <v>42838.901452505612</v>
      </c>
      <c r="AC38" s="4">
        <f t="shared" si="1"/>
        <v>0</v>
      </c>
      <c r="AD38" s="4">
        <f t="shared" ca="1" si="2"/>
        <v>47361.450001542733</v>
      </c>
      <c r="AE38" s="4">
        <f t="shared" ca="1" si="3"/>
        <v>0</v>
      </c>
      <c r="AF38" s="3" t="s">
        <v>1022</v>
      </c>
    </row>
    <row r="39" spans="1:32" ht="11.25" customHeight="1" x14ac:dyDescent="0.25">
      <c r="A39" s="3" t="s">
        <v>56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60</v>
      </c>
      <c r="G39" s="3" t="s">
        <v>25</v>
      </c>
      <c r="H39" s="3" t="s">
        <v>34</v>
      </c>
      <c r="I39" s="6">
        <v>44621</v>
      </c>
      <c r="J39" s="4">
        <v>8824</v>
      </c>
      <c r="K39" s="4">
        <v>7312.3944441599997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 t="s">
        <v>57</v>
      </c>
      <c r="R39" s="3">
        <v>0</v>
      </c>
      <c r="S39" s="3">
        <v>4</v>
      </c>
      <c r="T39" s="3">
        <v>0</v>
      </c>
      <c r="U39" s="3">
        <v>0</v>
      </c>
      <c r="V39" s="4">
        <f>IF(ISERROR(VLOOKUP($S$39,'TAR FIN'!$A$1:$O$113,15,0)),0,VLOOKUP($S$39,'TAR FIN'!$A$1:$O$113,15,0))</f>
        <v>28.34</v>
      </c>
      <c r="W39" s="4">
        <f>IF(ISERROR(VLOOKUP($T$39,'TAR FIN'!$A$1:$O$113,15,0)),0,VLOOKUP($T$39,'TAR FIN'!$A$1:$O$113,15,0))</f>
        <v>0</v>
      </c>
      <c r="X39" s="4">
        <f>IF(ISERROR(VLOOKUP($U$39,'TAR FIN'!$A$1:$O$113,15,0)),0,VLOOKUP($U$39,'TAR FIN'!$A$1:$O$113,15,0))</f>
        <v>0</v>
      </c>
      <c r="Y39" s="4">
        <f ca="1">('TUSD BE'!$AM$5+'TUSD BF'!$AM$5+'TUSD CVA'!$AM$5)*1</f>
        <v>31.331884047769289</v>
      </c>
      <c r="Z39" s="4">
        <f ca="1">('TUSD BE'!$AM$7+'TUSD BF'!$AM$7+'TUSD CVA'!$AM$7)*1</f>
        <v>45.946048451030222</v>
      </c>
      <c r="AA39" s="4"/>
      <c r="AB39" s="4">
        <f t="shared" si="0"/>
        <v>42838.901452505612</v>
      </c>
      <c r="AC39" s="4">
        <f t="shared" si="1"/>
        <v>0</v>
      </c>
      <c r="AD39" s="4">
        <f t="shared" ca="1" si="2"/>
        <v>47361.450001542733</v>
      </c>
      <c r="AE39" s="4">
        <f t="shared" ca="1" si="3"/>
        <v>0</v>
      </c>
      <c r="AF39" s="3" t="s">
        <v>1022</v>
      </c>
    </row>
    <row r="40" spans="1:32" ht="11.25" customHeight="1" x14ac:dyDescent="0.25">
      <c r="A40" s="3" t="s">
        <v>21</v>
      </c>
      <c r="B40" s="3" t="s">
        <v>39</v>
      </c>
      <c r="C40" s="3" t="s">
        <v>40</v>
      </c>
      <c r="D40" s="3" t="s">
        <v>45</v>
      </c>
      <c r="E40" s="3" t="s">
        <v>53</v>
      </c>
      <c r="F40" s="3" t="s">
        <v>55</v>
      </c>
      <c r="G40" s="3" t="s">
        <v>25</v>
      </c>
      <c r="H40" s="3" t="s">
        <v>35</v>
      </c>
      <c r="I40" s="6">
        <v>44287</v>
      </c>
      <c r="J40" s="4">
        <v>0</v>
      </c>
      <c r="K40" s="4">
        <v>0</v>
      </c>
      <c r="L40" s="4">
        <v>514.35</v>
      </c>
      <c r="M40" s="4">
        <v>51.435000000000002</v>
      </c>
      <c r="N40" s="4">
        <v>514.35</v>
      </c>
      <c r="O40" s="4">
        <v>51.435000000000002</v>
      </c>
      <c r="P40" s="4">
        <v>0</v>
      </c>
      <c r="Q40" s="3" t="s">
        <v>26</v>
      </c>
      <c r="R40" s="3">
        <v>0</v>
      </c>
      <c r="S40" s="3">
        <v>0</v>
      </c>
      <c r="T40" s="3">
        <v>6</v>
      </c>
      <c r="U40" s="3">
        <v>87</v>
      </c>
      <c r="V40" s="4">
        <f>IF(ISERROR(VLOOKUP($S$40,'TAR FIN'!$A$1:$O$113,15,0)),0,VLOOKUP($S$40,'TAR FIN'!$A$1:$O$113,15,0))</f>
        <v>0</v>
      </c>
      <c r="W40" s="4">
        <f>IF(ISERROR(VLOOKUP($T$40,'TAR FIN'!$A$1:$O$113,15,0)),0,VLOOKUP($T$40,'TAR FIN'!$A$1:$O$113,15,0))</f>
        <v>35.86</v>
      </c>
      <c r="X40" s="4">
        <f>IF(ISERROR(VLOOKUP($U$40,'TAR FIN'!$A$1:$O$113,15,0)),0,VLOOKUP($U$40,'TAR FIN'!$A$1:$O$113,15,0))</f>
        <v>222.31</v>
      </c>
      <c r="Y40" s="4">
        <f ca="1">('TUSD BE'!$AM$6+'TUSD BF'!$AM$6+'TUSD CVA'!$AM$6)*1</f>
        <v>10.94172345363083</v>
      </c>
      <c r="Z40" s="4">
        <f ca="1">('TUSD BE'!$AM$7+'TUSD BF'!$AM$7+'TUSD CVA'!$AM$7)*1</f>
        <v>45.946048451030222</v>
      </c>
      <c r="AA40" s="4">
        <f>('TE BE'!$AA$6+'TE BF'!$AA$6+'TE CVA'!$AA$6)*1</f>
        <v>223.14561812044704</v>
      </c>
      <c r="AB40" s="4">
        <f t="shared" si="0"/>
        <v>0</v>
      </c>
      <c r="AC40" s="4">
        <f t="shared" si="1"/>
        <v>119510.76555000001</v>
      </c>
      <c r="AD40" s="4">
        <f t="shared" ca="1" si="2"/>
        <v>0</v>
      </c>
      <c r="AE40" s="4">
        <f t="shared" ca="1" si="3"/>
        <v>124566.5688309354</v>
      </c>
      <c r="AF40" s="3" t="s">
        <v>1024</v>
      </c>
    </row>
    <row r="41" spans="1:32" ht="11.25" customHeight="1" x14ac:dyDescent="0.25">
      <c r="A41" s="3" t="s">
        <v>21</v>
      </c>
      <c r="B41" s="3" t="s">
        <v>39</v>
      </c>
      <c r="C41" s="3" t="s">
        <v>40</v>
      </c>
      <c r="D41" s="3" t="s">
        <v>45</v>
      </c>
      <c r="E41" s="3" t="s">
        <v>53</v>
      </c>
      <c r="F41" s="3" t="s">
        <v>55</v>
      </c>
      <c r="G41" s="3" t="s">
        <v>25</v>
      </c>
      <c r="H41" s="3" t="s">
        <v>35</v>
      </c>
      <c r="I41" s="6">
        <v>44317</v>
      </c>
      <c r="J41" s="4">
        <v>0</v>
      </c>
      <c r="K41" s="4">
        <v>0</v>
      </c>
      <c r="L41" s="4">
        <v>134.13</v>
      </c>
      <c r="M41" s="4">
        <v>13.413</v>
      </c>
      <c r="N41" s="4">
        <v>134.13</v>
      </c>
      <c r="O41" s="4">
        <v>13.413</v>
      </c>
      <c r="P41" s="4">
        <v>0</v>
      </c>
      <c r="Q41" s="3" t="s">
        <v>26</v>
      </c>
      <c r="R41" s="3">
        <v>0</v>
      </c>
      <c r="S41" s="3">
        <v>0</v>
      </c>
      <c r="T41" s="3">
        <v>6</v>
      </c>
      <c r="U41" s="3">
        <v>87</v>
      </c>
      <c r="V41" s="4">
        <f>IF(ISERROR(VLOOKUP($S$41,'TAR FIN'!$A$1:$O$113,15,0)),0,VLOOKUP($S$41,'TAR FIN'!$A$1:$O$113,15,0))</f>
        <v>0</v>
      </c>
      <c r="W41" s="4">
        <f>IF(ISERROR(VLOOKUP($T$41,'TAR FIN'!$A$1:$O$113,15,0)),0,VLOOKUP($T$41,'TAR FIN'!$A$1:$O$113,15,0))</f>
        <v>35.86</v>
      </c>
      <c r="X41" s="4">
        <f>IF(ISERROR(VLOOKUP($U$41,'TAR FIN'!$A$1:$O$113,15,0)),0,VLOOKUP($U$41,'TAR FIN'!$A$1:$O$113,15,0))</f>
        <v>222.31</v>
      </c>
      <c r="Y41" s="4">
        <f ca="1">('TUSD BE'!$AM$6+'TUSD BF'!$AM$6+'TUSD CVA'!$AM$6)*1</f>
        <v>10.94172345363083</v>
      </c>
      <c r="Z41" s="4">
        <f ca="1">('TUSD BE'!$AM$7+'TUSD BF'!$AM$7+'TUSD CVA'!$AM$7)*1</f>
        <v>45.946048451030222</v>
      </c>
      <c r="AA41" s="4">
        <f>('TE BE'!$AA$6+'TE BF'!$AA$6+'TE CVA'!$AA$6)*1</f>
        <v>223.14561812044704</v>
      </c>
      <c r="AB41" s="4">
        <f t="shared" si="0"/>
        <v>0</v>
      </c>
      <c r="AC41" s="4">
        <f t="shared" si="1"/>
        <v>31165.507889999997</v>
      </c>
      <c r="AD41" s="4">
        <f t="shared" ca="1" si="2"/>
        <v>0</v>
      </c>
      <c r="AE41" s="4">
        <f t="shared" ca="1" si="3"/>
        <v>32483.938713509022</v>
      </c>
      <c r="AF41" s="3" t="s">
        <v>1024</v>
      </c>
    </row>
    <row r="42" spans="1:32" ht="11.25" customHeight="1" x14ac:dyDescent="0.25">
      <c r="A42" s="3" t="s">
        <v>21</v>
      </c>
      <c r="B42" s="3" t="s">
        <v>39</v>
      </c>
      <c r="C42" s="3" t="s">
        <v>40</v>
      </c>
      <c r="D42" s="3" t="s">
        <v>45</v>
      </c>
      <c r="E42" s="3" t="s">
        <v>53</v>
      </c>
      <c r="F42" s="3" t="s">
        <v>55</v>
      </c>
      <c r="G42" s="3" t="s">
        <v>25</v>
      </c>
      <c r="H42" s="3" t="s">
        <v>35</v>
      </c>
      <c r="I42" s="6">
        <v>44348</v>
      </c>
      <c r="J42" s="4">
        <v>0</v>
      </c>
      <c r="K42" s="4">
        <v>0</v>
      </c>
      <c r="L42" s="4">
        <v>122.04</v>
      </c>
      <c r="M42" s="4">
        <v>12.204000000000001</v>
      </c>
      <c r="N42" s="4">
        <v>122.04</v>
      </c>
      <c r="O42" s="4">
        <v>12.204000000000001</v>
      </c>
      <c r="P42" s="4">
        <v>0</v>
      </c>
      <c r="Q42" s="3" t="s">
        <v>26</v>
      </c>
      <c r="R42" s="3">
        <v>0</v>
      </c>
      <c r="S42" s="3">
        <v>0</v>
      </c>
      <c r="T42" s="3">
        <v>6</v>
      </c>
      <c r="U42" s="3">
        <v>87</v>
      </c>
      <c r="V42" s="4">
        <f>IF(ISERROR(VLOOKUP($S$42,'TAR FIN'!$A$1:$O$113,15,0)),0,VLOOKUP($S$42,'TAR FIN'!$A$1:$O$113,15,0))</f>
        <v>0</v>
      </c>
      <c r="W42" s="4">
        <f>IF(ISERROR(VLOOKUP($T$42,'TAR FIN'!$A$1:$O$113,15,0)),0,VLOOKUP($T$42,'TAR FIN'!$A$1:$O$113,15,0))</f>
        <v>35.86</v>
      </c>
      <c r="X42" s="4">
        <f>IF(ISERROR(VLOOKUP($U$42,'TAR FIN'!$A$1:$O$113,15,0)),0,VLOOKUP($U$42,'TAR FIN'!$A$1:$O$113,15,0))</f>
        <v>222.31</v>
      </c>
      <c r="Y42" s="4">
        <f ca="1">('TUSD BE'!$AM$6+'TUSD BF'!$AM$6+'TUSD CVA'!$AM$6)*1</f>
        <v>10.94172345363083</v>
      </c>
      <c r="Z42" s="4">
        <f ca="1">('TUSD BE'!$AM$7+'TUSD BF'!$AM$7+'TUSD CVA'!$AM$7)*1</f>
        <v>45.946048451030222</v>
      </c>
      <c r="AA42" s="4">
        <f>('TE BE'!$AA$6+'TE BF'!$AA$6+'TE CVA'!$AA$6)*1</f>
        <v>223.14561812044704</v>
      </c>
      <c r="AB42" s="4">
        <f t="shared" si="0"/>
        <v>0</v>
      </c>
      <c r="AC42" s="4">
        <f t="shared" si="1"/>
        <v>28356.360120000005</v>
      </c>
      <c r="AD42" s="4">
        <f t="shared" ca="1" si="2"/>
        <v>0</v>
      </c>
      <c r="AE42" s="4">
        <f t="shared" ca="1" si="3"/>
        <v>29555.952289544777</v>
      </c>
      <c r="AF42" s="3" t="s">
        <v>1024</v>
      </c>
    </row>
    <row r="43" spans="1:32" ht="11.25" customHeight="1" x14ac:dyDescent="0.25">
      <c r="A43" s="3" t="s">
        <v>21</v>
      </c>
      <c r="B43" s="3" t="s">
        <v>39</v>
      </c>
      <c r="C43" s="3" t="s">
        <v>40</v>
      </c>
      <c r="D43" s="3" t="s">
        <v>45</v>
      </c>
      <c r="E43" s="3" t="s">
        <v>53</v>
      </c>
      <c r="F43" s="3" t="s">
        <v>55</v>
      </c>
      <c r="G43" s="3" t="s">
        <v>25</v>
      </c>
      <c r="H43" s="3" t="s">
        <v>35</v>
      </c>
      <c r="I43" s="6">
        <v>44378</v>
      </c>
      <c r="J43" s="4">
        <v>0</v>
      </c>
      <c r="K43" s="4">
        <v>0</v>
      </c>
      <c r="L43" s="4">
        <v>100.842</v>
      </c>
      <c r="M43" s="4">
        <v>10.084199999999999</v>
      </c>
      <c r="N43" s="4">
        <v>100.842</v>
      </c>
      <c r="O43" s="4">
        <v>10.084199999999999</v>
      </c>
      <c r="P43" s="4">
        <v>0</v>
      </c>
      <c r="Q43" s="3" t="s">
        <v>26</v>
      </c>
      <c r="R43" s="3">
        <v>0</v>
      </c>
      <c r="S43" s="3">
        <v>0</v>
      </c>
      <c r="T43" s="3">
        <v>6</v>
      </c>
      <c r="U43" s="3">
        <v>87</v>
      </c>
      <c r="V43" s="4">
        <f>IF(ISERROR(VLOOKUP($S$43,'TAR FIN'!$A$1:$O$113,15,0)),0,VLOOKUP($S$43,'TAR FIN'!$A$1:$O$113,15,0))</f>
        <v>0</v>
      </c>
      <c r="W43" s="4">
        <f>IF(ISERROR(VLOOKUP($T$43,'TAR FIN'!$A$1:$O$113,15,0)),0,VLOOKUP($T$43,'TAR FIN'!$A$1:$O$113,15,0))</f>
        <v>35.86</v>
      </c>
      <c r="X43" s="4">
        <f>IF(ISERROR(VLOOKUP($U$43,'TAR FIN'!$A$1:$O$113,15,0)),0,VLOOKUP($U$43,'TAR FIN'!$A$1:$O$113,15,0))</f>
        <v>222.31</v>
      </c>
      <c r="Y43" s="4">
        <f ca="1">('TUSD BE'!$AM$6+'TUSD BF'!$AM$6+'TUSD CVA'!$AM$6)*1</f>
        <v>10.94172345363083</v>
      </c>
      <c r="Z43" s="4">
        <f ca="1">('TUSD BE'!$AM$7+'TUSD BF'!$AM$7+'TUSD CVA'!$AM$7)*1</f>
        <v>45.946048451030222</v>
      </c>
      <c r="AA43" s="4">
        <f>('TE BE'!$AA$6+'TE BF'!$AA$6+'TE CVA'!$AA$6)*1</f>
        <v>223.14561812044704</v>
      </c>
      <c r="AB43" s="4">
        <f t="shared" si="0"/>
        <v>0</v>
      </c>
      <c r="AC43" s="4">
        <f t="shared" si="1"/>
        <v>23430.941226000003</v>
      </c>
      <c r="AD43" s="4">
        <f t="shared" ca="1" si="2"/>
        <v>0</v>
      </c>
      <c r="AE43" s="4">
        <f t="shared" ca="1" si="3"/>
        <v>24422.16765636082</v>
      </c>
      <c r="AF43" s="3" t="s">
        <v>1024</v>
      </c>
    </row>
    <row r="44" spans="1:32" ht="11.25" customHeight="1" x14ac:dyDescent="0.25">
      <c r="A44" s="3" t="s">
        <v>21</v>
      </c>
      <c r="B44" s="3" t="s">
        <v>39</v>
      </c>
      <c r="C44" s="3" t="s">
        <v>40</v>
      </c>
      <c r="D44" s="3" t="s">
        <v>45</v>
      </c>
      <c r="E44" s="3" t="s">
        <v>53</v>
      </c>
      <c r="F44" s="3" t="s">
        <v>55</v>
      </c>
      <c r="G44" s="3" t="s">
        <v>25</v>
      </c>
      <c r="H44" s="3" t="s">
        <v>35</v>
      </c>
      <c r="I44" s="6">
        <v>44409</v>
      </c>
      <c r="J44" s="4">
        <v>0</v>
      </c>
      <c r="K44" s="4">
        <v>0</v>
      </c>
      <c r="L44" s="4">
        <v>111.054</v>
      </c>
      <c r="M44" s="4">
        <v>11.105399999999999</v>
      </c>
      <c r="N44" s="4">
        <v>111.054</v>
      </c>
      <c r="O44" s="4">
        <v>11.105399999999999</v>
      </c>
      <c r="P44" s="4">
        <v>0</v>
      </c>
      <c r="Q44" s="3" t="s">
        <v>26</v>
      </c>
      <c r="R44" s="3">
        <v>0</v>
      </c>
      <c r="S44" s="3">
        <v>0</v>
      </c>
      <c r="T44" s="3">
        <v>6</v>
      </c>
      <c r="U44" s="3">
        <v>87</v>
      </c>
      <c r="V44" s="4">
        <f>IF(ISERROR(VLOOKUP($S$44,'TAR FIN'!$A$1:$O$113,15,0)),0,VLOOKUP($S$44,'TAR FIN'!$A$1:$O$113,15,0))</f>
        <v>0</v>
      </c>
      <c r="W44" s="4">
        <f>IF(ISERROR(VLOOKUP($T$44,'TAR FIN'!$A$1:$O$113,15,0)),0,VLOOKUP($T$44,'TAR FIN'!$A$1:$O$113,15,0))</f>
        <v>35.86</v>
      </c>
      <c r="X44" s="4">
        <f>IF(ISERROR(VLOOKUP($U$44,'TAR FIN'!$A$1:$O$113,15,0)),0,VLOOKUP($U$44,'TAR FIN'!$A$1:$O$113,15,0))</f>
        <v>222.31</v>
      </c>
      <c r="Y44" s="4">
        <f ca="1">('TUSD BE'!$AM$6+'TUSD BF'!$AM$6+'TUSD CVA'!$AM$6)*1</f>
        <v>10.94172345363083</v>
      </c>
      <c r="Z44" s="4">
        <f ca="1">('TUSD BE'!$AM$7+'TUSD BF'!$AM$7+'TUSD CVA'!$AM$7)*1</f>
        <v>45.946048451030222</v>
      </c>
      <c r="AA44" s="4">
        <f>('TE BE'!$AA$6+'TE BF'!$AA$6+'TE CVA'!$AA$6)*1</f>
        <v>223.14561812044704</v>
      </c>
      <c r="AB44" s="4">
        <f t="shared" si="0"/>
        <v>0</v>
      </c>
      <c r="AC44" s="4">
        <f t="shared" si="1"/>
        <v>25803.730061999999</v>
      </c>
      <c r="AD44" s="4">
        <f t="shared" ca="1" si="2"/>
        <v>0</v>
      </c>
      <c r="AE44" s="4">
        <f t="shared" ca="1" si="3"/>
        <v>26895.335345485953</v>
      </c>
      <c r="AF44" s="3" t="s">
        <v>1024</v>
      </c>
    </row>
    <row r="45" spans="1:32" ht="11.25" customHeight="1" x14ac:dyDescent="0.25">
      <c r="A45" s="3" t="s">
        <v>21</v>
      </c>
      <c r="B45" s="3" t="s">
        <v>39</v>
      </c>
      <c r="C45" s="3" t="s">
        <v>40</v>
      </c>
      <c r="D45" s="3" t="s">
        <v>45</v>
      </c>
      <c r="E45" s="3" t="s">
        <v>53</v>
      </c>
      <c r="F45" s="3" t="s">
        <v>55</v>
      </c>
      <c r="G45" s="3" t="s">
        <v>25</v>
      </c>
      <c r="H45" s="3" t="s">
        <v>35</v>
      </c>
      <c r="I45" s="6">
        <v>44440</v>
      </c>
      <c r="J45" s="4">
        <v>0</v>
      </c>
      <c r="K45" s="4">
        <v>0</v>
      </c>
      <c r="L45" s="4">
        <v>440.58600000000001</v>
      </c>
      <c r="M45" s="4">
        <v>44.058599999999998</v>
      </c>
      <c r="N45" s="4">
        <v>440.58600000000001</v>
      </c>
      <c r="O45" s="4">
        <v>44.058599999999998</v>
      </c>
      <c r="P45" s="4">
        <v>0</v>
      </c>
      <c r="Q45" s="3" t="s">
        <v>26</v>
      </c>
      <c r="R45" s="3">
        <v>0</v>
      </c>
      <c r="S45" s="3">
        <v>0</v>
      </c>
      <c r="T45" s="3">
        <v>6</v>
      </c>
      <c r="U45" s="3">
        <v>87</v>
      </c>
      <c r="V45" s="4">
        <f>IF(ISERROR(VLOOKUP($S$45,'TAR FIN'!$A$1:$O$113,15,0)),0,VLOOKUP($S$45,'TAR FIN'!$A$1:$O$113,15,0))</f>
        <v>0</v>
      </c>
      <c r="W45" s="4">
        <f>IF(ISERROR(VLOOKUP($T$45,'TAR FIN'!$A$1:$O$113,15,0)),0,VLOOKUP($T$45,'TAR FIN'!$A$1:$O$113,15,0))</f>
        <v>35.86</v>
      </c>
      <c r="X45" s="4">
        <f>IF(ISERROR(VLOOKUP($U$45,'TAR FIN'!$A$1:$O$113,15,0)),0,VLOOKUP($U$45,'TAR FIN'!$A$1:$O$113,15,0))</f>
        <v>222.31</v>
      </c>
      <c r="Y45" s="4">
        <f ca="1">('TUSD BE'!$AM$6+'TUSD BF'!$AM$6+'TUSD CVA'!$AM$6)*1</f>
        <v>10.94172345363083</v>
      </c>
      <c r="Z45" s="4">
        <f ca="1">('TUSD BE'!$AM$7+'TUSD BF'!$AM$7+'TUSD CVA'!$AM$7)*1</f>
        <v>45.946048451030222</v>
      </c>
      <c r="AA45" s="4">
        <f>('TE BE'!$AA$6+'TE BF'!$AA$6+'TE CVA'!$AA$6)*1</f>
        <v>223.14561812044704</v>
      </c>
      <c r="AB45" s="4">
        <f t="shared" si="0"/>
        <v>0</v>
      </c>
      <c r="AC45" s="4">
        <f t="shared" si="1"/>
        <v>102371.478858</v>
      </c>
      <c r="AD45" s="4">
        <f t="shared" ca="1" si="2"/>
        <v>0</v>
      </c>
      <c r="AE45" s="4">
        <f t="shared" ca="1" si="3"/>
        <v>106702.21890725481</v>
      </c>
      <c r="AF45" s="3" t="s">
        <v>1024</v>
      </c>
    </row>
    <row r="46" spans="1:32" ht="11.25" customHeight="1" x14ac:dyDescent="0.25">
      <c r="A46" s="3" t="s">
        <v>21</v>
      </c>
      <c r="B46" s="3" t="s">
        <v>39</v>
      </c>
      <c r="C46" s="3" t="s">
        <v>40</v>
      </c>
      <c r="D46" s="3" t="s">
        <v>45</v>
      </c>
      <c r="E46" s="3" t="s">
        <v>53</v>
      </c>
      <c r="F46" s="3" t="s">
        <v>55</v>
      </c>
      <c r="G46" s="3" t="s">
        <v>25</v>
      </c>
      <c r="H46" s="3" t="s">
        <v>35</v>
      </c>
      <c r="I46" s="6">
        <v>44470</v>
      </c>
      <c r="J46" s="4">
        <v>0</v>
      </c>
      <c r="K46" s="4">
        <v>0</v>
      </c>
      <c r="L46" s="4">
        <v>884.274</v>
      </c>
      <c r="M46" s="4">
        <v>88.427400000000006</v>
      </c>
      <c r="N46" s="4">
        <v>884.274</v>
      </c>
      <c r="O46" s="4">
        <v>88.427400000000006</v>
      </c>
      <c r="P46" s="4">
        <v>0</v>
      </c>
      <c r="Q46" s="3" t="s">
        <v>26</v>
      </c>
      <c r="R46" s="3">
        <v>0</v>
      </c>
      <c r="S46" s="3">
        <v>0</v>
      </c>
      <c r="T46" s="3">
        <v>6</v>
      </c>
      <c r="U46" s="3">
        <v>87</v>
      </c>
      <c r="V46" s="4">
        <f>IF(ISERROR(VLOOKUP($S$46,'TAR FIN'!$A$1:$O$113,15,0)),0,VLOOKUP($S$46,'TAR FIN'!$A$1:$O$113,15,0))</f>
        <v>0</v>
      </c>
      <c r="W46" s="4">
        <f>IF(ISERROR(VLOOKUP($T$46,'TAR FIN'!$A$1:$O$113,15,0)),0,VLOOKUP($T$46,'TAR FIN'!$A$1:$O$113,15,0))</f>
        <v>35.86</v>
      </c>
      <c r="X46" s="4">
        <f>IF(ISERROR(VLOOKUP($U$46,'TAR FIN'!$A$1:$O$113,15,0)),0,VLOOKUP($U$46,'TAR FIN'!$A$1:$O$113,15,0))</f>
        <v>222.31</v>
      </c>
      <c r="Y46" s="4">
        <f ca="1">('TUSD BE'!$AM$6+'TUSD BF'!$AM$6+'TUSD CVA'!$AM$6)*1</f>
        <v>10.94172345363083</v>
      </c>
      <c r="Z46" s="4">
        <f ca="1">('TUSD BE'!$AM$7+'TUSD BF'!$AM$7+'TUSD CVA'!$AM$7)*1</f>
        <v>45.946048451030222</v>
      </c>
      <c r="AA46" s="4">
        <f>('TE BE'!$AA$6+'TE BF'!$AA$6+'TE CVA'!$AA$6)*1</f>
        <v>223.14561812044704</v>
      </c>
      <c r="AB46" s="4">
        <f t="shared" si="0"/>
        <v>0</v>
      </c>
      <c r="AC46" s="4">
        <f t="shared" si="1"/>
        <v>205463.71672200001</v>
      </c>
      <c r="AD46" s="4">
        <f t="shared" ca="1" si="2"/>
        <v>0</v>
      </c>
      <c r="AE46" s="4">
        <f t="shared" ca="1" si="3"/>
        <v>214155.68792924384</v>
      </c>
      <c r="AF46" s="3" t="s">
        <v>1024</v>
      </c>
    </row>
    <row r="47" spans="1:32" ht="11.25" customHeight="1" x14ac:dyDescent="0.25">
      <c r="A47" s="3" t="s">
        <v>21</v>
      </c>
      <c r="B47" s="3" t="s">
        <v>39</v>
      </c>
      <c r="C47" s="3" t="s">
        <v>40</v>
      </c>
      <c r="D47" s="3" t="s">
        <v>45</v>
      </c>
      <c r="E47" s="3" t="s">
        <v>53</v>
      </c>
      <c r="F47" s="3" t="s">
        <v>55</v>
      </c>
      <c r="G47" s="3" t="s">
        <v>25</v>
      </c>
      <c r="H47" s="3" t="s">
        <v>35</v>
      </c>
      <c r="I47" s="6">
        <v>44501</v>
      </c>
      <c r="J47" s="4">
        <v>0</v>
      </c>
      <c r="K47" s="4">
        <v>0</v>
      </c>
      <c r="L47" s="4">
        <v>960.69</v>
      </c>
      <c r="M47" s="4">
        <v>96.069000000000003</v>
      </c>
      <c r="N47" s="4">
        <v>960.69</v>
      </c>
      <c r="O47" s="4">
        <v>96.069000000000003</v>
      </c>
      <c r="P47" s="4">
        <v>0</v>
      </c>
      <c r="Q47" s="3" t="s">
        <v>26</v>
      </c>
      <c r="R47" s="3">
        <v>0</v>
      </c>
      <c r="S47" s="3">
        <v>0</v>
      </c>
      <c r="T47" s="3">
        <v>6</v>
      </c>
      <c r="U47" s="3">
        <v>87</v>
      </c>
      <c r="V47" s="4">
        <f>IF(ISERROR(VLOOKUP($S$47,'TAR FIN'!$A$1:$O$113,15,0)),0,VLOOKUP($S$47,'TAR FIN'!$A$1:$O$113,15,0))</f>
        <v>0</v>
      </c>
      <c r="W47" s="4">
        <f>IF(ISERROR(VLOOKUP($T$47,'TAR FIN'!$A$1:$O$113,15,0)),0,VLOOKUP($T$47,'TAR FIN'!$A$1:$O$113,15,0))</f>
        <v>35.86</v>
      </c>
      <c r="X47" s="4">
        <f>IF(ISERROR(VLOOKUP($U$47,'TAR FIN'!$A$1:$O$113,15,0)),0,VLOOKUP($U$47,'TAR FIN'!$A$1:$O$113,15,0))</f>
        <v>222.31</v>
      </c>
      <c r="Y47" s="4">
        <f ca="1">('TUSD BE'!$AM$6+'TUSD BF'!$AM$6+'TUSD CVA'!$AM$6)*1</f>
        <v>10.94172345363083</v>
      </c>
      <c r="Z47" s="4">
        <f ca="1">('TUSD BE'!$AM$7+'TUSD BF'!$AM$7+'TUSD CVA'!$AM$7)*1</f>
        <v>45.946048451030222</v>
      </c>
      <c r="AA47" s="4">
        <f>('TE BE'!$AA$6+'TE BF'!$AA$6+'TE CVA'!$AA$6)*1</f>
        <v>223.14561812044704</v>
      </c>
      <c r="AB47" s="4">
        <f t="shared" si="0"/>
        <v>0</v>
      </c>
      <c r="AC47" s="4">
        <f t="shared" si="1"/>
        <v>223219.20357000001</v>
      </c>
      <c r="AD47" s="4">
        <f t="shared" ca="1" si="2"/>
        <v>0</v>
      </c>
      <c r="AE47" s="4">
        <f t="shared" ca="1" si="3"/>
        <v>232662.30584269727</v>
      </c>
      <c r="AF47" s="3" t="s">
        <v>1024</v>
      </c>
    </row>
    <row r="48" spans="1:32" ht="11.25" customHeight="1" x14ac:dyDescent="0.25">
      <c r="A48" s="3" t="s">
        <v>21</v>
      </c>
      <c r="B48" s="3" t="s">
        <v>39</v>
      </c>
      <c r="C48" s="3" t="s">
        <v>40</v>
      </c>
      <c r="D48" s="3" t="s">
        <v>45</v>
      </c>
      <c r="E48" s="3" t="s">
        <v>53</v>
      </c>
      <c r="F48" s="3" t="s">
        <v>55</v>
      </c>
      <c r="G48" s="3" t="s">
        <v>25</v>
      </c>
      <c r="H48" s="3" t="s">
        <v>35</v>
      </c>
      <c r="I48" s="6">
        <v>44531</v>
      </c>
      <c r="J48" s="4">
        <v>0</v>
      </c>
      <c r="K48" s="4">
        <v>0</v>
      </c>
      <c r="L48" s="4">
        <v>745.42200000000003</v>
      </c>
      <c r="M48" s="4">
        <v>74.542199999999994</v>
      </c>
      <c r="N48" s="4">
        <v>745.42200000000003</v>
      </c>
      <c r="O48" s="4">
        <v>74.542199999999994</v>
      </c>
      <c r="P48" s="4">
        <v>0</v>
      </c>
      <c r="Q48" s="3" t="s">
        <v>26</v>
      </c>
      <c r="R48" s="3">
        <v>0</v>
      </c>
      <c r="S48" s="3">
        <v>0</v>
      </c>
      <c r="T48" s="3">
        <v>6</v>
      </c>
      <c r="U48" s="3">
        <v>87</v>
      </c>
      <c r="V48" s="4">
        <f>IF(ISERROR(VLOOKUP($S$48,'TAR FIN'!$A$1:$O$113,15,0)),0,VLOOKUP($S$48,'TAR FIN'!$A$1:$O$113,15,0))</f>
        <v>0</v>
      </c>
      <c r="W48" s="4">
        <f>IF(ISERROR(VLOOKUP($T$48,'TAR FIN'!$A$1:$O$113,15,0)),0,VLOOKUP($T$48,'TAR FIN'!$A$1:$O$113,15,0))</f>
        <v>35.86</v>
      </c>
      <c r="X48" s="4">
        <f>IF(ISERROR(VLOOKUP($U$48,'TAR FIN'!$A$1:$O$113,15,0)),0,VLOOKUP($U$48,'TAR FIN'!$A$1:$O$113,15,0))</f>
        <v>222.31</v>
      </c>
      <c r="Y48" s="4">
        <f ca="1">('TUSD BE'!$AM$6+'TUSD BF'!$AM$6+'TUSD CVA'!$AM$6)*1</f>
        <v>10.94172345363083</v>
      </c>
      <c r="Z48" s="4">
        <f ca="1">('TUSD BE'!$AM$7+'TUSD BF'!$AM$7+'TUSD CVA'!$AM$7)*1</f>
        <v>45.946048451030222</v>
      </c>
      <c r="AA48" s="4">
        <f>('TE BE'!$AA$6+'TE BF'!$AA$6+'TE CVA'!$AA$6)*1</f>
        <v>223.14561812044704</v>
      </c>
      <c r="AB48" s="4">
        <f t="shared" si="0"/>
        <v>0</v>
      </c>
      <c r="AC48" s="4">
        <f t="shared" si="1"/>
        <v>173201.037966</v>
      </c>
      <c r="AD48" s="4">
        <f t="shared" ca="1" si="2"/>
        <v>0</v>
      </c>
      <c r="AE48" s="4">
        <f t="shared" ca="1" si="3"/>
        <v>180528.16345113935</v>
      </c>
      <c r="AF48" s="3" t="s">
        <v>1024</v>
      </c>
    </row>
    <row r="49" spans="1:32" ht="11.25" customHeight="1" x14ac:dyDescent="0.25">
      <c r="A49" s="3" t="s">
        <v>21</v>
      </c>
      <c r="B49" s="3" t="s">
        <v>39</v>
      </c>
      <c r="C49" s="3" t="s">
        <v>40</v>
      </c>
      <c r="D49" s="3" t="s">
        <v>45</v>
      </c>
      <c r="E49" s="3" t="s">
        <v>53</v>
      </c>
      <c r="F49" s="3" t="s">
        <v>55</v>
      </c>
      <c r="G49" s="3" t="s">
        <v>25</v>
      </c>
      <c r="H49" s="3" t="s">
        <v>35</v>
      </c>
      <c r="I49" s="6">
        <v>44562</v>
      </c>
      <c r="J49" s="4">
        <v>0</v>
      </c>
      <c r="K49" s="4">
        <v>0</v>
      </c>
      <c r="L49" s="4">
        <v>593.84</v>
      </c>
      <c r="M49" s="4">
        <v>59.384</v>
      </c>
      <c r="N49" s="4">
        <v>593.84</v>
      </c>
      <c r="O49" s="4">
        <v>59.384</v>
      </c>
      <c r="P49" s="4">
        <v>0</v>
      </c>
      <c r="Q49" s="3" t="s">
        <v>26</v>
      </c>
      <c r="R49" s="3">
        <v>0</v>
      </c>
      <c r="S49" s="3">
        <v>0</v>
      </c>
      <c r="T49" s="3">
        <v>6</v>
      </c>
      <c r="U49" s="3">
        <v>87</v>
      </c>
      <c r="V49" s="4">
        <f>IF(ISERROR(VLOOKUP($S$49,'TAR FIN'!$A$1:$O$113,15,0)),0,VLOOKUP($S$49,'TAR FIN'!$A$1:$O$113,15,0))</f>
        <v>0</v>
      </c>
      <c r="W49" s="4">
        <f>IF(ISERROR(VLOOKUP($T$49,'TAR FIN'!$A$1:$O$113,15,0)),0,VLOOKUP($T$49,'TAR FIN'!$A$1:$O$113,15,0))</f>
        <v>35.86</v>
      </c>
      <c r="X49" s="4">
        <f>IF(ISERROR(VLOOKUP($U$49,'TAR FIN'!$A$1:$O$113,15,0)),0,VLOOKUP($U$49,'TAR FIN'!$A$1:$O$113,15,0))</f>
        <v>222.31</v>
      </c>
      <c r="Y49" s="4">
        <f ca="1">('TUSD BE'!$AM$6+'TUSD BF'!$AM$6+'TUSD CVA'!$AM$6)*1</f>
        <v>10.94172345363083</v>
      </c>
      <c r="Z49" s="4">
        <f ca="1">('TUSD BE'!$AM$7+'TUSD BF'!$AM$7+'TUSD CVA'!$AM$7)*1</f>
        <v>45.946048451030222</v>
      </c>
      <c r="AA49" s="4">
        <f>('TE BE'!$AA$6+'TE BF'!$AA$6+'TE CVA'!$AA$6)*1</f>
        <v>223.14561812044704</v>
      </c>
      <c r="AB49" s="4">
        <f t="shared" si="0"/>
        <v>0</v>
      </c>
      <c r="AC49" s="4">
        <f t="shared" si="1"/>
        <v>137980.50552000001</v>
      </c>
      <c r="AD49" s="4">
        <f t="shared" ca="1" si="2"/>
        <v>0</v>
      </c>
      <c r="AE49" s="4">
        <f t="shared" ca="1" si="3"/>
        <v>143817.65574912546</v>
      </c>
      <c r="AF49" s="3" t="s">
        <v>1024</v>
      </c>
    </row>
    <row r="50" spans="1:32" ht="11.25" customHeight="1" x14ac:dyDescent="0.25">
      <c r="A50" s="3" t="s">
        <v>21</v>
      </c>
      <c r="B50" s="3" t="s">
        <v>39</v>
      </c>
      <c r="C50" s="3" t="s">
        <v>40</v>
      </c>
      <c r="D50" s="3" t="s">
        <v>45</v>
      </c>
      <c r="E50" s="3" t="s">
        <v>53</v>
      </c>
      <c r="F50" s="3" t="s">
        <v>55</v>
      </c>
      <c r="G50" s="3" t="s">
        <v>25</v>
      </c>
      <c r="H50" s="3" t="s">
        <v>35</v>
      </c>
      <c r="I50" s="6">
        <v>44593</v>
      </c>
      <c r="J50" s="4">
        <v>0</v>
      </c>
      <c r="K50" s="4">
        <v>0</v>
      </c>
      <c r="L50" s="4">
        <v>1122.606</v>
      </c>
      <c r="M50" s="4">
        <v>112.2606</v>
      </c>
      <c r="N50" s="4">
        <v>1122.606</v>
      </c>
      <c r="O50" s="4">
        <v>112.2606</v>
      </c>
      <c r="P50" s="4">
        <v>0</v>
      </c>
      <c r="Q50" s="3" t="s">
        <v>26</v>
      </c>
      <c r="R50" s="3">
        <v>0</v>
      </c>
      <c r="S50" s="3">
        <v>0</v>
      </c>
      <c r="T50" s="3">
        <v>6</v>
      </c>
      <c r="U50" s="3">
        <v>87</v>
      </c>
      <c r="V50" s="4">
        <f>IF(ISERROR(VLOOKUP($S$50,'TAR FIN'!$A$1:$O$113,15,0)),0,VLOOKUP($S$50,'TAR FIN'!$A$1:$O$113,15,0))</f>
        <v>0</v>
      </c>
      <c r="W50" s="4">
        <f>IF(ISERROR(VLOOKUP($T$50,'TAR FIN'!$A$1:$O$113,15,0)),0,VLOOKUP($T$50,'TAR FIN'!$A$1:$O$113,15,0))</f>
        <v>35.86</v>
      </c>
      <c r="X50" s="4">
        <f>IF(ISERROR(VLOOKUP($U$50,'TAR FIN'!$A$1:$O$113,15,0)),0,VLOOKUP($U$50,'TAR FIN'!$A$1:$O$113,15,0))</f>
        <v>222.31</v>
      </c>
      <c r="Y50" s="4">
        <f ca="1">('TUSD BE'!$AM$6+'TUSD BF'!$AM$6+'TUSD CVA'!$AM$6)*1</f>
        <v>10.94172345363083</v>
      </c>
      <c r="Z50" s="4">
        <f ca="1">('TUSD BE'!$AM$7+'TUSD BF'!$AM$7+'TUSD CVA'!$AM$7)*1</f>
        <v>45.946048451030222</v>
      </c>
      <c r="AA50" s="4">
        <f>('TE BE'!$AA$6+'TE BF'!$AA$6+'TE CVA'!$AA$6)*1</f>
        <v>223.14561812044704</v>
      </c>
      <c r="AB50" s="4">
        <f t="shared" si="0"/>
        <v>0</v>
      </c>
      <c r="AC50" s="4">
        <f t="shared" si="1"/>
        <v>260840.87191799999</v>
      </c>
      <c r="AD50" s="4">
        <f t="shared" ca="1" si="2"/>
        <v>0</v>
      </c>
      <c r="AE50" s="4">
        <f t="shared" ca="1" si="3"/>
        <v>271875.52749882586</v>
      </c>
      <c r="AF50" s="3" t="s">
        <v>1024</v>
      </c>
    </row>
    <row r="51" spans="1:32" ht="11.25" customHeight="1" x14ac:dyDescent="0.25">
      <c r="A51" s="3" t="s">
        <v>56</v>
      </c>
      <c r="B51" s="3" t="s">
        <v>39</v>
      </c>
      <c r="C51" s="3" t="s">
        <v>40</v>
      </c>
      <c r="D51" s="3" t="s">
        <v>45</v>
      </c>
      <c r="E51" s="3" t="s">
        <v>53</v>
      </c>
      <c r="F51" s="3" t="s">
        <v>55</v>
      </c>
      <c r="G51" s="3" t="s">
        <v>25</v>
      </c>
      <c r="H51" s="3" t="s">
        <v>35</v>
      </c>
      <c r="I51" s="6">
        <v>44621</v>
      </c>
      <c r="J51" s="4">
        <v>0</v>
      </c>
      <c r="K51" s="4">
        <v>0</v>
      </c>
      <c r="L51" s="4">
        <v>1122.606</v>
      </c>
      <c r="M51" s="4">
        <v>112.2606</v>
      </c>
      <c r="N51" s="4">
        <v>1122.606</v>
      </c>
      <c r="O51" s="4">
        <v>112.2606</v>
      </c>
      <c r="P51" s="4">
        <v>0</v>
      </c>
      <c r="Q51" s="3" t="s">
        <v>26</v>
      </c>
      <c r="R51" s="3">
        <v>0</v>
      </c>
      <c r="S51" s="3">
        <v>0</v>
      </c>
      <c r="T51" s="3">
        <v>6</v>
      </c>
      <c r="U51" s="3">
        <v>87</v>
      </c>
      <c r="V51" s="4">
        <f>IF(ISERROR(VLOOKUP($S$51,'TAR FIN'!$A$1:$O$113,15,0)),0,VLOOKUP($S$51,'TAR FIN'!$A$1:$O$113,15,0))</f>
        <v>0</v>
      </c>
      <c r="W51" s="4">
        <f>IF(ISERROR(VLOOKUP($T$51,'TAR FIN'!$A$1:$O$113,15,0)),0,VLOOKUP($T$51,'TAR FIN'!$A$1:$O$113,15,0))</f>
        <v>35.86</v>
      </c>
      <c r="X51" s="4">
        <f>IF(ISERROR(VLOOKUP($U$51,'TAR FIN'!$A$1:$O$113,15,0)),0,VLOOKUP($U$51,'TAR FIN'!$A$1:$O$113,15,0))</f>
        <v>222.31</v>
      </c>
      <c r="Y51" s="4">
        <f ca="1">('TUSD BE'!$AM$6+'TUSD BF'!$AM$6+'TUSD CVA'!$AM$6)*1</f>
        <v>10.94172345363083</v>
      </c>
      <c r="Z51" s="4">
        <f ca="1">('TUSD BE'!$AM$7+'TUSD BF'!$AM$7+'TUSD CVA'!$AM$7)*1</f>
        <v>45.946048451030222</v>
      </c>
      <c r="AA51" s="4">
        <f>('TE BE'!$AA$6+'TE BF'!$AA$6+'TE CVA'!$AA$6)*1</f>
        <v>223.14561812044704</v>
      </c>
      <c r="AB51" s="4">
        <f t="shared" si="0"/>
        <v>0</v>
      </c>
      <c r="AC51" s="4">
        <f t="shared" si="1"/>
        <v>260840.87191799999</v>
      </c>
      <c r="AD51" s="4">
        <f t="shared" ca="1" si="2"/>
        <v>0</v>
      </c>
      <c r="AE51" s="4">
        <f t="shared" ca="1" si="3"/>
        <v>271875.52749882586</v>
      </c>
      <c r="AF51" s="3" t="s">
        <v>1024</v>
      </c>
    </row>
    <row r="52" spans="1:32" ht="11.25" customHeight="1" x14ac:dyDescent="0.25">
      <c r="A52" s="3" t="s">
        <v>21</v>
      </c>
      <c r="B52" s="3" t="s">
        <v>39</v>
      </c>
      <c r="C52" s="3" t="s">
        <v>40</v>
      </c>
      <c r="D52" s="3" t="s">
        <v>45</v>
      </c>
      <c r="E52" s="3" t="s">
        <v>53</v>
      </c>
      <c r="F52" s="3" t="s">
        <v>25</v>
      </c>
      <c r="G52" s="3" t="s">
        <v>25</v>
      </c>
      <c r="H52" s="3" t="s">
        <v>35</v>
      </c>
      <c r="I52" s="6">
        <v>44287</v>
      </c>
      <c r="J52" s="4">
        <v>3768</v>
      </c>
      <c r="K52" s="56">
        <v>3768</v>
      </c>
      <c r="L52" s="4">
        <v>434.34</v>
      </c>
      <c r="M52" s="56">
        <v>434.34</v>
      </c>
      <c r="N52" s="4">
        <v>434.34</v>
      </c>
      <c r="O52" s="56">
        <v>434.34</v>
      </c>
      <c r="P52" s="4">
        <v>0</v>
      </c>
      <c r="Q52" s="3" t="s">
        <v>26</v>
      </c>
      <c r="R52" s="3">
        <v>0</v>
      </c>
      <c r="S52" s="3">
        <v>5</v>
      </c>
      <c r="T52" s="3">
        <v>6</v>
      </c>
      <c r="U52" s="3">
        <v>87</v>
      </c>
      <c r="V52" s="56">
        <f>IF(ISERROR(VLOOKUP($S$52,'TAR FIN'!$A$1:$O$113,15,0)),0,VLOOKUP($S$52,'TAR FIN'!$A$1:$O$113,15,0))*(1-0.04)</f>
        <v>11.1264</v>
      </c>
      <c r="W52" s="56">
        <f>IF(ISERROR(VLOOKUP($T$52,'TAR FIN'!$A$1:$O$113,15,0)),0,VLOOKUP($T$52,'TAR FIN'!$A$1:$O$113,15,0))*(1-0.04)</f>
        <v>34.425599999999996</v>
      </c>
      <c r="X52" s="56">
        <f>IF(ISERROR(VLOOKUP($U$52,'TAR FIN'!$A$1:$O$113,15,0)),0,VLOOKUP($U$52,'TAR FIN'!$A$1:$O$113,15,0))*(1-0.04)</f>
        <v>213.41759999999999</v>
      </c>
      <c r="Y52" s="56">
        <f ca="1">('TUSD BE'!$AM$6+'TUSD BF'!$AM$6+'TUSD CVA'!$AM$6)*1*(1-0.02)</f>
        <v>10.722888984558214</v>
      </c>
      <c r="Z52" s="56">
        <f ca="1">('TUSD BE'!$AM$7+'TUSD BF'!$AM$7+'TUSD CVA'!$AM$7)*1*(1-0.02)</f>
        <v>45.027127482009618</v>
      </c>
      <c r="AA52" s="56">
        <f>('TE BE'!$AA$6+'TE BF'!$AA$6+'TE CVA'!$AA$6)*1*(1-0.02)</f>
        <v>218.68270575803808</v>
      </c>
      <c r="AB52" s="56">
        <f>(SUBSIDIO!$J$52*SUBSIDIO!$V$52)*(0.04)/(1-0.04)</f>
        <v>1746.8448000000003</v>
      </c>
      <c r="AC52" s="56">
        <f>((SUBSIDIO!$L$52*SUBSIDIO!$W$52)+(SUBSIDIO!$N$52*SUBSIDIO!$X$52))*(0.04)/(1-0.04)</f>
        <v>4485.3423119999998</v>
      </c>
      <c r="AD52" s="56">
        <f ca="1">(SUBSIDIO!$J$52*SUBSIDIO!$Y$52)*(0.02)/(1-0.02)</f>
        <v>824.56827946561941</v>
      </c>
      <c r="AE52" s="56">
        <f ca="1">((SUBSIDIO!$L$52*SUBSIDIO!$Z$52)+(SUBSIDIO!$N$52*SUBSIDIO!$AA$52))*(0.02)/(1-0.02)</f>
        <v>2337.5454891731088</v>
      </c>
      <c r="AF52" s="3" t="s">
        <v>1023</v>
      </c>
    </row>
    <row r="53" spans="1:32" ht="11.25" customHeight="1" x14ac:dyDescent="0.25">
      <c r="A53" s="3" t="s">
        <v>21</v>
      </c>
      <c r="B53" s="3" t="s">
        <v>39</v>
      </c>
      <c r="C53" s="3" t="s">
        <v>40</v>
      </c>
      <c r="D53" s="3" t="s">
        <v>45</v>
      </c>
      <c r="E53" s="3" t="s">
        <v>53</v>
      </c>
      <c r="F53" s="3" t="s">
        <v>25</v>
      </c>
      <c r="G53" s="3" t="s">
        <v>25</v>
      </c>
      <c r="H53" s="3" t="s">
        <v>35</v>
      </c>
      <c r="I53" s="6">
        <v>44317</v>
      </c>
      <c r="J53" s="4">
        <v>1056</v>
      </c>
      <c r="K53" s="56">
        <v>1056</v>
      </c>
      <c r="L53" s="4">
        <v>10.164</v>
      </c>
      <c r="M53" s="56">
        <v>10.164</v>
      </c>
      <c r="N53" s="4">
        <v>10.164</v>
      </c>
      <c r="O53" s="56">
        <v>10.164</v>
      </c>
      <c r="P53" s="4">
        <v>0</v>
      </c>
      <c r="Q53" s="3" t="s">
        <v>26</v>
      </c>
      <c r="R53" s="3">
        <v>0</v>
      </c>
      <c r="S53" s="3">
        <v>5</v>
      </c>
      <c r="T53" s="3">
        <v>6</v>
      </c>
      <c r="U53" s="3">
        <v>87</v>
      </c>
      <c r="V53" s="56">
        <f>IF(ISERROR(VLOOKUP($S$53,'TAR FIN'!$A$1:$O$113,15,0)),0,VLOOKUP($S$53,'TAR FIN'!$A$1:$O$113,15,0))*(1-0.04)</f>
        <v>11.1264</v>
      </c>
      <c r="W53" s="56">
        <f>IF(ISERROR(VLOOKUP($T$53,'TAR FIN'!$A$1:$O$113,15,0)),0,VLOOKUP($T$53,'TAR FIN'!$A$1:$O$113,15,0))*(1-0.04)</f>
        <v>34.425599999999996</v>
      </c>
      <c r="X53" s="56">
        <f>IF(ISERROR(VLOOKUP($U$53,'TAR FIN'!$A$1:$O$113,15,0)),0,VLOOKUP($U$53,'TAR FIN'!$A$1:$O$113,15,0))*(1-0.04)</f>
        <v>213.41759999999999</v>
      </c>
      <c r="Y53" s="56">
        <f ca="1">('TUSD BE'!$AM$6+'TUSD BF'!$AM$6+'TUSD CVA'!$AM$6)*1*(1-0.02)</f>
        <v>10.722888984558214</v>
      </c>
      <c r="Z53" s="56">
        <f ca="1">('TUSD BE'!$AM$7+'TUSD BF'!$AM$7+'TUSD CVA'!$AM$7)*1*(1-0.02)</f>
        <v>45.027127482009618</v>
      </c>
      <c r="AA53" s="56">
        <f>('TE BE'!$AA$6+'TE BF'!$AA$6+'TE CVA'!$AA$6)*1*(1-0.02)</f>
        <v>218.68270575803808</v>
      </c>
      <c r="AB53" s="56">
        <f>(SUBSIDIO!$J$53*SUBSIDIO!$V$53)*(0.04)/(1-0.04)</f>
        <v>489.5616</v>
      </c>
      <c r="AC53" s="56">
        <f>((SUBSIDIO!$L$53*SUBSIDIO!$W$53)+(SUBSIDIO!$N$53*SUBSIDIO!$X$53))*(0.04)/(1-0.04)</f>
        <v>104.96159519999999</v>
      </c>
      <c r="AD53" s="56">
        <f ca="1">(SUBSIDIO!$J$53*SUBSIDIO!$Y$53)*(0.02)/(1-0.02)</f>
        <v>231.08919934068314</v>
      </c>
      <c r="AE53" s="56">
        <f ca="1">((SUBSIDIO!$L$53*SUBSIDIO!$Z$53)+(SUBSIDIO!$N$53*SUBSIDIO!$AA$53))*(0.02)/(1-0.02)</f>
        <v>54.700953980649892</v>
      </c>
      <c r="AF53" s="3" t="s">
        <v>1023</v>
      </c>
    </row>
    <row r="54" spans="1:32" ht="11.25" customHeight="1" x14ac:dyDescent="0.25">
      <c r="A54" s="3" t="s">
        <v>21</v>
      </c>
      <c r="B54" s="3" t="s">
        <v>39</v>
      </c>
      <c r="C54" s="3" t="s">
        <v>40</v>
      </c>
      <c r="D54" s="3" t="s">
        <v>45</v>
      </c>
      <c r="E54" s="3" t="s">
        <v>53</v>
      </c>
      <c r="F54" s="3" t="s">
        <v>25</v>
      </c>
      <c r="G54" s="3" t="s">
        <v>25</v>
      </c>
      <c r="H54" s="3" t="s">
        <v>35</v>
      </c>
      <c r="I54" s="6">
        <v>44348</v>
      </c>
      <c r="J54" s="4">
        <v>1032</v>
      </c>
      <c r="K54" s="56">
        <v>1032</v>
      </c>
      <c r="L54" s="4">
        <v>8.5500000000000007</v>
      </c>
      <c r="M54" s="56">
        <v>8.5500000000000007</v>
      </c>
      <c r="N54" s="4">
        <v>8.5500000000000007</v>
      </c>
      <c r="O54" s="56">
        <v>8.5500000000000007</v>
      </c>
      <c r="P54" s="4">
        <v>0</v>
      </c>
      <c r="Q54" s="3" t="s">
        <v>26</v>
      </c>
      <c r="R54" s="3">
        <v>0</v>
      </c>
      <c r="S54" s="3">
        <v>5</v>
      </c>
      <c r="T54" s="3">
        <v>6</v>
      </c>
      <c r="U54" s="3">
        <v>87</v>
      </c>
      <c r="V54" s="56">
        <f>IF(ISERROR(VLOOKUP($S$54,'TAR FIN'!$A$1:$O$113,15,0)),0,VLOOKUP($S$54,'TAR FIN'!$A$1:$O$113,15,0))*(1-0.04)</f>
        <v>11.1264</v>
      </c>
      <c r="W54" s="56">
        <f>IF(ISERROR(VLOOKUP($T$54,'TAR FIN'!$A$1:$O$113,15,0)),0,VLOOKUP($T$54,'TAR FIN'!$A$1:$O$113,15,0))*(1-0.04)</f>
        <v>34.425599999999996</v>
      </c>
      <c r="X54" s="56">
        <f>IF(ISERROR(VLOOKUP($U$54,'TAR FIN'!$A$1:$O$113,15,0)),0,VLOOKUP($U$54,'TAR FIN'!$A$1:$O$113,15,0))*(1-0.04)</f>
        <v>213.41759999999999</v>
      </c>
      <c r="Y54" s="56">
        <f ca="1">('TUSD BE'!$AM$6+'TUSD BF'!$AM$6+'TUSD CVA'!$AM$6)*1*(1-0.02)</f>
        <v>10.722888984558214</v>
      </c>
      <c r="Z54" s="56">
        <f ca="1">('TUSD BE'!$AM$7+'TUSD BF'!$AM$7+'TUSD CVA'!$AM$7)*1*(1-0.02)</f>
        <v>45.027127482009618</v>
      </c>
      <c r="AA54" s="56">
        <f>('TE BE'!$AA$6+'TE BF'!$AA$6+'TE CVA'!$AA$6)*1*(1-0.02)</f>
        <v>218.68270575803808</v>
      </c>
      <c r="AB54" s="56">
        <f>(SUBSIDIO!$J$54*SUBSIDIO!$V$54)*(0.04)/(1-0.04)</f>
        <v>478.43520000000007</v>
      </c>
      <c r="AC54" s="56">
        <f>((SUBSIDIO!$L$54*SUBSIDIO!$W$54)+(SUBSIDIO!$N$54*SUBSIDIO!$X$54))*(0.04)/(1-0.04)</f>
        <v>88.294140000000013</v>
      </c>
      <c r="AD54" s="56">
        <f ca="1">(SUBSIDIO!$J$54*SUBSIDIO!$Y$54)*(0.02)/(1-0.02)</f>
        <v>225.83717208294036</v>
      </c>
      <c r="AE54" s="56">
        <f ca="1">((SUBSIDIO!$L$54*SUBSIDIO!$Z$54)+(SUBSIDIO!$N$54*SUBSIDIO!$AA$54))*(0.02)/(1-0.02)</f>
        <v>46.014674983722614</v>
      </c>
      <c r="AF54" s="3" t="s">
        <v>1023</v>
      </c>
    </row>
    <row r="55" spans="1:32" ht="11.25" customHeight="1" x14ac:dyDescent="0.25">
      <c r="A55" s="3" t="s">
        <v>21</v>
      </c>
      <c r="B55" s="3" t="s">
        <v>39</v>
      </c>
      <c r="C55" s="3" t="s">
        <v>40</v>
      </c>
      <c r="D55" s="3" t="s">
        <v>45</v>
      </c>
      <c r="E55" s="3" t="s">
        <v>53</v>
      </c>
      <c r="F55" s="3" t="s">
        <v>25</v>
      </c>
      <c r="G55" s="3" t="s">
        <v>25</v>
      </c>
      <c r="H55" s="3" t="s">
        <v>35</v>
      </c>
      <c r="I55" s="6">
        <v>44378</v>
      </c>
      <c r="J55" s="4">
        <v>1056</v>
      </c>
      <c r="K55" s="56">
        <v>1056</v>
      </c>
      <c r="L55" s="4">
        <v>8.8260000000000005</v>
      </c>
      <c r="M55" s="56">
        <v>8.8260000000000005</v>
      </c>
      <c r="N55" s="4">
        <v>8.8260000000000005</v>
      </c>
      <c r="O55" s="56">
        <v>8.8260000000000005</v>
      </c>
      <c r="P55" s="4">
        <v>0</v>
      </c>
      <c r="Q55" s="3" t="s">
        <v>26</v>
      </c>
      <c r="R55" s="3">
        <v>0</v>
      </c>
      <c r="S55" s="3">
        <v>5</v>
      </c>
      <c r="T55" s="3">
        <v>6</v>
      </c>
      <c r="U55" s="3">
        <v>87</v>
      </c>
      <c r="V55" s="56">
        <f>IF(ISERROR(VLOOKUP($S$55,'TAR FIN'!$A$1:$O$113,15,0)),0,VLOOKUP($S$55,'TAR FIN'!$A$1:$O$113,15,0))*(1-0.04)</f>
        <v>11.1264</v>
      </c>
      <c r="W55" s="56">
        <f>IF(ISERROR(VLOOKUP($T$55,'TAR FIN'!$A$1:$O$113,15,0)),0,VLOOKUP($T$55,'TAR FIN'!$A$1:$O$113,15,0))*(1-0.04)</f>
        <v>34.425599999999996</v>
      </c>
      <c r="X55" s="56">
        <f>IF(ISERROR(VLOOKUP($U$55,'TAR FIN'!$A$1:$O$113,15,0)),0,VLOOKUP($U$55,'TAR FIN'!$A$1:$O$113,15,0))*(1-0.04)</f>
        <v>213.41759999999999</v>
      </c>
      <c r="Y55" s="56">
        <f ca="1">('TUSD BE'!$AM$6+'TUSD BF'!$AM$6+'TUSD CVA'!$AM$6)*1*(1-0.02)</f>
        <v>10.722888984558214</v>
      </c>
      <c r="Z55" s="56">
        <f ca="1">('TUSD BE'!$AM$7+'TUSD BF'!$AM$7+'TUSD CVA'!$AM$7)*1*(1-0.02)</f>
        <v>45.027127482009618</v>
      </c>
      <c r="AA55" s="56">
        <f>('TE BE'!$AA$6+'TE BF'!$AA$6+'TE CVA'!$AA$6)*1*(1-0.02)</f>
        <v>218.68270575803808</v>
      </c>
      <c r="AB55" s="56">
        <f>(SUBSIDIO!$J$55*SUBSIDIO!$V$55)*(0.04)/(1-0.04)</f>
        <v>489.5616</v>
      </c>
      <c r="AC55" s="56">
        <f>((SUBSIDIO!$L$55*SUBSIDIO!$W$55)+(SUBSIDIO!$N$55*SUBSIDIO!$X$55))*(0.04)/(1-0.04)</f>
        <v>91.144336800000005</v>
      </c>
      <c r="AD55" s="56">
        <f ca="1">(SUBSIDIO!$J$55*SUBSIDIO!$Y$55)*(0.02)/(1-0.02)</f>
        <v>231.08919934068314</v>
      </c>
      <c r="AE55" s="56">
        <f ca="1">((SUBSIDIO!$L$55*SUBSIDIO!$Z$55)+(SUBSIDIO!$N$55*SUBSIDIO!$AA$55))*(0.02)/(1-0.02)</f>
        <v>47.500060983197173</v>
      </c>
      <c r="AF55" s="3" t="s">
        <v>1023</v>
      </c>
    </row>
    <row r="56" spans="1:32" ht="11.25" customHeight="1" x14ac:dyDescent="0.25">
      <c r="A56" s="3" t="s">
        <v>21</v>
      </c>
      <c r="B56" s="3" t="s">
        <v>39</v>
      </c>
      <c r="C56" s="3" t="s">
        <v>40</v>
      </c>
      <c r="D56" s="3" t="s">
        <v>45</v>
      </c>
      <c r="E56" s="3" t="s">
        <v>53</v>
      </c>
      <c r="F56" s="3" t="s">
        <v>25</v>
      </c>
      <c r="G56" s="3" t="s">
        <v>25</v>
      </c>
      <c r="H56" s="3" t="s">
        <v>35</v>
      </c>
      <c r="I56" s="6">
        <v>44409</v>
      </c>
      <c r="J56" s="4">
        <v>1056</v>
      </c>
      <c r="K56" s="56">
        <v>1056</v>
      </c>
      <c r="L56" s="4">
        <v>8.34</v>
      </c>
      <c r="M56" s="56">
        <v>8.34</v>
      </c>
      <c r="N56" s="4">
        <v>8.34</v>
      </c>
      <c r="O56" s="56">
        <v>8.34</v>
      </c>
      <c r="P56" s="4">
        <v>0</v>
      </c>
      <c r="Q56" s="3" t="s">
        <v>26</v>
      </c>
      <c r="R56" s="3">
        <v>0</v>
      </c>
      <c r="S56" s="3">
        <v>5</v>
      </c>
      <c r="T56" s="3">
        <v>6</v>
      </c>
      <c r="U56" s="3">
        <v>87</v>
      </c>
      <c r="V56" s="56">
        <f>IF(ISERROR(VLOOKUP($S$56,'TAR FIN'!$A$1:$O$113,15,0)),0,VLOOKUP($S$56,'TAR FIN'!$A$1:$O$113,15,0))*(1-0.04)</f>
        <v>11.1264</v>
      </c>
      <c r="W56" s="56">
        <f>IF(ISERROR(VLOOKUP($T$56,'TAR FIN'!$A$1:$O$113,15,0)),0,VLOOKUP($T$56,'TAR FIN'!$A$1:$O$113,15,0))*(1-0.04)</f>
        <v>34.425599999999996</v>
      </c>
      <c r="X56" s="56">
        <f>IF(ISERROR(VLOOKUP($U$56,'TAR FIN'!$A$1:$O$113,15,0)),0,VLOOKUP($U$56,'TAR FIN'!$A$1:$O$113,15,0))*(1-0.04)</f>
        <v>213.41759999999999</v>
      </c>
      <c r="Y56" s="56">
        <f ca="1">('TUSD BE'!$AM$6+'TUSD BF'!$AM$6+'TUSD CVA'!$AM$6)*1*(1-0.02)</f>
        <v>10.722888984558214</v>
      </c>
      <c r="Z56" s="56">
        <f ca="1">('TUSD BE'!$AM$7+'TUSD BF'!$AM$7+'TUSD CVA'!$AM$7)*1*(1-0.02)</f>
        <v>45.027127482009618</v>
      </c>
      <c r="AA56" s="56">
        <f>('TE BE'!$AA$6+'TE BF'!$AA$6+'TE CVA'!$AA$6)*1*(1-0.02)</f>
        <v>218.68270575803808</v>
      </c>
      <c r="AB56" s="56">
        <f>(SUBSIDIO!$J$56*SUBSIDIO!$V$56)*(0.04)/(1-0.04)</f>
        <v>489.5616</v>
      </c>
      <c r="AC56" s="56">
        <f>((SUBSIDIO!$L$56*SUBSIDIO!$W$56)+(SUBSIDIO!$N$56*SUBSIDIO!$X$56))*(0.04)/(1-0.04)</f>
        <v>86.125512000000001</v>
      </c>
      <c r="AD56" s="56">
        <f ca="1">(SUBSIDIO!$J$56*SUBSIDIO!$Y$56)*(0.02)/(1-0.02)</f>
        <v>231.08919934068314</v>
      </c>
      <c r="AE56" s="56">
        <f ca="1">((SUBSIDIO!$L$56*SUBSIDIO!$Z$56)+(SUBSIDIO!$N$56*SUBSIDIO!$AA$56))*(0.02)/(1-0.02)</f>
        <v>44.884489984122403</v>
      </c>
      <c r="AF56" s="3" t="s">
        <v>1023</v>
      </c>
    </row>
    <row r="57" spans="1:32" ht="11.25" customHeight="1" x14ac:dyDescent="0.25">
      <c r="A57" s="3" t="s">
        <v>21</v>
      </c>
      <c r="B57" s="3" t="s">
        <v>39</v>
      </c>
      <c r="C57" s="3" t="s">
        <v>40</v>
      </c>
      <c r="D57" s="3" t="s">
        <v>45</v>
      </c>
      <c r="E57" s="3" t="s">
        <v>53</v>
      </c>
      <c r="F57" s="3" t="s">
        <v>25</v>
      </c>
      <c r="G57" s="3" t="s">
        <v>25</v>
      </c>
      <c r="H57" s="3" t="s">
        <v>35</v>
      </c>
      <c r="I57" s="6">
        <v>44440</v>
      </c>
      <c r="J57" s="4">
        <v>3000</v>
      </c>
      <c r="K57" s="56">
        <v>3000</v>
      </c>
      <c r="L57" s="4">
        <v>296.262</v>
      </c>
      <c r="M57" s="56">
        <v>296.262</v>
      </c>
      <c r="N57" s="4">
        <v>296.262</v>
      </c>
      <c r="O57" s="56">
        <v>296.262</v>
      </c>
      <c r="P57" s="4">
        <v>0</v>
      </c>
      <c r="Q57" s="3" t="s">
        <v>26</v>
      </c>
      <c r="R57" s="3">
        <v>0</v>
      </c>
      <c r="S57" s="3">
        <v>5</v>
      </c>
      <c r="T57" s="3">
        <v>6</v>
      </c>
      <c r="U57" s="3">
        <v>87</v>
      </c>
      <c r="V57" s="56">
        <f>IF(ISERROR(VLOOKUP($S$57,'TAR FIN'!$A$1:$O$113,15,0)),0,VLOOKUP($S$57,'TAR FIN'!$A$1:$O$113,15,0))*(1-0.04)</f>
        <v>11.1264</v>
      </c>
      <c r="W57" s="56">
        <f>IF(ISERROR(VLOOKUP($T$57,'TAR FIN'!$A$1:$O$113,15,0)),0,VLOOKUP($T$57,'TAR FIN'!$A$1:$O$113,15,0))*(1-0.04)</f>
        <v>34.425599999999996</v>
      </c>
      <c r="X57" s="56">
        <f>IF(ISERROR(VLOOKUP($U$57,'TAR FIN'!$A$1:$O$113,15,0)),0,VLOOKUP($U$57,'TAR FIN'!$A$1:$O$113,15,0))*(1-0.04)</f>
        <v>213.41759999999999</v>
      </c>
      <c r="Y57" s="56">
        <f ca="1">('TUSD BE'!$AM$6+'TUSD BF'!$AM$6+'TUSD CVA'!$AM$6)*1*(1-0.02)</f>
        <v>10.722888984558214</v>
      </c>
      <c r="Z57" s="56">
        <f ca="1">('TUSD BE'!$AM$7+'TUSD BF'!$AM$7+'TUSD CVA'!$AM$7)*1*(1-0.02)</f>
        <v>45.027127482009618</v>
      </c>
      <c r="AA57" s="56">
        <f>('TE BE'!$AA$6+'TE BF'!$AA$6+'TE CVA'!$AA$6)*1*(1-0.02)</f>
        <v>218.68270575803808</v>
      </c>
      <c r="AB57" s="56">
        <f>(SUBSIDIO!$J$57*SUBSIDIO!$V$57)*(0.04)/(1-0.04)</f>
        <v>1390.8000000000002</v>
      </c>
      <c r="AC57" s="56">
        <f>((SUBSIDIO!$L$57*SUBSIDIO!$W$57)+(SUBSIDIO!$N$57*SUBSIDIO!$X$57))*(0.04)/(1-0.04)</f>
        <v>3059.4384215999999</v>
      </c>
      <c r="AD57" s="56">
        <f ca="1">(SUBSIDIO!$J$57*SUBSIDIO!$Y$57)*(0.02)/(1-0.02)</f>
        <v>656.50340721784983</v>
      </c>
      <c r="AE57" s="56">
        <f ca="1">((SUBSIDIO!$L$57*SUBSIDIO!$Z$57)+(SUBSIDIO!$N$57*SUBSIDIO!$AA$57))*(0.02)/(1-0.02)</f>
        <v>1594.43270643598</v>
      </c>
      <c r="AF57" s="3" t="s">
        <v>1023</v>
      </c>
    </row>
    <row r="58" spans="1:32" ht="11.25" customHeight="1" x14ac:dyDescent="0.25">
      <c r="A58" s="3" t="s">
        <v>21</v>
      </c>
      <c r="B58" s="3" t="s">
        <v>39</v>
      </c>
      <c r="C58" s="3" t="s">
        <v>40</v>
      </c>
      <c r="D58" s="3" t="s">
        <v>45</v>
      </c>
      <c r="E58" s="3" t="s">
        <v>53</v>
      </c>
      <c r="F58" s="3" t="s">
        <v>25</v>
      </c>
      <c r="G58" s="3" t="s">
        <v>25</v>
      </c>
      <c r="H58" s="3" t="s">
        <v>35</v>
      </c>
      <c r="I58" s="6">
        <v>44470</v>
      </c>
      <c r="J58" s="4">
        <v>3792</v>
      </c>
      <c r="K58" s="56">
        <v>3792</v>
      </c>
      <c r="L58" s="4">
        <v>887.95799999999997</v>
      </c>
      <c r="M58" s="56">
        <v>887.95799999999997</v>
      </c>
      <c r="N58" s="4">
        <v>887.95799999999997</v>
      </c>
      <c r="O58" s="56">
        <v>887.95799999999997</v>
      </c>
      <c r="P58" s="4">
        <v>0</v>
      </c>
      <c r="Q58" s="3" t="s">
        <v>26</v>
      </c>
      <c r="R58" s="3">
        <v>0</v>
      </c>
      <c r="S58" s="3">
        <v>5</v>
      </c>
      <c r="T58" s="3">
        <v>6</v>
      </c>
      <c r="U58" s="3">
        <v>87</v>
      </c>
      <c r="V58" s="56">
        <f>IF(ISERROR(VLOOKUP($S$58,'TAR FIN'!$A$1:$O$113,15,0)),0,VLOOKUP($S$58,'TAR FIN'!$A$1:$O$113,15,0))*(1-0.04)</f>
        <v>11.1264</v>
      </c>
      <c r="W58" s="56">
        <f>IF(ISERROR(VLOOKUP($T$58,'TAR FIN'!$A$1:$O$113,15,0)),0,VLOOKUP($T$58,'TAR FIN'!$A$1:$O$113,15,0))*(1-0.04)</f>
        <v>34.425599999999996</v>
      </c>
      <c r="X58" s="56">
        <f>IF(ISERROR(VLOOKUP($U$58,'TAR FIN'!$A$1:$O$113,15,0)),0,VLOOKUP($U$58,'TAR FIN'!$A$1:$O$113,15,0))*(1-0.04)</f>
        <v>213.41759999999999</v>
      </c>
      <c r="Y58" s="56">
        <f ca="1">('TUSD BE'!$AM$6+'TUSD BF'!$AM$6+'TUSD CVA'!$AM$6)*1*(1-0.02)</f>
        <v>10.722888984558214</v>
      </c>
      <c r="Z58" s="56">
        <f ca="1">('TUSD BE'!$AM$7+'TUSD BF'!$AM$7+'TUSD CVA'!$AM$7)*1*(1-0.02)</f>
        <v>45.027127482009618</v>
      </c>
      <c r="AA58" s="56">
        <f>('TE BE'!$AA$6+'TE BF'!$AA$6+'TE CVA'!$AA$6)*1*(1-0.02)</f>
        <v>218.68270575803808</v>
      </c>
      <c r="AB58" s="56">
        <f>(SUBSIDIO!$J$58*SUBSIDIO!$V$58)*(0.04)/(1-0.04)</f>
        <v>1757.9712000000002</v>
      </c>
      <c r="AC58" s="56">
        <f>((SUBSIDIO!$L$58*SUBSIDIO!$W$58)+(SUBSIDIO!$N$58*SUBSIDIO!$X$58))*(0.04)/(1-0.04)</f>
        <v>9169.7646743999994</v>
      </c>
      <c r="AD58" s="56">
        <f ca="1">(SUBSIDIO!$J$58*SUBSIDIO!$Y$58)*(0.02)/(1-0.02)</f>
        <v>829.82030672336214</v>
      </c>
      <c r="AE58" s="56">
        <f ca="1">((SUBSIDIO!$L$58*SUBSIDIO!$Z$58)+(SUBSIDIO!$N$58*SUBSIDIO!$AA$58))*(0.02)/(1-0.02)</f>
        <v>4778.8419613095166</v>
      </c>
      <c r="AF58" s="3" t="s">
        <v>1023</v>
      </c>
    </row>
    <row r="59" spans="1:32" ht="11.25" customHeight="1" x14ac:dyDescent="0.25">
      <c r="A59" s="3" t="s">
        <v>21</v>
      </c>
      <c r="B59" s="3" t="s">
        <v>39</v>
      </c>
      <c r="C59" s="3" t="s">
        <v>40</v>
      </c>
      <c r="D59" s="3" t="s">
        <v>45</v>
      </c>
      <c r="E59" s="3" t="s">
        <v>53</v>
      </c>
      <c r="F59" s="3" t="s">
        <v>25</v>
      </c>
      <c r="G59" s="3" t="s">
        <v>25</v>
      </c>
      <c r="H59" s="3" t="s">
        <v>35</v>
      </c>
      <c r="I59" s="6">
        <v>44501</v>
      </c>
      <c r="J59" s="4">
        <v>4536</v>
      </c>
      <c r="K59" s="56">
        <v>4536</v>
      </c>
      <c r="L59" s="4">
        <v>1033.596</v>
      </c>
      <c r="M59" s="56">
        <v>1033.596</v>
      </c>
      <c r="N59" s="4">
        <v>1033.596</v>
      </c>
      <c r="O59" s="56">
        <v>1033.596</v>
      </c>
      <c r="P59" s="4">
        <v>0</v>
      </c>
      <c r="Q59" s="3" t="s">
        <v>26</v>
      </c>
      <c r="R59" s="3">
        <v>0</v>
      </c>
      <c r="S59" s="3">
        <v>5</v>
      </c>
      <c r="T59" s="3">
        <v>6</v>
      </c>
      <c r="U59" s="3">
        <v>87</v>
      </c>
      <c r="V59" s="56">
        <f>IF(ISERROR(VLOOKUP($S$59,'TAR FIN'!$A$1:$O$113,15,0)),0,VLOOKUP($S$59,'TAR FIN'!$A$1:$O$113,15,0))*(1-0.04)</f>
        <v>11.1264</v>
      </c>
      <c r="W59" s="56">
        <f>IF(ISERROR(VLOOKUP($T$59,'TAR FIN'!$A$1:$O$113,15,0)),0,VLOOKUP($T$59,'TAR FIN'!$A$1:$O$113,15,0))*(1-0.04)</f>
        <v>34.425599999999996</v>
      </c>
      <c r="X59" s="56">
        <f>IF(ISERROR(VLOOKUP($U$59,'TAR FIN'!$A$1:$O$113,15,0)),0,VLOOKUP($U$59,'TAR FIN'!$A$1:$O$113,15,0))*(1-0.04)</f>
        <v>213.41759999999999</v>
      </c>
      <c r="Y59" s="56">
        <f ca="1">('TUSD BE'!$AM$6+'TUSD BF'!$AM$6+'TUSD CVA'!$AM$6)*1*(1-0.02)</f>
        <v>10.722888984558214</v>
      </c>
      <c r="Z59" s="56">
        <f ca="1">('TUSD BE'!$AM$7+'TUSD BF'!$AM$7+'TUSD CVA'!$AM$7)*1*(1-0.02)</f>
        <v>45.027127482009618</v>
      </c>
      <c r="AA59" s="56">
        <f>('TE BE'!$AA$6+'TE BF'!$AA$6+'TE CVA'!$AA$6)*1*(1-0.02)</f>
        <v>218.68270575803808</v>
      </c>
      <c r="AB59" s="56">
        <f>(SUBSIDIO!$J$59*SUBSIDIO!$V$59)*(0.04)/(1-0.04)</f>
        <v>2102.8896</v>
      </c>
      <c r="AC59" s="56">
        <f>((SUBSIDIO!$L$59*SUBSIDIO!$W$59)+(SUBSIDIO!$N$59*SUBSIDIO!$X$59))*(0.04)/(1-0.04)</f>
        <v>10673.7391728</v>
      </c>
      <c r="AD59" s="56">
        <f ca="1">(SUBSIDIO!$J$59*SUBSIDIO!$Y$59)*(0.02)/(1-0.02)</f>
        <v>992.633151713389</v>
      </c>
      <c r="AE59" s="56">
        <f ca="1">((SUBSIDIO!$L$59*SUBSIDIO!$Z$59)+(SUBSIDIO!$N$59*SUBSIDIO!$AA$59))*(0.02)/(1-0.02)</f>
        <v>5562.6414040322516</v>
      </c>
      <c r="AF59" s="3" t="s">
        <v>1023</v>
      </c>
    </row>
    <row r="60" spans="1:32" ht="11.25" customHeight="1" x14ac:dyDescent="0.25">
      <c r="A60" s="3" t="s">
        <v>21</v>
      </c>
      <c r="B60" s="3" t="s">
        <v>39</v>
      </c>
      <c r="C60" s="3" t="s">
        <v>40</v>
      </c>
      <c r="D60" s="3" t="s">
        <v>45</v>
      </c>
      <c r="E60" s="3" t="s">
        <v>53</v>
      </c>
      <c r="F60" s="3" t="s">
        <v>25</v>
      </c>
      <c r="G60" s="3" t="s">
        <v>25</v>
      </c>
      <c r="H60" s="3" t="s">
        <v>35</v>
      </c>
      <c r="I60" s="6">
        <v>44531</v>
      </c>
      <c r="J60" s="4">
        <v>4560</v>
      </c>
      <c r="K60" s="56">
        <v>4560</v>
      </c>
      <c r="L60" s="4">
        <v>696.81</v>
      </c>
      <c r="M60" s="56">
        <v>696.81</v>
      </c>
      <c r="N60" s="4">
        <v>696.81</v>
      </c>
      <c r="O60" s="56">
        <v>696.81</v>
      </c>
      <c r="P60" s="4">
        <v>0</v>
      </c>
      <c r="Q60" s="3" t="s">
        <v>26</v>
      </c>
      <c r="R60" s="3">
        <v>0</v>
      </c>
      <c r="S60" s="3">
        <v>5</v>
      </c>
      <c r="T60" s="3">
        <v>6</v>
      </c>
      <c r="U60" s="3">
        <v>87</v>
      </c>
      <c r="V60" s="56">
        <f>IF(ISERROR(VLOOKUP($S$60,'TAR FIN'!$A$1:$O$113,15,0)),0,VLOOKUP($S$60,'TAR FIN'!$A$1:$O$113,15,0))*(1-0.04)</f>
        <v>11.1264</v>
      </c>
      <c r="W60" s="56">
        <f>IF(ISERROR(VLOOKUP($T$60,'TAR FIN'!$A$1:$O$113,15,0)),0,VLOOKUP($T$60,'TAR FIN'!$A$1:$O$113,15,0))*(1-0.04)</f>
        <v>34.425599999999996</v>
      </c>
      <c r="X60" s="56">
        <f>IF(ISERROR(VLOOKUP($U$60,'TAR FIN'!$A$1:$O$113,15,0)),0,VLOOKUP($U$60,'TAR FIN'!$A$1:$O$113,15,0))*(1-0.04)</f>
        <v>213.41759999999999</v>
      </c>
      <c r="Y60" s="56">
        <f ca="1">('TUSD BE'!$AM$6+'TUSD BF'!$AM$6+'TUSD CVA'!$AM$6)*1*(1-0.02)</f>
        <v>10.722888984558214</v>
      </c>
      <c r="Z60" s="56">
        <f ca="1">('TUSD BE'!$AM$7+'TUSD BF'!$AM$7+'TUSD CVA'!$AM$7)*1*(1-0.02)</f>
        <v>45.027127482009618</v>
      </c>
      <c r="AA60" s="56">
        <f>('TE BE'!$AA$6+'TE BF'!$AA$6+'TE CVA'!$AA$6)*1*(1-0.02)</f>
        <v>218.68270575803808</v>
      </c>
      <c r="AB60" s="56">
        <f>(SUBSIDIO!$J$60*SUBSIDIO!$V$60)*(0.04)/(1-0.04)</f>
        <v>2114.0160000000001</v>
      </c>
      <c r="AC60" s="56">
        <f>((SUBSIDIO!$L$60*SUBSIDIO!$W$60)+(SUBSIDIO!$N$60*SUBSIDIO!$X$60))*(0.04)/(1-0.04)</f>
        <v>7195.8175080000001</v>
      </c>
      <c r="AD60" s="56">
        <f ca="1">(SUBSIDIO!$J$60*SUBSIDIO!$Y$60)*(0.02)/(1-0.02)</f>
        <v>997.88517897113184</v>
      </c>
      <c r="AE60" s="56">
        <f ca="1">((SUBSIDIO!$L$60*SUBSIDIO!$Z$60)+(SUBSIDIO!$N$60*SUBSIDIO!$AA$60))*(0.02)/(1-0.02)</f>
        <v>3750.1152836734209</v>
      </c>
      <c r="AF60" s="3" t="s">
        <v>1023</v>
      </c>
    </row>
    <row r="61" spans="1:32" ht="11.25" customHeight="1" x14ac:dyDescent="0.25">
      <c r="A61" s="3" t="s">
        <v>21</v>
      </c>
      <c r="B61" s="3" t="s">
        <v>39</v>
      </c>
      <c r="C61" s="3" t="s">
        <v>40</v>
      </c>
      <c r="D61" s="3" t="s">
        <v>45</v>
      </c>
      <c r="E61" s="3" t="s">
        <v>53</v>
      </c>
      <c r="F61" s="3" t="s">
        <v>25</v>
      </c>
      <c r="G61" s="3" t="s">
        <v>25</v>
      </c>
      <c r="H61" s="3" t="s">
        <v>35</v>
      </c>
      <c r="I61" s="6">
        <v>44562</v>
      </c>
      <c r="J61" s="4">
        <v>453</v>
      </c>
      <c r="K61" s="56">
        <v>453</v>
      </c>
      <c r="L61" s="4">
        <v>518.57899999999995</v>
      </c>
      <c r="M61" s="56">
        <v>518.57899999999995</v>
      </c>
      <c r="N61" s="4">
        <v>518.57899999999995</v>
      </c>
      <c r="O61" s="56">
        <v>518.57899999999995</v>
      </c>
      <c r="P61" s="4">
        <v>0</v>
      </c>
      <c r="Q61" s="3" t="s">
        <v>26</v>
      </c>
      <c r="R61" s="3">
        <v>0</v>
      </c>
      <c r="S61" s="3">
        <v>5</v>
      </c>
      <c r="T61" s="3">
        <v>6</v>
      </c>
      <c r="U61" s="3">
        <v>87</v>
      </c>
      <c r="V61" s="56">
        <f>IF(ISERROR(VLOOKUP($S$61,'TAR FIN'!$A$1:$O$113,15,0)),0,VLOOKUP($S$61,'TAR FIN'!$A$1:$O$113,15,0))*(1-0.04)</f>
        <v>11.1264</v>
      </c>
      <c r="W61" s="56">
        <f>IF(ISERROR(VLOOKUP($T$61,'TAR FIN'!$A$1:$O$113,15,0)),0,VLOOKUP($T$61,'TAR FIN'!$A$1:$O$113,15,0))*(1-0.04)</f>
        <v>34.425599999999996</v>
      </c>
      <c r="X61" s="56">
        <f>IF(ISERROR(VLOOKUP($U$61,'TAR FIN'!$A$1:$O$113,15,0)),0,VLOOKUP($U$61,'TAR FIN'!$A$1:$O$113,15,0))*(1-0.04)</f>
        <v>213.41759999999999</v>
      </c>
      <c r="Y61" s="56">
        <f ca="1">('TUSD BE'!$AM$6+'TUSD BF'!$AM$6+'TUSD CVA'!$AM$6)*1*(1-0.02)</f>
        <v>10.722888984558214</v>
      </c>
      <c r="Z61" s="56">
        <f ca="1">('TUSD BE'!$AM$7+'TUSD BF'!$AM$7+'TUSD CVA'!$AM$7)*1*(1-0.02)</f>
        <v>45.027127482009618</v>
      </c>
      <c r="AA61" s="56">
        <f>('TE BE'!$AA$6+'TE BF'!$AA$6+'TE CVA'!$AA$6)*1*(1-0.02)</f>
        <v>218.68270575803808</v>
      </c>
      <c r="AB61" s="56">
        <f>(SUBSIDIO!$J$61*SUBSIDIO!$V$61)*(0.04)/(1-0.04)</f>
        <v>210.01080000000002</v>
      </c>
      <c r="AC61" s="56">
        <f>((SUBSIDIO!$L$61*SUBSIDIO!$W$61)+(SUBSIDIO!$N$61*SUBSIDIO!$X$61))*(0.04)/(1-0.04)</f>
        <v>5355.2616171999989</v>
      </c>
      <c r="AD61" s="56">
        <f ca="1">(SUBSIDIO!$J$61*SUBSIDIO!$Y$61)*(0.02)/(1-0.02)</f>
        <v>99.132014489895326</v>
      </c>
      <c r="AE61" s="56">
        <f ca="1">((SUBSIDIO!$L$61*SUBSIDIO!$Z$61)+(SUBSIDIO!$N$61*SUBSIDIO!$AA$61))*(0.02)/(1-0.02)</f>
        <v>2790.9057471794017</v>
      </c>
      <c r="AF61" s="3" t="s">
        <v>1023</v>
      </c>
    </row>
    <row r="62" spans="1:32" ht="11.25" customHeight="1" x14ac:dyDescent="0.25">
      <c r="A62" s="3" t="s">
        <v>21</v>
      </c>
      <c r="B62" s="3" t="s">
        <v>39</v>
      </c>
      <c r="C62" s="3" t="s">
        <v>40</v>
      </c>
      <c r="D62" s="3" t="s">
        <v>45</v>
      </c>
      <c r="E62" s="3" t="s">
        <v>53</v>
      </c>
      <c r="F62" s="3" t="s">
        <v>25</v>
      </c>
      <c r="G62" s="3" t="s">
        <v>25</v>
      </c>
      <c r="H62" s="3" t="s">
        <v>35</v>
      </c>
      <c r="I62" s="6">
        <v>44593</v>
      </c>
      <c r="J62" s="4">
        <v>3816</v>
      </c>
      <c r="K62" s="56">
        <v>3816</v>
      </c>
      <c r="L62" s="4">
        <v>1235.4000000000001</v>
      </c>
      <c r="M62" s="56">
        <v>1235.4000000000001</v>
      </c>
      <c r="N62" s="4">
        <v>1235.4000000000001</v>
      </c>
      <c r="O62" s="56">
        <v>1235.4000000000001</v>
      </c>
      <c r="P62" s="4">
        <v>0</v>
      </c>
      <c r="Q62" s="3" t="s">
        <v>26</v>
      </c>
      <c r="R62" s="3">
        <v>0</v>
      </c>
      <c r="S62" s="3">
        <v>5</v>
      </c>
      <c r="T62" s="3">
        <v>6</v>
      </c>
      <c r="U62" s="3">
        <v>87</v>
      </c>
      <c r="V62" s="56">
        <f>IF(ISERROR(VLOOKUP($S$62,'TAR FIN'!$A$1:$O$113,15,0)),0,VLOOKUP($S$62,'TAR FIN'!$A$1:$O$113,15,0))*(1-0.04)</f>
        <v>11.1264</v>
      </c>
      <c r="W62" s="56">
        <f>IF(ISERROR(VLOOKUP($T$62,'TAR FIN'!$A$1:$O$113,15,0)),0,VLOOKUP($T$62,'TAR FIN'!$A$1:$O$113,15,0))*(1-0.04)</f>
        <v>34.425599999999996</v>
      </c>
      <c r="X62" s="56">
        <f>IF(ISERROR(VLOOKUP($U$62,'TAR FIN'!$A$1:$O$113,15,0)),0,VLOOKUP($U$62,'TAR FIN'!$A$1:$O$113,15,0))*(1-0.04)</f>
        <v>213.41759999999999</v>
      </c>
      <c r="Y62" s="56">
        <f ca="1">('TUSD BE'!$AM$6+'TUSD BF'!$AM$6+'TUSD CVA'!$AM$6)*1*(1-0.02)</f>
        <v>10.722888984558214</v>
      </c>
      <c r="Z62" s="56">
        <f ca="1">('TUSD BE'!$AM$7+'TUSD BF'!$AM$7+'TUSD CVA'!$AM$7)*1*(1-0.02)</f>
        <v>45.027127482009618</v>
      </c>
      <c r="AA62" s="56">
        <f>('TE BE'!$AA$6+'TE BF'!$AA$6+'TE CVA'!$AA$6)*1*(1-0.02)</f>
        <v>218.68270575803808</v>
      </c>
      <c r="AB62" s="56">
        <f>(SUBSIDIO!$J$62*SUBSIDIO!$V$62)*(0.04)/(1-0.04)</f>
        <v>1769.0976000000003</v>
      </c>
      <c r="AC62" s="56">
        <f>((SUBSIDIO!$L$62*SUBSIDIO!$W$62)+(SUBSIDIO!$N$62*SUBSIDIO!$X$62))*(0.04)/(1-0.04)</f>
        <v>12757.728720000003</v>
      </c>
      <c r="AD62" s="56">
        <f ca="1">(SUBSIDIO!$J$62*SUBSIDIO!$Y$62)*(0.02)/(1-0.02)</f>
        <v>835.07233398110498</v>
      </c>
      <c r="AE62" s="56">
        <f ca="1">((SUBSIDIO!$L$62*SUBSIDIO!$Z$62)+(SUBSIDIO!$N$62*SUBSIDIO!$AA$62))*(0.02)/(1-0.02)</f>
        <v>6648.7168976480598</v>
      </c>
      <c r="AF62" s="3" t="s">
        <v>1023</v>
      </c>
    </row>
    <row r="63" spans="1:32" ht="11.25" customHeight="1" x14ac:dyDescent="0.25">
      <c r="A63" s="3" t="s">
        <v>56</v>
      </c>
      <c r="B63" s="3" t="s">
        <v>39</v>
      </c>
      <c r="C63" s="3" t="s">
        <v>40</v>
      </c>
      <c r="D63" s="3" t="s">
        <v>45</v>
      </c>
      <c r="E63" s="3" t="s">
        <v>53</v>
      </c>
      <c r="F63" s="3" t="s">
        <v>25</v>
      </c>
      <c r="G63" s="3" t="s">
        <v>25</v>
      </c>
      <c r="H63" s="3" t="s">
        <v>35</v>
      </c>
      <c r="I63" s="6">
        <v>44621</v>
      </c>
      <c r="J63" s="4">
        <v>3816</v>
      </c>
      <c r="K63" s="56">
        <v>3816</v>
      </c>
      <c r="L63" s="4">
        <v>1235.4000000000001</v>
      </c>
      <c r="M63" s="56">
        <v>1235.4000000000001</v>
      </c>
      <c r="N63" s="4">
        <v>1235.4000000000001</v>
      </c>
      <c r="O63" s="56">
        <v>1235.4000000000001</v>
      </c>
      <c r="P63" s="4">
        <v>0</v>
      </c>
      <c r="Q63" s="3" t="s">
        <v>26</v>
      </c>
      <c r="R63" s="3">
        <v>0</v>
      </c>
      <c r="S63" s="3">
        <v>5</v>
      </c>
      <c r="T63" s="3">
        <v>6</v>
      </c>
      <c r="U63" s="3">
        <v>87</v>
      </c>
      <c r="V63" s="56">
        <f>IF(ISERROR(VLOOKUP($S$63,'TAR FIN'!$A$1:$O$113,15,0)),0,VLOOKUP($S$63,'TAR FIN'!$A$1:$O$113,15,0))*(1-0.04)</f>
        <v>11.1264</v>
      </c>
      <c r="W63" s="56">
        <f>IF(ISERROR(VLOOKUP($T$63,'TAR FIN'!$A$1:$O$113,15,0)),0,VLOOKUP($T$63,'TAR FIN'!$A$1:$O$113,15,0))*(1-0.04)</f>
        <v>34.425599999999996</v>
      </c>
      <c r="X63" s="56">
        <f>IF(ISERROR(VLOOKUP($U$63,'TAR FIN'!$A$1:$O$113,15,0)),0,VLOOKUP($U$63,'TAR FIN'!$A$1:$O$113,15,0))*(1-0.04)</f>
        <v>213.41759999999999</v>
      </c>
      <c r="Y63" s="56">
        <f ca="1">('TUSD BE'!$AM$6+'TUSD BF'!$AM$6+'TUSD CVA'!$AM$6)*1*(1-0.02)</f>
        <v>10.722888984558214</v>
      </c>
      <c r="Z63" s="56">
        <f ca="1">('TUSD BE'!$AM$7+'TUSD BF'!$AM$7+'TUSD CVA'!$AM$7)*1*(1-0.02)</f>
        <v>45.027127482009618</v>
      </c>
      <c r="AA63" s="56">
        <f>('TE BE'!$AA$6+'TE BF'!$AA$6+'TE CVA'!$AA$6)*1*(1-0.02)</f>
        <v>218.68270575803808</v>
      </c>
      <c r="AB63" s="56">
        <f>(SUBSIDIO!$J$63*SUBSIDIO!$V$63)*(0.04)/(1-0.04)</f>
        <v>1769.0976000000003</v>
      </c>
      <c r="AC63" s="56">
        <f>((SUBSIDIO!$L$63*SUBSIDIO!$W$63)+(SUBSIDIO!$N$63*SUBSIDIO!$X$63))*(0.04)/(1-0.04)</f>
        <v>12757.728720000003</v>
      </c>
      <c r="AD63" s="56">
        <f ca="1">(SUBSIDIO!$J$63*SUBSIDIO!$Y$63)*(0.02)/(1-0.02)</f>
        <v>835.07233398110498</v>
      </c>
      <c r="AE63" s="56">
        <f ca="1">((SUBSIDIO!$L$63*SUBSIDIO!$Z$63)+(SUBSIDIO!$N$63*SUBSIDIO!$AA$63))*(0.02)/(1-0.02)</f>
        <v>6648.7168976480598</v>
      </c>
      <c r="AF63" s="3" t="s">
        <v>1023</v>
      </c>
    </row>
    <row r="64" spans="1:32" ht="11.25" customHeight="1" x14ac:dyDescent="0.25">
      <c r="A64" s="3" t="s">
        <v>21</v>
      </c>
      <c r="B64" s="3" t="s">
        <v>39</v>
      </c>
      <c r="C64" s="3" t="s">
        <v>40</v>
      </c>
      <c r="D64" s="3" t="s">
        <v>45</v>
      </c>
      <c r="E64" s="3" t="s">
        <v>53</v>
      </c>
      <c r="F64" s="3" t="s">
        <v>25</v>
      </c>
      <c r="G64" s="3" t="s">
        <v>25</v>
      </c>
      <c r="H64" s="3" t="s">
        <v>34</v>
      </c>
      <c r="I64" s="6">
        <v>44287</v>
      </c>
      <c r="J64" s="4">
        <v>24</v>
      </c>
      <c r="K64" s="56">
        <v>24</v>
      </c>
      <c r="L64" s="4">
        <v>1.1160000000000001</v>
      </c>
      <c r="M64" s="56">
        <v>1.1160000000000001</v>
      </c>
      <c r="N64" s="4">
        <v>1.1160000000000001</v>
      </c>
      <c r="O64" s="56">
        <v>1.1160000000000001</v>
      </c>
      <c r="P64" s="4">
        <v>0</v>
      </c>
      <c r="Q64" s="3" t="s">
        <v>26</v>
      </c>
      <c r="R64" s="3">
        <v>0</v>
      </c>
      <c r="S64" s="3">
        <v>4</v>
      </c>
      <c r="T64" s="3">
        <v>6</v>
      </c>
      <c r="U64" s="3">
        <v>86</v>
      </c>
      <c r="V64" s="56">
        <f>IF(ISERROR(VLOOKUP($S$64,'TAR FIN'!$A$1:$O$113,15,0)),0,VLOOKUP($S$64,'TAR FIN'!$A$1:$O$113,15,0))*(1-0.04)</f>
        <v>27.206399999999999</v>
      </c>
      <c r="W64" s="56">
        <f>IF(ISERROR(VLOOKUP($T$64,'TAR FIN'!$A$1:$O$113,15,0)),0,VLOOKUP($T$64,'TAR FIN'!$A$1:$O$113,15,0))*(1-0.04)</f>
        <v>34.425599999999996</v>
      </c>
      <c r="X64" s="56">
        <f>IF(ISERROR(VLOOKUP($U$64,'TAR FIN'!$A$1:$O$113,15,0)),0,VLOOKUP($U$64,'TAR FIN'!$A$1:$O$113,15,0))*(1-0.04)</f>
        <v>350.88</v>
      </c>
      <c r="Y64" s="56">
        <f ca="1">('TUSD BE'!$AM$5+'TUSD BF'!$AM$5+'TUSD CVA'!$AM$5)*1*(1-0.02)</f>
        <v>30.705246366813903</v>
      </c>
      <c r="Z64" s="56">
        <f ca="1">('TUSD BE'!$AM$7+'TUSD BF'!$AM$7+'TUSD CVA'!$AM$7)*1*(1-0.02)</f>
        <v>45.027127482009618</v>
      </c>
      <c r="AA64" s="56">
        <f>('TE BE'!$AA$5+'TE BF'!$AA$5+'TE CVA'!$AA$5)*1*(1-0.02)</f>
        <v>354.31913150043306</v>
      </c>
      <c r="AB64" s="56">
        <f>(SUBSIDIO!$J$64*SUBSIDIO!$V$64)*(0.04)/(1-0.04)</f>
        <v>27.206399999999999</v>
      </c>
      <c r="AC64" s="56">
        <f>((SUBSIDIO!$L$64*SUBSIDIO!$W$64)+(SUBSIDIO!$N$64*SUBSIDIO!$X$64))*(0.04)/(1-0.04)</f>
        <v>17.916710399999999</v>
      </c>
      <c r="AD64" s="56">
        <f ca="1">(SUBSIDIO!$J$64*SUBSIDIO!$Y$64)*(0.02)/(1-0.02)</f>
        <v>15.03930434292926</v>
      </c>
      <c r="AE64" s="56">
        <f ca="1">((SUBSIDIO!$L$64*SUBSIDIO!$Z$64)+(SUBSIDIO!$N$64*SUBSIDIO!$AA$64))*(0.02)/(1-0.02)</f>
        <v>9.0953147964164494</v>
      </c>
      <c r="AF64" s="3" t="s">
        <v>1023</v>
      </c>
    </row>
    <row r="65" spans="1:32" ht="11.25" customHeight="1" x14ac:dyDescent="0.25">
      <c r="A65" s="3" t="s">
        <v>21</v>
      </c>
      <c r="B65" s="3" t="s">
        <v>39</v>
      </c>
      <c r="C65" s="3" t="s">
        <v>40</v>
      </c>
      <c r="D65" s="3" t="s">
        <v>45</v>
      </c>
      <c r="E65" s="3" t="s">
        <v>53</v>
      </c>
      <c r="F65" s="3" t="s">
        <v>25</v>
      </c>
      <c r="G65" s="3" t="s">
        <v>25</v>
      </c>
      <c r="H65" s="3" t="s">
        <v>34</v>
      </c>
      <c r="I65" s="6">
        <v>44317</v>
      </c>
      <c r="J65" s="4">
        <v>24</v>
      </c>
      <c r="K65" s="56">
        <v>24</v>
      </c>
      <c r="L65" s="4">
        <v>1.0920000000000001</v>
      </c>
      <c r="M65" s="56">
        <v>1.0920000000000001</v>
      </c>
      <c r="N65" s="4">
        <v>1.0920000000000001</v>
      </c>
      <c r="O65" s="56">
        <v>1.0920000000000001</v>
      </c>
      <c r="P65" s="4">
        <v>0</v>
      </c>
      <c r="Q65" s="3" t="s">
        <v>26</v>
      </c>
      <c r="R65" s="3">
        <v>0</v>
      </c>
      <c r="S65" s="3">
        <v>4</v>
      </c>
      <c r="T65" s="3">
        <v>6</v>
      </c>
      <c r="U65" s="3">
        <v>86</v>
      </c>
      <c r="V65" s="56">
        <f>IF(ISERROR(VLOOKUP($S$65,'TAR FIN'!$A$1:$O$113,15,0)),0,VLOOKUP($S$65,'TAR FIN'!$A$1:$O$113,15,0))*(1-0.04)</f>
        <v>27.206399999999999</v>
      </c>
      <c r="W65" s="56">
        <f>IF(ISERROR(VLOOKUP($T$65,'TAR FIN'!$A$1:$O$113,15,0)),0,VLOOKUP($T$65,'TAR FIN'!$A$1:$O$113,15,0))*(1-0.04)</f>
        <v>34.425599999999996</v>
      </c>
      <c r="X65" s="56">
        <f>IF(ISERROR(VLOOKUP($U$65,'TAR FIN'!$A$1:$O$113,15,0)),0,VLOOKUP($U$65,'TAR FIN'!$A$1:$O$113,15,0))*(1-0.04)</f>
        <v>350.88</v>
      </c>
      <c r="Y65" s="56">
        <f ca="1">('TUSD BE'!$AM$5+'TUSD BF'!$AM$5+'TUSD CVA'!$AM$5)*1*(1-0.02)</f>
        <v>30.705246366813903</v>
      </c>
      <c r="Z65" s="56">
        <f ca="1">('TUSD BE'!$AM$7+'TUSD BF'!$AM$7+'TUSD CVA'!$AM$7)*1*(1-0.02)</f>
        <v>45.027127482009618</v>
      </c>
      <c r="AA65" s="56">
        <f>('TE BE'!$AA$5+'TE BF'!$AA$5+'TE CVA'!$AA$5)*1*(1-0.02)</f>
        <v>354.31913150043306</v>
      </c>
      <c r="AB65" s="56">
        <f>(SUBSIDIO!$J$65*SUBSIDIO!$V$65)*(0.04)/(1-0.04)</f>
        <v>27.206399999999999</v>
      </c>
      <c r="AC65" s="56">
        <f>((SUBSIDIO!$L$65*SUBSIDIO!$W$65)+(SUBSIDIO!$N$65*SUBSIDIO!$X$65))*(0.04)/(1-0.04)</f>
        <v>17.531404800000004</v>
      </c>
      <c r="AD65" s="56">
        <f ca="1">(SUBSIDIO!$J$65*SUBSIDIO!$Y$65)*(0.02)/(1-0.02)</f>
        <v>15.03930434292926</v>
      </c>
      <c r="AE65" s="56">
        <f ca="1">((SUBSIDIO!$L$65*SUBSIDIO!$Z$65)+(SUBSIDIO!$N$65*SUBSIDIO!$AA$65))*(0.02)/(1-0.02)</f>
        <v>8.8997166287515821</v>
      </c>
      <c r="AF65" s="3" t="s">
        <v>1023</v>
      </c>
    </row>
    <row r="66" spans="1:32" ht="11.25" customHeight="1" x14ac:dyDescent="0.25">
      <c r="A66" s="3" t="s">
        <v>21</v>
      </c>
      <c r="B66" s="3" t="s">
        <v>39</v>
      </c>
      <c r="C66" s="3" t="s">
        <v>40</v>
      </c>
      <c r="D66" s="3" t="s">
        <v>45</v>
      </c>
      <c r="E66" s="3" t="s">
        <v>53</v>
      </c>
      <c r="F66" s="3" t="s">
        <v>25</v>
      </c>
      <c r="G66" s="3" t="s">
        <v>25</v>
      </c>
      <c r="H66" s="3" t="s">
        <v>34</v>
      </c>
      <c r="I66" s="6">
        <v>44348</v>
      </c>
      <c r="J66" s="4">
        <v>24</v>
      </c>
      <c r="K66" s="56">
        <v>24</v>
      </c>
      <c r="L66" s="4">
        <v>1.08</v>
      </c>
      <c r="M66" s="56">
        <v>1.08</v>
      </c>
      <c r="N66" s="4">
        <v>1.08</v>
      </c>
      <c r="O66" s="56">
        <v>1.08</v>
      </c>
      <c r="P66" s="4">
        <v>0</v>
      </c>
      <c r="Q66" s="3" t="s">
        <v>26</v>
      </c>
      <c r="R66" s="3">
        <v>0</v>
      </c>
      <c r="S66" s="3">
        <v>4</v>
      </c>
      <c r="T66" s="3">
        <v>6</v>
      </c>
      <c r="U66" s="3">
        <v>86</v>
      </c>
      <c r="V66" s="56">
        <f>IF(ISERROR(VLOOKUP($S$66,'TAR FIN'!$A$1:$O$113,15,0)),0,VLOOKUP($S$66,'TAR FIN'!$A$1:$O$113,15,0))*(1-0.04)</f>
        <v>27.206399999999999</v>
      </c>
      <c r="W66" s="56">
        <f>IF(ISERROR(VLOOKUP($T$66,'TAR FIN'!$A$1:$O$113,15,0)),0,VLOOKUP($T$66,'TAR FIN'!$A$1:$O$113,15,0))*(1-0.04)</f>
        <v>34.425599999999996</v>
      </c>
      <c r="X66" s="56">
        <f>IF(ISERROR(VLOOKUP($U$66,'TAR FIN'!$A$1:$O$113,15,0)),0,VLOOKUP($U$66,'TAR FIN'!$A$1:$O$113,15,0))*(1-0.04)</f>
        <v>350.88</v>
      </c>
      <c r="Y66" s="56">
        <f ca="1">('TUSD BE'!$AM$5+'TUSD BF'!$AM$5+'TUSD CVA'!$AM$5)*1*(1-0.02)</f>
        <v>30.705246366813903</v>
      </c>
      <c r="Z66" s="56">
        <f ca="1">('TUSD BE'!$AM$7+'TUSD BF'!$AM$7+'TUSD CVA'!$AM$7)*1*(1-0.02)</f>
        <v>45.027127482009618</v>
      </c>
      <c r="AA66" s="56">
        <f>('TE BE'!$AA$5+'TE BF'!$AA$5+'TE CVA'!$AA$5)*1*(1-0.02)</f>
        <v>354.31913150043306</v>
      </c>
      <c r="AB66" s="56">
        <f>(SUBSIDIO!$J$66*SUBSIDIO!$V$66)*(0.04)/(1-0.04)</f>
        <v>27.206399999999999</v>
      </c>
      <c r="AC66" s="56">
        <f>((SUBSIDIO!$L$66*SUBSIDIO!$W$66)+(SUBSIDIO!$N$66*SUBSIDIO!$X$66))*(0.04)/(1-0.04)</f>
        <v>17.338751999999999</v>
      </c>
      <c r="AD66" s="56">
        <f ca="1">(SUBSIDIO!$J$66*SUBSIDIO!$Y$66)*(0.02)/(1-0.02)</f>
        <v>15.03930434292926</v>
      </c>
      <c r="AE66" s="56">
        <f ca="1">((SUBSIDIO!$L$66*SUBSIDIO!$Z$66)+(SUBSIDIO!$N$66*SUBSIDIO!$AA$66))*(0.02)/(1-0.02)</f>
        <v>8.8019175449191458</v>
      </c>
      <c r="AF66" s="3" t="s">
        <v>1023</v>
      </c>
    </row>
    <row r="67" spans="1:32" ht="11.25" customHeight="1" x14ac:dyDescent="0.25">
      <c r="A67" s="3" t="s">
        <v>21</v>
      </c>
      <c r="B67" s="3" t="s">
        <v>39</v>
      </c>
      <c r="C67" s="3" t="s">
        <v>40</v>
      </c>
      <c r="D67" s="3" t="s">
        <v>45</v>
      </c>
      <c r="E67" s="3" t="s">
        <v>53</v>
      </c>
      <c r="F67" s="3" t="s">
        <v>25</v>
      </c>
      <c r="G67" s="3" t="s">
        <v>25</v>
      </c>
      <c r="H67" s="3" t="s">
        <v>34</v>
      </c>
      <c r="I67" s="6">
        <v>44378</v>
      </c>
      <c r="J67" s="4">
        <v>24</v>
      </c>
      <c r="K67" s="56">
        <v>24</v>
      </c>
      <c r="L67" s="4">
        <v>1.1759999999999999</v>
      </c>
      <c r="M67" s="56">
        <v>1.1759999999999999</v>
      </c>
      <c r="N67" s="4">
        <v>1.1759999999999999</v>
      </c>
      <c r="O67" s="56">
        <v>1.1759999999999999</v>
      </c>
      <c r="P67" s="4">
        <v>0</v>
      </c>
      <c r="Q67" s="3" t="s">
        <v>26</v>
      </c>
      <c r="R67" s="3">
        <v>0</v>
      </c>
      <c r="S67" s="3">
        <v>4</v>
      </c>
      <c r="T67" s="3">
        <v>6</v>
      </c>
      <c r="U67" s="3">
        <v>86</v>
      </c>
      <c r="V67" s="56">
        <f>IF(ISERROR(VLOOKUP($S$67,'TAR FIN'!$A$1:$O$113,15,0)),0,VLOOKUP($S$67,'TAR FIN'!$A$1:$O$113,15,0))*(1-0.04)</f>
        <v>27.206399999999999</v>
      </c>
      <c r="W67" s="56">
        <f>IF(ISERROR(VLOOKUP($T$67,'TAR FIN'!$A$1:$O$113,15,0)),0,VLOOKUP($T$67,'TAR FIN'!$A$1:$O$113,15,0))*(1-0.04)</f>
        <v>34.425599999999996</v>
      </c>
      <c r="X67" s="56">
        <f>IF(ISERROR(VLOOKUP($U$67,'TAR FIN'!$A$1:$O$113,15,0)),0,VLOOKUP($U$67,'TAR FIN'!$A$1:$O$113,15,0))*(1-0.04)</f>
        <v>350.88</v>
      </c>
      <c r="Y67" s="56">
        <f ca="1">('TUSD BE'!$AM$5+'TUSD BF'!$AM$5+'TUSD CVA'!$AM$5)*1*(1-0.02)</f>
        <v>30.705246366813903</v>
      </c>
      <c r="Z67" s="56">
        <f ca="1">('TUSD BE'!$AM$7+'TUSD BF'!$AM$7+'TUSD CVA'!$AM$7)*1*(1-0.02)</f>
        <v>45.027127482009618</v>
      </c>
      <c r="AA67" s="56">
        <f>('TE BE'!$AA$5+'TE BF'!$AA$5+'TE CVA'!$AA$5)*1*(1-0.02)</f>
        <v>354.31913150043306</v>
      </c>
      <c r="AB67" s="56">
        <f>(SUBSIDIO!$J$67*SUBSIDIO!$V$67)*(0.04)/(1-0.04)</f>
        <v>27.206399999999999</v>
      </c>
      <c r="AC67" s="56">
        <f>((SUBSIDIO!$L$67*SUBSIDIO!$W$67)+(SUBSIDIO!$N$67*SUBSIDIO!$X$67))*(0.04)/(1-0.04)</f>
        <v>18.879974399999998</v>
      </c>
      <c r="AD67" s="56">
        <f ca="1">(SUBSIDIO!$J$67*SUBSIDIO!$Y$67)*(0.02)/(1-0.02)</f>
        <v>15.03930434292926</v>
      </c>
      <c r="AE67" s="56">
        <f ca="1">((SUBSIDIO!$L$67*SUBSIDIO!$Z$67)+(SUBSIDIO!$N$67*SUBSIDIO!$AA$67))*(0.02)/(1-0.02)</f>
        <v>9.5843102155786237</v>
      </c>
      <c r="AF67" s="3" t="s">
        <v>1023</v>
      </c>
    </row>
    <row r="68" spans="1:32" ht="11.25" customHeight="1" x14ac:dyDescent="0.25">
      <c r="A68" s="3" t="s">
        <v>21</v>
      </c>
      <c r="B68" s="3" t="s">
        <v>39</v>
      </c>
      <c r="C68" s="3" t="s">
        <v>40</v>
      </c>
      <c r="D68" s="3" t="s">
        <v>45</v>
      </c>
      <c r="E68" s="3" t="s">
        <v>53</v>
      </c>
      <c r="F68" s="3" t="s">
        <v>25</v>
      </c>
      <c r="G68" s="3" t="s">
        <v>25</v>
      </c>
      <c r="H68" s="3" t="s">
        <v>34</v>
      </c>
      <c r="I68" s="6">
        <v>44409</v>
      </c>
      <c r="J68" s="4">
        <v>24</v>
      </c>
      <c r="K68" s="56">
        <v>24</v>
      </c>
      <c r="L68" s="4">
        <v>1.17</v>
      </c>
      <c r="M68" s="56">
        <v>1.17</v>
      </c>
      <c r="N68" s="4">
        <v>1.17</v>
      </c>
      <c r="O68" s="56">
        <v>1.17</v>
      </c>
      <c r="P68" s="4">
        <v>0</v>
      </c>
      <c r="Q68" s="3" t="s">
        <v>26</v>
      </c>
      <c r="R68" s="3">
        <v>0</v>
      </c>
      <c r="S68" s="3">
        <v>4</v>
      </c>
      <c r="T68" s="3">
        <v>6</v>
      </c>
      <c r="U68" s="3">
        <v>86</v>
      </c>
      <c r="V68" s="56">
        <f>IF(ISERROR(VLOOKUP($S$68,'TAR FIN'!$A$1:$O$113,15,0)),0,VLOOKUP($S$68,'TAR FIN'!$A$1:$O$113,15,0))*(1-0.04)</f>
        <v>27.206399999999999</v>
      </c>
      <c r="W68" s="56">
        <f>IF(ISERROR(VLOOKUP($T$68,'TAR FIN'!$A$1:$O$113,15,0)),0,VLOOKUP($T$68,'TAR FIN'!$A$1:$O$113,15,0))*(1-0.04)</f>
        <v>34.425599999999996</v>
      </c>
      <c r="X68" s="56">
        <f>IF(ISERROR(VLOOKUP($U$68,'TAR FIN'!$A$1:$O$113,15,0)),0,VLOOKUP($U$68,'TAR FIN'!$A$1:$O$113,15,0))*(1-0.04)</f>
        <v>350.88</v>
      </c>
      <c r="Y68" s="56">
        <f ca="1">('TUSD BE'!$AM$5+'TUSD BF'!$AM$5+'TUSD CVA'!$AM$5)*1*(1-0.02)</f>
        <v>30.705246366813903</v>
      </c>
      <c r="Z68" s="56">
        <f ca="1">('TUSD BE'!$AM$7+'TUSD BF'!$AM$7+'TUSD CVA'!$AM$7)*1*(1-0.02)</f>
        <v>45.027127482009618</v>
      </c>
      <c r="AA68" s="56">
        <f>('TE BE'!$AA$5+'TE BF'!$AA$5+'TE CVA'!$AA$5)*1*(1-0.02)</f>
        <v>354.31913150043306</v>
      </c>
      <c r="AB68" s="56">
        <f>(SUBSIDIO!$J$68*SUBSIDIO!$V$68)*(0.04)/(1-0.04)</f>
        <v>27.206399999999999</v>
      </c>
      <c r="AC68" s="56">
        <f>((SUBSIDIO!$L$68*SUBSIDIO!$W$68)+(SUBSIDIO!$N$68*SUBSIDIO!$X$68))*(0.04)/(1-0.04)</f>
        <v>18.783647999999999</v>
      </c>
      <c r="AD68" s="56">
        <f ca="1">(SUBSIDIO!$J$68*SUBSIDIO!$Y$68)*(0.02)/(1-0.02)</f>
        <v>15.03930434292926</v>
      </c>
      <c r="AE68" s="56">
        <f ca="1">((SUBSIDIO!$L$68*SUBSIDIO!$Z$68)+(SUBSIDIO!$N$68*SUBSIDIO!$AA$68))*(0.02)/(1-0.02)</f>
        <v>9.5354106736624065</v>
      </c>
      <c r="AF68" s="3" t="s">
        <v>1023</v>
      </c>
    </row>
    <row r="69" spans="1:32" ht="11.25" customHeight="1" x14ac:dyDescent="0.25">
      <c r="A69" s="3" t="s">
        <v>21</v>
      </c>
      <c r="B69" s="3" t="s">
        <v>39</v>
      </c>
      <c r="C69" s="3" t="s">
        <v>40</v>
      </c>
      <c r="D69" s="3" t="s">
        <v>45</v>
      </c>
      <c r="E69" s="3" t="s">
        <v>53</v>
      </c>
      <c r="F69" s="3" t="s">
        <v>25</v>
      </c>
      <c r="G69" s="3" t="s">
        <v>25</v>
      </c>
      <c r="H69" s="3" t="s">
        <v>34</v>
      </c>
      <c r="I69" s="6">
        <v>44440</v>
      </c>
      <c r="J69" s="4">
        <v>24</v>
      </c>
      <c r="K69" s="56">
        <v>24</v>
      </c>
      <c r="L69" s="4">
        <v>1.1519999999999999</v>
      </c>
      <c r="M69" s="56">
        <v>1.1519999999999999</v>
      </c>
      <c r="N69" s="4">
        <v>1.1519999999999999</v>
      </c>
      <c r="O69" s="56">
        <v>1.1519999999999999</v>
      </c>
      <c r="P69" s="4">
        <v>0</v>
      </c>
      <c r="Q69" s="3" t="s">
        <v>26</v>
      </c>
      <c r="R69" s="3">
        <v>0</v>
      </c>
      <c r="S69" s="3">
        <v>4</v>
      </c>
      <c r="T69" s="3">
        <v>6</v>
      </c>
      <c r="U69" s="3">
        <v>86</v>
      </c>
      <c r="V69" s="56">
        <f>IF(ISERROR(VLOOKUP($S$69,'TAR FIN'!$A$1:$O$113,15,0)),0,VLOOKUP($S$69,'TAR FIN'!$A$1:$O$113,15,0))*(1-0.04)</f>
        <v>27.206399999999999</v>
      </c>
      <c r="W69" s="56">
        <f>IF(ISERROR(VLOOKUP($T$69,'TAR FIN'!$A$1:$O$113,15,0)),0,VLOOKUP($T$69,'TAR FIN'!$A$1:$O$113,15,0))*(1-0.04)</f>
        <v>34.425599999999996</v>
      </c>
      <c r="X69" s="56">
        <f>IF(ISERROR(VLOOKUP($U$69,'TAR FIN'!$A$1:$O$113,15,0)),0,VLOOKUP($U$69,'TAR FIN'!$A$1:$O$113,15,0))*(1-0.04)</f>
        <v>350.88</v>
      </c>
      <c r="Y69" s="56">
        <f ca="1">('TUSD BE'!$AM$5+'TUSD BF'!$AM$5+'TUSD CVA'!$AM$5)*1*(1-0.02)</f>
        <v>30.705246366813903</v>
      </c>
      <c r="Z69" s="56">
        <f ca="1">('TUSD BE'!$AM$7+'TUSD BF'!$AM$7+'TUSD CVA'!$AM$7)*1*(1-0.02)</f>
        <v>45.027127482009618</v>
      </c>
      <c r="AA69" s="56">
        <f>('TE BE'!$AA$5+'TE BF'!$AA$5+'TE CVA'!$AA$5)*1*(1-0.02)</f>
        <v>354.31913150043306</v>
      </c>
      <c r="AB69" s="56">
        <f>(SUBSIDIO!$J$69*SUBSIDIO!$V$69)*(0.04)/(1-0.04)</f>
        <v>27.206399999999999</v>
      </c>
      <c r="AC69" s="56">
        <f>((SUBSIDIO!$L$69*SUBSIDIO!$W$69)+(SUBSIDIO!$N$69*SUBSIDIO!$X$69))*(0.04)/(1-0.04)</f>
        <v>18.494668799999999</v>
      </c>
      <c r="AD69" s="56">
        <f ca="1">(SUBSIDIO!$J$69*SUBSIDIO!$Y$69)*(0.02)/(1-0.02)</f>
        <v>15.03930434292926</v>
      </c>
      <c r="AE69" s="56">
        <f ca="1">((SUBSIDIO!$L$69*SUBSIDIO!$Z$69)+(SUBSIDIO!$N$69*SUBSIDIO!$AA$69))*(0.02)/(1-0.02)</f>
        <v>9.3887120479137529</v>
      </c>
      <c r="AF69" s="3" t="s">
        <v>1023</v>
      </c>
    </row>
    <row r="70" spans="1:32" ht="11.25" customHeight="1" x14ac:dyDescent="0.25">
      <c r="A70" s="3" t="s">
        <v>21</v>
      </c>
      <c r="B70" s="3" t="s">
        <v>39</v>
      </c>
      <c r="C70" s="3" t="s">
        <v>40</v>
      </c>
      <c r="D70" s="3" t="s">
        <v>45</v>
      </c>
      <c r="E70" s="3" t="s">
        <v>53</v>
      </c>
      <c r="F70" s="3" t="s">
        <v>25</v>
      </c>
      <c r="G70" s="3" t="s">
        <v>25</v>
      </c>
      <c r="H70" s="3" t="s">
        <v>34</v>
      </c>
      <c r="I70" s="6">
        <v>44470</v>
      </c>
      <c r="J70" s="4">
        <v>24</v>
      </c>
      <c r="K70" s="56">
        <v>24</v>
      </c>
      <c r="L70" s="4">
        <v>1.08</v>
      </c>
      <c r="M70" s="56">
        <v>1.08</v>
      </c>
      <c r="N70" s="4">
        <v>1.08</v>
      </c>
      <c r="O70" s="56">
        <v>1.08</v>
      </c>
      <c r="P70" s="4">
        <v>0</v>
      </c>
      <c r="Q70" s="3" t="s">
        <v>26</v>
      </c>
      <c r="R70" s="3">
        <v>0</v>
      </c>
      <c r="S70" s="3">
        <v>4</v>
      </c>
      <c r="T70" s="3">
        <v>6</v>
      </c>
      <c r="U70" s="3">
        <v>86</v>
      </c>
      <c r="V70" s="56">
        <f>IF(ISERROR(VLOOKUP($S$70,'TAR FIN'!$A$1:$O$113,15,0)),0,VLOOKUP($S$70,'TAR FIN'!$A$1:$O$113,15,0))*(1-0.04)</f>
        <v>27.206399999999999</v>
      </c>
      <c r="W70" s="56">
        <f>IF(ISERROR(VLOOKUP($T$70,'TAR FIN'!$A$1:$O$113,15,0)),0,VLOOKUP($T$70,'TAR FIN'!$A$1:$O$113,15,0))*(1-0.04)</f>
        <v>34.425599999999996</v>
      </c>
      <c r="X70" s="56">
        <f>IF(ISERROR(VLOOKUP($U$70,'TAR FIN'!$A$1:$O$113,15,0)),0,VLOOKUP($U$70,'TAR FIN'!$A$1:$O$113,15,0))*(1-0.04)</f>
        <v>350.88</v>
      </c>
      <c r="Y70" s="56">
        <f ca="1">('TUSD BE'!$AM$5+'TUSD BF'!$AM$5+'TUSD CVA'!$AM$5)*1*(1-0.02)</f>
        <v>30.705246366813903</v>
      </c>
      <c r="Z70" s="56">
        <f ca="1">('TUSD BE'!$AM$7+'TUSD BF'!$AM$7+'TUSD CVA'!$AM$7)*1*(1-0.02)</f>
        <v>45.027127482009618</v>
      </c>
      <c r="AA70" s="56">
        <f>('TE BE'!$AA$5+'TE BF'!$AA$5+'TE CVA'!$AA$5)*1*(1-0.02)</f>
        <v>354.31913150043306</v>
      </c>
      <c r="AB70" s="56">
        <f>(SUBSIDIO!$J$70*SUBSIDIO!$V$70)*(0.04)/(1-0.04)</f>
        <v>27.206399999999999</v>
      </c>
      <c r="AC70" s="56">
        <f>((SUBSIDIO!$L$70*SUBSIDIO!$W$70)+(SUBSIDIO!$N$70*SUBSIDIO!$X$70))*(0.04)/(1-0.04)</f>
        <v>17.338751999999999</v>
      </c>
      <c r="AD70" s="56">
        <f ca="1">(SUBSIDIO!$J$70*SUBSIDIO!$Y$70)*(0.02)/(1-0.02)</f>
        <v>15.03930434292926</v>
      </c>
      <c r="AE70" s="56">
        <f ca="1">((SUBSIDIO!$L$70*SUBSIDIO!$Z$70)+(SUBSIDIO!$N$70*SUBSIDIO!$AA$70))*(0.02)/(1-0.02)</f>
        <v>8.8019175449191458</v>
      </c>
      <c r="AF70" s="3" t="s">
        <v>1023</v>
      </c>
    </row>
    <row r="71" spans="1:32" ht="11.25" customHeight="1" x14ac:dyDescent="0.25">
      <c r="A71" s="3" t="s">
        <v>21</v>
      </c>
      <c r="B71" s="3" t="s">
        <v>39</v>
      </c>
      <c r="C71" s="3" t="s">
        <v>40</v>
      </c>
      <c r="D71" s="3" t="s">
        <v>45</v>
      </c>
      <c r="E71" s="3" t="s">
        <v>53</v>
      </c>
      <c r="F71" s="3" t="s">
        <v>25</v>
      </c>
      <c r="G71" s="3" t="s">
        <v>25</v>
      </c>
      <c r="H71" s="3" t="s">
        <v>34</v>
      </c>
      <c r="I71" s="6">
        <v>44501</v>
      </c>
      <c r="J71" s="4">
        <v>24</v>
      </c>
      <c r="K71" s="56">
        <v>24</v>
      </c>
      <c r="L71" s="4">
        <v>1.0740000000000001</v>
      </c>
      <c r="M71" s="56">
        <v>1.0740000000000001</v>
      </c>
      <c r="N71" s="4">
        <v>1.0740000000000001</v>
      </c>
      <c r="O71" s="56">
        <v>1.0740000000000001</v>
      </c>
      <c r="P71" s="4">
        <v>0</v>
      </c>
      <c r="Q71" s="3" t="s">
        <v>26</v>
      </c>
      <c r="R71" s="3">
        <v>0</v>
      </c>
      <c r="S71" s="3">
        <v>4</v>
      </c>
      <c r="T71" s="3">
        <v>6</v>
      </c>
      <c r="U71" s="3">
        <v>86</v>
      </c>
      <c r="V71" s="56">
        <f>IF(ISERROR(VLOOKUP($S$71,'TAR FIN'!$A$1:$O$113,15,0)),0,VLOOKUP($S$71,'TAR FIN'!$A$1:$O$113,15,0))*(1-0.04)</f>
        <v>27.206399999999999</v>
      </c>
      <c r="W71" s="56">
        <f>IF(ISERROR(VLOOKUP($T$71,'TAR FIN'!$A$1:$O$113,15,0)),0,VLOOKUP($T$71,'TAR FIN'!$A$1:$O$113,15,0))*(1-0.04)</f>
        <v>34.425599999999996</v>
      </c>
      <c r="X71" s="56">
        <f>IF(ISERROR(VLOOKUP($U$71,'TAR FIN'!$A$1:$O$113,15,0)),0,VLOOKUP($U$71,'TAR FIN'!$A$1:$O$113,15,0))*(1-0.04)</f>
        <v>350.88</v>
      </c>
      <c r="Y71" s="56">
        <f ca="1">('TUSD BE'!$AM$5+'TUSD BF'!$AM$5+'TUSD CVA'!$AM$5)*1*(1-0.02)</f>
        <v>30.705246366813903</v>
      </c>
      <c r="Z71" s="56">
        <f ca="1">('TUSD BE'!$AM$7+'TUSD BF'!$AM$7+'TUSD CVA'!$AM$7)*1*(1-0.02)</f>
        <v>45.027127482009618</v>
      </c>
      <c r="AA71" s="56">
        <f>('TE BE'!$AA$5+'TE BF'!$AA$5+'TE CVA'!$AA$5)*1*(1-0.02)</f>
        <v>354.31913150043306</v>
      </c>
      <c r="AB71" s="56">
        <f>(SUBSIDIO!$J$71*SUBSIDIO!$V$71)*(0.04)/(1-0.04)</f>
        <v>27.206399999999999</v>
      </c>
      <c r="AC71" s="56">
        <f>((SUBSIDIO!$L$71*SUBSIDIO!$W$71)+(SUBSIDIO!$N$71*SUBSIDIO!$X$71))*(0.04)/(1-0.04)</f>
        <v>17.242425600000001</v>
      </c>
      <c r="AD71" s="56">
        <f ca="1">(SUBSIDIO!$J$71*SUBSIDIO!$Y$71)*(0.02)/(1-0.02)</f>
        <v>15.03930434292926</v>
      </c>
      <c r="AE71" s="56">
        <f ca="1">((SUBSIDIO!$L$71*SUBSIDIO!$Z$71)+(SUBSIDIO!$N$71*SUBSIDIO!$AA$71))*(0.02)/(1-0.02)</f>
        <v>8.7530180030029285</v>
      </c>
      <c r="AF71" s="3" t="s">
        <v>1023</v>
      </c>
    </row>
    <row r="72" spans="1:32" ht="11.25" customHeight="1" x14ac:dyDescent="0.25">
      <c r="A72" s="3" t="s">
        <v>21</v>
      </c>
      <c r="B72" s="3" t="s">
        <v>39</v>
      </c>
      <c r="C72" s="3" t="s">
        <v>40</v>
      </c>
      <c r="D72" s="3" t="s">
        <v>45</v>
      </c>
      <c r="E72" s="3" t="s">
        <v>53</v>
      </c>
      <c r="F72" s="3" t="s">
        <v>25</v>
      </c>
      <c r="G72" s="3" t="s">
        <v>25</v>
      </c>
      <c r="H72" s="3" t="s">
        <v>34</v>
      </c>
      <c r="I72" s="6">
        <v>44531</v>
      </c>
      <c r="J72" s="4">
        <v>24</v>
      </c>
      <c r="K72" s="56">
        <v>24</v>
      </c>
      <c r="L72" s="4">
        <v>1.23</v>
      </c>
      <c r="M72" s="56">
        <v>1.23</v>
      </c>
      <c r="N72" s="4">
        <v>1.23</v>
      </c>
      <c r="O72" s="56">
        <v>1.23</v>
      </c>
      <c r="P72" s="4">
        <v>0</v>
      </c>
      <c r="Q72" s="3" t="s">
        <v>26</v>
      </c>
      <c r="R72" s="3">
        <v>0</v>
      </c>
      <c r="S72" s="3">
        <v>4</v>
      </c>
      <c r="T72" s="3">
        <v>6</v>
      </c>
      <c r="U72" s="3">
        <v>86</v>
      </c>
      <c r="V72" s="56">
        <f>IF(ISERROR(VLOOKUP($S$72,'TAR FIN'!$A$1:$O$113,15,0)),0,VLOOKUP($S$72,'TAR FIN'!$A$1:$O$113,15,0))*(1-0.04)</f>
        <v>27.206399999999999</v>
      </c>
      <c r="W72" s="56">
        <f>IF(ISERROR(VLOOKUP($T$72,'TAR FIN'!$A$1:$O$113,15,0)),0,VLOOKUP($T$72,'TAR FIN'!$A$1:$O$113,15,0))*(1-0.04)</f>
        <v>34.425599999999996</v>
      </c>
      <c r="X72" s="56">
        <f>IF(ISERROR(VLOOKUP($U$72,'TAR FIN'!$A$1:$O$113,15,0)),0,VLOOKUP($U$72,'TAR FIN'!$A$1:$O$113,15,0))*(1-0.04)</f>
        <v>350.88</v>
      </c>
      <c r="Y72" s="56">
        <f ca="1">('TUSD BE'!$AM$5+'TUSD BF'!$AM$5+'TUSD CVA'!$AM$5)*1*(1-0.02)</f>
        <v>30.705246366813903</v>
      </c>
      <c r="Z72" s="56">
        <f ca="1">('TUSD BE'!$AM$7+'TUSD BF'!$AM$7+'TUSD CVA'!$AM$7)*1*(1-0.02)</f>
        <v>45.027127482009618</v>
      </c>
      <c r="AA72" s="56">
        <f>('TE BE'!$AA$5+'TE BF'!$AA$5+'TE CVA'!$AA$5)*1*(1-0.02)</f>
        <v>354.31913150043306</v>
      </c>
      <c r="AB72" s="56">
        <f>(SUBSIDIO!$J$72*SUBSIDIO!$V$72)*(0.04)/(1-0.04)</f>
        <v>27.206399999999999</v>
      </c>
      <c r="AC72" s="56">
        <f>((SUBSIDIO!$L$72*SUBSIDIO!$W$72)+(SUBSIDIO!$N$72*SUBSIDIO!$X$72))*(0.04)/(1-0.04)</f>
        <v>19.746912000000002</v>
      </c>
      <c r="AD72" s="56">
        <f ca="1">(SUBSIDIO!$J$72*SUBSIDIO!$Y$72)*(0.02)/(1-0.02)</f>
        <v>15.03930434292926</v>
      </c>
      <c r="AE72" s="56">
        <f ca="1">((SUBSIDIO!$L$72*SUBSIDIO!$Z$72)+(SUBSIDIO!$N$72*SUBSIDIO!$AA$72))*(0.02)/(1-0.02)</f>
        <v>10.024406092824581</v>
      </c>
      <c r="AF72" s="3" t="s">
        <v>1023</v>
      </c>
    </row>
    <row r="73" spans="1:32" ht="11.25" customHeight="1" x14ac:dyDescent="0.25">
      <c r="A73" s="3" t="s">
        <v>21</v>
      </c>
      <c r="B73" s="3" t="s">
        <v>39</v>
      </c>
      <c r="C73" s="3" t="s">
        <v>40</v>
      </c>
      <c r="D73" s="3" t="s">
        <v>45</v>
      </c>
      <c r="E73" s="3" t="s">
        <v>53</v>
      </c>
      <c r="F73" s="3" t="s">
        <v>25</v>
      </c>
      <c r="G73" s="3" t="s">
        <v>25</v>
      </c>
      <c r="H73" s="3" t="s">
        <v>34</v>
      </c>
      <c r="I73" s="6">
        <v>44562</v>
      </c>
      <c r="J73" s="4">
        <v>2</v>
      </c>
      <c r="K73" s="56">
        <v>2</v>
      </c>
      <c r="L73" s="4">
        <v>1.153</v>
      </c>
      <c r="M73" s="56">
        <v>1.153</v>
      </c>
      <c r="N73" s="4">
        <v>1.153</v>
      </c>
      <c r="O73" s="56">
        <v>1.153</v>
      </c>
      <c r="P73" s="4">
        <v>0</v>
      </c>
      <c r="Q73" s="3" t="s">
        <v>26</v>
      </c>
      <c r="R73" s="3">
        <v>0</v>
      </c>
      <c r="S73" s="3">
        <v>4</v>
      </c>
      <c r="T73" s="3">
        <v>6</v>
      </c>
      <c r="U73" s="3">
        <v>86</v>
      </c>
      <c r="V73" s="56">
        <f>IF(ISERROR(VLOOKUP($S$73,'TAR FIN'!$A$1:$O$113,15,0)),0,VLOOKUP($S$73,'TAR FIN'!$A$1:$O$113,15,0))*(1-0.04)</f>
        <v>27.206399999999999</v>
      </c>
      <c r="W73" s="56">
        <f>IF(ISERROR(VLOOKUP($T$73,'TAR FIN'!$A$1:$O$113,15,0)),0,VLOOKUP($T$73,'TAR FIN'!$A$1:$O$113,15,0))*(1-0.04)</f>
        <v>34.425599999999996</v>
      </c>
      <c r="X73" s="56">
        <f>IF(ISERROR(VLOOKUP($U$73,'TAR FIN'!$A$1:$O$113,15,0)),0,VLOOKUP($U$73,'TAR FIN'!$A$1:$O$113,15,0))*(1-0.04)</f>
        <v>350.88</v>
      </c>
      <c r="Y73" s="56">
        <f ca="1">('TUSD BE'!$AM$5+'TUSD BF'!$AM$5+'TUSD CVA'!$AM$5)*1*(1-0.02)</f>
        <v>30.705246366813903</v>
      </c>
      <c r="Z73" s="56">
        <f ca="1">('TUSD BE'!$AM$7+'TUSD BF'!$AM$7+'TUSD CVA'!$AM$7)*1*(1-0.02)</f>
        <v>45.027127482009618</v>
      </c>
      <c r="AA73" s="56">
        <f>('TE BE'!$AA$5+'TE BF'!$AA$5+'TE CVA'!$AA$5)*1*(1-0.02)</f>
        <v>354.31913150043306</v>
      </c>
      <c r="AB73" s="56">
        <f>(SUBSIDIO!$J$73*SUBSIDIO!$V$73)*(0.04)/(1-0.04)</f>
        <v>2.2671999999999999</v>
      </c>
      <c r="AC73" s="56">
        <f>((SUBSIDIO!$L$73*SUBSIDIO!$W$73)+(SUBSIDIO!$N$73*SUBSIDIO!$X$73))*(0.04)/(1-0.04)</f>
        <v>18.510723200000001</v>
      </c>
      <c r="AD73" s="56">
        <f ca="1">(SUBSIDIO!$J$73*SUBSIDIO!$Y$73)*(0.02)/(1-0.02)</f>
        <v>1.2532753619107717</v>
      </c>
      <c r="AE73" s="56">
        <f ca="1">((SUBSIDIO!$L$73*SUBSIDIO!$Z$73)+(SUBSIDIO!$N$73*SUBSIDIO!$AA$73))*(0.02)/(1-0.02)</f>
        <v>9.3968619715664587</v>
      </c>
      <c r="AF73" s="3" t="s">
        <v>1023</v>
      </c>
    </row>
    <row r="74" spans="1:32" ht="11.25" customHeight="1" x14ac:dyDescent="0.25">
      <c r="A74" s="3" t="s">
        <v>21</v>
      </c>
      <c r="B74" s="3" t="s">
        <v>39</v>
      </c>
      <c r="C74" s="3" t="s">
        <v>40</v>
      </c>
      <c r="D74" s="3" t="s">
        <v>45</v>
      </c>
      <c r="E74" s="3" t="s">
        <v>53</v>
      </c>
      <c r="F74" s="3" t="s">
        <v>25</v>
      </c>
      <c r="G74" s="3" t="s">
        <v>25</v>
      </c>
      <c r="H74" s="3" t="s">
        <v>34</v>
      </c>
      <c r="I74" s="6">
        <v>44593</v>
      </c>
      <c r="J74" s="4">
        <v>24</v>
      </c>
      <c r="K74" s="56">
        <v>24</v>
      </c>
      <c r="L74" s="4">
        <v>10.164</v>
      </c>
      <c r="M74" s="56">
        <v>10.164</v>
      </c>
      <c r="N74" s="4">
        <v>10.164</v>
      </c>
      <c r="O74" s="56">
        <v>10.164</v>
      </c>
      <c r="P74" s="4">
        <v>0</v>
      </c>
      <c r="Q74" s="3" t="s">
        <v>26</v>
      </c>
      <c r="R74" s="3">
        <v>0</v>
      </c>
      <c r="S74" s="3">
        <v>4</v>
      </c>
      <c r="T74" s="3">
        <v>6</v>
      </c>
      <c r="U74" s="3">
        <v>86</v>
      </c>
      <c r="V74" s="56">
        <f>IF(ISERROR(VLOOKUP($S$74,'TAR FIN'!$A$1:$O$113,15,0)),0,VLOOKUP($S$74,'TAR FIN'!$A$1:$O$113,15,0))*(1-0.04)</f>
        <v>27.206399999999999</v>
      </c>
      <c r="W74" s="56">
        <f>IF(ISERROR(VLOOKUP($T$74,'TAR FIN'!$A$1:$O$113,15,0)),0,VLOOKUP($T$74,'TAR FIN'!$A$1:$O$113,15,0))*(1-0.04)</f>
        <v>34.425599999999996</v>
      </c>
      <c r="X74" s="56">
        <f>IF(ISERROR(VLOOKUP($U$74,'TAR FIN'!$A$1:$O$113,15,0)),0,VLOOKUP($U$74,'TAR FIN'!$A$1:$O$113,15,0))*(1-0.04)</f>
        <v>350.88</v>
      </c>
      <c r="Y74" s="56">
        <f ca="1">('TUSD BE'!$AM$5+'TUSD BF'!$AM$5+'TUSD CVA'!$AM$5)*1*(1-0.02)</f>
        <v>30.705246366813903</v>
      </c>
      <c r="Z74" s="56">
        <f ca="1">('TUSD BE'!$AM$7+'TUSD BF'!$AM$7+'TUSD CVA'!$AM$7)*1*(1-0.02)</f>
        <v>45.027127482009618</v>
      </c>
      <c r="AA74" s="56">
        <f>('TE BE'!$AA$5+'TE BF'!$AA$5+'TE CVA'!$AA$5)*1*(1-0.02)</f>
        <v>354.31913150043306</v>
      </c>
      <c r="AB74" s="56">
        <f>(SUBSIDIO!$J$74*SUBSIDIO!$V$74)*(0.04)/(1-0.04)</f>
        <v>27.206399999999999</v>
      </c>
      <c r="AC74" s="56">
        <f>((SUBSIDIO!$L$74*SUBSIDIO!$W$74)+(SUBSIDIO!$N$74*SUBSIDIO!$X$74))*(0.04)/(1-0.04)</f>
        <v>163.17692159999999</v>
      </c>
      <c r="AD74" s="56">
        <f ca="1">(SUBSIDIO!$J$74*SUBSIDIO!$Y$74)*(0.02)/(1-0.02)</f>
        <v>15.03930434292926</v>
      </c>
      <c r="AE74" s="56">
        <f ca="1">((SUBSIDIO!$L$74*SUBSIDIO!$Z$74)+(SUBSIDIO!$N$74*SUBSIDIO!$AA$74))*(0.02)/(1-0.02)</f>
        <v>82.8358240060724</v>
      </c>
      <c r="AF74" s="3" t="s">
        <v>1023</v>
      </c>
    </row>
    <row r="75" spans="1:32" ht="11.25" customHeight="1" x14ac:dyDescent="0.25">
      <c r="A75" s="3" t="s">
        <v>56</v>
      </c>
      <c r="B75" s="3" t="s">
        <v>39</v>
      </c>
      <c r="C75" s="3" t="s">
        <v>40</v>
      </c>
      <c r="D75" s="3" t="s">
        <v>45</v>
      </c>
      <c r="E75" s="3" t="s">
        <v>53</v>
      </c>
      <c r="F75" s="3" t="s">
        <v>25</v>
      </c>
      <c r="G75" s="3" t="s">
        <v>25</v>
      </c>
      <c r="H75" s="3" t="s">
        <v>34</v>
      </c>
      <c r="I75" s="6">
        <v>44621</v>
      </c>
      <c r="J75" s="4">
        <v>24</v>
      </c>
      <c r="K75" s="56">
        <v>24</v>
      </c>
      <c r="L75" s="4">
        <v>10.164</v>
      </c>
      <c r="M75" s="56">
        <v>10.164</v>
      </c>
      <c r="N75" s="4">
        <v>10.164</v>
      </c>
      <c r="O75" s="56">
        <v>10.164</v>
      </c>
      <c r="P75" s="4">
        <v>0</v>
      </c>
      <c r="Q75" s="3" t="s">
        <v>26</v>
      </c>
      <c r="R75" s="3">
        <v>0</v>
      </c>
      <c r="S75" s="3">
        <v>4</v>
      </c>
      <c r="T75" s="3">
        <v>6</v>
      </c>
      <c r="U75" s="3">
        <v>86</v>
      </c>
      <c r="V75" s="56">
        <f>IF(ISERROR(VLOOKUP($S$75,'TAR FIN'!$A$1:$O$113,15,0)),0,VLOOKUP($S$75,'TAR FIN'!$A$1:$O$113,15,0))*(1-0.04)</f>
        <v>27.206399999999999</v>
      </c>
      <c r="W75" s="56">
        <f>IF(ISERROR(VLOOKUP($T$75,'TAR FIN'!$A$1:$O$113,15,0)),0,VLOOKUP($T$75,'TAR FIN'!$A$1:$O$113,15,0))*(1-0.04)</f>
        <v>34.425599999999996</v>
      </c>
      <c r="X75" s="56">
        <f>IF(ISERROR(VLOOKUP($U$75,'TAR FIN'!$A$1:$O$113,15,0)),0,VLOOKUP($U$75,'TAR FIN'!$A$1:$O$113,15,0))*(1-0.04)</f>
        <v>350.88</v>
      </c>
      <c r="Y75" s="56">
        <f ca="1">('TUSD BE'!$AM$5+'TUSD BF'!$AM$5+'TUSD CVA'!$AM$5)*1*(1-0.02)</f>
        <v>30.705246366813903</v>
      </c>
      <c r="Z75" s="56">
        <f ca="1">('TUSD BE'!$AM$7+'TUSD BF'!$AM$7+'TUSD CVA'!$AM$7)*1*(1-0.02)</f>
        <v>45.027127482009618</v>
      </c>
      <c r="AA75" s="56">
        <f>('TE BE'!$AA$5+'TE BF'!$AA$5+'TE CVA'!$AA$5)*1*(1-0.02)</f>
        <v>354.31913150043306</v>
      </c>
      <c r="AB75" s="56">
        <f>(SUBSIDIO!$J$75*SUBSIDIO!$V$75)*(0.04)/(1-0.04)</f>
        <v>27.206399999999999</v>
      </c>
      <c r="AC75" s="56">
        <f>((SUBSIDIO!$L$75*SUBSIDIO!$W$75)+(SUBSIDIO!$N$75*SUBSIDIO!$X$75))*(0.04)/(1-0.04)</f>
        <v>163.17692159999999</v>
      </c>
      <c r="AD75" s="56">
        <f ca="1">(SUBSIDIO!$J$75*SUBSIDIO!$Y$75)*(0.02)/(1-0.02)</f>
        <v>15.03930434292926</v>
      </c>
      <c r="AE75" s="56">
        <f ca="1">((SUBSIDIO!$L$75*SUBSIDIO!$Z$75)+(SUBSIDIO!$N$75*SUBSIDIO!$AA$75))*(0.02)/(1-0.02)</f>
        <v>82.8358240060724</v>
      </c>
      <c r="AF75" s="3" t="s">
        <v>1023</v>
      </c>
    </row>
    <row r="76" spans="1:32" ht="11.25" customHeight="1" x14ac:dyDescent="0.25">
      <c r="A76" s="3" t="s">
        <v>21</v>
      </c>
      <c r="B76" s="3" t="s">
        <v>39</v>
      </c>
      <c r="C76" s="3" t="s">
        <v>40</v>
      </c>
      <c r="D76" s="3" t="s">
        <v>50</v>
      </c>
      <c r="E76" s="3" t="s">
        <v>51</v>
      </c>
      <c r="F76" s="3" t="s">
        <v>25</v>
      </c>
      <c r="G76" s="3" t="s">
        <v>25</v>
      </c>
      <c r="H76" s="3" t="s">
        <v>35</v>
      </c>
      <c r="I76" s="6">
        <v>44287</v>
      </c>
      <c r="J76" s="4">
        <v>9600</v>
      </c>
      <c r="K76" s="57">
        <v>9600</v>
      </c>
      <c r="L76" s="4">
        <v>6170.4849999999997</v>
      </c>
      <c r="M76" s="56">
        <v>6170.4849999999997</v>
      </c>
      <c r="N76" s="4">
        <v>6170.4849999999997</v>
      </c>
      <c r="O76" s="56">
        <v>6170.4849999999997</v>
      </c>
      <c r="P76" s="4">
        <v>0</v>
      </c>
      <c r="Q76" s="3" t="s">
        <v>26</v>
      </c>
      <c r="R76" s="3">
        <v>0</v>
      </c>
      <c r="S76" s="3">
        <v>5</v>
      </c>
      <c r="T76" s="3">
        <v>6</v>
      </c>
      <c r="U76" s="3">
        <v>87</v>
      </c>
      <c r="V76" s="56">
        <f>IF(ISERROR(VLOOKUP($S$76,'TAR FIN'!$A$1:$O$113,15,0)),0,VLOOKUP($S$76,'TAR FIN'!$A$1:$O$113,15,0))*(1-0.06)</f>
        <v>10.894599999999999</v>
      </c>
      <c r="W76" s="56">
        <f>IF(ISERROR(VLOOKUP($T$76,'TAR FIN'!$A$1:$O$113,15,0)),0,VLOOKUP($T$76,'TAR FIN'!$A$1:$O$113,15,0))*(1-0.06)</f>
        <v>33.708399999999997</v>
      </c>
      <c r="X76" s="56">
        <f>IF(ISERROR(VLOOKUP($U$76,'TAR FIN'!$A$1:$O$113,15,0)),0,VLOOKUP($U$76,'TAR FIN'!$A$1:$O$113,15,0))*(1-0.06)</f>
        <v>208.97139999999999</v>
      </c>
      <c r="Y76" s="56">
        <f ca="1">('TUSD BE'!$AM$6+'TUSD BF'!$AM$6+'TUSD CVA'!$AM$6)*1*(1-0.03)</f>
        <v>10.613471750021905</v>
      </c>
      <c r="Z76" s="56">
        <f ca="1">('TUSD BE'!$AM$7+'TUSD BF'!$AM$7+'TUSD CVA'!$AM$7)*1*(1-0.03)</f>
        <v>44.567666997499316</v>
      </c>
      <c r="AA76" s="56">
        <f>('TE BE'!$AA$6+'TE BF'!$AA$6+'TE CVA'!$AA$6)*1*(1-0.03)</f>
        <v>216.45124957683362</v>
      </c>
      <c r="AB76" s="56">
        <f>(SUBSIDIO!$J$76*SUBSIDIO!$V$76)*(0.06)/(1-0.06)</f>
        <v>6675.8399999999992</v>
      </c>
      <c r="AC76" s="56">
        <f>((SUBSIDIO!$L$76*SUBSIDIO!$W$76)+(SUBSIDIO!$N$76*SUBSIDIO!$X$76))*(0.06)/(1-0.06)</f>
        <v>95582.046746999986</v>
      </c>
      <c r="AD76" s="56">
        <f ca="1">(SUBSIDIO!$J$76*SUBSIDIO!$Y$76)*(0.03)/(1-0.03)</f>
        <v>3151.2163546456791</v>
      </c>
      <c r="AE76" s="56">
        <f ca="1">((SUBSIDIO!$L$76*SUBSIDIO!$Z$76)+(SUBSIDIO!$N$76*SUBSIDIO!$AA$76))*(0.03)/(1-0.03)</f>
        <v>49812.782766129058</v>
      </c>
      <c r="AF76" s="3" t="s">
        <v>1025</v>
      </c>
    </row>
    <row r="77" spans="1:32" ht="11.25" customHeight="1" x14ac:dyDescent="0.25">
      <c r="A77" s="3" t="s">
        <v>21</v>
      </c>
      <c r="B77" s="3" t="s">
        <v>39</v>
      </c>
      <c r="C77" s="3" t="s">
        <v>40</v>
      </c>
      <c r="D77" s="3" t="s">
        <v>50</v>
      </c>
      <c r="E77" s="3" t="s">
        <v>51</v>
      </c>
      <c r="F77" s="3" t="s">
        <v>25</v>
      </c>
      <c r="G77" s="3" t="s">
        <v>25</v>
      </c>
      <c r="H77" s="3" t="s">
        <v>35</v>
      </c>
      <c r="I77" s="6">
        <v>44317</v>
      </c>
      <c r="J77" s="4">
        <v>9600</v>
      </c>
      <c r="K77" s="57">
        <v>9600</v>
      </c>
      <c r="L77" s="4">
        <v>6371.0889999999999</v>
      </c>
      <c r="M77" s="56">
        <v>6371.0889999999999</v>
      </c>
      <c r="N77" s="4">
        <v>6371.0889999999999</v>
      </c>
      <c r="O77" s="56">
        <v>6371.0889999999999</v>
      </c>
      <c r="P77" s="4">
        <v>0</v>
      </c>
      <c r="Q77" s="3" t="s">
        <v>26</v>
      </c>
      <c r="R77" s="3">
        <v>0</v>
      </c>
      <c r="S77" s="3">
        <v>5</v>
      </c>
      <c r="T77" s="3">
        <v>6</v>
      </c>
      <c r="U77" s="3">
        <v>87</v>
      </c>
      <c r="V77" s="56">
        <f>IF(ISERROR(VLOOKUP($S$77,'TAR FIN'!$A$1:$O$113,15,0)),0,VLOOKUP($S$77,'TAR FIN'!$A$1:$O$113,15,0))*(1-0.06)</f>
        <v>10.894599999999999</v>
      </c>
      <c r="W77" s="56">
        <f>IF(ISERROR(VLOOKUP($T$77,'TAR FIN'!$A$1:$O$113,15,0)),0,VLOOKUP($T$77,'TAR FIN'!$A$1:$O$113,15,0))*(1-0.06)</f>
        <v>33.708399999999997</v>
      </c>
      <c r="X77" s="56">
        <f>IF(ISERROR(VLOOKUP($U$77,'TAR FIN'!$A$1:$O$113,15,0)),0,VLOOKUP($U$77,'TAR FIN'!$A$1:$O$113,15,0))*(1-0.06)</f>
        <v>208.97139999999999</v>
      </c>
      <c r="Y77" s="56">
        <f ca="1">('TUSD BE'!$AM$6+'TUSD BF'!$AM$6+'TUSD CVA'!$AM$6)*1*(1-0.03)</f>
        <v>10.613471750021905</v>
      </c>
      <c r="Z77" s="56">
        <f ca="1">('TUSD BE'!$AM$7+'TUSD BF'!$AM$7+'TUSD CVA'!$AM$7)*1*(1-0.03)</f>
        <v>44.567666997499316</v>
      </c>
      <c r="AA77" s="56">
        <f>('TE BE'!$AA$6+'TE BF'!$AA$6+'TE CVA'!$AA$6)*1*(1-0.03)</f>
        <v>216.45124957683362</v>
      </c>
      <c r="AB77" s="56">
        <f>(SUBSIDIO!$J$77*SUBSIDIO!$V$77)*(0.06)/(1-0.06)</f>
        <v>6675.8399999999992</v>
      </c>
      <c r="AC77" s="56">
        <f>((SUBSIDIO!$L$77*SUBSIDIO!$W$77)+(SUBSIDIO!$N$77*SUBSIDIO!$X$77))*(0.06)/(1-0.06)</f>
        <v>98689.442827799998</v>
      </c>
      <c r="AD77" s="56">
        <f ca="1">(SUBSIDIO!$J$77*SUBSIDIO!$Y$77)*(0.03)/(1-0.03)</f>
        <v>3151.2163546456791</v>
      </c>
      <c r="AE77" s="56">
        <f ca="1">((SUBSIDIO!$L$77*SUBSIDIO!$Z$77)+(SUBSIDIO!$N$77*SUBSIDIO!$AA$77))*(0.03)/(1-0.03)</f>
        <v>51432.208706556186</v>
      </c>
      <c r="AF77" s="3" t="s">
        <v>1025</v>
      </c>
    </row>
    <row r="78" spans="1:32" ht="11.25" customHeight="1" x14ac:dyDescent="0.25">
      <c r="A78" s="3" t="s">
        <v>21</v>
      </c>
      <c r="B78" s="3" t="s">
        <v>39</v>
      </c>
      <c r="C78" s="3" t="s">
        <v>40</v>
      </c>
      <c r="D78" s="3" t="s">
        <v>50</v>
      </c>
      <c r="E78" s="3" t="s">
        <v>51</v>
      </c>
      <c r="F78" s="3" t="s">
        <v>25</v>
      </c>
      <c r="G78" s="3" t="s">
        <v>25</v>
      </c>
      <c r="H78" s="3" t="s">
        <v>35</v>
      </c>
      <c r="I78" s="6">
        <v>44348</v>
      </c>
      <c r="J78" s="4">
        <v>9600</v>
      </c>
      <c r="K78" s="57">
        <v>9600</v>
      </c>
      <c r="L78" s="4">
        <v>5900.6350000000002</v>
      </c>
      <c r="M78" s="56">
        <v>5900.6350000000002</v>
      </c>
      <c r="N78" s="4">
        <v>5900.6350000000002</v>
      </c>
      <c r="O78" s="56">
        <v>5900.6350000000002</v>
      </c>
      <c r="P78" s="4">
        <v>0</v>
      </c>
      <c r="Q78" s="3" t="s">
        <v>26</v>
      </c>
      <c r="R78" s="3">
        <v>0</v>
      </c>
      <c r="S78" s="3">
        <v>5</v>
      </c>
      <c r="T78" s="3">
        <v>6</v>
      </c>
      <c r="U78" s="3">
        <v>87</v>
      </c>
      <c r="V78" s="56">
        <f>IF(ISERROR(VLOOKUP($S$78,'TAR FIN'!$A$1:$O$113,15,0)),0,VLOOKUP($S$78,'TAR FIN'!$A$1:$O$113,15,0))*(1-0.06)</f>
        <v>10.894599999999999</v>
      </c>
      <c r="W78" s="56">
        <f>IF(ISERROR(VLOOKUP($T$78,'TAR FIN'!$A$1:$O$113,15,0)),0,VLOOKUP($T$78,'TAR FIN'!$A$1:$O$113,15,0))*(1-0.06)</f>
        <v>33.708399999999997</v>
      </c>
      <c r="X78" s="56">
        <f>IF(ISERROR(VLOOKUP($U$78,'TAR FIN'!$A$1:$O$113,15,0)),0,VLOOKUP($U$78,'TAR FIN'!$A$1:$O$113,15,0))*(1-0.06)</f>
        <v>208.97139999999999</v>
      </c>
      <c r="Y78" s="56">
        <f ca="1">('TUSD BE'!$AM$6+'TUSD BF'!$AM$6+'TUSD CVA'!$AM$6)*1*(1-0.03)</f>
        <v>10.613471750021905</v>
      </c>
      <c r="Z78" s="56">
        <f ca="1">('TUSD BE'!$AM$7+'TUSD BF'!$AM$7+'TUSD CVA'!$AM$7)*1*(1-0.03)</f>
        <v>44.567666997499316</v>
      </c>
      <c r="AA78" s="56">
        <f>('TE BE'!$AA$6+'TE BF'!$AA$6+'TE CVA'!$AA$6)*1*(1-0.03)</f>
        <v>216.45124957683362</v>
      </c>
      <c r="AB78" s="56">
        <f>(SUBSIDIO!$J$78*SUBSIDIO!$V$78)*(0.06)/(1-0.06)</f>
        <v>6675.8399999999992</v>
      </c>
      <c r="AC78" s="56">
        <f>((SUBSIDIO!$L$78*SUBSIDIO!$W$78)+(SUBSIDIO!$N$78*SUBSIDIO!$X$78))*(0.06)/(1-0.06)</f>
        <v>91402.016276999988</v>
      </c>
      <c r="AD78" s="56">
        <f ca="1">(SUBSIDIO!$J$78*SUBSIDIO!$Y$78)*(0.03)/(1-0.03)</f>
        <v>3151.2163546456791</v>
      </c>
      <c r="AE78" s="56">
        <f ca="1">((SUBSIDIO!$L$78*SUBSIDIO!$Z$78)+(SUBSIDIO!$N$78*SUBSIDIO!$AA$78))*(0.03)/(1-0.03)</f>
        <v>47634.351179399666</v>
      </c>
      <c r="AF78" s="3" t="s">
        <v>1025</v>
      </c>
    </row>
    <row r="79" spans="1:32" ht="11.25" customHeight="1" x14ac:dyDescent="0.25">
      <c r="A79" s="3" t="s">
        <v>21</v>
      </c>
      <c r="B79" s="3" t="s">
        <v>39</v>
      </c>
      <c r="C79" s="3" t="s">
        <v>40</v>
      </c>
      <c r="D79" s="3" t="s">
        <v>50</v>
      </c>
      <c r="E79" s="3" t="s">
        <v>51</v>
      </c>
      <c r="F79" s="3" t="s">
        <v>25</v>
      </c>
      <c r="G79" s="3" t="s">
        <v>25</v>
      </c>
      <c r="H79" s="3" t="s">
        <v>35</v>
      </c>
      <c r="I79" s="6">
        <v>44378</v>
      </c>
      <c r="J79" s="4">
        <v>9600</v>
      </c>
      <c r="K79" s="57">
        <v>9600</v>
      </c>
      <c r="L79" s="4">
        <v>6235.5010000000002</v>
      </c>
      <c r="M79" s="56">
        <v>6235.5010000000002</v>
      </c>
      <c r="N79" s="4">
        <v>6235.5010000000002</v>
      </c>
      <c r="O79" s="56">
        <v>6235.5010000000002</v>
      </c>
      <c r="P79" s="4">
        <v>0</v>
      </c>
      <c r="Q79" s="3" t="s">
        <v>26</v>
      </c>
      <c r="R79" s="3">
        <v>0</v>
      </c>
      <c r="S79" s="3">
        <v>5</v>
      </c>
      <c r="T79" s="3">
        <v>6</v>
      </c>
      <c r="U79" s="3">
        <v>87</v>
      </c>
      <c r="V79" s="56">
        <f>IF(ISERROR(VLOOKUP($S$79,'TAR FIN'!$A$1:$O$113,15,0)),0,VLOOKUP($S$79,'TAR FIN'!$A$1:$O$113,15,0))*(1-0.06)</f>
        <v>10.894599999999999</v>
      </c>
      <c r="W79" s="56">
        <f>IF(ISERROR(VLOOKUP($T$79,'TAR FIN'!$A$1:$O$113,15,0)),0,VLOOKUP($T$79,'TAR FIN'!$A$1:$O$113,15,0))*(1-0.06)</f>
        <v>33.708399999999997</v>
      </c>
      <c r="X79" s="56">
        <f>IF(ISERROR(VLOOKUP($U$79,'TAR FIN'!$A$1:$O$113,15,0)),0,VLOOKUP($U$79,'TAR FIN'!$A$1:$O$113,15,0))*(1-0.06)</f>
        <v>208.97139999999999</v>
      </c>
      <c r="Y79" s="56">
        <f ca="1">('TUSD BE'!$AM$6+'TUSD BF'!$AM$6+'TUSD CVA'!$AM$6)*1*(1-0.03)</f>
        <v>10.613471750021905</v>
      </c>
      <c r="Z79" s="56">
        <f ca="1">('TUSD BE'!$AM$7+'TUSD BF'!$AM$7+'TUSD CVA'!$AM$7)*1*(1-0.03)</f>
        <v>44.567666997499316</v>
      </c>
      <c r="AA79" s="56">
        <f>('TE BE'!$AA$6+'TE BF'!$AA$6+'TE CVA'!$AA$6)*1*(1-0.03)</f>
        <v>216.45124957683362</v>
      </c>
      <c r="AB79" s="56">
        <f>(SUBSIDIO!$J$79*SUBSIDIO!$V$79)*(0.06)/(1-0.06)</f>
        <v>6675.8399999999992</v>
      </c>
      <c r="AC79" s="56">
        <f>((SUBSIDIO!$L$79*SUBSIDIO!$W$79)+(SUBSIDIO!$N$79*SUBSIDIO!$X$79))*(0.06)/(1-0.06)</f>
        <v>96589.157590199975</v>
      </c>
      <c r="AD79" s="56">
        <f ca="1">(SUBSIDIO!$J$79*SUBSIDIO!$Y$79)*(0.03)/(1-0.03)</f>
        <v>3151.2163546456791</v>
      </c>
      <c r="AE79" s="56">
        <f ca="1">((SUBSIDIO!$L$79*SUBSIDIO!$Z$79)+(SUBSIDIO!$N$79*SUBSIDIO!$AA$79))*(0.03)/(1-0.03)</f>
        <v>50337.64067994339</v>
      </c>
      <c r="AF79" s="3" t="s">
        <v>1025</v>
      </c>
    </row>
    <row r="80" spans="1:32" ht="11.25" customHeight="1" x14ac:dyDescent="0.25">
      <c r="A80" s="3" t="s">
        <v>21</v>
      </c>
      <c r="B80" s="3" t="s">
        <v>39</v>
      </c>
      <c r="C80" s="3" t="s">
        <v>40</v>
      </c>
      <c r="D80" s="3" t="s">
        <v>50</v>
      </c>
      <c r="E80" s="3" t="s">
        <v>51</v>
      </c>
      <c r="F80" s="3" t="s">
        <v>25</v>
      </c>
      <c r="G80" s="3" t="s">
        <v>25</v>
      </c>
      <c r="H80" s="3" t="s">
        <v>34</v>
      </c>
      <c r="I80" s="6">
        <v>44287</v>
      </c>
      <c r="J80" s="4">
        <v>3763</v>
      </c>
      <c r="K80" s="57">
        <v>3763</v>
      </c>
      <c r="L80" s="4">
        <v>218.589</v>
      </c>
      <c r="M80" s="56">
        <v>218.589</v>
      </c>
      <c r="N80" s="4">
        <v>218.589</v>
      </c>
      <c r="O80" s="56">
        <v>218.589</v>
      </c>
      <c r="P80" s="4">
        <v>0</v>
      </c>
      <c r="Q80" s="3" t="s">
        <v>26</v>
      </c>
      <c r="R80" s="3">
        <v>0</v>
      </c>
      <c r="S80" s="3">
        <v>4</v>
      </c>
      <c r="T80" s="3">
        <v>6</v>
      </c>
      <c r="U80" s="3">
        <v>86</v>
      </c>
      <c r="V80" s="56">
        <f>IF(ISERROR(VLOOKUP($S$80,'TAR FIN'!$A$1:$O$113,15,0)),0,VLOOKUP($S$80,'TAR FIN'!$A$1:$O$113,15,0))*(1-0.06)</f>
        <v>26.639599999999998</v>
      </c>
      <c r="W80" s="56">
        <f>IF(ISERROR(VLOOKUP($T$80,'TAR FIN'!$A$1:$O$113,15,0)),0,VLOOKUP($T$80,'TAR FIN'!$A$1:$O$113,15,0))*(1-0.06)</f>
        <v>33.708399999999997</v>
      </c>
      <c r="X80" s="56">
        <f>IF(ISERROR(VLOOKUP($U$80,'TAR FIN'!$A$1:$O$113,15,0)),0,VLOOKUP($U$80,'TAR FIN'!$A$1:$O$113,15,0))*(1-0.06)</f>
        <v>343.57</v>
      </c>
      <c r="Y80" s="56">
        <f ca="1">('TUSD BE'!$AM$5+'TUSD BF'!$AM$5+'TUSD CVA'!$AM$5)*1*(1-0.03)</f>
        <v>30.391927526336211</v>
      </c>
      <c r="Z80" s="56">
        <f ca="1">('TUSD BE'!$AM$7+'TUSD BF'!$AM$7+'TUSD CVA'!$AM$7)*1*(1-0.03)</f>
        <v>44.567666997499316</v>
      </c>
      <c r="AA80" s="56">
        <f>('TE BE'!$AA$5+'TE BF'!$AA$5+'TE CVA'!$AA$5)*1*(1-0.03)</f>
        <v>350.70363015859192</v>
      </c>
      <c r="AB80" s="56">
        <f>(SUBSIDIO!$J$80*SUBSIDIO!$V$80)*(0.06)/(1-0.06)</f>
        <v>6398.6052</v>
      </c>
      <c r="AC80" s="56">
        <f>((SUBSIDIO!$L$80*SUBSIDIO!$W$80)+(SUBSIDIO!$N$80*SUBSIDIO!$X$80))*(0.06)/(1-0.06)</f>
        <v>5263.9728624000008</v>
      </c>
      <c r="AD80" s="56">
        <f ca="1">(SUBSIDIO!$J$80*SUBSIDIO!$Y$80)*(0.03)/(1-0.03)</f>
        <v>3537.0563901526752</v>
      </c>
      <c r="AE80" s="56">
        <f ca="1">((SUBSIDIO!$L$80*SUBSIDIO!$Z$80)+(SUBSIDIO!$N$80*SUBSIDIO!$AA$80))*(0.03)/(1-0.03)</f>
        <v>2672.2254919810152</v>
      </c>
      <c r="AF80" s="3" t="s">
        <v>1025</v>
      </c>
    </row>
    <row r="81" spans="1:32" ht="11.25" customHeight="1" x14ac:dyDescent="0.25">
      <c r="A81" s="3" t="s">
        <v>21</v>
      </c>
      <c r="B81" s="3" t="s">
        <v>39</v>
      </c>
      <c r="C81" s="3" t="s">
        <v>40</v>
      </c>
      <c r="D81" s="3" t="s">
        <v>50</v>
      </c>
      <c r="E81" s="3" t="s">
        <v>51</v>
      </c>
      <c r="F81" s="3" t="s">
        <v>25</v>
      </c>
      <c r="G81" s="3" t="s">
        <v>25</v>
      </c>
      <c r="H81" s="3" t="s">
        <v>34</v>
      </c>
      <c r="I81" s="6">
        <v>44317</v>
      </c>
      <c r="J81" s="4">
        <v>3700</v>
      </c>
      <c r="K81" s="57">
        <v>3700</v>
      </c>
      <c r="L81" s="4">
        <v>229.916</v>
      </c>
      <c r="M81" s="56">
        <v>229.916</v>
      </c>
      <c r="N81" s="4">
        <v>229.916</v>
      </c>
      <c r="O81" s="56">
        <v>229.916</v>
      </c>
      <c r="P81" s="4">
        <v>0</v>
      </c>
      <c r="Q81" s="3" t="s">
        <v>26</v>
      </c>
      <c r="R81" s="3">
        <v>0</v>
      </c>
      <c r="S81" s="3">
        <v>4</v>
      </c>
      <c r="T81" s="3">
        <v>6</v>
      </c>
      <c r="U81" s="3">
        <v>86</v>
      </c>
      <c r="V81" s="56">
        <f>IF(ISERROR(VLOOKUP($S$81,'TAR FIN'!$A$1:$O$113,15,0)),0,VLOOKUP($S$81,'TAR FIN'!$A$1:$O$113,15,0))*(1-0.06)</f>
        <v>26.639599999999998</v>
      </c>
      <c r="W81" s="56">
        <f>IF(ISERROR(VLOOKUP($T$81,'TAR FIN'!$A$1:$O$113,15,0)),0,VLOOKUP($T$81,'TAR FIN'!$A$1:$O$113,15,0))*(1-0.06)</f>
        <v>33.708399999999997</v>
      </c>
      <c r="X81" s="56">
        <f>IF(ISERROR(VLOOKUP($U$81,'TAR FIN'!$A$1:$O$113,15,0)),0,VLOOKUP($U$81,'TAR FIN'!$A$1:$O$113,15,0))*(1-0.06)</f>
        <v>343.57</v>
      </c>
      <c r="Y81" s="56">
        <f ca="1">('TUSD BE'!$AM$5+'TUSD BF'!$AM$5+'TUSD CVA'!$AM$5)*1*(1-0.03)</f>
        <v>30.391927526336211</v>
      </c>
      <c r="Z81" s="56">
        <f ca="1">('TUSD BE'!$AM$7+'TUSD BF'!$AM$7+'TUSD CVA'!$AM$7)*1*(1-0.03)</f>
        <v>44.567666997499316</v>
      </c>
      <c r="AA81" s="56">
        <f>('TE BE'!$AA$5+'TE BF'!$AA$5+'TE CVA'!$AA$5)*1*(1-0.03)</f>
        <v>350.70363015859192</v>
      </c>
      <c r="AB81" s="56">
        <f>(SUBSIDIO!$J$81*SUBSIDIO!$V$81)*(0.06)/(1-0.06)</f>
        <v>6291.48</v>
      </c>
      <c r="AC81" s="56">
        <f>((SUBSIDIO!$L$81*SUBSIDIO!$W$81)+(SUBSIDIO!$N$81*SUBSIDIO!$X$81))*(0.06)/(1-0.06)</f>
        <v>5536.7451456000008</v>
      </c>
      <c r="AD81" s="56">
        <f ca="1">(SUBSIDIO!$J$81*SUBSIDIO!$Y$81)*(0.03)/(1-0.03)</f>
        <v>3477.8391293023906</v>
      </c>
      <c r="AE81" s="56">
        <f ca="1">((SUBSIDIO!$L$81*SUBSIDIO!$Z$81)+(SUBSIDIO!$N$81*SUBSIDIO!$AA$81))*(0.03)/(1-0.03)</f>
        <v>2810.696769802264</v>
      </c>
      <c r="AF81" s="3" t="s">
        <v>1025</v>
      </c>
    </row>
    <row r="82" spans="1:32" ht="11.25" customHeight="1" x14ac:dyDescent="0.25">
      <c r="A82" s="3" t="s">
        <v>21</v>
      </c>
      <c r="B82" s="3" t="s">
        <v>39</v>
      </c>
      <c r="C82" s="3" t="s">
        <v>40</v>
      </c>
      <c r="D82" s="3" t="s">
        <v>50</v>
      </c>
      <c r="E82" s="3" t="s">
        <v>51</v>
      </c>
      <c r="F82" s="3" t="s">
        <v>25</v>
      </c>
      <c r="G82" s="3" t="s">
        <v>25</v>
      </c>
      <c r="H82" s="3" t="s">
        <v>34</v>
      </c>
      <c r="I82" s="6">
        <v>44348</v>
      </c>
      <c r="J82" s="4">
        <v>3700</v>
      </c>
      <c r="K82" s="57">
        <v>3700</v>
      </c>
      <c r="L82" s="4">
        <v>229.82</v>
      </c>
      <c r="M82" s="56">
        <v>229.82</v>
      </c>
      <c r="N82" s="4">
        <v>229.82</v>
      </c>
      <c r="O82" s="56">
        <v>229.82</v>
      </c>
      <c r="P82" s="4">
        <v>0</v>
      </c>
      <c r="Q82" s="3" t="s">
        <v>26</v>
      </c>
      <c r="R82" s="3">
        <v>0</v>
      </c>
      <c r="S82" s="3">
        <v>4</v>
      </c>
      <c r="T82" s="3">
        <v>6</v>
      </c>
      <c r="U82" s="3">
        <v>86</v>
      </c>
      <c r="V82" s="56">
        <f>IF(ISERROR(VLOOKUP($S$82,'TAR FIN'!$A$1:$O$113,15,0)),0,VLOOKUP($S$82,'TAR FIN'!$A$1:$O$113,15,0))*(1-0.06)</f>
        <v>26.639599999999998</v>
      </c>
      <c r="W82" s="56">
        <f>IF(ISERROR(VLOOKUP($T$82,'TAR FIN'!$A$1:$O$113,15,0)),0,VLOOKUP($T$82,'TAR FIN'!$A$1:$O$113,15,0))*(1-0.06)</f>
        <v>33.708399999999997</v>
      </c>
      <c r="X82" s="56">
        <f>IF(ISERROR(VLOOKUP($U$82,'TAR FIN'!$A$1:$O$113,15,0)),0,VLOOKUP($U$82,'TAR FIN'!$A$1:$O$113,15,0))*(1-0.06)</f>
        <v>343.57</v>
      </c>
      <c r="Y82" s="56">
        <f ca="1">('TUSD BE'!$AM$5+'TUSD BF'!$AM$5+'TUSD CVA'!$AM$5)*1*(1-0.03)</f>
        <v>30.391927526336211</v>
      </c>
      <c r="Z82" s="56">
        <f ca="1">('TUSD BE'!$AM$7+'TUSD BF'!$AM$7+'TUSD CVA'!$AM$7)*1*(1-0.03)</f>
        <v>44.567666997499316</v>
      </c>
      <c r="AA82" s="56">
        <f>('TE BE'!$AA$5+'TE BF'!$AA$5+'TE CVA'!$AA$5)*1*(1-0.03)</f>
        <v>350.70363015859192</v>
      </c>
      <c r="AB82" s="56">
        <f>(SUBSIDIO!$J$82*SUBSIDIO!$V$82)*(0.06)/(1-0.06)</f>
        <v>6291.48</v>
      </c>
      <c r="AC82" s="56">
        <f>((SUBSIDIO!$L$82*SUBSIDIO!$W$82)+(SUBSIDIO!$N$82*SUBSIDIO!$X$82))*(0.06)/(1-0.06)</f>
        <v>5534.4333120000001</v>
      </c>
      <c r="AD82" s="56">
        <f ca="1">(SUBSIDIO!$J$82*SUBSIDIO!$Y$82)*(0.03)/(1-0.03)</f>
        <v>3477.8391293023906</v>
      </c>
      <c r="AE82" s="56">
        <f ca="1">((SUBSIDIO!$L$82*SUBSIDIO!$Z$82)+(SUBSIDIO!$N$82*SUBSIDIO!$AA$82))*(0.03)/(1-0.03)</f>
        <v>2809.523180796275</v>
      </c>
      <c r="AF82" s="3" t="s">
        <v>1025</v>
      </c>
    </row>
    <row r="83" spans="1:32" ht="11.25" customHeight="1" x14ac:dyDescent="0.25">
      <c r="A83" s="3" t="s">
        <v>21</v>
      </c>
      <c r="B83" s="3" t="s">
        <v>39</v>
      </c>
      <c r="C83" s="3" t="s">
        <v>40</v>
      </c>
      <c r="D83" s="3" t="s">
        <v>50</v>
      </c>
      <c r="E83" s="3" t="s">
        <v>51</v>
      </c>
      <c r="F83" s="3" t="s">
        <v>25</v>
      </c>
      <c r="G83" s="3" t="s">
        <v>25</v>
      </c>
      <c r="H83" s="3" t="s">
        <v>34</v>
      </c>
      <c r="I83" s="6">
        <v>44378</v>
      </c>
      <c r="J83" s="4">
        <v>3746</v>
      </c>
      <c r="K83" s="57">
        <v>3746</v>
      </c>
      <c r="L83" s="4">
        <v>241.227</v>
      </c>
      <c r="M83" s="56">
        <v>241.227</v>
      </c>
      <c r="N83" s="4">
        <v>241.227</v>
      </c>
      <c r="O83" s="56">
        <v>241.227</v>
      </c>
      <c r="P83" s="4">
        <v>0</v>
      </c>
      <c r="Q83" s="3" t="s">
        <v>26</v>
      </c>
      <c r="R83" s="3">
        <v>0</v>
      </c>
      <c r="S83" s="3">
        <v>4</v>
      </c>
      <c r="T83" s="3">
        <v>6</v>
      </c>
      <c r="U83" s="3">
        <v>86</v>
      </c>
      <c r="V83" s="56">
        <f>IF(ISERROR(VLOOKUP($S$83,'TAR FIN'!$A$1:$O$113,15,0)),0,VLOOKUP($S$83,'TAR FIN'!$A$1:$O$113,15,0))*(1-0.06)</f>
        <v>26.639599999999998</v>
      </c>
      <c r="W83" s="56">
        <f>IF(ISERROR(VLOOKUP($T$83,'TAR FIN'!$A$1:$O$113,15,0)),0,VLOOKUP($T$83,'TAR FIN'!$A$1:$O$113,15,0))*(1-0.06)</f>
        <v>33.708399999999997</v>
      </c>
      <c r="X83" s="56">
        <f>IF(ISERROR(VLOOKUP($U$83,'TAR FIN'!$A$1:$O$113,15,0)),0,VLOOKUP($U$83,'TAR FIN'!$A$1:$O$113,15,0))*(1-0.06)</f>
        <v>343.57</v>
      </c>
      <c r="Y83" s="56">
        <f ca="1">('TUSD BE'!$AM$5+'TUSD BF'!$AM$5+'TUSD CVA'!$AM$5)*1*(1-0.03)</f>
        <v>30.391927526336211</v>
      </c>
      <c r="Z83" s="56">
        <f ca="1">('TUSD BE'!$AM$7+'TUSD BF'!$AM$7+'TUSD CVA'!$AM$7)*1*(1-0.03)</f>
        <v>44.567666997499316</v>
      </c>
      <c r="AA83" s="56">
        <f>('TE BE'!$AA$5+'TE BF'!$AA$5+'TE CVA'!$AA$5)*1*(1-0.03)</f>
        <v>350.70363015859192</v>
      </c>
      <c r="AB83" s="56">
        <f>(SUBSIDIO!$J$83*SUBSIDIO!$V$83)*(0.06)/(1-0.06)</f>
        <v>6369.6983999999993</v>
      </c>
      <c r="AC83" s="56">
        <f>((SUBSIDIO!$L$83*SUBSIDIO!$W$83)+(SUBSIDIO!$N$83*SUBSIDIO!$X$83))*(0.06)/(1-0.06)</f>
        <v>5809.1321232</v>
      </c>
      <c r="AD83" s="56">
        <f ca="1">(SUBSIDIO!$J$83*SUBSIDIO!$Y$83)*(0.03)/(1-0.03)</f>
        <v>3521.0771292883123</v>
      </c>
      <c r="AE83" s="56">
        <f ca="1">((SUBSIDIO!$L$83*SUBSIDIO!$Z$83)+(SUBSIDIO!$N$83*SUBSIDIO!$AA$83))*(0.03)/(1-0.03)</f>
        <v>2948.9724494558482</v>
      </c>
      <c r="AF83" s="3" t="s">
        <v>1025</v>
      </c>
    </row>
    <row r="84" spans="1:32" ht="11.25" customHeight="1" x14ac:dyDescent="0.25">
      <c r="A84" s="3" t="s">
        <v>21</v>
      </c>
      <c r="B84" s="3" t="s">
        <v>39</v>
      </c>
      <c r="C84" s="3" t="s">
        <v>61</v>
      </c>
      <c r="D84" s="3" t="s">
        <v>25</v>
      </c>
      <c r="E84" s="3" t="s">
        <v>25</v>
      </c>
      <c r="F84" s="3" t="s">
        <v>64</v>
      </c>
      <c r="G84" s="3" t="s">
        <v>65</v>
      </c>
      <c r="H84" s="3" t="s">
        <v>25</v>
      </c>
      <c r="I84" s="6">
        <v>44287</v>
      </c>
      <c r="J84" s="4">
        <v>0</v>
      </c>
      <c r="K84" s="4">
        <v>0</v>
      </c>
      <c r="L84" s="4">
        <v>0</v>
      </c>
      <c r="M84" s="4">
        <v>0</v>
      </c>
      <c r="N84" s="4">
        <v>31409.545999999998</v>
      </c>
      <c r="O84" s="4">
        <v>31409.545999999998</v>
      </c>
      <c r="P84" s="4">
        <v>0</v>
      </c>
      <c r="Q84" s="3" t="s">
        <v>66</v>
      </c>
      <c r="R84" s="3">
        <v>46</v>
      </c>
      <c r="S84" s="3">
        <v>0</v>
      </c>
      <c r="T84" s="3">
        <v>0</v>
      </c>
      <c r="U84" s="3">
        <v>90</v>
      </c>
      <c r="V84" s="4">
        <f>IF(ISERROR(VLOOKUP($S$84,'TAR FIN'!$A$1:$O$113,15,0)),0,VLOOKUP($S$84,'TAR FIN'!$A$1:$O$113,15,0))</f>
        <v>0</v>
      </c>
      <c r="W84" s="4">
        <f>IF(ISERROR(VLOOKUP($T$84,'TAR FIN'!$A$1:$O$113,15,0)),0,VLOOKUP($T$84,'TAR FIN'!$A$1:$O$113,15,0))</f>
        <v>0</v>
      </c>
      <c r="X84" s="4">
        <f>IF(ISERROR(VLOOKUP($U$84,'TAR FIN'!$A$1:$O$113,15,0)),0,VLOOKUP($U$84,'TAR FIN'!$A$1:$O$113,15,0))</f>
        <v>230.1</v>
      </c>
      <c r="Y84" s="4">
        <f ca="1">0.72*('TUSD BE'!$AM$9+'TUSD BF'!$AM$9+'TUSD CVA'!$AM$9)*1+('TUSD BE'!$AM$10+'TUSD BF'!$AM$10+'TUSD CVA'!$AM$10)*1</f>
        <v>36.211271580834378</v>
      </c>
      <c r="Z84" s="4">
        <f ca="1">('TUSD BE'!$AM$11+'TUSD BF'!$AM$11+'TUSD CVA'!$AM$11)*1</f>
        <v>4.6233666364282548</v>
      </c>
      <c r="AA84" s="4">
        <f>('TE BE'!$AA$7+'TE BF'!$AA$7+'TE CVA'!$AA$7)*1</f>
        <v>253.57775100318744</v>
      </c>
      <c r="AB84" s="4">
        <f t="shared" ref="AB84:AB129" si="6">(J84-K84)*V84</f>
        <v>0</v>
      </c>
      <c r="AC84" s="4">
        <f t="shared" ref="AC84:AC129" si="7">(L84-M84)*W84+(N84-O84)*X84</f>
        <v>0</v>
      </c>
      <c r="AD84" s="4">
        <f t="shared" ref="AD84:AD129" ca="1" si="8">(J84-K84)*Y84</f>
        <v>0</v>
      </c>
      <c r="AE84" s="4">
        <f t="shared" ref="AE84:AE129" ca="1" si="9">(L84-M84)*Z84+(N84-O84)*AA84</f>
        <v>0</v>
      </c>
      <c r="AF84" s="3" t="s">
        <v>1026</v>
      </c>
    </row>
    <row r="85" spans="1:32" ht="11.25" customHeight="1" x14ac:dyDescent="0.25">
      <c r="A85" s="3" t="s">
        <v>21</v>
      </c>
      <c r="B85" s="3" t="s">
        <v>39</v>
      </c>
      <c r="C85" s="3" t="s">
        <v>61</v>
      </c>
      <c r="D85" s="3" t="s">
        <v>25</v>
      </c>
      <c r="E85" s="3" t="s">
        <v>25</v>
      </c>
      <c r="F85" s="3" t="s">
        <v>64</v>
      </c>
      <c r="G85" s="3" t="s">
        <v>65</v>
      </c>
      <c r="H85" s="3" t="s">
        <v>25</v>
      </c>
      <c r="I85" s="6">
        <v>44317</v>
      </c>
      <c r="J85" s="4">
        <v>0</v>
      </c>
      <c r="K85" s="4">
        <v>0</v>
      </c>
      <c r="L85" s="4">
        <v>0</v>
      </c>
      <c r="M85" s="4">
        <v>0</v>
      </c>
      <c r="N85" s="4">
        <v>28670.883999999998</v>
      </c>
      <c r="O85" s="4">
        <v>28670.883999999998</v>
      </c>
      <c r="P85" s="4">
        <v>0</v>
      </c>
      <c r="Q85" s="3" t="s">
        <v>66</v>
      </c>
      <c r="R85" s="3">
        <v>46</v>
      </c>
      <c r="S85" s="3">
        <v>0</v>
      </c>
      <c r="T85" s="3">
        <v>0</v>
      </c>
      <c r="U85" s="3">
        <v>90</v>
      </c>
      <c r="V85" s="4">
        <f>IF(ISERROR(VLOOKUP($S$85,'TAR FIN'!$A$1:$O$113,15,0)),0,VLOOKUP($S$85,'TAR FIN'!$A$1:$O$113,15,0))</f>
        <v>0</v>
      </c>
      <c r="W85" s="4">
        <f>IF(ISERROR(VLOOKUP($T$85,'TAR FIN'!$A$1:$O$113,15,0)),0,VLOOKUP($T$85,'TAR FIN'!$A$1:$O$113,15,0))</f>
        <v>0</v>
      </c>
      <c r="X85" s="4">
        <f>IF(ISERROR(VLOOKUP($U$85,'TAR FIN'!$A$1:$O$113,15,0)),0,VLOOKUP($U$85,'TAR FIN'!$A$1:$O$113,15,0))</f>
        <v>230.1</v>
      </c>
      <c r="Y85" s="4">
        <f ca="1">0.72*('TUSD BE'!$AM$9+'TUSD BF'!$AM$9+'TUSD CVA'!$AM$9)*1+('TUSD BE'!$AM$10+'TUSD BF'!$AM$10+'TUSD CVA'!$AM$10)*1</f>
        <v>36.211271580834378</v>
      </c>
      <c r="Z85" s="4">
        <f ca="1">('TUSD BE'!$AM$11+'TUSD BF'!$AM$11+'TUSD CVA'!$AM$11)*1</f>
        <v>4.6233666364282548</v>
      </c>
      <c r="AA85" s="4">
        <f>('TE BE'!$AA$7+'TE BF'!$AA$7+'TE CVA'!$AA$7)*1</f>
        <v>253.57775100318744</v>
      </c>
      <c r="AB85" s="4">
        <f t="shared" si="6"/>
        <v>0</v>
      </c>
      <c r="AC85" s="4">
        <f t="shared" si="7"/>
        <v>0</v>
      </c>
      <c r="AD85" s="4">
        <f t="shared" ca="1" si="8"/>
        <v>0</v>
      </c>
      <c r="AE85" s="4">
        <f t="shared" ca="1" si="9"/>
        <v>0</v>
      </c>
      <c r="AF85" s="3" t="s">
        <v>1026</v>
      </c>
    </row>
    <row r="86" spans="1:32" ht="11.25" customHeight="1" x14ac:dyDescent="0.25">
      <c r="A86" s="3" t="s">
        <v>21</v>
      </c>
      <c r="B86" s="3" t="s">
        <v>39</v>
      </c>
      <c r="C86" s="3" t="s">
        <v>61</v>
      </c>
      <c r="D86" s="3" t="s">
        <v>25</v>
      </c>
      <c r="E86" s="3" t="s">
        <v>25</v>
      </c>
      <c r="F86" s="3" t="s">
        <v>64</v>
      </c>
      <c r="G86" s="3" t="s">
        <v>65</v>
      </c>
      <c r="H86" s="3" t="s">
        <v>25</v>
      </c>
      <c r="I86" s="6">
        <v>44348</v>
      </c>
      <c r="J86" s="4">
        <v>0</v>
      </c>
      <c r="K86" s="4">
        <v>0</v>
      </c>
      <c r="L86" s="4">
        <v>0</v>
      </c>
      <c r="M86" s="4">
        <v>0</v>
      </c>
      <c r="N86" s="4">
        <v>27604.213</v>
      </c>
      <c r="O86" s="4">
        <v>27604.213</v>
      </c>
      <c r="P86" s="4">
        <v>0</v>
      </c>
      <c r="Q86" s="3" t="s">
        <v>66</v>
      </c>
      <c r="R86" s="3">
        <v>46</v>
      </c>
      <c r="S86" s="3">
        <v>0</v>
      </c>
      <c r="T86" s="3">
        <v>0</v>
      </c>
      <c r="U86" s="3">
        <v>90</v>
      </c>
      <c r="V86" s="4">
        <f>IF(ISERROR(VLOOKUP($S$86,'TAR FIN'!$A$1:$O$113,15,0)),0,VLOOKUP($S$86,'TAR FIN'!$A$1:$O$113,15,0))</f>
        <v>0</v>
      </c>
      <c r="W86" s="4">
        <f>IF(ISERROR(VLOOKUP($T$86,'TAR FIN'!$A$1:$O$113,15,0)),0,VLOOKUP($T$86,'TAR FIN'!$A$1:$O$113,15,0))</f>
        <v>0</v>
      </c>
      <c r="X86" s="4">
        <f>IF(ISERROR(VLOOKUP($U$86,'TAR FIN'!$A$1:$O$113,15,0)),0,VLOOKUP($U$86,'TAR FIN'!$A$1:$O$113,15,0))</f>
        <v>230.1</v>
      </c>
      <c r="Y86" s="4">
        <f ca="1">0.72*('TUSD BE'!$AM$9+'TUSD BF'!$AM$9+'TUSD CVA'!$AM$9)*1+('TUSD BE'!$AM$10+'TUSD BF'!$AM$10+'TUSD CVA'!$AM$10)*1</f>
        <v>36.211271580834378</v>
      </c>
      <c r="Z86" s="4">
        <f ca="1">('TUSD BE'!$AM$11+'TUSD BF'!$AM$11+'TUSD CVA'!$AM$11)*1</f>
        <v>4.6233666364282548</v>
      </c>
      <c r="AA86" s="4">
        <f>('TE BE'!$AA$7+'TE BF'!$AA$7+'TE CVA'!$AA$7)*1</f>
        <v>253.57775100318744</v>
      </c>
      <c r="AB86" s="4">
        <f t="shared" si="6"/>
        <v>0</v>
      </c>
      <c r="AC86" s="4">
        <f t="shared" si="7"/>
        <v>0</v>
      </c>
      <c r="AD86" s="4">
        <f t="shared" ca="1" si="8"/>
        <v>0</v>
      </c>
      <c r="AE86" s="4">
        <f t="shared" ca="1" si="9"/>
        <v>0</v>
      </c>
      <c r="AF86" s="3" t="s">
        <v>1026</v>
      </c>
    </row>
    <row r="87" spans="1:32" ht="11.25" customHeight="1" x14ac:dyDescent="0.25">
      <c r="A87" s="3" t="s">
        <v>21</v>
      </c>
      <c r="B87" s="3" t="s">
        <v>39</v>
      </c>
      <c r="C87" s="3" t="s">
        <v>61</v>
      </c>
      <c r="D87" s="3" t="s">
        <v>25</v>
      </c>
      <c r="E87" s="3" t="s">
        <v>25</v>
      </c>
      <c r="F87" s="3" t="s">
        <v>64</v>
      </c>
      <c r="G87" s="3" t="s">
        <v>65</v>
      </c>
      <c r="H87" s="3" t="s">
        <v>25</v>
      </c>
      <c r="I87" s="6">
        <v>44378</v>
      </c>
      <c r="J87" s="4">
        <v>0</v>
      </c>
      <c r="K87" s="4">
        <v>0</v>
      </c>
      <c r="L87" s="4">
        <v>0</v>
      </c>
      <c r="M87" s="4">
        <v>0</v>
      </c>
      <c r="N87" s="4">
        <v>26724.085999999999</v>
      </c>
      <c r="O87" s="4">
        <v>26724.085999999999</v>
      </c>
      <c r="P87" s="4">
        <v>0</v>
      </c>
      <c r="Q87" s="3" t="s">
        <v>66</v>
      </c>
      <c r="R87" s="3">
        <v>46</v>
      </c>
      <c r="S87" s="3">
        <v>0</v>
      </c>
      <c r="T87" s="3">
        <v>0</v>
      </c>
      <c r="U87" s="3">
        <v>90</v>
      </c>
      <c r="V87" s="4">
        <f>IF(ISERROR(VLOOKUP($S$87,'TAR FIN'!$A$1:$O$113,15,0)),0,VLOOKUP($S$87,'TAR FIN'!$A$1:$O$113,15,0))</f>
        <v>0</v>
      </c>
      <c r="W87" s="4">
        <f>IF(ISERROR(VLOOKUP($T$87,'TAR FIN'!$A$1:$O$113,15,0)),0,VLOOKUP($T$87,'TAR FIN'!$A$1:$O$113,15,0))</f>
        <v>0</v>
      </c>
      <c r="X87" s="4">
        <f>IF(ISERROR(VLOOKUP($U$87,'TAR FIN'!$A$1:$O$113,15,0)),0,VLOOKUP($U$87,'TAR FIN'!$A$1:$O$113,15,0))</f>
        <v>230.1</v>
      </c>
      <c r="Y87" s="4">
        <f ca="1">0.72*('TUSD BE'!$AM$9+'TUSD BF'!$AM$9+'TUSD CVA'!$AM$9)*1+('TUSD BE'!$AM$10+'TUSD BF'!$AM$10+'TUSD CVA'!$AM$10)*1</f>
        <v>36.211271580834378</v>
      </c>
      <c r="Z87" s="4">
        <f ca="1">('TUSD BE'!$AM$11+'TUSD BF'!$AM$11+'TUSD CVA'!$AM$11)*1</f>
        <v>4.6233666364282548</v>
      </c>
      <c r="AA87" s="4">
        <f>('TE BE'!$AA$7+'TE BF'!$AA$7+'TE CVA'!$AA$7)*1</f>
        <v>253.57775100318744</v>
      </c>
      <c r="AB87" s="4">
        <f t="shared" si="6"/>
        <v>0</v>
      </c>
      <c r="AC87" s="4">
        <f t="shared" si="7"/>
        <v>0</v>
      </c>
      <c r="AD87" s="4">
        <f t="shared" ca="1" si="8"/>
        <v>0</v>
      </c>
      <c r="AE87" s="4">
        <f t="shared" ca="1" si="9"/>
        <v>0</v>
      </c>
      <c r="AF87" s="3" t="s">
        <v>1026</v>
      </c>
    </row>
    <row r="88" spans="1:32" ht="11.25" customHeight="1" x14ac:dyDescent="0.25">
      <c r="A88" s="3" t="s">
        <v>21</v>
      </c>
      <c r="B88" s="3" t="s">
        <v>39</v>
      </c>
      <c r="C88" s="3" t="s">
        <v>61</v>
      </c>
      <c r="D88" s="3" t="s">
        <v>25</v>
      </c>
      <c r="E88" s="3" t="s">
        <v>25</v>
      </c>
      <c r="F88" s="3" t="s">
        <v>64</v>
      </c>
      <c r="G88" s="3" t="s">
        <v>65</v>
      </c>
      <c r="H88" s="3" t="s">
        <v>25</v>
      </c>
      <c r="I88" s="6">
        <v>44409</v>
      </c>
      <c r="J88" s="4">
        <v>0</v>
      </c>
      <c r="K88" s="4">
        <v>0</v>
      </c>
      <c r="L88" s="4">
        <v>0</v>
      </c>
      <c r="M88" s="4">
        <v>0</v>
      </c>
      <c r="N88" s="4">
        <v>26608.66</v>
      </c>
      <c r="O88" s="4">
        <v>26608.66</v>
      </c>
      <c r="P88" s="4">
        <v>0</v>
      </c>
      <c r="Q88" s="3" t="s">
        <v>66</v>
      </c>
      <c r="R88" s="3">
        <v>46</v>
      </c>
      <c r="S88" s="3">
        <v>0</v>
      </c>
      <c r="T88" s="3">
        <v>0</v>
      </c>
      <c r="U88" s="3">
        <v>90</v>
      </c>
      <c r="V88" s="4">
        <f>IF(ISERROR(VLOOKUP($S$88,'TAR FIN'!$A$1:$O$113,15,0)),0,VLOOKUP($S$88,'TAR FIN'!$A$1:$O$113,15,0))</f>
        <v>0</v>
      </c>
      <c r="W88" s="4">
        <f>IF(ISERROR(VLOOKUP($T$88,'TAR FIN'!$A$1:$O$113,15,0)),0,VLOOKUP($T$88,'TAR FIN'!$A$1:$O$113,15,0))</f>
        <v>0</v>
      </c>
      <c r="X88" s="4">
        <f>IF(ISERROR(VLOOKUP($U$88,'TAR FIN'!$A$1:$O$113,15,0)),0,VLOOKUP($U$88,'TAR FIN'!$A$1:$O$113,15,0))</f>
        <v>230.1</v>
      </c>
      <c r="Y88" s="4">
        <f ca="1">0.72*('TUSD BE'!$AM$9+'TUSD BF'!$AM$9+'TUSD CVA'!$AM$9)*1+('TUSD BE'!$AM$10+'TUSD BF'!$AM$10+'TUSD CVA'!$AM$10)*1</f>
        <v>36.211271580834378</v>
      </c>
      <c r="Z88" s="4">
        <f ca="1">('TUSD BE'!$AM$11+'TUSD BF'!$AM$11+'TUSD CVA'!$AM$11)*1</f>
        <v>4.6233666364282548</v>
      </c>
      <c r="AA88" s="4">
        <f>('TE BE'!$AA$7+'TE BF'!$AA$7+'TE CVA'!$AA$7)*1</f>
        <v>253.57775100318744</v>
      </c>
      <c r="AB88" s="4">
        <f t="shared" si="6"/>
        <v>0</v>
      </c>
      <c r="AC88" s="4">
        <f t="shared" si="7"/>
        <v>0</v>
      </c>
      <c r="AD88" s="4">
        <f t="shared" ca="1" si="8"/>
        <v>0</v>
      </c>
      <c r="AE88" s="4">
        <f t="shared" ca="1" si="9"/>
        <v>0</v>
      </c>
      <c r="AF88" s="3" t="s">
        <v>1026</v>
      </c>
    </row>
    <row r="89" spans="1:32" ht="11.25" customHeight="1" x14ac:dyDescent="0.25">
      <c r="A89" s="3" t="s">
        <v>21</v>
      </c>
      <c r="B89" s="3" t="s">
        <v>39</v>
      </c>
      <c r="C89" s="3" t="s">
        <v>61</v>
      </c>
      <c r="D89" s="3" t="s">
        <v>25</v>
      </c>
      <c r="E89" s="3" t="s">
        <v>25</v>
      </c>
      <c r="F89" s="3" t="s">
        <v>64</v>
      </c>
      <c r="G89" s="3" t="s">
        <v>65</v>
      </c>
      <c r="H89" s="3" t="s">
        <v>25</v>
      </c>
      <c r="I89" s="6">
        <v>44440</v>
      </c>
      <c r="J89" s="4">
        <v>0</v>
      </c>
      <c r="K89" s="4">
        <v>0</v>
      </c>
      <c r="L89" s="4">
        <v>0</v>
      </c>
      <c r="M89" s="4">
        <v>0</v>
      </c>
      <c r="N89" s="4">
        <v>26590.552</v>
      </c>
      <c r="O89" s="4">
        <v>26590.552</v>
      </c>
      <c r="P89" s="4">
        <v>0</v>
      </c>
      <c r="Q89" s="3" t="s">
        <v>66</v>
      </c>
      <c r="R89" s="3">
        <v>46</v>
      </c>
      <c r="S89" s="3">
        <v>0</v>
      </c>
      <c r="T89" s="3">
        <v>0</v>
      </c>
      <c r="U89" s="3">
        <v>90</v>
      </c>
      <c r="V89" s="4">
        <f>IF(ISERROR(VLOOKUP($S$89,'TAR FIN'!$A$1:$O$113,15,0)),0,VLOOKUP($S$89,'TAR FIN'!$A$1:$O$113,15,0))</f>
        <v>0</v>
      </c>
      <c r="W89" s="4">
        <f>IF(ISERROR(VLOOKUP($T$89,'TAR FIN'!$A$1:$O$113,15,0)),0,VLOOKUP($T$89,'TAR FIN'!$A$1:$O$113,15,0))</f>
        <v>0</v>
      </c>
      <c r="X89" s="4">
        <f>IF(ISERROR(VLOOKUP($U$89,'TAR FIN'!$A$1:$O$113,15,0)),0,VLOOKUP($U$89,'TAR FIN'!$A$1:$O$113,15,0))</f>
        <v>230.1</v>
      </c>
      <c r="Y89" s="4">
        <f ca="1">0.72*('TUSD BE'!$AM$9+'TUSD BF'!$AM$9+'TUSD CVA'!$AM$9)*1+('TUSD BE'!$AM$10+'TUSD BF'!$AM$10+'TUSD CVA'!$AM$10)*1</f>
        <v>36.211271580834378</v>
      </c>
      <c r="Z89" s="4">
        <f ca="1">('TUSD BE'!$AM$11+'TUSD BF'!$AM$11+'TUSD CVA'!$AM$11)*1</f>
        <v>4.6233666364282548</v>
      </c>
      <c r="AA89" s="4">
        <f>('TE BE'!$AA$7+'TE BF'!$AA$7+'TE CVA'!$AA$7)*1</f>
        <v>253.57775100318744</v>
      </c>
      <c r="AB89" s="4">
        <f t="shared" si="6"/>
        <v>0</v>
      </c>
      <c r="AC89" s="4">
        <f t="shared" si="7"/>
        <v>0</v>
      </c>
      <c r="AD89" s="4">
        <f t="shared" ca="1" si="8"/>
        <v>0</v>
      </c>
      <c r="AE89" s="4">
        <f t="shared" ca="1" si="9"/>
        <v>0</v>
      </c>
      <c r="AF89" s="3" t="s">
        <v>1026</v>
      </c>
    </row>
    <row r="90" spans="1:32" ht="11.25" customHeight="1" x14ac:dyDescent="0.25">
      <c r="A90" s="3" t="s">
        <v>21</v>
      </c>
      <c r="B90" s="3" t="s">
        <v>39</v>
      </c>
      <c r="C90" s="3" t="s">
        <v>61</v>
      </c>
      <c r="D90" s="3" t="s">
        <v>25</v>
      </c>
      <c r="E90" s="3" t="s">
        <v>25</v>
      </c>
      <c r="F90" s="3" t="s">
        <v>64</v>
      </c>
      <c r="G90" s="3" t="s">
        <v>65</v>
      </c>
      <c r="H90" s="3" t="s">
        <v>25</v>
      </c>
      <c r="I90" s="6">
        <v>44470</v>
      </c>
      <c r="J90" s="4">
        <v>0</v>
      </c>
      <c r="K90" s="4">
        <v>0</v>
      </c>
      <c r="L90" s="4">
        <v>0</v>
      </c>
      <c r="M90" s="4">
        <v>0</v>
      </c>
      <c r="N90" s="4">
        <v>27481.698</v>
      </c>
      <c r="O90" s="4">
        <v>27481.698</v>
      </c>
      <c r="P90" s="4">
        <v>0</v>
      </c>
      <c r="Q90" s="3" t="s">
        <v>66</v>
      </c>
      <c r="R90" s="3">
        <v>46</v>
      </c>
      <c r="S90" s="3">
        <v>0</v>
      </c>
      <c r="T90" s="3">
        <v>0</v>
      </c>
      <c r="U90" s="3">
        <v>90</v>
      </c>
      <c r="V90" s="4">
        <f>IF(ISERROR(VLOOKUP($S$90,'TAR FIN'!$A$1:$O$113,15,0)),0,VLOOKUP($S$90,'TAR FIN'!$A$1:$O$113,15,0))</f>
        <v>0</v>
      </c>
      <c r="W90" s="4">
        <f>IF(ISERROR(VLOOKUP($T$90,'TAR FIN'!$A$1:$O$113,15,0)),0,VLOOKUP($T$90,'TAR FIN'!$A$1:$O$113,15,0))</f>
        <v>0</v>
      </c>
      <c r="X90" s="4">
        <f>IF(ISERROR(VLOOKUP($U$90,'TAR FIN'!$A$1:$O$113,15,0)),0,VLOOKUP($U$90,'TAR FIN'!$A$1:$O$113,15,0))</f>
        <v>230.1</v>
      </c>
      <c r="Y90" s="4">
        <f ca="1">0.72*('TUSD BE'!$AM$9+'TUSD BF'!$AM$9+'TUSD CVA'!$AM$9)*1+('TUSD BE'!$AM$10+'TUSD BF'!$AM$10+'TUSD CVA'!$AM$10)*1</f>
        <v>36.211271580834378</v>
      </c>
      <c r="Z90" s="4">
        <f ca="1">('TUSD BE'!$AM$11+'TUSD BF'!$AM$11+'TUSD CVA'!$AM$11)*1</f>
        <v>4.6233666364282548</v>
      </c>
      <c r="AA90" s="4">
        <f>('TE BE'!$AA$7+'TE BF'!$AA$7+'TE CVA'!$AA$7)*1</f>
        <v>253.57775100318744</v>
      </c>
      <c r="AB90" s="4">
        <f t="shared" si="6"/>
        <v>0</v>
      </c>
      <c r="AC90" s="4">
        <f t="shared" si="7"/>
        <v>0</v>
      </c>
      <c r="AD90" s="4">
        <f t="shared" ca="1" si="8"/>
        <v>0</v>
      </c>
      <c r="AE90" s="4">
        <f t="shared" ca="1" si="9"/>
        <v>0</v>
      </c>
      <c r="AF90" s="3" t="s">
        <v>1026</v>
      </c>
    </row>
    <row r="91" spans="1:32" ht="11.25" customHeight="1" x14ac:dyDescent="0.25">
      <c r="A91" s="3" t="s">
        <v>21</v>
      </c>
      <c r="B91" s="3" t="s">
        <v>39</v>
      </c>
      <c r="C91" s="3" t="s">
        <v>61</v>
      </c>
      <c r="D91" s="3" t="s">
        <v>25</v>
      </c>
      <c r="E91" s="3" t="s">
        <v>25</v>
      </c>
      <c r="F91" s="3" t="s">
        <v>64</v>
      </c>
      <c r="G91" s="3" t="s">
        <v>65</v>
      </c>
      <c r="H91" s="3" t="s">
        <v>25</v>
      </c>
      <c r="I91" s="6">
        <v>44501</v>
      </c>
      <c r="J91" s="4">
        <v>0</v>
      </c>
      <c r="K91" s="4">
        <v>0</v>
      </c>
      <c r="L91" s="4">
        <v>0</v>
      </c>
      <c r="M91" s="4">
        <v>0</v>
      </c>
      <c r="N91" s="4">
        <v>30223.920999999998</v>
      </c>
      <c r="O91" s="4">
        <v>30223.920999999998</v>
      </c>
      <c r="P91" s="4">
        <v>0</v>
      </c>
      <c r="Q91" s="3" t="s">
        <v>66</v>
      </c>
      <c r="R91" s="3">
        <v>46</v>
      </c>
      <c r="S91" s="3">
        <v>0</v>
      </c>
      <c r="T91" s="3">
        <v>0</v>
      </c>
      <c r="U91" s="3">
        <v>90</v>
      </c>
      <c r="V91" s="4">
        <f>IF(ISERROR(VLOOKUP($S$91,'TAR FIN'!$A$1:$O$113,15,0)),0,VLOOKUP($S$91,'TAR FIN'!$A$1:$O$113,15,0))</f>
        <v>0</v>
      </c>
      <c r="W91" s="4">
        <f>IF(ISERROR(VLOOKUP($T$91,'TAR FIN'!$A$1:$O$113,15,0)),0,VLOOKUP($T$91,'TAR FIN'!$A$1:$O$113,15,0))</f>
        <v>0</v>
      </c>
      <c r="X91" s="4">
        <f>IF(ISERROR(VLOOKUP($U$91,'TAR FIN'!$A$1:$O$113,15,0)),0,VLOOKUP($U$91,'TAR FIN'!$A$1:$O$113,15,0))</f>
        <v>230.1</v>
      </c>
      <c r="Y91" s="4">
        <f ca="1">0.72*('TUSD BE'!$AM$9+'TUSD BF'!$AM$9+'TUSD CVA'!$AM$9)*1+('TUSD BE'!$AM$10+'TUSD BF'!$AM$10+'TUSD CVA'!$AM$10)*1</f>
        <v>36.211271580834378</v>
      </c>
      <c r="Z91" s="4">
        <f ca="1">('TUSD BE'!$AM$11+'TUSD BF'!$AM$11+'TUSD CVA'!$AM$11)*1</f>
        <v>4.6233666364282548</v>
      </c>
      <c r="AA91" s="4">
        <f>('TE BE'!$AA$7+'TE BF'!$AA$7+'TE CVA'!$AA$7)*1</f>
        <v>253.57775100318744</v>
      </c>
      <c r="AB91" s="4">
        <f t="shared" si="6"/>
        <v>0</v>
      </c>
      <c r="AC91" s="4">
        <f t="shared" si="7"/>
        <v>0</v>
      </c>
      <c r="AD91" s="4">
        <f t="shared" ca="1" si="8"/>
        <v>0</v>
      </c>
      <c r="AE91" s="4">
        <f t="shared" ca="1" si="9"/>
        <v>0</v>
      </c>
      <c r="AF91" s="3" t="s">
        <v>1026</v>
      </c>
    </row>
    <row r="92" spans="1:32" ht="11.25" customHeight="1" x14ac:dyDescent="0.25">
      <c r="A92" s="3" t="s">
        <v>21</v>
      </c>
      <c r="B92" s="3" t="s">
        <v>39</v>
      </c>
      <c r="C92" s="3" t="s">
        <v>61</v>
      </c>
      <c r="D92" s="3" t="s">
        <v>25</v>
      </c>
      <c r="E92" s="3" t="s">
        <v>25</v>
      </c>
      <c r="F92" s="3" t="s">
        <v>64</v>
      </c>
      <c r="G92" s="3" t="s">
        <v>65</v>
      </c>
      <c r="H92" s="3" t="s">
        <v>25</v>
      </c>
      <c r="I92" s="6">
        <v>44531</v>
      </c>
      <c r="J92" s="4">
        <v>0</v>
      </c>
      <c r="K92" s="4">
        <v>0</v>
      </c>
      <c r="L92" s="4">
        <v>0</v>
      </c>
      <c r="M92" s="4">
        <v>0</v>
      </c>
      <c r="N92" s="4">
        <v>29399.271000000001</v>
      </c>
      <c r="O92" s="4">
        <v>29399.271000000001</v>
      </c>
      <c r="P92" s="4">
        <v>0</v>
      </c>
      <c r="Q92" s="3" t="s">
        <v>66</v>
      </c>
      <c r="R92" s="3">
        <v>46</v>
      </c>
      <c r="S92" s="3">
        <v>0</v>
      </c>
      <c r="T92" s="3">
        <v>0</v>
      </c>
      <c r="U92" s="3">
        <v>90</v>
      </c>
      <c r="V92" s="4">
        <f>IF(ISERROR(VLOOKUP($S$92,'TAR FIN'!$A$1:$O$113,15,0)),0,VLOOKUP($S$92,'TAR FIN'!$A$1:$O$113,15,0))</f>
        <v>0</v>
      </c>
      <c r="W92" s="4">
        <f>IF(ISERROR(VLOOKUP($T$92,'TAR FIN'!$A$1:$O$113,15,0)),0,VLOOKUP($T$92,'TAR FIN'!$A$1:$O$113,15,0))</f>
        <v>0</v>
      </c>
      <c r="X92" s="4">
        <f>IF(ISERROR(VLOOKUP($U$92,'TAR FIN'!$A$1:$O$113,15,0)),0,VLOOKUP($U$92,'TAR FIN'!$A$1:$O$113,15,0))</f>
        <v>230.1</v>
      </c>
      <c r="Y92" s="4">
        <f ca="1">0.72*('TUSD BE'!$AM$9+'TUSD BF'!$AM$9+'TUSD CVA'!$AM$9)*1+('TUSD BE'!$AM$10+'TUSD BF'!$AM$10+'TUSD CVA'!$AM$10)*1</f>
        <v>36.211271580834378</v>
      </c>
      <c r="Z92" s="4">
        <f ca="1">('TUSD BE'!$AM$11+'TUSD BF'!$AM$11+'TUSD CVA'!$AM$11)*1</f>
        <v>4.6233666364282548</v>
      </c>
      <c r="AA92" s="4">
        <f>('TE BE'!$AA$7+'TE BF'!$AA$7+'TE CVA'!$AA$7)*1</f>
        <v>253.57775100318744</v>
      </c>
      <c r="AB92" s="4">
        <f t="shared" si="6"/>
        <v>0</v>
      </c>
      <c r="AC92" s="4">
        <f t="shared" si="7"/>
        <v>0</v>
      </c>
      <c r="AD92" s="4">
        <f t="shared" ca="1" si="8"/>
        <v>0</v>
      </c>
      <c r="AE92" s="4">
        <f t="shared" ca="1" si="9"/>
        <v>0</v>
      </c>
      <c r="AF92" s="3" t="s">
        <v>1026</v>
      </c>
    </row>
    <row r="93" spans="1:32" ht="11.25" customHeight="1" x14ac:dyDescent="0.25">
      <c r="A93" s="3" t="s">
        <v>21</v>
      </c>
      <c r="B93" s="3" t="s">
        <v>39</v>
      </c>
      <c r="C93" s="3" t="s">
        <v>61</v>
      </c>
      <c r="D93" s="3" t="s">
        <v>25</v>
      </c>
      <c r="E93" s="3" t="s">
        <v>25</v>
      </c>
      <c r="F93" s="3" t="s">
        <v>64</v>
      </c>
      <c r="G93" s="3" t="s">
        <v>65</v>
      </c>
      <c r="H93" s="3" t="s">
        <v>25</v>
      </c>
      <c r="I93" s="6">
        <v>44562</v>
      </c>
      <c r="J93" s="4">
        <v>0</v>
      </c>
      <c r="K93" s="4">
        <v>0</v>
      </c>
      <c r="L93" s="4">
        <v>0</v>
      </c>
      <c r="M93" s="4">
        <v>0</v>
      </c>
      <c r="N93" s="4">
        <v>31222.739000000001</v>
      </c>
      <c r="O93" s="4">
        <v>31222.739000000001</v>
      </c>
      <c r="P93" s="4">
        <v>0</v>
      </c>
      <c r="Q93" s="3" t="s">
        <v>66</v>
      </c>
      <c r="R93" s="3">
        <v>46</v>
      </c>
      <c r="S93" s="3">
        <v>0</v>
      </c>
      <c r="T93" s="3">
        <v>0</v>
      </c>
      <c r="U93" s="3">
        <v>90</v>
      </c>
      <c r="V93" s="4">
        <f>IF(ISERROR(VLOOKUP($S$93,'TAR FIN'!$A$1:$O$113,15,0)),0,VLOOKUP($S$93,'TAR FIN'!$A$1:$O$113,15,0))</f>
        <v>0</v>
      </c>
      <c r="W93" s="4">
        <f>IF(ISERROR(VLOOKUP($T$93,'TAR FIN'!$A$1:$O$113,15,0)),0,VLOOKUP($T$93,'TAR FIN'!$A$1:$O$113,15,0))</f>
        <v>0</v>
      </c>
      <c r="X93" s="4">
        <f>IF(ISERROR(VLOOKUP($U$93,'TAR FIN'!$A$1:$O$113,15,0)),0,VLOOKUP($U$93,'TAR FIN'!$A$1:$O$113,15,0))</f>
        <v>230.1</v>
      </c>
      <c r="Y93" s="4">
        <f ca="1">0.72*('TUSD BE'!$AM$9+'TUSD BF'!$AM$9+'TUSD CVA'!$AM$9)*1+('TUSD BE'!$AM$10+'TUSD BF'!$AM$10+'TUSD CVA'!$AM$10)*1</f>
        <v>36.211271580834378</v>
      </c>
      <c r="Z93" s="4">
        <f ca="1">('TUSD BE'!$AM$11+'TUSD BF'!$AM$11+'TUSD CVA'!$AM$11)*1</f>
        <v>4.6233666364282548</v>
      </c>
      <c r="AA93" s="4">
        <f>('TE BE'!$AA$7+'TE BF'!$AA$7+'TE CVA'!$AA$7)*1</f>
        <v>253.57775100318744</v>
      </c>
      <c r="AB93" s="4">
        <f t="shared" si="6"/>
        <v>0</v>
      </c>
      <c r="AC93" s="4">
        <f t="shared" si="7"/>
        <v>0</v>
      </c>
      <c r="AD93" s="4">
        <f t="shared" ca="1" si="8"/>
        <v>0</v>
      </c>
      <c r="AE93" s="4">
        <f t="shared" ca="1" si="9"/>
        <v>0</v>
      </c>
      <c r="AF93" s="3" t="s">
        <v>1026</v>
      </c>
    </row>
    <row r="94" spans="1:32" ht="11.25" customHeight="1" x14ac:dyDescent="0.25">
      <c r="A94" s="3" t="s">
        <v>21</v>
      </c>
      <c r="B94" s="3" t="s">
        <v>39</v>
      </c>
      <c r="C94" s="3" t="s">
        <v>69</v>
      </c>
      <c r="D94" s="3" t="s">
        <v>25</v>
      </c>
      <c r="E94" s="3" t="s">
        <v>25</v>
      </c>
      <c r="F94" s="3" t="s">
        <v>70</v>
      </c>
      <c r="G94" s="3" t="s">
        <v>71</v>
      </c>
      <c r="H94" s="3" t="s">
        <v>25</v>
      </c>
      <c r="I94" s="6">
        <v>44287</v>
      </c>
      <c r="J94" s="4">
        <v>4496</v>
      </c>
      <c r="K94" s="4">
        <v>2248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72</v>
      </c>
      <c r="R94" s="3">
        <v>29152</v>
      </c>
      <c r="S94" s="3">
        <v>10</v>
      </c>
      <c r="T94" s="3">
        <v>0</v>
      </c>
      <c r="U94" s="3">
        <v>0</v>
      </c>
      <c r="V94" s="4">
        <f>IF(ISERROR(VLOOKUP($S$94,'TAR FIN'!$A$1:$O$113,15,0)),0,VLOOKUP($S$94,'TAR FIN'!$A$1:$O$113,15,0))</f>
        <v>10.55</v>
      </c>
      <c r="W94" s="4">
        <f>IF(ISERROR(VLOOKUP($T$94,'TAR FIN'!$A$1:$O$113,15,0)),0,VLOOKUP($T$94,'TAR FIN'!$A$1:$O$113,15,0))</f>
        <v>0</v>
      </c>
      <c r="X94" s="4">
        <f>IF(ISERROR(VLOOKUP($U$94,'TAR FIN'!$A$1:$O$113,15,0)),0,VLOOKUP($U$94,'TAR FIN'!$A$1:$O$113,15,0))</f>
        <v>0</v>
      </c>
      <c r="Y94" s="4">
        <f ca="1">('TUSD BE'!$AM$12+'TUSD BF'!$AM$12+'TUSD CVA'!$AM$12)*1</f>
        <v>12.955950506408183</v>
      </c>
      <c r="Z94" s="4"/>
      <c r="AA94" s="4"/>
      <c r="AB94" s="4">
        <f t="shared" si="6"/>
        <v>23716.400000000001</v>
      </c>
      <c r="AC94" s="4">
        <f t="shared" si="7"/>
        <v>0</v>
      </c>
      <c r="AD94" s="4">
        <f t="shared" ca="1" si="8"/>
        <v>29124.976738405596</v>
      </c>
      <c r="AE94" s="4">
        <f t="shared" si="9"/>
        <v>0</v>
      </c>
      <c r="AF94" s="3" t="s">
        <v>1027</v>
      </c>
    </row>
    <row r="95" spans="1:32" ht="11.25" customHeight="1" x14ac:dyDescent="0.25">
      <c r="A95" s="3" t="s">
        <v>21</v>
      </c>
      <c r="B95" s="3" t="s">
        <v>39</v>
      </c>
      <c r="C95" s="3" t="s">
        <v>69</v>
      </c>
      <c r="D95" s="3" t="s">
        <v>25</v>
      </c>
      <c r="E95" s="3" t="s">
        <v>25</v>
      </c>
      <c r="F95" s="3" t="s">
        <v>70</v>
      </c>
      <c r="G95" s="3" t="s">
        <v>73</v>
      </c>
      <c r="H95" s="3" t="s">
        <v>25</v>
      </c>
      <c r="I95" s="6">
        <v>44287</v>
      </c>
      <c r="J95" s="4">
        <v>10000</v>
      </c>
      <c r="K95" s="4">
        <v>5000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72</v>
      </c>
      <c r="R95" s="3">
        <v>29685</v>
      </c>
      <c r="S95" s="3">
        <v>10</v>
      </c>
      <c r="T95" s="3">
        <v>0</v>
      </c>
      <c r="U95" s="3">
        <v>0</v>
      </c>
      <c r="V95" s="4">
        <f>IF(ISERROR(VLOOKUP($S$95,'TAR FIN'!$A$1:$O$113,15,0)),0,VLOOKUP($S$95,'TAR FIN'!$A$1:$O$113,15,0))</f>
        <v>10.55</v>
      </c>
      <c r="W95" s="4">
        <f>IF(ISERROR(VLOOKUP($T$95,'TAR FIN'!$A$1:$O$113,15,0)),0,VLOOKUP($T$95,'TAR FIN'!$A$1:$O$113,15,0))</f>
        <v>0</v>
      </c>
      <c r="X95" s="4">
        <f>IF(ISERROR(VLOOKUP($U$95,'TAR FIN'!$A$1:$O$113,15,0)),0,VLOOKUP($U$95,'TAR FIN'!$A$1:$O$113,15,0))</f>
        <v>0</v>
      </c>
      <c r="Y95" s="4">
        <f ca="1">('TUSD BE'!$AM$12+'TUSD BF'!$AM$12+'TUSD CVA'!$AM$12)*1</f>
        <v>12.955950506408183</v>
      </c>
      <c r="Z95" s="4"/>
      <c r="AA95" s="4"/>
      <c r="AB95" s="4">
        <f t="shared" si="6"/>
        <v>52750</v>
      </c>
      <c r="AC95" s="4">
        <f t="shared" si="7"/>
        <v>0</v>
      </c>
      <c r="AD95" s="4">
        <f t="shared" ca="1" si="8"/>
        <v>64779.752532040911</v>
      </c>
      <c r="AE95" s="4">
        <f t="shared" si="9"/>
        <v>0</v>
      </c>
      <c r="AF95" s="3" t="s">
        <v>1027</v>
      </c>
    </row>
    <row r="96" spans="1:32" ht="11.25" customHeight="1" x14ac:dyDescent="0.25">
      <c r="A96" s="3" t="s">
        <v>21</v>
      </c>
      <c r="B96" s="3" t="s">
        <v>39</v>
      </c>
      <c r="C96" s="3" t="s">
        <v>69</v>
      </c>
      <c r="D96" s="3" t="s">
        <v>25</v>
      </c>
      <c r="E96" s="3" t="s">
        <v>25</v>
      </c>
      <c r="F96" s="3" t="s">
        <v>70</v>
      </c>
      <c r="G96" s="3" t="s">
        <v>75</v>
      </c>
      <c r="H96" s="3" t="s">
        <v>25</v>
      </c>
      <c r="I96" s="6">
        <v>44287</v>
      </c>
      <c r="J96" s="4">
        <v>13000</v>
      </c>
      <c r="K96" s="4">
        <v>6500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72</v>
      </c>
      <c r="R96" s="3">
        <v>30396</v>
      </c>
      <c r="S96" s="3">
        <v>10</v>
      </c>
      <c r="T96" s="3">
        <v>0</v>
      </c>
      <c r="U96" s="3">
        <v>0</v>
      </c>
      <c r="V96" s="4">
        <f>IF(ISERROR(VLOOKUP($S$96,'TAR FIN'!$A$1:$O$113,15,0)),0,VLOOKUP($S$96,'TAR FIN'!$A$1:$O$113,15,0))</f>
        <v>10.55</v>
      </c>
      <c r="W96" s="4">
        <f>IF(ISERROR(VLOOKUP($T$96,'TAR FIN'!$A$1:$O$113,15,0)),0,VLOOKUP($T$96,'TAR FIN'!$A$1:$O$113,15,0))</f>
        <v>0</v>
      </c>
      <c r="X96" s="4">
        <f>IF(ISERROR(VLOOKUP($U$96,'TAR FIN'!$A$1:$O$113,15,0)),0,VLOOKUP($U$96,'TAR FIN'!$A$1:$O$113,15,0))</f>
        <v>0</v>
      </c>
      <c r="Y96" s="4">
        <f ca="1">('TUSD BE'!$AM$12+'TUSD BF'!$AM$12+'TUSD CVA'!$AM$12)*1</f>
        <v>12.955950506408183</v>
      </c>
      <c r="Z96" s="4"/>
      <c r="AA96" s="4"/>
      <c r="AB96" s="4">
        <f t="shared" si="6"/>
        <v>68575</v>
      </c>
      <c r="AC96" s="4">
        <f t="shared" si="7"/>
        <v>0</v>
      </c>
      <c r="AD96" s="4">
        <f t="shared" ca="1" si="8"/>
        <v>84213.678291653181</v>
      </c>
      <c r="AE96" s="4">
        <f t="shared" si="9"/>
        <v>0</v>
      </c>
      <c r="AF96" s="3" t="s">
        <v>1027</v>
      </c>
    </row>
    <row r="97" spans="1:32" ht="11.25" customHeight="1" x14ac:dyDescent="0.25">
      <c r="A97" s="3" t="s">
        <v>21</v>
      </c>
      <c r="B97" s="3" t="s">
        <v>39</v>
      </c>
      <c r="C97" s="3" t="s">
        <v>69</v>
      </c>
      <c r="D97" s="3" t="s">
        <v>25</v>
      </c>
      <c r="E97" s="3" t="s">
        <v>25</v>
      </c>
      <c r="F97" s="3" t="s">
        <v>70</v>
      </c>
      <c r="G97" s="3" t="s">
        <v>71</v>
      </c>
      <c r="H97" s="3" t="s">
        <v>25</v>
      </c>
      <c r="I97" s="6">
        <v>44317</v>
      </c>
      <c r="J97" s="4">
        <v>4572</v>
      </c>
      <c r="K97" s="4">
        <v>2286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72</v>
      </c>
      <c r="R97" s="3">
        <v>29152</v>
      </c>
      <c r="S97" s="3">
        <v>10</v>
      </c>
      <c r="T97" s="3">
        <v>0</v>
      </c>
      <c r="U97" s="3">
        <v>0</v>
      </c>
      <c r="V97" s="4">
        <f>IF(ISERROR(VLOOKUP($S$97,'TAR FIN'!$A$1:$O$113,15,0)),0,VLOOKUP($S$97,'TAR FIN'!$A$1:$O$113,15,0))</f>
        <v>10.55</v>
      </c>
      <c r="W97" s="4">
        <f>IF(ISERROR(VLOOKUP($T$97,'TAR FIN'!$A$1:$O$113,15,0)),0,VLOOKUP($T$97,'TAR FIN'!$A$1:$O$113,15,0))</f>
        <v>0</v>
      </c>
      <c r="X97" s="4">
        <f>IF(ISERROR(VLOOKUP($U$97,'TAR FIN'!$A$1:$O$113,15,0)),0,VLOOKUP($U$97,'TAR FIN'!$A$1:$O$113,15,0))</f>
        <v>0</v>
      </c>
      <c r="Y97" s="4">
        <f ca="1">('TUSD BE'!$AM$12+'TUSD BF'!$AM$12+'TUSD CVA'!$AM$12)*1</f>
        <v>12.955950506408183</v>
      </c>
      <c r="Z97" s="4"/>
      <c r="AA97" s="4"/>
      <c r="AB97" s="4">
        <f t="shared" si="6"/>
        <v>24117.300000000003</v>
      </c>
      <c r="AC97" s="4">
        <f t="shared" si="7"/>
        <v>0</v>
      </c>
      <c r="AD97" s="4">
        <f t="shared" ca="1" si="8"/>
        <v>29617.302857649105</v>
      </c>
      <c r="AE97" s="4">
        <f t="shared" si="9"/>
        <v>0</v>
      </c>
      <c r="AF97" s="3" t="s">
        <v>1027</v>
      </c>
    </row>
    <row r="98" spans="1:32" ht="11.25" customHeight="1" x14ac:dyDescent="0.25">
      <c r="A98" s="3" t="s">
        <v>21</v>
      </c>
      <c r="B98" s="3" t="s">
        <v>39</v>
      </c>
      <c r="C98" s="3" t="s">
        <v>69</v>
      </c>
      <c r="D98" s="3" t="s">
        <v>25</v>
      </c>
      <c r="E98" s="3" t="s">
        <v>25</v>
      </c>
      <c r="F98" s="3" t="s">
        <v>70</v>
      </c>
      <c r="G98" s="3" t="s">
        <v>73</v>
      </c>
      <c r="H98" s="3" t="s">
        <v>25</v>
      </c>
      <c r="I98" s="6">
        <v>44317</v>
      </c>
      <c r="J98" s="4">
        <v>10000</v>
      </c>
      <c r="K98" s="4">
        <v>5000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72</v>
      </c>
      <c r="R98" s="3">
        <v>29685</v>
      </c>
      <c r="S98" s="3">
        <v>10</v>
      </c>
      <c r="T98" s="3">
        <v>0</v>
      </c>
      <c r="U98" s="3">
        <v>0</v>
      </c>
      <c r="V98" s="4">
        <f>IF(ISERROR(VLOOKUP($S$98,'TAR FIN'!$A$1:$O$113,15,0)),0,VLOOKUP($S$98,'TAR FIN'!$A$1:$O$113,15,0))</f>
        <v>10.55</v>
      </c>
      <c r="W98" s="4">
        <f>IF(ISERROR(VLOOKUP($T$98,'TAR FIN'!$A$1:$O$113,15,0)),0,VLOOKUP($T$98,'TAR FIN'!$A$1:$O$113,15,0))</f>
        <v>0</v>
      </c>
      <c r="X98" s="4">
        <f>IF(ISERROR(VLOOKUP($U$98,'TAR FIN'!$A$1:$O$113,15,0)),0,VLOOKUP($U$98,'TAR FIN'!$A$1:$O$113,15,0))</f>
        <v>0</v>
      </c>
      <c r="Y98" s="4">
        <f ca="1">('TUSD BE'!$AM$12+'TUSD BF'!$AM$12+'TUSD CVA'!$AM$12)*1</f>
        <v>12.955950506408183</v>
      </c>
      <c r="Z98" s="4"/>
      <c r="AA98" s="4"/>
      <c r="AB98" s="4">
        <f t="shared" si="6"/>
        <v>52750</v>
      </c>
      <c r="AC98" s="4">
        <f t="shared" si="7"/>
        <v>0</v>
      </c>
      <c r="AD98" s="4">
        <f t="shared" ca="1" si="8"/>
        <v>64779.752532040911</v>
      </c>
      <c r="AE98" s="4">
        <f t="shared" si="9"/>
        <v>0</v>
      </c>
      <c r="AF98" s="3" t="s">
        <v>1027</v>
      </c>
    </row>
    <row r="99" spans="1:32" ht="11.25" customHeight="1" x14ac:dyDescent="0.25">
      <c r="A99" s="3" t="s">
        <v>21</v>
      </c>
      <c r="B99" s="3" t="s">
        <v>39</v>
      </c>
      <c r="C99" s="3" t="s">
        <v>69</v>
      </c>
      <c r="D99" s="3" t="s">
        <v>25</v>
      </c>
      <c r="E99" s="3" t="s">
        <v>25</v>
      </c>
      <c r="F99" s="3" t="s">
        <v>70</v>
      </c>
      <c r="G99" s="3" t="s">
        <v>75</v>
      </c>
      <c r="H99" s="3" t="s">
        <v>25</v>
      </c>
      <c r="I99" s="6">
        <v>44317</v>
      </c>
      <c r="J99" s="4">
        <v>13000</v>
      </c>
      <c r="K99" s="4">
        <v>6500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72</v>
      </c>
      <c r="R99" s="3">
        <v>30396</v>
      </c>
      <c r="S99" s="3">
        <v>10</v>
      </c>
      <c r="T99" s="3">
        <v>0</v>
      </c>
      <c r="U99" s="3">
        <v>0</v>
      </c>
      <c r="V99" s="4">
        <f>IF(ISERROR(VLOOKUP($S$99,'TAR FIN'!$A$1:$O$113,15,0)),0,VLOOKUP($S$99,'TAR FIN'!$A$1:$O$113,15,0))</f>
        <v>10.55</v>
      </c>
      <c r="W99" s="4">
        <f>IF(ISERROR(VLOOKUP($T$99,'TAR FIN'!$A$1:$O$113,15,0)),0,VLOOKUP($T$99,'TAR FIN'!$A$1:$O$113,15,0))</f>
        <v>0</v>
      </c>
      <c r="X99" s="4">
        <f>IF(ISERROR(VLOOKUP($U$99,'TAR FIN'!$A$1:$O$113,15,0)),0,VLOOKUP($U$99,'TAR FIN'!$A$1:$O$113,15,0))</f>
        <v>0</v>
      </c>
      <c r="Y99" s="4">
        <f ca="1">('TUSD BE'!$AM$12+'TUSD BF'!$AM$12+'TUSD CVA'!$AM$12)*1</f>
        <v>12.955950506408183</v>
      </c>
      <c r="Z99" s="4"/>
      <c r="AA99" s="4"/>
      <c r="AB99" s="4">
        <f t="shared" si="6"/>
        <v>68575</v>
      </c>
      <c r="AC99" s="4">
        <f t="shared" si="7"/>
        <v>0</v>
      </c>
      <c r="AD99" s="4">
        <f t="shared" ca="1" si="8"/>
        <v>84213.678291653181</v>
      </c>
      <c r="AE99" s="4">
        <f t="shared" si="9"/>
        <v>0</v>
      </c>
      <c r="AF99" s="3" t="s">
        <v>1027</v>
      </c>
    </row>
    <row r="100" spans="1:32" ht="11.25" customHeight="1" x14ac:dyDescent="0.25">
      <c r="A100" s="3" t="s">
        <v>21</v>
      </c>
      <c r="B100" s="3" t="s">
        <v>39</v>
      </c>
      <c r="C100" s="3" t="s">
        <v>69</v>
      </c>
      <c r="D100" s="3" t="s">
        <v>25</v>
      </c>
      <c r="E100" s="3" t="s">
        <v>25</v>
      </c>
      <c r="F100" s="3" t="s">
        <v>70</v>
      </c>
      <c r="G100" s="3" t="s">
        <v>71</v>
      </c>
      <c r="H100" s="3" t="s">
        <v>25</v>
      </c>
      <c r="I100" s="6">
        <v>44348</v>
      </c>
      <c r="J100" s="4">
        <v>4940</v>
      </c>
      <c r="K100" s="4">
        <v>2470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72</v>
      </c>
      <c r="R100" s="3">
        <v>29152</v>
      </c>
      <c r="S100" s="3">
        <v>10</v>
      </c>
      <c r="T100" s="3">
        <v>0</v>
      </c>
      <c r="U100" s="3">
        <v>0</v>
      </c>
      <c r="V100" s="4">
        <f>IF(ISERROR(VLOOKUP($S$100,'TAR FIN'!$A$1:$O$113,15,0)),0,VLOOKUP($S$100,'TAR FIN'!$A$1:$O$113,15,0))</f>
        <v>10.55</v>
      </c>
      <c r="W100" s="4">
        <f>IF(ISERROR(VLOOKUP($T$100,'TAR FIN'!$A$1:$O$113,15,0)),0,VLOOKUP($T$100,'TAR FIN'!$A$1:$O$113,15,0))</f>
        <v>0</v>
      </c>
      <c r="X100" s="4">
        <f>IF(ISERROR(VLOOKUP($U$100,'TAR FIN'!$A$1:$O$113,15,0)),0,VLOOKUP($U$100,'TAR FIN'!$A$1:$O$113,15,0))</f>
        <v>0</v>
      </c>
      <c r="Y100" s="4">
        <f ca="1">('TUSD BE'!$AM$12+'TUSD BF'!$AM$12+'TUSD CVA'!$AM$12)*1</f>
        <v>12.955950506408183</v>
      </c>
      <c r="Z100" s="4"/>
      <c r="AA100" s="4"/>
      <c r="AB100" s="4">
        <f t="shared" si="6"/>
        <v>26058.5</v>
      </c>
      <c r="AC100" s="4">
        <f t="shared" si="7"/>
        <v>0</v>
      </c>
      <c r="AD100" s="4">
        <f t="shared" ca="1" si="8"/>
        <v>32001.197750828211</v>
      </c>
      <c r="AE100" s="4">
        <f t="shared" si="9"/>
        <v>0</v>
      </c>
      <c r="AF100" s="3" t="s">
        <v>1027</v>
      </c>
    </row>
    <row r="101" spans="1:32" ht="11.25" customHeight="1" x14ac:dyDescent="0.25">
      <c r="A101" s="3" t="s">
        <v>21</v>
      </c>
      <c r="B101" s="3" t="s">
        <v>39</v>
      </c>
      <c r="C101" s="3" t="s">
        <v>69</v>
      </c>
      <c r="D101" s="3" t="s">
        <v>25</v>
      </c>
      <c r="E101" s="3" t="s">
        <v>25</v>
      </c>
      <c r="F101" s="3" t="s">
        <v>70</v>
      </c>
      <c r="G101" s="3" t="s">
        <v>73</v>
      </c>
      <c r="H101" s="3" t="s">
        <v>25</v>
      </c>
      <c r="I101" s="6">
        <v>44348</v>
      </c>
      <c r="J101" s="4">
        <v>10000</v>
      </c>
      <c r="K101" s="4">
        <v>5000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72</v>
      </c>
      <c r="R101" s="3">
        <v>29685</v>
      </c>
      <c r="S101" s="3">
        <v>10</v>
      </c>
      <c r="T101" s="3">
        <v>0</v>
      </c>
      <c r="U101" s="3">
        <v>0</v>
      </c>
      <c r="V101" s="4">
        <f>IF(ISERROR(VLOOKUP($S$101,'TAR FIN'!$A$1:$O$113,15,0)),0,VLOOKUP($S$101,'TAR FIN'!$A$1:$O$113,15,0))</f>
        <v>10.55</v>
      </c>
      <c r="W101" s="4">
        <f>IF(ISERROR(VLOOKUP($T$101,'TAR FIN'!$A$1:$O$113,15,0)),0,VLOOKUP($T$101,'TAR FIN'!$A$1:$O$113,15,0))</f>
        <v>0</v>
      </c>
      <c r="X101" s="4">
        <f>IF(ISERROR(VLOOKUP($U$101,'TAR FIN'!$A$1:$O$113,15,0)),0,VLOOKUP($U$101,'TAR FIN'!$A$1:$O$113,15,0))</f>
        <v>0</v>
      </c>
      <c r="Y101" s="4">
        <f ca="1">('TUSD BE'!$AM$12+'TUSD BF'!$AM$12+'TUSD CVA'!$AM$12)*1</f>
        <v>12.955950506408183</v>
      </c>
      <c r="Z101" s="4"/>
      <c r="AA101" s="4"/>
      <c r="AB101" s="4">
        <f t="shared" si="6"/>
        <v>52750</v>
      </c>
      <c r="AC101" s="4">
        <f t="shared" si="7"/>
        <v>0</v>
      </c>
      <c r="AD101" s="4">
        <f t="shared" ca="1" si="8"/>
        <v>64779.752532040911</v>
      </c>
      <c r="AE101" s="4">
        <f t="shared" si="9"/>
        <v>0</v>
      </c>
      <c r="AF101" s="3" t="s">
        <v>1027</v>
      </c>
    </row>
    <row r="102" spans="1:32" ht="11.25" customHeight="1" x14ac:dyDescent="0.25">
      <c r="A102" s="3" t="s">
        <v>21</v>
      </c>
      <c r="B102" s="3" t="s">
        <v>39</v>
      </c>
      <c r="C102" s="3" t="s">
        <v>69</v>
      </c>
      <c r="D102" s="3" t="s">
        <v>25</v>
      </c>
      <c r="E102" s="3" t="s">
        <v>25</v>
      </c>
      <c r="F102" s="3" t="s">
        <v>70</v>
      </c>
      <c r="G102" s="3" t="s">
        <v>75</v>
      </c>
      <c r="H102" s="3" t="s">
        <v>25</v>
      </c>
      <c r="I102" s="6">
        <v>44348</v>
      </c>
      <c r="J102" s="4">
        <v>13000</v>
      </c>
      <c r="K102" s="4">
        <v>6500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72</v>
      </c>
      <c r="R102" s="3">
        <v>30396</v>
      </c>
      <c r="S102" s="3">
        <v>10</v>
      </c>
      <c r="T102" s="3">
        <v>0</v>
      </c>
      <c r="U102" s="3">
        <v>0</v>
      </c>
      <c r="V102" s="4">
        <f>IF(ISERROR(VLOOKUP($S$102,'TAR FIN'!$A$1:$O$113,15,0)),0,VLOOKUP($S$102,'TAR FIN'!$A$1:$O$113,15,0))</f>
        <v>10.55</v>
      </c>
      <c r="W102" s="4">
        <f>IF(ISERROR(VLOOKUP($T$102,'TAR FIN'!$A$1:$O$113,15,0)),0,VLOOKUP($T$102,'TAR FIN'!$A$1:$O$113,15,0))</f>
        <v>0</v>
      </c>
      <c r="X102" s="4">
        <f>IF(ISERROR(VLOOKUP($U$102,'TAR FIN'!$A$1:$O$113,15,0)),0,VLOOKUP($U$102,'TAR FIN'!$A$1:$O$113,15,0))</f>
        <v>0</v>
      </c>
      <c r="Y102" s="4">
        <f ca="1">('TUSD BE'!$AM$12+'TUSD BF'!$AM$12+'TUSD CVA'!$AM$12)*1</f>
        <v>12.955950506408183</v>
      </c>
      <c r="Z102" s="4"/>
      <c r="AA102" s="4"/>
      <c r="AB102" s="4">
        <f t="shared" si="6"/>
        <v>68575</v>
      </c>
      <c r="AC102" s="4">
        <f t="shared" si="7"/>
        <v>0</v>
      </c>
      <c r="AD102" s="4">
        <f t="shared" ca="1" si="8"/>
        <v>84213.678291653181</v>
      </c>
      <c r="AE102" s="4">
        <f t="shared" si="9"/>
        <v>0</v>
      </c>
      <c r="AF102" s="3" t="s">
        <v>1027</v>
      </c>
    </row>
    <row r="103" spans="1:32" ht="11.25" customHeight="1" x14ac:dyDescent="0.25">
      <c r="A103" s="3" t="s">
        <v>21</v>
      </c>
      <c r="B103" s="3" t="s">
        <v>39</v>
      </c>
      <c r="C103" s="3" t="s">
        <v>69</v>
      </c>
      <c r="D103" s="3" t="s">
        <v>25</v>
      </c>
      <c r="E103" s="3" t="s">
        <v>25</v>
      </c>
      <c r="F103" s="3" t="s">
        <v>70</v>
      </c>
      <c r="G103" s="3" t="s">
        <v>71</v>
      </c>
      <c r="H103" s="3" t="s">
        <v>25</v>
      </c>
      <c r="I103" s="6">
        <v>44378</v>
      </c>
      <c r="J103" s="4">
        <v>4939</v>
      </c>
      <c r="K103" s="4">
        <v>2469.5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72</v>
      </c>
      <c r="R103" s="3">
        <v>29152</v>
      </c>
      <c r="S103" s="3">
        <v>10</v>
      </c>
      <c r="T103" s="3">
        <v>0</v>
      </c>
      <c r="U103" s="3">
        <v>0</v>
      </c>
      <c r="V103" s="4">
        <f>IF(ISERROR(VLOOKUP($S$103,'TAR FIN'!$A$1:$O$113,15,0)),0,VLOOKUP($S$103,'TAR FIN'!$A$1:$O$113,15,0))</f>
        <v>10.55</v>
      </c>
      <c r="W103" s="4">
        <f>IF(ISERROR(VLOOKUP($T$103,'TAR FIN'!$A$1:$O$113,15,0)),0,VLOOKUP($T$103,'TAR FIN'!$A$1:$O$113,15,0))</f>
        <v>0</v>
      </c>
      <c r="X103" s="4">
        <f>IF(ISERROR(VLOOKUP($U$103,'TAR FIN'!$A$1:$O$113,15,0)),0,VLOOKUP($U$103,'TAR FIN'!$A$1:$O$113,15,0))</f>
        <v>0</v>
      </c>
      <c r="Y103" s="4">
        <f ca="1">('TUSD BE'!$AM$12+'TUSD BF'!$AM$12+'TUSD CVA'!$AM$12)*1</f>
        <v>12.955950506408183</v>
      </c>
      <c r="Z103" s="4"/>
      <c r="AA103" s="4"/>
      <c r="AB103" s="4">
        <f t="shared" si="6"/>
        <v>26053.225000000002</v>
      </c>
      <c r="AC103" s="4">
        <f t="shared" si="7"/>
        <v>0</v>
      </c>
      <c r="AD103" s="4">
        <f t="shared" ca="1" si="8"/>
        <v>31994.719775575006</v>
      </c>
      <c r="AE103" s="4">
        <f t="shared" si="9"/>
        <v>0</v>
      </c>
      <c r="AF103" s="3" t="s">
        <v>1027</v>
      </c>
    </row>
    <row r="104" spans="1:32" ht="11.25" customHeight="1" x14ac:dyDescent="0.25">
      <c r="A104" s="3" t="s">
        <v>21</v>
      </c>
      <c r="B104" s="3" t="s">
        <v>39</v>
      </c>
      <c r="C104" s="3" t="s">
        <v>69</v>
      </c>
      <c r="D104" s="3" t="s">
        <v>25</v>
      </c>
      <c r="E104" s="3" t="s">
        <v>25</v>
      </c>
      <c r="F104" s="3" t="s">
        <v>70</v>
      </c>
      <c r="G104" s="3" t="s">
        <v>73</v>
      </c>
      <c r="H104" s="3" t="s">
        <v>25</v>
      </c>
      <c r="I104" s="6">
        <v>44378</v>
      </c>
      <c r="J104" s="4">
        <v>10000</v>
      </c>
      <c r="K104" s="4">
        <v>5000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72</v>
      </c>
      <c r="R104" s="3">
        <v>29685</v>
      </c>
      <c r="S104" s="3">
        <v>10</v>
      </c>
      <c r="T104" s="3">
        <v>0</v>
      </c>
      <c r="U104" s="3">
        <v>0</v>
      </c>
      <c r="V104" s="4">
        <f>IF(ISERROR(VLOOKUP($S$104,'TAR FIN'!$A$1:$O$113,15,0)),0,VLOOKUP($S$104,'TAR FIN'!$A$1:$O$113,15,0))</f>
        <v>10.55</v>
      </c>
      <c r="W104" s="4">
        <f>IF(ISERROR(VLOOKUP($T$104,'TAR FIN'!$A$1:$O$113,15,0)),0,VLOOKUP($T$104,'TAR FIN'!$A$1:$O$113,15,0))</f>
        <v>0</v>
      </c>
      <c r="X104" s="4">
        <f>IF(ISERROR(VLOOKUP($U$104,'TAR FIN'!$A$1:$O$113,15,0)),0,VLOOKUP($U$104,'TAR FIN'!$A$1:$O$113,15,0))</f>
        <v>0</v>
      </c>
      <c r="Y104" s="4">
        <f ca="1">('TUSD BE'!$AM$12+'TUSD BF'!$AM$12+'TUSD CVA'!$AM$12)*1</f>
        <v>12.955950506408183</v>
      </c>
      <c r="Z104" s="4"/>
      <c r="AA104" s="4"/>
      <c r="AB104" s="4">
        <f t="shared" si="6"/>
        <v>52750</v>
      </c>
      <c r="AC104" s="4">
        <f t="shared" si="7"/>
        <v>0</v>
      </c>
      <c r="AD104" s="4">
        <f t="shared" ca="1" si="8"/>
        <v>64779.752532040911</v>
      </c>
      <c r="AE104" s="4">
        <f t="shared" si="9"/>
        <v>0</v>
      </c>
      <c r="AF104" s="3" t="s">
        <v>1027</v>
      </c>
    </row>
    <row r="105" spans="1:32" ht="11.25" customHeight="1" x14ac:dyDescent="0.25">
      <c r="A105" s="3" t="s">
        <v>21</v>
      </c>
      <c r="B105" s="3" t="s">
        <v>39</v>
      </c>
      <c r="C105" s="3" t="s">
        <v>69</v>
      </c>
      <c r="D105" s="3" t="s">
        <v>25</v>
      </c>
      <c r="E105" s="3" t="s">
        <v>25</v>
      </c>
      <c r="F105" s="3" t="s">
        <v>70</v>
      </c>
      <c r="G105" s="3" t="s">
        <v>75</v>
      </c>
      <c r="H105" s="3" t="s">
        <v>25</v>
      </c>
      <c r="I105" s="6">
        <v>44378</v>
      </c>
      <c r="J105" s="4">
        <v>13000</v>
      </c>
      <c r="K105" s="4">
        <v>6500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72</v>
      </c>
      <c r="R105" s="3">
        <v>30396</v>
      </c>
      <c r="S105" s="3">
        <v>10</v>
      </c>
      <c r="T105" s="3">
        <v>0</v>
      </c>
      <c r="U105" s="3">
        <v>0</v>
      </c>
      <c r="V105" s="4">
        <f>IF(ISERROR(VLOOKUP($S$105,'TAR FIN'!$A$1:$O$113,15,0)),0,VLOOKUP($S$105,'TAR FIN'!$A$1:$O$113,15,0))</f>
        <v>10.55</v>
      </c>
      <c r="W105" s="4">
        <f>IF(ISERROR(VLOOKUP($T$105,'TAR FIN'!$A$1:$O$113,15,0)),0,VLOOKUP($T$105,'TAR FIN'!$A$1:$O$113,15,0))</f>
        <v>0</v>
      </c>
      <c r="X105" s="4">
        <f>IF(ISERROR(VLOOKUP($U$105,'TAR FIN'!$A$1:$O$113,15,0)),0,VLOOKUP($U$105,'TAR FIN'!$A$1:$O$113,15,0))</f>
        <v>0</v>
      </c>
      <c r="Y105" s="4">
        <f ca="1">('TUSD BE'!$AM$12+'TUSD BF'!$AM$12+'TUSD CVA'!$AM$12)*1</f>
        <v>12.955950506408183</v>
      </c>
      <c r="Z105" s="4"/>
      <c r="AA105" s="4"/>
      <c r="AB105" s="4">
        <f t="shared" si="6"/>
        <v>68575</v>
      </c>
      <c r="AC105" s="4">
        <f t="shared" si="7"/>
        <v>0</v>
      </c>
      <c r="AD105" s="4">
        <f t="shared" ca="1" si="8"/>
        <v>84213.678291653181</v>
      </c>
      <c r="AE105" s="4">
        <f t="shared" si="9"/>
        <v>0</v>
      </c>
      <c r="AF105" s="3" t="s">
        <v>1027</v>
      </c>
    </row>
    <row r="106" spans="1:32" ht="11.25" customHeight="1" x14ac:dyDescent="0.25">
      <c r="A106" s="3" t="s">
        <v>21</v>
      </c>
      <c r="B106" s="3" t="s">
        <v>39</v>
      </c>
      <c r="C106" s="3" t="s">
        <v>69</v>
      </c>
      <c r="D106" s="3" t="s">
        <v>25</v>
      </c>
      <c r="E106" s="3" t="s">
        <v>25</v>
      </c>
      <c r="F106" s="3" t="s">
        <v>70</v>
      </c>
      <c r="G106" s="3" t="s">
        <v>71</v>
      </c>
      <c r="H106" s="3" t="s">
        <v>25</v>
      </c>
      <c r="I106" s="6">
        <v>44409</v>
      </c>
      <c r="J106" s="4">
        <v>4939</v>
      </c>
      <c r="K106" s="4">
        <v>2469.5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72</v>
      </c>
      <c r="R106" s="3">
        <v>29152</v>
      </c>
      <c r="S106" s="3">
        <v>10</v>
      </c>
      <c r="T106" s="3">
        <v>0</v>
      </c>
      <c r="U106" s="3">
        <v>0</v>
      </c>
      <c r="V106" s="4">
        <f>IF(ISERROR(VLOOKUP($S$106,'TAR FIN'!$A$1:$O$113,15,0)),0,VLOOKUP($S$106,'TAR FIN'!$A$1:$O$113,15,0))</f>
        <v>10.55</v>
      </c>
      <c r="W106" s="4">
        <f>IF(ISERROR(VLOOKUP($T$106,'TAR FIN'!$A$1:$O$113,15,0)),0,VLOOKUP($T$106,'TAR FIN'!$A$1:$O$113,15,0))</f>
        <v>0</v>
      </c>
      <c r="X106" s="4">
        <f>IF(ISERROR(VLOOKUP($U$106,'TAR FIN'!$A$1:$O$113,15,0)),0,VLOOKUP($U$106,'TAR FIN'!$A$1:$O$113,15,0))</f>
        <v>0</v>
      </c>
      <c r="Y106" s="4">
        <f ca="1">('TUSD BE'!$AM$12+'TUSD BF'!$AM$12+'TUSD CVA'!$AM$12)*1</f>
        <v>12.955950506408183</v>
      </c>
      <c r="Z106" s="4"/>
      <c r="AA106" s="4"/>
      <c r="AB106" s="4">
        <f t="shared" si="6"/>
        <v>26053.225000000002</v>
      </c>
      <c r="AC106" s="4">
        <f t="shared" si="7"/>
        <v>0</v>
      </c>
      <c r="AD106" s="4">
        <f t="shared" ca="1" si="8"/>
        <v>31994.719775575006</v>
      </c>
      <c r="AE106" s="4">
        <f t="shared" si="9"/>
        <v>0</v>
      </c>
      <c r="AF106" s="3" t="s">
        <v>1027</v>
      </c>
    </row>
    <row r="107" spans="1:32" ht="11.25" customHeight="1" x14ac:dyDescent="0.25">
      <c r="A107" s="3" t="s">
        <v>21</v>
      </c>
      <c r="B107" s="3" t="s">
        <v>39</v>
      </c>
      <c r="C107" s="3" t="s">
        <v>69</v>
      </c>
      <c r="D107" s="3" t="s">
        <v>25</v>
      </c>
      <c r="E107" s="3" t="s">
        <v>25</v>
      </c>
      <c r="F107" s="3" t="s">
        <v>70</v>
      </c>
      <c r="G107" s="3" t="s">
        <v>73</v>
      </c>
      <c r="H107" s="3" t="s">
        <v>25</v>
      </c>
      <c r="I107" s="6">
        <v>44409</v>
      </c>
      <c r="J107" s="4">
        <v>8200</v>
      </c>
      <c r="K107" s="4">
        <v>4100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72</v>
      </c>
      <c r="R107" s="3">
        <v>29685</v>
      </c>
      <c r="S107" s="3">
        <v>10</v>
      </c>
      <c r="T107" s="3">
        <v>0</v>
      </c>
      <c r="U107" s="3">
        <v>0</v>
      </c>
      <c r="V107" s="4">
        <f>IF(ISERROR(VLOOKUP($S$107,'TAR FIN'!$A$1:$O$113,15,0)),0,VLOOKUP($S$107,'TAR FIN'!$A$1:$O$113,15,0))</f>
        <v>10.55</v>
      </c>
      <c r="W107" s="4">
        <f>IF(ISERROR(VLOOKUP($T$107,'TAR FIN'!$A$1:$O$113,15,0)),0,VLOOKUP($T$107,'TAR FIN'!$A$1:$O$113,15,0))</f>
        <v>0</v>
      </c>
      <c r="X107" s="4">
        <f>IF(ISERROR(VLOOKUP($U$107,'TAR FIN'!$A$1:$O$113,15,0)),0,VLOOKUP($U$107,'TAR FIN'!$A$1:$O$113,15,0))</f>
        <v>0</v>
      </c>
      <c r="Y107" s="4">
        <f ca="1">('TUSD BE'!$AM$12+'TUSD BF'!$AM$12+'TUSD CVA'!$AM$12)*1</f>
        <v>12.955950506408183</v>
      </c>
      <c r="Z107" s="4"/>
      <c r="AA107" s="4"/>
      <c r="AB107" s="4">
        <f t="shared" si="6"/>
        <v>43255</v>
      </c>
      <c r="AC107" s="4">
        <f t="shared" si="7"/>
        <v>0</v>
      </c>
      <c r="AD107" s="4">
        <f t="shared" ca="1" si="8"/>
        <v>53119.397076273548</v>
      </c>
      <c r="AE107" s="4">
        <f t="shared" si="9"/>
        <v>0</v>
      </c>
      <c r="AF107" s="3" t="s">
        <v>1027</v>
      </c>
    </row>
    <row r="108" spans="1:32" ht="11.25" customHeight="1" x14ac:dyDescent="0.25">
      <c r="A108" s="3" t="s">
        <v>21</v>
      </c>
      <c r="B108" s="3" t="s">
        <v>39</v>
      </c>
      <c r="C108" s="3" t="s">
        <v>69</v>
      </c>
      <c r="D108" s="3" t="s">
        <v>25</v>
      </c>
      <c r="E108" s="3" t="s">
        <v>25</v>
      </c>
      <c r="F108" s="3" t="s">
        <v>70</v>
      </c>
      <c r="G108" s="3" t="s">
        <v>75</v>
      </c>
      <c r="H108" s="3" t="s">
        <v>25</v>
      </c>
      <c r="I108" s="6">
        <v>44409</v>
      </c>
      <c r="J108" s="4">
        <v>12400</v>
      </c>
      <c r="K108" s="4">
        <v>6200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72</v>
      </c>
      <c r="R108" s="3">
        <v>30396</v>
      </c>
      <c r="S108" s="3">
        <v>10</v>
      </c>
      <c r="T108" s="3">
        <v>0</v>
      </c>
      <c r="U108" s="3">
        <v>0</v>
      </c>
      <c r="V108" s="4">
        <f>IF(ISERROR(VLOOKUP($S$108,'TAR FIN'!$A$1:$O$113,15,0)),0,VLOOKUP($S$108,'TAR FIN'!$A$1:$O$113,15,0))</f>
        <v>10.55</v>
      </c>
      <c r="W108" s="4">
        <f>IF(ISERROR(VLOOKUP($T$108,'TAR FIN'!$A$1:$O$113,15,0)),0,VLOOKUP($T$108,'TAR FIN'!$A$1:$O$113,15,0))</f>
        <v>0</v>
      </c>
      <c r="X108" s="4">
        <f>IF(ISERROR(VLOOKUP($U$108,'TAR FIN'!$A$1:$O$113,15,0)),0,VLOOKUP($U$108,'TAR FIN'!$A$1:$O$113,15,0))</f>
        <v>0</v>
      </c>
      <c r="Y108" s="4">
        <f ca="1">('TUSD BE'!$AM$12+'TUSD BF'!$AM$12+'TUSD CVA'!$AM$12)*1</f>
        <v>12.955950506408183</v>
      </c>
      <c r="Z108" s="4"/>
      <c r="AA108" s="4"/>
      <c r="AB108" s="4">
        <f t="shared" si="6"/>
        <v>65410.000000000007</v>
      </c>
      <c r="AC108" s="4">
        <f t="shared" si="7"/>
        <v>0</v>
      </c>
      <c r="AD108" s="4">
        <f t="shared" ca="1" si="8"/>
        <v>80326.893139730731</v>
      </c>
      <c r="AE108" s="4">
        <f t="shared" si="9"/>
        <v>0</v>
      </c>
      <c r="AF108" s="3" t="s">
        <v>1027</v>
      </c>
    </row>
    <row r="109" spans="1:32" ht="11.25" customHeight="1" x14ac:dyDescent="0.25">
      <c r="A109" s="3" t="s">
        <v>21</v>
      </c>
      <c r="B109" s="3" t="s">
        <v>39</v>
      </c>
      <c r="C109" s="3" t="s">
        <v>69</v>
      </c>
      <c r="D109" s="3" t="s">
        <v>25</v>
      </c>
      <c r="E109" s="3" t="s">
        <v>25</v>
      </c>
      <c r="F109" s="3" t="s">
        <v>70</v>
      </c>
      <c r="G109" s="3" t="s">
        <v>71</v>
      </c>
      <c r="H109" s="3" t="s">
        <v>25</v>
      </c>
      <c r="I109" s="6">
        <v>44440</v>
      </c>
      <c r="J109" s="4">
        <v>4942</v>
      </c>
      <c r="K109" s="4">
        <v>2471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72</v>
      </c>
      <c r="R109" s="3">
        <v>29152</v>
      </c>
      <c r="S109" s="3">
        <v>10</v>
      </c>
      <c r="T109" s="3">
        <v>0</v>
      </c>
      <c r="U109" s="3">
        <v>0</v>
      </c>
      <c r="V109" s="4">
        <f>IF(ISERROR(VLOOKUP($S$109,'TAR FIN'!$A$1:$O$113,15,0)),0,VLOOKUP($S$109,'TAR FIN'!$A$1:$O$113,15,0))</f>
        <v>10.55</v>
      </c>
      <c r="W109" s="4">
        <f>IF(ISERROR(VLOOKUP($T$109,'TAR FIN'!$A$1:$O$113,15,0)),0,VLOOKUP($T$109,'TAR FIN'!$A$1:$O$113,15,0))</f>
        <v>0</v>
      </c>
      <c r="X109" s="4">
        <f>IF(ISERROR(VLOOKUP($U$109,'TAR FIN'!$A$1:$O$113,15,0)),0,VLOOKUP($U$109,'TAR FIN'!$A$1:$O$113,15,0))</f>
        <v>0</v>
      </c>
      <c r="Y109" s="4">
        <f ca="1">('TUSD BE'!$AM$12+'TUSD BF'!$AM$12+'TUSD CVA'!$AM$12)*1</f>
        <v>12.955950506408183</v>
      </c>
      <c r="Z109" s="4"/>
      <c r="AA109" s="4"/>
      <c r="AB109" s="4">
        <f t="shared" si="6"/>
        <v>26069.050000000003</v>
      </c>
      <c r="AC109" s="4">
        <f t="shared" si="7"/>
        <v>0</v>
      </c>
      <c r="AD109" s="4">
        <f t="shared" ca="1" si="8"/>
        <v>32014.153701334621</v>
      </c>
      <c r="AE109" s="4">
        <f t="shared" si="9"/>
        <v>0</v>
      </c>
      <c r="AF109" s="3" t="s">
        <v>1027</v>
      </c>
    </row>
    <row r="110" spans="1:32" ht="11.25" customHeight="1" x14ac:dyDescent="0.25">
      <c r="A110" s="3" t="s">
        <v>21</v>
      </c>
      <c r="B110" s="3" t="s">
        <v>39</v>
      </c>
      <c r="C110" s="3" t="s">
        <v>69</v>
      </c>
      <c r="D110" s="3" t="s">
        <v>25</v>
      </c>
      <c r="E110" s="3" t="s">
        <v>25</v>
      </c>
      <c r="F110" s="3" t="s">
        <v>70</v>
      </c>
      <c r="G110" s="3" t="s">
        <v>73</v>
      </c>
      <c r="H110" s="3" t="s">
        <v>25</v>
      </c>
      <c r="I110" s="6">
        <v>44440</v>
      </c>
      <c r="J110" s="4">
        <v>8200</v>
      </c>
      <c r="K110" s="4">
        <v>4100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72</v>
      </c>
      <c r="R110" s="3">
        <v>29685</v>
      </c>
      <c r="S110" s="3">
        <v>10</v>
      </c>
      <c r="T110" s="3">
        <v>0</v>
      </c>
      <c r="U110" s="3">
        <v>0</v>
      </c>
      <c r="V110" s="4">
        <f>IF(ISERROR(VLOOKUP($S$110,'TAR FIN'!$A$1:$O$113,15,0)),0,VLOOKUP($S$110,'TAR FIN'!$A$1:$O$113,15,0))</f>
        <v>10.55</v>
      </c>
      <c r="W110" s="4">
        <f>IF(ISERROR(VLOOKUP($T$110,'TAR FIN'!$A$1:$O$113,15,0)),0,VLOOKUP($T$110,'TAR FIN'!$A$1:$O$113,15,0))</f>
        <v>0</v>
      </c>
      <c r="X110" s="4">
        <f>IF(ISERROR(VLOOKUP($U$110,'TAR FIN'!$A$1:$O$113,15,0)),0,VLOOKUP($U$110,'TAR FIN'!$A$1:$O$113,15,0))</f>
        <v>0</v>
      </c>
      <c r="Y110" s="4">
        <f ca="1">('TUSD BE'!$AM$12+'TUSD BF'!$AM$12+'TUSD CVA'!$AM$12)*1</f>
        <v>12.955950506408183</v>
      </c>
      <c r="Z110" s="4"/>
      <c r="AA110" s="4"/>
      <c r="AB110" s="4">
        <f t="shared" si="6"/>
        <v>43255</v>
      </c>
      <c r="AC110" s="4">
        <f t="shared" si="7"/>
        <v>0</v>
      </c>
      <c r="AD110" s="4">
        <f t="shared" ca="1" si="8"/>
        <v>53119.397076273548</v>
      </c>
      <c r="AE110" s="4">
        <f t="shared" si="9"/>
        <v>0</v>
      </c>
      <c r="AF110" s="3" t="s">
        <v>1027</v>
      </c>
    </row>
    <row r="111" spans="1:32" ht="11.25" customHeight="1" x14ac:dyDescent="0.25">
      <c r="A111" s="3" t="s">
        <v>21</v>
      </c>
      <c r="B111" s="3" t="s">
        <v>39</v>
      </c>
      <c r="C111" s="3" t="s">
        <v>69</v>
      </c>
      <c r="D111" s="3" t="s">
        <v>25</v>
      </c>
      <c r="E111" s="3" t="s">
        <v>25</v>
      </c>
      <c r="F111" s="3" t="s">
        <v>70</v>
      </c>
      <c r="G111" s="3" t="s">
        <v>75</v>
      </c>
      <c r="H111" s="3" t="s">
        <v>25</v>
      </c>
      <c r="I111" s="6">
        <v>44440</v>
      </c>
      <c r="J111" s="4">
        <v>12400</v>
      </c>
      <c r="K111" s="4">
        <v>6200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72</v>
      </c>
      <c r="R111" s="3">
        <v>30396</v>
      </c>
      <c r="S111" s="3">
        <v>10</v>
      </c>
      <c r="T111" s="3">
        <v>0</v>
      </c>
      <c r="U111" s="3">
        <v>0</v>
      </c>
      <c r="V111" s="4">
        <f>IF(ISERROR(VLOOKUP($S$111,'TAR FIN'!$A$1:$O$113,15,0)),0,VLOOKUP($S$111,'TAR FIN'!$A$1:$O$113,15,0))</f>
        <v>10.55</v>
      </c>
      <c r="W111" s="4">
        <f>IF(ISERROR(VLOOKUP($T$111,'TAR FIN'!$A$1:$O$113,15,0)),0,VLOOKUP($T$111,'TAR FIN'!$A$1:$O$113,15,0))</f>
        <v>0</v>
      </c>
      <c r="X111" s="4">
        <f>IF(ISERROR(VLOOKUP($U$111,'TAR FIN'!$A$1:$O$113,15,0)),0,VLOOKUP($U$111,'TAR FIN'!$A$1:$O$113,15,0))</f>
        <v>0</v>
      </c>
      <c r="Y111" s="4">
        <f ca="1">('TUSD BE'!$AM$12+'TUSD BF'!$AM$12+'TUSD CVA'!$AM$12)*1</f>
        <v>12.955950506408183</v>
      </c>
      <c r="Z111" s="4"/>
      <c r="AA111" s="4"/>
      <c r="AB111" s="4">
        <f t="shared" si="6"/>
        <v>65410.000000000007</v>
      </c>
      <c r="AC111" s="4">
        <f t="shared" si="7"/>
        <v>0</v>
      </c>
      <c r="AD111" s="4">
        <f t="shared" ca="1" si="8"/>
        <v>80326.893139730731</v>
      </c>
      <c r="AE111" s="4">
        <f t="shared" si="9"/>
        <v>0</v>
      </c>
      <c r="AF111" s="3" t="s">
        <v>1027</v>
      </c>
    </row>
    <row r="112" spans="1:32" ht="11.25" customHeight="1" x14ac:dyDescent="0.25">
      <c r="A112" s="3" t="s">
        <v>21</v>
      </c>
      <c r="B112" s="3" t="s">
        <v>39</v>
      </c>
      <c r="C112" s="3" t="s">
        <v>69</v>
      </c>
      <c r="D112" s="3" t="s">
        <v>25</v>
      </c>
      <c r="E112" s="3" t="s">
        <v>25</v>
      </c>
      <c r="F112" s="3" t="s">
        <v>70</v>
      </c>
      <c r="G112" s="3" t="s">
        <v>71</v>
      </c>
      <c r="H112" s="3" t="s">
        <v>25</v>
      </c>
      <c r="I112" s="6">
        <v>44470</v>
      </c>
      <c r="J112" s="4">
        <v>4452</v>
      </c>
      <c r="K112" s="4">
        <v>2226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72</v>
      </c>
      <c r="R112" s="3">
        <v>29152</v>
      </c>
      <c r="S112" s="3">
        <v>10</v>
      </c>
      <c r="T112" s="3">
        <v>0</v>
      </c>
      <c r="U112" s="3">
        <v>0</v>
      </c>
      <c r="V112" s="4">
        <f>IF(ISERROR(VLOOKUP($S$112,'TAR FIN'!$A$1:$O$113,15,0)),0,VLOOKUP($S$112,'TAR FIN'!$A$1:$O$113,15,0))</f>
        <v>10.55</v>
      </c>
      <c r="W112" s="4">
        <f>IF(ISERROR(VLOOKUP($T$112,'TAR FIN'!$A$1:$O$113,15,0)),0,VLOOKUP($T$112,'TAR FIN'!$A$1:$O$113,15,0))</f>
        <v>0</v>
      </c>
      <c r="X112" s="4">
        <f>IF(ISERROR(VLOOKUP($U$112,'TAR FIN'!$A$1:$O$113,15,0)),0,VLOOKUP($U$112,'TAR FIN'!$A$1:$O$113,15,0))</f>
        <v>0</v>
      </c>
      <c r="Y112" s="4">
        <f ca="1">('TUSD BE'!$AM$12+'TUSD BF'!$AM$12+'TUSD CVA'!$AM$12)*1</f>
        <v>12.955950506408183</v>
      </c>
      <c r="Z112" s="4"/>
      <c r="AA112" s="4"/>
      <c r="AB112" s="4">
        <f t="shared" si="6"/>
        <v>23484.300000000003</v>
      </c>
      <c r="AC112" s="4">
        <f t="shared" si="7"/>
        <v>0</v>
      </c>
      <c r="AD112" s="4">
        <f t="shared" ca="1" si="8"/>
        <v>28839.945827264615</v>
      </c>
      <c r="AE112" s="4">
        <f t="shared" si="9"/>
        <v>0</v>
      </c>
      <c r="AF112" s="3" t="s">
        <v>1027</v>
      </c>
    </row>
    <row r="113" spans="1:32" ht="11.25" customHeight="1" x14ac:dyDescent="0.25">
      <c r="A113" s="3" t="s">
        <v>21</v>
      </c>
      <c r="B113" s="3" t="s">
        <v>39</v>
      </c>
      <c r="C113" s="3" t="s">
        <v>69</v>
      </c>
      <c r="D113" s="3" t="s">
        <v>25</v>
      </c>
      <c r="E113" s="3" t="s">
        <v>25</v>
      </c>
      <c r="F113" s="3" t="s">
        <v>70</v>
      </c>
      <c r="G113" s="3" t="s">
        <v>73</v>
      </c>
      <c r="H113" s="3" t="s">
        <v>25</v>
      </c>
      <c r="I113" s="6">
        <v>44470</v>
      </c>
      <c r="J113" s="4">
        <v>8200</v>
      </c>
      <c r="K113" s="4">
        <v>4100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72</v>
      </c>
      <c r="R113" s="3">
        <v>29685</v>
      </c>
      <c r="S113" s="3">
        <v>10</v>
      </c>
      <c r="T113" s="3">
        <v>0</v>
      </c>
      <c r="U113" s="3">
        <v>0</v>
      </c>
      <c r="V113" s="4">
        <f>IF(ISERROR(VLOOKUP($S$113,'TAR FIN'!$A$1:$O$113,15,0)),0,VLOOKUP($S$113,'TAR FIN'!$A$1:$O$113,15,0))</f>
        <v>10.55</v>
      </c>
      <c r="W113" s="4">
        <f>IF(ISERROR(VLOOKUP($T$113,'TAR FIN'!$A$1:$O$113,15,0)),0,VLOOKUP($T$113,'TAR FIN'!$A$1:$O$113,15,0))</f>
        <v>0</v>
      </c>
      <c r="X113" s="4">
        <f>IF(ISERROR(VLOOKUP($U$113,'TAR FIN'!$A$1:$O$113,15,0)),0,VLOOKUP($U$113,'TAR FIN'!$A$1:$O$113,15,0))</f>
        <v>0</v>
      </c>
      <c r="Y113" s="4">
        <f ca="1">('TUSD BE'!$AM$12+'TUSD BF'!$AM$12+'TUSD CVA'!$AM$12)*1</f>
        <v>12.955950506408183</v>
      </c>
      <c r="Z113" s="4"/>
      <c r="AA113" s="4"/>
      <c r="AB113" s="4">
        <f t="shared" si="6"/>
        <v>43255</v>
      </c>
      <c r="AC113" s="4">
        <f t="shared" si="7"/>
        <v>0</v>
      </c>
      <c r="AD113" s="4">
        <f t="shared" ca="1" si="8"/>
        <v>53119.397076273548</v>
      </c>
      <c r="AE113" s="4">
        <f t="shared" si="9"/>
        <v>0</v>
      </c>
      <c r="AF113" s="3" t="s">
        <v>1027</v>
      </c>
    </row>
    <row r="114" spans="1:32" ht="11.25" customHeight="1" x14ac:dyDescent="0.25">
      <c r="A114" s="3" t="s">
        <v>21</v>
      </c>
      <c r="B114" s="3" t="s">
        <v>39</v>
      </c>
      <c r="C114" s="3" t="s">
        <v>69</v>
      </c>
      <c r="D114" s="3" t="s">
        <v>25</v>
      </c>
      <c r="E114" s="3" t="s">
        <v>25</v>
      </c>
      <c r="F114" s="3" t="s">
        <v>70</v>
      </c>
      <c r="G114" s="3" t="s">
        <v>75</v>
      </c>
      <c r="H114" s="3" t="s">
        <v>25</v>
      </c>
      <c r="I114" s="6">
        <v>44470</v>
      </c>
      <c r="J114" s="4">
        <v>12400</v>
      </c>
      <c r="K114" s="4">
        <v>6200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72</v>
      </c>
      <c r="R114" s="3">
        <v>30396</v>
      </c>
      <c r="S114" s="3">
        <v>10</v>
      </c>
      <c r="T114" s="3">
        <v>0</v>
      </c>
      <c r="U114" s="3">
        <v>0</v>
      </c>
      <c r="V114" s="4">
        <f>IF(ISERROR(VLOOKUP($S$114,'TAR FIN'!$A$1:$O$113,15,0)),0,VLOOKUP($S$114,'TAR FIN'!$A$1:$O$113,15,0))</f>
        <v>10.55</v>
      </c>
      <c r="W114" s="4">
        <f>IF(ISERROR(VLOOKUP($T$114,'TAR FIN'!$A$1:$O$113,15,0)),0,VLOOKUP($T$114,'TAR FIN'!$A$1:$O$113,15,0))</f>
        <v>0</v>
      </c>
      <c r="X114" s="4">
        <f>IF(ISERROR(VLOOKUP($U$114,'TAR FIN'!$A$1:$O$113,15,0)),0,VLOOKUP($U$114,'TAR FIN'!$A$1:$O$113,15,0))</f>
        <v>0</v>
      </c>
      <c r="Y114" s="4">
        <f ca="1">('TUSD BE'!$AM$12+'TUSD BF'!$AM$12+'TUSD CVA'!$AM$12)*1</f>
        <v>12.955950506408183</v>
      </c>
      <c r="Z114" s="4"/>
      <c r="AA114" s="4"/>
      <c r="AB114" s="4">
        <f t="shared" si="6"/>
        <v>65410.000000000007</v>
      </c>
      <c r="AC114" s="4">
        <f t="shared" si="7"/>
        <v>0</v>
      </c>
      <c r="AD114" s="4">
        <f t="shared" ca="1" si="8"/>
        <v>80326.893139730731</v>
      </c>
      <c r="AE114" s="4">
        <f t="shared" si="9"/>
        <v>0</v>
      </c>
      <c r="AF114" s="3" t="s">
        <v>1027</v>
      </c>
    </row>
    <row r="115" spans="1:32" ht="11.25" customHeight="1" x14ac:dyDescent="0.25">
      <c r="A115" s="3" t="s">
        <v>21</v>
      </c>
      <c r="B115" s="3" t="s">
        <v>39</v>
      </c>
      <c r="C115" s="3" t="s">
        <v>69</v>
      </c>
      <c r="D115" s="3" t="s">
        <v>25</v>
      </c>
      <c r="E115" s="3" t="s">
        <v>25</v>
      </c>
      <c r="F115" s="3" t="s">
        <v>70</v>
      </c>
      <c r="G115" s="3" t="s">
        <v>71</v>
      </c>
      <c r="H115" s="3" t="s">
        <v>25</v>
      </c>
      <c r="I115" s="6">
        <v>44501</v>
      </c>
      <c r="J115" s="4">
        <v>4472</v>
      </c>
      <c r="K115" s="4">
        <v>2236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72</v>
      </c>
      <c r="R115" s="3">
        <v>29152</v>
      </c>
      <c r="S115" s="3">
        <v>10</v>
      </c>
      <c r="T115" s="3">
        <v>0</v>
      </c>
      <c r="U115" s="3">
        <v>0</v>
      </c>
      <c r="V115" s="4">
        <f>IF(ISERROR(VLOOKUP($S$115,'TAR FIN'!$A$1:$O$113,15,0)),0,VLOOKUP($S$115,'TAR FIN'!$A$1:$O$113,15,0))</f>
        <v>10.55</v>
      </c>
      <c r="W115" s="4">
        <f>IF(ISERROR(VLOOKUP($T$115,'TAR FIN'!$A$1:$O$113,15,0)),0,VLOOKUP($T$115,'TAR FIN'!$A$1:$O$113,15,0))</f>
        <v>0</v>
      </c>
      <c r="X115" s="4">
        <f>IF(ISERROR(VLOOKUP($U$115,'TAR FIN'!$A$1:$O$113,15,0)),0,VLOOKUP($U$115,'TAR FIN'!$A$1:$O$113,15,0))</f>
        <v>0</v>
      </c>
      <c r="Y115" s="4">
        <f ca="1">('TUSD BE'!$AM$12+'TUSD BF'!$AM$12+'TUSD CVA'!$AM$12)*1</f>
        <v>12.955950506408183</v>
      </c>
      <c r="Z115" s="4"/>
      <c r="AA115" s="4"/>
      <c r="AB115" s="4">
        <f t="shared" si="6"/>
        <v>23589.800000000003</v>
      </c>
      <c r="AC115" s="4">
        <f t="shared" si="7"/>
        <v>0</v>
      </c>
      <c r="AD115" s="4">
        <f t="shared" ca="1" si="8"/>
        <v>28969.505332328696</v>
      </c>
      <c r="AE115" s="4">
        <f t="shared" si="9"/>
        <v>0</v>
      </c>
      <c r="AF115" s="3" t="s">
        <v>1027</v>
      </c>
    </row>
    <row r="116" spans="1:32" ht="11.25" customHeight="1" x14ac:dyDescent="0.25">
      <c r="A116" s="3" t="s">
        <v>21</v>
      </c>
      <c r="B116" s="3" t="s">
        <v>39</v>
      </c>
      <c r="C116" s="3" t="s">
        <v>69</v>
      </c>
      <c r="D116" s="3" t="s">
        <v>25</v>
      </c>
      <c r="E116" s="3" t="s">
        <v>25</v>
      </c>
      <c r="F116" s="3" t="s">
        <v>70</v>
      </c>
      <c r="G116" s="3" t="s">
        <v>73</v>
      </c>
      <c r="H116" s="3" t="s">
        <v>25</v>
      </c>
      <c r="I116" s="6">
        <v>44501</v>
      </c>
      <c r="J116" s="4">
        <v>8200</v>
      </c>
      <c r="K116" s="4">
        <v>4100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72</v>
      </c>
      <c r="R116" s="3">
        <v>29685</v>
      </c>
      <c r="S116" s="3">
        <v>10</v>
      </c>
      <c r="T116" s="3">
        <v>0</v>
      </c>
      <c r="U116" s="3">
        <v>0</v>
      </c>
      <c r="V116" s="4">
        <f>IF(ISERROR(VLOOKUP($S$116,'TAR FIN'!$A$1:$O$113,15,0)),0,VLOOKUP($S$116,'TAR FIN'!$A$1:$O$113,15,0))</f>
        <v>10.55</v>
      </c>
      <c r="W116" s="4">
        <f>IF(ISERROR(VLOOKUP($T$116,'TAR FIN'!$A$1:$O$113,15,0)),0,VLOOKUP($T$116,'TAR FIN'!$A$1:$O$113,15,0))</f>
        <v>0</v>
      </c>
      <c r="X116" s="4">
        <f>IF(ISERROR(VLOOKUP($U$116,'TAR FIN'!$A$1:$O$113,15,0)),0,VLOOKUP($U$116,'TAR FIN'!$A$1:$O$113,15,0))</f>
        <v>0</v>
      </c>
      <c r="Y116" s="4">
        <f ca="1">('TUSD BE'!$AM$12+'TUSD BF'!$AM$12+'TUSD CVA'!$AM$12)*1</f>
        <v>12.955950506408183</v>
      </c>
      <c r="Z116" s="4"/>
      <c r="AA116" s="4"/>
      <c r="AB116" s="4">
        <f t="shared" si="6"/>
        <v>43255</v>
      </c>
      <c r="AC116" s="4">
        <f t="shared" si="7"/>
        <v>0</v>
      </c>
      <c r="AD116" s="4">
        <f t="shared" ca="1" si="8"/>
        <v>53119.397076273548</v>
      </c>
      <c r="AE116" s="4">
        <f t="shared" si="9"/>
        <v>0</v>
      </c>
      <c r="AF116" s="3" t="s">
        <v>1027</v>
      </c>
    </row>
    <row r="117" spans="1:32" ht="11.25" customHeight="1" x14ac:dyDescent="0.25">
      <c r="A117" s="3" t="s">
        <v>21</v>
      </c>
      <c r="B117" s="3" t="s">
        <v>39</v>
      </c>
      <c r="C117" s="3" t="s">
        <v>69</v>
      </c>
      <c r="D117" s="3" t="s">
        <v>25</v>
      </c>
      <c r="E117" s="3" t="s">
        <v>25</v>
      </c>
      <c r="F117" s="3" t="s">
        <v>70</v>
      </c>
      <c r="G117" s="3" t="s">
        <v>75</v>
      </c>
      <c r="H117" s="3" t="s">
        <v>25</v>
      </c>
      <c r="I117" s="6">
        <v>44501</v>
      </c>
      <c r="J117" s="4">
        <v>10044</v>
      </c>
      <c r="K117" s="4">
        <v>5022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3" t="s">
        <v>72</v>
      </c>
      <c r="R117" s="3">
        <v>30396</v>
      </c>
      <c r="S117" s="3">
        <v>10</v>
      </c>
      <c r="T117" s="3">
        <v>0</v>
      </c>
      <c r="U117" s="3">
        <v>0</v>
      </c>
      <c r="V117" s="4">
        <f>IF(ISERROR(VLOOKUP($S$117,'TAR FIN'!$A$1:$O$113,15,0)),0,VLOOKUP($S$117,'TAR FIN'!$A$1:$O$113,15,0))</f>
        <v>10.55</v>
      </c>
      <c r="W117" s="4">
        <f>IF(ISERROR(VLOOKUP($T$117,'TAR FIN'!$A$1:$O$113,15,0)),0,VLOOKUP($T$117,'TAR FIN'!$A$1:$O$113,15,0))</f>
        <v>0</v>
      </c>
      <c r="X117" s="4">
        <f>IF(ISERROR(VLOOKUP($U$117,'TAR FIN'!$A$1:$O$113,15,0)),0,VLOOKUP($U$117,'TAR FIN'!$A$1:$O$113,15,0))</f>
        <v>0</v>
      </c>
      <c r="Y117" s="4">
        <f ca="1">('TUSD BE'!$AM$12+'TUSD BF'!$AM$12+'TUSD CVA'!$AM$12)*1</f>
        <v>12.955950506408183</v>
      </c>
      <c r="Z117" s="4"/>
      <c r="AA117" s="4"/>
      <c r="AB117" s="4">
        <f t="shared" si="6"/>
        <v>52982.100000000006</v>
      </c>
      <c r="AC117" s="4">
        <f t="shared" si="7"/>
        <v>0</v>
      </c>
      <c r="AD117" s="4">
        <f t="shared" ca="1" si="8"/>
        <v>65064.783443181892</v>
      </c>
      <c r="AE117" s="4">
        <f t="shared" si="9"/>
        <v>0</v>
      </c>
      <c r="AF117" s="3" t="s">
        <v>1027</v>
      </c>
    </row>
    <row r="118" spans="1:32" ht="11.25" customHeight="1" x14ac:dyDescent="0.25">
      <c r="A118" s="3" t="s">
        <v>21</v>
      </c>
      <c r="B118" s="3" t="s">
        <v>39</v>
      </c>
      <c r="C118" s="3" t="s">
        <v>69</v>
      </c>
      <c r="D118" s="3" t="s">
        <v>25</v>
      </c>
      <c r="E118" s="3" t="s">
        <v>25</v>
      </c>
      <c r="F118" s="3" t="s">
        <v>70</v>
      </c>
      <c r="G118" s="3" t="s">
        <v>71</v>
      </c>
      <c r="H118" s="3" t="s">
        <v>25</v>
      </c>
      <c r="I118" s="6">
        <v>44531</v>
      </c>
      <c r="J118" s="4">
        <v>4448</v>
      </c>
      <c r="K118" s="4">
        <v>2224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72</v>
      </c>
      <c r="R118" s="3">
        <v>29152</v>
      </c>
      <c r="S118" s="3">
        <v>10</v>
      </c>
      <c r="T118" s="3">
        <v>0</v>
      </c>
      <c r="U118" s="3">
        <v>0</v>
      </c>
      <c r="V118" s="4">
        <f>IF(ISERROR(VLOOKUP($S$118,'TAR FIN'!$A$1:$O$113,15,0)),0,VLOOKUP($S$118,'TAR FIN'!$A$1:$O$113,15,0))</f>
        <v>10.55</v>
      </c>
      <c r="W118" s="4">
        <f>IF(ISERROR(VLOOKUP($T$118,'TAR FIN'!$A$1:$O$113,15,0)),0,VLOOKUP($T$118,'TAR FIN'!$A$1:$O$113,15,0))</f>
        <v>0</v>
      </c>
      <c r="X118" s="4">
        <f>IF(ISERROR(VLOOKUP($U$118,'TAR FIN'!$A$1:$O$113,15,0)),0,VLOOKUP($U$118,'TAR FIN'!$A$1:$O$113,15,0))</f>
        <v>0</v>
      </c>
      <c r="Y118" s="4">
        <f ca="1">('TUSD BE'!$AM$12+'TUSD BF'!$AM$12+'TUSD CVA'!$AM$12)*1</f>
        <v>12.955950506408183</v>
      </c>
      <c r="Z118" s="4"/>
      <c r="AA118" s="4"/>
      <c r="AB118" s="4">
        <f t="shared" si="6"/>
        <v>23463.200000000001</v>
      </c>
      <c r="AC118" s="4">
        <f t="shared" si="7"/>
        <v>0</v>
      </c>
      <c r="AD118" s="4">
        <f t="shared" ca="1" si="8"/>
        <v>28814.033926251799</v>
      </c>
      <c r="AE118" s="4">
        <f t="shared" si="9"/>
        <v>0</v>
      </c>
      <c r="AF118" s="3" t="s">
        <v>1027</v>
      </c>
    </row>
    <row r="119" spans="1:32" ht="11.25" customHeight="1" x14ac:dyDescent="0.25">
      <c r="A119" s="3" t="s">
        <v>21</v>
      </c>
      <c r="B119" s="3" t="s">
        <v>39</v>
      </c>
      <c r="C119" s="3" t="s">
        <v>69</v>
      </c>
      <c r="D119" s="3" t="s">
        <v>25</v>
      </c>
      <c r="E119" s="3" t="s">
        <v>25</v>
      </c>
      <c r="F119" s="3" t="s">
        <v>70</v>
      </c>
      <c r="G119" s="3" t="s">
        <v>73</v>
      </c>
      <c r="H119" s="3" t="s">
        <v>25</v>
      </c>
      <c r="I119" s="6">
        <v>44531</v>
      </c>
      <c r="J119" s="4">
        <v>8200</v>
      </c>
      <c r="K119" s="4">
        <v>4100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3" t="s">
        <v>72</v>
      </c>
      <c r="R119" s="3">
        <v>29685</v>
      </c>
      <c r="S119" s="3">
        <v>10</v>
      </c>
      <c r="T119" s="3">
        <v>0</v>
      </c>
      <c r="U119" s="3">
        <v>0</v>
      </c>
      <c r="V119" s="4">
        <f>IF(ISERROR(VLOOKUP($S$119,'TAR FIN'!$A$1:$O$113,15,0)),0,VLOOKUP($S$119,'TAR FIN'!$A$1:$O$113,15,0))</f>
        <v>10.55</v>
      </c>
      <c r="W119" s="4">
        <f>IF(ISERROR(VLOOKUP($T$119,'TAR FIN'!$A$1:$O$113,15,0)),0,VLOOKUP($T$119,'TAR FIN'!$A$1:$O$113,15,0))</f>
        <v>0</v>
      </c>
      <c r="X119" s="4">
        <f>IF(ISERROR(VLOOKUP($U$119,'TAR FIN'!$A$1:$O$113,15,0)),0,VLOOKUP($U$119,'TAR FIN'!$A$1:$O$113,15,0))</f>
        <v>0</v>
      </c>
      <c r="Y119" s="4">
        <f ca="1">('TUSD BE'!$AM$12+'TUSD BF'!$AM$12+'TUSD CVA'!$AM$12)*1</f>
        <v>12.955950506408183</v>
      </c>
      <c r="Z119" s="4"/>
      <c r="AA119" s="4"/>
      <c r="AB119" s="4">
        <f t="shared" si="6"/>
        <v>43255</v>
      </c>
      <c r="AC119" s="4">
        <f t="shared" si="7"/>
        <v>0</v>
      </c>
      <c r="AD119" s="4">
        <f t="shared" ca="1" si="8"/>
        <v>53119.397076273548</v>
      </c>
      <c r="AE119" s="4">
        <f t="shared" si="9"/>
        <v>0</v>
      </c>
      <c r="AF119" s="3" t="s">
        <v>1027</v>
      </c>
    </row>
    <row r="120" spans="1:32" ht="11.25" customHeight="1" x14ac:dyDescent="0.25">
      <c r="A120" s="3" t="s">
        <v>21</v>
      </c>
      <c r="B120" s="3" t="s">
        <v>39</v>
      </c>
      <c r="C120" s="3" t="s">
        <v>69</v>
      </c>
      <c r="D120" s="3" t="s">
        <v>25</v>
      </c>
      <c r="E120" s="3" t="s">
        <v>25</v>
      </c>
      <c r="F120" s="3" t="s">
        <v>70</v>
      </c>
      <c r="G120" s="3" t="s">
        <v>75</v>
      </c>
      <c r="H120" s="3" t="s">
        <v>25</v>
      </c>
      <c r="I120" s="6">
        <v>44531</v>
      </c>
      <c r="J120" s="4">
        <v>12400</v>
      </c>
      <c r="K120" s="4">
        <v>6200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72</v>
      </c>
      <c r="R120" s="3">
        <v>30396</v>
      </c>
      <c r="S120" s="3">
        <v>10</v>
      </c>
      <c r="T120" s="3">
        <v>0</v>
      </c>
      <c r="U120" s="3">
        <v>0</v>
      </c>
      <c r="V120" s="4">
        <f>IF(ISERROR(VLOOKUP($S$120,'TAR FIN'!$A$1:$O$113,15,0)),0,VLOOKUP($S$120,'TAR FIN'!$A$1:$O$113,15,0))</f>
        <v>10.55</v>
      </c>
      <c r="W120" s="4">
        <f>IF(ISERROR(VLOOKUP($T$120,'TAR FIN'!$A$1:$O$113,15,0)),0,VLOOKUP($T$120,'TAR FIN'!$A$1:$O$113,15,0))</f>
        <v>0</v>
      </c>
      <c r="X120" s="4">
        <f>IF(ISERROR(VLOOKUP($U$120,'TAR FIN'!$A$1:$O$113,15,0)),0,VLOOKUP($U$120,'TAR FIN'!$A$1:$O$113,15,0))</f>
        <v>0</v>
      </c>
      <c r="Y120" s="4">
        <f ca="1">('TUSD BE'!$AM$12+'TUSD BF'!$AM$12+'TUSD CVA'!$AM$12)*1</f>
        <v>12.955950506408183</v>
      </c>
      <c r="Z120" s="4"/>
      <c r="AA120" s="4"/>
      <c r="AB120" s="4">
        <f t="shared" si="6"/>
        <v>65410.000000000007</v>
      </c>
      <c r="AC120" s="4">
        <f t="shared" si="7"/>
        <v>0</v>
      </c>
      <c r="AD120" s="4">
        <f t="shared" ca="1" si="8"/>
        <v>80326.893139730731</v>
      </c>
      <c r="AE120" s="4">
        <f t="shared" si="9"/>
        <v>0</v>
      </c>
      <c r="AF120" s="3" t="s">
        <v>1027</v>
      </c>
    </row>
    <row r="121" spans="1:32" ht="11.25" customHeight="1" x14ac:dyDescent="0.25">
      <c r="A121" s="3" t="s">
        <v>21</v>
      </c>
      <c r="B121" s="3" t="s">
        <v>39</v>
      </c>
      <c r="C121" s="3" t="s">
        <v>69</v>
      </c>
      <c r="D121" s="3" t="s">
        <v>25</v>
      </c>
      <c r="E121" s="3" t="s">
        <v>25</v>
      </c>
      <c r="F121" s="3" t="s">
        <v>70</v>
      </c>
      <c r="G121" s="3" t="s">
        <v>71</v>
      </c>
      <c r="H121" s="3" t="s">
        <v>25</v>
      </c>
      <c r="I121" s="6">
        <v>44562</v>
      </c>
      <c r="J121" s="4">
        <v>4384</v>
      </c>
      <c r="K121" s="4">
        <v>2192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3" t="s">
        <v>72</v>
      </c>
      <c r="R121" s="3">
        <v>29152</v>
      </c>
      <c r="S121" s="3">
        <v>10</v>
      </c>
      <c r="T121" s="3">
        <v>0</v>
      </c>
      <c r="U121" s="3">
        <v>0</v>
      </c>
      <c r="V121" s="4">
        <f>IF(ISERROR(VLOOKUP($S$121,'TAR FIN'!$A$1:$O$113,15,0)),0,VLOOKUP($S$121,'TAR FIN'!$A$1:$O$113,15,0))</f>
        <v>10.55</v>
      </c>
      <c r="W121" s="4">
        <f>IF(ISERROR(VLOOKUP($T$121,'TAR FIN'!$A$1:$O$113,15,0)),0,VLOOKUP($T$121,'TAR FIN'!$A$1:$O$113,15,0))</f>
        <v>0</v>
      </c>
      <c r="X121" s="4">
        <f>IF(ISERROR(VLOOKUP($U$121,'TAR FIN'!$A$1:$O$113,15,0)),0,VLOOKUP($U$121,'TAR FIN'!$A$1:$O$113,15,0))</f>
        <v>0</v>
      </c>
      <c r="Y121" s="4">
        <f ca="1">('TUSD BE'!$AM$12+'TUSD BF'!$AM$12+'TUSD CVA'!$AM$12)*1</f>
        <v>12.955950506408183</v>
      </c>
      <c r="Z121" s="4"/>
      <c r="AA121" s="4"/>
      <c r="AB121" s="4">
        <f t="shared" si="6"/>
        <v>23125.600000000002</v>
      </c>
      <c r="AC121" s="4">
        <f t="shared" si="7"/>
        <v>0</v>
      </c>
      <c r="AD121" s="4">
        <f t="shared" ca="1" si="8"/>
        <v>28399.443510046734</v>
      </c>
      <c r="AE121" s="4">
        <f t="shared" si="9"/>
        <v>0</v>
      </c>
      <c r="AF121" s="3" t="s">
        <v>1027</v>
      </c>
    </row>
    <row r="122" spans="1:32" ht="11.25" customHeight="1" x14ac:dyDescent="0.25">
      <c r="A122" s="3" t="s">
        <v>21</v>
      </c>
      <c r="B122" s="3" t="s">
        <v>39</v>
      </c>
      <c r="C122" s="3" t="s">
        <v>69</v>
      </c>
      <c r="D122" s="3" t="s">
        <v>25</v>
      </c>
      <c r="E122" s="3" t="s">
        <v>25</v>
      </c>
      <c r="F122" s="3" t="s">
        <v>70</v>
      </c>
      <c r="G122" s="3" t="s">
        <v>73</v>
      </c>
      <c r="H122" s="3" t="s">
        <v>25</v>
      </c>
      <c r="I122" s="6">
        <v>44562</v>
      </c>
      <c r="J122" s="4">
        <v>8200</v>
      </c>
      <c r="K122" s="4">
        <v>4100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72</v>
      </c>
      <c r="R122" s="3">
        <v>29685</v>
      </c>
      <c r="S122" s="3">
        <v>10</v>
      </c>
      <c r="T122" s="3">
        <v>0</v>
      </c>
      <c r="U122" s="3">
        <v>0</v>
      </c>
      <c r="V122" s="4">
        <f>IF(ISERROR(VLOOKUP($S$122,'TAR FIN'!$A$1:$O$113,15,0)),0,VLOOKUP($S$122,'TAR FIN'!$A$1:$O$113,15,0))</f>
        <v>10.55</v>
      </c>
      <c r="W122" s="4">
        <f>IF(ISERROR(VLOOKUP($T$122,'TAR FIN'!$A$1:$O$113,15,0)),0,VLOOKUP($T$122,'TAR FIN'!$A$1:$O$113,15,0))</f>
        <v>0</v>
      </c>
      <c r="X122" s="4">
        <f>IF(ISERROR(VLOOKUP($U$122,'TAR FIN'!$A$1:$O$113,15,0)),0,VLOOKUP($U$122,'TAR FIN'!$A$1:$O$113,15,0))</f>
        <v>0</v>
      </c>
      <c r="Y122" s="4">
        <f ca="1">('TUSD BE'!$AM$12+'TUSD BF'!$AM$12+'TUSD CVA'!$AM$12)*1</f>
        <v>12.955950506408183</v>
      </c>
      <c r="Z122" s="4"/>
      <c r="AA122" s="4"/>
      <c r="AB122" s="4">
        <f t="shared" si="6"/>
        <v>43255</v>
      </c>
      <c r="AC122" s="4">
        <f t="shared" si="7"/>
        <v>0</v>
      </c>
      <c r="AD122" s="4">
        <f t="shared" ca="1" si="8"/>
        <v>53119.397076273548</v>
      </c>
      <c r="AE122" s="4">
        <f t="shared" si="9"/>
        <v>0</v>
      </c>
      <c r="AF122" s="3" t="s">
        <v>1027</v>
      </c>
    </row>
    <row r="123" spans="1:32" ht="11.25" customHeight="1" x14ac:dyDescent="0.25">
      <c r="A123" s="3" t="s">
        <v>21</v>
      </c>
      <c r="B123" s="3" t="s">
        <v>39</v>
      </c>
      <c r="C123" s="3" t="s">
        <v>69</v>
      </c>
      <c r="D123" s="3" t="s">
        <v>25</v>
      </c>
      <c r="E123" s="3" t="s">
        <v>25</v>
      </c>
      <c r="F123" s="3" t="s">
        <v>70</v>
      </c>
      <c r="G123" s="3" t="s">
        <v>75</v>
      </c>
      <c r="H123" s="3" t="s">
        <v>25</v>
      </c>
      <c r="I123" s="6">
        <v>44562</v>
      </c>
      <c r="J123" s="4">
        <v>12400</v>
      </c>
      <c r="K123" s="4">
        <v>6200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3" t="s">
        <v>72</v>
      </c>
      <c r="R123" s="3">
        <v>30396</v>
      </c>
      <c r="S123" s="3">
        <v>10</v>
      </c>
      <c r="T123" s="3">
        <v>0</v>
      </c>
      <c r="U123" s="3">
        <v>0</v>
      </c>
      <c r="V123" s="4">
        <f>IF(ISERROR(VLOOKUP($S$123,'TAR FIN'!$A$1:$O$113,15,0)),0,VLOOKUP($S$123,'TAR FIN'!$A$1:$O$113,15,0))</f>
        <v>10.55</v>
      </c>
      <c r="W123" s="4">
        <f>IF(ISERROR(VLOOKUP($T$123,'TAR FIN'!$A$1:$O$113,15,0)),0,VLOOKUP($T$123,'TAR FIN'!$A$1:$O$113,15,0))</f>
        <v>0</v>
      </c>
      <c r="X123" s="4">
        <f>IF(ISERROR(VLOOKUP($U$123,'TAR FIN'!$A$1:$O$113,15,0)),0,VLOOKUP($U$123,'TAR FIN'!$A$1:$O$113,15,0))</f>
        <v>0</v>
      </c>
      <c r="Y123" s="4">
        <f ca="1">('TUSD BE'!$AM$12+'TUSD BF'!$AM$12+'TUSD CVA'!$AM$12)*1</f>
        <v>12.955950506408183</v>
      </c>
      <c r="Z123" s="4"/>
      <c r="AA123" s="4"/>
      <c r="AB123" s="4">
        <f t="shared" si="6"/>
        <v>65410.000000000007</v>
      </c>
      <c r="AC123" s="4">
        <f t="shared" si="7"/>
        <v>0</v>
      </c>
      <c r="AD123" s="4">
        <f t="shared" ca="1" si="8"/>
        <v>80326.893139730731</v>
      </c>
      <c r="AE123" s="4">
        <f t="shared" si="9"/>
        <v>0</v>
      </c>
      <c r="AF123" s="3" t="s">
        <v>1027</v>
      </c>
    </row>
    <row r="124" spans="1:32" ht="11.25" customHeight="1" x14ac:dyDescent="0.25">
      <c r="A124" s="3" t="s">
        <v>21</v>
      </c>
      <c r="B124" s="3" t="s">
        <v>39</v>
      </c>
      <c r="C124" s="3" t="s">
        <v>69</v>
      </c>
      <c r="D124" s="3" t="s">
        <v>25</v>
      </c>
      <c r="E124" s="3" t="s">
        <v>25</v>
      </c>
      <c r="F124" s="3" t="s">
        <v>70</v>
      </c>
      <c r="G124" s="3" t="s">
        <v>71</v>
      </c>
      <c r="H124" s="3" t="s">
        <v>25</v>
      </c>
      <c r="I124" s="6">
        <v>44593</v>
      </c>
      <c r="J124" s="4">
        <v>4412</v>
      </c>
      <c r="K124" s="4">
        <v>2206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72</v>
      </c>
      <c r="R124" s="3">
        <v>29152</v>
      </c>
      <c r="S124" s="3">
        <v>10</v>
      </c>
      <c r="T124" s="3">
        <v>0</v>
      </c>
      <c r="U124" s="3">
        <v>0</v>
      </c>
      <c r="V124" s="4">
        <f>IF(ISERROR(VLOOKUP($S$124,'TAR FIN'!$A$1:$O$113,15,0)),0,VLOOKUP($S$124,'TAR FIN'!$A$1:$O$113,15,0))</f>
        <v>10.55</v>
      </c>
      <c r="W124" s="4">
        <f>IF(ISERROR(VLOOKUP($T$124,'TAR FIN'!$A$1:$O$113,15,0)),0,VLOOKUP($T$124,'TAR FIN'!$A$1:$O$113,15,0))</f>
        <v>0</v>
      </c>
      <c r="X124" s="4">
        <f>IF(ISERROR(VLOOKUP($U$124,'TAR FIN'!$A$1:$O$113,15,0)),0,VLOOKUP($U$124,'TAR FIN'!$A$1:$O$113,15,0))</f>
        <v>0</v>
      </c>
      <c r="Y124" s="4">
        <f ca="1">('TUSD BE'!$AM$12+'TUSD BF'!$AM$12+'TUSD CVA'!$AM$12)*1</f>
        <v>12.955950506408183</v>
      </c>
      <c r="Z124" s="4"/>
      <c r="AA124" s="4"/>
      <c r="AB124" s="4">
        <f t="shared" si="6"/>
        <v>23273.300000000003</v>
      </c>
      <c r="AC124" s="4">
        <f t="shared" si="7"/>
        <v>0</v>
      </c>
      <c r="AD124" s="4">
        <f t="shared" ca="1" si="8"/>
        <v>28580.826817136451</v>
      </c>
      <c r="AE124" s="4">
        <f t="shared" si="9"/>
        <v>0</v>
      </c>
      <c r="AF124" s="3" t="s">
        <v>1027</v>
      </c>
    </row>
    <row r="125" spans="1:32" ht="11.25" customHeight="1" x14ac:dyDescent="0.25">
      <c r="A125" s="3" t="s">
        <v>21</v>
      </c>
      <c r="B125" s="3" t="s">
        <v>39</v>
      </c>
      <c r="C125" s="3" t="s">
        <v>69</v>
      </c>
      <c r="D125" s="3" t="s">
        <v>25</v>
      </c>
      <c r="E125" s="3" t="s">
        <v>25</v>
      </c>
      <c r="F125" s="3" t="s">
        <v>70</v>
      </c>
      <c r="G125" s="3" t="s">
        <v>73</v>
      </c>
      <c r="H125" s="3" t="s">
        <v>25</v>
      </c>
      <c r="I125" s="6">
        <v>44593</v>
      </c>
      <c r="J125" s="4">
        <v>8200</v>
      </c>
      <c r="K125" s="4">
        <v>4100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3" t="s">
        <v>72</v>
      </c>
      <c r="R125" s="3">
        <v>29685</v>
      </c>
      <c r="S125" s="3">
        <v>10</v>
      </c>
      <c r="T125" s="3">
        <v>0</v>
      </c>
      <c r="U125" s="3">
        <v>0</v>
      </c>
      <c r="V125" s="4">
        <f>IF(ISERROR(VLOOKUP($S$125,'TAR FIN'!$A$1:$O$113,15,0)),0,VLOOKUP($S$125,'TAR FIN'!$A$1:$O$113,15,0))</f>
        <v>10.55</v>
      </c>
      <c r="W125" s="4">
        <f>IF(ISERROR(VLOOKUP($T$125,'TAR FIN'!$A$1:$O$113,15,0)),0,VLOOKUP($T$125,'TAR FIN'!$A$1:$O$113,15,0))</f>
        <v>0</v>
      </c>
      <c r="X125" s="4">
        <f>IF(ISERROR(VLOOKUP($U$125,'TAR FIN'!$A$1:$O$113,15,0)),0,VLOOKUP($U$125,'TAR FIN'!$A$1:$O$113,15,0))</f>
        <v>0</v>
      </c>
      <c r="Y125" s="4">
        <f ca="1">('TUSD BE'!$AM$12+'TUSD BF'!$AM$12+'TUSD CVA'!$AM$12)*1</f>
        <v>12.955950506408183</v>
      </c>
      <c r="Z125" s="4"/>
      <c r="AA125" s="4"/>
      <c r="AB125" s="4">
        <f t="shared" si="6"/>
        <v>43255</v>
      </c>
      <c r="AC125" s="4">
        <f t="shared" si="7"/>
        <v>0</v>
      </c>
      <c r="AD125" s="4">
        <f t="shared" ca="1" si="8"/>
        <v>53119.397076273548</v>
      </c>
      <c r="AE125" s="4">
        <f t="shared" si="9"/>
        <v>0</v>
      </c>
      <c r="AF125" s="3" t="s">
        <v>1027</v>
      </c>
    </row>
    <row r="126" spans="1:32" ht="11.25" customHeight="1" x14ac:dyDescent="0.25">
      <c r="A126" s="3" t="s">
        <v>21</v>
      </c>
      <c r="B126" s="3" t="s">
        <v>39</v>
      </c>
      <c r="C126" s="3" t="s">
        <v>69</v>
      </c>
      <c r="D126" s="3" t="s">
        <v>25</v>
      </c>
      <c r="E126" s="3" t="s">
        <v>25</v>
      </c>
      <c r="F126" s="3" t="s">
        <v>70</v>
      </c>
      <c r="G126" s="3" t="s">
        <v>75</v>
      </c>
      <c r="H126" s="3" t="s">
        <v>25</v>
      </c>
      <c r="I126" s="6">
        <v>44593</v>
      </c>
      <c r="J126" s="4">
        <v>12400</v>
      </c>
      <c r="K126" s="4">
        <v>6200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3" t="s">
        <v>72</v>
      </c>
      <c r="R126" s="3">
        <v>30396</v>
      </c>
      <c r="S126" s="3">
        <v>10</v>
      </c>
      <c r="T126" s="3">
        <v>0</v>
      </c>
      <c r="U126" s="3">
        <v>0</v>
      </c>
      <c r="V126" s="4">
        <f>IF(ISERROR(VLOOKUP($S$126,'TAR FIN'!$A$1:$O$113,15,0)),0,VLOOKUP($S$126,'TAR FIN'!$A$1:$O$113,15,0))</f>
        <v>10.55</v>
      </c>
      <c r="W126" s="4">
        <f>IF(ISERROR(VLOOKUP($T$126,'TAR FIN'!$A$1:$O$113,15,0)),0,VLOOKUP($T$126,'TAR FIN'!$A$1:$O$113,15,0))</f>
        <v>0</v>
      </c>
      <c r="X126" s="4">
        <f>IF(ISERROR(VLOOKUP($U$126,'TAR FIN'!$A$1:$O$113,15,0)),0,VLOOKUP($U$126,'TAR FIN'!$A$1:$O$113,15,0))</f>
        <v>0</v>
      </c>
      <c r="Y126" s="4">
        <f ca="1">('TUSD BE'!$AM$12+'TUSD BF'!$AM$12+'TUSD CVA'!$AM$12)*1</f>
        <v>12.955950506408183</v>
      </c>
      <c r="Z126" s="4"/>
      <c r="AA126" s="4"/>
      <c r="AB126" s="4">
        <f t="shared" si="6"/>
        <v>65410.000000000007</v>
      </c>
      <c r="AC126" s="4">
        <f t="shared" si="7"/>
        <v>0</v>
      </c>
      <c r="AD126" s="4">
        <f t="shared" ca="1" si="8"/>
        <v>80326.893139730731</v>
      </c>
      <c r="AE126" s="4">
        <f t="shared" si="9"/>
        <v>0</v>
      </c>
      <c r="AF126" s="3" t="s">
        <v>1027</v>
      </c>
    </row>
    <row r="127" spans="1:32" ht="11.25" customHeight="1" x14ac:dyDescent="0.25">
      <c r="A127" s="3" t="s">
        <v>56</v>
      </c>
      <c r="B127" s="3" t="s">
        <v>39</v>
      </c>
      <c r="C127" s="3" t="s">
        <v>69</v>
      </c>
      <c r="D127" s="3" t="s">
        <v>25</v>
      </c>
      <c r="E127" s="3" t="s">
        <v>25</v>
      </c>
      <c r="F127" s="3" t="s">
        <v>70</v>
      </c>
      <c r="G127" s="3" t="s">
        <v>71</v>
      </c>
      <c r="H127" s="3" t="s">
        <v>25</v>
      </c>
      <c r="I127" s="6">
        <v>44621</v>
      </c>
      <c r="J127" s="4">
        <v>4412</v>
      </c>
      <c r="K127" s="4">
        <v>2206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3" t="s">
        <v>72</v>
      </c>
      <c r="R127" s="3">
        <v>29152</v>
      </c>
      <c r="S127" s="3">
        <v>10</v>
      </c>
      <c r="T127" s="3">
        <v>0</v>
      </c>
      <c r="U127" s="3">
        <v>0</v>
      </c>
      <c r="V127" s="4">
        <f>IF(ISERROR(VLOOKUP($S$127,'TAR FIN'!$A$1:$O$113,15,0)),0,VLOOKUP($S$127,'TAR FIN'!$A$1:$O$113,15,0))</f>
        <v>10.55</v>
      </c>
      <c r="W127" s="4">
        <f>IF(ISERROR(VLOOKUP($T$127,'TAR FIN'!$A$1:$O$113,15,0)),0,VLOOKUP($T$127,'TAR FIN'!$A$1:$O$113,15,0))</f>
        <v>0</v>
      </c>
      <c r="X127" s="4">
        <f>IF(ISERROR(VLOOKUP($U$127,'TAR FIN'!$A$1:$O$113,15,0)),0,VLOOKUP($U$127,'TAR FIN'!$A$1:$O$113,15,0))</f>
        <v>0</v>
      </c>
      <c r="Y127" s="4">
        <f ca="1">('TUSD BE'!$AM$12+'TUSD BF'!$AM$12+'TUSD CVA'!$AM$12)*1</f>
        <v>12.955950506408183</v>
      </c>
      <c r="Z127" s="4"/>
      <c r="AA127" s="4"/>
      <c r="AB127" s="4">
        <f t="shared" si="6"/>
        <v>23273.300000000003</v>
      </c>
      <c r="AC127" s="4">
        <f t="shared" si="7"/>
        <v>0</v>
      </c>
      <c r="AD127" s="4">
        <f t="shared" ca="1" si="8"/>
        <v>28580.826817136451</v>
      </c>
      <c r="AE127" s="4">
        <f t="shared" si="9"/>
        <v>0</v>
      </c>
      <c r="AF127" s="3" t="s">
        <v>1027</v>
      </c>
    </row>
    <row r="128" spans="1:32" ht="11.25" customHeight="1" x14ac:dyDescent="0.25">
      <c r="A128" s="3" t="s">
        <v>56</v>
      </c>
      <c r="B128" s="3" t="s">
        <v>39</v>
      </c>
      <c r="C128" s="3" t="s">
        <v>69</v>
      </c>
      <c r="D128" s="3" t="s">
        <v>25</v>
      </c>
      <c r="E128" s="3" t="s">
        <v>25</v>
      </c>
      <c r="F128" s="3" t="s">
        <v>70</v>
      </c>
      <c r="G128" s="3" t="s">
        <v>73</v>
      </c>
      <c r="H128" s="3" t="s">
        <v>25</v>
      </c>
      <c r="I128" s="6">
        <v>44621</v>
      </c>
      <c r="J128" s="4">
        <v>8200</v>
      </c>
      <c r="K128" s="4">
        <v>4100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72</v>
      </c>
      <c r="R128" s="3">
        <v>29685</v>
      </c>
      <c r="S128" s="3">
        <v>10</v>
      </c>
      <c r="T128" s="3">
        <v>0</v>
      </c>
      <c r="U128" s="3">
        <v>0</v>
      </c>
      <c r="V128" s="4">
        <f>IF(ISERROR(VLOOKUP($S$128,'TAR FIN'!$A$1:$O$113,15,0)),0,VLOOKUP($S$128,'TAR FIN'!$A$1:$O$113,15,0))</f>
        <v>10.55</v>
      </c>
      <c r="W128" s="4">
        <f>IF(ISERROR(VLOOKUP($T$128,'TAR FIN'!$A$1:$O$113,15,0)),0,VLOOKUP($T$128,'TAR FIN'!$A$1:$O$113,15,0))</f>
        <v>0</v>
      </c>
      <c r="X128" s="4">
        <f>IF(ISERROR(VLOOKUP($U$128,'TAR FIN'!$A$1:$O$113,15,0)),0,VLOOKUP($U$128,'TAR FIN'!$A$1:$O$113,15,0))</f>
        <v>0</v>
      </c>
      <c r="Y128" s="4">
        <f ca="1">('TUSD BE'!$AM$12+'TUSD BF'!$AM$12+'TUSD CVA'!$AM$12)*1</f>
        <v>12.955950506408183</v>
      </c>
      <c r="Z128" s="4"/>
      <c r="AA128" s="4"/>
      <c r="AB128" s="4">
        <f t="shared" si="6"/>
        <v>43255</v>
      </c>
      <c r="AC128" s="4">
        <f t="shared" si="7"/>
        <v>0</v>
      </c>
      <c r="AD128" s="4">
        <f t="shared" ca="1" si="8"/>
        <v>53119.397076273548</v>
      </c>
      <c r="AE128" s="4">
        <f t="shared" si="9"/>
        <v>0</v>
      </c>
      <c r="AF128" s="3" t="s">
        <v>1027</v>
      </c>
    </row>
    <row r="129" spans="1:32" ht="11.25" customHeight="1" x14ac:dyDescent="0.25">
      <c r="A129" s="3" t="s">
        <v>56</v>
      </c>
      <c r="B129" s="3" t="s">
        <v>39</v>
      </c>
      <c r="C129" s="3" t="s">
        <v>69</v>
      </c>
      <c r="D129" s="3" t="s">
        <v>25</v>
      </c>
      <c r="E129" s="3" t="s">
        <v>25</v>
      </c>
      <c r="F129" s="3" t="s">
        <v>70</v>
      </c>
      <c r="G129" s="3" t="s">
        <v>75</v>
      </c>
      <c r="H129" s="3" t="s">
        <v>25</v>
      </c>
      <c r="I129" s="6">
        <v>44621</v>
      </c>
      <c r="J129" s="4">
        <v>12400</v>
      </c>
      <c r="K129" s="4">
        <v>6200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72</v>
      </c>
      <c r="R129" s="3">
        <v>30396</v>
      </c>
      <c r="S129" s="3">
        <v>10</v>
      </c>
      <c r="T129" s="3">
        <v>0</v>
      </c>
      <c r="U129" s="3">
        <v>0</v>
      </c>
      <c r="V129" s="4">
        <f>IF(ISERROR(VLOOKUP($S$129,'TAR FIN'!$A$1:$O$113,15,0)),0,VLOOKUP($S$129,'TAR FIN'!$A$1:$O$113,15,0))</f>
        <v>10.55</v>
      </c>
      <c r="W129" s="4">
        <f>IF(ISERROR(VLOOKUP($T$129,'TAR FIN'!$A$1:$O$113,15,0)),0,VLOOKUP($T$129,'TAR FIN'!$A$1:$O$113,15,0))</f>
        <v>0</v>
      </c>
      <c r="X129" s="4">
        <f>IF(ISERROR(VLOOKUP($U$129,'TAR FIN'!$A$1:$O$113,15,0)),0,VLOOKUP($U$129,'TAR FIN'!$A$1:$O$113,15,0))</f>
        <v>0</v>
      </c>
      <c r="Y129" s="4">
        <f ca="1">('TUSD BE'!$AM$12+'TUSD BF'!$AM$12+'TUSD CVA'!$AM$12)*1</f>
        <v>12.955950506408183</v>
      </c>
      <c r="Z129" s="4"/>
      <c r="AA129" s="4"/>
      <c r="AB129" s="4">
        <f t="shared" si="6"/>
        <v>65410.000000000007</v>
      </c>
      <c r="AC129" s="4">
        <f t="shared" si="7"/>
        <v>0</v>
      </c>
      <c r="AD129" s="4">
        <f t="shared" ca="1" si="8"/>
        <v>80326.893139730731</v>
      </c>
      <c r="AE129" s="4">
        <f t="shared" si="9"/>
        <v>0</v>
      </c>
      <c r="AF129" s="3" t="s">
        <v>1027</v>
      </c>
    </row>
    <row r="130" spans="1:32" ht="11.25" customHeight="1" x14ac:dyDescent="0.25">
      <c r="A130" s="3" t="s">
        <v>21</v>
      </c>
      <c r="B130" s="3" t="s">
        <v>39</v>
      </c>
      <c r="C130" s="3" t="s">
        <v>69</v>
      </c>
      <c r="D130" s="3" t="s">
        <v>25</v>
      </c>
      <c r="E130" s="3" t="s">
        <v>25</v>
      </c>
      <c r="F130" s="3" t="s">
        <v>25</v>
      </c>
      <c r="G130" s="3" t="s">
        <v>74</v>
      </c>
      <c r="H130" s="3" t="s">
        <v>25</v>
      </c>
      <c r="I130" s="6">
        <v>44287</v>
      </c>
      <c r="J130" s="4">
        <v>30000</v>
      </c>
      <c r="K130" s="4">
        <v>15000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72</v>
      </c>
      <c r="R130" s="3">
        <v>30296</v>
      </c>
      <c r="S130" s="3">
        <v>10</v>
      </c>
      <c r="T130" s="3">
        <v>0</v>
      </c>
      <c r="U130" s="3">
        <v>0</v>
      </c>
      <c r="V130" s="4">
        <f>IF(ISERROR(VLOOKUP($S$130,'TAR FIN'!$A$1:$O$113,15,0)),0,VLOOKUP($S$130,'TAR FIN'!$A$1:$O$113,15,0))</f>
        <v>10.55</v>
      </c>
      <c r="W130" s="4">
        <f>IF(ISERROR(VLOOKUP($T$130,'TAR FIN'!$A$1:$O$113,15,0)),0,VLOOKUP($T$130,'TAR FIN'!$A$1:$O$113,15,0))</f>
        <v>0</v>
      </c>
      <c r="X130" s="4">
        <f>IF(ISERROR(VLOOKUP($U$130,'TAR FIN'!$A$1:$O$113,15,0)),0,VLOOKUP($U$130,'TAR FIN'!$A$1:$O$113,15,0))</f>
        <v>0</v>
      </c>
      <c r="Y130" s="4">
        <f ca="1">('TUSD BE'!$AM$12+'TUSD BF'!$AM$12+'TUSD CVA'!$AM$12)*1</f>
        <v>12.955950506408183</v>
      </c>
      <c r="Z130" s="4"/>
      <c r="AA130" s="4"/>
      <c r="AB130" s="4">
        <f t="shared" ref="AB130:AB179" si="10">(J130-K130)*V130</f>
        <v>158250</v>
      </c>
      <c r="AC130" s="4">
        <f t="shared" ref="AC130:AC179" si="11">(L130-M130)*W130+(N130-O130)*X130</f>
        <v>0</v>
      </c>
      <c r="AD130" s="4">
        <f t="shared" ref="AD130:AD179" ca="1" si="12">(J130-K130)*Y130</f>
        <v>194339.25759612274</v>
      </c>
      <c r="AE130" s="4">
        <f t="shared" ref="AE130:AE179" si="13">(L130-M130)*Z130+(N130-O130)*AA130</f>
        <v>0</v>
      </c>
      <c r="AF130" s="3" t="s">
        <v>1027</v>
      </c>
    </row>
    <row r="131" spans="1:32" ht="11.25" customHeight="1" x14ac:dyDescent="0.25">
      <c r="A131" s="3" t="s">
        <v>21</v>
      </c>
      <c r="B131" s="3" t="s">
        <v>39</v>
      </c>
      <c r="C131" s="3" t="s">
        <v>69</v>
      </c>
      <c r="D131" s="3" t="s">
        <v>25</v>
      </c>
      <c r="E131" s="3" t="s">
        <v>25</v>
      </c>
      <c r="F131" s="3" t="s">
        <v>25</v>
      </c>
      <c r="G131" s="3" t="s">
        <v>74</v>
      </c>
      <c r="H131" s="3" t="s">
        <v>25</v>
      </c>
      <c r="I131" s="6">
        <v>44317</v>
      </c>
      <c r="J131" s="4">
        <v>30000</v>
      </c>
      <c r="K131" s="4">
        <v>15000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72</v>
      </c>
      <c r="R131" s="3">
        <v>30296</v>
      </c>
      <c r="S131" s="3">
        <v>10</v>
      </c>
      <c r="T131" s="3">
        <v>0</v>
      </c>
      <c r="U131" s="3">
        <v>0</v>
      </c>
      <c r="V131" s="4">
        <f>IF(ISERROR(VLOOKUP($S$131,'TAR FIN'!$A$1:$O$113,15,0)),0,VLOOKUP($S$131,'TAR FIN'!$A$1:$O$113,15,0))</f>
        <v>10.55</v>
      </c>
      <c r="W131" s="4">
        <f>IF(ISERROR(VLOOKUP($T$131,'TAR FIN'!$A$1:$O$113,15,0)),0,VLOOKUP($T$131,'TAR FIN'!$A$1:$O$113,15,0))</f>
        <v>0</v>
      </c>
      <c r="X131" s="4">
        <f>IF(ISERROR(VLOOKUP($U$131,'TAR FIN'!$A$1:$O$113,15,0)),0,VLOOKUP($U$131,'TAR FIN'!$A$1:$O$113,15,0))</f>
        <v>0</v>
      </c>
      <c r="Y131" s="4">
        <f ca="1">('TUSD BE'!$AM$12+'TUSD BF'!$AM$12+'TUSD CVA'!$AM$12)*1</f>
        <v>12.955950506408183</v>
      </c>
      <c r="Z131" s="4"/>
      <c r="AA131" s="4"/>
      <c r="AB131" s="4">
        <f t="shared" si="10"/>
        <v>158250</v>
      </c>
      <c r="AC131" s="4">
        <f t="shared" si="11"/>
        <v>0</v>
      </c>
      <c r="AD131" s="4">
        <f t="shared" ca="1" si="12"/>
        <v>194339.25759612274</v>
      </c>
      <c r="AE131" s="4">
        <f t="shared" si="13"/>
        <v>0</v>
      </c>
      <c r="AF131" s="3" t="s">
        <v>1027</v>
      </c>
    </row>
    <row r="132" spans="1:32" ht="11.25" customHeight="1" x14ac:dyDescent="0.25">
      <c r="A132" s="3" t="s">
        <v>21</v>
      </c>
      <c r="B132" s="3" t="s">
        <v>39</v>
      </c>
      <c r="C132" s="3" t="s">
        <v>69</v>
      </c>
      <c r="D132" s="3" t="s">
        <v>25</v>
      </c>
      <c r="E132" s="3" t="s">
        <v>25</v>
      </c>
      <c r="F132" s="3" t="s">
        <v>25</v>
      </c>
      <c r="G132" s="3" t="s">
        <v>74</v>
      </c>
      <c r="H132" s="3" t="s">
        <v>25</v>
      </c>
      <c r="I132" s="6">
        <v>44348</v>
      </c>
      <c r="J132" s="4">
        <v>30000</v>
      </c>
      <c r="K132" s="4">
        <v>15000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72</v>
      </c>
      <c r="R132" s="3">
        <v>30296</v>
      </c>
      <c r="S132" s="3">
        <v>10</v>
      </c>
      <c r="T132" s="3">
        <v>0</v>
      </c>
      <c r="U132" s="3">
        <v>0</v>
      </c>
      <c r="V132" s="4">
        <f>IF(ISERROR(VLOOKUP($S$132,'TAR FIN'!$A$1:$O$113,15,0)),0,VLOOKUP($S$132,'TAR FIN'!$A$1:$O$113,15,0))</f>
        <v>10.55</v>
      </c>
      <c r="W132" s="4">
        <f>IF(ISERROR(VLOOKUP($T$132,'TAR FIN'!$A$1:$O$113,15,0)),0,VLOOKUP($T$132,'TAR FIN'!$A$1:$O$113,15,0))</f>
        <v>0</v>
      </c>
      <c r="X132" s="4">
        <f>IF(ISERROR(VLOOKUP($U$132,'TAR FIN'!$A$1:$O$113,15,0)),0,VLOOKUP($U$132,'TAR FIN'!$A$1:$O$113,15,0))</f>
        <v>0</v>
      </c>
      <c r="Y132" s="4">
        <f ca="1">('TUSD BE'!$AM$12+'TUSD BF'!$AM$12+'TUSD CVA'!$AM$12)*1</f>
        <v>12.955950506408183</v>
      </c>
      <c r="Z132" s="4"/>
      <c r="AA132" s="4"/>
      <c r="AB132" s="4">
        <f t="shared" si="10"/>
        <v>158250</v>
      </c>
      <c r="AC132" s="4">
        <f t="shared" si="11"/>
        <v>0</v>
      </c>
      <c r="AD132" s="4">
        <f t="shared" ca="1" si="12"/>
        <v>194339.25759612274</v>
      </c>
      <c r="AE132" s="4">
        <f t="shared" si="13"/>
        <v>0</v>
      </c>
      <c r="AF132" s="3" t="s">
        <v>1027</v>
      </c>
    </row>
    <row r="133" spans="1:32" ht="11.25" customHeight="1" x14ac:dyDescent="0.25">
      <c r="A133" s="3" t="s">
        <v>21</v>
      </c>
      <c r="B133" s="3" t="s">
        <v>39</v>
      </c>
      <c r="C133" s="3" t="s">
        <v>69</v>
      </c>
      <c r="D133" s="3" t="s">
        <v>25</v>
      </c>
      <c r="E133" s="3" t="s">
        <v>25</v>
      </c>
      <c r="F133" s="3" t="s">
        <v>25</v>
      </c>
      <c r="G133" s="3" t="s">
        <v>74</v>
      </c>
      <c r="H133" s="3" t="s">
        <v>25</v>
      </c>
      <c r="I133" s="6">
        <v>44378</v>
      </c>
      <c r="J133" s="4">
        <v>30000</v>
      </c>
      <c r="K133" s="4">
        <v>15000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72</v>
      </c>
      <c r="R133" s="3">
        <v>30296</v>
      </c>
      <c r="S133" s="3">
        <v>10</v>
      </c>
      <c r="T133" s="3">
        <v>0</v>
      </c>
      <c r="U133" s="3">
        <v>0</v>
      </c>
      <c r="V133" s="4">
        <f>IF(ISERROR(VLOOKUP($S$133,'TAR FIN'!$A$1:$O$113,15,0)),0,VLOOKUP($S$133,'TAR FIN'!$A$1:$O$113,15,0))</f>
        <v>10.55</v>
      </c>
      <c r="W133" s="4">
        <f>IF(ISERROR(VLOOKUP($T$133,'TAR FIN'!$A$1:$O$113,15,0)),0,VLOOKUP($T$133,'TAR FIN'!$A$1:$O$113,15,0))</f>
        <v>0</v>
      </c>
      <c r="X133" s="4">
        <f>IF(ISERROR(VLOOKUP($U$133,'TAR FIN'!$A$1:$O$113,15,0)),0,VLOOKUP($U$133,'TAR FIN'!$A$1:$O$113,15,0))</f>
        <v>0</v>
      </c>
      <c r="Y133" s="4">
        <f ca="1">('TUSD BE'!$AM$12+'TUSD BF'!$AM$12+'TUSD CVA'!$AM$12)*1</f>
        <v>12.955950506408183</v>
      </c>
      <c r="Z133" s="4"/>
      <c r="AA133" s="4"/>
      <c r="AB133" s="4">
        <f t="shared" si="10"/>
        <v>158250</v>
      </c>
      <c r="AC133" s="4">
        <f t="shared" si="11"/>
        <v>0</v>
      </c>
      <c r="AD133" s="4">
        <f t="shared" ca="1" si="12"/>
        <v>194339.25759612274</v>
      </c>
      <c r="AE133" s="4">
        <f t="shared" si="13"/>
        <v>0</v>
      </c>
      <c r="AF133" s="3" t="s">
        <v>1027</v>
      </c>
    </row>
    <row r="134" spans="1:32" ht="11.25" customHeight="1" x14ac:dyDescent="0.25">
      <c r="A134" s="3" t="s">
        <v>21</v>
      </c>
      <c r="B134" s="3" t="s">
        <v>39</v>
      </c>
      <c r="C134" s="3" t="s">
        <v>69</v>
      </c>
      <c r="D134" s="3" t="s">
        <v>25</v>
      </c>
      <c r="E134" s="3" t="s">
        <v>25</v>
      </c>
      <c r="F134" s="3" t="s">
        <v>25</v>
      </c>
      <c r="G134" s="3" t="s">
        <v>74</v>
      </c>
      <c r="H134" s="3" t="s">
        <v>25</v>
      </c>
      <c r="I134" s="6">
        <v>44409</v>
      </c>
      <c r="J134" s="4">
        <v>30000</v>
      </c>
      <c r="K134" s="4">
        <v>15000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72</v>
      </c>
      <c r="R134" s="3">
        <v>30296</v>
      </c>
      <c r="S134" s="3">
        <v>10</v>
      </c>
      <c r="T134" s="3">
        <v>0</v>
      </c>
      <c r="U134" s="3">
        <v>0</v>
      </c>
      <c r="V134" s="4">
        <f>IF(ISERROR(VLOOKUP($S$134,'TAR FIN'!$A$1:$O$113,15,0)),0,VLOOKUP($S$134,'TAR FIN'!$A$1:$O$113,15,0))</f>
        <v>10.55</v>
      </c>
      <c r="W134" s="4">
        <f>IF(ISERROR(VLOOKUP($T$134,'TAR FIN'!$A$1:$O$113,15,0)),0,VLOOKUP($T$134,'TAR FIN'!$A$1:$O$113,15,0))</f>
        <v>0</v>
      </c>
      <c r="X134" s="4">
        <f>IF(ISERROR(VLOOKUP($U$134,'TAR FIN'!$A$1:$O$113,15,0)),0,VLOOKUP($U$134,'TAR FIN'!$A$1:$O$113,15,0))</f>
        <v>0</v>
      </c>
      <c r="Y134" s="4">
        <f ca="1">('TUSD BE'!$AM$12+'TUSD BF'!$AM$12+'TUSD CVA'!$AM$12)*1</f>
        <v>12.955950506408183</v>
      </c>
      <c r="Z134" s="4"/>
      <c r="AA134" s="4"/>
      <c r="AB134" s="4">
        <f t="shared" si="10"/>
        <v>158250</v>
      </c>
      <c r="AC134" s="4">
        <f t="shared" si="11"/>
        <v>0</v>
      </c>
      <c r="AD134" s="4">
        <f t="shared" ca="1" si="12"/>
        <v>194339.25759612274</v>
      </c>
      <c r="AE134" s="4">
        <f t="shared" si="13"/>
        <v>0</v>
      </c>
      <c r="AF134" s="3" t="s">
        <v>1027</v>
      </c>
    </row>
    <row r="135" spans="1:32" ht="11.25" customHeight="1" x14ac:dyDescent="0.25">
      <c r="A135" s="3" t="s">
        <v>21</v>
      </c>
      <c r="B135" s="3" t="s">
        <v>39</v>
      </c>
      <c r="C135" s="3" t="s">
        <v>69</v>
      </c>
      <c r="D135" s="3" t="s">
        <v>25</v>
      </c>
      <c r="E135" s="3" t="s">
        <v>25</v>
      </c>
      <c r="F135" s="3" t="s">
        <v>25</v>
      </c>
      <c r="G135" s="3" t="s">
        <v>74</v>
      </c>
      <c r="H135" s="3" t="s">
        <v>25</v>
      </c>
      <c r="I135" s="6">
        <v>44440</v>
      </c>
      <c r="J135" s="4">
        <v>30000</v>
      </c>
      <c r="K135" s="4">
        <v>15000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72</v>
      </c>
      <c r="R135" s="3">
        <v>30296</v>
      </c>
      <c r="S135" s="3">
        <v>10</v>
      </c>
      <c r="T135" s="3">
        <v>0</v>
      </c>
      <c r="U135" s="3">
        <v>0</v>
      </c>
      <c r="V135" s="4">
        <f>IF(ISERROR(VLOOKUP($S$135,'TAR FIN'!$A$1:$O$113,15,0)),0,VLOOKUP($S$135,'TAR FIN'!$A$1:$O$113,15,0))</f>
        <v>10.55</v>
      </c>
      <c r="W135" s="4">
        <f>IF(ISERROR(VLOOKUP($T$135,'TAR FIN'!$A$1:$O$113,15,0)),0,VLOOKUP($T$135,'TAR FIN'!$A$1:$O$113,15,0))</f>
        <v>0</v>
      </c>
      <c r="X135" s="4">
        <f>IF(ISERROR(VLOOKUP($U$135,'TAR FIN'!$A$1:$O$113,15,0)),0,VLOOKUP($U$135,'TAR FIN'!$A$1:$O$113,15,0))</f>
        <v>0</v>
      </c>
      <c r="Y135" s="4">
        <f ca="1">('TUSD BE'!$AM$12+'TUSD BF'!$AM$12+'TUSD CVA'!$AM$12)*1</f>
        <v>12.955950506408183</v>
      </c>
      <c r="Z135" s="4"/>
      <c r="AA135" s="4"/>
      <c r="AB135" s="4">
        <f t="shared" si="10"/>
        <v>158250</v>
      </c>
      <c r="AC135" s="4">
        <f t="shared" si="11"/>
        <v>0</v>
      </c>
      <c r="AD135" s="4">
        <f t="shared" ca="1" si="12"/>
        <v>194339.25759612274</v>
      </c>
      <c r="AE135" s="4">
        <f t="shared" si="13"/>
        <v>0</v>
      </c>
      <c r="AF135" s="3" t="s">
        <v>1027</v>
      </c>
    </row>
    <row r="136" spans="1:32" ht="11.25" customHeight="1" x14ac:dyDescent="0.25">
      <c r="A136" s="3" t="s">
        <v>21</v>
      </c>
      <c r="B136" s="3" t="s">
        <v>39</v>
      </c>
      <c r="C136" s="3" t="s">
        <v>69</v>
      </c>
      <c r="D136" s="3" t="s">
        <v>25</v>
      </c>
      <c r="E136" s="3" t="s">
        <v>25</v>
      </c>
      <c r="F136" s="3" t="s">
        <v>25</v>
      </c>
      <c r="G136" s="3" t="s">
        <v>74</v>
      </c>
      <c r="H136" s="3" t="s">
        <v>25</v>
      </c>
      <c r="I136" s="6">
        <v>44470</v>
      </c>
      <c r="J136" s="4">
        <v>30000</v>
      </c>
      <c r="K136" s="4">
        <v>15000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72</v>
      </c>
      <c r="R136" s="3">
        <v>30296</v>
      </c>
      <c r="S136" s="3">
        <v>10</v>
      </c>
      <c r="T136" s="3">
        <v>0</v>
      </c>
      <c r="U136" s="3">
        <v>0</v>
      </c>
      <c r="V136" s="4">
        <f>IF(ISERROR(VLOOKUP($S$136,'TAR FIN'!$A$1:$O$113,15,0)),0,VLOOKUP($S$136,'TAR FIN'!$A$1:$O$113,15,0))</f>
        <v>10.55</v>
      </c>
      <c r="W136" s="4">
        <f>IF(ISERROR(VLOOKUP($T$136,'TAR FIN'!$A$1:$O$113,15,0)),0,VLOOKUP($T$136,'TAR FIN'!$A$1:$O$113,15,0))</f>
        <v>0</v>
      </c>
      <c r="X136" s="4">
        <f>IF(ISERROR(VLOOKUP($U$136,'TAR FIN'!$A$1:$O$113,15,0)),0,VLOOKUP($U$136,'TAR FIN'!$A$1:$O$113,15,0))</f>
        <v>0</v>
      </c>
      <c r="Y136" s="4">
        <f ca="1">('TUSD BE'!$AM$12+'TUSD BF'!$AM$12+'TUSD CVA'!$AM$12)*1</f>
        <v>12.955950506408183</v>
      </c>
      <c r="Z136" s="4"/>
      <c r="AA136" s="4"/>
      <c r="AB136" s="4">
        <f t="shared" si="10"/>
        <v>158250</v>
      </c>
      <c r="AC136" s="4">
        <f t="shared" si="11"/>
        <v>0</v>
      </c>
      <c r="AD136" s="4">
        <f t="shared" ca="1" si="12"/>
        <v>194339.25759612274</v>
      </c>
      <c r="AE136" s="4">
        <f t="shared" si="13"/>
        <v>0</v>
      </c>
      <c r="AF136" s="3" t="s">
        <v>1027</v>
      </c>
    </row>
    <row r="137" spans="1:32" ht="11.25" customHeight="1" x14ac:dyDescent="0.25">
      <c r="A137" s="3" t="s">
        <v>21</v>
      </c>
      <c r="B137" s="3" t="s">
        <v>39</v>
      </c>
      <c r="C137" s="3" t="s">
        <v>69</v>
      </c>
      <c r="D137" s="3" t="s">
        <v>25</v>
      </c>
      <c r="E137" s="3" t="s">
        <v>25</v>
      </c>
      <c r="F137" s="3" t="s">
        <v>25</v>
      </c>
      <c r="G137" s="3" t="s">
        <v>74</v>
      </c>
      <c r="H137" s="3" t="s">
        <v>25</v>
      </c>
      <c r="I137" s="6">
        <v>44501</v>
      </c>
      <c r="J137" s="4">
        <v>30000</v>
      </c>
      <c r="K137" s="4">
        <v>15000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72</v>
      </c>
      <c r="R137" s="3">
        <v>30296</v>
      </c>
      <c r="S137" s="3">
        <v>10</v>
      </c>
      <c r="T137" s="3">
        <v>0</v>
      </c>
      <c r="U137" s="3">
        <v>0</v>
      </c>
      <c r="V137" s="4">
        <f>IF(ISERROR(VLOOKUP($S$137,'TAR FIN'!$A$1:$O$113,15,0)),0,VLOOKUP($S$137,'TAR FIN'!$A$1:$O$113,15,0))</f>
        <v>10.55</v>
      </c>
      <c r="W137" s="4">
        <f>IF(ISERROR(VLOOKUP($T$137,'TAR FIN'!$A$1:$O$113,15,0)),0,VLOOKUP($T$137,'TAR FIN'!$A$1:$O$113,15,0))</f>
        <v>0</v>
      </c>
      <c r="X137" s="4">
        <f>IF(ISERROR(VLOOKUP($U$137,'TAR FIN'!$A$1:$O$113,15,0)),0,VLOOKUP($U$137,'TAR FIN'!$A$1:$O$113,15,0))</f>
        <v>0</v>
      </c>
      <c r="Y137" s="4">
        <f ca="1">('TUSD BE'!$AM$12+'TUSD BF'!$AM$12+'TUSD CVA'!$AM$12)*1</f>
        <v>12.955950506408183</v>
      </c>
      <c r="Z137" s="4"/>
      <c r="AA137" s="4"/>
      <c r="AB137" s="4">
        <f t="shared" si="10"/>
        <v>158250</v>
      </c>
      <c r="AC137" s="4">
        <f t="shared" si="11"/>
        <v>0</v>
      </c>
      <c r="AD137" s="4">
        <f t="shared" ca="1" si="12"/>
        <v>194339.25759612274</v>
      </c>
      <c r="AE137" s="4">
        <f t="shared" si="13"/>
        <v>0</v>
      </c>
      <c r="AF137" s="3" t="s">
        <v>1027</v>
      </c>
    </row>
    <row r="138" spans="1:32" ht="11.25" customHeight="1" x14ac:dyDescent="0.25">
      <c r="A138" s="3" t="s">
        <v>21</v>
      </c>
      <c r="B138" s="3" t="s">
        <v>39</v>
      </c>
      <c r="C138" s="3" t="s">
        <v>69</v>
      </c>
      <c r="D138" s="3" t="s">
        <v>25</v>
      </c>
      <c r="E138" s="3" t="s">
        <v>25</v>
      </c>
      <c r="F138" s="3" t="s">
        <v>25</v>
      </c>
      <c r="G138" s="3" t="s">
        <v>74</v>
      </c>
      <c r="H138" s="3" t="s">
        <v>25</v>
      </c>
      <c r="I138" s="6">
        <v>44531</v>
      </c>
      <c r="J138" s="4">
        <v>30000</v>
      </c>
      <c r="K138" s="4">
        <v>15000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72</v>
      </c>
      <c r="R138" s="3">
        <v>30296</v>
      </c>
      <c r="S138" s="3">
        <v>10</v>
      </c>
      <c r="T138" s="3">
        <v>0</v>
      </c>
      <c r="U138" s="3">
        <v>0</v>
      </c>
      <c r="V138" s="4">
        <f>IF(ISERROR(VLOOKUP($S$138,'TAR FIN'!$A$1:$O$113,15,0)),0,VLOOKUP($S$138,'TAR FIN'!$A$1:$O$113,15,0))</f>
        <v>10.55</v>
      </c>
      <c r="W138" s="4">
        <f>IF(ISERROR(VLOOKUP($T$138,'TAR FIN'!$A$1:$O$113,15,0)),0,VLOOKUP($T$138,'TAR FIN'!$A$1:$O$113,15,0))</f>
        <v>0</v>
      </c>
      <c r="X138" s="4">
        <f>IF(ISERROR(VLOOKUP($U$138,'TAR FIN'!$A$1:$O$113,15,0)),0,VLOOKUP($U$138,'TAR FIN'!$A$1:$O$113,15,0))</f>
        <v>0</v>
      </c>
      <c r="Y138" s="4">
        <f ca="1">('TUSD BE'!$AM$12+'TUSD BF'!$AM$12+'TUSD CVA'!$AM$12)*1</f>
        <v>12.955950506408183</v>
      </c>
      <c r="Z138" s="4"/>
      <c r="AA138" s="4"/>
      <c r="AB138" s="4">
        <f t="shared" si="10"/>
        <v>158250</v>
      </c>
      <c r="AC138" s="4">
        <f t="shared" si="11"/>
        <v>0</v>
      </c>
      <c r="AD138" s="4">
        <f t="shared" ca="1" si="12"/>
        <v>194339.25759612274</v>
      </c>
      <c r="AE138" s="4">
        <f t="shared" si="13"/>
        <v>0</v>
      </c>
      <c r="AF138" s="3" t="s">
        <v>1027</v>
      </c>
    </row>
    <row r="139" spans="1:32" ht="11.25" customHeight="1" x14ac:dyDescent="0.25">
      <c r="A139" s="3" t="s">
        <v>21</v>
      </c>
      <c r="B139" s="3" t="s">
        <v>39</v>
      </c>
      <c r="C139" s="3" t="s">
        <v>69</v>
      </c>
      <c r="D139" s="3" t="s">
        <v>25</v>
      </c>
      <c r="E139" s="3" t="s">
        <v>25</v>
      </c>
      <c r="F139" s="3" t="s">
        <v>25</v>
      </c>
      <c r="G139" s="3" t="s">
        <v>74</v>
      </c>
      <c r="H139" s="3" t="s">
        <v>25</v>
      </c>
      <c r="I139" s="6">
        <v>44562</v>
      </c>
      <c r="J139" s="4">
        <v>30000</v>
      </c>
      <c r="K139" s="4">
        <v>15000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72</v>
      </c>
      <c r="R139" s="3">
        <v>30296</v>
      </c>
      <c r="S139" s="3">
        <v>10</v>
      </c>
      <c r="T139" s="3">
        <v>0</v>
      </c>
      <c r="U139" s="3">
        <v>0</v>
      </c>
      <c r="V139" s="4">
        <f>IF(ISERROR(VLOOKUP($S$139,'TAR FIN'!$A$1:$O$113,15,0)),0,VLOOKUP($S$139,'TAR FIN'!$A$1:$O$113,15,0))</f>
        <v>10.55</v>
      </c>
      <c r="W139" s="4">
        <f>IF(ISERROR(VLOOKUP($T$139,'TAR FIN'!$A$1:$O$113,15,0)),0,VLOOKUP($T$139,'TAR FIN'!$A$1:$O$113,15,0))</f>
        <v>0</v>
      </c>
      <c r="X139" s="4">
        <f>IF(ISERROR(VLOOKUP($U$139,'TAR FIN'!$A$1:$O$113,15,0)),0,VLOOKUP($U$139,'TAR FIN'!$A$1:$O$113,15,0))</f>
        <v>0</v>
      </c>
      <c r="Y139" s="4">
        <f ca="1">('TUSD BE'!$AM$12+'TUSD BF'!$AM$12+'TUSD CVA'!$AM$12)*1</f>
        <v>12.955950506408183</v>
      </c>
      <c r="Z139" s="4"/>
      <c r="AA139" s="4"/>
      <c r="AB139" s="4">
        <f t="shared" si="10"/>
        <v>158250</v>
      </c>
      <c r="AC139" s="4">
        <f t="shared" si="11"/>
        <v>0</v>
      </c>
      <c r="AD139" s="4">
        <f t="shared" ca="1" si="12"/>
        <v>194339.25759612274</v>
      </c>
      <c r="AE139" s="4">
        <f t="shared" si="13"/>
        <v>0</v>
      </c>
      <c r="AF139" s="3" t="s">
        <v>1027</v>
      </c>
    </row>
    <row r="140" spans="1:32" ht="11.25" customHeight="1" x14ac:dyDescent="0.25">
      <c r="A140" s="3" t="s">
        <v>21</v>
      </c>
      <c r="B140" s="3" t="s">
        <v>39</v>
      </c>
      <c r="C140" s="3" t="s">
        <v>69</v>
      </c>
      <c r="D140" s="3" t="s">
        <v>25</v>
      </c>
      <c r="E140" s="3" t="s">
        <v>25</v>
      </c>
      <c r="F140" s="3" t="s">
        <v>25</v>
      </c>
      <c r="G140" s="3" t="s">
        <v>74</v>
      </c>
      <c r="H140" s="3" t="s">
        <v>25</v>
      </c>
      <c r="I140" s="6">
        <v>44593</v>
      </c>
      <c r="J140" s="4">
        <v>30000</v>
      </c>
      <c r="K140" s="4">
        <v>15000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3" t="s">
        <v>72</v>
      </c>
      <c r="R140" s="3">
        <v>30296</v>
      </c>
      <c r="S140" s="3">
        <v>10</v>
      </c>
      <c r="T140" s="3">
        <v>0</v>
      </c>
      <c r="U140" s="3">
        <v>0</v>
      </c>
      <c r="V140" s="4">
        <f>IF(ISERROR(VLOOKUP($S$140,'TAR FIN'!$A$1:$O$113,15,0)),0,VLOOKUP($S$140,'TAR FIN'!$A$1:$O$113,15,0))</f>
        <v>10.55</v>
      </c>
      <c r="W140" s="4">
        <f>IF(ISERROR(VLOOKUP($T$140,'TAR FIN'!$A$1:$O$113,15,0)),0,VLOOKUP($T$140,'TAR FIN'!$A$1:$O$113,15,0))</f>
        <v>0</v>
      </c>
      <c r="X140" s="4">
        <f>IF(ISERROR(VLOOKUP($U$140,'TAR FIN'!$A$1:$O$113,15,0)),0,VLOOKUP($U$140,'TAR FIN'!$A$1:$O$113,15,0))</f>
        <v>0</v>
      </c>
      <c r="Y140" s="4">
        <f ca="1">('TUSD BE'!$AM$12+'TUSD BF'!$AM$12+'TUSD CVA'!$AM$12)*1</f>
        <v>12.955950506408183</v>
      </c>
      <c r="Z140" s="4"/>
      <c r="AA140" s="4"/>
      <c r="AB140" s="4">
        <f t="shared" si="10"/>
        <v>158250</v>
      </c>
      <c r="AC140" s="4">
        <f t="shared" si="11"/>
        <v>0</v>
      </c>
      <c r="AD140" s="4">
        <f t="shared" ca="1" si="12"/>
        <v>194339.25759612274</v>
      </c>
      <c r="AE140" s="4">
        <f t="shared" si="13"/>
        <v>0</v>
      </c>
      <c r="AF140" s="3" t="s">
        <v>1027</v>
      </c>
    </row>
    <row r="141" spans="1:32" ht="11.25" customHeight="1" x14ac:dyDescent="0.25">
      <c r="A141" s="3" t="s">
        <v>56</v>
      </c>
      <c r="B141" s="3" t="s">
        <v>39</v>
      </c>
      <c r="C141" s="3" t="s">
        <v>69</v>
      </c>
      <c r="D141" s="3" t="s">
        <v>25</v>
      </c>
      <c r="E141" s="3" t="s">
        <v>25</v>
      </c>
      <c r="F141" s="3" t="s">
        <v>25</v>
      </c>
      <c r="G141" s="3" t="s">
        <v>74</v>
      </c>
      <c r="H141" s="3" t="s">
        <v>25</v>
      </c>
      <c r="I141" s="6">
        <v>44621</v>
      </c>
      <c r="J141" s="4">
        <v>30000</v>
      </c>
      <c r="K141" s="4">
        <v>15000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3" t="s">
        <v>72</v>
      </c>
      <c r="R141" s="3">
        <v>30296</v>
      </c>
      <c r="S141" s="3">
        <v>10</v>
      </c>
      <c r="T141" s="3">
        <v>0</v>
      </c>
      <c r="U141" s="3">
        <v>0</v>
      </c>
      <c r="V141" s="4">
        <f>IF(ISERROR(VLOOKUP($S$141,'TAR FIN'!$A$1:$O$113,15,0)),0,VLOOKUP($S$141,'TAR FIN'!$A$1:$O$113,15,0))</f>
        <v>10.55</v>
      </c>
      <c r="W141" s="4">
        <f>IF(ISERROR(VLOOKUP($T$141,'TAR FIN'!$A$1:$O$113,15,0)),0,VLOOKUP($T$141,'TAR FIN'!$A$1:$O$113,15,0))</f>
        <v>0</v>
      </c>
      <c r="X141" s="4">
        <f>IF(ISERROR(VLOOKUP($U$141,'TAR FIN'!$A$1:$O$113,15,0)),0,VLOOKUP($U$141,'TAR FIN'!$A$1:$O$113,15,0))</f>
        <v>0</v>
      </c>
      <c r="Y141" s="4">
        <f ca="1">('TUSD BE'!$AM$12+'TUSD BF'!$AM$12+'TUSD CVA'!$AM$12)*1</f>
        <v>12.955950506408183</v>
      </c>
      <c r="Z141" s="4"/>
      <c r="AA141" s="4"/>
      <c r="AB141" s="4">
        <f t="shared" si="10"/>
        <v>158250</v>
      </c>
      <c r="AC141" s="4">
        <f t="shared" si="11"/>
        <v>0</v>
      </c>
      <c r="AD141" s="4">
        <f t="shared" ca="1" si="12"/>
        <v>194339.25759612274</v>
      </c>
      <c r="AE141" s="4">
        <f t="shared" si="13"/>
        <v>0</v>
      </c>
      <c r="AF141" s="3" t="s">
        <v>1027</v>
      </c>
    </row>
    <row r="142" spans="1:32" ht="11.25" customHeight="1" x14ac:dyDescent="0.25">
      <c r="A142" s="3" t="s">
        <v>21</v>
      </c>
      <c r="B142" s="3" t="s">
        <v>41</v>
      </c>
      <c r="C142" s="3" t="s">
        <v>40</v>
      </c>
      <c r="D142" s="3" t="s">
        <v>38</v>
      </c>
      <c r="E142" s="3" t="s">
        <v>25</v>
      </c>
      <c r="F142" s="3" t="s">
        <v>60</v>
      </c>
      <c r="G142" s="3" t="s">
        <v>25</v>
      </c>
      <c r="H142" s="3" t="s">
        <v>35</v>
      </c>
      <c r="I142" s="6">
        <v>44287</v>
      </c>
      <c r="J142" s="4">
        <v>25789</v>
      </c>
      <c r="K142" s="4">
        <v>13282.53083593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R142" s="3">
        <v>0</v>
      </c>
      <c r="S142" s="3">
        <v>12</v>
      </c>
      <c r="T142" s="3">
        <v>0</v>
      </c>
      <c r="U142" s="3">
        <v>0</v>
      </c>
      <c r="V142" s="4">
        <f>IF(ISERROR(VLOOKUP($S$142,'TAR FIN'!$A$1:$O$113,15,0)),0,VLOOKUP($S$142,'TAR FIN'!$A$1:$O$113,15,0))</f>
        <v>24.31</v>
      </c>
      <c r="W142" s="4">
        <f>IF(ISERROR(VLOOKUP($T$142,'TAR FIN'!$A$1:$O$113,15,0)),0,VLOOKUP($T$142,'TAR FIN'!$A$1:$O$113,15,0))</f>
        <v>0</v>
      </c>
      <c r="X142" s="4">
        <f>IF(ISERROR(VLOOKUP($U$142,'TAR FIN'!$A$1:$O$113,15,0)),0,VLOOKUP($U$142,'TAR FIN'!$A$1:$O$113,15,0))</f>
        <v>0</v>
      </c>
      <c r="Y142" s="4">
        <f ca="1">('TUSD BE'!$AM$14+'TUSD BF'!$AM$14+'TUSD CVA'!$AM$14)*1</f>
        <v>26.598074646640526</v>
      </c>
      <c r="Z142" s="4">
        <f ca="1">('TUSD BE'!$AM$15+'TUSD BF'!$AM$15+'TUSD CVA'!$AM$15)*1</f>
        <v>65.007409626508434</v>
      </c>
      <c r="AA142" s="4"/>
      <c r="AB142" s="4">
        <f t="shared" si="10"/>
        <v>304032.26537854166</v>
      </c>
      <c r="AC142" s="4">
        <f t="shared" si="11"/>
        <v>0</v>
      </c>
      <c r="AD142" s="4">
        <f t="shared" ca="1" si="12"/>
        <v>332648.00039184181</v>
      </c>
      <c r="AE142" s="4">
        <f t="shared" ca="1" si="13"/>
        <v>0</v>
      </c>
      <c r="AF142" s="3" t="s">
        <v>1022</v>
      </c>
    </row>
    <row r="143" spans="1:32" ht="11.25" customHeight="1" x14ac:dyDescent="0.25">
      <c r="A143" s="3" t="s">
        <v>21</v>
      </c>
      <c r="B143" s="3" t="s">
        <v>41</v>
      </c>
      <c r="C143" s="3" t="s">
        <v>40</v>
      </c>
      <c r="D143" s="3" t="s">
        <v>38</v>
      </c>
      <c r="E143" s="3" t="s">
        <v>25</v>
      </c>
      <c r="F143" s="3" t="s">
        <v>60</v>
      </c>
      <c r="G143" s="3" t="s">
        <v>25</v>
      </c>
      <c r="H143" s="3" t="s">
        <v>35</v>
      </c>
      <c r="I143" s="6">
        <v>44317</v>
      </c>
      <c r="J143" s="4">
        <v>25686</v>
      </c>
      <c r="K143" s="4">
        <v>13354.910421299999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 t="s">
        <v>57</v>
      </c>
      <c r="R143" s="3">
        <v>0</v>
      </c>
      <c r="S143" s="3">
        <v>12</v>
      </c>
      <c r="T143" s="3">
        <v>0</v>
      </c>
      <c r="U143" s="3">
        <v>0</v>
      </c>
      <c r="V143" s="4">
        <f>IF(ISERROR(VLOOKUP($S$143,'TAR FIN'!$A$1:$O$113,15,0)),0,VLOOKUP($S$143,'TAR FIN'!$A$1:$O$113,15,0))</f>
        <v>24.31</v>
      </c>
      <c r="W143" s="4">
        <f>IF(ISERROR(VLOOKUP($T$143,'TAR FIN'!$A$1:$O$113,15,0)),0,VLOOKUP($T$143,'TAR FIN'!$A$1:$O$113,15,0))</f>
        <v>0</v>
      </c>
      <c r="X143" s="4">
        <f>IF(ISERROR(VLOOKUP($U$143,'TAR FIN'!$A$1:$O$113,15,0)),0,VLOOKUP($U$143,'TAR FIN'!$A$1:$O$113,15,0))</f>
        <v>0</v>
      </c>
      <c r="Y143" s="4">
        <f ca="1">('TUSD BE'!$AM$14+'TUSD BF'!$AM$14+'TUSD CVA'!$AM$14)*1</f>
        <v>26.598074646640526</v>
      </c>
      <c r="Z143" s="4">
        <f ca="1">('TUSD BE'!$AM$15+'TUSD BF'!$AM$15+'TUSD CVA'!$AM$15)*1</f>
        <v>65.007409626508434</v>
      </c>
      <c r="AA143" s="4"/>
      <c r="AB143" s="4">
        <f t="shared" si="10"/>
        <v>299768.78765819699</v>
      </c>
      <c r="AC143" s="4">
        <f t="shared" si="11"/>
        <v>0</v>
      </c>
      <c r="AD143" s="4">
        <f t="shared" ca="1" si="12"/>
        <v>327983.24108867371</v>
      </c>
      <c r="AE143" s="4">
        <f t="shared" ca="1" si="13"/>
        <v>0</v>
      </c>
      <c r="AF143" s="3" t="s">
        <v>1022</v>
      </c>
    </row>
    <row r="144" spans="1:32" ht="11.25" customHeight="1" x14ac:dyDescent="0.25">
      <c r="A144" s="3" t="s">
        <v>21</v>
      </c>
      <c r="B144" s="3" t="s">
        <v>41</v>
      </c>
      <c r="C144" s="3" t="s">
        <v>40</v>
      </c>
      <c r="D144" s="3" t="s">
        <v>38</v>
      </c>
      <c r="E144" s="3" t="s">
        <v>25</v>
      </c>
      <c r="F144" s="3" t="s">
        <v>60</v>
      </c>
      <c r="G144" s="3" t="s">
        <v>25</v>
      </c>
      <c r="H144" s="3" t="s">
        <v>35</v>
      </c>
      <c r="I144" s="6">
        <v>44348</v>
      </c>
      <c r="J144" s="4">
        <v>27204</v>
      </c>
      <c r="K144" s="4">
        <v>14085.476016959999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3" t="s">
        <v>57</v>
      </c>
      <c r="R144" s="3">
        <v>0</v>
      </c>
      <c r="S144" s="3">
        <v>12</v>
      </c>
      <c r="T144" s="3">
        <v>0</v>
      </c>
      <c r="U144" s="3">
        <v>0</v>
      </c>
      <c r="V144" s="4">
        <f>IF(ISERROR(VLOOKUP($S$144,'TAR FIN'!$A$1:$O$113,15,0)),0,VLOOKUP($S$144,'TAR FIN'!$A$1:$O$113,15,0))</f>
        <v>24.31</v>
      </c>
      <c r="W144" s="4">
        <f>IF(ISERROR(VLOOKUP($T$144,'TAR FIN'!$A$1:$O$113,15,0)),0,VLOOKUP($T$144,'TAR FIN'!$A$1:$O$113,15,0))</f>
        <v>0</v>
      </c>
      <c r="X144" s="4">
        <f>IF(ISERROR(VLOOKUP($U$144,'TAR FIN'!$A$1:$O$113,15,0)),0,VLOOKUP($U$144,'TAR FIN'!$A$1:$O$113,15,0))</f>
        <v>0</v>
      </c>
      <c r="Y144" s="4">
        <f ca="1">('TUSD BE'!$AM$14+'TUSD BF'!$AM$14+'TUSD CVA'!$AM$14)*1</f>
        <v>26.598074646640526</v>
      </c>
      <c r="Z144" s="4">
        <f ca="1">('TUSD BE'!$AM$15+'TUSD BF'!$AM$15+'TUSD CVA'!$AM$15)*1</f>
        <v>65.007409626508434</v>
      </c>
      <c r="AA144" s="4"/>
      <c r="AB144" s="4">
        <f t="shared" si="10"/>
        <v>318911.31802770239</v>
      </c>
      <c r="AC144" s="4">
        <f t="shared" si="11"/>
        <v>0</v>
      </c>
      <c r="AD144" s="4">
        <f t="shared" ca="1" si="12"/>
        <v>348927.48015464196</v>
      </c>
      <c r="AE144" s="4">
        <f t="shared" ca="1" si="13"/>
        <v>0</v>
      </c>
      <c r="AF144" s="3" t="s">
        <v>1022</v>
      </c>
    </row>
    <row r="145" spans="1:32" ht="11.25" customHeight="1" x14ac:dyDescent="0.25">
      <c r="A145" s="3" t="s">
        <v>21</v>
      </c>
      <c r="B145" s="3" t="s">
        <v>41</v>
      </c>
      <c r="C145" s="3" t="s">
        <v>40</v>
      </c>
      <c r="D145" s="3" t="s">
        <v>38</v>
      </c>
      <c r="E145" s="3" t="s">
        <v>25</v>
      </c>
      <c r="F145" s="3" t="s">
        <v>60</v>
      </c>
      <c r="G145" s="3" t="s">
        <v>25</v>
      </c>
      <c r="H145" s="3" t="s">
        <v>35</v>
      </c>
      <c r="I145" s="6">
        <v>44378</v>
      </c>
      <c r="J145" s="4">
        <v>27052</v>
      </c>
      <c r="K145" s="4">
        <v>13257.480495399999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R145" s="3">
        <v>0</v>
      </c>
      <c r="S145" s="3">
        <v>12</v>
      </c>
      <c r="T145" s="3">
        <v>0</v>
      </c>
      <c r="U145" s="3">
        <v>0</v>
      </c>
      <c r="V145" s="4">
        <f>IF(ISERROR(VLOOKUP($S$145,'TAR FIN'!$A$1:$O$113,15,0)),0,VLOOKUP($S$145,'TAR FIN'!$A$1:$O$113,15,0))</f>
        <v>24.31</v>
      </c>
      <c r="W145" s="4">
        <f>IF(ISERROR(VLOOKUP($T$145,'TAR FIN'!$A$1:$O$113,15,0)),0,VLOOKUP($T$145,'TAR FIN'!$A$1:$O$113,15,0))</f>
        <v>0</v>
      </c>
      <c r="X145" s="4">
        <f>IF(ISERROR(VLOOKUP($U$145,'TAR FIN'!$A$1:$O$113,15,0)),0,VLOOKUP($U$145,'TAR FIN'!$A$1:$O$113,15,0))</f>
        <v>0</v>
      </c>
      <c r="Y145" s="4">
        <f ca="1">('TUSD BE'!$AM$14+'TUSD BF'!$AM$14+'TUSD CVA'!$AM$14)*1</f>
        <v>26.598074646640526</v>
      </c>
      <c r="Z145" s="4">
        <f ca="1">('TUSD BE'!$AM$15+'TUSD BF'!$AM$15+'TUSD CVA'!$AM$15)*1</f>
        <v>65.007409626508434</v>
      </c>
      <c r="AA145" s="4"/>
      <c r="AB145" s="4">
        <f t="shared" si="10"/>
        <v>335344.76915682602</v>
      </c>
      <c r="AC145" s="4">
        <f t="shared" si="11"/>
        <v>0</v>
      </c>
      <c r="AD145" s="4">
        <f t="shared" ca="1" si="12"/>
        <v>366907.65949788952</v>
      </c>
      <c r="AE145" s="4">
        <f t="shared" ca="1" si="13"/>
        <v>0</v>
      </c>
      <c r="AF145" s="3" t="s">
        <v>1022</v>
      </c>
    </row>
    <row r="146" spans="1:32" ht="11.25" customHeight="1" x14ac:dyDescent="0.25">
      <c r="A146" s="3" t="s">
        <v>21</v>
      </c>
      <c r="B146" s="3" t="s">
        <v>41</v>
      </c>
      <c r="C146" s="3" t="s">
        <v>40</v>
      </c>
      <c r="D146" s="3" t="s">
        <v>38</v>
      </c>
      <c r="E146" s="3" t="s">
        <v>25</v>
      </c>
      <c r="F146" s="3" t="s">
        <v>60</v>
      </c>
      <c r="G146" s="3" t="s">
        <v>25</v>
      </c>
      <c r="H146" s="3" t="s">
        <v>35</v>
      </c>
      <c r="I146" s="6">
        <v>44409</v>
      </c>
      <c r="J146" s="4">
        <v>26095</v>
      </c>
      <c r="K146" s="4">
        <v>12713.1844294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3" t="s">
        <v>57</v>
      </c>
      <c r="R146" s="3">
        <v>0</v>
      </c>
      <c r="S146" s="3">
        <v>12</v>
      </c>
      <c r="T146" s="3">
        <v>0</v>
      </c>
      <c r="U146" s="3">
        <v>0</v>
      </c>
      <c r="V146" s="4">
        <f>IF(ISERROR(VLOOKUP($S$146,'TAR FIN'!$A$1:$O$113,15,0)),0,VLOOKUP($S$146,'TAR FIN'!$A$1:$O$113,15,0))</f>
        <v>24.31</v>
      </c>
      <c r="W146" s="4">
        <f>IF(ISERROR(VLOOKUP($T$146,'TAR FIN'!$A$1:$O$113,15,0)),0,VLOOKUP($T$146,'TAR FIN'!$A$1:$O$113,15,0))</f>
        <v>0</v>
      </c>
      <c r="X146" s="4">
        <f>IF(ISERROR(VLOOKUP($U$146,'TAR FIN'!$A$1:$O$113,15,0)),0,VLOOKUP($U$146,'TAR FIN'!$A$1:$O$113,15,0))</f>
        <v>0</v>
      </c>
      <c r="Y146" s="4">
        <f ca="1">('TUSD BE'!$AM$14+'TUSD BF'!$AM$14+'TUSD CVA'!$AM$14)*1</f>
        <v>26.598074646640526</v>
      </c>
      <c r="Z146" s="4">
        <f ca="1">('TUSD BE'!$AM$15+'TUSD BF'!$AM$15+'TUSD CVA'!$AM$15)*1</f>
        <v>65.007409626508434</v>
      </c>
      <c r="AA146" s="4"/>
      <c r="AB146" s="4">
        <f t="shared" si="10"/>
        <v>325311.93652128597</v>
      </c>
      <c r="AC146" s="4">
        <f t="shared" si="11"/>
        <v>0</v>
      </c>
      <c r="AD146" s="4">
        <f t="shared" ca="1" si="12"/>
        <v>355930.52945439529</v>
      </c>
      <c r="AE146" s="4">
        <f t="shared" ca="1" si="13"/>
        <v>0</v>
      </c>
      <c r="AF146" s="3" t="s">
        <v>1022</v>
      </c>
    </row>
    <row r="147" spans="1:32" ht="11.25" customHeight="1" x14ac:dyDescent="0.25">
      <c r="A147" s="3" t="s">
        <v>21</v>
      </c>
      <c r="B147" s="3" t="s">
        <v>41</v>
      </c>
      <c r="C147" s="3" t="s">
        <v>40</v>
      </c>
      <c r="D147" s="3" t="s">
        <v>38</v>
      </c>
      <c r="E147" s="3" t="s">
        <v>25</v>
      </c>
      <c r="F147" s="3" t="s">
        <v>60</v>
      </c>
      <c r="G147" s="3" t="s">
        <v>25</v>
      </c>
      <c r="H147" s="3" t="s">
        <v>35</v>
      </c>
      <c r="I147" s="6">
        <v>44440</v>
      </c>
      <c r="J147" s="4">
        <v>33633</v>
      </c>
      <c r="K147" s="4">
        <v>16272.3651462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 t="s">
        <v>57</v>
      </c>
      <c r="R147" s="3">
        <v>0</v>
      </c>
      <c r="S147" s="3">
        <v>12</v>
      </c>
      <c r="T147" s="3">
        <v>0</v>
      </c>
      <c r="U147" s="3">
        <v>0</v>
      </c>
      <c r="V147" s="4">
        <f>IF(ISERROR(VLOOKUP($S$147,'TAR FIN'!$A$1:$O$113,15,0)),0,VLOOKUP($S$147,'TAR FIN'!$A$1:$O$113,15,0))</f>
        <v>24.31</v>
      </c>
      <c r="W147" s="4">
        <f>IF(ISERROR(VLOOKUP($T$147,'TAR FIN'!$A$1:$O$113,15,0)),0,VLOOKUP($T$147,'TAR FIN'!$A$1:$O$113,15,0))</f>
        <v>0</v>
      </c>
      <c r="X147" s="4">
        <f>IF(ISERROR(VLOOKUP($U$147,'TAR FIN'!$A$1:$O$113,15,0)),0,VLOOKUP($U$147,'TAR FIN'!$A$1:$O$113,15,0))</f>
        <v>0</v>
      </c>
      <c r="Y147" s="4">
        <f ca="1">('TUSD BE'!$AM$14+'TUSD BF'!$AM$14+'TUSD CVA'!$AM$14)*1</f>
        <v>26.598074646640526</v>
      </c>
      <c r="Z147" s="4">
        <f ca="1">('TUSD BE'!$AM$15+'TUSD BF'!$AM$15+'TUSD CVA'!$AM$15)*1</f>
        <v>65.007409626508434</v>
      </c>
      <c r="AA147" s="4"/>
      <c r="AB147" s="4">
        <f t="shared" si="10"/>
        <v>422037.03329587803</v>
      </c>
      <c r="AC147" s="4">
        <f t="shared" si="11"/>
        <v>0</v>
      </c>
      <c r="AD147" s="4">
        <f t="shared" ca="1" si="12"/>
        <v>461759.46175444167</v>
      </c>
      <c r="AE147" s="4">
        <f t="shared" ca="1" si="13"/>
        <v>0</v>
      </c>
      <c r="AF147" s="3" t="s">
        <v>1022</v>
      </c>
    </row>
    <row r="148" spans="1:32" ht="11.25" customHeight="1" x14ac:dyDescent="0.25">
      <c r="A148" s="3" t="s">
        <v>21</v>
      </c>
      <c r="B148" s="3" t="s">
        <v>41</v>
      </c>
      <c r="C148" s="3" t="s">
        <v>40</v>
      </c>
      <c r="D148" s="3" t="s">
        <v>38</v>
      </c>
      <c r="E148" s="3" t="s">
        <v>25</v>
      </c>
      <c r="F148" s="3" t="s">
        <v>60</v>
      </c>
      <c r="G148" s="3" t="s">
        <v>25</v>
      </c>
      <c r="H148" s="3" t="s">
        <v>35</v>
      </c>
      <c r="I148" s="6">
        <v>44470</v>
      </c>
      <c r="J148" s="4">
        <v>34601</v>
      </c>
      <c r="K148" s="4">
        <v>16801.641120529999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57</v>
      </c>
      <c r="R148" s="3">
        <v>0</v>
      </c>
      <c r="S148" s="3">
        <v>12</v>
      </c>
      <c r="T148" s="3">
        <v>0</v>
      </c>
      <c r="U148" s="3">
        <v>0</v>
      </c>
      <c r="V148" s="4">
        <f>IF(ISERROR(VLOOKUP($S$148,'TAR FIN'!$A$1:$O$113,15,0)),0,VLOOKUP($S$148,'TAR FIN'!$A$1:$O$113,15,0))</f>
        <v>24.31</v>
      </c>
      <c r="W148" s="4">
        <f>IF(ISERROR(VLOOKUP($T$148,'TAR FIN'!$A$1:$O$113,15,0)),0,VLOOKUP($T$148,'TAR FIN'!$A$1:$O$113,15,0))</f>
        <v>0</v>
      </c>
      <c r="X148" s="4">
        <f>IF(ISERROR(VLOOKUP($U$148,'TAR FIN'!$A$1:$O$113,15,0)),0,VLOOKUP($U$148,'TAR FIN'!$A$1:$O$113,15,0))</f>
        <v>0</v>
      </c>
      <c r="Y148" s="4">
        <f ca="1">('TUSD BE'!$AM$14+'TUSD BF'!$AM$14+'TUSD CVA'!$AM$14)*1</f>
        <v>26.598074646640526</v>
      </c>
      <c r="Z148" s="4">
        <f ca="1">('TUSD BE'!$AM$15+'TUSD BF'!$AM$15+'TUSD CVA'!$AM$15)*1</f>
        <v>65.007409626508434</v>
      </c>
      <c r="AA148" s="4"/>
      <c r="AB148" s="4">
        <f t="shared" si="10"/>
        <v>432702.41435991571</v>
      </c>
      <c r="AC148" s="4">
        <f t="shared" si="11"/>
        <v>0</v>
      </c>
      <c r="AD148" s="4">
        <f t="shared" ca="1" si="12"/>
        <v>473428.67613848695</v>
      </c>
      <c r="AE148" s="4">
        <f t="shared" ca="1" si="13"/>
        <v>0</v>
      </c>
      <c r="AF148" s="3" t="s">
        <v>1022</v>
      </c>
    </row>
    <row r="149" spans="1:32" ht="11.25" customHeight="1" x14ac:dyDescent="0.25">
      <c r="A149" s="3" t="s">
        <v>21</v>
      </c>
      <c r="B149" s="3" t="s">
        <v>41</v>
      </c>
      <c r="C149" s="3" t="s">
        <v>40</v>
      </c>
      <c r="D149" s="3" t="s">
        <v>38</v>
      </c>
      <c r="E149" s="3" t="s">
        <v>25</v>
      </c>
      <c r="F149" s="3" t="s">
        <v>60</v>
      </c>
      <c r="G149" s="3" t="s">
        <v>25</v>
      </c>
      <c r="H149" s="3" t="s">
        <v>35</v>
      </c>
      <c r="I149" s="6">
        <v>44501</v>
      </c>
      <c r="J149" s="4">
        <v>34803</v>
      </c>
      <c r="K149" s="4">
        <v>17489.772937080001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3" t="s">
        <v>57</v>
      </c>
      <c r="R149" s="3">
        <v>0</v>
      </c>
      <c r="S149" s="3">
        <v>12</v>
      </c>
      <c r="T149" s="3">
        <v>0</v>
      </c>
      <c r="U149" s="3">
        <v>0</v>
      </c>
      <c r="V149" s="4">
        <f>IF(ISERROR(VLOOKUP($S$149,'TAR FIN'!$A$1:$O$113,15,0)),0,VLOOKUP($S$149,'TAR FIN'!$A$1:$O$113,15,0))</f>
        <v>24.31</v>
      </c>
      <c r="W149" s="4">
        <f>IF(ISERROR(VLOOKUP($T$149,'TAR FIN'!$A$1:$O$113,15,0)),0,VLOOKUP($T$149,'TAR FIN'!$A$1:$O$113,15,0))</f>
        <v>0</v>
      </c>
      <c r="X149" s="4">
        <f>IF(ISERROR(VLOOKUP($U$149,'TAR FIN'!$A$1:$O$113,15,0)),0,VLOOKUP($U$149,'TAR FIN'!$A$1:$O$113,15,0))</f>
        <v>0</v>
      </c>
      <c r="Y149" s="4">
        <f ca="1">('TUSD BE'!$AM$14+'TUSD BF'!$AM$14+'TUSD CVA'!$AM$14)*1</f>
        <v>26.598074646640526</v>
      </c>
      <c r="Z149" s="4">
        <f ca="1">('TUSD BE'!$AM$15+'TUSD BF'!$AM$15+'TUSD CVA'!$AM$15)*1</f>
        <v>65.007409626508434</v>
      </c>
      <c r="AA149" s="4"/>
      <c r="AB149" s="4">
        <f t="shared" si="10"/>
        <v>420884.54989958514</v>
      </c>
      <c r="AC149" s="4">
        <f t="shared" si="11"/>
        <v>0</v>
      </c>
      <c r="AD149" s="4">
        <f t="shared" ca="1" si="12"/>
        <v>460498.50579378306</v>
      </c>
      <c r="AE149" s="4">
        <f t="shared" ca="1" si="13"/>
        <v>0</v>
      </c>
      <c r="AF149" s="3" t="s">
        <v>1022</v>
      </c>
    </row>
    <row r="150" spans="1:32" ht="11.25" customHeight="1" x14ac:dyDescent="0.25">
      <c r="A150" s="3" t="s">
        <v>27</v>
      </c>
      <c r="B150" s="3" t="s">
        <v>41</v>
      </c>
      <c r="C150" s="3" t="s">
        <v>40</v>
      </c>
      <c r="D150" s="3" t="s">
        <v>38</v>
      </c>
      <c r="E150" s="3" t="s">
        <v>25</v>
      </c>
      <c r="F150" s="3" t="s">
        <v>60</v>
      </c>
      <c r="G150" s="3" t="s">
        <v>25</v>
      </c>
      <c r="H150" s="3" t="s">
        <v>35</v>
      </c>
      <c r="I150" s="6">
        <v>44501</v>
      </c>
      <c r="J150" s="4">
        <v>-376</v>
      </c>
      <c r="K150" s="4">
        <v>-376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3" t="s">
        <v>57</v>
      </c>
      <c r="R150" s="3">
        <v>0</v>
      </c>
      <c r="S150" s="3">
        <v>12</v>
      </c>
      <c r="T150" s="3">
        <v>0</v>
      </c>
      <c r="U150" s="3">
        <v>0</v>
      </c>
      <c r="V150" s="4">
        <f>IF(ISERROR(VLOOKUP($S$150,'TAR FIN'!$A$1:$O$113,15,0)),0,VLOOKUP($S$150,'TAR FIN'!$A$1:$O$113,15,0))</f>
        <v>24.31</v>
      </c>
      <c r="W150" s="4">
        <f>IF(ISERROR(VLOOKUP($T$150,'TAR FIN'!$A$1:$O$113,15,0)),0,VLOOKUP($T$150,'TAR FIN'!$A$1:$O$113,15,0))</f>
        <v>0</v>
      </c>
      <c r="X150" s="4">
        <f>IF(ISERROR(VLOOKUP($U$150,'TAR FIN'!$A$1:$O$113,15,0)),0,VLOOKUP($U$150,'TAR FIN'!$A$1:$O$113,15,0))</f>
        <v>0</v>
      </c>
      <c r="Y150" s="4">
        <f ca="1">('TUSD BE'!$AM$14+'TUSD BF'!$AM$14+'TUSD CVA'!$AM$14)*1</f>
        <v>26.598074646640526</v>
      </c>
      <c r="Z150" s="4">
        <f ca="1">('TUSD BE'!$AM$15+'TUSD BF'!$AM$15+'TUSD CVA'!$AM$15)*1</f>
        <v>65.007409626508434</v>
      </c>
      <c r="AA150" s="4"/>
      <c r="AB150" s="4">
        <f t="shared" si="10"/>
        <v>0</v>
      </c>
      <c r="AC150" s="4">
        <f t="shared" si="11"/>
        <v>0</v>
      </c>
      <c r="AD150" s="4">
        <f t="shared" ca="1" si="12"/>
        <v>0</v>
      </c>
      <c r="AE150" s="4">
        <f t="shared" ca="1" si="13"/>
        <v>0</v>
      </c>
      <c r="AF150" s="3" t="s">
        <v>1022</v>
      </c>
    </row>
    <row r="151" spans="1:32" ht="11.25" customHeight="1" x14ac:dyDescent="0.25">
      <c r="A151" s="3" t="s">
        <v>21</v>
      </c>
      <c r="B151" s="3" t="s">
        <v>41</v>
      </c>
      <c r="C151" s="3" t="s">
        <v>40</v>
      </c>
      <c r="D151" s="3" t="s">
        <v>38</v>
      </c>
      <c r="E151" s="3" t="s">
        <v>25</v>
      </c>
      <c r="F151" s="3" t="s">
        <v>60</v>
      </c>
      <c r="G151" s="3" t="s">
        <v>25</v>
      </c>
      <c r="H151" s="3" t="s">
        <v>35</v>
      </c>
      <c r="I151" s="6">
        <v>44531</v>
      </c>
      <c r="J151" s="4">
        <v>36518</v>
      </c>
      <c r="K151" s="4">
        <v>18580.92881116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57</v>
      </c>
      <c r="R151" s="3">
        <v>0</v>
      </c>
      <c r="S151" s="3">
        <v>12</v>
      </c>
      <c r="T151" s="3">
        <v>0</v>
      </c>
      <c r="U151" s="3">
        <v>0</v>
      </c>
      <c r="V151" s="4">
        <f>IF(ISERROR(VLOOKUP($S$151,'TAR FIN'!$A$1:$O$113,15,0)),0,VLOOKUP($S$151,'TAR FIN'!$A$1:$O$113,15,0))</f>
        <v>24.31</v>
      </c>
      <c r="W151" s="4">
        <f>IF(ISERROR(VLOOKUP($T$151,'TAR FIN'!$A$1:$O$113,15,0)),0,VLOOKUP($T$151,'TAR FIN'!$A$1:$O$113,15,0))</f>
        <v>0</v>
      </c>
      <c r="X151" s="4">
        <f>IF(ISERROR(VLOOKUP($U$151,'TAR FIN'!$A$1:$O$113,15,0)),0,VLOOKUP($U$151,'TAR FIN'!$A$1:$O$113,15,0))</f>
        <v>0</v>
      </c>
      <c r="Y151" s="4">
        <f ca="1">('TUSD BE'!$AM$14+'TUSD BF'!$AM$14+'TUSD CVA'!$AM$14)*1</f>
        <v>26.598074646640526</v>
      </c>
      <c r="Z151" s="4">
        <f ca="1">('TUSD BE'!$AM$15+'TUSD BF'!$AM$15+'TUSD CVA'!$AM$15)*1</f>
        <v>65.007409626508434</v>
      </c>
      <c r="AA151" s="4"/>
      <c r="AB151" s="4">
        <f t="shared" si="10"/>
        <v>436050.20060070039</v>
      </c>
      <c r="AC151" s="4">
        <f t="shared" si="11"/>
        <v>0</v>
      </c>
      <c r="AD151" s="4">
        <f t="shared" ca="1" si="12"/>
        <v>477091.55842287146</v>
      </c>
      <c r="AE151" s="4">
        <f t="shared" ca="1" si="13"/>
        <v>0</v>
      </c>
      <c r="AF151" s="3" t="s">
        <v>1022</v>
      </c>
    </row>
    <row r="152" spans="1:32" ht="11.25" customHeight="1" x14ac:dyDescent="0.25">
      <c r="A152" s="3" t="s">
        <v>21</v>
      </c>
      <c r="B152" s="3" t="s">
        <v>41</v>
      </c>
      <c r="C152" s="3" t="s">
        <v>40</v>
      </c>
      <c r="D152" s="3" t="s">
        <v>38</v>
      </c>
      <c r="E152" s="3" t="s">
        <v>25</v>
      </c>
      <c r="F152" s="3" t="s">
        <v>60</v>
      </c>
      <c r="G152" s="3" t="s">
        <v>25</v>
      </c>
      <c r="H152" s="3" t="s">
        <v>35</v>
      </c>
      <c r="I152" s="6">
        <v>44562</v>
      </c>
      <c r="J152" s="4">
        <v>37776</v>
      </c>
      <c r="K152" s="4">
        <v>18892.51536528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 t="s">
        <v>57</v>
      </c>
      <c r="R152" s="3">
        <v>0</v>
      </c>
      <c r="S152" s="3">
        <v>12</v>
      </c>
      <c r="T152" s="3">
        <v>0</v>
      </c>
      <c r="U152" s="3">
        <v>0</v>
      </c>
      <c r="V152" s="4">
        <f>IF(ISERROR(VLOOKUP($S$152,'TAR FIN'!$A$1:$O$113,15,0)),0,VLOOKUP($S$152,'TAR FIN'!$A$1:$O$113,15,0))</f>
        <v>24.31</v>
      </c>
      <c r="W152" s="4">
        <f>IF(ISERROR(VLOOKUP($T$152,'TAR FIN'!$A$1:$O$113,15,0)),0,VLOOKUP($T$152,'TAR FIN'!$A$1:$O$113,15,0))</f>
        <v>0</v>
      </c>
      <c r="X152" s="4">
        <f>IF(ISERROR(VLOOKUP($U$152,'TAR FIN'!$A$1:$O$113,15,0)),0,VLOOKUP($U$152,'TAR FIN'!$A$1:$O$113,15,0))</f>
        <v>0</v>
      </c>
      <c r="Y152" s="4">
        <f ca="1">('TUSD BE'!$AM$14+'TUSD BF'!$AM$14+'TUSD CVA'!$AM$14)*1</f>
        <v>26.598074646640526</v>
      </c>
      <c r="Z152" s="4">
        <f ca="1">('TUSD BE'!$AM$15+'TUSD BF'!$AM$15+'TUSD CVA'!$AM$15)*1</f>
        <v>65.007409626508434</v>
      </c>
      <c r="AA152" s="4"/>
      <c r="AB152" s="4">
        <f t="shared" si="10"/>
        <v>459057.51147004316</v>
      </c>
      <c r="AC152" s="4">
        <f t="shared" si="11"/>
        <v>0</v>
      </c>
      <c r="AD152" s="4">
        <f t="shared" ca="1" si="12"/>
        <v>502264.33390297199</v>
      </c>
      <c r="AE152" s="4">
        <f t="shared" ca="1" si="13"/>
        <v>0</v>
      </c>
      <c r="AF152" s="3" t="s">
        <v>1022</v>
      </c>
    </row>
    <row r="153" spans="1:32" ht="11.25" customHeight="1" x14ac:dyDescent="0.25">
      <c r="A153" s="3" t="s">
        <v>21</v>
      </c>
      <c r="B153" s="3" t="s">
        <v>41</v>
      </c>
      <c r="C153" s="3" t="s">
        <v>40</v>
      </c>
      <c r="D153" s="3" t="s">
        <v>38</v>
      </c>
      <c r="E153" s="3" t="s">
        <v>25</v>
      </c>
      <c r="F153" s="3" t="s">
        <v>60</v>
      </c>
      <c r="G153" s="3" t="s">
        <v>25</v>
      </c>
      <c r="H153" s="3" t="s">
        <v>35</v>
      </c>
      <c r="I153" s="6">
        <v>44593</v>
      </c>
      <c r="J153" s="4">
        <v>37986</v>
      </c>
      <c r="K153" s="4">
        <v>19186.316072040001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3" t="s">
        <v>57</v>
      </c>
      <c r="R153" s="3">
        <v>0</v>
      </c>
      <c r="S153" s="3">
        <v>12</v>
      </c>
      <c r="T153" s="3">
        <v>0</v>
      </c>
      <c r="U153" s="3">
        <v>0</v>
      </c>
      <c r="V153" s="4">
        <f>IF(ISERROR(VLOOKUP($S$153,'TAR FIN'!$A$1:$O$113,15,0)),0,VLOOKUP($S$153,'TAR FIN'!$A$1:$O$113,15,0))</f>
        <v>24.31</v>
      </c>
      <c r="W153" s="4">
        <f>IF(ISERROR(VLOOKUP($T$153,'TAR FIN'!$A$1:$O$113,15,0)),0,VLOOKUP($T$153,'TAR FIN'!$A$1:$O$113,15,0))</f>
        <v>0</v>
      </c>
      <c r="X153" s="4">
        <f>IF(ISERROR(VLOOKUP($U$153,'TAR FIN'!$A$1:$O$113,15,0)),0,VLOOKUP($U$153,'TAR FIN'!$A$1:$O$113,15,0))</f>
        <v>0</v>
      </c>
      <c r="Y153" s="4">
        <f ca="1">('TUSD BE'!$AM$14+'TUSD BF'!$AM$14+'TUSD CVA'!$AM$14)*1</f>
        <v>26.598074646640526</v>
      </c>
      <c r="Z153" s="4">
        <f ca="1">('TUSD BE'!$AM$15+'TUSD BF'!$AM$15+'TUSD CVA'!$AM$15)*1</f>
        <v>65.007409626508434</v>
      </c>
      <c r="AA153" s="4"/>
      <c r="AB153" s="4">
        <f t="shared" si="10"/>
        <v>457020.31628870755</v>
      </c>
      <c r="AC153" s="4">
        <f t="shared" si="11"/>
        <v>0</v>
      </c>
      <c r="AD153" s="4">
        <f t="shared" ca="1" si="12"/>
        <v>500035.39644912822</v>
      </c>
      <c r="AE153" s="4">
        <f t="shared" ca="1" si="13"/>
        <v>0</v>
      </c>
      <c r="AF153" s="3" t="s">
        <v>1022</v>
      </c>
    </row>
    <row r="154" spans="1:32" ht="11.25" customHeight="1" x14ac:dyDescent="0.25">
      <c r="A154" s="3" t="s">
        <v>56</v>
      </c>
      <c r="B154" s="3" t="s">
        <v>41</v>
      </c>
      <c r="C154" s="3" t="s">
        <v>40</v>
      </c>
      <c r="D154" s="3" t="s">
        <v>38</v>
      </c>
      <c r="E154" s="3" t="s">
        <v>25</v>
      </c>
      <c r="F154" s="3" t="s">
        <v>60</v>
      </c>
      <c r="G154" s="3" t="s">
        <v>25</v>
      </c>
      <c r="H154" s="3" t="s">
        <v>35</v>
      </c>
      <c r="I154" s="6">
        <v>44621</v>
      </c>
      <c r="J154" s="4">
        <v>37986</v>
      </c>
      <c r="K154" s="4">
        <v>19186.316072040001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57</v>
      </c>
      <c r="R154" s="3">
        <v>0</v>
      </c>
      <c r="S154" s="3">
        <v>12</v>
      </c>
      <c r="T154" s="3">
        <v>0</v>
      </c>
      <c r="U154" s="3">
        <v>0</v>
      </c>
      <c r="V154" s="4">
        <f>IF(ISERROR(VLOOKUP($S$154,'TAR FIN'!$A$1:$O$113,15,0)),0,VLOOKUP($S$154,'TAR FIN'!$A$1:$O$113,15,0))</f>
        <v>24.31</v>
      </c>
      <c r="W154" s="4">
        <f>IF(ISERROR(VLOOKUP($T$154,'TAR FIN'!$A$1:$O$113,15,0)),0,VLOOKUP($T$154,'TAR FIN'!$A$1:$O$113,15,0))</f>
        <v>0</v>
      </c>
      <c r="X154" s="4">
        <f>IF(ISERROR(VLOOKUP($U$154,'TAR FIN'!$A$1:$O$113,15,0)),0,VLOOKUP($U$154,'TAR FIN'!$A$1:$O$113,15,0))</f>
        <v>0</v>
      </c>
      <c r="Y154" s="4">
        <f ca="1">('TUSD BE'!$AM$14+'TUSD BF'!$AM$14+'TUSD CVA'!$AM$14)*1</f>
        <v>26.598074646640526</v>
      </c>
      <c r="Z154" s="4">
        <f ca="1">('TUSD BE'!$AM$15+'TUSD BF'!$AM$15+'TUSD CVA'!$AM$15)*1</f>
        <v>65.007409626508434</v>
      </c>
      <c r="AA154" s="4"/>
      <c r="AB154" s="4">
        <f t="shared" si="10"/>
        <v>457020.31628870755</v>
      </c>
      <c r="AC154" s="4">
        <f t="shared" si="11"/>
        <v>0</v>
      </c>
      <c r="AD154" s="4">
        <f t="shared" ca="1" si="12"/>
        <v>500035.39644912822</v>
      </c>
      <c r="AE154" s="4">
        <f t="shared" ca="1" si="13"/>
        <v>0</v>
      </c>
      <c r="AF154" s="3" t="s">
        <v>1022</v>
      </c>
    </row>
    <row r="155" spans="1:32" ht="11.25" customHeight="1" x14ac:dyDescent="0.25">
      <c r="A155" s="3" t="s">
        <v>21</v>
      </c>
      <c r="B155" s="3" t="s">
        <v>41</v>
      </c>
      <c r="C155" s="3" t="s">
        <v>40</v>
      </c>
      <c r="D155" s="3" t="s">
        <v>38</v>
      </c>
      <c r="E155" s="3" t="s">
        <v>25</v>
      </c>
      <c r="F155" s="3" t="s">
        <v>60</v>
      </c>
      <c r="G155" s="3" t="s">
        <v>25</v>
      </c>
      <c r="H155" s="3" t="s">
        <v>25</v>
      </c>
      <c r="I155" s="6">
        <v>44287</v>
      </c>
      <c r="J155" s="4">
        <v>0</v>
      </c>
      <c r="K155" s="4">
        <v>0</v>
      </c>
      <c r="L155" s="4">
        <v>12317.14</v>
      </c>
      <c r="M155" s="4">
        <v>12317.14</v>
      </c>
      <c r="N155" s="4">
        <v>0</v>
      </c>
      <c r="O155" s="4">
        <v>0</v>
      </c>
      <c r="P155" s="4">
        <v>49</v>
      </c>
      <c r="Q155" s="3" t="s">
        <v>57</v>
      </c>
      <c r="R155" s="3">
        <v>0</v>
      </c>
      <c r="S155" s="3">
        <v>0</v>
      </c>
      <c r="T155" s="3">
        <v>110</v>
      </c>
      <c r="U155" s="3">
        <v>0</v>
      </c>
      <c r="V155" s="4">
        <f>IF(ISERROR(VLOOKUP($S$155,'TAR FIN'!$A$1:$O$113,15,0)),0,VLOOKUP($S$155,'TAR FIN'!$A$1:$O$113,15,0))</f>
        <v>0</v>
      </c>
      <c r="W155" s="4">
        <f>IF(ISERROR(VLOOKUP($T$155,'TAR FIN'!$A$1:$O$113,15,0)),0,VLOOKUP($T$155,'TAR FIN'!$A$1:$O$113,15,0))</f>
        <v>51.27</v>
      </c>
      <c r="X155" s="4">
        <f>IF(ISERROR(VLOOKUP($U$155,'TAR FIN'!$A$1:$O$113,15,0)),0,VLOOKUP($U$155,'TAR FIN'!$A$1:$O$113,15,0))</f>
        <v>0</v>
      </c>
      <c r="Y155" s="4"/>
      <c r="Z155" s="4">
        <f ca="1">('TUSD BE'!$AM$15+'TUSD BF'!$AM$15+'TUSD CVA'!$AM$15)*1</f>
        <v>65.007409626508434</v>
      </c>
      <c r="AA155" s="4"/>
      <c r="AB155" s="4">
        <f t="shared" si="10"/>
        <v>0</v>
      </c>
      <c r="AC155" s="4">
        <f t="shared" si="11"/>
        <v>0</v>
      </c>
      <c r="AD155" s="4">
        <f t="shared" si="12"/>
        <v>0</v>
      </c>
      <c r="AE155" s="4">
        <f t="shared" ca="1" si="13"/>
        <v>0</v>
      </c>
      <c r="AF155" s="3" t="s">
        <v>1022</v>
      </c>
    </row>
    <row r="156" spans="1:32" ht="11.25" customHeight="1" x14ac:dyDescent="0.25">
      <c r="A156" s="3" t="s">
        <v>21</v>
      </c>
      <c r="B156" s="3" t="s">
        <v>41</v>
      </c>
      <c r="C156" s="3" t="s">
        <v>40</v>
      </c>
      <c r="D156" s="3" t="s">
        <v>38</v>
      </c>
      <c r="E156" s="3" t="s">
        <v>25</v>
      </c>
      <c r="F156" s="3" t="s">
        <v>60</v>
      </c>
      <c r="G156" s="3" t="s">
        <v>25</v>
      </c>
      <c r="H156" s="3" t="s">
        <v>25</v>
      </c>
      <c r="I156" s="6">
        <v>44317</v>
      </c>
      <c r="J156" s="4">
        <v>0</v>
      </c>
      <c r="K156" s="4">
        <v>0</v>
      </c>
      <c r="L156" s="4">
        <v>10867.904</v>
      </c>
      <c r="M156" s="4">
        <v>10867.904</v>
      </c>
      <c r="N156" s="4">
        <v>0</v>
      </c>
      <c r="O156" s="4">
        <v>0</v>
      </c>
      <c r="P156" s="4">
        <v>49</v>
      </c>
      <c r="Q156" s="3" t="s">
        <v>57</v>
      </c>
      <c r="R156" s="3">
        <v>0</v>
      </c>
      <c r="S156" s="3">
        <v>0</v>
      </c>
      <c r="T156" s="3">
        <v>110</v>
      </c>
      <c r="U156" s="3">
        <v>0</v>
      </c>
      <c r="V156" s="4">
        <f>IF(ISERROR(VLOOKUP($S$156,'TAR FIN'!$A$1:$O$113,15,0)),0,VLOOKUP($S$156,'TAR FIN'!$A$1:$O$113,15,0))</f>
        <v>0</v>
      </c>
      <c r="W156" s="4">
        <f>IF(ISERROR(VLOOKUP($T$156,'TAR FIN'!$A$1:$O$113,15,0)),0,VLOOKUP($T$156,'TAR FIN'!$A$1:$O$113,15,0))</f>
        <v>51.27</v>
      </c>
      <c r="X156" s="4">
        <f>IF(ISERROR(VLOOKUP($U$156,'TAR FIN'!$A$1:$O$113,15,0)),0,VLOOKUP($U$156,'TAR FIN'!$A$1:$O$113,15,0))</f>
        <v>0</v>
      </c>
      <c r="Y156" s="4"/>
      <c r="Z156" s="4">
        <f ca="1">('TUSD BE'!$AM$15+'TUSD BF'!$AM$15+'TUSD CVA'!$AM$15)*1</f>
        <v>65.007409626508434</v>
      </c>
      <c r="AA156" s="4"/>
      <c r="AB156" s="4">
        <f t="shared" si="10"/>
        <v>0</v>
      </c>
      <c r="AC156" s="4">
        <f t="shared" si="11"/>
        <v>0</v>
      </c>
      <c r="AD156" s="4">
        <f t="shared" si="12"/>
        <v>0</v>
      </c>
      <c r="AE156" s="4">
        <f t="shared" ca="1" si="13"/>
        <v>0</v>
      </c>
      <c r="AF156" s="3" t="s">
        <v>1022</v>
      </c>
    </row>
    <row r="157" spans="1:32" ht="11.25" customHeight="1" x14ac:dyDescent="0.25">
      <c r="A157" s="3" t="s">
        <v>21</v>
      </c>
      <c r="B157" s="3" t="s">
        <v>41</v>
      </c>
      <c r="C157" s="3" t="s">
        <v>40</v>
      </c>
      <c r="D157" s="3" t="s">
        <v>38</v>
      </c>
      <c r="E157" s="3" t="s">
        <v>25</v>
      </c>
      <c r="F157" s="3" t="s">
        <v>60</v>
      </c>
      <c r="G157" s="3" t="s">
        <v>25</v>
      </c>
      <c r="H157" s="3" t="s">
        <v>25</v>
      </c>
      <c r="I157" s="6">
        <v>44348</v>
      </c>
      <c r="J157" s="4">
        <v>0</v>
      </c>
      <c r="K157" s="4">
        <v>0</v>
      </c>
      <c r="L157" s="4">
        <v>12202.246999999999</v>
      </c>
      <c r="M157" s="4">
        <v>12202.246999999999</v>
      </c>
      <c r="N157" s="4">
        <v>0</v>
      </c>
      <c r="O157" s="4">
        <v>0</v>
      </c>
      <c r="P157" s="4">
        <v>50</v>
      </c>
      <c r="Q157" s="3" t="s">
        <v>57</v>
      </c>
      <c r="R157" s="3">
        <v>0</v>
      </c>
      <c r="S157" s="3">
        <v>0</v>
      </c>
      <c r="T157" s="3">
        <v>110</v>
      </c>
      <c r="U157" s="3">
        <v>0</v>
      </c>
      <c r="V157" s="4">
        <f>IF(ISERROR(VLOOKUP($S$157,'TAR FIN'!$A$1:$O$113,15,0)),0,VLOOKUP($S$157,'TAR FIN'!$A$1:$O$113,15,0))</f>
        <v>0</v>
      </c>
      <c r="W157" s="4">
        <f>IF(ISERROR(VLOOKUP($T$157,'TAR FIN'!$A$1:$O$113,15,0)),0,VLOOKUP($T$157,'TAR FIN'!$A$1:$O$113,15,0))</f>
        <v>51.27</v>
      </c>
      <c r="X157" s="4">
        <f>IF(ISERROR(VLOOKUP($U$157,'TAR FIN'!$A$1:$O$113,15,0)),0,VLOOKUP($U$157,'TAR FIN'!$A$1:$O$113,15,0))</f>
        <v>0</v>
      </c>
      <c r="Y157" s="4"/>
      <c r="Z157" s="4">
        <f ca="1">('TUSD BE'!$AM$15+'TUSD BF'!$AM$15+'TUSD CVA'!$AM$15)*1</f>
        <v>65.007409626508434</v>
      </c>
      <c r="AA157" s="4"/>
      <c r="AB157" s="4">
        <f t="shared" si="10"/>
        <v>0</v>
      </c>
      <c r="AC157" s="4">
        <f t="shared" si="11"/>
        <v>0</v>
      </c>
      <c r="AD157" s="4">
        <f t="shared" si="12"/>
        <v>0</v>
      </c>
      <c r="AE157" s="4">
        <f t="shared" ca="1" si="13"/>
        <v>0</v>
      </c>
      <c r="AF157" s="3" t="s">
        <v>1022</v>
      </c>
    </row>
    <row r="158" spans="1:32" ht="11.25" customHeight="1" x14ac:dyDescent="0.25">
      <c r="A158" s="3" t="s">
        <v>21</v>
      </c>
      <c r="B158" s="3" t="s">
        <v>41</v>
      </c>
      <c r="C158" s="3" t="s">
        <v>40</v>
      </c>
      <c r="D158" s="3" t="s">
        <v>38</v>
      </c>
      <c r="E158" s="3" t="s">
        <v>25</v>
      </c>
      <c r="F158" s="3" t="s">
        <v>60</v>
      </c>
      <c r="G158" s="3" t="s">
        <v>25</v>
      </c>
      <c r="H158" s="3" t="s">
        <v>25</v>
      </c>
      <c r="I158" s="6">
        <v>44378</v>
      </c>
      <c r="J158" s="4">
        <v>0</v>
      </c>
      <c r="K158" s="4">
        <v>0</v>
      </c>
      <c r="L158" s="4">
        <v>11663.785</v>
      </c>
      <c r="M158" s="4">
        <v>11663.785</v>
      </c>
      <c r="N158" s="4">
        <v>0</v>
      </c>
      <c r="O158" s="4">
        <v>0</v>
      </c>
      <c r="P158" s="4">
        <v>50</v>
      </c>
      <c r="Q158" s="3" t="s">
        <v>57</v>
      </c>
      <c r="R158" s="3">
        <v>0</v>
      </c>
      <c r="S158" s="3">
        <v>0</v>
      </c>
      <c r="T158" s="3">
        <v>110</v>
      </c>
      <c r="U158" s="3">
        <v>0</v>
      </c>
      <c r="V158" s="4">
        <f>IF(ISERROR(VLOOKUP($S$158,'TAR FIN'!$A$1:$O$113,15,0)),0,VLOOKUP($S$158,'TAR FIN'!$A$1:$O$113,15,0))</f>
        <v>0</v>
      </c>
      <c r="W158" s="4">
        <f>IF(ISERROR(VLOOKUP($T$158,'TAR FIN'!$A$1:$O$113,15,0)),0,VLOOKUP($T$158,'TAR FIN'!$A$1:$O$113,15,0))</f>
        <v>51.27</v>
      </c>
      <c r="X158" s="4">
        <f>IF(ISERROR(VLOOKUP($U$158,'TAR FIN'!$A$1:$O$113,15,0)),0,VLOOKUP($U$158,'TAR FIN'!$A$1:$O$113,15,0))</f>
        <v>0</v>
      </c>
      <c r="Y158" s="4"/>
      <c r="Z158" s="4">
        <f ca="1">('TUSD BE'!$AM$15+'TUSD BF'!$AM$15+'TUSD CVA'!$AM$15)*1</f>
        <v>65.007409626508434</v>
      </c>
      <c r="AA158" s="4"/>
      <c r="AB158" s="4">
        <f t="shared" si="10"/>
        <v>0</v>
      </c>
      <c r="AC158" s="4">
        <f t="shared" si="11"/>
        <v>0</v>
      </c>
      <c r="AD158" s="4">
        <f t="shared" si="12"/>
        <v>0</v>
      </c>
      <c r="AE158" s="4">
        <f t="shared" ca="1" si="13"/>
        <v>0</v>
      </c>
      <c r="AF158" s="3" t="s">
        <v>1022</v>
      </c>
    </row>
    <row r="159" spans="1:32" ht="11.25" customHeight="1" x14ac:dyDescent="0.25">
      <c r="A159" s="3" t="s">
        <v>21</v>
      </c>
      <c r="B159" s="3" t="s">
        <v>41</v>
      </c>
      <c r="C159" s="3" t="s">
        <v>40</v>
      </c>
      <c r="D159" s="3" t="s">
        <v>38</v>
      </c>
      <c r="E159" s="3" t="s">
        <v>25</v>
      </c>
      <c r="F159" s="3" t="s">
        <v>60</v>
      </c>
      <c r="G159" s="3" t="s">
        <v>25</v>
      </c>
      <c r="H159" s="3" t="s">
        <v>25</v>
      </c>
      <c r="I159" s="6">
        <v>44409</v>
      </c>
      <c r="J159" s="4">
        <v>0</v>
      </c>
      <c r="K159" s="4">
        <v>0</v>
      </c>
      <c r="L159" s="4">
        <v>11597.929</v>
      </c>
      <c r="M159" s="4">
        <v>11597.929</v>
      </c>
      <c r="N159" s="4">
        <v>0</v>
      </c>
      <c r="O159" s="4">
        <v>0</v>
      </c>
      <c r="P159" s="4">
        <v>50</v>
      </c>
      <c r="Q159" s="3" t="s">
        <v>57</v>
      </c>
      <c r="R159" s="3">
        <v>0</v>
      </c>
      <c r="S159" s="3">
        <v>0</v>
      </c>
      <c r="T159" s="3">
        <v>110</v>
      </c>
      <c r="U159" s="3">
        <v>0</v>
      </c>
      <c r="V159" s="4">
        <f>IF(ISERROR(VLOOKUP($S$159,'TAR FIN'!$A$1:$O$113,15,0)),0,VLOOKUP($S$159,'TAR FIN'!$A$1:$O$113,15,0))</f>
        <v>0</v>
      </c>
      <c r="W159" s="4">
        <f>IF(ISERROR(VLOOKUP($T$159,'TAR FIN'!$A$1:$O$113,15,0)),0,VLOOKUP($T$159,'TAR FIN'!$A$1:$O$113,15,0))</f>
        <v>51.27</v>
      </c>
      <c r="X159" s="4">
        <f>IF(ISERROR(VLOOKUP($U$159,'TAR FIN'!$A$1:$O$113,15,0)),0,VLOOKUP($U$159,'TAR FIN'!$A$1:$O$113,15,0))</f>
        <v>0</v>
      </c>
      <c r="Y159" s="4"/>
      <c r="Z159" s="4">
        <f ca="1">('TUSD BE'!$AM$15+'TUSD BF'!$AM$15+'TUSD CVA'!$AM$15)*1</f>
        <v>65.007409626508434</v>
      </c>
      <c r="AA159" s="4"/>
      <c r="AB159" s="4">
        <f t="shared" si="10"/>
        <v>0</v>
      </c>
      <c r="AC159" s="4">
        <f t="shared" si="11"/>
        <v>0</v>
      </c>
      <c r="AD159" s="4">
        <f t="shared" si="12"/>
        <v>0</v>
      </c>
      <c r="AE159" s="4">
        <f t="shared" ca="1" si="13"/>
        <v>0</v>
      </c>
      <c r="AF159" s="3" t="s">
        <v>1022</v>
      </c>
    </row>
    <row r="160" spans="1:32" ht="11.25" customHeight="1" x14ac:dyDescent="0.25">
      <c r="A160" s="3" t="s">
        <v>21</v>
      </c>
      <c r="B160" s="3" t="s">
        <v>41</v>
      </c>
      <c r="C160" s="3" t="s">
        <v>40</v>
      </c>
      <c r="D160" s="3" t="s">
        <v>38</v>
      </c>
      <c r="E160" s="3" t="s">
        <v>25</v>
      </c>
      <c r="F160" s="3" t="s">
        <v>60</v>
      </c>
      <c r="G160" s="3" t="s">
        <v>25</v>
      </c>
      <c r="H160" s="3" t="s">
        <v>25</v>
      </c>
      <c r="I160" s="6">
        <v>44440</v>
      </c>
      <c r="J160" s="4">
        <v>0</v>
      </c>
      <c r="K160" s="4">
        <v>0</v>
      </c>
      <c r="L160" s="4">
        <v>16524.562000000002</v>
      </c>
      <c r="M160" s="4">
        <v>16524.562000000002</v>
      </c>
      <c r="N160" s="4">
        <v>0</v>
      </c>
      <c r="O160" s="4">
        <v>0</v>
      </c>
      <c r="P160" s="4">
        <v>58</v>
      </c>
      <c r="Q160" s="3" t="s">
        <v>57</v>
      </c>
      <c r="R160" s="3">
        <v>0</v>
      </c>
      <c r="S160" s="3">
        <v>0</v>
      </c>
      <c r="T160" s="3">
        <v>110</v>
      </c>
      <c r="U160" s="3">
        <v>0</v>
      </c>
      <c r="V160" s="4">
        <f>IF(ISERROR(VLOOKUP($S$160,'TAR FIN'!$A$1:$O$113,15,0)),0,VLOOKUP($S$160,'TAR FIN'!$A$1:$O$113,15,0))</f>
        <v>0</v>
      </c>
      <c r="W160" s="4">
        <f>IF(ISERROR(VLOOKUP($T$160,'TAR FIN'!$A$1:$O$113,15,0)),0,VLOOKUP($T$160,'TAR FIN'!$A$1:$O$113,15,0))</f>
        <v>51.27</v>
      </c>
      <c r="X160" s="4">
        <f>IF(ISERROR(VLOOKUP($U$160,'TAR FIN'!$A$1:$O$113,15,0)),0,VLOOKUP($U$160,'TAR FIN'!$A$1:$O$113,15,0))</f>
        <v>0</v>
      </c>
      <c r="Y160" s="4"/>
      <c r="Z160" s="4">
        <f ca="1">('TUSD BE'!$AM$15+'TUSD BF'!$AM$15+'TUSD CVA'!$AM$15)*1</f>
        <v>65.007409626508434</v>
      </c>
      <c r="AA160" s="4"/>
      <c r="AB160" s="4">
        <f t="shared" si="10"/>
        <v>0</v>
      </c>
      <c r="AC160" s="4">
        <f t="shared" si="11"/>
        <v>0</v>
      </c>
      <c r="AD160" s="4">
        <f t="shared" si="12"/>
        <v>0</v>
      </c>
      <c r="AE160" s="4">
        <f t="shared" ca="1" si="13"/>
        <v>0</v>
      </c>
      <c r="AF160" s="3" t="s">
        <v>1022</v>
      </c>
    </row>
    <row r="161" spans="1:32" ht="11.25" customHeight="1" x14ac:dyDescent="0.25">
      <c r="A161" s="3" t="s">
        <v>21</v>
      </c>
      <c r="B161" s="3" t="s">
        <v>41</v>
      </c>
      <c r="C161" s="3" t="s">
        <v>40</v>
      </c>
      <c r="D161" s="3" t="s">
        <v>38</v>
      </c>
      <c r="E161" s="3" t="s">
        <v>25</v>
      </c>
      <c r="F161" s="3" t="s">
        <v>60</v>
      </c>
      <c r="G161" s="3" t="s">
        <v>25</v>
      </c>
      <c r="H161" s="3" t="s">
        <v>25</v>
      </c>
      <c r="I161" s="6">
        <v>44470</v>
      </c>
      <c r="J161" s="4">
        <v>0</v>
      </c>
      <c r="K161" s="4">
        <v>0</v>
      </c>
      <c r="L161" s="4">
        <v>16363.849</v>
      </c>
      <c r="M161" s="4">
        <v>16363.849</v>
      </c>
      <c r="N161" s="4">
        <v>0</v>
      </c>
      <c r="O161" s="4">
        <v>0</v>
      </c>
      <c r="P161" s="4">
        <v>60</v>
      </c>
      <c r="Q161" s="3" t="s">
        <v>57</v>
      </c>
      <c r="R161" s="3">
        <v>0</v>
      </c>
      <c r="S161" s="3">
        <v>0</v>
      </c>
      <c r="T161" s="3">
        <v>110</v>
      </c>
      <c r="U161" s="3">
        <v>0</v>
      </c>
      <c r="V161" s="4">
        <f>IF(ISERROR(VLOOKUP($S$161,'TAR FIN'!$A$1:$O$113,15,0)),0,VLOOKUP($S$161,'TAR FIN'!$A$1:$O$113,15,0))</f>
        <v>0</v>
      </c>
      <c r="W161" s="4">
        <f>IF(ISERROR(VLOOKUP($T$161,'TAR FIN'!$A$1:$O$113,15,0)),0,VLOOKUP($T$161,'TAR FIN'!$A$1:$O$113,15,0))</f>
        <v>51.27</v>
      </c>
      <c r="X161" s="4">
        <f>IF(ISERROR(VLOOKUP($U$161,'TAR FIN'!$A$1:$O$113,15,0)),0,VLOOKUP($U$161,'TAR FIN'!$A$1:$O$113,15,0))</f>
        <v>0</v>
      </c>
      <c r="Y161" s="4"/>
      <c r="Z161" s="4">
        <f ca="1">('TUSD BE'!$AM$15+'TUSD BF'!$AM$15+'TUSD CVA'!$AM$15)*1</f>
        <v>65.007409626508434</v>
      </c>
      <c r="AA161" s="4"/>
      <c r="AB161" s="4">
        <f t="shared" si="10"/>
        <v>0</v>
      </c>
      <c r="AC161" s="4">
        <f t="shared" si="11"/>
        <v>0</v>
      </c>
      <c r="AD161" s="4">
        <f t="shared" si="12"/>
        <v>0</v>
      </c>
      <c r="AE161" s="4">
        <f t="shared" ca="1" si="13"/>
        <v>0</v>
      </c>
      <c r="AF161" s="3" t="s">
        <v>1022</v>
      </c>
    </row>
    <row r="162" spans="1:32" ht="11.25" customHeight="1" x14ac:dyDescent="0.25">
      <c r="A162" s="3" t="s">
        <v>21</v>
      </c>
      <c r="B162" s="3" t="s">
        <v>41</v>
      </c>
      <c r="C162" s="3" t="s">
        <v>40</v>
      </c>
      <c r="D162" s="3" t="s">
        <v>38</v>
      </c>
      <c r="E162" s="3" t="s">
        <v>25</v>
      </c>
      <c r="F162" s="3" t="s">
        <v>60</v>
      </c>
      <c r="G162" s="3" t="s">
        <v>25</v>
      </c>
      <c r="H162" s="3" t="s">
        <v>25</v>
      </c>
      <c r="I162" s="6">
        <v>44501</v>
      </c>
      <c r="J162" s="4">
        <v>0</v>
      </c>
      <c r="K162" s="4">
        <v>0</v>
      </c>
      <c r="L162" s="4">
        <v>17576.155999999999</v>
      </c>
      <c r="M162" s="4">
        <v>17576.155999999999</v>
      </c>
      <c r="N162" s="4">
        <v>0</v>
      </c>
      <c r="O162" s="4">
        <v>0</v>
      </c>
      <c r="P162" s="4">
        <v>60</v>
      </c>
      <c r="Q162" s="3" t="s">
        <v>57</v>
      </c>
      <c r="R162" s="3">
        <v>0</v>
      </c>
      <c r="S162" s="3">
        <v>0</v>
      </c>
      <c r="T162" s="3">
        <v>110</v>
      </c>
      <c r="U162" s="3">
        <v>0</v>
      </c>
      <c r="V162" s="4">
        <f>IF(ISERROR(VLOOKUP($S$162,'TAR FIN'!$A$1:$O$113,15,0)),0,VLOOKUP($S$162,'TAR FIN'!$A$1:$O$113,15,0))</f>
        <v>0</v>
      </c>
      <c r="W162" s="4">
        <f>IF(ISERROR(VLOOKUP($T$162,'TAR FIN'!$A$1:$O$113,15,0)),0,VLOOKUP($T$162,'TAR FIN'!$A$1:$O$113,15,0))</f>
        <v>51.27</v>
      </c>
      <c r="X162" s="4">
        <f>IF(ISERROR(VLOOKUP($U$162,'TAR FIN'!$A$1:$O$113,15,0)),0,VLOOKUP($U$162,'TAR FIN'!$A$1:$O$113,15,0))</f>
        <v>0</v>
      </c>
      <c r="Y162" s="4"/>
      <c r="Z162" s="4">
        <f ca="1">('TUSD BE'!$AM$15+'TUSD BF'!$AM$15+'TUSD CVA'!$AM$15)*1</f>
        <v>65.007409626508434</v>
      </c>
      <c r="AA162" s="4"/>
      <c r="AB162" s="4">
        <f t="shared" si="10"/>
        <v>0</v>
      </c>
      <c r="AC162" s="4">
        <f t="shared" si="11"/>
        <v>0</v>
      </c>
      <c r="AD162" s="4">
        <f t="shared" si="12"/>
        <v>0</v>
      </c>
      <c r="AE162" s="4">
        <f t="shared" ca="1" si="13"/>
        <v>0</v>
      </c>
      <c r="AF162" s="3" t="s">
        <v>1022</v>
      </c>
    </row>
    <row r="163" spans="1:32" ht="11.25" customHeight="1" x14ac:dyDescent="0.25">
      <c r="A163" s="3" t="s">
        <v>21</v>
      </c>
      <c r="B163" s="3" t="s">
        <v>41</v>
      </c>
      <c r="C163" s="3" t="s">
        <v>40</v>
      </c>
      <c r="D163" s="3" t="s">
        <v>38</v>
      </c>
      <c r="E163" s="3" t="s">
        <v>25</v>
      </c>
      <c r="F163" s="3" t="s">
        <v>60</v>
      </c>
      <c r="G163" s="3" t="s">
        <v>25</v>
      </c>
      <c r="H163" s="3" t="s">
        <v>25</v>
      </c>
      <c r="I163" s="6">
        <v>44531</v>
      </c>
      <c r="J163" s="4">
        <v>0</v>
      </c>
      <c r="K163" s="4">
        <v>0</v>
      </c>
      <c r="L163" s="4">
        <v>17139.843000000001</v>
      </c>
      <c r="M163" s="4">
        <v>17139.843000000001</v>
      </c>
      <c r="N163" s="4">
        <v>0</v>
      </c>
      <c r="O163" s="4">
        <v>0</v>
      </c>
      <c r="P163" s="4">
        <v>60</v>
      </c>
      <c r="Q163" s="3" t="s">
        <v>57</v>
      </c>
      <c r="R163" s="3">
        <v>0</v>
      </c>
      <c r="S163" s="3">
        <v>0</v>
      </c>
      <c r="T163" s="3">
        <v>110</v>
      </c>
      <c r="U163" s="3">
        <v>0</v>
      </c>
      <c r="V163" s="4">
        <f>IF(ISERROR(VLOOKUP($S$163,'TAR FIN'!$A$1:$O$113,15,0)),0,VLOOKUP($S$163,'TAR FIN'!$A$1:$O$113,15,0))</f>
        <v>0</v>
      </c>
      <c r="W163" s="4">
        <f>IF(ISERROR(VLOOKUP($T$163,'TAR FIN'!$A$1:$O$113,15,0)),0,VLOOKUP($T$163,'TAR FIN'!$A$1:$O$113,15,0))</f>
        <v>51.27</v>
      </c>
      <c r="X163" s="4">
        <f>IF(ISERROR(VLOOKUP($U$163,'TAR FIN'!$A$1:$O$113,15,0)),0,VLOOKUP($U$163,'TAR FIN'!$A$1:$O$113,15,0))</f>
        <v>0</v>
      </c>
      <c r="Y163" s="4"/>
      <c r="Z163" s="4">
        <f ca="1">('TUSD BE'!$AM$15+'TUSD BF'!$AM$15+'TUSD CVA'!$AM$15)*1</f>
        <v>65.007409626508434</v>
      </c>
      <c r="AA163" s="4"/>
      <c r="AB163" s="4">
        <f t="shared" si="10"/>
        <v>0</v>
      </c>
      <c r="AC163" s="4">
        <f t="shared" si="11"/>
        <v>0</v>
      </c>
      <c r="AD163" s="4">
        <f t="shared" si="12"/>
        <v>0</v>
      </c>
      <c r="AE163" s="4">
        <f t="shared" ca="1" si="13"/>
        <v>0</v>
      </c>
      <c r="AF163" s="3" t="s">
        <v>1022</v>
      </c>
    </row>
    <row r="164" spans="1:32" ht="11.25" customHeight="1" x14ac:dyDescent="0.25">
      <c r="A164" s="3" t="s">
        <v>21</v>
      </c>
      <c r="B164" s="3" t="s">
        <v>41</v>
      </c>
      <c r="C164" s="3" t="s">
        <v>40</v>
      </c>
      <c r="D164" s="3" t="s">
        <v>38</v>
      </c>
      <c r="E164" s="3" t="s">
        <v>25</v>
      </c>
      <c r="F164" s="3" t="s">
        <v>60</v>
      </c>
      <c r="G164" s="3" t="s">
        <v>25</v>
      </c>
      <c r="H164" s="3" t="s">
        <v>25</v>
      </c>
      <c r="I164" s="6">
        <v>44562</v>
      </c>
      <c r="J164" s="4">
        <v>0</v>
      </c>
      <c r="K164" s="4">
        <v>0</v>
      </c>
      <c r="L164" s="4">
        <v>17477.350999999999</v>
      </c>
      <c r="M164" s="4">
        <v>17477.350999999999</v>
      </c>
      <c r="N164" s="4">
        <v>0</v>
      </c>
      <c r="O164" s="4">
        <v>0</v>
      </c>
      <c r="P164" s="4">
        <v>62</v>
      </c>
      <c r="Q164" s="3" t="s">
        <v>57</v>
      </c>
      <c r="R164" s="3">
        <v>0</v>
      </c>
      <c r="S164" s="3">
        <v>0</v>
      </c>
      <c r="T164" s="3">
        <v>110</v>
      </c>
      <c r="U164" s="3">
        <v>0</v>
      </c>
      <c r="V164" s="4">
        <f>IF(ISERROR(VLOOKUP($S$164,'TAR FIN'!$A$1:$O$113,15,0)),0,VLOOKUP($S$164,'TAR FIN'!$A$1:$O$113,15,0))</f>
        <v>0</v>
      </c>
      <c r="W164" s="4">
        <f>IF(ISERROR(VLOOKUP($T$164,'TAR FIN'!$A$1:$O$113,15,0)),0,VLOOKUP($T$164,'TAR FIN'!$A$1:$O$113,15,0))</f>
        <v>51.27</v>
      </c>
      <c r="X164" s="4">
        <f>IF(ISERROR(VLOOKUP($U$164,'TAR FIN'!$A$1:$O$113,15,0)),0,VLOOKUP($U$164,'TAR FIN'!$A$1:$O$113,15,0))</f>
        <v>0</v>
      </c>
      <c r="Y164" s="4"/>
      <c r="Z164" s="4">
        <f ca="1">('TUSD BE'!$AM$15+'TUSD BF'!$AM$15+'TUSD CVA'!$AM$15)*1</f>
        <v>65.007409626508434</v>
      </c>
      <c r="AA164" s="4"/>
      <c r="AB164" s="4">
        <f t="shared" si="10"/>
        <v>0</v>
      </c>
      <c r="AC164" s="4">
        <f t="shared" si="11"/>
        <v>0</v>
      </c>
      <c r="AD164" s="4">
        <f t="shared" si="12"/>
        <v>0</v>
      </c>
      <c r="AE164" s="4">
        <f t="shared" ca="1" si="13"/>
        <v>0</v>
      </c>
      <c r="AF164" s="3" t="s">
        <v>1022</v>
      </c>
    </row>
    <row r="165" spans="1:32" ht="11.25" customHeight="1" x14ac:dyDescent="0.25">
      <c r="A165" s="3" t="s">
        <v>21</v>
      </c>
      <c r="B165" s="3" t="s">
        <v>41</v>
      </c>
      <c r="C165" s="3" t="s">
        <v>40</v>
      </c>
      <c r="D165" s="3" t="s">
        <v>38</v>
      </c>
      <c r="E165" s="3" t="s">
        <v>25</v>
      </c>
      <c r="F165" s="3" t="s">
        <v>60</v>
      </c>
      <c r="G165" s="3" t="s">
        <v>25</v>
      </c>
      <c r="H165" s="3" t="s">
        <v>25</v>
      </c>
      <c r="I165" s="6">
        <v>44593</v>
      </c>
      <c r="J165" s="4">
        <v>0</v>
      </c>
      <c r="K165" s="4">
        <v>0</v>
      </c>
      <c r="L165" s="4">
        <v>17975.597000000002</v>
      </c>
      <c r="M165" s="4">
        <v>17975.597000000002</v>
      </c>
      <c r="N165" s="4">
        <v>0</v>
      </c>
      <c r="O165" s="4">
        <v>0</v>
      </c>
      <c r="P165" s="4">
        <v>63</v>
      </c>
      <c r="Q165" s="3" t="s">
        <v>57</v>
      </c>
      <c r="R165" s="3">
        <v>0</v>
      </c>
      <c r="S165" s="3">
        <v>0</v>
      </c>
      <c r="T165" s="3">
        <v>110</v>
      </c>
      <c r="U165" s="3">
        <v>0</v>
      </c>
      <c r="V165" s="4">
        <f>IF(ISERROR(VLOOKUP($S$165,'TAR FIN'!$A$1:$O$113,15,0)),0,VLOOKUP($S$165,'TAR FIN'!$A$1:$O$113,15,0))</f>
        <v>0</v>
      </c>
      <c r="W165" s="4">
        <f>IF(ISERROR(VLOOKUP($T$165,'TAR FIN'!$A$1:$O$113,15,0)),0,VLOOKUP($T$165,'TAR FIN'!$A$1:$O$113,15,0))</f>
        <v>51.27</v>
      </c>
      <c r="X165" s="4">
        <f>IF(ISERROR(VLOOKUP($U$165,'TAR FIN'!$A$1:$O$113,15,0)),0,VLOOKUP($U$165,'TAR FIN'!$A$1:$O$113,15,0))</f>
        <v>0</v>
      </c>
      <c r="Y165" s="4"/>
      <c r="Z165" s="4">
        <f ca="1">('TUSD BE'!$AM$15+'TUSD BF'!$AM$15+'TUSD CVA'!$AM$15)*1</f>
        <v>65.007409626508434</v>
      </c>
      <c r="AA165" s="4"/>
      <c r="AB165" s="4">
        <f t="shared" si="10"/>
        <v>0</v>
      </c>
      <c r="AC165" s="4">
        <f t="shared" si="11"/>
        <v>0</v>
      </c>
      <c r="AD165" s="4">
        <f t="shared" si="12"/>
        <v>0</v>
      </c>
      <c r="AE165" s="4">
        <f t="shared" ca="1" si="13"/>
        <v>0</v>
      </c>
      <c r="AF165" s="3" t="s">
        <v>1022</v>
      </c>
    </row>
    <row r="166" spans="1:32" ht="11.25" customHeight="1" x14ac:dyDescent="0.25">
      <c r="A166" s="3" t="s">
        <v>56</v>
      </c>
      <c r="B166" s="3" t="s">
        <v>41</v>
      </c>
      <c r="C166" s="3" t="s">
        <v>40</v>
      </c>
      <c r="D166" s="3" t="s">
        <v>38</v>
      </c>
      <c r="E166" s="3" t="s">
        <v>25</v>
      </c>
      <c r="F166" s="3" t="s">
        <v>60</v>
      </c>
      <c r="G166" s="3" t="s">
        <v>25</v>
      </c>
      <c r="H166" s="3" t="s">
        <v>25</v>
      </c>
      <c r="I166" s="6">
        <v>44621</v>
      </c>
      <c r="J166" s="4">
        <v>0</v>
      </c>
      <c r="K166" s="4">
        <v>0</v>
      </c>
      <c r="L166" s="4">
        <v>17975.597000000002</v>
      </c>
      <c r="M166" s="4">
        <v>17975.597000000002</v>
      </c>
      <c r="N166" s="4">
        <v>0</v>
      </c>
      <c r="O166" s="4">
        <v>0</v>
      </c>
      <c r="P166" s="4">
        <v>63</v>
      </c>
      <c r="Q166" s="3" t="s">
        <v>57</v>
      </c>
      <c r="R166" s="3">
        <v>0</v>
      </c>
      <c r="S166" s="3">
        <v>0</v>
      </c>
      <c r="T166" s="3">
        <v>110</v>
      </c>
      <c r="U166" s="3">
        <v>0</v>
      </c>
      <c r="V166" s="4">
        <f>IF(ISERROR(VLOOKUP($S$166,'TAR FIN'!$A$1:$O$113,15,0)),0,VLOOKUP($S$166,'TAR FIN'!$A$1:$O$113,15,0))</f>
        <v>0</v>
      </c>
      <c r="W166" s="4">
        <f>IF(ISERROR(VLOOKUP($T$166,'TAR FIN'!$A$1:$O$113,15,0)),0,VLOOKUP($T$166,'TAR FIN'!$A$1:$O$113,15,0))</f>
        <v>51.27</v>
      </c>
      <c r="X166" s="4">
        <f>IF(ISERROR(VLOOKUP($U$166,'TAR FIN'!$A$1:$O$113,15,0)),0,VLOOKUP($U$166,'TAR FIN'!$A$1:$O$113,15,0))</f>
        <v>0</v>
      </c>
      <c r="Y166" s="4"/>
      <c r="Z166" s="4">
        <f ca="1">('TUSD BE'!$AM$15+'TUSD BF'!$AM$15+'TUSD CVA'!$AM$15)*1</f>
        <v>65.007409626508434</v>
      </c>
      <c r="AA166" s="4"/>
      <c r="AB166" s="4">
        <f t="shared" si="10"/>
        <v>0</v>
      </c>
      <c r="AC166" s="4">
        <f t="shared" si="11"/>
        <v>0</v>
      </c>
      <c r="AD166" s="4">
        <f t="shared" si="12"/>
        <v>0</v>
      </c>
      <c r="AE166" s="4">
        <f t="shared" ca="1" si="13"/>
        <v>0</v>
      </c>
      <c r="AF166" s="3" t="s">
        <v>1022</v>
      </c>
    </row>
    <row r="167" spans="1:32" ht="11.25" customHeight="1" x14ac:dyDescent="0.25">
      <c r="A167" s="3" t="s">
        <v>21</v>
      </c>
      <c r="B167" s="3" t="s">
        <v>41</v>
      </c>
      <c r="C167" s="3" t="s">
        <v>40</v>
      </c>
      <c r="D167" s="3" t="s">
        <v>38</v>
      </c>
      <c r="E167" s="3" t="s">
        <v>25</v>
      </c>
      <c r="F167" s="3" t="s">
        <v>60</v>
      </c>
      <c r="G167" s="3" t="s">
        <v>25</v>
      </c>
      <c r="H167" s="3" t="s">
        <v>34</v>
      </c>
      <c r="I167" s="6">
        <v>44287</v>
      </c>
      <c r="J167" s="4">
        <v>22915</v>
      </c>
      <c r="K167" s="4">
        <v>11822.50913945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57</v>
      </c>
      <c r="R167" s="3">
        <v>0</v>
      </c>
      <c r="S167" s="3">
        <v>11</v>
      </c>
      <c r="T167" s="3">
        <v>0</v>
      </c>
      <c r="U167" s="3">
        <v>0</v>
      </c>
      <c r="V167" s="4">
        <f>IF(ISERROR(VLOOKUP($S$167,'TAR FIN'!$A$1:$O$113,15,0)),0,VLOOKUP($S$167,'TAR FIN'!$A$1:$O$113,15,0))</f>
        <v>62.23</v>
      </c>
      <c r="W167" s="4">
        <f>IF(ISERROR(VLOOKUP($T$167,'TAR FIN'!$A$1:$O$113,15,0)),0,VLOOKUP($T$167,'TAR FIN'!$A$1:$O$113,15,0))</f>
        <v>0</v>
      </c>
      <c r="X167" s="4">
        <f>IF(ISERROR(VLOOKUP($U$167,'TAR FIN'!$A$1:$O$113,15,0)),0,VLOOKUP($U$167,'TAR FIN'!$A$1:$O$113,15,0))</f>
        <v>0</v>
      </c>
      <c r="Y167" s="4">
        <f ca="1">('TUSD BE'!$AM$13+'TUSD BF'!$AM$13+'TUSD CVA'!$AM$13)*1</f>
        <v>73.082870326096639</v>
      </c>
      <c r="Z167" s="4">
        <f ca="1">('TUSD BE'!$AM$15+'TUSD BF'!$AM$15+'TUSD CVA'!$AM$15)*1</f>
        <v>65.007409626508434</v>
      </c>
      <c r="AA167" s="4"/>
      <c r="AB167" s="4">
        <f t="shared" si="10"/>
        <v>690285.70625202649</v>
      </c>
      <c r="AC167" s="4">
        <f t="shared" si="11"/>
        <v>0</v>
      </c>
      <c r="AD167" s="4">
        <f t="shared" ca="1" si="12"/>
        <v>810671.07115498779</v>
      </c>
      <c r="AE167" s="4">
        <f t="shared" ca="1" si="13"/>
        <v>0</v>
      </c>
      <c r="AF167" s="3" t="s">
        <v>1022</v>
      </c>
    </row>
    <row r="168" spans="1:32" ht="11.25" customHeight="1" x14ac:dyDescent="0.25">
      <c r="A168" s="3" t="s">
        <v>21</v>
      </c>
      <c r="B168" s="3" t="s">
        <v>41</v>
      </c>
      <c r="C168" s="3" t="s">
        <v>40</v>
      </c>
      <c r="D168" s="3" t="s">
        <v>38</v>
      </c>
      <c r="E168" s="3" t="s">
        <v>25</v>
      </c>
      <c r="F168" s="3" t="s">
        <v>60</v>
      </c>
      <c r="G168" s="3" t="s">
        <v>25</v>
      </c>
      <c r="H168" s="3" t="s">
        <v>34</v>
      </c>
      <c r="I168" s="6">
        <v>44317</v>
      </c>
      <c r="J168" s="4">
        <v>22822</v>
      </c>
      <c r="K168" s="4">
        <v>11905.543611200001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3" t="s">
        <v>57</v>
      </c>
      <c r="R168" s="3">
        <v>0</v>
      </c>
      <c r="S168" s="3">
        <v>11</v>
      </c>
      <c r="T168" s="3">
        <v>0</v>
      </c>
      <c r="U168" s="3">
        <v>0</v>
      </c>
      <c r="V168" s="4">
        <f>IF(ISERROR(VLOOKUP($S$168,'TAR FIN'!$A$1:$O$113,15,0)),0,VLOOKUP($S$168,'TAR FIN'!$A$1:$O$113,15,0))</f>
        <v>62.23</v>
      </c>
      <c r="W168" s="4">
        <f>IF(ISERROR(VLOOKUP($T$168,'TAR FIN'!$A$1:$O$113,15,0)),0,VLOOKUP($T$168,'TAR FIN'!$A$1:$O$113,15,0))</f>
        <v>0</v>
      </c>
      <c r="X168" s="4">
        <f>IF(ISERROR(VLOOKUP($U$168,'TAR FIN'!$A$1:$O$113,15,0)),0,VLOOKUP($U$168,'TAR FIN'!$A$1:$O$113,15,0))</f>
        <v>0</v>
      </c>
      <c r="Y168" s="4">
        <f ca="1">('TUSD BE'!$AM$13+'TUSD BF'!$AM$13+'TUSD CVA'!$AM$13)*1</f>
        <v>73.082870326096639</v>
      </c>
      <c r="Z168" s="4">
        <f ca="1">('TUSD BE'!$AM$15+'TUSD BF'!$AM$15+'TUSD CVA'!$AM$15)*1</f>
        <v>65.007409626508434</v>
      </c>
      <c r="AA168" s="4"/>
      <c r="AB168" s="4">
        <f t="shared" si="10"/>
        <v>679331.08107502398</v>
      </c>
      <c r="AC168" s="4">
        <f t="shared" si="11"/>
        <v>0</v>
      </c>
      <c r="AD168" s="4">
        <f t="shared" ca="1" si="12"/>
        <v>797805.96668315958</v>
      </c>
      <c r="AE168" s="4">
        <f t="shared" ca="1" si="13"/>
        <v>0</v>
      </c>
      <c r="AF168" s="3" t="s">
        <v>1022</v>
      </c>
    </row>
    <row r="169" spans="1:32" ht="11.25" customHeight="1" x14ac:dyDescent="0.25">
      <c r="A169" s="3" t="s">
        <v>21</v>
      </c>
      <c r="B169" s="3" t="s">
        <v>41</v>
      </c>
      <c r="C169" s="3" t="s">
        <v>40</v>
      </c>
      <c r="D169" s="3" t="s">
        <v>38</v>
      </c>
      <c r="E169" s="3" t="s">
        <v>25</v>
      </c>
      <c r="F169" s="3" t="s">
        <v>60</v>
      </c>
      <c r="G169" s="3" t="s">
        <v>25</v>
      </c>
      <c r="H169" s="3" t="s">
        <v>34</v>
      </c>
      <c r="I169" s="6">
        <v>44348</v>
      </c>
      <c r="J169" s="4">
        <v>24187</v>
      </c>
      <c r="K169" s="4">
        <v>12578.29334385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57</v>
      </c>
      <c r="R169" s="3">
        <v>0</v>
      </c>
      <c r="S169" s="3">
        <v>11</v>
      </c>
      <c r="T169" s="3">
        <v>0</v>
      </c>
      <c r="U169" s="3">
        <v>0</v>
      </c>
      <c r="V169" s="4">
        <f>IF(ISERROR(VLOOKUP($S$169,'TAR FIN'!$A$1:$O$113,15,0)),0,VLOOKUP($S$169,'TAR FIN'!$A$1:$O$113,15,0))</f>
        <v>62.23</v>
      </c>
      <c r="W169" s="4">
        <f>IF(ISERROR(VLOOKUP($T$169,'TAR FIN'!$A$1:$O$113,15,0)),0,VLOOKUP($T$169,'TAR FIN'!$A$1:$O$113,15,0))</f>
        <v>0</v>
      </c>
      <c r="X169" s="4">
        <f>IF(ISERROR(VLOOKUP($U$169,'TAR FIN'!$A$1:$O$113,15,0)),0,VLOOKUP($U$169,'TAR FIN'!$A$1:$O$113,15,0))</f>
        <v>0</v>
      </c>
      <c r="Y169" s="4">
        <f ca="1">('TUSD BE'!$AM$13+'TUSD BF'!$AM$13+'TUSD CVA'!$AM$13)*1</f>
        <v>73.082870326096639</v>
      </c>
      <c r="Z169" s="4">
        <f ca="1">('TUSD BE'!$AM$15+'TUSD BF'!$AM$15+'TUSD CVA'!$AM$15)*1</f>
        <v>65.007409626508434</v>
      </c>
      <c r="AA169" s="4"/>
      <c r="AB169" s="4">
        <f t="shared" si="10"/>
        <v>722409.81521221448</v>
      </c>
      <c r="AC169" s="4">
        <f t="shared" si="11"/>
        <v>0</v>
      </c>
      <c r="AD169" s="4">
        <f t="shared" ca="1" si="12"/>
        <v>848397.60320510541</v>
      </c>
      <c r="AE169" s="4">
        <f t="shared" ca="1" si="13"/>
        <v>0</v>
      </c>
      <c r="AF169" s="3" t="s">
        <v>1022</v>
      </c>
    </row>
    <row r="170" spans="1:32" ht="11.25" customHeight="1" x14ac:dyDescent="0.25">
      <c r="A170" s="3" t="s">
        <v>21</v>
      </c>
      <c r="B170" s="3" t="s">
        <v>41</v>
      </c>
      <c r="C170" s="3" t="s">
        <v>40</v>
      </c>
      <c r="D170" s="3" t="s">
        <v>38</v>
      </c>
      <c r="E170" s="3" t="s">
        <v>25</v>
      </c>
      <c r="F170" s="3" t="s">
        <v>60</v>
      </c>
      <c r="G170" s="3" t="s">
        <v>25</v>
      </c>
      <c r="H170" s="3" t="s">
        <v>34</v>
      </c>
      <c r="I170" s="6">
        <v>44378</v>
      </c>
      <c r="J170" s="4">
        <v>24070</v>
      </c>
      <c r="K170" s="4">
        <v>11799.099558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3" t="s">
        <v>57</v>
      </c>
      <c r="R170" s="3">
        <v>0</v>
      </c>
      <c r="S170" s="3">
        <v>11</v>
      </c>
      <c r="T170" s="3">
        <v>0</v>
      </c>
      <c r="U170" s="3">
        <v>0</v>
      </c>
      <c r="V170" s="4">
        <f>IF(ISERROR(VLOOKUP($S$170,'TAR FIN'!$A$1:$O$113,15,0)),0,VLOOKUP($S$170,'TAR FIN'!$A$1:$O$113,15,0))</f>
        <v>62.23</v>
      </c>
      <c r="W170" s="4">
        <f>IF(ISERROR(VLOOKUP($T$170,'TAR FIN'!$A$1:$O$113,15,0)),0,VLOOKUP($T$170,'TAR FIN'!$A$1:$O$113,15,0))</f>
        <v>0</v>
      </c>
      <c r="X170" s="4">
        <f>IF(ISERROR(VLOOKUP($U$170,'TAR FIN'!$A$1:$O$113,15,0)),0,VLOOKUP($U$170,'TAR FIN'!$A$1:$O$113,15,0))</f>
        <v>0</v>
      </c>
      <c r="Y170" s="4">
        <f ca="1">('TUSD BE'!$AM$13+'TUSD BF'!$AM$13+'TUSD CVA'!$AM$13)*1</f>
        <v>73.082870326096639</v>
      </c>
      <c r="Z170" s="4">
        <f ca="1">('TUSD BE'!$AM$15+'TUSD BF'!$AM$15+'TUSD CVA'!$AM$15)*1</f>
        <v>65.007409626508434</v>
      </c>
      <c r="AA170" s="4"/>
      <c r="AB170" s="4">
        <f t="shared" si="10"/>
        <v>763618.13450565992</v>
      </c>
      <c r="AC170" s="4">
        <f t="shared" si="11"/>
        <v>0</v>
      </c>
      <c r="AD170" s="4">
        <f t="shared" ca="1" si="12"/>
        <v>896792.625787128</v>
      </c>
      <c r="AE170" s="4">
        <f t="shared" ca="1" si="13"/>
        <v>0</v>
      </c>
      <c r="AF170" s="3" t="s">
        <v>1022</v>
      </c>
    </row>
    <row r="171" spans="1:32" ht="11.25" customHeight="1" x14ac:dyDescent="0.25">
      <c r="A171" s="3" t="s">
        <v>21</v>
      </c>
      <c r="B171" s="3" t="s">
        <v>41</v>
      </c>
      <c r="C171" s="3" t="s">
        <v>40</v>
      </c>
      <c r="D171" s="3" t="s">
        <v>38</v>
      </c>
      <c r="E171" s="3" t="s">
        <v>25</v>
      </c>
      <c r="F171" s="3" t="s">
        <v>60</v>
      </c>
      <c r="G171" s="3" t="s">
        <v>25</v>
      </c>
      <c r="H171" s="3" t="s">
        <v>34</v>
      </c>
      <c r="I171" s="6">
        <v>44409</v>
      </c>
      <c r="J171" s="4">
        <v>23199</v>
      </c>
      <c r="K171" s="4">
        <v>11312.310067410001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3" t="s">
        <v>57</v>
      </c>
      <c r="R171" s="3">
        <v>0</v>
      </c>
      <c r="S171" s="3">
        <v>11</v>
      </c>
      <c r="T171" s="3">
        <v>0</v>
      </c>
      <c r="U171" s="3">
        <v>0</v>
      </c>
      <c r="V171" s="4">
        <f>IF(ISERROR(VLOOKUP($S$171,'TAR FIN'!$A$1:$O$113,15,0)),0,VLOOKUP($S$171,'TAR FIN'!$A$1:$O$113,15,0))</f>
        <v>62.23</v>
      </c>
      <c r="W171" s="4">
        <f>IF(ISERROR(VLOOKUP($T$171,'TAR FIN'!$A$1:$O$113,15,0)),0,VLOOKUP($T$171,'TAR FIN'!$A$1:$O$113,15,0))</f>
        <v>0</v>
      </c>
      <c r="X171" s="4">
        <f>IF(ISERROR(VLOOKUP($U$171,'TAR FIN'!$A$1:$O$113,15,0)),0,VLOOKUP($U$171,'TAR FIN'!$A$1:$O$113,15,0))</f>
        <v>0</v>
      </c>
      <c r="Y171" s="4">
        <f ca="1">('TUSD BE'!$AM$13+'TUSD BF'!$AM$13+'TUSD CVA'!$AM$13)*1</f>
        <v>73.082870326096639</v>
      </c>
      <c r="Z171" s="4">
        <f ca="1">('TUSD BE'!$AM$15+'TUSD BF'!$AM$15+'TUSD CVA'!$AM$15)*1</f>
        <v>65.007409626508434</v>
      </c>
      <c r="AA171" s="4"/>
      <c r="AB171" s="4">
        <f t="shared" si="10"/>
        <v>739708.71450507559</v>
      </c>
      <c r="AC171" s="4">
        <f t="shared" si="11"/>
        <v>0</v>
      </c>
      <c r="AD171" s="4">
        <f t="shared" ca="1" si="12"/>
        <v>868713.41894999333</v>
      </c>
      <c r="AE171" s="4">
        <f t="shared" ca="1" si="13"/>
        <v>0</v>
      </c>
      <c r="AF171" s="3" t="s">
        <v>1022</v>
      </c>
    </row>
    <row r="172" spans="1:32" ht="11.25" customHeight="1" x14ac:dyDescent="0.25">
      <c r="A172" s="3" t="s">
        <v>21</v>
      </c>
      <c r="B172" s="3" t="s">
        <v>41</v>
      </c>
      <c r="C172" s="3" t="s">
        <v>40</v>
      </c>
      <c r="D172" s="3" t="s">
        <v>38</v>
      </c>
      <c r="E172" s="3" t="s">
        <v>25</v>
      </c>
      <c r="F172" s="3" t="s">
        <v>60</v>
      </c>
      <c r="G172" s="3" t="s">
        <v>25</v>
      </c>
      <c r="H172" s="3" t="s">
        <v>34</v>
      </c>
      <c r="I172" s="6">
        <v>44440</v>
      </c>
      <c r="J172" s="4">
        <v>30615</v>
      </c>
      <c r="K172" s="4">
        <v>14824.761455399999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3" t="s">
        <v>57</v>
      </c>
      <c r="R172" s="3">
        <v>0</v>
      </c>
      <c r="S172" s="3">
        <v>11</v>
      </c>
      <c r="T172" s="3">
        <v>0</v>
      </c>
      <c r="U172" s="3">
        <v>0</v>
      </c>
      <c r="V172" s="4">
        <f>IF(ISERROR(VLOOKUP($S$172,'TAR FIN'!$A$1:$O$113,15,0)),0,VLOOKUP($S$172,'TAR FIN'!$A$1:$O$113,15,0))</f>
        <v>62.23</v>
      </c>
      <c r="W172" s="4">
        <f>IF(ISERROR(VLOOKUP($T$172,'TAR FIN'!$A$1:$O$113,15,0)),0,VLOOKUP($T$172,'TAR FIN'!$A$1:$O$113,15,0))</f>
        <v>0</v>
      </c>
      <c r="X172" s="4">
        <f>IF(ISERROR(VLOOKUP($U$172,'TAR FIN'!$A$1:$O$113,15,0)),0,VLOOKUP($U$172,'TAR FIN'!$A$1:$O$113,15,0))</f>
        <v>0</v>
      </c>
      <c r="Y172" s="4">
        <f ca="1">('TUSD BE'!$AM$13+'TUSD BF'!$AM$13+'TUSD CVA'!$AM$13)*1</f>
        <v>73.082870326096639</v>
      </c>
      <c r="Z172" s="4">
        <f ca="1">('TUSD BE'!$AM$15+'TUSD BF'!$AM$15+'TUSD CVA'!$AM$15)*1</f>
        <v>65.007409626508434</v>
      </c>
      <c r="AA172" s="4"/>
      <c r="AB172" s="4">
        <f t="shared" si="10"/>
        <v>982626.544630458</v>
      </c>
      <c r="AC172" s="4">
        <f t="shared" si="11"/>
        <v>0</v>
      </c>
      <c r="AD172" s="4">
        <f t="shared" ca="1" si="12"/>
        <v>1153995.9559731348</v>
      </c>
      <c r="AE172" s="4">
        <f t="shared" ca="1" si="13"/>
        <v>0</v>
      </c>
      <c r="AF172" s="3" t="s">
        <v>1022</v>
      </c>
    </row>
    <row r="173" spans="1:32" ht="11.25" customHeight="1" x14ac:dyDescent="0.25">
      <c r="A173" s="3" t="s">
        <v>21</v>
      </c>
      <c r="B173" s="3" t="s">
        <v>41</v>
      </c>
      <c r="C173" s="3" t="s">
        <v>40</v>
      </c>
      <c r="D173" s="3" t="s">
        <v>38</v>
      </c>
      <c r="E173" s="3" t="s">
        <v>25</v>
      </c>
      <c r="F173" s="3" t="s">
        <v>60</v>
      </c>
      <c r="G173" s="3" t="s">
        <v>25</v>
      </c>
      <c r="H173" s="3" t="s">
        <v>34</v>
      </c>
      <c r="I173" s="6">
        <v>44470</v>
      </c>
      <c r="J173" s="4">
        <v>31804</v>
      </c>
      <c r="K173" s="4">
        <v>15383.977402119999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3" t="s">
        <v>57</v>
      </c>
      <c r="R173" s="3">
        <v>0</v>
      </c>
      <c r="S173" s="3">
        <v>11</v>
      </c>
      <c r="T173" s="3">
        <v>0</v>
      </c>
      <c r="U173" s="3">
        <v>0</v>
      </c>
      <c r="V173" s="4">
        <f>IF(ISERROR(VLOOKUP($S$173,'TAR FIN'!$A$1:$O$113,15,0)),0,VLOOKUP($S$173,'TAR FIN'!$A$1:$O$113,15,0))</f>
        <v>62.23</v>
      </c>
      <c r="W173" s="4">
        <f>IF(ISERROR(VLOOKUP($T$173,'TAR FIN'!$A$1:$O$113,15,0)),0,VLOOKUP($T$173,'TAR FIN'!$A$1:$O$113,15,0))</f>
        <v>0</v>
      </c>
      <c r="X173" s="4">
        <f>IF(ISERROR(VLOOKUP($U$173,'TAR FIN'!$A$1:$O$113,15,0)),0,VLOOKUP($U$173,'TAR FIN'!$A$1:$O$113,15,0))</f>
        <v>0</v>
      </c>
      <c r="Y173" s="4">
        <f ca="1">('TUSD BE'!$AM$13+'TUSD BF'!$AM$13+'TUSD CVA'!$AM$13)*1</f>
        <v>73.082870326096639</v>
      </c>
      <c r="Z173" s="4">
        <f ca="1">('TUSD BE'!$AM$15+'TUSD BF'!$AM$15+'TUSD CVA'!$AM$15)*1</f>
        <v>65.007409626508434</v>
      </c>
      <c r="AA173" s="4"/>
      <c r="AB173" s="4">
        <f t="shared" si="10"/>
        <v>1021818.0062660724</v>
      </c>
      <c r="AC173" s="4">
        <f t="shared" si="11"/>
        <v>0</v>
      </c>
      <c r="AD173" s="4">
        <f t="shared" ca="1" si="12"/>
        <v>1200022.3822724405</v>
      </c>
      <c r="AE173" s="4">
        <f t="shared" ca="1" si="13"/>
        <v>0</v>
      </c>
      <c r="AF173" s="3" t="s">
        <v>1022</v>
      </c>
    </row>
    <row r="174" spans="1:32" ht="11.25" customHeight="1" x14ac:dyDescent="0.25">
      <c r="A174" s="3" t="s">
        <v>21</v>
      </c>
      <c r="B174" s="3" t="s">
        <v>41</v>
      </c>
      <c r="C174" s="3" t="s">
        <v>40</v>
      </c>
      <c r="D174" s="3" t="s">
        <v>38</v>
      </c>
      <c r="E174" s="3" t="s">
        <v>25</v>
      </c>
      <c r="F174" s="3" t="s">
        <v>60</v>
      </c>
      <c r="G174" s="3" t="s">
        <v>25</v>
      </c>
      <c r="H174" s="3" t="s">
        <v>34</v>
      </c>
      <c r="I174" s="6">
        <v>44501</v>
      </c>
      <c r="J174" s="4">
        <v>32053</v>
      </c>
      <c r="K174" s="4">
        <v>16162.476518719999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3" t="s">
        <v>57</v>
      </c>
      <c r="R174" s="3">
        <v>0</v>
      </c>
      <c r="S174" s="3">
        <v>11</v>
      </c>
      <c r="T174" s="3">
        <v>0</v>
      </c>
      <c r="U174" s="3">
        <v>0</v>
      </c>
      <c r="V174" s="4">
        <f>IF(ISERROR(VLOOKUP($S$174,'TAR FIN'!$A$1:$O$113,15,0)),0,VLOOKUP($S$174,'TAR FIN'!$A$1:$O$113,15,0))</f>
        <v>62.23</v>
      </c>
      <c r="W174" s="4">
        <f>IF(ISERROR(VLOOKUP($T$174,'TAR FIN'!$A$1:$O$113,15,0)),0,VLOOKUP($T$174,'TAR FIN'!$A$1:$O$113,15,0))</f>
        <v>0</v>
      </c>
      <c r="X174" s="4">
        <f>IF(ISERROR(VLOOKUP($U$174,'TAR FIN'!$A$1:$O$113,15,0)),0,VLOOKUP($U$174,'TAR FIN'!$A$1:$O$113,15,0))</f>
        <v>0</v>
      </c>
      <c r="Y174" s="4">
        <f ca="1">('TUSD BE'!$AM$13+'TUSD BF'!$AM$13+'TUSD CVA'!$AM$13)*1</f>
        <v>73.082870326096639</v>
      </c>
      <c r="Z174" s="4">
        <f ca="1">('TUSD BE'!$AM$15+'TUSD BF'!$AM$15+'TUSD CVA'!$AM$15)*1</f>
        <v>65.007409626508434</v>
      </c>
      <c r="AA174" s="4"/>
      <c r="AB174" s="4">
        <f t="shared" si="10"/>
        <v>988867.2762400544</v>
      </c>
      <c r="AC174" s="4">
        <f t="shared" si="11"/>
        <v>0</v>
      </c>
      <c r="AD174" s="4">
        <f t="shared" ca="1" si="12"/>
        <v>1161325.06699618</v>
      </c>
      <c r="AE174" s="4">
        <f t="shared" ca="1" si="13"/>
        <v>0</v>
      </c>
      <c r="AF174" s="3" t="s">
        <v>1022</v>
      </c>
    </row>
    <row r="175" spans="1:32" ht="11.25" customHeight="1" x14ac:dyDescent="0.25">
      <c r="A175" s="3" t="s">
        <v>27</v>
      </c>
      <c r="B175" s="3" t="s">
        <v>41</v>
      </c>
      <c r="C175" s="3" t="s">
        <v>40</v>
      </c>
      <c r="D175" s="3" t="s">
        <v>38</v>
      </c>
      <c r="E175" s="3" t="s">
        <v>25</v>
      </c>
      <c r="F175" s="3" t="s">
        <v>60</v>
      </c>
      <c r="G175" s="3" t="s">
        <v>25</v>
      </c>
      <c r="H175" s="3" t="s">
        <v>34</v>
      </c>
      <c r="I175" s="6">
        <v>44501</v>
      </c>
      <c r="J175" s="4">
        <v>-448</v>
      </c>
      <c r="K175" s="4">
        <v>-448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3" t="s">
        <v>57</v>
      </c>
      <c r="R175" s="3">
        <v>0</v>
      </c>
      <c r="S175" s="3">
        <v>11</v>
      </c>
      <c r="T175" s="3">
        <v>0</v>
      </c>
      <c r="U175" s="3">
        <v>0</v>
      </c>
      <c r="V175" s="4">
        <f>IF(ISERROR(VLOOKUP($S$175,'TAR FIN'!$A$1:$O$113,15,0)),0,VLOOKUP($S$175,'TAR FIN'!$A$1:$O$113,15,0))</f>
        <v>62.23</v>
      </c>
      <c r="W175" s="4">
        <f>IF(ISERROR(VLOOKUP($T$175,'TAR FIN'!$A$1:$O$113,15,0)),0,VLOOKUP($T$175,'TAR FIN'!$A$1:$O$113,15,0))</f>
        <v>0</v>
      </c>
      <c r="X175" s="4">
        <f>IF(ISERROR(VLOOKUP($U$175,'TAR FIN'!$A$1:$O$113,15,0)),0,VLOOKUP($U$175,'TAR FIN'!$A$1:$O$113,15,0))</f>
        <v>0</v>
      </c>
      <c r="Y175" s="4">
        <f ca="1">('TUSD BE'!$AM$13+'TUSD BF'!$AM$13+'TUSD CVA'!$AM$13)*1</f>
        <v>73.082870326096639</v>
      </c>
      <c r="Z175" s="4">
        <f ca="1">('TUSD BE'!$AM$15+'TUSD BF'!$AM$15+'TUSD CVA'!$AM$15)*1</f>
        <v>65.007409626508434</v>
      </c>
      <c r="AA175" s="4"/>
      <c r="AB175" s="4">
        <f t="shared" si="10"/>
        <v>0</v>
      </c>
      <c r="AC175" s="4">
        <f t="shared" si="11"/>
        <v>0</v>
      </c>
      <c r="AD175" s="4">
        <f t="shared" ca="1" si="12"/>
        <v>0</v>
      </c>
      <c r="AE175" s="4">
        <f t="shared" ca="1" si="13"/>
        <v>0</v>
      </c>
      <c r="AF175" s="3" t="s">
        <v>1022</v>
      </c>
    </row>
    <row r="176" spans="1:32" ht="11.25" customHeight="1" x14ac:dyDescent="0.25">
      <c r="A176" s="3" t="s">
        <v>21</v>
      </c>
      <c r="B176" s="3" t="s">
        <v>41</v>
      </c>
      <c r="C176" s="3" t="s">
        <v>40</v>
      </c>
      <c r="D176" s="3" t="s">
        <v>38</v>
      </c>
      <c r="E176" s="3" t="s">
        <v>25</v>
      </c>
      <c r="F176" s="3" t="s">
        <v>60</v>
      </c>
      <c r="G176" s="3" t="s">
        <v>25</v>
      </c>
      <c r="H176" s="3" t="s">
        <v>34</v>
      </c>
      <c r="I176" s="6">
        <v>44531</v>
      </c>
      <c r="J176" s="4">
        <v>33112</v>
      </c>
      <c r="K176" s="4">
        <v>16982.84083184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3" t="s">
        <v>57</v>
      </c>
      <c r="R176" s="3">
        <v>0</v>
      </c>
      <c r="S176" s="3">
        <v>11</v>
      </c>
      <c r="T176" s="3">
        <v>0</v>
      </c>
      <c r="U176" s="3">
        <v>0</v>
      </c>
      <c r="V176" s="4">
        <f>IF(ISERROR(VLOOKUP($S$176,'TAR FIN'!$A$1:$O$113,15,0)),0,VLOOKUP($S$176,'TAR FIN'!$A$1:$O$113,15,0))</f>
        <v>62.23</v>
      </c>
      <c r="W176" s="4">
        <f>IF(ISERROR(VLOOKUP($T$176,'TAR FIN'!$A$1:$O$113,15,0)),0,VLOOKUP($T$176,'TAR FIN'!$A$1:$O$113,15,0))</f>
        <v>0</v>
      </c>
      <c r="X176" s="4">
        <f>IF(ISERROR(VLOOKUP($U$176,'TAR FIN'!$A$1:$O$113,15,0)),0,VLOOKUP($U$176,'TAR FIN'!$A$1:$O$113,15,0))</f>
        <v>0</v>
      </c>
      <c r="Y176" s="4">
        <f ca="1">('TUSD BE'!$AM$13+'TUSD BF'!$AM$13+'TUSD CVA'!$AM$13)*1</f>
        <v>73.082870326096639</v>
      </c>
      <c r="Z176" s="4">
        <f ca="1">('TUSD BE'!$AM$15+'TUSD BF'!$AM$15+'TUSD CVA'!$AM$15)*1</f>
        <v>65.007409626508434</v>
      </c>
      <c r="AA176" s="4"/>
      <c r="AB176" s="4">
        <f t="shared" si="10"/>
        <v>1003717.5750345967</v>
      </c>
      <c r="AC176" s="4">
        <f t="shared" si="11"/>
        <v>0</v>
      </c>
      <c r="AD176" s="4">
        <f t="shared" ca="1" si="12"/>
        <v>1178765.24795561</v>
      </c>
      <c r="AE176" s="4">
        <f t="shared" ca="1" si="13"/>
        <v>0</v>
      </c>
      <c r="AF176" s="3" t="s">
        <v>1022</v>
      </c>
    </row>
    <row r="177" spans="1:32" ht="11.25" customHeight="1" x14ac:dyDescent="0.25">
      <c r="A177" s="3" t="s">
        <v>21</v>
      </c>
      <c r="B177" s="3" t="s">
        <v>41</v>
      </c>
      <c r="C177" s="3" t="s">
        <v>40</v>
      </c>
      <c r="D177" s="3" t="s">
        <v>38</v>
      </c>
      <c r="E177" s="3" t="s">
        <v>25</v>
      </c>
      <c r="F177" s="3" t="s">
        <v>60</v>
      </c>
      <c r="G177" s="3" t="s">
        <v>25</v>
      </c>
      <c r="H177" s="3" t="s">
        <v>34</v>
      </c>
      <c r="I177" s="6">
        <v>44562</v>
      </c>
      <c r="J177" s="4">
        <v>35029</v>
      </c>
      <c r="K177" s="4">
        <v>17537.04571527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3" t="s">
        <v>57</v>
      </c>
      <c r="R177" s="3">
        <v>0</v>
      </c>
      <c r="S177" s="3">
        <v>11</v>
      </c>
      <c r="T177" s="3">
        <v>0</v>
      </c>
      <c r="U177" s="3">
        <v>0</v>
      </c>
      <c r="V177" s="4">
        <f>IF(ISERROR(VLOOKUP($S$177,'TAR FIN'!$A$1:$O$113,15,0)),0,VLOOKUP($S$177,'TAR FIN'!$A$1:$O$113,15,0))</f>
        <v>62.23</v>
      </c>
      <c r="W177" s="4">
        <f>IF(ISERROR(VLOOKUP($T$177,'TAR FIN'!$A$1:$O$113,15,0)),0,VLOOKUP($T$177,'TAR FIN'!$A$1:$O$113,15,0))</f>
        <v>0</v>
      </c>
      <c r="X177" s="4">
        <f>IF(ISERROR(VLOOKUP($U$177,'TAR FIN'!$A$1:$O$113,15,0)),0,VLOOKUP($U$177,'TAR FIN'!$A$1:$O$113,15,0))</f>
        <v>0</v>
      </c>
      <c r="Y177" s="4">
        <f ca="1">('TUSD BE'!$AM$13+'TUSD BF'!$AM$13+'TUSD CVA'!$AM$13)*1</f>
        <v>73.082870326096639</v>
      </c>
      <c r="Z177" s="4">
        <f ca="1">('TUSD BE'!$AM$15+'TUSD BF'!$AM$15+'TUSD CVA'!$AM$15)*1</f>
        <v>65.007409626508434</v>
      </c>
      <c r="AA177" s="4"/>
      <c r="AB177" s="4">
        <f t="shared" si="10"/>
        <v>1088524.3151387479</v>
      </c>
      <c r="AC177" s="4">
        <f t="shared" si="11"/>
        <v>0</v>
      </c>
      <c r="AD177" s="4">
        <f t="shared" ca="1" si="12"/>
        <v>1278362.226740933</v>
      </c>
      <c r="AE177" s="4">
        <f t="shared" ca="1" si="13"/>
        <v>0</v>
      </c>
      <c r="AF177" s="3" t="s">
        <v>1022</v>
      </c>
    </row>
    <row r="178" spans="1:32" ht="11.25" customHeight="1" x14ac:dyDescent="0.25">
      <c r="A178" s="3" t="s">
        <v>21</v>
      </c>
      <c r="B178" s="3" t="s">
        <v>41</v>
      </c>
      <c r="C178" s="3" t="s">
        <v>40</v>
      </c>
      <c r="D178" s="3" t="s">
        <v>38</v>
      </c>
      <c r="E178" s="3" t="s">
        <v>25</v>
      </c>
      <c r="F178" s="3" t="s">
        <v>60</v>
      </c>
      <c r="G178" s="3" t="s">
        <v>25</v>
      </c>
      <c r="H178" s="3" t="s">
        <v>34</v>
      </c>
      <c r="I178" s="6">
        <v>44593</v>
      </c>
      <c r="J178" s="4">
        <v>34681</v>
      </c>
      <c r="K178" s="4">
        <v>17472.87703019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3" t="s">
        <v>57</v>
      </c>
      <c r="R178" s="3">
        <v>0</v>
      </c>
      <c r="S178" s="3">
        <v>11</v>
      </c>
      <c r="T178" s="3">
        <v>0</v>
      </c>
      <c r="U178" s="3">
        <v>0</v>
      </c>
      <c r="V178" s="4">
        <f>IF(ISERROR(VLOOKUP($S$178,'TAR FIN'!$A$1:$O$113,15,0)),0,VLOOKUP($S$178,'TAR FIN'!$A$1:$O$113,15,0))</f>
        <v>62.23</v>
      </c>
      <c r="W178" s="4">
        <f>IF(ISERROR(VLOOKUP($T$178,'TAR FIN'!$A$1:$O$113,15,0)),0,VLOOKUP($T$178,'TAR FIN'!$A$1:$O$113,15,0))</f>
        <v>0</v>
      </c>
      <c r="X178" s="4">
        <f>IF(ISERROR(VLOOKUP($U$178,'TAR FIN'!$A$1:$O$113,15,0)),0,VLOOKUP($U$178,'TAR FIN'!$A$1:$O$113,15,0))</f>
        <v>0</v>
      </c>
      <c r="Y178" s="4">
        <f ca="1">('TUSD BE'!$AM$13+'TUSD BF'!$AM$13+'TUSD CVA'!$AM$13)*1</f>
        <v>73.082870326096639</v>
      </c>
      <c r="Z178" s="4">
        <f ca="1">('TUSD BE'!$AM$15+'TUSD BF'!$AM$15+'TUSD CVA'!$AM$15)*1</f>
        <v>65.007409626508434</v>
      </c>
      <c r="AA178" s="4"/>
      <c r="AB178" s="4">
        <f t="shared" si="10"/>
        <v>1070861.4924112763</v>
      </c>
      <c r="AC178" s="4">
        <f t="shared" si="11"/>
        <v>0</v>
      </c>
      <c r="AD178" s="4">
        <f t="shared" ca="1" si="12"/>
        <v>1257619.0195581492</v>
      </c>
      <c r="AE178" s="4">
        <f t="shared" ca="1" si="13"/>
        <v>0</v>
      </c>
      <c r="AF178" s="3" t="s">
        <v>1022</v>
      </c>
    </row>
    <row r="179" spans="1:32" ht="11.25" customHeight="1" x14ac:dyDescent="0.25">
      <c r="A179" s="3" t="s">
        <v>56</v>
      </c>
      <c r="B179" s="3" t="s">
        <v>41</v>
      </c>
      <c r="C179" s="3" t="s">
        <v>40</v>
      </c>
      <c r="D179" s="3" t="s">
        <v>38</v>
      </c>
      <c r="E179" s="3" t="s">
        <v>25</v>
      </c>
      <c r="F179" s="3" t="s">
        <v>60</v>
      </c>
      <c r="G179" s="3" t="s">
        <v>25</v>
      </c>
      <c r="H179" s="3" t="s">
        <v>34</v>
      </c>
      <c r="I179" s="6">
        <v>44621</v>
      </c>
      <c r="J179" s="4">
        <v>34681</v>
      </c>
      <c r="K179" s="4">
        <v>17472.87703019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3" t="s">
        <v>57</v>
      </c>
      <c r="R179" s="3">
        <v>0</v>
      </c>
      <c r="S179" s="3">
        <v>11</v>
      </c>
      <c r="T179" s="3">
        <v>0</v>
      </c>
      <c r="U179" s="3">
        <v>0</v>
      </c>
      <c r="V179" s="4">
        <f>IF(ISERROR(VLOOKUP($S$179,'TAR FIN'!$A$1:$O$113,15,0)),0,VLOOKUP($S$179,'TAR FIN'!$A$1:$O$113,15,0))</f>
        <v>62.23</v>
      </c>
      <c r="W179" s="4">
        <f>IF(ISERROR(VLOOKUP($T$179,'TAR FIN'!$A$1:$O$113,15,0)),0,VLOOKUP($T$179,'TAR FIN'!$A$1:$O$113,15,0))</f>
        <v>0</v>
      </c>
      <c r="X179" s="4">
        <f>IF(ISERROR(VLOOKUP($U$179,'TAR FIN'!$A$1:$O$113,15,0)),0,VLOOKUP($U$179,'TAR FIN'!$A$1:$O$113,15,0))</f>
        <v>0</v>
      </c>
      <c r="Y179" s="4">
        <f ca="1">('TUSD BE'!$AM$13+'TUSD BF'!$AM$13+'TUSD CVA'!$AM$13)*1</f>
        <v>73.082870326096639</v>
      </c>
      <c r="Z179" s="4">
        <f ca="1">('TUSD BE'!$AM$15+'TUSD BF'!$AM$15+'TUSD CVA'!$AM$15)*1</f>
        <v>65.007409626508434</v>
      </c>
      <c r="AA179" s="4"/>
      <c r="AB179" s="4">
        <f t="shared" si="10"/>
        <v>1070861.4924112763</v>
      </c>
      <c r="AC179" s="4">
        <f t="shared" si="11"/>
        <v>0</v>
      </c>
      <c r="AD179" s="4">
        <f t="shared" ca="1" si="12"/>
        <v>1257619.0195581492</v>
      </c>
      <c r="AE179" s="4">
        <f t="shared" ca="1" si="13"/>
        <v>0</v>
      </c>
      <c r="AF179" s="3" t="s">
        <v>1022</v>
      </c>
    </row>
    <row r="180" spans="1:32" ht="11.25" customHeight="1" x14ac:dyDescent="0.25">
      <c r="A180" s="3" t="s">
        <v>21</v>
      </c>
      <c r="B180" s="3" t="s">
        <v>41</v>
      </c>
      <c r="C180" s="3" t="s">
        <v>40</v>
      </c>
      <c r="D180" s="3" t="s">
        <v>45</v>
      </c>
      <c r="E180" s="3" t="s">
        <v>25</v>
      </c>
      <c r="F180" s="3" t="s">
        <v>25</v>
      </c>
      <c r="G180" s="3" t="s">
        <v>25</v>
      </c>
      <c r="H180" s="3" t="s">
        <v>35</v>
      </c>
      <c r="I180" s="6">
        <v>44287</v>
      </c>
      <c r="J180" s="4">
        <v>910</v>
      </c>
      <c r="K180" s="56">
        <v>910</v>
      </c>
      <c r="L180" s="4">
        <v>325.13099999999997</v>
      </c>
      <c r="M180" s="56">
        <v>325.13099999999997</v>
      </c>
      <c r="N180" s="4">
        <v>325.13099999999997</v>
      </c>
      <c r="O180" s="56">
        <v>325.13099999999997</v>
      </c>
      <c r="P180" s="4">
        <v>0</v>
      </c>
      <c r="Q180" s="3" t="s">
        <v>26</v>
      </c>
      <c r="R180" s="3">
        <v>0</v>
      </c>
      <c r="S180" s="3">
        <v>12</v>
      </c>
      <c r="T180" s="3">
        <v>110</v>
      </c>
      <c r="U180" s="3">
        <v>89</v>
      </c>
      <c r="V180" s="56">
        <f>IF(ISERROR(VLOOKUP($S$180,'TAR FIN'!$A$1:$O$113,15,0)),0,VLOOKUP($S$180,'TAR FIN'!$A$1:$O$113,15,0))*(1-0.04)</f>
        <v>23.337599999999998</v>
      </c>
      <c r="W180" s="56">
        <f>IF(ISERROR(VLOOKUP($T$180,'TAR FIN'!$A$1:$O$113,15,0)),0,VLOOKUP($T$180,'TAR FIN'!$A$1:$O$113,15,0))*(1-0.04)</f>
        <v>49.219200000000001</v>
      </c>
      <c r="X180" s="56">
        <f>IF(ISERROR(VLOOKUP($U$180,'TAR FIN'!$A$1:$O$113,15,0)),0,VLOOKUP($U$180,'TAR FIN'!$A$1:$O$113,15,0))*(1-0.04)</f>
        <v>213.41759999999999</v>
      </c>
      <c r="Y180" s="56">
        <f ca="1">('TUSD BE'!$AM$14+'TUSD BF'!$AM$14+'TUSD CVA'!$AM$14)*1*(1-0.02)</f>
        <v>26.066113153707715</v>
      </c>
      <c r="Z180" s="56">
        <f ca="1">('TUSD BE'!$AM$15+'TUSD BF'!$AM$15+'TUSD CVA'!$AM$15)*1*(1-0.02)</f>
        <v>63.70726143397826</v>
      </c>
      <c r="AA180" s="56">
        <f>('TE BE'!$AA$11+'TE BF'!$AA$11+'TE CVA'!$AA$11)*1*(1-0.02)</f>
        <v>218.68270575803808</v>
      </c>
      <c r="AB180" s="56">
        <f>(SUBSIDIO!$J$180*SUBSIDIO!$V$180)*(0.04)/(1-0.04)</f>
        <v>884.8839999999999</v>
      </c>
      <c r="AC180" s="56">
        <f>((SUBSIDIO!$L$180*SUBSIDIO!$W$180)+(SUBSIDIO!$N$180*SUBSIDIO!$X$180))*(0.04)/(1-0.04)</f>
        <v>3557.9735591999993</v>
      </c>
      <c r="AD180" s="56">
        <f ca="1">(SUBSIDIO!$J$180*SUBSIDIO!$Y$180)*(0.02)/(1-0.02)</f>
        <v>484.08495856885759</v>
      </c>
      <c r="AE180" s="56">
        <f ca="1">((SUBSIDIO!$L$180*SUBSIDIO!$Z$180)+(SUBSIDIO!$N$180*SUBSIDIO!$AA$180))*(0.02)/(1-0.02)</f>
        <v>1873.7496412879075</v>
      </c>
      <c r="AF180" s="3" t="s">
        <v>1023</v>
      </c>
    </row>
    <row r="181" spans="1:32" ht="11.25" customHeight="1" x14ac:dyDescent="0.25">
      <c r="A181" s="3" t="s">
        <v>21</v>
      </c>
      <c r="B181" s="3" t="s">
        <v>41</v>
      </c>
      <c r="C181" s="3" t="s">
        <v>40</v>
      </c>
      <c r="D181" s="3" t="s">
        <v>45</v>
      </c>
      <c r="E181" s="3" t="s">
        <v>25</v>
      </c>
      <c r="F181" s="3" t="s">
        <v>25</v>
      </c>
      <c r="G181" s="3" t="s">
        <v>25</v>
      </c>
      <c r="H181" s="3" t="s">
        <v>35</v>
      </c>
      <c r="I181" s="6">
        <v>44317</v>
      </c>
      <c r="J181" s="4">
        <v>866</v>
      </c>
      <c r="K181" s="56">
        <v>866</v>
      </c>
      <c r="L181" s="4">
        <v>329.81200000000001</v>
      </c>
      <c r="M181" s="56">
        <v>329.81200000000001</v>
      </c>
      <c r="N181" s="4">
        <v>329.81200000000001</v>
      </c>
      <c r="O181" s="56">
        <v>329.81200000000001</v>
      </c>
      <c r="P181" s="4">
        <v>0</v>
      </c>
      <c r="Q181" s="3" t="s">
        <v>26</v>
      </c>
      <c r="R181" s="3">
        <v>0</v>
      </c>
      <c r="S181" s="3">
        <v>12</v>
      </c>
      <c r="T181" s="3">
        <v>110</v>
      </c>
      <c r="U181" s="3">
        <v>89</v>
      </c>
      <c r="V181" s="56">
        <f>IF(ISERROR(VLOOKUP($S$181,'TAR FIN'!$A$1:$O$113,15,0)),0,VLOOKUP($S$181,'TAR FIN'!$A$1:$O$113,15,0))*(1-0.04)</f>
        <v>23.337599999999998</v>
      </c>
      <c r="W181" s="56">
        <f>IF(ISERROR(VLOOKUP($T$181,'TAR FIN'!$A$1:$O$113,15,0)),0,VLOOKUP($T$181,'TAR FIN'!$A$1:$O$113,15,0))*(1-0.04)</f>
        <v>49.219200000000001</v>
      </c>
      <c r="X181" s="56">
        <f>IF(ISERROR(VLOOKUP($U$181,'TAR FIN'!$A$1:$O$113,15,0)),0,VLOOKUP($U$181,'TAR FIN'!$A$1:$O$113,15,0))*(1-0.04)</f>
        <v>213.41759999999999</v>
      </c>
      <c r="Y181" s="56">
        <f ca="1">('TUSD BE'!$AM$14+'TUSD BF'!$AM$14+'TUSD CVA'!$AM$14)*1*(1-0.02)</f>
        <v>26.066113153707715</v>
      </c>
      <c r="Z181" s="56">
        <f ca="1">('TUSD BE'!$AM$15+'TUSD BF'!$AM$15+'TUSD CVA'!$AM$15)*1*(1-0.02)</f>
        <v>63.70726143397826</v>
      </c>
      <c r="AA181" s="56">
        <f>('TE BE'!$AA$11+'TE BF'!$AA$11+'TE CVA'!$AA$11)*1*(1-0.02)</f>
        <v>218.68270575803808</v>
      </c>
      <c r="AB181" s="56">
        <f>(SUBSIDIO!$J$181*SUBSIDIO!$V$181)*(0.04)/(1-0.04)</f>
        <v>842.09840000000008</v>
      </c>
      <c r="AC181" s="56">
        <f>((SUBSIDIO!$L$181*SUBSIDIO!$W$181)+(SUBSIDIO!$N$181*SUBSIDIO!$X$181))*(0.04)/(1-0.04)</f>
        <v>3609.1986784000001</v>
      </c>
      <c r="AD181" s="56">
        <f ca="1">(SUBSIDIO!$J$181*SUBSIDIO!$Y$181)*(0.02)/(1-0.02)</f>
        <v>460.67865287981391</v>
      </c>
      <c r="AE181" s="56">
        <f ca="1">((SUBSIDIO!$L$181*SUBSIDIO!$Z$181)+(SUBSIDIO!$N$181*SUBSIDIO!$AA$181))*(0.02)/(1-0.02)</f>
        <v>1900.7265277455774</v>
      </c>
      <c r="AF181" s="3" t="s">
        <v>1023</v>
      </c>
    </row>
    <row r="182" spans="1:32" ht="11.25" customHeight="1" x14ac:dyDescent="0.25">
      <c r="A182" s="3" t="s">
        <v>21</v>
      </c>
      <c r="B182" s="3" t="s">
        <v>41</v>
      </c>
      <c r="C182" s="3" t="s">
        <v>40</v>
      </c>
      <c r="D182" s="3" t="s">
        <v>45</v>
      </c>
      <c r="E182" s="3" t="s">
        <v>25</v>
      </c>
      <c r="F182" s="3" t="s">
        <v>25</v>
      </c>
      <c r="G182" s="3" t="s">
        <v>25</v>
      </c>
      <c r="H182" s="3" t="s">
        <v>35</v>
      </c>
      <c r="I182" s="6">
        <v>44348</v>
      </c>
      <c r="J182" s="4">
        <v>841</v>
      </c>
      <c r="K182" s="56">
        <v>841</v>
      </c>
      <c r="L182" s="4">
        <v>321.48399999999998</v>
      </c>
      <c r="M182" s="56">
        <v>321.48399999999998</v>
      </c>
      <c r="N182" s="4">
        <v>321.48399999999998</v>
      </c>
      <c r="O182" s="56">
        <v>321.48399999999998</v>
      </c>
      <c r="P182" s="4">
        <v>0</v>
      </c>
      <c r="Q182" s="3" t="s">
        <v>26</v>
      </c>
      <c r="R182" s="3">
        <v>0</v>
      </c>
      <c r="S182" s="3">
        <v>12</v>
      </c>
      <c r="T182" s="3">
        <v>110</v>
      </c>
      <c r="U182" s="3">
        <v>89</v>
      </c>
      <c r="V182" s="56">
        <f>IF(ISERROR(VLOOKUP($S$182,'TAR FIN'!$A$1:$O$113,15,0)),0,VLOOKUP($S$182,'TAR FIN'!$A$1:$O$113,15,0))*(1-0.04)</f>
        <v>23.337599999999998</v>
      </c>
      <c r="W182" s="56">
        <f>IF(ISERROR(VLOOKUP($T$182,'TAR FIN'!$A$1:$O$113,15,0)),0,VLOOKUP($T$182,'TAR FIN'!$A$1:$O$113,15,0))*(1-0.04)</f>
        <v>49.219200000000001</v>
      </c>
      <c r="X182" s="56">
        <f>IF(ISERROR(VLOOKUP($U$182,'TAR FIN'!$A$1:$O$113,15,0)),0,VLOOKUP($U$182,'TAR FIN'!$A$1:$O$113,15,0))*(1-0.04)</f>
        <v>213.41759999999999</v>
      </c>
      <c r="Y182" s="56">
        <f ca="1">('TUSD BE'!$AM$14+'TUSD BF'!$AM$14+'TUSD CVA'!$AM$14)*1*(1-0.02)</f>
        <v>26.066113153707715</v>
      </c>
      <c r="Z182" s="56">
        <f ca="1">('TUSD BE'!$AM$15+'TUSD BF'!$AM$15+'TUSD CVA'!$AM$15)*1*(1-0.02)</f>
        <v>63.70726143397826</v>
      </c>
      <c r="AA182" s="56">
        <f>('TE BE'!$AA$11+'TE BF'!$AA$11+'TE CVA'!$AA$11)*1*(1-0.02)</f>
        <v>218.68270575803808</v>
      </c>
      <c r="AB182" s="56">
        <f>(SUBSIDIO!$J$182*SUBSIDIO!$V$182)*(0.04)/(1-0.04)</f>
        <v>817.78839999999991</v>
      </c>
      <c r="AC182" s="56">
        <f>((SUBSIDIO!$L$182*SUBSIDIO!$W$182)+(SUBSIDIO!$N$182*SUBSIDIO!$X$182))*(0.04)/(1-0.04)</f>
        <v>3518.0637087999999</v>
      </c>
      <c r="AD182" s="56">
        <f ca="1">(SUBSIDIO!$J$182*SUBSIDIO!$Y$182)*(0.02)/(1-0.02)</f>
        <v>447.37961555649366</v>
      </c>
      <c r="AE182" s="56">
        <f ca="1">((SUBSIDIO!$L$182*SUBSIDIO!$Z$182)+(SUBSIDIO!$N$182*SUBSIDIO!$AA$182))*(0.02)/(1-0.02)</f>
        <v>1852.7317594440447</v>
      </c>
      <c r="AF182" s="3" t="s">
        <v>1023</v>
      </c>
    </row>
    <row r="183" spans="1:32" ht="11.25" customHeight="1" x14ac:dyDescent="0.25">
      <c r="A183" s="3" t="s">
        <v>21</v>
      </c>
      <c r="B183" s="3" t="s">
        <v>41</v>
      </c>
      <c r="C183" s="3" t="s">
        <v>40</v>
      </c>
      <c r="D183" s="3" t="s">
        <v>45</v>
      </c>
      <c r="E183" s="3" t="s">
        <v>25</v>
      </c>
      <c r="F183" s="3" t="s">
        <v>25</v>
      </c>
      <c r="G183" s="3" t="s">
        <v>25</v>
      </c>
      <c r="H183" s="3" t="s">
        <v>35</v>
      </c>
      <c r="I183" s="6">
        <v>44378</v>
      </c>
      <c r="J183" s="4">
        <v>873</v>
      </c>
      <c r="K183" s="56">
        <v>873</v>
      </c>
      <c r="L183" s="4">
        <v>313.298</v>
      </c>
      <c r="M183" s="56">
        <v>313.298</v>
      </c>
      <c r="N183" s="4">
        <v>313.298</v>
      </c>
      <c r="O183" s="56">
        <v>313.298</v>
      </c>
      <c r="P183" s="4">
        <v>0</v>
      </c>
      <c r="Q183" s="3" t="s">
        <v>26</v>
      </c>
      <c r="R183" s="3">
        <v>0</v>
      </c>
      <c r="S183" s="3">
        <v>12</v>
      </c>
      <c r="T183" s="3">
        <v>110</v>
      </c>
      <c r="U183" s="3">
        <v>89</v>
      </c>
      <c r="V183" s="56">
        <f>IF(ISERROR(VLOOKUP($S$183,'TAR FIN'!$A$1:$O$113,15,0)),0,VLOOKUP($S$183,'TAR FIN'!$A$1:$O$113,15,0))*(1-0.04)</f>
        <v>23.337599999999998</v>
      </c>
      <c r="W183" s="56">
        <f>IF(ISERROR(VLOOKUP($T$183,'TAR FIN'!$A$1:$O$113,15,0)),0,VLOOKUP($T$183,'TAR FIN'!$A$1:$O$113,15,0))*(1-0.04)</f>
        <v>49.219200000000001</v>
      </c>
      <c r="X183" s="56">
        <f>IF(ISERROR(VLOOKUP($U$183,'TAR FIN'!$A$1:$O$113,15,0)),0,VLOOKUP($U$183,'TAR FIN'!$A$1:$O$113,15,0))*(1-0.04)</f>
        <v>213.41759999999999</v>
      </c>
      <c r="Y183" s="56">
        <f ca="1">('TUSD BE'!$AM$14+'TUSD BF'!$AM$14+'TUSD CVA'!$AM$14)*1*(1-0.02)</f>
        <v>26.066113153707715</v>
      </c>
      <c r="Z183" s="56">
        <f ca="1">('TUSD BE'!$AM$15+'TUSD BF'!$AM$15+'TUSD CVA'!$AM$15)*1*(1-0.02)</f>
        <v>63.70726143397826</v>
      </c>
      <c r="AA183" s="56">
        <f>('TE BE'!$AA$11+'TE BF'!$AA$11+'TE CVA'!$AA$11)*1*(1-0.02)</f>
        <v>218.68270575803808</v>
      </c>
      <c r="AB183" s="56">
        <f>(SUBSIDIO!$J$183*SUBSIDIO!$V$183)*(0.04)/(1-0.04)</f>
        <v>848.90520000000004</v>
      </c>
      <c r="AC183" s="56">
        <f>((SUBSIDIO!$L$183*SUBSIDIO!$W$183)+(SUBSIDIO!$N$183*SUBSIDIO!$X$183))*(0.04)/(1-0.04)</f>
        <v>3428.4826736000005</v>
      </c>
      <c r="AD183" s="56">
        <f ca="1">(SUBSIDIO!$J$183*SUBSIDIO!$Y$183)*(0.02)/(1-0.02)</f>
        <v>464.40238333034358</v>
      </c>
      <c r="AE183" s="56">
        <f ca="1">((SUBSIDIO!$L$183*SUBSIDIO!$Z$183)+(SUBSIDIO!$N$183*SUBSIDIO!$AA$183))*(0.02)/(1-0.02)</f>
        <v>1805.5553457413132</v>
      </c>
      <c r="AF183" s="3" t="s">
        <v>1023</v>
      </c>
    </row>
    <row r="184" spans="1:32" ht="11.25" customHeight="1" x14ac:dyDescent="0.25">
      <c r="A184" s="3" t="s">
        <v>21</v>
      </c>
      <c r="B184" s="3" t="s">
        <v>41</v>
      </c>
      <c r="C184" s="3" t="s">
        <v>40</v>
      </c>
      <c r="D184" s="3" t="s">
        <v>45</v>
      </c>
      <c r="E184" s="3" t="s">
        <v>25</v>
      </c>
      <c r="F184" s="3" t="s">
        <v>25</v>
      </c>
      <c r="G184" s="3" t="s">
        <v>25</v>
      </c>
      <c r="H184" s="3" t="s">
        <v>35</v>
      </c>
      <c r="I184" s="6">
        <v>44409</v>
      </c>
      <c r="J184" s="4">
        <v>908</v>
      </c>
      <c r="K184" s="56">
        <v>908</v>
      </c>
      <c r="L184" s="4">
        <v>378.125</v>
      </c>
      <c r="M184" s="56">
        <v>378.125</v>
      </c>
      <c r="N184" s="4">
        <v>378.125</v>
      </c>
      <c r="O184" s="56">
        <v>378.125</v>
      </c>
      <c r="P184" s="4">
        <v>0</v>
      </c>
      <c r="Q184" s="3" t="s">
        <v>26</v>
      </c>
      <c r="R184" s="3">
        <v>0</v>
      </c>
      <c r="S184" s="3">
        <v>12</v>
      </c>
      <c r="T184" s="3">
        <v>110</v>
      </c>
      <c r="U184" s="3">
        <v>89</v>
      </c>
      <c r="V184" s="56">
        <f>IF(ISERROR(VLOOKUP($S$184,'TAR FIN'!$A$1:$O$113,15,0)),0,VLOOKUP($S$184,'TAR FIN'!$A$1:$O$113,15,0))*(1-0.04)</f>
        <v>23.337599999999998</v>
      </c>
      <c r="W184" s="56">
        <f>IF(ISERROR(VLOOKUP($T$184,'TAR FIN'!$A$1:$O$113,15,0)),0,VLOOKUP($T$184,'TAR FIN'!$A$1:$O$113,15,0))*(1-0.04)</f>
        <v>49.219200000000001</v>
      </c>
      <c r="X184" s="56">
        <f>IF(ISERROR(VLOOKUP($U$184,'TAR FIN'!$A$1:$O$113,15,0)),0,VLOOKUP($U$184,'TAR FIN'!$A$1:$O$113,15,0))*(1-0.04)</f>
        <v>213.41759999999999</v>
      </c>
      <c r="Y184" s="56">
        <f ca="1">('TUSD BE'!$AM$14+'TUSD BF'!$AM$14+'TUSD CVA'!$AM$14)*1*(1-0.02)</f>
        <v>26.066113153707715</v>
      </c>
      <c r="Z184" s="56">
        <f ca="1">('TUSD BE'!$AM$15+'TUSD BF'!$AM$15+'TUSD CVA'!$AM$15)*1*(1-0.02)</f>
        <v>63.70726143397826</v>
      </c>
      <c r="AA184" s="56">
        <f>('TE BE'!$AA$11+'TE BF'!$AA$11+'TE CVA'!$AA$11)*1*(1-0.02)</f>
        <v>218.68270575803808</v>
      </c>
      <c r="AB184" s="56">
        <f>(SUBSIDIO!$J$184*SUBSIDIO!$V$184)*(0.04)/(1-0.04)</f>
        <v>882.93920000000003</v>
      </c>
      <c r="AC184" s="56">
        <f>((SUBSIDIO!$L$184*SUBSIDIO!$W$184)+(SUBSIDIO!$N$184*SUBSIDIO!$X$184))*(0.04)/(1-0.04)</f>
        <v>4137.8975000000009</v>
      </c>
      <c r="AD184" s="56">
        <f ca="1">(SUBSIDIO!$J$184*SUBSIDIO!$Y$184)*(0.02)/(1-0.02)</f>
        <v>483.02103558299194</v>
      </c>
      <c r="AE184" s="56">
        <f ca="1">((SUBSIDIO!$L$184*SUBSIDIO!$Z$184)+(SUBSIDIO!$N$184*SUBSIDIO!$AA$184))*(0.02)/(1-0.02)</f>
        <v>2179.1572723363506</v>
      </c>
      <c r="AF184" s="3" t="s">
        <v>1023</v>
      </c>
    </row>
    <row r="185" spans="1:32" ht="11.25" customHeight="1" x14ac:dyDescent="0.25">
      <c r="A185" s="3" t="s">
        <v>21</v>
      </c>
      <c r="B185" s="3" t="s">
        <v>41</v>
      </c>
      <c r="C185" s="3" t="s">
        <v>40</v>
      </c>
      <c r="D185" s="3" t="s">
        <v>45</v>
      </c>
      <c r="E185" s="3" t="s">
        <v>25</v>
      </c>
      <c r="F185" s="3" t="s">
        <v>25</v>
      </c>
      <c r="G185" s="3" t="s">
        <v>25</v>
      </c>
      <c r="H185" s="3" t="s">
        <v>35</v>
      </c>
      <c r="I185" s="6">
        <v>44440</v>
      </c>
      <c r="J185" s="4">
        <v>930</v>
      </c>
      <c r="K185" s="56">
        <v>930</v>
      </c>
      <c r="L185" s="4">
        <v>414.2</v>
      </c>
      <c r="M185" s="56">
        <v>414.2</v>
      </c>
      <c r="N185" s="4">
        <v>414.2</v>
      </c>
      <c r="O185" s="56">
        <v>414.2</v>
      </c>
      <c r="P185" s="4">
        <v>0</v>
      </c>
      <c r="Q185" s="3" t="s">
        <v>26</v>
      </c>
      <c r="R185" s="3">
        <v>0</v>
      </c>
      <c r="S185" s="3">
        <v>12</v>
      </c>
      <c r="T185" s="3">
        <v>110</v>
      </c>
      <c r="U185" s="3">
        <v>89</v>
      </c>
      <c r="V185" s="56">
        <f>IF(ISERROR(VLOOKUP($S$185,'TAR FIN'!$A$1:$O$113,15,0)),0,VLOOKUP($S$185,'TAR FIN'!$A$1:$O$113,15,0))*(1-0.04)</f>
        <v>23.337599999999998</v>
      </c>
      <c r="W185" s="56">
        <f>IF(ISERROR(VLOOKUP($T$185,'TAR FIN'!$A$1:$O$113,15,0)),0,VLOOKUP($T$185,'TAR FIN'!$A$1:$O$113,15,0))*(1-0.04)</f>
        <v>49.219200000000001</v>
      </c>
      <c r="X185" s="56">
        <f>IF(ISERROR(VLOOKUP($U$185,'TAR FIN'!$A$1:$O$113,15,0)),0,VLOOKUP($U$185,'TAR FIN'!$A$1:$O$113,15,0))*(1-0.04)</f>
        <v>213.41759999999999</v>
      </c>
      <c r="Y185" s="56">
        <f ca="1">('TUSD BE'!$AM$14+'TUSD BF'!$AM$14+'TUSD CVA'!$AM$14)*1*(1-0.02)</f>
        <v>26.066113153707715</v>
      </c>
      <c r="Z185" s="56">
        <f ca="1">('TUSD BE'!$AM$15+'TUSD BF'!$AM$15+'TUSD CVA'!$AM$15)*1*(1-0.02)</f>
        <v>63.70726143397826</v>
      </c>
      <c r="AA185" s="56">
        <f>('TE BE'!$AA$11+'TE BF'!$AA$11+'TE CVA'!$AA$11)*1*(1-0.02)</f>
        <v>218.68270575803808</v>
      </c>
      <c r="AB185" s="56">
        <f>(SUBSIDIO!$J$185*SUBSIDIO!$V$185)*(0.04)/(1-0.04)</f>
        <v>904.33199999999988</v>
      </c>
      <c r="AC185" s="56">
        <f>((SUBSIDIO!$L$185*SUBSIDIO!$W$185)+(SUBSIDIO!$N$185*SUBSIDIO!$X$185))*(0.04)/(1-0.04)</f>
        <v>4532.6734400000005</v>
      </c>
      <c r="AD185" s="56">
        <f ca="1">(SUBSIDIO!$J$185*SUBSIDIO!$Y$185)*(0.02)/(1-0.02)</f>
        <v>494.72418842751381</v>
      </c>
      <c r="AE185" s="56">
        <f ca="1">((SUBSIDIO!$L$185*SUBSIDIO!$Z$185)+(SUBSIDIO!$N$185*SUBSIDIO!$AA$185))*(0.02)/(1-0.02)</f>
        <v>2387.0596818557788</v>
      </c>
      <c r="AF185" s="3" t="s">
        <v>1023</v>
      </c>
    </row>
    <row r="186" spans="1:32" ht="11.25" customHeight="1" x14ac:dyDescent="0.25">
      <c r="A186" s="3" t="s">
        <v>21</v>
      </c>
      <c r="B186" s="3" t="s">
        <v>41</v>
      </c>
      <c r="C186" s="3" t="s">
        <v>40</v>
      </c>
      <c r="D186" s="3" t="s">
        <v>45</v>
      </c>
      <c r="E186" s="3" t="s">
        <v>25</v>
      </c>
      <c r="F186" s="3" t="s">
        <v>25</v>
      </c>
      <c r="G186" s="3" t="s">
        <v>25</v>
      </c>
      <c r="H186" s="3" t="s">
        <v>35</v>
      </c>
      <c r="I186" s="6">
        <v>44470</v>
      </c>
      <c r="J186" s="4">
        <v>960</v>
      </c>
      <c r="K186" s="56">
        <v>960</v>
      </c>
      <c r="L186" s="4">
        <v>381.40600000000001</v>
      </c>
      <c r="M186" s="56">
        <v>381.40600000000001</v>
      </c>
      <c r="N186" s="4">
        <v>381.40600000000001</v>
      </c>
      <c r="O186" s="56">
        <v>381.40600000000001</v>
      </c>
      <c r="P186" s="4">
        <v>0</v>
      </c>
      <c r="Q186" s="3" t="s">
        <v>26</v>
      </c>
      <c r="R186" s="3">
        <v>0</v>
      </c>
      <c r="S186" s="3">
        <v>12</v>
      </c>
      <c r="T186" s="3">
        <v>110</v>
      </c>
      <c r="U186" s="3">
        <v>89</v>
      </c>
      <c r="V186" s="56">
        <f>IF(ISERROR(VLOOKUP($S$186,'TAR FIN'!$A$1:$O$113,15,0)),0,VLOOKUP($S$186,'TAR FIN'!$A$1:$O$113,15,0))*(1-0.04)</f>
        <v>23.337599999999998</v>
      </c>
      <c r="W186" s="56">
        <f>IF(ISERROR(VLOOKUP($T$186,'TAR FIN'!$A$1:$O$113,15,0)),0,VLOOKUP($T$186,'TAR FIN'!$A$1:$O$113,15,0))*(1-0.04)</f>
        <v>49.219200000000001</v>
      </c>
      <c r="X186" s="56">
        <f>IF(ISERROR(VLOOKUP($U$186,'TAR FIN'!$A$1:$O$113,15,0)),0,VLOOKUP($U$186,'TAR FIN'!$A$1:$O$113,15,0))*(1-0.04)</f>
        <v>213.41759999999999</v>
      </c>
      <c r="Y186" s="56">
        <f ca="1">('TUSD BE'!$AM$14+'TUSD BF'!$AM$14+'TUSD CVA'!$AM$14)*1*(1-0.02)</f>
        <v>26.066113153707715</v>
      </c>
      <c r="Z186" s="56">
        <f ca="1">('TUSD BE'!$AM$15+'TUSD BF'!$AM$15+'TUSD CVA'!$AM$15)*1*(1-0.02)</f>
        <v>63.70726143397826</v>
      </c>
      <c r="AA186" s="56">
        <f>('TE BE'!$AA$11+'TE BF'!$AA$11+'TE CVA'!$AA$11)*1*(1-0.02)</f>
        <v>218.68270575803808</v>
      </c>
      <c r="AB186" s="56">
        <f>(SUBSIDIO!$J$186*SUBSIDIO!$V$186)*(0.04)/(1-0.04)</f>
        <v>933.50400000000002</v>
      </c>
      <c r="AC186" s="56">
        <f>((SUBSIDIO!$L$186*SUBSIDIO!$W$186)+(SUBSIDIO!$N$186*SUBSIDIO!$X$186))*(0.04)/(1-0.04)</f>
        <v>4173.8021392000001</v>
      </c>
      <c r="AD186" s="56">
        <f ca="1">(SUBSIDIO!$J$186*SUBSIDIO!$Y$186)*(0.02)/(1-0.02)</f>
        <v>510.68303321549814</v>
      </c>
      <c r="AE186" s="56">
        <f ca="1">((SUBSIDIO!$L$186*SUBSIDIO!$Z$186)+(SUBSIDIO!$N$186*SUBSIDIO!$AA$186))*(0.02)/(1-0.02)</f>
        <v>2198.0658740171057</v>
      </c>
      <c r="AF186" s="3" t="s">
        <v>1023</v>
      </c>
    </row>
    <row r="187" spans="1:32" ht="11.25" customHeight="1" x14ac:dyDescent="0.25">
      <c r="A187" s="3" t="s">
        <v>21</v>
      </c>
      <c r="B187" s="3" t="s">
        <v>41</v>
      </c>
      <c r="C187" s="3" t="s">
        <v>40</v>
      </c>
      <c r="D187" s="3" t="s">
        <v>45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44501</v>
      </c>
      <c r="J187" s="4">
        <v>966</v>
      </c>
      <c r="K187" s="56">
        <v>966</v>
      </c>
      <c r="L187" s="4">
        <v>365.46499999999997</v>
      </c>
      <c r="M187" s="56">
        <v>365.46499999999997</v>
      </c>
      <c r="N187" s="4">
        <v>365.46499999999997</v>
      </c>
      <c r="O187" s="56">
        <v>365.46499999999997</v>
      </c>
      <c r="P187" s="4">
        <v>0</v>
      </c>
      <c r="Q187" s="3" t="s">
        <v>26</v>
      </c>
      <c r="R187" s="3">
        <v>0</v>
      </c>
      <c r="S187" s="3">
        <v>12</v>
      </c>
      <c r="T187" s="3">
        <v>110</v>
      </c>
      <c r="U187" s="3">
        <v>89</v>
      </c>
      <c r="V187" s="56">
        <f>IF(ISERROR(VLOOKUP($S$187,'TAR FIN'!$A$1:$O$113,15,0)),0,VLOOKUP($S$187,'TAR FIN'!$A$1:$O$113,15,0))*(1-0.04)</f>
        <v>23.337599999999998</v>
      </c>
      <c r="W187" s="56">
        <f>IF(ISERROR(VLOOKUP($T$187,'TAR FIN'!$A$1:$O$113,15,0)),0,VLOOKUP($T$187,'TAR FIN'!$A$1:$O$113,15,0))*(1-0.04)</f>
        <v>49.219200000000001</v>
      </c>
      <c r="X187" s="56">
        <f>IF(ISERROR(VLOOKUP($U$187,'TAR FIN'!$A$1:$O$113,15,0)),0,VLOOKUP($U$187,'TAR FIN'!$A$1:$O$113,15,0))*(1-0.04)</f>
        <v>213.41759999999999</v>
      </c>
      <c r="Y187" s="56">
        <f ca="1">('TUSD BE'!$AM$14+'TUSD BF'!$AM$14+'TUSD CVA'!$AM$14)*1*(1-0.02)</f>
        <v>26.066113153707715</v>
      </c>
      <c r="Z187" s="56">
        <f ca="1">('TUSD BE'!$AM$15+'TUSD BF'!$AM$15+'TUSD CVA'!$AM$15)*1*(1-0.02)</f>
        <v>63.70726143397826</v>
      </c>
      <c r="AA187" s="56">
        <f>('TE BE'!$AA$11+'TE BF'!$AA$11+'TE CVA'!$AA$11)*1*(1-0.02)</f>
        <v>218.68270575803808</v>
      </c>
      <c r="AB187" s="56">
        <f>(SUBSIDIO!$J$187*SUBSIDIO!$V$187)*(0.04)/(1-0.04)</f>
        <v>939.33839999999998</v>
      </c>
      <c r="AC187" s="56">
        <f>((SUBSIDIO!$L$187*SUBSIDIO!$W$187)+(SUBSIDIO!$N$187*SUBSIDIO!$X$187))*(0.04)/(1-0.04)</f>
        <v>3999.3565879999996</v>
      </c>
      <c r="AD187" s="56">
        <f ca="1">(SUBSIDIO!$J$187*SUBSIDIO!$Y$187)*(0.02)/(1-0.02)</f>
        <v>513.87480217309496</v>
      </c>
      <c r="AE187" s="56">
        <f ca="1">((SUBSIDIO!$L$187*SUBSIDIO!$Z$187)+(SUBSIDIO!$N$187*SUBSIDIO!$AA$187))*(0.02)/(1-0.02)</f>
        <v>2106.1969257108217</v>
      </c>
      <c r="AF187" s="3" t="s">
        <v>1023</v>
      </c>
    </row>
    <row r="188" spans="1:32" ht="11.25" customHeight="1" x14ac:dyDescent="0.25">
      <c r="A188" s="3" t="s">
        <v>21</v>
      </c>
      <c r="B188" s="3" t="s">
        <v>41</v>
      </c>
      <c r="C188" s="3" t="s">
        <v>40</v>
      </c>
      <c r="D188" s="3" t="s">
        <v>45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44531</v>
      </c>
      <c r="J188" s="4">
        <v>894</v>
      </c>
      <c r="K188" s="56">
        <v>894</v>
      </c>
      <c r="L188" s="4">
        <v>399.55</v>
      </c>
      <c r="M188" s="56">
        <v>399.55</v>
      </c>
      <c r="N188" s="4">
        <v>399.55</v>
      </c>
      <c r="O188" s="56">
        <v>399.55</v>
      </c>
      <c r="P188" s="4">
        <v>0</v>
      </c>
      <c r="Q188" s="3" t="s">
        <v>26</v>
      </c>
      <c r="R188" s="3">
        <v>0</v>
      </c>
      <c r="S188" s="3">
        <v>12</v>
      </c>
      <c r="T188" s="3">
        <v>110</v>
      </c>
      <c r="U188" s="3">
        <v>89</v>
      </c>
      <c r="V188" s="56">
        <f>IF(ISERROR(VLOOKUP($S$188,'TAR FIN'!$A$1:$O$113,15,0)),0,VLOOKUP($S$188,'TAR FIN'!$A$1:$O$113,15,0))*(1-0.04)</f>
        <v>23.337599999999998</v>
      </c>
      <c r="W188" s="56">
        <f>IF(ISERROR(VLOOKUP($T$188,'TAR FIN'!$A$1:$O$113,15,0)),0,VLOOKUP($T$188,'TAR FIN'!$A$1:$O$113,15,0))*(1-0.04)</f>
        <v>49.219200000000001</v>
      </c>
      <c r="X188" s="56">
        <f>IF(ISERROR(VLOOKUP($U$188,'TAR FIN'!$A$1:$O$113,15,0)),0,VLOOKUP($U$188,'TAR FIN'!$A$1:$O$113,15,0))*(1-0.04)</f>
        <v>213.41759999999999</v>
      </c>
      <c r="Y188" s="56">
        <f ca="1">('TUSD BE'!$AM$14+'TUSD BF'!$AM$14+'TUSD CVA'!$AM$14)*1*(1-0.02)</f>
        <v>26.066113153707715</v>
      </c>
      <c r="Z188" s="56">
        <f ca="1">('TUSD BE'!$AM$15+'TUSD BF'!$AM$15+'TUSD CVA'!$AM$15)*1*(1-0.02)</f>
        <v>63.70726143397826</v>
      </c>
      <c r="AA188" s="56">
        <f>('TE BE'!$AA$11+'TE BF'!$AA$11+'TE CVA'!$AA$11)*1*(1-0.02)</f>
        <v>218.68270575803808</v>
      </c>
      <c r="AB188" s="56">
        <f>(SUBSIDIO!$J$188*SUBSIDIO!$V$188)*(0.04)/(1-0.04)</f>
        <v>869.32560000000012</v>
      </c>
      <c r="AC188" s="56">
        <f>((SUBSIDIO!$L$188*SUBSIDIO!$W$188)+(SUBSIDIO!$N$188*SUBSIDIO!$X$188))*(0.04)/(1-0.04)</f>
        <v>4372.35556</v>
      </c>
      <c r="AD188" s="56">
        <f ca="1">(SUBSIDIO!$J$188*SUBSIDIO!$Y$188)*(0.02)/(1-0.02)</f>
        <v>475.5735746819326</v>
      </c>
      <c r="AE188" s="56">
        <f ca="1">((SUBSIDIO!$L$188*SUBSIDIO!$Z$188)+(SUBSIDIO!$N$188*SUBSIDIO!$AA$188))*(0.02)/(1-0.02)</f>
        <v>2302.6308447259212</v>
      </c>
      <c r="AF188" s="3" t="s">
        <v>1023</v>
      </c>
    </row>
    <row r="189" spans="1:32" ht="11.25" customHeight="1" x14ac:dyDescent="0.25">
      <c r="A189" s="3" t="s">
        <v>21</v>
      </c>
      <c r="B189" s="3" t="s">
        <v>41</v>
      </c>
      <c r="C189" s="3" t="s">
        <v>40</v>
      </c>
      <c r="D189" s="3" t="s">
        <v>45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44562</v>
      </c>
      <c r="J189" s="4">
        <v>936</v>
      </c>
      <c r="K189" s="56">
        <v>936</v>
      </c>
      <c r="L189" s="4">
        <v>353.71300000000002</v>
      </c>
      <c r="M189" s="56">
        <v>353.71300000000002</v>
      </c>
      <c r="N189" s="4">
        <v>353.71300000000002</v>
      </c>
      <c r="O189" s="56">
        <v>353.71300000000002</v>
      </c>
      <c r="P189" s="4">
        <v>0</v>
      </c>
      <c r="Q189" s="3" t="s">
        <v>26</v>
      </c>
      <c r="R189" s="3">
        <v>0</v>
      </c>
      <c r="S189" s="3">
        <v>12</v>
      </c>
      <c r="T189" s="3">
        <v>110</v>
      </c>
      <c r="U189" s="3">
        <v>89</v>
      </c>
      <c r="V189" s="56">
        <f>IF(ISERROR(VLOOKUP($S$189,'TAR FIN'!$A$1:$O$113,15,0)),0,VLOOKUP($S$189,'TAR FIN'!$A$1:$O$113,15,0))*(1-0.04)</f>
        <v>23.337599999999998</v>
      </c>
      <c r="W189" s="56">
        <f>IF(ISERROR(VLOOKUP($T$189,'TAR FIN'!$A$1:$O$113,15,0)),0,VLOOKUP($T$189,'TAR FIN'!$A$1:$O$113,15,0))*(1-0.04)</f>
        <v>49.219200000000001</v>
      </c>
      <c r="X189" s="56">
        <f>IF(ISERROR(VLOOKUP($U$189,'TAR FIN'!$A$1:$O$113,15,0)),0,VLOOKUP($U$189,'TAR FIN'!$A$1:$O$113,15,0))*(1-0.04)</f>
        <v>213.41759999999999</v>
      </c>
      <c r="Y189" s="56">
        <f ca="1">('TUSD BE'!$AM$14+'TUSD BF'!$AM$14+'TUSD CVA'!$AM$14)*1*(1-0.02)</f>
        <v>26.066113153707715</v>
      </c>
      <c r="Z189" s="56">
        <f ca="1">('TUSD BE'!$AM$15+'TUSD BF'!$AM$15+'TUSD CVA'!$AM$15)*1*(1-0.02)</f>
        <v>63.70726143397826</v>
      </c>
      <c r="AA189" s="56">
        <f>('TE BE'!$AA$11+'TE BF'!$AA$11+'TE CVA'!$AA$11)*1*(1-0.02)</f>
        <v>218.68270575803808</v>
      </c>
      <c r="AB189" s="56">
        <f>(SUBSIDIO!$J$189*SUBSIDIO!$V$189)*(0.04)/(1-0.04)</f>
        <v>910.16639999999995</v>
      </c>
      <c r="AC189" s="56">
        <f>((SUBSIDIO!$L$189*SUBSIDIO!$W$189)+(SUBSIDIO!$N$189*SUBSIDIO!$X$189))*(0.04)/(1-0.04)</f>
        <v>3870.7521016000005</v>
      </c>
      <c r="AD189" s="56">
        <f ca="1">(SUBSIDIO!$J$189*SUBSIDIO!$Y$189)*(0.02)/(1-0.02)</f>
        <v>497.91595738511063</v>
      </c>
      <c r="AE189" s="56">
        <f ca="1">((SUBSIDIO!$L$189*SUBSIDIO!$Z$189)+(SUBSIDIO!$N$189*SUBSIDIO!$AA$189))*(0.02)/(1-0.02)</f>
        <v>2038.4694380691774</v>
      </c>
      <c r="AF189" s="3" t="s">
        <v>1023</v>
      </c>
    </row>
    <row r="190" spans="1:32" ht="11.25" customHeight="1" x14ac:dyDescent="0.25">
      <c r="A190" s="3" t="s">
        <v>21</v>
      </c>
      <c r="B190" s="3" t="s">
        <v>41</v>
      </c>
      <c r="C190" s="3" t="s">
        <v>40</v>
      </c>
      <c r="D190" s="3" t="s">
        <v>45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44593</v>
      </c>
      <c r="J190" s="4">
        <v>934</v>
      </c>
      <c r="K190" s="56">
        <v>934</v>
      </c>
      <c r="L190" s="4">
        <v>356.20699999999999</v>
      </c>
      <c r="M190" s="56">
        <v>356.20699999999999</v>
      </c>
      <c r="N190" s="4">
        <v>356.20699999999999</v>
      </c>
      <c r="O190" s="56">
        <v>356.20699999999999</v>
      </c>
      <c r="P190" s="4">
        <v>0</v>
      </c>
      <c r="Q190" s="3" t="s">
        <v>26</v>
      </c>
      <c r="R190" s="3">
        <v>0</v>
      </c>
      <c r="S190" s="3">
        <v>12</v>
      </c>
      <c r="T190" s="3">
        <v>110</v>
      </c>
      <c r="U190" s="3">
        <v>89</v>
      </c>
      <c r="V190" s="56">
        <f>IF(ISERROR(VLOOKUP($S$190,'TAR FIN'!$A$1:$O$113,15,0)),0,VLOOKUP($S$190,'TAR FIN'!$A$1:$O$113,15,0))*(1-0.04)</f>
        <v>23.337599999999998</v>
      </c>
      <c r="W190" s="56">
        <f>IF(ISERROR(VLOOKUP($T$190,'TAR FIN'!$A$1:$O$113,15,0)),0,VLOOKUP($T$190,'TAR FIN'!$A$1:$O$113,15,0))*(1-0.04)</f>
        <v>49.219200000000001</v>
      </c>
      <c r="X190" s="56">
        <f>IF(ISERROR(VLOOKUP($U$190,'TAR FIN'!$A$1:$O$113,15,0)),0,VLOOKUP($U$190,'TAR FIN'!$A$1:$O$113,15,0))*(1-0.04)</f>
        <v>213.41759999999999</v>
      </c>
      <c r="Y190" s="56">
        <f ca="1">('TUSD BE'!$AM$14+'TUSD BF'!$AM$14+'TUSD CVA'!$AM$14)*1*(1-0.02)</f>
        <v>26.066113153707715</v>
      </c>
      <c r="Z190" s="56">
        <f ca="1">('TUSD BE'!$AM$15+'TUSD BF'!$AM$15+'TUSD CVA'!$AM$15)*1*(1-0.02)</f>
        <v>63.70726143397826</v>
      </c>
      <c r="AA190" s="56">
        <f>('TE BE'!$AA$11+'TE BF'!$AA$11+'TE CVA'!$AA$11)*1*(1-0.02)</f>
        <v>218.68270575803808</v>
      </c>
      <c r="AB190" s="56">
        <f>(SUBSIDIO!$J$190*SUBSIDIO!$V$190)*(0.04)/(1-0.04)</f>
        <v>908.22160000000008</v>
      </c>
      <c r="AC190" s="56">
        <f>((SUBSIDIO!$L$190*SUBSIDIO!$W$190)+(SUBSIDIO!$N$190*SUBSIDIO!$X$190))*(0.04)/(1-0.04)</f>
        <v>3898.0444424000002</v>
      </c>
      <c r="AD190" s="56">
        <f ca="1">(SUBSIDIO!$J$190*SUBSIDIO!$Y$190)*(0.02)/(1-0.02)</f>
        <v>496.85203439924504</v>
      </c>
      <c r="AE190" s="56">
        <f ca="1">((SUBSIDIO!$L$190*SUBSIDIO!$Z$190)+(SUBSIDIO!$N$190*SUBSIDIO!$AA$190))*(0.02)/(1-0.02)</f>
        <v>2052.8425110931953</v>
      </c>
      <c r="AF190" s="3" t="s">
        <v>1023</v>
      </c>
    </row>
    <row r="191" spans="1:32" ht="11.25" customHeight="1" x14ac:dyDescent="0.25">
      <c r="A191" s="3" t="s">
        <v>56</v>
      </c>
      <c r="B191" s="3" t="s">
        <v>41</v>
      </c>
      <c r="C191" s="3" t="s">
        <v>40</v>
      </c>
      <c r="D191" s="3" t="s">
        <v>45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44621</v>
      </c>
      <c r="J191" s="4">
        <v>934</v>
      </c>
      <c r="K191" s="56">
        <v>934</v>
      </c>
      <c r="L191" s="4">
        <v>356.20699999999999</v>
      </c>
      <c r="M191" s="56">
        <v>356.20699999999999</v>
      </c>
      <c r="N191" s="4">
        <v>356.20699999999999</v>
      </c>
      <c r="O191" s="56">
        <v>356.20699999999999</v>
      </c>
      <c r="P191" s="4">
        <v>0</v>
      </c>
      <c r="Q191" s="3" t="s">
        <v>26</v>
      </c>
      <c r="R191" s="3">
        <v>0</v>
      </c>
      <c r="S191" s="3">
        <v>12</v>
      </c>
      <c r="T191" s="3">
        <v>110</v>
      </c>
      <c r="U191" s="3">
        <v>89</v>
      </c>
      <c r="V191" s="56">
        <f>IF(ISERROR(VLOOKUP($S$191,'TAR FIN'!$A$1:$O$113,15,0)),0,VLOOKUP($S$191,'TAR FIN'!$A$1:$O$113,15,0))*(1-0.04)</f>
        <v>23.337599999999998</v>
      </c>
      <c r="W191" s="56">
        <f>IF(ISERROR(VLOOKUP($T$191,'TAR FIN'!$A$1:$O$113,15,0)),0,VLOOKUP($T$191,'TAR FIN'!$A$1:$O$113,15,0))*(1-0.04)</f>
        <v>49.219200000000001</v>
      </c>
      <c r="X191" s="56">
        <f>IF(ISERROR(VLOOKUP($U$191,'TAR FIN'!$A$1:$O$113,15,0)),0,VLOOKUP($U$191,'TAR FIN'!$A$1:$O$113,15,0))*(1-0.04)</f>
        <v>213.41759999999999</v>
      </c>
      <c r="Y191" s="56">
        <f ca="1">('TUSD BE'!$AM$14+'TUSD BF'!$AM$14+'TUSD CVA'!$AM$14)*1*(1-0.02)</f>
        <v>26.066113153707715</v>
      </c>
      <c r="Z191" s="56">
        <f ca="1">('TUSD BE'!$AM$15+'TUSD BF'!$AM$15+'TUSD CVA'!$AM$15)*1*(1-0.02)</f>
        <v>63.70726143397826</v>
      </c>
      <c r="AA191" s="56">
        <f>('TE BE'!$AA$11+'TE BF'!$AA$11+'TE CVA'!$AA$11)*1*(1-0.02)</f>
        <v>218.68270575803808</v>
      </c>
      <c r="AB191" s="56">
        <f>(SUBSIDIO!$J$191*SUBSIDIO!$V$191)*(0.04)/(1-0.04)</f>
        <v>908.22160000000008</v>
      </c>
      <c r="AC191" s="56">
        <f>((SUBSIDIO!$L$191*SUBSIDIO!$W$191)+(SUBSIDIO!$N$191*SUBSIDIO!$X$191))*(0.04)/(1-0.04)</f>
        <v>3898.0444424000002</v>
      </c>
      <c r="AD191" s="56">
        <f ca="1">(SUBSIDIO!$J$191*SUBSIDIO!$Y$191)*(0.02)/(1-0.02)</f>
        <v>496.85203439924504</v>
      </c>
      <c r="AE191" s="56">
        <f ca="1">((SUBSIDIO!$L$191*SUBSIDIO!$Z$191)+(SUBSIDIO!$N$191*SUBSIDIO!$AA$191))*(0.02)/(1-0.02)</f>
        <v>2052.8425110931953</v>
      </c>
      <c r="AF191" s="3" t="s">
        <v>1023</v>
      </c>
    </row>
    <row r="192" spans="1:32" ht="11.25" customHeight="1" x14ac:dyDescent="0.25">
      <c r="A192" s="3" t="s">
        <v>21</v>
      </c>
      <c r="B192" s="3" t="s">
        <v>41</v>
      </c>
      <c r="C192" s="3" t="s">
        <v>40</v>
      </c>
      <c r="D192" s="3" t="s">
        <v>45</v>
      </c>
      <c r="E192" s="3" t="s">
        <v>25</v>
      </c>
      <c r="F192" s="3" t="s">
        <v>25</v>
      </c>
      <c r="G192" s="3" t="s">
        <v>25</v>
      </c>
      <c r="H192" s="3" t="s">
        <v>34</v>
      </c>
      <c r="I192" s="6">
        <v>44287</v>
      </c>
      <c r="J192" s="4">
        <v>422</v>
      </c>
      <c r="K192" s="56">
        <v>422</v>
      </c>
      <c r="L192" s="4">
        <v>14.534000000000001</v>
      </c>
      <c r="M192" s="56">
        <v>14.534000000000001</v>
      </c>
      <c r="N192" s="4">
        <v>14.534000000000001</v>
      </c>
      <c r="O192" s="56">
        <v>14.534000000000001</v>
      </c>
      <c r="P192" s="4">
        <v>0</v>
      </c>
      <c r="Q192" s="3" t="s">
        <v>26</v>
      </c>
      <c r="R192" s="3">
        <v>0</v>
      </c>
      <c r="S192" s="3">
        <v>11</v>
      </c>
      <c r="T192" s="3">
        <v>110</v>
      </c>
      <c r="U192" s="3">
        <v>88</v>
      </c>
      <c r="V192" s="56">
        <f>IF(ISERROR(VLOOKUP($S$192,'TAR FIN'!$A$1:$O$113,15,0)),0,VLOOKUP($S$192,'TAR FIN'!$A$1:$O$113,15,0))*(1-0.04)</f>
        <v>59.740799999999993</v>
      </c>
      <c r="W192" s="56">
        <f>IF(ISERROR(VLOOKUP($T$192,'TAR FIN'!$A$1:$O$113,15,0)),0,VLOOKUP($T$192,'TAR FIN'!$A$1:$O$113,15,0))*(1-0.04)</f>
        <v>49.219200000000001</v>
      </c>
      <c r="X192" s="56">
        <f>IF(ISERROR(VLOOKUP($U$192,'TAR FIN'!$A$1:$O$113,15,0)),0,VLOOKUP($U$192,'TAR FIN'!$A$1:$O$113,15,0))*(1-0.04)</f>
        <v>350.88</v>
      </c>
      <c r="Y192" s="56">
        <f ca="1">('TUSD BE'!$AM$13+'TUSD BF'!$AM$13+'TUSD CVA'!$AM$13)*1*(1-0.02)</f>
        <v>71.621212919574702</v>
      </c>
      <c r="Z192" s="56">
        <f ca="1">('TUSD BE'!$AM$15+'TUSD BF'!$AM$15+'TUSD CVA'!$AM$15)*1*(1-0.02)</f>
        <v>63.70726143397826</v>
      </c>
      <c r="AA192" s="56">
        <f>('TE BE'!$AA$10+'TE BF'!$AA$10+'TE CVA'!$AA$10)*1*(1-0.02)</f>
        <v>354.31913150043306</v>
      </c>
      <c r="AB192" s="56">
        <f>(SUBSIDIO!$J$192*SUBSIDIO!$V$192)*(0.04)/(1-0.04)</f>
        <v>1050.4423999999999</v>
      </c>
      <c r="AC192" s="56">
        <f>((SUBSIDIO!$L$192*SUBSIDIO!$W$192)+(SUBSIDIO!$N$192*SUBSIDIO!$X$192))*(0.04)/(1-0.04)</f>
        <v>242.29340720000002</v>
      </c>
      <c r="AD192" s="56">
        <f ca="1">(SUBSIDIO!$J$192*SUBSIDIO!$Y$192)*(0.02)/(1-0.02)</f>
        <v>616.81942555225567</v>
      </c>
      <c r="AE192" s="56">
        <f ca="1">((SUBSIDIO!$L$192*SUBSIDIO!$Z$192)+(SUBSIDIO!$N$192*SUBSIDIO!$AA$192))*(0.02)/(1-0.02)</f>
        <v>123.99174683487215</v>
      </c>
      <c r="AF192" s="3" t="s">
        <v>1023</v>
      </c>
    </row>
    <row r="193" spans="1:32" ht="11.25" customHeight="1" x14ac:dyDescent="0.25">
      <c r="A193" s="3" t="s">
        <v>21</v>
      </c>
      <c r="B193" s="3" t="s">
        <v>41</v>
      </c>
      <c r="C193" s="3" t="s">
        <v>40</v>
      </c>
      <c r="D193" s="3" t="s">
        <v>45</v>
      </c>
      <c r="E193" s="3" t="s">
        <v>25</v>
      </c>
      <c r="F193" s="3" t="s">
        <v>25</v>
      </c>
      <c r="G193" s="3" t="s">
        <v>25</v>
      </c>
      <c r="H193" s="3" t="s">
        <v>34</v>
      </c>
      <c r="I193" s="6">
        <v>44317</v>
      </c>
      <c r="J193" s="4">
        <v>363</v>
      </c>
      <c r="K193" s="56">
        <v>363</v>
      </c>
      <c r="L193" s="4">
        <v>14.506</v>
      </c>
      <c r="M193" s="56">
        <v>14.506</v>
      </c>
      <c r="N193" s="4">
        <v>14.506</v>
      </c>
      <c r="O193" s="56">
        <v>14.506</v>
      </c>
      <c r="P193" s="4">
        <v>0</v>
      </c>
      <c r="Q193" s="3" t="s">
        <v>26</v>
      </c>
      <c r="R193" s="3">
        <v>0</v>
      </c>
      <c r="S193" s="3">
        <v>11</v>
      </c>
      <c r="T193" s="3">
        <v>110</v>
      </c>
      <c r="U193" s="3">
        <v>88</v>
      </c>
      <c r="V193" s="56">
        <f>IF(ISERROR(VLOOKUP($S$193,'TAR FIN'!$A$1:$O$113,15,0)),0,VLOOKUP($S$193,'TAR FIN'!$A$1:$O$113,15,0))*(1-0.04)</f>
        <v>59.740799999999993</v>
      </c>
      <c r="W193" s="56">
        <f>IF(ISERROR(VLOOKUP($T$193,'TAR FIN'!$A$1:$O$113,15,0)),0,VLOOKUP($T$193,'TAR FIN'!$A$1:$O$113,15,0))*(1-0.04)</f>
        <v>49.219200000000001</v>
      </c>
      <c r="X193" s="56">
        <f>IF(ISERROR(VLOOKUP($U$193,'TAR FIN'!$A$1:$O$113,15,0)),0,VLOOKUP($U$193,'TAR FIN'!$A$1:$O$113,15,0))*(1-0.04)</f>
        <v>350.88</v>
      </c>
      <c r="Y193" s="56">
        <f ca="1">('TUSD BE'!$AM$13+'TUSD BF'!$AM$13+'TUSD CVA'!$AM$13)*1*(1-0.02)</f>
        <v>71.621212919574702</v>
      </c>
      <c r="Z193" s="56">
        <f ca="1">('TUSD BE'!$AM$15+'TUSD BF'!$AM$15+'TUSD CVA'!$AM$15)*1*(1-0.02)</f>
        <v>63.70726143397826</v>
      </c>
      <c r="AA193" s="56">
        <f>('TE BE'!$AA$10+'TE BF'!$AA$10+'TE CVA'!$AA$10)*1*(1-0.02)</f>
        <v>354.31913150043306</v>
      </c>
      <c r="AB193" s="56">
        <f>(SUBSIDIO!$J$193*SUBSIDIO!$V$193)*(0.04)/(1-0.04)</f>
        <v>903.57959999999991</v>
      </c>
      <c r="AC193" s="56">
        <f>((SUBSIDIO!$L$193*SUBSIDIO!$W$193)+(SUBSIDIO!$N$193*SUBSIDIO!$X$193))*(0.04)/(1-0.04)</f>
        <v>241.82662479999999</v>
      </c>
      <c r="AD193" s="56">
        <f ca="1">(SUBSIDIO!$J$193*SUBSIDIO!$Y$193)*(0.02)/(1-0.02)</f>
        <v>530.5816385674616</v>
      </c>
      <c r="AE193" s="56">
        <f ca="1">((SUBSIDIO!$L$193*SUBSIDIO!$Z$193)+(SUBSIDIO!$N$193*SUBSIDIO!$AA$193))*(0.02)/(1-0.02)</f>
        <v>123.7528746103382</v>
      </c>
      <c r="AF193" s="3" t="s">
        <v>1023</v>
      </c>
    </row>
    <row r="194" spans="1:32" ht="11.25" customHeight="1" x14ac:dyDescent="0.25">
      <c r="A194" s="3" t="s">
        <v>21</v>
      </c>
      <c r="B194" s="3" t="s">
        <v>41</v>
      </c>
      <c r="C194" s="3" t="s">
        <v>40</v>
      </c>
      <c r="D194" s="3" t="s">
        <v>45</v>
      </c>
      <c r="E194" s="3" t="s">
        <v>25</v>
      </c>
      <c r="F194" s="3" t="s">
        <v>25</v>
      </c>
      <c r="G194" s="3" t="s">
        <v>25</v>
      </c>
      <c r="H194" s="3" t="s">
        <v>34</v>
      </c>
      <c r="I194" s="6">
        <v>44348</v>
      </c>
      <c r="J194" s="4">
        <v>449</v>
      </c>
      <c r="K194" s="56">
        <v>449</v>
      </c>
      <c r="L194" s="4">
        <v>14.18</v>
      </c>
      <c r="M194" s="56">
        <v>14.18</v>
      </c>
      <c r="N194" s="4">
        <v>14.18</v>
      </c>
      <c r="O194" s="56">
        <v>14.18</v>
      </c>
      <c r="P194" s="4">
        <v>0</v>
      </c>
      <c r="Q194" s="3" t="s">
        <v>26</v>
      </c>
      <c r="R194" s="3">
        <v>0</v>
      </c>
      <c r="S194" s="3">
        <v>11</v>
      </c>
      <c r="T194" s="3">
        <v>110</v>
      </c>
      <c r="U194" s="3">
        <v>88</v>
      </c>
      <c r="V194" s="56">
        <f>IF(ISERROR(VLOOKUP($S$194,'TAR FIN'!$A$1:$O$113,15,0)),0,VLOOKUP($S$194,'TAR FIN'!$A$1:$O$113,15,0))*(1-0.04)</f>
        <v>59.740799999999993</v>
      </c>
      <c r="W194" s="56">
        <f>IF(ISERROR(VLOOKUP($T$194,'TAR FIN'!$A$1:$O$113,15,0)),0,VLOOKUP($T$194,'TAR FIN'!$A$1:$O$113,15,0))*(1-0.04)</f>
        <v>49.219200000000001</v>
      </c>
      <c r="X194" s="56">
        <f>IF(ISERROR(VLOOKUP($U$194,'TAR FIN'!$A$1:$O$113,15,0)),0,VLOOKUP($U$194,'TAR FIN'!$A$1:$O$113,15,0))*(1-0.04)</f>
        <v>350.88</v>
      </c>
      <c r="Y194" s="56">
        <f ca="1">('TUSD BE'!$AM$13+'TUSD BF'!$AM$13+'TUSD CVA'!$AM$13)*1*(1-0.02)</f>
        <v>71.621212919574702</v>
      </c>
      <c r="Z194" s="56">
        <f ca="1">('TUSD BE'!$AM$15+'TUSD BF'!$AM$15+'TUSD CVA'!$AM$15)*1*(1-0.02)</f>
        <v>63.70726143397826</v>
      </c>
      <c r="AA194" s="56">
        <f>('TE BE'!$AA$10+'TE BF'!$AA$10+'TE CVA'!$AA$10)*1*(1-0.02)</f>
        <v>354.31913150043306</v>
      </c>
      <c r="AB194" s="56">
        <f>(SUBSIDIO!$J$194*SUBSIDIO!$V$194)*(0.04)/(1-0.04)</f>
        <v>1117.6507999999999</v>
      </c>
      <c r="AC194" s="56">
        <f>((SUBSIDIO!$L$194*SUBSIDIO!$W$194)+(SUBSIDIO!$N$194*SUBSIDIO!$X$194))*(0.04)/(1-0.04)</f>
        <v>236.39194400000002</v>
      </c>
      <c r="AD194" s="56">
        <f ca="1">(SUBSIDIO!$J$194*SUBSIDIO!$Y$194)*(0.02)/(1-0.02)</f>
        <v>656.28417552834787</v>
      </c>
      <c r="AE194" s="56">
        <f ca="1">((SUBSIDIO!$L$194*SUBSIDIO!$Z$194)+(SUBSIDIO!$N$194*SUBSIDIO!$AA$194))*(0.02)/(1-0.02)</f>
        <v>120.97171942469291</v>
      </c>
      <c r="AF194" s="3" t="s">
        <v>1023</v>
      </c>
    </row>
    <row r="195" spans="1:32" ht="11.25" customHeight="1" x14ac:dyDescent="0.25">
      <c r="A195" s="3" t="s">
        <v>21</v>
      </c>
      <c r="B195" s="3" t="s">
        <v>41</v>
      </c>
      <c r="C195" s="3" t="s">
        <v>40</v>
      </c>
      <c r="D195" s="3" t="s">
        <v>45</v>
      </c>
      <c r="E195" s="3" t="s">
        <v>25</v>
      </c>
      <c r="F195" s="3" t="s">
        <v>25</v>
      </c>
      <c r="G195" s="3" t="s">
        <v>25</v>
      </c>
      <c r="H195" s="3" t="s">
        <v>34</v>
      </c>
      <c r="I195" s="6">
        <v>44378</v>
      </c>
      <c r="J195" s="4">
        <v>490</v>
      </c>
      <c r="K195" s="56">
        <v>490</v>
      </c>
      <c r="L195" s="4">
        <v>15.058999999999999</v>
      </c>
      <c r="M195" s="56">
        <v>15.058999999999999</v>
      </c>
      <c r="N195" s="4">
        <v>15.058999999999999</v>
      </c>
      <c r="O195" s="56">
        <v>15.058999999999999</v>
      </c>
      <c r="P195" s="4">
        <v>0</v>
      </c>
      <c r="Q195" s="3" t="s">
        <v>26</v>
      </c>
      <c r="R195" s="3">
        <v>0</v>
      </c>
      <c r="S195" s="3">
        <v>11</v>
      </c>
      <c r="T195" s="3">
        <v>110</v>
      </c>
      <c r="U195" s="3">
        <v>88</v>
      </c>
      <c r="V195" s="56">
        <f>IF(ISERROR(VLOOKUP($S$195,'TAR FIN'!$A$1:$O$113,15,0)),0,VLOOKUP($S$195,'TAR FIN'!$A$1:$O$113,15,0))*(1-0.04)</f>
        <v>59.740799999999993</v>
      </c>
      <c r="W195" s="56">
        <f>IF(ISERROR(VLOOKUP($T$195,'TAR FIN'!$A$1:$O$113,15,0)),0,VLOOKUP($T$195,'TAR FIN'!$A$1:$O$113,15,0))*(1-0.04)</f>
        <v>49.219200000000001</v>
      </c>
      <c r="X195" s="56">
        <f>IF(ISERROR(VLOOKUP($U$195,'TAR FIN'!$A$1:$O$113,15,0)),0,VLOOKUP($U$195,'TAR FIN'!$A$1:$O$113,15,0))*(1-0.04)</f>
        <v>350.88</v>
      </c>
      <c r="Y195" s="56">
        <f ca="1">('TUSD BE'!$AM$13+'TUSD BF'!$AM$13+'TUSD CVA'!$AM$13)*1*(1-0.02)</f>
        <v>71.621212919574702</v>
      </c>
      <c r="Z195" s="56">
        <f ca="1">('TUSD BE'!$AM$15+'TUSD BF'!$AM$15+'TUSD CVA'!$AM$15)*1*(1-0.02)</f>
        <v>63.70726143397826</v>
      </c>
      <c r="AA195" s="56">
        <f>('TE BE'!$AA$10+'TE BF'!$AA$10+'TE CVA'!$AA$10)*1*(1-0.02)</f>
        <v>354.31913150043306</v>
      </c>
      <c r="AB195" s="56">
        <f>(SUBSIDIO!$J$195*SUBSIDIO!$V$195)*(0.04)/(1-0.04)</f>
        <v>1219.7080000000001</v>
      </c>
      <c r="AC195" s="56">
        <f>((SUBSIDIO!$L$195*SUBSIDIO!$W$195)+(SUBSIDIO!$N$195*SUBSIDIO!$X$195))*(0.04)/(1-0.04)</f>
        <v>251.0455772</v>
      </c>
      <c r="AD195" s="56">
        <f ca="1">(SUBSIDIO!$J$195*SUBSIDIO!$Y$195)*(0.02)/(1-0.02)</f>
        <v>716.21212919574702</v>
      </c>
      <c r="AE195" s="56">
        <f ca="1">((SUBSIDIO!$L$195*SUBSIDIO!$Z$195)+(SUBSIDIO!$N$195*SUBSIDIO!$AA$195))*(0.02)/(1-0.02)</f>
        <v>128.47060104488367</v>
      </c>
      <c r="AF195" s="3" t="s">
        <v>1023</v>
      </c>
    </row>
    <row r="196" spans="1:32" ht="11.25" customHeight="1" x14ac:dyDescent="0.25">
      <c r="A196" s="3" t="s">
        <v>21</v>
      </c>
      <c r="B196" s="3" t="s">
        <v>41</v>
      </c>
      <c r="C196" s="3" t="s">
        <v>40</v>
      </c>
      <c r="D196" s="3" t="s">
        <v>45</v>
      </c>
      <c r="E196" s="3" t="s">
        <v>25</v>
      </c>
      <c r="F196" s="3" t="s">
        <v>25</v>
      </c>
      <c r="G196" s="3" t="s">
        <v>25</v>
      </c>
      <c r="H196" s="3" t="s">
        <v>34</v>
      </c>
      <c r="I196" s="6">
        <v>44409</v>
      </c>
      <c r="J196" s="4">
        <v>573</v>
      </c>
      <c r="K196" s="56">
        <v>573</v>
      </c>
      <c r="L196" s="4">
        <v>18.038</v>
      </c>
      <c r="M196" s="56">
        <v>18.038</v>
      </c>
      <c r="N196" s="4">
        <v>18.038</v>
      </c>
      <c r="O196" s="56">
        <v>18.038</v>
      </c>
      <c r="P196" s="4">
        <v>0</v>
      </c>
      <c r="Q196" s="3" t="s">
        <v>26</v>
      </c>
      <c r="R196" s="3">
        <v>0</v>
      </c>
      <c r="S196" s="3">
        <v>11</v>
      </c>
      <c r="T196" s="3">
        <v>110</v>
      </c>
      <c r="U196" s="3">
        <v>88</v>
      </c>
      <c r="V196" s="56">
        <f>IF(ISERROR(VLOOKUP($S$196,'TAR FIN'!$A$1:$O$113,15,0)),0,VLOOKUP($S$196,'TAR FIN'!$A$1:$O$113,15,0))*(1-0.04)</f>
        <v>59.740799999999993</v>
      </c>
      <c r="W196" s="56">
        <f>IF(ISERROR(VLOOKUP($T$196,'TAR FIN'!$A$1:$O$113,15,0)),0,VLOOKUP($T$196,'TAR FIN'!$A$1:$O$113,15,0))*(1-0.04)</f>
        <v>49.219200000000001</v>
      </c>
      <c r="X196" s="56">
        <f>IF(ISERROR(VLOOKUP($U$196,'TAR FIN'!$A$1:$O$113,15,0)),0,VLOOKUP($U$196,'TAR FIN'!$A$1:$O$113,15,0))*(1-0.04)</f>
        <v>350.88</v>
      </c>
      <c r="Y196" s="56">
        <f ca="1">('TUSD BE'!$AM$13+'TUSD BF'!$AM$13+'TUSD CVA'!$AM$13)*1*(1-0.02)</f>
        <v>71.621212919574702</v>
      </c>
      <c r="Z196" s="56">
        <f ca="1">('TUSD BE'!$AM$15+'TUSD BF'!$AM$15+'TUSD CVA'!$AM$15)*1*(1-0.02)</f>
        <v>63.70726143397826</v>
      </c>
      <c r="AA196" s="56">
        <f>('TE BE'!$AA$10+'TE BF'!$AA$10+'TE CVA'!$AA$10)*1*(1-0.02)</f>
        <v>354.31913150043306</v>
      </c>
      <c r="AB196" s="56">
        <f>(SUBSIDIO!$J$196*SUBSIDIO!$V$196)*(0.04)/(1-0.04)</f>
        <v>1426.3115999999998</v>
      </c>
      <c r="AC196" s="56">
        <f>((SUBSIDIO!$L$196*SUBSIDIO!$W$196)+(SUBSIDIO!$N$196*SUBSIDIO!$X$196))*(0.04)/(1-0.04)</f>
        <v>300.7078904</v>
      </c>
      <c r="AD196" s="56">
        <f ca="1">(SUBSIDIO!$J$196*SUBSIDIO!$Y$196)*(0.02)/(1-0.02)</f>
        <v>837.52969393706758</v>
      </c>
      <c r="AE196" s="56">
        <f ca="1">((SUBSIDIO!$L$196*SUBSIDIO!$Z$196)+(SUBSIDIO!$N$196*SUBSIDIO!$AA$196))*(0.02)/(1-0.02)</f>
        <v>153.88489950512067</v>
      </c>
      <c r="AF196" s="3" t="s">
        <v>1023</v>
      </c>
    </row>
    <row r="197" spans="1:32" ht="11.25" customHeight="1" x14ac:dyDescent="0.25">
      <c r="A197" s="3" t="s">
        <v>21</v>
      </c>
      <c r="B197" s="3" t="s">
        <v>41</v>
      </c>
      <c r="C197" s="3" t="s">
        <v>40</v>
      </c>
      <c r="D197" s="3" t="s">
        <v>45</v>
      </c>
      <c r="E197" s="3" t="s">
        <v>25</v>
      </c>
      <c r="F197" s="3" t="s">
        <v>25</v>
      </c>
      <c r="G197" s="3" t="s">
        <v>25</v>
      </c>
      <c r="H197" s="3" t="s">
        <v>34</v>
      </c>
      <c r="I197" s="6">
        <v>44440</v>
      </c>
      <c r="J197" s="4">
        <v>464</v>
      </c>
      <c r="K197" s="56">
        <v>464</v>
      </c>
      <c r="L197" s="4">
        <v>17.111999999999998</v>
      </c>
      <c r="M197" s="56">
        <v>17.111999999999998</v>
      </c>
      <c r="N197" s="4">
        <v>17.111999999999998</v>
      </c>
      <c r="O197" s="56">
        <v>17.111999999999998</v>
      </c>
      <c r="P197" s="4">
        <v>0</v>
      </c>
      <c r="Q197" s="3" t="s">
        <v>26</v>
      </c>
      <c r="R197" s="3">
        <v>0</v>
      </c>
      <c r="S197" s="3">
        <v>11</v>
      </c>
      <c r="T197" s="3">
        <v>110</v>
      </c>
      <c r="U197" s="3">
        <v>88</v>
      </c>
      <c r="V197" s="56">
        <f>IF(ISERROR(VLOOKUP($S$197,'TAR FIN'!$A$1:$O$113,15,0)),0,VLOOKUP($S$197,'TAR FIN'!$A$1:$O$113,15,0))*(1-0.04)</f>
        <v>59.740799999999993</v>
      </c>
      <c r="W197" s="56">
        <f>IF(ISERROR(VLOOKUP($T$197,'TAR FIN'!$A$1:$O$113,15,0)),0,VLOOKUP($T$197,'TAR FIN'!$A$1:$O$113,15,0))*(1-0.04)</f>
        <v>49.219200000000001</v>
      </c>
      <c r="X197" s="56">
        <f>IF(ISERROR(VLOOKUP($U$197,'TAR FIN'!$A$1:$O$113,15,0)),0,VLOOKUP($U$197,'TAR FIN'!$A$1:$O$113,15,0))*(1-0.04)</f>
        <v>350.88</v>
      </c>
      <c r="Y197" s="56">
        <f ca="1">('TUSD BE'!$AM$13+'TUSD BF'!$AM$13+'TUSD CVA'!$AM$13)*1*(1-0.02)</f>
        <v>71.621212919574702</v>
      </c>
      <c r="Z197" s="56">
        <f ca="1">('TUSD BE'!$AM$15+'TUSD BF'!$AM$15+'TUSD CVA'!$AM$15)*1*(1-0.02)</f>
        <v>63.70726143397826</v>
      </c>
      <c r="AA197" s="56">
        <f>('TE BE'!$AA$10+'TE BF'!$AA$10+'TE CVA'!$AA$10)*1*(1-0.02)</f>
        <v>354.31913150043306</v>
      </c>
      <c r="AB197" s="56">
        <f>(SUBSIDIO!$J$197*SUBSIDIO!$V$197)*(0.04)/(1-0.04)</f>
        <v>1154.9888000000001</v>
      </c>
      <c r="AC197" s="56">
        <f>((SUBSIDIO!$L$197*SUBSIDIO!$W$197)+(SUBSIDIO!$N$197*SUBSIDIO!$X$197))*(0.04)/(1-0.04)</f>
        <v>285.27072960000004</v>
      </c>
      <c r="AD197" s="56">
        <f ca="1">(SUBSIDIO!$J$197*SUBSIDIO!$Y$197)*(0.02)/(1-0.02)</f>
        <v>678.20903662617695</v>
      </c>
      <c r="AE197" s="56">
        <f ca="1">((SUBSIDIO!$L$197*SUBSIDIO!$Z$197)+(SUBSIDIO!$N$197*SUBSIDIO!$AA$197))*(0.02)/(1-0.02)</f>
        <v>145.98505379374788</v>
      </c>
      <c r="AF197" s="3" t="s">
        <v>1023</v>
      </c>
    </row>
    <row r="198" spans="1:32" ht="11.25" customHeight="1" x14ac:dyDescent="0.25">
      <c r="A198" s="3" t="s">
        <v>21</v>
      </c>
      <c r="B198" s="3" t="s">
        <v>41</v>
      </c>
      <c r="C198" s="3" t="s">
        <v>40</v>
      </c>
      <c r="D198" s="3" t="s">
        <v>45</v>
      </c>
      <c r="E198" s="3" t="s">
        <v>25</v>
      </c>
      <c r="F198" s="3" t="s">
        <v>25</v>
      </c>
      <c r="G198" s="3" t="s">
        <v>25</v>
      </c>
      <c r="H198" s="3" t="s">
        <v>34</v>
      </c>
      <c r="I198" s="6">
        <v>44470</v>
      </c>
      <c r="J198" s="4">
        <v>454</v>
      </c>
      <c r="K198" s="56">
        <v>454</v>
      </c>
      <c r="L198" s="4">
        <v>17.024999999999999</v>
      </c>
      <c r="M198" s="56">
        <v>17.024999999999999</v>
      </c>
      <c r="N198" s="4">
        <v>17.024999999999999</v>
      </c>
      <c r="O198" s="56">
        <v>17.024999999999999</v>
      </c>
      <c r="P198" s="4">
        <v>0</v>
      </c>
      <c r="Q198" s="3" t="s">
        <v>26</v>
      </c>
      <c r="R198" s="3">
        <v>0</v>
      </c>
      <c r="S198" s="3">
        <v>11</v>
      </c>
      <c r="T198" s="3">
        <v>110</v>
      </c>
      <c r="U198" s="3">
        <v>88</v>
      </c>
      <c r="V198" s="56">
        <f>IF(ISERROR(VLOOKUP($S$198,'TAR FIN'!$A$1:$O$113,15,0)),0,VLOOKUP($S$198,'TAR FIN'!$A$1:$O$113,15,0))*(1-0.04)</f>
        <v>59.740799999999993</v>
      </c>
      <c r="W198" s="56">
        <f>IF(ISERROR(VLOOKUP($T$198,'TAR FIN'!$A$1:$O$113,15,0)),0,VLOOKUP($T$198,'TAR FIN'!$A$1:$O$113,15,0))*(1-0.04)</f>
        <v>49.219200000000001</v>
      </c>
      <c r="X198" s="56">
        <f>IF(ISERROR(VLOOKUP($U$198,'TAR FIN'!$A$1:$O$113,15,0)),0,VLOOKUP($U$198,'TAR FIN'!$A$1:$O$113,15,0))*(1-0.04)</f>
        <v>350.88</v>
      </c>
      <c r="Y198" s="56">
        <f ca="1">('TUSD BE'!$AM$13+'TUSD BF'!$AM$13+'TUSD CVA'!$AM$13)*1*(1-0.02)</f>
        <v>71.621212919574702</v>
      </c>
      <c r="Z198" s="56">
        <f ca="1">('TUSD BE'!$AM$15+'TUSD BF'!$AM$15+'TUSD CVA'!$AM$15)*1*(1-0.02)</f>
        <v>63.70726143397826</v>
      </c>
      <c r="AA198" s="56">
        <f>('TE BE'!$AA$10+'TE BF'!$AA$10+'TE CVA'!$AA$10)*1*(1-0.02)</f>
        <v>354.31913150043306</v>
      </c>
      <c r="AB198" s="56">
        <f>(SUBSIDIO!$J$198*SUBSIDIO!$V$198)*(0.04)/(1-0.04)</f>
        <v>1130.0967999999998</v>
      </c>
      <c r="AC198" s="56">
        <f>((SUBSIDIO!$L$198*SUBSIDIO!$W$198)+(SUBSIDIO!$N$198*SUBSIDIO!$X$198))*(0.04)/(1-0.04)</f>
        <v>283.82036999999997</v>
      </c>
      <c r="AD198" s="56">
        <f ca="1">(SUBSIDIO!$J$198*SUBSIDIO!$Y$198)*(0.02)/(1-0.02)</f>
        <v>663.59246256095742</v>
      </c>
      <c r="AE198" s="56">
        <f ca="1">((SUBSIDIO!$L$198*SUBSIDIO!$Z$198)+(SUBSIDIO!$N$198*SUBSIDIO!$AA$198))*(0.02)/(1-0.02)</f>
        <v>145.24284366751741</v>
      </c>
      <c r="AF198" s="3" t="s">
        <v>1023</v>
      </c>
    </row>
    <row r="199" spans="1:32" ht="11.25" customHeight="1" x14ac:dyDescent="0.25">
      <c r="A199" s="3" t="s">
        <v>21</v>
      </c>
      <c r="B199" s="3" t="s">
        <v>41</v>
      </c>
      <c r="C199" s="3" t="s">
        <v>40</v>
      </c>
      <c r="D199" s="3" t="s">
        <v>45</v>
      </c>
      <c r="E199" s="3" t="s">
        <v>25</v>
      </c>
      <c r="F199" s="3" t="s">
        <v>25</v>
      </c>
      <c r="G199" s="3" t="s">
        <v>25</v>
      </c>
      <c r="H199" s="3" t="s">
        <v>34</v>
      </c>
      <c r="I199" s="6">
        <v>44501</v>
      </c>
      <c r="J199" s="4">
        <v>619</v>
      </c>
      <c r="K199" s="56">
        <v>619</v>
      </c>
      <c r="L199" s="4">
        <v>17.184999999999999</v>
      </c>
      <c r="M199" s="56">
        <v>17.184999999999999</v>
      </c>
      <c r="N199" s="4">
        <v>17.184999999999999</v>
      </c>
      <c r="O199" s="56">
        <v>17.184999999999999</v>
      </c>
      <c r="P199" s="4">
        <v>0</v>
      </c>
      <c r="Q199" s="3" t="s">
        <v>26</v>
      </c>
      <c r="R199" s="3">
        <v>0</v>
      </c>
      <c r="S199" s="3">
        <v>11</v>
      </c>
      <c r="T199" s="3">
        <v>110</v>
      </c>
      <c r="U199" s="3">
        <v>88</v>
      </c>
      <c r="V199" s="56">
        <f>IF(ISERROR(VLOOKUP($S$199,'TAR FIN'!$A$1:$O$113,15,0)),0,VLOOKUP($S$199,'TAR FIN'!$A$1:$O$113,15,0))*(1-0.04)</f>
        <v>59.740799999999993</v>
      </c>
      <c r="W199" s="56">
        <f>IF(ISERROR(VLOOKUP($T$199,'TAR FIN'!$A$1:$O$113,15,0)),0,VLOOKUP($T$199,'TAR FIN'!$A$1:$O$113,15,0))*(1-0.04)</f>
        <v>49.219200000000001</v>
      </c>
      <c r="X199" s="56">
        <f>IF(ISERROR(VLOOKUP($U$199,'TAR FIN'!$A$1:$O$113,15,0)),0,VLOOKUP($U$199,'TAR FIN'!$A$1:$O$113,15,0))*(1-0.04)</f>
        <v>350.88</v>
      </c>
      <c r="Y199" s="56">
        <f ca="1">('TUSD BE'!$AM$13+'TUSD BF'!$AM$13+'TUSD CVA'!$AM$13)*1*(1-0.02)</f>
        <v>71.621212919574702</v>
      </c>
      <c r="Z199" s="56">
        <f ca="1">('TUSD BE'!$AM$15+'TUSD BF'!$AM$15+'TUSD CVA'!$AM$15)*1*(1-0.02)</f>
        <v>63.70726143397826</v>
      </c>
      <c r="AA199" s="56">
        <f>('TE BE'!$AA$10+'TE BF'!$AA$10+'TE CVA'!$AA$10)*1*(1-0.02)</f>
        <v>354.31913150043306</v>
      </c>
      <c r="AB199" s="56">
        <f>(SUBSIDIO!$J$199*SUBSIDIO!$V$199)*(0.04)/(1-0.04)</f>
        <v>1540.8148000000001</v>
      </c>
      <c r="AC199" s="56">
        <f>((SUBSIDIO!$L$199*SUBSIDIO!$W$199)+(SUBSIDIO!$N$199*SUBSIDIO!$X$199))*(0.04)/(1-0.04)</f>
        <v>286.48769800000002</v>
      </c>
      <c r="AD199" s="56">
        <f ca="1">(SUBSIDIO!$J$199*SUBSIDIO!$Y$199)*(0.02)/(1-0.02)</f>
        <v>904.76593463707638</v>
      </c>
      <c r="AE199" s="56">
        <f ca="1">((SUBSIDIO!$L$199*SUBSIDIO!$Z$199)+(SUBSIDIO!$N$199*SUBSIDIO!$AA$199))*(0.02)/(1-0.02)</f>
        <v>146.6078278077114</v>
      </c>
      <c r="AF199" s="3" t="s">
        <v>1023</v>
      </c>
    </row>
    <row r="200" spans="1:32" ht="11.25" customHeight="1" x14ac:dyDescent="0.25">
      <c r="A200" s="3" t="s">
        <v>21</v>
      </c>
      <c r="B200" s="3" t="s">
        <v>41</v>
      </c>
      <c r="C200" s="3" t="s">
        <v>40</v>
      </c>
      <c r="D200" s="3" t="s">
        <v>45</v>
      </c>
      <c r="E200" s="3" t="s">
        <v>25</v>
      </c>
      <c r="F200" s="3" t="s">
        <v>25</v>
      </c>
      <c r="G200" s="3" t="s">
        <v>25</v>
      </c>
      <c r="H200" s="3" t="s">
        <v>34</v>
      </c>
      <c r="I200" s="6">
        <v>44531</v>
      </c>
      <c r="J200" s="4">
        <v>690</v>
      </c>
      <c r="K200" s="56">
        <v>690</v>
      </c>
      <c r="L200" s="4">
        <v>24.850999999999999</v>
      </c>
      <c r="M200" s="56">
        <v>24.850999999999999</v>
      </c>
      <c r="N200" s="4">
        <v>24.850999999999999</v>
      </c>
      <c r="O200" s="56">
        <v>24.850999999999999</v>
      </c>
      <c r="P200" s="4">
        <v>0</v>
      </c>
      <c r="Q200" s="3" t="s">
        <v>26</v>
      </c>
      <c r="R200" s="3">
        <v>0</v>
      </c>
      <c r="S200" s="3">
        <v>11</v>
      </c>
      <c r="T200" s="3">
        <v>110</v>
      </c>
      <c r="U200" s="3">
        <v>88</v>
      </c>
      <c r="V200" s="56">
        <f>IF(ISERROR(VLOOKUP($S$200,'TAR FIN'!$A$1:$O$113,15,0)),0,VLOOKUP($S$200,'TAR FIN'!$A$1:$O$113,15,0))*(1-0.04)</f>
        <v>59.740799999999993</v>
      </c>
      <c r="W200" s="56">
        <f>IF(ISERROR(VLOOKUP($T$200,'TAR FIN'!$A$1:$O$113,15,0)),0,VLOOKUP($T$200,'TAR FIN'!$A$1:$O$113,15,0))*(1-0.04)</f>
        <v>49.219200000000001</v>
      </c>
      <c r="X200" s="56">
        <f>IF(ISERROR(VLOOKUP($U$200,'TAR FIN'!$A$1:$O$113,15,0)),0,VLOOKUP($U$200,'TAR FIN'!$A$1:$O$113,15,0))*(1-0.04)</f>
        <v>350.88</v>
      </c>
      <c r="Y200" s="56">
        <f ca="1">('TUSD BE'!$AM$13+'TUSD BF'!$AM$13+'TUSD CVA'!$AM$13)*1*(1-0.02)</f>
        <v>71.621212919574702</v>
      </c>
      <c r="Z200" s="56">
        <f ca="1">('TUSD BE'!$AM$15+'TUSD BF'!$AM$15+'TUSD CVA'!$AM$15)*1*(1-0.02)</f>
        <v>63.70726143397826</v>
      </c>
      <c r="AA200" s="56">
        <f>('TE BE'!$AA$10+'TE BF'!$AA$10+'TE CVA'!$AA$10)*1*(1-0.02)</f>
        <v>354.31913150043306</v>
      </c>
      <c r="AB200" s="56">
        <f>(SUBSIDIO!$J$200*SUBSIDIO!$V$200)*(0.04)/(1-0.04)</f>
        <v>1717.5479999999998</v>
      </c>
      <c r="AC200" s="56">
        <f>((SUBSIDIO!$L$200*SUBSIDIO!$W$200)+(SUBSIDIO!$N$200*SUBSIDIO!$X$200))*(0.04)/(1-0.04)</f>
        <v>414.28605080000006</v>
      </c>
      <c r="AD200" s="56">
        <f ca="1">(SUBSIDIO!$J$200*SUBSIDIO!$Y$200)*(0.02)/(1-0.02)</f>
        <v>1008.5436105001337</v>
      </c>
      <c r="AE200" s="56">
        <f ca="1">((SUBSIDIO!$L$200*SUBSIDIO!$Z$200)+(SUBSIDIO!$N$200*SUBSIDIO!$AA$200))*(0.02)/(1-0.02)</f>
        <v>212.00763042475623</v>
      </c>
      <c r="AF200" s="3" t="s">
        <v>1023</v>
      </c>
    </row>
    <row r="201" spans="1:32" ht="11.25" customHeight="1" x14ac:dyDescent="0.25">
      <c r="A201" s="3" t="s">
        <v>21</v>
      </c>
      <c r="B201" s="3" t="s">
        <v>41</v>
      </c>
      <c r="C201" s="3" t="s">
        <v>40</v>
      </c>
      <c r="D201" s="3" t="s">
        <v>45</v>
      </c>
      <c r="E201" s="3" t="s">
        <v>25</v>
      </c>
      <c r="F201" s="3" t="s">
        <v>25</v>
      </c>
      <c r="G201" s="3" t="s">
        <v>25</v>
      </c>
      <c r="H201" s="3" t="s">
        <v>34</v>
      </c>
      <c r="I201" s="6">
        <v>44562</v>
      </c>
      <c r="J201" s="4">
        <v>766</v>
      </c>
      <c r="K201" s="56">
        <v>766</v>
      </c>
      <c r="L201" s="4">
        <v>19.818999999999999</v>
      </c>
      <c r="M201" s="56">
        <v>19.818999999999999</v>
      </c>
      <c r="N201" s="4">
        <v>19.818999999999999</v>
      </c>
      <c r="O201" s="56">
        <v>19.818999999999999</v>
      </c>
      <c r="P201" s="4">
        <v>0</v>
      </c>
      <c r="Q201" s="3" t="s">
        <v>26</v>
      </c>
      <c r="R201" s="3">
        <v>0</v>
      </c>
      <c r="S201" s="3">
        <v>11</v>
      </c>
      <c r="T201" s="3">
        <v>110</v>
      </c>
      <c r="U201" s="3">
        <v>88</v>
      </c>
      <c r="V201" s="56">
        <f>IF(ISERROR(VLOOKUP($S$201,'TAR FIN'!$A$1:$O$113,15,0)),0,VLOOKUP($S$201,'TAR FIN'!$A$1:$O$113,15,0))*(1-0.04)</f>
        <v>59.740799999999993</v>
      </c>
      <c r="W201" s="56">
        <f>IF(ISERROR(VLOOKUP($T$201,'TAR FIN'!$A$1:$O$113,15,0)),0,VLOOKUP($T$201,'TAR FIN'!$A$1:$O$113,15,0))*(1-0.04)</f>
        <v>49.219200000000001</v>
      </c>
      <c r="X201" s="56">
        <f>IF(ISERROR(VLOOKUP($U$201,'TAR FIN'!$A$1:$O$113,15,0)),0,VLOOKUP($U$201,'TAR FIN'!$A$1:$O$113,15,0))*(1-0.04)</f>
        <v>350.88</v>
      </c>
      <c r="Y201" s="56">
        <f ca="1">('TUSD BE'!$AM$13+'TUSD BF'!$AM$13+'TUSD CVA'!$AM$13)*1*(1-0.02)</f>
        <v>71.621212919574702</v>
      </c>
      <c r="Z201" s="56">
        <f ca="1">('TUSD BE'!$AM$15+'TUSD BF'!$AM$15+'TUSD CVA'!$AM$15)*1*(1-0.02)</f>
        <v>63.70726143397826</v>
      </c>
      <c r="AA201" s="56">
        <f>('TE BE'!$AA$10+'TE BF'!$AA$10+'TE CVA'!$AA$10)*1*(1-0.02)</f>
        <v>354.31913150043306</v>
      </c>
      <c r="AB201" s="56">
        <f>(SUBSIDIO!$J$201*SUBSIDIO!$V$201)*(0.04)/(1-0.04)</f>
        <v>1906.7271999999998</v>
      </c>
      <c r="AC201" s="56">
        <f>((SUBSIDIO!$L$201*SUBSIDIO!$W$201)+(SUBSIDIO!$N$201*SUBSIDIO!$X$201))*(0.04)/(1-0.04)</f>
        <v>330.39858519999996</v>
      </c>
      <c r="AD201" s="56">
        <f ca="1">(SUBSIDIO!$J$201*SUBSIDIO!$Y$201)*(0.02)/(1-0.02)</f>
        <v>1119.6295733958004</v>
      </c>
      <c r="AE201" s="56">
        <f ca="1">((SUBSIDIO!$L$201*SUBSIDIO!$Z$201)+(SUBSIDIO!$N$201*SUBSIDIO!$AA$201))*(0.02)/(1-0.02)</f>
        <v>169.07887921565506</v>
      </c>
      <c r="AF201" s="3" t="s">
        <v>1023</v>
      </c>
    </row>
    <row r="202" spans="1:32" ht="11.25" customHeight="1" x14ac:dyDescent="0.25">
      <c r="A202" s="3" t="s">
        <v>21</v>
      </c>
      <c r="B202" s="3" t="s">
        <v>41</v>
      </c>
      <c r="C202" s="3" t="s">
        <v>40</v>
      </c>
      <c r="D202" s="3" t="s">
        <v>45</v>
      </c>
      <c r="E202" s="3" t="s">
        <v>25</v>
      </c>
      <c r="F202" s="3" t="s">
        <v>25</v>
      </c>
      <c r="G202" s="3" t="s">
        <v>25</v>
      </c>
      <c r="H202" s="3" t="s">
        <v>34</v>
      </c>
      <c r="I202" s="6">
        <v>44593</v>
      </c>
      <c r="J202" s="4">
        <v>737</v>
      </c>
      <c r="K202" s="56">
        <v>737</v>
      </c>
      <c r="L202" s="4">
        <v>23.018000000000001</v>
      </c>
      <c r="M202" s="56">
        <v>23.018000000000001</v>
      </c>
      <c r="N202" s="4">
        <v>23.018000000000001</v>
      </c>
      <c r="O202" s="56">
        <v>23.018000000000001</v>
      </c>
      <c r="P202" s="4">
        <v>0</v>
      </c>
      <c r="Q202" s="3" t="s">
        <v>26</v>
      </c>
      <c r="R202" s="3">
        <v>0</v>
      </c>
      <c r="S202" s="3">
        <v>11</v>
      </c>
      <c r="T202" s="3">
        <v>110</v>
      </c>
      <c r="U202" s="3">
        <v>88</v>
      </c>
      <c r="V202" s="56">
        <f>IF(ISERROR(VLOOKUP($S$202,'TAR FIN'!$A$1:$O$113,15,0)),0,VLOOKUP($S$202,'TAR FIN'!$A$1:$O$113,15,0))*(1-0.04)</f>
        <v>59.740799999999993</v>
      </c>
      <c r="W202" s="56">
        <f>IF(ISERROR(VLOOKUP($T$202,'TAR FIN'!$A$1:$O$113,15,0)),0,VLOOKUP($T$202,'TAR FIN'!$A$1:$O$113,15,0))*(1-0.04)</f>
        <v>49.219200000000001</v>
      </c>
      <c r="X202" s="56">
        <f>IF(ISERROR(VLOOKUP($U$202,'TAR FIN'!$A$1:$O$113,15,0)),0,VLOOKUP($U$202,'TAR FIN'!$A$1:$O$113,15,0))*(1-0.04)</f>
        <v>350.88</v>
      </c>
      <c r="Y202" s="56">
        <f ca="1">('TUSD BE'!$AM$13+'TUSD BF'!$AM$13+'TUSD CVA'!$AM$13)*1*(1-0.02)</f>
        <v>71.621212919574702</v>
      </c>
      <c r="Z202" s="56">
        <f ca="1">('TUSD BE'!$AM$15+'TUSD BF'!$AM$15+'TUSD CVA'!$AM$15)*1*(1-0.02)</f>
        <v>63.70726143397826</v>
      </c>
      <c r="AA202" s="56">
        <f>('TE BE'!$AA$10+'TE BF'!$AA$10+'TE CVA'!$AA$10)*1*(1-0.02)</f>
        <v>354.31913150043306</v>
      </c>
      <c r="AB202" s="56">
        <f>(SUBSIDIO!$J$202*SUBSIDIO!$V$202)*(0.04)/(1-0.04)</f>
        <v>1834.5404000000001</v>
      </c>
      <c r="AC202" s="56">
        <f>((SUBSIDIO!$L$202*SUBSIDIO!$W$202)+(SUBSIDIO!$N$202*SUBSIDIO!$X$202))*(0.04)/(1-0.04)</f>
        <v>383.72847440000004</v>
      </c>
      <c r="AD202" s="56">
        <f ca="1">(SUBSIDIO!$J$202*SUBSIDIO!$Y$202)*(0.02)/(1-0.02)</f>
        <v>1077.2415086066644</v>
      </c>
      <c r="AE202" s="56">
        <f ca="1">((SUBSIDIO!$L$202*SUBSIDIO!$Z$202)+(SUBSIDIO!$N$202*SUBSIDIO!$AA$202))*(0.02)/(1-0.02)</f>
        <v>196.37003086865877</v>
      </c>
      <c r="AF202" s="3" t="s">
        <v>1023</v>
      </c>
    </row>
    <row r="203" spans="1:32" ht="11.25" customHeight="1" x14ac:dyDescent="0.25">
      <c r="A203" s="3" t="s">
        <v>56</v>
      </c>
      <c r="B203" s="3" t="s">
        <v>41</v>
      </c>
      <c r="C203" s="3" t="s">
        <v>40</v>
      </c>
      <c r="D203" s="3" t="s">
        <v>45</v>
      </c>
      <c r="E203" s="3" t="s">
        <v>25</v>
      </c>
      <c r="F203" s="3" t="s">
        <v>25</v>
      </c>
      <c r="G203" s="3" t="s">
        <v>25</v>
      </c>
      <c r="H203" s="3" t="s">
        <v>34</v>
      </c>
      <c r="I203" s="6">
        <v>44621</v>
      </c>
      <c r="J203" s="4">
        <v>737</v>
      </c>
      <c r="K203" s="56">
        <v>737</v>
      </c>
      <c r="L203" s="4">
        <v>23.018000000000001</v>
      </c>
      <c r="M203" s="56">
        <v>23.018000000000001</v>
      </c>
      <c r="N203" s="4">
        <v>23.018000000000001</v>
      </c>
      <c r="O203" s="56">
        <v>23.018000000000001</v>
      </c>
      <c r="P203" s="4">
        <v>0</v>
      </c>
      <c r="Q203" s="3" t="s">
        <v>26</v>
      </c>
      <c r="R203" s="3">
        <v>0</v>
      </c>
      <c r="S203" s="3">
        <v>11</v>
      </c>
      <c r="T203" s="3">
        <v>110</v>
      </c>
      <c r="U203" s="3">
        <v>88</v>
      </c>
      <c r="V203" s="56">
        <f>IF(ISERROR(VLOOKUP($S$203,'TAR FIN'!$A$1:$O$113,15,0)),0,VLOOKUP($S$203,'TAR FIN'!$A$1:$O$113,15,0))*(1-0.04)</f>
        <v>59.740799999999993</v>
      </c>
      <c r="W203" s="56">
        <f>IF(ISERROR(VLOOKUP($T$203,'TAR FIN'!$A$1:$O$113,15,0)),0,VLOOKUP($T$203,'TAR FIN'!$A$1:$O$113,15,0))*(1-0.04)</f>
        <v>49.219200000000001</v>
      </c>
      <c r="X203" s="56">
        <f>IF(ISERROR(VLOOKUP($U$203,'TAR FIN'!$A$1:$O$113,15,0)),0,VLOOKUP($U$203,'TAR FIN'!$A$1:$O$113,15,0))*(1-0.04)</f>
        <v>350.88</v>
      </c>
      <c r="Y203" s="56">
        <f ca="1">('TUSD BE'!$AM$13+'TUSD BF'!$AM$13+'TUSD CVA'!$AM$13)*1*(1-0.02)</f>
        <v>71.621212919574702</v>
      </c>
      <c r="Z203" s="56">
        <f ca="1">('TUSD BE'!$AM$15+'TUSD BF'!$AM$15+'TUSD CVA'!$AM$15)*1*(1-0.02)</f>
        <v>63.70726143397826</v>
      </c>
      <c r="AA203" s="56">
        <f>('TE BE'!$AA$10+'TE BF'!$AA$10+'TE CVA'!$AA$10)*1*(1-0.02)</f>
        <v>354.31913150043306</v>
      </c>
      <c r="AB203" s="56">
        <f>(SUBSIDIO!$J$203*SUBSIDIO!$V$203)*(0.04)/(1-0.04)</f>
        <v>1834.5404000000001</v>
      </c>
      <c r="AC203" s="56">
        <f>((SUBSIDIO!$L$203*SUBSIDIO!$W$203)+(SUBSIDIO!$N$203*SUBSIDIO!$X$203))*(0.04)/(1-0.04)</f>
        <v>383.72847440000004</v>
      </c>
      <c r="AD203" s="56">
        <f ca="1">(SUBSIDIO!$J$203*SUBSIDIO!$Y$203)*(0.02)/(1-0.02)</f>
        <v>1077.2415086066644</v>
      </c>
      <c r="AE203" s="56">
        <f ca="1">((SUBSIDIO!$L$203*SUBSIDIO!$Z$203)+(SUBSIDIO!$N$203*SUBSIDIO!$AA$203))*(0.02)/(1-0.02)</f>
        <v>196.37003086865877</v>
      </c>
      <c r="AF203" s="3" t="s">
        <v>1023</v>
      </c>
    </row>
    <row r="204" spans="1:32" ht="11.25" customHeight="1" x14ac:dyDescent="0.25">
      <c r="A204" s="3" t="s">
        <v>21</v>
      </c>
      <c r="B204" s="3" t="s">
        <v>41</v>
      </c>
      <c r="C204" s="3" t="s">
        <v>40</v>
      </c>
      <c r="D204" s="3" t="s">
        <v>50</v>
      </c>
      <c r="E204" s="3" t="s">
        <v>51</v>
      </c>
      <c r="F204" s="3" t="s">
        <v>25</v>
      </c>
      <c r="G204" s="3" t="s">
        <v>25</v>
      </c>
      <c r="H204" s="3" t="s">
        <v>35</v>
      </c>
      <c r="I204" s="6">
        <v>44287</v>
      </c>
      <c r="J204" s="4">
        <v>7026</v>
      </c>
      <c r="K204" s="57">
        <v>7026</v>
      </c>
      <c r="L204" s="4">
        <v>3424.1260000000002</v>
      </c>
      <c r="M204" s="56">
        <v>3424.1260000000002</v>
      </c>
      <c r="N204" s="4">
        <v>3424.1260000000002</v>
      </c>
      <c r="O204" s="56">
        <v>3424.1260000000002</v>
      </c>
      <c r="P204" s="4">
        <v>0</v>
      </c>
      <c r="Q204" s="3" t="s">
        <v>26</v>
      </c>
      <c r="R204" s="3">
        <v>0</v>
      </c>
      <c r="S204" s="3">
        <v>12</v>
      </c>
      <c r="T204" s="3">
        <v>110</v>
      </c>
      <c r="U204" s="3">
        <v>89</v>
      </c>
      <c r="V204" s="56">
        <f>IF(ISERROR(VLOOKUP($S$204,'TAR FIN'!$A$1:$O$113,15,0)),0,VLOOKUP($S$204,'TAR FIN'!$A$1:$O$113,15,0))*(1-0.06)</f>
        <v>22.851399999999998</v>
      </c>
      <c r="W204" s="56">
        <f>IF(ISERROR(VLOOKUP($T$204,'TAR FIN'!$A$1:$O$113,15,0)),0,VLOOKUP($T$204,'TAR FIN'!$A$1:$O$113,15,0))*(1-0.06)</f>
        <v>48.193800000000003</v>
      </c>
      <c r="X204" s="56">
        <f>IF(ISERROR(VLOOKUP($U$204,'TAR FIN'!$A$1:$O$113,15,0)),0,VLOOKUP($U$204,'TAR FIN'!$A$1:$O$113,15,0))*(1-0.06)</f>
        <v>208.97139999999999</v>
      </c>
      <c r="Y204" s="56">
        <f ca="1">('TUSD BE'!$AM$14+'TUSD BF'!$AM$14+'TUSD CVA'!$AM$14)*1*(1-0.03)</f>
        <v>25.800132407241311</v>
      </c>
      <c r="Z204" s="56">
        <f ca="1">('TUSD BE'!$AM$15+'TUSD BF'!$AM$15+'TUSD CVA'!$AM$15)*1*(1-0.03)</f>
        <v>63.057187337713181</v>
      </c>
      <c r="AA204" s="56">
        <f>('TE BE'!$AA$11+'TE BF'!$AA$11+'TE CVA'!$AA$11)*1*(1-0.03)</f>
        <v>216.45124957683362</v>
      </c>
      <c r="AB204" s="56">
        <f>(SUBSIDIO!$J$204*SUBSIDIO!$V$204)*(0.06)/(1-0.06)</f>
        <v>10248.123599999997</v>
      </c>
      <c r="AC204" s="56">
        <f>((SUBSIDIO!$L$204*SUBSIDIO!$W$204)+(SUBSIDIO!$N$204*SUBSIDIO!$X$204))*(0.06)/(1-0.06)</f>
        <v>56206.343464799997</v>
      </c>
      <c r="AD204" s="56">
        <f ca="1">(SUBSIDIO!$J$204*SUBSIDIO!$Y$204)*(0.03)/(1-0.03)</f>
        <v>5606.3421740188905</v>
      </c>
      <c r="AE204" s="56">
        <f ca="1">((SUBSIDIO!$L$204*SUBSIDIO!$Z$204)+(SUBSIDIO!$N$204*SUBSIDIO!$AA$204))*(0.03)/(1-0.03)</f>
        <v>29600.16822861215</v>
      </c>
      <c r="AF204" s="3" t="s">
        <v>1025</v>
      </c>
    </row>
    <row r="205" spans="1:32" ht="11.25" customHeight="1" x14ac:dyDescent="0.25">
      <c r="A205" s="3" t="s">
        <v>21</v>
      </c>
      <c r="B205" s="3" t="s">
        <v>41</v>
      </c>
      <c r="C205" s="3" t="s">
        <v>40</v>
      </c>
      <c r="D205" s="3" t="s">
        <v>50</v>
      </c>
      <c r="E205" s="3" t="s">
        <v>51</v>
      </c>
      <c r="F205" s="3" t="s">
        <v>25</v>
      </c>
      <c r="G205" s="3" t="s">
        <v>25</v>
      </c>
      <c r="H205" s="3" t="s">
        <v>35</v>
      </c>
      <c r="I205" s="6">
        <v>44317</v>
      </c>
      <c r="J205" s="4">
        <v>7064</v>
      </c>
      <c r="K205" s="57">
        <v>7064</v>
      </c>
      <c r="L205" s="4">
        <v>3484.2539999999999</v>
      </c>
      <c r="M205" s="56">
        <v>3484.2539999999999</v>
      </c>
      <c r="N205" s="4">
        <v>3484.2539999999999</v>
      </c>
      <c r="O205" s="56">
        <v>3484.2539999999999</v>
      </c>
      <c r="P205" s="4">
        <v>0</v>
      </c>
      <c r="Q205" s="3" t="s">
        <v>26</v>
      </c>
      <c r="R205" s="3">
        <v>0</v>
      </c>
      <c r="S205" s="3">
        <v>12</v>
      </c>
      <c r="T205" s="3">
        <v>110</v>
      </c>
      <c r="U205" s="3">
        <v>89</v>
      </c>
      <c r="V205" s="56">
        <f>IF(ISERROR(VLOOKUP($S$205,'TAR FIN'!$A$1:$O$113,15,0)),0,VLOOKUP($S$205,'TAR FIN'!$A$1:$O$113,15,0))*(1-0.06)</f>
        <v>22.851399999999998</v>
      </c>
      <c r="W205" s="56">
        <f>IF(ISERROR(VLOOKUP($T$205,'TAR FIN'!$A$1:$O$113,15,0)),0,VLOOKUP($T$205,'TAR FIN'!$A$1:$O$113,15,0))*(1-0.06)</f>
        <v>48.193800000000003</v>
      </c>
      <c r="X205" s="56">
        <f>IF(ISERROR(VLOOKUP($U$205,'TAR FIN'!$A$1:$O$113,15,0)),0,VLOOKUP($U$205,'TAR FIN'!$A$1:$O$113,15,0))*(1-0.06)</f>
        <v>208.97139999999999</v>
      </c>
      <c r="Y205" s="56">
        <f ca="1">('TUSD BE'!$AM$14+'TUSD BF'!$AM$14+'TUSD CVA'!$AM$14)*1*(1-0.03)</f>
        <v>25.800132407241311</v>
      </c>
      <c r="Z205" s="56">
        <f ca="1">('TUSD BE'!$AM$15+'TUSD BF'!$AM$15+'TUSD CVA'!$AM$15)*1*(1-0.03)</f>
        <v>63.057187337713181</v>
      </c>
      <c r="AA205" s="56">
        <f>('TE BE'!$AA$11+'TE BF'!$AA$11+'TE CVA'!$AA$11)*1*(1-0.03)</f>
        <v>216.45124957683362</v>
      </c>
      <c r="AB205" s="56">
        <f>(SUBSIDIO!$J$205*SUBSIDIO!$V$205)*(0.06)/(1-0.06)</f>
        <v>10303.5504</v>
      </c>
      <c r="AC205" s="56">
        <f>((SUBSIDIO!$L$205*SUBSIDIO!$W$205)+(SUBSIDIO!$N$205*SUBSIDIO!$X$205))*(0.06)/(1-0.06)</f>
        <v>57193.332559200004</v>
      </c>
      <c r="AD205" s="56">
        <f ca="1">(SUBSIDIO!$J$205*SUBSIDIO!$Y$205)*(0.03)/(1-0.03)</f>
        <v>5636.6639791160615</v>
      </c>
      <c r="AE205" s="56">
        <f ca="1">((SUBSIDIO!$L$205*SUBSIDIO!$Z$205)+(SUBSIDIO!$N$205*SUBSIDIO!$AA$205))*(0.03)/(1-0.03)</f>
        <v>30119.950186183218</v>
      </c>
      <c r="AF205" s="3" t="s">
        <v>1025</v>
      </c>
    </row>
    <row r="206" spans="1:32" ht="11.25" customHeight="1" x14ac:dyDescent="0.25">
      <c r="A206" s="3" t="s">
        <v>21</v>
      </c>
      <c r="B206" s="3" t="s">
        <v>41</v>
      </c>
      <c r="C206" s="3" t="s">
        <v>40</v>
      </c>
      <c r="D206" s="3" t="s">
        <v>50</v>
      </c>
      <c r="E206" s="3" t="s">
        <v>51</v>
      </c>
      <c r="F206" s="3" t="s">
        <v>25</v>
      </c>
      <c r="G206" s="3" t="s">
        <v>25</v>
      </c>
      <c r="H206" s="3" t="s">
        <v>35</v>
      </c>
      <c r="I206" s="6">
        <v>44348</v>
      </c>
      <c r="J206" s="4">
        <v>11333</v>
      </c>
      <c r="K206" s="57">
        <v>11333</v>
      </c>
      <c r="L206" s="4">
        <v>5526.6139999999996</v>
      </c>
      <c r="M206" s="56">
        <v>5526.6139999999996</v>
      </c>
      <c r="N206" s="4">
        <v>5526.6139999999996</v>
      </c>
      <c r="O206" s="56">
        <v>5526.6139999999996</v>
      </c>
      <c r="P206" s="4">
        <v>0</v>
      </c>
      <c r="Q206" s="3" t="s">
        <v>26</v>
      </c>
      <c r="R206" s="3">
        <v>0</v>
      </c>
      <c r="S206" s="3">
        <v>12</v>
      </c>
      <c r="T206" s="3">
        <v>110</v>
      </c>
      <c r="U206" s="3">
        <v>89</v>
      </c>
      <c r="V206" s="56">
        <f>IF(ISERROR(VLOOKUP($S$206,'TAR FIN'!$A$1:$O$113,15,0)),0,VLOOKUP($S$206,'TAR FIN'!$A$1:$O$113,15,0))*(1-0.06)</f>
        <v>22.851399999999998</v>
      </c>
      <c r="W206" s="56">
        <f>IF(ISERROR(VLOOKUP($T$206,'TAR FIN'!$A$1:$O$113,15,0)),0,VLOOKUP($T$206,'TAR FIN'!$A$1:$O$113,15,0))*(1-0.06)</f>
        <v>48.193800000000003</v>
      </c>
      <c r="X206" s="56">
        <f>IF(ISERROR(VLOOKUP($U$206,'TAR FIN'!$A$1:$O$113,15,0)),0,VLOOKUP($U$206,'TAR FIN'!$A$1:$O$113,15,0))*(1-0.06)</f>
        <v>208.97139999999999</v>
      </c>
      <c r="Y206" s="56">
        <f ca="1">('TUSD BE'!$AM$14+'TUSD BF'!$AM$14+'TUSD CVA'!$AM$14)*1*(1-0.03)</f>
        <v>25.800132407241311</v>
      </c>
      <c r="Z206" s="56">
        <f ca="1">('TUSD BE'!$AM$15+'TUSD BF'!$AM$15+'TUSD CVA'!$AM$15)*1*(1-0.03)</f>
        <v>63.057187337713181</v>
      </c>
      <c r="AA206" s="56">
        <f>('TE BE'!$AA$11+'TE BF'!$AA$11+'TE CVA'!$AA$11)*1*(1-0.03)</f>
        <v>216.45124957683362</v>
      </c>
      <c r="AB206" s="56">
        <f>(SUBSIDIO!$J$206*SUBSIDIO!$V$206)*(0.06)/(1-0.06)</f>
        <v>16530.3138</v>
      </c>
      <c r="AC206" s="56">
        <f>((SUBSIDIO!$L$206*SUBSIDIO!$W$206)+(SUBSIDIO!$N$206*SUBSIDIO!$X$206))*(0.06)/(1-0.06)</f>
        <v>90718.263487200005</v>
      </c>
      <c r="AD206" s="56">
        <f ca="1">(SUBSIDIO!$J$206*SUBSIDIO!$Y$206)*(0.03)/(1-0.03)</f>
        <v>9043.0793991113114</v>
      </c>
      <c r="AE206" s="56">
        <f ca="1">((SUBSIDIO!$L$206*SUBSIDIO!$Z$206)+(SUBSIDIO!$N$206*SUBSIDIO!$AA$206))*(0.03)/(1-0.03)</f>
        <v>47775.316718661372</v>
      </c>
      <c r="AF206" s="3" t="s">
        <v>1025</v>
      </c>
    </row>
    <row r="207" spans="1:32" ht="11.25" customHeight="1" x14ac:dyDescent="0.25">
      <c r="A207" s="3" t="s">
        <v>21</v>
      </c>
      <c r="B207" s="3" t="s">
        <v>41</v>
      </c>
      <c r="C207" s="3" t="s">
        <v>40</v>
      </c>
      <c r="D207" s="3" t="s">
        <v>50</v>
      </c>
      <c r="E207" s="3" t="s">
        <v>51</v>
      </c>
      <c r="F207" s="3" t="s">
        <v>25</v>
      </c>
      <c r="G207" s="3" t="s">
        <v>25</v>
      </c>
      <c r="H207" s="3" t="s">
        <v>35</v>
      </c>
      <c r="I207" s="6">
        <v>44378</v>
      </c>
      <c r="J207" s="4">
        <v>11554</v>
      </c>
      <c r="K207" s="57">
        <v>11554</v>
      </c>
      <c r="L207" s="4">
        <v>5620.0230000000001</v>
      </c>
      <c r="M207" s="56">
        <v>5620.0230000000001</v>
      </c>
      <c r="N207" s="4">
        <v>5620.0230000000001</v>
      </c>
      <c r="O207" s="56">
        <v>5620.0230000000001</v>
      </c>
      <c r="P207" s="4">
        <v>0</v>
      </c>
      <c r="Q207" s="3" t="s">
        <v>26</v>
      </c>
      <c r="R207" s="3">
        <v>0</v>
      </c>
      <c r="S207" s="3">
        <v>12</v>
      </c>
      <c r="T207" s="3">
        <v>110</v>
      </c>
      <c r="U207" s="3">
        <v>89</v>
      </c>
      <c r="V207" s="56">
        <f>IF(ISERROR(VLOOKUP($S$207,'TAR FIN'!$A$1:$O$113,15,0)),0,VLOOKUP($S$207,'TAR FIN'!$A$1:$O$113,15,0))*(1-0.06)</f>
        <v>22.851399999999998</v>
      </c>
      <c r="W207" s="56">
        <f>IF(ISERROR(VLOOKUP($T$207,'TAR FIN'!$A$1:$O$113,15,0)),0,VLOOKUP($T$207,'TAR FIN'!$A$1:$O$113,15,0))*(1-0.06)</f>
        <v>48.193800000000003</v>
      </c>
      <c r="X207" s="56">
        <f>IF(ISERROR(VLOOKUP($U$207,'TAR FIN'!$A$1:$O$113,15,0)),0,VLOOKUP($U$207,'TAR FIN'!$A$1:$O$113,15,0))*(1-0.06)</f>
        <v>208.97139999999999</v>
      </c>
      <c r="Y207" s="56">
        <f ca="1">('TUSD BE'!$AM$14+'TUSD BF'!$AM$14+'TUSD CVA'!$AM$14)*1*(1-0.03)</f>
        <v>25.800132407241311</v>
      </c>
      <c r="Z207" s="56">
        <f ca="1">('TUSD BE'!$AM$15+'TUSD BF'!$AM$15+'TUSD CVA'!$AM$15)*1*(1-0.03)</f>
        <v>63.057187337713181</v>
      </c>
      <c r="AA207" s="56">
        <f>('TE BE'!$AA$11+'TE BF'!$AA$11+'TE CVA'!$AA$11)*1*(1-0.03)</f>
        <v>216.45124957683362</v>
      </c>
      <c r="AB207" s="56">
        <f>(SUBSIDIO!$J$207*SUBSIDIO!$V$207)*(0.06)/(1-0.06)</f>
        <v>16852.664399999998</v>
      </c>
      <c r="AC207" s="56">
        <f>((SUBSIDIO!$L$207*SUBSIDIO!$W$207)+(SUBSIDIO!$N$207*SUBSIDIO!$X$207))*(0.06)/(1-0.06)</f>
        <v>92251.553540400011</v>
      </c>
      <c r="AD207" s="56">
        <f ca="1">(SUBSIDIO!$J$207*SUBSIDIO!$Y$207)*(0.03)/(1-0.03)</f>
        <v>9219.4246340185382</v>
      </c>
      <c r="AE207" s="56">
        <f ca="1">((SUBSIDIO!$L$207*SUBSIDIO!$Z$207)+(SUBSIDIO!$N$207*SUBSIDIO!$AA$207))*(0.03)/(1-0.03)</f>
        <v>48582.799303725842</v>
      </c>
      <c r="AF207" s="3" t="s">
        <v>1025</v>
      </c>
    </row>
    <row r="208" spans="1:32" ht="11.25" customHeight="1" x14ac:dyDescent="0.25">
      <c r="A208" s="3" t="s">
        <v>27</v>
      </c>
      <c r="B208" s="3" t="s">
        <v>41</v>
      </c>
      <c r="C208" s="3" t="s">
        <v>40</v>
      </c>
      <c r="D208" s="3" t="s">
        <v>50</v>
      </c>
      <c r="E208" s="3" t="s">
        <v>51</v>
      </c>
      <c r="F208" s="3" t="s">
        <v>25</v>
      </c>
      <c r="G208" s="3" t="s">
        <v>25</v>
      </c>
      <c r="H208" s="3" t="s">
        <v>35</v>
      </c>
      <c r="I208" s="6">
        <v>44378</v>
      </c>
      <c r="J208" s="4">
        <v>-8</v>
      </c>
      <c r="K208" s="57">
        <v>-8</v>
      </c>
      <c r="L208" s="4">
        <v>-28</v>
      </c>
      <c r="M208" s="56">
        <v>-28</v>
      </c>
      <c r="N208" s="4">
        <v>-28</v>
      </c>
      <c r="O208" s="56">
        <v>-28</v>
      </c>
      <c r="P208" s="4">
        <v>0</v>
      </c>
      <c r="Q208" s="3" t="s">
        <v>26</v>
      </c>
      <c r="R208" s="3">
        <v>0</v>
      </c>
      <c r="S208" s="3">
        <v>12</v>
      </c>
      <c r="T208" s="3">
        <v>110</v>
      </c>
      <c r="U208" s="3">
        <v>89</v>
      </c>
      <c r="V208" s="56">
        <f>IF(ISERROR(VLOOKUP($S$208,'TAR FIN'!$A$1:$O$113,15,0)),0,VLOOKUP($S$208,'TAR FIN'!$A$1:$O$113,15,0))*(1-0.06)</f>
        <v>22.851399999999998</v>
      </c>
      <c r="W208" s="56">
        <f>IF(ISERROR(VLOOKUP($T$208,'TAR FIN'!$A$1:$O$113,15,0)),0,VLOOKUP($T$208,'TAR FIN'!$A$1:$O$113,15,0))*(1-0.06)</f>
        <v>48.193800000000003</v>
      </c>
      <c r="X208" s="56">
        <f>IF(ISERROR(VLOOKUP($U$208,'TAR FIN'!$A$1:$O$113,15,0)),0,VLOOKUP($U$208,'TAR FIN'!$A$1:$O$113,15,0))*(1-0.06)</f>
        <v>208.97139999999999</v>
      </c>
      <c r="Y208" s="56">
        <f ca="1">('TUSD BE'!$AM$14+'TUSD BF'!$AM$14+'TUSD CVA'!$AM$14)*1*(1-0.03)</f>
        <v>25.800132407241311</v>
      </c>
      <c r="Z208" s="56">
        <f ca="1">('TUSD BE'!$AM$15+'TUSD BF'!$AM$15+'TUSD CVA'!$AM$15)*1*(1-0.03)</f>
        <v>63.057187337713181</v>
      </c>
      <c r="AA208" s="56">
        <f>('TE BE'!$AA$11+'TE BF'!$AA$11+'TE CVA'!$AA$11)*1*(1-0.03)</f>
        <v>216.45124957683362</v>
      </c>
      <c r="AB208" s="56">
        <f>(SUBSIDIO!$J$208*SUBSIDIO!$V$208)*(0.06)/(1-0.06)</f>
        <v>-11.668799999999999</v>
      </c>
      <c r="AC208" s="56">
        <f>((SUBSIDIO!$L$208*SUBSIDIO!$W$208)+(SUBSIDIO!$N$208*SUBSIDIO!$X$208))*(0.06)/(1-0.06)</f>
        <v>-459.61439999999999</v>
      </c>
      <c r="AD208" s="56">
        <f ca="1">(SUBSIDIO!$J$208*SUBSIDIO!$Y$208)*(0.03)/(1-0.03)</f>
        <v>-6.3835379151937257</v>
      </c>
      <c r="AE208" s="56">
        <f ca="1">((SUBSIDIO!$L$208*SUBSIDIO!$Z$208)+(SUBSIDIO!$N$208*SUBSIDIO!$AA$208))*(0.03)/(1-0.03)</f>
        <v>-242.0485433074426</v>
      </c>
      <c r="AF208" s="3" t="s">
        <v>1025</v>
      </c>
    </row>
    <row r="209" spans="1:32" ht="11.25" customHeight="1" x14ac:dyDescent="0.25">
      <c r="A209" s="3" t="s">
        <v>21</v>
      </c>
      <c r="B209" s="3" t="s">
        <v>41</v>
      </c>
      <c r="C209" s="3" t="s">
        <v>40</v>
      </c>
      <c r="D209" s="3" t="s">
        <v>50</v>
      </c>
      <c r="E209" s="3" t="s">
        <v>51</v>
      </c>
      <c r="F209" s="3" t="s">
        <v>25</v>
      </c>
      <c r="G209" s="3" t="s">
        <v>25</v>
      </c>
      <c r="H209" s="3" t="s">
        <v>35</v>
      </c>
      <c r="I209" s="6">
        <v>44409</v>
      </c>
      <c r="J209" s="4">
        <v>5382</v>
      </c>
      <c r="K209" s="57">
        <v>5382</v>
      </c>
      <c r="L209" s="4">
        <v>2391.4760000000001</v>
      </c>
      <c r="M209" s="56">
        <v>2391.4760000000001</v>
      </c>
      <c r="N209" s="4">
        <v>2391.4760000000001</v>
      </c>
      <c r="O209" s="56">
        <v>2391.4760000000001</v>
      </c>
      <c r="P209" s="4">
        <v>0</v>
      </c>
      <c r="Q209" s="3" t="s">
        <v>26</v>
      </c>
      <c r="R209" s="3">
        <v>0</v>
      </c>
      <c r="S209" s="3">
        <v>12</v>
      </c>
      <c r="T209" s="3">
        <v>110</v>
      </c>
      <c r="U209" s="3">
        <v>89</v>
      </c>
      <c r="V209" s="56">
        <f>IF(ISERROR(VLOOKUP($S$209,'TAR FIN'!$A$1:$O$113,15,0)),0,VLOOKUP($S$209,'TAR FIN'!$A$1:$O$113,15,0))*(1-0.06)</f>
        <v>22.851399999999998</v>
      </c>
      <c r="W209" s="56">
        <f>IF(ISERROR(VLOOKUP($T$209,'TAR FIN'!$A$1:$O$113,15,0)),0,VLOOKUP($T$209,'TAR FIN'!$A$1:$O$113,15,0))*(1-0.06)</f>
        <v>48.193800000000003</v>
      </c>
      <c r="X209" s="56">
        <f>IF(ISERROR(VLOOKUP($U$209,'TAR FIN'!$A$1:$O$113,15,0)),0,VLOOKUP($U$209,'TAR FIN'!$A$1:$O$113,15,0))*(1-0.06)</f>
        <v>208.97139999999999</v>
      </c>
      <c r="Y209" s="56">
        <f ca="1">('TUSD BE'!$AM$14+'TUSD BF'!$AM$14+'TUSD CVA'!$AM$14)*1*(1-0.03)</f>
        <v>25.800132407241311</v>
      </c>
      <c r="Z209" s="56">
        <f ca="1">('TUSD BE'!$AM$15+'TUSD BF'!$AM$15+'TUSD CVA'!$AM$15)*1*(1-0.03)</f>
        <v>63.057187337713181</v>
      </c>
      <c r="AA209" s="56">
        <f>('TE BE'!$AA$11+'TE BF'!$AA$11+'TE CVA'!$AA$11)*1*(1-0.03)</f>
        <v>216.45124957683362</v>
      </c>
      <c r="AB209" s="56">
        <f>(SUBSIDIO!$J$209*SUBSIDIO!$V$209)*(0.06)/(1-0.06)</f>
        <v>7850.185199999999</v>
      </c>
      <c r="AC209" s="56">
        <f>((SUBSIDIO!$L$209*SUBSIDIO!$W$209)+(SUBSIDIO!$N$209*SUBSIDIO!$X$209))*(0.06)/(1-0.06)</f>
        <v>39255.6002448</v>
      </c>
      <c r="AD209" s="56">
        <f ca="1">(SUBSIDIO!$J$209*SUBSIDIO!$Y$209)*(0.03)/(1-0.03)</f>
        <v>4294.5251324465798</v>
      </c>
      <c r="AE209" s="56">
        <f ca="1">((SUBSIDIO!$L$209*SUBSIDIO!$Z$209)+(SUBSIDIO!$N$209*SUBSIDIO!$AA$209))*(0.03)/(1-0.03)</f>
        <v>20673.331505525344</v>
      </c>
      <c r="AF209" s="3" t="s">
        <v>1025</v>
      </c>
    </row>
    <row r="210" spans="1:32" ht="11.25" customHeight="1" x14ac:dyDescent="0.25">
      <c r="A210" s="3" t="s">
        <v>21</v>
      </c>
      <c r="B210" s="3" t="s">
        <v>41</v>
      </c>
      <c r="C210" s="3" t="s">
        <v>40</v>
      </c>
      <c r="D210" s="3" t="s">
        <v>50</v>
      </c>
      <c r="E210" s="3" t="s">
        <v>51</v>
      </c>
      <c r="F210" s="3" t="s">
        <v>25</v>
      </c>
      <c r="G210" s="3" t="s">
        <v>25</v>
      </c>
      <c r="H210" s="3" t="s">
        <v>35</v>
      </c>
      <c r="I210" s="6">
        <v>44440</v>
      </c>
      <c r="J210" s="4">
        <v>5325</v>
      </c>
      <c r="K210" s="57">
        <v>5325</v>
      </c>
      <c r="L210" s="4">
        <v>2351.6170000000002</v>
      </c>
      <c r="M210" s="56">
        <v>2351.6170000000002</v>
      </c>
      <c r="N210" s="4">
        <v>2351.6170000000002</v>
      </c>
      <c r="O210" s="56">
        <v>2351.6170000000002</v>
      </c>
      <c r="P210" s="4">
        <v>0</v>
      </c>
      <c r="Q210" s="3" t="s">
        <v>26</v>
      </c>
      <c r="R210" s="3">
        <v>0</v>
      </c>
      <c r="S210" s="3">
        <v>12</v>
      </c>
      <c r="T210" s="3">
        <v>110</v>
      </c>
      <c r="U210" s="3">
        <v>89</v>
      </c>
      <c r="V210" s="56">
        <f>IF(ISERROR(VLOOKUP($S$210,'TAR FIN'!$A$1:$O$113,15,0)),0,VLOOKUP($S$210,'TAR FIN'!$A$1:$O$113,15,0))*(1-0.06)</f>
        <v>22.851399999999998</v>
      </c>
      <c r="W210" s="56">
        <f>IF(ISERROR(VLOOKUP($T$210,'TAR FIN'!$A$1:$O$113,15,0)),0,VLOOKUP($T$210,'TAR FIN'!$A$1:$O$113,15,0))*(1-0.06)</f>
        <v>48.193800000000003</v>
      </c>
      <c r="X210" s="56">
        <f>IF(ISERROR(VLOOKUP($U$210,'TAR FIN'!$A$1:$O$113,15,0)),0,VLOOKUP($U$210,'TAR FIN'!$A$1:$O$113,15,0))*(1-0.06)</f>
        <v>208.97139999999999</v>
      </c>
      <c r="Y210" s="56">
        <f ca="1">('TUSD BE'!$AM$14+'TUSD BF'!$AM$14+'TUSD CVA'!$AM$14)*1*(1-0.03)</f>
        <v>25.800132407241311</v>
      </c>
      <c r="Z210" s="56">
        <f ca="1">('TUSD BE'!$AM$15+'TUSD BF'!$AM$15+'TUSD CVA'!$AM$15)*1*(1-0.03)</f>
        <v>63.057187337713181</v>
      </c>
      <c r="AA210" s="56">
        <f>('TE BE'!$AA$11+'TE BF'!$AA$11+'TE CVA'!$AA$11)*1*(1-0.03)</f>
        <v>216.45124957683362</v>
      </c>
      <c r="AB210" s="56">
        <f>(SUBSIDIO!$J$210*SUBSIDIO!$V$210)*(0.06)/(1-0.06)</f>
        <v>7767.0449999999992</v>
      </c>
      <c r="AC210" s="56">
        <f>((SUBSIDIO!$L$210*SUBSIDIO!$W$210)+(SUBSIDIO!$N$210*SUBSIDIO!$X$210))*(0.06)/(1-0.06)</f>
        <v>38601.322731600005</v>
      </c>
      <c r="AD210" s="56">
        <f ca="1">(SUBSIDIO!$J$210*SUBSIDIO!$Y$210)*(0.03)/(1-0.03)</f>
        <v>4249.0424248008239</v>
      </c>
      <c r="AE210" s="56">
        <f ca="1">((SUBSIDIO!$L$210*SUBSIDIO!$Z$210)+(SUBSIDIO!$N$210*SUBSIDIO!$AA$210))*(0.03)/(1-0.03)</f>
        <v>20328.766759536367</v>
      </c>
      <c r="AF210" s="3" t="s">
        <v>1025</v>
      </c>
    </row>
    <row r="211" spans="1:32" ht="11.25" customHeight="1" x14ac:dyDescent="0.25">
      <c r="A211" s="3" t="s">
        <v>21</v>
      </c>
      <c r="B211" s="3" t="s">
        <v>41</v>
      </c>
      <c r="C211" s="3" t="s">
        <v>40</v>
      </c>
      <c r="D211" s="3" t="s">
        <v>50</v>
      </c>
      <c r="E211" s="3" t="s">
        <v>51</v>
      </c>
      <c r="F211" s="3" t="s">
        <v>25</v>
      </c>
      <c r="G211" s="3" t="s">
        <v>25</v>
      </c>
      <c r="H211" s="3" t="s">
        <v>35</v>
      </c>
      <c r="I211" s="6">
        <v>44470</v>
      </c>
      <c r="J211" s="4">
        <v>5380</v>
      </c>
      <c r="K211" s="57">
        <v>5380</v>
      </c>
      <c r="L211" s="4">
        <v>2387.5569999999998</v>
      </c>
      <c r="M211" s="56">
        <v>2387.5569999999998</v>
      </c>
      <c r="N211" s="4">
        <v>2387.5569999999998</v>
      </c>
      <c r="O211" s="56">
        <v>2387.5569999999998</v>
      </c>
      <c r="P211" s="4">
        <v>0</v>
      </c>
      <c r="Q211" s="3" t="s">
        <v>26</v>
      </c>
      <c r="R211" s="3">
        <v>0</v>
      </c>
      <c r="S211" s="3">
        <v>12</v>
      </c>
      <c r="T211" s="3">
        <v>110</v>
      </c>
      <c r="U211" s="3">
        <v>89</v>
      </c>
      <c r="V211" s="56">
        <f>IF(ISERROR(VLOOKUP($S$211,'TAR FIN'!$A$1:$O$113,15,0)),0,VLOOKUP($S$211,'TAR FIN'!$A$1:$O$113,15,0))*(1-0.06)</f>
        <v>22.851399999999998</v>
      </c>
      <c r="W211" s="56">
        <f>IF(ISERROR(VLOOKUP($T$211,'TAR FIN'!$A$1:$O$113,15,0)),0,VLOOKUP($T$211,'TAR FIN'!$A$1:$O$113,15,0))*(1-0.06)</f>
        <v>48.193800000000003</v>
      </c>
      <c r="X211" s="56">
        <f>IF(ISERROR(VLOOKUP($U$211,'TAR FIN'!$A$1:$O$113,15,0)),0,VLOOKUP($U$211,'TAR FIN'!$A$1:$O$113,15,0))*(1-0.06)</f>
        <v>208.97139999999999</v>
      </c>
      <c r="Y211" s="56">
        <f ca="1">('TUSD BE'!$AM$14+'TUSD BF'!$AM$14+'TUSD CVA'!$AM$14)*1*(1-0.03)</f>
        <v>25.800132407241311</v>
      </c>
      <c r="Z211" s="56">
        <f ca="1">('TUSD BE'!$AM$15+'TUSD BF'!$AM$15+'TUSD CVA'!$AM$15)*1*(1-0.03)</f>
        <v>63.057187337713181</v>
      </c>
      <c r="AA211" s="56">
        <f>('TE BE'!$AA$11+'TE BF'!$AA$11+'TE CVA'!$AA$11)*1*(1-0.03)</f>
        <v>216.45124957683362</v>
      </c>
      <c r="AB211" s="56">
        <f>(SUBSIDIO!$J$211*SUBSIDIO!$V$211)*(0.06)/(1-0.06)</f>
        <v>7847.2679999999991</v>
      </c>
      <c r="AC211" s="56">
        <f>((SUBSIDIO!$L$211*SUBSIDIO!$W$211)+(SUBSIDIO!$N$211*SUBSIDIO!$X$211))*(0.06)/(1-0.06)</f>
        <v>39191.270643600001</v>
      </c>
      <c r="AD211" s="56">
        <f ca="1">(SUBSIDIO!$J$211*SUBSIDIO!$Y$211)*(0.03)/(1-0.03)</f>
        <v>4292.9292479677815</v>
      </c>
      <c r="AE211" s="56">
        <f ca="1">((SUBSIDIO!$L$211*SUBSIDIO!$Z$211)+(SUBSIDIO!$N$211*SUBSIDIO!$AA$211))*(0.03)/(1-0.03)</f>
        <v>20639.453354053127</v>
      </c>
      <c r="AF211" s="3" t="s">
        <v>1025</v>
      </c>
    </row>
    <row r="212" spans="1:32" ht="11.25" customHeight="1" x14ac:dyDescent="0.25">
      <c r="A212" s="3" t="s">
        <v>21</v>
      </c>
      <c r="B212" s="3" t="s">
        <v>41</v>
      </c>
      <c r="C212" s="3" t="s">
        <v>40</v>
      </c>
      <c r="D212" s="3" t="s">
        <v>50</v>
      </c>
      <c r="E212" s="3" t="s">
        <v>51</v>
      </c>
      <c r="F212" s="3" t="s">
        <v>25</v>
      </c>
      <c r="G212" s="3" t="s">
        <v>25</v>
      </c>
      <c r="H212" s="3" t="s">
        <v>35</v>
      </c>
      <c r="I212" s="6">
        <v>44501</v>
      </c>
      <c r="J212" s="4">
        <v>5360</v>
      </c>
      <c r="K212" s="57">
        <v>5360</v>
      </c>
      <c r="L212" s="4">
        <v>2342.62</v>
      </c>
      <c r="M212" s="56">
        <v>2342.62</v>
      </c>
      <c r="N212" s="4">
        <v>2342.62</v>
      </c>
      <c r="O212" s="56">
        <v>2342.62</v>
      </c>
      <c r="P212" s="4">
        <v>0</v>
      </c>
      <c r="Q212" s="3" t="s">
        <v>26</v>
      </c>
      <c r="R212" s="3">
        <v>0</v>
      </c>
      <c r="S212" s="3">
        <v>12</v>
      </c>
      <c r="T212" s="3">
        <v>110</v>
      </c>
      <c r="U212" s="3">
        <v>89</v>
      </c>
      <c r="V212" s="56">
        <f>IF(ISERROR(VLOOKUP($S$212,'TAR FIN'!$A$1:$O$113,15,0)),0,VLOOKUP($S$212,'TAR FIN'!$A$1:$O$113,15,0))*(1-0.06)</f>
        <v>22.851399999999998</v>
      </c>
      <c r="W212" s="56">
        <f>IF(ISERROR(VLOOKUP($T$212,'TAR FIN'!$A$1:$O$113,15,0)),0,VLOOKUP($T$212,'TAR FIN'!$A$1:$O$113,15,0))*(1-0.06)</f>
        <v>48.193800000000003</v>
      </c>
      <c r="X212" s="56">
        <f>IF(ISERROR(VLOOKUP($U$212,'TAR FIN'!$A$1:$O$113,15,0)),0,VLOOKUP($U$212,'TAR FIN'!$A$1:$O$113,15,0))*(1-0.06)</f>
        <v>208.97139999999999</v>
      </c>
      <c r="Y212" s="56">
        <f ca="1">('TUSD BE'!$AM$14+'TUSD BF'!$AM$14+'TUSD CVA'!$AM$14)*1*(1-0.03)</f>
        <v>25.800132407241311</v>
      </c>
      <c r="Z212" s="56">
        <f ca="1">('TUSD BE'!$AM$15+'TUSD BF'!$AM$15+'TUSD CVA'!$AM$15)*1*(1-0.03)</f>
        <v>63.057187337713181</v>
      </c>
      <c r="AA212" s="56">
        <f>('TE BE'!$AA$11+'TE BF'!$AA$11+'TE CVA'!$AA$11)*1*(1-0.03)</f>
        <v>216.45124957683362</v>
      </c>
      <c r="AB212" s="56">
        <f>(SUBSIDIO!$J$212*SUBSIDIO!$V$212)*(0.06)/(1-0.06)</f>
        <v>7818.0959999999986</v>
      </c>
      <c r="AC212" s="56">
        <f>((SUBSIDIO!$L$212*SUBSIDIO!$W$212)+(SUBSIDIO!$N$212*SUBSIDIO!$X$212))*(0.06)/(1-0.06)</f>
        <v>38453.638776</v>
      </c>
      <c r="AD212" s="56">
        <f ca="1">(SUBSIDIO!$J$212*SUBSIDIO!$Y$212)*(0.03)/(1-0.03)</f>
        <v>4276.9704031797964</v>
      </c>
      <c r="AE212" s="56">
        <f ca="1">((SUBSIDIO!$L$212*SUBSIDIO!$Z$212)+(SUBSIDIO!$N$212*SUBSIDIO!$AA$212))*(0.03)/(1-0.03)</f>
        <v>20250.991375817186</v>
      </c>
      <c r="AF212" s="3" t="s">
        <v>1025</v>
      </c>
    </row>
    <row r="213" spans="1:32" ht="11.25" customHeight="1" x14ac:dyDescent="0.25">
      <c r="A213" s="3" t="s">
        <v>21</v>
      </c>
      <c r="B213" s="3" t="s">
        <v>41</v>
      </c>
      <c r="C213" s="3" t="s">
        <v>40</v>
      </c>
      <c r="D213" s="3" t="s">
        <v>50</v>
      </c>
      <c r="E213" s="3" t="s">
        <v>51</v>
      </c>
      <c r="F213" s="3" t="s">
        <v>25</v>
      </c>
      <c r="G213" s="3" t="s">
        <v>25</v>
      </c>
      <c r="H213" s="3" t="s">
        <v>35</v>
      </c>
      <c r="I213" s="6">
        <v>44531</v>
      </c>
      <c r="J213" s="4">
        <v>5291</v>
      </c>
      <c r="K213" s="57">
        <v>5291</v>
      </c>
      <c r="L213" s="4">
        <v>2365.7759999999998</v>
      </c>
      <c r="M213" s="56">
        <v>2365.7759999999998</v>
      </c>
      <c r="N213" s="4">
        <v>2365.7759999999998</v>
      </c>
      <c r="O213" s="56">
        <v>2365.7759999999998</v>
      </c>
      <c r="P213" s="4">
        <v>0</v>
      </c>
      <c r="Q213" s="3" t="s">
        <v>26</v>
      </c>
      <c r="R213" s="3">
        <v>0</v>
      </c>
      <c r="S213" s="3">
        <v>12</v>
      </c>
      <c r="T213" s="3">
        <v>110</v>
      </c>
      <c r="U213" s="3">
        <v>89</v>
      </c>
      <c r="V213" s="56">
        <f>IF(ISERROR(VLOOKUP($S$213,'TAR FIN'!$A$1:$O$113,15,0)),0,VLOOKUP($S$213,'TAR FIN'!$A$1:$O$113,15,0))*(1-0.06)</f>
        <v>22.851399999999998</v>
      </c>
      <c r="W213" s="56">
        <f>IF(ISERROR(VLOOKUP($T$213,'TAR FIN'!$A$1:$O$113,15,0)),0,VLOOKUP($T$213,'TAR FIN'!$A$1:$O$113,15,0))*(1-0.06)</f>
        <v>48.193800000000003</v>
      </c>
      <c r="X213" s="56">
        <f>IF(ISERROR(VLOOKUP($U$213,'TAR FIN'!$A$1:$O$113,15,0)),0,VLOOKUP($U$213,'TAR FIN'!$A$1:$O$113,15,0))*(1-0.06)</f>
        <v>208.97139999999999</v>
      </c>
      <c r="Y213" s="56">
        <f ca="1">('TUSD BE'!$AM$14+'TUSD BF'!$AM$14+'TUSD CVA'!$AM$14)*1*(1-0.03)</f>
        <v>25.800132407241311</v>
      </c>
      <c r="Z213" s="56">
        <f ca="1">('TUSD BE'!$AM$15+'TUSD BF'!$AM$15+'TUSD CVA'!$AM$15)*1*(1-0.03)</f>
        <v>63.057187337713181</v>
      </c>
      <c r="AA213" s="56">
        <f>('TE BE'!$AA$11+'TE BF'!$AA$11+'TE CVA'!$AA$11)*1*(1-0.03)</f>
        <v>216.45124957683362</v>
      </c>
      <c r="AB213" s="56">
        <f>(SUBSIDIO!$J$213*SUBSIDIO!$V$213)*(0.06)/(1-0.06)</f>
        <v>7717.4525999999996</v>
      </c>
      <c r="AC213" s="56">
        <f>((SUBSIDIO!$L$213*SUBSIDIO!$W$213)+(SUBSIDIO!$N$213*SUBSIDIO!$X$213))*(0.06)/(1-0.06)</f>
        <v>38833.739884800001</v>
      </c>
      <c r="AD213" s="56">
        <f ca="1">(SUBSIDIO!$J$213*SUBSIDIO!$Y$213)*(0.03)/(1-0.03)</f>
        <v>4221.9123886612506</v>
      </c>
      <c r="AE213" s="56">
        <f ca="1">((SUBSIDIO!$L$213*SUBSIDIO!$Z$213)+(SUBSIDIO!$N$213*SUBSIDIO!$AA$213))*(0.03)/(1-0.03)</f>
        <v>20451.165521132436</v>
      </c>
      <c r="AF213" s="3" t="s">
        <v>1025</v>
      </c>
    </row>
    <row r="214" spans="1:32" ht="11.25" customHeight="1" x14ac:dyDescent="0.25">
      <c r="A214" s="3" t="s">
        <v>21</v>
      </c>
      <c r="B214" s="3" t="s">
        <v>41</v>
      </c>
      <c r="C214" s="3" t="s">
        <v>40</v>
      </c>
      <c r="D214" s="3" t="s">
        <v>50</v>
      </c>
      <c r="E214" s="3" t="s">
        <v>51</v>
      </c>
      <c r="F214" s="3" t="s">
        <v>25</v>
      </c>
      <c r="G214" s="3" t="s">
        <v>25</v>
      </c>
      <c r="H214" s="3" t="s">
        <v>35</v>
      </c>
      <c r="I214" s="6">
        <v>44562</v>
      </c>
      <c r="J214" s="4">
        <v>5396</v>
      </c>
      <c r="K214" s="57">
        <v>5396</v>
      </c>
      <c r="L214" s="4">
        <v>2486.547</v>
      </c>
      <c r="M214" s="56">
        <v>2486.547</v>
      </c>
      <c r="N214" s="4">
        <v>2486.547</v>
      </c>
      <c r="O214" s="56">
        <v>2486.547</v>
      </c>
      <c r="P214" s="4">
        <v>0</v>
      </c>
      <c r="Q214" s="3" t="s">
        <v>26</v>
      </c>
      <c r="R214" s="3">
        <v>0</v>
      </c>
      <c r="S214" s="3">
        <v>12</v>
      </c>
      <c r="T214" s="3">
        <v>110</v>
      </c>
      <c r="U214" s="3">
        <v>89</v>
      </c>
      <c r="V214" s="56">
        <f>IF(ISERROR(VLOOKUP($S$214,'TAR FIN'!$A$1:$O$113,15,0)),0,VLOOKUP($S$214,'TAR FIN'!$A$1:$O$113,15,0))*(1-0.06)</f>
        <v>22.851399999999998</v>
      </c>
      <c r="W214" s="56">
        <f>IF(ISERROR(VLOOKUP($T$214,'TAR FIN'!$A$1:$O$113,15,0)),0,VLOOKUP($T$214,'TAR FIN'!$A$1:$O$113,15,0))*(1-0.06)</f>
        <v>48.193800000000003</v>
      </c>
      <c r="X214" s="56">
        <f>IF(ISERROR(VLOOKUP($U$214,'TAR FIN'!$A$1:$O$113,15,0)),0,VLOOKUP($U$214,'TAR FIN'!$A$1:$O$113,15,0))*(1-0.06)</f>
        <v>208.97139999999999</v>
      </c>
      <c r="Y214" s="56">
        <f ca="1">('TUSD BE'!$AM$14+'TUSD BF'!$AM$14+'TUSD CVA'!$AM$14)*1*(1-0.03)</f>
        <v>25.800132407241311</v>
      </c>
      <c r="Z214" s="56">
        <f ca="1">('TUSD BE'!$AM$15+'TUSD BF'!$AM$15+'TUSD CVA'!$AM$15)*1*(1-0.03)</f>
        <v>63.057187337713181</v>
      </c>
      <c r="AA214" s="56">
        <f>('TE BE'!$AA$11+'TE BF'!$AA$11+'TE CVA'!$AA$11)*1*(1-0.03)</f>
        <v>216.45124957683362</v>
      </c>
      <c r="AB214" s="56">
        <f>(SUBSIDIO!$J$214*SUBSIDIO!$V$214)*(0.06)/(1-0.06)</f>
        <v>7870.605599999999</v>
      </c>
      <c r="AC214" s="56">
        <f>((SUBSIDIO!$L$214*SUBSIDIO!$W$214)+(SUBSIDIO!$N$214*SUBSIDIO!$X$214))*(0.06)/(1-0.06)</f>
        <v>40816.171695600002</v>
      </c>
      <c r="AD214" s="56">
        <f ca="1">(SUBSIDIO!$J$214*SUBSIDIO!$Y$214)*(0.03)/(1-0.03)</f>
        <v>4305.6963237981681</v>
      </c>
      <c r="AE214" s="56">
        <f ca="1">((SUBSIDIO!$L$214*SUBSIDIO!$Z$214)+(SUBSIDIO!$N$214*SUBSIDIO!$AA$214))*(0.03)/(1-0.03)</f>
        <v>21495.181400553269</v>
      </c>
      <c r="AF214" s="3" t="s">
        <v>1025</v>
      </c>
    </row>
    <row r="215" spans="1:32" ht="11.25" customHeight="1" x14ac:dyDescent="0.25">
      <c r="A215" s="3" t="s">
        <v>21</v>
      </c>
      <c r="B215" s="3" t="s">
        <v>41</v>
      </c>
      <c r="C215" s="3" t="s">
        <v>40</v>
      </c>
      <c r="D215" s="3" t="s">
        <v>50</v>
      </c>
      <c r="E215" s="3" t="s">
        <v>51</v>
      </c>
      <c r="F215" s="3" t="s">
        <v>25</v>
      </c>
      <c r="G215" s="3" t="s">
        <v>25</v>
      </c>
      <c r="H215" s="3" t="s">
        <v>35</v>
      </c>
      <c r="I215" s="6">
        <v>44593</v>
      </c>
      <c r="J215" s="4">
        <v>5460</v>
      </c>
      <c r="K215" s="57">
        <v>5460</v>
      </c>
      <c r="L215" s="4">
        <v>2275.4929999999999</v>
      </c>
      <c r="M215" s="56">
        <v>2275.4929999999999</v>
      </c>
      <c r="N215" s="4">
        <v>2275.4929999999999</v>
      </c>
      <c r="O215" s="56">
        <v>2275.4929999999999</v>
      </c>
      <c r="P215" s="4">
        <v>0</v>
      </c>
      <c r="Q215" s="3" t="s">
        <v>26</v>
      </c>
      <c r="R215" s="3">
        <v>0</v>
      </c>
      <c r="S215" s="3">
        <v>12</v>
      </c>
      <c r="T215" s="3">
        <v>110</v>
      </c>
      <c r="U215" s="3">
        <v>89</v>
      </c>
      <c r="V215" s="56">
        <f>IF(ISERROR(VLOOKUP($S$215,'TAR FIN'!$A$1:$O$113,15,0)),0,VLOOKUP($S$215,'TAR FIN'!$A$1:$O$113,15,0))*(1-0.06)</f>
        <v>22.851399999999998</v>
      </c>
      <c r="W215" s="56">
        <f>IF(ISERROR(VLOOKUP($T$215,'TAR FIN'!$A$1:$O$113,15,0)),0,VLOOKUP($T$215,'TAR FIN'!$A$1:$O$113,15,0))*(1-0.06)</f>
        <v>48.193800000000003</v>
      </c>
      <c r="X215" s="56">
        <f>IF(ISERROR(VLOOKUP($U$215,'TAR FIN'!$A$1:$O$113,15,0)),0,VLOOKUP($U$215,'TAR FIN'!$A$1:$O$113,15,0))*(1-0.06)</f>
        <v>208.97139999999999</v>
      </c>
      <c r="Y215" s="56">
        <f ca="1">('TUSD BE'!$AM$14+'TUSD BF'!$AM$14+'TUSD CVA'!$AM$14)*1*(1-0.03)</f>
        <v>25.800132407241311</v>
      </c>
      <c r="Z215" s="56">
        <f ca="1">('TUSD BE'!$AM$15+'TUSD BF'!$AM$15+'TUSD CVA'!$AM$15)*1*(1-0.03)</f>
        <v>63.057187337713181</v>
      </c>
      <c r="AA215" s="56">
        <f>('TE BE'!$AA$11+'TE BF'!$AA$11+'TE CVA'!$AA$11)*1*(1-0.03)</f>
        <v>216.45124957683362</v>
      </c>
      <c r="AB215" s="56">
        <f>(SUBSIDIO!$J$215*SUBSIDIO!$V$215)*(0.06)/(1-0.06)</f>
        <v>7963.9559999999992</v>
      </c>
      <c r="AC215" s="56">
        <f>((SUBSIDIO!$L$215*SUBSIDIO!$W$215)+(SUBSIDIO!$N$215*SUBSIDIO!$X$215))*(0.06)/(1-0.06)</f>
        <v>37351.762496399999</v>
      </c>
      <c r="AD215" s="56">
        <f ca="1">(SUBSIDIO!$J$215*SUBSIDIO!$Y$215)*(0.03)/(1-0.03)</f>
        <v>4356.7646271197182</v>
      </c>
      <c r="AE215" s="56">
        <f ca="1">((SUBSIDIO!$L$215*SUBSIDIO!$Z$215)+(SUBSIDIO!$N$215*SUBSIDIO!$AA$215))*(0.03)/(1-0.03)</f>
        <v>19670.705927010087</v>
      </c>
      <c r="AF215" s="3" t="s">
        <v>1025</v>
      </c>
    </row>
    <row r="216" spans="1:32" ht="11.25" customHeight="1" x14ac:dyDescent="0.25">
      <c r="A216" s="3" t="s">
        <v>56</v>
      </c>
      <c r="B216" s="3" t="s">
        <v>41</v>
      </c>
      <c r="C216" s="3" t="s">
        <v>40</v>
      </c>
      <c r="D216" s="3" t="s">
        <v>50</v>
      </c>
      <c r="E216" s="3" t="s">
        <v>51</v>
      </c>
      <c r="F216" s="3" t="s">
        <v>25</v>
      </c>
      <c r="G216" s="3" t="s">
        <v>25</v>
      </c>
      <c r="H216" s="3" t="s">
        <v>35</v>
      </c>
      <c r="I216" s="6">
        <v>44621</v>
      </c>
      <c r="J216" s="4">
        <v>5460</v>
      </c>
      <c r="K216" s="57">
        <v>5460</v>
      </c>
      <c r="L216" s="4">
        <v>2275.4929999999999</v>
      </c>
      <c r="M216" s="56">
        <v>2275.4929999999999</v>
      </c>
      <c r="N216" s="4">
        <v>2275.4929999999999</v>
      </c>
      <c r="O216" s="56">
        <v>2275.4929999999999</v>
      </c>
      <c r="P216" s="4">
        <v>0</v>
      </c>
      <c r="Q216" s="3" t="s">
        <v>26</v>
      </c>
      <c r="R216" s="3">
        <v>0</v>
      </c>
      <c r="S216" s="3">
        <v>12</v>
      </c>
      <c r="T216" s="3">
        <v>110</v>
      </c>
      <c r="U216" s="3">
        <v>89</v>
      </c>
      <c r="V216" s="56">
        <f>IF(ISERROR(VLOOKUP($S$216,'TAR FIN'!$A$1:$O$113,15,0)),0,VLOOKUP($S$216,'TAR FIN'!$A$1:$O$113,15,0))*(1-0.06)</f>
        <v>22.851399999999998</v>
      </c>
      <c r="W216" s="56">
        <f>IF(ISERROR(VLOOKUP($T$216,'TAR FIN'!$A$1:$O$113,15,0)),0,VLOOKUP($T$216,'TAR FIN'!$A$1:$O$113,15,0))*(1-0.06)</f>
        <v>48.193800000000003</v>
      </c>
      <c r="X216" s="56">
        <f>IF(ISERROR(VLOOKUP($U$216,'TAR FIN'!$A$1:$O$113,15,0)),0,VLOOKUP($U$216,'TAR FIN'!$A$1:$O$113,15,0))*(1-0.06)</f>
        <v>208.97139999999999</v>
      </c>
      <c r="Y216" s="56">
        <f ca="1">('TUSD BE'!$AM$14+'TUSD BF'!$AM$14+'TUSD CVA'!$AM$14)*1*(1-0.03)</f>
        <v>25.800132407241311</v>
      </c>
      <c r="Z216" s="56">
        <f ca="1">('TUSD BE'!$AM$15+'TUSD BF'!$AM$15+'TUSD CVA'!$AM$15)*1*(1-0.03)</f>
        <v>63.057187337713181</v>
      </c>
      <c r="AA216" s="56">
        <f>('TE BE'!$AA$11+'TE BF'!$AA$11+'TE CVA'!$AA$11)*1*(1-0.03)</f>
        <v>216.45124957683362</v>
      </c>
      <c r="AB216" s="56">
        <f>(SUBSIDIO!$J$216*SUBSIDIO!$V$216)*(0.06)/(1-0.06)</f>
        <v>7963.9559999999992</v>
      </c>
      <c r="AC216" s="56">
        <f>((SUBSIDIO!$L$216*SUBSIDIO!$W$216)+(SUBSIDIO!$N$216*SUBSIDIO!$X$216))*(0.06)/(1-0.06)</f>
        <v>37351.762496399999</v>
      </c>
      <c r="AD216" s="56">
        <f ca="1">(SUBSIDIO!$J$216*SUBSIDIO!$Y$216)*(0.03)/(1-0.03)</f>
        <v>4356.7646271197182</v>
      </c>
      <c r="AE216" s="56">
        <f ca="1">((SUBSIDIO!$L$216*SUBSIDIO!$Z$216)+(SUBSIDIO!$N$216*SUBSIDIO!$AA$216))*(0.03)/(1-0.03)</f>
        <v>19670.705927010087</v>
      </c>
      <c r="AF216" s="3" t="s">
        <v>1025</v>
      </c>
    </row>
    <row r="217" spans="1:32" ht="11.25" customHeight="1" x14ac:dyDescent="0.25">
      <c r="A217" s="3" t="s">
        <v>21</v>
      </c>
      <c r="B217" s="3" t="s">
        <v>41</v>
      </c>
      <c r="C217" s="3" t="s">
        <v>40</v>
      </c>
      <c r="D217" s="3" t="s">
        <v>50</v>
      </c>
      <c r="E217" s="3" t="s">
        <v>51</v>
      </c>
      <c r="F217" s="3" t="s">
        <v>25</v>
      </c>
      <c r="G217" s="3" t="s">
        <v>25</v>
      </c>
      <c r="H217" s="3" t="s">
        <v>34</v>
      </c>
      <c r="I217" s="6">
        <v>44287</v>
      </c>
      <c r="J217" s="4">
        <v>6658</v>
      </c>
      <c r="K217" s="57">
        <v>6658</v>
      </c>
      <c r="L217" s="4">
        <v>302.95299999999997</v>
      </c>
      <c r="M217" s="56">
        <v>302.95299999999997</v>
      </c>
      <c r="N217" s="4">
        <v>302.95299999999997</v>
      </c>
      <c r="O217" s="56">
        <v>302.95299999999997</v>
      </c>
      <c r="P217" s="4">
        <v>0</v>
      </c>
      <c r="Q217" s="3" t="s">
        <v>26</v>
      </c>
      <c r="R217" s="3">
        <v>0</v>
      </c>
      <c r="S217" s="3">
        <v>11</v>
      </c>
      <c r="T217" s="3">
        <v>110</v>
      </c>
      <c r="U217" s="3">
        <v>88</v>
      </c>
      <c r="V217" s="56">
        <f>IF(ISERROR(VLOOKUP($S$217,'TAR FIN'!$A$1:$O$113,15,0)),0,VLOOKUP($S$217,'TAR FIN'!$A$1:$O$113,15,0))*(1-0.06)</f>
        <v>58.496199999999995</v>
      </c>
      <c r="W217" s="56">
        <f>IF(ISERROR(VLOOKUP($T$217,'TAR FIN'!$A$1:$O$113,15,0)),0,VLOOKUP($T$217,'TAR FIN'!$A$1:$O$113,15,0))*(1-0.06)</f>
        <v>48.193800000000003</v>
      </c>
      <c r="X217" s="56">
        <f>IF(ISERROR(VLOOKUP($U$217,'TAR FIN'!$A$1:$O$113,15,0)),0,VLOOKUP($U$217,'TAR FIN'!$A$1:$O$113,15,0))*(1-0.06)</f>
        <v>343.57</v>
      </c>
      <c r="Y217" s="56">
        <f ca="1">('TUSD BE'!$AM$13+'TUSD BF'!$AM$13+'TUSD CVA'!$AM$13)*1*(1-0.03)</f>
        <v>70.890384216313734</v>
      </c>
      <c r="Z217" s="56">
        <f ca="1">('TUSD BE'!$AM$15+'TUSD BF'!$AM$15+'TUSD CVA'!$AM$15)*1*(1-0.03)</f>
        <v>63.057187337713181</v>
      </c>
      <c r="AA217" s="56">
        <f>('TE BE'!$AA$10+'TE BF'!$AA$10+'TE CVA'!$AA$10)*1*(1-0.03)</f>
        <v>350.70363015859192</v>
      </c>
      <c r="AB217" s="56">
        <f>(SUBSIDIO!$J$217*SUBSIDIO!$V$217)*(0.06)/(1-0.06)</f>
        <v>24859.6404</v>
      </c>
      <c r="AC217" s="56">
        <f>((SUBSIDIO!$L$217*SUBSIDIO!$W$217)+(SUBSIDIO!$N$217*SUBSIDIO!$X$217))*(0.06)/(1-0.06)</f>
        <v>7575.7033085999992</v>
      </c>
      <c r="AD217" s="56">
        <f ca="1">(SUBSIDIO!$J$217*SUBSIDIO!$Y$217)*(0.03)/(1-0.03)</f>
        <v>14597.572518934541</v>
      </c>
      <c r="AE217" s="56">
        <f ca="1">((SUBSIDIO!$L$217*SUBSIDIO!$Z$217)+(SUBSIDIO!$N$217*SUBSIDIO!$AA$217))*(0.03)/(1-0.03)</f>
        <v>3876.8066271017969</v>
      </c>
      <c r="AF217" s="3" t="s">
        <v>1025</v>
      </c>
    </row>
    <row r="218" spans="1:32" ht="11.25" customHeight="1" x14ac:dyDescent="0.25">
      <c r="A218" s="3" t="s">
        <v>21</v>
      </c>
      <c r="B218" s="3" t="s">
        <v>41</v>
      </c>
      <c r="C218" s="3" t="s">
        <v>40</v>
      </c>
      <c r="D218" s="3" t="s">
        <v>50</v>
      </c>
      <c r="E218" s="3" t="s">
        <v>51</v>
      </c>
      <c r="F218" s="3" t="s">
        <v>25</v>
      </c>
      <c r="G218" s="3" t="s">
        <v>25</v>
      </c>
      <c r="H218" s="3" t="s">
        <v>34</v>
      </c>
      <c r="I218" s="6">
        <v>44317</v>
      </c>
      <c r="J218" s="4">
        <v>6490</v>
      </c>
      <c r="K218" s="57">
        <v>6490</v>
      </c>
      <c r="L218" s="4">
        <v>303.73899999999998</v>
      </c>
      <c r="M218" s="56">
        <v>303.73899999999998</v>
      </c>
      <c r="N218" s="4">
        <v>303.73899999999998</v>
      </c>
      <c r="O218" s="56">
        <v>303.73899999999998</v>
      </c>
      <c r="P218" s="4">
        <v>0</v>
      </c>
      <c r="Q218" s="3" t="s">
        <v>26</v>
      </c>
      <c r="R218" s="3">
        <v>0</v>
      </c>
      <c r="S218" s="3">
        <v>11</v>
      </c>
      <c r="T218" s="3">
        <v>110</v>
      </c>
      <c r="U218" s="3">
        <v>88</v>
      </c>
      <c r="V218" s="56">
        <f>IF(ISERROR(VLOOKUP($S$218,'TAR FIN'!$A$1:$O$113,15,0)),0,VLOOKUP($S$218,'TAR FIN'!$A$1:$O$113,15,0))*(1-0.06)</f>
        <v>58.496199999999995</v>
      </c>
      <c r="W218" s="56">
        <f>IF(ISERROR(VLOOKUP($T$218,'TAR FIN'!$A$1:$O$113,15,0)),0,VLOOKUP($T$218,'TAR FIN'!$A$1:$O$113,15,0))*(1-0.06)</f>
        <v>48.193800000000003</v>
      </c>
      <c r="X218" s="56">
        <f>IF(ISERROR(VLOOKUP($U$218,'TAR FIN'!$A$1:$O$113,15,0)),0,VLOOKUP($U$218,'TAR FIN'!$A$1:$O$113,15,0))*(1-0.06)</f>
        <v>343.57</v>
      </c>
      <c r="Y218" s="56">
        <f ca="1">('TUSD BE'!$AM$13+'TUSD BF'!$AM$13+'TUSD CVA'!$AM$13)*1*(1-0.03)</f>
        <v>70.890384216313734</v>
      </c>
      <c r="Z218" s="56">
        <f ca="1">('TUSD BE'!$AM$15+'TUSD BF'!$AM$15+'TUSD CVA'!$AM$15)*1*(1-0.03)</f>
        <v>63.057187337713181</v>
      </c>
      <c r="AA218" s="56">
        <f>('TE BE'!$AA$10+'TE BF'!$AA$10+'TE CVA'!$AA$10)*1*(1-0.03)</f>
        <v>350.70363015859192</v>
      </c>
      <c r="AB218" s="56">
        <f>(SUBSIDIO!$J$218*SUBSIDIO!$V$218)*(0.06)/(1-0.06)</f>
        <v>24232.362000000001</v>
      </c>
      <c r="AC218" s="56">
        <f>((SUBSIDIO!$L$218*SUBSIDIO!$W$218)+(SUBSIDIO!$N$218*SUBSIDIO!$X$218))*(0.06)/(1-0.06)</f>
        <v>7595.3581817999993</v>
      </c>
      <c r="AD218" s="56">
        <f ca="1">(SUBSIDIO!$J$218*SUBSIDIO!$Y$218)*(0.03)/(1-0.03)</f>
        <v>14229.234852491014</v>
      </c>
      <c r="AE218" s="56">
        <f ca="1">((SUBSIDIO!$L$218*SUBSIDIO!$Z$218)+(SUBSIDIO!$N$218*SUBSIDIO!$AA$218))*(0.03)/(1-0.03)</f>
        <v>3886.8648539848514</v>
      </c>
      <c r="AF218" s="3" t="s">
        <v>1025</v>
      </c>
    </row>
    <row r="219" spans="1:32" ht="11.25" customHeight="1" x14ac:dyDescent="0.25">
      <c r="A219" s="3" t="s">
        <v>21</v>
      </c>
      <c r="B219" s="3" t="s">
        <v>41</v>
      </c>
      <c r="C219" s="3" t="s">
        <v>40</v>
      </c>
      <c r="D219" s="3" t="s">
        <v>50</v>
      </c>
      <c r="E219" s="3" t="s">
        <v>51</v>
      </c>
      <c r="F219" s="3" t="s">
        <v>25</v>
      </c>
      <c r="G219" s="3" t="s">
        <v>25</v>
      </c>
      <c r="H219" s="3" t="s">
        <v>34</v>
      </c>
      <c r="I219" s="6">
        <v>44348</v>
      </c>
      <c r="J219" s="4">
        <v>10444</v>
      </c>
      <c r="K219" s="57">
        <v>10444</v>
      </c>
      <c r="L219" s="4">
        <v>505.92099999999999</v>
      </c>
      <c r="M219" s="56">
        <v>505.92099999999999</v>
      </c>
      <c r="N219" s="4">
        <v>505.92099999999999</v>
      </c>
      <c r="O219" s="56">
        <v>505.92099999999999</v>
      </c>
      <c r="P219" s="4">
        <v>0</v>
      </c>
      <c r="Q219" s="3" t="s">
        <v>26</v>
      </c>
      <c r="R219" s="3">
        <v>0</v>
      </c>
      <c r="S219" s="3">
        <v>11</v>
      </c>
      <c r="T219" s="3">
        <v>110</v>
      </c>
      <c r="U219" s="3">
        <v>88</v>
      </c>
      <c r="V219" s="56">
        <f>IF(ISERROR(VLOOKUP($S$219,'TAR FIN'!$A$1:$O$113,15,0)),0,VLOOKUP($S$219,'TAR FIN'!$A$1:$O$113,15,0))*(1-0.06)</f>
        <v>58.496199999999995</v>
      </c>
      <c r="W219" s="56">
        <f>IF(ISERROR(VLOOKUP($T$219,'TAR FIN'!$A$1:$O$113,15,0)),0,VLOOKUP($T$219,'TAR FIN'!$A$1:$O$113,15,0))*(1-0.06)</f>
        <v>48.193800000000003</v>
      </c>
      <c r="X219" s="56">
        <f>IF(ISERROR(VLOOKUP($U$219,'TAR FIN'!$A$1:$O$113,15,0)),0,VLOOKUP($U$219,'TAR FIN'!$A$1:$O$113,15,0))*(1-0.06)</f>
        <v>343.57</v>
      </c>
      <c r="Y219" s="56">
        <f ca="1">('TUSD BE'!$AM$13+'TUSD BF'!$AM$13+'TUSD CVA'!$AM$13)*1*(1-0.03)</f>
        <v>70.890384216313734</v>
      </c>
      <c r="Z219" s="56">
        <f ca="1">('TUSD BE'!$AM$15+'TUSD BF'!$AM$15+'TUSD CVA'!$AM$15)*1*(1-0.03)</f>
        <v>63.057187337713181</v>
      </c>
      <c r="AA219" s="56">
        <f>('TE BE'!$AA$10+'TE BF'!$AA$10+'TE CVA'!$AA$10)*1*(1-0.03)</f>
        <v>350.70363015859192</v>
      </c>
      <c r="AB219" s="56">
        <f>(SUBSIDIO!$J$219*SUBSIDIO!$V$219)*(0.06)/(1-0.06)</f>
        <v>38995.807199999996</v>
      </c>
      <c r="AC219" s="56">
        <f>((SUBSIDIO!$L$219*SUBSIDIO!$W$219)+(SUBSIDIO!$N$219*SUBSIDIO!$X$219))*(0.06)/(1-0.06)</f>
        <v>12651.161710200002</v>
      </c>
      <c r="AD219" s="56">
        <f ca="1">(SUBSIDIO!$J$219*SUBSIDIO!$Y$219)*(0.03)/(1-0.03)</f>
        <v>22898.324930572595</v>
      </c>
      <c r="AE219" s="56">
        <f ca="1">((SUBSIDIO!$L$219*SUBSIDIO!$Z$219)+(SUBSIDIO!$N$219*SUBSIDIO!$AA$219))*(0.03)/(1-0.03)</f>
        <v>6474.1325736664376</v>
      </c>
      <c r="AF219" s="3" t="s">
        <v>1025</v>
      </c>
    </row>
    <row r="220" spans="1:32" ht="11.25" customHeight="1" x14ac:dyDescent="0.25">
      <c r="A220" s="3" t="s">
        <v>21</v>
      </c>
      <c r="B220" s="3" t="s">
        <v>41</v>
      </c>
      <c r="C220" s="3" t="s">
        <v>40</v>
      </c>
      <c r="D220" s="3" t="s">
        <v>50</v>
      </c>
      <c r="E220" s="3" t="s">
        <v>51</v>
      </c>
      <c r="F220" s="3" t="s">
        <v>25</v>
      </c>
      <c r="G220" s="3" t="s">
        <v>25</v>
      </c>
      <c r="H220" s="3" t="s">
        <v>34</v>
      </c>
      <c r="I220" s="6">
        <v>44378</v>
      </c>
      <c r="J220" s="4">
        <v>10507</v>
      </c>
      <c r="K220" s="57">
        <v>10507</v>
      </c>
      <c r="L220" s="4">
        <v>541.37699999999995</v>
      </c>
      <c r="M220" s="56">
        <v>541.37699999999995</v>
      </c>
      <c r="N220" s="4">
        <v>541.37699999999995</v>
      </c>
      <c r="O220" s="56">
        <v>541.37699999999995</v>
      </c>
      <c r="P220" s="4">
        <v>0</v>
      </c>
      <c r="Q220" s="3" t="s">
        <v>26</v>
      </c>
      <c r="R220" s="3">
        <v>0</v>
      </c>
      <c r="S220" s="3">
        <v>11</v>
      </c>
      <c r="T220" s="3">
        <v>110</v>
      </c>
      <c r="U220" s="3">
        <v>88</v>
      </c>
      <c r="V220" s="56">
        <f>IF(ISERROR(VLOOKUP($S$220,'TAR FIN'!$A$1:$O$113,15,0)),0,VLOOKUP($S$220,'TAR FIN'!$A$1:$O$113,15,0))*(1-0.06)</f>
        <v>58.496199999999995</v>
      </c>
      <c r="W220" s="56">
        <f>IF(ISERROR(VLOOKUP($T$220,'TAR FIN'!$A$1:$O$113,15,0)),0,VLOOKUP($T$220,'TAR FIN'!$A$1:$O$113,15,0))*(1-0.06)</f>
        <v>48.193800000000003</v>
      </c>
      <c r="X220" s="56">
        <f>IF(ISERROR(VLOOKUP($U$220,'TAR FIN'!$A$1:$O$113,15,0)),0,VLOOKUP($U$220,'TAR FIN'!$A$1:$O$113,15,0))*(1-0.06)</f>
        <v>343.57</v>
      </c>
      <c r="Y220" s="56">
        <f ca="1">('TUSD BE'!$AM$13+'TUSD BF'!$AM$13+'TUSD CVA'!$AM$13)*1*(1-0.03)</f>
        <v>70.890384216313734</v>
      </c>
      <c r="Z220" s="56">
        <f ca="1">('TUSD BE'!$AM$15+'TUSD BF'!$AM$15+'TUSD CVA'!$AM$15)*1*(1-0.03)</f>
        <v>63.057187337713181</v>
      </c>
      <c r="AA220" s="56">
        <f>('TE BE'!$AA$10+'TE BF'!$AA$10+'TE CVA'!$AA$10)*1*(1-0.03)</f>
        <v>350.70363015859192</v>
      </c>
      <c r="AB220" s="56">
        <f>(SUBSIDIO!$J$220*SUBSIDIO!$V$220)*(0.06)/(1-0.06)</f>
        <v>39231.036599999999</v>
      </c>
      <c r="AC220" s="56">
        <f>((SUBSIDIO!$L$220*SUBSIDIO!$W$220)+(SUBSIDIO!$N$220*SUBSIDIO!$X$220))*(0.06)/(1-0.06)</f>
        <v>13537.7815374</v>
      </c>
      <c r="AD220" s="56">
        <f ca="1">(SUBSIDIO!$J$220*SUBSIDIO!$Y$220)*(0.03)/(1-0.03)</f>
        <v>23036.451555488922</v>
      </c>
      <c r="AE220" s="56">
        <f ca="1">((SUBSIDIO!$L$220*SUBSIDIO!$Z$220)+(SUBSIDIO!$N$220*SUBSIDIO!$AA$220))*(0.03)/(1-0.03)</f>
        <v>6927.8533018669223</v>
      </c>
      <c r="AF220" s="3" t="s">
        <v>1025</v>
      </c>
    </row>
    <row r="221" spans="1:32" ht="11.25" customHeight="1" x14ac:dyDescent="0.25">
      <c r="A221" s="3" t="s">
        <v>27</v>
      </c>
      <c r="B221" s="3" t="s">
        <v>41</v>
      </c>
      <c r="C221" s="3" t="s">
        <v>40</v>
      </c>
      <c r="D221" s="3" t="s">
        <v>50</v>
      </c>
      <c r="E221" s="3" t="s">
        <v>51</v>
      </c>
      <c r="F221" s="3" t="s">
        <v>25</v>
      </c>
      <c r="G221" s="3" t="s">
        <v>25</v>
      </c>
      <c r="H221" s="3" t="s">
        <v>34</v>
      </c>
      <c r="I221" s="6">
        <v>44378</v>
      </c>
      <c r="J221" s="4">
        <v>14</v>
      </c>
      <c r="K221" s="57">
        <v>14</v>
      </c>
      <c r="L221" s="4">
        <v>1.4</v>
      </c>
      <c r="M221" s="56">
        <v>1.4</v>
      </c>
      <c r="N221" s="4">
        <v>1.4</v>
      </c>
      <c r="O221" s="56">
        <v>1.4</v>
      </c>
      <c r="P221" s="4">
        <v>0</v>
      </c>
      <c r="Q221" s="3" t="s">
        <v>26</v>
      </c>
      <c r="R221" s="3">
        <v>0</v>
      </c>
      <c r="S221" s="3">
        <v>11</v>
      </c>
      <c r="T221" s="3">
        <v>110</v>
      </c>
      <c r="U221" s="3">
        <v>88</v>
      </c>
      <c r="V221" s="56">
        <f>IF(ISERROR(VLOOKUP($S$221,'TAR FIN'!$A$1:$O$113,15,0)),0,VLOOKUP($S$221,'TAR FIN'!$A$1:$O$113,15,0))*(1-0.06)</f>
        <v>58.496199999999995</v>
      </c>
      <c r="W221" s="56">
        <f>IF(ISERROR(VLOOKUP($T$221,'TAR FIN'!$A$1:$O$113,15,0)),0,VLOOKUP($T$221,'TAR FIN'!$A$1:$O$113,15,0))*(1-0.06)</f>
        <v>48.193800000000003</v>
      </c>
      <c r="X221" s="56">
        <f>IF(ISERROR(VLOOKUP($U$221,'TAR FIN'!$A$1:$O$113,15,0)),0,VLOOKUP($U$221,'TAR FIN'!$A$1:$O$113,15,0))*(1-0.06)</f>
        <v>343.57</v>
      </c>
      <c r="Y221" s="56">
        <f ca="1">('TUSD BE'!$AM$13+'TUSD BF'!$AM$13+'TUSD CVA'!$AM$13)*1*(1-0.03)</f>
        <v>70.890384216313734</v>
      </c>
      <c r="Z221" s="56">
        <f ca="1">('TUSD BE'!$AM$15+'TUSD BF'!$AM$15+'TUSD CVA'!$AM$15)*1*(1-0.03)</f>
        <v>63.057187337713181</v>
      </c>
      <c r="AA221" s="56">
        <f>('TE BE'!$AA$10+'TE BF'!$AA$10+'TE CVA'!$AA$10)*1*(1-0.03)</f>
        <v>350.70363015859192</v>
      </c>
      <c r="AB221" s="56">
        <f>(SUBSIDIO!$J$221*SUBSIDIO!$V$221)*(0.06)/(1-0.06)</f>
        <v>52.273199999999996</v>
      </c>
      <c r="AC221" s="56">
        <f>((SUBSIDIO!$L$221*SUBSIDIO!$W$221)+(SUBSIDIO!$N$221*SUBSIDIO!$X$221))*(0.06)/(1-0.06)</f>
        <v>35.008679999999991</v>
      </c>
      <c r="AD221" s="56">
        <f ca="1">(SUBSIDIO!$J$221*SUBSIDIO!$Y$221)*(0.03)/(1-0.03)</f>
        <v>30.694805536960583</v>
      </c>
      <c r="AE221" s="56">
        <f ca="1">((SUBSIDIO!$L$221*SUBSIDIO!$Z$221)+(SUBSIDIO!$N$221*SUBSIDIO!$AA$221))*(0.03)/(1-0.03)</f>
        <v>17.915416840046198</v>
      </c>
      <c r="AF221" s="3" t="s">
        <v>1025</v>
      </c>
    </row>
    <row r="222" spans="1:32" ht="11.25" customHeight="1" x14ac:dyDescent="0.25">
      <c r="A222" s="3" t="s">
        <v>21</v>
      </c>
      <c r="B222" s="3" t="s">
        <v>41</v>
      </c>
      <c r="C222" s="3" t="s">
        <v>40</v>
      </c>
      <c r="D222" s="3" t="s">
        <v>50</v>
      </c>
      <c r="E222" s="3" t="s">
        <v>51</v>
      </c>
      <c r="F222" s="3" t="s">
        <v>25</v>
      </c>
      <c r="G222" s="3" t="s">
        <v>25</v>
      </c>
      <c r="H222" s="3" t="s">
        <v>34</v>
      </c>
      <c r="I222" s="6">
        <v>44409</v>
      </c>
      <c r="J222" s="4">
        <v>4805</v>
      </c>
      <c r="K222" s="57">
        <v>4805</v>
      </c>
      <c r="L222" s="4">
        <v>226.577</v>
      </c>
      <c r="M222" s="56">
        <v>226.577</v>
      </c>
      <c r="N222" s="4">
        <v>226.577</v>
      </c>
      <c r="O222" s="56">
        <v>226.577</v>
      </c>
      <c r="P222" s="4">
        <v>0</v>
      </c>
      <c r="Q222" s="3" t="s">
        <v>26</v>
      </c>
      <c r="R222" s="3">
        <v>0</v>
      </c>
      <c r="S222" s="3">
        <v>11</v>
      </c>
      <c r="T222" s="3">
        <v>110</v>
      </c>
      <c r="U222" s="3">
        <v>88</v>
      </c>
      <c r="V222" s="56">
        <f>IF(ISERROR(VLOOKUP($S$222,'TAR FIN'!$A$1:$O$113,15,0)),0,VLOOKUP($S$222,'TAR FIN'!$A$1:$O$113,15,0))*(1-0.06)</f>
        <v>58.496199999999995</v>
      </c>
      <c r="W222" s="56">
        <f>IF(ISERROR(VLOOKUP($T$222,'TAR FIN'!$A$1:$O$113,15,0)),0,VLOOKUP($T$222,'TAR FIN'!$A$1:$O$113,15,0))*(1-0.06)</f>
        <v>48.193800000000003</v>
      </c>
      <c r="X222" s="56">
        <f>IF(ISERROR(VLOOKUP($U$222,'TAR FIN'!$A$1:$O$113,15,0)),0,VLOOKUP($U$222,'TAR FIN'!$A$1:$O$113,15,0))*(1-0.06)</f>
        <v>343.57</v>
      </c>
      <c r="Y222" s="56">
        <f ca="1">('TUSD BE'!$AM$13+'TUSD BF'!$AM$13+'TUSD CVA'!$AM$13)*1*(1-0.03)</f>
        <v>70.890384216313734</v>
      </c>
      <c r="Z222" s="56">
        <f ca="1">('TUSD BE'!$AM$15+'TUSD BF'!$AM$15+'TUSD CVA'!$AM$15)*1*(1-0.03)</f>
        <v>63.057187337713181</v>
      </c>
      <c r="AA222" s="56">
        <f>('TE BE'!$AA$10+'TE BF'!$AA$10+'TE CVA'!$AA$10)*1*(1-0.03)</f>
        <v>350.70363015859192</v>
      </c>
      <c r="AB222" s="56">
        <f>(SUBSIDIO!$J$222*SUBSIDIO!$V$222)*(0.06)/(1-0.06)</f>
        <v>17940.909</v>
      </c>
      <c r="AC222" s="56">
        <f>((SUBSIDIO!$L$222*SUBSIDIO!$W$222)+(SUBSIDIO!$N$222*SUBSIDIO!$X$222))*(0.06)/(1-0.06)</f>
        <v>5665.8297774000002</v>
      </c>
      <c r="AD222" s="56">
        <f ca="1">(SUBSIDIO!$J$222*SUBSIDIO!$Y$222)*(0.03)/(1-0.03)</f>
        <v>10534.895757506829</v>
      </c>
      <c r="AE222" s="56">
        <f ca="1">((SUBSIDIO!$L$222*SUBSIDIO!$Z$222)+(SUBSIDIO!$N$222*SUBSIDIO!$AA$222))*(0.03)/(1-0.03)</f>
        <v>2899.4438581193913</v>
      </c>
      <c r="AF222" s="3" t="s">
        <v>1025</v>
      </c>
    </row>
    <row r="223" spans="1:32" ht="11.25" customHeight="1" x14ac:dyDescent="0.25">
      <c r="A223" s="3" t="s">
        <v>21</v>
      </c>
      <c r="B223" s="3" t="s">
        <v>41</v>
      </c>
      <c r="C223" s="3" t="s">
        <v>40</v>
      </c>
      <c r="D223" s="3" t="s">
        <v>50</v>
      </c>
      <c r="E223" s="3" t="s">
        <v>51</v>
      </c>
      <c r="F223" s="3" t="s">
        <v>25</v>
      </c>
      <c r="G223" s="3" t="s">
        <v>25</v>
      </c>
      <c r="H223" s="3" t="s">
        <v>34</v>
      </c>
      <c r="I223" s="6">
        <v>44440</v>
      </c>
      <c r="J223" s="4">
        <v>4858</v>
      </c>
      <c r="K223" s="57">
        <v>4858</v>
      </c>
      <c r="L223" s="4">
        <v>219.75200000000001</v>
      </c>
      <c r="M223" s="56">
        <v>219.75200000000001</v>
      </c>
      <c r="N223" s="4">
        <v>219.75200000000001</v>
      </c>
      <c r="O223" s="56">
        <v>219.75200000000001</v>
      </c>
      <c r="P223" s="4">
        <v>0</v>
      </c>
      <c r="Q223" s="3" t="s">
        <v>26</v>
      </c>
      <c r="R223" s="3">
        <v>0</v>
      </c>
      <c r="S223" s="3">
        <v>11</v>
      </c>
      <c r="T223" s="3">
        <v>110</v>
      </c>
      <c r="U223" s="3">
        <v>88</v>
      </c>
      <c r="V223" s="56">
        <f>IF(ISERROR(VLOOKUP($S$223,'TAR FIN'!$A$1:$O$113,15,0)),0,VLOOKUP($S$223,'TAR FIN'!$A$1:$O$113,15,0))*(1-0.06)</f>
        <v>58.496199999999995</v>
      </c>
      <c r="W223" s="56">
        <f>IF(ISERROR(VLOOKUP($T$223,'TAR FIN'!$A$1:$O$113,15,0)),0,VLOOKUP($T$223,'TAR FIN'!$A$1:$O$113,15,0))*(1-0.06)</f>
        <v>48.193800000000003</v>
      </c>
      <c r="X223" s="56">
        <f>IF(ISERROR(VLOOKUP($U$223,'TAR FIN'!$A$1:$O$113,15,0)),0,VLOOKUP($U$223,'TAR FIN'!$A$1:$O$113,15,0))*(1-0.06)</f>
        <v>343.57</v>
      </c>
      <c r="Y223" s="56">
        <f ca="1">('TUSD BE'!$AM$13+'TUSD BF'!$AM$13+'TUSD CVA'!$AM$13)*1*(1-0.03)</f>
        <v>70.890384216313734</v>
      </c>
      <c r="Z223" s="56">
        <f ca="1">('TUSD BE'!$AM$15+'TUSD BF'!$AM$15+'TUSD CVA'!$AM$15)*1*(1-0.03)</f>
        <v>63.057187337713181</v>
      </c>
      <c r="AA223" s="56">
        <f>('TE BE'!$AA$10+'TE BF'!$AA$10+'TE CVA'!$AA$10)*1*(1-0.03)</f>
        <v>350.70363015859192</v>
      </c>
      <c r="AB223" s="56">
        <f>(SUBSIDIO!$J$223*SUBSIDIO!$V$223)*(0.06)/(1-0.06)</f>
        <v>18138.8004</v>
      </c>
      <c r="AC223" s="56">
        <f>((SUBSIDIO!$L$223*SUBSIDIO!$W$223)+(SUBSIDIO!$N$223*SUBSIDIO!$X$223))*(0.06)/(1-0.06)</f>
        <v>5495.1624623999996</v>
      </c>
      <c r="AD223" s="56">
        <f ca="1">(SUBSIDIO!$J$223*SUBSIDIO!$Y$223)*(0.03)/(1-0.03)</f>
        <v>10651.097521325322</v>
      </c>
      <c r="AE223" s="56">
        <f ca="1">((SUBSIDIO!$L$223*SUBSIDIO!$Z$223)+(SUBSIDIO!$N$223*SUBSIDIO!$AA$223))*(0.03)/(1-0.03)</f>
        <v>2812.1062010241662</v>
      </c>
      <c r="AF223" s="3" t="s">
        <v>1025</v>
      </c>
    </row>
    <row r="224" spans="1:32" ht="11.25" customHeight="1" x14ac:dyDescent="0.25">
      <c r="A224" s="3" t="s">
        <v>21</v>
      </c>
      <c r="B224" s="3" t="s">
        <v>41</v>
      </c>
      <c r="C224" s="3" t="s">
        <v>40</v>
      </c>
      <c r="D224" s="3" t="s">
        <v>50</v>
      </c>
      <c r="E224" s="3" t="s">
        <v>51</v>
      </c>
      <c r="F224" s="3" t="s">
        <v>25</v>
      </c>
      <c r="G224" s="3" t="s">
        <v>25</v>
      </c>
      <c r="H224" s="3" t="s">
        <v>34</v>
      </c>
      <c r="I224" s="6">
        <v>44470</v>
      </c>
      <c r="J224" s="4">
        <v>4804</v>
      </c>
      <c r="K224" s="57">
        <v>4804</v>
      </c>
      <c r="L224" s="4">
        <v>213.417</v>
      </c>
      <c r="M224" s="56">
        <v>213.417</v>
      </c>
      <c r="N224" s="4">
        <v>213.417</v>
      </c>
      <c r="O224" s="56">
        <v>213.417</v>
      </c>
      <c r="P224" s="4">
        <v>0</v>
      </c>
      <c r="Q224" s="3" t="s">
        <v>26</v>
      </c>
      <c r="R224" s="3">
        <v>0</v>
      </c>
      <c r="S224" s="3">
        <v>11</v>
      </c>
      <c r="T224" s="3">
        <v>110</v>
      </c>
      <c r="U224" s="3">
        <v>88</v>
      </c>
      <c r="V224" s="56">
        <f>IF(ISERROR(VLOOKUP($S$224,'TAR FIN'!$A$1:$O$113,15,0)),0,VLOOKUP($S$224,'TAR FIN'!$A$1:$O$113,15,0))*(1-0.06)</f>
        <v>58.496199999999995</v>
      </c>
      <c r="W224" s="56">
        <f>IF(ISERROR(VLOOKUP($T$224,'TAR FIN'!$A$1:$O$113,15,0)),0,VLOOKUP($T$224,'TAR FIN'!$A$1:$O$113,15,0))*(1-0.06)</f>
        <v>48.193800000000003</v>
      </c>
      <c r="X224" s="56">
        <f>IF(ISERROR(VLOOKUP($U$224,'TAR FIN'!$A$1:$O$113,15,0)),0,VLOOKUP($U$224,'TAR FIN'!$A$1:$O$113,15,0))*(1-0.06)</f>
        <v>343.57</v>
      </c>
      <c r="Y224" s="56">
        <f ca="1">('TUSD BE'!$AM$13+'TUSD BF'!$AM$13+'TUSD CVA'!$AM$13)*1*(1-0.03)</f>
        <v>70.890384216313734</v>
      </c>
      <c r="Z224" s="56">
        <f ca="1">('TUSD BE'!$AM$15+'TUSD BF'!$AM$15+'TUSD CVA'!$AM$15)*1*(1-0.03)</f>
        <v>63.057187337713181</v>
      </c>
      <c r="AA224" s="56">
        <f>('TE BE'!$AA$10+'TE BF'!$AA$10+'TE CVA'!$AA$10)*1*(1-0.03)</f>
        <v>350.70363015859192</v>
      </c>
      <c r="AB224" s="56">
        <f>(SUBSIDIO!$J$224*SUBSIDIO!$V$224)*(0.06)/(1-0.06)</f>
        <v>17937.175200000001</v>
      </c>
      <c r="AC224" s="56">
        <f>((SUBSIDIO!$L$224*SUBSIDIO!$W$224)+(SUBSIDIO!$N$224*SUBSIDIO!$X$224))*(0.06)/(1-0.06)</f>
        <v>5336.7481853999998</v>
      </c>
      <c r="AD224" s="56">
        <f ca="1">(SUBSIDIO!$J$224*SUBSIDIO!$Y$224)*(0.03)/(1-0.03)</f>
        <v>10532.703271397048</v>
      </c>
      <c r="AE224" s="56">
        <f ca="1">((SUBSIDIO!$L$224*SUBSIDIO!$Z$224)+(SUBSIDIO!$N$224*SUBSIDIO!$AA$224))*(0.03)/(1-0.03)</f>
        <v>2731.0389398229572</v>
      </c>
      <c r="AF224" s="3" t="s">
        <v>1025</v>
      </c>
    </row>
    <row r="225" spans="1:32" ht="11.25" customHeight="1" x14ac:dyDescent="0.25">
      <c r="A225" s="3" t="s">
        <v>21</v>
      </c>
      <c r="B225" s="3" t="s">
        <v>41</v>
      </c>
      <c r="C225" s="3" t="s">
        <v>40</v>
      </c>
      <c r="D225" s="3" t="s">
        <v>50</v>
      </c>
      <c r="E225" s="3" t="s">
        <v>51</v>
      </c>
      <c r="F225" s="3" t="s">
        <v>25</v>
      </c>
      <c r="G225" s="3" t="s">
        <v>25</v>
      </c>
      <c r="H225" s="3" t="s">
        <v>34</v>
      </c>
      <c r="I225" s="6">
        <v>44501</v>
      </c>
      <c r="J225" s="4">
        <v>5045</v>
      </c>
      <c r="K225" s="57">
        <v>5045</v>
      </c>
      <c r="L225" s="4">
        <v>213.58600000000001</v>
      </c>
      <c r="M225" s="56">
        <v>213.58600000000001</v>
      </c>
      <c r="N225" s="4">
        <v>213.58600000000001</v>
      </c>
      <c r="O225" s="56">
        <v>213.58600000000001</v>
      </c>
      <c r="P225" s="4">
        <v>0</v>
      </c>
      <c r="Q225" s="3" t="s">
        <v>26</v>
      </c>
      <c r="R225" s="3">
        <v>0</v>
      </c>
      <c r="S225" s="3">
        <v>11</v>
      </c>
      <c r="T225" s="3">
        <v>110</v>
      </c>
      <c r="U225" s="3">
        <v>88</v>
      </c>
      <c r="V225" s="56">
        <f>IF(ISERROR(VLOOKUP($S$225,'TAR FIN'!$A$1:$O$113,15,0)),0,VLOOKUP($S$225,'TAR FIN'!$A$1:$O$113,15,0))*(1-0.06)</f>
        <v>58.496199999999995</v>
      </c>
      <c r="W225" s="56">
        <f>IF(ISERROR(VLOOKUP($T$225,'TAR FIN'!$A$1:$O$113,15,0)),0,VLOOKUP($T$225,'TAR FIN'!$A$1:$O$113,15,0))*(1-0.06)</f>
        <v>48.193800000000003</v>
      </c>
      <c r="X225" s="56">
        <f>IF(ISERROR(VLOOKUP($U$225,'TAR FIN'!$A$1:$O$113,15,0)),0,VLOOKUP($U$225,'TAR FIN'!$A$1:$O$113,15,0))*(1-0.06)</f>
        <v>343.57</v>
      </c>
      <c r="Y225" s="56">
        <f ca="1">('TUSD BE'!$AM$13+'TUSD BF'!$AM$13+'TUSD CVA'!$AM$13)*1*(1-0.03)</f>
        <v>70.890384216313734</v>
      </c>
      <c r="Z225" s="56">
        <f ca="1">('TUSD BE'!$AM$15+'TUSD BF'!$AM$15+'TUSD CVA'!$AM$15)*1*(1-0.03)</f>
        <v>63.057187337713181</v>
      </c>
      <c r="AA225" s="56">
        <f>('TE BE'!$AA$10+'TE BF'!$AA$10+'TE CVA'!$AA$10)*1*(1-0.03)</f>
        <v>350.70363015859192</v>
      </c>
      <c r="AB225" s="56">
        <f>(SUBSIDIO!$J$225*SUBSIDIO!$V$225)*(0.06)/(1-0.06)</f>
        <v>18837.021000000001</v>
      </c>
      <c r="AC225" s="56">
        <f>((SUBSIDIO!$L$225*SUBSIDIO!$W$225)+(SUBSIDIO!$N$225*SUBSIDIO!$X$225))*(0.06)/(1-0.06)</f>
        <v>5340.9742332000005</v>
      </c>
      <c r="AD225" s="56">
        <f ca="1">(SUBSIDIO!$J$225*SUBSIDIO!$Y$225)*(0.03)/(1-0.03)</f>
        <v>11061.092423854727</v>
      </c>
      <c r="AE225" s="56">
        <f ca="1">((SUBSIDIO!$L$225*SUBSIDIO!$Z$225)+(SUBSIDIO!$N$225*SUBSIDIO!$AA$225))*(0.03)/(1-0.03)</f>
        <v>2733.2015865700769</v>
      </c>
      <c r="AF225" s="3" t="s">
        <v>1025</v>
      </c>
    </row>
    <row r="226" spans="1:32" ht="11.25" customHeight="1" x14ac:dyDescent="0.25">
      <c r="A226" s="3" t="s">
        <v>21</v>
      </c>
      <c r="B226" s="3" t="s">
        <v>41</v>
      </c>
      <c r="C226" s="3" t="s">
        <v>40</v>
      </c>
      <c r="D226" s="3" t="s">
        <v>50</v>
      </c>
      <c r="E226" s="3" t="s">
        <v>51</v>
      </c>
      <c r="F226" s="3" t="s">
        <v>25</v>
      </c>
      <c r="G226" s="3" t="s">
        <v>25</v>
      </c>
      <c r="H226" s="3" t="s">
        <v>34</v>
      </c>
      <c r="I226" s="6">
        <v>44531</v>
      </c>
      <c r="J226" s="4">
        <v>4821</v>
      </c>
      <c r="K226" s="57">
        <v>4821</v>
      </c>
      <c r="L226" s="4">
        <v>220.51300000000001</v>
      </c>
      <c r="M226" s="56">
        <v>220.51300000000001</v>
      </c>
      <c r="N226" s="4">
        <v>220.51300000000001</v>
      </c>
      <c r="O226" s="56">
        <v>220.51300000000001</v>
      </c>
      <c r="P226" s="4">
        <v>0</v>
      </c>
      <c r="Q226" s="3" t="s">
        <v>26</v>
      </c>
      <c r="R226" s="3">
        <v>0</v>
      </c>
      <c r="S226" s="3">
        <v>11</v>
      </c>
      <c r="T226" s="3">
        <v>110</v>
      </c>
      <c r="U226" s="3">
        <v>88</v>
      </c>
      <c r="V226" s="56">
        <f>IF(ISERROR(VLOOKUP($S$226,'TAR FIN'!$A$1:$O$113,15,0)),0,VLOOKUP($S$226,'TAR FIN'!$A$1:$O$113,15,0))*(1-0.06)</f>
        <v>58.496199999999995</v>
      </c>
      <c r="W226" s="56">
        <f>IF(ISERROR(VLOOKUP($T$226,'TAR FIN'!$A$1:$O$113,15,0)),0,VLOOKUP($T$226,'TAR FIN'!$A$1:$O$113,15,0))*(1-0.06)</f>
        <v>48.193800000000003</v>
      </c>
      <c r="X226" s="56">
        <f>IF(ISERROR(VLOOKUP($U$226,'TAR FIN'!$A$1:$O$113,15,0)),0,VLOOKUP($U$226,'TAR FIN'!$A$1:$O$113,15,0))*(1-0.06)</f>
        <v>343.57</v>
      </c>
      <c r="Y226" s="56">
        <f ca="1">('TUSD BE'!$AM$13+'TUSD BF'!$AM$13+'TUSD CVA'!$AM$13)*1*(1-0.03)</f>
        <v>70.890384216313734</v>
      </c>
      <c r="Z226" s="56">
        <f ca="1">('TUSD BE'!$AM$15+'TUSD BF'!$AM$15+'TUSD CVA'!$AM$15)*1*(1-0.03)</f>
        <v>63.057187337713181</v>
      </c>
      <c r="AA226" s="56">
        <f>('TE BE'!$AA$10+'TE BF'!$AA$10+'TE CVA'!$AA$10)*1*(1-0.03)</f>
        <v>350.70363015859192</v>
      </c>
      <c r="AB226" s="56">
        <f>(SUBSIDIO!$J$226*SUBSIDIO!$V$226)*(0.06)/(1-0.06)</f>
        <v>18000.649799999999</v>
      </c>
      <c r="AC226" s="56">
        <f>((SUBSIDIO!$L$226*SUBSIDIO!$W$226)+(SUBSIDIO!$N$226*SUBSIDIO!$X$226))*(0.06)/(1-0.06)</f>
        <v>5514.1921806000009</v>
      </c>
      <c r="AD226" s="56">
        <f ca="1">(SUBSIDIO!$J$226*SUBSIDIO!$Y$226)*(0.03)/(1-0.03)</f>
        <v>10569.975535263357</v>
      </c>
      <c r="AE226" s="56">
        <f ca="1">((SUBSIDIO!$L$226*SUBSIDIO!$Z$226)+(SUBSIDIO!$N$226*SUBSIDIO!$AA$226))*(0.03)/(1-0.03)</f>
        <v>2821.8445097493627</v>
      </c>
      <c r="AF226" s="3" t="s">
        <v>1025</v>
      </c>
    </row>
    <row r="227" spans="1:32" ht="11.25" customHeight="1" x14ac:dyDescent="0.25">
      <c r="A227" s="3" t="s">
        <v>21</v>
      </c>
      <c r="B227" s="3" t="s">
        <v>41</v>
      </c>
      <c r="C227" s="3" t="s">
        <v>40</v>
      </c>
      <c r="D227" s="3" t="s">
        <v>50</v>
      </c>
      <c r="E227" s="3" t="s">
        <v>51</v>
      </c>
      <c r="F227" s="3" t="s">
        <v>25</v>
      </c>
      <c r="G227" s="3" t="s">
        <v>25</v>
      </c>
      <c r="H227" s="3" t="s">
        <v>34</v>
      </c>
      <c r="I227" s="6">
        <v>44562</v>
      </c>
      <c r="J227" s="4">
        <v>4984</v>
      </c>
      <c r="K227" s="57">
        <v>4984</v>
      </c>
      <c r="L227" s="4">
        <v>225.96</v>
      </c>
      <c r="M227" s="56">
        <v>225.96</v>
      </c>
      <c r="N227" s="4">
        <v>225.96</v>
      </c>
      <c r="O227" s="56">
        <v>225.96</v>
      </c>
      <c r="P227" s="4">
        <v>0</v>
      </c>
      <c r="Q227" s="3" t="s">
        <v>26</v>
      </c>
      <c r="R227" s="3">
        <v>0</v>
      </c>
      <c r="S227" s="3">
        <v>11</v>
      </c>
      <c r="T227" s="3">
        <v>110</v>
      </c>
      <c r="U227" s="3">
        <v>88</v>
      </c>
      <c r="V227" s="56">
        <f>IF(ISERROR(VLOOKUP($S$227,'TAR FIN'!$A$1:$O$113,15,0)),0,VLOOKUP($S$227,'TAR FIN'!$A$1:$O$113,15,0))*(1-0.06)</f>
        <v>58.496199999999995</v>
      </c>
      <c r="W227" s="56">
        <f>IF(ISERROR(VLOOKUP($T$227,'TAR FIN'!$A$1:$O$113,15,0)),0,VLOOKUP($T$227,'TAR FIN'!$A$1:$O$113,15,0))*(1-0.06)</f>
        <v>48.193800000000003</v>
      </c>
      <c r="X227" s="56">
        <f>IF(ISERROR(VLOOKUP($U$227,'TAR FIN'!$A$1:$O$113,15,0)),0,VLOOKUP($U$227,'TAR FIN'!$A$1:$O$113,15,0))*(1-0.06)</f>
        <v>343.57</v>
      </c>
      <c r="Y227" s="56">
        <f ca="1">('TUSD BE'!$AM$13+'TUSD BF'!$AM$13+'TUSD CVA'!$AM$13)*1*(1-0.03)</f>
        <v>70.890384216313734</v>
      </c>
      <c r="Z227" s="56">
        <f ca="1">('TUSD BE'!$AM$15+'TUSD BF'!$AM$15+'TUSD CVA'!$AM$15)*1*(1-0.03)</f>
        <v>63.057187337713181</v>
      </c>
      <c r="AA227" s="56">
        <f>('TE BE'!$AA$10+'TE BF'!$AA$10+'TE CVA'!$AA$10)*1*(1-0.03)</f>
        <v>350.70363015859192</v>
      </c>
      <c r="AB227" s="56">
        <f>(SUBSIDIO!$J$227*SUBSIDIO!$V$227)*(0.06)/(1-0.06)</f>
        <v>18609.2592</v>
      </c>
      <c r="AC227" s="56">
        <f>((SUBSIDIO!$L$227*SUBSIDIO!$W$227)+(SUBSIDIO!$N$227*SUBSIDIO!$X$227))*(0.06)/(1-0.06)</f>
        <v>5650.400952</v>
      </c>
      <c r="AD227" s="56">
        <f ca="1">(SUBSIDIO!$J$227*SUBSIDIO!$Y$227)*(0.03)/(1-0.03)</f>
        <v>10927.35077115797</v>
      </c>
      <c r="AE227" s="56">
        <f ca="1">((SUBSIDIO!$L$227*SUBSIDIO!$Z$227)+(SUBSIDIO!$N$227*SUBSIDIO!$AA$227))*(0.03)/(1-0.03)</f>
        <v>2891.5482779834565</v>
      </c>
      <c r="AF227" s="3" t="s">
        <v>1025</v>
      </c>
    </row>
    <row r="228" spans="1:32" ht="11.25" customHeight="1" x14ac:dyDescent="0.25">
      <c r="A228" s="3" t="s">
        <v>21</v>
      </c>
      <c r="B228" s="3" t="s">
        <v>41</v>
      </c>
      <c r="C228" s="3" t="s">
        <v>40</v>
      </c>
      <c r="D228" s="3" t="s">
        <v>50</v>
      </c>
      <c r="E228" s="3" t="s">
        <v>51</v>
      </c>
      <c r="F228" s="3" t="s">
        <v>25</v>
      </c>
      <c r="G228" s="3" t="s">
        <v>25</v>
      </c>
      <c r="H228" s="3" t="s">
        <v>34</v>
      </c>
      <c r="I228" s="6">
        <v>44593</v>
      </c>
      <c r="J228" s="4">
        <v>4945</v>
      </c>
      <c r="K228" s="57">
        <v>4945</v>
      </c>
      <c r="L228" s="4">
        <v>208.08</v>
      </c>
      <c r="M228" s="56">
        <v>208.08</v>
      </c>
      <c r="N228" s="4">
        <v>208.08</v>
      </c>
      <c r="O228" s="56">
        <v>208.08</v>
      </c>
      <c r="P228" s="4">
        <v>0</v>
      </c>
      <c r="Q228" s="3" t="s">
        <v>26</v>
      </c>
      <c r="R228" s="3">
        <v>0</v>
      </c>
      <c r="S228" s="3">
        <v>11</v>
      </c>
      <c r="T228" s="3">
        <v>110</v>
      </c>
      <c r="U228" s="3">
        <v>88</v>
      </c>
      <c r="V228" s="56">
        <f>IF(ISERROR(VLOOKUP($S$228,'TAR FIN'!$A$1:$O$113,15,0)),0,VLOOKUP($S$228,'TAR FIN'!$A$1:$O$113,15,0))*(1-0.06)</f>
        <v>58.496199999999995</v>
      </c>
      <c r="W228" s="56">
        <f>IF(ISERROR(VLOOKUP($T$228,'TAR FIN'!$A$1:$O$113,15,0)),0,VLOOKUP($T$228,'TAR FIN'!$A$1:$O$113,15,0))*(1-0.06)</f>
        <v>48.193800000000003</v>
      </c>
      <c r="X228" s="56">
        <f>IF(ISERROR(VLOOKUP($U$228,'TAR FIN'!$A$1:$O$113,15,0)),0,VLOOKUP($U$228,'TAR FIN'!$A$1:$O$113,15,0))*(1-0.06)</f>
        <v>343.57</v>
      </c>
      <c r="Y228" s="56">
        <f ca="1">('TUSD BE'!$AM$13+'TUSD BF'!$AM$13+'TUSD CVA'!$AM$13)*1*(1-0.03)</f>
        <v>70.890384216313734</v>
      </c>
      <c r="Z228" s="56">
        <f ca="1">('TUSD BE'!$AM$15+'TUSD BF'!$AM$15+'TUSD CVA'!$AM$15)*1*(1-0.03)</f>
        <v>63.057187337713181</v>
      </c>
      <c r="AA228" s="56">
        <f>('TE BE'!$AA$10+'TE BF'!$AA$10+'TE CVA'!$AA$10)*1*(1-0.03)</f>
        <v>350.70363015859192</v>
      </c>
      <c r="AB228" s="56">
        <f>(SUBSIDIO!$J$228*SUBSIDIO!$V$228)*(0.06)/(1-0.06)</f>
        <v>18463.641</v>
      </c>
      <c r="AC228" s="56">
        <f>((SUBSIDIO!$L$228*SUBSIDIO!$W$228)+(SUBSIDIO!$N$228*SUBSIDIO!$X$228))*(0.06)/(1-0.06)</f>
        <v>5203.2900960000006</v>
      </c>
      <c r="AD228" s="56">
        <f ca="1">(SUBSIDIO!$J$228*SUBSIDIO!$Y$228)*(0.03)/(1-0.03)</f>
        <v>10841.843812876436</v>
      </c>
      <c r="AE228" s="56">
        <f ca="1">((SUBSIDIO!$L$228*SUBSIDIO!$Z$228)+(SUBSIDIO!$N$228*SUBSIDIO!$AA$228))*(0.03)/(1-0.03)</f>
        <v>2662.7428114834379</v>
      </c>
      <c r="AF228" s="3" t="s">
        <v>1025</v>
      </c>
    </row>
    <row r="229" spans="1:32" ht="11.25" customHeight="1" x14ac:dyDescent="0.25">
      <c r="A229" s="3" t="s">
        <v>56</v>
      </c>
      <c r="B229" s="3" t="s">
        <v>41</v>
      </c>
      <c r="C229" s="3" t="s">
        <v>40</v>
      </c>
      <c r="D229" s="3" t="s">
        <v>50</v>
      </c>
      <c r="E229" s="3" t="s">
        <v>51</v>
      </c>
      <c r="F229" s="3" t="s">
        <v>25</v>
      </c>
      <c r="G229" s="3" t="s">
        <v>25</v>
      </c>
      <c r="H229" s="3" t="s">
        <v>34</v>
      </c>
      <c r="I229" s="6">
        <v>44621</v>
      </c>
      <c r="J229" s="4">
        <v>4945</v>
      </c>
      <c r="K229" s="57">
        <v>4945</v>
      </c>
      <c r="L229" s="4">
        <v>208.08</v>
      </c>
      <c r="M229" s="56">
        <v>208.08</v>
      </c>
      <c r="N229" s="4">
        <v>208.08</v>
      </c>
      <c r="O229" s="56">
        <v>208.08</v>
      </c>
      <c r="P229" s="4">
        <v>0</v>
      </c>
      <c r="Q229" s="3" t="s">
        <v>26</v>
      </c>
      <c r="R229" s="3">
        <v>0</v>
      </c>
      <c r="S229" s="3">
        <v>11</v>
      </c>
      <c r="T229" s="3">
        <v>110</v>
      </c>
      <c r="U229" s="3">
        <v>88</v>
      </c>
      <c r="V229" s="56">
        <f>IF(ISERROR(VLOOKUP($S$229,'TAR FIN'!$A$1:$O$113,15,0)),0,VLOOKUP($S$229,'TAR FIN'!$A$1:$O$113,15,0))*(1-0.06)</f>
        <v>58.496199999999995</v>
      </c>
      <c r="W229" s="56">
        <f>IF(ISERROR(VLOOKUP($T$229,'TAR FIN'!$A$1:$O$113,15,0)),0,VLOOKUP($T$229,'TAR FIN'!$A$1:$O$113,15,0))*(1-0.06)</f>
        <v>48.193800000000003</v>
      </c>
      <c r="X229" s="56">
        <f>IF(ISERROR(VLOOKUP($U$229,'TAR FIN'!$A$1:$O$113,15,0)),0,VLOOKUP($U$229,'TAR FIN'!$A$1:$O$113,15,0))*(1-0.06)</f>
        <v>343.57</v>
      </c>
      <c r="Y229" s="56">
        <f ca="1">('TUSD BE'!$AM$13+'TUSD BF'!$AM$13+'TUSD CVA'!$AM$13)*1*(1-0.03)</f>
        <v>70.890384216313734</v>
      </c>
      <c r="Z229" s="56">
        <f ca="1">('TUSD BE'!$AM$15+'TUSD BF'!$AM$15+'TUSD CVA'!$AM$15)*1*(1-0.03)</f>
        <v>63.057187337713181</v>
      </c>
      <c r="AA229" s="56">
        <f>('TE BE'!$AA$10+'TE BF'!$AA$10+'TE CVA'!$AA$10)*1*(1-0.03)</f>
        <v>350.70363015859192</v>
      </c>
      <c r="AB229" s="56">
        <f>(SUBSIDIO!$J$229*SUBSIDIO!$V$229)*(0.06)/(1-0.06)</f>
        <v>18463.641</v>
      </c>
      <c r="AC229" s="56">
        <f>((SUBSIDIO!$L$229*SUBSIDIO!$W$229)+(SUBSIDIO!$N$229*SUBSIDIO!$X$229))*(0.06)/(1-0.06)</f>
        <v>5203.2900960000006</v>
      </c>
      <c r="AD229" s="56">
        <f ca="1">(SUBSIDIO!$J$229*SUBSIDIO!$Y$229)*(0.03)/(1-0.03)</f>
        <v>10841.843812876436</v>
      </c>
      <c r="AE229" s="56">
        <f ca="1">((SUBSIDIO!$L$229*SUBSIDIO!$Z$229)+(SUBSIDIO!$N$229*SUBSIDIO!$AA$229))*(0.03)/(1-0.03)</f>
        <v>2662.7428114834379</v>
      </c>
      <c r="AF229" s="3" t="s">
        <v>1025</v>
      </c>
    </row>
    <row r="230" spans="1:32" ht="11.25" customHeight="1" x14ac:dyDescent="0.25">
      <c r="A230" s="3" t="s">
        <v>21</v>
      </c>
      <c r="B230" s="3" t="s">
        <v>41</v>
      </c>
      <c r="C230" s="3" t="s">
        <v>61</v>
      </c>
      <c r="D230" s="3" t="s">
        <v>25</v>
      </c>
      <c r="E230" s="3" t="s">
        <v>25</v>
      </c>
      <c r="F230" s="3" t="s">
        <v>64</v>
      </c>
      <c r="G230" s="3" t="s">
        <v>68</v>
      </c>
      <c r="H230" s="3" t="s">
        <v>35</v>
      </c>
      <c r="I230" s="6">
        <v>44287</v>
      </c>
      <c r="J230" s="4">
        <v>1995</v>
      </c>
      <c r="K230" s="16">
        <f>J230*(1-SUMIFS(CUSTOS!$T$40:$T$100,CUSTOS!$O$40:$O$100,SUBSIDIO!G230,CUSTOS!$S$40:$S$100,SUBSIDIO!B230,CUSTOS!$R$40:$R$100,"Potência"))</f>
        <v>1995</v>
      </c>
      <c r="L230" s="4">
        <v>997.26800000000003</v>
      </c>
      <c r="M230" s="16">
        <f>L230*(1-SUMIFS(CUSTOS!$T$40:$T$100,CUSTOS!$O$40:$O$100,SUBSIDIO!G230,CUSTOS!$S$40:$S$100,SUBSIDIO!B230,CUSTOS!$R$40:$R$100,"Potência"))</f>
        <v>997.26800000000003</v>
      </c>
      <c r="N230" s="4">
        <v>0</v>
      </c>
      <c r="O230" s="16">
        <f>N230*(1-SUMIFS(CUSTOS!$T$40:$T$100,CUSTOS!$O$40:$O$100,SUBSIDIO!G230,CUSTOS!$S$40:$S$100,SUBSIDIO!B230,CUSTOS!$R$40:$R$100,"Energia"))</f>
        <v>0</v>
      </c>
      <c r="P230" s="4">
        <v>0</v>
      </c>
      <c r="Q230" s="3" t="s">
        <v>66</v>
      </c>
      <c r="R230" s="3">
        <v>5377</v>
      </c>
      <c r="S230" s="3">
        <v>14</v>
      </c>
      <c r="T230" s="3">
        <v>15</v>
      </c>
      <c r="U230" s="3">
        <v>0</v>
      </c>
      <c r="V230" s="4">
        <f>IF(ISERROR(VLOOKUP($S$230,'TAR FIN'!$A$1:$O$113,15,0)),0,VLOOKUP($S$230,'TAR FIN'!$A$1:$O$113,15,0))</f>
        <v>15.06</v>
      </c>
      <c r="W230" s="4">
        <f>IF(ISERROR(VLOOKUP($T$230,'TAR FIN'!$A$1:$O$113,15,0)),0,VLOOKUP($T$230,'TAR FIN'!$A$1:$O$113,15,0))</f>
        <v>9.65</v>
      </c>
      <c r="X230" s="4">
        <f>IF(ISERROR(VLOOKUP($U$230,'TAR FIN'!$A$1:$O$113,15,0)),0,VLOOKUP($U$230,'TAR FIN'!$A$1:$O$113,15,0))</f>
        <v>0</v>
      </c>
      <c r="Y230" s="4">
        <f ca="1">('TUSD BE'!$AM$18+'TUSD BF'!$AM$18+'TUSD CVA'!$AM$18)*1</f>
        <v>16.481800632175148</v>
      </c>
      <c r="Z230" s="4">
        <f ca="1">('TUSD BE'!$AM$19+'TUSD BF'!$AM$19+'TUSD CVA'!$AM$19)*1</f>
        <v>11.150945133676805</v>
      </c>
      <c r="AA230" s="4">
        <f>('TE BE'!$AA$14+'TE BF'!$AA$14+'TE CVA'!$AA$14)*1</f>
        <v>253.57775100318744</v>
      </c>
      <c r="AB230" s="4">
        <f t="shared" ref="AB230:AB257" si="14">(J230-K230)*V230</f>
        <v>0</v>
      </c>
      <c r="AC230" s="4">
        <f t="shared" ref="AC230:AC257" si="15">(L230-M230)*W230+(N230-O230)*X230</f>
        <v>0</v>
      </c>
      <c r="AD230" s="4">
        <f t="shared" ref="AD230:AD257" ca="1" si="16">(J230-K230)*Y230</f>
        <v>0</v>
      </c>
      <c r="AE230" s="4">
        <f t="shared" ref="AE230:AE257" ca="1" si="17">(L230-M230)*Z230+(N230-O230)*AA230</f>
        <v>0</v>
      </c>
      <c r="AF230" s="3" t="s">
        <v>1026</v>
      </c>
    </row>
    <row r="231" spans="1:32" ht="11.25" customHeight="1" x14ac:dyDescent="0.25">
      <c r="A231" s="3" t="s">
        <v>21</v>
      </c>
      <c r="B231" s="3" t="s">
        <v>41</v>
      </c>
      <c r="C231" s="3" t="s">
        <v>61</v>
      </c>
      <c r="D231" s="3" t="s">
        <v>25</v>
      </c>
      <c r="E231" s="3" t="s">
        <v>25</v>
      </c>
      <c r="F231" s="3" t="s">
        <v>64</v>
      </c>
      <c r="G231" s="3" t="s">
        <v>68</v>
      </c>
      <c r="H231" s="3" t="s">
        <v>35</v>
      </c>
      <c r="I231" s="6">
        <v>44317</v>
      </c>
      <c r="J231" s="4">
        <v>2016</v>
      </c>
      <c r="K231" s="16">
        <f>J231*(1-SUMIFS(CUSTOS!$T$40:$T$100,CUSTOS!$O$40:$O$100,SUBSIDIO!G231,CUSTOS!$S$40:$S$100,SUBSIDIO!B231,CUSTOS!$R$40:$R$100,"Potência"))</f>
        <v>2016</v>
      </c>
      <c r="L231" s="4">
        <v>928.58900000000006</v>
      </c>
      <c r="M231" s="16">
        <f>L231*(1-SUMIFS(CUSTOS!$T$40:$T$100,CUSTOS!$O$40:$O$100,SUBSIDIO!G231,CUSTOS!$S$40:$S$100,SUBSIDIO!B231,CUSTOS!$R$40:$R$100,"Potência"))</f>
        <v>928.58900000000006</v>
      </c>
      <c r="N231" s="4">
        <v>0</v>
      </c>
      <c r="O231" s="16">
        <f>N231*(1-SUMIFS(CUSTOS!$T$40:$T$100,CUSTOS!$O$40:$O$100,SUBSIDIO!G231,CUSTOS!$S$40:$S$100,SUBSIDIO!B231,CUSTOS!$R$40:$R$100,"Energia"))</f>
        <v>0</v>
      </c>
      <c r="P231" s="4">
        <v>0</v>
      </c>
      <c r="Q231" s="3" t="s">
        <v>66</v>
      </c>
      <c r="R231" s="3">
        <v>5377</v>
      </c>
      <c r="S231" s="3">
        <v>14</v>
      </c>
      <c r="T231" s="3">
        <v>15</v>
      </c>
      <c r="U231" s="3">
        <v>0</v>
      </c>
      <c r="V231" s="4">
        <f>IF(ISERROR(VLOOKUP($S$231,'TAR FIN'!$A$1:$O$113,15,0)),0,VLOOKUP($S$231,'TAR FIN'!$A$1:$O$113,15,0))</f>
        <v>15.06</v>
      </c>
      <c r="W231" s="4">
        <f>IF(ISERROR(VLOOKUP($T$231,'TAR FIN'!$A$1:$O$113,15,0)),0,VLOOKUP($T$231,'TAR FIN'!$A$1:$O$113,15,0))</f>
        <v>9.65</v>
      </c>
      <c r="X231" s="4">
        <f>IF(ISERROR(VLOOKUP($U$231,'TAR FIN'!$A$1:$O$113,15,0)),0,VLOOKUP($U$231,'TAR FIN'!$A$1:$O$113,15,0))</f>
        <v>0</v>
      </c>
      <c r="Y231" s="4">
        <f ca="1">('TUSD BE'!$AM$18+'TUSD BF'!$AM$18+'TUSD CVA'!$AM$18)*1</f>
        <v>16.481800632175148</v>
      </c>
      <c r="Z231" s="4">
        <f ca="1">('TUSD BE'!$AM$19+'TUSD BF'!$AM$19+'TUSD CVA'!$AM$19)*1</f>
        <v>11.150945133676805</v>
      </c>
      <c r="AA231" s="4">
        <f>('TE BE'!$AA$14+'TE BF'!$AA$14+'TE CVA'!$AA$14)*1</f>
        <v>253.57775100318744</v>
      </c>
      <c r="AB231" s="4">
        <f t="shared" si="14"/>
        <v>0</v>
      </c>
      <c r="AC231" s="4">
        <f t="shared" si="15"/>
        <v>0</v>
      </c>
      <c r="AD231" s="4">
        <f t="shared" ca="1" si="16"/>
        <v>0</v>
      </c>
      <c r="AE231" s="4">
        <f t="shared" ca="1" si="17"/>
        <v>0</v>
      </c>
      <c r="AF231" s="3" t="s">
        <v>1026</v>
      </c>
    </row>
    <row r="232" spans="1:32" ht="11.25" customHeight="1" x14ac:dyDescent="0.25">
      <c r="A232" s="3" t="s">
        <v>21</v>
      </c>
      <c r="B232" s="3" t="s">
        <v>41</v>
      </c>
      <c r="C232" s="3" t="s">
        <v>61</v>
      </c>
      <c r="D232" s="3" t="s">
        <v>25</v>
      </c>
      <c r="E232" s="3" t="s">
        <v>25</v>
      </c>
      <c r="F232" s="3" t="s">
        <v>64</v>
      </c>
      <c r="G232" s="3" t="s">
        <v>68</v>
      </c>
      <c r="H232" s="3" t="s">
        <v>35</v>
      </c>
      <c r="I232" s="6">
        <v>44348</v>
      </c>
      <c r="J232" s="4">
        <v>1935</v>
      </c>
      <c r="K232" s="16">
        <f>J232*(1-SUMIFS(CUSTOS!$T$40:$T$100,CUSTOS!$O$40:$O$100,SUBSIDIO!G232,CUSTOS!$S$40:$S$100,SUBSIDIO!B232,CUSTOS!$R$40:$R$100,"Potência"))</f>
        <v>1935</v>
      </c>
      <c r="L232" s="4">
        <v>903.06299999999999</v>
      </c>
      <c r="M232" s="16">
        <f>L232*(1-SUMIFS(CUSTOS!$T$40:$T$100,CUSTOS!$O$40:$O$100,SUBSIDIO!G232,CUSTOS!$S$40:$S$100,SUBSIDIO!B232,CUSTOS!$R$40:$R$100,"Potência"))</f>
        <v>903.06299999999999</v>
      </c>
      <c r="N232" s="4">
        <v>0</v>
      </c>
      <c r="O232" s="16">
        <f>N232*(1-SUMIFS(CUSTOS!$T$40:$T$100,CUSTOS!$O$40:$O$100,SUBSIDIO!G232,CUSTOS!$S$40:$S$100,SUBSIDIO!B232,CUSTOS!$R$40:$R$100,"Energia"))</f>
        <v>0</v>
      </c>
      <c r="P232" s="4">
        <v>0</v>
      </c>
      <c r="Q232" s="3" t="s">
        <v>66</v>
      </c>
      <c r="R232" s="3">
        <v>5377</v>
      </c>
      <c r="S232" s="3">
        <v>14</v>
      </c>
      <c r="T232" s="3">
        <v>15</v>
      </c>
      <c r="U232" s="3">
        <v>0</v>
      </c>
      <c r="V232" s="4">
        <f>IF(ISERROR(VLOOKUP($S$232,'TAR FIN'!$A$1:$O$113,15,0)),0,VLOOKUP($S$232,'TAR FIN'!$A$1:$O$113,15,0))</f>
        <v>15.06</v>
      </c>
      <c r="W232" s="4">
        <f>IF(ISERROR(VLOOKUP($T$232,'TAR FIN'!$A$1:$O$113,15,0)),0,VLOOKUP($T$232,'TAR FIN'!$A$1:$O$113,15,0))</f>
        <v>9.65</v>
      </c>
      <c r="X232" s="4">
        <f>IF(ISERROR(VLOOKUP($U$232,'TAR FIN'!$A$1:$O$113,15,0)),0,VLOOKUP($U$232,'TAR FIN'!$A$1:$O$113,15,0))</f>
        <v>0</v>
      </c>
      <c r="Y232" s="4">
        <f ca="1">('TUSD BE'!$AM$18+'TUSD BF'!$AM$18+'TUSD CVA'!$AM$18)*1</f>
        <v>16.481800632175148</v>
      </c>
      <c r="Z232" s="4">
        <f ca="1">('TUSD BE'!$AM$19+'TUSD BF'!$AM$19+'TUSD CVA'!$AM$19)*1</f>
        <v>11.150945133676805</v>
      </c>
      <c r="AA232" s="4">
        <f>('TE BE'!$AA$14+'TE BF'!$AA$14+'TE CVA'!$AA$14)*1</f>
        <v>253.57775100318744</v>
      </c>
      <c r="AB232" s="4">
        <f t="shared" si="14"/>
        <v>0</v>
      </c>
      <c r="AC232" s="4">
        <f t="shared" si="15"/>
        <v>0</v>
      </c>
      <c r="AD232" s="4">
        <f t="shared" ca="1" si="16"/>
        <v>0</v>
      </c>
      <c r="AE232" s="4">
        <f t="shared" ca="1" si="17"/>
        <v>0</v>
      </c>
      <c r="AF232" s="3" t="s">
        <v>1026</v>
      </c>
    </row>
    <row r="233" spans="1:32" ht="11.25" customHeight="1" x14ac:dyDescent="0.25">
      <c r="A233" s="3" t="s">
        <v>21</v>
      </c>
      <c r="B233" s="3" t="s">
        <v>41</v>
      </c>
      <c r="C233" s="3" t="s">
        <v>61</v>
      </c>
      <c r="D233" s="3" t="s">
        <v>25</v>
      </c>
      <c r="E233" s="3" t="s">
        <v>25</v>
      </c>
      <c r="F233" s="3" t="s">
        <v>64</v>
      </c>
      <c r="G233" s="3" t="s">
        <v>68</v>
      </c>
      <c r="H233" s="3" t="s">
        <v>35</v>
      </c>
      <c r="I233" s="6">
        <v>44378</v>
      </c>
      <c r="J233" s="4">
        <v>1938</v>
      </c>
      <c r="K233" s="16">
        <f>J233*(1-SUMIFS(CUSTOS!$T$40:$T$100,CUSTOS!$O$40:$O$100,SUBSIDIO!G233,CUSTOS!$S$40:$S$100,SUBSIDIO!B233,CUSTOS!$R$40:$R$100,"Potência"))</f>
        <v>1938</v>
      </c>
      <c r="L233" s="4">
        <v>870.15300000000002</v>
      </c>
      <c r="M233" s="16">
        <f>L233*(1-SUMIFS(CUSTOS!$T$40:$T$100,CUSTOS!$O$40:$O$100,SUBSIDIO!G233,CUSTOS!$S$40:$S$100,SUBSIDIO!B233,CUSTOS!$R$40:$R$100,"Potência"))</f>
        <v>870.15300000000002</v>
      </c>
      <c r="N233" s="4">
        <v>0</v>
      </c>
      <c r="O233" s="16">
        <f>N233*(1-SUMIFS(CUSTOS!$T$40:$T$100,CUSTOS!$O$40:$O$100,SUBSIDIO!G233,CUSTOS!$S$40:$S$100,SUBSIDIO!B233,CUSTOS!$R$40:$R$100,"Energia"))</f>
        <v>0</v>
      </c>
      <c r="P233" s="4">
        <v>0</v>
      </c>
      <c r="Q233" s="3" t="s">
        <v>66</v>
      </c>
      <c r="R233" s="3">
        <v>5377</v>
      </c>
      <c r="S233" s="3">
        <v>14</v>
      </c>
      <c r="T233" s="3">
        <v>15</v>
      </c>
      <c r="U233" s="3">
        <v>0</v>
      </c>
      <c r="V233" s="4">
        <f>IF(ISERROR(VLOOKUP($S$233,'TAR FIN'!$A$1:$O$113,15,0)),0,VLOOKUP($S$233,'TAR FIN'!$A$1:$O$113,15,0))</f>
        <v>15.06</v>
      </c>
      <c r="W233" s="4">
        <f>IF(ISERROR(VLOOKUP($T$233,'TAR FIN'!$A$1:$O$113,15,0)),0,VLOOKUP($T$233,'TAR FIN'!$A$1:$O$113,15,0))</f>
        <v>9.65</v>
      </c>
      <c r="X233" s="4">
        <f>IF(ISERROR(VLOOKUP($U$233,'TAR FIN'!$A$1:$O$113,15,0)),0,VLOOKUP($U$233,'TAR FIN'!$A$1:$O$113,15,0))</f>
        <v>0</v>
      </c>
      <c r="Y233" s="4">
        <f ca="1">('TUSD BE'!$AM$18+'TUSD BF'!$AM$18+'TUSD CVA'!$AM$18)*1</f>
        <v>16.481800632175148</v>
      </c>
      <c r="Z233" s="4">
        <f ca="1">('TUSD BE'!$AM$19+'TUSD BF'!$AM$19+'TUSD CVA'!$AM$19)*1</f>
        <v>11.150945133676805</v>
      </c>
      <c r="AA233" s="4">
        <f>('TE BE'!$AA$14+'TE BF'!$AA$14+'TE CVA'!$AA$14)*1</f>
        <v>253.57775100318744</v>
      </c>
      <c r="AB233" s="4">
        <f t="shared" si="14"/>
        <v>0</v>
      </c>
      <c r="AC233" s="4">
        <f t="shared" si="15"/>
        <v>0</v>
      </c>
      <c r="AD233" s="4">
        <f t="shared" ca="1" si="16"/>
        <v>0</v>
      </c>
      <c r="AE233" s="4">
        <f t="shared" ca="1" si="17"/>
        <v>0</v>
      </c>
      <c r="AF233" s="3" t="s">
        <v>1026</v>
      </c>
    </row>
    <row r="234" spans="1:32" ht="11.25" customHeight="1" x14ac:dyDescent="0.25">
      <c r="A234" s="3" t="s">
        <v>21</v>
      </c>
      <c r="B234" s="3" t="s">
        <v>41</v>
      </c>
      <c r="C234" s="3" t="s">
        <v>61</v>
      </c>
      <c r="D234" s="3" t="s">
        <v>25</v>
      </c>
      <c r="E234" s="3" t="s">
        <v>25</v>
      </c>
      <c r="F234" s="3" t="s">
        <v>64</v>
      </c>
      <c r="G234" s="3" t="s">
        <v>68</v>
      </c>
      <c r="H234" s="3" t="s">
        <v>35</v>
      </c>
      <c r="I234" s="6">
        <v>44409</v>
      </c>
      <c r="J234" s="4">
        <v>1915</v>
      </c>
      <c r="K234" s="16">
        <f>J234*(1-SUMIFS(CUSTOS!$T$40:$T$100,CUSTOS!$O$40:$O$100,SUBSIDIO!G234,CUSTOS!$S$40:$S$100,SUBSIDIO!B234,CUSTOS!$R$40:$R$100,"Potência"))</f>
        <v>1915</v>
      </c>
      <c r="L234" s="4">
        <v>835.46100000000001</v>
      </c>
      <c r="M234" s="16">
        <f>L234*(1-SUMIFS(CUSTOS!$T$40:$T$100,CUSTOS!$O$40:$O$100,SUBSIDIO!G234,CUSTOS!$S$40:$S$100,SUBSIDIO!B234,CUSTOS!$R$40:$R$100,"Potência"))</f>
        <v>835.46100000000001</v>
      </c>
      <c r="N234" s="4">
        <v>0</v>
      </c>
      <c r="O234" s="16">
        <f>N234*(1-SUMIFS(CUSTOS!$T$40:$T$100,CUSTOS!$O$40:$O$100,SUBSIDIO!G234,CUSTOS!$S$40:$S$100,SUBSIDIO!B234,CUSTOS!$R$40:$R$100,"Energia"))</f>
        <v>0</v>
      </c>
      <c r="P234" s="4">
        <v>0</v>
      </c>
      <c r="Q234" s="3" t="s">
        <v>66</v>
      </c>
      <c r="R234" s="3">
        <v>5377</v>
      </c>
      <c r="S234" s="3">
        <v>14</v>
      </c>
      <c r="T234" s="3">
        <v>15</v>
      </c>
      <c r="U234" s="3">
        <v>0</v>
      </c>
      <c r="V234" s="4">
        <f>IF(ISERROR(VLOOKUP($S$234,'TAR FIN'!$A$1:$O$113,15,0)),0,VLOOKUP($S$234,'TAR FIN'!$A$1:$O$113,15,0))</f>
        <v>15.06</v>
      </c>
      <c r="W234" s="4">
        <f>IF(ISERROR(VLOOKUP($T$234,'TAR FIN'!$A$1:$O$113,15,0)),0,VLOOKUP($T$234,'TAR FIN'!$A$1:$O$113,15,0))</f>
        <v>9.65</v>
      </c>
      <c r="X234" s="4">
        <f>IF(ISERROR(VLOOKUP($U$234,'TAR FIN'!$A$1:$O$113,15,0)),0,VLOOKUP($U$234,'TAR FIN'!$A$1:$O$113,15,0))</f>
        <v>0</v>
      </c>
      <c r="Y234" s="4">
        <f ca="1">('TUSD BE'!$AM$18+'TUSD BF'!$AM$18+'TUSD CVA'!$AM$18)*1</f>
        <v>16.481800632175148</v>
      </c>
      <c r="Z234" s="4">
        <f ca="1">('TUSD BE'!$AM$19+'TUSD BF'!$AM$19+'TUSD CVA'!$AM$19)*1</f>
        <v>11.150945133676805</v>
      </c>
      <c r="AA234" s="4">
        <f>('TE BE'!$AA$14+'TE BF'!$AA$14+'TE CVA'!$AA$14)*1</f>
        <v>253.57775100318744</v>
      </c>
      <c r="AB234" s="4">
        <f t="shared" si="14"/>
        <v>0</v>
      </c>
      <c r="AC234" s="4">
        <f t="shared" si="15"/>
        <v>0</v>
      </c>
      <c r="AD234" s="4">
        <f t="shared" ca="1" si="16"/>
        <v>0</v>
      </c>
      <c r="AE234" s="4">
        <f t="shared" ca="1" si="17"/>
        <v>0</v>
      </c>
      <c r="AF234" s="3" t="s">
        <v>1026</v>
      </c>
    </row>
    <row r="235" spans="1:32" ht="11.25" customHeight="1" x14ac:dyDescent="0.25">
      <c r="A235" s="3" t="s">
        <v>21</v>
      </c>
      <c r="B235" s="3" t="s">
        <v>41</v>
      </c>
      <c r="C235" s="3" t="s">
        <v>61</v>
      </c>
      <c r="D235" s="3" t="s">
        <v>25</v>
      </c>
      <c r="E235" s="3" t="s">
        <v>25</v>
      </c>
      <c r="F235" s="3" t="s">
        <v>64</v>
      </c>
      <c r="G235" s="3" t="s">
        <v>68</v>
      </c>
      <c r="H235" s="3" t="s">
        <v>35</v>
      </c>
      <c r="I235" s="6">
        <v>44440</v>
      </c>
      <c r="J235" s="4">
        <v>1963</v>
      </c>
      <c r="K235" s="16">
        <f>J235*(1-SUMIFS(CUSTOS!$T$40:$T$100,CUSTOS!$O$40:$O$100,SUBSIDIO!G235,CUSTOS!$S$40:$S$100,SUBSIDIO!B235,CUSTOS!$R$40:$R$100,"Potência"))</f>
        <v>1963</v>
      </c>
      <c r="L235" s="4">
        <v>864.78300000000002</v>
      </c>
      <c r="M235" s="16">
        <f>L235*(1-SUMIFS(CUSTOS!$T$40:$T$100,CUSTOS!$O$40:$O$100,SUBSIDIO!G235,CUSTOS!$S$40:$S$100,SUBSIDIO!B235,CUSTOS!$R$40:$R$100,"Potência"))</f>
        <v>864.78300000000002</v>
      </c>
      <c r="N235" s="4">
        <v>0</v>
      </c>
      <c r="O235" s="16">
        <f>N235*(1-SUMIFS(CUSTOS!$T$40:$T$100,CUSTOS!$O$40:$O$100,SUBSIDIO!G235,CUSTOS!$S$40:$S$100,SUBSIDIO!B235,CUSTOS!$R$40:$R$100,"Energia"))</f>
        <v>0</v>
      </c>
      <c r="P235" s="4">
        <v>0</v>
      </c>
      <c r="Q235" s="3" t="s">
        <v>66</v>
      </c>
      <c r="R235" s="3">
        <v>5377</v>
      </c>
      <c r="S235" s="3">
        <v>14</v>
      </c>
      <c r="T235" s="3">
        <v>15</v>
      </c>
      <c r="U235" s="3">
        <v>0</v>
      </c>
      <c r="V235" s="4">
        <f>IF(ISERROR(VLOOKUP($S$235,'TAR FIN'!$A$1:$O$113,15,0)),0,VLOOKUP($S$235,'TAR FIN'!$A$1:$O$113,15,0))</f>
        <v>15.06</v>
      </c>
      <c r="W235" s="4">
        <f>IF(ISERROR(VLOOKUP($T$235,'TAR FIN'!$A$1:$O$113,15,0)),0,VLOOKUP($T$235,'TAR FIN'!$A$1:$O$113,15,0))</f>
        <v>9.65</v>
      </c>
      <c r="X235" s="4">
        <f>IF(ISERROR(VLOOKUP($U$235,'TAR FIN'!$A$1:$O$113,15,0)),0,VLOOKUP($U$235,'TAR FIN'!$A$1:$O$113,15,0))</f>
        <v>0</v>
      </c>
      <c r="Y235" s="4">
        <f ca="1">('TUSD BE'!$AM$18+'TUSD BF'!$AM$18+'TUSD CVA'!$AM$18)*1</f>
        <v>16.481800632175148</v>
      </c>
      <c r="Z235" s="4">
        <f ca="1">('TUSD BE'!$AM$19+'TUSD BF'!$AM$19+'TUSD CVA'!$AM$19)*1</f>
        <v>11.150945133676805</v>
      </c>
      <c r="AA235" s="4">
        <f>('TE BE'!$AA$14+'TE BF'!$AA$14+'TE CVA'!$AA$14)*1</f>
        <v>253.57775100318744</v>
      </c>
      <c r="AB235" s="4">
        <f t="shared" si="14"/>
        <v>0</v>
      </c>
      <c r="AC235" s="4">
        <f t="shared" si="15"/>
        <v>0</v>
      </c>
      <c r="AD235" s="4">
        <f t="shared" ca="1" si="16"/>
        <v>0</v>
      </c>
      <c r="AE235" s="4">
        <f t="shared" ca="1" si="17"/>
        <v>0</v>
      </c>
      <c r="AF235" s="3" t="s">
        <v>1026</v>
      </c>
    </row>
    <row r="236" spans="1:32" ht="11.25" customHeight="1" x14ac:dyDescent="0.25">
      <c r="A236" s="3" t="s">
        <v>21</v>
      </c>
      <c r="B236" s="3" t="s">
        <v>41</v>
      </c>
      <c r="C236" s="3" t="s">
        <v>61</v>
      </c>
      <c r="D236" s="3" t="s">
        <v>25</v>
      </c>
      <c r="E236" s="3" t="s">
        <v>25</v>
      </c>
      <c r="F236" s="3" t="s">
        <v>64</v>
      </c>
      <c r="G236" s="3" t="s">
        <v>68</v>
      </c>
      <c r="H236" s="3" t="s">
        <v>35</v>
      </c>
      <c r="I236" s="6">
        <v>44470</v>
      </c>
      <c r="J236" s="4">
        <v>2009</v>
      </c>
      <c r="K236" s="16">
        <f>J236*(1-SUMIFS(CUSTOS!$T$40:$T$100,CUSTOS!$O$40:$O$100,SUBSIDIO!G236,CUSTOS!$S$40:$S$100,SUBSIDIO!B236,CUSTOS!$R$40:$R$100,"Potência"))</f>
        <v>2009</v>
      </c>
      <c r="L236" s="4">
        <v>890.678</v>
      </c>
      <c r="M236" s="16">
        <f>L236*(1-SUMIFS(CUSTOS!$T$40:$T$100,CUSTOS!$O$40:$O$100,SUBSIDIO!G236,CUSTOS!$S$40:$S$100,SUBSIDIO!B236,CUSTOS!$R$40:$R$100,"Potência"))</f>
        <v>890.678</v>
      </c>
      <c r="N236" s="4">
        <v>0</v>
      </c>
      <c r="O236" s="16">
        <f>N236*(1-SUMIFS(CUSTOS!$T$40:$T$100,CUSTOS!$O$40:$O$100,SUBSIDIO!G236,CUSTOS!$S$40:$S$100,SUBSIDIO!B236,CUSTOS!$R$40:$R$100,"Energia"))</f>
        <v>0</v>
      </c>
      <c r="P236" s="4">
        <v>0</v>
      </c>
      <c r="Q236" s="3" t="s">
        <v>66</v>
      </c>
      <c r="R236" s="3">
        <v>5377</v>
      </c>
      <c r="S236" s="3">
        <v>14</v>
      </c>
      <c r="T236" s="3">
        <v>15</v>
      </c>
      <c r="U236" s="3">
        <v>0</v>
      </c>
      <c r="V236" s="4">
        <f>IF(ISERROR(VLOOKUP($S$236,'TAR FIN'!$A$1:$O$113,15,0)),0,VLOOKUP($S$236,'TAR FIN'!$A$1:$O$113,15,0))</f>
        <v>15.06</v>
      </c>
      <c r="W236" s="4">
        <f>IF(ISERROR(VLOOKUP($T$236,'TAR FIN'!$A$1:$O$113,15,0)),0,VLOOKUP($T$236,'TAR FIN'!$A$1:$O$113,15,0))</f>
        <v>9.65</v>
      </c>
      <c r="X236" s="4">
        <f>IF(ISERROR(VLOOKUP($U$236,'TAR FIN'!$A$1:$O$113,15,0)),0,VLOOKUP($U$236,'TAR FIN'!$A$1:$O$113,15,0))</f>
        <v>0</v>
      </c>
      <c r="Y236" s="4">
        <f ca="1">('TUSD BE'!$AM$18+'TUSD BF'!$AM$18+'TUSD CVA'!$AM$18)*1</f>
        <v>16.481800632175148</v>
      </c>
      <c r="Z236" s="4">
        <f ca="1">('TUSD BE'!$AM$19+'TUSD BF'!$AM$19+'TUSD CVA'!$AM$19)*1</f>
        <v>11.150945133676805</v>
      </c>
      <c r="AA236" s="4">
        <f>('TE BE'!$AA$14+'TE BF'!$AA$14+'TE CVA'!$AA$14)*1</f>
        <v>253.57775100318744</v>
      </c>
      <c r="AB236" s="4">
        <f t="shared" si="14"/>
        <v>0</v>
      </c>
      <c r="AC236" s="4">
        <f t="shared" si="15"/>
        <v>0</v>
      </c>
      <c r="AD236" s="4">
        <f t="shared" ca="1" si="16"/>
        <v>0</v>
      </c>
      <c r="AE236" s="4">
        <f t="shared" ca="1" si="17"/>
        <v>0</v>
      </c>
      <c r="AF236" s="3" t="s">
        <v>1026</v>
      </c>
    </row>
    <row r="237" spans="1:32" ht="11.25" customHeight="1" x14ac:dyDescent="0.25">
      <c r="A237" s="3" t="s">
        <v>21</v>
      </c>
      <c r="B237" s="3" t="s">
        <v>41</v>
      </c>
      <c r="C237" s="3" t="s">
        <v>61</v>
      </c>
      <c r="D237" s="3" t="s">
        <v>25</v>
      </c>
      <c r="E237" s="3" t="s">
        <v>25</v>
      </c>
      <c r="F237" s="3" t="s">
        <v>64</v>
      </c>
      <c r="G237" s="3" t="s">
        <v>68</v>
      </c>
      <c r="H237" s="3" t="s">
        <v>35</v>
      </c>
      <c r="I237" s="6">
        <v>44501</v>
      </c>
      <c r="J237" s="4">
        <v>2042</v>
      </c>
      <c r="K237" s="16">
        <f>J237*(1-SUMIFS(CUSTOS!$T$40:$T$100,CUSTOS!$O$40:$O$100,SUBSIDIO!G237,CUSTOS!$S$40:$S$100,SUBSIDIO!B237,CUSTOS!$R$40:$R$100,"Potência"))</f>
        <v>2042</v>
      </c>
      <c r="L237" s="4">
        <v>1001.43</v>
      </c>
      <c r="M237" s="16">
        <f>L237*(1-SUMIFS(CUSTOS!$T$40:$T$100,CUSTOS!$O$40:$O$100,SUBSIDIO!G237,CUSTOS!$S$40:$S$100,SUBSIDIO!B237,CUSTOS!$R$40:$R$100,"Potência"))</f>
        <v>1001.43</v>
      </c>
      <c r="N237" s="4">
        <v>0</v>
      </c>
      <c r="O237" s="16">
        <f>N237*(1-SUMIFS(CUSTOS!$T$40:$T$100,CUSTOS!$O$40:$O$100,SUBSIDIO!G237,CUSTOS!$S$40:$S$100,SUBSIDIO!B237,CUSTOS!$R$40:$R$100,"Energia"))</f>
        <v>0</v>
      </c>
      <c r="P237" s="4">
        <v>0</v>
      </c>
      <c r="Q237" s="3" t="s">
        <v>66</v>
      </c>
      <c r="R237" s="3">
        <v>5377</v>
      </c>
      <c r="S237" s="3">
        <v>14</v>
      </c>
      <c r="T237" s="3">
        <v>15</v>
      </c>
      <c r="U237" s="3">
        <v>0</v>
      </c>
      <c r="V237" s="4">
        <f>IF(ISERROR(VLOOKUP($S$237,'TAR FIN'!$A$1:$O$113,15,0)),0,VLOOKUP($S$237,'TAR FIN'!$A$1:$O$113,15,0))</f>
        <v>15.06</v>
      </c>
      <c r="W237" s="4">
        <f>IF(ISERROR(VLOOKUP($T$237,'TAR FIN'!$A$1:$O$113,15,0)),0,VLOOKUP($T$237,'TAR FIN'!$A$1:$O$113,15,0))</f>
        <v>9.65</v>
      </c>
      <c r="X237" s="4">
        <f>IF(ISERROR(VLOOKUP($U$237,'TAR FIN'!$A$1:$O$113,15,0)),0,VLOOKUP($U$237,'TAR FIN'!$A$1:$O$113,15,0))</f>
        <v>0</v>
      </c>
      <c r="Y237" s="4">
        <f ca="1">('TUSD BE'!$AM$18+'TUSD BF'!$AM$18+'TUSD CVA'!$AM$18)*1</f>
        <v>16.481800632175148</v>
      </c>
      <c r="Z237" s="4">
        <f ca="1">('TUSD BE'!$AM$19+'TUSD BF'!$AM$19+'TUSD CVA'!$AM$19)*1</f>
        <v>11.150945133676805</v>
      </c>
      <c r="AA237" s="4">
        <f>('TE BE'!$AA$14+'TE BF'!$AA$14+'TE CVA'!$AA$14)*1</f>
        <v>253.57775100318744</v>
      </c>
      <c r="AB237" s="4">
        <f t="shared" si="14"/>
        <v>0</v>
      </c>
      <c r="AC237" s="4">
        <f t="shared" si="15"/>
        <v>0</v>
      </c>
      <c r="AD237" s="4">
        <f t="shared" ca="1" si="16"/>
        <v>0</v>
      </c>
      <c r="AE237" s="4">
        <f t="shared" ca="1" si="17"/>
        <v>0</v>
      </c>
      <c r="AF237" s="3" t="s">
        <v>1026</v>
      </c>
    </row>
    <row r="238" spans="1:32" ht="11.25" customHeight="1" x14ac:dyDescent="0.25">
      <c r="A238" s="3" t="s">
        <v>21</v>
      </c>
      <c r="B238" s="3" t="s">
        <v>41</v>
      </c>
      <c r="C238" s="3" t="s">
        <v>61</v>
      </c>
      <c r="D238" s="3" t="s">
        <v>25</v>
      </c>
      <c r="E238" s="3" t="s">
        <v>25</v>
      </c>
      <c r="F238" s="3" t="s">
        <v>64</v>
      </c>
      <c r="G238" s="3" t="s">
        <v>68</v>
      </c>
      <c r="H238" s="3" t="s">
        <v>35</v>
      </c>
      <c r="I238" s="6">
        <v>44531</v>
      </c>
      <c r="J238" s="4">
        <v>2010</v>
      </c>
      <c r="K238" s="16">
        <f>J238*(1-SUMIFS(CUSTOS!$T$40:$T$100,CUSTOS!$O$40:$O$100,SUBSIDIO!G238,CUSTOS!$S$40:$S$100,SUBSIDIO!B238,CUSTOS!$R$40:$R$100,"Potência"))</f>
        <v>2010</v>
      </c>
      <c r="L238" s="4">
        <v>976.822</v>
      </c>
      <c r="M238" s="16">
        <f>L238*(1-SUMIFS(CUSTOS!$T$40:$T$100,CUSTOS!$O$40:$O$100,SUBSIDIO!G238,CUSTOS!$S$40:$S$100,SUBSIDIO!B238,CUSTOS!$R$40:$R$100,"Potência"))</f>
        <v>976.822</v>
      </c>
      <c r="N238" s="4">
        <v>0</v>
      </c>
      <c r="O238" s="16">
        <f>N238*(1-SUMIFS(CUSTOS!$T$40:$T$100,CUSTOS!$O$40:$O$100,SUBSIDIO!G238,CUSTOS!$S$40:$S$100,SUBSIDIO!B238,CUSTOS!$R$40:$R$100,"Energia"))</f>
        <v>0</v>
      </c>
      <c r="P238" s="4">
        <v>0</v>
      </c>
      <c r="Q238" s="3" t="s">
        <v>66</v>
      </c>
      <c r="R238" s="3">
        <v>5377</v>
      </c>
      <c r="S238" s="3">
        <v>14</v>
      </c>
      <c r="T238" s="3">
        <v>15</v>
      </c>
      <c r="U238" s="3">
        <v>0</v>
      </c>
      <c r="V238" s="4">
        <f>IF(ISERROR(VLOOKUP($S$238,'TAR FIN'!$A$1:$O$113,15,0)),0,VLOOKUP($S$238,'TAR FIN'!$A$1:$O$113,15,0))</f>
        <v>15.06</v>
      </c>
      <c r="W238" s="4">
        <f>IF(ISERROR(VLOOKUP($T$238,'TAR FIN'!$A$1:$O$113,15,0)),0,VLOOKUP($T$238,'TAR FIN'!$A$1:$O$113,15,0))</f>
        <v>9.65</v>
      </c>
      <c r="X238" s="4">
        <f>IF(ISERROR(VLOOKUP($U$238,'TAR FIN'!$A$1:$O$113,15,0)),0,VLOOKUP($U$238,'TAR FIN'!$A$1:$O$113,15,0))</f>
        <v>0</v>
      </c>
      <c r="Y238" s="4">
        <f ca="1">('TUSD BE'!$AM$18+'TUSD BF'!$AM$18+'TUSD CVA'!$AM$18)*1</f>
        <v>16.481800632175148</v>
      </c>
      <c r="Z238" s="4">
        <f ca="1">('TUSD BE'!$AM$19+'TUSD BF'!$AM$19+'TUSD CVA'!$AM$19)*1</f>
        <v>11.150945133676805</v>
      </c>
      <c r="AA238" s="4">
        <f>('TE BE'!$AA$14+'TE BF'!$AA$14+'TE CVA'!$AA$14)*1</f>
        <v>253.57775100318744</v>
      </c>
      <c r="AB238" s="4">
        <f t="shared" si="14"/>
        <v>0</v>
      </c>
      <c r="AC238" s="4">
        <f t="shared" si="15"/>
        <v>0</v>
      </c>
      <c r="AD238" s="4">
        <f t="shared" ca="1" si="16"/>
        <v>0</v>
      </c>
      <c r="AE238" s="4">
        <f t="shared" ca="1" si="17"/>
        <v>0</v>
      </c>
      <c r="AF238" s="3" t="s">
        <v>1026</v>
      </c>
    </row>
    <row r="239" spans="1:32" ht="11.25" customHeight="1" x14ac:dyDescent="0.25">
      <c r="A239" s="3" t="s">
        <v>21</v>
      </c>
      <c r="B239" s="3" t="s">
        <v>41</v>
      </c>
      <c r="C239" s="3" t="s">
        <v>61</v>
      </c>
      <c r="D239" s="3" t="s">
        <v>25</v>
      </c>
      <c r="E239" s="3" t="s">
        <v>25</v>
      </c>
      <c r="F239" s="3" t="s">
        <v>64</v>
      </c>
      <c r="G239" s="3" t="s">
        <v>68</v>
      </c>
      <c r="H239" s="3" t="s">
        <v>35</v>
      </c>
      <c r="I239" s="6">
        <v>44562</v>
      </c>
      <c r="J239" s="4">
        <v>2037</v>
      </c>
      <c r="K239" s="16">
        <f>J239*(1-SUMIFS(CUSTOS!$T$40:$T$100,CUSTOS!$O$40:$O$100,SUBSIDIO!G239,CUSTOS!$S$40:$S$100,SUBSIDIO!B239,CUSTOS!$R$40:$R$100,"Potência"))</f>
        <v>2037</v>
      </c>
      <c r="L239" s="4">
        <v>999.56700000000001</v>
      </c>
      <c r="M239" s="16">
        <f>L239*(1-SUMIFS(CUSTOS!$T$40:$T$100,CUSTOS!$O$40:$O$100,SUBSIDIO!G239,CUSTOS!$S$40:$S$100,SUBSIDIO!B239,CUSTOS!$R$40:$R$100,"Potência"))</f>
        <v>999.56700000000001</v>
      </c>
      <c r="N239" s="4">
        <v>0</v>
      </c>
      <c r="O239" s="16">
        <f>N239*(1-SUMIFS(CUSTOS!$T$40:$T$100,CUSTOS!$O$40:$O$100,SUBSIDIO!G239,CUSTOS!$S$40:$S$100,SUBSIDIO!B239,CUSTOS!$R$40:$R$100,"Energia"))</f>
        <v>0</v>
      </c>
      <c r="P239" s="4">
        <v>0</v>
      </c>
      <c r="Q239" s="3" t="s">
        <v>66</v>
      </c>
      <c r="R239" s="3">
        <v>5377</v>
      </c>
      <c r="S239" s="3">
        <v>14</v>
      </c>
      <c r="T239" s="3">
        <v>15</v>
      </c>
      <c r="U239" s="3">
        <v>0</v>
      </c>
      <c r="V239" s="4">
        <f>IF(ISERROR(VLOOKUP($S$239,'TAR FIN'!$A$1:$O$113,15,0)),0,VLOOKUP($S$239,'TAR FIN'!$A$1:$O$113,15,0))</f>
        <v>15.06</v>
      </c>
      <c r="W239" s="4">
        <f>IF(ISERROR(VLOOKUP($T$239,'TAR FIN'!$A$1:$O$113,15,0)),0,VLOOKUP($T$239,'TAR FIN'!$A$1:$O$113,15,0))</f>
        <v>9.65</v>
      </c>
      <c r="X239" s="4">
        <f>IF(ISERROR(VLOOKUP($U$239,'TAR FIN'!$A$1:$O$113,15,0)),0,VLOOKUP($U$239,'TAR FIN'!$A$1:$O$113,15,0))</f>
        <v>0</v>
      </c>
      <c r="Y239" s="4">
        <f ca="1">('TUSD BE'!$AM$18+'TUSD BF'!$AM$18+'TUSD CVA'!$AM$18)*1</f>
        <v>16.481800632175148</v>
      </c>
      <c r="Z239" s="4">
        <f ca="1">('TUSD BE'!$AM$19+'TUSD BF'!$AM$19+'TUSD CVA'!$AM$19)*1</f>
        <v>11.150945133676805</v>
      </c>
      <c r="AA239" s="4">
        <f>('TE BE'!$AA$14+'TE BF'!$AA$14+'TE CVA'!$AA$14)*1</f>
        <v>253.57775100318744</v>
      </c>
      <c r="AB239" s="4">
        <f t="shared" si="14"/>
        <v>0</v>
      </c>
      <c r="AC239" s="4">
        <f t="shared" si="15"/>
        <v>0</v>
      </c>
      <c r="AD239" s="4">
        <f t="shared" ca="1" si="16"/>
        <v>0</v>
      </c>
      <c r="AE239" s="4">
        <f t="shared" ca="1" si="17"/>
        <v>0</v>
      </c>
      <c r="AF239" s="3" t="s">
        <v>1026</v>
      </c>
    </row>
    <row r="240" spans="1:32" ht="11.25" customHeight="1" x14ac:dyDescent="0.25">
      <c r="A240" s="3" t="s">
        <v>21</v>
      </c>
      <c r="B240" s="3" t="s">
        <v>41</v>
      </c>
      <c r="C240" s="3" t="s">
        <v>61</v>
      </c>
      <c r="D240" s="3" t="s">
        <v>25</v>
      </c>
      <c r="E240" s="3" t="s">
        <v>25</v>
      </c>
      <c r="F240" s="3" t="s">
        <v>64</v>
      </c>
      <c r="G240" s="3" t="s">
        <v>68</v>
      </c>
      <c r="H240" s="3" t="s">
        <v>35</v>
      </c>
      <c r="I240" s="6">
        <v>44593</v>
      </c>
      <c r="J240" s="4">
        <v>2093</v>
      </c>
      <c r="K240" s="16">
        <f>J240*(1-SUMIFS(CUSTOS!$T$40:$T$100,CUSTOS!$O$40:$O$100,SUBSIDIO!G240,CUSTOS!$S$40:$S$100,SUBSIDIO!B240,CUSTOS!$R$40:$R$100,"Potência"))</f>
        <v>2093</v>
      </c>
      <c r="L240" s="4">
        <v>1038.175</v>
      </c>
      <c r="M240" s="16">
        <f>L240*(1-SUMIFS(CUSTOS!$T$40:$T$100,CUSTOS!$O$40:$O$100,SUBSIDIO!G240,CUSTOS!$S$40:$S$100,SUBSIDIO!B240,CUSTOS!$R$40:$R$100,"Potência"))</f>
        <v>1038.175</v>
      </c>
      <c r="N240" s="4">
        <v>0</v>
      </c>
      <c r="O240" s="16">
        <f>N240*(1-SUMIFS(CUSTOS!$T$40:$T$100,CUSTOS!$O$40:$O$100,SUBSIDIO!G240,CUSTOS!$S$40:$S$100,SUBSIDIO!B240,CUSTOS!$R$40:$R$100,"Energia"))</f>
        <v>0</v>
      </c>
      <c r="P240" s="4">
        <v>0</v>
      </c>
      <c r="Q240" s="3" t="s">
        <v>66</v>
      </c>
      <c r="R240" s="3">
        <v>5377</v>
      </c>
      <c r="S240" s="3">
        <v>14</v>
      </c>
      <c r="T240" s="3">
        <v>15</v>
      </c>
      <c r="U240" s="3">
        <v>0</v>
      </c>
      <c r="V240" s="4">
        <f>IF(ISERROR(VLOOKUP($S$240,'TAR FIN'!$A$1:$O$113,15,0)),0,VLOOKUP($S$240,'TAR FIN'!$A$1:$O$113,15,0))</f>
        <v>15.06</v>
      </c>
      <c r="W240" s="4">
        <f>IF(ISERROR(VLOOKUP($T$240,'TAR FIN'!$A$1:$O$113,15,0)),0,VLOOKUP($T$240,'TAR FIN'!$A$1:$O$113,15,0))</f>
        <v>9.65</v>
      </c>
      <c r="X240" s="4">
        <f>IF(ISERROR(VLOOKUP($U$240,'TAR FIN'!$A$1:$O$113,15,0)),0,VLOOKUP($U$240,'TAR FIN'!$A$1:$O$113,15,0))</f>
        <v>0</v>
      </c>
      <c r="Y240" s="4">
        <f ca="1">('TUSD BE'!$AM$18+'TUSD BF'!$AM$18+'TUSD CVA'!$AM$18)*1</f>
        <v>16.481800632175148</v>
      </c>
      <c r="Z240" s="4">
        <f ca="1">('TUSD BE'!$AM$19+'TUSD BF'!$AM$19+'TUSD CVA'!$AM$19)*1</f>
        <v>11.150945133676805</v>
      </c>
      <c r="AA240" s="4">
        <f>('TE BE'!$AA$14+'TE BF'!$AA$14+'TE CVA'!$AA$14)*1</f>
        <v>253.57775100318744</v>
      </c>
      <c r="AB240" s="4">
        <f t="shared" si="14"/>
        <v>0</v>
      </c>
      <c r="AC240" s="4">
        <f t="shared" si="15"/>
        <v>0</v>
      </c>
      <c r="AD240" s="4">
        <f t="shared" ca="1" si="16"/>
        <v>0</v>
      </c>
      <c r="AE240" s="4">
        <f t="shared" ca="1" si="17"/>
        <v>0</v>
      </c>
      <c r="AF240" s="3" t="s">
        <v>1026</v>
      </c>
    </row>
    <row r="241" spans="1:32" ht="11.25" customHeight="1" x14ac:dyDescent="0.25">
      <c r="A241" s="3" t="s">
        <v>56</v>
      </c>
      <c r="B241" s="3" t="s">
        <v>41</v>
      </c>
      <c r="C241" s="3" t="s">
        <v>61</v>
      </c>
      <c r="D241" s="3" t="s">
        <v>25</v>
      </c>
      <c r="E241" s="3" t="s">
        <v>25</v>
      </c>
      <c r="F241" s="3" t="s">
        <v>64</v>
      </c>
      <c r="G241" s="3" t="s">
        <v>68</v>
      </c>
      <c r="H241" s="3" t="s">
        <v>35</v>
      </c>
      <c r="I241" s="6">
        <v>44621</v>
      </c>
      <c r="J241" s="4">
        <v>2093</v>
      </c>
      <c r="K241" s="16">
        <f>J241*(1-SUMIFS(CUSTOS!$T$40:$T$100,CUSTOS!$O$40:$O$100,SUBSIDIO!G241,CUSTOS!$S$40:$S$100,SUBSIDIO!B241,CUSTOS!$R$40:$R$100,"Potência"))</f>
        <v>2093</v>
      </c>
      <c r="L241" s="4">
        <v>1038.175</v>
      </c>
      <c r="M241" s="16">
        <f>L241*(1-SUMIFS(CUSTOS!$T$40:$T$100,CUSTOS!$O$40:$O$100,SUBSIDIO!G241,CUSTOS!$S$40:$S$100,SUBSIDIO!B241,CUSTOS!$R$40:$R$100,"Potência"))</f>
        <v>1038.175</v>
      </c>
      <c r="N241" s="4">
        <v>0</v>
      </c>
      <c r="O241" s="16">
        <f>N241*(1-SUMIFS(CUSTOS!$T$40:$T$100,CUSTOS!$O$40:$O$100,SUBSIDIO!G241,CUSTOS!$S$40:$S$100,SUBSIDIO!B241,CUSTOS!$R$40:$R$100,"Energia"))</f>
        <v>0</v>
      </c>
      <c r="P241" s="4">
        <v>0</v>
      </c>
      <c r="Q241" s="3" t="s">
        <v>66</v>
      </c>
      <c r="R241" s="3">
        <v>5377</v>
      </c>
      <c r="S241" s="3">
        <v>14</v>
      </c>
      <c r="T241" s="3">
        <v>15</v>
      </c>
      <c r="U241" s="3">
        <v>0</v>
      </c>
      <c r="V241" s="4">
        <f>IF(ISERROR(VLOOKUP($S$241,'TAR FIN'!$A$1:$O$113,15,0)),0,VLOOKUP($S$241,'TAR FIN'!$A$1:$O$113,15,0))</f>
        <v>15.06</v>
      </c>
      <c r="W241" s="4">
        <f>IF(ISERROR(VLOOKUP($T$241,'TAR FIN'!$A$1:$O$113,15,0)),0,VLOOKUP($T$241,'TAR FIN'!$A$1:$O$113,15,0))</f>
        <v>9.65</v>
      </c>
      <c r="X241" s="4">
        <f>IF(ISERROR(VLOOKUP($U$241,'TAR FIN'!$A$1:$O$113,15,0)),0,VLOOKUP($U$241,'TAR FIN'!$A$1:$O$113,15,0))</f>
        <v>0</v>
      </c>
      <c r="Y241" s="4">
        <f ca="1">('TUSD BE'!$AM$18+'TUSD BF'!$AM$18+'TUSD CVA'!$AM$18)*1</f>
        <v>16.481800632175148</v>
      </c>
      <c r="Z241" s="4">
        <f ca="1">('TUSD BE'!$AM$19+'TUSD BF'!$AM$19+'TUSD CVA'!$AM$19)*1</f>
        <v>11.150945133676805</v>
      </c>
      <c r="AA241" s="4">
        <f>('TE BE'!$AA$14+'TE BF'!$AA$14+'TE CVA'!$AA$14)*1</f>
        <v>253.57775100318744</v>
      </c>
      <c r="AB241" s="4">
        <f t="shared" si="14"/>
        <v>0</v>
      </c>
      <c r="AC241" s="4">
        <f t="shared" si="15"/>
        <v>0</v>
      </c>
      <c r="AD241" s="4">
        <f t="shared" ca="1" si="16"/>
        <v>0</v>
      </c>
      <c r="AE241" s="4">
        <f t="shared" ca="1" si="17"/>
        <v>0</v>
      </c>
      <c r="AF241" s="3" t="s">
        <v>1026</v>
      </c>
    </row>
    <row r="242" spans="1:32" ht="11.25" customHeight="1" x14ac:dyDescent="0.25">
      <c r="A242" s="3" t="s">
        <v>21</v>
      </c>
      <c r="B242" s="3" t="s">
        <v>41</v>
      </c>
      <c r="C242" s="3" t="s">
        <v>61</v>
      </c>
      <c r="D242" s="3" t="s">
        <v>25</v>
      </c>
      <c r="E242" s="3" t="s">
        <v>25</v>
      </c>
      <c r="F242" s="3" t="s">
        <v>64</v>
      </c>
      <c r="G242" s="3" t="s">
        <v>68</v>
      </c>
      <c r="H242" s="3" t="s">
        <v>25</v>
      </c>
      <c r="I242" s="6">
        <v>44287</v>
      </c>
      <c r="J242" s="4">
        <v>0</v>
      </c>
      <c r="K242" s="16">
        <f>J242*(1-SUMIFS(CUSTOS!$T$40:$T$100,CUSTOS!$O$40:$O$100,SUBSIDIO!G242,CUSTOS!$S$40:$S$100,SUBSIDIO!B242,CUSTOS!$R$40:$R$100,"Potência"))</f>
        <v>0</v>
      </c>
      <c r="L242" s="4">
        <v>0</v>
      </c>
      <c r="M242" s="16">
        <f>L242*(1-SUMIFS(CUSTOS!$T$40:$T$100,CUSTOS!$O$40:$O$100,SUBSIDIO!G242,CUSTOS!$S$40:$S$100,SUBSIDIO!B242,CUSTOS!$R$40:$R$100,"Potência"))</f>
        <v>0</v>
      </c>
      <c r="N242" s="4">
        <v>1109.271</v>
      </c>
      <c r="O242" s="16">
        <f>N242*(1-SUMIFS(CUSTOS!$T$40:$T$100,CUSTOS!$O$40:$O$100,SUBSIDIO!G242,CUSTOS!$S$40:$S$100,SUBSIDIO!B242,CUSTOS!$R$40:$R$100,"Energia"))</f>
        <v>1109.271</v>
      </c>
      <c r="P242" s="4">
        <v>0</v>
      </c>
      <c r="Q242" s="3" t="s">
        <v>66</v>
      </c>
      <c r="R242" s="3">
        <v>5377</v>
      </c>
      <c r="S242" s="3">
        <v>0</v>
      </c>
      <c r="T242" s="3">
        <v>0</v>
      </c>
      <c r="U242" s="3">
        <v>94</v>
      </c>
      <c r="V242" s="4">
        <f>IF(ISERROR(VLOOKUP($S$242,'TAR FIN'!$A$1:$O$113,15,0)),0,VLOOKUP($S$242,'TAR FIN'!$A$1:$O$113,15,0))</f>
        <v>0</v>
      </c>
      <c r="W242" s="4">
        <f>IF(ISERROR(VLOOKUP($T$242,'TAR FIN'!$A$1:$O$113,15,0)),0,VLOOKUP($T$242,'TAR FIN'!$A$1:$O$113,15,0))</f>
        <v>0</v>
      </c>
      <c r="X242" s="4">
        <f>IF(ISERROR(VLOOKUP($U$242,'TAR FIN'!$A$1:$O$113,15,0)),0,VLOOKUP($U$242,'TAR FIN'!$A$1:$O$113,15,0))</f>
        <v>230.1</v>
      </c>
      <c r="Y242" s="4">
        <f ca="1">0.72*('TUSD BE'!$AM$17+'TUSD BF'!$AM$17+'TUSD CVA'!$AM$17)*1+('TUSD BE'!$AM$18+'TUSD BF'!$AM$18+'TUSD CVA'!$AM$18)*1</f>
        <v>42.583563671169571</v>
      </c>
      <c r="Z242" s="4">
        <f ca="1">('TUSD BE'!$AM$19+'TUSD BF'!$AM$19+'TUSD CVA'!$AM$19)*1</f>
        <v>11.150945133676805</v>
      </c>
      <c r="AA242" s="4">
        <f>('TE BE'!$AA$14+'TE BF'!$AA$14+'TE CVA'!$AA$14)*1</f>
        <v>253.57775100318744</v>
      </c>
      <c r="AB242" s="4">
        <f t="shared" si="14"/>
        <v>0</v>
      </c>
      <c r="AC242" s="4">
        <f t="shared" si="15"/>
        <v>0</v>
      </c>
      <c r="AD242" s="4">
        <f t="shared" ca="1" si="16"/>
        <v>0</v>
      </c>
      <c r="AE242" s="4">
        <f t="shared" ca="1" si="17"/>
        <v>0</v>
      </c>
      <c r="AF242" s="3" t="s">
        <v>1026</v>
      </c>
    </row>
    <row r="243" spans="1:32" ht="11.25" customHeight="1" x14ac:dyDescent="0.25">
      <c r="A243" s="3" t="s">
        <v>21</v>
      </c>
      <c r="B243" s="3" t="s">
        <v>41</v>
      </c>
      <c r="C243" s="3" t="s">
        <v>61</v>
      </c>
      <c r="D243" s="3" t="s">
        <v>25</v>
      </c>
      <c r="E243" s="3" t="s">
        <v>25</v>
      </c>
      <c r="F243" s="3" t="s">
        <v>64</v>
      </c>
      <c r="G243" s="3" t="s">
        <v>68</v>
      </c>
      <c r="H243" s="3" t="s">
        <v>25</v>
      </c>
      <c r="I243" s="6">
        <v>44317</v>
      </c>
      <c r="J243" s="4">
        <v>0</v>
      </c>
      <c r="K243" s="16">
        <f>J243*(1-SUMIFS(CUSTOS!$T$40:$T$100,CUSTOS!$O$40:$O$100,SUBSIDIO!G243,CUSTOS!$S$40:$S$100,SUBSIDIO!B243,CUSTOS!$R$40:$R$100,"Potência"))</f>
        <v>0</v>
      </c>
      <c r="L243" s="4">
        <v>0</v>
      </c>
      <c r="M243" s="16">
        <f>L243*(1-SUMIFS(CUSTOS!$T$40:$T$100,CUSTOS!$O$40:$O$100,SUBSIDIO!G243,CUSTOS!$S$40:$S$100,SUBSIDIO!B243,CUSTOS!$R$40:$R$100,"Potência"))</f>
        <v>0</v>
      </c>
      <c r="N243" s="4">
        <v>1022.86</v>
      </c>
      <c r="O243" s="16">
        <f>N243*(1-SUMIFS(CUSTOS!$T$40:$T$100,CUSTOS!$O$40:$O$100,SUBSIDIO!G243,CUSTOS!$S$40:$S$100,SUBSIDIO!B243,CUSTOS!$R$40:$R$100,"Energia"))</f>
        <v>1022.86</v>
      </c>
      <c r="P243" s="4">
        <v>0</v>
      </c>
      <c r="Q243" s="3" t="s">
        <v>66</v>
      </c>
      <c r="R243" s="3">
        <v>5377</v>
      </c>
      <c r="S243" s="3">
        <v>0</v>
      </c>
      <c r="T243" s="3">
        <v>0</v>
      </c>
      <c r="U243" s="3">
        <v>94</v>
      </c>
      <c r="V243" s="4">
        <f>IF(ISERROR(VLOOKUP($S$243,'TAR FIN'!$A$1:$O$113,15,0)),0,VLOOKUP($S$243,'TAR FIN'!$A$1:$O$113,15,0))</f>
        <v>0</v>
      </c>
      <c r="W243" s="4">
        <f>IF(ISERROR(VLOOKUP($T$243,'TAR FIN'!$A$1:$O$113,15,0)),0,VLOOKUP($T$243,'TAR FIN'!$A$1:$O$113,15,0))</f>
        <v>0</v>
      </c>
      <c r="X243" s="4">
        <f>IF(ISERROR(VLOOKUP($U$243,'TAR FIN'!$A$1:$O$113,15,0)),0,VLOOKUP($U$243,'TAR FIN'!$A$1:$O$113,15,0))</f>
        <v>230.1</v>
      </c>
      <c r="Y243" s="4">
        <f ca="1">0.72*('TUSD BE'!$AM$17+'TUSD BF'!$AM$17+'TUSD CVA'!$AM$17)*1+('TUSD BE'!$AM$18+'TUSD BF'!$AM$18+'TUSD CVA'!$AM$18)*1</f>
        <v>42.583563671169571</v>
      </c>
      <c r="Z243" s="4">
        <f ca="1">('TUSD BE'!$AM$19+'TUSD BF'!$AM$19+'TUSD CVA'!$AM$19)*1</f>
        <v>11.150945133676805</v>
      </c>
      <c r="AA243" s="4">
        <f>('TE BE'!$AA$14+'TE BF'!$AA$14+'TE CVA'!$AA$14)*1</f>
        <v>253.57775100318744</v>
      </c>
      <c r="AB243" s="4">
        <f t="shared" si="14"/>
        <v>0</v>
      </c>
      <c r="AC243" s="4">
        <f t="shared" si="15"/>
        <v>0</v>
      </c>
      <c r="AD243" s="4">
        <f t="shared" ca="1" si="16"/>
        <v>0</v>
      </c>
      <c r="AE243" s="4">
        <f t="shared" ca="1" si="17"/>
        <v>0</v>
      </c>
      <c r="AF243" s="3" t="s">
        <v>1026</v>
      </c>
    </row>
    <row r="244" spans="1:32" ht="11.25" customHeight="1" x14ac:dyDescent="0.25">
      <c r="A244" s="3" t="s">
        <v>21</v>
      </c>
      <c r="B244" s="3" t="s">
        <v>41</v>
      </c>
      <c r="C244" s="3" t="s">
        <v>61</v>
      </c>
      <c r="D244" s="3" t="s">
        <v>25</v>
      </c>
      <c r="E244" s="3" t="s">
        <v>25</v>
      </c>
      <c r="F244" s="3" t="s">
        <v>64</v>
      </c>
      <c r="G244" s="3" t="s">
        <v>68</v>
      </c>
      <c r="H244" s="3" t="s">
        <v>25</v>
      </c>
      <c r="I244" s="6">
        <v>44348</v>
      </c>
      <c r="J244" s="4">
        <v>0</v>
      </c>
      <c r="K244" s="16">
        <f>J244*(1-SUMIFS(CUSTOS!$T$40:$T$100,CUSTOS!$O$40:$O$100,SUBSIDIO!G244,CUSTOS!$S$40:$S$100,SUBSIDIO!B244,CUSTOS!$R$40:$R$100,"Potência"))</f>
        <v>0</v>
      </c>
      <c r="L244" s="4">
        <v>0</v>
      </c>
      <c r="M244" s="16">
        <f>L244*(1-SUMIFS(CUSTOS!$T$40:$T$100,CUSTOS!$O$40:$O$100,SUBSIDIO!G244,CUSTOS!$S$40:$S$100,SUBSIDIO!B244,CUSTOS!$R$40:$R$100,"Potência"))</f>
        <v>0</v>
      </c>
      <c r="N244" s="4">
        <v>1003.768</v>
      </c>
      <c r="O244" s="16">
        <f>N244*(1-SUMIFS(CUSTOS!$T$40:$T$100,CUSTOS!$O$40:$O$100,SUBSIDIO!G244,CUSTOS!$S$40:$S$100,SUBSIDIO!B244,CUSTOS!$R$40:$R$100,"Energia"))</f>
        <v>1003.768</v>
      </c>
      <c r="P244" s="4">
        <v>0</v>
      </c>
      <c r="Q244" s="3" t="s">
        <v>66</v>
      </c>
      <c r="R244" s="3">
        <v>5377</v>
      </c>
      <c r="S244" s="3">
        <v>0</v>
      </c>
      <c r="T244" s="3">
        <v>0</v>
      </c>
      <c r="U244" s="3">
        <v>94</v>
      </c>
      <c r="V244" s="4">
        <f>IF(ISERROR(VLOOKUP($S$244,'TAR FIN'!$A$1:$O$113,15,0)),0,VLOOKUP($S$244,'TAR FIN'!$A$1:$O$113,15,0))</f>
        <v>0</v>
      </c>
      <c r="W244" s="4">
        <f>IF(ISERROR(VLOOKUP($T$244,'TAR FIN'!$A$1:$O$113,15,0)),0,VLOOKUP($T$244,'TAR FIN'!$A$1:$O$113,15,0))</f>
        <v>0</v>
      </c>
      <c r="X244" s="4">
        <f>IF(ISERROR(VLOOKUP($U$244,'TAR FIN'!$A$1:$O$113,15,0)),0,VLOOKUP($U$244,'TAR FIN'!$A$1:$O$113,15,0))</f>
        <v>230.1</v>
      </c>
      <c r="Y244" s="4">
        <f ca="1">0.72*('TUSD BE'!$AM$17+'TUSD BF'!$AM$17+'TUSD CVA'!$AM$17)*1+('TUSD BE'!$AM$18+'TUSD BF'!$AM$18+'TUSD CVA'!$AM$18)*1</f>
        <v>42.583563671169571</v>
      </c>
      <c r="Z244" s="4">
        <f ca="1">('TUSD BE'!$AM$19+'TUSD BF'!$AM$19+'TUSD CVA'!$AM$19)*1</f>
        <v>11.150945133676805</v>
      </c>
      <c r="AA244" s="4">
        <f>('TE BE'!$AA$14+'TE BF'!$AA$14+'TE CVA'!$AA$14)*1</f>
        <v>253.57775100318744</v>
      </c>
      <c r="AB244" s="4">
        <f t="shared" si="14"/>
        <v>0</v>
      </c>
      <c r="AC244" s="4">
        <f t="shared" si="15"/>
        <v>0</v>
      </c>
      <c r="AD244" s="4">
        <f t="shared" ca="1" si="16"/>
        <v>0</v>
      </c>
      <c r="AE244" s="4">
        <f t="shared" ca="1" si="17"/>
        <v>0</v>
      </c>
      <c r="AF244" s="3" t="s">
        <v>1026</v>
      </c>
    </row>
    <row r="245" spans="1:32" ht="11.25" customHeight="1" x14ac:dyDescent="0.25">
      <c r="A245" s="3" t="s">
        <v>21</v>
      </c>
      <c r="B245" s="3" t="s">
        <v>41</v>
      </c>
      <c r="C245" s="3" t="s">
        <v>61</v>
      </c>
      <c r="D245" s="3" t="s">
        <v>25</v>
      </c>
      <c r="E245" s="3" t="s">
        <v>25</v>
      </c>
      <c r="F245" s="3" t="s">
        <v>64</v>
      </c>
      <c r="G245" s="3" t="s">
        <v>68</v>
      </c>
      <c r="H245" s="3" t="s">
        <v>25</v>
      </c>
      <c r="I245" s="6">
        <v>44378</v>
      </c>
      <c r="J245" s="4">
        <v>0</v>
      </c>
      <c r="K245" s="16">
        <f>J245*(1-SUMIFS(CUSTOS!$T$40:$T$100,CUSTOS!$O$40:$O$100,SUBSIDIO!G245,CUSTOS!$S$40:$S$100,SUBSIDIO!B245,CUSTOS!$R$40:$R$100,"Potência"))</f>
        <v>0</v>
      </c>
      <c r="L245" s="4">
        <v>0</v>
      </c>
      <c r="M245" s="16">
        <f>L245*(1-SUMIFS(CUSTOS!$T$40:$T$100,CUSTOS!$O$40:$O$100,SUBSIDIO!G245,CUSTOS!$S$40:$S$100,SUBSIDIO!B245,CUSTOS!$R$40:$R$100,"Potência"))</f>
        <v>0</v>
      </c>
      <c r="N245" s="4">
        <v>971.34299999999996</v>
      </c>
      <c r="O245" s="16">
        <f>N245*(1-SUMIFS(CUSTOS!$T$40:$T$100,CUSTOS!$O$40:$O$100,SUBSIDIO!G245,CUSTOS!$S$40:$S$100,SUBSIDIO!B245,CUSTOS!$R$40:$R$100,"Energia"))</f>
        <v>971.34299999999996</v>
      </c>
      <c r="P245" s="4">
        <v>0</v>
      </c>
      <c r="Q245" s="3" t="s">
        <v>66</v>
      </c>
      <c r="R245" s="3">
        <v>5377</v>
      </c>
      <c r="S245" s="3">
        <v>0</v>
      </c>
      <c r="T245" s="3">
        <v>0</v>
      </c>
      <c r="U245" s="3">
        <v>94</v>
      </c>
      <c r="V245" s="4">
        <f>IF(ISERROR(VLOOKUP($S$245,'TAR FIN'!$A$1:$O$113,15,0)),0,VLOOKUP($S$245,'TAR FIN'!$A$1:$O$113,15,0))</f>
        <v>0</v>
      </c>
      <c r="W245" s="4">
        <f>IF(ISERROR(VLOOKUP($T$245,'TAR FIN'!$A$1:$O$113,15,0)),0,VLOOKUP($T$245,'TAR FIN'!$A$1:$O$113,15,0))</f>
        <v>0</v>
      </c>
      <c r="X245" s="4">
        <f>IF(ISERROR(VLOOKUP($U$245,'TAR FIN'!$A$1:$O$113,15,0)),0,VLOOKUP($U$245,'TAR FIN'!$A$1:$O$113,15,0))</f>
        <v>230.1</v>
      </c>
      <c r="Y245" s="4">
        <f ca="1">0.72*('TUSD BE'!$AM$17+'TUSD BF'!$AM$17+'TUSD CVA'!$AM$17)*1+('TUSD BE'!$AM$18+'TUSD BF'!$AM$18+'TUSD CVA'!$AM$18)*1</f>
        <v>42.583563671169571</v>
      </c>
      <c r="Z245" s="4">
        <f ca="1">('TUSD BE'!$AM$19+'TUSD BF'!$AM$19+'TUSD CVA'!$AM$19)*1</f>
        <v>11.150945133676805</v>
      </c>
      <c r="AA245" s="4">
        <f>('TE BE'!$AA$14+'TE BF'!$AA$14+'TE CVA'!$AA$14)*1</f>
        <v>253.57775100318744</v>
      </c>
      <c r="AB245" s="4">
        <f t="shared" si="14"/>
        <v>0</v>
      </c>
      <c r="AC245" s="4">
        <f t="shared" si="15"/>
        <v>0</v>
      </c>
      <c r="AD245" s="4">
        <f t="shared" ca="1" si="16"/>
        <v>0</v>
      </c>
      <c r="AE245" s="4">
        <f t="shared" ca="1" si="17"/>
        <v>0</v>
      </c>
      <c r="AF245" s="3" t="s">
        <v>1026</v>
      </c>
    </row>
    <row r="246" spans="1:32" ht="11.25" customHeight="1" x14ac:dyDescent="0.25">
      <c r="A246" s="3" t="s">
        <v>21</v>
      </c>
      <c r="B246" s="3" t="s">
        <v>41</v>
      </c>
      <c r="C246" s="3" t="s">
        <v>61</v>
      </c>
      <c r="D246" s="3" t="s">
        <v>25</v>
      </c>
      <c r="E246" s="3" t="s">
        <v>25</v>
      </c>
      <c r="F246" s="3" t="s">
        <v>64</v>
      </c>
      <c r="G246" s="3" t="s">
        <v>68</v>
      </c>
      <c r="H246" s="3" t="s">
        <v>25</v>
      </c>
      <c r="I246" s="6">
        <v>44409</v>
      </c>
      <c r="J246" s="4">
        <v>0</v>
      </c>
      <c r="K246" s="16">
        <f>J246*(1-SUMIFS(CUSTOS!$T$40:$T$100,CUSTOS!$O$40:$O$100,SUBSIDIO!G246,CUSTOS!$S$40:$S$100,SUBSIDIO!B246,CUSTOS!$R$40:$R$100,"Potência"))</f>
        <v>0</v>
      </c>
      <c r="L246" s="4">
        <v>0</v>
      </c>
      <c r="M246" s="16">
        <f>L246*(1-SUMIFS(CUSTOS!$T$40:$T$100,CUSTOS!$O$40:$O$100,SUBSIDIO!G246,CUSTOS!$S$40:$S$100,SUBSIDIO!B246,CUSTOS!$R$40:$R$100,"Potência"))</f>
        <v>0</v>
      </c>
      <c r="N246" s="4">
        <v>940.20299999999997</v>
      </c>
      <c r="O246" s="16">
        <f>N246*(1-SUMIFS(CUSTOS!$T$40:$T$100,CUSTOS!$O$40:$O$100,SUBSIDIO!G246,CUSTOS!$S$40:$S$100,SUBSIDIO!B246,CUSTOS!$R$40:$R$100,"Energia"))</f>
        <v>940.20299999999997</v>
      </c>
      <c r="P246" s="4">
        <v>0</v>
      </c>
      <c r="Q246" s="3" t="s">
        <v>66</v>
      </c>
      <c r="R246" s="3">
        <v>5377</v>
      </c>
      <c r="S246" s="3">
        <v>0</v>
      </c>
      <c r="T246" s="3">
        <v>0</v>
      </c>
      <c r="U246" s="3">
        <v>94</v>
      </c>
      <c r="V246" s="4">
        <f>IF(ISERROR(VLOOKUP($S$246,'TAR FIN'!$A$1:$O$113,15,0)),0,VLOOKUP($S$246,'TAR FIN'!$A$1:$O$113,15,0))</f>
        <v>0</v>
      </c>
      <c r="W246" s="4">
        <f>IF(ISERROR(VLOOKUP($T$246,'TAR FIN'!$A$1:$O$113,15,0)),0,VLOOKUP($T$246,'TAR FIN'!$A$1:$O$113,15,0))</f>
        <v>0</v>
      </c>
      <c r="X246" s="4">
        <f>IF(ISERROR(VLOOKUP($U$246,'TAR FIN'!$A$1:$O$113,15,0)),0,VLOOKUP($U$246,'TAR FIN'!$A$1:$O$113,15,0))</f>
        <v>230.1</v>
      </c>
      <c r="Y246" s="4">
        <f ca="1">0.72*('TUSD BE'!$AM$17+'TUSD BF'!$AM$17+'TUSD CVA'!$AM$17)*1+('TUSD BE'!$AM$18+'TUSD BF'!$AM$18+'TUSD CVA'!$AM$18)*1</f>
        <v>42.583563671169571</v>
      </c>
      <c r="Z246" s="4">
        <f ca="1">('TUSD BE'!$AM$19+'TUSD BF'!$AM$19+'TUSD CVA'!$AM$19)*1</f>
        <v>11.150945133676805</v>
      </c>
      <c r="AA246" s="4">
        <f>('TE BE'!$AA$14+'TE BF'!$AA$14+'TE CVA'!$AA$14)*1</f>
        <v>253.57775100318744</v>
      </c>
      <c r="AB246" s="4">
        <f t="shared" si="14"/>
        <v>0</v>
      </c>
      <c r="AC246" s="4">
        <f t="shared" si="15"/>
        <v>0</v>
      </c>
      <c r="AD246" s="4">
        <f t="shared" ca="1" si="16"/>
        <v>0</v>
      </c>
      <c r="AE246" s="4">
        <f t="shared" ca="1" si="17"/>
        <v>0</v>
      </c>
      <c r="AF246" s="3" t="s">
        <v>1026</v>
      </c>
    </row>
    <row r="247" spans="1:32" ht="11.25" customHeight="1" x14ac:dyDescent="0.25">
      <c r="A247" s="3" t="s">
        <v>21</v>
      </c>
      <c r="B247" s="3" t="s">
        <v>41</v>
      </c>
      <c r="C247" s="3" t="s">
        <v>61</v>
      </c>
      <c r="D247" s="3" t="s">
        <v>25</v>
      </c>
      <c r="E247" s="3" t="s">
        <v>25</v>
      </c>
      <c r="F247" s="3" t="s">
        <v>64</v>
      </c>
      <c r="G247" s="3" t="s">
        <v>68</v>
      </c>
      <c r="H247" s="3" t="s">
        <v>25</v>
      </c>
      <c r="I247" s="6">
        <v>44440</v>
      </c>
      <c r="J247" s="4">
        <v>0</v>
      </c>
      <c r="K247" s="16">
        <f>J247*(1-SUMIFS(CUSTOS!$T$40:$T$100,CUSTOS!$O$40:$O$100,SUBSIDIO!G247,CUSTOS!$S$40:$S$100,SUBSIDIO!B247,CUSTOS!$R$40:$R$100,"Potência"))</f>
        <v>0</v>
      </c>
      <c r="L247" s="4">
        <v>0</v>
      </c>
      <c r="M247" s="16">
        <f>L247*(1-SUMIFS(CUSTOS!$T$40:$T$100,CUSTOS!$O$40:$O$100,SUBSIDIO!G247,CUSTOS!$S$40:$S$100,SUBSIDIO!B247,CUSTOS!$R$40:$R$100,"Potência"))</f>
        <v>0</v>
      </c>
      <c r="N247" s="4">
        <v>971.20899999999995</v>
      </c>
      <c r="O247" s="16">
        <f>N247*(1-SUMIFS(CUSTOS!$T$40:$T$100,CUSTOS!$O$40:$O$100,SUBSIDIO!G247,CUSTOS!$S$40:$S$100,SUBSIDIO!B247,CUSTOS!$R$40:$R$100,"Energia"))</f>
        <v>971.20899999999995</v>
      </c>
      <c r="P247" s="4">
        <v>0</v>
      </c>
      <c r="Q247" s="3" t="s">
        <v>66</v>
      </c>
      <c r="R247" s="3">
        <v>5377</v>
      </c>
      <c r="S247" s="3">
        <v>0</v>
      </c>
      <c r="T247" s="3">
        <v>0</v>
      </c>
      <c r="U247" s="3">
        <v>94</v>
      </c>
      <c r="V247" s="4">
        <f>IF(ISERROR(VLOOKUP($S$247,'TAR FIN'!$A$1:$O$113,15,0)),0,VLOOKUP($S$247,'TAR FIN'!$A$1:$O$113,15,0))</f>
        <v>0</v>
      </c>
      <c r="W247" s="4">
        <f>IF(ISERROR(VLOOKUP($T$247,'TAR FIN'!$A$1:$O$113,15,0)),0,VLOOKUP($T$247,'TAR FIN'!$A$1:$O$113,15,0))</f>
        <v>0</v>
      </c>
      <c r="X247" s="4">
        <f>IF(ISERROR(VLOOKUP($U$247,'TAR FIN'!$A$1:$O$113,15,0)),0,VLOOKUP($U$247,'TAR FIN'!$A$1:$O$113,15,0))</f>
        <v>230.1</v>
      </c>
      <c r="Y247" s="4">
        <f ca="1">0.72*('TUSD BE'!$AM$17+'TUSD BF'!$AM$17+'TUSD CVA'!$AM$17)*1+('TUSD BE'!$AM$18+'TUSD BF'!$AM$18+'TUSD CVA'!$AM$18)*1</f>
        <v>42.583563671169571</v>
      </c>
      <c r="Z247" s="4">
        <f ca="1">('TUSD BE'!$AM$19+'TUSD BF'!$AM$19+'TUSD CVA'!$AM$19)*1</f>
        <v>11.150945133676805</v>
      </c>
      <c r="AA247" s="4">
        <f>('TE BE'!$AA$14+'TE BF'!$AA$14+'TE CVA'!$AA$14)*1</f>
        <v>253.57775100318744</v>
      </c>
      <c r="AB247" s="4">
        <f t="shared" si="14"/>
        <v>0</v>
      </c>
      <c r="AC247" s="4">
        <f t="shared" si="15"/>
        <v>0</v>
      </c>
      <c r="AD247" s="4">
        <f t="shared" ca="1" si="16"/>
        <v>0</v>
      </c>
      <c r="AE247" s="4">
        <f t="shared" ca="1" si="17"/>
        <v>0</v>
      </c>
      <c r="AF247" s="3" t="s">
        <v>1026</v>
      </c>
    </row>
    <row r="248" spans="1:32" ht="11.25" customHeight="1" x14ac:dyDescent="0.25">
      <c r="A248" s="3" t="s">
        <v>21</v>
      </c>
      <c r="B248" s="3" t="s">
        <v>41</v>
      </c>
      <c r="C248" s="3" t="s">
        <v>61</v>
      </c>
      <c r="D248" s="3" t="s">
        <v>25</v>
      </c>
      <c r="E248" s="3" t="s">
        <v>25</v>
      </c>
      <c r="F248" s="3" t="s">
        <v>64</v>
      </c>
      <c r="G248" s="3" t="s">
        <v>68</v>
      </c>
      <c r="H248" s="3" t="s">
        <v>25</v>
      </c>
      <c r="I248" s="6">
        <v>44470</v>
      </c>
      <c r="J248" s="4">
        <v>0</v>
      </c>
      <c r="K248" s="16">
        <f>J248*(1-SUMIFS(CUSTOS!$T$40:$T$100,CUSTOS!$O$40:$O$100,SUBSIDIO!G248,CUSTOS!$S$40:$S$100,SUBSIDIO!B248,CUSTOS!$R$40:$R$100,"Potência"))</f>
        <v>0</v>
      </c>
      <c r="L248" s="4">
        <v>0</v>
      </c>
      <c r="M248" s="16">
        <f>L248*(1-SUMIFS(CUSTOS!$T$40:$T$100,CUSTOS!$O$40:$O$100,SUBSIDIO!G248,CUSTOS!$S$40:$S$100,SUBSIDIO!B248,CUSTOS!$R$40:$R$100,"Potência"))</f>
        <v>0</v>
      </c>
      <c r="N248" s="4">
        <v>992.65</v>
      </c>
      <c r="O248" s="16">
        <f>N248*(1-SUMIFS(CUSTOS!$T$40:$T$100,CUSTOS!$O$40:$O$100,SUBSIDIO!G248,CUSTOS!$S$40:$S$100,SUBSIDIO!B248,CUSTOS!$R$40:$R$100,"Energia"))</f>
        <v>992.65</v>
      </c>
      <c r="P248" s="4">
        <v>0</v>
      </c>
      <c r="Q248" s="3" t="s">
        <v>66</v>
      </c>
      <c r="R248" s="3">
        <v>5377</v>
      </c>
      <c r="S248" s="3">
        <v>0</v>
      </c>
      <c r="T248" s="3">
        <v>0</v>
      </c>
      <c r="U248" s="3">
        <v>94</v>
      </c>
      <c r="V248" s="4">
        <f>IF(ISERROR(VLOOKUP($S$248,'TAR FIN'!$A$1:$O$113,15,0)),0,VLOOKUP($S$248,'TAR FIN'!$A$1:$O$113,15,0))</f>
        <v>0</v>
      </c>
      <c r="W248" s="4">
        <f>IF(ISERROR(VLOOKUP($T$248,'TAR FIN'!$A$1:$O$113,15,0)),0,VLOOKUP($T$248,'TAR FIN'!$A$1:$O$113,15,0))</f>
        <v>0</v>
      </c>
      <c r="X248" s="4">
        <f>IF(ISERROR(VLOOKUP($U$248,'TAR FIN'!$A$1:$O$113,15,0)),0,VLOOKUP($U$248,'TAR FIN'!$A$1:$O$113,15,0))</f>
        <v>230.1</v>
      </c>
      <c r="Y248" s="4">
        <f ca="1">0.72*('TUSD BE'!$AM$17+'TUSD BF'!$AM$17+'TUSD CVA'!$AM$17)*1+('TUSD BE'!$AM$18+'TUSD BF'!$AM$18+'TUSD CVA'!$AM$18)*1</f>
        <v>42.583563671169571</v>
      </c>
      <c r="Z248" s="4">
        <f ca="1">('TUSD BE'!$AM$19+'TUSD BF'!$AM$19+'TUSD CVA'!$AM$19)*1</f>
        <v>11.150945133676805</v>
      </c>
      <c r="AA248" s="4">
        <f>('TE BE'!$AA$14+'TE BF'!$AA$14+'TE CVA'!$AA$14)*1</f>
        <v>253.57775100318744</v>
      </c>
      <c r="AB248" s="4">
        <f t="shared" si="14"/>
        <v>0</v>
      </c>
      <c r="AC248" s="4">
        <f t="shared" si="15"/>
        <v>0</v>
      </c>
      <c r="AD248" s="4">
        <f t="shared" ca="1" si="16"/>
        <v>0</v>
      </c>
      <c r="AE248" s="4">
        <f t="shared" ca="1" si="17"/>
        <v>0</v>
      </c>
      <c r="AF248" s="3" t="s">
        <v>1026</v>
      </c>
    </row>
    <row r="249" spans="1:32" ht="11.25" customHeight="1" x14ac:dyDescent="0.25">
      <c r="A249" s="3" t="s">
        <v>21</v>
      </c>
      <c r="B249" s="3" t="s">
        <v>41</v>
      </c>
      <c r="C249" s="3" t="s">
        <v>61</v>
      </c>
      <c r="D249" s="3" t="s">
        <v>25</v>
      </c>
      <c r="E249" s="3" t="s">
        <v>25</v>
      </c>
      <c r="F249" s="3" t="s">
        <v>64</v>
      </c>
      <c r="G249" s="3" t="s">
        <v>68</v>
      </c>
      <c r="H249" s="3" t="s">
        <v>25</v>
      </c>
      <c r="I249" s="6">
        <v>44501</v>
      </c>
      <c r="J249" s="4">
        <v>0</v>
      </c>
      <c r="K249" s="16">
        <f>J249*(1-SUMIFS(CUSTOS!$T$40:$T$100,CUSTOS!$O$40:$O$100,SUBSIDIO!G249,CUSTOS!$S$40:$S$100,SUBSIDIO!B249,CUSTOS!$R$40:$R$100,"Potência"))</f>
        <v>0</v>
      </c>
      <c r="L249" s="4">
        <v>0</v>
      </c>
      <c r="M249" s="16">
        <f>L249*(1-SUMIFS(CUSTOS!$T$40:$T$100,CUSTOS!$O$40:$O$100,SUBSIDIO!G249,CUSTOS!$S$40:$S$100,SUBSIDIO!B249,CUSTOS!$R$40:$R$100,"Potência"))</f>
        <v>0</v>
      </c>
      <c r="N249" s="4">
        <v>1101.4580000000001</v>
      </c>
      <c r="O249" s="16">
        <f>N249*(1-SUMIFS(CUSTOS!$T$40:$T$100,CUSTOS!$O$40:$O$100,SUBSIDIO!G249,CUSTOS!$S$40:$S$100,SUBSIDIO!B249,CUSTOS!$R$40:$R$100,"Energia"))</f>
        <v>1101.4580000000001</v>
      </c>
      <c r="P249" s="4">
        <v>0</v>
      </c>
      <c r="Q249" s="3" t="s">
        <v>66</v>
      </c>
      <c r="R249" s="3">
        <v>5377</v>
      </c>
      <c r="S249" s="3">
        <v>0</v>
      </c>
      <c r="T249" s="3">
        <v>0</v>
      </c>
      <c r="U249" s="3">
        <v>94</v>
      </c>
      <c r="V249" s="4">
        <f>IF(ISERROR(VLOOKUP($S$249,'TAR FIN'!$A$1:$O$113,15,0)),0,VLOOKUP($S$249,'TAR FIN'!$A$1:$O$113,15,0))</f>
        <v>0</v>
      </c>
      <c r="W249" s="4">
        <f>IF(ISERROR(VLOOKUP($T$249,'TAR FIN'!$A$1:$O$113,15,0)),0,VLOOKUP($T$249,'TAR FIN'!$A$1:$O$113,15,0))</f>
        <v>0</v>
      </c>
      <c r="X249" s="4">
        <f>IF(ISERROR(VLOOKUP($U$249,'TAR FIN'!$A$1:$O$113,15,0)),0,VLOOKUP($U$249,'TAR FIN'!$A$1:$O$113,15,0))</f>
        <v>230.1</v>
      </c>
      <c r="Y249" s="4">
        <f ca="1">0.72*('TUSD BE'!$AM$17+'TUSD BF'!$AM$17+'TUSD CVA'!$AM$17)*1+('TUSD BE'!$AM$18+'TUSD BF'!$AM$18+'TUSD CVA'!$AM$18)*1</f>
        <v>42.583563671169571</v>
      </c>
      <c r="Z249" s="4">
        <f ca="1">('TUSD BE'!$AM$19+'TUSD BF'!$AM$19+'TUSD CVA'!$AM$19)*1</f>
        <v>11.150945133676805</v>
      </c>
      <c r="AA249" s="4">
        <f>('TE BE'!$AA$14+'TE BF'!$AA$14+'TE CVA'!$AA$14)*1</f>
        <v>253.57775100318744</v>
      </c>
      <c r="AB249" s="4">
        <f t="shared" si="14"/>
        <v>0</v>
      </c>
      <c r="AC249" s="4">
        <f t="shared" si="15"/>
        <v>0</v>
      </c>
      <c r="AD249" s="4">
        <f t="shared" ca="1" si="16"/>
        <v>0</v>
      </c>
      <c r="AE249" s="4">
        <f t="shared" ca="1" si="17"/>
        <v>0</v>
      </c>
      <c r="AF249" s="3" t="s">
        <v>1026</v>
      </c>
    </row>
    <row r="250" spans="1:32" ht="11.25" customHeight="1" x14ac:dyDescent="0.25">
      <c r="A250" s="3" t="s">
        <v>21</v>
      </c>
      <c r="B250" s="3" t="s">
        <v>41</v>
      </c>
      <c r="C250" s="3" t="s">
        <v>61</v>
      </c>
      <c r="D250" s="3" t="s">
        <v>25</v>
      </c>
      <c r="E250" s="3" t="s">
        <v>25</v>
      </c>
      <c r="F250" s="3" t="s">
        <v>64</v>
      </c>
      <c r="G250" s="3" t="s">
        <v>68</v>
      </c>
      <c r="H250" s="3" t="s">
        <v>25</v>
      </c>
      <c r="I250" s="6">
        <v>44531</v>
      </c>
      <c r="J250" s="4">
        <v>0</v>
      </c>
      <c r="K250" s="16">
        <f>J250*(1-SUMIFS(CUSTOS!$T$40:$T$100,CUSTOS!$O$40:$O$100,SUBSIDIO!G250,CUSTOS!$S$40:$S$100,SUBSIDIO!B250,CUSTOS!$R$40:$R$100,"Potência"))</f>
        <v>0</v>
      </c>
      <c r="L250" s="4">
        <v>0</v>
      </c>
      <c r="M250" s="16">
        <f>L250*(1-SUMIFS(CUSTOS!$T$40:$T$100,CUSTOS!$O$40:$O$100,SUBSIDIO!G250,CUSTOS!$S$40:$S$100,SUBSIDIO!B250,CUSTOS!$R$40:$R$100,"Potência"))</f>
        <v>0</v>
      </c>
      <c r="N250" s="4">
        <v>1078.0350000000001</v>
      </c>
      <c r="O250" s="16">
        <f>N250*(1-SUMIFS(CUSTOS!$T$40:$T$100,CUSTOS!$O$40:$O$100,SUBSIDIO!G250,CUSTOS!$S$40:$S$100,SUBSIDIO!B250,CUSTOS!$R$40:$R$100,"Energia"))</f>
        <v>1078.0350000000001</v>
      </c>
      <c r="P250" s="4">
        <v>0</v>
      </c>
      <c r="Q250" s="3" t="s">
        <v>66</v>
      </c>
      <c r="R250" s="3">
        <v>5377</v>
      </c>
      <c r="S250" s="3">
        <v>0</v>
      </c>
      <c r="T250" s="3">
        <v>0</v>
      </c>
      <c r="U250" s="3">
        <v>94</v>
      </c>
      <c r="V250" s="4">
        <f>IF(ISERROR(VLOOKUP($S$250,'TAR FIN'!$A$1:$O$113,15,0)),0,VLOOKUP($S$250,'TAR FIN'!$A$1:$O$113,15,0))</f>
        <v>0</v>
      </c>
      <c r="W250" s="4">
        <f>IF(ISERROR(VLOOKUP($T$250,'TAR FIN'!$A$1:$O$113,15,0)),0,VLOOKUP($T$250,'TAR FIN'!$A$1:$O$113,15,0))</f>
        <v>0</v>
      </c>
      <c r="X250" s="4">
        <f>IF(ISERROR(VLOOKUP($U$250,'TAR FIN'!$A$1:$O$113,15,0)),0,VLOOKUP($U$250,'TAR FIN'!$A$1:$O$113,15,0))</f>
        <v>230.1</v>
      </c>
      <c r="Y250" s="4">
        <f ca="1">0.72*('TUSD BE'!$AM$17+'TUSD BF'!$AM$17+'TUSD CVA'!$AM$17)*1+('TUSD BE'!$AM$18+'TUSD BF'!$AM$18+'TUSD CVA'!$AM$18)*1</f>
        <v>42.583563671169571</v>
      </c>
      <c r="Z250" s="4">
        <f ca="1">('TUSD BE'!$AM$19+'TUSD BF'!$AM$19+'TUSD CVA'!$AM$19)*1</f>
        <v>11.150945133676805</v>
      </c>
      <c r="AA250" s="4">
        <f>('TE BE'!$AA$14+'TE BF'!$AA$14+'TE CVA'!$AA$14)*1</f>
        <v>253.57775100318744</v>
      </c>
      <c r="AB250" s="4">
        <f t="shared" si="14"/>
        <v>0</v>
      </c>
      <c r="AC250" s="4">
        <f t="shared" si="15"/>
        <v>0</v>
      </c>
      <c r="AD250" s="4">
        <f t="shared" ca="1" si="16"/>
        <v>0</v>
      </c>
      <c r="AE250" s="4">
        <f t="shared" ca="1" si="17"/>
        <v>0</v>
      </c>
      <c r="AF250" s="3" t="s">
        <v>1026</v>
      </c>
    </row>
    <row r="251" spans="1:32" ht="11.25" customHeight="1" x14ac:dyDescent="0.25">
      <c r="A251" s="3" t="s">
        <v>21</v>
      </c>
      <c r="B251" s="3" t="s">
        <v>41</v>
      </c>
      <c r="C251" s="3" t="s">
        <v>61</v>
      </c>
      <c r="D251" s="3" t="s">
        <v>25</v>
      </c>
      <c r="E251" s="3" t="s">
        <v>25</v>
      </c>
      <c r="F251" s="3" t="s">
        <v>64</v>
      </c>
      <c r="G251" s="3" t="s">
        <v>68</v>
      </c>
      <c r="H251" s="3" t="s">
        <v>25</v>
      </c>
      <c r="I251" s="6">
        <v>44562</v>
      </c>
      <c r="J251" s="4">
        <v>0</v>
      </c>
      <c r="K251" s="16">
        <f>J251*(1-SUMIFS(CUSTOS!$T$40:$T$100,CUSTOS!$O$40:$O$100,SUBSIDIO!G251,CUSTOS!$S$40:$S$100,SUBSIDIO!B251,CUSTOS!$R$40:$R$100,"Potência"))</f>
        <v>0</v>
      </c>
      <c r="L251" s="4">
        <v>0</v>
      </c>
      <c r="M251" s="16">
        <f>L251*(1-SUMIFS(CUSTOS!$T$40:$T$100,CUSTOS!$O$40:$O$100,SUBSIDIO!G251,CUSTOS!$S$40:$S$100,SUBSIDIO!B251,CUSTOS!$R$40:$R$100,"Potência"))</f>
        <v>0</v>
      </c>
      <c r="N251" s="4">
        <v>1117.4259999999999</v>
      </c>
      <c r="O251" s="16">
        <f>N251*(1-SUMIFS(CUSTOS!$T$40:$T$100,CUSTOS!$O$40:$O$100,SUBSIDIO!G251,CUSTOS!$S$40:$S$100,SUBSIDIO!B251,CUSTOS!$R$40:$R$100,"Energia"))</f>
        <v>1117.4259999999999</v>
      </c>
      <c r="P251" s="4">
        <v>0</v>
      </c>
      <c r="Q251" s="3" t="s">
        <v>66</v>
      </c>
      <c r="R251" s="3">
        <v>5377</v>
      </c>
      <c r="S251" s="3">
        <v>0</v>
      </c>
      <c r="T251" s="3">
        <v>0</v>
      </c>
      <c r="U251" s="3">
        <v>94</v>
      </c>
      <c r="V251" s="4">
        <f>IF(ISERROR(VLOOKUP($S$251,'TAR FIN'!$A$1:$O$113,15,0)),0,VLOOKUP($S$251,'TAR FIN'!$A$1:$O$113,15,0))</f>
        <v>0</v>
      </c>
      <c r="W251" s="4">
        <f>IF(ISERROR(VLOOKUP($T$251,'TAR FIN'!$A$1:$O$113,15,0)),0,VLOOKUP($T$251,'TAR FIN'!$A$1:$O$113,15,0))</f>
        <v>0</v>
      </c>
      <c r="X251" s="4">
        <f>IF(ISERROR(VLOOKUP($U$251,'TAR FIN'!$A$1:$O$113,15,0)),0,VLOOKUP($U$251,'TAR FIN'!$A$1:$O$113,15,0))</f>
        <v>230.1</v>
      </c>
      <c r="Y251" s="4">
        <f ca="1">0.72*('TUSD BE'!$AM$17+'TUSD BF'!$AM$17+'TUSD CVA'!$AM$17)*1+('TUSD BE'!$AM$18+'TUSD BF'!$AM$18+'TUSD CVA'!$AM$18)*1</f>
        <v>42.583563671169571</v>
      </c>
      <c r="Z251" s="4">
        <f ca="1">('TUSD BE'!$AM$19+'TUSD BF'!$AM$19+'TUSD CVA'!$AM$19)*1</f>
        <v>11.150945133676805</v>
      </c>
      <c r="AA251" s="4">
        <f>('TE BE'!$AA$14+'TE BF'!$AA$14+'TE CVA'!$AA$14)*1</f>
        <v>253.57775100318744</v>
      </c>
      <c r="AB251" s="4">
        <f t="shared" si="14"/>
        <v>0</v>
      </c>
      <c r="AC251" s="4">
        <f t="shared" si="15"/>
        <v>0</v>
      </c>
      <c r="AD251" s="4">
        <f t="shared" ca="1" si="16"/>
        <v>0</v>
      </c>
      <c r="AE251" s="4">
        <f t="shared" ca="1" si="17"/>
        <v>0</v>
      </c>
      <c r="AF251" s="3" t="s">
        <v>1026</v>
      </c>
    </row>
    <row r="252" spans="1:32" ht="11.25" customHeight="1" x14ac:dyDescent="0.25">
      <c r="A252" s="3" t="s">
        <v>27</v>
      </c>
      <c r="B252" s="3" t="s">
        <v>41</v>
      </c>
      <c r="C252" s="3" t="s">
        <v>61</v>
      </c>
      <c r="D252" s="3" t="s">
        <v>25</v>
      </c>
      <c r="E252" s="3" t="s">
        <v>25</v>
      </c>
      <c r="F252" s="3" t="s">
        <v>64</v>
      </c>
      <c r="G252" s="3" t="s">
        <v>65</v>
      </c>
      <c r="H252" s="3" t="s">
        <v>25</v>
      </c>
      <c r="I252" s="6">
        <v>44593</v>
      </c>
      <c r="J252" s="4">
        <v>0</v>
      </c>
      <c r="K252" s="4">
        <v>0</v>
      </c>
      <c r="L252" s="4">
        <v>0</v>
      </c>
      <c r="M252" s="4">
        <v>0</v>
      </c>
      <c r="N252" s="4">
        <v>-471.37</v>
      </c>
      <c r="O252" s="4">
        <v>-471.37</v>
      </c>
      <c r="P252" s="4">
        <v>0</v>
      </c>
      <c r="Q252" s="3" t="s">
        <v>66</v>
      </c>
      <c r="R252" s="3">
        <v>46</v>
      </c>
      <c r="S252" s="3">
        <v>0</v>
      </c>
      <c r="T252" s="3">
        <v>0</v>
      </c>
      <c r="U252" s="3">
        <v>90</v>
      </c>
      <c r="V252" s="4">
        <f>IF(ISERROR(VLOOKUP($S$252,'TAR FIN'!$A$1:$O$113,15,0)),0,VLOOKUP($S$252,'TAR FIN'!$A$1:$O$113,15,0))</f>
        <v>0</v>
      </c>
      <c r="W252" s="4">
        <f>IF(ISERROR(VLOOKUP($T$252,'TAR FIN'!$A$1:$O$113,15,0)),0,VLOOKUP($T$252,'TAR FIN'!$A$1:$O$113,15,0))</f>
        <v>0</v>
      </c>
      <c r="X252" s="4">
        <f>IF(ISERROR(VLOOKUP($U$252,'TAR FIN'!$A$1:$O$113,15,0)),0,VLOOKUP($U$252,'TAR FIN'!$A$1:$O$113,15,0))</f>
        <v>230.1</v>
      </c>
      <c r="Y252" s="4">
        <f ca="1">0.72*('TUSD BE'!$AM$20+'TUSD BF'!$AM$20+'TUSD CVA'!$AM$20)*1+('TUSD BE'!$AM$21+'TUSD BF'!$AM$21+'TUSD CVA'!$AM$21)*1</f>
        <v>42.583563671169571</v>
      </c>
      <c r="Z252" s="4">
        <f ca="1">('TUSD BE'!$AM$22+'TUSD BF'!$AM$22+'TUSD CVA'!$AM$22)*1</f>
        <v>11.150945133676805</v>
      </c>
      <c r="AA252" s="4">
        <f>('TE BE'!$AA$12+'TE BF'!$AA$12+'TE CVA'!$AA$12)*1</f>
        <v>253.57775100318744</v>
      </c>
      <c r="AB252" s="4">
        <f t="shared" si="14"/>
        <v>0</v>
      </c>
      <c r="AC252" s="4">
        <f t="shared" si="15"/>
        <v>0</v>
      </c>
      <c r="AD252" s="4">
        <f t="shared" ca="1" si="16"/>
        <v>0</v>
      </c>
      <c r="AE252" s="4">
        <f t="shared" ca="1" si="17"/>
        <v>0</v>
      </c>
      <c r="AF252" s="3" t="s">
        <v>1026</v>
      </c>
    </row>
    <row r="253" spans="1:32" ht="11.25" customHeight="1" x14ac:dyDescent="0.25">
      <c r="A253" s="3" t="s">
        <v>21</v>
      </c>
      <c r="B253" s="3" t="s">
        <v>41</v>
      </c>
      <c r="C253" s="3" t="s">
        <v>61</v>
      </c>
      <c r="D253" s="3" t="s">
        <v>25</v>
      </c>
      <c r="E253" s="3" t="s">
        <v>25</v>
      </c>
      <c r="F253" s="3" t="s">
        <v>64</v>
      </c>
      <c r="G253" s="3" t="s">
        <v>68</v>
      </c>
      <c r="H253" s="3" t="s">
        <v>25</v>
      </c>
      <c r="I253" s="6">
        <v>44593</v>
      </c>
      <c r="J253" s="4">
        <v>0</v>
      </c>
      <c r="K253" s="16">
        <f>J253*(1-SUMIFS(CUSTOS!$T$40:$T$100,CUSTOS!$O$40:$O$100,SUBSIDIO!G253,CUSTOS!$S$40:$S$100,SUBSIDIO!B253,CUSTOS!$R$40:$R$100,"Potência"))</f>
        <v>0</v>
      </c>
      <c r="L253" s="4">
        <v>0</v>
      </c>
      <c r="M253" s="16">
        <f>L253*(1-SUMIFS(CUSTOS!$T$40:$T$100,CUSTOS!$O$40:$O$100,SUBSIDIO!G253,CUSTOS!$S$40:$S$100,SUBSIDIO!B253,CUSTOS!$R$40:$R$100,"Potência"))</f>
        <v>0</v>
      </c>
      <c r="N253" s="4">
        <v>1144.837</v>
      </c>
      <c r="O253" s="16">
        <f>N253*(1-SUMIFS(CUSTOS!$T$40:$T$100,CUSTOS!$O$40:$O$100,SUBSIDIO!G253,CUSTOS!$S$40:$S$100,SUBSIDIO!B253,CUSTOS!$R$40:$R$100,"Energia"))</f>
        <v>1144.837</v>
      </c>
      <c r="P253" s="4">
        <v>0</v>
      </c>
      <c r="Q253" s="3" t="s">
        <v>66</v>
      </c>
      <c r="R253" s="3">
        <v>5377</v>
      </c>
      <c r="S253" s="3">
        <v>0</v>
      </c>
      <c r="T253" s="3">
        <v>0</v>
      </c>
      <c r="U253" s="3">
        <v>94</v>
      </c>
      <c r="V253" s="4">
        <f>IF(ISERROR(VLOOKUP($S$253,'TAR FIN'!$A$1:$O$113,15,0)),0,VLOOKUP($S$253,'TAR FIN'!$A$1:$O$113,15,0))</f>
        <v>0</v>
      </c>
      <c r="W253" s="4">
        <f>IF(ISERROR(VLOOKUP($T$253,'TAR FIN'!$A$1:$O$113,15,0)),0,VLOOKUP($T$253,'TAR FIN'!$A$1:$O$113,15,0))</f>
        <v>0</v>
      </c>
      <c r="X253" s="4">
        <f>IF(ISERROR(VLOOKUP($U$253,'TAR FIN'!$A$1:$O$113,15,0)),0,VLOOKUP($U$253,'TAR FIN'!$A$1:$O$113,15,0))</f>
        <v>230.1</v>
      </c>
      <c r="Y253" s="4">
        <f ca="1">0.72*('TUSD BE'!$AM$17+'TUSD BF'!$AM$17+'TUSD CVA'!$AM$17)*1+('TUSD BE'!$AM$18+'TUSD BF'!$AM$18+'TUSD CVA'!$AM$18)*1</f>
        <v>42.583563671169571</v>
      </c>
      <c r="Z253" s="4">
        <f ca="1">('TUSD BE'!$AM$19+'TUSD BF'!$AM$19+'TUSD CVA'!$AM$19)*1</f>
        <v>11.150945133676805</v>
      </c>
      <c r="AA253" s="4">
        <f>('TE BE'!$AA$14+'TE BF'!$AA$14+'TE CVA'!$AA$14)*1</f>
        <v>253.57775100318744</v>
      </c>
      <c r="AB253" s="4">
        <f t="shared" si="14"/>
        <v>0</v>
      </c>
      <c r="AC253" s="4">
        <f t="shared" si="15"/>
        <v>0</v>
      </c>
      <c r="AD253" s="4">
        <f t="shared" ca="1" si="16"/>
        <v>0</v>
      </c>
      <c r="AE253" s="4">
        <f t="shared" ca="1" si="17"/>
        <v>0</v>
      </c>
      <c r="AF253" s="3" t="s">
        <v>1026</v>
      </c>
    </row>
    <row r="254" spans="1:32" ht="11.25" customHeight="1" x14ac:dyDescent="0.25">
      <c r="A254" s="3" t="s">
        <v>56</v>
      </c>
      <c r="B254" s="3" t="s">
        <v>41</v>
      </c>
      <c r="C254" s="3" t="s">
        <v>61</v>
      </c>
      <c r="D254" s="3" t="s">
        <v>25</v>
      </c>
      <c r="E254" s="3" t="s">
        <v>25</v>
      </c>
      <c r="F254" s="3" t="s">
        <v>64</v>
      </c>
      <c r="G254" s="3" t="s">
        <v>65</v>
      </c>
      <c r="H254" s="3" t="s">
        <v>25</v>
      </c>
      <c r="I254" s="6">
        <v>44621</v>
      </c>
      <c r="J254" s="4">
        <v>0</v>
      </c>
      <c r="K254" s="4">
        <v>0</v>
      </c>
      <c r="L254" s="4">
        <v>0</v>
      </c>
      <c r="M254" s="4">
        <v>0</v>
      </c>
      <c r="N254" s="4">
        <v>-471.37</v>
      </c>
      <c r="O254" s="4">
        <v>-471.37</v>
      </c>
      <c r="P254" s="4">
        <v>0</v>
      </c>
      <c r="Q254" s="3" t="s">
        <v>66</v>
      </c>
      <c r="R254" s="3">
        <v>46</v>
      </c>
      <c r="S254" s="3">
        <v>0</v>
      </c>
      <c r="T254" s="3">
        <v>0</v>
      </c>
      <c r="U254" s="3">
        <v>90</v>
      </c>
      <c r="V254" s="4">
        <f>IF(ISERROR(VLOOKUP($S$254,'TAR FIN'!$A$1:$O$113,15,0)),0,VLOOKUP($S$254,'TAR FIN'!$A$1:$O$113,15,0))</f>
        <v>0</v>
      </c>
      <c r="W254" s="4">
        <f>IF(ISERROR(VLOOKUP($T$254,'TAR FIN'!$A$1:$O$113,15,0)),0,VLOOKUP($T$254,'TAR FIN'!$A$1:$O$113,15,0))</f>
        <v>0</v>
      </c>
      <c r="X254" s="4">
        <f>IF(ISERROR(VLOOKUP($U$254,'TAR FIN'!$A$1:$O$113,15,0)),0,VLOOKUP($U$254,'TAR FIN'!$A$1:$O$113,15,0))</f>
        <v>230.1</v>
      </c>
      <c r="Y254" s="4">
        <f ca="1">0.72*('TUSD BE'!$AM$20+'TUSD BF'!$AM$20+'TUSD CVA'!$AM$20)*1+('TUSD BE'!$AM$21+'TUSD BF'!$AM$21+'TUSD CVA'!$AM$21)*1</f>
        <v>42.583563671169571</v>
      </c>
      <c r="Z254" s="4">
        <f ca="1">('TUSD BE'!$AM$22+'TUSD BF'!$AM$22+'TUSD CVA'!$AM$22)*1</f>
        <v>11.150945133676805</v>
      </c>
      <c r="AA254" s="4">
        <f>('TE BE'!$AA$12+'TE BF'!$AA$12+'TE CVA'!$AA$12)*1</f>
        <v>253.57775100318744</v>
      </c>
      <c r="AB254" s="4">
        <f t="shared" si="14"/>
        <v>0</v>
      </c>
      <c r="AC254" s="4">
        <f t="shared" si="15"/>
        <v>0</v>
      </c>
      <c r="AD254" s="4">
        <f t="shared" ca="1" si="16"/>
        <v>0</v>
      </c>
      <c r="AE254" s="4">
        <f t="shared" ca="1" si="17"/>
        <v>0</v>
      </c>
      <c r="AF254" s="3" t="s">
        <v>1026</v>
      </c>
    </row>
    <row r="255" spans="1:32" ht="11.25" customHeight="1" x14ac:dyDescent="0.25">
      <c r="A255" s="3" t="s">
        <v>56</v>
      </c>
      <c r="B255" s="3" t="s">
        <v>41</v>
      </c>
      <c r="C255" s="3" t="s">
        <v>61</v>
      </c>
      <c r="D255" s="3" t="s">
        <v>25</v>
      </c>
      <c r="E255" s="3" t="s">
        <v>25</v>
      </c>
      <c r="F255" s="3" t="s">
        <v>64</v>
      </c>
      <c r="G255" s="3" t="s">
        <v>68</v>
      </c>
      <c r="H255" s="3" t="s">
        <v>25</v>
      </c>
      <c r="I255" s="6">
        <v>44621</v>
      </c>
      <c r="J255" s="4">
        <v>0</v>
      </c>
      <c r="K255" s="16">
        <f>J255*(1-SUMIFS(CUSTOS!$T$40:$T$100,CUSTOS!$O$40:$O$100,SUBSIDIO!G255,CUSTOS!$S$40:$S$100,SUBSIDIO!B255,CUSTOS!$R$40:$R$100,"Potência"))</f>
        <v>0</v>
      </c>
      <c r="L255" s="4">
        <v>0</v>
      </c>
      <c r="M255" s="16">
        <f>L255*(1-SUMIFS(CUSTOS!$T$40:$T$100,CUSTOS!$O$40:$O$100,SUBSIDIO!G255,CUSTOS!$S$40:$S$100,SUBSIDIO!B255,CUSTOS!$R$40:$R$100,"Potência"))</f>
        <v>0</v>
      </c>
      <c r="N255" s="4">
        <v>1144.837</v>
      </c>
      <c r="O255" s="16">
        <f>N255*(1-SUMIFS(CUSTOS!$T$40:$T$100,CUSTOS!$O$40:$O$100,SUBSIDIO!G255,CUSTOS!$S$40:$S$100,SUBSIDIO!B255,CUSTOS!$R$40:$R$100,"Energia"))</f>
        <v>1144.837</v>
      </c>
      <c r="P255" s="4">
        <v>0</v>
      </c>
      <c r="Q255" s="3" t="s">
        <v>66</v>
      </c>
      <c r="R255" s="3">
        <v>5377</v>
      </c>
      <c r="S255" s="3">
        <v>0</v>
      </c>
      <c r="T255" s="3">
        <v>0</v>
      </c>
      <c r="U255" s="3">
        <v>94</v>
      </c>
      <c r="V255" s="4">
        <f>IF(ISERROR(VLOOKUP($S$255,'TAR FIN'!$A$1:$O$113,15,0)),0,VLOOKUP($S$255,'TAR FIN'!$A$1:$O$113,15,0))</f>
        <v>0</v>
      </c>
      <c r="W255" s="4">
        <f>IF(ISERROR(VLOOKUP($T$255,'TAR FIN'!$A$1:$O$113,15,0)),0,VLOOKUP($T$255,'TAR FIN'!$A$1:$O$113,15,0))</f>
        <v>0</v>
      </c>
      <c r="X255" s="4">
        <f>IF(ISERROR(VLOOKUP($U$255,'TAR FIN'!$A$1:$O$113,15,0)),0,VLOOKUP($U$255,'TAR FIN'!$A$1:$O$113,15,0))</f>
        <v>230.1</v>
      </c>
      <c r="Y255" s="4">
        <f ca="1">0.72*('TUSD BE'!$AM$17+'TUSD BF'!$AM$17+'TUSD CVA'!$AM$17)*1+('TUSD BE'!$AM$18+'TUSD BF'!$AM$18+'TUSD CVA'!$AM$18)*1</f>
        <v>42.583563671169571</v>
      </c>
      <c r="Z255" s="4">
        <f ca="1">('TUSD BE'!$AM$19+'TUSD BF'!$AM$19+'TUSD CVA'!$AM$19)*1</f>
        <v>11.150945133676805</v>
      </c>
      <c r="AA255" s="4">
        <f>('TE BE'!$AA$14+'TE BF'!$AA$14+'TE CVA'!$AA$14)*1</f>
        <v>253.57775100318744</v>
      </c>
      <c r="AB255" s="4">
        <f t="shared" si="14"/>
        <v>0</v>
      </c>
      <c r="AC255" s="4">
        <f t="shared" si="15"/>
        <v>0</v>
      </c>
      <c r="AD255" s="4">
        <f t="shared" ca="1" si="16"/>
        <v>0</v>
      </c>
      <c r="AE255" s="4">
        <f t="shared" ca="1" si="17"/>
        <v>0</v>
      </c>
      <c r="AF255" s="3" t="s">
        <v>1026</v>
      </c>
    </row>
    <row r="256" spans="1:32" ht="11.25" customHeight="1" x14ac:dyDescent="0.25">
      <c r="A256" s="3" t="s">
        <v>21</v>
      </c>
      <c r="B256" s="3" t="s">
        <v>41</v>
      </c>
      <c r="C256" s="3" t="s">
        <v>61</v>
      </c>
      <c r="D256" s="3" t="s">
        <v>25</v>
      </c>
      <c r="E256" s="3" t="s">
        <v>25</v>
      </c>
      <c r="F256" s="3" t="s">
        <v>64</v>
      </c>
      <c r="G256" s="3" t="s">
        <v>68</v>
      </c>
      <c r="H256" s="3" t="s">
        <v>34</v>
      </c>
      <c r="I256" s="6">
        <v>44287</v>
      </c>
      <c r="J256" s="4">
        <v>2088</v>
      </c>
      <c r="K256" s="16">
        <f>J256*(1-SUMIFS(CUSTOS!$T$40:$T$100,CUSTOS!$O$40:$O$100,SUBSIDIO!G256,CUSTOS!$S$40:$S$100,SUBSIDIO!B256,CUSTOS!$R$40:$R$100,"Potência"))</f>
        <v>2088</v>
      </c>
      <c r="L256" s="4">
        <v>124.779</v>
      </c>
      <c r="M256" s="16">
        <f>L256*(1-SUMIFS(CUSTOS!$T$40:$T$100,CUSTOS!$O$40:$O$100,SUBSIDIO!G256,CUSTOS!$S$40:$S$100,SUBSIDIO!B256,CUSTOS!$R$40:$R$100,"Potência"))</f>
        <v>124.779</v>
      </c>
      <c r="N256" s="4">
        <v>0</v>
      </c>
      <c r="O256" s="16">
        <f>N256*(1-SUMIFS(CUSTOS!$T$40:$T$100,CUSTOS!$O$40:$O$100,SUBSIDIO!G256,CUSTOS!$S$40:$S$100,SUBSIDIO!B256,CUSTOS!$R$40:$R$100,"Energia"))</f>
        <v>0</v>
      </c>
      <c r="P256" s="4">
        <v>0</v>
      </c>
      <c r="Q256" s="3" t="s">
        <v>66</v>
      </c>
      <c r="R256" s="3">
        <v>5377</v>
      </c>
      <c r="S256" s="3">
        <v>13</v>
      </c>
      <c r="T256" s="3">
        <v>15</v>
      </c>
      <c r="U256" s="3">
        <v>0</v>
      </c>
      <c r="V256" s="4">
        <f>IF(ISERROR(VLOOKUP($S$256,'TAR FIN'!$A$1:$O$113,15,0)),0,VLOOKUP($S$256,'TAR FIN'!$A$1:$O$113,15,0))</f>
        <v>29.89</v>
      </c>
      <c r="W256" s="4">
        <f>IF(ISERROR(VLOOKUP($T$256,'TAR FIN'!$A$1:$O$113,15,0)),0,VLOOKUP($T$256,'TAR FIN'!$A$1:$O$113,15,0))</f>
        <v>9.65</v>
      </c>
      <c r="X256" s="4">
        <f>IF(ISERROR(VLOOKUP($U$256,'TAR FIN'!$A$1:$O$113,15,0)),0,VLOOKUP($U$256,'TAR FIN'!$A$1:$O$113,15,0))</f>
        <v>0</v>
      </c>
      <c r="Y256" s="4">
        <f ca="1">('TUSD BE'!$AM$17+'TUSD BF'!$AM$17+'TUSD CVA'!$AM$17)*1</f>
        <v>36.252448665270038</v>
      </c>
      <c r="Z256" s="4">
        <f ca="1">('TUSD BE'!$AM$19+'TUSD BF'!$AM$19+'TUSD CVA'!$AM$19)*1</f>
        <v>11.150945133676805</v>
      </c>
      <c r="AA256" s="4">
        <f>('TE BE'!$AA$14+'TE BF'!$AA$14+'TE CVA'!$AA$14)*1</f>
        <v>253.57775100318744</v>
      </c>
      <c r="AB256" s="4">
        <f t="shared" si="14"/>
        <v>0</v>
      </c>
      <c r="AC256" s="4">
        <f t="shared" si="15"/>
        <v>0</v>
      </c>
      <c r="AD256" s="4">
        <f t="shared" ca="1" si="16"/>
        <v>0</v>
      </c>
      <c r="AE256" s="4">
        <f t="shared" ca="1" si="17"/>
        <v>0</v>
      </c>
      <c r="AF256" s="3" t="s">
        <v>1026</v>
      </c>
    </row>
    <row r="257" spans="1:32" ht="11.25" customHeight="1" x14ac:dyDescent="0.25">
      <c r="A257" s="3" t="s">
        <v>21</v>
      </c>
      <c r="B257" s="3" t="s">
        <v>41</v>
      </c>
      <c r="C257" s="3" t="s">
        <v>61</v>
      </c>
      <c r="D257" s="3" t="s">
        <v>25</v>
      </c>
      <c r="E257" s="3" t="s">
        <v>25</v>
      </c>
      <c r="F257" s="3" t="s">
        <v>64</v>
      </c>
      <c r="G257" s="3" t="s">
        <v>68</v>
      </c>
      <c r="H257" s="3" t="s">
        <v>34</v>
      </c>
      <c r="I257" s="6">
        <v>44317</v>
      </c>
      <c r="J257" s="4">
        <v>1990</v>
      </c>
      <c r="K257" s="16">
        <f>J257*(1-SUMIFS(CUSTOS!$T$40:$T$100,CUSTOS!$O$40:$O$100,SUBSIDIO!G257,CUSTOS!$S$40:$S$100,SUBSIDIO!B257,CUSTOS!$R$40:$R$100,"Potência"))</f>
        <v>1990</v>
      </c>
      <c r="L257" s="4">
        <v>108.497</v>
      </c>
      <c r="M257" s="16">
        <f>L257*(1-SUMIFS(CUSTOS!$T$40:$T$100,CUSTOS!$O$40:$O$100,SUBSIDIO!G257,CUSTOS!$S$40:$S$100,SUBSIDIO!B257,CUSTOS!$R$40:$R$100,"Potência"))</f>
        <v>108.497</v>
      </c>
      <c r="N257" s="4">
        <v>0</v>
      </c>
      <c r="O257" s="16">
        <f>N257*(1-SUMIFS(CUSTOS!$T$40:$T$100,CUSTOS!$O$40:$O$100,SUBSIDIO!G257,CUSTOS!$S$40:$S$100,SUBSIDIO!B257,CUSTOS!$R$40:$R$100,"Energia"))</f>
        <v>0</v>
      </c>
      <c r="P257" s="4">
        <v>0</v>
      </c>
      <c r="Q257" s="3" t="s">
        <v>66</v>
      </c>
      <c r="R257" s="3">
        <v>5377</v>
      </c>
      <c r="S257" s="3">
        <v>13</v>
      </c>
      <c r="T257" s="3">
        <v>15</v>
      </c>
      <c r="U257" s="3">
        <v>0</v>
      </c>
      <c r="V257" s="4">
        <f>IF(ISERROR(VLOOKUP($S$257,'TAR FIN'!$A$1:$O$113,15,0)),0,VLOOKUP($S$257,'TAR FIN'!$A$1:$O$113,15,0))</f>
        <v>29.89</v>
      </c>
      <c r="W257" s="4">
        <f>IF(ISERROR(VLOOKUP($T$257,'TAR FIN'!$A$1:$O$113,15,0)),0,VLOOKUP($T$257,'TAR FIN'!$A$1:$O$113,15,0))</f>
        <v>9.65</v>
      </c>
      <c r="X257" s="4">
        <f>IF(ISERROR(VLOOKUP($U$257,'TAR FIN'!$A$1:$O$113,15,0)),0,VLOOKUP($U$257,'TAR FIN'!$A$1:$O$113,15,0))</f>
        <v>0</v>
      </c>
      <c r="Y257" s="4">
        <f ca="1">('TUSD BE'!$AM$17+'TUSD BF'!$AM$17+'TUSD CVA'!$AM$17)*1</f>
        <v>36.252448665270038</v>
      </c>
      <c r="Z257" s="4">
        <f ca="1">('TUSD BE'!$AM$19+'TUSD BF'!$AM$19+'TUSD CVA'!$AM$19)*1</f>
        <v>11.150945133676805</v>
      </c>
      <c r="AA257" s="4">
        <f>('TE BE'!$AA$14+'TE BF'!$AA$14+'TE CVA'!$AA$14)*1</f>
        <v>253.57775100318744</v>
      </c>
      <c r="AB257" s="4">
        <f t="shared" si="14"/>
        <v>0</v>
      </c>
      <c r="AC257" s="4">
        <f t="shared" si="15"/>
        <v>0</v>
      </c>
      <c r="AD257" s="4">
        <f t="shared" ca="1" si="16"/>
        <v>0</v>
      </c>
      <c r="AE257" s="4">
        <f t="shared" ca="1" si="17"/>
        <v>0</v>
      </c>
      <c r="AF257" s="3" t="s">
        <v>1026</v>
      </c>
    </row>
    <row r="258" spans="1:32" ht="11.25" customHeight="1" x14ac:dyDescent="0.25">
      <c r="A258" s="3" t="s">
        <v>21</v>
      </c>
      <c r="B258" s="3" t="s">
        <v>41</v>
      </c>
      <c r="C258" s="3" t="s">
        <v>61</v>
      </c>
      <c r="D258" s="3" t="s">
        <v>25</v>
      </c>
      <c r="E258" s="3" t="s">
        <v>25</v>
      </c>
      <c r="F258" s="3" t="s">
        <v>64</v>
      </c>
      <c r="G258" s="3" t="s">
        <v>68</v>
      </c>
      <c r="H258" s="3" t="s">
        <v>34</v>
      </c>
      <c r="I258" s="6">
        <v>44348</v>
      </c>
      <c r="J258" s="4">
        <v>2049</v>
      </c>
      <c r="K258" s="16">
        <f>J258*(1-SUMIFS(CUSTOS!$T$40:$T$100,CUSTOS!$O$40:$O$100,SUBSIDIO!G258,CUSTOS!$S$40:$S$100,SUBSIDIO!B258,CUSTOS!$R$40:$R$100,"Potência"))</f>
        <v>2049</v>
      </c>
      <c r="L258" s="4">
        <v>114.601</v>
      </c>
      <c r="M258" s="16">
        <f>L258*(1-SUMIFS(CUSTOS!$T$40:$T$100,CUSTOS!$O$40:$O$100,SUBSIDIO!G258,CUSTOS!$S$40:$S$100,SUBSIDIO!B258,CUSTOS!$R$40:$R$100,"Potência"))</f>
        <v>114.601</v>
      </c>
      <c r="N258" s="4">
        <v>0</v>
      </c>
      <c r="O258" s="16">
        <f>N258*(1-SUMIFS(CUSTOS!$T$40:$T$100,CUSTOS!$O$40:$O$100,SUBSIDIO!G258,CUSTOS!$S$40:$S$100,SUBSIDIO!B258,CUSTOS!$R$40:$R$100,"Energia"))</f>
        <v>0</v>
      </c>
      <c r="P258" s="4">
        <v>0</v>
      </c>
      <c r="Q258" s="3" t="s">
        <v>66</v>
      </c>
      <c r="R258" s="3">
        <v>5377</v>
      </c>
      <c r="S258" s="3">
        <v>13</v>
      </c>
      <c r="T258" s="3">
        <v>15</v>
      </c>
      <c r="U258" s="3">
        <v>0</v>
      </c>
      <c r="V258" s="4">
        <f>IF(ISERROR(VLOOKUP($S$258,'TAR FIN'!$A$1:$O$113,15,0)),0,VLOOKUP($S$258,'TAR FIN'!$A$1:$O$113,15,0))</f>
        <v>29.89</v>
      </c>
      <c r="W258" s="4">
        <f>IF(ISERROR(VLOOKUP($T$258,'TAR FIN'!$A$1:$O$113,15,0)),0,VLOOKUP($T$258,'TAR FIN'!$A$1:$O$113,15,0))</f>
        <v>9.65</v>
      </c>
      <c r="X258" s="4">
        <f>IF(ISERROR(VLOOKUP($U$258,'TAR FIN'!$A$1:$O$113,15,0)),0,VLOOKUP($U$258,'TAR FIN'!$A$1:$O$113,15,0))</f>
        <v>0</v>
      </c>
      <c r="Y258" s="4">
        <f ca="1">('TUSD BE'!$AM$17+'TUSD BF'!$AM$17+'TUSD CVA'!$AM$17)*1</f>
        <v>36.252448665270038</v>
      </c>
      <c r="Z258" s="4">
        <f ca="1">('TUSD BE'!$AM$19+'TUSD BF'!$AM$19+'TUSD CVA'!$AM$19)*1</f>
        <v>11.150945133676805</v>
      </c>
      <c r="AA258" s="4">
        <f>('TE BE'!$AA$14+'TE BF'!$AA$14+'TE CVA'!$AA$14)*1</f>
        <v>253.57775100318744</v>
      </c>
      <c r="AB258" s="4">
        <f t="shared" ref="AB258:AB321" si="18">(J258-K258)*V258</f>
        <v>0</v>
      </c>
      <c r="AC258" s="4">
        <f t="shared" ref="AC258:AC321" si="19">(L258-M258)*W258+(N258-O258)*X258</f>
        <v>0</v>
      </c>
      <c r="AD258" s="4">
        <f t="shared" ref="AD258:AD321" ca="1" si="20">(J258-K258)*Y258</f>
        <v>0</v>
      </c>
      <c r="AE258" s="4">
        <f t="shared" ref="AE258:AE321" ca="1" si="21">(L258-M258)*Z258+(N258-O258)*AA258</f>
        <v>0</v>
      </c>
      <c r="AF258" s="3" t="s">
        <v>1026</v>
      </c>
    </row>
    <row r="259" spans="1:32" ht="11.25" customHeight="1" x14ac:dyDescent="0.25">
      <c r="A259" s="3" t="s">
        <v>21</v>
      </c>
      <c r="B259" s="3" t="s">
        <v>41</v>
      </c>
      <c r="C259" s="3" t="s">
        <v>61</v>
      </c>
      <c r="D259" s="3" t="s">
        <v>25</v>
      </c>
      <c r="E259" s="3" t="s">
        <v>25</v>
      </c>
      <c r="F259" s="3" t="s">
        <v>64</v>
      </c>
      <c r="G259" s="3" t="s">
        <v>68</v>
      </c>
      <c r="H259" s="3" t="s">
        <v>34</v>
      </c>
      <c r="I259" s="6">
        <v>44378</v>
      </c>
      <c r="J259" s="4">
        <v>1994</v>
      </c>
      <c r="K259" s="16">
        <f>J259*(1-SUMIFS(CUSTOS!$T$40:$T$100,CUSTOS!$O$40:$O$100,SUBSIDIO!G259,CUSTOS!$S$40:$S$100,SUBSIDIO!B259,CUSTOS!$R$40:$R$100,"Potência"))</f>
        <v>1994</v>
      </c>
      <c r="L259" s="4">
        <v>115.446</v>
      </c>
      <c r="M259" s="16">
        <f>L259*(1-SUMIFS(CUSTOS!$T$40:$T$100,CUSTOS!$O$40:$O$100,SUBSIDIO!G259,CUSTOS!$S$40:$S$100,SUBSIDIO!B259,CUSTOS!$R$40:$R$100,"Potência"))</f>
        <v>115.446</v>
      </c>
      <c r="N259" s="4">
        <v>0</v>
      </c>
      <c r="O259" s="16">
        <f>N259*(1-SUMIFS(CUSTOS!$T$40:$T$100,CUSTOS!$O$40:$O$100,SUBSIDIO!G259,CUSTOS!$S$40:$S$100,SUBSIDIO!B259,CUSTOS!$R$40:$R$100,"Energia"))</f>
        <v>0</v>
      </c>
      <c r="P259" s="4">
        <v>0</v>
      </c>
      <c r="Q259" s="3" t="s">
        <v>66</v>
      </c>
      <c r="R259" s="3">
        <v>5377</v>
      </c>
      <c r="S259" s="3">
        <v>13</v>
      </c>
      <c r="T259" s="3">
        <v>15</v>
      </c>
      <c r="U259" s="3">
        <v>0</v>
      </c>
      <c r="V259" s="4">
        <f>IF(ISERROR(VLOOKUP($S$259,'TAR FIN'!$A$1:$O$113,15,0)),0,VLOOKUP($S$259,'TAR FIN'!$A$1:$O$113,15,0))</f>
        <v>29.89</v>
      </c>
      <c r="W259" s="4">
        <f>IF(ISERROR(VLOOKUP($T$259,'TAR FIN'!$A$1:$O$113,15,0)),0,VLOOKUP($T$259,'TAR FIN'!$A$1:$O$113,15,0))</f>
        <v>9.65</v>
      </c>
      <c r="X259" s="4">
        <f>IF(ISERROR(VLOOKUP($U$259,'TAR FIN'!$A$1:$O$113,15,0)),0,VLOOKUP($U$259,'TAR FIN'!$A$1:$O$113,15,0))</f>
        <v>0</v>
      </c>
      <c r="Y259" s="4">
        <f ca="1">('TUSD BE'!$AM$17+'TUSD BF'!$AM$17+'TUSD CVA'!$AM$17)*1</f>
        <v>36.252448665270038</v>
      </c>
      <c r="Z259" s="4">
        <f ca="1">('TUSD BE'!$AM$19+'TUSD BF'!$AM$19+'TUSD CVA'!$AM$19)*1</f>
        <v>11.150945133676805</v>
      </c>
      <c r="AA259" s="4">
        <f>('TE BE'!$AA$14+'TE BF'!$AA$14+'TE CVA'!$AA$14)*1</f>
        <v>253.57775100318744</v>
      </c>
      <c r="AB259" s="4">
        <f t="shared" si="18"/>
        <v>0</v>
      </c>
      <c r="AC259" s="4">
        <f t="shared" si="19"/>
        <v>0</v>
      </c>
      <c r="AD259" s="4">
        <f t="shared" ca="1" si="20"/>
        <v>0</v>
      </c>
      <c r="AE259" s="4">
        <f t="shared" ca="1" si="21"/>
        <v>0</v>
      </c>
      <c r="AF259" s="3" t="s">
        <v>1026</v>
      </c>
    </row>
    <row r="260" spans="1:32" ht="11.25" customHeight="1" x14ac:dyDescent="0.25">
      <c r="A260" s="3" t="s">
        <v>21</v>
      </c>
      <c r="B260" s="3" t="s">
        <v>41</v>
      </c>
      <c r="C260" s="3" t="s">
        <v>61</v>
      </c>
      <c r="D260" s="3" t="s">
        <v>25</v>
      </c>
      <c r="E260" s="3" t="s">
        <v>25</v>
      </c>
      <c r="F260" s="3" t="s">
        <v>64</v>
      </c>
      <c r="G260" s="3" t="s">
        <v>68</v>
      </c>
      <c r="H260" s="3" t="s">
        <v>34</v>
      </c>
      <c r="I260" s="6">
        <v>44409</v>
      </c>
      <c r="J260" s="4">
        <v>2004</v>
      </c>
      <c r="K260" s="16">
        <f>J260*(1-SUMIFS(CUSTOS!$T$40:$T$100,CUSTOS!$O$40:$O$100,SUBSIDIO!G260,CUSTOS!$S$40:$S$100,SUBSIDIO!B260,CUSTOS!$R$40:$R$100,"Potência"))</f>
        <v>2004</v>
      </c>
      <c r="L260" s="4">
        <v>119.52800000000001</v>
      </c>
      <c r="M260" s="16">
        <f>L260*(1-SUMIFS(CUSTOS!$T$40:$T$100,CUSTOS!$O$40:$O$100,SUBSIDIO!G260,CUSTOS!$S$40:$S$100,SUBSIDIO!B260,CUSTOS!$R$40:$R$100,"Potência"))</f>
        <v>119.52800000000001</v>
      </c>
      <c r="N260" s="4">
        <v>0</v>
      </c>
      <c r="O260" s="16">
        <f>N260*(1-SUMIFS(CUSTOS!$T$40:$T$100,CUSTOS!$O$40:$O$100,SUBSIDIO!G260,CUSTOS!$S$40:$S$100,SUBSIDIO!B260,CUSTOS!$R$40:$R$100,"Energia"))</f>
        <v>0</v>
      </c>
      <c r="P260" s="4">
        <v>0</v>
      </c>
      <c r="Q260" s="3" t="s">
        <v>66</v>
      </c>
      <c r="R260" s="3">
        <v>5377</v>
      </c>
      <c r="S260" s="3">
        <v>13</v>
      </c>
      <c r="T260" s="3">
        <v>15</v>
      </c>
      <c r="U260" s="3">
        <v>0</v>
      </c>
      <c r="V260" s="4">
        <f>IF(ISERROR(VLOOKUP($S$260,'TAR FIN'!$A$1:$O$113,15,0)),0,VLOOKUP($S$260,'TAR FIN'!$A$1:$O$113,15,0))</f>
        <v>29.89</v>
      </c>
      <c r="W260" s="4">
        <f>IF(ISERROR(VLOOKUP($T$260,'TAR FIN'!$A$1:$O$113,15,0)),0,VLOOKUP($T$260,'TAR FIN'!$A$1:$O$113,15,0))</f>
        <v>9.65</v>
      </c>
      <c r="X260" s="4">
        <f>IF(ISERROR(VLOOKUP($U$260,'TAR FIN'!$A$1:$O$113,15,0)),0,VLOOKUP($U$260,'TAR FIN'!$A$1:$O$113,15,0))</f>
        <v>0</v>
      </c>
      <c r="Y260" s="4">
        <f ca="1">('TUSD BE'!$AM$17+'TUSD BF'!$AM$17+'TUSD CVA'!$AM$17)*1</f>
        <v>36.252448665270038</v>
      </c>
      <c r="Z260" s="4">
        <f ca="1">('TUSD BE'!$AM$19+'TUSD BF'!$AM$19+'TUSD CVA'!$AM$19)*1</f>
        <v>11.150945133676805</v>
      </c>
      <c r="AA260" s="4">
        <f>('TE BE'!$AA$14+'TE BF'!$AA$14+'TE CVA'!$AA$14)*1</f>
        <v>253.57775100318744</v>
      </c>
      <c r="AB260" s="4">
        <f t="shared" si="18"/>
        <v>0</v>
      </c>
      <c r="AC260" s="4">
        <f t="shared" si="19"/>
        <v>0</v>
      </c>
      <c r="AD260" s="4">
        <f t="shared" ca="1" si="20"/>
        <v>0</v>
      </c>
      <c r="AE260" s="4">
        <f t="shared" ca="1" si="21"/>
        <v>0</v>
      </c>
      <c r="AF260" s="3" t="s">
        <v>1026</v>
      </c>
    </row>
    <row r="261" spans="1:32" ht="11.25" customHeight="1" x14ac:dyDescent="0.25">
      <c r="A261" s="3" t="s">
        <v>21</v>
      </c>
      <c r="B261" s="3" t="s">
        <v>41</v>
      </c>
      <c r="C261" s="3" t="s">
        <v>61</v>
      </c>
      <c r="D261" s="3" t="s">
        <v>25</v>
      </c>
      <c r="E261" s="3" t="s">
        <v>25</v>
      </c>
      <c r="F261" s="3" t="s">
        <v>64</v>
      </c>
      <c r="G261" s="3" t="s">
        <v>68</v>
      </c>
      <c r="H261" s="3" t="s">
        <v>34</v>
      </c>
      <c r="I261" s="6">
        <v>44440</v>
      </c>
      <c r="J261" s="4">
        <v>2038</v>
      </c>
      <c r="K261" s="16">
        <f>J261*(1-SUMIFS(CUSTOS!$T$40:$T$100,CUSTOS!$O$40:$O$100,SUBSIDIO!G261,CUSTOS!$S$40:$S$100,SUBSIDIO!B261,CUSTOS!$R$40:$R$100,"Potência"))</f>
        <v>2038</v>
      </c>
      <c r="L261" s="4">
        <v>121.212</v>
      </c>
      <c r="M261" s="16">
        <f>L261*(1-SUMIFS(CUSTOS!$T$40:$T$100,CUSTOS!$O$40:$O$100,SUBSIDIO!G261,CUSTOS!$S$40:$S$100,SUBSIDIO!B261,CUSTOS!$R$40:$R$100,"Potência"))</f>
        <v>121.212</v>
      </c>
      <c r="N261" s="4">
        <v>0</v>
      </c>
      <c r="O261" s="16">
        <f>N261*(1-SUMIFS(CUSTOS!$T$40:$T$100,CUSTOS!$O$40:$O$100,SUBSIDIO!G261,CUSTOS!$S$40:$S$100,SUBSIDIO!B261,CUSTOS!$R$40:$R$100,"Energia"))</f>
        <v>0</v>
      </c>
      <c r="P261" s="4">
        <v>0</v>
      </c>
      <c r="Q261" s="3" t="s">
        <v>66</v>
      </c>
      <c r="R261" s="3">
        <v>5377</v>
      </c>
      <c r="S261" s="3">
        <v>13</v>
      </c>
      <c r="T261" s="3">
        <v>15</v>
      </c>
      <c r="U261" s="3">
        <v>0</v>
      </c>
      <c r="V261" s="4">
        <f>IF(ISERROR(VLOOKUP($S$261,'TAR FIN'!$A$1:$O$113,15,0)),0,VLOOKUP($S$261,'TAR FIN'!$A$1:$O$113,15,0))</f>
        <v>29.89</v>
      </c>
      <c r="W261" s="4">
        <f>IF(ISERROR(VLOOKUP($T$261,'TAR FIN'!$A$1:$O$113,15,0)),0,VLOOKUP($T$261,'TAR FIN'!$A$1:$O$113,15,0))</f>
        <v>9.65</v>
      </c>
      <c r="X261" s="4">
        <f>IF(ISERROR(VLOOKUP($U$261,'TAR FIN'!$A$1:$O$113,15,0)),0,VLOOKUP($U$261,'TAR FIN'!$A$1:$O$113,15,0))</f>
        <v>0</v>
      </c>
      <c r="Y261" s="4">
        <f ca="1">('TUSD BE'!$AM$17+'TUSD BF'!$AM$17+'TUSD CVA'!$AM$17)*1</f>
        <v>36.252448665270038</v>
      </c>
      <c r="Z261" s="4">
        <f ca="1">('TUSD BE'!$AM$19+'TUSD BF'!$AM$19+'TUSD CVA'!$AM$19)*1</f>
        <v>11.150945133676805</v>
      </c>
      <c r="AA261" s="4">
        <f>('TE BE'!$AA$14+'TE BF'!$AA$14+'TE CVA'!$AA$14)*1</f>
        <v>253.57775100318744</v>
      </c>
      <c r="AB261" s="4">
        <f t="shared" si="18"/>
        <v>0</v>
      </c>
      <c r="AC261" s="4">
        <f t="shared" si="19"/>
        <v>0</v>
      </c>
      <c r="AD261" s="4">
        <f t="shared" ca="1" si="20"/>
        <v>0</v>
      </c>
      <c r="AE261" s="4">
        <f t="shared" ca="1" si="21"/>
        <v>0</v>
      </c>
      <c r="AF261" s="3" t="s">
        <v>1026</v>
      </c>
    </row>
    <row r="262" spans="1:32" ht="11.25" customHeight="1" x14ac:dyDescent="0.25">
      <c r="A262" s="3" t="s">
        <v>21</v>
      </c>
      <c r="B262" s="3" t="s">
        <v>41</v>
      </c>
      <c r="C262" s="3" t="s">
        <v>61</v>
      </c>
      <c r="D262" s="3" t="s">
        <v>25</v>
      </c>
      <c r="E262" s="3" t="s">
        <v>25</v>
      </c>
      <c r="F262" s="3" t="s">
        <v>64</v>
      </c>
      <c r="G262" s="3" t="s">
        <v>68</v>
      </c>
      <c r="H262" s="3" t="s">
        <v>34</v>
      </c>
      <c r="I262" s="6">
        <v>44470</v>
      </c>
      <c r="J262" s="4">
        <v>2058</v>
      </c>
      <c r="K262" s="16">
        <f>J262*(1-SUMIFS(CUSTOS!$T$40:$T$100,CUSTOS!$O$40:$O$100,SUBSIDIO!G262,CUSTOS!$S$40:$S$100,SUBSIDIO!B262,CUSTOS!$R$40:$R$100,"Potência"))</f>
        <v>2058</v>
      </c>
      <c r="L262" s="4">
        <v>117.648</v>
      </c>
      <c r="M262" s="16">
        <f>L262*(1-SUMIFS(CUSTOS!$T$40:$T$100,CUSTOS!$O$40:$O$100,SUBSIDIO!G262,CUSTOS!$S$40:$S$100,SUBSIDIO!B262,CUSTOS!$R$40:$R$100,"Potência"))</f>
        <v>117.648</v>
      </c>
      <c r="N262" s="4">
        <v>0</v>
      </c>
      <c r="O262" s="16">
        <f>N262*(1-SUMIFS(CUSTOS!$T$40:$T$100,CUSTOS!$O$40:$O$100,SUBSIDIO!G262,CUSTOS!$S$40:$S$100,SUBSIDIO!B262,CUSTOS!$R$40:$R$100,"Energia"))</f>
        <v>0</v>
      </c>
      <c r="P262" s="4">
        <v>0</v>
      </c>
      <c r="Q262" s="3" t="s">
        <v>66</v>
      </c>
      <c r="R262" s="3">
        <v>5377</v>
      </c>
      <c r="S262" s="3">
        <v>13</v>
      </c>
      <c r="T262" s="3">
        <v>15</v>
      </c>
      <c r="U262" s="3">
        <v>0</v>
      </c>
      <c r="V262" s="4">
        <f>IF(ISERROR(VLOOKUP($S$262,'TAR FIN'!$A$1:$O$113,15,0)),0,VLOOKUP($S$262,'TAR FIN'!$A$1:$O$113,15,0))</f>
        <v>29.89</v>
      </c>
      <c r="W262" s="4">
        <f>IF(ISERROR(VLOOKUP($T$262,'TAR FIN'!$A$1:$O$113,15,0)),0,VLOOKUP($T$262,'TAR FIN'!$A$1:$O$113,15,0))</f>
        <v>9.65</v>
      </c>
      <c r="X262" s="4">
        <f>IF(ISERROR(VLOOKUP($U$262,'TAR FIN'!$A$1:$O$113,15,0)),0,VLOOKUP($U$262,'TAR FIN'!$A$1:$O$113,15,0))</f>
        <v>0</v>
      </c>
      <c r="Y262" s="4">
        <f ca="1">('TUSD BE'!$AM$17+'TUSD BF'!$AM$17+'TUSD CVA'!$AM$17)*1</f>
        <v>36.252448665270038</v>
      </c>
      <c r="Z262" s="4">
        <f ca="1">('TUSD BE'!$AM$19+'TUSD BF'!$AM$19+'TUSD CVA'!$AM$19)*1</f>
        <v>11.150945133676805</v>
      </c>
      <c r="AA262" s="4">
        <f>('TE BE'!$AA$14+'TE BF'!$AA$14+'TE CVA'!$AA$14)*1</f>
        <v>253.57775100318744</v>
      </c>
      <c r="AB262" s="4">
        <f t="shared" si="18"/>
        <v>0</v>
      </c>
      <c r="AC262" s="4">
        <f t="shared" si="19"/>
        <v>0</v>
      </c>
      <c r="AD262" s="4">
        <f t="shared" ca="1" si="20"/>
        <v>0</v>
      </c>
      <c r="AE262" s="4">
        <f t="shared" ca="1" si="21"/>
        <v>0</v>
      </c>
      <c r="AF262" s="3" t="s">
        <v>1026</v>
      </c>
    </row>
    <row r="263" spans="1:32" ht="11.25" customHeight="1" x14ac:dyDescent="0.25">
      <c r="A263" s="3" t="s">
        <v>21</v>
      </c>
      <c r="B263" s="3" t="s">
        <v>41</v>
      </c>
      <c r="C263" s="3" t="s">
        <v>61</v>
      </c>
      <c r="D263" s="3" t="s">
        <v>25</v>
      </c>
      <c r="E263" s="3" t="s">
        <v>25</v>
      </c>
      <c r="F263" s="3" t="s">
        <v>64</v>
      </c>
      <c r="G263" s="3" t="s">
        <v>68</v>
      </c>
      <c r="H263" s="3" t="s">
        <v>34</v>
      </c>
      <c r="I263" s="6">
        <v>44501</v>
      </c>
      <c r="J263" s="4">
        <v>2051</v>
      </c>
      <c r="K263" s="16">
        <f>J263*(1-SUMIFS(CUSTOS!$T$40:$T$100,CUSTOS!$O$40:$O$100,SUBSIDIO!G263,CUSTOS!$S$40:$S$100,SUBSIDIO!B263,CUSTOS!$R$40:$R$100,"Potência"))</f>
        <v>2051</v>
      </c>
      <c r="L263" s="4">
        <v>115.67400000000001</v>
      </c>
      <c r="M263" s="16">
        <f>L263*(1-SUMIFS(CUSTOS!$T$40:$T$100,CUSTOS!$O$40:$O$100,SUBSIDIO!G263,CUSTOS!$S$40:$S$100,SUBSIDIO!B263,CUSTOS!$R$40:$R$100,"Potência"))</f>
        <v>115.67400000000001</v>
      </c>
      <c r="N263" s="4">
        <v>0</v>
      </c>
      <c r="O263" s="16">
        <f>N263*(1-SUMIFS(CUSTOS!$T$40:$T$100,CUSTOS!$O$40:$O$100,SUBSIDIO!G263,CUSTOS!$S$40:$S$100,SUBSIDIO!B263,CUSTOS!$R$40:$R$100,"Energia"))</f>
        <v>0</v>
      </c>
      <c r="P263" s="4">
        <v>0</v>
      </c>
      <c r="Q263" s="3" t="s">
        <v>66</v>
      </c>
      <c r="R263" s="3">
        <v>5377</v>
      </c>
      <c r="S263" s="3">
        <v>13</v>
      </c>
      <c r="T263" s="3">
        <v>15</v>
      </c>
      <c r="U263" s="3">
        <v>0</v>
      </c>
      <c r="V263" s="4">
        <f>IF(ISERROR(VLOOKUP($S$263,'TAR FIN'!$A$1:$O$113,15,0)),0,VLOOKUP($S$263,'TAR FIN'!$A$1:$O$113,15,0))</f>
        <v>29.89</v>
      </c>
      <c r="W263" s="4">
        <f>IF(ISERROR(VLOOKUP($T$263,'TAR FIN'!$A$1:$O$113,15,0)),0,VLOOKUP($T$263,'TAR FIN'!$A$1:$O$113,15,0))</f>
        <v>9.65</v>
      </c>
      <c r="X263" s="4">
        <f>IF(ISERROR(VLOOKUP($U$263,'TAR FIN'!$A$1:$O$113,15,0)),0,VLOOKUP($U$263,'TAR FIN'!$A$1:$O$113,15,0))</f>
        <v>0</v>
      </c>
      <c r="Y263" s="4">
        <f ca="1">('TUSD BE'!$AM$17+'TUSD BF'!$AM$17+'TUSD CVA'!$AM$17)*1</f>
        <v>36.252448665270038</v>
      </c>
      <c r="Z263" s="4">
        <f ca="1">('TUSD BE'!$AM$19+'TUSD BF'!$AM$19+'TUSD CVA'!$AM$19)*1</f>
        <v>11.150945133676805</v>
      </c>
      <c r="AA263" s="4">
        <f>('TE BE'!$AA$14+'TE BF'!$AA$14+'TE CVA'!$AA$14)*1</f>
        <v>253.57775100318744</v>
      </c>
      <c r="AB263" s="4">
        <f t="shared" si="18"/>
        <v>0</v>
      </c>
      <c r="AC263" s="4">
        <f t="shared" si="19"/>
        <v>0</v>
      </c>
      <c r="AD263" s="4">
        <f t="shared" ca="1" si="20"/>
        <v>0</v>
      </c>
      <c r="AE263" s="4">
        <f t="shared" ca="1" si="21"/>
        <v>0</v>
      </c>
      <c r="AF263" s="3" t="s">
        <v>1026</v>
      </c>
    </row>
    <row r="264" spans="1:32" ht="11.25" customHeight="1" x14ac:dyDescent="0.25">
      <c r="A264" s="3" t="s">
        <v>21</v>
      </c>
      <c r="B264" s="3" t="s">
        <v>41</v>
      </c>
      <c r="C264" s="3" t="s">
        <v>61</v>
      </c>
      <c r="D264" s="3" t="s">
        <v>25</v>
      </c>
      <c r="E264" s="3" t="s">
        <v>25</v>
      </c>
      <c r="F264" s="3" t="s">
        <v>64</v>
      </c>
      <c r="G264" s="3" t="s">
        <v>68</v>
      </c>
      <c r="H264" s="3" t="s">
        <v>34</v>
      </c>
      <c r="I264" s="6">
        <v>44531</v>
      </c>
      <c r="J264" s="4">
        <v>2068</v>
      </c>
      <c r="K264" s="16">
        <f>J264*(1-SUMIFS(CUSTOS!$T$40:$T$100,CUSTOS!$O$40:$O$100,SUBSIDIO!G264,CUSTOS!$S$40:$S$100,SUBSIDIO!B264,CUSTOS!$R$40:$R$100,"Potência"))</f>
        <v>2068</v>
      </c>
      <c r="L264" s="4">
        <v>115.57899999999999</v>
      </c>
      <c r="M264" s="16">
        <f>L264*(1-SUMIFS(CUSTOS!$T$40:$T$100,CUSTOS!$O$40:$O$100,SUBSIDIO!G264,CUSTOS!$S$40:$S$100,SUBSIDIO!B264,CUSTOS!$R$40:$R$100,"Potência"))</f>
        <v>115.57899999999999</v>
      </c>
      <c r="N264" s="4">
        <v>0</v>
      </c>
      <c r="O264" s="16">
        <f>N264*(1-SUMIFS(CUSTOS!$T$40:$T$100,CUSTOS!$O$40:$O$100,SUBSIDIO!G264,CUSTOS!$S$40:$S$100,SUBSIDIO!B264,CUSTOS!$R$40:$R$100,"Energia"))</f>
        <v>0</v>
      </c>
      <c r="P264" s="4">
        <v>0</v>
      </c>
      <c r="Q264" s="3" t="s">
        <v>66</v>
      </c>
      <c r="R264" s="3">
        <v>5377</v>
      </c>
      <c r="S264" s="3">
        <v>13</v>
      </c>
      <c r="T264" s="3">
        <v>15</v>
      </c>
      <c r="U264" s="3">
        <v>0</v>
      </c>
      <c r="V264" s="4">
        <f>IF(ISERROR(VLOOKUP($S$264,'TAR FIN'!$A$1:$O$113,15,0)),0,VLOOKUP($S$264,'TAR FIN'!$A$1:$O$113,15,0))</f>
        <v>29.89</v>
      </c>
      <c r="W264" s="4">
        <f>IF(ISERROR(VLOOKUP($T$264,'TAR FIN'!$A$1:$O$113,15,0)),0,VLOOKUP($T$264,'TAR FIN'!$A$1:$O$113,15,0))</f>
        <v>9.65</v>
      </c>
      <c r="X264" s="4">
        <f>IF(ISERROR(VLOOKUP($U$264,'TAR FIN'!$A$1:$O$113,15,0)),0,VLOOKUP($U$264,'TAR FIN'!$A$1:$O$113,15,0))</f>
        <v>0</v>
      </c>
      <c r="Y264" s="4">
        <f ca="1">('TUSD BE'!$AM$17+'TUSD BF'!$AM$17+'TUSD CVA'!$AM$17)*1</f>
        <v>36.252448665270038</v>
      </c>
      <c r="Z264" s="4">
        <f ca="1">('TUSD BE'!$AM$19+'TUSD BF'!$AM$19+'TUSD CVA'!$AM$19)*1</f>
        <v>11.150945133676805</v>
      </c>
      <c r="AA264" s="4">
        <f>('TE BE'!$AA$14+'TE BF'!$AA$14+'TE CVA'!$AA$14)*1</f>
        <v>253.57775100318744</v>
      </c>
      <c r="AB264" s="4">
        <f t="shared" si="18"/>
        <v>0</v>
      </c>
      <c r="AC264" s="4">
        <f t="shared" si="19"/>
        <v>0</v>
      </c>
      <c r="AD264" s="4">
        <f t="shared" ca="1" si="20"/>
        <v>0</v>
      </c>
      <c r="AE264" s="4">
        <f t="shared" ca="1" si="21"/>
        <v>0</v>
      </c>
      <c r="AF264" s="3" t="s">
        <v>1026</v>
      </c>
    </row>
    <row r="265" spans="1:32" ht="11.25" customHeight="1" x14ac:dyDescent="0.25">
      <c r="A265" s="3" t="s">
        <v>21</v>
      </c>
      <c r="B265" s="3" t="s">
        <v>41</v>
      </c>
      <c r="C265" s="3" t="s">
        <v>61</v>
      </c>
      <c r="D265" s="3" t="s">
        <v>25</v>
      </c>
      <c r="E265" s="3" t="s">
        <v>25</v>
      </c>
      <c r="F265" s="3" t="s">
        <v>64</v>
      </c>
      <c r="G265" s="3" t="s">
        <v>68</v>
      </c>
      <c r="H265" s="3" t="s">
        <v>34</v>
      </c>
      <c r="I265" s="6">
        <v>44562</v>
      </c>
      <c r="J265" s="4">
        <v>2155</v>
      </c>
      <c r="K265" s="16">
        <f>J265*(1-SUMIFS(CUSTOS!$T$40:$T$100,CUSTOS!$O$40:$O$100,SUBSIDIO!G265,CUSTOS!$S$40:$S$100,SUBSIDIO!B265,CUSTOS!$R$40:$R$100,"Potência"))</f>
        <v>2155</v>
      </c>
      <c r="L265" s="4">
        <v>130.245</v>
      </c>
      <c r="M265" s="16">
        <f>L265*(1-SUMIFS(CUSTOS!$T$40:$T$100,CUSTOS!$O$40:$O$100,SUBSIDIO!G265,CUSTOS!$S$40:$S$100,SUBSIDIO!B265,CUSTOS!$R$40:$R$100,"Potência"))</f>
        <v>130.245</v>
      </c>
      <c r="N265" s="4">
        <v>0</v>
      </c>
      <c r="O265" s="16">
        <f>N265*(1-SUMIFS(CUSTOS!$T$40:$T$100,CUSTOS!$O$40:$O$100,SUBSIDIO!G265,CUSTOS!$S$40:$S$100,SUBSIDIO!B265,CUSTOS!$R$40:$R$100,"Energia"))</f>
        <v>0</v>
      </c>
      <c r="P265" s="4">
        <v>0</v>
      </c>
      <c r="Q265" s="3" t="s">
        <v>66</v>
      </c>
      <c r="R265" s="3">
        <v>5377</v>
      </c>
      <c r="S265" s="3">
        <v>13</v>
      </c>
      <c r="T265" s="3">
        <v>15</v>
      </c>
      <c r="U265" s="3">
        <v>0</v>
      </c>
      <c r="V265" s="4">
        <f>IF(ISERROR(VLOOKUP($S$265,'TAR FIN'!$A$1:$O$113,15,0)),0,VLOOKUP($S$265,'TAR FIN'!$A$1:$O$113,15,0))</f>
        <v>29.89</v>
      </c>
      <c r="W265" s="4">
        <f>IF(ISERROR(VLOOKUP($T$265,'TAR FIN'!$A$1:$O$113,15,0)),0,VLOOKUP($T$265,'TAR FIN'!$A$1:$O$113,15,0))</f>
        <v>9.65</v>
      </c>
      <c r="X265" s="4">
        <f>IF(ISERROR(VLOOKUP($U$265,'TAR FIN'!$A$1:$O$113,15,0)),0,VLOOKUP($U$265,'TAR FIN'!$A$1:$O$113,15,0))</f>
        <v>0</v>
      </c>
      <c r="Y265" s="4">
        <f ca="1">('TUSD BE'!$AM$17+'TUSD BF'!$AM$17+'TUSD CVA'!$AM$17)*1</f>
        <v>36.252448665270038</v>
      </c>
      <c r="Z265" s="4">
        <f ca="1">('TUSD BE'!$AM$19+'TUSD BF'!$AM$19+'TUSD CVA'!$AM$19)*1</f>
        <v>11.150945133676805</v>
      </c>
      <c r="AA265" s="4">
        <f>('TE BE'!$AA$14+'TE BF'!$AA$14+'TE CVA'!$AA$14)*1</f>
        <v>253.57775100318744</v>
      </c>
      <c r="AB265" s="4">
        <f t="shared" si="18"/>
        <v>0</v>
      </c>
      <c r="AC265" s="4">
        <f t="shared" si="19"/>
        <v>0</v>
      </c>
      <c r="AD265" s="4">
        <f t="shared" ca="1" si="20"/>
        <v>0</v>
      </c>
      <c r="AE265" s="4">
        <f t="shared" ca="1" si="21"/>
        <v>0</v>
      </c>
      <c r="AF265" s="3" t="s">
        <v>1026</v>
      </c>
    </row>
    <row r="266" spans="1:32" ht="11.25" customHeight="1" x14ac:dyDescent="0.25">
      <c r="A266" s="3" t="s">
        <v>21</v>
      </c>
      <c r="B266" s="3" t="s">
        <v>41</v>
      </c>
      <c r="C266" s="3" t="s">
        <v>61</v>
      </c>
      <c r="D266" s="3" t="s">
        <v>25</v>
      </c>
      <c r="E266" s="3" t="s">
        <v>25</v>
      </c>
      <c r="F266" s="3" t="s">
        <v>64</v>
      </c>
      <c r="G266" s="3" t="s">
        <v>68</v>
      </c>
      <c r="H266" s="3" t="s">
        <v>34</v>
      </c>
      <c r="I266" s="6">
        <v>44593</v>
      </c>
      <c r="J266" s="4">
        <v>2130</v>
      </c>
      <c r="K266" s="16">
        <f>J266*(1-SUMIFS(CUSTOS!$T$40:$T$100,CUSTOS!$O$40:$O$100,SUBSIDIO!G266,CUSTOS!$S$40:$S$100,SUBSIDIO!B266,CUSTOS!$R$40:$R$100,"Potência"))</f>
        <v>2130</v>
      </c>
      <c r="L266" s="4">
        <v>119.048</v>
      </c>
      <c r="M266" s="16">
        <f>L266*(1-SUMIFS(CUSTOS!$T$40:$T$100,CUSTOS!$O$40:$O$100,SUBSIDIO!G266,CUSTOS!$S$40:$S$100,SUBSIDIO!B266,CUSTOS!$R$40:$R$100,"Potência"))</f>
        <v>119.048</v>
      </c>
      <c r="N266" s="4">
        <v>0</v>
      </c>
      <c r="O266" s="16">
        <f>N266*(1-SUMIFS(CUSTOS!$T$40:$T$100,CUSTOS!$O$40:$O$100,SUBSIDIO!G266,CUSTOS!$S$40:$S$100,SUBSIDIO!B266,CUSTOS!$R$40:$R$100,"Energia"))</f>
        <v>0</v>
      </c>
      <c r="P266" s="4">
        <v>0</v>
      </c>
      <c r="Q266" s="3" t="s">
        <v>66</v>
      </c>
      <c r="R266" s="3">
        <v>5377</v>
      </c>
      <c r="S266" s="3">
        <v>13</v>
      </c>
      <c r="T266" s="3">
        <v>15</v>
      </c>
      <c r="U266" s="3">
        <v>0</v>
      </c>
      <c r="V266" s="4">
        <f>IF(ISERROR(VLOOKUP($S$266,'TAR FIN'!$A$1:$O$113,15,0)),0,VLOOKUP($S$266,'TAR FIN'!$A$1:$O$113,15,0))</f>
        <v>29.89</v>
      </c>
      <c r="W266" s="4">
        <f>IF(ISERROR(VLOOKUP($T$266,'TAR FIN'!$A$1:$O$113,15,0)),0,VLOOKUP($T$266,'TAR FIN'!$A$1:$O$113,15,0))</f>
        <v>9.65</v>
      </c>
      <c r="X266" s="4">
        <f>IF(ISERROR(VLOOKUP($U$266,'TAR FIN'!$A$1:$O$113,15,0)),0,VLOOKUP($U$266,'TAR FIN'!$A$1:$O$113,15,0))</f>
        <v>0</v>
      </c>
      <c r="Y266" s="4">
        <f ca="1">('TUSD BE'!$AM$17+'TUSD BF'!$AM$17+'TUSD CVA'!$AM$17)*1</f>
        <v>36.252448665270038</v>
      </c>
      <c r="Z266" s="4">
        <f ca="1">('TUSD BE'!$AM$19+'TUSD BF'!$AM$19+'TUSD CVA'!$AM$19)*1</f>
        <v>11.150945133676805</v>
      </c>
      <c r="AA266" s="4">
        <f>('TE BE'!$AA$14+'TE BF'!$AA$14+'TE CVA'!$AA$14)*1</f>
        <v>253.57775100318744</v>
      </c>
      <c r="AB266" s="4">
        <f t="shared" si="18"/>
        <v>0</v>
      </c>
      <c r="AC266" s="4">
        <f t="shared" si="19"/>
        <v>0</v>
      </c>
      <c r="AD266" s="4">
        <f t="shared" ca="1" si="20"/>
        <v>0</v>
      </c>
      <c r="AE266" s="4">
        <f t="shared" ca="1" si="21"/>
        <v>0</v>
      </c>
      <c r="AF266" s="3" t="s">
        <v>1026</v>
      </c>
    </row>
    <row r="267" spans="1:32" ht="11.25" customHeight="1" x14ac:dyDescent="0.25">
      <c r="A267" s="3" t="s">
        <v>56</v>
      </c>
      <c r="B267" s="3" t="s">
        <v>41</v>
      </c>
      <c r="C267" s="3" t="s">
        <v>61</v>
      </c>
      <c r="D267" s="3" t="s">
        <v>25</v>
      </c>
      <c r="E267" s="3" t="s">
        <v>25</v>
      </c>
      <c r="F267" s="3" t="s">
        <v>64</v>
      </c>
      <c r="G267" s="3" t="s">
        <v>68</v>
      </c>
      <c r="H267" s="3" t="s">
        <v>34</v>
      </c>
      <c r="I267" s="6">
        <v>44621</v>
      </c>
      <c r="J267" s="4">
        <v>2130</v>
      </c>
      <c r="K267" s="16">
        <f>J267*(1-SUMIFS(CUSTOS!$T$40:$T$100,CUSTOS!$O$40:$O$100,SUBSIDIO!G267,CUSTOS!$S$40:$S$100,SUBSIDIO!B267,CUSTOS!$R$40:$R$100,"Potência"))</f>
        <v>2130</v>
      </c>
      <c r="L267" s="4">
        <v>119.048</v>
      </c>
      <c r="M267" s="16">
        <f>L267*(1-SUMIFS(CUSTOS!$T$40:$T$100,CUSTOS!$O$40:$O$100,SUBSIDIO!G267,CUSTOS!$S$40:$S$100,SUBSIDIO!B267,CUSTOS!$R$40:$R$100,"Potência"))</f>
        <v>119.048</v>
      </c>
      <c r="N267" s="4">
        <v>0</v>
      </c>
      <c r="O267" s="16">
        <f>N267*(1-SUMIFS(CUSTOS!$T$40:$T$100,CUSTOS!$O$40:$O$100,SUBSIDIO!G267,CUSTOS!$S$40:$S$100,SUBSIDIO!B267,CUSTOS!$R$40:$R$100,"Energia"))</f>
        <v>0</v>
      </c>
      <c r="P267" s="4">
        <v>0</v>
      </c>
      <c r="Q267" s="3" t="s">
        <v>66</v>
      </c>
      <c r="R267" s="3">
        <v>5377</v>
      </c>
      <c r="S267" s="3">
        <v>13</v>
      </c>
      <c r="T267" s="3">
        <v>15</v>
      </c>
      <c r="U267" s="3">
        <v>0</v>
      </c>
      <c r="V267" s="4">
        <f>IF(ISERROR(VLOOKUP($S$267,'TAR FIN'!$A$1:$O$113,15,0)),0,VLOOKUP($S$267,'TAR FIN'!$A$1:$O$113,15,0))</f>
        <v>29.89</v>
      </c>
      <c r="W267" s="4">
        <f>IF(ISERROR(VLOOKUP($T$267,'TAR FIN'!$A$1:$O$113,15,0)),0,VLOOKUP($T$267,'TAR FIN'!$A$1:$O$113,15,0))</f>
        <v>9.65</v>
      </c>
      <c r="X267" s="4">
        <f>IF(ISERROR(VLOOKUP($U$267,'TAR FIN'!$A$1:$O$113,15,0)),0,VLOOKUP($U$267,'TAR FIN'!$A$1:$O$113,15,0))</f>
        <v>0</v>
      </c>
      <c r="Y267" s="4">
        <f ca="1">('TUSD BE'!$AM$17+'TUSD BF'!$AM$17+'TUSD CVA'!$AM$17)*1</f>
        <v>36.252448665270038</v>
      </c>
      <c r="Z267" s="4">
        <f ca="1">('TUSD BE'!$AM$19+'TUSD BF'!$AM$19+'TUSD CVA'!$AM$19)*1</f>
        <v>11.150945133676805</v>
      </c>
      <c r="AA267" s="4">
        <f>('TE BE'!$AA$14+'TE BF'!$AA$14+'TE CVA'!$AA$14)*1</f>
        <v>253.57775100318744</v>
      </c>
      <c r="AB267" s="4">
        <f t="shared" si="18"/>
        <v>0</v>
      </c>
      <c r="AC267" s="4">
        <f t="shared" si="19"/>
        <v>0</v>
      </c>
      <c r="AD267" s="4">
        <f t="shared" ca="1" si="20"/>
        <v>0</v>
      </c>
      <c r="AE267" s="4">
        <f t="shared" ca="1" si="21"/>
        <v>0</v>
      </c>
      <c r="AF267" s="3" t="s">
        <v>1026</v>
      </c>
    </row>
    <row r="268" spans="1:32" ht="11.25" customHeight="1" x14ac:dyDescent="0.25">
      <c r="A268" s="3" t="s">
        <v>21</v>
      </c>
      <c r="B268" s="3" t="s">
        <v>41</v>
      </c>
      <c r="C268" s="3" t="s">
        <v>69</v>
      </c>
      <c r="D268" s="3" t="s">
        <v>25</v>
      </c>
      <c r="E268" s="3" t="s">
        <v>25</v>
      </c>
      <c r="F268" s="3" t="s">
        <v>70</v>
      </c>
      <c r="G268" s="3" t="s">
        <v>76</v>
      </c>
      <c r="H268" s="3" t="s">
        <v>25</v>
      </c>
      <c r="I268" s="6">
        <v>44287</v>
      </c>
      <c r="J268" s="4">
        <v>2196</v>
      </c>
      <c r="K268" s="4">
        <v>1098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3" t="s">
        <v>72</v>
      </c>
      <c r="R268" s="3">
        <v>30677</v>
      </c>
      <c r="S268" s="3">
        <v>43</v>
      </c>
      <c r="T268" s="3">
        <v>0</v>
      </c>
      <c r="U268" s="3">
        <v>0</v>
      </c>
      <c r="V268" s="4">
        <f>IF(ISERROR(VLOOKUP($S$268,'TAR FIN'!$A$1:$O$113,15,0)),0,VLOOKUP($S$268,'TAR FIN'!$A$1:$O$113,15,0))</f>
        <v>11.74</v>
      </c>
      <c r="W268" s="4">
        <f>IF(ISERROR(VLOOKUP($T$268,'TAR FIN'!$A$1:$O$113,15,0)),0,VLOOKUP($T$268,'TAR FIN'!$A$1:$O$113,15,0))</f>
        <v>0</v>
      </c>
      <c r="X268" s="4">
        <f>IF(ISERROR(VLOOKUP($U$268,'TAR FIN'!$A$1:$O$113,15,0)),0,VLOOKUP($U$268,'TAR FIN'!$A$1:$O$113,15,0))</f>
        <v>0</v>
      </c>
      <c r="Y268" s="4">
        <f ca="1">('TUSD BE'!$AM$29+'TUSD BF'!$AM$29+'TUSD CVA'!$AM$29)*1</f>
        <v>14.316677378406878</v>
      </c>
      <c r="Z268" s="4"/>
      <c r="AA268" s="4"/>
      <c r="AB268" s="4">
        <f t="shared" si="18"/>
        <v>12890.52</v>
      </c>
      <c r="AC268" s="4">
        <f t="shared" si="19"/>
        <v>0</v>
      </c>
      <c r="AD268" s="4">
        <f t="shared" ca="1" si="20"/>
        <v>15719.711761490751</v>
      </c>
      <c r="AE268" s="4">
        <f t="shared" si="21"/>
        <v>0</v>
      </c>
      <c r="AF268" s="3" t="s">
        <v>1027</v>
      </c>
    </row>
    <row r="269" spans="1:32" ht="11.25" customHeight="1" x14ac:dyDescent="0.25">
      <c r="A269" s="3" t="s">
        <v>21</v>
      </c>
      <c r="B269" s="3" t="s">
        <v>41</v>
      </c>
      <c r="C269" s="3" t="s">
        <v>69</v>
      </c>
      <c r="D269" s="3" t="s">
        <v>25</v>
      </c>
      <c r="E269" s="3" t="s">
        <v>25</v>
      </c>
      <c r="F269" s="3" t="s">
        <v>70</v>
      </c>
      <c r="G269" s="3" t="s">
        <v>76</v>
      </c>
      <c r="H269" s="3" t="s">
        <v>25</v>
      </c>
      <c r="I269" s="6">
        <v>44317</v>
      </c>
      <c r="J269" s="4">
        <v>2252</v>
      </c>
      <c r="K269" s="4">
        <v>1126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3" t="s">
        <v>72</v>
      </c>
      <c r="R269" s="3">
        <v>30677</v>
      </c>
      <c r="S269" s="3">
        <v>43</v>
      </c>
      <c r="T269" s="3">
        <v>0</v>
      </c>
      <c r="U269" s="3">
        <v>0</v>
      </c>
      <c r="V269" s="4">
        <f>IF(ISERROR(VLOOKUP($S$269,'TAR FIN'!$A$1:$O$113,15,0)),0,VLOOKUP($S$269,'TAR FIN'!$A$1:$O$113,15,0))</f>
        <v>11.74</v>
      </c>
      <c r="W269" s="4">
        <f>IF(ISERROR(VLOOKUP($T$269,'TAR FIN'!$A$1:$O$113,15,0)),0,VLOOKUP($T$269,'TAR FIN'!$A$1:$O$113,15,0))</f>
        <v>0</v>
      </c>
      <c r="X269" s="4">
        <f>IF(ISERROR(VLOOKUP($U$269,'TAR FIN'!$A$1:$O$113,15,0)),0,VLOOKUP($U$269,'TAR FIN'!$A$1:$O$113,15,0))</f>
        <v>0</v>
      </c>
      <c r="Y269" s="4">
        <f ca="1">('TUSD BE'!$AM$29+'TUSD BF'!$AM$29+'TUSD CVA'!$AM$29)*1</f>
        <v>14.316677378406878</v>
      </c>
      <c r="Z269" s="4"/>
      <c r="AA269" s="4"/>
      <c r="AB269" s="4">
        <f t="shared" si="18"/>
        <v>13219.24</v>
      </c>
      <c r="AC269" s="4">
        <f t="shared" si="19"/>
        <v>0</v>
      </c>
      <c r="AD269" s="4">
        <f t="shared" ca="1" si="20"/>
        <v>16120.578728086144</v>
      </c>
      <c r="AE269" s="4">
        <f t="shared" si="21"/>
        <v>0</v>
      </c>
      <c r="AF269" s="3" t="s">
        <v>1027</v>
      </c>
    </row>
    <row r="270" spans="1:32" ht="11.25" customHeight="1" x14ac:dyDescent="0.25">
      <c r="A270" s="3" t="s">
        <v>21</v>
      </c>
      <c r="B270" s="3" t="s">
        <v>41</v>
      </c>
      <c r="C270" s="3" t="s">
        <v>69</v>
      </c>
      <c r="D270" s="3" t="s">
        <v>25</v>
      </c>
      <c r="E270" s="3" t="s">
        <v>25</v>
      </c>
      <c r="F270" s="3" t="s">
        <v>70</v>
      </c>
      <c r="G270" s="3" t="s">
        <v>76</v>
      </c>
      <c r="H270" s="3" t="s">
        <v>25</v>
      </c>
      <c r="I270" s="6">
        <v>44348</v>
      </c>
      <c r="J270" s="4">
        <v>1000</v>
      </c>
      <c r="K270" s="4">
        <v>500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3" t="s">
        <v>72</v>
      </c>
      <c r="R270" s="3">
        <v>30677</v>
      </c>
      <c r="S270" s="3">
        <v>43</v>
      </c>
      <c r="T270" s="3">
        <v>0</v>
      </c>
      <c r="U270" s="3">
        <v>0</v>
      </c>
      <c r="V270" s="4">
        <f>IF(ISERROR(VLOOKUP($S$270,'TAR FIN'!$A$1:$O$113,15,0)),0,VLOOKUP($S$270,'TAR FIN'!$A$1:$O$113,15,0))</f>
        <v>11.74</v>
      </c>
      <c r="W270" s="4">
        <f>IF(ISERROR(VLOOKUP($T$270,'TAR FIN'!$A$1:$O$113,15,0)),0,VLOOKUP($T$270,'TAR FIN'!$A$1:$O$113,15,0))</f>
        <v>0</v>
      </c>
      <c r="X270" s="4">
        <f>IF(ISERROR(VLOOKUP($U$270,'TAR FIN'!$A$1:$O$113,15,0)),0,VLOOKUP($U$270,'TAR FIN'!$A$1:$O$113,15,0))</f>
        <v>0</v>
      </c>
      <c r="Y270" s="4">
        <f ca="1">('TUSD BE'!$AM$29+'TUSD BF'!$AM$29+'TUSD CVA'!$AM$29)*1</f>
        <v>14.316677378406878</v>
      </c>
      <c r="Z270" s="4"/>
      <c r="AA270" s="4"/>
      <c r="AB270" s="4">
        <f t="shared" si="18"/>
        <v>5870</v>
      </c>
      <c r="AC270" s="4">
        <f t="shared" si="19"/>
        <v>0</v>
      </c>
      <c r="AD270" s="4">
        <f t="shared" ca="1" si="20"/>
        <v>7158.3386892034387</v>
      </c>
      <c r="AE270" s="4">
        <f t="shared" si="21"/>
        <v>0</v>
      </c>
      <c r="AF270" s="3" t="s">
        <v>1027</v>
      </c>
    </row>
    <row r="271" spans="1:32" ht="11.25" customHeight="1" x14ac:dyDescent="0.25">
      <c r="A271" s="3" t="s">
        <v>21</v>
      </c>
      <c r="B271" s="3" t="s">
        <v>41</v>
      </c>
      <c r="C271" s="3" t="s">
        <v>69</v>
      </c>
      <c r="D271" s="3" t="s">
        <v>25</v>
      </c>
      <c r="E271" s="3" t="s">
        <v>25</v>
      </c>
      <c r="F271" s="3" t="s">
        <v>70</v>
      </c>
      <c r="G271" s="3" t="s">
        <v>76</v>
      </c>
      <c r="H271" s="3" t="s">
        <v>25</v>
      </c>
      <c r="I271" s="6">
        <v>44378</v>
      </c>
      <c r="J271" s="4">
        <v>1000</v>
      </c>
      <c r="K271" s="4">
        <v>500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3" t="s">
        <v>72</v>
      </c>
      <c r="R271" s="3">
        <v>30677</v>
      </c>
      <c r="S271" s="3">
        <v>43</v>
      </c>
      <c r="T271" s="3">
        <v>0</v>
      </c>
      <c r="U271" s="3">
        <v>0</v>
      </c>
      <c r="V271" s="4">
        <f>IF(ISERROR(VLOOKUP($S$271,'TAR FIN'!$A$1:$O$113,15,0)),0,VLOOKUP($S$271,'TAR FIN'!$A$1:$O$113,15,0))</f>
        <v>11.74</v>
      </c>
      <c r="W271" s="4">
        <f>IF(ISERROR(VLOOKUP($T$271,'TAR FIN'!$A$1:$O$113,15,0)),0,VLOOKUP($T$271,'TAR FIN'!$A$1:$O$113,15,0))</f>
        <v>0</v>
      </c>
      <c r="X271" s="4">
        <f>IF(ISERROR(VLOOKUP($U$271,'TAR FIN'!$A$1:$O$113,15,0)),0,VLOOKUP($U$271,'TAR FIN'!$A$1:$O$113,15,0))</f>
        <v>0</v>
      </c>
      <c r="Y271" s="4">
        <f ca="1">('TUSD BE'!$AM$29+'TUSD BF'!$AM$29+'TUSD CVA'!$AM$29)*1</f>
        <v>14.316677378406878</v>
      </c>
      <c r="Z271" s="4"/>
      <c r="AA271" s="4"/>
      <c r="AB271" s="4">
        <f t="shared" si="18"/>
        <v>5870</v>
      </c>
      <c r="AC271" s="4">
        <f t="shared" si="19"/>
        <v>0</v>
      </c>
      <c r="AD271" s="4">
        <f t="shared" ca="1" si="20"/>
        <v>7158.3386892034387</v>
      </c>
      <c r="AE271" s="4">
        <f t="shared" si="21"/>
        <v>0</v>
      </c>
      <c r="AF271" s="3" t="s">
        <v>1027</v>
      </c>
    </row>
    <row r="272" spans="1:32" ht="11.25" customHeight="1" x14ac:dyDescent="0.25">
      <c r="A272" s="3" t="s">
        <v>21</v>
      </c>
      <c r="B272" s="3" t="s">
        <v>41</v>
      </c>
      <c r="C272" s="3" t="s">
        <v>69</v>
      </c>
      <c r="D272" s="3" t="s">
        <v>25</v>
      </c>
      <c r="E272" s="3" t="s">
        <v>25</v>
      </c>
      <c r="F272" s="3" t="s">
        <v>70</v>
      </c>
      <c r="G272" s="3" t="s">
        <v>76</v>
      </c>
      <c r="H272" s="3" t="s">
        <v>25</v>
      </c>
      <c r="I272" s="6">
        <v>44409</v>
      </c>
      <c r="J272" s="4">
        <v>600</v>
      </c>
      <c r="K272" s="4">
        <v>300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3" t="s">
        <v>72</v>
      </c>
      <c r="R272" s="3">
        <v>30677</v>
      </c>
      <c r="S272" s="3">
        <v>43</v>
      </c>
      <c r="T272" s="3">
        <v>0</v>
      </c>
      <c r="U272" s="3">
        <v>0</v>
      </c>
      <c r="V272" s="4">
        <f>IF(ISERROR(VLOOKUP($S$272,'TAR FIN'!$A$1:$O$113,15,0)),0,VLOOKUP($S$272,'TAR FIN'!$A$1:$O$113,15,0))</f>
        <v>11.74</v>
      </c>
      <c r="W272" s="4">
        <f>IF(ISERROR(VLOOKUP($T$272,'TAR FIN'!$A$1:$O$113,15,0)),0,VLOOKUP($T$272,'TAR FIN'!$A$1:$O$113,15,0))</f>
        <v>0</v>
      </c>
      <c r="X272" s="4">
        <f>IF(ISERROR(VLOOKUP($U$272,'TAR FIN'!$A$1:$O$113,15,0)),0,VLOOKUP($U$272,'TAR FIN'!$A$1:$O$113,15,0))</f>
        <v>0</v>
      </c>
      <c r="Y272" s="4">
        <f ca="1">('TUSD BE'!$AM$29+'TUSD BF'!$AM$29+'TUSD CVA'!$AM$29)*1</f>
        <v>14.316677378406878</v>
      </c>
      <c r="Z272" s="4"/>
      <c r="AA272" s="4"/>
      <c r="AB272" s="4">
        <f t="shared" si="18"/>
        <v>3522</v>
      </c>
      <c r="AC272" s="4">
        <f t="shared" si="19"/>
        <v>0</v>
      </c>
      <c r="AD272" s="4">
        <f t="shared" ca="1" si="20"/>
        <v>4295.0032135220636</v>
      </c>
      <c r="AE272" s="4">
        <f t="shared" si="21"/>
        <v>0</v>
      </c>
      <c r="AF272" s="3" t="s">
        <v>1027</v>
      </c>
    </row>
    <row r="273" spans="1:32" ht="11.25" customHeight="1" x14ac:dyDescent="0.25">
      <c r="A273" s="3" t="s">
        <v>21</v>
      </c>
      <c r="B273" s="3" t="s">
        <v>41</v>
      </c>
      <c r="C273" s="3" t="s">
        <v>69</v>
      </c>
      <c r="D273" s="3" t="s">
        <v>25</v>
      </c>
      <c r="E273" s="3" t="s">
        <v>25</v>
      </c>
      <c r="F273" s="3" t="s">
        <v>70</v>
      </c>
      <c r="G273" s="3" t="s">
        <v>76</v>
      </c>
      <c r="H273" s="3" t="s">
        <v>25</v>
      </c>
      <c r="I273" s="6">
        <v>44501</v>
      </c>
      <c r="J273" s="4">
        <v>92</v>
      </c>
      <c r="K273" s="4">
        <v>46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3" t="s">
        <v>72</v>
      </c>
      <c r="R273" s="3">
        <v>30677</v>
      </c>
      <c r="S273" s="3">
        <v>43</v>
      </c>
      <c r="T273" s="3">
        <v>0</v>
      </c>
      <c r="U273" s="3">
        <v>0</v>
      </c>
      <c r="V273" s="4">
        <f>IF(ISERROR(VLOOKUP($S$273,'TAR FIN'!$A$1:$O$113,15,0)),0,VLOOKUP($S$273,'TAR FIN'!$A$1:$O$113,15,0))</f>
        <v>11.74</v>
      </c>
      <c r="W273" s="4">
        <f>IF(ISERROR(VLOOKUP($T$273,'TAR FIN'!$A$1:$O$113,15,0)),0,VLOOKUP($T$273,'TAR FIN'!$A$1:$O$113,15,0))</f>
        <v>0</v>
      </c>
      <c r="X273" s="4">
        <f>IF(ISERROR(VLOOKUP($U$273,'TAR FIN'!$A$1:$O$113,15,0)),0,VLOOKUP($U$273,'TAR FIN'!$A$1:$O$113,15,0))</f>
        <v>0</v>
      </c>
      <c r="Y273" s="4">
        <f ca="1">('TUSD BE'!$AM$29+'TUSD BF'!$AM$29+'TUSD CVA'!$AM$29)*1</f>
        <v>14.316677378406878</v>
      </c>
      <c r="Z273" s="4"/>
      <c r="AA273" s="4"/>
      <c r="AB273" s="4">
        <f t="shared" si="18"/>
        <v>540.04</v>
      </c>
      <c r="AC273" s="4">
        <f t="shared" si="19"/>
        <v>0</v>
      </c>
      <c r="AD273" s="4">
        <f t="shared" ca="1" si="20"/>
        <v>658.56715940671643</v>
      </c>
      <c r="AE273" s="4">
        <f t="shared" si="21"/>
        <v>0</v>
      </c>
      <c r="AF273" s="3" t="s">
        <v>1027</v>
      </c>
    </row>
    <row r="274" spans="1:32" ht="11.25" customHeight="1" x14ac:dyDescent="0.25">
      <c r="A274" s="3" t="s">
        <v>21</v>
      </c>
      <c r="B274" s="3" t="s">
        <v>41</v>
      </c>
      <c r="C274" s="3" t="s">
        <v>42</v>
      </c>
      <c r="D274" s="3" t="s">
        <v>38</v>
      </c>
      <c r="E274" s="3" t="s">
        <v>25</v>
      </c>
      <c r="F274" s="3" t="s">
        <v>60</v>
      </c>
      <c r="G274" s="3" t="s">
        <v>25</v>
      </c>
      <c r="H274" s="3" t="s">
        <v>35</v>
      </c>
      <c r="I274" s="6">
        <v>44287</v>
      </c>
      <c r="J274" s="4">
        <v>0</v>
      </c>
      <c r="K274" s="4">
        <v>0</v>
      </c>
      <c r="L274" s="4">
        <v>6159.0150000000003</v>
      </c>
      <c r="M274" s="4">
        <v>6159.0150000000003</v>
      </c>
      <c r="N274" s="4">
        <v>0</v>
      </c>
      <c r="O274" s="4">
        <v>0</v>
      </c>
      <c r="P274" s="4">
        <v>0</v>
      </c>
      <c r="Q274" s="3" t="s">
        <v>57</v>
      </c>
      <c r="R274" s="3">
        <v>0</v>
      </c>
      <c r="S274" s="3">
        <v>0</v>
      </c>
      <c r="T274" s="3">
        <v>21</v>
      </c>
      <c r="U274" s="3">
        <v>0</v>
      </c>
      <c r="V274" s="4">
        <f>IF(ISERROR(VLOOKUP($S$274,'TAR FIN'!$A$1:$O$113,15,0)),0,VLOOKUP($S$274,'TAR FIN'!$A$1:$O$113,15,0))</f>
        <v>0</v>
      </c>
      <c r="W274" s="4">
        <f>IF(ISERROR(VLOOKUP($T$274,'TAR FIN'!$A$1:$O$113,15,0)),0,VLOOKUP($T$274,'TAR FIN'!$A$1:$O$113,15,0))</f>
        <v>51.27</v>
      </c>
      <c r="X274" s="4">
        <f>IF(ISERROR(VLOOKUP($U$274,'TAR FIN'!$A$1:$O$113,15,0)),0,VLOOKUP($U$274,'TAR FIN'!$A$1:$O$113,15,0))</f>
        <v>0</v>
      </c>
      <c r="Y274" s="4"/>
      <c r="Z274" s="4">
        <f ca="1">('TUSD BE'!$AM$32+'TUSD BF'!$AM$32+'TUSD CVA'!$AM$32)*1</f>
        <v>65.007409626508434</v>
      </c>
      <c r="AA274" s="4"/>
      <c r="AB274" s="4">
        <f t="shared" si="18"/>
        <v>0</v>
      </c>
      <c r="AC274" s="4">
        <f t="shared" si="19"/>
        <v>0</v>
      </c>
      <c r="AD274" s="4">
        <f t="shared" si="20"/>
        <v>0</v>
      </c>
      <c r="AE274" s="4">
        <f t="shared" ca="1" si="21"/>
        <v>0</v>
      </c>
      <c r="AF274" s="3" t="s">
        <v>1022</v>
      </c>
    </row>
    <row r="275" spans="1:32" ht="11.25" customHeight="1" x14ac:dyDescent="0.25">
      <c r="A275" s="3" t="s">
        <v>21</v>
      </c>
      <c r="B275" s="3" t="s">
        <v>41</v>
      </c>
      <c r="C275" s="3" t="s">
        <v>42</v>
      </c>
      <c r="D275" s="3" t="s">
        <v>38</v>
      </c>
      <c r="E275" s="3" t="s">
        <v>25</v>
      </c>
      <c r="F275" s="3" t="s">
        <v>60</v>
      </c>
      <c r="G275" s="3" t="s">
        <v>25</v>
      </c>
      <c r="H275" s="3" t="s">
        <v>35</v>
      </c>
      <c r="I275" s="6">
        <v>44317</v>
      </c>
      <c r="J275" s="4">
        <v>0</v>
      </c>
      <c r="K275" s="4">
        <v>0</v>
      </c>
      <c r="L275" s="4">
        <v>5798.2060000000001</v>
      </c>
      <c r="M275" s="4">
        <v>5798.2060000000001</v>
      </c>
      <c r="N275" s="4">
        <v>0</v>
      </c>
      <c r="O275" s="4">
        <v>0</v>
      </c>
      <c r="P275" s="4">
        <v>0</v>
      </c>
      <c r="Q275" s="3" t="s">
        <v>57</v>
      </c>
      <c r="R275" s="3">
        <v>0</v>
      </c>
      <c r="S275" s="3">
        <v>0</v>
      </c>
      <c r="T275" s="3">
        <v>21</v>
      </c>
      <c r="U275" s="3">
        <v>0</v>
      </c>
      <c r="V275" s="4">
        <f>IF(ISERROR(VLOOKUP($S$275,'TAR FIN'!$A$1:$O$113,15,0)),0,VLOOKUP($S$275,'TAR FIN'!$A$1:$O$113,15,0))</f>
        <v>0</v>
      </c>
      <c r="W275" s="4">
        <f>IF(ISERROR(VLOOKUP($T$275,'TAR FIN'!$A$1:$O$113,15,0)),0,VLOOKUP($T$275,'TAR FIN'!$A$1:$O$113,15,0))</f>
        <v>51.27</v>
      </c>
      <c r="X275" s="4">
        <f>IF(ISERROR(VLOOKUP($U$275,'TAR FIN'!$A$1:$O$113,15,0)),0,VLOOKUP($U$275,'TAR FIN'!$A$1:$O$113,15,0))</f>
        <v>0</v>
      </c>
      <c r="Y275" s="4"/>
      <c r="Z275" s="4">
        <f ca="1">('TUSD BE'!$AM$32+'TUSD BF'!$AM$32+'TUSD CVA'!$AM$32)*1</f>
        <v>65.007409626508434</v>
      </c>
      <c r="AA275" s="4"/>
      <c r="AB275" s="4">
        <f t="shared" si="18"/>
        <v>0</v>
      </c>
      <c r="AC275" s="4">
        <f t="shared" si="19"/>
        <v>0</v>
      </c>
      <c r="AD275" s="4">
        <f t="shared" si="20"/>
        <v>0</v>
      </c>
      <c r="AE275" s="4">
        <f t="shared" ca="1" si="21"/>
        <v>0</v>
      </c>
      <c r="AF275" s="3" t="s">
        <v>1022</v>
      </c>
    </row>
    <row r="276" spans="1:32" ht="11.25" customHeight="1" x14ac:dyDescent="0.25">
      <c r="A276" s="3" t="s">
        <v>21</v>
      </c>
      <c r="B276" s="3" t="s">
        <v>41</v>
      </c>
      <c r="C276" s="3" t="s">
        <v>42</v>
      </c>
      <c r="D276" s="3" t="s">
        <v>38</v>
      </c>
      <c r="E276" s="3" t="s">
        <v>25</v>
      </c>
      <c r="F276" s="3" t="s">
        <v>60</v>
      </c>
      <c r="G276" s="3" t="s">
        <v>25</v>
      </c>
      <c r="H276" s="3" t="s">
        <v>35</v>
      </c>
      <c r="I276" s="6">
        <v>44348</v>
      </c>
      <c r="J276" s="4">
        <v>0</v>
      </c>
      <c r="K276" s="4">
        <v>0</v>
      </c>
      <c r="L276" s="4">
        <v>5700.5879999999997</v>
      </c>
      <c r="M276" s="4">
        <v>5700.5879999999997</v>
      </c>
      <c r="N276" s="4">
        <v>0</v>
      </c>
      <c r="O276" s="4">
        <v>0</v>
      </c>
      <c r="P276" s="4">
        <v>0</v>
      </c>
      <c r="Q276" s="3" t="s">
        <v>57</v>
      </c>
      <c r="R276" s="3">
        <v>0</v>
      </c>
      <c r="S276" s="3">
        <v>0</v>
      </c>
      <c r="T276" s="3">
        <v>21</v>
      </c>
      <c r="U276" s="3">
        <v>0</v>
      </c>
      <c r="V276" s="4">
        <f>IF(ISERROR(VLOOKUP($S$276,'TAR FIN'!$A$1:$O$113,15,0)),0,VLOOKUP($S$276,'TAR FIN'!$A$1:$O$113,15,0))</f>
        <v>0</v>
      </c>
      <c r="W276" s="4">
        <f>IF(ISERROR(VLOOKUP($T$276,'TAR FIN'!$A$1:$O$113,15,0)),0,VLOOKUP($T$276,'TAR FIN'!$A$1:$O$113,15,0))</f>
        <v>51.27</v>
      </c>
      <c r="X276" s="4">
        <f>IF(ISERROR(VLOOKUP($U$276,'TAR FIN'!$A$1:$O$113,15,0)),0,VLOOKUP($U$276,'TAR FIN'!$A$1:$O$113,15,0))</f>
        <v>0</v>
      </c>
      <c r="Y276" s="4"/>
      <c r="Z276" s="4">
        <f ca="1">('TUSD BE'!$AM$32+'TUSD BF'!$AM$32+'TUSD CVA'!$AM$32)*1</f>
        <v>65.007409626508434</v>
      </c>
      <c r="AA276" s="4"/>
      <c r="AB276" s="4">
        <f t="shared" si="18"/>
        <v>0</v>
      </c>
      <c r="AC276" s="4">
        <f t="shared" si="19"/>
        <v>0</v>
      </c>
      <c r="AD276" s="4">
        <f t="shared" si="20"/>
        <v>0</v>
      </c>
      <c r="AE276" s="4">
        <f t="shared" ca="1" si="21"/>
        <v>0</v>
      </c>
      <c r="AF276" s="3" t="s">
        <v>1022</v>
      </c>
    </row>
    <row r="277" spans="1:32" ht="11.25" customHeight="1" x14ac:dyDescent="0.25">
      <c r="A277" s="3" t="s">
        <v>21</v>
      </c>
      <c r="B277" s="3" t="s">
        <v>41</v>
      </c>
      <c r="C277" s="3" t="s">
        <v>42</v>
      </c>
      <c r="D277" s="3" t="s">
        <v>38</v>
      </c>
      <c r="E277" s="3" t="s">
        <v>25</v>
      </c>
      <c r="F277" s="3" t="s">
        <v>60</v>
      </c>
      <c r="G277" s="3" t="s">
        <v>25</v>
      </c>
      <c r="H277" s="3" t="s">
        <v>35</v>
      </c>
      <c r="I277" s="6">
        <v>44378</v>
      </c>
      <c r="J277" s="4">
        <v>0</v>
      </c>
      <c r="K277" s="4">
        <v>0</v>
      </c>
      <c r="L277" s="4">
        <v>5409.0119999999997</v>
      </c>
      <c r="M277" s="4">
        <v>5409.0119999999997</v>
      </c>
      <c r="N277" s="4">
        <v>0</v>
      </c>
      <c r="O277" s="4">
        <v>0</v>
      </c>
      <c r="P277" s="4">
        <v>0</v>
      </c>
      <c r="Q277" s="3" t="s">
        <v>57</v>
      </c>
      <c r="R277" s="3">
        <v>0</v>
      </c>
      <c r="S277" s="3">
        <v>0</v>
      </c>
      <c r="T277" s="3">
        <v>21</v>
      </c>
      <c r="U277" s="3">
        <v>0</v>
      </c>
      <c r="V277" s="4">
        <f>IF(ISERROR(VLOOKUP($S$277,'TAR FIN'!$A$1:$O$113,15,0)),0,VLOOKUP($S$277,'TAR FIN'!$A$1:$O$113,15,0))</f>
        <v>0</v>
      </c>
      <c r="W277" s="4">
        <f>IF(ISERROR(VLOOKUP($T$277,'TAR FIN'!$A$1:$O$113,15,0)),0,VLOOKUP($T$277,'TAR FIN'!$A$1:$O$113,15,0))</f>
        <v>51.27</v>
      </c>
      <c r="X277" s="4">
        <f>IF(ISERROR(VLOOKUP($U$277,'TAR FIN'!$A$1:$O$113,15,0)),0,VLOOKUP($U$277,'TAR FIN'!$A$1:$O$113,15,0))</f>
        <v>0</v>
      </c>
      <c r="Y277" s="4"/>
      <c r="Z277" s="4">
        <f ca="1">('TUSD BE'!$AM$32+'TUSD BF'!$AM$32+'TUSD CVA'!$AM$32)*1</f>
        <v>65.007409626508434</v>
      </c>
      <c r="AA277" s="4"/>
      <c r="AB277" s="4">
        <f t="shared" si="18"/>
        <v>0</v>
      </c>
      <c r="AC277" s="4">
        <f t="shared" si="19"/>
        <v>0</v>
      </c>
      <c r="AD277" s="4">
        <f t="shared" si="20"/>
        <v>0</v>
      </c>
      <c r="AE277" s="4">
        <f t="shared" ca="1" si="21"/>
        <v>0</v>
      </c>
      <c r="AF277" s="3" t="s">
        <v>1022</v>
      </c>
    </row>
    <row r="278" spans="1:32" ht="11.25" customHeight="1" x14ac:dyDescent="0.25">
      <c r="A278" s="3" t="s">
        <v>21</v>
      </c>
      <c r="B278" s="3" t="s">
        <v>41</v>
      </c>
      <c r="C278" s="3" t="s">
        <v>42</v>
      </c>
      <c r="D278" s="3" t="s">
        <v>38</v>
      </c>
      <c r="E278" s="3" t="s">
        <v>25</v>
      </c>
      <c r="F278" s="3" t="s">
        <v>60</v>
      </c>
      <c r="G278" s="3" t="s">
        <v>25</v>
      </c>
      <c r="H278" s="3" t="s">
        <v>35</v>
      </c>
      <c r="I278" s="6">
        <v>44409</v>
      </c>
      <c r="J278" s="4">
        <v>0</v>
      </c>
      <c r="K278" s="4">
        <v>0</v>
      </c>
      <c r="L278" s="4">
        <v>5621.5079999999998</v>
      </c>
      <c r="M278" s="4">
        <v>5621.5079999999998</v>
      </c>
      <c r="N278" s="4">
        <v>0</v>
      </c>
      <c r="O278" s="4">
        <v>0</v>
      </c>
      <c r="P278" s="4">
        <v>0</v>
      </c>
      <c r="Q278" s="3" t="s">
        <v>57</v>
      </c>
      <c r="R278" s="3">
        <v>0</v>
      </c>
      <c r="S278" s="3">
        <v>0</v>
      </c>
      <c r="T278" s="3">
        <v>21</v>
      </c>
      <c r="U278" s="3">
        <v>0</v>
      </c>
      <c r="V278" s="4">
        <f>IF(ISERROR(VLOOKUP($S$278,'TAR FIN'!$A$1:$O$113,15,0)),0,VLOOKUP($S$278,'TAR FIN'!$A$1:$O$113,15,0))</f>
        <v>0</v>
      </c>
      <c r="W278" s="4">
        <f>IF(ISERROR(VLOOKUP($T$278,'TAR FIN'!$A$1:$O$113,15,0)),0,VLOOKUP($T$278,'TAR FIN'!$A$1:$O$113,15,0))</f>
        <v>51.27</v>
      </c>
      <c r="X278" s="4">
        <f>IF(ISERROR(VLOOKUP($U$278,'TAR FIN'!$A$1:$O$113,15,0)),0,VLOOKUP($U$278,'TAR FIN'!$A$1:$O$113,15,0))</f>
        <v>0</v>
      </c>
      <c r="Y278" s="4"/>
      <c r="Z278" s="4">
        <f ca="1">('TUSD BE'!$AM$32+'TUSD BF'!$AM$32+'TUSD CVA'!$AM$32)*1</f>
        <v>65.007409626508434</v>
      </c>
      <c r="AA278" s="4"/>
      <c r="AB278" s="4">
        <f t="shared" si="18"/>
        <v>0</v>
      </c>
      <c r="AC278" s="4">
        <f t="shared" si="19"/>
        <v>0</v>
      </c>
      <c r="AD278" s="4">
        <f t="shared" si="20"/>
        <v>0</v>
      </c>
      <c r="AE278" s="4">
        <f t="shared" ca="1" si="21"/>
        <v>0</v>
      </c>
      <c r="AF278" s="3" t="s">
        <v>1022</v>
      </c>
    </row>
    <row r="279" spans="1:32" ht="11.25" customHeight="1" x14ac:dyDescent="0.25">
      <c r="A279" s="3" t="s">
        <v>21</v>
      </c>
      <c r="B279" s="3" t="s">
        <v>41</v>
      </c>
      <c r="C279" s="3" t="s">
        <v>42</v>
      </c>
      <c r="D279" s="3" t="s">
        <v>38</v>
      </c>
      <c r="E279" s="3" t="s">
        <v>25</v>
      </c>
      <c r="F279" s="3" t="s">
        <v>60</v>
      </c>
      <c r="G279" s="3" t="s">
        <v>25</v>
      </c>
      <c r="H279" s="3" t="s">
        <v>35</v>
      </c>
      <c r="I279" s="6">
        <v>44440</v>
      </c>
      <c r="J279" s="4">
        <v>0</v>
      </c>
      <c r="K279" s="4">
        <v>0</v>
      </c>
      <c r="L279" s="4">
        <v>7134.8580000000002</v>
      </c>
      <c r="M279" s="4">
        <v>7134.8580000000002</v>
      </c>
      <c r="N279" s="4">
        <v>0</v>
      </c>
      <c r="O279" s="4">
        <v>0</v>
      </c>
      <c r="P279" s="4">
        <v>0</v>
      </c>
      <c r="Q279" s="3" t="s">
        <v>57</v>
      </c>
      <c r="R279" s="3">
        <v>0</v>
      </c>
      <c r="S279" s="3">
        <v>0</v>
      </c>
      <c r="T279" s="3">
        <v>21</v>
      </c>
      <c r="U279" s="3">
        <v>0</v>
      </c>
      <c r="V279" s="4">
        <f>IF(ISERROR(VLOOKUP($S$279,'TAR FIN'!$A$1:$O$113,15,0)),0,VLOOKUP($S$279,'TAR FIN'!$A$1:$O$113,15,0))</f>
        <v>0</v>
      </c>
      <c r="W279" s="4">
        <f>IF(ISERROR(VLOOKUP($T$279,'TAR FIN'!$A$1:$O$113,15,0)),0,VLOOKUP($T$279,'TAR FIN'!$A$1:$O$113,15,0))</f>
        <v>51.27</v>
      </c>
      <c r="X279" s="4">
        <f>IF(ISERROR(VLOOKUP($U$279,'TAR FIN'!$A$1:$O$113,15,0)),0,VLOOKUP($U$279,'TAR FIN'!$A$1:$O$113,15,0))</f>
        <v>0</v>
      </c>
      <c r="Y279" s="4"/>
      <c r="Z279" s="4">
        <f ca="1">('TUSD BE'!$AM$32+'TUSD BF'!$AM$32+'TUSD CVA'!$AM$32)*1</f>
        <v>65.007409626508434</v>
      </c>
      <c r="AA279" s="4"/>
      <c r="AB279" s="4">
        <f t="shared" si="18"/>
        <v>0</v>
      </c>
      <c r="AC279" s="4">
        <f t="shared" si="19"/>
        <v>0</v>
      </c>
      <c r="AD279" s="4">
        <f t="shared" si="20"/>
        <v>0</v>
      </c>
      <c r="AE279" s="4">
        <f t="shared" ca="1" si="21"/>
        <v>0</v>
      </c>
      <c r="AF279" s="3" t="s">
        <v>1022</v>
      </c>
    </row>
    <row r="280" spans="1:32" ht="11.25" customHeight="1" x14ac:dyDescent="0.25">
      <c r="A280" s="3" t="s">
        <v>21</v>
      </c>
      <c r="B280" s="3" t="s">
        <v>41</v>
      </c>
      <c r="C280" s="3" t="s">
        <v>42</v>
      </c>
      <c r="D280" s="3" t="s">
        <v>38</v>
      </c>
      <c r="E280" s="3" t="s">
        <v>25</v>
      </c>
      <c r="F280" s="3" t="s">
        <v>60</v>
      </c>
      <c r="G280" s="3" t="s">
        <v>25</v>
      </c>
      <c r="H280" s="3" t="s">
        <v>35</v>
      </c>
      <c r="I280" s="6">
        <v>44470</v>
      </c>
      <c r="J280" s="4">
        <v>0</v>
      </c>
      <c r="K280" s="4">
        <v>0</v>
      </c>
      <c r="L280" s="4">
        <v>7308.808</v>
      </c>
      <c r="M280" s="4">
        <v>7308.808</v>
      </c>
      <c r="N280" s="4">
        <v>0</v>
      </c>
      <c r="O280" s="4">
        <v>0</v>
      </c>
      <c r="P280" s="4">
        <v>0</v>
      </c>
      <c r="Q280" s="3" t="s">
        <v>57</v>
      </c>
      <c r="R280" s="3">
        <v>0</v>
      </c>
      <c r="S280" s="3">
        <v>0</v>
      </c>
      <c r="T280" s="3">
        <v>21</v>
      </c>
      <c r="U280" s="3">
        <v>0</v>
      </c>
      <c r="V280" s="4">
        <f>IF(ISERROR(VLOOKUP($S$280,'TAR FIN'!$A$1:$O$113,15,0)),0,VLOOKUP($S$280,'TAR FIN'!$A$1:$O$113,15,0))</f>
        <v>0</v>
      </c>
      <c r="W280" s="4">
        <f>IF(ISERROR(VLOOKUP($T$280,'TAR FIN'!$A$1:$O$113,15,0)),0,VLOOKUP($T$280,'TAR FIN'!$A$1:$O$113,15,0))</f>
        <v>51.27</v>
      </c>
      <c r="X280" s="4">
        <f>IF(ISERROR(VLOOKUP($U$280,'TAR FIN'!$A$1:$O$113,15,0)),0,VLOOKUP($U$280,'TAR FIN'!$A$1:$O$113,15,0))</f>
        <v>0</v>
      </c>
      <c r="Y280" s="4"/>
      <c r="Z280" s="4">
        <f ca="1">('TUSD BE'!$AM$32+'TUSD BF'!$AM$32+'TUSD CVA'!$AM$32)*1</f>
        <v>65.007409626508434</v>
      </c>
      <c r="AA280" s="4"/>
      <c r="AB280" s="4">
        <f t="shared" si="18"/>
        <v>0</v>
      </c>
      <c r="AC280" s="4">
        <f t="shared" si="19"/>
        <v>0</v>
      </c>
      <c r="AD280" s="4">
        <f t="shared" si="20"/>
        <v>0</v>
      </c>
      <c r="AE280" s="4">
        <f t="shared" ca="1" si="21"/>
        <v>0</v>
      </c>
      <c r="AF280" s="3" t="s">
        <v>1022</v>
      </c>
    </row>
    <row r="281" spans="1:32" ht="11.25" customHeight="1" x14ac:dyDescent="0.25">
      <c r="A281" s="3" t="s">
        <v>21</v>
      </c>
      <c r="B281" s="3" t="s">
        <v>41</v>
      </c>
      <c r="C281" s="3" t="s">
        <v>42</v>
      </c>
      <c r="D281" s="3" t="s">
        <v>38</v>
      </c>
      <c r="E281" s="3" t="s">
        <v>25</v>
      </c>
      <c r="F281" s="3" t="s">
        <v>60</v>
      </c>
      <c r="G281" s="3" t="s">
        <v>25</v>
      </c>
      <c r="H281" s="3" t="s">
        <v>35</v>
      </c>
      <c r="I281" s="6">
        <v>44501</v>
      </c>
      <c r="J281" s="4">
        <v>0</v>
      </c>
      <c r="K281" s="4">
        <v>0</v>
      </c>
      <c r="L281" s="4">
        <v>8182.6310000000003</v>
      </c>
      <c r="M281" s="4">
        <v>8182.6310000000003</v>
      </c>
      <c r="N281" s="4">
        <v>0</v>
      </c>
      <c r="O281" s="4">
        <v>0</v>
      </c>
      <c r="P281" s="4">
        <v>0</v>
      </c>
      <c r="Q281" s="3" t="s">
        <v>57</v>
      </c>
      <c r="R281" s="3">
        <v>0</v>
      </c>
      <c r="S281" s="3">
        <v>0</v>
      </c>
      <c r="T281" s="3">
        <v>21</v>
      </c>
      <c r="U281" s="3">
        <v>0</v>
      </c>
      <c r="V281" s="4">
        <f>IF(ISERROR(VLOOKUP($S$281,'TAR FIN'!$A$1:$O$113,15,0)),0,VLOOKUP($S$281,'TAR FIN'!$A$1:$O$113,15,0))</f>
        <v>0</v>
      </c>
      <c r="W281" s="4">
        <f>IF(ISERROR(VLOOKUP($T$281,'TAR FIN'!$A$1:$O$113,15,0)),0,VLOOKUP($T$281,'TAR FIN'!$A$1:$O$113,15,0))</f>
        <v>51.27</v>
      </c>
      <c r="X281" s="4">
        <f>IF(ISERROR(VLOOKUP($U$281,'TAR FIN'!$A$1:$O$113,15,0)),0,VLOOKUP($U$281,'TAR FIN'!$A$1:$O$113,15,0))</f>
        <v>0</v>
      </c>
      <c r="Y281" s="4"/>
      <c r="Z281" s="4">
        <f ca="1">('TUSD BE'!$AM$32+'TUSD BF'!$AM$32+'TUSD CVA'!$AM$32)*1</f>
        <v>65.007409626508434</v>
      </c>
      <c r="AA281" s="4"/>
      <c r="AB281" s="4">
        <f t="shared" si="18"/>
        <v>0</v>
      </c>
      <c r="AC281" s="4">
        <f t="shared" si="19"/>
        <v>0</v>
      </c>
      <c r="AD281" s="4">
        <f t="shared" si="20"/>
        <v>0</v>
      </c>
      <c r="AE281" s="4">
        <f t="shared" ca="1" si="21"/>
        <v>0</v>
      </c>
      <c r="AF281" s="3" t="s">
        <v>1022</v>
      </c>
    </row>
    <row r="282" spans="1:32" ht="11.25" customHeight="1" x14ac:dyDescent="0.25">
      <c r="A282" s="3" t="s">
        <v>21</v>
      </c>
      <c r="B282" s="3" t="s">
        <v>41</v>
      </c>
      <c r="C282" s="3" t="s">
        <v>42</v>
      </c>
      <c r="D282" s="3" t="s">
        <v>38</v>
      </c>
      <c r="E282" s="3" t="s">
        <v>25</v>
      </c>
      <c r="F282" s="3" t="s">
        <v>60</v>
      </c>
      <c r="G282" s="3" t="s">
        <v>25</v>
      </c>
      <c r="H282" s="3" t="s">
        <v>35</v>
      </c>
      <c r="I282" s="6">
        <v>44531</v>
      </c>
      <c r="J282" s="4">
        <v>0</v>
      </c>
      <c r="K282" s="4">
        <v>0</v>
      </c>
      <c r="L282" s="4">
        <v>7914.6170000000002</v>
      </c>
      <c r="M282" s="4">
        <v>7914.6170000000002</v>
      </c>
      <c r="N282" s="4">
        <v>0</v>
      </c>
      <c r="O282" s="4">
        <v>0</v>
      </c>
      <c r="P282" s="4">
        <v>0</v>
      </c>
      <c r="Q282" s="3" t="s">
        <v>57</v>
      </c>
      <c r="R282" s="3">
        <v>0</v>
      </c>
      <c r="S282" s="3">
        <v>0</v>
      </c>
      <c r="T282" s="3">
        <v>21</v>
      </c>
      <c r="U282" s="3">
        <v>0</v>
      </c>
      <c r="V282" s="4">
        <f>IF(ISERROR(VLOOKUP($S$282,'TAR FIN'!$A$1:$O$113,15,0)),0,VLOOKUP($S$282,'TAR FIN'!$A$1:$O$113,15,0))</f>
        <v>0</v>
      </c>
      <c r="W282" s="4">
        <f>IF(ISERROR(VLOOKUP($T$282,'TAR FIN'!$A$1:$O$113,15,0)),0,VLOOKUP($T$282,'TAR FIN'!$A$1:$O$113,15,0))</f>
        <v>51.27</v>
      </c>
      <c r="X282" s="4">
        <f>IF(ISERROR(VLOOKUP($U$282,'TAR FIN'!$A$1:$O$113,15,0)),0,VLOOKUP($U$282,'TAR FIN'!$A$1:$O$113,15,0))</f>
        <v>0</v>
      </c>
      <c r="Y282" s="4"/>
      <c r="Z282" s="4">
        <f ca="1">('TUSD BE'!$AM$32+'TUSD BF'!$AM$32+'TUSD CVA'!$AM$32)*1</f>
        <v>65.007409626508434</v>
      </c>
      <c r="AA282" s="4"/>
      <c r="AB282" s="4">
        <f t="shared" si="18"/>
        <v>0</v>
      </c>
      <c r="AC282" s="4">
        <f t="shared" si="19"/>
        <v>0</v>
      </c>
      <c r="AD282" s="4">
        <f t="shared" si="20"/>
        <v>0</v>
      </c>
      <c r="AE282" s="4">
        <f t="shared" ca="1" si="21"/>
        <v>0</v>
      </c>
      <c r="AF282" s="3" t="s">
        <v>1022</v>
      </c>
    </row>
    <row r="283" spans="1:32" ht="11.25" customHeight="1" x14ac:dyDescent="0.25">
      <c r="A283" s="3" t="s">
        <v>21</v>
      </c>
      <c r="B283" s="3" t="s">
        <v>41</v>
      </c>
      <c r="C283" s="3" t="s">
        <v>42</v>
      </c>
      <c r="D283" s="3" t="s">
        <v>38</v>
      </c>
      <c r="E283" s="3" t="s">
        <v>25</v>
      </c>
      <c r="F283" s="3" t="s">
        <v>60</v>
      </c>
      <c r="G283" s="3" t="s">
        <v>25</v>
      </c>
      <c r="H283" s="3" t="s">
        <v>35</v>
      </c>
      <c r="I283" s="6">
        <v>44562</v>
      </c>
      <c r="J283" s="4">
        <v>0</v>
      </c>
      <c r="K283" s="4">
        <v>0</v>
      </c>
      <c r="L283" s="4">
        <v>8449.2540000000008</v>
      </c>
      <c r="M283" s="4">
        <v>8449.2540000000008</v>
      </c>
      <c r="N283" s="4">
        <v>0</v>
      </c>
      <c r="O283" s="4">
        <v>0</v>
      </c>
      <c r="P283" s="4">
        <v>0</v>
      </c>
      <c r="Q283" s="3" t="s">
        <v>57</v>
      </c>
      <c r="R283" s="3">
        <v>0</v>
      </c>
      <c r="S283" s="3">
        <v>0</v>
      </c>
      <c r="T283" s="3">
        <v>21</v>
      </c>
      <c r="U283" s="3">
        <v>0</v>
      </c>
      <c r="V283" s="4">
        <f>IF(ISERROR(VLOOKUP($S$283,'TAR FIN'!$A$1:$O$113,15,0)),0,VLOOKUP($S$283,'TAR FIN'!$A$1:$O$113,15,0))</f>
        <v>0</v>
      </c>
      <c r="W283" s="4">
        <f>IF(ISERROR(VLOOKUP($T$283,'TAR FIN'!$A$1:$O$113,15,0)),0,VLOOKUP($T$283,'TAR FIN'!$A$1:$O$113,15,0))</f>
        <v>51.27</v>
      </c>
      <c r="X283" s="4">
        <f>IF(ISERROR(VLOOKUP($U$283,'TAR FIN'!$A$1:$O$113,15,0)),0,VLOOKUP($U$283,'TAR FIN'!$A$1:$O$113,15,0))</f>
        <v>0</v>
      </c>
      <c r="Y283" s="4"/>
      <c r="Z283" s="4">
        <f ca="1">('TUSD BE'!$AM$32+'TUSD BF'!$AM$32+'TUSD CVA'!$AM$32)*1</f>
        <v>65.007409626508434</v>
      </c>
      <c r="AA283" s="4"/>
      <c r="AB283" s="4">
        <f t="shared" si="18"/>
        <v>0</v>
      </c>
      <c r="AC283" s="4">
        <f t="shared" si="19"/>
        <v>0</v>
      </c>
      <c r="AD283" s="4">
        <f t="shared" si="20"/>
        <v>0</v>
      </c>
      <c r="AE283" s="4">
        <f t="shared" ca="1" si="21"/>
        <v>0</v>
      </c>
      <c r="AF283" s="3" t="s">
        <v>1022</v>
      </c>
    </row>
    <row r="284" spans="1:32" ht="11.25" customHeight="1" x14ac:dyDescent="0.25">
      <c r="A284" s="3" t="s">
        <v>21</v>
      </c>
      <c r="B284" s="3" t="s">
        <v>41</v>
      </c>
      <c r="C284" s="3" t="s">
        <v>42</v>
      </c>
      <c r="D284" s="3" t="s">
        <v>38</v>
      </c>
      <c r="E284" s="3" t="s">
        <v>25</v>
      </c>
      <c r="F284" s="3" t="s">
        <v>60</v>
      </c>
      <c r="G284" s="3" t="s">
        <v>25</v>
      </c>
      <c r="H284" s="3" t="s">
        <v>35</v>
      </c>
      <c r="I284" s="6">
        <v>44593</v>
      </c>
      <c r="J284" s="4">
        <v>0</v>
      </c>
      <c r="K284" s="4">
        <v>0</v>
      </c>
      <c r="L284" s="4">
        <v>8613.9060000000009</v>
      </c>
      <c r="M284" s="4">
        <v>8613.9060000000009</v>
      </c>
      <c r="N284" s="4">
        <v>0</v>
      </c>
      <c r="O284" s="4">
        <v>0</v>
      </c>
      <c r="P284" s="4">
        <v>0</v>
      </c>
      <c r="Q284" s="3" t="s">
        <v>57</v>
      </c>
      <c r="R284" s="3">
        <v>0</v>
      </c>
      <c r="S284" s="3">
        <v>0</v>
      </c>
      <c r="T284" s="3">
        <v>21</v>
      </c>
      <c r="U284" s="3">
        <v>0</v>
      </c>
      <c r="V284" s="4">
        <f>IF(ISERROR(VLOOKUP($S$284,'TAR FIN'!$A$1:$O$113,15,0)),0,VLOOKUP($S$284,'TAR FIN'!$A$1:$O$113,15,0))</f>
        <v>0</v>
      </c>
      <c r="W284" s="4">
        <f>IF(ISERROR(VLOOKUP($T$284,'TAR FIN'!$A$1:$O$113,15,0)),0,VLOOKUP($T$284,'TAR FIN'!$A$1:$O$113,15,0))</f>
        <v>51.27</v>
      </c>
      <c r="X284" s="4">
        <f>IF(ISERROR(VLOOKUP($U$284,'TAR FIN'!$A$1:$O$113,15,0)),0,VLOOKUP($U$284,'TAR FIN'!$A$1:$O$113,15,0))</f>
        <v>0</v>
      </c>
      <c r="Y284" s="4"/>
      <c r="Z284" s="4">
        <f ca="1">('TUSD BE'!$AM$32+'TUSD BF'!$AM$32+'TUSD CVA'!$AM$32)*1</f>
        <v>65.007409626508434</v>
      </c>
      <c r="AA284" s="4"/>
      <c r="AB284" s="4">
        <f t="shared" si="18"/>
        <v>0</v>
      </c>
      <c r="AC284" s="4">
        <f t="shared" si="19"/>
        <v>0</v>
      </c>
      <c r="AD284" s="4">
        <f t="shared" si="20"/>
        <v>0</v>
      </c>
      <c r="AE284" s="4">
        <f t="shared" ca="1" si="21"/>
        <v>0</v>
      </c>
      <c r="AF284" s="3" t="s">
        <v>1022</v>
      </c>
    </row>
    <row r="285" spans="1:32" ht="11.25" customHeight="1" x14ac:dyDescent="0.25">
      <c r="A285" s="3" t="s">
        <v>56</v>
      </c>
      <c r="B285" s="3" t="s">
        <v>41</v>
      </c>
      <c r="C285" s="3" t="s">
        <v>42</v>
      </c>
      <c r="D285" s="3" t="s">
        <v>38</v>
      </c>
      <c r="E285" s="3" t="s">
        <v>25</v>
      </c>
      <c r="F285" s="3" t="s">
        <v>60</v>
      </c>
      <c r="G285" s="3" t="s">
        <v>25</v>
      </c>
      <c r="H285" s="3" t="s">
        <v>35</v>
      </c>
      <c r="I285" s="6">
        <v>44621</v>
      </c>
      <c r="J285" s="4">
        <v>0</v>
      </c>
      <c r="K285" s="4">
        <v>0</v>
      </c>
      <c r="L285" s="4">
        <v>8613.9060000000009</v>
      </c>
      <c r="M285" s="4">
        <v>8613.9060000000009</v>
      </c>
      <c r="N285" s="4">
        <v>0</v>
      </c>
      <c r="O285" s="4">
        <v>0</v>
      </c>
      <c r="P285" s="4">
        <v>0</v>
      </c>
      <c r="Q285" s="3" t="s">
        <v>57</v>
      </c>
      <c r="R285" s="3">
        <v>0</v>
      </c>
      <c r="S285" s="3">
        <v>0</v>
      </c>
      <c r="T285" s="3">
        <v>21</v>
      </c>
      <c r="U285" s="3">
        <v>0</v>
      </c>
      <c r="V285" s="4">
        <f>IF(ISERROR(VLOOKUP($S$285,'TAR FIN'!$A$1:$O$113,15,0)),0,VLOOKUP($S$285,'TAR FIN'!$A$1:$O$113,15,0))</f>
        <v>0</v>
      </c>
      <c r="W285" s="4">
        <f>IF(ISERROR(VLOOKUP($T$285,'TAR FIN'!$A$1:$O$113,15,0)),0,VLOOKUP($T$285,'TAR FIN'!$A$1:$O$113,15,0))</f>
        <v>51.27</v>
      </c>
      <c r="X285" s="4">
        <f>IF(ISERROR(VLOOKUP($U$285,'TAR FIN'!$A$1:$O$113,15,0)),0,VLOOKUP($U$285,'TAR FIN'!$A$1:$O$113,15,0))</f>
        <v>0</v>
      </c>
      <c r="Y285" s="4"/>
      <c r="Z285" s="4">
        <f ca="1">('TUSD BE'!$AM$32+'TUSD BF'!$AM$32+'TUSD CVA'!$AM$32)*1</f>
        <v>65.007409626508434</v>
      </c>
      <c r="AA285" s="4"/>
      <c r="AB285" s="4">
        <f t="shared" si="18"/>
        <v>0</v>
      </c>
      <c r="AC285" s="4">
        <f t="shared" si="19"/>
        <v>0</v>
      </c>
      <c r="AD285" s="4">
        <f t="shared" si="20"/>
        <v>0</v>
      </c>
      <c r="AE285" s="4">
        <f t="shared" ca="1" si="21"/>
        <v>0</v>
      </c>
      <c r="AF285" s="3" t="s">
        <v>1022</v>
      </c>
    </row>
    <row r="286" spans="1:32" ht="11.25" customHeight="1" x14ac:dyDescent="0.25">
      <c r="A286" s="3" t="s">
        <v>21</v>
      </c>
      <c r="B286" s="3" t="s">
        <v>41</v>
      </c>
      <c r="C286" s="3" t="s">
        <v>42</v>
      </c>
      <c r="D286" s="3" t="s">
        <v>38</v>
      </c>
      <c r="E286" s="3" t="s">
        <v>25</v>
      </c>
      <c r="F286" s="3" t="s">
        <v>60</v>
      </c>
      <c r="G286" s="3" t="s">
        <v>25</v>
      </c>
      <c r="H286" s="3" t="s">
        <v>25</v>
      </c>
      <c r="I286" s="6">
        <v>44287</v>
      </c>
      <c r="J286" s="4">
        <v>23269</v>
      </c>
      <c r="K286" s="4">
        <v>10642.111355429999</v>
      </c>
      <c r="L286" s="4">
        <v>0</v>
      </c>
      <c r="M286" s="4">
        <v>0</v>
      </c>
      <c r="N286" s="4">
        <v>0</v>
      </c>
      <c r="O286" s="4">
        <v>0</v>
      </c>
      <c r="P286" s="4">
        <v>42</v>
      </c>
      <c r="Q286" s="3" t="s">
        <v>57</v>
      </c>
      <c r="R286" s="3">
        <v>0</v>
      </c>
      <c r="S286" s="3">
        <v>44</v>
      </c>
      <c r="T286" s="3">
        <v>0</v>
      </c>
      <c r="U286" s="3">
        <v>0</v>
      </c>
      <c r="V286" s="4">
        <f>IF(ISERROR(VLOOKUP($S$286,'TAR FIN'!$A$1:$O$113,15,0)),0,VLOOKUP($S$286,'TAR FIN'!$A$1:$O$113,15,0))</f>
        <v>24.31</v>
      </c>
      <c r="W286" s="4">
        <f>IF(ISERROR(VLOOKUP($T$286,'TAR FIN'!$A$1:$O$113,15,0)),0,VLOOKUP($T$286,'TAR FIN'!$A$1:$O$113,15,0))</f>
        <v>0</v>
      </c>
      <c r="X286" s="4">
        <f>IF(ISERROR(VLOOKUP($U$286,'TAR FIN'!$A$1:$O$113,15,0)),0,VLOOKUP($U$286,'TAR FIN'!$A$1:$O$113,15,0))</f>
        <v>0</v>
      </c>
      <c r="Y286" s="4">
        <f ca="1">('TUSD BE'!$AM$30+'TUSD BF'!$AM$30+'TUSD CVA'!$AM$30)*1</f>
        <v>26.598074646640526</v>
      </c>
      <c r="Z286" s="4"/>
      <c r="AA286" s="4"/>
      <c r="AB286" s="4">
        <f t="shared" si="18"/>
        <v>306959.66294949671</v>
      </c>
      <c r="AC286" s="4">
        <f t="shared" si="19"/>
        <v>0</v>
      </c>
      <c r="AD286" s="4">
        <f t="shared" ca="1" si="20"/>
        <v>335850.92672309052</v>
      </c>
      <c r="AE286" s="4">
        <f t="shared" si="21"/>
        <v>0</v>
      </c>
      <c r="AF286" s="3" t="s">
        <v>1022</v>
      </c>
    </row>
    <row r="287" spans="1:32" ht="11.25" customHeight="1" x14ac:dyDescent="0.25">
      <c r="A287" s="3" t="s">
        <v>21</v>
      </c>
      <c r="B287" s="3" t="s">
        <v>41</v>
      </c>
      <c r="C287" s="3" t="s">
        <v>42</v>
      </c>
      <c r="D287" s="3" t="s">
        <v>38</v>
      </c>
      <c r="E287" s="3" t="s">
        <v>25</v>
      </c>
      <c r="F287" s="3" t="s">
        <v>60</v>
      </c>
      <c r="G287" s="3" t="s">
        <v>25</v>
      </c>
      <c r="H287" s="3" t="s">
        <v>25</v>
      </c>
      <c r="I287" s="6">
        <v>44317</v>
      </c>
      <c r="J287" s="4">
        <v>23235</v>
      </c>
      <c r="K287" s="4">
        <v>12628.432544400001</v>
      </c>
      <c r="L287" s="4">
        <v>0</v>
      </c>
      <c r="M287" s="4">
        <v>0</v>
      </c>
      <c r="N287" s="4">
        <v>0</v>
      </c>
      <c r="O287" s="4">
        <v>0</v>
      </c>
      <c r="P287" s="4">
        <v>43</v>
      </c>
      <c r="Q287" s="3" t="s">
        <v>57</v>
      </c>
      <c r="R287" s="3">
        <v>0</v>
      </c>
      <c r="S287" s="3">
        <v>44</v>
      </c>
      <c r="T287" s="3">
        <v>0</v>
      </c>
      <c r="U287" s="3">
        <v>0</v>
      </c>
      <c r="V287" s="4">
        <f>IF(ISERROR(VLOOKUP($S$287,'TAR FIN'!$A$1:$O$113,15,0)),0,VLOOKUP($S$287,'TAR FIN'!$A$1:$O$113,15,0))</f>
        <v>24.31</v>
      </c>
      <c r="W287" s="4">
        <f>IF(ISERROR(VLOOKUP($T$287,'TAR FIN'!$A$1:$O$113,15,0)),0,VLOOKUP($T$287,'TAR FIN'!$A$1:$O$113,15,0))</f>
        <v>0</v>
      </c>
      <c r="X287" s="4">
        <f>IF(ISERROR(VLOOKUP($U$287,'TAR FIN'!$A$1:$O$113,15,0)),0,VLOOKUP($U$287,'TAR FIN'!$A$1:$O$113,15,0))</f>
        <v>0</v>
      </c>
      <c r="Y287" s="4">
        <f ca="1">('TUSD BE'!$AM$30+'TUSD BF'!$AM$30+'TUSD CVA'!$AM$30)*1</f>
        <v>26.598074646640526</v>
      </c>
      <c r="Z287" s="4"/>
      <c r="AA287" s="4"/>
      <c r="AB287" s="4">
        <f t="shared" si="18"/>
        <v>257845.65484563596</v>
      </c>
      <c r="AC287" s="4">
        <f t="shared" si="19"/>
        <v>0</v>
      </c>
      <c r="AD287" s="4">
        <f t="shared" ca="1" si="20"/>
        <v>282114.27292867686</v>
      </c>
      <c r="AE287" s="4">
        <f t="shared" si="21"/>
        <v>0</v>
      </c>
      <c r="AF287" s="3" t="s">
        <v>1022</v>
      </c>
    </row>
    <row r="288" spans="1:32" ht="11.25" customHeight="1" x14ac:dyDescent="0.25">
      <c r="A288" s="3" t="s">
        <v>21</v>
      </c>
      <c r="B288" s="3" t="s">
        <v>41</v>
      </c>
      <c r="C288" s="3" t="s">
        <v>42</v>
      </c>
      <c r="D288" s="3" t="s">
        <v>38</v>
      </c>
      <c r="E288" s="3" t="s">
        <v>25</v>
      </c>
      <c r="F288" s="3" t="s">
        <v>60</v>
      </c>
      <c r="G288" s="3" t="s">
        <v>25</v>
      </c>
      <c r="H288" s="3" t="s">
        <v>25</v>
      </c>
      <c r="I288" s="6">
        <v>44348</v>
      </c>
      <c r="J288" s="4">
        <v>24006</v>
      </c>
      <c r="K288" s="4">
        <v>12884.823440759999</v>
      </c>
      <c r="L288" s="4">
        <v>0</v>
      </c>
      <c r="M288" s="4">
        <v>0</v>
      </c>
      <c r="N288" s="4">
        <v>0</v>
      </c>
      <c r="O288" s="4">
        <v>0</v>
      </c>
      <c r="P288" s="4">
        <v>45</v>
      </c>
      <c r="Q288" s="3" t="s">
        <v>57</v>
      </c>
      <c r="R288" s="3">
        <v>0</v>
      </c>
      <c r="S288" s="3">
        <v>44</v>
      </c>
      <c r="T288" s="3">
        <v>0</v>
      </c>
      <c r="U288" s="3">
        <v>0</v>
      </c>
      <c r="V288" s="4">
        <f>IF(ISERROR(VLOOKUP($S$288,'TAR FIN'!$A$1:$O$113,15,0)),0,VLOOKUP($S$288,'TAR FIN'!$A$1:$O$113,15,0))</f>
        <v>24.31</v>
      </c>
      <c r="W288" s="4">
        <f>IF(ISERROR(VLOOKUP($T$288,'TAR FIN'!$A$1:$O$113,15,0)),0,VLOOKUP($T$288,'TAR FIN'!$A$1:$O$113,15,0))</f>
        <v>0</v>
      </c>
      <c r="X288" s="4">
        <f>IF(ISERROR(VLOOKUP($U$288,'TAR FIN'!$A$1:$O$113,15,0)),0,VLOOKUP($U$288,'TAR FIN'!$A$1:$O$113,15,0))</f>
        <v>0</v>
      </c>
      <c r="Y288" s="4">
        <f ca="1">('TUSD BE'!$AM$30+'TUSD BF'!$AM$30+'TUSD CVA'!$AM$30)*1</f>
        <v>26.598074646640526</v>
      </c>
      <c r="Z288" s="4"/>
      <c r="AA288" s="4"/>
      <c r="AB288" s="4">
        <f t="shared" si="18"/>
        <v>270355.80215512437</v>
      </c>
      <c r="AC288" s="4">
        <f t="shared" si="19"/>
        <v>0</v>
      </c>
      <c r="AD288" s="4">
        <f t="shared" ca="1" si="20"/>
        <v>295801.88428113441</v>
      </c>
      <c r="AE288" s="4">
        <f t="shared" si="21"/>
        <v>0</v>
      </c>
      <c r="AF288" s="3" t="s">
        <v>1022</v>
      </c>
    </row>
    <row r="289" spans="1:32" ht="11.25" customHeight="1" x14ac:dyDescent="0.25">
      <c r="A289" s="3" t="s">
        <v>21</v>
      </c>
      <c r="B289" s="3" t="s">
        <v>41</v>
      </c>
      <c r="C289" s="3" t="s">
        <v>42</v>
      </c>
      <c r="D289" s="3" t="s">
        <v>38</v>
      </c>
      <c r="E289" s="3" t="s">
        <v>25</v>
      </c>
      <c r="F289" s="3" t="s">
        <v>60</v>
      </c>
      <c r="G289" s="3" t="s">
        <v>25</v>
      </c>
      <c r="H289" s="3" t="s">
        <v>25</v>
      </c>
      <c r="I289" s="6">
        <v>44378</v>
      </c>
      <c r="J289" s="4">
        <v>24430</v>
      </c>
      <c r="K289" s="4">
        <v>11263.2457994</v>
      </c>
      <c r="L289" s="4">
        <v>0</v>
      </c>
      <c r="M289" s="4">
        <v>0</v>
      </c>
      <c r="N289" s="4">
        <v>0</v>
      </c>
      <c r="O289" s="4">
        <v>0</v>
      </c>
      <c r="P289" s="4">
        <v>48</v>
      </c>
      <c r="Q289" s="3" t="s">
        <v>57</v>
      </c>
      <c r="R289" s="3">
        <v>0</v>
      </c>
      <c r="S289" s="3">
        <v>44</v>
      </c>
      <c r="T289" s="3">
        <v>0</v>
      </c>
      <c r="U289" s="3">
        <v>0</v>
      </c>
      <c r="V289" s="4">
        <f>IF(ISERROR(VLOOKUP($S$289,'TAR FIN'!$A$1:$O$113,15,0)),0,VLOOKUP($S$289,'TAR FIN'!$A$1:$O$113,15,0))</f>
        <v>24.31</v>
      </c>
      <c r="W289" s="4">
        <f>IF(ISERROR(VLOOKUP($T$289,'TAR FIN'!$A$1:$O$113,15,0)),0,VLOOKUP($T$289,'TAR FIN'!$A$1:$O$113,15,0))</f>
        <v>0</v>
      </c>
      <c r="X289" s="4">
        <f>IF(ISERROR(VLOOKUP($U$289,'TAR FIN'!$A$1:$O$113,15,0)),0,VLOOKUP($U$289,'TAR FIN'!$A$1:$O$113,15,0))</f>
        <v>0</v>
      </c>
      <c r="Y289" s="4">
        <f ca="1">('TUSD BE'!$AM$30+'TUSD BF'!$AM$30+'TUSD CVA'!$AM$30)*1</f>
        <v>26.598074646640526</v>
      </c>
      <c r="Z289" s="4"/>
      <c r="AA289" s="4"/>
      <c r="AB289" s="4">
        <f t="shared" si="18"/>
        <v>320083.794616586</v>
      </c>
      <c r="AC289" s="4">
        <f t="shared" si="19"/>
        <v>0</v>
      </c>
      <c r="AD289" s="4">
        <f t="shared" ca="1" si="20"/>
        <v>350210.31108152651</v>
      </c>
      <c r="AE289" s="4">
        <f t="shared" si="21"/>
        <v>0</v>
      </c>
      <c r="AF289" s="3" t="s">
        <v>1022</v>
      </c>
    </row>
    <row r="290" spans="1:32" ht="11.25" customHeight="1" x14ac:dyDescent="0.25">
      <c r="A290" s="3" t="s">
        <v>21</v>
      </c>
      <c r="B290" s="3" t="s">
        <v>41</v>
      </c>
      <c r="C290" s="3" t="s">
        <v>42</v>
      </c>
      <c r="D290" s="3" t="s">
        <v>38</v>
      </c>
      <c r="E290" s="3" t="s">
        <v>25</v>
      </c>
      <c r="F290" s="3" t="s">
        <v>60</v>
      </c>
      <c r="G290" s="3" t="s">
        <v>25</v>
      </c>
      <c r="H290" s="3" t="s">
        <v>25</v>
      </c>
      <c r="I290" s="6">
        <v>44409</v>
      </c>
      <c r="J290" s="4">
        <v>22743</v>
      </c>
      <c r="K290" s="4">
        <v>10533.04655508</v>
      </c>
      <c r="L290" s="4">
        <v>0</v>
      </c>
      <c r="M290" s="4">
        <v>0</v>
      </c>
      <c r="N290" s="4">
        <v>0</v>
      </c>
      <c r="O290" s="4">
        <v>0</v>
      </c>
      <c r="P290" s="4">
        <v>45</v>
      </c>
      <c r="Q290" s="3" t="s">
        <v>57</v>
      </c>
      <c r="R290" s="3">
        <v>0</v>
      </c>
      <c r="S290" s="3">
        <v>44</v>
      </c>
      <c r="T290" s="3">
        <v>0</v>
      </c>
      <c r="U290" s="3">
        <v>0</v>
      </c>
      <c r="V290" s="4">
        <f>IF(ISERROR(VLOOKUP($S$290,'TAR FIN'!$A$1:$O$113,15,0)),0,VLOOKUP($S$290,'TAR FIN'!$A$1:$O$113,15,0))</f>
        <v>24.31</v>
      </c>
      <c r="W290" s="4">
        <f>IF(ISERROR(VLOOKUP($T$290,'TAR FIN'!$A$1:$O$113,15,0)),0,VLOOKUP($T$290,'TAR FIN'!$A$1:$O$113,15,0))</f>
        <v>0</v>
      </c>
      <c r="X290" s="4">
        <f>IF(ISERROR(VLOOKUP($U$290,'TAR FIN'!$A$1:$O$113,15,0)),0,VLOOKUP($U$290,'TAR FIN'!$A$1:$O$113,15,0))</f>
        <v>0</v>
      </c>
      <c r="Y290" s="4">
        <f ca="1">('TUSD BE'!$AM$30+'TUSD BF'!$AM$30+'TUSD CVA'!$AM$30)*1</f>
        <v>26.598074646640526</v>
      </c>
      <c r="Z290" s="4"/>
      <c r="AA290" s="4"/>
      <c r="AB290" s="4">
        <f t="shared" si="18"/>
        <v>296823.96824600518</v>
      </c>
      <c r="AC290" s="4">
        <f t="shared" si="19"/>
        <v>0</v>
      </c>
      <c r="AD290" s="4">
        <f t="shared" ca="1" si="20"/>
        <v>324761.2531599878</v>
      </c>
      <c r="AE290" s="4">
        <f t="shared" si="21"/>
        <v>0</v>
      </c>
      <c r="AF290" s="3" t="s">
        <v>1022</v>
      </c>
    </row>
    <row r="291" spans="1:32" ht="11.25" customHeight="1" x14ac:dyDescent="0.25">
      <c r="A291" s="3" t="s">
        <v>21</v>
      </c>
      <c r="B291" s="3" t="s">
        <v>41</v>
      </c>
      <c r="C291" s="3" t="s">
        <v>42</v>
      </c>
      <c r="D291" s="3" t="s">
        <v>38</v>
      </c>
      <c r="E291" s="3" t="s">
        <v>25</v>
      </c>
      <c r="F291" s="3" t="s">
        <v>60</v>
      </c>
      <c r="G291" s="3" t="s">
        <v>25</v>
      </c>
      <c r="H291" s="3" t="s">
        <v>25</v>
      </c>
      <c r="I291" s="6">
        <v>44440</v>
      </c>
      <c r="J291" s="4">
        <v>26726</v>
      </c>
      <c r="K291" s="4">
        <v>12047.426013</v>
      </c>
      <c r="L291" s="4">
        <v>0</v>
      </c>
      <c r="M291" s="4">
        <v>0</v>
      </c>
      <c r="N291" s="4">
        <v>0</v>
      </c>
      <c r="O291" s="4">
        <v>0</v>
      </c>
      <c r="P291" s="4">
        <v>51</v>
      </c>
      <c r="Q291" s="3" t="s">
        <v>57</v>
      </c>
      <c r="R291" s="3">
        <v>0</v>
      </c>
      <c r="S291" s="3">
        <v>44</v>
      </c>
      <c r="T291" s="3">
        <v>0</v>
      </c>
      <c r="U291" s="3">
        <v>0</v>
      </c>
      <c r="V291" s="4">
        <f>IF(ISERROR(VLOOKUP($S$291,'TAR FIN'!$A$1:$O$113,15,0)),0,VLOOKUP($S$291,'TAR FIN'!$A$1:$O$113,15,0))</f>
        <v>24.31</v>
      </c>
      <c r="W291" s="4">
        <f>IF(ISERROR(VLOOKUP($T$291,'TAR FIN'!$A$1:$O$113,15,0)),0,VLOOKUP($T$291,'TAR FIN'!$A$1:$O$113,15,0))</f>
        <v>0</v>
      </c>
      <c r="X291" s="4">
        <f>IF(ISERROR(VLOOKUP($U$291,'TAR FIN'!$A$1:$O$113,15,0)),0,VLOOKUP($U$291,'TAR FIN'!$A$1:$O$113,15,0))</f>
        <v>0</v>
      </c>
      <c r="Y291" s="4">
        <f ca="1">('TUSD BE'!$AM$30+'TUSD BF'!$AM$30+'TUSD CVA'!$AM$30)*1</f>
        <v>26.598074646640526</v>
      </c>
      <c r="Z291" s="4"/>
      <c r="AA291" s="4"/>
      <c r="AB291" s="4">
        <f t="shared" si="18"/>
        <v>356836.13362396997</v>
      </c>
      <c r="AC291" s="4">
        <f t="shared" si="19"/>
        <v>0</v>
      </c>
      <c r="AD291" s="4">
        <f t="shared" ca="1" si="20"/>
        <v>390421.80661246186</v>
      </c>
      <c r="AE291" s="4">
        <f t="shared" si="21"/>
        <v>0</v>
      </c>
      <c r="AF291" s="3" t="s">
        <v>1022</v>
      </c>
    </row>
    <row r="292" spans="1:32" ht="11.25" customHeight="1" x14ac:dyDescent="0.25">
      <c r="A292" s="3" t="s">
        <v>21</v>
      </c>
      <c r="B292" s="3" t="s">
        <v>41</v>
      </c>
      <c r="C292" s="3" t="s">
        <v>42</v>
      </c>
      <c r="D292" s="3" t="s">
        <v>38</v>
      </c>
      <c r="E292" s="3" t="s">
        <v>25</v>
      </c>
      <c r="F292" s="3" t="s">
        <v>60</v>
      </c>
      <c r="G292" s="3" t="s">
        <v>25</v>
      </c>
      <c r="H292" s="3" t="s">
        <v>25</v>
      </c>
      <c r="I292" s="6">
        <v>44470</v>
      </c>
      <c r="J292" s="4">
        <v>27408</v>
      </c>
      <c r="K292" s="4">
        <v>12046.95233568</v>
      </c>
      <c r="L292" s="4">
        <v>0</v>
      </c>
      <c r="M292" s="4">
        <v>0</v>
      </c>
      <c r="N292" s="4">
        <v>0</v>
      </c>
      <c r="O292" s="4">
        <v>0</v>
      </c>
      <c r="P292" s="4">
        <v>52</v>
      </c>
      <c r="Q292" s="3" t="s">
        <v>57</v>
      </c>
      <c r="R292" s="3">
        <v>0</v>
      </c>
      <c r="S292" s="3">
        <v>44</v>
      </c>
      <c r="T292" s="3">
        <v>0</v>
      </c>
      <c r="U292" s="3">
        <v>0</v>
      </c>
      <c r="V292" s="4">
        <f>IF(ISERROR(VLOOKUP($S$292,'TAR FIN'!$A$1:$O$113,15,0)),0,VLOOKUP($S$292,'TAR FIN'!$A$1:$O$113,15,0))</f>
        <v>24.31</v>
      </c>
      <c r="W292" s="4">
        <f>IF(ISERROR(VLOOKUP($T$292,'TAR FIN'!$A$1:$O$113,15,0)),0,VLOOKUP($T$292,'TAR FIN'!$A$1:$O$113,15,0))</f>
        <v>0</v>
      </c>
      <c r="X292" s="4">
        <f>IF(ISERROR(VLOOKUP($U$292,'TAR FIN'!$A$1:$O$113,15,0)),0,VLOOKUP($U$292,'TAR FIN'!$A$1:$O$113,15,0))</f>
        <v>0</v>
      </c>
      <c r="Y292" s="4">
        <f ca="1">('TUSD BE'!$AM$30+'TUSD BF'!$AM$30+'TUSD CVA'!$AM$30)*1</f>
        <v>26.598074646640526</v>
      </c>
      <c r="Z292" s="4"/>
      <c r="AA292" s="4"/>
      <c r="AB292" s="4">
        <f t="shared" si="18"/>
        <v>373427.06871961919</v>
      </c>
      <c r="AC292" s="4">
        <f t="shared" si="19"/>
        <v>0</v>
      </c>
      <c r="AD292" s="4">
        <f t="shared" ca="1" si="20"/>
        <v>408574.29242618644</v>
      </c>
      <c r="AE292" s="4">
        <f t="shared" si="21"/>
        <v>0</v>
      </c>
      <c r="AF292" s="3" t="s">
        <v>1022</v>
      </c>
    </row>
    <row r="293" spans="1:32" ht="11.25" customHeight="1" x14ac:dyDescent="0.25">
      <c r="A293" s="3" t="s">
        <v>21</v>
      </c>
      <c r="B293" s="3" t="s">
        <v>41</v>
      </c>
      <c r="C293" s="3" t="s">
        <v>42</v>
      </c>
      <c r="D293" s="3" t="s">
        <v>38</v>
      </c>
      <c r="E293" s="3" t="s">
        <v>25</v>
      </c>
      <c r="F293" s="3" t="s">
        <v>60</v>
      </c>
      <c r="G293" s="3" t="s">
        <v>25</v>
      </c>
      <c r="H293" s="3" t="s">
        <v>25</v>
      </c>
      <c r="I293" s="6">
        <v>44501</v>
      </c>
      <c r="J293" s="4">
        <v>28700</v>
      </c>
      <c r="K293" s="4">
        <v>13059.603228</v>
      </c>
      <c r="L293" s="4">
        <v>0</v>
      </c>
      <c r="M293" s="4">
        <v>0</v>
      </c>
      <c r="N293" s="4">
        <v>0</v>
      </c>
      <c r="O293" s="4">
        <v>0</v>
      </c>
      <c r="P293" s="4">
        <v>54</v>
      </c>
      <c r="Q293" s="3" t="s">
        <v>57</v>
      </c>
      <c r="R293" s="3">
        <v>0</v>
      </c>
      <c r="S293" s="3">
        <v>44</v>
      </c>
      <c r="T293" s="3">
        <v>0</v>
      </c>
      <c r="U293" s="3">
        <v>0</v>
      </c>
      <c r="V293" s="4">
        <f>IF(ISERROR(VLOOKUP($S$293,'TAR FIN'!$A$1:$O$113,15,0)),0,VLOOKUP($S$293,'TAR FIN'!$A$1:$O$113,15,0))</f>
        <v>24.31</v>
      </c>
      <c r="W293" s="4">
        <f>IF(ISERROR(VLOOKUP($T$293,'TAR FIN'!$A$1:$O$113,15,0)),0,VLOOKUP($T$293,'TAR FIN'!$A$1:$O$113,15,0))</f>
        <v>0</v>
      </c>
      <c r="X293" s="4">
        <f>IF(ISERROR(VLOOKUP($U$293,'TAR FIN'!$A$1:$O$113,15,0)),0,VLOOKUP($U$293,'TAR FIN'!$A$1:$O$113,15,0))</f>
        <v>0</v>
      </c>
      <c r="Y293" s="4">
        <f ca="1">('TUSD BE'!$AM$30+'TUSD BF'!$AM$30+'TUSD CVA'!$AM$30)*1</f>
        <v>26.598074646640526</v>
      </c>
      <c r="Z293" s="4"/>
      <c r="AA293" s="4"/>
      <c r="AB293" s="4">
        <f t="shared" si="18"/>
        <v>380218.04552732001</v>
      </c>
      <c r="AC293" s="4">
        <f t="shared" si="19"/>
        <v>0</v>
      </c>
      <c r="AD293" s="4">
        <f t="shared" ca="1" si="20"/>
        <v>416004.44084473152</v>
      </c>
      <c r="AE293" s="4">
        <f t="shared" si="21"/>
        <v>0</v>
      </c>
      <c r="AF293" s="3" t="s">
        <v>1022</v>
      </c>
    </row>
    <row r="294" spans="1:32" ht="11.25" customHeight="1" x14ac:dyDescent="0.25">
      <c r="A294" s="3" t="s">
        <v>21</v>
      </c>
      <c r="B294" s="3" t="s">
        <v>41</v>
      </c>
      <c r="C294" s="3" t="s">
        <v>42</v>
      </c>
      <c r="D294" s="3" t="s">
        <v>38</v>
      </c>
      <c r="E294" s="3" t="s">
        <v>25</v>
      </c>
      <c r="F294" s="3" t="s">
        <v>60</v>
      </c>
      <c r="G294" s="3" t="s">
        <v>25</v>
      </c>
      <c r="H294" s="3" t="s">
        <v>25</v>
      </c>
      <c r="I294" s="6">
        <v>44531</v>
      </c>
      <c r="J294" s="4">
        <v>28741</v>
      </c>
      <c r="K294" s="4">
        <v>13238.41529021</v>
      </c>
      <c r="L294" s="4">
        <v>0</v>
      </c>
      <c r="M294" s="4">
        <v>0</v>
      </c>
      <c r="N294" s="4">
        <v>0</v>
      </c>
      <c r="O294" s="4">
        <v>0</v>
      </c>
      <c r="P294" s="4">
        <v>54</v>
      </c>
      <c r="Q294" s="3" t="s">
        <v>57</v>
      </c>
      <c r="R294" s="3">
        <v>0</v>
      </c>
      <c r="S294" s="3">
        <v>44</v>
      </c>
      <c r="T294" s="3">
        <v>0</v>
      </c>
      <c r="U294" s="3">
        <v>0</v>
      </c>
      <c r="V294" s="4">
        <f>IF(ISERROR(VLOOKUP($S$294,'TAR FIN'!$A$1:$O$113,15,0)),0,VLOOKUP($S$294,'TAR FIN'!$A$1:$O$113,15,0))</f>
        <v>24.31</v>
      </c>
      <c r="W294" s="4">
        <f>IF(ISERROR(VLOOKUP($T$294,'TAR FIN'!$A$1:$O$113,15,0)),0,VLOOKUP($T$294,'TAR FIN'!$A$1:$O$113,15,0))</f>
        <v>0</v>
      </c>
      <c r="X294" s="4">
        <f>IF(ISERROR(VLOOKUP($U$294,'TAR FIN'!$A$1:$O$113,15,0)),0,VLOOKUP($U$294,'TAR FIN'!$A$1:$O$113,15,0))</f>
        <v>0</v>
      </c>
      <c r="Y294" s="4">
        <f ca="1">('TUSD BE'!$AM$30+'TUSD BF'!$AM$30+'TUSD CVA'!$AM$30)*1</f>
        <v>26.598074646640526</v>
      </c>
      <c r="Z294" s="4"/>
      <c r="AA294" s="4"/>
      <c r="AB294" s="4">
        <f t="shared" si="18"/>
        <v>376867.83429499489</v>
      </c>
      <c r="AC294" s="4">
        <f t="shared" si="19"/>
        <v>0</v>
      </c>
      <c r="AD294" s="4">
        <f t="shared" ca="1" si="20"/>
        <v>412338.90532686247</v>
      </c>
      <c r="AE294" s="4">
        <f t="shared" si="21"/>
        <v>0</v>
      </c>
      <c r="AF294" s="3" t="s">
        <v>1022</v>
      </c>
    </row>
    <row r="295" spans="1:32" ht="11.25" customHeight="1" x14ac:dyDescent="0.25">
      <c r="A295" s="3" t="s">
        <v>21</v>
      </c>
      <c r="B295" s="3" t="s">
        <v>41</v>
      </c>
      <c r="C295" s="3" t="s">
        <v>42</v>
      </c>
      <c r="D295" s="3" t="s">
        <v>38</v>
      </c>
      <c r="E295" s="3" t="s">
        <v>25</v>
      </c>
      <c r="F295" s="3" t="s">
        <v>60</v>
      </c>
      <c r="G295" s="3" t="s">
        <v>25</v>
      </c>
      <c r="H295" s="3" t="s">
        <v>25</v>
      </c>
      <c r="I295" s="6">
        <v>44562</v>
      </c>
      <c r="J295" s="4">
        <v>30936</v>
      </c>
      <c r="K295" s="4">
        <v>14142.4681932</v>
      </c>
      <c r="L295" s="4">
        <v>0</v>
      </c>
      <c r="M295" s="4">
        <v>0</v>
      </c>
      <c r="N295" s="4">
        <v>0</v>
      </c>
      <c r="O295" s="4">
        <v>0</v>
      </c>
      <c r="P295" s="4">
        <v>61</v>
      </c>
      <c r="Q295" s="3" t="s">
        <v>57</v>
      </c>
      <c r="R295" s="3">
        <v>0</v>
      </c>
      <c r="S295" s="3">
        <v>44</v>
      </c>
      <c r="T295" s="3">
        <v>0</v>
      </c>
      <c r="U295" s="3">
        <v>0</v>
      </c>
      <c r="V295" s="4">
        <f>IF(ISERROR(VLOOKUP($S$295,'TAR FIN'!$A$1:$O$113,15,0)),0,VLOOKUP($S$295,'TAR FIN'!$A$1:$O$113,15,0))</f>
        <v>24.31</v>
      </c>
      <c r="W295" s="4">
        <f>IF(ISERROR(VLOOKUP($T$295,'TAR FIN'!$A$1:$O$113,15,0)),0,VLOOKUP($T$295,'TAR FIN'!$A$1:$O$113,15,0))</f>
        <v>0</v>
      </c>
      <c r="X295" s="4">
        <f>IF(ISERROR(VLOOKUP($U$295,'TAR FIN'!$A$1:$O$113,15,0)),0,VLOOKUP($U$295,'TAR FIN'!$A$1:$O$113,15,0))</f>
        <v>0</v>
      </c>
      <c r="Y295" s="4">
        <f ca="1">('TUSD BE'!$AM$30+'TUSD BF'!$AM$30+'TUSD CVA'!$AM$30)*1</f>
        <v>26.598074646640526</v>
      </c>
      <c r="Z295" s="4"/>
      <c r="AA295" s="4"/>
      <c r="AB295" s="4">
        <f t="shared" si="18"/>
        <v>408250.7582233079</v>
      </c>
      <c r="AC295" s="4">
        <f t="shared" si="19"/>
        <v>0</v>
      </c>
      <c r="AD295" s="4">
        <f t="shared" ca="1" si="20"/>
        <v>446675.61257799831</v>
      </c>
      <c r="AE295" s="4">
        <f t="shared" si="21"/>
        <v>0</v>
      </c>
      <c r="AF295" s="3" t="s">
        <v>1022</v>
      </c>
    </row>
    <row r="296" spans="1:32" ht="11.25" customHeight="1" x14ac:dyDescent="0.25">
      <c r="A296" s="3" t="s">
        <v>21</v>
      </c>
      <c r="B296" s="3" t="s">
        <v>41</v>
      </c>
      <c r="C296" s="3" t="s">
        <v>42</v>
      </c>
      <c r="D296" s="3" t="s">
        <v>38</v>
      </c>
      <c r="E296" s="3" t="s">
        <v>25</v>
      </c>
      <c r="F296" s="3" t="s">
        <v>60</v>
      </c>
      <c r="G296" s="3" t="s">
        <v>25</v>
      </c>
      <c r="H296" s="3" t="s">
        <v>25</v>
      </c>
      <c r="I296" s="6">
        <v>44593</v>
      </c>
      <c r="J296" s="4">
        <v>31779</v>
      </c>
      <c r="K296" s="4">
        <v>14638.08270375</v>
      </c>
      <c r="L296" s="4">
        <v>0</v>
      </c>
      <c r="M296" s="4">
        <v>0</v>
      </c>
      <c r="N296" s="4">
        <v>0</v>
      </c>
      <c r="O296" s="4">
        <v>0</v>
      </c>
      <c r="P296" s="4">
        <v>69</v>
      </c>
      <c r="Q296" s="3" t="s">
        <v>57</v>
      </c>
      <c r="R296" s="3">
        <v>0</v>
      </c>
      <c r="S296" s="3">
        <v>44</v>
      </c>
      <c r="T296" s="3">
        <v>0</v>
      </c>
      <c r="U296" s="3">
        <v>0</v>
      </c>
      <c r="V296" s="4">
        <f>IF(ISERROR(VLOOKUP($S$296,'TAR FIN'!$A$1:$O$113,15,0)),0,VLOOKUP($S$296,'TAR FIN'!$A$1:$O$113,15,0))</f>
        <v>24.31</v>
      </c>
      <c r="W296" s="4">
        <f>IF(ISERROR(VLOOKUP($T$296,'TAR FIN'!$A$1:$O$113,15,0)),0,VLOOKUP($T$296,'TAR FIN'!$A$1:$O$113,15,0))</f>
        <v>0</v>
      </c>
      <c r="X296" s="4">
        <f>IF(ISERROR(VLOOKUP($U$296,'TAR FIN'!$A$1:$O$113,15,0)),0,VLOOKUP($U$296,'TAR FIN'!$A$1:$O$113,15,0))</f>
        <v>0</v>
      </c>
      <c r="Y296" s="4">
        <f ca="1">('TUSD BE'!$AM$30+'TUSD BF'!$AM$30+'TUSD CVA'!$AM$30)*1</f>
        <v>26.598074646640526</v>
      </c>
      <c r="Z296" s="4"/>
      <c r="AA296" s="4"/>
      <c r="AB296" s="4">
        <f t="shared" si="18"/>
        <v>416695.69947183749</v>
      </c>
      <c r="AC296" s="4">
        <f t="shared" si="19"/>
        <v>0</v>
      </c>
      <c r="AD296" s="4">
        <f t="shared" ca="1" si="20"/>
        <v>455915.39775754925</v>
      </c>
      <c r="AE296" s="4">
        <f t="shared" si="21"/>
        <v>0</v>
      </c>
      <c r="AF296" s="3" t="s">
        <v>1022</v>
      </c>
    </row>
    <row r="297" spans="1:32" ht="11.25" customHeight="1" x14ac:dyDescent="0.25">
      <c r="A297" s="3" t="s">
        <v>56</v>
      </c>
      <c r="B297" s="3" t="s">
        <v>41</v>
      </c>
      <c r="C297" s="3" t="s">
        <v>42</v>
      </c>
      <c r="D297" s="3" t="s">
        <v>38</v>
      </c>
      <c r="E297" s="3" t="s">
        <v>25</v>
      </c>
      <c r="F297" s="3" t="s">
        <v>60</v>
      </c>
      <c r="G297" s="3" t="s">
        <v>25</v>
      </c>
      <c r="H297" s="3" t="s">
        <v>25</v>
      </c>
      <c r="I297" s="6">
        <v>44621</v>
      </c>
      <c r="J297" s="4">
        <v>31779</v>
      </c>
      <c r="K297" s="4">
        <v>14638.08270375</v>
      </c>
      <c r="L297" s="4">
        <v>0</v>
      </c>
      <c r="M297" s="4">
        <v>0</v>
      </c>
      <c r="N297" s="4">
        <v>0</v>
      </c>
      <c r="O297" s="4">
        <v>0</v>
      </c>
      <c r="P297" s="4">
        <v>69</v>
      </c>
      <c r="Q297" s="3" t="s">
        <v>57</v>
      </c>
      <c r="R297" s="3">
        <v>0</v>
      </c>
      <c r="S297" s="3">
        <v>44</v>
      </c>
      <c r="T297" s="3">
        <v>0</v>
      </c>
      <c r="U297" s="3">
        <v>0</v>
      </c>
      <c r="V297" s="4">
        <f>IF(ISERROR(VLOOKUP($S$297,'TAR FIN'!$A$1:$O$113,15,0)),0,VLOOKUP($S$297,'TAR FIN'!$A$1:$O$113,15,0))</f>
        <v>24.31</v>
      </c>
      <c r="W297" s="4">
        <f>IF(ISERROR(VLOOKUP($T$297,'TAR FIN'!$A$1:$O$113,15,0)),0,VLOOKUP($T$297,'TAR FIN'!$A$1:$O$113,15,0))</f>
        <v>0</v>
      </c>
      <c r="X297" s="4">
        <f>IF(ISERROR(VLOOKUP($U$297,'TAR FIN'!$A$1:$O$113,15,0)),0,VLOOKUP($U$297,'TAR FIN'!$A$1:$O$113,15,0))</f>
        <v>0</v>
      </c>
      <c r="Y297" s="4">
        <f ca="1">('TUSD BE'!$AM$30+'TUSD BF'!$AM$30+'TUSD CVA'!$AM$30)*1</f>
        <v>26.598074646640526</v>
      </c>
      <c r="Z297" s="4"/>
      <c r="AA297" s="4"/>
      <c r="AB297" s="4">
        <f t="shared" si="18"/>
        <v>416695.69947183749</v>
      </c>
      <c r="AC297" s="4">
        <f t="shared" si="19"/>
        <v>0</v>
      </c>
      <c r="AD297" s="4">
        <f t="shared" ca="1" si="20"/>
        <v>455915.39775754925</v>
      </c>
      <c r="AE297" s="4">
        <f t="shared" si="21"/>
        <v>0</v>
      </c>
      <c r="AF297" s="3" t="s">
        <v>1022</v>
      </c>
    </row>
    <row r="298" spans="1:32" ht="11.25" customHeight="1" x14ac:dyDescent="0.25">
      <c r="A298" s="3" t="s">
        <v>21</v>
      </c>
      <c r="B298" s="3" t="s">
        <v>41</v>
      </c>
      <c r="C298" s="3" t="s">
        <v>42</v>
      </c>
      <c r="D298" s="3" t="s">
        <v>38</v>
      </c>
      <c r="E298" s="3" t="s">
        <v>25</v>
      </c>
      <c r="F298" s="3" t="s">
        <v>60</v>
      </c>
      <c r="G298" s="3" t="s">
        <v>25</v>
      </c>
      <c r="H298" s="3" t="s">
        <v>34</v>
      </c>
      <c r="I298" s="6">
        <v>44287</v>
      </c>
      <c r="J298" s="4">
        <v>0</v>
      </c>
      <c r="K298" s="4">
        <v>0</v>
      </c>
      <c r="L298" s="4">
        <v>580.53499999999997</v>
      </c>
      <c r="M298" s="4">
        <v>285.9499915408</v>
      </c>
      <c r="N298" s="4">
        <v>0</v>
      </c>
      <c r="O298" s="4">
        <v>0</v>
      </c>
      <c r="P298" s="4">
        <v>0</v>
      </c>
      <c r="Q298" s="3" t="s">
        <v>57</v>
      </c>
      <c r="R298" s="3">
        <v>0</v>
      </c>
      <c r="S298" s="3">
        <v>0</v>
      </c>
      <c r="T298" s="3">
        <v>20</v>
      </c>
      <c r="U298" s="3">
        <v>0</v>
      </c>
      <c r="V298" s="4">
        <f>IF(ISERROR(VLOOKUP($S$298,'TAR FIN'!$A$1:$O$113,15,0)),0,VLOOKUP($S$298,'TAR FIN'!$A$1:$O$113,15,0))</f>
        <v>0</v>
      </c>
      <c r="W298" s="4">
        <f>IF(ISERROR(VLOOKUP($T$298,'TAR FIN'!$A$1:$O$113,15,0)),0,VLOOKUP($T$298,'TAR FIN'!$A$1:$O$113,15,0))</f>
        <v>1564.59</v>
      </c>
      <c r="X298" s="4">
        <f>IF(ISERROR(VLOOKUP($U$298,'TAR FIN'!$A$1:$O$113,15,0)),0,VLOOKUP($U$298,'TAR FIN'!$A$1:$O$113,15,0))</f>
        <v>0</v>
      </c>
      <c r="Y298" s="4"/>
      <c r="Z298" s="4">
        <f ca="1">('TUSD BE'!$AM$31+'TUSD BF'!$AM$31+'TUSD CVA'!$AM$31)*1</f>
        <v>1837.8896121132304</v>
      </c>
      <c r="AA298" s="4"/>
      <c r="AB298" s="4">
        <f t="shared" si="18"/>
        <v>0</v>
      </c>
      <c r="AC298" s="4">
        <f t="shared" si="19"/>
        <v>460904.75838517968</v>
      </c>
      <c r="AD298" s="4">
        <f t="shared" si="20"/>
        <v>0</v>
      </c>
      <c r="AE298" s="4">
        <f t="shared" ca="1" si="21"/>
        <v>541414.7269314517</v>
      </c>
      <c r="AF298" s="3" t="s">
        <v>1022</v>
      </c>
    </row>
    <row r="299" spans="1:32" ht="11.25" customHeight="1" x14ac:dyDescent="0.25">
      <c r="A299" s="3" t="s">
        <v>21</v>
      </c>
      <c r="B299" s="3" t="s">
        <v>41</v>
      </c>
      <c r="C299" s="3" t="s">
        <v>42</v>
      </c>
      <c r="D299" s="3" t="s">
        <v>38</v>
      </c>
      <c r="E299" s="3" t="s">
        <v>25</v>
      </c>
      <c r="F299" s="3" t="s">
        <v>60</v>
      </c>
      <c r="G299" s="3" t="s">
        <v>25</v>
      </c>
      <c r="H299" s="3" t="s">
        <v>34</v>
      </c>
      <c r="I299" s="6">
        <v>44317</v>
      </c>
      <c r="J299" s="4">
        <v>0</v>
      </c>
      <c r="K299" s="4">
        <v>0</v>
      </c>
      <c r="L299" s="4">
        <v>489.67399999999998</v>
      </c>
      <c r="M299" s="4">
        <v>254.90256246135999</v>
      </c>
      <c r="N299" s="4">
        <v>0</v>
      </c>
      <c r="O299" s="4">
        <v>0</v>
      </c>
      <c r="P299" s="4">
        <v>0</v>
      </c>
      <c r="Q299" s="3" t="s">
        <v>57</v>
      </c>
      <c r="R299" s="3">
        <v>0</v>
      </c>
      <c r="S299" s="3">
        <v>0</v>
      </c>
      <c r="T299" s="3">
        <v>20</v>
      </c>
      <c r="U299" s="3">
        <v>0</v>
      </c>
      <c r="V299" s="4">
        <f>IF(ISERROR(VLOOKUP($S$299,'TAR FIN'!$A$1:$O$113,15,0)),0,VLOOKUP($S$299,'TAR FIN'!$A$1:$O$113,15,0))</f>
        <v>0</v>
      </c>
      <c r="W299" s="4">
        <f>IF(ISERROR(VLOOKUP($T$299,'TAR FIN'!$A$1:$O$113,15,0)),0,VLOOKUP($T$299,'TAR FIN'!$A$1:$O$113,15,0))</f>
        <v>1564.59</v>
      </c>
      <c r="X299" s="4">
        <f>IF(ISERROR(VLOOKUP($U$299,'TAR FIN'!$A$1:$O$113,15,0)),0,VLOOKUP($U$299,'TAR FIN'!$A$1:$O$113,15,0))</f>
        <v>0</v>
      </c>
      <c r="Y299" s="4"/>
      <c r="Z299" s="4">
        <f ca="1">('TUSD BE'!$AM$31+'TUSD BF'!$AM$31+'TUSD CVA'!$AM$31)*1</f>
        <v>1837.8896121132304</v>
      </c>
      <c r="AA299" s="4"/>
      <c r="AB299" s="4">
        <f t="shared" si="18"/>
        <v>0</v>
      </c>
      <c r="AC299" s="4">
        <f t="shared" si="19"/>
        <v>367321.04345858074</v>
      </c>
      <c r="AD299" s="4">
        <f t="shared" si="20"/>
        <v>0</v>
      </c>
      <c r="AE299" s="4">
        <f t="shared" ca="1" si="21"/>
        <v>431483.98627315654</v>
      </c>
      <c r="AF299" s="3" t="s">
        <v>1022</v>
      </c>
    </row>
    <row r="300" spans="1:32" ht="11.25" customHeight="1" x14ac:dyDescent="0.25">
      <c r="A300" s="3" t="s">
        <v>21</v>
      </c>
      <c r="B300" s="3" t="s">
        <v>41</v>
      </c>
      <c r="C300" s="3" t="s">
        <v>42</v>
      </c>
      <c r="D300" s="3" t="s">
        <v>38</v>
      </c>
      <c r="E300" s="3" t="s">
        <v>25</v>
      </c>
      <c r="F300" s="3" t="s">
        <v>60</v>
      </c>
      <c r="G300" s="3" t="s">
        <v>25</v>
      </c>
      <c r="H300" s="3" t="s">
        <v>34</v>
      </c>
      <c r="I300" s="6">
        <v>44348</v>
      </c>
      <c r="J300" s="4">
        <v>0</v>
      </c>
      <c r="K300" s="4">
        <v>0</v>
      </c>
      <c r="L300" s="4">
        <v>470.584</v>
      </c>
      <c r="M300" s="4">
        <v>230.80871329112</v>
      </c>
      <c r="N300" s="4">
        <v>0</v>
      </c>
      <c r="O300" s="4">
        <v>0</v>
      </c>
      <c r="P300" s="4">
        <v>0</v>
      </c>
      <c r="Q300" s="3" t="s">
        <v>57</v>
      </c>
      <c r="R300" s="3">
        <v>0</v>
      </c>
      <c r="S300" s="3">
        <v>0</v>
      </c>
      <c r="T300" s="3">
        <v>20</v>
      </c>
      <c r="U300" s="3">
        <v>0</v>
      </c>
      <c r="V300" s="4">
        <f>IF(ISERROR(VLOOKUP($S$300,'TAR FIN'!$A$1:$O$113,15,0)),0,VLOOKUP($S$300,'TAR FIN'!$A$1:$O$113,15,0))</f>
        <v>0</v>
      </c>
      <c r="W300" s="4">
        <f>IF(ISERROR(VLOOKUP($T$300,'TAR FIN'!$A$1:$O$113,15,0)),0,VLOOKUP($T$300,'TAR FIN'!$A$1:$O$113,15,0))</f>
        <v>1564.59</v>
      </c>
      <c r="X300" s="4">
        <f>IF(ISERROR(VLOOKUP($U$300,'TAR FIN'!$A$1:$O$113,15,0)),0,VLOOKUP($U$300,'TAR FIN'!$A$1:$O$113,15,0))</f>
        <v>0</v>
      </c>
      <c r="Y300" s="4"/>
      <c r="Z300" s="4">
        <f ca="1">('TUSD BE'!$AM$31+'TUSD BF'!$AM$31+'TUSD CVA'!$AM$31)*1</f>
        <v>1837.8896121132304</v>
      </c>
      <c r="AA300" s="4"/>
      <c r="AB300" s="4">
        <f t="shared" si="18"/>
        <v>0</v>
      </c>
      <c r="AC300" s="4">
        <f t="shared" si="19"/>
        <v>375150.01583184657</v>
      </c>
      <c r="AD300" s="4">
        <f t="shared" si="20"/>
        <v>0</v>
      </c>
      <c r="AE300" s="4">
        <f t="shared" ca="1" si="21"/>
        <v>440680.50868372206</v>
      </c>
      <c r="AF300" s="3" t="s">
        <v>1022</v>
      </c>
    </row>
    <row r="301" spans="1:32" ht="11.25" customHeight="1" x14ac:dyDescent="0.25">
      <c r="A301" s="3" t="s">
        <v>21</v>
      </c>
      <c r="B301" s="3" t="s">
        <v>41</v>
      </c>
      <c r="C301" s="3" t="s">
        <v>42</v>
      </c>
      <c r="D301" s="3" t="s">
        <v>38</v>
      </c>
      <c r="E301" s="3" t="s">
        <v>25</v>
      </c>
      <c r="F301" s="3" t="s">
        <v>60</v>
      </c>
      <c r="G301" s="3" t="s">
        <v>25</v>
      </c>
      <c r="H301" s="3" t="s">
        <v>34</v>
      </c>
      <c r="I301" s="6">
        <v>44378</v>
      </c>
      <c r="J301" s="4">
        <v>0</v>
      </c>
      <c r="K301" s="4">
        <v>0</v>
      </c>
      <c r="L301" s="4">
        <v>489.572</v>
      </c>
      <c r="M301" s="4">
        <v>232.17391540060001</v>
      </c>
      <c r="N301" s="4">
        <v>0</v>
      </c>
      <c r="O301" s="4">
        <v>0</v>
      </c>
      <c r="P301" s="4">
        <v>0</v>
      </c>
      <c r="Q301" s="3" t="s">
        <v>57</v>
      </c>
      <c r="R301" s="3">
        <v>0</v>
      </c>
      <c r="S301" s="3">
        <v>0</v>
      </c>
      <c r="T301" s="3">
        <v>20</v>
      </c>
      <c r="U301" s="3">
        <v>0</v>
      </c>
      <c r="V301" s="4">
        <f>IF(ISERROR(VLOOKUP($S$301,'TAR FIN'!$A$1:$O$113,15,0)),0,VLOOKUP($S$301,'TAR FIN'!$A$1:$O$113,15,0))</f>
        <v>0</v>
      </c>
      <c r="W301" s="4">
        <f>IF(ISERROR(VLOOKUP($T$301,'TAR FIN'!$A$1:$O$113,15,0)),0,VLOOKUP($T$301,'TAR FIN'!$A$1:$O$113,15,0))</f>
        <v>1564.59</v>
      </c>
      <c r="X301" s="4">
        <f>IF(ISERROR(VLOOKUP($U$301,'TAR FIN'!$A$1:$O$113,15,0)),0,VLOOKUP($U$301,'TAR FIN'!$A$1:$O$113,15,0))</f>
        <v>0</v>
      </c>
      <c r="Y301" s="4"/>
      <c r="Z301" s="4">
        <f ca="1">('TUSD BE'!$AM$31+'TUSD BF'!$AM$31+'TUSD CVA'!$AM$31)*1</f>
        <v>1837.8896121132304</v>
      </c>
      <c r="AA301" s="4"/>
      <c r="AB301" s="4">
        <f t="shared" si="18"/>
        <v>0</v>
      </c>
      <c r="AC301" s="4">
        <f t="shared" si="19"/>
        <v>402722.46918337524</v>
      </c>
      <c r="AD301" s="4">
        <f t="shared" si="20"/>
        <v>0</v>
      </c>
      <c r="AE301" s="4">
        <f t="shared" ca="1" si="21"/>
        <v>473069.26586307975</v>
      </c>
      <c r="AF301" s="3" t="s">
        <v>1022</v>
      </c>
    </row>
    <row r="302" spans="1:32" ht="11.25" customHeight="1" x14ac:dyDescent="0.25">
      <c r="A302" s="3" t="s">
        <v>21</v>
      </c>
      <c r="B302" s="3" t="s">
        <v>41</v>
      </c>
      <c r="C302" s="3" t="s">
        <v>42</v>
      </c>
      <c r="D302" s="3" t="s">
        <v>38</v>
      </c>
      <c r="E302" s="3" t="s">
        <v>25</v>
      </c>
      <c r="F302" s="3" t="s">
        <v>60</v>
      </c>
      <c r="G302" s="3" t="s">
        <v>25</v>
      </c>
      <c r="H302" s="3" t="s">
        <v>34</v>
      </c>
      <c r="I302" s="6">
        <v>44409</v>
      </c>
      <c r="J302" s="4">
        <v>0</v>
      </c>
      <c r="K302" s="4">
        <v>0</v>
      </c>
      <c r="L302" s="4">
        <v>543.85400000000004</v>
      </c>
      <c r="M302" s="4">
        <v>262.91474641913999</v>
      </c>
      <c r="N302" s="4">
        <v>0</v>
      </c>
      <c r="O302" s="4">
        <v>0</v>
      </c>
      <c r="P302" s="4">
        <v>0</v>
      </c>
      <c r="Q302" s="3" t="s">
        <v>57</v>
      </c>
      <c r="R302" s="3">
        <v>0</v>
      </c>
      <c r="S302" s="3">
        <v>0</v>
      </c>
      <c r="T302" s="3">
        <v>20</v>
      </c>
      <c r="U302" s="3">
        <v>0</v>
      </c>
      <c r="V302" s="4">
        <f>IF(ISERROR(VLOOKUP($S$302,'TAR FIN'!$A$1:$O$113,15,0)),0,VLOOKUP($S$302,'TAR FIN'!$A$1:$O$113,15,0))</f>
        <v>0</v>
      </c>
      <c r="W302" s="4">
        <f>IF(ISERROR(VLOOKUP($T$302,'TAR FIN'!$A$1:$O$113,15,0)),0,VLOOKUP($T$302,'TAR FIN'!$A$1:$O$113,15,0))</f>
        <v>1564.59</v>
      </c>
      <c r="X302" s="4">
        <f>IF(ISERROR(VLOOKUP($U$302,'TAR FIN'!$A$1:$O$113,15,0)),0,VLOOKUP($U$302,'TAR FIN'!$A$1:$O$113,15,0))</f>
        <v>0</v>
      </c>
      <c r="Y302" s="4"/>
      <c r="Z302" s="4">
        <f ca="1">('TUSD BE'!$AM$31+'TUSD BF'!$AM$31+'TUSD CVA'!$AM$31)*1</f>
        <v>1837.8896121132304</v>
      </c>
      <c r="AA302" s="4"/>
      <c r="AB302" s="4">
        <f t="shared" si="18"/>
        <v>0</v>
      </c>
      <c r="AC302" s="4">
        <f t="shared" si="19"/>
        <v>439554.74676007783</v>
      </c>
      <c r="AD302" s="4">
        <f t="shared" si="20"/>
        <v>0</v>
      </c>
      <c r="AE302" s="4">
        <f t="shared" ca="1" si="21"/>
        <v>516335.33579110738</v>
      </c>
      <c r="AF302" s="3" t="s">
        <v>1022</v>
      </c>
    </row>
    <row r="303" spans="1:32" ht="11.25" customHeight="1" x14ac:dyDescent="0.25">
      <c r="A303" s="3" t="s">
        <v>21</v>
      </c>
      <c r="B303" s="3" t="s">
        <v>41</v>
      </c>
      <c r="C303" s="3" t="s">
        <v>42</v>
      </c>
      <c r="D303" s="3" t="s">
        <v>38</v>
      </c>
      <c r="E303" s="3" t="s">
        <v>25</v>
      </c>
      <c r="F303" s="3" t="s">
        <v>60</v>
      </c>
      <c r="G303" s="3" t="s">
        <v>25</v>
      </c>
      <c r="H303" s="3" t="s">
        <v>34</v>
      </c>
      <c r="I303" s="6">
        <v>44440</v>
      </c>
      <c r="J303" s="4">
        <v>0</v>
      </c>
      <c r="K303" s="4">
        <v>0</v>
      </c>
      <c r="L303" s="4">
        <v>632.55899999999997</v>
      </c>
      <c r="M303" s="4">
        <v>305.00095405322998</v>
      </c>
      <c r="N303" s="4">
        <v>0</v>
      </c>
      <c r="O303" s="4">
        <v>0</v>
      </c>
      <c r="P303" s="4">
        <v>0</v>
      </c>
      <c r="Q303" s="3" t="s">
        <v>57</v>
      </c>
      <c r="R303" s="3">
        <v>0</v>
      </c>
      <c r="S303" s="3">
        <v>0</v>
      </c>
      <c r="T303" s="3">
        <v>20</v>
      </c>
      <c r="U303" s="3">
        <v>0</v>
      </c>
      <c r="V303" s="4">
        <f>IF(ISERROR(VLOOKUP($S$303,'TAR FIN'!$A$1:$O$113,15,0)),0,VLOOKUP($S$303,'TAR FIN'!$A$1:$O$113,15,0))</f>
        <v>0</v>
      </c>
      <c r="W303" s="4">
        <f>IF(ISERROR(VLOOKUP($T$303,'TAR FIN'!$A$1:$O$113,15,0)),0,VLOOKUP($T$303,'TAR FIN'!$A$1:$O$113,15,0))</f>
        <v>1564.59</v>
      </c>
      <c r="X303" s="4">
        <f>IF(ISERROR(VLOOKUP($U$303,'TAR FIN'!$A$1:$O$113,15,0)),0,VLOOKUP($U$303,'TAR FIN'!$A$1:$O$113,15,0))</f>
        <v>0</v>
      </c>
      <c r="Y303" s="4"/>
      <c r="Z303" s="4">
        <f ca="1">('TUSD BE'!$AM$31+'TUSD BF'!$AM$31+'TUSD CVA'!$AM$31)*1</f>
        <v>1837.8896121132304</v>
      </c>
      <c r="AA303" s="4"/>
      <c r="AB303" s="4">
        <f t="shared" si="18"/>
        <v>0</v>
      </c>
      <c r="AC303" s="4">
        <f t="shared" si="19"/>
        <v>512494.04310785682</v>
      </c>
      <c r="AD303" s="4">
        <f t="shared" si="20"/>
        <v>0</v>
      </c>
      <c r="AE303" s="4">
        <f t="shared" ca="1" si="21"/>
        <v>602015.53000967682</v>
      </c>
      <c r="AF303" s="3" t="s">
        <v>1022</v>
      </c>
    </row>
    <row r="304" spans="1:32" ht="11.25" customHeight="1" x14ac:dyDescent="0.25">
      <c r="A304" s="3" t="s">
        <v>21</v>
      </c>
      <c r="B304" s="3" t="s">
        <v>41</v>
      </c>
      <c r="C304" s="3" t="s">
        <v>42</v>
      </c>
      <c r="D304" s="3" t="s">
        <v>38</v>
      </c>
      <c r="E304" s="3" t="s">
        <v>25</v>
      </c>
      <c r="F304" s="3" t="s">
        <v>60</v>
      </c>
      <c r="G304" s="3" t="s">
        <v>25</v>
      </c>
      <c r="H304" s="3" t="s">
        <v>34</v>
      </c>
      <c r="I304" s="6">
        <v>44470</v>
      </c>
      <c r="J304" s="4">
        <v>0</v>
      </c>
      <c r="K304" s="4">
        <v>0</v>
      </c>
      <c r="L304" s="4">
        <v>622.37099999999998</v>
      </c>
      <c r="M304" s="4">
        <v>294.65512708128</v>
      </c>
      <c r="N304" s="4">
        <v>0</v>
      </c>
      <c r="O304" s="4">
        <v>0</v>
      </c>
      <c r="P304" s="4">
        <v>0</v>
      </c>
      <c r="Q304" s="3" t="s">
        <v>57</v>
      </c>
      <c r="R304" s="3">
        <v>0</v>
      </c>
      <c r="S304" s="3">
        <v>0</v>
      </c>
      <c r="T304" s="3">
        <v>20</v>
      </c>
      <c r="U304" s="3">
        <v>0</v>
      </c>
      <c r="V304" s="4">
        <f>IF(ISERROR(VLOOKUP($S$304,'TAR FIN'!$A$1:$O$113,15,0)),0,VLOOKUP($S$304,'TAR FIN'!$A$1:$O$113,15,0))</f>
        <v>0</v>
      </c>
      <c r="W304" s="4">
        <f>IF(ISERROR(VLOOKUP($T$304,'TAR FIN'!$A$1:$O$113,15,0)),0,VLOOKUP($T$304,'TAR FIN'!$A$1:$O$113,15,0))</f>
        <v>1564.59</v>
      </c>
      <c r="X304" s="4">
        <f>IF(ISERROR(VLOOKUP($U$304,'TAR FIN'!$A$1:$O$113,15,0)),0,VLOOKUP($U$304,'TAR FIN'!$A$1:$O$113,15,0))</f>
        <v>0</v>
      </c>
      <c r="Y304" s="4"/>
      <c r="Z304" s="4">
        <f ca="1">('TUSD BE'!$AM$31+'TUSD BF'!$AM$31+'TUSD CVA'!$AM$31)*1</f>
        <v>1837.8896121132304</v>
      </c>
      <c r="AA304" s="4"/>
      <c r="AB304" s="4">
        <f t="shared" si="18"/>
        <v>0</v>
      </c>
      <c r="AC304" s="4">
        <f t="shared" si="19"/>
        <v>512740.97760990006</v>
      </c>
      <c r="AD304" s="4">
        <f t="shared" si="20"/>
        <v>0</v>
      </c>
      <c r="AE304" s="4">
        <f t="shared" ca="1" si="21"/>
        <v>602305.59856193501</v>
      </c>
      <c r="AF304" s="3" t="s">
        <v>1022</v>
      </c>
    </row>
    <row r="305" spans="1:32" ht="11.25" customHeight="1" x14ac:dyDescent="0.25">
      <c r="A305" s="3" t="s">
        <v>21</v>
      </c>
      <c r="B305" s="3" t="s">
        <v>41</v>
      </c>
      <c r="C305" s="3" t="s">
        <v>42</v>
      </c>
      <c r="D305" s="3" t="s">
        <v>38</v>
      </c>
      <c r="E305" s="3" t="s">
        <v>25</v>
      </c>
      <c r="F305" s="3" t="s">
        <v>60</v>
      </c>
      <c r="G305" s="3" t="s">
        <v>25</v>
      </c>
      <c r="H305" s="3" t="s">
        <v>34</v>
      </c>
      <c r="I305" s="6">
        <v>44501</v>
      </c>
      <c r="J305" s="4">
        <v>0</v>
      </c>
      <c r="K305" s="4">
        <v>0</v>
      </c>
      <c r="L305" s="4">
        <v>630.06799999999998</v>
      </c>
      <c r="M305" s="4">
        <v>301.98059141272</v>
      </c>
      <c r="N305" s="4">
        <v>0</v>
      </c>
      <c r="O305" s="4">
        <v>0</v>
      </c>
      <c r="P305" s="4">
        <v>0</v>
      </c>
      <c r="Q305" s="3" t="s">
        <v>57</v>
      </c>
      <c r="R305" s="3">
        <v>0</v>
      </c>
      <c r="S305" s="3">
        <v>0</v>
      </c>
      <c r="T305" s="3">
        <v>20</v>
      </c>
      <c r="U305" s="3">
        <v>0</v>
      </c>
      <c r="V305" s="4">
        <f>IF(ISERROR(VLOOKUP($S$305,'TAR FIN'!$A$1:$O$113,15,0)),0,VLOOKUP($S$305,'TAR FIN'!$A$1:$O$113,15,0))</f>
        <v>0</v>
      </c>
      <c r="W305" s="4">
        <f>IF(ISERROR(VLOOKUP($T$305,'TAR FIN'!$A$1:$O$113,15,0)),0,VLOOKUP($T$305,'TAR FIN'!$A$1:$O$113,15,0))</f>
        <v>1564.59</v>
      </c>
      <c r="X305" s="4">
        <f>IF(ISERROR(VLOOKUP($U$305,'TAR FIN'!$A$1:$O$113,15,0)),0,VLOOKUP($U$305,'TAR FIN'!$A$1:$O$113,15,0))</f>
        <v>0</v>
      </c>
      <c r="Y305" s="4"/>
      <c r="Z305" s="4">
        <f ca="1">('TUSD BE'!$AM$31+'TUSD BF'!$AM$31+'TUSD CVA'!$AM$31)*1</f>
        <v>1837.8896121132304</v>
      </c>
      <c r="AA305" s="4"/>
      <c r="AB305" s="4">
        <f t="shared" si="18"/>
        <v>0</v>
      </c>
      <c r="AC305" s="4">
        <f t="shared" si="19"/>
        <v>513322.27860157238</v>
      </c>
      <c r="AD305" s="4">
        <f t="shared" si="20"/>
        <v>0</v>
      </c>
      <c r="AE305" s="4">
        <f t="shared" ca="1" si="21"/>
        <v>602988.44010771101</v>
      </c>
      <c r="AF305" s="3" t="s">
        <v>1022</v>
      </c>
    </row>
    <row r="306" spans="1:32" ht="11.25" customHeight="1" x14ac:dyDescent="0.25">
      <c r="A306" s="3" t="s">
        <v>21</v>
      </c>
      <c r="B306" s="3" t="s">
        <v>41</v>
      </c>
      <c r="C306" s="3" t="s">
        <v>42</v>
      </c>
      <c r="D306" s="3" t="s">
        <v>38</v>
      </c>
      <c r="E306" s="3" t="s">
        <v>25</v>
      </c>
      <c r="F306" s="3" t="s">
        <v>60</v>
      </c>
      <c r="G306" s="3" t="s">
        <v>25</v>
      </c>
      <c r="H306" s="3" t="s">
        <v>34</v>
      </c>
      <c r="I306" s="6">
        <v>44531</v>
      </c>
      <c r="J306" s="4">
        <v>0</v>
      </c>
      <c r="K306" s="4">
        <v>0</v>
      </c>
      <c r="L306" s="4">
        <v>664.03300000000002</v>
      </c>
      <c r="M306" s="4">
        <v>319.95319841823999</v>
      </c>
      <c r="N306" s="4">
        <v>0</v>
      </c>
      <c r="O306" s="4">
        <v>0</v>
      </c>
      <c r="P306" s="4">
        <v>0</v>
      </c>
      <c r="Q306" s="3" t="s">
        <v>57</v>
      </c>
      <c r="R306" s="3">
        <v>0</v>
      </c>
      <c r="S306" s="3">
        <v>0</v>
      </c>
      <c r="T306" s="3">
        <v>20</v>
      </c>
      <c r="U306" s="3">
        <v>0</v>
      </c>
      <c r="V306" s="4">
        <f>IF(ISERROR(VLOOKUP($S$306,'TAR FIN'!$A$1:$O$113,15,0)),0,VLOOKUP($S$306,'TAR FIN'!$A$1:$O$113,15,0))</f>
        <v>0</v>
      </c>
      <c r="W306" s="4">
        <f>IF(ISERROR(VLOOKUP($T$306,'TAR FIN'!$A$1:$O$113,15,0)),0,VLOOKUP($T$306,'TAR FIN'!$A$1:$O$113,15,0))</f>
        <v>1564.59</v>
      </c>
      <c r="X306" s="4">
        <f>IF(ISERROR(VLOOKUP($U$306,'TAR FIN'!$A$1:$O$113,15,0)),0,VLOOKUP($U$306,'TAR FIN'!$A$1:$O$113,15,0))</f>
        <v>0</v>
      </c>
      <c r="Y306" s="4"/>
      <c r="Z306" s="4">
        <f ca="1">('TUSD BE'!$AM$31+'TUSD BF'!$AM$31+'TUSD CVA'!$AM$31)*1</f>
        <v>1837.8896121132304</v>
      </c>
      <c r="AA306" s="4"/>
      <c r="AB306" s="4">
        <f t="shared" si="18"/>
        <v>0</v>
      </c>
      <c r="AC306" s="4">
        <f t="shared" si="19"/>
        <v>538343.81675680587</v>
      </c>
      <c r="AD306" s="4">
        <f t="shared" si="20"/>
        <v>0</v>
      </c>
      <c r="AE306" s="4">
        <f t="shared" ca="1" si="21"/>
        <v>632380.69306509825</v>
      </c>
      <c r="AF306" s="3" t="s">
        <v>1022</v>
      </c>
    </row>
    <row r="307" spans="1:32" ht="11.25" customHeight="1" x14ac:dyDescent="0.25">
      <c r="A307" s="3" t="s">
        <v>21</v>
      </c>
      <c r="B307" s="3" t="s">
        <v>41</v>
      </c>
      <c r="C307" s="3" t="s">
        <v>42</v>
      </c>
      <c r="D307" s="3" t="s">
        <v>38</v>
      </c>
      <c r="E307" s="3" t="s">
        <v>25</v>
      </c>
      <c r="F307" s="3" t="s">
        <v>60</v>
      </c>
      <c r="G307" s="3" t="s">
        <v>25</v>
      </c>
      <c r="H307" s="3" t="s">
        <v>34</v>
      </c>
      <c r="I307" s="6">
        <v>44562</v>
      </c>
      <c r="J307" s="4">
        <v>0</v>
      </c>
      <c r="K307" s="4">
        <v>0</v>
      </c>
      <c r="L307" s="4">
        <v>801.87300000000005</v>
      </c>
      <c r="M307" s="4">
        <v>386.74991523987001</v>
      </c>
      <c r="N307" s="4">
        <v>0</v>
      </c>
      <c r="O307" s="4">
        <v>0</v>
      </c>
      <c r="P307" s="4">
        <v>0</v>
      </c>
      <c r="Q307" s="3" t="s">
        <v>57</v>
      </c>
      <c r="R307" s="3">
        <v>0</v>
      </c>
      <c r="S307" s="3">
        <v>0</v>
      </c>
      <c r="T307" s="3">
        <v>20</v>
      </c>
      <c r="U307" s="3">
        <v>0</v>
      </c>
      <c r="V307" s="4">
        <f>IF(ISERROR(VLOOKUP($S$307,'TAR FIN'!$A$1:$O$113,15,0)),0,VLOOKUP($S$307,'TAR FIN'!$A$1:$O$113,15,0))</f>
        <v>0</v>
      </c>
      <c r="W307" s="4">
        <f>IF(ISERROR(VLOOKUP($T$307,'TAR FIN'!$A$1:$O$113,15,0)),0,VLOOKUP($T$307,'TAR FIN'!$A$1:$O$113,15,0))</f>
        <v>1564.59</v>
      </c>
      <c r="X307" s="4">
        <f>IF(ISERROR(VLOOKUP($U$307,'TAR FIN'!$A$1:$O$113,15,0)),0,VLOOKUP($U$307,'TAR FIN'!$A$1:$O$113,15,0))</f>
        <v>0</v>
      </c>
      <c r="Y307" s="4"/>
      <c r="Z307" s="4">
        <f ca="1">('TUSD BE'!$AM$31+'TUSD BF'!$AM$31+'TUSD CVA'!$AM$31)*1</f>
        <v>1837.8896121132304</v>
      </c>
      <c r="AA307" s="4"/>
      <c r="AB307" s="4">
        <f t="shared" si="18"/>
        <v>0</v>
      </c>
      <c r="AC307" s="4">
        <f t="shared" si="19"/>
        <v>649497.42718485184</v>
      </c>
      <c r="AD307" s="4">
        <f t="shared" si="20"/>
        <v>0</v>
      </c>
      <c r="AE307" s="4">
        <f t="shared" ca="1" si="21"/>
        <v>762950.4052290431</v>
      </c>
      <c r="AF307" s="3" t="s">
        <v>1022</v>
      </c>
    </row>
    <row r="308" spans="1:32" ht="11.25" customHeight="1" x14ac:dyDescent="0.25">
      <c r="A308" s="3" t="s">
        <v>21</v>
      </c>
      <c r="B308" s="3" t="s">
        <v>41</v>
      </c>
      <c r="C308" s="3" t="s">
        <v>42</v>
      </c>
      <c r="D308" s="3" t="s">
        <v>38</v>
      </c>
      <c r="E308" s="3" t="s">
        <v>25</v>
      </c>
      <c r="F308" s="3" t="s">
        <v>60</v>
      </c>
      <c r="G308" s="3" t="s">
        <v>25</v>
      </c>
      <c r="H308" s="3" t="s">
        <v>34</v>
      </c>
      <c r="I308" s="6">
        <v>44593</v>
      </c>
      <c r="J308" s="4">
        <v>0</v>
      </c>
      <c r="K308" s="4">
        <v>0</v>
      </c>
      <c r="L308" s="4">
        <v>728.64200000000005</v>
      </c>
      <c r="M308" s="4">
        <v>350.08695667073999</v>
      </c>
      <c r="N308" s="4">
        <v>0</v>
      </c>
      <c r="O308" s="4">
        <v>0</v>
      </c>
      <c r="P308" s="4">
        <v>0</v>
      </c>
      <c r="Q308" s="3" t="s">
        <v>57</v>
      </c>
      <c r="R308" s="3">
        <v>0</v>
      </c>
      <c r="S308" s="3">
        <v>0</v>
      </c>
      <c r="T308" s="3">
        <v>20</v>
      </c>
      <c r="U308" s="3">
        <v>0</v>
      </c>
      <c r="V308" s="4">
        <f>IF(ISERROR(VLOOKUP($S$308,'TAR FIN'!$A$1:$O$113,15,0)),0,VLOOKUP($S$308,'TAR FIN'!$A$1:$O$113,15,0))</f>
        <v>0</v>
      </c>
      <c r="W308" s="4">
        <f>IF(ISERROR(VLOOKUP($T$308,'TAR FIN'!$A$1:$O$113,15,0)),0,VLOOKUP($T$308,'TAR FIN'!$A$1:$O$113,15,0))</f>
        <v>1564.59</v>
      </c>
      <c r="X308" s="4">
        <f>IF(ISERROR(VLOOKUP($U$308,'TAR FIN'!$A$1:$O$113,15,0)),0,VLOOKUP($U$308,'TAR FIN'!$A$1:$O$113,15,0))</f>
        <v>0</v>
      </c>
      <c r="Y308" s="4"/>
      <c r="Z308" s="4">
        <f ca="1">('TUSD BE'!$AM$31+'TUSD BF'!$AM$31+'TUSD CVA'!$AM$31)*1</f>
        <v>1837.8896121132304</v>
      </c>
      <c r="AA308" s="4"/>
      <c r="AB308" s="4">
        <f t="shared" si="18"/>
        <v>0</v>
      </c>
      <c r="AC308" s="4">
        <f t="shared" si="19"/>
        <v>592283.43524252693</v>
      </c>
      <c r="AD308" s="4">
        <f t="shared" si="20"/>
        <v>0</v>
      </c>
      <c r="AE308" s="4">
        <f t="shared" ca="1" si="21"/>
        <v>695742.38174792088</v>
      </c>
      <c r="AF308" s="3" t="s">
        <v>1022</v>
      </c>
    </row>
    <row r="309" spans="1:32" ht="11.25" customHeight="1" x14ac:dyDescent="0.25">
      <c r="A309" s="3" t="s">
        <v>56</v>
      </c>
      <c r="B309" s="3" t="s">
        <v>41</v>
      </c>
      <c r="C309" s="3" t="s">
        <v>42</v>
      </c>
      <c r="D309" s="3" t="s">
        <v>38</v>
      </c>
      <c r="E309" s="3" t="s">
        <v>25</v>
      </c>
      <c r="F309" s="3" t="s">
        <v>60</v>
      </c>
      <c r="G309" s="3" t="s">
        <v>25</v>
      </c>
      <c r="H309" s="3" t="s">
        <v>34</v>
      </c>
      <c r="I309" s="6">
        <v>44621</v>
      </c>
      <c r="J309" s="4">
        <v>0</v>
      </c>
      <c r="K309" s="4">
        <v>0</v>
      </c>
      <c r="L309" s="4">
        <v>728.64200000000005</v>
      </c>
      <c r="M309" s="4">
        <v>350.08695667073999</v>
      </c>
      <c r="N309" s="4">
        <v>0</v>
      </c>
      <c r="O309" s="4">
        <v>0</v>
      </c>
      <c r="P309" s="4">
        <v>0</v>
      </c>
      <c r="Q309" s="3" t="s">
        <v>57</v>
      </c>
      <c r="R309" s="3">
        <v>0</v>
      </c>
      <c r="S309" s="3">
        <v>0</v>
      </c>
      <c r="T309" s="3">
        <v>20</v>
      </c>
      <c r="U309" s="3">
        <v>0</v>
      </c>
      <c r="V309" s="4">
        <f>IF(ISERROR(VLOOKUP($S$309,'TAR FIN'!$A$1:$O$113,15,0)),0,VLOOKUP($S$309,'TAR FIN'!$A$1:$O$113,15,0))</f>
        <v>0</v>
      </c>
      <c r="W309" s="4">
        <f>IF(ISERROR(VLOOKUP($T$309,'TAR FIN'!$A$1:$O$113,15,0)),0,VLOOKUP($T$309,'TAR FIN'!$A$1:$O$113,15,0))</f>
        <v>1564.59</v>
      </c>
      <c r="X309" s="4">
        <f>IF(ISERROR(VLOOKUP($U$309,'TAR FIN'!$A$1:$O$113,15,0)),0,VLOOKUP($U$309,'TAR FIN'!$A$1:$O$113,15,0))</f>
        <v>0</v>
      </c>
      <c r="Y309" s="4"/>
      <c r="Z309" s="4">
        <f ca="1">('TUSD BE'!$AM$31+'TUSD BF'!$AM$31+'TUSD CVA'!$AM$31)*1</f>
        <v>1837.8896121132304</v>
      </c>
      <c r="AA309" s="4"/>
      <c r="AB309" s="4">
        <f t="shared" si="18"/>
        <v>0</v>
      </c>
      <c r="AC309" s="4">
        <f t="shared" si="19"/>
        <v>592283.43524252693</v>
      </c>
      <c r="AD309" s="4">
        <f t="shared" si="20"/>
        <v>0</v>
      </c>
      <c r="AE309" s="4">
        <f t="shared" ca="1" si="21"/>
        <v>695742.38174792088</v>
      </c>
      <c r="AF309" s="3" t="s">
        <v>1022</v>
      </c>
    </row>
    <row r="310" spans="1:32" ht="11.25" customHeight="1" x14ac:dyDescent="0.25">
      <c r="A310" s="3" t="s">
        <v>21</v>
      </c>
      <c r="B310" s="3" t="s">
        <v>41</v>
      </c>
      <c r="C310" s="3" t="s">
        <v>42</v>
      </c>
      <c r="D310" s="3" t="s">
        <v>45</v>
      </c>
      <c r="E310" s="3" t="s">
        <v>53</v>
      </c>
      <c r="F310" s="3" t="s">
        <v>55</v>
      </c>
      <c r="G310" s="3" t="s">
        <v>25</v>
      </c>
      <c r="H310" s="3" t="s">
        <v>35</v>
      </c>
      <c r="I310" s="6">
        <v>44287</v>
      </c>
      <c r="J310" s="4">
        <v>0</v>
      </c>
      <c r="K310" s="4">
        <v>0</v>
      </c>
      <c r="L310" s="4">
        <v>962.79499999999996</v>
      </c>
      <c r="M310" s="4">
        <v>96.279499999999999</v>
      </c>
      <c r="N310" s="4">
        <v>962.79499999999996</v>
      </c>
      <c r="O310" s="4">
        <v>96.279499999999999</v>
      </c>
      <c r="P310" s="4">
        <v>0</v>
      </c>
      <c r="Q310" s="3" t="s">
        <v>26</v>
      </c>
      <c r="R310" s="3">
        <v>0</v>
      </c>
      <c r="S310" s="3">
        <v>0</v>
      </c>
      <c r="T310" s="3">
        <v>21</v>
      </c>
      <c r="U310" s="3">
        <v>89</v>
      </c>
      <c r="V310" s="4">
        <f>IF(ISERROR(VLOOKUP($S$310,'TAR FIN'!$A$1:$O$113,15,0)),0,VLOOKUP($S$310,'TAR FIN'!$A$1:$O$113,15,0))</f>
        <v>0</v>
      </c>
      <c r="W310" s="4">
        <f>IF(ISERROR(VLOOKUP($T$310,'TAR FIN'!$A$1:$O$113,15,0)),0,VLOOKUP($T$310,'TAR FIN'!$A$1:$O$113,15,0))</f>
        <v>51.27</v>
      </c>
      <c r="X310" s="4">
        <f>IF(ISERROR(VLOOKUP($U$310,'TAR FIN'!$A$1:$O$113,15,0)),0,VLOOKUP($U$310,'TAR FIN'!$A$1:$O$113,15,0))</f>
        <v>222.31</v>
      </c>
      <c r="Y310" s="4"/>
      <c r="Z310" s="4">
        <f ca="1">('TUSD BE'!$AM$32+'TUSD BF'!$AM$32+'TUSD CVA'!$AM$32)*1</f>
        <v>65.007409626508434</v>
      </c>
      <c r="AA310" s="4">
        <f>('TE BE'!$AA$11+'TE BF'!$AA$11+'TE CVA'!$AA$11)*1</f>
        <v>223.14561812044704</v>
      </c>
      <c r="AB310" s="4">
        <f t="shared" si="18"/>
        <v>0</v>
      </c>
      <c r="AC310" s="4">
        <f t="shared" si="19"/>
        <v>237061.31049</v>
      </c>
      <c r="AD310" s="4">
        <f t="shared" si="20"/>
        <v>0</v>
      </c>
      <c r="AE310" s="4">
        <f t="shared" ca="1" si="21"/>
        <v>249689.06491466699</v>
      </c>
      <c r="AF310" s="3" t="s">
        <v>1024</v>
      </c>
    </row>
    <row r="311" spans="1:32" ht="11.25" customHeight="1" x14ac:dyDescent="0.25">
      <c r="A311" s="3" t="s">
        <v>21</v>
      </c>
      <c r="B311" s="3" t="s">
        <v>41</v>
      </c>
      <c r="C311" s="3" t="s">
        <v>42</v>
      </c>
      <c r="D311" s="3" t="s">
        <v>45</v>
      </c>
      <c r="E311" s="3" t="s">
        <v>53</v>
      </c>
      <c r="F311" s="3" t="s">
        <v>55</v>
      </c>
      <c r="G311" s="3" t="s">
        <v>25</v>
      </c>
      <c r="H311" s="3" t="s">
        <v>35</v>
      </c>
      <c r="I311" s="6">
        <v>44317</v>
      </c>
      <c r="J311" s="4">
        <v>0</v>
      </c>
      <c r="K311" s="4">
        <v>0</v>
      </c>
      <c r="L311" s="4">
        <v>333.96199999999999</v>
      </c>
      <c r="M311" s="4">
        <v>33.3962</v>
      </c>
      <c r="N311" s="4">
        <v>333.96199999999999</v>
      </c>
      <c r="O311" s="4">
        <v>33.3962</v>
      </c>
      <c r="P311" s="4">
        <v>0</v>
      </c>
      <c r="Q311" s="3" t="s">
        <v>26</v>
      </c>
      <c r="R311" s="3">
        <v>0</v>
      </c>
      <c r="S311" s="3">
        <v>0</v>
      </c>
      <c r="T311" s="3">
        <v>21</v>
      </c>
      <c r="U311" s="3">
        <v>89</v>
      </c>
      <c r="V311" s="4">
        <f>IF(ISERROR(VLOOKUP($S$311,'TAR FIN'!$A$1:$O$113,15,0)),0,VLOOKUP($S$311,'TAR FIN'!$A$1:$O$113,15,0))</f>
        <v>0</v>
      </c>
      <c r="W311" s="4">
        <f>IF(ISERROR(VLOOKUP($T$311,'TAR FIN'!$A$1:$O$113,15,0)),0,VLOOKUP($T$311,'TAR FIN'!$A$1:$O$113,15,0))</f>
        <v>51.27</v>
      </c>
      <c r="X311" s="4">
        <f>IF(ISERROR(VLOOKUP($U$311,'TAR FIN'!$A$1:$O$113,15,0)),0,VLOOKUP($U$311,'TAR FIN'!$A$1:$O$113,15,0))</f>
        <v>222.31</v>
      </c>
      <c r="Y311" s="4"/>
      <c r="Z311" s="4">
        <f ca="1">('TUSD BE'!$AM$32+'TUSD BF'!$AM$32+'TUSD CVA'!$AM$32)*1</f>
        <v>65.007409626508434</v>
      </c>
      <c r="AA311" s="4">
        <f>('TE BE'!$AA$11+'TE BF'!$AA$11+'TE CVA'!$AA$11)*1</f>
        <v>223.14561812044704</v>
      </c>
      <c r="AB311" s="4">
        <f t="shared" si="18"/>
        <v>0</v>
      </c>
      <c r="AC311" s="4">
        <f t="shared" si="19"/>
        <v>82228.791563999999</v>
      </c>
      <c r="AD311" s="4">
        <f t="shared" si="20"/>
        <v>0</v>
      </c>
      <c r="AE311" s="4">
        <f t="shared" ca="1" si="21"/>
        <v>86608.945307185859</v>
      </c>
      <c r="AF311" s="3" t="s">
        <v>1024</v>
      </c>
    </row>
    <row r="312" spans="1:32" ht="11.25" customHeight="1" x14ac:dyDescent="0.25">
      <c r="A312" s="3" t="s">
        <v>28</v>
      </c>
      <c r="B312" s="3" t="s">
        <v>41</v>
      </c>
      <c r="C312" s="3" t="s">
        <v>42</v>
      </c>
      <c r="D312" s="3" t="s">
        <v>45</v>
      </c>
      <c r="E312" s="3" t="s">
        <v>53</v>
      </c>
      <c r="F312" s="3" t="s">
        <v>55</v>
      </c>
      <c r="G312" s="3" t="s">
        <v>25</v>
      </c>
      <c r="H312" s="3" t="s">
        <v>35</v>
      </c>
      <c r="I312" s="6">
        <v>44317</v>
      </c>
      <c r="J312" s="4">
        <v>0</v>
      </c>
      <c r="K312" s="4">
        <v>0</v>
      </c>
      <c r="L312" s="4">
        <v>8.2000000000000003E-2</v>
      </c>
      <c r="M312" s="4">
        <v>8.2000000000000007E-3</v>
      </c>
      <c r="N312" s="4">
        <v>8.2000000000000003E-2</v>
      </c>
      <c r="O312" s="4">
        <v>8.2000000000000007E-3</v>
      </c>
      <c r="P312" s="4">
        <v>0</v>
      </c>
      <c r="Q312" s="3" t="s">
        <v>26</v>
      </c>
      <c r="R312" s="3">
        <v>0</v>
      </c>
      <c r="S312" s="3">
        <v>0</v>
      </c>
      <c r="T312" s="3">
        <v>21</v>
      </c>
      <c r="U312" s="3">
        <v>89</v>
      </c>
      <c r="V312" s="4">
        <f>IF(ISERROR(VLOOKUP($S$312,'TAR FIN'!$A$1:$O$113,15,0)),0,VLOOKUP($S$312,'TAR FIN'!$A$1:$O$113,15,0))</f>
        <v>0</v>
      </c>
      <c r="W312" s="4">
        <f>IF(ISERROR(VLOOKUP($T$312,'TAR FIN'!$A$1:$O$113,15,0)),0,VLOOKUP($T$312,'TAR FIN'!$A$1:$O$113,15,0))</f>
        <v>51.27</v>
      </c>
      <c r="X312" s="4">
        <f>IF(ISERROR(VLOOKUP($U$312,'TAR FIN'!$A$1:$O$113,15,0)),0,VLOOKUP($U$312,'TAR FIN'!$A$1:$O$113,15,0))</f>
        <v>222.31</v>
      </c>
      <c r="Y312" s="4"/>
      <c r="Z312" s="4">
        <f ca="1">('TUSD BE'!$AM$32+'TUSD BF'!$AM$32+'TUSD CVA'!$AM$32)*1</f>
        <v>65.007409626508434</v>
      </c>
      <c r="AA312" s="4">
        <f>('TE BE'!$AA$11+'TE BF'!$AA$11+'TE CVA'!$AA$11)*1</f>
        <v>223.14561812044704</v>
      </c>
      <c r="AB312" s="4">
        <f t="shared" si="18"/>
        <v>0</v>
      </c>
      <c r="AC312" s="4">
        <f t="shared" si="19"/>
        <v>20.190204000000001</v>
      </c>
      <c r="AD312" s="4">
        <f t="shared" si="20"/>
        <v>0</v>
      </c>
      <c r="AE312" s="4">
        <f t="shared" ca="1" si="21"/>
        <v>21.265693447725319</v>
      </c>
      <c r="AF312" s="3" t="s">
        <v>1024</v>
      </c>
    </row>
    <row r="313" spans="1:32" ht="11.25" customHeight="1" x14ac:dyDescent="0.25">
      <c r="A313" s="3" t="s">
        <v>21</v>
      </c>
      <c r="B313" s="3" t="s">
        <v>41</v>
      </c>
      <c r="C313" s="3" t="s">
        <v>42</v>
      </c>
      <c r="D313" s="3" t="s">
        <v>45</v>
      </c>
      <c r="E313" s="3" t="s">
        <v>53</v>
      </c>
      <c r="F313" s="3" t="s">
        <v>55</v>
      </c>
      <c r="G313" s="3" t="s">
        <v>25</v>
      </c>
      <c r="H313" s="3" t="s">
        <v>35</v>
      </c>
      <c r="I313" s="6">
        <v>44348</v>
      </c>
      <c r="J313" s="4">
        <v>0</v>
      </c>
      <c r="K313" s="4">
        <v>0</v>
      </c>
      <c r="L313" s="4">
        <v>324.93599999999998</v>
      </c>
      <c r="M313" s="4">
        <v>32.493600000000001</v>
      </c>
      <c r="N313" s="4">
        <v>324.93599999999998</v>
      </c>
      <c r="O313" s="4">
        <v>32.493600000000001</v>
      </c>
      <c r="P313" s="4">
        <v>0</v>
      </c>
      <c r="Q313" s="3" t="s">
        <v>26</v>
      </c>
      <c r="R313" s="3">
        <v>0</v>
      </c>
      <c r="S313" s="3">
        <v>0</v>
      </c>
      <c r="T313" s="3">
        <v>21</v>
      </c>
      <c r="U313" s="3">
        <v>89</v>
      </c>
      <c r="V313" s="4">
        <f>IF(ISERROR(VLOOKUP($S$313,'TAR FIN'!$A$1:$O$113,15,0)),0,VLOOKUP($S$313,'TAR FIN'!$A$1:$O$113,15,0))</f>
        <v>0</v>
      </c>
      <c r="W313" s="4">
        <f>IF(ISERROR(VLOOKUP($T$313,'TAR FIN'!$A$1:$O$113,15,0)),0,VLOOKUP($T$313,'TAR FIN'!$A$1:$O$113,15,0))</f>
        <v>51.27</v>
      </c>
      <c r="X313" s="4">
        <f>IF(ISERROR(VLOOKUP($U$313,'TAR FIN'!$A$1:$O$113,15,0)),0,VLOOKUP($U$313,'TAR FIN'!$A$1:$O$113,15,0))</f>
        <v>222.31</v>
      </c>
      <c r="Y313" s="4"/>
      <c r="Z313" s="4">
        <f ca="1">('TUSD BE'!$AM$32+'TUSD BF'!$AM$32+'TUSD CVA'!$AM$32)*1</f>
        <v>65.007409626508434</v>
      </c>
      <c r="AA313" s="4">
        <f>('TE BE'!$AA$11+'TE BF'!$AA$11+'TE CVA'!$AA$11)*1</f>
        <v>223.14561812044704</v>
      </c>
      <c r="AB313" s="4">
        <f t="shared" si="18"/>
        <v>0</v>
      </c>
      <c r="AC313" s="4">
        <f t="shared" si="19"/>
        <v>80006.391791999995</v>
      </c>
      <c r="AD313" s="4">
        <f t="shared" si="20"/>
        <v>0</v>
      </c>
      <c r="AE313" s="4">
        <f t="shared" ca="1" si="21"/>
        <v>84268.163001586247</v>
      </c>
      <c r="AF313" s="3" t="s">
        <v>1024</v>
      </c>
    </row>
    <row r="314" spans="1:32" ht="11.25" customHeight="1" x14ac:dyDescent="0.25">
      <c r="A314" s="3" t="s">
        <v>28</v>
      </c>
      <c r="B314" s="3" t="s">
        <v>41</v>
      </c>
      <c r="C314" s="3" t="s">
        <v>42</v>
      </c>
      <c r="D314" s="3" t="s">
        <v>45</v>
      </c>
      <c r="E314" s="3" t="s">
        <v>53</v>
      </c>
      <c r="F314" s="3" t="s">
        <v>55</v>
      </c>
      <c r="G314" s="3" t="s">
        <v>25</v>
      </c>
      <c r="H314" s="3" t="s">
        <v>35</v>
      </c>
      <c r="I314" s="6">
        <v>44348</v>
      </c>
      <c r="J314" s="4">
        <v>0</v>
      </c>
      <c r="K314" s="4">
        <v>0</v>
      </c>
      <c r="L314" s="4">
        <v>4.1000000000000002E-2</v>
      </c>
      <c r="M314" s="4">
        <v>4.1000000000000003E-3</v>
      </c>
      <c r="N314" s="4">
        <v>4.1000000000000002E-2</v>
      </c>
      <c r="O314" s="4">
        <v>4.1000000000000003E-3</v>
      </c>
      <c r="P314" s="4">
        <v>0</v>
      </c>
      <c r="Q314" s="3" t="s">
        <v>26</v>
      </c>
      <c r="R314" s="3">
        <v>0</v>
      </c>
      <c r="S314" s="3">
        <v>0</v>
      </c>
      <c r="T314" s="3">
        <v>21</v>
      </c>
      <c r="U314" s="3">
        <v>89</v>
      </c>
      <c r="V314" s="4">
        <f>IF(ISERROR(VLOOKUP($S$314,'TAR FIN'!$A$1:$O$113,15,0)),0,VLOOKUP($S$314,'TAR FIN'!$A$1:$O$113,15,0))</f>
        <v>0</v>
      </c>
      <c r="W314" s="4">
        <f>IF(ISERROR(VLOOKUP($T$314,'TAR FIN'!$A$1:$O$113,15,0)),0,VLOOKUP($T$314,'TAR FIN'!$A$1:$O$113,15,0))</f>
        <v>51.27</v>
      </c>
      <c r="X314" s="4">
        <f>IF(ISERROR(VLOOKUP($U$314,'TAR FIN'!$A$1:$O$113,15,0)),0,VLOOKUP($U$314,'TAR FIN'!$A$1:$O$113,15,0))</f>
        <v>222.31</v>
      </c>
      <c r="Y314" s="4"/>
      <c r="Z314" s="4">
        <f ca="1">('TUSD BE'!$AM$32+'TUSD BF'!$AM$32+'TUSD CVA'!$AM$32)*1</f>
        <v>65.007409626508434</v>
      </c>
      <c r="AA314" s="4">
        <f>('TE BE'!$AA$11+'TE BF'!$AA$11+'TE CVA'!$AA$11)*1</f>
        <v>223.14561812044704</v>
      </c>
      <c r="AB314" s="4">
        <f t="shared" si="18"/>
        <v>0</v>
      </c>
      <c r="AC314" s="4">
        <f t="shared" si="19"/>
        <v>10.095102000000001</v>
      </c>
      <c r="AD314" s="4">
        <f t="shared" si="20"/>
        <v>0</v>
      </c>
      <c r="AE314" s="4">
        <f t="shared" ca="1" si="21"/>
        <v>10.632846723862659</v>
      </c>
      <c r="AF314" s="3" t="s">
        <v>1024</v>
      </c>
    </row>
    <row r="315" spans="1:32" ht="11.25" customHeight="1" x14ac:dyDescent="0.25">
      <c r="A315" s="3" t="s">
        <v>21</v>
      </c>
      <c r="B315" s="3" t="s">
        <v>41</v>
      </c>
      <c r="C315" s="3" t="s">
        <v>42</v>
      </c>
      <c r="D315" s="3" t="s">
        <v>45</v>
      </c>
      <c r="E315" s="3" t="s">
        <v>53</v>
      </c>
      <c r="F315" s="3" t="s">
        <v>55</v>
      </c>
      <c r="G315" s="3" t="s">
        <v>25</v>
      </c>
      <c r="H315" s="3" t="s">
        <v>35</v>
      </c>
      <c r="I315" s="6">
        <v>44378</v>
      </c>
      <c r="J315" s="4">
        <v>0</v>
      </c>
      <c r="K315" s="4">
        <v>0</v>
      </c>
      <c r="L315" s="4">
        <v>354.49200000000002</v>
      </c>
      <c r="M315" s="4">
        <v>35.449199999999998</v>
      </c>
      <c r="N315" s="4">
        <v>354.49200000000002</v>
      </c>
      <c r="O315" s="4">
        <v>35.449199999999998</v>
      </c>
      <c r="P315" s="4">
        <v>0</v>
      </c>
      <c r="Q315" s="3" t="s">
        <v>26</v>
      </c>
      <c r="R315" s="3">
        <v>0</v>
      </c>
      <c r="S315" s="3">
        <v>0</v>
      </c>
      <c r="T315" s="3">
        <v>21</v>
      </c>
      <c r="U315" s="3">
        <v>89</v>
      </c>
      <c r="V315" s="4">
        <f>IF(ISERROR(VLOOKUP($S$315,'TAR FIN'!$A$1:$O$113,15,0)),0,VLOOKUP($S$315,'TAR FIN'!$A$1:$O$113,15,0))</f>
        <v>0</v>
      </c>
      <c r="W315" s="4">
        <f>IF(ISERROR(VLOOKUP($T$315,'TAR FIN'!$A$1:$O$113,15,0)),0,VLOOKUP($T$315,'TAR FIN'!$A$1:$O$113,15,0))</f>
        <v>51.27</v>
      </c>
      <c r="X315" s="4">
        <f>IF(ISERROR(VLOOKUP($U$315,'TAR FIN'!$A$1:$O$113,15,0)),0,VLOOKUP($U$315,'TAR FIN'!$A$1:$O$113,15,0))</f>
        <v>222.31</v>
      </c>
      <c r="Y315" s="4"/>
      <c r="Z315" s="4">
        <f ca="1">('TUSD BE'!$AM$32+'TUSD BF'!$AM$32+'TUSD CVA'!$AM$32)*1</f>
        <v>65.007409626508434</v>
      </c>
      <c r="AA315" s="4">
        <f>('TE BE'!$AA$11+'TE BF'!$AA$11+'TE CVA'!$AA$11)*1</f>
        <v>223.14561812044704</v>
      </c>
      <c r="AB315" s="4">
        <f t="shared" si="18"/>
        <v>0</v>
      </c>
      <c r="AC315" s="4">
        <f t="shared" si="19"/>
        <v>87283.729223999995</v>
      </c>
      <c r="AD315" s="4">
        <f t="shared" si="20"/>
        <v>0</v>
      </c>
      <c r="AE315" s="4">
        <f t="shared" ca="1" si="21"/>
        <v>91933.148800866358</v>
      </c>
      <c r="AF315" s="3" t="s">
        <v>1024</v>
      </c>
    </row>
    <row r="316" spans="1:32" ht="11.25" customHeight="1" x14ac:dyDescent="0.25">
      <c r="A316" s="3" t="s">
        <v>28</v>
      </c>
      <c r="B316" s="3" t="s">
        <v>41</v>
      </c>
      <c r="C316" s="3" t="s">
        <v>42</v>
      </c>
      <c r="D316" s="3" t="s">
        <v>45</v>
      </c>
      <c r="E316" s="3" t="s">
        <v>53</v>
      </c>
      <c r="F316" s="3" t="s">
        <v>55</v>
      </c>
      <c r="G316" s="3" t="s">
        <v>25</v>
      </c>
      <c r="H316" s="3" t="s">
        <v>35</v>
      </c>
      <c r="I316" s="6">
        <v>44378</v>
      </c>
      <c r="J316" s="4">
        <v>0</v>
      </c>
      <c r="K316" s="4">
        <v>0</v>
      </c>
      <c r="L316" s="4">
        <v>8.2000000000000003E-2</v>
      </c>
      <c r="M316" s="4">
        <v>8.2000000000000007E-3</v>
      </c>
      <c r="N316" s="4">
        <v>8.2000000000000003E-2</v>
      </c>
      <c r="O316" s="4">
        <v>8.2000000000000007E-3</v>
      </c>
      <c r="P316" s="4">
        <v>0</v>
      </c>
      <c r="Q316" s="3" t="s">
        <v>26</v>
      </c>
      <c r="R316" s="3">
        <v>0</v>
      </c>
      <c r="S316" s="3">
        <v>0</v>
      </c>
      <c r="T316" s="3">
        <v>21</v>
      </c>
      <c r="U316" s="3">
        <v>89</v>
      </c>
      <c r="V316" s="4">
        <f>IF(ISERROR(VLOOKUP($S$316,'TAR FIN'!$A$1:$O$113,15,0)),0,VLOOKUP($S$316,'TAR FIN'!$A$1:$O$113,15,0))</f>
        <v>0</v>
      </c>
      <c r="W316" s="4">
        <f>IF(ISERROR(VLOOKUP($T$316,'TAR FIN'!$A$1:$O$113,15,0)),0,VLOOKUP($T$316,'TAR FIN'!$A$1:$O$113,15,0))</f>
        <v>51.27</v>
      </c>
      <c r="X316" s="4">
        <f>IF(ISERROR(VLOOKUP($U$316,'TAR FIN'!$A$1:$O$113,15,0)),0,VLOOKUP($U$316,'TAR FIN'!$A$1:$O$113,15,0))</f>
        <v>222.31</v>
      </c>
      <c r="Y316" s="4"/>
      <c r="Z316" s="4">
        <f ca="1">('TUSD BE'!$AM$32+'TUSD BF'!$AM$32+'TUSD CVA'!$AM$32)*1</f>
        <v>65.007409626508434</v>
      </c>
      <c r="AA316" s="4">
        <f>('TE BE'!$AA$11+'TE BF'!$AA$11+'TE CVA'!$AA$11)*1</f>
        <v>223.14561812044704</v>
      </c>
      <c r="AB316" s="4">
        <f t="shared" si="18"/>
        <v>0</v>
      </c>
      <c r="AC316" s="4">
        <f t="shared" si="19"/>
        <v>20.190204000000001</v>
      </c>
      <c r="AD316" s="4">
        <f t="shared" si="20"/>
        <v>0</v>
      </c>
      <c r="AE316" s="4">
        <f t="shared" ca="1" si="21"/>
        <v>21.265693447725319</v>
      </c>
      <c r="AF316" s="3" t="s">
        <v>1024</v>
      </c>
    </row>
    <row r="317" spans="1:32" ht="11.25" customHeight="1" x14ac:dyDescent="0.25">
      <c r="A317" s="3" t="s">
        <v>21</v>
      </c>
      <c r="B317" s="3" t="s">
        <v>41</v>
      </c>
      <c r="C317" s="3" t="s">
        <v>42</v>
      </c>
      <c r="D317" s="3" t="s">
        <v>45</v>
      </c>
      <c r="E317" s="3" t="s">
        <v>53</v>
      </c>
      <c r="F317" s="3" t="s">
        <v>55</v>
      </c>
      <c r="G317" s="3" t="s">
        <v>25</v>
      </c>
      <c r="H317" s="3" t="s">
        <v>35</v>
      </c>
      <c r="I317" s="6">
        <v>44409</v>
      </c>
      <c r="J317" s="4">
        <v>0</v>
      </c>
      <c r="K317" s="4">
        <v>0</v>
      </c>
      <c r="L317" s="4">
        <v>599.25599999999997</v>
      </c>
      <c r="M317" s="4">
        <v>59.925600000000003</v>
      </c>
      <c r="N317" s="4">
        <v>599.25599999999997</v>
      </c>
      <c r="O317" s="4">
        <v>59.925600000000003</v>
      </c>
      <c r="P317" s="4">
        <v>0</v>
      </c>
      <c r="Q317" s="3" t="s">
        <v>26</v>
      </c>
      <c r="R317" s="3">
        <v>0</v>
      </c>
      <c r="S317" s="3">
        <v>0</v>
      </c>
      <c r="T317" s="3">
        <v>21</v>
      </c>
      <c r="U317" s="3">
        <v>89</v>
      </c>
      <c r="V317" s="4">
        <f>IF(ISERROR(VLOOKUP($S$317,'TAR FIN'!$A$1:$O$113,15,0)),0,VLOOKUP($S$317,'TAR FIN'!$A$1:$O$113,15,0))</f>
        <v>0</v>
      </c>
      <c r="W317" s="4">
        <f>IF(ISERROR(VLOOKUP($T$317,'TAR FIN'!$A$1:$O$113,15,0)),0,VLOOKUP($T$317,'TAR FIN'!$A$1:$O$113,15,0))</f>
        <v>51.27</v>
      </c>
      <c r="X317" s="4">
        <f>IF(ISERROR(VLOOKUP($U$317,'TAR FIN'!$A$1:$O$113,15,0)),0,VLOOKUP($U$317,'TAR FIN'!$A$1:$O$113,15,0))</f>
        <v>222.31</v>
      </c>
      <c r="Y317" s="4"/>
      <c r="Z317" s="4">
        <f ca="1">('TUSD BE'!$AM$32+'TUSD BF'!$AM$32+'TUSD CVA'!$AM$32)*1</f>
        <v>65.007409626508434</v>
      </c>
      <c r="AA317" s="4">
        <f>('TE BE'!$AA$11+'TE BF'!$AA$11+'TE CVA'!$AA$11)*1</f>
        <v>223.14561812044704</v>
      </c>
      <c r="AB317" s="4">
        <f t="shared" si="18"/>
        <v>0</v>
      </c>
      <c r="AC317" s="4">
        <f t="shared" si="19"/>
        <v>147550.010832</v>
      </c>
      <c r="AD317" s="4">
        <f t="shared" si="20"/>
        <v>0</v>
      </c>
      <c r="AE317" s="4">
        <f t="shared" ca="1" si="21"/>
        <v>155409.68771597659</v>
      </c>
      <c r="AF317" s="3" t="s">
        <v>1024</v>
      </c>
    </row>
    <row r="318" spans="1:32" ht="11.25" customHeight="1" x14ac:dyDescent="0.25">
      <c r="A318" s="3" t="s">
        <v>28</v>
      </c>
      <c r="B318" s="3" t="s">
        <v>41</v>
      </c>
      <c r="C318" s="3" t="s">
        <v>42</v>
      </c>
      <c r="D318" s="3" t="s">
        <v>45</v>
      </c>
      <c r="E318" s="3" t="s">
        <v>53</v>
      </c>
      <c r="F318" s="3" t="s">
        <v>55</v>
      </c>
      <c r="G318" s="3" t="s">
        <v>25</v>
      </c>
      <c r="H318" s="3" t="s">
        <v>35</v>
      </c>
      <c r="I318" s="6">
        <v>44409</v>
      </c>
      <c r="J318" s="4">
        <v>0</v>
      </c>
      <c r="K318" s="4">
        <v>0</v>
      </c>
      <c r="L318" s="4">
        <v>8.2000000000000003E-2</v>
      </c>
      <c r="M318" s="4">
        <v>8.2000000000000007E-3</v>
      </c>
      <c r="N318" s="4">
        <v>8.2000000000000003E-2</v>
      </c>
      <c r="O318" s="4">
        <v>8.2000000000000007E-3</v>
      </c>
      <c r="P318" s="4">
        <v>0</v>
      </c>
      <c r="Q318" s="3" t="s">
        <v>26</v>
      </c>
      <c r="R318" s="3">
        <v>0</v>
      </c>
      <c r="S318" s="3">
        <v>0</v>
      </c>
      <c r="T318" s="3">
        <v>21</v>
      </c>
      <c r="U318" s="3">
        <v>89</v>
      </c>
      <c r="V318" s="4">
        <f>IF(ISERROR(VLOOKUP($S$318,'TAR FIN'!$A$1:$O$113,15,0)),0,VLOOKUP($S$318,'TAR FIN'!$A$1:$O$113,15,0))</f>
        <v>0</v>
      </c>
      <c r="W318" s="4">
        <f>IF(ISERROR(VLOOKUP($T$318,'TAR FIN'!$A$1:$O$113,15,0)),0,VLOOKUP($T$318,'TAR FIN'!$A$1:$O$113,15,0))</f>
        <v>51.27</v>
      </c>
      <c r="X318" s="4">
        <f>IF(ISERROR(VLOOKUP($U$318,'TAR FIN'!$A$1:$O$113,15,0)),0,VLOOKUP($U$318,'TAR FIN'!$A$1:$O$113,15,0))</f>
        <v>222.31</v>
      </c>
      <c r="Y318" s="4"/>
      <c r="Z318" s="4">
        <f ca="1">('TUSD BE'!$AM$32+'TUSD BF'!$AM$32+'TUSD CVA'!$AM$32)*1</f>
        <v>65.007409626508434</v>
      </c>
      <c r="AA318" s="4">
        <f>('TE BE'!$AA$11+'TE BF'!$AA$11+'TE CVA'!$AA$11)*1</f>
        <v>223.14561812044704</v>
      </c>
      <c r="AB318" s="4">
        <f t="shared" si="18"/>
        <v>0</v>
      </c>
      <c r="AC318" s="4">
        <f t="shared" si="19"/>
        <v>20.190204000000001</v>
      </c>
      <c r="AD318" s="4">
        <f t="shared" si="20"/>
        <v>0</v>
      </c>
      <c r="AE318" s="4">
        <f t="shared" ca="1" si="21"/>
        <v>21.265693447725319</v>
      </c>
      <c r="AF318" s="3" t="s">
        <v>1024</v>
      </c>
    </row>
    <row r="319" spans="1:32" ht="11.25" customHeight="1" x14ac:dyDescent="0.25">
      <c r="A319" s="3" t="s">
        <v>21</v>
      </c>
      <c r="B319" s="3" t="s">
        <v>41</v>
      </c>
      <c r="C319" s="3" t="s">
        <v>42</v>
      </c>
      <c r="D319" s="3" t="s">
        <v>45</v>
      </c>
      <c r="E319" s="3" t="s">
        <v>53</v>
      </c>
      <c r="F319" s="3" t="s">
        <v>55</v>
      </c>
      <c r="G319" s="3" t="s">
        <v>25</v>
      </c>
      <c r="H319" s="3" t="s">
        <v>35</v>
      </c>
      <c r="I319" s="6">
        <v>44440</v>
      </c>
      <c r="J319" s="4">
        <v>0</v>
      </c>
      <c r="K319" s="4">
        <v>0</v>
      </c>
      <c r="L319" s="4">
        <v>891.18</v>
      </c>
      <c r="M319" s="4">
        <v>89.117999999999995</v>
      </c>
      <c r="N319" s="4">
        <v>891.18</v>
      </c>
      <c r="O319" s="4">
        <v>89.117999999999995</v>
      </c>
      <c r="P319" s="4">
        <v>0</v>
      </c>
      <c r="Q319" s="3" t="s">
        <v>26</v>
      </c>
      <c r="R319" s="3">
        <v>0</v>
      </c>
      <c r="S319" s="3">
        <v>0</v>
      </c>
      <c r="T319" s="3">
        <v>21</v>
      </c>
      <c r="U319" s="3">
        <v>89</v>
      </c>
      <c r="V319" s="4">
        <f>IF(ISERROR(VLOOKUP($S$319,'TAR FIN'!$A$1:$O$113,15,0)),0,VLOOKUP($S$319,'TAR FIN'!$A$1:$O$113,15,0))</f>
        <v>0</v>
      </c>
      <c r="W319" s="4">
        <f>IF(ISERROR(VLOOKUP($T$319,'TAR FIN'!$A$1:$O$113,15,0)),0,VLOOKUP($T$319,'TAR FIN'!$A$1:$O$113,15,0))</f>
        <v>51.27</v>
      </c>
      <c r="X319" s="4">
        <f>IF(ISERROR(VLOOKUP($U$319,'TAR FIN'!$A$1:$O$113,15,0)),0,VLOOKUP($U$319,'TAR FIN'!$A$1:$O$113,15,0))</f>
        <v>222.31</v>
      </c>
      <c r="Y319" s="4"/>
      <c r="Z319" s="4">
        <f ca="1">('TUSD BE'!$AM$32+'TUSD BF'!$AM$32+'TUSD CVA'!$AM$32)*1</f>
        <v>65.007409626508434</v>
      </c>
      <c r="AA319" s="4">
        <f>('TE BE'!$AA$11+'TE BF'!$AA$11+'TE CVA'!$AA$11)*1</f>
        <v>223.14561812044704</v>
      </c>
      <c r="AB319" s="4">
        <f t="shared" si="18"/>
        <v>0</v>
      </c>
      <c r="AC319" s="4">
        <f t="shared" si="19"/>
        <v>219428.12195999996</v>
      </c>
      <c r="AD319" s="4">
        <f t="shared" si="20"/>
        <v>0</v>
      </c>
      <c r="AE319" s="4">
        <f t="shared" ca="1" si="21"/>
        <v>231116.59374077857</v>
      </c>
      <c r="AF319" s="3" t="s">
        <v>1024</v>
      </c>
    </row>
    <row r="320" spans="1:32" ht="11.25" customHeight="1" x14ac:dyDescent="0.25">
      <c r="A320" s="3" t="s">
        <v>28</v>
      </c>
      <c r="B320" s="3" t="s">
        <v>41</v>
      </c>
      <c r="C320" s="3" t="s">
        <v>42</v>
      </c>
      <c r="D320" s="3" t="s">
        <v>45</v>
      </c>
      <c r="E320" s="3" t="s">
        <v>53</v>
      </c>
      <c r="F320" s="3" t="s">
        <v>55</v>
      </c>
      <c r="G320" s="3" t="s">
        <v>25</v>
      </c>
      <c r="H320" s="3" t="s">
        <v>35</v>
      </c>
      <c r="I320" s="6">
        <v>44440</v>
      </c>
      <c r="J320" s="4">
        <v>0</v>
      </c>
      <c r="K320" s="4">
        <v>0</v>
      </c>
      <c r="L320" s="4">
        <v>2.6240000000000001</v>
      </c>
      <c r="M320" s="4">
        <v>0.26240000000000002</v>
      </c>
      <c r="N320" s="4">
        <v>2.6240000000000001</v>
      </c>
      <c r="O320" s="4">
        <v>0.26240000000000002</v>
      </c>
      <c r="P320" s="4">
        <v>0</v>
      </c>
      <c r="Q320" s="3" t="s">
        <v>26</v>
      </c>
      <c r="R320" s="3">
        <v>0</v>
      </c>
      <c r="S320" s="3">
        <v>0</v>
      </c>
      <c r="T320" s="3">
        <v>21</v>
      </c>
      <c r="U320" s="3">
        <v>89</v>
      </c>
      <c r="V320" s="4">
        <f>IF(ISERROR(VLOOKUP($S$320,'TAR FIN'!$A$1:$O$113,15,0)),0,VLOOKUP($S$320,'TAR FIN'!$A$1:$O$113,15,0))</f>
        <v>0</v>
      </c>
      <c r="W320" s="4">
        <f>IF(ISERROR(VLOOKUP($T$320,'TAR FIN'!$A$1:$O$113,15,0)),0,VLOOKUP($T$320,'TAR FIN'!$A$1:$O$113,15,0))</f>
        <v>51.27</v>
      </c>
      <c r="X320" s="4">
        <f>IF(ISERROR(VLOOKUP($U$320,'TAR FIN'!$A$1:$O$113,15,0)),0,VLOOKUP($U$320,'TAR FIN'!$A$1:$O$113,15,0))</f>
        <v>222.31</v>
      </c>
      <c r="Y320" s="4"/>
      <c r="Z320" s="4">
        <f ca="1">('TUSD BE'!$AM$32+'TUSD BF'!$AM$32+'TUSD CVA'!$AM$32)*1</f>
        <v>65.007409626508434</v>
      </c>
      <c r="AA320" s="4">
        <f>('TE BE'!$AA$11+'TE BF'!$AA$11+'TE CVA'!$AA$11)*1</f>
        <v>223.14561812044704</v>
      </c>
      <c r="AB320" s="4">
        <f t="shared" si="18"/>
        <v>0</v>
      </c>
      <c r="AC320" s="4">
        <f t="shared" si="19"/>
        <v>646.08652800000004</v>
      </c>
      <c r="AD320" s="4">
        <f t="shared" si="20"/>
        <v>0</v>
      </c>
      <c r="AE320" s="4">
        <f t="shared" ca="1" si="21"/>
        <v>680.5021903272102</v>
      </c>
      <c r="AF320" s="3" t="s">
        <v>1024</v>
      </c>
    </row>
    <row r="321" spans="1:32" ht="11.25" customHeight="1" x14ac:dyDescent="0.25">
      <c r="A321" s="3" t="s">
        <v>21</v>
      </c>
      <c r="B321" s="3" t="s">
        <v>41</v>
      </c>
      <c r="C321" s="3" t="s">
        <v>42</v>
      </c>
      <c r="D321" s="3" t="s">
        <v>45</v>
      </c>
      <c r="E321" s="3" t="s">
        <v>53</v>
      </c>
      <c r="F321" s="3" t="s">
        <v>55</v>
      </c>
      <c r="G321" s="3" t="s">
        <v>25</v>
      </c>
      <c r="H321" s="3" t="s">
        <v>35</v>
      </c>
      <c r="I321" s="6">
        <v>44470</v>
      </c>
      <c r="J321" s="4">
        <v>0</v>
      </c>
      <c r="K321" s="4">
        <v>0</v>
      </c>
      <c r="L321" s="4">
        <v>1351.895</v>
      </c>
      <c r="M321" s="4">
        <v>135.18950000000001</v>
      </c>
      <c r="N321" s="4">
        <v>1351.895</v>
      </c>
      <c r="O321" s="4">
        <v>135.18950000000001</v>
      </c>
      <c r="P321" s="4">
        <v>0</v>
      </c>
      <c r="Q321" s="3" t="s">
        <v>26</v>
      </c>
      <c r="R321" s="3">
        <v>0</v>
      </c>
      <c r="S321" s="3">
        <v>0</v>
      </c>
      <c r="T321" s="3">
        <v>21</v>
      </c>
      <c r="U321" s="3">
        <v>89</v>
      </c>
      <c r="V321" s="4">
        <f>IF(ISERROR(VLOOKUP($S$321,'TAR FIN'!$A$1:$O$113,15,0)),0,VLOOKUP($S$321,'TAR FIN'!$A$1:$O$113,15,0))</f>
        <v>0</v>
      </c>
      <c r="W321" s="4">
        <f>IF(ISERROR(VLOOKUP($T$321,'TAR FIN'!$A$1:$O$113,15,0)),0,VLOOKUP($T$321,'TAR FIN'!$A$1:$O$113,15,0))</f>
        <v>51.27</v>
      </c>
      <c r="X321" s="4">
        <f>IF(ISERROR(VLOOKUP($U$321,'TAR FIN'!$A$1:$O$113,15,0)),0,VLOOKUP($U$321,'TAR FIN'!$A$1:$O$113,15,0))</f>
        <v>222.31</v>
      </c>
      <c r="Y321" s="4"/>
      <c r="Z321" s="4">
        <f ca="1">('TUSD BE'!$AM$32+'TUSD BF'!$AM$32+'TUSD CVA'!$AM$32)*1</f>
        <v>65.007409626508434</v>
      </c>
      <c r="AA321" s="4">
        <f>('TE BE'!$AA$11+'TE BF'!$AA$11+'TE CVA'!$AA$11)*1</f>
        <v>223.14561812044704</v>
      </c>
      <c r="AB321" s="4">
        <f t="shared" si="18"/>
        <v>0</v>
      </c>
      <c r="AC321" s="4">
        <f t="shared" si="19"/>
        <v>332866.29068999999</v>
      </c>
      <c r="AD321" s="4">
        <f t="shared" si="20"/>
        <v>0</v>
      </c>
      <c r="AE321" s="4">
        <f t="shared" ca="1" si="21"/>
        <v>350597.37370137335</v>
      </c>
      <c r="AF321" s="3" t="s">
        <v>1024</v>
      </c>
    </row>
    <row r="322" spans="1:32" ht="11.25" customHeight="1" x14ac:dyDescent="0.25">
      <c r="A322" s="3" t="s">
        <v>28</v>
      </c>
      <c r="B322" s="3" t="s">
        <v>41</v>
      </c>
      <c r="C322" s="3" t="s">
        <v>42</v>
      </c>
      <c r="D322" s="3" t="s">
        <v>45</v>
      </c>
      <c r="E322" s="3" t="s">
        <v>53</v>
      </c>
      <c r="F322" s="3" t="s">
        <v>55</v>
      </c>
      <c r="G322" s="3" t="s">
        <v>25</v>
      </c>
      <c r="H322" s="3" t="s">
        <v>35</v>
      </c>
      <c r="I322" s="6">
        <v>44470</v>
      </c>
      <c r="J322" s="4">
        <v>0</v>
      </c>
      <c r="K322" s="4">
        <v>0</v>
      </c>
      <c r="L322" s="4">
        <v>8.8970000000000002</v>
      </c>
      <c r="M322" s="4">
        <v>0.88970000000000005</v>
      </c>
      <c r="N322" s="4">
        <v>8.8970000000000002</v>
      </c>
      <c r="O322" s="4">
        <v>0.88970000000000005</v>
      </c>
      <c r="P322" s="4">
        <v>0</v>
      </c>
      <c r="Q322" s="3" t="s">
        <v>26</v>
      </c>
      <c r="R322" s="3">
        <v>0</v>
      </c>
      <c r="S322" s="3">
        <v>0</v>
      </c>
      <c r="T322" s="3">
        <v>21</v>
      </c>
      <c r="U322" s="3">
        <v>89</v>
      </c>
      <c r="V322" s="4">
        <f>IF(ISERROR(VLOOKUP($S$322,'TAR FIN'!$A$1:$O$113,15,0)),0,VLOOKUP($S$322,'TAR FIN'!$A$1:$O$113,15,0))</f>
        <v>0</v>
      </c>
      <c r="W322" s="4">
        <f>IF(ISERROR(VLOOKUP($T$322,'TAR FIN'!$A$1:$O$113,15,0)),0,VLOOKUP($T$322,'TAR FIN'!$A$1:$O$113,15,0))</f>
        <v>51.27</v>
      </c>
      <c r="X322" s="4">
        <f>IF(ISERROR(VLOOKUP($U$322,'TAR FIN'!$A$1:$O$113,15,0)),0,VLOOKUP($U$322,'TAR FIN'!$A$1:$O$113,15,0))</f>
        <v>222.31</v>
      </c>
      <c r="Y322" s="4"/>
      <c r="Z322" s="4">
        <f ca="1">('TUSD BE'!$AM$32+'TUSD BF'!$AM$32+'TUSD CVA'!$AM$32)*1</f>
        <v>65.007409626508434</v>
      </c>
      <c r="AA322" s="4">
        <f>('TE BE'!$AA$11+'TE BF'!$AA$11+'TE CVA'!$AA$11)*1</f>
        <v>223.14561812044704</v>
      </c>
      <c r="AB322" s="4">
        <f t="shared" ref="AB322:AB333" si="22">(J322-K322)*V322</f>
        <v>0</v>
      </c>
      <c r="AC322" s="4">
        <f t="shared" ref="AC322:AC333" si="23">(L322-M322)*W322+(N322-O322)*X322</f>
        <v>2190.6371340000005</v>
      </c>
      <c r="AD322" s="4">
        <f t="shared" ref="AD322:AD333" si="24">(J322-K322)*Y322</f>
        <v>0</v>
      </c>
      <c r="AE322" s="4">
        <f t="shared" ref="AE322:AE333" ca="1" si="25">(L322-M322)*Z322+(N322-O322)*AA322</f>
        <v>2307.3277390781968</v>
      </c>
      <c r="AF322" s="3" t="s">
        <v>1024</v>
      </c>
    </row>
    <row r="323" spans="1:32" ht="11.25" customHeight="1" x14ac:dyDescent="0.25">
      <c r="A323" s="3" t="s">
        <v>21</v>
      </c>
      <c r="B323" s="3" t="s">
        <v>41</v>
      </c>
      <c r="C323" s="3" t="s">
        <v>42</v>
      </c>
      <c r="D323" s="3" t="s">
        <v>45</v>
      </c>
      <c r="E323" s="3" t="s">
        <v>53</v>
      </c>
      <c r="F323" s="3" t="s">
        <v>55</v>
      </c>
      <c r="G323" s="3" t="s">
        <v>25</v>
      </c>
      <c r="H323" s="3" t="s">
        <v>35</v>
      </c>
      <c r="I323" s="6">
        <v>44501</v>
      </c>
      <c r="J323" s="4">
        <v>0</v>
      </c>
      <c r="K323" s="4">
        <v>0</v>
      </c>
      <c r="L323" s="4">
        <v>1290.3910000000001</v>
      </c>
      <c r="M323" s="4">
        <v>129.03909999999999</v>
      </c>
      <c r="N323" s="4">
        <v>1290.3910000000001</v>
      </c>
      <c r="O323" s="4">
        <v>129.03909999999999</v>
      </c>
      <c r="P323" s="4">
        <v>0</v>
      </c>
      <c r="Q323" s="3" t="s">
        <v>26</v>
      </c>
      <c r="R323" s="3">
        <v>0</v>
      </c>
      <c r="S323" s="3">
        <v>0</v>
      </c>
      <c r="T323" s="3">
        <v>21</v>
      </c>
      <c r="U323" s="3">
        <v>89</v>
      </c>
      <c r="V323" s="4">
        <f>IF(ISERROR(VLOOKUP($S$323,'TAR FIN'!$A$1:$O$113,15,0)),0,VLOOKUP($S$323,'TAR FIN'!$A$1:$O$113,15,0))</f>
        <v>0</v>
      </c>
      <c r="W323" s="4">
        <f>IF(ISERROR(VLOOKUP($T$323,'TAR FIN'!$A$1:$O$113,15,0)),0,VLOOKUP($T$323,'TAR FIN'!$A$1:$O$113,15,0))</f>
        <v>51.27</v>
      </c>
      <c r="X323" s="4">
        <f>IF(ISERROR(VLOOKUP($U$323,'TAR FIN'!$A$1:$O$113,15,0)),0,VLOOKUP($U$323,'TAR FIN'!$A$1:$O$113,15,0))</f>
        <v>222.31</v>
      </c>
      <c r="Y323" s="4"/>
      <c r="Z323" s="4">
        <f ca="1">('TUSD BE'!$AM$32+'TUSD BF'!$AM$32+'TUSD CVA'!$AM$32)*1</f>
        <v>65.007409626508434</v>
      </c>
      <c r="AA323" s="4">
        <f>('TE BE'!$AA$11+'TE BF'!$AA$11+'TE CVA'!$AA$11)*1</f>
        <v>223.14561812044704</v>
      </c>
      <c r="AB323" s="4">
        <f t="shared" si="22"/>
        <v>0</v>
      </c>
      <c r="AC323" s="4">
        <f t="shared" si="23"/>
        <v>317722.65280200006</v>
      </c>
      <c r="AD323" s="4">
        <f t="shared" si="24"/>
        <v>0</v>
      </c>
      <c r="AE323" s="4">
        <f t="shared" ca="1" si="25"/>
        <v>334647.06626467948</v>
      </c>
      <c r="AF323" s="3" t="s">
        <v>1024</v>
      </c>
    </row>
    <row r="324" spans="1:32" ht="11.25" customHeight="1" x14ac:dyDescent="0.25">
      <c r="A324" s="3" t="s">
        <v>28</v>
      </c>
      <c r="B324" s="3" t="s">
        <v>41</v>
      </c>
      <c r="C324" s="3" t="s">
        <v>42</v>
      </c>
      <c r="D324" s="3" t="s">
        <v>45</v>
      </c>
      <c r="E324" s="3" t="s">
        <v>53</v>
      </c>
      <c r="F324" s="3" t="s">
        <v>55</v>
      </c>
      <c r="G324" s="3" t="s">
        <v>25</v>
      </c>
      <c r="H324" s="3" t="s">
        <v>35</v>
      </c>
      <c r="I324" s="6">
        <v>44501</v>
      </c>
      <c r="J324" s="4">
        <v>0</v>
      </c>
      <c r="K324" s="4">
        <v>0</v>
      </c>
      <c r="L324" s="4">
        <v>9.2249999999999996</v>
      </c>
      <c r="M324" s="4">
        <v>0.92249999999999999</v>
      </c>
      <c r="N324" s="4">
        <v>9.2249999999999996</v>
      </c>
      <c r="O324" s="4">
        <v>0.92249999999999999</v>
      </c>
      <c r="P324" s="4">
        <v>0</v>
      </c>
      <c r="Q324" s="3" t="s">
        <v>26</v>
      </c>
      <c r="R324" s="3">
        <v>0</v>
      </c>
      <c r="S324" s="3">
        <v>0</v>
      </c>
      <c r="T324" s="3">
        <v>21</v>
      </c>
      <c r="U324" s="3">
        <v>89</v>
      </c>
      <c r="V324" s="4">
        <f>IF(ISERROR(VLOOKUP($S$324,'TAR FIN'!$A$1:$O$113,15,0)),0,VLOOKUP($S$324,'TAR FIN'!$A$1:$O$113,15,0))</f>
        <v>0</v>
      </c>
      <c r="W324" s="4">
        <f>IF(ISERROR(VLOOKUP($T$324,'TAR FIN'!$A$1:$O$113,15,0)),0,VLOOKUP($T$324,'TAR FIN'!$A$1:$O$113,15,0))</f>
        <v>51.27</v>
      </c>
      <c r="X324" s="4">
        <f>IF(ISERROR(VLOOKUP($U$324,'TAR FIN'!$A$1:$O$113,15,0)),0,VLOOKUP($U$324,'TAR FIN'!$A$1:$O$113,15,0))</f>
        <v>222.31</v>
      </c>
      <c r="Y324" s="4"/>
      <c r="Z324" s="4">
        <f ca="1">('TUSD BE'!$AM$32+'TUSD BF'!$AM$32+'TUSD CVA'!$AM$32)*1</f>
        <v>65.007409626508434</v>
      </c>
      <c r="AA324" s="4">
        <f>('TE BE'!$AA$11+'TE BF'!$AA$11+'TE CVA'!$AA$11)*1</f>
        <v>223.14561812044704</v>
      </c>
      <c r="AB324" s="4">
        <f t="shared" si="22"/>
        <v>0</v>
      </c>
      <c r="AC324" s="4">
        <f t="shared" si="23"/>
        <v>2271.39795</v>
      </c>
      <c r="AD324" s="4">
        <f t="shared" si="24"/>
        <v>0</v>
      </c>
      <c r="AE324" s="4">
        <f t="shared" ca="1" si="25"/>
        <v>2392.3905128690976</v>
      </c>
      <c r="AF324" s="3" t="s">
        <v>1024</v>
      </c>
    </row>
    <row r="325" spans="1:32" ht="11.25" customHeight="1" x14ac:dyDescent="0.25">
      <c r="A325" s="3" t="s">
        <v>21</v>
      </c>
      <c r="B325" s="3" t="s">
        <v>41</v>
      </c>
      <c r="C325" s="3" t="s">
        <v>42</v>
      </c>
      <c r="D325" s="3" t="s">
        <v>45</v>
      </c>
      <c r="E325" s="3" t="s">
        <v>53</v>
      </c>
      <c r="F325" s="3" t="s">
        <v>55</v>
      </c>
      <c r="G325" s="3" t="s">
        <v>25</v>
      </c>
      <c r="H325" s="3" t="s">
        <v>35</v>
      </c>
      <c r="I325" s="6">
        <v>44531</v>
      </c>
      <c r="J325" s="4">
        <v>0</v>
      </c>
      <c r="K325" s="4">
        <v>0</v>
      </c>
      <c r="L325" s="4">
        <v>920.84900000000005</v>
      </c>
      <c r="M325" s="4">
        <v>92.084900000000005</v>
      </c>
      <c r="N325" s="4">
        <v>920.84900000000005</v>
      </c>
      <c r="O325" s="4">
        <v>92.084900000000005</v>
      </c>
      <c r="P325" s="4">
        <v>0</v>
      </c>
      <c r="Q325" s="3" t="s">
        <v>26</v>
      </c>
      <c r="R325" s="3">
        <v>0</v>
      </c>
      <c r="S325" s="3">
        <v>0</v>
      </c>
      <c r="T325" s="3">
        <v>21</v>
      </c>
      <c r="U325" s="3">
        <v>89</v>
      </c>
      <c r="V325" s="4">
        <f>IF(ISERROR(VLOOKUP($S$325,'TAR FIN'!$A$1:$O$113,15,0)),0,VLOOKUP($S$325,'TAR FIN'!$A$1:$O$113,15,0))</f>
        <v>0</v>
      </c>
      <c r="W325" s="4">
        <f>IF(ISERROR(VLOOKUP($T$325,'TAR FIN'!$A$1:$O$113,15,0)),0,VLOOKUP($T$325,'TAR FIN'!$A$1:$O$113,15,0))</f>
        <v>51.27</v>
      </c>
      <c r="X325" s="4">
        <f>IF(ISERROR(VLOOKUP($U$325,'TAR FIN'!$A$1:$O$113,15,0)),0,VLOOKUP($U$325,'TAR FIN'!$A$1:$O$113,15,0))</f>
        <v>222.31</v>
      </c>
      <c r="Y325" s="4"/>
      <c r="Z325" s="4">
        <f ca="1">('TUSD BE'!$AM$32+'TUSD BF'!$AM$32+'TUSD CVA'!$AM$32)*1</f>
        <v>65.007409626508434</v>
      </c>
      <c r="AA325" s="4">
        <f>('TE BE'!$AA$11+'TE BF'!$AA$11+'TE CVA'!$AA$11)*1</f>
        <v>223.14561812044704</v>
      </c>
      <c r="AB325" s="4">
        <f t="shared" si="22"/>
        <v>0</v>
      </c>
      <c r="AC325" s="4">
        <f t="shared" si="23"/>
        <v>226733.28247800004</v>
      </c>
      <c r="AD325" s="4">
        <f t="shared" si="24"/>
        <v>0</v>
      </c>
      <c r="AE325" s="4">
        <f t="shared" ca="1" si="25"/>
        <v>238810.88470298063</v>
      </c>
      <c r="AF325" s="3" t="s">
        <v>1024</v>
      </c>
    </row>
    <row r="326" spans="1:32" ht="11.25" customHeight="1" x14ac:dyDescent="0.25">
      <c r="A326" s="3" t="s">
        <v>28</v>
      </c>
      <c r="B326" s="3" t="s">
        <v>41</v>
      </c>
      <c r="C326" s="3" t="s">
        <v>42</v>
      </c>
      <c r="D326" s="3" t="s">
        <v>45</v>
      </c>
      <c r="E326" s="3" t="s">
        <v>53</v>
      </c>
      <c r="F326" s="3" t="s">
        <v>55</v>
      </c>
      <c r="G326" s="3" t="s">
        <v>25</v>
      </c>
      <c r="H326" s="3" t="s">
        <v>35</v>
      </c>
      <c r="I326" s="6">
        <v>44531</v>
      </c>
      <c r="J326" s="4">
        <v>0</v>
      </c>
      <c r="K326" s="4">
        <v>0</v>
      </c>
      <c r="L326" s="4">
        <v>9.2249999999999996</v>
      </c>
      <c r="M326" s="4">
        <v>0.92249999999999999</v>
      </c>
      <c r="N326" s="4">
        <v>9.2249999999999996</v>
      </c>
      <c r="O326" s="4">
        <v>0.92249999999999999</v>
      </c>
      <c r="P326" s="4">
        <v>0</v>
      </c>
      <c r="Q326" s="3" t="s">
        <v>26</v>
      </c>
      <c r="R326" s="3">
        <v>0</v>
      </c>
      <c r="S326" s="3">
        <v>0</v>
      </c>
      <c r="T326" s="3">
        <v>21</v>
      </c>
      <c r="U326" s="3">
        <v>89</v>
      </c>
      <c r="V326" s="4">
        <f>IF(ISERROR(VLOOKUP($S$326,'TAR FIN'!$A$1:$O$113,15,0)),0,VLOOKUP($S$326,'TAR FIN'!$A$1:$O$113,15,0))</f>
        <v>0</v>
      </c>
      <c r="W326" s="4">
        <f>IF(ISERROR(VLOOKUP($T$326,'TAR FIN'!$A$1:$O$113,15,0)),0,VLOOKUP($T$326,'TAR FIN'!$A$1:$O$113,15,0))</f>
        <v>51.27</v>
      </c>
      <c r="X326" s="4">
        <f>IF(ISERROR(VLOOKUP($U$326,'TAR FIN'!$A$1:$O$113,15,0)),0,VLOOKUP($U$326,'TAR FIN'!$A$1:$O$113,15,0))</f>
        <v>222.31</v>
      </c>
      <c r="Y326" s="4"/>
      <c r="Z326" s="4">
        <f ca="1">('TUSD BE'!$AM$32+'TUSD BF'!$AM$32+'TUSD CVA'!$AM$32)*1</f>
        <v>65.007409626508434</v>
      </c>
      <c r="AA326" s="4">
        <f>('TE BE'!$AA$11+'TE BF'!$AA$11+'TE CVA'!$AA$11)*1</f>
        <v>223.14561812044704</v>
      </c>
      <c r="AB326" s="4">
        <f t="shared" si="22"/>
        <v>0</v>
      </c>
      <c r="AC326" s="4">
        <f t="shared" si="23"/>
        <v>2271.39795</v>
      </c>
      <c r="AD326" s="4">
        <f t="shared" si="24"/>
        <v>0</v>
      </c>
      <c r="AE326" s="4">
        <f t="shared" ca="1" si="25"/>
        <v>2392.3905128690976</v>
      </c>
      <c r="AF326" s="3" t="s">
        <v>1024</v>
      </c>
    </row>
    <row r="327" spans="1:32" ht="11.25" customHeight="1" x14ac:dyDescent="0.25">
      <c r="A327" s="3" t="s">
        <v>21</v>
      </c>
      <c r="B327" s="3" t="s">
        <v>41</v>
      </c>
      <c r="C327" s="3" t="s">
        <v>42</v>
      </c>
      <c r="D327" s="3" t="s">
        <v>45</v>
      </c>
      <c r="E327" s="3" t="s">
        <v>53</v>
      </c>
      <c r="F327" s="3" t="s">
        <v>55</v>
      </c>
      <c r="G327" s="3" t="s">
        <v>25</v>
      </c>
      <c r="H327" s="3" t="s">
        <v>35</v>
      </c>
      <c r="I327" s="6">
        <v>44562</v>
      </c>
      <c r="J327" s="4">
        <v>0</v>
      </c>
      <c r="K327" s="4">
        <v>0</v>
      </c>
      <c r="L327" s="4">
        <v>805.755</v>
      </c>
      <c r="M327" s="4">
        <v>80.575500000000005</v>
      </c>
      <c r="N327" s="4">
        <v>805.755</v>
      </c>
      <c r="O327" s="4">
        <v>80.575500000000005</v>
      </c>
      <c r="P327" s="4">
        <v>0</v>
      </c>
      <c r="Q327" s="3" t="s">
        <v>26</v>
      </c>
      <c r="R327" s="3">
        <v>0</v>
      </c>
      <c r="S327" s="3">
        <v>0</v>
      </c>
      <c r="T327" s="3">
        <v>21</v>
      </c>
      <c r="U327" s="3">
        <v>89</v>
      </c>
      <c r="V327" s="4">
        <f>IF(ISERROR(VLOOKUP($S$327,'TAR FIN'!$A$1:$O$113,15,0)),0,VLOOKUP($S$327,'TAR FIN'!$A$1:$O$113,15,0))</f>
        <v>0</v>
      </c>
      <c r="W327" s="4">
        <f>IF(ISERROR(VLOOKUP($T$327,'TAR FIN'!$A$1:$O$113,15,0)),0,VLOOKUP($T$327,'TAR FIN'!$A$1:$O$113,15,0))</f>
        <v>51.27</v>
      </c>
      <c r="X327" s="4">
        <f>IF(ISERROR(VLOOKUP($U$327,'TAR FIN'!$A$1:$O$113,15,0)),0,VLOOKUP($U$327,'TAR FIN'!$A$1:$O$113,15,0))</f>
        <v>222.31</v>
      </c>
      <c r="Y327" s="4"/>
      <c r="Z327" s="4">
        <f ca="1">('TUSD BE'!$AM$32+'TUSD BF'!$AM$32+'TUSD CVA'!$AM$32)*1</f>
        <v>65.007409626508434</v>
      </c>
      <c r="AA327" s="4">
        <f>('TE BE'!$AA$11+'TE BF'!$AA$11+'TE CVA'!$AA$11)*1</f>
        <v>223.14561812044704</v>
      </c>
      <c r="AB327" s="4">
        <f t="shared" si="22"/>
        <v>0</v>
      </c>
      <c r="AC327" s="4">
        <f t="shared" si="23"/>
        <v>198394.60761000001</v>
      </c>
      <c r="AD327" s="4">
        <f t="shared" si="24"/>
        <v>0</v>
      </c>
      <c r="AE327" s="4">
        <f t="shared" ca="1" si="25"/>
        <v>208962.66858502329</v>
      </c>
      <c r="AF327" s="3" t="s">
        <v>1024</v>
      </c>
    </row>
    <row r="328" spans="1:32" ht="11.25" customHeight="1" x14ac:dyDescent="0.25">
      <c r="A328" s="3" t="s">
        <v>27</v>
      </c>
      <c r="B328" s="3" t="s">
        <v>41</v>
      </c>
      <c r="C328" s="3" t="s">
        <v>42</v>
      </c>
      <c r="D328" s="3" t="s">
        <v>45</v>
      </c>
      <c r="E328" s="3" t="s">
        <v>53</v>
      </c>
      <c r="F328" s="3" t="s">
        <v>55</v>
      </c>
      <c r="G328" s="3" t="s">
        <v>25</v>
      </c>
      <c r="H328" s="3" t="s">
        <v>35</v>
      </c>
      <c r="I328" s="6">
        <v>44562</v>
      </c>
      <c r="J328" s="4">
        <v>0</v>
      </c>
      <c r="K328" s="4">
        <v>0</v>
      </c>
      <c r="L328" s="4">
        <v>136.136</v>
      </c>
      <c r="M328" s="4">
        <v>13.6136</v>
      </c>
      <c r="N328" s="4">
        <v>136.136</v>
      </c>
      <c r="O328" s="4">
        <v>13.6136</v>
      </c>
      <c r="P328" s="4">
        <v>0</v>
      </c>
      <c r="Q328" s="3" t="s">
        <v>26</v>
      </c>
      <c r="R328" s="3">
        <v>0</v>
      </c>
      <c r="S328" s="3">
        <v>0</v>
      </c>
      <c r="T328" s="3">
        <v>21</v>
      </c>
      <c r="U328" s="3">
        <v>89</v>
      </c>
      <c r="V328" s="4">
        <f>IF(ISERROR(VLOOKUP($S$328,'TAR FIN'!$A$1:$O$113,15,0)),0,VLOOKUP($S$328,'TAR FIN'!$A$1:$O$113,15,0))</f>
        <v>0</v>
      </c>
      <c r="W328" s="4">
        <f>IF(ISERROR(VLOOKUP($T$328,'TAR FIN'!$A$1:$O$113,15,0)),0,VLOOKUP($T$328,'TAR FIN'!$A$1:$O$113,15,0))</f>
        <v>51.27</v>
      </c>
      <c r="X328" s="4">
        <f>IF(ISERROR(VLOOKUP($U$328,'TAR FIN'!$A$1:$O$113,15,0)),0,VLOOKUP($U$328,'TAR FIN'!$A$1:$O$113,15,0))</f>
        <v>222.31</v>
      </c>
      <c r="Y328" s="4"/>
      <c r="Z328" s="4">
        <f ca="1">('TUSD BE'!$AM$32+'TUSD BF'!$AM$32+'TUSD CVA'!$AM$32)*1</f>
        <v>65.007409626508434</v>
      </c>
      <c r="AA328" s="4">
        <f>('TE BE'!$AA$11+'TE BF'!$AA$11+'TE CVA'!$AA$11)*1</f>
        <v>223.14561812044704</v>
      </c>
      <c r="AB328" s="4">
        <f t="shared" si="22"/>
        <v>0</v>
      </c>
      <c r="AC328" s="4">
        <f t="shared" si="23"/>
        <v>33519.678191999999</v>
      </c>
      <c r="AD328" s="4">
        <f t="shared" si="24"/>
        <v>0</v>
      </c>
      <c r="AE328" s="4">
        <f t="shared" ca="1" si="25"/>
        <v>35305.200526823573</v>
      </c>
      <c r="AF328" s="3" t="s">
        <v>1024</v>
      </c>
    </row>
    <row r="329" spans="1:32" ht="11.25" customHeight="1" x14ac:dyDescent="0.25">
      <c r="A329" s="3" t="s">
        <v>28</v>
      </c>
      <c r="B329" s="3" t="s">
        <v>41</v>
      </c>
      <c r="C329" s="3" t="s">
        <v>42</v>
      </c>
      <c r="D329" s="3" t="s">
        <v>45</v>
      </c>
      <c r="E329" s="3" t="s">
        <v>53</v>
      </c>
      <c r="F329" s="3" t="s">
        <v>55</v>
      </c>
      <c r="G329" s="3" t="s">
        <v>25</v>
      </c>
      <c r="H329" s="3" t="s">
        <v>35</v>
      </c>
      <c r="I329" s="6">
        <v>44562</v>
      </c>
      <c r="J329" s="4">
        <v>0</v>
      </c>
      <c r="K329" s="4">
        <v>0</v>
      </c>
      <c r="L329" s="4">
        <v>11.468</v>
      </c>
      <c r="M329" s="4">
        <v>1.1468</v>
      </c>
      <c r="N329" s="4">
        <v>11.468</v>
      </c>
      <c r="O329" s="4">
        <v>1.1468</v>
      </c>
      <c r="P329" s="4">
        <v>0</v>
      </c>
      <c r="Q329" s="3" t="s">
        <v>26</v>
      </c>
      <c r="R329" s="3">
        <v>0</v>
      </c>
      <c r="S329" s="3">
        <v>0</v>
      </c>
      <c r="T329" s="3">
        <v>21</v>
      </c>
      <c r="U329" s="3">
        <v>89</v>
      </c>
      <c r="V329" s="4">
        <f>IF(ISERROR(VLOOKUP($S$329,'TAR FIN'!$A$1:$O$113,15,0)),0,VLOOKUP($S$329,'TAR FIN'!$A$1:$O$113,15,0))</f>
        <v>0</v>
      </c>
      <c r="W329" s="4">
        <f>IF(ISERROR(VLOOKUP($T$329,'TAR FIN'!$A$1:$O$113,15,0)),0,VLOOKUP($T$329,'TAR FIN'!$A$1:$O$113,15,0))</f>
        <v>51.27</v>
      </c>
      <c r="X329" s="4">
        <f>IF(ISERROR(VLOOKUP($U$329,'TAR FIN'!$A$1:$O$113,15,0)),0,VLOOKUP($U$329,'TAR FIN'!$A$1:$O$113,15,0))</f>
        <v>222.31</v>
      </c>
      <c r="Y329" s="4"/>
      <c r="Z329" s="4">
        <f ca="1">('TUSD BE'!$AM$32+'TUSD BF'!$AM$32+'TUSD CVA'!$AM$32)*1</f>
        <v>65.007409626508434</v>
      </c>
      <c r="AA329" s="4">
        <f>('TE BE'!$AA$11+'TE BF'!$AA$11+'TE CVA'!$AA$11)*1</f>
        <v>223.14561812044704</v>
      </c>
      <c r="AB329" s="4">
        <f t="shared" si="22"/>
        <v>0</v>
      </c>
      <c r="AC329" s="4">
        <f t="shared" si="23"/>
        <v>2823.6738959999998</v>
      </c>
      <c r="AD329" s="4">
        <f t="shared" si="24"/>
        <v>0</v>
      </c>
      <c r="AE329" s="4">
        <f t="shared" ca="1" si="25"/>
        <v>2974.0850299818767</v>
      </c>
      <c r="AF329" s="3" t="s">
        <v>1024</v>
      </c>
    </row>
    <row r="330" spans="1:32" ht="11.25" customHeight="1" x14ac:dyDescent="0.25">
      <c r="A330" s="3" t="s">
        <v>21</v>
      </c>
      <c r="B330" s="3" t="s">
        <v>41</v>
      </c>
      <c r="C330" s="3" t="s">
        <v>42</v>
      </c>
      <c r="D330" s="3" t="s">
        <v>45</v>
      </c>
      <c r="E330" s="3" t="s">
        <v>53</v>
      </c>
      <c r="F330" s="3" t="s">
        <v>55</v>
      </c>
      <c r="G330" s="3" t="s">
        <v>25</v>
      </c>
      <c r="H330" s="3" t="s">
        <v>35</v>
      </c>
      <c r="I330" s="6">
        <v>44593</v>
      </c>
      <c r="J330" s="4">
        <v>0</v>
      </c>
      <c r="K330" s="4">
        <v>0</v>
      </c>
      <c r="L330" s="4">
        <v>1792.2349999999999</v>
      </c>
      <c r="M330" s="4">
        <v>179.2235</v>
      </c>
      <c r="N330" s="4">
        <v>1792.2349999999999</v>
      </c>
      <c r="O330" s="4">
        <v>179.2235</v>
      </c>
      <c r="P330" s="4">
        <v>0</v>
      </c>
      <c r="Q330" s="3" t="s">
        <v>26</v>
      </c>
      <c r="R330" s="3">
        <v>0</v>
      </c>
      <c r="S330" s="3">
        <v>0</v>
      </c>
      <c r="T330" s="3">
        <v>21</v>
      </c>
      <c r="U330" s="3">
        <v>89</v>
      </c>
      <c r="V330" s="4">
        <f>IF(ISERROR(VLOOKUP($S$330,'TAR FIN'!$A$1:$O$113,15,0)),0,VLOOKUP($S$330,'TAR FIN'!$A$1:$O$113,15,0))</f>
        <v>0</v>
      </c>
      <c r="W330" s="4">
        <f>IF(ISERROR(VLOOKUP($T$330,'TAR FIN'!$A$1:$O$113,15,0)),0,VLOOKUP($T$330,'TAR FIN'!$A$1:$O$113,15,0))</f>
        <v>51.27</v>
      </c>
      <c r="X330" s="4">
        <f>IF(ISERROR(VLOOKUP($U$330,'TAR FIN'!$A$1:$O$113,15,0)),0,VLOOKUP($U$330,'TAR FIN'!$A$1:$O$113,15,0))</f>
        <v>222.31</v>
      </c>
      <c r="Y330" s="4"/>
      <c r="Z330" s="4">
        <f ca="1">('TUSD BE'!$AM$32+'TUSD BF'!$AM$32+'TUSD CVA'!$AM$32)*1</f>
        <v>65.007409626508434</v>
      </c>
      <c r="AA330" s="4">
        <f>('TE BE'!$AA$11+'TE BF'!$AA$11+'TE CVA'!$AA$11)*1</f>
        <v>223.14561812044704</v>
      </c>
      <c r="AB330" s="4">
        <f t="shared" si="22"/>
        <v>0</v>
      </c>
      <c r="AC330" s="4">
        <f t="shared" si="23"/>
        <v>441287.68616999994</v>
      </c>
      <c r="AD330" s="4">
        <f t="shared" si="24"/>
        <v>0</v>
      </c>
      <c r="AE330" s="4">
        <f t="shared" ca="1" si="25"/>
        <v>464794.14751565823</v>
      </c>
      <c r="AF330" s="3" t="s">
        <v>1024</v>
      </c>
    </row>
    <row r="331" spans="1:32" ht="11.25" customHeight="1" x14ac:dyDescent="0.25">
      <c r="A331" s="3" t="s">
        <v>28</v>
      </c>
      <c r="B331" s="3" t="s">
        <v>41</v>
      </c>
      <c r="C331" s="3" t="s">
        <v>42</v>
      </c>
      <c r="D331" s="3" t="s">
        <v>45</v>
      </c>
      <c r="E331" s="3" t="s">
        <v>53</v>
      </c>
      <c r="F331" s="3" t="s">
        <v>55</v>
      </c>
      <c r="G331" s="3" t="s">
        <v>25</v>
      </c>
      <c r="H331" s="3" t="s">
        <v>35</v>
      </c>
      <c r="I331" s="6">
        <v>44593</v>
      </c>
      <c r="J331" s="4">
        <v>0</v>
      </c>
      <c r="K331" s="4">
        <v>0</v>
      </c>
      <c r="L331" s="4">
        <v>12.901</v>
      </c>
      <c r="M331" s="4">
        <v>1.2901</v>
      </c>
      <c r="N331" s="4">
        <v>12.901</v>
      </c>
      <c r="O331" s="4">
        <v>1.2901</v>
      </c>
      <c r="P331" s="4">
        <v>0</v>
      </c>
      <c r="Q331" s="3" t="s">
        <v>26</v>
      </c>
      <c r="R331" s="3">
        <v>0</v>
      </c>
      <c r="S331" s="3">
        <v>0</v>
      </c>
      <c r="T331" s="3">
        <v>21</v>
      </c>
      <c r="U331" s="3">
        <v>89</v>
      </c>
      <c r="V331" s="4">
        <f>IF(ISERROR(VLOOKUP($S$331,'TAR FIN'!$A$1:$O$113,15,0)),0,VLOOKUP($S$331,'TAR FIN'!$A$1:$O$113,15,0))</f>
        <v>0</v>
      </c>
      <c r="W331" s="4">
        <f>IF(ISERROR(VLOOKUP($T$331,'TAR FIN'!$A$1:$O$113,15,0)),0,VLOOKUP($T$331,'TAR FIN'!$A$1:$O$113,15,0))</f>
        <v>51.27</v>
      </c>
      <c r="X331" s="4">
        <f>IF(ISERROR(VLOOKUP($U$331,'TAR FIN'!$A$1:$O$113,15,0)),0,VLOOKUP($U$331,'TAR FIN'!$A$1:$O$113,15,0))</f>
        <v>222.31</v>
      </c>
      <c r="Y331" s="4"/>
      <c r="Z331" s="4">
        <f ca="1">('TUSD BE'!$AM$32+'TUSD BF'!$AM$32+'TUSD CVA'!$AM$32)*1</f>
        <v>65.007409626508434</v>
      </c>
      <c r="AA331" s="4">
        <f>('TE BE'!$AA$11+'TE BF'!$AA$11+'TE CVA'!$AA$11)*1</f>
        <v>223.14561812044704</v>
      </c>
      <c r="AB331" s="4">
        <f t="shared" si="22"/>
        <v>0</v>
      </c>
      <c r="AC331" s="4">
        <f t="shared" si="23"/>
        <v>3176.5100219999995</v>
      </c>
      <c r="AD331" s="4">
        <f t="shared" si="24"/>
        <v>0</v>
      </c>
      <c r="AE331" s="4">
        <f t="shared" ca="1" si="25"/>
        <v>3345.7159898671252</v>
      </c>
      <c r="AF331" s="3" t="s">
        <v>1024</v>
      </c>
    </row>
    <row r="332" spans="1:32" ht="11.25" customHeight="1" x14ac:dyDescent="0.25">
      <c r="A332" s="3" t="s">
        <v>56</v>
      </c>
      <c r="B332" s="3" t="s">
        <v>41</v>
      </c>
      <c r="C332" s="3" t="s">
        <v>42</v>
      </c>
      <c r="D332" s="3" t="s">
        <v>45</v>
      </c>
      <c r="E332" s="3" t="s">
        <v>53</v>
      </c>
      <c r="F332" s="3" t="s">
        <v>55</v>
      </c>
      <c r="G332" s="3" t="s">
        <v>25</v>
      </c>
      <c r="H332" s="3" t="s">
        <v>35</v>
      </c>
      <c r="I332" s="6">
        <v>44621</v>
      </c>
      <c r="J332" s="4">
        <v>0</v>
      </c>
      <c r="K332" s="4">
        <v>0</v>
      </c>
      <c r="L332" s="4">
        <v>1792.2349999999999</v>
      </c>
      <c r="M332" s="4">
        <v>179.2235</v>
      </c>
      <c r="N332" s="4">
        <v>1792.2349999999999</v>
      </c>
      <c r="O332" s="4">
        <v>179.2235</v>
      </c>
      <c r="P332" s="4">
        <v>0</v>
      </c>
      <c r="Q332" s="3" t="s">
        <v>26</v>
      </c>
      <c r="R332" s="3">
        <v>0</v>
      </c>
      <c r="S332" s="3">
        <v>0</v>
      </c>
      <c r="T332" s="3">
        <v>21</v>
      </c>
      <c r="U332" s="3">
        <v>89</v>
      </c>
      <c r="V332" s="4">
        <f>IF(ISERROR(VLOOKUP($S$332,'TAR FIN'!$A$1:$O$113,15,0)),0,VLOOKUP($S$332,'TAR FIN'!$A$1:$O$113,15,0))</f>
        <v>0</v>
      </c>
      <c r="W332" s="4">
        <f>IF(ISERROR(VLOOKUP($T$332,'TAR FIN'!$A$1:$O$113,15,0)),0,VLOOKUP($T$332,'TAR FIN'!$A$1:$O$113,15,0))</f>
        <v>51.27</v>
      </c>
      <c r="X332" s="4">
        <f>IF(ISERROR(VLOOKUP($U$332,'TAR FIN'!$A$1:$O$113,15,0)),0,VLOOKUP($U$332,'TAR FIN'!$A$1:$O$113,15,0))</f>
        <v>222.31</v>
      </c>
      <c r="Y332" s="4"/>
      <c r="Z332" s="4">
        <f ca="1">('TUSD BE'!$AM$32+'TUSD BF'!$AM$32+'TUSD CVA'!$AM$32)*1</f>
        <v>65.007409626508434</v>
      </c>
      <c r="AA332" s="4">
        <f>('TE BE'!$AA$11+'TE BF'!$AA$11+'TE CVA'!$AA$11)*1</f>
        <v>223.14561812044704</v>
      </c>
      <c r="AB332" s="4">
        <f t="shared" si="22"/>
        <v>0</v>
      </c>
      <c r="AC332" s="4">
        <f t="shared" si="23"/>
        <v>441287.68616999994</v>
      </c>
      <c r="AD332" s="4">
        <f t="shared" si="24"/>
        <v>0</v>
      </c>
      <c r="AE332" s="4">
        <f t="shared" ca="1" si="25"/>
        <v>464794.14751565823</v>
      </c>
      <c r="AF332" s="3" t="s">
        <v>1024</v>
      </c>
    </row>
    <row r="333" spans="1:32" ht="11.25" customHeight="1" x14ac:dyDescent="0.25">
      <c r="A333" s="3" t="s">
        <v>56</v>
      </c>
      <c r="B333" s="3" t="s">
        <v>41</v>
      </c>
      <c r="C333" s="3" t="s">
        <v>42</v>
      </c>
      <c r="D333" s="3" t="s">
        <v>45</v>
      </c>
      <c r="E333" s="3" t="s">
        <v>53</v>
      </c>
      <c r="F333" s="3" t="s">
        <v>55</v>
      </c>
      <c r="G333" s="3" t="s">
        <v>25</v>
      </c>
      <c r="H333" s="3" t="s">
        <v>35</v>
      </c>
      <c r="I333" s="6">
        <v>44621</v>
      </c>
      <c r="J333" s="4">
        <v>0</v>
      </c>
      <c r="K333" s="4">
        <v>0</v>
      </c>
      <c r="L333" s="4">
        <v>12.901</v>
      </c>
      <c r="M333" s="4">
        <v>1.2901</v>
      </c>
      <c r="N333" s="4">
        <v>12.901</v>
      </c>
      <c r="O333" s="4">
        <v>1.2901</v>
      </c>
      <c r="P333" s="4">
        <v>0</v>
      </c>
      <c r="Q333" s="3" t="s">
        <v>26</v>
      </c>
      <c r="R333" s="3">
        <v>0</v>
      </c>
      <c r="S333" s="3">
        <v>0</v>
      </c>
      <c r="T333" s="3">
        <v>21</v>
      </c>
      <c r="U333" s="3">
        <v>89</v>
      </c>
      <c r="V333" s="4">
        <f>IF(ISERROR(VLOOKUP($S$333,'TAR FIN'!$A$1:$O$113,15,0)),0,VLOOKUP($S$333,'TAR FIN'!$A$1:$O$113,15,0))</f>
        <v>0</v>
      </c>
      <c r="W333" s="4">
        <f>IF(ISERROR(VLOOKUP($T$333,'TAR FIN'!$A$1:$O$113,15,0)),0,VLOOKUP($T$333,'TAR FIN'!$A$1:$O$113,15,0))</f>
        <v>51.27</v>
      </c>
      <c r="X333" s="4">
        <f>IF(ISERROR(VLOOKUP($U$333,'TAR FIN'!$A$1:$O$113,15,0)),0,VLOOKUP($U$333,'TAR FIN'!$A$1:$O$113,15,0))</f>
        <v>222.31</v>
      </c>
      <c r="Y333" s="4"/>
      <c r="Z333" s="4">
        <f ca="1">('TUSD BE'!$AM$32+'TUSD BF'!$AM$32+'TUSD CVA'!$AM$32)*1</f>
        <v>65.007409626508434</v>
      </c>
      <c r="AA333" s="4">
        <f>('TE BE'!$AA$11+'TE BF'!$AA$11+'TE CVA'!$AA$11)*1</f>
        <v>223.14561812044704</v>
      </c>
      <c r="AB333" s="4">
        <f t="shared" si="22"/>
        <v>0</v>
      </c>
      <c r="AC333" s="4">
        <f t="shared" si="23"/>
        <v>3176.5100219999995</v>
      </c>
      <c r="AD333" s="4">
        <f t="shared" si="24"/>
        <v>0</v>
      </c>
      <c r="AE333" s="4">
        <f t="shared" ca="1" si="25"/>
        <v>3345.7159898671252</v>
      </c>
      <c r="AF333" s="3" t="s">
        <v>1024</v>
      </c>
    </row>
    <row r="334" spans="1:32" ht="11.25" customHeight="1" x14ac:dyDescent="0.25">
      <c r="A334" s="3" t="s">
        <v>21</v>
      </c>
      <c r="B334" s="3" t="s">
        <v>41</v>
      </c>
      <c r="C334" s="3" t="s">
        <v>42</v>
      </c>
      <c r="D334" s="3" t="s">
        <v>45</v>
      </c>
      <c r="E334" s="3" t="s">
        <v>53</v>
      </c>
      <c r="F334" s="3" t="s">
        <v>25</v>
      </c>
      <c r="G334" s="3" t="s">
        <v>25</v>
      </c>
      <c r="H334" s="3" t="s">
        <v>35</v>
      </c>
      <c r="I334" s="6">
        <v>44287</v>
      </c>
      <c r="J334" s="4">
        <v>0</v>
      </c>
      <c r="K334" s="56">
        <v>0</v>
      </c>
      <c r="L334" s="4">
        <v>1096.0350000000001</v>
      </c>
      <c r="M334" s="56">
        <v>1096.0350000000001</v>
      </c>
      <c r="N334" s="4">
        <v>1096.0350000000001</v>
      </c>
      <c r="O334" s="56">
        <v>1096.0350000000001</v>
      </c>
      <c r="P334" s="4">
        <v>0</v>
      </c>
      <c r="Q334" s="3" t="s">
        <v>26</v>
      </c>
      <c r="R334" s="3">
        <v>0</v>
      </c>
      <c r="S334" s="3">
        <v>0</v>
      </c>
      <c r="T334" s="3">
        <v>21</v>
      </c>
      <c r="U334" s="3">
        <v>89</v>
      </c>
      <c r="V334" s="56">
        <f>IF(ISERROR(VLOOKUP($S$334,'TAR FIN'!$A$1:$O$113,15,0)),0,VLOOKUP($S$334,'TAR FIN'!$A$1:$O$113,15,0))</f>
        <v>0</v>
      </c>
      <c r="W334" s="56">
        <f>IF(ISERROR(VLOOKUP($T$334,'TAR FIN'!$A$1:$O$113,15,0)),0,VLOOKUP($T$334,'TAR FIN'!$A$1:$O$113,15,0))*(1-0.04)</f>
        <v>49.219200000000001</v>
      </c>
      <c r="X334" s="56">
        <f>IF(ISERROR(VLOOKUP($U$334,'TAR FIN'!$A$1:$O$113,15,0)),0,VLOOKUP($U$334,'TAR FIN'!$A$1:$O$113,15,0))*(1-0.04)</f>
        <v>213.41759999999999</v>
      </c>
      <c r="Y334" s="56"/>
      <c r="Z334" s="56">
        <f ca="1">('TUSD BE'!$AM$32+'TUSD BF'!$AM$32+'TUSD CVA'!$AM$32)*1*(1-0.02)</f>
        <v>63.70726143397826</v>
      </c>
      <c r="AA334" s="56">
        <f>('TE BE'!$AA$11+'TE BF'!$AA$11+'TE CVA'!$AA$11)*1*(1-0.02)</f>
        <v>218.68270575803808</v>
      </c>
      <c r="AB334" s="56">
        <f>(SUBSIDIO!$J$334*SUBSIDIO!$V$334)*(0.04)/(1-0.04)</f>
        <v>0</v>
      </c>
      <c r="AC334" s="56">
        <f>((SUBSIDIO!$L$334*SUBSIDIO!$W$334)+(SUBSIDIO!$N$334*SUBSIDIO!$X$334))*(0.04)/(1-0.04)</f>
        <v>11994.130212000002</v>
      </c>
      <c r="AD334" s="56">
        <f>(SUBSIDIO!$J$334*SUBSIDIO!$Y$334)*(0.02)/(1-0.02)</f>
        <v>0</v>
      </c>
      <c r="AE334" s="56">
        <f ca="1">((SUBSIDIO!$L$334*SUBSIDIO!$Z$334)+(SUBSIDIO!$N$334*SUBSIDIO!$AA$334))*(0.02)/(1-0.02)</f>
        <v>6316.5160753326873</v>
      </c>
      <c r="AF334" s="3" t="s">
        <v>1023</v>
      </c>
    </row>
    <row r="335" spans="1:32" ht="11.25" customHeight="1" x14ac:dyDescent="0.25">
      <c r="A335" s="3" t="s">
        <v>21</v>
      </c>
      <c r="B335" s="3" t="s">
        <v>41</v>
      </c>
      <c r="C335" s="3" t="s">
        <v>42</v>
      </c>
      <c r="D335" s="3" t="s">
        <v>45</v>
      </c>
      <c r="E335" s="3" t="s">
        <v>53</v>
      </c>
      <c r="F335" s="3" t="s">
        <v>25</v>
      </c>
      <c r="G335" s="3" t="s">
        <v>25</v>
      </c>
      <c r="H335" s="3" t="s">
        <v>35</v>
      </c>
      <c r="I335" s="6">
        <v>44317</v>
      </c>
      <c r="J335" s="4">
        <v>0</v>
      </c>
      <c r="K335" s="56">
        <v>0</v>
      </c>
      <c r="L335" s="4">
        <v>427.09</v>
      </c>
      <c r="M335" s="56">
        <v>427.09</v>
      </c>
      <c r="N335" s="4">
        <v>427.09</v>
      </c>
      <c r="O335" s="56">
        <v>427.09</v>
      </c>
      <c r="P335" s="4">
        <v>0</v>
      </c>
      <c r="Q335" s="3" t="s">
        <v>26</v>
      </c>
      <c r="R335" s="3">
        <v>0</v>
      </c>
      <c r="S335" s="3">
        <v>0</v>
      </c>
      <c r="T335" s="3">
        <v>21</v>
      </c>
      <c r="U335" s="3">
        <v>89</v>
      </c>
      <c r="V335" s="56">
        <f>IF(ISERROR(VLOOKUP($S$335,'TAR FIN'!$A$1:$O$113,15,0)),0,VLOOKUP($S$335,'TAR FIN'!$A$1:$O$113,15,0))</f>
        <v>0</v>
      </c>
      <c r="W335" s="56">
        <f>IF(ISERROR(VLOOKUP($T$335,'TAR FIN'!$A$1:$O$113,15,0)),0,VLOOKUP($T$335,'TAR FIN'!$A$1:$O$113,15,0))*(1-0.04)</f>
        <v>49.219200000000001</v>
      </c>
      <c r="X335" s="56">
        <f>IF(ISERROR(VLOOKUP($U$335,'TAR FIN'!$A$1:$O$113,15,0)),0,VLOOKUP($U$335,'TAR FIN'!$A$1:$O$113,15,0))*(1-0.04)</f>
        <v>213.41759999999999</v>
      </c>
      <c r="Y335" s="56"/>
      <c r="Z335" s="56">
        <f ca="1">('TUSD BE'!$AM$32+'TUSD BF'!$AM$32+'TUSD CVA'!$AM$32)*1*(1-0.02)</f>
        <v>63.70726143397826</v>
      </c>
      <c r="AA335" s="56">
        <f>('TE BE'!$AA$11+'TE BF'!$AA$11+'TE CVA'!$AA$11)*1*(1-0.02)</f>
        <v>218.68270575803808</v>
      </c>
      <c r="AB335" s="56">
        <f>(SUBSIDIO!$J$335*SUBSIDIO!$V$335)*(0.04)/(1-0.04)</f>
        <v>0</v>
      </c>
      <c r="AC335" s="56">
        <f>((SUBSIDIO!$L$335*SUBSIDIO!$W$335)+(SUBSIDIO!$N$335*SUBSIDIO!$X$335))*(0.04)/(1-0.04)</f>
        <v>4673.731287999999</v>
      </c>
      <c r="AD335" s="56">
        <f>(SUBSIDIO!$J$335*SUBSIDIO!$Y$335)*(0.02)/(1-0.02)</f>
        <v>0</v>
      </c>
      <c r="AE335" s="56">
        <f ca="1">((SUBSIDIO!$L$335*SUBSIDIO!$Z$335)+(SUBSIDIO!$N$335*SUBSIDIO!$AA$335))*(0.02)/(1-0.02)</f>
        <v>2461.3455324089441</v>
      </c>
      <c r="AF335" s="3" t="s">
        <v>1023</v>
      </c>
    </row>
    <row r="336" spans="1:32" ht="11.25" customHeight="1" x14ac:dyDescent="0.25">
      <c r="A336" s="3" t="s">
        <v>21</v>
      </c>
      <c r="B336" s="3" t="s">
        <v>41</v>
      </c>
      <c r="C336" s="3" t="s">
        <v>42</v>
      </c>
      <c r="D336" s="3" t="s">
        <v>45</v>
      </c>
      <c r="E336" s="3" t="s">
        <v>53</v>
      </c>
      <c r="F336" s="3" t="s">
        <v>25</v>
      </c>
      <c r="G336" s="3" t="s">
        <v>25</v>
      </c>
      <c r="H336" s="3" t="s">
        <v>35</v>
      </c>
      <c r="I336" s="6">
        <v>44348</v>
      </c>
      <c r="J336" s="4">
        <v>0</v>
      </c>
      <c r="K336" s="56">
        <v>0</v>
      </c>
      <c r="L336" s="4">
        <v>450.166</v>
      </c>
      <c r="M336" s="56">
        <v>450.166</v>
      </c>
      <c r="N336" s="4">
        <v>450.166</v>
      </c>
      <c r="O336" s="56">
        <v>450.166</v>
      </c>
      <c r="P336" s="4">
        <v>0</v>
      </c>
      <c r="Q336" s="3" t="s">
        <v>26</v>
      </c>
      <c r="R336" s="3">
        <v>0</v>
      </c>
      <c r="S336" s="3">
        <v>0</v>
      </c>
      <c r="T336" s="3">
        <v>21</v>
      </c>
      <c r="U336" s="3">
        <v>89</v>
      </c>
      <c r="V336" s="56">
        <f>IF(ISERROR(VLOOKUP($S$336,'TAR FIN'!$A$1:$O$113,15,0)),0,VLOOKUP($S$336,'TAR FIN'!$A$1:$O$113,15,0))</f>
        <v>0</v>
      </c>
      <c r="W336" s="56">
        <f>IF(ISERROR(VLOOKUP($T$336,'TAR FIN'!$A$1:$O$113,15,0)),0,VLOOKUP($T$336,'TAR FIN'!$A$1:$O$113,15,0))*(1-0.04)</f>
        <v>49.219200000000001</v>
      </c>
      <c r="X336" s="56">
        <f>IF(ISERROR(VLOOKUP($U$336,'TAR FIN'!$A$1:$O$113,15,0)),0,VLOOKUP($U$336,'TAR FIN'!$A$1:$O$113,15,0))*(1-0.04)</f>
        <v>213.41759999999999</v>
      </c>
      <c r="Y336" s="56"/>
      <c r="Z336" s="56">
        <f ca="1">('TUSD BE'!$AM$32+'TUSD BF'!$AM$32+'TUSD CVA'!$AM$32)*1*(1-0.02)</f>
        <v>63.70726143397826</v>
      </c>
      <c r="AA336" s="56">
        <f>('TE BE'!$AA$11+'TE BF'!$AA$11+'TE CVA'!$AA$11)*1*(1-0.02)</f>
        <v>218.68270575803808</v>
      </c>
      <c r="AB336" s="56">
        <f>(SUBSIDIO!$J$336*SUBSIDIO!$V$336)*(0.04)/(1-0.04)</f>
        <v>0</v>
      </c>
      <c r="AC336" s="56">
        <f>((SUBSIDIO!$L$336*SUBSIDIO!$W$336)+(SUBSIDIO!$N$336*SUBSIDIO!$X$336))*(0.04)/(1-0.04)</f>
        <v>4926.2565711999996</v>
      </c>
      <c r="AD336" s="56">
        <f>(SUBSIDIO!$J$336*SUBSIDIO!$Y$336)*(0.02)/(1-0.02)</f>
        <v>0</v>
      </c>
      <c r="AE336" s="56">
        <f ca="1">((SUBSIDIO!$L$336*SUBSIDIO!$Z$336)+(SUBSIDIO!$N$336*SUBSIDIO!$AA$336))*(0.02)/(1-0.02)</f>
        <v>2594.3339177747189</v>
      </c>
      <c r="AF336" s="3" t="s">
        <v>1023</v>
      </c>
    </row>
    <row r="337" spans="1:32" ht="11.25" customHeight="1" x14ac:dyDescent="0.25">
      <c r="A337" s="3" t="s">
        <v>21</v>
      </c>
      <c r="B337" s="3" t="s">
        <v>41</v>
      </c>
      <c r="C337" s="3" t="s">
        <v>42</v>
      </c>
      <c r="D337" s="3" t="s">
        <v>45</v>
      </c>
      <c r="E337" s="3" t="s">
        <v>53</v>
      </c>
      <c r="F337" s="3" t="s">
        <v>25</v>
      </c>
      <c r="G337" s="3" t="s">
        <v>25</v>
      </c>
      <c r="H337" s="3" t="s">
        <v>35</v>
      </c>
      <c r="I337" s="6">
        <v>44378</v>
      </c>
      <c r="J337" s="4">
        <v>0</v>
      </c>
      <c r="K337" s="56">
        <v>0</v>
      </c>
      <c r="L337" s="4">
        <v>491.87799999999999</v>
      </c>
      <c r="M337" s="56">
        <v>491.87799999999999</v>
      </c>
      <c r="N337" s="4">
        <v>491.87799999999999</v>
      </c>
      <c r="O337" s="56">
        <v>491.87799999999999</v>
      </c>
      <c r="P337" s="4">
        <v>0</v>
      </c>
      <c r="Q337" s="3" t="s">
        <v>26</v>
      </c>
      <c r="R337" s="3">
        <v>0</v>
      </c>
      <c r="S337" s="3">
        <v>0</v>
      </c>
      <c r="T337" s="3">
        <v>21</v>
      </c>
      <c r="U337" s="3">
        <v>89</v>
      </c>
      <c r="V337" s="56">
        <f>IF(ISERROR(VLOOKUP($S$337,'TAR FIN'!$A$1:$O$113,15,0)),0,VLOOKUP($S$337,'TAR FIN'!$A$1:$O$113,15,0))</f>
        <v>0</v>
      </c>
      <c r="W337" s="56">
        <f>IF(ISERROR(VLOOKUP($T$337,'TAR FIN'!$A$1:$O$113,15,0)),0,VLOOKUP($T$337,'TAR FIN'!$A$1:$O$113,15,0))*(1-0.04)</f>
        <v>49.219200000000001</v>
      </c>
      <c r="X337" s="56">
        <f>IF(ISERROR(VLOOKUP($U$337,'TAR FIN'!$A$1:$O$113,15,0)),0,VLOOKUP($U$337,'TAR FIN'!$A$1:$O$113,15,0))*(1-0.04)</f>
        <v>213.41759999999999</v>
      </c>
      <c r="Y337" s="56"/>
      <c r="Z337" s="56">
        <f ca="1">('TUSD BE'!$AM$32+'TUSD BF'!$AM$32+'TUSD CVA'!$AM$32)*1*(1-0.02)</f>
        <v>63.70726143397826</v>
      </c>
      <c r="AA337" s="56">
        <f>('TE BE'!$AA$11+'TE BF'!$AA$11+'TE CVA'!$AA$11)*1*(1-0.02)</f>
        <v>218.68270575803808</v>
      </c>
      <c r="AB337" s="56">
        <f>(SUBSIDIO!$J$337*SUBSIDIO!$V$337)*(0.04)/(1-0.04)</f>
        <v>0</v>
      </c>
      <c r="AC337" s="56">
        <f>((SUBSIDIO!$L$337*SUBSIDIO!$W$337)+(SUBSIDIO!$N$337*SUBSIDIO!$X$337))*(0.04)/(1-0.04)</f>
        <v>5382.7193296000005</v>
      </c>
      <c r="AD337" s="56">
        <f>(SUBSIDIO!$J$337*SUBSIDIO!$Y$337)*(0.02)/(1-0.02)</f>
        <v>0</v>
      </c>
      <c r="AE337" s="56">
        <f ca="1">((SUBSIDIO!$L$337*SUBSIDIO!$Z$337)+(SUBSIDIO!$N$337*SUBSIDIO!$AA$337))*(0.02)/(1-0.02)</f>
        <v>2834.7226996423396</v>
      </c>
      <c r="AF337" s="3" t="s">
        <v>1023</v>
      </c>
    </row>
    <row r="338" spans="1:32" ht="11.25" customHeight="1" x14ac:dyDescent="0.25">
      <c r="A338" s="3" t="s">
        <v>21</v>
      </c>
      <c r="B338" s="3" t="s">
        <v>41</v>
      </c>
      <c r="C338" s="3" t="s">
        <v>42</v>
      </c>
      <c r="D338" s="3" t="s">
        <v>45</v>
      </c>
      <c r="E338" s="3" t="s">
        <v>53</v>
      </c>
      <c r="F338" s="3" t="s">
        <v>25</v>
      </c>
      <c r="G338" s="3" t="s">
        <v>25</v>
      </c>
      <c r="H338" s="3" t="s">
        <v>35</v>
      </c>
      <c r="I338" s="6">
        <v>44409</v>
      </c>
      <c r="J338" s="4">
        <v>0</v>
      </c>
      <c r="K338" s="56">
        <v>0</v>
      </c>
      <c r="L338" s="4">
        <v>727.86099999999999</v>
      </c>
      <c r="M338" s="56">
        <v>727.86099999999999</v>
      </c>
      <c r="N338" s="4">
        <v>727.86099999999999</v>
      </c>
      <c r="O338" s="56">
        <v>727.86099999999999</v>
      </c>
      <c r="P338" s="4">
        <v>0</v>
      </c>
      <c r="Q338" s="3" t="s">
        <v>26</v>
      </c>
      <c r="R338" s="3">
        <v>0</v>
      </c>
      <c r="S338" s="3">
        <v>0</v>
      </c>
      <c r="T338" s="3">
        <v>21</v>
      </c>
      <c r="U338" s="3">
        <v>89</v>
      </c>
      <c r="V338" s="56">
        <f>IF(ISERROR(VLOOKUP($S$338,'TAR FIN'!$A$1:$O$113,15,0)),0,VLOOKUP($S$338,'TAR FIN'!$A$1:$O$113,15,0))</f>
        <v>0</v>
      </c>
      <c r="W338" s="56">
        <f>IF(ISERROR(VLOOKUP($T$338,'TAR FIN'!$A$1:$O$113,15,0)),0,VLOOKUP($T$338,'TAR FIN'!$A$1:$O$113,15,0))*(1-0.04)</f>
        <v>49.219200000000001</v>
      </c>
      <c r="X338" s="56">
        <f>IF(ISERROR(VLOOKUP($U$338,'TAR FIN'!$A$1:$O$113,15,0)),0,VLOOKUP($U$338,'TAR FIN'!$A$1:$O$113,15,0))*(1-0.04)</f>
        <v>213.41759999999999</v>
      </c>
      <c r="Y338" s="56"/>
      <c r="Z338" s="56">
        <f ca="1">('TUSD BE'!$AM$32+'TUSD BF'!$AM$32+'TUSD CVA'!$AM$32)*1*(1-0.02)</f>
        <v>63.70726143397826</v>
      </c>
      <c r="AA338" s="56">
        <f>('TE BE'!$AA$11+'TE BF'!$AA$11+'TE CVA'!$AA$11)*1*(1-0.02)</f>
        <v>218.68270575803808</v>
      </c>
      <c r="AB338" s="56">
        <f>(SUBSIDIO!$J$338*SUBSIDIO!$V$338)*(0.04)/(1-0.04)</f>
        <v>0</v>
      </c>
      <c r="AC338" s="56">
        <f>((SUBSIDIO!$L$338*SUBSIDIO!$W$338)+(SUBSIDIO!$N$338*SUBSIDIO!$X$338))*(0.04)/(1-0.04)</f>
        <v>7965.1284951999987</v>
      </c>
      <c r="AD338" s="56">
        <f>(SUBSIDIO!$J$338*SUBSIDIO!$Y$338)*(0.02)/(1-0.02)</f>
        <v>0</v>
      </c>
      <c r="AE338" s="56">
        <f ca="1">((SUBSIDIO!$L$338*SUBSIDIO!$Z$338)+(SUBSIDIO!$N$338*SUBSIDIO!$AA$338))*(0.02)/(1-0.02)</f>
        <v>4194.7070185785342</v>
      </c>
      <c r="AF338" s="3" t="s">
        <v>1023</v>
      </c>
    </row>
    <row r="339" spans="1:32" ht="11.25" customHeight="1" x14ac:dyDescent="0.25">
      <c r="A339" s="3" t="s">
        <v>21</v>
      </c>
      <c r="B339" s="3" t="s">
        <v>41</v>
      </c>
      <c r="C339" s="3" t="s">
        <v>42</v>
      </c>
      <c r="D339" s="3" t="s">
        <v>45</v>
      </c>
      <c r="E339" s="3" t="s">
        <v>53</v>
      </c>
      <c r="F339" s="3" t="s">
        <v>25</v>
      </c>
      <c r="G339" s="3" t="s">
        <v>25</v>
      </c>
      <c r="H339" s="3" t="s">
        <v>35</v>
      </c>
      <c r="I339" s="6">
        <v>44440</v>
      </c>
      <c r="J339" s="4">
        <v>0</v>
      </c>
      <c r="K339" s="56">
        <v>0</v>
      </c>
      <c r="L339" s="4">
        <v>1022.833</v>
      </c>
      <c r="M339" s="56">
        <v>1022.833</v>
      </c>
      <c r="N339" s="4">
        <v>1022.833</v>
      </c>
      <c r="O339" s="56">
        <v>1022.833</v>
      </c>
      <c r="P339" s="4">
        <v>0</v>
      </c>
      <c r="Q339" s="3" t="s">
        <v>26</v>
      </c>
      <c r="R339" s="3">
        <v>0</v>
      </c>
      <c r="S339" s="3">
        <v>0</v>
      </c>
      <c r="T339" s="3">
        <v>21</v>
      </c>
      <c r="U339" s="3">
        <v>89</v>
      </c>
      <c r="V339" s="56">
        <f>IF(ISERROR(VLOOKUP($S$339,'TAR FIN'!$A$1:$O$113,15,0)),0,VLOOKUP($S$339,'TAR FIN'!$A$1:$O$113,15,0))</f>
        <v>0</v>
      </c>
      <c r="W339" s="56">
        <f>IF(ISERROR(VLOOKUP($T$339,'TAR FIN'!$A$1:$O$113,15,0)),0,VLOOKUP($T$339,'TAR FIN'!$A$1:$O$113,15,0))*(1-0.04)</f>
        <v>49.219200000000001</v>
      </c>
      <c r="X339" s="56">
        <f>IF(ISERROR(VLOOKUP($U$339,'TAR FIN'!$A$1:$O$113,15,0)),0,VLOOKUP($U$339,'TAR FIN'!$A$1:$O$113,15,0))*(1-0.04)</f>
        <v>213.41759999999999</v>
      </c>
      <c r="Y339" s="56"/>
      <c r="Z339" s="56">
        <f ca="1">('TUSD BE'!$AM$32+'TUSD BF'!$AM$32+'TUSD CVA'!$AM$32)*1*(1-0.02)</f>
        <v>63.70726143397826</v>
      </c>
      <c r="AA339" s="56">
        <f>('TE BE'!$AA$11+'TE BF'!$AA$11+'TE CVA'!$AA$11)*1*(1-0.02)</f>
        <v>218.68270575803808</v>
      </c>
      <c r="AB339" s="56">
        <f>(SUBSIDIO!$J$339*SUBSIDIO!$V$339)*(0.04)/(1-0.04)</f>
        <v>0</v>
      </c>
      <c r="AC339" s="56">
        <f>((SUBSIDIO!$L$339*SUBSIDIO!$W$339)+(SUBSIDIO!$N$339*SUBSIDIO!$X$339))*(0.04)/(1-0.04)</f>
        <v>11193.066085599999</v>
      </c>
      <c r="AD339" s="56">
        <f>(SUBSIDIO!$J$339*SUBSIDIO!$Y$339)*(0.02)/(1-0.02)</f>
        <v>0</v>
      </c>
      <c r="AE339" s="56">
        <f ca="1">((SUBSIDIO!$L$339*SUBSIDIO!$Z$339)+(SUBSIDIO!$N$339*SUBSIDIO!$AA$339))*(0.02)/(1-0.02)</f>
        <v>5894.648516590034</v>
      </c>
      <c r="AF339" s="3" t="s">
        <v>1023</v>
      </c>
    </row>
    <row r="340" spans="1:32" ht="11.25" customHeight="1" x14ac:dyDescent="0.25">
      <c r="A340" s="3" t="s">
        <v>21</v>
      </c>
      <c r="B340" s="3" t="s">
        <v>41</v>
      </c>
      <c r="C340" s="3" t="s">
        <v>42</v>
      </c>
      <c r="D340" s="3" t="s">
        <v>45</v>
      </c>
      <c r="E340" s="3" t="s">
        <v>53</v>
      </c>
      <c r="F340" s="3" t="s">
        <v>25</v>
      </c>
      <c r="G340" s="3" t="s">
        <v>25</v>
      </c>
      <c r="H340" s="3" t="s">
        <v>35</v>
      </c>
      <c r="I340" s="6">
        <v>44470</v>
      </c>
      <c r="J340" s="4">
        <v>0</v>
      </c>
      <c r="K340" s="56">
        <v>0</v>
      </c>
      <c r="L340" s="4">
        <v>1571.626</v>
      </c>
      <c r="M340" s="56">
        <v>1571.626</v>
      </c>
      <c r="N340" s="4">
        <v>1571.626</v>
      </c>
      <c r="O340" s="56">
        <v>1571.626</v>
      </c>
      <c r="P340" s="4">
        <v>0</v>
      </c>
      <c r="Q340" s="3" t="s">
        <v>26</v>
      </c>
      <c r="R340" s="3">
        <v>0</v>
      </c>
      <c r="S340" s="3">
        <v>0</v>
      </c>
      <c r="T340" s="3">
        <v>21</v>
      </c>
      <c r="U340" s="3">
        <v>89</v>
      </c>
      <c r="V340" s="56">
        <f>IF(ISERROR(VLOOKUP($S$340,'TAR FIN'!$A$1:$O$113,15,0)),0,VLOOKUP($S$340,'TAR FIN'!$A$1:$O$113,15,0))</f>
        <v>0</v>
      </c>
      <c r="W340" s="56">
        <f>IF(ISERROR(VLOOKUP($T$340,'TAR FIN'!$A$1:$O$113,15,0)),0,VLOOKUP($T$340,'TAR FIN'!$A$1:$O$113,15,0))*(1-0.04)</f>
        <v>49.219200000000001</v>
      </c>
      <c r="X340" s="56">
        <f>IF(ISERROR(VLOOKUP($U$340,'TAR FIN'!$A$1:$O$113,15,0)),0,VLOOKUP($U$340,'TAR FIN'!$A$1:$O$113,15,0))*(1-0.04)</f>
        <v>213.41759999999999</v>
      </c>
      <c r="Y340" s="56"/>
      <c r="Z340" s="56">
        <f ca="1">('TUSD BE'!$AM$32+'TUSD BF'!$AM$32+'TUSD CVA'!$AM$32)*1*(1-0.02)</f>
        <v>63.70726143397826</v>
      </c>
      <c r="AA340" s="56">
        <f>('TE BE'!$AA$11+'TE BF'!$AA$11+'TE CVA'!$AA$11)*1*(1-0.02)</f>
        <v>218.68270575803808</v>
      </c>
      <c r="AB340" s="56">
        <f>(SUBSIDIO!$J$340*SUBSIDIO!$V$340)*(0.04)/(1-0.04)</f>
        <v>0</v>
      </c>
      <c r="AC340" s="56">
        <f>((SUBSIDIO!$L$340*SUBSIDIO!$W$340)+(SUBSIDIO!$N$340*SUBSIDIO!$X$340))*(0.04)/(1-0.04)</f>
        <v>17198.617643199999</v>
      </c>
      <c r="AD340" s="56">
        <f>(SUBSIDIO!$J$340*SUBSIDIO!$Y$340)*(0.02)/(1-0.02)</f>
        <v>0</v>
      </c>
      <c r="AE340" s="56">
        <f ca="1">((SUBSIDIO!$L$340*SUBSIDIO!$Z$340)+(SUBSIDIO!$N$340*SUBSIDIO!$AA$340))*(0.02)/(1-0.02)</f>
        <v>9057.3758077167331</v>
      </c>
      <c r="AF340" s="3" t="s">
        <v>1023</v>
      </c>
    </row>
    <row r="341" spans="1:32" ht="11.25" customHeight="1" x14ac:dyDescent="0.25">
      <c r="A341" s="3" t="s">
        <v>21</v>
      </c>
      <c r="B341" s="3" t="s">
        <v>41</v>
      </c>
      <c r="C341" s="3" t="s">
        <v>42</v>
      </c>
      <c r="D341" s="3" t="s">
        <v>45</v>
      </c>
      <c r="E341" s="3" t="s">
        <v>53</v>
      </c>
      <c r="F341" s="3" t="s">
        <v>25</v>
      </c>
      <c r="G341" s="3" t="s">
        <v>25</v>
      </c>
      <c r="H341" s="3" t="s">
        <v>35</v>
      </c>
      <c r="I341" s="6">
        <v>44501</v>
      </c>
      <c r="J341" s="4">
        <v>0</v>
      </c>
      <c r="K341" s="56">
        <v>0</v>
      </c>
      <c r="L341" s="4">
        <v>1609.27</v>
      </c>
      <c r="M341" s="56">
        <v>1609.27</v>
      </c>
      <c r="N341" s="4">
        <v>1609.27</v>
      </c>
      <c r="O341" s="56">
        <v>1609.27</v>
      </c>
      <c r="P341" s="4">
        <v>0</v>
      </c>
      <c r="Q341" s="3" t="s">
        <v>26</v>
      </c>
      <c r="R341" s="3">
        <v>0</v>
      </c>
      <c r="S341" s="3">
        <v>0</v>
      </c>
      <c r="T341" s="3">
        <v>21</v>
      </c>
      <c r="U341" s="3">
        <v>89</v>
      </c>
      <c r="V341" s="56">
        <f>IF(ISERROR(VLOOKUP($S$341,'TAR FIN'!$A$1:$O$113,15,0)),0,VLOOKUP($S$341,'TAR FIN'!$A$1:$O$113,15,0))</f>
        <v>0</v>
      </c>
      <c r="W341" s="56">
        <f>IF(ISERROR(VLOOKUP($T$341,'TAR FIN'!$A$1:$O$113,15,0)),0,VLOOKUP($T$341,'TAR FIN'!$A$1:$O$113,15,0))*(1-0.04)</f>
        <v>49.219200000000001</v>
      </c>
      <c r="X341" s="56">
        <f>IF(ISERROR(VLOOKUP($U$341,'TAR FIN'!$A$1:$O$113,15,0)),0,VLOOKUP($U$341,'TAR FIN'!$A$1:$O$113,15,0))*(1-0.04)</f>
        <v>213.41759999999999</v>
      </c>
      <c r="Y341" s="56"/>
      <c r="Z341" s="56">
        <f ca="1">('TUSD BE'!$AM$32+'TUSD BF'!$AM$32+'TUSD CVA'!$AM$32)*1*(1-0.02)</f>
        <v>63.70726143397826</v>
      </c>
      <c r="AA341" s="56">
        <f>('TE BE'!$AA$11+'TE BF'!$AA$11+'TE CVA'!$AA$11)*1*(1-0.02)</f>
        <v>218.68270575803808</v>
      </c>
      <c r="AB341" s="56">
        <f>(SUBSIDIO!$J$341*SUBSIDIO!$V$341)*(0.04)/(1-0.04)</f>
        <v>0</v>
      </c>
      <c r="AC341" s="56">
        <f>((SUBSIDIO!$L$341*SUBSIDIO!$W$341)+(SUBSIDIO!$N$341*SUBSIDIO!$X$341))*(0.04)/(1-0.04)</f>
        <v>17610.563463999999</v>
      </c>
      <c r="AD341" s="56">
        <f>(SUBSIDIO!$J$341*SUBSIDIO!$Y$341)*(0.02)/(1-0.02)</f>
        <v>0</v>
      </c>
      <c r="AE341" s="56">
        <f ca="1">((SUBSIDIO!$L$341*SUBSIDIO!$Z$341)+(SUBSIDIO!$N$341*SUBSIDIO!$AA$341))*(0.02)/(1-0.02)</f>
        <v>9274.320459246861</v>
      </c>
      <c r="AF341" s="3" t="s">
        <v>1023</v>
      </c>
    </row>
    <row r="342" spans="1:32" ht="11.25" customHeight="1" x14ac:dyDescent="0.25">
      <c r="A342" s="3" t="s">
        <v>21</v>
      </c>
      <c r="B342" s="3" t="s">
        <v>41</v>
      </c>
      <c r="C342" s="3" t="s">
        <v>42</v>
      </c>
      <c r="D342" s="3" t="s">
        <v>45</v>
      </c>
      <c r="E342" s="3" t="s">
        <v>53</v>
      </c>
      <c r="F342" s="3" t="s">
        <v>25</v>
      </c>
      <c r="G342" s="3" t="s">
        <v>25</v>
      </c>
      <c r="H342" s="3" t="s">
        <v>35</v>
      </c>
      <c r="I342" s="6">
        <v>44531</v>
      </c>
      <c r="J342" s="4">
        <v>0</v>
      </c>
      <c r="K342" s="56">
        <v>0</v>
      </c>
      <c r="L342" s="4">
        <v>1207.7719999999999</v>
      </c>
      <c r="M342" s="56">
        <v>1207.7719999999999</v>
      </c>
      <c r="N342" s="4">
        <v>1207.7719999999999</v>
      </c>
      <c r="O342" s="56">
        <v>1207.7719999999999</v>
      </c>
      <c r="P342" s="4">
        <v>0</v>
      </c>
      <c r="Q342" s="3" t="s">
        <v>26</v>
      </c>
      <c r="R342" s="3">
        <v>0</v>
      </c>
      <c r="S342" s="3">
        <v>0</v>
      </c>
      <c r="T342" s="3">
        <v>21</v>
      </c>
      <c r="U342" s="3">
        <v>89</v>
      </c>
      <c r="V342" s="56">
        <f>IF(ISERROR(VLOOKUP($S$342,'TAR FIN'!$A$1:$O$113,15,0)),0,VLOOKUP($S$342,'TAR FIN'!$A$1:$O$113,15,0))</f>
        <v>0</v>
      </c>
      <c r="W342" s="56">
        <f>IF(ISERROR(VLOOKUP($T$342,'TAR FIN'!$A$1:$O$113,15,0)),0,VLOOKUP($T$342,'TAR FIN'!$A$1:$O$113,15,0))*(1-0.04)</f>
        <v>49.219200000000001</v>
      </c>
      <c r="X342" s="56">
        <f>IF(ISERROR(VLOOKUP($U$342,'TAR FIN'!$A$1:$O$113,15,0)),0,VLOOKUP($U$342,'TAR FIN'!$A$1:$O$113,15,0))*(1-0.04)</f>
        <v>213.41759999999999</v>
      </c>
      <c r="Y342" s="56"/>
      <c r="Z342" s="56">
        <f ca="1">('TUSD BE'!$AM$32+'TUSD BF'!$AM$32+'TUSD CVA'!$AM$32)*1*(1-0.02)</f>
        <v>63.70726143397826</v>
      </c>
      <c r="AA342" s="56">
        <f>('TE BE'!$AA$11+'TE BF'!$AA$11+'TE CVA'!$AA$11)*1*(1-0.02)</f>
        <v>218.68270575803808</v>
      </c>
      <c r="AB342" s="56">
        <f>(SUBSIDIO!$J$342*SUBSIDIO!$V$342)*(0.04)/(1-0.04)</f>
        <v>0</v>
      </c>
      <c r="AC342" s="56">
        <f>((SUBSIDIO!$L$342*SUBSIDIO!$W$342)+(SUBSIDIO!$N$342*SUBSIDIO!$X$342))*(0.04)/(1-0.04)</f>
        <v>13216.890550399999</v>
      </c>
      <c r="AD342" s="56">
        <f>(SUBSIDIO!$J$342*SUBSIDIO!$Y$342)*(0.02)/(1-0.02)</f>
        <v>0</v>
      </c>
      <c r="AE342" s="56">
        <f ca="1">((SUBSIDIO!$L$342*SUBSIDIO!$Z$342)+(SUBSIDIO!$N$342*SUBSIDIO!$AA$342))*(0.02)/(1-0.02)</f>
        <v>6960.4631725599174</v>
      </c>
      <c r="AF342" s="3" t="s">
        <v>1023</v>
      </c>
    </row>
    <row r="343" spans="1:32" ht="11.25" customHeight="1" x14ac:dyDescent="0.25">
      <c r="A343" s="3" t="s">
        <v>21</v>
      </c>
      <c r="B343" s="3" t="s">
        <v>41</v>
      </c>
      <c r="C343" s="3" t="s">
        <v>42</v>
      </c>
      <c r="D343" s="3" t="s">
        <v>45</v>
      </c>
      <c r="E343" s="3" t="s">
        <v>53</v>
      </c>
      <c r="F343" s="3" t="s">
        <v>25</v>
      </c>
      <c r="G343" s="3" t="s">
        <v>25</v>
      </c>
      <c r="H343" s="3" t="s">
        <v>35</v>
      </c>
      <c r="I343" s="6">
        <v>44562</v>
      </c>
      <c r="J343" s="4">
        <v>0</v>
      </c>
      <c r="K343" s="56">
        <v>0</v>
      </c>
      <c r="L343" s="4">
        <v>1060.73</v>
      </c>
      <c r="M343" s="56">
        <v>1060.73</v>
      </c>
      <c r="N343" s="4">
        <v>1060.73</v>
      </c>
      <c r="O343" s="56">
        <v>1060.73</v>
      </c>
      <c r="P343" s="4">
        <v>0</v>
      </c>
      <c r="Q343" s="3" t="s">
        <v>26</v>
      </c>
      <c r="R343" s="3">
        <v>0</v>
      </c>
      <c r="S343" s="3">
        <v>0</v>
      </c>
      <c r="T343" s="3">
        <v>21</v>
      </c>
      <c r="U343" s="3">
        <v>89</v>
      </c>
      <c r="V343" s="56">
        <f>IF(ISERROR(VLOOKUP($S$343,'TAR FIN'!$A$1:$O$113,15,0)),0,VLOOKUP($S$343,'TAR FIN'!$A$1:$O$113,15,0))</f>
        <v>0</v>
      </c>
      <c r="W343" s="56">
        <f>IF(ISERROR(VLOOKUP($T$343,'TAR FIN'!$A$1:$O$113,15,0)),0,VLOOKUP($T$343,'TAR FIN'!$A$1:$O$113,15,0))*(1-0.04)</f>
        <v>49.219200000000001</v>
      </c>
      <c r="X343" s="56">
        <f>IF(ISERROR(VLOOKUP($U$343,'TAR FIN'!$A$1:$O$113,15,0)),0,VLOOKUP($U$343,'TAR FIN'!$A$1:$O$113,15,0))*(1-0.04)</f>
        <v>213.41759999999999</v>
      </c>
      <c r="Y343" s="56"/>
      <c r="Z343" s="56">
        <f ca="1">('TUSD BE'!$AM$32+'TUSD BF'!$AM$32+'TUSD CVA'!$AM$32)*1*(1-0.02)</f>
        <v>63.70726143397826</v>
      </c>
      <c r="AA343" s="56">
        <f>('TE BE'!$AA$11+'TE BF'!$AA$11+'TE CVA'!$AA$11)*1*(1-0.02)</f>
        <v>218.68270575803808</v>
      </c>
      <c r="AB343" s="56">
        <f>(SUBSIDIO!$J$343*SUBSIDIO!$V$343)*(0.04)/(1-0.04)</f>
        <v>0</v>
      </c>
      <c r="AC343" s="56">
        <f>((SUBSIDIO!$L$343*SUBSIDIO!$W$343)+(SUBSIDIO!$N$343*SUBSIDIO!$X$343))*(0.04)/(1-0.04)</f>
        <v>11607.780536000002</v>
      </c>
      <c r="AD343" s="56">
        <f>(SUBSIDIO!$J$343*SUBSIDIO!$Y$343)*(0.02)/(1-0.02)</f>
        <v>0</v>
      </c>
      <c r="AE343" s="56">
        <f ca="1">((SUBSIDIO!$L$343*SUBSIDIO!$Z$343)+(SUBSIDIO!$N$343*SUBSIDIO!$AA$343))*(0.02)/(1-0.02)</f>
        <v>6113.0512224405611</v>
      </c>
      <c r="AF343" s="3" t="s">
        <v>1023</v>
      </c>
    </row>
    <row r="344" spans="1:32" ht="11.25" customHeight="1" x14ac:dyDescent="0.25">
      <c r="A344" s="3" t="s">
        <v>27</v>
      </c>
      <c r="B344" s="3" t="s">
        <v>41</v>
      </c>
      <c r="C344" s="3" t="s">
        <v>42</v>
      </c>
      <c r="D344" s="3" t="s">
        <v>45</v>
      </c>
      <c r="E344" s="3" t="s">
        <v>53</v>
      </c>
      <c r="F344" s="3" t="s">
        <v>25</v>
      </c>
      <c r="G344" s="3" t="s">
        <v>25</v>
      </c>
      <c r="H344" s="3" t="s">
        <v>35</v>
      </c>
      <c r="I344" s="6">
        <v>44562</v>
      </c>
      <c r="J344" s="4">
        <v>0</v>
      </c>
      <c r="K344" s="56">
        <v>0</v>
      </c>
      <c r="L344" s="4">
        <v>85.790999999999997</v>
      </c>
      <c r="M344" s="56">
        <v>85.790999999999997</v>
      </c>
      <c r="N344" s="4">
        <v>85.790999999999997</v>
      </c>
      <c r="O344" s="56">
        <v>85.790999999999997</v>
      </c>
      <c r="P344" s="4">
        <v>0</v>
      </c>
      <c r="Q344" s="3" t="s">
        <v>26</v>
      </c>
      <c r="R344" s="3">
        <v>0</v>
      </c>
      <c r="S344" s="3">
        <v>0</v>
      </c>
      <c r="T344" s="3">
        <v>21</v>
      </c>
      <c r="U344" s="3">
        <v>89</v>
      </c>
      <c r="V344" s="56">
        <f>IF(ISERROR(VLOOKUP($S$344,'TAR FIN'!$A$1:$O$113,15,0)),0,VLOOKUP($S$344,'TAR FIN'!$A$1:$O$113,15,0))</f>
        <v>0</v>
      </c>
      <c r="W344" s="56">
        <f>IF(ISERROR(VLOOKUP($T$344,'TAR FIN'!$A$1:$O$113,15,0)),0,VLOOKUP($T$344,'TAR FIN'!$A$1:$O$113,15,0))*(1-0.04)</f>
        <v>49.219200000000001</v>
      </c>
      <c r="X344" s="56">
        <f>IF(ISERROR(VLOOKUP($U$344,'TAR FIN'!$A$1:$O$113,15,0)),0,VLOOKUP($U$344,'TAR FIN'!$A$1:$O$113,15,0))*(1-0.04)</f>
        <v>213.41759999999999</v>
      </c>
      <c r="Y344" s="56"/>
      <c r="Z344" s="56">
        <f ca="1">('TUSD BE'!$AM$32+'TUSD BF'!$AM$32+'TUSD CVA'!$AM$32)*1*(1-0.02)</f>
        <v>63.70726143397826</v>
      </c>
      <c r="AA344" s="56">
        <f>('TE BE'!$AA$11+'TE BF'!$AA$11+'TE CVA'!$AA$11)*1*(1-0.02)</f>
        <v>218.68270575803808</v>
      </c>
      <c r="AB344" s="56">
        <f>(SUBSIDIO!$J$344*SUBSIDIO!$V$344)*(0.04)/(1-0.04)</f>
        <v>0</v>
      </c>
      <c r="AC344" s="56">
        <f>((SUBSIDIO!$L$344*SUBSIDIO!$W$344)+(SUBSIDIO!$N$344*SUBSIDIO!$X$344))*(0.04)/(1-0.04)</f>
        <v>938.82807119999995</v>
      </c>
      <c r="AD344" s="56">
        <f>(SUBSIDIO!$J$344*SUBSIDIO!$Y$344)*(0.02)/(1-0.02)</f>
        <v>0</v>
      </c>
      <c r="AE344" s="56">
        <f ca="1">((SUBSIDIO!$L$344*SUBSIDIO!$Z$344)+(SUBSIDIO!$N$344*SUBSIDIO!$AA$344))*(0.02)/(1-0.02)</f>
        <v>494.41872806878109</v>
      </c>
      <c r="AF344" s="3" t="s">
        <v>1023</v>
      </c>
    </row>
    <row r="345" spans="1:32" ht="11.25" customHeight="1" x14ac:dyDescent="0.25">
      <c r="A345" s="3" t="s">
        <v>28</v>
      </c>
      <c r="B345" s="3" t="s">
        <v>41</v>
      </c>
      <c r="C345" s="3" t="s">
        <v>42</v>
      </c>
      <c r="D345" s="3" t="s">
        <v>45</v>
      </c>
      <c r="E345" s="3" t="s">
        <v>53</v>
      </c>
      <c r="F345" s="3" t="s">
        <v>25</v>
      </c>
      <c r="G345" s="3" t="s">
        <v>25</v>
      </c>
      <c r="H345" s="3" t="s">
        <v>35</v>
      </c>
      <c r="I345" s="6">
        <v>44562</v>
      </c>
      <c r="J345" s="4">
        <v>0</v>
      </c>
      <c r="K345" s="56">
        <v>0</v>
      </c>
      <c r="L345" s="4">
        <v>5.7910000000000004</v>
      </c>
      <c r="M345" s="56">
        <v>5.7910000000000004</v>
      </c>
      <c r="N345" s="4">
        <v>5.7910000000000004</v>
      </c>
      <c r="O345" s="56">
        <v>5.7910000000000004</v>
      </c>
      <c r="P345" s="4">
        <v>0</v>
      </c>
      <c r="Q345" s="3" t="s">
        <v>26</v>
      </c>
      <c r="R345" s="3">
        <v>0</v>
      </c>
      <c r="S345" s="3">
        <v>0</v>
      </c>
      <c r="T345" s="3">
        <v>21</v>
      </c>
      <c r="U345" s="3">
        <v>89</v>
      </c>
      <c r="V345" s="56">
        <f>IF(ISERROR(VLOOKUP($S$345,'TAR FIN'!$A$1:$O$113,15,0)),0,VLOOKUP($S$345,'TAR FIN'!$A$1:$O$113,15,0))</f>
        <v>0</v>
      </c>
      <c r="W345" s="56">
        <f>IF(ISERROR(VLOOKUP($T$345,'TAR FIN'!$A$1:$O$113,15,0)),0,VLOOKUP($T$345,'TAR FIN'!$A$1:$O$113,15,0))*(1-0.04)</f>
        <v>49.219200000000001</v>
      </c>
      <c r="X345" s="56">
        <f>IF(ISERROR(VLOOKUP($U$345,'TAR FIN'!$A$1:$O$113,15,0)),0,VLOOKUP($U$345,'TAR FIN'!$A$1:$O$113,15,0))*(1-0.04)</f>
        <v>213.41759999999999</v>
      </c>
      <c r="Y345" s="56"/>
      <c r="Z345" s="56">
        <f ca="1">('TUSD BE'!$AM$32+'TUSD BF'!$AM$32+'TUSD CVA'!$AM$32)*1*(1-0.02)</f>
        <v>63.70726143397826</v>
      </c>
      <c r="AA345" s="56">
        <f>('TE BE'!$AA$11+'TE BF'!$AA$11+'TE CVA'!$AA$11)*1*(1-0.02)</f>
        <v>218.68270575803808</v>
      </c>
      <c r="AB345" s="56">
        <f>(SUBSIDIO!$J$345*SUBSIDIO!$V$345)*(0.04)/(1-0.04)</f>
        <v>0</v>
      </c>
      <c r="AC345" s="56">
        <f>((SUBSIDIO!$L$345*SUBSIDIO!$W$345)+(SUBSIDIO!$N$345*SUBSIDIO!$X$345))*(0.04)/(1-0.04)</f>
        <v>63.372071200000008</v>
      </c>
      <c r="AD345" s="56">
        <f>(SUBSIDIO!$J$345*SUBSIDIO!$Y$345)*(0.02)/(1-0.02)</f>
        <v>0</v>
      </c>
      <c r="AE345" s="56">
        <f ca="1">((SUBSIDIO!$L$345*SUBSIDIO!$Z$345)+(SUBSIDIO!$N$345*SUBSIDIO!$AA$345))*(0.02)/(1-0.02)</f>
        <v>33.373883673652387</v>
      </c>
      <c r="AF345" s="3" t="s">
        <v>1023</v>
      </c>
    </row>
    <row r="346" spans="1:32" ht="11.25" customHeight="1" x14ac:dyDescent="0.25">
      <c r="A346" s="3" t="s">
        <v>21</v>
      </c>
      <c r="B346" s="3" t="s">
        <v>41</v>
      </c>
      <c r="C346" s="3" t="s">
        <v>42</v>
      </c>
      <c r="D346" s="3" t="s">
        <v>45</v>
      </c>
      <c r="E346" s="3" t="s">
        <v>53</v>
      </c>
      <c r="F346" s="3" t="s">
        <v>25</v>
      </c>
      <c r="G346" s="3" t="s">
        <v>25</v>
      </c>
      <c r="H346" s="3" t="s">
        <v>35</v>
      </c>
      <c r="I346" s="6">
        <v>44593</v>
      </c>
      <c r="J346" s="4">
        <v>0</v>
      </c>
      <c r="K346" s="56">
        <v>0</v>
      </c>
      <c r="L346" s="4">
        <v>1647.443</v>
      </c>
      <c r="M346" s="56">
        <v>1647.443</v>
      </c>
      <c r="N346" s="4">
        <v>1647.443</v>
      </c>
      <c r="O346" s="56">
        <v>1647.443</v>
      </c>
      <c r="P346" s="4">
        <v>0</v>
      </c>
      <c r="Q346" s="3" t="s">
        <v>26</v>
      </c>
      <c r="R346" s="3">
        <v>0</v>
      </c>
      <c r="S346" s="3">
        <v>0</v>
      </c>
      <c r="T346" s="3">
        <v>21</v>
      </c>
      <c r="U346" s="3">
        <v>89</v>
      </c>
      <c r="V346" s="56">
        <f>IF(ISERROR(VLOOKUP($S$346,'TAR FIN'!$A$1:$O$113,15,0)),0,VLOOKUP($S$346,'TAR FIN'!$A$1:$O$113,15,0))</f>
        <v>0</v>
      </c>
      <c r="W346" s="56">
        <f>IF(ISERROR(VLOOKUP($T$346,'TAR FIN'!$A$1:$O$113,15,0)),0,VLOOKUP($T$346,'TAR FIN'!$A$1:$O$113,15,0))*(1-0.04)</f>
        <v>49.219200000000001</v>
      </c>
      <c r="X346" s="56">
        <f>IF(ISERROR(VLOOKUP($U$346,'TAR FIN'!$A$1:$O$113,15,0)),0,VLOOKUP($U$346,'TAR FIN'!$A$1:$O$113,15,0))*(1-0.04)</f>
        <v>213.41759999999999</v>
      </c>
      <c r="Y346" s="56"/>
      <c r="Z346" s="56">
        <f ca="1">('TUSD BE'!$AM$32+'TUSD BF'!$AM$32+'TUSD CVA'!$AM$32)*1*(1-0.02)</f>
        <v>63.70726143397826</v>
      </c>
      <c r="AA346" s="56">
        <f>('TE BE'!$AA$11+'TE BF'!$AA$11+'TE CVA'!$AA$11)*1*(1-0.02)</f>
        <v>218.68270575803808</v>
      </c>
      <c r="AB346" s="56">
        <f>(SUBSIDIO!$J$346*SUBSIDIO!$V$346)*(0.04)/(1-0.04)</f>
        <v>0</v>
      </c>
      <c r="AC346" s="56">
        <f>((SUBSIDIO!$L$346*SUBSIDIO!$W$346)+(SUBSIDIO!$N$346*SUBSIDIO!$X$346))*(0.04)/(1-0.04)</f>
        <v>18028.2982376</v>
      </c>
      <c r="AD346" s="56">
        <f>(SUBSIDIO!$J$346*SUBSIDIO!$Y$346)*(0.02)/(1-0.02)</f>
        <v>0</v>
      </c>
      <c r="AE346" s="56">
        <f ca="1">((SUBSIDIO!$L$346*SUBSIDIO!$Z$346)+(SUBSIDIO!$N$346*SUBSIDIO!$AA$346))*(0.02)/(1-0.02)</f>
        <v>9494.3137698105511</v>
      </c>
      <c r="AF346" s="3" t="s">
        <v>1023</v>
      </c>
    </row>
    <row r="347" spans="1:32" ht="11.25" customHeight="1" x14ac:dyDescent="0.25">
      <c r="A347" s="3" t="s">
        <v>27</v>
      </c>
      <c r="B347" s="3" t="s">
        <v>41</v>
      </c>
      <c r="C347" s="3" t="s">
        <v>42</v>
      </c>
      <c r="D347" s="3" t="s">
        <v>45</v>
      </c>
      <c r="E347" s="3" t="s">
        <v>53</v>
      </c>
      <c r="F347" s="3" t="s">
        <v>25</v>
      </c>
      <c r="G347" s="3" t="s">
        <v>25</v>
      </c>
      <c r="H347" s="3" t="s">
        <v>35</v>
      </c>
      <c r="I347" s="6">
        <v>44593</v>
      </c>
      <c r="J347" s="4">
        <v>0</v>
      </c>
      <c r="K347" s="56">
        <v>0</v>
      </c>
      <c r="L347" s="4">
        <v>8.2000000000000003E-2</v>
      </c>
      <c r="M347" s="56">
        <v>8.2000000000000003E-2</v>
      </c>
      <c r="N347" s="4">
        <v>8.2000000000000003E-2</v>
      </c>
      <c r="O347" s="56">
        <v>8.2000000000000003E-2</v>
      </c>
      <c r="P347" s="4">
        <v>0</v>
      </c>
      <c r="Q347" s="3" t="s">
        <v>26</v>
      </c>
      <c r="R347" s="3">
        <v>0</v>
      </c>
      <c r="S347" s="3">
        <v>0</v>
      </c>
      <c r="T347" s="3">
        <v>21</v>
      </c>
      <c r="U347" s="3">
        <v>89</v>
      </c>
      <c r="V347" s="56">
        <f>IF(ISERROR(VLOOKUP($S$347,'TAR FIN'!$A$1:$O$113,15,0)),0,VLOOKUP($S$347,'TAR FIN'!$A$1:$O$113,15,0))</f>
        <v>0</v>
      </c>
      <c r="W347" s="56">
        <f>IF(ISERROR(VLOOKUP($T$347,'TAR FIN'!$A$1:$O$113,15,0)),0,VLOOKUP($T$347,'TAR FIN'!$A$1:$O$113,15,0))*(1-0.04)</f>
        <v>49.219200000000001</v>
      </c>
      <c r="X347" s="56">
        <f>IF(ISERROR(VLOOKUP($U$347,'TAR FIN'!$A$1:$O$113,15,0)),0,VLOOKUP($U$347,'TAR FIN'!$A$1:$O$113,15,0))*(1-0.04)</f>
        <v>213.41759999999999</v>
      </c>
      <c r="Y347" s="56"/>
      <c r="Z347" s="56">
        <f ca="1">('TUSD BE'!$AM$32+'TUSD BF'!$AM$32+'TUSD CVA'!$AM$32)*1*(1-0.02)</f>
        <v>63.70726143397826</v>
      </c>
      <c r="AA347" s="56">
        <f>('TE BE'!$AA$11+'TE BF'!$AA$11+'TE CVA'!$AA$11)*1*(1-0.02)</f>
        <v>218.68270575803808</v>
      </c>
      <c r="AB347" s="56">
        <f>(SUBSIDIO!$J$347*SUBSIDIO!$V$347)*(0.04)/(1-0.04)</f>
        <v>0</v>
      </c>
      <c r="AC347" s="56">
        <f>((SUBSIDIO!$L$347*SUBSIDIO!$W$347)+(SUBSIDIO!$N$347*SUBSIDIO!$X$347))*(0.04)/(1-0.04)</f>
        <v>0.8973424000000001</v>
      </c>
      <c r="AD347" s="56">
        <f>(SUBSIDIO!$J$347*SUBSIDIO!$Y$347)*(0.02)/(1-0.02)</f>
        <v>0</v>
      </c>
      <c r="AE347" s="56">
        <f ca="1">((SUBSIDIO!$L$347*SUBSIDIO!$Z$347)+(SUBSIDIO!$N$347*SUBSIDIO!$AA$347))*(0.02)/(1-0.02)</f>
        <v>0.47257096550500699</v>
      </c>
      <c r="AF347" s="3" t="s">
        <v>1023</v>
      </c>
    </row>
    <row r="348" spans="1:32" ht="11.25" customHeight="1" x14ac:dyDescent="0.25">
      <c r="A348" s="3" t="s">
        <v>28</v>
      </c>
      <c r="B348" s="3" t="s">
        <v>41</v>
      </c>
      <c r="C348" s="3" t="s">
        <v>42</v>
      </c>
      <c r="D348" s="3" t="s">
        <v>45</v>
      </c>
      <c r="E348" s="3" t="s">
        <v>53</v>
      </c>
      <c r="F348" s="3" t="s">
        <v>25</v>
      </c>
      <c r="G348" s="3" t="s">
        <v>25</v>
      </c>
      <c r="H348" s="3" t="s">
        <v>35</v>
      </c>
      <c r="I348" s="6">
        <v>44593</v>
      </c>
      <c r="J348" s="4">
        <v>0</v>
      </c>
      <c r="K348" s="56">
        <v>0</v>
      </c>
      <c r="L348" s="4">
        <v>5.101</v>
      </c>
      <c r="M348" s="56">
        <v>5.101</v>
      </c>
      <c r="N348" s="4">
        <v>5.101</v>
      </c>
      <c r="O348" s="56">
        <v>5.101</v>
      </c>
      <c r="P348" s="4">
        <v>0</v>
      </c>
      <c r="Q348" s="3" t="s">
        <v>26</v>
      </c>
      <c r="R348" s="3">
        <v>0</v>
      </c>
      <c r="S348" s="3">
        <v>0</v>
      </c>
      <c r="T348" s="3">
        <v>21</v>
      </c>
      <c r="U348" s="3">
        <v>89</v>
      </c>
      <c r="V348" s="56">
        <f>IF(ISERROR(VLOOKUP($S$348,'TAR FIN'!$A$1:$O$113,15,0)),0,VLOOKUP($S$348,'TAR FIN'!$A$1:$O$113,15,0))</f>
        <v>0</v>
      </c>
      <c r="W348" s="56">
        <f>IF(ISERROR(VLOOKUP($T$348,'TAR FIN'!$A$1:$O$113,15,0)),0,VLOOKUP($T$348,'TAR FIN'!$A$1:$O$113,15,0))*(1-0.04)</f>
        <v>49.219200000000001</v>
      </c>
      <c r="X348" s="56">
        <f>IF(ISERROR(VLOOKUP($U$348,'TAR FIN'!$A$1:$O$113,15,0)),0,VLOOKUP($U$348,'TAR FIN'!$A$1:$O$113,15,0))*(1-0.04)</f>
        <v>213.41759999999999</v>
      </c>
      <c r="Y348" s="56"/>
      <c r="Z348" s="56">
        <f ca="1">('TUSD BE'!$AM$32+'TUSD BF'!$AM$32+'TUSD CVA'!$AM$32)*1*(1-0.02)</f>
        <v>63.70726143397826</v>
      </c>
      <c r="AA348" s="56">
        <f>('TE BE'!$AA$11+'TE BF'!$AA$11+'TE CVA'!$AA$11)*1*(1-0.02)</f>
        <v>218.68270575803808</v>
      </c>
      <c r="AB348" s="56">
        <f>(SUBSIDIO!$J$348*SUBSIDIO!$V$348)*(0.04)/(1-0.04)</f>
        <v>0</v>
      </c>
      <c r="AC348" s="56">
        <f>((SUBSIDIO!$L$348*SUBSIDIO!$W$348)+(SUBSIDIO!$N$348*SUBSIDIO!$X$348))*(0.04)/(1-0.04)</f>
        <v>55.821263199999997</v>
      </c>
      <c r="AD348" s="56">
        <f>(SUBSIDIO!$J$348*SUBSIDIO!$Y$348)*(0.02)/(1-0.02)</f>
        <v>0</v>
      </c>
      <c r="AE348" s="56">
        <f ca="1">((SUBSIDIO!$L$348*SUBSIDIO!$Z$348)+(SUBSIDIO!$N$348*SUBSIDIO!$AA$348))*(0.02)/(1-0.02)</f>
        <v>29.397371890744395</v>
      </c>
      <c r="AF348" s="3" t="s">
        <v>1023</v>
      </c>
    </row>
    <row r="349" spans="1:32" ht="11.25" customHeight="1" x14ac:dyDescent="0.25">
      <c r="A349" s="3" t="s">
        <v>56</v>
      </c>
      <c r="B349" s="3" t="s">
        <v>41</v>
      </c>
      <c r="C349" s="3" t="s">
        <v>42</v>
      </c>
      <c r="D349" s="3" t="s">
        <v>45</v>
      </c>
      <c r="E349" s="3" t="s">
        <v>53</v>
      </c>
      <c r="F349" s="3" t="s">
        <v>25</v>
      </c>
      <c r="G349" s="3" t="s">
        <v>25</v>
      </c>
      <c r="H349" s="3" t="s">
        <v>35</v>
      </c>
      <c r="I349" s="6">
        <v>44621</v>
      </c>
      <c r="J349" s="4">
        <v>0</v>
      </c>
      <c r="K349" s="56">
        <v>0</v>
      </c>
      <c r="L349" s="4">
        <v>1647.443</v>
      </c>
      <c r="M349" s="56">
        <v>1647.443</v>
      </c>
      <c r="N349" s="4">
        <v>1647.443</v>
      </c>
      <c r="O349" s="56">
        <v>1647.443</v>
      </c>
      <c r="P349" s="4">
        <v>0</v>
      </c>
      <c r="Q349" s="3" t="s">
        <v>26</v>
      </c>
      <c r="R349" s="3">
        <v>0</v>
      </c>
      <c r="S349" s="3">
        <v>0</v>
      </c>
      <c r="T349" s="3">
        <v>21</v>
      </c>
      <c r="U349" s="3">
        <v>89</v>
      </c>
      <c r="V349" s="56">
        <f>IF(ISERROR(VLOOKUP($S$349,'TAR FIN'!$A$1:$O$113,15,0)),0,VLOOKUP($S$349,'TAR FIN'!$A$1:$O$113,15,0))</f>
        <v>0</v>
      </c>
      <c r="W349" s="56">
        <f>IF(ISERROR(VLOOKUP($T$349,'TAR FIN'!$A$1:$O$113,15,0)),0,VLOOKUP($T$349,'TAR FIN'!$A$1:$O$113,15,0))*(1-0.04)</f>
        <v>49.219200000000001</v>
      </c>
      <c r="X349" s="56">
        <f>IF(ISERROR(VLOOKUP($U$349,'TAR FIN'!$A$1:$O$113,15,0)),0,VLOOKUP($U$349,'TAR FIN'!$A$1:$O$113,15,0))*(1-0.04)</f>
        <v>213.41759999999999</v>
      </c>
      <c r="Y349" s="56"/>
      <c r="Z349" s="56">
        <f ca="1">('TUSD BE'!$AM$32+'TUSD BF'!$AM$32+'TUSD CVA'!$AM$32)*1*(1-0.02)</f>
        <v>63.70726143397826</v>
      </c>
      <c r="AA349" s="56">
        <f>('TE BE'!$AA$11+'TE BF'!$AA$11+'TE CVA'!$AA$11)*1*(1-0.02)</f>
        <v>218.68270575803808</v>
      </c>
      <c r="AB349" s="56">
        <f>(SUBSIDIO!$J$349*SUBSIDIO!$V$349)*(0.04)/(1-0.04)</f>
        <v>0</v>
      </c>
      <c r="AC349" s="56">
        <f>((SUBSIDIO!$L$349*SUBSIDIO!$W$349)+(SUBSIDIO!$N$349*SUBSIDIO!$X$349))*(0.04)/(1-0.04)</f>
        <v>18028.2982376</v>
      </c>
      <c r="AD349" s="56">
        <f>(SUBSIDIO!$J$349*SUBSIDIO!$Y$349)*(0.02)/(1-0.02)</f>
        <v>0</v>
      </c>
      <c r="AE349" s="56">
        <f ca="1">((SUBSIDIO!$L$349*SUBSIDIO!$Z$349)+(SUBSIDIO!$N$349*SUBSIDIO!$AA$349))*(0.02)/(1-0.02)</f>
        <v>9494.3137698105511</v>
      </c>
      <c r="AF349" s="3" t="s">
        <v>1023</v>
      </c>
    </row>
    <row r="350" spans="1:32" ht="11.25" customHeight="1" x14ac:dyDescent="0.25">
      <c r="A350" s="3" t="s">
        <v>56</v>
      </c>
      <c r="B350" s="3" t="s">
        <v>41</v>
      </c>
      <c r="C350" s="3" t="s">
        <v>42</v>
      </c>
      <c r="D350" s="3" t="s">
        <v>45</v>
      </c>
      <c r="E350" s="3" t="s">
        <v>53</v>
      </c>
      <c r="F350" s="3" t="s">
        <v>25</v>
      </c>
      <c r="G350" s="3" t="s">
        <v>25</v>
      </c>
      <c r="H350" s="3" t="s">
        <v>35</v>
      </c>
      <c r="I350" s="6">
        <v>44621</v>
      </c>
      <c r="J350" s="4">
        <v>0</v>
      </c>
      <c r="K350" s="56">
        <v>0</v>
      </c>
      <c r="L350" s="4">
        <v>8.2000000000000003E-2</v>
      </c>
      <c r="M350" s="56">
        <v>8.2000000000000003E-2</v>
      </c>
      <c r="N350" s="4">
        <v>8.2000000000000003E-2</v>
      </c>
      <c r="O350" s="56">
        <v>8.2000000000000003E-2</v>
      </c>
      <c r="P350" s="4">
        <v>0</v>
      </c>
      <c r="Q350" s="3" t="s">
        <v>26</v>
      </c>
      <c r="R350" s="3">
        <v>0</v>
      </c>
      <c r="S350" s="3">
        <v>0</v>
      </c>
      <c r="T350" s="3">
        <v>21</v>
      </c>
      <c r="U350" s="3">
        <v>89</v>
      </c>
      <c r="V350" s="56">
        <f>IF(ISERROR(VLOOKUP($S$350,'TAR FIN'!$A$1:$O$113,15,0)),0,VLOOKUP($S$350,'TAR FIN'!$A$1:$O$113,15,0))</f>
        <v>0</v>
      </c>
      <c r="W350" s="56">
        <f>IF(ISERROR(VLOOKUP($T$350,'TAR FIN'!$A$1:$O$113,15,0)),0,VLOOKUP($T$350,'TAR FIN'!$A$1:$O$113,15,0))*(1-0.04)</f>
        <v>49.219200000000001</v>
      </c>
      <c r="X350" s="56">
        <f>IF(ISERROR(VLOOKUP($U$350,'TAR FIN'!$A$1:$O$113,15,0)),0,VLOOKUP($U$350,'TAR FIN'!$A$1:$O$113,15,0))*(1-0.04)</f>
        <v>213.41759999999999</v>
      </c>
      <c r="Y350" s="56"/>
      <c r="Z350" s="56">
        <f ca="1">('TUSD BE'!$AM$32+'TUSD BF'!$AM$32+'TUSD CVA'!$AM$32)*1*(1-0.02)</f>
        <v>63.70726143397826</v>
      </c>
      <c r="AA350" s="56">
        <f>('TE BE'!$AA$11+'TE BF'!$AA$11+'TE CVA'!$AA$11)*1*(1-0.02)</f>
        <v>218.68270575803808</v>
      </c>
      <c r="AB350" s="56">
        <f>(SUBSIDIO!$J$350*SUBSIDIO!$V$350)*(0.04)/(1-0.04)</f>
        <v>0</v>
      </c>
      <c r="AC350" s="56">
        <f>((SUBSIDIO!$L$350*SUBSIDIO!$W$350)+(SUBSIDIO!$N$350*SUBSIDIO!$X$350))*(0.04)/(1-0.04)</f>
        <v>0.8973424000000001</v>
      </c>
      <c r="AD350" s="56">
        <f>(SUBSIDIO!$J$350*SUBSIDIO!$Y$350)*(0.02)/(1-0.02)</f>
        <v>0</v>
      </c>
      <c r="AE350" s="56">
        <f ca="1">((SUBSIDIO!$L$350*SUBSIDIO!$Z$350)+(SUBSIDIO!$N$350*SUBSIDIO!$AA$350))*(0.02)/(1-0.02)</f>
        <v>0.47257096550500699</v>
      </c>
      <c r="AF350" s="3" t="s">
        <v>1023</v>
      </c>
    </row>
    <row r="351" spans="1:32" ht="11.25" customHeight="1" x14ac:dyDescent="0.25">
      <c r="A351" s="3" t="s">
        <v>56</v>
      </c>
      <c r="B351" s="3" t="s">
        <v>41</v>
      </c>
      <c r="C351" s="3" t="s">
        <v>42</v>
      </c>
      <c r="D351" s="3" t="s">
        <v>45</v>
      </c>
      <c r="E351" s="3" t="s">
        <v>53</v>
      </c>
      <c r="F351" s="3" t="s">
        <v>25</v>
      </c>
      <c r="G351" s="3" t="s">
        <v>25</v>
      </c>
      <c r="H351" s="3" t="s">
        <v>35</v>
      </c>
      <c r="I351" s="6">
        <v>44621</v>
      </c>
      <c r="J351" s="4">
        <v>0</v>
      </c>
      <c r="K351" s="56">
        <v>0</v>
      </c>
      <c r="L351" s="4">
        <v>5.101</v>
      </c>
      <c r="M351" s="56">
        <v>5.101</v>
      </c>
      <c r="N351" s="4">
        <v>5.101</v>
      </c>
      <c r="O351" s="56">
        <v>5.101</v>
      </c>
      <c r="P351" s="4">
        <v>0</v>
      </c>
      <c r="Q351" s="3" t="s">
        <v>26</v>
      </c>
      <c r="R351" s="3">
        <v>0</v>
      </c>
      <c r="S351" s="3">
        <v>0</v>
      </c>
      <c r="T351" s="3">
        <v>21</v>
      </c>
      <c r="U351" s="3">
        <v>89</v>
      </c>
      <c r="V351" s="56">
        <f>IF(ISERROR(VLOOKUP($S$351,'TAR FIN'!$A$1:$O$113,15,0)),0,VLOOKUP($S$351,'TAR FIN'!$A$1:$O$113,15,0))</f>
        <v>0</v>
      </c>
      <c r="W351" s="56">
        <f>IF(ISERROR(VLOOKUP($T$351,'TAR FIN'!$A$1:$O$113,15,0)),0,VLOOKUP($T$351,'TAR FIN'!$A$1:$O$113,15,0))*(1-0.04)</f>
        <v>49.219200000000001</v>
      </c>
      <c r="X351" s="56">
        <f>IF(ISERROR(VLOOKUP($U$351,'TAR FIN'!$A$1:$O$113,15,0)),0,VLOOKUP($U$351,'TAR FIN'!$A$1:$O$113,15,0))*(1-0.04)</f>
        <v>213.41759999999999</v>
      </c>
      <c r="Y351" s="56"/>
      <c r="Z351" s="56">
        <f ca="1">('TUSD BE'!$AM$32+'TUSD BF'!$AM$32+'TUSD CVA'!$AM$32)*1*(1-0.02)</f>
        <v>63.70726143397826</v>
      </c>
      <c r="AA351" s="56">
        <f>('TE BE'!$AA$11+'TE BF'!$AA$11+'TE CVA'!$AA$11)*1*(1-0.02)</f>
        <v>218.68270575803808</v>
      </c>
      <c r="AB351" s="56">
        <f>(SUBSIDIO!$J$351*SUBSIDIO!$V$351)*(0.04)/(1-0.04)</f>
        <v>0</v>
      </c>
      <c r="AC351" s="56">
        <f>((SUBSIDIO!$L$351*SUBSIDIO!$W$351)+(SUBSIDIO!$N$351*SUBSIDIO!$X$351))*(0.04)/(1-0.04)</f>
        <v>55.821263199999997</v>
      </c>
      <c r="AD351" s="56">
        <f>(SUBSIDIO!$J$351*SUBSIDIO!$Y$351)*(0.02)/(1-0.02)</f>
        <v>0</v>
      </c>
      <c r="AE351" s="56">
        <f ca="1">((SUBSIDIO!$L$351*SUBSIDIO!$Z$351)+(SUBSIDIO!$N$351*SUBSIDIO!$AA$351))*(0.02)/(1-0.02)</f>
        <v>29.397371890744395</v>
      </c>
      <c r="AF351" s="3" t="s">
        <v>1023</v>
      </c>
    </row>
    <row r="352" spans="1:32" ht="11.25" customHeight="1" x14ac:dyDescent="0.25">
      <c r="A352" s="3" t="s">
        <v>21</v>
      </c>
      <c r="B352" s="3" t="s">
        <v>41</v>
      </c>
      <c r="C352" s="3" t="s">
        <v>42</v>
      </c>
      <c r="D352" s="3" t="s">
        <v>45</v>
      </c>
      <c r="E352" s="3" t="s">
        <v>53</v>
      </c>
      <c r="F352" s="3" t="s">
        <v>25</v>
      </c>
      <c r="G352" s="3" t="s">
        <v>25</v>
      </c>
      <c r="H352" s="3" t="s">
        <v>25</v>
      </c>
      <c r="I352" s="6">
        <v>44287</v>
      </c>
      <c r="J352" s="4">
        <v>8254</v>
      </c>
      <c r="K352" s="56">
        <v>8254</v>
      </c>
      <c r="L352" s="4">
        <v>0</v>
      </c>
      <c r="M352" s="56">
        <v>0</v>
      </c>
      <c r="N352" s="4">
        <v>0</v>
      </c>
      <c r="O352" s="56">
        <v>0</v>
      </c>
      <c r="P352" s="4">
        <v>44</v>
      </c>
      <c r="Q352" s="3" t="s">
        <v>26</v>
      </c>
      <c r="R352" s="3">
        <v>0</v>
      </c>
      <c r="S352" s="3">
        <v>44</v>
      </c>
      <c r="T352" s="3">
        <v>0</v>
      </c>
      <c r="U352" s="3">
        <v>0</v>
      </c>
      <c r="V352" s="56">
        <f>IF(ISERROR(VLOOKUP($S$352,'TAR FIN'!$A$1:$O$113,15,0)),0,VLOOKUP($S$352,'TAR FIN'!$A$1:$O$113,15,0))*(1-0.04)</f>
        <v>23.337599999999998</v>
      </c>
      <c r="W352" s="56">
        <f>IF(ISERROR(VLOOKUP($T$352,'TAR FIN'!$A$1:$O$113,15,0)),0,VLOOKUP($T$352,'TAR FIN'!$A$1:$O$113,15,0))</f>
        <v>0</v>
      </c>
      <c r="X352" s="56">
        <f>IF(ISERROR(VLOOKUP($U$352,'TAR FIN'!$A$1:$O$113,15,0)),0,VLOOKUP($U$352,'TAR FIN'!$A$1:$O$113,15,0))</f>
        <v>0</v>
      </c>
      <c r="Y352" s="56">
        <f ca="1">('TUSD BE'!$AM$30+'TUSD BF'!$AM$30+'TUSD CVA'!$AM$30)*1*(1-0.02)</f>
        <v>26.066113153707715</v>
      </c>
      <c r="Z352" s="56"/>
      <c r="AA352" s="56"/>
      <c r="AB352" s="56">
        <f>(SUBSIDIO!$J$352*SUBSIDIO!$V$352)*(0.04)/(1-0.04)</f>
        <v>8026.1895999999988</v>
      </c>
      <c r="AC352" s="56">
        <f>((SUBSIDIO!$L$352*SUBSIDIO!$W$352)+(SUBSIDIO!$N$352*SUBSIDIO!$X$352))*(0.04)/(1-0.04)</f>
        <v>0</v>
      </c>
      <c r="AD352" s="56">
        <f ca="1">(SUBSIDIO!$J$352*SUBSIDIO!$Y$352)*(0.02)/(1-0.02)</f>
        <v>4390.8101626674179</v>
      </c>
      <c r="AE352" s="56">
        <f>((SUBSIDIO!$L$352*SUBSIDIO!$Z$352)+(SUBSIDIO!$N$352*SUBSIDIO!$AA$352))*(0.02)/(1-0.02)</f>
        <v>0</v>
      </c>
      <c r="AF352" s="3" t="s">
        <v>1023</v>
      </c>
    </row>
    <row r="353" spans="1:32" ht="11.25" customHeight="1" x14ac:dyDescent="0.25">
      <c r="A353" s="3" t="s">
        <v>21</v>
      </c>
      <c r="B353" s="3" t="s">
        <v>41</v>
      </c>
      <c r="C353" s="3" t="s">
        <v>42</v>
      </c>
      <c r="D353" s="3" t="s">
        <v>45</v>
      </c>
      <c r="E353" s="3" t="s">
        <v>53</v>
      </c>
      <c r="F353" s="3" t="s">
        <v>25</v>
      </c>
      <c r="G353" s="3" t="s">
        <v>25</v>
      </c>
      <c r="H353" s="3" t="s">
        <v>25</v>
      </c>
      <c r="I353" s="6">
        <v>44317</v>
      </c>
      <c r="J353" s="4">
        <v>6368</v>
      </c>
      <c r="K353" s="56">
        <v>6368</v>
      </c>
      <c r="L353" s="4">
        <v>0</v>
      </c>
      <c r="M353" s="56">
        <v>0</v>
      </c>
      <c r="N353" s="4">
        <v>0</v>
      </c>
      <c r="O353" s="56">
        <v>0</v>
      </c>
      <c r="P353" s="4">
        <v>43</v>
      </c>
      <c r="Q353" s="3" t="s">
        <v>26</v>
      </c>
      <c r="R353" s="3">
        <v>0</v>
      </c>
      <c r="S353" s="3">
        <v>44</v>
      </c>
      <c r="T353" s="3">
        <v>0</v>
      </c>
      <c r="U353" s="3">
        <v>0</v>
      </c>
      <c r="V353" s="56">
        <f>IF(ISERROR(VLOOKUP($S$353,'TAR FIN'!$A$1:$O$113,15,0)),0,VLOOKUP($S$353,'TAR FIN'!$A$1:$O$113,15,0))*(1-0.04)</f>
        <v>23.337599999999998</v>
      </c>
      <c r="W353" s="56">
        <f>IF(ISERROR(VLOOKUP($T$353,'TAR FIN'!$A$1:$O$113,15,0)),0,VLOOKUP($T$353,'TAR FIN'!$A$1:$O$113,15,0))</f>
        <v>0</v>
      </c>
      <c r="X353" s="56">
        <f>IF(ISERROR(VLOOKUP($U$353,'TAR FIN'!$A$1:$O$113,15,0)),0,VLOOKUP($U$353,'TAR FIN'!$A$1:$O$113,15,0))</f>
        <v>0</v>
      </c>
      <c r="Y353" s="56">
        <f ca="1">('TUSD BE'!$AM$30+'TUSD BF'!$AM$30+'TUSD CVA'!$AM$30)*1*(1-0.02)</f>
        <v>26.066113153707715</v>
      </c>
      <c r="Z353" s="56"/>
      <c r="AA353" s="56"/>
      <c r="AB353" s="56">
        <f>(SUBSIDIO!$J$353*SUBSIDIO!$V$353)*(0.04)/(1-0.04)</f>
        <v>6192.2431999999999</v>
      </c>
      <c r="AC353" s="56">
        <f>((SUBSIDIO!$L$353*SUBSIDIO!$W$353)+(SUBSIDIO!$N$353*SUBSIDIO!$X$353))*(0.04)/(1-0.04)</f>
        <v>0</v>
      </c>
      <c r="AD353" s="56">
        <f ca="1">(SUBSIDIO!$J$353*SUBSIDIO!$Y$353)*(0.02)/(1-0.02)</f>
        <v>3387.5307869961375</v>
      </c>
      <c r="AE353" s="56">
        <f>((SUBSIDIO!$L$353*SUBSIDIO!$Z$353)+(SUBSIDIO!$N$353*SUBSIDIO!$AA$353))*(0.02)/(1-0.02)</f>
        <v>0</v>
      </c>
      <c r="AF353" s="3" t="s">
        <v>1023</v>
      </c>
    </row>
    <row r="354" spans="1:32" ht="11.25" customHeight="1" x14ac:dyDescent="0.25">
      <c r="A354" s="3" t="s">
        <v>28</v>
      </c>
      <c r="B354" s="3" t="s">
        <v>41</v>
      </c>
      <c r="C354" s="3" t="s">
        <v>42</v>
      </c>
      <c r="D354" s="3" t="s">
        <v>45</v>
      </c>
      <c r="E354" s="3" t="s">
        <v>53</v>
      </c>
      <c r="F354" s="3" t="s">
        <v>25</v>
      </c>
      <c r="G354" s="3" t="s">
        <v>25</v>
      </c>
      <c r="H354" s="3" t="s">
        <v>25</v>
      </c>
      <c r="I354" s="6">
        <v>44317</v>
      </c>
      <c r="J354" s="4">
        <v>15</v>
      </c>
      <c r="K354" s="56">
        <v>15</v>
      </c>
      <c r="L354" s="4">
        <v>0</v>
      </c>
      <c r="M354" s="56">
        <v>0</v>
      </c>
      <c r="N354" s="4">
        <v>0</v>
      </c>
      <c r="O354" s="56">
        <v>0</v>
      </c>
      <c r="P354" s="4">
        <v>1</v>
      </c>
      <c r="Q354" s="3" t="s">
        <v>26</v>
      </c>
      <c r="R354" s="3">
        <v>0</v>
      </c>
      <c r="S354" s="3">
        <v>44</v>
      </c>
      <c r="T354" s="3">
        <v>0</v>
      </c>
      <c r="U354" s="3">
        <v>0</v>
      </c>
      <c r="V354" s="56">
        <f>IF(ISERROR(VLOOKUP($S$354,'TAR FIN'!$A$1:$O$113,15,0)),0,VLOOKUP($S$354,'TAR FIN'!$A$1:$O$113,15,0))*(1-0.04)</f>
        <v>23.337599999999998</v>
      </c>
      <c r="W354" s="56">
        <f>IF(ISERROR(VLOOKUP($T$354,'TAR FIN'!$A$1:$O$113,15,0)),0,VLOOKUP($T$354,'TAR FIN'!$A$1:$O$113,15,0))</f>
        <v>0</v>
      </c>
      <c r="X354" s="56">
        <f>IF(ISERROR(VLOOKUP($U$354,'TAR FIN'!$A$1:$O$113,15,0)),0,VLOOKUP($U$354,'TAR FIN'!$A$1:$O$113,15,0))</f>
        <v>0</v>
      </c>
      <c r="Y354" s="56">
        <f ca="1">('TUSD BE'!$AM$30+'TUSD BF'!$AM$30+'TUSD CVA'!$AM$30)*1*(1-0.02)</f>
        <v>26.066113153707715</v>
      </c>
      <c r="Z354" s="56"/>
      <c r="AA354" s="56"/>
      <c r="AB354" s="56">
        <f>(SUBSIDIO!$J$354*SUBSIDIO!$V$354)*(0.04)/(1-0.04)</f>
        <v>14.586</v>
      </c>
      <c r="AC354" s="56">
        <f>((SUBSIDIO!$L$354*SUBSIDIO!$W$354)+(SUBSIDIO!$N$354*SUBSIDIO!$X$354))*(0.04)/(1-0.04)</f>
        <v>0</v>
      </c>
      <c r="AD354" s="56">
        <f ca="1">(SUBSIDIO!$J$354*SUBSIDIO!$Y$354)*(0.02)/(1-0.02)</f>
        <v>7.9794223939921585</v>
      </c>
      <c r="AE354" s="56">
        <f>((SUBSIDIO!$L$354*SUBSIDIO!$Z$354)+(SUBSIDIO!$N$354*SUBSIDIO!$AA$354))*(0.02)/(1-0.02)</f>
        <v>0</v>
      </c>
      <c r="AF354" s="3" t="s">
        <v>1023</v>
      </c>
    </row>
    <row r="355" spans="1:32" ht="11.25" customHeight="1" x14ac:dyDescent="0.25">
      <c r="A355" s="3" t="s">
        <v>21</v>
      </c>
      <c r="B355" s="3" t="s">
        <v>41</v>
      </c>
      <c r="C355" s="3" t="s">
        <v>42</v>
      </c>
      <c r="D355" s="3" t="s">
        <v>45</v>
      </c>
      <c r="E355" s="3" t="s">
        <v>53</v>
      </c>
      <c r="F355" s="3" t="s">
        <v>25</v>
      </c>
      <c r="G355" s="3" t="s">
        <v>25</v>
      </c>
      <c r="H355" s="3" t="s">
        <v>25</v>
      </c>
      <c r="I355" s="6">
        <v>44348</v>
      </c>
      <c r="J355" s="4">
        <v>6070</v>
      </c>
      <c r="K355" s="56">
        <v>6070</v>
      </c>
      <c r="L355" s="4">
        <v>0</v>
      </c>
      <c r="M355" s="56">
        <v>0</v>
      </c>
      <c r="N355" s="4">
        <v>0</v>
      </c>
      <c r="O355" s="56">
        <v>0</v>
      </c>
      <c r="P355" s="4">
        <v>38</v>
      </c>
      <c r="Q355" s="3" t="s">
        <v>26</v>
      </c>
      <c r="R355" s="3">
        <v>0</v>
      </c>
      <c r="S355" s="3">
        <v>44</v>
      </c>
      <c r="T355" s="3">
        <v>0</v>
      </c>
      <c r="U355" s="3">
        <v>0</v>
      </c>
      <c r="V355" s="56">
        <f>IF(ISERROR(VLOOKUP($S$355,'TAR FIN'!$A$1:$O$113,15,0)),0,VLOOKUP($S$355,'TAR FIN'!$A$1:$O$113,15,0))*(1-0.04)</f>
        <v>23.337599999999998</v>
      </c>
      <c r="W355" s="56">
        <f>IF(ISERROR(VLOOKUP($T$355,'TAR FIN'!$A$1:$O$113,15,0)),0,VLOOKUP($T$355,'TAR FIN'!$A$1:$O$113,15,0))</f>
        <v>0</v>
      </c>
      <c r="X355" s="56">
        <f>IF(ISERROR(VLOOKUP($U$355,'TAR FIN'!$A$1:$O$113,15,0)),0,VLOOKUP($U$355,'TAR FIN'!$A$1:$O$113,15,0))</f>
        <v>0</v>
      </c>
      <c r="Y355" s="56">
        <f ca="1">('TUSD BE'!$AM$30+'TUSD BF'!$AM$30+'TUSD CVA'!$AM$30)*1*(1-0.02)</f>
        <v>26.066113153707715</v>
      </c>
      <c r="Z355" s="56"/>
      <c r="AA355" s="56"/>
      <c r="AB355" s="56">
        <f>(SUBSIDIO!$J$355*SUBSIDIO!$V$355)*(0.04)/(1-0.04)</f>
        <v>5902.4679999999998</v>
      </c>
      <c r="AC355" s="56">
        <f>((SUBSIDIO!$L$355*SUBSIDIO!$W$355)+(SUBSIDIO!$N$355*SUBSIDIO!$X$355))*(0.04)/(1-0.04)</f>
        <v>0</v>
      </c>
      <c r="AD355" s="56">
        <f ca="1">(SUBSIDIO!$J$355*SUBSIDIO!$Y$355)*(0.02)/(1-0.02)</f>
        <v>3229.0062621021598</v>
      </c>
      <c r="AE355" s="56">
        <f>((SUBSIDIO!$L$355*SUBSIDIO!$Z$355)+(SUBSIDIO!$N$355*SUBSIDIO!$AA$355))*(0.02)/(1-0.02)</f>
        <v>0</v>
      </c>
      <c r="AF355" s="3" t="s">
        <v>1023</v>
      </c>
    </row>
    <row r="356" spans="1:32" ht="11.25" customHeight="1" x14ac:dyDescent="0.25">
      <c r="A356" s="3" t="s">
        <v>28</v>
      </c>
      <c r="B356" s="3" t="s">
        <v>41</v>
      </c>
      <c r="C356" s="3" t="s">
        <v>42</v>
      </c>
      <c r="D356" s="3" t="s">
        <v>45</v>
      </c>
      <c r="E356" s="3" t="s">
        <v>53</v>
      </c>
      <c r="F356" s="3" t="s">
        <v>25</v>
      </c>
      <c r="G356" s="3" t="s">
        <v>25</v>
      </c>
      <c r="H356" s="3" t="s">
        <v>25</v>
      </c>
      <c r="I356" s="6">
        <v>44348</v>
      </c>
      <c r="J356" s="4">
        <v>23</v>
      </c>
      <c r="K356" s="56">
        <v>23</v>
      </c>
      <c r="L356" s="4">
        <v>0</v>
      </c>
      <c r="M356" s="56">
        <v>0</v>
      </c>
      <c r="N356" s="4">
        <v>0</v>
      </c>
      <c r="O356" s="56">
        <v>0</v>
      </c>
      <c r="P356" s="4">
        <v>1</v>
      </c>
      <c r="Q356" s="3" t="s">
        <v>26</v>
      </c>
      <c r="R356" s="3">
        <v>0</v>
      </c>
      <c r="S356" s="3">
        <v>44</v>
      </c>
      <c r="T356" s="3">
        <v>0</v>
      </c>
      <c r="U356" s="3">
        <v>0</v>
      </c>
      <c r="V356" s="56">
        <f>IF(ISERROR(VLOOKUP($S$356,'TAR FIN'!$A$1:$O$113,15,0)),0,VLOOKUP($S$356,'TAR FIN'!$A$1:$O$113,15,0))*(1-0.04)</f>
        <v>23.337599999999998</v>
      </c>
      <c r="W356" s="56">
        <f>IF(ISERROR(VLOOKUP($T$356,'TAR FIN'!$A$1:$O$113,15,0)),0,VLOOKUP($T$356,'TAR FIN'!$A$1:$O$113,15,0))</f>
        <v>0</v>
      </c>
      <c r="X356" s="56">
        <f>IF(ISERROR(VLOOKUP($U$356,'TAR FIN'!$A$1:$O$113,15,0)),0,VLOOKUP($U$356,'TAR FIN'!$A$1:$O$113,15,0))</f>
        <v>0</v>
      </c>
      <c r="Y356" s="56">
        <f ca="1">('TUSD BE'!$AM$30+'TUSD BF'!$AM$30+'TUSD CVA'!$AM$30)*1*(1-0.02)</f>
        <v>26.066113153707715</v>
      </c>
      <c r="Z356" s="56"/>
      <c r="AA356" s="56"/>
      <c r="AB356" s="56">
        <f>(SUBSIDIO!$J$356*SUBSIDIO!$V$356)*(0.04)/(1-0.04)</f>
        <v>22.365199999999998</v>
      </c>
      <c r="AC356" s="56">
        <f>((SUBSIDIO!$L$356*SUBSIDIO!$W$356)+(SUBSIDIO!$N$356*SUBSIDIO!$X$356))*(0.04)/(1-0.04)</f>
        <v>0</v>
      </c>
      <c r="AD356" s="56">
        <f ca="1">(SUBSIDIO!$J$356*SUBSIDIO!$Y$356)*(0.02)/(1-0.02)</f>
        <v>12.235114337454641</v>
      </c>
      <c r="AE356" s="56">
        <f>((SUBSIDIO!$L$356*SUBSIDIO!$Z$356)+(SUBSIDIO!$N$356*SUBSIDIO!$AA$356))*(0.02)/(1-0.02)</f>
        <v>0</v>
      </c>
      <c r="AF356" s="3" t="s">
        <v>1023</v>
      </c>
    </row>
    <row r="357" spans="1:32" ht="11.25" customHeight="1" x14ac:dyDescent="0.25">
      <c r="A357" s="3" t="s">
        <v>21</v>
      </c>
      <c r="B357" s="3" t="s">
        <v>41</v>
      </c>
      <c r="C357" s="3" t="s">
        <v>42</v>
      </c>
      <c r="D357" s="3" t="s">
        <v>45</v>
      </c>
      <c r="E357" s="3" t="s">
        <v>53</v>
      </c>
      <c r="F357" s="3" t="s">
        <v>25</v>
      </c>
      <c r="G357" s="3" t="s">
        <v>25</v>
      </c>
      <c r="H357" s="3" t="s">
        <v>25</v>
      </c>
      <c r="I357" s="6">
        <v>44378</v>
      </c>
      <c r="J357" s="4">
        <v>5878</v>
      </c>
      <c r="K357" s="56">
        <v>5878</v>
      </c>
      <c r="L357" s="4">
        <v>0</v>
      </c>
      <c r="M357" s="56">
        <v>0</v>
      </c>
      <c r="N357" s="4">
        <v>0</v>
      </c>
      <c r="O357" s="56">
        <v>0</v>
      </c>
      <c r="P357" s="4">
        <v>38</v>
      </c>
      <c r="Q357" s="3" t="s">
        <v>26</v>
      </c>
      <c r="R357" s="3">
        <v>0</v>
      </c>
      <c r="S357" s="3">
        <v>44</v>
      </c>
      <c r="T357" s="3">
        <v>0</v>
      </c>
      <c r="U357" s="3">
        <v>0</v>
      </c>
      <c r="V357" s="56">
        <f>IF(ISERROR(VLOOKUP($S$357,'TAR FIN'!$A$1:$O$113,15,0)),0,VLOOKUP($S$357,'TAR FIN'!$A$1:$O$113,15,0))*(1-0.04)</f>
        <v>23.337599999999998</v>
      </c>
      <c r="W357" s="56">
        <f>IF(ISERROR(VLOOKUP($T$357,'TAR FIN'!$A$1:$O$113,15,0)),0,VLOOKUP($T$357,'TAR FIN'!$A$1:$O$113,15,0))</f>
        <v>0</v>
      </c>
      <c r="X357" s="56">
        <f>IF(ISERROR(VLOOKUP($U$357,'TAR FIN'!$A$1:$O$113,15,0)),0,VLOOKUP($U$357,'TAR FIN'!$A$1:$O$113,15,0))</f>
        <v>0</v>
      </c>
      <c r="Y357" s="56">
        <f ca="1">('TUSD BE'!$AM$30+'TUSD BF'!$AM$30+'TUSD CVA'!$AM$30)*1*(1-0.02)</f>
        <v>26.066113153707715</v>
      </c>
      <c r="Z357" s="56"/>
      <c r="AA357" s="56"/>
      <c r="AB357" s="56">
        <f>(SUBSIDIO!$J$357*SUBSIDIO!$V$357)*(0.04)/(1-0.04)</f>
        <v>5715.7672000000002</v>
      </c>
      <c r="AC357" s="56">
        <f>((SUBSIDIO!$L$357*SUBSIDIO!$W$357)+(SUBSIDIO!$N$357*SUBSIDIO!$X$357))*(0.04)/(1-0.04)</f>
        <v>0</v>
      </c>
      <c r="AD357" s="56">
        <f ca="1">(SUBSIDIO!$J$357*SUBSIDIO!$Y$357)*(0.02)/(1-0.02)</f>
        <v>3126.8696554590601</v>
      </c>
      <c r="AE357" s="56">
        <f>((SUBSIDIO!$L$357*SUBSIDIO!$Z$357)+(SUBSIDIO!$N$357*SUBSIDIO!$AA$357))*(0.02)/(1-0.02)</f>
        <v>0</v>
      </c>
      <c r="AF357" s="3" t="s">
        <v>1023</v>
      </c>
    </row>
    <row r="358" spans="1:32" ht="11.25" customHeight="1" x14ac:dyDescent="0.25">
      <c r="A358" s="3" t="s">
        <v>28</v>
      </c>
      <c r="B358" s="3" t="s">
        <v>41</v>
      </c>
      <c r="C358" s="3" t="s">
        <v>42</v>
      </c>
      <c r="D358" s="3" t="s">
        <v>45</v>
      </c>
      <c r="E358" s="3" t="s">
        <v>53</v>
      </c>
      <c r="F358" s="3" t="s">
        <v>25</v>
      </c>
      <c r="G358" s="3" t="s">
        <v>25</v>
      </c>
      <c r="H358" s="3" t="s">
        <v>25</v>
      </c>
      <c r="I358" s="6">
        <v>44378</v>
      </c>
      <c r="J358" s="4">
        <v>17</v>
      </c>
      <c r="K358" s="56">
        <v>17</v>
      </c>
      <c r="L358" s="4">
        <v>0</v>
      </c>
      <c r="M358" s="56">
        <v>0</v>
      </c>
      <c r="N358" s="4">
        <v>0</v>
      </c>
      <c r="O358" s="56">
        <v>0</v>
      </c>
      <c r="P358" s="4">
        <v>1</v>
      </c>
      <c r="Q358" s="3" t="s">
        <v>26</v>
      </c>
      <c r="R358" s="3">
        <v>0</v>
      </c>
      <c r="S358" s="3">
        <v>44</v>
      </c>
      <c r="T358" s="3">
        <v>0</v>
      </c>
      <c r="U358" s="3">
        <v>0</v>
      </c>
      <c r="V358" s="56">
        <f>IF(ISERROR(VLOOKUP($S$358,'TAR FIN'!$A$1:$O$113,15,0)),0,VLOOKUP($S$358,'TAR FIN'!$A$1:$O$113,15,0))*(1-0.04)</f>
        <v>23.337599999999998</v>
      </c>
      <c r="W358" s="56">
        <f>IF(ISERROR(VLOOKUP($T$358,'TAR FIN'!$A$1:$O$113,15,0)),0,VLOOKUP($T$358,'TAR FIN'!$A$1:$O$113,15,0))</f>
        <v>0</v>
      </c>
      <c r="X358" s="56">
        <f>IF(ISERROR(VLOOKUP($U$358,'TAR FIN'!$A$1:$O$113,15,0)),0,VLOOKUP($U$358,'TAR FIN'!$A$1:$O$113,15,0))</f>
        <v>0</v>
      </c>
      <c r="Y358" s="56">
        <f ca="1">('TUSD BE'!$AM$30+'TUSD BF'!$AM$30+'TUSD CVA'!$AM$30)*1*(1-0.02)</f>
        <v>26.066113153707715</v>
      </c>
      <c r="Z358" s="56"/>
      <c r="AA358" s="56"/>
      <c r="AB358" s="56">
        <f>(SUBSIDIO!$J$358*SUBSIDIO!$V$358)*(0.04)/(1-0.04)</f>
        <v>16.530799999999999</v>
      </c>
      <c r="AC358" s="56">
        <f>((SUBSIDIO!$L$358*SUBSIDIO!$W$358)+(SUBSIDIO!$N$358*SUBSIDIO!$X$358))*(0.04)/(1-0.04)</f>
        <v>0</v>
      </c>
      <c r="AD358" s="56">
        <f ca="1">(SUBSIDIO!$J$358*SUBSIDIO!$Y$358)*(0.02)/(1-0.02)</f>
        <v>9.0433453798577794</v>
      </c>
      <c r="AE358" s="56">
        <f>((SUBSIDIO!$L$358*SUBSIDIO!$Z$358)+(SUBSIDIO!$N$358*SUBSIDIO!$AA$358))*(0.02)/(1-0.02)</f>
        <v>0</v>
      </c>
      <c r="AF358" s="3" t="s">
        <v>1023</v>
      </c>
    </row>
    <row r="359" spans="1:32" ht="11.25" customHeight="1" x14ac:dyDescent="0.25">
      <c r="A359" s="3" t="s">
        <v>21</v>
      </c>
      <c r="B359" s="3" t="s">
        <v>41</v>
      </c>
      <c r="C359" s="3" t="s">
        <v>42</v>
      </c>
      <c r="D359" s="3" t="s">
        <v>45</v>
      </c>
      <c r="E359" s="3" t="s">
        <v>53</v>
      </c>
      <c r="F359" s="3" t="s">
        <v>25</v>
      </c>
      <c r="G359" s="3" t="s">
        <v>25</v>
      </c>
      <c r="H359" s="3" t="s">
        <v>25</v>
      </c>
      <c r="I359" s="6">
        <v>44409</v>
      </c>
      <c r="J359" s="4">
        <v>5723</v>
      </c>
      <c r="K359" s="56">
        <v>5723</v>
      </c>
      <c r="L359" s="4">
        <v>0</v>
      </c>
      <c r="M359" s="56">
        <v>0</v>
      </c>
      <c r="N359" s="4">
        <v>0</v>
      </c>
      <c r="O359" s="56">
        <v>0</v>
      </c>
      <c r="P359" s="4">
        <v>35</v>
      </c>
      <c r="Q359" s="3" t="s">
        <v>26</v>
      </c>
      <c r="R359" s="3">
        <v>0</v>
      </c>
      <c r="S359" s="3">
        <v>44</v>
      </c>
      <c r="T359" s="3">
        <v>0</v>
      </c>
      <c r="U359" s="3">
        <v>0</v>
      </c>
      <c r="V359" s="56">
        <f>IF(ISERROR(VLOOKUP($S$359,'TAR FIN'!$A$1:$O$113,15,0)),0,VLOOKUP($S$359,'TAR FIN'!$A$1:$O$113,15,0))*(1-0.04)</f>
        <v>23.337599999999998</v>
      </c>
      <c r="W359" s="56">
        <f>IF(ISERROR(VLOOKUP($T$359,'TAR FIN'!$A$1:$O$113,15,0)),0,VLOOKUP($T$359,'TAR FIN'!$A$1:$O$113,15,0))</f>
        <v>0</v>
      </c>
      <c r="X359" s="56">
        <f>IF(ISERROR(VLOOKUP($U$359,'TAR FIN'!$A$1:$O$113,15,0)),0,VLOOKUP($U$359,'TAR FIN'!$A$1:$O$113,15,0))</f>
        <v>0</v>
      </c>
      <c r="Y359" s="56">
        <f ca="1">('TUSD BE'!$AM$30+'TUSD BF'!$AM$30+'TUSD CVA'!$AM$30)*1*(1-0.02)</f>
        <v>26.066113153707715</v>
      </c>
      <c r="Z359" s="56"/>
      <c r="AA359" s="56"/>
      <c r="AB359" s="56">
        <f>(SUBSIDIO!$J$359*SUBSIDIO!$V$359)*(0.04)/(1-0.04)</f>
        <v>5565.0451999999996</v>
      </c>
      <c r="AC359" s="56">
        <f>((SUBSIDIO!$L$359*SUBSIDIO!$W$359)+(SUBSIDIO!$N$359*SUBSIDIO!$X$359))*(0.04)/(1-0.04)</f>
        <v>0</v>
      </c>
      <c r="AD359" s="56">
        <f ca="1">(SUBSIDIO!$J$359*SUBSIDIO!$Y$359)*(0.02)/(1-0.02)</f>
        <v>3044.4156240544744</v>
      </c>
      <c r="AE359" s="56">
        <f>((SUBSIDIO!$L$359*SUBSIDIO!$Z$359)+(SUBSIDIO!$N$359*SUBSIDIO!$AA$359))*(0.02)/(1-0.02)</f>
        <v>0</v>
      </c>
      <c r="AF359" s="3" t="s">
        <v>1023</v>
      </c>
    </row>
    <row r="360" spans="1:32" ht="11.25" customHeight="1" x14ac:dyDescent="0.25">
      <c r="A360" s="3" t="s">
        <v>28</v>
      </c>
      <c r="B360" s="3" t="s">
        <v>41</v>
      </c>
      <c r="C360" s="3" t="s">
        <v>42</v>
      </c>
      <c r="D360" s="3" t="s">
        <v>45</v>
      </c>
      <c r="E360" s="3" t="s">
        <v>53</v>
      </c>
      <c r="F360" s="3" t="s">
        <v>25</v>
      </c>
      <c r="G360" s="3" t="s">
        <v>25</v>
      </c>
      <c r="H360" s="3" t="s">
        <v>25</v>
      </c>
      <c r="I360" s="6">
        <v>44409</v>
      </c>
      <c r="J360" s="4">
        <v>21</v>
      </c>
      <c r="K360" s="56">
        <v>21</v>
      </c>
      <c r="L360" s="4">
        <v>0</v>
      </c>
      <c r="M360" s="56">
        <v>0</v>
      </c>
      <c r="N360" s="4">
        <v>0</v>
      </c>
      <c r="O360" s="56">
        <v>0</v>
      </c>
      <c r="P360" s="4">
        <v>1</v>
      </c>
      <c r="Q360" s="3" t="s">
        <v>26</v>
      </c>
      <c r="R360" s="3">
        <v>0</v>
      </c>
      <c r="S360" s="3">
        <v>44</v>
      </c>
      <c r="T360" s="3">
        <v>0</v>
      </c>
      <c r="U360" s="3">
        <v>0</v>
      </c>
      <c r="V360" s="56">
        <f>IF(ISERROR(VLOOKUP($S$360,'TAR FIN'!$A$1:$O$113,15,0)),0,VLOOKUP($S$360,'TAR FIN'!$A$1:$O$113,15,0))*(1-0.04)</f>
        <v>23.337599999999998</v>
      </c>
      <c r="W360" s="56">
        <f>IF(ISERROR(VLOOKUP($T$360,'TAR FIN'!$A$1:$O$113,15,0)),0,VLOOKUP($T$360,'TAR FIN'!$A$1:$O$113,15,0))</f>
        <v>0</v>
      </c>
      <c r="X360" s="56">
        <f>IF(ISERROR(VLOOKUP($U$360,'TAR FIN'!$A$1:$O$113,15,0)),0,VLOOKUP($U$360,'TAR FIN'!$A$1:$O$113,15,0))</f>
        <v>0</v>
      </c>
      <c r="Y360" s="56">
        <f ca="1">('TUSD BE'!$AM$30+'TUSD BF'!$AM$30+'TUSD CVA'!$AM$30)*1*(1-0.02)</f>
        <v>26.066113153707715</v>
      </c>
      <c r="Z360" s="56"/>
      <c r="AA360" s="56"/>
      <c r="AB360" s="56">
        <f>(SUBSIDIO!$J$360*SUBSIDIO!$V$360)*(0.04)/(1-0.04)</f>
        <v>20.420399999999997</v>
      </c>
      <c r="AC360" s="56">
        <f>((SUBSIDIO!$L$360*SUBSIDIO!$W$360)+(SUBSIDIO!$N$360*SUBSIDIO!$X$360))*(0.04)/(1-0.04)</f>
        <v>0</v>
      </c>
      <c r="AD360" s="56">
        <f ca="1">(SUBSIDIO!$J$360*SUBSIDIO!$Y$360)*(0.02)/(1-0.02)</f>
        <v>11.17119135158902</v>
      </c>
      <c r="AE360" s="56">
        <f>((SUBSIDIO!$L$360*SUBSIDIO!$Z$360)+(SUBSIDIO!$N$360*SUBSIDIO!$AA$360))*(0.02)/(1-0.02)</f>
        <v>0</v>
      </c>
      <c r="AF360" s="3" t="s">
        <v>1023</v>
      </c>
    </row>
    <row r="361" spans="1:32" ht="11.25" customHeight="1" x14ac:dyDescent="0.25">
      <c r="A361" s="3" t="s">
        <v>21</v>
      </c>
      <c r="B361" s="3" t="s">
        <v>41</v>
      </c>
      <c r="C361" s="3" t="s">
        <v>42</v>
      </c>
      <c r="D361" s="3" t="s">
        <v>45</v>
      </c>
      <c r="E361" s="3" t="s">
        <v>53</v>
      </c>
      <c r="F361" s="3" t="s">
        <v>25</v>
      </c>
      <c r="G361" s="3" t="s">
        <v>25</v>
      </c>
      <c r="H361" s="3" t="s">
        <v>25</v>
      </c>
      <c r="I361" s="6">
        <v>44440</v>
      </c>
      <c r="J361" s="4">
        <v>7080</v>
      </c>
      <c r="K361" s="56">
        <v>7080</v>
      </c>
      <c r="L361" s="4">
        <v>0</v>
      </c>
      <c r="M361" s="56">
        <v>0</v>
      </c>
      <c r="N361" s="4">
        <v>0</v>
      </c>
      <c r="O361" s="56">
        <v>0</v>
      </c>
      <c r="P361" s="4">
        <v>39</v>
      </c>
      <c r="Q361" s="3" t="s">
        <v>26</v>
      </c>
      <c r="R361" s="3">
        <v>0</v>
      </c>
      <c r="S361" s="3">
        <v>44</v>
      </c>
      <c r="T361" s="3">
        <v>0</v>
      </c>
      <c r="U361" s="3">
        <v>0</v>
      </c>
      <c r="V361" s="56">
        <f>IF(ISERROR(VLOOKUP($S$361,'TAR FIN'!$A$1:$O$113,15,0)),0,VLOOKUP($S$361,'TAR FIN'!$A$1:$O$113,15,0))*(1-0.04)</f>
        <v>23.337599999999998</v>
      </c>
      <c r="W361" s="56">
        <f>IF(ISERROR(VLOOKUP($T$361,'TAR FIN'!$A$1:$O$113,15,0)),0,VLOOKUP($T$361,'TAR FIN'!$A$1:$O$113,15,0))</f>
        <v>0</v>
      </c>
      <c r="X361" s="56">
        <f>IF(ISERROR(VLOOKUP($U$361,'TAR FIN'!$A$1:$O$113,15,0)),0,VLOOKUP($U$361,'TAR FIN'!$A$1:$O$113,15,0))</f>
        <v>0</v>
      </c>
      <c r="Y361" s="56">
        <f ca="1">('TUSD BE'!$AM$30+'TUSD BF'!$AM$30+'TUSD CVA'!$AM$30)*1*(1-0.02)</f>
        <v>26.066113153707715</v>
      </c>
      <c r="Z361" s="56"/>
      <c r="AA361" s="56"/>
      <c r="AB361" s="56">
        <f>(SUBSIDIO!$J$361*SUBSIDIO!$V$361)*(0.04)/(1-0.04)</f>
        <v>6884.5919999999996</v>
      </c>
      <c r="AC361" s="56">
        <f>((SUBSIDIO!$L$361*SUBSIDIO!$W$361)+(SUBSIDIO!$N$361*SUBSIDIO!$X$361))*(0.04)/(1-0.04)</f>
        <v>0</v>
      </c>
      <c r="AD361" s="56">
        <f ca="1">(SUBSIDIO!$J$361*SUBSIDIO!$Y$361)*(0.02)/(1-0.02)</f>
        <v>3766.2873699642992</v>
      </c>
      <c r="AE361" s="56">
        <f>((SUBSIDIO!$L$361*SUBSIDIO!$Z$361)+(SUBSIDIO!$N$361*SUBSIDIO!$AA$361))*(0.02)/(1-0.02)</f>
        <v>0</v>
      </c>
      <c r="AF361" s="3" t="s">
        <v>1023</v>
      </c>
    </row>
    <row r="362" spans="1:32" ht="11.25" customHeight="1" x14ac:dyDescent="0.25">
      <c r="A362" s="3" t="s">
        <v>28</v>
      </c>
      <c r="B362" s="3" t="s">
        <v>41</v>
      </c>
      <c r="C362" s="3" t="s">
        <v>42</v>
      </c>
      <c r="D362" s="3" t="s">
        <v>45</v>
      </c>
      <c r="E362" s="3" t="s">
        <v>53</v>
      </c>
      <c r="F362" s="3" t="s">
        <v>25</v>
      </c>
      <c r="G362" s="3" t="s">
        <v>25</v>
      </c>
      <c r="H362" s="3" t="s">
        <v>25</v>
      </c>
      <c r="I362" s="6">
        <v>44440</v>
      </c>
      <c r="J362" s="4">
        <v>44</v>
      </c>
      <c r="K362" s="56">
        <v>44</v>
      </c>
      <c r="L362" s="4">
        <v>0</v>
      </c>
      <c r="M362" s="56">
        <v>0</v>
      </c>
      <c r="N362" s="4">
        <v>0</v>
      </c>
      <c r="O362" s="56">
        <v>0</v>
      </c>
      <c r="P362" s="4">
        <v>1</v>
      </c>
      <c r="Q362" s="3" t="s">
        <v>26</v>
      </c>
      <c r="R362" s="3">
        <v>0</v>
      </c>
      <c r="S362" s="3">
        <v>44</v>
      </c>
      <c r="T362" s="3">
        <v>0</v>
      </c>
      <c r="U362" s="3">
        <v>0</v>
      </c>
      <c r="V362" s="56">
        <f>IF(ISERROR(VLOOKUP($S$362,'TAR FIN'!$A$1:$O$113,15,0)),0,VLOOKUP($S$362,'TAR FIN'!$A$1:$O$113,15,0))*(1-0.04)</f>
        <v>23.337599999999998</v>
      </c>
      <c r="W362" s="56">
        <f>IF(ISERROR(VLOOKUP($T$362,'TAR FIN'!$A$1:$O$113,15,0)),0,VLOOKUP($T$362,'TAR FIN'!$A$1:$O$113,15,0))</f>
        <v>0</v>
      </c>
      <c r="X362" s="56">
        <f>IF(ISERROR(VLOOKUP($U$362,'TAR FIN'!$A$1:$O$113,15,0)),0,VLOOKUP($U$362,'TAR FIN'!$A$1:$O$113,15,0))</f>
        <v>0</v>
      </c>
      <c r="Y362" s="56">
        <f ca="1">('TUSD BE'!$AM$30+'TUSD BF'!$AM$30+'TUSD CVA'!$AM$30)*1*(1-0.02)</f>
        <v>26.066113153707715</v>
      </c>
      <c r="Z362" s="56"/>
      <c r="AA362" s="56"/>
      <c r="AB362" s="56">
        <f>(SUBSIDIO!$J$362*SUBSIDIO!$V$362)*(0.04)/(1-0.04)</f>
        <v>42.785600000000002</v>
      </c>
      <c r="AC362" s="56">
        <f>((SUBSIDIO!$L$362*SUBSIDIO!$W$362)+(SUBSIDIO!$N$362*SUBSIDIO!$X$362))*(0.04)/(1-0.04)</f>
        <v>0</v>
      </c>
      <c r="AD362" s="56">
        <f ca="1">(SUBSIDIO!$J$362*SUBSIDIO!$Y$362)*(0.02)/(1-0.02)</f>
        <v>23.406305689043663</v>
      </c>
      <c r="AE362" s="56">
        <f>((SUBSIDIO!$L$362*SUBSIDIO!$Z$362)+(SUBSIDIO!$N$362*SUBSIDIO!$AA$362))*(0.02)/(1-0.02)</f>
        <v>0</v>
      </c>
      <c r="AF362" s="3" t="s">
        <v>1023</v>
      </c>
    </row>
    <row r="363" spans="1:32" ht="11.25" customHeight="1" x14ac:dyDescent="0.25">
      <c r="A363" s="3" t="s">
        <v>21</v>
      </c>
      <c r="B363" s="3" t="s">
        <v>41</v>
      </c>
      <c r="C363" s="3" t="s">
        <v>42</v>
      </c>
      <c r="D363" s="3" t="s">
        <v>45</v>
      </c>
      <c r="E363" s="3" t="s">
        <v>53</v>
      </c>
      <c r="F363" s="3" t="s">
        <v>25</v>
      </c>
      <c r="G363" s="3" t="s">
        <v>25</v>
      </c>
      <c r="H363" s="3" t="s">
        <v>25</v>
      </c>
      <c r="I363" s="6">
        <v>44470</v>
      </c>
      <c r="J363" s="4">
        <v>8127</v>
      </c>
      <c r="K363" s="56">
        <v>8127</v>
      </c>
      <c r="L363" s="4">
        <v>0</v>
      </c>
      <c r="M363" s="56">
        <v>0</v>
      </c>
      <c r="N363" s="4">
        <v>0</v>
      </c>
      <c r="O363" s="56">
        <v>0</v>
      </c>
      <c r="P363" s="4">
        <v>44</v>
      </c>
      <c r="Q363" s="3" t="s">
        <v>26</v>
      </c>
      <c r="R363" s="3">
        <v>0</v>
      </c>
      <c r="S363" s="3">
        <v>44</v>
      </c>
      <c r="T363" s="3">
        <v>0</v>
      </c>
      <c r="U363" s="3">
        <v>0</v>
      </c>
      <c r="V363" s="56">
        <f>IF(ISERROR(VLOOKUP($S$363,'TAR FIN'!$A$1:$O$113,15,0)),0,VLOOKUP($S$363,'TAR FIN'!$A$1:$O$113,15,0))*(1-0.04)</f>
        <v>23.337599999999998</v>
      </c>
      <c r="W363" s="56">
        <f>IF(ISERROR(VLOOKUP($T$363,'TAR FIN'!$A$1:$O$113,15,0)),0,VLOOKUP($T$363,'TAR FIN'!$A$1:$O$113,15,0))</f>
        <v>0</v>
      </c>
      <c r="X363" s="56">
        <f>IF(ISERROR(VLOOKUP($U$363,'TAR FIN'!$A$1:$O$113,15,0)),0,VLOOKUP($U$363,'TAR FIN'!$A$1:$O$113,15,0))</f>
        <v>0</v>
      </c>
      <c r="Y363" s="56">
        <f ca="1">('TUSD BE'!$AM$30+'TUSD BF'!$AM$30+'TUSD CVA'!$AM$30)*1*(1-0.02)</f>
        <v>26.066113153707715</v>
      </c>
      <c r="Z363" s="56"/>
      <c r="AA363" s="56"/>
      <c r="AB363" s="56">
        <f>(SUBSIDIO!$J$363*SUBSIDIO!$V$363)*(0.04)/(1-0.04)</f>
        <v>7902.6948000000011</v>
      </c>
      <c r="AC363" s="56">
        <f>((SUBSIDIO!$L$363*SUBSIDIO!$W$363)+(SUBSIDIO!$N$363*SUBSIDIO!$X$363))*(0.04)/(1-0.04)</f>
        <v>0</v>
      </c>
      <c r="AD363" s="56">
        <f ca="1">(SUBSIDIO!$J$363*SUBSIDIO!$Y$363)*(0.02)/(1-0.02)</f>
        <v>4323.2510530649515</v>
      </c>
      <c r="AE363" s="56">
        <f>((SUBSIDIO!$L$363*SUBSIDIO!$Z$363)+(SUBSIDIO!$N$363*SUBSIDIO!$AA$363))*(0.02)/(1-0.02)</f>
        <v>0</v>
      </c>
      <c r="AF363" s="3" t="s">
        <v>1023</v>
      </c>
    </row>
    <row r="364" spans="1:32" ht="11.25" customHeight="1" x14ac:dyDescent="0.25">
      <c r="A364" s="3" t="s">
        <v>28</v>
      </c>
      <c r="B364" s="3" t="s">
        <v>41</v>
      </c>
      <c r="C364" s="3" t="s">
        <v>42</v>
      </c>
      <c r="D364" s="3" t="s">
        <v>45</v>
      </c>
      <c r="E364" s="3" t="s">
        <v>53</v>
      </c>
      <c r="F364" s="3" t="s">
        <v>25</v>
      </c>
      <c r="G364" s="3" t="s">
        <v>25</v>
      </c>
      <c r="H364" s="3" t="s">
        <v>25</v>
      </c>
      <c r="I364" s="6">
        <v>44470</v>
      </c>
      <c r="J364" s="4">
        <v>47</v>
      </c>
      <c r="K364" s="56">
        <v>47</v>
      </c>
      <c r="L364" s="4">
        <v>0</v>
      </c>
      <c r="M364" s="56">
        <v>0</v>
      </c>
      <c r="N364" s="4">
        <v>0</v>
      </c>
      <c r="O364" s="56">
        <v>0</v>
      </c>
      <c r="P364" s="4">
        <v>1</v>
      </c>
      <c r="Q364" s="3" t="s">
        <v>26</v>
      </c>
      <c r="R364" s="3">
        <v>0</v>
      </c>
      <c r="S364" s="3">
        <v>44</v>
      </c>
      <c r="T364" s="3">
        <v>0</v>
      </c>
      <c r="U364" s="3">
        <v>0</v>
      </c>
      <c r="V364" s="56">
        <f>IF(ISERROR(VLOOKUP($S$364,'TAR FIN'!$A$1:$O$113,15,0)),0,VLOOKUP($S$364,'TAR FIN'!$A$1:$O$113,15,0))*(1-0.04)</f>
        <v>23.337599999999998</v>
      </c>
      <c r="W364" s="56">
        <f>IF(ISERROR(VLOOKUP($T$364,'TAR FIN'!$A$1:$O$113,15,0)),0,VLOOKUP($T$364,'TAR FIN'!$A$1:$O$113,15,0))</f>
        <v>0</v>
      </c>
      <c r="X364" s="56">
        <f>IF(ISERROR(VLOOKUP($U$364,'TAR FIN'!$A$1:$O$113,15,0)),0,VLOOKUP($U$364,'TAR FIN'!$A$1:$O$113,15,0))</f>
        <v>0</v>
      </c>
      <c r="Y364" s="56">
        <f ca="1">('TUSD BE'!$AM$30+'TUSD BF'!$AM$30+'TUSD CVA'!$AM$30)*1*(1-0.02)</f>
        <v>26.066113153707715</v>
      </c>
      <c r="Z364" s="56"/>
      <c r="AA364" s="56"/>
      <c r="AB364" s="56">
        <f>(SUBSIDIO!$J$364*SUBSIDIO!$V$364)*(0.04)/(1-0.04)</f>
        <v>45.702800000000003</v>
      </c>
      <c r="AC364" s="56">
        <f>((SUBSIDIO!$L$364*SUBSIDIO!$W$364)+(SUBSIDIO!$N$364*SUBSIDIO!$X$364))*(0.04)/(1-0.04)</f>
        <v>0</v>
      </c>
      <c r="AD364" s="56">
        <f ca="1">(SUBSIDIO!$J$364*SUBSIDIO!$Y$364)*(0.02)/(1-0.02)</f>
        <v>25.002190167842095</v>
      </c>
      <c r="AE364" s="56">
        <f>((SUBSIDIO!$L$364*SUBSIDIO!$Z$364)+(SUBSIDIO!$N$364*SUBSIDIO!$AA$364))*(0.02)/(1-0.02)</f>
        <v>0</v>
      </c>
      <c r="AF364" s="3" t="s">
        <v>1023</v>
      </c>
    </row>
    <row r="365" spans="1:32" ht="11.25" customHeight="1" x14ac:dyDescent="0.25">
      <c r="A365" s="3" t="s">
        <v>21</v>
      </c>
      <c r="B365" s="3" t="s">
        <v>41</v>
      </c>
      <c r="C365" s="3" t="s">
        <v>42</v>
      </c>
      <c r="D365" s="3" t="s">
        <v>45</v>
      </c>
      <c r="E365" s="3" t="s">
        <v>53</v>
      </c>
      <c r="F365" s="3" t="s">
        <v>25</v>
      </c>
      <c r="G365" s="3" t="s">
        <v>25</v>
      </c>
      <c r="H365" s="3" t="s">
        <v>25</v>
      </c>
      <c r="I365" s="6">
        <v>44501</v>
      </c>
      <c r="J365" s="4">
        <v>8205</v>
      </c>
      <c r="K365" s="56">
        <v>8205</v>
      </c>
      <c r="L365" s="4">
        <v>0</v>
      </c>
      <c r="M365" s="56">
        <v>0</v>
      </c>
      <c r="N365" s="4">
        <v>0</v>
      </c>
      <c r="O365" s="56">
        <v>0</v>
      </c>
      <c r="P365" s="4">
        <v>45</v>
      </c>
      <c r="Q365" s="3" t="s">
        <v>26</v>
      </c>
      <c r="R365" s="3">
        <v>0</v>
      </c>
      <c r="S365" s="3">
        <v>44</v>
      </c>
      <c r="T365" s="3">
        <v>0</v>
      </c>
      <c r="U365" s="3">
        <v>0</v>
      </c>
      <c r="V365" s="56">
        <f>IF(ISERROR(VLOOKUP($S$365,'TAR FIN'!$A$1:$O$113,15,0)),0,VLOOKUP($S$365,'TAR FIN'!$A$1:$O$113,15,0))*(1-0.04)</f>
        <v>23.337599999999998</v>
      </c>
      <c r="W365" s="56">
        <f>IF(ISERROR(VLOOKUP($T$365,'TAR FIN'!$A$1:$O$113,15,0)),0,VLOOKUP($T$365,'TAR FIN'!$A$1:$O$113,15,0))</f>
        <v>0</v>
      </c>
      <c r="X365" s="56">
        <f>IF(ISERROR(VLOOKUP($U$365,'TAR FIN'!$A$1:$O$113,15,0)),0,VLOOKUP($U$365,'TAR FIN'!$A$1:$O$113,15,0))</f>
        <v>0</v>
      </c>
      <c r="Y365" s="56">
        <f ca="1">('TUSD BE'!$AM$30+'TUSD BF'!$AM$30+'TUSD CVA'!$AM$30)*1*(1-0.02)</f>
        <v>26.066113153707715</v>
      </c>
      <c r="Z365" s="56"/>
      <c r="AA365" s="56"/>
      <c r="AB365" s="56">
        <f>(SUBSIDIO!$J$365*SUBSIDIO!$V$365)*(0.04)/(1-0.04)</f>
        <v>7978.5419999999995</v>
      </c>
      <c r="AC365" s="56">
        <f>((SUBSIDIO!$L$365*SUBSIDIO!$W$365)+(SUBSIDIO!$N$365*SUBSIDIO!$X$365))*(0.04)/(1-0.04)</f>
        <v>0</v>
      </c>
      <c r="AD365" s="56">
        <f ca="1">(SUBSIDIO!$J$365*SUBSIDIO!$Y$365)*(0.02)/(1-0.02)</f>
        <v>4364.7440495137107</v>
      </c>
      <c r="AE365" s="56">
        <f>((SUBSIDIO!$L$365*SUBSIDIO!$Z$365)+(SUBSIDIO!$N$365*SUBSIDIO!$AA$365))*(0.02)/(1-0.02)</f>
        <v>0</v>
      </c>
      <c r="AF365" s="3" t="s">
        <v>1023</v>
      </c>
    </row>
    <row r="366" spans="1:32" ht="11.25" customHeight="1" x14ac:dyDescent="0.25">
      <c r="A366" s="3" t="s">
        <v>28</v>
      </c>
      <c r="B366" s="3" t="s">
        <v>41</v>
      </c>
      <c r="C366" s="3" t="s">
        <v>42</v>
      </c>
      <c r="D366" s="3" t="s">
        <v>45</v>
      </c>
      <c r="E366" s="3" t="s">
        <v>53</v>
      </c>
      <c r="F366" s="3" t="s">
        <v>25</v>
      </c>
      <c r="G366" s="3" t="s">
        <v>25</v>
      </c>
      <c r="H366" s="3" t="s">
        <v>25</v>
      </c>
      <c r="I366" s="6">
        <v>44501</v>
      </c>
      <c r="J366" s="4">
        <v>63</v>
      </c>
      <c r="K366" s="56">
        <v>63</v>
      </c>
      <c r="L366" s="4">
        <v>0</v>
      </c>
      <c r="M366" s="56">
        <v>0</v>
      </c>
      <c r="N366" s="4">
        <v>0</v>
      </c>
      <c r="O366" s="56">
        <v>0</v>
      </c>
      <c r="P366" s="4">
        <v>1</v>
      </c>
      <c r="Q366" s="3" t="s">
        <v>26</v>
      </c>
      <c r="R366" s="3">
        <v>0</v>
      </c>
      <c r="S366" s="3">
        <v>44</v>
      </c>
      <c r="T366" s="3">
        <v>0</v>
      </c>
      <c r="U366" s="3">
        <v>0</v>
      </c>
      <c r="V366" s="56">
        <f>IF(ISERROR(VLOOKUP($S$366,'TAR FIN'!$A$1:$O$113,15,0)),0,VLOOKUP($S$366,'TAR FIN'!$A$1:$O$113,15,0))*(1-0.04)</f>
        <v>23.337599999999998</v>
      </c>
      <c r="W366" s="56">
        <f>IF(ISERROR(VLOOKUP($T$366,'TAR FIN'!$A$1:$O$113,15,0)),0,VLOOKUP($T$366,'TAR FIN'!$A$1:$O$113,15,0))</f>
        <v>0</v>
      </c>
      <c r="X366" s="56">
        <f>IF(ISERROR(VLOOKUP($U$366,'TAR FIN'!$A$1:$O$113,15,0)),0,VLOOKUP($U$366,'TAR FIN'!$A$1:$O$113,15,0))</f>
        <v>0</v>
      </c>
      <c r="Y366" s="56">
        <f ca="1">('TUSD BE'!$AM$30+'TUSD BF'!$AM$30+'TUSD CVA'!$AM$30)*1*(1-0.02)</f>
        <v>26.066113153707715</v>
      </c>
      <c r="Z366" s="56"/>
      <c r="AA366" s="56"/>
      <c r="AB366" s="56">
        <f>(SUBSIDIO!$J$366*SUBSIDIO!$V$366)*(0.04)/(1-0.04)</f>
        <v>61.261199999999995</v>
      </c>
      <c r="AC366" s="56">
        <f>((SUBSIDIO!$L$366*SUBSIDIO!$W$366)+(SUBSIDIO!$N$366*SUBSIDIO!$X$366))*(0.04)/(1-0.04)</f>
        <v>0</v>
      </c>
      <c r="AD366" s="56">
        <f ca="1">(SUBSIDIO!$J$366*SUBSIDIO!$Y$366)*(0.02)/(1-0.02)</f>
        <v>33.513574054767062</v>
      </c>
      <c r="AE366" s="56">
        <f>((SUBSIDIO!$L$366*SUBSIDIO!$Z$366)+(SUBSIDIO!$N$366*SUBSIDIO!$AA$366))*(0.02)/(1-0.02)</f>
        <v>0</v>
      </c>
      <c r="AF366" s="3" t="s">
        <v>1023</v>
      </c>
    </row>
    <row r="367" spans="1:32" ht="11.25" customHeight="1" x14ac:dyDescent="0.25">
      <c r="A367" s="3" t="s">
        <v>21</v>
      </c>
      <c r="B367" s="3" t="s">
        <v>41</v>
      </c>
      <c r="C367" s="3" t="s">
        <v>42</v>
      </c>
      <c r="D367" s="3" t="s">
        <v>45</v>
      </c>
      <c r="E367" s="3" t="s">
        <v>53</v>
      </c>
      <c r="F367" s="3" t="s">
        <v>25</v>
      </c>
      <c r="G367" s="3" t="s">
        <v>25</v>
      </c>
      <c r="H367" s="3" t="s">
        <v>25</v>
      </c>
      <c r="I367" s="6">
        <v>44531</v>
      </c>
      <c r="J367" s="4">
        <v>8108</v>
      </c>
      <c r="K367" s="56">
        <v>8108</v>
      </c>
      <c r="L367" s="4">
        <v>0</v>
      </c>
      <c r="M367" s="56">
        <v>0</v>
      </c>
      <c r="N367" s="4">
        <v>0</v>
      </c>
      <c r="O367" s="56">
        <v>0</v>
      </c>
      <c r="P367" s="4">
        <v>48</v>
      </c>
      <c r="Q367" s="3" t="s">
        <v>26</v>
      </c>
      <c r="R367" s="3">
        <v>0</v>
      </c>
      <c r="S367" s="3">
        <v>44</v>
      </c>
      <c r="T367" s="3">
        <v>0</v>
      </c>
      <c r="U367" s="3">
        <v>0</v>
      </c>
      <c r="V367" s="56">
        <f>IF(ISERROR(VLOOKUP($S$367,'TAR FIN'!$A$1:$O$113,15,0)),0,VLOOKUP($S$367,'TAR FIN'!$A$1:$O$113,15,0))*(1-0.04)</f>
        <v>23.337599999999998</v>
      </c>
      <c r="W367" s="56">
        <f>IF(ISERROR(VLOOKUP($T$367,'TAR FIN'!$A$1:$O$113,15,0)),0,VLOOKUP($T$367,'TAR FIN'!$A$1:$O$113,15,0))</f>
        <v>0</v>
      </c>
      <c r="X367" s="56">
        <f>IF(ISERROR(VLOOKUP($U$367,'TAR FIN'!$A$1:$O$113,15,0)),0,VLOOKUP($U$367,'TAR FIN'!$A$1:$O$113,15,0))</f>
        <v>0</v>
      </c>
      <c r="Y367" s="56">
        <f ca="1">('TUSD BE'!$AM$30+'TUSD BF'!$AM$30+'TUSD CVA'!$AM$30)*1*(1-0.02)</f>
        <v>26.066113153707715</v>
      </c>
      <c r="Z367" s="56"/>
      <c r="AA367" s="56"/>
      <c r="AB367" s="56">
        <f>(SUBSIDIO!$J$367*SUBSIDIO!$V$367)*(0.04)/(1-0.04)</f>
        <v>7884.2191999999995</v>
      </c>
      <c r="AC367" s="56">
        <f>((SUBSIDIO!$L$367*SUBSIDIO!$W$367)+(SUBSIDIO!$N$367*SUBSIDIO!$X$367))*(0.04)/(1-0.04)</f>
        <v>0</v>
      </c>
      <c r="AD367" s="56">
        <f ca="1">(SUBSIDIO!$J$367*SUBSIDIO!$Y$367)*(0.02)/(1-0.02)</f>
        <v>4313.1437846992276</v>
      </c>
      <c r="AE367" s="56">
        <f>((SUBSIDIO!$L$367*SUBSIDIO!$Z$367)+(SUBSIDIO!$N$367*SUBSIDIO!$AA$367))*(0.02)/(1-0.02)</f>
        <v>0</v>
      </c>
      <c r="AF367" s="3" t="s">
        <v>1023</v>
      </c>
    </row>
    <row r="368" spans="1:32" ht="11.25" customHeight="1" x14ac:dyDescent="0.25">
      <c r="A368" s="3" t="s">
        <v>28</v>
      </c>
      <c r="B368" s="3" t="s">
        <v>41</v>
      </c>
      <c r="C368" s="3" t="s">
        <v>42</v>
      </c>
      <c r="D368" s="3" t="s">
        <v>45</v>
      </c>
      <c r="E368" s="3" t="s">
        <v>53</v>
      </c>
      <c r="F368" s="3" t="s">
        <v>25</v>
      </c>
      <c r="G368" s="3" t="s">
        <v>25</v>
      </c>
      <c r="H368" s="3" t="s">
        <v>25</v>
      </c>
      <c r="I368" s="6">
        <v>44531</v>
      </c>
      <c r="J368" s="4">
        <v>61</v>
      </c>
      <c r="K368" s="56">
        <v>61</v>
      </c>
      <c r="L368" s="4">
        <v>0</v>
      </c>
      <c r="M368" s="56">
        <v>0</v>
      </c>
      <c r="N368" s="4">
        <v>0</v>
      </c>
      <c r="O368" s="56">
        <v>0</v>
      </c>
      <c r="P368" s="4">
        <v>1</v>
      </c>
      <c r="Q368" s="3" t="s">
        <v>26</v>
      </c>
      <c r="R368" s="3">
        <v>0</v>
      </c>
      <c r="S368" s="3">
        <v>44</v>
      </c>
      <c r="T368" s="3">
        <v>0</v>
      </c>
      <c r="U368" s="3">
        <v>0</v>
      </c>
      <c r="V368" s="56">
        <f>IF(ISERROR(VLOOKUP($S$368,'TAR FIN'!$A$1:$O$113,15,0)),0,VLOOKUP($S$368,'TAR FIN'!$A$1:$O$113,15,0))*(1-0.04)</f>
        <v>23.337599999999998</v>
      </c>
      <c r="W368" s="56">
        <f>IF(ISERROR(VLOOKUP($T$368,'TAR FIN'!$A$1:$O$113,15,0)),0,VLOOKUP($T$368,'TAR FIN'!$A$1:$O$113,15,0))</f>
        <v>0</v>
      </c>
      <c r="X368" s="56">
        <f>IF(ISERROR(VLOOKUP($U$368,'TAR FIN'!$A$1:$O$113,15,0)),0,VLOOKUP($U$368,'TAR FIN'!$A$1:$O$113,15,0))</f>
        <v>0</v>
      </c>
      <c r="Y368" s="56">
        <f ca="1">('TUSD BE'!$AM$30+'TUSD BF'!$AM$30+'TUSD CVA'!$AM$30)*1*(1-0.02)</f>
        <v>26.066113153707715</v>
      </c>
      <c r="Z368" s="56"/>
      <c r="AA368" s="56"/>
      <c r="AB368" s="56">
        <f>(SUBSIDIO!$J$368*SUBSIDIO!$V$368)*(0.04)/(1-0.04)</f>
        <v>59.316399999999994</v>
      </c>
      <c r="AC368" s="56">
        <f>((SUBSIDIO!$L$368*SUBSIDIO!$W$368)+(SUBSIDIO!$N$368*SUBSIDIO!$X$368))*(0.04)/(1-0.04)</f>
        <v>0</v>
      </c>
      <c r="AD368" s="56">
        <f ca="1">(SUBSIDIO!$J$368*SUBSIDIO!$Y$368)*(0.02)/(1-0.02)</f>
        <v>32.449651068901446</v>
      </c>
      <c r="AE368" s="56">
        <f>((SUBSIDIO!$L$368*SUBSIDIO!$Z$368)+(SUBSIDIO!$N$368*SUBSIDIO!$AA$368))*(0.02)/(1-0.02)</f>
        <v>0</v>
      </c>
      <c r="AF368" s="3" t="s">
        <v>1023</v>
      </c>
    </row>
    <row r="369" spans="1:32" ht="11.25" customHeight="1" x14ac:dyDescent="0.25">
      <c r="A369" s="3" t="s">
        <v>21</v>
      </c>
      <c r="B369" s="3" t="s">
        <v>41</v>
      </c>
      <c r="C369" s="3" t="s">
        <v>42</v>
      </c>
      <c r="D369" s="3" t="s">
        <v>45</v>
      </c>
      <c r="E369" s="3" t="s">
        <v>53</v>
      </c>
      <c r="F369" s="3" t="s">
        <v>25</v>
      </c>
      <c r="G369" s="3" t="s">
        <v>25</v>
      </c>
      <c r="H369" s="3" t="s">
        <v>25</v>
      </c>
      <c r="I369" s="6">
        <v>44562</v>
      </c>
      <c r="J369" s="4">
        <v>6058</v>
      </c>
      <c r="K369" s="56">
        <v>6058</v>
      </c>
      <c r="L369" s="4">
        <v>0</v>
      </c>
      <c r="M369" s="56">
        <v>0</v>
      </c>
      <c r="N369" s="4">
        <v>0</v>
      </c>
      <c r="O369" s="56">
        <v>0</v>
      </c>
      <c r="P369" s="4">
        <v>49</v>
      </c>
      <c r="Q369" s="3" t="s">
        <v>26</v>
      </c>
      <c r="R369" s="3">
        <v>0</v>
      </c>
      <c r="S369" s="3">
        <v>44</v>
      </c>
      <c r="T369" s="3">
        <v>0</v>
      </c>
      <c r="U369" s="3">
        <v>0</v>
      </c>
      <c r="V369" s="56">
        <f>IF(ISERROR(VLOOKUP($S$369,'TAR FIN'!$A$1:$O$113,15,0)),0,VLOOKUP($S$369,'TAR FIN'!$A$1:$O$113,15,0))*(1-0.04)</f>
        <v>23.337599999999998</v>
      </c>
      <c r="W369" s="56">
        <f>IF(ISERROR(VLOOKUP($T$369,'TAR FIN'!$A$1:$O$113,15,0)),0,VLOOKUP($T$369,'TAR FIN'!$A$1:$O$113,15,0))</f>
        <v>0</v>
      </c>
      <c r="X369" s="56">
        <f>IF(ISERROR(VLOOKUP($U$369,'TAR FIN'!$A$1:$O$113,15,0)),0,VLOOKUP($U$369,'TAR FIN'!$A$1:$O$113,15,0))</f>
        <v>0</v>
      </c>
      <c r="Y369" s="56">
        <f ca="1">('TUSD BE'!$AM$30+'TUSD BF'!$AM$30+'TUSD CVA'!$AM$30)*1*(1-0.02)</f>
        <v>26.066113153707715</v>
      </c>
      <c r="Z369" s="56"/>
      <c r="AA369" s="56"/>
      <c r="AB369" s="56">
        <f>(SUBSIDIO!$J$369*SUBSIDIO!$V$369)*(0.04)/(1-0.04)</f>
        <v>5890.7992000000004</v>
      </c>
      <c r="AC369" s="56">
        <f>((SUBSIDIO!$L$369*SUBSIDIO!$W$369)+(SUBSIDIO!$N$369*SUBSIDIO!$X$369))*(0.04)/(1-0.04)</f>
        <v>0</v>
      </c>
      <c r="AD369" s="56">
        <f ca="1">(SUBSIDIO!$J$369*SUBSIDIO!$Y$369)*(0.02)/(1-0.02)</f>
        <v>3222.622724186966</v>
      </c>
      <c r="AE369" s="56">
        <f>((SUBSIDIO!$L$369*SUBSIDIO!$Z$369)+(SUBSIDIO!$N$369*SUBSIDIO!$AA$369))*(0.02)/(1-0.02)</f>
        <v>0</v>
      </c>
      <c r="AF369" s="3" t="s">
        <v>1023</v>
      </c>
    </row>
    <row r="370" spans="1:32" ht="11.25" customHeight="1" x14ac:dyDescent="0.25">
      <c r="A370" s="3" t="s">
        <v>27</v>
      </c>
      <c r="B370" s="3" t="s">
        <v>41</v>
      </c>
      <c r="C370" s="3" t="s">
        <v>42</v>
      </c>
      <c r="D370" s="3" t="s">
        <v>45</v>
      </c>
      <c r="E370" s="3" t="s">
        <v>53</v>
      </c>
      <c r="F370" s="3" t="s">
        <v>25</v>
      </c>
      <c r="G370" s="3" t="s">
        <v>25</v>
      </c>
      <c r="H370" s="3" t="s">
        <v>25</v>
      </c>
      <c r="I370" s="6">
        <v>44562</v>
      </c>
      <c r="J370" s="4">
        <v>611</v>
      </c>
      <c r="K370" s="56">
        <v>611</v>
      </c>
      <c r="L370" s="4">
        <v>0</v>
      </c>
      <c r="M370" s="56">
        <v>0</v>
      </c>
      <c r="N370" s="4">
        <v>0</v>
      </c>
      <c r="O370" s="56">
        <v>0</v>
      </c>
      <c r="P370" s="4">
        <v>3</v>
      </c>
      <c r="Q370" s="3" t="s">
        <v>26</v>
      </c>
      <c r="R370" s="3">
        <v>0</v>
      </c>
      <c r="S370" s="3">
        <v>44</v>
      </c>
      <c r="T370" s="3">
        <v>0</v>
      </c>
      <c r="U370" s="3">
        <v>0</v>
      </c>
      <c r="V370" s="56">
        <f>IF(ISERROR(VLOOKUP($S$370,'TAR FIN'!$A$1:$O$113,15,0)),0,VLOOKUP($S$370,'TAR FIN'!$A$1:$O$113,15,0))*(1-0.04)</f>
        <v>23.337599999999998</v>
      </c>
      <c r="W370" s="56">
        <f>IF(ISERROR(VLOOKUP($T$370,'TAR FIN'!$A$1:$O$113,15,0)),0,VLOOKUP($T$370,'TAR FIN'!$A$1:$O$113,15,0))</f>
        <v>0</v>
      </c>
      <c r="X370" s="56">
        <f>IF(ISERROR(VLOOKUP($U$370,'TAR FIN'!$A$1:$O$113,15,0)),0,VLOOKUP($U$370,'TAR FIN'!$A$1:$O$113,15,0))</f>
        <v>0</v>
      </c>
      <c r="Y370" s="56">
        <f ca="1">('TUSD BE'!$AM$30+'TUSD BF'!$AM$30+'TUSD CVA'!$AM$30)*1*(1-0.02)</f>
        <v>26.066113153707715</v>
      </c>
      <c r="Z370" s="56"/>
      <c r="AA370" s="56"/>
      <c r="AB370" s="56">
        <f>(SUBSIDIO!$J$370*SUBSIDIO!$V$370)*(0.04)/(1-0.04)</f>
        <v>594.13639999999998</v>
      </c>
      <c r="AC370" s="56">
        <f>((SUBSIDIO!$L$370*SUBSIDIO!$W$370)+(SUBSIDIO!$N$370*SUBSIDIO!$X$370))*(0.04)/(1-0.04)</f>
        <v>0</v>
      </c>
      <c r="AD370" s="56">
        <f ca="1">(SUBSIDIO!$J$370*SUBSIDIO!$Y$370)*(0.02)/(1-0.02)</f>
        <v>325.02847218194722</v>
      </c>
      <c r="AE370" s="56">
        <f>((SUBSIDIO!$L$370*SUBSIDIO!$Z$370)+(SUBSIDIO!$N$370*SUBSIDIO!$AA$370))*(0.02)/(1-0.02)</f>
        <v>0</v>
      </c>
      <c r="AF370" s="3" t="s">
        <v>1023</v>
      </c>
    </row>
    <row r="371" spans="1:32" ht="11.25" customHeight="1" x14ac:dyDescent="0.25">
      <c r="A371" s="3" t="s">
        <v>28</v>
      </c>
      <c r="B371" s="3" t="s">
        <v>41</v>
      </c>
      <c r="C371" s="3" t="s">
        <v>42</v>
      </c>
      <c r="D371" s="3" t="s">
        <v>45</v>
      </c>
      <c r="E371" s="3" t="s">
        <v>53</v>
      </c>
      <c r="F371" s="3" t="s">
        <v>25</v>
      </c>
      <c r="G371" s="3" t="s">
        <v>25</v>
      </c>
      <c r="H371" s="3" t="s">
        <v>25</v>
      </c>
      <c r="I371" s="6">
        <v>44562</v>
      </c>
      <c r="J371" s="4">
        <v>61</v>
      </c>
      <c r="K371" s="56">
        <v>61</v>
      </c>
      <c r="L371" s="4">
        <v>0</v>
      </c>
      <c r="M371" s="56">
        <v>0</v>
      </c>
      <c r="N371" s="4">
        <v>0</v>
      </c>
      <c r="O371" s="56">
        <v>0</v>
      </c>
      <c r="P371" s="4">
        <v>1</v>
      </c>
      <c r="Q371" s="3" t="s">
        <v>26</v>
      </c>
      <c r="R371" s="3">
        <v>0</v>
      </c>
      <c r="S371" s="3">
        <v>44</v>
      </c>
      <c r="T371" s="3">
        <v>0</v>
      </c>
      <c r="U371" s="3">
        <v>0</v>
      </c>
      <c r="V371" s="56">
        <f>IF(ISERROR(VLOOKUP($S$371,'TAR FIN'!$A$1:$O$113,15,0)),0,VLOOKUP($S$371,'TAR FIN'!$A$1:$O$113,15,0))*(1-0.04)</f>
        <v>23.337599999999998</v>
      </c>
      <c r="W371" s="56">
        <f>IF(ISERROR(VLOOKUP($T$371,'TAR FIN'!$A$1:$O$113,15,0)),0,VLOOKUP($T$371,'TAR FIN'!$A$1:$O$113,15,0))</f>
        <v>0</v>
      </c>
      <c r="X371" s="56">
        <f>IF(ISERROR(VLOOKUP($U$371,'TAR FIN'!$A$1:$O$113,15,0)),0,VLOOKUP($U$371,'TAR FIN'!$A$1:$O$113,15,0))</f>
        <v>0</v>
      </c>
      <c r="Y371" s="56">
        <f ca="1">('TUSD BE'!$AM$30+'TUSD BF'!$AM$30+'TUSD CVA'!$AM$30)*1*(1-0.02)</f>
        <v>26.066113153707715</v>
      </c>
      <c r="Z371" s="56"/>
      <c r="AA371" s="56"/>
      <c r="AB371" s="56">
        <f>(SUBSIDIO!$J$371*SUBSIDIO!$V$371)*(0.04)/(1-0.04)</f>
        <v>59.316399999999994</v>
      </c>
      <c r="AC371" s="56">
        <f>((SUBSIDIO!$L$371*SUBSIDIO!$W$371)+(SUBSIDIO!$N$371*SUBSIDIO!$X$371))*(0.04)/(1-0.04)</f>
        <v>0</v>
      </c>
      <c r="AD371" s="56">
        <f ca="1">(SUBSIDIO!$J$371*SUBSIDIO!$Y$371)*(0.02)/(1-0.02)</f>
        <v>32.449651068901446</v>
      </c>
      <c r="AE371" s="56">
        <f>((SUBSIDIO!$L$371*SUBSIDIO!$Z$371)+(SUBSIDIO!$N$371*SUBSIDIO!$AA$371))*(0.02)/(1-0.02)</f>
        <v>0</v>
      </c>
      <c r="AF371" s="3" t="s">
        <v>1023</v>
      </c>
    </row>
    <row r="372" spans="1:32" ht="11.25" customHeight="1" x14ac:dyDescent="0.25">
      <c r="A372" s="3" t="s">
        <v>21</v>
      </c>
      <c r="B372" s="3" t="s">
        <v>41</v>
      </c>
      <c r="C372" s="3" t="s">
        <v>42</v>
      </c>
      <c r="D372" s="3" t="s">
        <v>45</v>
      </c>
      <c r="E372" s="3" t="s">
        <v>53</v>
      </c>
      <c r="F372" s="3" t="s">
        <v>25</v>
      </c>
      <c r="G372" s="3" t="s">
        <v>25</v>
      </c>
      <c r="H372" s="3" t="s">
        <v>25</v>
      </c>
      <c r="I372" s="6">
        <v>44593</v>
      </c>
      <c r="J372" s="4">
        <v>8919</v>
      </c>
      <c r="K372" s="56">
        <v>8919</v>
      </c>
      <c r="L372" s="4">
        <v>0</v>
      </c>
      <c r="M372" s="56">
        <v>0</v>
      </c>
      <c r="N372" s="4">
        <v>0</v>
      </c>
      <c r="O372" s="56">
        <v>0</v>
      </c>
      <c r="P372" s="4">
        <v>52</v>
      </c>
      <c r="Q372" s="3" t="s">
        <v>26</v>
      </c>
      <c r="R372" s="3">
        <v>0</v>
      </c>
      <c r="S372" s="3">
        <v>44</v>
      </c>
      <c r="T372" s="3">
        <v>0</v>
      </c>
      <c r="U372" s="3">
        <v>0</v>
      </c>
      <c r="V372" s="56">
        <f>IF(ISERROR(VLOOKUP($S$372,'TAR FIN'!$A$1:$O$113,15,0)),0,VLOOKUP($S$372,'TAR FIN'!$A$1:$O$113,15,0))*(1-0.04)</f>
        <v>23.337599999999998</v>
      </c>
      <c r="W372" s="56">
        <f>IF(ISERROR(VLOOKUP($T$372,'TAR FIN'!$A$1:$O$113,15,0)),0,VLOOKUP($T$372,'TAR FIN'!$A$1:$O$113,15,0))</f>
        <v>0</v>
      </c>
      <c r="X372" s="56">
        <f>IF(ISERROR(VLOOKUP($U$372,'TAR FIN'!$A$1:$O$113,15,0)),0,VLOOKUP($U$372,'TAR FIN'!$A$1:$O$113,15,0))</f>
        <v>0</v>
      </c>
      <c r="Y372" s="56">
        <f ca="1">('TUSD BE'!$AM$30+'TUSD BF'!$AM$30+'TUSD CVA'!$AM$30)*1*(1-0.02)</f>
        <v>26.066113153707715</v>
      </c>
      <c r="Z372" s="56"/>
      <c r="AA372" s="56"/>
      <c r="AB372" s="56">
        <f>(SUBSIDIO!$J$372*SUBSIDIO!$V$372)*(0.04)/(1-0.04)</f>
        <v>8672.8356000000003</v>
      </c>
      <c r="AC372" s="56">
        <f>((SUBSIDIO!$L$372*SUBSIDIO!$W$372)+(SUBSIDIO!$N$372*SUBSIDIO!$X$372))*(0.04)/(1-0.04)</f>
        <v>0</v>
      </c>
      <c r="AD372" s="56">
        <f ca="1">(SUBSIDIO!$J$372*SUBSIDIO!$Y$372)*(0.02)/(1-0.02)</f>
        <v>4744.5645554677367</v>
      </c>
      <c r="AE372" s="56">
        <f>((SUBSIDIO!$L$372*SUBSIDIO!$Z$372)+(SUBSIDIO!$N$372*SUBSIDIO!$AA$372))*(0.02)/(1-0.02)</f>
        <v>0</v>
      </c>
      <c r="AF372" s="3" t="s">
        <v>1023</v>
      </c>
    </row>
    <row r="373" spans="1:32" ht="11.25" customHeight="1" x14ac:dyDescent="0.25">
      <c r="A373" s="3" t="s">
        <v>27</v>
      </c>
      <c r="B373" s="3" t="s">
        <v>41</v>
      </c>
      <c r="C373" s="3" t="s">
        <v>42</v>
      </c>
      <c r="D373" s="3" t="s">
        <v>45</v>
      </c>
      <c r="E373" s="3" t="s">
        <v>53</v>
      </c>
      <c r="F373" s="3" t="s">
        <v>25</v>
      </c>
      <c r="G373" s="3" t="s">
        <v>25</v>
      </c>
      <c r="H373" s="3" t="s">
        <v>25</v>
      </c>
      <c r="I373" s="6">
        <v>44593</v>
      </c>
      <c r="J373" s="4">
        <v>37</v>
      </c>
      <c r="K373" s="56">
        <v>37</v>
      </c>
      <c r="L373" s="4">
        <v>0</v>
      </c>
      <c r="M373" s="56">
        <v>0</v>
      </c>
      <c r="N373" s="4">
        <v>0</v>
      </c>
      <c r="O373" s="56">
        <v>0</v>
      </c>
      <c r="P373" s="4">
        <v>0</v>
      </c>
      <c r="Q373" s="3" t="s">
        <v>26</v>
      </c>
      <c r="R373" s="3">
        <v>0</v>
      </c>
      <c r="S373" s="3">
        <v>44</v>
      </c>
      <c r="T373" s="3">
        <v>0</v>
      </c>
      <c r="U373" s="3">
        <v>0</v>
      </c>
      <c r="V373" s="56">
        <f>IF(ISERROR(VLOOKUP($S$373,'TAR FIN'!$A$1:$O$113,15,0)),0,VLOOKUP($S$373,'TAR FIN'!$A$1:$O$113,15,0))*(1-0.04)</f>
        <v>23.337599999999998</v>
      </c>
      <c r="W373" s="56">
        <f>IF(ISERROR(VLOOKUP($T$373,'TAR FIN'!$A$1:$O$113,15,0)),0,VLOOKUP($T$373,'TAR FIN'!$A$1:$O$113,15,0))</f>
        <v>0</v>
      </c>
      <c r="X373" s="56">
        <f>IF(ISERROR(VLOOKUP($U$373,'TAR FIN'!$A$1:$O$113,15,0)),0,VLOOKUP($U$373,'TAR FIN'!$A$1:$O$113,15,0))</f>
        <v>0</v>
      </c>
      <c r="Y373" s="56">
        <f ca="1">('TUSD BE'!$AM$30+'TUSD BF'!$AM$30+'TUSD CVA'!$AM$30)*1*(1-0.02)</f>
        <v>26.066113153707715</v>
      </c>
      <c r="Z373" s="56"/>
      <c r="AA373" s="56"/>
      <c r="AB373" s="56">
        <f>(SUBSIDIO!$J$373*SUBSIDIO!$V$373)*(0.04)/(1-0.04)</f>
        <v>35.9788</v>
      </c>
      <c r="AC373" s="56">
        <f>((SUBSIDIO!$L$373*SUBSIDIO!$W$373)+(SUBSIDIO!$N$373*SUBSIDIO!$X$373))*(0.04)/(1-0.04)</f>
        <v>0</v>
      </c>
      <c r="AD373" s="56">
        <f ca="1">(SUBSIDIO!$J$373*SUBSIDIO!$Y$373)*(0.02)/(1-0.02)</f>
        <v>19.682575238513987</v>
      </c>
      <c r="AE373" s="56">
        <f>((SUBSIDIO!$L$373*SUBSIDIO!$Z$373)+(SUBSIDIO!$N$373*SUBSIDIO!$AA$373))*(0.02)/(1-0.02)</f>
        <v>0</v>
      </c>
      <c r="AF373" s="3" t="s">
        <v>1023</v>
      </c>
    </row>
    <row r="374" spans="1:32" ht="11.25" customHeight="1" x14ac:dyDescent="0.25">
      <c r="A374" s="3" t="s">
        <v>28</v>
      </c>
      <c r="B374" s="3" t="s">
        <v>41</v>
      </c>
      <c r="C374" s="3" t="s">
        <v>42</v>
      </c>
      <c r="D374" s="3" t="s">
        <v>45</v>
      </c>
      <c r="E374" s="3" t="s">
        <v>53</v>
      </c>
      <c r="F374" s="3" t="s">
        <v>25</v>
      </c>
      <c r="G374" s="3" t="s">
        <v>25</v>
      </c>
      <c r="H374" s="3" t="s">
        <v>25</v>
      </c>
      <c r="I374" s="6">
        <v>44593</v>
      </c>
      <c r="J374" s="4">
        <v>59</v>
      </c>
      <c r="K374" s="56">
        <v>59</v>
      </c>
      <c r="L374" s="4">
        <v>0</v>
      </c>
      <c r="M374" s="56">
        <v>0</v>
      </c>
      <c r="N374" s="4">
        <v>0</v>
      </c>
      <c r="O374" s="56">
        <v>0</v>
      </c>
      <c r="P374" s="4">
        <v>1</v>
      </c>
      <c r="Q374" s="3" t="s">
        <v>26</v>
      </c>
      <c r="R374" s="3">
        <v>0</v>
      </c>
      <c r="S374" s="3">
        <v>44</v>
      </c>
      <c r="T374" s="3">
        <v>0</v>
      </c>
      <c r="U374" s="3">
        <v>0</v>
      </c>
      <c r="V374" s="56">
        <f>IF(ISERROR(VLOOKUP($S$374,'TAR FIN'!$A$1:$O$113,15,0)),0,VLOOKUP($S$374,'TAR FIN'!$A$1:$O$113,15,0))*(1-0.04)</f>
        <v>23.337599999999998</v>
      </c>
      <c r="W374" s="56">
        <f>IF(ISERROR(VLOOKUP($T$374,'TAR FIN'!$A$1:$O$113,15,0)),0,VLOOKUP($T$374,'TAR FIN'!$A$1:$O$113,15,0))</f>
        <v>0</v>
      </c>
      <c r="X374" s="56">
        <f>IF(ISERROR(VLOOKUP($U$374,'TAR FIN'!$A$1:$O$113,15,0)),0,VLOOKUP($U$374,'TAR FIN'!$A$1:$O$113,15,0))</f>
        <v>0</v>
      </c>
      <c r="Y374" s="56">
        <f ca="1">('TUSD BE'!$AM$30+'TUSD BF'!$AM$30+'TUSD CVA'!$AM$30)*1*(1-0.02)</f>
        <v>26.066113153707715</v>
      </c>
      <c r="Z374" s="56"/>
      <c r="AA374" s="56"/>
      <c r="AB374" s="56">
        <f>(SUBSIDIO!$J$374*SUBSIDIO!$V$374)*(0.04)/(1-0.04)</f>
        <v>57.371599999999994</v>
      </c>
      <c r="AC374" s="56">
        <f>((SUBSIDIO!$L$374*SUBSIDIO!$W$374)+(SUBSIDIO!$N$374*SUBSIDIO!$X$374))*(0.04)/(1-0.04)</f>
        <v>0</v>
      </c>
      <c r="AD374" s="56">
        <f ca="1">(SUBSIDIO!$J$374*SUBSIDIO!$Y$374)*(0.02)/(1-0.02)</f>
        <v>31.385728083035822</v>
      </c>
      <c r="AE374" s="56">
        <f>((SUBSIDIO!$L$374*SUBSIDIO!$Z$374)+(SUBSIDIO!$N$374*SUBSIDIO!$AA$374))*(0.02)/(1-0.02)</f>
        <v>0</v>
      </c>
      <c r="AF374" s="3" t="s">
        <v>1023</v>
      </c>
    </row>
    <row r="375" spans="1:32" ht="11.25" customHeight="1" x14ac:dyDescent="0.25">
      <c r="A375" s="3" t="s">
        <v>56</v>
      </c>
      <c r="B375" s="3" t="s">
        <v>41</v>
      </c>
      <c r="C375" s="3" t="s">
        <v>42</v>
      </c>
      <c r="D375" s="3" t="s">
        <v>45</v>
      </c>
      <c r="E375" s="3" t="s">
        <v>53</v>
      </c>
      <c r="F375" s="3" t="s">
        <v>25</v>
      </c>
      <c r="G375" s="3" t="s">
        <v>25</v>
      </c>
      <c r="H375" s="3" t="s">
        <v>25</v>
      </c>
      <c r="I375" s="6">
        <v>44621</v>
      </c>
      <c r="J375" s="4">
        <v>8919</v>
      </c>
      <c r="K375" s="56">
        <v>8919</v>
      </c>
      <c r="L375" s="4">
        <v>0</v>
      </c>
      <c r="M375" s="56">
        <v>0</v>
      </c>
      <c r="N375" s="4">
        <v>0</v>
      </c>
      <c r="O375" s="56">
        <v>0</v>
      </c>
      <c r="P375" s="4">
        <v>52</v>
      </c>
      <c r="Q375" s="3" t="s">
        <v>26</v>
      </c>
      <c r="R375" s="3">
        <v>0</v>
      </c>
      <c r="S375" s="3">
        <v>44</v>
      </c>
      <c r="T375" s="3">
        <v>0</v>
      </c>
      <c r="U375" s="3">
        <v>0</v>
      </c>
      <c r="V375" s="56">
        <f>IF(ISERROR(VLOOKUP($S$375,'TAR FIN'!$A$1:$O$113,15,0)),0,VLOOKUP($S$375,'TAR FIN'!$A$1:$O$113,15,0))*(1-0.04)</f>
        <v>23.337599999999998</v>
      </c>
      <c r="W375" s="56">
        <f>IF(ISERROR(VLOOKUP($T$375,'TAR FIN'!$A$1:$O$113,15,0)),0,VLOOKUP($T$375,'TAR FIN'!$A$1:$O$113,15,0))</f>
        <v>0</v>
      </c>
      <c r="X375" s="56">
        <f>IF(ISERROR(VLOOKUP($U$375,'TAR FIN'!$A$1:$O$113,15,0)),0,VLOOKUP($U$375,'TAR FIN'!$A$1:$O$113,15,0))</f>
        <v>0</v>
      </c>
      <c r="Y375" s="56">
        <f ca="1">('TUSD BE'!$AM$30+'TUSD BF'!$AM$30+'TUSD CVA'!$AM$30)*1*(1-0.02)</f>
        <v>26.066113153707715</v>
      </c>
      <c r="Z375" s="56"/>
      <c r="AA375" s="56"/>
      <c r="AB375" s="56">
        <f>(SUBSIDIO!$J$375*SUBSIDIO!$V$375)*(0.04)/(1-0.04)</f>
        <v>8672.8356000000003</v>
      </c>
      <c r="AC375" s="56">
        <f>((SUBSIDIO!$L$375*SUBSIDIO!$W$375)+(SUBSIDIO!$N$375*SUBSIDIO!$X$375))*(0.04)/(1-0.04)</f>
        <v>0</v>
      </c>
      <c r="AD375" s="56">
        <f ca="1">(SUBSIDIO!$J$375*SUBSIDIO!$Y$375)*(0.02)/(1-0.02)</f>
        <v>4744.5645554677367</v>
      </c>
      <c r="AE375" s="56">
        <f>((SUBSIDIO!$L$375*SUBSIDIO!$Z$375)+(SUBSIDIO!$N$375*SUBSIDIO!$AA$375))*(0.02)/(1-0.02)</f>
        <v>0</v>
      </c>
      <c r="AF375" s="3" t="s">
        <v>1023</v>
      </c>
    </row>
    <row r="376" spans="1:32" ht="11.25" customHeight="1" x14ac:dyDescent="0.25">
      <c r="A376" s="3" t="s">
        <v>56</v>
      </c>
      <c r="B376" s="3" t="s">
        <v>41</v>
      </c>
      <c r="C376" s="3" t="s">
        <v>42</v>
      </c>
      <c r="D376" s="3" t="s">
        <v>45</v>
      </c>
      <c r="E376" s="3" t="s">
        <v>53</v>
      </c>
      <c r="F376" s="3" t="s">
        <v>25</v>
      </c>
      <c r="G376" s="3" t="s">
        <v>25</v>
      </c>
      <c r="H376" s="3" t="s">
        <v>25</v>
      </c>
      <c r="I376" s="6">
        <v>44621</v>
      </c>
      <c r="J376" s="4">
        <v>37</v>
      </c>
      <c r="K376" s="56">
        <v>37</v>
      </c>
      <c r="L376" s="4">
        <v>0</v>
      </c>
      <c r="M376" s="56">
        <v>0</v>
      </c>
      <c r="N376" s="4">
        <v>0</v>
      </c>
      <c r="O376" s="56">
        <v>0</v>
      </c>
      <c r="P376" s="4">
        <v>0</v>
      </c>
      <c r="Q376" s="3" t="s">
        <v>26</v>
      </c>
      <c r="R376" s="3">
        <v>0</v>
      </c>
      <c r="S376" s="3">
        <v>44</v>
      </c>
      <c r="T376" s="3">
        <v>0</v>
      </c>
      <c r="U376" s="3">
        <v>0</v>
      </c>
      <c r="V376" s="56">
        <f>IF(ISERROR(VLOOKUP($S$376,'TAR FIN'!$A$1:$O$113,15,0)),0,VLOOKUP($S$376,'TAR FIN'!$A$1:$O$113,15,0))*(1-0.04)</f>
        <v>23.337599999999998</v>
      </c>
      <c r="W376" s="56">
        <f>IF(ISERROR(VLOOKUP($T$376,'TAR FIN'!$A$1:$O$113,15,0)),0,VLOOKUP($T$376,'TAR FIN'!$A$1:$O$113,15,0))</f>
        <v>0</v>
      </c>
      <c r="X376" s="56">
        <f>IF(ISERROR(VLOOKUP($U$376,'TAR FIN'!$A$1:$O$113,15,0)),0,VLOOKUP($U$376,'TAR FIN'!$A$1:$O$113,15,0))</f>
        <v>0</v>
      </c>
      <c r="Y376" s="56">
        <f ca="1">('TUSD BE'!$AM$30+'TUSD BF'!$AM$30+'TUSD CVA'!$AM$30)*1*(1-0.02)</f>
        <v>26.066113153707715</v>
      </c>
      <c r="Z376" s="56"/>
      <c r="AA376" s="56"/>
      <c r="AB376" s="56">
        <f>(SUBSIDIO!$J$376*SUBSIDIO!$V$376)*(0.04)/(1-0.04)</f>
        <v>35.9788</v>
      </c>
      <c r="AC376" s="56">
        <f>((SUBSIDIO!$L$376*SUBSIDIO!$W$376)+(SUBSIDIO!$N$376*SUBSIDIO!$X$376))*(0.04)/(1-0.04)</f>
        <v>0</v>
      </c>
      <c r="AD376" s="56">
        <f ca="1">(SUBSIDIO!$J$376*SUBSIDIO!$Y$376)*(0.02)/(1-0.02)</f>
        <v>19.682575238513987</v>
      </c>
      <c r="AE376" s="56">
        <f>((SUBSIDIO!$L$376*SUBSIDIO!$Z$376)+(SUBSIDIO!$N$376*SUBSIDIO!$AA$376))*(0.02)/(1-0.02)</f>
        <v>0</v>
      </c>
      <c r="AF376" s="3" t="s">
        <v>1023</v>
      </c>
    </row>
    <row r="377" spans="1:32" ht="11.25" customHeight="1" x14ac:dyDescent="0.25">
      <c r="A377" s="3" t="s">
        <v>56</v>
      </c>
      <c r="B377" s="3" t="s">
        <v>41</v>
      </c>
      <c r="C377" s="3" t="s">
        <v>42</v>
      </c>
      <c r="D377" s="3" t="s">
        <v>45</v>
      </c>
      <c r="E377" s="3" t="s">
        <v>53</v>
      </c>
      <c r="F377" s="3" t="s">
        <v>25</v>
      </c>
      <c r="G377" s="3" t="s">
        <v>25</v>
      </c>
      <c r="H377" s="3" t="s">
        <v>25</v>
      </c>
      <c r="I377" s="6">
        <v>44621</v>
      </c>
      <c r="J377" s="4">
        <v>59</v>
      </c>
      <c r="K377" s="56">
        <v>59</v>
      </c>
      <c r="L377" s="4">
        <v>0</v>
      </c>
      <c r="M377" s="56">
        <v>0</v>
      </c>
      <c r="N377" s="4">
        <v>0</v>
      </c>
      <c r="O377" s="56">
        <v>0</v>
      </c>
      <c r="P377" s="4">
        <v>1</v>
      </c>
      <c r="Q377" s="3" t="s">
        <v>26</v>
      </c>
      <c r="R377" s="3">
        <v>0</v>
      </c>
      <c r="S377" s="3">
        <v>44</v>
      </c>
      <c r="T377" s="3">
        <v>0</v>
      </c>
      <c r="U377" s="3">
        <v>0</v>
      </c>
      <c r="V377" s="56">
        <f>IF(ISERROR(VLOOKUP($S$377,'TAR FIN'!$A$1:$O$113,15,0)),0,VLOOKUP($S$377,'TAR FIN'!$A$1:$O$113,15,0))*(1-0.04)</f>
        <v>23.337599999999998</v>
      </c>
      <c r="W377" s="56">
        <f>IF(ISERROR(VLOOKUP($T$377,'TAR FIN'!$A$1:$O$113,15,0)),0,VLOOKUP($T$377,'TAR FIN'!$A$1:$O$113,15,0))</f>
        <v>0</v>
      </c>
      <c r="X377" s="56">
        <f>IF(ISERROR(VLOOKUP($U$377,'TAR FIN'!$A$1:$O$113,15,0)),0,VLOOKUP($U$377,'TAR FIN'!$A$1:$O$113,15,0))</f>
        <v>0</v>
      </c>
      <c r="Y377" s="56">
        <f ca="1">('TUSD BE'!$AM$30+'TUSD BF'!$AM$30+'TUSD CVA'!$AM$30)*1*(1-0.02)</f>
        <v>26.066113153707715</v>
      </c>
      <c r="Z377" s="56"/>
      <c r="AA377" s="56"/>
      <c r="AB377" s="56">
        <f>(SUBSIDIO!$J$377*SUBSIDIO!$V$377)*(0.04)/(1-0.04)</f>
        <v>57.371599999999994</v>
      </c>
      <c r="AC377" s="56">
        <f>((SUBSIDIO!$L$377*SUBSIDIO!$W$377)+(SUBSIDIO!$N$377*SUBSIDIO!$X$377))*(0.04)/(1-0.04)</f>
        <v>0</v>
      </c>
      <c r="AD377" s="56">
        <f ca="1">(SUBSIDIO!$J$377*SUBSIDIO!$Y$377)*(0.02)/(1-0.02)</f>
        <v>31.385728083035822</v>
      </c>
      <c r="AE377" s="56">
        <f>((SUBSIDIO!$L$377*SUBSIDIO!$Z$377)+(SUBSIDIO!$N$377*SUBSIDIO!$AA$377))*(0.02)/(1-0.02)</f>
        <v>0</v>
      </c>
      <c r="AF377" s="3" t="s">
        <v>1023</v>
      </c>
    </row>
    <row r="378" spans="1:32" ht="11.25" customHeight="1" x14ac:dyDescent="0.25">
      <c r="A378" s="3" t="s">
        <v>21</v>
      </c>
      <c r="B378" s="3" t="s">
        <v>41</v>
      </c>
      <c r="C378" s="3" t="s">
        <v>42</v>
      </c>
      <c r="D378" s="3" t="s">
        <v>45</v>
      </c>
      <c r="E378" s="3" t="s">
        <v>53</v>
      </c>
      <c r="F378" s="3" t="s">
        <v>25</v>
      </c>
      <c r="G378" s="3" t="s">
        <v>25</v>
      </c>
      <c r="H378" s="3" t="s">
        <v>34</v>
      </c>
      <c r="I378" s="6">
        <v>44287</v>
      </c>
      <c r="J378" s="4">
        <v>0</v>
      </c>
      <c r="K378" s="56">
        <v>0</v>
      </c>
      <c r="L378" s="4">
        <v>14.07</v>
      </c>
      <c r="M378" s="56">
        <v>14.07</v>
      </c>
      <c r="N378" s="4">
        <v>14.07</v>
      </c>
      <c r="O378" s="56">
        <v>14.07</v>
      </c>
      <c r="P378" s="4">
        <v>0</v>
      </c>
      <c r="Q378" s="3" t="s">
        <v>26</v>
      </c>
      <c r="R378" s="3">
        <v>0</v>
      </c>
      <c r="S378" s="3">
        <v>0</v>
      </c>
      <c r="T378" s="3">
        <v>20</v>
      </c>
      <c r="U378" s="3">
        <v>88</v>
      </c>
      <c r="V378" s="56">
        <f>IF(ISERROR(VLOOKUP($S$378,'TAR FIN'!$A$1:$O$113,15,0)),0,VLOOKUP($S$378,'TAR FIN'!$A$1:$O$113,15,0))</f>
        <v>0</v>
      </c>
      <c r="W378" s="56">
        <f>IF(ISERROR(VLOOKUP($T$378,'TAR FIN'!$A$1:$O$113,15,0)),0,VLOOKUP($T$378,'TAR FIN'!$A$1:$O$113,15,0))*(1-0.04)</f>
        <v>1502.0063999999998</v>
      </c>
      <c r="X378" s="56">
        <f>IF(ISERROR(VLOOKUP($U$378,'TAR FIN'!$A$1:$O$113,15,0)),0,VLOOKUP($U$378,'TAR FIN'!$A$1:$O$113,15,0))*(1-0.04)</f>
        <v>350.88</v>
      </c>
      <c r="Y378" s="56"/>
      <c r="Z378" s="56">
        <f ca="1">('TUSD BE'!$AM$31+'TUSD BF'!$AM$31+'TUSD CVA'!$AM$31)*1*(1-0.02)</f>
        <v>1801.1318198709657</v>
      </c>
      <c r="AA378" s="56">
        <f>('TE BE'!$AA$10+'TE BF'!$AA$10+'TE CVA'!$AA$10)*1*(1-0.02)</f>
        <v>354.31913150043306</v>
      </c>
      <c r="AB378" s="56">
        <f>(SUBSIDIO!$J$378*SUBSIDIO!$V$378)*(0.04)/(1-0.04)</f>
        <v>0</v>
      </c>
      <c r="AC378" s="56">
        <f>((SUBSIDIO!$L$378*SUBSIDIO!$W$378)+(SUBSIDIO!$N$378*SUBSIDIO!$X$378))*(0.04)/(1-0.04)</f>
        <v>1086.2546520000001</v>
      </c>
      <c r="AD378" s="56">
        <f>(SUBSIDIO!$J$378*SUBSIDIO!$Y$378)*(0.02)/(1-0.02)</f>
        <v>0</v>
      </c>
      <c r="AE378" s="56">
        <f ca="1">((SUBSIDIO!$L$378*SUBSIDIO!$Z$378)+(SUBSIDIO!$N$378*SUBSIDIO!$AA$378))*(0.02)/(1-0.02)</f>
        <v>618.92234460807322</v>
      </c>
      <c r="AF378" s="3" t="s">
        <v>1023</v>
      </c>
    </row>
    <row r="379" spans="1:32" ht="11.25" customHeight="1" x14ac:dyDescent="0.25">
      <c r="A379" s="3" t="s">
        <v>21</v>
      </c>
      <c r="B379" s="3" t="s">
        <v>41</v>
      </c>
      <c r="C379" s="3" t="s">
        <v>42</v>
      </c>
      <c r="D379" s="3" t="s">
        <v>45</v>
      </c>
      <c r="E379" s="3" t="s">
        <v>53</v>
      </c>
      <c r="F379" s="3" t="s">
        <v>25</v>
      </c>
      <c r="G379" s="3" t="s">
        <v>25</v>
      </c>
      <c r="H379" s="3" t="s">
        <v>34</v>
      </c>
      <c r="I379" s="6">
        <v>44317</v>
      </c>
      <c r="J379" s="4">
        <v>0</v>
      </c>
      <c r="K379" s="56">
        <v>0</v>
      </c>
      <c r="L379" s="4">
        <v>9.2910000000000004</v>
      </c>
      <c r="M379" s="56">
        <v>9.2910000000000004</v>
      </c>
      <c r="N379" s="4">
        <v>9.2910000000000004</v>
      </c>
      <c r="O379" s="56">
        <v>9.2910000000000004</v>
      </c>
      <c r="P379" s="4">
        <v>0</v>
      </c>
      <c r="Q379" s="3" t="s">
        <v>26</v>
      </c>
      <c r="R379" s="3">
        <v>0</v>
      </c>
      <c r="S379" s="3">
        <v>0</v>
      </c>
      <c r="T379" s="3">
        <v>20</v>
      </c>
      <c r="U379" s="3">
        <v>88</v>
      </c>
      <c r="V379" s="56">
        <f>IF(ISERROR(VLOOKUP($S$379,'TAR FIN'!$A$1:$O$113,15,0)),0,VLOOKUP($S$379,'TAR FIN'!$A$1:$O$113,15,0))</f>
        <v>0</v>
      </c>
      <c r="W379" s="56">
        <f>IF(ISERROR(VLOOKUP($T$379,'TAR FIN'!$A$1:$O$113,15,0)),0,VLOOKUP($T$379,'TAR FIN'!$A$1:$O$113,15,0))*(1-0.04)</f>
        <v>1502.0063999999998</v>
      </c>
      <c r="X379" s="56">
        <f>IF(ISERROR(VLOOKUP($U$379,'TAR FIN'!$A$1:$O$113,15,0)),0,VLOOKUP($U$379,'TAR FIN'!$A$1:$O$113,15,0))*(1-0.04)</f>
        <v>350.88</v>
      </c>
      <c r="Y379" s="56"/>
      <c r="Z379" s="56">
        <f ca="1">('TUSD BE'!$AM$31+'TUSD BF'!$AM$31+'TUSD CVA'!$AM$31)*1*(1-0.02)</f>
        <v>1801.1318198709657</v>
      </c>
      <c r="AA379" s="56">
        <f>('TE BE'!$AA$10+'TE BF'!$AA$10+'TE CVA'!$AA$10)*1*(1-0.02)</f>
        <v>354.31913150043306</v>
      </c>
      <c r="AB379" s="56">
        <f>(SUBSIDIO!$J$379*SUBSIDIO!$V$379)*(0.04)/(1-0.04)</f>
        <v>0</v>
      </c>
      <c r="AC379" s="56">
        <f>((SUBSIDIO!$L$379*SUBSIDIO!$W$379)+(SUBSIDIO!$N$379*SUBSIDIO!$X$379))*(0.04)/(1-0.04)</f>
        <v>717.29864759999998</v>
      </c>
      <c r="AD379" s="56">
        <f>(SUBSIDIO!$J$379*SUBSIDIO!$Y$379)*(0.02)/(1-0.02)</f>
        <v>0</v>
      </c>
      <c r="AE379" s="56">
        <f ca="1">((SUBSIDIO!$L$379*SUBSIDIO!$Z$379)+(SUBSIDIO!$N$379*SUBSIDIO!$AA$379))*(0.02)/(1-0.02)</f>
        <v>408.69989365697285</v>
      </c>
      <c r="AF379" s="3" t="s">
        <v>1023</v>
      </c>
    </row>
    <row r="380" spans="1:32" ht="11.25" customHeight="1" x14ac:dyDescent="0.25">
      <c r="A380" s="3" t="s">
        <v>21</v>
      </c>
      <c r="B380" s="3" t="s">
        <v>41</v>
      </c>
      <c r="C380" s="3" t="s">
        <v>42</v>
      </c>
      <c r="D380" s="3" t="s">
        <v>45</v>
      </c>
      <c r="E380" s="3" t="s">
        <v>53</v>
      </c>
      <c r="F380" s="3" t="s">
        <v>25</v>
      </c>
      <c r="G380" s="3" t="s">
        <v>25</v>
      </c>
      <c r="H380" s="3" t="s">
        <v>34</v>
      </c>
      <c r="I380" s="6">
        <v>44348</v>
      </c>
      <c r="J380" s="4">
        <v>0</v>
      </c>
      <c r="K380" s="56">
        <v>0</v>
      </c>
      <c r="L380" s="4">
        <v>8.5730000000000004</v>
      </c>
      <c r="M380" s="56">
        <v>8.5730000000000004</v>
      </c>
      <c r="N380" s="4">
        <v>8.5730000000000004</v>
      </c>
      <c r="O380" s="56">
        <v>8.5730000000000004</v>
      </c>
      <c r="P380" s="4">
        <v>0</v>
      </c>
      <c r="Q380" s="3" t="s">
        <v>26</v>
      </c>
      <c r="R380" s="3">
        <v>0</v>
      </c>
      <c r="S380" s="3">
        <v>0</v>
      </c>
      <c r="T380" s="3">
        <v>20</v>
      </c>
      <c r="U380" s="3">
        <v>88</v>
      </c>
      <c r="V380" s="56">
        <f>IF(ISERROR(VLOOKUP($S$380,'TAR FIN'!$A$1:$O$113,15,0)),0,VLOOKUP($S$380,'TAR FIN'!$A$1:$O$113,15,0))</f>
        <v>0</v>
      </c>
      <c r="W380" s="56">
        <f>IF(ISERROR(VLOOKUP($T$380,'TAR FIN'!$A$1:$O$113,15,0)),0,VLOOKUP($T$380,'TAR FIN'!$A$1:$O$113,15,0))*(1-0.04)</f>
        <v>1502.0063999999998</v>
      </c>
      <c r="X380" s="56">
        <f>IF(ISERROR(VLOOKUP($U$380,'TAR FIN'!$A$1:$O$113,15,0)),0,VLOOKUP($U$380,'TAR FIN'!$A$1:$O$113,15,0))*(1-0.04)</f>
        <v>350.88</v>
      </c>
      <c r="Y380" s="56"/>
      <c r="Z380" s="56">
        <f ca="1">('TUSD BE'!$AM$31+'TUSD BF'!$AM$31+'TUSD CVA'!$AM$31)*1*(1-0.02)</f>
        <v>1801.1318198709657</v>
      </c>
      <c r="AA380" s="56">
        <f>('TE BE'!$AA$10+'TE BF'!$AA$10+'TE CVA'!$AA$10)*1*(1-0.02)</f>
        <v>354.31913150043306</v>
      </c>
      <c r="AB380" s="56">
        <f>(SUBSIDIO!$J$380*SUBSIDIO!$V$380)*(0.04)/(1-0.04)</f>
        <v>0</v>
      </c>
      <c r="AC380" s="56">
        <f>((SUBSIDIO!$L$380*SUBSIDIO!$W$380)+(SUBSIDIO!$N$380*SUBSIDIO!$X$380))*(0.04)/(1-0.04)</f>
        <v>661.86646280000002</v>
      </c>
      <c r="AD380" s="56">
        <f>(SUBSIDIO!$J$380*SUBSIDIO!$Y$380)*(0.02)/(1-0.02)</f>
        <v>0</v>
      </c>
      <c r="AE380" s="56">
        <f ca="1">((SUBSIDIO!$L$380*SUBSIDIO!$Z$380)+(SUBSIDIO!$N$380*SUBSIDIO!$AA$380))*(0.02)/(1-0.02)</f>
        <v>377.11593890014296</v>
      </c>
      <c r="AF380" s="3" t="s">
        <v>1023</v>
      </c>
    </row>
    <row r="381" spans="1:32" ht="11.25" customHeight="1" x14ac:dyDescent="0.25">
      <c r="A381" s="3" t="s">
        <v>21</v>
      </c>
      <c r="B381" s="3" t="s">
        <v>41</v>
      </c>
      <c r="C381" s="3" t="s">
        <v>42</v>
      </c>
      <c r="D381" s="3" t="s">
        <v>45</v>
      </c>
      <c r="E381" s="3" t="s">
        <v>53</v>
      </c>
      <c r="F381" s="3" t="s">
        <v>25</v>
      </c>
      <c r="G381" s="3" t="s">
        <v>25</v>
      </c>
      <c r="H381" s="3" t="s">
        <v>34</v>
      </c>
      <c r="I381" s="6">
        <v>44378</v>
      </c>
      <c r="J381" s="4">
        <v>0</v>
      </c>
      <c r="K381" s="56">
        <v>0</v>
      </c>
      <c r="L381" s="4">
        <v>7.2220000000000004</v>
      </c>
      <c r="M381" s="56">
        <v>7.2220000000000004</v>
      </c>
      <c r="N381" s="4">
        <v>7.2220000000000004</v>
      </c>
      <c r="O381" s="56">
        <v>7.2220000000000004</v>
      </c>
      <c r="P381" s="4">
        <v>0</v>
      </c>
      <c r="Q381" s="3" t="s">
        <v>26</v>
      </c>
      <c r="R381" s="3">
        <v>0</v>
      </c>
      <c r="S381" s="3">
        <v>0</v>
      </c>
      <c r="T381" s="3">
        <v>20</v>
      </c>
      <c r="U381" s="3">
        <v>88</v>
      </c>
      <c r="V381" s="56">
        <f>IF(ISERROR(VLOOKUP($S$381,'TAR FIN'!$A$1:$O$113,15,0)),0,VLOOKUP($S$381,'TAR FIN'!$A$1:$O$113,15,0))</f>
        <v>0</v>
      </c>
      <c r="W381" s="56">
        <f>IF(ISERROR(VLOOKUP($T$381,'TAR FIN'!$A$1:$O$113,15,0)),0,VLOOKUP($T$381,'TAR FIN'!$A$1:$O$113,15,0))*(1-0.04)</f>
        <v>1502.0063999999998</v>
      </c>
      <c r="X381" s="56">
        <f>IF(ISERROR(VLOOKUP($U$381,'TAR FIN'!$A$1:$O$113,15,0)),0,VLOOKUP($U$381,'TAR FIN'!$A$1:$O$113,15,0))*(1-0.04)</f>
        <v>350.88</v>
      </c>
      <c r="Y381" s="56"/>
      <c r="Z381" s="56">
        <f ca="1">('TUSD BE'!$AM$31+'TUSD BF'!$AM$31+'TUSD CVA'!$AM$31)*1*(1-0.02)</f>
        <v>1801.1318198709657</v>
      </c>
      <c r="AA381" s="56">
        <f>('TE BE'!$AA$10+'TE BF'!$AA$10+'TE CVA'!$AA$10)*1*(1-0.02)</f>
        <v>354.31913150043306</v>
      </c>
      <c r="AB381" s="56">
        <f>(SUBSIDIO!$J$381*SUBSIDIO!$V$381)*(0.04)/(1-0.04)</f>
        <v>0</v>
      </c>
      <c r="AC381" s="56">
        <f>((SUBSIDIO!$L$381*SUBSIDIO!$W$381)+(SUBSIDIO!$N$381*SUBSIDIO!$X$381))*(0.04)/(1-0.04)</f>
        <v>557.56439920000003</v>
      </c>
      <c r="AD381" s="56">
        <f>(SUBSIDIO!$J$381*SUBSIDIO!$Y$381)*(0.02)/(1-0.02)</f>
        <v>0</v>
      </c>
      <c r="AE381" s="56">
        <f ca="1">((SUBSIDIO!$L$381*SUBSIDIO!$Z$381)+(SUBSIDIO!$N$381*SUBSIDIO!$AA$381))*(0.02)/(1-0.02)</f>
        <v>317.68707695518867</v>
      </c>
      <c r="AF381" s="3" t="s">
        <v>1023</v>
      </c>
    </row>
    <row r="382" spans="1:32" ht="11.25" customHeight="1" x14ac:dyDescent="0.25">
      <c r="A382" s="3" t="s">
        <v>21</v>
      </c>
      <c r="B382" s="3" t="s">
        <v>41</v>
      </c>
      <c r="C382" s="3" t="s">
        <v>42</v>
      </c>
      <c r="D382" s="3" t="s">
        <v>45</v>
      </c>
      <c r="E382" s="3" t="s">
        <v>53</v>
      </c>
      <c r="F382" s="3" t="s">
        <v>25</v>
      </c>
      <c r="G382" s="3" t="s">
        <v>25</v>
      </c>
      <c r="H382" s="3" t="s">
        <v>34</v>
      </c>
      <c r="I382" s="6">
        <v>44409</v>
      </c>
      <c r="J382" s="4">
        <v>0</v>
      </c>
      <c r="K382" s="56">
        <v>0</v>
      </c>
      <c r="L382" s="4">
        <v>8.3740000000000006</v>
      </c>
      <c r="M382" s="56">
        <v>8.3740000000000006</v>
      </c>
      <c r="N382" s="4">
        <v>8.3740000000000006</v>
      </c>
      <c r="O382" s="56">
        <v>8.3740000000000006</v>
      </c>
      <c r="P382" s="4">
        <v>0</v>
      </c>
      <c r="Q382" s="3" t="s">
        <v>26</v>
      </c>
      <c r="R382" s="3">
        <v>0</v>
      </c>
      <c r="S382" s="3">
        <v>0</v>
      </c>
      <c r="T382" s="3">
        <v>20</v>
      </c>
      <c r="U382" s="3">
        <v>88</v>
      </c>
      <c r="V382" s="56">
        <f>IF(ISERROR(VLOOKUP($S$382,'TAR FIN'!$A$1:$O$113,15,0)),0,VLOOKUP($S$382,'TAR FIN'!$A$1:$O$113,15,0))</f>
        <v>0</v>
      </c>
      <c r="W382" s="56">
        <f>IF(ISERROR(VLOOKUP($T$382,'TAR FIN'!$A$1:$O$113,15,0)),0,VLOOKUP($T$382,'TAR FIN'!$A$1:$O$113,15,0))*(1-0.04)</f>
        <v>1502.0063999999998</v>
      </c>
      <c r="X382" s="56">
        <f>IF(ISERROR(VLOOKUP($U$382,'TAR FIN'!$A$1:$O$113,15,0)),0,VLOOKUP($U$382,'TAR FIN'!$A$1:$O$113,15,0))*(1-0.04)</f>
        <v>350.88</v>
      </c>
      <c r="Y382" s="56"/>
      <c r="Z382" s="56">
        <f ca="1">('TUSD BE'!$AM$31+'TUSD BF'!$AM$31+'TUSD CVA'!$AM$31)*1*(1-0.02)</f>
        <v>1801.1318198709657</v>
      </c>
      <c r="AA382" s="56">
        <f>('TE BE'!$AA$10+'TE BF'!$AA$10+'TE CVA'!$AA$10)*1*(1-0.02)</f>
        <v>354.31913150043306</v>
      </c>
      <c r="AB382" s="56">
        <f>(SUBSIDIO!$J$382*SUBSIDIO!$V$382)*(0.04)/(1-0.04)</f>
        <v>0</v>
      </c>
      <c r="AC382" s="56">
        <f>((SUBSIDIO!$L$382*SUBSIDIO!$W$382)+(SUBSIDIO!$N$382*SUBSIDIO!$X$382))*(0.04)/(1-0.04)</f>
        <v>646.50294639999993</v>
      </c>
      <c r="AD382" s="56">
        <f>(SUBSIDIO!$J$382*SUBSIDIO!$Y$382)*(0.02)/(1-0.02)</f>
        <v>0</v>
      </c>
      <c r="AE382" s="56">
        <f ca="1">((SUBSIDIO!$L$382*SUBSIDIO!$Z$382)+(SUBSIDIO!$N$382*SUBSIDIO!$AA$382))*(0.02)/(1-0.02)</f>
        <v>368.36216870987948</v>
      </c>
      <c r="AF382" s="3" t="s">
        <v>1023</v>
      </c>
    </row>
    <row r="383" spans="1:32" ht="11.25" customHeight="1" x14ac:dyDescent="0.25">
      <c r="A383" s="3" t="s">
        <v>21</v>
      </c>
      <c r="B383" s="3" t="s">
        <v>41</v>
      </c>
      <c r="C383" s="3" t="s">
        <v>42</v>
      </c>
      <c r="D383" s="3" t="s">
        <v>45</v>
      </c>
      <c r="E383" s="3" t="s">
        <v>53</v>
      </c>
      <c r="F383" s="3" t="s">
        <v>25</v>
      </c>
      <c r="G383" s="3" t="s">
        <v>25</v>
      </c>
      <c r="H383" s="3" t="s">
        <v>34</v>
      </c>
      <c r="I383" s="6">
        <v>44440</v>
      </c>
      <c r="J383" s="4">
        <v>0</v>
      </c>
      <c r="K383" s="56">
        <v>0</v>
      </c>
      <c r="L383" s="4">
        <v>14.097</v>
      </c>
      <c r="M383" s="56">
        <v>14.097</v>
      </c>
      <c r="N383" s="4">
        <v>14.097</v>
      </c>
      <c r="O383" s="56">
        <v>14.097</v>
      </c>
      <c r="P383" s="4">
        <v>0</v>
      </c>
      <c r="Q383" s="3" t="s">
        <v>26</v>
      </c>
      <c r="R383" s="3">
        <v>0</v>
      </c>
      <c r="S383" s="3">
        <v>0</v>
      </c>
      <c r="T383" s="3">
        <v>20</v>
      </c>
      <c r="U383" s="3">
        <v>88</v>
      </c>
      <c r="V383" s="56">
        <f>IF(ISERROR(VLOOKUP($S$383,'TAR FIN'!$A$1:$O$113,15,0)),0,VLOOKUP($S$383,'TAR FIN'!$A$1:$O$113,15,0))</f>
        <v>0</v>
      </c>
      <c r="W383" s="56">
        <f>IF(ISERROR(VLOOKUP($T$383,'TAR FIN'!$A$1:$O$113,15,0)),0,VLOOKUP($T$383,'TAR FIN'!$A$1:$O$113,15,0))*(1-0.04)</f>
        <v>1502.0063999999998</v>
      </c>
      <c r="X383" s="56">
        <f>IF(ISERROR(VLOOKUP($U$383,'TAR FIN'!$A$1:$O$113,15,0)),0,VLOOKUP($U$383,'TAR FIN'!$A$1:$O$113,15,0))*(1-0.04)</f>
        <v>350.88</v>
      </c>
      <c r="Y383" s="56"/>
      <c r="Z383" s="56">
        <f ca="1">('TUSD BE'!$AM$31+'TUSD BF'!$AM$31+'TUSD CVA'!$AM$31)*1*(1-0.02)</f>
        <v>1801.1318198709657</v>
      </c>
      <c r="AA383" s="56">
        <f>('TE BE'!$AA$10+'TE BF'!$AA$10+'TE CVA'!$AA$10)*1*(1-0.02)</f>
        <v>354.31913150043306</v>
      </c>
      <c r="AB383" s="56">
        <f>(SUBSIDIO!$J$383*SUBSIDIO!$V$383)*(0.04)/(1-0.04)</f>
        <v>0</v>
      </c>
      <c r="AC383" s="56">
        <f>((SUBSIDIO!$L$383*SUBSIDIO!$W$383)+(SUBSIDIO!$N$383*SUBSIDIO!$X$383))*(0.04)/(1-0.04)</f>
        <v>1088.3391491999998</v>
      </c>
      <c r="AD383" s="56">
        <f>(SUBSIDIO!$J$383*SUBSIDIO!$Y$383)*(0.02)/(1-0.02)</f>
        <v>0</v>
      </c>
      <c r="AE383" s="56">
        <f ca="1">((SUBSIDIO!$L$383*SUBSIDIO!$Z$383)+(SUBSIDIO!$N$383*SUBSIDIO!$AA$383))*(0.02)/(1-0.02)</f>
        <v>620.11004207107362</v>
      </c>
      <c r="AF383" s="3" t="s">
        <v>1023</v>
      </c>
    </row>
    <row r="384" spans="1:32" ht="11.25" customHeight="1" x14ac:dyDescent="0.25">
      <c r="A384" s="3" t="s">
        <v>27</v>
      </c>
      <c r="B384" s="3" t="s">
        <v>41</v>
      </c>
      <c r="C384" s="3" t="s">
        <v>42</v>
      </c>
      <c r="D384" s="3" t="s">
        <v>45</v>
      </c>
      <c r="E384" s="3" t="s">
        <v>53</v>
      </c>
      <c r="F384" s="3" t="s">
        <v>25</v>
      </c>
      <c r="G384" s="3" t="s">
        <v>25</v>
      </c>
      <c r="H384" s="3" t="s">
        <v>34</v>
      </c>
      <c r="I384" s="6">
        <v>44440</v>
      </c>
      <c r="J384" s="4">
        <v>0</v>
      </c>
      <c r="K384" s="56">
        <v>0</v>
      </c>
      <c r="L384" s="4">
        <v>0.94599999999999995</v>
      </c>
      <c r="M384" s="56">
        <v>0.94599999999999995</v>
      </c>
      <c r="N384" s="4">
        <v>0.94599999999999995</v>
      </c>
      <c r="O384" s="56">
        <v>0.94599999999999995</v>
      </c>
      <c r="P384" s="4">
        <v>0</v>
      </c>
      <c r="Q384" s="3" t="s">
        <v>26</v>
      </c>
      <c r="R384" s="3">
        <v>0</v>
      </c>
      <c r="S384" s="3">
        <v>0</v>
      </c>
      <c r="T384" s="3">
        <v>20</v>
      </c>
      <c r="U384" s="3">
        <v>88</v>
      </c>
      <c r="V384" s="56">
        <f>IF(ISERROR(VLOOKUP($S$384,'TAR FIN'!$A$1:$O$113,15,0)),0,VLOOKUP($S$384,'TAR FIN'!$A$1:$O$113,15,0))</f>
        <v>0</v>
      </c>
      <c r="W384" s="56">
        <f>IF(ISERROR(VLOOKUP($T$384,'TAR FIN'!$A$1:$O$113,15,0)),0,VLOOKUP($T$384,'TAR FIN'!$A$1:$O$113,15,0))*(1-0.04)</f>
        <v>1502.0063999999998</v>
      </c>
      <c r="X384" s="56">
        <f>IF(ISERROR(VLOOKUP($U$384,'TAR FIN'!$A$1:$O$113,15,0)),0,VLOOKUP($U$384,'TAR FIN'!$A$1:$O$113,15,0))*(1-0.04)</f>
        <v>350.88</v>
      </c>
      <c r="Y384" s="56"/>
      <c r="Z384" s="56">
        <f ca="1">('TUSD BE'!$AM$31+'TUSD BF'!$AM$31+'TUSD CVA'!$AM$31)*1*(1-0.02)</f>
        <v>1801.1318198709657</v>
      </c>
      <c r="AA384" s="56">
        <f>('TE BE'!$AA$10+'TE BF'!$AA$10+'TE CVA'!$AA$10)*1*(1-0.02)</f>
        <v>354.31913150043306</v>
      </c>
      <c r="AB384" s="56">
        <f>(SUBSIDIO!$J$384*SUBSIDIO!$V$384)*(0.04)/(1-0.04)</f>
        <v>0</v>
      </c>
      <c r="AC384" s="56">
        <f>((SUBSIDIO!$L$384*SUBSIDIO!$W$384)+(SUBSIDIO!$N$384*SUBSIDIO!$X$384))*(0.04)/(1-0.04)</f>
        <v>73.034605599999992</v>
      </c>
      <c r="AD384" s="56">
        <f>(SUBSIDIO!$J$384*SUBSIDIO!$Y$384)*(0.02)/(1-0.02)</f>
        <v>0</v>
      </c>
      <c r="AE384" s="56">
        <f ca="1">((SUBSIDIO!$L$384*SUBSIDIO!$Z$384)+(SUBSIDIO!$N$384*SUBSIDIO!$AA$384))*(0.02)/(1-0.02)</f>
        <v>41.613399999945784</v>
      </c>
      <c r="AF384" s="3" t="s">
        <v>1023</v>
      </c>
    </row>
    <row r="385" spans="1:32" ht="11.25" customHeight="1" x14ac:dyDescent="0.25">
      <c r="A385" s="3" t="s">
        <v>21</v>
      </c>
      <c r="B385" s="3" t="s">
        <v>41</v>
      </c>
      <c r="C385" s="3" t="s">
        <v>42</v>
      </c>
      <c r="D385" s="3" t="s">
        <v>45</v>
      </c>
      <c r="E385" s="3" t="s">
        <v>53</v>
      </c>
      <c r="F385" s="3" t="s">
        <v>25</v>
      </c>
      <c r="G385" s="3" t="s">
        <v>25</v>
      </c>
      <c r="H385" s="3" t="s">
        <v>34</v>
      </c>
      <c r="I385" s="6">
        <v>44470</v>
      </c>
      <c r="J385" s="4">
        <v>0</v>
      </c>
      <c r="K385" s="56">
        <v>0</v>
      </c>
      <c r="L385" s="4">
        <v>14.898</v>
      </c>
      <c r="M385" s="56">
        <v>14.898</v>
      </c>
      <c r="N385" s="4">
        <v>14.898</v>
      </c>
      <c r="O385" s="56">
        <v>14.898</v>
      </c>
      <c r="P385" s="4">
        <v>0</v>
      </c>
      <c r="Q385" s="3" t="s">
        <v>26</v>
      </c>
      <c r="R385" s="3">
        <v>0</v>
      </c>
      <c r="S385" s="3">
        <v>0</v>
      </c>
      <c r="T385" s="3">
        <v>20</v>
      </c>
      <c r="U385" s="3">
        <v>88</v>
      </c>
      <c r="V385" s="56">
        <f>IF(ISERROR(VLOOKUP($S$385,'TAR FIN'!$A$1:$O$113,15,0)),0,VLOOKUP($S$385,'TAR FIN'!$A$1:$O$113,15,0))</f>
        <v>0</v>
      </c>
      <c r="W385" s="56">
        <f>IF(ISERROR(VLOOKUP($T$385,'TAR FIN'!$A$1:$O$113,15,0)),0,VLOOKUP($T$385,'TAR FIN'!$A$1:$O$113,15,0))*(1-0.04)</f>
        <v>1502.0063999999998</v>
      </c>
      <c r="X385" s="56">
        <f>IF(ISERROR(VLOOKUP($U$385,'TAR FIN'!$A$1:$O$113,15,0)),0,VLOOKUP($U$385,'TAR FIN'!$A$1:$O$113,15,0))*(1-0.04)</f>
        <v>350.88</v>
      </c>
      <c r="Y385" s="56"/>
      <c r="Z385" s="56">
        <f ca="1">('TUSD BE'!$AM$31+'TUSD BF'!$AM$31+'TUSD CVA'!$AM$31)*1*(1-0.02)</f>
        <v>1801.1318198709657</v>
      </c>
      <c r="AA385" s="56">
        <f>('TE BE'!$AA$10+'TE BF'!$AA$10+'TE CVA'!$AA$10)*1*(1-0.02)</f>
        <v>354.31913150043306</v>
      </c>
      <c r="AB385" s="56">
        <f>(SUBSIDIO!$J$385*SUBSIDIO!$V$385)*(0.04)/(1-0.04)</f>
        <v>0</v>
      </c>
      <c r="AC385" s="56">
        <f>((SUBSIDIO!$L$385*SUBSIDIO!$W$385)+(SUBSIDIO!$N$385*SUBSIDIO!$X$385))*(0.04)/(1-0.04)</f>
        <v>1150.1792327999999</v>
      </c>
      <c r="AD385" s="56">
        <f>(SUBSIDIO!$J$385*SUBSIDIO!$Y$385)*(0.02)/(1-0.02)</f>
        <v>0</v>
      </c>
      <c r="AE385" s="56">
        <f ca="1">((SUBSIDIO!$L$385*SUBSIDIO!$Z$385)+(SUBSIDIO!$N$385*SUBSIDIO!$AA$385))*(0.02)/(1-0.02)</f>
        <v>655.34506680675725</v>
      </c>
      <c r="AF385" s="3" t="s">
        <v>1023</v>
      </c>
    </row>
    <row r="386" spans="1:32" ht="11.25" customHeight="1" x14ac:dyDescent="0.25">
      <c r="A386" s="3" t="s">
        <v>21</v>
      </c>
      <c r="B386" s="3" t="s">
        <v>41</v>
      </c>
      <c r="C386" s="3" t="s">
        <v>42</v>
      </c>
      <c r="D386" s="3" t="s">
        <v>45</v>
      </c>
      <c r="E386" s="3" t="s">
        <v>53</v>
      </c>
      <c r="F386" s="3" t="s">
        <v>25</v>
      </c>
      <c r="G386" s="3" t="s">
        <v>25</v>
      </c>
      <c r="H386" s="3" t="s">
        <v>34</v>
      </c>
      <c r="I386" s="6">
        <v>44501</v>
      </c>
      <c r="J386" s="4">
        <v>0</v>
      </c>
      <c r="K386" s="56">
        <v>0</v>
      </c>
      <c r="L386" s="4">
        <v>17.111999999999998</v>
      </c>
      <c r="M386" s="56">
        <v>17.111999999999998</v>
      </c>
      <c r="N386" s="4">
        <v>17.111999999999998</v>
      </c>
      <c r="O386" s="56">
        <v>17.111999999999998</v>
      </c>
      <c r="P386" s="4">
        <v>0</v>
      </c>
      <c r="Q386" s="3" t="s">
        <v>26</v>
      </c>
      <c r="R386" s="3">
        <v>0</v>
      </c>
      <c r="S386" s="3">
        <v>0</v>
      </c>
      <c r="T386" s="3">
        <v>20</v>
      </c>
      <c r="U386" s="3">
        <v>88</v>
      </c>
      <c r="V386" s="56">
        <f>IF(ISERROR(VLOOKUP($S$386,'TAR FIN'!$A$1:$O$113,15,0)),0,VLOOKUP($S$386,'TAR FIN'!$A$1:$O$113,15,0))</f>
        <v>0</v>
      </c>
      <c r="W386" s="56">
        <f>IF(ISERROR(VLOOKUP($T$386,'TAR FIN'!$A$1:$O$113,15,0)),0,VLOOKUP($T$386,'TAR FIN'!$A$1:$O$113,15,0))*(1-0.04)</f>
        <v>1502.0063999999998</v>
      </c>
      <c r="X386" s="56">
        <f>IF(ISERROR(VLOOKUP($U$386,'TAR FIN'!$A$1:$O$113,15,0)),0,VLOOKUP($U$386,'TAR FIN'!$A$1:$O$113,15,0))*(1-0.04)</f>
        <v>350.88</v>
      </c>
      <c r="Y386" s="56"/>
      <c r="Z386" s="56">
        <f ca="1">('TUSD BE'!$AM$31+'TUSD BF'!$AM$31+'TUSD CVA'!$AM$31)*1*(1-0.02)</f>
        <v>1801.1318198709657</v>
      </c>
      <c r="AA386" s="56">
        <f>('TE BE'!$AA$10+'TE BF'!$AA$10+'TE CVA'!$AA$10)*1*(1-0.02)</f>
        <v>354.31913150043306</v>
      </c>
      <c r="AB386" s="56">
        <f>(SUBSIDIO!$J$386*SUBSIDIO!$V$386)*(0.04)/(1-0.04)</f>
        <v>0</v>
      </c>
      <c r="AC386" s="56">
        <f>((SUBSIDIO!$L$386*SUBSIDIO!$W$386)+(SUBSIDIO!$N$386*SUBSIDIO!$X$386))*(0.04)/(1-0.04)</f>
        <v>1321.1080031999998</v>
      </c>
      <c r="AD386" s="56">
        <f>(SUBSIDIO!$J$386*SUBSIDIO!$Y$386)*(0.02)/(1-0.02)</f>
        <v>0</v>
      </c>
      <c r="AE386" s="56">
        <f ca="1">((SUBSIDIO!$L$386*SUBSIDIO!$Z$386)+(SUBSIDIO!$N$386*SUBSIDIO!$AA$386))*(0.02)/(1-0.02)</f>
        <v>752.73625877280347</v>
      </c>
      <c r="AF386" s="3" t="s">
        <v>1023</v>
      </c>
    </row>
    <row r="387" spans="1:32" ht="11.25" customHeight="1" x14ac:dyDescent="0.25">
      <c r="A387" s="3" t="s">
        <v>21</v>
      </c>
      <c r="B387" s="3" t="s">
        <v>41</v>
      </c>
      <c r="C387" s="3" t="s">
        <v>42</v>
      </c>
      <c r="D387" s="3" t="s">
        <v>45</v>
      </c>
      <c r="E387" s="3" t="s">
        <v>53</v>
      </c>
      <c r="F387" s="3" t="s">
        <v>25</v>
      </c>
      <c r="G387" s="3" t="s">
        <v>25</v>
      </c>
      <c r="H387" s="3" t="s">
        <v>34</v>
      </c>
      <c r="I387" s="6">
        <v>44531</v>
      </c>
      <c r="J387" s="4">
        <v>0</v>
      </c>
      <c r="K387" s="56">
        <v>0</v>
      </c>
      <c r="L387" s="4">
        <v>16.388999999999999</v>
      </c>
      <c r="M387" s="56">
        <v>16.388999999999999</v>
      </c>
      <c r="N387" s="4">
        <v>16.388999999999999</v>
      </c>
      <c r="O387" s="56">
        <v>16.388999999999999</v>
      </c>
      <c r="P387" s="4">
        <v>0</v>
      </c>
      <c r="Q387" s="3" t="s">
        <v>26</v>
      </c>
      <c r="R387" s="3">
        <v>0</v>
      </c>
      <c r="S387" s="3">
        <v>0</v>
      </c>
      <c r="T387" s="3">
        <v>20</v>
      </c>
      <c r="U387" s="3">
        <v>88</v>
      </c>
      <c r="V387" s="56">
        <f>IF(ISERROR(VLOOKUP($S$387,'TAR FIN'!$A$1:$O$113,15,0)),0,VLOOKUP($S$387,'TAR FIN'!$A$1:$O$113,15,0))</f>
        <v>0</v>
      </c>
      <c r="W387" s="56">
        <f>IF(ISERROR(VLOOKUP($T$387,'TAR FIN'!$A$1:$O$113,15,0)),0,VLOOKUP($T$387,'TAR FIN'!$A$1:$O$113,15,0))*(1-0.04)</f>
        <v>1502.0063999999998</v>
      </c>
      <c r="X387" s="56">
        <f>IF(ISERROR(VLOOKUP($U$387,'TAR FIN'!$A$1:$O$113,15,0)),0,VLOOKUP($U$387,'TAR FIN'!$A$1:$O$113,15,0))*(1-0.04)</f>
        <v>350.88</v>
      </c>
      <c r="Y387" s="56"/>
      <c r="Z387" s="56">
        <f ca="1">('TUSD BE'!$AM$31+'TUSD BF'!$AM$31+'TUSD CVA'!$AM$31)*1*(1-0.02)</f>
        <v>1801.1318198709657</v>
      </c>
      <c r="AA387" s="56">
        <f>('TE BE'!$AA$10+'TE BF'!$AA$10+'TE CVA'!$AA$10)*1*(1-0.02)</f>
        <v>354.31913150043306</v>
      </c>
      <c r="AB387" s="56">
        <f>(SUBSIDIO!$J$387*SUBSIDIO!$V$387)*(0.04)/(1-0.04)</f>
        <v>0</v>
      </c>
      <c r="AC387" s="56">
        <f>((SUBSIDIO!$L$387*SUBSIDIO!$W$387)+(SUBSIDIO!$N$387*SUBSIDIO!$X$387))*(0.04)/(1-0.04)</f>
        <v>1265.2898003999999</v>
      </c>
      <c r="AD387" s="56">
        <f>(SUBSIDIO!$J$387*SUBSIDIO!$Y$387)*(0.02)/(1-0.02)</f>
        <v>0</v>
      </c>
      <c r="AE387" s="56">
        <f ca="1">((SUBSIDIO!$L$387*SUBSIDIO!$Z$387)+(SUBSIDIO!$N$387*SUBSIDIO!$AA$387))*(0.02)/(1-0.02)</f>
        <v>720.93236004134394</v>
      </c>
      <c r="AF387" s="3" t="s">
        <v>1023</v>
      </c>
    </row>
    <row r="388" spans="1:32" ht="11.25" customHeight="1" x14ac:dyDescent="0.25">
      <c r="A388" s="3" t="s">
        <v>21</v>
      </c>
      <c r="B388" s="3" t="s">
        <v>41</v>
      </c>
      <c r="C388" s="3" t="s">
        <v>42</v>
      </c>
      <c r="D388" s="3" t="s">
        <v>45</v>
      </c>
      <c r="E388" s="3" t="s">
        <v>53</v>
      </c>
      <c r="F388" s="3" t="s">
        <v>25</v>
      </c>
      <c r="G388" s="3" t="s">
        <v>25</v>
      </c>
      <c r="H388" s="3" t="s">
        <v>34</v>
      </c>
      <c r="I388" s="6">
        <v>44562</v>
      </c>
      <c r="J388" s="4">
        <v>0</v>
      </c>
      <c r="K388" s="56">
        <v>0</v>
      </c>
      <c r="L388" s="4">
        <v>18.425999999999998</v>
      </c>
      <c r="M388" s="56">
        <v>18.425999999999998</v>
      </c>
      <c r="N388" s="4">
        <v>18.425999999999998</v>
      </c>
      <c r="O388" s="56">
        <v>18.425999999999998</v>
      </c>
      <c r="P388" s="4">
        <v>0</v>
      </c>
      <c r="Q388" s="3" t="s">
        <v>26</v>
      </c>
      <c r="R388" s="3">
        <v>0</v>
      </c>
      <c r="S388" s="3">
        <v>0</v>
      </c>
      <c r="T388" s="3">
        <v>20</v>
      </c>
      <c r="U388" s="3">
        <v>88</v>
      </c>
      <c r="V388" s="56">
        <f>IF(ISERROR(VLOOKUP($S$388,'TAR FIN'!$A$1:$O$113,15,0)),0,VLOOKUP($S$388,'TAR FIN'!$A$1:$O$113,15,0))</f>
        <v>0</v>
      </c>
      <c r="W388" s="56">
        <f>IF(ISERROR(VLOOKUP($T$388,'TAR FIN'!$A$1:$O$113,15,0)),0,VLOOKUP($T$388,'TAR FIN'!$A$1:$O$113,15,0))*(1-0.04)</f>
        <v>1502.0063999999998</v>
      </c>
      <c r="X388" s="56">
        <f>IF(ISERROR(VLOOKUP($U$388,'TAR FIN'!$A$1:$O$113,15,0)),0,VLOOKUP($U$388,'TAR FIN'!$A$1:$O$113,15,0))*(1-0.04)</f>
        <v>350.88</v>
      </c>
      <c r="Y388" s="56"/>
      <c r="Z388" s="56">
        <f ca="1">('TUSD BE'!$AM$31+'TUSD BF'!$AM$31+'TUSD CVA'!$AM$31)*1*(1-0.02)</f>
        <v>1801.1318198709657</v>
      </c>
      <c r="AA388" s="56">
        <f>('TE BE'!$AA$10+'TE BF'!$AA$10+'TE CVA'!$AA$10)*1*(1-0.02)</f>
        <v>354.31913150043306</v>
      </c>
      <c r="AB388" s="56">
        <f>(SUBSIDIO!$J$388*SUBSIDIO!$V$388)*(0.04)/(1-0.04)</f>
        <v>0</v>
      </c>
      <c r="AC388" s="56">
        <f>((SUBSIDIO!$L$388*SUBSIDIO!$W$388)+(SUBSIDIO!$N$388*SUBSIDIO!$X$388))*(0.04)/(1-0.04)</f>
        <v>1422.5535335999998</v>
      </c>
      <c r="AD388" s="56">
        <f>(SUBSIDIO!$J$388*SUBSIDIO!$Y$388)*(0.02)/(1-0.02)</f>
        <v>0</v>
      </c>
      <c r="AE388" s="56">
        <f ca="1">((SUBSIDIO!$L$388*SUBSIDIO!$Z$388)+(SUBSIDIO!$N$388*SUBSIDIO!$AA$388))*(0.02)/(1-0.02)</f>
        <v>810.53753530549773</v>
      </c>
      <c r="AF388" s="3" t="s">
        <v>1023</v>
      </c>
    </row>
    <row r="389" spans="1:32" ht="11.25" customHeight="1" x14ac:dyDescent="0.25">
      <c r="A389" s="3" t="s">
        <v>27</v>
      </c>
      <c r="B389" s="3" t="s">
        <v>41</v>
      </c>
      <c r="C389" s="3" t="s">
        <v>42</v>
      </c>
      <c r="D389" s="3" t="s">
        <v>45</v>
      </c>
      <c r="E389" s="3" t="s">
        <v>53</v>
      </c>
      <c r="F389" s="3" t="s">
        <v>25</v>
      </c>
      <c r="G389" s="3" t="s">
        <v>25</v>
      </c>
      <c r="H389" s="3" t="s">
        <v>34</v>
      </c>
      <c r="I389" s="6">
        <v>44562</v>
      </c>
      <c r="J389" s="4">
        <v>0</v>
      </c>
      <c r="K389" s="56">
        <v>0</v>
      </c>
      <c r="L389" s="4">
        <v>0.2</v>
      </c>
      <c r="M389" s="56">
        <v>0.2</v>
      </c>
      <c r="N389" s="4">
        <v>0.2</v>
      </c>
      <c r="O389" s="56">
        <v>0.2</v>
      </c>
      <c r="P389" s="4">
        <v>0</v>
      </c>
      <c r="Q389" s="3" t="s">
        <v>26</v>
      </c>
      <c r="R389" s="3">
        <v>0</v>
      </c>
      <c r="S389" s="3">
        <v>0</v>
      </c>
      <c r="T389" s="3">
        <v>20</v>
      </c>
      <c r="U389" s="3">
        <v>88</v>
      </c>
      <c r="V389" s="56">
        <f>IF(ISERROR(VLOOKUP($S$389,'TAR FIN'!$A$1:$O$113,15,0)),0,VLOOKUP($S$389,'TAR FIN'!$A$1:$O$113,15,0))</f>
        <v>0</v>
      </c>
      <c r="W389" s="56">
        <f>IF(ISERROR(VLOOKUP($T$389,'TAR FIN'!$A$1:$O$113,15,0)),0,VLOOKUP($T$389,'TAR FIN'!$A$1:$O$113,15,0))*(1-0.04)</f>
        <v>1502.0063999999998</v>
      </c>
      <c r="X389" s="56">
        <f>IF(ISERROR(VLOOKUP($U$389,'TAR FIN'!$A$1:$O$113,15,0)),0,VLOOKUP($U$389,'TAR FIN'!$A$1:$O$113,15,0))*(1-0.04)</f>
        <v>350.88</v>
      </c>
      <c r="Y389" s="56"/>
      <c r="Z389" s="56">
        <f ca="1">('TUSD BE'!$AM$31+'TUSD BF'!$AM$31+'TUSD CVA'!$AM$31)*1*(1-0.02)</f>
        <v>1801.1318198709657</v>
      </c>
      <c r="AA389" s="56">
        <f>('TE BE'!$AA$10+'TE BF'!$AA$10+'TE CVA'!$AA$10)*1*(1-0.02)</f>
        <v>354.31913150043306</v>
      </c>
      <c r="AB389" s="56">
        <f>(SUBSIDIO!$J$389*SUBSIDIO!$V$389)*(0.04)/(1-0.04)</f>
        <v>0</v>
      </c>
      <c r="AC389" s="56">
        <f>((SUBSIDIO!$L$389*SUBSIDIO!$W$389)+(SUBSIDIO!$N$389*SUBSIDIO!$X$389))*(0.04)/(1-0.04)</f>
        <v>15.440719999999999</v>
      </c>
      <c r="AD389" s="56">
        <f>(SUBSIDIO!$J$389*SUBSIDIO!$Y$389)*(0.02)/(1-0.02)</f>
        <v>0</v>
      </c>
      <c r="AE389" s="56">
        <f ca="1">((SUBSIDIO!$L$389*SUBSIDIO!$Z$389)+(SUBSIDIO!$N$389*SUBSIDIO!$AA$389))*(0.02)/(1-0.02)</f>
        <v>8.7977589851893843</v>
      </c>
      <c r="AF389" s="3" t="s">
        <v>1023</v>
      </c>
    </row>
    <row r="390" spans="1:32" ht="11.25" customHeight="1" x14ac:dyDescent="0.25">
      <c r="A390" s="3" t="s">
        <v>28</v>
      </c>
      <c r="B390" s="3" t="s">
        <v>41</v>
      </c>
      <c r="C390" s="3" t="s">
        <v>42</v>
      </c>
      <c r="D390" s="3" t="s">
        <v>45</v>
      </c>
      <c r="E390" s="3" t="s">
        <v>53</v>
      </c>
      <c r="F390" s="3" t="s">
        <v>25</v>
      </c>
      <c r="G390" s="3" t="s">
        <v>25</v>
      </c>
      <c r="H390" s="3" t="s">
        <v>34</v>
      </c>
      <c r="I390" s="6">
        <v>44562</v>
      </c>
      <c r="J390" s="4">
        <v>0</v>
      </c>
      <c r="K390" s="56">
        <v>0</v>
      </c>
      <c r="L390" s="4">
        <v>0.25700000000000001</v>
      </c>
      <c r="M390" s="56">
        <v>0.25700000000000001</v>
      </c>
      <c r="N390" s="4">
        <v>0.25700000000000001</v>
      </c>
      <c r="O390" s="56">
        <v>0.25700000000000001</v>
      </c>
      <c r="P390" s="4">
        <v>0</v>
      </c>
      <c r="Q390" s="3" t="s">
        <v>26</v>
      </c>
      <c r="R390" s="3">
        <v>0</v>
      </c>
      <c r="S390" s="3">
        <v>0</v>
      </c>
      <c r="T390" s="3">
        <v>20</v>
      </c>
      <c r="U390" s="3">
        <v>88</v>
      </c>
      <c r="V390" s="56">
        <f>IF(ISERROR(VLOOKUP($S$390,'TAR FIN'!$A$1:$O$113,15,0)),0,VLOOKUP($S$390,'TAR FIN'!$A$1:$O$113,15,0))</f>
        <v>0</v>
      </c>
      <c r="W390" s="56">
        <f>IF(ISERROR(VLOOKUP($T$390,'TAR FIN'!$A$1:$O$113,15,0)),0,VLOOKUP($T$390,'TAR FIN'!$A$1:$O$113,15,0))*(1-0.04)</f>
        <v>1502.0063999999998</v>
      </c>
      <c r="X390" s="56">
        <f>IF(ISERROR(VLOOKUP($U$390,'TAR FIN'!$A$1:$O$113,15,0)),0,VLOOKUP($U$390,'TAR FIN'!$A$1:$O$113,15,0))*(1-0.04)</f>
        <v>350.88</v>
      </c>
      <c r="Y390" s="56"/>
      <c r="Z390" s="56">
        <f ca="1">('TUSD BE'!$AM$31+'TUSD BF'!$AM$31+'TUSD CVA'!$AM$31)*1*(1-0.02)</f>
        <v>1801.1318198709657</v>
      </c>
      <c r="AA390" s="56">
        <f>('TE BE'!$AA$10+'TE BF'!$AA$10+'TE CVA'!$AA$10)*1*(1-0.02)</f>
        <v>354.31913150043306</v>
      </c>
      <c r="AB390" s="56">
        <f>(SUBSIDIO!$J$390*SUBSIDIO!$V$390)*(0.04)/(1-0.04)</f>
        <v>0</v>
      </c>
      <c r="AC390" s="56">
        <f>((SUBSIDIO!$L$390*SUBSIDIO!$W$390)+(SUBSIDIO!$N$390*SUBSIDIO!$X$390))*(0.04)/(1-0.04)</f>
        <v>19.841325199999996</v>
      </c>
      <c r="AD390" s="56">
        <f>(SUBSIDIO!$J$390*SUBSIDIO!$Y$390)*(0.02)/(1-0.02)</f>
        <v>0</v>
      </c>
      <c r="AE390" s="56">
        <f ca="1">((SUBSIDIO!$L$390*SUBSIDIO!$Z$390)+(SUBSIDIO!$N$390*SUBSIDIO!$AA$390))*(0.02)/(1-0.02)</f>
        <v>11.305120295968356</v>
      </c>
      <c r="AF390" s="3" t="s">
        <v>1023</v>
      </c>
    </row>
    <row r="391" spans="1:32" ht="11.25" customHeight="1" x14ac:dyDescent="0.25">
      <c r="A391" s="3" t="s">
        <v>21</v>
      </c>
      <c r="B391" s="3" t="s">
        <v>41</v>
      </c>
      <c r="C391" s="3" t="s">
        <v>42</v>
      </c>
      <c r="D391" s="3" t="s">
        <v>45</v>
      </c>
      <c r="E391" s="3" t="s">
        <v>53</v>
      </c>
      <c r="F391" s="3" t="s">
        <v>25</v>
      </c>
      <c r="G391" s="3" t="s">
        <v>25</v>
      </c>
      <c r="H391" s="3" t="s">
        <v>34</v>
      </c>
      <c r="I391" s="6">
        <v>44593</v>
      </c>
      <c r="J391" s="4">
        <v>0</v>
      </c>
      <c r="K391" s="56">
        <v>0</v>
      </c>
      <c r="L391" s="4">
        <v>16.137</v>
      </c>
      <c r="M391" s="56">
        <v>16.137</v>
      </c>
      <c r="N391" s="4">
        <v>16.137</v>
      </c>
      <c r="O391" s="56">
        <v>16.137</v>
      </c>
      <c r="P391" s="4">
        <v>0</v>
      </c>
      <c r="Q391" s="3" t="s">
        <v>26</v>
      </c>
      <c r="R391" s="3">
        <v>0</v>
      </c>
      <c r="S391" s="3">
        <v>0</v>
      </c>
      <c r="T391" s="3">
        <v>20</v>
      </c>
      <c r="U391" s="3">
        <v>88</v>
      </c>
      <c r="V391" s="56">
        <f>IF(ISERROR(VLOOKUP($S$391,'TAR FIN'!$A$1:$O$113,15,0)),0,VLOOKUP($S$391,'TAR FIN'!$A$1:$O$113,15,0))</f>
        <v>0</v>
      </c>
      <c r="W391" s="56">
        <f>IF(ISERROR(VLOOKUP($T$391,'TAR FIN'!$A$1:$O$113,15,0)),0,VLOOKUP($T$391,'TAR FIN'!$A$1:$O$113,15,0))*(1-0.04)</f>
        <v>1502.0063999999998</v>
      </c>
      <c r="X391" s="56">
        <f>IF(ISERROR(VLOOKUP($U$391,'TAR FIN'!$A$1:$O$113,15,0)),0,VLOOKUP($U$391,'TAR FIN'!$A$1:$O$113,15,0))*(1-0.04)</f>
        <v>350.88</v>
      </c>
      <c r="Y391" s="56"/>
      <c r="Z391" s="56">
        <f ca="1">('TUSD BE'!$AM$31+'TUSD BF'!$AM$31+'TUSD CVA'!$AM$31)*1*(1-0.02)</f>
        <v>1801.1318198709657</v>
      </c>
      <c r="AA391" s="56">
        <f>('TE BE'!$AA$10+'TE BF'!$AA$10+'TE CVA'!$AA$10)*1*(1-0.02)</f>
        <v>354.31913150043306</v>
      </c>
      <c r="AB391" s="56">
        <f>(SUBSIDIO!$J$391*SUBSIDIO!$V$391)*(0.04)/(1-0.04)</f>
        <v>0</v>
      </c>
      <c r="AC391" s="56">
        <f>((SUBSIDIO!$L$391*SUBSIDIO!$W$391)+(SUBSIDIO!$N$391*SUBSIDIO!$X$391))*(0.04)/(1-0.04)</f>
        <v>1245.8344932</v>
      </c>
      <c r="AD391" s="56">
        <f>(SUBSIDIO!$J$391*SUBSIDIO!$Y$391)*(0.02)/(1-0.02)</f>
        <v>0</v>
      </c>
      <c r="AE391" s="56">
        <f ca="1">((SUBSIDIO!$L$391*SUBSIDIO!$Z$391)+(SUBSIDIO!$N$391*SUBSIDIO!$AA$391))*(0.02)/(1-0.02)</f>
        <v>709.84718372000543</v>
      </c>
      <c r="AF391" s="3" t="s">
        <v>1023</v>
      </c>
    </row>
    <row r="392" spans="1:32" ht="11.25" customHeight="1" x14ac:dyDescent="0.25">
      <c r="A392" s="3" t="s">
        <v>27</v>
      </c>
      <c r="B392" s="3" t="s">
        <v>41</v>
      </c>
      <c r="C392" s="3" t="s">
        <v>42</v>
      </c>
      <c r="D392" s="3" t="s">
        <v>45</v>
      </c>
      <c r="E392" s="3" t="s">
        <v>53</v>
      </c>
      <c r="F392" s="3" t="s">
        <v>25</v>
      </c>
      <c r="G392" s="3" t="s">
        <v>25</v>
      </c>
      <c r="H392" s="3" t="s">
        <v>34</v>
      </c>
      <c r="I392" s="6">
        <v>44593</v>
      </c>
      <c r="J392" s="4">
        <v>0</v>
      </c>
      <c r="K392" s="56">
        <v>0</v>
      </c>
      <c r="L392" s="4">
        <v>8.2000000000000003E-2</v>
      </c>
      <c r="M392" s="56">
        <v>8.2000000000000003E-2</v>
      </c>
      <c r="N392" s="4">
        <v>8.2000000000000003E-2</v>
      </c>
      <c r="O392" s="56">
        <v>8.2000000000000003E-2</v>
      </c>
      <c r="P392" s="4">
        <v>0</v>
      </c>
      <c r="Q392" s="3" t="s">
        <v>26</v>
      </c>
      <c r="R392" s="3">
        <v>0</v>
      </c>
      <c r="S392" s="3">
        <v>0</v>
      </c>
      <c r="T392" s="3">
        <v>20</v>
      </c>
      <c r="U392" s="3">
        <v>88</v>
      </c>
      <c r="V392" s="56">
        <f>IF(ISERROR(VLOOKUP($S$392,'TAR FIN'!$A$1:$O$113,15,0)),0,VLOOKUP($S$392,'TAR FIN'!$A$1:$O$113,15,0))</f>
        <v>0</v>
      </c>
      <c r="W392" s="56">
        <f>IF(ISERROR(VLOOKUP($T$392,'TAR FIN'!$A$1:$O$113,15,0)),0,VLOOKUP($T$392,'TAR FIN'!$A$1:$O$113,15,0))*(1-0.04)</f>
        <v>1502.0063999999998</v>
      </c>
      <c r="X392" s="56">
        <f>IF(ISERROR(VLOOKUP($U$392,'TAR FIN'!$A$1:$O$113,15,0)),0,VLOOKUP($U$392,'TAR FIN'!$A$1:$O$113,15,0))*(1-0.04)</f>
        <v>350.88</v>
      </c>
      <c r="Y392" s="56"/>
      <c r="Z392" s="56">
        <f ca="1">('TUSD BE'!$AM$31+'TUSD BF'!$AM$31+'TUSD CVA'!$AM$31)*1*(1-0.02)</f>
        <v>1801.1318198709657</v>
      </c>
      <c r="AA392" s="56">
        <f>('TE BE'!$AA$10+'TE BF'!$AA$10+'TE CVA'!$AA$10)*1*(1-0.02)</f>
        <v>354.31913150043306</v>
      </c>
      <c r="AB392" s="56">
        <f>(SUBSIDIO!$J$392*SUBSIDIO!$V$392)*(0.04)/(1-0.04)</f>
        <v>0</v>
      </c>
      <c r="AC392" s="56">
        <f>((SUBSIDIO!$L$392*SUBSIDIO!$W$392)+(SUBSIDIO!$N$392*SUBSIDIO!$X$392))*(0.04)/(1-0.04)</f>
        <v>6.3306951999999992</v>
      </c>
      <c r="AD392" s="56">
        <f>(SUBSIDIO!$J$392*SUBSIDIO!$Y$392)*(0.02)/(1-0.02)</f>
        <v>0</v>
      </c>
      <c r="AE392" s="56">
        <f ca="1">((SUBSIDIO!$L$392*SUBSIDIO!$Z$392)+(SUBSIDIO!$N$392*SUBSIDIO!$AA$392))*(0.02)/(1-0.02)</f>
        <v>3.6070811839276473</v>
      </c>
      <c r="AF392" s="3" t="s">
        <v>1023</v>
      </c>
    </row>
    <row r="393" spans="1:32" ht="11.25" customHeight="1" x14ac:dyDescent="0.25">
      <c r="A393" s="3" t="s">
        <v>28</v>
      </c>
      <c r="B393" s="3" t="s">
        <v>41</v>
      </c>
      <c r="C393" s="3" t="s">
        <v>42</v>
      </c>
      <c r="D393" s="3" t="s">
        <v>45</v>
      </c>
      <c r="E393" s="3" t="s">
        <v>53</v>
      </c>
      <c r="F393" s="3" t="s">
        <v>25</v>
      </c>
      <c r="G393" s="3" t="s">
        <v>25</v>
      </c>
      <c r="H393" s="3" t="s">
        <v>34</v>
      </c>
      <c r="I393" s="6">
        <v>44593</v>
      </c>
      <c r="J393" s="4">
        <v>0</v>
      </c>
      <c r="K393" s="56">
        <v>0</v>
      </c>
      <c r="L393" s="4">
        <v>0.38</v>
      </c>
      <c r="M393" s="56">
        <v>0.38</v>
      </c>
      <c r="N393" s="4">
        <v>0.38</v>
      </c>
      <c r="O393" s="56">
        <v>0.38</v>
      </c>
      <c r="P393" s="4">
        <v>0</v>
      </c>
      <c r="Q393" s="3" t="s">
        <v>26</v>
      </c>
      <c r="R393" s="3">
        <v>0</v>
      </c>
      <c r="S393" s="3">
        <v>0</v>
      </c>
      <c r="T393" s="3">
        <v>20</v>
      </c>
      <c r="U393" s="3">
        <v>88</v>
      </c>
      <c r="V393" s="56">
        <f>IF(ISERROR(VLOOKUP($S$393,'TAR FIN'!$A$1:$O$113,15,0)),0,VLOOKUP($S$393,'TAR FIN'!$A$1:$O$113,15,0))</f>
        <v>0</v>
      </c>
      <c r="W393" s="56">
        <f>IF(ISERROR(VLOOKUP($T$393,'TAR FIN'!$A$1:$O$113,15,0)),0,VLOOKUP($T$393,'TAR FIN'!$A$1:$O$113,15,0))*(1-0.04)</f>
        <v>1502.0063999999998</v>
      </c>
      <c r="X393" s="56">
        <f>IF(ISERROR(VLOOKUP($U$393,'TAR FIN'!$A$1:$O$113,15,0)),0,VLOOKUP($U$393,'TAR FIN'!$A$1:$O$113,15,0))*(1-0.04)</f>
        <v>350.88</v>
      </c>
      <c r="Y393" s="56"/>
      <c r="Z393" s="56">
        <f ca="1">('TUSD BE'!$AM$31+'TUSD BF'!$AM$31+'TUSD CVA'!$AM$31)*1*(1-0.02)</f>
        <v>1801.1318198709657</v>
      </c>
      <c r="AA393" s="56">
        <f>('TE BE'!$AA$10+'TE BF'!$AA$10+'TE CVA'!$AA$10)*1*(1-0.02)</f>
        <v>354.31913150043306</v>
      </c>
      <c r="AB393" s="56">
        <f>(SUBSIDIO!$J$393*SUBSIDIO!$V$393)*(0.04)/(1-0.04)</f>
        <v>0</v>
      </c>
      <c r="AC393" s="56">
        <f>((SUBSIDIO!$L$393*SUBSIDIO!$W$393)+(SUBSIDIO!$N$393*SUBSIDIO!$X$393))*(0.04)/(1-0.04)</f>
        <v>29.337367999999994</v>
      </c>
      <c r="AD393" s="56">
        <f>(SUBSIDIO!$J$393*SUBSIDIO!$Y$393)*(0.02)/(1-0.02)</f>
        <v>0</v>
      </c>
      <c r="AE393" s="56">
        <f ca="1">((SUBSIDIO!$L$393*SUBSIDIO!$Z$393)+(SUBSIDIO!$N$393*SUBSIDIO!$AA$393))*(0.02)/(1-0.02)</f>
        <v>16.715742071859829</v>
      </c>
      <c r="AF393" s="3" t="s">
        <v>1023</v>
      </c>
    </row>
    <row r="394" spans="1:32" ht="11.25" customHeight="1" x14ac:dyDescent="0.25">
      <c r="A394" s="3" t="s">
        <v>56</v>
      </c>
      <c r="B394" s="3" t="s">
        <v>41</v>
      </c>
      <c r="C394" s="3" t="s">
        <v>42</v>
      </c>
      <c r="D394" s="3" t="s">
        <v>45</v>
      </c>
      <c r="E394" s="3" t="s">
        <v>53</v>
      </c>
      <c r="F394" s="3" t="s">
        <v>25</v>
      </c>
      <c r="G394" s="3" t="s">
        <v>25</v>
      </c>
      <c r="H394" s="3" t="s">
        <v>34</v>
      </c>
      <c r="I394" s="6">
        <v>44621</v>
      </c>
      <c r="J394" s="4">
        <v>0</v>
      </c>
      <c r="K394" s="56">
        <v>0</v>
      </c>
      <c r="L394" s="4">
        <v>16.137</v>
      </c>
      <c r="M394" s="56">
        <v>16.137</v>
      </c>
      <c r="N394" s="4">
        <v>16.137</v>
      </c>
      <c r="O394" s="56">
        <v>16.137</v>
      </c>
      <c r="P394" s="4">
        <v>0</v>
      </c>
      <c r="Q394" s="3" t="s">
        <v>26</v>
      </c>
      <c r="R394" s="3">
        <v>0</v>
      </c>
      <c r="S394" s="3">
        <v>0</v>
      </c>
      <c r="T394" s="3">
        <v>20</v>
      </c>
      <c r="U394" s="3">
        <v>88</v>
      </c>
      <c r="V394" s="56">
        <f>IF(ISERROR(VLOOKUP($S$394,'TAR FIN'!$A$1:$O$113,15,0)),0,VLOOKUP($S$394,'TAR FIN'!$A$1:$O$113,15,0))</f>
        <v>0</v>
      </c>
      <c r="W394" s="56">
        <f>IF(ISERROR(VLOOKUP($T$394,'TAR FIN'!$A$1:$O$113,15,0)),0,VLOOKUP($T$394,'TAR FIN'!$A$1:$O$113,15,0))*(1-0.04)</f>
        <v>1502.0063999999998</v>
      </c>
      <c r="X394" s="56">
        <f>IF(ISERROR(VLOOKUP($U$394,'TAR FIN'!$A$1:$O$113,15,0)),0,VLOOKUP($U$394,'TAR FIN'!$A$1:$O$113,15,0))*(1-0.04)</f>
        <v>350.88</v>
      </c>
      <c r="Y394" s="56"/>
      <c r="Z394" s="56">
        <f ca="1">('TUSD BE'!$AM$31+'TUSD BF'!$AM$31+'TUSD CVA'!$AM$31)*1*(1-0.02)</f>
        <v>1801.1318198709657</v>
      </c>
      <c r="AA394" s="56">
        <f>('TE BE'!$AA$10+'TE BF'!$AA$10+'TE CVA'!$AA$10)*1*(1-0.02)</f>
        <v>354.31913150043306</v>
      </c>
      <c r="AB394" s="56">
        <f>(SUBSIDIO!$J$394*SUBSIDIO!$V$394)*(0.04)/(1-0.04)</f>
        <v>0</v>
      </c>
      <c r="AC394" s="56">
        <f>((SUBSIDIO!$L$394*SUBSIDIO!$W$394)+(SUBSIDIO!$N$394*SUBSIDIO!$X$394))*(0.04)/(1-0.04)</f>
        <v>1245.8344932</v>
      </c>
      <c r="AD394" s="56">
        <f>(SUBSIDIO!$J$394*SUBSIDIO!$Y$394)*(0.02)/(1-0.02)</f>
        <v>0</v>
      </c>
      <c r="AE394" s="56">
        <f ca="1">((SUBSIDIO!$L$394*SUBSIDIO!$Z$394)+(SUBSIDIO!$N$394*SUBSIDIO!$AA$394))*(0.02)/(1-0.02)</f>
        <v>709.84718372000543</v>
      </c>
      <c r="AF394" s="3" t="s">
        <v>1023</v>
      </c>
    </row>
    <row r="395" spans="1:32" ht="11.25" customHeight="1" x14ac:dyDescent="0.25">
      <c r="A395" s="3" t="s">
        <v>56</v>
      </c>
      <c r="B395" s="3" t="s">
        <v>41</v>
      </c>
      <c r="C395" s="3" t="s">
        <v>42</v>
      </c>
      <c r="D395" s="3" t="s">
        <v>45</v>
      </c>
      <c r="E395" s="3" t="s">
        <v>53</v>
      </c>
      <c r="F395" s="3" t="s">
        <v>25</v>
      </c>
      <c r="G395" s="3" t="s">
        <v>25</v>
      </c>
      <c r="H395" s="3" t="s">
        <v>34</v>
      </c>
      <c r="I395" s="6">
        <v>44621</v>
      </c>
      <c r="J395" s="4">
        <v>0</v>
      </c>
      <c r="K395" s="56">
        <v>0</v>
      </c>
      <c r="L395" s="4">
        <v>8.2000000000000003E-2</v>
      </c>
      <c r="M395" s="56">
        <v>8.2000000000000003E-2</v>
      </c>
      <c r="N395" s="4">
        <v>8.2000000000000003E-2</v>
      </c>
      <c r="O395" s="56">
        <v>8.2000000000000003E-2</v>
      </c>
      <c r="P395" s="4">
        <v>0</v>
      </c>
      <c r="Q395" s="3" t="s">
        <v>26</v>
      </c>
      <c r="R395" s="3">
        <v>0</v>
      </c>
      <c r="S395" s="3">
        <v>0</v>
      </c>
      <c r="T395" s="3">
        <v>20</v>
      </c>
      <c r="U395" s="3">
        <v>88</v>
      </c>
      <c r="V395" s="56">
        <f>IF(ISERROR(VLOOKUP($S$395,'TAR FIN'!$A$1:$O$113,15,0)),0,VLOOKUP($S$395,'TAR FIN'!$A$1:$O$113,15,0))</f>
        <v>0</v>
      </c>
      <c r="W395" s="56">
        <f>IF(ISERROR(VLOOKUP($T$395,'TAR FIN'!$A$1:$O$113,15,0)),0,VLOOKUP($T$395,'TAR FIN'!$A$1:$O$113,15,0))*(1-0.04)</f>
        <v>1502.0063999999998</v>
      </c>
      <c r="X395" s="56">
        <f>IF(ISERROR(VLOOKUP($U$395,'TAR FIN'!$A$1:$O$113,15,0)),0,VLOOKUP($U$395,'TAR FIN'!$A$1:$O$113,15,0))*(1-0.04)</f>
        <v>350.88</v>
      </c>
      <c r="Y395" s="56"/>
      <c r="Z395" s="56">
        <f ca="1">('TUSD BE'!$AM$31+'TUSD BF'!$AM$31+'TUSD CVA'!$AM$31)*1*(1-0.02)</f>
        <v>1801.1318198709657</v>
      </c>
      <c r="AA395" s="56">
        <f>('TE BE'!$AA$10+'TE BF'!$AA$10+'TE CVA'!$AA$10)*1*(1-0.02)</f>
        <v>354.31913150043306</v>
      </c>
      <c r="AB395" s="56">
        <f>(SUBSIDIO!$J$395*SUBSIDIO!$V$395)*(0.04)/(1-0.04)</f>
        <v>0</v>
      </c>
      <c r="AC395" s="56">
        <f>((SUBSIDIO!$L$395*SUBSIDIO!$W$395)+(SUBSIDIO!$N$395*SUBSIDIO!$X$395))*(0.04)/(1-0.04)</f>
        <v>6.3306951999999992</v>
      </c>
      <c r="AD395" s="56">
        <f>(SUBSIDIO!$J$395*SUBSIDIO!$Y$395)*(0.02)/(1-0.02)</f>
        <v>0</v>
      </c>
      <c r="AE395" s="56">
        <f ca="1">((SUBSIDIO!$L$395*SUBSIDIO!$Z$395)+(SUBSIDIO!$N$395*SUBSIDIO!$AA$395))*(0.02)/(1-0.02)</f>
        <v>3.6070811839276473</v>
      </c>
      <c r="AF395" s="3" t="s">
        <v>1023</v>
      </c>
    </row>
    <row r="396" spans="1:32" ht="11.25" customHeight="1" x14ac:dyDescent="0.25">
      <c r="A396" s="3" t="s">
        <v>56</v>
      </c>
      <c r="B396" s="3" t="s">
        <v>41</v>
      </c>
      <c r="C396" s="3" t="s">
        <v>42</v>
      </c>
      <c r="D396" s="3" t="s">
        <v>45</v>
      </c>
      <c r="E396" s="3" t="s">
        <v>53</v>
      </c>
      <c r="F396" s="3" t="s">
        <v>25</v>
      </c>
      <c r="G396" s="3" t="s">
        <v>25</v>
      </c>
      <c r="H396" s="3" t="s">
        <v>34</v>
      </c>
      <c r="I396" s="6">
        <v>44621</v>
      </c>
      <c r="J396" s="4">
        <v>0</v>
      </c>
      <c r="K396" s="56">
        <v>0</v>
      </c>
      <c r="L396" s="4">
        <v>0.38</v>
      </c>
      <c r="M396" s="56">
        <v>0.38</v>
      </c>
      <c r="N396" s="4">
        <v>0.38</v>
      </c>
      <c r="O396" s="56">
        <v>0.38</v>
      </c>
      <c r="P396" s="4">
        <v>0</v>
      </c>
      <c r="Q396" s="3" t="s">
        <v>26</v>
      </c>
      <c r="R396" s="3">
        <v>0</v>
      </c>
      <c r="S396" s="3">
        <v>0</v>
      </c>
      <c r="T396" s="3">
        <v>20</v>
      </c>
      <c r="U396" s="3">
        <v>88</v>
      </c>
      <c r="V396" s="56">
        <f>IF(ISERROR(VLOOKUP($S$396,'TAR FIN'!$A$1:$O$113,15,0)),0,VLOOKUP($S$396,'TAR FIN'!$A$1:$O$113,15,0))</f>
        <v>0</v>
      </c>
      <c r="W396" s="56">
        <f>IF(ISERROR(VLOOKUP($T$396,'TAR FIN'!$A$1:$O$113,15,0)),0,VLOOKUP($T$396,'TAR FIN'!$A$1:$O$113,15,0))*(1-0.04)</f>
        <v>1502.0063999999998</v>
      </c>
      <c r="X396" s="56">
        <f>IF(ISERROR(VLOOKUP($U$396,'TAR FIN'!$A$1:$O$113,15,0)),0,VLOOKUP($U$396,'TAR FIN'!$A$1:$O$113,15,0))*(1-0.04)</f>
        <v>350.88</v>
      </c>
      <c r="Y396" s="56"/>
      <c r="Z396" s="56">
        <f ca="1">('TUSD BE'!$AM$31+'TUSD BF'!$AM$31+'TUSD CVA'!$AM$31)*1*(1-0.02)</f>
        <v>1801.1318198709657</v>
      </c>
      <c r="AA396" s="56">
        <f>('TE BE'!$AA$10+'TE BF'!$AA$10+'TE CVA'!$AA$10)*1*(1-0.02)</f>
        <v>354.31913150043306</v>
      </c>
      <c r="AB396" s="56">
        <f>(SUBSIDIO!$J$396*SUBSIDIO!$V$396)*(0.04)/(1-0.04)</f>
        <v>0</v>
      </c>
      <c r="AC396" s="56">
        <f>((SUBSIDIO!$L$396*SUBSIDIO!$W$396)+(SUBSIDIO!$N$396*SUBSIDIO!$X$396))*(0.04)/(1-0.04)</f>
        <v>29.337367999999994</v>
      </c>
      <c r="AD396" s="56">
        <f>(SUBSIDIO!$J$396*SUBSIDIO!$Y$396)*(0.02)/(1-0.02)</f>
        <v>0</v>
      </c>
      <c r="AE396" s="56">
        <f ca="1">((SUBSIDIO!$L$396*SUBSIDIO!$Z$396)+(SUBSIDIO!$N$396*SUBSIDIO!$AA$396))*(0.02)/(1-0.02)</f>
        <v>16.715742071859829</v>
      </c>
      <c r="AF396" s="3" t="s">
        <v>1023</v>
      </c>
    </row>
    <row r="397" spans="1:32" ht="11.25" customHeight="1" x14ac:dyDescent="0.25">
      <c r="A397" s="3" t="s">
        <v>21</v>
      </c>
      <c r="B397" s="3" t="s">
        <v>41</v>
      </c>
      <c r="C397" s="3" t="s">
        <v>42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35</v>
      </c>
      <c r="I397" s="6">
        <v>44287</v>
      </c>
      <c r="J397" s="4">
        <v>0</v>
      </c>
      <c r="K397" s="56">
        <v>0</v>
      </c>
      <c r="L397" s="4">
        <v>1374.3910000000001</v>
      </c>
      <c r="M397" s="56">
        <v>1374.3910000000001</v>
      </c>
      <c r="N397" s="4">
        <v>1374.3910000000001</v>
      </c>
      <c r="O397" s="56">
        <v>1374.3910000000001</v>
      </c>
      <c r="P397" s="4">
        <v>0</v>
      </c>
      <c r="Q397" s="3" t="s">
        <v>26</v>
      </c>
      <c r="R397" s="3">
        <v>0</v>
      </c>
      <c r="S397" s="3">
        <v>0</v>
      </c>
      <c r="T397" s="3">
        <v>21</v>
      </c>
      <c r="U397" s="3">
        <v>89</v>
      </c>
      <c r="V397" s="56">
        <f>IF(ISERROR(VLOOKUP($S$397,'TAR FIN'!$A$1:$O$113,15,0)),0,VLOOKUP($S$397,'TAR FIN'!$A$1:$O$113,15,0))</f>
        <v>0</v>
      </c>
      <c r="W397" s="56">
        <f>IF(ISERROR(VLOOKUP($T$397,'TAR FIN'!$A$1:$O$113,15,0)),0,VLOOKUP($T$397,'TAR FIN'!$A$1:$O$113,15,0))*(1-0.04)</f>
        <v>49.219200000000001</v>
      </c>
      <c r="X397" s="56">
        <f>IF(ISERROR(VLOOKUP($U$397,'TAR FIN'!$A$1:$O$113,15,0)),0,VLOOKUP($U$397,'TAR FIN'!$A$1:$O$113,15,0))*(1-0.04)</f>
        <v>213.41759999999999</v>
      </c>
      <c r="Y397" s="56"/>
      <c r="Z397" s="56">
        <f ca="1">('TUSD BE'!$AM$32+'TUSD BF'!$AM$32+'TUSD CVA'!$AM$32)*1*(1-0.02)</f>
        <v>63.70726143397826</v>
      </c>
      <c r="AA397" s="56">
        <f>('TE BE'!$AA$11+'TE BF'!$AA$11+'TE CVA'!$AA$11)*1*(1-0.02)</f>
        <v>218.68270575803808</v>
      </c>
      <c r="AB397" s="56">
        <f>(SUBSIDIO!$J$397*SUBSIDIO!$V$397)*(0.04)/(1-0.04)</f>
        <v>0</v>
      </c>
      <c r="AC397" s="56">
        <f>((SUBSIDIO!$L$397*SUBSIDIO!$W$397)+(SUBSIDIO!$N$397*SUBSIDIO!$X$397))*(0.04)/(1-0.04)</f>
        <v>15040.235591200002</v>
      </c>
      <c r="AD397" s="56">
        <f>(SUBSIDIO!$J$397*SUBSIDIO!$Y$397)*(0.02)/(1-0.02)</f>
        <v>0</v>
      </c>
      <c r="AE397" s="56">
        <f ca="1">((SUBSIDIO!$L$397*SUBSIDIO!$Z$397)+(SUBSIDIO!$N$397*SUBSIDIO!$AA$397))*(0.02)/(1-0.02)</f>
        <v>7920.6985591633174</v>
      </c>
      <c r="AF397" s="3" t="s">
        <v>1023</v>
      </c>
    </row>
    <row r="398" spans="1:32" ht="11.25" customHeight="1" x14ac:dyDescent="0.25">
      <c r="A398" s="3" t="s">
        <v>21</v>
      </c>
      <c r="B398" s="3" t="s">
        <v>41</v>
      </c>
      <c r="C398" s="3" t="s">
        <v>42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35</v>
      </c>
      <c r="I398" s="6">
        <v>44317</v>
      </c>
      <c r="J398" s="4">
        <v>0</v>
      </c>
      <c r="K398" s="56">
        <v>0</v>
      </c>
      <c r="L398" s="4">
        <v>782.78499999999997</v>
      </c>
      <c r="M398" s="56">
        <v>782.78499999999997</v>
      </c>
      <c r="N398" s="4">
        <v>782.78499999999997</v>
      </c>
      <c r="O398" s="56">
        <v>782.78499999999997</v>
      </c>
      <c r="P398" s="4">
        <v>0</v>
      </c>
      <c r="Q398" s="3" t="s">
        <v>26</v>
      </c>
      <c r="R398" s="3">
        <v>0</v>
      </c>
      <c r="S398" s="3">
        <v>0</v>
      </c>
      <c r="T398" s="3">
        <v>21</v>
      </c>
      <c r="U398" s="3">
        <v>89</v>
      </c>
      <c r="V398" s="56">
        <f>IF(ISERROR(VLOOKUP($S$398,'TAR FIN'!$A$1:$O$113,15,0)),0,VLOOKUP($S$398,'TAR FIN'!$A$1:$O$113,15,0))</f>
        <v>0</v>
      </c>
      <c r="W398" s="56">
        <f>IF(ISERROR(VLOOKUP($T$398,'TAR FIN'!$A$1:$O$113,15,0)),0,VLOOKUP($T$398,'TAR FIN'!$A$1:$O$113,15,0))*(1-0.04)</f>
        <v>49.219200000000001</v>
      </c>
      <c r="X398" s="56">
        <f>IF(ISERROR(VLOOKUP($U$398,'TAR FIN'!$A$1:$O$113,15,0)),0,VLOOKUP($U$398,'TAR FIN'!$A$1:$O$113,15,0))*(1-0.04)</f>
        <v>213.41759999999999</v>
      </c>
      <c r="Y398" s="56"/>
      <c r="Z398" s="56">
        <f ca="1">('TUSD BE'!$AM$32+'TUSD BF'!$AM$32+'TUSD CVA'!$AM$32)*1*(1-0.02)</f>
        <v>63.70726143397826</v>
      </c>
      <c r="AA398" s="56">
        <f>('TE BE'!$AA$11+'TE BF'!$AA$11+'TE CVA'!$AA$11)*1*(1-0.02)</f>
        <v>218.68270575803808</v>
      </c>
      <c r="AB398" s="56">
        <f>(SUBSIDIO!$J$398*SUBSIDIO!$V$398)*(0.04)/(1-0.04)</f>
        <v>0</v>
      </c>
      <c r="AC398" s="56">
        <f>((SUBSIDIO!$L$398*SUBSIDIO!$W$398)+(SUBSIDIO!$N$398*SUBSIDIO!$X$398))*(0.04)/(1-0.04)</f>
        <v>8566.1728120000007</v>
      </c>
      <c r="AD398" s="56">
        <f>(SUBSIDIO!$J$398*SUBSIDIO!$Y$398)*(0.02)/(1-0.02)</f>
        <v>0</v>
      </c>
      <c r="AE398" s="56">
        <f ca="1">((SUBSIDIO!$L$398*SUBSIDIO!$Z$398)+(SUBSIDIO!$N$398*SUBSIDIO!$AA$398))*(0.02)/(1-0.02)</f>
        <v>4511.2373564980107</v>
      </c>
      <c r="AF398" s="3" t="s">
        <v>1023</v>
      </c>
    </row>
    <row r="399" spans="1:32" ht="11.25" customHeight="1" x14ac:dyDescent="0.25">
      <c r="A399" s="3" t="s">
        <v>27</v>
      </c>
      <c r="B399" s="3" t="s">
        <v>41</v>
      </c>
      <c r="C399" s="3" t="s">
        <v>42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44317</v>
      </c>
      <c r="J399" s="4">
        <v>0</v>
      </c>
      <c r="K399" s="56">
        <v>0</v>
      </c>
      <c r="L399" s="4">
        <v>0.96</v>
      </c>
      <c r="M399" s="56">
        <v>0.96</v>
      </c>
      <c r="N399" s="4">
        <v>0.96</v>
      </c>
      <c r="O399" s="56">
        <v>0.96</v>
      </c>
      <c r="P399" s="4">
        <v>0</v>
      </c>
      <c r="Q399" s="3" t="s">
        <v>26</v>
      </c>
      <c r="R399" s="3">
        <v>0</v>
      </c>
      <c r="S399" s="3">
        <v>0</v>
      </c>
      <c r="T399" s="3">
        <v>21</v>
      </c>
      <c r="U399" s="3">
        <v>89</v>
      </c>
      <c r="V399" s="56">
        <f>IF(ISERROR(VLOOKUP($S$399,'TAR FIN'!$A$1:$O$113,15,0)),0,VLOOKUP($S$399,'TAR FIN'!$A$1:$O$113,15,0))</f>
        <v>0</v>
      </c>
      <c r="W399" s="56">
        <f>IF(ISERROR(VLOOKUP($T$399,'TAR FIN'!$A$1:$O$113,15,0)),0,VLOOKUP($T$399,'TAR FIN'!$A$1:$O$113,15,0))*(1-0.04)</f>
        <v>49.219200000000001</v>
      </c>
      <c r="X399" s="56">
        <f>IF(ISERROR(VLOOKUP($U$399,'TAR FIN'!$A$1:$O$113,15,0)),0,VLOOKUP($U$399,'TAR FIN'!$A$1:$O$113,15,0))*(1-0.04)</f>
        <v>213.41759999999999</v>
      </c>
      <c r="Y399" s="56"/>
      <c r="Z399" s="56">
        <f ca="1">('TUSD BE'!$AM$32+'TUSD BF'!$AM$32+'TUSD CVA'!$AM$32)*1*(1-0.02)</f>
        <v>63.70726143397826</v>
      </c>
      <c r="AA399" s="56">
        <f>('TE BE'!$AA$11+'TE BF'!$AA$11+'TE CVA'!$AA$11)*1*(1-0.02)</f>
        <v>218.68270575803808</v>
      </c>
      <c r="AB399" s="56">
        <f>(SUBSIDIO!$J$399*SUBSIDIO!$V$399)*(0.04)/(1-0.04)</f>
        <v>0</v>
      </c>
      <c r="AC399" s="56">
        <f>((SUBSIDIO!$L$399*SUBSIDIO!$W$399)+(SUBSIDIO!$N$399*SUBSIDIO!$X$399))*(0.04)/(1-0.04)</f>
        <v>10.505471999999999</v>
      </c>
      <c r="AD399" s="56">
        <f>(SUBSIDIO!$J$399*SUBSIDIO!$Y$399)*(0.02)/(1-0.02)</f>
        <v>0</v>
      </c>
      <c r="AE399" s="56">
        <f ca="1">((SUBSIDIO!$L$399*SUBSIDIO!$Z$399)+(SUBSIDIO!$N$399*SUBSIDIO!$AA$399))*(0.02)/(1-0.02)</f>
        <v>5.5325381327415455</v>
      </c>
      <c r="AF399" s="3" t="s">
        <v>1023</v>
      </c>
    </row>
    <row r="400" spans="1:32" ht="11.25" customHeight="1" x14ac:dyDescent="0.25">
      <c r="A400" s="3" t="s">
        <v>28</v>
      </c>
      <c r="B400" s="3" t="s">
        <v>41</v>
      </c>
      <c r="C400" s="3" t="s">
        <v>42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44317</v>
      </c>
      <c r="J400" s="4">
        <v>0</v>
      </c>
      <c r="K400" s="56">
        <v>0</v>
      </c>
      <c r="L400" s="4">
        <v>19.867999999999999</v>
      </c>
      <c r="M400" s="56">
        <v>19.867999999999999</v>
      </c>
      <c r="N400" s="4">
        <v>19.867999999999999</v>
      </c>
      <c r="O400" s="56">
        <v>19.867999999999999</v>
      </c>
      <c r="P400" s="4">
        <v>0</v>
      </c>
      <c r="Q400" s="3" t="s">
        <v>26</v>
      </c>
      <c r="R400" s="3">
        <v>0</v>
      </c>
      <c r="S400" s="3">
        <v>0</v>
      </c>
      <c r="T400" s="3">
        <v>21</v>
      </c>
      <c r="U400" s="3">
        <v>89</v>
      </c>
      <c r="V400" s="56">
        <f>IF(ISERROR(VLOOKUP($S$400,'TAR FIN'!$A$1:$O$113,15,0)),0,VLOOKUP($S$400,'TAR FIN'!$A$1:$O$113,15,0))</f>
        <v>0</v>
      </c>
      <c r="W400" s="56">
        <f>IF(ISERROR(VLOOKUP($T$400,'TAR FIN'!$A$1:$O$113,15,0)),0,VLOOKUP($T$400,'TAR FIN'!$A$1:$O$113,15,0))*(1-0.04)</f>
        <v>49.219200000000001</v>
      </c>
      <c r="X400" s="56">
        <f>IF(ISERROR(VLOOKUP($U$400,'TAR FIN'!$A$1:$O$113,15,0)),0,VLOOKUP($U$400,'TAR FIN'!$A$1:$O$113,15,0))*(1-0.04)</f>
        <v>213.41759999999999</v>
      </c>
      <c r="Y400" s="56"/>
      <c r="Z400" s="56">
        <f ca="1">('TUSD BE'!$AM$32+'TUSD BF'!$AM$32+'TUSD CVA'!$AM$32)*1*(1-0.02)</f>
        <v>63.70726143397826</v>
      </c>
      <c r="AA400" s="56">
        <f>('TE BE'!$AA$11+'TE BF'!$AA$11+'TE CVA'!$AA$11)*1*(1-0.02)</f>
        <v>218.68270575803808</v>
      </c>
      <c r="AB400" s="56">
        <f>(SUBSIDIO!$J$400*SUBSIDIO!$V$400)*(0.04)/(1-0.04)</f>
        <v>0</v>
      </c>
      <c r="AC400" s="56">
        <f>((SUBSIDIO!$L$400*SUBSIDIO!$W$400)+(SUBSIDIO!$N$400*SUBSIDIO!$X$400))*(0.04)/(1-0.04)</f>
        <v>217.41949759999997</v>
      </c>
      <c r="AD400" s="56">
        <f>(SUBSIDIO!$J$400*SUBSIDIO!$Y$400)*(0.02)/(1-0.02)</f>
        <v>0</v>
      </c>
      <c r="AE400" s="56">
        <f ca="1">((SUBSIDIO!$L$400*SUBSIDIO!$Z$400)+(SUBSIDIO!$N$400*SUBSIDIO!$AA$400))*(0.02)/(1-0.02)</f>
        <v>114.50048710553021</v>
      </c>
      <c r="AF400" s="3" t="s">
        <v>1023</v>
      </c>
    </row>
    <row r="401" spans="1:32" ht="11.25" customHeight="1" x14ac:dyDescent="0.25">
      <c r="A401" s="3" t="s">
        <v>21</v>
      </c>
      <c r="B401" s="3" t="s">
        <v>41</v>
      </c>
      <c r="C401" s="3" t="s">
        <v>42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44348</v>
      </c>
      <c r="J401" s="4">
        <v>0</v>
      </c>
      <c r="K401" s="56">
        <v>0</v>
      </c>
      <c r="L401" s="4">
        <v>797.85900000000004</v>
      </c>
      <c r="M401" s="56">
        <v>797.85900000000004</v>
      </c>
      <c r="N401" s="4">
        <v>797.85900000000004</v>
      </c>
      <c r="O401" s="56">
        <v>797.85900000000004</v>
      </c>
      <c r="P401" s="4">
        <v>0</v>
      </c>
      <c r="Q401" s="3" t="s">
        <v>26</v>
      </c>
      <c r="R401" s="3">
        <v>0</v>
      </c>
      <c r="S401" s="3">
        <v>0</v>
      </c>
      <c r="T401" s="3">
        <v>21</v>
      </c>
      <c r="U401" s="3">
        <v>89</v>
      </c>
      <c r="V401" s="56">
        <f>IF(ISERROR(VLOOKUP($S$401,'TAR FIN'!$A$1:$O$113,15,0)),0,VLOOKUP($S$401,'TAR FIN'!$A$1:$O$113,15,0))</f>
        <v>0</v>
      </c>
      <c r="W401" s="56">
        <f>IF(ISERROR(VLOOKUP($T$401,'TAR FIN'!$A$1:$O$113,15,0)),0,VLOOKUP($T$401,'TAR FIN'!$A$1:$O$113,15,0))*(1-0.04)</f>
        <v>49.219200000000001</v>
      </c>
      <c r="X401" s="56">
        <f>IF(ISERROR(VLOOKUP($U$401,'TAR FIN'!$A$1:$O$113,15,0)),0,VLOOKUP($U$401,'TAR FIN'!$A$1:$O$113,15,0))*(1-0.04)</f>
        <v>213.41759999999999</v>
      </c>
      <c r="Y401" s="56"/>
      <c r="Z401" s="56">
        <f ca="1">('TUSD BE'!$AM$32+'TUSD BF'!$AM$32+'TUSD CVA'!$AM$32)*1*(1-0.02)</f>
        <v>63.70726143397826</v>
      </c>
      <c r="AA401" s="56">
        <f>('TE BE'!$AA$11+'TE BF'!$AA$11+'TE CVA'!$AA$11)*1*(1-0.02)</f>
        <v>218.68270575803808</v>
      </c>
      <c r="AB401" s="56">
        <f>(SUBSIDIO!$J$401*SUBSIDIO!$V$401)*(0.04)/(1-0.04)</f>
        <v>0</v>
      </c>
      <c r="AC401" s="56">
        <f>((SUBSIDIO!$L$401*SUBSIDIO!$W$401)+(SUBSIDIO!$N$401*SUBSIDIO!$X$401))*(0.04)/(1-0.04)</f>
        <v>8731.1306088000001</v>
      </c>
      <c r="AD401" s="56">
        <f>(SUBSIDIO!$J$401*SUBSIDIO!$Y$401)*(0.02)/(1-0.02)</f>
        <v>0</v>
      </c>
      <c r="AE401" s="56">
        <f ca="1">((SUBSIDIO!$L$401*SUBSIDIO!$Z$401)+(SUBSIDIO!$N$401*SUBSIDIO!$AA$401))*(0.02)/(1-0.02)</f>
        <v>4598.1097313031623</v>
      </c>
      <c r="AF401" s="3" t="s">
        <v>1023</v>
      </c>
    </row>
    <row r="402" spans="1:32" ht="11.25" customHeight="1" x14ac:dyDescent="0.25">
      <c r="A402" s="3" t="s">
        <v>28</v>
      </c>
      <c r="B402" s="3" t="s">
        <v>41</v>
      </c>
      <c r="C402" s="3" t="s">
        <v>42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44348</v>
      </c>
      <c r="J402" s="4">
        <v>0</v>
      </c>
      <c r="K402" s="56">
        <v>0</v>
      </c>
      <c r="L402" s="4">
        <v>18.321000000000002</v>
      </c>
      <c r="M402" s="56">
        <v>18.321000000000002</v>
      </c>
      <c r="N402" s="4">
        <v>18.321000000000002</v>
      </c>
      <c r="O402" s="56">
        <v>18.321000000000002</v>
      </c>
      <c r="P402" s="4">
        <v>0</v>
      </c>
      <c r="Q402" s="3" t="s">
        <v>26</v>
      </c>
      <c r="R402" s="3">
        <v>0</v>
      </c>
      <c r="S402" s="3">
        <v>0</v>
      </c>
      <c r="T402" s="3">
        <v>21</v>
      </c>
      <c r="U402" s="3">
        <v>89</v>
      </c>
      <c r="V402" s="56">
        <f>IF(ISERROR(VLOOKUP($S$402,'TAR FIN'!$A$1:$O$113,15,0)),0,VLOOKUP($S$402,'TAR FIN'!$A$1:$O$113,15,0))</f>
        <v>0</v>
      </c>
      <c r="W402" s="56">
        <f>IF(ISERROR(VLOOKUP($T$402,'TAR FIN'!$A$1:$O$113,15,0)),0,VLOOKUP($T$402,'TAR FIN'!$A$1:$O$113,15,0))*(1-0.04)</f>
        <v>49.219200000000001</v>
      </c>
      <c r="X402" s="56">
        <f>IF(ISERROR(VLOOKUP($U$402,'TAR FIN'!$A$1:$O$113,15,0)),0,VLOOKUP($U$402,'TAR FIN'!$A$1:$O$113,15,0))*(1-0.04)</f>
        <v>213.41759999999999</v>
      </c>
      <c r="Y402" s="56"/>
      <c r="Z402" s="56">
        <f ca="1">('TUSD BE'!$AM$32+'TUSD BF'!$AM$32+'TUSD CVA'!$AM$32)*1*(1-0.02)</f>
        <v>63.70726143397826</v>
      </c>
      <c r="AA402" s="56">
        <f>('TE BE'!$AA$11+'TE BF'!$AA$11+'TE CVA'!$AA$11)*1*(1-0.02)</f>
        <v>218.68270575803808</v>
      </c>
      <c r="AB402" s="56">
        <f>(SUBSIDIO!$J$402*SUBSIDIO!$V$402)*(0.04)/(1-0.04)</f>
        <v>0</v>
      </c>
      <c r="AC402" s="56">
        <f>((SUBSIDIO!$L$402*SUBSIDIO!$W$402)+(SUBSIDIO!$N$402*SUBSIDIO!$X$402))*(0.04)/(1-0.04)</f>
        <v>200.49036720000001</v>
      </c>
      <c r="AD402" s="56">
        <f>(SUBSIDIO!$J$402*SUBSIDIO!$Y$402)*(0.02)/(1-0.02)</f>
        <v>0</v>
      </c>
      <c r="AE402" s="56">
        <f ca="1">((SUBSIDIO!$L$402*SUBSIDIO!$Z$402)+(SUBSIDIO!$N$402*SUBSIDIO!$AA$402))*(0.02)/(1-0.02)</f>
        <v>105.58503242703942</v>
      </c>
      <c r="AF402" s="3" t="s">
        <v>1023</v>
      </c>
    </row>
    <row r="403" spans="1:32" ht="11.25" customHeight="1" x14ac:dyDescent="0.25">
      <c r="A403" s="3" t="s">
        <v>21</v>
      </c>
      <c r="B403" s="3" t="s">
        <v>41</v>
      </c>
      <c r="C403" s="3" t="s">
        <v>42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44378</v>
      </c>
      <c r="J403" s="4">
        <v>0</v>
      </c>
      <c r="K403" s="56">
        <v>0</v>
      </c>
      <c r="L403" s="4">
        <v>859.16200000000003</v>
      </c>
      <c r="M403" s="56">
        <v>859.16200000000003</v>
      </c>
      <c r="N403" s="4">
        <v>859.16200000000003</v>
      </c>
      <c r="O403" s="56">
        <v>859.16200000000003</v>
      </c>
      <c r="P403" s="4">
        <v>0</v>
      </c>
      <c r="Q403" s="3" t="s">
        <v>26</v>
      </c>
      <c r="R403" s="3">
        <v>0</v>
      </c>
      <c r="S403" s="3">
        <v>0</v>
      </c>
      <c r="T403" s="3">
        <v>21</v>
      </c>
      <c r="U403" s="3">
        <v>89</v>
      </c>
      <c r="V403" s="56">
        <f>IF(ISERROR(VLOOKUP($S$403,'TAR FIN'!$A$1:$O$113,15,0)),0,VLOOKUP($S$403,'TAR FIN'!$A$1:$O$113,15,0))</f>
        <v>0</v>
      </c>
      <c r="W403" s="56">
        <f>IF(ISERROR(VLOOKUP($T$403,'TAR FIN'!$A$1:$O$113,15,0)),0,VLOOKUP($T$403,'TAR FIN'!$A$1:$O$113,15,0))*(1-0.04)</f>
        <v>49.219200000000001</v>
      </c>
      <c r="X403" s="56">
        <f>IF(ISERROR(VLOOKUP($U$403,'TAR FIN'!$A$1:$O$113,15,0)),0,VLOOKUP($U$403,'TAR FIN'!$A$1:$O$113,15,0))*(1-0.04)</f>
        <v>213.41759999999999</v>
      </c>
      <c r="Y403" s="56"/>
      <c r="Z403" s="56">
        <f ca="1">('TUSD BE'!$AM$32+'TUSD BF'!$AM$32+'TUSD CVA'!$AM$32)*1*(1-0.02)</f>
        <v>63.70726143397826</v>
      </c>
      <c r="AA403" s="56">
        <f>('TE BE'!$AA$11+'TE BF'!$AA$11+'TE CVA'!$AA$11)*1*(1-0.02)</f>
        <v>218.68270575803808</v>
      </c>
      <c r="AB403" s="56">
        <f>(SUBSIDIO!$J$403*SUBSIDIO!$V$403)*(0.04)/(1-0.04)</f>
        <v>0</v>
      </c>
      <c r="AC403" s="56">
        <f>((SUBSIDIO!$L$403*SUBSIDIO!$W$403)+(SUBSIDIO!$N$403*SUBSIDIO!$X$403))*(0.04)/(1-0.04)</f>
        <v>9401.9815984000015</v>
      </c>
      <c r="AD403" s="56">
        <f>(SUBSIDIO!$J$403*SUBSIDIO!$Y$403)*(0.02)/(1-0.02)</f>
        <v>0</v>
      </c>
      <c r="AE403" s="56">
        <f ca="1">((SUBSIDIO!$L$403*SUBSIDIO!$Z$403)+(SUBSIDIO!$N$403*SUBSIDIO!$AA$403))*(0.02)/(1-0.02)</f>
        <v>4951.4026325025952</v>
      </c>
      <c r="AF403" s="3" t="s">
        <v>1023</v>
      </c>
    </row>
    <row r="404" spans="1:32" ht="11.25" customHeight="1" x14ac:dyDescent="0.25">
      <c r="A404" s="3" t="s">
        <v>27</v>
      </c>
      <c r="B404" s="3" t="s">
        <v>41</v>
      </c>
      <c r="C404" s="3" t="s">
        <v>42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44378</v>
      </c>
      <c r="J404" s="4">
        <v>0</v>
      </c>
      <c r="K404" s="56">
        <v>0</v>
      </c>
      <c r="L404" s="4">
        <v>-0.316</v>
      </c>
      <c r="M404" s="56">
        <v>-0.316</v>
      </c>
      <c r="N404" s="4">
        <v>-0.316</v>
      </c>
      <c r="O404" s="56">
        <v>-0.316</v>
      </c>
      <c r="P404" s="4">
        <v>0</v>
      </c>
      <c r="Q404" s="3" t="s">
        <v>26</v>
      </c>
      <c r="R404" s="3">
        <v>0</v>
      </c>
      <c r="S404" s="3">
        <v>0</v>
      </c>
      <c r="T404" s="3">
        <v>21</v>
      </c>
      <c r="U404" s="3">
        <v>89</v>
      </c>
      <c r="V404" s="56">
        <f>IF(ISERROR(VLOOKUP($S$404,'TAR FIN'!$A$1:$O$113,15,0)),0,VLOOKUP($S$404,'TAR FIN'!$A$1:$O$113,15,0))</f>
        <v>0</v>
      </c>
      <c r="W404" s="56">
        <f>IF(ISERROR(VLOOKUP($T$404,'TAR FIN'!$A$1:$O$113,15,0)),0,VLOOKUP($T$404,'TAR FIN'!$A$1:$O$113,15,0))*(1-0.04)</f>
        <v>49.219200000000001</v>
      </c>
      <c r="X404" s="56">
        <f>IF(ISERROR(VLOOKUP($U$404,'TAR FIN'!$A$1:$O$113,15,0)),0,VLOOKUP($U$404,'TAR FIN'!$A$1:$O$113,15,0))*(1-0.04)</f>
        <v>213.41759999999999</v>
      </c>
      <c r="Y404" s="56"/>
      <c r="Z404" s="56">
        <f ca="1">('TUSD BE'!$AM$32+'TUSD BF'!$AM$32+'TUSD CVA'!$AM$32)*1*(1-0.02)</f>
        <v>63.70726143397826</v>
      </c>
      <c r="AA404" s="56">
        <f>('TE BE'!$AA$11+'TE BF'!$AA$11+'TE CVA'!$AA$11)*1*(1-0.02)</f>
        <v>218.68270575803808</v>
      </c>
      <c r="AB404" s="56">
        <f>(SUBSIDIO!$J$404*SUBSIDIO!$V$404)*(0.04)/(1-0.04)</f>
        <v>0</v>
      </c>
      <c r="AC404" s="56">
        <f>((SUBSIDIO!$L$404*SUBSIDIO!$W$404)+(SUBSIDIO!$N$404*SUBSIDIO!$X$404))*(0.04)/(1-0.04)</f>
        <v>-3.4580511999999999</v>
      </c>
      <c r="AD404" s="56">
        <f>(SUBSIDIO!$J$404*SUBSIDIO!$Y$404)*(0.02)/(1-0.02)</f>
        <v>0</v>
      </c>
      <c r="AE404" s="56">
        <f ca="1">((SUBSIDIO!$L$404*SUBSIDIO!$Z$404)+(SUBSIDIO!$N$404*SUBSIDIO!$AA$404))*(0.02)/(1-0.02)</f>
        <v>-1.8211271353607588</v>
      </c>
      <c r="AF404" s="3" t="s">
        <v>1023</v>
      </c>
    </row>
    <row r="405" spans="1:32" ht="11.25" customHeight="1" x14ac:dyDescent="0.25">
      <c r="A405" s="3" t="s">
        <v>28</v>
      </c>
      <c r="B405" s="3" t="s">
        <v>41</v>
      </c>
      <c r="C405" s="3" t="s">
        <v>42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44378</v>
      </c>
      <c r="J405" s="4">
        <v>0</v>
      </c>
      <c r="K405" s="56">
        <v>0</v>
      </c>
      <c r="L405" s="4">
        <v>9.6159999999999997</v>
      </c>
      <c r="M405" s="56">
        <v>9.6159999999999997</v>
      </c>
      <c r="N405" s="4">
        <v>9.6159999999999997</v>
      </c>
      <c r="O405" s="56">
        <v>9.6159999999999997</v>
      </c>
      <c r="P405" s="4">
        <v>0</v>
      </c>
      <c r="Q405" s="3" t="s">
        <v>26</v>
      </c>
      <c r="R405" s="3">
        <v>0</v>
      </c>
      <c r="S405" s="3">
        <v>0</v>
      </c>
      <c r="T405" s="3">
        <v>21</v>
      </c>
      <c r="U405" s="3">
        <v>89</v>
      </c>
      <c r="V405" s="56">
        <f>IF(ISERROR(VLOOKUP($S$405,'TAR FIN'!$A$1:$O$113,15,0)),0,VLOOKUP($S$405,'TAR FIN'!$A$1:$O$113,15,0))</f>
        <v>0</v>
      </c>
      <c r="W405" s="56">
        <f>IF(ISERROR(VLOOKUP($T$405,'TAR FIN'!$A$1:$O$113,15,0)),0,VLOOKUP($T$405,'TAR FIN'!$A$1:$O$113,15,0))*(1-0.04)</f>
        <v>49.219200000000001</v>
      </c>
      <c r="X405" s="56">
        <f>IF(ISERROR(VLOOKUP($U$405,'TAR FIN'!$A$1:$O$113,15,0)),0,VLOOKUP($U$405,'TAR FIN'!$A$1:$O$113,15,0))*(1-0.04)</f>
        <v>213.41759999999999</v>
      </c>
      <c r="Y405" s="56"/>
      <c r="Z405" s="56">
        <f ca="1">('TUSD BE'!$AM$32+'TUSD BF'!$AM$32+'TUSD CVA'!$AM$32)*1*(1-0.02)</f>
        <v>63.70726143397826</v>
      </c>
      <c r="AA405" s="56">
        <f>('TE BE'!$AA$11+'TE BF'!$AA$11+'TE CVA'!$AA$11)*1*(1-0.02)</f>
        <v>218.68270575803808</v>
      </c>
      <c r="AB405" s="56">
        <f>(SUBSIDIO!$J$405*SUBSIDIO!$V$405)*(0.04)/(1-0.04)</f>
        <v>0</v>
      </c>
      <c r="AC405" s="56">
        <f>((SUBSIDIO!$L$405*SUBSIDIO!$W$405)+(SUBSIDIO!$N$405*SUBSIDIO!$X$405))*(0.04)/(1-0.04)</f>
        <v>105.22981120000003</v>
      </c>
      <c r="AD405" s="56">
        <f>(SUBSIDIO!$J$405*SUBSIDIO!$Y$405)*(0.02)/(1-0.02)</f>
        <v>0</v>
      </c>
      <c r="AE405" s="56">
        <f ca="1">((SUBSIDIO!$L$405*SUBSIDIO!$Z$405)+(SUBSIDIO!$N$405*SUBSIDIO!$AA$405))*(0.02)/(1-0.02)</f>
        <v>55.41759029629447</v>
      </c>
      <c r="AF405" s="3" t="s">
        <v>1023</v>
      </c>
    </row>
    <row r="406" spans="1:32" ht="11.25" customHeight="1" x14ac:dyDescent="0.25">
      <c r="A406" s="3" t="s">
        <v>21</v>
      </c>
      <c r="B406" s="3" t="s">
        <v>41</v>
      </c>
      <c r="C406" s="3" t="s">
        <v>42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44409</v>
      </c>
      <c r="J406" s="4">
        <v>0</v>
      </c>
      <c r="K406" s="56">
        <v>0</v>
      </c>
      <c r="L406" s="4">
        <v>1255.989</v>
      </c>
      <c r="M406" s="56">
        <v>1255.989</v>
      </c>
      <c r="N406" s="4">
        <v>1255.989</v>
      </c>
      <c r="O406" s="56">
        <v>1255.989</v>
      </c>
      <c r="P406" s="4">
        <v>0</v>
      </c>
      <c r="Q406" s="3" t="s">
        <v>26</v>
      </c>
      <c r="R406" s="3">
        <v>0</v>
      </c>
      <c r="S406" s="3">
        <v>0</v>
      </c>
      <c r="T406" s="3">
        <v>21</v>
      </c>
      <c r="U406" s="3">
        <v>89</v>
      </c>
      <c r="V406" s="56">
        <f>IF(ISERROR(VLOOKUP($S$406,'TAR FIN'!$A$1:$O$113,15,0)),0,VLOOKUP($S$406,'TAR FIN'!$A$1:$O$113,15,0))</f>
        <v>0</v>
      </c>
      <c r="W406" s="56">
        <f>IF(ISERROR(VLOOKUP($T$406,'TAR FIN'!$A$1:$O$113,15,0)),0,VLOOKUP($T$406,'TAR FIN'!$A$1:$O$113,15,0))*(1-0.04)</f>
        <v>49.219200000000001</v>
      </c>
      <c r="X406" s="56">
        <f>IF(ISERROR(VLOOKUP($U$406,'TAR FIN'!$A$1:$O$113,15,0)),0,VLOOKUP($U$406,'TAR FIN'!$A$1:$O$113,15,0))*(1-0.04)</f>
        <v>213.41759999999999</v>
      </c>
      <c r="Y406" s="56"/>
      <c r="Z406" s="56">
        <f ca="1">('TUSD BE'!$AM$32+'TUSD BF'!$AM$32+'TUSD CVA'!$AM$32)*1*(1-0.02)</f>
        <v>63.70726143397826</v>
      </c>
      <c r="AA406" s="56">
        <f>('TE BE'!$AA$11+'TE BF'!$AA$11+'TE CVA'!$AA$11)*1*(1-0.02)</f>
        <v>218.68270575803808</v>
      </c>
      <c r="AB406" s="56">
        <f>(SUBSIDIO!$J$406*SUBSIDIO!$V$406)*(0.04)/(1-0.04)</f>
        <v>0</v>
      </c>
      <c r="AC406" s="56">
        <f>((SUBSIDIO!$L$406*SUBSIDIO!$W$406)+(SUBSIDIO!$N$406*SUBSIDIO!$X$406))*(0.04)/(1-0.04)</f>
        <v>13744.5388248</v>
      </c>
      <c r="AD406" s="56">
        <f>(SUBSIDIO!$J$406*SUBSIDIO!$Y$406)*(0.02)/(1-0.02)</f>
        <v>0</v>
      </c>
      <c r="AE406" s="56">
        <f ca="1">((SUBSIDIO!$L$406*SUBSIDIO!$Z$406)+(SUBSIDIO!$N$406*SUBSIDIO!$AA$406))*(0.02)/(1-0.02)</f>
        <v>7238.3406633374179</v>
      </c>
      <c r="AF406" s="3" t="s">
        <v>1023</v>
      </c>
    </row>
    <row r="407" spans="1:32" ht="11.25" customHeight="1" x14ac:dyDescent="0.25">
      <c r="A407" s="3" t="s">
        <v>27</v>
      </c>
      <c r="B407" s="3" t="s">
        <v>41</v>
      </c>
      <c r="C407" s="3" t="s">
        <v>42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44409</v>
      </c>
      <c r="J407" s="4">
        <v>0</v>
      </c>
      <c r="K407" s="56">
        <v>0</v>
      </c>
      <c r="L407" s="4">
        <v>-0.4</v>
      </c>
      <c r="M407" s="56">
        <v>-0.4</v>
      </c>
      <c r="N407" s="4">
        <v>-0.4</v>
      </c>
      <c r="O407" s="56">
        <v>-0.4</v>
      </c>
      <c r="P407" s="4">
        <v>0</v>
      </c>
      <c r="Q407" s="3" t="s">
        <v>26</v>
      </c>
      <c r="R407" s="3">
        <v>0</v>
      </c>
      <c r="S407" s="3">
        <v>0</v>
      </c>
      <c r="T407" s="3">
        <v>21</v>
      </c>
      <c r="U407" s="3">
        <v>89</v>
      </c>
      <c r="V407" s="56">
        <f>IF(ISERROR(VLOOKUP($S$407,'TAR FIN'!$A$1:$O$113,15,0)),0,VLOOKUP($S$407,'TAR FIN'!$A$1:$O$113,15,0))</f>
        <v>0</v>
      </c>
      <c r="W407" s="56">
        <f>IF(ISERROR(VLOOKUP($T$407,'TAR FIN'!$A$1:$O$113,15,0)),0,VLOOKUP($T$407,'TAR FIN'!$A$1:$O$113,15,0))*(1-0.04)</f>
        <v>49.219200000000001</v>
      </c>
      <c r="X407" s="56">
        <f>IF(ISERROR(VLOOKUP($U$407,'TAR FIN'!$A$1:$O$113,15,0)),0,VLOOKUP($U$407,'TAR FIN'!$A$1:$O$113,15,0))*(1-0.04)</f>
        <v>213.41759999999999</v>
      </c>
      <c r="Y407" s="56"/>
      <c r="Z407" s="56">
        <f ca="1">('TUSD BE'!$AM$32+'TUSD BF'!$AM$32+'TUSD CVA'!$AM$32)*1*(1-0.02)</f>
        <v>63.70726143397826</v>
      </c>
      <c r="AA407" s="56">
        <f>('TE BE'!$AA$11+'TE BF'!$AA$11+'TE CVA'!$AA$11)*1*(1-0.02)</f>
        <v>218.68270575803808</v>
      </c>
      <c r="AB407" s="56">
        <f>(SUBSIDIO!$J$407*SUBSIDIO!$V$407)*(0.04)/(1-0.04)</f>
        <v>0</v>
      </c>
      <c r="AC407" s="56">
        <f>((SUBSIDIO!$L$407*SUBSIDIO!$W$407)+(SUBSIDIO!$N$407*SUBSIDIO!$X$407))*(0.04)/(1-0.04)</f>
        <v>-4.3772799999999998</v>
      </c>
      <c r="AD407" s="56">
        <f>(SUBSIDIO!$J$407*SUBSIDIO!$Y$407)*(0.02)/(1-0.02)</f>
        <v>0</v>
      </c>
      <c r="AE407" s="56">
        <f ca="1">((SUBSIDIO!$L$407*SUBSIDIO!$Z$407)+(SUBSIDIO!$N$407*SUBSIDIO!$AA$407))*(0.02)/(1-0.02)</f>
        <v>-2.305224221975644</v>
      </c>
      <c r="AF407" s="3" t="s">
        <v>1023</v>
      </c>
    </row>
    <row r="408" spans="1:32" ht="11.25" customHeight="1" x14ac:dyDescent="0.25">
      <c r="A408" s="3" t="s">
        <v>28</v>
      </c>
      <c r="B408" s="3" t="s">
        <v>41</v>
      </c>
      <c r="C408" s="3" t="s">
        <v>42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44409</v>
      </c>
      <c r="J408" s="4">
        <v>0</v>
      </c>
      <c r="K408" s="56">
        <v>0</v>
      </c>
      <c r="L408" s="4">
        <v>13.866</v>
      </c>
      <c r="M408" s="56">
        <v>13.866</v>
      </c>
      <c r="N408" s="4">
        <v>13.866</v>
      </c>
      <c r="O408" s="56">
        <v>13.866</v>
      </c>
      <c r="P408" s="4">
        <v>0</v>
      </c>
      <c r="Q408" s="3" t="s">
        <v>26</v>
      </c>
      <c r="R408" s="3">
        <v>0</v>
      </c>
      <c r="S408" s="3">
        <v>0</v>
      </c>
      <c r="T408" s="3">
        <v>21</v>
      </c>
      <c r="U408" s="3">
        <v>89</v>
      </c>
      <c r="V408" s="56">
        <f>IF(ISERROR(VLOOKUP($S$408,'TAR FIN'!$A$1:$O$113,15,0)),0,VLOOKUP($S$408,'TAR FIN'!$A$1:$O$113,15,0))</f>
        <v>0</v>
      </c>
      <c r="W408" s="56">
        <f>IF(ISERROR(VLOOKUP($T$408,'TAR FIN'!$A$1:$O$113,15,0)),0,VLOOKUP($T$408,'TAR FIN'!$A$1:$O$113,15,0))*(1-0.04)</f>
        <v>49.219200000000001</v>
      </c>
      <c r="X408" s="56">
        <f>IF(ISERROR(VLOOKUP($U$408,'TAR FIN'!$A$1:$O$113,15,0)),0,VLOOKUP($U$408,'TAR FIN'!$A$1:$O$113,15,0))*(1-0.04)</f>
        <v>213.41759999999999</v>
      </c>
      <c r="Y408" s="56"/>
      <c r="Z408" s="56">
        <f ca="1">('TUSD BE'!$AM$32+'TUSD BF'!$AM$32+'TUSD CVA'!$AM$32)*1*(1-0.02)</f>
        <v>63.70726143397826</v>
      </c>
      <c r="AA408" s="56">
        <f>('TE BE'!$AA$11+'TE BF'!$AA$11+'TE CVA'!$AA$11)*1*(1-0.02)</f>
        <v>218.68270575803808</v>
      </c>
      <c r="AB408" s="56">
        <f>(SUBSIDIO!$J$408*SUBSIDIO!$V$408)*(0.04)/(1-0.04)</f>
        <v>0</v>
      </c>
      <c r="AC408" s="56">
        <f>((SUBSIDIO!$L$408*SUBSIDIO!$W$408)+(SUBSIDIO!$N$408*SUBSIDIO!$X$408))*(0.04)/(1-0.04)</f>
        <v>151.7384112</v>
      </c>
      <c r="AD408" s="56">
        <f>(SUBSIDIO!$J$408*SUBSIDIO!$Y$408)*(0.02)/(1-0.02)</f>
        <v>0</v>
      </c>
      <c r="AE408" s="56">
        <f ca="1">((SUBSIDIO!$L$408*SUBSIDIO!$Z$408)+(SUBSIDIO!$N$408*SUBSIDIO!$AA$408))*(0.02)/(1-0.02)</f>
        <v>79.91059765478569</v>
      </c>
      <c r="AF408" s="3" t="s">
        <v>1023</v>
      </c>
    </row>
    <row r="409" spans="1:32" ht="11.25" customHeight="1" x14ac:dyDescent="0.25">
      <c r="A409" s="3" t="s">
        <v>21</v>
      </c>
      <c r="B409" s="3" t="s">
        <v>41</v>
      </c>
      <c r="C409" s="3" t="s">
        <v>42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44440</v>
      </c>
      <c r="J409" s="4">
        <v>0</v>
      </c>
      <c r="K409" s="56">
        <v>0</v>
      </c>
      <c r="L409" s="4">
        <v>1824.4749999999999</v>
      </c>
      <c r="M409" s="56">
        <v>1824.4749999999999</v>
      </c>
      <c r="N409" s="4">
        <v>1824.4749999999999</v>
      </c>
      <c r="O409" s="56">
        <v>1824.4749999999999</v>
      </c>
      <c r="P409" s="4">
        <v>0</v>
      </c>
      <c r="Q409" s="3" t="s">
        <v>26</v>
      </c>
      <c r="R409" s="3">
        <v>0</v>
      </c>
      <c r="S409" s="3">
        <v>0</v>
      </c>
      <c r="T409" s="3">
        <v>21</v>
      </c>
      <c r="U409" s="3">
        <v>89</v>
      </c>
      <c r="V409" s="56">
        <f>IF(ISERROR(VLOOKUP($S$409,'TAR FIN'!$A$1:$O$113,15,0)),0,VLOOKUP($S$409,'TAR FIN'!$A$1:$O$113,15,0))</f>
        <v>0</v>
      </c>
      <c r="W409" s="56">
        <f>IF(ISERROR(VLOOKUP($T$409,'TAR FIN'!$A$1:$O$113,15,0)),0,VLOOKUP($T$409,'TAR FIN'!$A$1:$O$113,15,0))*(1-0.04)</f>
        <v>49.219200000000001</v>
      </c>
      <c r="X409" s="56">
        <f>IF(ISERROR(VLOOKUP($U$409,'TAR FIN'!$A$1:$O$113,15,0)),0,VLOOKUP($U$409,'TAR FIN'!$A$1:$O$113,15,0))*(1-0.04)</f>
        <v>213.41759999999999</v>
      </c>
      <c r="Y409" s="56"/>
      <c r="Z409" s="56">
        <f ca="1">('TUSD BE'!$AM$32+'TUSD BF'!$AM$32+'TUSD CVA'!$AM$32)*1*(1-0.02)</f>
        <v>63.70726143397826</v>
      </c>
      <c r="AA409" s="56">
        <f>('TE BE'!$AA$11+'TE BF'!$AA$11+'TE CVA'!$AA$11)*1*(1-0.02)</f>
        <v>218.68270575803808</v>
      </c>
      <c r="AB409" s="56">
        <f>(SUBSIDIO!$J$409*SUBSIDIO!$V$409)*(0.04)/(1-0.04)</f>
        <v>0</v>
      </c>
      <c r="AC409" s="56">
        <f>((SUBSIDIO!$L$409*SUBSIDIO!$W$409)+(SUBSIDIO!$N$409*SUBSIDIO!$X$409))*(0.04)/(1-0.04)</f>
        <v>19965.594819999998</v>
      </c>
      <c r="AD409" s="56">
        <f>(SUBSIDIO!$J$409*SUBSIDIO!$Y$409)*(0.02)/(1-0.02)</f>
        <v>0</v>
      </c>
      <c r="AE409" s="56">
        <f ca="1">((SUBSIDIO!$L$409*SUBSIDIO!$Z$409)+(SUBSIDIO!$N$409*SUBSIDIO!$AA$409))*(0.02)/(1-0.02)</f>
        <v>10514.55990597253</v>
      </c>
      <c r="AF409" s="3" t="s">
        <v>1023</v>
      </c>
    </row>
    <row r="410" spans="1:32" ht="11.25" customHeight="1" x14ac:dyDescent="0.25">
      <c r="A410" s="3" t="s">
        <v>28</v>
      </c>
      <c r="B410" s="3" t="s">
        <v>41</v>
      </c>
      <c r="C410" s="3" t="s">
        <v>42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44440</v>
      </c>
      <c r="J410" s="4">
        <v>0</v>
      </c>
      <c r="K410" s="56">
        <v>0</v>
      </c>
      <c r="L410" s="4">
        <v>5.452</v>
      </c>
      <c r="M410" s="56">
        <v>5.452</v>
      </c>
      <c r="N410" s="4">
        <v>5.452</v>
      </c>
      <c r="O410" s="56">
        <v>5.452</v>
      </c>
      <c r="P410" s="4">
        <v>0</v>
      </c>
      <c r="Q410" s="3" t="s">
        <v>26</v>
      </c>
      <c r="R410" s="3">
        <v>0</v>
      </c>
      <c r="S410" s="3">
        <v>0</v>
      </c>
      <c r="T410" s="3">
        <v>21</v>
      </c>
      <c r="U410" s="3">
        <v>89</v>
      </c>
      <c r="V410" s="56">
        <f>IF(ISERROR(VLOOKUP($S$410,'TAR FIN'!$A$1:$O$113,15,0)),0,VLOOKUP($S$410,'TAR FIN'!$A$1:$O$113,15,0))</f>
        <v>0</v>
      </c>
      <c r="W410" s="56">
        <f>IF(ISERROR(VLOOKUP($T$410,'TAR FIN'!$A$1:$O$113,15,0)),0,VLOOKUP($T$410,'TAR FIN'!$A$1:$O$113,15,0))*(1-0.04)</f>
        <v>49.219200000000001</v>
      </c>
      <c r="X410" s="56">
        <f>IF(ISERROR(VLOOKUP($U$410,'TAR FIN'!$A$1:$O$113,15,0)),0,VLOOKUP($U$410,'TAR FIN'!$A$1:$O$113,15,0))*(1-0.04)</f>
        <v>213.41759999999999</v>
      </c>
      <c r="Y410" s="56"/>
      <c r="Z410" s="56">
        <f ca="1">('TUSD BE'!$AM$32+'TUSD BF'!$AM$32+'TUSD CVA'!$AM$32)*1*(1-0.02)</f>
        <v>63.70726143397826</v>
      </c>
      <c r="AA410" s="56">
        <f>('TE BE'!$AA$11+'TE BF'!$AA$11+'TE CVA'!$AA$11)*1*(1-0.02)</f>
        <v>218.68270575803808</v>
      </c>
      <c r="AB410" s="56">
        <f>(SUBSIDIO!$J$410*SUBSIDIO!$V$410)*(0.04)/(1-0.04)</f>
        <v>0</v>
      </c>
      <c r="AC410" s="56">
        <f>((SUBSIDIO!$L$410*SUBSIDIO!$W$410)+(SUBSIDIO!$N$410*SUBSIDIO!$X$410))*(0.04)/(1-0.04)</f>
        <v>59.662326399999991</v>
      </c>
      <c r="AD410" s="56">
        <f>(SUBSIDIO!$J$410*SUBSIDIO!$Y$410)*(0.02)/(1-0.02)</f>
        <v>0</v>
      </c>
      <c r="AE410" s="56">
        <f ca="1">((SUBSIDIO!$L$410*SUBSIDIO!$Z$410)+(SUBSIDIO!$N$410*SUBSIDIO!$AA$410))*(0.02)/(1-0.02)</f>
        <v>31.420206145528024</v>
      </c>
      <c r="AF410" s="3" t="s">
        <v>1023</v>
      </c>
    </row>
    <row r="411" spans="1:32" ht="11.25" customHeight="1" x14ac:dyDescent="0.25">
      <c r="A411" s="3" t="s">
        <v>21</v>
      </c>
      <c r="B411" s="3" t="s">
        <v>41</v>
      </c>
      <c r="C411" s="3" t="s">
        <v>42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44470</v>
      </c>
      <c r="J411" s="4">
        <v>0</v>
      </c>
      <c r="K411" s="56">
        <v>0</v>
      </c>
      <c r="L411" s="4">
        <v>2460.4290000000001</v>
      </c>
      <c r="M411" s="56">
        <v>2460.4290000000001</v>
      </c>
      <c r="N411" s="4">
        <v>2460.4290000000001</v>
      </c>
      <c r="O411" s="56">
        <v>2460.4290000000001</v>
      </c>
      <c r="P411" s="4">
        <v>0</v>
      </c>
      <c r="Q411" s="3" t="s">
        <v>26</v>
      </c>
      <c r="R411" s="3">
        <v>0</v>
      </c>
      <c r="S411" s="3">
        <v>0</v>
      </c>
      <c r="T411" s="3">
        <v>21</v>
      </c>
      <c r="U411" s="3">
        <v>89</v>
      </c>
      <c r="V411" s="56">
        <f>IF(ISERROR(VLOOKUP($S$411,'TAR FIN'!$A$1:$O$113,15,0)),0,VLOOKUP($S$411,'TAR FIN'!$A$1:$O$113,15,0))</f>
        <v>0</v>
      </c>
      <c r="W411" s="56">
        <f>IF(ISERROR(VLOOKUP($T$411,'TAR FIN'!$A$1:$O$113,15,0)),0,VLOOKUP($T$411,'TAR FIN'!$A$1:$O$113,15,0))*(1-0.04)</f>
        <v>49.219200000000001</v>
      </c>
      <c r="X411" s="56">
        <f>IF(ISERROR(VLOOKUP($U$411,'TAR FIN'!$A$1:$O$113,15,0)),0,VLOOKUP($U$411,'TAR FIN'!$A$1:$O$113,15,0))*(1-0.04)</f>
        <v>213.41759999999999</v>
      </c>
      <c r="Y411" s="56"/>
      <c r="Z411" s="56">
        <f ca="1">('TUSD BE'!$AM$32+'TUSD BF'!$AM$32+'TUSD CVA'!$AM$32)*1*(1-0.02)</f>
        <v>63.70726143397826</v>
      </c>
      <c r="AA411" s="56">
        <f>('TE BE'!$AA$11+'TE BF'!$AA$11+'TE CVA'!$AA$11)*1*(1-0.02)</f>
        <v>218.68270575803808</v>
      </c>
      <c r="AB411" s="56">
        <f>(SUBSIDIO!$J$411*SUBSIDIO!$V$411)*(0.04)/(1-0.04)</f>
        <v>0</v>
      </c>
      <c r="AC411" s="56">
        <f>((SUBSIDIO!$L$411*SUBSIDIO!$W$411)+(SUBSIDIO!$N$411*SUBSIDIO!$X$411))*(0.04)/(1-0.04)</f>
        <v>26924.966632800002</v>
      </c>
      <c r="AD411" s="56">
        <f>(SUBSIDIO!$J$411*SUBSIDIO!$Y$411)*(0.02)/(1-0.02)</f>
        <v>0</v>
      </c>
      <c r="AE411" s="56">
        <f ca="1">((SUBSIDIO!$L$411*SUBSIDIO!$Z$411)+(SUBSIDIO!$N$411*SUBSIDIO!$AA$411))*(0.02)/(1-0.02)</f>
        <v>14179.60131812828</v>
      </c>
      <c r="AF411" s="3" t="s">
        <v>1023</v>
      </c>
    </row>
    <row r="412" spans="1:32" ht="11.25" customHeight="1" x14ac:dyDescent="0.25">
      <c r="A412" s="3" t="s">
        <v>28</v>
      </c>
      <c r="B412" s="3" t="s">
        <v>41</v>
      </c>
      <c r="C412" s="3" t="s">
        <v>42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44470</v>
      </c>
      <c r="J412" s="4">
        <v>0</v>
      </c>
      <c r="K412" s="56">
        <v>0</v>
      </c>
      <c r="L412" s="4">
        <v>18.899999999999999</v>
      </c>
      <c r="M412" s="56">
        <v>18.899999999999999</v>
      </c>
      <c r="N412" s="4">
        <v>18.899999999999999</v>
      </c>
      <c r="O412" s="56">
        <v>18.899999999999999</v>
      </c>
      <c r="P412" s="4">
        <v>0</v>
      </c>
      <c r="Q412" s="3" t="s">
        <v>26</v>
      </c>
      <c r="R412" s="3">
        <v>0</v>
      </c>
      <c r="S412" s="3">
        <v>0</v>
      </c>
      <c r="T412" s="3">
        <v>21</v>
      </c>
      <c r="U412" s="3">
        <v>89</v>
      </c>
      <c r="V412" s="56">
        <f>IF(ISERROR(VLOOKUP($S$412,'TAR FIN'!$A$1:$O$113,15,0)),0,VLOOKUP($S$412,'TAR FIN'!$A$1:$O$113,15,0))</f>
        <v>0</v>
      </c>
      <c r="W412" s="56">
        <f>IF(ISERROR(VLOOKUP($T$412,'TAR FIN'!$A$1:$O$113,15,0)),0,VLOOKUP($T$412,'TAR FIN'!$A$1:$O$113,15,0))*(1-0.04)</f>
        <v>49.219200000000001</v>
      </c>
      <c r="X412" s="56">
        <f>IF(ISERROR(VLOOKUP($U$412,'TAR FIN'!$A$1:$O$113,15,0)),0,VLOOKUP($U$412,'TAR FIN'!$A$1:$O$113,15,0))*(1-0.04)</f>
        <v>213.41759999999999</v>
      </c>
      <c r="Y412" s="56"/>
      <c r="Z412" s="56">
        <f ca="1">('TUSD BE'!$AM$32+'TUSD BF'!$AM$32+'TUSD CVA'!$AM$32)*1*(1-0.02)</f>
        <v>63.70726143397826</v>
      </c>
      <c r="AA412" s="56">
        <f>('TE BE'!$AA$11+'TE BF'!$AA$11+'TE CVA'!$AA$11)*1*(1-0.02)</f>
        <v>218.68270575803808</v>
      </c>
      <c r="AB412" s="56">
        <f>(SUBSIDIO!$J$412*SUBSIDIO!$V$412)*(0.04)/(1-0.04)</f>
        <v>0</v>
      </c>
      <c r="AC412" s="56">
        <f>((SUBSIDIO!$L$412*SUBSIDIO!$W$412)+(SUBSIDIO!$N$412*SUBSIDIO!$X$412))*(0.04)/(1-0.04)</f>
        <v>206.82648</v>
      </c>
      <c r="AD412" s="56">
        <f>(SUBSIDIO!$J$412*SUBSIDIO!$Y$412)*(0.02)/(1-0.02)</f>
        <v>0</v>
      </c>
      <c r="AE412" s="56">
        <f ca="1">((SUBSIDIO!$L$412*SUBSIDIO!$Z$412)+(SUBSIDIO!$N$412*SUBSIDIO!$AA$412))*(0.02)/(1-0.02)</f>
        <v>108.92184448834915</v>
      </c>
      <c r="AF412" s="3" t="s">
        <v>1023</v>
      </c>
    </row>
    <row r="413" spans="1:32" ht="11.25" customHeight="1" x14ac:dyDescent="0.25">
      <c r="A413" s="3" t="s">
        <v>28</v>
      </c>
      <c r="B413" s="3" t="s">
        <v>41</v>
      </c>
      <c r="C413" s="3" t="s">
        <v>42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44470</v>
      </c>
      <c r="J413" s="4">
        <v>0</v>
      </c>
      <c r="K413" s="56">
        <v>0</v>
      </c>
      <c r="L413" s="4">
        <v>-18.718</v>
      </c>
      <c r="M413" s="56">
        <v>-18.718</v>
      </c>
      <c r="N413" s="4">
        <v>-18.718</v>
      </c>
      <c r="O413" s="56">
        <v>-18.718</v>
      </c>
      <c r="P413" s="4">
        <v>0</v>
      </c>
      <c r="Q413" s="3" t="s">
        <v>26</v>
      </c>
      <c r="R413" s="3">
        <v>0</v>
      </c>
      <c r="S413" s="3">
        <v>0</v>
      </c>
      <c r="T413" s="3">
        <v>21</v>
      </c>
      <c r="U413" s="3">
        <v>89</v>
      </c>
      <c r="V413" s="56">
        <f>IF(ISERROR(VLOOKUP($S$413,'TAR FIN'!$A$1:$O$113,15,0)),0,VLOOKUP($S$413,'TAR FIN'!$A$1:$O$113,15,0))</f>
        <v>0</v>
      </c>
      <c r="W413" s="56">
        <f>IF(ISERROR(VLOOKUP($T$413,'TAR FIN'!$A$1:$O$113,15,0)),0,VLOOKUP($T$413,'TAR FIN'!$A$1:$O$113,15,0))*(1-0.04)</f>
        <v>49.219200000000001</v>
      </c>
      <c r="X413" s="56">
        <f>IF(ISERROR(VLOOKUP($U$413,'TAR FIN'!$A$1:$O$113,15,0)),0,VLOOKUP($U$413,'TAR FIN'!$A$1:$O$113,15,0))*(1-0.04)</f>
        <v>213.41759999999999</v>
      </c>
      <c r="Y413" s="56"/>
      <c r="Z413" s="56">
        <f ca="1">('TUSD BE'!$AM$32+'TUSD BF'!$AM$32+'TUSD CVA'!$AM$32)*1*(1-0.02)</f>
        <v>63.70726143397826</v>
      </c>
      <c r="AA413" s="56">
        <f>('TE BE'!$AA$11+'TE BF'!$AA$11+'TE CVA'!$AA$11)*1*(1-0.02)</f>
        <v>218.68270575803808</v>
      </c>
      <c r="AB413" s="56">
        <f>(SUBSIDIO!$J$413*SUBSIDIO!$V$413)*(0.04)/(1-0.04)</f>
        <v>0</v>
      </c>
      <c r="AC413" s="56">
        <f>((SUBSIDIO!$L$413*SUBSIDIO!$W$413)+(SUBSIDIO!$N$413*SUBSIDIO!$X$413))*(0.04)/(1-0.04)</f>
        <v>-204.83481760000001</v>
      </c>
      <c r="AD413" s="56">
        <f>(SUBSIDIO!$J$413*SUBSIDIO!$Y$413)*(0.02)/(1-0.02)</f>
        <v>0</v>
      </c>
      <c r="AE413" s="56">
        <f ca="1">((SUBSIDIO!$L$413*SUBSIDIO!$Z$413)+(SUBSIDIO!$N$413*SUBSIDIO!$AA$413))*(0.02)/(1-0.02)</f>
        <v>-107.87296746735025</v>
      </c>
      <c r="AF413" s="3" t="s">
        <v>1023</v>
      </c>
    </row>
    <row r="414" spans="1:32" ht="11.25" customHeight="1" x14ac:dyDescent="0.25">
      <c r="A414" s="3" t="s">
        <v>21</v>
      </c>
      <c r="B414" s="3" t="s">
        <v>41</v>
      </c>
      <c r="C414" s="3" t="s">
        <v>42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35</v>
      </c>
      <c r="I414" s="6">
        <v>44501</v>
      </c>
      <c r="J414" s="4">
        <v>0</v>
      </c>
      <c r="K414" s="56">
        <v>0</v>
      </c>
      <c r="L414" s="4">
        <v>2212.509</v>
      </c>
      <c r="M414" s="56">
        <v>2212.509</v>
      </c>
      <c r="N414" s="4">
        <v>2212.509</v>
      </c>
      <c r="O414" s="56">
        <v>2212.509</v>
      </c>
      <c r="P414" s="4">
        <v>0</v>
      </c>
      <c r="Q414" s="3" t="s">
        <v>26</v>
      </c>
      <c r="R414" s="3">
        <v>0</v>
      </c>
      <c r="S414" s="3">
        <v>0</v>
      </c>
      <c r="T414" s="3">
        <v>21</v>
      </c>
      <c r="U414" s="3">
        <v>89</v>
      </c>
      <c r="V414" s="56">
        <f>IF(ISERROR(VLOOKUP($S$414,'TAR FIN'!$A$1:$O$113,15,0)),0,VLOOKUP($S$414,'TAR FIN'!$A$1:$O$113,15,0))</f>
        <v>0</v>
      </c>
      <c r="W414" s="56">
        <f>IF(ISERROR(VLOOKUP($T$414,'TAR FIN'!$A$1:$O$113,15,0)),0,VLOOKUP($T$414,'TAR FIN'!$A$1:$O$113,15,0))*(1-0.04)</f>
        <v>49.219200000000001</v>
      </c>
      <c r="X414" s="56">
        <f>IF(ISERROR(VLOOKUP($U$414,'TAR FIN'!$A$1:$O$113,15,0)),0,VLOOKUP($U$414,'TAR FIN'!$A$1:$O$113,15,0))*(1-0.04)</f>
        <v>213.41759999999999</v>
      </c>
      <c r="Y414" s="56"/>
      <c r="Z414" s="56">
        <f ca="1">('TUSD BE'!$AM$32+'TUSD BF'!$AM$32+'TUSD CVA'!$AM$32)*1*(1-0.02)</f>
        <v>63.70726143397826</v>
      </c>
      <c r="AA414" s="56">
        <f>('TE BE'!$AA$11+'TE BF'!$AA$11+'TE CVA'!$AA$11)*1*(1-0.02)</f>
        <v>218.68270575803808</v>
      </c>
      <c r="AB414" s="56">
        <f>(SUBSIDIO!$J$414*SUBSIDIO!$V$414)*(0.04)/(1-0.04)</f>
        <v>0</v>
      </c>
      <c r="AC414" s="56">
        <f>((SUBSIDIO!$L$414*SUBSIDIO!$W$414)+(SUBSIDIO!$N$414*SUBSIDIO!$X$414))*(0.04)/(1-0.04)</f>
        <v>24211.9284888</v>
      </c>
      <c r="AD414" s="56">
        <f>(SUBSIDIO!$J$414*SUBSIDIO!$Y$414)*(0.02)/(1-0.02)</f>
        <v>0</v>
      </c>
      <c r="AE414" s="56">
        <f ca="1">((SUBSIDIO!$L$414*SUBSIDIO!$Z$414)+(SUBSIDIO!$N$414*SUBSIDIO!$AA$414))*(0.02)/(1-0.02)</f>
        <v>12750.823345347775</v>
      </c>
      <c r="AF414" s="3" t="s">
        <v>1023</v>
      </c>
    </row>
    <row r="415" spans="1:32" ht="11.25" customHeight="1" x14ac:dyDescent="0.25">
      <c r="A415" s="3" t="s">
        <v>28</v>
      </c>
      <c r="B415" s="3" t="s">
        <v>41</v>
      </c>
      <c r="C415" s="3" t="s">
        <v>42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35</v>
      </c>
      <c r="I415" s="6">
        <v>44501</v>
      </c>
      <c r="J415" s="4">
        <v>0</v>
      </c>
      <c r="K415" s="56">
        <v>0</v>
      </c>
      <c r="L415" s="4">
        <v>15.975</v>
      </c>
      <c r="M415" s="56">
        <v>15.975</v>
      </c>
      <c r="N415" s="4">
        <v>15.975</v>
      </c>
      <c r="O415" s="56">
        <v>15.975</v>
      </c>
      <c r="P415" s="4">
        <v>0</v>
      </c>
      <c r="Q415" s="3" t="s">
        <v>26</v>
      </c>
      <c r="R415" s="3">
        <v>0</v>
      </c>
      <c r="S415" s="3">
        <v>0</v>
      </c>
      <c r="T415" s="3">
        <v>21</v>
      </c>
      <c r="U415" s="3">
        <v>89</v>
      </c>
      <c r="V415" s="56">
        <f>IF(ISERROR(VLOOKUP($S$415,'TAR FIN'!$A$1:$O$113,15,0)),0,VLOOKUP($S$415,'TAR FIN'!$A$1:$O$113,15,0))</f>
        <v>0</v>
      </c>
      <c r="W415" s="56">
        <f>IF(ISERROR(VLOOKUP($T$415,'TAR FIN'!$A$1:$O$113,15,0)),0,VLOOKUP($T$415,'TAR FIN'!$A$1:$O$113,15,0))*(1-0.04)</f>
        <v>49.219200000000001</v>
      </c>
      <c r="X415" s="56">
        <f>IF(ISERROR(VLOOKUP($U$415,'TAR FIN'!$A$1:$O$113,15,0)),0,VLOOKUP($U$415,'TAR FIN'!$A$1:$O$113,15,0))*(1-0.04)</f>
        <v>213.41759999999999</v>
      </c>
      <c r="Y415" s="56"/>
      <c r="Z415" s="56">
        <f ca="1">('TUSD BE'!$AM$32+'TUSD BF'!$AM$32+'TUSD CVA'!$AM$32)*1*(1-0.02)</f>
        <v>63.70726143397826</v>
      </c>
      <c r="AA415" s="56">
        <f>('TE BE'!$AA$11+'TE BF'!$AA$11+'TE CVA'!$AA$11)*1*(1-0.02)</f>
        <v>218.68270575803808</v>
      </c>
      <c r="AB415" s="56">
        <f>(SUBSIDIO!$J$415*SUBSIDIO!$V$415)*(0.04)/(1-0.04)</f>
        <v>0</v>
      </c>
      <c r="AC415" s="56">
        <f>((SUBSIDIO!$L$415*SUBSIDIO!$W$415)+(SUBSIDIO!$N$415*SUBSIDIO!$X$415))*(0.04)/(1-0.04)</f>
        <v>174.81762000000001</v>
      </c>
      <c r="AD415" s="56">
        <f>(SUBSIDIO!$J$415*SUBSIDIO!$Y$415)*(0.02)/(1-0.02)</f>
        <v>0</v>
      </c>
      <c r="AE415" s="56">
        <f ca="1">((SUBSIDIO!$L$415*SUBSIDIO!$Z$415)+(SUBSIDIO!$N$415*SUBSIDIO!$AA$415))*(0.02)/(1-0.02)</f>
        <v>92.064892365152275</v>
      </c>
      <c r="AF415" s="3" t="s">
        <v>1023</v>
      </c>
    </row>
    <row r="416" spans="1:32" ht="11.25" customHeight="1" x14ac:dyDescent="0.25">
      <c r="A416" s="3" t="s">
        <v>21</v>
      </c>
      <c r="B416" s="3" t="s">
        <v>41</v>
      </c>
      <c r="C416" s="3" t="s">
        <v>42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35</v>
      </c>
      <c r="I416" s="6">
        <v>44531</v>
      </c>
      <c r="J416" s="4">
        <v>0</v>
      </c>
      <c r="K416" s="56">
        <v>0</v>
      </c>
      <c r="L416" s="4">
        <v>1852.6690000000001</v>
      </c>
      <c r="M416" s="56">
        <v>1852.6690000000001</v>
      </c>
      <c r="N416" s="4">
        <v>1852.6690000000001</v>
      </c>
      <c r="O416" s="56">
        <v>1852.6690000000001</v>
      </c>
      <c r="P416" s="4">
        <v>0</v>
      </c>
      <c r="Q416" s="3" t="s">
        <v>26</v>
      </c>
      <c r="R416" s="3">
        <v>0</v>
      </c>
      <c r="S416" s="3">
        <v>0</v>
      </c>
      <c r="T416" s="3">
        <v>21</v>
      </c>
      <c r="U416" s="3">
        <v>89</v>
      </c>
      <c r="V416" s="56">
        <f>IF(ISERROR(VLOOKUP($S$416,'TAR FIN'!$A$1:$O$113,15,0)),0,VLOOKUP($S$416,'TAR FIN'!$A$1:$O$113,15,0))</f>
        <v>0</v>
      </c>
      <c r="W416" s="56">
        <f>IF(ISERROR(VLOOKUP($T$416,'TAR FIN'!$A$1:$O$113,15,0)),0,VLOOKUP($T$416,'TAR FIN'!$A$1:$O$113,15,0))*(1-0.04)</f>
        <v>49.219200000000001</v>
      </c>
      <c r="X416" s="56">
        <f>IF(ISERROR(VLOOKUP($U$416,'TAR FIN'!$A$1:$O$113,15,0)),0,VLOOKUP($U$416,'TAR FIN'!$A$1:$O$113,15,0))*(1-0.04)</f>
        <v>213.41759999999999</v>
      </c>
      <c r="Y416" s="56"/>
      <c r="Z416" s="56">
        <f ca="1">('TUSD BE'!$AM$32+'TUSD BF'!$AM$32+'TUSD CVA'!$AM$32)*1*(1-0.02)</f>
        <v>63.70726143397826</v>
      </c>
      <c r="AA416" s="56">
        <f>('TE BE'!$AA$11+'TE BF'!$AA$11+'TE CVA'!$AA$11)*1*(1-0.02)</f>
        <v>218.68270575803808</v>
      </c>
      <c r="AB416" s="56">
        <f>(SUBSIDIO!$J$416*SUBSIDIO!$V$416)*(0.04)/(1-0.04)</f>
        <v>0</v>
      </c>
      <c r="AC416" s="56">
        <f>((SUBSIDIO!$L$416*SUBSIDIO!$W$416)+(SUBSIDIO!$N$416*SUBSIDIO!$X$416))*(0.04)/(1-0.04)</f>
        <v>20274.1274008</v>
      </c>
      <c r="AD416" s="56">
        <f>(SUBSIDIO!$J$416*SUBSIDIO!$Y$416)*(0.02)/(1-0.02)</f>
        <v>0</v>
      </c>
      <c r="AE416" s="56">
        <f ca="1">((SUBSIDIO!$L$416*SUBSIDIO!$Z$416)+(SUBSIDIO!$N$416*SUBSIDIO!$AA$416))*(0.02)/(1-0.02)</f>
        <v>10677.043635258486</v>
      </c>
      <c r="AF416" s="3" t="s">
        <v>1023</v>
      </c>
    </row>
    <row r="417" spans="1:32" ht="11.25" customHeight="1" x14ac:dyDescent="0.25">
      <c r="A417" s="3" t="s">
        <v>27</v>
      </c>
      <c r="B417" s="3" t="s">
        <v>41</v>
      </c>
      <c r="C417" s="3" t="s">
        <v>42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35</v>
      </c>
      <c r="I417" s="6">
        <v>44531</v>
      </c>
      <c r="J417" s="4">
        <v>0</v>
      </c>
      <c r="K417" s="56">
        <v>0</v>
      </c>
      <c r="L417" s="4">
        <v>-0.24</v>
      </c>
      <c r="M417" s="56">
        <v>-0.24</v>
      </c>
      <c r="N417" s="4">
        <v>-0.24</v>
      </c>
      <c r="O417" s="56">
        <v>-0.24</v>
      </c>
      <c r="P417" s="4">
        <v>0</v>
      </c>
      <c r="Q417" s="3" t="s">
        <v>26</v>
      </c>
      <c r="R417" s="3">
        <v>0</v>
      </c>
      <c r="S417" s="3">
        <v>0</v>
      </c>
      <c r="T417" s="3">
        <v>21</v>
      </c>
      <c r="U417" s="3">
        <v>89</v>
      </c>
      <c r="V417" s="56">
        <f>IF(ISERROR(VLOOKUP($S$417,'TAR FIN'!$A$1:$O$113,15,0)),0,VLOOKUP($S$417,'TAR FIN'!$A$1:$O$113,15,0))</f>
        <v>0</v>
      </c>
      <c r="W417" s="56">
        <f>IF(ISERROR(VLOOKUP($T$417,'TAR FIN'!$A$1:$O$113,15,0)),0,VLOOKUP($T$417,'TAR FIN'!$A$1:$O$113,15,0))*(1-0.04)</f>
        <v>49.219200000000001</v>
      </c>
      <c r="X417" s="56">
        <f>IF(ISERROR(VLOOKUP($U$417,'TAR FIN'!$A$1:$O$113,15,0)),0,VLOOKUP($U$417,'TAR FIN'!$A$1:$O$113,15,0))*(1-0.04)</f>
        <v>213.41759999999999</v>
      </c>
      <c r="Y417" s="56"/>
      <c r="Z417" s="56">
        <f ca="1">('TUSD BE'!$AM$32+'TUSD BF'!$AM$32+'TUSD CVA'!$AM$32)*1*(1-0.02)</f>
        <v>63.70726143397826</v>
      </c>
      <c r="AA417" s="56">
        <f>('TE BE'!$AA$11+'TE BF'!$AA$11+'TE CVA'!$AA$11)*1*(1-0.02)</f>
        <v>218.68270575803808</v>
      </c>
      <c r="AB417" s="56">
        <f>(SUBSIDIO!$J$417*SUBSIDIO!$V$417)*(0.04)/(1-0.04)</f>
        <v>0</v>
      </c>
      <c r="AC417" s="56">
        <f>((SUBSIDIO!$L$417*SUBSIDIO!$W$417)+(SUBSIDIO!$N$417*SUBSIDIO!$X$417))*(0.04)/(1-0.04)</f>
        <v>-2.6263679999999998</v>
      </c>
      <c r="AD417" s="56">
        <f>(SUBSIDIO!$J$417*SUBSIDIO!$Y$417)*(0.02)/(1-0.02)</f>
        <v>0</v>
      </c>
      <c r="AE417" s="56">
        <f ca="1">((SUBSIDIO!$L$417*SUBSIDIO!$Z$417)+(SUBSIDIO!$N$417*SUBSIDIO!$AA$417))*(0.02)/(1-0.02)</f>
        <v>-1.3831345331853864</v>
      </c>
      <c r="AF417" s="3" t="s">
        <v>1023</v>
      </c>
    </row>
    <row r="418" spans="1:32" ht="11.25" customHeight="1" x14ac:dyDescent="0.25">
      <c r="A418" s="3" t="s">
        <v>28</v>
      </c>
      <c r="B418" s="3" t="s">
        <v>41</v>
      </c>
      <c r="C418" s="3" t="s">
        <v>42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35</v>
      </c>
      <c r="I418" s="6">
        <v>44531</v>
      </c>
      <c r="J418" s="4">
        <v>0</v>
      </c>
      <c r="K418" s="56">
        <v>0</v>
      </c>
      <c r="L418" s="4">
        <v>2.2200000000000002</v>
      </c>
      <c r="M418" s="56">
        <v>2.2200000000000002</v>
      </c>
      <c r="N418" s="4">
        <v>2.2200000000000002</v>
      </c>
      <c r="O418" s="56">
        <v>2.2200000000000002</v>
      </c>
      <c r="P418" s="4">
        <v>0</v>
      </c>
      <c r="Q418" s="3" t="s">
        <v>26</v>
      </c>
      <c r="R418" s="3">
        <v>0</v>
      </c>
      <c r="S418" s="3">
        <v>0</v>
      </c>
      <c r="T418" s="3">
        <v>21</v>
      </c>
      <c r="U418" s="3">
        <v>89</v>
      </c>
      <c r="V418" s="56">
        <f>IF(ISERROR(VLOOKUP($S$418,'TAR FIN'!$A$1:$O$113,15,0)),0,VLOOKUP($S$418,'TAR FIN'!$A$1:$O$113,15,0))</f>
        <v>0</v>
      </c>
      <c r="W418" s="56">
        <f>IF(ISERROR(VLOOKUP($T$418,'TAR FIN'!$A$1:$O$113,15,0)),0,VLOOKUP($T$418,'TAR FIN'!$A$1:$O$113,15,0))*(1-0.04)</f>
        <v>49.219200000000001</v>
      </c>
      <c r="X418" s="56">
        <f>IF(ISERROR(VLOOKUP($U$418,'TAR FIN'!$A$1:$O$113,15,0)),0,VLOOKUP($U$418,'TAR FIN'!$A$1:$O$113,15,0))*(1-0.04)</f>
        <v>213.41759999999999</v>
      </c>
      <c r="Y418" s="56"/>
      <c r="Z418" s="56">
        <f ca="1">('TUSD BE'!$AM$32+'TUSD BF'!$AM$32+'TUSD CVA'!$AM$32)*1*(1-0.02)</f>
        <v>63.70726143397826</v>
      </c>
      <c r="AA418" s="56">
        <f>('TE BE'!$AA$11+'TE BF'!$AA$11+'TE CVA'!$AA$11)*1*(1-0.02)</f>
        <v>218.68270575803808</v>
      </c>
      <c r="AB418" s="56">
        <f>(SUBSIDIO!$J$418*SUBSIDIO!$V$418)*(0.04)/(1-0.04)</f>
        <v>0</v>
      </c>
      <c r="AC418" s="56">
        <f>((SUBSIDIO!$L$418*SUBSIDIO!$W$418)+(SUBSIDIO!$N$418*SUBSIDIO!$X$418))*(0.04)/(1-0.04)</f>
        <v>24.293904000000005</v>
      </c>
      <c r="AD418" s="56">
        <f>(SUBSIDIO!$J$418*SUBSIDIO!$Y$418)*(0.02)/(1-0.02)</f>
        <v>0</v>
      </c>
      <c r="AE418" s="56">
        <f ca="1">((SUBSIDIO!$L$418*SUBSIDIO!$Z$418)+(SUBSIDIO!$N$418*SUBSIDIO!$AA$418))*(0.02)/(1-0.02)</f>
        <v>12.793994431964826</v>
      </c>
      <c r="AF418" s="3" t="s">
        <v>1023</v>
      </c>
    </row>
    <row r="419" spans="1:32" ht="11.25" customHeight="1" x14ac:dyDescent="0.25">
      <c r="A419" s="3" t="s">
        <v>21</v>
      </c>
      <c r="B419" s="3" t="s">
        <v>41</v>
      </c>
      <c r="C419" s="3" t="s">
        <v>42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35</v>
      </c>
      <c r="I419" s="6">
        <v>44562</v>
      </c>
      <c r="J419" s="4">
        <v>0</v>
      </c>
      <c r="K419" s="56">
        <v>0</v>
      </c>
      <c r="L419" s="4">
        <v>2020.7329999999999</v>
      </c>
      <c r="M419" s="56">
        <v>2020.7329999999999</v>
      </c>
      <c r="N419" s="4">
        <v>2020.7329999999999</v>
      </c>
      <c r="O419" s="56">
        <v>2020.7329999999999</v>
      </c>
      <c r="P419" s="4">
        <v>0</v>
      </c>
      <c r="Q419" s="3" t="s">
        <v>26</v>
      </c>
      <c r="R419" s="3">
        <v>0</v>
      </c>
      <c r="S419" s="3">
        <v>0</v>
      </c>
      <c r="T419" s="3">
        <v>21</v>
      </c>
      <c r="U419" s="3">
        <v>89</v>
      </c>
      <c r="V419" s="56">
        <f>IF(ISERROR(VLOOKUP($S$419,'TAR FIN'!$A$1:$O$113,15,0)),0,VLOOKUP($S$419,'TAR FIN'!$A$1:$O$113,15,0))</f>
        <v>0</v>
      </c>
      <c r="W419" s="56">
        <f>IF(ISERROR(VLOOKUP($T$419,'TAR FIN'!$A$1:$O$113,15,0)),0,VLOOKUP($T$419,'TAR FIN'!$A$1:$O$113,15,0))*(1-0.04)</f>
        <v>49.219200000000001</v>
      </c>
      <c r="X419" s="56">
        <f>IF(ISERROR(VLOOKUP($U$419,'TAR FIN'!$A$1:$O$113,15,0)),0,VLOOKUP($U$419,'TAR FIN'!$A$1:$O$113,15,0))*(1-0.04)</f>
        <v>213.41759999999999</v>
      </c>
      <c r="Y419" s="56"/>
      <c r="Z419" s="56">
        <f ca="1">('TUSD BE'!$AM$32+'TUSD BF'!$AM$32+'TUSD CVA'!$AM$32)*1*(1-0.02)</f>
        <v>63.70726143397826</v>
      </c>
      <c r="AA419" s="56">
        <f>('TE BE'!$AA$11+'TE BF'!$AA$11+'TE CVA'!$AA$11)*1*(1-0.02)</f>
        <v>218.68270575803808</v>
      </c>
      <c r="AB419" s="56">
        <f>(SUBSIDIO!$J$419*SUBSIDIO!$V$419)*(0.04)/(1-0.04)</f>
        <v>0</v>
      </c>
      <c r="AC419" s="56">
        <f>((SUBSIDIO!$L$419*SUBSIDIO!$W$419)+(SUBSIDIO!$N$419*SUBSIDIO!$X$419))*(0.04)/(1-0.04)</f>
        <v>22113.285365600001</v>
      </c>
      <c r="AD419" s="56">
        <f>(SUBSIDIO!$J$419*SUBSIDIO!$Y$419)*(0.02)/(1-0.02)</f>
        <v>0</v>
      </c>
      <c r="AE419" s="56">
        <f ca="1">((SUBSIDIO!$L$419*SUBSIDIO!$Z$419)+(SUBSIDIO!$N$419*SUBSIDIO!$AA$419))*(0.02)/(1-0.02)</f>
        <v>11645.60664436377</v>
      </c>
      <c r="AF419" s="3" t="s">
        <v>1023</v>
      </c>
    </row>
    <row r="420" spans="1:32" ht="11.25" customHeight="1" x14ac:dyDescent="0.25">
      <c r="A420" s="3" t="s">
        <v>27</v>
      </c>
      <c r="B420" s="3" t="s">
        <v>41</v>
      </c>
      <c r="C420" s="3" t="s">
        <v>42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35</v>
      </c>
      <c r="I420" s="6">
        <v>44562</v>
      </c>
      <c r="J420" s="4">
        <v>0</v>
      </c>
      <c r="K420" s="56">
        <v>0</v>
      </c>
      <c r="L420" s="4">
        <v>-164.447</v>
      </c>
      <c r="M420" s="56">
        <v>-164.447</v>
      </c>
      <c r="N420" s="4">
        <v>-164.447</v>
      </c>
      <c r="O420" s="56">
        <v>-164.447</v>
      </c>
      <c r="P420" s="4">
        <v>0</v>
      </c>
      <c r="Q420" s="3" t="s">
        <v>26</v>
      </c>
      <c r="R420" s="3">
        <v>0</v>
      </c>
      <c r="S420" s="3">
        <v>0</v>
      </c>
      <c r="T420" s="3">
        <v>21</v>
      </c>
      <c r="U420" s="3">
        <v>89</v>
      </c>
      <c r="V420" s="56">
        <f>IF(ISERROR(VLOOKUP($S$420,'TAR FIN'!$A$1:$O$113,15,0)),0,VLOOKUP($S$420,'TAR FIN'!$A$1:$O$113,15,0))</f>
        <v>0</v>
      </c>
      <c r="W420" s="56">
        <f>IF(ISERROR(VLOOKUP($T$420,'TAR FIN'!$A$1:$O$113,15,0)),0,VLOOKUP($T$420,'TAR FIN'!$A$1:$O$113,15,0))*(1-0.04)</f>
        <v>49.219200000000001</v>
      </c>
      <c r="X420" s="56">
        <f>IF(ISERROR(VLOOKUP($U$420,'TAR FIN'!$A$1:$O$113,15,0)),0,VLOOKUP($U$420,'TAR FIN'!$A$1:$O$113,15,0))*(1-0.04)</f>
        <v>213.41759999999999</v>
      </c>
      <c r="Y420" s="56"/>
      <c r="Z420" s="56">
        <f ca="1">('TUSD BE'!$AM$32+'TUSD BF'!$AM$32+'TUSD CVA'!$AM$32)*1*(1-0.02)</f>
        <v>63.70726143397826</v>
      </c>
      <c r="AA420" s="56">
        <f>('TE BE'!$AA$11+'TE BF'!$AA$11+'TE CVA'!$AA$11)*1*(1-0.02)</f>
        <v>218.68270575803808</v>
      </c>
      <c r="AB420" s="56">
        <f>(SUBSIDIO!$J$420*SUBSIDIO!$V$420)*(0.04)/(1-0.04)</f>
        <v>0</v>
      </c>
      <c r="AC420" s="56">
        <f>((SUBSIDIO!$L$420*SUBSIDIO!$W$420)+(SUBSIDIO!$N$420*SUBSIDIO!$X$420))*(0.04)/(1-0.04)</f>
        <v>-1799.5764104000002</v>
      </c>
      <c r="AD420" s="56">
        <f>(SUBSIDIO!$J$420*SUBSIDIO!$Y$420)*(0.02)/(1-0.02)</f>
        <v>0</v>
      </c>
      <c r="AE420" s="56">
        <f ca="1">((SUBSIDIO!$L$420*SUBSIDIO!$Z$420)+(SUBSIDIO!$N$420*SUBSIDIO!$AA$420))*(0.02)/(1-0.02)</f>
        <v>-947.71801907807162</v>
      </c>
      <c r="AF420" s="3" t="s">
        <v>1023</v>
      </c>
    </row>
    <row r="421" spans="1:32" ht="11.25" customHeight="1" x14ac:dyDescent="0.25">
      <c r="A421" s="3" t="s">
        <v>28</v>
      </c>
      <c r="B421" s="3" t="s">
        <v>41</v>
      </c>
      <c r="C421" s="3" t="s">
        <v>42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44562</v>
      </c>
      <c r="J421" s="4">
        <v>0</v>
      </c>
      <c r="K421" s="56">
        <v>0</v>
      </c>
      <c r="L421" s="4">
        <v>12.698</v>
      </c>
      <c r="M421" s="56">
        <v>12.698</v>
      </c>
      <c r="N421" s="4">
        <v>12.698</v>
      </c>
      <c r="O421" s="56">
        <v>12.698</v>
      </c>
      <c r="P421" s="4">
        <v>0</v>
      </c>
      <c r="Q421" s="3" t="s">
        <v>26</v>
      </c>
      <c r="R421" s="3">
        <v>0</v>
      </c>
      <c r="S421" s="3">
        <v>0</v>
      </c>
      <c r="T421" s="3">
        <v>21</v>
      </c>
      <c r="U421" s="3">
        <v>89</v>
      </c>
      <c r="V421" s="56">
        <f>IF(ISERROR(VLOOKUP($S$421,'TAR FIN'!$A$1:$O$113,15,0)),0,VLOOKUP($S$421,'TAR FIN'!$A$1:$O$113,15,0))</f>
        <v>0</v>
      </c>
      <c r="W421" s="56">
        <f>IF(ISERROR(VLOOKUP($T$421,'TAR FIN'!$A$1:$O$113,15,0)),0,VLOOKUP($T$421,'TAR FIN'!$A$1:$O$113,15,0))*(1-0.04)</f>
        <v>49.219200000000001</v>
      </c>
      <c r="X421" s="56">
        <f>IF(ISERROR(VLOOKUP($U$421,'TAR FIN'!$A$1:$O$113,15,0)),0,VLOOKUP($U$421,'TAR FIN'!$A$1:$O$113,15,0))*(1-0.04)</f>
        <v>213.41759999999999</v>
      </c>
      <c r="Y421" s="56"/>
      <c r="Z421" s="56">
        <f ca="1">('TUSD BE'!$AM$32+'TUSD BF'!$AM$32+'TUSD CVA'!$AM$32)*1*(1-0.02)</f>
        <v>63.70726143397826</v>
      </c>
      <c r="AA421" s="56">
        <f>('TE BE'!$AA$11+'TE BF'!$AA$11+'TE CVA'!$AA$11)*1*(1-0.02)</f>
        <v>218.68270575803808</v>
      </c>
      <c r="AB421" s="56">
        <f>(SUBSIDIO!$J$421*SUBSIDIO!$V$421)*(0.04)/(1-0.04)</f>
        <v>0</v>
      </c>
      <c r="AC421" s="56">
        <f>((SUBSIDIO!$L$421*SUBSIDIO!$W$421)+(SUBSIDIO!$N$421*SUBSIDIO!$X$421))*(0.04)/(1-0.04)</f>
        <v>138.95675360000001</v>
      </c>
      <c r="AD421" s="56">
        <f>(SUBSIDIO!$J$421*SUBSIDIO!$Y$421)*(0.02)/(1-0.02)</f>
        <v>0</v>
      </c>
      <c r="AE421" s="56">
        <f ca="1">((SUBSIDIO!$L$421*SUBSIDIO!$Z$421)+(SUBSIDIO!$N$421*SUBSIDIO!$AA$421))*(0.02)/(1-0.02)</f>
        <v>73.179342926616812</v>
      </c>
      <c r="AF421" s="3" t="s">
        <v>1023</v>
      </c>
    </row>
    <row r="422" spans="1:32" ht="11.25" customHeight="1" x14ac:dyDescent="0.25">
      <c r="A422" s="3" t="s">
        <v>21</v>
      </c>
      <c r="B422" s="3" t="s">
        <v>41</v>
      </c>
      <c r="C422" s="3" t="s">
        <v>42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44593</v>
      </c>
      <c r="J422" s="4">
        <v>0</v>
      </c>
      <c r="K422" s="56">
        <v>0</v>
      </c>
      <c r="L422" s="4">
        <v>1885.9590000000001</v>
      </c>
      <c r="M422" s="56">
        <v>1885.9590000000001</v>
      </c>
      <c r="N422" s="4">
        <v>1885.9590000000001</v>
      </c>
      <c r="O422" s="56">
        <v>1885.9590000000001</v>
      </c>
      <c r="P422" s="4">
        <v>0</v>
      </c>
      <c r="Q422" s="3" t="s">
        <v>26</v>
      </c>
      <c r="R422" s="3">
        <v>0</v>
      </c>
      <c r="S422" s="3">
        <v>0</v>
      </c>
      <c r="T422" s="3">
        <v>21</v>
      </c>
      <c r="U422" s="3">
        <v>89</v>
      </c>
      <c r="V422" s="56">
        <f>IF(ISERROR(VLOOKUP($S$422,'TAR FIN'!$A$1:$O$113,15,0)),0,VLOOKUP($S$422,'TAR FIN'!$A$1:$O$113,15,0))</f>
        <v>0</v>
      </c>
      <c r="W422" s="56">
        <f>IF(ISERROR(VLOOKUP($T$422,'TAR FIN'!$A$1:$O$113,15,0)),0,VLOOKUP($T$422,'TAR FIN'!$A$1:$O$113,15,0))*(1-0.04)</f>
        <v>49.219200000000001</v>
      </c>
      <c r="X422" s="56">
        <f>IF(ISERROR(VLOOKUP($U$422,'TAR FIN'!$A$1:$O$113,15,0)),0,VLOOKUP($U$422,'TAR FIN'!$A$1:$O$113,15,0))*(1-0.04)</f>
        <v>213.41759999999999</v>
      </c>
      <c r="Y422" s="56"/>
      <c r="Z422" s="56">
        <f ca="1">('TUSD BE'!$AM$32+'TUSD BF'!$AM$32+'TUSD CVA'!$AM$32)*1*(1-0.02)</f>
        <v>63.70726143397826</v>
      </c>
      <c r="AA422" s="56">
        <f>('TE BE'!$AA$11+'TE BF'!$AA$11+'TE CVA'!$AA$11)*1*(1-0.02)</f>
        <v>218.68270575803808</v>
      </c>
      <c r="AB422" s="56">
        <f>(SUBSIDIO!$J$422*SUBSIDIO!$V$422)*(0.04)/(1-0.04)</f>
        <v>0</v>
      </c>
      <c r="AC422" s="56">
        <f>((SUBSIDIO!$L$422*SUBSIDIO!$W$422)+(SUBSIDIO!$N$422*SUBSIDIO!$X$422))*(0.04)/(1-0.04)</f>
        <v>20638.426528800002</v>
      </c>
      <c r="AD422" s="56">
        <f>(SUBSIDIO!$J$422*SUBSIDIO!$Y$422)*(0.02)/(1-0.02)</f>
        <v>0</v>
      </c>
      <c r="AE422" s="56">
        <f ca="1">((SUBSIDIO!$L$422*SUBSIDIO!$Z$422)+(SUBSIDIO!$N$422*SUBSIDIO!$AA$422))*(0.02)/(1-0.02)</f>
        <v>10868.895921132409</v>
      </c>
      <c r="AF422" s="3" t="s">
        <v>1023</v>
      </c>
    </row>
    <row r="423" spans="1:32" ht="11.25" customHeight="1" x14ac:dyDescent="0.25">
      <c r="A423" s="3" t="s">
        <v>27</v>
      </c>
      <c r="B423" s="3" t="s">
        <v>41</v>
      </c>
      <c r="C423" s="3" t="s">
        <v>42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35</v>
      </c>
      <c r="I423" s="6">
        <v>44593</v>
      </c>
      <c r="J423" s="4">
        <v>0</v>
      </c>
      <c r="K423" s="56">
        <v>0</v>
      </c>
      <c r="L423" s="4">
        <v>432.71899999999999</v>
      </c>
      <c r="M423" s="56">
        <v>432.71899999999999</v>
      </c>
      <c r="N423" s="4">
        <v>432.71899999999999</v>
      </c>
      <c r="O423" s="56">
        <v>432.71899999999999</v>
      </c>
      <c r="P423" s="4">
        <v>0</v>
      </c>
      <c r="Q423" s="3" t="s">
        <v>26</v>
      </c>
      <c r="R423" s="3">
        <v>0</v>
      </c>
      <c r="S423" s="3">
        <v>0</v>
      </c>
      <c r="T423" s="3">
        <v>21</v>
      </c>
      <c r="U423" s="3">
        <v>89</v>
      </c>
      <c r="V423" s="56">
        <f>IF(ISERROR(VLOOKUP($S$423,'TAR FIN'!$A$1:$O$113,15,0)),0,VLOOKUP($S$423,'TAR FIN'!$A$1:$O$113,15,0))</f>
        <v>0</v>
      </c>
      <c r="W423" s="56">
        <f>IF(ISERROR(VLOOKUP($T$423,'TAR FIN'!$A$1:$O$113,15,0)),0,VLOOKUP($T$423,'TAR FIN'!$A$1:$O$113,15,0))*(1-0.04)</f>
        <v>49.219200000000001</v>
      </c>
      <c r="X423" s="56">
        <f>IF(ISERROR(VLOOKUP($U$423,'TAR FIN'!$A$1:$O$113,15,0)),0,VLOOKUP($U$423,'TAR FIN'!$A$1:$O$113,15,0))*(1-0.04)</f>
        <v>213.41759999999999</v>
      </c>
      <c r="Y423" s="56"/>
      <c r="Z423" s="56">
        <f ca="1">('TUSD BE'!$AM$32+'TUSD BF'!$AM$32+'TUSD CVA'!$AM$32)*1*(1-0.02)</f>
        <v>63.70726143397826</v>
      </c>
      <c r="AA423" s="56">
        <f>('TE BE'!$AA$11+'TE BF'!$AA$11+'TE CVA'!$AA$11)*1*(1-0.02)</f>
        <v>218.68270575803808</v>
      </c>
      <c r="AB423" s="56">
        <f>(SUBSIDIO!$J$423*SUBSIDIO!$V$423)*(0.04)/(1-0.04)</f>
        <v>0</v>
      </c>
      <c r="AC423" s="56">
        <f>((SUBSIDIO!$L$423*SUBSIDIO!$W$423)+(SUBSIDIO!$N$423*SUBSIDIO!$X$423))*(0.04)/(1-0.04)</f>
        <v>4735.3305608000001</v>
      </c>
      <c r="AD423" s="56">
        <f>(SUBSIDIO!$J$423*SUBSIDIO!$Y$423)*(0.02)/(1-0.02)</f>
        <v>0</v>
      </c>
      <c r="AE423" s="56">
        <f ca="1">((SUBSIDIO!$L$423*SUBSIDIO!$Z$423)+(SUBSIDIO!$N$423*SUBSIDIO!$AA$423))*(0.02)/(1-0.02)</f>
        <v>2493.7858002726962</v>
      </c>
      <c r="AF423" s="3" t="s">
        <v>1023</v>
      </c>
    </row>
    <row r="424" spans="1:32" ht="11.25" customHeight="1" x14ac:dyDescent="0.25">
      <c r="A424" s="3" t="s">
        <v>28</v>
      </c>
      <c r="B424" s="3" t="s">
        <v>41</v>
      </c>
      <c r="C424" s="3" t="s">
        <v>42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35</v>
      </c>
      <c r="I424" s="6">
        <v>44593</v>
      </c>
      <c r="J424" s="4">
        <v>0</v>
      </c>
      <c r="K424" s="56">
        <v>0</v>
      </c>
      <c r="L424" s="4">
        <v>40.326000000000001</v>
      </c>
      <c r="M424" s="56">
        <v>40.326000000000001</v>
      </c>
      <c r="N424" s="4">
        <v>40.326000000000001</v>
      </c>
      <c r="O424" s="56">
        <v>40.326000000000001</v>
      </c>
      <c r="P424" s="4">
        <v>0</v>
      </c>
      <c r="Q424" s="3" t="s">
        <v>26</v>
      </c>
      <c r="R424" s="3">
        <v>0</v>
      </c>
      <c r="S424" s="3">
        <v>0</v>
      </c>
      <c r="T424" s="3">
        <v>21</v>
      </c>
      <c r="U424" s="3">
        <v>89</v>
      </c>
      <c r="V424" s="56">
        <f>IF(ISERROR(VLOOKUP($S$424,'TAR FIN'!$A$1:$O$113,15,0)),0,VLOOKUP($S$424,'TAR FIN'!$A$1:$O$113,15,0))</f>
        <v>0</v>
      </c>
      <c r="W424" s="56">
        <f>IF(ISERROR(VLOOKUP($T$424,'TAR FIN'!$A$1:$O$113,15,0)),0,VLOOKUP($T$424,'TAR FIN'!$A$1:$O$113,15,0))*(1-0.04)</f>
        <v>49.219200000000001</v>
      </c>
      <c r="X424" s="56">
        <f>IF(ISERROR(VLOOKUP($U$424,'TAR FIN'!$A$1:$O$113,15,0)),0,VLOOKUP($U$424,'TAR FIN'!$A$1:$O$113,15,0))*(1-0.04)</f>
        <v>213.41759999999999</v>
      </c>
      <c r="Y424" s="56"/>
      <c r="Z424" s="56">
        <f ca="1">('TUSD BE'!$AM$32+'TUSD BF'!$AM$32+'TUSD CVA'!$AM$32)*1*(1-0.02)</f>
        <v>63.70726143397826</v>
      </c>
      <c r="AA424" s="56">
        <f>('TE BE'!$AA$11+'TE BF'!$AA$11+'TE CVA'!$AA$11)*1*(1-0.02)</f>
        <v>218.68270575803808</v>
      </c>
      <c r="AB424" s="56">
        <f>(SUBSIDIO!$J$424*SUBSIDIO!$V$424)*(0.04)/(1-0.04)</f>
        <v>0</v>
      </c>
      <c r="AC424" s="56">
        <f>((SUBSIDIO!$L$424*SUBSIDIO!$W$424)+(SUBSIDIO!$N$424*SUBSIDIO!$X$424))*(0.04)/(1-0.04)</f>
        <v>441.29548320000009</v>
      </c>
      <c r="AD424" s="56">
        <f>(SUBSIDIO!$J$424*SUBSIDIO!$Y$424)*(0.02)/(1-0.02)</f>
        <v>0</v>
      </c>
      <c r="AE424" s="56">
        <f ca="1">((SUBSIDIO!$L$424*SUBSIDIO!$Z$424)+(SUBSIDIO!$N$424*SUBSIDIO!$AA$424))*(0.02)/(1-0.02)</f>
        <v>232.40117993847451</v>
      </c>
      <c r="AF424" s="3" t="s">
        <v>1023</v>
      </c>
    </row>
    <row r="425" spans="1:32" ht="11.25" customHeight="1" x14ac:dyDescent="0.25">
      <c r="A425" s="3" t="s">
        <v>56</v>
      </c>
      <c r="B425" s="3" t="s">
        <v>41</v>
      </c>
      <c r="C425" s="3" t="s">
        <v>42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44621</v>
      </c>
      <c r="J425" s="4">
        <v>0</v>
      </c>
      <c r="K425" s="56">
        <v>0</v>
      </c>
      <c r="L425" s="4">
        <v>1885.9590000000001</v>
      </c>
      <c r="M425" s="56">
        <v>1885.9590000000001</v>
      </c>
      <c r="N425" s="4">
        <v>1885.9590000000001</v>
      </c>
      <c r="O425" s="56">
        <v>1885.9590000000001</v>
      </c>
      <c r="P425" s="4">
        <v>0</v>
      </c>
      <c r="Q425" s="3" t="s">
        <v>26</v>
      </c>
      <c r="R425" s="3">
        <v>0</v>
      </c>
      <c r="S425" s="3">
        <v>0</v>
      </c>
      <c r="T425" s="3">
        <v>21</v>
      </c>
      <c r="U425" s="3">
        <v>89</v>
      </c>
      <c r="V425" s="56">
        <f>IF(ISERROR(VLOOKUP($S$425,'TAR FIN'!$A$1:$O$113,15,0)),0,VLOOKUP($S$425,'TAR FIN'!$A$1:$O$113,15,0))</f>
        <v>0</v>
      </c>
      <c r="W425" s="56">
        <f>IF(ISERROR(VLOOKUP($T$425,'TAR FIN'!$A$1:$O$113,15,0)),0,VLOOKUP($T$425,'TAR FIN'!$A$1:$O$113,15,0))*(1-0.04)</f>
        <v>49.219200000000001</v>
      </c>
      <c r="X425" s="56">
        <f>IF(ISERROR(VLOOKUP($U$425,'TAR FIN'!$A$1:$O$113,15,0)),0,VLOOKUP($U$425,'TAR FIN'!$A$1:$O$113,15,0))*(1-0.04)</f>
        <v>213.41759999999999</v>
      </c>
      <c r="Y425" s="56"/>
      <c r="Z425" s="56">
        <f ca="1">('TUSD BE'!$AM$32+'TUSD BF'!$AM$32+'TUSD CVA'!$AM$32)*1*(1-0.02)</f>
        <v>63.70726143397826</v>
      </c>
      <c r="AA425" s="56">
        <f>('TE BE'!$AA$11+'TE BF'!$AA$11+'TE CVA'!$AA$11)*1*(1-0.02)</f>
        <v>218.68270575803808</v>
      </c>
      <c r="AB425" s="56">
        <f>(SUBSIDIO!$J$425*SUBSIDIO!$V$425)*(0.04)/(1-0.04)</f>
        <v>0</v>
      </c>
      <c r="AC425" s="56">
        <f>((SUBSIDIO!$L$425*SUBSIDIO!$W$425)+(SUBSIDIO!$N$425*SUBSIDIO!$X$425))*(0.04)/(1-0.04)</f>
        <v>20638.426528800002</v>
      </c>
      <c r="AD425" s="56">
        <f>(SUBSIDIO!$J$425*SUBSIDIO!$Y$425)*(0.02)/(1-0.02)</f>
        <v>0</v>
      </c>
      <c r="AE425" s="56">
        <f ca="1">((SUBSIDIO!$L$425*SUBSIDIO!$Z$425)+(SUBSIDIO!$N$425*SUBSIDIO!$AA$425))*(0.02)/(1-0.02)</f>
        <v>10868.895921132409</v>
      </c>
      <c r="AF425" s="3" t="s">
        <v>1023</v>
      </c>
    </row>
    <row r="426" spans="1:32" ht="11.25" customHeight="1" x14ac:dyDescent="0.25">
      <c r="A426" s="3" t="s">
        <v>56</v>
      </c>
      <c r="B426" s="3" t="s">
        <v>41</v>
      </c>
      <c r="C426" s="3" t="s">
        <v>42</v>
      </c>
      <c r="D426" s="3" t="s">
        <v>45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44621</v>
      </c>
      <c r="J426" s="4">
        <v>0</v>
      </c>
      <c r="K426" s="56">
        <v>0</v>
      </c>
      <c r="L426" s="4">
        <v>432.71899999999999</v>
      </c>
      <c r="M426" s="56">
        <v>432.71899999999999</v>
      </c>
      <c r="N426" s="4">
        <v>432.71899999999999</v>
      </c>
      <c r="O426" s="56">
        <v>432.71899999999999</v>
      </c>
      <c r="P426" s="4">
        <v>0</v>
      </c>
      <c r="Q426" s="3" t="s">
        <v>26</v>
      </c>
      <c r="R426" s="3">
        <v>0</v>
      </c>
      <c r="S426" s="3">
        <v>0</v>
      </c>
      <c r="T426" s="3">
        <v>21</v>
      </c>
      <c r="U426" s="3">
        <v>89</v>
      </c>
      <c r="V426" s="56">
        <f>IF(ISERROR(VLOOKUP($S$426,'TAR FIN'!$A$1:$O$113,15,0)),0,VLOOKUP($S$426,'TAR FIN'!$A$1:$O$113,15,0))</f>
        <v>0</v>
      </c>
      <c r="W426" s="56">
        <f>IF(ISERROR(VLOOKUP($T$426,'TAR FIN'!$A$1:$O$113,15,0)),0,VLOOKUP($T$426,'TAR FIN'!$A$1:$O$113,15,0))*(1-0.04)</f>
        <v>49.219200000000001</v>
      </c>
      <c r="X426" s="56">
        <f>IF(ISERROR(VLOOKUP($U$426,'TAR FIN'!$A$1:$O$113,15,0)),0,VLOOKUP($U$426,'TAR FIN'!$A$1:$O$113,15,0))*(1-0.04)</f>
        <v>213.41759999999999</v>
      </c>
      <c r="Y426" s="56"/>
      <c r="Z426" s="56">
        <f ca="1">('TUSD BE'!$AM$32+'TUSD BF'!$AM$32+'TUSD CVA'!$AM$32)*1*(1-0.02)</f>
        <v>63.70726143397826</v>
      </c>
      <c r="AA426" s="56">
        <f>('TE BE'!$AA$11+'TE BF'!$AA$11+'TE CVA'!$AA$11)*1*(1-0.02)</f>
        <v>218.68270575803808</v>
      </c>
      <c r="AB426" s="56">
        <f>(SUBSIDIO!$J$426*SUBSIDIO!$V$426)*(0.04)/(1-0.04)</f>
        <v>0</v>
      </c>
      <c r="AC426" s="56">
        <f>((SUBSIDIO!$L$426*SUBSIDIO!$W$426)+(SUBSIDIO!$N$426*SUBSIDIO!$X$426))*(0.04)/(1-0.04)</f>
        <v>4735.3305608000001</v>
      </c>
      <c r="AD426" s="56">
        <f>(SUBSIDIO!$J$426*SUBSIDIO!$Y$426)*(0.02)/(1-0.02)</f>
        <v>0</v>
      </c>
      <c r="AE426" s="56">
        <f ca="1">((SUBSIDIO!$L$426*SUBSIDIO!$Z$426)+(SUBSIDIO!$N$426*SUBSIDIO!$AA$426))*(0.02)/(1-0.02)</f>
        <v>2493.7858002726962</v>
      </c>
      <c r="AF426" s="3" t="s">
        <v>1023</v>
      </c>
    </row>
    <row r="427" spans="1:32" ht="11.25" customHeight="1" x14ac:dyDescent="0.25">
      <c r="A427" s="3" t="s">
        <v>56</v>
      </c>
      <c r="B427" s="3" t="s">
        <v>41</v>
      </c>
      <c r="C427" s="3" t="s">
        <v>42</v>
      </c>
      <c r="D427" s="3" t="s">
        <v>45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44621</v>
      </c>
      <c r="J427" s="4">
        <v>0</v>
      </c>
      <c r="K427" s="56">
        <v>0</v>
      </c>
      <c r="L427" s="4">
        <v>40.326000000000001</v>
      </c>
      <c r="M427" s="56">
        <v>40.326000000000001</v>
      </c>
      <c r="N427" s="4">
        <v>40.326000000000001</v>
      </c>
      <c r="O427" s="56">
        <v>40.326000000000001</v>
      </c>
      <c r="P427" s="4">
        <v>0</v>
      </c>
      <c r="Q427" s="3" t="s">
        <v>26</v>
      </c>
      <c r="R427" s="3">
        <v>0</v>
      </c>
      <c r="S427" s="3">
        <v>0</v>
      </c>
      <c r="T427" s="3">
        <v>21</v>
      </c>
      <c r="U427" s="3">
        <v>89</v>
      </c>
      <c r="V427" s="56">
        <f>IF(ISERROR(VLOOKUP($S$427,'TAR FIN'!$A$1:$O$113,15,0)),0,VLOOKUP($S$427,'TAR FIN'!$A$1:$O$113,15,0))</f>
        <v>0</v>
      </c>
      <c r="W427" s="56">
        <f>IF(ISERROR(VLOOKUP($T$427,'TAR FIN'!$A$1:$O$113,15,0)),0,VLOOKUP($T$427,'TAR FIN'!$A$1:$O$113,15,0))*(1-0.04)</f>
        <v>49.219200000000001</v>
      </c>
      <c r="X427" s="56">
        <f>IF(ISERROR(VLOOKUP($U$427,'TAR FIN'!$A$1:$O$113,15,0)),0,VLOOKUP($U$427,'TAR FIN'!$A$1:$O$113,15,0))*(1-0.04)</f>
        <v>213.41759999999999</v>
      </c>
      <c r="Y427" s="56"/>
      <c r="Z427" s="56">
        <f ca="1">('TUSD BE'!$AM$32+'TUSD BF'!$AM$32+'TUSD CVA'!$AM$32)*1*(1-0.02)</f>
        <v>63.70726143397826</v>
      </c>
      <c r="AA427" s="56">
        <f>('TE BE'!$AA$11+'TE BF'!$AA$11+'TE CVA'!$AA$11)*1*(1-0.02)</f>
        <v>218.68270575803808</v>
      </c>
      <c r="AB427" s="56">
        <f>(SUBSIDIO!$J$427*SUBSIDIO!$V$427)*(0.04)/(1-0.04)</f>
        <v>0</v>
      </c>
      <c r="AC427" s="56">
        <f>((SUBSIDIO!$L$427*SUBSIDIO!$W$427)+(SUBSIDIO!$N$427*SUBSIDIO!$X$427))*(0.04)/(1-0.04)</f>
        <v>441.29548320000009</v>
      </c>
      <c r="AD427" s="56">
        <f>(SUBSIDIO!$J$427*SUBSIDIO!$Y$427)*(0.02)/(1-0.02)</f>
        <v>0</v>
      </c>
      <c r="AE427" s="56">
        <f ca="1">((SUBSIDIO!$L$427*SUBSIDIO!$Z$427)+(SUBSIDIO!$N$427*SUBSIDIO!$AA$427))*(0.02)/(1-0.02)</f>
        <v>232.40117993847451</v>
      </c>
      <c r="AF427" s="3" t="s">
        <v>1023</v>
      </c>
    </row>
    <row r="428" spans="1:32" ht="11.25" customHeight="1" x14ac:dyDescent="0.25">
      <c r="A428" s="3" t="s">
        <v>21</v>
      </c>
      <c r="B428" s="3" t="s">
        <v>41</v>
      </c>
      <c r="C428" s="3" t="s">
        <v>42</v>
      </c>
      <c r="D428" s="3" t="s">
        <v>45</v>
      </c>
      <c r="E428" s="3" t="s">
        <v>25</v>
      </c>
      <c r="F428" s="3" t="s">
        <v>25</v>
      </c>
      <c r="G428" s="3" t="s">
        <v>25</v>
      </c>
      <c r="H428" s="3" t="s">
        <v>25</v>
      </c>
      <c r="I428" s="6">
        <v>44287</v>
      </c>
      <c r="J428" s="4">
        <v>8807</v>
      </c>
      <c r="K428" s="56">
        <v>8807</v>
      </c>
      <c r="L428" s="4">
        <v>0</v>
      </c>
      <c r="M428" s="56">
        <v>0</v>
      </c>
      <c r="N428" s="4">
        <v>0</v>
      </c>
      <c r="O428" s="56">
        <v>0</v>
      </c>
      <c r="P428" s="4">
        <v>52</v>
      </c>
      <c r="Q428" s="3" t="s">
        <v>26</v>
      </c>
      <c r="R428" s="3">
        <v>0</v>
      </c>
      <c r="S428" s="3">
        <v>44</v>
      </c>
      <c r="T428" s="3">
        <v>0</v>
      </c>
      <c r="U428" s="3">
        <v>0</v>
      </c>
      <c r="V428" s="56">
        <f>IF(ISERROR(VLOOKUP($S$428,'TAR FIN'!$A$1:$O$113,15,0)),0,VLOOKUP($S$428,'TAR FIN'!$A$1:$O$113,15,0))*(1-0.04)</f>
        <v>23.337599999999998</v>
      </c>
      <c r="W428" s="56">
        <f>IF(ISERROR(VLOOKUP($T$428,'TAR FIN'!$A$1:$O$113,15,0)),0,VLOOKUP($T$428,'TAR FIN'!$A$1:$O$113,15,0))</f>
        <v>0</v>
      </c>
      <c r="X428" s="56">
        <f>IF(ISERROR(VLOOKUP($U$428,'TAR FIN'!$A$1:$O$113,15,0)),0,VLOOKUP($U$428,'TAR FIN'!$A$1:$O$113,15,0))</f>
        <v>0</v>
      </c>
      <c r="Y428" s="56">
        <f ca="1">('TUSD BE'!$AM$30+'TUSD BF'!$AM$30+'TUSD CVA'!$AM$30)*1*(1-0.02)</f>
        <v>26.066113153707715</v>
      </c>
      <c r="Z428" s="56"/>
      <c r="AA428" s="56"/>
      <c r="AB428" s="56">
        <f>(SUBSIDIO!$J$428*SUBSIDIO!$V$428)*(0.04)/(1-0.04)</f>
        <v>8563.9267999999993</v>
      </c>
      <c r="AC428" s="56">
        <f>((SUBSIDIO!$L$428*SUBSIDIO!$W$428)+(SUBSIDIO!$N$428*SUBSIDIO!$X$428))*(0.04)/(1-0.04)</f>
        <v>0</v>
      </c>
      <c r="AD428" s="56">
        <f ca="1">(SUBSIDIO!$J$428*SUBSIDIO!$Y$428)*(0.02)/(1-0.02)</f>
        <v>4684.9848682592628</v>
      </c>
      <c r="AE428" s="56">
        <f>((SUBSIDIO!$L$428*SUBSIDIO!$Z$428)+(SUBSIDIO!$N$428*SUBSIDIO!$AA$428))*(0.02)/(1-0.02)</f>
        <v>0</v>
      </c>
      <c r="AF428" s="3" t="s">
        <v>1023</v>
      </c>
    </row>
    <row r="429" spans="1:32" ht="11.25" customHeight="1" x14ac:dyDescent="0.25">
      <c r="A429" s="3" t="s">
        <v>21</v>
      </c>
      <c r="B429" s="3" t="s">
        <v>41</v>
      </c>
      <c r="C429" s="3" t="s">
        <v>42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25</v>
      </c>
      <c r="I429" s="6">
        <v>44317</v>
      </c>
      <c r="J429" s="4">
        <v>6338</v>
      </c>
      <c r="K429" s="56">
        <v>6338</v>
      </c>
      <c r="L429" s="4">
        <v>0</v>
      </c>
      <c r="M429" s="56">
        <v>0</v>
      </c>
      <c r="N429" s="4">
        <v>0</v>
      </c>
      <c r="O429" s="56">
        <v>0</v>
      </c>
      <c r="P429" s="4">
        <v>55</v>
      </c>
      <c r="Q429" s="3" t="s">
        <v>26</v>
      </c>
      <c r="R429" s="3">
        <v>0</v>
      </c>
      <c r="S429" s="3">
        <v>44</v>
      </c>
      <c r="T429" s="3">
        <v>0</v>
      </c>
      <c r="U429" s="3">
        <v>0</v>
      </c>
      <c r="V429" s="56">
        <f>IF(ISERROR(VLOOKUP($S$429,'TAR FIN'!$A$1:$O$113,15,0)),0,VLOOKUP($S$429,'TAR FIN'!$A$1:$O$113,15,0))*(1-0.04)</f>
        <v>23.337599999999998</v>
      </c>
      <c r="W429" s="56">
        <f>IF(ISERROR(VLOOKUP($T$429,'TAR FIN'!$A$1:$O$113,15,0)),0,VLOOKUP($T$429,'TAR FIN'!$A$1:$O$113,15,0))</f>
        <v>0</v>
      </c>
      <c r="X429" s="56">
        <f>IF(ISERROR(VLOOKUP($U$429,'TAR FIN'!$A$1:$O$113,15,0)),0,VLOOKUP($U$429,'TAR FIN'!$A$1:$O$113,15,0))</f>
        <v>0</v>
      </c>
      <c r="Y429" s="56">
        <f ca="1">('TUSD BE'!$AM$30+'TUSD BF'!$AM$30+'TUSD CVA'!$AM$30)*1*(1-0.02)</f>
        <v>26.066113153707715</v>
      </c>
      <c r="Z429" s="56"/>
      <c r="AA429" s="56"/>
      <c r="AB429" s="56">
        <f>(SUBSIDIO!$J$429*SUBSIDIO!$V$429)*(0.04)/(1-0.04)</f>
        <v>6163.0712000000003</v>
      </c>
      <c r="AC429" s="56">
        <f>((SUBSIDIO!$L$429*SUBSIDIO!$W$429)+(SUBSIDIO!$N$429*SUBSIDIO!$X$429))*(0.04)/(1-0.04)</f>
        <v>0</v>
      </c>
      <c r="AD429" s="56">
        <f ca="1">(SUBSIDIO!$J$429*SUBSIDIO!$Y$429)*(0.02)/(1-0.02)</f>
        <v>3371.5719422081529</v>
      </c>
      <c r="AE429" s="56">
        <f>((SUBSIDIO!$L$429*SUBSIDIO!$Z$429)+(SUBSIDIO!$N$429*SUBSIDIO!$AA$429))*(0.02)/(1-0.02)</f>
        <v>0</v>
      </c>
      <c r="AF429" s="3" t="s">
        <v>1023</v>
      </c>
    </row>
    <row r="430" spans="1:32" ht="11.25" customHeight="1" x14ac:dyDescent="0.25">
      <c r="A430" s="3" t="s">
        <v>27</v>
      </c>
      <c r="B430" s="3" t="s">
        <v>41</v>
      </c>
      <c r="C430" s="3" t="s">
        <v>42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25</v>
      </c>
      <c r="I430" s="6">
        <v>44317</v>
      </c>
      <c r="J430" s="4">
        <v>1</v>
      </c>
      <c r="K430" s="56">
        <v>1</v>
      </c>
      <c r="L430" s="4">
        <v>0</v>
      </c>
      <c r="M430" s="56">
        <v>0</v>
      </c>
      <c r="N430" s="4">
        <v>0</v>
      </c>
      <c r="O430" s="56">
        <v>0</v>
      </c>
      <c r="P430" s="4">
        <v>1</v>
      </c>
      <c r="Q430" s="3" t="s">
        <v>26</v>
      </c>
      <c r="R430" s="3">
        <v>0</v>
      </c>
      <c r="S430" s="3">
        <v>44</v>
      </c>
      <c r="T430" s="3">
        <v>0</v>
      </c>
      <c r="U430" s="3">
        <v>0</v>
      </c>
      <c r="V430" s="56">
        <f>IF(ISERROR(VLOOKUP($S$430,'TAR FIN'!$A$1:$O$113,15,0)),0,VLOOKUP($S$430,'TAR FIN'!$A$1:$O$113,15,0))*(1-0.04)</f>
        <v>23.337599999999998</v>
      </c>
      <c r="W430" s="56">
        <f>IF(ISERROR(VLOOKUP($T$430,'TAR FIN'!$A$1:$O$113,15,0)),0,VLOOKUP($T$430,'TAR FIN'!$A$1:$O$113,15,0))</f>
        <v>0</v>
      </c>
      <c r="X430" s="56">
        <f>IF(ISERROR(VLOOKUP($U$430,'TAR FIN'!$A$1:$O$113,15,0)),0,VLOOKUP($U$430,'TAR FIN'!$A$1:$O$113,15,0))</f>
        <v>0</v>
      </c>
      <c r="Y430" s="56">
        <f ca="1">('TUSD BE'!$AM$30+'TUSD BF'!$AM$30+'TUSD CVA'!$AM$30)*1*(1-0.02)</f>
        <v>26.066113153707715</v>
      </c>
      <c r="Z430" s="56"/>
      <c r="AA430" s="56"/>
      <c r="AB430" s="56">
        <f>(SUBSIDIO!$J$430*SUBSIDIO!$V$430)*(0.04)/(1-0.04)</f>
        <v>0.97240000000000004</v>
      </c>
      <c r="AC430" s="56">
        <f>((SUBSIDIO!$L$430*SUBSIDIO!$W$430)+(SUBSIDIO!$N$430*SUBSIDIO!$X$430))*(0.04)/(1-0.04)</f>
        <v>0</v>
      </c>
      <c r="AD430" s="56">
        <f ca="1">(SUBSIDIO!$J$430*SUBSIDIO!$Y$430)*(0.02)/(1-0.02)</f>
        <v>0.53196149293281048</v>
      </c>
      <c r="AE430" s="56">
        <f>((SUBSIDIO!$L$430*SUBSIDIO!$Z$430)+(SUBSIDIO!$N$430*SUBSIDIO!$AA$430))*(0.02)/(1-0.02)</f>
        <v>0</v>
      </c>
      <c r="AF430" s="3" t="s">
        <v>1023</v>
      </c>
    </row>
    <row r="431" spans="1:32" ht="11.25" customHeight="1" x14ac:dyDescent="0.25">
      <c r="A431" s="3" t="s">
        <v>28</v>
      </c>
      <c r="B431" s="3" t="s">
        <v>41</v>
      </c>
      <c r="C431" s="3" t="s">
        <v>42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25</v>
      </c>
      <c r="I431" s="6">
        <v>44317</v>
      </c>
      <c r="J431" s="4">
        <v>231</v>
      </c>
      <c r="K431" s="56">
        <v>231</v>
      </c>
      <c r="L431" s="4">
        <v>0</v>
      </c>
      <c r="M431" s="56">
        <v>0</v>
      </c>
      <c r="N431" s="4">
        <v>0</v>
      </c>
      <c r="O431" s="56">
        <v>0</v>
      </c>
      <c r="P431" s="4">
        <v>1</v>
      </c>
      <c r="Q431" s="3" t="s">
        <v>26</v>
      </c>
      <c r="R431" s="3">
        <v>0</v>
      </c>
      <c r="S431" s="3">
        <v>44</v>
      </c>
      <c r="T431" s="3">
        <v>0</v>
      </c>
      <c r="U431" s="3">
        <v>0</v>
      </c>
      <c r="V431" s="56">
        <f>IF(ISERROR(VLOOKUP($S$431,'TAR FIN'!$A$1:$O$113,15,0)),0,VLOOKUP($S$431,'TAR FIN'!$A$1:$O$113,15,0))*(1-0.04)</f>
        <v>23.337599999999998</v>
      </c>
      <c r="W431" s="56">
        <f>IF(ISERROR(VLOOKUP($T$431,'TAR FIN'!$A$1:$O$113,15,0)),0,VLOOKUP($T$431,'TAR FIN'!$A$1:$O$113,15,0))</f>
        <v>0</v>
      </c>
      <c r="X431" s="56">
        <f>IF(ISERROR(VLOOKUP($U$431,'TAR FIN'!$A$1:$O$113,15,0)),0,VLOOKUP($U$431,'TAR FIN'!$A$1:$O$113,15,0))</f>
        <v>0</v>
      </c>
      <c r="Y431" s="56">
        <f ca="1">('TUSD BE'!$AM$30+'TUSD BF'!$AM$30+'TUSD CVA'!$AM$30)*1*(1-0.02)</f>
        <v>26.066113153707715</v>
      </c>
      <c r="Z431" s="56"/>
      <c r="AA431" s="56"/>
      <c r="AB431" s="56">
        <f>(SUBSIDIO!$J$431*SUBSIDIO!$V$431)*(0.04)/(1-0.04)</f>
        <v>224.62440000000001</v>
      </c>
      <c r="AC431" s="56">
        <f>((SUBSIDIO!$L$431*SUBSIDIO!$W$431)+(SUBSIDIO!$N$431*SUBSIDIO!$X$431))*(0.04)/(1-0.04)</f>
        <v>0</v>
      </c>
      <c r="AD431" s="56">
        <f ca="1">(SUBSIDIO!$J$431*SUBSIDIO!$Y$431)*(0.02)/(1-0.02)</f>
        <v>122.88310486747923</v>
      </c>
      <c r="AE431" s="56">
        <f>((SUBSIDIO!$L$431*SUBSIDIO!$Z$431)+(SUBSIDIO!$N$431*SUBSIDIO!$AA$431))*(0.02)/(1-0.02)</f>
        <v>0</v>
      </c>
      <c r="AF431" s="3" t="s">
        <v>1023</v>
      </c>
    </row>
    <row r="432" spans="1:32" ht="11.25" customHeight="1" x14ac:dyDescent="0.25">
      <c r="A432" s="3" t="s">
        <v>21</v>
      </c>
      <c r="B432" s="3" t="s">
        <v>41</v>
      </c>
      <c r="C432" s="3" t="s">
        <v>42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25</v>
      </c>
      <c r="I432" s="6">
        <v>44348</v>
      </c>
      <c r="J432" s="4">
        <v>6919</v>
      </c>
      <c r="K432" s="56">
        <v>6919</v>
      </c>
      <c r="L432" s="4">
        <v>0</v>
      </c>
      <c r="M432" s="56">
        <v>0</v>
      </c>
      <c r="N432" s="4">
        <v>0</v>
      </c>
      <c r="O432" s="56">
        <v>0</v>
      </c>
      <c r="P432" s="4">
        <v>58</v>
      </c>
      <c r="Q432" s="3" t="s">
        <v>26</v>
      </c>
      <c r="R432" s="3">
        <v>0</v>
      </c>
      <c r="S432" s="3">
        <v>44</v>
      </c>
      <c r="T432" s="3">
        <v>0</v>
      </c>
      <c r="U432" s="3">
        <v>0</v>
      </c>
      <c r="V432" s="56">
        <f>IF(ISERROR(VLOOKUP($S$432,'TAR FIN'!$A$1:$O$113,15,0)),0,VLOOKUP($S$432,'TAR FIN'!$A$1:$O$113,15,0))*(1-0.04)</f>
        <v>23.337599999999998</v>
      </c>
      <c r="W432" s="56">
        <f>IF(ISERROR(VLOOKUP($T$432,'TAR FIN'!$A$1:$O$113,15,0)),0,VLOOKUP($T$432,'TAR FIN'!$A$1:$O$113,15,0))</f>
        <v>0</v>
      </c>
      <c r="X432" s="56">
        <f>IF(ISERROR(VLOOKUP($U$432,'TAR FIN'!$A$1:$O$113,15,0)),0,VLOOKUP($U$432,'TAR FIN'!$A$1:$O$113,15,0))</f>
        <v>0</v>
      </c>
      <c r="Y432" s="56">
        <f ca="1">('TUSD BE'!$AM$30+'TUSD BF'!$AM$30+'TUSD CVA'!$AM$30)*1*(1-0.02)</f>
        <v>26.066113153707715</v>
      </c>
      <c r="Z432" s="56"/>
      <c r="AA432" s="56"/>
      <c r="AB432" s="56">
        <f>(SUBSIDIO!$J$432*SUBSIDIO!$V$432)*(0.04)/(1-0.04)</f>
        <v>6728.0355999999992</v>
      </c>
      <c r="AC432" s="56">
        <f>((SUBSIDIO!$L$432*SUBSIDIO!$W$432)+(SUBSIDIO!$N$432*SUBSIDIO!$X$432))*(0.04)/(1-0.04)</f>
        <v>0</v>
      </c>
      <c r="AD432" s="56">
        <f ca="1">(SUBSIDIO!$J$432*SUBSIDIO!$Y$432)*(0.02)/(1-0.02)</f>
        <v>3680.6415696021163</v>
      </c>
      <c r="AE432" s="56">
        <f>((SUBSIDIO!$L$432*SUBSIDIO!$Z$432)+(SUBSIDIO!$N$432*SUBSIDIO!$AA$432))*(0.02)/(1-0.02)</f>
        <v>0</v>
      </c>
      <c r="AF432" s="3" t="s">
        <v>1023</v>
      </c>
    </row>
    <row r="433" spans="1:32" ht="11.25" customHeight="1" x14ac:dyDescent="0.25">
      <c r="A433" s="3" t="s">
        <v>28</v>
      </c>
      <c r="B433" s="3" t="s">
        <v>41</v>
      </c>
      <c r="C433" s="3" t="s">
        <v>42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25</v>
      </c>
      <c r="I433" s="6">
        <v>44348</v>
      </c>
      <c r="J433" s="4">
        <v>238</v>
      </c>
      <c r="K433" s="56">
        <v>238</v>
      </c>
      <c r="L433" s="4">
        <v>0</v>
      </c>
      <c r="M433" s="56">
        <v>0</v>
      </c>
      <c r="N433" s="4">
        <v>0</v>
      </c>
      <c r="O433" s="56">
        <v>0</v>
      </c>
      <c r="P433" s="4">
        <v>1</v>
      </c>
      <c r="Q433" s="3" t="s">
        <v>26</v>
      </c>
      <c r="R433" s="3">
        <v>0</v>
      </c>
      <c r="S433" s="3">
        <v>44</v>
      </c>
      <c r="T433" s="3">
        <v>0</v>
      </c>
      <c r="U433" s="3">
        <v>0</v>
      </c>
      <c r="V433" s="56">
        <f>IF(ISERROR(VLOOKUP($S$433,'TAR FIN'!$A$1:$O$113,15,0)),0,VLOOKUP($S$433,'TAR FIN'!$A$1:$O$113,15,0))*(1-0.04)</f>
        <v>23.337599999999998</v>
      </c>
      <c r="W433" s="56">
        <f>IF(ISERROR(VLOOKUP($T$433,'TAR FIN'!$A$1:$O$113,15,0)),0,VLOOKUP($T$433,'TAR FIN'!$A$1:$O$113,15,0))</f>
        <v>0</v>
      </c>
      <c r="X433" s="56">
        <f>IF(ISERROR(VLOOKUP($U$433,'TAR FIN'!$A$1:$O$113,15,0)),0,VLOOKUP($U$433,'TAR FIN'!$A$1:$O$113,15,0))</f>
        <v>0</v>
      </c>
      <c r="Y433" s="56">
        <f ca="1">('TUSD BE'!$AM$30+'TUSD BF'!$AM$30+'TUSD CVA'!$AM$30)*1*(1-0.02)</f>
        <v>26.066113153707715</v>
      </c>
      <c r="Z433" s="56"/>
      <c r="AA433" s="56"/>
      <c r="AB433" s="56">
        <f>(SUBSIDIO!$J$433*SUBSIDIO!$V$433)*(0.04)/(1-0.04)</f>
        <v>231.43119999999999</v>
      </c>
      <c r="AC433" s="56">
        <f>((SUBSIDIO!$L$433*SUBSIDIO!$W$433)+(SUBSIDIO!$N$433*SUBSIDIO!$X$433))*(0.04)/(1-0.04)</f>
        <v>0</v>
      </c>
      <c r="AD433" s="56">
        <f ca="1">(SUBSIDIO!$J$433*SUBSIDIO!$Y$433)*(0.02)/(1-0.02)</f>
        <v>126.6068353180089</v>
      </c>
      <c r="AE433" s="56">
        <f>((SUBSIDIO!$L$433*SUBSIDIO!$Z$433)+(SUBSIDIO!$N$433*SUBSIDIO!$AA$433))*(0.02)/(1-0.02)</f>
        <v>0</v>
      </c>
      <c r="AF433" s="3" t="s">
        <v>1023</v>
      </c>
    </row>
    <row r="434" spans="1:32" ht="11.25" customHeight="1" x14ac:dyDescent="0.25">
      <c r="A434" s="3" t="s">
        <v>21</v>
      </c>
      <c r="B434" s="3" t="s">
        <v>41</v>
      </c>
      <c r="C434" s="3" t="s">
        <v>42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25</v>
      </c>
      <c r="I434" s="6">
        <v>44378</v>
      </c>
      <c r="J434" s="4">
        <v>5884</v>
      </c>
      <c r="K434" s="56">
        <v>5884</v>
      </c>
      <c r="L434" s="4">
        <v>0</v>
      </c>
      <c r="M434" s="56">
        <v>0</v>
      </c>
      <c r="N434" s="4">
        <v>0</v>
      </c>
      <c r="O434" s="56">
        <v>0</v>
      </c>
      <c r="P434" s="4">
        <v>59</v>
      </c>
      <c r="Q434" s="3" t="s">
        <v>26</v>
      </c>
      <c r="R434" s="3">
        <v>0</v>
      </c>
      <c r="S434" s="3">
        <v>44</v>
      </c>
      <c r="T434" s="3">
        <v>0</v>
      </c>
      <c r="U434" s="3">
        <v>0</v>
      </c>
      <c r="V434" s="56">
        <f>IF(ISERROR(VLOOKUP($S$434,'TAR FIN'!$A$1:$O$113,15,0)),0,VLOOKUP($S$434,'TAR FIN'!$A$1:$O$113,15,0))*(1-0.04)</f>
        <v>23.337599999999998</v>
      </c>
      <c r="W434" s="56">
        <f>IF(ISERROR(VLOOKUP($T$434,'TAR FIN'!$A$1:$O$113,15,0)),0,VLOOKUP($T$434,'TAR FIN'!$A$1:$O$113,15,0))</f>
        <v>0</v>
      </c>
      <c r="X434" s="56">
        <f>IF(ISERROR(VLOOKUP($U$434,'TAR FIN'!$A$1:$O$113,15,0)),0,VLOOKUP($U$434,'TAR FIN'!$A$1:$O$113,15,0))</f>
        <v>0</v>
      </c>
      <c r="Y434" s="56">
        <f ca="1">('TUSD BE'!$AM$30+'TUSD BF'!$AM$30+'TUSD CVA'!$AM$30)*1*(1-0.02)</f>
        <v>26.066113153707715</v>
      </c>
      <c r="Z434" s="56"/>
      <c r="AA434" s="56"/>
      <c r="AB434" s="56">
        <f>(SUBSIDIO!$J$434*SUBSIDIO!$V$434)*(0.04)/(1-0.04)</f>
        <v>5721.6016</v>
      </c>
      <c r="AC434" s="56">
        <f>((SUBSIDIO!$L$434*SUBSIDIO!$W$434)+(SUBSIDIO!$N$434*SUBSIDIO!$X$434))*(0.04)/(1-0.04)</f>
        <v>0</v>
      </c>
      <c r="AD434" s="56">
        <f ca="1">(SUBSIDIO!$J$434*SUBSIDIO!$Y$434)*(0.02)/(1-0.02)</f>
        <v>3130.0614244166568</v>
      </c>
      <c r="AE434" s="56">
        <f>((SUBSIDIO!$L$434*SUBSIDIO!$Z$434)+(SUBSIDIO!$N$434*SUBSIDIO!$AA$434))*(0.02)/(1-0.02)</f>
        <v>0</v>
      </c>
      <c r="AF434" s="3" t="s">
        <v>1023</v>
      </c>
    </row>
    <row r="435" spans="1:32" ht="11.25" customHeight="1" x14ac:dyDescent="0.25">
      <c r="A435" s="3" t="s">
        <v>27</v>
      </c>
      <c r="B435" s="3" t="s">
        <v>41</v>
      </c>
      <c r="C435" s="3" t="s">
        <v>42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25</v>
      </c>
      <c r="I435" s="6">
        <v>44378</v>
      </c>
      <c r="J435" s="4">
        <v>3</v>
      </c>
      <c r="K435" s="56">
        <v>3</v>
      </c>
      <c r="L435" s="4">
        <v>0</v>
      </c>
      <c r="M435" s="56">
        <v>0</v>
      </c>
      <c r="N435" s="4">
        <v>0</v>
      </c>
      <c r="O435" s="56">
        <v>0</v>
      </c>
      <c r="P435" s="4">
        <v>0</v>
      </c>
      <c r="Q435" s="3" t="s">
        <v>26</v>
      </c>
      <c r="R435" s="3">
        <v>0</v>
      </c>
      <c r="S435" s="3">
        <v>44</v>
      </c>
      <c r="T435" s="3">
        <v>0</v>
      </c>
      <c r="U435" s="3">
        <v>0</v>
      </c>
      <c r="V435" s="56">
        <f>IF(ISERROR(VLOOKUP($S$435,'TAR FIN'!$A$1:$O$113,15,0)),0,VLOOKUP($S$435,'TAR FIN'!$A$1:$O$113,15,0))*(1-0.04)</f>
        <v>23.337599999999998</v>
      </c>
      <c r="W435" s="56">
        <f>IF(ISERROR(VLOOKUP($T$435,'TAR FIN'!$A$1:$O$113,15,0)),0,VLOOKUP($T$435,'TAR FIN'!$A$1:$O$113,15,0))</f>
        <v>0</v>
      </c>
      <c r="X435" s="56">
        <f>IF(ISERROR(VLOOKUP($U$435,'TAR FIN'!$A$1:$O$113,15,0)),0,VLOOKUP($U$435,'TAR FIN'!$A$1:$O$113,15,0))</f>
        <v>0</v>
      </c>
      <c r="Y435" s="56">
        <f ca="1">('TUSD BE'!$AM$30+'TUSD BF'!$AM$30+'TUSD CVA'!$AM$30)*1*(1-0.02)</f>
        <v>26.066113153707715</v>
      </c>
      <c r="Z435" s="56"/>
      <c r="AA435" s="56"/>
      <c r="AB435" s="56">
        <f>(SUBSIDIO!$J$435*SUBSIDIO!$V$435)*(0.04)/(1-0.04)</f>
        <v>2.9171999999999998</v>
      </c>
      <c r="AC435" s="56">
        <f>((SUBSIDIO!$L$435*SUBSIDIO!$W$435)+(SUBSIDIO!$N$435*SUBSIDIO!$X$435))*(0.04)/(1-0.04)</f>
        <v>0</v>
      </c>
      <c r="AD435" s="56">
        <f ca="1">(SUBSIDIO!$J$435*SUBSIDIO!$Y$435)*(0.02)/(1-0.02)</f>
        <v>1.5958844787984316</v>
      </c>
      <c r="AE435" s="56">
        <f>((SUBSIDIO!$L$435*SUBSIDIO!$Z$435)+(SUBSIDIO!$N$435*SUBSIDIO!$AA$435))*(0.02)/(1-0.02)</f>
        <v>0</v>
      </c>
      <c r="AF435" s="3" t="s">
        <v>1023</v>
      </c>
    </row>
    <row r="436" spans="1:32" ht="11.25" customHeight="1" x14ac:dyDescent="0.25">
      <c r="A436" s="3" t="s">
        <v>28</v>
      </c>
      <c r="B436" s="3" t="s">
        <v>41</v>
      </c>
      <c r="C436" s="3" t="s">
        <v>42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25</v>
      </c>
      <c r="I436" s="6">
        <v>44378</v>
      </c>
      <c r="J436" s="4">
        <v>206</v>
      </c>
      <c r="K436" s="56">
        <v>206</v>
      </c>
      <c r="L436" s="4">
        <v>0</v>
      </c>
      <c r="M436" s="56">
        <v>0</v>
      </c>
      <c r="N436" s="4">
        <v>0</v>
      </c>
      <c r="O436" s="56">
        <v>0</v>
      </c>
      <c r="P436" s="4">
        <v>1</v>
      </c>
      <c r="Q436" s="3" t="s">
        <v>26</v>
      </c>
      <c r="R436" s="3">
        <v>0</v>
      </c>
      <c r="S436" s="3">
        <v>44</v>
      </c>
      <c r="T436" s="3">
        <v>0</v>
      </c>
      <c r="U436" s="3">
        <v>0</v>
      </c>
      <c r="V436" s="56">
        <f>IF(ISERROR(VLOOKUP($S$436,'TAR FIN'!$A$1:$O$113,15,0)),0,VLOOKUP($S$436,'TAR FIN'!$A$1:$O$113,15,0))*(1-0.04)</f>
        <v>23.337599999999998</v>
      </c>
      <c r="W436" s="56">
        <f>IF(ISERROR(VLOOKUP($T$436,'TAR FIN'!$A$1:$O$113,15,0)),0,VLOOKUP($T$436,'TAR FIN'!$A$1:$O$113,15,0))</f>
        <v>0</v>
      </c>
      <c r="X436" s="56">
        <f>IF(ISERROR(VLOOKUP($U$436,'TAR FIN'!$A$1:$O$113,15,0)),0,VLOOKUP($U$436,'TAR FIN'!$A$1:$O$113,15,0))</f>
        <v>0</v>
      </c>
      <c r="Y436" s="56">
        <f ca="1">('TUSD BE'!$AM$30+'TUSD BF'!$AM$30+'TUSD CVA'!$AM$30)*1*(1-0.02)</f>
        <v>26.066113153707715</v>
      </c>
      <c r="Z436" s="56"/>
      <c r="AA436" s="56"/>
      <c r="AB436" s="56">
        <f>(SUBSIDIO!$J$436*SUBSIDIO!$V$436)*(0.04)/(1-0.04)</f>
        <v>200.31439999999998</v>
      </c>
      <c r="AC436" s="56">
        <f>((SUBSIDIO!$L$436*SUBSIDIO!$W$436)+(SUBSIDIO!$N$436*SUBSIDIO!$X$436))*(0.04)/(1-0.04)</f>
        <v>0</v>
      </c>
      <c r="AD436" s="56">
        <f ca="1">(SUBSIDIO!$J$436*SUBSIDIO!$Y$436)*(0.02)/(1-0.02)</f>
        <v>109.58406754415897</v>
      </c>
      <c r="AE436" s="56">
        <f>((SUBSIDIO!$L$436*SUBSIDIO!$Z$436)+(SUBSIDIO!$N$436*SUBSIDIO!$AA$436))*(0.02)/(1-0.02)</f>
        <v>0</v>
      </c>
      <c r="AF436" s="3" t="s">
        <v>1023</v>
      </c>
    </row>
    <row r="437" spans="1:32" ht="11.25" customHeight="1" x14ac:dyDescent="0.25">
      <c r="A437" s="3" t="s">
        <v>21</v>
      </c>
      <c r="B437" s="3" t="s">
        <v>41</v>
      </c>
      <c r="C437" s="3" t="s">
        <v>42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25</v>
      </c>
      <c r="I437" s="6">
        <v>44409</v>
      </c>
      <c r="J437" s="4">
        <v>7219</v>
      </c>
      <c r="K437" s="56">
        <v>7219</v>
      </c>
      <c r="L437" s="4">
        <v>0</v>
      </c>
      <c r="M437" s="56">
        <v>0</v>
      </c>
      <c r="N437" s="4">
        <v>0</v>
      </c>
      <c r="O437" s="56">
        <v>0</v>
      </c>
      <c r="P437" s="4">
        <v>64</v>
      </c>
      <c r="Q437" s="3" t="s">
        <v>26</v>
      </c>
      <c r="R437" s="3">
        <v>0</v>
      </c>
      <c r="S437" s="3">
        <v>44</v>
      </c>
      <c r="T437" s="3">
        <v>0</v>
      </c>
      <c r="U437" s="3">
        <v>0</v>
      </c>
      <c r="V437" s="56">
        <f>IF(ISERROR(VLOOKUP($S$437,'TAR FIN'!$A$1:$O$113,15,0)),0,VLOOKUP($S$437,'TAR FIN'!$A$1:$O$113,15,0))*(1-0.04)</f>
        <v>23.337599999999998</v>
      </c>
      <c r="W437" s="56">
        <f>IF(ISERROR(VLOOKUP($T$437,'TAR FIN'!$A$1:$O$113,15,0)),0,VLOOKUP($T$437,'TAR FIN'!$A$1:$O$113,15,0))</f>
        <v>0</v>
      </c>
      <c r="X437" s="56">
        <f>IF(ISERROR(VLOOKUP($U$437,'TAR FIN'!$A$1:$O$113,15,0)),0,VLOOKUP($U$437,'TAR FIN'!$A$1:$O$113,15,0))</f>
        <v>0</v>
      </c>
      <c r="Y437" s="56">
        <f ca="1">('TUSD BE'!$AM$30+'TUSD BF'!$AM$30+'TUSD CVA'!$AM$30)*1*(1-0.02)</f>
        <v>26.066113153707715</v>
      </c>
      <c r="Z437" s="56"/>
      <c r="AA437" s="56"/>
      <c r="AB437" s="56">
        <f>(SUBSIDIO!$J$437*SUBSIDIO!$V$437)*(0.04)/(1-0.04)</f>
        <v>7019.7555999999995</v>
      </c>
      <c r="AC437" s="56">
        <f>((SUBSIDIO!$L$437*SUBSIDIO!$W$437)+(SUBSIDIO!$N$437*SUBSIDIO!$X$437))*(0.04)/(1-0.04)</f>
        <v>0</v>
      </c>
      <c r="AD437" s="56">
        <f ca="1">(SUBSIDIO!$J$437*SUBSIDIO!$Y$437)*(0.02)/(1-0.02)</f>
        <v>3840.2300174819593</v>
      </c>
      <c r="AE437" s="56">
        <f>((SUBSIDIO!$L$437*SUBSIDIO!$Z$437)+(SUBSIDIO!$N$437*SUBSIDIO!$AA$437))*(0.02)/(1-0.02)</f>
        <v>0</v>
      </c>
      <c r="AF437" s="3" t="s">
        <v>1023</v>
      </c>
    </row>
    <row r="438" spans="1:32" ht="11.25" customHeight="1" x14ac:dyDescent="0.25">
      <c r="A438" s="3" t="s">
        <v>27</v>
      </c>
      <c r="B438" s="3" t="s">
        <v>41</v>
      </c>
      <c r="C438" s="3" t="s">
        <v>42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25</v>
      </c>
      <c r="I438" s="6">
        <v>44409</v>
      </c>
      <c r="J438" s="4">
        <v>2</v>
      </c>
      <c r="K438" s="56">
        <v>2</v>
      </c>
      <c r="L438" s="4">
        <v>0</v>
      </c>
      <c r="M438" s="56">
        <v>0</v>
      </c>
      <c r="N438" s="4">
        <v>0</v>
      </c>
      <c r="O438" s="56">
        <v>0</v>
      </c>
      <c r="P438" s="4">
        <v>-2</v>
      </c>
      <c r="Q438" s="3" t="s">
        <v>26</v>
      </c>
      <c r="R438" s="3">
        <v>0</v>
      </c>
      <c r="S438" s="3">
        <v>44</v>
      </c>
      <c r="T438" s="3">
        <v>0</v>
      </c>
      <c r="U438" s="3">
        <v>0</v>
      </c>
      <c r="V438" s="56">
        <f>IF(ISERROR(VLOOKUP($S$438,'TAR FIN'!$A$1:$O$113,15,0)),0,VLOOKUP($S$438,'TAR FIN'!$A$1:$O$113,15,0))*(1-0.04)</f>
        <v>23.337599999999998</v>
      </c>
      <c r="W438" s="56">
        <f>IF(ISERROR(VLOOKUP($T$438,'TAR FIN'!$A$1:$O$113,15,0)),0,VLOOKUP($T$438,'TAR FIN'!$A$1:$O$113,15,0))</f>
        <v>0</v>
      </c>
      <c r="X438" s="56">
        <f>IF(ISERROR(VLOOKUP($U$438,'TAR FIN'!$A$1:$O$113,15,0)),0,VLOOKUP($U$438,'TAR FIN'!$A$1:$O$113,15,0))</f>
        <v>0</v>
      </c>
      <c r="Y438" s="56">
        <f ca="1">('TUSD BE'!$AM$30+'TUSD BF'!$AM$30+'TUSD CVA'!$AM$30)*1*(1-0.02)</f>
        <v>26.066113153707715</v>
      </c>
      <c r="Z438" s="56"/>
      <c r="AA438" s="56"/>
      <c r="AB438" s="56">
        <f>(SUBSIDIO!$J$438*SUBSIDIO!$V$438)*(0.04)/(1-0.04)</f>
        <v>1.9448000000000001</v>
      </c>
      <c r="AC438" s="56">
        <f>((SUBSIDIO!$L$438*SUBSIDIO!$W$438)+(SUBSIDIO!$N$438*SUBSIDIO!$X$438))*(0.04)/(1-0.04)</f>
        <v>0</v>
      </c>
      <c r="AD438" s="56">
        <f ca="1">(SUBSIDIO!$J$438*SUBSIDIO!$Y$438)*(0.02)/(1-0.02)</f>
        <v>1.063922985865621</v>
      </c>
      <c r="AE438" s="56">
        <f>((SUBSIDIO!$L$438*SUBSIDIO!$Z$438)+(SUBSIDIO!$N$438*SUBSIDIO!$AA$438))*(0.02)/(1-0.02)</f>
        <v>0</v>
      </c>
      <c r="AF438" s="3" t="s">
        <v>1023</v>
      </c>
    </row>
    <row r="439" spans="1:32" ht="11.25" customHeight="1" x14ac:dyDescent="0.25">
      <c r="A439" s="3" t="s">
        <v>28</v>
      </c>
      <c r="B439" s="3" t="s">
        <v>41</v>
      </c>
      <c r="C439" s="3" t="s">
        <v>42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25</v>
      </c>
      <c r="I439" s="6">
        <v>44409</v>
      </c>
      <c r="J439" s="4">
        <v>203</v>
      </c>
      <c r="K439" s="56">
        <v>203</v>
      </c>
      <c r="L439" s="4">
        <v>0</v>
      </c>
      <c r="M439" s="56">
        <v>0</v>
      </c>
      <c r="N439" s="4">
        <v>0</v>
      </c>
      <c r="O439" s="56">
        <v>0</v>
      </c>
      <c r="P439" s="4">
        <v>1</v>
      </c>
      <c r="Q439" s="3" t="s">
        <v>26</v>
      </c>
      <c r="R439" s="3">
        <v>0</v>
      </c>
      <c r="S439" s="3">
        <v>44</v>
      </c>
      <c r="T439" s="3">
        <v>0</v>
      </c>
      <c r="U439" s="3">
        <v>0</v>
      </c>
      <c r="V439" s="56">
        <f>IF(ISERROR(VLOOKUP($S$439,'TAR FIN'!$A$1:$O$113,15,0)),0,VLOOKUP($S$439,'TAR FIN'!$A$1:$O$113,15,0))*(1-0.04)</f>
        <v>23.337599999999998</v>
      </c>
      <c r="W439" s="56">
        <f>IF(ISERROR(VLOOKUP($T$439,'TAR FIN'!$A$1:$O$113,15,0)),0,VLOOKUP($T$439,'TAR FIN'!$A$1:$O$113,15,0))</f>
        <v>0</v>
      </c>
      <c r="X439" s="56">
        <f>IF(ISERROR(VLOOKUP($U$439,'TAR FIN'!$A$1:$O$113,15,0)),0,VLOOKUP($U$439,'TAR FIN'!$A$1:$O$113,15,0))</f>
        <v>0</v>
      </c>
      <c r="Y439" s="56">
        <f ca="1">('TUSD BE'!$AM$30+'TUSD BF'!$AM$30+'TUSD CVA'!$AM$30)*1*(1-0.02)</f>
        <v>26.066113153707715</v>
      </c>
      <c r="Z439" s="56"/>
      <c r="AA439" s="56"/>
      <c r="AB439" s="56">
        <f>(SUBSIDIO!$J$439*SUBSIDIO!$V$439)*(0.04)/(1-0.04)</f>
        <v>197.39720000000003</v>
      </c>
      <c r="AC439" s="56">
        <f>((SUBSIDIO!$L$439*SUBSIDIO!$W$439)+(SUBSIDIO!$N$439*SUBSIDIO!$X$439))*(0.04)/(1-0.04)</f>
        <v>0</v>
      </c>
      <c r="AD439" s="56">
        <f ca="1">(SUBSIDIO!$J$439*SUBSIDIO!$Y$439)*(0.02)/(1-0.02)</f>
        <v>107.98818306536054</v>
      </c>
      <c r="AE439" s="56">
        <f>((SUBSIDIO!$L$439*SUBSIDIO!$Z$439)+(SUBSIDIO!$N$439*SUBSIDIO!$AA$439))*(0.02)/(1-0.02)</f>
        <v>0</v>
      </c>
      <c r="AF439" s="3" t="s">
        <v>1023</v>
      </c>
    </row>
    <row r="440" spans="1:32" ht="11.25" customHeight="1" x14ac:dyDescent="0.25">
      <c r="A440" s="3" t="s">
        <v>21</v>
      </c>
      <c r="B440" s="3" t="s">
        <v>41</v>
      </c>
      <c r="C440" s="3" t="s">
        <v>42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25</v>
      </c>
      <c r="I440" s="6">
        <v>44440</v>
      </c>
      <c r="J440" s="4">
        <v>8743</v>
      </c>
      <c r="K440" s="56">
        <v>8743</v>
      </c>
      <c r="L440" s="4">
        <v>0</v>
      </c>
      <c r="M440" s="56">
        <v>0</v>
      </c>
      <c r="N440" s="4">
        <v>0</v>
      </c>
      <c r="O440" s="56">
        <v>0</v>
      </c>
      <c r="P440" s="4">
        <v>55</v>
      </c>
      <c r="Q440" s="3" t="s">
        <v>26</v>
      </c>
      <c r="R440" s="3">
        <v>0</v>
      </c>
      <c r="S440" s="3">
        <v>44</v>
      </c>
      <c r="T440" s="3">
        <v>0</v>
      </c>
      <c r="U440" s="3">
        <v>0</v>
      </c>
      <c r="V440" s="56">
        <f>IF(ISERROR(VLOOKUP($S$440,'TAR FIN'!$A$1:$O$113,15,0)),0,VLOOKUP($S$440,'TAR FIN'!$A$1:$O$113,15,0))*(1-0.04)</f>
        <v>23.337599999999998</v>
      </c>
      <c r="W440" s="56">
        <f>IF(ISERROR(VLOOKUP($T$440,'TAR FIN'!$A$1:$O$113,15,0)),0,VLOOKUP($T$440,'TAR FIN'!$A$1:$O$113,15,0))</f>
        <v>0</v>
      </c>
      <c r="X440" s="56">
        <f>IF(ISERROR(VLOOKUP($U$440,'TAR FIN'!$A$1:$O$113,15,0)),0,VLOOKUP($U$440,'TAR FIN'!$A$1:$O$113,15,0))</f>
        <v>0</v>
      </c>
      <c r="Y440" s="56">
        <f ca="1">('TUSD BE'!$AM$30+'TUSD BF'!$AM$30+'TUSD CVA'!$AM$30)*1*(1-0.02)</f>
        <v>26.066113153707715</v>
      </c>
      <c r="Z440" s="56"/>
      <c r="AA440" s="56"/>
      <c r="AB440" s="56">
        <f>(SUBSIDIO!$J$440*SUBSIDIO!$V$440)*(0.04)/(1-0.04)</f>
        <v>8501.6931999999997</v>
      </c>
      <c r="AC440" s="56">
        <f>((SUBSIDIO!$L$440*SUBSIDIO!$W$440)+(SUBSIDIO!$N$440*SUBSIDIO!$X$440))*(0.04)/(1-0.04)</f>
        <v>0</v>
      </c>
      <c r="AD440" s="56">
        <f ca="1">(SUBSIDIO!$J$440*SUBSIDIO!$Y$440)*(0.02)/(1-0.02)</f>
        <v>4650.9393327115622</v>
      </c>
      <c r="AE440" s="56">
        <f>((SUBSIDIO!$L$440*SUBSIDIO!$Z$440)+(SUBSIDIO!$N$440*SUBSIDIO!$AA$440))*(0.02)/(1-0.02)</f>
        <v>0</v>
      </c>
      <c r="AF440" s="3" t="s">
        <v>1023</v>
      </c>
    </row>
    <row r="441" spans="1:32" ht="11.25" customHeight="1" x14ac:dyDescent="0.25">
      <c r="A441" s="3" t="s">
        <v>28</v>
      </c>
      <c r="B441" s="3" t="s">
        <v>41</v>
      </c>
      <c r="C441" s="3" t="s">
        <v>42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25</v>
      </c>
      <c r="I441" s="6">
        <v>44440</v>
      </c>
      <c r="J441" s="4">
        <v>171</v>
      </c>
      <c r="K441" s="56">
        <v>171</v>
      </c>
      <c r="L441" s="4">
        <v>0</v>
      </c>
      <c r="M441" s="56">
        <v>0</v>
      </c>
      <c r="N441" s="4">
        <v>0</v>
      </c>
      <c r="O441" s="56">
        <v>0</v>
      </c>
      <c r="P441" s="4">
        <v>1</v>
      </c>
      <c r="Q441" s="3" t="s">
        <v>26</v>
      </c>
      <c r="R441" s="3">
        <v>0</v>
      </c>
      <c r="S441" s="3">
        <v>44</v>
      </c>
      <c r="T441" s="3">
        <v>0</v>
      </c>
      <c r="U441" s="3">
        <v>0</v>
      </c>
      <c r="V441" s="56">
        <f>IF(ISERROR(VLOOKUP($S$441,'TAR FIN'!$A$1:$O$113,15,0)),0,VLOOKUP($S$441,'TAR FIN'!$A$1:$O$113,15,0))*(1-0.04)</f>
        <v>23.337599999999998</v>
      </c>
      <c r="W441" s="56">
        <f>IF(ISERROR(VLOOKUP($T$441,'TAR FIN'!$A$1:$O$113,15,0)),0,VLOOKUP($T$441,'TAR FIN'!$A$1:$O$113,15,0))</f>
        <v>0</v>
      </c>
      <c r="X441" s="56">
        <f>IF(ISERROR(VLOOKUP($U$441,'TAR FIN'!$A$1:$O$113,15,0)),0,VLOOKUP($U$441,'TAR FIN'!$A$1:$O$113,15,0))</f>
        <v>0</v>
      </c>
      <c r="Y441" s="56">
        <f ca="1">('TUSD BE'!$AM$30+'TUSD BF'!$AM$30+'TUSD CVA'!$AM$30)*1*(1-0.02)</f>
        <v>26.066113153707715</v>
      </c>
      <c r="Z441" s="56"/>
      <c r="AA441" s="56"/>
      <c r="AB441" s="56">
        <f>(SUBSIDIO!$J$441*SUBSIDIO!$V$441)*(0.04)/(1-0.04)</f>
        <v>166.28039999999999</v>
      </c>
      <c r="AC441" s="56">
        <f>((SUBSIDIO!$L$441*SUBSIDIO!$W$441)+(SUBSIDIO!$N$441*SUBSIDIO!$X$441))*(0.04)/(1-0.04)</f>
        <v>0</v>
      </c>
      <c r="AD441" s="56">
        <f ca="1">(SUBSIDIO!$J$441*SUBSIDIO!$Y$441)*(0.02)/(1-0.02)</f>
        <v>90.965415291510595</v>
      </c>
      <c r="AE441" s="56">
        <f>((SUBSIDIO!$L$441*SUBSIDIO!$Z$441)+(SUBSIDIO!$N$441*SUBSIDIO!$AA$441))*(0.02)/(1-0.02)</f>
        <v>0</v>
      </c>
      <c r="AF441" s="3" t="s">
        <v>1023</v>
      </c>
    </row>
    <row r="442" spans="1:32" ht="11.25" customHeight="1" x14ac:dyDescent="0.25">
      <c r="A442" s="3" t="s">
        <v>21</v>
      </c>
      <c r="B442" s="3" t="s">
        <v>41</v>
      </c>
      <c r="C442" s="3" t="s">
        <v>42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44470</v>
      </c>
      <c r="J442" s="4">
        <v>9526</v>
      </c>
      <c r="K442" s="56">
        <v>9526</v>
      </c>
      <c r="L442" s="4">
        <v>0</v>
      </c>
      <c r="M442" s="56">
        <v>0</v>
      </c>
      <c r="N442" s="4">
        <v>0</v>
      </c>
      <c r="O442" s="56">
        <v>0</v>
      </c>
      <c r="P442" s="4">
        <v>51</v>
      </c>
      <c r="Q442" s="3" t="s">
        <v>26</v>
      </c>
      <c r="R442" s="3">
        <v>0</v>
      </c>
      <c r="S442" s="3">
        <v>44</v>
      </c>
      <c r="T442" s="3">
        <v>0</v>
      </c>
      <c r="U442" s="3">
        <v>0</v>
      </c>
      <c r="V442" s="56">
        <f>IF(ISERROR(VLOOKUP($S$442,'TAR FIN'!$A$1:$O$113,15,0)),0,VLOOKUP($S$442,'TAR FIN'!$A$1:$O$113,15,0))*(1-0.04)</f>
        <v>23.337599999999998</v>
      </c>
      <c r="W442" s="56">
        <f>IF(ISERROR(VLOOKUP($T$442,'TAR FIN'!$A$1:$O$113,15,0)),0,VLOOKUP($T$442,'TAR FIN'!$A$1:$O$113,15,0))</f>
        <v>0</v>
      </c>
      <c r="X442" s="56">
        <f>IF(ISERROR(VLOOKUP($U$442,'TAR FIN'!$A$1:$O$113,15,0)),0,VLOOKUP($U$442,'TAR FIN'!$A$1:$O$113,15,0))</f>
        <v>0</v>
      </c>
      <c r="Y442" s="56">
        <f ca="1">('TUSD BE'!$AM$30+'TUSD BF'!$AM$30+'TUSD CVA'!$AM$30)*1*(1-0.02)</f>
        <v>26.066113153707715</v>
      </c>
      <c r="Z442" s="56"/>
      <c r="AA442" s="56"/>
      <c r="AB442" s="56">
        <f>(SUBSIDIO!$J$442*SUBSIDIO!$V$442)*(0.04)/(1-0.04)</f>
        <v>9263.0824000000011</v>
      </c>
      <c r="AC442" s="56">
        <f>((SUBSIDIO!$L$442*SUBSIDIO!$W$442)+(SUBSIDIO!$N$442*SUBSIDIO!$X$442))*(0.04)/(1-0.04)</f>
        <v>0</v>
      </c>
      <c r="AD442" s="56">
        <f ca="1">(SUBSIDIO!$J$442*SUBSIDIO!$Y$442)*(0.02)/(1-0.02)</f>
        <v>5067.4651816779533</v>
      </c>
      <c r="AE442" s="56">
        <f>((SUBSIDIO!$L$442*SUBSIDIO!$Z$442)+(SUBSIDIO!$N$442*SUBSIDIO!$AA$442))*(0.02)/(1-0.02)</f>
        <v>0</v>
      </c>
      <c r="AF442" s="3" t="s">
        <v>1023</v>
      </c>
    </row>
    <row r="443" spans="1:32" ht="11.25" customHeight="1" x14ac:dyDescent="0.25">
      <c r="A443" s="3" t="s">
        <v>28</v>
      </c>
      <c r="B443" s="3" t="s">
        <v>41</v>
      </c>
      <c r="C443" s="3" t="s">
        <v>42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44470</v>
      </c>
      <c r="J443" s="4">
        <v>234</v>
      </c>
      <c r="K443" s="56">
        <v>234</v>
      </c>
      <c r="L443" s="4">
        <v>0</v>
      </c>
      <c r="M443" s="56">
        <v>0</v>
      </c>
      <c r="N443" s="4">
        <v>0</v>
      </c>
      <c r="O443" s="56">
        <v>0</v>
      </c>
      <c r="P443" s="4">
        <v>1</v>
      </c>
      <c r="Q443" s="3" t="s">
        <v>26</v>
      </c>
      <c r="R443" s="3">
        <v>0</v>
      </c>
      <c r="S443" s="3">
        <v>44</v>
      </c>
      <c r="T443" s="3">
        <v>0</v>
      </c>
      <c r="U443" s="3">
        <v>0</v>
      </c>
      <c r="V443" s="56">
        <f>IF(ISERROR(VLOOKUP($S$443,'TAR FIN'!$A$1:$O$113,15,0)),0,VLOOKUP($S$443,'TAR FIN'!$A$1:$O$113,15,0))*(1-0.04)</f>
        <v>23.337599999999998</v>
      </c>
      <c r="W443" s="56">
        <f>IF(ISERROR(VLOOKUP($T$443,'TAR FIN'!$A$1:$O$113,15,0)),0,VLOOKUP($T$443,'TAR FIN'!$A$1:$O$113,15,0))</f>
        <v>0</v>
      </c>
      <c r="X443" s="56">
        <f>IF(ISERROR(VLOOKUP($U$443,'TAR FIN'!$A$1:$O$113,15,0)),0,VLOOKUP($U$443,'TAR FIN'!$A$1:$O$113,15,0))</f>
        <v>0</v>
      </c>
      <c r="Y443" s="56">
        <f ca="1">('TUSD BE'!$AM$30+'TUSD BF'!$AM$30+'TUSD CVA'!$AM$30)*1*(1-0.02)</f>
        <v>26.066113153707715</v>
      </c>
      <c r="Z443" s="56"/>
      <c r="AA443" s="56"/>
      <c r="AB443" s="56">
        <f>(SUBSIDIO!$J$443*SUBSIDIO!$V$443)*(0.04)/(1-0.04)</f>
        <v>227.54159999999999</v>
      </c>
      <c r="AC443" s="56">
        <f>((SUBSIDIO!$L$443*SUBSIDIO!$W$443)+(SUBSIDIO!$N$443*SUBSIDIO!$X$443))*(0.04)/(1-0.04)</f>
        <v>0</v>
      </c>
      <c r="AD443" s="56">
        <f ca="1">(SUBSIDIO!$J$443*SUBSIDIO!$Y$443)*(0.02)/(1-0.02)</f>
        <v>124.47898934627766</v>
      </c>
      <c r="AE443" s="56">
        <f>((SUBSIDIO!$L$443*SUBSIDIO!$Z$443)+(SUBSIDIO!$N$443*SUBSIDIO!$AA$443))*(0.02)/(1-0.02)</f>
        <v>0</v>
      </c>
      <c r="AF443" s="3" t="s">
        <v>1023</v>
      </c>
    </row>
    <row r="444" spans="1:32" ht="11.25" customHeight="1" x14ac:dyDescent="0.25">
      <c r="A444" s="3" t="s">
        <v>21</v>
      </c>
      <c r="B444" s="3" t="s">
        <v>41</v>
      </c>
      <c r="C444" s="3" t="s">
        <v>42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44501</v>
      </c>
      <c r="J444" s="4">
        <v>9001</v>
      </c>
      <c r="K444" s="56">
        <v>9001</v>
      </c>
      <c r="L444" s="4">
        <v>0</v>
      </c>
      <c r="M444" s="56">
        <v>0</v>
      </c>
      <c r="N444" s="4">
        <v>0</v>
      </c>
      <c r="O444" s="56">
        <v>0</v>
      </c>
      <c r="P444" s="4">
        <v>51</v>
      </c>
      <c r="Q444" s="3" t="s">
        <v>26</v>
      </c>
      <c r="R444" s="3">
        <v>0</v>
      </c>
      <c r="S444" s="3">
        <v>44</v>
      </c>
      <c r="T444" s="3">
        <v>0</v>
      </c>
      <c r="U444" s="3">
        <v>0</v>
      </c>
      <c r="V444" s="56">
        <f>IF(ISERROR(VLOOKUP($S$444,'TAR FIN'!$A$1:$O$113,15,0)),0,VLOOKUP($S$444,'TAR FIN'!$A$1:$O$113,15,0))*(1-0.04)</f>
        <v>23.337599999999998</v>
      </c>
      <c r="W444" s="56">
        <f>IF(ISERROR(VLOOKUP($T$444,'TAR FIN'!$A$1:$O$113,15,0)),0,VLOOKUP($T$444,'TAR FIN'!$A$1:$O$113,15,0))</f>
        <v>0</v>
      </c>
      <c r="X444" s="56">
        <f>IF(ISERROR(VLOOKUP($U$444,'TAR FIN'!$A$1:$O$113,15,0)),0,VLOOKUP($U$444,'TAR FIN'!$A$1:$O$113,15,0))</f>
        <v>0</v>
      </c>
      <c r="Y444" s="56">
        <f ca="1">('TUSD BE'!$AM$30+'TUSD BF'!$AM$30+'TUSD CVA'!$AM$30)*1*(1-0.02)</f>
        <v>26.066113153707715</v>
      </c>
      <c r="Z444" s="56"/>
      <c r="AA444" s="56"/>
      <c r="AB444" s="56">
        <f>(SUBSIDIO!$J$444*SUBSIDIO!$V$444)*(0.04)/(1-0.04)</f>
        <v>8752.5724000000009</v>
      </c>
      <c r="AC444" s="56">
        <f>((SUBSIDIO!$L$444*SUBSIDIO!$W$444)+(SUBSIDIO!$N$444*SUBSIDIO!$X$444))*(0.04)/(1-0.04)</f>
        <v>0</v>
      </c>
      <c r="AD444" s="56">
        <f ca="1">(SUBSIDIO!$J$444*SUBSIDIO!$Y$444)*(0.02)/(1-0.02)</f>
        <v>4788.1853978882273</v>
      </c>
      <c r="AE444" s="56">
        <f>((SUBSIDIO!$L$444*SUBSIDIO!$Z$444)+(SUBSIDIO!$N$444*SUBSIDIO!$AA$444))*(0.02)/(1-0.02)</f>
        <v>0</v>
      </c>
      <c r="AF444" s="3" t="s">
        <v>1023</v>
      </c>
    </row>
    <row r="445" spans="1:32" ht="11.25" customHeight="1" x14ac:dyDescent="0.25">
      <c r="A445" s="3" t="s">
        <v>28</v>
      </c>
      <c r="B445" s="3" t="s">
        <v>41</v>
      </c>
      <c r="C445" s="3" t="s">
        <v>42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44501</v>
      </c>
      <c r="J445" s="4">
        <v>227</v>
      </c>
      <c r="K445" s="56">
        <v>227</v>
      </c>
      <c r="L445" s="4">
        <v>0</v>
      </c>
      <c r="M445" s="56">
        <v>0</v>
      </c>
      <c r="N445" s="4">
        <v>0</v>
      </c>
      <c r="O445" s="56">
        <v>0</v>
      </c>
      <c r="P445" s="4">
        <v>1</v>
      </c>
      <c r="Q445" s="3" t="s">
        <v>26</v>
      </c>
      <c r="R445" s="3">
        <v>0</v>
      </c>
      <c r="S445" s="3">
        <v>44</v>
      </c>
      <c r="T445" s="3">
        <v>0</v>
      </c>
      <c r="U445" s="3">
        <v>0</v>
      </c>
      <c r="V445" s="56">
        <f>IF(ISERROR(VLOOKUP($S$445,'TAR FIN'!$A$1:$O$113,15,0)),0,VLOOKUP($S$445,'TAR FIN'!$A$1:$O$113,15,0))*(1-0.04)</f>
        <v>23.337599999999998</v>
      </c>
      <c r="W445" s="56">
        <f>IF(ISERROR(VLOOKUP($T$445,'TAR FIN'!$A$1:$O$113,15,0)),0,VLOOKUP($T$445,'TAR FIN'!$A$1:$O$113,15,0))</f>
        <v>0</v>
      </c>
      <c r="X445" s="56">
        <f>IF(ISERROR(VLOOKUP($U$445,'TAR FIN'!$A$1:$O$113,15,0)),0,VLOOKUP($U$445,'TAR FIN'!$A$1:$O$113,15,0))</f>
        <v>0</v>
      </c>
      <c r="Y445" s="56">
        <f ca="1">('TUSD BE'!$AM$30+'TUSD BF'!$AM$30+'TUSD CVA'!$AM$30)*1*(1-0.02)</f>
        <v>26.066113153707715</v>
      </c>
      <c r="Z445" s="56"/>
      <c r="AA445" s="56"/>
      <c r="AB445" s="56">
        <f>(SUBSIDIO!$J$445*SUBSIDIO!$V$445)*(0.04)/(1-0.04)</f>
        <v>220.73480000000001</v>
      </c>
      <c r="AC445" s="56">
        <f>((SUBSIDIO!$L$445*SUBSIDIO!$W$445)+(SUBSIDIO!$N$445*SUBSIDIO!$X$445))*(0.04)/(1-0.04)</f>
        <v>0</v>
      </c>
      <c r="AD445" s="56">
        <f ca="1">(SUBSIDIO!$J$445*SUBSIDIO!$Y$445)*(0.02)/(1-0.02)</f>
        <v>120.75525889574799</v>
      </c>
      <c r="AE445" s="56">
        <f>((SUBSIDIO!$L$445*SUBSIDIO!$Z$445)+(SUBSIDIO!$N$445*SUBSIDIO!$AA$445))*(0.02)/(1-0.02)</f>
        <v>0</v>
      </c>
      <c r="AF445" s="3" t="s">
        <v>1023</v>
      </c>
    </row>
    <row r="446" spans="1:32" ht="11.25" customHeight="1" x14ac:dyDescent="0.25">
      <c r="A446" s="3" t="s">
        <v>21</v>
      </c>
      <c r="B446" s="3" t="s">
        <v>41</v>
      </c>
      <c r="C446" s="3" t="s">
        <v>42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44531</v>
      </c>
      <c r="J446" s="4">
        <v>7799</v>
      </c>
      <c r="K446" s="56">
        <v>7799</v>
      </c>
      <c r="L446" s="4">
        <v>0</v>
      </c>
      <c r="M446" s="56">
        <v>0</v>
      </c>
      <c r="N446" s="4">
        <v>0</v>
      </c>
      <c r="O446" s="56">
        <v>0</v>
      </c>
      <c r="P446" s="4">
        <v>47</v>
      </c>
      <c r="Q446" s="3" t="s">
        <v>26</v>
      </c>
      <c r="R446" s="3">
        <v>0</v>
      </c>
      <c r="S446" s="3">
        <v>44</v>
      </c>
      <c r="T446" s="3">
        <v>0</v>
      </c>
      <c r="U446" s="3">
        <v>0</v>
      </c>
      <c r="V446" s="56">
        <f>IF(ISERROR(VLOOKUP($S$446,'TAR FIN'!$A$1:$O$113,15,0)),0,VLOOKUP($S$446,'TAR FIN'!$A$1:$O$113,15,0))*(1-0.04)</f>
        <v>23.337599999999998</v>
      </c>
      <c r="W446" s="56">
        <f>IF(ISERROR(VLOOKUP($T$446,'TAR FIN'!$A$1:$O$113,15,0)),0,VLOOKUP($T$446,'TAR FIN'!$A$1:$O$113,15,0))</f>
        <v>0</v>
      </c>
      <c r="X446" s="56">
        <f>IF(ISERROR(VLOOKUP($U$446,'TAR FIN'!$A$1:$O$113,15,0)),0,VLOOKUP($U$446,'TAR FIN'!$A$1:$O$113,15,0))</f>
        <v>0</v>
      </c>
      <c r="Y446" s="56">
        <f ca="1">('TUSD BE'!$AM$30+'TUSD BF'!$AM$30+'TUSD CVA'!$AM$30)*1*(1-0.02)</f>
        <v>26.066113153707715</v>
      </c>
      <c r="Z446" s="56"/>
      <c r="AA446" s="56"/>
      <c r="AB446" s="56">
        <f>(SUBSIDIO!$J$446*SUBSIDIO!$V$446)*(0.04)/(1-0.04)</f>
        <v>7583.7476000000006</v>
      </c>
      <c r="AC446" s="56">
        <f>((SUBSIDIO!$L$446*SUBSIDIO!$W$446)+(SUBSIDIO!$N$446*SUBSIDIO!$X$446))*(0.04)/(1-0.04)</f>
        <v>0</v>
      </c>
      <c r="AD446" s="56">
        <f ca="1">(SUBSIDIO!$J$446*SUBSIDIO!$Y$446)*(0.02)/(1-0.02)</f>
        <v>4148.7676833829892</v>
      </c>
      <c r="AE446" s="56">
        <f>((SUBSIDIO!$L$446*SUBSIDIO!$Z$446)+(SUBSIDIO!$N$446*SUBSIDIO!$AA$446))*(0.02)/(1-0.02)</f>
        <v>0</v>
      </c>
      <c r="AF446" s="3" t="s">
        <v>1023</v>
      </c>
    </row>
    <row r="447" spans="1:32" ht="11.25" customHeight="1" x14ac:dyDescent="0.25">
      <c r="A447" s="3" t="s">
        <v>28</v>
      </c>
      <c r="B447" s="3" t="s">
        <v>41</v>
      </c>
      <c r="C447" s="3" t="s">
        <v>42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44531</v>
      </c>
      <c r="J447" s="4">
        <v>206</v>
      </c>
      <c r="K447" s="56">
        <v>206</v>
      </c>
      <c r="L447" s="4">
        <v>0</v>
      </c>
      <c r="M447" s="56">
        <v>0</v>
      </c>
      <c r="N447" s="4">
        <v>0</v>
      </c>
      <c r="O447" s="56">
        <v>0</v>
      </c>
      <c r="P447" s="4">
        <v>1</v>
      </c>
      <c r="Q447" s="3" t="s">
        <v>26</v>
      </c>
      <c r="R447" s="3">
        <v>0</v>
      </c>
      <c r="S447" s="3">
        <v>44</v>
      </c>
      <c r="T447" s="3">
        <v>0</v>
      </c>
      <c r="U447" s="3">
        <v>0</v>
      </c>
      <c r="V447" s="56">
        <f>IF(ISERROR(VLOOKUP($S$447,'TAR FIN'!$A$1:$O$113,15,0)),0,VLOOKUP($S$447,'TAR FIN'!$A$1:$O$113,15,0))*(1-0.04)</f>
        <v>23.337599999999998</v>
      </c>
      <c r="W447" s="56">
        <f>IF(ISERROR(VLOOKUP($T$447,'TAR FIN'!$A$1:$O$113,15,0)),0,VLOOKUP($T$447,'TAR FIN'!$A$1:$O$113,15,0))</f>
        <v>0</v>
      </c>
      <c r="X447" s="56">
        <f>IF(ISERROR(VLOOKUP($U$447,'TAR FIN'!$A$1:$O$113,15,0)),0,VLOOKUP($U$447,'TAR FIN'!$A$1:$O$113,15,0))</f>
        <v>0</v>
      </c>
      <c r="Y447" s="56">
        <f ca="1">('TUSD BE'!$AM$30+'TUSD BF'!$AM$30+'TUSD CVA'!$AM$30)*1*(1-0.02)</f>
        <v>26.066113153707715</v>
      </c>
      <c r="Z447" s="56"/>
      <c r="AA447" s="56"/>
      <c r="AB447" s="56">
        <f>(SUBSIDIO!$J$447*SUBSIDIO!$V$447)*(0.04)/(1-0.04)</f>
        <v>200.31439999999998</v>
      </c>
      <c r="AC447" s="56">
        <f>((SUBSIDIO!$L$447*SUBSIDIO!$W$447)+(SUBSIDIO!$N$447*SUBSIDIO!$X$447))*(0.04)/(1-0.04)</f>
        <v>0</v>
      </c>
      <c r="AD447" s="56">
        <f ca="1">(SUBSIDIO!$J$447*SUBSIDIO!$Y$447)*(0.02)/(1-0.02)</f>
        <v>109.58406754415897</v>
      </c>
      <c r="AE447" s="56">
        <f>((SUBSIDIO!$L$447*SUBSIDIO!$Z$447)+(SUBSIDIO!$N$447*SUBSIDIO!$AA$447))*(0.02)/(1-0.02)</f>
        <v>0</v>
      </c>
      <c r="AF447" s="3" t="s">
        <v>1023</v>
      </c>
    </row>
    <row r="448" spans="1:32" ht="11.25" customHeight="1" x14ac:dyDescent="0.25">
      <c r="A448" s="3" t="s">
        <v>21</v>
      </c>
      <c r="B448" s="3" t="s">
        <v>41</v>
      </c>
      <c r="C448" s="3" t="s">
        <v>42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44562</v>
      </c>
      <c r="J448" s="4">
        <v>8140</v>
      </c>
      <c r="K448" s="56">
        <v>8140</v>
      </c>
      <c r="L448" s="4">
        <v>0</v>
      </c>
      <c r="M448" s="56">
        <v>0</v>
      </c>
      <c r="N448" s="4">
        <v>0</v>
      </c>
      <c r="O448" s="56">
        <v>0</v>
      </c>
      <c r="P448" s="4">
        <v>44</v>
      </c>
      <c r="Q448" s="3" t="s">
        <v>26</v>
      </c>
      <c r="R448" s="3">
        <v>0</v>
      </c>
      <c r="S448" s="3">
        <v>44</v>
      </c>
      <c r="T448" s="3">
        <v>0</v>
      </c>
      <c r="U448" s="3">
        <v>0</v>
      </c>
      <c r="V448" s="56">
        <f>IF(ISERROR(VLOOKUP($S$448,'TAR FIN'!$A$1:$O$113,15,0)),0,VLOOKUP($S$448,'TAR FIN'!$A$1:$O$113,15,0))*(1-0.04)</f>
        <v>23.337599999999998</v>
      </c>
      <c r="W448" s="56">
        <f>IF(ISERROR(VLOOKUP($T$448,'TAR FIN'!$A$1:$O$113,15,0)),0,VLOOKUP($T$448,'TAR FIN'!$A$1:$O$113,15,0))</f>
        <v>0</v>
      </c>
      <c r="X448" s="56">
        <f>IF(ISERROR(VLOOKUP($U$448,'TAR FIN'!$A$1:$O$113,15,0)),0,VLOOKUP($U$448,'TAR FIN'!$A$1:$O$113,15,0))</f>
        <v>0</v>
      </c>
      <c r="Y448" s="56">
        <f ca="1">('TUSD BE'!$AM$30+'TUSD BF'!$AM$30+'TUSD CVA'!$AM$30)*1*(1-0.02)</f>
        <v>26.066113153707715</v>
      </c>
      <c r="Z448" s="56"/>
      <c r="AA448" s="56"/>
      <c r="AB448" s="56">
        <f>(SUBSIDIO!$J$448*SUBSIDIO!$V$448)*(0.04)/(1-0.04)</f>
        <v>7915.3359999999993</v>
      </c>
      <c r="AC448" s="56">
        <f>((SUBSIDIO!$L$448*SUBSIDIO!$W$448)+(SUBSIDIO!$N$448*SUBSIDIO!$X$448))*(0.04)/(1-0.04)</f>
        <v>0</v>
      </c>
      <c r="AD448" s="56">
        <f ca="1">(SUBSIDIO!$J$448*SUBSIDIO!$Y$448)*(0.02)/(1-0.02)</f>
        <v>4330.166552473077</v>
      </c>
      <c r="AE448" s="56">
        <f>((SUBSIDIO!$L$448*SUBSIDIO!$Z$448)+(SUBSIDIO!$N$448*SUBSIDIO!$AA$448))*(0.02)/(1-0.02)</f>
        <v>0</v>
      </c>
      <c r="AF448" s="3" t="s">
        <v>1023</v>
      </c>
    </row>
    <row r="449" spans="1:32" ht="11.25" customHeight="1" x14ac:dyDescent="0.25">
      <c r="A449" s="3" t="s">
        <v>27</v>
      </c>
      <c r="B449" s="3" t="s">
        <v>41</v>
      </c>
      <c r="C449" s="3" t="s">
        <v>42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44562</v>
      </c>
      <c r="J449" s="4">
        <v>-414</v>
      </c>
      <c r="K449" s="56">
        <v>-414</v>
      </c>
      <c r="L449" s="4">
        <v>0</v>
      </c>
      <c r="M449" s="56">
        <v>0</v>
      </c>
      <c r="N449" s="4">
        <v>0</v>
      </c>
      <c r="O449" s="56">
        <v>0</v>
      </c>
      <c r="P449" s="4">
        <v>-4</v>
      </c>
      <c r="Q449" s="3" t="s">
        <v>26</v>
      </c>
      <c r="R449" s="3">
        <v>0</v>
      </c>
      <c r="S449" s="3">
        <v>44</v>
      </c>
      <c r="T449" s="3">
        <v>0</v>
      </c>
      <c r="U449" s="3">
        <v>0</v>
      </c>
      <c r="V449" s="56">
        <f>IF(ISERROR(VLOOKUP($S$449,'TAR FIN'!$A$1:$O$113,15,0)),0,VLOOKUP($S$449,'TAR FIN'!$A$1:$O$113,15,0))*(1-0.04)</f>
        <v>23.337599999999998</v>
      </c>
      <c r="W449" s="56">
        <f>IF(ISERROR(VLOOKUP($T$449,'TAR FIN'!$A$1:$O$113,15,0)),0,VLOOKUP($T$449,'TAR FIN'!$A$1:$O$113,15,0))</f>
        <v>0</v>
      </c>
      <c r="X449" s="56">
        <f>IF(ISERROR(VLOOKUP($U$449,'TAR FIN'!$A$1:$O$113,15,0)),0,VLOOKUP($U$449,'TAR FIN'!$A$1:$O$113,15,0))</f>
        <v>0</v>
      </c>
      <c r="Y449" s="56">
        <f ca="1">('TUSD BE'!$AM$30+'TUSD BF'!$AM$30+'TUSD CVA'!$AM$30)*1*(1-0.02)</f>
        <v>26.066113153707715</v>
      </c>
      <c r="Z449" s="56"/>
      <c r="AA449" s="56"/>
      <c r="AB449" s="56">
        <f>(SUBSIDIO!$J$449*SUBSIDIO!$V$449)*(0.04)/(1-0.04)</f>
        <v>-402.5736</v>
      </c>
      <c r="AC449" s="56">
        <f>((SUBSIDIO!$L$449*SUBSIDIO!$W$449)+(SUBSIDIO!$N$449*SUBSIDIO!$X$449))*(0.04)/(1-0.04)</f>
        <v>0</v>
      </c>
      <c r="AD449" s="56">
        <f ca="1">(SUBSIDIO!$J$449*SUBSIDIO!$Y$449)*(0.02)/(1-0.02)</f>
        <v>-220.23205807418356</v>
      </c>
      <c r="AE449" s="56">
        <f>((SUBSIDIO!$L$449*SUBSIDIO!$Z$449)+(SUBSIDIO!$N$449*SUBSIDIO!$AA$449))*(0.02)/(1-0.02)</f>
        <v>0</v>
      </c>
      <c r="AF449" s="3" t="s">
        <v>1023</v>
      </c>
    </row>
    <row r="450" spans="1:32" ht="11.25" customHeight="1" x14ac:dyDescent="0.25">
      <c r="A450" s="3" t="s">
        <v>28</v>
      </c>
      <c r="B450" s="3" t="s">
        <v>41</v>
      </c>
      <c r="C450" s="3" t="s">
        <v>42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44562</v>
      </c>
      <c r="J450" s="4">
        <v>179</v>
      </c>
      <c r="K450" s="56">
        <v>179</v>
      </c>
      <c r="L450" s="4">
        <v>0</v>
      </c>
      <c r="M450" s="56">
        <v>0</v>
      </c>
      <c r="N450" s="4">
        <v>0</v>
      </c>
      <c r="O450" s="56">
        <v>0</v>
      </c>
      <c r="P450" s="4">
        <v>1</v>
      </c>
      <c r="Q450" s="3" t="s">
        <v>26</v>
      </c>
      <c r="R450" s="3">
        <v>0</v>
      </c>
      <c r="S450" s="3">
        <v>44</v>
      </c>
      <c r="T450" s="3">
        <v>0</v>
      </c>
      <c r="U450" s="3">
        <v>0</v>
      </c>
      <c r="V450" s="56">
        <f>IF(ISERROR(VLOOKUP($S$450,'TAR FIN'!$A$1:$O$113,15,0)),0,VLOOKUP($S$450,'TAR FIN'!$A$1:$O$113,15,0))*(1-0.04)</f>
        <v>23.337599999999998</v>
      </c>
      <c r="W450" s="56">
        <f>IF(ISERROR(VLOOKUP($T$450,'TAR FIN'!$A$1:$O$113,15,0)),0,VLOOKUP($T$450,'TAR FIN'!$A$1:$O$113,15,0))</f>
        <v>0</v>
      </c>
      <c r="X450" s="56">
        <f>IF(ISERROR(VLOOKUP($U$450,'TAR FIN'!$A$1:$O$113,15,0)),0,VLOOKUP($U$450,'TAR FIN'!$A$1:$O$113,15,0))</f>
        <v>0</v>
      </c>
      <c r="Y450" s="56">
        <f ca="1">('TUSD BE'!$AM$30+'TUSD BF'!$AM$30+'TUSD CVA'!$AM$30)*1*(1-0.02)</f>
        <v>26.066113153707715</v>
      </c>
      <c r="Z450" s="56"/>
      <c r="AA450" s="56"/>
      <c r="AB450" s="56">
        <f>(SUBSIDIO!$J$450*SUBSIDIO!$V$450)*(0.04)/(1-0.04)</f>
        <v>174.05959999999999</v>
      </c>
      <c r="AC450" s="56">
        <f>((SUBSIDIO!$L$450*SUBSIDIO!$W$450)+(SUBSIDIO!$N$450*SUBSIDIO!$X$450))*(0.04)/(1-0.04)</f>
        <v>0</v>
      </c>
      <c r="AD450" s="56">
        <f ca="1">(SUBSIDIO!$J$450*SUBSIDIO!$Y$450)*(0.02)/(1-0.02)</f>
        <v>95.22110723497309</v>
      </c>
      <c r="AE450" s="56">
        <f>((SUBSIDIO!$L$450*SUBSIDIO!$Z$450)+(SUBSIDIO!$N$450*SUBSIDIO!$AA$450))*(0.02)/(1-0.02)</f>
        <v>0</v>
      </c>
      <c r="AF450" s="3" t="s">
        <v>1023</v>
      </c>
    </row>
    <row r="451" spans="1:32" ht="11.25" customHeight="1" x14ac:dyDescent="0.25">
      <c r="A451" s="3" t="s">
        <v>21</v>
      </c>
      <c r="B451" s="3" t="s">
        <v>41</v>
      </c>
      <c r="C451" s="3" t="s">
        <v>42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44593</v>
      </c>
      <c r="J451" s="4">
        <v>8638</v>
      </c>
      <c r="K451" s="56">
        <v>8638</v>
      </c>
      <c r="L451" s="4">
        <v>0</v>
      </c>
      <c r="M451" s="56">
        <v>0</v>
      </c>
      <c r="N451" s="4">
        <v>0</v>
      </c>
      <c r="O451" s="56">
        <v>0</v>
      </c>
      <c r="P451" s="4">
        <v>43</v>
      </c>
      <c r="Q451" s="3" t="s">
        <v>26</v>
      </c>
      <c r="R451" s="3">
        <v>0</v>
      </c>
      <c r="S451" s="3">
        <v>44</v>
      </c>
      <c r="T451" s="3">
        <v>0</v>
      </c>
      <c r="U451" s="3">
        <v>0</v>
      </c>
      <c r="V451" s="56">
        <f>IF(ISERROR(VLOOKUP($S$451,'TAR FIN'!$A$1:$O$113,15,0)),0,VLOOKUP($S$451,'TAR FIN'!$A$1:$O$113,15,0))*(1-0.04)</f>
        <v>23.337599999999998</v>
      </c>
      <c r="W451" s="56">
        <f>IF(ISERROR(VLOOKUP($T$451,'TAR FIN'!$A$1:$O$113,15,0)),0,VLOOKUP($T$451,'TAR FIN'!$A$1:$O$113,15,0))</f>
        <v>0</v>
      </c>
      <c r="X451" s="56">
        <f>IF(ISERROR(VLOOKUP($U$451,'TAR FIN'!$A$1:$O$113,15,0)),0,VLOOKUP($U$451,'TAR FIN'!$A$1:$O$113,15,0))</f>
        <v>0</v>
      </c>
      <c r="Y451" s="56">
        <f ca="1">('TUSD BE'!$AM$30+'TUSD BF'!$AM$30+'TUSD CVA'!$AM$30)*1*(1-0.02)</f>
        <v>26.066113153707715</v>
      </c>
      <c r="Z451" s="56"/>
      <c r="AA451" s="56"/>
      <c r="AB451" s="56">
        <f>(SUBSIDIO!$J$451*SUBSIDIO!$V$451)*(0.04)/(1-0.04)</f>
        <v>8399.5911999999989</v>
      </c>
      <c r="AC451" s="56">
        <f>((SUBSIDIO!$L$451*SUBSIDIO!$W$451)+(SUBSIDIO!$N$451*SUBSIDIO!$X$451))*(0.04)/(1-0.04)</f>
        <v>0</v>
      </c>
      <c r="AD451" s="56">
        <f ca="1">(SUBSIDIO!$J$451*SUBSIDIO!$Y$451)*(0.02)/(1-0.02)</f>
        <v>4595.0833759536172</v>
      </c>
      <c r="AE451" s="56">
        <f>((SUBSIDIO!$L$451*SUBSIDIO!$Z$451)+(SUBSIDIO!$N$451*SUBSIDIO!$AA$451))*(0.02)/(1-0.02)</f>
        <v>0</v>
      </c>
      <c r="AF451" s="3" t="s">
        <v>1023</v>
      </c>
    </row>
    <row r="452" spans="1:32" ht="11.25" customHeight="1" x14ac:dyDescent="0.25">
      <c r="A452" s="3" t="s">
        <v>27</v>
      </c>
      <c r="B452" s="3" t="s">
        <v>41</v>
      </c>
      <c r="C452" s="3" t="s">
        <v>42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44593</v>
      </c>
      <c r="J452" s="4">
        <v>14</v>
      </c>
      <c r="K452" s="56">
        <v>14</v>
      </c>
      <c r="L452" s="4">
        <v>0</v>
      </c>
      <c r="M452" s="56">
        <v>0</v>
      </c>
      <c r="N452" s="4">
        <v>0</v>
      </c>
      <c r="O452" s="56">
        <v>0</v>
      </c>
      <c r="P452" s="4">
        <v>1</v>
      </c>
      <c r="Q452" s="3" t="s">
        <v>26</v>
      </c>
      <c r="R452" s="3">
        <v>0</v>
      </c>
      <c r="S452" s="3">
        <v>44</v>
      </c>
      <c r="T452" s="3">
        <v>0</v>
      </c>
      <c r="U452" s="3">
        <v>0</v>
      </c>
      <c r="V452" s="56">
        <f>IF(ISERROR(VLOOKUP($S$452,'TAR FIN'!$A$1:$O$113,15,0)),0,VLOOKUP($S$452,'TAR FIN'!$A$1:$O$113,15,0))*(1-0.04)</f>
        <v>23.337599999999998</v>
      </c>
      <c r="W452" s="56">
        <f>IF(ISERROR(VLOOKUP($T$452,'TAR FIN'!$A$1:$O$113,15,0)),0,VLOOKUP($T$452,'TAR FIN'!$A$1:$O$113,15,0))</f>
        <v>0</v>
      </c>
      <c r="X452" s="56">
        <f>IF(ISERROR(VLOOKUP($U$452,'TAR FIN'!$A$1:$O$113,15,0)),0,VLOOKUP($U$452,'TAR FIN'!$A$1:$O$113,15,0))</f>
        <v>0</v>
      </c>
      <c r="Y452" s="56">
        <f ca="1">('TUSD BE'!$AM$30+'TUSD BF'!$AM$30+'TUSD CVA'!$AM$30)*1*(1-0.02)</f>
        <v>26.066113153707715</v>
      </c>
      <c r="Z452" s="56"/>
      <c r="AA452" s="56"/>
      <c r="AB452" s="56">
        <f>(SUBSIDIO!$J$452*SUBSIDIO!$V$452)*(0.04)/(1-0.04)</f>
        <v>13.613599999999998</v>
      </c>
      <c r="AC452" s="56">
        <f>((SUBSIDIO!$L$452*SUBSIDIO!$W$452)+(SUBSIDIO!$N$452*SUBSIDIO!$X$452))*(0.04)/(1-0.04)</f>
        <v>0</v>
      </c>
      <c r="AD452" s="56">
        <f ca="1">(SUBSIDIO!$J$452*SUBSIDIO!$Y$452)*(0.02)/(1-0.02)</f>
        <v>7.4474609010593475</v>
      </c>
      <c r="AE452" s="56">
        <f>((SUBSIDIO!$L$452*SUBSIDIO!$Z$452)+(SUBSIDIO!$N$452*SUBSIDIO!$AA$452))*(0.02)/(1-0.02)</f>
        <v>0</v>
      </c>
      <c r="AF452" s="3" t="s">
        <v>1023</v>
      </c>
    </row>
    <row r="453" spans="1:32" ht="11.25" customHeight="1" x14ac:dyDescent="0.25">
      <c r="A453" s="3" t="s">
        <v>28</v>
      </c>
      <c r="B453" s="3" t="s">
        <v>41</v>
      </c>
      <c r="C453" s="3" t="s">
        <v>42</v>
      </c>
      <c r="D453" s="3" t="s">
        <v>45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44593</v>
      </c>
      <c r="J453" s="4">
        <v>270</v>
      </c>
      <c r="K453" s="56">
        <v>270</v>
      </c>
      <c r="L453" s="4">
        <v>0</v>
      </c>
      <c r="M453" s="56">
        <v>0</v>
      </c>
      <c r="N453" s="4">
        <v>0</v>
      </c>
      <c r="O453" s="56">
        <v>0</v>
      </c>
      <c r="P453" s="4">
        <v>2</v>
      </c>
      <c r="Q453" s="3" t="s">
        <v>26</v>
      </c>
      <c r="R453" s="3">
        <v>0</v>
      </c>
      <c r="S453" s="3">
        <v>44</v>
      </c>
      <c r="T453" s="3">
        <v>0</v>
      </c>
      <c r="U453" s="3">
        <v>0</v>
      </c>
      <c r="V453" s="56">
        <f>IF(ISERROR(VLOOKUP($S$453,'TAR FIN'!$A$1:$O$113,15,0)),0,VLOOKUP($S$453,'TAR FIN'!$A$1:$O$113,15,0))*(1-0.04)</f>
        <v>23.337599999999998</v>
      </c>
      <c r="W453" s="56">
        <f>IF(ISERROR(VLOOKUP($T$453,'TAR FIN'!$A$1:$O$113,15,0)),0,VLOOKUP($T$453,'TAR FIN'!$A$1:$O$113,15,0))</f>
        <v>0</v>
      </c>
      <c r="X453" s="56">
        <f>IF(ISERROR(VLOOKUP($U$453,'TAR FIN'!$A$1:$O$113,15,0)),0,VLOOKUP($U$453,'TAR FIN'!$A$1:$O$113,15,0))</f>
        <v>0</v>
      </c>
      <c r="Y453" s="56">
        <f ca="1">('TUSD BE'!$AM$30+'TUSD BF'!$AM$30+'TUSD CVA'!$AM$30)*1*(1-0.02)</f>
        <v>26.066113153707715</v>
      </c>
      <c r="Z453" s="56"/>
      <c r="AA453" s="56"/>
      <c r="AB453" s="56">
        <f>(SUBSIDIO!$J$453*SUBSIDIO!$V$453)*(0.04)/(1-0.04)</f>
        <v>262.54799999999994</v>
      </c>
      <c r="AC453" s="56">
        <f>((SUBSIDIO!$L$453*SUBSIDIO!$W$453)+(SUBSIDIO!$N$453*SUBSIDIO!$X$453))*(0.04)/(1-0.04)</f>
        <v>0</v>
      </c>
      <c r="AD453" s="56">
        <f ca="1">(SUBSIDIO!$J$453*SUBSIDIO!$Y$453)*(0.02)/(1-0.02)</f>
        <v>143.62960309185883</v>
      </c>
      <c r="AE453" s="56">
        <f>((SUBSIDIO!$L$453*SUBSIDIO!$Z$453)+(SUBSIDIO!$N$453*SUBSIDIO!$AA$453))*(0.02)/(1-0.02)</f>
        <v>0</v>
      </c>
      <c r="AF453" s="3" t="s">
        <v>1023</v>
      </c>
    </row>
    <row r="454" spans="1:32" ht="11.25" customHeight="1" x14ac:dyDescent="0.25">
      <c r="A454" s="3" t="s">
        <v>56</v>
      </c>
      <c r="B454" s="3" t="s">
        <v>41</v>
      </c>
      <c r="C454" s="3" t="s">
        <v>42</v>
      </c>
      <c r="D454" s="3" t="s">
        <v>45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44621</v>
      </c>
      <c r="J454" s="4">
        <v>8638</v>
      </c>
      <c r="K454" s="56">
        <v>8638</v>
      </c>
      <c r="L454" s="4">
        <v>0</v>
      </c>
      <c r="M454" s="56">
        <v>0</v>
      </c>
      <c r="N454" s="4">
        <v>0</v>
      </c>
      <c r="O454" s="56">
        <v>0</v>
      </c>
      <c r="P454" s="4">
        <v>43</v>
      </c>
      <c r="Q454" s="3" t="s">
        <v>26</v>
      </c>
      <c r="R454" s="3">
        <v>0</v>
      </c>
      <c r="S454" s="3">
        <v>44</v>
      </c>
      <c r="T454" s="3">
        <v>0</v>
      </c>
      <c r="U454" s="3">
        <v>0</v>
      </c>
      <c r="V454" s="56">
        <f>IF(ISERROR(VLOOKUP($S$454,'TAR FIN'!$A$1:$O$113,15,0)),0,VLOOKUP($S$454,'TAR FIN'!$A$1:$O$113,15,0))*(1-0.04)</f>
        <v>23.337599999999998</v>
      </c>
      <c r="W454" s="56">
        <f>IF(ISERROR(VLOOKUP($T$454,'TAR FIN'!$A$1:$O$113,15,0)),0,VLOOKUP($T$454,'TAR FIN'!$A$1:$O$113,15,0))</f>
        <v>0</v>
      </c>
      <c r="X454" s="56">
        <f>IF(ISERROR(VLOOKUP($U$454,'TAR FIN'!$A$1:$O$113,15,0)),0,VLOOKUP($U$454,'TAR FIN'!$A$1:$O$113,15,0))</f>
        <v>0</v>
      </c>
      <c r="Y454" s="56">
        <f ca="1">('TUSD BE'!$AM$30+'TUSD BF'!$AM$30+'TUSD CVA'!$AM$30)*1*(1-0.02)</f>
        <v>26.066113153707715</v>
      </c>
      <c r="Z454" s="56"/>
      <c r="AA454" s="56"/>
      <c r="AB454" s="56">
        <f>(SUBSIDIO!$J$454*SUBSIDIO!$V$454)*(0.04)/(1-0.04)</f>
        <v>8399.5911999999989</v>
      </c>
      <c r="AC454" s="56">
        <f>((SUBSIDIO!$L$454*SUBSIDIO!$W$454)+(SUBSIDIO!$N$454*SUBSIDIO!$X$454))*(0.04)/(1-0.04)</f>
        <v>0</v>
      </c>
      <c r="AD454" s="56">
        <f ca="1">(SUBSIDIO!$J$454*SUBSIDIO!$Y$454)*(0.02)/(1-0.02)</f>
        <v>4595.0833759536172</v>
      </c>
      <c r="AE454" s="56">
        <f>((SUBSIDIO!$L$454*SUBSIDIO!$Z$454)+(SUBSIDIO!$N$454*SUBSIDIO!$AA$454))*(0.02)/(1-0.02)</f>
        <v>0</v>
      </c>
      <c r="AF454" s="3" t="s">
        <v>1023</v>
      </c>
    </row>
    <row r="455" spans="1:32" ht="11.25" customHeight="1" x14ac:dyDescent="0.25">
      <c r="A455" s="3" t="s">
        <v>56</v>
      </c>
      <c r="B455" s="3" t="s">
        <v>41</v>
      </c>
      <c r="C455" s="3" t="s">
        <v>42</v>
      </c>
      <c r="D455" s="3" t="s">
        <v>45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44621</v>
      </c>
      <c r="J455" s="4">
        <v>14</v>
      </c>
      <c r="K455" s="56">
        <v>14</v>
      </c>
      <c r="L455" s="4">
        <v>0</v>
      </c>
      <c r="M455" s="56">
        <v>0</v>
      </c>
      <c r="N455" s="4">
        <v>0</v>
      </c>
      <c r="O455" s="56">
        <v>0</v>
      </c>
      <c r="P455" s="4">
        <v>1</v>
      </c>
      <c r="Q455" s="3" t="s">
        <v>26</v>
      </c>
      <c r="R455" s="3">
        <v>0</v>
      </c>
      <c r="S455" s="3">
        <v>44</v>
      </c>
      <c r="T455" s="3">
        <v>0</v>
      </c>
      <c r="U455" s="3">
        <v>0</v>
      </c>
      <c r="V455" s="56">
        <f>IF(ISERROR(VLOOKUP($S$455,'TAR FIN'!$A$1:$O$113,15,0)),0,VLOOKUP($S$455,'TAR FIN'!$A$1:$O$113,15,0))*(1-0.04)</f>
        <v>23.337599999999998</v>
      </c>
      <c r="W455" s="56">
        <f>IF(ISERROR(VLOOKUP($T$455,'TAR FIN'!$A$1:$O$113,15,0)),0,VLOOKUP($T$455,'TAR FIN'!$A$1:$O$113,15,0))</f>
        <v>0</v>
      </c>
      <c r="X455" s="56">
        <f>IF(ISERROR(VLOOKUP($U$455,'TAR FIN'!$A$1:$O$113,15,0)),0,VLOOKUP($U$455,'TAR FIN'!$A$1:$O$113,15,0))</f>
        <v>0</v>
      </c>
      <c r="Y455" s="56">
        <f ca="1">('TUSD BE'!$AM$30+'TUSD BF'!$AM$30+'TUSD CVA'!$AM$30)*1*(1-0.02)</f>
        <v>26.066113153707715</v>
      </c>
      <c r="Z455" s="56"/>
      <c r="AA455" s="56"/>
      <c r="AB455" s="56">
        <f>(SUBSIDIO!$J$455*SUBSIDIO!$V$455)*(0.04)/(1-0.04)</f>
        <v>13.613599999999998</v>
      </c>
      <c r="AC455" s="56">
        <f>((SUBSIDIO!$L$455*SUBSIDIO!$W$455)+(SUBSIDIO!$N$455*SUBSIDIO!$X$455))*(0.04)/(1-0.04)</f>
        <v>0</v>
      </c>
      <c r="AD455" s="56">
        <f ca="1">(SUBSIDIO!$J$455*SUBSIDIO!$Y$455)*(0.02)/(1-0.02)</f>
        <v>7.4474609010593475</v>
      </c>
      <c r="AE455" s="56">
        <f>((SUBSIDIO!$L$455*SUBSIDIO!$Z$455)+(SUBSIDIO!$N$455*SUBSIDIO!$AA$455))*(0.02)/(1-0.02)</f>
        <v>0</v>
      </c>
      <c r="AF455" s="3" t="s">
        <v>1023</v>
      </c>
    </row>
    <row r="456" spans="1:32" ht="11.25" customHeight="1" x14ac:dyDescent="0.25">
      <c r="A456" s="3" t="s">
        <v>56</v>
      </c>
      <c r="B456" s="3" t="s">
        <v>41</v>
      </c>
      <c r="C456" s="3" t="s">
        <v>42</v>
      </c>
      <c r="D456" s="3" t="s">
        <v>45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44621</v>
      </c>
      <c r="J456" s="4">
        <v>270</v>
      </c>
      <c r="K456" s="56">
        <v>270</v>
      </c>
      <c r="L456" s="4">
        <v>0</v>
      </c>
      <c r="M456" s="56">
        <v>0</v>
      </c>
      <c r="N456" s="4">
        <v>0</v>
      </c>
      <c r="O456" s="56">
        <v>0</v>
      </c>
      <c r="P456" s="4">
        <v>2</v>
      </c>
      <c r="Q456" s="3" t="s">
        <v>26</v>
      </c>
      <c r="R456" s="3">
        <v>0</v>
      </c>
      <c r="S456" s="3">
        <v>44</v>
      </c>
      <c r="T456" s="3">
        <v>0</v>
      </c>
      <c r="U456" s="3">
        <v>0</v>
      </c>
      <c r="V456" s="56">
        <f>IF(ISERROR(VLOOKUP($S$456,'TAR FIN'!$A$1:$O$113,15,0)),0,VLOOKUP($S$456,'TAR FIN'!$A$1:$O$113,15,0))*(1-0.04)</f>
        <v>23.337599999999998</v>
      </c>
      <c r="W456" s="56">
        <f>IF(ISERROR(VLOOKUP($T$456,'TAR FIN'!$A$1:$O$113,15,0)),0,VLOOKUP($T$456,'TAR FIN'!$A$1:$O$113,15,0))</f>
        <v>0</v>
      </c>
      <c r="X456" s="56">
        <f>IF(ISERROR(VLOOKUP($U$456,'TAR FIN'!$A$1:$O$113,15,0)),0,VLOOKUP($U$456,'TAR FIN'!$A$1:$O$113,15,0))</f>
        <v>0</v>
      </c>
      <c r="Y456" s="56">
        <f ca="1">('TUSD BE'!$AM$30+'TUSD BF'!$AM$30+'TUSD CVA'!$AM$30)*1*(1-0.02)</f>
        <v>26.066113153707715</v>
      </c>
      <c r="Z456" s="56"/>
      <c r="AA456" s="56"/>
      <c r="AB456" s="56">
        <f>(SUBSIDIO!$J$456*SUBSIDIO!$V$456)*(0.04)/(1-0.04)</f>
        <v>262.54799999999994</v>
      </c>
      <c r="AC456" s="56">
        <f>((SUBSIDIO!$L$456*SUBSIDIO!$W$456)+(SUBSIDIO!$N$456*SUBSIDIO!$X$456))*(0.04)/(1-0.04)</f>
        <v>0</v>
      </c>
      <c r="AD456" s="56">
        <f ca="1">(SUBSIDIO!$J$456*SUBSIDIO!$Y$456)*(0.02)/(1-0.02)</f>
        <v>143.62960309185883</v>
      </c>
      <c r="AE456" s="56">
        <f>((SUBSIDIO!$L$456*SUBSIDIO!$Z$456)+(SUBSIDIO!$N$456*SUBSIDIO!$AA$456))*(0.02)/(1-0.02)</f>
        <v>0</v>
      </c>
      <c r="AF456" s="3" t="s">
        <v>1023</v>
      </c>
    </row>
    <row r="457" spans="1:32" ht="11.25" customHeight="1" x14ac:dyDescent="0.25">
      <c r="A457" s="3" t="s">
        <v>21</v>
      </c>
      <c r="B457" s="3" t="s">
        <v>41</v>
      </c>
      <c r="C457" s="3" t="s">
        <v>42</v>
      </c>
      <c r="D457" s="3" t="s">
        <v>45</v>
      </c>
      <c r="E457" s="3" t="s">
        <v>25</v>
      </c>
      <c r="F457" s="3" t="s">
        <v>25</v>
      </c>
      <c r="G457" s="3" t="s">
        <v>25</v>
      </c>
      <c r="H457" s="3" t="s">
        <v>34</v>
      </c>
      <c r="I457" s="6">
        <v>44287</v>
      </c>
      <c r="J457" s="4">
        <v>0</v>
      </c>
      <c r="K457" s="56">
        <v>0</v>
      </c>
      <c r="L457" s="4">
        <v>30.745999999999999</v>
      </c>
      <c r="M457" s="56">
        <v>30.745999999999999</v>
      </c>
      <c r="N457" s="4">
        <v>30.745999999999999</v>
      </c>
      <c r="O457" s="56">
        <v>30.745999999999999</v>
      </c>
      <c r="P457" s="4">
        <v>0</v>
      </c>
      <c r="Q457" s="3" t="s">
        <v>26</v>
      </c>
      <c r="R457" s="3">
        <v>0</v>
      </c>
      <c r="S457" s="3">
        <v>0</v>
      </c>
      <c r="T457" s="3">
        <v>20</v>
      </c>
      <c r="U457" s="3">
        <v>88</v>
      </c>
      <c r="V457" s="56">
        <f>IF(ISERROR(VLOOKUP($S$457,'TAR FIN'!$A$1:$O$113,15,0)),0,VLOOKUP($S$457,'TAR FIN'!$A$1:$O$113,15,0))</f>
        <v>0</v>
      </c>
      <c r="W457" s="56">
        <f>IF(ISERROR(VLOOKUP($T$457,'TAR FIN'!$A$1:$O$113,15,0)),0,VLOOKUP($T$457,'TAR FIN'!$A$1:$O$113,15,0))*(1-0.04)</f>
        <v>1502.0063999999998</v>
      </c>
      <c r="X457" s="56">
        <f>IF(ISERROR(VLOOKUP($U$457,'TAR FIN'!$A$1:$O$113,15,0)),0,VLOOKUP($U$457,'TAR FIN'!$A$1:$O$113,15,0))*(1-0.04)</f>
        <v>350.88</v>
      </c>
      <c r="Y457" s="56"/>
      <c r="Z457" s="56">
        <f ca="1">('TUSD BE'!$AM$31+'TUSD BF'!$AM$31+'TUSD CVA'!$AM$31)*1*(1-0.02)</f>
        <v>1801.1318198709657</v>
      </c>
      <c r="AA457" s="56">
        <f>('TE BE'!$AA$10+'TE BF'!$AA$10+'TE CVA'!$AA$10)*1*(1-0.02)</f>
        <v>354.31913150043306</v>
      </c>
      <c r="AB457" s="56">
        <f>(SUBSIDIO!$J$457*SUBSIDIO!$V$457)*(0.04)/(1-0.04)</f>
        <v>0</v>
      </c>
      <c r="AC457" s="56">
        <f>((SUBSIDIO!$L$457*SUBSIDIO!$W$457)+(SUBSIDIO!$N$457*SUBSIDIO!$X$457))*(0.04)/(1-0.04)</f>
        <v>2373.7018855999995</v>
      </c>
      <c r="AD457" s="56">
        <f>(SUBSIDIO!$J$457*SUBSIDIO!$Y$457)*(0.02)/(1-0.02)</f>
        <v>0</v>
      </c>
      <c r="AE457" s="56">
        <f ca="1">((SUBSIDIO!$L$457*SUBSIDIO!$Z$457)+(SUBSIDIO!$N$457*SUBSIDIO!$AA$457))*(0.02)/(1-0.02)</f>
        <v>1352.4794887931639</v>
      </c>
      <c r="AF457" s="3" t="s">
        <v>1023</v>
      </c>
    </row>
    <row r="458" spans="1:32" ht="11.25" customHeight="1" x14ac:dyDescent="0.25">
      <c r="A458" s="3" t="s">
        <v>21</v>
      </c>
      <c r="B458" s="3" t="s">
        <v>41</v>
      </c>
      <c r="C458" s="3" t="s">
        <v>42</v>
      </c>
      <c r="D458" s="3" t="s">
        <v>45</v>
      </c>
      <c r="E458" s="3" t="s">
        <v>25</v>
      </c>
      <c r="F458" s="3" t="s">
        <v>25</v>
      </c>
      <c r="G458" s="3" t="s">
        <v>25</v>
      </c>
      <c r="H458" s="3" t="s">
        <v>34</v>
      </c>
      <c r="I458" s="6">
        <v>44317</v>
      </c>
      <c r="J458" s="4">
        <v>0</v>
      </c>
      <c r="K458" s="56">
        <v>0</v>
      </c>
      <c r="L458" s="4">
        <v>260.08</v>
      </c>
      <c r="M458" s="56">
        <v>260.08</v>
      </c>
      <c r="N458" s="4">
        <v>260.08</v>
      </c>
      <c r="O458" s="56">
        <v>260.08</v>
      </c>
      <c r="P458" s="4">
        <v>0</v>
      </c>
      <c r="Q458" s="3" t="s">
        <v>26</v>
      </c>
      <c r="R458" s="3">
        <v>0</v>
      </c>
      <c r="S458" s="3">
        <v>0</v>
      </c>
      <c r="T458" s="3">
        <v>20</v>
      </c>
      <c r="U458" s="3">
        <v>88</v>
      </c>
      <c r="V458" s="56">
        <f>IF(ISERROR(VLOOKUP($S$458,'TAR FIN'!$A$1:$O$113,15,0)),0,VLOOKUP($S$458,'TAR FIN'!$A$1:$O$113,15,0))</f>
        <v>0</v>
      </c>
      <c r="W458" s="56">
        <f>IF(ISERROR(VLOOKUP($T$458,'TAR FIN'!$A$1:$O$113,15,0)),0,VLOOKUP($T$458,'TAR FIN'!$A$1:$O$113,15,0))*(1-0.04)</f>
        <v>1502.0063999999998</v>
      </c>
      <c r="X458" s="56">
        <f>IF(ISERROR(VLOOKUP($U$458,'TAR FIN'!$A$1:$O$113,15,0)),0,VLOOKUP($U$458,'TAR FIN'!$A$1:$O$113,15,0))*(1-0.04)</f>
        <v>350.88</v>
      </c>
      <c r="Y458" s="56"/>
      <c r="Z458" s="56">
        <f ca="1">('TUSD BE'!$AM$31+'TUSD BF'!$AM$31+'TUSD CVA'!$AM$31)*1*(1-0.02)</f>
        <v>1801.1318198709657</v>
      </c>
      <c r="AA458" s="56">
        <f>('TE BE'!$AA$10+'TE BF'!$AA$10+'TE CVA'!$AA$10)*1*(1-0.02)</f>
        <v>354.31913150043306</v>
      </c>
      <c r="AB458" s="56">
        <f>(SUBSIDIO!$J$458*SUBSIDIO!$V$458)*(0.04)/(1-0.04)</f>
        <v>0</v>
      </c>
      <c r="AC458" s="56">
        <f>((SUBSIDIO!$L$458*SUBSIDIO!$W$458)+(SUBSIDIO!$N$458*SUBSIDIO!$X$458))*(0.04)/(1-0.04)</f>
        <v>20079.112288</v>
      </c>
      <c r="AD458" s="56">
        <f>(SUBSIDIO!$J$458*SUBSIDIO!$Y$458)*(0.02)/(1-0.02)</f>
        <v>0</v>
      </c>
      <c r="AE458" s="56">
        <f ca="1">((SUBSIDIO!$L$458*SUBSIDIO!$Z$458)+(SUBSIDIO!$N$458*SUBSIDIO!$AA$458))*(0.02)/(1-0.02)</f>
        <v>11440.605784340272</v>
      </c>
      <c r="AF458" s="3" t="s">
        <v>1023</v>
      </c>
    </row>
    <row r="459" spans="1:32" ht="11.25" customHeight="1" x14ac:dyDescent="0.25">
      <c r="A459" s="3" t="s">
        <v>27</v>
      </c>
      <c r="B459" s="3" t="s">
        <v>41</v>
      </c>
      <c r="C459" s="3" t="s">
        <v>42</v>
      </c>
      <c r="D459" s="3" t="s">
        <v>45</v>
      </c>
      <c r="E459" s="3" t="s">
        <v>25</v>
      </c>
      <c r="F459" s="3" t="s">
        <v>25</v>
      </c>
      <c r="G459" s="3" t="s">
        <v>25</v>
      </c>
      <c r="H459" s="3" t="s">
        <v>34</v>
      </c>
      <c r="I459" s="6">
        <v>44317</v>
      </c>
      <c r="J459" s="4">
        <v>0</v>
      </c>
      <c r="K459" s="56">
        <v>0</v>
      </c>
      <c r="L459" s="4">
        <v>0.08</v>
      </c>
      <c r="M459" s="56">
        <v>0.08</v>
      </c>
      <c r="N459" s="4">
        <v>0.08</v>
      </c>
      <c r="O459" s="56">
        <v>0.08</v>
      </c>
      <c r="P459" s="4">
        <v>0</v>
      </c>
      <c r="Q459" s="3" t="s">
        <v>26</v>
      </c>
      <c r="R459" s="3">
        <v>0</v>
      </c>
      <c r="S459" s="3">
        <v>0</v>
      </c>
      <c r="T459" s="3">
        <v>20</v>
      </c>
      <c r="U459" s="3">
        <v>88</v>
      </c>
      <c r="V459" s="56">
        <f>IF(ISERROR(VLOOKUP($S$459,'TAR FIN'!$A$1:$O$113,15,0)),0,VLOOKUP($S$459,'TAR FIN'!$A$1:$O$113,15,0))</f>
        <v>0</v>
      </c>
      <c r="W459" s="56">
        <f>IF(ISERROR(VLOOKUP($T$459,'TAR FIN'!$A$1:$O$113,15,0)),0,VLOOKUP($T$459,'TAR FIN'!$A$1:$O$113,15,0))*(1-0.04)</f>
        <v>1502.0063999999998</v>
      </c>
      <c r="X459" s="56">
        <f>IF(ISERROR(VLOOKUP($U$459,'TAR FIN'!$A$1:$O$113,15,0)),0,VLOOKUP($U$459,'TAR FIN'!$A$1:$O$113,15,0))*(1-0.04)</f>
        <v>350.88</v>
      </c>
      <c r="Y459" s="56"/>
      <c r="Z459" s="56">
        <f ca="1">('TUSD BE'!$AM$31+'TUSD BF'!$AM$31+'TUSD CVA'!$AM$31)*1*(1-0.02)</f>
        <v>1801.1318198709657</v>
      </c>
      <c r="AA459" s="56">
        <f>('TE BE'!$AA$10+'TE BF'!$AA$10+'TE CVA'!$AA$10)*1*(1-0.02)</f>
        <v>354.31913150043306</v>
      </c>
      <c r="AB459" s="56">
        <f>(SUBSIDIO!$J$459*SUBSIDIO!$V$459)*(0.04)/(1-0.04)</f>
        <v>0</v>
      </c>
      <c r="AC459" s="56">
        <f>((SUBSIDIO!$L$459*SUBSIDIO!$W$459)+(SUBSIDIO!$N$459*SUBSIDIO!$X$459))*(0.04)/(1-0.04)</f>
        <v>6.1762879999999996</v>
      </c>
      <c r="AD459" s="56">
        <f>(SUBSIDIO!$J$459*SUBSIDIO!$Y$459)*(0.02)/(1-0.02)</f>
        <v>0</v>
      </c>
      <c r="AE459" s="56">
        <f ca="1">((SUBSIDIO!$L$459*SUBSIDIO!$Z$459)+(SUBSIDIO!$N$459*SUBSIDIO!$AA$459))*(0.02)/(1-0.02)</f>
        <v>3.5191035940757529</v>
      </c>
      <c r="AF459" s="3" t="s">
        <v>1023</v>
      </c>
    </row>
    <row r="460" spans="1:32" ht="11.25" customHeight="1" x14ac:dyDescent="0.25">
      <c r="A460" s="3" t="s">
        <v>21</v>
      </c>
      <c r="B460" s="3" t="s">
        <v>41</v>
      </c>
      <c r="C460" s="3" t="s">
        <v>42</v>
      </c>
      <c r="D460" s="3" t="s">
        <v>45</v>
      </c>
      <c r="E460" s="3" t="s">
        <v>25</v>
      </c>
      <c r="F460" s="3" t="s">
        <v>25</v>
      </c>
      <c r="G460" s="3" t="s">
        <v>25</v>
      </c>
      <c r="H460" s="3" t="s">
        <v>34</v>
      </c>
      <c r="I460" s="6">
        <v>44348</v>
      </c>
      <c r="J460" s="4">
        <v>0</v>
      </c>
      <c r="K460" s="56">
        <v>0</v>
      </c>
      <c r="L460" s="4">
        <v>24.515999999999998</v>
      </c>
      <c r="M460" s="56">
        <v>24.515999999999998</v>
      </c>
      <c r="N460" s="4">
        <v>24.515999999999998</v>
      </c>
      <c r="O460" s="56">
        <v>24.515999999999998</v>
      </c>
      <c r="P460" s="4">
        <v>0</v>
      </c>
      <c r="Q460" s="3" t="s">
        <v>26</v>
      </c>
      <c r="R460" s="3">
        <v>0</v>
      </c>
      <c r="S460" s="3">
        <v>0</v>
      </c>
      <c r="T460" s="3">
        <v>20</v>
      </c>
      <c r="U460" s="3">
        <v>88</v>
      </c>
      <c r="V460" s="56">
        <f>IF(ISERROR(VLOOKUP($S$460,'TAR FIN'!$A$1:$O$113,15,0)),0,VLOOKUP($S$460,'TAR FIN'!$A$1:$O$113,15,0))</f>
        <v>0</v>
      </c>
      <c r="W460" s="56">
        <f>IF(ISERROR(VLOOKUP($T$460,'TAR FIN'!$A$1:$O$113,15,0)),0,VLOOKUP($T$460,'TAR FIN'!$A$1:$O$113,15,0))*(1-0.04)</f>
        <v>1502.0063999999998</v>
      </c>
      <c r="X460" s="56">
        <f>IF(ISERROR(VLOOKUP($U$460,'TAR FIN'!$A$1:$O$113,15,0)),0,VLOOKUP($U$460,'TAR FIN'!$A$1:$O$113,15,0))*(1-0.04)</f>
        <v>350.88</v>
      </c>
      <c r="Y460" s="56"/>
      <c r="Z460" s="56">
        <f ca="1">('TUSD BE'!$AM$31+'TUSD BF'!$AM$31+'TUSD CVA'!$AM$31)*1*(1-0.02)</f>
        <v>1801.1318198709657</v>
      </c>
      <c r="AA460" s="56">
        <f>('TE BE'!$AA$10+'TE BF'!$AA$10+'TE CVA'!$AA$10)*1*(1-0.02)</f>
        <v>354.31913150043306</v>
      </c>
      <c r="AB460" s="56">
        <f>(SUBSIDIO!$J$460*SUBSIDIO!$V$460)*(0.04)/(1-0.04)</f>
        <v>0</v>
      </c>
      <c r="AC460" s="56">
        <f>((SUBSIDIO!$L$460*SUBSIDIO!$W$460)+(SUBSIDIO!$N$460*SUBSIDIO!$X$460))*(0.04)/(1-0.04)</f>
        <v>1892.7234575999994</v>
      </c>
      <c r="AD460" s="56">
        <f>(SUBSIDIO!$J$460*SUBSIDIO!$Y$460)*(0.02)/(1-0.02)</f>
        <v>0</v>
      </c>
      <c r="AE460" s="56">
        <f ca="1">((SUBSIDIO!$L$460*SUBSIDIO!$Z$460)+(SUBSIDIO!$N$460*SUBSIDIO!$AA$460))*(0.02)/(1-0.02)</f>
        <v>1078.4292964045144</v>
      </c>
      <c r="AF460" s="3" t="s">
        <v>1023</v>
      </c>
    </row>
    <row r="461" spans="1:32" ht="11.25" customHeight="1" x14ac:dyDescent="0.25">
      <c r="A461" s="3" t="s">
        <v>21</v>
      </c>
      <c r="B461" s="3" t="s">
        <v>41</v>
      </c>
      <c r="C461" s="3" t="s">
        <v>42</v>
      </c>
      <c r="D461" s="3" t="s">
        <v>45</v>
      </c>
      <c r="E461" s="3" t="s">
        <v>25</v>
      </c>
      <c r="F461" s="3" t="s">
        <v>25</v>
      </c>
      <c r="G461" s="3" t="s">
        <v>25</v>
      </c>
      <c r="H461" s="3" t="s">
        <v>34</v>
      </c>
      <c r="I461" s="6">
        <v>44378</v>
      </c>
      <c r="J461" s="4">
        <v>0</v>
      </c>
      <c r="K461" s="56">
        <v>0</v>
      </c>
      <c r="L461" s="4">
        <v>27.988</v>
      </c>
      <c r="M461" s="56">
        <v>27.988</v>
      </c>
      <c r="N461" s="4">
        <v>27.988</v>
      </c>
      <c r="O461" s="56">
        <v>27.988</v>
      </c>
      <c r="P461" s="4">
        <v>0</v>
      </c>
      <c r="Q461" s="3" t="s">
        <v>26</v>
      </c>
      <c r="R461" s="3">
        <v>0</v>
      </c>
      <c r="S461" s="3">
        <v>0</v>
      </c>
      <c r="T461" s="3">
        <v>20</v>
      </c>
      <c r="U461" s="3">
        <v>88</v>
      </c>
      <c r="V461" s="56">
        <f>IF(ISERROR(VLOOKUP($S$461,'TAR FIN'!$A$1:$O$113,15,0)),0,VLOOKUP($S$461,'TAR FIN'!$A$1:$O$113,15,0))</f>
        <v>0</v>
      </c>
      <c r="W461" s="56">
        <f>IF(ISERROR(VLOOKUP($T$461,'TAR FIN'!$A$1:$O$113,15,0)),0,VLOOKUP($T$461,'TAR FIN'!$A$1:$O$113,15,0))*(1-0.04)</f>
        <v>1502.0063999999998</v>
      </c>
      <c r="X461" s="56">
        <f>IF(ISERROR(VLOOKUP($U$461,'TAR FIN'!$A$1:$O$113,15,0)),0,VLOOKUP($U$461,'TAR FIN'!$A$1:$O$113,15,0))*(1-0.04)</f>
        <v>350.88</v>
      </c>
      <c r="Y461" s="56"/>
      <c r="Z461" s="56">
        <f ca="1">('TUSD BE'!$AM$31+'TUSD BF'!$AM$31+'TUSD CVA'!$AM$31)*1*(1-0.02)</f>
        <v>1801.1318198709657</v>
      </c>
      <c r="AA461" s="56">
        <f>('TE BE'!$AA$10+'TE BF'!$AA$10+'TE CVA'!$AA$10)*1*(1-0.02)</f>
        <v>354.31913150043306</v>
      </c>
      <c r="AB461" s="56">
        <f>(SUBSIDIO!$J$461*SUBSIDIO!$V$461)*(0.04)/(1-0.04)</f>
        <v>0</v>
      </c>
      <c r="AC461" s="56">
        <f>((SUBSIDIO!$L$461*SUBSIDIO!$W$461)+(SUBSIDIO!$N$461*SUBSIDIO!$X$461))*(0.04)/(1-0.04)</f>
        <v>2160.7743568000001</v>
      </c>
      <c r="AD461" s="56">
        <f>(SUBSIDIO!$J$461*SUBSIDIO!$Y$461)*(0.02)/(1-0.02)</f>
        <v>0</v>
      </c>
      <c r="AE461" s="56">
        <f ca="1">((SUBSIDIO!$L$461*SUBSIDIO!$Z$461)+(SUBSIDIO!$N$461*SUBSIDIO!$AA$461))*(0.02)/(1-0.02)</f>
        <v>1231.1583923874023</v>
      </c>
      <c r="AF461" s="3" t="s">
        <v>1023</v>
      </c>
    </row>
    <row r="462" spans="1:32" ht="11.25" customHeight="1" x14ac:dyDescent="0.25">
      <c r="A462" s="3" t="s">
        <v>27</v>
      </c>
      <c r="B462" s="3" t="s">
        <v>41</v>
      </c>
      <c r="C462" s="3" t="s">
        <v>42</v>
      </c>
      <c r="D462" s="3" t="s">
        <v>45</v>
      </c>
      <c r="E462" s="3" t="s">
        <v>25</v>
      </c>
      <c r="F462" s="3" t="s">
        <v>25</v>
      </c>
      <c r="G462" s="3" t="s">
        <v>25</v>
      </c>
      <c r="H462" s="3" t="s">
        <v>34</v>
      </c>
      <c r="I462" s="6">
        <v>44378</v>
      </c>
      <c r="J462" s="4">
        <v>0</v>
      </c>
      <c r="K462" s="56">
        <v>0</v>
      </c>
      <c r="L462" s="4">
        <v>8.2000000000000003E-2</v>
      </c>
      <c r="M462" s="56">
        <v>8.2000000000000003E-2</v>
      </c>
      <c r="N462" s="4">
        <v>8.2000000000000003E-2</v>
      </c>
      <c r="O462" s="56">
        <v>8.2000000000000003E-2</v>
      </c>
      <c r="P462" s="4">
        <v>0</v>
      </c>
      <c r="Q462" s="3" t="s">
        <v>26</v>
      </c>
      <c r="R462" s="3">
        <v>0</v>
      </c>
      <c r="S462" s="3">
        <v>0</v>
      </c>
      <c r="T462" s="3">
        <v>20</v>
      </c>
      <c r="U462" s="3">
        <v>88</v>
      </c>
      <c r="V462" s="56">
        <f>IF(ISERROR(VLOOKUP($S$462,'TAR FIN'!$A$1:$O$113,15,0)),0,VLOOKUP($S$462,'TAR FIN'!$A$1:$O$113,15,0))</f>
        <v>0</v>
      </c>
      <c r="W462" s="56">
        <f>IF(ISERROR(VLOOKUP($T$462,'TAR FIN'!$A$1:$O$113,15,0)),0,VLOOKUP($T$462,'TAR FIN'!$A$1:$O$113,15,0))*(1-0.04)</f>
        <v>1502.0063999999998</v>
      </c>
      <c r="X462" s="56">
        <f>IF(ISERROR(VLOOKUP($U$462,'TAR FIN'!$A$1:$O$113,15,0)),0,VLOOKUP($U$462,'TAR FIN'!$A$1:$O$113,15,0))*(1-0.04)</f>
        <v>350.88</v>
      </c>
      <c r="Y462" s="56"/>
      <c r="Z462" s="56">
        <f ca="1">('TUSD BE'!$AM$31+'TUSD BF'!$AM$31+'TUSD CVA'!$AM$31)*1*(1-0.02)</f>
        <v>1801.1318198709657</v>
      </c>
      <c r="AA462" s="56">
        <f>('TE BE'!$AA$10+'TE BF'!$AA$10+'TE CVA'!$AA$10)*1*(1-0.02)</f>
        <v>354.31913150043306</v>
      </c>
      <c r="AB462" s="56">
        <f>(SUBSIDIO!$J$462*SUBSIDIO!$V$462)*(0.04)/(1-0.04)</f>
        <v>0</v>
      </c>
      <c r="AC462" s="56">
        <f>((SUBSIDIO!$L$462*SUBSIDIO!$W$462)+(SUBSIDIO!$N$462*SUBSIDIO!$X$462))*(0.04)/(1-0.04)</f>
        <v>6.3306951999999992</v>
      </c>
      <c r="AD462" s="56">
        <f>(SUBSIDIO!$J$462*SUBSIDIO!$Y$462)*(0.02)/(1-0.02)</f>
        <v>0</v>
      </c>
      <c r="AE462" s="56">
        <f ca="1">((SUBSIDIO!$L$462*SUBSIDIO!$Z$462)+(SUBSIDIO!$N$462*SUBSIDIO!$AA$462))*(0.02)/(1-0.02)</f>
        <v>3.6070811839276473</v>
      </c>
      <c r="AF462" s="3" t="s">
        <v>1023</v>
      </c>
    </row>
    <row r="463" spans="1:32" ht="11.25" customHeight="1" x14ac:dyDescent="0.25">
      <c r="A463" s="3" t="s">
        <v>28</v>
      </c>
      <c r="B463" s="3" t="s">
        <v>41</v>
      </c>
      <c r="C463" s="3" t="s">
        <v>42</v>
      </c>
      <c r="D463" s="3" t="s">
        <v>45</v>
      </c>
      <c r="E463" s="3" t="s">
        <v>25</v>
      </c>
      <c r="F463" s="3" t="s">
        <v>25</v>
      </c>
      <c r="G463" s="3" t="s">
        <v>25</v>
      </c>
      <c r="H463" s="3" t="s">
        <v>34</v>
      </c>
      <c r="I463" s="6">
        <v>44378</v>
      </c>
      <c r="J463" s="4">
        <v>0</v>
      </c>
      <c r="K463" s="56">
        <v>0</v>
      </c>
      <c r="L463" s="4">
        <v>0.35</v>
      </c>
      <c r="M463" s="56">
        <v>0.35</v>
      </c>
      <c r="N463" s="4">
        <v>0.35</v>
      </c>
      <c r="O463" s="56">
        <v>0.35</v>
      </c>
      <c r="P463" s="4">
        <v>0</v>
      </c>
      <c r="Q463" s="3" t="s">
        <v>26</v>
      </c>
      <c r="R463" s="3">
        <v>0</v>
      </c>
      <c r="S463" s="3">
        <v>0</v>
      </c>
      <c r="T463" s="3">
        <v>20</v>
      </c>
      <c r="U463" s="3">
        <v>88</v>
      </c>
      <c r="V463" s="56">
        <f>IF(ISERROR(VLOOKUP($S$463,'TAR FIN'!$A$1:$O$113,15,0)),0,VLOOKUP($S$463,'TAR FIN'!$A$1:$O$113,15,0))</f>
        <v>0</v>
      </c>
      <c r="W463" s="56">
        <f>IF(ISERROR(VLOOKUP($T$463,'TAR FIN'!$A$1:$O$113,15,0)),0,VLOOKUP($T$463,'TAR FIN'!$A$1:$O$113,15,0))*(1-0.04)</f>
        <v>1502.0063999999998</v>
      </c>
      <c r="X463" s="56">
        <f>IF(ISERROR(VLOOKUP($U$463,'TAR FIN'!$A$1:$O$113,15,0)),0,VLOOKUP($U$463,'TAR FIN'!$A$1:$O$113,15,0))*(1-0.04)</f>
        <v>350.88</v>
      </c>
      <c r="Y463" s="56"/>
      <c r="Z463" s="56">
        <f ca="1">('TUSD BE'!$AM$31+'TUSD BF'!$AM$31+'TUSD CVA'!$AM$31)*1*(1-0.02)</f>
        <v>1801.1318198709657</v>
      </c>
      <c r="AA463" s="56">
        <f>('TE BE'!$AA$10+'TE BF'!$AA$10+'TE CVA'!$AA$10)*1*(1-0.02)</f>
        <v>354.31913150043306</v>
      </c>
      <c r="AB463" s="56">
        <f>(SUBSIDIO!$J$463*SUBSIDIO!$V$463)*(0.04)/(1-0.04)</f>
        <v>0</v>
      </c>
      <c r="AC463" s="56">
        <f>((SUBSIDIO!$L$463*SUBSIDIO!$W$463)+(SUBSIDIO!$N$463*SUBSIDIO!$X$463))*(0.04)/(1-0.04)</f>
        <v>27.021259999999995</v>
      </c>
      <c r="AD463" s="56">
        <f>(SUBSIDIO!$J$463*SUBSIDIO!$Y$463)*(0.02)/(1-0.02)</f>
        <v>0</v>
      </c>
      <c r="AE463" s="56">
        <f ca="1">((SUBSIDIO!$L$463*SUBSIDIO!$Z$463)+(SUBSIDIO!$N$463*SUBSIDIO!$AA$463))*(0.02)/(1-0.02)</f>
        <v>15.396078224081418</v>
      </c>
      <c r="AF463" s="3" t="s">
        <v>1023</v>
      </c>
    </row>
    <row r="464" spans="1:32" ht="11.25" customHeight="1" x14ac:dyDescent="0.25">
      <c r="A464" s="3" t="s">
        <v>21</v>
      </c>
      <c r="B464" s="3" t="s">
        <v>41</v>
      </c>
      <c r="C464" s="3" t="s">
        <v>42</v>
      </c>
      <c r="D464" s="3" t="s">
        <v>45</v>
      </c>
      <c r="E464" s="3" t="s">
        <v>25</v>
      </c>
      <c r="F464" s="3" t="s">
        <v>25</v>
      </c>
      <c r="G464" s="3" t="s">
        <v>25</v>
      </c>
      <c r="H464" s="3" t="s">
        <v>34</v>
      </c>
      <c r="I464" s="6">
        <v>44409</v>
      </c>
      <c r="J464" s="4">
        <v>0</v>
      </c>
      <c r="K464" s="56">
        <v>0</v>
      </c>
      <c r="L464" s="4">
        <v>24.655999999999999</v>
      </c>
      <c r="M464" s="56">
        <v>24.655999999999999</v>
      </c>
      <c r="N464" s="4">
        <v>24.655999999999999</v>
      </c>
      <c r="O464" s="56">
        <v>24.655999999999999</v>
      </c>
      <c r="P464" s="4">
        <v>0</v>
      </c>
      <c r="Q464" s="3" t="s">
        <v>26</v>
      </c>
      <c r="R464" s="3">
        <v>0</v>
      </c>
      <c r="S464" s="3">
        <v>0</v>
      </c>
      <c r="T464" s="3">
        <v>20</v>
      </c>
      <c r="U464" s="3">
        <v>88</v>
      </c>
      <c r="V464" s="56">
        <f>IF(ISERROR(VLOOKUP($S$464,'TAR FIN'!$A$1:$O$113,15,0)),0,VLOOKUP($S$464,'TAR FIN'!$A$1:$O$113,15,0))</f>
        <v>0</v>
      </c>
      <c r="W464" s="56">
        <f>IF(ISERROR(VLOOKUP($T$464,'TAR FIN'!$A$1:$O$113,15,0)),0,VLOOKUP($T$464,'TAR FIN'!$A$1:$O$113,15,0))*(1-0.04)</f>
        <v>1502.0063999999998</v>
      </c>
      <c r="X464" s="56">
        <f>IF(ISERROR(VLOOKUP($U$464,'TAR FIN'!$A$1:$O$113,15,0)),0,VLOOKUP($U$464,'TAR FIN'!$A$1:$O$113,15,0))*(1-0.04)</f>
        <v>350.88</v>
      </c>
      <c r="Y464" s="56"/>
      <c r="Z464" s="56">
        <f ca="1">('TUSD BE'!$AM$31+'TUSD BF'!$AM$31+'TUSD CVA'!$AM$31)*1*(1-0.02)</f>
        <v>1801.1318198709657</v>
      </c>
      <c r="AA464" s="56">
        <f>('TE BE'!$AA$10+'TE BF'!$AA$10+'TE CVA'!$AA$10)*1*(1-0.02)</f>
        <v>354.31913150043306</v>
      </c>
      <c r="AB464" s="56">
        <f>(SUBSIDIO!$J$464*SUBSIDIO!$V$464)*(0.04)/(1-0.04)</f>
        <v>0</v>
      </c>
      <c r="AC464" s="56">
        <f>((SUBSIDIO!$L$464*SUBSIDIO!$W$464)+(SUBSIDIO!$N$464*SUBSIDIO!$X$464))*(0.04)/(1-0.04)</f>
        <v>1903.5319615999999</v>
      </c>
      <c r="AD464" s="56">
        <f>(SUBSIDIO!$J$464*SUBSIDIO!$Y$464)*(0.02)/(1-0.02)</f>
        <v>0</v>
      </c>
      <c r="AE464" s="56">
        <f ca="1">((SUBSIDIO!$L$464*SUBSIDIO!$Z$464)+(SUBSIDIO!$N$464*SUBSIDIO!$AA$464))*(0.02)/(1-0.02)</f>
        <v>1084.5877276941471</v>
      </c>
      <c r="AF464" s="3" t="s">
        <v>1023</v>
      </c>
    </row>
    <row r="465" spans="1:32" ht="11.25" customHeight="1" x14ac:dyDescent="0.25">
      <c r="A465" s="3" t="s">
        <v>27</v>
      </c>
      <c r="B465" s="3" t="s">
        <v>41</v>
      </c>
      <c r="C465" s="3" t="s">
        <v>42</v>
      </c>
      <c r="D465" s="3" t="s">
        <v>45</v>
      </c>
      <c r="E465" s="3" t="s">
        <v>25</v>
      </c>
      <c r="F465" s="3" t="s">
        <v>25</v>
      </c>
      <c r="G465" s="3" t="s">
        <v>25</v>
      </c>
      <c r="H465" s="3" t="s">
        <v>34</v>
      </c>
      <c r="I465" s="6">
        <v>44409</v>
      </c>
      <c r="J465" s="4">
        <v>0</v>
      </c>
      <c r="K465" s="56">
        <v>0</v>
      </c>
      <c r="L465" s="4">
        <v>-233.1</v>
      </c>
      <c r="M465" s="56">
        <v>-233.1</v>
      </c>
      <c r="N465" s="4">
        <v>-233.1</v>
      </c>
      <c r="O465" s="56">
        <v>-233.1</v>
      </c>
      <c r="P465" s="4">
        <v>0</v>
      </c>
      <c r="Q465" s="3" t="s">
        <v>26</v>
      </c>
      <c r="R465" s="3">
        <v>0</v>
      </c>
      <c r="S465" s="3">
        <v>0</v>
      </c>
      <c r="T465" s="3">
        <v>20</v>
      </c>
      <c r="U465" s="3">
        <v>88</v>
      </c>
      <c r="V465" s="56">
        <f>IF(ISERROR(VLOOKUP($S$465,'TAR FIN'!$A$1:$O$113,15,0)),0,VLOOKUP($S$465,'TAR FIN'!$A$1:$O$113,15,0))</f>
        <v>0</v>
      </c>
      <c r="W465" s="56">
        <f>IF(ISERROR(VLOOKUP($T$465,'TAR FIN'!$A$1:$O$113,15,0)),0,VLOOKUP($T$465,'TAR FIN'!$A$1:$O$113,15,0))*(1-0.04)</f>
        <v>1502.0063999999998</v>
      </c>
      <c r="X465" s="56">
        <f>IF(ISERROR(VLOOKUP($U$465,'TAR FIN'!$A$1:$O$113,15,0)),0,VLOOKUP($U$465,'TAR FIN'!$A$1:$O$113,15,0))*(1-0.04)</f>
        <v>350.88</v>
      </c>
      <c r="Y465" s="56"/>
      <c r="Z465" s="56">
        <f ca="1">('TUSD BE'!$AM$31+'TUSD BF'!$AM$31+'TUSD CVA'!$AM$31)*1*(1-0.02)</f>
        <v>1801.1318198709657</v>
      </c>
      <c r="AA465" s="56">
        <f>('TE BE'!$AA$10+'TE BF'!$AA$10+'TE CVA'!$AA$10)*1*(1-0.02)</f>
        <v>354.31913150043306</v>
      </c>
      <c r="AB465" s="56">
        <f>(SUBSIDIO!$J$465*SUBSIDIO!$V$465)*(0.04)/(1-0.04)</f>
        <v>0</v>
      </c>
      <c r="AC465" s="56">
        <f>((SUBSIDIO!$L$465*SUBSIDIO!$W$465)+(SUBSIDIO!$N$465*SUBSIDIO!$X$465))*(0.04)/(1-0.04)</f>
        <v>-17996.159159999996</v>
      </c>
      <c r="AD465" s="56">
        <f>(SUBSIDIO!$J$465*SUBSIDIO!$Y$465)*(0.02)/(1-0.02)</f>
        <v>0</v>
      </c>
      <c r="AE465" s="56">
        <f ca="1">((SUBSIDIO!$L$465*SUBSIDIO!$Z$465)+(SUBSIDIO!$N$465*SUBSIDIO!$AA$465))*(0.02)/(1-0.02)</f>
        <v>-10253.788097238226</v>
      </c>
      <c r="AF465" s="3" t="s">
        <v>1023</v>
      </c>
    </row>
    <row r="466" spans="1:32" ht="11.25" customHeight="1" x14ac:dyDescent="0.25">
      <c r="A466" s="3" t="s">
        <v>21</v>
      </c>
      <c r="B466" s="3" t="s">
        <v>41</v>
      </c>
      <c r="C466" s="3" t="s">
        <v>42</v>
      </c>
      <c r="D466" s="3" t="s">
        <v>45</v>
      </c>
      <c r="E466" s="3" t="s">
        <v>25</v>
      </c>
      <c r="F466" s="3" t="s">
        <v>25</v>
      </c>
      <c r="G466" s="3" t="s">
        <v>25</v>
      </c>
      <c r="H466" s="3" t="s">
        <v>34</v>
      </c>
      <c r="I466" s="6">
        <v>44440</v>
      </c>
      <c r="J466" s="4">
        <v>0</v>
      </c>
      <c r="K466" s="56">
        <v>0</v>
      </c>
      <c r="L466" s="4">
        <v>29.007000000000001</v>
      </c>
      <c r="M466" s="56">
        <v>29.007000000000001</v>
      </c>
      <c r="N466" s="4">
        <v>29.007000000000001</v>
      </c>
      <c r="O466" s="56">
        <v>29.007000000000001</v>
      </c>
      <c r="P466" s="4">
        <v>0</v>
      </c>
      <c r="Q466" s="3" t="s">
        <v>26</v>
      </c>
      <c r="R466" s="3">
        <v>0</v>
      </c>
      <c r="S466" s="3">
        <v>0</v>
      </c>
      <c r="T466" s="3">
        <v>20</v>
      </c>
      <c r="U466" s="3">
        <v>88</v>
      </c>
      <c r="V466" s="56">
        <f>IF(ISERROR(VLOOKUP($S$466,'TAR FIN'!$A$1:$O$113,15,0)),0,VLOOKUP($S$466,'TAR FIN'!$A$1:$O$113,15,0))</f>
        <v>0</v>
      </c>
      <c r="W466" s="56">
        <f>IF(ISERROR(VLOOKUP($T$466,'TAR FIN'!$A$1:$O$113,15,0)),0,VLOOKUP($T$466,'TAR FIN'!$A$1:$O$113,15,0))*(1-0.04)</f>
        <v>1502.0063999999998</v>
      </c>
      <c r="X466" s="56">
        <f>IF(ISERROR(VLOOKUP($U$466,'TAR FIN'!$A$1:$O$113,15,0)),0,VLOOKUP($U$466,'TAR FIN'!$A$1:$O$113,15,0))*(1-0.04)</f>
        <v>350.88</v>
      </c>
      <c r="Y466" s="56"/>
      <c r="Z466" s="56">
        <f ca="1">('TUSD BE'!$AM$31+'TUSD BF'!$AM$31+'TUSD CVA'!$AM$31)*1*(1-0.02)</f>
        <v>1801.1318198709657</v>
      </c>
      <c r="AA466" s="56">
        <f>('TE BE'!$AA$10+'TE BF'!$AA$10+'TE CVA'!$AA$10)*1*(1-0.02)</f>
        <v>354.31913150043306</v>
      </c>
      <c r="AB466" s="56">
        <f>(SUBSIDIO!$J$466*SUBSIDIO!$V$466)*(0.04)/(1-0.04)</f>
        <v>0</v>
      </c>
      <c r="AC466" s="56">
        <f>((SUBSIDIO!$L$466*SUBSIDIO!$W$466)+(SUBSIDIO!$N$466*SUBSIDIO!$X$466))*(0.04)/(1-0.04)</f>
        <v>2239.4448251999993</v>
      </c>
      <c r="AD466" s="56">
        <f>(SUBSIDIO!$J$466*SUBSIDIO!$Y$466)*(0.02)/(1-0.02)</f>
        <v>0</v>
      </c>
      <c r="AE466" s="56">
        <f ca="1">((SUBSIDIO!$L$466*SUBSIDIO!$Z$466)+(SUBSIDIO!$N$466*SUBSIDIO!$AA$466))*(0.02)/(1-0.02)</f>
        <v>1275.9829744169424</v>
      </c>
      <c r="AF466" s="3" t="s">
        <v>1023</v>
      </c>
    </row>
    <row r="467" spans="1:32" ht="11.25" customHeight="1" x14ac:dyDescent="0.25">
      <c r="A467" s="3" t="s">
        <v>28</v>
      </c>
      <c r="B467" s="3" t="s">
        <v>41</v>
      </c>
      <c r="C467" s="3" t="s">
        <v>42</v>
      </c>
      <c r="D467" s="3" t="s">
        <v>45</v>
      </c>
      <c r="E467" s="3" t="s">
        <v>25</v>
      </c>
      <c r="F467" s="3" t="s">
        <v>25</v>
      </c>
      <c r="G467" s="3" t="s">
        <v>25</v>
      </c>
      <c r="H467" s="3" t="s">
        <v>34</v>
      </c>
      <c r="I467" s="6">
        <v>44440</v>
      </c>
      <c r="J467" s="4">
        <v>0</v>
      </c>
      <c r="K467" s="56">
        <v>0</v>
      </c>
      <c r="L467" s="4">
        <v>0.35</v>
      </c>
      <c r="M467" s="56">
        <v>0.35</v>
      </c>
      <c r="N467" s="4">
        <v>0.35</v>
      </c>
      <c r="O467" s="56">
        <v>0.35</v>
      </c>
      <c r="P467" s="4">
        <v>0</v>
      </c>
      <c r="Q467" s="3" t="s">
        <v>26</v>
      </c>
      <c r="R467" s="3">
        <v>0</v>
      </c>
      <c r="S467" s="3">
        <v>0</v>
      </c>
      <c r="T467" s="3">
        <v>20</v>
      </c>
      <c r="U467" s="3">
        <v>88</v>
      </c>
      <c r="V467" s="56">
        <f>IF(ISERROR(VLOOKUP($S$467,'TAR FIN'!$A$1:$O$113,15,0)),0,VLOOKUP($S$467,'TAR FIN'!$A$1:$O$113,15,0))</f>
        <v>0</v>
      </c>
      <c r="W467" s="56">
        <f>IF(ISERROR(VLOOKUP($T$467,'TAR FIN'!$A$1:$O$113,15,0)),0,VLOOKUP($T$467,'TAR FIN'!$A$1:$O$113,15,0))*(1-0.04)</f>
        <v>1502.0063999999998</v>
      </c>
      <c r="X467" s="56">
        <f>IF(ISERROR(VLOOKUP($U$467,'TAR FIN'!$A$1:$O$113,15,0)),0,VLOOKUP($U$467,'TAR FIN'!$A$1:$O$113,15,0))*(1-0.04)</f>
        <v>350.88</v>
      </c>
      <c r="Y467" s="56"/>
      <c r="Z467" s="56">
        <f ca="1">('TUSD BE'!$AM$31+'TUSD BF'!$AM$31+'TUSD CVA'!$AM$31)*1*(1-0.02)</f>
        <v>1801.1318198709657</v>
      </c>
      <c r="AA467" s="56">
        <f>('TE BE'!$AA$10+'TE BF'!$AA$10+'TE CVA'!$AA$10)*1*(1-0.02)</f>
        <v>354.31913150043306</v>
      </c>
      <c r="AB467" s="56">
        <f>(SUBSIDIO!$J$467*SUBSIDIO!$V$467)*(0.04)/(1-0.04)</f>
        <v>0</v>
      </c>
      <c r="AC467" s="56">
        <f>((SUBSIDIO!$L$467*SUBSIDIO!$W$467)+(SUBSIDIO!$N$467*SUBSIDIO!$X$467))*(0.04)/(1-0.04)</f>
        <v>27.021259999999995</v>
      </c>
      <c r="AD467" s="56">
        <f>(SUBSIDIO!$J$467*SUBSIDIO!$Y$467)*(0.02)/(1-0.02)</f>
        <v>0</v>
      </c>
      <c r="AE467" s="56">
        <f ca="1">((SUBSIDIO!$L$467*SUBSIDIO!$Z$467)+(SUBSIDIO!$N$467*SUBSIDIO!$AA$467))*(0.02)/(1-0.02)</f>
        <v>15.396078224081418</v>
      </c>
      <c r="AF467" s="3" t="s">
        <v>1023</v>
      </c>
    </row>
    <row r="468" spans="1:32" ht="11.25" customHeight="1" x14ac:dyDescent="0.25">
      <c r="A468" s="3" t="s">
        <v>21</v>
      </c>
      <c r="B468" s="3" t="s">
        <v>41</v>
      </c>
      <c r="C468" s="3" t="s">
        <v>42</v>
      </c>
      <c r="D468" s="3" t="s">
        <v>45</v>
      </c>
      <c r="E468" s="3" t="s">
        <v>25</v>
      </c>
      <c r="F468" s="3" t="s">
        <v>25</v>
      </c>
      <c r="G468" s="3" t="s">
        <v>25</v>
      </c>
      <c r="H468" s="3" t="s">
        <v>34</v>
      </c>
      <c r="I468" s="6">
        <v>44470</v>
      </c>
      <c r="J468" s="4">
        <v>0</v>
      </c>
      <c r="K468" s="56">
        <v>0</v>
      </c>
      <c r="L468" s="4">
        <v>35.317999999999998</v>
      </c>
      <c r="M468" s="56">
        <v>35.317999999999998</v>
      </c>
      <c r="N468" s="4">
        <v>35.317999999999998</v>
      </c>
      <c r="O468" s="56">
        <v>35.317999999999998</v>
      </c>
      <c r="P468" s="4">
        <v>0</v>
      </c>
      <c r="Q468" s="3" t="s">
        <v>26</v>
      </c>
      <c r="R468" s="3">
        <v>0</v>
      </c>
      <c r="S468" s="3">
        <v>0</v>
      </c>
      <c r="T468" s="3">
        <v>20</v>
      </c>
      <c r="U468" s="3">
        <v>88</v>
      </c>
      <c r="V468" s="56">
        <f>IF(ISERROR(VLOOKUP($S$468,'TAR FIN'!$A$1:$O$113,15,0)),0,VLOOKUP($S$468,'TAR FIN'!$A$1:$O$113,15,0))</f>
        <v>0</v>
      </c>
      <c r="W468" s="56">
        <f>IF(ISERROR(VLOOKUP($T$468,'TAR FIN'!$A$1:$O$113,15,0)),0,VLOOKUP($T$468,'TAR FIN'!$A$1:$O$113,15,0))*(1-0.04)</f>
        <v>1502.0063999999998</v>
      </c>
      <c r="X468" s="56">
        <f>IF(ISERROR(VLOOKUP($U$468,'TAR FIN'!$A$1:$O$113,15,0)),0,VLOOKUP($U$468,'TAR FIN'!$A$1:$O$113,15,0))*(1-0.04)</f>
        <v>350.88</v>
      </c>
      <c r="Y468" s="56"/>
      <c r="Z468" s="56">
        <f ca="1">('TUSD BE'!$AM$31+'TUSD BF'!$AM$31+'TUSD CVA'!$AM$31)*1*(1-0.02)</f>
        <v>1801.1318198709657</v>
      </c>
      <c r="AA468" s="56">
        <f>('TE BE'!$AA$10+'TE BF'!$AA$10+'TE CVA'!$AA$10)*1*(1-0.02)</f>
        <v>354.31913150043306</v>
      </c>
      <c r="AB468" s="56">
        <f>(SUBSIDIO!$J$468*SUBSIDIO!$V$468)*(0.04)/(1-0.04)</f>
        <v>0</v>
      </c>
      <c r="AC468" s="56">
        <f>((SUBSIDIO!$L$468*SUBSIDIO!$W$468)+(SUBSIDIO!$N$468*SUBSIDIO!$X$468))*(0.04)/(1-0.04)</f>
        <v>2726.6767447999996</v>
      </c>
      <c r="AD468" s="56">
        <f>(SUBSIDIO!$J$468*SUBSIDIO!$Y$468)*(0.02)/(1-0.02)</f>
        <v>0</v>
      </c>
      <c r="AE468" s="56">
        <f ca="1">((SUBSIDIO!$L$468*SUBSIDIO!$Z$468)+(SUBSIDIO!$N$468*SUBSIDIO!$AA$468))*(0.02)/(1-0.02)</f>
        <v>1553.5962591945931</v>
      </c>
      <c r="AF468" s="3" t="s">
        <v>1023</v>
      </c>
    </row>
    <row r="469" spans="1:32" ht="11.25" customHeight="1" x14ac:dyDescent="0.25">
      <c r="A469" s="3" t="s">
        <v>21</v>
      </c>
      <c r="B469" s="3" t="s">
        <v>41</v>
      </c>
      <c r="C469" s="3" t="s">
        <v>42</v>
      </c>
      <c r="D469" s="3" t="s">
        <v>45</v>
      </c>
      <c r="E469" s="3" t="s">
        <v>25</v>
      </c>
      <c r="F469" s="3" t="s">
        <v>25</v>
      </c>
      <c r="G469" s="3" t="s">
        <v>25</v>
      </c>
      <c r="H469" s="3" t="s">
        <v>34</v>
      </c>
      <c r="I469" s="6">
        <v>44501</v>
      </c>
      <c r="J469" s="4">
        <v>0</v>
      </c>
      <c r="K469" s="56">
        <v>0</v>
      </c>
      <c r="L469" s="4">
        <v>46.494</v>
      </c>
      <c r="M469" s="56">
        <v>46.494</v>
      </c>
      <c r="N469" s="4">
        <v>46.494</v>
      </c>
      <c r="O469" s="56">
        <v>46.494</v>
      </c>
      <c r="P469" s="4">
        <v>0</v>
      </c>
      <c r="Q469" s="3" t="s">
        <v>26</v>
      </c>
      <c r="R469" s="3">
        <v>0</v>
      </c>
      <c r="S469" s="3">
        <v>0</v>
      </c>
      <c r="T469" s="3">
        <v>20</v>
      </c>
      <c r="U469" s="3">
        <v>88</v>
      </c>
      <c r="V469" s="56">
        <f>IF(ISERROR(VLOOKUP($S$469,'TAR FIN'!$A$1:$O$113,15,0)),0,VLOOKUP($S$469,'TAR FIN'!$A$1:$O$113,15,0))</f>
        <v>0</v>
      </c>
      <c r="W469" s="56">
        <f>IF(ISERROR(VLOOKUP($T$469,'TAR FIN'!$A$1:$O$113,15,0)),0,VLOOKUP($T$469,'TAR FIN'!$A$1:$O$113,15,0))*(1-0.04)</f>
        <v>1502.0063999999998</v>
      </c>
      <c r="X469" s="56">
        <f>IF(ISERROR(VLOOKUP($U$469,'TAR FIN'!$A$1:$O$113,15,0)),0,VLOOKUP($U$469,'TAR FIN'!$A$1:$O$113,15,0))*(1-0.04)</f>
        <v>350.88</v>
      </c>
      <c r="Y469" s="56"/>
      <c r="Z469" s="56">
        <f ca="1">('TUSD BE'!$AM$31+'TUSD BF'!$AM$31+'TUSD CVA'!$AM$31)*1*(1-0.02)</f>
        <v>1801.1318198709657</v>
      </c>
      <c r="AA469" s="56">
        <f>('TE BE'!$AA$10+'TE BF'!$AA$10+'TE CVA'!$AA$10)*1*(1-0.02)</f>
        <v>354.31913150043306</v>
      </c>
      <c r="AB469" s="56">
        <f>(SUBSIDIO!$J$469*SUBSIDIO!$V$469)*(0.04)/(1-0.04)</f>
        <v>0</v>
      </c>
      <c r="AC469" s="56">
        <f>((SUBSIDIO!$L$469*SUBSIDIO!$W$469)+(SUBSIDIO!$N$469*SUBSIDIO!$X$469))*(0.04)/(1-0.04)</f>
        <v>3589.5041783999995</v>
      </c>
      <c r="AD469" s="56">
        <f>(SUBSIDIO!$J$469*SUBSIDIO!$Y$469)*(0.02)/(1-0.02)</f>
        <v>0</v>
      </c>
      <c r="AE469" s="56">
        <f ca="1">((SUBSIDIO!$L$469*SUBSIDIO!$Z$469)+(SUBSIDIO!$N$469*SUBSIDIO!$AA$469))*(0.02)/(1-0.02)</f>
        <v>2045.2150312869758</v>
      </c>
      <c r="AF469" s="3" t="s">
        <v>1023</v>
      </c>
    </row>
    <row r="470" spans="1:32" ht="11.25" customHeight="1" x14ac:dyDescent="0.25">
      <c r="A470" s="3" t="s">
        <v>21</v>
      </c>
      <c r="B470" s="3" t="s">
        <v>41</v>
      </c>
      <c r="C470" s="3" t="s">
        <v>42</v>
      </c>
      <c r="D470" s="3" t="s">
        <v>45</v>
      </c>
      <c r="E470" s="3" t="s">
        <v>25</v>
      </c>
      <c r="F470" s="3" t="s">
        <v>25</v>
      </c>
      <c r="G470" s="3" t="s">
        <v>25</v>
      </c>
      <c r="H470" s="3" t="s">
        <v>34</v>
      </c>
      <c r="I470" s="6">
        <v>44531</v>
      </c>
      <c r="J470" s="4">
        <v>0</v>
      </c>
      <c r="K470" s="56">
        <v>0</v>
      </c>
      <c r="L470" s="4">
        <v>36.526000000000003</v>
      </c>
      <c r="M470" s="56">
        <v>36.526000000000003</v>
      </c>
      <c r="N470" s="4">
        <v>36.526000000000003</v>
      </c>
      <c r="O470" s="56">
        <v>36.526000000000003</v>
      </c>
      <c r="P470" s="4">
        <v>0</v>
      </c>
      <c r="Q470" s="3" t="s">
        <v>26</v>
      </c>
      <c r="R470" s="3">
        <v>0</v>
      </c>
      <c r="S470" s="3">
        <v>0</v>
      </c>
      <c r="T470" s="3">
        <v>20</v>
      </c>
      <c r="U470" s="3">
        <v>88</v>
      </c>
      <c r="V470" s="56">
        <f>IF(ISERROR(VLOOKUP($S$470,'TAR FIN'!$A$1:$O$113,15,0)),0,VLOOKUP($S$470,'TAR FIN'!$A$1:$O$113,15,0))</f>
        <v>0</v>
      </c>
      <c r="W470" s="56">
        <f>IF(ISERROR(VLOOKUP($T$470,'TAR FIN'!$A$1:$O$113,15,0)),0,VLOOKUP($T$470,'TAR FIN'!$A$1:$O$113,15,0))*(1-0.04)</f>
        <v>1502.0063999999998</v>
      </c>
      <c r="X470" s="56">
        <f>IF(ISERROR(VLOOKUP($U$470,'TAR FIN'!$A$1:$O$113,15,0)),0,VLOOKUP($U$470,'TAR FIN'!$A$1:$O$113,15,0))*(1-0.04)</f>
        <v>350.88</v>
      </c>
      <c r="Y470" s="56"/>
      <c r="Z470" s="56">
        <f ca="1">('TUSD BE'!$AM$31+'TUSD BF'!$AM$31+'TUSD CVA'!$AM$31)*1*(1-0.02)</f>
        <v>1801.1318198709657</v>
      </c>
      <c r="AA470" s="56">
        <f>('TE BE'!$AA$10+'TE BF'!$AA$10+'TE CVA'!$AA$10)*1*(1-0.02)</f>
        <v>354.31913150043306</v>
      </c>
      <c r="AB470" s="56">
        <f>(SUBSIDIO!$J$470*SUBSIDIO!$V$470)*(0.04)/(1-0.04)</f>
        <v>0</v>
      </c>
      <c r="AC470" s="56">
        <f>((SUBSIDIO!$L$470*SUBSIDIO!$W$470)+(SUBSIDIO!$N$470*SUBSIDIO!$X$470))*(0.04)/(1-0.04)</f>
        <v>2819.9386935999996</v>
      </c>
      <c r="AD470" s="56">
        <f>(SUBSIDIO!$J$470*SUBSIDIO!$Y$470)*(0.02)/(1-0.02)</f>
        <v>0</v>
      </c>
      <c r="AE470" s="56">
        <f ca="1">((SUBSIDIO!$L$470*SUBSIDIO!$Z$470)+(SUBSIDIO!$N$470*SUBSIDIO!$AA$470))*(0.02)/(1-0.02)</f>
        <v>1606.734723465137</v>
      </c>
      <c r="AF470" s="3" t="s">
        <v>1023</v>
      </c>
    </row>
    <row r="471" spans="1:32" ht="11.25" customHeight="1" x14ac:dyDescent="0.25">
      <c r="A471" s="3" t="s">
        <v>28</v>
      </c>
      <c r="B471" s="3" t="s">
        <v>41</v>
      </c>
      <c r="C471" s="3" t="s">
        <v>42</v>
      </c>
      <c r="D471" s="3" t="s">
        <v>45</v>
      </c>
      <c r="E471" s="3" t="s">
        <v>25</v>
      </c>
      <c r="F471" s="3" t="s">
        <v>25</v>
      </c>
      <c r="G471" s="3" t="s">
        <v>25</v>
      </c>
      <c r="H471" s="3" t="s">
        <v>34</v>
      </c>
      <c r="I471" s="6">
        <v>44531</v>
      </c>
      <c r="J471" s="4">
        <v>0</v>
      </c>
      <c r="K471" s="56">
        <v>0</v>
      </c>
      <c r="L471" s="4">
        <v>0.35</v>
      </c>
      <c r="M471" s="56">
        <v>0.35</v>
      </c>
      <c r="N471" s="4">
        <v>0.35</v>
      </c>
      <c r="O471" s="56">
        <v>0.35</v>
      </c>
      <c r="P471" s="4">
        <v>0</v>
      </c>
      <c r="Q471" s="3" t="s">
        <v>26</v>
      </c>
      <c r="R471" s="3">
        <v>0</v>
      </c>
      <c r="S471" s="3">
        <v>0</v>
      </c>
      <c r="T471" s="3">
        <v>20</v>
      </c>
      <c r="U471" s="3">
        <v>88</v>
      </c>
      <c r="V471" s="56">
        <f>IF(ISERROR(VLOOKUP($S$471,'TAR FIN'!$A$1:$O$113,15,0)),0,VLOOKUP($S$471,'TAR FIN'!$A$1:$O$113,15,0))</f>
        <v>0</v>
      </c>
      <c r="W471" s="56">
        <f>IF(ISERROR(VLOOKUP($T$471,'TAR FIN'!$A$1:$O$113,15,0)),0,VLOOKUP($T$471,'TAR FIN'!$A$1:$O$113,15,0))*(1-0.04)</f>
        <v>1502.0063999999998</v>
      </c>
      <c r="X471" s="56">
        <f>IF(ISERROR(VLOOKUP($U$471,'TAR FIN'!$A$1:$O$113,15,0)),0,VLOOKUP($U$471,'TAR FIN'!$A$1:$O$113,15,0))*(1-0.04)</f>
        <v>350.88</v>
      </c>
      <c r="Y471" s="56"/>
      <c r="Z471" s="56">
        <f ca="1">('TUSD BE'!$AM$31+'TUSD BF'!$AM$31+'TUSD CVA'!$AM$31)*1*(1-0.02)</f>
        <v>1801.1318198709657</v>
      </c>
      <c r="AA471" s="56">
        <f>('TE BE'!$AA$10+'TE BF'!$AA$10+'TE CVA'!$AA$10)*1*(1-0.02)</f>
        <v>354.31913150043306</v>
      </c>
      <c r="AB471" s="56">
        <f>(SUBSIDIO!$J$471*SUBSIDIO!$V$471)*(0.04)/(1-0.04)</f>
        <v>0</v>
      </c>
      <c r="AC471" s="56">
        <f>((SUBSIDIO!$L$471*SUBSIDIO!$W$471)+(SUBSIDIO!$N$471*SUBSIDIO!$X$471))*(0.04)/(1-0.04)</f>
        <v>27.021259999999995</v>
      </c>
      <c r="AD471" s="56">
        <f>(SUBSIDIO!$J$471*SUBSIDIO!$Y$471)*(0.02)/(1-0.02)</f>
        <v>0</v>
      </c>
      <c r="AE471" s="56">
        <f ca="1">((SUBSIDIO!$L$471*SUBSIDIO!$Z$471)+(SUBSIDIO!$N$471*SUBSIDIO!$AA$471))*(0.02)/(1-0.02)</f>
        <v>15.396078224081418</v>
      </c>
      <c r="AF471" s="3" t="s">
        <v>1023</v>
      </c>
    </row>
    <row r="472" spans="1:32" ht="11.25" customHeight="1" x14ac:dyDescent="0.25">
      <c r="A472" s="3" t="s">
        <v>21</v>
      </c>
      <c r="B472" s="3" t="s">
        <v>41</v>
      </c>
      <c r="C472" s="3" t="s">
        <v>42</v>
      </c>
      <c r="D472" s="3" t="s">
        <v>45</v>
      </c>
      <c r="E472" s="3" t="s">
        <v>25</v>
      </c>
      <c r="F472" s="3" t="s">
        <v>25</v>
      </c>
      <c r="G472" s="3" t="s">
        <v>25</v>
      </c>
      <c r="H472" s="3" t="s">
        <v>34</v>
      </c>
      <c r="I472" s="6">
        <v>44562</v>
      </c>
      <c r="J472" s="4">
        <v>0</v>
      </c>
      <c r="K472" s="56">
        <v>0</v>
      </c>
      <c r="L472" s="4">
        <v>29.971</v>
      </c>
      <c r="M472" s="56">
        <v>29.971</v>
      </c>
      <c r="N472" s="4">
        <v>29.971</v>
      </c>
      <c r="O472" s="56">
        <v>29.971</v>
      </c>
      <c r="P472" s="4">
        <v>0</v>
      </c>
      <c r="Q472" s="3" t="s">
        <v>26</v>
      </c>
      <c r="R472" s="3">
        <v>0</v>
      </c>
      <c r="S472" s="3">
        <v>0</v>
      </c>
      <c r="T472" s="3">
        <v>20</v>
      </c>
      <c r="U472" s="3">
        <v>88</v>
      </c>
      <c r="V472" s="56">
        <f>IF(ISERROR(VLOOKUP($S$472,'TAR FIN'!$A$1:$O$113,15,0)),0,VLOOKUP($S$472,'TAR FIN'!$A$1:$O$113,15,0))</f>
        <v>0</v>
      </c>
      <c r="W472" s="56">
        <f>IF(ISERROR(VLOOKUP($T$472,'TAR FIN'!$A$1:$O$113,15,0)),0,VLOOKUP($T$472,'TAR FIN'!$A$1:$O$113,15,0))*(1-0.04)</f>
        <v>1502.0063999999998</v>
      </c>
      <c r="X472" s="56">
        <f>IF(ISERROR(VLOOKUP($U$472,'TAR FIN'!$A$1:$O$113,15,0)),0,VLOOKUP($U$472,'TAR FIN'!$A$1:$O$113,15,0))*(1-0.04)</f>
        <v>350.88</v>
      </c>
      <c r="Y472" s="56"/>
      <c r="Z472" s="56">
        <f ca="1">('TUSD BE'!$AM$31+'TUSD BF'!$AM$31+'TUSD CVA'!$AM$31)*1*(1-0.02)</f>
        <v>1801.1318198709657</v>
      </c>
      <c r="AA472" s="56">
        <f>('TE BE'!$AA$10+'TE BF'!$AA$10+'TE CVA'!$AA$10)*1*(1-0.02)</f>
        <v>354.31913150043306</v>
      </c>
      <c r="AB472" s="56">
        <f>(SUBSIDIO!$J$472*SUBSIDIO!$V$472)*(0.04)/(1-0.04)</f>
        <v>0</v>
      </c>
      <c r="AC472" s="56">
        <f>((SUBSIDIO!$L$472*SUBSIDIO!$W$472)+(SUBSIDIO!$N$472*SUBSIDIO!$X$472))*(0.04)/(1-0.04)</f>
        <v>2313.8690956</v>
      </c>
      <c r="AD472" s="56">
        <f>(SUBSIDIO!$J$472*SUBSIDIO!$Y$472)*(0.02)/(1-0.02)</f>
        <v>0</v>
      </c>
      <c r="AE472" s="56">
        <f ca="1">((SUBSIDIO!$L$472*SUBSIDIO!$Z$472)+(SUBSIDIO!$N$472*SUBSIDIO!$AA$472))*(0.02)/(1-0.02)</f>
        <v>1318.388172725555</v>
      </c>
      <c r="AF472" s="3" t="s">
        <v>1023</v>
      </c>
    </row>
    <row r="473" spans="1:32" ht="11.25" customHeight="1" x14ac:dyDescent="0.25">
      <c r="A473" s="3" t="s">
        <v>27</v>
      </c>
      <c r="B473" s="3" t="s">
        <v>41</v>
      </c>
      <c r="C473" s="3" t="s">
        <v>42</v>
      </c>
      <c r="D473" s="3" t="s">
        <v>45</v>
      </c>
      <c r="E473" s="3" t="s">
        <v>25</v>
      </c>
      <c r="F473" s="3" t="s">
        <v>25</v>
      </c>
      <c r="G473" s="3" t="s">
        <v>25</v>
      </c>
      <c r="H473" s="3" t="s">
        <v>34</v>
      </c>
      <c r="I473" s="6">
        <v>44562</v>
      </c>
      <c r="J473" s="4">
        <v>0</v>
      </c>
      <c r="K473" s="56">
        <v>0</v>
      </c>
      <c r="L473" s="4">
        <v>-0.20100000000000001</v>
      </c>
      <c r="M473" s="56">
        <v>-0.20100000000000001</v>
      </c>
      <c r="N473" s="4">
        <v>-0.20100000000000001</v>
      </c>
      <c r="O473" s="56">
        <v>-0.20100000000000001</v>
      </c>
      <c r="P473" s="4">
        <v>0</v>
      </c>
      <c r="Q473" s="3" t="s">
        <v>26</v>
      </c>
      <c r="R473" s="3">
        <v>0</v>
      </c>
      <c r="S473" s="3">
        <v>0</v>
      </c>
      <c r="T473" s="3">
        <v>20</v>
      </c>
      <c r="U473" s="3">
        <v>88</v>
      </c>
      <c r="V473" s="56">
        <f>IF(ISERROR(VLOOKUP($S$473,'TAR FIN'!$A$1:$O$113,15,0)),0,VLOOKUP($S$473,'TAR FIN'!$A$1:$O$113,15,0))</f>
        <v>0</v>
      </c>
      <c r="W473" s="56">
        <f>IF(ISERROR(VLOOKUP($T$473,'TAR FIN'!$A$1:$O$113,15,0)),0,VLOOKUP($T$473,'TAR FIN'!$A$1:$O$113,15,0))*(1-0.04)</f>
        <v>1502.0063999999998</v>
      </c>
      <c r="X473" s="56">
        <f>IF(ISERROR(VLOOKUP($U$473,'TAR FIN'!$A$1:$O$113,15,0)),0,VLOOKUP($U$473,'TAR FIN'!$A$1:$O$113,15,0))*(1-0.04)</f>
        <v>350.88</v>
      </c>
      <c r="Y473" s="56"/>
      <c r="Z473" s="56">
        <f ca="1">('TUSD BE'!$AM$31+'TUSD BF'!$AM$31+'TUSD CVA'!$AM$31)*1*(1-0.02)</f>
        <v>1801.1318198709657</v>
      </c>
      <c r="AA473" s="56">
        <f>('TE BE'!$AA$10+'TE BF'!$AA$10+'TE CVA'!$AA$10)*1*(1-0.02)</f>
        <v>354.31913150043306</v>
      </c>
      <c r="AB473" s="56">
        <f>(SUBSIDIO!$J$473*SUBSIDIO!$V$473)*(0.04)/(1-0.04)</f>
        <v>0</v>
      </c>
      <c r="AC473" s="56">
        <f>((SUBSIDIO!$L$473*SUBSIDIO!$W$473)+(SUBSIDIO!$N$473*SUBSIDIO!$X$473))*(0.04)/(1-0.04)</f>
        <v>-15.517923599999998</v>
      </c>
      <c r="AD473" s="56">
        <f>(SUBSIDIO!$J$473*SUBSIDIO!$Y$473)*(0.02)/(1-0.02)</f>
        <v>0</v>
      </c>
      <c r="AE473" s="56">
        <f ca="1">((SUBSIDIO!$L$473*SUBSIDIO!$Z$473)+(SUBSIDIO!$N$473*SUBSIDIO!$AA$473))*(0.02)/(1-0.02)</f>
        <v>-8.8417477801153304</v>
      </c>
      <c r="AF473" s="3" t="s">
        <v>1023</v>
      </c>
    </row>
    <row r="474" spans="1:32" ht="11.25" customHeight="1" x14ac:dyDescent="0.25">
      <c r="A474" s="3" t="s">
        <v>28</v>
      </c>
      <c r="B474" s="3" t="s">
        <v>41</v>
      </c>
      <c r="C474" s="3" t="s">
        <v>42</v>
      </c>
      <c r="D474" s="3" t="s">
        <v>45</v>
      </c>
      <c r="E474" s="3" t="s">
        <v>25</v>
      </c>
      <c r="F474" s="3" t="s">
        <v>25</v>
      </c>
      <c r="G474" s="3" t="s">
        <v>25</v>
      </c>
      <c r="H474" s="3" t="s">
        <v>34</v>
      </c>
      <c r="I474" s="6">
        <v>44562</v>
      </c>
      <c r="J474" s="4">
        <v>0</v>
      </c>
      <c r="K474" s="56">
        <v>0</v>
      </c>
      <c r="L474" s="4">
        <v>4.4999999999999998E-2</v>
      </c>
      <c r="M474" s="56">
        <v>4.4999999999999998E-2</v>
      </c>
      <c r="N474" s="4">
        <v>4.4999999999999998E-2</v>
      </c>
      <c r="O474" s="56">
        <v>4.4999999999999998E-2</v>
      </c>
      <c r="P474" s="4">
        <v>0</v>
      </c>
      <c r="Q474" s="3" t="s">
        <v>26</v>
      </c>
      <c r="R474" s="3">
        <v>0</v>
      </c>
      <c r="S474" s="3">
        <v>0</v>
      </c>
      <c r="T474" s="3">
        <v>20</v>
      </c>
      <c r="U474" s="3">
        <v>88</v>
      </c>
      <c r="V474" s="56">
        <f>IF(ISERROR(VLOOKUP($S$474,'TAR FIN'!$A$1:$O$113,15,0)),0,VLOOKUP($S$474,'TAR FIN'!$A$1:$O$113,15,0))</f>
        <v>0</v>
      </c>
      <c r="W474" s="56">
        <f>IF(ISERROR(VLOOKUP($T$474,'TAR FIN'!$A$1:$O$113,15,0)),0,VLOOKUP($T$474,'TAR FIN'!$A$1:$O$113,15,0))*(1-0.04)</f>
        <v>1502.0063999999998</v>
      </c>
      <c r="X474" s="56">
        <f>IF(ISERROR(VLOOKUP($U$474,'TAR FIN'!$A$1:$O$113,15,0)),0,VLOOKUP($U$474,'TAR FIN'!$A$1:$O$113,15,0))*(1-0.04)</f>
        <v>350.88</v>
      </c>
      <c r="Y474" s="56"/>
      <c r="Z474" s="56">
        <f ca="1">('TUSD BE'!$AM$31+'TUSD BF'!$AM$31+'TUSD CVA'!$AM$31)*1*(1-0.02)</f>
        <v>1801.1318198709657</v>
      </c>
      <c r="AA474" s="56">
        <f>('TE BE'!$AA$10+'TE BF'!$AA$10+'TE CVA'!$AA$10)*1*(1-0.02)</f>
        <v>354.31913150043306</v>
      </c>
      <c r="AB474" s="56">
        <f>(SUBSIDIO!$J$474*SUBSIDIO!$V$474)*(0.04)/(1-0.04)</f>
        <v>0</v>
      </c>
      <c r="AC474" s="56">
        <f>((SUBSIDIO!$L$474*SUBSIDIO!$W$474)+(SUBSIDIO!$N$474*SUBSIDIO!$X$474))*(0.04)/(1-0.04)</f>
        <v>3.4741619999999998</v>
      </c>
      <c r="AD474" s="56">
        <f>(SUBSIDIO!$J$474*SUBSIDIO!$Y$474)*(0.02)/(1-0.02)</f>
        <v>0</v>
      </c>
      <c r="AE474" s="56">
        <f ca="1">((SUBSIDIO!$L$474*SUBSIDIO!$Z$474)+(SUBSIDIO!$N$474*SUBSIDIO!$AA$474))*(0.02)/(1-0.02)</f>
        <v>1.9794957716676111</v>
      </c>
      <c r="AF474" s="3" t="s">
        <v>1023</v>
      </c>
    </row>
    <row r="475" spans="1:32" ht="11.25" customHeight="1" x14ac:dyDescent="0.25">
      <c r="A475" s="3" t="s">
        <v>21</v>
      </c>
      <c r="B475" s="3" t="s">
        <v>41</v>
      </c>
      <c r="C475" s="3" t="s">
        <v>42</v>
      </c>
      <c r="D475" s="3" t="s">
        <v>45</v>
      </c>
      <c r="E475" s="3" t="s">
        <v>25</v>
      </c>
      <c r="F475" s="3" t="s">
        <v>25</v>
      </c>
      <c r="G475" s="3" t="s">
        <v>25</v>
      </c>
      <c r="H475" s="3" t="s">
        <v>34</v>
      </c>
      <c r="I475" s="6">
        <v>44593</v>
      </c>
      <c r="J475" s="4">
        <v>0</v>
      </c>
      <c r="K475" s="56">
        <v>0</v>
      </c>
      <c r="L475" s="4">
        <v>25.776</v>
      </c>
      <c r="M475" s="56">
        <v>25.776</v>
      </c>
      <c r="N475" s="4">
        <v>25.776</v>
      </c>
      <c r="O475" s="56">
        <v>25.776</v>
      </c>
      <c r="P475" s="4">
        <v>0</v>
      </c>
      <c r="Q475" s="3" t="s">
        <v>26</v>
      </c>
      <c r="R475" s="3">
        <v>0</v>
      </c>
      <c r="S475" s="3">
        <v>0</v>
      </c>
      <c r="T475" s="3">
        <v>20</v>
      </c>
      <c r="U475" s="3">
        <v>88</v>
      </c>
      <c r="V475" s="56">
        <f>IF(ISERROR(VLOOKUP($S$475,'TAR FIN'!$A$1:$O$113,15,0)),0,VLOOKUP($S$475,'TAR FIN'!$A$1:$O$113,15,0))</f>
        <v>0</v>
      </c>
      <c r="W475" s="56">
        <f>IF(ISERROR(VLOOKUP($T$475,'TAR FIN'!$A$1:$O$113,15,0)),0,VLOOKUP($T$475,'TAR FIN'!$A$1:$O$113,15,0))*(1-0.04)</f>
        <v>1502.0063999999998</v>
      </c>
      <c r="X475" s="56">
        <f>IF(ISERROR(VLOOKUP($U$475,'TAR FIN'!$A$1:$O$113,15,0)),0,VLOOKUP($U$475,'TAR FIN'!$A$1:$O$113,15,0))*(1-0.04)</f>
        <v>350.88</v>
      </c>
      <c r="Y475" s="56"/>
      <c r="Z475" s="56">
        <f ca="1">('TUSD BE'!$AM$31+'TUSD BF'!$AM$31+'TUSD CVA'!$AM$31)*1*(1-0.02)</f>
        <v>1801.1318198709657</v>
      </c>
      <c r="AA475" s="56">
        <f>('TE BE'!$AA$10+'TE BF'!$AA$10+'TE CVA'!$AA$10)*1*(1-0.02)</f>
        <v>354.31913150043306</v>
      </c>
      <c r="AB475" s="56">
        <f>(SUBSIDIO!$J$475*SUBSIDIO!$V$475)*(0.04)/(1-0.04)</f>
        <v>0</v>
      </c>
      <c r="AC475" s="56">
        <f>((SUBSIDIO!$L$475*SUBSIDIO!$W$475)+(SUBSIDIO!$N$475*SUBSIDIO!$X$475))*(0.04)/(1-0.04)</f>
        <v>1989.9999935999999</v>
      </c>
      <c r="AD475" s="56">
        <f>(SUBSIDIO!$J$475*SUBSIDIO!$Y$475)*(0.02)/(1-0.02)</f>
        <v>0</v>
      </c>
      <c r="AE475" s="56">
        <f ca="1">((SUBSIDIO!$L$475*SUBSIDIO!$Z$475)+(SUBSIDIO!$N$475*SUBSIDIO!$AA$475))*(0.02)/(1-0.02)</f>
        <v>1133.8551780112077</v>
      </c>
      <c r="AF475" s="3" t="s">
        <v>1023</v>
      </c>
    </row>
    <row r="476" spans="1:32" ht="11.25" customHeight="1" x14ac:dyDescent="0.25">
      <c r="A476" s="3" t="s">
        <v>27</v>
      </c>
      <c r="B476" s="3" t="s">
        <v>41</v>
      </c>
      <c r="C476" s="3" t="s">
        <v>42</v>
      </c>
      <c r="D476" s="3" t="s">
        <v>45</v>
      </c>
      <c r="E476" s="3" t="s">
        <v>25</v>
      </c>
      <c r="F476" s="3" t="s">
        <v>25</v>
      </c>
      <c r="G476" s="3" t="s">
        <v>25</v>
      </c>
      <c r="H476" s="3" t="s">
        <v>34</v>
      </c>
      <c r="I476" s="6">
        <v>44593</v>
      </c>
      <c r="J476" s="4">
        <v>0</v>
      </c>
      <c r="K476" s="56">
        <v>0</v>
      </c>
      <c r="L476" s="4">
        <v>7.0000000000000001E-3</v>
      </c>
      <c r="M476" s="56">
        <v>7.0000000000000001E-3</v>
      </c>
      <c r="N476" s="4">
        <v>7.0000000000000001E-3</v>
      </c>
      <c r="O476" s="56">
        <v>7.0000000000000001E-3</v>
      </c>
      <c r="P476" s="4">
        <v>0</v>
      </c>
      <c r="Q476" s="3" t="s">
        <v>26</v>
      </c>
      <c r="R476" s="3">
        <v>0</v>
      </c>
      <c r="S476" s="3">
        <v>0</v>
      </c>
      <c r="T476" s="3">
        <v>20</v>
      </c>
      <c r="U476" s="3">
        <v>88</v>
      </c>
      <c r="V476" s="56">
        <f>IF(ISERROR(VLOOKUP($S$476,'TAR FIN'!$A$1:$O$113,15,0)),0,VLOOKUP($S$476,'TAR FIN'!$A$1:$O$113,15,0))</f>
        <v>0</v>
      </c>
      <c r="W476" s="56">
        <f>IF(ISERROR(VLOOKUP($T$476,'TAR FIN'!$A$1:$O$113,15,0)),0,VLOOKUP($T$476,'TAR FIN'!$A$1:$O$113,15,0))*(1-0.04)</f>
        <v>1502.0063999999998</v>
      </c>
      <c r="X476" s="56">
        <f>IF(ISERROR(VLOOKUP($U$476,'TAR FIN'!$A$1:$O$113,15,0)),0,VLOOKUP($U$476,'TAR FIN'!$A$1:$O$113,15,0))*(1-0.04)</f>
        <v>350.88</v>
      </c>
      <c r="Y476" s="56"/>
      <c r="Z476" s="56">
        <f ca="1">('TUSD BE'!$AM$31+'TUSD BF'!$AM$31+'TUSD CVA'!$AM$31)*1*(1-0.02)</f>
        <v>1801.1318198709657</v>
      </c>
      <c r="AA476" s="56">
        <f>('TE BE'!$AA$10+'TE BF'!$AA$10+'TE CVA'!$AA$10)*1*(1-0.02)</f>
        <v>354.31913150043306</v>
      </c>
      <c r="AB476" s="56">
        <f>(SUBSIDIO!$J$476*SUBSIDIO!$V$476)*(0.04)/(1-0.04)</f>
        <v>0</v>
      </c>
      <c r="AC476" s="56">
        <f>((SUBSIDIO!$L$476*SUBSIDIO!$W$476)+(SUBSIDIO!$N$476*SUBSIDIO!$X$476))*(0.04)/(1-0.04)</f>
        <v>0.54042519999999994</v>
      </c>
      <c r="AD476" s="56">
        <f>(SUBSIDIO!$J$476*SUBSIDIO!$Y$476)*(0.02)/(1-0.02)</f>
        <v>0</v>
      </c>
      <c r="AE476" s="56">
        <f ca="1">((SUBSIDIO!$L$476*SUBSIDIO!$Z$476)+(SUBSIDIO!$N$476*SUBSIDIO!$AA$476))*(0.02)/(1-0.02)</f>
        <v>0.30792156448162844</v>
      </c>
      <c r="AF476" s="3" t="s">
        <v>1023</v>
      </c>
    </row>
    <row r="477" spans="1:32" ht="11.25" customHeight="1" x14ac:dyDescent="0.25">
      <c r="A477" s="3" t="s">
        <v>28</v>
      </c>
      <c r="B477" s="3" t="s">
        <v>41</v>
      </c>
      <c r="C477" s="3" t="s">
        <v>42</v>
      </c>
      <c r="D477" s="3" t="s">
        <v>45</v>
      </c>
      <c r="E477" s="3" t="s">
        <v>25</v>
      </c>
      <c r="F477" s="3" t="s">
        <v>25</v>
      </c>
      <c r="G477" s="3" t="s">
        <v>25</v>
      </c>
      <c r="H477" s="3" t="s">
        <v>34</v>
      </c>
      <c r="I477" s="6">
        <v>44593</v>
      </c>
      <c r="J477" s="4">
        <v>0</v>
      </c>
      <c r="K477" s="56">
        <v>0</v>
      </c>
      <c r="L477" s="4">
        <v>4.4029999999999996</v>
      </c>
      <c r="M477" s="56">
        <v>4.4029999999999996</v>
      </c>
      <c r="N477" s="4">
        <v>4.4029999999999996</v>
      </c>
      <c r="O477" s="56">
        <v>4.4029999999999996</v>
      </c>
      <c r="P477" s="4">
        <v>0</v>
      </c>
      <c r="Q477" s="3" t="s">
        <v>26</v>
      </c>
      <c r="R477" s="3">
        <v>0</v>
      </c>
      <c r="S477" s="3">
        <v>0</v>
      </c>
      <c r="T477" s="3">
        <v>20</v>
      </c>
      <c r="U477" s="3">
        <v>88</v>
      </c>
      <c r="V477" s="56">
        <f>IF(ISERROR(VLOOKUP($S$477,'TAR FIN'!$A$1:$O$113,15,0)),0,VLOOKUP($S$477,'TAR FIN'!$A$1:$O$113,15,0))</f>
        <v>0</v>
      </c>
      <c r="W477" s="56">
        <f>IF(ISERROR(VLOOKUP($T$477,'TAR FIN'!$A$1:$O$113,15,0)),0,VLOOKUP($T$477,'TAR FIN'!$A$1:$O$113,15,0))*(1-0.04)</f>
        <v>1502.0063999999998</v>
      </c>
      <c r="X477" s="56">
        <f>IF(ISERROR(VLOOKUP($U$477,'TAR FIN'!$A$1:$O$113,15,0)),0,VLOOKUP($U$477,'TAR FIN'!$A$1:$O$113,15,0))*(1-0.04)</f>
        <v>350.88</v>
      </c>
      <c r="Y477" s="56"/>
      <c r="Z477" s="56">
        <f ca="1">('TUSD BE'!$AM$31+'TUSD BF'!$AM$31+'TUSD CVA'!$AM$31)*1*(1-0.02)</f>
        <v>1801.1318198709657</v>
      </c>
      <c r="AA477" s="56">
        <f>('TE BE'!$AA$10+'TE BF'!$AA$10+'TE CVA'!$AA$10)*1*(1-0.02)</f>
        <v>354.31913150043306</v>
      </c>
      <c r="AB477" s="56">
        <f>(SUBSIDIO!$J$477*SUBSIDIO!$V$477)*(0.04)/(1-0.04)</f>
        <v>0</v>
      </c>
      <c r="AC477" s="56">
        <f>((SUBSIDIO!$L$477*SUBSIDIO!$W$477)+(SUBSIDIO!$N$477*SUBSIDIO!$X$477))*(0.04)/(1-0.04)</f>
        <v>339.92745079999997</v>
      </c>
      <c r="AD477" s="56">
        <f>(SUBSIDIO!$J$477*SUBSIDIO!$Y$477)*(0.02)/(1-0.02)</f>
        <v>0</v>
      </c>
      <c r="AE477" s="56">
        <f ca="1">((SUBSIDIO!$L$477*SUBSIDIO!$Z$477)+(SUBSIDIO!$N$477*SUBSIDIO!$AA$477))*(0.02)/(1-0.02)</f>
        <v>193.68266405894425</v>
      </c>
      <c r="AF477" s="3" t="s">
        <v>1023</v>
      </c>
    </row>
    <row r="478" spans="1:32" ht="11.25" customHeight="1" x14ac:dyDescent="0.25">
      <c r="A478" s="3" t="s">
        <v>56</v>
      </c>
      <c r="B478" s="3" t="s">
        <v>41</v>
      </c>
      <c r="C478" s="3" t="s">
        <v>42</v>
      </c>
      <c r="D478" s="3" t="s">
        <v>45</v>
      </c>
      <c r="E478" s="3" t="s">
        <v>25</v>
      </c>
      <c r="F478" s="3" t="s">
        <v>25</v>
      </c>
      <c r="G478" s="3" t="s">
        <v>25</v>
      </c>
      <c r="H478" s="3" t="s">
        <v>34</v>
      </c>
      <c r="I478" s="6">
        <v>44621</v>
      </c>
      <c r="J478" s="4">
        <v>0</v>
      </c>
      <c r="K478" s="56">
        <v>0</v>
      </c>
      <c r="L478" s="4">
        <v>25.776</v>
      </c>
      <c r="M478" s="56">
        <v>25.776</v>
      </c>
      <c r="N478" s="4">
        <v>25.776</v>
      </c>
      <c r="O478" s="56">
        <v>25.776</v>
      </c>
      <c r="P478" s="4">
        <v>0</v>
      </c>
      <c r="Q478" s="3" t="s">
        <v>26</v>
      </c>
      <c r="R478" s="3">
        <v>0</v>
      </c>
      <c r="S478" s="3">
        <v>0</v>
      </c>
      <c r="T478" s="3">
        <v>20</v>
      </c>
      <c r="U478" s="3">
        <v>88</v>
      </c>
      <c r="V478" s="56">
        <f>IF(ISERROR(VLOOKUP($S$478,'TAR FIN'!$A$1:$O$113,15,0)),0,VLOOKUP($S$478,'TAR FIN'!$A$1:$O$113,15,0))</f>
        <v>0</v>
      </c>
      <c r="W478" s="56">
        <f>IF(ISERROR(VLOOKUP($T$478,'TAR FIN'!$A$1:$O$113,15,0)),0,VLOOKUP($T$478,'TAR FIN'!$A$1:$O$113,15,0))*(1-0.04)</f>
        <v>1502.0063999999998</v>
      </c>
      <c r="X478" s="56">
        <f>IF(ISERROR(VLOOKUP($U$478,'TAR FIN'!$A$1:$O$113,15,0)),0,VLOOKUP($U$478,'TAR FIN'!$A$1:$O$113,15,0))*(1-0.04)</f>
        <v>350.88</v>
      </c>
      <c r="Y478" s="56"/>
      <c r="Z478" s="56">
        <f ca="1">('TUSD BE'!$AM$31+'TUSD BF'!$AM$31+'TUSD CVA'!$AM$31)*1*(1-0.02)</f>
        <v>1801.1318198709657</v>
      </c>
      <c r="AA478" s="56">
        <f>('TE BE'!$AA$10+'TE BF'!$AA$10+'TE CVA'!$AA$10)*1*(1-0.02)</f>
        <v>354.31913150043306</v>
      </c>
      <c r="AB478" s="56">
        <f>(SUBSIDIO!$J$478*SUBSIDIO!$V$478)*(0.04)/(1-0.04)</f>
        <v>0</v>
      </c>
      <c r="AC478" s="56">
        <f>((SUBSIDIO!$L$478*SUBSIDIO!$W$478)+(SUBSIDIO!$N$478*SUBSIDIO!$X$478))*(0.04)/(1-0.04)</f>
        <v>1989.9999935999999</v>
      </c>
      <c r="AD478" s="56">
        <f>(SUBSIDIO!$J$478*SUBSIDIO!$Y$478)*(0.02)/(1-0.02)</f>
        <v>0</v>
      </c>
      <c r="AE478" s="56">
        <f ca="1">((SUBSIDIO!$L$478*SUBSIDIO!$Z$478)+(SUBSIDIO!$N$478*SUBSIDIO!$AA$478))*(0.02)/(1-0.02)</f>
        <v>1133.8551780112077</v>
      </c>
      <c r="AF478" s="3" t="s">
        <v>1023</v>
      </c>
    </row>
    <row r="479" spans="1:32" ht="11.25" customHeight="1" x14ac:dyDescent="0.25">
      <c r="A479" s="3" t="s">
        <v>56</v>
      </c>
      <c r="B479" s="3" t="s">
        <v>41</v>
      </c>
      <c r="C479" s="3" t="s">
        <v>42</v>
      </c>
      <c r="D479" s="3" t="s">
        <v>45</v>
      </c>
      <c r="E479" s="3" t="s">
        <v>25</v>
      </c>
      <c r="F479" s="3" t="s">
        <v>25</v>
      </c>
      <c r="G479" s="3" t="s">
        <v>25</v>
      </c>
      <c r="H479" s="3" t="s">
        <v>34</v>
      </c>
      <c r="I479" s="6">
        <v>44621</v>
      </c>
      <c r="J479" s="4">
        <v>0</v>
      </c>
      <c r="K479" s="56">
        <v>0</v>
      </c>
      <c r="L479" s="4">
        <v>7.0000000000000001E-3</v>
      </c>
      <c r="M479" s="56">
        <v>7.0000000000000001E-3</v>
      </c>
      <c r="N479" s="4">
        <v>7.0000000000000001E-3</v>
      </c>
      <c r="O479" s="56">
        <v>7.0000000000000001E-3</v>
      </c>
      <c r="P479" s="4">
        <v>0</v>
      </c>
      <c r="Q479" s="3" t="s">
        <v>26</v>
      </c>
      <c r="R479" s="3">
        <v>0</v>
      </c>
      <c r="S479" s="3">
        <v>0</v>
      </c>
      <c r="T479" s="3">
        <v>20</v>
      </c>
      <c r="U479" s="3">
        <v>88</v>
      </c>
      <c r="V479" s="56">
        <f>IF(ISERROR(VLOOKUP($S$479,'TAR FIN'!$A$1:$O$113,15,0)),0,VLOOKUP($S$479,'TAR FIN'!$A$1:$O$113,15,0))</f>
        <v>0</v>
      </c>
      <c r="W479" s="56">
        <f>IF(ISERROR(VLOOKUP($T$479,'TAR FIN'!$A$1:$O$113,15,0)),0,VLOOKUP($T$479,'TAR FIN'!$A$1:$O$113,15,0))*(1-0.04)</f>
        <v>1502.0063999999998</v>
      </c>
      <c r="X479" s="56">
        <f>IF(ISERROR(VLOOKUP($U$479,'TAR FIN'!$A$1:$O$113,15,0)),0,VLOOKUP($U$479,'TAR FIN'!$A$1:$O$113,15,0))*(1-0.04)</f>
        <v>350.88</v>
      </c>
      <c r="Y479" s="56"/>
      <c r="Z479" s="56">
        <f ca="1">('TUSD BE'!$AM$31+'TUSD BF'!$AM$31+'TUSD CVA'!$AM$31)*1*(1-0.02)</f>
        <v>1801.1318198709657</v>
      </c>
      <c r="AA479" s="56">
        <f>('TE BE'!$AA$10+'TE BF'!$AA$10+'TE CVA'!$AA$10)*1*(1-0.02)</f>
        <v>354.31913150043306</v>
      </c>
      <c r="AB479" s="56">
        <f>(SUBSIDIO!$J$479*SUBSIDIO!$V$479)*(0.04)/(1-0.04)</f>
        <v>0</v>
      </c>
      <c r="AC479" s="56">
        <f>((SUBSIDIO!$L$479*SUBSIDIO!$W$479)+(SUBSIDIO!$N$479*SUBSIDIO!$X$479))*(0.04)/(1-0.04)</f>
        <v>0.54042519999999994</v>
      </c>
      <c r="AD479" s="56">
        <f>(SUBSIDIO!$J$479*SUBSIDIO!$Y$479)*(0.02)/(1-0.02)</f>
        <v>0</v>
      </c>
      <c r="AE479" s="56">
        <f ca="1">((SUBSIDIO!$L$479*SUBSIDIO!$Z$479)+(SUBSIDIO!$N$479*SUBSIDIO!$AA$479))*(0.02)/(1-0.02)</f>
        <v>0.30792156448162844</v>
      </c>
      <c r="AF479" s="3" t="s">
        <v>1023</v>
      </c>
    </row>
    <row r="480" spans="1:32" ht="11.25" customHeight="1" x14ac:dyDescent="0.25">
      <c r="A480" s="3" t="s">
        <v>56</v>
      </c>
      <c r="B480" s="3" t="s">
        <v>41</v>
      </c>
      <c r="C480" s="3" t="s">
        <v>42</v>
      </c>
      <c r="D480" s="3" t="s">
        <v>45</v>
      </c>
      <c r="E480" s="3" t="s">
        <v>25</v>
      </c>
      <c r="F480" s="3" t="s">
        <v>25</v>
      </c>
      <c r="G480" s="3" t="s">
        <v>25</v>
      </c>
      <c r="H480" s="3" t="s">
        <v>34</v>
      </c>
      <c r="I480" s="6">
        <v>44621</v>
      </c>
      <c r="J480" s="4">
        <v>0</v>
      </c>
      <c r="K480" s="56">
        <v>0</v>
      </c>
      <c r="L480" s="4">
        <v>4.4029999999999996</v>
      </c>
      <c r="M480" s="56">
        <v>4.4029999999999996</v>
      </c>
      <c r="N480" s="4">
        <v>4.4029999999999996</v>
      </c>
      <c r="O480" s="56">
        <v>4.4029999999999996</v>
      </c>
      <c r="P480" s="4">
        <v>0</v>
      </c>
      <c r="Q480" s="3" t="s">
        <v>26</v>
      </c>
      <c r="R480" s="3">
        <v>0</v>
      </c>
      <c r="S480" s="3">
        <v>0</v>
      </c>
      <c r="T480" s="3">
        <v>20</v>
      </c>
      <c r="U480" s="3">
        <v>88</v>
      </c>
      <c r="V480" s="56">
        <f>IF(ISERROR(VLOOKUP($S$480,'TAR FIN'!$A$1:$O$113,15,0)),0,VLOOKUP($S$480,'TAR FIN'!$A$1:$O$113,15,0))</f>
        <v>0</v>
      </c>
      <c r="W480" s="56">
        <f>IF(ISERROR(VLOOKUP($T$480,'TAR FIN'!$A$1:$O$113,15,0)),0,VLOOKUP($T$480,'TAR FIN'!$A$1:$O$113,15,0))*(1-0.04)</f>
        <v>1502.0063999999998</v>
      </c>
      <c r="X480" s="56">
        <f>IF(ISERROR(VLOOKUP($U$480,'TAR FIN'!$A$1:$O$113,15,0)),0,VLOOKUP($U$480,'TAR FIN'!$A$1:$O$113,15,0))*(1-0.04)</f>
        <v>350.88</v>
      </c>
      <c r="Y480" s="56"/>
      <c r="Z480" s="56">
        <f ca="1">('TUSD BE'!$AM$31+'TUSD BF'!$AM$31+'TUSD CVA'!$AM$31)*1*(1-0.02)</f>
        <v>1801.1318198709657</v>
      </c>
      <c r="AA480" s="56">
        <f>('TE BE'!$AA$10+'TE BF'!$AA$10+'TE CVA'!$AA$10)*1*(1-0.02)</f>
        <v>354.31913150043306</v>
      </c>
      <c r="AB480" s="56">
        <f>(SUBSIDIO!$J$480*SUBSIDIO!$V$480)*(0.04)/(1-0.04)</f>
        <v>0</v>
      </c>
      <c r="AC480" s="56">
        <f>((SUBSIDIO!$L$480*SUBSIDIO!$W$480)+(SUBSIDIO!$N$480*SUBSIDIO!$X$480))*(0.04)/(1-0.04)</f>
        <v>339.92745079999997</v>
      </c>
      <c r="AD480" s="56">
        <f>(SUBSIDIO!$J$480*SUBSIDIO!$Y$480)*(0.02)/(1-0.02)</f>
        <v>0</v>
      </c>
      <c r="AE480" s="56">
        <f ca="1">((SUBSIDIO!$L$480*SUBSIDIO!$Z$480)+(SUBSIDIO!$N$480*SUBSIDIO!$AA$480))*(0.02)/(1-0.02)</f>
        <v>193.68266405894425</v>
      </c>
      <c r="AF480" s="3" t="s">
        <v>1023</v>
      </c>
    </row>
    <row r="481" spans="1:32" ht="11.25" customHeight="1" x14ac:dyDescent="0.25">
      <c r="A481" s="3" t="s">
        <v>21</v>
      </c>
      <c r="B481" s="3" t="s">
        <v>41</v>
      </c>
      <c r="C481" s="3" t="s">
        <v>42</v>
      </c>
      <c r="D481" s="3" t="s">
        <v>50</v>
      </c>
      <c r="E481" s="3" t="s">
        <v>51</v>
      </c>
      <c r="F481" s="3" t="s">
        <v>25</v>
      </c>
      <c r="G481" s="3" t="s">
        <v>25</v>
      </c>
      <c r="H481" s="3" t="s">
        <v>35</v>
      </c>
      <c r="I481" s="6">
        <v>44287</v>
      </c>
      <c r="J481" s="4">
        <v>0</v>
      </c>
      <c r="K481" s="56">
        <v>0</v>
      </c>
      <c r="L481" s="4">
        <v>6324.3580000000002</v>
      </c>
      <c r="M481" s="56">
        <v>6324.3580000000002</v>
      </c>
      <c r="N481" s="4">
        <v>6324.3580000000002</v>
      </c>
      <c r="O481" s="56">
        <v>6324.3580000000002</v>
      </c>
      <c r="P481" s="4">
        <v>0</v>
      </c>
      <c r="Q481" s="3" t="s">
        <v>26</v>
      </c>
      <c r="R481" s="3">
        <v>0</v>
      </c>
      <c r="S481" s="3">
        <v>0</v>
      </c>
      <c r="T481" s="3">
        <v>21</v>
      </c>
      <c r="U481" s="3">
        <v>89</v>
      </c>
      <c r="V481" s="56">
        <f>IF(ISERROR(VLOOKUP($S$481,'TAR FIN'!$A$1:$O$113,15,0)),0,VLOOKUP($S$481,'TAR FIN'!$A$1:$O$113,15,0))</f>
        <v>0</v>
      </c>
      <c r="W481" s="56">
        <f>IF(ISERROR(VLOOKUP($T$481,'TAR FIN'!$A$1:$O$113,15,0)),0,VLOOKUP($T$481,'TAR FIN'!$A$1:$O$113,15,0))*(1-0.06)</f>
        <v>48.193800000000003</v>
      </c>
      <c r="X481" s="56">
        <f>IF(ISERROR(VLOOKUP($U$481,'TAR FIN'!$A$1:$O$113,15,0)),0,VLOOKUP($U$481,'TAR FIN'!$A$1:$O$113,15,0))*(1-0.06)</f>
        <v>208.97139999999999</v>
      </c>
      <c r="Y481" s="56"/>
      <c r="Z481" s="56">
        <f ca="1">('TUSD BE'!$AM$32+'TUSD BF'!$AM$32+'TUSD CVA'!$AM$32)*1*(1-0.03)</f>
        <v>63.057187337713181</v>
      </c>
      <c r="AA481" s="56">
        <f>('TE BE'!$AA$11+'TE BF'!$AA$11+'TE CVA'!$AA$11)*1*(1-0.03)</f>
        <v>216.45124957683362</v>
      </c>
      <c r="AB481" s="56">
        <f>(SUBSIDIO!$J$481*SUBSIDIO!$V$481)*(0.06)/(1-0.06)</f>
        <v>0</v>
      </c>
      <c r="AC481" s="56">
        <f>((SUBSIDIO!$L$481*SUBSIDIO!$W$481)+(SUBSIDIO!$N$481*SUBSIDIO!$X$481))*(0.06)/(1-0.06)</f>
        <v>103813.0716984</v>
      </c>
      <c r="AD481" s="56">
        <f>(SUBSIDIO!$J$481*SUBSIDIO!$Y$481)*(0.03)/(1-0.03)</f>
        <v>0</v>
      </c>
      <c r="AE481" s="56">
        <f ca="1">((SUBSIDIO!$L$481*SUBSIDIO!$Z$481)+(SUBSIDIO!$N$481*SUBSIDIO!$AA$481))*(0.03)/(1-0.03)</f>
        <v>54671.487187670398</v>
      </c>
      <c r="AF481" s="3" t="s">
        <v>1025</v>
      </c>
    </row>
    <row r="482" spans="1:32" ht="11.25" customHeight="1" x14ac:dyDescent="0.25">
      <c r="A482" s="3" t="s">
        <v>21</v>
      </c>
      <c r="B482" s="3" t="s">
        <v>41</v>
      </c>
      <c r="C482" s="3" t="s">
        <v>42</v>
      </c>
      <c r="D482" s="3" t="s">
        <v>50</v>
      </c>
      <c r="E482" s="3" t="s">
        <v>51</v>
      </c>
      <c r="F482" s="3" t="s">
        <v>25</v>
      </c>
      <c r="G482" s="3" t="s">
        <v>25</v>
      </c>
      <c r="H482" s="3" t="s">
        <v>35</v>
      </c>
      <c r="I482" s="6">
        <v>44317</v>
      </c>
      <c r="J482" s="4">
        <v>0</v>
      </c>
      <c r="K482" s="56">
        <v>0</v>
      </c>
      <c r="L482" s="4">
        <v>6309.06</v>
      </c>
      <c r="M482" s="56">
        <v>6309.06</v>
      </c>
      <c r="N482" s="4">
        <v>6309.06</v>
      </c>
      <c r="O482" s="56">
        <v>6309.06</v>
      </c>
      <c r="P482" s="4">
        <v>0</v>
      </c>
      <c r="Q482" s="3" t="s">
        <v>26</v>
      </c>
      <c r="R482" s="3">
        <v>0</v>
      </c>
      <c r="S482" s="3">
        <v>0</v>
      </c>
      <c r="T482" s="3">
        <v>21</v>
      </c>
      <c r="U482" s="3">
        <v>89</v>
      </c>
      <c r="V482" s="56">
        <f>IF(ISERROR(VLOOKUP($S$482,'TAR FIN'!$A$1:$O$113,15,0)),0,VLOOKUP($S$482,'TAR FIN'!$A$1:$O$113,15,0))</f>
        <v>0</v>
      </c>
      <c r="W482" s="56">
        <f>IF(ISERROR(VLOOKUP($T$482,'TAR FIN'!$A$1:$O$113,15,0)),0,VLOOKUP($T$482,'TAR FIN'!$A$1:$O$113,15,0))*(1-0.06)</f>
        <v>48.193800000000003</v>
      </c>
      <c r="X482" s="56">
        <f>IF(ISERROR(VLOOKUP($U$482,'TAR FIN'!$A$1:$O$113,15,0)),0,VLOOKUP($U$482,'TAR FIN'!$A$1:$O$113,15,0))*(1-0.06)</f>
        <v>208.97139999999999</v>
      </c>
      <c r="Y482" s="56"/>
      <c r="Z482" s="56">
        <f ca="1">('TUSD BE'!$AM$32+'TUSD BF'!$AM$32+'TUSD CVA'!$AM$32)*1*(1-0.03)</f>
        <v>63.057187337713181</v>
      </c>
      <c r="AA482" s="56">
        <f>('TE BE'!$AA$11+'TE BF'!$AA$11+'TE CVA'!$AA$11)*1*(1-0.03)</f>
        <v>216.45124957683362</v>
      </c>
      <c r="AB482" s="56">
        <f>(SUBSIDIO!$J$482*SUBSIDIO!$V$482)*(0.06)/(1-0.06)</f>
        <v>0</v>
      </c>
      <c r="AC482" s="56">
        <f>((SUBSIDIO!$L$482*SUBSIDIO!$W$482)+(SUBSIDIO!$N$482*SUBSIDIO!$X$482))*(0.06)/(1-0.06)</f>
        <v>103561.95808800001</v>
      </c>
      <c r="AD482" s="56">
        <f>(SUBSIDIO!$J$482*SUBSIDIO!$Y$482)*(0.03)/(1-0.03)</f>
        <v>0</v>
      </c>
      <c r="AE482" s="56">
        <f ca="1">((SUBSIDIO!$L$482*SUBSIDIO!$Z$482)+(SUBSIDIO!$N$482*SUBSIDIO!$AA$482))*(0.03)/(1-0.03)</f>
        <v>54539.24223711621</v>
      </c>
      <c r="AF482" s="3" t="s">
        <v>1025</v>
      </c>
    </row>
    <row r="483" spans="1:32" ht="11.25" customHeight="1" x14ac:dyDescent="0.25">
      <c r="A483" s="3" t="s">
        <v>21</v>
      </c>
      <c r="B483" s="3" t="s">
        <v>41</v>
      </c>
      <c r="C483" s="3" t="s">
        <v>42</v>
      </c>
      <c r="D483" s="3" t="s">
        <v>50</v>
      </c>
      <c r="E483" s="3" t="s">
        <v>51</v>
      </c>
      <c r="F483" s="3" t="s">
        <v>25</v>
      </c>
      <c r="G483" s="3" t="s">
        <v>25</v>
      </c>
      <c r="H483" s="3" t="s">
        <v>35</v>
      </c>
      <c r="I483" s="6">
        <v>44348</v>
      </c>
      <c r="J483" s="4">
        <v>0</v>
      </c>
      <c r="K483" s="56">
        <v>0</v>
      </c>
      <c r="L483" s="4">
        <v>4076.402</v>
      </c>
      <c r="M483" s="56">
        <v>4076.402</v>
      </c>
      <c r="N483" s="4">
        <v>4076.402</v>
      </c>
      <c r="O483" s="56">
        <v>4076.402</v>
      </c>
      <c r="P483" s="4">
        <v>0</v>
      </c>
      <c r="Q483" s="3" t="s">
        <v>26</v>
      </c>
      <c r="R483" s="3">
        <v>0</v>
      </c>
      <c r="S483" s="3">
        <v>0</v>
      </c>
      <c r="T483" s="3">
        <v>21</v>
      </c>
      <c r="U483" s="3">
        <v>89</v>
      </c>
      <c r="V483" s="56">
        <f>IF(ISERROR(VLOOKUP($S$483,'TAR FIN'!$A$1:$O$113,15,0)),0,VLOOKUP($S$483,'TAR FIN'!$A$1:$O$113,15,0))</f>
        <v>0</v>
      </c>
      <c r="W483" s="56">
        <f>IF(ISERROR(VLOOKUP($T$483,'TAR FIN'!$A$1:$O$113,15,0)),0,VLOOKUP($T$483,'TAR FIN'!$A$1:$O$113,15,0))*(1-0.06)</f>
        <v>48.193800000000003</v>
      </c>
      <c r="X483" s="56">
        <f>IF(ISERROR(VLOOKUP($U$483,'TAR FIN'!$A$1:$O$113,15,0)),0,VLOOKUP($U$483,'TAR FIN'!$A$1:$O$113,15,0))*(1-0.06)</f>
        <v>208.97139999999999</v>
      </c>
      <c r="Y483" s="56"/>
      <c r="Z483" s="56">
        <f ca="1">('TUSD BE'!$AM$32+'TUSD BF'!$AM$32+'TUSD CVA'!$AM$32)*1*(1-0.03)</f>
        <v>63.057187337713181</v>
      </c>
      <c r="AA483" s="56">
        <f>('TE BE'!$AA$11+'TE BF'!$AA$11+'TE CVA'!$AA$11)*1*(1-0.03)</f>
        <v>216.45124957683362</v>
      </c>
      <c r="AB483" s="56">
        <f>(SUBSIDIO!$J$483*SUBSIDIO!$V$483)*(0.06)/(1-0.06)</f>
        <v>0</v>
      </c>
      <c r="AC483" s="56">
        <f>((SUBSIDIO!$L$483*SUBSIDIO!$W$483)+(SUBSIDIO!$N$483*SUBSIDIO!$X$483))*(0.06)/(1-0.06)</f>
        <v>66913.323549599998</v>
      </c>
      <c r="AD483" s="56">
        <f>(SUBSIDIO!$J$483*SUBSIDIO!$Y$483)*(0.03)/(1-0.03)</f>
        <v>0</v>
      </c>
      <c r="AE483" s="56">
        <f ca="1">((SUBSIDIO!$L$483*SUBSIDIO!$Z$483)+(SUBSIDIO!$N$483*SUBSIDIO!$AA$483))*(0.03)/(1-0.03)</f>
        <v>35238.827358412345</v>
      </c>
      <c r="AF483" s="3" t="s">
        <v>1025</v>
      </c>
    </row>
    <row r="484" spans="1:32" ht="11.25" customHeight="1" x14ac:dyDescent="0.25">
      <c r="A484" s="3" t="s">
        <v>21</v>
      </c>
      <c r="B484" s="3" t="s">
        <v>41</v>
      </c>
      <c r="C484" s="3" t="s">
        <v>42</v>
      </c>
      <c r="D484" s="3" t="s">
        <v>50</v>
      </c>
      <c r="E484" s="3" t="s">
        <v>51</v>
      </c>
      <c r="F484" s="3" t="s">
        <v>25</v>
      </c>
      <c r="G484" s="3" t="s">
        <v>25</v>
      </c>
      <c r="H484" s="3" t="s">
        <v>35</v>
      </c>
      <c r="I484" s="6">
        <v>44378</v>
      </c>
      <c r="J484" s="4">
        <v>0</v>
      </c>
      <c r="K484" s="56">
        <v>0</v>
      </c>
      <c r="L484" s="4">
        <v>4288.4340000000002</v>
      </c>
      <c r="M484" s="56">
        <v>4288.4340000000002</v>
      </c>
      <c r="N484" s="4">
        <v>4288.4340000000002</v>
      </c>
      <c r="O484" s="56">
        <v>4288.4340000000002</v>
      </c>
      <c r="P484" s="4">
        <v>0</v>
      </c>
      <c r="Q484" s="3" t="s">
        <v>26</v>
      </c>
      <c r="R484" s="3">
        <v>0</v>
      </c>
      <c r="S484" s="3">
        <v>0</v>
      </c>
      <c r="T484" s="3">
        <v>21</v>
      </c>
      <c r="U484" s="3">
        <v>89</v>
      </c>
      <c r="V484" s="56">
        <f>IF(ISERROR(VLOOKUP($S$484,'TAR FIN'!$A$1:$O$113,15,0)),0,VLOOKUP($S$484,'TAR FIN'!$A$1:$O$113,15,0))</f>
        <v>0</v>
      </c>
      <c r="W484" s="56">
        <f>IF(ISERROR(VLOOKUP($T$484,'TAR FIN'!$A$1:$O$113,15,0)),0,VLOOKUP($T$484,'TAR FIN'!$A$1:$O$113,15,0))*(1-0.06)</f>
        <v>48.193800000000003</v>
      </c>
      <c r="X484" s="56">
        <f>IF(ISERROR(VLOOKUP($U$484,'TAR FIN'!$A$1:$O$113,15,0)),0,VLOOKUP($U$484,'TAR FIN'!$A$1:$O$113,15,0))*(1-0.06)</f>
        <v>208.97139999999999</v>
      </c>
      <c r="Y484" s="56"/>
      <c r="Z484" s="56">
        <f ca="1">('TUSD BE'!$AM$32+'TUSD BF'!$AM$32+'TUSD CVA'!$AM$32)*1*(1-0.03)</f>
        <v>63.057187337713181</v>
      </c>
      <c r="AA484" s="56">
        <f>('TE BE'!$AA$11+'TE BF'!$AA$11+'TE CVA'!$AA$11)*1*(1-0.03)</f>
        <v>216.45124957683362</v>
      </c>
      <c r="AB484" s="56">
        <f>(SUBSIDIO!$J$484*SUBSIDIO!$V$484)*(0.06)/(1-0.06)</f>
        <v>0</v>
      </c>
      <c r="AC484" s="56">
        <f>((SUBSIDIO!$L$484*SUBSIDIO!$W$484)+(SUBSIDIO!$N$484*SUBSIDIO!$X$484))*(0.06)/(1-0.06)</f>
        <v>70393.786423200014</v>
      </c>
      <c r="AD484" s="56">
        <f>(SUBSIDIO!$J$484*SUBSIDIO!$Y$484)*(0.03)/(1-0.03)</f>
        <v>0</v>
      </c>
      <c r="AE484" s="56">
        <f ca="1">((SUBSIDIO!$L$484*SUBSIDIO!$Z$484)+(SUBSIDIO!$N$484*SUBSIDIO!$AA$484))*(0.03)/(1-0.03)</f>
        <v>37071.757241789615</v>
      </c>
      <c r="AF484" s="3" t="s">
        <v>1025</v>
      </c>
    </row>
    <row r="485" spans="1:32" ht="11.25" customHeight="1" x14ac:dyDescent="0.25">
      <c r="A485" s="3" t="s">
        <v>27</v>
      </c>
      <c r="B485" s="3" t="s">
        <v>41</v>
      </c>
      <c r="C485" s="3" t="s">
        <v>42</v>
      </c>
      <c r="D485" s="3" t="s">
        <v>50</v>
      </c>
      <c r="E485" s="3" t="s">
        <v>51</v>
      </c>
      <c r="F485" s="3" t="s">
        <v>25</v>
      </c>
      <c r="G485" s="3" t="s">
        <v>25</v>
      </c>
      <c r="H485" s="3" t="s">
        <v>35</v>
      </c>
      <c r="I485" s="6">
        <v>44378</v>
      </c>
      <c r="J485" s="4">
        <v>0</v>
      </c>
      <c r="K485" s="56">
        <v>0</v>
      </c>
      <c r="L485" s="4">
        <v>-5.7969999999999997</v>
      </c>
      <c r="M485" s="56">
        <v>-5.7969999999999997</v>
      </c>
      <c r="N485" s="4">
        <v>-5.7969999999999997</v>
      </c>
      <c r="O485" s="56">
        <v>-5.7969999999999997</v>
      </c>
      <c r="P485" s="4">
        <v>0</v>
      </c>
      <c r="Q485" s="3" t="s">
        <v>26</v>
      </c>
      <c r="R485" s="3">
        <v>0</v>
      </c>
      <c r="S485" s="3">
        <v>0</v>
      </c>
      <c r="T485" s="3">
        <v>21</v>
      </c>
      <c r="U485" s="3">
        <v>89</v>
      </c>
      <c r="V485" s="56">
        <f>IF(ISERROR(VLOOKUP($S$485,'TAR FIN'!$A$1:$O$113,15,0)),0,VLOOKUP($S$485,'TAR FIN'!$A$1:$O$113,15,0))</f>
        <v>0</v>
      </c>
      <c r="W485" s="56">
        <f>IF(ISERROR(VLOOKUP($T$485,'TAR FIN'!$A$1:$O$113,15,0)),0,VLOOKUP($T$485,'TAR FIN'!$A$1:$O$113,15,0))*(1-0.06)</f>
        <v>48.193800000000003</v>
      </c>
      <c r="X485" s="56">
        <f>IF(ISERROR(VLOOKUP($U$485,'TAR FIN'!$A$1:$O$113,15,0)),0,VLOOKUP($U$485,'TAR FIN'!$A$1:$O$113,15,0))*(1-0.06)</f>
        <v>208.97139999999999</v>
      </c>
      <c r="Y485" s="56"/>
      <c r="Z485" s="56">
        <f ca="1">('TUSD BE'!$AM$32+'TUSD BF'!$AM$32+'TUSD CVA'!$AM$32)*1*(1-0.03)</f>
        <v>63.057187337713181</v>
      </c>
      <c r="AA485" s="56">
        <f>('TE BE'!$AA$11+'TE BF'!$AA$11+'TE CVA'!$AA$11)*1*(1-0.03)</f>
        <v>216.45124957683362</v>
      </c>
      <c r="AB485" s="56">
        <f>(SUBSIDIO!$J$485*SUBSIDIO!$V$485)*(0.06)/(1-0.06)</f>
        <v>0</v>
      </c>
      <c r="AC485" s="56">
        <f>((SUBSIDIO!$L$485*SUBSIDIO!$W$485)+(SUBSIDIO!$N$485*SUBSIDIO!$X$485))*(0.06)/(1-0.06)</f>
        <v>-95.156595600000003</v>
      </c>
      <c r="AD485" s="56">
        <f>(SUBSIDIO!$J$485*SUBSIDIO!$Y$485)*(0.03)/(1-0.03)</f>
        <v>0</v>
      </c>
      <c r="AE485" s="56">
        <f ca="1">((SUBSIDIO!$L$485*SUBSIDIO!$Z$485)+(SUBSIDIO!$N$485*SUBSIDIO!$AA$485))*(0.03)/(1-0.03)</f>
        <v>-50.112693055473017</v>
      </c>
      <c r="AF485" s="3" t="s">
        <v>1025</v>
      </c>
    </row>
    <row r="486" spans="1:32" ht="11.25" customHeight="1" x14ac:dyDescent="0.25">
      <c r="A486" s="3" t="s">
        <v>21</v>
      </c>
      <c r="B486" s="3" t="s">
        <v>41</v>
      </c>
      <c r="C486" s="3" t="s">
        <v>42</v>
      </c>
      <c r="D486" s="3" t="s">
        <v>50</v>
      </c>
      <c r="E486" s="3" t="s">
        <v>51</v>
      </c>
      <c r="F486" s="3" t="s">
        <v>25</v>
      </c>
      <c r="G486" s="3" t="s">
        <v>25</v>
      </c>
      <c r="H486" s="3" t="s">
        <v>35</v>
      </c>
      <c r="I486" s="6">
        <v>44409</v>
      </c>
      <c r="J486" s="4">
        <v>0</v>
      </c>
      <c r="K486" s="56">
        <v>0</v>
      </c>
      <c r="L486" s="4">
        <v>3834.7689999999998</v>
      </c>
      <c r="M486" s="56">
        <v>3834.7689999999998</v>
      </c>
      <c r="N486" s="4">
        <v>3834.7689999999998</v>
      </c>
      <c r="O486" s="56">
        <v>3834.7689999999998</v>
      </c>
      <c r="P486" s="4">
        <v>0</v>
      </c>
      <c r="Q486" s="3" t="s">
        <v>26</v>
      </c>
      <c r="R486" s="3">
        <v>0</v>
      </c>
      <c r="S486" s="3">
        <v>0</v>
      </c>
      <c r="T486" s="3">
        <v>21</v>
      </c>
      <c r="U486" s="3">
        <v>89</v>
      </c>
      <c r="V486" s="56">
        <f>IF(ISERROR(VLOOKUP($S$486,'TAR FIN'!$A$1:$O$113,15,0)),0,VLOOKUP($S$486,'TAR FIN'!$A$1:$O$113,15,0))</f>
        <v>0</v>
      </c>
      <c r="W486" s="56">
        <f>IF(ISERROR(VLOOKUP($T$486,'TAR FIN'!$A$1:$O$113,15,0)),0,VLOOKUP($T$486,'TAR FIN'!$A$1:$O$113,15,0))*(1-0.06)</f>
        <v>48.193800000000003</v>
      </c>
      <c r="X486" s="56">
        <f>IF(ISERROR(VLOOKUP($U$486,'TAR FIN'!$A$1:$O$113,15,0)),0,VLOOKUP($U$486,'TAR FIN'!$A$1:$O$113,15,0))*(1-0.06)</f>
        <v>208.97139999999999</v>
      </c>
      <c r="Y486" s="56"/>
      <c r="Z486" s="56">
        <f ca="1">('TUSD BE'!$AM$32+'TUSD BF'!$AM$32+'TUSD CVA'!$AM$32)*1*(1-0.03)</f>
        <v>63.057187337713181</v>
      </c>
      <c r="AA486" s="56">
        <f>('TE BE'!$AA$11+'TE BF'!$AA$11+'TE CVA'!$AA$11)*1*(1-0.03)</f>
        <v>216.45124957683362</v>
      </c>
      <c r="AB486" s="56">
        <f>(SUBSIDIO!$J$486*SUBSIDIO!$V$486)*(0.06)/(1-0.06)</f>
        <v>0</v>
      </c>
      <c r="AC486" s="56">
        <f>((SUBSIDIO!$L$486*SUBSIDIO!$W$486)+(SUBSIDIO!$N$486*SUBSIDIO!$X$486))*(0.06)/(1-0.06)</f>
        <v>62946.966181199998</v>
      </c>
      <c r="AD486" s="56">
        <f>(SUBSIDIO!$J$486*SUBSIDIO!$Y$486)*(0.03)/(1-0.03)</f>
        <v>0</v>
      </c>
      <c r="AE486" s="56">
        <f ca="1">((SUBSIDIO!$L$486*SUBSIDIO!$Z$486)+(SUBSIDIO!$N$486*SUBSIDIO!$AA$486))*(0.03)/(1-0.03)</f>
        <v>33150.008941804932</v>
      </c>
      <c r="AF486" s="3" t="s">
        <v>1025</v>
      </c>
    </row>
    <row r="487" spans="1:32" ht="11.25" customHeight="1" x14ac:dyDescent="0.25">
      <c r="A487" s="3" t="s">
        <v>21</v>
      </c>
      <c r="B487" s="3" t="s">
        <v>41</v>
      </c>
      <c r="C487" s="3" t="s">
        <v>42</v>
      </c>
      <c r="D487" s="3" t="s">
        <v>50</v>
      </c>
      <c r="E487" s="3" t="s">
        <v>51</v>
      </c>
      <c r="F487" s="3" t="s">
        <v>25</v>
      </c>
      <c r="G487" s="3" t="s">
        <v>25</v>
      </c>
      <c r="H487" s="3" t="s">
        <v>35</v>
      </c>
      <c r="I487" s="6">
        <v>44440</v>
      </c>
      <c r="J487" s="4">
        <v>0</v>
      </c>
      <c r="K487" s="56">
        <v>0</v>
      </c>
      <c r="L487" s="4">
        <v>3731.7869999999998</v>
      </c>
      <c r="M487" s="56">
        <v>3731.7869999999998</v>
      </c>
      <c r="N487" s="4">
        <v>3731.7869999999998</v>
      </c>
      <c r="O487" s="56">
        <v>3731.7869999999998</v>
      </c>
      <c r="P487" s="4">
        <v>0</v>
      </c>
      <c r="Q487" s="3" t="s">
        <v>26</v>
      </c>
      <c r="R487" s="3">
        <v>0</v>
      </c>
      <c r="S487" s="3">
        <v>0</v>
      </c>
      <c r="T487" s="3">
        <v>21</v>
      </c>
      <c r="U487" s="3">
        <v>89</v>
      </c>
      <c r="V487" s="56">
        <f>IF(ISERROR(VLOOKUP($S$487,'TAR FIN'!$A$1:$O$113,15,0)),0,VLOOKUP($S$487,'TAR FIN'!$A$1:$O$113,15,0))</f>
        <v>0</v>
      </c>
      <c r="W487" s="56">
        <f>IF(ISERROR(VLOOKUP($T$487,'TAR FIN'!$A$1:$O$113,15,0)),0,VLOOKUP($T$487,'TAR FIN'!$A$1:$O$113,15,0))*(1-0.06)</f>
        <v>48.193800000000003</v>
      </c>
      <c r="X487" s="56">
        <f>IF(ISERROR(VLOOKUP($U$487,'TAR FIN'!$A$1:$O$113,15,0)),0,VLOOKUP($U$487,'TAR FIN'!$A$1:$O$113,15,0))*(1-0.06)</f>
        <v>208.97139999999999</v>
      </c>
      <c r="Y487" s="56"/>
      <c r="Z487" s="56">
        <f ca="1">('TUSD BE'!$AM$32+'TUSD BF'!$AM$32+'TUSD CVA'!$AM$32)*1*(1-0.03)</f>
        <v>63.057187337713181</v>
      </c>
      <c r="AA487" s="56">
        <f>('TE BE'!$AA$11+'TE BF'!$AA$11+'TE CVA'!$AA$11)*1*(1-0.03)</f>
        <v>216.45124957683362</v>
      </c>
      <c r="AB487" s="56">
        <f>(SUBSIDIO!$J$487*SUBSIDIO!$V$487)*(0.06)/(1-0.06)</f>
        <v>0</v>
      </c>
      <c r="AC487" s="56">
        <f>((SUBSIDIO!$L$487*SUBSIDIO!$W$487)+(SUBSIDIO!$N$487*SUBSIDIO!$X$487))*(0.06)/(1-0.06)</f>
        <v>61256.537247599997</v>
      </c>
      <c r="AD487" s="56">
        <f>(SUBSIDIO!$J$487*SUBSIDIO!$Y$487)*(0.03)/(1-0.03)</f>
        <v>0</v>
      </c>
      <c r="AE487" s="56">
        <f ca="1">((SUBSIDIO!$L$487*SUBSIDIO!$Z$487)+(SUBSIDIO!$N$487*SUBSIDIO!$AA$487))*(0.03)/(1-0.03)</f>
        <v>32259.771688701829</v>
      </c>
      <c r="AF487" s="3" t="s">
        <v>1025</v>
      </c>
    </row>
    <row r="488" spans="1:32" ht="11.25" customHeight="1" x14ac:dyDescent="0.25">
      <c r="A488" s="3" t="s">
        <v>21</v>
      </c>
      <c r="B488" s="3" t="s">
        <v>41</v>
      </c>
      <c r="C488" s="3" t="s">
        <v>42</v>
      </c>
      <c r="D488" s="3" t="s">
        <v>50</v>
      </c>
      <c r="E488" s="3" t="s">
        <v>51</v>
      </c>
      <c r="F488" s="3" t="s">
        <v>25</v>
      </c>
      <c r="G488" s="3" t="s">
        <v>25</v>
      </c>
      <c r="H488" s="3" t="s">
        <v>35</v>
      </c>
      <c r="I488" s="6">
        <v>44470</v>
      </c>
      <c r="J488" s="4">
        <v>0</v>
      </c>
      <c r="K488" s="56">
        <v>0</v>
      </c>
      <c r="L488" s="4">
        <v>3771.1889999999999</v>
      </c>
      <c r="M488" s="56">
        <v>3771.1889999999999</v>
      </c>
      <c r="N488" s="4">
        <v>3771.1889999999999</v>
      </c>
      <c r="O488" s="56">
        <v>3771.1889999999999</v>
      </c>
      <c r="P488" s="4">
        <v>0</v>
      </c>
      <c r="Q488" s="3" t="s">
        <v>26</v>
      </c>
      <c r="R488" s="3">
        <v>0</v>
      </c>
      <c r="S488" s="3">
        <v>0</v>
      </c>
      <c r="T488" s="3">
        <v>21</v>
      </c>
      <c r="U488" s="3">
        <v>89</v>
      </c>
      <c r="V488" s="56">
        <f>IF(ISERROR(VLOOKUP($S$488,'TAR FIN'!$A$1:$O$113,15,0)),0,VLOOKUP($S$488,'TAR FIN'!$A$1:$O$113,15,0))</f>
        <v>0</v>
      </c>
      <c r="W488" s="56">
        <f>IF(ISERROR(VLOOKUP($T$488,'TAR FIN'!$A$1:$O$113,15,0)),0,VLOOKUP($T$488,'TAR FIN'!$A$1:$O$113,15,0))*(1-0.06)</f>
        <v>48.193800000000003</v>
      </c>
      <c r="X488" s="56">
        <f>IF(ISERROR(VLOOKUP($U$488,'TAR FIN'!$A$1:$O$113,15,0)),0,VLOOKUP($U$488,'TAR FIN'!$A$1:$O$113,15,0))*(1-0.06)</f>
        <v>208.97139999999999</v>
      </c>
      <c r="Y488" s="56"/>
      <c r="Z488" s="56">
        <f ca="1">('TUSD BE'!$AM$32+'TUSD BF'!$AM$32+'TUSD CVA'!$AM$32)*1*(1-0.03)</f>
        <v>63.057187337713181</v>
      </c>
      <c r="AA488" s="56">
        <f>('TE BE'!$AA$11+'TE BF'!$AA$11+'TE CVA'!$AA$11)*1*(1-0.03)</f>
        <v>216.45124957683362</v>
      </c>
      <c r="AB488" s="56">
        <f>(SUBSIDIO!$J$488*SUBSIDIO!$V$488)*(0.06)/(1-0.06)</f>
        <v>0</v>
      </c>
      <c r="AC488" s="56">
        <f>((SUBSIDIO!$L$488*SUBSIDIO!$W$488)+(SUBSIDIO!$N$488*SUBSIDIO!$X$488))*(0.06)/(1-0.06)</f>
        <v>61903.313197200005</v>
      </c>
      <c r="AD488" s="56">
        <f>(SUBSIDIO!$J$488*SUBSIDIO!$Y$488)*(0.03)/(1-0.03)</f>
        <v>0</v>
      </c>
      <c r="AE488" s="56">
        <f ca="1">((SUBSIDIO!$L$488*SUBSIDIO!$Z$488)+(SUBSIDIO!$N$488*SUBSIDIO!$AA$488))*(0.03)/(1-0.03)</f>
        <v>32600.385856680394</v>
      </c>
      <c r="AF488" s="3" t="s">
        <v>1025</v>
      </c>
    </row>
    <row r="489" spans="1:32" ht="11.25" customHeight="1" x14ac:dyDescent="0.25">
      <c r="A489" s="3" t="s">
        <v>21</v>
      </c>
      <c r="B489" s="3" t="s">
        <v>41</v>
      </c>
      <c r="C489" s="3" t="s">
        <v>42</v>
      </c>
      <c r="D489" s="3" t="s">
        <v>50</v>
      </c>
      <c r="E489" s="3" t="s">
        <v>51</v>
      </c>
      <c r="F489" s="3" t="s">
        <v>25</v>
      </c>
      <c r="G489" s="3" t="s">
        <v>25</v>
      </c>
      <c r="H489" s="3" t="s">
        <v>35</v>
      </c>
      <c r="I489" s="6">
        <v>44501</v>
      </c>
      <c r="J489" s="4">
        <v>0</v>
      </c>
      <c r="K489" s="56">
        <v>0</v>
      </c>
      <c r="L489" s="4">
        <v>3388.88</v>
      </c>
      <c r="M489" s="56">
        <v>3388.88</v>
      </c>
      <c r="N489" s="4">
        <v>3388.88</v>
      </c>
      <c r="O489" s="56">
        <v>3388.88</v>
      </c>
      <c r="P489" s="4">
        <v>0</v>
      </c>
      <c r="Q489" s="3" t="s">
        <v>26</v>
      </c>
      <c r="R489" s="3">
        <v>0</v>
      </c>
      <c r="S489" s="3">
        <v>0</v>
      </c>
      <c r="T489" s="3">
        <v>21</v>
      </c>
      <c r="U489" s="3">
        <v>89</v>
      </c>
      <c r="V489" s="56">
        <f>IF(ISERROR(VLOOKUP($S$489,'TAR FIN'!$A$1:$O$113,15,0)),0,VLOOKUP($S$489,'TAR FIN'!$A$1:$O$113,15,0))</f>
        <v>0</v>
      </c>
      <c r="W489" s="56">
        <f>IF(ISERROR(VLOOKUP($T$489,'TAR FIN'!$A$1:$O$113,15,0)),0,VLOOKUP($T$489,'TAR FIN'!$A$1:$O$113,15,0))*(1-0.06)</f>
        <v>48.193800000000003</v>
      </c>
      <c r="X489" s="56">
        <f>IF(ISERROR(VLOOKUP($U$489,'TAR FIN'!$A$1:$O$113,15,0)),0,VLOOKUP($U$489,'TAR FIN'!$A$1:$O$113,15,0))*(1-0.06)</f>
        <v>208.97139999999999</v>
      </c>
      <c r="Y489" s="56"/>
      <c r="Z489" s="56">
        <f ca="1">('TUSD BE'!$AM$32+'TUSD BF'!$AM$32+'TUSD CVA'!$AM$32)*1*(1-0.03)</f>
        <v>63.057187337713181</v>
      </c>
      <c r="AA489" s="56">
        <f>('TE BE'!$AA$11+'TE BF'!$AA$11+'TE CVA'!$AA$11)*1*(1-0.03)</f>
        <v>216.45124957683362</v>
      </c>
      <c r="AB489" s="56">
        <f>(SUBSIDIO!$J$489*SUBSIDIO!$V$489)*(0.06)/(1-0.06)</f>
        <v>0</v>
      </c>
      <c r="AC489" s="56">
        <f>((SUBSIDIO!$L$489*SUBSIDIO!$W$489)+(SUBSIDIO!$N$489*SUBSIDIO!$X$489))*(0.06)/(1-0.06)</f>
        <v>55627.787424000009</v>
      </c>
      <c r="AD489" s="56">
        <f>(SUBSIDIO!$J$489*SUBSIDIO!$Y$489)*(0.03)/(1-0.03)</f>
        <v>0</v>
      </c>
      <c r="AE489" s="56">
        <f ca="1">((SUBSIDIO!$L$489*SUBSIDIO!$Z$489)+(SUBSIDIO!$N$489*SUBSIDIO!$AA$489))*(0.03)/(1-0.03)</f>
        <v>29295.48098013307</v>
      </c>
      <c r="AF489" s="3" t="s">
        <v>1025</v>
      </c>
    </row>
    <row r="490" spans="1:32" ht="11.25" customHeight="1" x14ac:dyDescent="0.25">
      <c r="A490" s="3" t="s">
        <v>21</v>
      </c>
      <c r="B490" s="3" t="s">
        <v>41</v>
      </c>
      <c r="C490" s="3" t="s">
        <v>42</v>
      </c>
      <c r="D490" s="3" t="s">
        <v>50</v>
      </c>
      <c r="E490" s="3" t="s">
        <v>51</v>
      </c>
      <c r="F490" s="3" t="s">
        <v>25</v>
      </c>
      <c r="G490" s="3" t="s">
        <v>25</v>
      </c>
      <c r="H490" s="3" t="s">
        <v>35</v>
      </c>
      <c r="I490" s="6">
        <v>44531</v>
      </c>
      <c r="J490" s="4">
        <v>0</v>
      </c>
      <c r="K490" s="56">
        <v>0</v>
      </c>
      <c r="L490" s="4">
        <v>3739.8969999999999</v>
      </c>
      <c r="M490" s="56">
        <v>3739.8969999999999</v>
      </c>
      <c r="N490" s="4">
        <v>3739.8969999999999</v>
      </c>
      <c r="O490" s="56">
        <v>3739.8969999999999</v>
      </c>
      <c r="P490" s="4">
        <v>0</v>
      </c>
      <c r="Q490" s="3" t="s">
        <v>26</v>
      </c>
      <c r="R490" s="3">
        <v>0</v>
      </c>
      <c r="S490" s="3">
        <v>0</v>
      </c>
      <c r="T490" s="3">
        <v>21</v>
      </c>
      <c r="U490" s="3">
        <v>89</v>
      </c>
      <c r="V490" s="56">
        <f>IF(ISERROR(VLOOKUP($S$490,'TAR FIN'!$A$1:$O$113,15,0)),0,VLOOKUP($S$490,'TAR FIN'!$A$1:$O$113,15,0))</f>
        <v>0</v>
      </c>
      <c r="W490" s="56">
        <f>IF(ISERROR(VLOOKUP($T$490,'TAR FIN'!$A$1:$O$113,15,0)),0,VLOOKUP($T$490,'TAR FIN'!$A$1:$O$113,15,0))*(1-0.06)</f>
        <v>48.193800000000003</v>
      </c>
      <c r="X490" s="56">
        <f>IF(ISERROR(VLOOKUP($U$490,'TAR FIN'!$A$1:$O$113,15,0)),0,VLOOKUP($U$490,'TAR FIN'!$A$1:$O$113,15,0))*(1-0.06)</f>
        <v>208.97139999999999</v>
      </c>
      <c r="Y490" s="56"/>
      <c r="Z490" s="56">
        <f ca="1">('TUSD BE'!$AM$32+'TUSD BF'!$AM$32+'TUSD CVA'!$AM$32)*1*(1-0.03)</f>
        <v>63.057187337713181</v>
      </c>
      <c r="AA490" s="56">
        <f>('TE BE'!$AA$11+'TE BF'!$AA$11+'TE CVA'!$AA$11)*1*(1-0.03)</f>
        <v>216.45124957683362</v>
      </c>
      <c r="AB490" s="56">
        <f>(SUBSIDIO!$J$490*SUBSIDIO!$V$490)*(0.06)/(1-0.06)</f>
        <v>0</v>
      </c>
      <c r="AC490" s="56">
        <f>((SUBSIDIO!$L$490*SUBSIDIO!$W$490)+(SUBSIDIO!$N$490*SUBSIDIO!$X$490))*(0.06)/(1-0.06)</f>
        <v>61389.661275599996</v>
      </c>
      <c r="AD490" s="56">
        <f>(SUBSIDIO!$J$490*SUBSIDIO!$Y$490)*(0.03)/(1-0.03)</f>
        <v>0</v>
      </c>
      <c r="AE490" s="56">
        <f ca="1">((SUBSIDIO!$L$490*SUBSIDIO!$Z$490)+(SUBSIDIO!$N$490*SUBSIDIO!$AA$490))*(0.03)/(1-0.03)</f>
        <v>32329.879320352666</v>
      </c>
      <c r="AF490" s="3" t="s">
        <v>1025</v>
      </c>
    </row>
    <row r="491" spans="1:32" ht="11.25" customHeight="1" x14ac:dyDescent="0.25">
      <c r="A491" s="3" t="s">
        <v>21</v>
      </c>
      <c r="B491" s="3" t="s">
        <v>41</v>
      </c>
      <c r="C491" s="3" t="s">
        <v>42</v>
      </c>
      <c r="D491" s="3" t="s">
        <v>50</v>
      </c>
      <c r="E491" s="3" t="s">
        <v>51</v>
      </c>
      <c r="F491" s="3" t="s">
        <v>25</v>
      </c>
      <c r="G491" s="3" t="s">
        <v>25</v>
      </c>
      <c r="H491" s="3" t="s">
        <v>35</v>
      </c>
      <c r="I491" s="6">
        <v>44562</v>
      </c>
      <c r="J491" s="4">
        <v>0</v>
      </c>
      <c r="K491" s="56">
        <v>0</v>
      </c>
      <c r="L491" s="4">
        <v>3930.538</v>
      </c>
      <c r="M491" s="56">
        <v>3930.538</v>
      </c>
      <c r="N491" s="4">
        <v>3930.538</v>
      </c>
      <c r="O491" s="56">
        <v>3930.538</v>
      </c>
      <c r="P491" s="4">
        <v>0</v>
      </c>
      <c r="Q491" s="3" t="s">
        <v>26</v>
      </c>
      <c r="R491" s="3">
        <v>0</v>
      </c>
      <c r="S491" s="3">
        <v>0</v>
      </c>
      <c r="T491" s="3">
        <v>21</v>
      </c>
      <c r="U491" s="3">
        <v>89</v>
      </c>
      <c r="V491" s="56">
        <f>IF(ISERROR(VLOOKUP($S$491,'TAR FIN'!$A$1:$O$113,15,0)),0,VLOOKUP($S$491,'TAR FIN'!$A$1:$O$113,15,0))</f>
        <v>0</v>
      </c>
      <c r="W491" s="56">
        <f>IF(ISERROR(VLOOKUP($T$491,'TAR FIN'!$A$1:$O$113,15,0)),0,VLOOKUP($T$491,'TAR FIN'!$A$1:$O$113,15,0))*(1-0.06)</f>
        <v>48.193800000000003</v>
      </c>
      <c r="X491" s="56">
        <f>IF(ISERROR(VLOOKUP($U$491,'TAR FIN'!$A$1:$O$113,15,0)),0,VLOOKUP($U$491,'TAR FIN'!$A$1:$O$113,15,0))*(1-0.06)</f>
        <v>208.97139999999999</v>
      </c>
      <c r="Y491" s="56"/>
      <c r="Z491" s="56">
        <f ca="1">('TUSD BE'!$AM$32+'TUSD BF'!$AM$32+'TUSD CVA'!$AM$32)*1*(1-0.03)</f>
        <v>63.057187337713181</v>
      </c>
      <c r="AA491" s="56">
        <f>('TE BE'!$AA$11+'TE BF'!$AA$11+'TE CVA'!$AA$11)*1*(1-0.03)</f>
        <v>216.45124957683362</v>
      </c>
      <c r="AB491" s="56">
        <f>(SUBSIDIO!$J$491*SUBSIDIO!$V$491)*(0.06)/(1-0.06)</f>
        <v>0</v>
      </c>
      <c r="AC491" s="56">
        <f>((SUBSIDIO!$L$491*SUBSIDIO!$W$491)+(SUBSIDIO!$N$491*SUBSIDIO!$X$491))*(0.06)/(1-0.06)</f>
        <v>64518.995162400002</v>
      </c>
      <c r="AD491" s="56">
        <f>(SUBSIDIO!$J$491*SUBSIDIO!$Y$491)*(0.03)/(1-0.03)</f>
        <v>0</v>
      </c>
      <c r="AE491" s="56">
        <f ca="1">((SUBSIDIO!$L$491*SUBSIDIO!$Z$491)+(SUBSIDIO!$N$491*SUBSIDIO!$AA$491))*(0.03)/(1-0.03)</f>
        <v>33977.892761233888</v>
      </c>
      <c r="AF491" s="3" t="s">
        <v>1025</v>
      </c>
    </row>
    <row r="492" spans="1:32" ht="11.25" customHeight="1" x14ac:dyDescent="0.25">
      <c r="A492" s="3" t="s">
        <v>21</v>
      </c>
      <c r="B492" s="3" t="s">
        <v>41</v>
      </c>
      <c r="C492" s="3" t="s">
        <v>42</v>
      </c>
      <c r="D492" s="3" t="s">
        <v>50</v>
      </c>
      <c r="E492" s="3" t="s">
        <v>51</v>
      </c>
      <c r="F492" s="3" t="s">
        <v>25</v>
      </c>
      <c r="G492" s="3" t="s">
        <v>25</v>
      </c>
      <c r="H492" s="3" t="s">
        <v>35</v>
      </c>
      <c r="I492" s="6">
        <v>44593</v>
      </c>
      <c r="J492" s="4">
        <v>0</v>
      </c>
      <c r="K492" s="56">
        <v>0</v>
      </c>
      <c r="L492" s="4">
        <v>3564.7330000000002</v>
      </c>
      <c r="M492" s="56">
        <v>3564.7330000000002</v>
      </c>
      <c r="N492" s="4">
        <v>3564.7330000000002</v>
      </c>
      <c r="O492" s="56">
        <v>3564.7330000000002</v>
      </c>
      <c r="P492" s="4">
        <v>0</v>
      </c>
      <c r="Q492" s="3" t="s">
        <v>26</v>
      </c>
      <c r="R492" s="3">
        <v>0</v>
      </c>
      <c r="S492" s="3">
        <v>0</v>
      </c>
      <c r="T492" s="3">
        <v>21</v>
      </c>
      <c r="U492" s="3">
        <v>89</v>
      </c>
      <c r="V492" s="56">
        <f>IF(ISERROR(VLOOKUP($S$492,'TAR FIN'!$A$1:$O$113,15,0)),0,VLOOKUP($S$492,'TAR FIN'!$A$1:$O$113,15,0))</f>
        <v>0</v>
      </c>
      <c r="W492" s="56">
        <f>IF(ISERROR(VLOOKUP($T$492,'TAR FIN'!$A$1:$O$113,15,0)),0,VLOOKUP($T$492,'TAR FIN'!$A$1:$O$113,15,0))*(1-0.06)</f>
        <v>48.193800000000003</v>
      </c>
      <c r="X492" s="56">
        <f>IF(ISERROR(VLOOKUP($U$492,'TAR FIN'!$A$1:$O$113,15,0)),0,VLOOKUP($U$492,'TAR FIN'!$A$1:$O$113,15,0))*(1-0.06)</f>
        <v>208.97139999999999</v>
      </c>
      <c r="Y492" s="56"/>
      <c r="Z492" s="56">
        <f ca="1">('TUSD BE'!$AM$32+'TUSD BF'!$AM$32+'TUSD CVA'!$AM$32)*1*(1-0.03)</f>
        <v>63.057187337713181</v>
      </c>
      <c r="AA492" s="56">
        <f>('TE BE'!$AA$11+'TE BF'!$AA$11+'TE CVA'!$AA$11)*1*(1-0.03)</f>
        <v>216.45124957683362</v>
      </c>
      <c r="AB492" s="56">
        <f>(SUBSIDIO!$J$492*SUBSIDIO!$V$492)*(0.06)/(1-0.06)</f>
        <v>0</v>
      </c>
      <c r="AC492" s="56">
        <f>((SUBSIDIO!$L$492*SUBSIDIO!$W$492)+(SUBSIDIO!$N$492*SUBSIDIO!$X$492))*(0.06)/(1-0.06)</f>
        <v>58514.379248400001</v>
      </c>
      <c r="AD492" s="56">
        <f>(SUBSIDIO!$J$492*SUBSIDIO!$Y$492)*(0.03)/(1-0.03)</f>
        <v>0</v>
      </c>
      <c r="AE492" s="56">
        <f ca="1">((SUBSIDIO!$L$492*SUBSIDIO!$Z$492)+(SUBSIDIO!$N$492*SUBSIDIO!$AA$492))*(0.03)/(1-0.03)</f>
        <v>30815.658211784634</v>
      </c>
      <c r="AF492" s="3" t="s">
        <v>1025</v>
      </c>
    </row>
    <row r="493" spans="1:32" ht="11.25" customHeight="1" x14ac:dyDescent="0.25">
      <c r="A493" s="3" t="s">
        <v>56</v>
      </c>
      <c r="B493" s="3" t="s">
        <v>41</v>
      </c>
      <c r="C493" s="3" t="s">
        <v>42</v>
      </c>
      <c r="D493" s="3" t="s">
        <v>50</v>
      </c>
      <c r="E493" s="3" t="s">
        <v>51</v>
      </c>
      <c r="F493" s="3" t="s">
        <v>25</v>
      </c>
      <c r="G493" s="3" t="s">
        <v>25</v>
      </c>
      <c r="H493" s="3" t="s">
        <v>35</v>
      </c>
      <c r="I493" s="6">
        <v>44621</v>
      </c>
      <c r="J493" s="4">
        <v>0</v>
      </c>
      <c r="K493" s="56">
        <v>0</v>
      </c>
      <c r="L493" s="4">
        <v>3564.7330000000002</v>
      </c>
      <c r="M493" s="56">
        <v>3564.7330000000002</v>
      </c>
      <c r="N493" s="4">
        <v>3564.7330000000002</v>
      </c>
      <c r="O493" s="56">
        <v>3564.7330000000002</v>
      </c>
      <c r="P493" s="4">
        <v>0</v>
      </c>
      <c r="Q493" s="3" t="s">
        <v>26</v>
      </c>
      <c r="R493" s="3">
        <v>0</v>
      </c>
      <c r="S493" s="3">
        <v>0</v>
      </c>
      <c r="T493" s="3">
        <v>21</v>
      </c>
      <c r="U493" s="3">
        <v>89</v>
      </c>
      <c r="V493" s="56">
        <f>IF(ISERROR(VLOOKUP($S$493,'TAR FIN'!$A$1:$O$113,15,0)),0,VLOOKUP($S$493,'TAR FIN'!$A$1:$O$113,15,0))</f>
        <v>0</v>
      </c>
      <c r="W493" s="56">
        <f>IF(ISERROR(VLOOKUP($T$493,'TAR FIN'!$A$1:$O$113,15,0)),0,VLOOKUP($T$493,'TAR FIN'!$A$1:$O$113,15,0))*(1-0.06)</f>
        <v>48.193800000000003</v>
      </c>
      <c r="X493" s="56">
        <f>IF(ISERROR(VLOOKUP($U$493,'TAR FIN'!$A$1:$O$113,15,0)),0,VLOOKUP($U$493,'TAR FIN'!$A$1:$O$113,15,0))*(1-0.06)</f>
        <v>208.97139999999999</v>
      </c>
      <c r="Y493" s="56"/>
      <c r="Z493" s="56">
        <f ca="1">('TUSD BE'!$AM$32+'TUSD BF'!$AM$32+'TUSD CVA'!$AM$32)*1*(1-0.03)</f>
        <v>63.057187337713181</v>
      </c>
      <c r="AA493" s="56">
        <f>('TE BE'!$AA$11+'TE BF'!$AA$11+'TE CVA'!$AA$11)*1*(1-0.03)</f>
        <v>216.45124957683362</v>
      </c>
      <c r="AB493" s="56">
        <f>(SUBSIDIO!$J$493*SUBSIDIO!$V$493)*(0.06)/(1-0.06)</f>
        <v>0</v>
      </c>
      <c r="AC493" s="56">
        <f>((SUBSIDIO!$L$493*SUBSIDIO!$W$493)+(SUBSIDIO!$N$493*SUBSIDIO!$X$493))*(0.06)/(1-0.06)</f>
        <v>58514.379248400001</v>
      </c>
      <c r="AD493" s="56">
        <f>(SUBSIDIO!$J$493*SUBSIDIO!$Y$493)*(0.03)/(1-0.03)</f>
        <v>0</v>
      </c>
      <c r="AE493" s="56">
        <f ca="1">((SUBSIDIO!$L$493*SUBSIDIO!$Z$493)+(SUBSIDIO!$N$493*SUBSIDIO!$AA$493))*(0.03)/(1-0.03)</f>
        <v>30815.658211784634</v>
      </c>
      <c r="AF493" s="3" t="s">
        <v>1025</v>
      </c>
    </row>
    <row r="494" spans="1:32" ht="11.25" customHeight="1" x14ac:dyDescent="0.25">
      <c r="A494" s="3" t="s">
        <v>21</v>
      </c>
      <c r="B494" s="3" t="s">
        <v>41</v>
      </c>
      <c r="C494" s="3" t="s">
        <v>42</v>
      </c>
      <c r="D494" s="3" t="s">
        <v>50</v>
      </c>
      <c r="E494" s="3" t="s">
        <v>51</v>
      </c>
      <c r="F494" s="3" t="s">
        <v>25</v>
      </c>
      <c r="G494" s="3" t="s">
        <v>25</v>
      </c>
      <c r="H494" s="3" t="s">
        <v>25</v>
      </c>
      <c r="I494" s="6">
        <v>44287</v>
      </c>
      <c r="J494" s="4">
        <v>14195</v>
      </c>
      <c r="K494" s="57">
        <v>14195</v>
      </c>
      <c r="L494" s="4">
        <v>0</v>
      </c>
      <c r="M494" s="56">
        <v>0</v>
      </c>
      <c r="N494" s="4">
        <v>0</v>
      </c>
      <c r="O494" s="56">
        <v>0</v>
      </c>
      <c r="P494" s="4">
        <v>58</v>
      </c>
      <c r="Q494" s="3" t="s">
        <v>26</v>
      </c>
      <c r="R494" s="3">
        <v>0</v>
      </c>
      <c r="S494" s="3">
        <v>44</v>
      </c>
      <c r="T494" s="3">
        <v>0</v>
      </c>
      <c r="U494" s="3">
        <v>0</v>
      </c>
      <c r="V494" s="56">
        <f>IF(ISERROR(VLOOKUP($S$494,'TAR FIN'!$A$1:$O$113,15,0)),0,VLOOKUP($S$494,'TAR FIN'!$A$1:$O$113,15,0))*(1-0.06)</f>
        <v>22.851399999999998</v>
      </c>
      <c r="W494" s="56">
        <f>IF(ISERROR(VLOOKUP($T$494,'TAR FIN'!$A$1:$O$113,15,0)),0,VLOOKUP($T$494,'TAR FIN'!$A$1:$O$113,15,0))</f>
        <v>0</v>
      </c>
      <c r="X494" s="56">
        <f>IF(ISERROR(VLOOKUP($U$494,'TAR FIN'!$A$1:$O$113,15,0)),0,VLOOKUP($U$494,'TAR FIN'!$A$1:$O$113,15,0))</f>
        <v>0</v>
      </c>
      <c r="Y494" s="56">
        <f ca="1">('TUSD BE'!$AM$30+'TUSD BF'!$AM$30+'TUSD CVA'!$AM$30)*1*(1-0.03)</f>
        <v>25.800132407241311</v>
      </c>
      <c r="Z494" s="56"/>
      <c r="AA494" s="56"/>
      <c r="AB494" s="56">
        <f>(SUBSIDIO!$J$494*SUBSIDIO!$V$494)*(0.06)/(1-0.06)</f>
        <v>20704.826999999997</v>
      </c>
      <c r="AC494" s="56">
        <f>((SUBSIDIO!$L$494*SUBSIDIO!$W$494)+(SUBSIDIO!$N$494*SUBSIDIO!$X$494))*(0.06)/(1-0.06)</f>
        <v>0</v>
      </c>
      <c r="AD494" s="56">
        <f ca="1">(SUBSIDIO!$J$494*SUBSIDIO!$Y$494)*(0.03)/(1-0.03)</f>
        <v>11326.790088271868</v>
      </c>
      <c r="AE494" s="56">
        <f>((SUBSIDIO!$L$494*SUBSIDIO!$Z$494)+(SUBSIDIO!$N$494*SUBSIDIO!$AA$494))*(0.03)/(1-0.03)</f>
        <v>0</v>
      </c>
      <c r="AF494" s="3" t="s">
        <v>1025</v>
      </c>
    </row>
    <row r="495" spans="1:32" ht="11.25" customHeight="1" x14ac:dyDescent="0.25">
      <c r="A495" s="3" t="s">
        <v>21</v>
      </c>
      <c r="B495" s="3" t="s">
        <v>41</v>
      </c>
      <c r="C495" s="3" t="s">
        <v>42</v>
      </c>
      <c r="D495" s="3" t="s">
        <v>50</v>
      </c>
      <c r="E495" s="3" t="s">
        <v>51</v>
      </c>
      <c r="F495" s="3" t="s">
        <v>25</v>
      </c>
      <c r="G495" s="3" t="s">
        <v>25</v>
      </c>
      <c r="H495" s="3" t="s">
        <v>25</v>
      </c>
      <c r="I495" s="6">
        <v>44317</v>
      </c>
      <c r="J495" s="4">
        <v>14252</v>
      </c>
      <c r="K495" s="57">
        <v>14252</v>
      </c>
      <c r="L495" s="4">
        <v>0</v>
      </c>
      <c r="M495" s="56">
        <v>0</v>
      </c>
      <c r="N495" s="4">
        <v>0</v>
      </c>
      <c r="O495" s="56">
        <v>0</v>
      </c>
      <c r="P495" s="4">
        <v>58</v>
      </c>
      <c r="Q495" s="3" t="s">
        <v>26</v>
      </c>
      <c r="R495" s="3">
        <v>0</v>
      </c>
      <c r="S495" s="3">
        <v>44</v>
      </c>
      <c r="T495" s="3">
        <v>0</v>
      </c>
      <c r="U495" s="3">
        <v>0</v>
      </c>
      <c r="V495" s="56">
        <f>IF(ISERROR(VLOOKUP($S$495,'TAR FIN'!$A$1:$O$113,15,0)),0,VLOOKUP($S$495,'TAR FIN'!$A$1:$O$113,15,0))*(1-0.06)</f>
        <v>22.851399999999998</v>
      </c>
      <c r="W495" s="56">
        <f>IF(ISERROR(VLOOKUP($T$495,'TAR FIN'!$A$1:$O$113,15,0)),0,VLOOKUP($T$495,'TAR FIN'!$A$1:$O$113,15,0))</f>
        <v>0</v>
      </c>
      <c r="X495" s="56">
        <f>IF(ISERROR(VLOOKUP($U$495,'TAR FIN'!$A$1:$O$113,15,0)),0,VLOOKUP($U$495,'TAR FIN'!$A$1:$O$113,15,0))</f>
        <v>0</v>
      </c>
      <c r="Y495" s="56">
        <f ca="1">('TUSD BE'!$AM$30+'TUSD BF'!$AM$30+'TUSD CVA'!$AM$30)*1*(1-0.03)</f>
        <v>25.800132407241311</v>
      </c>
      <c r="Z495" s="56"/>
      <c r="AA495" s="56"/>
      <c r="AB495" s="56">
        <f>(SUBSIDIO!$J$495*SUBSIDIO!$V$495)*(0.06)/(1-0.06)</f>
        <v>20787.967199999999</v>
      </c>
      <c r="AC495" s="56">
        <f>((SUBSIDIO!$L$495*SUBSIDIO!$W$495)+(SUBSIDIO!$N$495*SUBSIDIO!$X$495))*(0.06)/(1-0.06)</f>
        <v>0</v>
      </c>
      <c r="AD495" s="56">
        <f ca="1">(SUBSIDIO!$J$495*SUBSIDIO!$Y$495)*(0.03)/(1-0.03)</f>
        <v>11372.272795917625</v>
      </c>
      <c r="AE495" s="56">
        <f>((SUBSIDIO!$L$495*SUBSIDIO!$Z$495)+(SUBSIDIO!$N$495*SUBSIDIO!$AA$495))*(0.03)/(1-0.03)</f>
        <v>0</v>
      </c>
      <c r="AF495" s="3" t="s">
        <v>1025</v>
      </c>
    </row>
    <row r="496" spans="1:32" ht="11.25" customHeight="1" x14ac:dyDescent="0.25">
      <c r="A496" s="3" t="s">
        <v>21</v>
      </c>
      <c r="B496" s="3" t="s">
        <v>41</v>
      </c>
      <c r="C496" s="3" t="s">
        <v>42</v>
      </c>
      <c r="D496" s="3" t="s">
        <v>50</v>
      </c>
      <c r="E496" s="3" t="s">
        <v>51</v>
      </c>
      <c r="F496" s="3" t="s">
        <v>25</v>
      </c>
      <c r="G496" s="3" t="s">
        <v>25</v>
      </c>
      <c r="H496" s="3" t="s">
        <v>25</v>
      </c>
      <c r="I496" s="6">
        <v>44348</v>
      </c>
      <c r="J496" s="4">
        <v>9983</v>
      </c>
      <c r="K496" s="57">
        <v>9983</v>
      </c>
      <c r="L496" s="4">
        <v>0</v>
      </c>
      <c r="M496" s="56">
        <v>0</v>
      </c>
      <c r="N496" s="4">
        <v>0</v>
      </c>
      <c r="O496" s="56">
        <v>0</v>
      </c>
      <c r="P496" s="4">
        <v>53</v>
      </c>
      <c r="Q496" s="3" t="s">
        <v>26</v>
      </c>
      <c r="R496" s="3">
        <v>0</v>
      </c>
      <c r="S496" s="3">
        <v>44</v>
      </c>
      <c r="T496" s="3">
        <v>0</v>
      </c>
      <c r="U496" s="3">
        <v>0</v>
      </c>
      <c r="V496" s="56">
        <f>IF(ISERROR(VLOOKUP($S$496,'TAR FIN'!$A$1:$O$113,15,0)),0,VLOOKUP($S$496,'TAR FIN'!$A$1:$O$113,15,0))*(1-0.06)</f>
        <v>22.851399999999998</v>
      </c>
      <c r="W496" s="56">
        <f>IF(ISERROR(VLOOKUP($T$496,'TAR FIN'!$A$1:$O$113,15,0)),0,VLOOKUP($T$496,'TAR FIN'!$A$1:$O$113,15,0))</f>
        <v>0</v>
      </c>
      <c r="X496" s="56">
        <f>IF(ISERROR(VLOOKUP($U$496,'TAR FIN'!$A$1:$O$113,15,0)),0,VLOOKUP($U$496,'TAR FIN'!$A$1:$O$113,15,0))</f>
        <v>0</v>
      </c>
      <c r="Y496" s="56">
        <f ca="1">('TUSD BE'!$AM$30+'TUSD BF'!$AM$30+'TUSD CVA'!$AM$30)*1*(1-0.03)</f>
        <v>25.800132407241311</v>
      </c>
      <c r="Z496" s="56"/>
      <c r="AA496" s="56"/>
      <c r="AB496" s="56">
        <f>(SUBSIDIO!$J$496*SUBSIDIO!$V$496)*(0.06)/(1-0.06)</f>
        <v>14561.203800000001</v>
      </c>
      <c r="AC496" s="56">
        <f>((SUBSIDIO!$L$496*SUBSIDIO!$W$496)+(SUBSIDIO!$N$496*SUBSIDIO!$X$496))*(0.06)/(1-0.06)</f>
        <v>0</v>
      </c>
      <c r="AD496" s="56">
        <f ca="1">(SUBSIDIO!$J$496*SUBSIDIO!$Y$496)*(0.03)/(1-0.03)</f>
        <v>7965.8573759223709</v>
      </c>
      <c r="AE496" s="56">
        <f>((SUBSIDIO!$L$496*SUBSIDIO!$Z$496)+(SUBSIDIO!$N$496*SUBSIDIO!$AA$496))*(0.03)/(1-0.03)</f>
        <v>0</v>
      </c>
      <c r="AF496" s="3" t="s">
        <v>1025</v>
      </c>
    </row>
    <row r="497" spans="1:32" ht="11.25" customHeight="1" x14ac:dyDescent="0.25">
      <c r="A497" s="3" t="s">
        <v>21</v>
      </c>
      <c r="B497" s="3" t="s">
        <v>41</v>
      </c>
      <c r="C497" s="3" t="s">
        <v>42</v>
      </c>
      <c r="D497" s="3" t="s">
        <v>50</v>
      </c>
      <c r="E497" s="3" t="s">
        <v>51</v>
      </c>
      <c r="F497" s="3" t="s">
        <v>25</v>
      </c>
      <c r="G497" s="3" t="s">
        <v>25</v>
      </c>
      <c r="H497" s="3" t="s">
        <v>25</v>
      </c>
      <c r="I497" s="6">
        <v>44378</v>
      </c>
      <c r="J497" s="4">
        <v>9891</v>
      </c>
      <c r="K497" s="57">
        <v>9891</v>
      </c>
      <c r="L497" s="4">
        <v>0</v>
      </c>
      <c r="M497" s="56">
        <v>0</v>
      </c>
      <c r="N497" s="4">
        <v>0</v>
      </c>
      <c r="O497" s="56">
        <v>0</v>
      </c>
      <c r="P497" s="4">
        <v>51</v>
      </c>
      <c r="Q497" s="3" t="s">
        <v>26</v>
      </c>
      <c r="R497" s="3">
        <v>0</v>
      </c>
      <c r="S497" s="3">
        <v>44</v>
      </c>
      <c r="T497" s="3">
        <v>0</v>
      </c>
      <c r="U497" s="3">
        <v>0</v>
      </c>
      <c r="V497" s="56">
        <f>IF(ISERROR(VLOOKUP($S$497,'TAR FIN'!$A$1:$O$113,15,0)),0,VLOOKUP($S$497,'TAR FIN'!$A$1:$O$113,15,0))*(1-0.06)</f>
        <v>22.851399999999998</v>
      </c>
      <c r="W497" s="56">
        <f>IF(ISERROR(VLOOKUP($T$497,'TAR FIN'!$A$1:$O$113,15,0)),0,VLOOKUP($T$497,'TAR FIN'!$A$1:$O$113,15,0))</f>
        <v>0</v>
      </c>
      <c r="X497" s="56">
        <f>IF(ISERROR(VLOOKUP($U$497,'TAR FIN'!$A$1:$O$113,15,0)),0,VLOOKUP($U$497,'TAR FIN'!$A$1:$O$113,15,0))</f>
        <v>0</v>
      </c>
      <c r="Y497" s="56">
        <f ca="1">('TUSD BE'!$AM$30+'TUSD BF'!$AM$30+'TUSD CVA'!$AM$30)*1*(1-0.03)</f>
        <v>25.800132407241311</v>
      </c>
      <c r="Z497" s="56"/>
      <c r="AA497" s="56"/>
      <c r="AB497" s="56">
        <f>(SUBSIDIO!$J$497*SUBSIDIO!$V$497)*(0.06)/(1-0.06)</f>
        <v>14427.012599999998</v>
      </c>
      <c r="AC497" s="56">
        <f>((SUBSIDIO!$L$497*SUBSIDIO!$W$497)+(SUBSIDIO!$N$497*SUBSIDIO!$X$497))*(0.06)/(1-0.06)</f>
        <v>0</v>
      </c>
      <c r="AD497" s="56">
        <f ca="1">(SUBSIDIO!$J$497*SUBSIDIO!$Y$497)*(0.03)/(1-0.03)</f>
        <v>7892.4466898976434</v>
      </c>
      <c r="AE497" s="56">
        <f>((SUBSIDIO!$L$497*SUBSIDIO!$Z$497)+(SUBSIDIO!$N$497*SUBSIDIO!$AA$497))*(0.03)/(1-0.03)</f>
        <v>0</v>
      </c>
      <c r="AF497" s="3" t="s">
        <v>1025</v>
      </c>
    </row>
    <row r="498" spans="1:32" ht="11.25" customHeight="1" x14ac:dyDescent="0.25">
      <c r="A498" s="3" t="s">
        <v>21</v>
      </c>
      <c r="B498" s="3" t="s">
        <v>41</v>
      </c>
      <c r="C498" s="3" t="s">
        <v>42</v>
      </c>
      <c r="D498" s="3" t="s">
        <v>50</v>
      </c>
      <c r="E498" s="3" t="s">
        <v>51</v>
      </c>
      <c r="F498" s="3" t="s">
        <v>25</v>
      </c>
      <c r="G498" s="3" t="s">
        <v>25</v>
      </c>
      <c r="H498" s="3" t="s">
        <v>25</v>
      </c>
      <c r="I498" s="6">
        <v>44409</v>
      </c>
      <c r="J498" s="4">
        <v>8790</v>
      </c>
      <c r="K498" s="57">
        <v>8790</v>
      </c>
      <c r="L498" s="4">
        <v>0</v>
      </c>
      <c r="M498" s="56">
        <v>0</v>
      </c>
      <c r="N498" s="4">
        <v>0</v>
      </c>
      <c r="O498" s="56">
        <v>0</v>
      </c>
      <c r="P498" s="4">
        <v>50</v>
      </c>
      <c r="Q498" s="3" t="s">
        <v>26</v>
      </c>
      <c r="R498" s="3">
        <v>0</v>
      </c>
      <c r="S498" s="3">
        <v>44</v>
      </c>
      <c r="T498" s="3">
        <v>0</v>
      </c>
      <c r="U498" s="3">
        <v>0</v>
      </c>
      <c r="V498" s="56">
        <f>IF(ISERROR(VLOOKUP($S$498,'TAR FIN'!$A$1:$O$113,15,0)),0,VLOOKUP($S$498,'TAR FIN'!$A$1:$O$113,15,0))*(1-0.06)</f>
        <v>22.851399999999998</v>
      </c>
      <c r="W498" s="56">
        <f>IF(ISERROR(VLOOKUP($T$498,'TAR FIN'!$A$1:$O$113,15,0)),0,VLOOKUP($T$498,'TAR FIN'!$A$1:$O$113,15,0))</f>
        <v>0</v>
      </c>
      <c r="X498" s="56">
        <f>IF(ISERROR(VLOOKUP($U$498,'TAR FIN'!$A$1:$O$113,15,0)),0,VLOOKUP($U$498,'TAR FIN'!$A$1:$O$113,15,0))</f>
        <v>0</v>
      </c>
      <c r="Y498" s="56">
        <f ca="1">('TUSD BE'!$AM$30+'TUSD BF'!$AM$30+'TUSD CVA'!$AM$30)*1*(1-0.03)</f>
        <v>25.800132407241311</v>
      </c>
      <c r="Z498" s="56"/>
      <c r="AA498" s="56"/>
      <c r="AB498" s="56">
        <f>(SUBSIDIO!$J$498*SUBSIDIO!$V$498)*(0.06)/(1-0.06)</f>
        <v>12821.093999999999</v>
      </c>
      <c r="AC498" s="56">
        <f>((SUBSIDIO!$L$498*SUBSIDIO!$W$498)+(SUBSIDIO!$N$498*SUBSIDIO!$X$498))*(0.06)/(1-0.06)</f>
        <v>0</v>
      </c>
      <c r="AD498" s="56">
        <f ca="1">(SUBSIDIO!$J$498*SUBSIDIO!$Y$498)*(0.03)/(1-0.03)</f>
        <v>7013.9122843191071</v>
      </c>
      <c r="AE498" s="56">
        <f>((SUBSIDIO!$L$498*SUBSIDIO!$Z$498)+(SUBSIDIO!$N$498*SUBSIDIO!$AA$498))*(0.03)/(1-0.03)</f>
        <v>0</v>
      </c>
      <c r="AF498" s="3" t="s">
        <v>1025</v>
      </c>
    </row>
    <row r="499" spans="1:32" ht="11.25" customHeight="1" x14ac:dyDescent="0.25">
      <c r="A499" s="3" t="s">
        <v>21</v>
      </c>
      <c r="B499" s="3" t="s">
        <v>41</v>
      </c>
      <c r="C499" s="3" t="s">
        <v>42</v>
      </c>
      <c r="D499" s="3" t="s">
        <v>50</v>
      </c>
      <c r="E499" s="3" t="s">
        <v>51</v>
      </c>
      <c r="F499" s="3" t="s">
        <v>25</v>
      </c>
      <c r="G499" s="3" t="s">
        <v>25</v>
      </c>
      <c r="H499" s="3" t="s">
        <v>25</v>
      </c>
      <c r="I499" s="6">
        <v>44440</v>
      </c>
      <c r="J499" s="4">
        <v>8837</v>
      </c>
      <c r="K499" s="57">
        <v>8837</v>
      </c>
      <c r="L499" s="4">
        <v>0</v>
      </c>
      <c r="M499" s="56">
        <v>0</v>
      </c>
      <c r="N499" s="4">
        <v>0</v>
      </c>
      <c r="O499" s="56">
        <v>0</v>
      </c>
      <c r="P499" s="4">
        <v>50</v>
      </c>
      <c r="Q499" s="3" t="s">
        <v>26</v>
      </c>
      <c r="R499" s="3">
        <v>0</v>
      </c>
      <c r="S499" s="3">
        <v>44</v>
      </c>
      <c r="T499" s="3">
        <v>0</v>
      </c>
      <c r="U499" s="3">
        <v>0</v>
      </c>
      <c r="V499" s="56">
        <f>IF(ISERROR(VLOOKUP($S$499,'TAR FIN'!$A$1:$O$113,15,0)),0,VLOOKUP($S$499,'TAR FIN'!$A$1:$O$113,15,0))*(1-0.06)</f>
        <v>22.851399999999998</v>
      </c>
      <c r="W499" s="56">
        <f>IF(ISERROR(VLOOKUP($T$499,'TAR FIN'!$A$1:$O$113,15,0)),0,VLOOKUP($T$499,'TAR FIN'!$A$1:$O$113,15,0))</f>
        <v>0</v>
      </c>
      <c r="X499" s="56">
        <f>IF(ISERROR(VLOOKUP($U$499,'TAR FIN'!$A$1:$O$113,15,0)),0,VLOOKUP($U$499,'TAR FIN'!$A$1:$O$113,15,0))</f>
        <v>0</v>
      </c>
      <c r="Y499" s="56">
        <f ca="1">('TUSD BE'!$AM$30+'TUSD BF'!$AM$30+'TUSD CVA'!$AM$30)*1*(1-0.03)</f>
        <v>25.800132407241311</v>
      </c>
      <c r="Z499" s="56"/>
      <c r="AA499" s="56"/>
      <c r="AB499" s="56">
        <f>(SUBSIDIO!$J$499*SUBSIDIO!$V$499)*(0.06)/(1-0.06)</f>
        <v>12889.6482</v>
      </c>
      <c r="AC499" s="56">
        <f>((SUBSIDIO!$L$499*SUBSIDIO!$W$499)+(SUBSIDIO!$N$499*SUBSIDIO!$X$499))*(0.06)/(1-0.06)</f>
        <v>0</v>
      </c>
      <c r="AD499" s="56">
        <f ca="1">(SUBSIDIO!$J$499*SUBSIDIO!$Y$499)*(0.03)/(1-0.03)</f>
        <v>7051.4155695708696</v>
      </c>
      <c r="AE499" s="56">
        <f>((SUBSIDIO!$L$499*SUBSIDIO!$Z$499)+(SUBSIDIO!$N$499*SUBSIDIO!$AA$499))*(0.03)/(1-0.03)</f>
        <v>0</v>
      </c>
      <c r="AF499" s="3" t="s">
        <v>1025</v>
      </c>
    </row>
    <row r="500" spans="1:32" ht="11.25" customHeight="1" x14ac:dyDescent="0.25">
      <c r="A500" s="3" t="s">
        <v>21</v>
      </c>
      <c r="B500" s="3" t="s">
        <v>41</v>
      </c>
      <c r="C500" s="3" t="s">
        <v>42</v>
      </c>
      <c r="D500" s="3" t="s">
        <v>50</v>
      </c>
      <c r="E500" s="3" t="s">
        <v>51</v>
      </c>
      <c r="F500" s="3" t="s">
        <v>25</v>
      </c>
      <c r="G500" s="3" t="s">
        <v>25</v>
      </c>
      <c r="H500" s="3" t="s">
        <v>25</v>
      </c>
      <c r="I500" s="6">
        <v>44470</v>
      </c>
      <c r="J500" s="4">
        <v>8702</v>
      </c>
      <c r="K500" s="57">
        <v>8702</v>
      </c>
      <c r="L500" s="4">
        <v>0</v>
      </c>
      <c r="M500" s="56">
        <v>0</v>
      </c>
      <c r="N500" s="4">
        <v>0</v>
      </c>
      <c r="O500" s="56">
        <v>0</v>
      </c>
      <c r="P500" s="4">
        <v>50</v>
      </c>
      <c r="Q500" s="3" t="s">
        <v>26</v>
      </c>
      <c r="R500" s="3">
        <v>0</v>
      </c>
      <c r="S500" s="3">
        <v>44</v>
      </c>
      <c r="T500" s="3">
        <v>0</v>
      </c>
      <c r="U500" s="3">
        <v>0</v>
      </c>
      <c r="V500" s="56">
        <f>IF(ISERROR(VLOOKUP($S$500,'TAR FIN'!$A$1:$O$113,15,0)),0,VLOOKUP($S$500,'TAR FIN'!$A$1:$O$113,15,0))*(1-0.06)</f>
        <v>22.851399999999998</v>
      </c>
      <c r="W500" s="56">
        <f>IF(ISERROR(VLOOKUP($T$500,'TAR FIN'!$A$1:$O$113,15,0)),0,VLOOKUP($T$500,'TAR FIN'!$A$1:$O$113,15,0))</f>
        <v>0</v>
      </c>
      <c r="X500" s="56">
        <f>IF(ISERROR(VLOOKUP($U$500,'TAR FIN'!$A$1:$O$113,15,0)),0,VLOOKUP($U$500,'TAR FIN'!$A$1:$O$113,15,0))</f>
        <v>0</v>
      </c>
      <c r="Y500" s="56">
        <f ca="1">('TUSD BE'!$AM$30+'TUSD BF'!$AM$30+'TUSD CVA'!$AM$30)*1*(1-0.03)</f>
        <v>25.800132407241311</v>
      </c>
      <c r="Z500" s="56"/>
      <c r="AA500" s="56"/>
      <c r="AB500" s="56">
        <f>(SUBSIDIO!$J$500*SUBSIDIO!$V$500)*(0.06)/(1-0.06)</f>
        <v>12692.7372</v>
      </c>
      <c r="AC500" s="56">
        <f>((SUBSIDIO!$L$500*SUBSIDIO!$W$500)+(SUBSIDIO!$N$500*SUBSIDIO!$X$500))*(0.06)/(1-0.06)</f>
        <v>0</v>
      </c>
      <c r="AD500" s="56">
        <f ca="1">(SUBSIDIO!$J$500*SUBSIDIO!$Y$500)*(0.03)/(1-0.03)</f>
        <v>6943.6933672519754</v>
      </c>
      <c r="AE500" s="56">
        <f>((SUBSIDIO!$L$500*SUBSIDIO!$Z$500)+(SUBSIDIO!$N$500*SUBSIDIO!$AA$500))*(0.03)/(1-0.03)</f>
        <v>0</v>
      </c>
      <c r="AF500" s="3" t="s">
        <v>1025</v>
      </c>
    </row>
    <row r="501" spans="1:32" ht="11.25" customHeight="1" x14ac:dyDescent="0.25">
      <c r="A501" s="3" t="s">
        <v>21</v>
      </c>
      <c r="B501" s="3" t="s">
        <v>41</v>
      </c>
      <c r="C501" s="3" t="s">
        <v>42</v>
      </c>
      <c r="D501" s="3" t="s">
        <v>50</v>
      </c>
      <c r="E501" s="3" t="s">
        <v>51</v>
      </c>
      <c r="F501" s="3" t="s">
        <v>25</v>
      </c>
      <c r="G501" s="3" t="s">
        <v>25</v>
      </c>
      <c r="H501" s="3" t="s">
        <v>25</v>
      </c>
      <c r="I501" s="6">
        <v>44501</v>
      </c>
      <c r="J501" s="4">
        <v>8809</v>
      </c>
      <c r="K501" s="57">
        <v>8809</v>
      </c>
      <c r="L501" s="4">
        <v>0</v>
      </c>
      <c r="M501" s="56">
        <v>0</v>
      </c>
      <c r="N501" s="4">
        <v>0</v>
      </c>
      <c r="O501" s="56">
        <v>0</v>
      </c>
      <c r="P501" s="4">
        <v>51</v>
      </c>
      <c r="Q501" s="3" t="s">
        <v>26</v>
      </c>
      <c r="R501" s="3">
        <v>0</v>
      </c>
      <c r="S501" s="3">
        <v>44</v>
      </c>
      <c r="T501" s="3">
        <v>0</v>
      </c>
      <c r="U501" s="3">
        <v>0</v>
      </c>
      <c r="V501" s="56">
        <f>IF(ISERROR(VLOOKUP($S$501,'TAR FIN'!$A$1:$O$113,15,0)),0,VLOOKUP($S$501,'TAR FIN'!$A$1:$O$113,15,0))*(1-0.06)</f>
        <v>22.851399999999998</v>
      </c>
      <c r="W501" s="56">
        <f>IF(ISERROR(VLOOKUP($T$501,'TAR FIN'!$A$1:$O$113,15,0)),0,VLOOKUP($T$501,'TAR FIN'!$A$1:$O$113,15,0))</f>
        <v>0</v>
      </c>
      <c r="X501" s="56">
        <f>IF(ISERROR(VLOOKUP($U$501,'TAR FIN'!$A$1:$O$113,15,0)),0,VLOOKUP($U$501,'TAR FIN'!$A$1:$O$113,15,0))</f>
        <v>0</v>
      </c>
      <c r="Y501" s="56">
        <f ca="1">('TUSD BE'!$AM$30+'TUSD BF'!$AM$30+'TUSD CVA'!$AM$30)*1*(1-0.03)</f>
        <v>25.800132407241311</v>
      </c>
      <c r="Z501" s="56"/>
      <c r="AA501" s="56"/>
      <c r="AB501" s="56">
        <f>(SUBSIDIO!$J$501*SUBSIDIO!$V$501)*(0.06)/(1-0.06)</f>
        <v>12848.8074</v>
      </c>
      <c r="AC501" s="56">
        <f>((SUBSIDIO!$L$501*SUBSIDIO!$W$501)+(SUBSIDIO!$N$501*SUBSIDIO!$X$501))*(0.06)/(1-0.06)</f>
        <v>0</v>
      </c>
      <c r="AD501" s="56">
        <f ca="1">(SUBSIDIO!$J$501*SUBSIDIO!$Y$501)*(0.03)/(1-0.03)</f>
        <v>7029.0731868676912</v>
      </c>
      <c r="AE501" s="56">
        <f>((SUBSIDIO!$L$501*SUBSIDIO!$Z$501)+(SUBSIDIO!$N$501*SUBSIDIO!$AA$501))*(0.03)/(1-0.03)</f>
        <v>0</v>
      </c>
      <c r="AF501" s="3" t="s">
        <v>1025</v>
      </c>
    </row>
    <row r="502" spans="1:32" ht="11.25" customHeight="1" x14ac:dyDescent="0.25">
      <c r="A502" s="3" t="s">
        <v>21</v>
      </c>
      <c r="B502" s="3" t="s">
        <v>41</v>
      </c>
      <c r="C502" s="3" t="s">
        <v>42</v>
      </c>
      <c r="D502" s="3" t="s">
        <v>50</v>
      </c>
      <c r="E502" s="3" t="s">
        <v>51</v>
      </c>
      <c r="F502" s="3" t="s">
        <v>25</v>
      </c>
      <c r="G502" s="3" t="s">
        <v>25</v>
      </c>
      <c r="H502" s="3" t="s">
        <v>25</v>
      </c>
      <c r="I502" s="6">
        <v>44531</v>
      </c>
      <c r="J502" s="4">
        <v>8757</v>
      </c>
      <c r="K502" s="57">
        <v>8757</v>
      </c>
      <c r="L502" s="4">
        <v>0</v>
      </c>
      <c r="M502" s="56">
        <v>0</v>
      </c>
      <c r="N502" s="4">
        <v>0</v>
      </c>
      <c r="O502" s="56">
        <v>0</v>
      </c>
      <c r="P502" s="4">
        <v>49</v>
      </c>
      <c r="Q502" s="3" t="s">
        <v>26</v>
      </c>
      <c r="R502" s="3">
        <v>0</v>
      </c>
      <c r="S502" s="3">
        <v>44</v>
      </c>
      <c r="T502" s="3">
        <v>0</v>
      </c>
      <c r="U502" s="3">
        <v>0</v>
      </c>
      <c r="V502" s="56">
        <f>IF(ISERROR(VLOOKUP($S$502,'TAR FIN'!$A$1:$O$113,15,0)),0,VLOOKUP($S$502,'TAR FIN'!$A$1:$O$113,15,0))*(1-0.06)</f>
        <v>22.851399999999998</v>
      </c>
      <c r="W502" s="56">
        <f>IF(ISERROR(VLOOKUP($T$502,'TAR FIN'!$A$1:$O$113,15,0)),0,VLOOKUP($T$502,'TAR FIN'!$A$1:$O$113,15,0))</f>
        <v>0</v>
      </c>
      <c r="X502" s="56">
        <f>IF(ISERROR(VLOOKUP($U$502,'TAR FIN'!$A$1:$O$113,15,0)),0,VLOOKUP($U$502,'TAR FIN'!$A$1:$O$113,15,0))</f>
        <v>0</v>
      </c>
      <c r="Y502" s="56">
        <f ca="1">('TUSD BE'!$AM$30+'TUSD BF'!$AM$30+'TUSD CVA'!$AM$30)*1*(1-0.03)</f>
        <v>25.800132407241311</v>
      </c>
      <c r="Z502" s="56"/>
      <c r="AA502" s="56"/>
      <c r="AB502" s="56">
        <f>(SUBSIDIO!$J$502*SUBSIDIO!$V$502)*(0.06)/(1-0.06)</f>
        <v>12772.9602</v>
      </c>
      <c r="AC502" s="56">
        <f>((SUBSIDIO!$L$502*SUBSIDIO!$W$502)+(SUBSIDIO!$N$502*SUBSIDIO!$X$502))*(0.06)/(1-0.06)</f>
        <v>0</v>
      </c>
      <c r="AD502" s="56">
        <f ca="1">(SUBSIDIO!$J$502*SUBSIDIO!$Y$502)*(0.03)/(1-0.03)</f>
        <v>6987.5801904189329</v>
      </c>
      <c r="AE502" s="56">
        <f>((SUBSIDIO!$L$502*SUBSIDIO!$Z$502)+(SUBSIDIO!$N$502*SUBSIDIO!$AA$502))*(0.03)/(1-0.03)</f>
        <v>0</v>
      </c>
      <c r="AF502" s="3" t="s">
        <v>1025</v>
      </c>
    </row>
    <row r="503" spans="1:32" ht="11.25" customHeight="1" x14ac:dyDescent="0.25">
      <c r="A503" s="3" t="s">
        <v>21</v>
      </c>
      <c r="B503" s="3" t="s">
        <v>41</v>
      </c>
      <c r="C503" s="3" t="s">
        <v>42</v>
      </c>
      <c r="D503" s="3" t="s">
        <v>50</v>
      </c>
      <c r="E503" s="3" t="s">
        <v>51</v>
      </c>
      <c r="F503" s="3" t="s">
        <v>25</v>
      </c>
      <c r="G503" s="3" t="s">
        <v>25</v>
      </c>
      <c r="H503" s="3" t="s">
        <v>25</v>
      </c>
      <c r="I503" s="6">
        <v>44562</v>
      </c>
      <c r="J503" s="4">
        <v>8848</v>
      </c>
      <c r="K503" s="57">
        <v>8848</v>
      </c>
      <c r="L503" s="4">
        <v>0</v>
      </c>
      <c r="M503" s="56">
        <v>0</v>
      </c>
      <c r="N503" s="4">
        <v>0</v>
      </c>
      <c r="O503" s="56">
        <v>0</v>
      </c>
      <c r="P503" s="4">
        <v>50</v>
      </c>
      <c r="Q503" s="3" t="s">
        <v>26</v>
      </c>
      <c r="R503" s="3">
        <v>0</v>
      </c>
      <c r="S503" s="3">
        <v>44</v>
      </c>
      <c r="T503" s="3">
        <v>0</v>
      </c>
      <c r="U503" s="3">
        <v>0</v>
      </c>
      <c r="V503" s="56">
        <f>IF(ISERROR(VLOOKUP($S$503,'TAR FIN'!$A$1:$O$113,15,0)),0,VLOOKUP($S$503,'TAR FIN'!$A$1:$O$113,15,0))*(1-0.06)</f>
        <v>22.851399999999998</v>
      </c>
      <c r="W503" s="56">
        <f>IF(ISERROR(VLOOKUP($T$503,'TAR FIN'!$A$1:$O$113,15,0)),0,VLOOKUP($T$503,'TAR FIN'!$A$1:$O$113,15,0))</f>
        <v>0</v>
      </c>
      <c r="X503" s="56">
        <f>IF(ISERROR(VLOOKUP($U$503,'TAR FIN'!$A$1:$O$113,15,0)),0,VLOOKUP($U$503,'TAR FIN'!$A$1:$O$113,15,0))</f>
        <v>0</v>
      </c>
      <c r="Y503" s="56">
        <f ca="1">('TUSD BE'!$AM$30+'TUSD BF'!$AM$30+'TUSD CVA'!$AM$30)*1*(1-0.03)</f>
        <v>25.800132407241311</v>
      </c>
      <c r="Z503" s="56"/>
      <c r="AA503" s="56"/>
      <c r="AB503" s="56">
        <f>(SUBSIDIO!$J$503*SUBSIDIO!$V$503)*(0.06)/(1-0.06)</f>
        <v>12905.692799999999</v>
      </c>
      <c r="AC503" s="56">
        <f>((SUBSIDIO!$L$503*SUBSIDIO!$W$503)+(SUBSIDIO!$N$503*SUBSIDIO!$X$503))*(0.06)/(1-0.06)</f>
        <v>0</v>
      </c>
      <c r="AD503" s="56">
        <f ca="1">(SUBSIDIO!$J$503*SUBSIDIO!$Y$503)*(0.03)/(1-0.03)</f>
        <v>7060.1929342042613</v>
      </c>
      <c r="AE503" s="56">
        <f>((SUBSIDIO!$L$503*SUBSIDIO!$Z$503)+(SUBSIDIO!$N$503*SUBSIDIO!$AA$503))*(0.03)/(1-0.03)</f>
        <v>0</v>
      </c>
      <c r="AF503" s="3" t="s">
        <v>1025</v>
      </c>
    </row>
    <row r="504" spans="1:32" ht="11.25" customHeight="1" x14ac:dyDescent="0.25">
      <c r="A504" s="3" t="s">
        <v>21</v>
      </c>
      <c r="B504" s="3" t="s">
        <v>41</v>
      </c>
      <c r="C504" s="3" t="s">
        <v>42</v>
      </c>
      <c r="D504" s="3" t="s">
        <v>50</v>
      </c>
      <c r="E504" s="3" t="s">
        <v>51</v>
      </c>
      <c r="F504" s="3" t="s">
        <v>25</v>
      </c>
      <c r="G504" s="3" t="s">
        <v>25</v>
      </c>
      <c r="H504" s="3" t="s">
        <v>25</v>
      </c>
      <c r="I504" s="6">
        <v>44593</v>
      </c>
      <c r="J504" s="4">
        <v>8890</v>
      </c>
      <c r="K504" s="57">
        <v>8890</v>
      </c>
      <c r="L504" s="4">
        <v>0</v>
      </c>
      <c r="M504" s="56">
        <v>0</v>
      </c>
      <c r="N504" s="4">
        <v>0</v>
      </c>
      <c r="O504" s="56">
        <v>0</v>
      </c>
      <c r="P504" s="4">
        <v>51</v>
      </c>
      <c r="Q504" s="3" t="s">
        <v>26</v>
      </c>
      <c r="R504" s="3">
        <v>0</v>
      </c>
      <c r="S504" s="3">
        <v>44</v>
      </c>
      <c r="T504" s="3">
        <v>0</v>
      </c>
      <c r="U504" s="3">
        <v>0</v>
      </c>
      <c r="V504" s="56">
        <f>IF(ISERROR(VLOOKUP($S$504,'TAR FIN'!$A$1:$O$113,15,0)),0,VLOOKUP($S$504,'TAR FIN'!$A$1:$O$113,15,0))*(1-0.06)</f>
        <v>22.851399999999998</v>
      </c>
      <c r="W504" s="56">
        <f>IF(ISERROR(VLOOKUP($T$504,'TAR FIN'!$A$1:$O$113,15,0)),0,VLOOKUP($T$504,'TAR FIN'!$A$1:$O$113,15,0))</f>
        <v>0</v>
      </c>
      <c r="X504" s="56">
        <f>IF(ISERROR(VLOOKUP($U$504,'TAR FIN'!$A$1:$O$113,15,0)),0,VLOOKUP($U$504,'TAR FIN'!$A$1:$O$113,15,0))</f>
        <v>0</v>
      </c>
      <c r="Y504" s="56">
        <f ca="1">('TUSD BE'!$AM$30+'TUSD BF'!$AM$30+'TUSD CVA'!$AM$30)*1*(1-0.03)</f>
        <v>25.800132407241311</v>
      </c>
      <c r="Z504" s="56"/>
      <c r="AA504" s="56"/>
      <c r="AB504" s="56">
        <f>(SUBSIDIO!$J$504*SUBSIDIO!$V$504)*(0.06)/(1-0.06)</f>
        <v>12966.954</v>
      </c>
      <c r="AC504" s="56">
        <f>((SUBSIDIO!$L$504*SUBSIDIO!$W$504)+(SUBSIDIO!$N$504*SUBSIDIO!$X$504))*(0.06)/(1-0.06)</f>
        <v>0</v>
      </c>
      <c r="AD504" s="56">
        <f ca="1">(SUBSIDIO!$J$504*SUBSIDIO!$Y$504)*(0.03)/(1-0.03)</f>
        <v>7093.7065082590279</v>
      </c>
      <c r="AE504" s="56">
        <f>((SUBSIDIO!$L$504*SUBSIDIO!$Z$504)+(SUBSIDIO!$N$504*SUBSIDIO!$AA$504))*(0.03)/(1-0.03)</f>
        <v>0</v>
      </c>
      <c r="AF504" s="3" t="s">
        <v>1025</v>
      </c>
    </row>
    <row r="505" spans="1:32" ht="11.25" customHeight="1" x14ac:dyDescent="0.25">
      <c r="A505" s="3" t="s">
        <v>27</v>
      </c>
      <c r="B505" s="3" t="s">
        <v>41</v>
      </c>
      <c r="C505" s="3" t="s">
        <v>42</v>
      </c>
      <c r="D505" s="3" t="s">
        <v>50</v>
      </c>
      <c r="E505" s="3" t="s">
        <v>51</v>
      </c>
      <c r="F505" s="3" t="s">
        <v>25</v>
      </c>
      <c r="G505" s="3" t="s">
        <v>25</v>
      </c>
      <c r="H505" s="3" t="s">
        <v>25</v>
      </c>
      <c r="I505" s="6">
        <v>44593</v>
      </c>
      <c r="J505" s="4">
        <v>30</v>
      </c>
      <c r="K505" s="57">
        <v>30</v>
      </c>
      <c r="L505" s="4">
        <v>0</v>
      </c>
      <c r="M505" s="56">
        <v>0</v>
      </c>
      <c r="N505" s="4">
        <v>0</v>
      </c>
      <c r="O505" s="56">
        <v>0</v>
      </c>
      <c r="P505" s="4">
        <v>0</v>
      </c>
      <c r="Q505" s="3" t="s">
        <v>26</v>
      </c>
      <c r="R505" s="3">
        <v>0</v>
      </c>
      <c r="S505" s="3">
        <v>44</v>
      </c>
      <c r="T505" s="3">
        <v>0</v>
      </c>
      <c r="U505" s="3">
        <v>0</v>
      </c>
      <c r="V505" s="56">
        <f>IF(ISERROR(VLOOKUP($S$505,'TAR FIN'!$A$1:$O$113,15,0)),0,VLOOKUP($S$505,'TAR FIN'!$A$1:$O$113,15,0))*(1-0.06)</f>
        <v>22.851399999999998</v>
      </c>
      <c r="W505" s="56">
        <f>IF(ISERROR(VLOOKUP($T$505,'TAR FIN'!$A$1:$O$113,15,0)),0,VLOOKUP($T$505,'TAR FIN'!$A$1:$O$113,15,0))</f>
        <v>0</v>
      </c>
      <c r="X505" s="56">
        <f>IF(ISERROR(VLOOKUP($U$505,'TAR FIN'!$A$1:$O$113,15,0)),0,VLOOKUP($U$505,'TAR FIN'!$A$1:$O$113,15,0))</f>
        <v>0</v>
      </c>
      <c r="Y505" s="56">
        <f ca="1">('TUSD BE'!$AM$30+'TUSD BF'!$AM$30+'TUSD CVA'!$AM$30)*1*(1-0.03)</f>
        <v>25.800132407241311</v>
      </c>
      <c r="Z505" s="56"/>
      <c r="AA505" s="56"/>
      <c r="AB505" s="56">
        <f>(SUBSIDIO!$J$505*SUBSIDIO!$V$505)*(0.06)/(1-0.06)</f>
        <v>43.757999999999996</v>
      </c>
      <c r="AC505" s="56">
        <f>((SUBSIDIO!$L$505*SUBSIDIO!$W$505)+(SUBSIDIO!$N$505*SUBSIDIO!$X$505))*(0.06)/(1-0.06)</f>
        <v>0</v>
      </c>
      <c r="AD505" s="56">
        <f ca="1">(SUBSIDIO!$J$505*SUBSIDIO!$Y$505)*(0.03)/(1-0.03)</f>
        <v>23.938267181976471</v>
      </c>
      <c r="AE505" s="56">
        <f>((SUBSIDIO!$L$505*SUBSIDIO!$Z$505)+(SUBSIDIO!$N$505*SUBSIDIO!$AA$505))*(0.03)/(1-0.03)</f>
        <v>0</v>
      </c>
      <c r="AF505" s="3" t="s">
        <v>1025</v>
      </c>
    </row>
    <row r="506" spans="1:32" ht="11.25" customHeight="1" x14ac:dyDescent="0.25">
      <c r="A506" s="3" t="s">
        <v>56</v>
      </c>
      <c r="B506" s="3" t="s">
        <v>41</v>
      </c>
      <c r="C506" s="3" t="s">
        <v>42</v>
      </c>
      <c r="D506" s="3" t="s">
        <v>50</v>
      </c>
      <c r="E506" s="3" t="s">
        <v>51</v>
      </c>
      <c r="F506" s="3" t="s">
        <v>25</v>
      </c>
      <c r="G506" s="3" t="s">
        <v>25</v>
      </c>
      <c r="H506" s="3" t="s">
        <v>25</v>
      </c>
      <c r="I506" s="6">
        <v>44621</v>
      </c>
      <c r="J506" s="4">
        <v>8890</v>
      </c>
      <c r="K506" s="57">
        <v>8890</v>
      </c>
      <c r="L506" s="4">
        <v>0</v>
      </c>
      <c r="M506" s="56">
        <v>0</v>
      </c>
      <c r="N506" s="4">
        <v>0</v>
      </c>
      <c r="O506" s="56">
        <v>0</v>
      </c>
      <c r="P506" s="4">
        <v>51</v>
      </c>
      <c r="Q506" s="3" t="s">
        <v>26</v>
      </c>
      <c r="R506" s="3">
        <v>0</v>
      </c>
      <c r="S506" s="3">
        <v>44</v>
      </c>
      <c r="T506" s="3">
        <v>0</v>
      </c>
      <c r="U506" s="3">
        <v>0</v>
      </c>
      <c r="V506" s="56">
        <f>IF(ISERROR(VLOOKUP($S$506,'TAR FIN'!$A$1:$O$113,15,0)),0,VLOOKUP($S$506,'TAR FIN'!$A$1:$O$113,15,0))*(1-0.06)</f>
        <v>22.851399999999998</v>
      </c>
      <c r="W506" s="56">
        <f>IF(ISERROR(VLOOKUP($T$506,'TAR FIN'!$A$1:$O$113,15,0)),0,VLOOKUP($T$506,'TAR FIN'!$A$1:$O$113,15,0))</f>
        <v>0</v>
      </c>
      <c r="X506" s="56">
        <f>IF(ISERROR(VLOOKUP($U$506,'TAR FIN'!$A$1:$O$113,15,0)),0,VLOOKUP($U$506,'TAR FIN'!$A$1:$O$113,15,0))</f>
        <v>0</v>
      </c>
      <c r="Y506" s="56">
        <f ca="1">('TUSD BE'!$AM$30+'TUSD BF'!$AM$30+'TUSD CVA'!$AM$30)*1*(1-0.03)</f>
        <v>25.800132407241311</v>
      </c>
      <c r="Z506" s="56"/>
      <c r="AA506" s="56"/>
      <c r="AB506" s="56">
        <f>(SUBSIDIO!$J$506*SUBSIDIO!$V$506)*(0.06)/(1-0.06)</f>
        <v>12966.954</v>
      </c>
      <c r="AC506" s="56">
        <f>((SUBSIDIO!$L$506*SUBSIDIO!$W$506)+(SUBSIDIO!$N$506*SUBSIDIO!$X$506))*(0.06)/(1-0.06)</f>
        <v>0</v>
      </c>
      <c r="AD506" s="56">
        <f ca="1">(SUBSIDIO!$J$506*SUBSIDIO!$Y$506)*(0.03)/(1-0.03)</f>
        <v>7093.7065082590279</v>
      </c>
      <c r="AE506" s="56">
        <f>((SUBSIDIO!$L$506*SUBSIDIO!$Z$506)+(SUBSIDIO!$N$506*SUBSIDIO!$AA$506))*(0.03)/(1-0.03)</f>
        <v>0</v>
      </c>
      <c r="AF506" s="3" t="s">
        <v>1025</v>
      </c>
    </row>
    <row r="507" spans="1:32" ht="11.25" customHeight="1" x14ac:dyDescent="0.25">
      <c r="A507" s="3" t="s">
        <v>56</v>
      </c>
      <c r="B507" s="3" t="s">
        <v>41</v>
      </c>
      <c r="C507" s="3" t="s">
        <v>42</v>
      </c>
      <c r="D507" s="3" t="s">
        <v>50</v>
      </c>
      <c r="E507" s="3" t="s">
        <v>51</v>
      </c>
      <c r="F507" s="3" t="s">
        <v>25</v>
      </c>
      <c r="G507" s="3" t="s">
        <v>25</v>
      </c>
      <c r="H507" s="3" t="s">
        <v>25</v>
      </c>
      <c r="I507" s="6">
        <v>44621</v>
      </c>
      <c r="J507" s="4">
        <v>30</v>
      </c>
      <c r="K507" s="57">
        <v>30</v>
      </c>
      <c r="L507" s="4">
        <v>0</v>
      </c>
      <c r="M507" s="56">
        <v>0</v>
      </c>
      <c r="N507" s="4">
        <v>0</v>
      </c>
      <c r="O507" s="56">
        <v>0</v>
      </c>
      <c r="P507" s="4">
        <v>0</v>
      </c>
      <c r="Q507" s="3" t="s">
        <v>26</v>
      </c>
      <c r="R507" s="3">
        <v>0</v>
      </c>
      <c r="S507" s="3">
        <v>44</v>
      </c>
      <c r="T507" s="3">
        <v>0</v>
      </c>
      <c r="U507" s="3">
        <v>0</v>
      </c>
      <c r="V507" s="56">
        <f>IF(ISERROR(VLOOKUP($S$507,'TAR FIN'!$A$1:$O$113,15,0)),0,VLOOKUP($S$507,'TAR FIN'!$A$1:$O$113,15,0))*(1-0.06)</f>
        <v>22.851399999999998</v>
      </c>
      <c r="W507" s="56">
        <f>IF(ISERROR(VLOOKUP($T$507,'TAR FIN'!$A$1:$O$113,15,0)),0,VLOOKUP($T$507,'TAR FIN'!$A$1:$O$113,15,0))</f>
        <v>0</v>
      </c>
      <c r="X507" s="56">
        <f>IF(ISERROR(VLOOKUP($U$507,'TAR FIN'!$A$1:$O$113,15,0)),0,VLOOKUP($U$507,'TAR FIN'!$A$1:$O$113,15,0))</f>
        <v>0</v>
      </c>
      <c r="Y507" s="56">
        <f ca="1">('TUSD BE'!$AM$30+'TUSD BF'!$AM$30+'TUSD CVA'!$AM$30)*1*(1-0.03)</f>
        <v>25.800132407241311</v>
      </c>
      <c r="Z507" s="56"/>
      <c r="AA507" s="56"/>
      <c r="AB507" s="56">
        <f>(SUBSIDIO!$J$507*SUBSIDIO!$V$507)*(0.06)/(1-0.06)</f>
        <v>43.757999999999996</v>
      </c>
      <c r="AC507" s="56">
        <f>((SUBSIDIO!$L$507*SUBSIDIO!$W$507)+(SUBSIDIO!$N$507*SUBSIDIO!$X$507))*(0.06)/(1-0.06)</f>
        <v>0</v>
      </c>
      <c r="AD507" s="56">
        <f ca="1">(SUBSIDIO!$J$507*SUBSIDIO!$Y$507)*(0.03)/(1-0.03)</f>
        <v>23.938267181976471</v>
      </c>
      <c r="AE507" s="56">
        <f>((SUBSIDIO!$L$507*SUBSIDIO!$Z$507)+(SUBSIDIO!$N$507*SUBSIDIO!$AA$507))*(0.03)/(1-0.03)</f>
        <v>0</v>
      </c>
      <c r="AF507" s="3" t="s">
        <v>1025</v>
      </c>
    </row>
    <row r="508" spans="1:32" ht="11.25" customHeight="1" x14ac:dyDescent="0.25">
      <c r="A508" s="3" t="s">
        <v>21</v>
      </c>
      <c r="B508" s="3" t="s">
        <v>41</v>
      </c>
      <c r="C508" s="3" t="s">
        <v>42</v>
      </c>
      <c r="D508" s="3" t="s">
        <v>50</v>
      </c>
      <c r="E508" s="3" t="s">
        <v>51</v>
      </c>
      <c r="F508" s="3" t="s">
        <v>25</v>
      </c>
      <c r="G508" s="3" t="s">
        <v>25</v>
      </c>
      <c r="H508" s="3" t="s">
        <v>34</v>
      </c>
      <c r="I508" s="6">
        <v>44287</v>
      </c>
      <c r="J508" s="4">
        <v>0</v>
      </c>
      <c r="K508" s="56">
        <v>0</v>
      </c>
      <c r="L508" s="4">
        <v>517</v>
      </c>
      <c r="M508" s="56">
        <v>517</v>
      </c>
      <c r="N508" s="4">
        <v>517</v>
      </c>
      <c r="O508" s="56">
        <v>517</v>
      </c>
      <c r="P508" s="4">
        <v>0</v>
      </c>
      <c r="Q508" s="3" t="s">
        <v>26</v>
      </c>
      <c r="R508" s="3">
        <v>0</v>
      </c>
      <c r="S508" s="3">
        <v>0</v>
      </c>
      <c r="T508" s="3">
        <v>20</v>
      </c>
      <c r="U508" s="3">
        <v>88</v>
      </c>
      <c r="V508" s="56">
        <f>IF(ISERROR(VLOOKUP($S$508,'TAR FIN'!$A$1:$O$113,15,0)),0,VLOOKUP($S$508,'TAR FIN'!$A$1:$O$113,15,0))</f>
        <v>0</v>
      </c>
      <c r="W508" s="56">
        <f>IF(ISERROR(VLOOKUP($T$508,'TAR FIN'!$A$1:$O$113,15,0)),0,VLOOKUP($T$508,'TAR FIN'!$A$1:$O$113,15,0))*(1-0.06)</f>
        <v>1470.7145999999998</v>
      </c>
      <c r="X508" s="56">
        <f>IF(ISERROR(VLOOKUP($U$508,'TAR FIN'!$A$1:$O$113,15,0)),0,VLOOKUP($U$508,'TAR FIN'!$A$1:$O$113,15,0))*(1-0.06)</f>
        <v>343.57</v>
      </c>
      <c r="Y508" s="56"/>
      <c r="Z508" s="56">
        <f ca="1">('TUSD BE'!$AM$31+'TUSD BF'!$AM$31+'TUSD CVA'!$AM$31)*1*(1-0.03)</f>
        <v>1782.7529237498334</v>
      </c>
      <c r="AA508" s="56">
        <f>('TE BE'!$AA$10+'TE BF'!$AA$10+'TE CVA'!$AA$10)*1*(1-0.03)</f>
        <v>350.70363015859192</v>
      </c>
      <c r="AB508" s="56">
        <f>(SUBSIDIO!$J$508*SUBSIDIO!$V$508)*(0.06)/(1-0.06)</f>
        <v>0</v>
      </c>
      <c r="AC508" s="56">
        <f>((SUBSIDIO!$L$508*SUBSIDIO!$W$508)+(SUBSIDIO!$N$508*SUBSIDIO!$X$508))*(0.06)/(1-0.06)</f>
        <v>59871.391799999998</v>
      </c>
      <c r="AD508" s="56">
        <f>(SUBSIDIO!$J$508*SUBSIDIO!$Y$508)*(0.03)/(1-0.03)</f>
        <v>0</v>
      </c>
      <c r="AE508" s="56">
        <f ca="1">((SUBSIDIO!$L$508*SUBSIDIO!$Z$508)+(SUBSIDIO!$N$508*SUBSIDIO!$AA$508))*(0.03)/(1-0.03)</f>
        <v>34113.310465071831</v>
      </c>
      <c r="AF508" s="3" t="s">
        <v>1025</v>
      </c>
    </row>
    <row r="509" spans="1:32" ht="11.25" customHeight="1" x14ac:dyDescent="0.25">
      <c r="A509" s="3" t="s">
        <v>21</v>
      </c>
      <c r="B509" s="3" t="s">
        <v>41</v>
      </c>
      <c r="C509" s="3" t="s">
        <v>42</v>
      </c>
      <c r="D509" s="3" t="s">
        <v>50</v>
      </c>
      <c r="E509" s="3" t="s">
        <v>51</v>
      </c>
      <c r="F509" s="3" t="s">
        <v>25</v>
      </c>
      <c r="G509" s="3" t="s">
        <v>25</v>
      </c>
      <c r="H509" s="3" t="s">
        <v>34</v>
      </c>
      <c r="I509" s="6">
        <v>44317</v>
      </c>
      <c r="J509" s="4">
        <v>0</v>
      </c>
      <c r="K509" s="56">
        <v>0</v>
      </c>
      <c r="L509" s="4">
        <v>467.923</v>
      </c>
      <c r="M509" s="56">
        <v>467.923</v>
      </c>
      <c r="N509" s="4">
        <v>467.923</v>
      </c>
      <c r="O509" s="56">
        <v>467.923</v>
      </c>
      <c r="P509" s="4">
        <v>0</v>
      </c>
      <c r="Q509" s="3" t="s">
        <v>26</v>
      </c>
      <c r="R509" s="3">
        <v>0</v>
      </c>
      <c r="S509" s="3">
        <v>0</v>
      </c>
      <c r="T509" s="3">
        <v>20</v>
      </c>
      <c r="U509" s="3">
        <v>88</v>
      </c>
      <c r="V509" s="56">
        <f>IF(ISERROR(VLOOKUP($S$509,'TAR FIN'!$A$1:$O$113,15,0)),0,VLOOKUP($S$509,'TAR FIN'!$A$1:$O$113,15,0))</f>
        <v>0</v>
      </c>
      <c r="W509" s="56">
        <f>IF(ISERROR(VLOOKUP($T$509,'TAR FIN'!$A$1:$O$113,15,0)),0,VLOOKUP($T$509,'TAR FIN'!$A$1:$O$113,15,0))*(1-0.06)</f>
        <v>1470.7145999999998</v>
      </c>
      <c r="X509" s="56">
        <f>IF(ISERROR(VLOOKUP($U$509,'TAR FIN'!$A$1:$O$113,15,0)),0,VLOOKUP($U$509,'TAR FIN'!$A$1:$O$113,15,0))*(1-0.06)</f>
        <v>343.57</v>
      </c>
      <c r="Y509" s="56"/>
      <c r="Z509" s="56">
        <f ca="1">('TUSD BE'!$AM$31+'TUSD BF'!$AM$31+'TUSD CVA'!$AM$31)*1*(1-0.03)</f>
        <v>1782.7529237498334</v>
      </c>
      <c r="AA509" s="56">
        <f>('TE BE'!$AA$10+'TE BF'!$AA$10+'TE CVA'!$AA$10)*1*(1-0.03)</f>
        <v>350.70363015859192</v>
      </c>
      <c r="AB509" s="56">
        <f>(SUBSIDIO!$J$509*SUBSIDIO!$V$509)*(0.06)/(1-0.06)</f>
        <v>0</v>
      </c>
      <c r="AC509" s="56">
        <f>((SUBSIDIO!$L$509*SUBSIDIO!$W$509)+(SUBSIDIO!$N$509*SUBSIDIO!$X$509))*(0.06)/(1-0.06)</f>
        <v>54188.010184199993</v>
      </c>
      <c r="AD509" s="56">
        <f>(SUBSIDIO!$J$509*SUBSIDIO!$Y$509)*(0.03)/(1-0.03)</f>
        <v>0</v>
      </c>
      <c r="AE509" s="56">
        <f ca="1">((SUBSIDIO!$L$509*SUBSIDIO!$Z$509)+(SUBSIDIO!$N$509*SUBSIDIO!$AA$509))*(0.03)/(1-0.03)</f>
        <v>30875.053332200787</v>
      </c>
      <c r="AF509" s="3" t="s">
        <v>1025</v>
      </c>
    </row>
    <row r="510" spans="1:32" ht="11.25" customHeight="1" x14ac:dyDescent="0.25">
      <c r="A510" s="3" t="s">
        <v>21</v>
      </c>
      <c r="B510" s="3" t="s">
        <v>41</v>
      </c>
      <c r="C510" s="3" t="s">
        <v>42</v>
      </c>
      <c r="D510" s="3" t="s">
        <v>50</v>
      </c>
      <c r="E510" s="3" t="s">
        <v>51</v>
      </c>
      <c r="F510" s="3" t="s">
        <v>25</v>
      </c>
      <c r="G510" s="3" t="s">
        <v>25</v>
      </c>
      <c r="H510" s="3" t="s">
        <v>34</v>
      </c>
      <c r="I510" s="6">
        <v>44348</v>
      </c>
      <c r="J510" s="4">
        <v>0</v>
      </c>
      <c r="K510" s="56">
        <v>0</v>
      </c>
      <c r="L510" s="4">
        <v>309.91500000000002</v>
      </c>
      <c r="M510" s="56">
        <v>309.91500000000002</v>
      </c>
      <c r="N510" s="4">
        <v>309.91500000000002</v>
      </c>
      <c r="O510" s="56">
        <v>309.91500000000002</v>
      </c>
      <c r="P510" s="4">
        <v>0</v>
      </c>
      <c r="Q510" s="3" t="s">
        <v>26</v>
      </c>
      <c r="R510" s="3">
        <v>0</v>
      </c>
      <c r="S510" s="3">
        <v>0</v>
      </c>
      <c r="T510" s="3">
        <v>20</v>
      </c>
      <c r="U510" s="3">
        <v>88</v>
      </c>
      <c r="V510" s="56">
        <f>IF(ISERROR(VLOOKUP($S$510,'TAR FIN'!$A$1:$O$113,15,0)),0,VLOOKUP($S$510,'TAR FIN'!$A$1:$O$113,15,0))</f>
        <v>0</v>
      </c>
      <c r="W510" s="56">
        <f>IF(ISERROR(VLOOKUP($T$510,'TAR FIN'!$A$1:$O$113,15,0)),0,VLOOKUP($T$510,'TAR FIN'!$A$1:$O$113,15,0))*(1-0.06)</f>
        <v>1470.7145999999998</v>
      </c>
      <c r="X510" s="56">
        <f>IF(ISERROR(VLOOKUP($U$510,'TAR FIN'!$A$1:$O$113,15,0)),0,VLOOKUP($U$510,'TAR FIN'!$A$1:$O$113,15,0))*(1-0.06)</f>
        <v>343.57</v>
      </c>
      <c r="Y510" s="56"/>
      <c r="Z510" s="56">
        <f ca="1">('TUSD BE'!$AM$31+'TUSD BF'!$AM$31+'TUSD CVA'!$AM$31)*1*(1-0.03)</f>
        <v>1782.7529237498334</v>
      </c>
      <c r="AA510" s="56">
        <f>('TE BE'!$AA$10+'TE BF'!$AA$10+'TE CVA'!$AA$10)*1*(1-0.03)</f>
        <v>350.70363015859192</v>
      </c>
      <c r="AB510" s="56">
        <f>(SUBSIDIO!$J$510*SUBSIDIO!$V$510)*(0.06)/(1-0.06)</f>
        <v>0</v>
      </c>
      <c r="AC510" s="56">
        <f>((SUBSIDIO!$L$510*SUBSIDIO!$W$510)+(SUBSIDIO!$N$510*SUBSIDIO!$X$510))*(0.06)/(1-0.06)</f>
        <v>35889.830540999996</v>
      </c>
      <c r="AD510" s="56">
        <f>(SUBSIDIO!$J$510*SUBSIDIO!$Y$510)*(0.03)/(1-0.03)</f>
        <v>0</v>
      </c>
      <c r="AE510" s="56">
        <f ca="1">((SUBSIDIO!$L$510*SUBSIDIO!$Z$510)+(SUBSIDIO!$N$510*SUBSIDIO!$AA$510))*(0.03)/(1-0.03)</f>
        <v>20449.181069212256</v>
      </c>
      <c r="AF510" s="3" t="s">
        <v>1025</v>
      </c>
    </row>
    <row r="511" spans="1:32" ht="11.25" customHeight="1" x14ac:dyDescent="0.25">
      <c r="A511" s="3" t="s">
        <v>21</v>
      </c>
      <c r="B511" s="3" t="s">
        <v>41</v>
      </c>
      <c r="C511" s="3" t="s">
        <v>42</v>
      </c>
      <c r="D511" s="3" t="s">
        <v>50</v>
      </c>
      <c r="E511" s="3" t="s">
        <v>51</v>
      </c>
      <c r="F511" s="3" t="s">
        <v>25</v>
      </c>
      <c r="G511" s="3" t="s">
        <v>25</v>
      </c>
      <c r="H511" s="3" t="s">
        <v>34</v>
      </c>
      <c r="I511" s="6">
        <v>44378</v>
      </c>
      <c r="J511" s="4">
        <v>0</v>
      </c>
      <c r="K511" s="56">
        <v>0</v>
      </c>
      <c r="L511" s="4">
        <v>338.399</v>
      </c>
      <c r="M511" s="56">
        <v>338.399</v>
      </c>
      <c r="N511" s="4">
        <v>338.399</v>
      </c>
      <c r="O511" s="56">
        <v>338.399</v>
      </c>
      <c r="P511" s="4">
        <v>0</v>
      </c>
      <c r="Q511" s="3" t="s">
        <v>26</v>
      </c>
      <c r="R511" s="3">
        <v>0</v>
      </c>
      <c r="S511" s="3">
        <v>0</v>
      </c>
      <c r="T511" s="3">
        <v>20</v>
      </c>
      <c r="U511" s="3">
        <v>88</v>
      </c>
      <c r="V511" s="56">
        <f>IF(ISERROR(VLOOKUP($S$511,'TAR FIN'!$A$1:$O$113,15,0)),0,VLOOKUP($S$511,'TAR FIN'!$A$1:$O$113,15,0))</f>
        <v>0</v>
      </c>
      <c r="W511" s="56">
        <f>IF(ISERROR(VLOOKUP($T$511,'TAR FIN'!$A$1:$O$113,15,0)),0,VLOOKUP($T$511,'TAR FIN'!$A$1:$O$113,15,0))*(1-0.06)</f>
        <v>1470.7145999999998</v>
      </c>
      <c r="X511" s="56">
        <f>IF(ISERROR(VLOOKUP($U$511,'TAR FIN'!$A$1:$O$113,15,0)),0,VLOOKUP($U$511,'TAR FIN'!$A$1:$O$113,15,0))*(1-0.06)</f>
        <v>343.57</v>
      </c>
      <c r="Y511" s="56"/>
      <c r="Z511" s="56">
        <f ca="1">('TUSD BE'!$AM$31+'TUSD BF'!$AM$31+'TUSD CVA'!$AM$31)*1*(1-0.03)</f>
        <v>1782.7529237498334</v>
      </c>
      <c r="AA511" s="56">
        <f>('TE BE'!$AA$10+'TE BF'!$AA$10+'TE CVA'!$AA$10)*1*(1-0.03)</f>
        <v>350.70363015859192</v>
      </c>
      <c r="AB511" s="56">
        <f>(SUBSIDIO!$J$511*SUBSIDIO!$V$511)*(0.06)/(1-0.06)</f>
        <v>0</v>
      </c>
      <c r="AC511" s="56">
        <f>((SUBSIDIO!$L$511*SUBSIDIO!$W$511)+(SUBSIDIO!$N$511*SUBSIDIO!$X$511))*(0.06)/(1-0.06)</f>
        <v>39188.4315546</v>
      </c>
      <c r="AD511" s="56">
        <f>(SUBSIDIO!$J$511*SUBSIDIO!$Y$511)*(0.03)/(1-0.03)</f>
        <v>0</v>
      </c>
      <c r="AE511" s="56">
        <f ca="1">((SUBSIDIO!$L$511*SUBSIDIO!$Z$511)+(SUBSIDIO!$N$511*SUBSIDIO!$AA$511))*(0.03)/(1-0.03)</f>
        <v>22328.646321218264</v>
      </c>
      <c r="AF511" s="3" t="s">
        <v>1025</v>
      </c>
    </row>
    <row r="512" spans="1:32" ht="11.25" customHeight="1" x14ac:dyDescent="0.25">
      <c r="A512" s="3" t="s">
        <v>27</v>
      </c>
      <c r="B512" s="3" t="s">
        <v>41</v>
      </c>
      <c r="C512" s="3" t="s">
        <v>42</v>
      </c>
      <c r="D512" s="3" t="s">
        <v>50</v>
      </c>
      <c r="E512" s="3" t="s">
        <v>51</v>
      </c>
      <c r="F512" s="3" t="s">
        <v>25</v>
      </c>
      <c r="G512" s="3" t="s">
        <v>25</v>
      </c>
      <c r="H512" s="3" t="s">
        <v>34</v>
      </c>
      <c r="I512" s="6">
        <v>44378</v>
      </c>
      <c r="J512" s="4">
        <v>0</v>
      </c>
      <c r="K512" s="56">
        <v>0</v>
      </c>
      <c r="L512" s="4">
        <v>-1.6579999999999999</v>
      </c>
      <c r="M512" s="56">
        <v>-1.6579999999999999</v>
      </c>
      <c r="N512" s="4">
        <v>-1.6579999999999999</v>
      </c>
      <c r="O512" s="56">
        <v>-1.6579999999999999</v>
      </c>
      <c r="P512" s="4">
        <v>0</v>
      </c>
      <c r="Q512" s="3" t="s">
        <v>26</v>
      </c>
      <c r="R512" s="3">
        <v>0</v>
      </c>
      <c r="S512" s="3">
        <v>0</v>
      </c>
      <c r="T512" s="3">
        <v>20</v>
      </c>
      <c r="U512" s="3">
        <v>88</v>
      </c>
      <c r="V512" s="56">
        <f>IF(ISERROR(VLOOKUP($S$512,'TAR FIN'!$A$1:$O$113,15,0)),0,VLOOKUP($S$512,'TAR FIN'!$A$1:$O$113,15,0))</f>
        <v>0</v>
      </c>
      <c r="W512" s="56">
        <f>IF(ISERROR(VLOOKUP($T$512,'TAR FIN'!$A$1:$O$113,15,0)),0,VLOOKUP($T$512,'TAR FIN'!$A$1:$O$113,15,0))*(1-0.06)</f>
        <v>1470.7145999999998</v>
      </c>
      <c r="X512" s="56">
        <f>IF(ISERROR(VLOOKUP($U$512,'TAR FIN'!$A$1:$O$113,15,0)),0,VLOOKUP($U$512,'TAR FIN'!$A$1:$O$113,15,0))*(1-0.06)</f>
        <v>343.57</v>
      </c>
      <c r="Y512" s="56"/>
      <c r="Z512" s="56">
        <f ca="1">('TUSD BE'!$AM$31+'TUSD BF'!$AM$31+'TUSD CVA'!$AM$31)*1*(1-0.03)</f>
        <v>1782.7529237498334</v>
      </c>
      <c r="AA512" s="56">
        <f>('TE BE'!$AA$10+'TE BF'!$AA$10+'TE CVA'!$AA$10)*1*(1-0.03)</f>
        <v>350.70363015859192</v>
      </c>
      <c r="AB512" s="56">
        <f>(SUBSIDIO!$J$512*SUBSIDIO!$V$512)*(0.06)/(1-0.06)</f>
        <v>0</v>
      </c>
      <c r="AC512" s="56">
        <f>((SUBSIDIO!$L$512*SUBSIDIO!$W$512)+(SUBSIDIO!$N$512*SUBSIDIO!$X$512))*(0.06)/(1-0.06)</f>
        <v>-192.00535319999997</v>
      </c>
      <c r="AD512" s="56">
        <f>(SUBSIDIO!$J$512*SUBSIDIO!$Y$512)*(0.03)/(1-0.03)</f>
        <v>0</v>
      </c>
      <c r="AE512" s="56">
        <f ca="1">((SUBSIDIO!$L$512*SUBSIDIO!$Z$512)+(SUBSIDIO!$N$512*SUBSIDIO!$AA$512))*(0.03)/(1-0.03)</f>
        <v>-109.40013298082998</v>
      </c>
      <c r="AF512" s="3" t="s">
        <v>1025</v>
      </c>
    </row>
    <row r="513" spans="1:32" ht="11.25" customHeight="1" x14ac:dyDescent="0.25">
      <c r="A513" s="3" t="s">
        <v>21</v>
      </c>
      <c r="B513" s="3" t="s">
        <v>41</v>
      </c>
      <c r="C513" s="3" t="s">
        <v>42</v>
      </c>
      <c r="D513" s="3" t="s">
        <v>50</v>
      </c>
      <c r="E513" s="3" t="s">
        <v>51</v>
      </c>
      <c r="F513" s="3" t="s">
        <v>25</v>
      </c>
      <c r="G513" s="3" t="s">
        <v>25</v>
      </c>
      <c r="H513" s="3" t="s">
        <v>34</v>
      </c>
      <c r="I513" s="6">
        <v>44409</v>
      </c>
      <c r="J513" s="4">
        <v>0</v>
      </c>
      <c r="K513" s="56">
        <v>0</v>
      </c>
      <c r="L513" s="4">
        <v>343.34199999999998</v>
      </c>
      <c r="M513" s="56">
        <v>343.34199999999998</v>
      </c>
      <c r="N513" s="4">
        <v>343.34199999999998</v>
      </c>
      <c r="O513" s="56">
        <v>343.34199999999998</v>
      </c>
      <c r="P513" s="4">
        <v>0</v>
      </c>
      <c r="Q513" s="3" t="s">
        <v>26</v>
      </c>
      <c r="R513" s="3">
        <v>0</v>
      </c>
      <c r="S513" s="3">
        <v>0</v>
      </c>
      <c r="T513" s="3">
        <v>20</v>
      </c>
      <c r="U513" s="3">
        <v>88</v>
      </c>
      <c r="V513" s="56">
        <f>IF(ISERROR(VLOOKUP($S$513,'TAR FIN'!$A$1:$O$113,15,0)),0,VLOOKUP($S$513,'TAR FIN'!$A$1:$O$113,15,0))</f>
        <v>0</v>
      </c>
      <c r="W513" s="56">
        <f>IF(ISERROR(VLOOKUP($T$513,'TAR FIN'!$A$1:$O$113,15,0)),0,VLOOKUP($T$513,'TAR FIN'!$A$1:$O$113,15,0))*(1-0.06)</f>
        <v>1470.7145999999998</v>
      </c>
      <c r="X513" s="56">
        <f>IF(ISERROR(VLOOKUP($U$513,'TAR FIN'!$A$1:$O$113,15,0)),0,VLOOKUP($U$513,'TAR FIN'!$A$1:$O$113,15,0))*(1-0.06)</f>
        <v>343.57</v>
      </c>
      <c r="Y513" s="56"/>
      <c r="Z513" s="56">
        <f ca="1">('TUSD BE'!$AM$31+'TUSD BF'!$AM$31+'TUSD CVA'!$AM$31)*1*(1-0.03)</f>
        <v>1782.7529237498334</v>
      </c>
      <c r="AA513" s="56">
        <f>('TE BE'!$AA$10+'TE BF'!$AA$10+'TE CVA'!$AA$10)*1*(1-0.03)</f>
        <v>350.70363015859192</v>
      </c>
      <c r="AB513" s="56">
        <f>(SUBSIDIO!$J$513*SUBSIDIO!$V$513)*(0.06)/(1-0.06)</f>
        <v>0</v>
      </c>
      <c r="AC513" s="56">
        <f>((SUBSIDIO!$L$513*SUBSIDIO!$W$513)+(SUBSIDIO!$N$513*SUBSIDIO!$X$513))*(0.06)/(1-0.06)</f>
        <v>39760.857646799996</v>
      </c>
      <c r="AD513" s="56">
        <f>(SUBSIDIO!$J$513*SUBSIDIO!$Y$513)*(0.03)/(1-0.03)</f>
        <v>0</v>
      </c>
      <c r="AE513" s="56">
        <f ca="1">((SUBSIDIO!$L$513*SUBSIDIO!$Z$513)+(SUBSIDIO!$N$513*SUBSIDIO!$AA$513))*(0.03)/(1-0.03)</f>
        <v>22654.801241196696</v>
      </c>
      <c r="AF513" s="3" t="s">
        <v>1025</v>
      </c>
    </row>
    <row r="514" spans="1:32" ht="11.25" customHeight="1" x14ac:dyDescent="0.25">
      <c r="A514" s="3" t="s">
        <v>21</v>
      </c>
      <c r="B514" s="3" t="s">
        <v>41</v>
      </c>
      <c r="C514" s="3" t="s">
        <v>42</v>
      </c>
      <c r="D514" s="3" t="s">
        <v>50</v>
      </c>
      <c r="E514" s="3" t="s">
        <v>51</v>
      </c>
      <c r="F514" s="3" t="s">
        <v>25</v>
      </c>
      <c r="G514" s="3" t="s">
        <v>25</v>
      </c>
      <c r="H514" s="3" t="s">
        <v>34</v>
      </c>
      <c r="I514" s="6">
        <v>44440</v>
      </c>
      <c r="J514" s="4">
        <v>0</v>
      </c>
      <c r="K514" s="56">
        <v>0</v>
      </c>
      <c r="L514" s="4">
        <v>255.63300000000001</v>
      </c>
      <c r="M514" s="56">
        <v>255.63300000000001</v>
      </c>
      <c r="N514" s="4">
        <v>255.63300000000001</v>
      </c>
      <c r="O514" s="56">
        <v>255.63300000000001</v>
      </c>
      <c r="P514" s="4">
        <v>0</v>
      </c>
      <c r="Q514" s="3" t="s">
        <v>26</v>
      </c>
      <c r="R514" s="3">
        <v>0</v>
      </c>
      <c r="S514" s="3">
        <v>0</v>
      </c>
      <c r="T514" s="3">
        <v>20</v>
      </c>
      <c r="U514" s="3">
        <v>88</v>
      </c>
      <c r="V514" s="56">
        <f>IF(ISERROR(VLOOKUP($S$514,'TAR FIN'!$A$1:$O$113,15,0)),0,VLOOKUP($S$514,'TAR FIN'!$A$1:$O$113,15,0))</f>
        <v>0</v>
      </c>
      <c r="W514" s="56">
        <f>IF(ISERROR(VLOOKUP($T$514,'TAR FIN'!$A$1:$O$113,15,0)),0,VLOOKUP($T$514,'TAR FIN'!$A$1:$O$113,15,0))*(1-0.06)</f>
        <v>1470.7145999999998</v>
      </c>
      <c r="X514" s="56">
        <f>IF(ISERROR(VLOOKUP($U$514,'TAR FIN'!$A$1:$O$113,15,0)),0,VLOOKUP($U$514,'TAR FIN'!$A$1:$O$113,15,0))*(1-0.06)</f>
        <v>343.57</v>
      </c>
      <c r="Y514" s="56"/>
      <c r="Z514" s="56">
        <f ca="1">('TUSD BE'!$AM$31+'TUSD BF'!$AM$31+'TUSD CVA'!$AM$31)*1*(1-0.03)</f>
        <v>1782.7529237498334</v>
      </c>
      <c r="AA514" s="56">
        <f>('TE BE'!$AA$10+'TE BF'!$AA$10+'TE CVA'!$AA$10)*1*(1-0.03)</f>
        <v>350.70363015859192</v>
      </c>
      <c r="AB514" s="56">
        <f>(SUBSIDIO!$J$514*SUBSIDIO!$V$514)*(0.06)/(1-0.06)</f>
        <v>0</v>
      </c>
      <c r="AC514" s="56">
        <f>((SUBSIDIO!$L$514*SUBSIDIO!$W$514)+(SUBSIDIO!$N$514*SUBSIDIO!$X$514))*(0.06)/(1-0.06)</f>
        <v>29603.681818199999</v>
      </c>
      <c r="AD514" s="56">
        <f>(SUBSIDIO!$J$514*SUBSIDIO!$Y$514)*(0.03)/(1-0.03)</f>
        <v>0</v>
      </c>
      <c r="AE514" s="56">
        <f ca="1">((SUBSIDIO!$L$514*SUBSIDIO!$Z$514)+(SUBSIDIO!$N$514*SUBSIDIO!$AA$514))*(0.03)/(1-0.03)</f>
        <v>16867.481419956883</v>
      </c>
      <c r="AF514" s="3" t="s">
        <v>1025</v>
      </c>
    </row>
    <row r="515" spans="1:32" ht="11.25" customHeight="1" x14ac:dyDescent="0.25">
      <c r="A515" s="3" t="s">
        <v>21</v>
      </c>
      <c r="B515" s="3" t="s">
        <v>41</v>
      </c>
      <c r="C515" s="3" t="s">
        <v>42</v>
      </c>
      <c r="D515" s="3" t="s">
        <v>50</v>
      </c>
      <c r="E515" s="3" t="s">
        <v>51</v>
      </c>
      <c r="F515" s="3" t="s">
        <v>25</v>
      </c>
      <c r="G515" s="3" t="s">
        <v>25</v>
      </c>
      <c r="H515" s="3" t="s">
        <v>34</v>
      </c>
      <c r="I515" s="6">
        <v>44470</v>
      </c>
      <c r="J515" s="4">
        <v>0</v>
      </c>
      <c r="K515" s="56">
        <v>0</v>
      </c>
      <c r="L515" s="4">
        <v>254.77699999999999</v>
      </c>
      <c r="M515" s="56">
        <v>254.77699999999999</v>
      </c>
      <c r="N515" s="4">
        <v>254.77699999999999</v>
      </c>
      <c r="O515" s="56">
        <v>254.77699999999999</v>
      </c>
      <c r="P515" s="4">
        <v>0</v>
      </c>
      <c r="Q515" s="3" t="s">
        <v>26</v>
      </c>
      <c r="R515" s="3">
        <v>0</v>
      </c>
      <c r="S515" s="3">
        <v>0</v>
      </c>
      <c r="T515" s="3">
        <v>20</v>
      </c>
      <c r="U515" s="3">
        <v>88</v>
      </c>
      <c r="V515" s="56">
        <f>IF(ISERROR(VLOOKUP($S$515,'TAR FIN'!$A$1:$O$113,15,0)),0,VLOOKUP($S$515,'TAR FIN'!$A$1:$O$113,15,0))</f>
        <v>0</v>
      </c>
      <c r="W515" s="56">
        <f>IF(ISERROR(VLOOKUP($T$515,'TAR FIN'!$A$1:$O$113,15,0)),0,VLOOKUP($T$515,'TAR FIN'!$A$1:$O$113,15,0))*(1-0.06)</f>
        <v>1470.7145999999998</v>
      </c>
      <c r="X515" s="56">
        <f>IF(ISERROR(VLOOKUP($U$515,'TAR FIN'!$A$1:$O$113,15,0)),0,VLOOKUP($U$515,'TAR FIN'!$A$1:$O$113,15,0))*(1-0.06)</f>
        <v>343.57</v>
      </c>
      <c r="Y515" s="56"/>
      <c r="Z515" s="56">
        <f ca="1">('TUSD BE'!$AM$31+'TUSD BF'!$AM$31+'TUSD CVA'!$AM$31)*1*(1-0.03)</f>
        <v>1782.7529237498334</v>
      </c>
      <c r="AA515" s="56">
        <f>('TE BE'!$AA$10+'TE BF'!$AA$10+'TE CVA'!$AA$10)*1*(1-0.03)</f>
        <v>350.70363015859192</v>
      </c>
      <c r="AB515" s="56">
        <f>(SUBSIDIO!$J$515*SUBSIDIO!$V$515)*(0.06)/(1-0.06)</f>
        <v>0</v>
      </c>
      <c r="AC515" s="56">
        <f>((SUBSIDIO!$L$515*SUBSIDIO!$W$515)+(SUBSIDIO!$N$515*SUBSIDIO!$X$515))*(0.06)/(1-0.06)</f>
        <v>29504.552395799994</v>
      </c>
      <c r="AD515" s="56">
        <f>(SUBSIDIO!$J$515*SUBSIDIO!$Y$515)*(0.03)/(1-0.03)</f>
        <v>0</v>
      </c>
      <c r="AE515" s="56">
        <f ca="1">((SUBSIDIO!$L$515*SUBSIDIO!$Z$515)+(SUBSIDIO!$N$515*SUBSIDIO!$AA$515))*(0.03)/(1-0.03)</f>
        <v>16810.999807271965</v>
      </c>
      <c r="AF515" s="3" t="s">
        <v>1025</v>
      </c>
    </row>
    <row r="516" spans="1:32" ht="11.25" customHeight="1" x14ac:dyDescent="0.25">
      <c r="A516" s="3" t="s">
        <v>21</v>
      </c>
      <c r="B516" s="3" t="s">
        <v>41</v>
      </c>
      <c r="C516" s="3" t="s">
        <v>42</v>
      </c>
      <c r="D516" s="3" t="s">
        <v>50</v>
      </c>
      <c r="E516" s="3" t="s">
        <v>51</v>
      </c>
      <c r="F516" s="3" t="s">
        <v>25</v>
      </c>
      <c r="G516" s="3" t="s">
        <v>25</v>
      </c>
      <c r="H516" s="3" t="s">
        <v>34</v>
      </c>
      <c r="I516" s="6">
        <v>44501</v>
      </c>
      <c r="J516" s="4">
        <v>0</v>
      </c>
      <c r="K516" s="56">
        <v>0</v>
      </c>
      <c r="L516" s="4">
        <v>263.03699999999998</v>
      </c>
      <c r="M516" s="56">
        <v>263.03699999999998</v>
      </c>
      <c r="N516" s="4">
        <v>263.03699999999998</v>
      </c>
      <c r="O516" s="56">
        <v>263.03699999999998</v>
      </c>
      <c r="P516" s="4">
        <v>0</v>
      </c>
      <c r="Q516" s="3" t="s">
        <v>26</v>
      </c>
      <c r="R516" s="3">
        <v>0</v>
      </c>
      <c r="S516" s="3">
        <v>0</v>
      </c>
      <c r="T516" s="3">
        <v>20</v>
      </c>
      <c r="U516" s="3">
        <v>88</v>
      </c>
      <c r="V516" s="56">
        <f>IF(ISERROR(VLOOKUP($S$516,'TAR FIN'!$A$1:$O$113,15,0)),0,VLOOKUP($S$516,'TAR FIN'!$A$1:$O$113,15,0))</f>
        <v>0</v>
      </c>
      <c r="W516" s="56">
        <f>IF(ISERROR(VLOOKUP($T$516,'TAR FIN'!$A$1:$O$113,15,0)),0,VLOOKUP($T$516,'TAR FIN'!$A$1:$O$113,15,0))*(1-0.06)</f>
        <v>1470.7145999999998</v>
      </c>
      <c r="X516" s="56">
        <f>IF(ISERROR(VLOOKUP($U$516,'TAR FIN'!$A$1:$O$113,15,0)),0,VLOOKUP($U$516,'TAR FIN'!$A$1:$O$113,15,0))*(1-0.06)</f>
        <v>343.57</v>
      </c>
      <c r="Y516" s="56"/>
      <c r="Z516" s="56">
        <f ca="1">('TUSD BE'!$AM$31+'TUSD BF'!$AM$31+'TUSD CVA'!$AM$31)*1*(1-0.03)</f>
        <v>1782.7529237498334</v>
      </c>
      <c r="AA516" s="56">
        <f>('TE BE'!$AA$10+'TE BF'!$AA$10+'TE CVA'!$AA$10)*1*(1-0.03)</f>
        <v>350.70363015859192</v>
      </c>
      <c r="AB516" s="56">
        <f>(SUBSIDIO!$J$516*SUBSIDIO!$V$516)*(0.06)/(1-0.06)</f>
        <v>0</v>
      </c>
      <c r="AC516" s="56">
        <f>((SUBSIDIO!$L$516*SUBSIDIO!$W$516)+(SUBSIDIO!$N$516*SUBSIDIO!$X$516))*(0.06)/(1-0.06)</f>
        <v>30461.104999799998</v>
      </c>
      <c r="AD516" s="56">
        <f>(SUBSIDIO!$J$516*SUBSIDIO!$Y$516)*(0.03)/(1-0.03)</f>
        <v>0</v>
      </c>
      <c r="AE516" s="56">
        <f ca="1">((SUBSIDIO!$L$516*SUBSIDIO!$Z$516)+(SUBSIDIO!$N$516*SUBSIDIO!$AA$516))*(0.03)/(1-0.03)</f>
        <v>17356.020976404445</v>
      </c>
      <c r="AF516" s="3" t="s">
        <v>1025</v>
      </c>
    </row>
    <row r="517" spans="1:32" ht="11.25" customHeight="1" x14ac:dyDescent="0.25">
      <c r="A517" s="3" t="s">
        <v>21</v>
      </c>
      <c r="B517" s="3" t="s">
        <v>41</v>
      </c>
      <c r="C517" s="3" t="s">
        <v>42</v>
      </c>
      <c r="D517" s="3" t="s">
        <v>50</v>
      </c>
      <c r="E517" s="3" t="s">
        <v>51</v>
      </c>
      <c r="F517" s="3" t="s">
        <v>25</v>
      </c>
      <c r="G517" s="3" t="s">
        <v>25</v>
      </c>
      <c r="H517" s="3" t="s">
        <v>34</v>
      </c>
      <c r="I517" s="6">
        <v>44531</v>
      </c>
      <c r="J517" s="4">
        <v>0</v>
      </c>
      <c r="K517" s="56">
        <v>0</v>
      </c>
      <c r="L517" s="4">
        <v>296.10899999999998</v>
      </c>
      <c r="M517" s="56">
        <v>296.10899999999998</v>
      </c>
      <c r="N517" s="4">
        <v>296.10899999999998</v>
      </c>
      <c r="O517" s="56">
        <v>296.10899999999998</v>
      </c>
      <c r="P517" s="4">
        <v>0</v>
      </c>
      <c r="Q517" s="3" t="s">
        <v>26</v>
      </c>
      <c r="R517" s="3">
        <v>0</v>
      </c>
      <c r="S517" s="3">
        <v>0</v>
      </c>
      <c r="T517" s="3">
        <v>20</v>
      </c>
      <c r="U517" s="3">
        <v>88</v>
      </c>
      <c r="V517" s="56">
        <f>IF(ISERROR(VLOOKUP($S$517,'TAR FIN'!$A$1:$O$113,15,0)),0,VLOOKUP($S$517,'TAR FIN'!$A$1:$O$113,15,0))</f>
        <v>0</v>
      </c>
      <c r="W517" s="56">
        <f>IF(ISERROR(VLOOKUP($T$517,'TAR FIN'!$A$1:$O$113,15,0)),0,VLOOKUP($T$517,'TAR FIN'!$A$1:$O$113,15,0))*(1-0.06)</f>
        <v>1470.7145999999998</v>
      </c>
      <c r="X517" s="56">
        <f>IF(ISERROR(VLOOKUP($U$517,'TAR FIN'!$A$1:$O$113,15,0)),0,VLOOKUP($U$517,'TAR FIN'!$A$1:$O$113,15,0))*(1-0.06)</f>
        <v>343.57</v>
      </c>
      <c r="Y517" s="56"/>
      <c r="Z517" s="56">
        <f ca="1">('TUSD BE'!$AM$31+'TUSD BF'!$AM$31+'TUSD CVA'!$AM$31)*1*(1-0.03)</f>
        <v>1782.7529237498334</v>
      </c>
      <c r="AA517" s="56">
        <f>('TE BE'!$AA$10+'TE BF'!$AA$10+'TE CVA'!$AA$10)*1*(1-0.03)</f>
        <v>350.70363015859192</v>
      </c>
      <c r="AB517" s="56">
        <f>(SUBSIDIO!$J$517*SUBSIDIO!$V$517)*(0.06)/(1-0.06)</f>
        <v>0</v>
      </c>
      <c r="AC517" s="56">
        <f>((SUBSIDIO!$L$517*SUBSIDIO!$W$517)+(SUBSIDIO!$N$517*SUBSIDIO!$X$517))*(0.06)/(1-0.06)</f>
        <v>34291.021188599996</v>
      </c>
      <c r="AD517" s="56">
        <f>(SUBSIDIO!$J$517*SUBSIDIO!$Y$517)*(0.03)/(1-0.03)</f>
        <v>0</v>
      </c>
      <c r="AE517" s="56">
        <f ca="1">((SUBSIDIO!$L$517*SUBSIDIO!$Z$517)+(SUBSIDIO!$N$517*SUBSIDIO!$AA$517))*(0.03)/(1-0.03)</f>
        <v>19538.217115090818</v>
      </c>
      <c r="AF517" s="3" t="s">
        <v>1025</v>
      </c>
    </row>
    <row r="518" spans="1:32" ht="11.25" customHeight="1" x14ac:dyDescent="0.25">
      <c r="A518" s="3" t="s">
        <v>21</v>
      </c>
      <c r="B518" s="3" t="s">
        <v>41</v>
      </c>
      <c r="C518" s="3" t="s">
        <v>42</v>
      </c>
      <c r="D518" s="3" t="s">
        <v>50</v>
      </c>
      <c r="E518" s="3" t="s">
        <v>51</v>
      </c>
      <c r="F518" s="3" t="s">
        <v>25</v>
      </c>
      <c r="G518" s="3" t="s">
        <v>25</v>
      </c>
      <c r="H518" s="3" t="s">
        <v>34</v>
      </c>
      <c r="I518" s="6">
        <v>44562</v>
      </c>
      <c r="J518" s="4">
        <v>0</v>
      </c>
      <c r="K518" s="56">
        <v>0</v>
      </c>
      <c r="L518" s="4">
        <v>283.55799999999999</v>
      </c>
      <c r="M518" s="56">
        <v>283.55799999999999</v>
      </c>
      <c r="N518" s="4">
        <v>283.55799999999999</v>
      </c>
      <c r="O518" s="56">
        <v>283.55799999999999</v>
      </c>
      <c r="P518" s="4">
        <v>0</v>
      </c>
      <c r="Q518" s="3" t="s">
        <v>26</v>
      </c>
      <c r="R518" s="3">
        <v>0</v>
      </c>
      <c r="S518" s="3">
        <v>0</v>
      </c>
      <c r="T518" s="3">
        <v>20</v>
      </c>
      <c r="U518" s="3">
        <v>88</v>
      </c>
      <c r="V518" s="56">
        <f>IF(ISERROR(VLOOKUP($S$518,'TAR FIN'!$A$1:$O$113,15,0)),0,VLOOKUP($S$518,'TAR FIN'!$A$1:$O$113,15,0))</f>
        <v>0</v>
      </c>
      <c r="W518" s="56">
        <f>IF(ISERROR(VLOOKUP($T$518,'TAR FIN'!$A$1:$O$113,15,0)),0,VLOOKUP($T$518,'TAR FIN'!$A$1:$O$113,15,0))*(1-0.06)</f>
        <v>1470.7145999999998</v>
      </c>
      <c r="X518" s="56">
        <f>IF(ISERROR(VLOOKUP($U$518,'TAR FIN'!$A$1:$O$113,15,0)),0,VLOOKUP($U$518,'TAR FIN'!$A$1:$O$113,15,0))*(1-0.06)</f>
        <v>343.57</v>
      </c>
      <c r="Y518" s="56"/>
      <c r="Z518" s="56">
        <f ca="1">('TUSD BE'!$AM$31+'TUSD BF'!$AM$31+'TUSD CVA'!$AM$31)*1*(1-0.03)</f>
        <v>1782.7529237498334</v>
      </c>
      <c r="AA518" s="56">
        <f>('TE BE'!$AA$10+'TE BF'!$AA$10+'TE CVA'!$AA$10)*1*(1-0.03)</f>
        <v>350.70363015859192</v>
      </c>
      <c r="AB518" s="56">
        <f>(SUBSIDIO!$J$518*SUBSIDIO!$V$518)*(0.06)/(1-0.06)</f>
        <v>0</v>
      </c>
      <c r="AC518" s="56">
        <f>((SUBSIDIO!$L$518*SUBSIDIO!$W$518)+(SUBSIDIO!$N$518*SUBSIDIO!$X$518))*(0.06)/(1-0.06)</f>
        <v>32837.547613199997</v>
      </c>
      <c r="AD518" s="56">
        <f>(SUBSIDIO!$J$518*SUBSIDIO!$Y$518)*(0.03)/(1-0.03)</f>
        <v>0</v>
      </c>
      <c r="AE518" s="56">
        <f ca="1">((SUBSIDIO!$L$518*SUBSIDIO!$Z$518)+(SUBSIDIO!$N$518*SUBSIDIO!$AA$518))*(0.03)/(1-0.03)</f>
        <v>18710.062067417482</v>
      </c>
      <c r="AF518" s="3" t="s">
        <v>1025</v>
      </c>
    </row>
    <row r="519" spans="1:32" ht="11.25" customHeight="1" x14ac:dyDescent="0.25">
      <c r="A519" s="3" t="s">
        <v>21</v>
      </c>
      <c r="B519" s="3" t="s">
        <v>41</v>
      </c>
      <c r="C519" s="3" t="s">
        <v>42</v>
      </c>
      <c r="D519" s="3" t="s">
        <v>50</v>
      </c>
      <c r="E519" s="3" t="s">
        <v>51</v>
      </c>
      <c r="F519" s="3" t="s">
        <v>25</v>
      </c>
      <c r="G519" s="3" t="s">
        <v>25</v>
      </c>
      <c r="H519" s="3" t="s">
        <v>34</v>
      </c>
      <c r="I519" s="6">
        <v>44593</v>
      </c>
      <c r="J519" s="4">
        <v>0</v>
      </c>
      <c r="K519" s="56">
        <v>0</v>
      </c>
      <c r="L519" s="4">
        <v>267.255</v>
      </c>
      <c r="M519" s="56">
        <v>267.255</v>
      </c>
      <c r="N519" s="4">
        <v>267.255</v>
      </c>
      <c r="O519" s="56">
        <v>267.255</v>
      </c>
      <c r="P519" s="4">
        <v>0</v>
      </c>
      <c r="Q519" s="3" t="s">
        <v>26</v>
      </c>
      <c r="R519" s="3">
        <v>0</v>
      </c>
      <c r="S519" s="3">
        <v>0</v>
      </c>
      <c r="T519" s="3">
        <v>20</v>
      </c>
      <c r="U519" s="3">
        <v>88</v>
      </c>
      <c r="V519" s="56">
        <f>IF(ISERROR(VLOOKUP($S$519,'TAR FIN'!$A$1:$O$113,15,0)),0,VLOOKUP($S$519,'TAR FIN'!$A$1:$O$113,15,0))</f>
        <v>0</v>
      </c>
      <c r="W519" s="56">
        <f>IF(ISERROR(VLOOKUP($T$519,'TAR FIN'!$A$1:$O$113,15,0)),0,VLOOKUP($T$519,'TAR FIN'!$A$1:$O$113,15,0))*(1-0.06)</f>
        <v>1470.7145999999998</v>
      </c>
      <c r="X519" s="56">
        <f>IF(ISERROR(VLOOKUP($U$519,'TAR FIN'!$A$1:$O$113,15,0)),0,VLOOKUP($U$519,'TAR FIN'!$A$1:$O$113,15,0))*(1-0.06)</f>
        <v>343.57</v>
      </c>
      <c r="Y519" s="56"/>
      <c r="Z519" s="56">
        <f ca="1">('TUSD BE'!$AM$31+'TUSD BF'!$AM$31+'TUSD CVA'!$AM$31)*1*(1-0.03)</f>
        <v>1782.7529237498334</v>
      </c>
      <c r="AA519" s="56">
        <f>('TE BE'!$AA$10+'TE BF'!$AA$10+'TE CVA'!$AA$10)*1*(1-0.03)</f>
        <v>350.70363015859192</v>
      </c>
      <c r="AB519" s="56">
        <f>(SUBSIDIO!$J$519*SUBSIDIO!$V$519)*(0.06)/(1-0.06)</f>
        <v>0</v>
      </c>
      <c r="AC519" s="56">
        <f>((SUBSIDIO!$L$519*SUBSIDIO!$W$519)+(SUBSIDIO!$N$519*SUBSIDIO!$X$519))*(0.06)/(1-0.06)</f>
        <v>30949.572176999991</v>
      </c>
      <c r="AD519" s="56">
        <f>(SUBSIDIO!$J$519*SUBSIDIO!$Y$519)*(0.03)/(1-0.03)</f>
        <v>0</v>
      </c>
      <c r="AE519" s="56">
        <f ca="1">((SUBSIDIO!$L$519*SUBSIDIO!$Z$519)+(SUBSIDIO!$N$519*SUBSIDIO!$AA$519))*(0.03)/(1-0.03)</f>
        <v>17634.338081900914</v>
      </c>
      <c r="AF519" s="3" t="s">
        <v>1025</v>
      </c>
    </row>
    <row r="520" spans="1:32" ht="11.25" customHeight="1" x14ac:dyDescent="0.25">
      <c r="A520" s="3" t="s">
        <v>56</v>
      </c>
      <c r="B520" s="3" t="s">
        <v>41</v>
      </c>
      <c r="C520" s="3" t="s">
        <v>42</v>
      </c>
      <c r="D520" s="3" t="s">
        <v>50</v>
      </c>
      <c r="E520" s="3" t="s">
        <v>51</v>
      </c>
      <c r="F520" s="3" t="s">
        <v>25</v>
      </c>
      <c r="G520" s="3" t="s">
        <v>25</v>
      </c>
      <c r="H520" s="3" t="s">
        <v>34</v>
      </c>
      <c r="I520" s="6">
        <v>44621</v>
      </c>
      <c r="J520" s="4">
        <v>0</v>
      </c>
      <c r="K520" s="56">
        <v>0</v>
      </c>
      <c r="L520" s="4">
        <v>267.255</v>
      </c>
      <c r="M520" s="56">
        <v>267.255</v>
      </c>
      <c r="N520" s="4">
        <v>267.255</v>
      </c>
      <c r="O520" s="56">
        <v>267.255</v>
      </c>
      <c r="P520" s="4">
        <v>0</v>
      </c>
      <c r="Q520" s="3" t="s">
        <v>26</v>
      </c>
      <c r="R520" s="3">
        <v>0</v>
      </c>
      <c r="S520" s="3">
        <v>0</v>
      </c>
      <c r="T520" s="3">
        <v>20</v>
      </c>
      <c r="U520" s="3">
        <v>88</v>
      </c>
      <c r="V520" s="56">
        <f>IF(ISERROR(VLOOKUP($S$520,'TAR FIN'!$A$1:$O$113,15,0)),0,VLOOKUP($S$520,'TAR FIN'!$A$1:$O$113,15,0))</f>
        <v>0</v>
      </c>
      <c r="W520" s="56">
        <f>IF(ISERROR(VLOOKUP($T$520,'TAR FIN'!$A$1:$O$113,15,0)),0,VLOOKUP($T$520,'TAR FIN'!$A$1:$O$113,15,0))*(1-0.06)</f>
        <v>1470.7145999999998</v>
      </c>
      <c r="X520" s="56">
        <f>IF(ISERROR(VLOOKUP($U$520,'TAR FIN'!$A$1:$O$113,15,0)),0,VLOOKUP($U$520,'TAR FIN'!$A$1:$O$113,15,0))*(1-0.06)</f>
        <v>343.57</v>
      </c>
      <c r="Y520" s="56"/>
      <c r="Z520" s="56">
        <f ca="1">('TUSD BE'!$AM$31+'TUSD BF'!$AM$31+'TUSD CVA'!$AM$31)*1*(1-0.03)</f>
        <v>1782.7529237498334</v>
      </c>
      <c r="AA520" s="56">
        <f>('TE BE'!$AA$10+'TE BF'!$AA$10+'TE CVA'!$AA$10)*1*(1-0.03)</f>
        <v>350.70363015859192</v>
      </c>
      <c r="AB520" s="56">
        <f>(SUBSIDIO!$J$520*SUBSIDIO!$V$520)*(0.06)/(1-0.06)</f>
        <v>0</v>
      </c>
      <c r="AC520" s="56">
        <f>((SUBSIDIO!$L$520*SUBSIDIO!$W$520)+(SUBSIDIO!$N$520*SUBSIDIO!$X$520))*(0.06)/(1-0.06)</f>
        <v>30949.572176999991</v>
      </c>
      <c r="AD520" s="56">
        <f>(SUBSIDIO!$J$520*SUBSIDIO!$Y$520)*(0.03)/(1-0.03)</f>
        <v>0</v>
      </c>
      <c r="AE520" s="56">
        <f ca="1">((SUBSIDIO!$L$520*SUBSIDIO!$Z$520)+(SUBSIDIO!$N$520*SUBSIDIO!$AA$520))*(0.03)/(1-0.03)</f>
        <v>17634.338081900914</v>
      </c>
      <c r="AF520" s="3" t="s">
        <v>1025</v>
      </c>
    </row>
    <row r="521" spans="1:32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24</v>
      </c>
      <c r="F521" s="3" t="s">
        <v>25</v>
      </c>
      <c r="G521" s="3" t="s">
        <v>25</v>
      </c>
      <c r="H521" s="3" t="s">
        <v>25</v>
      </c>
      <c r="I521" s="6">
        <v>44287</v>
      </c>
      <c r="J521" s="4">
        <v>0</v>
      </c>
      <c r="K521" s="4">
        <v>0</v>
      </c>
      <c r="L521" s="4">
        <v>83240.540999999997</v>
      </c>
      <c r="M521" s="4">
        <v>83240.540999999997</v>
      </c>
      <c r="N521" s="4">
        <v>83240.540999999997</v>
      </c>
      <c r="O521" s="4">
        <v>83240.540999999997</v>
      </c>
      <c r="P521" s="4">
        <v>503995</v>
      </c>
      <c r="Q521" s="3" t="s">
        <v>26</v>
      </c>
      <c r="R521" s="3">
        <v>0</v>
      </c>
      <c r="S521" s="3">
        <v>0</v>
      </c>
      <c r="T521" s="3">
        <v>48</v>
      </c>
      <c r="U521" s="3">
        <v>65</v>
      </c>
      <c r="V521" s="4">
        <f>IF(ISERROR(VLOOKUP($S$521,'TAR FIN'!$A$1:$O$113,15,0)),0,VLOOKUP($S$521,'TAR FIN'!$A$1:$O$113,15,0))</f>
        <v>0</v>
      </c>
      <c r="W521" s="4">
        <f>IF(ISERROR(VLOOKUP($T$521,'TAR FIN'!$A$1:$O$113,15,0)),0,VLOOKUP($T$521,'TAR FIN'!$A$1:$O$113,15,0))</f>
        <v>346.2</v>
      </c>
      <c r="X521" s="4">
        <f>IF(ISERROR(VLOOKUP($U$521,'TAR FIN'!$A$1:$O$113,15,0)),0,VLOOKUP($U$521,'TAR FIN'!$A$1:$O$113,15,0))</f>
        <v>234.24</v>
      </c>
      <c r="Y521" s="4"/>
      <c r="Z521" s="4">
        <f ca="1">('TUSD BE'!$AM$40+'TUSD BF'!$AM$40+'TUSD CVA'!$AM$40)*1</f>
        <v>411.14246090221764</v>
      </c>
      <c r="AA521" s="4">
        <f>('TE BE'!$AA$19+'TE BF'!$AA$19+'TE CVA'!$AA$19)*1</f>
        <v>234.67932779241937</v>
      </c>
      <c r="AB521" s="4">
        <f t="shared" ref="AB521:AB577" si="26">(J521-K521)*V521</f>
        <v>0</v>
      </c>
      <c r="AC521" s="4">
        <f t="shared" ref="AC521" si="27">(L521-M521)*W521+(N521-O521)*X521</f>
        <v>0</v>
      </c>
      <c r="AD521" s="4">
        <f t="shared" ref="AD521:AD577" si="28">(J521-K521)*Y521</f>
        <v>0</v>
      </c>
      <c r="AE521" s="4">
        <f t="shared" ref="AE521" ca="1" si="29">(L521-M521)*Z521+(N521-O521)*AA521</f>
        <v>0</v>
      </c>
    </row>
    <row r="522" spans="1:32" ht="11.25" customHeight="1" x14ac:dyDescent="0.25">
      <c r="A522" s="3" t="s">
        <v>21</v>
      </c>
      <c r="B522" s="3" t="s">
        <v>22</v>
      </c>
      <c r="C522" s="3" t="s">
        <v>23</v>
      </c>
      <c r="D522" s="3" t="s">
        <v>24</v>
      </c>
      <c r="E522" s="3" t="s">
        <v>29</v>
      </c>
      <c r="F522" s="3" t="s">
        <v>25</v>
      </c>
      <c r="G522" s="3" t="s">
        <v>25</v>
      </c>
      <c r="H522" s="3" t="s">
        <v>25</v>
      </c>
      <c r="I522" s="6">
        <v>44287</v>
      </c>
      <c r="J522" s="4">
        <v>0</v>
      </c>
      <c r="K522" s="4">
        <v>0</v>
      </c>
      <c r="L522" s="4">
        <v>6850.3620000000001</v>
      </c>
      <c r="M522" s="4">
        <v>6850.3620000000001</v>
      </c>
      <c r="N522" s="4">
        <v>6850.3620000000001</v>
      </c>
      <c r="O522" s="4">
        <v>6850.3620000000001</v>
      </c>
      <c r="P522" s="4">
        <v>20281</v>
      </c>
      <c r="Q522" s="3" t="s">
        <v>26</v>
      </c>
      <c r="R522" s="3">
        <v>0</v>
      </c>
      <c r="S522" s="3">
        <v>0</v>
      </c>
      <c r="T522" s="3">
        <v>26</v>
      </c>
      <c r="U522" s="3">
        <v>99</v>
      </c>
      <c r="V522" s="4">
        <f>IF(ISERROR(VLOOKUP($S$522,'TAR FIN'!$A$1:$O$113,15,0)),0,VLOOKUP($S$522,'TAR FIN'!$A$1:$O$113,15,0))</f>
        <v>0</v>
      </c>
      <c r="W522" s="4">
        <f>IF(ISERROR(VLOOKUP($T$522,'TAR FIN'!$A$1:$O$113,15,0)),0,VLOOKUP($T$522,'TAR FIN'!$A$1:$O$113,15,0))</f>
        <v>107.74</v>
      </c>
      <c r="X522" s="4">
        <f>IF(ISERROR(VLOOKUP($U$522,'TAR FIN'!$A$1:$O$113,15,0)),0,VLOOKUP($U$522,'TAR FIN'!$A$1:$O$113,15,0))</f>
        <v>81.98</v>
      </c>
      <c r="Y522" s="4"/>
      <c r="Z52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2" s="4">
        <f>('TE BE'!$AA$20+'TE BF'!$AA$20+'TE CVA'!$AA$20)*(1-CUSTOS!$M$34)</f>
        <v>82.137764727346777</v>
      </c>
      <c r="AB522" s="4">
        <f t="shared" si="26"/>
        <v>0</v>
      </c>
      <c r="AC522" s="4">
        <f>(L522-M522)*(W522+X522)+($W$630+$X$630-$W$522-$X$522)*(L522)</f>
        <v>2413793.5543199992</v>
      </c>
      <c r="AD522" s="4">
        <f t="shared" si="28"/>
        <v>0</v>
      </c>
      <c r="AE522" s="4">
        <f ca="1">(L522-M522)*(Z522+AA522)+($Z$630+$AA$630-$Z$522-$AA$522)*(L522)</f>
        <v>2633063.508598879</v>
      </c>
      <c r="AF522" s="3" t="s">
        <v>1028</v>
      </c>
    </row>
    <row r="523" spans="1:32" ht="11.25" customHeight="1" x14ac:dyDescent="0.25">
      <c r="A523" s="3" t="s">
        <v>27</v>
      </c>
      <c r="B523" s="3" t="s">
        <v>22</v>
      </c>
      <c r="C523" s="3" t="s">
        <v>23</v>
      </c>
      <c r="D523" s="3" t="s">
        <v>24</v>
      </c>
      <c r="E523" s="3" t="s">
        <v>29</v>
      </c>
      <c r="F523" s="3" t="s">
        <v>25</v>
      </c>
      <c r="G523" s="3" t="s">
        <v>25</v>
      </c>
      <c r="H523" s="3" t="s">
        <v>25</v>
      </c>
      <c r="I523" s="6">
        <v>44287</v>
      </c>
      <c r="J523" s="4">
        <v>0</v>
      </c>
      <c r="K523" s="4">
        <v>0</v>
      </c>
      <c r="L523" s="4">
        <v>-1.675</v>
      </c>
      <c r="M523" s="4">
        <v>-1.675</v>
      </c>
      <c r="N523" s="4">
        <v>-1.675</v>
      </c>
      <c r="O523" s="4">
        <v>-1.675</v>
      </c>
      <c r="P523" s="4">
        <v>-38</v>
      </c>
      <c r="Q523" s="3" t="s">
        <v>26</v>
      </c>
      <c r="R523" s="3">
        <v>0</v>
      </c>
      <c r="S523" s="3">
        <v>0</v>
      </c>
      <c r="T523" s="3">
        <v>26</v>
      </c>
      <c r="U523" s="3">
        <v>99</v>
      </c>
      <c r="V523" s="4">
        <f>IF(ISERROR(VLOOKUP($S$523,'TAR FIN'!$A$1:$O$113,15,0)),0,VLOOKUP($S$523,'TAR FIN'!$A$1:$O$113,15,0))</f>
        <v>0</v>
      </c>
      <c r="W523" s="4">
        <f>IF(ISERROR(VLOOKUP($T$523,'TAR FIN'!$A$1:$O$113,15,0)),0,VLOOKUP($T$523,'TAR FIN'!$A$1:$O$113,15,0))</f>
        <v>107.74</v>
      </c>
      <c r="X523" s="4">
        <f>IF(ISERROR(VLOOKUP($U$523,'TAR FIN'!$A$1:$O$113,15,0)),0,VLOOKUP($U$523,'TAR FIN'!$A$1:$O$113,15,0))</f>
        <v>81.98</v>
      </c>
      <c r="Y523" s="4"/>
      <c r="Z52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3" s="4">
        <f>('TE BE'!$AA$20+'TE BF'!$AA$20+'TE CVA'!$AA$20)*(1-CUSTOS!$M$34)</f>
        <v>82.137764727346777</v>
      </c>
      <c r="AB523" s="4">
        <f t="shared" si="26"/>
        <v>0</v>
      </c>
      <c r="AC523" s="4">
        <f>(L523-M523)*(W523+X523)+($W$630+$X$630-$W$523-$X$523)*(L523)</f>
        <v>-590.20299999999986</v>
      </c>
      <c r="AD523" s="4">
        <f t="shared" si="28"/>
        <v>0</v>
      </c>
      <c r="AE523" s="4">
        <f ca="1">(L523-M523)*(Z523+AA523)+($Z$630+$AA$630-$Z$523-$AA$523)*(L523)</f>
        <v>-643.81727227015483</v>
      </c>
      <c r="AF523" s="3" t="s">
        <v>1028</v>
      </c>
    </row>
    <row r="524" spans="1:32" ht="11.25" customHeight="1" x14ac:dyDescent="0.25">
      <c r="A524" s="3" t="s">
        <v>28</v>
      </c>
      <c r="B524" s="3" t="s">
        <v>22</v>
      </c>
      <c r="C524" s="3" t="s">
        <v>23</v>
      </c>
      <c r="D524" s="3" t="s">
        <v>24</v>
      </c>
      <c r="E524" s="3" t="s">
        <v>29</v>
      </c>
      <c r="F524" s="3" t="s">
        <v>25</v>
      </c>
      <c r="G524" s="3" t="s">
        <v>25</v>
      </c>
      <c r="H524" s="3" t="s">
        <v>25</v>
      </c>
      <c r="I524" s="6">
        <v>44287</v>
      </c>
      <c r="J524" s="4">
        <v>0</v>
      </c>
      <c r="K524" s="4">
        <v>0</v>
      </c>
      <c r="L524" s="4">
        <v>1.32</v>
      </c>
      <c r="M524" s="4">
        <v>1.32</v>
      </c>
      <c r="N524" s="4">
        <v>1.32</v>
      </c>
      <c r="O524" s="4">
        <v>1.32</v>
      </c>
      <c r="P524" s="4">
        <v>7</v>
      </c>
      <c r="Q524" s="3" t="s">
        <v>26</v>
      </c>
      <c r="R524" s="3">
        <v>0</v>
      </c>
      <c r="S524" s="3">
        <v>0</v>
      </c>
      <c r="T524" s="3">
        <v>26</v>
      </c>
      <c r="U524" s="3">
        <v>99</v>
      </c>
      <c r="V524" s="4">
        <f>IF(ISERROR(VLOOKUP($S$524,'TAR FIN'!$A$1:$O$113,15,0)),0,VLOOKUP($S$524,'TAR FIN'!$A$1:$O$113,15,0))</f>
        <v>0</v>
      </c>
      <c r="W524" s="4">
        <f>IF(ISERROR(VLOOKUP($T$524,'TAR FIN'!$A$1:$O$113,15,0)),0,VLOOKUP($T$524,'TAR FIN'!$A$1:$O$113,15,0))</f>
        <v>107.74</v>
      </c>
      <c r="X524" s="4">
        <f>IF(ISERROR(VLOOKUP($U$524,'TAR FIN'!$A$1:$O$113,15,0)),0,VLOOKUP($U$524,'TAR FIN'!$A$1:$O$113,15,0))</f>
        <v>81.98</v>
      </c>
      <c r="Y524" s="4"/>
      <c r="Z52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4" s="4">
        <f>('TE BE'!$AA$20+'TE BF'!$AA$20+'TE CVA'!$AA$20)*(1-CUSTOS!$M$34)</f>
        <v>82.137764727346777</v>
      </c>
      <c r="AB524" s="4">
        <f t="shared" si="26"/>
        <v>0</v>
      </c>
      <c r="AC524" s="4">
        <f>(L524-M524)*(W524+X524)+($W$630+$X$630-$W$524-$X$524)*(L524)</f>
        <v>465.1151999999999</v>
      </c>
      <c r="AD524" s="4">
        <f t="shared" si="28"/>
        <v>0</v>
      </c>
      <c r="AE524" s="4">
        <f ca="1">(L524-M524)*(Z524+AA524)+($Z$630+$AA$630-$Z$524-$AA$524)*(L524)</f>
        <v>507.36644740095784</v>
      </c>
      <c r="AF524" s="3" t="s">
        <v>1028</v>
      </c>
    </row>
    <row r="525" spans="1:32" ht="11.25" customHeight="1" x14ac:dyDescent="0.25">
      <c r="A525" s="3" t="s">
        <v>21</v>
      </c>
      <c r="B525" s="3" t="s">
        <v>22</v>
      </c>
      <c r="C525" s="3" t="s">
        <v>23</v>
      </c>
      <c r="D525" s="3" t="s">
        <v>24</v>
      </c>
      <c r="E525" s="3" t="s">
        <v>29</v>
      </c>
      <c r="F525" s="3" t="s">
        <v>25</v>
      </c>
      <c r="G525" s="3" t="s">
        <v>25</v>
      </c>
      <c r="H525" s="3" t="s">
        <v>25</v>
      </c>
      <c r="I525" s="6">
        <v>44317</v>
      </c>
      <c r="J525" s="4">
        <v>0</v>
      </c>
      <c r="K525" s="4">
        <v>0</v>
      </c>
      <c r="L525" s="4">
        <v>6865.0609999999997</v>
      </c>
      <c r="M525" s="4">
        <v>6865.0609999999997</v>
      </c>
      <c r="N525" s="4">
        <v>6865.0609999999997</v>
      </c>
      <c r="O525" s="4">
        <v>6865.0609999999997</v>
      </c>
      <c r="P525" s="4">
        <v>21755</v>
      </c>
      <c r="Q525" s="3" t="s">
        <v>26</v>
      </c>
      <c r="R525" s="3">
        <v>0</v>
      </c>
      <c r="S525" s="3">
        <v>0</v>
      </c>
      <c r="T525" s="3">
        <v>26</v>
      </c>
      <c r="U525" s="3">
        <v>99</v>
      </c>
      <c r="V525" s="4">
        <f>IF(ISERROR(VLOOKUP($S$525,'TAR FIN'!$A$1:$O$113,15,0)),0,VLOOKUP($S$525,'TAR FIN'!$A$1:$O$113,15,0))</f>
        <v>0</v>
      </c>
      <c r="W525" s="4">
        <f>IF(ISERROR(VLOOKUP($T$525,'TAR FIN'!$A$1:$O$113,15,0)),0,VLOOKUP($T$525,'TAR FIN'!$A$1:$O$113,15,0))</f>
        <v>107.74</v>
      </c>
      <c r="X525" s="4">
        <f>IF(ISERROR(VLOOKUP($U$525,'TAR FIN'!$A$1:$O$113,15,0)),0,VLOOKUP($U$525,'TAR FIN'!$A$1:$O$113,15,0))</f>
        <v>81.98</v>
      </c>
      <c r="Y525" s="4"/>
      <c r="Z52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5" s="4">
        <f>('TE BE'!$AA$20+'TE BF'!$AA$20+'TE CVA'!$AA$20)*(1-CUSTOS!$M$34)</f>
        <v>82.137764727346777</v>
      </c>
      <c r="AB525" s="4">
        <f t="shared" si="26"/>
        <v>0</v>
      </c>
      <c r="AC525" s="4">
        <f>(L525-M525)*(W525+X525)+($W$630+$X$630-$W$525-$X$525)*(L525)</f>
        <v>2418972.8939599991</v>
      </c>
      <c r="AD525" s="4">
        <f t="shared" si="28"/>
        <v>0</v>
      </c>
      <c r="AE525" s="4">
        <f ca="1">(L525-M525)*(Z525+AA525)+($Z$630+$AA$630-$Z$525-$AA$525)*(L525)</f>
        <v>2638713.341485505</v>
      </c>
      <c r="AF525" s="3" t="s">
        <v>1028</v>
      </c>
    </row>
    <row r="526" spans="1:32" ht="11.25" customHeight="1" x14ac:dyDescent="0.25">
      <c r="A526" s="3" t="s">
        <v>27</v>
      </c>
      <c r="B526" s="3" t="s">
        <v>22</v>
      </c>
      <c r="C526" s="3" t="s">
        <v>23</v>
      </c>
      <c r="D526" s="3" t="s">
        <v>24</v>
      </c>
      <c r="E526" s="3" t="s">
        <v>29</v>
      </c>
      <c r="F526" s="3" t="s">
        <v>25</v>
      </c>
      <c r="G526" s="3" t="s">
        <v>25</v>
      </c>
      <c r="H526" s="3" t="s">
        <v>25</v>
      </c>
      <c r="I526" s="6">
        <v>44317</v>
      </c>
      <c r="J526" s="4">
        <v>0</v>
      </c>
      <c r="K526" s="4">
        <v>0</v>
      </c>
      <c r="L526" s="4">
        <v>-0.16</v>
      </c>
      <c r="M526" s="4">
        <v>-0.16</v>
      </c>
      <c r="N526" s="4">
        <v>-0.16</v>
      </c>
      <c r="O526" s="4">
        <v>-0.16</v>
      </c>
      <c r="P526" s="4">
        <v>-60</v>
      </c>
      <c r="Q526" s="3" t="s">
        <v>26</v>
      </c>
      <c r="R526" s="3">
        <v>0</v>
      </c>
      <c r="S526" s="3">
        <v>0</v>
      </c>
      <c r="T526" s="3">
        <v>26</v>
      </c>
      <c r="U526" s="3">
        <v>99</v>
      </c>
      <c r="V526" s="4">
        <f>IF(ISERROR(VLOOKUP($S$526,'TAR FIN'!$A$1:$O$113,15,0)),0,VLOOKUP($S$526,'TAR FIN'!$A$1:$O$113,15,0))</f>
        <v>0</v>
      </c>
      <c r="W526" s="4">
        <f>IF(ISERROR(VLOOKUP($T$526,'TAR FIN'!$A$1:$O$113,15,0)),0,VLOOKUP($T$526,'TAR FIN'!$A$1:$O$113,15,0))</f>
        <v>107.74</v>
      </c>
      <c r="X526" s="4">
        <f>IF(ISERROR(VLOOKUP($U$526,'TAR FIN'!$A$1:$O$113,15,0)),0,VLOOKUP($U$526,'TAR FIN'!$A$1:$O$113,15,0))</f>
        <v>81.98</v>
      </c>
      <c r="Y526" s="4"/>
      <c r="Z52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6" s="4">
        <f>('TE BE'!$AA$20+'TE BF'!$AA$20+'TE CVA'!$AA$20)*(1-CUSTOS!$M$34)</f>
        <v>82.137764727346777</v>
      </c>
      <c r="AB526" s="4">
        <f t="shared" si="26"/>
        <v>0</v>
      </c>
      <c r="AC526" s="4">
        <f>(L526-M526)*(W526+X526)+($W$630+$X$630-$W$526-$X$526)*(L526)</f>
        <v>-56.377599999999987</v>
      </c>
      <c r="AD526" s="4">
        <f t="shared" si="28"/>
        <v>0</v>
      </c>
      <c r="AE526" s="4">
        <f ca="1">(L526-M526)*(Z526+AA526)+($Z$630+$AA$630-$Z$526-$AA$526)*(L526)</f>
        <v>-61.498963321328219</v>
      </c>
      <c r="AF526" s="3" t="s">
        <v>1028</v>
      </c>
    </row>
    <row r="527" spans="1:32" ht="11.25" customHeight="1" x14ac:dyDescent="0.25">
      <c r="A527" s="3" t="s">
        <v>28</v>
      </c>
      <c r="B527" s="3" t="s">
        <v>22</v>
      </c>
      <c r="C527" s="3" t="s">
        <v>23</v>
      </c>
      <c r="D527" s="3" t="s">
        <v>24</v>
      </c>
      <c r="E527" s="3" t="s">
        <v>29</v>
      </c>
      <c r="F527" s="3" t="s">
        <v>25</v>
      </c>
      <c r="G527" s="3" t="s">
        <v>25</v>
      </c>
      <c r="H527" s="3" t="s">
        <v>25</v>
      </c>
      <c r="I527" s="6">
        <v>44317</v>
      </c>
      <c r="J527" s="4">
        <v>0</v>
      </c>
      <c r="K527" s="4">
        <v>0</v>
      </c>
      <c r="L527" s="4">
        <v>1.47</v>
      </c>
      <c r="M527" s="4">
        <v>1.47</v>
      </c>
      <c r="N527" s="4">
        <v>1.47</v>
      </c>
      <c r="O527" s="4">
        <v>1.47</v>
      </c>
      <c r="P527" s="4">
        <v>6</v>
      </c>
      <c r="Q527" s="3" t="s">
        <v>26</v>
      </c>
      <c r="R527" s="3">
        <v>0</v>
      </c>
      <c r="S527" s="3">
        <v>0</v>
      </c>
      <c r="T527" s="3">
        <v>26</v>
      </c>
      <c r="U527" s="3">
        <v>99</v>
      </c>
      <c r="V527" s="4">
        <f>IF(ISERROR(VLOOKUP($S$527,'TAR FIN'!$A$1:$O$113,15,0)),0,VLOOKUP($S$527,'TAR FIN'!$A$1:$O$113,15,0))</f>
        <v>0</v>
      </c>
      <c r="W527" s="4">
        <f>IF(ISERROR(VLOOKUP($T$527,'TAR FIN'!$A$1:$O$113,15,0)),0,VLOOKUP($T$527,'TAR FIN'!$A$1:$O$113,15,0))</f>
        <v>107.74</v>
      </c>
      <c r="X527" s="4">
        <f>IF(ISERROR(VLOOKUP($U$527,'TAR FIN'!$A$1:$O$113,15,0)),0,VLOOKUP($U$527,'TAR FIN'!$A$1:$O$113,15,0))</f>
        <v>81.98</v>
      </c>
      <c r="Y527" s="4"/>
      <c r="Z52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7" s="4">
        <f>('TE BE'!$AA$20+'TE BF'!$AA$20+'TE CVA'!$AA$20)*(1-CUSTOS!$M$34)</f>
        <v>82.137764727346777</v>
      </c>
      <c r="AB527" s="4">
        <f t="shared" si="26"/>
        <v>0</v>
      </c>
      <c r="AC527" s="4">
        <f>(L527-M527)*(W527+X527)+($W$630+$X$630-$W$527-$X$527)*(L527)</f>
        <v>517.96919999999989</v>
      </c>
      <c r="AD527" s="4">
        <f t="shared" si="28"/>
        <v>0</v>
      </c>
      <c r="AE527" s="4">
        <f ca="1">(L527-M527)*(Z527+AA527)+($Z$630+$AA$630-$Z$527-$AA$527)*(L527)</f>
        <v>565.02172551470301</v>
      </c>
      <c r="AF527" s="3" t="s">
        <v>1028</v>
      </c>
    </row>
    <row r="528" spans="1:32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29</v>
      </c>
      <c r="F528" s="3" t="s">
        <v>25</v>
      </c>
      <c r="G528" s="3" t="s">
        <v>25</v>
      </c>
      <c r="H528" s="3" t="s">
        <v>25</v>
      </c>
      <c r="I528" s="6">
        <v>44348</v>
      </c>
      <c r="J528" s="4">
        <v>0</v>
      </c>
      <c r="K528" s="4">
        <v>0</v>
      </c>
      <c r="L528" s="4">
        <v>6886.57</v>
      </c>
      <c r="M528" s="4">
        <v>6886.57</v>
      </c>
      <c r="N528" s="4">
        <v>6886.57</v>
      </c>
      <c r="O528" s="4">
        <v>6886.57</v>
      </c>
      <c r="P528" s="4">
        <v>22419</v>
      </c>
      <c r="Q528" s="3" t="s">
        <v>26</v>
      </c>
      <c r="R528" s="3">
        <v>0</v>
      </c>
      <c r="S528" s="3">
        <v>0</v>
      </c>
      <c r="T528" s="3">
        <v>26</v>
      </c>
      <c r="U528" s="3">
        <v>99</v>
      </c>
      <c r="V528" s="4">
        <f>IF(ISERROR(VLOOKUP($S$528,'TAR FIN'!$A$1:$O$113,15,0)),0,VLOOKUP($S$528,'TAR FIN'!$A$1:$O$113,15,0))</f>
        <v>0</v>
      </c>
      <c r="W528" s="4">
        <f>IF(ISERROR(VLOOKUP($T$528,'TAR FIN'!$A$1:$O$113,15,0)),0,VLOOKUP($T$528,'TAR FIN'!$A$1:$O$113,15,0))</f>
        <v>107.74</v>
      </c>
      <c r="X528" s="4">
        <f>IF(ISERROR(VLOOKUP($U$528,'TAR FIN'!$A$1:$O$113,15,0)),0,VLOOKUP($U$528,'TAR FIN'!$A$1:$O$113,15,0))</f>
        <v>81.98</v>
      </c>
      <c r="Y528" s="4"/>
      <c r="Z52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8" s="4">
        <f>('TE BE'!$AA$20+'TE BF'!$AA$20+'TE CVA'!$AA$20)*(1-CUSTOS!$M$34)</f>
        <v>82.137764727346777</v>
      </c>
      <c r="AB528" s="4">
        <f t="shared" si="26"/>
        <v>0</v>
      </c>
      <c r="AC528" s="4">
        <f>(L528-M528)*(W528+X528)+($W$630+$X$630-$W$528-$X$528)*(L528)</f>
        <v>2426551.8051999994</v>
      </c>
      <c r="AD528" s="4">
        <f t="shared" si="28"/>
        <v>0</v>
      </c>
      <c r="AE528" s="4">
        <f ca="1">(L528-M528)*(Z528+AA528)+($Z$630+$AA$630-$Z$528-$AA$528)*(L528)</f>
        <v>2646980.7239984954</v>
      </c>
      <c r="AF528" s="3" t="s">
        <v>1028</v>
      </c>
    </row>
    <row r="529" spans="1:32" ht="11.25" customHeight="1" x14ac:dyDescent="0.25">
      <c r="A529" s="3" t="s">
        <v>27</v>
      </c>
      <c r="B529" s="3" t="s">
        <v>22</v>
      </c>
      <c r="C529" s="3" t="s">
        <v>23</v>
      </c>
      <c r="D529" s="3" t="s">
        <v>24</v>
      </c>
      <c r="E529" s="3" t="s">
        <v>29</v>
      </c>
      <c r="F529" s="3" t="s">
        <v>25</v>
      </c>
      <c r="G529" s="3" t="s">
        <v>25</v>
      </c>
      <c r="H529" s="3" t="s">
        <v>25</v>
      </c>
      <c r="I529" s="6">
        <v>44348</v>
      </c>
      <c r="J529" s="4">
        <v>0</v>
      </c>
      <c r="K529" s="4">
        <v>0</v>
      </c>
      <c r="L529" s="4">
        <v>-0.126</v>
      </c>
      <c r="M529" s="4">
        <v>-0.126</v>
      </c>
      <c r="N529" s="4">
        <v>-0.126</v>
      </c>
      <c r="O529" s="4">
        <v>-0.126</v>
      </c>
      <c r="P529" s="4">
        <v>-6</v>
      </c>
      <c r="Q529" s="3" t="s">
        <v>26</v>
      </c>
      <c r="R529" s="3">
        <v>0</v>
      </c>
      <c r="S529" s="3">
        <v>0</v>
      </c>
      <c r="T529" s="3">
        <v>26</v>
      </c>
      <c r="U529" s="3">
        <v>99</v>
      </c>
      <c r="V529" s="4">
        <f>IF(ISERROR(VLOOKUP($S$529,'TAR FIN'!$A$1:$O$113,15,0)),0,VLOOKUP($S$529,'TAR FIN'!$A$1:$O$113,15,0))</f>
        <v>0</v>
      </c>
      <c r="W529" s="4">
        <f>IF(ISERROR(VLOOKUP($T$529,'TAR FIN'!$A$1:$O$113,15,0)),0,VLOOKUP($T$529,'TAR FIN'!$A$1:$O$113,15,0))</f>
        <v>107.74</v>
      </c>
      <c r="X529" s="4">
        <f>IF(ISERROR(VLOOKUP($U$529,'TAR FIN'!$A$1:$O$113,15,0)),0,VLOOKUP($U$529,'TAR FIN'!$A$1:$O$113,15,0))</f>
        <v>81.98</v>
      </c>
      <c r="Y529" s="4"/>
      <c r="Z52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29" s="4">
        <f>('TE BE'!$AA$20+'TE BF'!$AA$20+'TE CVA'!$AA$20)*(1-CUSTOS!$M$34)</f>
        <v>82.137764727346777</v>
      </c>
      <c r="AB529" s="4">
        <f t="shared" si="26"/>
        <v>0</v>
      </c>
      <c r="AC529" s="4">
        <f>(L529-M529)*(W529+X529)+($W$630+$X$630-$W$529-$X$529)*(L529)</f>
        <v>-44.397359999999985</v>
      </c>
      <c r="AD529" s="4">
        <f t="shared" si="28"/>
        <v>0</v>
      </c>
      <c r="AE529" s="4">
        <f ca="1">(L529-M529)*(Z529+AA529)+($Z$630+$AA$630-$Z$529-$AA$529)*(L529)</f>
        <v>-48.430433615545972</v>
      </c>
      <c r="AF529" s="3" t="s">
        <v>1028</v>
      </c>
    </row>
    <row r="530" spans="1:32" ht="11.25" customHeight="1" x14ac:dyDescent="0.25">
      <c r="A530" s="3" t="s">
        <v>28</v>
      </c>
      <c r="B530" s="3" t="s">
        <v>22</v>
      </c>
      <c r="C530" s="3" t="s">
        <v>23</v>
      </c>
      <c r="D530" s="3" t="s">
        <v>24</v>
      </c>
      <c r="E530" s="3" t="s">
        <v>29</v>
      </c>
      <c r="F530" s="3" t="s">
        <v>25</v>
      </c>
      <c r="G530" s="3" t="s">
        <v>25</v>
      </c>
      <c r="H530" s="3" t="s">
        <v>25</v>
      </c>
      <c r="I530" s="6">
        <v>44348</v>
      </c>
      <c r="J530" s="4">
        <v>0</v>
      </c>
      <c r="K530" s="4">
        <v>0</v>
      </c>
      <c r="L530" s="4">
        <v>1.53</v>
      </c>
      <c r="M530" s="4">
        <v>1.53</v>
      </c>
      <c r="N530" s="4">
        <v>1.53</v>
      </c>
      <c r="O530" s="4">
        <v>1.53</v>
      </c>
      <c r="P530" s="4">
        <v>5</v>
      </c>
      <c r="Q530" s="3" t="s">
        <v>26</v>
      </c>
      <c r="R530" s="3">
        <v>0</v>
      </c>
      <c r="S530" s="3">
        <v>0</v>
      </c>
      <c r="T530" s="3">
        <v>26</v>
      </c>
      <c r="U530" s="3">
        <v>99</v>
      </c>
      <c r="V530" s="4">
        <f>IF(ISERROR(VLOOKUP($S$530,'TAR FIN'!$A$1:$O$113,15,0)),0,VLOOKUP($S$530,'TAR FIN'!$A$1:$O$113,15,0))</f>
        <v>0</v>
      </c>
      <c r="W530" s="4">
        <f>IF(ISERROR(VLOOKUP($T$530,'TAR FIN'!$A$1:$O$113,15,0)),0,VLOOKUP($T$530,'TAR FIN'!$A$1:$O$113,15,0))</f>
        <v>107.74</v>
      </c>
      <c r="X530" s="4">
        <f>IF(ISERROR(VLOOKUP($U$530,'TAR FIN'!$A$1:$O$113,15,0)),0,VLOOKUP($U$530,'TAR FIN'!$A$1:$O$113,15,0))</f>
        <v>81.98</v>
      </c>
      <c r="Y530" s="4"/>
      <c r="Z53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0" s="4">
        <f>('TE BE'!$AA$20+'TE BF'!$AA$20+'TE CVA'!$AA$20)*(1-CUSTOS!$M$34)</f>
        <v>82.137764727346777</v>
      </c>
      <c r="AB530" s="4">
        <f t="shared" si="26"/>
        <v>0</v>
      </c>
      <c r="AC530" s="4">
        <f>(L530-M530)*(W530+X530)+($W$630+$X$630-$W$530-$X$530)*(L530)</f>
        <v>539.11079999999981</v>
      </c>
      <c r="AD530" s="4">
        <f t="shared" si="28"/>
        <v>0</v>
      </c>
      <c r="AE530" s="4">
        <f ca="1">(L530-M530)*(Z530+AA530)+($Z$630+$AA$630-$Z$530-$AA$530)*(L530)</f>
        <v>588.08383676020117</v>
      </c>
      <c r="AF530" s="3" t="s">
        <v>1028</v>
      </c>
    </row>
    <row r="531" spans="1:32" ht="11.25" customHeight="1" x14ac:dyDescent="0.25">
      <c r="A531" s="3" t="s">
        <v>21</v>
      </c>
      <c r="B531" s="3" t="s">
        <v>22</v>
      </c>
      <c r="C531" s="3" t="s">
        <v>23</v>
      </c>
      <c r="D531" s="3" t="s">
        <v>24</v>
      </c>
      <c r="E531" s="3" t="s">
        <v>29</v>
      </c>
      <c r="F531" s="3" t="s">
        <v>25</v>
      </c>
      <c r="G531" s="3" t="s">
        <v>25</v>
      </c>
      <c r="H531" s="3" t="s">
        <v>25</v>
      </c>
      <c r="I531" s="6">
        <v>44378</v>
      </c>
      <c r="J531" s="4">
        <v>0</v>
      </c>
      <c r="K531" s="4">
        <v>0</v>
      </c>
      <c r="L531" s="4">
        <v>6931.933</v>
      </c>
      <c r="M531" s="4">
        <v>6931.933</v>
      </c>
      <c r="N531" s="4">
        <v>6931.933</v>
      </c>
      <c r="O531" s="4">
        <v>6931.933</v>
      </c>
      <c r="P531" s="4">
        <v>23087</v>
      </c>
      <c r="Q531" s="3" t="s">
        <v>26</v>
      </c>
      <c r="R531" s="3">
        <v>0</v>
      </c>
      <c r="S531" s="3">
        <v>0</v>
      </c>
      <c r="T531" s="3">
        <v>26</v>
      </c>
      <c r="U531" s="3">
        <v>99</v>
      </c>
      <c r="V531" s="4">
        <f>IF(ISERROR(VLOOKUP($S$531,'TAR FIN'!$A$1:$O$113,15,0)),0,VLOOKUP($S$531,'TAR FIN'!$A$1:$O$113,15,0))</f>
        <v>0</v>
      </c>
      <c r="W531" s="4">
        <f>IF(ISERROR(VLOOKUP($T$531,'TAR FIN'!$A$1:$O$113,15,0)),0,VLOOKUP($T$531,'TAR FIN'!$A$1:$O$113,15,0))</f>
        <v>107.74</v>
      </c>
      <c r="X531" s="4">
        <f>IF(ISERROR(VLOOKUP($U$531,'TAR FIN'!$A$1:$O$113,15,0)),0,VLOOKUP($U$531,'TAR FIN'!$A$1:$O$113,15,0))</f>
        <v>81.98</v>
      </c>
      <c r="Y531" s="4"/>
      <c r="Z53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1" s="4">
        <f>('TE BE'!$AA$20+'TE BF'!$AA$20+'TE CVA'!$AA$20)*(1-CUSTOS!$M$34)</f>
        <v>82.137764727346777</v>
      </c>
      <c r="AB531" s="4">
        <f t="shared" si="26"/>
        <v>0</v>
      </c>
      <c r="AC531" s="4">
        <f>(L531-M531)*(W531+X531)+($W$630+$X$630-$W$531-$X$531)*(L531)</f>
        <v>2442535.9118799991</v>
      </c>
      <c r="AD531" s="4">
        <f t="shared" si="28"/>
        <v>0</v>
      </c>
      <c r="AE531" s="4">
        <f ca="1">(L531-M531)*(Z531+AA531)+($Z$630+$AA$630-$Z$531-$AA$531)*(L531)</f>
        <v>2664416.8332056543</v>
      </c>
      <c r="AF531" s="3" t="s">
        <v>1028</v>
      </c>
    </row>
    <row r="532" spans="1:32" ht="11.25" customHeight="1" x14ac:dyDescent="0.25">
      <c r="A532" s="3" t="s">
        <v>27</v>
      </c>
      <c r="B532" s="3" t="s">
        <v>22</v>
      </c>
      <c r="C532" s="3" t="s">
        <v>23</v>
      </c>
      <c r="D532" s="3" t="s">
        <v>24</v>
      </c>
      <c r="E532" s="3" t="s">
        <v>29</v>
      </c>
      <c r="F532" s="3" t="s">
        <v>25</v>
      </c>
      <c r="G532" s="3" t="s">
        <v>25</v>
      </c>
      <c r="H532" s="3" t="s">
        <v>25</v>
      </c>
      <c r="I532" s="6">
        <v>44378</v>
      </c>
      <c r="J532" s="4">
        <v>0</v>
      </c>
      <c r="K532" s="4">
        <v>0</v>
      </c>
      <c r="L532" s="4">
        <v>1.5189999999999999</v>
      </c>
      <c r="M532" s="4">
        <v>1.5189999999999999</v>
      </c>
      <c r="N532" s="4">
        <v>1.5189999999999999</v>
      </c>
      <c r="O532" s="4">
        <v>1.5189999999999999</v>
      </c>
      <c r="P532" s="4">
        <v>14</v>
      </c>
      <c r="Q532" s="3" t="s">
        <v>26</v>
      </c>
      <c r="R532" s="3">
        <v>0</v>
      </c>
      <c r="S532" s="3">
        <v>0</v>
      </c>
      <c r="T532" s="3">
        <v>26</v>
      </c>
      <c r="U532" s="3">
        <v>99</v>
      </c>
      <c r="V532" s="4">
        <f>IF(ISERROR(VLOOKUP($S$532,'TAR FIN'!$A$1:$O$113,15,0)),0,VLOOKUP($S$532,'TAR FIN'!$A$1:$O$113,15,0))</f>
        <v>0</v>
      </c>
      <c r="W532" s="4">
        <f>IF(ISERROR(VLOOKUP($T$532,'TAR FIN'!$A$1:$O$113,15,0)),0,VLOOKUP($T$532,'TAR FIN'!$A$1:$O$113,15,0))</f>
        <v>107.74</v>
      </c>
      <c r="X532" s="4">
        <f>IF(ISERROR(VLOOKUP($U$532,'TAR FIN'!$A$1:$O$113,15,0)),0,VLOOKUP($U$532,'TAR FIN'!$A$1:$O$113,15,0))</f>
        <v>81.98</v>
      </c>
      <c r="Y532" s="4"/>
      <c r="Z53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2" s="4">
        <f>('TE BE'!$AA$20+'TE BF'!$AA$20+'TE CVA'!$AA$20)*(1-CUSTOS!$M$34)</f>
        <v>82.137764727346777</v>
      </c>
      <c r="AB532" s="4">
        <f t="shared" si="26"/>
        <v>0</v>
      </c>
      <c r="AC532" s="4">
        <f>(L532-M532)*(W532+X532)+($W$630+$X$630-$W$532-$X$532)*(L532)</f>
        <v>535.23483999999985</v>
      </c>
      <c r="AD532" s="4">
        <f t="shared" si="28"/>
        <v>0</v>
      </c>
      <c r="AE532" s="4">
        <f ca="1">(L532-M532)*(Z532+AA532)+($Z$630+$AA$630-$Z$532-$AA$532)*(L532)</f>
        <v>583.8557830318598</v>
      </c>
      <c r="AF532" s="3" t="s">
        <v>1028</v>
      </c>
    </row>
    <row r="533" spans="1:32" ht="11.25" customHeight="1" x14ac:dyDescent="0.25">
      <c r="A533" s="3" t="s">
        <v>28</v>
      </c>
      <c r="B533" s="3" t="s">
        <v>22</v>
      </c>
      <c r="C533" s="3" t="s">
        <v>23</v>
      </c>
      <c r="D533" s="3" t="s">
        <v>24</v>
      </c>
      <c r="E533" s="3" t="s">
        <v>29</v>
      </c>
      <c r="F533" s="3" t="s">
        <v>25</v>
      </c>
      <c r="G533" s="3" t="s">
        <v>25</v>
      </c>
      <c r="H533" s="3" t="s">
        <v>25</v>
      </c>
      <c r="I533" s="6">
        <v>44378</v>
      </c>
      <c r="J533" s="4">
        <v>0</v>
      </c>
      <c r="K533" s="4">
        <v>0</v>
      </c>
      <c r="L533" s="4">
        <v>1.71</v>
      </c>
      <c r="M533" s="4">
        <v>1.71</v>
      </c>
      <c r="N533" s="4">
        <v>1.71</v>
      </c>
      <c r="O533" s="4">
        <v>1.71</v>
      </c>
      <c r="P533" s="4">
        <v>4</v>
      </c>
      <c r="Q533" s="3" t="s">
        <v>26</v>
      </c>
      <c r="R533" s="3">
        <v>0</v>
      </c>
      <c r="S533" s="3">
        <v>0</v>
      </c>
      <c r="T533" s="3">
        <v>26</v>
      </c>
      <c r="U533" s="3">
        <v>99</v>
      </c>
      <c r="V533" s="4">
        <f>IF(ISERROR(VLOOKUP($S$533,'TAR FIN'!$A$1:$O$113,15,0)),0,VLOOKUP($S$533,'TAR FIN'!$A$1:$O$113,15,0))</f>
        <v>0</v>
      </c>
      <c r="W533" s="4">
        <f>IF(ISERROR(VLOOKUP($T$533,'TAR FIN'!$A$1:$O$113,15,0)),0,VLOOKUP($T$533,'TAR FIN'!$A$1:$O$113,15,0))</f>
        <v>107.74</v>
      </c>
      <c r="X533" s="4">
        <f>IF(ISERROR(VLOOKUP($U$533,'TAR FIN'!$A$1:$O$113,15,0)),0,VLOOKUP($U$533,'TAR FIN'!$A$1:$O$113,15,0))</f>
        <v>81.98</v>
      </c>
      <c r="Y533" s="4"/>
      <c r="Z53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3" s="4">
        <f>('TE BE'!$AA$20+'TE BF'!$AA$20+'TE CVA'!$AA$20)*(1-CUSTOS!$M$34)</f>
        <v>82.137764727346777</v>
      </c>
      <c r="AB533" s="4">
        <f t="shared" si="26"/>
        <v>0</v>
      </c>
      <c r="AC533" s="4">
        <f>(L533-M533)*(W533+X533)+($W$630+$X$630-$W$533-$X$533)*(L533)</f>
        <v>602.53559999999982</v>
      </c>
      <c r="AD533" s="4">
        <f t="shared" si="28"/>
        <v>0</v>
      </c>
      <c r="AE533" s="4">
        <f ca="1">(L533-M533)*(Z533+AA533)+($Z$630+$AA$630-$Z$533-$AA$533)*(L533)</f>
        <v>657.2701704966953</v>
      </c>
      <c r="AF533" s="3" t="s">
        <v>1028</v>
      </c>
    </row>
    <row r="534" spans="1:32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29</v>
      </c>
      <c r="F534" s="3" t="s">
        <v>25</v>
      </c>
      <c r="G534" s="3" t="s">
        <v>25</v>
      </c>
      <c r="H534" s="3" t="s">
        <v>25</v>
      </c>
      <c r="I534" s="6">
        <v>44409</v>
      </c>
      <c r="J534" s="4">
        <v>0</v>
      </c>
      <c r="K534" s="4">
        <v>0</v>
      </c>
      <c r="L534" s="4">
        <v>6971.5640000000003</v>
      </c>
      <c r="M534" s="4">
        <v>6971.5640000000003</v>
      </c>
      <c r="N534" s="4">
        <v>6971.5640000000003</v>
      </c>
      <c r="O534" s="4">
        <v>6971.5640000000003</v>
      </c>
      <c r="P534" s="4">
        <v>24466</v>
      </c>
      <c r="Q534" s="3" t="s">
        <v>26</v>
      </c>
      <c r="R534" s="3">
        <v>0</v>
      </c>
      <c r="S534" s="3">
        <v>0</v>
      </c>
      <c r="T534" s="3">
        <v>26</v>
      </c>
      <c r="U534" s="3">
        <v>99</v>
      </c>
      <c r="V534" s="4">
        <f>IF(ISERROR(VLOOKUP($S$534,'TAR FIN'!$A$1:$O$113,15,0)),0,VLOOKUP($S$534,'TAR FIN'!$A$1:$O$113,15,0))</f>
        <v>0</v>
      </c>
      <c r="W534" s="4">
        <f>IF(ISERROR(VLOOKUP($T$534,'TAR FIN'!$A$1:$O$113,15,0)),0,VLOOKUP($T$534,'TAR FIN'!$A$1:$O$113,15,0))</f>
        <v>107.74</v>
      </c>
      <c r="X534" s="4">
        <f>IF(ISERROR(VLOOKUP($U$534,'TAR FIN'!$A$1:$O$113,15,0)),0,VLOOKUP($U$534,'TAR FIN'!$A$1:$O$113,15,0))</f>
        <v>81.98</v>
      </c>
      <c r="Y534" s="4"/>
      <c r="Z53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4" s="4">
        <f>('TE BE'!$AA$20+'TE BF'!$AA$20+'TE CVA'!$AA$20)*(1-CUSTOS!$M$34)</f>
        <v>82.137764727346777</v>
      </c>
      <c r="AB534" s="4">
        <f t="shared" si="26"/>
        <v>0</v>
      </c>
      <c r="AC534" s="4">
        <f>(L534-M534)*(W534+X534)+($W$630+$X$630-$W$534-$X$534)*(L534)</f>
        <v>2456500.2910399996</v>
      </c>
      <c r="AD534" s="4">
        <f t="shared" si="28"/>
        <v>0</v>
      </c>
      <c r="AE534" s="4">
        <f ca="1">(L534-M534)*(Z534+AA534)+($Z$630+$AA$630-$Z$534-$AA$534)*(L534)</f>
        <v>2679649.7420518268</v>
      </c>
      <c r="AF534" s="3" t="s">
        <v>1028</v>
      </c>
    </row>
    <row r="535" spans="1:32" ht="11.25" customHeight="1" x14ac:dyDescent="0.25">
      <c r="A535" s="3" t="s">
        <v>27</v>
      </c>
      <c r="B535" s="3" t="s">
        <v>22</v>
      </c>
      <c r="C535" s="3" t="s">
        <v>23</v>
      </c>
      <c r="D535" s="3" t="s">
        <v>24</v>
      </c>
      <c r="E535" s="3" t="s">
        <v>29</v>
      </c>
      <c r="F535" s="3" t="s">
        <v>25</v>
      </c>
      <c r="G535" s="3" t="s">
        <v>25</v>
      </c>
      <c r="H535" s="3" t="s">
        <v>25</v>
      </c>
      <c r="I535" s="6">
        <v>44409</v>
      </c>
      <c r="J535" s="4">
        <v>0</v>
      </c>
      <c r="K535" s="4">
        <v>0</v>
      </c>
      <c r="L535" s="4">
        <v>3.0750000000000002</v>
      </c>
      <c r="M535" s="4">
        <v>3.0750000000000002</v>
      </c>
      <c r="N535" s="4">
        <v>3.0750000000000002</v>
      </c>
      <c r="O535" s="4">
        <v>3.0750000000000002</v>
      </c>
      <c r="P535" s="4">
        <v>13</v>
      </c>
      <c r="Q535" s="3" t="s">
        <v>26</v>
      </c>
      <c r="R535" s="3">
        <v>0</v>
      </c>
      <c r="S535" s="3">
        <v>0</v>
      </c>
      <c r="T535" s="3">
        <v>26</v>
      </c>
      <c r="U535" s="3">
        <v>99</v>
      </c>
      <c r="V535" s="4">
        <f>IF(ISERROR(VLOOKUP($S$535,'TAR FIN'!$A$1:$O$113,15,0)),0,VLOOKUP($S$535,'TAR FIN'!$A$1:$O$113,15,0))</f>
        <v>0</v>
      </c>
      <c r="W535" s="4">
        <f>IF(ISERROR(VLOOKUP($T$535,'TAR FIN'!$A$1:$O$113,15,0)),0,VLOOKUP($T$535,'TAR FIN'!$A$1:$O$113,15,0))</f>
        <v>107.74</v>
      </c>
      <c r="X535" s="4">
        <f>IF(ISERROR(VLOOKUP($U$535,'TAR FIN'!$A$1:$O$113,15,0)),0,VLOOKUP($U$535,'TAR FIN'!$A$1:$O$113,15,0))</f>
        <v>81.98</v>
      </c>
      <c r="Y535" s="4"/>
      <c r="Z53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5" s="4">
        <f>('TE BE'!$AA$20+'TE BF'!$AA$20+'TE CVA'!$AA$20)*(1-CUSTOS!$M$34)</f>
        <v>82.137764727346777</v>
      </c>
      <c r="AB535" s="4">
        <f t="shared" si="26"/>
        <v>0</v>
      </c>
      <c r="AC535" s="4">
        <f>(L535-M535)*(W535+X535)+($W$630+$X$630-$W$535-$X$535)*(L535)</f>
        <v>1083.5069999999998</v>
      </c>
      <c r="AD535" s="4">
        <f t="shared" si="28"/>
        <v>0</v>
      </c>
      <c r="AE535" s="4">
        <f ca="1">(L535-M535)*(Z535+AA535)+($Z$630+$AA$630-$Z$535-$AA$535)*(L535)</f>
        <v>1181.9332013317769</v>
      </c>
      <c r="AF535" s="3" t="s">
        <v>1028</v>
      </c>
    </row>
    <row r="536" spans="1:32" ht="11.25" customHeight="1" x14ac:dyDescent="0.25">
      <c r="A536" s="3" t="s">
        <v>28</v>
      </c>
      <c r="B536" s="3" t="s">
        <v>22</v>
      </c>
      <c r="C536" s="3" t="s">
        <v>23</v>
      </c>
      <c r="D536" s="3" t="s">
        <v>24</v>
      </c>
      <c r="E536" s="3" t="s">
        <v>29</v>
      </c>
      <c r="F536" s="3" t="s">
        <v>25</v>
      </c>
      <c r="G536" s="3" t="s">
        <v>25</v>
      </c>
      <c r="H536" s="3" t="s">
        <v>25</v>
      </c>
      <c r="I536" s="6">
        <v>44409</v>
      </c>
      <c r="J536" s="4">
        <v>0</v>
      </c>
      <c r="K536" s="4">
        <v>0</v>
      </c>
      <c r="L536" s="4">
        <v>1.8</v>
      </c>
      <c r="M536" s="4">
        <v>1.8</v>
      </c>
      <c r="N536" s="4">
        <v>1.8</v>
      </c>
      <c r="O536" s="4">
        <v>1.8</v>
      </c>
      <c r="P536" s="4">
        <v>3</v>
      </c>
      <c r="Q536" s="3" t="s">
        <v>26</v>
      </c>
      <c r="R536" s="3">
        <v>0</v>
      </c>
      <c r="S536" s="3">
        <v>0</v>
      </c>
      <c r="T536" s="3">
        <v>26</v>
      </c>
      <c r="U536" s="3">
        <v>99</v>
      </c>
      <c r="V536" s="4">
        <f>IF(ISERROR(VLOOKUP($S$536,'TAR FIN'!$A$1:$O$113,15,0)),0,VLOOKUP($S$536,'TAR FIN'!$A$1:$O$113,15,0))</f>
        <v>0</v>
      </c>
      <c r="W536" s="4">
        <f>IF(ISERROR(VLOOKUP($T$536,'TAR FIN'!$A$1:$O$113,15,0)),0,VLOOKUP($T$536,'TAR FIN'!$A$1:$O$113,15,0))</f>
        <v>107.74</v>
      </c>
      <c r="X536" s="4">
        <f>IF(ISERROR(VLOOKUP($U$536,'TAR FIN'!$A$1:$O$113,15,0)),0,VLOOKUP($U$536,'TAR FIN'!$A$1:$O$113,15,0))</f>
        <v>81.98</v>
      </c>
      <c r="Y536" s="4"/>
      <c r="Z53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6" s="4">
        <f>('TE BE'!$AA$20+'TE BF'!$AA$20+'TE CVA'!$AA$20)*(1-CUSTOS!$M$34)</f>
        <v>82.137764727346777</v>
      </c>
      <c r="AB536" s="4">
        <f t="shared" si="26"/>
        <v>0</v>
      </c>
      <c r="AC536" s="4">
        <f>(L536-M536)*(W536+X536)+($W$630+$X$630-$W$536-$X$536)*(L536)</f>
        <v>634.24799999999982</v>
      </c>
      <c r="AD536" s="4">
        <f t="shared" si="28"/>
        <v>0</v>
      </c>
      <c r="AE536" s="4">
        <f ca="1">(L536-M536)*(Z536+AA536)+($Z$630+$AA$630-$Z$536-$AA$536)*(L536)</f>
        <v>691.86333736494248</v>
      </c>
      <c r="AF536" s="3" t="s">
        <v>1028</v>
      </c>
    </row>
    <row r="537" spans="1:32" ht="11.25" customHeight="1" x14ac:dyDescent="0.25">
      <c r="A537" s="3" t="s">
        <v>21</v>
      </c>
      <c r="B537" s="3" t="s">
        <v>22</v>
      </c>
      <c r="C537" s="3" t="s">
        <v>23</v>
      </c>
      <c r="D537" s="3" t="s">
        <v>24</v>
      </c>
      <c r="E537" s="3" t="s">
        <v>29</v>
      </c>
      <c r="F537" s="3" t="s">
        <v>25</v>
      </c>
      <c r="G537" s="3" t="s">
        <v>25</v>
      </c>
      <c r="H537" s="3" t="s">
        <v>25</v>
      </c>
      <c r="I537" s="6">
        <v>44440</v>
      </c>
      <c r="J537" s="4">
        <v>0</v>
      </c>
      <c r="K537" s="4">
        <v>0</v>
      </c>
      <c r="L537" s="4">
        <v>6875.5219999999999</v>
      </c>
      <c r="M537" s="4">
        <v>6875.5219999999999</v>
      </c>
      <c r="N537" s="4">
        <v>6875.5219999999999</v>
      </c>
      <c r="O537" s="4">
        <v>6875.5219999999999</v>
      </c>
      <c r="P537" s="4">
        <v>23075</v>
      </c>
      <c r="Q537" s="3" t="s">
        <v>26</v>
      </c>
      <c r="R537" s="3">
        <v>0</v>
      </c>
      <c r="S537" s="3">
        <v>0</v>
      </c>
      <c r="T537" s="3">
        <v>26</v>
      </c>
      <c r="U537" s="3">
        <v>99</v>
      </c>
      <c r="V537" s="4">
        <f>IF(ISERROR(VLOOKUP($S$537,'TAR FIN'!$A$1:$O$113,15,0)),0,VLOOKUP($S$537,'TAR FIN'!$A$1:$O$113,15,0))</f>
        <v>0</v>
      </c>
      <c r="W537" s="4">
        <f>IF(ISERROR(VLOOKUP($T$537,'TAR FIN'!$A$1:$O$113,15,0)),0,VLOOKUP($T$537,'TAR FIN'!$A$1:$O$113,15,0))</f>
        <v>107.74</v>
      </c>
      <c r="X537" s="4">
        <f>IF(ISERROR(VLOOKUP($U$537,'TAR FIN'!$A$1:$O$113,15,0)),0,VLOOKUP($U$537,'TAR FIN'!$A$1:$O$113,15,0))</f>
        <v>81.98</v>
      </c>
      <c r="Y537" s="4"/>
      <c r="Z53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7" s="4">
        <f>('TE BE'!$AA$20+'TE BF'!$AA$20+'TE CVA'!$AA$20)*(1-CUSTOS!$M$34)</f>
        <v>82.137764727346777</v>
      </c>
      <c r="AB537" s="4">
        <f t="shared" si="26"/>
        <v>0</v>
      </c>
      <c r="AC537" s="4">
        <f>(L537-M537)*(W537+X537)+($W$630+$X$630-$W$537-$X$537)*(L537)</f>
        <v>2422658.9319199994</v>
      </c>
      <c r="AD537" s="4">
        <f t="shared" si="28"/>
        <v>0</v>
      </c>
      <c r="AE537" s="4">
        <f ca="1">(L537-M537)*(Z537+AA537)+($Z$630+$AA$630-$Z$537-$AA$537)*(L537)</f>
        <v>2642734.2205811576</v>
      </c>
      <c r="AF537" s="3" t="s">
        <v>1028</v>
      </c>
    </row>
    <row r="538" spans="1:32" ht="11.25" customHeight="1" x14ac:dyDescent="0.25">
      <c r="A538" s="3" t="s">
        <v>27</v>
      </c>
      <c r="B538" s="3" t="s">
        <v>22</v>
      </c>
      <c r="C538" s="3" t="s">
        <v>23</v>
      </c>
      <c r="D538" s="3" t="s">
        <v>24</v>
      </c>
      <c r="E538" s="3" t="s">
        <v>29</v>
      </c>
      <c r="F538" s="3" t="s">
        <v>25</v>
      </c>
      <c r="G538" s="3" t="s">
        <v>25</v>
      </c>
      <c r="H538" s="3" t="s">
        <v>25</v>
      </c>
      <c r="I538" s="6">
        <v>44440</v>
      </c>
      <c r="J538" s="4">
        <v>0</v>
      </c>
      <c r="K538" s="4">
        <v>0</v>
      </c>
      <c r="L538" s="4">
        <v>7.2610000000000001</v>
      </c>
      <c r="M538" s="4">
        <v>7.2610000000000001</v>
      </c>
      <c r="N538" s="4">
        <v>7.2610000000000001</v>
      </c>
      <c r="O538" s="4">
        <v>7.2610000000000001</v>
      </c>
      <c r="P538" s="4">
        <v>19</v>
      </c>
      <c r="Q538" s="3" t="s">
        <v>26</v>
      </c>
      <c r="R538" s="3">
        <v>0</v>
      </c>
      <c r="S538" s="3">
        <v>0</v>
      </c>
      <c r="T538" s="3">
        <v>26</v>
      </c>
      <c r="U538" s="3">
        <v>99</v>
      </c>
      <c r="V538" s="4">
        <f>IF(ISERROR(VLOOKUP($S$538,'TAR FIN'!$A$1:$O$113,15,0)),0,VLOOKUP($S$538,'TAR FIN'!$A$1:$O$113,15,0))</f>
        <v>0</v>
      </c>
      <c r="W538" s="4">
        <f>IF(ISERROR(VLOOKUP($T$538,'TAR FIN'!$A$1:$O$113,15,0)),0,VLOOKUP($T$538,'TAR FIN'!$A$1:$O$113,15,0))</f>
        <v>107.74</v>
      </c>
      <c r="X538" s="4">
        <f>IF(ISERROR(VLOOKUP($U$538,'TAR FIN'!$A$1:$O$113,15,0)),0,VLOOKUP($U$538,'TAR FIN'!$A$1:$O$113,15,0))</f>
        <v>81.98</v>
      </c>
      <c r="Y538" s="4"/>
      <c r="Z53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8" s="4">
        <f>('TE BE'!$AA$20+'TE BF'!$AA$20+'TE CVA'!$AA$20)*(1-CUSTOS!$M$34)</f>
        <v>82.137764727346777</v>
      </c>
      <c r="AB538" s="4">
        <f t="shared" si="26"/>
        <v>0</v>
      </c>
      <c r="AC538" s="4">
        <f>(L538-M538)*(W538+X538)+($W$630+$X$630-$W$538-$X$538)*(L538)</f>
        <v>2558.4859599999995</v>
      </c>
      <c r="AD538" s="4">
        <f t="shared" si="28"/>
        <v>0</v>
      </c>
      <c r="AE538" s="4">
        <f ca="1">(L538-M538)*(Z538+AA538)+($Z$630+$AA$630-$Z$538-$AA$538)*(L538)</f>
        <v>2790.8998292260262</v>
      </c>
      <c r="AF538" s="3" t="s">
        <v>1028</v>
      </c>
    </row>
    <row r="539" spans="1:32" ht="11.25" customHeight="1" x14ac:dyDescent="0.25">
      <c r="A539" s="3" t="s">
        <v>28</v>
      </c>
      <c r="B539" s="3" t="s">
        <v>22</v>
      </c>
      <c r="C539" s="3" t="s">
        <v>23</v>
      </c>
      <c r="D539" s="3" t="s">
        <v>24</v>
      </c>
      <c r="E539" s="3" t="s">
        <v>29</v>
      </c>
      <c r="F539" s="3" t="s">
        <v>25</v>
      </c>
      <c r="G539" s="3" t="s">
        <v>25</v>
      </c>
      <c r="H539" s="3" t="s">
        <v>25</v>
      </c>
      <c r="I539" s="6">
        <v>44440</v>
      </c>
      <c r="J539" s="4">
        <v>0</v>
      </c>
      <c r="K539" s="4">
        <v>0</v>
      </c>
      <c r="L539" s="4">
        <v>1.86</v>
      </c>
      <c r="M539" s="4">
        <v>1.86</v>
      </c>
      <c r="N539" s="4">
        <v>1.86</v>
      </c>
      <c r="O539" s="4">
        <v>1.86</v>
      </c>
      <c r="P539" s="4">
        <v>3</v>
      </c>
      <c r="Q539" s="3" t="s">
        <v>26</v>
      </c>
      <c r="R539" s="3">
        <v>0</v>
      </c>
      <c r="S539" s="3">
        <v>0</v>
      </c>
      <c r="T539" s="3">
        <v>26</v>
      </c>
      <c r="U539" s="3">
        <v>99</v>
      </c>
      <c r="V539" s="4">
        <f>IF(ISERROR(VLOOKUP($S$539,'TAR FIN'!$A$1:$O$113,15,0)),0,VLOOKUP($S$539,'TAR FIN'!$A$1:$O$113,15,0))</f>
        <v>0</v>
      </c>
      <c r="W539" s="4">
        <f>IF(ISERROR(VLOOKUP($T$539,'TAR FIN'!$A$1:$O$113,15,0)),0,VLOOKUP($T$539,'TAR FIN'!$A$1:$O$113,15,0))</f>
        <v>107.74</v>
      </c>
      <c r="X539" s="4">
        <f>IF(ISERROR(VLOOKUP($U$539,'TAR FIN'!$A$1:$O$113,15,0)),0,VLOOKUP($U$539,'TAR FIN'!$A$1:$O$113,15,0))</f>
        <v>81.98</v>
      </c>
      <c r="Y539" s="4"/>
      <c r="Z53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39" s="4">
        <f>('TE BE'!$AA$20+'TE BF'!$AA$20+'TE CVA'!$AA$20)*(1-CUSTOS!$M$34)</f>
        <v>82.137764727346777</v>
      </c>
      <c r="AB539" s="4">
        <f t="shared" si="26"/>
        <v>0</v>
      </c>
      <c r="AC539" s="4">
        <f>(L539-M539)*(W539+X539)+($W$630+$X$630-$W$539-$X$539)*(L539)</f>
        <v>655.38959999999986</v>
      </c>
      <c r="AD539" s="4">
        <f t="shared" si="28"/>
        <v>0</v>
      </c>
      <c r="AE539" s="4">
        <f ca="1">(L539-M539)*(Z539+AA539)+($Z$630+$AA$630-$Z$539-$AA$539)*(L539)</f>
        <v>714.92544861044064</v>
      </c>
      <c r="AF539" s="3" t="s">
        <v>1028</v>
      </c>
    </row>
    <row r="540" spans="1:32" ht="11.25" customHeight="1" x14ac:dyDescent="0.25">
      <c r="A540" s="3" t="s">
        <v>21</v>
      </c>
      <c r="B540" s="3" t="s">
        <v>22</v>
      </c>
      <c r="C540" s="3" t="s">
        <v>23</v>
      </c>
      <c r="D540" s="3" t="s">
        <v>24</v>
      </c>
      <c r="E540" s="3" t="s">
        <v>29</v>
      </c>
      <c r="F540" s="3" t="s">
        <v>25</v>
      </c>
      <c r="G540" s="3" t="s">
        <v>25</v>
      </c>
      <c r="H540" s="3" t="s">
        <v>25</v>
      </c>
      <c r="I540" s="6">
        <v>44470</v>
      </c>
      <c r="J540" s="4">
        <v>0</v>
      </c>
      <c r="K540" s="4">
        <v>0</v>
      </c>
      <c r="L540" s="4">
        <v>6927.3630000000003</v>
      </c>
      <c r="M540" s="4">
        <v>6927.3630000000003</v>
      </c>
      <c r="N540" s="4">
        <v>6927.3630000000003</v>
      </c>
      <c r="O540" s="4">
        <v>6927.3630000000003</v>
      </c>
      <c r="P540" s="4">
        <v>21996</v>
      </c>
      <c r="Q540" s="3" t="s">
        <v>26</v>
      </c>
      <c r="R540" s="3">
        <v>0</v>
      </c>
      <c r="S540" s="3">
        <v>0</v>
      </c>
      <c r="T540" s="3">
        <v>26</v>
      </c>
      <c r="U540" s="3">
        <v>99</v>
      </c>
      <c r="V540" s="4">
        <f>IF(ISERROR(VLOOKUP($S$540,'TAR FIN'!$A$1:$O$113,15,0)),0,VLOOKUP($S$540,'TAR FIN'!$A$1:$O$113,15,0))</f>
        <v>0</v>
      </c>
      <c r="W540" s="4">
        <f>IF(ISERROR(VLOOKUP($T$540,'TAR FIN'!$A$1:$O$113,15,0)),0,VLOOKUP($T$540,'TAR FIN'!$A$1:$O$113,15,0))</f>
        <v>107.74</v>
      </c>
      <c r="X540" s="4">
        <f>IF(ISERROR(VLOOKUP($U$540,'TAR FIN'!$A$1:$O$113,15,0)),0,VLOOKUP($U$540,'TAR FIN'!$A$1:$O$113,15,0))</f>
        <v>81.98</v>
      </c>
      <c r="Y540" s="4"/>
      <c r="Z54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0" s="4">
        <f>('TE BE'!$AA$20+'TE BF'!$AA$20+'TE CVA'!$AA$20)*(1-CUSTOS!$M$34)</f>
        <v>82.137764727346777</v>
      </c>
      <c r="AB540" s="4">
        <f t="shared" si="26"/>
        <v>0</v>
      </c>
      <c r="AC540" s="4">
        <f>(L540-M540)*(W540+X540)+($W$630+$X$630-$W$540-$X$540)*(L540)</f>
        <v>2440925.6266799993</v>
      </c>
      <c r="AD540" s="4">
        <f t="shared" si="28"/>
        <v>0</v>
      </c>
      <c r="AE540" s="4">
        <f ca="1">(L540-M540)*(Z540+AA540)+($Z$630+$AA$630-$Z$540-$AA$540)*(L540)</f>
        <v>2662660.2690657889</v>
      </c>
      <c r="AF540" s="3" t="s">
        <v>1028</v>
      </c>
    </row>
    <row r="541" spans="1:32" ht="11.25" customHeight="1" x14ac:dyDescent="0.25">
      <c r="A541" s="3" t="s">
        <v>27</v>
      </c>
      <c r="B541" s="3" t="s">
        <v>22</v>
      </c>
      <c r="C541" s="3" t="s">
        <v>23</v>
      </c>
      <c r="D541" s="3" t="s">
        <v>24</v>
      </c>
      <c r="E541" s="3" t="s">
        <v>29</v>
      </c>
      <c r="F541" s="3" t="s">
        <v>25</v>
      </c>
      <c r="G541" s="3" t="s">
        <v>25</v>
      </c>
      <c r="H541" s="3" t="s">
        <v>25</v>
      </c>
      <c r="I541" s="6">
        <v>44470</v>
      </c>
      <c r="J541" s="4">
        <v>0</v>
      </c>
      <c r="K541" s="4">
        <v>0</v>
      </c>
      <c r="L541" s="4">
        <v>1.2250000000000001</v>
      </c>
      <c r="M541" s="4">
        <v>1.2250000000000001</v>
      </c>
      <c r="N541" s="4">
        <v>1.2250000000000001</v>
      </c>
      <c r="O541" s="4">
        <v>1.2250000000000001</v>
      </c>
      <c r="P541" s="4">
        <v>17</v>
      </c>
      <c r="Q541" s="3" t="s">
        <v>26</v>
      </c>
      <c r="R541" s="3">
        <v>0</v>
      </c>
      <c r="S541" s="3">
        <v>0</v>
      </c>
      <c r="T541" s="3">
        <v>26</v>
      </c>
      <c r="U541" s="3">
        <v>99</v>
      </c>
      <c r="V541" s="4">
        <f>IF(ISERROR(VLOOKUP($S$541,'TAR FIN'!$A$1:$O$113,15,0)),0,VLOOKUP($S$541,'TAR FIN'!$A$1:$O$113,15,0))</f>
        <v>0</v>
      </c>
      <c r="W541" s="4">
        <f>IF(ISERROR(VLOOKUP($T$541,'TAR FIN'!$A$1:$O$113,15,0)),0,VLOOKUP($T$541,'TAR FIN'!$A$1:$O$113,15,0))</f>
        <v>107.74</v>
      </c>
      <c r="X541" s="4">
        <f>IF(ISERROR(VLOOKUP($U$541,'TAR FIN'!$A$1:$O$113,15,0)),0,VLOOKUP($U$541,'TAR FIN'!$A$1:$O$113,15,0))</f>
        <v>81.98</v>
      </c>
      <c r="Y541" s="4"/>
      <c r="Z54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1" s="4">
        <f>('TE BE'!$AA$20+'TE BF'!$AA$20+'TE CVA'!$AA$20)*(1-CUSTOS!$M$34)</f>
        <v>82.137764727346777</v>
      </c>
      <c r="AB541" s="4">
        <f t="shared" si="26"/>
        <v>0</v>
      </c>
      <c r="AC541" s="4">
        <f>(L541-M541)*(W541+X541)+($W$630+$X$630-$W$541-$X$541)*(L541)</f>
        <v>431.64099999999991</v>
      </c>
      <c r="AD541" s="4">
        <f t="shared" si="28"/>
        <v>0</v>
      </c>
      <c r="AE541" s="4">
        <f ca="1">(L541-M541)*(Z541+AA541)+($Z$630+$AA$630-$Z$541-$AA$541)*(L541)</f>
        <v>470.85143792891921</v>
      </c>
      <c r="AF541" s="3" t="s">
        <v>1028</v>
      </c>
    </row>
    <row r="542" spans="1:32" ht="11.25" customHeight="1" x14ac:dyDescent="0.25">
      <c r="A542" s="3" t="s">
        <v>28</v>
      </c>
      <c r="B542" s="3" t="s">
        <v>22</v>
      </c>
      <c r="C542" s="3" t="s">
        <v>23</v>
      </c>
      <c r="D542" s="3" t="s">
        <v>24</v>
      </c>
      <c r="E542" s="3" t="s">
        <v>29</v>
      </c>
      <c r="F542" s="3" t="s">
        <v>25</v>
      </c>
      <c r="G542" s="3" t="s">
        <v>25</v>
      </c>
      <c r="H542" s="3" t="s">
        <v>25</v>
      </c>
      <c r="I542" s="6">
        <v>44470</v>
      </c>
      <c r="J542" s="4">
        <v>0</v>
      </c>
      <c r="K542" s="4">
        <v>0</v>
      </c>
      <c r="L542" s="4">
        <v>1.95</v>
      </c>
      <c r="M542" s="4">
        <v>1.95</v>
      </c>
      <c r="N542" s="4">
        <v>1.95</v>
      </c>
      <c r="O542" s="4">
        <v>1.95</v>
      </c>
      <c r="P542" s="4">
        <v>5</v>
      </c>
      <c r="Q542" s="3" t="s">
        <v>26</v>
      </c>
      <c r="R542" s="3">
        <v>0</v>
      </c>
      <c r="S542" s="3">
        <v>0</v>
      </c>
      <c r="T542" s="3">
        <v>26</v>
      </c>
      <c r="U542" s="3">
        <v>99</v>
      </c>
      <c r="V542" s="4">
        <f>IF(ISERROR(VLOOKUP($S$542,'TAR FIN'!$A$1:$O$113,15,0)),0,VLOOKUP($S$542,'TAR FIN'!$A$1:$O$113,15,0))</f>
        <v>0</v>
      </c>
      <c r="W542" s="4">
        <f>IF(ISERROR(VLOOKUP($T$542,'TAR FIN'!$A$1:$O$113,15,0)),0,VLOOKUP($T$542,'TAR FIN'!$A$1:$O$113,15,0))</f>
        <v>107.74</v>
      </c>
      <c r="X542" s="4">
        <f>IF(ISERROR(VLOOKUP($U$542,'TAR FIN'!$A$1:$O$113,15,0)),0,VLOOKUP($U$542,'TAR FIN'!$A$1:$O$113,15,0))</f>
        <v>81.98</v>
      </c>
      <c r="Y542" s="4"/>
      <c r="Z54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2" s="4">
        <f>('TE BE'!$AA$20+'TE BF'!$AA$20+'TE CVA'!$AA$20)*(1-CUSTOS!$M$34)</f>
        <v>82.137764727346777</v>
      </c>
      <c r="AB542" s="4">
        <f t="shared" si="26"/>
        <v>0</v>
      </c>
      <c r="AC542" s="4">
        <f>(L542-M542)*(W542+X542)+($W$630+$X$630-$W$542-$X$542)*(L542)</f>
        <v>687.10199999999975</v>
      </c>
      <c r="AD542" s="4">
        <f t="shared" si="28"/>
        <v>0</v>
      </c>
      <c r="AE542" s="4">
        <f ca="1">(L542-M542)*(Z542+AA542)+($Z$630+$AA$630-$Z$542-$AA$542)*(L542)</f>
        <v>749.51861547868771</v>
      </c>
      <c r="AF542" s="3" t="s">
        <v>1028</v>
      </c>
    </row>
    <row r="543" spans="1:32" ht="11.25" customHeight="1" x14ac:dyDescent="0.25">
      <c r="A543" s="3" t="s">
        <v>21</v>
      </c>
      <c r="B543" s="3" t="s">
        <v>22</v>
      </c>
      <c r="C543" s="3" t="s">
        <v>23</v>
      </c>
      <c r="D543" s="3" t="s">
        <v>24</v>
      </c>
      <c r="E543" s="3" t="s">
        <v>29</v>
      </c>
      <c r="F543" s="3" t="s">
        <v>25</v>
      </c>
      <c r="G543" s="3" t="s">
        <v>25</v>
      </c>
      <c r="H543" s="3" t="s">
        <v>25</v>
      </c>
      <c r="I543" s="6">
        <v>44501</v>
      </c>
      <c r="J543" s="4">
        <v>0</v>
      </c>
      <c r="K543" s="4">
        <v>0</v>
      </c>
      <c r="L543" s="4">
        <v>6944.7920000000004</v>
      </c>
      <c r="M543" s="4">
        <v>6944.7920000000004</v>
      </c>
      <c r="N543" s="4">
        <v>6944.7920000000004</v>
      </c>
      <c r="O543" s="4">
        <v>6944.7920000000004</v>
      </c>
      <c r="P543" s="4">
        <v>21899</v>
      </c>
      <c r="Q543" s="3" t="s">
        <v>26</v>
      </c>
      <c r="R543" s="3">
        <v>0</v>
      </c>
      <c r="S543" s="3">
        <v>0</v>
      </c>
      <c r="T543" s="3">
        <v>26</v>
      </c>
      <c r="U543" s="3">
        <v>99</v>
      </c>
      <c r="V543" s="4">
        <f>IF(ISERROR(VLOOKUP($S$543,'TAR FIN'!$A$1:$O$113,15,0)),0,VLOOKUP($S$543,'TAR FIN'!$A$1:$O$113,15,0))</f>
        <v>0</v>
      </c>
      <c r="W543" s="4">
        <f>IF(ISERROR(VLOOKUP($T$543,'TAR FIN'!$A$1:$O$113,15,0)),0,VLOOKUP($T$543,'TAR FIN'!$A$1:$O$113,15,0))</f>
        <v>107.74</v>
      </c>
      <c r="X543" s="4">
        <f>IF(ISERROR(VLOOKUP($U$543,'TAR FIN'!$A$1:$O$113,15,0)),0,VLOOKUP($U$543,'TAR FIN'!$A$1:$O$113,15,0))</f>
        <v>81.98</v>
      </c>
      <c r="Y543" s="4"/>
      <c r="Z54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3" s="4">
        <f>('TE BE'!$AA$20+'TE BF'!$AA$20+'TE CVA'!$AA$20)*(1-CUSTOS!$M$34)</f>
        <v>82.137764727346777</v>
      </c>
      <c r="AB543" s="4">
        <f t="shared" si="26"/>
        <v>0</v>
      </c>
      <c r="AC543" s="4">
        <f>(L543-M543)*(W543+X543)+($W$630+$X$630-$W$543-$X$543)*(L543)</f>
        <v>2447066.9091199995</v>
      </c>
      <c r="AD543" s="4">
        <f t="shared" si="28"/>
        <v>0</v>
      </c>
      <c r="AE543" s="4">
        <f ca="1">(L543-M543)*(Z543+AA543)+($Z$630+$AA$630-$Z$543-$AA$543)*(L543)</f>
        <v>2669359.4280140856</v>
      </c>
      <c r="AF543" s="3" t="s">
        <v>1028</v>
      </c>
    </row>
    <row r="544" spans="1:32" ht="11.25" customHeight="1" x14ac:dyDescent="0.25">
      <c r="A544" s="3" t="s">
        <v>27</v>
      </c>
      <c r="B544" s="3" t="s">
        <v>22</v>
      </c>
      <c r="C544" s="3" t="s">
        <v>23</v>
      </c>
      <c r="D544" s="3" t="s">
        <v>24</v>
      </c>
      <c r="E544" s="3" t="s">
        <v>29</v>
      </c>
      <c r="F544" s="3" t="s">
        <v>25</v>
      </c>
      <c r="G544" s="3" t="s">
        <v>25</v>
      </c>
      <c r="H544" s="3" t="s">
        <v>25</v>
      </c>
      <c r="I544" s="6">
        <v>44501</v>
      </c>
      <c r="J544" s="4">
        <v>0</v>
      </c>
      <c r="K544" s="4">
        <v>0</v>
      </c>
      <c r="L544" s="4">
        <v>1.409</v>
      </c>
      <c r="M544" s="4">
        <v>1.409</v>
      </c>
      <c r="N544" s="4">
        <v>1.409</v>
      </c>
      <c r="O544" s="4">
        <v>1.409</v>
      </c>
      <c r="P544" s="4">
        <v>-1</v>
      </c>
      <c r="Q544" s="3" t="s">
        <v>26</v>
      </c>
      <c r="R544" s="3">
        <v>0</v>
      </c>
      <c r="S544" s="3">
        <v>0</v>
      </c>
      <c r="T544" s="3">
        <v>26</v>
      </c>
      <c r="U544" s="3">
        <v>99</v>
      </c>
      <c r="V544" s="4">
        <f>IF(ISERROR(VLOOKUP($S$544,'TAR FIN'!$A$1:$O$113,15,0)),0,VLOOKUP($S$544,'TAR FIN'!$A$1:$O$113,15,0))</f>
        <v>0</v>
      </c>
      <c r="W544" s="4">
        <f>IF(ISERROR(VLOOKUP($T$544,'TAR FIN'!$A$1:$O$113,15,0)),0,VLOOKUP($T$544,'TAR FIN'!$A$1:$O$113,15,0))</f>
        <v>107.74</v>
      </c>
      <c r="X544" s="4">
        <f>IF(ISERROR(VLOOKUP($U$544,'TAR FIN'!$A$1:$O$113,15,0)),0,VLOOKUP($U$544,'TAR FIN'!$A$1:$O$113,15,0))</f>
        <v>81.98</v>
      </c>
      <c r="Y544" s="4"/>
      <c r="Z54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4" s="4">
        <f>('TE BE'!$AA$20+'TE BF'!$AA$20+'TE CVA'!$AA$20)*(1-CUSTOS!$M$34)</f>
        <v>82.137764727346777</v>
      </c>
      <c r="AB544" s="4">
        <f t="shared" si="26"/>
        <v>0</v>
      </c>
      <c r="AC544" s="4">
        <f>(L544-M544)*(W544+X544)+($W$630+$X$630-$W$544-$X$544)*(L544)</f>
        <v>496.47523999999987</v>
      </c>
      <c r="AD544" s="4">
        <f t="shared" si="28"/>
        <v>0</v>
      </c>
      <c r="AE544" s="4">
        <f ca="1">(L544-M544)*(Z544+AA544)+($Z$630+$AA$630-$Z$544-$AA$544)*(L544)</f>
        <v>541.5752457484466</v>
      </c>
      <c r="AF544" s="3" t="s">
        <v>1028</v>
      </c>
    </row>
    <row r="545" spans="1:32" ht="11.25" customHeight="1" x14ac:dyDescent="0.25">
      <c r="A545" s="3" t="s">
        <v>28</v>
      </c>
      <c r="B545" s="3" t="s">
        <v>22</v>
      </c>
      <c r="C545" s="3" t="s">
        <v>23</v>
      </c>
      <c r="D545" s="3" t="s">
        <v>24</v>
      </c>
      <c r="E545" s="3" t="s">
        <v>29</v>
      </c>
      <c r="F545" s="3" t="s">
        <v>25</v>
      </c>
      <c r="G545" s="3" t="s">
        <v>25</v>
      </c>
      <c r="H545" s="3" t="s">
        <v>25</v>
      </c>
      <c r="I545" s="6">
        <v>44501</v>
      </c>
      <c r="J545" s="4">
        <v>0</v>
      </c>
      <c r="K545" s="4">
        <v>0</v>
      </c>
      <c r="L545" s="4">
        <v>2.0099999999999998</v>
      </c>
      <c r="M545" s="4">
        <v>2.0099999999999998</v>
      </c>
      <c r="N545" s="4">
        <v>2.0099999999999998</v>
      </c>
      <c r="O545" s="4">
        <v>2.0099999999999998</v>
      </c>
      <c r="P545" s="4">
        <v>3</v>
      </c>
      <c r="Q545" s="3" t="s">
        <v>26</v>
      </c>
      <c r="R545" s="3">
        <v>0</v>
      </c>
      <c r="S545" s="3">
        <v>0</v>
      </c>
      <c r="T545" s="3">
        <v>26</v>
      </c>
      <c r="U545" s="3">
        <v>99</v>
      </c>
      <c r="V545" s="4">
        <f>IF(ISERROR(VLOOKUP($S$545,'TAR FIN'!$A$1:$O$113,15,0)),0,VLOOKUP($S$545,'TAR FIN'!$A$1:$O$113,15,0))</f>
        <v>0</v>
      </c>
      <c r="W545" s="4">
        <f>IF(ISERROR(VLOOKUP($T$545,'TAR FIN'!$A$1:$O$113,15,0)),0,VLOOKUP($T$545,'TAR FIN'!$A$1:$O$113,15,0))</f>
        <v>107.74</v>
      </c>
      <c r="X545" s="4">
        <f>IF(ISERROR(VLOOKUP($U$545,'TAR FIN'!$A$1:$O$113,15,0)),0,VLOOKUP($U$545,'TAR FIN'!$A$1:$O$113,15,0))</f>
        <v>81.98</v>
      </c>
      <c r="Y545" s="4"/>
      <c r="Z54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5" s="4">
        <f>('TE BE'!$AA$20+'TE BF'!$AA$20+'TE CVA'!$AA$20)*(1-CUSTOS!$M$34)</f>
        <v>82.137764727346777</v>
      </c>
      <c r="AB545" s="4">
        <f t="shared" si="26"/>
        <v>0</v>
      </c>
      <c r="AC545" s="4">
        <f>(L545-M545)*(W545+X545)+($W$630+$X$630-$W$545-$X$545)*(L545)</f>
        <v>708.24359999999967</v>
      </c>
      <c r="AD545" s="4">
        <f t="shared" si="28"/>
        <v>0</v>
      </c>
      <c r="AE545" s="4">
        <f ca="1">(L545-M545)*(Z545+AA545)+($Z$630+$AA$630-$Z$545-$AA$545)*(L545)</f>
        <v>772.58072672418564</v>
      </c>
      <c r="AF545" s="3" t="s">
        <v>1028</v>
      </c>
    </row>
    <row r="546" spans="1:32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29</v>
      </c>
      <c r="F546" s="3" t="s">
        <v>25</v>
      </c>
      <c r="G546" s="3" t="s">
        <v>25</v>
      </c>
      <c r="H546" s="3" t="s">
        <v>25</v>
      </c>
      <c r="I546" s="6">
        <v>44531</v>
      </c>
      <c r="J546" s="4">
        <v>0</v>
      </c>
      <c r="K546" s="4">
        <v>0</v>
      </c>
      <c r="L546" s="4">
        <v>6935.1530000000002</v>
      </c>
      <c r="M546" s="4">
        <v>6935.1530000000002</v>
      </c>
      <c r="N546" s="4">
        <v>6935.1530000000002</v>
      </c>
      <c r="O546" s="4">
        <v>6935.1530000000002</v>
      </c>
      <c r="P546" s="4">
        <v>20869</v>
      </c>
      <c r="Q546" s="3" t="s">
        <v>26</v>
      </c>
      <c r="R546" s="3">
        <v>0</v>
      </c>
      <c r="S546" s="3">
        <v>0</v>
      </c>
      <c r="T546" s="3">
        <v>26</v>
      </c>
      <c r="U546" s="3">
        <v>99</v>
      </c>
      <c r="V546" s="4">
        <f>IF(ISERROR(VLOOKUP($S$546,'TAR FIN'!$A$1:$O$113,15,0)),0,VLOOKUP($S$546,'TAR FIN'!$A$1:$O$113,15,0))</f>
        <v>0</v>
      </c>
      <c r="W546" s="4">
        <f>IF(ISERROR(VLOOKUP($T$546,'TAR FIN'!$A$1:$O$113,15,0)),0,VLOOKUP($T$546,'TAR FIN'!$A$1:$O$113,15,0))</f>
        <v>107.74</v>
      </c>
      <c r="X546" s="4">
        <f>IF(ISERROR(VLOOKUP($U$546,'TAR FIN'!$A$1:$O$113,15,0)),0,VLOOKUP($U$546,'TAR FIN'!$A$1:$O$113,15,0))</f>
        <v>81.98</v>
      </c>
      <c r="Y546" s="4"/>
      <c r="Z54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6" s="4">
        <f>('TE BE'!$AA$20+'TE BF'!$AA$20+'TE CVA'!$AA$20)*(1-CUSTOS!$M$34)</f>
        <v>82.137764727346777</v>
      </c>
      <c r="AB546" s="4">
        <f t="shared" si="26"/>
        <v>0</v>
      </c>
      <c r="AC546" s="4">
        <f>(L546-M546)*(W546+X546)+($W$630+$X$630-$W$546-$X$546)*(L546)</f>
        <v>2443670.5110799996</v>
      </c>
      <c r="AD546" s="4">
        <f t="shared" si="28"/>
        <v>0</v>
      </c>
      <c r="AE546" s="4">
        <f ca="1">(L546-M546)*(Z546+AA546)+($Z$630+$AA$630-$Z$546-$AA$546)*(L546)</f>
        <v>2665654.4998424961</v>
      </c>
      <c r="AF546" s="3" t="s">
        <v>1028</v>
      </c>
    </row>
    <row r="547" spans="1:32" ht="11.25" customHeight="1" x14ac:dyDescent="0.25">
      <c r="A547" s="3" t="s">
        <v>27</v>
      </c>
      <c r="B547" s="3" t="s">
        <v>22</v>
      </c>
      <c r="C547" s="3" t="s">
        <v>23</v>
      </c>
      <c r="D547" s="3" t="s">
        <v>24</v>
      </c>
      <c r="E547" s="3" t="s">
        <v>29</v>
      </c>
      <c r="F547" s="3" t="s">
        <v>25</v>
      </c>
      <c r="G547" s="3" t="s">
        <v>25</v>
      </c>
      <c r="H547" s="3" t="s">
        <v>25</v>
      </c>
      <c r="I547" s="6">
        <v>44531</v>
      </c>
      <c r="J547" s="4">
        <v>0</v>
      </c>
      <c r="K547" s="4">
        <v>0</v>
      </c>
      <c r="L547" s="4">
        <v>3.1930000000000001</v>
      </c>
      <c r="M547" s="4">
        <v>3.1930000000000001</v>
      </c>
      <c r="N547" s="4">
        <v>3.1930000000000001</v>
      </c>
      <c r="O547" s="4">
        <v>3.1930000000000001</v>
      </c>
      <c r="P547" s="4">
        <v>38</v>
      </c>
      <c r="Q547" s="3" t="s">
        <v>26</v>
      </c>
      <c r="R547" s="3">
        <v>0</v>
      </c>
      <c r="S547" s="3">
        <v>0</v>
      </c>
      <c r="T547" s="3">
        <v>26</v>
      </c>
      <c r="U547" s="3">
        <v>99</v>
      </c>
      <c r="V547" s="4">
        <f>IF(ISERROR(VLOOKUP($S$547,'TAR FIN'!$A$1:$O$113,15,0)),0,VLOOKUP($S$547,'TAR FIN'!$A$1:$O$113,15,0))</f>
        <v>0</v>
      </c>
      <c r="W547" s="4">
        <f>IF(ISERROR(VLOOKUP($T$547,'TAR FIN'!$A$1:$O$113,15,0)),0,VLOOKUP($T$547,'TAR FIN'!$A$1:$O$113,15,0))</f>
        <v>107.74</v>
      </c>
      <c r="X547" s="4">
        <f>IF(ISERROR(VLOOKUP($U$547,'TAR FIN'!$A$1:$O$113,15,0)),0,VLOOKUP($U$547,'TAR FIN'!$A$1:$O$113,15,0))</f>
        <v>81.98</v>
      </c>
      <c r="Y547" s="4"/>
      <c r="Z54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7" s="4">
        <f>('TE BE'!$AA$20+'TE BF'!$AA$20+'TE CVA'!$AA$20)*(1-CUSTOS!$M$34)</f>
        <v>82.137764727346777</v>
      </c>
      <c r="AB547" s="4">
        <f t="shared" si="26"/>
        <v>0</v>
      </c>
      <c r="AC547" s="4">
        <f>(L547-M547)*(W547+X547)+($W$630+$X$630-$W$547-$X$547)*(L547)</f>
        <v>1125.0854799999997</v>
      </c>
      <c r="AD547" s="4">
        <f t="shared" si="28"/>
        <v>0</v>
      </c>
      <c r="AE547" s="4">
        <f ca="1">(L547-M547)*(Z547+AA547)+($Z$630+$AA$630-$Z$547-$AA$547)*(L547)</f>
        <v>1227.2886867812563</v>
      </c>
      <c r="AF547" s="3" t="s">
        <v>1028</v>
      </c>
    </row>
    <row r="548" spans="1:32" ht="11.25" customHeight="1" x14ac:dyDescent="0.25">
      <c r="A548" s="3" t="s">
        <v>28</v>
      </c>
      <c r="B548" s="3" t="s">
        <v>22</v>
      </c>
      <c r="C548" s="3" t="s">
        <v>23</v>
      </c>
      <c r="D548" s="3" t="s">
        <v>24</v>
      </c>
      <c r="E548" s="3" t="s">
        <v>29</v>
      </c>
      <c r="F548" s="3" t="s">
        <v>25</v>
      </c>
      <c r="G548" s="3" t="s">
        <v>25</v>
      </c>
      <c r="H548" s="3" t="s">
        <v>25</v>
      </c>
      <c r="I548" s="6">
        <v>44531</v>
      </c>
      <c r="J548" s="4">
        <v>0</v>
      </c>
      <c r="K548" s="4">
        <v>0</v>
      </c>
      <c r="L548" s="4">
        <v>2.13</v>
      </c>
      <c r="M548" s="4">
        <v>2.13</v>
      </c>
      <c r="N548" s="4">
        <v>2.13</v>
      </c>
      <c r="O548" s="4">
        <v>2.13</v>
      </c>
      <c r="P548" s="4">
        <v>4</v>
      </c>
      <c r="Q548" s="3" t="s">
        <v>26</v>
      </c>
      <c r="R548" s="3">
        <v>0</v>
      </c>
      <c r="S548" s="3">
        <v>0</v>
      </c>
      <c r="T548" s="3">
        <v>26</v>
      </c>
      <c r="U548" s="3">
        <v>99</v>
      </c>
      <c r="V548" s="4">
        <f>IF(ISERROR(VLOOKUP($S$548,'TAR FIN'!$A$1:$O$113,15,0)),0,VLOOKUP($S$548,'TAR FIN'!$A$1:$O$113,15,0))</f>
        <v>0</v>
      </c>
      <c r="W548" s="4">
        <f>IF(ISERROR(VLOOKUP($T$548,'TAR FIN'!$A$1:$O$113,15,0)),0,VLOOKUP($T$548,'TAR FIN'!$A$1:$O$113,15,0))</f>
        <v>107.74</v>
      </c>
      <c r="X548" s="4">
        <f>IF(ISERROR(VLOOKUP($U$548,'TAR FIN'!$A$1:$O$113,15,0)),0,VLOOKUP($U$548,'TAR FIN'!$A$1:$O$113,15,0))</f>
        <v>81.98</v>
      </c>
      <c r="Y548" s="4"/>
      <c r="Z548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8" s="4">
        <f>('TE BE'!$AA$20+'TE BF'!$AA$20+'TE CVA'!$AA$20)*(1-CUSTOS!$M$34)</f>
        <v>82.137764727346777</v>
      </c>
      <c r="AB548" s="4">
        <f t="shared" si="26"/>
        <v>0</v>
      </c>
      <c r="AC548" s="4">
        <f>(L548-M548)*(W548+X548)+($W$630+$X$630-$W$548-$X$548)*(L548)</f>
        <v>750.52679999999975</v>
      </c>
      <c r="AD548" s="4">
        <f t="shared" si="28"/>
        <v>0</v>
      </c>
      <c r="AE548" s="4">
        <f ca="1">(L548-M548)*(Z548+AA548)+($Z$630+$AA$630-$Z$548-$AA$548)*(L548)</f>
        <v>818.70494921518184</v>
      </c>
      <c r="AF548" s="3" t="s">
        <v>1028</v>
      </c>
    </row>
    <row r="549" spans="1:32" ht="11.25" customHeight="1" x14ac:dyDescent="0.25">
      <c r="A549" s="3" t="s">
        <v>21</v>
      </c>
      <c r="B549" s="3" t="s">
        <v>22</v>
      </c>
      <c r="C549" s="3" t="s">
        <v>23</v>
      </c>
      <c r="D549" s="3" t="s">
        <v>24</v>
      </c>
      <c r="E549" s="3" t="s">
        <v>29</v>
      </c>
      <c r="F549" s="3" t="s">
        <v>25</v>
      </c>
      <c r="G549" s="3" t="s">
        <v>25</v>
      </c>
      <c r="H549" s="3" t="s">
        <v>25</v>
      </c>
      <c r="I549" s="6">
        <v>44562</v>
      </c>
      <c r="J549" s="4">
        <v>0</v>
      </c>
      <c r="K549" s="4">
        <v>0</v>
      </c>
      <c r="L549" s="4">
        <v>6954.357</v>
      </c>
      <c r="M549" s="4">
        <v>6954.357</v>
      </c>
      <c r="N549" s="4">
        <v>6954.357</v>
      </c>
      <c r="O549" s="4">
        <v>6954.357</v>
      </c>
      <c r="P549" s="4">
        <v>19774</v>
      </c>
      <c r="Q549" s="3" t="s">
        <v>26</v>
      </c>
      <c r="R549" s="3">
        <v>0</v>
      </c>
      <c r="S549" s="3">
        <v>0</v>
      </c>
      <c r="T549" s="3">
        <v>26</v>
      </c>
      <c r="U549" s="3">
        <v>99</v>
      </c>
      <c r="V549" s="4">
        <f>IF(ISERROR(VLOOKUP($S$549,'TAR FIN'!$A$1:$O$113,15,0)),0,VLOOKUP($S$549,'TAR FIN'!$A$1:$O$113,15,0))</f>
        <v>0</v>
      </c>
      <c r="W549" s="4">
        <f>IF(ISERROR(VLOOKUP($T$549,'TAR FIN'!$A$1:$O$113,15,0)),0,VLOOKUP($T$549,'TAR FIN'!$A$1:$O$113,15,0))</f>
        <v>107.74</v>
      </c>
      <c r="X549" s="4">
        <f>IF(ISERROR(VLOOKUP($U$549,'TAR FIN'!$A$1:$O$113,15,0)),0,VLOOKUP($U$549,'TAR FIN'!$A$1:$O$113,15,0))</f>
        <v>81.98</v>
      </c>
      <c r="Y549" s="4"/>
      <c r="Z549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49" s="4">
        <f>('TE BE'!$AA$20+'TE BF'!$AA$20+'TE CVA'!$AA$20)*(1-CUSTOS!$M$34)</f>
        <v>82.137764727346777</v>
      </c>
      <c r="AB549" s="4">
        <f t="shared" si="26"/>
        <v>0</v>
      </c>
      <c r="AC549" s="4">
        <f>(L549-M549)*(W549+X549)+($W$630+$X$630-$W$549-$X$549)*(L549)</f>
        <v>2450437.2325199991</v>
      </c>
      <c r="AD549" s="4">
        <f t="shared" si="28"/>
        <v>0</v>
      </c>
      <c r="AE549" s="4">
        <f ca="1">(L549-M549)*(Z549+AA549)+($Z$630+$AA$630-$Z$549-$AA$549)*(L549)</f>
        <v>2673035.9129151385</v>
      </c>
      <c r="AF549" s="3" t="s">
        <v>1028</v>
      </c>
    </row>
    <row r="550" spans="1:32" ht="11.25" customHeight="1" x14ac:dyDescent="0.25">
      <c r="A550" s="3" t="s">
        <v>27</v>
      </c>
      <c r="B550" s="3" t="s">
        <v>22</v>
      </c>
      <c r="C550" s="3" t="s">
        <v>23</v>
      </c>
      <c r="D550" s="3" t="s">
        <v>24</v>
      </c>
      <c r="E550" s="3" t="s">
        <v>29</v>
      </c>
      <c r="F550" s="3" t="s">
        <v>25</v>
      </c>
      <c r="G550" s="3" t="s">
        <v>25</v>
      </c>
      <c r="H550" s="3" t="s">
        <v>25</v>
      </c>
      <c r="I550" s="6">
        <v>44562</v>
      </c>
      <c r="J550" s="4">
        <v>0</v>
      </c>
      <c r="K550" s="4">
        <v>0</v>
      </c>
      <c r="L550" s="4">
        <v>0.28299999999999997</v>
      </c>
      <c r="M550" s="4">
        <v>0.28299999999999997</v>
      </c>
      <c r="N550" s="4">
        <v>0.28299999999999997</v>
      </c>
      <c r="O550" s="4">
        <v>0.28299999999999997</v>
      </c>
      <c r="P550" s="4">
        <v>1</v>
      </c>
      <c r="Q550" s="3" t="s">
        <v>26</v>
      </c>
      <c r="R550" s="3">
        <v>0</v>
      </c>
      <c r="S550" s="3">
        <v>0</v>
      </c>
      <c r="T550" s="3">
        <v>26</v>
      </c>
      <c r="U550" s="3">
        <v>99</v>
      </c>
      <c r="V550" s="4">
        <f>IF(ISERROR(VLOOKUP($S$550,'TAR FIN'!$A$1:$O$113,15,0)),0,VLOOKUP($S$550,'TAR FIN'!$A$1:$O$113,15,0))</f>
        <v>0</v>
      </c>
      <c r="W550" s="4">
        <f>IF(ISERROR(VLOOKUP($T$550,'TAR FIN'!$A$1:$O$113,15,0)),0,VLOOKUP($T$550,'TAR FIN'!$A$1:$O$113,15,0))</f>
        <v>107.74</v>
      </c>
      <c r="X550" s="4">
        <f>IF(ISERROR(VLOOKUP($U$550,'TAR FIN'!$A$1:$O$113,15,0)),0,VLOOKUP($U$550,'TAR FIN'!$A$1:$O$113,15,0))</f>
        <v>81.98</v>
      </c>
      <c r="Y550" s="4"/>
      <c r="Z550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0" s="4">
        <f>('TE BE'!$AA$20+'TE BF'!$AA$20+'TE CVA'!$AA$20)*(1-CUSTOS!$M$34)</f>
        <v>82.137764727346777</v>
      </c>
      <c r="AB550" s="4">
        <f t="shared" si="26"/>
        <v>0</v>
      </c>
      <c r="AC550" s="4">
        <f>(L550-M550)*(W550+X550)+($W$630+$X$630-$W$550-$X$550)*(L550)</f>
        <v>99.717879999999965</v>
      </c>
      <c r="AD550" s="4">
        <f t="shared" si="28"/>
        <v>0</v>
      </c>
      <c r="AE550" s="4">
        <f ca="1">(L550-M550)*(Z550+AA550)+($Z$630+$AA$630-$Z$550-$AA$550)*(L550)</f>
        <v>108.77629137459928</v>
      </c>
      <c r="AF550" s="3" t="s">
        <v>1028</v>
      </c>
    </row>
    <row r="551" spans="1:32" ht="11.25" customHeight="1" x14ac:dyDescent="0.25">
      <c r="A551" s="3" t="s">
        <v>28</v>
      </c>
      <c r="B551" s="3" t="s">
        <v>22</v>
      </c>
      <c r="C551" s="3" t="s">
        <v>23</v>
      </c>
      <c r="D551" s="3" t="s">
        <v>24</v>
      </c>
      <c r="E551" s="3" t="s">
        <v>29</v>
      </c>
      <c r="F551" s="3" t="s">
        <v>25</v>
      </c>
      <c r="G551" s="3" t="s">
        <v>25</v>
      </c>
      <c r="H551" s="3" t="s">
        <v>25</v>
      </c>
      <c r="I551" s="6">
        <v>44562</v>
      </c>
      <c r="J551" s="4">
        <v>0</v>
      </c>
      <c r="K551" s="4">
        <v>0</v>
      </c>
      <c r="L551" s="4">
        <v>2.34</v>
      </c>
      <c r="M551" s="4">
        <v>2.34</v>
      </c>
      <c r="N551" s="4">
        <v>2.34</v>
      </c>
      <c r="O551" s="4">
        <v>2.34</v>
      </c>
      <c r="P551" s="4">
        <v>7</v>
      </c>
      <c r="Q551" s="3" t="s">
        <v>26</v>
      </c>
      <c r="R551" s="3">
        <v>0</v>
      </c>
      <c r="S551" s="3">
        <v>0</v>
      </c>
      <c r="T551" s="3">
        <v>26</v>
      </c>
      <c r="U551" s="3">
        <v>99</v>
      </c>
      <c r="V551" s="4">
        <f>IF(ISERROR(VLOOKUP($S$551,'TAR FIN'!$A$1:$O$113,15,0)),0,VLOOKUP($S$551,'TAR FIN'!$A$1:$O$113,15,0))</f>
        <v>0</v>
      </c>
      <c r="W551" s="4">
        <f>IF(ISERROR(VLOOKUP($T$551,'TAR FIN'!$A$1:$O$113,15,0)),0,VLOOKUP($T$551,'TAR FIN'!$A$1:$O$113,15,0))</f>
        <v>107.74</v>
      </c>
      <c r="X551" s="4">
        <f>IF(ISERROR(VLOOKUP($U$551,'TAR FIN'!$A$1:$O$113,15,0)),0,VLOOKUP($U$551,'TAR FIN'!$A$1:$O$113,15,0))</f>
        <v>81.98</v>
      </c>
      <c r="Y551" s="4"/>
      <c r="Z551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1" s="4">
        <f>('TE BE'!$AA$20+'TE BF'!$AA$20+'TE CVA'!$AA$20)*(1-CUSTOS!$M$34)</f>
        <v>82.137764727346777</v>
      </c>
      <c r="AB551" s="4">
        <f t="shared" si="26"/>
        <v>0</v>
      </c>
      <c r="AC551" s="4">
        <f>(L551-M551)*(W551+X551)+($W$630+$X$630-$W$551-$X$551)*(L551)</f>
        <v>824.52239999999972</v>
      </c>
      <c r="AD551" s="4">
        <f t="shared" si="28"/>
        <v>0</v>
      </c>
      <c r="AE551" s="4">
        <f ca="1">(L551-M551)*(Z551+AA551)+($Z$630+$AA$630-$Z$551-$AA$551)*(L551)</f>
        <v>899.42233857442511</v>
      </c>
      <c r="AF551" s="3" t="s">
        <v>1028</v>
      </c>
    </row>
    <row r="552" spans="1:32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29</v>
      </c>
      <c r="F552" s="3" t="s">
        <v>25</v>
      </c>
      <c r="G552" s="3" t="s">
        <v>25</v>
      </c>
      <c r="H552" s="3" t="s">
        <v>25</v>
      </c>
      <c r="I552" s="6">
        <v>44593</v>
      </c>
      <c r="J552" s="4">
        <v>0</v>
      </c>
      <c r="K552" s="4">
        <v>0</v>
      </c>
      <c r="L552" s="4">
        <v>7246.22</v>
      </c>
      <c r="M552" s="4">
        <v>7246.22</v>
      </c>
      <c r="N552" s="4">
        <v>7246.22</v>
      </c>
      <c r="O552" s="4">
        <v>7246.22</v>
      </c>
      <c r="P552" s="4">
        <v>20972</v>
      </c>
      <c r="Q552" s="3" t="s">
        <v>26</v>
      </c>
      <c r="R552" s="3">
        <v>0</v>
      </c>
      <c r="S552" s="3">
        <v>0</v>
      </c>
      <c r="T552" s="3">
        <v>26</v>
      </c>
      <c r="U552" s="3">
        <v>99</v>
      </c>
      <c r="V552" s="4">
        <f>IF(ISERROR(VLOOKUP($S$552,'TAR FIN'!$A$1:$O$113,15,0)),0,VLOOKUP($S$552,'TAR FIN'!$A$1:$O$113,15,0))</f>
        <v>0</v>
      </c>
      <c r="W552" s="4">
        <f>IF(ISERROR(VLOOKUP($T$552,'TAR FIN'!$A$1:$O$113,15,0)),0,VLOOKUP($T$552,'TAR FIN'!$A$1:$O$113,15,0))</f>
        <v>107.74</v>
      </c>
      <c r="X552" s="4">
        <f>IF(ISERROR(VLOOKUP($U$552,'TAR FIN'!$A$1:$O$113,15,0)),0,VLOOKUP($U$552,'TAR FIN'!$A$1:$O$113,15,0))</f>
        <v>81.98</v>
      </c>
      <c r="Y552" s="4"/>
      <c r="Z552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2" s="4">
        <f>('TE BE'!$AA$20+'TE BF'!$AA$20+'TE CVA'!$AA$20)*(1-CUSTOS!$M$34)</f>
        <v>82.137764727346777</v>
      </c>
      <c r="AB552" s="4">
        <f t="shared" si="26"/>
        <v>0</v>
      </c>
      <c r="AC552" s="4">
        <f>(L552-M552)*(W552+X552)+($W$630+$X$630-$W$552-$X$552)*(L552)</f>
        <v>2553278.0791999996</v>
      </c>
      <c r="AD552" s="4">
        <f t="shared" si="28"/>
        <v>0</v>
      </c>
      <c r="AE552" s="4">
        <f ca="1">(L552-M552)*(Z552+AA552)+($Z$630+$AA$630-$Z$552-$AA$552)*(L552)</f>
        <v>2785218.8624892188</v>
      </c>
      <c r="AF552" s="3" t="s">
        <v>1028</v>
      </c>
    </row>
    <row r="553" spans="1:32" ht="11.25" customHeight="1" x14ac:dyDescent="0.25">
      <c r="A553" s="3" t="s">
        <v>27</v>
      </c>
      <c r="B553" s="3" t="s">
        <v>22</v>
      </c>
      <c r="C553" s="3" t="s">
        <v>23</v>
      </c>
      <c r="D553" s="3" t="s">
        <v>24</v>
      </c>
      <c r="E553" s="3" t="s">
        <v>29</v>
      </c>
      <c r="F553" s="3" t="s">
        <v>25</v>
      </c>
      <c r="G553" s="3" t="s">
        <v>25</v>
      </c>
      <c r="H553" s="3" t="s">
        <v>25</v>
      </c>
      <c r="I553" s="6">
        <v>44593</v>
      </c>
      <c r="J553" s="4">
        <v>0</v>
      </c>
      <c r="K553" s="4">
        <v>0</v>
      </c>
      <c r="L553" s="4">
        <v>1.155</v>
      </c>
      <c r="M553" s="4">
        <v>1.155</v>
      </c>
      <c r="N553" s="4">
        <v>1.155</v>
      </c>
      <c r="O553" s="4">
        <v>1.155</v>
      </c>
      <c r="P553" s="4">
        <v>8</v>
      </c>
      <c r="Q553" s="3" t="s">
        <v>26</v>
      </c>
      <c r="R553" s="3">
        <v>0</v>
      </c>
      <c r="S553" s="3">
        <v>0</v>
      </c>
      <c r="T553" s="3">
        <v>26</v>
      </c>
      <c r="U553" s="3">
        <v>99</v>
      </c>
      <c r="V553" s="4">
        <f>IF(ISERROR(VLOOKUP($S$553,'TAR FIN'!$A$1:$O$113,15,0)),0,VLOOKUP($S$553,'TAR FIN'!$A$1:$O$113,15,0))</f>
        <v>0</v>
      </c>
      <c r="W553" s="4">
        <f>IF(ISERROR(VLOOKUP($T$553,'TAR FIN'!$A$1:$O$113,15,0)),0,VLOOKUP($T$553,'TAR FIN'!$A$1:$O$113,15,0))</f>
        <v>107.74</v>
      </c>
      <c r="X553" s="4">
        <f>IF(ISERROR(VLOOKUP($U$553,'TAR FIN'!$A$1:$O$113,15,0)),0,VLOOKUP($U$553,'TAR FIN'!$A$1:$O$113,15,0))</f>
        <v>81.98</v>
      </c>
      <c r="Y553" s="4"/>
      <c r="Z553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3" s="4">
        <f>('TE BE'!$AA$20+'TE BF'!$AA$20+'TE CVA'!$AA$20)*(1-CUSTOS!$M$34)</f>
        <v>82.137764727346777</v>
      </c>
      <c r="AB553" s="4">
        <f t="shared" si="26"/>
        <v>0</v>
      </c>
      <c r="AC553" s="4">
        <f>(L553-M553)*(W553+X553)+($W$630+$X$630-$W$553-$X$553)*(L553)</f>
        <v>406.97579999999988</v>
      </c>
      <c r="AD553" s="4">
        <f t="shared" si="28"/>
        <v>0</v>
      </c>
      <c r="AE553" s="4">
        <f ca="1">(L553-M553)*(Z553+AA553)+($Z$630+$AA$630-$Z$553-$AA$553)*(L553)</f>
        <v>443.9456414758381</v>
      </c>
      <c r="AF553" s="3" t="s">
        <v>1028</v>
      </c>
    </row>
    <row r="554" spans="1:32" ht="11.25" customHeight="1" x14ac:dyDescent="0.25">
      <c r="A554" s="3" t="s">
        <v>28</v>
      </c>
      <c r="B554" s="3" t="s">
        <v>22</v>
      </c>
      <c r="C554" s="3" t="s">
        <v>23</v>
      </c>
      <c r="D554" s="3" t="s">
        <v>24</v>
      </c>
      <c r="E554" s="3" t="s">
        <v>29</v>
      </c>
      <c r="F554" s="3" t="s">
        <v>25</v>
      </c>
      <c r="G554" s="3" t="s">
        <v>25</v>
      </c>
      <c r="H554" s="3" t="s">
        <v>25</v>
      </c>
      <c r="I554" s="6">
        <v>44593</v>
      </c>
      <c r="J554" s="4">
        <v>0</v>
      </c>
      <c r="K554" s="4">
        <v>0</v>
      </c>
      <c r="L554" s="4">
        <v>2.4300000000000002</v>
      </c>
      <c r="M554" s="4">
        <v>2.4300000000000002</v>
      </c>
      <c r="N554" s="4">
        <v>2.4300000000000002</v>
      </c>
      <c r="O554" s="4">
        <v>2.4300000000000002</v>
      </c>
      <c r="P554" s="4">
        <v>7</v>
      </c>
      <c r="Q554" s="3" t="s">
        <v>26</v>
      </c>
      <c r="R554" s="3">
        <v>0</v>
      </c>
      <c r="S554" s="3">
        <v>0</v>
      </c>
      <c r="T554" s="3">
        <v>26</v>
      </c>
      <c r="U554" s="3">
        <v>99</v>
      </c>
      <c r="V554" s="4">
        <f>IF(ISERROR(VLOOKUP($S$554,'TAR FIN'!$A$1:$O$113,15,0)),0,VLOOKUP($S$554,'TAR FIN'!$A$1:$O$113,15,0))</f>
        <v>0</v>
      </c>
      <c r="W554" s="4">
        <f>IF(ISERROR(VLOOKUP($T$554,'TAR FIN'!$A$1:$O$113,15,0)),0,VLOOKUP($T$554,'TAR FIN'!$A$1:$O$113,15,0))</f>
        <v>107.74</v>
      </c>
      <c r="X554" s="4">
        <f>IF(ISERROR(VLOOKUP($U$554,'TAR FIN'!$A$1:$O$113,15,0)),0,VLOOKUP($U$554,'TAR FIN'!$A$1:$O$113,15,0))</f>
        <v>81.98</v>
      </c>
      <c r="Y554" s="4"/>
      <c r="Z554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4" s="4">
        <f>('TE BE'!$AA$20+'TE BF'!$AA$20+'TE CVA'!$AA$20)*(1-CUSTOS!$M$34)</f>
        <v>82.137764727346777</v>
      </c>
      <c r="AB554" s="4">
        <f t="shared" si="26"/>
        <v>0</v>
      </c>
      <c r="AC554" s="4">
        <f>(L554-M554)*(W554+X554)+($W$630+$X$630-$W$554-$X$554)*(L554)</f>
        <v>856.23479999999984</v>
      </c>
      <c r="AD554" s="4">
        <f t="shared" si="28"/>
        <v>0</v>
      </c>
      <c r="AE554" s="4">
        <f ca="1">(L554-M554)*(Z554+AA554)+($Z$630+$AA$630-$Z$554-$AA$554)*(L554)</f>
        <v>934.01550544267241</v>
      </c>
      <c r="AF554" s="3" t="s">
        <v>1028</v>
      </c>
    </row>
    <row r="555" spans="1:32" ht="11.25" customHeight="1" x14ac:dyDescent="0.25">
      <c r="A555" s="3" t="s">
        <v>56</v>
      </c>
      <c r="B555" s="3" t="s">
        <v>22</v>
      </c>
      <c r="C555" s="3" t="s">
        <v>23</v>
      </c>
      <c r="D555" s="3" t="s">
        <v>24</v>
      </c>
      <c r="E555" s="3" t="s">
        <v>29</v>
      </c>
      <c r="F555" s="3" t="s">
        <v>25</v>
      </c>
      <c r="G555" s="3" t="s">
        <v>25</v>
      </c>
      <c r="H555" s="3" t="s">
        <v>25</v>
      </c>
      <c r="I555" s="6">
        <v>44621</v>
      </c>
      <c r="J555" s="4">
        <v>0</v>
      </c>
      <c r="K555" s="4">
        <v>0</v>
      </c>
      <c r="L555" s="4">
        <v>7246.22</v>
      </c>
      <c r="M555" s="4">
        <v>7246.22</v>
      </c>
      <c r="N555" s="4">
        <v>7246.22</v>
      </c>
      <c r="O555" s="4">
        <v>7246.22</v>
      </c>
      <c r="P555" s="4">
        <v>20972</v>
      </c>
      <c r="Q555" s="3" t="s">
        <v>26</v>
      </c>
      <c r="R555" s="3">
        <v>0</v>
      </c>
      <c r="S555" s="3">
        <v>0</v>
      </c>
      <c r="T555" s="3">
        <v>26</v>
      </c>
      <c r="U555" s="3">
        <v>99</v>
      </c>
      <c r="V555" s="4">
        <f>IF(ISERROR(VLOOKUP($S$555,'TAR FIN'!$A$1:$O$113,15,0)),0,VLOOKUP($S$555,'TAR FIN'!$A$1:$O$113,15,0))</f>
        <v>0</v>
      </c>
      <c r="W555" s="4">
        <f>IF(ISERROR(VLOOKUP($T$555,'TAR FIN'!$A$1:$O$113,15,0)),0,VLOOKUP($T$555,'TAR FIN'!$A$1:$O$113,15,0))</f>
        <v>107.74</v>
      </c>
      <c r="X555" s="4">
        <f>IF(ISERROR(VLOOKUP($U$555,'TAR FIN'!$A$1:$O$113,15,0)),0,VLOOKUP($U$555,'TAR FIN'!$A$1:$O$113,15,0))</f>
        <v>81.98</v>
      </c>
      <c r="Y555" s="4"/>
      <c r="Z555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5" s="4">
        <f>('TE BE'!$AA$20+'TE BF'!$AA$20+'TE CVA'!$AA$20)*(1-CUSTOS!$M$34)</f>
        <v>82.137764727346777</v>
      </c>
      <c r="AB555" s="4">
        <f t="shared" si="26"/>
        <v>0</v>
      </c>
      <c r="AC555" s="4">
        <f>(L555-M555)*(W555+X555)+($W$630+$X$630-$W$555-$X$555)*(L555)</f>
        <v>2553278.0791999996</v>
      </c>
      <c r="AD555" s="4">
        <f t="shared" si="28"/>
        <v>0</v>
      </c>
      <c r="AE555" s="4">
        <f ca="1">(L555-M555)*(Z555+AA555)+($Z$630+$AA$630-$Z$555-$AA$555)*(L555)</f>
        <v>2785218.8624892188</v>
      </c>
      <c r="AF555" s="3" t="s">
        <v>1028</v>
      </c>
    </row>
    <row r="556" spans="1:32" ht="11.25" customHeight="1" x14ac:dyDescent="0.25">
      <c r="A556" s="3" t="s">
        <v>56</v>
      </c>
      <c r="B556" s="3" t="s">
        <v>22</v>
      </c>
      <c r="C556" s="3" t="s">
        <v>23</v>
      </c>
      <c r="D556" s="3" t="s">
        <v>24</v>
      </c>
      <c r="E556" s="3" t="s">
        <v>29</v>
      </c>
      <c r="F556" s="3" t="s">
        <v>25</v>
      </c>
      <c r="G556" s="3" t="s">
        <v>25</v>
      </c>
      <c r="H556" s="3" t="s">
        <v>25</v>
      </c>
      <c r="I556" s="6">
        <v>44621</v>
      </c>
      <c r="J556" s="4">
        <v>0</v>
      </c>
      <c r="K556" s="4">
        <v>0</v>
      </c>
      <c r="L556" s="4">
        <v>1.155</v>
      </c>
      <c r="M556" s="4">
        <v>1.155</v>
      </c>
      <c r="N556" s="4">
        <v>1.155</v>
      </c>
      <c r="O556" s="4">
        <v>1.155</v>
      </c>
      <c r="P556" s="4">
        <v>8</v>
      </c>
      <c r="Q556" s="3" t="s">
        <v>26</v>
      </c>
      <c r="R556" s="3">
        <v>0</v>
      </c>
      <c r="S556" s="3">
        <v>0</v>
      </c>
      <c r="T556" s="3">
        <v>26</v>
      </c>
      <c r="U556" s="3">
        <v>99</v>
      </c>
      <c r="V556" s="4">
        <f>IF(ISERROR(VLOOKUP($S$556,'TAR FIN'!$A$1:$O$113,15,0)),0,VLOOKUP($S$556,'TAR FIN'!$A$1:$O$113,15,0))</f>
        <v>0</v>
      </c>
      <c r="W556" s="4">
        <f>IF(ISERROR(VLOOKUP($T$556,'TAR FIN'!$A$1:$O$113,15,0)),0,VLOOKUP($T$556,'TAR FIN'!$A$1:$O$113,15,0))</f>
        <v>107.74</v>
      </c>
      <c r="X556" s="4">
        <f>IF(ISERROR(VLOOKUP($U$556,'TAR FIN'!$A$1:$O$113,15,0)),0,VLOOKUP($U$556,'TAR FIN'!$A$1:$O$113,15,0))</f>
        <v>81.98</v>
      </c>
      <c r="Y556" s="4"/>
      <c r="Z556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6" s="4">
        <f>('TE BE'!$AA$20+'TE BF'!$AA$20+'TE CVA'!$AA$20)*(1-CUSTOS!$M$34)</f>
        <v>82.137764727346777</v>
      </c>
      <c r="AB556" s="4">
        <f t="shared" si="26"/>
        <v>0</v>
      </c>
      <c r="AC556" s="4">
        <f>(L556-M556)*(W556+X556)+($W$630+$X$630-$W$556-$X$556)*(L556)</f>
        <v>406.97579999999988</v>
      </c>
      <c r="AD556" s="4">
        <f t="shared" si="28"/>
        <v>0</v>
      </c>
      <c r="AE556" s="4">
        <f ca="1">(L556-M556)*(Z556+AA556)+($Z$630+$AA$630-$Z$556-$AA$556)*(L556)</f>
        <v>443.9456414758381</v>
      </c>
      <c r="AF556" s="3" t="s">
        <v>1028</v>
      </c>
    </row>
    <row r="557" spans="1:32" ht="11.25" customHeight="1" x14ac:dyDescent="0.25">
      <c r="A557" s="3" t="s">
        <v>56</v>
      </c>
      <c r="B557" s="3" t="s">
        <v>22</v>
      </c>
      <c r="C557" s="3" t="s">
        <v>23</v>
      </c>
      <c r="D557" s="3" t="s">
        <v>24</v>
      </c>
      <c r="E557" s="3" t="s">
        <v>29</v>
      </c>
      <c r="F557" s="3" t="s">
        <v>25</v>
      </c>
      <c r="G557" s="3" t="s">
        <v>25</v>
      </c>
      <c r="H557" s="3" t="s">
        <v>25</v>
      </c>
      <c r="I557" s="6">
        <v>44621</v>
      </c>
      <c r="J557" s="4">
        <v>0</v>
      </c>
      <c r="K557" s="4">
        <v>0</v>
      </c>
      <c r="L557" s="4">
        <v>2.4300000000000002</v>
      </c>
      <c r="M557" s="4">
        <v>2.4300000000000002</v>
      </c>
      <c r="N557" s="4">
        <v>2.4300000000000002</v>
      </c>
      <c r="O557" s="4">
        <v>2.4300000000000002</v>
      </c>
      <c r="P557" s="4">
        <v>7</v>
      </c>
      <c r="Q557" s="3" t="s">
        <v>26</v>
      </c>
      <c r="R557" s="3">
        <v>0</v>
      </c>
      <c r="S557" s="3">
        <v>0</v>
      </c>
      <c r="T557" s="3">
        <v>26</v>
      </c>
      <c r="U557" s="3">
        <v>99</v>
      </c>
      <c r="V557" s="4">
        <f>IF(ISERROR(VLOOKUP($S$557,'TAR FIN'!$A$1:$O$113,15,0)),0,VLOOKUP($S$557,'TAR FIN'!$A$1:$O$113,15,0))</f>
        <v>0</v>
      </c>
      <c r="W557" s="4">
        <f>IF(ISERROR(VLOOKUP($T$557,'TAR FIN'!$A$1:$O$113,15,0)),0,VLOOKUP($T$557,'TAR FIN'!$A$1:$O$113,15,0))</f>
        <v>107.74</v>
      </c>
      <c r="X557" s="4">
        <f>IF(ISERROR(VLOOKUP($U$557,'TAR FIN'!$A$1:$O$113,15,0)),0,VLOOKUP($U$557,'TAR FIN'!$A$1:$O$113,15,0))</f>
        <v>81.98</v>
      </c>
      <c r="Y557" s="4"/>
      <c r="Z557" s="4">
        <f ca="1">('TUSD BE'!$AM$41+'TUSD BF'!$AM$41+'TUSD CVA'!$AM$41-('TUSD BE'!$P$41+'TUSD BF'!$P$41+'TUSD CVA'!$P$41)-('TUSD BE'!$Q$41+'TUSD BF'!$Q$41+'TUSD CVA'!$Q$41)-('TUSD BE'!$R$41+'TUSD BF'!$R$41+'TUSD CVA'!$R$41))*(1-CUSTOS!$M$34)</f>
        <v>124.82990029635394</v>
      </c>
      <c r="AA557" s="4">
        <f>('TE BE'!$AA$20+'TE BF'!$AA$20+'TE CVA'!$AA$20)*(1-CUSTOS!$M$34)</f>
        <v>82.137764727346777</v>
      </c>
      <c r="AB557" s="4">
        <f t="shared" si="26"/>
        <v>0</v>
      </c>
      <c r="AC557" s="4">
        <f>(L557-M557)*(W557+X557)+($W$630+$X$630-$W$557-$X$557)*(L557)</f>
        <v>856.23479999999984</v>
      </c>
      <c r="AD557" s="4">
        <f t="shared" si="28"/>
        <v>0</v>
      </c>
      <c r="AE557" s="4">
        <f ca="1">(L557-M557)*(Z557+AA557)+($Z$630+$AA$630-$Z$557-$AA$557)*(L557)</f>
        <v>934.01550544267241</v>
      </c>
      <c r="AF557" s="3" t="s">
        <v>1028</v>
      </c>
    </row>
    <row r="558" spans="1:32" ht="11.25" customHeight="1" x14ac:dyDescent="0.25">
      <c r="A558" s="3" t="s">
        <v>21</v>
      </c>
      <c r="B558" s="3" t="s">
        <v>22</v>
      </c>
      <c r="C558" s="3" t="s">
        <v>23</v>
      </c>
      <c r="D558" s="3" t="s">
        <v>24</v>
      </c>
      <c r="E558" s="3" t="s">
        <v>30</v>
      </c>
      <c r="F558" s="3" t="s">
        <v>25</v>
      </c>
      <c r="G558" s="3" t="s">
        <v>25</v>
      </c>
      <c r="H558" s="3" t="s">
        <v>25</v>
      </c>
      <c r="I558" s="6">
        <v>44287</v>
      </c>
      <c r="J558" s="4">
        <v>0</v>
      </c>
      <c r="K558" s="4">
        <v>0</v>
      </c>
      <c r="L558" s="4">
        <v>11784.513999999999</v>
      </c>
      <c r="M558" s="4">
        <v>11784.513999999999</v>
      </c>
      <c r="N558" s="4">
        <v>11784.513999999999</v>
      </c>
      <c r="O558" s="4">
        <v>11784.513999999999</v>
      </c>
      <c r="P558" s="4">
        <v>98290</v>
      </c>
      <c r="Q558" s="3" t="s">
        <v>26</v>
      </c>
      <c r="R558" s="3">
        <v>0</v>
      </c>
      <c r="S558" s="3">
        <v>0</v>
      </c>
      <c r="T558" s="3">
        <v>27</v>
      </c>
      <c r="U558" s="3">
        <v>100</v>
      </c>
      <c r="V558" s="4">
        <f>IF(ISERROR(VLOOKUP($S$558,'TAR FIN'!$A$1:$O$113,15,0)),0,VLOOKUP($S$558,'TAR FIN'!$A$1:$O$113,15,0))</f>
        <v>0</v>
      </c>
      <c r="W558" s="4">
        <f>IF(ISERROR(VLOOKUP($T$558,'TAR FIN'!$A$1:$O$113,15,0)),0,VLOOKUP($T$558,'TAR FIN'!$A$1:$O$113,15,0))</f>
        <v>184.7</v>
      </c>
      <c r="X558" s="4">
        <f>IF(ISERROR(VLOOKUP($U$558,'TAR FIN'!$A$1:$O$113,15,0)),0,VLOOKUP($U$558,'TAR FIN'!$A$1:$O$113,15,0))</f>
        <v>140.54</v>
      </c>
      <c r="Y558" s="4"/>
      <c r="Z55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58" s="4">
        <f>('TE BE'!$AA$21+'TE BF'!$AA$21+'TE CVA'!$AA$21)*(1-CUSTOS!$M$35)</f>
        <v>140.80759667545161</v>
      </c>
      <c r="AB558" s="4">
        <f t="shared" si="26"/>
        <v>0</v>
      </c>
      <c r="AC558" s="4">
        <f>(L558-M558)*(W558+X558)+($W$630+$X$630-$W$558-$X$558)*(L558)</f>
        <v>2555354.0157599994</v>
      </c>
      <c r="AD558" s="4">
        <f t="shared" si="28"/>
        <v>0</v>
      </c>
      <c r="AE558" s="4">
        <f ca="1">(L558-M558)*(Z558+AA558)+($Z$630+$AA$630-$Z$558-$AA$558)*(L558)</f>
        <v>2787443.8240218414</v>
      </c>
      <c r="AF558" s="3" t="s">
        <v>1028</v>
      </c>
    </row>
    <row r="559" spans="1:32" ht="11.25" customHeight="1" x14ac:dyDescent="0.25">
      <c r="A559" s="3" t="s">
        <v>27</v>
      </c>
      <c r="B559" s="3" t="s">
        <v>22</v>
      </c>
      <c r="C559" s="3" t="s">
        <v>23</v>
      </c>
      <c r="D559" s="3" t="s">
        <v>24</v>
      </c>
      <c r="E559" s="3" t="s">
        <v>30</v>
      </c>
      <c r="F559" s="3" t="s">
        <v>25</v>
      </c>
      <c r="G559" s="3" t="s">
        <v>25</v>
      </c>
      <c r="H559" s="3" t="s">
        <v>25</v>
      </c>
      <c r="I559" s="6">
        <v>44287</v>
      </c>
      <c r="J559" s="4">
        <v>0</v>
      </c>
      <c r="K559" s="4">
        <v>0</v>
      </c>
      <c r="L559" s="4">
        <v>-2.8889999999999998</v>
      </c>
      <c r="M559" s="4">
        <v>-2.8889999999999998</v>
      </c>
      <c r="N559" s="4">
        <v>-2.8889999999999998</v>
      </c>
      <c r="O559" s="4">
        <v>-2.8889999999999998</v>
      </c>
      <c r="P559" s="4">
        <v>-34</v>
      </c>
      <c r="Q559" s="3" t="s">
        <v>26</v>
      </c>
      <c r="R559" s="3">
        <v>0</v>
      </c>
      <c r="S559" s="3">
        <v>0</v>
      </c>
      <c r="T559" s="3">
        <v>27</v>
      </c>
      <c r="U559" s="3">
        <v>100</v>
      </c>
      <c r="V559" s="4">
        <f>IF(ISERROR(VLOOKUP($S$559,'TAR FIN'!$A$1:$O$113,15,0)),0,VLOOKUP($S$559,'TAR FIN'!$A$1:$O$113,15,0))</f>
        <v>0</v>
      </c>
      <c r="W559" s="4">
        <f>IF(ISERROR(VLOOKUP($T$559,'TAR FIN'!$A$1:$O$113,15,0)),0,VLOOKUP($T$559,'TAR FIN'!$A$1:$O$113,15,0))</f>
        <v>184.7</v>
      </c>
      <c r="X559" s="4">
        <f>IF(ISERROR(VLOOKUP($U$559,'TAR FIN'!$A$1:$O$113,15,0)),0,VLOOKUP($U$559,'TAR FIN'!$A$1:$O$113,15,0))</f>
        <v>140.54</v>
      </c>
      <c r="Y559" s="4"/>
      <c r="Z55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59" s="4">
        <f>('TE BE'!$AA$21+'TE BF'!$AA$21+'TE CVA'!$AA$21)*(1-CUSTOS!$M$35)</f>
        <v>140.80759667545161</v>
      </c>
      <c r="AB559" s="4">
        <f t="shared" si="26"/>
        <v>0</v>
      </c>
      <c r="AC559" s="4">
        <f>(L559-M559)*(W559+X559)+($W$630+$X$630-$W$559-$X$559)*(L559)</f>
        <v>-626.45075999999983</v>
      </c>
      <c r="AD559" s="4">
        <f t="shared" si="28"/>
        <v>0</v>
      </c>
      <c r="AE559" s="4">
        <f ca="1">(L559-M559)*(Z559+AA559)+($Z$630+$AA$630-$Z$559-$AA$559)*(L559)</f>
        <v>-683.34809628968151</v>
      </c>
      <c r="AF559" s="3" t="s">
        <v>1028</v>
      </c>
    </row>
    <row r="560" spans="1:32" ht="11.25" customHeight="1" x14ac:dyDescent="0.25">
      <c r="A560" s="3" t="s">
        <v>28</v>
      </c>
      <c r="B560" s="3" t="s">
        <v>22</v>
      </c>
      <c r="C560" s="3" t="s">
        <v>23</v>
      </c>
      <c r="D560" s="3" t="s">
        <v>24</v>
      </c>
      <c r="E560" s="3" t="s">
        <v>30</v>
      </c>
      <c r="F560" s="3" t="s">
        <v>25</v>
      </c>
      <c r="G560" s="3" t="s">
        <v>25</v>
      </c>
      <c r="H560" s="3" t="s">
        <v>25</v>
      </c>
      <c r="I560" s="6">
        <v>44287</v>
      </c>
      <c r="J560" s="4">
        <v>0</v>
      </c>
      <c r="K560" s="4">
        <v>0</v>
      </c>
      <c r="L560" s="4">
        <v>1.8560000000000001</v>
      </c>
      <c r="M560" s="4">
        <v>1.8560000000000001</v>
      </c>
      <c r="N560" s="4">
        <v>1.8560000000000001</v>
      </c>
      <c r="O560" s="4">
        <v>1.8560000000000001</v>
      </c>
      <c r="P560" s="4">
        <v>5</v>
      </c>
      <c r="Q560" s="3" t="s">
        <v>26</v>
      </c>
      <c r="R560" s="3">
        <v>0</v>
      </c>
      <c r="S560" s="3">
        <v>0</v>
      </c>
      <c r="T560" s="3">
        <v>27</v>
      </c>
      <c r="U560" s="3">
        <v>100</v>
      </c>
      <c r="V560" s="4">
        <f>IF(ISERROR(VLOOKUP($S$560,'TAR FIN'!$A$1:$O$113,15,0)),0,VLOOKUP($S$560,'TAR FIN'!$A$1:$O$113,15,0))</f>
        <v>0</v>
      </c>
      <c r="W560" s="4">
        <f>IF(ISERROR(VLOOKUP($T$560,'TAR FIN'!$A$1:$O$113,15,0)),0,VLOOKUP($T$560,'TAR FIN'!$A$1:$O$113,15,0))</f>
        <v>184.7</v>
      </c>
      <c r="X560" s="4">
        <f>IF(ISERROR(VLOOKUP($U$560,'TAR FIN'!$A$1:$O$113,15,0)),0,VLOOKUP($U$560,'TAR FIN'!$A$1:$O$113,15,0))</f>
        <v>140.54</v>
      </c>
      <c r="Y560" s="4"/>
      <c r="Z56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0" s="4">
        <f>('TE BE'!$AA$21+'TE BF'!$AA$21+'TE CVA'!$AA$21)*(1-CUSTOS!$M$35)</f>
        <v>140.80759667545161</v>
      </c>
      <c r="AB560" s="4">
        <f t="shared" si="26"/>
        <v>0</v>
      </c>
      <c r="AC560" s="4">
        <f>(L560-M560)*(W560+X560)+($W$630+$X$630-$W$560-$X$560)*(L560)</f>
        <v>402.45503999999994</v>
      </c>
      <c r="AD560" s="4">
        <f t="shared" si="28"/>
        <v>0</v>
      </c>
      <c r="AE560" s="4">
        <f ca="1">(L560-M560)*(Z560+AA560)+($Z$630+$AA$630-$Z$560-$AA$560)*(L560)</f>
        <v>439.00798432455838</v>
      </c>
      <c r="AF560" s="3" t="s">
        <v>1028</v>
      </c>
    </row>
    <row r="561" spans="1:32" ht="11.25" customHeight="1" x14ac:dyDescent="0.25">
      <c r="A561" s="3" t="s">
        <v>21</v>
      </c>
      <c r="B561" s="3" t="s">
        <v>22</v>
      </c>
      <c r="C561" s="3" t="s">
        <v>23</v>
      </c>
      <c r="D561" s="3" t="s">
        <v>24</v>
      </c>
      <c r="E561" s="3" t="s">
        <v>30</v>
      </c>
      <c r="F561" s="3" t="s">
        <v>25</v>
      </c>
      <c r="G561" s="3" t="s">
        <v>25</v>
      </c>
      <c r="H561" s="3" t="s">
        <v>25</v>
      </c>
      <c r="I561" s="6">
        <v>44317</v>
      </c>
      <c r="J561" s="4">
        <v>0</v>
      </c>
      <c r="K561" s="4">
        <v>0</v>
      </c>
      <c r="L561" s="4">
        <v>10989.485000000001</v>
      </c>
      <c r="M561" s="4">
        <v>10989.485000000001</v>
      </c>
      <c r="N561" s="4">
        <v>10989.485000000001</v>
      </c>
      <c r="O561" s="4">
        <v>10989.485000000001</v>
      </c>
      <c r="P561" s="4">
        <v>114625</v>
      </c>
      <c r="Q561" s="3" t="s">
        <v>26</v>
      </c>
      <c r="R561" s="3">
        <v>0</v>
      </c>
      <c r="S561" s="3">
        <v>0</v>
      </c>
      <c r="T561" s="3">
        <v>27</v>
      </c>
      <c r="U561" s="3">
        <v>100</v>
      </c>
      <c r="V561" s="4">
        <f>IF(ISERROR(VLOOKUP($S$561,'TAR FIN'!$A$1:$O$113,15,0)),0,VLOOKUP($S$561,'TAR FIN'!$A$1:$O$113,15,0))</f>
        <v>0</v>
      </c>
      <c r="W561" s="4">
        <f>IF(ISERROR(VLOOKUP($T$561,'TAR FIN'!$A$1:$O$113,15,0)),0,VLOOKUP($T$561,'TAR FIN'!$A$1:$O$113,15,0))</f>
        <v>184.7</v>
      </c>
      <c r="X561" s="4">
        <f>IF(ISERROR(VLOOKUP($U$561,'TAR FIN'!$A$1:$O$113,15,0)),0,VLOOKUP($U$561,'TAR FIN'!$A$1:$O$113,15,0))</f>
        <v>140.54</v>
      </c>
      <c r="Y561" s="4"/>
      <c r="Z56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1" s="4">
        <f>('TE BE'!$AA$21+'TE BF'!$AA$21+'TE CVA'!$AA$21)*(1-CUSTOS!$M$35)</f>
        <v>140.80759667545161</v>
      </c>
      <c r="AB561" s="4">
        <f t="shared" si="26"/>
        <v>0</v>
      </c>
      <c r="AC561" s="4">
        <f>(L561-M561)*(W561+X561)+($W$630+$X$630-$W$561-$X$561)*(L561)</f>
        <v>2382959.9273999995</v>
      </c>
      <c r="AD561" s="4">
        <f t="shared" si="28"/>
        <v>0</v>
      </c>
      <c r="AE561" s="4">
        <f ca="1">(L561-M561)*(Z561+AA561)+($Z$630+$AA$630-$Z$561-$AA$561)*(L561)</f>
        <v>2599392.0574434102</v>
      </c>
      <c r="AF561" s="3" t="s">
        <v>1028</v>
      </c>
    </row>
    <row r="562" spans="1:32" ht="11.25" customHeight="1" x14ac:dyDescent="0.25">
      <c r="A562" s="3" t="s">
        <v>27</v>
      </c>
      <c r="B562" s="3" t="s">
        <v>22</v>
      </c>
      <c r="C562" s="3" t="s">
        <v>23</v>
      </c>
      <c r="D562" s="3" t="s">
        <v>24</v>
      </c>
      <c r="E562" s="3" t="s">
        <v>30</v>
      </c>
      <c r="F562" s="3" t="s">
        <v>25</v>
      </c>
      <c r="G562" s="3" t="s">
        <v>25</v>
      </c>
      <c r="H562" s="3" t="s">
        <v>25</v>
      </c>
      <c r="I562" s="6">
        <v>44317</v>
      </c>
      <c r="J562" s="4">
        <v>0</v>
      </c>
      <c r="K562" s="4">
        <v>0</v>
      </c>
      <c r="L562" s="4">
        <v>-0.79100000000000004</v>
      </c>
      <c r="M562" s="4">
        <v>-0.79100000000000004</v>
      </c>
      <c r="N562" s="4">
        <v>-0.79100000000000004</v>
      </c>
      <c r="O562" s="4">
        <v>-0.79100000000000004</v>
      </c>
      <c r="P562" s="4">
        <v>-3</v>
      </c>
      <c r="Q562" s="3" t="s">
        <v>26</v>
      </c>
      <c r="R562" s="3">
        <v>0</v>
      </c>
      <c r="S562" s="3">
        <v>0</v>
      </c>
      <c r="T562" s="3">
        <v>27</v>
      </c>
      <c r="U562" s="3">
        <v>100</v>
      </c>
      <c r="V562" s="4">
        <f>IF(ISERROR(VLOOKUP($S$562,'TAR FIN'!$A$1:$O$113,15,0)),0,VLOOKUP($S$562,'TAR FIN'!$A$1:$O$113,15,0))</f>
        <v>0</v>
      </c>
      <c r="W562" s="4">
        <f>IF(ISERROR(VLOOKUP($T$562,'TAR FIN'!$A$1:$O$113,15,0)),0,VLOOKUP($T$562,'TAR FIN'!$A$1:$O$113,15,0))</f>
        <v>184.7</v>
      </c>
      <c r="X562" s="4">
        <f>IF(ISERROR(VLOOKUP($U$562,'TAR FIN'!$A$1:$O$113,15,0)),0,VLOOKUP($U$562,'TAR FIN'!$A$1:$O$113,15,0))</f>
        <v>140.54</v>
      </c>
      <c r="Y562" s="4"/>
      <c r="Z56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2" s="4">
        <f>('TE BE'!$AA$21+'TE BF'!$AA$21+'TE CVA'!$AA$21)*(1-CUSTOS!$M$35)</f>
        <v>140.80759667545161</v>
      </c>
      <c r="AB562" s="4">
        <f t="shared" si="26"/>
        <v>0</v>
      </c>
      <c r="AC562" s="4">
        <f>(L562-M562)*(W562+X562)+($W$630+$X$630-$W$562-$X$562)*(L562)</f>
        <v>-171.52043999999998</v>
      </c>
      <c r="AD562" s="4">
        <f t="shared" si="28"/>
        <v>0</v>
      </c>
      <c r="AE562" s="4">
        <f ca="1">(L562-M562)*(Z562+AA562)+($Z$630+$AA$630-$Z$562-$AA$562)*(L562)</f>
        <v>-187.09876918142547</v>
      </c>
      <c r="AF562" s="3" t="s">
        <v>1028</v>
      </c>
    </row>
    <row r="563" spans="1:32" ht="11.25" customHeight="1" x14ac:dyDescent="0.25">
      <c r="A563" s="3" t="s">
        <v>28</v>
      </c>
      <c r="B563" s="3" t="s">
        <v>22</v>
      </c>
      <c r="C563" s="3" t="s">
        <v>23</v>
      </c>
      <c r="D563" s="3" t="s">
        <v>24</v>
      </c>
      <c r="E563" s="3" t="s">
        <v>30</v>
      </c>
      <c r="F563" s="3" t="s">
        <v>25</v>
      </c>
      <c r="G563" s="3" t="s">
        <v>25</v>
      </c>
      <c r="H563" s="3" t="s">
        <v>25</v>
      </c>
      <c r="I563" s="6">
        <v>44317</v>
      </c>
      <c r="J563" s="4">
        <v>0</v>
      </c>
      <c r="K563" s="4">
        <v>0</v>
      </c>
      <c r="L563" s="4">
        <v>2.222</v>
      </c>
      <c r="M563" s="4">
        <v>2.222</v>
      </c>
      <c r="N563" s="4">
        <v>2.222</v>
      </c>
      <c r="O563" s="4">
        <v>2.222</v>
      </c>
      <c r="P563" s="4">
        <v>6</v>
      </c>
      <c r="Q563" s="3" t="s">
        <v>26</v>
      </c>
      <c r="R563" s="3">
        <v>0</v>
      </c>
      <c r="S563" s="3">
        <v>0</v>
      </c>
      <c r="T563" s="3">
        <v>27</v>
      </c>
      <c r="U563" s="3">
        <v>100</v>
      </c>
      <c r="V563" s="4">
        <f>IF(ISERROR(VLOOKUP($S$563,'TAR FIN'!$A$1:$O$113,15,0)),0,VLOOKUP($S$563,'TAR FIN'!$A$1:$O$113,15,0))</f>
        <v>0</v>
      </c>
      <c r="W563" s="4">
        <f>IF(ISERROR(VLOOKUP($T$563,'TAR FIN'!$A$1:$O$113,15,0)),0,VLOOKUP($T$563,'TAR FIN'!$A$1:$O$113,15,0))</f>
        <v>184.7</v>
      </c>
      <c r="X563" s="4">
        <f>IF(ISERROR(VLOOKUP($U$563,'TAR FIN'!$A$1:$O$113,15,0)),0,VLOOKUP($U$563,'TAR FIN'!$A$1:$O$113,15,0))</f>
        <v>140.54</v>
      </c>
      <c r="Y563" s="4"/>
      <c r="Z56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3" s="4">
        <f>('TE BE'!$AA$21+'TE BF'!$AA$21+'TE CVA'!$AA$21)*(1-CUSTOS!$M$35)</f>
        <v>140.80759667545161</v>
      </c>
      <c r="AB563" s="4">
        <f t="shared" si="26"/>
        <v>0</v>
      </c>
      <c r="AC563" s="4">
        <f>(L563-M563)*(W563+X563)+($W$630+$X$630-$W$563-$X$563)*(L563)</f>
        <v>481.81847999999985</v>
      </c>
      <c r="AD563" s="4">
        <f t="shared" si="28"/>
        <v>0</v>
      </c>
      <c r="AE563" s="4">
        <f ca="1">(L563-M563)*(Z563+AA563)+($Z$630+$AA$630-$Z$563-$AA$563)*(L563)</f>
        <v>525.57960192304347</v>
      </c>
      <c r="AF563" s="3" t="s">
        <v>1028</v>
      </c>
    </row>
    <row r="564" spans="1:32" ht="11.25" customHeight="1" x14ac:dyDescent="0.25">
      <c r="A564" s="3" t="s">
        <v>21</v>
      </c>
      <c r="B564" s="3" t="s">
        <v>22</v>
      </c>
      <c r="C564" s="3" t="s">
        <v>23</v>
      </c>
      <c r="D564" s="3" t="s">
        <v>24</v>
      </c>
      <c r="E564" s="3" t="s">
        <v>30</v>
      </c>
      <c r="F564" s="3" t="s">
        <v>25</v>
      </c>
      <c r="G564" s="3" t="s">
        <v>25</v>
      </c>
      <c r="H564" s="3" t="s">
        <v>25</v>
      </c>
      <c r="I564" s="6">
        <v>44348</v>
      </c>
      <c r="J564" s="4">
        <v>0</v>
      </c>
      <c r="K564" s="4">
        <v>0</v>
      </c>
      <c r="L564" s="4">
        <v>10714.004999999999</v>
      </c>
      <c r="M564" s="4">
        <v>10714.004999999999</v>
      </c>
      <c r="N564" s="4">
        <v>10714.004999999999</v>
      </c>
      <c r="O564" s="4">
        <v>10714.004999999999</v>
      </c>
      <c r="P564" s="4">
        <v>120776</v>
      </c>
      <c r="Q564" s="3" t="s">
        <v>26</v>
      </c>
      <c r="R564" s="3">
        <v>0</v>
      </c>
      <c r="S564" s="3">
        <v>0</v>
      </c>
      <c r="T564" s="3">
        <v>27</v>
      </c>
      <c r="U564" s="3">
        <v>100</v>
      </c>
      <c r="V564" s="4">
        <f>IF(ISERROR(VLOOKUP($S$564,'TAR FIN'!$A$1:$O$113,15,0)),0,VLOOKUP($S$564,'TAR FIN'!$A$1:$O$113,15,0))</f>
        <v>0</v>
      </c>
      <c r="W564" s="4">
        <f>IF(ISERROR(VLOOKUP($T$564,'TAR FIN'!$A$1:$O$113,15,0)),0,VLOOKUP($T$564,'TAR FIN'!$A$1:$O$113,15,0))</f>
        <v>184.7</v>
      </c>
      <c r="X564" s="4">
        <f>IF(ISERROR(VLOOKUP($U$564,'TAR FIN'!$A$1:$O$113,15,0)),0,VLOOKUP($U$564,'TAR FIN'!$A$1:$O$113,15,0))</f>
        <v>140.54</v>
      </c>
      <c r="Y564" s="4"/>
      <c r="Z56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4" s="4">
        <f>('TE BE'!$AA$21+'TE BF'!$AA$21+'TE CVA'!$AA$21)*(1-CUSTOS!$M$35)</f>
        <v>140.80759667545161</v>
      </c>
      <c r="AB564" s="4">
        <f t="shared" si="26"/>
        <v>0</v>
      </c>
      <c r="AC564" s="4">
        <f>(L564-M564)*(W564+X564)+($W$630+$X$630-$W$564-$X$564)*(L564)</f>
        <v>2323224.8441999992</v>
      </c>
      <c r="AD564" s="4">
        <f t="shared" si="28"/>
        <v>0</v>
      </c>
      <c r="AE564" s="4">
        <f ca="1">(L564-M564)*(Z564+AA564)+($Z$630+$AA$630-$Z$564-$AA$564)*(L564)</f>
        <v>2534231.5404597195</v>
      </c>
      <c r="AF564" s="3" t="s">
        <v>1028</v>
      </c>
    </row>
    <row r="565" spans="1:32" ht="11.25" customHeight="1" x14ac:dyDescent="0.25">
      <c r="A565" s="3" t="s">
        <v>27</v>
      </c>
      <c r="B565" s="3" t="s">
        <v>22</v>
      </c>
      <c r="C565" s="3" t="s">
        <v>23</v>
      </c>
      <c r="D565" s="3" t="s">
        <v>24</v>
      </c>
      <c r="E565" s="3" t="s">
        <v>30</v>
      </c>
      <c r="F565" s="3" t="s">
        <v>25</v>
      </c>
      <c r="G565" s="3" t="s">
        <v>25</v>
      </c>
      <c r="H565" s="3" t="s">
        <v>25</v>
      </c>
      <c r="I565" s="6">
        <v>44348</v>
      </c>
      <c r="J565" s="4">
        <v>0</v>
      </c>
      <c r="K565" s="4">
        <v>0</v>
      </c>
      <c r="L565" s="4">
        <v>-1.67</v>
      </c>
      <c r="M565" s="4">
        <v>-1.67</v>
      </c>
      <c r="N565" s="4">
        <v>-1.67</v>
      </c>
      <c r="O565" s="4">
        <v>-1.67</v>
      </c>
      <c r="P565" s="4">
        <v>-10</v>
      </c>
      <c r="Q565" s="3" t="s">
        <v>26</v>
      </c>
      <c r="R565" s="3">
        <v>0</v>
      </c>
      <c r="S565" s="3">
        <v>0</v>
      </c>
      <c r="T565" s="3">
        <v>27</v>
      </c>
      <c r="U565" s="3">
        <v>100</v>
      </c>
      <c r="V565" s="4">
        <f>IF(ISERROR(VLOOKUP($S$565,'TAR FIN'!$A$1:$O$113,15,0)),0,VLOOKUP($S$565,'TAR FIN'!$A$1:$O$113,15,0))</f>
        <v>0</v>
      </c>
      <c r="W565" s="4">
        <f>IF(ISERROR(VLOOKUP($T$565,'TAR FIN'!$A$1:$O$113,15,0)),0,VLOOKUP($T$565,'TAR FIN'!$A$1:$O$113,15,0))</f>
        <v>184.7</v>
      </c>
      <c r="X565" s="4">
        <f>IF(ISERROR(VLOOKUP($U$565,'TAR FIN'!$A$1:$O$113,15,0)),0,VLOOKUP($U$565,'TAR FIN'!$A$1:$O$113,15,0))</f>
        <v>140.54</v>
      </c>
      <c r="Y565" s="4"/>
      <c r="Z56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5" s="4">
        <f>('TE BE'!$AA$21+'TE BF'!$AA$21+'TE CVA'!$AA$21)*(1-CUSTOS!$M$35)</f>
        <v>140.80759667545161</v>
      </c>
      <c r="AB565" s="4">
        <f t="shared" si="26"/>
        <v>0</v>
      </c>
      <c r="AC565" s="4">
        <f>(L565-M565)*(W565+X565)+($W$630+$X$630-$W$565-$X$565)*(L565)</f>
        <v>-362.12279999999987</v>
      </c>
      <c r="AD565" s="4">
        <f t="shared" si="28"/>
        <v>0</v>
      </c>
      <c r="AE565" s="4">
        <f ca="1">(L565-M565)*(Z565+AA565)+($Z$630+$AA$630-$Z$565-$AA$565)*(L565)</f>
        <v>-395.01257210237736</v>
      </c>
      <c r="AF565" s="3" t="s">
        <v>1028</v>
      </c>
    </row>
    <row r="566" spans="1:32" ht="11.25" customHeight="1" x14ac:dyDescent="0.25">
      <c r="A566" s="3" t="s">
        <v>28</v>
      </c>
      <c r="B566" s="3" t="s">
        <v>22</v>
      </c>
      <c r="C566" s="3" t="s">
        <v>23</v>
      </c>
      <c r="D566" s="3" t="s">
        <v>24</v>
      </c>
      <c r="E566" s="3" t="s">
        <v>30</v>
      </c>
      <c r="F566" s="3" t="s">
        <v>25</v>
      </c>
      <c r="G566" s="3" t="s">
        <v>25</v>
      </c>
      <c r="H566" s="3" t="s">
        <v>25</v>
      </c>
      <c r="I566" s="6">
        <v>44348</v>
      </c>
      <c r="J566" s="4">
        <v>0</v>
      </c>
      <c r="K566" s="4">
        <v>0</v>
      </c>
      <c r="L566" s="4">
        <v>2.242</v>
      </c>
      <c r="M566" s="4">
        <v>2.242</v>
      </c>
      <c r="N566" s="4">
        <v>2.242</v>
      </c>
      <c r="O566" s="4">
        <v>2.242</v>
      </c>
      <c r="P566" s="4">
        <v>6</v>
      </c>
      <c r="Q566" s="3" t="s">
        <v>26</v>
      </c>
      <c r="R566" s="3">
        <v>0</v>
      </c>
      <c r="S566" s="3">
        <v>0</v>
      </c>
      <c r="T566" s="3">
        <v>27</v>
      </c>
      <c r="U566" s="3">
        <v>100</v>
      </c>
      <c r="V566" s="4">
        <f>IF(ISERROR(VLOOKUP($S$566,'TAR FIN'!$A$1:$O$113,15,0)),0,VLOOKUP($S$566,'TAR FIN'!$A$1:$O$113,15,0))</f>
        <v>0</v>
      </c>
      <c r="W566" s="4">
        <f>IF(ISERROR(VLOOKUP($T$566,'TAR FIN'!$A$1:$O$113,15,0)),0,VLOOKUP($T$566,'TAR FIN'!$A$1:$O$113,15,0))</f>
        <v>184.7</v>
      </c>
      <c r="X566" s="4">
        <f>IF(ISERROR(VLOOKUP($U$566,'TAR FIN'!$A$1:$O$113,15,0)),0,VLOOKUP($U$566,'TAR FIN'!$A$1:$O$113,15,0))</f>
        <v>140.54</v>
      </c>
      <c r="Y566" s="4"/>
      <c r="Z56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6" s="4">
        <f>('TE BE'!$AA$21+'TE BF'!$AA$21+'TE CVA'!$AA$21)*(1-CUSTOS!$M$35)</f>
        <v>140.80759667545161</v>
      </c>
      <c r="AB566" s="4">
        <f t="shared" si="26"/>
        <v>0</v>
      </c>
      <c r="AC566" s="4">
        <f>(L566-M566)*(W566+X566)+($W$630+$X$630-$W$566-$X$566)*(L566)</f>
        <v>486.15527999999989</v>
      </c>
      <c r="AD566" s="4">
        <f t="shared" si="28"/>
        <v>0</v>
      </c>
      <c r="AE566" s="4">
        <f ca="1">(L566-M566)*(Z566+AA566)+($Z$630+$AA$630-$Z$566-$AA$566)*(L566)</f>
        <v>530.31029140929945</v>
      </c>
      <c r="AF566" s="3" t="s">
        <v>1028</v>
      </c>
    </row>
    <row r="567" spans="1:32" ht="11.25" customHeight="1" x14ac:dyDescent="0.25">
      <c r="A567" s="3" t="s">
        <v>21</v>
      </c>
      <c r="B567" s="3" t="s">
        <v>22</v>
      </c>
      <c r="C567" s="3" t="s">
        <v>23</v>
      </c>
      <c r="D567" s="3" t="s">
        <v>24</v>
      </c>
      <c r="E567" s="3" t="s">
        <v>30</v>
      </c>
      <c r="F567" s="3" t="s">
        <v>25</v>
      </c>
      <c r="G567" s="3" t="s">
        <v>25</v>
      </c>
      <c r="H567" s="3" t="s">
        <v>25</v>
      </c>
      <c r="I567" s="6">
        <v>44378</v>
      </c>
      <c r="J567" s="4">
        <v>0</v>
      </c>
      <c r="K567" s="4">
        <v>0</v>
      </c>
      <c r="L567" s="4">
        <v>10670.163</v>
      </c>
      <c r="M567" s="4">
        <v>10670.163</v>
      </c>
      <c r="N567" s="4">
        <v>10670.163</v>
      </c>
      <c r="O567" s="4">
        <v>10670.163</v>
      </c>
      <c r="P567" s="4">
        <v>123431</v>
      </c>
      <c r="Q567" s="3" t="s">
        <v>26</v>
      </c>
      <c r="R567" s="3">
        <v>0</v>
      </c>
      <c r="S567" s="3">
        <v>0</v>
      </c>
      <c r="T567" s="3">
        <v>27</v>
      </c>
      <c r="U567" s="3">
        <v>100</v>
      </c>
      <c r="V567" s="4">
        <f>IF(ISERROR(VLOOKUP($S$567,'TAR FIN'!$A$1:$O$113,15,0)),0,VLOOKUP($S$567,'TAR FIN'!$A$1:$O$113,15,0))</f>
        <v>0</v>
      </c>
      <c r="W567" s="4">
        <f>IF(ISERROR(VLOOKUP($T$567,'TAR FIN'!$A$1:$O$113,15,0)),0,VLOOKUP($T$567,'TAR FIN'!$A$1:$O$113,15,0))</f>
        <v>184.7</v>
      </c>
      <c r="X567" s="4">
        <f>IF(ISERROR(VLOOKUP($U$567,'TAR FIN'!$A$1:$O$113,15,0)),0,VLOOKUP($U$567,'TAR FIN'!$A$1:$O$113,15,0))</f>
        <v>140.54</v>
      </c>
      <c r="Y567" s="4"/>
      <c r="Z56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7" s="4">
        <f>('TE BE'!$AA$21+'TE BF'!$AA$21+'TE CVA'!$AA$21)*(1-CUSTOS!$M$35)</f>
        <v>140.80759667545161</v>
      </c>
      <c r="AB567" s="4">
        <f t="shared" si="26"/>
        <v>0</v>
      </c>
      <c r="AC567" s="4">
        <f>(L567-M567)*(W567+X567)+($W$630+$X$630-$W$567-$X$567)*(L567)</f>
        <v>2313718.1449199994</v>
      </c>
      <c r="AD567" s="4">
        <f t="shared" si="28"/>
        <v>0</v>
      </c>
      <c r="AE567" s="4">
        <f ca="1">(L567-M567)*(Z567+AA567)+($Z$630+$AA$630-$Z$567-$AA$567)*(L567)</f>
        <v>2523861.3960368978</v>
      </c>
      <c r="AF567" s="3" t="s">
        <v>1028</v>
      </c>
    </row>
    <row r="568" spans="1:32" ht="11.25" customHeight="1" x14ac:dyDescent="0.25">
      <c r="A568" s="3" t="s">
        <v>27</v>
      </c>
      <c r="B568" s="3" t="s">
        <v>22</v>
      </c>
      <c r="C568" s="3" t="s">
        <v>23</v>
      </c>
      <c r="D568" s="3" t="s">
        <v>24</v>
      </c>
      <c r="E568" s="3" t="s">
        <v>30</v>
      </c>
      <c r="F568" s="3" t="s">
        <v>25</v>
      </c>
      <c r="G568" s="3" t="s">
        <v>25</v>
      </c>
      <c r="H568" s="3" t="s">
        <v>25</v>
      </c>
      <c r="I568" s="6">
        <v>44378</v>
      </c>
      <c r="J568" s="4">
        <v>0</v>
      </c>
      <c r="K568" s="4">
        <v>0</v>
      </c>
      <c r="L568" s="4">
        <v>-1.9139999999999999</v>
      </c>
      <c r="M568" s="4">
        <v>-1.9139999999999999</v>
      </c>
      <c r="N568" s="4">
        <v>-1.9139999999999999</v>
      </c>
      <c r="O568" s="4">
        <v>-1.9139999999999999</v>
      </c>
      <c r="P568" s="4">
        <v>-24</v>
      </c>
      <c r="Q568" s="3" t="s">
        <v>26</v>
      </c>
      <c r="R568" s="3">
        <v>0</v>
      </c>
      <c r="S568" s="3">
        <v>0</v>
      </c>
      <c r="T568" s="3">
        <v>27</v>
      </c>
      <c r="U568" s="3">
        <v>100</v>
      </c>
      <c r="V568" s="4">
        <f>IF(ISERROR(VLOOKUP($S$568,'TAR FIN'!$A$1:$O$113,15,0)),0,VLOOKUP($S$568,'TAR FIN'!$A$1:$O$113,15,0))</f>
        <v>0</v>
      </c>
      <c r="W568" s="4">
        <f>IF(ISERROR(VLOOKUP($T$568,'TAR FIN'!$A$1:$O$113,15,0)),0,VLOOKUP($T$568,'TAR FIN'!$A$1:$O$113,15,0))</f>
        <v>184.7</v>
      </c>
      <c r="X568" s="4">
        <f>IF(ISERROR(VLOOKUP($U$568,'TAR FIN'!$A$1:$O$113,15,0)),0,VLOOKUP($U$568,'TAR FIN'!$A$1:$O$113,15,0))</f>
        <v>140.54</v>
      </c>
      <c r="Y568" s="4"/>
      <c r="Z56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8" s="4">
        <f>('TE BE'!$AA$21+'TE BF'!$AA$21+'TE CVA'!$AA$21)*(1-CUSTOS!$M$35)</f>
        <v>140.80759667545161</v>
      </c>
      <c r="AB568" s="4">
        <f t="shared" si="26"/>
        <v>0</v>
      </c>
      <c r="AC568" s="4">
        <f>(L568-M568)*(W568+X568)+($W$630+$X$630-$W$568-$X$568)*(L568)</f>
        <v>-415.03175999999991</v>
      </c>
      <c r="AD568" s="4">
        <f t="shared" si="28"/>
        <v>0</v>
      </c>
      <c r="AE568" s="4">
        <f ca="1">(L568-M568)*(Z568+AA568)+($Z$630+$AA$630-$Z$568-$AA$568)*(L568)</f>
        <v>-452.72698383470077</v>
      </c>
      <c r="AF568" s="3" t="s">
        <v>1028</v>
      </c>
    </row>
    <row r="569" spans="1:32" ht="11.25" customHeight="1" x14ac:dyDescent="0.25">
      <c r="A569" s="3" t="s">
        <v>28</v>
      </c>
      <c r="B569" s="3" t="s">
        <v>22</v>
      </c>
      <c r="C569" s="3" t="s">
        <v>23</v>
      </c>
      <c r="D569" s="3" t="s">
        <v>24</v>
      </c>
      <c r="E569" s="3" t="s">
        <v>30</v>
      </c>
      <c r="F569" s="3" t="s">
        <v>25</v>
      </c>
      <c r="G569" s="3" t="s">
        <v>25</v>
      </c>
      <c r="H569" s="3" t="s">
        <v>25</v>
      </c>
      <c r="I569" s="6">
        <v>44378</v>
      </c>
      <c r="J569" s="4">
        <v>0</v>
      </c>
      <c r="K569" s="4">
        <v>0</v>
      </c>
      <c r="L569" s="4">
        <v>2.36</v>
      </c>
      <c r="M569" s="4">
        <v>2.36</v>
      </c>
      <c r="N569" s="4">
        <v>2.36</v>
      </c>
      <c r="O569" s="4">
        <v>2.36</v>
      </c>
      <c r="P569" s="4">
        <v>10</v>
      </c>
      <c r="Q569" s="3" t="s">
        <v>26</v>
      </c>
      <c r="R569" s="3">
        <v>0</v>
      </c>
      <c r="S569" s="3">
        <v>0</v>
      </c>
      <c r="T569" s="3">
        <v>27</v>
      </c>
      <c r="U569" s="3">
        <v>100</v>
      </c>
      <c r="V569" s="4">
        <f>IF(ISERROR(VLOOKUP($S$569,'TAR FIN'!$A$1:$O$113,15,0)),0,VLOOKUP($S$569,'TAR FIN'!$A$1:$O$113,15,0))</f>
        <v>0</v>
      </c>
      <c r="W569" s="4">
        <f>IF(ISERROR(VLOOKUP($T$569,'TAR FIN'!$A$1:$O$113,15,0)),0,VLOOKUP($T$569,'TAR FIN'!$A$1:$O$113,15,0))</f>
        <v>184.7</v>
      </c>
      <c r="X569" s="4">
        <f>IF(ISERROR(VLOOKUP($U$569,'TAR FIN'!$A$1:$O$113,15,0)),0,VLOOKUP($U$569,'TAR FIN'!$A$1:$O$113,15,0))</f>
        <v>140.54</v>
      </c>
      <c r="Y569" s="4"/>
      <c r="Z56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69" s="4">
        <f>('TE BE'!$AA$21+'TE BF'!$AA$21+'TE CVA'!$AA$21)*(1-CUSTOS!$M$35)</f>
        <v>140.80759667545161</v>
      </c>
      <c r="AB569" s="4">
        <f t="shared" si="26"/>
        <v>0</v>
      </c>
      <c r="AC569" s="4">
        <f>(L569-M569)*(W569+X569)+($W$630+$X$630-$W$569-$X$569)*(L569)</f>
        <v>511.74239999999986</v>
      </c>
      <c r="AD569" s="4">
        <f t="shared" si="28"/>
        <v>0</v>
      </c>
      <c r="AE569" s="4">
        <f ca="1">(L569-M569)*(Z569+AA569)+($Z$630+$AA$630-$Z$569-$AA$569)*(L569)</f>
        <v>558.22135937820997</v>
      </c>
      <c r="AF569" s="3" t="s">
        <v>1028</v>
      </c>
    </row>
    <row r="570" spans="1:32" ht="11.25" customHeight="1" x14ac:dyDescent="0.25">
      <c r="A570" s="3" t="s">
        <v>21</v>
      </c>
      <c r="B570" s="3" t="s">
        <v>22</v>
      </c>
      <c r="C570" s="3" t="s">
        <v>23</v>
      </c>
      <c r="D570" s="3" t="s">
        <v>24</v>
      </c>
      <c r="E570" s="3" t="s">
        <v>30</v>
      </c>
      <c r="F570" s="3" t="s">
        <v>25</v>
      </c>
      <c r="G570" s="3" t="s">
        <v>25</v>
      </c>
      <c r="H570" s="3" t="s">
        <v>25</v>
      </c>
      <c r="I570" s="6">
        <v>44409</v>
      </c>
      <c r="J570" s="4">
        <v>0</v>
      </c>
      <c r="K570" s="4">
        <v>0</v>
      </c>
      <c r="L570" s="4">
        <v>10254.171</v>
      </c>
      <c r="M570" s="4">
        <v>10254.171</v>
      </c>
      <c r="N570" s="4">
        <v>10254.171</v>
      </c>
      <c r="O570" s="4">
        <v>10254.171</v>
      </c>
      <c r="P570" s="4">
        <v>131714</v>
      </c>
      <c r="Q570" s="3" t="s">
        <v>26</v>
      </c>
      <c r="R570" s="3">
        <v>0</v>
      </c>
      <c r="S570" s="3">
        <v>0</v>
      </c>
      <c r="T570" s="3">
        <v>27</v>
      </c>
      <c r="U570" s="3">
        <v>100</v>
      </c>
      <c r="V570" s="4">
        <f>IF(ISERROR(VLOOKUP($S$570,'TAR FIN'!$A$1:$O$113,15,0)),0,VLOOKUP($S$570,'TAR FIN'!$A$1:$O$113,15,0))</f>
        <v>0</v>
      </c>
      <c r="W570" s="4">
        <f>IF(ISERROR(VLOOKUP($T$570,'TAR FIN'!$A$1:$O$113,15,0)),0,VLOOKUP($T$570,'TAR FIN'!$A$1:$O$113,15,0))</f>
        <v>184.7</v>
      </c>
      <c r="X570" s="4">
        <f>IF(ISERROR(VLOOKUP($U$570,'TAR FIN'!$A$1:$O$113,15,0)),0,VLOOKUP($U$570,'TAR FIN'!$A$1:$O$113,15,0))</f>
        <v>140.54</v>
      </c>
      <c r="Y570" s="4"/>
      <c r="Z57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0" s="4">
        <f>('TE BE'!$AA$21+'TE BF'!$AA$21+'TE CVA'!$AA$21)*(1-CUSTOS!$M$35)</f>
        <v>140.80759667545161</v>
      </c>
      <c r="AB570" s="4">
        <f t="shared" si="26"/>
        <v>0</v>
      </c>
      <c r="AC570" s="4">
        <f>(L570-M570)*(W570+X570)+($W$630+$X$630-$W$570-$X$570)*(L570)</f>
        <v>2223514.4396399995</v>
      </c>
      <c r="AD570" s="4">
        <f t="shared" si="28"/>
        <v>0</v>
      </c>
      <c r="AE570" s="4">
        <f ca="1">(L570-M570)*(Z570+AA570)+($Z$630+$AA$630-$Z$570-$AA$570)*(L570)</f>
        <v>2425464.9469985673</v>
      </c>
      <c r="AF570" s="3" t="s">
        <v>1028</v>
      </c>
    </row>
    <row r="571" spans="1:32" ht="11.25" customHeight="1" x14ac:dyDescent="0.25">
      <c r="A571" s="3" t="s">
        <v>27</v>
      </c>
      <c r="B571" s="3" t="s">
        <v>22</v>
      </c>
      <c r="C571" s="3" t="s">
        <v>23</v>
      </c>
      <c r="D571" s="3" t="s">
        <v>24</v>
      </c>
      <c r="E571" s="3" t="s">
        <v>30</v>
      </c>
      <c r="F571" s="3" t="s">
        <v>25</v>
      </c>
      <c r="G571" s="3" t="s">
        <v>25</v>
      </c>
      <c r="H571" s="3" t="s">
        <v>25</v>
      </c>
      <c r="I571" s="6">
        <v>44409</v>
      </c>
      <c r="J571" s="4">
        <v>0</v>
      </c>
      <c r="K571" s="4">
        <v>0</v>
      </c>
      <c r="L571" s="4">
        <v>-1.6839999999999999</v>
      </c>
      <c r="M571" s="4">
        <v>-1.6839999999999999</v>
      </c>
      <c r="N571" s="4">
        <v>-1.6839999999999999</v>
      </c>
      <c r="O571" s="4">
        <v>-1.6839999999999999</v>
      </c>
      <c r="P571" s="4">
        <v>-17</v>
      </c>
      <c r="Q571" s="3" t="s">
        <v>26</v>
      </c>
      <c r="R571" s="3">
        <v>0</v>
      </c>
      <c r="S571" s="3">
        <v>0</v>
      </c>
      <c r="T571" s="3">
        <v>27</v>
      </c>
      <c r="U571" s="3">
        <v>100</v>
      </c>
      <c r="V571" s="4">
        <f>IF(ISERROR(VLOOKUP($S$571,'TAR FIN'!$A$1:$O$113,15,0)),0,VLOOKUP($S$571,'TAR FIN'!$A$1:$O$113,15,0))</f>
        <v>0</v>
      </c>
      <c r="W571" s="4">
        <f>IF(ISERROR(VLOOKUP($T$571,'TAR FIN'!$A$1:$O$113,15,0)),0,VLOOKUP($T$571,'TAR FIN'!$A$1:$O$113,15,0))</f>
        <v>184.7</v>
      </c>
      <c r="X571" s="4">
        <f>IF(ISERROR(VLOOKUP($U$571,'TAR FIN'!$A$1:$O$113,15,0)),0,VLOOKUP($U$571,'TAR FIN'!$A$1:$O$113,15,0))</f>
        <v>140.54</v>
      </c>
      <c r="Y571" s="4"/>
      <c r="Z57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1" s="4">
        <f>('TE BE'!$AA$21+'TE BF'!$AA$21+'TE CVA'!$AA$21)*(1-CUSTOS!$M$35)</f>
        <v>140.80759667545161</v>
      </c>
      <c r="AB571" s="4">
        <f t="shared" si="26"/>
        <v>0</v>
      </c>
      <c r="AC571" s="4">
        <f>(L571-M571)*(W571+X571)+($W$630+$X$630-$W$571-$X$571)*(L571)</f>
        <v>-365.15855999999991</v>
      </c>
      <c r="AD571" s="4">
        <f t="shared" si="28"/>
        <v>0</v>
      </c>
      <c r="AE571" s="4">
        <f ca="1">(L571-M571)*(Z571+AA571)+($Z$630+$AA$630-$Z$571-$AA$571)*(L571)</f>
        <v>-398.32405474275657</v>
      </c>
      <c r="AF571" s="3" t="s">
        <v>1028</v>
      </c>
    </row>
    <row r="572" spans="1:32" ht="11.25" customHeight="1" x14ac:dyDescent="0.25">
      <c r="A572" s="3" t="s">
        <v>28</v>
      </c>
      <c r="B572" s="3" t="s">
        <v>22</v>
      </c>
      <c r="C572" s="3" t="s">
        <v>23</v>
      </c>
      <c r="D572" s="3" t="s">
        <v>24</v>
      </c>
      <c r="E572" s="3" t="s">
        <v>30</v>
      </c>
      <c r="F572" s="3" t="s">
        <v>25</v>
      </c>
      <c r="G572" s="3" t="s">
        <v>25</v>
      </c>
      <c r="H572" s="3" t="s">
        <v>25</v>
      </c>
      <c r="I572" s="6">
        <v>44409</v>
      </c>
      <c r="J572" s="4">
        <v>0</v>
      </c>
      <c r="K572" s="4">
        <v>0</v>
      </c>
      <c r="L572" s="4">
        <v>2.266</v>
      </c>
      <c r="M572" s="4">
        <v>2.266</v>
      </c>
      <c r="N572" s="4">
        <v>2.266</v>
      </c>
      <c r="O572" s="4">
        <v>2.266</v>
      </c>
      <c r="P572" s="4">
        <v>11</v>
      </c>
      <c r="Q572" s="3" t="s">
        <v>26</v>
      </c>
      <c r="R572" s="3">
        <v>0</v>
      </c>
      <c r="S572" s="3">
        <v>0</v>
      </c>
      <c r="T572" s="3">
        <v>27</v>
      </c>
      <c r="U572" s="3">
        <v>100</v>
      </c>
      <c r="V572" s="4">
        <f>IF(ISERROR(VLOOKUP($S$572,'TAR FIN'!$A$1:$O$113,15,0)),0,VLOOKUP($S$572,'TAR FIN'!$A$1:$O$113,15,0))</f>
        <v>0</v>
      </c>
      <c r="W572" s="4">
        <f>IF(ISERROR(VLOOKUP($T$572,'TAR FIN'!$A$1:$O$113,15,0)),0,VLOOKUP($T$572,'TAR FIN'!$A$1:$O$113,15,0))</f>
        <v>184.7</v>
      </c>
      <c r="X572" s="4">
        <f>IF(ISERROR(VLOOKUP($U$572,'TAR FIN'!$A$1:$O$113,15,0)),0,VLOOKUP($U$572,'TAR FIN'!$A$1:$O$113,15,0))</f>
        <v>140.54</v>
      </c>
      <c r="Y572" s="4"/>
      <c r="Z57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2" s="4">
        <f>('TE BE'!$AA$21+'TE BF'!$AA$21+'TE CVA'!$AA$21)*(1-CUSTOS!$M$35)</f>
        <v>140.80759667545161</v>
      </c>
      <c r="AB572" s="4">
        <f t="shared" si="26"/>
        <v>0</v>
      </c>
      <c r="AC572" s="4">
        <f>(L572-M572)*(W572+X572)+($W$630+$X$630-$W$572-$X$572)*(L572)</f>
        <v>491.35943999999989</v>
      </c>
      <c r="AD572" s="4">
        <f t="shared" si="28"/>
        <v>0</v>
      </c>
      <c r="AE572" s="4">
        <f ca="1">(L572-M572)*(Z572+AA572)+($Z$630+$AA$630-$Z$572-$AA$572)*(L572)</f>
        <v>535.98711879280665</v>
      </c>
      <c r="AF572" s="3" t="s">
        <v>1028</v>
      </c>
    </row>
    <row r="573" spans="1:32" ht="11.25" customHeight="1" x14ac:dyDescent="0.25">
      <c r="A573" s="3" t="s">
        <v>21</v>
      </c>
      <c r="B573" s="3" t="s">
        <v>22</v>
      </c>
      <c r="C573" s="3" t="s">
        <v>23</v>
      </c>
      <c r="D573" s="3" t="s">
        <v>24</v>
      </c>
      <c r="E573" s="3" t="s">
        <v>30</v>
      </c>
      <c r="F573" s="3" t="s">
        <v>25</v>
      </c>
      <c r="G573" s="3" t="s">
        <v>25</v>
      </c>
      <c r="H573" s="3" t="s">
        <v>25</v>
      </c>
      <c r="I573" s="6">
        <v>44440</v>
      </c>
      <c r="J573" s="4">
        <v>0</v>
      </c>
      <c r="K573" s="4">
        <v>0</v>
      </c>
      <c r="L573" s="4">
        <v>10326.647999999999</v>
      </c>
      <c r="M573" s="4">
        <v>10326.647999999999</v>
      </c>
      <c r="N573" s="4">
        <v>10326.647999999999</v>
      </c>
      <c r="O573" s="4">
        <v>10326.647999999999</v>
      </c>
      <c r="P573" s="4">
        <v>128109</v>
      </c>
      <c r="Q573" s="3" t="s">
        <v>26</v>
      </c>
      <c r="R573" s="3">
        <v>0</v>
      </c>
      <c r="S573" s="3">
        <v>0</v>
      </c>
      <c r="T573" s="3">
        <v>27</v>
      </c>
      <c r="U573" s="3">
        <v>100</v>
      </c>
      <c r="V573" s="4">
        <f>IF(ISERROR(VLOOKUP($S$573,'TAR FIN'!$A$1:$O$113,15,0)),0,VLOOKUP($S$573,'TAR FIN'!$A$1:$O$113,15,0))</f>
        <v>0</v>
      </c>
      <c r="W573" s="4">
        <f>IF(ISERROR(VLOOKUP($T$573,'TAR FIN'!$A$1:$O$113,15,0)),0,VLOOKUP($T$573,'TAR FIN'!$A$1:$O$113,15,0))</f>
        <v>184.7</v>
      </c>
      <c r="X573" s="4">
        <f>IF(ISERROR(VLOOKUP($U$573,'TAR FIN'!$A$1:$O$113,15,0)),0,VLOOKUP($U$573,'TAR FIN'!$A$1:$O$113,15,0))</f>
        <v>140.54</v>
      </c>
      <c r="Y573" s="4"/>
      <c r="Z57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3" s="4">
        <f>('TE BE'!$AA$21+'TE BF'!$AA$21+'TE CVA'!$AA$21)*(1-CUSTOS!$M$35)</f>
        <v>140.80759667545161</v>
      </c>
      <c r="AB573" s="4">
        <f t="shared" si="26"/>
        <v>0</v>
      </c>
      <c r="AC573" s="4">
        <f>(L573-M573)*(W573+X573)+($W$630+$X$630-$W$573-$X$573)*(L573)</f>
        <v>2239230.3523199991</v>
      </c>
      <c r="AD573" s="4">
        <f t="shared" si="28"/>
        <v>0</v>
      </c>
      <c r="AE573" s="4">
        <f ca="1">(L573-M573)*(Z573+AA573)+($Z$630+$AA$630-$Z$573-$AA$573)*(L573)</f>
        <v>2442608.2560933358</v>
      </c>
      <c r="AF573" s="3" t="s">
        <v>1028</v>
      </c>
    </row>
    <row r="574" spans="1:32" ht="11.25" customHeight="1" x14ac:dyDescent="0.25">
      <c r="A574" s="3" t="s">
        <v>27</v>
      </c>
      <c r="B574" s="3" t="s">
        <v>22</v>
      </c>
      <c r="C574" s="3" t="s">
        <v>23</v>
      </c>
      <c r="D574" s="3" t="s">
        <v>24</v>
      </c>
      <c r="E574" s="3" t="s">
        <v>30</v>
      </c>
      <c r="F574" s="3" t="s">
        <v>25</v>
      </c>
      <c r="G574" s="3" t="s">
        <v>25</v>
      </c>
      <c r="H574" s="3" t="s">
        <v>25</v>
      </c>
      <c r="I574" s="6">
        <v>44440</v>
      </c>
      <c r="J574" s="4">
        <v>0</v>
      </c>
      <c r="K574" s="4">
        <v>0</v>
      </c>
      <c r="L574" s="4">
        <v>-2.097</v>
      </c>
      <c r="M574" s="4">
        <v>-2.097</v>
      </c>
      <c r="N574" s="4">
        <v>-2.097</v>
      </c>
      <c r="O574" s="4">
        <v>-2.097</v>
      </c>
      <c r="P574" s="4">
        <v>-17</v>
      </c>
      <c r="Q574" s="3" t="s">
        <v>26</v>
      </c>
      <c r="R574" s="3">
        <v>0</v>
      </c>
      <c r="S574" s="3">
        <v>0</v>
      </c>
      <c r="T574" s="3">
        <v>27</v>
      </c>
      <c r="U574" s="3">
        <v>100</v>
      </c>
      <c r="V574" s="4">
        <f>IF(ISERROR(VLOOKUP($S$574,'TAR FIN'!$A$1:$O$113,15,0)),0,VLOOKUP($S$574,'TAR FIN'!$A$1:$O$113,15,0))</f>
        <v>0</v>
      </c>
      <c r="W574" s="4">
        <f>IF(ISERROR(VLOOKUP($T$574,'TAR FIN'!$A$1:$O$113,15,0)),0,VLOOKUP($T$574,'TAR FIN'!$A$1:$O$113,15,0))</f>
        <v>184.7</v>
      </c>
      <c r="X574" s="4">
        <f>IF(ISERROR(VLOOKUP($U$574,'TAR FIN'!$A$1:$O$113,15,0)),0,VLOOKUP($U$574,'TAR FIN'!$A$1:$O$113,15,0))</f>
        <v>140.54</v>
      </c>
      <c r="Y574" s="4"/>
      <c r="Z57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4" s="4">
        <f>('TE BE'!$AA$21+'TE BF'!$AA$21+'TE CVA'!$AA$21)*(1-CUSTOS!$M$35)</f>
        <v>140.80759667545161</v>
      </c>
      <c r="AB574" s="4">
        <f t="shared" si="26"/>
        <v>0</v>
      </c>
      <c r="AC574" s="4">
        <f>(L574-M574)*(W574+X574)+($W$630+$X$630-$W$574-$X$574)*(L574)</f>
        <v>-454.71347999999989</v>
      </c>
      <c r="AD574" s="4">
        <f t="shared" si="28"/>
        <v>0</v>
      </c>
      <c r="AE574" s="4">
        <f ca="1">(L574-M574)*(Z574+AA574)+($Z$630+$AA$630-$Z$574-$AA$574)*(L574)</f>
        <v>-496.01279263394332</v>
      </c>
      <c r="AF574" s="3" t="s">
        <v>1028</v>
      </c>
    </row>
    <row r="575" spans="1:32" ht="11.25" customHeight="1" x14ac:dyDescent="0.25">
      <c r="A575" s="3" t="s">
        <v>28</v>
      </c>
      <c r="B575" s="3" t="s">
        <v>22</v>
      </c>
      <c r="C575" s="3" t="s">
        <v>23</v>
      </c>
      <c r="D575" s="3" t="s">
        <v>24</v>
      </c>
      <c r="E575" s="3" t="s">
        <v>30</v>
      </c>
      <c r="F575" s="3" t="s">
        <v>25</v>
      </c>
      <c r="G575" s="3" t="s">
        <v>25</v>
      </c>
      <c r="H575" s="3" t="s">
        <v>25</v>
      </c>
      <c r="I575" s="6">
        <v>44440</v>
      </c>
      <c r="J575" s="4">
        <v>0</v>
      </c>
      <c r="K575" s="4">
        <v>0</v>
      </c>
      <c r="L575" s="4">
        <v>2.266</v>
      </c>
      <c r="M575" s="4">
        <v>2.266</v>
      </c>
      <c r="N575" s="4">
        <v>2.266</v>
      </c>
      <c r="O575" s="4">
        <v>2.266</v>
      </c>
      <c r="P575" s="4">
        <v>11</v>
      </c>
      <c r="Q575" s="3" t="s">
        <v>26</v>
      </c>
      <c r="R575" s="3">
        <v>0</v>
      </c>
      <c r="S575" s="3">
        <v>0</v>
      </c>
      <c r="T575" s="3">
        <v>27</v>
      </c>
      <c r="U575" s="3">
        <v>100</v>
      </c>
      <c r="V575" s="4">
        <f>IF(ISERROR(VLOOKUP($S$575,'TAR FIN'!$A$1:$O$113,15,0)),0,VLOOKUP($S$575,'TAR FIN'!$A$1:$O$113,15,0))</f>
        <v>0</v>
      </c>
      <c r="W575" s="4">
        <f>IF(ISERROR(VLOOKUP($T$575,'TAR FIN'!$A$1:$O$113,15,0)),0,VLOOKUP($T$575,'TAR FIN'!$A$1:$O$113,15,0))</f>
        <v>184.7</v>
      </c>
      <c r="X575" s="4">
        <f>IF(ISERROR(VLOOKUP($U$575,'TAR FIN'!$A$1:$O$113,15,0)),0,VLOOKUP($U$575,'TAR FIN'!$A$1:$O$113,15,0))</f>
        <v>140.54</v>
      </c>
      <c r="Y575" s="4"/>
      <c r="Z57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5" s="4">
        <f>('TE BE'!$AA$21+'TE BF'!$AA$21+'TE CVA'!$AA$21)*(1-CUSTOS!$M$35)</f>
        <v>140.80759667545161</v>
      </c>
      <c r="AB575" s="4">
        <f t="shared" si="26"/>
        <v>0</v>
      </c>
      <c r="AC575" s="4">
        <f>(L575-M575)*(W575+X575)+($W$630+$X$630-$W$575-$X$575)*(L575)</f>
        <v>491.35943999999989</v>
      </c>
      <c r="AD575" s="4">
        <f t="shared" si="28"/>
        <v>0</v>
      </c>
      <c r="AE575" s="4">
        <f ca="1">(L575-M575)*(Z575+AA575)+($Z$630+$AA$630-$Z$575-$AA$575)*(L575)</f>
        <v>535.98711879280665</v>
      </c>
      <c r="AF575" s="3" t="s">
        <v>1028</v>
      </c>
    </row>
    <row r="576" spans="1:32" ht="11.25" customHeight="1" x14ac:dyDescent="0.25">
      <c r="A576" s="3" t="s">
        <v>21</v>
      </c>
      <c r="B576" s="3" t="s">
        <v>22</v>
      </c>
      <c r="C576" s="3" t="s">
        <v>23</v>
      </c>
      <c r="D576" s="3" t="s">
        <v>24</v>
      </c>
      <c r="E576" s="3" t="s">
        <v>30</v>
      </c>
      <c r="F576" s="3" t="s">
        <v>25</v>
      </c>
      <c r="G576" s="3" t="s">
        <v>25</v>
      </c>
      <c r="H576" s="3" t="s">
        <v>25</v>
      </c>
      <c r="I576" s="6">
        <v>44470</v>
      </c>
      <c r="J576" s="4">
        <v>0</v>
      </c>
      <c r="K576" s="4">
        <v>0</v>
      </c>
      <c r="L576" s="4">
        <v>10969.75</v>
      </c>
      <c r="M576" s="4">
        <v>10969.75</v>
      </c>
      <c r="N576" s="4">
        <v>10969.75</v>
      </c>
      <c r="O576" s="4">
        <v>10969.75</v>
      </c>
      <c r="P576" s="4">
        <v>120014</v>
      </c>
      <c r="Q576" s="3" t="s">
        <v>26</v>
      </c>
      <c r="R576" s="3">
        <v>0</v>
      </c>
      <c r="S576" s="3">
        <v>0</v>
      </c>
      <c r="T576" s="3">
        <v>27</v>
      </c>
      <c r="U576" s="3">
        <v>100</v>
      </c>
      <c r="V576" s="4">
        <f>IF(ISERROR(VLOOKUP($S$576,'TAR FIN'!$A$1:$O$113,15,0)),0,VLOOKUP($S$576,'TAR FIN'!$A$1:$O$113,15,0))</f>
        <v>0</v>
      </c>
      <c r="W576" s="4">
        <f>IF(ISERROR(VLOOKUP($T$576,'TAR FIN'!$A$1:$O$113,15,0)),0,VLOOKUP($T$576,'TAR FIN'!$A$1:$O$113,15,0))</f>
        <v>184.7</v>
      </c>
      <c r="X576" s="4">
        <f>IF(ISERROR(VLOOKUP($U$576,'TAR FIN'!$A$1:$O$113,15,0)),0,VLOOKUP($U$576,'TAR FIN'!$A$1:$O$113,15,0))</f>
        <v>140.54</v>
      </c>
      <c r="Y576" s="4"/>
      <c r="Z57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6" s="4">
        <f>('TE BE'!$AA$21+'TE BF'!$AA$21+'TE CVA'!$AA$21)*(1-CUSTOS!$M$35)</f>
        <v>140.80759667545161</v>
      </c>
      <c r="AB576" s="4">
        <f t="shared" si="26"/>
        <v>0</v>
      </c>
      <c r="AC576" s="4">
        <f>(L576-M576)*(W576+X576)+($W$630+$X$630-$W$576-$X$576)*(L576)</f>
        <v>2378680.5899999994</v>
      </c>
      <c r="AD576" s="4">
        <f t="shared" si="28"/>
        <v>0</v>
      </c>
      <c r="AE576" s="4">
        <f ca="1">(L576-M576)*(Z576+AA576)+($Z$630+$AA$630-$Z$576-$AA$576)*(L576)</f>
        <v>2594724.049592847</v>
      </c>
      <c r="AF576" s="3" t="s">
        <v>1028</v>
      </c>
    </row>
    <row r="577" spans="1:32" ht="11.25" customHeight="1" x14ac:dyDescent="0.25">
      <c r="A577" s="3" t="s">
        <v>27</v>
      </c>
      <c r="B577" s="3" t="s">
        <v>22</v>
      </c>
      <c r="C577" s="3" t="s">
        <v>23</v>
      </c>
      <c r="D577" s="3" t="s">
        <v>24</v>
      </c>
      <c r="E577" s="3" t="s">
        <v>30</v>
      </c>
      <c r="F577" s="3" t="s">
        <v>25</v>
      </c>
      <c r="G577" s="3" t="s">
        <v>25</v>
      </c>
      <c r="H577" s="3" t="s">
        <v>25</v>
      </c>
      <c r="I577" s="6">
        <v>44470</v>
      </c>
      <c r="J577" s="4">
        <v>0</v>
      </c>
      <c r="K577" s="4">
        <v>0</v>
      </c>
      <c r="L577" s="4">
        <v>-2.4649999999999999</v>
      </c>
      <c r="M577" s="4">
        <v>-2.4649999999999999</v>
      </c>
      <c r="N577" s="4">
        <v>-2.4649999999999999</v>
      </c>
      <c r="O577" s="4">
        <v>-2.4649999999999999</v>
      </c>
      <c r="P577" s="4">
        <v>-13</v>
      </c>
      <c r="Q577" s="3" t="s">
        <v>26</v>
      </c>
      <c r="R577" s="3">
        <v>0</v>
      </c>
      <c r="S577" s="3">
        <v>0</v>
      </c>
      <c r="T577" s="3">
        <v>27</v>
      </c>
      <c r="U577" s="3">
        <v>100</v>
      </c>
      <c r="V577" s="4">
        <f>IF(ISERROR(VLOOKUP($S$577,'TAR FIN'!$A$1:$O$113,15,0)),0,VLOOKUP($S$577,'TAR FIN'!$A$1:$O$113,15,0))</f>
        <v>0</v>
      </c>
      <c r="W577" s="4">
        <f>IF(ISERROR(VLOOKUP($T$577,'TAR FIN'!$A$1:$O$113,15,0)),0,VLOOKUP($T$577,'TAR FIN'!$A$1:$O$113,15,0))</f>
        <v>184.7</v>
      </c>
      <c r="X577" s="4">
        <f>IF(ISERROR(VLOOKUP($U$577,'TAR FIN'!$A$1:$O$113,15,0)),0,VLOOKUP($U$577,'TAR FIN'!$A$1:$O$113,15,0))</f>
        <v>140.54</v>
      </c>
      <c r="Y577" s="4"/>
      <c r="Z57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7" s="4">
        <f>('TE BE'!$AA$21+'TE BF'!$AA$21+'TE CVA'!$AA$21)*(1-CUSTOS!$M$35)</f>
        <v>140.80759667545161</v>
      </c>
      <c r="AB577" s="4">
        <f t="shared" si="26"/>
        <v>0</v>
      </c>
      <c r="AC577" s="4">
        <f>(L577-M577)*(W577+X577)+($W$630+$X$630-$W$577-$X$577)*(L577)</f>
        <v>-534.51059999999984</v>
      </c>
      <c r="AD577" s="4">
        <f t="shared" si="28"/>
        <v>0</v>
      </c>
      <c r="AE577" s="4">
        <f ca="1">(L577-M577)*(Z577+AA577)+($Z$630+$AA$630-$Z$577-$AA$577)*(L577)</f>
        <v>-583.05747918105396</v>
      </c>
      <c r="AF577" s="3" t="s">
        <v>1028</v>
      </c>
    </row>
    <row r="578" spans="1:32" ht="11.25" customHeight="1" x14ac:dyDescent="0.25">
      <c r="A578" s="3" t="s">
        <v>28</v>
      </c>
      <c r="B578" s="3" t="s">
        <v>22</v>
      </c>
      <c r="C578" s="3" t="s">
        <v>23</v>
      </c>
      <c r="D578" s="3" t="s">
        <v>24</v>
      </c>
      <c r="E578" s="3" t="s">
        <v>30</v>
      </c>
      <c r="F578" s="3" t="s">
        <v>25</v>
      </c>
      <c r="G578" s="3" t="s">
        <v>25</v>
      </c>
      <c r="H578" s="3" t="s">
        <v>25</v>
      </c>
      <c r="I578" s="6">
        <v>44470</v>
      </c>
      <c r="J578" s="4">
        <v>0</v>
      </c>
      <c r="K578" s="4">
        <v>0</v>
      </c>
      <c r="L578" s="4">
        <v>2.5099999999999998</v>
      </c>
      <c r="M578" s="4">
        <v>2.5099999999999998</v>
      </c>
      <c r="N578" s="4">
        <v>2.5099999999999998</v>
      </c>
      <c r="O578" s="4">
        <v>2.5099999999999998</v>
      </c>
      <c r="P578" s="4">
        <v>11</v>
      </c>
      <c r="Q578" s="3" t="s">
        <v>26</v>
      </c>
      <c r="R578" s="3">
        <v>0</v>
      </c>
      <c r="S578" s="3">
        <v>0</v>
      </c>
      <c r="T578" s="3">
        <v>27</v>
      </c>
      <c r="U578" s="3">
        <v>100</v>
      </c>
      <c r="V578" s="4">
        <f>IF(ISERROR(VLOOKUP($S$578,'TAR FIN'!$A$1:$O$113,15,0)),0,VLOOKUP($S$578,'TAR FIN'!$A$1:$O$113,15,0))</f>
        <v>0</v>
      </c>
      <c r="W578" s="4">
        <f>IF(ISERROR(VLOOKUP($T$578,'TAR FIN'!$A$1:$O$113,15,0)),0,VLOOKUP($T$578,'TAR FIN'!$A$1:$O$113,15,0))</f>
        <v>184.7</v>
      </c>
      <c r="X578" s="4">
        <f>IF(ISERROR(VLOOKUP($U$578,'TAR FIN'!$A$1:$O$113,15,0)),0,VLOOKUP($U$578,'TAR FIN'!$A$1:$O$113,15,0))</f>
        <v>140.54</v>
      </c>
      <c r="Y578" s="4"/>
      <c r="Z57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8" s="4">
        <f>('TE BE'!$AA$21+'TE BF'!$AA$21+'TE CVA'!$AA$21)*(1-CUSTOS!$M$35)</f>
        <v>140.80759667545161</v>
      </c>
      <c r="AB578" s="4">
        <f t="shared" ref="AB578:AB641" si="30">(J578-K578)*V578</f>
        <v>0</v>
      </c>
      <c r="AC578" s="4">
        <f>(L578-M578)*(W578+X578)+($W$630+$X$630-$W$578-$X$578)*(L578)</f>
        <v>544.26839999999982</v>
      </c>
      <c r="AD578" s="4">
        <f t="shared" ref="AD578:AD641" si="31">(J578-K578)*Y578</f>
        <v>0</v>
      </c>
      <c r="AE578" s="4">
        <f ca="1">(L578-M578)*(Z578+AA578)+($Z$630+$AA$630-$Z$578-$AA$578)*(L578)</f>
        <v>593.70153052513001</v>
      </c>
      <c r="AF578" s="3" t="s">
        <v>1028</v>
      </c>
    </row>
    <row r="579" spans="1:32" ht="11.25" customHeight="1" x14ac:dyDescent="0.25">
      <c r="A579" s="3" t="s">
        <v>21</v>
      </c>
      <c r="B579" s="3" t="s">
        <v>22</v>
      </c>
      <c r="C579" s="3" t="s">
        <v>23</v>
      </c>
      <c r="D579" s="3" t="s">
        <v>24</v>
      </c>
      <c r="E579" s="3" t="s">
        <v>30</v>
      </c>
      <c r="F579" s="3" t="s">
        <v>25</v>
      </c>
      <c r="G579" s="3" t="s">
        <v>25</v>
      </c>
      <c r="H579" s="3" t="s">
        <v>25</v>
      </c>
      <c r="I579" s="6">
        <v>44501</v>
      </c>
      <c r="J579" s="4">
        <v>0</v>
      </c>
      <c r="K579" s="4">
        <v>0</v>
      </c>
      <c r="L579" s="4">
        <v>11186.839</v>
      </c>
      <c r="M579" s="4">
        <v>11186.839</v>
      </c>
      <c r="N579" s="4">
        <v>11186.839</v>
      </c>
      <c r="O579" s="4">
        <v>11186.839</v>
      </c>
      <c r="P579" s="4">
        <v>116155</v>
      </c>
      <c r="Q579" s="3" t="s">
        <v>26</v>
      </c>
      <c r="R579" s="3">
        <v>0</v>
      </c>
      <c r="S579" s="3">
        <v>0</v>
      </c>
      <c r="T579" s="3">
        <v>27</v>
      </c>
      <c r="U579" s="3">
        <v>100</v>
      </c>
      <c r="V579" s="4">
        <f>IF(ISERROR(VLOOKUP($S$579,'TAR FIN'!$A$1:$O$113,15,0)),0,VLOOKUP($S$579,'TAR FIN'!$A$1:$O$113,15,0))</f>
        <v>0</v>
      </c>
      <c r="W579" s="4">
        <f>IF(ISERROR(VLOOKUP($T$579,'TAR FIN'!$A$1:$O$113,15,0)),0,VLOOKUP($T$579,'TAR FIN'!$A$1:$O$113,15,0))</f>
        <v>184.7</v>
      </c>
      <c r="X579" s="4">
        <f>IF(ISERROR(VLOOKUP($U$579,'TAR FIN'!$A$1:$O$113,15,0)),0,VLOOKUP($U$579,'TAR FIN'!$A$1:$O$113,15,0))</f>
        <v>140.54</v>
      </c>
      <c r="Y579" s="4"/>
      <c r="Z57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79" s="4">
        <f>('TE BE'!$AA$21+'TE BF'!$AA$21+'TE CVA'!$AA$21)*(1-CUSTOS!$M$35)</f>
        <v>140.80759667545161</v>
      </c>
      <c r="AB579" s="4">
        <f t="shared" si="30"/>
        <v>0</v>
      </c>
      <c r="AC579" s="4">
        <f>(L579-M579)*(W579+X579)+($W$630+$X$630-$W$579-$X$579)*(L579)</f>
        <v>2425754.1687599993</v>
      </c>
      <c r="AD579" s="4">
        <f t="shared" si="31"/>
        <v>0</v>
      </c>
      <c r="AE579" s="4">
        <f ca="1">(L579-M579)*(Z579+AA579)+($Z$630+$AA$630-$Z$579-$AA$579)*(L579)</f>
        <v>2646073.0820869384</v>
      </c>
      <c r="AF579" s="3" t="s">
        <v>1028</v>
      </c>
    </row>
    <row r="580" spans="1:32" ht="11.25" customHeight="1" x14ac:dyDescent="0.25">
      <c r="A580" s="3" t="s">
        <v>27</v>
      </c>
      <c r="B580" s="3" t="s">
        <v>22</v>
      </c>
      <c r="C580" s="3" t="s">
        <v>23</v>
      </c>
      <c r="D580" s="3" t="s">
        <v>24</v>
      </c>
      <c r="E580" s="3" t="s">
        <v>30</v>
      </c>
      <c r="F580" s="3" t="s">
        <v>25</v>
      </c>
      <c r="G580" s="3" t="s">
        <v>25</v>
      </c>
      <c r="H580" s="3" t="s">
        <v>25</v>
      </c>
      <c r="I580" s="6">
        <v>44501</v>
      </c>
      <c r="J580" s="4">
        <v>0</v>
      </c>
      <c r="K580" s="4">
        <v>0</v>
      </c>
      <c r="L580" s="4">
        <v>-2.331</v>
      </c>
      <c r="M580" s="4">
        <v>-2.331</v>
      </c>
      <c r="N580" s="4">
        <v>-2.331</v>
      </c>
      <c r="O580" s="4">
        <v>-2.331</v>
      </c>
      <c r="P580" s="4">
        <v>-13</v>
      </c>
      <c r="Q580" s="3" t="s">
        <v>26</v>
      </c>
      <c r="R580" s="3">
        <v>0</v>
      </c>
      <c r="S580" s="3">
        <v>0</v>
      </c>
      <c r="T580" s="3">
        <v>27</v>
      </c>
      <c r="U580" s="3">
        <v>100</v>
      </c>
      <c r="V580" s="4">
        <f>IF(ISERROR(VLOOKUP($S$580,'TAR FIN'!$A$1:$O$113,15,0)),0,VLOOKUP($S$580,'TAR FIN'!$A$1:$O$113,15,0))</f>
        <v>0</v>
      </c>
      <c r="W580" s="4">
        <f>IF(ISERROR(VLOOKUP($T$580,'TAR FIN'!$A$1:$O$113,15,0)),0,VLOOKUP($T$580,'TAR FIN'!$A$1:$O$113,15,0))</f>
        <v>184.7</v>
      </c>
      <c r="X580" s="4">
        <f>IF(ISERROR(VLOOKUP($U$580,'TAR FIN'!$A$1:$O$113,15,0)),0,VLOOKUP($U$580,'TAR FIN'!$A$1:$O$113,15,0))</f>
        <v>140.54</v>
      </c>
      <c r="Y580" s="4"/>
      <c r="Z58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0" s="4">
        <f>('TE BE'!$AA$21+'TE BF'!$AA$21+'TE CVA'!$AA$21)*(1-CUSTOS!$M$35)</f>
        <v>140.80759667545161</v>
      </c>
      <c r="AB580" s="4">
        <f t="shared" si="30"/>
        <v>0</v>
      </c>
      <c r="AC580" s="4">
        <f>(L580-M580)*(W580+X580)+($W$630+$X$630-$W$580-$X$580)*(L580)</f>
        <v>-505.45403999999985</v>
      </c>
      <c r="AD580" s="4">
        <f t="shared" si="31"/>
        <v>0</v>
      </c>
      <c r="AE580" s="4">
        <f ca="1">(L580-M580)*(Z580+AA580)+($Z$630+$AA$630-$Z$580-$AA$580)*(L580)</f>
        <v>-551.36185962313868</v>
      </c>
      <c r="AF580" s="3" t="s">
        <v>1028</v>
      </c>
    </row>
    <row r="581" spans="1:32" ht="11.25" customHeight="1" x14ac:dyDescent="0.25">
      <c r="A581" s="3" t="s">
        <v>28</v>
      </c>
      <c r="B581" s="3" t="s">
        <v>22</v>
      </c>
      <c r="C581" s="3" t="s">
        <v>23</v>
      </c>
      <c r="D581" s="3" t="s">
        <v>24</v>
      </c>
      <c r="E581" s="3" t="s">
        <v>30</v>
      </c>
      <c r="F581" s="3" t="s">
        <v>25</v>
      </c>
      <c r="G581" s="3" t="s">
        <v>25</v>
      </c>
      <c r="H581" s="3" t="s">
        <v>25</v>
      </c>
      <c r="I581" s="6">
        <v>44501</v>
      </c>
      <c r="J581" s="4">
        <v>0</v>
      </c>
      <c r="K581" s="4">
        <v>0</v>
      </c>
      <c r="L581" s="4">
        <v>2.714</v>
      </c>
      <c r="M581" s="4">
        <v>2.714</v>
      </c>
      <c r="N581" s="4">
        <v>2.714</v>
      </c>
      <c r="O581" s="4">
        <v>2.714</v>
      </c>
      <c r="P581" s="4">
        <v>13</v>
      </c>
      <c r="Q581" s="3" t="s">
        <v>26</v>
      </c>
      <c r="R581" s="3">
        <v>0</v>
      </c>
      <c r="S581" s="3">
        <v>0</v>
      </c>
      <c r="T581" s="3">
        <v>27</v>
      </c>
      <c r="U581" s="3">
        <v>100</v>
      </c>
      <c r="V581" s="4">
        <f>IF(ISERROR(VLOOKUP($S$581,'TAR FIN'!$A$1:$O$113,15,0)),0,VLOOKUP($S$581,'TAR FIN'!$A$1:$O$113,15,0))</f>
        <v>0</v>
      </c>
      <c r="W581" s="4">
        <f>IF(ISERROR(VLOOKUP($T$581,'TAR FIN'!$A$1:$O$113,15,0)),0,VLOOKUP($T$581,'TAR FIN'!$A$1:$O$113,15,0))</f>
        <v>184.7</v>
      </c>
      <c r="X581" s="4">
        <f>IF(ISERROR(VLOOKUP($U$581,'TAR FIN'!$A$1:$O$113,15,0)),0,VLOOKUP($U$581,'TAR FIN'!$A$1:$O$113,15,0))</f>
        <v>140.54</v>
      </c>
      <c r="Y581" s="4"/>
      <c r="Z58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1" s="4">
        <f>('TE BE'!$AA$21+'TE BF'!$AA$21+'TE CVA'!$AA$21)*(1-CUSTOS!$M$35)</f>
        <v>140.80759667545161</v>
      </c>
      <c r="AB581" s="4">
        <f t="shared" si="30"/>
        <v>0</v>
      </c>
      <c r="AC581" s="4">
        <f>(L581-M581)*(W581+X581)+($W$630+$X$630-$W$581-$X$581)*(L581)</f>
        <v>588.50375999999983</v>
      </c>
      <c r="AD581" s="4">
        <f t="shared" si="31"/>
        <v>0</v>
      </c>
      <c r="AE581" s="4">
        <f ca="1">(L581-M581)*(Z581+AA581)+($Z$630+$AA$630-$Z$581-$AA$581)*(L581)</f>
        <v>641.9545632849414</v>
      </c>
      <c r="AF581" s="3" t="s">
        <v>1028</v>
      </c>
    </row>
    <row r="582" spans="1:32" ht="11.25" customHeight="1" x14ac:dyDescent="0.25">
      <c r="A582" s="3" t="s">
        <v>21</v>
      </c>
      <c r="B582" s="3" t="s">
        <v>22</v>
      </c>
      <c r="C582" s="3" t="s">
        <v>23</v>
      </c>
      <c r="D582" s="3" t="s">
        <v>24</v>
      </c>
      <c r="E582" s="3" t="s">
        <v>30</v>
      </c>
      <c r="F582" s="3" t="s">
        <v>25</v>
      </c>
      <c r="G582" s="3" t="s">
        <v>25</v>
      </c>
      <c r="H582" s="3" t="s">
        <v>25</v>
      </c>
      <c r="I582" s="6">
        <v>44531</v>
      </c>
      <c r="J582" s="4">
        <v>0</v>
      </c>
      <c r="K582" s="4">
        <v>0</v>
      </c>
      <c r="L582" s="4">
        <v>11445.136</v>
      </c>
      <c r="M582" s="4">
        <v>11445.136</v>
      </c>
      <c r="N582" s="4">
        <v>11445.136</v>
      </c>
      <c r="O582" s="4">
        <v>11445.136</v>
      </c>
      <c r="P582" s="4">
        <v>111590</v>
      </c>
      <c r="Q582" s="3" t="s">
        <v>26</v>
      </c>
      <c r="R582" s="3">
        <v>0</v>
      </c>
      <c r="S582" s="3">
        <v>0</v>
      </c>
      <c r="T582" s="3">
        <v>27</v>
      </c>
      <c r="U582" s="3">
        <v>100</v>
      </c>
      <c r="V582" s="4">
        <f>IF(ISERROR(VLOOKUP($S$582,'TAR FIN'!$A$1:$O$113,15,0)),0,VLOOKUP($S$582,'TAR FIN'!$A$1:$O$113,15,0))</f>
        <v>0</v>
      </c>
      <c r="W582" s="4">
        <f>IF(ISERROR(VLOOKUP($T$582,'TAR FIN'!$A$1:$O$113,15,0)),0,VLOOKUP($T$582,'TAR FIN'!$A$1:$O$113,15,0))</f>
        <v>184.7</v>
      </c>
      <c r="X582" s="4">
        <f>IF(ISERROR(VLOOKUP($U$582,'TAR FIN'!$A$1:$O$113,15,0)),0,VLOOKUP($U$582,'TAR FIN'!$A$1:$O$113,15,0))</f>
        <v>140.54</v>
      </c>
      <c r="Y582" s="4"/>
      <c r="Z58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2" s="4">
        <f>('TE BE'!$AA$21+'TE BF'!$AA$21+'TE CVA'!$AA$21)*(1-CUSTOS!$M$35)</f>
        <v>140.80759667545161</v>
      </c>
      <c r="AB582" s="4">
        <f t="shared" si="30"/>
        <v>0</v>
      </c>
      <c r="AC582" s="4">
        <f>(L582-M582)*(W582+X582)+($W$630+$X$630-$W$582-$X$582)*(L582)</f>
        <v>2481763.2902399995</v>
      </c>
      <c r="AD582" s="4">
        <f t="shared" si="31"/>
        <v>0</v>
      </c>
      <c r="AE582" s="4">
        <f ca="1">(L582-M582)*(Z582+AA582)+($Z$630+$AA$630-$Z$582-$AA$582)*(L582)</f>
        <v>2707169.2271985123</v>
      </c>
      <c r="AF582" s="3" t="s">
        <v>1028</v>
      </c>
    </row>
    <row r="583" spans="1:32" ht="11.25" customHeight="1" x14ac:dyDescent="0.25">
      <c r="A583" s="3" t="s">
        <v>27</v>
      </c>
      <c r="B583" s="3" t="s">
        <v>22</v>
      </c>
      <c r="C583" s="3" t="s">
        <v>23</v>
      </c>
      <c r="D583" s="3" t="s">
        <v>24</v>
      </c>
      <c r="E583" s="3" t="s">
        <v>30</v>
      </c>
      <c r="F583" s="3" t="s">
        <v>25</v>
      </c>
      <c r="G583" s="3" t="s">
        <v>25</v>
      </c>
      <c r="H583" s="3" t="s">
        <v>25</v>
      </c>
      <c r="I583" s="6">
        <v>44531</v>
      </c>
      <c r="J583" s="4">
        <v>0</v>
      </c>
      <c r="K583" s="4">
        <v>0</v>
      </c>
      <c r="L583" s="4">
        <v>-2.0310000000000001</v>
      </c>
      <c r="M583" s="4">
        <v>-2.0310000000000001</v>
      </c>
      <c r="N583" s="4">
        <v>-2.0310000000000001</v>
      </c>
      <c r="O583" s="4">
        <v>-2.0310000000000001</v>
      </c>
      <c r="P583" s="4">
        <v>-30</v>
      </c>
      <c r="Q583" s="3" t="s">
        <v>26</v>
      </c>
      <c r="R583" s="3">
        <v>0</v>
      </c>
      <c r="S583" s="3">
        <v>0</v>
      </c>
      <c r="T583" s="3">
        <v>27</v>
      </c>
      <c r="U583" s="3">
        <v>100</v>
      </c>
      <c r="V583" s="4">
        <f>IF(ISERROR(VLOOKUP($S$583,'TAR FIN'!$A$1:$O$113,15,0)),0,VLOOKUP($S$583,'TAR FIN'!$A$1:$O$113,15,0))</f>
        <v>0</v>
      </c>
      <c r="W583" s="4">
        <f>IF(ISERROR(VLOOKUP($T$583,'TAR FIN'!$A$1:$O$113,15,0)),0,VLOOKUP($T$583,'TAR FIN'!$A$1:$O$113,15,0))</f>
        <v>184.7</v>
      </c>
      <c r="X583" s="4">
        <f>IF(ISERROR(VLOOKUP($U$583,'TAR FIN'!$A$1:$O$113,15,0)),0,VLOOKUP($U$583,'TAR FIN'!$A$1:$O$113,15,0))</f>
        <v>140.54</v>
      </c>
      <c r="Y583" s="4"/>
      <c r="Z58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3" s="4">
        <f>('TE BE'!$AA$21+'TE BF'!$AA$21+'TE CVA'!$AA$21)*(1-CUSTOS!$M$35)</f>
        <v>140.80759667545161</v>
      </c>
      <c r="AB583" s="4">
        <f t="shared" si="30"/>
        <v>0</v>
      </c>
      <c r="AC583" s="4">
        <f>(L583-M583)*(W583+X583)+($W$630+$X$630-$W$583-$X$583)*(L583)</f>
        <v>-440.40203999999994</v>
      </c>
      <c r="AD583" s="4">
        <f t="shared" si="31"/>
        <v>0</v>
      </c>
      <c r="AE583" s="4">
        <f ca="1">(L583-M583)*(Z583+AA583)+($Z$630+$AA$630-$Z$583-$AA$583)*(L583)</f>
        <v>-480.40151732929849</v>
      </c>
      <c r="AF583" s="3" t="s">
        <v>1028</v>
      </c>
    </row>
    <row r="584" spans="1:32" ht="11.25" customHeight="1" x14ac:dyDescent="0.25">
      <c r="A584" s="3" t="s">
        <v>28</v>
      </c>
      <c r="B584" s="3" t="s">
        <v>22</v>
      </c>
      <c r="C584" s="3" t="s">
        <v>23</v>
      </c>
      <c r="D584" s="3" t="s">
        <v>24</v>
      </c>
      <c r="E584" s="3" t="s">
        <v>30</v>
      </c>
      <c r="F584" s="3" t="s">
        <v>25</v>
      </c>
      <c r="G584" s="3" t="s">
        <v>25</v>
      </c>
      <c r="H584" s="3" t="s">
        <v>25</v>
      </c>
      <c r="I584" s="6">
        <v>44531</v>
      </c>
      <c r="J584" s="4">
        <v>0</v>
      </c>
      <c r="K584" s="4">
        <v>0</v>
      </c>
      <c r="L584" s="4">
        <v>2.9689999999999999</v>
      </c>
      <c r="M584" s="4">
        <v>2.9689999999999999</v>
      </c>
      <c r="N584" s="4">
        <v>2.9689999999999999</v>
      </c>
      <c r="O584" s="4">
        <v>2.9689999999999999</v>
      </c>
      <c r="P584" s="4">
        <v>11</v>
      </c>
      <c r="Q584" s="3" t="s">
        <v>26</v>
      </c>
      <c r="R584" s="3">
        <v>0</v>
      </c>
      <c r="S584" s="3">
        <v>0</v>
      </c>
      <c r="T584" s="3">
        <v>27</v>
      </c>
      <c r="U584" s="3">
        <v>100</v>
      </c>
      <c r="V584" s="4">
        <f>IF(ISERROR(VLOOKUP($S$584,'TAR FIN'!$A$1:$O$113,15,0)),0,VLOOKUP($S$584,'TAR FIN'!$A$1:$O$113,15,0))</f>
        <v>0</v>
      </c>
      <c r="W584" s="4">
        <f>IF(ISERROR(VLOOKUP($T$584,'TAR FIN'!$A$1:$O$113,15,0)),0,VLOOKUP($T$584,'TAR FIN'!$A$1:$O$113,15,0))</f>
        <v>184.7</v>
      </c>
      <c r="X584" s="4">
        <f>IF(ISERROR(VLOOKUP($U$584,'TAR FIN'!$A$1:$O$113,15,0)),0,VLOOKUP($U$584,'TAR FIN'!$A$1:$O$113,15,0))</f>
        <v>140.54</v>
      </c>
      <c r="Y584" s="4"/>
      <c r="Z584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4" s="4">
        <f>('TE BE'!$AA$21+'TE BF'!$AA$21+'TE CVA'!$AA$21)*(1-CUSTOS!$M$35)</f>
        <v>140.80759667545161</v>
      </c>
      <c r="AB584" s="4">
        <f t="shared" si="30"/>
        <v>0</v>
      </c>
      <c r="AC584" s="4">
        <f>(L584-M584)*(W584+X584)+($W$630+$X$630-$W$584-$X$584)*(L584)</f>
        <v>643.79795999999976</v>
      </c>
      <c r="AD584" s="4">
        <f t="shared" si="31"/>
        <v>0</v>
      </c>
      <c r="AE584" s="4">
        <f ca="1">(L584-M584)*(Z584+AA584)+($Z$630+$AA$630-$Z$584-$AA$584)*(L584)</f>
        <v>702.27085423470567</v>
      </c>
      <c r="AF584" s="3" t="s">
        <v>1028</v>
      </c>
    </row>
    <row r="585" spans="1:32" ht="11.25" customHeight="1" x14ac:dyDescent="0.25">
      <c r="A585" s="3" t="s">
        <v>21</v>
      </c>
      <c r="B585" s="3" t="s">
        <v>22</v>
      </c>
      <c r="C585" s="3" t="s">
        <v>23</v>
      </c>
      <c r="D585" s="3" t="s">
        <v>24</v>
      </c>
      <c r="E585" s="3" t="s">
        <v>30</v>
      </c>
      <c r="F585" s="3" t="s">
        <v>25</v>
      </c>
      <c r="G585" s="3" t="s">
        <v>25</v>
      </c>
      <c r="H585" s="3" t="s">
        <v>25</v>
      </c>
      <c r="I585" s="6">
        <v>44562</v>
      </c>
      <c r="J585" s="4">
        <v>0</v>
      </c>
      <c r="K585" s="4">
        <v>0</v>
      </c>
      <c r="L585" s="4">
        <v>11832.243</v>
      </c>
      <c r="M585" s="4">
        <v>11832.243</v>
      </c>
      <c r="N585" s="4">
        <v>11832.243</v>
      </c>
      <c r="O585" s="4">
        <v>11832.243</v>
      </c>
      <c r="P585" s="4">
        <v>104732</v>
      </c>
      <c r="Q585" s="3" t="s">
        <v>26</v>
      </c>
      <c r="R585" s="3">
        <v>0</v>
      </c>
      <c r="S585" s="3">
        <v>0</v>
      </c>
      <c r="T585" s="3">
        <v>27</v>
      </c>
      <c r="U585" s="3">
        <v>100</v>
      </c>
      <c r="V585" s="4">
        <f>IF(ISERROR(VLOOKUP($S$585,'TAR FIN'!$A$1:$O$113,15,0)),0,VLOOKUP($S$585,'TAR FIN'!$A$1:$O$113,15,0))</f>
        <v>0</v>
      </c>
      <c r="W585" s="4">
        <f>IF(ISERROR(VLOOKUP($T$585,'TAR FIN'!$A$1:$O$113,15,0)),0,VLOOKUP($T$585,'TAR FIN'!$A$1:$O$113,15,0))</f>
        <v>184.7</v>
      </c>
      <c r="X585" s="4">
        <f>IF(ISERROR(VLOOKUP($U$585,'TAR FIN'!$A$1:$O$113,15,0)),0,VLOOKUP($U$585,'TAR FIN'!$A$1:$O$113,15,0))</f>
        <v>140.54</v>
      </c>
      <c r="Y585" s="4"/>
      <c r="Z585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5" s="4">
        <f>('TE BE'!$AA$21+'TE BF'!$AA$21+'TE CVA'!$AA$21)*(1-CUSTOS!$M$35)</f>
        <v>140.80759667545161</v>
      </c>
      <c r="AB585" s="4">
        <f t="shared" si="30"/>
        <v>0</v>
      </c>
      <c r="AC585" s="4">
        <f>(L585-M585)*(W585+X585)+($W$630+$X$630-$W$585-$X$585)*(L585)</f>
        <v>2565703.5721199997</v>
      </c>
      <c r="AD585" s="4">
        <f t="shared" si="31"/>
        <v>0</v>
      </c>
      <c r="AE585" s="4">
        <f ca="1">(L585-M585)*(Z585+AA585)+($Z$630+$AA$630-$Z$585-$AA$585)*(L585)</f>
        <v>2798733.3779463177</v>
      </c>
      <c r="AF585" s="3" t="s">
        <v>1028</v>
      </c>
    </row>
    <row r="586" spans="1:32" ht="11.25" customHeight="1" x14ac:dyDescent="0.25">
      <c r="A586" s="3" t="s">
        <v>27</v>
      </c>
      <c r="B586" s="3" t="s">
        <v>22</v>
      </c>
      <c r="C586" s="3" t="s">
        <v>23</v>
      </c>
      <c r="D586" s="3" t="s">
        <v>24</v>
      </c>
      <c r="E586" s="3" t="s">
        <v>30</v>
      </c>
      <c r="F586" s="3" t="s">
        <v>25</v>
      </c>
      <c r="G586" s="3" t="s">
        <v>25</v>
      </c>
      <c r="H586" s="3" t="s">
        <v>25</v>
      </c>
      <c r="I586" s="6">
        <v>44562</v>
      </c>
      <c r="J586" s="4">
        <v>0</v>
      </c>
      <c r="K586" s="4">
        <v>0</v>
      </c>
      <c r="L586" s="4">
        <v>-0.53900000000000003</v>
      </c>
      <c r="M586" s="4">
        <v>-0.53900000000000003</v>
      </c>
      <c r="N586" s="4">
        <v>-0.53900000000000003</v>
      </c>
      <c r="O586" s="4">
        <v>-0.53900000000000003</v>
      </c>
      <c r="P586" s="4">
        <v>-6</v>
      </c>
      <c r="Q586" s="3" t="s">
        <v>26</v>
      </c>
      <c r="R586" s="3">
        <v>0</v>
      </c>
      <c r="S586" s="3">
        <v>0</v>
      </c>
      <c r="T586" s="3">
        <v>27</v>
      </c>
      <c r="U586" s="3">
        <v>100</v>
      </c>
      <c r="V586" s="4">
        <f>IF(ISERROR(VLOOKUP($S$586,'TAR FIN'!$A$1:$O$113,15,0)),0,VLOOKUP($S$586,'TAR FIN'!$A$1:$O$113,15,0))</f>
        <v>0</v>
      </c>
      <c r="W586" s="4">
        <f>IF(ISERROR(VLOOKUP($T$586,'TAR FIN'!$A$1:$O$113,15,0)),0,VLOOKUP($T$586,'TAR FIN'!$A$1:$O$113,15,0))</f>
        <v>184.7</v>
      </c>
      <c r="X586" s="4">
        <f>IF(ISERROR(VLOOKUP($U$586,'TAR FIN'!$A$1:$O$113,15,0)),0,VLOOKUP($U$586,'TAR FIN'!$A$1:$O$113,15,0))</f>
        <v>140.54</v>
      </c>
      <c r="Y586" s="4"/>
      <c r="Z586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6" s="4">
        <f>('TE BE'!$AA$21+'TE BF'!$AA$21+'TE CVA'!$AA$21)*(1-CUSTOS!$M$35)</f>
        <v>140.80759667545161</v>
      </c>
      <c r="AB586" s="4">
        <f t="shared" si="30"/>
        <v>0</v>
      </c>
      <c r="AC586" s="4">
        <f>(L586-M586)*(W586+X586)+($W$630+$X$630-$W$586-$X$586)*(L586)</f>
        <v>-116.87675999999998</v>
      </c>
      <c r="AD586" s="4">
        <f t="shared" si="31"/>
        <v>0</v>
      </c>
      <c r="AE586" s="4">
        <f ca="1">(L586-M586)*(Z586+AA586)+($Z$630+$AA$630-$Z$586-$AA$586)*(L586)</f>
        <v>-127.49208165459966</v>
      </c>
      <c r="AF586" s="3" t="s">
        <v>1028</v>
      </c>
    </row>
    <row r="587" spans="1:32" ht="11.25" customHeight="1" x14ac:dyDescent="0.25">
      <c r="A587" s="3" t="s">
        <v>28</v>
      </c>
      <c r="B587" s="3" t="s">
        <v>22</v>
      </c>
      <c r="C587" s="3" t="s">
        <v>23</v>
      </c>
      <c r="D587" s="3" t="s">
        <v>24</v>
      </c>
      <c r="E587" s="3" t="s">
        <v>30</v>
      </c>
      <c r="F587" s="3" t="s">
        <v>25</v>
      </c>
      <c r="G587" s="3" t="s">
        <v>25</v>
      </c>
      <c r="H587" s="3" t="s">
        <v>25</v>
      </c>
      <c r="I587" s="6">
        <v>44562</v>
      </c>
      <c r="J587" s="4">
        <v>0</v>
      </c>
      <c r="K587" s="4">
        <v>0</v>
      </c>
      <c r="L587" s="4">
        <v>3.4470000000000001</v>
      </c>
      <c r="M587" s="4">
        <v>3.4470000000000001</v>
      </c>
      <c r="N587" s="4">
        <v>3.4470000000000001</v>
      </c>
      <c r="O587" s="4">
        <v>3.4470000000000001</v>
      </c>
      <c r="P587" s="4">
        <v>11</v>
      </c>
      <c r="Q587" s="3" t="s">
        <v>26</v>
      </c>
      <c r="R587" s="3">
        <v>0</v>
      </c>
      <c r="S587" s="3">
        <v>0</v>
      </c>
      <c r="T587" s="3">
        <v>27</v>
      </c>
      <c r="U587" s="3">
        <v>100</v>
      </c>
      <c r="V587" s="4">
        <f>IF(ISERROR(VLOOKUP($S$587,'TAR FIN'!$A$1:$O$113,15,0)),0,VLOOKUP($S$587,'TAR FIN'!$A$1:$O$113,15,0))</f>
        <v>0</v>
      </c>
      <c r="W587" s="4">
        <f>IF(ISERROR(VLOOKUP($T$587,'TAR FIN'!$A$1:$O$113,15,0)),0,VLOOKUP($T$587,'TAR FIN'!$A$1:$O$113,15,0))</f>
        <v>184.7</v>
      </c>
      <c r="X587" s="4">
        <f>IF(ISERROR(VLOOKUP($U$587,'TAR FIN'!$A$1:$O$113,15,0)),0,VLOOKUP($U$587,'TAR FIN'!$A$1:$O$113,15,0))</f>
        <v>140.54</v>
      </c>
      <c r="Y587" s="4"/>
      <c r="Z587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7" s="4">
        <f>('TE BE'!$AA$21+'TE BF'!$AA$21+'TE CVA'!$AA$21)*(1-CUSTOS!$M$35)</f>
        <v>140.80759667545161</v>
      </c>
      <c r="AB587" s="4">
        <f t="shared" si="30"/>
        <v>0</v>
      </c>
      <c r="AC587" s="4">
        <f>(L587-M587)*(W587+X587)+($W$630+$X$630-$W$587-$X$587)*(L587)</f>
        <v>747.44747999999981</v>
      </c>
      <c r="AD587" s="4">
        <f t="shared" si="31"/>
        <v>0</v>
      </c>
      <c r="AE587" s="4">
        <f ca="1">(L587-M587)*(Z587+AA587)+($Z$630+$AA$630-$Z$587-$AA$587)*(L587)</f>
        <v>815.33433295622444</v>
      </c>
      <c r="AF587" s="3" t="s">
        <v>1028</v>
      </c>
    </row>
    <row r="588" spans="1:32" ht="11.25" customHeight="1" x14ac:dyDescent="0.25">
      <c r="A588" s="3" t="s">
        <v>21</v>
      </c>
      <c r="B588" s="3" t="s">
        <v>22</v>
      </c>
      <c r="C588" s="3" t="s">
        <v>23</v>
      </c>
      <c r="D588" s="3" t="s">
        <v>24</v>
      </c>
      <c r="E588" s="3" t="s">
        <v>30</v>
      </c>
      <c r="F588" s="3" t="s">
        <v>25</v>
      </c>
      <c r="G588" s="3" t="s">
        <v>25</v>
      </c>
      <c r="H588" s="3" t="s">
        <v>25</v>
      </c>
      <c r="I588" s="6">
        <v>44593</v>
      </c>
      <c r="J588" s="4">
        <v>0</v>
      </c>
      <c r="K588" s="4">
        <v>0</v>
      </c>
      <c r="L588" s="4">
        <v>12139.191000000001</v>
      </c>
      <c r="M588" s="4">
        <v>12139.191000000001</v>
      </c>
      <c r="N588" s="4">
        <v>12139.191000000001</v>
      </c>
      <c r="O588" s="4">
        <v>12139.191000000001</v>
      </c>
      <c r="P588" s="4">
        <v>112859</v>
      </c>
      <c r="Q588" s="3" t="s">
        <v>26</v>
      </c>
      <c r="R588" s="3">
        <v>0</v>
      </c>
      <c r="S588" s="3">
        <v>0</v>
      </c>
      <c r="T588" s="3">
        <v>27</v>
      </c>
      <c r="U588" s="3">
        <v>100</v>
      </c>
      <c r="V588" s="4">
        <f>IF(ISERROR(VLOOKUP($S$588,'TAR FIN'!$A$1:$O$113,15,0)),0,VLOOKUP($S$588,'TAR FIN'!$A$1:$O$113,15,0))</f>
        <v>0</v>
      </c>
      <c r="W588" s="4">
        <f>IF(ISERROR(VLOOKUP($T$588,'TAR FIN'!$A$1:$O$113,15,0)),0,VLOOKUP($T$588,'TAR FIN'!$A$1:$O$113,15,0))</f>
        <v>184.7</v>
      </c>
      <c r="X588" s="4">
        <f>IF(ISERROR(VLOOKUP($U$588,'TAR FIN'!$A$1:$O$113,15,0)),0,VLOOKUP($U$588,'TAR FIN'!$A$1:$O$113,15,0))</f>
        <v>140.54</v>
      </c>
      <c r="Y588" s="4"/>
      <c r="Z588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8" s="4">
        <f>('TE BE'!$AA$21+'TE BF'!$AA$21+'TE CVA'!$AA$21)*(1-CUSTOS!$M$35)</f>
        <v>140.80759667545161</v>
      </c>
      <c r="AB588" s="4">
        <f t="shared" si="30"/>
        <v>0</v>
      </c>
      <c r="AC588" s="4">
        <f>(L588-M588)*(W588+X588)+($W$630+$X$630-$W$588-$X$588)*(L588)</f>
        <v>2632262.1764399996</v>
      </c>
      <c r="AD588" s="4">
        <f t="shared" si="31"/>
        <v>0</v>
      </c>
      <c r="AE588" s="4">
        <f ca="1">(L588-M588)*(Z588+AA588)+($Z$630+$AA$630-$Z$588-$AA$588)*(L588)</f>
        <v>2871337.161767683</v>
      </c>
      <c r="AF588" s="3" t="s">
        <v>1028</v>
      </c>
    </row>
    <row r="589" spans="1:32" ht="11.25" customHeight="1" x14ac:dyDescent="0.25">
      <c r="A589" s="3" t="s">
        <v>27</v>
      </c>
      <c r="B589" s="3" t="s">
        <v>22</v>
      </c>
      <c r="C589" s="3" t="s">
        <v>23</v>
      </c>
      <c r="D589" s="3" t="s">
        <v>24</v>
      </c>
      <c r="E589" s="3" t="s">
        <v>30</v>
      </c>
      <c r="F589" s="3" t="s">
        <v>25</v>
      </c>
      <c r="G589" s="3" t="s">
        <v>25</v>
      </c>
      <c r="H589" s="3" t="s">
        <v>25</v>
      </c>
      <c r="I589" s="6">
        <v>44593</v>
      </c>
      <c r="J589" s="4">
        <v>0</v>
      </c>
      <c r="K589" s="4">
        <v>0</v>
      </c>
      <c r="L589" s="4">
        <v>-0.7</v>
      </c>
      <c r="M589" s="4">
        <v>-0.7</v>
      </c>
      <c r="N589" s="4">
        <v>-0.7</v>
      </c>
      <c r="O589" s="4">
        <v>-0.7</v>
      </c>
      <c r="P589" s="4">
        <v>0</v>
      </c>
      <c r="Q589" s="3" t="s">
        <v>26</v>
      </c>
      <c r="R589" s="3">
        <v>0</v>
      </c>
      <c r="S589" s="3">
        <v>0</v>
      </c>
      <c r="T589" s="3">
        <v>27</v>
      </c>
      <c r="U589" s="3">
        <v>100</v>
      </c>
      <c r="V589" s="4">
        <f>IF(ISERROR(VLOOKUP($S$589,'TAR FIN'!$A$1:$O$113,15,0)),0,VLOOKUP($S$589,'TAR FIN'!$A$1:$O$113,15,0))</f>
        <v>0</v>
      </c>
      <c r="W589" s="4">
        <f>IF(ISERROR(VLOOKUP($T$589,'TAR FIN'!$A$1:$O$113,15,0)),0,VLOOKUP($T$589,'TAR FIN'!$A$1:$O$113,15,0))</f>
        <v>184.7</v>
      </c>
      <c r="X589" s="4">
        <f>IF(ISERROR(VLOOKUP($U$589,'TAR FIN'!$A$1:$O$113,15,0)),0,VLOOKUP($U$589,'TAR FIN'!$A$1:$O$113,15,0))</f>
        <v>140.54</v>
      </c>
      <c r="Y589" s="4"/>
      <c r="Z589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89" s="4">
        <f>('TE BE'!$AA$21+'TE BF'!$AA$21+'TE CVA'!$AA$21)*(1-CUSTOS!$M$35)</f>
        <v>140.80759667545161</v>
      </c>
      <c r="AB589" s="4">
        <f t="shared" si="30"/>
        <v>0</v>
      </c>
      <c r="AC589" s="4">
        <f>(L589-M589)*(W589+X589)+($W$630+$X$630-$W$589-$X$589)*(L589)</f>
        <v>-151.78799999999995</v>
      </c>
      <c r="AD589" s="4">
        <f t="shared" si="31"/>
        <v>0</v>
      </c>
      <c r="AE589" s="4">
        <f ca="1">(L589-M589)*(Z589+AA589)+($Z$630+$AA$630-$Z$589-$AA$589)*(L589)</f>
        <v>-165.57413201896057</v>
      </c>
      <c r="AF589" s="3" t="s">
        <v>1028</v>
      </c>
    </row>
    <row r="590" spans="1:32" ht="11.25" customHeight="1" x14ac:dyDescent="0.25">
      <c r="A590" s="3" t="s">
        <v>28</v>
      </c>
      <c r="B590" s="3" t="s">
        <v>22</v>
      </c>
      <c r="C590" s="3" t="s">
        <v>23</v>
      </c>
      <c r="D590" s="3" t="s">
        <v>24</v>
      </c>
      <c r="E590" s="3" t="s">
        <v>30</v>
      </c>
      <c r="F590" s="3" t="s">
        <v>25</v>
      </c>
      <c r="G590" s="3" t="s">
        <v>25</v>
      </c>
      <c r="H590" s="3" t="s">
        <v>25</v>
      </c>
      <c r="I590" s="6">
        <v>44593</v>
      </c>
      <c r="J590" s="4">
        <v>0</v>
      </c>
      <c r="K590" s="4">
        <v>0</v>
      </c>
      <c r="L590" s="4">
        <v>3.7210000000000001</v>
      </c>
      <c r="M590" s="4">
        <v>3.7210000000000001</v>
      </c>
      <c r="N590" s="4">
        <v>3.7210000000000001</v>
      </c>
      <c r="O590" s="4">
        <v>3.7210000000000001</v>
      </c>
      <c r="P590" s="4">
        <v>10</v>
      </c>
      <c r="Q590" s="3" t="s">
        <v>26</v>
      </c>
      <c r="R590" s="3">
        <v>0</v>
      </c>
      <c r="S590" s="3">
        <v>0</v>
      </c>
      <c r="T590" s="3">
        <v>27</v>
      </c>
      <c r="U590" s="3">
        <v>100</v>
      </c>
      <c r="V590" s="4">
        <f>IF(ISERROR(VLOOKUP($S$590,'TAR FIN'!$A$1:$O$113,15,0)),0,VLOOKUP($S$590,'TAR FIN'!$A$1:$O$113,15,0))</f>
        <v>0</v>
      </c>
      <c r="W590" s="4">
        <f>IF(ISERROR(VLOOKUP($T$590,'TAR FIN'!$A$1:$O$113,15,0)),0,VLOOKUP($T$590,'TAR FIN'!$A$1:$O$113,15,0))</f>
        <v>184.7</v>
      </c>
      <c r="X590" s="4">
        <f>IF(ISERROR(VLOOKUP($U$590,'TAR FIN'!$A$1:$O$113,15,0)),0,VLOOKUP($U$590,'TAR FIN'!$A$1:$O$113,15,0))</f>
        <v>140.54</v>
      </c>
      <c r="Y590" s="4"/>
      <c r="Z590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90" s="4">
        <f>('TE BE'!$AA$21+'TE BF'!$AA$21+'TE CVA'!$AA$21)*(1-CUSTOS!$M$35)</f>
        <v>140.80759667545161</v>
      </c>
      <c r="AB590" s="4">
        <f t="shared" si="30"/>
        <v>0</v>
      </c>
      <c r="AC590" s="4">
        <f>(L590-M590)*(W590+X590)+($W$630+$X$630-$W$590-$X$590)*(L590)</f>
        <v>806.86163999999985</v>
      </c>
      <c r="AD590" s="4">
        <f t="shared" si="31"/>
        <v>0</v>
      </c>
      <c r="AE590" s="4">
        <f ca="1">(L590-M590)*(Z590+AA590)+($Z$630+$AA$630-$Z$590-$AA$590)*(L590)</f>
        <v>880.14477891793194</v>
      </c>
      <c r="AF590" s="3" t="s">
        <v>1028</v>
      </c>
    </row>
    <row r="591" spans="1:32" ht="11.25" customHeight="1" x14ac:dyDescent="0.25">
      <c r="A591" s="3" t="s">
        <v>56</v>
      </c>
      <c r="B591" s="3" t="s">
        <v>22</v>
      </c>
      <c r="C591" s="3" t="s">
        <v>23</v>
      </c>
      <c r="D591" s="3" t="s">
        <v>24</v>
      </c>
      <c r="E591" s="3" t="s">
        <v>30</v>
      </c>
      <c r="F591" s="3" t="s">
        <v>25</v>
      </c>
      <c r="G591" s="3" t="s">
        <v>25</v>
      </c>
      <c r="H591" s="3" t="s">
        <v>25</v>
      </c>
      <c r="I591" s="6">
        <v>44621</v>
      </c>
      <c r="J591" s="4">
        <v>0</v>
      </c>
      <c r="K591" s="4">
        <v>0</v>
      </c>
      <c r="L591" s="4">
        <v>12139.191000000001</v>
      </c>
      <c r="M591" s="4">
        <v>12139.191000000001</v>
      </c>
      <c r="N591" s="4">
        <v>12139.191000000001</v>
      </c>
      <c r="O591" s="4">
        <v>12139.191000000001</v>
      </c>
      <c r="P591" s="4">
        <v>112859</v>
      </c>
      <c r="Q591" s="3" t="s">
        <v>26</v>
      </c>
      <c r="R591" s="3">
        <v>0</v>
      </c>
      <c r="S591" s="3">
        <v>0</v>
      </c>
      <c r="T591" s="3">
        <v>27</v>
      </c>
      <c r="U591" s="3">
        <v>100</v>
      </c>
      <c r="V591" s="4">
        <f>IF(ISERROR(VLOOKUP($S$591,'TAR FIN'!$A$1:$O$113,15,0)),0,VLOOKUP($S$591,'TAR FIN'!$A$1:$O$113,15,0))</f>
        <v>0</v>
      </c>
      <c r="W591" s="4">
        <f>IF(ISERROR(VLOOKUP($T$591,'TAR FIN'!$A$1:$O$113,15,0)),0,VLOOKUP($T$591,'TAR FIN'!$A$1:$O$113,15,0))</f>
        <v>184.7</v>
      </c>
      <c r="X591" s="4">
        <f>IF(ISERROR(VLOOKUP($U$591,'TAR FIN'!$A$1:$O$113,15,0)),0,VLOOKUP($U$591,'TAR FIN'!$A$1:$O$113,15,0))</f>
        <v>140.54</v>
      </c>
      <c r="Y591" s="4"/>
      <c r="Z591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91" s="4">
        <f>('TE BE'!$AA$21+'TE BF'!$AA$21+'TE CVA'!$AA$21)*(1-CUSTOS!$M$35)</f>
        <v>140.80759667545161</v>
      </c>
      <c r="AB591" s="4">
        <f t="shared" si="30"/>
        <v>0</v>
      </c>
      <c r="AC591" s="4">
        <f>(L591-M591)*(W591+X591)+($W$630+$X$630-$W$591-$X$591)*(L591)</f>
        <v>2632262.1764399996</v>
      </c>
      <c r="AD591" s="4">
        <f t="shared" si="31"/>
        <v>0</v>
      </c>
      <c r="AE591" s="4">
        <f ca="1">(L591-M591)*(Z591+AA591)+($Z$630+$AA$630-$Z$591-$AA$591)*(L591)</f>
        <v>2871337.161767683</v>
      </c>
      <c r="AF591" s="3" t="s">
        <v>1028</v>
      </c>
    </row>
    <row r="592" spans="1:32" ht="11.25" customHeight="1" x14ac:dyDescent="0.25">
      <c r="A592" s="3" t="s">
        <v>56</v>
      </c>
      <c r="B592" s="3" t="s">
        <v>22</v>
      </c>
      <c r="C592" s="3" t="s">
        <v>23</v>
      </c>
      <c r="D592" s="3" t="s">
        <v>24</v>
      </c>
      <c r="E592" s="3" t="s">
        <v>30</v>
      </c>
      <c r="F592" s="3" t="s">
        <v>25</v>
      </c>
      <c r="G592" s="3" t="s">
        <v>25</v>
      </c>
      <c r="H592" s="3" t="s">
        <v>25</v>
      </c>
      <c r="I592" s="6">
        <v>44621</v>
      </c>
      <c r="J592" s="4">
        <v>0</v>
      </c>
      <c r="K592" s="4">
        <v>0</v>
      </c>
      <c r="L592" s="4">
        <v>-0.7</v>
      </c>
      <c r="M592" s="4">
        <v>-0.7</v>
      </c>
      <c r="N592" s="4">
        <v>-0.7</v>
      </c>
      <c r="O592" s="4">
        <v>-0.7</v>
      </c>
      <c r="P592" s="4">
        <v>0</v>
      </c>
      <c r="Q592" s="3" t="s">
        <v>26</v>
      </c>
      <c r="R592" s="3">
        <v>0</v>
      </c>
      <c r="S592" s="3">
        <v>0</v>
      </c>
      <c r="T592" s="3">
        <v>27</v>
      </c>
      <c r="U592" s="3">
        <v>100</v>
      </c>
      <c r="V592" s="4">
        <f>IF(ISERROR(VLOOKUP($S$592,'TAR FIN'!$A$1:$O$113,15,0)),0,VLOOKUP($S$592,'TAR FIN'!$A$1:$O$113,15,0))</f>
        <v>0</v>
      </c>
      <c r="W592" s="4">
        <f>IF(ISERROR(VLOOKUP($T$592,'TAR FIN'!$A$1:$O$113,15,0)),0,VLOOKUP($T$592,'TAR FIN'!$A$1:$O$113,15,0))</f>
        <v>184.7</v>
      </c>
      <c r="X592" s="4">
        <f>IF(ISERROR(VLOOKUP($U$592,'TAR FIN'!$A$1:$O$113,15,0)),0,VLOOKUP($U$592,'TAR FIN'!$A$1:$O$113,15,0))</f>
        <v>140.54</v>
      </c>
      <c r="Y592" s="4"/>
      <c r="Z592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92" s="4">
        <f>('TE BE'!$AA$21+'TE BF'!$AA$21+'TE CVA'!$AA$21)*(1-CUSTOS!$M$35)</f>
        <v>140.80759667545161</v>
      </c>
      <c r="AB592" s="4">
        <f t="shared" si="30"/>
        <v>0</v>
      </c>
      <c r="AC592" s="4">
        <f>(L592-M592)*(W592+X592)+($W$630+$X$630-$W$592-$X$592)*(L592)</f>
        <v>-151.78799999999995</v>
      </c>
      <c r="AD592" s="4">
        <f t="shared" si="31"/>
        <v>0</v>
      </c>
      <c r="AE592" s="4">
        <f ca="1">(L592-M592)*(Z592+AA592)+($Z$630+$AA$630-$Z$592-$AA$592)*(L592)</f>
        <v>-165.57413201896057</v>
      </c>
      <c r="AF592" s="3" t="s">
        <v>1028</v>
      </c>
    </row>
    <row r="593" spans="1:32" ht="11.25" customHeight="1" x14ac:dyDescent="0.25">
      <c r="A593" s="3" t="s">
        <v>56</v>
      </c>
      <c r="B593" s="3" t="s">
        <v>22</v>
      </c>
      <c r="C593" s="3" t="s">
        <v>23</v>
      </c>
      <c r="D593" s="3" t="s">
        <v>24</v>
      </c>
      <c r="E593" s="3" t="s">
        <v>30</v>
      </c>
      <c r="F593" s="3" t="s">
        <v>25</v>
      </c>
      <c r="G593" s="3" t="s">
        <v>25</v>
      </c>
      <c r="H593" s="3" t="s">
        <v>25</v>
      </c>
      <c r="I593" s="6">
        <v>44621</v>
      </c>
      <c r="J593" s="4">
        <v>0</v>
      </c>
      <c r="K593" s="4">
        <v>0</v>
      </c>
      <c r="L593" s="4">
        <v>3.7210000000000001</v>
      </c>
      <c r="M593" s="4">
        <v>3.7210000000000001</v>
      </c>
      <c r="N593" s="4">
        <v>3.7210000000000001</v>
      </c>
      <c r="O593" s="4">
        <v>3.7210000000000001</v>
      </c>
      <c r="P593" s="4">
        <v>10</v>
      </c>
      <c r="Q593" s="3" t="s">
        <v>26</v>
      </c>
      <c r="R593" s="3">
        <v>0</v>
      </c>
      <c r="S593" s="3">
        <v>0</v>
      </c>
      <c r="T593" s="3">
        <v>27</v>
      </c>
      <c r="U593" s="3">
        <v>100</v>
      </c>
      <c r="V593" s="4">
        <f>IF(ISERROR(VLOOKUP($S$593,'TAR FIN'!$A$1:$O$113,15,0)),0,VLOOKUP($S$593,'TAR FIN'!$A$1:$O$113,15,0))</f>
        <v>0</v>
      </c>
      <c r="W593" s="4">
        <f>IF(ISERROR(VLOOKUP($T$593,'TAR FIN'!$A$1:$O$113,15,0)),0,VLOOKUP($T$593,'TAR FIN'!$A$1:$O$113,15,0))</f>
        <v>184.7</v>
      </c>
      <c r="X593" s="4">
        <f>IF(ISERROR(VLOOKUP($U$593,'TAR FIN'!$A$1:$O$113,15,0)),0,VLOOKUP($U$593,'TAR FIN'!$A$1:$O$113,15,0))</f>
        <v>140.54</v>
      </c>
      <c r="Y593" s="4"/>
      <c r="Z593" s="4">
        <f ca="1">('TUSD BE'!$AM$42+'TUSD BF'!$AM$42+'TUSD CVA'!$AM$42-('TUSD BE'!$P$42+'TUSD BF'!$P$42+'TUSD CVA'!$P$42)-('TUSD BE'!$Q$42+'TUSD BF'!$Q$42+'TUSD CVA'!$Q$42)-('TUSD BE'!$R$42+'TUSD BF'!$R$42+'TUSD CVA'!$R$42))*(1-CUSTOS!$M$35)</f>
        <v>213.99411479374962</v>
      </c>
      <c r="AA593" s="4">
        <f>('TE BE'!$AA$21+'TE BF'!$AA$21+'TE CVA'!$AA$21)*(1-CUSTOS!$M$35)</f>
        <v>140.80759667545161</v>
      </c>
      <c r="AB593" s="4">
        <f t="shared" si="30"/>
        <v>0</v>
      </c>
      <c r="AC593" s="4">
        <f>(L593-M593)*(W593+X593)+($W$630+$X$630-$W$593-$X$593)*(L593)</f>
        <v>806.86163999999985</v>
      </c>
      <c r="AD593" s="4">
        <f t="shared" si="31"/>
        <v>0</v>
      </c>
      <c r="AE593" s="4">
        <f ca="1">(L593-M593)*(Z593+AA593)+($Z$630+$AA$630-$Z$593-$AA$593)*(L593)</f>
        <v>880.14477891793194</v>
      </c>
      <c r="AF593" s="3" t="s">
        <v>1028</v>
      </c>
    </row>
    <row r="594" spans="1:32" ht="11.25" customHeight="1" x14ac:dyDescent="0.25">
      <c r="A594" s="3" t="s">
        <v>21</v>
      </c>
      <c r="B594" s="3" t="s">
        <v>22</v>
      </c>
      <c r="C594" s="3" t="s">
        <v>23</v>
      </c>
      <c r="D594" s="3" t="s">
        <v>24</v>
      </c>
      <c r="E594" s="3" t="s">
        <v>31</v>
      </c>
      <c r="F594" s="3" t="s">
        <v>25</v>
      </c>
      <c r="G594" s="3" t="s">
        <v>25</v>
      </c>
      <c r="H594" s="3" t="s">
        <v>25</v>
      </c>
      <c r="I594" s="6">
        <v>44287</v>
      </c>
      <c r="J594" s="4">
        <v>0</v>
      </c>
      <c r="K594" s="4">
        <v>0</v>
      </c>
      <c r="L594" s="4">
        <v>6124.4390000000003</v>
      </c>
      <c r="M594" s="4">
        <v>6124.4390000000003</v>
      </c>
      <c r="N594" s="4">
        <v>6124.4390000000003</v>
      </c>
      <c r="O594" s="4">
        <v>6124.4390000000003</v>
      </c>
      <c r="P594" s="4">
        <v>92729</v>
      </c>
      <c r="Q594" s="3" t="s">
        <v>26</v>
      </c>
      <c r="R594" s="3">
        <v>0</v>
      </c>
      <c r="S594" s="3">
        <v>0</v>
      </c>
      <c r="T594" s="3">
        <v>28</v>
      </c>
      <c r="U594" s="3">
        <v>101</v>
      </c>
      <c r="V594" s="4">
        <f>IF(ISERROR(VLOOKUP($S$594,'TAR FIN'!$A$1:$O$113,15,0)),0,VLOOKUP($S$594,'TAR FIN'!$A$1:$O$113,15,0))</f>
        <v>0</v>
      </c>
      <c r="W594" s="4">
        <f>IF(ISERROR(VLOOKUP($T$594,'TAR FIN'!$A$1:$O$113,15,0)),0,VLOOKUP($T$594,'TAR FIN'!$A$1:$O$113,15,0))</f>
        <v>277.05</v>
      </c>
      <c r="X594" s="4">
        <f>IF(ISERROR(VLOOKUP($U$594,'TAR FIN'!$A$1:$O$113,15,0)),0,VLOOKUP($U$594,'TAR FIN'!$A$1:$O$113,15,0))</f>
        <v>210.82</v>
      </c>
      <c r="Y594" s="4"/>
      <c r="Z59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4" s="4">
        <f>('TE BE'!$AA$22+'TE BF'!$AA$22+'TE CVA'!$AA$22)*(1-CUSTOS!$M$36)</f>
        <v>211.21139501317745</v>
      </c>
      <c r="AB594" s="4">
        <f t="shared" si="30"/>
        <v>0</v>
      </c>
      <c r="AC594" s="4">
        <f>(L594-M594)*(W594+X594)+($W$630+$X$630-$W$594-$X$594)*(L594)</f>
        <v>332005.83818999951</v>
      </c>
      <c r="AD594" s="4">
        <f t="shared" si="31"/>
        <v>0</v>
      </c>
      <c r="AE594" s="4">
        <f ca="1">(L594-M594)*(Z594+AA594)+($Z$630+$AA$630-$Z$594-$AA$594)*(L594)</f>
        <v>362160.2398314536</v>
      </c>
      <c r="AF594" s="3" t="s">
        <v>1028</v>
      </c>
    </row>
    <row r="595" spans="1:32" ht="11.25" customHeight="1" x14ac:dyDescent="0.25">
      <c r="A595" s="3" t="s">
        <v>27</v>
      </c>
      <c r="B595" s="3" t="s">
        <v>22</v>
      </c>
      <c r="C595" s="3" t="s">
        <v>23</v>
      </c>
      <c r="D595" s="3" t="s">
        <v>24</v>
      </c>
      <c r="E595" s="3" t="s">
        <v>31</v>
      </c>
      <c r="F595" s="3" t="s">
        <v>25</v>
      </c>
      <c r="G595" s="3" t="s">
        <v>25</v>
      </c>
      <c r="H595" s="3" t="s">
        <v>25</v>
      </c>
      <c r="I595" s="6">
        <v>44287</v>
      </c>
      <c r="J595" s="4">
        <v>0</v>
      </c>
      <c r="K595" s="4">
        <v>0</v>
      </c>
      <c r="L595" s="4">
        <v>-0.98899999999999999</v>
      </c>
      <c r="M595" s="4">
        <v>-0.98899999999999999</v>
      </c>
      <c r="N595" s="4">
        <v>-0.98899999999999999</v>
      </c>
      <c r="O595" s="4">
        <v>-0.98899999999999999</v>
      </c>
      <c r="P595" s="4">
        <v>-15</v>
      </c>
      <c r="Q595" s="3" t="s">
        <v>26</v>
      </c>
      <c r="R595" s="3">
        <v>0</v>
      </c>
      <c r="S595" s="3">
        <v>0</v>
      </c>
      <c r="T595" s="3">
        <v>28</v>
      </c>
      <c r="U595" s="3">
        <v>101</v>
      </c>
      <c r="V595" s="4">
        <f>IF(ISERROR(VLOOKUP($S$595,'TAR FIN'!$A$1:$O$113,15,0)),0,VLOOKUP($S$595,'TAR FIN'!$A$1:$O$113,15,0))</f>
        <v>0</v>
      </c>
      <c r="W595" s="4">
        <f>IF(ISERROR(VLOOKUP($T$595,'TAR FIN'!$A$1:$O$113,15,0)),0,VLOOKUP($T$595,'TAR FIN'!$A$1:$O$113,15,0))</f>
        <v>277.05</v>
      </c>
      <c r="X595" s="4">
        <f>IF(ISERROR(VLOOKUP($U$595,'TAR FIN'!$A$1:$O$113,15,0)),0,VLOOKUP($U$595,'TAR FIN'!$A$1:$O$113,15,0))</f>
        <v>210.82</v>
      </c>
      <c r="Y595" s="4"/>
      <c r="Z59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5" s="4">
        <f>('TE BE'!$AA$22+'TE BF'!$AA$22+'TE CVA'!$AA$22)*(1-CUSTOS!$M$36)</f>
        <v>211.21139501317745</v>
      </c>
      <c r="AB595" s="4">
        <f t="shared" si="30"/>
        <v>0</v>
      </c>
      <c r="AC595" s="4">
        <f>(L595-M595)*(W595+X595)+($W$630+$X$630-$W$595-$X$595)*(L595)</f>
        <v>-53.61368999999992</v>
      </c>
      <c r="AD595" s="4">
        <f t="shared" si="31"/>
        <v>0</v>
      </c>
      <c r="AE595" s="4">
        <f ca="1">(L595-M595)*(Z595+AA595)+($Z$630+$AA$630-$Z$595-$AA$595)*(L595)</f>
        <v>-58.483148773839957</v>
      </c>
      <c r="AF595" s="3" t="s">
        <v>1028</v>
      </c>
    </row>
    <row r="596" spans="1:32" ht="11.25" customHeight="1" x14ac:dyDescent="0.25">
      <c r="A596" s="3" t="s">
        <v>28</v>
      </c>
      <c r="B596" s="3" t="s">
        <v>22</v>
      </c>
      <c r="C596" s="3" t="s">
        <v>23</v>
      </c>
      <c r="D596" s="3" t="s">
        <v>24</v>
      </c>
      <c r="E596" s="3" t="s">
        <v>31</v>
      </c>
      <c r="F596" s="3" t="s">
        <v>25</v>
      </c>
      <c r="G596" s="3" t="s">
        <v>25</v>
      </c>
      <c r="H596" s="3" t="s">
        <v>25</v>
      </c>
      <c r="I596" s="6">
        <v>44287</v>
      </c>
      <c r="J596" s="4">
        <v>0</v>
      </c>
      <c r="K596" s="4">
        <v>0</v>
      </c>
      <c r="L596" s="4">
        <v>0.89400000000000002</v>
      </c>
      <c r="M596" s="4">
        <v>0.89400000000000002</v>
      </c>
      <c r="N596" s="4">
        <v>0.89400000000000002</v>
      </c>
      <c r="O596" s="4">
        <v>0.89400000000000002</v>
      </c>
      <c r="P596" s="4">
        <v>9</v>
      </c>
      <c r="Q596" s="3" t="s">
        <v>26</v>
      </c>
      <c r="R596" s="3">
        <v>0</v>
      </c>
      <c r="S596" s="3">
        <v>0</v>
      </c>
      <c r="T596" s="3">
        <v>28</v>
      </c>
      <c r="U596" s="3">
        <v>101</v>
      </c>
      <c r="V596" s="4">
        <f>IF(ISERROR(VLOOKUP($S$596,'TAR FIN'!$A$1:$O$113,15,0)),0,VLOOKUP($S$596,'TAR FIN'!$A$1:$O$113,15,0))</f>
        <v>0</v>
      </c>
      <c r="W596" s="4">
        <f>IF(ISERROR(VLOOKUP($T$596,'TAR FIN'!$A$1:$O$113,15,0)),0,VLOOKUP($T$596,'TAR FIN'!$A$1:$O$113,15,0))</f>
        <v>277.05</v>
      </c>
      <c r="X596" s="4">
        <f>IF(ISERROR(VLOOKUP($U$596,'TAR FIN'!$A$1:$O$113,15,0)),0,VLOOKUP($U$596,'TAR FIN'!$A$1:$O$113,15,0))</f>
        <v>210.82</v>
      </c>
      <c r="Y596" s="4"/>
      <c r="Z59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6" s="4">
        <f>('TE BE'!$AA$22+'TE BF'!$AA$22+'TE CVA'!$AA$22)*(1-CUSTOS!$M$36)</f>
        <v>211.21139501317745</v>
      </c>
      <c r="AB596" s="4">
        <f t="shared" si="30"/>
        <v>0</v>
      </c>
      <c r="AC596" s="4">
        <f>(L596-M596)*(W596+X596)+($W$630+$X$630-$W$596-$X$596)*(L596)</f>
        <v>48.46373999999993</v>
      </c>
      <c r="AD596" s="4">
        <f t="shared" si="31"/>
        <v>0</v>
      </c>
      <c r="AE596" s="4">
        <f ca="1">(L596-M596)*(Z596+AA596)+($Z$630+$AA$630-$Z$596-$AA$596)*(L596)</f>
        <v>52.865455008910942</v>
      </c>
      <c r="AF596" s="3" t="s">
        <v>1028</v>
      </c>
    </row>
    <row r="597" spans="1:32" ht="11.25" customHeight="1" x14ac:dyDescent="0.25">
      <c r="A597" s="3" t="s">
        <v>21</v>
      </c>
      <c r="B597" s="3" t="s">
        <v>22</v>
      </c>
      <c r="C597" s="3" t="s">
        <v>23</v>
      </c>
      <c r="D597" s="3" t="s">
        <v>24</v>
      </c>
      <c r="E597" s="3" t="s">
        <v>31</v>
      </c>
      <c r="F597" s="3" t="s">
        <v>25</v>
      </c>
      <c r="G597" s="3" t="s">
        <v>25</v>
      </c>
      <c r="H597" s="3" t="s">
        <v>25</v>
      </c>
      <c r="I597" s="6">
        <v>44317</v>
      </c>
      <c r="J597" s="4">
        <v>0</v>
      </c>
      <c r="K597" s="4">
        <v>0</v>
      </c>
      <c r="L597" s="4">
        <v>4778.491</v>
      </c>
      <c r="M597" s="4">
        <v>4778.491</v>
      </c>
      <c r="N597" s="4">
        <v>4778.491</v>
      </c>
      <c r="O597" s="4">
        <v>4778.491</v>
      </c>
      <c r="P597" s="4">
        <v>80621</v>
      </c>
      <c r="Q597" s="3" t="s">
        <v>26</v>
      </c>
      <c r="R597" s="3">
        <v>0</v>
      </c>
      <c r="S597" s="3">
        <v>0</v>
      </c>
      <c r="T597" s="3">
        <v>28</v>
      </c>
      <c r="U597" s="3">
        <v>101</v>
      </c>
      <c r="V597" s="4">
        <f>IF(ISERROR(VLOOKUP($S$597,'TAR FIN'!$A$1:$O$113,15,0)),0,VLOOKUP($S$597,'TAR FIN'!$A$1:$O$113,15,0))</f>
        <v>0</v>
      </c>
      <c r="W597" s="4">
        <f>IF(ISERROR(VLOOKUP($T$597,'TAR FIN'!$A$1:$O$113,15,0)),0,VLOOKUP($T$597,'TAR FIN'!$A$1:$O$113,15,0))</f>
        <v>277.05</v>
      </c>
      <c r="X597" s="4">
        <f>IF(ISERROR(VLOOKUP($U$597,'TAR FIN'!$A$1:$O$113,15,0)),0,VLOOKUP($U$597,'TAR FIN'!$A$1:$O$113,15,0))</f>
        <v>210.82</v>
      </c>
      <c r="Y597" s="4"/>
      <c r="Z59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7" s="4">
        <f>('TE BE'!$AA$22+'TE BF'!$AA$22+'TE CVA'!$AA$22)*(1-CUSTOS!$M$36)</f>
        <v>211.21139501317745</v>
      </c>
      <c r="AB597" s="4">
        <f t="shared" si="30"/>
        <v>0</v>
      </c>
      <c r="AC597" s="4">
        <f>(L597-M597)*(W597+X597)+($W$630+$X$630-$W$597-$X$597)*(L597)</f>
        <v>259041.99710999962</v>
      </c>
      <c r="AD597" s="4">
        <f t="shared" si="31"/>
        <v>0</v>
      </c>
      <c r="AE597" s="4">
        <f ca="1">(L597-M597)*(Z597+AA597)+($Z$630+$AA$630-$Z$597-$AA$597)*(L597)</f>
        <v>282569.46417336224</v>
      </c>
      <c r="AF597" s="3" t="s">
        <v>1028</v>
      </c>
    </row>
    <row r="598" spans="1:32" ht="11.25" customHeight="1" x14ac:dyDescent="0.25">
      <c r="A598" s="3" t="s">
        <v>27</v>
      </c>
      <c r="B598" s="3" t="s">
        <v>22</v>
      </c>
      <c r="C598" s="3" t="s">
        <v>23</v>
      </c>
      <c r="D598" s="3" t="s">
        <v>24</v>
      </c>
      <c r="E598" s="3" t="s">
        <v>31</v>
      </c>
      <c r="F598" s="3" t="s">
        <v>25</v>
      </c>
      <c r="G598" s="3" t="s">
        <v>25</v>
      </c>
      <c r="H598" s="3" t="s">
        <v>25</v>
      </c>
      <c r="I598" s="6">
        <v>44317</v>
      </c>
      <c r="J598" s="4">
        <v>0</v>
      </c>
      <c r="K598" s="4">
        <v>0</v>
      </c>
      <c r="L598" s="4">
        <v>-0.498</v>
      </c>
      <c r="M598" s="4">
        <v>-0.498</v>
      </c>
      <c r="N598" s="4">
        <v>-0.498</v>
      </c>
      <c r="O598" s="4">
        <v>-0.498</v>
      </c>
      <c r="P598" s="4">
        <v>-8</v>
      </c>
      <c r="Q598" s="3" t="s">
        <v>26</v>
      </c>
      <c r="R598" s="3">
        <v>0</v>
      </c>
      <c r="S598" s="3">
        <v>0</v>
      </c>
      <c r="T598" s="3">
        <v>28</v>
      </c>
      <c r="U598" s="3">
        <v>101</v>
      </c>
      <c r="V598" s="4">
        <f>IF(ISERROR(VLOOKUP($S$598,'TAR FIN'!$A$1:$O$113,15,0)),0,VLOOKUP($S$598,'TAR FIN'!$A$1:$O$113,15,0))</f>
        <v>0</v>
      </c>
      <c r="W598" s="4">
        <f>IF(ISERROR(VLOOKUP($T$598,'TAR FIN'!$A$1:$O$113,15,0)),0,VLOOKUP($T$598,'TAR FIN'!$A$1:$O$113,15,0))</f>
        <v>277.05</v>
      </c>
      <c r="X598" s="4">
        <f>IF(ISERROR(VLOOKUP($U$598,'TAR FIN'!$A$1:$O$113,15,0)),0,VLOOKUP($U$598,'TAR FIN'!$A$1:$O$113,15,0))</f>
        <v>210.82</v>
      </c>
      <c r="Y598" s="4"/>
      <c r="Z59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8" s="4">
        <f>('TE BE'!$AA$22+'TE BF'!$AA$22+'TE CVA'!$AA$22)*(1-CUSTOS!$M$36)</f>
        <v>211.21139501317745</v>
      </c>
      <c r="AB598" s="4">
        <f t="shared" si="30"/>
        <v>0</v>
      </c>
      <c r="AC598" s="4">
        <f>(L598-M598)*(W598+X598)+($W$630+$X$630-$W$598-$X$598)*(L598)</f>
        <v>-26.996579999999962</v>
      </c>
      <c r="AD598" s="4">
        <f t="shared" si="31"/>
        <v>0</v>
      </c>
      <c r="AE598" s="4">
        <f ca="1">(L598-M598)*(Z598+AA598)+($Z$630+$AA$630-$Z$598-$AA$598)*(L598)</f>
        <v>-29.448542051943679</v>
      </c>
      <c r="AF598" s="3" t="s">
        <v>1028</v>
      </c>
    </row>
    <row r="599" spans="1:32" ht="11.25" customHeight="1" x14ac:dyDescent="0.25">
      <c r="A599" s="3" t="s">
        <v>28</v>
      </c>
      <c r="B599" s="3" t="s">
        <v>22</v>
      </c>
      <c r="C599" s="3" t="s">
        <v>23</v>
      </c>
      <c r="D599" s="3" t="s">
        <v>24</v>
      </c>
      <c r="E599" s="3" t="s">
        <v>31</v>
      </c>
      <c r="F599" s="3" t="s">
        <v>25</v>
      </c>
      <c r="G599" s="3" t="s">
        <v>25</v>
      </c>
      <c r="H599" s="3" t="s">
        <v>25</v>
      </c>
      <c r="I599" s="6">
        <v>44317</v>
      </c>
      <c r="J599" s="4">
        <v>0</v>
      </c>
      <c r="K599" s="4">
        <v>0</v>
      </c>
      <c r="L599" s="4">
        <v>1.2569999999999999</v>
      </c>
      <c r="M599" s="4">
        <v>1.2569999999999999</v>
      </c>
      <c r="N599" s="4">
        <v>1.2569999999999999</v>
      </c>
      <c r="O599" s="4">
        <v>1.2569999999999999</v>
      </c>
      <c r="P599" s="4">
        <v>14</v>
      </c>
      <c r="Q599" s="3" t="s">
        <v>26</v>
      </c>
      <c r="R599" s="3">
        <v>0</v>
      </c>
      <c r="S599" s="3">
        <v>0</v>
      </c>
      <c r="T599" s="3">
        <v>28</v>
      </c>
      <c r="U599" s="3">
        <v>101</v>
      </c>
      <c r="V599" s="4">
        <f>IF(ISERROR(VLOOKUP($S$599,'TAR FIN'!$A$1:$O$113,15,0)),0,VLOOKUP($S$599,'TAR FIN'!$A$1:$O$113,15,0))</f>
        <v>0</v>
      </c>
      <c r="W599" s="4">
        <f>IF(ISERROR(VLOOKUP($T$599,'TAR FIN'!$A$1:$O$113,15,0)),0,VLOOKUP($T$599,'TAR FIN'!$A$1:$O$113,15,0))</f>
        <v>277.05</v>
      </c>
      <c r="X599" s="4">
        <f>IF(ISERROR(VLOOKUP($U$599,'TAR FIN'!$A$1:$O$113,15,0)),0,VLOOKUP($U$599,'TAR FIN'!$A$1:$O$113,15,0))</f>
        <v>210.82</v>
      </c>
      <c r="Y599" s="4"/>
      <c r="Z59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599" s="4">
        <f>('TE BE'!$AA$22+'TE BF'!$AA$22+'TE CVA'!$AA$22)*(1-CUSTOS!$M$36)</f>
        <v>211.21139501317745</v>
      </c>
      <c r="AB599" s="4">
        <f t="shared" si="30"/>
        <v>0</v>
      </c>
      <c r="AC599" s="4">
        <f>(L599-M599)*(W599+X599)+($W$630+$X$630-$W$599-$X$599)*(L599)</f>
        <v>68.141969999999901</v>
      </c>
      <c r="AD599" s="4">
        <f t="shared" si="31"/>
        <v>0</v>
      </c>
      <c r="AE599" s="4">
        <f ca="1">(L599-M599)*(Z599+AA599)+($Z$630+$AA$630-$Z$599-$AA$599)*(L599)</f>
        <v>74.330958552797597</v>
      </c>
      <c r="AF599" s="3" t="s">
        <v>1028</v>
      </c>
    </row>
    <row r="600" spans="1:32" ht="11.25" customHeight="1" x14ac:dyDescent="0.25">
      <c r="A600" s="3" t="s">
        <v>21</v>
      </c>
      <c r="B600" s="3" t="s">
        <v>22</v>
      </c>
      <c r="C600" s="3" t="s">
        <v>23</v>
      </c>
      <c r="D600" s="3" t="s">
        <v>24</v>
      </c>
      <c r="E600" s="3" t="s">
        <v>31</v>
      </c>
      <c r="F600" s="3" t="s">
        <v>25</v>
      </c>
      <c r="G600" s="3" t="s">
        <v>25</v>
      </c>
      <c r="H600" s="3" t="s">
        <v>25</v>
      </c>
      <c r="I600" s="6">
        <v>44348</v>
      </c>
      <c r="J600" s="4">
        <v>0</v>
      </c>
      <c r="K600" s="4">
        <v>0</v>
      </c>
      <c r="L600" s="4">
        <v>4336.3</v>
      </c>
      <c r="M600" s="4">
        <v>4336.3</v>
      </c>
      <c r="N600" s="4">
        <v>4336.3</v>
      </c>
      <c r="O600" s="4">
        <v>4336.3</v>
      </c>
      <c r="P600" s="4">
        <v>76065</v>
      </c>
      <c r="Q600" s="3" t="s">
        <v>26</v>
      </c>
      <c r="R600" s="3">
        <v>0</v>
      </c>
      <c r="S600" s="3">
        <v>0</v>
      </c>
      <c r="T600" s="3">
        <v>28</v>
      </c>
      <c r="U600" s="3">
        <v>101</v>
      </c>
      <c r="V600" s="4">
        <f>IF(ISERROR(VLOOKUP($S$600,'TAR FIN'!$A$1:$O$113,15,0)),0,VLOOKUP($S$600,'TAR FIN'!$A$1:$O$113,15,0))</f>
        <v>0</v>
      </c>
      <c r="W600" s="4">
        <f>IF(ISERROR(VLOOKUP($T$600,'TAR FIN'!$A$1:$O$113,15,0)),0,VLOOKUP($T$600,'TAR FIN'!$A$1:$O$113,15,0))</f>
        <v>277.05</v>
      </c>
      <c r="X600" s="4">
        <f>IF(ISERROR(VLOOKUP($U$600,'TAR FIN'!$A$1:$O$113,15,0)),0,VLOOKUP($U$600,'TAR FIN'!$A$1:$O$113,15,0))</f>
        <v>210.82</v>
      </c>
      <c r="Y600" s="4"/>
      <c r="Z60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0" s="4">
        <f>('TE BE'!$AA$22+'TE BF'!$AA$22+'TE CVA'!$AA$22)*(1-CUSTOS!$M$36)</f>
        <v>211.21139501317745</v>
      </c>
      <c r="AB600" s="4">
        <f t="shared" si="30"/>
        <v>0</v>
      </c>
      <c r="AC600" s="4">
        <f>(L600-M600)*(W600+X600)+($W$630+$X$630-$W$600-$X$600)*(L600)</f>
        <v>235070.82299999968</v>
      </c>
      <c r="AD600" s="4">
        <f t="shared" si="31"/>
        <v>0</v>
      </c>
      <c r="AE600" s="4">
        <f ca="1">(L600-M600)*(Z600+AA600)+($Z$630+$AA$630-$Z$600-$AA$600)*(L600)</f>
        <v>256421.11024064934</v>
      </c>
      <c r="AF600" s="3" t="s">
        <v>1028</v>
      </c>
    </row>
    <row r="601" spans="1:32" ht="11.25" customHeight="1" x14ac:dyDescent="0.25">
      <c r="A601" s="3" t="s">
        <v>27</v>
      </c>
      <c r="B601" s="3" t="s">
        <v>22</v>
      </c>
      <c r="C601" s="3" t="s">
        <v>23</v>
      </c>
      <c r="D601" s="3" t="s">
        <v>24</v>
      </c>
      <c r="E601" s="3" t="s">
        <v>31</v>
      </c>
      <c r="F601" s="3" t="s">
        <v>25</v>
      </c>
      <c r="G601" s="3" t="s">
        <v>25</v>
      </c>
      <c r="H601" s="3" t="s">
        <v>25</v>
      </c>
      <c r="I601" s="6">
        <v>44348</v>
      </c>
      <c r="J601" s="4">
        <v>0</v>
      </c>
      <c r="K601" s="4">
        <v>0</v>
      </c>
      <c r="L601" s="4">
        <v>-13.119</v>
      </c>
      <c r="M601" s="4">
        <v>-13.119</v>
      </c>
      <c r="N601" s="4">
        <v>-13.119</v>
      </c>
      <c r="O601" s="4">
        <v>-13.119</v>
      </c>
      <c r="P601" s="4">
        <v>-17</v>
      </c>
      <c r="Q601" s="3" t="s">
        <v>26</v>
      </c>
      <c r="R601" s="3">
        <v>0</v>
      </c>
      <c r="S601" s="3">
        <v>0</v>
      </c>
      <c r="T601" s="3">
        <v>28</v>
      </c>
      <c r="U601" s="3">
        <v>101</v>
      </c>
      <c r="V601" s="4">
        <f>IF(ISERROR(VLOOKUP($S$601,'TAR FIN'!$A$1:$O$113,15,0)),0,VLOOKUP($S$601,'TAR FIN'!$A$1:$O$113,15,0))</f>
        <v>0</v>
      </c>
      <c r="W601" s="4">
        <f>IF(ISERROR(VLOOKUP($T$601,'TAR FIN'!$A$1:$O$113,15,0)),0,VLOOKUP($T$601,'TAR FIN'!$A$1:$O$113,15,0))</f>
        <v>277.05</v>
      </c>
      <c r="X601" s="4">
        <f>IF(ISERROR(VLOOKUP($U$601,'TAR FIN'!$A$1:$O$113,15,0)),0,VLOOKUP($U$601,'TAR FIN'!$A$1:$O$113,15,0))</f>
        <v>210.82</v>
      </c>
      <c r="Y601" s="4"/>
      <c r="Z60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1" s="4">
        <f>('TE BE'!$AA$22+'TE BF'!$AA$22+'TE CVA'!$AA$22)*(1-CUSTOS!$M$36)</f>
        <v>211.21139501317745</v>
      </c>
      <c r="AB601" s="4">
        <f t="shared" si="30"/>
        <v>0</v>
      </c>
      <c r="AC601" s="4">
        <f>(L601-M601)*(W601+X601)+($W$630+$X$630-$W$601-$X$601)*(L601)</f>
        <v>-711.18098999999893</v>
      </c>
      <c r="AD601" s="4">
        <f t="shared" si="31"/>
        <v>0</v>
      </c>
      <c r="AE601" s="4">
        <f ca="1">(L601-M601)*(Z601+AA601)+($Z$630+$AA$630-$Z$601-$AA$601)*(L601)</f>
        <v>-775.77394212740785</v>
      </c>
      <c r="AF601" s="3" t="s">
        <v>1028</v>
      </c>
    </row>
    <row r="602" spans="1:32" ht="11.25" customHeight="1" x14ac:dyDescent="0.25">
      <c r="A602" s="3" t="s">
        <v>28</v>
      </c>
      <c r="B602" s="3" t="s">
        <v>22</v>
      </c>
      <c r="C602" s="3" t="s">
        <v>23</v>
      </c>
      <c r="D602" s="3" t="s">
        <v>24</v>
      </c>
      <c r="E602" s="3" t="s">
        <v>31</v>
      </c>
      <c r="F602" s="3" t="s">
        <v>25</v>
      </c>
      <c r="G602" s="3" t="s">
        <v>25</v>
      </c>
      <c r="H602" s="3" t="s">
        <v>25</v>
      </c>
      <c r="I602" s="6">
        <v>44348</v>
      </c>
      <c r="J602" s="4">
        <v>0</v>
      </c>
      <c r="K602" s="4">
        <v>0</v>
      </c>
      <c r="L602" s="4">
        <v>1.196</v>
      </c>
      <c r="M602" s="4">
        <v>1.196</v>
      </c>
      <c r="N602" s="4">
        <v>1.196</v>
      </c>
      <c r="O602" s="4">
        <v>1.196</v>
      </c>
      <c r="P602" s="4">
        <v>21</v>
      </c>
      <c r="Q602" s="3" t="s">
        <v>26</v>
      </c>
      <c r="R602" s="3">
        <v>0</v>
      </c>
      <c r="S602" s="3">
        <v>0</v>
      </c>
      <c r="T602" s="3">
        <v>28</v>
      </c>
      <c r="U602" s="3">
        <v>101</v>
      </c>
      <c r="V602" s="4">
        <f>IF(ISERROR(VLOOKUP($S$602,'TAR FIN'!$A$1:$O$113,15,0)),0,VLOOKUP($S$602,'TAR FIN'!$A$1:$O$113,15,0))</f>
        <v>0</v>
      </c>
      <c r="W602" s="4">
        <f>IF(ISERROR(VLOOKUP($T$602,'TAR FIN'!$A$1:$O$113,15,0)),0,VLOOKUP($T$602,'TAR FIN'!$A$1:$O$113,15,0))</f>
        <v>277.05</v>
      </c>
      <c r="X602" s="4">
        <f>IF(ISERROR(VLOOKUP($U$602,'TAR FIN'!$A$1:$O$113,15,0)),0,VLOOKUP($U$602,'TAR FIN'!$A$1:$O$113,15,0))</f>
        <v>210.82</v>
      </c>
      <c r="Y602" s="4"/>
      <c r="Z60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2" s="4">
        <f>('TE BE'!$AA$22+'TE BF'!$AA$22+'TE CVA'!$AA$22)*(1-CUSTOS!$M$36)</f>
        <v>211.21139501317745</v>
      </c>
      <c r="AB602" s="4">
        <f t="shared" si="30"/>
        <v>0</v>
      </c>
      <c r="AC602" s="4">
        <f>(L602-M602)*(W602+X602)+($W$630+$X$630-$W$602-$X$602)*(L602)</f>
        <v>64.835159999999902</v>
      </c>
      <c r="AD602" s="4">
        <f t="shared" si="31"/>
        <v>0</v>
      </c>
      <c r="AE602" s="4">
        <f ca="1">(L602-M602)*(Z602+AA602)+($Z$630+$AA$630-$Z$602-$AA$602)*(L602)</f>
        <v>70.72380781952738</v>
      </c>
      <c r="AF602" s="3" t="s">
        <v>1028</v>
      </c>
    </row>
    <row r="603" spans="1:32" ht="11.25" customHeight="1" x14ac:dyDescent="0.25">
      <c r="A603" s="3" t="s">
        <v>21</v>
      </c>
      <c r="B603" s="3" t="s">
        <v>22</v>
      </c>
      <c r="C603" s="3" t="s">
        <v>23</v>
      </c>
      <c r="D603" s="3" t="s">
        <v>24</v>
      </c>
      <c r="E603" s="3" t="s">
        <v>31</v>
      </c>
      <c r="F603" s="3" t="s">
        <v>25</v>
      </c>
      <c r="G603" s="3" t="s">
        <v>25</v>
      </c>
      <c r="H603" s="3" t="s">
        <v>25</v>
      </c>
      <c r="I603" s="6">
        <v>44378</v>
      </c>
      <c r="J603" s="4">
        <v>0</v>
      </c>
      <c r="K603" s="4">
        <v>0</v>
      </c>
      <c r="L603" s="4">
        <v>4159.99</v>
      </c>
      <c r="M603" s="4">
        <v>4159.99</v>
      </c>
      <c r="N603" s="4">
        <v>4159.99</v>
      </c>
      <c r="O603" s="4">
        <v>4159.99</v>
      </c>
      <c r="P603" s="4">
        <v>75018</v>
      </c>
      <c r="Q603" s="3" t="s">
        <v>26</v>
      </c>
      <c r="R603" s="3">
        <v>0</v>
      </c>
      <c r="S603" s="3">
        <v>0</v>
      </c>
      <c r="T603" s="3">
        <v>28</v>
      </c>
      <c r="U603" s="3">
        <v>101</v>
      </c>
      <c r="V603" s="4">
        <f>IF(ISERROR(VLOOKUP($S$603,'TAR FIN'!$A$1:$O$113,15,0)),0,VLOOKUP($S$603,'TAR FIN'!$A$1:$O$113,15,0))</f>
        <v>0</v>
      </c>
      <c r="W603" s="4">
        <f>IF(ISERROR(VLOOKUP($T$603,'TAR FIN'!$A$1:$O$113,15,0)),0,VLOOKUP($T$603,'TAR FIN'!$A$1:$O$113,15,0))</f>
        <v>277.05</v>
      </c>
      <c r="X603" s="4">
        <f>IF(ISERROR(VLOOKUP($U$603,'TAR FIN'!$A$1:$O$113,15,0)),0,VLOOKUP($U$603,'TAR FIN'!$A$1:$O$113,15,0))</f>
        <v>210.82</v>
      </c>
      <c r="Y603" s="4"/>
      <c r="Z60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3" s="4">
        <f>('TE BE'!$AA$22+'TE BF'!$AA$22+'TE CVA'!$AA$22)*(1-CUSTOS!$M$36)</f>
        <v>211.21139501317745</v>
      </c>
      <c r="AB603" s="4">
        <f t="shared" si="30"/>
        <v>0</v>
      </c>
      <c r="AC603" s="4">
        <f>(L603-M603)*(W603+X603)+($W$630+$X$630-$W$603-$X$603)*(L603)</f>
        <v>225513.05789999967</v>
      </c>
      <c r="AD603" s="4">
        <f t="shared" si="31"/>
        <v>0</v>
      </c>
      <c r="AE603" s="4">
        <f ca="1">(L603-M603)*(Z603+AA603)+($Z$630+$AA$630-$Z$603-$AA$603)*(L603)</f>
        <v>245995.26194912684</v>
      </c>
      <c r="AF603" s="3" t="s">
        <v>1028</v>
      </c>
    </row>
    <row r="604" spans="1:32" ht="11.25" customHeight="1" x14ac:dyDescent="0.25">
      <c r="A604" s="3" t="s">
        <v>27</v>
      </c>
      <c r="B604" s="3" t="s">
        <v>22</v>
      </c>
      <c r="C604" s="3" t="s">
        <v>23</v>
      </c>
      <c r="D604" s="3" t="s">
        <v>24</v>
      </c>
      <c r="E604" s="3" t="s">
        <v>31</v>
      </c>
      <c r="F604" s="3" t="s">
        <v>25</v>
      </c>
      <c r="G604" s="3" t="s">
        <v>25</v>
      </c>
      <c r="H604" s="3" t="s">
        <v>25</v>
      </c>
      <c r="I604" s="6">
        <v>44378</v>
      </c>
      <c r="J604" s="4">
        <v>0</v>
      </c>
      <c r="K604" s="4">
        <v>0</v>
      </c>
      <c r="L604" s="4">
        <v>-2.1030000000000002</v>
      </c>
      <c r="M604" s="4">
        <v>-2.1030000000000002</v>
      </c>
      <c r="N604" s="4">
        <v>-2.1030000000000002</v>
      </c>
      <c r="O604" s="4">
        <v>-2.1030000000000002</v>
      </c>
      <c r="P604" s="4">
        <v>-3</v>
      </c>
      <c r="Q604" s="3" t="s">
        <v>26</v>
      </c>
      <c r="R604" s="3">
        <v>0</v>
      </c>
      <c r="S604" s="3">
        <v>0</v>
      </c>
      <c r="T604" s="3">
        <v>28</v>
      </c>
      <c r="U604" s="3">
        <v>101</v>
      </c>
      <c r="V604" s="4">
        <f>IF(ISERROR(VLOOKUP($S$604,'TAR FIN'!$A$1:$O$113,15,0)),0,VLOOKUP($S$604,'TAR FIN'!$A$1:$O$113,15,0))</f>
        <v>0</v>
      </c>
      <c r="W604" s="4">
        <f>IF(ISERROR(VLOOKUP($T$604,'TAR FIN'!$A$1:$O$113,15,0)),0,VLOOKUP($T$604,'TAR FIN'!$A$1:$O$113,15,0))</f>
        <v>277.05</v>
      </c>
      <c r="X604" s="4">
        <f>IF(ISERROR(VLOOKUP($U$604,'TAR FIN'!$A$1:$O$113,15,0)),0,VLOOKUP($U$604,'TAR FIN'!$A$1:$O$113,15,0))</f>
        <v>210.82</v>
      </c>
      <c r="Y604" s="4"/>
      <c r="Z60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4" s="4">
        <f>('TE BE'!$AA$22+'TE BF'!$AA$22+'TE CVA'!$AA$22)*(1-CUSTOS!$M$36)</f>
        <v>211.21139501317745</v>
      </c>
      <c r="AB604" s="4">
        <f t="shared" si="30"/>
        <v>0</v>
      </c>
      <c r="AC604" s="4">
        <f>(L604-M604)*(W604+X604)+($W$630+$X$630-$W$604-$X$604)*(L604)</f>
        <v>-114.00362999999984</v>
      </c>
      <c r="AD604" s="4">
        <f t="shared" si="31"/>
        <v>0</v>
      </c>
      <c r="AE604" s="4">
        <f ca="1">(L604-M604)*(Z604+AA604)+($Z$630+$AA$630-$Z$604-$AA$604)*(L604)</f>
        <v>-124.35799986995494</v>
      </c>
      <c r="AF604" s="3" t="s">
        <v>1028</v>
      </c>
    </row>
    <row r="605" spans="1:32" ht="11.25" customHeight="1" x14ac:dyDescent="0.25">
      <c r="A605" s="3" t="s">
        <v>28</v>
      </c>
      <c r="B605" s="3" t="s">
        <v>22</v>
      </c>
      <c r="C605" s="3" t="s">
        <v>23</v>
      </c>
      <c r="D605" s="3" t="s">
        <v>24</v>
      </c>
      <c r="E605" s="3" t="s">
        <v>31</v>
      </c>
      <c r="F605" s="3" t="s">
        <v>25</v>
      </c>
      <c r="G605" s="3" t="s">
        <v>25</v>
      </c>
      <c r="H605" s="3" t="s">
        <v>25</v>
      </c>
      <c r="I605" s="6">
        <v>44378</v>
      </c>
      <c r="J605" s="4">
        <v>0</v>
      </c>
      <c r="K605" s="4">
        <v>0</v>
      </c>
      <c r="L605" s="4">
        <v>1.7070000000000001</v>
      </c>
      <c r="M605" s="4">
        <v>1.7070000000000001</v>
      </c>
      <c r="N605" s="4">
        <v>1.7070000000000001</v>
      </c>
      <c r="O605" s="4">
        <v>1.7070000000000001</v>
      </c>
      <c r="P605" s="4">
        <v>23</v>
      </c>
      <c r="Q605" s="3" t="s">
        <v>26</v>
      </c>
      <c r="R605" s="3">
        <v>0</v>
      </c>
      <c r="S605" s="3">
        <v>0</v>
      </c>
      <c r="T605" s="3">
        <v>28</v>
      </c>
      <c r="U605" s="3">
        <v>101</v>
      </c>
      <c r="V605" s="4">
        <f>IF(ISERROR(VLOOKUP($S$605,'TAR FIN'!$A$1:$O$113,15,0)),0,VLOOKUP($S$605,'TAR FIN'!$A$1:$O$113,15,0))</f>
        <v>0</v>
      </c>
      <c r="W605" s="4">
        <f>IF(ISERROR(VLOOKUP($T$605,'TAR FIN'!$A$1:$O$113,15,0)),0,VLOOKUP($T$605,'TAR FIN'!$A$1:$O$113,15,0))</f>
        <v>277.05</v>
      </c>
      <c r="X605" s="4">
        <f>IF(ISERROR(VLOOKUP($U$605,'TAR FIN'!$A$1:$O$113,15,0)),0,VLOOKUP($U$605,'TAR FIN'!$A$1:$O$113,15,0))</f>
        <v>210.82</v>
      </c>
      <c r="Y605" s="4"/>
      <c r="Z60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5" s="4">
        <f>('TE BE'!$AA$22+'TE BF'!$AA$22+'TE CVA'!$AA$22)*(1-CUSTOS!$M$36)</f>
        <v>211.21139501317745</v>
      </c>
      <c r="AB605" s="4">
        <f t="shared" si="30"/>
        <v>0</v>
      </c>
      <c r="AC605" s="4">
        <f>(L605-M605)*(W605+X605)+($W$630+$X$630-$W$605-$X$605)*(L605)</f>
        <v>92.536469999999866</v>
      </c>
      <c r="AD605" s="4">
        <f t="shared" si="31"/>
        <v>0</v>
      </c>
      <c r="AE605" s="4">
        <f ca="1">(L605-M605)*(Z605+AA605)+($Z$630+$AA$630-$Z$605-$AA$605)*(L605)</f>
        <v>100.94108691298767</v>
      </c>
      <c r="AF605" s="3" t="s">
        <v>1028</v>
      </c>
    </row>
    <row r="606" spans="1:32" ht="11.25" customHeight="1" x14ac:dyDescent="0.25">
      <c r="A606" s="3" t="s">
        <v>21</v>
      </c>
      <c r="B606" s="3" t="s">
        <v>22</v>
      </c>
      <c r="C606" s="3" t="s">
        <v>23</v>
      </c>
      <c r="D606" s="3" t="s">
        <v>24</v>
      </c>
      <c r="E606" s="3" t="s">
        <v>31</v>
      </c>
      <c r="F606" s="3" t="s">
        <v>25</v>
      </c>
      <c r="G606" s="3" t="s">
        <v>25</v>
      </c>
      <c r="H606" s="3" t="s">
        <v>25</v>
      </c>
      <c r="I606" s="6">
        <v>44409</v>
      </c>
      <c r="J606" s="4">
        <v>0</v>
      </c>
      <c r="K606" s="4">
        <v>0</v>
      </c>
      <c r="L606" s="4">
        <v>3609.5309999999999</v>
      </c>
      <c r="M606" s="4">
        <v>3609.5309999999999</v>
      </c>
      <c r="N606" s="4">
        <v>3609.5309999999999</v>
      </c>
      <c r="O606" s="4">
        <v>3609.5309999999999</v>
      </c>
      <c r="P606" s="4">
        <v>68251</v>
      </c>
      <c r="Q606" s="3" t="s">
        <v>26</v>
      </c>
      <c r="R606" s="3">
        <v>0</v>
      </c>
      <c r="S606" s="3">
        <v>0</v>
      </c>
      <c r="T606" s="3">
        <v>28</v>
      </c>
      <c r="U606" s="3">
        <v>101</v>
      </c>
      <c r="V606" s="4">
        <f>IF(ISERROR(VLOOKUP($S$606,'TAR FIN'!$A$1:$O$113,15,0)),0,VLOOKUP($S$606,'TAR FIN'!$A$1:$O$113,15,0))</f>
        <v>0</v>
      </c>
      <c r="W606" s="4">
        <f>IF(ISERROR(VLOOKUP($T$606,'TAR FIN'!$A$1:$O$113,15,0)),0,VLOOKUP($T$606,'TAR FIN'!$A$1:$O$113,15,0))</f>
        <v>277.05</v>
      </c>
      <c r="X606" s="4">
        <f>IF(ISERROR(VLOOKUP($U$606,'TAR FIN'!$A$1:$O$113,15,0)),0,VLOOKUP($U$606,'TAR FIN'!$A$1:$O$113,15,0))</f>
        <v>210.82</v>
      </c>
      <c r="Y606" s="4"/>
      <c r="Z60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6" s="4">
        <f>('TE BE'!$AA$22+'TE BF'!$AA$22+'TE CVA'!$AA$22)*(1-CUSTOS!$M$36)</f>
        <v>211.21139501317745</v>
      </c>
      <c r="AB606" s="4">
        <f t="shared" si="30"/>
        <v>0</v>
      </c>
      <c r="AC606" s="4">
        <f>(L606-M606)*(W606+X606)+($W$630+$X$630-$W$606-$X$606)*(L606)</f>
        <v>195672.67550999971</v>
      </c>
      <c r="AD606" s="4">
        <f t="shared" si="31"/>
        <v>0</v>
      </c>
      <c r="AE606" s="4">
        <f ca="1">(L606-M606)*(Z606+AA606)+($Z$630+$AA$630-$Z$606-$AA$606)*(L606)</f>
        <v>213444.62940018938</v>
      </c>
      <c r="AF606" s="3" t="s">
        <v>1028</v>
      </c>
    </row>
    <row r="607" spans="1:32" ht="11.25" customHeight="1" x14ac:dyDescent="0.25">
      <c r="A607" s="3" t="s">
        <v>27</v>
      </c>
      <c r="B607" s="3" t="s">
        <v>22</v>
      </c>
      <c r="C607" s="3" t="s">
        <v>23</v>
      </c>
      <c r="D607" s="3" t="s">
        <v>24</v>
      </c>
      <c r="E607" s="3" t="s">
        <v>31</v>
      </c>
      <c r="F607" s="3" t="s">
        <v>25</v>
      </c>
      <c r="G607" s="3" t="s">
        <v>25</v>
      </c>
      <c r="H607" s="3" t="s">
        <v>25</v>
      </c>
      <c r="I607" s="6">
        <v>44409</v>
      </c>
      <c r="J607" s="4">
        <v>0</v>
      </c>
      <c r="K607" s="4">
        <v>0</v>
      </c>
      <c r="L607" s="4">
        <v>-1.468</v>
      </c>
      <c r="M607" s="4">
        <v>-1.468</v>
      </c>
      <c r="N607" s="4">
        <v>-1.468</v>
      </c>
      <c r="O607" s="4">
        <v>-1.468</v>
      </c>
      <c r="P607" s="4">
        <v>-8</v>
      </c>
      <c r="Q607" s="3" t="s">
        <v>26</v>
      </c>
      <c r="R607" s="3">
        <v>0</v>
      </c>
      <c r="S607" s="3">
        <v>0</v>
      </c>
      <c r="T607" s="3">
        <v>28</v>
      </c>
      <c r="U607" s="3">
        <v>101</v>
      </c>
      <c r="V607" s="4">
        <f>IF(ISERROR(VLOOKUP($S$607,'TAR FIN'!$A$1:$O$113,15,0)),0,VLOOKUP($S$607,'TAR FIN'!$A$1:$O$113,15,0))</f>
        <v>0</v>
      </c>
      <c r="W607" s="4">
        <f>IF(ISERROR(VLOOKUP($T$607,'TAR FIN'!$A$1:$O$113,15,0)),0,VLOOKUP($T$607,'TAR FIN'!$A$1:$O$113,15,0))</f>
        <v>277.05</v>
      </c>
      <c r="X607" s="4">
        <f>IF(ISERROR(VLOOKUP($U$607,'TAR FIN'!$A$1:$O$113,15,0)),0,VLOOKUP($U$607,'TAR FIN'!$A$1:$O$113,15,0))</f>
        <v>210.82</v>
      </c>
      <c r="Y607" s="4"/>
      <c r="Z60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7" s="4">
        <f>('TE BE'!$AA$22+'TE BF'!$AA$22+'TE CVA'!$AA$22)*(1-CUSTOS!$M$36)</f>
        <v>211.21139501317745</v>
      </c>
      <c r="AB607" s="4">
        <f t="shared" si="30"/>
        <v>0</v>
      </c>
      <c r="AC607" s="4">
        <f>(L607-M607)*(W607+X607)+($W$630+$X$630-$W$607-$X$607)*(L607)</f>
        <v>-79.580279999999888</v>
      </c>
      <c r="AD607" s="4">
        <f t="shared" si="31"/>
        <v>0</v>
      </c>
      <c r="AE607" s="4">
        <f ca="1">(L607-M607)*(Z607+AA607)+($Z$630+$AA$630-$Z$607-$AA$607)*(L607)</f>
        <v>-86.808152072797824</v>
      </c>
      <c r="AF607" s="3" t="s">
        <v>1028</v>
      </c>
    </row>
    <row r="608" spans="1:32" ht="11.25" customHeight="1" x14ac:dyDescent="0.25">
      <c r="A608" s="3" t="s">
        <v>28</v>
      </c>
      <c r="B608" s="3" t="s">
        <v>22</v>
      </c>
      <c r="C608" s="3" t="s">
        <v>23</v>
      </c>
      <c r="D608" s="3" t="s">
        <v>24</v>
      </c>
      <c r="E608" s="3" t="s">
        <v>31</v>
      </c>
      <c r="F608" s="3" t="s">
        <v>25</v>
      </c>
      <c r="G608" s="3" t="s">
        <v>25</v>
      </c>
      <c r="H608" s="3" t="s">
        <v>25</v>
      </c>
      <c r="I608" s="6">
        <v>44409</v>
      </c>
      <c r="J608" s="4">
        <v>0</v>
      </c>
      <c r="K608" s="4">
        <v>0</v>
      </c>
      <c r="L608" s="4">
        <v>1.56</v>
      </c>
      <c r="M608" s="4">
        <v>1.56</v>
      </c>
      <c r="N608" s="4">
        <v>1.56</v>
      </c>
      <c r="O608" s="4">
        <v>1.56</v>
      </c>
      <c r="P608" s="4">
        <v>26</v>
      </c>
      <c r="Q608" s="3" t="s">
        <v>26</v>
      </c>
      <c r="R608" s="3">
        <v>0</v>
      </c>
      <c r="S608" s="3">
        <v>0</v>
      </c>
      <c r="T608" s="3">
        <v>28</v>
      </c>
      <c r="U608" s="3">
        <v>101</v>
      </c>
      <c r="V608" s="4">
        <f>IF(ISERROR(VLOOKUP($S$608,'TAR FIN'!$A$1:$O$113,15,0)),0,VLOOKUP($S$608,'TAR FIN'!$A$1:$O$113,15,0))</f>
        <v>0</v>
      </c>
      <c r="W608" s="4">
        <f>IF(ISERROR(VLOOKUP($T$608,'TAR FIN'!$A$1:$O$113,15,0)),0,VLOOKUP($T$608,'TAR FIN'!$A$1:$O$113,15,0))</f>
        <v>277.05</v>
      </c>
      <c r="X608" s="4">
        <f>IF(ISERROR(VLOOKUP($U$608,'TAR FIN'!$A$1:$O$113,15,0)),0,VLOOKUP($U$608,'TAR FIN'!$A$1:$O$113,15,0))</f>
        <v>210.82</v>
      </c>
      <c r="Y608" s="4"/>
      <c r="Z60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8" s="4">
        <f>('TE BE'!$AA$22+'TE BF'!$AA$22+'TE CVA'!$AA$22)*(1-CUSTOS!$M$36)</f>
        <v>211.21139501317745</v>
      </c>
      <c r="AB608" s="4">
        <f t="shared" si="30"/>
        <v>0</v>
      </c>
      <c r="AC608" s="4">
        <f>(L608-M608)*(W608+X608)+($W$630+$X$630-$W$608-$X$608)*(L608)</f>
        <v>84.567599999999885</v>
      </c>
      <c r="AD608" s="4">
        <f t="shared" si="31"/>
        <v>0</v>
      </c>
      <c r="AE608" s="4">
        <f ca="1">(L608-M608)*(Z608+AA608)+($Z$630+$AA$630-$Z$608-$AA$608)*(L608)</f>
        <v>92.24844498199225</v>
      </c>
      <c r="AF608" s="3" t="s">
        <v>1028</v>
      </c>
    </row>
    <row r="609" spans="1:32" ht="11.25" customHeight="1" x14ac:dyDescent="0.25">
      <c r="A609" s="3" t="s">
        <v>21</v>
      </c>
      <c r="B609" s="3" t="s">
        <v>22</v>
      </c>
      <c r="C609" s="3" t="s">
        <v>23</v>
      </c>
      <c r="D609" s="3" t="s">
        <v>24</v>
      </c>
      <c r="E609" s="3" t="s">
        <v>31</v>
      </c>
      <c r="F609" s="3" t="s">
        <v>25</v>
      </c>
      <c r="G609" s="3" t="s">
        <v>25</v>
      </c>
      <c r="H609" s="3" t="s">
        <v>25</v>
      </c>
      <c r="I609" s="6">
        <v>44440</v>
      </c>
      <c r="J609" s="4">
        <v>0</v>
      </c>
      <c r="K609" s="4">
        <v>0</v>
      </c>
      <c r="L609" s="4">
        <v>3733.4540000000002</v>
      </c>
      <c r="M609" s="4">
        <v>3733.4540000000002</v>
      </c>
      <c r="N609" s="4">
        <v>3733.4540000000002</v>
      </c>
      <c r="O609" s="4">
        <v>3733.4540000000002</v>
      </c>
      <c r="P609" s="4">
        <v>69672</v>
      </c>
      <c r="Q609" s="3" t="s">
        <v>26</v>
      </c>
      <c r="R609" s="3">
        <v>0</v>
      </c>
      <c r="S609" s="3">
        <v>0</v>
      </c>
      <c r="T609" s="3">
        <v>28</v>
      </c>
      <c r="U609" s="3">
        <v>101</v>
      </c>
      <c r="V609" s="4">
        <f>IF(ISERROR(VLOOKUP($S$609,'TAR FIN'!$A$1:$O$113,15,0)),0,VLOOKUP($S$609,'TAR FIN'!$A$1:$O$113,15,0))</f>
        <v>0</v>
      </c>
      <c r="W609" s="4">
        <f>IF(ISERROR(VLOOKUP($T$609,'TAR FIN'!$A$1:$O$113,15,0)),0,VLOOKUP($T$609,'TAR FIN'!$A$1:$O$113,15,0))</f>
        <v>277.05</v>
      </c>
      <c r="X609" s="4">
        <f>IF(ISERROR(VLOOKUP($U$609,'TAR FIN'!$A$1:$O$113,15,0)),0,VLOOKUP($U$609,'TAR FIN'!$A$1:$O$113,15,0))</f>
        <v>210.82</v>
      </c>
      <c r="Y609" s="4"/>
      <c r="Z60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09" s="4">
        <f>('TE BE'!$AA$22+'TE BF'!$AA$22+'TE CVA'!$AA$22)*(1-CUSTOS!$M$36)</f>
        <v>211.21139501317745</v>
      </c>
      <c r="AB609" s="4">
        <f t="shared" si="30"/>
        <v>0</v>
      </c>
      <c r="AC609" s="4">
        <f>(L609-M609)*(W609+X609)+($W$630+$X$630-$W$609-$X$609)*(L609)</f>
        <v>202390.54133999973</v>
      </c>
      <c r="AD609" s="4">
        <f t="shared" si="31"/>
        <v>0</v>
      </c>
      <c r="AE609" s="4">
        <f ca="1">(L609-M609)*(Z609+AA609)+($Z$630+$AA$630-$Z$609-$AA$609)*(L609)</f>
        <v>220772.64481525568</v>
      </c>
      <c r="AF609" s="3" t="s">
        <v>1028</v>
      </c>
    </row>
    <row r="610" spans="1:32" ht="11.25" customHeight="1" x14ac:dyDescent="0.25">
      <c r="A610" s="3" t="s">
        <v>27</v>
      </c>
      <c r="B610" s="3" t="s">
        <v>22</v>
      </c>
      <c r="C610" s="3" t="s">
        <v>23</v>
      </c>
      <c r="D610" s="3" t="s">
        <v>24</v>
      </c>
      <c r="E610" s="3" t="s">
        <v>31</v>
      </c>
      <c r="F610" s="3" t="s">
        <v>25</v>
      </c>
      <c r="G610" s="3" t="s">
        <v>25</v>
      </c>
      <c r="H610" s="3" t="s">
        <v>25</v>
      </c>
      <c r="I610" s="6">
        <v>44440</v>
      </c>
      <c r="J610" s="4">
        <v>0</v>
      </c>
      <c r="K610" s="4">
        <v>0</v>
      </c>
      <c r="L610" s="4">
        <v>-2.117</v>
      </c>
      <c r="M610" s="4">
        <v>-2.117</v>
      </c>
      <c r="N610" s="4">
        <v>-2.117</v>
      </c>
      <c r="O610" s="4">
        <v>-2.117</v>
      </c>
      <c r="P610" s="4">
        <v>-10</v>
      </c>
      <c r="Q610" s="3" t="s">
        <v>26</v>
      </c>
      <c r="R610" s="3">
        <v>0</v>
      </c>
      <c r="S610" s="3">
        <v>0</v>
      </c>
      <c r="T610" s="3">
        <v>28</v>
      </c>
      <c r="U610" s="3">
        <v>101</v>
      </c>
      <c r="V610" s="4">
        <f>IF(ISERROR(VLOOKUP($S$610,'TAR FIN'!$A$1:$O$113,15,0)),0,VLOOKUP($S$610,'TAR FIN'!$A$1:$O$113,15,0))</f>
        <v>0</v>
      </c>
      <c r="W610" s="4">
        <f>IF(ISERROR(VLOOKUP($T$610,'TAR FIN'!$A$1:$O$113,15,0)),0,VLOOKUP($T$610,'TAR FIN'!$A$1:$O$113,15,0))</f>
        <v>277.05</v>
      </c>
      <c r="X610" s="4">
        <f>IF(ISERROR(VLOOKUP($U$610,'TAR FIN'!$A$1:$O$113,15,0)),0,VLOOKUP($U$610,'TAR FIN'!$A$1:$O$113,15,0))</f>
        <v>210.82</v>
      </c>
      <c r="Y610" s="4"/>
      <c r="Z61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0" s="4">
        <f>('TE BE'!$AA$22+'TE BF'!$AA$22+'TE CVA'!$AA$22)*(1-CUSTOS!$M$36)</f>
        <v>211.21139501317745</v>
      </c>
      <c r="AB610" s="4">
        <f t="shared" si="30"/>
        <v>0</v>
      </c>
      <c r="AC610" s="4">
        <f>(L610-M610)*(W610+X610)+($W$630+$X$630-$W$610-$X$610)*(L610)</f>
        <v>-114.76256999999984</v>
      </c>
      <c r="AD610" s="4">
        <f t="shared" si="31"/>
        <v>0</v>
      </c>
      <c r="AE610" s="4">
        <f ca="1">(L610-M610)*(Z610+AA610)+($Z$630+$AA$630-$Z$610-$AA$610)*(L610)</f>
        <v>-125.18587053004973</v>
      </c>
      <c r="AF610" s="3" t="s">
        <v>1028</v>
      </c>
    </row>
    <row r="611" spans="1:32" ht="11.25" customHeight="1" x14ac:dyDescent="0.25">
      <c r="A611" s="3" t="s">
        <v>28</v>
      </c>
      <c r="B611" s="3" t="s">
        <v>22</v>
      </c>
      <c r="C611" s="3" t="s">
        <v>23</v>
      </c>
      <c r="D611" s="3" t="s">
        <v>24</v>
      </c>
      <c r="E611" s="3" t="s">
        <v>31</v>
      </c>
      <c r="F611" s="3" t="s">
        <v>25</v>
      </c>
      <c r="G611" s="3" t="s">
        <v>25</v>
      </c>
      <c r="H611" s="3" t="s">
        <v>25</v>
      </c>
      <c r="I611" s="6">
        <v>44440</v>
      </c>
      <c r="J611" s="4">
        <v>0</v>
      </c>
      <c r="K611" s="4">
        <v>0</v>
      </c>
      <c r="L611" s="4">
        <v>1.6120000000000001</v>
      </c>
      <c r="M611" s="4">
        <v>1.6120000000000001</v>
      </c>
      <c r="N611" s="4">
        <v>1.6120000000000001</v>
      </c>
      <c r="O611" s="4">
        <v>1.6120000000000001</v>
      </c>
      <c r="P611" s="4">
        <v>23</v>
      </c>
      <c r="Q611" s="3" t="s">
        <v>26</v>
      </c>
      <c r="R611" s="3">
        <v>0</v>
      </c>
      <c r="S611" s="3">
        <v>0</v>
      </c>
      <c r="T611" s="3">
        <v>28</v>
      </c>
      <c r="U611" s="3">
        <v>101</v>
      </c>
      <c r="V611" s="4">
        <f>IF(ISERROR(VLOOKUP($S$611,'TAR FIN'!$A$1:$O$113,15,0)),0,VLOOKUP($S$611,'TAR FIN'!$A$1:$O$113,15,0))</f>
        <v>0</v>
      </c>
      <c r="W611" s="4">
        <f>IF(ISERROR(VLOOKUP($T$611,'TAR FIN'!$A$1:$O$113,15,0)),0,VLOOKUP($T$611,'TAR FIN'!$A$1:$O$113,15,0))</f>
        <v>277.05</v>
      </c>
      <c r="X611" s="4">
        <f>IF(ISERROR(VLOOKUP($U$611,'TAR FIN'!$A$1:$O$113,15,0)),0,VLOOKUP($U$611,'TAR FIN'!$A$1:$O$113,15,0))</f>
        <v>210.82</v>
      </c>
      <c r="Y611" s="4"/>
      <c r="Z61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1" s="4">
        <f>('TE BE'!$AA$22+'TE BF'!$AA$22+'TE CVA'!$AA$22)*(1-CUSTOS!$M$36)</f>
        <v>211.21139501317745</v>
      </c>
      <c r="AB611" s="4">
        <f t="shared" si="30"/>
        <v>0</v>
      </c>
      <c r="AC611" s="4">
        <f>(L611-M611)*(W611+X611)+($W$630+$X$630-$W$611-$X$611)*(L611)</f>
        <v>87.386519999999877</v>
      </c>
      <c r="AD611" s="4">
        <f t="shared" si="31"/>
        <v>0</v>
      </c>
      <c r="AE611" s="4">
        <f ca="1">(L611-M611)*(Z611+AA611)+($Z$630+$AA$630-$Z$611-$AA$611)*(L611)</f>
        <v>95.323393148058656</v>
      </c>
      <c r="AF611" s="3" t="s">
        <v>1028</v>
      </c>
    </row>
    <row r="612" spans="1:32" ht="11.25" customHeight="1" x14ac:dyDescent="0.25">
      <c r="A612" s="3" t="s">
        <v>21</v>
      </c>
      <c r="B612" s="3" t="s">
        <v>22</v>
      </c>
      <c r="C612" s="3" t="s">
        <v>23</v>
      </c>
      <c r="D612" s="3" t="s">
        <v>24</v>
      </c>
      <c r="E612" s="3" t="s">
        <v>31</v>
      </c>
      <c r="F612" s="3" t="s">
        <v>25</v>
      </c>
      <c r="G612" s="3" t="s">
        <v>25</v>
      </c>
      <c r="H612" s="3" t="s">
        <v>25</v>
      </c>
      <c r="I612" s="6">
        <v>44470</v>
      </c>
      <c r="J612" s="4">
        <v>0</v>
      </c>
      <c r="K612" s="4">
        <v>0</v>
      </c>
      <c r="L612" s="4">
        <v>4422.8530000000001</v>
      </c>
      <c r="M612" s="4">
        <v>4422.8530000000001</v>
      </c>
      <c r="N612" s="4">
        <v>4422.8530000000001</v>
      </c>
      <c r="O612" s="4">
        <v>4422.8530000000001</v>
      </c>
      <c r="P612" s="4">
        <v>78395</v>
      </c>
      <c r="Q612" s="3" t="s">
        <v>26</v>
      </c>
      <c r="R612" s="3">
        <v>0</v>
      </c>
      <c r="S612" s="3">
        <v>0</v>
      </c>
      <c r="T612" s="3">
        <v>28</v>
      </c>
      <c r="U612" s="3">
        <v>101</v>
      </c>
      <c r="V612" s="4">
        <f>IF(ISERROR(VLOOKUP($S$612,'TAR FIN'!$A$1:$O$113,15,0)),0,VLOOKUP($S$612,'TAR FIN'!$A$1:$O$113,15,0))</f>
        <v>0</v>
      </c>
      <c r="W612" s="4">
        <f>IF(ISERROR(VLOOKUP($T$612,'TAR FIN'!$A$1:$O$113,15,0)),0,VLOOKUP($T$612,'TAR FIN'!$A$1:$O$113,15,0))</f>
        <v>277.05</v>
      </c>
      <c r="X612" s="4">
        <f>IF(ISERROR(VLOOKUP($U$612,'TAR FIN'!$A$1:$O$113,15,0)),0,VLOOKUP($U$612,'TAR FIN'!$A$1:$O$113,15,0))</f>
        <v>210.82</v>
      </c>
      <c r="Y612" s="4"/>
      <c r="Z61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2" s="4">
        <f>('TE BE'!$AA$22+'TE BF'!$AA$22+'TE CVA'!$AA$22)*(1-CUSTOS!$M$36)</f>
        <v>211.21139501317745</v>
      </c>
      <c r="AB612" s="4">
        <f t="shared" si="30"/>
        <v>0</v>
      </c>
      <c r="AC612" s="4">
        <f>(L612-M612)*(W612+X612)+($W$630+$X$630-$W$612-$X$612)*(L612)</f>
        <v>239762.86112999966</v>
      </c>
      <c r="AD612" s="4">
        <f t="shared" si="31"/>
        <v>0</v>
      </c>
      <c r="AE612" s="4">
        <f ca="1">(L612-M612)*(Z612+AA612)+($Z$630+$AA$630-$Z$612-$AA$612)*(L612)</f>
        <v>261539.30232944831</v>
      </c>
      <c r="AF612" s="3" t="s">
        <v>1028</v>
      </c>
    </row>
    <row r="613" spans="1:32" ht="11.25" customHeight="1" x14ac:dyDescent="0.25">
      <c r="A613" s="3" t="s">
        <v>27</v>
      </c>
      <c r="B613" s="3" t="s">
        <v>22</v>
      </c>
      <c r="C613" s="3" t="s">
        <v>23</v>
      </c>
      <c r="D613" s="3" t="s">
        <v>24</v>
      </c>
      <c r="E613" s="3" t="s">
        <v>31</v>
      </c>
      <c r="F613" s="3" t="s">
        <v>25</v>
      </c>
      <c r="G613" s="3" t="s">
        <v>25</v>
      </c>
      <c r="H613" s="3" t="s">
        <v>25</v>
      </c>
      <c r="I613" s="6">
        <v>44470</v>
      </c>
      <c r="J613" s="4">
        <v>0</v>
      </c>
      <c r="K613" s="4">
        <v>0</v>
      </c>
      <c r="L613" s="4">
        <v>-1.7949999999999999</v>
      </c>
      <c r="M613" s="4">
        <v>-1.7949999999999999</v>
      </c>
      <c r="N613" s="4">
        <v>-1.7949999999999999</v>
      </c>
      <c r="O613" s="4">
        <v>-1.7949999999999999</v>
      </c>
      <c r="P613" s="4">
        <v>-18</v>
      </c>
      <c r="Q613" s="3" t="s">
        <v>26</v>
      </c>
      <c r="R613" s="3">
        <v>0</v>
      </c>
      <c r="S613" s="3">
        <v>0</v>
      </c>
      <c r="T613" s="3">
        <v>28</v>
      </c>
      <c r="U613" s="3">
        <v>101</v>
      </c>
      <c r="V613" s="4">
        <f>IF(ISERROR(VLOOKUP($S$613,'TAR FIN'!$A$1:$O$113,15,0)),0,VLOOKUP($S$613,'TAR FIN'!$A$1:$O$113,15,0))</f>
        <v>0</v>
      </c>
      <c r="W613" s="4">
        <f>IF(ISERROR(VLOOKUP($T$613,'TAR FIN'!$A$1:$O$113,15,0)),0,VLOOKUP($T$613,'TAR FIN'!$A$1:$O$113,15,0))</f>
        <v>277.05</v>
      </c>
      <c r="X613" s="4">
        <f>IF(ISERROR(VLOOKUP($U$613,'TAR FIN'!$A$1:$O$113,15,0)),0,VLOOKUP($U$613,'TAR FIN'!$A$1:$O$113,15,0))</f>
        <v>210.82</v>
      </c>
      <c r="Y613" s="4"/>
      <c r="Z61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3" s="4">
        <f>('TE BE'!$AA$22+'TE BF'!$AA$22+'TE CVA'!$AA$22)*(1-CUSTOS!$M$36)</f>
        <v>211.21139501317745</v>
      </c>
      <c r="AB613" s="4">
        <f t="shared" si="30"/>
        <v>0</v>
      </c>
      <c r="AC613" s="4">
        <f>(L613-M613)*(W613+X613)+($W$630+$X$630-$W$613-$X$613)*(L613)</f>
        <v>-97.306949999999858</v>
      </c>
      <c r="AD613" s="4">
        <f t="shared" si="31"/>
        <v>0</v>
      </c>
      <c r="AE613" s="4">
        <f ca="1">(L613-M613)*(Z613+AA613)+($Z$630+$AA$630-$Z$613-$AA$613)*(L613)</f>
        <v>-106.14484534786928</v>
      </c>
      <c r="AF613" s="3" t="s">
        <v>1028</v>
      </c>
    </row>
    <row r="614" spans="1:32" ht="11.25" customHeight="1" x14ac:dyDescent="0.25">
      <c r="A614" s="3" t="s">
        <v>28</v>
      </c>
      <c r="B614" s="3" t="s">
        <v>22</v>
      </c>
      <c r="C614" s="3" t="s">
        <v>23</v>
      </c>
      <c r="D614" s="3" t="s">
        <v>24</v>
      </c>
      <c r="E614" s="3" t="s">
        <v>31</v>
      </c>
      <c r="F614" s="3" t="s">
        <v>25</v>
      </c>
      <c r="G614" s="3" t="s">
        <v>25</v>
      </c>
      <c r="H614" s="3" t="s">
        <v>25</v>
      </c>
      <c r="I614" s="6">
        <v>44470</v>
      </c>
      <c r="J614" s="4">
        <v>0</v>
      </c>
      <c r="K614" s="4">
        <v>0</v>
      </c>
      <c r="L614" s="4">
        <v>1.9690000000000001</v>
      </c>
      <c r="M614" s="4">
        <v>1.9690000000000001</v>
      </c>
      <c r="N614" s="4">
        <v>1.9690000000000001</v>
      </c>
      <c r="O614" s="4">
        <v>1.9690000000000001</v>
      </c>
      <c r="P614" s="4">
        <v>24</v>
      </c>
      <c r="Q614" s="3" t="s">
        <v>26</v>
      </c>
      <c r="R614" s="3">
        <v>0</v>
      </c>
      <c r="S614" s="3">
        <v>0</v>
      </c>
      <c r="T614" s="3">
        <v>28</v>
      </c>
      <c r="U614" s="3">
        <v>101</v>
      </c>
      <c r="V614" s="4">
        <f>IF(ISERROR(VLOOKUP($S$614,'TAR FIN'!$A$1:$O$113,15,0)),0,VLOOKUP($S$614,'TAR FIN'!$A$1:$O$113,15,0))</f>
        <v>0</v>
      </c>
      <c r="W614" s="4">
        <f>IF(ISERROR(VLOOKUP($T$614,'TAR FIN'!$A$1:$O$113,15,0)),0,VLOOKUP($T$614,'TAR FIN'!$A$1:$O$113,15,0))</f>
        <v>277.05</v>
      </c>
      <c r="X614" s="4">
        <f>IF(ISERROR(VLOOKUP($U$614,'TAR FIN'!$A$1:$O$113,15,0)),0,VLOOKUP($U$614,'TAR FIN'!$A$1:$O$113,15,0))</f>
        <v>210.82</v>
      </c>
      <c r="Y614" s="4"/>
      <c r="Z61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4" s="4">
        <f>('TE BE'!$AA$22+'TE BF'!$AA$22+'TE CVA'!$AA$22)*(1-CUSTOS!$M$36)</f>
        <v>211.21139501317745</v>
      </c>
      <c r="AB614" s="4">
        <f t="shared" si="30"/>
        <v>0</v>
      </c>
      <c r="AC614" s="4">
        <f>(L614-M614)*(W614+X614)+($W$630+$X$630-$W$614-$X$614)*(L614)</f>
        <v>106.73948999999985</v>
      </c>
      <c r="AD614" s="4">
        <f t="shared" si="31"/>
        <v>0</v>
      </c>
      <c r="AE614" s="4">
        <f ca="1">(L614-M614)*(Z614+AA614)+($Z$630+$AA$630-$Z$614-$AA$614)*(L614)</f>
        <v>116.43409498047612</v>
      </c>
      <c r="AF614" s="3" t="s">
        <v>1028</v>
      </c>
    </row>
    <row r="615" spans="1:32" ht="11.25" customHeight="1" x14ac:dyDescent="0.25">
      <c r="A615" s="3" t="s">
        <v>21</v>
      </c>
      <c r="B615" s="3" t="s">
        <v>22</v>
      </c>
      <c r="C615" s="3" t="s">
        <v>23</v>
      </c>
      <c r="D615" s="3" t="s">
        <v>24</v>
      </c>
      <c r="E615" s="3" t="s">
        <v>31</v>
      </c>
      <c r="F615" s="3" t="s">
        <v>25</v>
      </c>
      <c r="G615" s="3" t="s">
        <v>25</v>
      </c>
      <c r="H615" s="3" t="s">
        <v>25</v>
      </c>
      <c r="I615" s="6">
        <v>44501</v>
      </c>
      <c r="J615" s="4">
        <v>0</v>
      </c>
      <c r="K615" s="4">
        <v>0</v>
      </c>
      <c r="L615" s="4">
        <v>4714.8689999999997</v>
      </c>
      <c r="M615" s="4">
        <v>4714.8689999999997</v>
      </c>
      <c r="N615" s="4">
        <v>4714.8689999999997</v>
      </c>
      <c r="O615" s="4">
        <v>4714.8689999999997</v>
      </c>
      <c r="P615" s="4">
        <v>81912</v>
      </c>
      <c r="Q615" s="3" t="s">
        <v>26</v>
      </c>
      <c r="R615" s="3">
        <v>0</v>
      </c>
      <c r="S615" s="3">
        <v>0</v>
      </c>
      <c r="T615" s="3">
        <v>28</v>
      </c>
      <c r="U615" s="3">
        <v>101</v>
      </c>
      <c r="V615" s="4">
        <f>IF(ISERROR(VLOOKUP($S$615,'TAR FIN'!$A$1:$O$113,15,0)),0,VLOOKUP($S$615,'TAR FIN'!$A$1:$O$113,15,0))</f>
        <v>0</v>
      </c>
      <c r="W615" s="4">
        <f>IF(ISERROR(VLOOKUP($T$615,'TAR FIN'!$A$1:$O$113,15,0)),0,VLOOKUP($T$615,'TAR FIN'!$A$1:$O$113,15,0))</f>
        <v>277.05</v>
      </c>
      <c r="X615" s="4">
        <f>IF(ISERROR(VLOOKUP($U$615,'TAR FIN'!$A$1:$O$113,15,0)),0,VLOOKUP($U$615,'TAR FIN'!$A$1:$O$113,15,0))</f>
        <v>210.82</v>
      </c>
      <c r="Y615" s="4"/>
      <c r="Z61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5" s="4">
        <f>('TE BE'!$AA$22+'TE BF'!$AA$22+'TE CVA'!$AA$22)*(1-CUSTOS!$M$36)</f>
        <v>211.21139501317745</v>
      </c>
      <c r="AB615" s="4">
        <f t="shared" si="30"/>
        <v>0</v>
      </c>
      <c r="AC615" s="4">
        <f>(L615-M615)*(W615+X615)+($W$630+$X$630-$W$615-$X$615)*(L615)</f>
        <v>255593.04848999961</v>
      </c>
      <c r="AD615" s="4">
        <f t="shared" si="31"/>
        <v>0</v>
      </c>
      <c r="AE615" s="4">
        <f ca="1">(L615-M615)*(Z615+AA615)+($Z$630+$AA$630-$Z$615-$AA$615)*(L615)</f>
        <v>278807.26509217999</v>
      </c>
      <c r="AF615" s="3" t="s">
        <v>1028</v>
      </c>
    </row>
    <row r="616" spans="1:32" ht="11.25" customHeight="1" x14ac:dyDescent="0.25">
      <c r="A616" s="3" t="s">
        <v>27</v>
      </c>
      <c r="B616" s="3" t="s">
        <v>22</v>
      </c>
      <c r="C616" s="3" t="s">
        <v>23</v>
      </c>
      <c r="D616" s="3" t="s">
        <v>24</v>
      </c>
      <c r="E616" s="3" t="s">
        <v>31</v>
      </c>
      <c r="F616" s="3" t="s">
        <v>25</v>
      </c>
      <c r="G616" s="3" t="s">
        <v>25</v>
      </c>
      <c r="H616" s="3" t="s">
        <v>25</v>
      </c>
      <c r="I616" s="6">
        <v>44501</v>
      </c>
      <c r="J616" s="4">
        <v>0</v>
      </c>
      <c r="K616" s="4">
        <v>0</v>
      </c>
      <c r="L616" s="4">
        <v>-2.2469999999999999</v>
      </c>
      <c r="M616" s="4">
        <v>-2.2469999999999999</v>
      </c>
      <c r="N616" s="4">
        <v>-2.2469999999999999</v>
      </c>
      <c r="O616" s="4">
        <v>-2.2469999999999999</v>
      </c>
      <c r="P616" s="4">
        <v>-9</v>
      </c>
      <c r="Q616" s="3" t="s">
        <v>26</v>
      </c>
      <c r="R616" s="3">
        <v>0</v>
      </c>
      <c r="S616" s="3">
        <v>0</v>
      </c>
      <c r="T616" s="3">
        <v>28</v>
      </c>
      <c r="U616" s="3">
        <v>101</v>
      </c>
      <c r="V616" s="4">
        <f>IF(ISERROR(VLOOKUP($S$616,'TAR FIN'!$A$1:$O$113,15,0)),0,VLOOKUP($S$616,'TAR FIN'!$A$1:$O$113,15,0))</f>
        <v>0</v>
      </c>
      <c r="W616" s="4">
        <f>IF(ISERROR(VLOOKUP($T$616,'TAR FIN'!$A$1:$O$113,15,0)),0,VLOOKUP($T$616,'TAR FIN'!$A$1:$O$113,15,0))</f>
        <v>277.05</v>
      </c>
      <c r="X616" s="4">
        <f>IF(ISERROR(VLOOKUP($U$616,'TAR FIN'!$A$1:$O$113,15,0)),0,VLOOKUP($U$616,'TAR FIN'!$A$1:$O$113,15,0))</f>
        <v>210.82</v>
      </c>
      <c r="Y616" s="4"/>
      <c r="Z61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6" s="4">
        <f>('TE BE'!$AA$22+'TE BF'!$AA$22+'TE CVA'!$AA$22)*(1-CUSTOS!$M$36)</f>
        <v>211.21139501317745</v>
      </c>
      <c r="AB616" s="4">
        <f t="shared" si="30"/>
        <v>0</v>
      </c>
      <c r="AC616" s="4">
        <f>(L616-M616)*(W616+X616)+($W$630+$X$630-$W$616-$X$616)*(L616)</f>
        <v>-121.80986999999982</v>
      </c>
      <c r="AD616" s="4">
        <f t="shared" si="31"/>
        <v>0</v>
      </c>
      <c r="AE616" s="4">
        <f ca="1">(L616-M616)*(Z616+AA616)+($Z$630+$AA$630-$Z$616-$AA$616)*(L616)</f>
        <v>-132.87324094521574</v>
      </c>
      <c r="AF616" s="3" t="s">
        <v>1028</v>
      </c>
    </row>
    <row r="617" spans="1:32" ht="11.25" customHeight="1" x14ac:dyDescent="0.25">
      <c r="A617" s="3" t="s">
        <v>28</v>
      </c>
      <c r="B617" s="3" t="s">
        <v>22</v>
      </c>
      <c r="C617" s="3" t="s">
        <v>23</v>
      </c>
      <c r="D617" s="3" t="s">
        <v>24</v>
      </c>
      <c r="E617" s="3" t="s">
        <v>31</v>
      </c>
      <c r="F617" s="3" t="s">
        <v>25</v>
      </c>
      <c r="G617" s="3" t="s">
        <v>25</v>
      </c>
      <c r="H617" s="3" t="s">
        <v>25</v>
      </c>
      <c r="I617" s="6">
        <v>44501</v>
      </c>
      <c r="J617" s="4">
        <v>0</v>
      </c>
      <c r="K617" s="4">
        <v>0</v>
      </c>
      <c r="L617" s="4">
        <v>1.698</v>
      </c>
      <c r="M617" s="4">
        <v>1.698</v>
      </c>
      <c r="N617" s="4">
        <v>1.698</v>
      </c>
      <c r="O617" s="4">
        <v>1.698</v>
      </c>
      <c r="P617" s="4">
        <v>21</v>
      </c>
      <c r="Q617" s="3" t="s">
        <v>26</v>
      </c>
      <c r="R617" s="3">
        <v>0</v>
      </c>
      <c r="S617" s="3">
        <v>0</v>
      </c>
      <c r="T617" s="3">
        <v>28</v>
      </c>
      <c r="U617" s="3">
        <v>101</v>
      </c>
      <c r="V617" s="4">
        <f>IF(ISERROR(VLOOKUP($S$617,'TAR FIN'!$A$1:$O$113,15,0)),0,VLOOKUP($S$617,'TAR FIN'!$A$1:$O$113,15,0))</f>
        <v>0</v>
      </c>
      <c r="W617" s="4">
        <f>IF(ISERROR(VLOOKUP($T$617,'TAR FIN'!$A$1:$O$113,15,0)),0,VLOOKUP($T$617,'TAR FIN'!$A$1:$O$113,15,0))</f>
        <v>277.05</v>
      </c>
      <c r="X617" s="4">
        <f>IF(ISERROR(VLOOKUP($U$617,'TAR FIN'!$A$1:$O$113,15,0)),0,VLOOKUP($U$617,'TAR FIN'!$A$1:$O$113,15,0))</f>
        <v>210.82</v>
      </c>
      <c r="Y617" s="4"/>
      <c r="Z61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7" s="4">
        <f>('TE BE'!$AA$22+'TE BF'!$AA$22+'TE CVA'!$AA$22)*(1-CUSTOS!$M$36)</f>
        <v>211.21139501317745</v>
      </c>
      <c r="AB617" s="4">
        <f t="shared" si="30"/>
        <v>0</v>
      </c>
      <c r="AC617" s="4">
        <f>(L617-M617)*(W617+X617)+($W$630+$X$630-$W$617-$X$617)*(L617)</f>
        <v>92.048579999999873</v>
      </c>
      <c r="AD617" s="4">
        <f t="shared" si="31"/>
        <v>0</v>
      </c>
      <c r="AE617" s="4">
        <f ca="1">(L617-M617)*(Z617+AA617)+($Z$630+$AA$630-$Z$617-$AA$617)*(L617)</f>
        <v>100.40888434578386</v>
      </c>
      <c r="AF617" s="3" t="s">
        <v>1028</v>
      </c>
    </row>
    <row r="618" spans="1:32" ht="11.25" customHeight="1" x14ac:dyDescent="0.25">
      <c r="A618" s="3" t="s">
        <v>21</v>
      </c>
      <c r="B618" s="3" t="s">
        <v>22</v>
      </c>
      <c r="C618" s="3" t="s">
        <v>23</v>
      </c>
      <c r="D618" s="3" t="s">
        <v>24</v>
      </c>
      <c r="E618" s="3" t="s">
        <v>31</v>
      </c>
      <c r="F618" s="3" t="s">
        <v>25</v>
      </c>
      <c r="G618" s="3" t="s">
        <v>25</v>
      </c>
      <c r="H618" s="3" t="s">
        <v>25</v>
      </c>
      <c r="I618" s="6">
        <v>44531</v>
      </c>
      <c r="J618" s="4">
        <v>0</v>
      </c>
      <c r="K618" s="4">
        <v>0</v>
      </c>
      <c r="L618" s="4">
        <v>5086.26</v>
      </c>
      <c r="M618" s="4">
        <v>5086.26</v>
      </c>
      <c r="N618" s="4">
        <v>5086.26</v>
      </c>
      <c r="O618" s="4">
        <v>5086.26</v>
      </c>
      <c r="P618" s="4">
        <v>85812</v>
      </c>
      <c r="Q618" s="3" t="s">
        <v>26</v>
      </c>
      <c r="R618" s="3">
        <v>0</v>
      </c>
      <c r="S618" s="3">
        <v>0</v>
      </c>
      <c r="T618" s="3">
        <v>28</v>
      </c>
      <c r="U618" s="3">
        <v>101</v>
      </c>
      <c r="V618" s="4">
        <f>IF(ISERROR(VLOOKUP($S$618,'TAR FIN'!$A$1:$O$113,15,0)),0,VLOOKUP($S$618,'TAR FIN'!$A$1:$O$113,15,0))</f>
        <v>0</v>
      </c>
      <c r="W618" s="4">
        <f>IF(ISERROR(VLOOKUP($T$618,'TAR FIN'!$A$1:$O$113,15,0)),0,VLOOKUP($T$618,'TAR FIN'!$A$1:$O$113,15,0))</f>
        <v>277.05</v>
      </c>
      <c r="X618" s="4">
        <f>IF(ISERROR(VLOOKUP($U$618,'TAR FIN'!$A$1:$O$113,15,0)),0,VLOOKUP($U$618,'TAR FIN'!$A$1:$O$113,15,0))</f>
        <v>210.82</v>
      </c>
      <c r="Y618" s="4"/>
      <c r="Z61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8" s="4">
        <f>('TE BE'!$AA$22+'TE BF'!$AA$22+'TE CVA'!$AA$22)*(1-CUSTOS!$M$36)</f>
        <v>211.21139501317745</v>
      </c>
      <c r="AB618" s="4">
        <f t="shared" si="30"/>
        <v>0</v>
      </c>
      <c r="AC618" s="4">
        <f>(L618-M618)*(W618+X618)+($W$630+$X$630-$W$618-$X$618)*(L618)</f>
        <v>275726.1545999996</v>
      </c>
      <c r="AD618" s="4">
        <f t="shared" si="31"/>
        <v>0</v>
      </c>
      <c r="AE618" s="4">
        <f ca="1">(L618-M618)*(Z618+AA618)+($Z$630+$AA$630-$Z$618-$AA$618)*(L618)</f>
        <v>300768.95882955636</v>
      </c>
      <c r="AF618" s="3" t="s">
        <v>1028</v>
      </c>
    </row>
    <row r="619" spans="1:32" ht="11.25" customHeight="1" x14ac:dyDescent="0.25">
      <c r="A619" s="3" t="s">
        <v>27</v>
      </c>
      <c r="B619" s="3" t="s">
        <v>22</v>
      </c>
      <c r="C619" s="3" t="s">
        <v>23</v>
      </c>
      <c r="D619" s="3" t="s">
        <v>24</v>
      </c>
      <c r="E619" s="3" t="s">
        <v>31</v>
      </c>
      <c r="F619" s="3" t="s">
        <v>25</v>
      </c>
      <c r="G619" s="3" t="s">
        <v>25</v>
      </c>
      <c r="H619" s="3" t="s">
        <v>25</v>
      </c>
      <c r="I619" s="6">
        <v>44531</v>
      </c>
      <c r="J619" s="4">
        <v>0</v>
      </c>
      <c r="K619" s="4">
        <v>0</v>
      </c>
      <c r="L619" s="4">
        <v>-0.73099999999999998</v>
      </c>
      <c r="M619" s="4">
        <v>-0.73099999999999998</v>
      </c>
      <c r="N619" s="4">
        <v>-0.73099999999999998</v>
      </c>
      <c r="O619" s="4">
        <v>-0.73099999999999998</v>
      </c>
      <c r="P619" s="4">
        <v>-6</v>
      </c>
      <c r="Q619" s="3" t="s">
        <v>26</v>
      </c>
      <c r="R619" s="3">
        <v>0</v>
      </c>
      <c r="S619" s="3">
        <v>0</v>
      </c>
      <c r="T619" s="3">
        <v>28</v>
      </c>
      <c r="U619" s="3">
        <v>101</v>
      </c>
      <c r="V619" s="4">
        <f>IF(ISERROR(VLOOKUP($S$619,'TAR FIN'!$A$1:$O$113,15,0)),0,VLOOKUP($S$619,'TAR FIN'!$A$1:$O$113,15,0))</f>
        <v>0</v>
      </c>
      <c r="W619" s="4">
        <f>IF(ISERROR(VLOOKUP($T$619,'TAR FIN'!$A$1:$O$113,15,0)),0,VLOOKUP($T$619,'TAR FIN'!$A$1:$O$113,15,0))</f>
        <v>277.05</v>
      </c>
      <c r="X619" s="4">
        <f>IF(ISERROR(VLOOKUP($U$619,'TAR FIN'!$A$1:$O$113,15,0)),0,VLOOKUP($U$619,'TAR FIN'!$A$1:$O$113,15,0))</f>
        <v>210.82</v>
      </c>
      <c r="Y619" s="4"/>
      <c r="Z61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19" s="4">
        <f>('TE BE'!$AA$22+'TE BF'!$AA$22+'TE CVA'!$AA$22)*(1-CUSTOS!$M$36)</f>
        <v>211.21139501317745</v>
      </c>
      <c r="AB619" s="4">
        <f t="shared" si="30"/>
        <v>0</v>
      </c>
      <c r="AC619" s="4">
        <f>(L619-M619)*(W619+X619)+($W$630+$X$630-$W$619-$X$619)*(L619)</f>
        <v>-39.627509999999944</v>
      </c>
      <c r="AD619" s="4">
        <f t="shared" si="31"/>
        <v>0</v>
      </c>
      <c r="AE619" s="4">
        <f ca="1">(L619-M619)*(Z619+AA619)+($Z$630+$AA$630-$Z$619-$AA$619)*(L619)</f>
        <v>-43.226675180664316</v>
      </c>
      <c r="AF619" s="3" t="s">
        <v>1028</v>
      </c>
    </row>
    <row r="620" spans="1:32" ht="11.25" customHeight="1" x14ac:dyDescent="0.25">
      <c r="A620" s="3" t="s">
        <v>28</v>
      </c>
      <c r="B620" s="3" t="s">
        <v>22</v>
      </c>
      <c r="C620" s="3" t="s">
        <v>23</v>
      </c>
      <c r="D620" s="3" t="s">
        <v>24</v>
      </c>
      <c r="E620" s="3" t="s">
        <v>31</v>
      </c>
      <c r="F620" s="3" t="s">
        <v>25</v>
      </c>
      <c r="G620" s="3" t="s">
        <v>25</v>
      </c>
      <c r="H620" s="3" t="s">
        <v>25</v>
      </c>
      <c r="I620" s="6">
        <v>44531</v>
      </c>
      <c r="J620" s="4">
        <v>0</v>
      </c>
      <c r="K620" s="4">
        <v>0</v>
      </c>
      <c r="L620" s="4">
        <v>2.2170000000000001</v>
      </c>
      <c r="M620" s="4">
        <v>2.2170000000000001</v>
      </c>
      <c r="N620" s="4">
        <v>2.2170000000000001</v>
      </c>
      <c r="O620" s="4">
        <v>2.2170000000000001</v>
      </c>
      <c r="P620" s="4">
        <v>19</v>
      </c>
      <c r="Q620" s="3" t="s">
        <v>26</v>
      </c>
      <c r="R620" s="3">
        <v>0</v>
      </c>
      <c r="S620" s="3">
        <v>0</v>
      </c>
      <c r="T620" s="3">
        <v>28</v>
      </c>
      <c r="U620" s="3">
        <v>101</v>
      </c>
      <c r="V620" s="4">
        <f>IF(ISERROR(VLOOKUP($S$620,'TAR FIN'!$A$1:$O$113,15,0)),0,VLOOKUP($S$620,'TAR FIN'!$A$1:$O$113,15,0))</f>
        <v>0</v>
      </c>
      <c r="W620" s="4">
        <f>IF(ISERROR(VLOOKUP($T$620,'TAR FIN'!$A$1:$O$113,15,0)),0,VLOOKUP($T$620,'TAR FIN'!$A$1:$O$113,15,0))</f>
        <v>277.05</v>
      </c>
      <c r="X620" s="4">
        <f>IF(ISERROR(VLOOKUP($U$620,'TAR FIN'!$A$1:$O$113,15,0)),0,VLOOKUP($U$620,'TAR FIN'!$A$1:$O$113,15,0))</f>
        <v>210.82</v>
      </c>
      <c r="Y620" s="4"/>
      <c r="Z620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0" s="4">
        <f>('TE BE'!$AA$22+'TE BF'!$AA$22+'TE CVA'!$AA$22)*(1-CUSTOS!$M$36)</f>
        <v>211.21139501317745</v>
      </c>
      <c r="AB620" s="4">
        <f t="shared" si="30"/>
        <v>0</v>
      </c>
      <c r="AC620" s="4">
        <f>(L620-M620)*(W620+X620)+($W$630+$X$630-$W$620-$X$620)*(L620)</f>
        <v>120.18356999999983</v>
      </c>
      <c r="AD620" s="4">
        <f t="shared" si="31"/>
        <v>0</v>
      </c>
      <c r="AE620" s="4">
        <f ca="1">(L620-M620)*(Z620+AA620)+($Z$630+$AA$630-$Z$620-$AA$620)*(L620)</f>
        <v>131.09923238786976</v>
      </c>
      <c r="AF620" s="3" t="s">
        <v>1028</v>
      </c>
    </row>
    <row r="621" spans="1:32" ht="11.25" customHeight="1" x14ac:dyDescent="0.25">
      <c r="A621" s="3" t="s">
        <v>21</v>
      </c>
      <c r="B621" s="3" t="s">
        <v>22</v>
      </c>
      <c r="C621" s="3" t="s">
        <v>23</v>
      </c>
      <c r="D621" s="3" t="s">
        <v>24</v>
      </c>
      <c r="E621" s="3" t="s">
        <v>31</v>
      </c>
      <c r="F621" s="3" t="s">
        <v>25</v>
      </c>
      <c r="G621" s="3" t="s">
        <v>25</v>
      </c>
      <c r="H621" s="3" t="s">
        <v>25</v>
      </c>
      <c r="I621" s="6">
        <v>44562</v>
      </c>
      <c r="J621" s="4">
        <v>0</v>
      </c>
      <c r="K621" s="4">
        <v>0</v>
      </c>
      <c r="L621" s="4">
        <v>5801.4319999999998</v>
      </c>
      <c r="M621" s="4">
        <v>5801.4319999999998</v>
      </c>
      <c r="N621" s="4">
        <v>5801.4319999999998</v>
      </c>
      <c r="O621" s="4">
        <v>5801.4319999999998</v>
      </c>
      <c r="P621" s="4">
        <v>91780</v>
      </c>
      <c r="Q621" s="3" t="s">
        <v>26</v>
      </c>
      <c r="R621" s="3">
        <v>0</v>
      </c>
      <c r="S621" s="3">
        <v>0</v>
      </c>
      <c r="T621" s="3">
        <v>28</v>
      </c>
      <c r="U621" s="3">
        <v>101</v>
      </c>
      <c r="V621" s="4">
        <f>IF(ISERROR(VLOOKUP($S$621,'TAR FIN'!$A$1:$O$113,15,0)),0,VLOOKUP($S$621,'TAR FIN'!$A$1:$O$113,15,0))</f>
        <v>0</v>
      </c>
      <c r="W621" s="4">
        <f>IF(ISERROR(VLOOKUP($T$621,'TAR FIN'!$A$1:$O$113,15,0)),0,VLOOKUP($T$621,'TAR FIN'!$A$1:$O$113,15,0))</f>
        <v>277.05</v>
      </c>
      <c r="X621" s="4">
        <f>IF(ISERROR(VLOOKUP($U$621,'TAR FIN'!$A$1:$O$113,15,0)),0,VLOOKUP($U$621,'TAR FIN'!$A$1:$O$113,15,0))</f>
        <v>210.82</v>
      </c>
      <c r="Y621" s="4"/>
      <c r="Z621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1" s="4">
        <f>('TE BE'!$AA$22+'TE BF'!$AA$22+'TE CVA'!$AA$22)*(1-CUSTOS!$M$36)</f>
        <v>211.21139501317745</v>
      </c>
      <c r="AB621" s="4">
        <f t="shared" si="30"/>
        <v>0</v>
      </c>
      <c r="AC621" s="4">
        <f>(L621-M621)*(W621+X621)+($W$630+$X$630-$W$621-$X$621)*(L621)</f>
        <v>314495.62871999951</v>
      </c>
      <c r="AD621" s="4">
        <f t="shared" si="31"/>
        <v>0</v>
      </c>
      <c r="AE621" s="4">
        <f ca="1">(L621-M621)*(Z621+AA621)+($Z$630+$AA$630-$Z$621-$AA$621)*(L621)</f>
        <v>343059.66709536489</v>
      </c>
      <c r="AF621" s="3" t="s">
        <v>1028</v>
      </c>
    </row>
    <row r="622" spans="1:32" ht="11.25" customHeight="1" x14ac:dyDescent="0.25">
      <c r="A622" s="3" t="s">
        <v>27</v>
      </c>
      <c r="B622" s="3" t="s">
        <v>22</v>
      </c>
      <c r="C622" s="3" t="s">
        <v>23</v>
      </c>
      <c r="D622" s="3" t="s">
        <v>24</v>
      </c>
      <c r="E622" s="3" t="s">
        <v>31</v>
      </c>
      <c r="F622" s="3" t="s">
        <v>25</v>
      </c>
      <c r="G622" s="3" t="s">
        <v>25</v>
      </c>
      <c r="H622" s="3" t="s">
        <v>25</v>
      </c>
      <c r="I622" s="6">
        <v>44562</v>
      </c>
      <c r="J622" s="4">
        <v>0</v>
      </c>
      <c r="K622" s="4">
        <v>0</v>
      </c>
      <c r="L622" s="4">
        <v>-0.48499999999999999</v>
      </c>
      <c r="M622" s="4">
        <v>-0.48499999999999999</v>
      </c>
      <c r="N622" s="4">
        <v>-0.48499999999999999</v>
      </c>
      <c r="O622" s="4">
        <v>-0.48499999999999999</v>
      </c>
      <c r="P622" s="4">
        <v>-1</v>
      </c>
      <c r="Q622" s="3" t="s">
        <v>26</v>
      </c>
      <c r="R622" s="3">
        <v>0</v>
      </c>
      <c r="S622" s="3">
        <v>0</v>
      </c>
      <c r="T622" s="3">
        <v>28</v>
      </c>
      <c r="U622" s="3">
        <v>101</v>
      </c>
      <c r="V622" s="4">
        <f>IF(ISERROR(VLOOKUP($S$622,'TAR FIN'!$A$1:$O$113,15,0)),0,VLOOKUP($S$622,'TAR FIN'!$A$1:$O$113,15,0))</f>
        <v>0</v>
      </c>
      <c r="W622" s="4">
        <f>IF(ISERROR(VLOOKUP($T$622,'TAR FIN'!$A$1:$O$113,15,0)),0,VLOOKUP($T$622,'TAR FIN'!$A$1:$O$113,15,0))</f>
        <v>277.05</v>
      </c>
      <c r="X622" s="4">
        <f>IF(ISERROR(VLOOKUP($U$622,'TAR FIN'!$A$1:$O$113,15,0)),0,VLOOKUP($U$622,'TAR FIN'!$A$1:$O$113,15,0))</f>
        <v>210.82</v>
      </c>
      <c r="Y622" s="4"/>
      <c r="Z622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2" s="4">
        <f>('TE BE'!$AA$22+'TE BF'!$AA$22+'TE CVA'!$AA$22)*(1-CUSTOS!$M$36)</f>
        <v>211.21139501317745</v>
      </c>
      <c r="AB622" s="4">
        <f t="shared" si="30"/>
        <v>0</v>
      </c>
      <c r="AC622" s="4">
        <f>(L622-M622)*(W622+X622)+($W$630+$X$630-$W$622-$X$622)*(L622)</f>
        <v>-26.291849999999961</v>
      </c>
      <c r="AD622" s="4">
        <f t="shared" si="31"/>
        <v>0</v>
      </c>
      <c r="AE622" s="4">
        <f ca="1">(L622-M622)*(Z622+AA622)+($Z$630+$AA$630-$Z$622-$AA$622)*(L622)</f>
        <v>-28.679805010427074</v>
      </c>
      <c r="AF622" s="3" t="s">
        <v>1028</v>
      </c>
    </row>
    <row r="623" spans="1:32" ht="11.25" customHeight="1" x14ac:dyDescent="0.25">
      <c r="A623" s="3" t="s">
        <v>28</v>
      </c>
      <c r="B623" s="3" t="s">
        <v>22</v>
      </c>
      <c r="C623" s="3" t="s">
        <v>23</v>
      </c>
      <c r="D623" s="3" t="s">
        <v>24</v>
      </c>
      <c r="E623" s="3" t="s">
        <v>31</v>
      </c>
      <c r="F623" s="3" t="s">
        <v>25</v>
      </c>
      <c r="G623" s="3" t="s">
        <v>25</v>
      </c>
      <c r="H623" s="3" t="s">
        <v>25</v>
      </c>
      <c r="I623" s="6">
        <v>44562</v>
      </c>
      <c r="J623" s="4">
        <v>0</v>
      </c>
      <c r="K623" s="4">
        <v>0</v>
      </c>
      <c r="L623" s="4">
        <v>2.5019999999999998</v>
      </c>
      <c r="M623" s="4">
        <v>2.5019999999999998</v>
      </c>
      <c r="N623" s="4">
        <v>2.5019999999999998</v>
      </c>
      <c r="O623" s="4">
        <v>2.5019999999999998</v>
      </c>
      <c r="P623" s="4">
        <v>18</v>
      </c>
      <c r="Q623" s="3" t="s">
        <v>26</v>
      </c>
      <c r="R623" s="3">
        <v>0</v>
      </c>
      <c r="S623" s="3">
        <v>0</v>
      </c>
      <c r="T623" s="3">
        <v>28</v>
      </c>
      <c r="U623" s="3">
        <v>101</v>
      </c>
      <c r="V623" s="4">
        <f>IF(ISERROR(VLOOKUP($S$623,'TAR FIN'!$A$1:$O$113,15,0)),0,VLOOKUP($S$623,'TAR FIN'!$A$1:$O$113,15,0))</f>
        <v>0</v>
      </c>
      <c r="W623" s="4">
        <f>IF(ISERROR(VLOOKUP($T$623,'TAR FIN'!$A$1:$O$113,15,0)),0,VLOOKUP($T$623,'TAR FIN'!$A$1:$O$113,15,0))</f>
        <v>277.05</v>
      </c>
      <c r="X623" s="4">
        <f>IF(ISERROR(VLOOKUP($U$623,'TAR FIN'!$A$1:$O$113,15,0)),0,VLOOKUP($U$623,'TAR FIN'!$A$1:$O$113,15,0))</f>
        <v>210.82</v>
      </c>
      <c r="Y623" s="4"/>
      <c r="Z623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3" s="4">
        <f>('TE BE'!$AA$22+'TE BF'!$AA$22+'TE CVA'!$AA$22)*(1-CUSTOS!$M$36)</f>
        <v>211.21139501317745</v>
      </c>
      <c r="AB623" s="4">
        <f t="shared" si="30"/>
        <v>0</v>
      </c>
      <c r="AC623" s="4">
        <f>(L623-M623)*(W623+X623)+($W$630+$X$630-$W$623-$X$623)*(L623)</f>
        <v>135.6334199999998</v>
      </c>
      <c r="AD623" s="4">
        <f t="shared" si="31"/>
        <v>0</v>
      </c>
      <c r="AE623" s="4">
        <f ca="1">(L623-M623)*(Z623+AA623)+($Z$630+$AA$630-$Z$623-$AA$623)*(L623)</f>
        <v>147.95231368265678</v>
      </c>
      <c r="AF623" s="3" t="s">
        <v>1028</v>
      </c>
    </row>
    <row r="624" spans="1:32" ht="11.25" customHeight="1" x14ac:dyDescent="0.25">
      <c r="A624" s="3" t="s">
        <v>21</v>
      </c>
      <c r="B624" s="3" t="s">
        <v>22</v>
      </c>
      <c r="C624" s="3" t="s">
        <v>23</v>
      </c>
      <c r="D624" s="3" t="s">
        <v>24</v>
      </c>
      <c r="E624" s="3" t="s">
        <v>31</v>
      </c>
      <c r="F624" s="3" t="s">
        <v>25</v>
      </c>
      <c r="G624" s="3" t="s">
        <v>25</v>
      </c>
      <c r="H624" s="3" t="s">
        <v>25</v>
      </c>
      <c r="I624" s="6">
        <v>44593</v>
      </c>
      <c r="J624" s="4">
        <v>0</v>
      </c>
      <c r="K624" s="4">
        <v>0</v>
      </c>
      <c r="L624" s="4">
        <v>5685.732</v>
      </c>
      <c r="M624" s="4">
        <v>5685.732</v>
      </c>
      <c r="N624" s="4">
        <v>5685.732</v>
      </c>
      <c r="O624" s="4">
        <v>5685.732</v>
      </c>
      <c r="P624" s="4">
        <v>92791</v>
      </c>
      <c r="Q624" s="3" t="s">
        <v>26</v>
      </c>
      <c r="R624" s="3">
        <v>0</v>
      </c>
      <c r="S624" s="3">
        <v>0</v>
      </c>
      <c r="T624" s="3">
        <v>28</v>
      </c>
      <c r="U624" s="3">
        <v>101</v>
      </c>
      <c r="V624" s="4">
        <f>IF(ISERROR(VLOOKUP($S$624,'TAR FIN'!$A$1:$O$113,15,0)),0,VLOOKUP($S$624,'TAR FIN'!$A$1:$O$113,15,0))</f>
        <v>0</v>
      </c>
      <c r="W624" s="4">
        <f>IF(ISERROR(VLOOKUP($T$624,'TAR FIN'!$A$1:$O$113,15,0)),0,VLOOKUP($T$624,'TAR FIN'!$A$1:$O$113,15,0))</f>
        <v>277.05</v>
      </c>
      <c r="X624" s="4">
        <f>IF(ISERROR(VLOOKUP($U$624,'TAR FIN'!$A$1:$O$113,15,0)),0,VLOOKUP($U$624,'TAR FIN'!$A$1:$O$113,15,0))</f>
        <v>210.82</v>
      </c>
      <c r="Y624" s="4"/>
      <c r="Z624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4" s="4">
        <f>('TE BE'!$AA$22+'TE BF'!$AA$22+'TE CVA'!$AA$22)*(1-CUSTOS!$M$36)</f>
        <v>211.21139501317745</v>
      </c>
      <c r="AB624" s="4">
        <f t="shared" si="30"/>
        <v>0</v>
      </c>
      <c r="AC624" s="4">
        <f>(L624-M624)*(W624+X624)+($W$630+$X$630-$W$624-$X$624)*(L624)</f>
        <v>308223.53171999956</v>
      </c>
      <c r="AD624" s="4">
        <f t="shared" si="31"/>
        <v>0</v>
      </c>
      <c r="AE624" s="4">
        <f ca="1">(L624-M624)*(Z624+AA624)+($Z$630+$AA$630-$Z$624-$AA$624)*(L624)</f>
        <v>336217.9074258671</v>
      </c>
      <c r="AF624" s="3" t="s">
        <v>1028</v>
      </c>
    </row>
    <row r="625" spans="1:32" ht="11.25" customHeight="1" x14ac:dyDescent="0.25">
      <c r="A625" s="3" t="s">
        <v>27</v>
      </c>
      <c r="B625" s="3" t="s">
        <v>22</v>
      </c>
      <c r="C625" s="3" t="s">
        <v>23</v>
      </c>
      <c r="D625" s="3" t="s">
        <v>24</v>
      </c>
      <c r="E625" s="3" t="s">
        <v>31</v>
      </c>
      <c r="F625" s="3" t="s">
        <v>25</v>
      </c>
      <c r="G625" s="3" t="s">
        <v>25</v>
      </c>
      <c r="H625" s="3" t="s">
        <v>25</v>
      </c>
      <c r="I625" s="6">
        <v>44593</v>
      </c>
      <c r="J625" s="4">
        <v>0</v>
      </c>
      <c r="K625" s="4">
        <v>0</v>
      </c>
      <c r="L625" s="4">
        <v>-0.94499999999999995</v>
      </c>
      <c r="M625" s="4">
        <v>-0.94499999999999995</v>
      </c>
      <c r="N625" s="4">
        <v>-0.94499999999999995</v>
      </c>
      <c r="O625" s="4">
        <v>-0.94499999999999995</v>
      </c>
      <c r="P625" s="4">
        <v>-5</v>
      </c>
      <c r="Q625" s="3" t="s">
        <v>26</v>
      </c>
      <c r="R625" s="3">
        <v>0</v>
      </c>
      <c r="S625" s="3">
        <v>0</v>
      </c>
      <c r="T625" s="3">
        <v>28</v>
      </c>
      <c r="U625" s="3">
        <v>101</v>
      </c>
      <c r="V625" s="4">
        <f>IF(ISERROR(VLOOKUP($S$625,'TAR FIN'!$A$1:$O$113,15,0)),0,VLOOKUP($S$625,'TAR FIN'!$A$1:$O$113,15,0))</f>
        <v>0</v>
      </c>
      <c r="W625" s="4">
        <f>IF(ISERROR(VLOOKUP($T$625,'TAR FIN'!$A$1:$O$113,15,0)),0,VLOOKUP($T$625,'TAR FIN'!$A$1:$O$113,15,0))</f>
        <v>277.05</v>
      </c>
      <c r="X625" s="4">
        <f>IF(ISERROR(VLOOKUP($U$625,'TAR FIN'!$A$1:$O$113,15,0)),0,VLOOKUP($U$625,'TAR FIN'!$A$1:$O$113,15,0))</f>
        <v>210.82</v>
      </c>
      <c r="Y625" s="4"/>
      <c r="Z625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5" s="4">
        <f>('TE BE'!$AA$22+'TE BF'!$AA$22+'TE CVA'!$AA$22)*(1-CUSTOS!$M$36)</f>
        <v>211.21139501317745</v>
      </c>
      <c r="AB625" s="4">
        <f t="shared" si="30"/>
        <v>0</v>
      </c>
      <c r="AC625" s="4">
        <f>(L625-M625)*(W625+X625)+($W$630+$X$630-$W$625-$X$625)*(L625)</f>
        <v>-51.228449999999924</v>
      </c>
      <c r="AD625" s="4">
        <f t="shared" si="31"/>
        <v>0</v>
      </c>
      <c r="AE625" s="4">
        <f ca="1">(L625-M625)*(Z625+AA625)+($Z$630+$AA$630-$Z$625-$AA$625)*(L625)</f>
        <v>-55.881269556399147</v>
      </c>
      <c r="AF625" s="3" t="s">
        <v>1028</v>
      </c>
    </row>
    <row r="626" spans="1:32" ht="11.25" customHeight="1" x14ac:dyDescent="0.25">
      <c r="A626" s="3" t="s">
        <v>28</v>
      </c>
      <c r="B626" s="3" t="s">
        <v>22</v>
      </c>
      <c r="C626" s="3" t="s">
        <v>23</v>
      </c>
      <c r="D626" s="3" t="s">
        <v>24</v>
      </c>
      <c r="E626" s="3" t="s">
        <v>31</v>
      </c>
      <c r="F626" s="3" t="s">
        <v>25</v>
      </c>
      <c r="G626" s="3" t="s">
        <v>25</v>
      </c>
      <c r="H626" s="3" t="s">
        <v>25</v>
      </c>
      <c r="I626" s="6">
        <v>44593</v>
      </c>
      <c r="J626" s="4">
        <v>0</v>
      </c>
      <c r="K626" s="4">
        <v>0</v>
      </c>
      <c r="L626" s="4">
        <v>2.363</v>
      </c>
      <c r="M626" s="4">
        <v>2.363</v>
      </c>
      <c r="N626" s="4">
        <v>2.363</v>
      </c>
      <c r="O626" s="4">
        <v>2.363</v>
      </c>
      <c r="P626" s="4">
        <v>17</v>
      </c>
      <c r="Q626" s="3" t="s">
        <v>26</v>
      </c>
      <c r="R626" s="3">
        <v>0</v>
      </c>
      <c r="S626" s="3">
        <v>0</v>
      </c>
      <c r="T626" s="3">
        <v>28</v>
      </c>
      <c r="U626" s="3">
        <v>101</v>
      </c>
      <c r="V626" s="4">
        <f>IF(ISERROR(VLOOKUP($S$626,'TAR FIN'!$A$1:$O$113,15,0)),0,VLOOKUP($S$626,'TAR FIN'!$A$1:$O$113,15,0))</f>
        <v>0</v>
      </c>
      <c r="W626" s="4">
        <f>IF(ISERROR(VLOOKUP($T$626,'TAR FIN'!$A$1:$O$113,15,0)),0,VLOOKUP($T$626,'TAR FIN'!$A$1:$O$113,15,0))</f>
        <v>277.05</v>
      </c>
      <c r="X626" s="4">
        <f>IF(ISERROR(VLOOKUP($U$626,'TAR FIN'!$A$1:$O$113,15,0)),0,VLOOKUP($U$626,'TAR FIN'!$A$1:$O$113,15,0))</f>
        <v>210.82</v>
      </c>
      <c r="Y626" s="4"/>
      <c r="Z626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6" s="4">
        <f>('TE BE'!$AA$22+'TE BF'!$AA$22+'TE CVA'!$AA$22)*(1-CUSTOS!$M$36)</f>
        <v>211.21139501317745</v>
      </c>
      <c r="AB626" s="4">
        <f t="shared" si="30"/>
        <v>0</v>
      </c>
      <c r="AC626" s="4">
        <f>(L626-M626)*(W626+X626)+($W$630+$X$630-$W$626-$X$626)*(L626)</f>
        <v>128.09822999999983</v>
      </c>
      <c r="AD626" s="4">
        <f t="shared" si="31"/>
        <v>0</v>
      </c>
      <c r="AE626" s="4">
        <f ca="1">(L626-M626)*(Z626+AA626)+($Z$630+$AA$630-$Z$626-$AA$626)*(L626)</f>
        <v>139.73274070028697</v>
      </c>
      <c r="AF626" s="3" t="s">
        <v>1028</v>
      </c>
    </row>
    <row r="627" spans="1:32" ht="11.25" customHeight="1" x14ac:dyDescent="0.25">
      <c r="A627" s="3" t="s">
        <v>56</v>
      </c>
      <c r="B627" s="3" t="s">
        <v>22</v>
      </c>
      <c r="C627" s="3" t="s">
        <v>23</v>
      </c>
      <c r="D627" s="3" t="s">
        <v>24</v>
      </c>
      <c r="E627" s="3" t="s">
        <v>31</v>
      </c>
      <c r="F627" s="3" t="s">
        <v>25</v>
      </c>
      <c r="G627" s="3" t="s">
        <v>25</v>
      </c>
      <c r="H627" s="3" t="s">
        <v>25</v>
      </c>
      <c r="I627" s="6">
        <v>44621</v>
      </c>
      <c r="J627" s="4">
        <v>0</v>
      </c>
      <c r="K627" s="4">
        <v>0</v>
      </c>
      <c r="L627" s="4">
        <v>5685.732</v>
      </c>
      <c r="M627" s="4">
        <v>5685.732</v>
      </c>
      <c r="N627" s="4">
        <v>5685.732</v>
      </c>
      <c r="O627" s="4">
        <v>5685.732</v>
      </c>
      <c r="P627" s="4">
        <v>92791</v>
      </c>
      <c r="Q627" s="3" t="s">
        <v>26</v>
      </c>
      <c r="R627" s="3">
        <v>0</v>
      </c>
      <c r="S627" s="3">
        <v>0</v>
      </c>
      <c r="T627" s="3">
        <v>28</v>
      </c>
      <c r="U627" s="3">
        <v>101</v>
      </c>
      <c r="V627" s="4">
        <f>IF(ISERROR(VLOOKUP($S$627,'TAR FIN'!$A$1:$O$113,15,0)),0,VLOOKUP($S$627,'TAR FIN'!$A$1:$O$113,15,0))</f>
        <v>0</v>
      </c>
      <c r="W627" s="4">
        <f>IF(ISERROR(VLOOKUP($T$627,'TAR FIN'!$A$1:$O$113,15,0)),0,VLOOKUP($T$627,'TAR FIN'!$A$1:$O$113,15,0))</f>
        <v>277.05</v>
      </c>
      <c r="X627" s="4">
        <f>IF(ISERROR(VLOOKUP($U$627,'TAR FIN'!$A$1:$O$113,15,0)),0,VLOOKUP($U$627,'TAR FIN'!$A$1:$O$113,15,0))</f>
        <v>210.82</v>
      </c>
      <c r="Y627" s="4"/>
      <c r="Z627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7" s="4">
        <f>('TE BE'!$AA$22+'TE BF'!$AA$22+'TE CVA'!$AA$22)*(1-CUSTOS!$M$36)</f>
        <v>211.21139501317745</v>
      </c>
      <c r="AB627" s="4">
        <f t="shared" si="30"/>
        <v>0</v>
      </c>
      <c r="AC627" s="4">
        <f>(L627-M627)*(W627+X627)+($W$630+$X$630-$W$627-$X$627)*(L627)</f>
        <v>308223.53171999956</v>
      </c>
      <c r="AD627" s="4">
        <f t="shared" si="31"/>
        <v>0</v>
      </c>
      <c r="AE627" s="4">
        <f ca="1">(L627-M627)*(Z627+AA627)+($Z$630+$AA$630-$Z$627-$AA$627)*(L627)</f>
        <v>336217.9074258671</v>
      </c>
      <c r="AF627" s="3" t="s">
        <v>1028</v>
      </c>
    </row>
    <row r="628" spans="1:32" ht="11.25" customHeight="1" x14ac:dyDescent="0.25">
      <c r="A628" s="3" t="s">
        <v>56</v>
      </c>
      <c r="B628" s="3" t="s">
        <v>22</v>
      </c>
      <c r="C628" s="3" t="s">
        <v>23</v>
      </c>
      <c r="D628" s="3" t="s">
        <v>24</v>
      </c>
      <c r="E628" s="3" t="s">
        <v>31</v>
      </c>
      <c r="F628" s="3" t="s">
        <v>25</v>
      </c>
      <c r="G628" s="3" t="s">
        <v>25</v>
      </c>
      <c r="H628" s="3" t="s">
        <v>25</v>
      </c>
      <c r="I628" s="6">
        <v>44621</v>
      </c>
      <c r="J628" s="4">
        <v>0</v>
      </c>
      <c r="K628" s="4">
        <v>0</v>
      </c>
      <c r="L628" s="4">
        <v>-0.94499999999999995</v>
      </c>
      <c r="M628" s="4">
        <v>-0.94499999999999995</v>
      </c>
      <c r="N628" s="4">
        <v>-0.94499999999999995</v>
      </c>
      <c r="O628" s="4">
        <v>-0.94499999999999995</v>
      </c>
      <c r="P628" s="4">
        <v>-5</v>
      </c>
      <c r="Q628" s="3" t="s">
        <v>26</v>
      </c>
      <c r="R628" s="3">
        <v>0</v>
      </c>
      <c r="S628" s="3">
        <v>0</v>
      </c>
      <c r="T628" s="3">
        <v>28</v>
      </c>
      <c r="U628" s="3">
        <v>101</v>
      </c>
      <c r="V628" s="4">
        <f>IF(ISERROR(VLOOKUP($S$628,'TAR FIN'!$A$1:$O$113,15,0)),0,VLOOKUP($S$628,'TAR FIN'!$A$1:$O$113,15,0))</f>
        <v>0</v>
      </c>
      <c r="W628" s="4">
        <f>IF(ISERROR(VLOOKUP($T$628,'TAR FIN'!$A$1:$O$113,15,0)),0,VLOOKUP($T$628,'TAR FIN'!$A$1:$O$113,15,0))</f>
        <v>277.05</v>
      </c>
      <c r="X628" s="4">
        <f>IF(ISERROR(VLOOKUP($U$628,'TAR FIN'!$A$1:$O$113,15,0)),0,VLOOKUP($U$628,'TAR FIN'!$A$1:$O$113,15,0))</f>
        <v>210.82</v>
      </c>
      <c r="Y628" s="4"/>
      <c r="Z628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8" s="4">
        <f>('TE BE'!$AA$22+'TE BF'!$AA$22+'TE CVA'!$AA$22)*(1-CUSTOS!$M$36)</f>
        <v>211.21139501317745</v>
      </c>
      <c r="AB628" s="4">
        <f t="shared" si="30"/>
        <v>0</v>
      </c>
      <c r="AC628" s="4">
        <f>(L628-M628)*(W628+X628)+($W$630+$X$630-$W$628-$X$628)*(L628)</f>
        <v>-51.228449999999924</v>
      </c>
      <c r="AD628" s="4">
        <f t="shared" si="31"/>
        <v>0</v>
      </c>
      <c r="AE628" s="4">
        <f ca="1">(L628-M628)*(Z628+AA628)+($Z$630+$AA$630-$Z$628-$AA$628)*(L628)</f>
        <v>-55.881269556399147</v>
      </c>
      <c r="AF628" s="3" t="s">
        <v>1028</v>
      </c>
    </row>
    <row r="629" spans="1:32" ht="11.25" customHeight="1" x14ac:dyDescent="0.25">
      <c r="A629" s="3" t="s">
        <v>56</v>
      </c>
      <c r="B629" s="3" t="s">
        <v>22</v>
      </c>
      <c r="C629" s="3" t="s">
        <v>23</v>
      </c>
      <c r="D629" s="3" t="s">
        <v>24</v>
      </c>
      <c r="E629" s="3" t="s">
        <v>31</v>
      </c>
      <c r="F629" s="3" t="s">
        <v>25</v>
      </c>
      <c r="G629" s="3" t="s">
        <v>25</v>
      </c>
      <c r="H629" s="3" t="s">
        <v>25</v>
      </c>
      <c r="I629" s="6">
        <v>44621</v>
      </c>
      <c r="J629" s="4">
        <v>0</v>
      </c>
      <c r="K629" s="4">
        <v>0</v>
      </c>
      <c r="L629" s="4">
        <v>2.363</v>
      </c>
      <c r="M629" s="4">
        <v>2.363</v>
      </c>
      <c r="N629" s="4">
        <v>2.363</v>
      </c>
      <c r="O629" s="4">
        <v>2.363</v>
      </c>
      <c r="P629" s="4">
        <v>17</v>
      </c>
      <c r="Q629" s="3" t="s">
        <v>26</v>
      </c>
      <c r="R629" s="3">
        <v>0</v>
      </c>
      <c r="S629" s="3">
        <v>0</v>
      </c>
      <c r="T629" s="3">
        <v>28</v>
      </c>
      <c r="U629" s="3">
        <v>101</v>
      </c>
      <c r="V629" s="4">
        <f>IF(ISERROR(VLOOKUP($S$629,'TAR FIN'!$A$1:$O$113,15,0)),0,VLOOKUP($S$629,'TAR FIN'!$A$1:$O$113,15,0))</f>
        <v>0</v>
      </c>
      <c r="W629" s="4">
        <f>IF(ISERROR(VLOOKUP($T$629,'TAR FIN'!$A$1:$O$113,15,0)),0,VLOOKUP($T$629,'TAR FIN'!$A$1:$O$113,15,0))</f>
        <v>277.05</v>
      </c>
      <c r="X629" s="4">
        <f>IF(ISERROR(VLOOKUP($U$629,'TAR FIN'!$A$1:$O$113,15,0)),0,VLOOKUP($U$629,'TAR FIN'!$A$1:$O$113,15,0))</f>
        <v>210.82</v>
      </c>
      <c r="Y629" s="4"/>
      <c r="Z629" s="4">
        <f ca="1">('TUSD BE'!$AM$43+'TUSD BF'!$AM$43+'TUSD CVA'!$AM$43-('TUSD BE'!$P$43+'TUSD BF'!$P$43+'TUSD CVA'!$P$43)-('TUSD BE'!$Q$43+'TUSD BF'!$Q$43+'TUSD CVA'!$Q$43)-('TUSD BE'!$R$43+'TUSD BF'!$R$43+'TUSD CVA'!$R$43))*(1-CUSTOS!$M$36)</f>
        <v>320.99117219062447</v>
      </c>
      <c r="AA629" s="4">
        <f>('TE BE'!$AA$22+'TE BF'!$AA$22+'TE CVA'!$AA$22)*(1-CUSTOS!$M$36)</f>
        <v>211.21139501317745</v>
      </c>
      <c r="AB629" s="4">
        <f t="shared" si="30"/>
        <v>0</v>
      </c>
      <c r="AC629" s="4">
        <f>(L629-M629)*(W629+X629)+($W$630+$X$630-$W$629-$X$629)*(L629)</f>
        <v>128.09822999999983</v>
      </c>
      <c r="AD629" s="4">
        <f t="shared" si="31"/>
        <v>0</v>
      </c>
      <c r="AE629" s="4">
        <f ca="1">(L629-M629)*(Z629+AA629)+($Z$630+$AA$630-$Z$629-$AA$629)*(L629)</f>
        <v>139.73274070028697</v>
      </c>
      <c r="AF629" s="3" t="s">
        <v>1028</v>
      </c>
    </row>
    <row r="630" spans="1:32" ht="11.25" customHeight="1" x14ac:dyDescent="0.25">
      <c r="A630" s="3" t="s">
        <v>21</v>
      </c>
      <c r="B630" s="3" t="s">
        <v>22</v>
      </c>
      <c r="C630" s="3" t="s">
        <v>23</v>
      </c>
      <c r="D630" s="3" t="s">
        <v>24</v>
      </c>
      <c r="E630" s="3" t="s">
        <v>32</v>
      </c>
      <c r="F630" s="3" t="s">
        <v>25</v>
      </c>
      <c r="G630" s="3" t="s">
        <v>25</v>
      </c>
      <c r="H630" s="3" t="s">
        <v>25</v>
      </c>
      <c r="I630" s="6">
        <v>44287</v>
      </c>
      <c r="J630" s="4">
        <v>0</v>
      </c>
      <c r="K630" s="4">
        <v>0</v>
      </c>
      <c r="L630" s="4">
        <v>1840.585</v>
      </c>
      <c r="M630" s="4">
        <v>1840.585</v>
      </c>
      <c r="N630" s="4">
        <v>1840.585</v>
      </c>
      <c r="O630" s="4">
        <v>1840.585</v>
      </c>
      <c r="P630" s="4">
        <v>18521</v>
      </c>
      <c r="Q630" s="3" t="s">
        <v>26</v>
      </c>
      <c r="R630" s="3">
        <v>0</v>
      </c>
      <c r="S630" s="3">
        <v>0</v>
      </c>
      <c r="T630" s="3">
        <v>29</v>
      </c>
      <c r="U630" s="3">
        <v>66</v>
      </c>
      <c r="V630" s="4">
        <f>IF(ISERROR(VLOOKUP($S$630,'TAR FIN'!$A$1:$O$113,15,0)),0,VLOOKUP($S$630,'TAR FIN'!$A$1:$O$113,15,0))</f>
        <v>0</v>
      </c>
      <c r="W630" s="4">
        <f>IF(ISERROR(VLOOKUP($T$630,'TAR FIN'!$A$1:$O$113,15,0)),0,VLOOKUP($T$630,'TAR FIN'!$A$1:$O$113,15,0))</f>
        <v>307.83999999999997</v>
      </c>
      <c r="X630" s="4">
        <f>IF(ISERROR(VLOOKUP($U$630,'TAR FIN'!$A$1:$O$113,15,0)),0,VLOOKUP($U$630,'TAR FIN'!$A$1:$O$113,15,0))</f>
        <v>234.24</v>
      </c>
      <c r="Y630" s="4"/>
      <c r="Z63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0" s="4">
        <f>('TE BE'!$AA$23+'TE BF'!$AA$23+'TE CVA'!$AA$23)*(1-CUSTOS!$M$37)</f>
        <v>234.67932779241937</v>
      </c>
      <c r="AB630" s="4">
        <f t="shared" si="30"/>
        <v>0</v>
      </c>
      <c r="AC630" s="4">
        <f>(L630-M630)*(W630+X630)+($W$630+$X$630-$W$630-$X$630)*(L630)</f>
        <v>-1.0462514410392032E-10</v>
      </c>
      <c r="AD630" s="4">
        <f t="shared" si="31"/>
        <v>0</v>
      </c>
      <c r="AE630" s="4">
        <f ca="1">(L630-M630)*(Z630+AA630)+($Z$630+$AA$630-$Z$630-$AA$630)*(L630)</f>
        <v>0</v>
      </c>
      <c r="AF630" s="3" t="s">
        <v>1028</v>
      </c>
    </row>
    <row r="631" spans="1:32" ht="11.25" customHeight="1" x14ac:dyDescent="0.25">
      <c r="A631" s="3" t="s">
        <v>27</v>
      </c>
      <c r="B631" s="3" t="s">
        <v>22</v>
      </c>
      <c r="C631" s="3" t="s">
        <v>23</v>
      </c>
      <c r="D631" s="3" t="s">
        <v>24</v>
      </c>
      <c r="E631" s="3" t="s">
        <v>32</v>
      </c>
      <c r="F631" s="3" t="s">
        <v>25</v>
      </c>
      <c r="G631" s="3" t="s">
        <v>25</v>
      </c>
      <c r="H631" s="3" t="s">
        <v>25</v>
      </c>
      <c r="I631" s="6">
        <v>44287</v>
      </c>
      <c r="J631" s="4">
        <v>0</v>
      </c>
      <c r="K631" s="4">
        <v>0</v>
      </c>
      <c r="L631" s="4">
        <v>-6.4489999999999998</v>
      </c>
      <c r="M631" s="4">
        <v>-6.4489999999999998</v>
      </c>
      <c r="N631" s="4">
        <v>-6.4489999999999998</v>
      </c>
      <c r="O631" s="4">
        <v>-6.4489999999999998</v>
      </c>
      <c r="P631" s="4">
        <v>-4</v>
      </c>
      <c r="Q631" s="3" t="s">
        <v>26</v>
      </c>
      <c r="R631" s="3">
        <v>0</v>
      </c>
      <c r="S631" s="3">
        <v>0</v>
      </c>
      <c r="T631" s="3">
        <v>29</v>
      </c>
      <c r="U631" s="3">
        <v>66</v>
      </c>
      <c r="V631" s="4">
        <f>IF(ISERROR(VLOOKUP($S$631,'TAR FIN'!$A$1:$O$113,15,0)),0,VLOOKUP($S$631,'TAR FIN'!$A$1:$O$113,15,0))</f>
        <v>0</v>
      </c>
      <c r="W631" s="4">
        <f>IF(ISERROR(VLOOKUP($T$631,'TAR FIN'!$A$1:$O$113,15,0)),0,VLOOKUP($T$631,'TAR FIN'!$A$1:$O$113,15,0))</f>
        <v>307.83999999999997</v>
      </c>
      <c r="X631" s="4">
        <f>IF(ISERROR(VLOOKUP($U$631,'TAR FIN'!$A$1:$O$113,15,0)),0,VLOOKUP($U$631,'TAR FIN'!$A$1:$O$113,15,0))</f>
        <v>234.24</v>
      </c>
      <c r="Y631" s="4"/>
      <c r="Z63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1" s="4">
        <f>('TE BE'!$AA$23+'TE BF'!$AA$23+'TE CVA'!$AA$23)*(1-CUSTOS!$M$37)</f>
        <v>234.67932779241937</v>
      </c>
      <c r="AB631" s="4">
        <f t="shared" si="30"/>
        <v>0</v>
      </c>
      <c r="AC631" s="4">
        <f>(L631-M631)*(W631+X631)+($W$630+$X$630-$W$631-$X$631)*(L631)</f>
        <v>3.6658320823335088E-13</v>
      </c>
      <c r="AD631" s="4">
        <f t="shared" si="31"/>
        <v>0</v>
      </c>
      <c r="AE631" s="4">
        <f ca="1">(L631-M631)*(Z631+AA631)+($Z$630+$AA$630-$Z$631-$AA$631)*(L631)</f>
        <v>0</v>
      </c>
      <c r="AF631" s="3" t="s">
        <v>1028</v>
      </c>
    </row>
    <row r="632" spans="1:32" ht="11.25" customHeight="1" x14ac:dyDescent="0.25">
      <c r="A632" s="3" t="s">
        <v>28</v>
      </c>
      <c r="B632" s="3" t="s">
        <v>22</v>
      </c>
      <c r="C632" s="3" t="s">
        <v>23</v>
      </c>
      <c r="D632" s="3" t="s">
        <v>24</v>
      </c>
      <c r="E632" s="3" t="s">
        <v>32</v>
      </c>
      <c r="F632" s="3" t="s">
        <v>25</v>
      </c>
      <c r="G632" s="3" t="s">
        <v>25</v>
      </c>
      <c r="H632" s="3" t="s">
        <v>25</v>
      </c>
      <c r="I632" s="6">
        <v>44287</v>
      </c>
      <c r="J632" s="4">
        <v>0</v>
      </c>
      <c r="K632" s="4">
        <v>0</v>
      </c>
      <c r="L632" s="4">
        <v>2.9940000000000002</v>
      </c>
      <c r="M632" s="4">
        <v>2.9940000000000002</v>
      </c>
      <c r="N632" s="4">
        <v>2.9940000000000002</v>
      </c>
      <c r="O632" s="4">
        <v>2.9940000000000002</v>
      </c>
      <c r="P632" s="4">
        <v>23</v>
      </c>
      <c r="Q632" s="3" t="s">
        <v>26</v>
      </c>
      <c r="R632" s="3">
        <v>0</v>
      </c>
      <c r="S632" s="3">
        <v>0</v>
      </c>
      <c r="T632" s="3">
        <v>29</v>
      </c>
      <c r="U632" s="3">
        <v>66</v>
      </c>
      <c r="V632" s="4">
        <f>IF(ISERROR(VLOOKUP($S$632,'TAR FIN'!$A$1:$O$113,15,0)),0,VLOOKUP($S$632,'TAR FIN'!$A$1:$O$113,15,0))</f>
        <v>0</v>
      </c>
      <c r="W632" s="4">
        <f>IF(ISERROR(VLOOKUP($T$632,'TAR FIN'!$A$1:$O$113,15,0)),0,VLOOKUP($T$632,'TAR FIN'!$A$1:$O$113,15,0))</f>
        <v>307.83999999999997</v>
      </c>
      <c r="X632" s="4">
        <f>IF(ISERROR(VLOOKUP($U$632,'TAR FIN'!$A$1:$O$113,15,0)),0,VLOOKUP($U$632,'TAR FIN'!$A$1:$O$113,15,0))</f>
        <v>234.24</v>
      </c>
      <c r="Y632" s="4"/>
      <c r="Z63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2" s="4">
        <f>('TE BE'!$AA$23+'TE BF'!$AA$23+'TE CVA'!$AA$23)*(1-CUSTOS!$M$37)</f>
        <v>234.67932779241937</v>
      </c>
      <c r="AB632" s="4">
        <f t="shared" si="30"/>
        <v>0</v>
      </c>
      <c r="AC632" s="4">
        <f>(L632-M632)*(W632+X632)+($W$630+$X$630-$W$632-$X$632)*(L632)</f>
        <v>-1.7018919606925921E-13</v>
      </c>
      <c r="AD632" s="4">
        <f t="shared" si="31"/>
        <v>0</v>
      </c>
      <c r="AE632" s="4">
        <f ca="1">(L632-M632)*(Z632+AA632)+($Z$630+$AA$630-$Z$632-$AA$632)*(L632)</f>
        <v>0</v>
      </c>
      <c r="AF632" s="3" t="s">
        <v>1028</v>
      </c>
    </row>
    <row r="633" spans="1:32" ht="11.25" customHeight="1" x14ac:dyDescent="0.25">
      <c r="A633" s="3" t="s">
        <v>21</v>
      </c>
      <c r="B633" s="3" t="s">
        <v>22</v>
      </c>
      <c r="C633" s="3" t="s">
        <v>23</v>
      </c>
      <c r="D633" s="3" t="s">
        <v>24</v>
      </c>
      <c r="E633" s="3" t="s">
        <v>32</v>
      </c>
      <c r="F633" s="3" t="s">
        <v>25</v>
      </c>
      <c r="G633" s="3" t="s">
        <v>25</v>
      </c>
      <c r="H633" s="3" t="s">
        <v>25</v>
      </c>
      <c r="I633" s="6">
        <v>44317</v>
      </c>
      <c r="J633" s="4">
        <v>0</v>
      </c>
      <c r="K633" s="4">
        <v>0</v>
      </c>
      <c r="L633" s="4">
        <v>1271.867</v>
      </c>
      <c r="M633" s="4">
        <v>1271.867</v>
      </c>
      <c r="N633" s="4">
        <v>1271.867</v>
      </c>
      <c r="O633" s="4">
        <v>1271.867</v>
      </c>
      <c r="P633" s="4">
        <v>13296</v>
      </c>
      <c r="Q633" s="3" t="s">
        <v>26</v>
      </c>
      <c r="R633" s="3">
        <v>0</v>
      </c>
      <c r="S633" s="3">
        <v>0</v>
      </c>
      <c r="T633" s="3">
        <v>29</v>
      </c>
      <c r="U633" s="3">
        <v>66</v>
      </c>
      <c r="V633" s="4">
        <f>IF(ISERROR(VLOOKUP($S$633,'TAR FIN'!$A$1:$O$113,15,0)),0,VLOOKUP($S$633,'TAR FIN'!$A$1:$O$113,15,0))</f>
        <v>0</v>
      </c>
      <c r="W633" s="4">
        <f>IF(ISERROR(VLOOKUP($T$633,'TAR FIN'!$A$1:$O$113,15,0)),0,VLOOKUP($T$633,'TAR FIN'!$A$1:$O$113,15,0))</f>
        <v>307.83999999999997</v>
      </c>
      <c r="X633" s="4">
        <f>IF(ISERROR(VLOOKUP($U$633,'TAR FIN'!$A$1:$O$113,15,0)),0,VLOOKUP($U$633,'TAR FIN'!$A$1:$O$113,15,0))</f>
        <v>234.24</v>
      </c>
      <c r="Y633" s="4"/>
      <c r="Z63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3" s="4">
        <f>('TE BE'!$AA$23+'TE BF'!$AA$23+'TE CVA'!$AA$23)*(1-CUSTOS!$M$37)</f>
        <v>234.67932779241937</v>
      </c>
      <c r="AB633" s="4">
        <f t="shared" si="30"/>
        <v>0</v>
      </c>
      <c r="AC633" s="4">
        <f>(L633-M633)*(W633+X633)+($W$630+$X$630-$W$633-$X$633)*(L633)</f>
        <v>-7.2297268616239305E-11</v>
      </c>
      <c r="AD633" s="4">
        <f t="shared" si="31"/>
        <v>0</v>
      </c>
      <c r="AE633" s="4">
        <f ca="1">(L633-M633)*(Z633+AA633)+($Z$630+$AA$630-$Z$633-$AA$633)*(L633)</f>
        <v>0</v>
      </c>
      <c r="AF633" s="3" t="s">
        <v>1028</v>
      </c>
    </row>
    <row r="634" spans="1:32" ht="11.25" customHeight="1" x14ac:dyDescent="0.25">
      <c r="A634" s="3" t="s">
        <v>27</v>
      </c>
      <c r="B634" s="3" t="s">
        <v>22</v>
      </c>
      <c r="C634" s="3" t="s">
        <v>23</v>
      </c>
      <c r="D634" s="3" t="s">
        <v>24</v>
      </c>
      <c r="E634" s="3" t="s">
        <v>32</v>
      </c>
      <c r="F634" s="3" t="s">
        <v>25</v>
      </c>
      <c r="G634" s="3" t="s">
        <v>25</v>
      </c>
      <c r="H634" s="3" t="s">
        <v>25</v>
      </c>
      <c r="I634" s="6">
        <v>44317</v>
      </c>
      <c r="J634" s="4">
        <v>0</v>
      </c>
      <c r="K634" s="4">
        <v>0</v>
      </c>
      <c r="L634" s="4">
        <v>-9.8000000000000004E-2</v>
      </c>
      <c r="M634" s="4">
        <v>-9.8000000000000004E-2</v>
      </c>
      <c r="N634" s="4">
        <v>-9.8000000000000004E-2</v>
      </c>
      <c r="O634" s="4">
        <v>-9.8000000000000004E-2</v>
      </c>
      <c r="P634" s="4">
        <v>-2</v>
      </c>
      <c r="Q634" s="3" t="s">
        <v>26</v>
      </c>
      <c r="R634" s="3">
        <v>0</v>
      </c>
      <c r="S634" s="3">
        <v>0</v>
      </c>
      <c r="T634" s="3">
        <v>29</v>
      </c>
      <c r="U634" s="3">
        <v>66</v>
      </c>
      <c r="V634" s="4">
        <f>IF(ISERROR(VLOOKUP($S$634,'TAR FIN'!$A$1:$O$113,15,0)),0,VLOOKUP($S$634,'TAR FIN'!$A$1:$O$113,15,0))</f>
        <v>0</v>
      </c>
      <c r="W634" s="4">
        <f>IF(ISERROR(VLOOKUP($T$634,'TAR FIN'!$A$1:$O$113,15,0)),0,VLOOKUP($T$634,'TAR FIN'!$A$1:$O$113,15,0))</f>
        <v>307.83999999999997</v>
      </c>
      <c r="X634" s="4">
        <f>IF(ISERROR(VLOOKUP($U$634,'TAR FIN'!$A$1:$O$113,15,0)),0,VLOOKUP($U$634,'TAR FIN'!$A$1:$O$113,15,0))</f>
        <v>234.24</v>
      </c>
      <c r="Y634" s="4"/>
      <c r="Z63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4" s="4">
        <f>('TE BE'!$AA$23+'TE BF'!$AA$23+'TE CVA'!$AA$23)*(1-CUSTOS!$M$37)</f>
        <v>234.67932779241937</v>
      </c>
      <c r="AB634" s="4">
        <f t="shared" si="30"/>
        <v>0</v>
      </c>
      <c r="AC634" s="4">
        <f>(L634-M634)*(W634+X634)+($W$630+$X$630-$W$634-$X$634)*(L634)</f>
        <v>5.5706550483591857E-15</v>
      </c>
      <c r="AD634" s="4">
        <f t="shared" si="31"/>
        <v>0</v>
      </c>
      <c r="AE634" s="4">
        <f ca="1">(L634-M634)*(Z634+AA634)+($Z$630+$AA$630-$Z$634-$AA$634)*(L634)</f>
        <v>0</v>
      </c>
      <c r="AF634" s="3" t="s">
        <v>1028</v>
      </c>
    </row>
    <row r="635" spans="1:32" ht="11.25" customHeight="1" x14ac:dyDescent="0.25">
      <c r="A635" s="3" t="s">
        <v>28</v>
      </c>
      <c r="B635" s="3" t="s">
        <v>22</v>
      </c>
      <c r="C635" s="3" t="s">
        <v>23</v>
      </c>
      <c r="D635" s="3" t="s">
        <v>24</v>
      </c>
      <c r="E635" s="3" t="s">
        <v>32</v>
      </c>
      <c r="F635" s="3" t="s">
        <v>25</v>
      </c>
      <c r="G635" s="3" t="s">
        <v>25</v>
      </c>
      <c r="H635" s="3" t="s">
        <v>25</v>
      </c>
      <c r="I635" s="6">
        <v>44317</v>
      </c>
      <c r="J635" s="4">
        <v>0</v>
      </c>
      <c r="K635" s="4">
        <v>0</v>
      </c>
      <c r="L635" s="4">
        <v>2.5760000000000001</v>
      </c>
      <c r="M635" s="4">
        <v>2.5760000000000001</v>
      </c>
      <c r="N635" s="4">
        <v>2.5760000000000001</v>
      </c>
      <c r="O635" s="4">
        <v>2.5760000000000001</v>
      </c>
      <c r="P635" s="4">
        <v>23</v>
      </c>
      <c r="Q635" s="3" t="s">
        <v>26</v>
      </c>
      <c r="R635" s="3">
        <v>0</v>
      </c>
      <c r="S635" s="3">
        <v>0</v>
      </c>
      <c r="T635" s="3">
        <v>29</v>
      </c>
      <c r="U635" s="3">
        <v>66</v>
      </c>
      <c r="V635" s="4">
        <f>IF(ISERROR(VLOOKUP($S$635,'TAR FIN'!$A$1:$O$113,15,0)),0,VLOOKUP($S$635,'TAR FIN'!$A$1:$O$113,15,0))</f>
        <v>0</v>
      </c>
      <c r="W635" s="4">
        <f>IF(ISERROR(VLOOKUP($T$635,'TAR FIN'!$A$1:$O$113,15,0)),0,VLOOKUP($T$635,'TAR FIN'!$A$1:$O$113,15,0))</f>
        <v>307.83999999999997</v>
      </c>
      <c r="X635" s="4">
        <f>IF(ISERROR(VLOOKUP($U$635,'TAR FIN'!$A$1:$O$113,15,0)),0,VLOOKUP($U$635,'TAR FIN'!$A$1:$O$113,15,0))</f>
        <v>234.24</v>
      </c>
      <c r="Y635" s="4"/>
      <c r="Z63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5" s="4">
        <f>('TE BE'!$AA$23+'TE BF'!$AA$23+'TE CVA'!$AA$23)*(1-CUSTOS!$M$37)</f>
        <v>234.67932779241937</v>
      </c>
      <c r="AB635" s="4">
        <f t="shared" si="30"/>
        <v>0</v>
      </c>
      <c r="AC635" s="4">
        <f>(L635-M635)*(W635+X635)+($W$630+$X$630-$W$635-$X$635)*(L635)</f>
        <v>-1.4642864698544145E-13</v>
      </c>
      <c r="AD635" s="4">
        <f t="shared" si="31"/>
        <v>0</v>
      </c>
      <c r="AE635" s="4">
        <f ca="1">(L635-M635)*(Z635+AA635)+($Z$630+$AA$630-$Z$635-$AA$635)*(L635)</f>
        <v>0</v>
      </c>
      <c r="AF635" s="3" t="s">
        <v>1028</v>
      </c>
    </row>
    <row r="636" spans="1:32" ht="11.25" customHeight="1" x14ac:dyDescent="0.25">
      <c r="A636" s="3" t="s">
        <v>21</v>
      </c>
      <c r="B636" s="3" t="s">
        <v>22</v>
      </c>
      <c r="C636" s="3" t="s">
        <v>23</v>
      </c>
      <c r="D636" s="3" t="s">
        <v>24</v>
      </c>
      <c r="E636" s="3" t="s">
        <v>32</v>
      </c>
      <c r="F636" s="3" t="s">
        <v>25</v>
      </c>
      <c r="G636" s="3" t="s">
        <v>25</v>
      </c>
      <c r="H636" s="3" t="s">
        <v>25</v>
      </c>
      <c r="I636" s="6">
        <v>44348</v>
      </c>
      <c r="J636" s="4">
        <v>0</v>
      </c>
      <c r="K636" s="4">
        <v>0</v>
      </c>
      <c r="L636" s="4">
        <v>1126.193</v>
      </c>
      <c r="M636" s="4">
        <v>1126.193</v>
      </c>
      <c r="N636" s="4">
        <v>1126.193</v>
      </c>
      <c r="O636" s="4">
        <v>1126.193</v>
      </c>
      <c r="P636" s="4">
        <v>11760</v>
      </c>
      <c r="Q636" s="3" t="s">
        <v>26</v>
      </c>
      <c r="R636" s="3">
        <v>0</v>
      </c>
      <c r="S636" s="3">
        <v>0</v>
      </c>
      <c r="T636" s="3">
        <v>29</v>
      </c>
      <c r="U636" s="3">
        <v>66</v>
      </c>
      <c r="V636" s="4">
        <f>IF(ISERROR(VLOOKUP($S$636,'TAR FIN'!$A$1:$O$113,15,0)),0,VLOOKUP($S$636,'TAR FIN'!$A$1:$O$113,15,0))</f>
        <v>0</v>
      </c>
      <c r="W636" s="4">
        <f>IF(ISERROR(VLOOKUP($T$636,'TAR FIN'!$A$1:$O$113,15,0)),0,VLOOKUP($T$636,'TAR FIN'!$A$1:$O$113,15,0))</f>
        <v>307.83999999999997</v>
      </c>
      <c r="X636" s="4">
        <f>IF(ISERROR(VLOOKUP($U$636,'TAR FIN'!$A$1:$O$113,15,0)),0,VLOOKUP($U$636,'TAR FIN'!$A$1:$O$113,15,0))</f>
        <v>234.24</v>
      </c>
      <c r="Y636" s="4"/>
      <c r="Z63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6" s="4">
        <f>('TE BE'!$AA$23+'TE BF'!$AA$23+'TE CVA'!$AA$23)*(1-CUSTOS!$M$37)</f>
        <v>234.67932779241937</v>
      </c>
      <c r="AB636" s="4">
        <f t="shared" si="30"/>
        <v>0</v>
      </c>
      <c r="AC636" s="4">
        <f>(L636-M636)*(W636+X636)+($W$630+$X$630-$W$636-$X$636)*(L636)</f>
        <v>-6.401666041710996E-11</v>
      </c>
      <c r="AD636" s="4">
        <f t="shared" si="31"/>
        <v>0</v>
      </c>
      <c r="AE636" s="4">
        <f ca="1">(L636-M636)*(Z636+AA636)+($Z$630+$AA$630-$Z$636-$AA$636)*(L636)</f>
        <v>0</v>
      </c>
      <c r="AF636" s="3" t="s">
        <v>1028</v>
      </c>
    </row>
    <row r="637" spans="1:32" ht="11.25" customHeight="1" x14ac:dyDescent="0.25">
      <c r="A637" s="3" t="s">
        <v>27</v>
      </c>
      <c r="B637" s="3" t="s">
        <v>22</v>
      </c>
      <c r="C637" s="3" t="s">
        <v>23</v>
      </c>
      <c r="D637" s="3" t="s">
        <v>24</v>
      </c>
      <c r="E637" s="3" t="s">
        <v>32</v>
      </c>
      <c r="F637" s="3" t="s">
        <v>25</v>
      </c>
      <c r="G637" s="3" t="s">
        <v>25</v>
      </c>
      <c r="H637" s="3" t="s">
        <v>25</v>
      </c>
      <c r="I637" s="6">
        <v>44348</v>
      </c>
      <c r="J637" s="4">
        <v>0</v>
      </c>
      <c r="K637" s="4">
        <v>0</v>
      </c>
      <c r="L637" s="4">
        <v>-0.02</v>
      </c>
      <c r="M637" s="4">
        <v>-0.02</v>
      </c>
      <c r="N637" s="4">
        <v>-0.02</v>
      </c>
      <c r="O637" s="4">
        <v>-0.02</v>
      </c>
      <c r="P637" s="4">
        <v>-1</v>
      </c>
      <c r="Q637" s="3" t="s">
        <v>26</v>
      </c>
      <c r="R637" s="3">
        <v>0</v>
      </c>
      <c r="S637" s="3">
        <v>0</v>
      </c>
      <c r="T637" s="3">
        <v>29</v>
      </c>
      <c r="U637" s="3">
        <v>66</v>
      </c>
      <c r="V637" s="4">
        <f>IF(ISERROR(VLOOKUP($S$637,'TAR FIN'!$A$1:$O$113,15,0)),0,VLOOKUP($S$637,'TAR FIN'!$A$1:$O$113,15,0))</f>
        <v>0</v>
      </c>
      <c r="W637" s="4">
        <f>IF(ISERROR(VLOOKUP($T$637,'TAR FIN'!$A$1:$O$113,15,0)),0,VLOOKUP($T$637,'TAR FIN'!$A$1:$O$113,15,0))</f>
        <v>307.83999999999997</v>
      </c>
      <c r="X637" s="4">
        <f>IF(ISERROR(VLOOKUP($U$637,'TAR FIN'!$A$1:$O$113,15,0)),0,VLOOKUP($U$637,'TAR FIN'!$A$1:$O$113,15,0))</f>
        <v>234.24</v>
      </c>
      <c r="Y637" s="4"/>
      <c r="Z63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7" s="4">
        <f>('TE BE'!$AA$23+'TE BF'!$AA$23+'TE CVA'!$AA$23)*(1-CUSTOS!$M$37)</f>
        <v>234.67932779241937</v>
      </c>
      <c r="AB637" s="4">
        <f t="shared" si="30"/>
        <v>0</v>
      </c>
      <c r="AC637" s="4">
        <f>(L637-M637)*(W637+X637)+($W$630+$X$630-$W$637-$X$637)*(L637)</f>
        <v>1.1368683772161603E-15</v>
      </c>
      <c r="AD637" s="4">
        <f t="shared" si="31"/>
        <v>0</v>
      </c>
      <c r="AE637" s="4">
        <f ca="1">(L637-M637)*(Z637+AA637)+($Z$630+$AA$630-$Z$637-$AA$637)*(L637)</f>
        <v>0</v>
      </c>
      <c r="AF637" s="3" t="s">
        <v>1028</v>
      </c>
    </row>
    <row r="638" spans="1:32" ht="11.25" customHeight="1" x14ac:dyDescent="0.25">
      <c r="A638" s="3" t="s">
        <v>28</v>
      </c>
      <c r="B638" s="3" t="s">
        <v>22</v>
      </c>
      <c r="C638" s="3" t="s">
        <v>23</v>
      </c>
      <c r="D638" s="3" t="s">
        <v>24</v>
      </c>
      <c r="E638" s="3" t="s">
        <v>32</v>
      </c>
      <c r="F638" s="3" t="s">
        <v>25</v>
      </c>
      <c r="G638" s="3" t="s">
        <v>25</v>
      </c>
      <c r="H638" s="3" t="s">
        <v>25</v>
      </c>
      <c r="I638" s="6">
        <v>44348</v>
      </c>
      <c r="J638" s="4">
        <v>0</v>
      </c>
      <c r="K638" s="4">
        <v>0</v>
      </c>
      <c r="L638" s="4">
        <v>1.595</v>
      </c>
      <c r="M638" s="4">
        <v>1.595</v>
      </c>
      <c r="N638" s="4">
        <v>1.595</v>
      </c>
      <c r="O638" s="4">
        <v>1.595</v>
      </c>
      <c r="P638" s="4">
        <v>19</v>
      </c>
      <c r="Q638" s="3" t="s">
        <v>26</v>
      </c>
      <c r="R638" s="3">
        <v>0</v>
      </c>
      <c r="S638" s="3">
        <v>0</v>
      </c>
      <c r="T638" s="3">
        <v>29</v>
      </c>
      <c r="U638" s="3">
        <v>66</v>
      </c>
      <c r="V638" s="4">
        <f>IF(ISERROR(VLOOKUP($S$638,'TAR FIN'!$A$1:$O$113,15,0)),0,VLOOKUP($S$638,'TAR FIN'!$A$1:$O$113,15,0))</f>
        <v>0</v>
      </c>
      <c r="W638" s="4">
        <f>IF(ISERROR(VLOOKUP($T$638,'TAR FIN'!$A$1:$O$113,15,0)),0,VLOOKUP($T$638,'TAR FIN'!$A$1:$O$113,15,0))</f>
        <v>307.83999999999997</v>
      </c>
      <c r="X638" s="4">
        <f>IF(ISERROR(VLOOKUP($U$638,'TAR FIN'!$A$1:$O$113,15,0)),0,VLOOKUP($U$638,'TAR FIN'!$A$1:$O$113,15,0))</f>
        <v>234.24</v>
      </c>
      <c r="Y638" s="4"/>
      <c r="Z63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8" s="4">
        <f>('TE BE'!$AA$23+'TE BF'!$AA$23+'TE CVA'!$AA$23)*(1-CUSTOS!$M$37)</f>
        <v>234.67932779241937</v>
      </c>
      <c r="AB638" s="4">
        <f t="shared" si="30"/>
        <v>0</v>
      </c>
      <c r="AC638" s="4">
        <f>(L638-M638)*(W638+X638)+($W$630+$X$630-$W$638-$X$638)*(L638)</f>
        <v>-9.0665253082988782E-14</v>
      </c>
      <c r="AD638" s="4">
        <f t="shared" si="31"/>
        <v>0</v>
      </c>
      <c r="AE638" s="4">
        <f ca="1">(L638-M638)*(Z638+AA638)+($Z$630+$AA$630-$Z$638-$AA$638)*(L638)</f>
        <v>0</v>
      </c>
      <c r="AF638" s="3" t="s">
        <v>1028</v>
      </c>
    </row>
    <row r="639" spans="1:32" ht="11.25" customHeight="1" x14ac:dyDescent="0.25">
      <c r="A639" s="3" t="s">
        <v>21</v>
      </c>
      <c r="B639" s="3" t="s">
        <v>22</v>
      </c>
      <c r="C639" s="3" t="s">
        <v>23</v>
      </c>
      <c r="D639" s="3" t="s">
        <v>24</v>
      </c>
      <c r="E639" s="3" t="s">
        <v>32</v>
      </c>
      <c r="F639" s="3" t="s">
        <v>25</v>
      </c>
      <c r="G639" s="3" t="s">
        <v>25</v>
      </c>
      <c r="H639" s="3" t="s">
        <v>25</v>
      </c>
      <c r="I639" s="6">
        <v>44378</v>
      </c>
      <c r="J639" s="4">
        <v>0</v>
      </c>
      <c r="K639" s="4">
        <v>0</v>
      </c>
      <c r="L639" s="4">
        <v>1052.328</v>
      </c>
      <c r="M639" s="4">
        <v>1052.328</v>
      </c>
      <c r="N639" s="4">
        <v>1052.328</v>
      </c>
      <c r="O639" s="4">
        <v>1052.328</v>
      </c>
      <c r="P639" s="4">
        <v>11008</v>
      </c>
      <c r="Q639" s="3" t="s">
        <v>26</v>
      </c>
      <c r="R639" s="3">
        <v>0</v>
      </c>
      <c r="S639" s="3">
        <v>0</v>
      </c>
      <c r="T639" s="3">
        <v>29</v>
      </c>
      <c r="U639" s="3">
        <v>66</v>
      </c>
      <c r="V639" s="4">
        <f>IF(ISERROR(VLOOKUP($S$639,'TAR FIN'!$A$1:$O$113,15,0)),0,VLOOKUP($S$639,'TAR FIN'!$A$1:$O$113,15,0))</f>
        <v>0</v>
      </c>
      <c r="W639" s="4">
        <f>IF(ISERROR(VLOOKUP($T$639,'TAR FIN'!$A$1:$O$113,15,0)),0,VLOOKUP($T$639,'TAR FIN'!$A$1:$O$113,15,0))</f>
        <v>307.83999999999997</v>
      </c>
      <c r="X639" s="4">
        <f>IF(ISERROR(VLOOKUP($U$639,'TAR FIN'!$A$1:$O$113,15,0)),0,VLOOKUP($U$639,'TAR FIN'!$A$1:$O$113,15,0))</f>
        <v>234.24</v>
      </c>
      <c r="Y639" s="4"/>
      <c r="Z63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39" s="4">
        <f>('TE BE'!$AA$23+'TE BF'!$AA$23+'TE CVA'!$AA$23)*(1-CUSTOS!$M$37)</f>
        <v>234.67932779241937</v>
      </c>
      <c r="AB639" s="4">
        <f t="shared" si="30"/>
        <v>0</v>
      </c>
      <c r="AC639" s="4">
        <f>(L639-M639)*(W639+X639)+($W$630+$X$630-$W$639-$X$639)*(L639)</f>
        <v>-5.9817921282956375E-11</v>
      </c>
      <c r="AD639" s="4">
        <f t="shared" si="31"/>
        <v>0</v>
      </c>
      <c r="AE639" s="4">
        <f ca="1">(L639-M639)*(Z639+AA639)+($Z$630+$AA$630-$Z$639-$AA$639)*(L639)</f>
        <v>0</v>
      </c>
      <c r="AF639" s="3" t="s">
        <v>1028</v>
      </c>
    </row>
    <row r="640" spans="1:32" ht="11.25" customHeight="1" x14ac:dyDescent="0.25">
      <c r="A640" s="3" t="s">
        <v>27</v>
      </c>
      <c r="B640" s="3" t="s">
        <v>22</v>
      </c>
      <c r="C640" s="3" t="s">
        <v>23</v>
      </c>
      <c r="D640" s="3" t="s">
        <v>24</v>
      </c>
      <c r="E640" s="3" t="s">
        <v>32</v>
      </c>
      <c r="F640" s="3" t="s">
        <v>25</v>
      </c>
      <c r="G640" s="3" t="s">
        <v>25</v>
      </c>
      <c r="H640" s="3" t="s">
        <v>25</v>
      </c>
      <c r="I640" s="6">
        <v>44378</v>
      </c>
      <c r="J640" s="4">
        <v>0</v>
      </c>
      <c r="K640" s="4">
        <v>0</v>
      </c>
      <c r="L640" s="4">
        <v>-17.094000000000001</v>
      </c>
      <c r="M640" s="4">
        <v>-17.094000000000001</v>
      </c>
      <c r="N640" s="4">
        <v>-17.094000000000001</v>
      </c>
      <c r="O640" s="4">
        <v>-17.094000000000001</v>
      </c>
      <c r="P640" s="4">
        <v>-16</v>
      </c>
      <c r="Q640" s="3" t="s">
        <v>26</v>
      </c>
      <c r="R640" s="3">
        <v>0</v>
      </c>
      <c r="S640" s="3">
        <v>0</v>
      </c>
      <c r="T640" s="3">
        <v>29</v>
      </c>
      <c r="U640" s="3">
        <v>66</v>
      </c>
      <c r="V640" s="4">
        <f>IF(ISERROR(VLOOKUP($S$640,'TAR FIN'!$A$1:$O$113,15,0)),0,VLOOKUP($S$640,'TAR FIN'!$A$1:$O$113,15,0))</f>
        <v>0</v>
      </c>
      <c r="W640" s="4">
        <f>IF(ISERROR(VLOOKUP($T$640,'TAR FIN'!$A$1:$O$113,15,0)),0,VLOOKUP($T$640,'TAR FIN'!$A$1:$O$113,15,0))</f>
        <v>307.83999999999997</v>
      </c>
      <c r="X640" s="4">
        <f>IF(ISERROR(VLOOKUP($U$640,'TAR FIN'!$A$1:$O$113,15,0)),0,VLOOKUP($U$640,'TAR FIN'!$A$1:$O$113,15,0))</f>
        <v>234.24</v>
      </c>
      <c r="Y640" s="4"/>
      <c r="Z64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0" s="4">
        <f>('TE BE'!$AA$23+'TE BF'!$AA$23+'TE CVA'!$AA$23)*(1-CUSTOS!$M$37)</f>
        <v>234.67932779241937</v>
      </c>
      <c r="AB640" s="4">
        <f t="shared" si="30"/>
        <v>0</v>
      </c>
      <c r="AC640" s="4">
        <f>(L640-M640)*(W640+X640)+($W$630+$X$630-$W$640-$X$640)*(L640)</f>
        <v>9.7168140200665227E-13</v>
      </c>
      <c r="AD640" s="4">
        <f t="shared" si="31"/>
        <v>0</v>
      </c>
      <c r="AE640" s="4">
        <f ca="1">(L640-M640)*(Z640+AA640)+($Z$630+$AA$630-$Z$640-$AA$640)*(L640)</f>
        <v>0</v>
      </c>
      <c r="AF640" s="3" t="s">
        <v>1028</v>
      </c>
    </row>
    <row r="641" spans="1:32" ht="11.25" customHeight="1" x14ac:dyDescent="0.25">
      <c r="A641" s="3" t="s">
        <v>28</v>
      </c>
      <c r="B641" s="3" t="s">
        <v>22</v>
      </c>
      <c r="C641" s="3" t="s">
        <v>23</v>
      </c>
      <c r="D641" s="3" t="s">
        <v>24</v>
      </c>
      <c r="E641" s="3" t="s">
        <v>32</v>
      </c>
      <c r="F641" s="3" t="s">
        <v>25</v>
      </c>
      <c r="G641" s="3" t="s">
        <v>25</v>
      </c>
      <c r="H641" s="3" t="s">
        <v>25</v>
      </c>
      <c r="I641" s="6">
        <v>44378</v>
      </c>
      <c r="J641" s="4">
        <v>0</v>
      </c>
      <c r="K641" s="4">
        <v>0</v>
      </c>
      <c r="L641" s="4">
        <v>1.3480000000000001</v>
      </c>
      <c r="M641" s="4">
        <v>1.3480000000000001</v>
      </c>
      <c r="N641" s="4">
        <v>1.3480000000000001</v>
      </c>
      <c r="O641" s="4">
        <v>1.3480000000000001</v>
      </c>
      <c r="P641" s="4">
        <v>20</v>
      </c>
      <c r="Q641" s="3" t="s">
        <v>26</v>
      </c>
      <c r="R641" s="3">
        <v>0</v>
      </c>
      <c r="S641" s="3">
        <v>0</v>
      </c>
      <c r="T641" s="3">
        <v>29</v>
      </c>
      <c r="U641" s="3">
        <v>66</v>
      </c>
      <c r="V641" s="4">
        <f>IF(ISERROR(VLOOKUP($S$641,'TAR FIN'!$A$1:$O$113,15,0)),0,VLOOKUP($S$641,'TAR FIN'!$A$1:$O$113,15,0))</f>
        <v>0</v>
      </c>
      <c r="W641" s="4">
        <f>IF(ISERROR(VLOOKUP($T$641,'TAR FIN'!$A$1:$O$113,15,0)),0,VLOOKUP($T$641,'TAR FIN'!$A$1:$O$113,15,0))</f>
        <v>307.83999999999997</v>
      </c>
      <c r="X641" s="4">
        <f>IF(ISERROR(VLOOKUP($U$641,'TAR FIN'!$A$1:$O$113,15,0)),0,VLOOKUP($U$641,'TAR FIN'!$A$1:$O$113,15,0))</f>
        <v>234.24</v>
      </c>
      <c r="Y641" s="4"/>
      <c r="Z64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1" s="4">
        <f>('TE BE'!$AA$23+'TE BF'!$AA$23+'TE CVA'!$AA$23)*(1-CUSTOS!$M$37)</f>
        <v>234.67932779241937</v>
      </c>
      <c r="AB641" s="4">
        <f t="shared" si="30"/>
        <v>0</v>
      </c>
      <c r="AC641" s="4">
        <f>(L641-M641)*(W641+X641)+($W$630+$X$630-$W$641-$X$641)*(L641)</f>
        <v>-7.6624928624369209E-14</v>
      </c>
      <c r="AD641" s="4">
        <f t="shared" si="31"/>
        <v>0</v>
      </c>
      <c r="AE641" s="4">
        <f ca="1">(L641-M641)*(Z641+AA641)+($Z$630+$AA$630-$Z$641-$AA$641)*(L641)</f>
        <v>0</v>
      </c>
      <c r="AF641" s="3" t="s">
        <v>1028</v>
      </c>
    </row>
    <row r="642" spans="1:32" ht="11.25" customHeight="1" x14ac:dyDescent="0.25">
      <c r="A642" s="3" t="s">
        <v>21</v>
      </c>
      <c r="B642" s="3" t="s">
        <v>22</v>
      </c>
      <c r="C642" s="3" t="s">
        <v>23</v>
      </c>
      <c r="D642" s="3" t="s">
        <v>24</v>
      </c>
      <c r="E642" s="3" t="s">
        <v>32</v>
      </c>
      <c r="F642" s="3" t="s">
        <v>25</v>
      </c>
      <c r="G642" s="3" t="s">
        <v>25</v>
      </c>
      <c r="H642" s="3" t="s">
        <v>25</v>
      </c>
      <c r="I642" s="6">
        <v>44409</v>
      </c>
      <c r="J642" s="4">
        <v>0</v>
      </c>
      <c r="K642" s="4">
        <v>0</v>
      </c>
      <c r="L642" s="4">
        <v>915.596</v>
      </c>
      <c r="M642" s="4">
        <v>915.596</v>
      </c>
      <c r="N642" s="4">
        <v>915.596</v>
      </c>
      <c r="O642" s="4">
        <v>915.596</v>
      </c>
      <c r="P642" s="4">
        <v>9367</v>
      </c>
      <c r="Q642" s="3" t="s">
        <v>26</v>
      </c>
      <c r="R642" s="3">
        <v>0</v>
      </c>
      <c r="S642" s="3">
        <v>0</v>
      </c>
      <c r="T642" s="3">
        <v>29</v>
      </c>
      <c r="U642" s="3">
        <v>66</v>
      </c>
      <c r="V642" s="4">
        <f>IF(ISERROR(VLOOKUP($S$642,'TAR FIN'!$A$1:$O$113,15,0)),0,VLOOKUP($S$642,'TAR FIN'!$A$1:$O$113,15,0))</f>
        <v>0</v>
      </c>
      <c r="W642" s="4">
        <f>IF(ISERROR(VLOOKUP($T$642,'TAR FIN'!$A$1:$O$113,15,0)),0,VLOOKUP($T$642,'TAR FIN'!$A$1:$O$113,15,0))</f>
        <v>307.83999999999997</v>
      </c>
      <c r="X642" s="4">
        <f>IF(ISERROR(VLOOKUP($U$642,'TAR FIN'!$A$1:$O$113,15,0)),0,VLOOKUP($U$642,'TAR FIN'!$A$1:$O$113,15,0))</f>
        <v>234.24</v>
      </c>
      <c r="Y642" s="4"/>
      <c r="Z64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2" s="4">
        <f>('TE BE'!$AA$23+'TE BF'!$AA$23+'TE CVA'!$AA$23)*(1-CUSTOS!$M$37)</f>
        <v>234.67932779241937</v>
      </c>
      <c r="AB642" s="4">
        <f t="shared" ref="AB642:AB705" si="32">(J642-K642)*V642</f>
        <v>0</v>
      </c>
      <c r="AC642" s="4">
        <f>(L642-M642)*(W642+X642)+($W$630+$X$630-$W$642-$X$642)*(L642)</f>
        <v>-5.2045606935280375E-11</v>
      </c>
      <c r="AD642" s="4">
        <f t="shared" ref="AD642:AD705" si="33">(J642-K642)*Y642</f>
        <v>0</v>
      </c>
      <c r="AE642" s="4">
        <f ca="1">(L642-M642)*(Z642+AA642)+($Z$630+$AA$630-$Z$642-$AA$642)*(L642)</f>
        <v>0</v>
      </c>
      <c r="AF642" s="3" t="s">
        <v>1028</v>
      </c>
    </row>
    <row r="643" spans="1:32" ht="11.25" customHeight="1" x14ac:dyDescent="0.25">
      <c r="A643" s="3" t="s">
        <v>27</v>
      </c>
      <c r="B643" s="3" t="s">
        <v>22</v>
      </c>
      <c r="C643" s="3" t="s">
        <v>23</v>
      </c>
      <c r="D643" s="3" t="s">
        <v>24</v>
      </c>
      <c r="E643" s="3" t="s">
        <v>32</v>
      </c>
      <c r="F643" s="3" t="s">
        <v>25</v>
      </c>
      <c r="G643" s="3" t="s">
        <v>25</v>
      </c>
      <c r="H643" s="3" t="s">
        <v>25</v>
      </c>
      <c r="I643" s="6">
        <v>44409</v>
      </c>
      <c r="J643" s="4">
        <v>0</v>
      </c>
      <c r="K643" s="4">
        <v>0</v>
      </c>
      <c r="L643" s="4">
        <v>-10.167</v>
      </c>
      <c r="M643" s="4">
        <v>-10.167</v>
      </c>
      <c r="N643" s="4">
        <v>-10.167</v>
      </c>
      <c r="O643" s="4">
        <v>-10.167</v>
      </c>
      <c r="P643" s="4">
        <v>-10</v>
      </c>
      <c r="Q643" s="3" t="s">
        <v>26</v>
      </c>
      <c r="R643" s="3">
        <v>0</v>
      </c>
      <c r="S643" s="3">
        <v>0</v>
      </c>
      <c r="T643" s="3">
        <v>29</v>
      </c>
      <c r="U643" s="3">
        <v>66</v>
      </c>
      <c r="V643" s="4">
        <f>IF(ISERROR(VLOOKUP($S$643,'TAR FIN'!$A$1:$O$113,15,0)),0,VLOOKUP($S$643,'TAR FIN'!$A$1:$O$113,15,0))</f>
        <v>0</v>
      </c>
      <c r="W643" s="4">
        <f>IF(ISERROR(VLOOKUP($T$643,'TAR FIN'!$A$1:$O$113,15,0)),0,VLOOKUP($T$643,'TAR FIN'!$A$1:$O$113,15,0))</f>
        <v>307.83999999999997</v>
      </c>
      <c r="X643" s="4">
        <f>IF(ISERROR(VLOOKUP($U$643,'TAR FIN'!$A$1:$O$113,15,0)),0,VLOOKUP($U$643,'TAR FIN'!$A$1:$O$113,15,0))</f>
        <v>234.24</v>
      </c>
      <c r="Y643" s="4"/>
      <c r="Z64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3" s="4">
        <f>('TE BE'!$AA$23+'TE BF'!$AA$23+'TE CVA'!$AA$23)*(1-CUSTOS!$M$37)</f>
        <v>234.67932779241937</v>
      </c>
      <c r="AB643" s="4">
        <f t="shared" si="32"/>
        <v>0</v>
      </c>
      <c r="AC643" s="4">
        <f>(L643-M643)*(W643+X643)+($W$630+$X$630-$W$643-$X$643)*(L643)</f>
        <v>5.7792703955783508E-13</v>
      </c>
      <c r="AD643" s="4">
        <f t="shared" si="33"/>
        <v>0</v>
      </c>
      <c r="AE643" s="4">
        <f ca="1">(L643-M643)*(Z643+AA643)+($Z$630+$AA$630-$Z$643-$AA$643)*(L643)</f>
        <v>0</v>
      </c>
      <c r="AF643" s="3" t="s">
        <v>1028</v>
      </c>
    </row>
    <row r="644" spans="1:32" ht="11.25" customHeight="1" x14ac:dyDescent="0.25">
      <c r="A644" s="3" t="s">
        <v>28</v>
      </c>
      <c r="B644" s="3" t="s">
        <v>22</v>
      </c>
      <c r="C644" s="3" t="s">
        <v>23</v>
      </c>
      <c r="D644" s="3" t="s">
        <v>24</v>
      </c>
      <c r="E644" s="3" t="s">
        <v>32</v>
      </c>
      <c r="F644" s="3" t="s">
        <v>25</v>
      </c>
      <c r="G644" s="3" t="s">
        <v>25</v>
      </c>
      <c r="H644" s="3" t="s">
        <v>25</v>
      </c>
      <c r="I644" s="6">
        <v>44409</v>
      </c>
      <c r="J644" s="4">
        <v>0</v>
      </c>
      <c r="K644" s="4">
        <v>0</v>
      </c>
      <c r="L644" s="4">
        <v>1.4430000000000001</v>
      </c>
      <c r="M644" s="4">
        <v>1.4430000000000001</v>
      </c>
      <c r="N644" s="4">
        <v>1.4430000000000001</v>
      </c>
      <c r="O644" s="4">
        <v>1.4430000000000001</v>
      </c>
      <c r="P644" s="4">
        <v>20</v>
      </c>
      <c r="Q644" s="3" t="s">
        <v>26</v>
      </c>
      <c r="R644" s="3">
        <v>0</v>
      </c>
      <c r="S644" s="3">
        <v>0</v>
      </c>
      <c r="T644" s="3">
        <v>29</v>
      </c>
      <c r="U644" s="3">
        <v>66</v>
      </c>
      <c r="V644" s="4">
        <f>IF(ISERROR(VLOOKUP($S$644,'TAR FIN'!$A$1:$O$113,15,0)),0,VLOOKUP($S$644,'TAR FIN'!$A$1:$O$113,15,0))</f>
        <v>0</v>
      </c>
      <c r="W644" s="4">
        <f>IF(ISERROR(VLOOKUP($T$644,'TAR FIN'!$A$1:$O$113,15,0)),0,VLOOKUP($T$644,'TAR FIN'!$A$1:$O$113,15,0))</f>
        <v>307.83999999999997</v>
      </c>
      <c r="X644" s="4">
        <f>IF(ISERROR(VLOOKUP($U$644,'TAR FIN'!$A$1:$O$113,15,0)),0,VLOOKUP($U$644,'TAR FIN'!$A$1:$O$113,15,0))</f>
        <v>234.24</v>
      </c>
      <c r="Y644" s="4"/>
      <c r="Z64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4" s="4">
        <f>('TE BE'!$AA$23+'TE BF'!$AA$23+'TE CVA'!$AA$23)*(1-CUSTOS!$M$37)</f>
        <v>234.67932779241937</v>
      </c>
      <c r="AB644" s="4">
        <f t="shared" si="32"/>
        <v>0</v>
      </c>
      <c r="AC644" s="4">
        <f>(L644-M644)*(W644+X644)+($W$630+$X$630-$W$644-$X$644)*(L644)</f>
        <v>-8.2025053416145969E-14</v>
      </c>
      <c r="AD644" s="4">
        <f t="shared" si="33"/>
        <v>0</v>
      </c>
      <c r="AE644" s="4">
        <f ca="1">(L644-M644)*(Z644+AA644)+($Z$630+$AA$630-$Z$644-$AA$644)*(L644)</f>
        <v>0</v>
      </c>
      <c r="AF644" s="3" t="s">
        <v>1028</v>
      </c>
    </row>
    <row r="645" spans="1:32" ht="11.25" customHeight="1" x14ac:dyDescent="0.25">
      <c r="A645" s="3" t="s">
        <v>21</v>
      </c>
      <c r="B645" s="3" t="s">
        <v>22</v>
      </c>
      <c r="C645" s="3" t="s">
        <v>23</v>
      </c>
      <c r="D645" s="3" t="s">
        <v>24</v>
      </c>
      <c r="E645" s="3" t="s">
        <v>32</v>
      </c>
      <c r="F645" s="3" t="s">
        <v>25</v>
      </c>
      <c r="G645" s="3" t="s">
        <v>25</v>
      </c>
      <c r="H645" s="3" t="s">
        <v>25</v>
      </c>
      <c r="I645" s="6">
        <v>44440</v>
      </c>
      <c r="J645" s="4">
        <v>0</v>
      </c>
      <c r="K645" s="4">
        <v>0</v>
      </c>
      <c r="L645" s="4">
        <v>968.34100000000001</v>
      </c>
      <c r="M645" s="4">
        <v>968.34100000000001</v>
      </c>
      <c r="N645" s="4">
        <v>968.34100000000001</v>
      </c>
      <c r="O645" s="4">
        <v>968.34100000000001</v>
      </c>
      <c r="P645" s="4">
        <v>9801</v>
      </c>
      <c r="Q645" s="3" t="s">
        <v>26</v>
      </c>
      <c r="R645" s="3">
        <v>0</v>
      </c>
      <c r="S645" s="3">
        <v>0</v>
      </c>
      <c r="T645" s="3">
        <v>29</v>
      </c>
      <c r="U645" s="3">
        <v>66</v>
      </c>
      <c r="V645" s="4">
        <f>IF(ISERROR(VLOOKUP($S$645,'TAR FIN'!$A$1:$O$113,15,0)),0,VLOOKUP($S$645,'TAR FIN'!$A$1:$O$113,15,0))</f>
        <v>0</v>
      </c>
      <c r="W645" s="4">
        <f>IF(ISERROR(VLOOKUP($T$645,'TAR FIN'!$A$1:$O$113,15,0)),0,VLOOKUP($T$645,'TAR FIN'!$A$1:$O$113,15,0))</f>
        <v>307.83999999999997</v>
      </c>
      <c r="X645" s="4">
        <f>IF(ISERROR(VLOOKUP($U$645,'TAR FIN'!$A$1:$O$113,15,0)),0,VLOOKUP($U$645,'TAR FIN'!$A$1:$O$113,15,0))</f>
        <v>234.24</v>
      </c>
      <c r="Y645" s="4"/>
      <c r="Z64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5" s="4">
        <f>('TE BE'!$AA$23+'TE BF'!$AA$23+'TE CVA'!$AA$23)*(1-CUSTOS!$M$37)</f>
        <v>234.67932779241937</v>
      </c>
      <c r="AB645" s="4">
        <f t="shared" si="32"/>
        <v>0</v>
      </c>
      <c r="AC645" s="4">
        <f>(L645-M645)*(W645+X645)+($W$630+$X$630-$W$645-$X$645)*(L645)</f>
        <v>-5.5043813063093694E-11</v>
      </c>
      <c r="AD645" s="4">
        <f t="shared" si="33"/>
        <v>0</v>
      </c>
      <c r="AE645" s="4">
        <f ca="1">(L645-M645)*(Z645+AA645)+($Z$630+$AA$630-$Z$645-$AA$645)*(L645)</f>
        <v>0</v>
      </c>
      <c r="AF645" s="3" t="s">
        <v>1028</v>
      </c>
    </row>
    <row r="646" spans="1:32" ht="11.25" customHeight="1" x14ac:dyDescent="0.25">
      <c r="A646" s="3" t="s">
        <v>27</v>
      </c>
      <c r="B646" s="3" t="s">
        <v>22</v>
      </c>
      <c r="C646" s="3" t="s">
        <v>23</v>
      </c>
      <c r="D646" s="3" t="s">
        <v>24</v>
      </c>
      <c r="E646" s="3" t="s">
        <v>32</v>
      </c>
      <c r="F646" s="3" t="s">
        <v>25</v>
      </c>
      <c r="G646" s="3" t="s">
        <v>25</v>
      </c>
      <c r="H646" s="3" t="s">
        <v>25</v>
      </c>
      <c r="I646" s="6">
        <v>44440</v>
      </c>
      <c r="J646" s="4">
        <v>0</v>
      </c>
      <c r="K646" s="4">
        <v>0</v>
      </c>
      <c r="L646" s="4">
        <v>-2.8090000000000002</v>
      </c>
      <c r="M646" s="4">
        <v>-2.8090000000000002</v>
      </c>
      <c r="N646" s="4">
        <v>-2.8090000000000002</v>
      </c>
      <c r="O646" s="4">
        <v>-2.8090000000000002</v>
      </c>
      <c r="P646" s="4">
        <v>-11</v>
      </c>
      <c r="Q646" s="3" t="s">
        <v>26</v>
      </c>
      <c r="R646" s="3">
        <v>0</v>
      </c>
      <c r="S646" s="3">
        <v>0</v>
      </c>
      <c r="T646" s="3">
        <v>29</v>
      </c>
      <c r="U646" s="3">
        <v>66</v>
      </c>
      <c r="V646" s="4">
        <f>IF(ISERROR(VLOOKUP($S$646,'TAR FIN'!$A$1:$O$113,15,0)),0,VLOOKUP($S$646,'TAR FIN'!$A$1:$O$113,15,0))</f>
        <v>0</v>
      </c>
      <c r="W646" s="4">
        <f>IF(ISERROR(VLOOKUP($T$646,'TAR FIN'!$A$1:$O$113,15,0)),0,VLOOKUP($T$646,'TAR FIN'!$A$1:$O$113,15,0))</f>
        <v>307.83999999999997</v>
      </c>
      <c r="X646" s="4">
        <f>IF(ISERROR(VLOOKUP($U$646,'TAR FIN'!$A$1:$O$113,15,0)),0,VLOOKUP($U$646,'TAR FIN'!$A$1:$O$113,15,0))</f>
        <v>234.24</v>
      </c>
      <c r="Y646" s="4"/>
      <c r="Z64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6" s="4">
        <f>('TE BE'!$AA$23+'TE BF'!$AA$23+'TE CVA'!$AA$23)*(1-CUSTOS!$M$37)</f>
        <v>234.67932779241937</v>
      </c>
      <c r="AB646" s="4">
        <f t="shared" si="32"/>
        <v>0</v>
      </c>
      <c r="AC646" s="4">
        <f>(L646-M646)*(W646+X646)+($W$630+$X$630-$W$646-$X$646)*(L646)</f>
        <v>1.5967316358000972E-13</v>
      </c>
      <c r="AD646" s="4">
        <f t="shared" si="33"/>
        <v>0</v>
      </c>
      <c r="AE646" s="4">
        <f ca="1">(L646-M646)*(Z646+AA646)+($Z$630+$AA$630-$Z$646-$AA$646)*(L646)</f>
        <v>0</v>
      </c>
      <c r="AF646" s="3" t="s">
        <v>1028</v>
      </c>
    </row>
    <row r="647" spans="1:32" ht="11.25" customHeight="1" x14ac:dyDescent="0.25">
      <c r="A647" s="3" t="s">
        <v>28</v>
      </c>
      <c r="B647" s="3" t="s">
        <v>22</v>
      </c>
      <c r="C647" s="3" t="s">
        <v>23</v>
      </c>
      <c r="D647" s="3" t="s">
        <v>24</v>
      </c>
      <c r="E647" s="3" t="s">
        <v>32</v>
      </c>
      <c r="F647" s="3" t="s">
        <v>25</v>
      </c>
      <c r="G647" s="3" t="s">
        <v>25</v>
      </c>
      <c r="H647" s="3" t="s">
        <v>25</v>
      </c>
      <c r="I647" s="6">
        <v>44440</v>
      </c>
      <c r="J647" s="4">
        <v>0</v>
      </c>
      <c r="K647" s="4">
        <v>0</v>
      </c>
      <c r="L647" s="4">
        <v>2.2029999999999998</v>
      </c>
      <c r="M647" s="4">
        <v>2.2029999999999998</v>
      </c>
      <c r="N647" s="4">
        <v>2.2029999999999998</v>
      </c>
      <c r="O647" s="4">
        <v>2.2029999999999998</v>
      </c>
      <c r="P647" s="4">
        <v>25</v>
      </c>
      <c r="Q647" s="3" t="s">
        <v>26</v>
      </c>
      <c r="R647" s="3">
        <v>0</v>
      </c>
      <c r="S647" s="3">
        <v>0</v>
      </c>
      <c r="T647" s="3">
        <v>29</v>
      </c>
      <c r="U647" s="3">
        <v>66</v>
      </c>
      <c r="V647" s="4">
        <f>IF(ISERROR(VLOOKUP($S$647,'TAR FIN'!$A$1:$O$113,15,0)),0,VLOOKUP($S$647,'TAR FIN'!$A$1:$O$113,15,0))</f>
        <v>0</v>
      </c>
      <c r="W647" s="4">
        <f>IF(ISERROR(VLOOKUP($T$647,'TAR FIN'!$A$1:$O$113,15,0)),0,VLOOKUP($T$647,'TAR FIN'!$A$1:$O$113,15,0))</f>
        <v>307.83999999999997</v>
      </c>
      <c r="X647" s="4">
        <f>IF(ISERROR(VLOOKUP($U$647,'TAR FIN'!$A$1:$O$113,15,0)),0,VLOOKUP($U$647,'TAR FIN'!$A$1:$O$113,15,0))</f>
        <v>234.24</v>
      </c>
      <c r="Y647" s="4"/>
      <c r="Z64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7" s="4">
        <f>('TE BE'!$AA$23+'TE BF'!$AA$23+'TE CVA'!$AA$23)*(1-CUSTOS!$M$37)</f>
        <v>234.67932779241937</v>
      </c>
      <c r="AB647" s="4">
        <f t="shared" si="32"/>
        <v>0</v>
      </c>
      <c r="AC647" s="4">
        <f>(L647-M647)*(W647+X647)+($W$630+$X$630-$W$647-$X$647)*(L647)</f>
        <v>-1.2522605175036005E-13</v>
      </c>
      <c r="AD647" s="4">
        <f t="shared" si="33"/>
        <v>0</v>
      </c>
      <c r="AE647" s="4">
        <f ca="1">(L647-M647)*(Z647+AA647)+($Z$630+$AA$630-$Z$647-$AA$647)*(L647)</f>
        <v>0</v>
      </c>
      <c r="AF647" s="3" t="s">
        <v>1028</v>
      </c>
    </row>
    <row r="648" spans="1:32" ht="11.25" customHeight="1" x14ac:dyDescent="0.25">
      <c r="A648" s="3" t="s">
        <v>21</v>
      </c>
      <c r="B648" s="3" t="s">
        <v>22</v>
      </c>
      <c r="C648" s="3" t="s">
        <v>23</v>
      </c>
      <c r="D648" s="3" t="s">
        <v>24</v>
      </c>
      <c r="E648" s="3" t="s">
        <v>32</v>
      </c>
      <c r="F648" s="3" t="s">
        <v>25</v>
      </c>
      <c r="G648" s="3" t="s">
        <v>25</v>
      </c>
      <c r="H648" s="3" t="s">
        <v>25</v>
      </c>
      <c r="I648" s="6">
        <v>44470</v>
      </c>
      <c r="J648" s="4">
        <v>0</v>
      </c>
      <c r="K648" s="4">
        <v>0</v>
      </c>
      <c r="L648" s="4">
        <v>1199.5029999999999</v>
      </c>
      <c r="M648" s="4">
        <v>1199.5029999999999</v>
      </c>
      <c r="N648" s="4">
        <v>1199.5029999999999</v>
      </c>
      <c r="O648" s="4">
        <v>1199.5029999999999</v>
      </c>
      <c r="P648" s="4">
        <v>11981</v>
      </c>
      <c r="Q648" s="3" t="s">
        <v>26</v>
      </c>
      <c r="R648" s="3">
        <v>0</v>
      </c>
      <c r="S648" s="3">
        <v>0</v>
      </c>
      <c r="T648" s="3">
        <v>29</v>
      </c>
      <c r="U648" s="3">
        <v>66</v>
      </c>
      <c r="V648" s="4">
        <f>IF(ISERROR(VLOOKUP($S$648,'TAR FIN'!$A$1:$O$113,15,0)),0,VLOOKUP($S$648,'TAR FIN'!$A$1:$O$113,15,0))</f>
        <v>0</v>
      </c>
      <c r="W648" s="4">
        <f>IF(ISERROR(VLOOKUP($T$648,'TAR FIN'!$A$1:$O$113,15,0)),0,VLOOKUP($T$648,'TAR FIN'!$A$1:$O$113,15,0))</f>
        <v>307.83999999999997</v>
      </c>
      <c r="X648" s="4">
        <f>IF(ISERROR(VLOOKUP($U$648,'TAR FIN'!$A$1:$O$113,15,0)),0,VLOOKUP($U$648,'TAR FIN'!$A$1:$O$113,15,0))</f>
        <v>234.24</v>
      </c>
      <c r="Y648" s="4"/>
      <c r="Z64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8" s="4">
        <f>('TE BE'!$AA$23+'TE BF'!$AA$23+'TE CVA'!$AA$23)*(1-CUSTOS!$M$37)</f>
        <v>234.67932779241937</v>
      </c>
      <c r="AB648" s="4">
        <f t="shared" si="32"/>
        <v>0</v>
      </c>
      <c r="AC648" s="4">
        <f>(L648-M648)*(W648+X648)+($W$630+$X$630-$W$648-$X$648)*(L648)</f>
        <v>-6.8183851453795792E-11</v>
      </c>
      <c r="AD648" s="4">
        <f t="shared" si="33"/>
        <v>0</v>
      </c>
      <c r="AE648" s="4">
        <f ca="1">(L648-M648)*(Z648+AA648)+($Z$630+$AA$630-$Z$648-$AA$648)*(L648)</f>
        <v>0</v>
      </c>
      <c r="AF648" s="3" t="s">
        <v>1028</v>
      </c>
    </row>
    <row r="649" spans="1:32" ht="11.25" customHeight="1" x14ac:dyDescent="0.25">
      <c r="A649" s="3" t="s">
        <v>27</v>
      </c>
      <c r="B649" s="3" t="s">
        <v>22</v>
      </c>
      <c r="C649" s="3" t="s">
        <v>23</v>
      </c>
      <c r="D649" s="3" t="s">
        <v>24</v>
      </c>
      <c r="E649" s="3" t="s">
        <v>32</v>
      </c>
      <c r="F649" s="3" t="s">
        <v>25</v>
      </c>
      <c r="G649" s="3" t="s">
        <v>25</v>
      </c>
      <c r="H649" s="3" t="s">
        <v>25</v>
      </c>
      <c r="I649" s="6">
        <v>44470</v>
      </c>
      <c r="J649" s="4">
        <v>0</v>
      </c>
      <c r="K649" s="4">
        <v>0</v>
      </c>
      <c r="L649" s="4">
        <v>-6.9909999999999997</v>
      </c>
      <c r="M649" s="4">
        <v>-6.9909999999999997</v>
      </c>
      <c r="N649" s="4">
        <v>-6.9909999999999997</v>
      </c>
      <c r="O649" s="4">
        <v>-6.9909999999999997</v>
      </c>
      <c r="P649" s="4">
        <v>-9</v>
      </c>
      <c r="Q649" s="3" t="s">
        <v>26</v>
      </c>
      <c r="R649" s="3">
        <v>0</v>
      </c>
      <c r="S649" s="3">
        <v>0</v>
      </c>
      <c r="T649" s="3">
        <v>29</v>
      </c>
      <c r="U649" s="3">
        <v>66</v>
      </c>
      <c r="V649" s="4">
        <f>IF(ISERROR(VLOOKUP($S$649,'TAR FIN'!$A$1:$O$113,15,0)),0,VLOOKUP($S$649,'TAR FIN'!$A$1:$O$113,15,0))</f>
        <v>0</v>
      </c>
      <c r="W649" s="4">
        <f>IF(ISERROR(VLOOKUP($T$649,'TAR FIN'!$A$1:$O$113,15,0)),0,VLOOKUP($T$649,'TAR FIN'!$A$1:$O$113,15,0))</f>
        <v>307.83999999999997</v>
      </c>
      <c r="X649" s="4">
        <f>IF(ISERROR(VLOOKUP($U$649,'TAR FIN'!$A$1:$O$113,15,0)),0,VLOOKUP($U$649,'TAR FIN'!$A$1:$O$113,15,0))</f>
        <v>234.24</v>
      </c>
      <c r="Y649" s="4"/>
      <c r="Z64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49" s="4">
        <f>('TE BE'!$AA$23+'TE BF'!$AA$23+'TE CVA'!$AA$23)*(1-CUSTOS!$M$37)</f>
        <v>234.67932779241937</v>
      </c>
      <c r="AB649" s="4">
        <f t="shared" si="32"/>
        <v>0</v>
      </c>
      <c r="AC649" s="4">
        <f>(L649-M649)*(W649+X649)+($W$630+$X$630-$W$649-$X$649)*(L649)</f>
        <v>3.9739234125590881E-13</v>
      </c>
      <c r="AD649" s="4">
        <f t="shared" si="33"/>
        <v>0</v>
      </c>
      <c r="AE649" s="4">
        <f ca="1">(L649-M649)*(Z649+AA649)+($Z$630+$AA$630-$Z$649-$AA$649)*(L649)</f>
        <v>0</v>
      </c>
      <c r="AF649" s="3" t="s">
        <v>1028</v>
      </c>
    </row>
    <row r="650" spans="1:32" ht="11.25" customHeight="1" x14ac:dyDescent="0.25">
      <c r="A650" s="3" t="s">
        <v>28</v>
      </c>
      <c r="B650" s="3" t="s">
        <v>22</v>
      </c>
      <c r="C650" s="3" t="s">
        <v>23</v>
      </c>
      <c r="D650" s="3" t="s">
        <v>24</v>
      </c>
      <c r="E650" s="3" t="s">
        <v>32</v>
      </c>
      <c r="F650" s="3" t="s">
        <v>25</v>
      </c>
      <c r="G650" s="3" t="s">
        <v>25</v>
      </c>
      <c r="H650" s="3" t="s">
        <v>25</v>
      </c>
      <c r="I650" s="6">
        <v>44470</v>
      </c>
      <c r="J650" s="4">
        <v>0</v>
      </c>
      <c r="K650" s="4">
        <v>0</v>
      </c>
      <c r="L650" s="4">
        <v>2.5920000000000001</v>
      </c>
      <c r="M650" s="4">
        <v>2.5920000000000001</v>
      </c>
      <c r="N650" s="4">
        <v>2.5920000000000001</v>
      </c>
      <c r="O650" s="4">
        <v>2.5920000000000001</v>
      </c>
      <c r="P650" s="4">
        <v>25</v>
      </c>
      <c r="Q650" s="3" t="s">
        <v>26</v>
      </c>
      <c r="R650" s="3">
        <v>0</v>
      </c>
      <c r="S650" s="3">
        <v>0</v>
      </c>
      <c r="T650" s="3">
        <v>29</v>
      </c>
      <c r="U650" s="3">
        <v>66</v>
      </c>
      <c r="V650" s="4">
        <f>IF(ISERROR(VLOOKUP($S$650,'TAR FIN'!$A$1:$O$113,15,0)),0,VLOOKUP($S$650,'TAR FIN'!$A$1:$O$113,15,0))</f>
        <v>0</v>
      </c>
      <c r="W650" s="4">
        <f>IF(ISERROR(VLOOKUP($T$650,'TAR FIN'!$A$1:$O$113,15,0)),0,VLOOKUP($T$650,'TAR FIN'!$A$1:$O$113,15,0))</f>
        <v>307.83999999999997</v>
      </c>
      <c r="X650" s="4">
        <f>IF(ISERROR(VLOOKUP($U$650,'TAR FIN'!$A$1:$O$113,15,0)),0,VLOOKUP($U$650,'TAR FIN'!$A$1:$O$113,15,0))</f>
        <v>234.24</v>
      </c>
      <c r="Y650" s="4"/>
      <c r="Z65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0" s="4">
        <f>('TE BE'!$AA$23+'TE BF'!$AA$23+'TE CVA'!$AA$23)*(1-CUSTOS!$M$37)</f>
        <v>234.67932779241937</v>
      </c>
      <c r="AB650" s="4">
        <f t="shared" si="32"/>
        <v>0</v>
      </c>
      <c r="AC650" s="4">
        <f>(L650-M650)*(W650+X650)+($W$630+$X$630-$W$650-$X$650)*(L650)</f>
        <v>-1.4733814168721438E-13</v>
      </c>
      <c r="AD650" s="4">
        <f t="shared" si="33"/>
        <v>0</v>
      </c>
      <c r="AE650" s="4">
        <f ca="1">(L650-M650)*(Z650+AA650)+($Z$630+$AA$630-$Z$650-$AA$650)*(L650)</f>
        <v>0</v>
      </c>
      <c r="AF650" s="3" t="s">
        <v>1028</v>
      </c>
    </row>
    <row r="651" spans="1:32" ht="11.25" customHeight="1" x14ac:dyDescent="0.25">
      <c r="A651" s="3" t="s">
        <v>21</v>
      </c>
      <c r="B651" s="3" t="s">
        <v>22</v>
      </c>
      <c r="C651" s="3" t="s">
        <v>23</v>
      </c>
      <c r="D651" s="3" t="s">
        <v>24</v>
      </c>
      <c r="E651" s="3" t="s">
        <v>32</v>
      </c>
      <c r="F651" s="3" t="s">
        <v>25</v>
      </c>
      <c r="G651" s="3" t="s">
        <v>25</v>
      </c>
      <c r="H651" s="3" t="s">
        <v>25</v>
      </c>
      <c r="I651" s="6">
        <v>44501</v>
      </c>
      <c r="J651" s="4">
        <v>0</v>
      </c>
      <c r="K651" s="4">
        <v>0</v>
      </c>
      <c r="L651" s="4">
        <v>1299.3150000000001</v>
      </c>
      <c r="M651" s="4">
        <v>1299.3150000000001</v>
      </c>
      <c r="N651" s="4">
        <v>1299.3150000000001</v>
      </c>
      <c r="O651" s="4">
        <v>1299.3150000000001</v>
      </c>
      <c r="P651" s="4">
        <v>12988</v>
      </c>
      <c r="Q651" s="3" t="s">
        <v>26</v>
      </c>
      <c r="R651" s="3">
        <v>0</v>
      </c>
      <c r="S651" s="3">
        <v>0</v>
      </c>
      <c r="T651" s="3">
        <v>29</v>
      </c>
      <c r="U651" s="3">
        <v>66</v>
      </c>
      <c r="V651" s="4">
        <f>IF(ISERROR(VLOOKUP($S$651,'TAR FIN'!$A$1:$O$113,15,0)),0,VLOOKUP($S$651,'TAR FIN'!$A$1:$O$113,15,0))</f>
        <v>0</v>
      </c>
      <c r="W651" s="4">
        <f>IF(ISERROR(VLOOKUP($T$651,'TAR FIN'!$A$1:$O$113,15,0)),0,VLOOKUP($T$651,'TAR FIN'!$A$1:$O$113,15,0))</f>
        <v>307.83999999999997</v>
      </c>
      <c r="X651" s="4">
        <f>IF(ISERROR(VLOOKUP($U$651,'TAR FIN'!$A$1:$O$113,15,0)),0,VLOOKUP($U$651,'TAR FIN'!$A$1:$O$113,15,0))</f>
        <v>234.24</v>
      </c>
      <c r="Y651" s="4"/>
      <c r="Z65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1" s="4">
        <f>('TE BE'!$AA$23+'TE BF'!$AA$23+'TE CVA'!$AA$23)*(1-CUSTOS!$M$37)</f>
        <v>234.67932779241937</v>
      </c>
      <c r="AB651" s="4">
        <f t="shared" si="32"/>
        <v>0</v>
      </c>
      <c r="AC651" s="4">
        <f>(L651-M651)*(W651+X651)+($W$630+$X$630-$W$651-$X$651)*(L651)</f>
        <v>-7.3857506777130769E-11</v>
      </c>
      <c r="AD651" s="4">
        <f t="shared" si="33"/>
        <v>0</v>
      </c>
      <c r="AE651" s="4">
        <f ca="1">(L651-M651)*(Z651+AA651)+($Z$630+$AA$630-$Z$651-$AA$651)*(L651)</f>
        <v>0</v>
      </c>
      <c r="AF651" s="3" t="s">
        <v>1028</v>
      </c>
    </row>
    <row r="652" spans="1:32" ht="11.25" customHeight="1" x14ac:dyDescent="0.25">
      <c r="A652" s="3" t="s">
        <v>27</v>
      </c>
      <c r="B652" s="3" t="s">
        <v>22</v>
      </c>
      <c r="C652" s="3" t="s">
        <v>23</v>
      </c>
      <c r="D652" s="3" t="s">
        <v>24</v>
      </c>
      <c r="E652" s="3" t="s">
        <v>32</v>
      </c>
      <c r="F652" s="3" t="s">
        <v>25</v>
      </c>
      <c r="G652" s="3" t="s">
        <v>25</v>
      </c>
      <c r="H652" s="3" t="s">
        <v>25</v>
      </c>
      <c r="I652" s="6">
        <v>44501</v>
      </c>
      <c r="J652" s="4">
        <v>0</v>
      </c>
      <c r="K652" s="4">
        <v>0</v>
      </c>
      <c r="L652" s="4">
        <v>-3.6970000000000001</v>
      </c>
      <c r="M652" s="4">
        <v>-3.6970000000000001</v>
      </c>
      <c r="N652" s="4">
        <v>-3.6970000000000001</v>
      </c>
      <c r="O652" s="4">
        <v>-3.6970000000000001</v>
      </c>
      <c r="P652" s="4">
        <v>-5</v>
      </c>
      <c r="Q652" s="3" t="s">
        <v>26</v>
      </c>
      <c r="R652" s="3">
        <v>0</v>
      </c>
      <c r="S652" s="3">
        <v>0</v>
      </c>
      <c r="T652" s="3">
        <v>29</v>
      </c>
      <c r="U652" s="3">
        <v>66</v>
      </c>
      <c r="V652" s="4">
        <f>IF(ISERROR(VLOOKUP($S$652,'TAR FIN'!$A$1:$O$113,15,0)),0,VLOOKUP($S$652,'TAR FIN'!$A$1:$O$113,15,0))</f>
        <v>0</v>
      </c>
      <c r="W652" s="4">
        <f>IF(ISERROR(VLOOKUP($T$652,'TAR FIN'!$A$1:$O$113,15,0)),0,VLOOKUP($T$652,'TAR FIN'!$A$1:$O$113,15,0))</f>
        <v>307.83999999999997</v>
      </c>
      <c r="X652" s="4">
        <f>IF(ISERROR(VLOOKUP($U$652,'TAR FIN'!$A$1:$O$113,15,0)),0,VLOOKUP($U$652,'TAR FIN'!$A$1:$O$113,15,0))</f>
        <v>234.24</v>
      </c>
      <c r="Y652" s="4"/>
      <c r="Z65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2" s="4">
        <f>('TE BE'!$AA$23+'TE BF'!$AA$23+'TE CVA'!$AA$23)*(1-CUSTOS!$M$37)</f>
        <v>234.67932779241937</v>
      </c>
      <c r="AB652" s="4">
        <f t="shared" si="32"/>
        <v>0</v>
      </c>
      <c r="AC652" s="4">
        <f>(L652-M652)*(W652+X652)+($W$630+$X$630-$W$652-$X$652)*(L652)</f>
        <v>2.1015011952840723E-13</v>
      </c>
      <c r="AD652" s="4">
        <f t="shared" si="33"/>
        <v>0</v>
      </c>
      <c r="AE652" s="4">
        <f ca="1">(L652-M652)*(Z652+AA652)+($Z$630+$AA$630-$Z$652-$AA$652)*(L652)</f>
        <v>0</v>
      </c>
      <c r="AF652" s="3" t="s">
        <v>1028</v>
      </c>
    </row>
    <row r="653" spans="1:32" ht="11.25" customHeight="1" x14ac:dyDescent="0.25">
      <c r="A653" s="3" t="s">
        <v>28</v>
      </c>
      <c r="B653" s="3" t="s">
        <v>22</v>
      </c>
      <c r="C653" s="3" t="s">
        <v>23</v>
      </c>
      <c r="D653" s="3" t="s">
        <v>24</v>
      </c>
      <c r="E653" s="3" t="s">
        <v>32</v>
      </c>
      <c r="F653" s="3" t="s">
        <v>25</v>
      </c>
      <c r="G653" s="3" t="s">
        <v>25</v>
      </c>
      <c r="H653" s="3" t="s">
        <v>25</v>
      </c>
      <c r="I653" s="6">
        <v>44501</v>
      </c>
      <c r="J653" s="4">
        <v>0</v>
      </c>
      <c r="K653" s="4">
        <v>0</v>
      </c>
      <c r="L653" s="4">
        <v>3.089</v>
      </c>
      <c r="M653" s="4">
        <v>3.089</v>
      </c>
      <c r="N653" s="4">
        <v>3.089</v>
      </c>
      <c r="O653" s="4">
        <v>3.089</v>
      </c>
      <c r="P653" s="4">
        <v>30</v>
      </c>
      <c r="Q653" s="3" t="s">
        <v>26</v>
      </c>
      <c r="R653" s="3">
        <v>0</v>
      </c>
      <c r="S653" s="3">
        <v>0</v>
      </c>
      <c r="T653" s="3">
        <v>29</v>
      </c>
      <c r="U653" s="3">
        <v>66</v>
      </c>
      <c r="V653" s="4">
        <f>IF(ISERROR(VLOOKUP($S$653,'TAR FIN'!$A$1:$O$113,15,0)),0,VLOOKUP($S$653,'TAR FIN'!$A$1:$O$113,15,0))</f>
        <v>0</v>
      </c>
      <c r="W653" s="4">
        <f>IF(ISERROR(VLOOKUP($T$653,'TAR FIN'!$A$1:$O$113,15,0)),0,VLOOKUP($T$653,'TAR FIN'!$A$1:$O$113,15,0))</f>
        <v>307.83999999999997</v>
      </c>
      <c r="X653" s="4">
        <f>IF(ISERROR(VLOOKUP($U$653,'TAR FIN'!$A$1:$O$113,15,0)),0,VLOOKUP($U$653,'TAR FIN'!$A$1:$O$113,15,0))</f>
        <v>234.24</v>
      </c>
      <c r="Y653" s="4"/>
      <c r="Z65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3" s="4">
        <f>('TE BE'!$AA$23+'TE BF'!$AA$23+'TE CVA'!$AA$23)*(1-CUSTOS!$M$37)</f>
        <v>234.67932779241937</v>
      </c>
      <c r="AB653" s="4">
        <f t="shared" si="32"/>
        <v>0</v>
      </c>
      <c r="AC653" s="4">
        <f>(L653-M653)*(W653+X653)+($W$630+$X$630-$W$653-$X$653)*(L653)</f>
        <v>-1.7558932086103596E-13</v>
      </c>
      <c r="AD653" s="4">
        <f t="shared" si="33"/>
        <v>0</v>
      </c>
      <c r="AE653" s="4">
        <f ca="1">(L653-M653)*(Z653+AA653)+($Z$630+$AA$630-$Z$653-$AA$653)*(L653)</f>
        <v>0</v>
      </c>
      <c r="AF653" s="3" t="s">
        <v>1028</v>
      </c>
    </row>
    <row r="654" spans="1:32" ht="11.25" customHeight="1" x14ac:dyDescent="0.25">
      <c r="A654" s="3" t="s">
        <v>21</v>
      </c>
      <c r="B654" s="3" t="s">
        <v>22</v>
      </c>
      <c r="C654" s="3" t="s">
        <v>23</v>
      </c>
      <c r="D654" s="3" t="s">
        <v>24</v>
      </c>
      <c r="E654" s="3" t="s">
        <v>32</v>
      </c>
      <c r="F654" s="3" t="s">
        <v>25</v>
      </c>
      <c r="G654" s="3" t="s">
        <v>25</v>
      </c>
      <c r="H654" s="3" t="s">
        <v>25</v>
      </c>
      <c r="I654" s="6">
        <v>44531</v>
      </c>
      <c r="J654" s="4">
        <v>0</v>
      </c>
      <c r="K654" s="4">
        <v>0</v>
      </c>
      <c r="L654" s="4">
        <v>1451.0260000000001</v>
      </c>
      <c r="M654" s="4">
        <v>1451.0260000000001</v>
      </c>
      <c r="N654" s="4">
        <v>1451.0260000000001</v>
      </c>
      <c r="O654" s="4">
        <v>1451.0260000000001</v>
      </c>
      <c r="P654" s="4">
        <v>14328</v>
      </c>
      <c r="Q654" s="3" t="s">
        <v>26</v>
      </c>
      <c r="R654" s="3">
        <v>0</v>
      </c>
      <c r="S654" s="3">
        <v>0</v>
      </c>
      <c r="T654" s="3">
        <v>29</v>
      </c>
      <c r="U654" s="3">
        <v>66</v>
      </c>
      <c r="V654" s="4">
        <f>IF(ISERROR(VLOOKUP($S$654,'TAR FIN'!$A$1:$O$113,15,0)),0,VLOOKUP($S$654,'TAR FIN'!$A$1:$O$113,15,0))</f>
        <v>0</v>
      </c>
      <c r="W654" s="4">
        <f>IF(ISERROR(VLOOKUP($T$654,'TAR FIN'!$A$1:$O$113,15,0)),0,VLOOKUP($T$654,'TAR FIN'!$A$1:$O$113,15,0))</f>
        <v>307.83999999999997</v>
      </c>
      <c r="X654" s="4">
        <f>IF(ISERROR(VLOOKUP($U$654,'TAR FIN'!$A$1:$O$113,15,0)),0,VLOOKUP($U$654,'TAR FIN'!$A$1:$O$113,15,0))</f>
        <v>234.24</v>
      </c>
      <c r="Y654" s="4"/>
      <c r="Z65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4" s="4">
        <f>('TE BE'!$AA$23+'TE BF'!$AA$23+'TE CVA'!$AA$23)*(1-CUSTOS!$M$37)</f>
        <v>234.67932779241937</v>
      </c>
      <c r="AB654" s="4">
        <f t="shared" si="32"/>
        <v>0</v>
      </c>
      <c r="AC654" s="4">
        <f>(L654-M654)*(W654+X654)+($W$630+$X$630-$W$654-$X$654)*(L654)</f>
        <v>-8.2481278695922814E-11</v>
      </c>
      <c r="AD654" s="4">
        <f t="shared" si="33"/>
        <v>0</v>
      </c>
      <c r="AE654" s="4">
        <f ca="1">(L654-M654)*(Z654+AA654)+($Z$630+$AA$630-$Z$654-$AA$654)*(L654)</f>
        <v>0</v>
      </c>
      <c r="AF654" s="3" t="s">
        <v>1028</v>
      </c>
    </row>
    <row r="655" spans="1:32" ht="11.25" customHeight="1" x14ac:dyDescent="0.25">
      <c r="A655" s="3" t="s">
        <v>27</v>
      </c>
      <c r="B655" s="3" t="s">
        <v>22</v>
      </c>
      <c r="C655" s="3" t="s">
        <v>23</v>
      </c>
      <c r="D655" s="3" t="s">
        <v>24</v>
      </c>
      <c r="E655" s="3" t="s">
        <v>32</v>
      </c>
      <c r="F655" s="3" t="s">
        <v>25</v>
      </c>
      <c r="G655" s="3" t="s">
        <v>25</v>
      </c>
      <c r="H655" s="3" t="s">
        <v>25</v>
      </c>
      <c r="I655" s="6">
        <v>44531</v>
      </c>
      <c r="J655" s="4">
        <v>0</v>
      </c>
      <c r="K655" s="4">
        <v>0</v>
      </c>
      <c r="L655" s="4">
        <v>-7.14</v>
      </c>
      <c r="M655" s="4">
        <v>-7.14</v>
      </c>
      <c r="N655" s="4">
        <v>-7.14</v>
      </c>
      <c r="O655" s="4">
        <v>-7.14</v>
      </c>
      <c r="P655" s="4">
        <v>-4</v>
      </c>
      <c r="Q655" s="3" t="s">
        <v>26</v>
      </c>
      <c r="R655" s="3">
        <v>0</v>
      </c>
      <c r="S655" s="3">
        <v>0</v>
      </c>
      <c r="T655" s="3">
        <v>29</v>
      </c>
      <c r="U655" s="3">
        <v>66</v>
      </c>
      <c r="V655" s="4">
        <f>IF(ISERROR(VLOOKUP($S$655,'TAR FIN'!$A$1:$O$113,15,0)),0,VLOOKUP($S$655,'TAR FIN'!$A$1:$O$113,15,0))</f>
        <v>0</v>
      </c>
      <c r="W655" s="4">
        <f>IF(ISERROR(VLOOKUP($T$655,'TAR FIN'!$A$1:$O$113,15,0)),0,VLOOKUP($T$655,'TAR FIN'!$A$1:$O$113,15,0))</f>
        <v>307.83999999999997</v>
      </c>
      <c r="X655" s="4">
        <f>IF(ISERROR(VLOOKUP($U$655,'TAR FIN'!$A$1:$O$113,15,0)),0,VLOOKUP($U$655,'TAR FIN'!$A$1:$O$113,15,0))</f>
        <v>234.24</v>
      </c>
      <c r="Y655" s="4"/>
      <c r="Z65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5" s="4">
        <f>('TE BE'!$AA$23+'TE BF'!$AA$23+'TE CVA'!$AA$23)*(1-CUSTOS!$M$37)</f>
        <v>234.67932779241937</v>
      </c>
      <c r="AB655" s="4">
        <f t="shared" si="32"/>
        <v>0</v>
      </c>
      <c r="AC655" s="4">
        <f>(L655-M655)*(W655+X655)+($W$630+$X$630-$W$655-$X$655)*(L655)</f>
        <v>4.0586201066616921E-13</v>
      </c>
      <c r="AD655" s="4">
        <f t="shared" si="33"/>
        <v>0</v>
      </c>
      <c r="AE655" s="4">
        <f ca="1">(L655-M655)*(Z655+AA655)+($Z$630+$AA$630-$Z$655-$AA$655)*(L655)</f>
        <v>0</v>
      </c>
      <c r="AF655" s="3" t="s">
        <v>1028</v>
      </c>
    </row>
    <row r="656" spans="1:32" ht="11.25" customHeight="1" x14ac:dyDescent="0.25">
      <c r="A656" s="3" t="s">
        <v>28</v>
      </c>
      <c r="B656" s="3" t="s">
        <v>22</v>
      </c>
      <c r="C656" s="3" t="s">
        <v>23</v>
      </c>
      <c r="D656" s="3" t="s">
        <v>24</v>
      </c>
      <c r="E656" s="3" t="s">
        <v>32</v>
      </c>
      <c r="F656" s="3" t="s">
        <v>25</v>
      </c>
      <c r="G656" s="3" t="s">
        <v>25</v>
      </c>
      <c r="H656" s="3" t="s">
        <v>25</v>
      </c>
      <c r="I656" s="6">
        <v>44531</v>
      </c>
      <c r="J656" s="4">
        <v>0</v>
      </c>
      <c r="K656" s="4">
        <v>0</v>
      </c>
      <c r="L656" s="4">
        <v>4.8970000000000002</v>
      </c>
      <c r="M656" s="4">
        <v>4.8970000000000002</v>
      </c>
      <c r="N656" s="4">
        <v>4.8970000000000002</v>
      </c>
      <c r="O656" s="4">
        <v>4.8970000000000002</v>
      </c>
      <c r="P656" s="4">
        <v>37</v>
      </c>
      <c r="Q656" s="3" t="s">
        <v>26</v>
      </c>
      <c r="R656" s="3">
        <v>0</v>
      </c>
      <c r="S656" s="3">
        <v>0</v>
      </c>
      <c r="T656" s="3">
        <v>29</v>
      </c>
      <c r="U656" s="3">
        <v>66</v>
      </c>
      <c r="V656" s="4">
        <f>IF(ISERROR(VLOOKUP($S$656,'TAR FIN'!$A$1:$O$113,15,0)),0,VLOOKUP($S$656,'TAR FIN'!$A$1:$O$113,15,0))</f>
        <v>0</v>
      </c>
      <c r="W656" s="4">
        <f>IF(ISERROR(VLOOKUP($T$656,'TAR FIN'!$A$1:$O$113,15,0)),0,VLOOKUP($T$656,'TAR FIN'!$A$1:$O$113,15,0))</f>
        <v>307.83999999999997</v>
      </c>
      <c r="X656" s="4">
        <f>IF(ISERROR(VLOOKUP($U$656,'TAR FIN'!$A$1:$O$113,15,0)),0,VLOOKUP($U$656,'TAR FIN'!$A$1:$O$113,15,0))</f>
        <v>234.24</v>
      </c>
      <c r="Y656" s="4"/>
      <c r="Z656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6" s="4">
        <f>('TE BE'!$AA$23+'TE BF'!$AA$23+'TE CVA'!$AA$23)*(1-CUSTOS!$M$37)</f>
        <v>234.67932779241937</v>
      </c>
      <c r="AB656" s="4">
        <f t="shared" si="32"/>
        <v>0</v>
      </c>
      <c r="AC656" s="4">
        <f>(L656-M656)*(W656+X656)+($W$630+$X$630-$W$656-$X$656)*(L656)</f>
        <v>-2.7836222216137686E-13</v>
      </c>
      <c r="AD656" s="4">
        <f t="shared" si="33"/>
        <v>0</v>
      </c>
      <c r="AE656" s="4">
        <f ca="1">(L656-M656)*(Z656+AA656)+($Z$630+$AA$630-$Z$656-$AA$656)*(L656)</f>
        <v>0</v>
      </c>
      <c r="AF656" s="3" t="s">
        <v>1028</v>
      </c>
    </row>
    <row r="657" spans="1:32" ht="11.25" customHeight="1" x14ac:dyDescent="0.25">
      <c r="A657" s="3" t="s">
        <v>21</v>
      </c>
      <c r="B657" s="3" t="s">
        <v>22</v>
      </c>
      <c r="C657" s="3" t="s">
        <v>23</v>
      </c>
      <c r="D657" s="3" t="s">
        <v>24</v>
      </c>
      <c r="E657" s="3" t="s">
        <v>32</v>
      </c>
      <c r="F657" s="3" t="s">
        <v>25</v>
      </c>
      <c r="G657" s="3" t="s">
        <v>25</v>
      </c>
      <c r="H657" s="3" t="s">
        <v>25</v>
      </c>
      <c r="I657" s="6">
        <v>44562</v>
      </c>
      <c r="J657" s="4">
        <v>0</v>
      </c>
      <c r="K657" s="4">
        <v>0</v>
      </c>
      <c r="L657" s="4">
        <v>1663.5</v>
      </c>
      <c r="M657" s="4">
        <v>1663.5</v>
      </c>
      <c r="N657" s="4">
        <v>1663.5</v>
      </c>
      <c r="O657" s="4">
        <v>1663.5</v>
      </c>
      <c r="P657" s="4">
        <v>16919</v>
      </c>
      <c r="Q657" s="3" t="s">
        <v>26</v>
      </c>
      <c r="R657" s="3">
        <v>0</v>
      </c>
      <c r="S657" s="3">
        <v>0</v>
      </c>
      <c r="T657" s="3">
        <v>29</v>
      </c>
      <c r="U657" s="3">
        <v>66</v>
      </c>
      <c r="V657" s="4">
        <f>IF(ISERROR(VLOOKUP($S$657,'TAR FIN'!$A$1:$O$113,15,0)),0,VLOOKUP($S$657,'TAR FIN'!$A$1:$O$113,15,0))</f>
        <v>0</v>
      </c>
      <c r="W657" s="4">
        <f>IF(ISERROR(VLOOKUP($T$657,'TAR FIN'!$A$1:$O$113,15,0)),0,VLOOKUP($T$657,'TAR FIN'!$A$1:$O$113,15,0))</f>
        <v>307.83999999999997</v>
      </c>
      <c r="X657" s="4">
        <f>IF(ISERROR(VLOOKUP($U$657,'TAR FIN'!$A$1:$O$113,15,0)),0,VLOOKUP($U$657,'TAR FIN'!$A$1:$O$113,15,0))</f>
        <v>234.24</v>
      </c>
      <c r="Y657" s="4"/>
      <c r="Z657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7" s="4">
        <f>('TE BE'!$AA$23+'TE BF'!$AA$23+'TE CVA'!$AA$23)*(1-CUSTOS!$M$37)</f>
        <v>234.67932779241937</v>
      </c>
      <c r="AB657" s="4">
        <f t="shared" si="32"/>
        <v>0</v>
      </c>
      <c r="AC657" s="4">
        <f>(L657-M657)*(W657+X657)+($W$630+$X$630-$W$657-$X$657)*(L657)</f>
        <v>-9.4559027274954133E-11</v>
      </c>
      <c r="AD657" s="4">
        <f t="shared" si="33"/>
        <v>0</v>
      </c>
      <c r="AE657" s="4">
        <f ca="1">(L657-M657)*(Z657+AA657)+($Z$630+$AA$630-$Z$657-$AA$657)*(L657)</f>
        <v>0</v>
      </c>
      <c r="AF657" s="3" t="s">
        <v>1028</v>
      </c>
    </row>
    <row r="658" spans="1:32" ht="11.25" customHeight="1" x14ac:dyDescent="0.25">
      <c r="A658" s="3" t="s">
        <v>27</v>
      </c>
      <c r="B658" s="3" t="s">
        <v>22</v>
      </c>
      <c r="C658" s="3" t="s">
        <v>23</v>
      </c>
      <c r="D658" s="3" t="s">
        <v>24</v>
      </c>
      <c r="E658" s="3" t="s">
        <v>32</v>
      </c>
      <c r="F658" s="3" t="s">
        <v>25</v>
      </c>
      <c r="G658" s="3" t="s">
        <v>25</v>
      </c>
      <c r="H658" s="3" t="s">
        <v>25</v>
      </c>
      <c r="I658" s="6">
        <v>44562</v>
      </c>
      <c r="J658" s="4">
        <v>0</v>
      </c>
      <c r="K658" s="4">
        <v>0</v>
      </c>
      <c r="L658" s="4">
        <v>-1.9239999999999999</v>
      </c>
      <c r="M658" s="4">
        <v>-1.9239999999999999</v>
      </c>
      <c r="N658" s="4">
        <v>-1.9239999999999999</v>
      </c>
      <c r="O658" s="4">
        <v>-1.9239999999999999</v>
      </c>
      <c r="P658" s="4">
        <v>-7</v>
      </c>
      <c r="Q658" s="3" t="s">
        <v>26</v>
      </c>
      <c r="R658" s="3">
        <v>0</v>
      </c>
      <c r="S658" s="3">
        <v>0</v>
      </c>
      <c r="T658" s="3">
        <v>29</v>
      </c>
      <c r="U658" s="3">
        <v>66</v>
      </c>
      <c r="V658" s="4">
        <f>IF(ISERROR(VLOOKUP($S$658,'TAR FIN'!$A$1:$O$113,15,0)),0,VLOOKUP($S$658,'TAR FIN'!$A$1:$O$113,15,0))</f>
        <v>0</v>
      </c>
      <c r="W658" s="4">
        <f>IF(ISERROR(VLOOKUP($T$658,'TAR FIN'!$A$1:$O$113,15,0)),0,VLOOKUP($T$658,'TAR FIN'!$A$1:$O$113,15,0))</f>
        <v>307.83999999999997</v>
      </c>
      <c r="X658" s="4">
        <f>IF(ISERROR(VLOOKUP($U$658,'TAR FIN'!$A$1:$O$113,15,0)),0,VLOOKUP($U$658,'TAR FIN'!$A$1:$O$113,15,0))</f>
        <v>234.24</v>
      </c>
      <c r="Y658" s="4"/>
      <c r="Z658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8" s="4">
        <f>('TE BE'!$AA$23+'TE BF'!$AA$23+'TE CVA'!$AA$23)*(1-CUSTOS!$M$37)</f>
        <v>234.67932779241937</v>
      </c>
      <c r="AB658" s="4">
        <f t="shared" si="32"/>
        <v>0</v>
      </c>
      <c r="AC658" s="4">
        <f>(L658-M658)*(W658+X658)+($W$630+$X$630-$W$658-$X$658)*(L658)</f>
        <v>1.0936673788819462E-13</v>
      </c>
      <c r="AD658" s="4">
        <f t="shared" si="33"/>
        <v>0</v>
      </c>
      <c r="AE658" s="4">
        <f ca="1">(L658-M658)*(Z658+AA658)+($Z$630+$AA$630-$Z$658-$AA$658)*(L658)</f>
        <v>0</v>
      </c>
      <c r="AF658" s="3" t="s">
        <v>1028</v>
      </c>
    </row>
    <row r="659" spans="1:32" ht="11.25" customHeight="1" x14ac:dyDescent="0.25">
      <c r="A659" s="3" t="s">
        <v>28</v>
      </c>
      <c r="B659" s="3" t="s">
        <v>22</v>
      </c>
      <c r="C659" s="3" t="s">
        <v>23</v>
      </c>
      <c r="D659" s="3" t="s">
        <v>24</v>
      </c>
      <c r="E659" s="3" t="s">
        <v>32</v>
      </c>
      <c r="F659" s="3" t="s">
        <v>25</v>
      </c>
      <c r="G659" s="3" t="s">
        <v>25</v>
      </c>
      <c r="H659" s="3" t="s">
        <v>25</v>
      </c>
      <c r="I659" s="6">
        <v>44562</v>
      </c>
      <c r="J659" s="4">
        <v>0</v>
      </c>
      <c r="K659" s="4">
        <v>0</v>
      </c>
      <c r="L659" s="4">
        <v>5.907</v>
      </c>
      <c r="M659" s="4">
        <v>5.907</v>
      </c>
      <c r="N659" s="4">
        <v>5.907</v>
      </c>
      <c r="O659" s="4">
        <v>5.907</v>
      </c>
      <c r="P659" s="4">
        <v>42</v>
      </c>
      <c r="Q659" s="3" t="s">
        <v>26</v>
      </c>
      <c r="R659" s="3">
        <v>0</v>
      </c>
      <c r="S659" s="3">
        <v>0</v>
      </c>
      <c r="T659" s="3">
        <v>29</v>
      </c>
      <c r="U659" s="3">
        <v>66</v>
      </c>
      <c r="V659" s="4">
        <f>IF(ISERROR(VLOOKUP($S$659,'TAR FIN'!$A$1:$O$113,15,0)),0,VLOOKUP($S$659,'TAR FIN'!$A$1:$O$113,15,0))</f>
        <v>0</v>
      </c>
      <c r="W659" s="4">
        <f>IF(ISERROR(VLOOKUP($T$659,'TAR FIN'!$A$1:$O$113,15,0)),0,VLOOKUP($T$659,'TAR FIN'!$A$1:$O$113,15,0))</f>
        <v>307.83999999999997</v>
      </c>
      <c r="X659" s="4">
        <f>IF(ISERROR(VLOOKUP($U$659,'TAR FIN'!$A$1:$O$113,15,0)),0,VLOOKUP($U$659,'TAR FIN'!$A$1:$O$113,15,0))</f>
        <v>234.24</v>
      </c>
      <c r="Y659" s="4"/>
      <c r="Z659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59" s="4">
        <f>('TE BE'!$AA$23+'TE BF'!$AA$23+'TE CVA'!$AA$23)*(1-CUSTOS!$M$37)</f>
        <v>234.67932779241937</v>
      </c>
      <c r="AB659" s="4">
        <f t="shared" si="32"/>
        <v>0</v>
      </c>
      <c r="AC659" s="4">
        <f>(L659-M659)*(W659+X659)+($W$630+$X$630-$W$659-$X$659)*(L659)</f>
        <v>-3.3577407521079295E-13</v>
      </c>
      <c r="AD659" s="4">
        <f t="shared" si="33"/>
        <v>0</v>
      </c>
      <c r="AE659" s="4">
        <f ca="1">(L659-M659)*(Z659+AA659)+($Z$630+$AA$630-$Z$659-$AA$659)*(L659)</f>
        <v>0</v>
      </c>
      <c r="AF659" s="3" t="s">
        <v>1028</v>
      </c>
    </row>
    <row r="660" spans="1:32" ht="11.25" customHeight="1" x14ac:dyDescent="0.25">
      <c r="A660" s="3" t="s">
        <v>21</v>
      </c>
      <c r="B660" s="3" t="s">
        <v>22</v>
      </c>
      <c r="C660" s="3" t="s">
        <v>23</v>
      </c>
      <c r="D660" s="3" t="s">
        <v>24</v>
      </c>
      <c r="E660" s="3" t="s">
        <v>32</v>
      </c>
      <c r="F660" s="3" t="s">
        <v>25</v>
      </c>
      <c r="G660" s="3" t="s">
        <v>25</v>
      </c>
      <c r="H660" s="3" t="s">
        <v>25</v>
      </c>
      <c r="I660" s="6">
        <v>44593</v>
      </c>
      <c r="J660" s="4">
        <v>0</v>
      </c>
      <c r="K660" s="4">
        <v>0</v>
      </c>
      <c r="L660" s="4">
        <v>1648.4870000000001</v>
      </c>
      <c r="M660" s="4">
        <v>1648.4870000000001</v>
      </c>
      <c r="N660" s="4">
        <v>1648.4870000000001</v>
      </c>
      <c r="O660" s="4">
        <v>1648.4870000000001</v>
      </c>
      <c r="P660" s="4">
        <v>16331</v>
      </c>
      <c r="Q660" s="3" t="s">
        <v>26</v>
      </c>
      <c r="R660" s="3">
        <v>0</v>
      </c>
      <c r="S660" s="3">
        <v>0</v>
      </c>
      <c r="T660" s="3">
        <v>29</v>
      </c>
      <c r="U660" s="3">
        <v>66</v>
      </c>
      <c r="V660" s="4">
        <f>IF(ISERROR(VLOOKUP($S$660,'TAR FIN'!$A$1:$O$113,15,0)),0,VLOOKUP($S$660,'TAR FIN'!$A$1:$O$113,15,0))</f>
        <v>0</v>
      </c>
      <c r="W660" s="4">
        <f>IF(ISERROR(VLOOKUP($T$660,'TAR FIN'!$A$1:$O$113,15,0)),0,VLOOKUP($T$660,'TAR FIN'!$A$1:$O$113,15,0))</f>
        <v>307.83999999999997</v>
      </c>
      <c r="X660" s="4">
        <f>IF(ISERROR(VLOOKUP($U$660,'TAR FIN'!$A$1:$O$113,15,0)),0,VLOOKUP($U$660,'TAR FIN'!$A$1:$O$113,15,0))</f>
        <v>234.24</v>
      </c>
      <c r="Y660" s="4"/>
      <c r="Z660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0" s="4">
        <f>('TE BE'!$AA$23+'TE BF'!$AA$23+'TE CVA'!$AA$23)*(1-CUSTOS!$M$37)</f>
        <v>234.67932779241937</v>
      </c>
      <c r="AB660" s="4">
        <f t="shared" si="32"/>
        <v>0</v>
      </c>
      <c r="AC660" s="4">
        <f>(L660-M660)*(W660+X660)+($W$630+$X$630-$W$660-$X$660)*(L660)</f>
        <v>-9.3705637027596827E-11</v>
      </c>
      <c r="AD660" s="4">
        <f t="shared" si="33"/>
        <v>0</v>
      </c>
      <c r="AE660" s="4">
        <f ca="1">(L660-M660)*(Z660+AA660)+($Z$630+$AA$630-$Z$660-$AA$660)*(L660)</f>
        <v>0</v>
      </c>
      <c r="AF660" s="3" t="s">
        <v>1028</v>
      </c>
    </row>
    <row r="661" spans="1:32" ht="11.25" customHeight="1" x14ac:dyDescent="0.25">
      <c r="A661" s="3" t="s">
        <v>27</v>
      </c>
      <c r="B661" s="3" t="s">
        <v>22</v>
      </c>
      <c r="C661" s="3" t="s">
        <v>23</v>
      </c>
      <c r="D661" s="3" t="s">
        <v>24</v>
      </c>
      <c r="E661" s="3" t="s">
        <v>32</v>
      </c>
      <c r="F661" s="3" t="s">
        <v>25</v>
      </c>
      <c r="G661" s="3" t="s">
        <v>25</v>
      </c>
      <c r="H661" s="3" t="s">
        <v>25</v>
      </c>
      <c r="I661" s="6">
        <v>44593</v>
      </c>
      <c r="J661" s="4">
        <v>0</v>
      </c>
      <c r="K661" s="4">
        <v>0</v>
      </c>
      <c r="L661" s="4">
        <v>-1.3140000000000001</v>
      </c>
      <c r="M661" s="4">
        <v>-1.3140000000000001</v>
      </c>
      <c r="N661" s="4">
        <v>-1.3140000000000001</v>
      </c>
      <c r="O661" s="4">
        <v>-1.3140000000000001</v>
      </c>
      <c r="P661" s="4">
        <v>-5</v>
      </c>
      <c r="Q661" s="3" t="s">
        <v>26</v>
      </c>
      <c r="R661" s="3">
        <v>0</v>
      </c>
      <c r="S661" s="3">
        <v>0</v>
      </c>
      <c r="T661" s="3">
        <v>29</v>
      </c>
      <c r="U661" s="3">
        <v>66</v>
      </c>
      <c r="V661" s="4">
        <f>IF(ISERROR(VLOOKUP($S$661,'TAR FIN'!$A$1:$O$113,15,0)),0,VLOOKUP($S$661,'TAR FIN'!$A$1:$O$113,15,0))</f>
        <v>0</v>
      </c>
      <c r="W661" s="4">
        <f>IF(ISERROR(VLOOKUP($T$661,'TAR FIN'!$A$1:$O$113,15,0)),0,VLOOKUP($T$661,'TAR FIN'!$A$1:$O$113,15,0))</f>
        <v>307.83999999999997</v>
      </c>
      <c r="X661" s="4">
        <f>IF(ISERROR(VLOOKUP($U$661,'TAR FIN'!$A$1:$O$113,15,0)),0,VLOOKUP($U$661,'TAR FIN'!$A$1:$O$113,15,0))</f>
        <v>234.24</v>
      </c>
      <c r="Y661" s="4"/>
      <c r="Z661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1" s="4">
        <f>('TE BE'!$AA$23+'TE BF'!$AA$23+'TE CVA'!$AA$23)*(1-CUSTOS!$M$37)</f>
        <v>234.67932779241937</v>
      </c>
      <c r="AB661" s="4">
        <f t="shared" si="32"/>
        <v>0</v>
      </c>
      <c r="AC661" s="4">
        <f>(L661-M661)*(W661+X661)+($W$630+$X$630-$W$661-$X$661)*(L661)</f>
        <v>7.4692252383101735E-14</v>
      </c>
      <c r="AD661" s="4">
        <f t="shared" si="33"/>
        <v>0</v>
      </c>
      <c r="AE661" s="4">
        <f ca="1">(L661-M661)*(Z661+AA661)+($Z$630+$AA$630-$Z$661-$AA$661)*(L661)</f>
        <v>0</v>
      </c>
      <c r="AF661" s="3" t="s">
        <v>1028</v>
      </c>
    </row>
    <row r="662" spans="1:32" ht="11.25" customHeight="1" x14ac:dyDescent="0.25">
      <c r="A662" s="3" t="s">
        <v>28</v>
      </c>
      <c r="B662" s="3" t="s">
        <v>22</v>
      </c>
      <c r="C662" s="3" t="s">
        <v>23</v>
      </c>
      <c r="D662" s="3" t="s">
        <v>24</v>
      </c>
      <c r="E662" s="3" t="s">
        <v>32</v>
      </c>
      <c r="F662" s="3" t="s">
        <v>25</v>
      </c>
      <c r="G662" s="3" t="s">
        <v>25</v>
      </c>
      <c r="H662" s="3" t="s">
        <v>25</v>
      </c>
      <c r="I662" s="6">
        <v>44593</v>
      </c>
      <c r="J662" s="4">
        <v>0</v>
      </c>
      <c r="K662" s="4">
        <v>0</v>
      </c>
      <c r="L662" s="4">
        <v>4.5259999999999998</v>
      </c>
      <c r="M662" s="4">
        <v>4.5259999999999998</v>
      </c>
      <c r="N662" s="4">
        <v>4.5259999999999998</v>
      </c>
      <c r="O662" s="4">
        <v>4.5259999999999998</v>
      </c>
      <c r="P662" s="4">
        <v>47</v>
      </c>
      <c r="Q662" s="3" t="s">
        <v>26</v>
      </c>
      <c r="R662" s="3">
        <v>0</v>
      </c>
      <c r="S662" s="3">
        <v>0</v>
      </c>
      <c r="T662" s="3">
        <v>29</v>
      </c>
      <c r="U662" s="3">
        <v>66</v>
      </c>
      <c r="V662" s="4">
        <f>IF(ISERROR(VLOOKUP($S$662,'TAR FIN'!$A$1:$O$113,15,0)),0,VLOOKUP($S$662,'TAR FIN'!$A$1:$O$113,15,0))</f>
        <v>0</v>
      </c>
      <c r="W662" s="4">
        <f>IF(ISERROR(VLOOKUP($T$662,'TAR FIN'!$A$1:$O$113,15,0)),0,VLOOKUP($T$662,'TAR FIN'!$A$1:$O$113,15,0))</f>
        <v>307.83999999999997</v>
      </c>
      <c r="X662" s="4">
        <f>IF(ISERROR(VLOOKUP($U$662,'TAR FIN'!$A$1:$O$113,15,0)),0,VLOOKUP($U$662,'TAR FIN'!$A$1:$O$113,15,0))</f>
        <v>234.24</v>
      </c>
      <c r="Y662" s="4"/>
      <c r="Z662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2" s="4">
        <f>('TE BE'!$AA$23+'TE BF'!$AA$23+'TE CVA'!$AA$23)*(1-CUSTOS!$M$37)</f>
        <v>234.67932779241937</v>
      </c>
      <c r="AB662" s="4">
        <f t="shared" si="32"/>
        <v>0</v>
      </c>
      <c r="AC662" s="4">
        <f>(L662-M662)*(W662+X662)+($W$630+$X$630-$W$662-$X$662)*(L662)</f>
        <v>-2.5727331376401706E-13</v>
      </c>
      <c r="AD662" s="4">
        <f t="shared" si="33"/>
        <v>0</v>
      </c>
      <c r="AE662" s="4">
        <f ca="1">(L662-M662)*(Z662+AA662)+($Z$630+$AA$630-$Z$662-$AA$662)*(L662)</f>
        <v>0</v>
      </c>
      <c r="AF662" s="3" t="s">
        <v>1028</v>
      </c>
    </row>
    <row r="663" spans="1:32" ht="11.25" customHeight="1" x14ac:dyDescent="0.25">
      <c r="A663" s="3" t="s">
        <v>56</v>
      </c>
      <c r="B663" s="3" t="s">
        <v>22</v>
      </c>
      <c r="C663" s="3" t="s">
        <v>23</v>
      </c>
      <c r="D663" s="3" t="s">
        <v>24</v>
      </c>
      <c r="E663" s="3" t="s">
        <v>32</v>
      </c>
      <c r="F663" s="3" t="s">
        <v>25</v>
      </c>
      <c r="G663" s="3" t="s">
        <v>25</v>
      </c>
      <c r="H663" s="3" t="s">
        <v>25</v>
      </c>
      <c r="I663" s="6">
        <v>44621</v>
      </c>
      <c r="J663" s="4">
        <v>0</v>
      </c>
      <c r="K663" s="4">
        <v>0</v>
      </c>
      <c r="L663" s="4">
        <v>1648.4870000000001</v>
      </c>
      <c r="M663" s="4">
        <v>1648.4870000000001</v>
      </c>
      <c r="N663" s="4">
        <v>1648.4870000000001</v>
      </c>
      <c r="O663" s="4">
        <v>1648.4870000000001</v>
      </c>
      <c r="P663" s="4">
        <v>16331</v>
      </c>
      <c r="Q663" s="3" t="s">
        <v>26</v>
      </c>
      <c r="R663" s="3">
        <v>0</v>
      </c>
      <c r="S663" s="3">
        <v>0</v>
      </c>
      <c r="T663" s="3">
        <v>29</v>
      </c>
      <c r="U663" s="3">
        <v>66</v>
      </c>
      <c r="V663" s="4">
        <f>IF(ISERROR(VLOOKUP($S$663,'TAR FIN'!$A$1:$O$113,15,0)),0,VLOOKUP($S$663,'TAR FIN'!$A$1:$O$113,15,0))</f>
        <v>0</v>
      </c>
      <c r="W663" s="4">
        <f>IF(ISERROR(VLOOKUP($T$663,'TAR FIN'!$A$1:$O$113,15,0)),0,VLOOKUP($T$663,'TAR FIN'!$A$1:$O$113,15,0))</f>
        <v>307.83999999999997</v>
      </c>
      <c r="X663" s="4">
        <f>IF(ISERROR(VLOOKUP($U$663,'TAR FIN'!$A$1:$O$113,15,0)),0,VLOOKUP($U$663,'TAR FIN'!$A$1:$O$113,15,0))</f>
        <v>234.24</v>
      </c>
      <c r="Y663" s="4"/>
      <c r="Z663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3" s="4">
        <f>('TE BE'!$AA$23+'TE BF'!$AA$23+'TE CVA'!$AA$23)*(1-CUSTOS!$M$37)</f>
        <v>234.67932779241937</v>
      </c>
      <c r="AB663" s="4">
        <f t="shared" si="32"/>
        <v>0</v>
      </c>
      <c r="AC663" s="4">
        <f>(L663-M663)*(W663+X663)+($W$630+$X$630-$W$663-$X$663)*(L663)</f>
        <v>-9.3705637027596827E-11</v>
      </c>
      <c r="AD663" s="4">
        <f t="shared" si="33"/>
        <v>0</v>
      </c>
      <c r="AE663" s="4">
        <f ca="1">(L663-M663)*(Z663+AA663)+($Z$630+$AA$630-$Z$663-$AA$663)*(L663)</f>
        <v>0</v>
      </c>
      <c r="AF663" s="3" t="s">
        <v>1028</v>
      </c>
    </row>
    <row r="664" spans="1:32" ht="11.25" customHeight="1" x14ac:dyDescent="0.25">
      <c r="A664" s="3" t="s">
        <v>56</v>
      </c>
      <c r="B664" s="3" t="s">
        <v>22</v>
      </c>
      <c r="C664" s="3" t="s">
        <v>23</v>
      </c>
      <c r="D664" s="3" t="s">
        <v>24</v>
      </c>
      <c r="E664" s="3" t="s">
        <v>32</v>
      </c>
      <c r="F664" s="3" t="s">
        <v>25</v>
      </c>
      <c r="G664" s="3" t="s">
        <v>25</v>
      </c>
      <c r="H664" s="3" t="s">
        <v>25</v>
      </c>
      <c r="I664" s="6">
        <v>44621</v>
      </c>
      <c r="J664" s="4">
        <v>0</v>
      </c>
      <c r="K664" s="4">
        <v>0</v>
      </c>
      <c r="L664" s="4">
        <v>-1.3140000000000001</v>
      </c>
      <c r="M664" s="4">
        <v>-1.3140000000000001</v>
      </c>
      <c r="N664" s="4">
        <v>-1.3140000000000001</v>
      </c>
      <c r="O664" s="4">
        <v>-1.3140000000000001</v>
      </c>
      <c r="P664" s="4">
        <v>-5</v>
      </c>
      <c r="Q664" s="3" t="s">
        <v>26</v>
      </c>
      <c r="R664" s="3">
        <v>0</v>
      </c>
      <c r="S664" s="3">
        <v>0</v>
      </c>
      <c r="T664" s="3">
        <v>29</v>
      </c>
      <c r="U664" s="3">
        <v>66</v>
      </c>
      <c r="V664" s="4">
        <f>IF(ISERROR(VLOOKUP($S$664,'TAR FIN'!$A$1:$O$113,15,0)),0,VLOOKUP($S$664,'TAR FIN'!$A$1:$O$113,15,0))</f>
        <v>0</v>
      </c>
      <c r="W664" s="4">
        <f>IF(ISERROR(VLOOKUP($T$664,'TAR FIN'!$A$1:$O$113,15,0)),0,VLOOKUP($T$664,'TAR FIN'!$A$1:$O$113,15,0))</f>
        <v>307.83999999999997</v>
      </c>
      <c r="X664" s="4">
        <f>IF(ISERROR(VLOOKUP($U$664,'TAR FIN'!$A$1:$O$113,15,0)),0,VLOOKUP($U$664,'TAR FIN'!$A$1:$O$113,15,0))</f>
        <v>234.24</v>
      </c>
      <c r="Y664" s="4"/>
      <c r="Z664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4" s="4">
        <f>('TE BE'!$AA$23+'TE BF'!$AA$23+'TE CVA'!$AA$23)*(1-CUSTOS!$M$37)</f>
        <v>234.67932779241937</v>
      </c>
      <c r="AB664" s="4">
        <f t="shared" si="32"/>
        <v>0</v>
      </c>
      <c r="AC664" s="4">
        <f>(L664-M664)*(W664+X664)+($W$630+$X$630-$W$664-$X$664)*(L664)</f>
        <v>7.4692252383101735E-14</v>
      </c>
      <c r="AD664" s="4">
        <f t="shared" si="33"/>
        <v>0</v>
      </c>
      <c r="AE664" s="4">
        <f ca="1">(L664-M664)*(Z664+AA664)+($Z$630+$AA$630-$Z$664-$AA$664)*(L664)</f>
        <v>0</v>
      </c>
      <c r="AF664" s="3" t="s">
        <v>1028</v>
      </c>
    </row>
    <row r="665" spans="1:32" ht="11.25" customHeight="1" x14ac:dyDescent="0.25">
      <c r="A665" s="3" t="s">
        <v>56</v>
      </c>
      <c r="B665" s="3" t="s">
        <v>22</v>
      </c>
      <c r="C665" s="3" t="s">
        <v>23</v>
      </c>
      <c r="D665" s="3" t="s">
        <v>24</v>
      </c>
      <c r="E665" s="3" t="s">
        <v>32</v>
      </c>
      <c r="F665" s="3" t="s">
        <v>25</v>
      </c>
      <c r="G665" s="3" t="s">
        <v>25</v>
      </c>
      <c r="H665" s="3" t="s">
        <v>25</v>
      </c>
      <c r="I665" s="6">
        <v>44621</v>
      </c>
      <c r="J665" s="4">
        <v>0</v>
      </c>
      <c r="K665" s="4">
        <v>0</v>
      </c>
      <c r="L665" s="4">
        <v>4.5259999999999998</v>
      </c>
      <c r="M665" s="4">
        <v>4.5259999999999998</v>
      </c>
      <c r="N665" s="4">
        <v>4.5259999999999998</v>
      </c>
      <c r="O665" s="4">
        <v>4.5259999999999998</v>
      </c>
      <c r="P665" s="4">
        <v>47</v>
      </c>
      <c r="Q665" s="3" t="s">
        <v>26</v>
      </c>
      <c r="R665" s="3">
        <v>0</v>
      </c>
      <c r="S665" s="3">
        <v>0</v>
      </c>
      <c r="T665" s="3">
        <v>29</v>
      </c>
      <c r="U665" s="3">
        <v>66</v>
      </c>
      <c r="V665" s="4">
        <f>IF(ISERROR(VLOOKUP($S$665,'TAR FIN'!$A$1:$O$113,15,0)),0,VLOOKUP($S$665,'TAR FIN'!$A$1:$O$113,15,0))</f>
        <v>0</v>
      </c>
      <c r="W665" s="4">
        <f>IF(ISERROR(VLOOKUP($T$665,'TAR FIN'!$A$1:$O$113,15,0)),0,VLOOKUP($T$665,'TAR FIN'!$A$1:$O$113,15,0))</f>
        <v>307.83999999999997</v>
      </c>
      <c r="X665" s="4">
        <f>IF(ISERROR(VLOOKUP($U$665,'TAR FIN'!$A$1:$O$113,15,0)),0,VLOOKUP($U$665,'TAR FIN'!$A$1:$O$113,15,0))</f>
        <v>234.24</v>
      </c>
      <c r="Y665" s="4"/>
      <c r="Z665" s="4">
        <f ca="1">('TUSD BE'!$AM$44+'TUSD BF'!$AM$44+'TUSD CVA'!$AM$44-('TUSD BE'!$P$44+'TUSD BF'!$P$44+'TUSD CVA'!$P$44)-('TUSD BE'!$Q$44+'TUSD BF'!$Q$44+'TUSD CVA'!$Q$44)-('TUSD BE'!$R$44+'TUSD BF'!$R$44+'TUSD CVA'!$R$44))*(1-CUSTOS!$M$37)</f>
        <v>356.6568579895827</v>
      </c>
      <c r="AA665" s="4">
        <f>('TE BE'!$AA$23+'TE BF'!$AA$23+'TE CVA'!$AA$23)*(1-CUSTOS!$M$37)</f>
        <v>234.67932779241937</v>
      </c>
      <c r="AB665" s="4">
        <f t="shared" si="32"/>
        <v>0</v>
      </c>
      <c r="AC665" s="4">
        <f>(L665-M665)*(W665+X665)+($W$630+$X$630-$W$665-$X$665)*(L665)</f>
        <v>-2.5727331376401706E-13</v>
      </c>
      <c r="AD665" s="4">
        <f t="shared" si="33"/>
        <v>0</v>
      </c>
      <c r="AE665" s="4">
        <f ca="1">(L665-M665)*(Z665+AA665)+($Z$630+$AA$630-$Z$665-$AA$665)*(L665)</f>
        <v>0</v>
      </c>
      <c r="AF665" s="3" t="s">
        <v>1028</v>
      </c>
    </row>
    <row r="666" spans="1:32" ht="11.25" customHeight="1" x14ac:dyDescent="0.25">
      <c r="A666" s="3" t="s">
        <v>21</v>
      </c>
      <c r="B666" s="3" t="s">
        <v>44</v>
      </c>
      <c r="C666" s="3" t="s">
        <v>33</v>
      </c>
      <c r="D666" s="3" t="s">
        <v>45</v>
      </c>
      <c r="E666" s="3" t="s">
        <v>53</v>
      </c>
      <c r="F666" s="3" t="s">
        <v>54</v>
      </c>
      <c r="G666" s="3" t="s">
        <v>25</v>
      </c>
      <c r="H666" s="3" t="s">
        <v>35</v>
      </c>
      <c r="I666" s="6">
        <v>44470</v>
      </c>
      <c r="J666" s="4">
        <v>0</v>
      </c>
      <c r="K666" s="4">
        <v>0</v>
      </c>
      <c r="L666" s="4">
        <v>4.3259999999999996</v>
      </c>
      <c r="M666" s="4">
        <v>4.3259999999999996</v>
      </c>
      <c r="N666" s="4">
        <v>4.3259999999999996</v>
      </c>
      <c r="O666" s="4">
        <v>4.3259999999999996</v>
      </c>
      <c r="P666" s="4">
        <v>0</v>
      </c>
      <c r="Q666" s="3" t="s">
        <v>26</v>
      </c>
      <c r="R666" s="3">
        <v>0</v>
      </c>
      <c r="S666" s="3">
        <v>0</v>
      </c>
      <c r="T666" s="3">
        <v>33</v>
      </c>
      <c r="U666" s="3">
        <v>71</v>
      </c>
      <c r="V666" s="4">
        <f>IF(ISERROR(VLOOKUP($S$666,'TAR FIN'!$A$1:$O$113,15,0)),0,VLOOKUP($S$666,'TAR FIN'!$A$1:$O$113,15,0))</f>
        <v>0</v>
      </c>
      <c r="W666" s="4">
        <f>IF(ISERROR(VLOOKUP($T$666,'TAR FIN'!$A$1:$O$113,15,0)),0,VLOOKUP($T$666,'TAR FIN'!$A$1:$O$113,15,0))</f>
        <v>208.22</v>
      </c>
      <c r="X666" s="4">
        <f>IF(ISERROR(VLOOKUP($U$666,'TAR FIN'!$A$1:$O$113,15,0)),0,VLOOKUP($U$666,'TAR FIN'!$A$1:$O$113,15,0))</f>
        <v>195.63</v>
      </c>
      <c r="Y666" s="4"/>
      <c r="Z666" s="4">
        <f ca="1">('TUSD BE'!$AM$52+'TUSD BF'!$AM$52+'TUSD CVA'!$AM$52)*(1-CUSTOS!$M$38)</f>
        <v>265.51673209278465</v>
      </c>
      <c r="AA666" s="4">
        <f>('TE BE'!$AA$31+'TE BF'!$AA$31+'TE CVA'!$AA$31)*(1-CUSTOS!$M$38)</f>
        <v>209.7568810332202</v>
      </c>
      <c r="AB666" s="4">
        <f t="shared" si="32"/>
        <v>0</v>
      </c>
      <c r="AC666" s="4">
        <f>(L666*W666+M666*X666)/(1-CUSTOS!$M$38)*CUSTOS!$M$38</f>
        <v>111.51415531914893</v>
      </c>
      <c r="AD666" s="4">
        <f t="shared" si="33"/>
        <v>0</v>
      </c>
      <c r="AE666" s="4">
        <f ca="1">(L666*Z666+N666*AA666)/(1-CUSTOS!$M$38)*CUSTOS!$M$38</f>
        <v>131.23619044998489</v>
      </c>
      <c r="AF666" s="3" t="s">
        <v>1023</v>
      </c>
    </row>
    <row r="667" spans="1:32" ht="11.25" customHeight="1" x14ac:dyDescent="0.25">
      <c r="A667" s="3" t="s">
        <v>21</v>
      </c>
      <c r="B667" s="3" t="s">
        <v>44</v>
      </c>
      <c r="C667" s="3" t="s">
        <v>33</v>
      </c>
      <c r="D667" s="3" t="s">
        <v>45</v>
      </c>
      <c r="E667" s="3" t="s">
        <v>53</v>
      </c>
      <c r="F667" s="3" t="s">
        <v>54</v>
      </c>
      <c r="G667" s="3" t="s">
        <v>25</v>
      </c>
      <c r="H667" s="3" t="s">
        <v>35</v>
      </c>
      <c r="I667" s="6">
        <v>44501</v>
      </c>
      <c r="J667" s="4">
        <v>0</v>
      </c>
      <c r="K667" s="4">
        <v>0</v>
      </c>
      <c r="L667" s="4">
        <v>4.3259999999999996</v>
      </c>
      <c r="M667" s="4">
        <v>4.3259999999999996</v>
      </c>
      <c r="N667" s="4">
        <v>4.3259999999999996</v>
      </c>
      <c r="O667" s="4">
        <v>4.3259999999999996</v>
      </c>
      <c r="P667" s="4">
        <v>0</v>
      </c>
      <c r="Q667" s="3" t="s">
        <v>26</v>
      </c>
      <c r="R667" s="3">
        <v>0</v>
      </c>
      <c r="S667" s="3">
        <v>0</v>
      </c>
      <c r="T667" s="3">
        <v>33</v>
      </c>
      <c r="U667" s="3">
        <v>71</v>
      </c>
      <c r="V667" s="4">
        <f>IF(ISERROR(VLOOKUP($S$667,'TAR FIN'!$A$1:$O$113,15,0)),0,VLOOKUP($S$667,'TAR FIN'!$A$1:$O$113,15,0))</f>
        <v>0</v>
      </c>
      <c r="W667" s="4">
        <f>IF(ISERROR(VLOOKUP($T$667,'TAR FIN'!$A$1:$O$113,15,0)),0,VLOOKUP($T$667,'TAR FIN'!$A$1:$O$113,15,0))</f>
        <v>208.22</v>
      </c>
      <c r="X667" s="4">
        <f>IF(ISERROR(VLOOKUP($U$667,'TAR FIN'!$A$1:$O$113,15,0)),0,VLOOKUP($U$667,'TAR FIN'!$A$1:$O$113,15,0))</f>
        <v>195.63</v>
      </c>
      <c r="Y667" s="4"/>
      <c r="Z667" s="4">
        <f ca="1">('TUSD BE'!$AM$52+'TUSD BF'!$AM$52+'TUSD CVA'!$AM$52)*(1-CUSTOS!$M$38)</f>
        <v>265.51673209278465</v>
      </c>
      <c r="AA667" s="4">
        <f>('TE BE'!$AA$31+'TE BF'!$AA$31+'TE CVA'!$AA$31)*(1-CUSTOS!$M$38)</f>
        <v>209.7568810332202</v>
      </c>
      <c r="AB667" s="4">
        <f t="shared" si="32"/>
        <v>0</v>
      </c>
      <c r="AC667" s="4">
        <f>(L667*W667+M667*X667)/(1-CUSTOS!$M$38)*CUSTOS!$M$38</f>
        <v>111.51415531914893</v>
      </c>
      <c r="AD667" s="4">
        <f t="shared" si="33"/>
        <v>0</v>
      </c>
      <c r="AE667" s="4">
        <f ca="1">(L667*Z667+N667*AA667)/(1-CUSTOS!$M$38)*CUSTOS!$M$38</f>
        <v>131.23619044998489</v>
      </c>
      <c r="AF667" s="3" t="s">
        <v>1023</v>
      </c>
    </row>
    <row r="668" spans="1:32" ht="11.25" customHeight="1" x14ac:dyDescent="0.25">
      <c r="A668" s="3" t="s">
        <v>21</v>
      </c>
      <c r="B668" s="3" t="s">
        <v>44</v>
      </c>
      <c r="C668" s="3" t="s">
        <v>33</v>
      </c>
      <c r="D668" s="3" t="s">
        <v>45</v>
      </c>
      <c r="E668" s="3" t="s">
        <v>53</v>
      </c>
      <c r="F668" s="3" t="s">
        <v>54</v>
      </c>
      <c r="G668" s="3" t="s">
        <v>25</v>
      </c>
      <c r="H668" s="3" t="s">
        <v>35</v>
      </c>
      <c r="I668" s="6">
        <v>44531</v>
      </c>
      <c r="J668" s="4">
        <v>0</v>
      </c>
      <c r="K668" s="4">
        <v>0</v>
      </c>
      <c r="L668" s="4">
        <v>40.625999999999998</v>
      </c>
      <c r="M668" s="4">
        <v>40.625999999999998</v>
      </c>
      <c r="N668" s="4">
        <v>40.625999999999998</v>
      </c>
      <c r="O668" s="4">
        <v>40.625999999999998</v>
      </c>
      <c r="P668" s="4">
        <v>0</v>
      </c>
      <c r="Q668" s="3" t="s">
        <v>26</v>
      </c>
      <c r="R668" s="3">
        <v>0</v>
      </c>
      <c r="S668" s="3">
        <v>0</v>
      </c>
      <c r="T668" s="3">
        <v>33</v>
      </c>
      <c r="U668" s="3">
        <v>71</v>
      </c>
      <c r="V668" s="4">
        <f>IF(ISERROR(VLOOKUP($S$668,'TAR FIN'!$A$1:$O$113,15,0)),0,VLOOKUP($S$668,'TAR FIN'!$A$1:$O$113,15,0))</f>
        <v>0</v>
      </c>
      <c r="W668" s="4">
        <f>IF(ISERROR(VLOOKUP($T$668,'TAR FIN'!$A$1:$O$113,15,0)),0,VLOOKUP($T$668,'TAR FIN'!$A$1:$O$113,15,0))</f>
        <v>208.22</v>
      </c>
      <c r="X668" s="4">
        <f>IF(ISERROR(VLOOKUP($U$668,'TAR FIN'!$A$1:$O$113,15,0)),0,VLOOKUP($U$668,'TAR FIN'!$A$1:$O$113,15,0))</f>
        <v>195.63</v>
      </c>
      <c r="Y668" s="4"/>
      <c r="Z668" s="4">
        <f ca="1">('TUSD BE'!$AM$52+'TUSD BF'!$AM$52+'TUSD CVA'!$AM$52)*(1-CUSTOS!$M$38)</f>
        <v>265.51673209278465</v>
      </c>
      <c r="AA668" s="4">
        <f>('TE BE'!$AA$31+'TE BF'!$AA$31+'TE CVA'!$AA$31)*(1-CUSTOS!$M$38)</f>
        <v>209.7568810332202</v>
      </c>
      <c r="AB668" s="4">
        <f t="shared" si="32"/>
        <v>0</v>
      </c>
      <c r="AC668" s="4">
        <f>(L668*W668+M668*X668)/(1-CUSTOS!$M$38)*CUSTOS!$M$38</f>
        <v>1047.2431978723403</v>
      </c>
      <c r="AD668" s="4">
        <f t="shared" si="33"/>
        <v>0</v>
      </c>
      <c r="AE668" s="4">
        <f ca="1">(L668*Z668+N668*AA668)/(1-CUSTOS!$M$38)*CUSTOS!$M$38</f>
        <v>1232.4552642674728</v>
      </c>
      <c r="AF668" s="3" t="s">
        <v>1023</v>
      </c>
    </row>
    <row r="669" spans="1:32" ht="11.25" customHeight="1" x14ac:dyDescent="0.25">
      <c r="A669" s="3" t="s">
        <v>21</v>
      </c>
      <c r="B669" s="3" t="s">
        <v>44</v>
      </c>
      <c r="C669" s="3" t="s">
        <v>33</v>
      </c>
      <c r="D669" s="3" t="s">
        <v>45</v>
      </c>
      <c r="E669" s="3" t="s">
        <v>53</v>
      </c>
      <c r="F669" s="3" t="s">
        <v>54</v>
      </c>
      <c r="G669" s="3" t="s">
        <v>25</v>
      </c>
      <c r="H669" s="3" t="s">
        <v>35</v>
      </c>
      <c r="I669" s="6">
        <v>44562</v>
      </c>
      <c r="J669" s="4">
        <v>0</v>
      </c>
      <c r="K669" s="4">
        <v>0</v>
      </c>
      <c r="L669" s="4">
        <v>36.36</v>
      </c>
      <c r="M669" s="4">
        <v>36.36</v>
      </c>
      <c r="N669" s="4">
        <v>36.36</v>
      </c>
      <c r="O669" s="4">
        <v>36.36</v>
      </c>
      <c r="P669" s="4">
        <v>0</v>
      </c>
      <c r="Q669" s="3" t="s">
        <v>26</v>
      </c>
      <c r="R669" s="3">
        <v>0</v>
      </c>
      <c r="S669" s="3">
        <v>0</v>
      </c>
      <c r="T669" s="3">
        <v>33</v>
      </c>
      <c r="U669" s="3">
        <v>71</v>
      </c>
      <c r="V669" s="4">
        <f>IF(ISERROR(VLOOKUP($S$669,'TAR FIN'!$A$1:$O$113,15,0)),0,VLOOKUP($S$669,'TAR FIN'!$A$1:$O$113,15,0))</f>
        <v>0</v>
      </c>
      <c r="W669" s="4">
        <f>IF(ISERROR(VLOOKUP($T$669,'TAR FIN'!$A$1:$O$113,15,0)),0,VLOOKUP($T$669,'TAR FIN'!$A$1:$O$113,15,0))</f>
        <v>208.22</v>
      </c>
      <c r="X669" s="4">
        <f>IF(ISERROR(VLOOKUP($U$669,'TAR FIN'!$A$1:$O$113,15,0)),0,VLOOKUP($U$669,'TAR FIN'!$A$1:$O$113,15,0))</f>
        <v>195.63</v>
      </c>
      <c r="Y669" s="4"/>
      <c r="Z669" s="4">
        <f ca="1">('TUSD BE'!$AM$52+'TUSD BF'!$AM$52+'TUSD CVA'!$AM$52)*(1-CUSTOS!$M$38)</f>
        <v>265.51673209278465</v>
      </c>
      <c r="AA669" s="4">
        <f>('TE BE'!$AA$31+'TE BF'!$AA$31+'TE CVA'!$AA$31)*(1-CUSTOS!$M$38)</f>
        <v>209.7568810332202</v>
      </c>
      <c r="AB669" s="4">
        <f t="shared" si="32"/>
        <v>0</v>
      </c>
      <c r="AC669" s="4">
        <f>(L669*W669+M669*X669)/(1-CUSTOS!$M$38)*CUSTOS!$M$38</f>
        <v>937.27570212765954</v>
      </c>
      <c r="AD669" s="4">
        <f t="shared" si="33"/>
        <v>0</v>
      </c>
      <c r="AE669" s="4">
        <f ca="1">(L669*Z669+N669*AA669)/(1-CUSTOS!$M$38)*CUSTOS!$M$38</f>
        <v>1103.039270633715</v>
      </c>
      <c r="AF669" s="3" t="s">
        <v>1023</v>
      </c>
    </row>
    <row r="670" spans="1:32" ht="11.25" customHeight="1" x14ac:dyDescent="0.25">
      <c r="A670" s="3" t="s">
        <v>27</v>
      </c>
      <c r="B670" s="3" t="s">
        <v>44</v>
      </c>
      <c r="C670" s="3" t="s">
        <v>33</v>
      </c>
      <c r="D670" s="3" t="s">
        <v>45</v>
      </c>
      <c r="E670" s="3" t="s">
        <v>53</v>
      </c>
      <c r="F670" s="3" t="s">
        <v>54</v>
      </c>
      <c r="G670" s="3" t="s">
        <v>25</v>
      </c>
      <c r="H670" s="3" t="s">
        <v>35</v>
      </c>
      <c r="I670" s="6">
        <v>44593</v>
      </c>
      <c r="J670" s="4">
        <v>0</v>
      </c>
      <c r="K670" s="4">
        <v>0</v>
      </c>
      <c r="L670" s="4">
        <v>-36.64</v>
      </c>
      <c r="M670" s="4">
        <v>-36.64</v>
      </c>
      <c r="N670" s="4">
        <v>-36.64</v>
      </c>
      <c r="O670" s="4">
        <v>-36.64</v>
      </c>
      <c r="P670" s="4">
        <v>0</v>
      </c>
      <c r="Q670" s="3" t="s">
        <v>26</v>
      </c>
      <c r="R670" s="3">
        <v>0</v>
      </c>
      <c r="S670" s="3">
        <v>0</v>
      </c>
      <c r="T670" s="3">
        <v>33</v>
      </c>
      <c r="U670" s="3">
        <v>71</v>
      </c>
      <c r="V670" s="4">
        <f>IF(ISERROR(VLOOKUP($S$670,'TAR FIN'!$A$1:$O$113,15,0)),0,VLOOKUP($S$670,'TAR FIN'!$A$1:$O$113,15,0))</f>
        <v>0</v>
      </c>
      <c r="W670" s="4">
        <f>IF(ISERROR(VLOOKUP($T$670,'TAR FIN'!$A$1:$O$113,15,0)),0,VLOOKUP($T$670,'TAR FIN'!$A$1:$O$113,15,0))</f>
        <v>208.22</v>
      </c>
      <c r="X670" s="4">
        <f>IF(ISERROR(VLOOKUP($U$670,'TAR FIN'!$A$1:$O$113,15,0)),0,VLOOKUP($U$670,'TAR FIN'!$A$1:$O$113,15,0))</f>
        <v>195.63</v>
      </c>
      <c r="Y670" s="4"/>
      <c r="Z670" s="4">
        <f ca="1">('TUSD BE'!$AM$52+'TUSD BF'!$AM$52+'TUSD CVA'!$AM$52)*(1-CUSTOS!$M$38)</f>
        <v>265.51673209278465</v>
      </c>
      <c r="AA670" s="4">
        <f>('TE BE'!$AA$31+'TE BF'!$AA$31+'TE CVA'!$AA$31)*(1-CUSTOS!$M$38)</f>
        <v>209.7568810332202</v>
      </c>
      <c r="AB670" s="4">
        <f t="shared" si="32"/>
        <v>0</v>
      </c>
      <c r="AC670" s="4">
        <f>(L670*W670+M670*X670)/(1-CUSTOS!$M$38)*CUSTOS!$M$38</f>
        <v>-944.49344680851073</v>
      </c>
      <c r="AD670" s="4">
        <f t="shared" si="33"/>
        <v>0</v>
      </c>
      <c r="AE670" s="4">
        <f ca="1">(L670*Z670+N670*AA670)/(1-CUSTOS!$M$38)*CUSTOS!$M$38</f>
        <v>-1111.5335224427756</v>
      </c>
      <c r="AF670" s="3" t="s">
        <v>1023</v>
      </c>
    </row>
    <row r="671" spans="1:32" ht="11.25" customHeight="1" x14ac:dyDescent="0.25">
      <c r="A671" s="3" t="s">
        <v>56</v>
      </c>
      <c r="B671" s="3" t="s">
        <v>44</v>
      </c>
      <c r="C671" s="3" t="s">
        <v>33</v>
      </c>
      <c r="D671" s="3" t="s">
        <v>45</v>
      </c>
      <c r="E671" s="3" t="s">
        <v>53</v>
      </c>
      <c r="F671" s="3" t="s">
        <v>54</v>
      </c>
      <c r="G671" s="3" t="s">
        <v>25</v>
      </c>
      <c r="H671" s="3" t="s">
        <v>35</v>
      </c>
      <c r="I671" s="6">
        <v>44621</v>
      </c>
      <c r="J671" s="4">
        <v>0</v>
      </c>
      <c r="K671" s="4">
        <v>0</v>
      </c>
      <c r="L671" s="4">
        <v>-36.64</v>
      </c>
      <c r="M671" s="4">
        <v>-36.64</v>
      </c>
      <c r="N671" s="4">
        <v>-36.64</v>
      </c>
      <c r="O671" s="4">
        <v>-36.64</v>
      </c>
      <c r="P671" s="4">
        <v>0</v>
      </c>
      <c r="Q671" s="3" t="s">
        <v>26</v>
      </c>
      <c r="R671" s="3">
        <v>0</v>
      </c>
      <c r="S671" s="3">
        <v>0</v>
      </c>
      <c r="T671" s="3">
        <v>33</v>
      </c>
      <c r="U671" s="3">
        <v>71</v>
      </c>
      <c r="V671" s="4">
        <f>IF(ISERROR(VLOOKUP($S$671,'TAR FIN'!$A$1:$O$113,15,0)),0,VLOOKUP($S$671,'TAR FIN'!$A$1:$O$113,15,0))</f>
        <v>0</v>
      </c>
      <c r="W671" s="4">
        <f>IF(ISERROR(VLOOKUP($T$671,'TAR FIN'!$A$1:$O$113,15,0)),0,VLOOKUP($T$671,'TAR FIN'!$A$1:$O$113,15,0))</f>
        <v>208.22</v>
      </c>
      <c r="X671" s="4">
        <f>IF(ISERROR(VLOOKUP($U$671,'TAR FIN'!$A$1:$O$113,15,0)),0,VLOOKUP($U$671,'TAR FIN'!$A$1:$O$113,15,0))</f>
        <v>195.63</v>
      </c>
      <c r="Y671" s="4"/>
      <c r="Z671" s="4">
        <f ca="1">('TUSD BE'!$AM$52+'TUSD BF'!$AM$52+'TUSD CVA'!$AM$52)*(1-CUSTOS!$M$38)</f>
        <v>265.51673209278465</v>
      </c>
      <c r="AA671" s="4">
        <f>('TE BE'!$AA$31+'TE BF'!$AA$31+'TE CVA'!$AA$31)*(1-CUSTOS!$M$38)</f>
        <v>209.7568810332202</v>
      </c>
      <c r="AB671" s="4">
        <f t="shared" si="32"/>
        <v>0</v>
      </c>
      <c r="AC671" s="4">
        <f>(L671*W671+M671*X671)/(1-CUSTOS!$M$38)*CUSTOS!$M$38</f>
        <v>-944.49344680851073</v>
      </c>
      <c r="AD671" s="4">
        <f t="shared" si="33"/>
        <v>0</v>
      </c>
      <c r="AE671" s="4">
        <f ca="1">(L671*Z671+N671*AA671)/(1-CUSTOS!$M$38)*CUSTOS!$M$38</f>
        <v>-1111.5335224427756</v>
      </c>
      <c r="AF671" s="3" t="s">
        <v>1023</v>
      </c>
    </row>
    <row r="672" spans="1:32" ht="11.25" customHeight="1" x14ac:dyDescent="0.25">
      <c r="A672" s="3" t="s">
        <v>21</v>
      </c>
      <c r="B672" s="3" t="s">
        <v>44</v>
      </c>
      <c r="C672" s="3" t="s">
        <v>33</v>
      </c>
      <c r="D672" s="3" t="s">
        <v>45</v>
      </c>
      <c r="E672" s="3" t="s">
        <v>53</v>
      </c>
      <c r="F672" s="3" t="s">
        <v>54</v>
      </c>
      <c r="G672" s="3" t="s">
        <v>25</v>
      </c>
      <c r="H672" s="3" t="s">
        <v>36</v>
      </c>
      <c r="I672" s="6">
        <v>44470</v>
      </c>
      <c r="J672" s="4">
        <v>0</v>
      </c>
      <c r="K672" s="4">
        <v>0</v>
      </c>
      <c r="L672" s="4">
        <v>7.4999999999999997E-2</v>
      </c>
      <c r="M672" s="4">
        <v>7.4999999999999997E-2</v>
      </c>
      <c r="N672" s="4">
        <v>7.4999999999999997E-2</v>
      </c>
      <c r="O672" s="4">
        <v>7.4999999999999997E-2</v>
      </c>
      <c r="P672" s="4">
        <v>0</v>
      </c>
      <c r="Q672" s="3" t="s">
        <v>26</v>
      </c>
      <c r="R672" s="3">
        <v>0</v>
      </c>
      <c r="S672" s="3">
        <v>0</v>
      </c>
      <c r="T672" s="3">
        <v>52</v>
      </c>
      <c r="U672" s="3">
        <v>70</v>
      </c>
      <c r="V672" s="4">
        <f>IF(ISERROR(VLOOKUP($S$672,'TAR FIN'!$A$1:$O$113,15,0)),0,VLOOKUP($S$672,'TAR FIN'!$A$1:$O$113,15,0))</f>
        <v>0</v>
      </c>
      <c r="W672" s="4">
        <f>IF(ISERROR(VLOOKUP($T$672,'TAR FIN'!$A$1:$O$113,15,0)),0,VLOOKUP($T$672,'TAR FIN'!$A$1:$O$113,15,0))</f>
        <v>497.52</v>
      </c>
      <c r="X672" s="4">
        <f>IF(ISERROR(VLOOKUP($U$672,'TAR FIN'!$A$1:$O$113,15,0)),0,VLOOKUP($U$672,'TAR FIN'!$A$1:$O$113,15,0))</f>
        <v>195.63</v>
      </c>
      <c r="Y672" s="4"/>
      <c r="Z672" s="4">
        <f ca="1">('TUSD BE'!$AM$51+'TUSD BF'!$AM$51+'TUSD CVA'!$AM$51)*(1-CUSTOS!$M$38)</f>
        <v>628.38817282981779</v>
      </c>
      <c r="AA672" s="4">
        <f>('TE BE'!$AA$30+'TE BF'!$AA$30+'TE CVA'!$AA$30)*(1-CUSTOS!$M$38)</f>
        <v>209.7568810332202</v>
      </c>
      <c r="AB672" s="4">
        <f t="shared" si="32"/>
        <v>0</v>
      </c>
      <c r="AC672" s="4">
        <f>(L672*W672+M672*X672)/(1-CUSTOS!$M$38)*CUSTOS!$M$38</f>
        <v>3.3182712765957443</v>
      </c>
      <c r="AD672" s="4">
        <f t="shared" si="33"/>
        <v>0</v>
      </c>
      <c r="AE672" s="4">
        <f ca="1">(L672*Z672+N672*AA672)/(1-CUSTOS!$M$38)*CUSTOS!$M$38</f>
        <v>4.0123965344507138</v>
      </c>
      <c r="AF672" s="3" t="s">
        <v>1023</v>
      </c>
    </row>
    <row r="673" spans="1:32" ht="11.25" customHeight="1" x14ac:dyDescent="0.25">
      <c r="A673" s="3" t="s">
        <v>21</v>
      </c>
      <c r="B673" s="3" t="s">
        <v>44</v>
      </c>
      <c r="C673" s="3" t="s">
        <v>33</v>
      </c>
      <c r="D673" s="3" t="s">
        <v>45</v>
      </c>
      <c r="E673" s="3" t="s">
        <v>53</v>
      </c>
      <c r="F673" s="3" t="s">
        <v>54</v>
      </c>
      <c r="G673" s="3" t="s">
        <v>25</v>
      </c>
      <c r="H673" s="3" t="s">
        <v>36</v>
      </c>
      <c r="I673" s="6">
        <v>44501</v>
      </c>
      <c r="J673" s="4">
        <v>0</v>
      </c>
      <c r="K673" s="4">
        <v>0</v>
      </c>
      <c r="L673" s="4">
        <v>7.4999999999999997E-2</v>
      </c>
      <c r="M673" s="4">
        <v>7.4999999999999997E-2</v>
      </c>
      <c r="N673" s="4">
        <v>7.4999999999999997E-2</v>
      </c>
      <c r="O673" s="4">
        <v>7.4999999999999997E-2</v>
      </c>
      <c r="P673" s="4">
        <v>0</v>
      </c>
      <c r="Q673" s="3" t="s">
        <v>26</v>
      </c>
      <c r="R673" s="3">
        <v>0</v>
      </c>
      <c r="S673" s="3">
        <v>0</v>
      </c>
      <c r="T673" s="3">
        <v>52</v>
      </c>
      <c r="U673" s="3">
        <v>70</v>
      </c>
      <c r="V673" s="4">
        <f>IF(ISERROR(VLOOKUP($S$673,'TAR FIN'!$A$1:$O$113,15,0)),0,VLOOKUP($S$673,'TAR FIN'!$A$1:$O$113,15,0))</f>
        <v>0</v>
      </c>
      <c r="W673" s="4">
        <f>IF(ISERROR(VLOOKUP($T$673,'TAR FIN'!$A$1:$O$113,15,0)),0,VLOOKUP($T$673,'TAR FIN'!$A$1:$O$113,15,0))</f>
        <v>497.52</v>
      </c>
      <c r="X673" s="4">
        <f>IF(ISERROR(VLOOKUP($U$673,'TAR FIN'!$A$1:$O$113,15,0)),0,VLOOKUP($U$673,'TAR FIN'!$A$1:$O$113,15,0))</f>
        <v>195.63</v>
      </c>
      <c r="Y673" s="4"/>
      <c r="Z673" s="4">
        <f ca="1">('TUSD BE'!$AM$51+'TUSD BF'!$AM$51+'TUSD CVA'!$AM$51)*(1-CUSTOS!$M$38)</f>
        <v>628.38817282981779</v>
      </c>
      <c r="AA673" s="4">
        <f>('TE BE'!$AA$30+'TE BF'!$AA$30+'TE CVA'!$AA$30)*(1-CUSTOS!$M$38)</f>
        <v>209.7568810332202</v>
      </c>
      <c r="AB673" s="4">
        <f t="shared" si="32"/>
        <v>0</v>
      </c>
      <c r="AC673" s="4">
        <f>(L673*W673+M673*X673)/(1-CUSTOS!$M$38)*CUSTOS!$M$38</f>
        <v>3.3182712765957443</v>
      </c>
      <c r="AD673" s="4">
        <f t="shared" si="33"/>
        <v>0</v>
      </c>
      <c r="AE673" s="4">
        <f ca="1">(L673*Z673+N673*AA673)/(1-CUSTOS!$M$38)*CUSTOS!$M$38</f>
        <v>4.0123965344507138</v>
      </c>
      <c r="AF673" s="3" t="s">
        <v>1023</v>
      </c>
    </row>
    <row r="674" spans="1:32" ht="11.25" customHeight="1" x14ac:dyDescent="0.25">
      <c r="A674" s="3" t="s">
        <v>21</v>
      </c>
      <c r="B674" s="3" t="s">
        <v>44</v>
      </c>
      <c r="C674" s="3" t="s">
        <v>33</v>
      </c>
      <c r="D674" s="3" t="s">
        <v>45</v>
      </c>
      <c r="E674" s="3" t="s">
        <v>53</v>
      </c>
      <c r="F674" s="3" t="s">
        <v>54</v>
      </c>
      <c r="G674" s="3" t="s">
        <v>25</v>
      </c>
      <c r="H674" s="3" t="s">
        <v>36</v>
      </c>
      <c r="I674" s="6">
        <v>44531</v>
      </c>
      <c r="J674" s="4">
        <v>0</v>
      </c>
      <c r="K674" s="4">
        <v>0</v>
      </c>
      <c r="L674" s="4">
        <v>0.17499999999999999</v>
      </c>
      <c r="M674" s="4">
        <v>0.17499999999999999</v>
      </c>
      <c r="N674" s="4">
        <v>0.17499999999999999</v>
      </c>
      <c r="O674" s="4">
        <v>0.17499999999999999</v>
      </c>
      <c r="P674" s="4">
        <v>0</v>
      </c>
      <c r="Q674" s="3" t="s">
        <v>26</v>
      </c>
      <c r="R674" s="3">
        <v>0</v>
      </c>
      <c r="S674" s="3">
        <v>0</v>
      </c>
      <c r="T674" s="3">
        <v>52</v>
      </c>
      <c r="U674" s="3">
        <v>70</v>
      </c>
      <c r="V674" s="4">
        <f>IF(ISERROR(VLOOKUP($S$674,'TAR FIN'!$A$1:$O$113,15,0)),0,VLOOKUP($S$674,'TAR FIN'!$A$1:$O$113,15,0))</f>
        <v>0</v>
      </c>
      <c r="W674" s="4">
        <f>IF(ISERROR(VLOOKUP($T$674,'TAR FIN'!$A$1:$O$113,15,0)),0,VLOOKUP($T$674,'TAR FIN'!$A$1:$O$113,15,0))</f>
        <v>497.52</v>
      </c>
      <c r="X674" s="4">
        <f>IF(ISERROR(VLOOKUP($U$674,'TAR FIN'!$A$1:$O$113,15,0)),0,VLOOKUP($U$674,'TAR FIN'!$A$1:$O$113,15,0))</f>
        <v>195.63</v>
      </c>
      <c r="Y674" s="4"/>
      <c r="Z674" s="4">
        <f ca="1">('TUSD BE'!$AM$51+'TUSD BF'!$AM$51+'TUSD CVA'!$AM$51)*(1-CUSTOS!$M$38)</f>
        <v>628.38817282981779</v>
      </c>
      <c r="AA674" s="4">
        <f>('TE BE'!$AA$30+'TE BF'!$AA$30+'TE CVA'!$AA$30)*(1-CUSTOS!$M$38)</f>
        <v>209.7568810332202</v>
      </c>
      <c r="AB674" s="4">
        <f t="shared" si="32"/>
        <v>0</v>
      </c>
      <c r="AC674" s="4">
        <f>(L674*W674+M674*X674)/(1-CUSTOS!$M$38)*CUSTOS!$M$38</f>
        <v>7.7426329787234032</v>
      </c>
      <c r="AD674" s="4">
        <f t="shared" si="33"/>
        <v>0</v>
      </c>
      <c r="AE674" s="4">
        <f ca="1">(L674*Z674+N674*AA674)/(1-CUSTOS!$M$38)*CUSTOS!$M$38</f>
        <v>9.3622585803849994</v>
      </c>
      <c r="AF674" s="3" t="s">
        <v>1023</v>
      </c>
    </row>
    <row r="675" spans="1:32" ht="11.25" customHeight="1" x14ac:dyDescent="0.25">
      <c r="A675" s="3" t="s">
        <v>21</v>
      </c>
      <c r="B675" s="3" t="s">
        <v>44</v>
      </c>
      <c r="C675" s="3" t="s">
        <v>33</v>
      </c>
      <c r="D675" s="3" t="s">
        <v>45</v>
      </c>
      <c r="E675" s="3" t="s">
        <v>53</v>
      </c>
      <c r="F675" s="3" t="s">
        <v>54</v>
      </c>
      <c r="G675" s="3" t="s">
        <v>25</v>
      </c>
      <c r="H675" s="3" t="s">
        <v>36</v>
      </c>
      <c r="I675" s="6">
        <v>44562</v>
      </c>
      <c r="J675" s="4">
        <v>0</v>
      </c>
      <c r="K675" s="4">
        <v>0</v>
      </c>
      <c r="L675" s="4">
        <v>0.02</v>
      </c>
      <c r="M675" s="4">
        <v>0.02</v>
      </c>
      <c r="N675" s="4">
        <v>0.02</v>
      </c>
      <c r="O675" s="4">
        <v>0.02</v>
      </c>
      <c r="P675" s="4">
        <v>0</v>
      </c>
      <c r="Q675" s="3" t="s">
        <v>26</v>
      </c>
      <c r="R675" s="3">
        <v>0</v>
      </c>
      <c r="S675" s="3">
        <v>0</v>
      </c>
      <c r="T675" s="3">
        <v>52</v>
      </c>
      <c r="U675" s="3">
        <v>70</v>
      </c>
      <c r="V675" s="4">
        <f>IF(ISERROR(VLOOKUP($S$675,'TAR FIN'!$A$1:$O$113,15,0)),0,VLOOKUP($S$675,'TAR FIN'!$A$1:$O$113,15,0))</f>
        <v>0</v>
      </c>
      <c r="W675" s="4">
        <f>IF(ISERROR(VLOOKUP($T$675,'TAR FIN'!$A$1:$O$113,15,0)),0,VLOOKUP($T$675,'TAR FIN'!$A$1:$O$113,15,0))</f>
        <v>497.52</v>
      </c>
      <c r="X675" s="4">
        <f>IF(ISERROR(VLOOKUP($U$675,'TAR FIN'!$A$1:$O$113,15,0)),0,VLOOKUP($U$675,'TAR FIN'!$A$1:$O$113,15,0))</f>
        <v>195.63</v>
      </c>
      <c r="Y675" s="4"/>
      <c r="Z675" s="4">
        <f ca="1">('TUSD BE'!$AM$51+'TUSD BF'!$AM$51+'TUSD CVA'!$AM$51)*(1-CUSTOS!$M$38)</f>
        <v>628.38817282981779</v>
      </c>
      <c r="AA675" s="4">
        <f>('TE BE'!$AA$30+'TE BF'!$AA$30+'TE CVA'!$AA$30)*(1-CUSTOS!$M$38)</f>
        <v>209.7568810332202</v>
      </c>
      <c r="AB675" s="4">
        <f t="shared" si="32"/>
        <v>0</v>
      </c>
      <c r="AC675" s="4">
        <f>(L675*W675+M675*X675)/(1-CUSTOS!$M$38)*CUSTOS!$M$38</f>
        <v>0.88487234042553187</v>
      </c>
      <c r="AD675" s="4">
        <f t="shared" si="33"/>
        <v>0</v>
      </c>
      <c r="AE675" s="4">
        <f ca="1">(L675*Z675+N675*AA675)/(1-CUSTOS!$M$38)*CUSTOS!$M$38</f>
        <v>1.069972409186857</v>
      </c>
      <c r="AF675" s="3" t="s">
        <v>1023</v>
      </c>
    </row>
    <row r="676" spans="1:32" ht="11.25" customHeight="1" x14ac:dyDescent="0.25">
      <c r="A676" s="3" t="s">
        <v>21</v>
      </c>
      <c r="B676" s="3" t="s">
        <v>44</v>
      </c>
      <c r="C676" s="3" t="s">
        <v>33</v>
      </c>
      <c r="D676" s="3" t="s">
        <v>45</v>
      </c>
      <c r="E676" s="3" t="s">
        <v>53</v>
      </c>
      <c r="F676" s="3" t="s">
        <v>54</v>
      </c>
      <c r="G676" s="3" t="s">
        <v>25</v>
      </c>
      <c r="H676" s="3" t="s">
        <v>34</v>
      </c>
      <c r="I676" s="6">
        <v>44531</v>
      </c>
      <c r="J676" s="4">
        <v>0</v>
      </c>
      <c r="K676" s="4">
        <v>0</v>
      </c>
      <c r="L676" s="4">
        <v>0.04</v>
      </c>
      <c r="M676" s="4">
        <v>0.04</v>
      </c>
      <c r="N676" s="4">
        <v>0.04</v>
      </c>
      <c r="O676" s="4">
        <v>0.04</v>
      </c>
      <c r="P676" s="4">
        <v>0</v>
      </c>
      <c r="Q676" s="3" t="s">
        <v>26</v>
      </c>
      <c r="R676" s="3">
        <v>0</v>
      </c>
      <c r="S676" s="3">
        <v>0</v>
      </c>
      <c r="T676" s="3">
        <v>51</v>
      </c>
      <c r="U676" s="3">
        <v>69</v>
      </c>
      <c r="V676" s="4">
        <f>IF(ISERROR(VLOOKUP($S$676,'TAR FIN'!$A$1:$O$113,15,0)),0,VLOOKUP($S$676,'TAR FIN'!$A$1:$O$113,15,0))</f>
        <v>0</v>
      </c>
      <c r="W676" s="4">
        <f>IF(ISERROR(VLOOKUP($T$676,'TAR FIN'!$A$1:$O$113,15,0)),0,VLOOKUP($T$676,'TAR FIN'!$A$1:$O$113,15,0))</f>
        <v>786.82</v>
      </c>
      <c r="X676" s="4">
        <f>IF(ISERROR(VLOOKUP($U$676,'TAR FIN'!$A$1:$O$113,15,0)),0,VLOOKUP($U$676,'TAR FIN'!$A$1:$O$113,15,0))</f>
        <v>321.64</v>
      </c>
      <c r="Y676" s="4"/>
      <c r="Z676" s="4">
        <f ca="1">('TUSD BE'!$AM$50+'TUSD BF'!$AM$50+'TUSD CVA'!$AM$50)*(1-CUSTOS!$M$38)</f>
        <v>991.25918961691207</v>
      </c>
      <c r="AA676" s="4">
        <f>('TE BE'!$AA$29+'TE BF'!$AA$29+'TE CVA'!$AA$29)*(1-CUSTOS!$M$38)</f>
        <v>339.85712613306845</v>
      </c>
      <c r="AB676" s="4">
        <f t="shared" si="32"/>
        <v>0</v>
      </c>
      <c r="AC676" s="4">
        <f>(L676*W676+M676*X676)/(1-CUSTOS!$M$38)*CUSTOS!$M$38</f>
        <v>2.8301106382978727</v>
      </c>
      <c r="AD676" s="4">
        <f t="shared" si="33"/>
        <v>0</v>
      </c>
      <c r="AE676" s="4">
        <f ca="1">(L676*Z676+N676*AA676)/(1-CUSTOS!$M$38)*CUSTOS!$M$38</f>
        <v>3.3985948487233544</v>
      </c>
      <c r="AF676" s="3" t="s">
        <v>1023</v>
      </c>
    </row>
    <row r="677" spans="1:32" ht="11.25" customHeight="1" x14ac:dyDescent="0.25">
      <c r="A677" s="3" t="s">
        <v>21</v>
      </c>
      <c r="B677" s="3" t="s">
        <v>44</v>
      </c>
      <c r="C677" s="3" t="s">
        <v>33</v>
      </c>
      <c r="D677" s="3" t="s">
        <v>45</v>
      </c>
      <c r="E677" s="3" t="s">
        <v>53</v>
      </c>
      <c r="F677" s="3" t="s">
        <v>54</v>
      </c>
      <c r="G677" s="3" t="s">
        <v>25</v>
      </c>
      <c r="H677" s="3" t="s">
        <v>34</v>
      </c>
      <c r="I677" s="6">
        <v>44562</v>
      </c>
      <c r="J677" s="4">
        <v>0</v>
      </c>
      <c r="K677" s="4">
        <v>0</v>
      </c>
      <c r="L677" s="4">
        <v>0.04</v>
      </c>
      <c r="M677" s="4">
        <v>0.04</v>
      </c>
      <c r="N677" s="4">
        <v>0.04</v>
      </c>
      <c r="O677" s="4">
        <v>0.04</v>
      </c>
      <c r="P677" s="4">
        <v>0</v>
      </c>
      <c r="Q677" s="3" t="s">
        <v>26</v>
      </c>
      <c r="R677" s="3">
        <v>0</v>
      </c>
      <c r="S677" s="3">
        <v>0</v>
      </c>
      <c r="T677" s="3">
        <v>51</v>
      </c>
      <c r="U677" s="3">
        <v>69</v>
      </c>
      <c r="V677" s="4">
        <f>IF(ISERROR(VLOOKUP($S$677,'TAR FIN'!$A$1:$O$113,15,0)),0,VLOOKUP($S$677,'TAR FIN'!$A$1:$O$113,15,0))</f>
        <v>0</v>
      </c>
      <c r="W677" s="4">
        <f>IF(ISERROR(VLOOKUP($T$677,'TAR FIN'!$A$1:$O$113,15,0)),0,VLOOKUP($T$677,'TAR FIN'!$A$1:$O$113,15,0))</f>
        <v>786.82</v>
      </c>
      <c r="X677" s="4">
        <f>IF(ISERROR(VLOOKUP($U$677,'TAR FIN'!$A$1:$O$113,15,0)),0,VLOOKUP($U$677,'TAR FIN'!$A$1:$O$113,15,0))</f>
        <v>321.64</v>
      </c>
      <c r="Y677" s="4"/>
      <c r="Z677" s="4">
        <f ca="1">('TUSD BE'!$AM$50+'TUSD BF'!$AM$50+'TUSD CVA'!$AM$50)*(1-CUSTOS!$M$38)</f>
        <v>991.25918961691207</v>
      </c>
      <c r="AA677" s="4">
        <f>('TE BE'!$AA$29+'TE BF'!$AA$29+'TE CVA'!$AA$29)*(1-CUSTOS!$M$38)</f>
        <v>339.85712613306845</v>
      </c>
      <c r="AB677" s="4">
        <f t="shared" si="32"/>
        <v>0</v>
      </c>
      <c r="AC677" s="4">
        <f>(L677*W677+M677*X677)/(1-CUSTOS!$M$38)*CUSTOS!$M$38</f>
        <v>2.8301106382978727</v>
      </c>
      <c r="AD677" s="4">
        <f t="shared" si="33"/>
        <v>0</v>
      </c>
      <c r="AE677" s="4">
        <f ca="1">(L677*Z677+N677*AA677)/(1-CUSTOS!$M$38)*CUSTOS!$M$38</f>
        <v>3.3985948487233544</v>
      </c>
      <c r="AF677" s="3" t="s">
        <v>1023</v>
      </c>
    </row>
    <row r="678" spans="1:32" ht="11.25" customHeight="1" x14ac:dyDescent="0.25">
      <c r="A678" s="3" t="s">
        <v>21</v>
      </c>
      <c r="B678" s="3" t="s">
        <v>44</v>
      </c>
      <c r="C678" s="3" t="s">
        <v>33</v>
      </c>
      <c r="D678" s="3" t="s">
        <v>45</v>
      </c>
      <c r="E678" s="3" t="s">
        <v>53</v>
      </c>
      <c r="F678" s="3" t="s">
        <v>55</v>
      </c>
      <c r="G678" s="3" t="s">
        <v>25</v>
      </c>
      <c r="H678" s="3" t="s">
        <v>35</v>
      </c>
      <c r="I678" s="6">
        <v>44593</v>
      </c>
      <c r="J678" s="4">
        <v>0</v>
      </c>
      <c r="K678" s="4">
        <v>0</v>
      </c>
      <c r="L678" s="4">
        <v>42.04</v>
      </c>
      <c r="M678" s="4">
        <v>4.2039999999999997</v>
      </c>
      <c r="N678" s="4">
        <v>42.04</v>
      </c>
      <c r="O678" s="4">
        <v>4.2039999999999997</v>
      </c>
      <c r="P678" s="4">
        <v>0</v>
      </c>
      <c r="Q678" s="3" t="s">
        <v>26</v>
      </c>
      <c r="R678" s="3">
        <v>0</v>
      </c>
      <c r="S678" s="3">
        <v>0</v>
      </c>
      <c r="T678" s="3">
        <v>33</v>
      </c>
      <c r="U678" s="3">
        <v>71</v>
      </c>
      <c r="V678" s="4">
        <f>IF(ISERROR(VLOOKUP($S$678,'TAR FIN'!$A$1:$O$113,15,0)),0,VLOOKUP($S$678,'TAR FIN'!$A$1:$O$113,15,0))</f>
        <v>0</v>
      </c>
      <c r="W678" s="4">
        <f>IF(ISERROR(VLOOKUP($T$678,'TAR FIN'!$A$1:$O$113,15,0)),0,VLOOKUP($T$678,'TAR FIN'!$A$1:$O$113,15,0))</f>
        <v>208.22</v>
      </c>
      <c r="X678" s="4">
        <f>IF(ISERROR(VLOOKUP($U$678,'TAR FIN'!$A$1:$O$113,15,0)),0,VLOOKUP($U$678,'TAR FIN'!$A$1:$O$113,15,0))</f>
        <v>195.63</v>
      </c>
      <c r="Y678" s="4"/>
      <c r="Z678" s="4">
        <f ca="1">('TUSD BE'!$AM$52+'TUSD BF'!$AM$52+'TUSD CVA'!$AM$52)*(1-CUSTOS!$M$38)</f>
        <v>265.51673209278465</v>
      </c>
      <c r="AA678" s="4">
        <f>('TE BE'!$AA$31+'TE BF'!$AA$31+'TE CVA'!$AA$31)*(1-CUSTOS!$M$38)</f>
        <v>209.7568810332202</v>
      </c>
      <c r="AB678" s="4">
        <f t="shared" si="32"/>
        <v>0</v>
      </c>
      <c r="AC678" s="4">
        <f>(L678-M678)*(W678+X678)+(L678*W678+M678*X678)/(1-CUSTOS!$M$38)*CUSTOS!$M$38</f>
        <v>15891.302471489362</v>
      </c>
      <c r="AD678" s="4">
        <f t="shared" si="33"/>
        <v>0</v>
      </c>
      <c r="AE678" s="4">
        <f ca="1">(L678-M678)*(Z678+AA678)+(L678*Z678+N678*AA678)/(1-CUSTOS!$M$38)*CUSTOS!$M$38</f>
        <v>19257.803662138747</v>
      </c>
      <c r="AF678" s="3" t="s">
        <v>1024</v>
      </c>
    </row>
    <row r="679" spans="1:32" ht="11.25" customHeight="1" x14ac:dyDescent="0.25">
      <c r="A679" s="3" t="s">
        <v>27</v>
      </c>
      <c r="B679" s="3" t="s">
        <v>44</v>
      </c>
      <c r="C679" s="3" t="s">
        <v>33</v>
      </c>
      <c r="D679" s="3" t="s">
        <v>45</v>
      </c>
      <c r="E679" s="3" t="s">
        <v>53</v>
      </c>
      <c r="F679" s="3" t="s">
        <v>55</v>
      </c>
      <c r="G679" s="3" t="s">
        <v>25</v>
      </c>
      <c r="H679" s="3" t="s">
        <v>35</v>
      </c>
      <c r="I679" s="6">
        <v>44593</v>
      </c>
      <c r="J679" s="4">
        <v>0</v>
      </c>
      <c r="K679" s="4">
        <v>0</v>
      </c>
      <c r="L679" s="4">
        <v>36.64</v>
      </c>
      <c r="M679" s="4">
        <v>36.64</v>
      </c>
      <c r="N679" s="4">
        <v>36.64</v>
      </c>
      <c r="O679" s="4">
        <v>36.64</v>
      </c>
      <c r="P679" s="4">
        <v>0</v>
      </c>
      <c r="Q679" s="3" t="s">
        <v>26</v>
      </c>
      <c r="R679" s="3">
        <v>0</v>
      </c>
      <c r="S679" s="3">
        <v>0</v>
      </c>
      <c r="T679" s="3">
        <v>33</v>
      </c>
      <c r="U679" s="3">
        <v>71</v>
      </c>
      <c r="V679" s="4">
        <f>IF(ISERROR(VLOOKUP($S$679,'TAR FIN'!$A$1:$O$113,15,0)),0,VLOOKUP($S$679,'TAR FIN'!$A$1:$O$113,15,0))</f>
        <v>0</v>
      </c>
      <c r="W679" s="4">
        <f>IF(ISERROR(VLOOKUP($T$679,'TAR FIN'!$A$1:$O$113,15,0)),0,VLOOKUP($T$679,'TAR FIN'!$A$1:$O$113,15,0))</f>
        <v>208.22</v>
      </c>
      <c r="X679" s="4">
        <f>IF(ISERROR(VLOOKUP($U$679,'TAR FIN'!$A$1:$O$113,15,0)),0,VLOOKUP($U$679,'TAR FIN'!$A$1:$O$113,15,0))</f>
        <v>195.63</v>
      </c>
      <c r="Y679" s="4"/>
      <c r="Z679" s="4">
        <f ca="1">('TUSD BE'!$AM$52+'TUSD BF'!$AM$52+'TUSD CVA'!$AM$52)*(1-CUSTOS!$M$38)</f>
        <v>265.51673209278465</v>
      </c>
      <c r="AA679" s="4">
        <f>('TE BE'!$AA$31+'TE BF'!$AA$31+'TE CVA'!$AA$31)*(1-CUSTOS!$M$38)</f>
        <v>209.7568810332202</v>
      </c>
      <c r="AB679" s="4">
        <f t="shared" si="32"/>
        <v>0</v>
      </c>
      <c r="AC679" s="4">
        <f>(L679-M679)*(W679+X679)+(L679*W679+M679*X679)/(1-CUSTOS!$M$38)*CUSTOS!$M$38</f>
        <v>944.49344680851073</v>
      </c>
      <c r="AD679" s="4">
        <f t="shared" si="33"/>
        <v>0</v>
      </c>
      <c r="AE679" s="4">
        <f ca="1">(L679-M679)*(Z679+AA679)+(L679*Z679+N679*AA679)/(1-CUSTOS!$M$38)*CUSTOS!$M$38</f>
        <v>1111.5335224427756</v>
      </c>
      <c r="AF679" s="3" t="s">
        <v>1023</v>
      </c>
    </row>
    <row r="680" spans="1:32" ht="11.25" customHeight="1" x14ac:dyDescent="0.25">
      <c r="A680" s="3" t="s">
        <v>56</v>
      </c>
      <c r="B680" s="3" t="s">
        <v>44</v>
      </c>
      <c r="C680" s="3" t="s">
        <v>33</v>
      </c>
      <c r="D680" s="3" t="s">
        <v>45</v>
      </c>
      <c r="E680" s="3" t="s">
        <v>53</v>
      </c>
      <c r="F680" s="3" t="s">
        <v>55</v>
      </c>
      <c r="G680" s="3" t="s">
        <v>25</v>
      </c>
      <c r="H680" s="3" t="s">
        <v>35</v>
      </c>
      <c r="I680" s="6">
        <v>44621</v>
      </c>
      <c r="J680" s="4">
        <v>0</v>
      </c>
      <c r="K680" s="4">
        <v>0</v>
      </c>
      <c r="L680" s="4">
        <v>42.04</v>
      </c>
      <c r="M680" s="4">
        <v>4.2039999999999997</v>
      </c>
      <c r="N680" s="4">
        <v>42.04</v>
      </c>
      <c r="O680" s="4">
        <v>4.2039999999999997</v>
      </c>
      <c r="P680" s="4">
        <v>0</v>
      </c>
      <c r="Q680" s="3" t="s">
        <v>26</v>
      </c>
      <c r="R680" s="3">
        <v>0</v>
      </c>
      <c r="S680" s="3">
        <v>0</v>
      </c>
      <c r="T680" s="3">
        <v>33</v>
      </c>
      <c r="U680" s="3">
        <v>71</v>
      </c>
      <c r="V680" s="4">
        <f>IF(ISERROR(VLOOKUP($S$680,'TAR FIN'!$A$1:$O$113,15,0)),0,VLOOKUP($S$680,'TAR FIN'!$A$1:$O$113,15,0))</f>
        <v>0</v>
      </c>
      <c r="W680" s="4">
        <f>IF(ISERROR(VLOOKUP($T$680,'TAR FIN'!$A$1:$O$113,15,0)),0,VLOOKUP($T$680,'TAR FIN'!$A$1:$O$113,15,0))</f>
        <v>208.22</v>
      </c>
      <c r="X680" s="4">
        <f>IF(ISERROR(VLOOKUP($U$680,'TAR FIN'!$A$1:$O$113,15,0)),0,VLOOKUP($U$680,'TAR FIN'!$A$1:$O$113,15,0))</f>
        <v>195.63</v>
      </c>
      <c r="Y680" s="4"/>
      <c r="Z680" s="4">
        <f ca="1">('TUSD BE'!$AM$52+'TUSD BF'!$AM$52+'TUSD CVA'!$AM$52)*(1-CUSTOS!$M$38)</f>
        <v>265.51673209278465</v>
      </c>
      <c r="AA680" s="4">
        <f>('TE BE'!$AA$31+'TE BF'!$AA$31+'TE CVA'!$AA$31)*(1-CUSTOS!$M$38)</f>
        <v>209.7568810332202</v>
      </c>
      <c r="AB680" s="4">
        <f t="shared" si="32"/>
        <v>0</v>
      </c>
      <c r="AC680" s="4">
        <f>(L680-M680)*(W680+X680)+(L680*W680+M680*X680)/(1-CUSTOS!$M$38)*CUSTOS!$M$38</f>
        <v>15891.302471489362</v>
      </c>
      <c r="AD680" s="4">
        <f t="shared" si="33"/>
        <v>0</v>
      </c>
      <c r="AE680" s="4">
        <f ca="1">(L680-M680)*(Z680+AA680)+(L680*Z680+N680*AA680)/(1-CUSTOS!$M$38)*CUSTOS!$M$38</f>
        <v>19257.803662138747</v>
      </c>
      <c r="AF680" s="3" t="s">
        <v>1024</v>
      </c>
    </row>
    <row r="681" spans="1:32" ht="11.25" customHeight="1" x14ac:dyDescent="0.25">
      <c r="A681" s="3" t="s">
        <v>56</v>
      </c>
      <c r="B681" s="3" t="s">
        <v>44</v>
      </c>
      <c r="C681" s="3" t="s">
        <v>33</v>
      </c>
      <c r="D681" s="3" t="s">
        <v>45</v>
      </c>
      <c r="E681" s="3" t="s">
        <v>53</v>
      </c>
      <c r="F681" s="3" t="s">
        <v>55</v>
      </c>
      <c r="G681" s="3" t="s">
        <v>25</v>
      </c>
      <c r="H681" s="3" t="s">
        <v>35</v>
      </c>
      <c r="I681" s="6">
        <v>44621</v>
      </c>
      <c r="J681" s="4">
        <v>0</v>
      </c>
      <c r="K681" s="4">
        <v>0</v>
      </c>
      <c r="L681" s="4">
        <v>36.64</v>
      </c>
      <c r="M681" s="4">
        <v>36.64</v>
      </c>
      <c r="N681" s="4">
        <v>36.64</v>
      </c>
      <c r="O681" s="4">
        <v>36.64</v>
      </c>
      <c r="P681" s="4">
        <v>0</v>
      </c>
      <c r="Q681" s="3" t="s">
        <v>26</v>
      </c>
      <c r="R681" s="3">
        <v>0</v>
      </c>
      <c r="S681" s="3">
        <v>0</v>
      </c>
      <c r="T681" s="3">
        <v>33</v>
      </c>
      <c r="U681" s="3">
        <v>71</v>
      </c>
      <c r="V681" s="4">
        <f>IF(ISERROR(VLOOKUP($S$681,'TAR FIN'!$A$1:$O$113,15,0)),0,VLOOKUP($S$681,'TAR FIN'!$A$1:$O$113,15,0))</f>
        <v>0</v>
      </c>
      <c r="W681" s="4">
        <f>IF(ISERROR(VLOOKUP($T$681,'TAR FIN'!$A$1:$O$113,15,0)),0,VLOOKUP($T$681,'TAR FIN'!$A$1:$O$113,15,0))</f>
        <v>208.22</v>
      </c>
      <c r="X681" s="4">
        <f>IF(ISERROR(VLOOKUP($U$681,'TAR FIN'!$A$1:$O$113,15,0)),0,VLOOKUP($U$681,'TAR FIN'!$A$1:$O$113,15,0))</f>
        <v>195.63</v>
      </c>
      <c r="Y681" s="4"/>
      <c r="Z681" s="4">
        <f ca="1">('TUSD BE'!$AM$52+'TUSD BF'!$AM$52+'TUSD CVA'!$AM$52)*(1-CUSTOS!$M$38)</f>
        <v>265.51673209278465</v>
      </c>
      <c r="AA681" s="4">
        <f>('TE BE'!$AA$31+'TE BF'!$AA$31+'TE CVA'!$AA$31)*(1-CUSTOS!$M$38)</f>
        <v>209.7568810332202</v>
      </c>
      <c r="AB681" s="4">
        <f t="shared" si="32"/>
        <v>0</v>
      </c>
      <c r="AC681" s="4">
        <f>(L681-M681)*(W681+X681)+(L681*W681+M681*X681)/(1-CUSTOS!$M$38)*CUSTOS!$M$38</f>
        <v>944.49344680851073</v>
      </c>
      <c r="AD681" s="4">
        <f t="shared" si="33"/>
        <v>0</v>
      </c>
      <c r="AE681" s="4">
        <f ca="1">(L681-M681)*(Z681+AA681)+(L681*Z681+N681*AA681)/(1-CUSTOS!$M$38)*CUSTOS!$M$38</f>
        <v>1111.5335224427756</v>
      </c>
      <c r="AF681" s="3" t="s">
        <v>1023</v>
      </c>
    </row>
    <row r="682" spans="1:32" ht="11.25" customHeight="1" x14ac:dyDescent="0.25">
      <c r="A682" s="3" t="s">
        <v>21</v>
      </c>
      <c r="B682" s="3" t="s">
        <v>44</v>
      </c>
      <c r="C682" s="3" t="s">
        <v>33</v>
      </c>
      <c r="D682" s="3" t="s">
        <v>45</v>
      </c>
      <c r="E682" s="3" t="s">
        <v>25</v>
      </c>
      <c r="F682" s="3" t="s">
        <v>25</v>
      </c>
      <c r="G682" s="3" t="s">
        <v>25</v>
      </c>
      <c r="H682" s="3" t="s">
        <v>35</v>
      </c>
      <c r="I682" s="6">
        <v>44287</v>
      </c>
      <c r="J682" s="4">
        <v>0</v>
      </c>
      <c r="K682" s="4">
        <v>0</v>
      </c>
      <c r="L682" s="4">
        <v>1.82</v>
      </c>
      <c r="M682" s="4">
        <v>1.82</v>
      </c>
      <c r="N682" s="4">
        <v>1.82</v>
      </c>
      <c r="O682" s="4">
        <v>1.82</v>
      </c>
      <c r="P682" s="4">
        <v>0</v>
      </c>
      <c r="Q682" s="3" t="s">
        <v>26</v>
      </c>
      <c r="R682" s="3">
        <v>0</v>
      </c>
      <c r="S682" s="3">
        <v>0</v>
      </c>
      <c r="T682" s="3">
        <v>33</v>
      </c>
      <c r="U682" s="3">
        <v>71</v>
      </c>
      <c r="V682" s="4">
        <f>IF(ISERROR(VLOOKUP($S$682,'TAR FIN'!$A$1:$O$113,15,0)),0,VLOOKUP($S$682,'TAR FIN'!$A$1:$O$113,15,0))</f>
        <v>0</v>
      </c>
      <c r="W682" s="4">
        <f>IF(ISERROR(VLOOKUP($T$682,'TAR FIN'!$A$1:$O$113,15,0)),0,VLOOKUP($T$682,'TAR FIN'!$A$1:$O$113,15,0))</f>
        <v>208.22</v>
      </c>
      <c r="X682" s="4">
        <f>IF(ISERROR(VLOOKUP($U$682,'TAR FIN'!$A$1:$O$113,15,0)),0,VLOOKUP($U$682,'TAR FIN'!$A$1:$O$113,15,0))</f>
        <v>195.63</v>
      </c>
      <c r="Y682" s="4"/>
      <c r="Z682" s="4">
        <f ca="1">('TUSD BE'!$AM$52+'TUSD BF'!$AM$52+'TUSD CVA'!$AM$52)*(1-CUSTOS!$M$38)</f>
        <v>265.51673209278465</v>
      </c>
      <c r="AA682" s="4">
        <f>('TE BE'!$AA$31+'TE BF'!$AA$31+'TE CVA'!$AA$31)*(1-CUSTOS!$M$38)</f>
        <v>209.7568810332202</v>
      </c>
      <c r="AB682" s="4">
        <f t="shared" si="32"/>
        <v>0</v>
      </c>
      <c r="AC682" s="4">
        <f>(L682*W682+M682*X682)/(1-CUSTOS!$M$38)*CUSTOS!$M$38</f>
        <v>46.915340425531923</v>
      </c>
      <c r="AD682" s="4">
        <f t="shared" si="33"/>
        <v>0</v>
      </c>
      <c r="AE682" s="4">
        <f ca="1">(L682*Z682+N682*AA682)/(1-CUSTOS!$M$38)*CUSTOS!$M$38</f>
        <v>55.212636758893332</v>
      </c>
      <c r="AF682" s="3" t="s">
        <v>1023</v>
      </c>
    </row>
    <row r="683" spans="1:32" ht="11.25" customHeight="1" x14ac:dyDescent="0.25">
      <c r="A683" s="3" t="s">
        <v>21</v>
      </c>
      <c r="B683" s="3" t="s">
        <v>44</v>
      </c>
      <c r="C683" s="3" t="s">
        <v>33</v>
      </c>
      <c r="D683" s="3" t="s">
        <v>45</v>
      </c>
      <c r="E683" s="3" t="s">
        <v>25</v>
      </c>
      <c r="F683" s="3" t="s">
        <v>25</v>
      </c>
      <c r="G683" s="3" t="s">
        <v>25</v>
      </c>
      <c r="H683" s="3" t="s">
        <v>35</v>
      </c>
      <c r="I683" s="6">
        <v>44317</v>
      </c>
      <c r="J683" s="4">
        <v>0</v>
      </c>
      <c r="K683" s="4">
        <v>0</v>
      </c>
      <c r="L683" s="4">
        <v>0.80300000000000005</v>
      </c>
      <c r="M683" s="4">
        <v>0.80300000000000005</v>
      </c>
      <c r="N683" s="4">
        <v>0.80300000000000005</v>
      </c>
      <c r="O683" s="4">
        <v>0.80300000000000005</v>
      </c>
      <c r="P683" s="4">
        <v>0</v>
      </c>
      <c r="Q683" s="3" t="s">
        <v>26</v>
      </c>
      <c r="R683" s="3">
        <v>0</v>
      </c>
      <c r="S683" s="3">
        <v>0</v>
      </c>
      <c r="T683" s="3">
        <v>33</v>
      </c>
      <c r="U683" s="3">
        <v>71</v>
      </c>
      <c r="V683" s="4">
        <f>IF(ISERROR(VLOOKUP($S$683,'TAR FIN'!$A$1:$O$113,15,0)),0,VLOOKUP($S$683,'TAR FIN'!$A$1:$O$113,15,0))</f>
        <v>0</v>
      </c>
      <c r="W683" s="4">
        <f>IF(ISERROR(VLOOKUP($T$683,'TAR FIN'!$A$1:$O$113,15,0)),0,VLOOKUP($T$683,'TAR FIN'!$A$1:$O$113,15,0))</f>
        <v>208.22</v>
      </c>
      <c r="X683" s="4">
        <f>IF(ISERROR(VLOOKUP($U$683,'TAR FIN'!$A$1:$O$113,15,0)),0,VLOOKUP($U$683,'TAR FIN'!$A$1:$O$113,15,0))</f>
        <v>195.63</v>
      </c>
      <c r="Y683" s="4"/>
      <c r="Z683" s="4">
        <f ca="1">('TUSD BE'!$AM$52+'TUSD BF'!$AM$52+'TUSD CVA'!$AM$52)*(1-CUSTOS!$M$38)</f>
        <v>265.51673209278465</v>
      </c>
      <c r="AA683" s="4">
        <f>('TE BE'!$AA$31+'TE BF'!$AA$31+'TE CVA'!$AA$31)*(1-CUSTOS!$M$38)</f>
        <v>209.7568810332202</v>
      </c>
      <c r="AB683" s="4">
        <f t="shared" si="32"/>
        <v>0</v>
      </c>
      <c r="AC683" s="4">
        <f>(L683*W683+M683*X683)/(1-CUSTOS!$M$38)*CUSTOS!$M$38</f>
        <v>20.699460638297875</v>
      </c>
      <c r="AD683" s="4">
        <f t="shared" si="33"/>
        <v>0</v>
      </c>
      <c r="AE683" s="4">
        <f ca="1">(L683*Z683+N683*AA683)/(1-CUSTOS!$M$38)*CUSTOS!$M$38</f>
        <v>24.360300723841398</v>
      </c>
      <c r="AF683" s="3" t="s">
        <v>1023</v>
      </c>
    </row>
    <row r="684" spans="1:32" ht="11.25" customHeight="1" x14ac:dyDescent="0.25">
      <c r="A684" s="3" t="s">
        <v>21</v>
      </c>
      <c r="B684" s="3" t="s">
        <v>44</v>
      </c>
      <c r="C684" s="3" t="s">
        <v>33</v>
      </c>
      <c r="D684" s="3" t="s">
        <v>45</v>
      </c>
      <c r="E684" s="3" t="s">
        <v>25</v>
      </c>
      <c r="F684" s="3" t="s">
        <v>25</v>
      </c>
      <c r="G684" s="3" t="s">
        <v>25</v>
      </c>
      <c r="H684" s="3" t="s">
        <v>35</v>
      </c>
      <c r="I684" s="6">
        <v>44348</v>
      </c>
      <c r="J684" s="4">
        <v>0</v>
      </c>
      <c r="K684" s="4">
        <v>0</v>
      </c>
      <c r="L684" s="4">
        <v>0.92800000000000005</v>
      </c>
      <c r="M684" s="4">
        <v>0.92800000000000005</v>
      </c>
      <c r="N684" s="4">
        <v>0.92800000000000005</v>
      </c>
      <c r="O684" s="4">
        <v>0.92800000000000005</v>
      </c>
      <c r="P684" s="4">
        <v>0</v>
      </c>
      <c r="Q684" s="3" t="s">
        <v>26</v>
      </c>
      <c r="R684" s="3">
        <v>0</v>
      </c>
      <c r="S684" s="3">
        <v>0</v>
      </c>
      <c r="T684" s="3">
        <v>33</v>
      </c>
      <c r="U684" s="3">
        <v>71</v>
      </c>
      <c r="V684" s="4">
        <f>IF(ISERROR(VLOOKUP($S$684,'TAR FIN'!$A$1:$O$113,15,0)),0,VLOOKUP($S$684,'TAR FIN'!$A$1:$O$113,15,0))</f>
        <v>0</v>
      </c>
      <c r="W684" s="4">
        <f>IF(ISERROR(VLOOKUP($T$684,'TAR FIN'!$A$1:$O$113,15,0)),0,VLOOKUP($T$684,'TAR FIN'!$A$1:$O$113,15,0))</f>
        <v>208.22</v>
      </c>
      <c r="X684" s="4">
        <f>IF(ISERROR(VLOOKUP($U$684,'TAR FIN'!$A$1:$O$113,15,0)),0,VLOOKUP($U$684,'TAR FIN'!$A$1:$O$113,15,0))</f>
        <v>195.63</v>
      </c>
      <c r="Y684" s="4"/>
      <c r="Z684" s="4">
        <f ca="1">('TUSD BE'!$AM$52+'TUSD BF'!$AM$52+'TUSD CVA'!$AM$52)*(1-CUSTOS!$M$38)</f>
        <v>265.51673209278465</v>
      </c>
      <c r="AA684" s="4">
        <f>('TE BE'!$AA$31+'TE BF'!$AA$31+'TE CVA'!$AA$31)*(1-CUSTOS!$M$38)</f>
        <v>209.7568810332202</v>
      </c>
      <c r="AB684" s="4">
        <f t="shared" si="32"/>
        <v>0</v>
      </c>
      <c r="AC684" s="4">
        <f>(L684*W684+M684*X684)/(1-CUSTOS!$M$38)*CUSTOS!$M$38</f>
        <v>23.921668085106386</v>
      </c>
      <c r="AD684" s="4">
        <f t="shared" si="33"/>
        <v>0</v>
      </c>
      <c r="AE684" s="4">
        <f ca="1">(L684*Z684+N684*AA684)/(1-CUSTOS!$M$38)*CUSTOS!$M$38</f>
        <v>28.152377424314842</v>
      </c>
      <c r="AF684" s="3" t="s">
        <v>1023</v>
      </c>
    </row>
    <row r="685" spans="1:32" ht="11.25" customHeight="1" x14ac:dyDescent="0.25">
      <c r="A685" s="3" t="s">
        <v>21</v>
      </c>
      <c r="B685" s="3" t="s">
        <v>44</v>
      </c>
      <c r="C685" s="3" t="s">
        <v>33</v>
      </c>
      <c r="D685" s="3" t="s">
        <v>45</v>
      </c>
      <c r="E685" s="3" t="s">
        <v>25</v>
      </c>
      <c r="F685" s="3" t="s">
        <v>25</v>
      </c>
      <c r="G685" s="3" t="s">
        <v>25</v>
      </c>
      <c r="H685" s="3" t="s">
        <v>35</v>
      </c>
      <c r="I685" s="6">
        <v>44378</v>
      </c>
      <c r="J685" s="4">
        <v>0</v>
      </c>
      <c r="K685" s="4">
        <v>0</v>
      </c>
      <c r="L685" s="4">
        <v>0.55600000000000005</v>
      </c>
      <c r="M685" s="4">
        <v>0.55600000000000005</v>
      </c>
      <c r="N685" s="4">
        <v>0.55600000000000005</v>
      </c>
      <c r="O685" s="4">
        <v>0.55600000000000005</v>
      </c>
      <c r="P685" s="4">
        <v>0</v>
      </c>
      <c r="Q685" s="3" t="s">
        <v>26</v>
      </c>
      <c r="R685" s="3">
        <v>0</v>
      </c>
      <c r="S685" s="3">
        <v>0</v>
      </c>
      <c r="T685" s="3">
        <v>33</v>
      </c>
      <c r="U685" s="3">
        <v>71</v>
      </c>
      <c r="V685" s="4">
        <f>IF(ISERROR(VLOOKUP($S$685,'TAR FIN'!$A$1:$O$113,15,0)),0,VLOOKUP($S$685,'TAR FIN'!$A$1:$O$113,15,0))</f>
        <v>0</v>
      </c>
      <c r="W685" s="4">
        <f>IF(ISERROR(VLOOKUP($T$685,'TAR FIN'!$A$1:$O$113,15,0)),0,VLOOKUP($T$685,'TAR FIN'!$A$1:$O$113,15,0))</f>
        <v>208.22</v>
      </c>
      <c r="X685" s="4">
        <f>IF(ISERROR(VLOOKUP($U$685,'TAR FIN'!$A$1:$O$113,15,0)),0,VLOOKUP($U$685,'TAR FIN'!$A$1:$O$113,15,0))</f>
        <v>195.63</v>
      </c>
      <c r="Y685" s="4"/>
      <c r="Z685" s="4">
        <f ca="1">('TUSD BE'!$AM$52+'TUSD BF'!$AM$52+'TUSD CVA'!$AM$52)*(1-CUSTOS!$M$38)</f>
        <v>265.51673209278465</v>
      </c>
      <c r="AA685" s="4">
        <f>('TE BE'!$AA$31+'TE BF'!$AA$31+'TE CVA'!$AA$31)*(1-CUSTOS!$M$38)</f>
        <v>209.7568810332202</v>
      </c>
      <c r="AB685" s="4">
        <f t="shared" si="32"/>
        <v>0</v>
      </c>
      <c r="AC685" s="4">
        <f>(L685*W685+M685*X685)/(1-CUSTOS!$M$38)*CUSTOS!$M$38</f>
        <v>14.332378723404258</v>
      </c>
      <c r="AD685" s="4">
        <f t="shared" si="33"/>
        <v>0</v>
      </c>
      <c r="AE685" s="4">
        <f ca="1">(L685*Z685+N685*AA685)/(1-CUSTOS!$M$38)*CUSTOS!$M$38</f>
        <v>16.867157163705876</v>
      </c>
      <c r="AF685" s="3" t="s">
        <v>1023</v>
      </c>
    </row>
    <row r="686" spans="1:32" ht="11.25" customHeight="1" x14ac:dyDescent="0.25">
      <c r="A686" s="3" t="s">
        <v>21</v>
      </c>
      <c r="B686" s="3" t="s">
        <v>44</v>
      </c>
      <c r="C686" s="3" t="s">
        <v>33</v>
      </c>
      <c r="D686" s="3" t="s">
        <v>45</v>
      </c>
      <c r="E686" s="3" t="s">
        <v>25</v>
      </c>
      <c r="F686" s="3" t="s">
        <v>25</v>
      </c>
      <c r="G686" s="3" t="s">
        <v>25</v>
      </c>
      <c r="H686" s="3" t="s">
        <v>35</v>
      </c>
      <c r="I686" s="6">
        <v>44409</v>
      </c>
      <c r="J686" s="4">
        <v>0</v>
      </c>
      <c r="K686" s="4">
        <v>0</v>
      </c>
      <c r="L686" s="4">
        <v>0.75900000000000001</v>
      </c>
      <c r="M686" s="4">
        <v>0.75900000000000001</v>
      </c>
      <c r="N686" s="4">
        <v>0.75900000000000001</v>
      </c>
      <c r="O686" s="4">
        <v>0.75900000000000001</v>
      </c>
      <c r="P686" s="4">
        <v>0</v>
      </c>
      <c r="Q686" s="3" t="s">
        <v>26</v>
      </c>
      <c r="R686" s="3">
        <v>0</v>
      </c>
      <c r="S686" s="3">
        <v>0</v>
      </c>
      <c r="T686" s="3">
        <v>33</v>
      </c>
      <c r="U686" s="3">
        <v>71</v>
      </c>
      <c r="V686" s="4">
        <f>IF(ISERROR(VLOOKUP($S$686,'TAR FIN'!$A$1:$O$113,15,0)),0,VLOOKUP($S$686,'TAR FIN'!$A$1:$O$113,15,0))</f>
        <v>0</v>
      </c>
      <c r="W686" s="4">
        <f>IF(ISERROR(VLOOKUP($T$686,'TAR FIN'!$A$1:$O$113,15,0)),0,VLOOKUP($T$686,'TAR FIN'!$A$1:$O$113,15,0))</f>
        <v>208.22</v>
      </c>
      <c r="X686" s="4">
        <f>IF(ISERROR(VLOOKUP($U$686,'TAR FIN'!$A$1:$O$113,15,0)),0,VLOOKUP($U$686,'TAR FIN'!$A$1:$O$113,15,0))</f>
        <v>195.63</v>
      </c>
      <c r="Y686" s="4"/>
      <c r="Z686" s="4">
        <f ca="1">('TUSD BE'!$AM$52+'TUSD BF'!$AM$52+'TUSD CVA'!$AM$52)*(1-CUSTOS!$M$38)</f>
        <v>265.51673209278465</v>
      </c>
      <c r="AA686" s="4">
        <f>('TE BE'!$AA$31+'TE BF'!$AA$31+'TE CVA'!$AA$31)*(1-CUSTOS!$M$38)</f>
        <v>209.7568810332202</v>
      </c>
      <c r="AB686" s="4">
        <f t="shared" si="32"/>
        <v>0</v>
      </c>
      <c r="AC686" s="4">
        <f>(L686*W686+M686*X686)/(1-CUSTOS!$M$38)*CUSTOS!$M$38</f>
        <v>19.565243617021277</v>
      </c>
      <c r="AD686" s="4">
        <f t="shared" si="33"/>
        <v>0</v>
      </c>
      <c r="AE686" s="4">
        <f ca="1">(L686*Z686+N686*AA686)/(1-CUSTOS!$M$38)*CUSTOS!$M$38</f>
        <v>23.025489725274745</v>
      </c>
      <c r="AF686" s="3" t="s">
        <v>1023</v>
      </c>
    </row>
    <row r="687" spans="1:32" ht="11.25" customHeight="1" x14ac:dyDescent="0.25">
      <c r="A687" s="3" t="s">
        <v>21</v>
      </c>
      <c r="B687" s="3" t="s">
        <v>44</v>
      </c>
      <c r="C687" s="3" t="s">
        <v>33</v>
      </c>
      <c r="D687" s="3" t="s">
        <v>45</v>
      </c>
      <c r="E687" s="3" t="s">
        <v>25</v>
      </c>
      <c r="F687" s="3" t="s">
        <v>25</v>
      </c>
      <c r="G687" s="3" t="s">
        <v>25</v>
      </c>
      <c r="H687" s="3" t="s">
        <v>35</v>
      </c>
      <c r="I687" s="6">
        <v>44440</v>
      </c>
      <c r="J687" s="4">
        <v>0</v>
      </c>
      <c r="K687" s="4">
        <v>0</v>
      </c>
      <c r="L687" s="4">
        <v>1.877</v>
      </c>
      <c r="M687" s="4">
        <v>1.877</v>
      </c>
      <c r="N687" s="4">
        <v>1.877</v>
      </c>
      <c r="O687" s="4">
        <v>1.877</v>
      </c>
      <c r="P687" s="4">
        <v>0</v>
      </c>
      <c r="Q687" s="3" t="s">
        <v>26</v>
      </c>
      <c r="R687" s="3">
        <v>0</v>
      </c>
      <c r="S687" s="3">
        <v>0</v>
      </c>
      <c r="T687" s="3">
        <v>33</v>
      </c>
      <c r="U687" s="3">
        <v>71</v>
      </c>
      <c r="V687" s="4">
        <f>IF(ISERROR(VLOOKUP($S$687,'TAR FIN'!$A$1:$O$113,15,0)),0,VLOOKUP($S$687,'TAR FIN'!$A$1:$O$113,15,0))</f>
        <v>0</v>
      </c>
      <c r="W687" s="4">
        <f>IF(ISERROR(VLOOKUP($T$687,'TAR FIN'!$A$1:$O$113,15,0)),0,VLOOKUP($T$687,'TAR FIN'!$A$1:$O$113,15,0))</f>
        <v>208.22</v>
      </c>
      <c r="X687" s="4">
        <f>IF(ISERROR(VLOOKUP($U$687,'TAR FIN'!$A$1:$O$113,15,0)),0,VLOOKUP($U$687,'TAR FIN'!$A$1:$O$113,15,0))</f>
        <v>195.63</v>
      </c>
      <c r="Y687" s="4"/>
      <c r="Z687" s="4">
        <f ca="1">('TUSD BE'!$AM$52+'TUSD BF'!$AM$52+'TUSD CVA'!$AM$52)*(1-CUSTOS!$M$38)</f>
        <v>265.51673209278465</v>
      </c>
      <c r="AA687" s="4">
        <f>('TE BE'!$AA$31+'TE BF'!$AA$31+'TE CVA'!$AA$31)*(1-CUSTOS!$M$38)</f>
        <v>209.7568810332202</v>
      </c>
      <c r="AB687" s="4">
        <f t="shared" si="32"/>
        <v>0</v>
      </c>
      <c r="AC687" s="4">
        <f>(L687*W687+M687*X687)/(1-CUSTOS!$M$38)*CUSTOS!$M$38</f>
        <v>48.384667021276591</v>
      </c>
      <c r="AD687" s="4">
        <f t="shared" si="33"/>
        <v>0</v>
      </c>
      <c r="AE687" s="4">
        <f ca="1">(L687*Z687+N687*AA687)/(1-CUSTOS!$M$38)*CUSTOS!$M$38</f>
        <v>56.941823734309224</v>
      </c>
      <c r="AF687" s="3" t="s">
        <v>1023</v>
      </c>
    </row>
    <row r="688" spans="1:32" ht="11.25" customHeight="1" x14ac:dyDescent="0.25">
      <c r="A688" s="3" t="s">
        <v>21</v>
      </c>
      <c r="B688" s="3" t="s">
        <v>44</v>
      </c>
      <c r="C688" s="3" t="s">
        <v>33</v>
      </c>
      <c r="D688" s="3" t="s">
        <v>45</v>
      </c>
      <c r="E688" s="3" t="s">
        <v>25</v>
      </c>
      <c r="F688" s="3" t="s">
        <v>25</v>
      </c>
      <c r="G688" s="3" t="s">
        <v>25</v>
      </c>
      <c r="H688" s="3" t="s">
        <v>35</v>
      </c>
      <c r="I688" s="6">
        <v>44470</v>
      </c>
      <c r="J688" s="4">
        <v>0</v>
      </c>
      <c r="K688" s="4">
        <v>0</v>
      </c>
      <c r="L688" s="4">
        <v>2.1579999999999999</v>
      </c>
      <c r="M688" s="4">
        <v>2.1579999999999999</v>
      </c>
      <c r="N688" s="4">
        <v>2.1579999999999999</v>
      </c>
      <c r="O688" s="4">
        <v>2.1579999999999999</v>
      </c>
      <c r="P688" s="4">
        <v>0</v>
      </c>
      <c r="Q688" s="3" t="s">
        <v>26</v>
      </c>
      <c r="R688" s="3">
        <v>0</v>
      </c>
      <c r="S688" s="3">
        <v>0</v>
      </c>
      <c r="T688" s="3">
        <v>33</v>
      </c>
      <c r="U688" s="3">
        <v>71</v>
      </c>
      <c r="V688" s="4">
        <f>IF(ISERROR(VLOOKUP($S$688,'TAR FIN'!$A$1:$O$113,15,0)),0,VLOOKUP($S$688,'TAR FIN'!$A$1:$O$113,15,0))</f>
        <v>0</v>
      </c>
      <c r="W688" s="4">
        <f>IF(ISERROR(VLOOKUP($T$688,'TAR FIN'!$A$1:$O$113,15,0)),0,VLOOKUP($T$688,'TAR FIN'!$A$1:$O$113,15,0))</f>
        <v>208.22</v>
      </c>
      <c r="X688" s="4">
        <f>IF(ISERROR(VLOOKUP($U$688,'TAR FIN'!$A$1:$O$113,15,0)),0,VLOOKUP($U$688,'TAR FIN'!$A$1:$O$113,15,0))</f>
        <v>195.63</v>
      </c>
      <c r="Y688" s="4"/>
      <c r="Z688" s="4">
        <f ca="1">('TUSD BE'!$AM$52+'TUSD BF'!$AM$52+'TUSD CVA'!$AM$52)*(1-CUSTOS!$M$38)</f>
        <v>265.51673209278465</v>
      </c>
      <c r="AA688" s="4">
        <f>('TE BE'!$AA$31+'TE BF'!$AA$31+'TE CVA'!$AA$31)*(1-CUSTOS!$M$38)</f>
        <v>209.7568810332202</v>
      </c>
      <c r="AB688" s="4">
        <f t="shared" si="32"/>
        <v>0</v>
      </c>
      <c r="AC688" s="4">
        <f>(L688*W688+M688*X688)/(1-CUSTOS!$M$38)*CUSTOS!$M$38</f>
        <v>55.628189361702127</v>
      </c>
      <c r="AD688" s="4">
        <f t="shared" si="33"/>
        <v>0</v>
      </c>
      <c r="AE688" s="4">
        <f ca="1">(L688*Z688+N688*AA688)/(1-CUSTOS!$M$38)*CUSTOS!$M$38</f>
        <v>65.466412156973519</v>
      </c>
      <c r="AF688" s="3" t="s">
        <v>1023</v>
      </c>
    </row>
    <row r="689" spans="1:32" ht="11.25" customHeight="1" x14ac:dyDescent="0.25">
      <c r="A689" s="3" t="s">
        <v>21</v>
      </c>
      <c r="B689" s="3" t="s">
        <v>44</v>
      </c>
      <c r="C689" s="3" t="s">
        <v>33</v>
      </c>
      <c r="D689" s="3" t="s">
        <v>45</v>
      </c>
      <c r="E689" s="3" t="s">
        <v>25</v>
      </c>
      <c r="F689" s="3" t="s">
        <v>25</v>
      </c>
      <c r="G689" s="3" t="s">
        <v>25</v>
      </c>
      <c r="H689" s="3" t="s">
        <v>35</v>
      </c>
      <c r="I689" s="6">
        <v>44501</v>
      </c>
      <c r="J689" s="4">
        <v>0</v>
      </c>
      <c r="K689" s="4">
        <v>0</v>
      </c>
      <c r="L689" s="4">
        <v>1.6240000000000001</v>
      </c>
      <c r="M689" s="4">
        <v>1.6240000000000001</v>
      </c>
      <c r="N689" s="4">
        <v>1.6240000000000001</v>
      </c>
      <c r="O689" s="4">
        <v>1.6240000000000001</v>
      </c>
      <c r="P689" s="4">
        <v>0</v>
      </c>
      <c r="Q689" s="3" t="s">
        <v>26</v>
      </c>
      <c r="R689" s="3">
        <v>0</v>
      </c>
      <c r="S689" s="3">
        <v>0</v>
      </c>
      <c r="T689" s="3">
        <v>33</v>
      </c>
      <c r="U689" s="3">
        <v>71</v>
      </c>
      <c r="V689" s="4">
        <f>IF(ISERROR(VLOOKUP($S$689,'TAR FIN'!$A$1:$O$113,15,0)),0,VLOOKUP($S$689,'TAR FIN'!$A$1:$O$113,15,0))</f>
        <v>0</v>
      </c>
      <c r="W689" s="4">
        <f>IF(ISERROR(VLOOKUP($T$689,'TAR FIN'!$A$1:$O$113,15,0)),0,VLOOKUP($T$689,'TAR FIN'!$A$1:$O$113,15,0))</f>
        <v>208.22</v>
      </c>
      <c r="X689" s="4">
        <f>IF(ISERROR(VLOOKUP($U$689,'TAR FIN'!$A$1:$O$113,15,0)),0,VLOOKUP($U$689,'TAR FIN'!$A$1:$O$113,15,0))</f>
        <v>195.63</v>
      </c>
      <c r="Y689" s="4"/>
      <c r="Z689" s="4">
        <f ca="1">('TUSD BE'!$AM$52+'TUSD BF'!$AM$52+'TUSD CVA'!$AM$52)*(1-CUSTOS!$M$38)</f>
        <v>265.51673209278465</v>
      </c>
      <c r="AA689" s="4">
        <f>('TE BE'!$AA$31+'TE BF'!$AA$31+'TE CVA'!$AA$31)*(1-CUSTOS!$M$38)</f>
        <v>209.7568810332202</v>
      </c>
      <c r="AB689" s="4">
        <f t="shared" si="32"/>
        <v>0</v>
      </c>
      <c r="AC689" s="4">
        <f>(L689*W689+M689*X689)/(1-CUSTOS!$M$38)*CUSTOS!$M$38</f>
        <v>41.862919148936165</v>
      </c>
      <c r="AD689" s="4">
        <f t="shared" si="33"/>
        <v>0</v>
      </c>
      <c r="AE689" s="4">
        <f ca="1">(L689*Z689+N689*AA689)/(1-CUSTOS!$M$38)*CUSTOS!$M$38</f>
        <v>49.266660492550976</v>
      </c>
      <c r="AF689" s="3" t="s">
        <v>1023</v>
      </c>
    </row>
    <row r="690" spans="1:32" ht="11.25" customHeight="1" x14ac:dyDescent="0.25">
      <c r="A690" s="3" t="s">
        <v>21</v>
      </c>
      <c r="B690" s="3" t="s">
        <v>44</v>
      </c>
      <c r="C690" s="3" t="s">
        <v>33</v>
      </c>
      <c r="D690" s="3" t="s">
        <v>45</v>
      </c>
      <c r="E690" s="3" t="s">
        <v>25</v>
      </c>
      <c r="F690" s="3" t="s">
        <v>25</v>
      </c>
      <c r="G690" s="3" t="s">
        <v>25</v>
      </c>
      <c r="H690" s="3" t="s">
        <v>35</v>
      </c>
      <c r="I690" s="6">
        <v>44531</v>
      </c>
      <c r="J690" s="4">
        <v>0</v>
      </c>
      <c r="K690" s="4">
        <v>0</v>
      </c>
      <c r="L690" s="4">
        <v>1.0289999999999999</v>
      </c>
      <c r="M690" s="4">
        <v>1.0289999999999999</v>
      </c>
      <c r="N690" s="4">
        <v>1.0289999999999999</v>
      </c>
      <c r="O690" s="4">
        <v>1.0289999999999999</v>
      </c>
      <c r="P690" s="4">
        <v>0</v>
      </c>
      <c r="Q690" s="3" t="s">
        <v>26</v>
      </c>
      <c r="R690" s="3">
        <v>0</v>
      </c>
      <c r="S690" s="3">
        <v>0</v>
      </c>
      <c r="T690" s="3">
        <v>33</v>
      </c>
      <c r="U690" s="3">
        <v>71</v>
      </c>
      <c r="V690" s="4">
        <f>IF(ISERROR(VLOOKUP($S$690,'TAR FIN'!$A$1:$O$113,15,0)),0,VLOOKUP($S$690,'TAR FIN'!$A$1:$O$113,15,0))</f>
        <v>0</v>
      </c>
      <c r="W690" s="4">
        <f>IF(ISERROR(VLOOKUP($T$690,'TAR FIN'!$A$1:$O$113,15,0)),0,VLOOKUP($T$690,'TAR FIN'!$A$1:$O$113,15,0))</f>
        <v>208.22</v>
      </c>
      <c r="X690" s="4">
        <f>IF(ISERROR(VLOOKUP($U$690,'TAR FIN'!$A$1:$O$113,15,0)),0,VLOOKUP($U$690,'TAR FIN'!$A$1:$O$113,15,0))</f>
        <v>195.63</v>
      </c>
      <c r="Y690" s="4"/>
      <c r="Z690" s="4">
        <f ca="1">('TUSD BE'!$AM$52+'TUSD BF'!$AM$52+'TUSD CVA'!$AM$52)*(1-CUSTOS!$M$38)</f>
        <v>265.51673209278465</v>
      </c>
      <c r="AA690" s="4">
        <f>('TE BE'!$AA$31+'TE BF'!$AA$31+'TE CVA'!$AA$31)*(1-CUSTOS!$M$38)</f>
        <v>209.7568810332202</v>
      </c>
      <c r="AB690" s="4">
        <f t="shared" si="32"/>
        <v>0</v>
      </c>
      <c r="AC690" s="4">
        <f>(L690*W690+M690*X690)/(1-CUSTOS!$M$38)*CUSTOS!$M$38</f>
        <v>26.52521170212766</v>
      </c>
      <c r="AD690" s="4">
        <f t="shared" si="33"/>
        <v>0</v>
      </c>
      <c r="AE690" s="4">
        <f ca="1">(L690*Z690+N690*AA690)/(1-CUSTOS!$M$38)*CUSTOS!$M$38</f>
        <v>31.216375398297377</v>
      </c>
      <c r="AF690" s="3" t="s">
        <v>1023</v>
      </c>
    </row>
    <row r="691" spans="1:32" ht="11.25" customHeight="1" x14ac:dyDescent="0.25">
      <c r="A691" s="3" t="s">
        <v>21</v>
      </c>
      <c r="B691" s="3" t="s">
        <v>44</v>
      </c>
      <c r="C691" s="3" t="s">
        <v>33</v>
      </c>
      <c r="D691" s="3" t="s">
        <v>45</v>
      </c>
      <c r="E691" s="3" t="s">
        <v>25</v>
      </c>
      <c r="F691" s="3" t="s">
        <v>25</v>
      </c>
      <c r="G691" s="3" t="s">
        <v>25</v>
      </c>
      <c r="H691" s="3" t="s">
        <v>35</v>
      </c>
      <c r="I691" s="6">
        <v>44562</v>
      </c>
      <c r="J691" s="4">
        <v>0</v>
      </c>
      <c r="K691" s="4">
        <v>0</v>
      </c>
      <c r="L691" s="4">
        <v>1.0189999999999999</v>
      </c>
      <c r="M691" s="4">
        <v>1.0189999999999999</v>
      </c>
      <c r="N691" s="4">
        <v>1.0189999999999999</v>
      </c>
      <c r="O691" s="4">
        <v>1.0189999999999999</v>
      </c>
      <c r="P691" s="4">
        <v>0</v>
      </c>
      <c r="Q691" s="3" t="s">
        <v>26</v>
      </c>
      <c r="R691" s="3">
        <v>0</v>
      </c>
      <c r="S691" s="3">
        <v>0</v>
      </c>
      <c r="T691" s="3">
        <v>33</v>
      </c>
      <c r="U691" s="3">
        <v>71</v>
      </c>
      <c r="V691" s="4">
        <f>IF(ISERROR(VLOOKUP($S$691,'TAR FIN'!$A$1:$O$113,15,0)),0,VLOOKUP($S$691,'TAR FIN'!$A$1:$O$113,15,0))</f>
        <v>0</v>
      </c>
      <c r="W691" s="4">
        <f>IF(ISERROR(VLOOKUP($T$691,'TAR FIN'!$A$1:$O$113,15,0)),0,VLOOKUP($T$691,'TAR FIN'!$A$1:$O$113,15,0))</f>
        <v>208.22</v>
      </c>
      <c r="X691" s="4">
        <f>IF(ISERROR(VLOOKUP($U$691,'TAR FIN'!$A$1:$O$113,15,0)),0,VLOOKUP($U$691,'TAR FIN'!$A$1:$O$113,15,0))</f>
        <v>195.63</v>
      </c>
      <c r="Y691" s="4"/>
      <c r="Z691" s="4">
        <f ca="1">('TUSD BE'!$AM$52+'TUSD BF'!$AM$52+'TUSD CVA'!$AM$52)*(1-CUSTOS!$M$38)</f>
        <v>265.51673209278465</v>
      </c>
      <c r="AA691" s="4">
        <f>('TE BE'!$AA$31+'TE BF'!$AA$31+'TE CVA'!$AA$31)*(1-CUSTOS!$M$38)</f>
        <v>209.7568810332202</v>
      </c>
      <c r="AB691" s="4">
        <f t="shared" si="32"/>
        <v>0</v>
      </c>
      <c r="AC691" s="4">
        <f>(L691*W691+M691*X691)/(1-CUSTOS!$M$38)*CUSTOS!$M$38</f>
        <v>26.26743510638298</v>
      </c>
      <c r="AD691" s="4">
        <f t="shared" si="33"/>
        <v>0</v>
      </c>
      <c r="AE691" s="4">
        <f ca="1">(L691*Z691+N691*AA691)/(1-CUSTOS!$M$38)*CUSTOS!$M$38</f>
        <v>30.913009262259504</v>
      </c>
      <c r="AF691" s="3" t="s">
        <v>1023</v>
      </c>
    </row>
    <row r="692" spans="1:32" ht="11.25" customHeight="1" x14ac:dyDescent="0.25">
      <c r="A692" s="3" t="s">
        <v>21</v>
      </c>
      <c r="B692" s="3" t="s">
        <v>44</v>
      </c>
      <c r="C692" s="3" t="s">
        <v>33</v>
      </c>
      <c r="D692" s="3" t="s">
        <v>45</v>
      </c>
      <c r="E692" s="3" t="s">
        <v>25</v>
      </c>
      <c r="F692" s="3" t="s">
        <v>25</v>
      </c>
      <c r="G692" s="3" t="s">
        <v>25</v>
      </c>
      <c r="H692" s="3" t="s">
        <v>35</v>
      </c>
      <c r="I692" s="6">
        <v>44593</v>
      </c>
      <c r="J692" s="4">
        <v>0</v>
      </c>
      <c r="K692" s="4">
        <v>0</v>
      </c>
      <c r="L692" s="4">
        <v>1.262</v>
      </c>
      <c r="M692" s="4">
        <v>1.262</v>
      </c>
      <c r="N692" s="4">
        <v>1.262</v>
      </c>
      <c r="O692" s="4">
        <v>1.262</v>
      </c>
      <c r="P692" s="4">
        <v>0</v>
      </c>
      <c r="Q692" s="3" t="s">
        <v>26</v>
      </c>
      <c r="R692" s="3">
        <v>0</v>
      </c>
      <c r="S692" s="3">
        <v>0</v>
      </c>
      <c r="T692" s="3">
        <v>33</v>
      </c>
      <c r="U692" s="3">
        <v>71</v>
      </c>
      <c r="V692" s="4">
        <f>IF(ISERROR(VLOOKUP($S$692,'TAR FIN'!$A$1:$O$113,15,0)),0,VLOOKUP($S$692,'TAR FIN'!$A$1:$O$113,15,0))</f>
        <v>0</v>
      </c>
      <c r="W692" s="4">
        <f>IF(ISERROR(VLOOKUP($T$692,'TAR FIN'!$A$1:$O$113,15,0)),0,VLOOKUP($T$692,'TAR FIN'!$A$1:$O$113,15,0))</f>
        <v>208.22</v>
      </c>
      <c r="X692" s="4">
        <f>IF(ISERROR(VLOOKUP($U$692,'TAR FIN'!$A$1:$O$113,15,0)),0,VLOOKUP($U$692,'TAR FIN'!$A$1:$O$113,15,0))</f>
        <v>195.63</v>
      </c>
      <c r="Y692" s="4"/>
      <c r="Z692" s="4">
        <f ca="1">('TUSD BE'!$AM$52+'TUSD BF'!$AM$52+'TUSD CVA'!$AM$52)*(1-CUSTOS!$M$38)</f>
        <v>265.51673209278465</v>
      </c>
      <c r="AA692" s="4">
        <f>('TE BE'!$AA$31+'TE BF'!$AA$31+'TE CVA'!$AA$31)*(1-CUSTOS!$M$38)</f>
        <v>209.7568810332202</v>
      </c>
      <c r="AB692" s="4">
        <f t="shared" si="32"/>
        <v>0</v>
      </c>
      <c r="AC692" s="4">
        <f>(L692*W692+M692*X692)/(1-CUSTOS!$M$38)*CUSTOS!$M$38</f>
        <v>32.53140638297873</v>
      </c>
      <c r="AD692" s="4">
        <f t="shared" si="33"/>
        <v>0</v>
      </c>
      <c r="AE692" s="4">
        <f ca="1">(L692*Z692+N692*AA692)/(1-CUSTOS!$M$38)*CUSTOS!$M$38</f>
        <v>38.28480636797989</v>
      </c>
      <c r="AF692" s="3" t="s">
        <v>1023</v>
      </c>
    </row>
    <row r="693" spans="1:32" ht="11.25" customHeight="1" x14ac:dyDescent="0.25">
      <c r="A693" s="3" t="s">
        <v>56</v>
      </c>
      <c r="B693" s="3" t="s">
        <v>44</v>
      </c>
      <c r="C693" s="3" t="s">
        <v>33</v>
      </c>
      <c r="D693" s="3" t="s">
        <v>45</v>
      </c>
      <c r="E693" s="3" t="s">
        <v>25</v>
      </c>
      <c r="F693" s="3" t="s">
        <v>25</v>
      </c>
      <c r="G693" s="3" t="s">
        <v>25</v>
      </c>
      <c r="H693" s="3" t="s">
        <v>35</v>
      </c>
      <c r="I693" s="6">
        <v>44621</v>
      </c>
      <c r="J693" s="4">
        <v>0</v>
      </c>
      <c r="K693" s="4">
        <v>0</v>
      </c>
      <c r="L693" s="4">
        <v>1.262</v>
      </c>
      <c r="M693" s="4">
        <v>1.262</v>
      </c>
      <c r="N693" s="4">
        <v>1.262</v>
      </c>
      <c r="O693" s="4">
        <v>1.262</v>
      </c>
      <c r="P693" s="4">
        <v>0</v>
      </c>
      <c r="Q693" s="3" t="s">
        <v>26</v>
      </c>
      <c r="R693" s="3">
        <v>0</v>
      </c>
      <c r="S693" s="3">
        <v>0</v>
      </c>
      <c r="T693" s="3">
        <v>33</v>
      </c>
      <c r="U693" s="3">
        <v>71</v>
      </c>
      <c r="V693" s="4">
        <f>IF(ISERROR(VLOOKUP($S$693,'TAR FIN'!$A$1:$O$113,15,0)),0,VLOOKUP($S$693,'TAR FIN'!$A$1:$O$113,15,0))</f>
        <v>0</v>
      </c>
      <c r="W693" s="4">
        <f>IF(ISERROR(VLOOKUP($T$693,'TAR FIN'!$A$1:$O$113,15,0)),0,VLOOKUP($T$693,'TAR FIN'!$A$1:$O$113,15,0))</f>
        <v>208.22</v>
      </c>
      <c r="X693" s="4">
        <f>IF(ISERROR(VLOOKUP($U$693,'TAR FIN'!$A$1:$O$113,15,0)),0,VLOOKUP($U$693,'TAR FIN'!$A$1:$O$113,15,0))</f>
        <v>195.63</v>
      </c>
      <c r="Y693" s="4"/>
      <c r="Z693" s="4">
        <f ca="1">('TUSD BE'!$AM$52+'TUSD BF'!$AM$52+'TUSD CVA'!$AM$52)*(1-CUSTOS!$M$38)</f>
        <v>265.51673209278465</v>
      </c>
      <c r="AA693" s="4">
        <f>('TE BE'!$AA$31+'TE BF'!$AA$31+'TE CVA'!$AA$31)*(1-CUSTOS!$M$38)</f>
        <v>209.7568810332202</v>
      </c>
      <c r="AB693" s="4">
        <f t="shared" si="32"/>
        <v>0</v>
      </c>
      <c r="AC693" s="4">
        <f>(L693*W693+M693*X693)/(1-CUSTOS!$M$38)*CUSTOS!$M$38</f>
        <v>32.53140638297873</v>
      </c>
      <c r="AD693" s="4">
        <f t="shared" si="33"/>
        <v>0</v>
      </c>
      <c r="AE693" s="4">
        <f ca="1">(L693*Z693+N693*AA693)/(1-CUSTOS!$M$38)*CUSTOS!$M$38</f>
        <v>38.28480636797989</v>
      </c>
      <c r="AF693" s="3" t="s">
        <v>1023</v>
      </c>
    </row>
    <row r="694" spans="1:32" ht="11.25" customHeight="1" x14ac:dyDescent="0.25">
      <c r="A694" s="3" t="s">
        <v>21</v>
      </c>
      <c r="B694" s="3" t="s">
        <v>44</v>
      </c>
      <c r="C694" s="3" t="s">
        <v>33</v>
      </c>
      <c r="D694" s="3" t="s">
        <v>45</v>
      </c>
      <c r="E694" s="3" t="s">
        <v>25</v>
      </c>
      <c r="F694" s="3" t="s">
        <v>25</v>
      </c>
      <c r="G694" s="3" t="s">
        <v>25</v>
      </c>
      <c r="H694" s="3" t="s">
        <v>36</v>
      </c>
      <c r="I694" s="6">
        <v>44287</v>
      </c>
      <c r="J694" s="4">
        <v>0</v>
      </c>
      <c r="K694" s="4">
        <v>0</v>
      </c>
      <c r="L694" s="4">
        <v>9.2999999999999999E-2</v>
      </c>
      <c r="M694" s="4">
        <v>9.2999999999999999E-2</v>
      </c>
      <c r="N694" s="4">
        <v>9.2999999999999999E-2</v>
      </c>
      <c r="O694" s="4">
        <v>9.2999999999999999E-2</v>
      </c>
      <c r="P694" s="4">
        <v>0</v>
      </c>
      <c r="Q694" s="3" t="s">
        <v>26</v>
      </c>
      <c r="R694" s="3">
        <v>0</v>
      </c>
      <c r="S694" s="3">
        <v>0</v>
      </c>
      <c r="T694" s="3">
        <v>52</v>
      </c>
      <c r="U694" s="3">
        <v>70</v>
      </c>
      <c r="V694" s="4">
        <f>IF(ISERROR(VLOOKUP($S$694,'TAR FIN'!$A$1:$O$113,15,0)),0,VLOOKUP($S$694,'TAR FIN'!$A$1:$O$113,15,0))</f>
        <v>0</v>
      </c>
      <c r="W694" s="4">
        <f>IF(ISERROR(VLOOKUP($T$694,'TAR FIN'!$A$1:$O$113,15,0)),0,VLOOKUP($T$694,'TAR FIN'!$A$1:$O$113,15,0))</f>
        <v>497.52</v>
      </c>
      <c r="X694" s="4">
        <f>IF(ISERROR(VLOOKUP($U$694,'TAR FIN'!$A$1:$O$113,15,0)),0,VLOOKUP($U$694,'TAR FIN'!$A$1:$O$113,15,0))</f>
        <v>195.63</v>
      </c>
      <c r="Y694" s="4"/>
      <c r="Z694" s="4">
        <f ca="1">('TUSD BE'!$AM$51+'TUSD BF'!$AM$51+'TUSD CVA'!$AM$51)*(1-CUSTOS!$M$38)</f>
        <v>628.38817282981779</v>
      </c>
      <c r="AA694" s="4">
        <f>('TE BE'!$AA$30+'TE BF'!$AA$30+'TE CVA'!$AA$30)*(1-CUSTOS!$M$38)</f>
        <v>209.7568810332202</v>
      </c>
      <c r="AB694" s="4">
        <f t="shared" si="32"/>
        <v>0</v>
      </c>
      <c r="AC694" s="4">
        <f>(L694*W694+M694*X694)/(1-CUSTOS!$M$38)*CUSTOS!$M$38</f>
        <v>4.1146563829787235</v>
      </c>
      <c r="AD694" s="4">
        <f t="shared" si="33"/>
        <v>0</v>
      </c>
      <c r="AE694" s="4">
        <f ca="1">(L694*Z694+N694*AA694)/(1-CUSTOS!$M$38)*CUSTOS!$M$38</f>
        <v>4.9753717027188857</v>
      </c>
      <c r="AF694" s="3" t="s">
        <v>1023</v>
      </c>
    </row>
    <row r="695" spans="1:32" ht="11.25" customHeight="1" x14ac:dyDescent="0.25">
      <c r="A695" s="3" t="s">
        <v>21</v>
      </c>
      <c r="B695" s="3" t="s">
        <v>44</v>
      </c>
      <c r="C695" s="3" t="s">
        <v>33</v>
      </c>
      <c r="D695" s="3" t="s">
        <v>45</v>
      </c>
      <c r="E695" s="3" t="s">
        <v>25</v>
      </c>
      <c r="F695" s="3" t="s">
        <v>25</v>
      </c>
      <c r="G695" s="3" t="s">
        <v>25</v>
      </c>
      <c r="H695" s="3" t="s">
        <v>36</v>
      </c>
      <c r="I695" s="6">
        <v>44317</v>
      </c>
      <c r="J695" s="4">
        <v>0</v>
      </c>
      <c r="K695" s="4">
        <v>0</v>
      </c>
      <c r="L695" s="4">
        <v>3.7999999999999999E-2</v>
      </c>
      <c r="M695" s="4">
        <v>3.7999999999999999E-2</v>
      </c>
      <c r="N695" s="4">
        <v>3.7999999999999999E-2</v>
      </c>
      <c r="O695" s="4">
        <v>3.7999999999999999E-2</v>
      </c>
      <c r="P695" s="4">
        <v>0</v>
      </c>
      <c r="Q695" s="3" t="s">
        <v>26</v>
      </c>
      <c r="R695" s="3">
        <v>0</v>
      </c>
      <c r="S695" s="3">
        <v>0</v>
      </c>
      <c r="T695" s="3">
        <v>52</v>
      </c>
      <c r="U695" s="3">
        <v>70</v>
      </c>
      <c r="V695" s="4">
        <f>IF(ISERROR(VLOOKUP($S$695,'TAR FIN'!$A$1:$O$113,15,0)),0,VLOOKUP($S$695,'TAR FIN'!$A$1:$O$113,15,0))</f>
        <v>0</v>
      </c>
      <c r="W695" s="4">
        <f>IF(ISERROR(VLOOKUP($T$695,'TAR FIN'!$A$1:$O$113,15,0)),0,VLOOKUP($T$695,'TAR FIN'!$A$1:$O$113,15,0))</f>
        <v>497.52</v>
      </c>
      <c r="X695" s="4">
        <f>IF(ISERROR(VLOOKUP($U$695,'TAR FIN'!$A$1:$O$113,15,0)),0,VLOOKUP($U$695,'TAR FIN'!$A$1:$O$113,15,0))</f>
        <v>195.63</v>
      </c>
      <c r="Y695" s="4"/>
      <c r="Z695" s="4">
        <f ca="1">('TUSD BE'!$AM$51+'TUSD BF'!$AM$51+'TUSD CVA'!$AM$51)*(1-CUSTOS!$M$38)</f>
        <v>628.38817282981779</v>
      </c>
      <c r="AA695" s="4">
        <f>('TE BE'!$AA$30+'TE BF'!$AA$30+'TE CVA'!$AA$30)*(1-CUSTOS!$M$38)</f>
        <v>209.7568810332202</v>
      </c>
      <c r="AB695" s="4">
        <f t="shared" si="32"/>
        <v>0</v>
      </c>
      <c r="AC695" s="4">
        <f>(L695*W695+M695*X695)/(1-CUSTOS!$M$38)*CUSTOS!$M$38</f>
        <v>1.6812574468085104</v>
      </c>
      <c r="AD695" s="4">
        <f t="shared" si="33"/>
        <v>0</v>
      </c>
      <c r="AE695" s="4">
        <f ca="1">(L695*Z695+N695*AA695)/(1-CUSTOS!$M$38)*CUSTOS!$M$38</f>
        <v>2.0329475774550283</v>
      </c>
      <c r="AF695" s="3" t="s">
        <v>1023</v>
      </c>
    </row>
    <row r="696" spans="1:32" ht="11.25" customHeight="1" x14ac:dyDescent="0.25">
      <c r="A696" s="3" t="s">
        <v>21</v>
      </c>
      <c r="B696" s="3" t="s">
        <v>44</v>
      </c>
      <c r="C696" s="3" t="s">
        <v>33</v>
      </c>
      <c r="D696" s="3" t="s">
        <v>45</v>
      </c>
      <c r="E696" s="3" t="s">
        <v>25</v>
      </c>
      <c r="F696" s="3" t="s">
        <v>25</v>
      </c>
      <c r="G696" s="3" t="s">
        <v>25</v>
      </c>
      <c r="H696" s="3" t="s">
        <v>36</v>
      </c>
      <c r="I696" s="6">
        <v>44348</v>
      </c>
      <c r="J696" s="4">
        <v>0</v>
      </c>
      <c r="K696" s="4">
        <v>0</v>
      </c>
      <c r="L696" s="4">
        <v>3.1E-2</v>
      </c>
      <c r="M696" s="4">
        <v>3.1E-2</v>
      </c>
      <c r="N696" s="4">
        <v>3.1E-2</v>
      </c>
      <c r="O696" s="4">
        <v>3.1E-2</v>
      </c>
      <c r="P696" s="4">
        <v>0</v>
      </c>
      <c r="Q696" s="3" t="s">
        <v>26</v>
      </c>
      <c r="R696" s="3">
        <v>0</v>
      </c>
      <c r="S696" s="3">
        <v>0</v>
      </c>
      <c r="T696" s="3">
        <v>52</v>
      </c>
      <c r="U696" s="3">
        <v>70</v>
      </c>
      <c r="V696" s="4">
        <f>IF(ISERROR(VLOOKUP($S$696,'TAR FIN'!$A$1:$O$113,15,0)),0,VLOOKUP($S$696,'TAR FIN'!$A$1:$O$113,15,0))</f>
        <v>0</v>
      </c>
      <c r="W696" s="4">
        <f>IF(ISERROR(VLOOKUP($T$696,'TAR FIN'!$A$1:$O$113,15,0)),0,VLOOKUP($T$696,'TAR FIN'!$A$1:$O$113,15,0))</f>
        <v>497.52</v>
      </c>
      <c r="X696" s="4">
        <f>IF(ISERROR(VLOOKUP($U$696,'TAR FIN'!$A$1:$O$113,15,0)),0,VLOOKUP($U$696,'TAR FIN'!$A$1:$O$113,15,0))</f>
        <v>195.63</v>
      </c>
      <c r="Y696" s="4"/>
      <c r="Z696" s="4">
        <f ca="1">('TUSD BE'!$AM$51+'TUSD BF'!$AM$51+'TUSD CVA'!$AM$51)*(1-CUSTOS!$M$38)</f>
        <v>628.38817282981779</v>
      </c>
      <c r="AA696" s="4">
        <f>('TE BE'!$AA$30+'TE BF'!$AA$30+'TE CVA'!$AA$30)*(1-CUSTOS!$M$38)</f>
        <v>209.7568810332202</v>
      </c>
      <c r="AB696" s="4">
        <f t="shared" si="32"/>
        <v>0</v>
      </c>
      <c r="AC696" s="4">
        <f>(L696*W696+M696*X696)/(1-CUSTOS!$M$38)*CUSTOS!$M$38</f>
        <v>1.3715521276595743</v>
      </c>
      <c r="AD696" s="4">
        <f t="shared" si="33"/>
        <v>0</v>
      </c>
      <c r="AE696" s="4">
        <f ca="1">(L696*Z696+N696*AA696)/(1-CUSTOS!$M$38)*CUSTOS!$M$38</f>
        <v>1.6584572342396284</v>
      </c>
      <c r="AF696" s="3" t="s">
        <v>1023</v>
      </c>
    </row>
    <row r="697" spans="1:32" ht="11.25" customHeight="1" x14ac:dyDescent="0.25">
      <c r="A697" s="3" t="s">
        <v>21</v>
      </c>
      <c r="B697" s="3" t="s">
        <v>44</v>
      </c>
      <c r="C697" s="3" t="s">
        <v>33</v>
      </c>
      <c r="D697" s="3" t="s">
        <v>45</v>
      </c>
      <c r="E697" s="3" t="s">
        <v>25</v>
      </c>
      <c r="F697" s="3" t="s">
        <v>25</v>
      </c>
      <c r="G697" s="3" t="s">
        <v>25</v>
      </c>
      <c r="H697" s="3" t="s">
        <v>36</v>
      </c>
      <c r="I697" s="6">
        <v>44378</v>
      </c>
      <c r="J697" s="4">
        <v>0</v>
      </c>
      <c r="K697" s="4">
        <v>0</v>
      </c>
      <c r="L697" s="4">
        <v>3.4000000000000002E-2</v>
      </c>
      <c r="M697" s="4">
        <v>3.4000000000000002E-2</v>
      </c>
      <c r="N697" s="4">
        <v>3.4000000000000002E-2</v>
      </c>
      <c r="O697" s="4">
        <v>3.4000000000000002E-2</v>
      </c>
      <c r="P697" s="4">
        <v>0</v>
      </c>
      <c r="Q697" s="3" t="s">
        <v>26</v>
      </c>
      <c r="R697" s="3">
        <v>0</v>
      </c>
      <c r="S697" s="3">
        <v>0</v>
      </c>
      <c r="T697" s="3">
        <v>52</v>
      </c>
      <c r="U697" s="3">
        <v>70</v>
      </c>
      <c r="V697" s="4">
        <f>IF(ISERROR(VLOOKUP($S$697,'TAR FIN'!$A$1:$O$113,15,0)),0,VLOOKUP($S$697,'TAR FIN'!$A$1:$O$113,15,0))</f>
        <v>0</v>
      </c>
      <c r="W697" s="4">
        <f>IF(ISERROR(VLOOKUP($T$697,'TAR FIN'!$A$1:$O$113,15,0)),0,VLOOKUP($T$697,'TAR FIN'!$A$1:$O$113,15,0))</f>
        <v>497.52</v>
      </c>
      <c r="X697" s="4">
        <f>IF(ISERROR(VLOOKUP($U$697,'TAR FIN'!$A$1:$O$113,15,0)),0,VLOOKUP($U$697,'TAR FIN'!$A$1:$O$113,15,0))</f>
        <v>195.63</v>
      </c>
      <c r="Y697" s="4"/>
      <c r="Z697" s="4">
        <f ca="1">('TUSD BE'!$AM$51+'TUSD BF'!$AM$51+'TUSD CVA'!$AM$51)*(1-CUSTOS!$M$38)</f>
        <v>628.38817282981779</v>
      </c>
      <c r="AA697" s="4">
        <f>('TE BE'!$AA$30+'TE BF'!$AA$30+'TE CVA'!$AA$30)*(1-CUSTOS!$M$38)</f>
        <v>209.7568810332202</v>
      </c>
      <c r="AB697" s="4">
        <f t="shared" si="32"/>
        <v>0</v>
      </c>
      <c r="AC697" s="4">
        <f>(L697*W697+M697*X697)/(1-CUSTOS!$M$38)*CUSTOS!$M$38</f>
        <v>1.5042829787234044</v>
      </c>
      <c r="AD697" s="4">
        <f t="shared" si="33"/>
        <v>0</v>
      </c>
      <c r="AE697" s="4">
        <f ca="1">(L697*Z697+N697*AA697)/(1-CUSTOS!$M$38)*CUSTOS!$M$38</f>
        <v>1.8189530956176569</v>
      </c>
      <c r="AF697" s="3" t="s">
        <v>1023</v>
      </c>
    </row>
    <row r="698" spans="1:32" ht="11.25" customHeight="1" x14ac:dyDescent="0.25">
      <c r="A698" s="3" t="s">
        <v>21</v>
      </c>
      <c r="B698" s="3" t="s">
        <v>44</v>
      </c>
      <c r="C698" s="3" t="s">
        <v>33</v>
      </c>
      <c r="D698" s="3" t="s">
        <v>45</v>
      </c>
      <c r="E698" s="3" t="s">
        <v>25</v>
      </c>
      <c r="F698" s="3" t="s">
        <v>25</v>
      </c>
      <c r="G698" s="3" t="s">
        <v>25</v>
      </c>
      <c r="H698" s="3" t="s">
        <v>36</v>
      </c>
      <c r="I698" s="6">
        <v>44409</v>
      </c>
      <c r="J698" s="4">
        <v>0</v>
      </c>
      <c r="K698" s="4">
        <v>0</v>
      </c>
      <c r="L698" s="4">
        <v>3.2000000000000001E-2</v>
      </c>
      <c r="M698" s="4">
        <v>3.2000000000000001E-2</v>
      </c>
      <c r="N698" s="4">
        <v>3.2000000000000001E-2</v>
      </c>
      <c r="O698" s="4">
        <v>3.2000000000000001E-2</v>
      </c>
      <c r="P698" s="4">
        <v>0</v>
      </c>
      <c r="Q698" s="3" t="s">
        <v>26</v>
      </c>
      <c r="R698" s="3">
        <v>0</v>
      </c>
      <c r="S698" s="3">
        <v>0</v>
      </c>
      <c r="T698" s="3">
        <v>52</v>
      </c>
      <c r="U698" s="3">
        <v>70</v>
      </c>
      <c r="V698" s="4">
        <f>IF(ISERROR(VLOOKUP($S$698,'TAR FIN'!$A$1:$O$113,15,0)),0,VLOOKUP($S$698,'TAR FIN'!$A$1:$O$113,15,0))</f>
        <v>0</v>
      </c>
      <c r="W698" s="4">
        <f>IF(ISERROR(VLOOKUP($T$698,'TAR FIN'!$A$1:$O$113,15,0)),0,VLOOKUP($T$698,'TAR FIN'!$A$1:$O$113,15,0))</f>
        <v>497.52</v>
      </c>
      <c r="X698" s="4">
        <f>IF(ISERROR(VLOOKUP($U$698,'TAR FIN'!$A$1:$O$113,15,0)),0,VLOOKUP($U$698,'TAR FIN'!$A$1:$O$113,15,0))</f>
        <v>195.63</v>
      </c>
      <c r="Y698" s="4"/>
      <c r="Z698" s="4">
        <f ca="1">('TUSD BE'!$AM$51+'TUSD BF'!$AM$51+'TUSD CVA'!$AM$51)*(1-CUSTOS!$M$38)</f>
        <v>628.38817282981779</v>
      </c>
      <c r="AA698" s="4">
        <f>('TE BE'!$AA$30+'TE BF'!$AA$30+'TE CVA'!$AA$30)*(1-CUSTOS!$M$38)</f>
        <v>209.7568810332202</v>
      </c>
      <c r="AB698" s="4">
        <f t="shared" si="32"/>
        <v>0</v>
      </c>
      <c r="AC698" s="4">
        <f>(L698*W698+M698*X698)/(1-CUSTOS!$M$38)*CUSTOS!$M$38</f>
        <v>1.4157957446808511</v>
      </c>
      <c r="AD698" s="4">
        <f t="shared" si="33"/>
        <v>0</v>
      </c>
      <c r="AE698" s="4">
        <f ca="1">(L698*Z698+N698*AA698)/(1-CUSTOS!$M$38)*CUSTOS!$M$38</f>
        <v>1.7119558546989715</v>
      </c>
      <c r="AF698" s="3" t="s">
        <v>1023</v>
      </c>
    </row>
    <row r="699" spans="1:32" ht="11.25" customHeight="1" x14ac:dyDescent="0.25">
      <c r="A699" s="3" t="s">
        <v>21</v>
      </c>
      <c r="B699" s="3" t="s">
        <v>44</v>
      </c>
      <c r="C699" s="3" t="s">
        <v>33</v>
      </c>
      <c r="D699" s="3" t="s">
        <v>45</v>
      </c>
      <c r="E699" s="3" t="s">
        <v>25</v>
      </c>
      <c r="F699" s="3" t="s">
        <v>25</v>
      </c>
      <c r="G699" s="3" t="s">
        <v>25</v>
      </c>
      <c r="H699" s="3" t="s">
        <v>36</v>
      </c>
      <c r="I699" s="6">
        <v>44440</v>
      </c>
      <c r="J699" s="4">
        <v>0</v>
      </c>
      <c r="K699" s="4">
        <v>0</v>
      </c>
      <c r="L699" s="4">
        <v>0.04</v>
      </c>
      <c r="M699" s="4">
        <v>0.04</v>
      </c>
      <c r="N699" s="4">
        <v>0.04</v>
      </c>
      <c r="O699" s="4">
        <v>0.04</v>
      </c>
      <c r="P699" s="4">
        <v>0</v>
      </c>
      <c r="Q699" s="3" t="s">
        <v>26</v>
      </c>
      <c r="R699" s="3">
        <v>0</v>
      </c>
      <c r="S699" s="3">
        <v>0</v>
      </c>
      <c r="T699" s="3">
        <v>52</v>
      </c>
      <c r="U699" s="3">
        <v>70</v>
      </c>
      <c r="V699" s="4">
        <f>IF(ISERROR(VLOOKUP($S$699,'TAR FIN'!$A$1:$O$113,15,0)),0,VLOOKUP($S$699,'TAR FIN'!$A$1:$O$113,15,0))</f>
        <v>0</v>
      </c>
      <c r="W699" s="4">
        <f>IF(ISERROR(VLOOKUP($T$699,'TAR FIN'!$A$1:$O$113,15,0)),0,VLOOKUP($T$699,'TAR FIN'!$A$1:$O$113,15,0))</f>
        <v>497.52</v>
      </c>
      <c r="X699" s="4">
        <f>IF(ISERROR(VLOOKUP($U$699,'TAR FIN'!$A$1:$O$113,15,0)),0,VLOOKUP($U$699,'TAR FIN'!$A$1:$O$113,15,0))</f>
        <v>195.63</v>
      </c>
      <c r="Y699" s="4"/>
      <c r="Z699" s="4">
        <f ca="1">('TUSD BE'!$AM$51+'TUSD BF'!$AM$51+'TUSD CVA'!$AM$51)*(1-CUSTOS!$M$38)</f>
        <v>628.38817282981779</v>
      </c>
      <c r="AA699" s="4">
        <f>('TE BE'!$AA$30+'TE BF'!$AA$30+'TE CVA'!$AA$30)*(1-CUSTOS!$M$38)</f>
        <v>209.7568810332202</v>
      </c>
      <c r="AB699" s="4">
        <f t="shared" si="32"/>
        <v>0</v>
      </c>
      <c r="AC699" s="4">
        <f>(L699*W699+M699*X699)/(1-CUSTOS!$M$38)*CUSTOS!$M$38</f>
        <v>1.7697446808510637</v>
      </c>
      <c r="AD699" s="4">
        <f t="shared" si="33"/>
        <v>0</v>
      </c>
      <c r="AE699" s="4">
        <f ca="1">(L699*Z699+N699*AA699)/(1-CUSTOS!$M$38)*CUSTOS!$M$38</f>
        <v>2.139944818373714</v>
      </c>
      <c r="AF699" s="3" t="s">
        <v>1023</v>
      </c>
    </row>
    <row r="700" spans="1:32" ht="11.25" customHeight="1" x14ac:dyDescent="0.25">
      <c r="A700" s="3" t="s">
        <v>21</v>
      </c>
      <c r="B700" s="3" t="s">
        <v>44</v>
      </c>
      <c r="C700" s="3" t="s">
        <v>33</v>
      </c>
      <c r="D700" s="3" t="s">
        <v>45</v>
      </c>
      <c r="E700" s="3" t="s">
        <v>25</v>
      </c>
      <c r="F700" s="3" t="s">
        <v>25</v>
      </c>
      <c r="G700" s="3" t="s">
        <v>25</v>
      </c>
      <c r="H700" s="3" t="s">
        <v>36</v>
      </c>
      <c r="I700" s="6">
        <v>44470</v>
      </c>
      <c r="J700" s="4">
        <v>0</v>
      </c>
      <c r="K700" s="4">
        <v>0</v>
      </c>
      <c r="L700" s="4">
        <v>3.6999999999999998E-2</v>
      </c>
      <c r="M700" s="4">
        <v>3.6999999999999998E-2</v>
      </c>
      <c r="N700" s="4">
        <v>3.6999999999999998E-2</v>
      </c>
      <c r="O700" s="4">
        <v>3.6999999999999998E-2</v>
      </c>
      <c r="P700" s="4">
        <v>0</v>
      </c>
      <c r="Q700" s="3" t="s">
        <v>26</v>
      </c>
      <c r="R700" s="3">
        <v>0</v>
      </c>
      <c r="S700" s="3">
        <v>0</v>
      </c>
      <c r="T700" s="3">
        <v>52</v>
      </c>
      <c r="U700" s="3">
        <v>70</v>
      </c>
      <c r="V700" s="4">
        <f>IF(ISERROR(VLOOKUP($S$700,'TAR FIN'!$A$1:$O$113,15,0)),0,VLOOKUP($S$700,'TAR FIN'!$A$1:$O$113,15,0))</f>
        <v>0</v>
      </c>
      <c r="W700" s="4">
        <f>IF(ISERROR(VLOOKUP($T$700,'TAR FIN'!$A$1:$O$113,15,0)),0,VLOOKUP($T$700,'TAR FIN'!$A$1:$O$113,15,0))</f>
        <v>497.52</v>
      </c>
      <c r="X700" s="4">
        <f>IF(ISERROR(VLOOKUP($U$700,'TAR FIN'!$A$1:$O$113,15,0)),0,VLOOKUP($U$700,'TAR FIN'!$A$1:$O$113,15,0))</f>
        <v>195.63</v>
      </c>
      <c r="Y700" s="4"/>
      <c r="Z700" s="4">
        <f ca="1">('TUSD BE'!$AM$51+'TUSD BF'!$AM$51+'TUSD CVA'!$AM$51)*(1-CUSTOS!$M$38)</f>
        <v>628.38817282981779</v>
      </c>
      <c r="AA700" s="4">
        <f>('TE BE'!$AA$30+'TE BF'!$AA$30+'TE CVA'!$AA$30)*(1-CUSTOS!$M$38)</f>
        <v>209.7568810332202</v>
      </c>
      <c r="AB700" s="4">
        <f t="shared" si="32"/>
        <v>0</v>
      </c>
      <c r="AC700" s="4">
        <f>(L700*W700+M700*X700)/(1-CUSTOS!$M$38)*CUSTOS!$M$38</f>
        <v>1.6370138297872339</v>
      </c>
      <c r="AD700" s="4">
        <f t="shared" si="33"/>
        <v>0</v>
      </c>
      <c r="AE700" s="4">
        <f ca="1">(L700*Z700+N700*AA700)/(1-CUSTOS!$M$38)*CUSTOS!$M$38</f>
        <v>1.9794489569956855</v>
      </c>
      <c r="AF700" s="3" t="s">
        <v>1023</v>
      </c>
    </row>
    <row r="701" spans="1:32" ht="11.25" customHeight="1" x14ac:dyDescent="0.25">
      <c r="A701" s="3" t="s">
        <v>21</v>
      </c>
      <c r="B701" s="3" t="s">
        <v>44</v>
      </c>
      <c r="C701" s="3" t="s">
        <v>33</v>
      </c>
      <c r="D701" s="3" t="s">
        <v>45</v>
      </c>
      <c r="E701" s="3" t="s">
        <v>25</v>
      </c>
      <c r="F701" s="3" t="s">
        <v>25</v>
      </c>
      <c r="G701" s="3" t="s">
        <v>25</v>
      </c>
      <c r="H701" s="3" t="s">
        <v>36</v>
      </c>
      <c r="I701" s="6">
        <v>44501</v>
      </c>
      <c r="J701" s="4">
        <v>0</v>
      </c>
      <c r="K701" s="4">
        <v>0</v>
      </c>
      <c r="L701" s="4">
        <v>3.1E-2</v>
      </c>
      <c r="M701" s="4">
        <v>3.1E-2</v>
      </c>
      <c r="N701" s="4">
        <v>3.1E-2</v>
      </c>
      <c r="O701" s="4">
        <v>3.1E-2</v>
      </c>
      <c r="P701" s="4">
        <v>0</v>
      </c>
      <c r="Q701" s="3" t="s">
        <v>26</v>
      </c>
      <c r="R701" s="3">
        <v>0</v>
      </c>
      <c r="S701" s="3">
        <v>0</v>
      </c>
      <c r="T701" s="3">
        <v>52</v>
      </c>
      <c r="U701" s="3">
        <v>70</v>
      </c>
      <c r="V701" s="4">
        <f>IF(ISERROR(VLOOKUP($S$701,'TAR FIN'!$A$1:$O$113,15,0)),0,VLOOKUP($S$701,'TAR FIN'!$A$1:$O$113,15,0))</f>
        <v>0</v>
      </c>
      <c r="W701" s="4">
        <f>IF(ISERROR(VLOOKUP($T$701,'TAR FIN'!$A$1:$O$113,15,0)),0,VLOOKUP($T$701,'TAR FIN'!$A$1:$O$113,15,0))</f>
        <v>497.52</v>
      </c>
      <c r="X701" s="4">
        <f>IF(ISERROR(VLOOKUP($U$701,'TAR FIN'!$A$1:$O$113,15,0)),0,VLOOKUP($U$701,'TAR FIN'!$A$1:$O$113,15,0))</f>
        <v>195.63</v>
      </c>
      <c r="Y701" s="4"/>
      <c r="Z701" s="4">
        <f ca="1">('TUSD BE'!$AM$51+'TUSD BF'!$AM$51+'TUSD CVA'!$AM$51)*(1-CUSTOS!$M$38)</f>
        <v>628.38817282981779</v>
      </c>
      <c r="AA701" s="4">
        <f>('TE BE'!$AA$30+'TE BF'!$AA$30+'TE CVA'!$AA$30)*(1-CUSTOS!$M$38)</f>
        <v>209.7568810332202</v>
      </c>
      <c r="AB701" s="4">
        <f t="shared" si="32"/>
        <v>0</v>
      </c>
      <c r="AC701" s="4">
        <f>(L701*W701+M701*X701)/(1-CUSTOS!$M$38)*CUSTOS!$M$38</f>
        <v>1.3715521276595743</v>
      </c>
      <c r="AD701" s="4">
        <f t="shared" si="33"/>
        <v>0</v>
      </c>
      <c r="AE701" s="4">
        <f ca="1">(L701*Z701+N701*AA701)/(1-CUSTOS!$M$38)*CUSTOS!$M$38</f>
        <v>1.6584572342396284</v>
      </c>
      <c r="AF701" s="3" t="s">
        <v>1023</v>
      </c>
    </row>
    <row r="702" spans="1:32" ht="11.25" customHeight="1" x14ac:dyDescent="0.25">
      <c r="A702" s="3" t="s">
        <v>21</v>
      </c>
      <c r="B702" s="3" t="s">
        <v>44</v>
      </c>
      <c r="C702" s="3" t="s">
        <v>33</v>
      </c>
      <c r="D702" s="3" t="s">
        <v>45</v>
      </c>
      <c r="E702" s="3" t="s">
        <v>25</v>
      </c>
      <c r="F702" s="3" t="s">
        <v>25</v>
      </c>
      <c r="G702" s="3" t="s">
        <v>25</v>
      </c>
      <c r="H702" s="3" t="s">
        <v>36</v>
      </c>
      <c r="I702" s="6">
        <v>44531</v>
      </c>
      <c r="J702" s="4">
        <v>0</v>
      </c>
      <c r="K702" s="4">
        <v>0</v>
      </c>
      <c r="L702" s="4">
        <v>0.03</v>
      </c>
      <c r="M702" s="4">
        <v>0.03</v>
      </c>
      <c r="N702" s="4">
        <v>0.03</v>
      </c>
      <c r="O702" s="4">
        <v>0.03</v>
      </c>
      <c r="P702" s="4">
        <v>0</v>
      </c>
      <c r="Q702" s="3" t="s">
        <v>26</v>
      </c>
      <c r="R702" s="3">
        <v>0</v>
      </c>
      <c r="S702" s="3">
        <v>0</v>
      </c>
      <c r="T702" s="3">
        <v>52</v>
      </c>
      <c r="U702" s="3">
        <v>70</v>
      </c>
      <c r="V702" s="4">
        <f>IF(ISERROR(VLOOKUP($S$702,'TAR FIN'!$A$1:$O$113,15,0)),0,VLOOKUP($S$702,'TAR FIN'!$A$1:$O$113,15,0))</f>
        <v>0</v>
      </c>
      <c r="W702" s="4">
        <f>IF(ISERROR(VLOOKUP($T$702,'TAR FIN'!$A$1:$O$113,15,0)),0,VLOOKUP($T$702,'TAR FIN'!$A$1:$O$113,15,0))</f>
        <v>497.52</v>
      </c>
      <c r="X702" s="4">
        <f>IF(ISERROR(VLOOKUP($U$702,'TAR FIN'!$A$1:$O$113,15,0)),0,VLOOKUP($U$702,'TAR FIN'!$A$1:$O$113,15,0))</f>
        <v>195.63</v>
      </c>
      <c r="Y702" s="4"/>
      <c r="Z702" s="4">
        <f ca="1">('TUSD BE'!$AM$51+'TUSD BF'!$AM$51+'TUSD CVA'!$AM$51)*(1-CUSTOS!$M$38)</f>
        <v>628.38817282981779</v>
      </c>
      <c r="AA702" s="4">
        <f>('TE BE'!$AA$30+'TE BF'!$AA$30+'TE CVA'!$AA$30)*(1-CUSTOS!$M$38)</f>
        <v>209.7568810332202</v>
      </c>
      <c r="AB702" s="4">
        <f t="shared" si="32"/>
        <v>0</v>
      </c>
      <c r="AC702" s="4">
        <f>(L702*W702+M702*X702)/(1-CUSTOS!$M$38)*CUSTOS!$M$38</f>
        <v>1.3273085106382978</v>
      </c>
      <c r="AD702" s="4">
        <f t="shared" si="33"/>
        <v>0</v>
      </c>
      <c r="AE702" s="4">
        <f ca="1">(L702*Z702+N702*AA702)/(1-CUSTOS!$M$38)*CUSTOS!$M$38</f>
        <v>1.6049586137802856</v>
      </c>
      <c r="AF702" s="3" t="s">
        <v>1023</v>
      </c>
    </row>
    <row r="703" spans="1:32" ht="11.25" customHeight="1" x14ac:dyDescent="0.25">
      <c r="A703" s="3" t="s">
        <v>21</v>
      </c>
      <c r="B703" s="3" t="s">
        <v>44</v>
      </c>
      <c r="C703" s="3" t="s">
        <v>33</v>
      </c>
      <c r="D703" s="3" t="s">
        <v>45</v>
      </c>
      <c r="E703" s="3" t="s">
        <v>25</v>
      </c>
      <c r="F703" s="3" t="s">
        <v>25</v>
      </c>
      <c r="G703" s="3" t="s">
        <v>25</v>
      </c>
      <c r="H703" s="3" t="s">
        <v>36</v>
      </c>
      <c r="I703" s="6">
        <v>44562</v>
      </c>
      <c r="J703" s="4">
        <v>0</v>
      </c>
      <c r="K703" s="4">
        <v>0</v>
      </c>
      <c r="L703" s="4">
        <v>3.7999999999999999E-2</v>
      </c>
      <c r="M703" s="4">
        <v>3.7999999999999999E-2</v>
      </c>
      <c r="N703" s="4">
        <v>3.7999999999999999E-2</v>
      </c>
      <c r="O703" s="4">
        <v>3.7999999999999999E-2</v>
      </c>
      <c r="P703" s="4">
        <v>0</v>
      </c>
      <c r="Q703" s="3" t="s">
        <v>26</v>
      </c>
      <c r="R703" s="3">
        <v>0</v>
      </c>
      <c r="S703" s="3">
        <v>0</v>
      </c>
      <c r="T703" s="3">
        <v>52</v>
      </c>
      <c r="U703" s="3">
        <v>70</v>
      </c>
      <c r="V703" s="4">
        <f>IF(ISERROR(VLOOKUP($S$703,'TAR FIN'!$A$1:$O$113,15,0)),0,VLOOKUP($S$703,'TAR FIN'!$A$1:$O$113,15,0))</f>
        <v>0</v>
      </c>
      <c r="W703" s="4">
        <f>IF(ISERROR(VLOOKUP($T$703,'TAR FIN'!$A$1:$O$113,15,0)),0,VLOOKUP($T$703,'TAR FIN'!$A$1:$O$113,15,0))</f>
        <v>497.52</v>
      </c>
      <c r="X703" s="4">
        <f>IF(ISERROR(VLOOKUP($U$703,'TAR FIN'!$A$1:$O$113,15,0)),0,VLOOKUP($U$703,'TAR FIN'!$A$1:$O$113,15,0))</f>
        <v>195.63</v>
      </c>
      <c r="Y703" s="4"/>
      <c r="Z703" s="4">
        <f ca="1">('TUSD BE'!$AM$51+'TUSD BF'!$AM$51+'TUSD CVA'!$AM$51)*(1-CUSTOS!$M$38)</f>
        <v>628.38817282981779</v>
      </c>
      <c r="AA703" s="4">
        <f>('TE BE'!$AA$30+'TE BF'!$AA$30+'TE CVA'!$AA$30)*(1-CUSTOS!$M$38)</f>
        <v>209.7568810332202</v>
      </c>
      <c r="AB703" s="4">
        <f t="shared" si="32"/>
        <v>0</v>
      </c>
      <c r="AC703" s="4">
        <f>(L703*W703+M703*X703)/(1-CUSTOS!$M$38)*CUSTOS!$M$38</f>
        <v>1.6812574468085104</v>
      </c>
      <c r="AD703" s="4">
        <f t="shared" si="33"/>
        <v>0</v>
      </c>
      <c r="AE703" s="4">
        <f ca="1">(L703*Z703+N703*AA703)/(1-CUSTOS!$M$38)*CUSTOS!$M$38</f>
        <v>2.0329475774550283</v>
      </c>
      <c r="AF703" s="3" t="s">
        <v>1023</v>
      </c>
    </row>
    <row r="704" spans="1:32" ht="11.25" customHeight="1" x14ac:dyDescent="0.25">
      <c r="A704" s="3" t="s">
        <v>21</v>
      </c>
      <c r="B704" s="3" t="s">
        <v>44</v>
      </c>
      <c r="C704" s="3" t="s">
        <v>33</v>
      </c>
      <c r="D704" s="3" t="s">
        <v>45</v>
      </c>
      <c r="E704" s="3" t="s">
        <v>25</v>
      </c>
      <c r="F704" s="3" t="s">
        <v>25</v>
      </c>
      <c r="G704" s="3" t="s">
        <v>25</v>
      </c>
      <c r="H704" s="3" t="s">
        <v>36</v>
      </c>
      <c r="I704" s="6">
        <v>44593</v>
      </c>
      <c r="J704" s="4">
        <v>0</v>
      </c>
      <c r="K704" s="4">
        <v>0</v>
      </c>
      <c r="L704" s="4">
        <v>3.1E-2</v>
      </c>
      <c r="M704" s="4">
        <v>3.1E-2</v>
      </c>
      <c r="N704" s="4">
        <v>3.1E-2</v>
      </c>
      <c r="O704" s="4">
        <v>3.1E-2</v>
      </c>
      <c r="P704" s="4">
        <v>0</v>
      </c>
      <c r="Q704" s="3" t="s">
        <v>26</v>
      </c>
      <c r="R704" s="3">
        <v>0</v>
      </c>
      <c r="S704" s="3">
        <v>0</v>
      </c>
      <c r="T704" s="3">
        <v>52</v>
      </c>
      <c r="U704" s="3">
        <v>70</v>
      </c>
      <c r="V704" s="4">
        <f>IF(ISERROR(VLOOKUP($S$704,'TAR FIN'!$A$1:$O$113,15,0)),0,VLOOKUP($S$704,'TAR FIN'!$A$1:$O$113,15,0))</f>
        <v>0</v>
      </c>
      <c r="W704" s="4">
        <f>IF(ISERROR(VLOOKUP($T$704,'TAR FIN'!$A$1:$O$113,15,0)),0,VLOOKUP($T$704,'TAR FIN'!$A$1:$O$113,15,0))</f>
        <v>497.52</v>
      </c>
      <c r="X704" s="4">
        <f>IF(ISERROR(VLOOKUP($U$704,'TAR FIN'!$A$1:$O$113,15,0)),0,VLOOKUP($U$704,'TAR FIN'!$A$1:$O$113,15,0))</f>
        <v>195.63</v>
      </c>
      <c r="Y704" s="4"/>
      <c r="Z704" s="4">
        <f ca="1">('TUSD BE'!$AM$51+'TUSD BF'!$AM$51+'TUSD CVA'!$AM$51)*(1-CUSTOS!$M$38)</f>
        <v>628.38817282981779</v>
      </c>
      <c r="AA704" s="4">
        <f>('TE BE'!$AA$30+'TE BF'!$AA$30+'TE CVA'!$AA$30)*(1-CUSTOS!$M$38)</f>
        <v>209.7568810332202</v>
      </c>
      <c r="AB704" s="4">
        <f t="shared" si="32"/>
        <v>0</v>
      </c>
      <c r="AC704" s="4">
        <f>(L704*W704+M704*X704)/(1-CUSTOS!$M$38)*CUSTOS!$M$38</f>
        <v>1.3715521276595743</v>
      </c>
      <c r="AD704" s="4">
        <f t="shared" si="33"/>
        <v>0</v>
      </c>
      <c r="AE704" s="4">
        <f ca="1">(L704*Z704+N704*AA704)/(1-CUSTOS!$M$38)*CUSTOS!$M$38</f>
        <v>1.6584572342396284</v>
      </c>
      <c r="AF704" s="3" t="s">
        <v>1023</v>
      </c>
    </row>
    <row r="705" spans="1:32" ht="11.25" customHeight="1" x14ac:dyDescent="0.25">
      <c r="A705" s="3" t="s">
        <v>56</v>
      </c>
      <c r="B705" s="3" t="s">
        <v>44</v>
      </c>
      <c r="C705" s="3" t="s">
        <v>33</v>
      </c>
      <c r="D705" s="3" t="s">
        <v>45</v>
      </c>
      <c r="E705" s="3" t="s">
        <v>25</v>
      </c>
      <c r="F705" s="3" t="s">
        <v>25</v>
      </c>
      <c r="G705" s="3" t="s">
        <v>25</v>
      </c>
      <c r="H705" s="3" t="s">
        <v>36</v>
      </c>
      <c r="I705" s="6">
        <v>44621</v>
      </c>
      <c r="J705" s="4">
        <v>0</v>
      </c>
      <c r="K705" s="4">
        <v>0</v>
      </c>
      <c r="L705" s="4">
        <v>3.1E-2</v>
      </c>
      <c r="M705" s="4">
        <v>3.1E-2</v>
      </c>
      <c r="N705" s="4">
        <v>3.1E-2</v>
      </c>
      <c r="O705" s="4">
        <v>3.1E-2</v>
      </c>
      <c r="P705" s="4">
        <v>0</v>
      </c>
      <c r="Q705" s="3" t="s">
        <v>26</v>
      </c>
      <c r="R705" s="3">
        <v>0</v>
      </c>
      <c r="S705" s="3">
        <v>0</v>
      </c>
      <c r="T705" s="3">
        <v>52</v>
      </c>
      <c r="U705" s="3">
        <v>70</v>
      </c>
      <c r="V705" s="4">
        <f>IF(ISERROR(VLOOKUP($S$705,'TAR FIN'!$A$1:$O$113,15,0)),0,VLOOKUP($S$705,'TAR FIN'!$A$1:$O$113,15,0))</f>
        <v>0</v>
      </c>
      <c r="W705" s="4">
        <f>IF(ISERROR(VLOOKUP($T$705,'TAR FIN'!$A$1:$O$113,15,0)),0,VLOOKUP($T$705,'TAR FIN'!$A$1:$O$113,15,0))</f>
        <v>497.52</v>
      </c>
      <c r="X705" s="4">
        <f>IF(ISERROR(VLOOKUP($U$705,'TAR FIN'!$A$1:$O$113,15,0)),0,VLOOKUP($U$705,'TAR FIN'!$A$1:$O$113,15,0))</f>
        <v>195.63</v>
      </c>
      <c r="Y705" s="4"/>
      <c r="Z705" s="4">
        <f ca="1">('TUSD BE'!$AM$51+'TUSD BF'!$AM$51+'TUSD CVA'!$AM$51)*(1-CUSTOS!$M$38)</f>
        <v>628.38817282981779</v>
      </c>
      <c r="AA705" s="4">
        <f>('TE BE'!$AA$30+'TE BF'!$AA$30+'TE CVA'!$AA$30)*(1-CUSTOS!$M$38)</f>
        <v>209.7568810332202</v>
      </c>
      <c r="AB705" s="4">
        <f t="shared" si="32"/>
        <v>0</v>
      </c>
      <c r="AC705" s="4">
        <f>(L705*W705+M705*X705)/(1-CUSTOS!$M$38)*CUSTOS!$M$38</f>
        <v>1.3715521276595743</v>
      </c>
      <c r="AD705" s="4">
        <f t="shared" si="33"/>
        <v>0</v>
      </c>
      <c r="AE705" s="4">
        <f ca="1">(L705*Z705+N705*AA705)/(1-CUSTOS!$M$38)*CUSTOS!$M$38</f>
        <v>1.6584572342396284</v>
      </c>
      <c r="AF705" s="3" t="s">
        <v>1023</v>
      </c>
    </row>
    <row r="706" spans="1:32" ht="11.25" customHeight="1" x14ac:dyDescent="0.25">
      <c r="A706" s="3" t="s">
        <v>21</v>
      </c>
      <c r="B706" s="3" t="s">
        <v>44</v>
      </c>
      <c r="C706" s="3" t="s">
        <v>33</v>
      </c>
      <c r="D706" s="3" t="s">
        <v>45</v>
      </c>
      <c r="E706" s="3" t="s">
        <v>25</v>
      </c>
      <c r="F706" s="3" t="s">
        <v>25</v>
      </c>
      <c r="G706" s="3" t="s">
        <v>25</v>
      </c>
      <c r="H706" s="3" t="s">
        <v>34</v>
      </c>
      <c r="I706" s="6">
        <v>44287</v>
      </c>
      <c r="J706" s="4">
        <v>0</v>
      </c>
      <c r="K706" s="4">
        <v>0</v>
      </c>
      <c r="L706" s="4">
        <v>6.0999999999999999E-2</v>
      </c>
      <c r="M706" s="4">
        <v>6.0999999999999999E-2</v>
      </c>
      <c r="N706" s="4">
        <v>6.0999999999999999E-2</v>
      </c>
      <c r="O706" s="4">
        <v>6.0999999999999999E-2</v>
      </c>
      <c r="P706" s="4">
        <v>0</v>
      </c>
      <c r="Q706" s="3" t="s">
        <v>26</v>
      </c>
      <c r="R706" s="3">
        <v>0</v>
      </c>
      <c r="S706" s="3">
        <v>0</v>
      </c>
      <c r="T706" s="3">
        <v>51</v>
      </c>
      <c r="U706" s="3">
        <v>69</v>
      </c>
      <c r="V706" s="4">
        <f>IF(ISERROR(VLOOKUP($S$706,'TAR FIN'!$A$1:$O$113,15,0)),0,VLOOKUP($S$706,'TAR FIN'!$A$1:$O$113,15,0))</f>
        <v>0</v>
      </c>
      <c r="W706" s="4">
        <f>IF(ISERROR(VLOOKUP($T$706,'TAR FIN'!$A$1:$O$113,15,0)),0,VLOOKUP($T$706,'TAR FIN'!$A$1:$O$113,15,0))</f>
        <v>786.82</v>
      </c>
      <c r="X706" s="4">
        <f>IF(ISERROR(VLOOKUP($U$706,'TAR FIN'!$A$1:$O$113,15,0)),0,VLOOKUP($U$706,'TAR FIN'!$A$1:$O$113,15,0))</f>
        <v>321.64</v>
      </c>
      <c r="Y706" s="4"/>
      <c r="Z706" s="4">
        <f ca="1">('TUSD BE'!$AM$50+'TUSD BF'!$AM$50+'TUSD CVA'!$AM$50)*(1-CUSTOS!$M$38)</f>
        <v>991.25918961691207</v>
      </c>
      <c r="AA706" s="4">
        <f>('TE BE'!$AA$29+'TE BF'!$AA$29+'TE CVA'!$AA$29)*(1-CUSTOS!$M$38)</f>
        <v>339.85712613306845</v>
      </c>
      <c r="AB706" s="4">
        <f t="shared" ref="AB706:AB769" si="34">(J706-K706)*V706</f>
        <v>0</v>
      </c>
      <c r="AC706" s="4">
        <f>(L706*W706+M706*X706)/(1-CUSTOS!$M$38)*CUSTOS!$M$38</f>
        <v>4.3159187234042564</v>
      </c>
      <c r="AD706" s="4">
        <f t="shared" ref="AD706:AD769" si="35">(J706-K706)*Y706</f>
        <v>0</v>
      </c>
      <c r="AE706" s="4">
        <f ca="1">(L706*Z706+N706*AA706)/(1-CUSTOS!$M$38)*CUSTOS!$M$38</f>
        <v>5.1828571443031155</v>
      </c>
      <c r="AF706" s="3" t="s">
        <v>1023</v>
      </c>
    </row>
    <row r="707" spans="1:32" ht="11.25" customHeight="1" x14ac:dyDescent="0.25">
      <c r="A707" s="3" t="s">
        <v>21</v>
      </c>
      <c r="B707" s="3" t="s">
        <v>44</v>
      </c>
      <c r="C707" s="3" t="s">
        <v>33</v>
      </c>
      <c r="D707" s="3" t="s">
        <v>45</v>
      </c>
      <c r="E707" s="3" t="s">
        <v>25</v>
      </c>
      <c r="F707" s="3" t="s">
        <v>25</v>
      </c>
      <c r="G707" s="3" t="s">
        <v>25</v>
      </c>
      <c r="H707" s="3" t="s">
        <v>34</v>
      </c>
      <c r="I707" s="6">
        <v>44317</v>
      </c>
      <c r="J707" s="4">
        <v>0</v>
      </c>
      <c r="K707" s="4">
        <v>0</v>
      </c>
      <c r="L707" s="4">
        <v>5.8000000000000003E-2</v>
      </c>
      <c r="M707" s="4">
        <v>5.8000000000000003E-2</v>
      </c>
      <c r="N707" s="4">
        <v>5.8000000000000003E-2</v>
      </c>
      <c r="O707" s="4">
        <v>5.8000000000000003E-2</v>
      </c>
      <c r="P707" s="4">
        <v>0</v>
      </c>
      <c r="Q707" s="3" t="s">
        <v>26</v>
      </c>
      <c r="R707" s="3">
        <v>0</v>
      </c>
      <c r="S707" s="3">
        <v>0</v>
      </c>
      <c r="T707" s="3">
        <v>51</v>
      </c>
      <c r="U707" s="3">
        <v>69</v>
      </c>
      <c r="V707" s="4">
        <f>IF(ISERROR(VLOOKUP($S$707,'TAR FIN'!$A$1:$O$113,15,0)),0,VLOOKUP($S$707,'TAR FIN'!$A$1:$O$113,15,0))</f>
        <v>0</v>
      </c>
      <c r="W707" s="4">
        <f>IF(ISERROR(VLOOKUP($T$707,'TAR FIN'!$A$1:$O$113,15,0)),0,VLOOKUP($T$707,'TAR FIN'!$A$1:$O$113,15,0))</f>
        <v>786.82</v>
      </c>
      <c r="X707" s="4">
        <f>IF(ISERROR(VLOOKUP($U$707,'TAR FIN'!$A$1:$O$113,15,0)),0,VLOOKUP($U$707,'TAR FIN'!$A$1:$O$113,15,0))</f>
        <v>321.64</v>
      </c>
      <c r="Y707" s="4"/>
      <c r="Z707" s="4">
        <f ca="1">('TUSD BE'!$AM$50+'TUSD BF'!$AM$50+'TUSD CVA'!$AM$50)*(1-CUSTOS!$M$38)</f>
        <v>991.25918961691207</v>
      </c>
      <c r="AA707" s="4">
        <f>('TE BE'!$AA$29+'TE BF'!$AA$29+'TE CVA'!$AA$29)*(1-CUSTOS!$M$38)</f>
        <v>339.85712613306845</v>
      </c>
      <c r="AB707" s="4">
        <f t="shared" si="34"/>
        <v>0</v>
      </c>
      <c r="AC707" s="4">
        <f>(L707*W707+M707*X707)/(1-CUSTOS!$M$38)*CUSTOS!$M$38</f>
        <v>4.1036604255319151</v>
      </c>
      <c r="AD707" s="4">
        <f t="shared" si="35"/>
        <v>0</v>
      </c>
      <c r="AE707" s="4">
        <f ca="1">(L707*Z707+N707*AA707)/(1-CUSTOS!$M$38)*CUSTOS!$M$38</f>
        <v>4.9279625306488644</v>
      </c>
      <c r="AF707" s="3" t="s">
        <v>1023</v>
      </c>
    </row>
    <row r="708" spans="1:32" ht="11.25" customHeight="1" x14ac:dyDescent="0.25">
      <c r="A708" s="3" t="s">
        <v>21</v>
      </c>
      <c r="B708" s="3" t="s">
        <v>44</v>
      </c>
      <c r="C708" s="3" t="s">
        <v>33</v>
      </c>
      <c r="D708" s="3" t="s">
        <v>45</v>
      </c>
      <c r="E708" s="3" t="s">
        <v>25</v>
      </c>
      <c r="F708" s="3" t="s">
        <v>25</v>
      </c>
      <c r="G708" s="3" t="s">
        <v>25</v>
      </c>
      <c r="H708" s="3" t="s">
        <v>34</v>
      </c>
      <c r="I708" s="6">
        <v>44348</v>
      </c>
      <c r="J708" s="4">
        <v>0</v>
      </c>
      <c r="K708" s="4">
        <v>0</v>
      </c>
      <c r="L708" s="4">
        <v>5.3999999999999999E-2</v>
      </c>
      <c r="M708" s="4">
        <v>5.3999999999999999E-2</v>
      </c>
      <c r="N708" s="4">
        <v>5.3999999999999999E-2</v>
      </c>
      <c r="O708" s="4">
        <v>5.3999999999999999E-2</v>
      </c>
      <c r="P708" s="4">
        <v>0</v>
      </c>
      <c r="Q708" s="3" t="s">
        <v>26</v>
      </c>
      <c r="R708" s="3">
        <v>0</v>
      </c>
      <c r="S708" s="3">
        <v>0</v>
      </c>
      <c r="T708" s="3">
        <v>51</v>
      </c>
      <c r="U708" s="3">
        <v>69</v>
      </c>
      <c r="V708" s="4">
        <f>IF(ISERROR(VLOOKUP($S$708,'TAR FIN'!$A$1:$O$113,15,0)),0,VLOOKUP($S$708,'TAR FIN'!$A$1:$O$113,15,0))</f>
        <v>0</v>
      </c>
      <c r="W708" s="4">
        <f>IF(ISERROR(VLOOKUP($T$708,'TAR FIN'!$A$1:$O$113,15,0)),0,VLOOKUP($T$708,'TAR FIN'!$A$1:$O$113,15,0))</f>
        <v>786.82</v>
      </c>
      <c r="X708" s="4">
        <f>IF(ISERROR(VLOOKUP($U$708,'TAR FIN'!$A$1:$O$113,15,0)),0,VLOOKUP($U$708,'TAR FIN'!$A$1:$O$113,15,0))</f>
        <v>321.64</v>
      </c>
      <c r="Y708" s="4"/>
      <c r="Z708" s="4">
        <f ca="1">('TUSD BE'!$AM$50+'TUSD BF'!$AM$50+'TUSD CVA'!$AM$50)*(1-CUSTOS!$M$38)</f>
        <v>991.25918961691207</v>
      </c>
      <c r="AA708" s="4">
        <f>('TE BE'!$AA$29+'TE BF'!$AA$29+'TE CVA'!$AA$29)*(1-CUSTOS!$M$38)</f>
        <v>339.85712613306845</v>
      </c>
      <c r="AB708" s="4">
        <f t="shared" si="34"/>
        <v>0</v>
      </c>
      <c r="AC708" s="4">
        <f>(L708*W708+M708*X708)/(1-CUSTOS!$M$38)*CUSTOS!$M$38</f>
        <v>3.8206493617021282</v>
      </c>
      <c r="AD708" s="4">
        <f t="shared" si="35"/>
        <v>0</v>
      </c>
      <c r="AE708" s="4">
        <f ca="1">(L708*Z708+N708*AA708)/(1-CUSTOS!$M$38)*CUSTOS!$M$38</f>
        <v>4.5881030457765286</v>
      </c>
      <c r="AF708" s="3" t="s">
        <v>1023</v>
      </c>
    </row>
    <row r="709" spans="1:32" ht="11.25" customHeight="1" x14ac:dyDescent="0.25">
      <c r="A709" s="3" t="s">
        <v>21</v>
      </c>
      <c r="B709" s="3" t="s">
        <v>44</v>
      </c>
      <c r="C709" s="3" t="s">
        <v>33</v>
      </c>
      <c r="D709" s="3" t="s">
        <v>45</v>
      </c>
      <c r="E709" s="3" t="s">
        <v>25</v>
      </c>
      <c r="F709" s="3" t="s">
        <v>25</v>
      </c>
      <c r="G709" s="3" t="s">
        <v>25</v>
      </c>
      <c r="H709" s="3" t="s">
        <v>34</v>
      </c>
      <c r="I709" s="6">
        <v>44378</v>
      </c>
      <c r="J709" s="4">
        <v>0</v>
      </c>
      <c r="K709" s="4">
        <v>0</v>
      </c>
      <c r="L709" s="4">
        <v>6.3E-2</v>
      </c>
      <c r="M709" s="4">
        <v>6.3E-2</v>
      </c>
      <c r="N709" s="4">
        <v>6.3E-2</v>
      </c>
      <c r="O709" s="4">
        <v>6.3E-2</v>
      </c>
      <c r="P709" s="4">
        <v>0</v>
      </c>
      <c r="Q709" s="3" t="s">
        <v>26</v>
      </c>
      <c r="R709" s="3">
        <v>0</v>
      </c>
      <c r="S709" s="3">
        <v>0</v>
      </c>
      <c r="T709" s="3">
        <v>51</v>
      </c>
      <c r="U709" s="3">
        <v>69</v>
      </c>
      <c r="V709" s="4">
        <f>IF(ISERROR(VLOOKUP($S$709,'TAR FIN'!$A$1:$O$113,15,0)),0,VLOOKUP($S$709,'TAR FIN'!$A$1:$O$113,15,0))</f>
        <v>0</v>
      </c>
      <c r="W709" s="4">
        <f>IF(ISERROR(VLOOKUP($T$709,'TAR FIN'!$A$1:$O$113,15,0)),0,VLOOKUP($T$709,'TAR FIN'!$A$1:$O$113,15,0))</f>
        <v>786.82</v>
      </c>
      <c r="X709" s="4">
        <f>IF(ISERROR(VLOOKUP($U$709,'TAR FIN'!$A$1:$O$113,15,0)),0,VLOOKUP($U$709,'TAR FIN'!$A$1:$O$113,15,0))</f>
        <v>321.64</v>
      </c>
      <c r="Y709" s="4"/>
      <c r="Z709" s="4">
        <f ca="1">('TUSD BE'!$AM$50+'TUSD BF'!$AM$50+'TUSD CVA'!$AM$50)*(1-CUSTOS!$M$38)</f>
        <v>991.25918961691207</v>
      </c>
      <c r="AA709" s="4">
        <f>('TE BE'!$AA$29+'TE BF'!$AA$29+'TE CVA'!$AA$29)*(1-CUSTOS!$M$38)</f>
        <v>339.85712613306845</v>
      </c>
      <c r="AB709" s="4">
        <f t="shared" si="34"/>
        <v>0</v>
      </c>
      <c r="AC709" s="4">
        <f>(L709*W709+M709*X709)/(1-CUSTOS!$M$38)*CUSTOS!$M$38</f>
        <v>4.4574242553191494</v>
      </c>
      <c r="AD709" s="4">
        <f t="shared" si="35"/>
        <v>0</v>
      </c>
      <c r="AE709" s="4">
        <f ca="1">(L709*Z709+N709*AA709)/(1-CUSTOS!$M$38)*CUSTOS!$M$38</f>
        <v>5.3527868867392838</v>
      </c>
      <c r="AF709" s="3" t="s">
        <v>1023</v>
      </c>
    </row>
    <row r="710" spans="1:32" ht="11.25" customHeight="1" x14ac:dyDescent="0.25">
      <c r="A710" s="3" t="s">
        <v>21</v>
      </c>
      <c r="B710" s="3" t="s">
        <v>44</v>
      </c>
      <c r="C710" s="3" t="s">
        <v>33</v>
      </c>
      <c r="D710" s="3" t="s">
        <v>45</v>
      </c>
      <c r="E710" s="3" t="s">
        <v>25</v>
      </c>
      <c r="F710" s="3" t="s">
        <v>25</v>
      </c>
      <c r="G710" s="3" t="s">
        <v>25</v>
      </c>
      <c r="H710" s="3" t="s">
        <v>34</v>
      </c>
      <c r="I710" s="6">
        <v>44409</v>
      </c>
      <c r="J710" s="4">
        <v>0</v>
      </c>
      <c r="K710" s="4">
        <v>0</v>
      </c>
      <c r="L710" s="4">
        <v>5.8000000000000003E-2</v>
      </c>
      <c r="M710" s="4">
        <v>5.8000000000000003E-2</v>
      </c>
      <c r="N710" s="4">
        <v>5.8000000000000003E-2</v>
      </c>
      <c r="O710" s="4">
        <v>5.8000000000000003E-2</v>
      </c>
      <c r="P710" s="4">
        <v>0</v>
      </c>
      <c r="Q710" s="3" t="s">
        <v>26</v>
      </c>
      <c r="R710" s="3">
        <v>0</v>
      </c>
      <c r="S710" s="3">
        <v>0</v>
      </c>
      <c r="T710" s="3">
        <v>51</v>
      </c>
      <c r="U710" s="3">
        <v>69</v>
      </c>
      <c r="V710" s="4">
        <f>IF(ISERROR(VLOOKUP($S$710,'TAR FIN'!$A$1:$O$113,15,0)),0,VLOOKUP($S$710,'TAR FIN'!$A$1:$O$113,15,0))</f>
        <v>0</v>
      </c>
      <c r="W710" s="4">
        <f>IF(ISERROR(VLOOKUP($T$710,'TAR FIN'!$A$1:$O$113,15,0)),0,VLOOKUP($T$710,'TAR FIN'!$A$1:$O$113,15,0))</f>
        <v>786.82</v>
      </c>
      <c r="X710" s="4">
        <f>IF(ISERROR(VLOOKUP($U$710,'TAR FIN'!$A$1:$O$113,15,0)),0,VLOOKUP($U$710,'TAR FIN'!$A$1:$O$113,15,0))</f>
        <v>321.64</v>
      </c>
      <c r="Y710" s="4"/>
      <c r="Z710" s="4">
        <f ca="1">('TUSD BE'!$AM$50+'TUSD BF'!$AM$50+'TUSD CVA'!$AM$50)*(1-CUSTOS!$M$38)</f>
        <v>991.25918961691207</v>
      </c>
      <c r="AA710" s="4">
        <f>('TE BE'!$AA$29+'TE BF'!$AA$29+'TE CVA'!$AA$29)*(1-CUSTOS!$M$38)</f>
        <v>339.85712613306845</v>
      </c>
      <c r="AB710" s="4">
        <f t="shared" si="34"/>
        <v>0</v>
      </c>
      <c r="AC710" s="4">
        <f>(L710*W710+M710*X710)/(1-CUSTOS!$M$38)*CUSTOS!$M$38</f>
        <v>4.1036604255319151</v>
      </c>
      <c r="AD710" s="4">
        <f t="shared" si="35"/>
        <v>0</v>
      </c>
      <c r="AE710" s="4">
        <f ca="1">(L710*Z710+N710*AA710)/(1-CUSTOS!$M$38)*CUSTOS!$M$38</f>
        <v>4.9279625306488644</v>
      </c>
      <c r="AF710" s="3" t="s">
        <v>1023</v>
      </c>
    </row>
    <row r="711" spans="1:32" ht="11.25" customHeight="1" x14ac:dyDescent="0.25">
      <c r="A711" s="3" t="s">
        <v>21</v>
      </c>
      <c r="B711" s="3" t="s">
        <v>44</v>
      </c>
      <c r="C711" s="3" t="s">
        <v>33</v>
      </c>
      <c r="D711" s="3" t="s">
        <v>45</v>
      </c>
      <c r="E711" s="3" t="s">
        <v>25</v>
      </c>
      <c r="F711" s="3" t="s">
        <v>25</v>
      </c>
      <c r="G711" s="3" t="s">
        <v>25</v>
      </c>
      <c r="H711" s="3" t="s">
        <v>34</v>
      </c>
      <c r="I711" s="6">
        <v>44440</v>
      </c>
      <c r="J711" s="4">
        <v>0</v>
      </c>
      <c r="K711" s="4">
        <v>0</v>
      </c>
      <c r="L711" s="4">
        <v>5.8000000000000003E-2</v>
      </c>
      <c r="M711" s="4">
        <v>5.8000000000000003E-2</v>
      </c>
      <c r="N711" s="4">
        <v>5.8000000000000003E-2</v>
      </c>
      <c r="O711" s="4">
        <v>5.8000000000000003E-2</v>
      </c>
      <c r="P711" s="4">
        <v>0</v>
      </c>
      <c r="Q711" s="3" t="s">
        <v>26</v>
      </c>
      <c r="R711" s="3">
        <v>0</v>
      </c>
      <c r="S711" s="3">
        <v>0</v>
      </c>
      <c r="T711" s="3">
        <v>51</v>
      </c>
      <c r="U711" s="3">
        <v>69</v>
      </c>
      <c r="V711" s="4">
        <f>IF(ISERROR(VLOOKUP($S$711,'TAR FIN'!$A$1:$O$113,15,0)),0,VLOOKUP($S$711,'TAR FIN'!$A$1:$O$113,15,0))</f>
        <v>0</v>
      </c>
      <c r="W711" s="4">
        <f>IF(ISERROR(VLOOKUP($T$711,'TAR FIN'!$A$1:$O$113,15,0)),0,VLOOKUP($T$711,'TAR FIN'!$A$1:$O$113,15,0))</f>
        <v>786.82</v>
      </c>
      <c r="X711" s="4">
        <f>IF(ISERROR(VLOOKUP($U$711,'TAR FIN'!$A$1:$O$113,15,0)),0,VLOOKUP($U$711,'TAR FIN'!$A$1:$O$113,15,0))</f>
        <v>321.64</v>
      </c>
      <c r="Y711" s="4"/>
      <c r="Z711" s="4">
        <f ca="1">('TUSD BE'!$AM$50+'TUSD BF'!$AM$50+'TUSD CVA'!$AM$50)*(1-CUSTOS!$M$38)</f>
        <v>991.25918961691207</v>
      </c>
      <c r="AA711" s="4">
        <f>('TE BE'!$AA$29+'TE BF'!$AA$29+'TE CVA'!$AA$29)*(1-CUSTOS!$M$38)</f>
        <v>339.85712613306845</v>
      </c>
      <c r="AB711" s="4">
        <f t="shared" si="34"/>
        <v>0</v>
      </c>
      <c r="AC711" s="4">
        <f>(L711*W711+M711*X711)/(1-CUSTOS!$M$38)*CUSTOS!$M$38</f>
        <v>4.1036604255319151</v>
      </c>
      <c r="AD711" s="4">
        <f t="shared" si="35"/>
        <v>0</v>
      </c>
      <c r="AE711" s="4">
        <f ca="1">(L711*Z711+N711*AA711)/(1-CUSTOS!$M$38)*CUSTOS!$M$38</f>
        <v>4.9279625306488644</v>
      </c>
      <c r="AF711" s="3" t="s">
        <v>1023</v>
      </c>
    </row>
    <row r="712" spans="1:32" ht="11.25" customHeight="1" x14ac:dyDescent="0.25">
      <c r="A712" s="3" t="s">
        <v>21</v>
      </c>
      <c r="B712" s="3" t="s">
        <v>44</v>
      </c>
      <c r="C712" s="3" t="s">
        <v>33</v>
      </c>
      <c r="D712" s="3" t="s">
        <v>45</v>
      </c>
      <c r="E712" s="3" t="s">
        <v>25</v>
      </c>
      <c r="F712" s="3" t="s">
        <v>25</v>
      </c>
      <c r="G712" s="3" t="s">
        <v>25</v>
      </c>
      <c r="H712" s="3" t="s">
        <v>34</v>
      </c>
      <c r="I712" s="6">
        <v>44470</v>
      </c>
      <c r="J712" s="4">
        <v>0</v>
      </c>
      <c r="K712" s="4">
        <v>0</v>
      </c>
      <c r="L712" s="4">
        <v>5.1999999999999998E-2</v>
      </c>
      <c r="M712" s="4">
        <v>5.1999999999999998E-2</v>
      </c>
      <c r="N712" s="4">
        <v>5.1999999999999998E-2</v>
      </c>
      <c r="O712" s="4">
        <v>5.1999999999999998E-2</v>
      </c>
      <c r="P712" s="4">
        <v>0</v>
      </c>
      <c r="Q712" s="3" t="s">
        <v>26</v>
      </c>
      <c r="R712" s="3">
        <v>0</v>
      </c>
      <c r="S712" s="3">
        <v>0</v>
      </c>
      <c r="T712" s="3">
        <v>51</v>
      </c>
      <c r="U712" s="3">
        <v>69</v>
      </c>
      <c r="V712" s="4">
        <f>IF(ISERROR(VLOOKUP($S$712,'TAR FIN'!$A$1:$O$113,15,0)),0,VLOOKUP($S$712,'TAR FIN'!$A$1:$O$113,15,0))</f>
        <v>0</v>
      </c>
      <c r="W712" s="4">
        <f>IF(ISERROR(VLOOKUP($T$712,'TAR FIN'!$A$1:$O$113,15,0)),0,VLOOKUP($T$712,'TAR FIN'!$A$1:$O$113,15,0))</f>
        <v>786.82</v>
      </c>
      <c r="X712" s="4">
        <f>IF(ISERROR(VLOOKUP($U$712,'TAR FIN'!$A$1:$O$113,15,0)),0,VLOOKUP($U$712,'TAR FIN'!$A$1:$O$113,15,0))</f>
        <v>321.64</v>
      </c>
      <c r="Y712" s="4"/>
      <c r="Z712" s="4">
        <f ca="1">('TUSD BE'!$AM$50+'TUSD BF'!$AM$50+'TUSD CVA'!$AM$50)*(1-CUSTOS!$M$38)</f>
        <v>991.25918961691207</v>
      </c>
      <c r="AA712" s="4">
        <f>('TE BE'!$AA$29+'TE BF'!$AA$29+'TE CVA'!$AA$29)*(1-CUSTOS!$M$38)</f>
        <v>339.85712613306845</v>
      </c>
      <c r="AB712" s="4">
        <f t="shared" si="34"/>
        <v>0</v>
      </c>
      <c r="AC712" s="4">
        <f>(L712*W712+M712*X712)/(1-CUSTOS!$M$38)*CUSTOS!$M$38</f>
        <v>3.6791438297872339</v>
      </c>
      <c r="AD712" s="4">
        <f t="shared" si="35"/>
        <v>0</v>
      </c>
      <c r="AE712" s="4">
        <f ca="1">(L712*Z712+N712*AA712)/(1-CUSTOS!$M$38)*CUSTOS!$M$38</f>
        <v>4.4181733033403612</v>
      </c>
      <c r="AF712" s="3" t="s">
        <v>1023</v>
      </c>
    </row>
    <row r="713" spans="1:32" ht="11.25" customHeight="1" x14ac:dyDescent="0.25">
      <c r="A713" s="3" t="s">
        <v>21</v>
      </c>
      <c r="B713" s="3" t="s">
        <v>44</v>
      </c>
      <c r="C713" s="3" t="s">
        <v>33</v>
      </c>
      <c r="D713" s="3" t="s">
        <v>45</v>
      </c>
      <c r="E713" s="3" t="s">
        <v>25</v>
      </c>
      <c r="F713" s="3" t="s">
        <v>25</v>
      </c>
      <c r="G713" s="3" t="s">
        <v>25</v>
      </c>
      <c r="H713" s="3" t="s">
        <v>34</v>
      </c>
      <c r="I713" s="6">
        <v>44501</v>
      </c>
      <c r="J713" s="4">
        <v>0</v>
      </c>
      <c r="K713" s="4">
        <v>0</v>
      </c>
      <c r="L713" s="4">
        <v>4.7E-2</v>
      </c>
      <c r="M713" s="4">
        <v>4.7E-2</v>
      </c>
      <c r="N713" s="4">
        <v>4.7E-2</v>
      </c>
      <c r="O713" s="4">
        <v>4.7E-2</v>
      </c>
      <c r="P713" s="4">
        <v>0</v>
      </c>
      <c r="Q713" s="3" t="s">
        <v>26</v>
      </c>
      <c r="R713" s="3">
        <v>0</v>
      </c>
      <c r="S713" s="3">
        <v>0</v>
      </c>
      <c r="T713" s="3">
        <v>51</v>
      </c>
      <c r="U713" s="3">
        <v>69</v>
      </c>
      <c r="V713" s="4">
        <f>IF(ISERROR(VLOOKUP($S$713,'TAR FIN'!$A$1:$O$113,15,0)),0,VLOOKUP($S$713,'TAR FIN'!$A$1:$O$113,15,0))</f>
        <v>0</v>
      </c>
      <c r="W713" s="4">
        <f>IF(ISERROR(VLOOKUP($T$713,'TAR FIN'!$A$1:$O$113,15,0)),0,VLOOKUP($T$713,'TAR FIN'!$A$1:$O$113,15,0))</f>
        <v>786.82</v>
      </c>
      <c r="X713" s="4">
        <f>IF(ISERROR(VLOOKUP($U$713,'TAR FIN'!$A$1:$O$113,15,0)),0,VLOOKUP($U$713,'TAR FIN'!$A$1:$O$113,15,0))</f>
        <v>321.64</v>
      </c>
      <c r="Y713" s="4"/>
      <c r="Z713" s="4">
        <f ca="1">('TUSD BE'!$AM$50+'TUSD BF'!$AM$50+'TUSD CVA'!$AM$50)*(1-CUSTOS!$M$38)</f>
        <v>991.25918961691207</v>
      </c>
      <c r="AA713" s="4">
        <f>('TE BE'!$AA$29+'TE BF'!$AA$29+'TE CVA'!$AA$29)*(1-CUSTOS!$M$38)</f>
        <v>339.85712613306845</v>
      </c>
      <c r="AB713" s="4">
        <f t="shared" si="34"/>
        <v>0</v>
      </c>
      <c r="AC713" s="4">
        <f>(L713*W713+M713*X713)/(1-CUSTOS!$M$38)*CUSTOS!$M$38</f>
        <v>3.3253800000000004</v>
      </c>
      <c r="AD713" s="4">
        <f t="shared" si="35"/>
        <v>0</v>
      </c>
      <c r="AE713" s="4">
        <f ca="1">(L713*Z713+N713*AA713)/(1-CUSTOS!$M$38)*CUSTOS!$M$38</f>
        <v>3.9933489472499417</v>
      </c>
      <c r="AF713" s="3" t="s">
        <v>1023</v>
      </c>
    </row>
    <row r="714" spans="1:32" ht="11.25" customHeight="1" x14ac:dyDescent="0.25">
      <c r="A714" s="3" t="s">
        <v>21</v>
      </c>
      <c r="B714" s="3" t="s">
        <v>44</v>
      </c>
      <c r="C714" s="3" t="s">
        <v>33</v>
      </c>
      <c r="D714" s="3" t="s">
        <v>45</v>
      </c>
      <c r="E714" s="3" t="s">
        <v>25</v>
      </c>
      <c r="F714" s="3" t="s">
        <v>25</v>
      </c>
      <c r="G714" s="3" t="s">
        <v>25</v>
      </c>
      <c r="H714" s="3" t="s">
        <v>34</v>
      </c>
      <c r="I714" s="6">
        <v>44531</v>
      </c>
      <c r="J714" s="4">
        <v>0</v>
      </c>
      <c r="K714" s="4">
        <v>0</v>
      </c>
      <c r="L714" s="4">
        <v>2.1999999999999999E-2</v>
      </c>
      <c r="M714" s="4">
        <v>2.1999999999999999E-2</v>
      </c>
      <c r="N714" s="4">
        <v>2.1999999999999999E-2</v>
      </c>
      <c r="O714" s="4">
        <v>2.1999999999999999E-2</v>
      </c>
      <c r="P714" s="4">
        <v>0</v>
      </c>
      <c r="Q714" s="3" t="s">
        <v>26</v>
      </c>
      <c r="R714" s="3">
        <v>0</v>
      </c>
      <c r="S714" s="3">
        <v>0</v>
      </c>
      <c r="T714" s="3">
        <v>51</v>
      </c>
      <c r="U714" s="3">
        <v>69</v>
      </c>
      <c r="V714" s="4">
        <f>IF(ISERROR(VLOOKUP($S$714,'TAR FIN'!$A$1:$O$113,15,0)),0,VLOOKUP($S$714,'TAR FIN'!$A$1:$O$113,15,0))</f>
        <v>0</v>
      </c>
      <c r="W714" s="4">
        <f>IF(ISERROR(VLOOKUP($T$714,'TAR FIN'!$A$1:$O$113,15,0)),0,VLOOKUP($T$714,'TAR FIN'!$A$1:$O$113,15,0))</f>
        <v>786.82</v>
      </c>
      <c r="X714" s="4">
        <f>IF(ISERROR(VLOOKUP($U$714,'TAR FIN'!$A$1:$O$113,15,0)),0,VLOOKUP($U$714,'TAR FIN'!$A$1:$O$113,15,0))</f>
        <v>321.64</v>
      </c>
      <c r="Y714" s="4"/>
      <c r="Z714" s="4">
        <f ca="1">('TUSD BE'!$AM$50+'TUSD BF'!$AM$50+'TUSD CVA'!$AM$50)*(1-CUSTOS!$M$38)</f>
        <v>991.25918961691207</v>
      </c>
      <c r="AA714" s="4">
        <f>('TE BE'!$AA$29+'TE BF'!$AA$29+'TE CVA'!$AA$29)*(1-CUSTOS!$M$38)</f>
        <v>339.85712613306845</v>
      </c>
      <c r="AB714" s="4">
        <f t="shared" si="34"/>
        <v>0</v>
      </c>
      <c r="AC714" s="4">
        <f>(L714*W714+M714*X714)/(1-CUSTOS!$M$38)*CUSTOS!$M$38</f>
        <v>1.5565608510638298</v>
      </c>
      <c r="AD714" s="4">
        <f t="shared" si="35"/>
        <v>0</v>
      </c>
      <c r="AE714" s="4">
        <f ca="1">(L714*Z714+N714*AA714)/(1-CUSTOS!$M$38)*CUSTOS!$M$38</f>
        <v>1.8692271667978448</v>
      </c>
      <c r="AF714" s="3" t="s">
        <v>1023</v>
      </c>
    </row>
    <row r="715" spans="1:32" ht="11.25" customHeight="1" x14ac:dyDescent="0.25">
      <c r="A715" s="3" t="s">
        <v>21</v>
      </c>
      <c r="B715" s="3" t="s">
        <v>44</v>
      </c>
      <c r="C715" s="3" t="s">
        <v>33</v>
      </c>
      <c r="D715" s="3" t="s">
        <v>45</v>
      </c>
      <c r="E715" s="3" t="s">
        <v>25</v>
      </c>
      <c r="F715" s="3" t="s">
        <v>25</v>
      </c>
      <c r="G715" s="3" t="s">
        <v>25</v>
      </c>
      <c r="H715" s="3" t="s">
        <v>34</v>
      </c>
      <c r="I715" s="6">
        <v>44562</v>
      </c>
      <c r="J715" s="4">
        <v>0</v>
      </c>
      <c r="K715" s="4">
        <v>0</v>
      </c>
      <c r="L715" s="4">
        <v>2.1999999999999999E-2</v>
      </c>
      <c r="M715" s="4">
        <v>2.1999999999999999E-2</v>
      </c>
      <c r="N715" s="4">
        <v>2.1999999999999999E-2</v>
      </c>
      <c r="O715" s="4">
        <v>2.1999999999999999E-2</v>
      </c>
      <c r="P715" s="4">
        <v>0</v>
      </c>
      <c r="Q715" s="3" t="s">
        <v>26</v>
      </c>
      <c r="R715" s="3">
        <v>0</v>
      </c>
      <c r="S715" s="3">
        <v>0</v>
      </c>
      <c r="T715" s="3">
        <v>51</v>
      </c>
      <c r="U715" s="3">
        <v>69</v>
      </c>
      <c r="V715" s="4">
        <f>IF(ISERROR(VLOOKUP($S$715,'TAR FIN'!$A$1:$O$113,15,0)),0,VLOOKUP($S$715,'TAR FIN'!$A$1:$O$113,15,0))</f>
        <v>0</v>
      </c>
      <c r="W715" s="4">
        <f>IF(ISERROR(VLOOKUP($T$715,'TAR FIN'!$A$1:$O$113,15,0)),0,VLOOKUP($T$715,'TAR FIN'!$A$1:$O$113,15,0))</f>
        <v>786.82</v>
      </c>
      <c r="X715" s="4">
        <f>IF(ISERROR(VLOOKUP($U$715,'TAR FIN'!$A$1:$O$113,15,0)),0,VLOOKUP($U$715,'TAR FIN'!$A$1:$O$113,15,0))</f>
        <v>321.64</v>
      </c>
      <c r="Y715" s="4"/>
      <c r="Z715" s="4">
        <f ca="1">('TUSD BE'!$AM$50+'TUSD BF'!$AM$50+'TUSD CVA'!$AM$50)*(1-CUSTOS!$M$38)</f>
        <v>991.25918961691207</v>
      </c>
      <c r="AA715" s="4">
        <f>('TE BE'!$AA$29+'TE BF'!$AA$29+'TE CVA'!$AA$29)*(1-CUSTOS!$M$38)</f>
        <v>339.85712613306845</v>
      </c>
      <c r="AB715" s="4">
        <f t="shared" si="34"/>
        <v>0</v>
      </c>
      <c r="AC715" s="4">
        <f>(L715*W715+M715*X715)/(1-CUSTOS!$M$38)*CUSTOS!$M$38</f>
        <v>1.5565608510638298</v>
      </c>
      <c r="AD715" s="4">
        <f t="shared" si="35"/>
        <v>0</v>
      </c>
      <c r="AE715" s="4">
        <f ca="1">(L715*Z715+N715*AA715)/(1-CUSTOS!$M$38)*CUSTOS!$M$38</f>
        <v>1.8692271667978448</v>
      </c>
      <c r="AF715" s="3" t="s">
        <v>1023</v>
      </c>
    </row>
    <row r="716" spans="1:32" ht="11.25" customHeight="1" x14ac:dyDescent="0.25">
      <c r="A716" s="3" t="s">
        <v>21</v>
      </c>
      <c r="B716" s="3" t="s">
        <v>44</v>
      </c>
      <c r="C716" s="3" t="s">
        <v>33</v>
      </c>
      <c r="D716" s="3" t="s">
        <v>45</v>
      </c>
      <c r="E716" s="3" t="s">
        <v>25</v>
      </c>
      <c r="F716" s="3" t="s">
        <v>25</v>
      </c>
      <c r="G716" s="3" t="s">
        <v>25</v>
      </c>
      <c r="H716" s="3" t="s">
        <v>34</v>
      </c>
      <c r="I716" s="6">
        <v>44593</v>
      </c>
      <c r="J716" s="4">
        <v>0</v>
      </c>
      <c r="K716" s="4">
        <v>0</v>
      </c>
      <c r="L716" s="4">
        <v>1.7999999999999999E-2</v>
      </c>
      <c r="M716" s="4">
        <v>1.7999999999999999E-2</v>
      </c>
      <c r="N716" s="4">
        <v>1.7999999999999999E-2</v>
      </c>
      <c r="O716" s="4">
        <v>1.7999999999999999E-2</v>
      </c>
      <c r="P716" s="4">
        <v>0</v>
      </c>
      <c r="Q716" s="3" t="s">
        <v>26</v>
      </c>
      <c r="R716" s="3">
        <v>0</v>
      </c>
      <c r="S716" s="3">
        <v>0</v>
      </c>
      <c r="T716" s="3">
        <v>51</v>
      </c>
      <c r="U716" s="3">
        <v>69</v>
      </c>
      <c r="V716" s="4">
        <f>IF(ISERROR(VLOOKUP($S$716,'TAR FIN'!$A$1:$O$113,15,0)),0,VLOOKUP($S$716,'TAR FIN'!$A$1:$O$113,15,0))</f>
        <v>0</v>
      </c>
      <c r="W716" s="4">
        <f>IF(ISERROR(VLOOKUP($T$716,'TAR FIN'!$A$1:$O$113,15,0)),0,VLOOKUP($T$716,'TAR FIN'!$A$1:$O$113,15,0))</f>
        <v>786.82</v>
      </c>
      <c r="X716" s="4">
        <f>IF(ISERROR(VLOOKUP($U$716,'TAR FIN'!$A$1:$O$113,15,0)),0,VLOOKUP($U$716,'TAR FIN'!$A$1:$O$113,15,0))</f>
        <v>321.64</v>
      </c>
      <c r="Y716" s="4"/>
      <c r="Z716" s="4">
        <f ca="1">('TUSD BE'!$AM$50+'TUSD BF'!$AM$50+'TUSD CVA'!$AM$50)*(1-CUSTOS!$M$38)</f>
        <v>991.25918961691207</v>
      </c>
      <c r="AA716" s="4">
        <f>('TE BE'!$AA$29+'TE BF'!$AA$29+'TE CVA'!$AA$29)*(1-CUSTOS!$M$38)</f>
        <v>339.85712613306845</v>
      </c>
      <c r="AB716" s="4">
        <f t="shared" si="34"/>
        <v>0</v>
      </c>
      <c r="AC716" s="4">
        <f>(L716*W716+M716*X716)/(1-CUSTOS!$M$38)*CUSTOS!$M$38</f>
        <v>1.2735497872340427</v>
      </c>
      <c r="AD716" s="4">
        <f t="shared" si="35"/>
        <v>0</v>
      </c>
      <c r="AE716" s="4">
        <f ca="1">(L716*Z716+N716*AA716)/(1-CUSTOS!$M$38)*CUSTOS!$M$38</f>
        <v>1.5293676819255095</v>
      </c>
      <c r="AF716" s="3" t="s">
        <v>1023</v>
      </c>
    </row>
    <row r="717" spans="1:32" ht="11.25" customHeight="1" x14ac:dyDescent="0.25">
      <c r="A717" s="3" t="s">
        <v>56</v>
      </c>
      <c r="B717" s="3" t="s">
        <v>44</v>
      </c>
      <c r="C717" s="3" t="s">
        <v>33</v>
      </c>
      <c r="D717" s="3" t="s">
        <v>45</v>
      </c>
      <c r="E717" s="3" t="s">
        <v>25</v>
      </c>
      <c r="F717" s="3" t="s">
        <v>25</v>
      </c>
      <c r="G717" s="3" t="s">
        <v>25</v>
      </c>
      <c r="H717" s="3" t="s">
        <v>34</v>
      </c>
      <c r="I717" s="6">
        <v>44621</v>
      </c>
      <c r="J717" s="4">
        <v>0</v>
      </c>
      <c r="K717" s="4">
        <v>0</v>
      </c>
      <c r="L717" s="4">
        <v>1.7999999999999999E-2</v>
      </c>
      <c r="M717" s="4">
        <v>1.7999999999999999E-2</v>
      </c>
      <c r="N717" s="4">
        <v>1.7999999999999999E-2</v>
      </c>
      <c r="O717" s="4">
        <v>1.7999999999999999E-2</v>
      </c>
      <c r="P717" s="4">
        <v>0</v>
      </c>
      <c r="Q717" s="3" t="s">
        <v>26</v>
      </c>
      <c r="R717" s="3">
        <v>0</v>
      </c>
      <c r="S717" s="3">
        <v>0</v>
      </c>
      <c r="T717" s="3">
        <v>51</v>
      </c>
      <c r="U717" s="3">
        <v>69</v>
      </c>
      <c r="V717" s="4">
        <f>IF(ISERROR(VLOOKUP($S$717,'TAR FIN'!$A$1:$O$113,15,0)),0,VLOOKUP($S$717,'TAR FIN'!$A$1:$O$113,15,0))</f>
        <v>0</v>
      </c>
      <c r="W717" s="4">
        <f>IF(ISERROR(VLOOKUP($T$717,'TAR FIN'!$A$1:$O$113,15,0)),0,VLOOKUP($T$717,'TAR FIN'!$A$1:$O$113,15,0))</f>
        <v>786.82</v>
      </c>
      <c r="X717" s="4">
        <f>IF(ISERROR(VLOOKUP($U$717,'TAR FIN'!$A$1:$O$113,15,0)),0,VLOOKUP($U$717,'TAR FIN'!$A$1:$O$113,15,0))</f>
        <v>321.64</v>
      </c>
      <c r="Y717" s="4"/>
      <c r="Z717" s="4">
        <f ca="1">('TUSD BE'!$AM$50+'TUSD BF'!$AM$50+'TUSD CVA'!$AM$50)*(1-CUSTOS!$M$38)</f>
        <v>991.25918961691207</v>
      </c>
      <c r="AA717" s="4">
        <f>('TE BE'!$AA$29+'TE BF'!$AA$29+'TE CVA'!$AA$29)*(1-CUSTOS!$M$38)</f>
        <v>339.85712613306845</v>
      </c>
      <c r="AB717" s="4">
        <f t="shared" si="34"/>
        <v>0</v>
      </c>
      <c r="AC717" s="4">
        <f>(L717*W717+M717*X717)/(1-CUSTOS!$M$38)*CUSTOS!$M$38</f>
        <v>1.2735497872340427</v>
      </c>
      <c r="AD717" s="4">
        <f t="shared" si="35"/>
        <v>0</v>
      </c>
      <c r="AE717" s="4">
        <f ca="1">(L717*Z717+N717*AA717)/(1-CUSTOS!$M$38)*CUSTOS!$M$38</f>
        <v>1.5293676819255095</v>
      </c>
      <c r="AF717" s="3" t="s">
        <v>1023</v>
      </c>
    </row>
    <row r="718" spans="1:32" ht="11.25" customHeight="1" x14ac:dyDescent="0.25">
      <c r="A718" s="3" t="s">
        <v>21</v>
      </c>
      <c r="B718" s="3" t="s">
        <v>44</v>
      </c>
      <c r="C718" s="3" t="s">
        <v>23</v>
      </c>
      <c r="D718" s="3" t="s">
        <v>45</v>
      </c>
      <c r="E718" s="3" t="s">
        <v>53</v>
      </c>
      <c r="F718" s="3" t="s">
        <v>54</v>
      </c>
      <c r="G718" s="3" t="s">
        <v>25</v>
      </c>
      <c r="H718" s="3" t="s">
        <v>25</v>
      </c>
      <c r="I718" s="6">
        <v>44287</v>
      </c>
      <c r="J718" s="4">
        <v>0</v>
      </c>
      <c r="K718" s="4">
        <v>0</v>
      </c>
      <c r="L718" s="4">
        <v>345.04199999999997</v>
      </c>
      <c r="M718" s="4">
        <v>345.04199999999997</v>
      </c>
      <c r="N718" s="4">
        <v>345.04199999999997</v>
      </c>
      <c r="O718" s="4">
        <v>345.04199999999997</v>
      </c>
      <c r="P718" s="4">
        <v>0</v>
      </c>
      <c r="Q718" s="3" t="s">
        <v>26</v>
      </c>
      <c r="R718" s="3">
        <v>0</v>
      </c>
      <c r="S718" s="3">
        <v>0</v>
      </c>
      <c r="T718" s="3">
        <v>34</v>
      </c>
      <c r="U718" s="3">
        <v>53</v>
      </c>
      <c r="V718" s="4">
        <f>IF(ISERROR(VLOOKUP($S$718,'TAR FIN'!$A$1:$O$113,15,0)),0,VLOOKUP($S$718,'TAR FIN'!$A$1:$O$113,15,0))</f>
        <v>0</v>
      </c>
      <c r="W718" s="4">
        <f>IF(ISERROR(VLOOKUP($T$718,'TAR FIN'!$A$1:$O$113,15,0)),0,VLOOKUP($T$718,'TAR FIN'!$A$1:$O$113,15,0))</f>
        <v>304.64999999999998</v>
      </c>
      <c r="X718" s="4">
        <f>IF(ISERROR(VLOOKUP($U$718,'TAR FIN'!$A$1:$O$113,15,0)),0,VLOOKUP($U$718,'TAR FIN'!$A$1:$O$113,15,0))</f>
        <v>206.13</v>
      </c>
      <c r="Y718" s="4"/>
      <c r="Z718" s="4">
        <f ca="1">('TUSD BE'!$AM$53+'TUSD BF'!$AM$53+'TUSD CVA'!$AM$53)*(1-CUSTOS!$M$38)</f>
        <v>386.47391324808456</v>
      </c>
      <c r="AA718" s="4">
        <f>('TE BE'!$AA$32+'TE BF'!$AA$32+'TE CVA'!$AA$32)*(1-CUSTOS!$M$38)</f>
        <v>220.59856812487419</v>
      </c>
      <c r="AB718" s="4">
        <f t="shared" si="34"/>
        <v>0</v>
      </c>
      <c r="AC718" s="4">
        <f>(L718-M718)*(W718+X718)+($W$521+$X$521-$W$718-$X$718)*(L718)</f>
        <v>24035.625720000025</v>
      </c>
      <c r="AD718" s="4">
        <f t="shared" si="35"/>
        <v>0</v>
      </c>
      <c r="AE718" s="4">
        <f ca="1">(L718-M718)*(Z718+AA718)+($Z$521+$AA$521-$Z$718-$AA$718)*(L718)</f>
        <v>13370.13849688651</v>
      </c>
      <c r="AF718" s="3" t="s">
        <v>1023</v>
      </c>
    </row>
    <row r="719" spans="1:32" ht="11.25" customHeight="1" x14ac:dyDescent="0.25">
      <c r="A719" s="3" t="s">
        <v>27</v>
      </c>
      <c r="B719" s="3" t="s">
        <v>44</v>
      </c>
      <c r="C719" s="3" t="s">
        <v>23</v>
      </c>
      <c r="D719" s="3" t="s">
        <v>45</v>
      </c>
      <c r="E719" s="3" t="s">
        <v>53</v>
      </c>
      <c r="F719" s="3" t="s">
        <v>54</v>
      </c>
      <c r="G719" s="3" t="s">
        <v>25</v>
      </c>
      <c r="H719" s="3" t="s">
        <v>25</v>
      </c>
      <c r="I719" s="6">
        <v>44287</v>
      </c>
      <c r="J719" s="4">
        <v>0</v>
      </c>
      <c r="K719" s="4">
        <v>0</v>
      </c>
      <c r="L719" s="4">
        <v>-6.665</v>
      </c>
      <c r="M719" s="4">
        <v>-6.665</v>
      </c>
      <c r="N719" s="4">
        <v>-6.665</v>
      </c>
      <c r="O719" s="4">
        <v>-6.665</v>
      </c>
      <c r="P719" s="4">
        <v>0</v>
      </c>
      <c r="Q719" s="3" t="s">
        <v>26</v>
      </c>
      <c r="R719" s="3">
        <v>0</v>
      </c>
      <c r="S719" s="3">
        <v>0</v>
      </c>
      <c r="T719" s="3">
        <v>34</v>
      </c>
      <c r="U719" s="3">
        <v>53</v>
      </c>
      <c r="V719" s="4">
        <f>IF(ISERROR(VLOOKUP($S$719,'TAR FIN'!$A$1:$O$113,15,0)),0,VLOOKUP($S$719,'TAR FIN'!$A$1:$O$113,15,0))</f>
        <v>0</v>
      </c>
      <c r="W719" s="4">
        <f>IF(ISERROR(VLOOKUP($T$719,'TAR FIN'!$A$1:$O$113,15,0)),0,VLOOKUP($T$719,'TAR FIN'!$A$1:$O$113,15,0))</f>
        <v>304.64999999999998</v>
      </c>
      <c r="X719" s="4">
        <f>IF(ISERROR(VLOOKUP($U$719,'TAR FIN'!$A$1:$O$113,15,0)),0,VLOOKUP($U$719,'TAR FIN'!$A$1:$O$113,15,0))</f>
        <v>206.13</v>
      </c>
      <c r="Y719" s="4"/>
      <c r="Z719" s="4">
        <f ca="1">('TUSD BE'!$AM$53+'TUSD BF'!$AM$53+'TUSD CVA'!$AM$53)*(1-CUSTOS!$M$38)</f>
        <v>386.47391324808456</v>
      </c>
      <c r="AA719" s="4">
        <f>('TE BE'!$AA$32+'TE BF'!$AA$32+'TE CVA'!$AA$32)*(1-CUSTOS!$M$38)</f>
        <v>220.59856812487419</v>
      </c>
      <c r="AB719" s="4">
        <f t="shared" si="34"/>
        <v>0</v>
      </c>
      <c r="AC719" s="4">
        <f>(L719-M719)*(W719+X719)+($W$521+$X$521-$W$719-$X$719)*(L719)</f>
        <v>-464.28390000000053</v>
      </c>
      <c r="AD719" s="4">
        <f t="shared" si="35"/>
        <v>0</v>
      </c>
      <c r="AE719" s="4">
        <f ca="1">(L719-M719)*(Z719+AA719)+($Z$521+$AA$521-$Z$719-$AA$719)*(L719)</f>
        <v>-258.2641332989856</v>
      </c>
      <c r="AF719" s="3" t="s">
        <v>1023</v>
      </c>
    </row>
    <row r="720" spans="1:32" ht="11.25" customHeight="1" x14ac:dyDescent="0.25">
      <c r="A720" s="3" t="s">
        <v>28</v>
      </c>
      <c r="B720" s="3" t="s">
        <v>44</v>
      </c>
      <c r="C720" s="3" t="s">
        <v>23</v>
      </c>
      <c r="D720" s="3" t="s">
        <v>45</v>
      </c>
      <c r="E720" s="3" t="s">
        <v>53</v>
      </c>
      <c r="F720" s="3" t="s">
        <v>54</v>
      </c>
      <c r="G720" s="3" t="s">
        <v>25</v>
      </c>
      <c r="H720" s="3" t="s">
        <v>25</v>
      </c>
      <c r="I720" s="6">
        <v>44287</v>
      </c>
      <c r="J720" s="4">
        <v>0</v>
      </c>
      <c r="K720" s="4">
        <v>0</v>
      </c>
      <c r="L720" s="4">
        <v>1.4039999999999999</v>
      </c>
      <c r="M720" s="4">
        <v>1.4039999999999999</v>
      </c>
      <c r="N720" s="4">
        <v>1.4039999999999999</v>
      </c>
      <c r="O720" s="4">
        <v>1.4039999999999999</v>
      </c>
      <c r="P720" s="4">
        <v>0</v>
      </c>
      <c r="Q720" s="3" t="s">
        <v>26</v>
      </c>
      <c r="R720" s="3">
        <v>0</v>
      </c>
      <c r="S720" s="3">
        <v>0</v>
      </c>
      <c r="T720" s="3">
        <v>34</v>
      </c>
      <c r="U720" s="3">
        <v>53</v>
      </c>
      <c r="V720" s="4">
        <f>IF(ISERROR(VLOOKUP($S$720,'TAR FIN'!$A$1:$O$113,15,0)),0,VLOOKUP($S$720,'TAR FIN'!$A$1:$O$113,15,0))</f>
        <v>0</v>
      </c>
      <c r="W720" s="4">
        <f>IF(ISERROR(VLOOKUP($T$720,'TAR FIN'!$A$1:$O$113,15,0)),0,VLOOKUP($T$720,'TAR FIN'!$A$1:$O$113,15,0))</f>
        <v>304.64999999999998</v>
      </c>
      <c r="X720" s="4">
        <f>IF(ISERROR(VLOOKUP($U$720,'TAR FIN'!$A$1:$O$113,15,0)),0,VLOOKUP($U$720,'TAR FIN'!$A$1:$O$113,15,0))</f>
        <v>206.13</v>
      </c>
      <c r="Y720" s="4"/>
      <c r="Z720" s="4">
        <f ca="1">('TUSD BE'!$AM$53+'TUSD BF'!$AM$53+'TUSD CVA'!$AM$53)*(1-CUSTOS!$M$38)</f>
        <v>386.47391324808456</v>
      </c>
      <c r="AA720" s="4">
        <f>('TE BE'!$AA$32+'TE BF'!$AA$32+'TE CVA'!$AA$32)*(1-CUSTOS!$M$38)</f>
        <v>220.59856812487419</v>
      </c>
      <c r="AB720" s="4">
        <f t="shared" si="34"/>
        <v>0</v>
      </c>
      <c r="AC720" s="4">
        <f>(L720-M720)*(W720+X720)+($W$521+$X$521-$W$720-$X$720)*(L720)</f>
        <v>97.80264000000011</v>
      </c>
      <c r="AD720" s="4">
        <f t="shared" si="35"/>
        <v>0</v>
      </c>
      <c r="AE720" s="4">
        <f ca="1">(L720-M720)*(Z720+AA720)+($Z$521+$AA$521-$Z$720-$AA$720)*(L720)</f>
        <v>54.40402747963627</v>
      </c>
      <c r="AF720" s="3" t="s">
        <v>1023</v>
      </c>
    </row>
    <row r="721" spans="1:32" ht="11.25" customHeight="1" x14ac:dyDescent="0.25">
      <c r="A721" s="3" t="s">
        <v>21</v>
      </c>
      <c r="B721" s="3" t="s">
        <v>44</v>
      </c>
      <c r="C721" s="3" t="s">
        <v>23</v>
      </c>
      <c r="D721" s="3" t="s">
        <v>45</v>
      </c>
      <c r="E721" s="3" t="s">
        <v>53</v>
      </c>
      <c r="F721" s="3" t="s">
        <v>54</v>
      </c>
      <c r="G721" s="3" t="s">
        <v>25</v>
      </c>
      <c r="H721" s="3" t="s">
        <v>25</v>
      </c>
      <c r="I721" s="6">
        <v>44317</v>
      </c>
      <c r="J721" s="4">
        <v>0</v>
      </c>
      <c r="K721" s="4">
        <v>0</v>
      </c>
      <c r="L721" s="4">
        <v>128.46299999999999</v>
      </c>
      <c r="M721" s="4">
        <v>128.46299999999999</v>
      </c>
      <c r="N721" s="4">
        <v>128.46299999999999</v>
      </c>
      <c r="O721" s="4">
        <v>128.46299999999999</v>
      </c>
      <c r="P721" s="4">
        <v>0</v>
      </c>
      <c r="Q721" s="3" t="s">
        <v>26</v>
      </c>
      <c r="R721" s="3">
        <v>0</v>
      </c>
      <c r="S721" s="3">
        <v>0</v>
      </c>
      <c r="T721" s="3">
        <v>34</v>
      </c>
      <c r="U721" s="3">
        <v>53</v>
      </c>
      <c r="V721" s="4">
        <f>IF(ISERROR(VLOOKUP($S$721,'TAR FIN'!$A$1:$O$113,15,0)),0,VLOOKUP($S$721,'TAR FIN'!$A$1:$O$113,15,0))</f>
        <v>0</v>
      </c>
      <c r="W721" s="4">
        <f>IF(ISERROR(VLOOKUP($T$721,'TAR FIN'!$A$1:$O$113,15,0)),0,VLOOKUP($T$721,'TAR FIN'!$A$1:$O$113,15,0))</f>
        <v>304.64999999999998</v>
      </c>
      <c r="X721" s="4">
        <f>IF(ISERROR(VLOOKUP($U$721,'TAR FIN'!$A$1:$O$113,15,0)),0,VLOOKUP($U$721,'TAR FIN'!$A$1:$O$113,15,0))</f>
        <v>206.13</v>
      </c>
      <c r="Y721" s="4"/>
      <c r="Z721" s="4">
        <f ca="1">('TUSD BE'!$AM$53+'TUSD BF'!$AM$53+'TUSD CVA'!$AM$53)*(1-CUSTOS!$M$38)</f>
        <v>386.47391324808456</v>
      </c>
      <c r="AA721" s="4">
        <f>('TE BE'!$AA$32+'TE BF'!$AA$32+'TE CVA'!$AA$32)*(1-CUSTOS!$M$38)</f>
        <v>220.59856812487419</v>
      </c>
      <c r="AB721" s="4">
        <f t="shared" si="34"/>
        <v>0</v>
      </c>
      <c r="AC721" s="4">
        <f>(L721-M721)*(W721+X721)+($W$521+$X$521-$W$721-$X$721)*(L721)</f>
        <v>8948.7325800000108</v>
      </c>
      <c r="AD721" s="4">
        <f t="shared" si="35"/>
        <v>0</v>
      </c>
      <c r="AE721" s="4">
        <f ca="1">(L721-M721)*(Z721+AA721)+($Z$521+$AA$521-$Z$721-$AA$721)*(L721)</f>
        <v>4977.8522664647544</v>
      </c>
      <c r="AF721" s="3" t="s">
        <v>1023</v>
      </c>
    </row>
    <row r="722" spans="1:32" ht="11.25" customHeight="1" x14ac:dyDescent="0.25">
      <c r="A722" s="3" t="s">
        <v>27</v>
      </c>
      <c r="B722" s="3" t="s">
        <v>44</v>
      </c>
      <c r="C722" s="3" t="s">
        <v>23</v>
      </c>
      <c r="D722" s="3" t="s">
        <v>45</v>
      </c>
      <c r="E722" s="3" t="s">
        <v>53</v>
      </c>
      <c r="F722" s="3" t="s">
        <v>54</v>
      </c>
      <c r="G722" s="3" t="s">
        <v>25</v>
      </c>
      <c r="H722" s="3" t="s">
        <v>25</v>
      </c>
      <c r="I722" s="6">
        <v>44317</v>
      </c>
      <c r="J722" s="4">
        <v>0</v>
      </c>
      <c r="K722" s="4">
        <v>0</v>
      </c>
      <c r="L722" s="4">
        <v>-235.178</v>
      </c>
      <c r="M722" s="4">
        <v>-235.178</v>
      </c>
      <c r="N722" s="4">
        <v>-235.178</v>
      </c>
      <c r="O722" s="4">
        <v>-235.178</v>
      </c>
      <c r="P722" s="4">
        <v>0</v>
      </c>
      <c r="Q722" s="3" t="s">
        <v>26</v>
      </c>
      <c r="R722" s="3">
        <v>0</v>
      </c>
      <c r="S722" s="3">
        <v>0</v>
      </c>
      <c r="T722" s="3">
        <v>34</v>
      </c>
      <c r="U722" s="3">
        <v>53</v>
      </c>
      <c r="V722" s="4">
        <f>IF(ISERROR(VLOOKUP($S$722,'TAR FIN'!$A$1:$O$113,15,0)),0,VLOOKUP($S$722,'TAR FIN'!$A$1:$O$113,15,0))</f>
        <v>0</v>
      </c>
      <c r="W722" s="4">
        <f>IF(ISERROR(VLOOKUP($T$722,'TAR FIN'!$A$1:$O$113,15,0)),0,VLOOKUP($T$722,'TAR FIN'!$A$1:$O$113,15,0))</f>
        <v>304.64999999999998</v>
      </c>
      <c r="X722" s="4">
        <f>IF(ISERROR(VLOOKUP($U$722,'TAR FIN'!$A$1:$O$113,15,0)),0,VLOOKUP($U$722,'TAR FIN'!$A$1:$O$113,15,0))</f>
        <v>206.13</v>
      </c>
      <c r="Y722" s="4"/>
      <c r="Z722" s="4">
        <f ca="1">('TUSD BE'!$AM$53+'TUSD BF'!$AM$53+'TUSD CVA'!$AM$53)*(1-CUSTOS!$M$38)</f>
        <v>386.47391324808456</v>
      </c>
      <c r="AA722" s="4">
        <f>('TE BE'!$AA$32+'TE BF'!$AA$32+'TE CVA'!$AA$32)*(1-CUSTOS!$M$38)</f>
        <v>220.59856812487419</v>
      </c>
      <c r="AB722" s="4">
        <f t="shared" si="34"/>
        <v>0</v>
      </c>
      <c r="AC722" s="4">
        <f>(L722-M722)*(W722+X722)+($W$521+$X$521-$W$722-$X$722)*(L722)</f>
        <v>-16382.499480000019</v>
      </c>
      <c r="AD722" s="4">
        <f t="shared" si="35"/>
        <v>0</v>
      </c>
      <c r="AE722" s="4">
        <f ca="1">(L722-M722)*(Z722+AA722)+($Z$521+$AA$521-$Z$722-$AA$722)*(L722)</f>
        <v>-9112.9845972976491</v>
      </c>
      <c r="AF722" s="3" t="s">
        <v>1023</v>
      </c>
    </row>
    <row r="723" spans="1:32" ht="11.25" customHeight="1" x14ac:dyDescent="0.25">
      <c r="A723" s="3" t="s">
        <v>28</v>
      </c>
      <c r="B723" s="3" t="s">
        <v>44</v>
      </c>
      <c r="C723" s="3" t="s">
        <v>23</v>
      </c>
      <c r="D723" s="3" t="s">
        <v>45</v>
      </c>
      <c r="E723" s="3" t="s">
        <v>53</v>
      </c>
      <c r="F723" s="3" t="s">
        <v>54</v>
      </c>
      <c r="G723" s="3" t="s">
        <v>25</v>
      </c>
      <c r="H723" s="3" t="s">
        <v>25</v>
      </c>
      <c r="I723" s="6">
        <v>44317</v>
      </c>
      <c r="J723" s="4">
        <v>0</v>
      </c>
      <c r="K723" s="4">
        <v>0</v>
      </c>
      <c r="L723" s="4">
        <v>0.92800000000000005</v>
      </c>
      <c r="M723" s="4">
        <v>0.92800000000000005</v>
      </c>
      <c r="N723" s="4">
        <v>0.92800000000000005</v>
      </c>
      <c r="O723" s="4">
        <v>0.92800000000000005</v>
      </c>
      <c r="P723" s="4">
        <v>0</v>
      </c>
      <c r="Q723" s="3" t="s">
        <v>26</v>
      </c>
      <c r="R723" s="3">
        <v>0</v>
      </c>
      <c r="S723" s="3">
        <v>0</v>
      </c>
      <c r="T723" s="3">
        <v>34</v>
      </c>
      <c r="U723" s="3">
        <v>53</v>
      </c>
      <c r="V723" s="4">
        <f>IF(ISERROR(VLOOKUP($S$723,'TAR FIN'!$A$1:$O$113,15,0)),0,VLOOKUP($S$723,'TAR FIN'!$A$1:$O$113,15,0))</f>
        <v>0</v>
      </c>
      <c r="W723" s="4">
        <f>IF(ISERROR(VLOOKUP($T$723,'TAR FIN'!$A$1:$O$113,15,0)),0,VLOOKUP($T$723,'TAR FIN'!$A$1:$O$113,15,0))</f>
        <v>304.64999999999998</v>
      </c>
      <c r="X723" s="4">
        <f>IF(ISERROR(VLOOKUP($U$723,'TAR FIN'!$A$1:$O$113,15,0)),0,VLOOKUP($U$723,'TAR FIN'!$A$1:$O$113,15,0))</f>
        <v>206.13</v>
      </c>
      <c r="Y723" s="4"/>
      <c r="Z723" s="4">
        <f ca="1">('TUSD BE'!$AM$53+'TUSD BF'!$AM$53+'TUSD CVA'!$AM$53)*(1-CUSTOS!$M$38)</f>
        <v>386.47391324808456</v>
      </c>
      <c r="AA723" s="4">
        <f>('TE BE'!$AA$32+'TE BF'!$AA$32+'TE CVA'!$AA$32)*(1-CUSTOS!$M$38)</f>
        <v>220.59856812487419</v>
      </c>
      <c r="AB723" s="4">
        <f t="shared" si="34"/>
        <v>0</v>
      </c>
      <c r="AC723" s="4">
        <f>(L723-M723)*(W723+X723)+($W$521+$X$521-$W$723-$X$723)*(L723)</f>
        <v>64.644480000000073</v>
      </c>
      <c r="AD723" s="4">
        <f t="shared" si="35"/>
        <v>0</v>
      </c>
      <c r="AE723" s="4">
        <f ca="1">(L723-M723)*(Z723+AA723)+($Z$521+$AA$521-$Z$723-$AA$723)*(L723)</f>
        <v>35.959357194517423</v>
      </c>
      <c r="AF723" s="3" t="s">
        <v>1023</v>
      </c>
    </row>
    <row r="724" spans="1:32" ht="11.25" customHeight="1" x14ac:dyDescent="0.25">
      <c r="A724" s="3" t="s">
        <v>21</v>
      </c>
      <c r="B724" s="3" t="s">
        <v>44</v>
      </c>
      <c r="C724" s="3" t="s">
        <v>23</v>
      </c>
      <c r="D724" s="3" t="s">
        <v>45</v>
      </c>
      <c r="E724" s="3" t="s">
        <v>53</v>
      </c>
      <c r="F724" s="3" t="s">
        <v>54</v>
      </c>
      <c r="G724" s="3" t="s">
        <v>25</v>
      </c>
      <c r="H724" s="3" t="s">
        <v>25</v>
      </c>
      <c r="I724" s="6">
        <v>44348</v>
      </c>
      <c r="J724" s="4">
        <v>0</v>
      </c>
      <c r="K724" s="4">
        <v>0</v>
      </c>
      <c r="L724" s="4">
        <v>127.322</v>
      </c>
      <c r="M724" s="4">
        <v>127.322</v>
      </c>
      <c r="N724" s="4">
        <v>127.322</v>
      </c>
      <c r="O724" s="4">
        <v>127.322</v>
      </c>
      <c r="P724" s="4">
        <v>0</v>
      </c>
      <c r="Q724" s="3" t="s">
        <v>26</v>
      </c>
      <c r="R724" s="3">
        <v>0</v>
      </c>
      <c r="S724" s="3">
        <v>0</v>
      </c>
      <c r="T724" s="3">
        <v>34</v>
      </c>
      <c r="U724" s="3">
        <v>53</v>
      </c>
      <c r="V724" s="4">
        <f>IF(ISERROR(VLOOKUP($S$724,'TAR FIN'!$A$1:$O$113,15,0)),0,VLOOKUP($S$724,'TAR FIN'!$A$1:$O$113,15,0))</f>
        <v>0</v>
      </c>
      <c r="W724" s="4">
        <f>IF(ISERROR(VLOOKUP($T$724,'TAR FIN'!$A$1:$O$113,15,0)),0,VLOOKUP($T$724,'TAR FIN'!$A$1:$O$113,15,0))</f>
        <v>304.64999999999998</v>
      </c>
      <c r="X724" s="4">
        <f>IF(ISERROR(VLOOKUP($U$724,'TAR FIN'!$A$1:$O$113,15,0)),0,VLOOKUP($U$724,'TAR FIN'!$A$1:$O$113,15,0))</f>
        <v>206.13</v>
      </c>
      <c r="Y724" s="4"/>
      <c r="Z724" s="4">
        <f ca="1">('TUSD BE'!$AM$53+'TUSD BF'!$AM$53+'TUSD CVA'!$AM$53)*(1-CUSTOS!$M$38)</f>
        <v>386.47391324808456</v>
      </c>
      <c r="AA724" s="4">
        <f>('TE BE'!$AA$32+'TE BF'!$AA$32+'TE CVA'!$AA$32)*(1-CUSTOS!$M$38)</f>
        <v>220.59856812487419</v>
      </c>
      <c r="AB724" s="4">
        <f t="shared" si="34"/>
        <v>0</v>
      </c>
      <c r="AC724" s="4">
        <f>(L724-M724)*(W724+X724)+($W$521+$X$521-$W$724-$X$724)*(L724)</f>
        <v>8869.2505200000105</v>
      </c>
      <c r="AD724" s="4">
        <f t="shared" si="35"/>
        <v>0</v>
      </c>
      <c r="AE724" s="4">
        <f ca="1">(L724-M724)*(Z724+AA724)+($Z$521+$AA$521-$Z$724-$AA$724)*(L724)</f>
        <v>4933.6393068107191</v>
      </c>
      <c r="AF724" s="3" t="s">
        <v>1023</v>
      </c>
    </row>
    <row r="725" spans="1:32" ht="11.25" customHeight="1" x14ac:dyDescent="0.25">
      <c r="A725" s="3" t="s">
        <v>27</v>
      </c>
      <c r="B725" s="3" t="s">
        <v>44</v>
      </c>
      <c r="C725" s="3" t="s">
        <v>23</v>
      </c>
      <c r="D725" s="3" t="s">
        <v>45</v>
      </c>
      <c r="E725" s="3" t="s">
        <v>53</v>
      </c>
      <c r="F725" s="3" t="s">
        <v>54</v>
      </c>
      <c r="G725" s="3" t="s">
        <v>25</v>
      </c>
      <c r="H725" s="3" t="s">
        <v>25</v>
      </c>
      <c r="I725" s="6">
        <v>44348</v>
      </c>
      <c r="J725" s="4">
        <v>0</v>
      </c>
      <c r="K725" s="4">
        <v>0</v>
      </c>
      <c r="L725" s="4">
        <v>0.63300000000000001</v>
      </c>
      <c r="M725" s="4">
        <v>0.63300000000000001</v>
      </c>
      <c r="N725" s="4">
        <v>0.63300000000000001</v>
      </c>
      <c r="O725" s="4">
        <v>0.63300000000000001</v>
      </c>
      <c r="P725" s="4">
        <v>0</v>
      </c>
      <c r="Q725" s="3" t="s">
        <v>26</v>
      </c>
      <c r="R725" s="3">
        <v>0</v>
      </c>
      <c r="S725" s="3">
        <v>0</v>
      </c>
      <c r="T725" s="3">
        <v>34</v>
      </c>
      <c r="U725" s="3">
        <v>53</v>
      </c>
      <c r="V725" s="4">
        <f>IF(ISERROR(VLOOKUP($S$725,'TAR FIN'!$A$1:$O$113,15,0)),0,VLOOKUP($S$725,'TAR FIN'!$A$1:$O$113,15,0))</f>
        <v>0</v>
      </c>
      <c r="W725" s="4">
        <f>IF(ISERROR(VLOOKUP($T$725,'TAR FIN'!$A$1:$O$113,15,0)),0,VLOOKUP($T$725,'TAR FIN'!$A$1:$O$113,15,0))</f>
        <v>304.64999999999998</v>
      </c>
      <c r="X725" s="4">
        <f>IF(ISERROR(VLOOKUP($U$725,'TAR FIN'!$A$1:$O$113,15,0)),0,VLOOKUP($U$725,'TAR FIN'!$A$1:$O$113,15,0))</f>
        <v>206.13</v>
      </c>
      <c r="Y725" s="4"/>
      <c r="Z725" s="4">
        <f ca="1">('TUSD BE'!$AM$53+'TUSD BF'!$AM$53+'TUSD CVA'!$AM$53)*(1-CUSTOS!$M$38)</f>
        <v>386.47391324808456</v>
      </c>
      <c r="AA725" s="4">
        <f>('TE BE'!$AA$32+'TE BF'!$AA$32+'TE CVA'!$AA$32)*(1-CUSTOS!$M$38)</f>
        <v>220.59856812487419</v>
      </c>
      <c r="AB725" s="4">
        <f t="shared" si="34"/>
        <v>0</v>
      </c>
      <c r="AC725" s="4">
        <f>(L725-M725)*(W725+X725)+($W$521+$X$521-$W$725-$X$725)*(L725)</f>
        <v>44.09478000000005</v>
      </c>
      <c r="AD725" s="4">
        <f t="shared" si="35"/>
        <v>0</v>
      </c>
      <c r="AE725" s="4">
        <f ca="1">(L725-M725)*(Z725+AA725)+($Z$521+$AA$521-$Z$725-$AA$725)*(L725)</f>
        <v>24.52831153462234</v>
      </c>
      <c r="AF725" s="3" t="s">
        <v>1023</v>
      </c>
    </row>
    <row r="726" spans="1:32" ht="11.25" customHeight="1" x14ac:dyDescent="0.25">
      <c r="A726" s="3" t="s">
        <v>28</v>
      </c>
      <c r="B726" s="3" t="s">
        <v>44</v>
      </c>
      <c r="C726" s="3" t="s">
        <v>23</v>
      </c>
      <c r="D726" s="3" t="s">
        <v>45</v>
      </c>
      <c r="E726" s="3" t="s">
        <v>53</v>
      </c>
      <c r="F726" s="3" t="s">
        <v>54</v>
      </c>
      <c r="G726" s="3" t="s">
        <v>25</v>
      </c>
      <c r="H726" s="3" t="s">
        <v>25</v>
      </c>
      <c r="I726" s="6">
        <v>44348</v>
      </c>
      <c r="J726" s="4">
        <v>0</v>
      </c>
      <c r="K726" s="4">
        <v>0</v>
      </c>
      <c r="L726" s="4">
        <v>0.49199999999999999</v>
      </c>
      <c r="M726" s="4">
        <v>0.49199999999999999</v>
      </c>
      <c r="N726" s="4">
        <v>0.49199999999999999</v>
      </c>
      <c r="O726" s="4">
        <v>0.49199999999999999</v>
      </c>
      <c r="P726" s="4">
        <v>0</v>
      </c>
      <c r="Q726" s="3" t="s">
        <v>26</v>
      </c>
      <c r="R726" s="3">
        <v>0</v>
      </c>
      <c r="S726" s="3">
        <v>0</v>
      </c>
      <c r="T726" s="3">
        <v>34</v>
      </c>
      <c r="U726" s="3">
        <v>53</v>
      </c>
      <c r="V726" s="4">
        <f>IF(ISERROR(VLOOKUP($S$726,'TAR FIN'!$A$1:$O$113,15,0)),0,VLOOKUP($S$726,'TAR FIN'!$A$1:$O$113,15,0))</f>
        <v>0</v>
      </c>
      <c r="W726" s="4">
        <f>IF(ISERROR(VLOOKUP($T$726,'TAR FIN'!$A$1:$O$113,15,0)),0,VLOOKUP($T$726,'TAR FIN'!$A$1:$O$113,15,0))</f>
        <v>304.64999999999998</v>
      </c>
      <c r="X726" s="4">
        <f>IF(ISERROR(VLOOKUP($U$726,'TAR FIN'!$A$1:$O$113,15,0)),0,VLOOKUP($U$726,'TAR FIN'!$A$1:$O$113,15,0))</f>
        <v>206.13</v>
      </c>
      <c r="Y726" s="4"/>
      <c r="Z726" s="4">
        <f ca="1">('TUSD BE'!$AM$53+'TUSD BF'!$AM$53+'TUSD CVA'!$AM$53)*(1-CUSTOS!$M$38)</f>
        <v>386.47391324808456</v>
      </c>
      <c r="AA726" s="4">
        <f>('TE BE'!$AA$32+'TE BF'!$AA$32+'TE CVA'!$AA$32)*(1-CUSTOS!$M$38)</f>
        <v>220.59856812487419</v>
      </c>
      <c r="AB726" s="4">
        <f t="shared" si="34"/>
        <v>0</v>
      </c>
      <c r="AC726" s="4">
        <f>(L726-M726)*(W726+X726)+($W$521+$X$521-$W$726-$X$726)*(L726)</f>
        <v>34.272720000000042</v>
      </c>
      <c r="AD726" s="4">
        <f t="shared" si="35"/>
        <v>0</v>
      </c>
      <c r="AE726" s="4">
        <f ca="1">(L726-M726)*(Z726+AA726)+($Z$521+$AA$521-$Z$726-$AA$726)*(L726)</f>
        <v>19.064659202265702</v>
      </c>
      <c r="AF726" s="3" t="s">
        <v>1023</v>
      </c>
    </row>
    <row r="727" spans="1:32" ht="11.25" customHeight="1" x14ac:dyDescent="0.25">
      <c r="A727" s="3" t="s">
        <v>21</v>
      </c>
      <c r="B727" s="3" t="s">
        <v>44</v>
      </c>
      <c r="C727" s="3" t="s">
        <v>23</v>
      </c>
      <c r="D727" s="3" t="s">
        <v>45</v>
      </c>
      <c r="E727" s="3" t="s">
        <v>53</v>
      </c>
      <c r="F727" s="3" t="s">
        <v>54</v>
      </c>
      <c r="G727" s="3" t="s">
        <v>25</v>
      </c>
      <c r="H727" s="3" t="s">
        <v>25</v>
      </c>
      <c r="I727" s="6">
        <v>44378</v>
      </c>
      <c r="J727" s="4">
        <v>0</v>
      </c>
      <c r="K727" s="4">
        <v>0</v>
      </c>
      <c r="L727" s="4">
        <v>108.435</v>
      </c>
      <c r="M727" s="4">
        <v>108.435</v>
      </c>
      <c r="N727" s="4">
        <v>108.435</v>
      </c>
      <c r="O727" s="4">
        <v>108.435</v>
      </c>
      <c r="P727" s="4">
        <v>0</v>
      </c>
      <c r="Q727" s="3" t="s">
        <v>26</v>
      </c>
      <c r="R727" s="3">
        <v>0</v>
      </c>
      <c r="S727" s="3">
        <v>0</v>
      </c>
      <c r="T727" s="3">
        <v>34</v>
      </c>
      <c r="U727" s="3">
        <v>53</v>
      </c>
      <c r="V727" s="4">
        <f>IF(ISERROR(VLOOKUP($S$727,'TAR FIN'!$A$1:$O$113,15,0)),0,VLOOKUP($S$727,'TAR FIN'!$A$1:$O$113,15,0))</f>
        <v>0</v>
      </c>
      <c r="W727" s="4">
        <f>IF(ISERROR(VLOOKUP($T$727,'TAR FIN'!$A$1:$O$113,15,0)),0,VLOOKUP($T$727,'TAR FIN'!$A$1:$O$113,15,0))</f>
        <v>304.64999999999998</v>
      </c>
      <c r="X727" s="4">
        <f>IF(ISERROR(VLOOKUP($U$727,'TAR FIN'!$A$1:$O$113,15,0)),0,VLOOKUP($U$727,'TAR FIN'!$A$1:$O$113,15,0))</f>
        <v>206.13</v>
      </c>
      <c r="Y727" s="4"/>
      <c r="Z727" s="4">
        <f ca="1">('TUSD BE'!$AM$53+'TUSD BF'!$AM$53+'TUSD CVA'!$AM$53)*(1-CUSTOS!$M$38)</f>
        <v>386.47391324808456</v>
      </c>
      <c r="AA727" s="4">
        <f>('TE BE'!$AA$32+'TE BF'!$AA$32+'TE CVA'!$AA$32)*(1-CUSTOS!$M$38)</f>
        <v>220.59856812487419</v>
      </c>
      <c r="AB727" s="4">
        <f t="shared" si="34"/>
        <v>0</v>
      </c>
      <c r="AC727" s="4">
        <f>(L727-M727)*(W727+X727)+($W$521+$X$521-$W$727-$X$727)*(L727)</f>
        <v>7553.5821000000087</v>
      </c>
      <c r="AD727" s="4">
        <f t="shared" si="35"/>
        <v>0</v>
      </c>
      <c r="AE727" s="4">
        <f ca="1">(L727-M727)*(Z727+AA727)+($Z$521+$AA$521-$Z$727-$AA$727)*(L727)</f>
        <v>4201.7811394261826</v>
      </c>
      <c r="AF727" s="3" t="s">
        <v>1023</v>
      </c>
    </row>
    <row r="728" spans="1:32" ht="11.25" customHeight="1" x14ac:dyDescent="0.25">
      <c r="A728" s="3" t="s">
        <v>27</v>
      </c>
      <c r="B728" s="3" t="s">
        <v>44</v>
      </c>
      <c r="C728" s="3" t="s">
        <v>23</v>
      </c>
      <c r="D728" s="3" t="s">
        <v>45</v>
      </c>
      <c r="E728" s="3" t="s">
        <v>53</v>
      </c>
      <c r="F728" s="3" t="s">
        <v>54</v>
      </c>
      <c r="G728" s="3" t="s">
        <v>25</v>
      </c>
      <c r="H728" s="3" t="s">
        <v>25</v>
      </c>
      <c r="I728" s="6">
        <v>44378</v>
      </c>
      <c r="J728" s="4">
        <v>0</v>
      </c>
      <c r="K728" s="4">
        <v>0</v>
      </c>
      <c r="L728" s="4">
        <v>-1.014</v>
      </c>
      <c r="M728" s="4">
        <v>-1.014</v>
      </c>
      <c r="N728" s="4">
        <v>-1.014</v>
      </c>
      <c r="O728" s="4">
        <v>-1.014</v>
      </c>
      <c r="P728" s="4">
        <v>0</v>
      </c>
      <c r="Q728" s="3" t="s">
        <v>26</v>
      </c>
      <c r="R728" s="3">
        <v>0</v>
      </c>
      <c r="S728" s="3">
        <v>0</v>
      </c>
      <c r="T728" s="3">
        <v>34</v>
      </c>
      <c r="U728" s="3">
        <v>53</v>
      </c>
      <c r="V728" s="4">
        <f>IF(ISERROR(VLOOKUP($S$728,'TAR FIN'!$A$1:$O$113,15,0)),0,VLOOKUP($S$728,'TAR FIN'!$A$1:$O$113,15,0))</f>
        <v>0</v>
      </c>
      <c r="W728" s="4">
        <f>IF(ISERROR(VLOOKUP($T$728,'TAR FIN'!$A$1:$O$113,15,0)),0,VLOOKUP($T$728,'TAR FIN'!$A$1:$O$113,15,0))</f>
        <v>304.64999999999998</v>
      </c>
      <c r="X728" s="4">
        <f>IF(ISERROR(VLOOKUP($U$728,'TAR FIN'!$A$1:$O$113,15,0)),0,VLOOKUP($U$728,'TAR FIN'!$A$1:$O$113,15,0))</f>
        <v>206.13</v>
      </c>
      <c r="Y728" s="4"/>
      <c r="Z728" s="4">
        <f ca="1">('TUSD BE'!$AM$53+'TUSD BF'!$AM$53+'TUSD CVA'!$AM$53)*(1-CUSTOS!$M$38)</f>
        <v>386.47391324808456</v>
      </c>
      <c r="AA728" s="4">
        <f>('TE BE'!$AA$32+'TE BF'!$AA$32+'TE CVA'!$AA$32)*(1-CUSTOS!$M$38)</f>
        <v>220.59856812487419</v>
      </c>
      <c r="AB728" s="4">
        <f t="shared" si="34"/>
        <v>0</v>
      </c>
      <c r="AC728" s="4">
        <f>(L728-M728)*(W728+X728)+($W$521+$X$521-$W$728-$X$728)*(L728)</f>
        <v>-70.635240000000081</v>
      </c>
      <c r="AD728" s="4">
        <f t="shared" si="35"/>
        <v>0</v>
      </c>
      <c r="AE728" s="4">
        <f ca="1">(L728-M728)*(Z728+AA728)+($Z$521+$AA$521-$Z$728-$AA$728)*(L728)</f>
        <v>-39.291797624181754</v>
      </c>
      <c r="AF728" s="3" t="s">
        <v>1023</v>
      </c>
    </row>
    <row r="729" spans="1:32" ht="11.25" customHeight="1" x14ac:dyDescent="0.25">
      <c r="A729" s="3" t="s">
        <v>28</v>
      </c>
      <c r="B729" s="3" t="s">
        <v>44</v>
      </c>
      <c r="C729" s="3" t="s">
        <v>23</v>
      </c>
      <c r="D729" s="3" t="s">
        <v>45</v>
      </c>
      <c r="E729" s="3" t="s">
        <v>53</v>
      </c>
      <c r="F729" s="3" t="s">
        <v>54</v>
      </c>
      <c r="G729" s="3" t="s">
        <v>25</v>
      </c>
      <c r="H729" s="3" t="s">
        <v>25</v>
      </c>
      <c r="I729" s="6">
        <v>44378</v>
      </c>
      <c r="J729" s="4">
        <v>0</v>
      </c>
      <c r="K729" s="4">
        <v>0</v>
      </c>
      <c r="L729" s="4">
        <v>0.625</v>
      </c>
      <c r="M729" s="4">
        <v>0.625</v>
      </c>
      <c r="N729" s="4">
        <v>0.625</v>
      </c>
      <c r="O729" s="4">
        <v>0.625</v>
      </c>
      <c r="P729" s="4">
        <v>0</v>
      </c>
      <c r="Q729" s="3" t="s">
        <v>26</v>
      </c>
      <c r="R729" s="3">
        <v>0</v>
      </c>
      <c r="S729" s="3">
        <v>0</v>
      </c>
      <c r="T729" s="3">
        <v>34</v>
      </c>
      <c r="U729" s="3">
        <v>53</v>
      </c>
      <c r="V729" s="4">
        <f>IF(ISERROR(VLOOKUP($S$729,'TAR FIN'!$A$1:$O$113,15,0)),0,VLOOKUP($S$729,'TAR FIN'!$A$1:$O$113,15,0))</f>
        <v>0</v>
      </c>
      <c r="W729" s="4">
        <f>IF(ISERROR(VLOOKUP($T$729,'TAR FIN'!$A$1:$O$113,15,0)),0,VLOOKUP($T$729,'TAR FIN'!$A$1:$O$113,15,0))</f>
        <v>304.64999999999998</v>
      </c>
      <c r="X729" s="4">
        <f>IF(ISERROR(VLOOKUP($U$729,'TAR FIN'!$A$1:$O$113,15,0)),0,VLOOKUP($U$729,'TAR FIN'!$A$1:$O$113,15,0))</f>
        <v>206.13</v>
      </c>
      <c r="Y729" s="4"/>
      <c r="Z729" s="4">
        <f ca="1">('TUSD BE'!$AM$53+'TUSD BF'!$AM$53+'TUSD CVA'!$AM$53)*(1-CUSTOS!$M$38)</f>
        <v>386.47391324808456</v>
      </c>
      <c r="AA729" s="4">
        <f>('TE BE'!$AA$32+'TE BF'!$AA$32+'TE CVA'!$AA$32)*(1-CUSTOS!$M$38)</f>
        <v>220.59856812487419</v>
      </c>
      <c r="AB729" s="4">
        <f t="shared" si="34"/>
        <v>0</v>
      </c>
      <c r="AC729" s="4">
        <f>(L729-M729)*(W729+X729)+($W$521+$X$521-$W$729-$X$729)*(L729)</f>
        <v>43.537500000000051</v>
      </c>
      <c r="AD729" s="4">
        <f t="shared" si="35"/>
        <v>0</v>
      </c>
      <c r="AE729" s="4">
        <f ca="1">(L729-M729)*(Z729+AA729)+($Z$521+$AA$521-$Z$729-$AA$729)*(L729)</f>
        <v>24.218317076048912</v>
      </c>
      <c r="AF729" s="3" t="s">
        <v>1023</v>
      </c>
    </row>
    <row r="730" spans="1:32" ht="11.25" customHeight="1" x14ac:dyDescent="0.25">
      <c r="A730" s="3" t="s">
        <v>21</v>
      </c>
      <c r="B730" s="3" t="s">
        <v>44</v>
      </c>
      <c r="C730" s="3" t="s">
        <v>23</v>
      </c>
      <c r="D730" s="3" t="s">
        <v>45</v>
      </c>
      <c r="E730" s="3" t="s">
        <v>53</v>
      </c>
      <c r="F730" s="3" t="s">
        <v>54</v>
      </c>
      <c r="G730" s="3" t="s">
        <v>25</v>
      </c>
      <c r="H730" s="3" t="s">
        <v>25</v>
      </c>
      <c r="I730" s="6">
        <v>44409</v>
      </c>
      <c r="J730" s="4">
        <v>0</v>
      </c>
      <c r="K730" s="4">
        <v>0</v>
      </c>
      <c r="L730" s="4">
        <v>109.678</v>
      </c>
      <c r="M730" s="4">
        <v>109.678</v>
      </c>
      <c r="N730" s="4">
        <v>109.678</v>
      </c>
      <c r="O730" s="4">
        <v>109.678</v>
      </c>
      <c r="P730" s="4">
        <v>0</v>
      </c>
      <c r="Q730" s="3" t="s">
        <v>26</v>
      </c>
      <c r="R730" s="3">
        <v>0</v>
      </c>
      <c r="S730" s="3">
        <v>0</v>
      </c>
      <c r="T730" s="3">
        <v>34</v>
      </c>
      <c r="U730" s="3">
        <v>53</v>
      </c>
      <c r="V730" s="4">
        <f>IF(ISERROR(VLOOKUP($S$730,'TAR FIN'!$A$1:$O$113,15,0)),0,VLOOKUP($S$730,'TAR FIN'!$A$1:$O$113,15,0))</f>
        <v>0</v>
      </c>
      <c r="W730" s="4">
        <f>IF(ISERROR(VLOOKUP($T$730,'TAR FIN'!$A$1:$O$113,15,0)),0,VLOOKUP($T$730,'TAR FIN'!$A$1:$O$113,15,0))</f>
        <v>304.64999999999998</v>
      </c>
      <c r="X730" s="4">
        <f>IF(ISERROR(VLOOKUP($U$730,'TAR FIN'!$A$1:$O$113,15,0)),0,VLOOKUP($U$730,'TAR FIN'!$A$1:$O$113,15,0))</f>
        <v>206.13</v>
      </c>
      <c r="Y730" s="4"/>
      <c r="Z730" s="4">
        <f ca="1">('TUSD BE'!$AM$53+'TUSD BF'!$AM$53+'TUSD CVA'!$AM$53)*(1-CUSTOS!$M$38)</f>
        <v>386.47391324808456</v>
      </c>
      <c r="AA730" s="4">
        <f>('TE BE'!$AA$32+'TE BF'!$AA$32+'TE CVA'!$AA$32)*(1-CUSTOS!$M$38)</f>
        <v>220.59856812487419</v>
      </c>
      <c r="AB730" s="4">
        <f t="shared" si="34"/>
        <v>0</v>
      </c>
      <c r="AC730" s="4">
        <f>(L730-M730)*(W730+X730)+($W$521+$X$521-$W$730-$X$730)*(L730)</f>
        <v>7640.1694800000087</v>
      </c>
      <c r="AD730" s="4">
        <f t="shared" si="35"/>
        <v>0</v>
      </c>
      <c r="AE730" s="4">
        <f ca="1">(L730-M730)*(Z730+AA730)+($Z$521+$AA$521-$Z$730-$AA$730)*(L730)</f>
        <v>4249.9465284270282</v>
      </c>
      <c r="AF730" s="3" t="s">
        <v>1023</v>
      </c>
    </row>
    <row r="731" spans="1:32" ht="11.25" customHeight="1" x14ac:dyDescent="0.25">
      <c r="A731" s="3" t="s">
        <v>27</v>
      </c>
      <c r="B731" s="3" t="s">
        <v>44</v>
      </c>
      <c r="C731" s="3" t="s">
        <v>23</v>
      </c>
      <c r="D731" s="3" t="s">
        <v>45</v>
      </c>
      <c r="E731" s="3" t="s">
        <v>53</v>
      </c>
      <c r="F731" s="3" t="s">
        <v>54</v>
      </c>
      <c r="G731" s="3" t="s">
        <v>25</v>
      </c>
      <c r="H731" s="3" t="s">
        <v>25</v>
      </c>
      <c r="I731" s="6">
        <v>44409</v>
      </c>
      <c r="J731" s="4">
        <v>0</v>
      </c>
      <c r="K731" s="4">
        <v>0</v>
      </c>
      <c r="L731" s="4">
        <v>-5.5410000000000004</v>
      </c>
      <c r="M731" s="4">
        <v>-5.5410000000000004</v>
      </c>
      <c r="N731" s="4">
        <v>-5.5410000000000004</v>
      </c>
      <c r="O731" s="4">
        <v>-5.5410000000000004</v>
      </c>
      <c r="P731" s="4">
        <v>0</v>
      </c>
      <c r="Q731" s="3" t="s">
        <v>26</v>
      </c>
      <c r="R731" s="3">
        <v>0</v>
      </c>
      <c r="S731" s="3">
        <v>0</v>
      </c>
      <c r="T731" s="3">
        <v>34</v>
      </c>
      <c r="U731" s="3">
        <v>53</v>
      </c>
      <c r="V731" s="4">
        <f>IF(ISERROR(VLOOKUP($S$731,'TAR FIN'!$A$1:$O$113,15,0)),0,VLOOKUP($S$731,'TAR FIN'!$A$1:$O$113,15,0))</f>
        <v>0</v>
      </c>
      <c r="W731" s="4">
        <f>IF(ISERROR(VLOOKUP($T$731,'TAR FIN'!$A$1:$O$113,15,0)),0,VLOOKUP($T$731,'TAR FIN'!$A$1:$O$113,15,0))</f>
        <v>304.64999999999998</v>
      </c>
      <c r="X731" s="4">
        <f>IF(ISERROR(VLOOKUP($U$731,'TAR FIN'!$A$1:$O$113,15,0)),0,VLOOKUP($U$731,'TAR FIN'!$A$1:$O$113,15,0))</f>
        <v>206.13</v>
      </c>
      <c r="Y731" s="4"/>
      <c r="Z731" s="4">
        <f ca="1">('TUSD BE'!$AM$53+'TUSD BF'!$AM$53+'TUSD CVA'!$AM$53)*(1-CUSTOS!$M$38)</f>
        <v>386.47391324808456</v>
      </c>
      <c r="AA731" s="4">
        <f>('TE BE'!$AA$32+'TE BF'!$AA$32+'TE CVA'!$AA$32)*(1-CUSTOS!$M$38)</f>
        <v>220.59856812487419</v>
      </c>
      <c r="AB731" s="4">
        <f t="shared" si="34"/>
        <v>0</v>
      </c>
      <c r="AC731" s="4">
        <f>(L731-M731)*(W731+X731)+($W$521+$X$521-$W$731-$X$731)*(L731)</f>
        <v>-385.98606000000046</v>
      </c>
      <c r="AD731" s="4">
        <f t="shared" si="35"/>
        <v>0</v>
      </c>
      <c r="AE731" s="4">
        <f ca="1">(L731-M731)*(Z731+AA731)+($Z$521+$AA$521-$Z$731-$AA$731)*(L731)</f>
        <v>-214.70991186941924</v>
      </c>
      <c r="AF731" s="3" t="s">
        <v>1023</v>
      </c>
    </row>
    <row r="732" spans="1:32" ht="11.25" customHeight="1" x14ac:dyDescent="0.25">
      <c r="A732" s="3" t="s">
        <v>28</v>
      </c>
      <c r="B732" s="3" t="s">
        <v>44</v>
      </c>
      <c r="C732" s="3" t="s">
        <v>23</v>
      </c>
      <c r="D732" s="3" t="s">
        <v>45</v>
      </c>
      <c r="E732" s="3" t="s">
        <v>53</v>
      </c>
      <c r="F732" s="3" t="s">
        <v>54</v>
      </c>
      <c r="G732" s="3" t="s">
        <v>25</v>
      </c>
      <c r="H732" s="3" t="s">
        <v>25</v>
      </c>
      <c r="I732" s="6">
        <v>44409</v>
      </c>
      <c r="J732" s="4">
        <v>0</v>
      </c>
      <c r="K732" s="4">
        <v>0</v>
      </c>
      <c r="L732" s="4">
        <v>0.66200000000000003</v>
      </c>
      <c r="M732" s="4">
        <v>0.66200000000000003</v>
      </c>
      <c r="N732" s="4">
        <v>0.66200000000000003</v>
      </c>
      <c r="O732" s="4">
        <v>0.66200000000000003</v>
      </c>
      <c r="P732" s="4">
        <v>0</v>
      </c>
      <c r="Q732" s="3" t="s">
        <v>26</v>
      </c>
      <c r="R732" s="3">
        <v>0</v>
      </c>
      <c r="S732" s="3">
        <v>0</v>
      </c>
      <c r="T732" s="3">
        <v>34</v>
      </c>
      <c r="U732" s="3">
        <v>53</v>
      </c>
      <c r="V732" s="4">
        <f>IF(ISERROR(VLOOKUP($S$732,'TAR FIN'!$A$1:$O$113,15,0)),0,VLOOKUP($S$732,'TAR FIN'!$A$1:$O$113,15,0))</f>
        <v>0</v>
      </c>
      <c r="W732" s="4">
        <f>IF(ISERROR(VLOOKUP($T$732,'TAR FIN'!$A$1:$O$113,15,0)),0,VLOOKUP($T$732,'TAR FIN'!$A$1:$O$113,15,0))</f>
        <v>304.64999999999998</v>
      </c>
      <c r="X732" s="4">
        <f>IF(ISERROR(VLOOKUP($U$732,'TAR FIN'!$A$1:$O$113,15,0)),0,VLOOKUP($U$732,'TAR FIN'!$A$1:$O$113,15,0))</f>
        <v>206.13</v>
      </c>
      <c r="Y732" s="4"/>
      <c r="Z732" s="4">
        <f ca="1">('TUSD BE'!$AM$53+'TUSD BF'!$AM$53+'TUSD CVA'!$AM$53)*(1-CUSTOS!$M$38)</f>
        <v>386.47391324808456</v>
      </c>
      <c r="AA732" s="4">
        <f>('TE BE'!$AA$32+'TE BF'!$AA$32+'TE CVA'!$AA$32)*(1-CUSTOS!$M$38)</f>
        <v>220.59856812487419</v>
      </c>
      <c r="AB732" s="4">
        <f t="shared" si="34"/>
        <v>0</v>
      </c>
      <c r="AC732" s="4">
        <f>(L732-M732)*(W732+X732)+($W$521+$X$521-$W$732-$X$732)*(L732)</f>
        <v>46.114920000000055</v>
      </c>
      <c r="AD732" s="4">
        <f t="shared" si="35"/>
        <v>0</v>
      </c>
      <c r="AE732" s="4">
        <f ca="1">(L732-M732)*(Z732+AA732)+($Z$521+$AA$521-$Z$732-$AA$732)*(L732)</f>
        <v>25.65204144695101</v>
      </c>
      <c r="AF732" s="3" t="s">
        <v>1023</v>
      </c>
    </row>
    <row r="733" spans="1:32" ht="11.25" customHeight="1" x14ac:dyDescent="0.25">
      <c r="A733" s="3" t="s">
        <v>21</v>
      </c>
      <c r="B733" s="3" t="s">
        <v>44</v>
      </c>
      <c r="C733" s="3" t="s">
        <v>23</v>
      </c>
      <c r="D733" s="3" t="s">
        <v>45</v>
      </c>
      <c r="E733" s="3" t="s">
        <v>53</v>
      </c>
      <c r="F733" s="3" t="s">
        <v>54</v>
      </c>
      <c r="G733" s="3" t="s">
        <v>25</v>
      </c>
      <c r="H733" s="3" t="s">
        <v>25</v>
      </c>
      <c r="I733" s="6">
        <v>44440</v>
      </c>
      <c r="J733" s="4">
        <v>0</v>
      </c>
      <c r="K733" s="4">
        <v>0</v>
      </c>
      <c r="L733" s="4">
        <v>194.71899999999999</v>
      </c>
      <c r="M733" s="4">
        <v>194.71899999999999</v>
      </c>
      <c r="N733" s="4">
        <v>194.71899999999999</v>
      </c>
      <c r="O733" s="4">
        <v>194.71899999999999</v>
      </c>
      <c r="P733" s="4">
        <v>0</v>
      </c>
      <c r="Q733" s="3" t="s">
        <v>26</v>
      </c>
      <c r="R733" s="3">
        <v>0</v>
      </c>
      <c r="S733" s="3">
        <v>0</v>
      </c>
      <c r="T733" s="3">
        <v>34</v>
      </c>
      <c r="U733" s="3">
        <v>53</v>
      </c>
      <c r="V733" s="4">
        <f>IF(ISERROR(VLOOKUP($S$733,'TAR FIN'!$A$1:$O$113,15,0)),0,VLOOKUP($S$733,'TAR FIN'!$A$1:$O$113,15,0))</f>
        <v>0</v>
      </c>
      <c r="W733" s="4">
        <f>IF(ISERROR(VLOOKUP($T$733,'TAR FIN'!$A$1:$O$113,15,0)),0,VLOOKUP($T$733,'TAR FIN'!$A$1:$O$113,15,0))</f>
        <v>304.64999999999998</v>
      </c>
      <c r="X733" s="4">
        <f>IF(ISERROR(VLOOKUP($U$733,'TAR FIN'!$A$1:$O$113,15,0)),0,VLOOKUP($U$733,'TAR FIN'!$A$1:$O$113,15,0))</f>
        <v>206.13</v>
      </c>
      <c r="Y733" s="4"/>
      <c r="Z733" s="4">
        <f ca="1">('TUSD BE'!$AM$53+'TUSD BF'!$AM$53+'TUSD CVA'!$AM$53)*(1-CUSTOS!$M$38)</f>
        <v>386.47391324808456</v>
      </c>
      <c r="AA733" s="4">
        <f>('TE BE'!$AA$32+'TE BF'!$AA$32+'TE CVA'!$AA$32)*(1-CUSTOS!$M$38)</f>
        <v>220.59856812487419</v>
      </c>
      <c r="AB733" s="4">
        <f t="shared" si="34"/>
        <v>0</v>
      </c>
      <c r="AC733" s="4">
        <f>(L733-M733)*(W733+X733)+($W$521+$X$521-$W$733-$X$733)*(L733)</f>
        <v>13564.125540000015</v>
      </c>
      <c r="AD733" s="4">
        <f t="shared" si="35"/>
        <v>0</v>
      </c>
      <c r="AE733" s="4">
        <f ca="1">(L733-M733)*(Z733+AA733)+($Z$521+$AA$521-$Z$733-$AA$733)*(L733)</f>
        <v>7545.2263723698688</v>
      </c>
      <c r="AF733" s="3" t="s">
        <v>1023</v>
      </c>
    </row>
    <row r="734" spans="1:32" ht="11.25" customHeight="1" x14ac:dyDescent="0.25">
      <c r="A734" s="3" t="s">
        <v>27</v>
      </c>
      <c r="B734" s="3" t="s">
        <v>44</v>
      </c>
      <c r="C734" s="3" t="s">
        <v>23</v>
      </c>
      <c r="D734" s="3" t="s">
        <v>45</v>
      </c>
      <c r="E734" s="3" t="s">
        <v>53</v>
      </c>
      <c r="F734" s="3" t="s">
        <v>54</v>
      </c>
      <c r="G734" s="3" t="s">
        <v>25</v>
      </c>
      <c r="H734" s="3" t="s">
        <v>25</v>
      </c>
      <c r="I734" s="6">
        <v>44440</v>
      </c>
      <c r="J734" s="4">
        <v>0</v>
      </c>
      <c r="K734" s="4">
        <v>0</v>
      </c>
      <c r="L734" s="4">
        <v>-16.681000000000001</v>
      </c>
      <c r="M734" s="4">
        <v>-16.681000000000001</v>
      </c>
      <c r="N734" s="4">
        <v>-16.681000000000001</v>
      </c>
      <c r="O734" s="4">
        <v>-16.681000000000001</v>
      </c>
      <c r="P734" s="4">
        <v>0</v>
      </c>
      <c r="Q734" s="3" t="s">
        <v>26</v>
      </c>
      <c r="R734" s="3">
        <v>0</v>
      </c>
      <c r="S734" s="3">
        <v>0</v>
      </c>
      <c r="T734" s="3">
        <v>34</v>
      </c>
      <c r="U734" s="3">
        <v>53</v>
      </c>
      <c r="V734" s="4">
        <f>IF(ISERROR(VLOOKUP($S$734,'TAR FIN'!$A$1:$O$113,15,0)),0,VLOOKUP($S$734,'TAR FIN'!$A$1:$O$113,15,0))</f>
        <v>0</v>
      </c>
      <c r="W734" s="4">
        <f>IF(ISERROR(VLOOKUP($T$734,'TAR FIN'!$A$1:$O$113,15,0)),0,VLOOKUP($T$734,'TAR FIN'!$A$1:$O$113,15,0))</f>
        <v>304.64999999999998</v>
      </c>
      <c r="X734" s="4">
        <f>IF(ISERROR(VLOOKUP($U$734,'TAR FIN'!$A$1:$O$113,15,0)),0,VLOOKUP($U$734,'TAR FIN'!$A$1:$O$113,15,0))</f>
        <v>206.13</v>
      </c>
      <c r="Y734" s="4"/>
      <c r="Z734" s="4">
        <f ca="1">('TUSD BE'!$AM$53+'TUSD BF'!$AM$53+'TUSD CVA'!$AM$53)*(1-CUSTOS!$M$38)</f>
        <v>386.47391324808456</v>
      </c>
      <c r="AA734" s="4">
        <f>('TE BE'!$AA$32+'TE BF'!$AA$32+'TE CVA'!$AA$32)*(1-CUSTOS!$M$38)</f>
        <v>220.59856812487419</v>
      </c>
      <c r="AB734" s="4">
        <f t="shared" si="34"/>
        <v>0</v>
      </c>
      <c r="AC734" s="4">
        <f>(L734-M734)*(W734+X734)+($W$521+$X$521-$W$734-$X$734)*(L734)</f>
        <v>-1161.9984600000014</v>
      </c>
      <c r="AD734" s="4">
        <f t="shared" si="35"/>
        <v>0</v>
      </c>
      <c r="AE734" s="4">
        <f ca="1">(L734-M734)*(Z734+AA734)+($Z$521+$AA$521-$Z$734-$AA$734)*(L734)</f>
        <v>-646.37719543291507</v>
      </c>
      <c r="AF734" s="3" t="s">
        <v>1023</v>
      </c>
    </row>
    <row r="735" spans="1:32" ht="11.25" customHeight="1" x14ac:dyDescent="0.25">
      <c r="A735" s="3" t="s">
        <v>28</v>
      </c>
      <c r="B735" s="3" t="s">
        <v>44</v>
      </c>
      <c r="C735" s="3" t="s">
        <v>23</v>
      </c>
      <c r="D735" s="3" t="s">
        <v>45</v>
      </c>
      <c r="E735" s="3" t="s">
        <v>53</v>
      </c>
      <c r="F735" s="3" t="s">
        <v>54</v>
      </c>
      <c r="G735" s="3" t="s">
        <v>25</v>
      </c>
      <c r="H735" s="3" t="s">
        <v>25</v>
      </c>
      <c r="I735" s="6">
        <v>44440</v>
      </c>
      <c r="J735" s="4">
        <v>0</v>
      </c>
      <c r="K735" s="4">
        <v>0</v>
      </c>
      <c r="L735" s="4">
        <v>1.1639999999999999</v>
      </c>
      <c r="M735" s="4">
        <v>1.1639999999999999</v>
      </c>
      <c r="N735" s="4">
        <v>1.1639999999999999</v>
      </c>
      <c r="O735" s="4">
        <v>1.1639999999999999</v>
      </c>
      <c r="P735" s="4">
        <v>0</v>
      </c>
      <c r="Q735" s="3" t="s">
        <v>26</v>
      </c>
      <c r="R735" s="3">
        <v>0</v>
      </c>
      <c r="S735" s="3">
        <v>0</v>
      </c>
      <c r="T735" s="3">
        <v>34</v>
      </c>
      <c r="U735" s="3">
        <v>53</v>
      </c>
      <c r="V735" s="4">
        <f>IF(ISERROR(VLOOKUP($S$735,'TAR FIN'!$A$1:$O$113,15,0)),0,VLOOKUP($S$735,'TAR FIN'!$A$1:$O$113,15,0))</f>
        <v>0</v>
      </c>
      <c r="W735" s="4">
        <f>IF(ISERROR(VLOOKUP($T$735,'TAR FIN'!$A$1:$O$113,15,0)),0,VLOOKUP($T$735,'TAR FIN'!$A$1:$O$113,15,0))</f>
        <v>304.64999999999998</v>
      </c>
      <c r="X735" s="4">
        <f>IF(ISERROR(VLOOKUP($U$735,'TAR FIN'!$A$1:$O$113,15,0)),0,VLOOKUP($U$735,'TAR FIN'!$A$1:$O$113,15,0))</f>
        <v>206.13</v>
      </c>
      <c r="Y735" s="4"/>
      <c r="Z735" s="4">
        <f ca="1">('TUSD BE'!$AM$53+'TUSD BF'!$AM$53+'TUSD CVA'!$AM$53)*(1-CUSTOS!$M$38)</f>
        <v>386.47391324808456</v>
      </c>
      <c r="AA735" s="4">
        <f>('TE BE'!$AA$32+'TE BF'!$AA$32+'TE CVA'!$AA$32)*(1-CUSTOS!$M$38)</f>
        <v>220.59856812487419</v>
      </c>
      <c r="AB735" s="4">
        <f t="shared" si="34"/>
        <v>0</v>
      </c>
      <c r="AC735" s="4">
        <f>(L735-M735)*(W735+X735)+($W$521+$X$521-$W$735-$X$735)*(L735)</f>
        <v>81.084240000000094</v>
      </c>
      <c r="AD735" s="4">
        <f t="shared" si="35"/>
        <v>0</v>
      </c>
      <c r="AE735" s="4">
        <f ca="1">(L735-M735)*(Z735+AA735)+($Z$521+$AA$521-$Z$735-$AA$735)*(L735)</f>
        <v>45.104193722433493</v>
      </c>
      <c r="AF735" s="3" t="s">
        <v>1023</v>
      </c>
    </row>
    <row r="736" spans="1:32" ht="11.25" customHeight="1" x14ac:dyDescent="0.25">
      <c r="A736" s="3" t="s">
        <v>21</v>
      </c>
      <c r="B736" s="3" t="s">
        <v>44</v>
      </c>
      <c r="C736" s="3" t="s">
        <v>23</v>
      </c>
      <c r="D736" s="3" t="s">
        <v>45</v>
      </c>
      <c r="E736" s="3" t="s">
        <v>53</v>
      </c>
      <c r="F736" s="3" t="s">
        <v>54</v>
      </c>
      <c r="G736" s="3" t="s">
        <v>25</v>
      </c>
      <c r="H736" s="3" t="s">
        <v>25</v>
      </c>
      <c r="I736" s="6">
        <v>44470</v>
      </c>
      <c r="J736" s="4">
        <v>0</v>
      </c>
      <c r="K736" s="4">
        <v>0</v>
      </c>
      <c r="L736" s="4">
        <v>328.14800000000002</v>
      </c>
      <c r="M736" s="4">
        <v>328.14800000000002</v>
      </c>
      <c r="N736" s="4">
        <v>328.14800000000002</v>
      </c>
      <c r="O736" s="4">
        <v>328.14800000000002</v>
      </c>
      <c r="P736" s="4">
        <v>0</v>
      </c>
      <c r="Q736" s="3" t="s">
        <v>26</v>
      </c>
      <c r="R736" s="3">
        <v>0</v>
      </c>
      <c r="S736" s="3">
        <v>0</v>
      </c>
      <c r="T736" s="3">
        <v>34</v>
      </c>
      <c r="U736" s="3">
        <v>53</v>
      </c>
      <c r="V736" s="4">
        <f>IF(ISERROR(VLOOKUP($S$736,'TAR FIN'!$A$1:$O$113,15,0)),0,VLOOKUP($S$736,'TAR FIN'!$A$1:$O$113,15,0))</f>
        <v>0</v>
      </c>
      <c r="W736" s="4">
        <f>IF(ISERROR(VLOOKUP($T$736,'TAR FIN'!$A$1:$O$113,15,0)),0,VLOOKUP($T$736,'TAR FIN'!$A$1:$O$113,15,0))</f>
        <v>304.64999999999998</v>
      </c>
      <c r="X736" s="4">
        <f>IF(ISERROR(VLOOKUP($U$736,'TAR FIN'!$A$1:$O$113,15,0)),0,VLOOKUP($U$736,'TAR FIN'!$A$1:$O$113,15,0))</f>
        <v>206.13</v>
      </c>
      <c r="Y736" s="4"/>
      <c r="Z736" s="4">
        <f ca="1">('TUSD BE'!$AM$53+'TUSD BF'!$AM$53+'TUSD CVA'!$AM$53)*(1-CUSTOS!$M$38)</f>
        <v>386.47391324808456</v>
      </c>
      <c r="AA736" s="4">
        <f>('TE BE'!$AA$32+'TE BF'!$AA$32+'TE CVA'!$AA$32)*(1-CUSTOS!$M$38)</f>
        <v>220.59856812487419</v>
      </c>
      <c r="AB736" s="4">
        <f t="shared" si="34"/>
        <v>0</v>
      </c>
      <c r="AC736" s="4">
        <f>(L736-M736)*(W736+X736)+($W$521+$X$521-$W$736-$X$736)*(L736)</f>
        <v>22858.789680000027</v>
      </c>
      <c r="AD736" s="4">
        <f t="shared" si="35"/>
        <v>0</v>
      </c>
      <c r="AE736" s="4">
        <f ca="1">(L736-M736)*(Z736+AA736)+($Z$521+$AA$521-$Z$736-$AA$736)*(L736)</f>
        <v>12715.507698994079</v>
      </c>
      <c r="AF736" s="3" t="s">
        <v>1023</v>
      </c>
    </row>
    <row r="737" spans="1:32" ht="11.25" customHeight="1" x14ac:dyDescent="0.25">
      <c r="A737" s="3" t="s">
        <v>27</v>
      </c>
      <c r="B737" s="3" t="s">
        <v>44</v>
      </c>
      <c r="C737" s="3" t="s">
        <v>23</v>
      </c>
      <c r="D737" s="3" t="s">
        <v>45</v>
      </c>
      <c r="E737" s="3" t="s">
        <v>53</v>
      </c>
      <c r="F737" s="3" t="s">
        <v>54</v>
      </c>
      <c r="G737" s="3" t="s">
        <v>25</v>
      </c>
      <c r="H737" s="3" t="s">
        <v>25</v>
      </c>
      <c r="I737" s="6">
        <v>44470</v>
      </c>
      <c r="J737" s="4">
        <v>0</v>
      </c>
      <c r="K737" s="4">
        <v>0</v>
      </c>
      <c r="L737" s="4">
        <v>-1.736</v>
      </c>
      <c r="M737" s="4">
        <v>-1.736</v>
      </c>
      <c r="N737" s="4">
        <v>-1.736</v>
      </c>
      <c r="O737" s="4">
        <v>-1.736</v>
      </c>
      <c r="P737" s="4">
        <v>0</v>
      </c>
      <c r="Q737" s="3" t="s">
        <v>26</v>
      </c>
      <c r="R737" s="3">
        <v>0</v>
      </c>
      <c r="S737" s="3">
        <v>0</v>
      </c>
      <c r="T737" s="3">
        <v>34</v>
      </c>
      <c r="U737" s="3">
        <v>53</v>
      </c>
      <c r="V737" s="4">
        <f>IF(ISERROR(VLOOKUP($S$737,'TAR FIN'!$A$1:$O$113,15,0)),0,VLOOKUP($S$737,'TAR FIN'!$A$1:$O$113,15,0))</f>
        <v>0</v>
      </c>
      <c r="W737" s="4">
        <f>IF(ISERROR(VLOOKUP($T$737,'TAR FIN'!$A$1:$O$113,15,0)),0,VLOOKUP($T$737,'TAR FIN'!$A$1:$O$113,15,0))</f>
        <v>304.64999999999998</v>
      </c>
      <c r="X737" s="4">
        <f>IF(ISERROR(VLOOKUP($U$737,'TAR FIN'!$A$1:$O$113,15,0)),0,VLOOKUP($U$737,'TAR FIN'!$A$1:$O$113,15,0))</f>
        <v>206.13</v>
      </c>
      <c r="Y737" s="4"/>
      <c r="Z737" s="4">
        <f ca="1">('TUSD BE'!$AM$53+'TUSD BF'!$AM$53+'TUSD CVA'!$AM$53)*(1-CUSTOS!$M$38)</f>
        <v>386.47391324808456</v>
      </c>
      <c r="AA737" s="4">
        <f>('TE BE'!$AA$32+'TE BF'!$AA$32+'TE CVA'!$AA$32)*(1-CUSTOS!$M$38)</f>
        <v>220.59856812487419</v>
      </c>
      <c r="AB737" s="4">
        <f t="shared" si="34"/>
        <v>0</v>
      </c>
      <c r="AC737" s="4">
        <f>(L737-M737)*(W737+X737)+($W$521+$X$521-$W$737-$X$737)*(L737)</f>
        <v>-120.92976000000014</v>
      </c>
      <c r="AD737" s="4">
        <f t="shared" si="35"/>
        <v>0</v>
      </c>
      <c r="AE737" s="4">
        <f ca="1">(L737-M737)*(Z737+AA737)+($Z$521+$AA$521-$Z$737-$AA$737)*(L737)</f>
        <v>-67.268797510433458</v>
      </c>
      <c r="AF737" s="3" t="s">
        <v>1023</v>
      </c>
    </row>
    <row r="738" spans="1:32" ht="11.25" customHeight="1" x14ac:dyDescent="0.25">
      <c r="A738" s="3" t="s">
        <v>28</v>
      </c>
      <c r="B738" s="3" t="s">
        <v>44</v>
      </c>
      <c r="C738" s="3" t="s">
        <v>23</v>
      </c>
      <c r="D738" s="3" t="s">
        <v>45</v>
      </c>
      <c r="E738" s="3" t="s">
        <v>53</v>
      </c>
      <c r="F738" s="3" t="s">
        <v>54</v>
      </c>
      <c r="G738" s="3" t="s">
        <v>25</v>
      </c>
      <c r="H738" s="3" t="s">
        <v>25</v>
      </c>
      <c r="I738" s="6">
        <v>44470</v>
      </c>
      <c r="J738" s="4">
        <v>0</v>
      </c>
      <c r="K738" s="4">
        <v>0</v>
      </c>
      <c r="L738" s="4">
        <v>2.2109999999999999</v>
      </c>
      <c r="M738" s="4">
        <v>2.2109999999999999</v>
      </c>
      <c r="N738" s="4">
        <v>2.2109999999999999</v>
      </c>
      <c r="O738" s="4">
        <v>2.2109999999999999</v>
      </c>
      <c r="P738" s="4">
        <v>0</v>
      </c>
      <c r="Q738" s="3" t="s">
        <v>26</v>
      </c>
      <c r="R738" s="3">
        <v>0</v>
      </c>
      <c r="S738" s="3">
        <v>0</v>
      </c>
      <c r="T738" s="3">
        <v>34</v>
      </c>
      <c r="U738" s="3">
        <v>53</v>
      </c>
      <c r="V738" s="4">
        <f>IF(ISERROR(VLOOKUP($S$738,'TAR FIN'!$A$1:$O$113,15,0)),0,VLOOKUP($S$738,'TAR FIN'!$A$1:$O$113,15,0))</f>
        <v>0</v>
      </c>
      <c r="W738" s="4">
        <f>IF(ISERROR(VLOOKUP($T$738,'TAR FIN'!$A$1:$O$113,15,0)),0,VLOOKUP($T$738,'TAR FIN'!$A$1:$O$113,15,0))</f>
        <v>304.64999999999998</v>
      </c>
      <c r="X738" s="4">
        <f>IF(ISERROR(VLOOKUP($U$738,'TAR FIN'!$A$1:$O$113,15,0)),0,VLOOKUP($U$738,'TAR FIN'!$A$1:$O$113,15,0))</f>
        <v>206.13</v>
      </c>
      <c r="Y738" s="4"/>
      <c r="Z738" s="4">
        <f ca="1">('TUSD BE'!$AM$53+'TUSD BF'!$AM$53+'TUSD CVA'!$AM$53)*(1-CUSTOS!$M$38)</f>
        <v>386.47391324808456</v>
      </c>
      <c r="AA738" s="4">
        <f>('TE BE'!$AA$32+'TE BF'!$AA$32+'TE CVA'!$AA$32)*(1-CUSTOS!$M$38)</f>
        <v>220.59856812487419</v>
      </c>
      <c r="AB738" s="4">
        <f t="shared" si="34"/>
        <v>0</v>
      </c>
      <c r="AC738" s="4">
        <f>(L738-M738)*(W738+X738)+($W$521+$X$521-$W$738-$X$738)*(L738)</f>
        <v>154.01826000000017</v>
      </c>
      <c r="AD738" s="4">
        <f t="shared" si="35"/>
        <v>0</v>
      </c>
      <c r="AE738" s="4">
        <f ca="1">(L738-M738)*(Z738+AA738)+($Z$521+$AA$521-$Z$738-$AA$738)*(L738)</f>
        <v>85.674718488230624</v>
      </c>
      <c r="AF738" s="3" t="s">
        <v>1023</v>
      </c>
    </row>
    <row r="739" spans="1:32" ht="11.25" customHeight="1" x14ac:dyDescent="0.25">
      <c r="A739" s="3" t="s">
        <v>21</v>
      </c>
      <c r="B739" s="3" t="s">
        <v>44</v>
      </c>
      <c r="C739" s="3" t="s">
        <v>23</v>
      </c>
      <c r="D739" s="3" t="s">
        <v>45</v>
      </c>
      <c r="E739" s="3" t="s">
        <v>53</v>
      </c>
      <c r="F739" s="3" t="s">
        <v>54</v>
      </c>
      <c r="G739" s="3" t="s">
        <v>25</v>
      </c>
      <c r="H739" s="3" t="s">
        <v>25</v>
      </c>
      <c r="I739" s="6">
        <v>44501</v>
      </c>
      <c r="J739" s="4">
        <v>0</v>
      </c>
      <c r="K739" s="4">
        <v>0</v>
      </c>
      <c r="L739" s="4">
        <v>306.173</v>
      </c>
      <c r="M739" s="4">
        <v>306.173</v>
      </c>
      <c r="N739" s="4">
        <v>306.173</v>
      </c>
      <c r="O739" s="4">
        <v>306.173</v>
      </c>
      <c r="P739" s="4">
        <v>0</v>
      </c>
      <c r="Q739" s="3" t="s">
        <v>26</v>
      </c>
      <c r="R739" s="3">
        <v>0</v>
      </c>
      <c r="S739" s="3">
        <v>0</v>
      </c>
      <c r="T739" s="3">
        <v>34</v>
      </c>
      <c r="U739" s="3">
        <v>53</v>
      </c>
      <c r="V739" s="4">
        <f>IF(ISERROR(VLOOKUP($S$739,'TAR FIN'!$A$1:$O$113,15,0)),0,VLOOKUP($S$739,'TAR FIN'!$A$1:$O$113,15,0))</f>
        <v>0</v>
      </c>
      <c r="W739" s="4">
        <f>IF(ISERROR(VLOOKUP($T$739,'TAR FIN'!$A$1:$O$113,15,0)),0,VLOOKUP($T$739,'TAR FIN'!$A$1:$O$113,15,0))</f>
        <v>304.64999999999998</v>
      </c>
      <c r="X739" s="4">
        <f>IF(ISERROR(VLOOKUP($U$739,'TAR FIN'!$A$1:$O$113,15,0)),0,VLOOKUP($U$739,'TAR FIN'!$A$1:$O$113,15,0))</f>
        <v>206.13</v>
      </c>
      <c r="Y739" s="4"/>
      <c r="Z739" s="4">
        <f ca="1">('TUSD BE'!$AM$53+'TUSD BF'!$AM$53+'TUSD CVA'!$AM$53)*(1-CUSTOS!$M$38)</f>
        <v>386.47391324808456</v>
      </c>
      <c r="AA739" s="4">
        <f>('TE BE'!$AA$32+'TE BF'!$AA$32+'TE CVA'!$AA$32)*(1-CUSTOS!$M$38)</f>
        <v>220.59856812487419</v>
      </c>
      <c r="AB739" s="4">
        <f t="shared" si="34"/>
        <v>0</v>
      </c>
      <c r="AC739" s="4">
        <f>(L739-M739)*(W739+X739)+($W$521+$X$521-$W$739-$X$739)*(L739)</f>
        <v>21328.011180000027</v>
      </c>
      <c r="AD739" s="4">
        <f t="shared" si="35"/>
        <v>0</v>
      </c>
      <c r="AE739" s="4">
        <f ca="1">(L739-M739)*(Z739+AA739)+($Z$521+$AA$521-$Z$739-$AA$739)*(L739)</f>
        <v>11863.991670600197</v>
      </c>
      <c r="AF739" s="3" t="s">
        <v>1023</v>
      </c>
    </row>
    <row r="740" spans="1:32" ht="11.25" customHeight="1" x14ac:dyDescent="0.25">
      <c r="A740" s="3" t="s">
        <v>27</v>
      </c>
      <c r="B740" s="3" t="s">
        <v>44</v>
      </c>
      <c r="C740" s="3" t="s">
        <v>23</v>
      </c>
      <c r="D740" s="3" t="s">
        <v>45</v>
      </c>
      <c r="E740" s="3" t="s">
        <v>53</v>
      </c>
      <c r="F740" s="3" t="s">
        <v>54</v>
      </c>
      <c r="G740" s="3" t="s">
        <v>25</v>
      </c>
      <c r="H740" s="3" t="s">
        <v>25</v>
      </c>
      <c r="I740" s="6">
        <v>44501</v>
      </c>
      <c r="J740" s="4">
        <v>0</v>
      </c>
      <c r="K740" s="4">
        <v>0</v>
      </c>
      <c r="L740" s="4">
        <v>-14.065</v>
      </c>
      <c r="M740" s="4">
        <v>-14.065</v>
      </c>
      <c r="N740" s="4">
        <v>-14.065</v>
      </c>
      <c r="O740" s="4">
        <v>-14.065</v>
      </c>
      <c r="P740" s="4">
        <v>0</v>
      </c>
      <c r="Q740" s="3" t="s">
        <v>26</v>
      </c>
      <c r="R740" s="3">
        <v>0</v>
      </c>
      <c r="S740" s="3">
        <v>0</v>
      </c>
      <c r="T740" s="3">
        <v>34</v>
      </c>
      <c r="U740" s="3">
        <v>53</v>
      </c>
      <c r="V740" s="4">
        <f>IF(ISERROR(VLOOKUP($S$740,'TAR FIN'!$A$1:$O$113,15,0)),0,VLOOKUP($S$740,'TAR FIN'!$A$1:$O$113,15,0))</f>
        <v>0</v>
      </c>
      <c r="W740" s="4">
        <f>IF(ISERROR(VLOOKUP($T$740,'TAR FIN'!$A$1:$O$113,15,0)),0,VLOOKUP($T$740,'TAR FIN'!$A$1:$O$113,15,0))</f>
        <v>304.64999999999998</v>
      </c>
      <c r="X740" s="4">
        <f>IF(ISERROR(VLOOKUP($U$740,'TAR FIN'!$A$1:$O$113,15,0)),0,VLOOKUP($U$740,'TAR FIN'!$A$1:$O$113,15,0))</f>
        <v>206.13</v>
      </c>
      <c r="Y740" s="4"/>
      <c r="Z740" s="4">
        <f ca="1">('TUSD BE'!$AM$53+'TUSD BF'!$AM$53+'TUSD CVA'!$AM$53)*(1-CUSTOS!$M$38)</f>
        <v>386.47391324808456</v>
      </c>
      <c r="AA740" s="4">
        <f>('TE BE'!$AA$32+'TE BF'!$AA$32+'TE CVA'!$AA$32)*(1-CUSTOS!$M$38)</f>
        <v>220.59856812487419</v>
      </c>
      <c r="AB740" s="4">
        <f t="shared" si="34"/>
        <v>0</v>
      </c>
      <c r="AC740" s="4">
        <f>(L740-M740)*(W740+X740)+($W$521+$X$521-$W$740-$X$740)*(L740)</f>
        <v>-979.76790000000108</v>
      </c>
      <c r="AD740" s="4">
        <f t="shared" si="35"/>
        <v>0</v>
      </c>
      <c r="AE740" s="4">
        <f ca="1">(L740-M740)*(Z740+AA740)+($Z$521+$AA$521-$Z$740-$AA$740)*(L740)</f>
        <v>-545.00900747940466</v>
      </c>
      <c r="AF740" s="3" t="s">
        <v>1023</v>
      </c>
    </row>
    <row r="741" spans="1:32" ht="11.25" customHeight="1" x14ac:dyDescent="0.25">
      <c r="A741" s="3" t="s">
        <v>28</v>
      </c>
      <c r="B741" s="3" t="s">
        <v>44</v>
      </c>
      <c r="C741" s="3" t="s">
        <v>23</v>
      </c>
      <c r="D741" s="3" t="s">
        <v>45</v>
      </c>
      <c r="E741" s="3" t="s">
        <v>53</v>
      </c>
      <c r="F741" s="3" t="s">
        <v>54</v>
      </c>
      <c r="G741" s="3" t="s">
        <v>25</v>
      </c>
      <c r="H741" s="3" t="s">
        <v>25</v>
      </c>
      <c r="I741" s="6">
        <v>44501</v>
      </c>
      <c r="J741" s="4">
        <v>0</v>
      </c>
      <c r="K741" s="4">
        <v>0</v>
      </c>
      <c r="L741" s="4">
        <v>2.3330000000000002</v>
      </c>
      <c r="M741" s="4">
        <v>2.3330000000000002</v>
      </c>
      <c r="N741" s="4">
        <v>2.3330000000000002</v>
      </c>
      <c r="O741" s="4">
        <v>2.3330000000000002</v>
      </c>
      <c r="P741" s="4">
        <v>0</v>
      </c>
      <c r="Q741" s="3" t="s">
        <v>26</v>
      </c>
      <c r="R741" s="3">
        <v>0</v>
      </c>
      <c r="S741" s="3">
        <v>0</v>
      </c>
      <c r="T741" s="3">
        <v>34</v>
      </c>
      <c r="U741" s="3">
        <v>53</v>
      </c>
      <c r="V741" s="4">
        <f>IF(ISERROR(VLOOKUP($S$741,'TAR FIN'!$A$1:$O$113,15,0)),0,VLOOKUP($S$741,'TAR FIN'!$A$1:$O$113,15,0))</f>
        <v>0</v>
      </c>
      <c r="W741" s="4">
        <f>IF(ISERROR(VLOOKUP($T$741,'TAR FIN'!$A$1:$O$113,15,0)),0,VLOOKUP($T$741,'TAR FIN'!$A$1:$O$113,15,0))</f>
        <v>304.64999999999998</v>
      </c>
      <c r="X741" s="4">
        <f>IF(ISERROR(VLOOKUP($U$741,'TAR FIN'!$A$1:$O$113,15,0)),0,VLOOKUP($U$741,'TAR FIN'!$A$1:$O$113,15,0))</f>
        <v>206.13</v>
      </c>
      <c r="Y741" s="4"/>
      <c r="Z741" s="4">
        <f ca="1">('TUSD BE'!$AM$53+'TUSD BF'!$AM$53+'TUSD CVA'!$AM$53)*(1-CUSTOS!$M$38)</f>
        <v>386.47391324808456</v>
      </c>
      <c r="AA741" s="4">
        <f>('TE BE'!$AA$32+'TE BF'!$AA$32+'TE CVA'!$AA$32)*(1-CUSTOS!$M$38)</f>
        <v>220.59856812487419</v>
      </c>
      <c r="AB741" s="4">
        <f t="shared" si="34"/>
        <v>0</v>
      </c>
      <c r="AC741" s="4">
        <f>(L741-M741)*(W741+X741)+($W$521+$X$521-$W$741-$X$741)*(L741)</f>
        <v>162.51678000000021</v>
      </c>
      <c r="AD741" s="4">
        <f t="shared" si="35"/>
        <v>0</v>
      </c>
      <c r="AE741" s="4">
        <f ca="1">(L741-M741)*(Z741+AA741)+($Z$521+$AA$521-$Z$741-$AA$741)*(L741)</f>
        <v>90.402133981475387</v>
      </c>
      <c r="AF741" s="3" t="s">
        <v>1023</v>
      </c>
    </row>
    <row r="742" spans="1:32" ht="11.25" customHeight="1" x14ac:dyDescent="0.25">
      <c r="A742" s="3" t="s">
        <v>21</v>
      </c>
      <c r="B742" s="3" t="s">
        <v>44</v>
      </c>
      <c r="C742" s="3" t="s">
        <v>23</v>
      </c>
      <c r="D742" s="3" t="s">
        <v>45</v>
      </c>
      <c r="E742" s="3" t="s">
        <v>53</v>
      </c>
      <c r="F742" s="3" t="s">
        <v>54</v>
      </c>
      <c r="G742" s="3" t="s">
        <v>25</v>
      </c>
      <c r="H742" s="3" t="s">
        <v>25</v>
      </c>
      <c r="I742" s="6">
        <v>44531</v>
      </c>
      <c r="J742" s="4">
        <v>0</v>
      </c>
      <c r="K742" s="4">
        <v>0</v>
      </c>
      <c r="L742" s="4">
        <v>268.79700000000003</v>
      </c>
      <c r="M742" s="4">
        <v>268.79700000000003</v>
      </c>
      <c r="N742" s="4">
        <v>268.79700000000003</v>
      </c>
      <c r="O742" s="4">
        <v>268.79700000000003</v>
      </c>
      <c r="P742" s="4">
        <v>0</v>
      </c>
      <c r="Q742" s="3" t="s">
        <v>26</v>
      </c>
      <c r="R742" s="3">
        <v>0</v>
      </c>
      <c r="S742" s="3">
        <v>0</v>
      </c>
      <c r="T742" s="3">
        <v>34</v>
      </c>
      <c r="U742" s="3">
        <v>53</v>
      </c>
      <c r="V742" s="4">
        <f>IF(ISERROR(VLOOKUP($S$742,'TAR FIN'!$A$1:$O$113,15,0)),0,VLOOKUP($S$742,'TAR FIN'!$A$1:$O$113,15,0))</f>
        <v>0</v>
      </c>
      <c r="W742" s="4">
        <f>IF(ISERROR(VLOOKUP($T$742,'TAR FIN'!$A$1:$O$113,15,0)),0,VLOOKUP($T$742,'TAR FIN'!$A$1:$O$113,15,0))</f>
        <v>304.64999999999998</v>
      </c>
      <c r="X742" s="4">
        <f>IF(ISERROR(VLOOKUP($U$742,'TAR FIN'!$A$1:$O$113,15,0)),0,VLOOKUP($U$742,'TAR FIN'!$A$1:$O$113,15,0))</f>
        <v>206.13</v>
      </c>
      <c r="Y742" s="4"/>
      <c r="Z742" s="4">
        <f ca="1">('TUSD BE'!$AM$53+'TUSD BF'!$AM$53+'TUSD CVA'!$AM$53)*(1-CUSTOS!$M$38)</f>
        <v>386.47391324808456</v>
      </c>
      <c r="AA742" s="4">
        <f>('TE BE'!$AA$32+'TE BF'!$AA$32+'TE CVA'!$AA$32)*(1-CUSTOS!$M$38)</f>
        <v>220.59856812487419</v>
      </c>
      <c r="AB742" s="4">
        <f t="shared" si="34"/>
        <v>0</v>
      </c>
      <c r="AC742" s="4">
        <f>(L742-M742)*(W742+X742)+($W$521+$X$521-$W$742-$X$742)*(L742)</f>
        <v>18724.399020000023</v>
      </c>
      <c r="AD742" s="4">
        <f t="shared" si="35"/>
        <v>0</v>
      </c>
      <c r="AE742" s="4">
        <f ca="1">(L742-M742)*(Z742+AA742)+($Z$521+$AA$521-$Z$742-$AA$742)*(L742)</f>
        <v>10415.697560145152</v>
      </c>
      <c r="AF742" s="3" t="s">
        <v>1023</v>
      </c>
    </row>
    <row r="743" spans="1:32" ht="11.25" customHeight="1" x14ac:dyDescent="0.25">
      <c r="A743" s="3" t="s">
        <v>27</v>
      </c>
      <c r="B743" s="3" t="s">
        <v>44</v>
      </c>
      <c r="C743" s="3" t="s">
        <v>23</v>
      </c>
      <c r="D743" s="3" t="s">
        <v>45</v>
      </c>
      <c r="E743" s="3" t="s">
        <v>53</v>
      </c>
      <c r="F743" s="3" t="s">
        <v>54</v>
      </c>
      <c r="G743" s="3" t="s">
        <v>25</v>
      </c>
      <c r="H743" s="3" t="s">
        <v>25</v>
      </c>
      <c r="I743" s="6">
        <v>44531</v>
      </c>
      <c r="J743" s="4">
        <v>0</v>
      </c>
      <c r="K743" s="4">
        <v>0</v>
      </c>
      <c r="L743" s="4">
        <v>-15.727</v>
      </c>
      <c r="M743" s="4">
        <v>-15.727</v>
      </c>
      <c r="N743" s="4">
        <v>-15.727</v>
      </c>
      <c r="O743" s="4">
        <v>-15.727</v>
      </c>
      <c r="P743" s="4">
        <v>0</v>
      </c>
      <c r="Q743" s="3" t="s">
        <v>26</v>
      </c>
      <c r="R743" s="3">
        <v>0</v>
      </c>
      <c r="S743" s="3">
        <v>0</v>
      </c>
      <c r="T743" s="3">
        <v>34</v>
      </c>
      <c r="U743" s="3">
        <v>53</v>
      </c>
      <c r="V743" s="4">
        <f>IF(ISERROR(VLOOKUP($S$743,'TAR FIN'!$A$1:$O$113,15,0)),0,VLOOKUP($S$743,'TAR FIN'!$A$1:$O$113,15,0))</f>
        <v>0</v>
      </c>
      <c r="W743" s="4">
        <f>IF(ISERROR(VLOOKUP($T$743,'TAR FIN'!$A$1:$O$113,15,0)),0,VLOOKUP($T$743,'TAR FIN'!$A$1:$O$113,15,0))</f>
        <v>304.64999999999998</v>
      </c>
      <c r="X743" s="4">
        <f>IF(ISERROR(VLOOKUP($U$743,'TAR FIN'!$A$1:$O$113,15,0)),0,VLOOKUP($U$743,'TAR FIN'!$A$1:$O$113,15,0))</f>
        <v>206.13</v>
      </c>
      <c r="Y743" s="4"/>
      <c r="Z743" s="4">
        <f ca="1">('TUSD BE'!$AM$53+'TUSD BF'!$AM$53+'TUSD CVA'!$AM$53)*(1-CUSTOS!$M$38)</f>
        <v>386.47391324808456</v>
      </c>
      <c r="AA743" s="4">
        <f>('TE BE'!$AA$32+'TE BF'!$AA$32+'TE CVA'!$AA$32)*(1-CUSTOS!$M$38)</f>
        <v>220.59856812487419</v>
      </c>
      <c r="AB743" s="4">
        <f t="shared" si="34"/>
        <v>0</v>
      </c>
      <c r="AC743" s="4">
        <f>(L743-M743)*(W743+X743)+($W$521+$X$521-$W$743-$X$743)*(L743)</f>
        <v>-1095.5428200000013</v>
      </c>
      <c r="AD743" s="4">
        <f t="shared" si="35"/>
        <v>0</v>
      </c>
      <c r="AE743" s="4">
        <f ca="1">(L743-M743)*(Z743+AA743)+($Z$521+$AA$521-$Z$743-$AA$743)*(L743)</f>
        <v>-609.41035624803396</v>
      </c>
      <c r="AF743" s="3" t="s">
        <v>1023</v>
      </c>
    </row>
    <row r="744" spans="1:32" ht="11.25" customHeight="1" x14ac:dyDescent="0.25">
      <c r="A744" s="3" t="s">
        <v>28</v>
      </c>
      <c r="B744" s="3" t="s">
        <v>44</v>
      </c>
      <c r="C744" s="3" t="s">
        <v>23</v>
      </c>
      <c r="D744" s="3" t="s">
        <v>45</v>
      </c>
      <c r="E744" s="3" t="s">
        <v>53</v>
      </c>
      <c r="F744" s="3" t="s">
        <v>54</v>
      </c>
      <c r="G744" s="3" t="s">
        <v>25</v>
      </c>
      <c r="H744" s="3" t="s">
        <v>25</v>
      </c>
      <c r="I744" s="6">
        <v>44531</v>
      </c>
      <c r="J744" s="4">
        <v>0</v>
      </c>
      <c r="K744" s="4">
        <v>0</v>
      </c>
      <c r="L744" s="4">
        <v>2.2290000000000001</v>
      </c>
      <c r="M744" s="4">
        <v>2.2290000000000001</v>
      </c>
      <c r="N744" s="4">
        <v>2.2290000000000001</v>
      </c>
      <c r="O744" s="4">
        <v>2.2290000000000001</v>
      </c>
      <c r="P744" s="4">
        <v>0</v>
      </c>
      <c r="Q744" s="3" t="s">
        <v>26</v>
      </c>
      <c r="R744" s="3">
        <v>0</v>
      </c>
      <c r="S744" s="3">
        <v>0</v>
      </c>
      <c r="T744" s="3">
        <v>34</v>
      </c>
      <c r="U744" s="3">
        <v>53</v>
      </c>
      <c r="V744" s="4">
        <f>IF(ISERROR(VLOOKUP($S$744,'TAR FIN'!$A$1:$O$113,15,0)),0,VLOOKUP($S$744,'TAR FIN'!$A$1:$O$113,15,0))</f>
        <v>0</v>
      </c>
      <c r="W744" s="4">
        <f>IF(ISERROR(VLOOKUP($T$744,'TAR FIN'!$A$1:$O$113,15,0)),0,VLOOKUP($T$744,'TAR FIN'!$A$1:$O$113,15,0))</f>
        <v>304.64999999999998</v>
      </c>
      <c r="X744" s="4">
        <f>IF(ISERROR(VLOOKUP($U$744,'TAR FIN'!$A$1:$O$113,15,0)),0,VLOOKUP($U$744,'TAR FIN'!$A$1:$O$113,15,0))</f>
        <v>206.13</v>
      </c>
      <c r="Y744" s="4"/>
      <c r="Z744" s="4">
        <f ca="1">('TUSD BE'!$AM$53+'TUSD BF'!$AM$53+'TUSD CVA'!$AM$53)*(1-CUSTOS!$M$38)</f>
        <v>386.47391324808456</v>
      </c>
      <c r="AA744" s="4">
        <f>('TE BE'!$AA$32+'TE BF'!$AA$32+'TE CVA'!$AA$32)*(1-CUSTOS!$M$38)</f>
        <v>220.59856812487419</v>
      </c>
      <c r="AB744" s="4">
        <f t="shared" si="34"/>
        <v>0</v>
      </c>
      <c r="AC744" s="4">
        <f>(L744-M744)*(W744+X744)+($W$521+$X$521-$W$744-$X$744)*(L744)</f>
        <v>155.27214000000018</v>
      </c>
      <c r="AD744" s="4">
        <f t="shared" si="35"/>
        <v>0</v>
      </c>
      <c r="AE744" s="4">
        <f ca="1">(L744-M744)*(Z744+AA744)+($Z$521+$AA$521-$Z$744-$AA$744)*(L744)</f>
        <v>86.37220602002084</v>
      </c>
      <c r="AF744" s="3" t="s">
        <v>1023</v>
      </c>
    </row>
    <row r="745" spans="1:32" ht="11.25" customHeight="1" x14ac:dyDescent="0.25">
      <c r="A745" s="3" t="s">
        <v>21</v>
      </c>
      <c r="B745" s="3" t="s">
        <v>44</v>
      </c>
      <c r="C745" s="3" t="s">
        <v>23</v>
      </c>
      <c r="D745" s="3" t="s">
        <v>45</v>
      </c>
      <c r="E745" s="3" t="s">
        <v>53</v>
      </c>
      <c r="F745" s="3" t="s">
        <v>54</v>
      </c>
      <c r="G745" s="3" t="s">
        <v>25</v>
      </c>
      <c r="H745" s="3" t="s">
        <v>25</v>
      </c>
      <c r="I745" s="6">
        <v>44562</v>
      </c>
      <c r="J745" s="4">
        <v>0</v>
      </c>
      <c r="K745" s="4">
        <v>0</v>
      </c>
      <c r="L745" s="4">
        <v>247.02600000000001</v>
      </c>
      <c r="M745" s="4">
        <v>247.02600000000001</v>
      </c>
      <c r="N745" s="4">
        <v>247.02600000000001</v>
      </c>
      <c r="O745" s="4">
        <v>247.02600000000001</v>
      </c>
      <c r="P745" s="4">
        <v>0</v>
      </c>
      <c r="Q745" s="3" t="s">
        <v>26</v>
      </c>
      <c r="R745" s="3">
        <v>0</v>
      </c>
      <c r="S745" s="3">
        <v>0</v>
      </c>
      <c r="T745" s="3">
        <v>34</v>
      </c>
      <c r="U745" s="3">
        <v>53</v>
      </c>
      <c r="V745" s="4">
        <f>IF(ISERROR(VLOOKUP($S$745,'TAR FIN'!$A$1:$O$113,15,0)),0,VLOOKUP($S$745,'TAR FIN'!$A$1:$O$113,15,0))</f>
        <v>0</v>
      </c>
      <c r="W745" s="4">
        <f>IF(ISERROR(VLOOKUP($T$745,'TAR FIN'!$A$1:$O$113,15,0)),0,VLOOKUP($T$745,'TAR FIN'!$A$1:$O$113,15,0))</f>
        <v>304.64999999999998</v>
      </c>
      <c r="X745" s="4">
        <f>IF(ISERROR(VLOOKUP($U$745,'TAR FIN'!$A$1:$O$113,15,0)),0,VLOOKUP($U$745,'TAR FIN'!$A$1:$O$113,15,0))</f>
        <v>206.13</v>
      </c>
      <c r="Y745" s="4"/>
      <c r="Z745" s="4">
        <f ca="1">('TUSD BE'!$AM$53+'TUSD BF'!$AM$53+'TUSD CVA'!$AM$53)*(1-CUSTOS!$M$38)</f>
        <v>386.47391324808456</v>
      </c>
      <c r="AA745" s="4">
        <f>('TE BE'!$AA$32+'TE BF'!$AA$32+'TE CVA'!$AA$32)*(1-CUSTOS!$M$38)</f>
        <v>220.59856812487419</v>
      </c>
      <c r="AB745" s="4">
        <f t="shared" si="34"/>
        <v>0</v>
      </c>
      <c r="AC745" s="4">
        <f>(L745-M745)*(W745+X745)+($W$521+$X$521-$W$745-$X$745)*(L745)</f>
        <v>17207.83116000002</v>
      </c>
      <c r="AD745" s="4">
        <f t="shared" si="35"/>
        <v>0</v>
      </c>
      <c r="AE745" s="4">
        <f ca="1">(L745-M745)*(Z745+AA745)+($Z$521+$AA$521-$Z$745-$AA$745)*(L745)</f>
        <v>9572.0863904448943</v>
      </c>
      <c r="AF745" s="3" t="s">
        <v>1023</v>
      </c>
    </row>
    <row r="746" spans="1:32" ht="11.25" customHeight="1" x14ac:dyDescent="0.25">
      <c r="A746" s="3" t="s">
        <v>28</v>
      </c>
      <c r="B746" s="3" t="s">
        <v>44</v>
      </c>
      <c r="C746" s="3" t="s">
        <v>23</v>
      </c>
      <c r="D746" s="3" t="s">
        <v>45</v>
      </c>
      <c r="E746" s="3" t="s">
        <v>53</v>
      </c>
      <c r="F746" s="3" t="s">
        <v>54</v>
      </c>
      <c r="G746" s="3" t="s">
        <v>25</v>
      </c>
      <c r="H746" s="3" t="s">
        <v>25</v>
      </c>
      <c r="I746" s="6">
        <v>44562</v>
      </c>
      <c r="J746" s="4">
        <v>0</v>
      </c>
      <c r="K746" s="4">
        <v>0</v>
      </c>
      <c r="L746" s="4">
        <v>1.9119999999999999</v>
      </c>
      <c r="M746" s="4">
        <v>1.9119999999999999</v>
      </c>
      <c r="N746" s="4">
        <v>1.9119999999999999</v>
      </c>
      <c r="O746" s="4">
        <v>1.9119999999999999</v>
      </c>
      <c r="P746" s="4">
        <v>0</v>
      </c>
      <c r="Q746" s="3" t="s">
        <v>26</v>
      </c>
      <c r="R746" s="3">
        <v>0</v>
      </c>
      <c r="S746" s="3">
        <v>0</v>
      </c>
      <c r="T746" s="3">
        <v>34</v>
      </c>
      <c r="U746" s="3">
        <v>53</v>
      </c>
      <c r="V746" s="4">
        <f>IF(ISERROR(VLOOKUP($S$746,'TAR FIN'!$A$1:$O$113,15,0)),0,VLOOKUP($S$746,'TAR FIN'!$A$1:$O$113,15,0))</f>
        <v>0</v>
      </c>
      <c r="W746" s="4">
        <f>IF(ISERROR(VLOOKUP($T$746,'TAR FIN'!$A$1:$O$113,15,0)),0,VLOOKUP($T$746,'TAR FIN'!$A$1:$O$113,15,0))</f>
        <v>304.64999999999998</v>
      </c>
      <c r="X746" s="4">
        <f>IF(ISERROR(VLOOKUP($U$746,'TAR FIN'!$A$1:$O$113,15,0)),0,VLOOKUP($U$746,'TAR FIN'!$A$1:$O$113,15,0))</f>
        <v>206.13</v>
      </c>
      <c r="Y746" s="4"/>
      <c r="Z746" s="4">
        <f ca="1">('TUSD BE'!$AM$53+'TUSD BF'!$AM$53+'TUSD CVA'!$AM$53)*(1-CUSTOS!$M$38)</f>
        <v>386.47391324808456</v>
      </c>
      <c r="AA746" s="4">
        <f>('TE BE'!$AA$32+'TE BF'!$AA$32+'TE CVA'!$AA$32)*(1-CUSTOS!$M$38)</f>
        <v>220.59856812487419</v>
      </c>
      <c r="AB746" s="4">
        <f t="shared" si="34"/>
        <v>0</v>
      </c>
      <c r="AC746" s="4">
        <f>(L746-M746)*(W746+X746)+($W$521+$X$521-$W$746-$X$746)*(L746)</f>
        <v>133.18992000000014</v>
      </c>
      <c r="AD746" s="4">
        <f t="shared" si="35"/>
        <v>0</v>
      </c>
      <c r="AE746" s="4">
        <f ca="1">(L746-M746)*(Z746+AA746)+($Z$521+$AA$521-$Z$746-$AA$746)*(L746)</f>
        <v>74.088675599048827</v>
      </c>
      <c r="AF746" s="3" t="s">
        <v>1023</v>
      </c>
    </row>
    <row r="747" spans="1:32" ht="11.25" customHeight="1" x14ac:dyDescent="0.25">
      <c r="A747" s="3" t="s">
        <v>21</v>
      </c>
      <c r="B747" s="3" t="s">
        <v>44</v>
      </c>
      <c r="C747" s="3" t="s">
        <v>23</v>
      </c>
      <c r="D747" s="3" t="s">
        <v>45</v>
      </c>
      <c r="E747" s="3" t="s">
        <v>53</v>
      </c>
      <c r="F747" s="3" t="s">
        <v>54</v>
      </c>
      <c r="G747" s="3" t="s">
        <v>25</v>
      </c>
      <c r="H747" s="3" t="s">
        <v>25</v>
      </c>
      <c r="I747" s="6">
        <v>44593</v>
      </c>
      <c r="J747" s="4">
        <v>0</v>
      </c>
      <c r="K747" s="4">
        <v>0</v>
      </c>
      <c r="L747" s="4">
        <v>254.04</v>
      </c>
      <c r="M747" s="4">
        <v>254.04</v>
      </c>
      <c r="N747" s="4">
        <v>254.04</v>
      </c>
      <c r="O747" s="4">
        <v>254.04</v>
      </c>
      <c r="P747" s="4">
        <v>0</v>
      </c>
      <c r="Q747" s="3" t="s">
        <v>26</v>
      </c>
      <c r="R747" s="3">
        <v>0</v>
      </c>
      <c r="S747" s="3">
        <v>0</v>
      </c>
      <c r="T747" s="3">
        <v>34</v>
      </c>
      <c r="U747" s="3">
        <v>53</v>
      </c>
      <c r="V747" s="4">
        <f>IF(ISERROR(VLOOKUP($S$747,'TAR FIN'!$A$1:$O$113,15,0)),0,VLOOKUP($S$747,'TAR FIN'!$A$1:$O$113,15,0))</f>
        <v>0</v>
      </c>
      <c r="W747" s="4">
        <f>IF(ISERROR(VLOOKUP($T$747,'TAR FIN'!$A$1:$O$113,15,0)),0,VLOOKUP($T$747,'TAR FIN'!$A$1:$O$113,15,0))</f>
        <v>304.64999999999998</v>
      </c>
      <c r="X747" s="4">
        <f>IF(ISERROR(VLOOKUP($U$747,'TAR FIN'!$A$1:$O$113,15,0)),0,VLOOKUP($U$747,'TAR FIN'!$A$1:$O$113,15,0))</f>
        <v>206.13</v>
      </c>
      <c r="Y747" s="4"/>
      <c r="Z747" s="4">
        <f ca="1">('TUSD BE'!$AM$53+'TUSD BF'!$AM$53+'TUSD CVA'!$AM$53)*(1-CUSTOS!$M$38)</f>
        <v>386.47391324808456</v>
      </c>
      <c r="AA747" s="4">
        <f>('TE BE'!$AA$32+'TE BF'!$AA$32+'TE CVA'!$AA$32)*(1-CUSTOS!$M$38)</f>
        <v>220.59856812487419</v>
      </c>
      <c r="AB747" s="4">
        <f t="shared" si="34"/>
        <v>0</v>
      </c>
      <c r="AC747" s="4">
        <f>(L747-M747)*(W747+X747)+($W$521+$X$521-$W$747-$X$747)*(L747)</f>
        <v>17696.426400000018</v>
      </c>
      <c r="AD747" s="4">
        <f t="shared" si="35"/>
        <v>0</v>
      </c>
      <c r="AE747" s="4">
        <f ca="1">(L747-M747)*(Z747+AA747)+($Z$521+$AA$521-$Z$747-$AA$747)*(L747)</f>
        <v>9843.8740319991448</v>
      </c>
      <c r="AF747" s="3" t="s">
        <v>1023</v>
      </c>
    </row>
    <row r="748" spans="1:32" ht="11.25" customHeight="1" x14ac:dyDescent="0.25">
      <c r="A748" s="3" t="s">
        <v>28</v>
      </c>
      <c r="B748" s="3" t="s">
        <v>44</v>
      </c>
      <c r="C748" s="3" t="s">
        <v>23</v>
      </c>
      <c r="D748" s="3" t="s">
        <v>45</v>
      </c>
      <c r="E748" s="3" t="s">
        <v>53</v>
      </c>
      <c r="F748" s="3" t="s">
        <v>54</v>
      </c>
      <c r="G748" s="3" t="s">
        <v>25</v>
      </c>
      <c r="H748" s="3" t="s">
        <v>25</v>
      </c>
      <c r="I748" s="6">
        <v>44593</v>
      </c>
      <c r="J748" s="4">
        <v>0</v>
      </c>
      <c r="K748" s="4">
        <v>0</v>
      </c>
      <c r="L748" s="4">
        <v>2.0529999999999999</v>
      </c>
      <c r="M748" s="4">
        <v>2.0529999999999999</v>
      </c>
      <c r="N748" s="4">
        <v>2.0529999999999999</v>
      </c>
      <c r="O748" s="4">
        <v>2.0529999999999999</v>
      </c>
      <c r="P748" s="4">
        <v>0</v>
      </c>
      <c r="Q748" s="3" t="s">
        <v>26</v>
      </c>
      <c r="R748" s="3">
        <v>0</v>
      </c>
      <c r="S748" s="3">
        <v>0</v>
      </c>
      <c r="T748" s="3">
        <v>34</v>
      </c>
      <c r="U748" s="3">
        <v>53</v>
      </c>
      <c r="V748" s="4">
        <f>IF(ISERROR(VLOOKUP($S$748,'TAR FIN'!$A$1:$O$113,15,0)),0,VLOOKUP($S$748,'TAR FIN'!$A$1:$O$113,15,0))</f>
        <v>0</v>
      </c>
      <c r="W748" s="4">
        <f>IF(ISERROR(VLOOKUP($T$748,'TAR FIN'!$A$1:$O$113,15,0)),0,VLOOKUP($T$748,'TAR FIN'!$A$1:$O$113,15,0))</f>
        <v>304.64999999999998</v>
      </c>
      <c r="X748" s="4">
        <f>IF(ISERROR(VLOOKUP($U$748,'TAR FIN'!$A$1:$O$113,15,0)),0,VLOOKUP($U$748,'TAR FIN'!$A$1:$O$113,15,0))</f>
        <v>206.13</v>
      </c>
      <c r="Y748" s="4"/>
      <c r="Z748" s="4">
        <f ca="1">('TUSD BE'!$AM$53+'TUSD BF'!$AM$53+'TUSD CVA'!$AM$53)*(1-CUSTOS!$M$38)</f>
        <v>386.47391324808456</v>
      </c>
      <c r="AA748" s="4">
        <f>('TE BE'!$AA$32+'TE BF'!$AA$32+'TE CVA'!$AA$32)*(1-CUSTOS!$M$38)</f>
        <v>220.59856812487419</v>
      </c>
      <c r="AB748" s="4">
        <f t="shared" si="34"/>
        <v>0</v>
      </c>
      <c r="AC748" s="4">
        <f>(L748-M748)*(W748+X748)+($W$521+$X$521-$W$748-$X$748)*(L748)</f>
        <v>143.01198000000016</v>
      </c>
      <c r="AD748" s="4">
        <f t="shared" si="35"/>
        <v>0</v>
      </c>
      <c r="AE748" s="4">
        <f ca="1">(L748-M748)*(Z748+AA748)+($Z$521+$AA$521-$Z$748-$AA$748)*(L748)</f>
        <v>79.552327931405458</v>
      </c>
      <c r="AF748" s="3" t="s">
        <v>1023</v>
      </c>
    </row>
    <row r="749" spans="1:32" ht="11.25" customHeight="1" x14ac:dyDescent="0.25">
      <c r="A749" s="3" t="s">
        <v>56</v>
      </c>
      <c r="B749" s="3" t="s">
        <v>44</v>
      </c>
      <c r="C749" s="3" t="s">
        <v>23</v>
      </c>
      <c r="D749" s="3" t="s">
        <v>45</v>
      </c>
      <c r="E749" s="3" t="s">
        <v>53</v>
      </c>
      <c r="F749" s="3" t="s">
        <v>54</v>
      </c>
      <c r="G749" s="3" t="s">
        <v>25</v>
      </c>
      <c r="H749" s="3" t="s">
        <v>25</v>
      </c>
      <c r="I749" s="6">
        <v>44621</v>
      </c>
      <c r="J749" s="4">
        <v>0</v>
      </c>
      <c r="K749" s="4">
        <v>0</v>
      </c>
      <c r="L749" s="4">
        <v>254.04</v>
      </c>
      <c r="M749" s="4">
        <v>254.04</v>
      </c>
      <c r="N749" s="4">
        <v>254.04</v>
      </c>
      <c r="O749" s="4">
        <v>254.04</v>
      </c>
      <c r="P749" s="4">
        <v>0</v>
      </c>
      <c r="Q749" s="3" t="s">
        <v>26</v>
      </c>
      <c r="R749" s="3">
        <v>0</v>
      </c>
      <c r="S749" s="3">
        <v>0</v>
      </c>
      <c r="T749" s="3">
        <v>34</v>
      </c>
      <c r="U749" s="3">
        <v>53</v>
      </c>
      <c r="V749" s="4">
        <f>IF(ISERROR(VLOOKUP($S$749,'TAR FIN'!$A$1:$O$113,15,0)),0,VLOOKUP($S$749,'TAR FIN'!$A$1:$O$113,15,0))</f>
        <v>0</v>
      </c>
      <c r="W749" s="4">
        <f>IF(ISERROR(VLOOKUP($T$749,'TAR FIN'!$A$1:$O$113,15,0)),0,VLOOKUP($T$749,'TAR FIN'!$A$1:$O$113,15,0))</f>
        <v>304.64999999999998</v>
      </c>
      <c r="X749" s="4">
        <f>IF(ISERROR(VLOOKUP($U$749,'TAR FIN'!$A$1:$O$113,15,0)),0,VLOOKUP($U$749,'TAR FIN'!$A$1:$O$113,15,0))</f>
        <v>206.13</v>
      </c>
      <c r="Y749" s="4"/>
      <c r="Z749" s="4">
        <f ca="1">('TUSD BE'!$AM$53+'TUSD BF'!$AM$53+'TUSD CVA'!$AM$53)*(1-CUSTOS!$M$38)</f>
        <v>386.47391324808456</v>
      </c>
      <c r="AA749" s="4">
        <f>('TE BE'!$AA$32+'TE BF'!$AA$32+'TE CVA'!$AA$32)*(1-CUSTOS!$M$38)</f>
        <v>220.59856812487419</v>
      </c>
      <c r="AB749" s="4">
        <f t="shared" si="34"/>
        <v>0</v>
      </c>
      <c r="AC749" s="4">
        <f>(L749-M749)*(W749+X749)+($W$521+$X$521-$W$749-$X$749)*(L749)</f>
        <v>17696.426400000018</v>
      </c>
      <c r="AD749" s="4">
        <f t="shared" si="35"/>
        <v>0</v>
      </c>
      <c r="AE749" s="4">
        <f ca="1">(L749-M749)*(Z749+AA749)+($Z$521+$AA$521-$Z$749-$AA$749)*(L749)</f>
        <v>9843.8740319991448</v>
      </c>
      <c r="AF749" s="3" t="s">
        <v>1023</v>
      </c>
    </row>
    <row r="750" spans="1:32" ht="11.25" customHeight="1" x14ac:dyDescent="0.25">
      <c r="A750" s="3" t="s">
        <v>56</v>
      </c>
      <c r="B750" s="3" t="s">
        <v>44</v>
      </c>
      <c r="C750" s="3" t="s">
        <v>23</v>
      </c>
      <c r="D750" s="3" t="s">
        <v>45</v>
      </c>
      <c r="E750" s="3" t="s">
        <v>53</v>
      </c>
      <c r="F750" s="3" t="s">
        <v>54</v>
      </c>
      <c r="G750" s="3" t="s">
        <v>25</v>
      </c>
      <c r="H750" s="3" t="s">
        <v>25</v>
      </c>
      <c r="I750" s="6">
        <v>44621</v>
      </c>
      <c r="J750" s="4">
        <v>0</v>
      </c>
      <c r="K750" s="4">
        <v>0</v>
      </c>
      <c r="L750" s="4">
        <v>2.0529999999999999</v>
      </c>
      <c r="M750" s="4">
        <v>2.0529999999999999</v>
      </c>
      <c r="N750" s="4">
        <v>2.0529999999999999</v>
      </c>
      <c r="O750" s="4">
        <v>2.0529999999999999</v>
      </c>
      <c r="P750" s="4">
        <v>0</v>
      </c>
      <c r="Q750" s="3" t="s">
        <v>26</v>
      </c>
      <c r="R750" s="3">
        <v>0</v>
      </c>
      <c r="S750" s="3">
        <v>0</v>
      </c>
      <c r="T750" s="3">
        <v>34</v>
      </c>
      <c r="U750" s="3">
        <v>53</v>
      </c>
      <c r="V750" s="4">
        <f>IF(ISERROR(VLOOKUP($S$750,'TAR FIN'!$A$1:$O$113,15,0)),0,VLOOKUP($S$750,'TAR FIN'!$A$1:$O$113,15,0))</f>
        <v>0</v>
      </c>
      <c r="W750" s="4">
        <f>IF(ISERROR(VLOOKUP($T$750,'TAR FIN'!$A$1:$O$113,15,0)),0,VLOOKUP($T$750,'TAR FIN'!$A$1:$O$113,15,0))</f>
        <v>304.64999999999998</v>
      </c>
      <c r="X750" s="4">
        <f>IF(ISERROR(VLOOKUP($U$750,'TAR FIN'!$A$1:$O$113,15,0)),0,VLOOKUP($U$750,'TAR FIN'!$A$1:$O$113,15,0))</f>
        <v>206.13</v>
      </c>
      <c r="Y750" s="4"/>
      <c r="Z750" s="4">
        <f ca="1">('TUSD BE'!$AM$53+'TUSD BF'!$AM$53+'TUSD CVA'!$AM$53)*(1-CUSTOS!$M$38)</f>
        <v>386.47391324808456</v>
      </c>
      <c r="AA750" s="4">
        <f>('TE BE'!$AA$32+'TE BF'!$AA$32+'TE CVA'!$AA$32)*(1-CUSTOS!$M$38)</f>
        <v>220.59856812487419</v>
      </c>
      <c r="AB750" s="4">
        <f t="shared" si="34"/>
        <v>0</v>
      </c>
      <c r="AC750" s="4">
        <f>(L750-M750)*(W750+X750)+($W$521+$X$521-$W$750-$X$750)*(L750)</f>
        <v>143.01198000000016</v>
      </c>
      <c r="AD750" s="4">
        <f t="shared" si="35"/>
        <v>0</v>
      </c>
      <c r="AE750" s="4">
        <f ca="1">(L750-M750)*(Z750+AA750)+($Z$521+$AA$521-$Z$750-$AA$750)*(L750)</f>
        <v>79.552327931405458</v>
      </c>
      <c r="AF750" s="3" t="s">
        <v>1023</v>
      </c>
    </row>
    <row r="751" spans="1:32" ht="11.25" customHeight="1" x14ac:dyDescent="0.25">
      <c r="A751" s="3" t="s">
        <v>21</v>
      </c>
      <c r="B751" s="3" t="s">
        <v>44</v>
      </c>
      <c r="C751" s="3" t="s">
        <v>23</v>
      </c>
      <c r="D751" s="3" t="s">
        <v>45</v>
      </c>
      <c r="E751" s="3" t="s">
        <v>53</v>
      </c>
      <c r="F751" s="3" t="s">
        <v>55</v>
      </c>
      <c r="G751" s="3" t="s">
        <v>25</v>
      </c>
      <c r="H751" s="3" t="s">
        <v>25</v>
      </c>
      <c r="I751" s="6">
        <v>44287</v>
      </c>
      <c r="J751" s="4">
        <v>0</v>
      </c>
      <c r="K751" s="4">
        <v>0</v>
      </c>
      <c r="L751" s="4">
        <v>328.82900000000001</v>
      </c>
      <c r="M751" s="4">
        <v>88.783829999999995</v>
      </c>
      <c r="N751" s="4">
        <v>328.82900000000001</v>
      </c>
      <c r="O751" s="4">
        <v>88.783829999999995</v>
      </c>
      <c r="P751" s="4">
        <v>0</v>
      </c>
      <c r="Q751" s="3" t="s">
        <v>26</v>
      </c>
      <c r="R751" s="3">
        <v>0</v>
      </c>
      <c r="S751" s="3">
        <v>0</v>
      </c>
      <c r="T751" s="3">
        <v>34</v>
      </c>
      <c r="U751" s="3">
        <v>53</v>
      </c>
      <c r="V751" s="4">
        <f>IF(ISERROR(VLOOKUP($S$751,'TAR FIN'!$A$1:$O$113,15,0)),0,VLOOKUP($S$751,'TAR FIN'!$A$1:$O$113,15,0))</f>
        <v>0</v>
      </c>
      <c r="W751" s="4">
        <f>IF(ISERROR(VLOOKUP($T$751,'TAR FIN'!$A$1:$O$113,15,0)),0,VLOOKUP($T$751,'TAR FIN'!$A$1:$O$113,15,0))</f>
        <v>304.64999999999998</v>
      </c>
      <c r="X751" s="4">
        <f>IF(ISERROR(VLOOKUP($U$751,'TAR FIN'!$A$1:$O$113,15,0)),0,VLOOKUP($U$751,'TAR FIN'!$A$1:$O$113,15,0))</f>
        <v>206.13</v>
      </c>
      <c r="Y751" s="4"/>
      <c r="Z751" s="4">
        <f ca="1">('TUSD BE'!$AM$53+'TUSD BF'!$AM$53+'TUSD CVA'!$AM$53)*(1-CUSTOS!$M$38)</f>
        <v>386.47391324808456</v>
      </c>
      <c r="AA751" s="4">
        <f>('TE BE'!$AA$32+'TE BF'!$AA$32+'TE CVA'!$AA$32)*(1-CUSTOS!$M$38)</f>
        <v>220.59856812487419</v>
      </c>
      <c r="AB751" s="4">
        <f t="shared" si="34"/>
        <v>0</v>
      </c>
      <c r="AC751" s="4">
        <f>(L751-M751)*(W751+X751)+($W$521+$X$521-$W$751-$X$751)*(L751)</f>
        <v>145516.50007260003</v>
      </c>
      <c r="AD751" s="4">
        <f t="shared" si="35"/>
        <v>0</v>
      </c>
      <c r="AE751" s="4">
        <f ca="1">(L751-M751)*(Z751+AA751)+($Z$521+$AA$521-$Z$751-$AA$751)*(L751)</f>
        <v>158466.71297077383</v>
      </c>
      <c r="AF751" s="3" t="s">
        <v>1024</v>
      </c>
    </row>
    <row r="752" spans="1:32" ht="11.25" customHeight="1" x14ac:dyDescent="0.25">
      <c r="A752" s="3" t="s">
        <v>27</v>
      </c>
      <c r="B752" s="3" t="s">
        <v>44</v>
      </c>
      <c r="C752" s="3" t="s">
        <v>23</v>
      </c>
      <c r="D752" s="3" t="s">
        <v>45</v>
      </c>
      <c r="E752" s="3" t="s">
        <v>53</v>
      </c>
      <c r="F752" s="3" t="s">
        <v>55</v>
      </c>
      <c r="G752" s="3" t="s">
        <v>25</v>
      </c>
      <c r="H752" s="3" t="s">
        <v>25</v>
      </c>
      <c r="I752" s="6">
        <v>44287</v>
      </c>
      <c r="J752" s="4">
        <v>0</v>
      </c>
      <c r="K752" s="4">
        <v>0</v>
      </c>
      <c r="L752" s="4">
        <v>-6.5629999999999997</v>
      </c>
      <c r="M752" s="4">
        <v>-1.7720100000000001</v>
      </c>
      <c r="N752" s="4">
        <v>-6.5629999999999997</v>
      </c>
      <c r="O752" s="4">
        <v>-1.7720100000000001</v>
      </c>
      <c r="P752" s="4">
        <v>0</v>
      </c>
      <c r="Q752" s="3" t="s">
        <v>26</v>
      </c>
      <c r="R752" s="3">
        <v>0</v>
      </c>
      <c r="S752" s="3">
        <v>0</v>
      </c>
      <c r="T752" s="3">
        <v>34</v>
      </c>
      <c r="U752" s="3">
        <v>53</v>
      </c>
      <c r="V752" s="4">
        <f>IF(ISERROR(VLOOKUP($S$752,'TAR FIN'!$A$1:$O$113,15,0)),0,VLOOKUP($S$752,'TAR FIN'!$A$1:$O$113,15,0))</f>
        <v>0</v>
      </c>
      <c r="W752" s="4">
        <f>IF(ISERROR(VLOOKUP($T$752,'TAR FIN'!$A$1:$O$113,15,0)),0,VLOOKUP($T$752,'TAR FIN'!$A$1:$O$113,15,0))</f>
        <v>304.64999999999998</v>
      </c>
      <c r="X752" s="4">
        <f>IF(ISERROR(VLOOKUP($U$752,'TAR FIN'!$A$1:$O$113,15,0)),0,VLOOKUP($U$752,'TAR FIN'!$A$1:$O$113,15,0))</f>
        <v>206.13</v>
      </c>
      <c r="Y752" s="4"/>
      <c r="Z752" s="4">
        <f ca="1">('TUSD BE'!$AM$53+'TUSD BF'!$AM$53+'TUSD CVA'!$AM$53)*(1-CUSTOS!$M$38)</f>
        <v>386.47391324808456</v>
      </c>
      <c r="AA752" s="4">
        <f>('TE BE'!$AA$32+'TE BF'!$AA$32+'TE CVA'!$AA$32)*(1-CUSTOS!$M$38)</f>
        <v>220.59856812487419</v>
      </c>
      <c r="AB752" s="4">
        <f t="shared" si="34"/>
        <v>0</v>
      </c>
      <c r="AC752" s="4">
        <f>(L752-M752)*(W752+X752)+($W$521+$X$521-$W$752-$X$752)*(L752)</f>
        <v>-2904.3204522000005</v>
      </c>
      <c r="AD752" s="4">
        <f t="shared" si="35"/>
        <v>0</v>
      </c>
      <c r="AE752" s="4">
        <f ca="1">(L752-M752)*(Z752+AA752)+($Z$521+$AA$521-$Z$752-$AA$752)*(L752)</f>
        <v>-3162.7898914852058</v>
      </c>
      <c r="AF752" s="3" t="s">
        <v>1024</v>
      </c>
    </row>
    <row r="753" spans="1:32" ht="11.25" customHeight="1" x14ac:dyDescent="0.25">
      <c r="A753" s="3" t="s">
        <v>28</v>
      </c>
      <c r="B753" s="3" t="s">
        <v>44</v>
      </c>
      <c r="C753" s="3" t="s">
        <v>23</v>
      </c>
      <c r="D753" s="3" t="s">
        <v>45</v>
      </c>
      <c r="E753" s="3" t="s">
        <v>53</v>
      </c>
      <c r="F753" s="3" t="s">
        <v>55</v>
      </c>
      <c r="G753" s="3" t="s">
        <v>25</v>
      </c>
      <c r="H753" s="3" t="s">
        <v>25</v>
      </c>
      <c r="I753" s="6">
        <v>44287</v>
      </c>
      <c r="J753" s="4">
        <v>0</v>
      </c>
      <c r="K753" s="4">
        <v>0</v>
      </c>
      <c r="L753" s="4">
        <v>1.4239999999999999</v>
      </c>
      <c r="M753" s="4">
        <v>0.38447999999999999</v>
      </c>
      <c r="N753" s="4">
        <v>1.4239999999999999</v>
      </c>
      <c r="O753" s="4">
        <v>0.38447999999999999</v>
      </c>
      <c r="P753" s="4">
        <v>0</v>
      </c>
      <c r="Q753" s="3" t="s">
        <v>26</v>
      </c>
      <c r="R753" s="3">
        <v>0</v>
      </c>
      <c r="S753" s="3">
        <v>0</v>
      </c>
      <c r="T753" s="3">
        <v>34</v>
      </c>
      <c r="U753" s="3">
        <v>53</v>
      </c>
      <c r="V753" s="4">
        <f>IF(ISERROR(VLOOKUP($S$753,'TAR FIN'!$A$1:$O$113,15,0)),0,VLOOKUP($S$753,'TAR FIN'!$A$1:$O$113,15,0))</f>
        <v>0</v>
      </c>
      <c r="W753" s="4">
        <f>IF(ISERROR(VLOOKUP($T$753,'TAR FIN'!$A$1:$O$113,15,0)),0,VLOOKUP($T$753,'TAR FIN'!$A$1:$O$113,15,0))</f>
        <v>304.64999999999998</v>
      </c>
      <c r="X753" s="4">
        <f>IF(ISERROR(VLOOKUP($U$753,'TAR FIN'!$A$1:$O$113,15,0)),0,VLOOKUP($U$753,'TAR FIN'!$A$1:$O$113,15,0))</f>
        <v>206.13</v>
      </c>
      <c r="Y753" s="4"/>
      <c r="Z753" s="4">
        <f ca="1">('TUSD BE'!$AM$53+'TUSD BF'!$AM$53+'TUSD CVA'!$AM$53)*(1-CUSTOS!$M$38)</f>
        <v>386.47391324808456</v>
      </c>
      <c r="AA753" s="4">
        <f>('TE BE'!$AA$32+'TE BF'!$AA$32+'TE CVA'!$AA$32)*(1-CUSTOS!$M$38)</f>
        <v>220.59856812487419</v>
      </c>
      <c r="AB753" s="4">
        <f t="shared" si="34"/>
        <v>0</v>
      </c>
      <c r="AC753" s="4">
        <f>(L753-M753)*(W753+X753)+($W$521+$X$521-$W$753-$X$753)*(L753)</f>
        <v>630.16186560000006</v>
      </c>
      <c r="AD753" s="4">
        <f t="shared" si="35"/>
        <v>0</v>
      </c>
      <c r="AE753" s="4">
        <f ca="1">(L753-M753)*(Z753+AA753)+($Z$521+$AA$521-$Z$753-$AA$753)*(L753)</f>
        <v>686.24299946288784</v>
      </c>
      <c r="AF753" s="3" t="s">
        <v>1024</v>
      </c>
    </row>
    <row r="754" spans="1:32" ht="11.25" customHeight="1" x14ac:dyDescent="0.25">
      <c r="A754" s="3" t="s">
        <v>21</v>
      </c>
      <c r="B754" s="3" t="s">
        <v>44</v>
      </c>
      <c r="C754" s="3" t="s">
        <v>23</v>
      </c>
      <c r="D754" s="3" t="s">
        <v>45</v>
      </c>
      <c r="E754" s="3" t="s">
        <v>53</v>
      </c>
      <c r="F754" s="3" t="s">
        <v>55</v>
      </c>
      <c r="G754" s="3" t="s">
        <v>25</v>
      </c>
      <c r="H754" s="3" t="s">
        <v>25</v>
      </c>
      <c r="I754" s="6">
        <v>44317</v>
      </c>
      <c r="J754" s="4">
        <v>0</v>
      </c>
      <c r="K754" s="4">
        <v>0</v>
      </c>
      <c r="L754" s="4">
        <v>120.88200000000001</v>
      </c>
      <c r="M754" s="4">
        <v>32.63814</v>
      </c>
      <c r="N754" s="4">
        <v>120.88200000000001</v>
      </c>
      <c r="O754" s="4">
        <v>32.63814</v>
      </c>
      <c r="P754" s="4">
        <v>0</v>
      </c>
      <c r="Q754" s="3" t="s">
        <v>26</v>
      </c>
      <c r="R754" s="3">
        <v>0</v>
      </c>
      <c r="S754" s="3">
        <v>0</v>
      </c>
      <c r="T754" s="3">
        <v>34</v>
      </c>
      <c r="U754" s="3">
        <v>53</v>
      </c>
      <c r="V754" s="4">
        <f>IF(ISERROR(VLOOKUP($S$754,'TAR FIN'!$A$1:$O$113,15,0)),0,VLOOKUP($S$754,'TAR FIN'!$A$1:$O$113,15,0))</f>
        <v>0</v>
      </c>
      <c r="W754" s="4">
        <f>IF(ISERROR(VLOOKUP($T$754,'TAR FIN'!$A$1:$O$113,15,0)),0,VLOOKUP($T$754,'TAR FIN'!$A$1:$O$113,15,0))</f>
        <v>304.64999999999998</v>
      </c>
      <c r="X754" s="4">
        <f>IF(ISERROR(VLOOKUP($U$754,'TAR FIN'!$A$1:$O$113,15,0)),0,VLOOKUP($U$754,'TAR FIN'!$A$1:$O$113,15,0))</f>
        <v>206.13</v>
      </c>
      <c r="Y754" s="4"/>
      <c r="Z754" s="4">
        <f ca="1">('TUSD BE'!$AM$53+'TUSD BF'!$AM$53+'TUSD CVA'!$AM$53)*(1-CUSTOS!$M$38)</f>
        <v>386.47391324808456</v>
      </c>
      <c r="AA754" s="4">
        <f>('TE BE'!$AA$32+'TE BF'!$AA$32+'TE CVA'!$AA$32)*(1-CUSTOS!$M$38)</f>
        <v>220.59856812487419</v>
      </c>
      <c r="AB754" s="4">
        <f t="shared" si="34"/>
        <v>0</v>
      </c>
      <c r="AC754" s="4">
        <f>(L754-M754)*(W754+X754)+($W$521+$X$521-$W$754-$X$754)*(L754)</f>
        <v>53493.838930800011</v>
      </c>
      <c r="AD754" s="4">
        <f t="shared" si="35"/>
        <v>0</v>
      </c>
      <c r="AE754" s="4">
        <f ca="1">(L754-M754)*(Z754+AA754)+($Z$521+$AA$521-$Z$754-$AA$754)*(L754)</f>
        <v>58254.512823787096</v>
      </c>
      <c r="AF754" s="3" t="s">
        <v>1024</v>
      </c>
    </row>
    <row r="755" spans="1:32" ht="11.25" customHeight="1" x14ac:dyDescent="0.25">
      <c r="A755" s="3" t="s">
        <v>27</v>
      </c>
      <c r="B755" s="3" t="s">
        <v>44</v>
      </c>
      <c r="C755" s="3" t="s">
        <v>23</v>
      </c>
      <c r="D755" s="3" t="s">
        <v>45</v>
      </c>
      <c r="E755" s="3" t="s">
        <v>53</v>
      </c>
      <c r="F755" s="3" t="s">
        <v>55</v>
      </c>
      <c r="G755" s="3" t="s">
        <v>25</v>
      </c>
      <c r="H755" s="3" t="s">
        <v>25</v>
      </c>
      <c r="I755" s="6">
        <v>44317</v>
      </c>
      <c r="J755" s="4">
        <v>0</v>
      </c>
      <c r="K755" s="4">
        <v>0</v>
      </c>
      <c r="L755" s="4">
        <v>-1.8</v>
      </c>
      <c r="M755" s="4">
        <v>-0.48599999999999999</v>
      </c>
      <c r="N755" s="4">
        <v>-1.8</v>
      </c>
      <c r="O755" s="4">
        <v>-0.48599999999999999</v>
      </c>
      <c r="P755" s="4">
        <v>0</v>
      </c>
      <c r="Q755" s="3" t="s">
        <v>26</v>
      </c>
      <c r="R755" s="3">
        <v>0</v>
      </c>
      <c r="S755" s="3">
        <v>0</v>
      </c>
      <c r="T755" s="3">
        <v>34</v>
      </c>
      <c r="U755" s="3">
        <v>53</v>
      </c>
      <c r="V755" s="4">
        <f>IF(ISERROR(VLOOKUP($S$755,'TAR FIN'!$A$1:$O$113,15,0)),0,VLOOKUP($S$755,'TAR FIN'!$A$1:$O$113,15,0))</f>
        <v>0</v>
      </c>
      <c r="W755" s="4">
        <f>IF(ISERROR(VLOOKUP($T$755,'TAR FIN'!$A$1:$O$113,15,0)),0,VLOOKUP($T$755,'TAR FIN'!$A$1:$O$113,15,0))</f>
        <v>304.64999999999998</v>
      </c>
      <c r="X755" s="4">
        <f>IF(ISERROR(VLOOKUP($U$755,'TAR FIN'!$A$1:$O$113,15,0)),0,VLOOKUP($U$755,'TAR FIN'!$A$1:$O$113,15,0))</f>
        <v>206.13</v>
      </c>
      <c r="Y755" s="4"/>
      <c r="Z755" s="4">
        <f ca="1">('TUSD BE'!$AM$53+'TUSD BF'!$AM$53+'TUSD CVA'!$AM$53)*(1-CUSTOS!$M$38)</f>
        <v>386.47391324808456</v>
      </c>
      <c r="AA755" s="4">
        <f>('TE BE'!$AA$32+'TE BF'!$AA$32+'TE CVA'!$AA$32)*(1-CUSTOS!$M$38)</f>
        <v>220.59856812487419</v>
      </c>
      <c r="AB755" s="4">
        <f t="shared" si="34"/>
        <v>0</v>
      </c>
      <c r="AC755" s="4">
        <f>(L755-M755)*(W755+X755)+($W$521+$X$521-$W$755-$X$755)*(L755)</f>
        <v>-796.55292000000009</v>
      </c>
      <c r="AD755" s="4">
        <f t="shared" si="35"/>
        <v>0</v>
      </c>
      <c r="AE755" s="4">
        <f ca="1">(L755-M755)*(Z755+AA755)+($Z$521+$AA$521-$Z$755-$AA$755)*(L755)</f>
        <v>-867.44199370308866</v>
      </c>
      <c r="AF755" s="3" t="s">
        <v>1024</v>
      </c>
    </row>
    <row r="756" spans="1:32" ht="11.25" customHeight="1" x14ac:dyDescent="0.25">
      <c r="A756" s="3" t="s">
        <v>28</v>
      </c>
      <c r="B756" s="3" t="s">
        <v>44</v>
      </c>
      <c r="C756" s="3" t="s">
        <v>23</v>
      </c>
      <c r="D756" s="3" t="s">
        <v>45</v>
      </c>
      <c r="E756" s="3" t="s">
        <v>53</v>
      </c>
      <c r="F756" s="3" t="s">
        <v>55</v>
      </c>
      <c r="G756" s="3" t="s">
        <v>25</v>
      </c>
      <c r="H756" s="3" t="s">
        <v>25</v>
      </c>
      <c r="I756" s="6">
        <v>44317</v>
      </c>
      <c r="J756" s="4">
        <v>0</v>
      </c>
      <c r="K756" s="4">
        <v>0</v>
      </c>
      <c r="L756" s="4">
        <v>0.38500000000000001</v>
      </c>
      <c r="M756" s="4">
        <v>0.10395</v>
      </c>
      <c r="N756" s="4">
        <v>0.38500000000000001</v>
      </c>
      <c r="O756" s="4">
        <v>0.10395</v>
      </c>
      <c r="P756" s="4">
        <v>0</v>
      </c>
      <c r="Q756" s="3" t="s">
        <v>26</v>
      </c>
      <c r="R756" s="3">
        <v>0</v>
      </c>
      <c r="S756" s="3">
        <v>0</v>
      </c>
      <c r="T756" s="3">
        <v>34</v>
      </c>
      <c r="U756" s="3">
        <v>53</v>
      </c>
      <c r="V756" s="4">
        <f>IF(ISERROR(VLOOKUP($S$756,'TAR FIN'!$A$1:$O$113,15,0)),0,VLOOKUP($S$756,'TAR FIN'!$A$1:$O$113,15,0))</f>
        <v>0</v>
      </c>
      <c r="W756" s="4">
        <f>IF(ISERROR(VLOOKUP($T$756,'TAR FIN'!$A$1:$O$113,15,0)),0,VLOOKUP($T$756,'TAR FIN'!$A$1:$O$113,15,0))</f>
        <v>304.64999999999998</v>
      </c>
      <c r="X756" s="4">
        <f>IF(ISERROR(VLOOKUP($U$756,'TAR FIN'!$A$1:$O$113,15,0)),0,VLOOKUP($U$756,'TAR FIN'!$A$1:$O$113,15,0))</f>
        <v>206.13</v>
      </c>
      <c r="Y756" s="4"/>
      <c r="Z756" s="4">
        <f ca="1">('TUSD BE'!$AM$53+'TUSD BF'!$AM$53+'TUSD CVA'!$AM$53)*(1-CUSTOS!$M$38)</f>
        <v>386.47391324808456</v>
      </c>
      <c r="AA756" s="4">
        <f>('TE BE'!$AA$32+'TE BF'!$AA$32+'TE CVA'!$AA$32)*(1-CUSTOS!$M$38)</f>
        <v>220.59856812487419</v>
      </c>
      <c r="AB756" s="4">
        <f t="shared" si="34"/>
        <v>0</v>
      </c>
      <c r="AC756" s="4">
        <f>(L756-M756)*(W756+X756)+($W$521+$X$521-$W$756-$X$756)*(L756)</f>
        <v>170.37381900000003</v>
      </c>
      <c r="AD756" s="4">
        <f t="shared" si="35"/>
        <v>0</v>
      </c>
      <c r="AE756" s="4">
        <f ca="1">(L756-M756)*(Z756+AA756)+($Z$521+$AA$521-$Z$756-$AA$756)*(L756)</f>
        <v>185.53620420871619</v>
      </c>
      <c r="AF756" s="3" t="s">
        <v>1024</v>
      </c>
    </row>
    <row r="757" spans="1:32" ht="11.25" customHeight="1" x14ac:dyDescent="0.25">
      <c r="A757" s="3" t="s">
        <v>21</v>
      </c>
      <c r="B757" s="3" t="s">
        <v>44</v>
      </c>
      <c r="C757" s="3" t="s">
        <v>23</v>
      </c>
      <c r="D757" s="3" t="s">
        <v>45</v>
      </c>
      <c r="E757" s="3" t="s">
        <v>53</v>
      </c>
      <c r="F757" s="3" t="s">
        <v>55</v>
      </c>
      <c r="G757" s="3" t="s">
        <v>25</v>
      </c>
      <c r="H757" s="3" t="s">
        <v>25</v>
      </c>
      <c r="I757" s="6">
        <v>44348</v>
      </c>
      <c r="J757" s="4">
        <v>0</v>
      </c>
      <c r="K757" s="4">
        <v>0</v>
      </c>
      <c r="L757" s="4">
        <v>109.247</v>
      </c>
      <c r="M757" s="4">
        <v>29.496690000000001</v>
      </c>
      <c r="N757" s="4">
        <v>109.247</v>
      </c>
      <c r="O757" s="4">
        <v>29.496690000000001</v>
      </c>
      <c r="P757" s="4">
        <v>0</v>
      </c>
      <c r="Q757" s="3" t="s">
        <v>26</v>
      </c>
      <c r="R757" s="3">
        <v>0</v>
      </c>
      <c r="S757" s="3">
        <v>0</v>
      </c>
      <c r="T757" s="3">
        <v>34</v>
      </c>
      <c r="U757" s="3">
        <v>53</v>
      </c>
      <c r="V757" s="4">
        <f>IF(ISERROR(VLOOKUP($S$757,'TAR FIN'!$A$1:$O$113,15,0)),0,VLOOKUP($S$757,'TAR FIN'!$A$1:$O$113,15,0))</f>
        <v>0</v>
      </c>
      <c r="W757" s="4">
        <f>IF(ISERROR(VLOOKUP($T$757,'TAR FIN'!$A$1:$O$113,15,0)),0,VLOOKUP($T$757,'TAR FIN'!$A$1:$O$113,15,0))</f>
        <v>304.64999999999998</v>
      </c>
      <c r="X757" s="4">
        <f>IF(ISERROR(VLOOKUP($U$757,'TAR FIN'!$A$1:$O$113,15,0)),0,VLOOKUP($U$757,'TAR FIN'!$A$1:$O$113,15,0))</f>
        <v>206.13</v>
      </c>
      <c r="Y757" s="4"/>
      <c r="Z757" s="4">
        <f ca="1">('TUSD BE'!$AM$53+'TUSD BF'!$AM$53+'TUSD CVA'!$AM$53)*(1-CUSTOS!$M$38)</f>
        <v>386.47391324808456</v>
      </c>
      <c r="AA757" s="4">
        <f>('TE BE'!$AA$32+'TE BF'!$AA$32+'TE CVA'!$AA$32)*(1-CUSTOS!$M$38)</f>
        <v>220.59856812487419</v>
      </c>
      <c r="AB757" s="4">
        <f t="shared" si="34"/>
        <v>0</v>
      </c>
      <c r="AC757" s="4">
        <f>(L757-M757)*(W757+X757)+($W$521+$X$521-$W$757-$X$757)*(L757)</f>
        <v>48345.009361800003</v>
      </c>
      <c r="AD757" s="4">
        <f t="shared" si="35"/>
        <v>0</v>
      </c>
      <c r="AE757" s="4">
        <f ca="1">(L757-M757)*(Z757+AA757)+($Z$521+$AA$521-$Z$757-$AA$757)*(L757)</f>
        <v>52647.464158934068</v>
      </c>
      <c r="AF757" s="3" t="s">
        <v>1024</v>
      </c>
    </row>
    <row r="758" spans="1:32" ht="11.25" customHeight="1" x14ac:dyDescent="0.25">
      <c r="A758" s="3" t="s">
        <v>27</v>
      </c>
      <c r="B758" s="3" t="s">
        <v>44</v>
      </c>
      <c r="C758" s="3" t="s">
        <v>23</v>
      </c>
      <c r="D758" s="3" t="s">
        <v>45</v>
      </c>
      <c r="E758" s="3" t="s">
        <v>53</v>
      </c>
      <c r="F758" s="3" t="s">
        <v>55</v>
      </c>
      <c r="G758" s="3" t="s">
        <v>25</v>
      </c>
      <c r="H758" s="3" t="s">
        <v>25</v>
      </c>
      <c r="I758" s="6">
        <v>44348</v>
      </c>
      <c r="J758" s="4">
        <v>0</v>
      </c>
      <c r="K758" s="4">
        <v>0</v>
      </c>
      <c r="L758" s="4">
        <v>-0.35899999999999999</v>
      </c>
      <c r="M758" s="4">
        <v>-9.6930000000000002E-2</v>
      </c>
      <c r="N758" s="4">
        <v>-0.35899999999999999</v>
      </c>
      <c r="O758" s="4">
        <v>-9.6930000000000002E-2</v>
      </c>
      <c r="P758" s="4">
        <v>0</v>
      </c>
      <c r="Q758" s="3" t="s">
        <v>26</v>
      </c>
      <c r="R758" s="3">
        <v>0</v>
      </c>
      <c r="S758" s="3">
        <v>0</v>
      </c>
      <c r="T758" s="3">
        <v>34</v>
      </c>
      <c r="U758" s="3">
        <v>53</v>
      </c>
      <c r="V758" s="4">
        <f>IF(ISERROR(VLOOKUP($S$758,'TAR FIN'!$A$1:$O$113,15,0)),0,VLOOKUP($S$758,'TAR FIN'!$A$1:$O$113,15,0))</f>
        <v>0</v>
      </c>
      <c r="W758" s="4">
        <f>IF(ISERROR(VLOOKUP($T$758,'TAR FIN'!$A$1:$O$113,15,0)),0,VLOOKUP($T$758,'TAR FIN'!$A$1:$O$113,15,0))</f>
        <v>304.64999999999998</v>
      </c>
      <c r="X758" s="4">
        <f>IF(ISERROR(VLOOKUP($U$758,'TAR FIN'!$A$1:$O$113,15,0)),0,VLOOKUP($U$758,'TAR FIN'!$A$1:$O$113,15,0))</f>
        <v>206.13</v>
      </c>
      <c r="Y758" s="4"/>
      <c r="Z758" s="4">
        <f ca="1">('TUSD BE'!$AM$53+'TUSD BF'!$AM$53+'TUSD CVA'!$AM$53)*(1-CUSTOS!$M$38)</f>
        <v>386.47391324808456</v>
      </c>
      <c r="AA758" s="4">
        <f>('TE BE'!$AA$32+'TE BF'!$AA$32+'TE CVA'!$AA$32)*(1-CUSTOS!$M$38)</f>
        <v>220.59856812487419</v>
      </c>
      <c r="AB758" s="4">
        <f t="shared" si="34"/>
        <v>0</v>
      </c>
      <c r="AC758" s="4">
        <f>(L758-M758)*(W758+X758)+($W$521+$X$521-$W$758-$X$758)*(L758)</f>
        <v>-158.86805459999999</v>
      </c>
      <c r="AD758" s="4">
        <f t="shared" si="35"/>
        <v>0</v>
      </c>
      <c r="AE758" s="4">
        <f ca="1">(L758-M758)*(Z758+AA758)+($Z$521+$AA$521-$Z$758-$AA$758)*(L758)</f>
        <v>-173.00648652189375</v>
      </c>
      <c r="AF758" s="3" t="s">
        <v>1024</v>
      </c>
    </row>
    <row r="759" spans="1:32" ht="11.25" customHeight="1" x14ac:dyDescent="0.25">
      <c r="A759" s="3" t="s">
        <v>28</v>
      </c>
      <c r="B759" s="3" t="s">
        <v>44</v>
      </c>
      <c r="C759" s="3" t="s">
        <v>23</v>
      </c>
      <c r="D759" s="3" t="s">
        <v>45</v>
      </c>
      <c r="E759" s="3" t="s">
        <v>53</v>
      </c>
      <c r="F759" s="3" t="s">
        <v>55</v>
      </c>
      <c r="G759" s="3" t="s">
        <v>25</v>
      </c>
      <c r="H759" s="3" t="s">
        <v>25</v>
      </c>
      <c r="I759" s="6">
        <v>44348</v>
      </c>
      <c r="J759" s="4">
        <v>0</v>
      </c>
      <c r="K759" s="4">
        <v>0</v>
      </c>
      <c r="L759" s="4">
        <v>9.4E-2</v>
      </c>
      <c r="M759" s="4">
        <v>2.538E-2</v>
      </c>
      <c r="N759" s="4">
        <v>9.4E-2</v>
      </c>
      <c r="O759" s="4">
        <v>2.538E-2</v>
      </c>
      <c r="P759" s="4">
        <v>0</v>
      </c>
      <c r="Q759" s="3" t="s">
        <v>26</v>
      </c>
      <c r="R759" s="3">
        <v>0</v>
      </c>
      <c r="S759" s="3">
        <v>0</v>
      </c>
      <c r="T759" s="3">
        <v>34</v>
      </c>
      <c r="U759" s="3">
        <v>53</v>
      </c>
      <c r="V759" s="4">
        <f>IF(ISERROR(VLOOKUP($S$759,'TAR FIN'!$A$1:$O$113,15,0)),0,VLOOKUP($S$759,'TAR FIN'!$A$1:$O$113,15,0))</f>
        <v>0</v>
      </c>
      <c r="W759" s="4">
        <f>IF(ISERROR(VLOOKUP($T$759,'TAR FIN'!$A$1:$O$113,15,0)),0,VLOOKUP($T$759,'TAR FIN'!$A$1:$O$113,15,0))</f>
        <v>304.64999999999998</v>
      </c>
      <c r="X759" s="4">
        <f>IF(ISERROR(VLOOKUP($U$759,'TAR FIN'!$A$1:$O$113,15,0)),0,VLOOKUP($U$759,'TAR FIN'!$A$1:$O$113,15,0))</f>
        <v>206.13</v>
      </c>
      <c r="Y759" s="4"/>
      <c r="Z759" s="4">
        <f ca="1">('TUSD BE'!$AM$53+'TUSD BF'!$AM$53+'TUSD CVA'!$AM$53)*(1-CUSTOS!$M$38)</f>
        <v>386.47391324808456</v>
      </c>
      <c r="AA759" s="4">
        <f>('TE BE'!$AA$32+'TE BF'!$AA$32+'TE CVA'!$AA$32)*(1-CUSTOS!$M$38)</f>
        <v>220.59856812487419</v>
      </c>
      <c r="AB759" s="4">
        <f t="shared" si="34"/>
        <v>0</v>
      </c>
      <c r="AC759" s="4">
        <f>(L759-M759)*(W759+X759)+($W$521+$X$521-$W$759-$X$759)*(L759)</f>
        <v>41.597763600000008</v>
      </c>
      <c r="AD759" s="4">
        <f t="shared" si="35"/>
        <v>0</v>
      </c>
      <c r="AE759" s="4">
        <f ca="1">(L759-M759)*(Z759+AA759)+($Z$521+$AA$521-$Z$759-$AA$759)*(L759)</f>
        <v>45.299748560050183</v>
      </c>
      <c r="AF759" s="3" t="s">
        <v>1024</v>
      </c>
    </row>
    <row r="760" spans="1:32" ht="11.25" customHeight="1" x14ac:dyDescent="0.25">
      <c r="A760" s="3" t="s">
        <v>21</v>
      </c>
      <c r="B760" s="3" t="s">
        <v>44</v>
      </c>
      <c r="C760" s="3" t="s">
        <v>23</v>
      </c>
      <c r="D760" s="3" t="s">
        <v>45</v>
      </c>
      <c r="E760" s="3" t="s">
        <v>53</v>
      </c>
      <c r="F760" s="3" t="s">
        <v>55</v>
      </c>
      <c r="G760" s="3" t="s">
        <v>25</v>
      </c>
      <c r="H760" s="3" t="s">
        <v>25</v>
      </c>
      <c r="I760" s="6">
        <v>44378</v>
      </c>
      <c r="J760" s="4">
        <v>0</v>
      </c>
      <c r="K760" s="4">
        <v>0</v>
      </c>
      <c r="L760" s="4">
        <v>90.728999999999999</v>
      </c>
      <c r="M760" s="4">
        <v>24.496829999999999</v>
      </c>
      <c r="N760" s="4">
        <v>90.728999999999999</v>
      </c>
      <c r="O760" s="4">
        <v>24.496829999999999</v>
      </c>
      <c r="P760" s="4">
        <v>0</v>
      </c>
      <c r="Q760" s="3" t="s">
        <v>26</v>
      </c>
      <c r="R760" s="3">
        <v>0</v>
      </c>
      <c r="S760" s="3">
        <v>0</v>
      </c>
      <c r="T760" s="3">
        <v>34</v>
      </c>
      <c r="U760" s="3">
        <v>53</v>
      </c>
      <c r="V760" s="4">
        <f>IF(ISERROR(VLOOKUP($S$760,'TAR FIN'!$A$1:$O$113,15,0)),0,VLOOKUP($S$760,'TAR FIN'!$A$1:$O$113,15,0))</f>
        <v>0</v>
      </c>
      <c r="W760" s="4">
        <f>IF(ISERROR(VLOOKUP($T$760,'TAR FIN'!$A$1:$O$113,15,0)),0,VLOOKUP($T$760,'TAR FIN'!$A$1:$O$113,15,0))</f>
        <v>304.64999999999998</v>
      </c>
      <c r="X760" s="4">
        <f>IF(ISERROR(VLOOKUP($U$760,'TAR FIN'!$A$1:$O$113,15,0)),0,VLOOKUP($U$760,'TAR FIN'!$A$1:$O$113,15,0))</f>
        <v>206.13</v>
      </c>
      <c r="Y760" s="4"/>
      <c r="Z760" s="4">
        <f ca="1">('TUSD BE'!$AM$53+'TUSD BF'!$AM$53+'TUSD CVA'!$AM$53)*(1-CUSTOS!$M$38)</f>
        <v>386.47391324808456</v>
      </c>
      <c r="AA760" s="4">
        <f>('TE BE'!$AA$32+'TE BF'!$AA$32+'TE CVA'!$AA$32)*(1-CUSTOS!$M$38)</f>
        <v>220.59856812487419</v>
      </c>
      <c r="AB760" s="4">
        <f t="shared" si="34"/>
        <v>0</v>
      </c>
      <c r="AC760" s="4">
        <f>(L760-M760)*(W760+X760)+($W$521+$X$521-$W$760-$X$760)*(L760)</f>
        <v>40150.249932600003</v>
      </c>
      <c r="AD760" s="4">
        <f t="shared" si="35"/>
        <v>0</v>
      </c>
      <c r="AE760" s="4">
        <f ca="1">(L760-M760)*(Z760+AA760)+($Z$521+$AA$521-$Z$760-$AA$760)*(L760)</f>
        <v>43723.413692604176</v>
      </c>
      <c r="AF760" s="3" t="s">
        <v>1024</v>
      </c>
    </row>
    <row r="761" spans="1:32" ht="11.25" customHeight="1" x14ac:dyDescent="0.25">
      <c r="A761" s="3" t="s">
        <v>27</v>
      </c>
      <c r="B761" s="3" t="s">
        <v>44</v>
      </c>
      <c r="C761" s="3" t="s">
        <v>23</v>
      </c>
      <c r="D761" s="3" t="s">
        <v>45</v>
      </c>
      <c r="E761" s="3" t="s">
        <v>53</v>
      </c>
      <c r="F761" s="3" t="s">
        <v>55</v>
      </c>
      <c r="G761" s="3" t="s">
        <v>25</v>
      </c>
      <c r="H761" s="3" t="s">
        <v>25</v>
      </c>
      <c r="I761" s="6">
        <v>44378</v>
      </c>
      <c r="J761" s="4">
        <v>0</v>
      </c>
      <c r="K761" s="4">
        <v>0</v>
      </c>
      <c r="L761" s="4">
        <v>-0.32200000000000001</v>
      </c>
      <c r="M761" s="4">
        <v>-8.6940000000000003E-2</v>
      </c>
      <c r="N761" s="4">
        <v>-0.32200000000000001</v>
      </c>
      <c r="O761" s="4">
        <v>-8.6940000000000003E-2</v>
      </c>
      <c r="P761" s="4">
        <v>0</v>
      </c>
      <c r="Q761" s="3" t="s">
        <v>26</v>
      </c>
      <c r="R761" s="3">
        <v>0</v>
      </c>
      <c r="S761" s="3">
        <v>0</v>
      </c>
      <c r="T761" s="3">
        <v>34</v>
      </c>
      <c r="U761" s="3">
        <v>53</v>
      </c>
      <c r="V761" s="4">
        <f>IF(ISERROR(VLOOKUP($S$761,'TAR FIN'!$A$1:$O$113,15,0)),0,VLOOKUP($S$761,'TAR FIN'!$A$1:$O$113,15,0))</f>
        <v>0</v>
      </c>
      <c r="W761" s="4">
        <f>IF(ISERROR(VLOOKUP($T$761,'TAR FIN'!$A$1:$O$113,15,0)),0,VLOOKUP($T$761,'TAR FIN'!$A$1:$O$113,15,0))</f>
        <v>304.64999999999998</v>
      </c>
      <c r="X761" s="4">
        <f>IF(ISERROR(VLOOKUP($U$761,'TAR FIN'!$A$1:$O$113,15,0)),0,VLOOKUP($U$761,'TAR FIN'!$A$1:$O$113,15,0))</f>
        <v>206.13</v>
      </c>
      <c r="Y761" s="4"/>
      <c r="Z761" s="4">
        <f ca="1">('TUSD BE'!$AM$53+'TUSD BF'!$AM$53+'TUSD CVA'!$AM$53)*(1-CUSTOS!$M$38)</f>
        <v>386.47391324808456</v>
      </c>
      <c r="AA761" s="4">
        <f>('TE BE'!$AA$32+'TE BF'!$AA$32+'TE CVA'!$AA$32)*(1-CUSTOS!$M$38)</f>
        <v>220.59856812487419</v>
      </c>
      <c r="AB761" s="4">
        <f t="shared" si="34"/>
        <v>0</v>
      </c>
      <c r="AC761" s="4">
        <f>(L761-M761)*(W761+X761)+($W$521+$X$521-$W$761-$X$761)*(L761)</f>
        <v>-142.4944668</v>
      </c>
      <c r="AD761" s="4">
        <f t="shared" si="35"/>
        <v>0</v>
      </c>
      <c r="AE761" s="4">
        <f ca="1">(L761-M761)*(Z761+AA761)+($Z$521+$AA$521-$Z$761-$AA$761)*(L761)</f>
        <v>-155.17573442910805</v>
      </c>
      <c r="AF761" s="3" t="s">
        <v>1024</v>
      </c>
    </row>
    <row r="762" spans="1:32" ht="11.25" customHeight="1" x14ac:dyDescent="0.25">
      <c r="A762" s="3" t="s">
        <v>28</v>
      </c>
      <c r="B762" s="3" t="s">
        <v>44</v>
      </c>
      <c r="C762" s="3" t="s">
        <v>23</v>
      </c>
      <c r="D762" s="3" t="s">
        <v>45</v>
      </c>
      <c r="E762" s="3" t="s">
        <v>53</v>
      </c>
      <c r="F762" s="3" t="s">
        <v>55</v>
      </c>
      <c r="G762" s="3" t="s">
        <v>25</v>
      </c>
      <c r="H762" s="3" t="s">
        <v>25</v>
      </c>
      <c r="I762" s="6">
        <v>44378</v>
      </c>
      <c r="J762" s="4">
        <v>0</v>
      </c>
      <c r="K762" s="4">
        <v>0</v>
      </c>
      <c r="L762" s="4">
        <v>0.38900000000000001</v>
      </c>
      <c r="M762" s="4">
        <v>0.10503</v>
      </c>
      <c r="N762" s="4">
        <v>0.38900000000000001</v>
      </c>
      <c r="O762" s="4">
        <v>0.10503</v>
      </c>
      <c r="P762" s="4">
        <v>0</v>
      </c>
      <c r="Q762" s="3" t="s">
        <v>26</v>
      </c>
      <c r="R762" s="3">
        <v>0</v>
      </c>
      <c r="S762" s="3">
        <v>0</v>
      </c>
      <c r="T762" s="3">
        <v>34</v>
      </c>
      <c r="U762" s="3">
        <v>53</v>
      </c>
      <c r="V762" s="4">
        <f>IF(ISERROR(VLOOKUP($S$762,'TAR FIN'!$A$1:$O$113,15,0)),0,VLOOKUP($S$762,'TAR FIN'!$A$1:$O$113,15,0))</f>
        <v>0</v>
      </c>
      <c r="W762" s="4">
        <f>IF(ISERROR(VLOOKUP($T$762,'TAR FIN'!$A$1:$O$113,15,0)),0,VLOOKUP($T$762,'TAR FIN'!$A$1:$O$113,15,0))</f>
        <v>304.64999999999998</v>
      </c>
      <c r="X762" s="4">
        <f>IF(ISERROR(VLOOKUP($U$762,'TAR FIN'!$A$1:$O$113,15,0)),0,VLOOKUP($U$762,'TAR FIN'!$A$1:$O$113,15,0))</f>
        <v>206.13</v>
      </c>
      <c r="Y762" s="4"/>
      <c r="Z762" s="4">
        <f ca="1">('TUSD BE'!$AM$53+'TUSD BF'!$AM$53+'TUSD CVA'!$AM$53)*(1-CUSTOS!$M$38)</f>
        <v>386.47391324808456</v>
      </c>
      <c r="AA762" s="4">
        <f>('TE BE'!$AA$32+'TE BF'!$AA$32+'TE CVA'!$AA$32)*(1-CUSTOS!$M$38)</f>
        <v>220.59856812487419</v>
      </c>
      <c r="AB762" s="4">
        <f t="shared" si="34"/>
        <v>0</v>
      </c>
      <c r="AC762" s="4">
        <f>(L762-M762)*(W762+X762)+($W$521+$X$521-$W$762-$X$762)*(L762)</f>
        <v>172.14393660000005</v>
      </c>
      <c r="AD762" s="4">
        <f t="shared" si="35"/>
        <v>0</v>
      </c>
      <c r="AE762" s="4">
        <f ca="1">(L762-M762)*(Z762+AA762)+($Z$521+$AA$521-$Z$762-$AA$762)*(L762)</f>
        <v>187.46385308361192</v>
      </c>
      <c r="AF762" s="3" t="s">
        <v>1024</v>
      </c>
    </row>
    <row r="763" spans="1:32" ht="11.25" customHeight="1" x14ac:dyDescent="0.25">
      <c r="A763" s="3" t="s">
        <v>21</v>
      </c>
      <c r="B763" s="3" t="s">
        <v>44</v>
      </c>
      <c r="C763" s="3" t="s">
        <v>23</v>
      </c>
      <c r="D763" s="3" t="s">
        <v>45</v>
      </c>
      <c r="E763" s="3" t="s">
        <v>53</v>
      </c>
      <c r="F763" s="3" t="s">
        <v>55</v>
      </c>
      <c r="G763" s="3" t="s">
        <v>25</v>
      </c>
      <c r="H763" s="3" t="s">
        <v>25</v>
      </c>
      <c r="I763" s="6">
        <v>44409</v>
      </c>
      <c r="J763" s="4">
        <v>0</v>
      </c>
      <c r="K763" s="4">
        <v>0</v>
      </c>
      <c r="L763" s="4">
        <v>96.778000000000006</v>
      </c>
      <c r="M763" s="4">
        <v>26.13006</v>
      </c>
      <c r="N763" s="4">
        <v>96.778000000000006</v>
      </c>
      <c r="O763" s="4">
        <v>26.13006</v>
      </c>
      <c r="P763" s="4">
        <v>0</v>
      </c>
      <c r="Q763" s="3" t="s">
        <v>26</v>
      </c>
      <c r="R763" s="3">
        <v>0</v>
      </c>
      <c r="S763" s="3">
        <v>0</v>
      </c>
      <c r="T763" s="3">
        <v>34</v>
      </c>
      <c r="U763" s="3">
        <v>53</v>
      </c>
      <c r="V763" s="4">
        <f>IF(ISERROR(VLOOKUP($S$763,'TAR FIN'!$A$1:$O$113,15,0)),0,VLOOKUP($S$763,'TAR FIN'!$A$1:$O$113,15,0))</f>
        <v>0</v>
      </c>
      <c r="W763" s="4">
        <f>IF(ISERROR(VLOOKUP($T$763,'TAR FIN'!$A$1:$O$113,15,0)),0,VLOOKUP($T$763,'TAR FIN'!$A$1:$O$113,15,0))</f>
        <v>304.64999999999998</v>
      </c>
      <c r="X763" s="4">
        <f>IF(ISERROR(VLOOKUP($U$763,'TAR FIN'!$A$1:$O$113,15,0)),0,VLOOKUP($U$763,'TAR FIN'!$A$1:$O$113,15,0))</f>
        <v>206.13</v>
      </c>
      <c r="Y763" s="4"/>
      <c r="Z763" s="4">
        <f ca="1">('TUSD BE'!$AM$53+'TUSD BF'!$AM$53+'TUSD CVA'!$AM$53)*(1-CUSTOS!$M$38)</f>
        <v>386.47391324808456</v>
      </c>
      <c r="AA763" s="4">
        <f>('TE BE'!$AA$32+'TE BF'!$AA$32+'TE CVA'!$AA$32)*(1-CUSTOS!$M$38)</f>
        <v>220.59856812487419</v>
      </c>
      <c r="AB763" s="4">
        <f t="shared" si="34"/>
        <v>0</v>
      </c>
      <c r="AC763" s="4">
        <f>(L763-M763)*(W763+X763)+($W$521+$X$521-$W$763-$X$763)*(L763)</f>
        <v>42827.110273200014</v>
      </c>
      <c r="AD763" s="4">
        <f t="shared" si="35"/>
        <v>0</v>
      </c>
      <c r="AE763" s="4">
        <f ca="1">(L763-M763)*(Z763+AA763)+($Z$521+$AA$521-$Z$763-$AA$763)*(L763)</f>
        <v>46638.500703665282</v>
      </c>
      <c r="AF763" s="3" t="s">
        <v>1024</v>
      </c>
    </row>
    <row r="764" spans="1:32" ht="11.25" customHeight="1" x14ac:dyDescent="0.25">
      <c r="A764" s="3" t="s">
        <v>27</v>
      </c>
      <c r="B764" s="3" t="s">
        <v>44</v>
      </c>
      <c r="C764" s="3" t="s">
        <v>23</v>
      </c>
      <c r="D764" s="3" t="s">
        <v>45</v>
      </c>
      <c r="E764" s="3" t="s">
        <v>53</v>
      </c>
      <c r="F764" s="3" t="s">
        <v>55</v>
      </c>
      <c r="G764" s="3" t="s">
        <v>25</v>
      </c>
      <c r="H764" s="3" t="s">
        <v>25</v>
      </c>
      <c r="I764" s="6">
        <v>44409</v>
      </c>
      <c r="J764" s="4">
        <v>0</v>
      </c>
      <c r="K764" s="4">
        <v>0</v>
      </c>
      <c r="L764" s="4">
        <v>-0.51700000000000002</v>
      </c>
      <c r="M764" s="4">
        <v>-0.13958999999999999</v>
      </c>
      <c r="N764" s="4">
        <v>-0.51700000000000002</v>
      </c>
      <c r="O764" s="4">
        <v>-0.13958999999999999</v>
      </c>
      <c r="P764" s="4">
        <v>0</v>
      </c>
      <c r="Q764" s="3" t="s">
        <v>26</v>
      </c>
      <c r="R764" s="3">
        <v>0</v>
      </c>
      <c r="S764" s="3">
        <v>0</v>
      </c>
      <c r="T764" s="3">
        <v>34</v>
      </c>
      <c r="U764" s="3">
        <v>53</v>
      </c>
      <c r="V764" s="4">
        <f>IF(ISERROR(VLOOKUP($S$764,'TAR FIN'!$A$1:$O$113,15,0)),0,VLOOKUP($S$764,'TAR FIN'!$A$1:$O$113,15,0))</f>
        <v>0</v>
      </c>
      <c r="W764" s="4">
        <f>IF(ISERROR(VLOOKUP($T$764,'TAR FIN'!$A$1:$O$113,15,0)),0,VLOOKUP($T$764,'TAR FIN'!$A$1:$O$113,15,0))</f>
        <v>304.64999999999998</v>
      </c>
      <c r="X764" s="4">
        <f>IF(ISERROR(VLOOKUP($U$764,'TAR FIN'!$A$1:$O$113,15,0)),0,VLOOKUP($U$764,'TAR FIN'!$A$1:$O$113,15,0))</f>
        <v>206.13</v>
      </c>
      <c r="Y764" s="4"/>
      <c r="Z764" s="4">
        <f ca="1">('TUSD BE'!$AM$53+'TUSD BF'!$AM$53+'TUSD CVA'!$AM$53)*(1-CUSTOS!$M$38)</f>
        <v>386.47391324808456</v>
      </c>
      <c r="AA764" s="4">
        <f>('TE BE'!$AA$32+'TE BF'!$AA$32+'TE CVA'!$AA$32)*(1-CUSTOS!$M$38)</f>
        <v>220.59856812487419</v>
      </c>
      <c r="AB764" s="4">
        <f t="shared" si="34"/>
        <v>0</v>
      </c>
      <c r="AC764" s="4">
        <f>(L764-M764)*(W764+X764)+($W$521+$X$521-$W$764-$X$764)*(L764)</f>
        <v>-228.78769980000004</v>
      </c>
      <c r="AD764" s="4">
        <f t="shared" si="35"/>
        <v>0</v>
      </c>
      <c r="AE764" s="4">
        <f ca="1">(L764-M764)*(Z764+AA764)+($Z$521+$AA$521-$Z$764-$AA$764)*(L764)</f>
        <v>-249.14861708027601</v>
      </c>
      <c r="AF764" s="3" t="s">
        <v>1024</v>
      </c>
    </row>
    <row r="765" spans="1:32" ht="11.25" customHeight="1" x14ac:dyDescent="0.25">
      <c r="A765" s="3" t="s">
        <v>28</v>
      </c>
      <c r="B765" s="3" t="s">
        <v>44</v>
      </c>
      <c r="C765" s="3" t="s">
        <v>23</v>
      </c>
      <c r="D765" s="3" t="s">
        <v>45</v>
      </c>
      <c r="E765" s="3" t="s">
        <v>53</v>
      </c>
      <c r="F765" s="3" t="s">
        <v>55</v>
      </c>
      <c r="G765" s="3" t="s">
        <v>25</v>
      </c>
      <c r="H765" s="3" t="s">
        <v>25</v>
      </c>
      <c r="I765" s="6">
        <v>44409</v>
      </c>
      <c r="J765" s="4">
        <v>0</v>
      </c>
      <c r="K765" s="4">
        <v>0</v>
      </c>
      <c r="L765" s="4">
        <v>0.185</v>
      </c>
      <c r="M765" s="4">
        <v>4.9950000000000001E-2</v>
      </c>
      <c r="N765" s="4">
        <v>0.185</v>
      </c>
      <c r="O765" s="4">
        <v>4.9950000000000001E-2</v>
      </c>
      <c r="P765" s="4">
        <v>0</v>
      </c>
      <c r="Q765" s="3" t="s">
        <v>26</v>
      </c>
      <c r="R765" s="3">
        <v>0</v>
      </c>
      <c r="S765" s="3">
        <v>0</v>
      </c>
      <c r="T765" s="3">
        <v>34</v>
      </c>
      <c r="U765" s="3">
        <v>53</v>
      </c>
      <c r="V765" s="4">
        <f>IF(ISERROR(VLOOKUP($S$765,'TAR FIN'!$A$1:$O$113,15,0)),0,VLOOKUP($S$765,'TAR FIN'!$A$1:$O$113,15,0))</f>
        <v>0</v>
      </c>
      <c r="W765" s="4">
        <f>IF(ISERROR(VLOOKUP($T$765,'TAR FIN'!$A$1:$O$113,15,0)),0,VLOOKUP($T$765,'TAR FIN'!$A$1:$O$113,15,0))</f>
        <v>304.64999999999998</v>
      </c>
      <c r="X765" s="4">
        <f>IF(ISERROR(VLOOKUP($U$765,'TAR FIN'!$A$1:$O$113,15,0)),0,VLOOKUP($U$765,'TAR FIN'!$A$1:$O$113,15,0))</f>
        <v>206.13</v>
      </c>
      <c r="Y765" s="4"/>
      <c r="Z765" s="4">
        <f ca="1">('TUSD BE'!$AM$53+'TUSD BF'!$AM$53+'TUSD CVA'!$AM$53)*(1-CUSTOS!$M$38)</f>
        <v>386.47391324808456</v>
      </c>
      <c r="AA765" s="4">
        <f>('TE BE'!$AA$32+'TE BF'!$AA$32+'TE CVA'!$AA$32)*(1-CUSTOS!$M$38)</f>
        <v>220.59856812487419</v>
      </c>
      <c r="AB765" s="4">
        <f t="shared" si="34"/>
        <v>0</v>
      </c>
      <c r="AC765" s="4">
        <f>(L765-M765)*(W765+X765)+($W$521+$X$521-$W$765-$X$765)*(L765)</f>
        <v>81.867939000000021</v>
      </c>
      <c r="AD765" s="4">
        <f t="shared" si="35"/>
        <v>0</v>
      </c>
      <c r="AE765" s="4">
        <f ca="1">(L765-M765)*(Z765+AA765)+($Z$521+$AA$521-$Z$765-$AA$765)*(L765)</f>
        <v>89.153760463928549</v>
      </c>
      <c r="AF765" s="3" t="s">
        <v>1024</v>
      </c>
    </row>
    <row r="766" spans="1:32" ht="11.25" customHeight="1" x14ac:dyDescent="0.25">
      <c r="A766" s="3" t="s">
        <v>21</v>
      </c>
      <c r="B766" s="3" t="s">
        <v>44</v>
      </c>
      <c r="C766" s="3" t="s">
        <v>23</v>
      </c>
      <c r="D766" s="3" t="s">
        <v>45</v>
      </c>
      <c r="E766" s="3" t="s">
        <v>53</v>
      </c>
      <c r="F766" s="3" t="s">
        <v>55</v>
      </c>
      <c r="G766" s="3" t="s">
        <v>25</v>
      </c>
      <c r="H766" s="3" t="s">
        <v>25</v>
      </c>
      <c r="I766" s="6">
        <v>44440</v>
      </c>
      <c r="J766" s="4">
        <v>0</v>
      </c>
      <c r="K766" s="4">
        <v>0</v>
      </c>
      <c r="L766" s="4">
        <v>227.708</v>
      </c>
      <c r="M766" s="4">
        <v>61.481160000000003</v>
      </c>
      <c r="N766" s="4">
        <v>227.708</v>
      </c>
      <c r="O766" s="4">
        <v>61.481160000000003</v>
      </c>
      <c r="P766" s="4">
        <v>0</v>
      </c>
      <c r="Q766" s="3" t="s">
        <v>26</v>
      </c>
      <c r="R766" s="3">
        <v>0</v>
      </c>
      <c r="S766" s="3">
        <v>0</v>
      </c>
      <c r="T766" s="3">
        <v>34</v>
      </c>
      <c r="U766" s="3">
        <v>53</v>
      </c>
      <c r="V766" s="4">
        <f>IF(ISERROR(VLOOKUP($S$766,'TAR FIN'!$A$1:$O$113,15,0)),0,VLOOKUP($S$766,'TAR FIN'!$A$1:$O$113,15,0))</f>
        <v>0</v>
      </c>
      <c r="W766" s="4">
        <f>IF(ISERROR(VLOOKUP($T$766,'TAR FIN'!$A$1:$O$113,15,0)),0,VLOOKUP($T$766,'TAR FIN'!$A$1:$O$113,15,0))</f>
        <v>304.64999999999998</v>
      </c>
      <c r="X766" s="4">
        <f>IF(ISERROR(VLOOKUP($U$766,'TAR FIN'!$A$1:$O$113,15,0)),0,VLOOKUP($U$766,'TAR FIN'!$A$1:$O$113,15,0))</f>
        <v>206.13</v>
      </c>
      <c r="Y766" s="4"/>
      <c r="Z766" s="4">
        <f ca="1">('TUSD BE'!$AM$53+'TUSD BF'!$AM$53+'TUSD CVA'!$AM$53)*(1-CUSTOS!$M$38)</f>
        <v>386.47391324808456</v>
      </c>
      <c r="AA766" s="4">
        <f>('TE BE'!$AA$32+'TE BF'!$AA$32+'TE CVA'!$AA$32)*(1-CUSTOS!$M$38)</f>
        <v>220.59856812487419</v>
      </c>
      <c r="AB766" s="4">
        <f t="shared" si="34"/>
        <v>0</v>
      </c>
      <c r="AC766" s="4">
        <f>(L766-M766)*(W766+X766)+($W$521+$X$521-$W$766-$X$766)*(L766)</f>
        <v>100767.48461520001</v>
      </c>
      <c r="AD766" s="4">
        <f t="shared" si="35"/>
        <v>0</v>
      </c>
      <c r="AE766" s="4">
        <f ca="1">(L766-M766)*(Z766+AA766)+($Z$521+$AA$521-$Z$766-$AA$766)*(L766)</f>
        <v>109735.26750119049</v>
      </c>
      <c r="AF766" s="3" t="s">
        <v>1024</v>
      </c>
    </row>
    <row r="767" spans="1:32" ht="11.25" customHeight="1" x14ac:dyDescent="0.25">
      <c r="A767" s="3" t="s">
        <v>27</v>
      </c>
      <c r="B767" s="3" t="s">
        <v>44</v>
      </c>
      <c r="C767" s="3" t="s">
        <v>23</v>
      </c>
      <c r="D767" s="3" t="s">
        <v>45</v>
      </c>
      <c r="E767" s="3" t="s">
        <v>53</v>
      </c>
      <c r="F767" s="3" t="s">
        <v>55</v>
      </c>
      <c r="G767" s="3" t="s">
        <v>25</v>
      </c>
      <c r="H767" s="3" t="s">
        <v>25</v>
      </c>
      <c r="I767" s="6">
        <v>44440</v>
      </c>
      <c r="J767" s="4">
        <v>0</v>
      </c>
      <c r="K767" s="4">
        <v>0</v>
      </c>
      <c r="L767" s="4">
        <v>-5.0880000000000001</v>
      </c>
      <c r="M767" s="4">
        <v>-1.3737600000000001</v>
      </c>
      <c r="N767" s="4">
        <v>-5.0880000000000001</v>
      </c>
      <c r="O767" s="4">
        <v>-1.3737600000000001</v>
      </c>
      <c r="P767" s="4">
        <v>0</v>
      </c>
      <c r="Q767" s="3" t="s">
        <v>26</v>
      </c>
      <c r="R767" s="3">
        <v>0</v>
      </c>
      <c r="S767" s="3">
        <v>0</v>
      </c>
      <c r="T767" s="3">
        <v>34</v>
      </c>
      <c r="U767" s="3">
        <v>53</v>
      </c>
      <c r="V767" s="4">
        <f>IF(ISERROR(VLOOKUP($S$767,'TAR FIN'!$A$1:$O$113,15,0)),0,VLOOKUP($S$767,'TAR FIN'!$A$1:$O$113,15,0))</f>
        <v>0</v>
      </c>
      <c r="W767" s="4">
        <f>IF(ISERROR(VLOOKUP($T$767,'TAR FIN'!$A$1:$O$113,15,0)),0,VLOOKUP($T$767,'TAR FIN'!$A$1:$O$113,15,0))</f>
        <v>304.64999999999998</v>
      </c>
      <c r="X767" s="4">
        <f>IF(ISERROR(VLOOKUP($U$767,'TAR FIN'!$A$1:$O$113,15,0)),0,VLOOKUP($U$767,'TAR FIN'!$A$1:$O$113,15,0))</f>
        <v>206.13</v>
      </c>
      <c r="Y767" s="4"/>
      <c r="Z767" s="4">
        <f ca="1">('TUSD BE'!$AM$53+'TUSD BF'!$AM$53+'TUSD CVA'!$AM$53)*(1-CUSTOS!$M$38)</f>
        <v>386.47391324808456</v>
      </c>
      <c r="AA767" s="4">
        <f>('TE BE'!$AA$32+'TE BF'!$AA$32+'TE CVA'!$AA$32)*(1-CUSTOS!$M$38)</f>
        <v>220.59856812487419</v>
      </c>
      <c r="AB767" s="4">
        <f t="shared" si="34"/>
        <v>0</v>
      </c>
      <c r="AC767" s="4">
        <f>(L767-M767)*(W767+X767)+($W$521+$X$521-$W$767-$X$767)*(L767)</f>
        <v>-2251.5895872000006</v>
      </c>
      <c r="AD767" s="4">
        <f t="shared" si="35"/>
        <v>0</v>
      </c>
      <c r="AE767" s="4">
        <f ca="1">(L767-M767)*(Z767+AA767)+($Z$521+$AA$521-$Z$767-$AA$767)*(L767)</f>
        <v>-2451.9693688673974</v>
      </c>
      <c r="AF767" s="3" t="s">
        <v>1024</v>
      </c>
    </row>
    <row r="768" spans="1:32" ht="11.25" customHeight="1" x14ac:dyDescent="0.25">
      <c r="A768" s="3" t="s">
        <v>28</v>
      </c>
      <c r="B768" s="3" t="s">
        <v>44</v>
      </c>
      <c r="C768" s="3" t="s">
        <v>23</v>
      </c>
      <c r="D768" s="3" t="s">
        <v>45</v>
      </c>
      <c r="E768" s="3" t="s">
        <v>53</v>
      </c>
      <c r="F768" s="3" t="s">
        <v>55</v>
      </c>
      <c r="G768" s="3" t="s">
        <v>25</v>
      </c>
      <c r="H768" s="3" t="s">
        <v>25</v>
      </c>
      <c r="I768" s="6">
        <v>44440</v>
      </c>
      <c r="J768" s="4">
        <v>0</v>
      </c>
      <c r="K768" s="4">
        <v>0</v>
      </c>
      <c r="L768" s="4">
        <v>0.40799999999999997</v>
      </c>
      <c r="M768" s="4">
        <v>0.11015999999999999</v>
      </c>
      <c r="N768" s="4">
        <v>0.40799999999999997</v>
      </c>
      <c r="O768" s="4">
        <v>0.11015999999999999</v>
      </c>
      <c r="P768" s="4">
        <v>0</v>
      </c>
      <c r="Q768" s="3" t="s">
        <v>26</v>
      </c>
      <c r="R768" s="3">
        <v>0</v>
      </c>
      <c r="S768" s="3">
        <v>0</v>
      </c>
      <c r="T768" s="3">
        <v>34</v>
      </c>
      <c r="U768" s="3">
        <v>53</v>
      </c>
      <c r="V768" s="4">
        <f>IF(ISERROR(VLOOKUP($S$768,'TAR FIN'!$A$1:$O$113,15,0)),0,VLOOKUP($S$768,'TAR FIN'!$A$1:$O$113,15,0))</f>
        <v>0</v>
      </c>
      <c r="W768" s="4">
        <f>IF(ISERROR(VLOOKUP($T$768,'TAR FIN'!$A$1:$O$113,15,0)),0,VLOOKUP($T$768,'TAR FIN'!$A$1:$O$113,15,0))</f>
        <v>304.64999999999998</v>
      </c>
      <c r="X768" s="4">
        <f>IF(ISERROR(VLOOKUP($U$768,'TAR FIN'!$A$1:$O$113,15,0)),0,VLOOKUP($U$768,'TAR FIN'!$A$1:$O$113,15,0))</f>
        <v>206.13</v>
      </c>
      <c r="Y768" s="4"/>
      <c r="Z768" s="4">
        <f ca="1">('TUSD BE'!$AM$53+'TUSD BF'!$AM$53+'TUSD CVA'!$AM$53)*(1-CUSTOS!$M$38)</f>
        <v>386.47391324808456</v>
      </c>
      <c r="AA768" s="4">
        <f>('TE BE'!$AA$32+'TE BF'!$AA$32+'TE CVA'!$AA$32)*(1-CUSTOS!$M$38)</f>
        <v>220.59856812487419</v>
      </c>
      <c r="AB768" s="4">
        <f t="shared" si="34"/>
        <v>0</v>
      </c>
      <c r="AC768" s="4">
        <f>(L768-M768)*(W768+X768)+($W$521+$X$521-$W$768-$X$768)*(L768)</f>
        <v>180.55199520000002</v>
      </c>
      <c r="AD768" s="4">
        <f t="shared" si="35"/>
        <v>0</v>
      </c>
      <c r="AE768" s="4">
        <f ca="1">(L768-M768)*(Z768+AA768)+($Z$521+$AA$521-$Z$768-$AA$768)*(L768)</f>
        <v>196.62018523936672</v>
      </c>
      <c r="AF768" s="3" t="s">
        <v>1024</v>
      </c>
    </row>
    <row r="769" spans="1:32" ht="11.25" customHeight="1" x14ac:dyDescent="0.25">
      <c r="A769" s="3" t="s">
        <v>21</v>
      </c>
      <c r="B769" s="3" t="s">
        <v>44</v>
      </c>
      <c r="C769" s="3" t="s">
        <v>23</v>
      </c>
      <c r="D769" s="3" t="s">
        <v>45</v>
      </c>
      <c r="E769" s="3" t="s">
        <v>53</v>
      </c>
      <c r="F769" s="3" t="s">
        <v>55</v>
      </c>
      <c r="G769" s="3" t="s">
        <v>25</v>
      </c>
      <c r="H769" s="3" t="s">
        <v>25</v>
      </c>
      <c r="I769" s="6">
        <v>44470</v>
      </c>
      <c r="J769" s="4">
        <v>0</v>
      </c>
      <c r="K769" s="4">
        <v>0</v>
      </c>
      <c r="L769" s="4">
        <v>387.99700000000001</v>
      </c>
      <c r="M769" s="4">
        <v>104.75919</v>
      </c>
      <c r="N769" s="4">
        <v>387.99700000000001</v>
      </c>
      <c r="O769" s="4">
        <v>104.75919</v>
      </c>
      <c r="P769" s="4">
        <v>0</v>
      </c>
      <c r="Q769" s="3" t="s">
        <v>26</v>
      </c>
      <c r="R769" s="3">
        <v>0</v>
      </c>
      <c r="S769" s="3">
        <v>0</v>
      </c>
      <c r="T769" s="3">
        <v>34</v>
      </c>
      <c r="U769" s="3">
        <v>53</v>
      </c>
      <c r="V769" s="4">
        <f>IF(ISERROR(VLOOKUP($S$769,'TAR FIN'!$A$1:$O$113,15,0)),0,VLOOKUP($S$769,'TAR FIN'!$A$1:$O$113,15,0))</f>
        <v>0</v>
      </c>
      <c r="W769" s="4">
        <f>IF(ISERROR(VLOOKUP($T$769,'TAR FIN'!$A$1:$O$113,15,0)),0,VLOOKUP($T$769,'TAR FIN'!$A$1:$O$113,15,0))</f>
        <v>304.64999999999998</v>
      </c>
      <c r="X769" s="4">
        <f>IF(ISERROR(VLOOKUP($U$769,'TAR FIN'!$A$1:$O$113,15,0)),0,VLOOKUP($U$769,'TAR FIN'!$A$1:$O$113,15,0))</f>
        <v>206.13</v>
      </c>
      <c r="Y769" s="4"/>
      <c r="Z769" s="4">
        <f ca="1">('TUSD BE'!$AM$53+'TUSD BF'!$AM$53+'TUSD CVA'!$AM$53)*(1-CUSTOS!$M$38)</f>
        <v>386.47391324808456</v>
      </c>
      <c r="AA769" s="4">
        <f>('TE BE'!$AA$32+'TE BF'!$AA$32+'TE CVA'!$AA$32)*(1-CUSTOS!$M$38)</f>
        <v>220.59856812487419</v>
      </c>
      <c r="AB769" s="4">
        <f t="shared" si="34"/>
        <v>0</v>
      </c>
      <c r="AC769" s="4">
        <f>(L769-M769)*(W769+X769)+($W$521+$X$521-$W$769-$X$769)*(L769)</f>
        <v>171700.07961180003</v>
      </c>
      <c r="AD769" s="4">
        <f t="shared" si="35"/>
        <v>0</v>
      </c>
      <c r="AE769" s="4">
        <f ca="1">(L769-M769)*(Z769+AA769)+($Z$521+$AA$521-$Z$769-$AA$769)*(L769)</f>
        <v>186980.49512823182</v>
      </c>
      <c r="AF769" s="3" t="s">
        <v>1024</v>
      </c>
    </row>
    <row r="770" spans="1:32" ht="11.25" customHeight="1" x14ac:dyDescent="0.25">
      <c r="A770" s="3" t="s">
        <v>27</v>
      </c>
      <c r="B770" s="3" t="s">
        <v>44</v>
      </c>
      <c r="C770" s="3" t="s">
        <v>23</v>
      </c>
      <c r="D770" s="3" t="s">
        <v>45</v>
      </c>
      <c r="E770" s="3" t="s">
        <v>53</v>
      </c>
      <c r="F770" s="3" t="s">
        <v>55</v>
      </c>
      <c r="G770" s="3" t="s">
        <v>25</v>
      </c>
      <c r="H770" s="3" t="s">
        <v>25</v>
      </c>
      <c r="I770" s="6">
        <v>44470</v>
      </c>
      <c r="J770" s="4">
        <v>0</v>
      </c>
      <c r="K770" s="4">
        <v>0</v>
      </c>
      <c r="L770" s="4">
        <v>2.5510000000000002</v>
      </c>
      <c r="M770" s="4">
        <v>0.68876999999999999</v>
      </c>
      <c r="N770" s="4">
        <v>2.5510000000000002</v>
      </c>
      <c r="O770" s="4">
        <v>0.68876999999999999</v>
      </c>
      <c r="P770" s="4">
        <v>0</v>
      </c>
      <c r="Q770" s="3" t="s">
        <v>26</v>
      </c>
      <c r="R770" s="3">
        <v>0</v>
      </c>
      <c r="S770" s="3">
        <v>0</v>
      </c>
      <c r="T770" s="3">
        <v>34</v>
      </c>
      <c r="U770" s="3">
        <v>53</v>
      </c>
      <c r="V770" s="4">
        <f>IF(ISERROR(VLOOKUP($S$770,'TAR FIN'!$A$1:$O$113,15,0)),0,VLOOKUP($S$770,'TAR FIN'!$A$1:$O$113,15,0))</f>
        <v>0</v>
      </c>
      <c r="W770" s="4">
        <f>IF(ISERROR(VLOOKUP($T$770,'TAR FIN'!$A$1:$O$113,15,0)),0,VLOOKUP($T$770,'TAR FIN'!$A$1:$O$113,15,0))</f>
        <v>304.64999999999998</v>
      </c>
      <c r="X770" s="4">
        <f>IF(ISERROR(VLOOKUP($U$770,'TAR FIN'!$A$1:$O$113,15,0)),0,VLOOKUP($U$770,'TAR FIN'!$A$1:$O$113,15,0))</f>
        <v>206.13</v>
      </c>
      <c r="Y770" s="4"/>
      <c r="Z770" s="4">
        <f ca="1">('TUSD BE'!$AM$53+'TUSD BF'!$AM$53+'TUSD CVA'!$AM$53)*(1-CUSTOS!$M$38)</f>
        <v>386.47391324808456</v>
      </c>
      <c r="AA770" s="4">
        <f>('TE BE'!$AA$32+'TE BF'!$AA$32+'TE CVA'!$AA$32)*(1-CUSTOS!$M$38)</f>
        <v>220.59856812487419</v>
      </c>
      <c r="AB770" s="4">
        <f t="shared" ref="AB770:AB821" si="36">(J770-K770)*V770</f>
        <v>0</v>
      </c>
      <c r="AC770" s="4">
        <f>(L770-M770)*(W770+X770)+($W$521+$X$521-$W$770-$X$770)*(L770)</f>
        <v>1128.8924994000004</v>
      </c>
      <c r="AD770" s="4">
        <f t="shared" ref="AD770:AD821" si="37">(J770-K770)*Y770</f>
        <v>0</v>
      </c>
      <c r="AE770" s="4">
        <f ca="1">(L770-M770)*(Z770+AA770)+($Z$521+$AA$521-$Z$770-$AA$770)*(L770)</f>
        <v>1229.3580699647662</v>
      </c>
      <c r="AF770" s="3" t="s">
        <v>1024</v>
      </c>
    </row>
    <row r="771" spans="1:32" ht="11.25" customHeight="1" x14ac:dyDescent="0.25">
      <c r="A771" s="3" t="s">
        <v>28</v>
      </c>
      <c r="B771" s="3" t="s">
        <v>44</v>
      </c>
      <c r="C771" s="3" t="s">
        <v>23</v>
      </c>
      <c r="D771" s="3" t="s">
        <v>45</v>
      </c>
      <c r="E771" s="3" t="s">
        <v>53</v>
      </c>
      <c r="F771" s="3" t="s">
        <v>55</v>
      </c>
      <c r="G771" s="3" t="s">
        <v>25</v>
      </c>
      <c r="H771" s="3" t="s">
        <v>25</v>
      </c>
      <c r="I771" s="6">
        <v>44470</v>
      </c>
      <c r="J771" s="4">
        <v>0</v>
      </c>
      <c r="K771" s="4">
        <v>0</v>
      </c>
      <c r="L771" s="4">
        <v>1.5389999999999999</v>
      </c>
      <c r="M771" s="4">
        <v>0.41553000000000001</v>
      </c>
      <c r="N771" s="4">
        <v>1.5389999999999999</v>
      </c>
      <c r="O771" s="4">
        <v>0.41553000000000001</v>
      </c>
      <c r="P771" s="4">
        <v>0</v>
      </c>
      <c r="Q771" s="3" t="s">
        <v>26</v>
      </c>
      <c r="R771" s="3">
        <v>0</v>
      </c>
      <c r="S771" s="3">
        <v>0</v>
      </c>
      <c r="T771" s="3">
        <v>34</v>
      </c>
      <c r="U771" s="3">
        <v>53</v>
      </c>
      <c r="V771" s="4">
        <f>IF(ISERROR(VLOOKUP($S$771,'TAR FIN'!$A$1:$O$113,15,0)),0,VLOOKUP($S$771,'TAR FIN'!$A$1:$O$113,15,0))</f>
        <v>0</v>
      </c>
      <c r="W771" s="4">
        <f>IF(ISERROR(VLOOKUP($T$771,'TAR FIN'!$A$1:$O$113,15,0)),0,VLOOKUP($T$771,'TAR FIN'!$A$1:$O$113,15,0))</f>
        <v>304.64999999999998</v>
      </c>
      <c r="X771" s="4">
        <f>IF(ISERROR(VLOOKUP($U$771,'TAR FIN'!$A$1:$O$113,15,0)),0,VLOOKUP($U$771,'TAR FIN'!$A$1:$O$113,15,0))</f>
        <v>206.13</v>
      </c>
      <c r="Y771" s="4"/>
      <c r="Z771" s="4">
        <f ca="1">('TUSD BE'!$AM$53+'TUSD BF'!$AM$53+'TUSD CVA'!$AM$53)*(1-CUSTOS!$M$38)</f>
        <v>386.47391324808456</v>
      </c>
      <c r="AA771" s="4">
        <f>('TE BE'!$AA$32+'TE BF'!$AA$32+'TE CVA'!$AA$32)*(1-CUSTOS!$M$38)</f>
        <v>220.59856812487419</v>
      </c>
      <c r="AB771" s="4">
        <f t="shared" si="36"/>
        <v>0</v>
      </c>
      <c r="AC771" s="4">
        <f>(L771-M771)*(W771+X771)+($W$521+$X$521-$W$771-$X$771)*(L771)</f>
        <v>681.05274660000009</v>
      </c>
      <c r="AD771" s="4">
        <f t="shared" si="37"/>
        <v>0</v>
      </c>
      <c r="AE771" s="4">
        <f ca="1">(L771-M771)*(Z771+AA771)+($Z$521+$AA$521-$Z$771-$AA$771)*(L771)</f>
        <v>741.66290461614074</v>
      </c>
      <c r="AF771" s="3" t="s">
        <v>1024</v>
      </c>
    </row>
    <row r="772" spans="1:32" ht="11.25" customHeight="1" x14ac:dyDescent="0.25">
      <c r="A772" s="3" t="s">
        <v>21</v>
      </c>
      <c r="B772" s="3" t="s">
        <v>44</v>
      </c>
      <c r="C772" s="3" t="s">
        <v>23</v>
      </c>
      <c r="D772" s="3" t="s">
        <v>45</v>
      </c>
      <c r="E772" s="3" t="s">
        <v>53</v>
      </c>
      <c r="F772" s="3" t="s">
        <v>55</v>
      </c>
      <c r="G772" s="3" t="s">
        <v>25</v>
      </c>
      <c r="H772" s="3" t="s">
        <v>25</v>
      </c>
      <c r="I772" s="6">
        <v>44501</v>
      </c>
      <c r="J772" s="4">
        <v>0</v>
      </c>
      <c r="K772" s="4">
        <v>0</v>
      </c>
      <c r="L772" s="4">
        <v>388.52300000000002</v>
      </c>
      <c r="M772" s="4">
        <v>104.90121000000001</v>
      </c>
      <c r="N772" s="4">
        <v>388.52300000000002</v>
      </c>
      <c r="O772" s="4">
        <v>104.90121000000001</v>
      </c>
      <c r="P772" s="4">
        <v>0</v>
      </c>
      <c r="Q772" s="3" t="s">
        <v>26</v>
      </c>
      <c r="R772" s="3">
        <v>0</v>
      </c>
      <c r="S772" s="3">
        <v>0</v>
      </c>
      <c r="T772" s="3">
        <v>34</v>
      </c>
      <c r="U772" s="3">
        <v>53</v>
      </c>
      <c r="V772" s="4">
        <f>IF(ISERROR(VLOOKUP($S$772,'TAR FIN'!$A$1:$O$113,15,0)),0,VLOOKUP($S$772,'TAR FIN'!$A$1:$O$113,15,0))</f>
        <v>0</v>
      </c>
      <c r="W772" s="4">
        <f>IF(ISERROR(VLOOKUP($T$772,'TAR FIN'!$A$1:$O$113,15,0)),0,VLOOKUP($T$772,'TAR FIN'!$A$1:$O$113,15,0))</f>
        <v>304.64999999999998</v>
      </c>
      <c r="X772" s="4">
        <f>IF(ISERROR(VLOOKUP($U$772,'TAR FIN'!$A$1:$O$113,15,0)),0,VLOOKUP($U$772,'TAR FIN'!$A$1:$O$113,15,0))</f>
        <v>206.13</v>
      </c>
      <c r="Y772" s="4"/>
      <c r="Z772" s="4">
        <f ca="1">('TUSD BE'!$AM$53+'TUSD BF'!$AM$53+'TUSD CVA'!$AM$53)*(1-CUSTOS!$M$38)</f>
        <v>386.47391324808456</v>
      </c>
      <c r="AA772" s="4">
        <f>('TE BE'!$AA$32+'TE BF'!$AA$32+'TE CVA'!$AA$32)*(1-CUSTOS!$M$38)</f>
        <v>220.59856812487419</v>
      </c>
      <c r="AB772" s="4">
        <f t="shared" si="36"/>
        <v>0</v>
      </c>
      <c r="AC772" s="4">
        <f>(L772-M772)*(W772+X772)+($W$521+$X$521-$W$772-$X$772)*(L772)</f>
        <v>171932.85007620003</v>
      </c>
      <c r="AD772" s="4">
        <f t="shared" si="37"/>
        <v>0</v>
      </c>
      <c r="AE772" s="4">
        <f ca="1">(L772-M772)*(Z772+AA772)+($Z$521+$AA$521-$Z$772-$AA$772)*(L772)</f>
        <v>187233.9809552806</v>
      </c>
      <c r="AF772" s="3" t="s">
        <v>1024</v>
      </c>
    </row>
    <row r="773" spans="1:32" ht="11.25" customHeight="1" x14ac:dyDescent="0.25">
      <c r="A773" s="3" t="s">
        <v>27</v>
      </c>
      <c r="B773" s="3" t="s">
        <v>44</v>
      </c>
      <c r="C773" s="3" t="s">
        <v>23</v>
      </c>
      <c r="D773" s="3" t="s">
        <v>45</v>
      </c>
      <c r="E773" s="3" t="s">
        <v>53</v>
      </c>
      <c r="F773" s="3" t="s">
        <v>55</v>
      </c>
      <c r="G773" s="3" t="s">
        <v>25</v>
      </c>
      <c r="H773" s="3" t="s">
        <v>25</v>
      </c>
      <c r="I773" s="6">
        <v>44501</v>
      </c>
      <c r="J773" s="4">
        <v>0</v>
      </c>
      <c r="K773" s="4">
        <v>0</v>
      </c>
      <c r="L773" s="4">
        <v>-8.1</v>
      </c>
      <c r="M773" s="4">
        <v>-2.1869999999999998</v>
      </c>
      <c r="N773" s="4">
        <v>-8.1</v>
      </c>
      <c r="O773" s="4">
        <v>-2.1869999999999998</v>
      </c>
      <c r="P773" s="4">
        <v>0</v>
      </c>
      <c r="Q773" s="3" t="s">
        <v>26</v>
      </c>
      <c r="R773" s="3">
        <v>0</v>
      </c>
      <c r="S773" s="3">
        <v>0</v>
      </c>
      <c r="T773" s="3">
        <v>34</v>
      </c>
      <c r="U773" s="3">
        <v>53</v>
      </c>
      <c r="V773" s="4">
        <f>IF(ISERROR(VLOOKUP($S$773,'TAR FIN'!$A$1:$O$113,15,0)),0,VLOOKUP($S$773,'TAR FIN'!$A$1:$O$113,15,0))</f>
        <v>0</v>
      </c>
      <c r="W773" s="4">
        <f>IF(ISERROR(VLOOKUP($T$773,'TAR FIN'!$A$1:$O$113,15,0)),0,VLOOKUP($T$773,'TAR FIN'!$A$1:$O$113,15,0))</f>
        <v>304.64999999999998</v>
      </c>
      <c r="X773" s="4">
        <f>IF(ISERROR(VLOOKUP($U$773,'TAR FIN'!$A$1:$O$113,15,0)),0,VLOOKUP($U$773,'TAR FIN'!$A$1:$O$113,15,0))</f>
        <v>206.13</v>
      </c>
      <c r="Y773" s="4"/>
      <c r="Z773" s="4">
        <f ca="1">('TUSD BE'!$AM$53+'TUSD BF'!$AM$53+'TUSD CVA'!$AM$53)*(1-CUSTOS!$M$38)</f>
        <v>386.47391324808456</v>
      </c>
      <c r="AA773" s="4">
        <f>('TE BE'!$AA$32+'TE BF'!$AA$32+'TE CVA'!$AA$32)*(1-CUSTOS!$M$38)</f>
        <v>220.59856812487419</v>
      </c>
      <c r="AB773" s="4">
        <f t="shared" si="36"/>
        <v>0</v>
      </c>
      <c r="AC773" s="4">
        <f>(L773-M773)*(W773+X773)+($W$521+$X$521-$W$773-$X$773)*(L773)</f>
        <v>-3584.4881400000004</v>
      </c>
      <c r="AD773" s="4">
        <f t="shared" si="37"/>
        <v>0</v>
      </c>
      <c r="AE773" s="4">
        <f ca="1">(L773-M773)*(Z773+AA773)+($Z$521+$AA$521-$Z$773-$AA$773)*(L773)</f>
        <v>-3903.4889716638986</v>
      </c>
      <c r="AF773" s="3" t="s">
        <v>1024</v>
      </c>
    </row>
    <row r="774" spans="1:32" ht="11.25" customHeight="1" x14ac:dyDescent="0.25">
      <c r="A774" s="3" t="s">
        <v>28</v>
      </c>
      <c r="B774" s="3" t="s">
        <v>44</v>
      </c>
      <c r="C774" s="3" t="s">
        <v>23</v>
      </c>
      <c r="D774" s="3" t="s">
        <v>45</v>
      </c>
      <c r="E774" s="3" t="s">
        <v>53</v>
      </c>
      <c r="F774" s="3" t="s">
        <v>55</v>
      </c>
      <c r="G774" s="3" t="s">
        <v>25</v>
      </c>
      <c r="H774" s="3" t="s">
        <v>25</v>
      </c>
      <c r="I774" s="6">
        <v>44501</v>
      </c>
      <c r="J774" s="4">
        <v>0</v>
      </c>
      <c r="K774" s="4">
        <v>0</v>
      </c>
      <c r="L774" s="4">
        <v>1.032</v>
      </c>
      <c r="M774" s="4">
        <v>0.27864</v>
      </c>
      <c r="N774" s="4">
        <v>1.032</v>
      </c>
      <c r="O774" s="4">
        <v>0.27864</v>
      </c>
      <c r="P774" s="4">
        <v>0</v>
      </c>
      <c r="Q774" s="3" t="s">
        <v>26</v>
      </c>
      <c r="R774" s="3">
        <v>0</v>
      </c>
      <c r="S774" s="3">
        <v>0</v>
      </c>
      <c r="T774" s="3">
        <v>34</v>
      </c>
      <c r="U774" s="3">
        <v>53</v>
      </c>
      <c r="V774" s="4">
        <f>IF(ISERROR(VLOOKUP($S$774,'TAR FIN'!$A$1:$O$113,15,0)),0,VLOOKUP($S$774,'TAR FIN'!$A$1:$O$113,15,0))</f>
        <v>0</v>
      </c>
      <c r="W774" s="4">
        <f>IF(ISERROR(VLOOKUP($T$774,'TAR FIN'!$A$1:$O$113,15,0)),0,VLOOKUP($T$774,'TAR FIN'!$A$1:$O$113,15,0))</f>
        <v>304.64999999999998</v>
      </c>
      <c r="X774" s="4">
        <f>IF(ISERROR(VLOOKUP($U$774,'TAR FIN'!$A$1:$O$113,15,0)),0,VLOOKUP($U$774,'TAR FIN'!$A$1:$O$113,15,0))</f>
        <v>206.13</v>
      </c>
      <c r="Y774" s="4"/>
      <c r="Z774" s="4">
        <f ca="1">('TUSD BE'!$AM$53+'TUSD BF'!$AM$53+'TUSD CVA'!$AM$53)*(1-CUSTOS!$M$38)</f>
        <v>386.47391324808456</v>
      </c>
      <c r="AA774" s="4">
        <f>('TE BE'!$AA$32+'TE BF'!$AA$32+'TE CVA'!$AA$32)*(1-CUSTOS!$M$38)</f>
        <v>220.59856812487419</v>
      </c>
      <c r="AB774" s="4">
        <f t="shared" si="36"/>
        <v>0</v>
      </c>
      <c r="AC774" s="4">
        <f>(L774-M774)*(W774+X774)+($W$521+$X$521-$W$774-$X$774)*(L774)</f>
        <v>456.69034080000011</v>
      </c>
      <c r="AD774" s="4">
        <f t="shared" si="37"/>
        <v>0</v>
      </c>
      <c r="AE774" s="4">
        <f ca="1">(L774-M774)*(Z774+AA774)+($Z$521+$AA$521-$Z$774-$AA$774)*(L774)</f>
        <v>497.33340972310413</v>
      </c>
      <c r="AF774" s="3" t="s">
        <v>1024</v>
      </c>
    </row>
    <row r="775" spans="1:32" ht="11.25" customHeight="1" x14ac:dyDescent="0.25">
      <c r="A775" s="3" t="s">
        <v>21</v>
      </c>
      <c r="B775" s="3" t="s">
        <v>44</v>
      </c>
      <c r="C775" s="3" t="s">
        <v>23</v>
      </c>
      <c r="D775" s="3" t="s">
        <v>45</v>
      </c>
      <c r="E775" s="3" t="s">
        <v>53</v>
      </c>
      <c r="F775" s="3" t="s">
        <v>55</v>
      </c>
      <c r="G775" s="3" t="s">
        <v>25</v>
      </c>
      <c r="H775" s="3" t="s">
        <v>25</v>
      </c>
      <c r="I775" s="6">
        <v>44531</v>
      </c>
      <c r="J775" s="4">
        <v>0</v>
      </c>
      <c r="K775" s="4">
        <v>0</v>
      </c>
      <c r="L775" s="4">
        <v>360.911</v>
      </c>
      <c r="M775" s="4">
        <v>97.445970000000003</v>
      </c>
      <c r="N775" s="4">
        <v>360.911</v>
      </c>
      <c r="O775" s="4">
        <v>97.445970000000003</v>
      </c>
      <c r="P775" s="4">
        <v>0</v>
      </c>
      <c r="Q775" s="3" t="s">
        <v>26</v>
      </c>
      <c r="R775" s="3">
        <v>0</v>
      </c>
      <c r="S775" s="3">
        <v>0</v>
      </c>
      <c r="T775" s="3">
        <v>34</v>
      </c>
      <c r="U775" s="3">
        <v>53</v>
      </c>
      <c r="V775" s="4">
        <f>IF(ISERROR(VLOOKUP($S$775,'TAR FIN'!$A$1:$O$113,15,0)),0,VLOOKUP($S$775,'TAR FIN'!$A$1:$O$113,15,0))</f>
        <v>0</v>
      </c>
      <c r="W775" s="4">
        <f>IF(ISERROR(VLOOKUP($T$775,'TAR FIN'!$A$1:$O$113,15,0)),0,VLOOKUP($T$775,'TAR FIN'!$A$1:$O$113,15,0))</f>
        <v>304.64999999999998</v>
      </c>
      <c r="X775" s="4">
        <f>IF(ISERROR(VLOOKUP($U$775,'TAR FIN'!$A$1:$O$113,15,0)),0,VLOOKUP($U$775,'TAR FIN'!$A$1:$O$113,15,0))</f>
        <v>206.13</v>
      </c>
      <c r="Y775" s="4"/>
      <c r="Z775" s="4">
        <f ca="1">('TUSD BE'!$AM$53+'TUSD BF'!$AM$53+'TUSD CVA'!$AM$53)*(1-CUSTOS!$M$38)</f>
        <v>386.47391324808456</v>
      </c>
      <c r="AA775" s="4">
        <f>('TE BE'!$AA$32+'TE BF'!$AA$32+'TE CVA'!$AA$32)*(1-CUSTOS!$M$38)</f>
        <v>220.59856812487419</v>
      </c>
      <c r="AB775" s="4">
        <f t="shared" si="36"/>
        <v>0</v>
      </c>
      <c r="AC775" s="4">
        <f>(L775-M775)*(W775+X775)+($W$521+$X$521-$W$775-$X$775)*(L775)</f>
        <v>159713.72828340004</v>
      </c>
      <c r="AD775" s="4">
        <f t="shared" si="37"/>
        <v>0</v>
      </c>
      <c r="AE775" s="4">
        <f ca="1">(L775-M775)*(Z775+AA775)+($Z$521+$AA$521-$Z$775-$AA$775)*(L775)</f>
        <v>173927.42077187521</v>
      </c>
      <c r="AF775" s="3" t="s">
        <v>1024</v>
      </c>
    </row>
    <row r="776" spans="1:32" ht="11.25" customHeight="1" x14ac:dyDescent="0.25">
      <c r="A776" s="3" t="s">
        <v>27</v>
      </c>
      <c r="B776" s="3" t="s">
        <v>44</v>
      </c>
      <c r="C776" s="3" t="s">
        <v>23</v>
      </c>
      <c r="D776" s="3" t="s">
        <v>45</v>
      </c>
      <c r="E776" s="3" t="s">
        <v>53</v>
      </c>
      <c r="F776" s="3" t="s">
        <v>55</v>
      </c>
      <c r="G776" s="3" t="s">
        <v>25</v>
      </c>
      <c r="H776" s="3" t="s">
        <v>25</v>
      </c>
      <c r="I776" s="6">
        <v>44531</v>
      </c>
      <c r="J776" s="4">
        <v>0</v>
      </c>
      <c r="K776" s="4">
        <v>0</v>
      </c>
      <c r="L776" s="4">
        <v>-6.673</v>
      </c>
      <c r="M776" s="4">
        <v>-1.8017099999999999</v>
      </c>
      <c r="N776" s="4">
        <v>-6.673</v>
      </c>
      <c r="O776" s="4">
        <v>-1.8017099999999999</v>
      </c>
      <c r="P776" s="4">
        <v>0</v>
      </c>
      <c r="Q776" s="3" t="s">
        <v>26</v>
      </c>
      <c r="R776" s="3">
        <v>0</v>
      </c>
      <c r="S776" s="3">
        <v>0</v>
      </c>
      <c r="T776" s="3">
        <v>34</v>
      </c>
      <c r="U776" s="3">
        <v>53</v>
      </c>
      <c r="V776" s="4">
        <f>IF(ISERROR(VLOOKUP($S$776,'TAR FIN'!$A$1:$O$113,15,0)),0,VLOOKUP($S$776,'TAR FIN'!$A$1:$O$113,15,0))</f>
        <v>0</v>
      </c>
      <c r="W776" s="4">
        <f>IF(ISERROR(VLOOKUP($T$776,'TAR FIN'!$A$1:$O$113,15,0)),0,VLOOKUP($T$776,'TAR FIN'!$A$1:$O$113,15,0))</f>
        <v>304.64999999999998</v>
      </c>
      <c r="X776" s="4">
        <f>IF(ISERROR(VLOOKUP($U$776,'TAR FIN'!$A$1:$O$113,15,0)),0,VLOOKUP($U$776,'TAR FIN'!$A$1:$O$113,15,0))</f>
        <v>206.13</v>
      </c>
      <c r="Y776" s="4"/>
      <c r="Z776" s="4">
        <f ca="1">('TUSD BE'!$AM$53+'TUSD BF'!$AM$53+'TUSD CVA'!$AM$53)*(1-CUSTOS!$M$38)</f>
        <v>386.47391324808456</v>
      </c>
      <c r="AA776" s="4">
        <f>('TE BE'!$AA$32+'TE BF'!$AA$32+'TE CVA'!$AA$32)*(1-CUSTOS!$M$38)</f>
        <v>220.59856812487419</v>
      </c>
      <c r="AB776" s="4">
        <f t="shared" si="36"/>
        <v>0</v>
      </c>
      <c r="AC776" s="4">
        <f>(L776-M776)*(W776+X776)+($W$521+$X$521-$W$776-$X$776)*(L776)</f>
        <v>-2952.9986862000005</v>
      </c>
      <c r="AD776" s="4">
        <f t="shared" si="37"/>
        <v>0</v>
      </c>
      <c r="AE776" s="4">
        <f ca="1">(L776-M776)*(Z776+AA776)+($Z$521+$AA$521-$Z$776-$AA$776)*(L776)</f>
        <v>-3215.8002355448389</v>
      </c>
      <c r="AF776" s="3" t="s">
        <v>1024</v>
      </c>
    </row>
    <row r="777" spans="1:32" ht="11.25" customHeight="1" x14ac:dyDescent="0.25">
      <c r="A777" s="3" t="s">
        <v>28</v>
      </c>
      <c r="B777" s="3" t="s">
        <v>44</v>
      </c>
      <c r="C777" s="3" t="s">
        <v>23</v>
      </c>
      <c r="D777" s="3" t="s">
        <v>45</v>
      </c>
      <c r="E777" s="3" t="s">
        <v>53</v>
      </c>
      <c r="F777" s="3" t="s">
        <v>55</v>
      </c>
      <c r="G777" s="3" t="s">
        <v>25</v>
      </c>
      <c r="H777" s="3" t="s">
        <v>25</v>
      </c>
      <c r="I777" s="6">
        <v>44531</v>
      </c>
      <c r="J777" s="4">
        <v>0</v>
      </c>
      <c r="K777" s="4">
        <v>0</v>
      </c>
      <c r="L777" s="4">
        <v>0.97099999999999997</v>
      </c>
      <c r="M777" s="4">
        <v>0.26217000000000001</v>
      </c>
      <c r="N777" s="4">
        <v>0.97099999999999997</v>
      </c>
      <c r="O777" s="4">
        <v>0.26217000000000001</v>
      </c>
      <c r="P777" s="4">
        <v>0</v>
      </c>
      <c r="Q777" s="3" t="s">
        <v>26</v>
      </c>
      <c r="R777" s="3">
        <v>0</v>
      </c>
      <c r="S777" s="3">
        <v>0</v>
      </c>
      <c r="T777" s="3">
        <v>34</v>
      </c>
      <c r="U777" s="3">
        <v>53</v>
      </c>
      <c r="V777" s="4">
        <f>IF(ISERROR(VLOOKUP($S$777,'TAR FIN'!$A$1:$O$113,15,0)),0,VLOOKUP($S$777,'TAR FIN'!$A$1:$O$113,15,0))</f>
        <v>0</v>
      </c>
      <c r="W777" s="4">
        <f>IF(ISERROR(VLOOKUP($T$777,'TAR FIN'!$A$1:$O$113,15,0)),0,VLOOKUP($T$777,'TAR FIN'!$A$1:$O$113,15,0))</f>
        <v>304.64999999999998</v>
      </c>
      <c r="X777" s="4">
        <f>IF(ISERROR(VLOOKUP($U$777,'TAR FIN'!$A$1:$O$113,15,0)),0,VLOOKUP($U$777,'TAR FIN'!$A$1:$O$113,15,0))</f>
        <v>206.13</v>
      </c>
      <c r="Y777" s="4"/>
      <c r="Z777" s="4">
        <f ca="1">('TUSD BE'!$AM$53+'TUSD BF'!$AM$53+'TUSD CVA'!$AM$53)*(1-CUSTOS!$M$38)</f>
        <v>386.47391324808456</v>
      </c>
      <c r="AA777" s="4">
        <f>('TE BE'!$AA$32+'TE BF'!$AA$32+'TE CVA'!$AA$32)*(1-CUSTOS!$M$38)</f>
        <v>220.59856812487419</v>
      </c>
      <c r="AB777" s="4">
        <f t="shared" si="36"/>
        <v>0</v>
      </c>
      <c r="AC777" s="4">
        <f>(L777-M777)*(W777+X777)+($W$521+$X$521-$W$777-$X$777)*(L777)</f>
        <v>429.6960474</v>
      </c>
      <c r="AD777" s="4">
        <f t="shared" si="37"/>
        <v>0</v>
      </c>
      <c r="AE777" s="4">
        <f ca="1">(L777-M777)*(Z777+AA777)+($Z$521+$AA$521-$Z$777-$AA$777)*(L777)</f>
        <v>467.93676438094388</v>
      </c>
      <c r="AF777" s="3" t="s">
        <v>1024</v>
      </c>
    </row>
    <row r="778" spans="1:32" ht="11.25" customHeight="1" x14ac:dyDescent="0.25">
      <c r="A778" s="3" t="s">
        <v>21</v>
      </c>
      <c r="B778" s="3" t="s">
        <v>44</v>
      </c>
      <c r="C778" s="3" t="s">
        <v>23</v>
      </c>
      <c r="D778" s="3" t="s">
        <v>45</v>
      </c>
      <c r="E778" s="3" t="s">
        <v>53</v>
      </c>
      <c r="F778" s="3" t="s">
        <v>55</v>
      </c>
      <c r="G778" s="3" t="s">
        <v>25</v>
      </c>
      <c r="H778" s="3" t="s">
        <v>25</v>
      </c>
      <c r="I778" s="6">
        <v>44562</v>
      </c>
      <c r="J778" s="4">
        <v>0</v>
      </c>
      <c r="K778" s="4">
        <v>0</v>
      </c>
      <c r="L778" s="4">
        <v>321.29599999999999</v>
      </c>
      <c r="M778" s="4">
        <v>86.749920000000003</v>
      </c>
      <c r="N778" s="4">
        <v>321.29599999999999</v>
      </c>
      <c r="O778" s="4">
        <v>86.749920000000003</v>
      </c>
      <c r="P778" s="4">
        <v>0</v>
      </c>
      <c r="Q778" s="3" t="s">
        <v>26</v>
      </c>
      <c r="R778" s="3">
        <v>0</v>
      </c>
      <c r="S778" s="3">
        <v>0</v>
      </c>
      <c r="T778" s="3">
        <v>34</v>
      </c>
      <c r="U778" s="3">
        <v>53</v>
      </c>
      <c r="V778" s="4">
        <f>IF(ISERROR(VLOOKUP($S$778,'TAR FIN'!$A$1:$O$113,15,0)),0,VLOOKUP($S$778,'TAR FIN'!$A$1:$O$113,15,0))</f>
        <v>0</v>
      </c>
      <c r="W778" s="4">
        <f>IF(ISERROR(VLOOKUP($T$778,'TAR FIN'!$A$1:$O$113,15,0)),0,VLOOKUP($T$778,'TAR FIN'!$A$1:$O$113,15,0))</f>
        <v>304.64999999999998</v>
      </c>
      <c r="X778" s="4">
        <f>IF(ISERROR(VLOOKUP($U$778,'TAR FIN'!$A$1:$O$113,15,0)),0,VLOOKUP($U$778,'TAR FIN'!$A$1:$O$113,15,0))</f>
        <v>206.13</v>
      </c>
      <c r="Y778" s="4"/>
      <c r="Z778" s="4">
        <f ca="1">('TUSD BE'!$AM$53+'TUSD BF'!$AM$53+'TUSD CVA'!$AM$53)*(1-CUSTOS!$M$38)</f>
        <v>386.47391324808456</v>
      </c>
      <c r="AA778" s="4">
        <f>('TE BE'!$AA$32+'TE BF'!$AA$32+'TE CVA'!$AA$32)*(1-CUSTOS!$M$38)</f>
        <v>220.59856812487419</v>
      </c>
      <c r="AB778" s="4">
        <f t="shared" si="36"/>
        <v>0</v>
      </c>
      <c r="AC778" s="4">
        <f>(L778-M778)*(W778+X778)+($W$521+$X$521-$W$778-$X$778)*(L778)</f>
        <v>142182.9261024</v>
      </c>
      <c r="AD778" s="4">
        <f t="shared" si="37"/>
        <v>0</v>
      </c>
      <c r="AE778" s="4">
        <f ca="1">(L778-M778)*(Z778+AA778)+($Z$521+$AA$521-$Z$778-$AA$778)*(L778)</f>
        <v>154836.46822712643</v>
      </c>
      <c r="AF778" s="3" t="s">
        <v>1024</v>
      </c>
    </row>
    <row r="779" spans="1:32" ht="11.25" customHeight="1" x14ac:dyDescent="0.25">
      <c r="A779" s="3" t="s">
        <v>28</v>
      </c>
      <c r="B779" s="3" t="s">
        <v>44</v>
      </c>
      <c r="C779" s="3" t="s">
        <v>23</v>
      </c>
      <c r="D779" s="3" t="s">
        <v>45</v>
      </c>
      <c r="E779" s="3" t="s">
        <v>53</v>
      </c>
      <c r="F779" s="3" t="s">
        <v>55</v>
      </c>
      <c r="G779" s="3" t="s">
        <v>25</v>
      </c>
      <c r="H779" s="3" t="s">
        <v>25</v>
      </c>
      <c r="I779" s="6">
        <v>44562</v>
      </c>
      <c r="J779" s="4">
        <v>0</v>
      </c>
      <c r="K779" s="4">
        <v>0</v>
      </c>
      <c r="L779" s="4">
        <v>1.0580000000000001</v>
      </c>
      <c r="M779" s="4">
        <v>0.28566000000000003</v>
      </c>
      <c r="N779" s="4">
        <v>1.0580000000000001</v>
      </c>
      <c r="O779" s="4">
        <v>0.28566000000000003</v>
      </c>
      <c r="P779" s="4">
        <v>0</v>
      </c>
      <c r="Q779" s="3" t="s">
        <v>26</v>
      </c>
      <c r="R779" s="3">
        <v>0</v>
      </c>
      <c r="S779" s="3">
        <v>0</v>
      </c>
      <c r="T779" s="3">
        <v>34</v>
      </c>
      <c r="U779" s="3">
        <v>53</v>
      </c>
      <c r="V779" s="4">
        <f>IF(ISERROR(VLOOKUP($S$779,'TAR FIN'!$A$1:$O$113,15,0)),0,VLOOKUP($S$779,'TAR FIN'!$A$1:$O$113,15,0))</f>
        <v>0</v>
      </c>
      <c r="W779" s="4">
        <f>IF(ISERROR(VLOOKUP($T$779,'TAR FIN'!$A$1:$O$113,15,0)),0,VLOOKUP($T$779,'TAR FIN'!$A$1:$O$113,15,0))</f>
        <v>304.64999999999998</v>
      </c>
      <c r="X779" s="4">
        <f>IF(ISERROR(VLOOKUP($U$779,'TAR FIN'!$A$1:$O$113,15,0)),0,VLOOKUP($U$779,'TAR FIN'!$A$1:$O$113,15,0))</f>
        <v>206.13</v>
      </c>
      <c r="Y779" s="4"/>
      <c r="Z779" s="4">
        <f ca="1">('TUSD BE'!$AM$53+'TUSD BF'!$AM$53+'TUSD CVA'!$AM$53)*(1-CUSTOS!$M$38)</f>
        <v>386.47391324808456</v>
      </c>
      <c r="AA779" s="4">
        <f>('TE BE'!$AA$32+'TE BF'!$AA$32+'TE CVA'!$AA$32)*(1-CUSTOS!$M$38)</f>
        <v>220.59856812487419</v>
      </c>
      <c r="AB779" s="4">
        <f t="shared" si="36"/>
        <v>0</v>
      </c>
      <c r="AC779" s="4">
        <f>(L779-M779)*(W779+X779)+($W$521+$X$521-$W$779-$X$779)*(L779)</f>
        <v>468.19610520000009</v>
      </c>
      <c r="AD779" s="4">
        <f t="shared" si="37"/>
        <v>0</v>
      </c>
      <c r="AE779" s="4">
        <f ca="1">(L779-M779)*(Z779+AA779)+($Z$521+$AA$521-$Z$779-$AA$779)*(L779)</f>
        <v>509.86312740992651</v>
      </c>
      <c r="AF779" s="3" t="s">
        <v>1024</v>
      </c>
    </row>
    <row r="780" spans="1:32" ht="11.25" customHeight="1" x14ac:dyDescent="0.25">
      <c r="A780" s="3" t="s">
        <v>21</v>
      </c>
      <c r="B780" s="3" t="s">
        <v>44</v>
      </c>
      <c r="C780" s="3" t="s">
        <v>23</v>
      </c>
      <c r="D780" s="3" t="s">
        <v>45</v>
      </c>
      <c r="E780" s="3" t="s">
        <v>53</v>
      </c>
      <c r="F780" s="3" t="s">
        <v>55</v>
      </c>
      <c r="G780" s="3" t="s">
        <v>25</v>
      </c>
      <c r="H780" s="3" t="s">
        <v>25</v>
      </c>
      <c r="I780" s="6">
        <v>44593</v>
      </c>
      <c r="J780" s="4">
        <v>0</v>
      </c>
      <c r="K780" s="4">
        <v>0</v>
      </c>
      <c r="L780" s="4">
        <v>475.80099999999999</v>
      </c>
      <c r="M780" s="4">
        <v>128.46627000000001</v>
      </c>
      <c r="N780" s="4">
        <v>475.80099999999999</v>
      </c>
      <c r="O780" s="4">
        <v>128.46627000000001</v>
      </c>
      <c r="P780" s="4">
        <v>0</v>
      </c>
      <c r="Q780" s="3" t="s">
        <v>26</v>
      </c>
      <c r="R780" s="3">
        <v>0</v>
      </c>
      <c r="S780" s="3">
        <v>0</v>
      </c>
      <c r="T780" s="3">
        <v>34</v>
      </c>
      <c r="U780" s="3">
        <v>53</v>
      </c>
      <c r="V780" s="4">
        <f>IF(ISERROR(VLOOKUP($S$780,'TAR FIN'!$A$1:$O$113,15,0)),0,VLOOKUP($S$780,'TAR FIN'!$A$1:$O$113,15,0))</f>
        <v>0</v>
      </c>
      <c r="W780" s="4">
        <f>IF(ISERROR(VLOOKUP($T$780,'TAR FIN'!$A$1:$O$113,15,0)),0,VLOOKUP($T$780,'TAR FIN'!$A$1:$O$113,15,0))</f>
        <v>304.64999999999998</v>
      </c>
      <c r="X780" s="4">
        <f>IF(ISERROR(VLOOKUP($U$780,'TAR FIN'!$A$1:$O$113,15,0)),0,VLOOKUP($U$780,'TAR FIN'!$A$1:$O$113,15,0))</f>
        <v>206.13</v>
      </c>
      <c r="Y780" s="4"/>
      <c r="Z780" s="4">
        <f ca="1">('TUSD BE'!$AM$53+'TUSD BF'!$AM$53+'TUSD CVA'!$AM$53)*(1-CUSTOS!$M$38)</f>
        <v>386.47391324808456</v>
      </c>
      <c r="AA780" s="4">
        <f>('TE BE'!$AA$32+'TE BF'!$AA$32+'TE CVA'!$AA$32)*(1-CUSTOS!$M$38)</f>
        <v>220.59856812487419</v>
      </c>
      <c r="AB780" s="4">
        <f t="shared" si="36"/>
        <v>0</v>
      </c>
      <c r="AC780" s="4">
        <f>(L780-M780)*(W780+X780)+($W$521+$X$521-$W$780-$X$780)*(L780)</f>
        <v>210555.93104940001</v>
      </c>
      <c r="AD780" s="4">
        <f t="shared" si="37"/>
        <v>0</v>
      </c>
      <c r="AE780" s="4">
        <f ca="1">(L780-M780)*(Z780+AA780)+($Z$521+$AA$521-$Z$780-$AA$780)*(L780)</f>
        <v>229294.31558106845</v>
      </c>
      <c r="AF780" s="3" t="s">
        <v>1024</v>
      </c>
    </row>
    <row r="781" spans="1:32" ht="11.25" customHeight="1" x14ac:dyDescent="0.25">
      <c r="A781" s="3" t="s">
        <v>28</v>
      </c>
      <c r="B781" s="3" t="s">
        <v>44</v>
      </c>
      <c r="C781" s="3" t="s">
        <v>23</v>
      </c>
      <c r="D781" s="3" t="s">
        <v>45</v>
      </c>
      <c r="E781" s="3" t="s">
        <v>53</v>
      </c>
      <c r="F781" s="3" t="s">
        <v>55</v>
      </c>
      <c r="G781" s="3" t="s">
        <v>25</v>
      </c>
      <c r="H781" s="3" t="s">
        <v>25</v>
      </c>
      <c r="I781" s="6">
        <v>44593</v>
      </c>
      <c r="J781" s="4">
        <v>0</v>
      </c>
      <c r="K781" s="4">
        <v>0</v>
      </c>
      <c r="L781" s="4">
        <v>1.107</v>
      </c>
      <c r="M781" s="4">
        <v>0.29888999999999999</v>
      </c>
      <c r="N781" s="4">
        <v>1.107</v>
      </c>
      <c r="O781" s="4">
        <v>0.29888999999999999</v>
      </c>
      <c r="P781" s="4">
        <v>0</v>
      </c>
      <c r="Q781" s="3" t="s">
        <v>26</v>
      </c>
      <c r="R781" s="3">
        <v>0</v>
      </c>
      <c r="S781" s="3">
        <v>0</v>
      </c>
      <c r="T781" s="3">
        <v>34</v>
      </c>
      <c r="U781" s="3">
        <v>53</v>
      </c>
      <c r="V781" s="4">
        <f>IF(ISERROR(VLOOKUP($S$781,'TAR FIN'!$A$1:$O$113,15,0)),0,VLOOKUP($S$781,'TAR FIN'!$A$1:$O$113,15,0))</f>
        <v>0</v>
      </c>
      <c r="W781" s="4">
        <f>IF(ISERROR(VLOOKUP($T$781,'TAR FIN'!$A$1:$O$113,15,0)),0,VLOOKUP($T$781,'TAR FIN'!$A$1:$O$113,15,0))</f>
        <v>304.64999999999998</v>
      </c>
      <c r="X781" s="4">
        <f>IF(ISERROR(VLOOKUP($U$781,'TAR FIN'!$A$1:$O$113,15,0)),0,VLOOKUP($U$781,'TAR FIN'!$A$1:$O$113,15,0))</f>
        <v>206.13</v>
      </c>
      <c r="Y781" s="4"/>
      <c r="Z781" s="4">
        <f ca="1">('TUSD BE'!$AM$53+'TUSD BF'!$AM$53+'TUSD CVA'!$AM$53)*(1-CUSTOS!$M$38)</f>
        <v>386.47391324808456</v>
      </c>
      <c r="AA781" s="4">
        <f>('TE BE'!$AA$32+'TE BF'!$AA$32+'TE CVA'!$AA$32)*(1-CUSTOS!$M$38)</f>
        <v>220.59856812487419</v>
      </c>
      <c r="AB781" s="4">
        <f t="shared" si="36"/>
        <v>0</v>
      </c>
      <c r="AC781" s="4">
        <f>(L781-M781)*(W781+X781)+($W$521+$X$521-$W$781-$X$781)*(L781)</f>
        <v>489.88004580000006</v>
      </c>
      <c r="AD781" s="4">
        <f t="shared" si="37"/>
        <v>0</v>
      </c>
      <c r="AE781" s="4">
        <f ca="1">(L781-M781)*(Z781+AA781)+($Z$521+$AA$521-$Z$781-$AA$781)*(L781)</f>
        <v>533.47682612739948</v>
      </c>
      <c r="AF781" s="3" t="s">
        <v>1024</v>
      </c>
    </row>
    <row r="782" spans="1:32" ht="11.25" customHeight="1" x14ac:dyDescent="0.25">
      <c r="A782" s="3" t="s">
        <v>56</v>
      </c>
      <c r="B782" s="3" t="s">
        <v>44</v>
      </c>
      <c r="C782" s="3" t="s">
        <v>23</v>
      </c>
      <c r="D782" s="3" t="s">
        <v>45</v>
      </c>
      <c r="E782" s="3" t="s">
        <v>53</v>
      </c>
      <c r="F782" s="3" t="s">
        <v>55</v>
      </c>
      <c r="G782" s="3" t="s">
        <v>25</v>
      </c>
      <c r="H782" s="3" t="s">
        <v>25</v>
      </c>
      <c r="I782" s="6">
        <v>44621</v>
      </c>
      <c r="J782" s="4">
        <v>0</v>
      </c>
      <c r="K782" s="4">
        <v>0</v>
      </c>
      <c r="L782" s="4">
        <v>475.80099999999999</v>
      </c>
      <c r="M782" s="4">
        <v>128.46627000000001</v>
      </c>
      <c r="N782" s="4">
        <v>475.80099999999999</v>
      </c>
      <c r="O782" s="4">
        <v>128.46627000000001</v>
      </c>
      <c r="P782" s="4">
        <v>0</v>
      </c>
      <c r="Q782" s="3" t="s">
        <v>26</v>
      </c>
      <c r="R782" s="3">
        <v>0</v>
      </c>
      <c r="S782" s="3">
        <v>0</v>
      </c>
      <c r="T782" s="3">
        <v>34</v>
      </c>
      <c r="U782" s="3">
        <v>53</v>
      </c>
      <c r="V782" s="4">
        <f>IF(ISERROR(VLOOKUP($S$782,'TAR FIN'!$A$1:$O$113,15,0)),0,VLOOKUP($S$782,'TAR FIN'!$A$1:$O$113,15,0))</f>
        <v>0</v>
      </c>
      <c r="W782" s="4">
        <f>IF(ISERROR(VLOOKUP($T$782,'TAR FIN'!$A$1:$O$113,15,0)),0,VLOOKUP($T$782,'TAR FIN'!$A$1:$O$113,15,0))</f>
        <v>304.64999999999998</v>
      </c>
      <c r="X782" s="4">
        <f>IF(ISERROR(VLOOKUP($U$782,'TAR FIN'!$A$1:$O$113,15,0)),0,VLOOKUP($U$782,'TAR FIN'!$A$1:$O$113,15,0))</f>
        <v>206.13</v>
      </c>
      <c r="Y782" s="4"/>
      <c r="Z782" s="4">
        <f ca="1">('TUSD BE'!$AM$53+'TUSD BF'!$AM$53+'TUSD CVA'!$AM$53)*(1-CUSTOS!$M$38)</f>
        <v>386.47391324808456</v>
      </c>
      <c r="AA782" s="4">
        <f>('TE BE'!$AA$32+'TE BF'!$AA$32+'TE CVA'!$AA$32)*(1-CUSTOS!$M$38)</f>
        <v>220.59856812487419</v>
      </c>
      <c r="AB782" s="4">
        <f t="shared" si="36"/>
        <v>0</v>
      </c>
      <c r="AC782" s="4">
        <f>(L782-M782)*(W782+X782)+($W$521+$X$521-$W$782-$X$782)*(L782)</f>
        <v>210555.93104940001</v>
      </c>
      <c r="AD782" s="4">
        <f t="shared" si="37"/>
        <v>0</v>
      </c>
      <c r="AE782" s="4">
        <f ca="1">(L782-M782)*(Z782+AA782)+($Z$521+$AA$521-$Z$782-$AA$782)*(L782)</f>
        <v>229294.31558106845</v>
      </c>
      <c r="AF782" s="3" t="s">
        <v>1024</v>
      </c>
    </row>
    <row r="783" spans="1:32" ht="11.25" customHeight="1" x14ac:dyDescent="0.25">
      <c r="A783" s="3" t="s">
        <v>56</v>
      </c>
      <c r="B783" s="3" t="s">
        <v>44</v>
      </c>
      <c r="C783" s="3" t="s">
        <v>23</v>
      </c>
      <c r="D783" s="3" t="s">
        <v>45</v>
      </c>
      <c r="E783" s="3" t="s">
        <v>53</v>
      </c>
      <c r="F783" s="3" t="s">
        <v>55</v>
      </c>
      <c r="G783" s="3" t="s">
        <v>25</v>
      </c>
      <c r="H783" s="3" t="s">
        <v>25</v>
      </c>
      <c r="I783" s="6">
        <v>44621</v>
      </c>
      <c r="J783" s="4">
        <v>0</v>
      </c>
      <c r="K783" s="4">
        <v>0</v>
      </c>
      <c r="L783" s="4">
        <v>1.107</v>
      </c>
      <c r="M783" s="4">
        <v>0.29888999999999999</v>
      </c>
      <c r="N783" s="4">
        <v>1.107</v>
      </c>
      <c r="O783" s="4">
        <v>0.29888999999999999</v>
      </c>
      <c r="P783" s="4">
        <v>0</v>
      </c>
      <c r="Q783" s="3" t="s">
        <v>26</v>
      </c>
      <c r="R783" s="3">
        <v>0</v>
      </c>
      <c r="S783" s="3">
        <v>0</v>
      </c>
      <c r="T783" s="3">
        <v>34</v>
      </c>
      <c r="U783" s="3">
        <v>53</v>
      </c>
      <c r="V783" s="4">
        <f>IF(ISERROR(VLOOKUP($S$783,'TAR FIN'!$A$1:$O$113,15,0)),0,VLOOKUP($S$783,'TAR FIN'!$A$1:$O$113,15,0))</f>
        <v>0</v>
      </c>
      <c r="W783" s="4">
        <f>IF(ISERROR(VLOOKUP($T$783,'TAR FIN'!$A$1:$O$113,15,0)),0,VLOOKUP($T$783,'TAR FIN'!$A$1:$O$113,15,0))</f>
        <v>304.64999999999998</v>
      </c>
      <c r="X783" s="4">
        <f>IF(ISERROR(VLOOKUP($U$783,'TAR FIN'!$A$1:$O$113,15,0)),0,VLOOKUP($U$783,'TAR FIN'!$A$1:$O$113,15,0))</f>
        <v>206.13</v>
      </c>
      <c r="Y783" s="4"/>
      <c r="Z783" s="4">
        <f ca="1">('TUSD BE'!$AM$53+'TUSD BF'!$AM$53+'TUSD CVA'!$AM$53)*(1-CUSTOS!$M$38)</f>
        <v>386.47391324808456</v>
      </c>
      <c r="AA783" s="4">
        <f>('TE BE'!$AA$32+'TE BF'!$AA$32+'TE CVA'!$AA$32)*(1-CUSTOS!$M$38)</f>
        <v>220.59856812487419</v>
      </c>
      <c r="AB783" s="4">
        <f t="shared" si="36"/>
        <v>0</v>
      </c>
      <c r="AC783" s="4">
        <f>(L783-M783)*(W783+X783)+($W$521+$X$521-$W$783-$X$783)*(L783)</f>
        <v>489.88004580000006</v>
      </c>
      <c r="AD783" s="4">
        <f t="shared" si="37"/>
        <v>0</v>
      </c>
      <c r="AE783" s="4">
        <f ca="1">(L783-M783)*(Z783+AA783)+($Z$521+$AA$521-$Z$783-$AA$783)*(L783)</f>
        <v>533.47682612739948</v>
      </c>
      <c r="AF783" s="3" t="s">
        <v>1024</v>
      </c>
    </row>
    <row r="784" spans="1:32" ht="11.25" customHeight="1" x14ac:dyDescent="0.25">
      <c r="A784" s="3" t="s">
        <v>21</v>
      </c>
      <c r="B784" s="3" t="s">
        <v>44</v>
      </c>
      <c r="C784" s="3" t="s">
        <v>23</v>
      </c>
      <c r="D784" s="3" t="s">
        <v>45</v>
      </c>
      <c r="E784" s="3" t="s">
        <v>25</v>
      </c>
      <c r="F784" s="3" t="s">
        <v>25</v>
      </c>
      <c r="G784" s="3" t="s">
        <v>25</v>
      </c>
      <c r="H784" s="3" t="s">
        <v>25</v>
      </c>
      <c r="I784" s="6">
        <v>44287</v>
      </c>
      <c r="J784" s="4">
        <v>0</v>
      </c>
      <c r="K784" s="4">
        <v>0</v>
      </c>
      <c r="L784" s="4">
        <v>5373.0360000000001</v>
      </c>
      <c r="M784" s="4">
        <v>5373.0360000000001</v>
      </c>
      <c r="N784" s="4">
        <v>5373.0360000000001</v>
      </c>
      <c r="O784" s="4">
        <v>5373.0360000000001</v>
      </c>
      <c r="P784" s="4">
        <v>22764</v>
      </c>
      <c r="Q784" s="3" t="s">
        <v>26</v>
      </c>
      <c r="R784" s="3">
        <v>0</v>
      </c>
      <c r="S784" s="3">
        <v>0</v>
      </c>
      <c r="T784" s="3">
        <v>34</v>
      </c>
      <c r="U784" s="3">
        <v>53</v>
      </c>
      <c r="V784" s="4">
        <f>IF(ISERROR(VLOOKUP($S$784,'TAR FIN'!$A$1:$O$113,15,0)),0,VLOOKUP($S$784,'TAR FIN'!$A$1:$O$113,15,0))</f>
        <v>0</v>
      </c>
      <c r="W784" s="4">
        <f>IF(ISERROR(VLOOKUP($T$784,'TAR FIN'!$A$1:$O$113,15,0)),0,VLOOKUP($T$784,'TAR FIN'!$A$1:$O$113,15,0))</f>
        <v>304.64999999999998</v>
      </c>
      <c r="X784" s="4">
        <f>IF(ISERROR(VLOOKUP($U$784,'TAR FIN'!$A$1:$O$113,15,0)),0,VLOOKUP($U$784,'TAR FIN'!$A$1:$O$113,15,0))</f>
        <v>206.13</v>
      </c>
      <c r="Y784" s="4"/>
      <c r="Z784" s="4">
        <f ca="1">('TUSD BE'!$AM$53+'TUSD BF'!$AM$53+'TUSD CVA'!$AM$53)*(1-CUSTOS!$M$38)</f>
        <v>386.47391324808456</v>
      </c>
      <c r="AA784" s="4">
        <f>('TE BE'!$AA$32+'TE BF'!$AA$32+'TE CVA'!$AA$32)*(1-CUSTOS!$M$38)</f>
        <v>220.59856812487419</v>
      </c>
      <c r="AB784" s="4">
        <f t="shared" si="36"/>
        <v>0</v>
      </c>
      <c r="AC784" s="4">
        <f>(L784-M784)*(W784+X784)+($W$521+$X$521-$W$784-$X$784)*(L784)</f>
        <v>374285.68776000047</v>
      </c>
      <c r="AD784" s="4">
        <f t="shared" si="37"/>
        <v>0</v>
      </c>
      <c r="AE784" s="4">
        <f ca="1">(L784-M784)*(Z784+AA784)+($Z$521+$AA$521-$Z$784-$AA$784)*(L784)</f>
        <v>208201.42321444087</v>
      </c>
      <c r="AF784" s="3" t="s">
        <v>1023</v>
      </c>
    </row>
    <row r="785" spans="1:32" ht="11.25" customHeight="1" x14ac:dyDescent="0.25">
      <c r="A785" s="3" t="s">
        <v>27</v>
      </c>
      <c r="B785" s="3" t="s">
        <v>44</v>
      </c>
      <c r="C785" s="3" t="s">
        <v>23</v>
      </c>
      <c r="D785" s="3" t="s">
        <v>45</v>
      </c>
      <c r="E785" s="3" t="s">
        <v>25</v>
      </c>
      <c r="F785" s="3" t="s">
        <v>25</v>
      </c>
      <c r="G785" s="3" t="s">
        <v>25</v>
      </c>
      <c r="H785" s="3" t="s">
        <v>25</v>
      </c>
      <c r="I785" s="6">
        <v>44287</v>
      </c>
      <c r="J785" s="4">
        <v>0</v>
      </c>
      <c r="K785" s="4">
        <v>0</v>
      </c>
      <c r="L785" s="4">
        <v>-0.26</v>
      </c>
      <c r="M785" s="4">
        <v>-0.26</v>
      </c>
      <c r="N785" s="4">
        <v>-0.26</v>
      </c>
      <c r="O785" s="4">
        <v>-0.26</v>
      </c>
      <c r="P785" s="4">
        <v>-2</v>
      </c>
      <c r="Q785" s="3" t="s">
        <v>26</v>
      </c>
      <c r="R785" s="3">
        <v>0</v>
      </c>
      <c r="S785" s="3">
        <v>0</v>
      </c>
      <c r="T785" s="3">
        <v>34</v>
      </c>
      <c r="U785" s="3">
        <v>53</v>
      </c>
      <c r="V785" s="4">
        <f>IF(ISERROR(VLOOKUP($S$785,'TAR FIN'!$A$1:$O$113,15,0)),0,VLOOKUP($S$785,'TAR FIN'!$A$1:$O$113,15,0))</f>
        <v>0</v>
      </c>
      <c r="W785" s="4">
        <f>IF(ISERROR(VLOOKUP($T$785,'TAR FIN'!$A$1:$O$113,15,0)),0,VLOOKUP($T$785,'TAR FIN'!$A$1:$O$113,15,0))</f>
        <v>304.64999999999998</v>
      </c>
      <c r="X785" s="4">
        <f>IF(ISERROR(VLOOKUP($U$785,'TAR FIN'!$A$1:$O$113,15,0)),0,VLOOKUP($U$785,'TAR FIN'!$A$1:$O$113,15,0))</f>
        <v>206.13</v>
      </c>
      <c r="Y785" s="4"/>
      <c r="Z785" s="4">
        <f ca="1">('TUSD BE'!$AM$53+'TUSD BF'!$AM$53+'TUSD CVA'!$AM$53)*(1-CUSTOS!$M$38)</f>
        <v>386.47391324808456</v>
      </c>
      <c r="AA785" s="4">
        <f>('TE BE'!$AA$32+'TE BF'!$AA$32+'TE CVA'!$AA$32)*(1-CUSTOS!$M$38)</f>
        <v>220.59856812487419</v>
      </c>
      <c r="AB785" s="4">
        <f t="shared" si="36"/>
        <v>0</v>
      </c>
      <c r="AC785" s="4">
        <f>(L785-M785)*(W785+X785)+($W$521+$X$521-$W$785-$X$785)*(L785)</f>
        <v>-18.111600000000021</v>
      </c>
      <c r="AD785" s="4">
        <f t="shared" si="37"/>
        <v>0</v>
      </c>
      <c r="AE785" s="4">
        <f ca="1">(L785-M785)*(Z785+AA785)+($Z$521+$AA$521-$Z$785-$AA$785)*(L785)</f>
        <v>-10.074819903636348</v>
      </c>
      <c r="AF785" s="3" t="s">
        <v>1023</v>
      </c>
    </row>
    <row r="786" spans="1:32" ht="11.25" customHeight="1" x14ac:dyDescent="0.25">
      <c r="A786" s="3" t="s">
        <v>28</v>
      </c>
      <c r="B786" s="3" t="s">
        <v>44</v>
      </c>
      <c r="C786" s="3" t="s">
        <v>23</v>
      </c>
      <c r="D786" s="3" t="s">
        <v>45</v>
      </c>
      <c r="E786" s="3" t="s">
        <v>25</v>
      </c>
      <c r="F786" s="3" t="s">
        <v>25</v>
      </c>
      <c r="G786" s="3" t="s">
        <v>25</v>
      </c>
      <c r="H786" s="3" t="s">
        <v>25</v>
      </c>
      <c r="I786" s="6">
        <v>44287</v>
      </c>
      <c r="J786" s="4">
        <v>0</v>
      </c>
      <c r="K786" s="4">
        <v>0</v>
      </c>
      <c r="L786" s="4">
        <v>83.564999999999998</v>
      </c>
      <c r="M786" s="4">
        <v>83.564999999999998</v>
      </c>
      <c r="N786" s="4">
        <v>83.564999999999998</v>
      </c>
      <c r="O786" s="4">
        <v>83.564999999999998</v>
      </c>
      <c r="P786" s="4">
        <v>152</v>
      </c>
      <c r="Q786" s="3" t="s">
        <v>26</v>
      </c>
      <c r="R786" s="3">
        <v>0</v>
      </c>
      <c r="S786" s="3">
        <v>0</v>
      </c>
      <c r="T786" s="3">
        <v>34</v>
      </c>
      <c r="U786" s="3">
        <v>53</v>
      </c>
      <c r="V786" s="4">
        <f>IF(ISERROR(VLOOKUP($S$786,'TAR FIN'!$A$1:$O$113,15,0)),0,VLOOKUP($S$786,'TAR FIN'!$A$1:$O$113,15,0))</f>
        <v>0</v>
      </c>
      <c r="W786" s="4">
        <f>IF(ISERROR(VLOOKUP($T$786,'TAR FIN'!$A$1:$O$113,15,0)),0,VLOOKUP($T$786,'TAR FIN'!$A$1:$O$113,15,0))</f>
        <v>304.64999999999998</v>
      </c>
      <c r="X786" s="4">
        <f>IF(ISERROR(VLOOKUP($U$786,'TAR FIN'!$A$1:$O$113,15,0)),0,VLOOKUP($U$786,'TAR FIN'!$A$1:$O$113,15,0))</f>
        <v>206.13</v>
      </c>
      <c r="Y786" s="4"/>
      <c r="Z786" s="4">
        <f ca="1">('TUSD BE'!$AM$53+'TUSD BF'!$AM$53+'TUSD CVA'!$AM$53)*(1-CUSTOS!$M$38)</f>
        <v>386.47391324808456</v>
      </c>
      <c r="AA786" s="4">
        <f>('TE BE'!$AA$32+'TE BF'!$AA$32+'TE CVA'!$AA$32)*(1-CUSTOS!$M$38)</f>
        <v>220.59856812487419</v>
      </c>
      <c r="AB786" s="4">
        <f t="shared" si="36"/>
        <v>0</v>
      </c>
      <c r="AC786" s="4">
        <f>(L786-M786)*(W786+X786)+($W$521+$X$521-$W$786-$X$786)*(L786)</f>
        <v>5821.137900000007</v>
      </c>
      <c r="AD786" s="4">
        <f t="shared" si="37"/>
        <v>0</v>
      </c>
      <c r="AE786" s="4">
        <f ca="1">(L786-M786)*(Z786+AA786)+($Z$521+$AA$521-$Z$786-$AA$786)*(L786)</f>
        <v>3238.0858663360436</v>
      </c>
      <c r="AF786" s="3" t="s">
        <v>1023</v>
      </c>
    </row>
    <row r="787" spans="1:32" ht="11.25" customHeight="1" x14ac:dyDescent="0.25">
      <c r="A787" s="3" t="s">
        <v>21</v>
      </c>
      <c r="B787" s="3" t="s">
        <v>44</v>
      </c>
      <c r="C787" s="3" t="s">
        <v>23</v>
      </c>
      <c r="D787" s="3" t="s">
        <v>45</v>
      </c>
      <c r="E787" s="3" t="s">
        <v>25</v>
      </c>
      <c r="F787" s="3" t="s">
        <v>25</v>
      </c>
      <c r="G787" s="3" t="s">
        <v>25</v>
      </c>
      <c r="H787" s="3" t="s">
        <v>25</v>
      </c>
      <c r="I787" s="6">
        <v>44317</v>
      </c>
      <c r="J787" s="4">
        <v>0</v>
      </c>
      <c r="K787" s="4">
        <v>0</v>
      </c>
      <c r="L787" s="4">
        <v>4323.9170000000004</v>
      </c>
      <c r="M787" s="4">
        <v>4323.9170000000004</v>
      </c>
      <c r="N787" s="4">
        <v>4323.9170000000004</v>
      </c>
      <c r="O787" s="4">
        <v>4323.9170000000004</v>
      </c>
      <c r="P787" s="4">
        <v>22763</v>
      </c>
      <c r="Q787" s="3" t="s">
        <v>26</v>
      </c>
      <c r="R787" s="3">
        <v>0</v>
      </c>
      <c r="S787" s="3">
        <v>0</v>
      </c>
      <c r="T787" s="3">
        <v>34</v>
      </c>
      <c r="U787" s="3">
        <v>53</v>
      </c>
      <c r="V787" s="4">
        <f>IF(ISERROR(VLOOKUP($S$787,'TAR FIN'!$A$1:$O$113,15,0)),0,VLOOKUP($S$787,'TAR FIN'!$A$1:$O$113,15,0))</f>
        <v>0</v>
      </c>
      <c r="W787" s="4">
        <f>IF(ISERROR(VLOOKUP($T$787,'TAR FIN'!$A$1:$O$113,15,0)),0,VLOOKUP($T$787,'TAR FIN'!$A$1:$O$113,15,0))</f>
        <v>304.64999999999998</v>
      </c>
      <c r="X787" s="4">
        <f>IF(ISERROR(VLOOKUP($U$787,'TAR FIN'!$A$1:$O$113,15,0)),0,VLOOKUP($U$787,'TAR FIN'!$A$1:$O$113,15,0))</f>
        <v>206.13</v>
      </c>
      <c r="Y787" s="4"/>
      <c r="Z787" s="4">
        <f ca="1">('TUSD BE'!$AM$53+'TUSD BF'!$AM$53+'TUSD CVA'!$AM$53)*(1-CUSTOS!$M$38)</f>
        <v>386.47391324808456</v>
      </c>
      <c r="AA787" s="4">
        <f>('TE BE'!$AA$32+'TE BF'!$AA$32+'TE CVA'!$AA$32)*(1-CUSTOS!$M$38)</f>
        <v>220.59856812487419</v>
      </c>
      <c r="AB787" s="4">
        <f t="shared" si="36"/>
        <v>0</v>
      </c>
      <c r="AC787" s="4">
        <f>(L787-M787)*(W787+X787)+($W$521+$X$521-$W$787-$X$787)*(L787)</f>
        <v>301204.05822000036</v>
      </c>
      <c r="AD787" s="4">
        <f t="shared" si="37"/>
        <v>0</v>
      </c>
      <c r="AE787" s="4">
        <f ca="1">(L787-M787)*(Z787+AA787)+($Z$521+$AA$521-$Z$787-$AA$787)*(L787)</f>
        <v>167548.78866642911</v>
      </c>
      <c r="AF787" s="3" t="s">
        <v>1023</v>
      </c>
    </row>
    <row r="788" spans="1:32" ht="11.25" customHeight="1" x14ac:dyDescent="0.25">
      <c r="A788" s="3" t="s">
        <v>27</v>
      </c>
      <c r="B788" s="3" t="s">
        <v>44</v>
      </c>
      <c r="C788" s="3" t="s">
        <v>23</v>
      </c>
      <c r="D788" s="3" t="s">
        <v>45</v>
      </c>
      <c r="E788" s="3" t="s">
        <v>25</v>
      </c>
      <c r="F788" s="3" t="s">
        <v>25</v>
      </c>
      <c r="G788" s="3" t="s">
        <v>25</v>
      </c>
      <c r="H788" s="3" t="s">
        <v>25</v>
      </c>
      <c r="I788" s="6">
        <v>44317</v>
      </c>
      <c r="J788" s="4">
        <v>0</v>
      </c>
      <c r="K788" s="4">
        <v>0</v>
      </c>
      <c r="L788" s="4">
        <v>-7.1609999999999996</v>
      </c>
      <c r="M788" s="4">
        <v>-7.1609999999999996</v>
      </c>
      <c r="N788" s="4">
        <v>-7.1609999999999996</v>
      </c>
      <c r="O788" s="4">
        <v>-7.1609999999999996</v>
      </c>
      <c r="P788" s="4">
        <v>-3</v>
      </c>
      <c r="Q788" s="3" t="s">
        <v>26</v>
      </c>
      <c r="R788" s="3">
        <v>0</v>
      </c>
      <c r="S788" s="3">
        <v>0</v>
      </c>
      <c r="T788" s="3">
        <v>34</v>
      </c>
      <c r="U788" s="3">
        <v>53</v>
      </c>
      <c r="V788" s="4">
        <f>IF(ISERROR(VLOOKUP($S$788,'TAR FIN'!$A$1:$O$113,15,0)),0,VLOOKUP($S$788,'TAR FIN'!$A$1:$O$113,15,0))</f>
        <v>0</v>
      </c>
      <c r="W788" s="4">
        <f>IF(ISERROR(VLOOKUP($T$788,'TAR FIN'!$A$1:$O$113,15,0)),0,VLOOKUP($T$788,'TAR FIN'!$A$1:$O$113,15,0))</f>
        <v>304.64999999999998</v>
      </c>
      <c r="X788" s="4">
        <f>IF(ISERROR(VLOOKUP($U$788,'TAR FIN'!$A$1:$O$113,15,0)),0,VLOOKUP($U$788,'TAR FIN'!$A$1:$O$113,15,0))</f>
        <v>206.13</v>
      </c>
      <c r="Y788" s="4"/>
      <c r="Z788" s="4">
        <f ca="1">('TUSD BE'!$AM$53+'TUSD BF'!$AM$53+'TUSD CVA'!$AM$53)*(1-CUSTOS!$M$38)</f>
        <v>386.47391324808456</v>
      </c>
      <c r="AA788" s="4">
        <f>('TE BE'!$AA$32+'TE BF'!$AA$32+'TE CVA'!$AA$32)*(1-CUSTOS!$M$38)</f>
        <v>220.59856812487419</v>
      </c>
      <c r="AB788" s="4">
        <f t="shared" si="36"/>
        <v>0</v>
      </c>
      <c r="AC788" s="4">
        <f>(L788-M788)*(W788+X788)+($W$521+$X$521-$W$788-$X$788)*(L788)</f>
        <v>-498.83526000000057</v>
      </c>
      <c r="AD788" s="4">
        <f t="shared" si="37"/>
        <v>0</v>
      </c>
      <c r="AE788" s="4">
        <f ca="1">(L788-M788)*(Z788+AA788)+($Z$521+$AA$521-$Z$788-$AA$788)*(L788)</f>
        <v>-277.48378973053798</v>
      </c>
      <c r="AF788" s="3" t="s">
        <v>1023</v>
      </c>
    </row>
    <row r="789" spans="1:32" ht="11.25" customHeight="1" x14ac:dyDescent="0.25">
      <c r="A789" s="3" t="s">
        <v>28</v>
      </c>
      <c r="B789" s="3" t="s">
        <v>44</v>
      </c>
      <c r="C789" s="3" t="s">
        <v>23</v>
      </c>
      <c r="D789" s="3" t="s">
        <v>45</v>
      </c>
      <c r="E789" s="3" t="s">
        <v>25</v>
      </c>
      <c r="F789" s="3" t="s">
        <v>25</v>
      </c>
      <c r="G789" s="3" t="s">
        <v>25</v>
      </c>
      <c r="H789" s="3" t="s">
        <v>25</v>
      </c>
      <c r="I789" s="6">
        <v>44317</v>
      </c>
      <c r="J789" s="4">
        <v>0</v>
      </c>
      <c r="K789" s="4">
        <v>0</v>
      </c>
      <c r="L789" s="4">
        <v>60.284999999999997</v>
      </c>
      <c r="M789" s="4">
        <v>60.284999999999997</v>
      </c>
      <c r="N789" s="4">
        <v>60.284999999999997</v>
      </c>
      <c r="O789" s="4">
        <v>60.284999999999997</v>
      </c>
      <c r="P789" s="4">
        <v>160</v>
      </c>
      <c r="Q789" s="3" t="s">
        <v>26</v>
      </c>
      <c r="R789" s="3">
        <v>0</v>
      </c>
      <c r="S789" s="3">
        <v>0</v>
      </c>
      <c r="T789" s="3">
        <v>34</v>
      </c>
      <c r="U789" s="3">
        <v>53</v>
      </c>
      <c r="V789" s="4">
        <f>IF(ISERROR(VLOOKUP($S$789,'TAR FIN'!$A$1:$O$113,15,0)),0,VLOOKUP($S$789,'TAR FIN'!$A$1:$O$113,15,0))</f>
        <v>0</v>
      </c>
      <c r="W789" s="4">
        <f>IF(ISERROR(VLOOKUP($T$789,'TAR FIN'!$A$1:$O$113,15,0)),0,VLOOKUP($T$789,'TAR FIN'!$A$1:$O$113,15,0))</f>
        <v>304.64999999999998</v>
      </c>
      <c r="X789" s="4">
        <f>IF(ISERROR(VLOOKUP($U$789,'TAR FIN'!$A$1:$O$113,15,0)),0,VLOOKUP($U$789,'TAR FIN'!$A$1:$O$113,15,0))</f>
        <v>206.13</v>
      </c>
      <c r="Y789" s="4"/>
      <c r="Z789" s="4">
        <f ca="1">('TUSD BE'!$AM$53+'TUSD BF'!$AM$53+'TUSD CVA'!$AM$53)*(1-CUSTOS!$M$38)</f>
        <v>386.47391324808456</v>
      </c>
      <c r="AA789" s="4">
        <f>('TE BE'!$AA$32+'TE BF'!$AA$32+'TE CVA'!$AA$32)*(1-CUSTOS!$M$38)</f>
        <v>220.59856812487419</v>
      </c>
      <c r="AB789" s="4">
        <f t="shared" si="36"/>
        <v>0</v>
      </c>
      <c r="AC789" s="4">
        <f>(L789-M789)*(W789+X789)+($W$521+$X$521-$W$789-$X$789)*(L789)</f>
        <v>4199.4531000000043</v>
      </c>
      <c r="AD789" s="4">
        <f t="shared" si="37"/>
        <v>0</v>
      </c>
      <c r="AE789" s="4">
        <f ca="1">(L789-M789)*(Z789+AA789)+($Z$521+$AA$521-$Z$789-$AA$789)*(L789)</f>
        <v>2336.0019918873736</v>
      </c>
      <c r="AF789" s="3" t="s">
        <v>1023</v>
      </c>
    </row>
    <row r="790" spans="1:32" ht="11.25" customHeight="1" x14ac:dyDescent="0.25">
      <c r="A790" s="3" t="s">
        <v>21</v>
      </c>
      <c r="B790" s="3" t="s">
        <v>44</v>
      </c>
      <c r="C790" s="3" t="s">
        <v>23</v>
      </c>
      <c r="D790" s="3" t="s">
        <v>45</v>
      </c>
      <c r="E790" s="3" t="s">
        <v>25</v>
      </c>
      <c r="F790" s="3" t="s">
        <v>25</v>
      </c>
      <c r="G790" s="3" t="s">
        <v>25</v>
      </c>
      <c r="H790" s="3" t="s">
        <v>25</v>
      </c>
      <c r="I790" s="6">
        <v>44348</v>
      </c>
      <c r="J790" s="4">
        <v>0</v>
      </c>
      <c r="K790" s="4">
        <v>0</v>
      </c>
      <c r="L790" s="4">
        <v>3880.1350000000002</v>
      </c>
      <c r="M790" s="4">
        <v>3880.1350000000002</v>
      </c>
      <c r="N790" s="4">
        <v>3880.1350000000002</v>
      </c>
      <c r="O790" s="4">
        <v>3880.1350000000002</v>
      </c>
      <c r="P790" s="4">
        <v>22750</v>
      </c>
      <c r="Q790" s="3" t="s">
        <v>26</v>
      </c>
      <c r="R790" s="3">
        <v>0</v>
      </c>
      <c r="S790" s="3">
        <v>0</v>
      </c>
      <c r="T790" s="3">
        <v>34</v>
      </c>
      <c r="U790" s="3">
        <v>53</v>
      </c>
      <c r="V790" s="4">
        <f>IF(ISERROR(VLOOKUP($S$790,'TAR FIN'!$A$1:$O$113,15,0)),0,VLOOKUP($S$790,'TAR FIN'!$A$1:$O$113,15,0))</f>
        <v>0</v>
      </c>
      <c r="W790" s="4">
        <f>IF(ISERROR(VLOOKUP($T$790,'TAR FIN'!$A$1:$O$113,15,0)),0,VLOOKUP($T$790,'TAR FIN'!$A$1:$O$113,15,0))</f>
        <v>304.64999999999998</v>
      </c>
      <c r="X790" s="4">
        <f>IF(ISERROR(VLOOKUP($U$790,'TAR FIN'!$A$1:$O$113,15,0)),0,VLOOKUP($U$790,'TAR FIN'!$A$1:$O$113,15,0))</f>
        <v>206.13</v>
      </c>
      <c r="Y790" s="4"/>
      <c r="Z790" s="4">
        <f ca="1">('TUSD BE'!$AM$53+'TUSD BF'!$AM$53+'TUSD CVA'!$AM$53)*(1-CUSTOS!$M$38)</f>
        <v>386.47391324808456</v>
      </c>
      <c r="AA790" s="4">
        <f>('TE BE'!$AA$32+'TE BF'!$AA$32+'TE CVA'!$AA$32)*(1-CUSTOS!$M$38)</f>
        <v>220.59856812487419</v>
      </c>
      <c r="AB790" s="4">
        <f t="shared" si="36"/>
        <v>0</v>
      </c>
      <c r="AC790" s="4">
        <f>(L790-M790)*(W790+X790)+($W$521+$X$521-$W$790-$X$790)*(L790)</f>
        <v>270290.20410000032</v>
      </c>
      <c r="AD790" s="4">
        <f t="shared" si="37"/>
        <v>0</v>
      </c>
      <c r="AE790" s="4">
        <f ca="1">(L790-M790)*(Z790+AA790)+($Z$521+$AA$521-$Z$790-$AA$790)*(L790)</f>
        <v>150352.54356460008</v>
      </c>
      <c r="AF790" s="3" t="s">
        <v>1023</v>
      </c>
    </row>
    <row r="791" spans="1:32" ht="11.25" customHeight="1" x14ac:dyDescent="0.25">
      <c r="A791" s="3" t="s">
        <v>27</v>
      </c>
      <c r="B791" s="3" t="s">
        <v>44</v>
      </c>
      <c r="C791" s="3" t="s">
        <v>23</v>
      </c>
      <c r="D791" s="3" t="s">
        <v>45</v>
      </c>
      <c r="E791" s="3" t="s">
        <v>25</v>
      </c>
      <c r="F791" s="3" t="s">
        <v>25</v>
      </c>
      <c r="G791" s="3" t="s">
        <v>25</v>
      </c>
      <c r="H791" s="3" t="s">
        <v>25</v>
      </c>
      <c r="I791" s="6">
        <v>44348</v>
      </c>
      <c r="J791" s="4">
        <v>0</v>
      </c>
      <c r="K791" s="4">
        <v>0</v>
      </c>
      <c r="L791" s="4">
        <v>-72.650999999999996</v>
      </c>
      <c r="M791" s="4">
        <v>-72.650999999999996</v>
      </c>
      <c r="N791" s="4">
        <v>-72.650999999999996</v>
      </c>
      <c r="O791" s="4">
        <v>-72.650999999999996</v>
      </c>
      <c r="P791" s="4">
        <v>-4</v>
      </c>
      <c r="Q791" s="3" t="s">
        <v>26</v>
      </c>
      <c r="R791" s="3">
        <v>0</v>
      </c>
      <c r="S791" s="3">
        <v>0</v>
      </c>
      <c r="T791" s="3">
        <v>34</v>
      </c>
      <c r="U791" s="3">
        <v>53</v>
      </c>
      <c r="V791" s="4">
        <f>IF(ISERROR(VLOOKUP($S$791,'TAR FIN'!$A$1:$O$113,15,0)),0,VLOOKUP($S$791,'TAR FIN'!$A$1:$O$113,15,0))</f>
        <v>0</v>
      </c>
      <c r="W791" s="4">
        <f>IF(ISERROR(VLOOKUP($T$791,'TAR FIN'!$A$1:$O$113,15,0)),0,VLOOKUP($T$791,'TAR FIN'!$A$1:$O$113,15,0))</f>
        <v>304.64999999999998</v>
      </c>
      <c r="X791" s="4">
        <f>IF(ISERROR(VLOOKUP($U$791,'TAR FIN'!$A$1:$O$113,15,0)),0,VLOOKUP($U$791,'TAR FIN'!$A$1:$O$113,15,0))</f>
        <v>206.13</v>
      </c>
      <c r="Y791" s="4"/>
      <c r="Z791" s="4">
        <f ca="1">('TUSD BE'!$AM$53+'TUSD BF'!$AM$53+'TUSD CVA'!$AM$53)*(1-CUSTOS!$M$38)</f>
        <v>386.47391324808456</v>
      </c>
      <c r="AA791" s="4">
        <f>('TE BE'!$AA$32+'TE BF'!$AA$32+'TE CVA'!$AA$32)*(1-CUSTOS!$M$38)</f>
        <v>220.59856812487419</v>
      </c>
      <c r="AB791" s="4">
        <f t="shared" si="36"/>
        <v>0</v>
      </c>
      <c r="AC791" s="4">
        <f>(L791-M791)*(W791+X791)+($W$521+$X$521-$W$791-$X$791)*(L791)</f>
        <v>-5060.8686600000055</v>
      </c>
      <c r="AD791" s="4">
        <f t="shared" si="37"/>
        <v>0</v>
      </c>
      <c r="AE791" s="4">
        <f ca="1">(L791-M791)*(Z791+AA791)+($Z$521+$AA$521-$Z$791-$AA$791)*(L791)</f>
        <v>-2815.1759262272471</v>
      </c>
      <c r="AF791" s="3" t="s">
        <v>1023</v>
      </c>
    </row>
    <row r="792" spans="1:32" ht="11.25" customHeight="1" x14ac:dyDescent="0.25">
      <c r="A792" s="3" t="s">
        <v>28</v>
      </c>
      <c r="B792" s="3" t="s">
        <v>44</v>
      </c>
      <c r="C792" s="3" t="s">
        <v>23</v>
      </c>
      <c r="D792" s="3" t="s">
        <v>45</v>
      </c>
      <c r="E792" s="3" t="s">
        <v>25</v>
      </c>
      <c r="F792" s="3" t="s">
        <v>25</v>
      </c>
      <c r="G792" s="3" t="s">
        <v>25</v>
      </c>
      <c r="H792" s="3" t="s">
        <v>25</v>
      </c>
      <c r="I792" s="6">
        <v>44348</v>
      </c>
      <c r="J792" s="4">
        <v>0</v>
      </c>
      <c r="K792" s="4">
        <v>0</v>
      </c>
      <c r="L792" s="4">
        <v>83.388999999999996</v>
      </c>
      <c r="M792" s="4">
        <v>83.388999999999996</v>
      </c>
      <c r="N792" s="4">
        <v>83.388999999999996</v>
      </c>
      <c r="O792" s="4">
        <v>83.388999999999996</v>
      </c>
      <c r="P792" s="4">
        <v>169</v>
      </c>
      <c r="Q792" s="3" t="s">
        <v>26</v>
      </c>
      <c r="R792" s="3">
        <v>0</v>
      </c>
      <c r="S792" s="3">
        <v>0</v>
      </c>
      <c r="T792" s="3">
        <v>34</v>
      </c>
      <c r="U792" s="3">
        <v>53</v>
      </c>
      <c r="V792" s="4">
        <f>IF(ISERROR(VLOOKUP($S$792,'TAR FIN'!$A$1:$O$113,15,0)),0,VLOOKUP($S$792,'TAR FIN'!$A$1:$O$113,15,0))</f>
        <v>0</v>
      </c>
      <c r="W792" s="4">
        <f>IF(ISERROR(VLOOKUP($T$792,'TAR FIN'!$A$1:$O$113,15,0)),0,VLOOKUP($T$792,'TAR FIN'!$A$1:$O$113,15,0))</f>
        <v>304.64999999999998</v>
      </c>
      <c r="X792" s="4">
        <f>IF(ISERROR(VLOOKUP($U$792,'TAR FIN'!$A$1:$O$113,15,0)),0,VLOOKUP($U$792,'TAR FIN'!$A$1:$O$113,15,0))</f>
        <v>206.13</v>
      </c>
      <c r="Y792" s="4"/>
      <c r="Z792" s="4">
        <f ca="1">('TUSD BE'!$AM$53+'TUSD BF'!$AM$53+'TUSD CVA'!$AM$53)*(1-CUSTOS!$M$38)</f>
        <v>386.47391324808456</v>
      </c>
      <c r="AA792" s="4">
        <f>('TE BE'!$AA$32+'TE BF'!$AA$32+'TE CVA'!$AA$32)*(1-CUSTOS!$M$38)</f>
        <v>220.59856812487419</v>
      </c>
      <c r="AB792" s="4">
        <f t="shared" si="36"/>
        <v>0</v>
      </c>
      <c r="AC792" s="4">
        <f>(L792-M792)*(W792+X792)+($W$521+$X$521-$W$792-$X$792)*(L792)</f>
        <v>5808.8777400000063</v>
      </c>
      <c r="AD792" s="4">
        <f t="shared" si="37"/>
        <v>0</v>
      </c>
      <c r="AE792" s="4">
        <f ca="1">(L792-M792)*(Z792+AA792)+($Z$521+$AA$521-$Z$792-$AA$792)*(L792)</f>
        <v>3231.2659882474281</v>
      </c>
      <c r="AF792" s="3" t="s">
        <v>1023</v>
      </c>
    </row>
    <row r="793" spans="1:32" ht="11.25" customHeight="1" x14ac:dyDescent="0.25">
      <c r="A793" s="3" t="s">
        <v>28</v>
      </c>
      <c r="B793" s="3" t="s">
        <v>44</v>
      </c>
      <c r="C793" s="3" t="s">
        <v>23</v>
      </c>
      <c r="D793" s="3" t="s">
        <v>45</v>
      </c>
      <c r="E793" s="3" t="s">
        <v>25</v>
      </c>
      <c r="F793" s="3" t="s">
        <v>25</v>
      </c>
      <c r="G793" s="3" t="s">
        <v>25</v>
      </c>
      <c r="H793" s="3" t="s">
        <v>25</v>
      </c>
      <c r="I793" s="6">
        <v>44348</v>
      </c>
      <c r="J793" s="4">
        <v>0</v>
      </c>
      <c r="K793" s="4">
        <v>0</v>
      </c>
      <c r="L793" s="4">
        <v>-0.57999999999999996</v>
      </c>
      <c r="M793" s="4">
        <v>-0.57999999999999996</v>
      </c>
      <c r="N793" s="4">
        <v>-0.57999999999999996</v>
      </c>
      <c r="O793" s="4">
        <v>-0.57999999999999996</v>
      </c>
      <c r="P793" s="4">
        <v>0</v>
      </c>
      <c r="Q793" s="3" t="s">
        <v>26</v>
      </c>
      <c r="R793" s="3">
        <v>0</v>
      </c>
      <c r="S793" s="3">
        <v>0</v>
      </c>
      <c r="T793" s="3">
        <v>34</v>
      </c>
      <c r="U793" s="3">
        <v>53</v>
      </c>
      <c r="V793" s="4">
        <f>IF(ISERROR(VLOOKUP($S$793,'TAR FIN'!$A$1:$O$113,15,0)),0,VLOOKUP($S$793,'TAR FIN'!$A$1:$O$113,15,0))</f>
        <v>0</v>
      </c>
      <c r="W793" s="4">
        <f>IF(ISERROR(VLOOKUP($T$793,'TAR FIN'!$A$1:$O$113,15,0)),0,VLOOKUP($T$793,'TAR FIN'!$A$1:$O$113,15,0))</f>
        <v>304.64999999999998</v>
      </c>
      <c r="X793" s="4">
        <f>IF(ISERROR(VLOOKUP($U$793,'TAR FIN'!$A$1:$O$113,15,0)),0,VLOOKUP($U$793,'TAR FIN'!$A$1:$O$113,15,0))</f>
        <v>206.13</v>
      </c>
      <c r="Y793" s="4"/>
      <c r="Z793" s="4">
        <f ca="1">('TUSD BE'!$AM$53+'TUSD BF'!$AM$53+'TUSD CVA'!$AM$53)*(1-CUSTOS!$M$38)</f>
        <v>386.47391324808456</v>
      </c>
      <c r="AA793" s="4">
        <f>('TE BE'!$AA$32+'TE BF'!$AA$32+'TE CVA'!$AA$32)*(1-CUSTOS!$M$38)</f>
        <v>220.59856812487419</v>
      </c>
      <c r="AB793" s="4">
        <f t="shared" si="36"/>
        <v>0</v>
      </c>
      <c r="AC793" s="4">
        <f>(L793-M793)*(W793+X793)+($W$521+$X$521-$W$793-$X$793)*(L793)</f>
        <v>-40.402800000000042</v>
      </c>
      <c r="AD793" s="4">
        <f t="shared" si="37"/>
        <v>0</v>
      </c>
      <c r="AE793" s="4">
        <f ca="1">(L793-M793)*(Z793+AA793)+($Z$521+$AA$521-$Z$793-$AA$793)*(L793)</f>
        <v>-22.47459824657339</v>
      </c>
      <c r="AF793" s="3" t="s">
        <v>1023</v>
      </c>
    </row>
    <row r="794" spans="1:32" ht="11.25" customHeight="1" x14ac:dyDescent="0.25">
      <c r="A794" s="3" t="s">
        <v>21</v>
      </c>
      <c r="B794" s="3" t="s">
        <v>44</v>
      </c>
      <c r="C794" s="3" t="s">
        <v>23</v>
      </c>
      <c r="D794" s="3" t="s">
        <v>45</v>
      </c>
      <c r="E794" s="3" t="s">
        <v>25</v>
      </c>
      <c r="F794" s="3" t="s">
        <v>25</v>
      </c>
      <c r="G794" s="3" t="s">
        <v>25</v>
      </c>
      <c r="H794" s="3" t="s">
        <v>25</v>
      </c>
      <c r="I794" s="6">
        <v>44378</v>
      </c>
      <c r="J794" s="4">
        <v>0</v>
      </c>
      <c r="K794" s="4">
        <v>0</v>
      </c>
      <c r="L794" s="4">
        <v>3885.18</v>
      </c>
      <c r="M794" s="4">
        <v>3885.18</v>
      </c>
      <c r="N794" s="4">
        <v>3885.18</v>
      </c>
      <c r="O794" s="4">
        <v>3885.18</v>
      </c>
      <c r="P794" s="4">
        <v>22755</v>
      </c>
      <c r="Q794" s="3" t="s">
        <v>26</v>
      </c>
      <c r="R794" s="3">
        <v>0</v>
      </c>
      <c r="S794" s="3">
        <v>0</v>
      </c>
      <c r="T794" s="3">
        <v>34</v>
      </c>
      <c r="U794" s="3">
        <v>53</v>
      </c>
      <c r="V794" s="4">
        <f>IF(ISERROR(VLOOKUP($S$794,'TAR FIN'!$A$1:$O$113,15,0)),0,VLOOKUP($S$794,'TAR FIN'!$A$1:$O$113,15,0))</f>
        <v>0</v>
      </c>
      <c r="W794" s="4">
        <f>IF(ISERROR(VLOOKUP($T$794,'TAR FIN'!$A$1:$O$113,15,0)),0,VLOOKUP($T$794,'TAR FIN'!$A$1:$O$113,15,0))</f>
        <v>304.64999999999998</v>
      </c>
      <c r="X794" s="4">
        <f>IF(ISERROR(VLOOKUP($U$794,'TAR FIN'!$A$1:$O$113,15,0)),0,VLOOKUP($U$794,'TAR FIN'!$A$1:$O$113,15,0))</f>
        <v>206.13</v>
      </c>
      <c r="Y794" s="4"/>
      <c r="Z794" s="4">
        <f ca="1">('TUSD BE'!$AM$53+'TUSD BF'!$AM$53+'TUSD CVA'!$AM$53)*(1-CUSTOS!$M$38)</f>
        <v>386.47391324808456</v>
      </c>
      <c r="AA794" s="4">
        <f>('TE BE'!$AA$32+'TE BF'!$AA$32+'TE CVA'!$AA$32)*(1-CUSTOS!$M$38)</f>
        <v>220.59856812487419</v>
      </c>
      <c r="AB794" s="4">
        <f t="shared" si="36"/>
        <v>0</v>
      </c>
      <c r="AC794" s="4">
        <f>(L794-M794)*(W794+X794)+($W$521+$X$521-$W$794-$X$794)*(L794)</f>
        <v>270641.63880000031</v>
      </c>
      <c r="AD794" s="4">
        <f t="shared" si="37"/>
        <v>0</v>
      </c>
      <c r="AE794" s="4">
        <f ca="1">(L794-M794)*(Z794+AA794)+($Z$521+$AA$521-$Z$794-$AA$794)*(L794)</f>
        <v>150548.03382003793</v>
      </c>
      <c r="AF794" s="3" t="s">
        <v>1023</v>
      </c>
    </row>
    <row r="795" spans="1:32" ht="11.25" customHeight="1" x14ac:dyDescent="0.25">
      <c r="A795" s="3" t="s">
        <v>27</v>
      </c>
      <c r="B795" s="3" t="s">
        <v>44</v>
      </c>
      <c r="C795" s="3" t="s">
        <v>23</v>
      </c>
      <c r="D795" s="3" t="s">
        <v>45</v>
      </c>
      <c r="E795" s="3" t="s">
        <v>25</v>
      </c>
      <c r="F795" s="3" t="s">
        <v>25</v>
      </c>
      <c r="G795" s="3" t="s">
        <v>25</v>
      </c>
      <c r="H795" s="3" t="s">
        <v>25</v>
      </c>
      <c r="I795" s="6">
        <v>44378</v>
      </c>
      <c r="J795" s="4">
        <v>0</v>
      </c>
      <c r="K795" s="4">
        <v>0</v>
      </c>
      <c r="L795" s="4">
        <v>-35.954000000000001</v>
      </c>
      <c r="M795" s="4">
        <v>-35.954000000000001</v>
      </c>
      <c r="N795" s="4">
        <v>-35.954000000000001</v>
      </c>
      <c r="O795" s="4">
        <v>-35.954000000000001</v>
      </c>
      <c r="P795" s="4">
        <v>-21</v>
      </c>
      <c r="Q795" s="3" t="s">
        <v>26</v>
      </c>
      <c r="R795" s="3">
        <v>0</v>
      </c>
      <c r="S795" s="3">
        <v>0</v>
      </c>
      <c r="T795" s="3">
        <v>34</v>
      </c>
      <c r="U795" s="3">
        <v>53</v>
      </c>
      <c r="V795" s="4">
        <f>IF(ISERROR(VLOOKUP($S$795,'TAR FIN'!$A$1:$O$113,15,0)),0,VLOOKUP($S$795,'TAR FIN'!$A$1:$O$113,15,0))</f>
        <v>0</v>
      </c>
      <c r="W795" s="4">
        <f>IF(ISERROR(VLOOKUP($T$795,'TAR FIN'!$A$1:$O$113,15,0)),0,VLOOKUP($T$795,'TAR FIN'!$A$1:$O$113,15,0))</f>
        <v>304.64999999999998</v>
      </c>
      <c r="X795" s="4">
        <f>IF(ISERROR(VLOOKUP($U$795,'TAR FIN'!$A$1:$O$113,15,0)),0,VLOOKUP($U$795,'TAR FIN'!$A$1:$O$113,15,0))</f>
        <v>206.13</v>
      </c>
      <c r="Y795" s="4"/>
      <c r="Z795" s="4">
        <f ca="1">('TUSD BE'!$AM$53+'TUSD BF'!$AM$53+'TUSD CVA'!$AM$53)*(1-CUSTOS!$M$38)</f>
        <v>386.47391324808456</v>
      </c>
      <c r="AA795" s="4">
        <f>('TE BE'!$AA$32+'TE BF'!$AA$32+'TE CVA'!$AA$32)*(1-CUSTOS!$M$38)</f>
        <v>220.59856812487419</v>
      </c>
      <c r="AB795" s="4">
        <f t="shared" si="36"/>
        <v>0</v>
      </c>
      <c r="AC795" s="4">
        <f>(L795-M795)*(W795+X795)+($W$521+$X$521-$W$795-$X$795)*(L795)</f>
        <v>-2504.5556400000028</v>
      </c>
      <c r="AD795" s="4">
        <f t="shared" si="37"/>
        <v>0</v>
      </c>
      <c r="AE795" s="4">
        <f ca="1">(L795-M795)*(Z795+AA795)+($Z$521+$AA$521-$Z$795-$AA$795)*(L795)</f>
        <v>-1393.1925954436201</v>
      </c>
      <c r="AF795" s="3" t="s">
        <v>1023</v>
      </c>
    </row>
    <row r="796" spans="1:32" ht="11.25" customHeight="1" x14ac:dyDescent="0.25">
      <c r="A796" s="3" t="s">
        <v>28</v>
      </c>
      <c r="B796" s="3" t="s">
        <v>44</v>
      </c>
      <c r="C796" s="3" t="s">
        <v>23</v>
      </c>
      <c r="D796" s="3" t="s">
        <v>45</v>
      </c>
      <c r="E796" s="3" t="s">
        <v>25</v>
      </c>
      <c r="F796" s="3" t="s">
        <v>25</v>
      </c>
      <c r="G796" s="3" t="s">
        <v>25</v>
      </c>
      <c r="H796" s="3" t="s">
        <v>25</v>
      </c>
      <c r="I796" s="6">
        <v>44378</v>
      </c>
      <c r="J796" s="4">
        <v>0</v>
      </c>
      <c r="K796" s="4">
        <v>0</v>
      </c>
      <c r="L796" s="4">
        <v>104.20399999999999</v>
      </c>
      <c r="M796" s="4">
        <v>104.20399999999999</v>
      </c>
      <c r="N796" s="4">
        <v>104.20399999999999</v>
      </c>
      <c r="O796" s="4">
        <v>104.20399999999999</v>
      </c>
      <c r="P796" s="4">
        <v>176</v>
      </c>
      <c r="Q796" s="3" t="s">
        <v>26</v>
      </c>
      <c r="R796" s="3">
        <v>0</v>
      </c>
      <c r="S796" s="3">
        <v>0</v>
      </c>
      <c r="T796" s="3">
        <v>34</v>
      </c>
      <c r="U796" s="3">
        <v>53</v>
      </c>
      <c r="V796" s="4">
        <f>IF(ISERROR(VLOOKUP($S$796,'TAR FIN'!$A$1:$O$113,15,0)),0,VLOOKUP($S$796,'TAR FIN'!$A$1:$O$113,15,0))</f>
        <v>0</v>
      </c>
      <c r="W796" s="4">
        <f>IF(ISERROR(VLOOKUP($T$796,'TAR FIN'!$A$1:$O$113,15,0)),0,VLOOKUP($T$796,'TAR FIN'!$A$1:$O$113,15,0))</f>
        <v>304.64999999999998</v>
      </c>
      <c r="X796" s="4">
        <f>IF(ISERROR(VLOOKUP($U$796,'TAR FIN'!$A$1:$O$113,15,0)),0,VLOOKUP($U$796,'TAR FIN'!$A$1:$O$113,15,0))</f>
        <v>206.13</v>
      </c>
      <c r="Y796" s="4"/>
      <c r="Z796" s="4">
        <f ca="1">('TUSD BE'!$AM$53+'TUSD BF'!$AM$53+'TUSD CVA'!$AM$53)*(1-CUSTOS!$M$38)</f>
        <v>386.47391324808456</v>
      </c>
      <c r="AA796" s="4">
        <f>('TE BE'!$AA$32+'TE BF'!$AA$32+'TE CVA'!$AA$32)*(1-CUSTOS!$M$38)</f>
        <v>220.59856812487419</v>
      </c>
      <c r="AB796" s="4">
        <f t="shared" si="36"/>
        <v>0</v>
      </c>
      <c r="AC796" s="4">
        <f>(L796-M796)*(W796+X796)+($W$521+$X$521-$W$796-$X$796)*(L796)</f>
        <v>7258.8506400000078</v>
      </c>
      <c r="AD796" s="4">
        <f t="shared" si="37"/>
        <v>0</v>
      </c>
      <c r="AE796" s="4">
        <f ca="1">(L796-M796)*(Z796+AA796)+($Z$521+$AA$521-$Z$796-$AA$796)*(L796)</f>
        <v>4037.8328201481609</v>
      </c>
      <c r="AF796" s="3" t="s">
        <v>1023</v>
      </c>
    </row>
    <row r="797" spans="1:32" ht="11.25" customHeight="1" x14ac:dyDescent="0.25">
      <c r="A797" s="3" t="s">
        <v>21</v>
      </c>
      <c r="B797" s="3" t="s">
        <v>44</v>
      </c>
      <c r="C797" s="3" t="s">
        <v>23</v>
      </c>
      <c r="D797" s="3" t="s">
        <v>45</v>
      </c>
      <c r="E797" s="3" t="s">
        <v>25</v>
      </c>
      <c r="F797" s="3" t="s">
        <v>25</v>
      </c>
      <c r="G797" s="3" t="s">
        <v>25</v>
      </c>
      <c r="H797" s="3" t="s">
        <v>25</v>
      </c>
      <c r="I797" s="6">
        <v>44409</v>
      </c>
      <c r="J797" s="4">
        <v>0</v>
      </c>
      <c r="K797" s="4">
        <v>0</v>
      </c>
      <c r="L797" s="4">
        <v>3766.8429999999998</v>
      </c>
      <c r="M797" s="4">
        <v>3766.8429999999998</v>
      </c>
      <c r="N797" s="4">
        <v>3766.8429999999998</v>
      </c>
      <c r="O797" s="4">
        <v>3766.8429999999998</v>
      </c>
      <c r="P797" s="4">
        <v>22745</v>
      </c>
      <c r="Q797" s="3" t="s">
        <v>26</v>
      </c>
      <c r="R797" s="3">
        <v>0</v>
      </c>
      <c r="S797" s="3">
        <v>0</v>
      </c>
      <c r="T797" s="3">
        <v>34</v>
      </c>
      <c r="U797" s="3">
        <v>53</v>
      </c>
      <c r="V797" s="4">
        <f>IF(ISERROR(VLOOKUP($S$797,'TAR FIN'!$A$1:$O$113,15,0)),0,VLOOKUP($S$797,'TAR FIN'!$A$1:$O$113,15,0))</f>
        <v>0</v>
      </c>
      <c r="W797" s="4">
        <f>IF(ISERROR(VLOOKUP($T$797,'TAR FIN'!$A$1:$O$113,15,0)),0,VLOOKUP($T$797,'TAR FIN'!$A$1:$O$113,15,0))</f>
        <v>304.64999999999998</v>
      </c>
      <c r="X797" s="4">
        <f>IF(ISERROR(VLOOKUP($U$797,'TAR FIN'!$A$1:$O$113,15,0)),0,VLOOKUP($U$797,'TAR FIN'!$A$1:$O$113,15,0))</f>
        <v>206.13</v>
      </c>
      <c r="Y797" s="4"/>
      <c r="Z797" s="4">
        <f ca="1">('TUSD BE'!$AM$53+'TUSD BF'!$AM$53+'TUSD CVA'!$AM$53)*(1-CUSTOS!$M$38)</f>
        <v>386.47391324808456</v>
      </c>
      <c r="AA797" s="4">
        <f>('TE BE'!$AA$32+'TE BF'!$AA$32+'TE CVA'!$AA$32)*(1-CUSTOS!$M$38)</f>
        <v>220.59856812487419</v>
      </c>
      <c r="AB797" s="4">
        <f t="shared" si="36"/>
        <v>0</v>
      </c>
      <c r="AC797" s="4">
        <f>(L797-M797)*(W797+X797)+($W$521+$X$521-$W$797-$X$797)*(L797)</f>
        <v>262398.28338000027</v>
      </c>
      <c r="AD797" s="4">
        <f t="shared" si="37"/>
        <v>0</v>
      </c>
      <c r="AE797" s="4">
        <f ca="1">(L797-M797)*(Z797+AA797)+($Z$521+$AA$521-$Z$797-$AA$797)*(L797)</f>
        <v>145962.5570395125</v>
      </c>
      <c r="AF797" s="3" t="s">
        <v>1023</v>
      </c>
    </row>
    <row r="798" spans="1:32" ht="11.25" customHeight="1" x14ac:dyDescent="0.25">
      <c r="A798" s="3" t="s">
        <v>27</v>
      </c>
      <c r="B798" s="3" t="s">
        <v>44</v>
      </c>
      <c r="C798" s="3" t="s">
        <v>23</v>
      </c>
      <c r="D798" s="3" t="s">
        <v>45</v>
      </c>
      <c r="E798" s="3" t="s">
        <v>25</v>
      </c>
      <c r="F798" s="3" t="s">
        <v>25</v>
      </c>
      <c r="G798" s="3" t="s">
        <v>25</v>
      </c>
      <c r="H798" s="3" t="s">
        <v>25</v>
      </c>
      <c r="I798" s="6">
        <v>44409</v>
      </c>
      <c r="J798" s="4">
        <v>0</v>
      </c>
      <c r="K798" s="4">
        <v>0</v>
      </c>
      <c r="L798" s="4">
        <v>-22.149000000000001</v>
      </c>
      <c r="M798" s="4">
        <v>-22.149000000000001</v>
      </c>
      <c r="N798" s="4">
        <v>-22.149000000000001</v>
      </c>
      <c r="O798" s="4">
        <v>-22.149000000000001</v>
      </c>
      <c r="P798" s="4">
        <v>-4</v>
      </c>
      <c r="Q798" s="3" t="s">
        <v>26</v>
      </c>
      <c r="R798" s="3">
        <v>0</v>
      </c>
      <c r="S798" s="3">
        <v>0</v>
      </c>
      <c r="T798" s="3">
        <v>34</v>
      </c>
      <c r="U798" s="3">
        <v>53</v>
      </c>
      <c r="V798" s="4">
        <f>IF(ISERROR(VLOOKUP($S$798,'TAR FIN'!$A$1:$O$113,15,0)),0,VLOOKUP($S$798,'TAR FIN'!$A$1:$O$113,15,0))</f>
        <v>0</v>
      </c>
      <c r="W798" s="4">
        <f>IF(ISERROR(VLOOKUP($T$798,'TAR FIN'!$A$1:$O$113,15,0)),0,VLOOKUP($T$798,'TAR FIN'!$A$1:$O$113,15,0))</f>
        <v>304.64999999999998</v>
      </c>
      <c r="X798" s="4">
        <f>IF(ISERROR(VLOOKUP($U$798,'TAR FIN'!$A$1:$O$113,15,0)),0,VLOOKUP($U$798,'TAR FIN'!$A$1:$O$113,15,0))</f>
        <v>206.13</v>
      </c>
      <c r="Y798" s="4"/>
      <c r="Z798" s="4">
        <f ca="1">('TUSD BE'!$AM$53+'TUSD BF'!$AM$53+'TUSD CVA'!$AM$53)*(1-CUSTOS!$M$38)</f>
        <v>386.47391324808456</v>
      </c>
      <c r="AA798" s="4">
        <f>('TE BE'!$AA$32+'TE BF'!$AA$32+'TE CVA'!$AA$32)*(1-CUSTOS!$M$38)</f>
        <v>220.59856812487419</v>
      </c>
      <c r="AB798" s="4">
        <f t="shared" si="36"/>
        <v>0</v>
      </c>
      <c r="AC798" s="4">
        <f>(L798-M798)*(W798+X798)+($W$521+$X$521-$W$798-$X$798)*(L798)</f>
        <v>-1542.899340000002</v>
      </c>
      <c r="AD798" s="4">
        <f t="shared" si="37"/>
        <v>0</v>
      </c>
      <c r="AE798" s="4">
        <f ca="1">(L798-M798)*(Z798+AA798)+($Z$521+$AA$521-$Z$798-$AA$798)*(L798)</f>
        <v>-858.25840786785182</v>
      </c>
      <c r="AF798" s="3" t="s">
        <v>1023</v>
      </c>
    </row>
    <row r="799" spans="1:32" ht="11.25" customHeight="1" x14ac:dyDescent="0.25">
      <c r="A799" s="3" t="s">
        <v>28</v>
      </c>
      <c r="B799" s="3" t="s">
        <v>44</v>
      </c>
      <c r="C799" s="3" t="s">
        <v>23</v>
      </c>
      <c r="D799" s="3" t="s">
        <v>45</v>
      </c>
      <c r="E799" s="3" t="s">
        <v>25</v>
      </c>
      <c r="F799" s="3" t="s">
        <v>25</v>
      </c>
      <c r="G799" s="3" t="s">
        <v>25</v>
      </c>
      <c r="H799" s="3" t="s">
        <v>25</v>
      </c>
      <c r="I799" s="6">
        <v>44409</v>
      </c>
      <c r="J799" s="4">
        <v>0</v>
      </c>
      <c r="K799" s="4">
        <v>0</v>
      </c>
      <c r="L799" s="4">
        <v>94.795000000000002</v>
      </c>
      <c r="M799" s="4">
        <v>94.795000000000002</v>
      </c>
      <c r="N799" s="4">
        <v>94.795000000000002</v>
      </c>
      <c r="O799" s="4">
        <v>94.795000000000002</v>
      </c>
      <c r="P799" s="4">
        <v>192</v>
      </c>
      <c r="Q799" s="3" t="s">
        <v>26</v>
      </c>
      <c r="R799" s="3">
        <v>0</v>
      </c>
      <c r="S799" s="3">
        <v>0</v>
      </c>
      <c r="T799" s="3">
        <v>34</v>
      </c>
      <c r="U799" s="3">
        <v>53</v>
      </c>
      <c r="V799" s="4">
        <f>IF(ISERROR(VLOOKUP($S$799,'TAR FIN'!$A$1:$O$113,15,0)),0,VLOOKUP($S$799,'TAR FIN'!$A$1:$O$113,15,0))</f>
        <v>0</v>
      </c>
      <c r="W799" s="4">
        <f>IF(ISERROR(VLOOKUP($T$799,'TAR FIN'!$A$1:$O$113,15,0)),0,VLOOKUP($T$799,'TAR FIN'!$A$1:$O$113,15,0))</f>
        <v>304.64999999999998</v>
      </c>
      <c r="X799" s="4">
        <f>IF(ISERROR(VLOOKUP($U$799,'TAR FIN'!$A$1:$O$113,15,0)),0,VLOOKUP($U$799,'TAR FIN'!$A$1:$O$113,15,0))</f>
        <v>206.13</v>
      </c>
      <c r="Y799" s="4"/>
      <c r="Z799" s="4">
        <f ca="1">('TUSD BE'!$AM$53+'TUSD BF'!$AM$53+'TUSD CVA'!$AM$53)*(1-CUSTOS!$M$38)</f>
        <v>386.47391324808456</v>
      </c>
      <c r="AA799" s="4">
        <f>('TE BE'!$AA$32+'TE BF'!$AA$32+'TE CVA'!$AA$32)*(1-CUSTOS!$M$38)</f>
        <v>220.59856812487419</v>
      </c>
      <c r="AB799" s="4">
        <f t="shared" si="36"/>
        <v>0</v>
      </c>
      <c r="AC799" s="4">
        <f>(L799-M799)*(W799+X799)+($W$521+$X$521-$W$799-$X$799)*(L799)</f>
        <v>6603.4197000000077</v>
      </c>
      <c r="AD799" s="4">
        <f t="shared" si="37"/>
        <v>0</v>
      </c>
      <c r="AE799" s="4">
        <f ca="1">(L799-M799)*(Z799+AA799)+($Z$521+$AA$521-$Z$799-$AA$799)*(L799)</f>
        <v>3673.2405875584905</v>
      </c>
      <c r="AF799" s="3" t="s">
        <v>1023</v>
      </c>
    </row>
    <row r="800" spans="1:32" ht="11.25" customHeight="1" x14ac:dyDescent="0.25">
      <c r="A800" s="3" t="s">
        <v>28</v>
      </c>
      <c r="B800" s="3" t="s">
        <v>44</v>
      </c>
      <c r="C800" s="3" t="s">
        <v>23</v>
      </c>
      <c r="D800" s="3" t="s">
        <v>45</v>
      </c>
      <c r="E800" s="3" t="s">
        <v>25</v>
      </c>
      <c r="F800" s="3" t="s">
        <v>25</v>
      </c>
      <c r="G800" s="3" t="s">
        <v>25</v>
      </c>
      <c r="H800" s="3" t="s">
        <v>25</v>
      </c>
      <c r="I800" s="6">
        <v>44409</v>
      </c>
      <c r="J800" s="4">
        <v>0</v>
      </c>
      <c r="K800" s="4">
        <v>0</v>
      </c>
      <c r="L800" s="4">
        <v>-0.97799999999999998</v>
      </c>
      <c r="M800" s="4">
        <v>-0.97799999999999998</v>
      </c>
      <c r="N800" s="4">
        <v>-0.97799999999999998</v>
      </c>
      <c r="O800" s="4">
        <v>-0.97799999999999998</v>
      </c>
      <c r="P800" s="4">
        <v>0</v>
      </c>
      <c r="Q800" s="3" t="s">
        <v>26</v>
      </c>
      <c r="R800" s="3">
        <v>0</v>
      </c>
      <c r="S800" s="3">
        <v>0</v>
      </c>
      <c r="T800" s="3">
        <v>34</v>
      </c>
      <c r="U800" s="3">
        <v>53</v>
      </c>
      <c r="V800" s="4">
        <f>IF(ISERROR(VLOOKUP($S$800,'TAR FIN'!$A$1:$O$113,15,0)),0,VLOOKUP($S$800,'TAR FIN'!$A$1:$O$113,15,0))</f>
        <v>0</v>
      </c>
      <c r="W800" s="4">
        <f>IF(ISERROR(VLOOKUP($T$800,'TAR FIN'!$A$1:$O$113,15,0)),0,VLOOKUP($T$800,'TAR FIN'!$A$1:$O$113,15,0))</f>
        <v>304.64999999999998</v>
      </c>
      <c r="X800" s="4">
        <f>IF(ISERROR(VLOOKUP($U$800,'TAR FIN'!$A$1:$O$113,15,0)),0,VLOOKUP($U$800,'TAR FIN'!$A$1:$O$113,15,0))</f>
        <v>206.13</v>
      </c>
      <c r="Y800" s="4"/>
      <c r="Z800" s="4">
        <f ca="1">('TUSD BE'!$AM$53+'TUSD BF'!$AM$53+'TUSD CVA'!$AM$53)*(1-CUSTOS!$M$38)</f>
        <v>386.47391324808456</v>
      </c>
      <c r="AA800" s="4">
        <f>('TE BE'!$AA$32+'TE BF'!$AA$32+'TE CVA'!$AA$32)*(1-CUSTOS!$M$38)</f>
        <v>220.59856812487419</v>
      </c>
      <c r="AB800" s="4">
        <f t="shared" si="36"/>
        <v>0</v>
      </c>
      <c r="AC800" s="4">
        <f>(L800-M800)*(W800+X800)+($W$521+$X$521-$W$800-$X$800)*(L800)</f>
        <v>-68.127480000000077</v>
      </c>
      <c r="AD800" s="4">
        <f t="shared" si="37"/>
        <v>0</v>
      </c>
      <c r="AE800" s="4">
        <f ca="1">(L800-M800)*(Z800+AA800)+($Z$521+$AA$521-$Z$800-$AA$800)*(L800)</f>
        <v>-37.896822560601336</v>
      </c>
      <c r="AF800" s="3" t="s">
        <v>1023</v>
      </c>
    </row>
    <row r="801" spans="1:32" ht="11.25" customHeight="1" x14ac:dyDescent="0.25">
      <c r="A801" s="3" t="s">
        <v>21</v>
      </c>
      <c r="B801" s="3" t="s">
        <v>44</v>
      </c>
      <c r="C801" s="3" t="s">
        <v>23</v>
      </c>
      <c r="D801" s="3" t="s">
        <v>45</v>
      </c>
      <c r="E801" s="3" t="s">
        <v>25</v>
      </c>
      <c r="F801" s="3" t="s">
        <v>25</v>
      </c>
      <c r="G801" s="3" t="s">
        <v>25</v>
      </c>
      <c r="H801" s="3" t="s">
        <v>25</v>
      </c>
      <c r="I801" s="6">
        <v>44440</v>
      </c>
      <c r="J801" s="4">
        <v>0</v>
      </c>
      <c r="K801" s="4">
        <v>0</v>
      </c>
      <c r="L801" s="4">
        <v>4080.922</v>
      </c>
      <c r="M801" s="4">
        <v>4080.922</v>
      </c>
      <c r="N801" s="4">
        <v>4080.922</v>
      </c>
      <c r="O801" s="4">
        <v>4080.922</v>
      </c>
      <c r="P801" s="4">
        <v>22652</v>
      </c>
      <c r="Q801" s="3" t="s">
        <v>26</v>
      </c>
      <c r="R801" s="3">
        <v>0</v>
      </c>
      <c r="S801" s="3">
        <v>0</v>
      </c>
      <c r="T801" s="3">
        <v>34</v>
      </c>
      <c r="U801" s="3">
        <v>53</v>
      </c>
      <c r="V801" s="4">
        <f>IF(ISERROR(VLOOKUP($S$801,'TAR FIN'!$A$1:$O$113,15,0)),0,VLOOKUP($S$801,'TAR FIN'!$A$1:$O$113,15,0))</f>
        <v>0</v>
      </c>
      <c r="W801" s="4">
        <f>IF(ISERROR(VLOOKUP($T$801,'TAR FIN'!$A$1:$O$113,15,0)),0,VLOOKUP($T$801,'TAR FIN'!$A$1:$O$113,15,0))</f>
        <v>304.64999999999998</v>
      </c>
      <c r="X801" s="4">
        <f>IF(ISERROR(VLOOKUP($U$801,'TAR FIN'!$A$1:$O$113,15,0)),0,VLOOKUP($U$801,'TAR FIN'!$A$1:$O$113,15,0))</f>
        <v>206.13</v>
      </c>
      <c r="Y801" s="4"/>
      <c r="Z801" s="4">
        <f ca="1">('TUSD BE'!$AM$53+'TUSD BF'!$AM$53+'TUSD CVA'!$AM$53)*(1-CUSTOS!$M$38)</f>
        <v>386.47391324808456</v>
      </c>
      <c r="AA801" s="4">
        <f>('TE BE'!$AA$32+'TE BF'!$AA$32+'TE CVA'!$AA$32)*(1-CUSTOS!$M$38)</f>
        <v>220.59856812487419</v>
      </c>
      <c r="AB801" s="4">
        <f t="shared" si="36"/>
        <v>0</v>
      </c>
      <c r="AC801" s="4">
        <f>(L801-M801)*(W801+X801)+($W$521+$X$521-$W$801-$X$801)*(L801)</f>
        <v>284277.02652000036</v>
      </c>
      <c r="AD801" s="4">
        <f t="shared" si="37"/>
        <v>0</v>
      </c>
      <c r="AE801" s="4">
        <f ca="1">(L801-M801)*(Z801+AA801)+($Z$521+$AA$521-$Z$801-$AA$801)*(L801)</f>
        <v>158132.9007337979</v>
      </c>
      <c r="AF801" s="3" t="s">
        <v>1023</v>
      </c>
    </row>
    <row r="802" spans="1:32" ht="11.25" customHeight="1" x14ac:dyDescent="0.25">
      <c r="A802" s="3" t="s">
        <v>27</v>
      </c>
      <c r="B802" s="3" t="s">
        <v>44</v>
      </c>
      <c r="C802" s="3" t="s">
        <v>23</v>
      </c>
      <c r="D802" s="3" t="s">
        <v>45</v>
      </c>
      <c r="E802" s="3" t="s">
        <v>25</v>
      </c>
      <c r="F802" s="3" t="s">
        <v>25</v>
      </c>
      <c r="G802" s="3" t="s">
        <v>25</v>
      </c>
      <c r="H802" s="3" t="s">
        <v>25</v>
      </c>
      <c r="I802" s="6">
        <v>44440</v>
      </c>
      <c r="J802" s="4">
        <v>0</v>
      </c>
      <c r="K802" s="4">
        <v>0</v>
      </c>
      <c r="L802" s="4">
        <v>0.61199999999999999</v>
      </c>
      <c r="M802" s="4">
        <v>0.61199999999999999</v>
      </c>
      <c r="N802" s="4">
        <v>0.61199999999999999</v>
      </c>
      <c r="O802" s="4">
        <v>0.61199999999999999</v>
      </c>
      <c r="P802" s="4">
        <v>0</v>
      </c>
      <c r="Q802" s="3" t="s">
        <v>26</v>
      </c>
      <c r="R802" s="3">
        <v>0</v>
      </c>
      <c r="S802" s="3">
        <v>0</v>
      </c>
      <c r="T802" s="3">
        <v>34</v>
      </c>
      <c r="U802" s="3">
        <v>53</v>
      </c>
      <c r="V802" s="4">
        <f>IF(ISERROR(VLOOKUP($S$802,'TAR FIN'!$A$1:$O$113,15,0)),0,VLOOKUP($S$802,'TAR FIN'!$A$1:$O$113,15,0))</f>
        <v>0</v>
      </c>
      <c r="W802" s="4">
        <f>IF(ISERROR(VLOOKUP($T$802,'TAR FIN'!$A$1:$O$113,15,0)),0,VLOOKUP($T$802,'TAR FIN'!$A$1:$O$113,15,0))</f>
        <v>304.64999999999998</v>
      </c>
      <c r="X802" s="4">
        <f>IF(ISERROR(VLOOKUP($U$802,'TAR FIN'!$A$1:$O$113,15,0)),0,VLOOKUP($U$802,'TAR FIN'!$A$1:$O$113,15,0))</f>
        <v>206.13</v>
      </c>
      <c r="Y802" s="4"/>
      <c r="Z802" s="4">
        <f ca="1">('TUSD BE'!$AM$53+'TUSD BF'!$AM$53+'TUSD CVA'!$AM$53)*(1-CUSTOS!$M$38)</f>
        <v>386.47391324808456</v>
      </c>
      <c r="AA802" s="4">
        <f>('TE BE'!$AA$32+'TE BF'!$AA$32+'TE CVA'!$AA$32)*(1-CUSTOS!$M$38)</f>
        <v>220.59856812487419</v>
      </c>
      <c r="AB802" s="4">
        <f t="shared" si="36"/>
        <v>0</v>
      </c>
      <c r="AC802" s="4">
        <f>(L802-M802)*(W802+X802)+($W$521+$X$521-$W$802-$X$802)*(L802)</f>
        <v>42.631920000000051</v>
      </c>
      <c r="AD802" s="4">
        <f t="shared" si="37"/>
        <v>0</v>
      </c>
      <c r="AE802" s="4">
        <f ca="1">(L802-M802)*(Z802+AA802)+($Z$521+$AA$521-$Z$802-$AA$802)*(L802)</f>
        <v>23.714576080867094</v>
      </c>
      <c r="AF802" s="3" t="s">
        <v>1023</v>
      </c>
    </row>
    <row r="803" spans="1:32" ht="11.25" customHeight="1" x14ac:dyDescent="0.25">
      <c r="A803" s="3" t="s">
        <v>28</v>
      </c>
      <c r="B803" s="3" t="s">
        <v>44</v>
      </c>
      <c r="C803" s="3" t="s">
        <v>23</v>
      </c>
      <c r="D803" s="3" t="s">
        <v>45</v>
      </c>
      <c r="E803" s="3" t="s">
        <v>25</v>
      </c>
      <c r="F803" s="3" t="s">
        <v>25</v>
      </c>
      <c r="G803" s="3" t="s">
        <v>25</v>
      </c>
      <c r="H803" s="3" t="s">
        <v>25</v>
      </c>
      <c r="I803" s="6">
        <v>44440</v>
      </c>
      <c r="J803" s="4">
        <v>0</v>
      </c>
      <c r="K803" s="4">
        <v>0</v>
      </c>
      <c r="L803" s="4">
        <v>84.361999999999995</v>
      </c>
      <c r="M803" s="4">
        <v>84.361999999999995</v>
      </c>
      <c r="N803" s="4">
        <v>84.361999999999995</v>
      </c>
      <c r="O803" s="4">
        <v>84.361999999999995</v>
      </c>
      <c r="P803" s="4">
        <v>205</v>
      </c>
      <c r="Q803" s="3" t="s">
        <v>26</v>
      </c>
      <c r="R803" s="3">
        <v>0</v>
      </c>
      <c r="S803" s="3">
        <v>0</v>
      </c>
      <c r="T803" s="3">
        <v>34</v>
      </c>
      <c r="U803" s="3">
        <v>53</v>
      </c>
      <c r="V803" s="4">
        <f>IF(ISERROR(VLOOKUP($S$803,'TAR FIN'!$A$1:$O$113,15,0)),0,VLOOKUP($S$803,'TAR FIN'!$A$1:$O$113,15,0))</f>
        <v>0</v>
      </c>
      <c r="W803" s="4">
        <f>IF(ISERROR(VLOOKUP($T$803,'TAR FIN'!$A$1:$O$113,15,0)),0,VLOOKUP($T$803,'TAR FIN'!$A$1:$O$113,15,0))</f>
        <v>304.64999999999998</v>
      </c>
      <c r="X803" s="4">
        <f>IF(ISERROR(VLOOKUP($U$803,'TAR FIN'!$A$1:$O$113,15,0)),0,VLOOKUP($U$803,'TAR FIN'!$A$1:$O$113,15,0))</f>
        <v>206.13</v>
      </c>
      <c r="Y803" s="4"/>
      <c r="Z803" s="4">
        <f ca="1">('TUSD BE'!$AM$53+'TUSD BF'!$AM$53+'TUSD CVA'!$AM$53)*(1-CUSTOS!$M$38)</f>
        <v>386.47391324808456</v>
      </c>
      <c r="AA803" s="4">
        <f>('TE BE'!$AA$32+'TE BF'!$AA$32+'TE CVA'!$AA$32)*(1-CUSTOS!$M$38)</f>
        <v>220.59856812487419</v>
      </c>
      <c r="AB803" s="4">
        <f t="shared" si="36"/>
        <v>0</v>
      </c>
      <c r="AC803" s="4">
        <f>(L803-M803)*(W803+X803)+($W$521+$X$521-$W$803-$X$803)*(L803)</f>
        <v>5876.6569200000067</v>
      </c>
      <c r="AD803" s="4">
        <f t="shared" si="37"/>
        <v>0</v>
      </c>
      <c r="AE803" s="4">
        <f ca="1">(L803-M803)*(Z803+AA803)+($Z$521+$AA$521-$Z$803-$AA$803)*(L803)</f>
        <v>3268.9690642714213</v>
      </c>
      <c r="AF803" s="3" t="s">
        <v>1023</v>
      </c>
    </row>
    <row r="804" spans="1:32" ht="11.25" customHeight="1" x14ac:dyDescent="0.25">
      <c r="A804" s="3" t="s">
        <v>21</v>
      </c>
      <c r="B804" s="3" t="s">
        <v>44</v>
      </c>
      <c r="C804" s="3" t="s">
        <v>23</v>
      </c>
      <c r="D804" s="3" t="s">
        <v>45</v>
      </c>
      <c r="E804" s="3" t="s">
        <v>25</v>
      </c>
      <c r="F804" s="3" t="s">
        <v>25</v>
      </c>
      <c r="G804" s="3" t="s">
        <v>25</v>
      </c>
      <c r="H804" s="3" t="s">
        <v>25</v>
      </c>
      <c r="I804" s="6">
        <v>44470</v>
      </c>
      <c r="J804" s="4">
        <v>0</v>
      </c>
      <c r="K804" s="4">
        <v>0</v>
      </c>
      <c r="L804" s="4">
        <v>4730.3190000000004</v>
      </c>
      <c r="M804" s="4">
        <v>4730.3190000000004</v>
      </c>
      <c r="N804" s="4">
        <v>4730.3190000000004</v>
      </c>
      <c r="O804" s="4">
        <v>4730.3190000000004</v>
      </c>
      <c r="P804" s="4">
        <v>22467</v>
      </c>
      <c r="Q804" s="3" t="s">
        <v>26</v>
      </c>
      <c r="R804" s="3">
        <v>0</v>
      </c>
      <c r="S804" s="3">
        <v>0</v>
      </c>
      <c r="T804" s="3">
        <v>34</v>
      </c>
      <c r="U804" s="3">
        <v>53</v>
      </c>
      <c r="V804" s="4">
        <f>IF(ISERROR(VLOOKUP($S$804,'TAR FIN'!$A$1:$O$113,15,0)),0,VLOOKUP($S$804,'TAR FIN'!$A$1:$O$113,15,0))</f>
        <v>0</v>
      </c>
      <c r="W804" s="4">
        <f>IF(ISERROR(VLOOKUP($T$804,'TAR FIN'!$A$1:$O$113,15,0)),0,VLOOKUP($T$804,'TAR FIN'!$A$1:$O$113,15,0))</f>
        <v>304.64999999999998</v>
      </c>
      <c r="X804" s="4">
        <f>IF(ISERROR(VLOOKUP($U$804,'TAR FIN'!$A$1:$O$113,15,0)),0,VLOOKUP($U$804,'TAR FIN'!$A$1:$O$113,15,0))</f>
        <v>206.13</v>
      </c>
      <c r="Y804" s="4"/>
      <c r="Z804" s="4">
        <f ca="1">('TUSD BE'!$AM$53+'TUSD BF'!$AM$53+'TUSD CVA'!$AM$53)*(1-CUSTOS!$M$38)</f>
        <v>386.47391324808456</v>
      </c>
      <c r="AA804" s="4">
        <f>('TE BE'!$AA$32+'TE BF'!$AA$32+'TE CVA'!$AA$32)*(1-CUSTOS!$M$38)</f>
        <v>220.59856812487419</v>
      </c>
      <c r="AB804" s="4">
        <f t="shared" si="36"/>
        <v>0</v>
      </c>
      <c r="AC804" s="4">
        <f>(L804-M804)*(W804+X804)+($W$521+$X$521-$W$804-$X$804)*(L804)</f>
        <v>329514.02154000039</v>
      </c>
      <c r="AD804" s="4">
        <f t="shared" si="37"/>
        <v>0</v>
      </c>
      <c r="AE804" s="4">
        <f ca="1">(L804-M804)*(Z804+AA804)+($Z$521+$AA$521-$Z$804-$AA$804)*(L804)</f>
        <v>183296.5846605738</v>
      </c>
      <c r="AF804" s="3" t="s">
        <v>1023</v>
      </c>
    </row>
    <row r="805" spans="1:32" ht="11.25" customHeight="1" x14ac:dyDescent="0.25">
      <c r="A805" s="3" t="s">
        <v>27</v>
      </c>
      <c r="B805" s="3" t="s">
        <v>44</v>
      </c>
      <c r="C805" s="3" t="s">
        <v>23</v>
      </c>
      <c r="D805" s="3" t="s">
        <v>45</v>
      </c>
      <c r="E805" s="3" t="s">
        <v>25</v>
      </c>
      <c r="F805" s="3" t="s">
        <v>25</v>
      </c>
      <c r="G805" s="3" t="s">
        <v>25</v>
      </c>
      <c r="H805" s="3" t="s">
        <v>25</v>
      </c>
      <c r="I805" s="6">
        <v>44470</v>
      </c>
      <c r="J805" s="4">
        <v>0</v>
      </c>
      <c r="K805" s="4">
        <v>0</v>
      </c>
      <c r="L805" s="4">
        <v>-71.680000000000007</v>
      </c>
      <c r="M805" s="4">
        <v>-71.680000000000007</v>
      </c>
      <c r="N805" s="4">
        <v>-71.680000000000007</v>
      </c>
      <c r="O805" s="4">
        <v>-71.680000000000007</v>
      </c>
      <c r="P805" s="4">
        <v>-3</v>
      </c>
      <c r="Q805" s="3" t="s">
        <v>26</v>
      </c>
      <c r="R805" s="3">
        <v>0</v>
      </c>
      <c r="S805" s="3">
        <v>0</v>
      </c>
      <c r="T805" s="3">
        <v>34</v>
      </c>
      <c r="U805" s="3">
        <v>53</v>
      </c>
      <c r="V805" s="4">
        <f>IF(ISERROR(VLOOKUP($S$805,'TAR FIN'!$A$1:$O$113,15,0)),0,VLOOKUP($S$805,'TAR FIN'!$A$1:$O$113,15,0))</f>
        <v>0</v>
      </c>
      <c r="W805" s="4">
        <f>IF(ISERROR(VLOOKUP($T$805,'TAR FIN'!$A$1:$O$113,15,0)),0,VLOOKUP($T$805,'TAR FIN'!$A$1:$O$113,15,0))</f>
        <v>304.64999999999998</v>
      </c>
      <c r="X805" s="4">
        <f>IF(ISERROR(VLOOKUP($U$805,'TAR FIN'!$A$1:$O$113,15,0)),0,VLOOKUP($U$805,'TAR FIN'!$A$1:$O$113,15,0))</f>
        <v>206.13</v>
      </c>
      <c r="Y805" s="4"/>
      <c r="Z805" s="4">
        <f ca="1">('TUSD BE'!$AM$53+'TUSD BF'!$AM$53+'TUSD CVA'!$AM$53)*(1-CUSTOS!$M$38)</f>
        <v>386.47391324808456</v>
      </c>
      <c r="AA805" s="4">
        <f>('TE BE'!$AA$32+'TE BF'!$AA$32+'TE CVA'!$AA$32)*(1-CUSTOS!$M$38)</f>
        <v>220.59856812487419</v>
      </c>
      <c r="AB805" s="4">
        <f t="shared" si="36"/>
        <v>0</v>
      </c>
      <c r="AC805" s="4">
        <f>(L805-M805)*(W805+X805)+($W$521+$X$521-$W$805-$X$805)*(L805)</f>
        <v>-4993.2288000000062</v>
      </c>
      <c r="AD805" s="4">
        <f t="shared" si="37"/>
        <v>0</v>
      </c>
      <c r="AE805" s="4">
        <f ca="1">(L805-M805)*(Z805+AA805)+($Z$521+$AA$521-$Z$805-$AA$805)*(L805)</f>
        <v>-2777.5503488178979</v>
      </c>
      <c r="AF805" s="3" t="s">
        <v>1023</v>
      </c>
    </row>
    <row r="806" spans="1:32" ht="11.25" customHeight="1" x14ac:dyDescent="0.25">
      <c r="A806" s="3" t="s">
        <v>28</v>
      </c>
      <c r="B806" s="3" t="s">
        <v>44</v>
      </c>
      <c r="C806" s="3" t="s">
        <v>23</v>
      </c>
      <c r="D806" s="3" t="s">
        <v>45</v>
      </c>
      <c r="E806" s="3" t="s">
        <v>25</v>
      </c>
      <c r="F806" s="3" t="s">
        <v>25</v>
      </c>
      <c r="G806" s="3" t="s">
        <v>25</v>
      </c>
      <c r="H806" s="3" t="s">
        <v>25</v>
      </c>
      <c r="I806" s="6">
        <v>44470</v>
      </c>
      <c r="J806" s="4">
        <v>0</v>
      </c>
      <c r="K806" s="4">
        <v>0</v>
      </c>
      <c r="L806" s="4">
        <v>64.623000000000005</v>
      </c>
      <c r="M806" s="4">
        <v>64.623000000000005</v>
      </c>
      <c r="N806" s="4">
        <v>64.623000000000005</v>
      </c>
      <c r="O806" s="4">
        <v>64.623000000000005</v>
      </c>
      <c r="P806" s="4">
        <v>217</v>
      </c>
      <c r="Q806" s="3" t="s">
        <v>26</v>
      </c>
      <c r="R806" s="3">
        <v>0</v>
      </c>
      <c r="S806" s="3">
        <v>0</v>
      </c>
      <c r="T806" s="3">
        <v>34</v>
      </c>
      <c r="U806" s="3">
        <v>53</v>
      </c>
      <c r="V806" s="4">
        <f>IF(ISERROR(VLOOKUP($S$806,'TAR FIN'!$A$1:$O$113,15,0)),0,VLOOKUP($S$806,'TAR FIN'!$A$1:$O$113,15,0))</f>
        <v>0</v>
      </c>
      <c r="W806" s="4">
        <f>IF(ISERROR(VLOOKUP($T$806,'TAR FIN'!$A$1:$O$113,15,0)),0,VLOOKUP($T$806,'TAR FIN'!$A$1:$O$113,15,0))</f>
        <v>304.64999999999998</v>
      </c>
      <c r="X806" s="4">
        <f>IF(ISERROR(VLOOKUP($U$806,'TAR FIN'!$A$1:$O$113,15,0)),0,VLOOKUP($U$806,'TAR FIN'!$A$1:$O$113,15,0))</f>
        <v>206.13</v>
      </c>
      <c r="Y806" s="4"/>
      <c r="Z806" s="4">
        <f ca="1">('TUSD BE'!$AM$53+'TUSD BF'!$AM$53+'TUSD CVA'!$AM$53)*(1-CUSTOS!$M$38)</f>
        <v>386.47391324808456</v>
      </c>
      <c r="AA806" s="4">
        <f>('TE BE'!$AA$32+'TE BF'!$AA$32+'TE CVA'!$AA$32)*(1-CUSTOS!$M$38)</f>
        <v>220.59856812487419</v>
      </c>
      <c r="AB806" s="4">
        <f t="shared" si="36"/>
        <v>0</v>
      </c>
      <c r="AC806" s="4">
        <f>(L806-M806)*(W806+X806)+($W$521+$X$521-$W$806-$X$806)*(L806)</f>
        <v>4501.6381800000054</v>
      </c>
      <c r="AD806" s="4">
        <f t="shared" si="37"/>
        <v>0</v>
      </c>
      <c r="AE806" s="4">
        <f ca="1">(L806-M806)*(Z806+AA806)+($Z$521+$AA$521-$Z$806-$AA$806)*(L806)</f>
        <v>2504.0964870488142</v>
      </c>
      <c r="AF806" s="3" t="s">
        <v>1023</v>
      </c>
    </row>
    <row r="807" spans="1:32" ht="11.25" customHeight="1" x14ac:dyDescent="0.25">
      <c r="A807" s="3" t="s">
        <v>21</v>
      </c>
      <c r="B807" s="3" t="s">
        <v>44</v>
      </c>
      <c r="C807" s="3" t="s">
        <v>23</v>
      </c>
      <c r="D807" s="3" t="s">
        <v>45</v>
      </c>
      <c r="E807" s="3" t="s">
        <v>25</v>
      </c>
      <c r="F807" s="3" t="s">
        <v>25</v>
      </c>
      <c r="G807" s="3" t="s">
        <v>25</v>
      </c>
      <c r="H807" s="3" t="s">
        <v>25</v>
      </c>
      <c r="I807" s="6">
        <v>44501</v>
      </c>
      <c r="J807" s="4">
        <v>0</v>
      </c>
      <c r="K807" s="4">
        <v>0</v>
      </c>
      <c r="L807" s="4">
        <v>4794.9560000000001</v>
      </c>
      <c r="M807" s="4">
        <v>4794.9560000000001</v>
      </c>
      <c r="N807" s="4">
        <v>4794.9560000000001</v>
      </c>
      <c r="O807" s="4">
        <v>4794.9560000000001</v>
      </c>
      <c r="P807" s="4">
        <v>22387</v>
      </c>
      <c r="Q807" s="3" t="s">
        <v>26</v>
      </c>
      <c r="R807" s="3">
        <v>0</v>
      </c>
      <c r="S807" s="3">
        <v>0</v>
      </c>
      <c r="T807" s="3">
        <v>34</v>
      </c>
      <c r="U807" s="3">
        <v>53</v>
      </c>
      <c r="V807" s="4">
        <f>IF(ISERROR(VLOOKUP($S$807,'TAR FIN'!$A$1:$O$113,15,0)),0,VLOOKUP($S$807,'TAR FIN'!$A$1:$O$113,15,0))</f>
        <v>0</v>
      </c>
      <c r="W807" s="4">
        <f>IF(ISERROR(VLOOKUP($T$807,'TAR FIN'!$A$1:$O$113,15,0)),0,VLOOKUP($T$807,'TAR FIN'!$A$1:$O$113,15,0))</f>
        <v>304.64999999999998</v>
      </c>
      <c r="X807" s="4">
        <f>IF(ISERROR(VLOOKUP($U$807,'TAR FIN'!$A$1:$O$113,15,0)),0,VLOOKUP($U$807,'TAR FIN'!$A$1:$O$113,15,0))</f>
        <v>206.13</v>
      </c>
      <c r="Y807" s="4"/>
      <c r="Z807" s="4">
        <f ca="1">('TUSD BE'!$AM$53+'TUSD BF'!$AM$53+'TUSD CVA'!$AM$53)*(1-CUSTOS!$M$38)</f>
        <v>386.47391324808456</v>
      </c>
      <c r="AA807" s="4">
        <f>('TE BE'!$AA$32+'TE BF'!$AA$32+'TE CVA'!$AA$32)*(1-CUSTOS!$M$38)</f>
        <v>220.59856812487419</v>
      </c>
      <c r="AB807" s="4">
        <f t="shared" si="36"/>
        <v>0</v>
      </c>
      <c r="AC807" s="4">
        <f>(L807-M807)*(W807+X807)+($W$521+$X$521-$W$807-$X$807)*(L807)</f>
        <v>334016.6349600004</v>
      </c>
      <c r="AD807" s="4">
        <f t="shared" si="37"/>
        <v>0</v>
      </c>
      <c r="AE807" s="4">
        <f ca="1">(L807-M807)*(Z807+AA807)+($Z$521+$AA$521-$Z$807-$AA$807)*(L807)</f>
        <v>185801.22363792511</v>
      </c>
      <c r="AF807" s="3" t="s">
        <v>1023</v>
      </c>
    </row>
    <row r="808" spans="1:32" ht="11.25" customHeight="1" x14ac:dyDescent="0.25">
      <c r="A808" s="3" t="s">
        <v>27</v>
      </c>
      <c r="B808" s="3" t="s">
        <v>44</v>
      </c>
      <c r="C808" s="3" t="s">
        <v>23</v>
      </c>
      <c r="D808" s="3" t="s">
        <v>45</v>
      </c>
      <c r="E808" s="3" t="s">
        <v>25</v>
      </c>
      <c r="F808" s="3" t="s">
        <v>25</v>
      </c>
      <c r="G808" s="3" t="s">
        <v>25</v>
      </c>
      <c r="H808" s="3" t="s">
        <v>25</v>
      </c>
      <c r="I808" s="6">
        <v>44501</v>
      </c>
      <c r="J808" s="4">
        <v>0</v>
      </c>
      <c r="K808" s="4">
        <v>0</v>
      </c>
      <c r="L808" s="4">
        <v>-39.015999999999998</v>
      </c>
      <c r="M808" s="4">
        <v>-39.015999999999998</v>
      </c>
      <c r="N808" s="4">
        <v>-39.015999999999998</v>
      </c>
      <c r="O808" s="4">
        <v>-39.015999999999998</v>
      </c>
      <c r="P808" s="4">
        <v>-2</v>
      </c>
      <c r="Q808" s="3" t="s">
        <v>26</v>
      </c>
      <c r="R808" s="3">
        <v>0</v>
      </c>
      <c r="S808" s="3">
        <v>0</v>
      </c>
      <c r="T808" s="3">
        <v>34</v>
      </c>
      <c r="U808" s="3">
        <v>53</v>
      </c>
      <c r="V808" s="4">
        <f>IF(ISERROR(VLOOKUP($S$808,'TAR FIN'!$A$1:$O$113,15,0)),0,VLOOKUP($S$808,'TAR FIN'!$A$1:$O$113,15,0))</f>
        <v>0</v>
      </c>
      <c r="W808" s="4">
        <f>IF(ISERROR(VLOOKUP($T$808,'TAR FIN'!$A$1:$O$113,15,0)),0,VLOOKUP($T$808,'TAR FIN'!$A$1:$O$113,15,0))</f>
        <v>304.64999999999998</v>
      </c>
      <c r="X808" s="4">
        <f>IF(ISERROR(VLOOKUP($U$808,'TAR FIN'!$A$1:$O$113,15,0)),0,VLOOKUP($U$808,'TAR FIN'!$A$1:$O$113,15,0))</f>
        <v>206.13</v>
      </c>
      <c r="Y808" s="4"/>
      <c r="Z808" s="4">
        <f ca="1">('TUSD BE'!$AM$53+'TUSD BF'!$AM$53+'TUSD CVA'!$AM$53)*(1-CUSTOS!$M$38)</f>
        <v>386.47391324808456</v>
      </c>
      <c r="AA808" s="4">
        <f>('TE BE'!$AA$32+'TE BF'!$AA$32+'TE CVA'!$AA$32)*(1-CUSTOS!$M$38)</f>
        <v>220.59856812487419</v>
      </c>
      <c r="AB808" s="4">
        <f t="shared" si="36"/>
        <v>0</v>
      </c>
      <c r="AC808" s="4">
        <f>(L808-M808)*(W808+X808)+($W$521+$X$521-$W$808-$X$808)*(L808)</f>
        <v>-2717.8545600000029</v>
      </c>
      <c r="AD808" s="4">
        <f t="shared" si="37"/>
        <v>0</v>
      </c>
      <c r="AE808" s="4">
        <f ca="1">(L808-M808)*(Z808+AA808)+($Z$521+$AA$521-$Z$808-$AA$808)*(L808)</f>
        <v>-1511.8429744625989</v>
      </c>
      <c r="AF808" s="3" t="s">
        <v>1023</v>
      </c>
    </row>
    <row r="809" spans="1:32" ht="11.25" customHeight="1" x14ac:dyDescent="0.25">
      <c r="A809" s="3" t="s">
        <v>28</v>
      </c>
      <c r="B809" s="3" t="s">
        <v>44</v>
      </c>
      <c r="C809" s="3" t="s">
        <v>23</v>
      </c>
      <c r="D809" s="3" t="s">
        <v>45</v>
      </c>
      <c r="E809" s="3" t="s">
        <v>25</v>
      </c>
      <c r="F809" s="3" t="s">
        <v>25</v>
      </c>
      <c r="G809" s="3" t="s">
        <v>25</v>
      </c>
      <c r="H809" s="3" t="s">
        <v>25</v>
      </c>
      <c r="I809" s="6">
        <v>44501</v>
      </c>
      <c r="J809" s="4">
        <v>0</v>
      </c>
      <c r="K809" s="4">
        <v>0</v>
      </c>
      <c r="L809" s="4">
        <v>151.994</v>
      </c>
      <c r="M809" s="4">
        <v>151.994</v>
      </c>
      <c r="N809" s="4">
        <v>151.994</v>
      </c>
      <c r="O809" s="4">
        <v>151.994</v>
      </c>
      <c r="P809" s="4">
        <v>224</v>
      </c>
      <c r="Q809" s="3" t="s">
        <v>26</v>
      </c>
      <c r="R809" s="3">
        <v>0</v>
      </c>
      <c r="S809" s="3">
        <v>0</v>
      </c>
      <c r="T809" s="3">
        <v>34</v>
      </c>
      <c r="U809" s="3">
        <v>53</v>
      </c>
      <c r="V809" s="4">
        <f>IF(ISERROR(VLOOKUP($S$809,'TAR FIN'!$A$1:$O$113,15,0)),0,VLOOKUP($S$809,'TAR FIN'!$A$1:$O$113,15,0))</f>
        <v>0</v>
      </c>
      <c r="W809" s="4">
        <f>IF(ISERROR(VLOOKUP($T$809,'TAR FIN'!$A$1:$O$113,15,0)),0,VLOOKUP($T$809,'TAR FIN'!$A$1:$O$113,15,0))</f>
        <v>304.64999999999998</v>
      </c>
      <c r="X809" s="4">
        <f>IF(ISERROR(VLOOKUP($U$809,'TAR FIN'!$A$1:$O$113,15,0)),0,VLOOKUP($U$809,'TAR FIN'!$A$1:$O$113,15,0))</f>
        <v>206.13</v>
      </c>
      <c r="Y809" s="4"/>
      <c r="Z809" s="4">
        <f ca="1">('TUSD BE'!$AM$53+'TUSD BF'!$AM$53+'TUSD CVA'!$AM$53)*(1-CUSTOS!$M$38)</f>
        <v>386.47391324808456</v>
      </c>
      <c r="AA809" s="4">
        <f>('TE BE'!$AA$32+'TE BF'!$AA$32+'TE CVA'!$AA$32)*(1-CUSTOS!$M$38)</f>
        <v>220.59856812487419</v>
      </c>
      <c r="AB809" s="4">
        <f t="shared" si="36"/>
        <v>0</v>
      </c>
      <c r="AC809" s="4">
        <f>(L809-M809)*(W809+X809)+($W$521+$X$521-$W$809-$X$809)*(L809)</f>
        <v>10587.902040000012</v>
      </c>
      <c r="AD809" s="4">
        <f t="shared" si="37"/>
        <v>0</v>
      </c>
      <c r="AE809" s="4">
        <f ca="1">(L809-M809)*(Z809+AA809)+($Z$521+$AA$521-$Z$809-$AA$809)*(L809)</f>
        <v>5889.6622170511655</v>
      </c>
      <c r="AF809" s="3" t="s">
        <v>1023</v>
      </c>
    </row>
    <row r="810" spans="1:32" ht="11.25" customHeight="1" x14ac:dyDescent="0.25">
      <c r="A810" s="3" t="s">
        <v>21</v>
      </c>
      <c r="B810" s="3" t="s">
        <v>44</v>
      </c>
      <c r="C810" s="3" t="s">
        <v>23</v>
      </c>
      <c r="D810" s="3" t="s">
        <v>45</v>
      </c>
      <c r="E810" s="3" t="s">
        <v>25</v>
      </c>
      <c r="F810" s="3" t="s">
        <v>25</v>
      </c>
      <c r="G810" s="3" t="s">
        <v>25</v>
      </c>
      <c r="H810" s="3" t="s">
        <v>25</v>
      </c>
      <c r="I810" s="6">
        <v>44531</v>
      </c>
      <c r="J810" s="4">
        <v>0</v>
      </c>
      <c r="K810" s="4">
        <v>0</v>
      </c>
      <c r="L810" s="4">
        <v>5064.9989999999998</v>
      </c>
      <c r="M810" s="4">
        <v>5064.9989999999998</v>
      </c>
      <c r="N810" s="4">
        <v>5064.9989999999998</v>
      </c>
      <c r="O810" s="4">
        <v>5064.9989999999998</v>
      </c>
      <c r="P810" s="4">
        <v>22501</v>
      </c>
      <c r="Q810" s="3" t="s">
        <v>26</v>
      </c>
      <c r="R810" s="3">
        <v>0</v>
      </c>
      <c r="S810" s="3">
        <v>0</v>
      </c>
      <c r="T810" s="3">
        <v>34</v>
      </c>
      <c r="U810" s="3">
        <v>53</v>
      </c>
      <c r="V810" s="4">
        <f>IF(ISERROR(VLOOKUP($S$810,'TAR FIN'!$A$1:$O$113,15,0)),0,VLOOKUP($S$810,'TAR FIN'!$A$1:$O$113,15,0))</f>
        <v>0</v>
      </c>
      <c r="W810" s="4">
        <f>IF(ISERROR(VLOOKUP($T$810,'TAR FIN'!$A$1:$O$113,15,0)),0,VLOOKUP($T$810,'TAR FIN'!$A$1:$O$113,15,0))</f>
        <v>304.64999999999998</v>
      </c>
      <c r="X810" s="4">
        <f>IF(ISERROR(VLOOKUP($U$810,'TAR FIN'!$A$1:$O$113,15,0)),0,VLOOKUP($U$810,'TAR FIN'!$A$1:$O$113,15,0))</f>
        <v>206.13</v>
      </c>
      <c r="Y810" s="4"/>
      <c r="Z810" s="4">
        <f ca="1">('TUSD BE'!$AM$53+'TUSD BF'!$AM$53+'TUSD CVA'!$AM$53)*(1-CUSTOS!$M$38)</f>
        <v>386.47391324808456</v>
      </c>
      <c r="AA810" s="4">
        <f>('TE BE'!$AA$32+'TE BF'!$AA$32+'TE CVA'!$AA$32)*(1-CUSTOS!$M$38)</f>
        <v>220.59856812487419</v>
      </c>
      <c r="AB810" s="4">
        <f t="shared" si="36"/>
        <v>0</v>
      </c>
      <c r="AC810" s="4">
        <f>(L810-M810)*(W810+X810)+($W$521+$X$521-$W$810-$X$810)*(L810)</f>
        <v>352827.83034000039</v>
      </c>
      <c r="AD810" s="4">
        <f t="shared" si="37"/>
        <v>0</v>
      </c>
      <c r="AE810" s="4">
        <f ca="1">(L810-M810)*(Z810+AA810)+($Z$521+$AA$521-$Z$810-$AA$810)*(L810)</f>
        <v>196265.20283499305</v>
      </c>
      <c r="AF810" s="3" t="s">
        <v>1023</v>
      </c>
    </row>
    <row r="811" spans="1:32" ht="11.25" customHeight="1" x14ac:dyDescent="0.25">
      <c r="A811" s="3" t="s">
        <v>27</v>
      </c>
      <c r="B811" s="3" t="s">
        <v>44</v>
      </c>
      <c r="C811" s="3" t="s">
        <v>23</v>
      </c>
      <c r="D811" s="3" t="s">
        <v>45</v>
      </c>
      <c r="E811" s="3" t="s">
        <v>25</v>
      </c>
      <c r="F811" s="3" t="s">
        <v>25</v>
      </c>
      <c r="G811" s="3" t="s">
        <v>25</v>
      </c>
      <c r="H811" s="3" t="s">
        <v>25</v>
      </c>
      <c r="I811" s="6">
        <v>44531</v>
      </c>
      <c r="J811" s="4">
        <v>0</v>
      </c>
      <c r="K811" s="4">
        <v>0</v>
      </c>
      <c r="L811" s="4">
        <v>-314.42899999999997</v>
      </c>
      <c r="M811" s="4">
        <v>-314.42899999999997</v>
      </c>
      <c r="N811" s="4">
        <v>-314.42899999999997</v>
      </c>
      <c r="O811" s="4">
        <v>-314.42899999999997</v>
      </c>
      <c r="P811" s="4">
        <v>-55</v>
      </c>
      <c r="Q811" s="3" t="s">
        <v>26</v>
      </c>
      <c r="R811" s="3">
        <v>0</v>
      </c>
      <c r="S811" s="3">
        <v>0</v>
      </c>
      <c r="T811" s="3">
        <v>34</v>
      </c>
      <c r="U811" s="3">
        <v>53</v>
      </c>
      <c r="V811" s="4">
        <f>IF(ISERROR(VLOOKUP($S$811,'TAR FIN'!$A$1:$O$113,15,0)),0,VLOOKUP($S$811,'TAR FIN'!$A$1:$O$113,15,0))</f>
        <v>0</v>
      </c>
      <c r="W811" s="4">
        <f>IF(ISERROR(VLOOKUP($T$811,'TAR FIN'!$A$1:$O$113,15,0)),0,VLOOKUP($T$811,'TAR FIN'!$A$1:$O$113,15,0))</f>
        <v>304.64999999999998</v>
      </c>
      <c r="X811" s="4">
        <f>IF(ISERROR(VLOOKUP($U$811,'TAR FIN'!$A$1:$O$113,15,0)),0,VLOOKUP($U$811,'TAR FIN'!$A$1:$O$113,15,0))</f>
        <v>206.13</v>
      </c>
      <c r="Y811" s="4"/>
      <c r="Z811" s="4">
        <f ca="1">('TUSD BE'!$AM$53+'TUSD BF'!$AM$53+'TUSD CVA'!$AM$53)*(1-CUSTOS!$M$38)</f>
        <v>386.47391324808456</v>
      </c>
      <c r="AA811" s="4">
        <f>('TE BE'!$AA$32+'TE BF'!$AA$32+'TE CVA'!$AA$32)*(1-CUSTOS!$M$38)</f>
        <v>220.59856812487419</v>
      </c>
      <c r="AB811" s="4">
        <f t="shared" si="36"/>
        <v>0</v>
      </c>
      <c r="AC811" s="4">
        <f>(L811-M811)*(W811+X811)+($W$521+$X$521-$W$811-$X$811)*(L811)</f>
        <v>-21903.124140000025</v>
      </c>
      <c r="AD811" s="4">
        <f t="shared" si="37"/>
        <v>0</v>
      </c>
      <c r="AE811" s="4">
        <f ca="1">(L811-M811)*(Z811+AA811)+($Z$521+$AA$521-$Z$811-$AA$811)*(L811)</f>
        <v>-12183.905951847972</v>
      </c>
      <c r="AF811" s="3" t="s">
        <v>1023</v>
      </c>
    </row>
    <row r="812" spans="1:32" ht="11.25" customHeight="1" x14ac:dyDescent="0.25">
      <c r="A812" s="3" t="s">
        <v>28</v>
      </c>
      <c r="B812" s="3" t="s">
        <v>44</v>
      </c>
      <c r="C812" s="3" t="s">
        <v>23</v>
      </c>
      <c r="D812" s="3" t="s">
        <v>45</v>
      </c>
      <c r="E812" s="3" t="s">
        <v>25</v>
      </c>
      <c r="F812" s="3" t="s">
        <v>25</v>
      </c>
      <c r="G812" s="3" t="s">
        <v>25</v>
      </c>
      <c r="H812" s="3" t="s">
        <v>25</v>
      </c>
      <c r="I812" s="6">
        <v>44531</v>
      </c>
      <c r="J812" s="4">
        <v>0</v>
      </c>
      <c r="K812" s="4">
        <v>0</v>
      </c>
      <c r="L812" s="4">
        <v>153.38999999999999</v>
      </c>
      <c r="M812" s="4">
        <v>153.38999999999999</v>
      </c>
      <c r="N812" s="4">
        <v>153.38999999999999</v>
      </c>
      <c r="O812" s="4">
        <v>153.38999999999999</v>
      </c>
      <c r="P812" s="4">
        <v>233</v>
      </c>
      <c r="Q812" s="3" t="s">
        <v>26</v>
      </c>
      <c r="R812" s="3">
        <v>0</v>
      </c>
      <c r="S812" s="3">
        <v>0</v>
      </c>
      <c r="T812" s="3">
        <v>34</v>
      </c>
      <c r="U812" s="3">
        <v>53</v>
      </c>
      <c r="V812" s="4">
        <f>IF(ISERROR(VLOOKUP($S$812,'TAR FIN'!$A$1:$O$113,15,0)),0,VLOOKUP($S$812,'TAR FIN'!$A$1:$O$113,15,0))</f>
        <v>0</v>
      </c>
      <c r="W812" s="4">
        <f>IF(ISERROR(VLOOKUP($T$812,'TAR FIN'!$A$1:$O$113,15,0)),0,VLOOKUP($T$812,'TAR FIN'!$A$1:$O$113,15,0))</f>
        <v>304.64999999999998</v>
      </c>
      <c r="X812" s="4">
        <f>IF(ISERROR(VLOOKUP($U$812,'TAR FIN'!$A$1:$O$113,15,0)),0,VLOOKUP($U$812,'TAR FIN'!$A$1:$O$113,15,0))</f>
        <v>206.13</v>
      </c>
      <c r="Y812" s="4"/>
      <c r="Z812" s="4">
        <f ca="1">('TUSD BE'!$AM$53+'TUSD BF'!$AM$53+'TUSD CVA'!$AM$53)*(1-CUSTOS!$M$38)</f>
        <v>386.47391324808456</v>
      </c>
      <c r="AA812" s="4">
        <f>('TE BE'!$AA$32+'TE BF'!$AA$32+'TE CVA'!$AA$32)*(1-CUSTOS!$M$38)</f>
        <v>220.59856812487419</v>
      </c>
      <c r="AB812" s="4">
        <f t="shared" si="36"/>
        <v>0</v>
      </c>
      <c r="AC812" s="4">
        <f>(L812-M812)*(W812+X812)+($W$521+$X$521-$W$812-$X$812)*(L812)</f>
        <v>10685.147400000011</v>
      </c>
      <c r="AD812" s="4">
        <f t="shared" si="37"/>
        <v>0</v>
      </c>
      <c r="AE812" s="4">
        <f ca="1">(L812-M812)*(Z812+AA812)+($Z$521+$AA$521-$Z$812-$AA$812)*(L812)</f>
        <v>5943.7562500722279</v>
      </c>
      <c r="AF812" s="3" t="s">
        <v>1023</v>
      </c>
    </row>
    <row r="813" spans="1:32" ht="11.25" customHeight="1" x14ac:dyDescent="0.25">
      <c r="A813" s="3" t="s">
        <v>21</v>
      </c>
      <c r="B813" s="3" t="s">
        <v>44</v>
      </c>
      <c r="C813" s="3" t="s">
        <v>23</v>
      </c>
      <c r="D813" s="3" t="s">
        <v>45</v>
      </c>
      <c r="E813" s="3" t="s">
        <v>25</v>
      </c>
      <c r="F813" s="3" t="s">
        <v>25</v>
      </c>
      <c r="G813" s="3" t="s">
        <v>25</v>
      </c>
      <c r="H813" s="3" t="s">
        <v>25</v>
      </c>
      <c r="I813" s="6">
        <v>44562</v>
      </c>
      <c r="J813" s="4">
        <v>0</v>
      </c>
      <c r="K813" s="4">
        <v>0</v>
      </c>
      <c r="L813" s="4">
        <v>4767.04</v>
      </c>
      <c r="M813" s="4">
        <v>4767.04</v>
      </c>
      <c r="N813" s="4">
        <v>4767.04</v>
      </c>
      <c r="O813" s="4">
        <v>4767.04</v>
      </c>
      <c r="P813" s="4">
        <v>22420</v>
      </c>
      <c r="Q813" s="3" t="s">
        <v>26</v>
      </c>
      <c r="R813" s="3">
        <v>0</v>
      </c>
      <c r="S813" s="3">
        <v>0</v>
      </c>
      <c r="T813" s="3">
        <v>34</v>
      </c>
      <c r="U813" s="3">
        <v>53</v>
      </c>
      <c r="V813" s="4">
        <f>IF(ISERROR(VLOOKUP($S$813,'TAR FIN'!$A$1:$O$113,15,0)),0,VLOOKUP($S$813,'TAR FIN'!$A$1:$O$113,15,0))</f>
        <v>0</v>
      </c>
      <c r="W813" s="4">
        <f>IF(ISERROR(VLOOKUP($T$813,'TAR FIN'!$A$1:$O$113,15,0)),0,VLOOKUP($T$813,'TAR FIN'!$A$1:$O$113,15,0))</f>
        <v>304.64999999999998</v>
      </c>
      <c r="X813" s="4">
        <f>IF(ISERROR(VLOOKUP($U$813,'TAR FIN'!$A$1:$O$113,15,0)),0,VLOOKUP($U$813,'TAR FIN'!$A$1:$O$113,15,0))</f>
        <v>206.13</v>
      </c>
      <c r="Y813" s="4"/>
      <c r="Z813" s="4">
        <f ca="1">('TUSD BE'!$AM$53+'TUSD BF'!$AM$53+'TUSD CVA'!$AM$53)*(1-CUSTOS!$M$38)</f>
        <v>386.47391324808456</v>
      </c>
      <c r="AA813" s="4">
        <f>('TE BE'!$AA$32+'TE BF'!$AA$32+'TE CVA'!$AA$32)*(1-CUSTOS!$M$38)</f>
        <v>220.59856812487419</v>
      </c>
      <c r="AB813" s="4">
        <f t="shared" si="36"/>
        <v>0</v>
      </c>
      <c r="AC813" s="4">
        <f>(L813-M813)*(W813+X813)+($W$521+$X$521-$W$813-$X$813)*(L813)</f>
        <v>332072.00640000036</v>
      </c>
      <c r="AD813" s="4">
        <f t="shared" si="37"/>
        <v>0</v>
      </c>
      <c r="AE813" s="4">
        <f ca="1">(L813-M813)*(Z813+AA813)+($Z$521+$AA$521-$Z$813-$AA$813)*(L813)</f>
        <v>184719.49797473312</v>
      </c>
      <c r="AF813" s="3" t="s">
        <v>1023</v>
      </c>
    </row>
    <row r="814" spans="1:32" ht="11.25" customHeight="1" x14ac:dyDescent="0.25">
      <c r="A814" s="3" t="s">
        <v>27</v>
      </c>
      <c r="B814" s="3" t="s">
        <v>44</v>
      </c>
      <c r="C814" s="3" t="s">
        <v>23</v>
      </c>
      <c r="D814" s="3" t="s">
        <v>45</v>
      </c>
      <c r="E814" s="3" t="s">
        <v>25</v>
      </c>
      <c r="F814" s="3" t="s">
        <v>25</v>
      </c>
      <c r="G814" s="3" t="s">
        <v>25</v>
      </c>
      <c r="H814" s="3" t="s">
        <v>25</v>
      </c>
      <c r="I814" s="6">
        <v>44562</v>
      </c>
      <c r="J814" s="4">
        <v>0</v>
      </c>
      <c r="K814" s="4">
        <v>0</v>
      </c>
      <c r="L814" s="4">
        <v>-41.344999999999999</v>
      </c>
      <c r="M814" s="4">
        <v>-41.344999999999999</v>
      </c>
      <c r="N814" s="4">
        <v>-41.344999999999999</v>
      </c>
      <c r="O814" s="4">
        <v>-41.344999999999999</v>
      </c>
      <c r="P814" s="4">
        <v>-3</v>
      </c>
      <c r="Q814" s="3" t="s">
        <v>26</v>
      </c>
      <c r="R814" s="3">
        <v>0</v>
      </c>
      <c r="S814" s="3">
        <v>0</v>
      </c>
      <c r="T814" s="3">
        <v>34</v>
      </c>
      <c r="U814" s="3">
        <v>53</v>
      </c>
      <c r="V814" s="4">
        <f>IF(ISERROR(VLOOKUP($S$814,'TAR FIN'!$A$1:$O$113,15,0)),0,VLOOKUP($S$814,'TAR FIN'!$A$1:$O$113,15,0))</f>
        <v>0</v>
      </c>
      <c r="W814" s="4">
        <f>IF(ISERROR(VLOOKUP($T$814,'TAR FIN'!$A$1:$O$113,15,0)),0,VLOOKUP($T$814,'TAR FIN'!$A$1:$O$113,15,0))</f>
        <v>304.64999999999998</v>
      </c>
      <c r="X814" s="4">
        <f>IF(ISERROR(VLOOKUP($U$814,'TAR FIN'!$A$1:$O$113,15,0)),0,VLOOKUP($U$814,'TAR FIN'!$A$1:$O$113,15,0))</f>
        <v>206.13</v>
      </c>
      <c r="Y814" s="4"/>
      <c r="Z814" s="4">
        <f ca="1">('TUSD BE'!$AM$53+'TUSD BF'!$AM$53+'TUSD CVA'!$AM$53)*(1-CUSTOS!$M$38)</f>
        <v>386.47391324808456</v>
      </c>
      <c r="AA814" s="4">
        <f>('TE BE'!$AA$32+'TE BF'!$AA$32+'TE CVA'!$AA$32)*(1-CUSTOS!$M$38)</f>
        <v>220.59856812487419</v>
      </c>
      <c r="AB814" s="4">
        <f t="shared" si="36"/>
        <v>0</v>
      </c>
      <c r="AC814" s="4">
        <f>(L814-M814)*(W814+X814)+($W$521+$X$521-$W$814-$X$814)*(L814)</f>
        <v>-2880.0927000000033</v>
      </c>
      <c r="AD814" s="4">
        <f t="shared" si="37"/>
        <v>0</v>
      </c>
      <c r="AE814" s="4">
        <f ca="1">(L814-M814)*(Z814+AA814)+($Z$521+$AA$521-$Z$814-$AA$814)*(L814)</f>
        <v>-1602.0901112147876</v>
      </c>
      <c r="AF814" s="3" t="s">
        <v>1023</v>
      </c>
    </row>
    <row r="815" spans="1:32" ht="11.25" customHeight="1" x14ac:dyDescent="0.25">
      <c r="A815" s="3" t="s">
        <v>28</v>
      </c>
      <c r="B815" s="3" t="s">
        <v>44</v>
      </c>
      <c r="C815" s="3" t="s">
        <v>23</v>
      </c>
      <c r="D815" s="3" t="s">
        <v>45</v>
      </c>
      <c r="E815" s="3" t="s">
        <v>25</v>
      </c>
      <c r="F815" s="3" t="s">
        <v>25</v>
      </c>
      <c r="G815" s="3" t="s">
        <v>25</v>
      </c>
      <c r="H815" s="3" t="s">
        <v>25</v>
      </c>
      <c r="I815" s="6">
        <v>44562</v>
      </c>
      <c r="J815" s="4">
        <v>0</v>
      </c>
      <c r="K815" s="4">
        <v>0</v>
      </c>
      <c r="L815" s="4">
        <v>146.203</v>
      </c>
      <c r="M815" s="4">
        <v>146.203</v>
      </c>
      <c r="N815" s="4">
        <v>146.203</v>
      </c>
      <c r="O815" s="4">
        <v>146.203</v>
      </c>
      <c r="P815" s="4">
        <v>246</v>
      </c>
      <c r="Q815" s="3" t="s">
        <v>26</v>
      </c>
      <c r="R815" s="3">
        <v>0</v>
      </c>
      <c r="S815" s="3">
        <v>0</v>
      </c>
      <c r="T815" s="3">
        <v>34</v>
      </c>
      <c r="U815" s="3">
        <v>53</v>
      </c>
      <c r="V815" s="4">
        <f>IF(ISERROR(VLOOKUP($S$815,'TAR FIN'!$A$1:$O$113,15,0)),0,VLOOKUP($S$815,'TAR FIN'!$A$1:$O$113,15,0))</f>
        <v>0</v>
      </c>
      <c r="W815" s="4">
        <f>IF(ISERROR(VLOOKUP($T$815,'TAR FIN'!$A$1:$O$113,15,0)),0,VLOOKUP($T$815,'TAR FIN'!$A$1:$O$113,15,0))</f>
        <v>304.64999999999998</v>
      </c>
      <c r="X815" s="4">
        <f>IF(ISERROR(VLOOKUP($U$815,'TAR FIN'!$A$1:$O$113,15,0)),0,VLOOKUP($U$815,'TAR FIN'!$A$1:$O$113,15,0))</f>
        <v>206.13</v>
      </c>
      <c r="Y815" s="4"/>
      <c r="Z815" s="4">
        <f ca="1">('TUSD BE'!$AM$53+'TUSD BF'!$AM$53+'TUSD CVA'!$AM$53)*(1-CUSTOS!$M$38)</f>
        <v>386.47391324808456</v>
      </c>
      <c r="AA815" s="4">
        <f>('TE BE'!$AA$32+'TE BF'!$AA$32+'TE CVA'!$AA$32)*(1-CUSTOS!$M$38)</f>
        <v>220.59856812487419</v>
      </c>
      <c r="AB815" s="4">
        <f t="shared" si="36"/>
        <v>0</v>
      </c>
      <c r="AC815" s="4">
        <f>(L815-M815)*(W815+X815)+($W$521+$X$521-$W$815-$X$815)*(L815)</f>
        <v>10184.500980000012</v>
      </c>
      <c r="AD815" s="4">
        <f t="shared" si="37"/>
        <v>0</v>
      </c>
      <c r="AE815" s="4">
        <f ca="1">(L815-M815)*(Z815+AA815)+($Z$521+$AA$521-$Z$815-$AA$815)*(L815)</f>
        <v>5665.264978351327</v>
      </c>
      <c r="AF815" s="3" t="s">
        <v>1023</v>
      </c>
    </row>
    <row r="816" spans="1:32" ht="11.25" customHeight="1" x14ac:dyDescent="0.25">
      <c r="A816" s="3" t="s">
        <v>21</v>
      </c>
      <c r="B816" s="3" t="s">
        <v>44</v>
      </c>
      <c r="C816" s="3" t="s">
        <v>23</v>
      </c>
      <c r="D816" s="3" t="s">
        <v>45</v>
      </c>
      <c r="E816" s="3" t="s">
        <v>25</v>
      </c>
      <c r="F816" s="3" t="s">
        <v>25</v>
      </c>
      <c r="G816" s="3" t="s">
        <v>25</v>
      </c>
      <c r="H816" s="3" t="s">
        <v>25</v>
      </c>
      <c r="I816" s="6">
        <v>44593</v>
      </c>
      <c r="J816" s="4">
        <v>0</v>
      </c>
      <c r="K816" s="4">
        <v>0</v>
      </c>
      <c r="L816" s="4">
        <v>4899.8429999999998</v>
      </c>
      <c r="M816" s="4">
        <v>4899.8429999999998</v>
      </c>
      <c r="N816" s="4">
        <v>4899.8429999999998</v>
      </c>
      <c r="O816" s="4">
        <v>4899.8429999999998</v>
      </c>
      <c r="P816" s="4">
        <v>21300</v>
      </c>
      <c r="Q816" s="3" t="s">
        <v>26</v>
      </c>
      <c r="R816" s="3">
        <v>0</v>
      </c>
      <c r="S816" s="3">
        <v>0</v>
      </c>
      <c r="T816" s="3">
        <v>34</v>
      </c>
      <c r="U816" s="3">
        <v>53</v>
      </c>
      <c r="V816" s="4">
        <f>IF(ISERROR(VLOOKUP($S$816,'TAR FIN'!$A$1:$O$113,15,0)),0,VLOOKUP($S$816,'TAR FIN'!$A$1:$O$113,15,0))</f>
        <v>0</v>
      </c>
      <c r="W816" s="4">
        <f>IF(ISERROR(VLOOKUP($T$816,'TAR FIN'!$A$1:$O$113,15,0)),0,VLOOKUP($T$816,'TAR FIN'!$A$1:$O$113,15,0))</f>
        <v>304.64999999999998</v>
      </c>
      <c r="X816" s="4">
        <f>IF(ISERROR(VLOOKUP($U$816,'TAR FIN'!$A$1:$O$113,15,0)),0,VLOOKUP($U$816,'TAR FIN'!$A$1:$O$113,15,0))</f>
        <v>206.13</v>
      </c>
      <c r="Y816" s="4"/>
      <c r="Z816" s="4">
        <f ca="1">('TUSD BE'!$AM$53+'TUSD BF'!$AM$53+'TUSD CVA'!$AM$53)*(1-CUSTOS!$M$38)</f>
        <v>386.47391324808456</v>
      </c>
      <c r="AA816" s="4">
        <f>('TE BE'!$AA$32+'TE BF'!$AA$32+'TE CVA'!$AA$32)*(1-CUSTOS!$M$38)</f>
        <v>220.59856812487419</v>
      </c>
      <c r="AB816" s="4">
        <f t="shared" si="36"/>
        <v>0</v>
      </c>
      <c r="AC816" s="4">
        <f>(L816-M816)*(W816+X816)+($W$521+$X$521-$W$816-$X$816)*(L816)</f>
        <v>341323.06338000041</v>
      </c>
      <c r="AD816" s="4">
        <f t="shared" si="37"/>
        <v>0</v>
      </c>
      <c r="AE816" s="4">
        <f ca="1">(L816-M816)*(Z816+AA816)+($Z$521+$AA$521-$Z$816-$AA$816)*(L816)</f>
        <v>189865.52223497396</v>
      </c>
      <c r="AF816" s="3" t="s">
        <v>1023</v>
      </c>
    </row>
    <row r="817" spans="1:32" ht="11.25" customHeight="1" x14ac:dyDescent="0.25">
      <c r="A817" s="3" t="s">
        <v>27</v>
      </c>
      <c r="B817" s="3" t="s">
        <v>44</v>
      </c>
      <c r="C817" s="3" t="s">
        <v>23</v>
      </c>
      <c r="D817" s="3" t="s">
        <v>45</v>
      </c>
      <c r="E817" s="3" t="s">
        <v>25</v>
      </c>
      <c r="F817" s="3" t="s">
        <v>25</v>
      </c>
      <c r="G817" s="3" t="s">
        <v>25</v>
      </c>
      <c r="H817" s="3" t="s">
        <v>25</v>
      </c>
      <c r="I817" s="6">
        <v>44593</v>
      </c>
      <c r="J817" s="4">
        <v>0</v>
      </c>
      <c r="K817" s="4">
        <v>0</v>
      </c>
      <c r="L817" s="4">
        <v>-4.2949999999999999</v>
      </c>
      <c r="M817" s="4">
        <v>-4.2949999999999999</v>
      </c>
      <c r="N817" s="4">
        <v>-4.2949999999999999</v>
      </c>
      <c r="O817" s="4">
        <v>-4.2949999999999999</v>
      </c>
      <c r="P817" s="4">
        <v>-5</v>
      </c>
      <c r="Q817" s="3" t="s">
        <v>26</v>
      </c>
      <c r="R817" s="3">
        <v>0</v>
      </c>
      <c r="S817" s="3">
        <v>0</v>
      </c>
      <c r="T817" s="3">
        <v>34</v>
      </c>
      <c r="U817" s="3">
        <v>53</v>
      </c>
      <c r="V817" s="4">
        <f>IF(ISERROR(VLOOKUP($S$817,'TAR FIN'!$A$1:$O$113,15,0)),0,VLOOKUP($S$817,'TAR FIN'!$A$1:$O$113,15,0))</f>
        <v>0</v>
      </c>
      <c r="W817" s="4">
        <f>IF(ISERROR(VLOOKUP($T$817,'TAR FIN'!$A$1:$O$113,15,0)),0,VLOOKUP($T$817,'TAR FIN'!$A$1:$O$113,15,0))</f>
        <v>304.64999999999998</v>
      </c>
      <c r="X817" s="4">
        <f>IF(ISERROR(VLOOKUP($U$817,'TAR FIN'!$A$1:$O$113,15,0)),0,VLOOKUP($U$817,'TAR FIN'!$A$1:$O$113,15,0))</f>
        <v>206.13</v>
      </c>
      <c r="Y817" s="4"/>
      <c r="Z817" s="4">
        <f ca="1">('TUSD BE'!$AM$53+'TUSD BF'!$AM$53+'TUSD CVA'!$AM$53)*(1-CUSTOS!$M$38)</f>
        <v>386.47391324808456</v>
      </c>
      <c r="AA817" s="4">
        <f>('TE BE'!$AA$32+'TE BF'!$AA$32+'TE CVA'!$AA$32)*(1-CUSTOS!$M$38)</f>
        <v>220.59856812487419</v>
      </c>
      <c r="AB817" s="4">
        <f t="shared" si="36"/>
        <v>0</v>
      </c>
      <c r="AC817" s="4">
        <f>(L817-M817)*(W817+X817)+($W$521+$X$521-$W$817-$X$817)*(L817)</f>
        <v>-299.18970000000036</v>
      </c>
      <c r="AD817" s="4">
        <f t="shared" si="37"/>
        <v>0</v>
      </c>
      <c r="AE817" s="4">
        <f ca="1">(L817-M817)*(Z817+AA817)+($Z$521+$AA$521-$Z$817-$AA$817)*(L817)</f>
        <v>-166.42827494660813</v>
      </c>
      <c r="AF817" s="3" t="s">
        <v>1023</v>
      </c>
    </row>
    <row r="818" spans="1:32" ht="11.25" customHeight="1" x14ac:dyDescent="0.25">
      <c r="A818" s="3" t="s">
        <v>28</v>
      </c>
      <c r="B818" s="3" t="s">
        <v>44</v>
      </c>
      <c r="C818" s="3" t="s">
        <v>23</v>
      </c>
      <c r="D818" s="3" t="s">
        <v>45</v>
      </c>
      <c r="E818" s="3" t="s">
        <v>25</v>
      </c>
      <c r="F818" s="3" t="s">
        <v>25</v>
      </c>
      <c r="G818" s="3" t="s">
        <v>25</v>
      </c>
      <c r="H818" s="3" t="s">
        <v>25</v>
      </c>
      <c r="I818" s="6">
        <v>44593</v>
      </c>
      <c r="J818" s="4">
        <v>0</v>
      </c>
      <c r="K818" s="4">
        <v>0</v>
      </c>
      <c r="L818" s="4">
        <v>157.54300000000001</v>
      </c>
      <c r="M818" s="4">
        <v>157.54300000000001</v>
      </c>
      <c r="N818" s="4">
        <v>157.54300000000001</v>
      </c>
      <c r="O818" s="4">
        <v>157.54300000000001</v>
      </c>
      <c r="P818" s="4">
        <v>257</v>
      </c>
      <c r="Q818" s="3" t="s">
        <v>26</v>
      </c>
      <c r="R818" s="3">
        <v>0</v>
      </c>
      <c r="S818" s="3">
        <v>0</v>
      </c>
      <c r="T818" s="3">
        <v>34</v>
      </c>
      <c r="U818" s="3">
        <v>53</v>
      </c>
      <c r="V818" s="4">
        <f>IF(ISERROR(VLOOKUP($S$818,'TAR FIN'!$A$1:$O$113,15,0)),0,VLOOKUP($S$818,'TAR FIN'!$A$1:$O$113,15,0))</f>
        <v>0</v>
      </c>
      <c r="W818" s="4">
        <f>IF(ISERROR(VLOOKUP($T$818,'TAR FIN'!$A$1:$O$113,15,0)),0,VLOOKUP($T$818,'TAR FIN'!$A$1:$O$113,15,0))</f>
        <v>304.64999999999998</v>
      </c>
      <c r="X818" s="4">
        <f>IF(ISERROR(VLOOKUP($U$818,'TAR FIN'!$A$1:$O$113,15,0)),0,VLOOKUP($U$818,'TAR FIN'!$A$1:$O$113,15,0))</f>
        <v>206.13</v>
      </c>
      <c r="Y818" s="4"/>
      <c r="Z818" s="4">
        <f ca="1">('TUSD BE'!$AM$53+'TUSD BF'!$AM$53+'TUSD CVA'!$AM$53)*(1-CUSTOS!$M$38)</f>
        <v>386.47391324808456</v>
      </c>
      <c r="AA818" s="4">
        <f>('TE BE'!$AA$32+'TE BF'!$AA$32+'TE CVA'!$AA$32)*(1-CUSTOS!$M$38)</f>
        <v>220.59856812487419</v>
      </c>
      <c r="AB818" s="4">
        <f t="shared" si="36"/>
        <v>0</v>
      </c>
      <c r="AC818" s="4">
        <f>(L818-M818)*(W818+X818)+($W$521+$X$521-$W$818-$X$818)*(L818)</f>
        <v>10974.445380000014</v>
      </c>
      <c r="AD818" s="4">
        <f t="shared" si="37"/>
        <v>0</v>
      </c>
      <c r="AE818" s="4">
        <f ca="1">(L818-M818)*(Z818+AA818)+($Z$521+$AA$521-$Z$818-$AA$818)*(L818)</f>
        <v>6104.6821233791579</v>
      </c>
      <c r="AF818" s="3" t="s">
        <v>1023</v>
      </c>
    </row>
    <row r="819" spans="1:32" ht="11.25" customHeight="1" x14ac:dyDescent="0.25">
      <c r="A819" s="3" t="s">
        <v>56</v>
      </c>
      <c r="B819" s="3" t="s">
        <v>44</v>
      </c>
      <c r="C819" s="3" t="s">
        <v>23</v>
      </c>
      <c r="D819" s="3" t="s">
        <v>45</v>
      </c>
      <c r="E819" s="3" t="s">
        <v>25</v>
      </c>
      <c r="F819" s="3" t="s">
        <v>25</v>
      </c>
      <c r="G819" s="3" t="s">
        <v>25</v>
      </c>
      <c r="H819" s="3" t="s">
        <v>25</v>
      </c>
      <c r="I819" s="6">
        <v>44621</v>
      </c>
      <c r="J819" s="4">
        <v>0</v>
      </c>
      <c r="K819" s="4">
        <v>0</v>
      </c>
      <c r="L819" s="4">
        <v>4899.8429999999998</v>
      </c>
      <c r="M819" s="4">
        <v>4899.8429999999998</v>
      </c>
      <c r="N819" s="4">
        <v>4899.8429999999998</v>
      </c>
      <c r="O819" s="4">
        <v>4899.8429999999998</v>
      </c>
      <c r="P819" s="4">
        <v>21300</v>
      </c>
      <c r="Q819" s="3" t="s">
        <v>26</v>
      </c>
      <c r="R819" s="3">
        <v>0</v>
      </c>
      <c r="S819" s="3">
        <v>0</v>
      </c>
      <c r="T819" s="3">
        <v>34</v>
      </c>
      <c r="U819" s="3">
        <v>53</v>
      </c>
      <c r="V819" s="4">
        <f>IF(ISERROR(VLOOKUP($S$819,'TAR FIN'!$A$1:$O$113,15,0)),0,VLOOKUP($S$819,'TAR FIN'!$A$1:$O$113,15,0))</f>
        <v>0</v>
      </c>
      <c r="W819" s="4">
        <f>IF(ISERROR(VLOOKUP($T$819,'TAR FIN'!$A$1:$O$113,15,0)),0,VLOOKUP($T$819,'TAR FIN'!$A$1:$O$113,15,0))</f>
        <v>304.64999999999998</v>
      </c>
      <c r="X819" s="4">
        <f>IF(ISERROR(VLOOKUP($U$819,'TAR FIN'!$A$1:$O$113,15,0)),0,VLOOKUP($U$819,'TAR FIN'!$A$1:$O$113,15,0))</f>
        <v>206.13</v>
      </c>
      <c r="Y819" s="4"/>
      <c r="Z819" s="4">
        <f ca="1">('TUSD BE'!$AM$53+'TUSD BF'!$AM$53+'TUSD CVA'!$AM$53)*(1-CUSTOS!$M$38)</f>
        <v>386.47391324808456</v>
      </c>
      <c r="AA819" s="4">
        <f>('TE BE'!$AA$32+'TE BF'!$AA$32+'TE CVA'!$AA$32)*(1-CUSTOS!$M$38)</f>
        <v>220.59856812487419</v>
      </c>
      <c r="AB819" s="4">
        <f t="shared" si="36"/>
        <v>0</v>
      </c>
      <c r="AC819" s="4">
        <f>(L819-M819)*(W819+X819)+($W$521+$X$521-$W$819-$X$819)*(L819)</f>
        <v>341323.06338000041</v>
      </c>
      <c r="AD819" s="4">
        <f t="shared" si="37"/>
        <v>0</v>
      </c>
      <c r="AE819" s="4">
        <f ca="1">(L819-M819)*(Z819+AA819)+($Z$521+$AA$521-$Z$819-$AA$819)*(L819)</f>
        <v>189865.52223497396</v>
      </c>
      <c r="AF819" s="3" t="s">
        <v>1023</v>
      </c>
    </row>
    <row r="820" spans="1:32" ht="11.25" customHeight="1" x14ac:dyDescent="0.25">
      <c r="A820" s="3" t="s">
        <v>56</v>
      </c>
      <c r="B820" s="3" t="s">
        <v>44</v>
      </c>
      <c r="C820" s="3" t="s">
        <v>23</v>
      </c>
      <c r="D820" s="3" t="s">
        <v>45</v>
      </c>
      <c r="E820" s="3" t="s">
        <v>25</v>
      </c>
      <c r="F820" s="3" t="s">
        <v>25</v>
      </c>
      <c r="G820" s="3" t="s">
        <v>25</v>
      </c>
      <c r="H820" s="3" t="s">
        <v>25</v>
      </c>
      <c r="I820" s="6">
        <v>44621</v>
      </c>
      <c r="J820" s="4">
        <v>0</v>
      </c>
      <c r="K820" s="4">
        <v>0</v>
      </c>
      <c r="L820" s="4">
        <v>-4.2949999999999999</v>
      </c>
      <c r="M820" s="4">
        <v>-4.2949999999999999</v>
      </c>
      <c r="N820" s="4">
        <v>-4.2949999999999999</v>
      </c>
      <c r="O820" s="4">
        <v>-4.2949999999999999</v>
      </c>
      <c r="P820" s="4">
        <v>-5</v>
      </c>
      <c r="Q820" s="3" t="s">
        <v>26</v>
      </c>
      <c r="R820" s="3">
        <v>0</v>
      </c>
      <c r="S820" s="3">
        <v>0</v>
      </c>
      <c r="T820" s="3">
        <v>34</v>
      </c>
      <c r="U820" s="3">
        <v>53</v>
      </c>
      <c r="V820" s="4">
        <f>IF(ISERROR(VLOOKUP($S$820,'TAR FIN'!$A$1:$O$113,15,0)),0,VLOOKUP($S$820,'TAR FIN'!$A$1:$O$113,15,0))</f>
        <v>0</v>
      </c>
      <c r="W820" s="4">
        <f>IF(ISERROR(VLOOKUP($T$820,'TAR FIN'!$A$1:$O$113,15,0)),0,VLOOKUP($T$820,'TAR FIN'!$A$1:$O$113,15,0))</f>
        <v>304.64999999999998</v>
      </c>
      <c r="X820" s="4">
        <f>IF(ISERROR(VLOOKUP($U$820,'TAR FIN'!$A$1:$O$113,15,0)),0,VLOOKUP($U$820,'TAR FIN'!$A$1:$O$113,15,0))</f>
        <v>206.13</v>
      </c>
      <c r="Y820" s="4"/>
      <c r="Z820" s="4">
        <f ca="1">('TUSD BE'!$AM$53+'TUSD BF'!$AM$53+'TUSD CVA'!$AM$53)*(1-CUSTOS!$M$38)</f>
        <v>386.47391324808456</v>
      </c>
      <c r="AA820" s="4">
        <f>('TE BE'!$AA$32+'TE BF'!$AA$32+'TE CVA'!$AA$32)*(1-CUSTOS!$M$38)</f>
        <v>220.59856812487419</v>
      </c>
      <c r="AB820" s="4">
        <f t="shared" si="36"/>
        <v>0</v>
      </c>
      <c r="AC820" s="4">
        <f>(L820-M820)*(W820+X820)+($W$521+$X$521-$W$820-$X$820)*(L820)</f>
        <v>-299.18970000000036</v>
      </c>
      <c r="AD820" s="4">
        <f t="shared" si="37"/>
        <v>0</v>
      </c>
      <c r="AE820" s="4">
        <f ca="1">(L820-M820)*(Z820+AA820)+($Z$521+$AA$521-$Z$820-$AA$820)*(L820)</f>
        <v>-166.42827494660813</v>
      </c>
      <c r="AF820" s="3" t="s">
        <v>1023</v>
      </c>
    </row>
    <row r="821" spans="1:32" ht="11.25" customHeight="1" x14ac:dyDescent="0.25">
      <c r="A821" s="3" t="s">
        <v>56</v>
      </c>
      <c r="B821" s="3" t="s">
        <v>44</v>
      </c>
      <c r="C821" s="3" t="s">
        <v>23</v>
      </c>
      <c r="D821" s="3" t="s">
        <v>45</v>
      </c>
      <c r="E821" s="3" t="s">
        <v>25</v>
      </c>
      <c r="F821" s="3" t="s">
        <v>25</v>
      </c>
      <c r="G821" s="3" t="s">
        <v>25</v>
      </c>
      <c r="H821" s="3" t="s">
        <v>25</v>
      </c>
      <c r="I821" s="6">
        <v>44621</v>
      </c>
      <c r="J821" s="4">
        <v>0</v>
      </c>
      <c r="K821" s="4">
        <v>0</v>
      </c>
      <c r="L821" s="4">
        <v>157.54300000000001</v>
      </c>
      <c r="M821" s="4">
        <v>157.54300000000001</v>
      </c>
      <c r="N821" s="4">
        <v>157.54300000000001</v>
      </c>
      <c r="O821" s="4">
        <v>157.54300000000001</v>
      </c>
      <c r="P821" s="4">
        <v>257</v>
      </c>
      <c r="Q821" s="3" t="s">
        <v>26</v>
      </c>
      <c r="R821" s="3">
        <v>0</v>
      </c>
      <c r="S821" s="3">
        <v>0</v>
      </c>
      <c r="T821" s="3">
        <v>34</v>
      </c>
      <c r="U821" s="3">
        <v>53</v>
      </c>
      <c r="V821" s="4">
        <f>IF(ISERROR(VLOOKUP($S$821,'TAR FIN'!$A$1:$O$113,15,0)),0,VLOOKUP($S$821,'TAR FIN'!$A$1:$O$113,15,0))</f>
        <v>0</v>
      </c>
      <c r="W821" s="4">
        <f>IF(ISERROR(VLOOKUP($T$821,'TAR FIN'!$A$1:$O$113,15,0)),0,VLOOKUP($T$821,'TAR FIN'!$A$1:$O$113,15,0))</f>
        <v>304.64999999999998</v>
      </c>
      <c r="X821" s="4">
        <f>IF(ISERROR(VLOOKUP($U$821,'TAR FIN'!$A$1:$O$113,15,0)),0,VLOOKUP($U$821,'TAR FIN'!$A$1:$O$113,15,0))</f>
        <v>206.13</v>
      </c>
      <c r="Y821" s="4"/>
      <c r="Z821" s="4">
        <f ca="1">('TUSD BE'!$AM$53+'TUSD BF'!$AM$53+'TUSD CVA'!$AM$53)*(1-CUSTOS!$M$38)</f>
        <v>386.47391324808456</v>
      </c>
      <c r="AA821" s="4">
        <f>('TE BE'!$AA$32+'TE BF'!$AA$32+'TE CVA'!$AA$32)*(1-CUSTOS!$M$38)</f>
        <v>220.59856812487419</v>
      </c>
      <c r="AB821" s="4">
        <f t="shared" si="36"/>
        <v>0</v>
      </c>
      <c r="AC821" s="4">
        <f>(L821-M821)*(W821+X821)+($W$521+$X$521-$W$821-$X$821)*(L821)</f>
        <v>10974.445380000014</v>
      </c>
      <c r="AD821" s="4">
        <f t="shared" si="37"/>
        <v>0</v>
      </c>
      <c r="AE821" s="4">
        <f ca="1">(L821-M821)*(Z821+AA821)+($Z$521+$AA$521-$Z$821-$AA$821)*(L821)</f>
        <v>6104.6821233791579</v>
      </c>
      <c r="AF821" s="3" t="s">
        <v>1023</v>
      </c>
    </row>
    <row r="822" spans="1:32" ht="11.25" customHeight="1" x14ac:dyDescent="0.25">
      <c r="A822" s="3" t="s">
        <v>21</v>
      </c>
      <c r="B822" s="3" t="s">
        <v>37</v>
      </c>
      <c r="C822" s="3" t="s">
        <v>23</v>
      </c>
      <c r="D822" s="3" t="s">
        <v>50</v>
      </c>
      <c r="E822" s="3" t="s">
        <v>51</v>
      </c>
      <c r="F822" s="3" t="s">
        <v>25</v>
      </c>
      <c r="G822" s="3" t="s">
        <v>25</v>
      </c>
      <c r="H822" s="3" t="s">
        <v>25</v>
      </c>
      <c r="I822" s="6">
        <v>44287</v>
      </c>
      <c r="J822" s="4">
        <v>0</v>
      </c>
      <c r="K822" s="56">
        <v>0</v>
      </c>
      <c r="L822" s="4">
        <v>2222.6619999999998</v>
      </c>
      <c r="M822" s="56">
        <v>2222.6619999999998</v>
      </c>
      <c r="N822" s="4">
        <v>2222.6619999999998</v>
      </c>
      <c r="O822" s="56">
        <v>2222.6619999999998</v>
      </c>
      <c r="P822" s="4">
        <v>1381</v>
      </c>
      <c r="Q822" s="3" t="s">
        <v>26</v>
      </c>
      <c r="R822" s="3">
        <v>0</v>
      </c>
      <c r="S822" s="3">
        <v>0</v>
      </c>
      <c r="T822" s="3">
        <v>84</v>
      </c>
      <c r="U822" s="3">
        <v>7</v>
      </c>
      <c r="V822" s="56">
        <f>IF(ISERROR(VLOOKUP($S$822,'TAR FIN'!$A$1:$O$113,15,0)),0,VLOOKUP($S$822,'TAR FIN'!$A$1:$O$113,15,0))</f>
        <v>0</v>
      </c>
      <c r="W822" s="56">
        <f>IF(ISERROR(VLOOKUP($T$822,'TAR FIN'!$A$1:$O$113,15,0)),0,VLOOKUP($T$822,'TAR FIN'!$A$1:$O$113,15,0))*(1-0.06)</f>
        <v>325.428</v>
      </c>
      <c r="X822" s="56">
        <f>IF(ISERROR(VLOOKUP($U$822,'TAR FIN'!$A$1:$O$113,15,0)),0,VLOOKUP($U$822,'TAR FIN'!$A$1:$O$113,15,0))*(1-0.06)</f>
        <v>220.18559999999999</v>
      </c>
      <c r="Y822" s="56"/>
      <c r="Z822" s="56">
        <f ca="1">('TUSD BE'!$AM$68+'TUSD BF'!$AM$68+'TUSD CVA'!$AM$68)*1*(1-0.03)</f>
        <v>398.80818707515107</v>
      </c>
      <c r="AA822" s="56">
        <f>('TE BE'!$AA$47+'TE BF'!$AA$47+'TE CVA'!$AA$47)*1*(1-0.03)</f>
        <v>227.63894795864678</v>
      </c>
      <c r="AB822" s="56">
        <f>(SUBSIDIO!$J$822*SUBSIDIO!$V$822)*(0.06)/(1-0.06)</f>
        <v>0</v>
      </c>
      <c r="AC822" s="56">
        <f>((SUBSIDIO!$L$822*SUBSIDIO!$W$822)+(SUBSIDIO!$N$822*SUBSIDIO!$X$822))*(0.06)/(1-0.06)</f>
        <v>77407.315876799985</v>
      </c>
      <c r="AD822" s="56">
        <f>(SUBSIDIO!$J$822*SUBSIDIO!$Y$822)*(0.03)/(1-0.03)</f>
        <v>0</v>
      </c>
      <c r="AE822" s="56">
        <f ca="1">((SUBSIDIO!$L$822*SUBSIDIO!$Z$822)+(SUBSIDIO!$N$822*SUBSIDIO!$AA$822))*(0.03)/(1-0.03)</f>
        <v>43063.306455107966</v>
      </c>
      <c r="AF822" s="3" t="s">
        <v>1025</v>
      </c>
    </row>
    <row r="823" spans="1:32" ht="11.25" customHeight="1" x14ac:dyDescent="0.25">
      <c r="A823" s="3" t="s">
        <v>21</v>
      </c>
      <c r="B823" s="3" t="s">
        <v>37</v>
      </c>
      <c r="C823" s="3" t="s">
        <v>23</v>
      </c>
      <c r="D823" s="3" t="s">
        <v>50</v>
      </c>
      <c r="E823" s="3" t="s">
        <v>51</v>
      </c>
      <c r="F823" s="3" t="s">
        <v>25</v>
      </c>
      <c r="G823" s="3" t="s">
        <v>25</v>
      </c>
      <c r="H823" s="3" t="s">
        <v>25</v>
      </c>
      <c r="I823" s="6">
        <v>44317</v>
      </c>
      <c r="J823" s="4">
        <v>0</v>
      </c>
      <c r="K823" s="56">
        <v>0</v>
      </c>
      <c r="L823" s="4">
        <v>2071.386</v>
      </c>
      <c r="M823" s="56">
        <v>2071.386</v>
      </c>
      <c r="N823" s="4">
        <v>2071.386</v>
      </c>
      <c r="O823" s="56">
        <v>2071.386</v>
      </c>
      <c r="P823" s="4">
        <v>1384</v>
      </c>
      <c r="Q823" s="3" t="s">
        <v>26</v>
      </c>
      <c r="R823" s="3">
        <v>0</v>
      </c>
      <c r="S823" s="3">
        <v>0</v>
      </c>
      <c r="T823" s="3">
        <v>84</v>
      </c>
      <c r="U823" s="3">
        <v>7</v>
      </c>
      <c r="V823" s="56">
        <f>IF(ISERROR(VLOOKUP($S$823,'TAR FIN'!$A$1:$O$113,15,0)),0,VLOOKUP($S$823,'TAR FIN'!$A$1:$O$113,15,0))</f>
        <v>0</v>
      </c>
      <c r="W823" s="56">
        <f>IF(ISERROR(VLOOKUP($T$823,'TAR FIN'!$A$1:$O$113,15,0)),0,VLOOKUP($T$823,'TAR FIN'!$A$1:$O$113,15,0))*(1-0.06)</f>
        <v>325.428</v>
      </c>
      <c r="X823" s="56">
        <f>IF(ISERROR(VLOOKUP($U$823,'TAR FIN'!$A$1:$O$113,15,0)),0,VLOOKUP($U$823,'TAR FIN'!$A$1:$O$113,15,0))*(1-0.06)</f>
        <v>220.18559999999999</v>
      </c>
      <c r="Y823" s="56"/>
      <c r="Z823" s="56">
        <f ca="1">('TUSD BE'!$AM$68+'TUSD BF'!$AM$68+'TUSD CVA'!$AM$68)*1*(1-0.03)</f>
        <v>398.80818707515107</v>
      </c>
      <c r="AA823" s="56">
        <f>('TE BE'!$AA$47+'TE BF'!$AA$47+'TE CVA'!$AA$47)*1*(1-0.03)</f>
        <v>227.63894795864678</v>
      </c>
      <c r="AB823" s="56">
        <f>(SUBSIDIO!$J$823*SUBSIDIO!$V$823)*(0.06)/(1-0.06)</f>
        <v>0</v>
      </c>
      <c r="AC823" s="56">
        <f>((SUBSIDIO!$L$823*SUBSIDIO!$W$823)+(SUBSIDIO!$N$823*SUBSIDIO!$X$823))*(0.06)/(1-0.06)</f>
        <v>72138.917390399991</v>
      </c>
      <c r="AD823" s="56">
        <f>(SUBSIDIO!$J$823*SUBSIDIO!$Y$823)*(0.03)/(1-0.03)</f>
        <v>0</v>
      </c>
      <c r="AE823" s="56">
        <f ca="1">((SUBSIDIO!$L$823*SUBSIDIO!$Z$823)+(SUBSIDIO!$N$823*SUBSIDIO!$AA$823))*(0.03)/(1-0.03)</f>
        <v>40132.386347910877</v>
      </c>
      <c r="AF823" s="3" t="s">
        <v>1025</v>
      </c>
    </row>
    <row r="824" spans="1:32" ht="11.25" customHeight="1" x14ac:dyDescent="0.25">
      <c r="A824" s="3" t="s">
        <v>21</v>
      </c>
      <c r="B824" s="3" t="s">
        <v>37</v>
      </c>
      <c r="C824" s="3" t="s">
        <v>23</v>
      </c>
      <c r="D824" s="3" t="s">
        <v>50</v>
      </c>
      <c r="E824" s="3" t="s">
        <v>51</v>
      </c>
      <c r="F824" s="3" t="s">
        <v>25</v>
      </c>
      <c r="G824" s="3" t="s">
        <v>25</v>
      </c>
      <c r="H824" s="3" t="s">
        <v>25</v>
      </c>
      <c r="I824" s="6">
        <v>44348</v>
      </c>
      <c r="J824" s="4">
        <v>0</v>
      </c>
      <c r="K824" s="56">
        <v>0</v>
      </c>
      <c r="L824" s="4">
        <v>2112.0059999999999</v>
      </c>
      <c r="M824" s="56">
        <v>2112.0059999999999</v>
      </c>
      <c r="N824" s="4">
        <v>2112.0059999999999</v>
      </c>
      <c r="O824" s="56">
        <v>2112.0059999999999</v>
      </c>
      <c r="P824" s="4">
        <v>1387</v>
      </c>
      <c r="Q824" s="3" t="s">
        <v>26</v>
      </c>
      <c r="R824" s="3">
        <v>0</v>
      </c>
      <c r="S824" s="3">
        <v>0</v>
      </c>
      <c r="T824" s="3">
        <v>84</v>
      </c>
      <c r="U824" s="3">
        <v>7</v>
      </c>
      <c r="V824" s="56">
        <f>IF(ISERROR(VLOOKUP($S$824,'TAR FIN'!$A$1:$O$113,15,0)),0,VLOOKUP($S$824,'TAR FIN'!$A$1:$O$113,15,0))</f>
        <v>0</v>
      </c>
      <c r="W824" s="56">
        <f>IF(ISERROR(VLOOKUP($T$824,'TAR FIN'!$A$1:$O$113,15,0)),0,VLOOKUP($T$824,'TAR FIN'!$A$1:$O$113,15,0))*(1-0.06)</f>
        <v>325.428</v>
      </c>
      <c r="X824" s="56">
        <f>IF(ISERROR(VLOOKUP($U$824,'TAR FIN'!$A$1:$O$113,15,0)),0,VLOOKUP($U$824,'TAR FIN'!$A$1:$O$113,15,0))*(1-0.06)</f>
        <v>220.18559999999999</v>
      </c>
      <c r="Y824" s="56"/>
      <c r="Z824" s="56">
        <f ca="1">('TUSD BE'!$AM$68+'TUSD BF'!$AM$68+'TUSD CVA'!$AM$68)*1*(1-0.03)</f>
        <v>398.80818707515107</v>
      </c>
      <c r="AA824" s="56">
        <f>('TE BE'!$AA$47+'TE BF'!$AA$47+'TE CVA'!$AA$47)*1*(1-0.03)</f>
        <v>227.63894795864678</v>
      </c>
      <c r="AB824" s="56">
        <f>(SUBSIDIO!$J$824*SUBSIDIO!$V$824)*(0.06)/(1-0.06)</f>
        <v>0</v>
      </c>
      <c r="AC824" s="56">
        <f>((SUBSIDIO!$L$824*SUBSIDIO!$W$824)+(SUBSIDIO!$N$824*SUBSIDIO!$X$824))*(0.06)/(1-0.06)</f>
        <v>73553.5657584</v>
      </c>
      <c r="AD824" s="56">
        <f>(SUBSIDIO!$J$824*SUBSIDIO!$Y$824)*(0.03)/(1-0.03)</f>
        <v>0</v>
      </c>
      <c r="AE824" s="56">
        <f ca="1">((SUBSIDIO!$L$824*SUBSIDIO!$Z$824)+(SUBSIDIO!$N$824*SUBSIDIO!$AA$824))*(0.03)/(1-0.03)</f>
        <v>40919.384779614156</v>
      </c>
      <c r="AF824" s="3" t="s">
        <v>1025</v>
      </c>
    </row>
    <row r="825" spans="1:32" ht="11.25" customHeight="1" x14ac:dyDescent="0.25">
      <c r="A825" s="3" t="s">
        <v>21</v>
      </c>
      <c r="B825" s="3" t="s">
        <v>37</v>
      </c>
      <c r="C825" s="3" t="s">
        <v>23</v>
      </c>
      <c r="D825" s="3" t="s">
        <v>50</v>
      </c>
      <c r="E825" s="3" t="s">
        <v>51</v>
      </c>
      <c r="F825" s="3" t="s">
        <v>25</v>
      </c>
      <c r="G825" s="3" t="s">
        <v>25</v>
      </c>
      <c r="H825" s="3" t="s">
        <v>25</v>
      </c>
      <c r="I825" s="6">
        <v>44378</v>
      </c>
      <c r="J825" s="4">
        <v>0</v>
      </c>
      <c r="K825" s="56">
        <v>0</v>
      </c>
      <c r="L825" s="4">
        <v>2159.7820000000002</v>
      </c>
      <c r="M825" s="56">
        <v>2159.7820000000002</v>
      </c>
      <c r="N825" s="4">
        <v>2159.7820000000002</v>
      </c>
      <c r="O825" s="56">
        <v>2159.7820000000002</v>
      </c>
      <c r="P825" s="4">
        <v>1394</v>
      </c>
      <c r="Q825" s="3" t="s">
        <v>26</v>
      </c>
      <c r="R825" s="3">
        <v>0</v>
      </c>
      <c r="S825" s="3">
        <v>0</v>
      </c>
      <c r="T825" s="3">
        <v>84</v>
      </c>
      <c r="U825" s="3">
        <v>7</v>
      </c>
      <c r="V825" s="56">
        <f>IF(ISERROR(VLOOKUP($S$825,'TAR FIN'!$A$1:$O$113,15,0)),0,VLOOKUP($S$825,'TAR FIN'!$A$1:$O$113,15,0))</f>
        <v>0</v>
      </c>
      <c r="W825" s="56">
        <f>IF(ISERROR(VLOOKUP($T$825,'TAR FIN'!$A$1:$O$113,15,0)),0,VLOOKUP($T$825,'TAR FIN'!$A$1:$O$113,15,0))*(1-0.06)</f>
        <v>325.428</v>
      </c>
      <c r="X825" s="56">
        <f>IF(ISERROR(VLOOKUP($U$825,'TAR FIN'!$A$1:$O$113,15,0)),0,VLOOKUP($U$825,'TAR FIN'!$A$1:$O$113,15,0))*(1-0.06)</f>
        <v>220.18559999999999</v>
      </c>
      <c r="Y825" s="56"/>
      <c r="Z825" s="56">
        <f ca="1">('TUSD BE'!$AM$68+'TUSD BF'!$AM$68+'TUSD CVA'!$AM$68)*1*(1-0.03)</f>
        <v>398.80818707515107</v>
      </c>
      <c r="AA825" s="56">
        <f>('TE BE'!$AA$47+'TE BF'!$AA$47+'TE CVA'!$AA$47)*1*(1-0.03)</f>
        <v>227.63894795864678</v>
      </c>
      <c r="AB825" s="56">
        <f>(SUBSIDIO!$J$825*SUBSIDIO!$V$825)*(0.06)/(1-0.06)</f>
        <v>0</v>
      </c>
      <c r="AC825" s="56">
        <f>((SUBSIDIO!$L$825*SUBSIDIO!$W$825)+(SUBSIDIO!$N$825*SUBSIDIO!$X$825))*(0.06)/(1-0.06)</f>
        <v>75217.431844799998</v>
      </c>
      <c r="AD825" s="56">
        <f>(SUBSIDIO!$J$825*SUBSIDIO!$Y$825)*(0.03)/(1-0.03)</f>
        <v>0</v>
      </c>
      <c r="AE825" s="56">
        <f ca="1">((SUBSIDIO!$L$825*SUBSIDIO!$Z$825)+(SUBSIDIO!$N$825*SUBSIDIO!$AA$825))*(0.03)/(1-0.03)</f>
        <v>41845.028232914417</v>
      </c>
      <c r="AF825" s="3" t="s">
        <v>1025</v>
      </c>
    </row>
    <row r="826" spans="1:32" ht="11.25" customHeight="1" x14ac:dyDescent="0.25">
      <c r="A826" s="3" t="s">
        <v>21</v>
      </c>
      <c r="B826" s="3" t="s">
        <v>37</v>
      </c>
      <c r="C826" s="3" t="s">
        <v>23</v>
      </c>
      <c r="D826" s="3" t="s">
        <v>50</v>
      </c>
      <c r="E826" s="3" t="s">
        <v>51</v>
      </c>
      <c r="F826" s="3" t="s">
        <v>25</v>
      </c>
      <c r="G826" s="3" t="s">
        <v>25</v>
      </c>
      <c r="H826" s="3" t="s">
        <v>25</v>
      </c>
      <c r="I826" s="6">
        <v>44409</v>
      </c>
      <c r="J826" s="4">
        <v>0</v>
      </c>
      <c r="K826" s="56">
        <v>0</v>
      </c>
      <c r="L826" s="4">
        <v>2083.1799999999998</v>
      </c>
      <c r="M826" s="56">
        <v>2083.1799999999998</v>
      </c>
      <c r="N826" s="4">
        <v>2083.1799999999998</v>
      </c>
      <c r="O826" s="56">
        <v>2083.1799999999998</v>
      </c>
      <c r="P826" s="4">
        <v>1399</v>
      </c>
      <c r="Q826" s="3" t="s">
        <v>26</v>
      </c>
      <c r="R826" s="3">
        <v>0</v>
      </c>
      <c r="S826" s="3">
        <v>0</v>
      </c>
      <c r="T826" s="3">
        <v>84</v>
      </c>
      <c r="U826" s="3">
        <v>7</v>
      </c>
      <c r="V826" s="56">
        <f>IF(ISERROR(VLOOKUP($S$826,'TAR FIN'!$A$1:$O$113,15,0)),0,VLOOKUP($S$826,'TAR FIN'!$A$1:$O$113,15,0))</f>
        <v>0</v>
      </c>
      <c r="W826" s="56">
        <f>IF(ISERROR(VLOOKUP($T$826,'TAR FIN'!$A$1:$O$113,15,0)),0,VLOOKUP($T$826,'TAR FIN'!$A$1:$O$113,15,0))*(1-0.06)</f>
        <v>325.428</v>
      </c>
      <c r="X826" s="56">
        <f>IF(ISERROR(VLOOKUP($U$826,'TAR FIN'!$A$1:$O$113,15,0)),0,VLOOKUP($U$826,'TAR FIN'!$A$1:$O$113,15,0))*(1-0.06)</f>
        <v>220.18559999999999</v>
      </c>
      <c r="Y826" s="56"/>
      <c r="Z826" s="56">
        <f ca="1">('TUSD BE'!$AM$68+'TUSD BF'!$AM$68+'TUSD CVA'!$AM$68)*1*(1-0.03)</f>
        <v>398.80818707515107</v>
      </c>
      <c r="AA826" s="56">
        <f>('TE BE'!$AA$47+'TE BF'!$AA$47+'TE CVA'!$AA$47)*1*(1-0.03)</f>
        <v>227.63894795864678</v>
      </c>
      <c r="AB826" s="56">
        <f>(SUBSIDIO!$J$826*SUBSIDIO!$V$826)*(0.06)/(1-0.06)</f>
        <v>0</v>
      </c>
      <c r="AC826" s="56">
        <f>((SUBSIDIO!$L$826*SUBSIDIO!$W$826)+(SUBSIDIO!$N$826*SUBSIDIO!$X$826))*(0.06)/(1-0.06)</f>
        <v>72549.659952000002</v>
      </c>
      <c r="AD826" s="56">
        <f>(SUBSIDIO!$J$826*SUBSIDIO!$Y$826)*(0.03)/(1-0.03)</f>
        <v>0</v>
      </c>
      <c r="AE826" s="56">
        <f ca="1">((SUBSIDIO!$L$826*SUBSIDIO!$Z$826)+(SUBSIDIO!$N$826*SUBSIDIO!$AA$826))*(0.03)/(1-0.03)</f>
        <v>40360.891013186803</v>
      </c>
      <c r="AF826" s="3" t="s">
        <v>1025</v>
      </c>
    </row>
    <row r="827" spans="1:32" ht="11.25" customHeight="1" x14ac:dyDescent="0.25">
      <c r="A827" s="3" t="s">
        <v>27</v>
      </c>
      <c r="B827" s="3" t="s">
        <v>37</v>
      </c>
      <c r="C827" s="3" t="s">
        <v>23</v>
      </c>
      <c r="D827" s="3" t="s">
        <v>50</v>
      </c>
      <c r="E827" s="3" t="s">
        <v>51</v>
      </c>
      <c r="F827" s="3" t="s">
        <v>25</v>
      </c>
      <c r="G827" s="3" t="s">
        <v>25</v>
      </c>
      <c r="H827" s="3" t="s">
        <v>25</v>
      </c>
      <c r="I827" s="6">
        <v>44409</v>
      </c>
      <c r="J827" s="4">
        <v>0</v>
      </c>
      <c r="K827" s="56">
        <v>0</v>
      </c>
      <c r="L827" s="4">
        <v>0.95099999999999996</v>
      </c>
      <c r="M827" s="56">
        <v>0.95099999999999996</v>
      </c>
      <c r="N827" s="4">
        <v>0.95099999999999996</v>
      </c>
      <c r="O827" s="56">
        <v>0.95099999999999996</v>
      </c>
      <c r="P827" s="4">
        <v>2</v>
      </c>
      <c r="Q827" s="3" t="s">
        <v>26</v>
      </c>
      <c r="R827" s="3">
        <v>0</v>
      </c>
      <c r="S827" s="3">
        <v>0</v>
      </c>
      <c r="T827" s="3">
        <v>84</v>
      </c>
      <c r="U827" s="3">
        <v>7</v>
      </c>
      <c r="V827" s="56">
        <f>IF(ISERROR(VLOOKUP($S$827,'TAR FIN'!$A$1:$O$113,15,0)),0,VLOOKUP($S$827,'TAR FIN'!$A$1:$O$113,15,0))</f>
        <v>0</v>
      </c>
      <c r="W827" s="56">
        <f>IF(ISERROR(VLOOKUP($T$827,'TAR FIN'!$A$1:$O$113,15,0)),0,VLOOKUP($T$827,'TAR FIN'!$A$1:$O$113,15,0))*(1-0.06)</f>
        <v>325.428</v>
      </c>
      <c r="X827" s="56">
        <f>IF(ISERROR(VLOOKUP($U$827,'TAR FIN'!$A$1:$O$113,15,0)),0,VLOOKUP($U$827,'TAR FIN'!$A$1:$O$113,15,0))*(1-0.06)</f>
        <v>220.18559999999999</v>
      </c>
      <c r="Y827" s="56"/>
      <c r="Z827" s="56">
        <f ca="1">('TUSD BE'!$AM$68+'TUSD BF'!$AM$68+'TUSD CVA'!$AM$68)*1*(1-0.03)</f>
        <v>398.80818707515107</v>
      </c>
      <c r="AA827" s="56">
        <f>('TE BE'!$AA$47+'TE BF'!$AA$47+'TE CVA'!$AA$47)*1*(1-0.03)</f>
        <v>227.63894795864678</v>
      </c>
      <c r="AB827" s="56">
        <f>(SUBSIDIO!$J$827*SUBSIDIO!$V$827)*(0.06)/(1-0.06)</f>
        <v>0</v>
      </c>
      <c r="AC827" s="56">
        <f>((SUBSIDIO!$L$827*SUBSIDIO!$W$827)+(SUBSIDIO!$N$827*SUBSIDIO!$X$827))*(0.06)/(1-0.06)</f>
        <v>33.119906399999998</v>
      </c>
      <c r="AD827" s="56">
        <f>(SUBSIDIO!$J$827*SUBSIDIO!$Y$827)*(0.03)/(1-0.03)</f>
        <v>0</v>
      </c>
      <c r="AE827" s="56">
        <f ca="1">((SUBSIDIO!$L$827*SUBSIDIO!$Z$827)+(SUBSIDIO!$N$827*SUBSIDIO!$AA$827))*(0.03)/(1-0.03)</f>
        <v>18.425295631457992</v>
      </c>
      <c r="AF827" s="3" t="s">
        <v>1025</v>
      </c>
    </row>
    <row r="828" spans="1:32" ht="11.25" customHeight="1" x14ac:dyDescent="0.25">
      <c r="A828" s="3" t="s">
        <v>21</v>
      </c>
      <c r="B828" s="3" t="s">
        <v>37</v>
      </c>
      <c r="C828" s="3" t="s">
        <v>23</v>
      </c>
      <c r="D828" s="3" t="s">
        <v>50</v>
      </c>
      <c r="E828" s="3" t="s">
        <v>51</v>
      </c>
      <c r="F828" s="3" t="s">
        <v>25</v>
      </c>
      <c r="G828" s="3" t="s">
        <v>25</v>
      </c>
      <c r="H828" s="3" t="s">
        <v>25</v>
      </c>
      <c r="I828" s="6">
        <v>44440</v>
      </c>
      <c r="J828" s="4">
        <v>0</v>
      </c>
      <c r="K828" s="56">
        <v>0</v>
      </c>
      <c r="L828" s="4">
        <v>2109.3609999999999</v>
      </c>
      <c r="M828" s="56">
        <v>2109.3609999999999</v>
      </c>
      <c r="N828" s="4">
        <v>2109.3609999999999</v>
      </c>
      <c r="O828" s="56">
        <v>2109.3609999999999</v>
      </c>
      <c r="P828" s="4">
        <v>1402</v>
      </c>
      <c r="Q828" s="3" t="s">
        <v>26</v>
      </c>
      <c r="R828" s="3">
        <v>0</v>
      </c>
      <c r="S828" s="3">
        <v>0</v>
      </c>
      <c r="T828" s="3">
        <v>84</v>
      </c>
      <c r="U828" s="3">
        <v>7</v>
      </c>
      <c r="V828" s="56">
        <f>IF(ISERROR(VLOOKUP($S$828,'TAR FIN'!$A$1:$O$113,15,0)),0,VLOOKUP($S$828,'TAR FIN'!$A$1:$O$113,15,0))</f>
        <v>0</v>
      </c>
      <c r="W828" s="56">
        <f>IF(ISERROR(VLOOKUP($T$828,'TAR FIN'!$A$1:$O$113,15,0)),0,VLOOKUP($T$828,'TAR FIN'!$A$1:$O$113,15,0))*(1-0.06)</f>
        <v>325.428</v>
      </c>
      <c r="X828" s="56">
        <f>IF(ISERROR(VLOOKUP($U$828,'TAR FIN'!$A$1:$O$113,15,0)),0,VLOOKUP($U$828,'TAR FIN'!$A$1:$O$113,15,0))*(1-0.06)</f>
        <v>220.18559999999999</v>
      </c>
      <c r="Y828" s="56"/>
      <c r="Z828" s="56">
        <f ca="1">('TUSD BE'!$AM$68+'TUSD BF'!$AM$68+'TUSD CVA'!$AM$68)*1*(1-0.03)</f>
        <v>398.80818707515107</v>
      </c>
      <c r="AA828" s="56">
        <f>('TE BE'!$AA$47+'TE BF'!$AA$47+'TE CVA'!$AA$47)*1*(1-0.03)</f>
        <v>227.63894795864678</v>
      </c>
      <c r="AB828" s="56">
        <f>(SUBSIDIO!$J$828*SUBSIDIO!$V$828)*(0.06)/(1-0.06)</f>
        <v>0</v>
      </c>
      <c r="AC828" s="56">
        <f>((SUBSIDIO!$L$828*SUBSIDIO!$W$828)+(SUBSIDIO!$N$828*SUBSIDIO!$X$828))*(0.06)/(1-0.06)</f>
        <v>73461.449930399991</v>
      </c>
      <c r="AD828" s="56">
        <f>(SUBSIDIO!$J$828*SUBSIDIO!$Y$828)*(0.03)/(1-0.03)</f>
        <v>0</v>
      </c>
      <c r="AE828" s="56">
        <f ca="1">((SUBSIDIO!$L$828*SUBSIDIO!$Z$828)+(SUBSIDIO!$N$828*SUBSIDIO!$AA$828))*(0.03)/(1-0.03)</f>
        <v>40868.138820681241</v>
      </c>
      <c r="AF828" s="3" t="s">
        <v>1025</v>
      </c>
    </row>
    <row r="829" spans="1:32" ht="11.25" customHeight="1" x14ac:dyDescent="0.25">
      <c r="A829" s="3" t="s">
        <v>21</v>
      </c>
      <c r="B829" s="3" t="s">
        <v>37</v>
      </c>
      <c r="C829" s="3" t="s">
        <v>23</v>
      </c>
      <c r="D829" s="3" t="s">
        <v>50</v>
      </c>
      <c r="E829" s="3" t="s">
        <v>51</v>
      </c>
      <c r="F829" s="3" t="s">
        <v>25</v>
      </c>
      <c r="G829" s="3" t="s">
        <v>25</v>
      </c>
      <c r="H829" s="3" t="s">
        <v>25</v>
      </c>
      <c r="I829" s="6">
        <v>44470</v>
      </c>
      <c r="J829" s="4">
        <v>0</v>
      </c>
      <c r="K829" s="56">
        <v>0</v>
      </c>
      <c r="L829" s="4">
        <v>2180.8290000000002</v>
      </c>
      <c r="M829" s="56">
        <v>2180.8290000000002</v>
      </c>
      <c r="N829" s="4">
        <v>2180.8290000000002</v>
      </c>
      <c r="O829" s="56">
        <v>2180.8290000000002</v>
      </c>
      <c r="P829" s="4">
        <v>1408</v>
      </c>
      <c r="Q829" s="3" t="s">
        <v>26</v>
      </c>
      <c r="R829" s="3">
        <v>0</v>
      </c>
      <c r="S829" s="3">
        <v>0</v>
      </c>
      <c r="T829" s="3">
        <v>84</v>
      </c>
      <c r="U829" s="3">
        <v>7</v>
      </c>
      <c r="V829" s="56">
        <f>IF(ISERROR(VLOOKUP($S$829,'TAR FIN'!$A$1:$O$113,15,0)),0,VLOOKUP($S$829,'TAR FIN'!$A$1:$O$113,15,0))</f>
        <v>0</v>
      </c>
      <c r="W829" s="56">
        <f>IF(ISERROR(VLOOKUP($T$829,'TAR FIN'!$A$1:$O$113,15,0)),0,VLOOKUP($T$829,'TAR FIN'!$A$1:$O$113,15,0))*(1-0.06)</f>
        <v>325.428</v>
      </c>
      <c r="X829" s="56">
        <f>IF(ISERROR(VLOOKUP($U$829,'TAR FIN'!$A$1:$O$113,15,0)),0,VLOOKUP($U$829,'TAR FIN'!$A$1:$O$113,15,0))*(1-0.06)</f>
        <v>220.18559999999999</v>
      </c>
      <c r="Y829" s="56"/>
      <c r="Z829" s="56">
        <f ca="1">('TUSD BE'!$AM$68+'TUSD BF'!$AM$68+'TUSD CVA'!$AM$68)*1*(1-0.03)</f>
        <v>398.80818707515107</v>
      </c>
      <c r="AA829" s="56">
        <f>('TE BE'!$AA$47+'TE BF'!$AA$47+'TE CVA'!$AA$47)*1*(1-0.03)</f>
        <v>227.63894795864678</v>
      </c>
      <c r="AB829" s="56">
        <f>(SUBSIDIO!$J$829*SUBSIDIO!$V$829)*(0.06)/(1-0.06)</f>
        <v>0</v>
      </c>
      <c r="AC829" s="56">
        <f>((SUBSIDIO!$L$829*SUBSIDIO!$W$829)+(SUBSIDIO!$N$829*SUBSIDIO!$X$829))*(0.06)/(1-0.06)</f>
        <v>75950.423085600007</v>
      </c>
      <c r="AD829" s="56">
        <f>(SUBSIDIO!$J$829*SUBSIDIO!$Y$829)*(0.03)/(1-0.03)</f>
        <v>0</v>
      </c>
      <c r="AE829" s="56">
        <f ca="1">((SUBSIDIO!$L$829*SUBSIDIO!$Z$829)+(SUBSIDIO!$N$829*SUBSIDIO!$AA$829))*(0.03)/(1-0.03)</f>
        <v>42252.806568514097</v>
      </c>
      <c r="AF829" s="3" t="s">
        <v>1025</v>
      </c>
    </row>
    <row r="830" spans="1:32" ht="11.25" customHeight="1" x14ac:dyDescent="0.25">
      <c r="A830" s="3" t="s">
        <v>27</v>
      </c>
      <c r="B830" s="3" t="s">
        <v>37</v>
      </c>
      <c r="C830" s="3" t="s">
        <v>23</v>
      </c>
      <c r="D830" s="3" t="s">
        <v>50</v>
      </c>
      <c r="E830" s="3" t="s">
        <v>51</v>
      </c>
      <c r="F830" s="3" t="s">
        <v>25</v>
      </c>
      <c r="G830" s="3" t="s">
        <v>25</v>
      </c>
      <c r="H830" s="3" t="s">
        <v>25</v>
      </c>
      <c r="I830" s="6">
        <v>44470</v>
      </c>
      <c r="J830" s="4">
        <v>0</v>
      </c>
      <c r="K830" s="56">
        <v>0</v>
      </c>
      <c r="L830" s="4">
        <v>0.2</v>
      </c>
      <c r="M830" s="56">
        <v>0.2</v>
      </c>
      <c r="N830" s="4">
        <v>0.2</v>
      </c>
      <c r="O830" s="56">
        <v>0.2</v>
      </c>
      <c r="P830" s="4">
        <v>2</v>
      </c>
      <c r="Q830" s="3" t="s">
        <v>26</v>
      </c>
      <c r="R830" s="3">
        <v>0</v>
      </c>
      <c r="S830" s="3">
        <v>0</v>
      </c>
      <c r="T830" s="3">
        <v>84</v>
      </c>
      <c r="U830" s="3">
        <v>7</v>
      </c>
      <c r="V830" s="56">
        <f>IF(ISERROR(VLOOKUP($S$830,'TAR FIN'!$A$1:$O$113,15,0)),0,VLOOKUP($S$830,'TAR FIN'!$A$1:$O$113,15,0))</f>
        <v>0</v>
      </c>
      <c r="W830" s="56">
        <f>IF(ISERROR(VLOOKUP($T$830,'TAR FIN'!$A$1:$O$113,15,0)),0,VLOOKUP($T$830,'TAR FIN'!$A$1:$O$113,15,0))*(1-0.06)</f>
        <v>325.428</v>
      </c>
      <c r="X830" s="56">
        <f>IF(ISERROR(VLOOKUP($U$830,'TAR FIN'!$A$1:$O$113,15,0)),0,VLOOKUP($U$830,'TAR FIN'!$A$1:$O$113,15,0))*(1-0.06)</f>
        <v>220.18559999999999</v>
      </c>
      <c r="Y830" s="56"/>
      <c r="Z830" s="56">
        <f ca="1">('TUSD BE'!$AM$68+'TUSD BF'!$AM$68+'TUSD CVA'!$AM$68)*1*(1-0.03)</f>
        <v>398.80818707515107</v>
      </c>
      <c r="AA830" s="56">
        <f>('TE BE'!$AA$47+'TE BF'!$AA$47+'TE CVA'!$AA$47)*1*(1-0.03)</f>
        <v>227.63894795864678</v>
      </c>
      <c r="AB830" s="56">
        <f>(SUBSIDIO!$J$830*SUBSIDIO!$V$830)*(0.06)/(1-0.06)</f>
        <v>0</v>
      </c>
      <c r="AC830" s="56">
        <f>((SUBSIDIO!$L$830*SUBSIDIO!$W$830)+(SUBSIDIO!$N$830*SUBSIDIO!$X$830))*(0.06)/(1-0.06)</f>
        <v>6.9652799999999999</v>
      </c>
      <c r="AD830" s="56">
        <f>(SUBSIDIO!$J$830*SUBSIDIO!$Y$830)*(0.03)/(1-0.03)</f>
        <v>0</v>
      </c>
      <c r="AE830" s="56">
        <f ca="1">((SUBSIDIO!$L$830*SUBSIDIO!$Z$830)+(SUBSIDIO!$N$830*SUBSIDIO!$AA$830))*(0.03)/(1-0.03)</f>
        <v>3.8749307321678224</v>
      </c>
      <c r="AF830" s="3" t="s">
        <v>1025</v>
      </c>
    </row>
    <row r="831" spans="1:32" ht="11.25" customHeight="1" x14ac:dyDescent="0.25">
      <c r="A831" s="3" t="s">
        <v>21</v>
      </c>
      <c r="B831" s="3" t="s">
        <v>37</v>
      </c>
      <c r="C831" s="3" t="s">
        <v>23</v>
      </c>
      <c r="D831" s="3" t="s">
        <v>50</v>
      </c>
      <c r="E831" s="3" t="s">
        <v>51</v>
      </c>
      <c r="F831" s="3" t="s">
        <v>25</v>
      </c>
      <c r="G831" s="3" t="s">
        <v>25</v>
      </c>
      <c r="H831" s="3" t="s">
        <v>25</v>
      </c>
      <c r="I831" s="6">
        <v>44501</v>
      </c>
      <c r="J831" s="4">
        <v>0</v>
      </c>
      <c r="K831" s="56">
        <v>0</v>
      </c>
      <c r="L831" s="4">
        <v>2149.145</v>
      </c>
      <c r="M831" s="56">
        <v>2149.145</v>
      </c>
      <c r="N831" s="4">
        <v>2149.145</v>
      </c>
      <c r="O831" s="56">
        <v>2149.145</v>
      </c>
      <c r="P831" s="4">
        <v>1438</v>
      </c>
      <c r="Q831" s="3" t="s">
        <v>26</v>
      </c>
      <c r="R831" s="3">
        <v>0</v>
      </c>
      <c r="S831" s="3">
        <v>0</v>
      </c>
      <c r="T831" s="3">
        <v>84</v>
      </c>
      <c r="U831" s="3">
        <v>7</v>
      </c>
      <c r="V831" s="56">
        <f>IF(ISERROR(VLOOKUP($S$831,'TAR FIN'!$A$1:$O$113,15,0)),0,VLOOKUP($S$831,'TAR FIN'!$A$1:$O$113,15,0))</f>
        <v>0</v>
      </c>
      <c r="W831" s="56">
        <f>IF(ISERROR(VLOOKUP($T$831,'TAR FIN'!$A$1:$O$113,15,0)),0,VLOOKUP($T$831,'TAR FIN'!$A$1:$O$113,15,0))*(1-0.06)</f>
        <v>325.428</v>
      </c>
      <c r="X831" s="56">
        <f>IF(ISERROR(VLOOKUP($U$831,'TAR FIN'!$A$1:$O$113,15,0)),0,VLOOKUP($U$831,'TAR FIN'!$A$1:$O$113,15,0))*(1-0.06)</f>
        <v>220.18559999999999</v>
      </c>
      <c r="Y831" s="56"/>
      <c r="Z831" s="56">
        <f ca="1">('TUSD BE'!$AM$68+'TUSD BF'!$AM$68+'TUSD CVA'!$AM$68)*1*(1-0.03)</f>
        <v>398.80818707515107</v>
      </c>
      <c r="AA831" s="56">
        <f>('TE BE'!$AA$47+'TE BF'!$AA$47+'TE CVA'!$AA$47)*1*(1-0.03)</f>
        <v>227.63894795864678</v>
      </c>
      <c r="AB831" s="56">
        <f>(SUBSIDIO!$J$831*SUBSIDIO!$V$831)*(0.06)/(1-0.06)</f>
        <v>0</v>
      </c>
      <c r="AC831" s="56">
        <f>((SUBSIDIO!$L$831*SUBSIDIO!$W$831)+(SUBSIDIO!$N$831*SUBSIDIO!$X$831))*(0.06)/(1-0.06)</f>
        <v>74846.983428000007</v>
      </c>
      <c r="AD831" s="56">
        <f>(SUBSIDIO!$J$831*SUBSIDIO!$Y$831)*(0.03)/(1-0.03)</f>
        <v>0</v>
      </c>
      <c r="AE831" s="56">
        <f ca="1">((SUBSIDIO!$L$831*SUBSIDIO!$Z$831)+(SUBSIDIO!$N$831*SUBSIDIO!$AA$831))*(0.03)/(1-0.03)</f>
        <v>41638.940041924063</v>
      </c>
      <c r="AF831" s="3" t="s">
        <v>1025</v>
      </c>
    </row>
    <row r="832" spans="1:32" ht="11.25" customHeight="1" x14ac:dyDescent="0.25">
      <c r="A832" s="3" t="s">
        <v>27</v>
      </c>
      <c r="B832" s="3" t="s">
        <v>37</v>
      </c>
      <c r="C832" s="3" t="s">
        <v>23</v>
      </c>
      <c r="D832" s="3" t="s">
        <v>50</v>
      </c>
      <c r="E832" s="3" t="s">
        <v>51</v>
      </c>
      <c r="F832" s="3" t="s">
        <v>25</v>
      </c>
      <c r="G832" s="3" t="s">
        <v>25</v>
      </c>
      <c r="H832" s="3" t="s">
        <v>25</v>
      </c>
      <c r="I832" s="6">
        <v>44501</v>
      </c>
      <c r="J832" s="4">
        <v>0</v>
      </c>
      <c r="K832" s="56">
        <v>0</v>
      </c>
      <c r="L832" s="4">
        <v>-3.7999999999999999E-2</v>
      </c>
      <c r="M832" s="56">
        <v>-3.7999999999999999E-2</v>
      </c>
      <c r="N832" s="4">
        <v>-3.7999999999999999E-2</v>
      </c>
      <c r="O832" s="56">
        <v>-3.7999999999999999E-2</v>
      </c>
      <c r="P832" s="4">
        <v>0</v>
      </c>
      <c r="Q832" s="3" t="s">
        <v>26</v>
      </c>
      <c r="R832" s="3">
        <v>0</v>
      </c>
      <c r="S832" s="3">
        <v>0</v>
      </c>
      <c r="T832" s="3">
        <v>84</v>
      </c>
      <c r="U832" s="3">
        <v>7</v>
      </c>
      <c r="V832" s="56">
        <f>IF(ISERROR(VLOOKUP($S$832,'TAR FIN'!$A$1:$O$113,15,0)),0,VLOOKUP($S$832,'TAR FIN'!$A$1:$O$113,15,0))</f>
        <v>0</v>
      </c>
      <c r="W832" s="56">
        <f>IF(ISERROR(VLOOKUP($T$832,'TAR FIN'!$A$1:$O$113,15,0)),0,VLOOKUP($T$832,'TAR FIN'!$A$1:$O$113,15,0))*(1-0.06)</f>
        <v>325.428</v>
      </c>
      <c r="X832" s="56">
        <f>IF(ISERROR(VLOOKUP($U$832,'TAR FIN'!$A$1:$O$113,15,0)),0,VLOOKUP($U$832,'TAR FIN'!$A$1:$O$113,15,0))*(1-0.06)</f>
        <v>220.18559999999999</v>
      </c>
      <c r="Y832" s="56"/>
      <c r="Z832" s="56">
        <f ca="1">('TUSD BE'!$AM$68+'TUSD BF'!$AM$68+'TUSD CVA'!$AM$68)*1*(1-0.03)</f>
        <v>398.80818707515107</v>
      </c>
      <c r="AA832" s="56">
        <f>('TE BE'!$AA$47+'TE BF'!$AA$47+'TE CVA'!$AA$47)*1*(1-0.03)</f>
        <v>227.63894795864678</v>
      </c>
      <c r="AB832" s="56">
        <f>(SUBSIDIO!$J$832*SUBSIDIO!$V$832)*(0.06)/(1-0.06)</f>
        <v>0</v>
      </c>
      <c r="AC832" s="56">
        <f>((SUBSIDIO!$L$832*SUBSIDIO!$W$832)+(SUBSIDIO!$N$832*SUBSIDIO!$X$832))*(0.06)/(1-0.06)</f>
        <v>-1.3234032</v>
      </c>
      <c r="AD832" s="56">
        <f>(SUBSIDIO!$J$832*SUBSIDIO!$Y$832)*(0.03)/(1-0.03)</f>
        <v>0</v>
      </c>
      <c r="AE832" s="56">
        <f ca="1">((SUBSIDIO!$L$832*SUBSIDIO!$Z$832)+(SUBSIDIO!$N$832*SUBSIDIO!$AA$832))*(0.03)/(1-0.03)</f>
        <v>-0.7362368391118862</v>
      </c>
      <c r="AF832" s="3" t="s">
        <v>1025</v>
      </c>
    </row>
    <row r="833" spans="1:32" ht="11.25" customHeight="1" x14ac:dyDescent="0.25">
      <c r="A833" s="3" t="s">
        <v>21</v>
      </c>
      <c r="B833" s="3" t="s">
        <v>37</v>
      </c>
      <c r="C833" s="3" t="s">
        <v>23</v>
      </c>
      <c r="D833" s="3" t="s">
        <v>50</v>
      </c>
      <c r="E833" s="3" t="s">
        <v>51</v>
      </c>
      <c r="F833" s="3" t="s">
        <v>25</v>
      </c>
      <c r="G833" s="3" t="s">
        <v>25</v>
      </c>
      <c r="H833" s="3" t="s">
        <v>25</v>
      </c>
      <c r="I833" s="6">
        <v>44531</v>
      </c>
      <c r="J833" s="4">
        <v>0</v>
      </c>
      <c r="K833" s="56">
        <v>0</v>
      </c>
      <c r="L833" s="4">
        <v>2166.1439999999998</v>
      </c>
      <c r="M833" s="56">
        <v>2166.1439999999998</v>
      </c>
      <c r="N833" s="4">
        <v>2166.1439999999998</v>
      </c>
      <c r="O833" s="56">
        <v>2166.1439999999998</v>
      </c>
      <c r="P833" s="4">
        <v>1465</v>
      </c>
      <c r="Q833" s="3" t="s">
        <v>26</v>
      </c>
      <c r="R833" s="3">
        <v>0</v>
      </c>
      <c r="S833" s="3">
        <v>0</v>
      </c>
      <c r="T833" s="3">
        <v>84</v>
      </c>
      <c r="U833" s="3">
        <v>7</v>
      </c>
      <c r="V833" s="56">
        <f>IF(ISERROR(VLOOKUP($S$833,'TAR FIN'!$A$1:$O$113,15,0)),0,VLOOKUP($S$833,'TAR FIN'!$A$1:$O$113,15,0))</f>
        <v>0</v>
      </c>
      <c r="W833" s="56">
        <f>IF(ISERROR(VLOOKUP($T$833,'TAR FIN'!$A$1:$O$113,15,0)),0,VLOOKUP($T$833,'TAR FIN'!$A$1:$O$113,15,0))*(1-0.06)</f>
        <v>325.428</v>
      </c>
      <c r="X833" s="56">
        <f>IF(ISERROR(VLOOKUP($U$833,'TAR FIN'!$A$1:$O$113,15,0)),0,VLOOKUP($U$833,'TAR FIN'!$A$1:$O$113,15,0))*(1-0.06)</f>
        <v>220.18559999999999</v>
      </c>
      <c r="Y833" s="56"/>
      <c r="Z833" s="56">
        <f ca="1">('TUSD BE'!$AM$68+'TUSD BF'!$AM$68+'TUSD CVA'!$AM$68)*1*(1-0.03)</f>
        <v>398.80818707515107</v>
      </c>
      <c r="AA833" s="56">
        <f>('TE BE'!$AA$47+'TE BF'!$AA$47+'TE CVA'!$AA$47)*1*(1-0.03)</f>
        <v>227.63894795864678</v>
      </c>
      <c r="AB833" s="56">
        <f>(SUBSIDIO!$J$833*SUBSIDIO!$V$833)*(0.06)/(1-0.06)</f>
        <v>0</v>
      </c>
      <c r="AC833" s="56">
        <f>((SUBSIDIO!$L$833*SUBSIDIO!$W$833)+(SUBSIDIO!$N$833*SUBSIDIO!$X$833))*(0.06)/(1-0.06)</f>
        <v>75438.997401599991</v>
      </c>
      <c r="AD833" s="56">
        <f>(SUBSIDIO!$J$833*SUBSIDIO!$Y$833)*(0.03)/(1-0.03)</f>
        <v>0</v>
      </c>
      <c r="AE833" s="56">
        <f ca="1">((SUBSIDIO!$L$833*SUBSIDIO!$Z$833)+(SUBSIDIO!$N$833*SUBSIDIO!$AA$833))*(0.03)/(1-0.03)</f>
        <v>41968.289779504667</v>
      </c>
      <c r="AF833" s="3" t="s">
        <v>1025</v>
      </c>
    </row>
    <row r="834" spans="1:32" ht="11.25" customHeight="1" x14ac:dyDescent="0.25">
      <c r="A834" s="3" t="s">
        <v>21</v>
      </c>
      <c r="B834" s="3" t="s">
        <v>37</v>
      </c>
      <c r="C834" s="3" t="s">
        <v>23</v>
      </c>
      <c r="D834" s="3" t="s">
        <v>50</v>
      </c>
      <c r="E834" s="3" t="s">
        <v>51</v>
      </c>
      <c r="F834" s="3" t="s">
        <v>25</v>
      </c>
      <c r="G834" s="3" t="s">
        <v>25</v>
      </c>
      <c r="H834" s="3" t="s">
        <v>25</v>
      </c>
      <c r="I834" s="6">
        <v>44562</v>
      </c>
      <c r="J834" s="4">
        <v>0</v>
      </c>
      <c r="K834" s="56">
        <v>0</v>
      </c>
      <c r="L834" s="4">
        <v>2216.3130000000001</v>
      </c>
      <c r="M834" s="56">
        <v>2216.3130000000001</v>
      </c>
      <c r="N834" s="4">
        <v>2216.3130000000001</v>
      </c>
      <c r="O834" s="56">
        <v>2216.3130000000001</v>
      </c>
      <c r="P834" s="4">
        <v>1475</v>
      </c>
      <c r="Q834" s="3" t="s">
        <v>26</v>
      </c>
      <c r="R834" s="3">
        <v>0</v>
      </c>
      <c r="S834" s="3">
        <v>0</v>
      </c>
      <c r="T834" s="3">
        <v>84</v>
      </c>
      <c r="U834" s="3">
        <v>7</v>
      </c>
      <c r="V834" s="56">
        <f>IF(ISERROR(VLOOKUP($S$834,'TAR FIN'!$A$1:$O$113,15,0)),0,VLOOKUP($S$834,'TAR FIN'!$A$1:$O$113,15,0))</f>
        <v>0</v>
      </c>
      <c r="W834" s="56">
        <f>IF(ISERROR(VLOOKUP($T$834,'TAR FIN'!$A$1:$O$113,15,0)),0,VLOOKUP($T$834,'TAR FIN'!$A$1:$O$113,15,0))*(1-0.06)</f>
        <v>325.428</v>
      </c>
      <c r="X834" s="56">
        <f>IF(ISERROR(VLOOKUP($U$834,'TAR FIN'!$A$1:$O$113,15,0)),0,VLOOKUP($U$834,'TAR FIN'!$A$1:$O$113,15,0))*(1-0.06)</f>
        <v>220.18559999999999</v>
      </c>
      <c r="Y834" s="56"/>
      <c r="Z834" s="56">
        <f ca="1">('TUSD BE'!$AM$68+'TUSD BF'!$AM$68+'TUSD CVA'!$AM$68)*1*(1-0.03)</f>
        <v>398.80818707515107</v>
      </c>
      <c r="AA834" s="56">
        <f>('TE BE'!$AA$47+'TE BF'!$AA$47+'TE CVA'!$AA$47)*1*(1-0.03)</f>
        <v>227.63894795864678</v>
      </c>
      <c r="AB834" s="56">
        <f>(SUBSIDIO!$J$834*SUBSIDIO!$V$834)*(0.06)/(1-0.06)</f>
        <v>0</v>
      </c>
      <c r="AC834" s="56">
        <f>((SUBSIDIO!$L$834*SUBSIDIO!$W$834)+(SUBSIDIO!$N$834*SUBSIDIO!$X$834))*(0.06)/(1-0.06)</f>
        <v>77186.20306320001</v>
      </c>
      <c r="AD834" s="56">
        <f>(SUBSIDIO!$J$834*SUBSIDIO!$Y$834)*(0.03)/(1-0.03)</f>
        <v>0</v>
      </c>
      <c r="AE834" s="56">
        <f ca="1">((SUBSIDIO!$L$834*SUBSIDIO!$Z$834)+(SUBSIDIO!$N$834*SUBSIDIO!$AA$834))*(0.03)/(1-0.03)</f>
        <v>42940.296779015305</v>
      </c>
      <c r="AF834" s="3" t="s">
        <v>1025</v>
      </c>
    </row>
    <row r="835" spans="1:32" ht="11.25" customHeight="1" x14ac:dyDescent="0.25">
      <c r="A835" s="3" t="s">
        <v>21</v>
      </c>
      <c r="B835" s="3" t="s">
        <v>37</v>
      </c>
      <c r="C835" s="3" t="s">
        <v>23</v>
      </c>
      <c r="D835" s="3" t="s">
        <v>50</v>
      </c>
      <c r="E835" s="3" t="s">
        <v>51</v>
      </c>
      <c r="F835" s="3" t="s">
        <v>25</v>
      </c>
      <c r="G835" s="3" t="s">
        <v>25</v>
      </c>
      <c r="H835" s="3" t="s">
        <v>25</v>
      </c>
      <c r="I835" s="6">
        <v>44593</v>
      </c>
      <c r="J835" s="4">
        <v>0</v>
      </c>
      <c r="K835" s="56">
        <v>0</v>
      </c>
      <c r="L835" s="4">
        <v>2141.5509999999999</v>
      </c>
      <c r="M835" s="56">
        <v>2141.5509999999999</v>
      </c>
      <c r="N835" s="4">
        <v>2141.5509999999999</v>
      </c>
      <c r="O835" s="56">
        <v>2141.5509999999999</v>
      </c>
      <c r="P835" s="4">
        <v>1482</v>
      </c>
      <c r="Q835" s="3" t="s">
        <v>26</v>
      </c>
      <c r="R835" s="3">
        <v>0</v>
      </c>
      <c r="S835" s="3">
        <v>0</v>
      </c>
      <c r="T835" s="3">
        <v>84</v>
      </c>
      <c r="U835" s="3">
        <v>7</v>
      </c>
      <c r="V835" s="56">
        <f>IF(ISERROR(VLOOKUP($S$835,'TAR FIN'!$A$1:$O$113,15,0)),0,VLOOKUP($S$835,'TAR FIN'!$A$1:$O$113,15,0))</f>
        <v>0</v>
      </c>
      <c r="W835" s="56">
        <f>IF(ISERROR(VLOOKUP($T$835,'TAR FIN'!$A$1:$O$113,15,0)),0,VLOOKUP($T$835,'TAR FIN'!$A$1:$O$113,15,0))*(1-0.06)</f>
        <v>325.428</v>
      </c>
      <c r="X835" s="56">
        <f>IF(ISERROR(VLOOKUP($U$835,'TAR FIN'!$A$1:$O$113,15,0)),0,VLOOKUP($U$835,'TAR FIN'!$A$1:$O$113,15,0))*(1-0.06)</f>
        <v>220.18559999999999</v>
      </c>
      <c r="Y835" s="56"/>
      <c r="Z835" s="56">
        <f ca="1">('TUSD BE'!$AM$68+'TUSD BF'!$AM$68+'TUSD CVA'!$AM$68)*1*(1-0.03)</f>
        <v>398.80818707515107</v>
      </c>
      <c r="AA835" s="56">
        <f>('TE BE'!$AA$47+'TE BF'!$AA$47+'TE CVA'!$AA$47)*1*(1-0.03)</f>
        <v>227.63894795864678</v>
      </c>
      <c r="AB835" s="56">
        <f>(SUBSIDIO!$J$835*SUBSIDIO!$V$835)*(0.06)/(1-0.06)</f>
        <v>0</v>
      </c>
      <c r="AC835" s="56">
        <f>((SUBSIDIO!$L$835*SUBSIDIO!$W$835)+(SUBSIDIO!$N$835*SUBSIDIO!$X$835))*(0.06)/(1-0.06)</f>
        <v>74582.511746399992</v>
      </c>
      <c r="AD835" s="56">
        <f>(SUBSIDIO!$J$835*SUBSIDIO!$Y$835)*(0.03)/(1-0.03)</f>
        <v>0</v>
      </c>
      <c r="AE835" s="56">
        <f ca="1">((SUBSIDIO!$L$835*SUBSIDIO!$Z$835)+(SUBSIDIO!$N$835*SUBSIDIO!$AA$835))*(0.03)/(1-0.03)</f>
        <v>41491.808922023658</v>
      </c>
      <c r="AF835" s="3" t="s">
        <v>1025</v>
      </c>
    </row>
    <row r="836" spans="1:32" ht="11.25" customHeight="1" x14ac:dyDescent="0.25">
      <c r="A836" s="3" t="s">
        <v>56</v>
      </c>
      <c r="B836" s="3" t="s">
        <v>37</v>
      </c>
      <c r="C836" s="3" t="s">
        <v>23</v>
      </c>
      <c r="D836" s="3" t="s">
        <v>50</v>
      </c>
      <c r="E836" s="3" t="s">
        <v>51</v>
      </c>
      <c r="F836" s="3" t="s">
        <v>25</v>
      </c>
      <c r="G836" s="3" t="s">
        <v>25</v>
      </c>
      <c r="H836" s="3" t="s">
        <v>25</v>
      </c>
      <c r="I836" s="6">
        <v>44621</v>
      </c>
      <c r="J836" s="4">
        <v>0</v>
      </c>
      <c r="K836" s="56">
        <v>0</v>
      </c>
      <c r="L836" s="4">
        <v>2141.5509999999999</v>
      </c>
      <c r="M836" s="56">
        <v>2141.5509999999999</v>
      </c>
      <c r="N836" s="4">
        <v>2141.5509999999999</v>
      </c>
      <c r="O836" s="56">
        <v>2141.5509999999999</v>
      </c>
      <c r="P836" s="4">
        <v>1482</v>
      </c>
      <c r="Q836" s="3" t="s">
        <v>26</v>
      </c>
      <c r="R836" s="3">
        <v>0</v>
      </c>
      <c r="S836" s="3">
        <v>0</v>
      </c>
      <c r="T836" s="3">
        <v>84</v>
      </c>
      <c r="U836" s="3">
        <v>7</v>
      </c>
      <c r="V836" s="56">
        <f>IF(ISERROR(VLOOKUP($S$836,'TAR FIN'!$A$1:$O$113,15,0)),0,VLOOKUP($S$836,'TAR FIN'!$A$1:$O$113,15,0))</f>
        <v>0</v>
      </c>
      <c r="W836" s="56">
        <f>IF(ISERROR(VLOOKUP($T$836,'TAR FIN'!$A$1:$O$113,15,0)),0,VLOOKUP($T$836,'TAR FIN'!$A$1:$O$113,15,0))*(1-0.06)</f>
        <v>325.428</v>
      </c>
      <c r="X836" s="56">
        <f>IF(ISERROR(VLOOKUP($U$836,'TAR FIN'!$A$1:$O$113,15,0)),0,VLOOKUP($U$836,'TAR FIN'!$A$1:$O$113,15,0))*(1-0.06)</f>
        <v>220.18559999999999</v>
      </c>
      <c r="Y836" s="56"/>
      <c r="Z836" s="56">
        <f ca="1">('TUSD BE'!$AM$68+'TUSD BF'!$AM$68+'TUSD CVA'!$AM$68)*1*(1-0.03)</f>
        <v>398.80818707515107</v>
      </c>
      <c r="AA836" s="56">
        <f>('TE BE'!$AA$47+'TE BF'!$AA$47+'TE CVA'!$AA$47)*1*(1-0.03)</f>
        <v>227.63894795864678</v>
      </c>
      <c r="AB836" s="56">
        <f>(SUBSIDIO!$J$836*SUBSIDIO!$V$836)*(0.06)/(1-0.06)</f>
        <v>0</v>
      </c>
      <c r="AC836" s="56">
        <f>((SUBSIDIO!$L$836*SUBSIDIO!$W$836)+(SUBSIDIO!$N$836*SUBSIDIO!$X$836))*(0.06)/(1-0.06)</f>
        <v>74582.511746399992</v>
      </c>
      <c r="AD836" s="56">
        <f>(SUBSIDIO!$J$836*SUBSIDIO!$Y$836)*(0.03)/(1-0.03)</f>
        <v>0</v>
      </c>
      <c r="AE836" s="56">
        <f ca="1">((SUBSIDIO!$L$836*SUBSIDIO!$Z$836)+(SUBSIDIO!$N$836*SUBSIDIO!$AA$836))*(0.03)/(1-0.03)</f>
        <v>41491.808922023658</v>
      </c>
      <c r="AF836" s="3" t="s">
        <v>1025</v>
      </c>
    </row>
    <row r="837" spans="1:32" ht="11.25" customHeight="1" x14ac:dyDescent="0.25"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2" ht="11.25" customHeight="1" x14ac:dyDescent="0.25"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2" ht="11.25" customHeight="1" x14ac:dyDescent="0.25"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2" ht="11.25" customHeight="1" x14ac:dyDescent="0.25"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2" ht="11.25" customHeight="1" x14ac:dyDescent="0.25"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2" ht="11.25" customHeight="1" x14ac:dyDescent="0.25"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2" ht="11.25" customHeight="1" x14ac:dyDescent="0.25"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2" ht="11.25" customHeight="1" x14ac:dyDescent="0.25"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2" ht="11.25" customHeight="1" x14ac:dyDescent="0.25"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2" ht="11.25" customHeight="1" x14ac:dyDescent="0.25"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2" ht="11.25" customHeight="1" x14ac:dyDescent="0.25"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2" ht="11.25" customHeight="1" x14ac:dyDescent="0.25"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22:31" ht="11.25" customHeight="1" x14ac:dyDescent="0.25"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22:31" ht="11.25" customHeight="1" x14ac:dyDescent="0.25"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22:31" ht="11.25" customHeight="1" x14ac:dyDescent="0.25"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22:31" ht="11.25" customHeight="1" x14ac:dyDescent="0.25"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22:31" ht="11.25" customHeight="1" x14ac:dyDescent="0.25"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22:31" ht="11.25" customHeight="1" x14ac:dyDescent="0.25"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22:31" ht="11.25" customHeight="1" x14ac:dyDescent="0.25"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22:31" ht="11.25" customHeight="1" x14ac:dyDescent="0.25"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22:31" ht="11.25" customHeight="1" x14ac:dyDescent="0.25"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22:31" ht="11.25" customHeight="1" x14ac:dyDescent="0.25"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22:31" ht="11.25" customHeight="1" x14ac:dyDescent="0.25"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22:31" ht="11.25" customHeight="1" x14ac:dyDescent="0.25"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22:31" ht="11.25" customHeight="1" x14ac:dyDescent="0.25"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22:31" ht="11.25" customHeight="1" x14ac:dyDescent="0.25"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22:31" ht="11.25" customHeight="1" x14ac:dyDescent="0.25"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22:31" ht="11.25" customHeight="1" x14ac:dyDescent="0.25"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22:31" ht="11.25" customHeight="1" x14ac:dyDescent="0.25"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22:31" ht="11.25" customHeight="1" x14ac:dyDescent="0.25"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22:31" ht="11.25" customHeight="1" x14ac:dyDescent="0.25"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22:31" ht="11.25" customHeight="1" x14ac:dyDescent="0.25"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22:31" ht="11.25" customHeight="1" x14ac:dyDescent="0.25"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22:31" ht="11.25" customHeight="1" x14ac:dyDescent="0.25"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22:31" ht="11.25" customHeight="1" x14ac:dyDescent="0.25"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22:31" ht="11.25" customHeight="1" x14ac:dyDescent="0.25"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22:31" ht="11.25" customHeight="1" x14ac:dyDescent="0.25"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22:31" ht="11.25" customHeight="1" x14ac:dyDescent="0.25"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22:31" ht="11.25" customHeight="1" x14ac:dyDescent="0.25"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22:31" ht="11.25" customHeight="1" x14ac:dyDescent="0.25"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22:31" ht="11.25" customHeight="1" x14ac:dyDescent="0.25"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22:31" ht="11.25" customHeight="1" x14ac:dyDescent="0.25"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22:31" ht="11.25" customHeight="1" x14ac:dyDescent="0.25"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22:31" ht="11.25" customHeight="1" x14ac:dyDescent="0.25"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22:31" ht="11.25" customHeight="1" x14ac:dyDescent="0.25"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22:31" ht="11.25" customHeight="1" x14ac:dyDescent="0.25"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22:31" ht="11.25" customHeight="1" x14ac:dyDescent="0.25"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22:31" ht="11.25" customHeight="1" x14ac:dyDescent="0.25"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22:31" ht="11.25" customHeight="1" x14ac:dyDescent="0.25"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22:31" ht="11.25" customHeight="1" x14ac:dyDescent="0.25"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22:31" ht="11.25" customHeight="1" x14ac:dyDescent="0.25"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22:31" ht="11.25" customHeight="1" x14ac:dyDescent="0.25"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22:31" ht="11.25" customHeight="1" x14ac:dyDescent="0.25"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22:31" ht="11.25" customHeight="1" x14ac:dyDescent="0.25"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22:31" ht="11.25" customHeight="1" x14ac:dyDescent="0.25"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22:31" ht="11.25" customHeight="1" x14ac:dyDescent="0.25"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22:31" ht="11.25" customHeight="1" x14ac:dyDescent="0.25"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22:31" ht="11.25" customHeight="1" x14ac:dyDescent="0.25"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22:31" ht="11.25" customHeight="1" x14ac:dyDescent="0.25"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22:31" ht="11.25" customHeight="1" x14ac:dyDescent="0.25"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22:31" ht="11.25" customHeight="1" x14ac:dyDescent="0.25"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22:31" ht="11.25" customHeight="1" x14ac:dyDescent="0.25"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22:31" ht="11.25" customHeight="1" x14ac:dyDescent="0.25"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22:31" ht="11.25" customHeight="1" x14ac:dyDescent="0.25"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22:31" ht="11.25" customHeight="1" x14ac:dyDescent="0.25"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22:31" ht="11.25" customHeight="1" x14ac:dyDescent="0.25"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22:31" ht="11.25" customHeight="1" x14ac:dyDescent="0.25"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22:31" ht="11.25" customHeight="1" x14ac:dyDescent="0.25"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22:31" ht="11.25" customHeight="1" x14ac:dyDescent="0.25"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22:31" ht="11.25" customHeight="1" x14ac:dyDescent="0.25"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22:31" ht="11.25" customHeight="1" x14ac:dyDescent="0.25"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22:31" ht="11.25" customHeight="1" x14ac:dyDescent="0.25"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22:31" ht="11.25" customHeight="1" x14ac:dyDescent="0.25"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22:31" ht="11.25" customHeight="1" x14ac:dyDescent="0.25"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22:31" ht="11.25" customHeight="1" x14ac:dyDescent="0.25"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22:31" ht="11.25" customHeight="1" x14ac:dyDescent="0.25"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22:31" ht="11.25" customHeight="1" x14ac:dyDescent="0.25"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22:31" ht="11.25" customHeight="1" x14ac:dyDescent="0.25"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22:31" ht="11.25" customHeight="1" x14ac:dyDescent="0.25"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22:31" ht="11.25" customHeight="1" x14ac:dyDescent="0.25"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22:31" ht="11.25" customHeight="1" x14ac:dyDescent="0.25"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22:31" ht="11.25" customHeight="1" x14ac:dyDescent="0.25"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22:31" ht="11.25" customHeight="1" x14ac:dyDescent="0.25"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22:31" ht="11.25" customHeight="1" x14ac:dyDescent="0.25"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22:31" ht="11.25" customHeight="1" x14ac:dyDescent="0.25"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22:31" ht="11.25" customHeight="1" x14ac:dyDescent="0.25"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22:31" ht="11.25" customHeight="1" x14ac:dyDescent="0.25"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22:31" ht="11.25" customHeight="1" x14ac:dyDescent="0.25"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22:31" ht="11.25" customHeight="1" x14ac:dyDescent="0.25"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22:31" ht="11.25" customHeight="1" x14ac:dyDescent="0.25"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22:31" ht="11.25" customHeight="1" x14ac:dyDescent="0.25"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22:31" ht="11.25" customHeight="1" x14ac:dyDescent="0.25"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22:31" ht="11.25" customHeight="1" x14ac:dyDescent="0.25"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22:31" ht="11.25" customHeight="1" x14ac:dyDescent="0.25"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22:31" ht="11.25" customHeight="1" x14ac:dyDescent="0.25"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22:31" ht="11.25" customHeight="1" x14ac:dyDescent="0.25"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22:31" ht="11.25" customHeight="1" x14ac:dyDescent="0.25"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22:31" ht="11.25" customHeight="1" x14ac:dyDescent="0.25"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22:31" ht="11.25" customHeight="1" x14ac:dyDescent="0.25"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22:31" ht="11.25" customHeight="1" x14ac:dyDescent="0.25"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22:31" ht="11.25" customHeight="1" x14ac:dyDescent="0.25"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22:31" ht="11.25" customHeight="1" x14ac:dyDescent="0.25"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22:31" ht="11.25" customHeight="1" x14ac:dyDescent="0.25"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22:31" ht="11.25" customHeight="1" x14ac:dyDescent="0.25"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22:31" ht="11.25" customHeight="1" x14ac:dyDescent="0.25"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22:31" ht="11.25" customHeight="1" x14ac:dyDescent="0.25"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22:31" ht="11.25" customHeight="1" x14ac:dyDescent="0.25"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22:31" ht="11.25" customHeight="1" x14ac:dyDescent="0.25"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22:31" ht="11.25" customHeight="1" x14ac:dyDescent="0.25"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22:31" ht="11.25" customHeight="1" x14ac:dyDescent="0.25"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22:31" ht="11.25" customHeight="1" x14ac:dyDescent="0.25"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22:31" ht="11.25" customHeight="1" x14ac:dyDescent="0.25"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22:31" ht="11.25" customHeight="1" x14ac:dyDescent="0.25"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22:31" ht="11.25" customHeight="1" x14ac:dyDescent="0.25"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22:31" ht="11.25" customHeight="1" x14ac:dyDescent="0.25"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22:31" ht="11.25" customHeight="1" x14ac:dyDescent="0.25"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22:31" ht="11.25" customHeight="1" x14ac:dyDescent="0.25"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22:31" ht="11.25" customHeight="1" x14ac:dyDescent="0.25"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22:31" ht="11.25" customHeight="1" x14ac:dyDescent="0.25"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22:31" ht="11.25" customHeight="1" x14ac:dyDescent="0.25"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22:31" ht="11.25" customHeight="1" x14ac:dyDescent="0.25"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22:31" ht="11.25" customHeight="1" x14ac:dyDescent="0.25"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22:31" ht="11.25" customHeight="1" x14ac:dyDescent="0.25"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22:31" ht="11.25" customHeight="1" x14ac:dyDescent="0.25"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22:31" ht="11.25" customHeight="1" x14ac:dyDescent="0.25"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22:31" ht="11.25" customHeight="1" x14ac:dyDescent="0.25"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22:31" ht="11.25" customHeight="1" x14ac:dyDescent="0.25"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22:31" ht="11.25" customHeight="1" x14ac:dyDescent="0.25"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22:31" ht="11.25" customHeight="1" x14ac:dyDescent="0.25"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22:31" ht="11.25" customHeight="1" x14ac:dyDescent="0.25"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22:31" ht="11.25" customHeight="1" x14ac:dyDescent="0.25"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22:31" ht="11.25" customHeight="1" x14ac:dyDescent="0.25"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22:31" ht="11.25" customHeight="1" x14ac:dyDescent="0.25"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22:31" ht="11.25" customHeight="1" x14ac:dyDescent="0.25"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22:31" ht="11.25" customHeight="1" x14ac:dyDescent="0.25"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22:31" ht="11.25" customHeight="1" x14ac:dyDescent="0.25"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22:31" ht="11.25" customHeight="1" x14ac:dyDescent="0.25"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22:31" ht="11.25" customHeight="1" x14ac:dyDescent="0.25"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22:31" ht="11.25" customHeight="1" x14ac:dyDescent="0.25"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22:31" ht="11.25" customHeight="1" x14ac:dyDescent="0.25"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22:31" ht="11.25" customHeight="1" x14ac:dyDescent="0.25"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22:31" ht="11.25" customHeight="1" x14ac:dyDescent="0.25"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22:31" ht="11.25" customHeight="1" x14ac:dyDescent="0.25"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22:31" ht="11.25" customHeight="1" x14ac:dyDescent="0.25"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22:31" ht="11.25" customHeight="1" x14ac:dyDescent="0.25"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22:31" ht="11.25" customHeight="1" x14ac:dyDescent="0.25"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22:31" ht="11.25" customHeight="1" x14ac:dyDescent="0.25"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22:31" ht="11.25" customHeight="1" x14ac:dyDescent="0.25"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22:31" ht="11.25" customHeight="1" x14ac:dyDescent="0.25"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22:31" ht="11.25" customHeight="1" x14ac:dyDescent="0.25"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22:31" ht="11.25" customHeight="1" x14ac:dyDescent="0.25"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22:31" ht="11.25" customHeight="1" x14ac:dyDescent="0.25"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22:31" ht="11.25" customHeight="1" x14ac:dyDescent="0.25"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22:31" ht="11.25" customHeight="1" x14ac:dyDescent="0.25"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22:31" ht="11.25" customHeight="1" x14ac:dyDescent="0.25"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22:31" ht="11.25" customHeight="1" x14ac:dyDescent="0.25"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22:31" ht="11.25" customHeight="1" x14ac:dyDescent="0.25"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22:31" ht="11.25" customHeight="1" x14ac:dyDescent="0.25"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22:31" ht="11.25" customHeight="1" x14ac:dyDescent="0.25"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22:31" ht="11.25" customHeight="1" x14ac:dyDescent="0.25"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22:31" ht="11.25" customHeight="1" x14ac:dyDescent="0.25"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22:31" ht="11.25" customHeight="1" x14ac:dyDescent="0.25"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22:31" ht="11.25" customHeight="1" x14ac:dyDescent="0.25"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22:31" ht="11.25" customHeight="1" x14ac:dyDescent="0.25"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22:31" ht="11.25" customHeight="1" x14ac:dyDescent="0.25"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22:31" ht="11.25" customHeight="1" x14ac:dyDescent="0.25"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22:31" ht="11.25" customHeight="1" x14ac:dyDescent="0.25"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22:31" ht="11.25" customHeight="1" x14ac:dyDescent="0.25"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22:31" ht="11.25" customHeight="1" x14ac:dyDescent="0.25"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22:31" ht="11.25" customHeight="1" x14ac:dyDescent="0.25"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22:31" ht="11.25" customHeight="1" x14ac:dyDescent="0.25"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22:31" ht="11.25" customHeight="1" x14ac:dyDescent="0.25"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22:31" ht="11.25" customHeight="1" x14ac:dyDescent="0.25"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 spans="22:31" ht="11.25" customHeight="1" x14ac:dyDescent="0.25"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22:31" ht="11.25" customHeight="1" x14ac:dyDescent="0.25"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22:31" ht="11.25" customHeight="1" x14ac:dyDescent="0.25"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22:31" ht="11.25" customHeight="1" x14ac:dyDescent="0.25"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22:31" ht="11.25" customHeight="1" x14ac:dyDescent="0.25"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22:31" ht="11.25" customHeight="1" x14ac:dyDescent="0.25"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22:31" ht="11.25" customHeight="1" x14ac:dyDescent="0.25"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22:31" ht="11.25" customHeight="1" x14ac:dyDescent="0.25"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22:31" ht="11.25" customHeight="1" x14ac:dyDescent="0.25"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22:31" ht="11.25" customHeight="1" x14ac:dyDescent="0.25"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22:31" ht="11.25" customHeight="1" x14ac:dyDescent="0.25"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22:31" ht="11.25" customHeight="1" x14ac:dyDescent="0.25"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22:31" ht="11.25" customHeight="1" x14ac:dyDescent="0.25"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22:31" ht="11.25" customHeight="1" x14ac:dyDescent="0.25"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22:31" ht="11.25" customHeight="1" x14ac:dyDescent="0.25"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22:31" ht="11.25" customHeight="1" x14ac:dyDescent="0.25"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22:31" ht="11.25" customHeight="1" x14ac:dyDescent="0.25"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 spans="22:31" ht="11.25" customHeight="1" x14ac:dyDescent="0.25"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22:31" ht="11.25" customHeight="1" x14ac:dyDescent="0.25"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22:31" ht="11.25" customHeight="1" x14ac:dyDescent="0.25"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22:31" ht="11.25" customHeight="1" x14ac:dyDescent="0.25"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22:31" ht="11.25" customHeight="1" x14ac:dyDescent="0.25"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22:31" ht="11.25" customHeight="1" x14ac:dyDescent="0.25"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22:31" ht="11.25" customHeight="1" x14ac:dyDescent="0.25"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22:31" ht="11.25" customHeight="1" x14ac:dyDescent="0.25"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22:31" ht="11.25" customHeight="1" x14ac:dyDescent="0.25"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22:31" ht="11.25" customHeight="1" x14ac:dyDescent="0.25"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 spans="22:31" ht="11.25" customHeight="1" x14ac:dyDescent="0.25"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22:31" ht="11.25" customHeight="1" x14ac:dyDescent="0.25"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22:31" ht="11.25" customHeight="1" x14ac:dyDescent="0.25"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22:31" ht="11.25" customHeight="1" x14ac:dyDescent="0.25"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22:31" ht="11.25" customHeight="1" x14ac:dyDescent="0.25"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22:31" ht="11.25" customHeight="1" x14ac:dyDescent="0.25"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22:31" ht="11.25" customHeight="1" x14ac:dyDescent="0.25"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22:31" ht="11.25" customHeight="1" x14ac:dyDescent="0.25"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22:31" ht="11.25" customHeight="1" x14ac:dyDescent="0.25"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22:31" ht="11.25" customHeight="1" x14ac:dyDescent="0.25"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22:31" ht="11.25" customHeight="1" x14ac:dyDescent="0.25"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</row>
    <row r="1048" spans="22:31" ht="11.25" customHeight="1" x14ac:dyDescent="0.25"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22:31" ht="11.25" customHeight="1" x14ac:dyDescent="0.25"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22:31" ht="11.25" customHeight="1" x14ac:dyDescent="0.25"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22:31" ht="11.25" customHeight="1" x14ac:dyDescent="0.25"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22:31" ht="11.25" customHeight="1" x14ac:dyDescent="0.25"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22:31" ht="11.25" customHeight="1" x14ac:dyDescent="0.25"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22:31" ht="11.25" customHeight="1" x14ac:dyDescent="0.25"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22:31" ht="11.25" customHeight="1" x14ac:dyDescent="0.25"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22:31" ht="11.25" customHeight="1" x14ac:dyDescent="0.25"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22:31" ht="11.25" customHeight="1" x14ac:dyDescent="0.25"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22:31" ht="11.25" customHeight="1" x14ac:dyDescent="0.25"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22:31" ht="11.25" customHeight="1" x14ac:dyDescent="0.25"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22:31" ht="11.25" customHeight="1" x14ac:dyDescent="0.25"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22:31" ht="11.25" customHeight="1" x14ac:dyDescent="0.25"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22:31" ht="11.25" customHeight="1" x14ac:dyDescent="0.25"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22:31" ht="11.25" customHeight="1" x14ac:dyDescent="0.25"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22:31" ht="11.25" customHeight="1" x14ac:dyDescent="0.25"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22:31" ht="11.25" customHeight="1" x14ac:dyDescent="0.25"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22:31" ht="11.25" customHeight="1" x14ac:dyDescent="0.25"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22:31" ht="11.25" customHeight="1" x14ac:dyDescent="0.25"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22:31" ht="11.25" customHeight="1" x14ac:dyDescent="0.25"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22:31" ht="11.25" customHeight="1" x14ac:dyDescent="0.25"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22:31" ht="11.25" customHeight="1" x14ac:dyDescent="0.25"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22:31" ht="11.25" customHeight="1" x14ac:dyDescent="0.25"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22:31" ht="11.25" customHeight="1" x14ac:dyDescent="0.25"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22:31" ht="11.25" customHeight="1" x14ac:dyDescent="0.25"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  <row r="1074" spans="22:31" ht="11.25" customHeight="1" x14ac:dyDescent="0.25"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</row>
    <row r="1075" spans="22:31" ht="11.25" customHeight="1" x14ac:dyDescent="0.25"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</row>
    <row r="1076" spans="22:31" ht="11.25" customHeight="1" x14ac:dyDescent="0.25"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</row>
    <row r="1077" spans="22:31" ht="11.25" customHeight="1" x14ac:dyDescent="0.25"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</row>
    <row r="1078" spans="22:31" ht="11.25" customHeight="1" x14ac:dyDescent="0.25"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</row>
    <row r="1079" spans="22:31" ht="11.25" customHeight="1" x14ac:dyDescent="0.25"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</row>
    <row r="1080" spans="22:31" ht="11.25" customHeight="1" x14ac:dyDescent="0.25"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</row>
    <row r="1081" spans="22:31" ht="11.25" customHeight="1" x14ac:dyDescent="0.25"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</row>
    <row r="1082" spans="22:31" ht="11.25" customHeight="1" x14ac:dyDescent="0.25"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</row>
    <row r="1083" spans="22:31" ht="11.25" customHeight="1" x14ac:dyDescent="0.25"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</row>
    <row r="1084" spans="22:31" ht="11.25" customHeight="1" x14ac:dyDescent="0.25"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</row>
    <row r="1085" spans="22:31" ht="11.25" customHeight="1" x14ac:dyDescent="0.25"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</row>
    <row r="1086" spans="22:31" ht="11.25" customHeight="1" x14ac:dyDescent="0.25"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</row>
    <row r="1087" spans="22:31" ht="11.25" customHeight="1" x14ac:dyDescent="0.25"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</row>
    <row r="1088" spans="22:31" ht="11.25" customHeight="1" x14ac:dyDescent="0.25"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</row>
    <row r="1089" spans="22:31" ht="11.25" customHeight="1" x14ac:dyDescent="0.25"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</row>
    <row r="1090" spans="22:31" ht="11.25" customHeight="1" x14ac:dyDescent="0.25"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</row>
    <row r="1091" spans="22:31" ht="11.25" customHeight="1" x14ac:dyDescent="0.25"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</row>
    <row r="1092" spans="22:31" ht="11.25" customHeight="1" x14ac:dyDescent="0.25"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</row>
    <row r="1093" spans="22:31" ht="11.25" customHeight="1" x14ac:dyDescent="0.25"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</row>
    <row r="1094" spans="22:31" ht="11.25" customHeight="1" x14ac:dyDescent="0.25"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</row>
    <row r="1095" spans="22:31" ht="11.25" customHeight="1" x14ac:dyDescent="0.25"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</row>
    <row r="1096" spans="22:31" ht="11.25" customHeight="1" x14ac:dyDescent="0.25"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</row>
    <row r="1097" spans="22:31" ht="11.25" customHeight="1" x14ac:dyDescent="0.25"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</row>
    <row r="1098" spans="22:31" ht="11.25" customHeight="1" x14ac:dyDescent="0.25"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</row>
    <row r="1099" spans="22:31" ht="11.25" customHeight="1" x14ac:dyDescent="0.25"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</row>
    <row r="1100" spans="22:31" ht="11.25" customHeight="1" x14ac:dyDescent="0.25"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</row>
    <row r="1101" spans="22:31" ht="11.25" customHeight="1" x14ac:dyDescent="0.25"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</row>
    <row r="1102" spans="22:31" ht="11.25" customHeight="1" x14ac:dyDescent="0.25"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</row>
    <row r="1103" spans="22:31" ht="11.25" customHeight="1" x14ac:dyDescent="0.25"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</row>
    <row r="1104" spans="22:31" ht="11.25" customHeight="1" x14ac:dyDescent="0.25"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</row>
    <row r="1105" spans="22:31" ht="11.25" customHeight="1" x14ac:dyDescent="0.25"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</row>
    <row r="1106" spans="22:31" ht="11.25" customHeight="1" x14ac:dyDescent="0.25"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</row>
    <row r="1107" spans="22:31" ht="11.25" customHeight="1" x14ac:dyDescent="0.25"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</row>
    <row r="1108" spans="22:31" ht="11.25" customHeight="1" x14ac:dyDescent="0.25"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</row>
    <row r="1109" spans="22:31" ht="11.25" customHeight="1" x14ac:dyDescent="0.25"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</row>
    <row r="1110" spans="22:31" ht="11.25" customHeight="1" x14ac:dyDescent="0.25"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</row>
    <row r="1111" spans="22:31" ht="11.25" customHeight="1" x14ac:dyDescent="0.25"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</row>
    <row r="1112" spans="22:31" ht="11.25" customHeight="1" x14ac:dyDescent="0.25"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</row>
    <row r="1113" spans="22:31" ht="11.25" customHeight="1" x14ac:dyDescent="0.25"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</row>
    <row r="1114" spans="22:31" ht="11.25" customHeight="1" x14ac:dyDescent="0.25"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</row>
    <row r="1115" spans="22:31" ht="11.25" customHeight="1" x14ac:dyDescent="0.25"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</row>
    <row r="1116" spans="22:31" ht="11.25" customHeight="1" x14ac:dyDescent="0.25"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</row>
    <row r="1117" spans="22:31" ht="11.25" customHeight="1" x14ac:dyDescent="0.25"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</row>
    <row r="1118" spans="22:31" ht="11.25" customHeight="1" x14ac:dyDescent="0.25"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</row>
    <row r="1119" spans="22:31" ht="11.25" customHeight="1" x14ac:dyDescent="0.25"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</row>
    <row r="1120" spans="22:31" ht="11.25" customHeight="1" x14ac:dyDescent="0.25"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</row>
    <row r="1121" spans="22:31" ht="11.25" customHeight="1" x14ac:dyDescent="0.25"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</row>
    <row r="1122" spans="22:31" ht="11.25" customHeight="1" x14ac:dyDescent="0.25"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</row>
    <row r="1123" spans="22:31" ht="11.25" customHeight="1" x14ac:dyDescent="0.25"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</row>
    <row r="1124" spans="22:31" ht="11.25" customHeight="1" x14ac:dyDescent="0.25"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</row>
    <row r="1125" spans="22:31" ht="11.25" customHeight="1" x14ac:dyDescent="0.25"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</row>
    <row r="1126" spans="22:31" ht="11.25" customHeight="1" x14ac:dyDescent="0.25"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</row>
    <row r="1127" spans="22:31" ht="11.25" customHeight="1" x14ac:dyDescent="0.25"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</row>
    <row r="1128" spans="22:31" ht="11.25" customHeight="1" x14ac:dyDescent="0.25"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</row>
    <row r="1129" spans="22:31" ht="11.25" customHeight="1" x14ac:dyDescent="0.25"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</row>
    <row r="1130" spans="22:31" ht="11.25" customHeight="1" x14ac:dyDescent="0.25"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</row>
    <row r="1131" spans="22:31" ht="11.25" customHeight="1" x14ac:dyDescent="0.25"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</row>
    <row r="1132" spans="22:31" ht="11.25" customHeight="1" x14ac:dyDescent="0.25"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</row>
    <row r="1133" spans="22:31" ht="11.25" customHeight="1" x14ac:dyDescent="0.25"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</row>
    <row r="1134" spans="22:31" ht="11.25" customHeight="1" x14ac:dyDescent="0.25"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</row>
    <row r="1135" spans="22:31" ht="11.25" customHeight="1" x14ac:dyDescent="0.25"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</row>
    <row r="1136" spans="22:31" ht="11.25" customHeight="1" x14ac:dyDescent="0.25"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</row>
    <row r="1137" spans="22:31" ht="11.25" customHeight="1" x14ac:dyDescent="0.25"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</row>
    <row r="1138" spans="22:31" ht="11.25" customHeight="1" x14ac:dyDescent="0.25"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</row>
    <row r="1139" spans="22:31" ht="11.25" customHeight="1" x14ac:dyDescent="0.25"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</row>
    <row r="1140" spans="22:31" ht="11.25" customHeight="1" x14ac:dyDescent="0.25"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</row>
    <row r="1141" spans="22:31" ht="11.25" customHeight="1" x14ac:dyDescent="0.25"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</row>
    <row r="1142" spans="22:31" ht="11.25" customHeight="1" x14ac:dyDescent="0.25"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</row>
    <row r="1143" spans="22:31" ht="11.25" customHeight="1" x14ac:dyDescent="0.25"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</row>
    <row r="1144" spans="22:31" ht="11.25" customHeight="1" x14ac:dyDescent="0.25"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</row>
    <row r="1145" spans="22:31" ht="11.25" customHeight="1" x14ac:dyDescent="0.25"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</row>
    <row r="1146" spans="22:31" ht="11.25" customHeight="1" x14ac:dyDescent="0.25"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</row>
    <row r="1147" spans="22:31" ht="11.25" customHeight="1" x14ac:dyDescent="0.25"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</row>
    <row r="1148" spans="22:31" ht="11.25" customHeight="1" x14ac:dyDescent="0.25"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</row>
    <row r="1149" spans="22:31" ht="11.25" customHeight="1" x14ac:dyDescent="0.25"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</row>
    <row r="1150" spans="22:31" ht="11.25" customHeight="1" x14ac:dyDescent="0.25"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</row>
    <row r="1151" spans="22:31" ht="11.25" customHeight="1" x14ac:dyDescent="0.25"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</row>
    <row r="1152" spans="22:31" ht="11.25" customHeight="1" x14ac:dyDescent="0.25"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</row>
    <row r="1153" spans="22:31" ht="11.25" customHeight="1" x14ac:dyDescent="0.25"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</row>
    <row r="1154" spans="22:31" ht="11.25" customHeight="1" x14ac:dyDescent="0.25"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</row>
    <row r="1155" spans="22:31" ht="11.25" customHeight="1" x14ac:dyDescent="0.25"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</row>
    <row r="1156" spans="22:31" ht="11.25" customHeight="1" x14ac:dyDescent="0.25"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</row>
    <row r="1157" spans="22:31" ht="11.25" customHeight="1" x14ac:dyDescent="0.25"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</row>
    <row r="1158" spans="22:31" ht="11.25" customHeight="1" x14ac:dyDescent="0.25"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</row>
    <row r="1159" spans="22:31" ht="11.25" customHeight="1" x14ac:dyDescent="0.25"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</row>
    <row r="1160" spans="22:31" ht="11.25" customHeight="1" x14ac:dyDescent="0.25"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</row>
    <row r="1161" spans="22:31" ht="11.25" customHeight="1" x14ac:dyDescent="0.25"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</row>
    <row r="1162" spans="22:31" ht="11.25" customHeight="1" x14ac:dyDescent="0.25"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</row>
    <row r="1163" spans="22:31" ht="11.25" customHeight="1" x14ac:dyDescent="0.25"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</row>
    <row r="1164" spans="22:31" ht="11.25" customHeight="1" x14ac:dyDescent="0.25"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</row>
    <row r="1165" spans="22:31" ht="11.25" customHeight="1" x14ac:dyDescent="0.25"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</row>
    <row r="1166" spans="22:31" ht="11.25" customHeight="1" x14ac:dyDescent="0.25"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</row>
    <row r="1167" spans="22:31" ht="11.25" customHeight="1" x14ac:dyDescent="0.25"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</row>
    <row r="1168" spans="22:31" ht="11.25" customHeight="1" x14ac:dyDescent="0.25"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</row>
    <row r="1169" spans="22:31" ht="11.25" customHeight="1" x14ac:dyDescent="0.25"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</row>
    <row r="1170" spans="22:31" ht="11.25" customHeight="1" x14ac:dyDescent="0.25"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</row>
    <row r="1171" spans="22:31" ht="11.25" customHeight="1" x14ac:dyDescent="0.25"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</row>
    <row r="1172" spans="22:31" ht="11.25" customHeight="1" x14ac:dyDescent="0.25"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</row>
    <row r="1173" spans="22:31" ht="11.25" customHeight="1" x14ac:dyDescent="0.25"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</row>
    <row r="1174" spans="22:31" ht="11.25" customHeight="1" x14ac:dyDescent="0.25"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</row>
    <row r="1175" spans="22:31" ht="11.25" customHeight="1" x14ac:dyDescent="0.25"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</row>
    <row r="1176" spans="22:31" ht="11.25" customHeight="1" x14ac:dyDescent="0.25"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</row>
    <row r="1177" spans="22:31" ht="11.25" customHeight="1" x14ac:dyDescent="0.25"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</row>
    <row r="1178" spans="22:31" ht="11.25" customHeight="1" x14ac:dyDescent="0.25"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</row>
    <row r="1179" spans="22:31" ht="11.25" customHeight="1" x14ac:dyDescent="0.25"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</row>
    <row r="1180" spans="22:31" ht="11.25" customHeight="1" x14ac:dyDescent="0.25"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</row>
    <row r="1181" spans="22:31" ht="11.25" customHeight="1" x14ac:dyDescent="0.25"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</row>
    <row r="1182" spans="22:31" ht="11.25" customHeight="1" x14ac:dyDescent="0.25"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</row>
    <row r="1183" spans="22:31" ht="11.25" customHeight="1" x14ac:dyDescent="0.25"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</row>
    <row r="1184" spans="22:31" ht="11.25" customHeight="1" x14ac:dyDescent="0.25"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</row>
    <row r="1185" spans="22:31" ht="11.25" customHeight="1" x14ac:dyDescent="0.25"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</row>
    <row r="1186" spans="22:31" ht="11.25" customHeight="1" x14ac:dyDescent="0.25"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</row>
    <row r="1187" spans="22:31" ht="11.25" customHeight="1" x14ac:dyDescent="0.25"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</row>
    <row r="1188" spans="22:31" ht="11.25" customHeight="1" x14ac:dyDescent="0.25"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</row>
    <row r="1189" spans="22:31" ht="11.25" customHeight="1" x14ac:dyDescent="0.25"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</row>
    <row r="1190" spans="22:31" ht="11.25" customHeight="1" x14ac:dyDescent="0.25"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</row>
    <row r="1191" spans="22:31" ht="11.25" customHeight="1" x14ac:dyDescent="0.25"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</row>
    <row r="1192" spans="22:31" ht="11.25" customHeight="1" x14ac:dyDescent="0.25"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</row>
    <row r="1193" spans="22:31" ht="11.25" customHeight="1" x14ac:dyDescent="0.25"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</row>
    <row r="1194" spans="22:31" ht="11.25" customHeight="1" x14ac:dyDescent="0.25"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</row>
    <row r="1195" spans="22:31" ht="11.25" customHeight="1" x14ac:dyDescent="0.25"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</row>
    <row r="1196" spans="22:31" ht="11.25" customHeight="1" x14ac:dyDescent="0.25"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</row>
    <row r="1197" spans="22:31" ht="11.25" customHeight="1" x14ac:dyDescent="0.25"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</row>
    <row r="1198" spans="22:31" ht="11.25" customHeight="1" x14ac:dyDescent="0.25"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</row>
    <row r="1199" spans="22:31" ht="11.25" customHeight="1" x14ac:dyDescent="0.25"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</row>
    <row r="1200" spans="22:31" ht="11.25" customHeight="1" x14ac:dyDescent="0.25"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</row>
    <row r="1201" spans="22:31" ht="11.25" customHeight="1" x14ac:dyDescent="0.25"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</row>
    <row r="1202" spans="22:31" ht="11.25" customHeight="1" x14ac:dyDescent="0.25"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</row>
    <row r="1203" spans="22:31" ht="11.25" customHeight="1" x14ac:dyDescent="0.25"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</row>
    <row r="1204" spans="22:31" ht="11.25" customHeight="1" x14ac:dyDescent="0.25"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</row>
    <row r="1205" spans="22:31" ht="11.25" customHeight="1" x14ac:dyDescent="0.25"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</row>
    <row r="1206" spans="22:31" ht="11.25" customHeight="1" x14ac:dyDescent="0.25"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</row>
    <row r="1207" spans="22:31" ht="11.25" customHeight="1" x14ac:dyDescent="0.25"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</row>
    <row r="1208" spans="22:31" ht="11.25" customHeight="1" x14ac:dyDescent="0.25"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</row>
    <row r="1209" spans="22:31" ht="11.25" customHeight="1" x14ac:dyDescent="0.25"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</row>
    <row r="1210" spans="22:31" ht="11.25" customHeight="1" x14ac:dyDescent="0.25"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</row>
    <row r="1211" spans="22:31" ht="11.25" customHeight="1" x14ac:dyDescent="0.25"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</row>
    <row r="1212" spans="22:31" ht="11.25" customHeight="1" x14ac:dyDescent="0.25"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</row>
    <row r="1213" spans="22:31" ht="11.25" customHeight="1" x14ac:dyDescent="0.25"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</row>
    <row r="1214" spans="22:31" ht="11.25" customHeight="1" x14ac:dyDescent="0.25"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</row>
    <row r="1215" spans="22:31" ht="11.25" customHeight="1" x14ac:dyDescent="0.25"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</row>
    <row r="1216" spans="22:31" ht="11.25" customHeight="1" x14ac:dyDescent="0.25"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</row>
    <row r="1217" spans="22:31" ht="11.25" customHeight="1" x14ac:dyDescent="0.25"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</row>
    <row r="1218" spans="22:31" ht="11.25" customHeight="1" x14ac:dyDescent="0.25"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</row>
    <row r="1219" spans="22:31" ht="11.25" customHeight="1" x14ac:dyDescent="0.25"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</row>
    <row r="1220" spans="22:31" ht="11.25" customHeight="1" x14ac:dyDescent="0.25"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</row>
    <row r="1221" spans="22:31" ht="11.25" customHeight="1" x14ac:dyDescent="0.25"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</row>
    <row r="1222" spans="22:31" ht="11.25" customHeight="1" x14ac:dyDescent="0.25"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</row>
    <row r="1223" spans="22:31" ht="11.25" customHeight="1" x14ac:dyDescent="0.25"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</row>
    <row r="1224" spans="22:31" ht="11.25" customHeight="1" x14ac:dyDescent="0.25"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</row>
    <row r="1225" spans="22:31" ht="11.25" customHeight="1" x14ac:dyDescent="0.25"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</row>
    <row r="1226" spans="22:31" ht="11.25" customHeight="1" x14ac:dyDescent="0.25"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</row>
    <row r="1227" spans="22:31" ht="11.25" customHeight="1" x14ac:dyDescent="0.25"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</row>
    <row r="1228" spans="22:31" ht="11.25" customHeight="1" x14ac:dyDescent="0.25"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</row>
    <row r="1229" spans="22:31" ht="11.25" customHeight="1" x14ac:dyDescent="0.25"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</row>
    <row r="1230" spans="22:31" ht="11.25" customHeight="1" x14ac:dyDescent="0.25"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</row>
    <row r="1231" spans="22:31" ht="11.25" customHeight="1" x14ac:dyDescent="0.25"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</row>
    <row r="1232" spans="22:31" ht="11.25" customHeight="1" x14ac:dyDescent="0.25"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</row>
    <row r="1233" spans="22:31" ht="11.25" customHeight="1" x14ac:dyDescent="0.25"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</row>
    <row r="1234" spans="22:31" ht="11.25" customHeight="1" x14ac:dyDescent="0.25"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</row>
    <row r="1235" spans="22:31" ht="11.25" customHeight="1" x14ac:dyDescent="0.25"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</row>
    <row r="1236" spans="22:31" ht="11.25" customHeight="1" x14ac:dyDescent="0.25"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</row>
    <row r="1237" spans="22:31" ht="11.25" customHeight="1" x14ac:dyDescent="0.25"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</row>
    <row r="1238" spans="22:31" ht="11.25" customHeight="1" x14ac:dyDescent="0.25"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</row>
    <row r="1239" spans="22:31" ht="11.25" customHeight="1" x14ac:dyDescent="0.25"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</row>
    <row r="1240" spans="22:31" ht="11.25" customHeight="1" x14ac:dyDescent="0.25"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</row>
    <row r="1241" spans="22:31" ht="11.25" customHeight="1" x14ac:dyDescent="0.25"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</row>
    <row r="1242" spans="22:31" ht="11.25" customHeight="1" x14ac:dyDescent="0.25"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</row>
    <row r="1243" spans="22:31" ht="11.25" customHeight="1" x14ac:dyDescent="0.25"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</row>
    <row r="1244" spans="22:31" ht="11.25" customHeight="1" x14ac:dyDescent="0.25"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</row>
    <row r="1245" spans="22:31" ht="11.25" customHeight="1" x14ac:dyDescent="0.25"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</row>
    <row r="1246" spans="22:31" ht="11.25" customHeight="1" x14ac:dyDescent="0.25"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</row>
    <row r="1247" spans="22:31" ht="11.25" customHeight="1" x14ac:dyDescent="0.25"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</row>
    <row r="1248" spans="22:31" ht="11.25" customHeight="1" x14ac:dyDescent="0.25"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</row>
    <row r="1249" spans="22:31" ht="11.25" customHeight="1" x14ac:dyDescent="0.25"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</row>
    <row r="1250" spans="22:31" ht="11.25" customHeight="1" x14ac:dyDescent="0.25"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</row>
    <row r="1251" spans="22:31" ht="11.25" customHeight="1" x14ac:dyDescent="0.25"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</row>
    <row r="1252" spans="22:31" ht="11.25" customHeight="1" x14ac:dyDescent="0.25"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</row>
    <row r="1253" spans="22:31" ht="11.25" customHeight="1" x14ac:dyDescent="0.25"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</row>
    <row r="1254" spans="22:31" ht="11.25" customHeight="1" x14ac:dyDescent="0.25"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</row>
    <row r="1255" spans="22:31" ht="11.25" customHeight="1" x14ac:dyDescent="0.25"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</row>
    <row r="1256" spans="22:31" ht="11.25" customHeight="1" x14ac:dyDescent="0.25"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</row>
    <row r="1257" spans="22:31" ht="11.25" customHeight="1" x14ac:dyDescent="0.25"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</row>
    <row r="1258" spans="22:31" ht="11.25" customHeight="1" x14ac:dyDescent="0.25"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</row>
    <row r="1259" spans="22:31" ht="11.25" customHeight="1" x14ac:dyDescent="0.25"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</row>
    <row r="1260" spans="22:31" ht="11.25" customHeight="1" x14ac:dyDescent="0.25"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</row>
    <row r="1261" spans="22:31" ht="11.25" customHeight="1" x14ac:dyDescent="0.25"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</row>
    <row r="1262" spans="22:31" ht="11.25" customHeight="1" x14ac:dyDescent="0.25"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</row>
    <row r="1263" spans="22:31" ht="11.25" customHeight="1" x14ac:dyDescent="0.25"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</row>
    <row r="1264" spans="22:31" ht="11.25" customHeight="1" x14ac:dyDescent="0.25"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</row>
    <row r="1265" spans="22:31" ht="11.25" customHeight="1" x14ac:dyDescent="0.25"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</row>
    <row r="1266" spans="22:31" ht="11.25" customHeight="1" x14ac:dyDescent="0.25"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</row>
    <row r="1267" spans="22:31" ht="11.25" customHeight="1" x14ac:dyDescent="0.25"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</row>
    <row r="1268" spans="22:31" ht="11.25" customHeight="1" x14ac:dyDescent="0.25"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</row>
    <row r="1269" spans="22:31" ht="11.25" customHeight="1" x14ac:dyDescent="0.25"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</row>
    <row r="1270" spans="22:31" ht="11.25" customHeight="1" x14ac:dyDescent="0.25"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</row>
    <row r="1271" spans="22:31" ht="11.25" customHeight="1" x14ac:dyDescent="0.25"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</row>
    <row r="1272" spans="22:31" ht="11.25" customHeight="1" x14ac:dyDescent="0.25"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</row>
    <row r="1273" spans="22:31" ht="11.25" customHeight="1" x14ac:dyDescent="0.25"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</row>
    <row r="1274" spans="22:31" ht="11.25" customHeight="1" x14ac:dyDescent="0.25"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</row>
    <row r="1275" spans="22:31" ht="11.25" customHeight="1" x14ac:dyDescent="0.25"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</row>
    <row r="1276" spans="22:31" ht="11.25" customHeight="1" x14ac:dyDescent="0.25"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</row>
    <row r="1277" spans="22:31" ht="11.25" customHeight="1" x14ac:dyDescent="0.25"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</row>
    <row r="1278" spans="22:31" ht="11.25" customHeight="1" x14ac:dyDescent="0.25"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</row>
    <row r="1279" spans="22:31" ht="11.25" customHeight="1" x14ac:dyDescent="0.25"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</row>
    <row r="1280" spans="22:31" ht="11.25" customHeight="1" x14ac:dyDescent="0.25"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</row>
    <row r="1281" spans="22:31" ht="11.25" customHeight="1" x14ac:dyDescent="0.25"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</row>
    <row r="1282" spans="22:31" ht="11.25" customHeight="1" x14ac:dyDescent="0.25"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</row>
    <row r="1283" spans="22:31" ht="11.25" customHeight="1" x14ac:dyDescent="0.25"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</row>
    <row r="1284" spans="22:31" ht="11.25" customHeight="1" x14ac:dyDescent="0.25"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</row>
    <row r="1285" spans="22:31" ht="11.25" customHeight="1" x14ac:dyDescent="0.25"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</row>
    <row r="1286" spans="22:31" ht="11.25" customHeight="1" x14ac:dyDescent="0.25"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</row>
    <row r="1287" spans="22:31" ht="11.25" customHeight="1" x14ac:dyDescent="0.25"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</row>
    <row r="1288" spans="22:31" ht="11.25" customHeight="1" x14ac:dyDescent="0.25"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</row>
    <row r="1289" spans="22:31" ht="11.25" customHeight="1" x14ac:dyDescent="0.25"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</row>
    <row r="1290" spans="22:31" ht="11.25" customHeight="1" x14ac:dyDescent="0.25"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</row>
    <row r="1291" spans="22:31" ht="11.25" customHeight="1" x14ac:dyDescent="0.25"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</row>
    <row r="1292" spans="22:31" ht="11.25" customHeight="1" x14ac:dyDescent="0.25"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</row>
    <row r="1293" spans="22:31" ht="11.25" customHeight="1" x14ac:dyDescent="0.25"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</row>
    <row r="1294" spans="22:31" ht="11.25" customHeight="1" x14ac:dyDescent="0.25"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</row>
    <row r="1295" spans="22:31" ht="11.25" customHeight="1" x14ac:dyDescent="0.25"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</row>
    <row r="1296" spans="22:31" ht="11.25" customHeight="1" x14ac:dyDescent="0.25"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</row>
    <row r="1297" spans="22:31" ht="11.25" customHeight="1" x14ac:dyDescent="0.25"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</row>
    <row r="1298" spans="22:31" ht="11.25" customHeight="1" x14ac:dyDescent="0.25"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</row>
    <row r="1299" spans="22:31" ht="11.25" customHeight="1" x14ac:dyDescent="0.25"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</row>
    <row r="1300" spans="22:31" ht="11.25" customHeight="1" x14ac:dyDescent="0.25"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</row>
    <row r="1301" spans="22:31" ht="11.25" customHeight="1" x14ac:dyDescent="0.25"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</row>
    <row r="1302" spans="22:31" ht="11.25" customHeight="1" x14ac:dyDescent="0.25"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</row>
    <row r="1303" spans="22:31" ht="11.25" customHeight="1" x14ac:dyDescent="0.25"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</row>
    <row r="1304" spans="22:31" ht="11.25" customHeight="1" x14ac:dyDescent="0.25"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</row>
    <row r="1305" spans="22:31" ht="11.25" customHeight="1" x14ac:dyDescent="0.25"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</row>
    <row r="1306" spans="22:31" ht="11.25" customHeight="1" x14ac:dyDescent="0.25"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</row>
    <row r="1307" spans="22:31" ht="11.25" customHeight="1" x14ac:dyDescent="0.25"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</row>
    <row r="1308" spans="22:31" ht="11.25" customHeight="1" x14ac:dyDescent="0.25"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</row>
    <row r="1309" spans="22:31" ht="11.25" customHeight="1" x14ac:dyDescent="0.25"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</row>
    <row r="1310" spans="22:31" ht="11.25" customHeight="1" x14ac:dyDescent="0.25"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</row>
    <row r="1311" spans="22:31" ht="11.25" customHeight="1" x14ac:dyDescent="0.25"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</row>
    <row r="1312" spans="22:31" ht="11.25" customHeight="1" x14ac:dyDescent="0.25"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</row>
    <row r="1313" spans="22:31" ht="11.25" customHeight="1" x14ac:dyDescent="0.25"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</row>
    <row r="1314" spans="22:31" ht="11.25" customHeight="1" x14ac:dyDescent="0.25"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</row>
    <row r="1315" spans="22:31" ht="11.25" customHeight="1" x14ac:dyDescent="0.25"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</row>
    <row r="1316" spans="22:31" ht="11.25" customHeight="1" x14ac:dyDescent="0.25"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</row>
    <row r="1317" spans="22:31" ht="11.25" customHeight="1" x14ac:dyDescent="0.25"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</row>
    <row r="1318" spans="22:31" ht="11.25" customHeight="1" x14ac:dyDescent="0.25"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</row>
    <row r="1319" spans="22:31" ht="11.25" customHeight="1" x14ac:dyDescent="0.25"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</row>
    <row r="1320" spans="22:31" ht="11.25" customHeight="1" x14ac:dyDescent="0.25"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</row>
    <row r="1321" spans="22:31" ht="11.25" customHeight="1" x14ac:dyDescent="0.25"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</row>
    <row r="1322" spans="22:31" ht="11.25" customHeight="1" x14ac:dyDescent="0.25"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</row>
    <row r="1323" spans="22:31" ht="11.25" customHeight="1" x14ac:dyDescent="0.25"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</row>
    <row r="1324" spans="22:31" ht="11.25" customHeight="1" x14ac:dyDescent="0.25"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</row>
    <row r="1325" spans="22:31" ht="11.25" customHeight="1" x14ac:dyDescent="0.25"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</row>
    <row r="1326" spans="22:31" ht="11.25" customHeight="1" x14ac:dyDescent="0.25"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</row>
    <row r="1327" spans="22:31" ht="11.25" customHeight="1" x14ac:dyDescent="0.25"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</row>
    <row r="1328" spans="22:31" ht="11.25" customHeight="1" x14ac:dyDescent="0.25"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</row>
    <row r="1329" spans="22:31" ht="11.25" customHeight="1" x14ac:dyDescent="0.25"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</row>
    <row r="1330" spans="22:31" ht="11.25" customHeight="1" x14ac:dyDescent="0.25"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</row>
    <row r="1331" spans="22:31" ht="11.25" customHeight="1" x14ac:dyDescent="0.25"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</row>
    <row r="1332" spans="22:31" ht="11.25" customHeight="1" x14ac:dyDescent="0.25"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</row>
    <row r="1333" spans="22:31" ht="11.25" customHeight="1" x14ac:dyDescent="0.25"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</row>
    <row r="1334" spans="22:31" ht="11.25" customHeight="1" x14ac:dyDescent="0.25"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</row>
    <row r="1335" spans="22:31" ht="11.25" customHeight="1" x14ac:dyDescent="0.25"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</row>
    <row r="1336" spans="22:31" ht="11.25" customHeight="1" x14ac:dyDescent="0.25"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</row>
    <row r="1337" spans="22:31" ht="11.25" customHeight="1" x14ac:dyDescent="0.25"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</row>
    <row r="1338" spans="22:31" ht="11.25" customHeight="1" x14ac:dyDescent="0.25"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</row>
    <row r="1339" spans="22:31" ht="11.25" customHeight="1" x14ac:dyDescent="0.25"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</row>
    <row r="1340" spans="22:31" ht="11.25" customHeight="1" x14ac:dyDescent="0.25"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</row>
    <row r="1341" spans="22:31" ht="11.25" customHeight="1" x14ac:dyDescent="0.25"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</row>
    <row r="1342" spans="22:31" ht="11.25" customHeight="1" x14ac:dyDescent="0.25"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</row>
    <row r="1343" spans="22:31" ht="11.25" customHeight="1" x14ac:dyDescent="0.25"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</row>
    <row r="1344" spans="22:31" ht="11.25" customHeight="1" x14ac:dyDescent="0.25"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</row>
    <row r="1345" spans="22:31" ht="11.25" customHeight="1" x14ac:dyDescent="0.25"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</row>
    <row r="1346" spans="22:31" ht="11.25" customHeight="1" x14ac:dyDescent="0.25"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</row>
    <row r="1347" spans="22:31" ht="11.25" customHeight="1" x14ac:dyDescent="0.25"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</row>
    <row r="1348" spans="22:31" ht="11.25" customHeight="1" x14ac:dyDescent="0.25"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</row>
    <row r="1349" spans="22:31" ht="11.25" customHeight="1" x14ac:dyDescent="0.25"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</row>
    <row r="1350" spans="22:31" ht="11.25" customHeight="1" x14ac:dyDescent="0.25"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</row>
    <row r="1351" spans="22:31" ht="11.25" customHeight="1" x14ac:dyDescent="0.25"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</row>
    <row r="1352" spans="22:31" ht="11.25" customHeight="1" x14ac:dyDescent="0.25"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</row>
    <row r="1353" spans="22:31" ht="11.25" customHeight="1" x14ac:dyDescent="0.25"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</row>
    <row r="1354" spans="22:31" ht="11.25" customHeight="1" x14ac:dyDescent="0.25"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</row>
    <row r="1355" spans="22:31" ht="11.25" customHeight="1" x14ac:dyDescent="0.25"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</row>
    <row r="1356" spans="22:31" ht="11.25" customHeight="1" x14ac:dyDescent="0.25"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</row>
    <row r="1357" spans="22:31" ht="11.25" customHeight="1" x14ac:dyDescent="0.25"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</row>
    <row r="1358" spans="22:31" ht="11.25" customHeight="1" x14ac:dyDescent="0.25"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</row>
    <row r="1359" spans="22:31" ht="11.25" customHeight="1" x14ac:dyDescent="0.25"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</row>
    <row r="1360" spans="22:31" ht="11.25" customHeight="1" x14ac:dyDescent="0.25"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</row>
    <row r="1361" spans="22:31" ht="11.25" customHeight="1" x14ac:dyDescent="0.25"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</row>
    <row r="1362" spans="22:31" ht="11.25" customHeight="1" x14ac:dyDescent="0.25"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</row>
    <row r="1363" spans="22:31" ht="11.25" customHeight="1" x14ac:dyDescent="0.25"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</row>
    <row r="1364" spans="22:31" ht="11.25" customHeight="1" x14ac:dyDescent="0.25"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</row>
    <row r="1365" spans="22:31" ht="11.25" customHeight="1" x14ac:dyDescent="0.25"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</row>
    <row r="1366" spans="22:31" ht="11.25" customHeight="1" x14ac:dyDescent="0.25"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</row>
    <row r="1367" spans="22:31" ht="11.25" customHeight="1" x14ac:dyDescent="0.25"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</row>
    <row r="1368" spans="22:31" ht="11.25" customHeight="1" x14ac:dyDescent="0.25"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</row>
    <row r="1369" spans="22:31" ht="11.25" customHeight="1" x14ac:dyDescent="0.25"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</row>
    <row r="1370" spans="22:31" ht="11.25" customHeight="1" x14ac:dyDescent="0.25"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</row>
    <row r="1371" spans="22:31" ht="11.25" customHeight="1" x14ac:dyDescent="0.25"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</row>
    <row r="1372" spans="22:31" ht="11.25" customHeight="1" x14ac:dyDescent="0.25"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</row>
    <row r="1373" spans="22:31" ht="11.25" customHeight="1" x14ac:dyDescent="0.25"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</row>
    <row r="1374" spans="22:31" ht="11.25" customHeight="1" x14ac:dyDescent="0.25"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</row>
    <row r="1375" spans="22:31" ht="11.25" customHeight="1" x14ac:dyDescent="0.25"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</row>
    <row r="1376" spans="22:31" ht="11.25" customHeight="1" x14ac:dyDescent="0.25"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</row>
    <row r="1377" spans="22:31" ht="11.25" customHeight="1" x14ac:dyDescent="0.25"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</row>
    <row r="1378" spans="22:31" ht="11.25" customHeight="1" x14ac:dyDescent="0.25"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</row>
    <row r="1379" spans="22:31" ht="11.25" customHeight="1" x14ac:dyDescent="0.25"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</row>
    <row r="1380" spans="22:31" ht="11.25" customHeight="1" x14ac:dyDescent="0.25"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</row>
    <row r="1381" spans="22:31" ht="11.25" customHeight="1" x14ac:dyDescent="0.25"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</row>
    <row r="1382" spans="22:31" ht="11.25" customHeight="1" x14ac:dyDescent="0.25"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</row>
    <row r="1383" spans="22:31" ht="11.25" customHeight="1" x14ac:dyDescent="0.25"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</row>
    <row r="1384" spans="22:31" ht="11.25" customHeight="1" x14ac:dyDescent="0.25"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</row>
    <row r="1385" spans="22:31" ht="11.25" customHeight="1" x14ac:dyDescent="0.25"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</row>
    <row r="1386" spans="22:31" ht="11.25" customHeight="1" x14ac:dyDescent="0.25"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</row>
    <row r="1387" spans="22:31" ht="11.25" customHeight="1" x14ac:dyDescent="0.25"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</row>
    <row r="1388" spans="22:31" ht="11.25" customHeight="1" x14ac:dyDescent="0.25"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</row>
    <row r="1389" spans="22:31" ht="11.25" customHeight="1" x14ac:dyDescent="0.25"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</row>
    <row r="1390" spans="22:31" ht="11.25" customHeight="1" x14ac:dyDescent="0.25"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</row>
    <row r="1391" spans="22:31" ht="11.25" customHeight="1" x14ac:dyDescent="0.25"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</row>
    <row r="1392" spans="22:31" ht="11.25" customHeight="1" x14ac:dyDescent="0.25"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</row>
    <row r="1393" spans="22:31" ht="11.25" customHeight="1" x14ac:dyDescent="0.25"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</row>
    <row r="1394" spans="22:31" ht="11.25" customHeight="1" x14ac:dyDescent="0.25"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</row>
    <row r="1395" spans="22:31" ht="11.25" customHeight="1" x14ac:dyDescent="0.25"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</row>
    <row r="1396" spans="22:31" ht="11.25" customHeight="1" x14ac:dyDescent="0.25"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</row>
    <row r="1397" spans="22:31" ht="11.25" customHeight="1" x14ac:dyDescent="0.25"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</row>
    <row r="1398" spans="22:31" ht="11.25" customHeight="1" x14ac:dyDescent="0.25"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</row>
    <row r="1399" spans="22:31" ht="11.25" customHeight="1" x14ac:dyDescent="0.25"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</row>
    <row r="1400" spans="22:31" ht="11.25" customHeight="1" x14ac:dyDescent="0.25"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</row>
    <row r="1401" spans="22:31" ht="11.25" customHeight="1" x14ac:dyDescent="0.25"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</row>
    <row r="1402" spans="22:31" ht="11.25" customHeight="1" x14ac:dyDescent="0.25"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</row>
    <row r="1403" spans="22:31" ht="11.25" customHeight="1" x14ac:dyDescent="0.25"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</row>
    <row r="1404" spans="22:31" ht="11.25" customHeight="1" x14ac:dyDescent="0.25"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</row>
    <row r="1405" spans="22:31" ht="11.25" customHeight="1" x14ac:dyDescent="0.25"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</row>
    <row r="1406" spans="22:31" ht="11.25" customHeight="1" x14ac:dyDescent="0.25"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</row>
    <row r="1407" spans="22:31" ht="11.25" customHeight="1" x14ac:dyDescent="0.25"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</row>
    <row r="1408" spans="22:31" ht="11.25" customHeight="1" x14ac:dyDescent="0.25"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</row>
    <row r="1409" spans="22:31" ht="11.25" customHeight="1" x14ac:dyDescent="0.25"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</row>
    <row r="1410" spans="22:31" ht="11.25" customHeight="1" x14ac:dyDescent="0.25"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</row>
    <row r="1411" spans="22:31" ht="11.25" customHeight="1" x14ac:dyDescent="0.25"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</row>
    <row r="1412" spans="22:31" ht="11.25" customHeight="1" x14ac:dyDescent="0.25"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</row>
    <row r="1413" spans="22:31" ht="11.25" customHeight="1" x14ac:dyDescent="0.25"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</row>
    <row r="1414" spans="22:31" ht="11.25" customHeight="1" x14ac:dyDescent="0.25"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</row>
    <row r="1415" spans="22:31" ht="11.25" customHeight="1" x14ac:dyDescent="0.25"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</row>
    <row r="1416" spans="22:31" ht="11.25" customHeight="1" x14ac:dyDescent="0.25"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</row>
    <row r="1417" spans="22:31" ht="11.25" customHeight="1" x14ac:dyDescent="0.25"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</row>
    <row r="1418" spans="22:31" ht="11.25" customHeight="1" x14ac:dyDescent="0.25"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</row>
    <row r="1419" spans="22:31" ht="11.25" customHeight="1" x14ac:dyDescent="0.25"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</row>
    <row r="1420" spans="22:31" ht="11.25" customHeight="1" x14ac:dyDescent="0.25"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</row>
    <row r="1421" spans="22:31" ht="11.25" customHeight="1" x14ac:dyDescent="0.25"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</row>
    <row r="1422" spans="22:31" ht="11.25" customHeight="1" x14ac:dyDescent="0.25"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</row>
    <row r="1423" spans="22:31" ht="11.25" customHeight="1" x14ac:dyDescent="0.25"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</row>
    <row r="1424" spans="22:31" ht="11.25" customHeight="1" x14ac:dyDescent="0.25"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</row>
    <row r="1425" spans="22:31" ht="11.25" customHeight="1" x14ac:dyDescent="0.25"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</row>
    <row r="1426" spans="22:31" ht="11.25" customHeight="1" x14ac:dyDescent="0.25"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</row>
    <row r="1427" spans="22:31" ht="11.25" customHeight="1" x14ac:dyDescent="0.25"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</row>
    <row r="1428" spans="22:31" ht="11.25" customHeight="1" x14ac:dyDescent="0.25"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22:31" ht="11.25" customHeight="1" x14ac:dyDescent="0.25"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22:31" ht="11.25" customHeight="1" x14ac:dyDescent="0.25"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22:31" ht="11.25" customHeight="1" x14ac:dyDescent="0.25"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22:31" ht="11.25" customHeight="1" x14ac:dyDescent="0.25"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22:31" ht="11.25" customHeight="1" x14ac:dyDescent="0.25"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22:31" ht="11.25" customHeight="1" x14ac:dyDescent="0.25"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22:31" ht="11.25" customHeight="1" x14ac:dyDescent="0.25"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22:31" ht="11.25" customHeight="1" x14ac:dyDescent="0.25"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22:31" ht="11.25" customHeight="1" x14ac:dyDescent="0.25"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22:31" ht="11.25" customHeight="1" x14ac:dyDescent="0.25"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22:31" ht="11.25" customHeight="1" x14ac:dyDescent="0.25"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22:31" ht="11.25" customHeight="1" x14ac:dyDescent="0.25"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22:31" ht="11.25" customHeight="1" x14ac:dyDescent="0.25"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22:31" ht="11.25" customHeight="1" x14ac:dyDescent="0.25"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22:31" ht="11.25" customHeight="1" x14ac:dyDescent="0.25"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22:31" ht="11.25" customHeight="1" x14ac:dyDescent="0.25"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</row>
    <row r="1445" spans="22:31" ht="11.25" customHeight="1" x14ac:dyDescent="0.25"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</row>
    <row r="1446" spans="22:31" ht="11.25" customHeight="1" x14ac:dyDescent="0.25"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</row>
    <row r="1447" spans="22:31" ht="11.25" customHeight="1" x14ac:dyDescent="0.25"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</row>
    <row r="1448" spans="22:31" ht="11.25" customHeight="1" x14ac:dyDescent="0.25"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</row>
    <row r="1449" spans="22:31" ht="11.25" customHeight="1" x14ac:dyDescent="0.25"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</row>
    <row r="1450" spans="22:31" ht="11.25" customHeight="1" x14ac:dyDescent="0.25"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</row>
    <row r="1451" spans="22:31" ht="11.25" customHeight="1" x14ac:dyDescent="0.25"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</row>
    <row r="1452" spans="22:31" ht="11.25" customHeight="1" x14ac:dyDescent="0.25"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22:31" ht="11.25" customHeight="1" x14ac:dyDescent="0.25"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22:31" ht="11.25" customHeight="1" x14ac:dyDescent="0.25"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22:31" ht="11.25" customHeight="1" x14ac:dyDescent="0.25"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22:31" ht="11.25" customHeight="1" x14ac:dyDescent="0.25"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22:31" ht="11.25" customHeight="1" x14ac:dyDescent="0.25"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22:31" ht="11.25" customHeight="1" x14ac:dyDescent="0.25"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22:31" ht="11.25" customHeight="1" x14ac:dyDescent="0.25"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22:31" ht="11.25" customHeight="1" x14ac:dyDescent="0.25"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22:31" ht="11.25" customHeight="1" x14ac:dyDescent="0.25"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22:31" ht="11.25" customHeight="1" x14ac:dyDescent="0.25"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22:31" ht="11.25" customHeight="1" x14ac:dyDescent="0.25"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22:31" ht="11.25" customHeight="1" x14ac:dyDescent="0.25"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22:31" ht="11.25" customHeight="1" x14ac:dyDescent="0.25"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22:31" ht="11.25" customHeight="1" x14ac:dyDescent="0.25"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22:31" ht="11.25" customHeight="1" x14ac:dyDescent="0.25"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22:31" ht="11.25" customHeight="1" x14ac:dyDescent="0.25"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22:31" ht="11.25" customHeight="1" x14ac:dyDescent="0.25"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22:31" ht="11.25" customHeight="1" x14ac:dyDescent="0.25"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22:31" ht="11.25" customHeight="1" x14ac:dyDescent="0.25"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22:31" ht="11.25" customHeight="1" x14ac:dyDescent="0.25"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22:31" ht="11.25" customHeight="1" x14ac:dyDescent="0.25"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22:31" ht="11.25" customHeight="1" x14ac:dyDescent="0.25"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22:31" ht="11.25" customHeight="1" x14ac:dyDescent="0.25"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22:31" ht="11.25" customHeight="1" x14ac:dyDescent="0.25"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22:31" ht="11.25" customHeight="1" x14ac:dyDescent="0.25"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22:31" ht="11.25" customHeight="1" x14ac:dyDescent="0.25"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22:31" ht="11.25" customHeight="1" x14ac:dyDescent="0.25"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22:31" ht="11.25" customHeight="1" x14ac:dyDescent="0.25"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22:31" ht="11.25" customHeight="1" x14ac:dyDescent="0.25"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22:31" ht="11.25" customHeight="1" x14ac:dyDescent="0.25"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22:31" ht="11.25" customHeight="1" x14ac:dyDescent="0.25"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22:31" ht="11.25" customHeight="1" x14ac:dyDescent="0.25"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22:31" ht="11.25" customHeight="1" x14ac:dyDescent="0.25"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</row>
    <row r="1486" spans="22:31" ht="11.25" customHeight="1" x14ac:dyDescent="0.25"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22:31" ht="11.25" customHeight="1" x14ac:dyDescent="0.25"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22:31" ht="11.25" customHeight="1" x14ac:dyDescent="0.25"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22:31" ht="11.25" customHeight="1" x14ac:dyDescent="0.25"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22:31" ht="11.25" customHeight="1" x14ac:dyDescent="0.25"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22:31" ht="11.25" customHeight="1" x14ac:dyDescent="0.25"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22:31" ht="11.25" customHeight="1" x14ac:dyDescent="0.25"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22:31" ht="11.25" customHeight="1" x14ac:dyDescent="0.25"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22:31" ht="11.25" customHeight="1" x14ac:dyDescent="0.25"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22:31" ht="11.25" customHeight="1" x14ac:dyDescent="0.25"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</row>
    <row r="1496" spans="22:31" ht="11.25" customHeight="1" x14ac:dyDescent="0.25"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22:31" ht="11.25" customHeight="1" x14ac:dyDescent="0.25"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</row>
    <row r="1498" spans="22:31" ht="11.25" customHeight="1" x14ac:dyDescent="0.25"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22:31" ht="11.25" customHeight="1" x14ac:dyDescent="0.25"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</row>
    <row r="1500" spans="22:31" ht="11.25" customHeight="1" x14ac:dyDescent="0.25"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</row>
    <row r="1501" spans="22:31" ht="11.25" customHeight="1" x14ac:dyDescent="0.25"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22:31" ht="11.25" customHeight="1" x14ac:dyDescent="0.25"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22:31" ht="11.25" customHeight="1" x14ac:dyDescent="0.25"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22:31" ht="11.25" customHeight="1" x14ac:dyDescent="0.25"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22:31" ht="11.25" customHeight="1" x14ac:dyDescent="0.25"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22:31" ht="11.25" customHeight="1" x14ac:dyDescent="0.25"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22:31" ht="11.25" customHeight="1" x14ac:dyDescent="0.25"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22:31" ht="11.25" customHeight="1" x14ac:dyDescent="0.25"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</row>
    <row r="1509" spans="22:31" ht="11.25" customHeight="1" x14ac:dyDescent="0.25"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</row>
    <row r="1510" spans="22:31" ht="11.25" customHeight="1" x14ac:dyDescent="0.25"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</row>
    <row r="1511" spans="22:31" ht="11.25" customHeight="1" x14ac:dyDescent="0.25"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22:31" ht="11.25" customHeight="1" x14ac:dyDescent="0.25"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22:31" ht="11.25" customHeight="1" x14ac:dyDescent="0.25"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22:31" ht="11.25" customHeight="1" x14ac:dyDescent="0.25"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</row>
    <row r="1515" spans="22:31" ht="11.25" customHeight="1" x14ac:dyDescent="0.25"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</row>
    <row r="1516" spans="22:31" ht="11.25" customHeight="1" x14ac:dyDescent="0.25"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</row>
    <row r="1517" spans="22:31" ht="11.25" customHeight="1" x14ac:dyDescent="0.25"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</row>
    <row r="1518" spans="22:31" ht="11.25" customHeight="1" x14ac:dyDescent="0.25"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</row>
    <row r="1519" spans="22:31" ht="11.25" customHeight="1" x14ac:dyDescent="0.25"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</row>
    <row r="1520" spans="22:31" ht="11.25" customHeight="1" x14ac:dyDescent="0.25"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</row>
    <row r="1521" spans="22:31" ht="11.25" customHeight="1" x14ac:dyDescent="0.25"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</row>
    <row r="1522" spans="22:31" ht="11.25" customHeight="1" x14ac:dyDescent="0.25"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</row>
    <row r="1523" spans="22:31" ht="11.25" customHeight="1" x14ac:dyDescent="0.25"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</row>
    <row r="1524" spans="22:31" ht="11.25" customHeight="1" x14ac:dyDescent="0.25"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</row>
    <row r="1525" spans="22:31" ht="11.25" customHeight="1" x14ac:dyDescent="0.25"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</row>
    <row r="1526" spans="22:31" ht="11.25" customHeight="1" x14ac:dyDescent="0.25"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</row>
    <row r="1527" spans="22:31" ht="11.25" customHeight="1" x14ac:dyDescent="0.25"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</row>
    <row r="1528" spans="22:31" ht="11.25" customHeight="1" x14ac:dyDescent="0.25"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</row>
    <row r="1529" spans="22:31" ht="11.25" customHeight="1" x14ac:dyDescent="0.25"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</row>
    <row r="1530" spans="22:31" ht="11.25" customHeight="1" x14ac:dyDescent="0.25"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</row>
    <row r="1531" spans="22:31" ht="11.25" customHeight="1" x14ac:dyDescent="0.25"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</row>
    <row r="1532" spans="22:31" ht="11.25" customHeight="1" x14ac:dyDescent="0.25"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</row>
    <row r="1533" spans="22:31" ht="11.25" customHeight="1" x14ac:dyDescent="0.25"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</row>
    <row r="1534" spans="22:31" ht="11.25" customHeight="1" x14ac:dyDescent="0.25"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</row>
    <row r="1535" spans="22:31" ht="11.25" customHeight="1" x14ac:dyDescent="0.25"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</row>
    <row r="1536" spans="22:31" ht="11.25" customHeight="1" x14ac:dyDescent="0.25"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</row>
    <row r="1537" spans="22:31" ht="11.25" customHeight="1" x14ac:dyDescent="0.25"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</row>
    <row r="1538" spans="22:31" ht="11.25" customHeight="1" x14ac:dyDescent="0.25"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</row>
    <row r="1539" spans="22:31" ht="11.25" customHeight="1" x14ac:dyDescent="0.25"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</row>
    <row r="1540" spans="22:31" ht="11.25" customHeight="1" x14ac:dyDescent="0.25"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</row>
    <row r="1541" spans="22:31" ht="11.25" customHeight="1" x14ac:dyDescent="0.25"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</row>
    <row r="1542" spans="22:31" ht="11.25" customHeight="1" x14ac:dyDescent="0.25"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</row>
    <row r="1543" spans="22:31" ht="11.25" customHeight="1" x14ac:dyDescent="0.25"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</row>
    <row r="1544" spans="22:31" ht="11.25" customHeight="1" x14ac:dyDescent="0.25"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</row>
    <row r="1545" spans="22:31" ht="11.25" customHeight="1" x14ac:dyDescent="0.25"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</row>
    <row r="1546" spans="22:31" ht="11.25" customHeight="1" x14ac:dyDescent="0.25"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</row>
    <row r="1547" spans="22:31" ht="11.25" customHeight="1" x14ac:dyDescent="0.25"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</row>
    <row r="1548" spans="22:31" ht="11.25" customHeight="1" x14ac:dyDescent="0.25"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</row>
    <row r="1549" spans="22:31" ht="11.25" customHeight="1" x14ac:dyDescent="0.25"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</row>
    <row r="1550" spans="22:31" ht="11.25" customHeight="1" x14ac:dyDescent="0.25"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</row>
    <row r="1551" spans="22:31" ht="11.25" customHeight="1" x14ac:dyDescent="0.25"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</row>
    <row r="1552" spans="22:31" ht="11.25" customHeight="1" x14ac:dyDescent="0.25"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</row>
    <row r="1553" spans="22:31" ht="11.25" customHeight="1" x14ac:dyDescent="0.25"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</row>
    <row r="1554" spans="22:31" ht="11.25" customHeight="1" x14ac:dyDescent="0.25"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</row>
    <row r="1555" spans="22:31" ht="11.25" customHeight="1" x14ac:dyDescent="0.25"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</row>
    <row r="1556" spans="22:31" ht="11.25" customHeight="1" x14ac:dyDescent="0.25"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</row>
    <row r="1557" spans="22:31" ht="11.25" customHeight="1" x14ac:dyDescent="0.25"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</row>
    <row r="1558" spans="22:31" ht="11.25" customHeight="1" x14ac:dyDescent="0.25"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</row>
    <row r="1559" spans="22:31" ht="11.25" customHeight="1" x14ac:dyDescent="0.25"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</row>
    <row r="1560" spans="22:31" ht="11.25" customHeight="1" x14ac:dyDescent="0.25"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</row>
    <row r="1561" spans="22:31" ht="11.25" customHeight="1" x14ac:dyDescent="0.25"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</row>
    <row r="1562" spans="22:31" ht="11.25" customHeight="1" x14ac:dyDescent="0.25"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</row>
    <row r="1563" spans="22:31" ht="11.25" customHeight="1" x14ac:dyDescent="0.25"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</row>
    <row r="1564" spans="22:31" ht="11.25" customHeight="1" x14ac:dyDescent="0.25"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</row>
    <row r="1565" spans="22:31" ht="11.25" customHeight="1" x14ac:dyDescent="0.25"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</row>
    <row r="1566" spans="22:31" ht="11.25" customHeight="1" x14ac:dyDescent="0.25"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</row>
    <row r="1567" spans="22:31" ht="11.25" customHeight="1" x14ac:dyDescent="0.25"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</row>
    <row r="1568" spans="22:31" ht="11.25" customHeight="1" x14ac:dyDescent="0.25"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</row>
    <row r="1569" spans="22:31" ht="11.25" customHeight="1" x14ac:dyDescent="0.25"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</row>
    <row r="1570" spans="22:31" ht="11.25" customHeight="1" x14ac:dyDescent="0.25"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</row>
    <row r="1571" spans="22:31" ht="11.25" customHeight="1" x14ac:dyDescent="0.25"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</row>
    <row r="1572" spans="22:31" ht="11.25" customHeight="1" x14ac:dyDescent="0.25"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</row>
    <row r="1573" spans="22:31" ht="11.25" customHeight="1" x14ac:dyDescent="0.25"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</row>
    <row r="1574" spans="22:31" ht="11.25" customHeight="1" x14ac:dyDescent="0.25"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</row>
    <row r="1575" spans="22:31" ht="11.25" customHeight="1" x14ac:dyDescent="0.25"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</row>
    <row r="1576" spans="22:31" ht="11.25" customHeight="1" x14ac:dyDescent="0.25"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</row>
    <row r="1577" spans="22:31" ht="11.25" customHeight="1" x14ac:dyDescent="0.25"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</row>
    <row r="1578" spans="22:31" ht="11.25" customHeight="1" x14ac:dyDescent="0.25"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</row>
    <row r="1579" spans="22:31" ht="11.25" customHeight="1" x14ac:dyDescent="0.25"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</row>
    <row r="1580" spans="22:31" ht="11.25" customHeight="1" x14ac:dyDescent="0.25"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</row>
    <row r="1581" spans="22:31" ht="11.25" customHeight="1" x14ac:dyDescent="0.25"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</row>
    <row r="1582" spans="22:31" ht="11.25" customHeight="1" x14ac:dyDescent="0.25"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</row>
    <row r="1583" spans="22:31" ht="11.25" customHeight="1" x14ac:dyDescent="0.25"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</row>
    <row r="1584" spans="22:31" ht="11.25" customHeight="1" x14ac:dyDescent="0.25"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</row>
    <row r="1585" spans="22:31" ht="11.25" customHeight="1" x14ac:dyDescent="0.25"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</row>
    <row r="1586" spans="22:31" ht="11.25" customHeight="1" x14ac:dyDescent="0.25"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</row>
    <row r="1587" spans="22:31" ht="11.25" customHeight="1" x14ac:dyDescent="0.25"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</row>
    <row r="1588" spans="22:31" ht="11.25" customHeight="1" x14ac:dyDescent="0.25"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</row>
    <row r="1589" spans="22:31" ht="11.25" customHeight="1" x14ac:dyDescent="0.25"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</row>
    <row r="1590" spans="22:31" ht="11.25" customHeight="1" x14ac:dyDescent="0.25"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</row>
    <row r="1591" spans="22:31" ht="11.25" customHeight="1" x14ac:dyDescent="0.25"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</row>
    <row r="1592" spans="22:31" ht="11.25" customHeight="1" x14ac:dyDescent="0.25"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</row>
    <row r="1593" spans="22:31" ht="11.25" customHeight="1" x14ac:dyDescent="0.25"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</row>
    <row r="1594" spans="22:31" ht="11.25" customHeight="1" x14ac:dyDescent="0.25"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</row>
    <row r="1595" spans="22:31" ht="11.25" customHeight="1" x14ac:dyDescent="0.25"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</row>
    <row r="1596" spans="22:31" ht="11.25" customHeight="1" x14ac:dyDescent="0.25"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</row>
    <row r="1597" spans="22:31" ht="11.25" customHeight="1" x14ac:dyDescent="0.25"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</row>
    <row r="1598" spans="22:31" ht="11.25" customHeight="1" x14ac:dyDescent="0.25"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</row>
    <row r="1599" spans="22:31" ht="11.25" customHeight="1" x14ac:dyDescent="0.25"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</row>
    <row r="1600" spans="22:31" ht="11.25" customHeight="1" x14ac:dyDescent="0.25"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</row>
    <row r="1601" spans="22:31" ht="11.25" customHeight="1" x14ac:dyDescent="0.25"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</row>
    <row r="1602" spans="22:31" ht="11.25" customHeight="1" x14ac:dyDescent="0.25"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</row>
    <row r="1603" spans="22:31" ht="11.25" customHeight="1" x14ac:dyDescent="0.25"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</row>
    <row r="1604" spans="22:31" ht="11.25" customHeight="1" x14ac:dyDescent="0.25"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</row>
    <row r="1605" spans="22:31" ht="11.25" customHeight="1" x14ac:dyDescent="0.25"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</row>
    <row r="1606" spans="22:31" ht="11.25" customHeight="1" x14ac:dyDescent="0.25"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</row>
    <row r="1607" spans="22:31" ht="11.25" customHeight="1" x14ac:dyDescent="0.25"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</row>
    <row r="1608" spans="22:31" ht="11.25" customHeight="1" x14ac:dyDescent="0.25"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</row>
    <row r="1609" spans="22:31" ht="11.25" customHeight="1" x14ac:dyDescent="0.25"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</row>
    <row r="1610" spans="22:31" ht="11.25" customHeight="1" x14ac:dyDescent="0.25"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</row>
    <row r="1611" spans="22:31" ht="11.25" customHeight="1" x14ac:dyDescent="0.25"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</row>
    <row r="1612" spans="22:31" ht="11.25" customHeight="1" x14ac:dyDescent="0.25"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</row>
    <row r="1613" spans="22:31" ht="11.25" customHeight="1" x14ac:dyDescent="0.25"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</row>
    <row r="1614" spans="22:31" ht="11.25" customHeight="1" x14ac:dyDescent="0.25"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</row>
    <row r="1615" spans="22:31" ht="11.25" customHeight="1" x14ac:dyDescent="0.25"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</row>
    <row r="1616" spans="22:31" ht="11.25" customHeight="1" x14ac:dyDescent="0.25"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</row>
    <row r="1617" spans="22:31" ht="11.25" customHeight="1" x14ac:dyDescent="0.25"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</row>
    <row r="1618" spans="22:31" ht="11.25" customHeight="1" x14ac:dyDescent="0.25"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</row>
    <row r="1619" spans="22:31" ht="11.25" customHeight="1" x14ac:dyDescent="0.25"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</row>
    <row r="1620" spans="22:31" ht="11.25" customHeight="1" x14ac:dyDescent="0.25"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</row>
    <row r="1621" spans="22:31" ht="11.25" customHeight="1" x14ac:dyDescent="0.25"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</row>
    <row r="1622" spans="22:31" ht="11.25" customHeight="1" x14ac:dyDescent="0.25"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</row>
    <row r="1623" spans="22:31" ht="11.25" customHeight="1" x14ac:dyDescent="0.25"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</row>
    <row r="1624" spans="22:31" ht="11.25" customHeight="1" x14ac:dyDescent="0.25"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</row>
    <row r="1625" spans="22:31" ht="11.25" customHeight="1" x14ac:dyDescent="0.25"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</row>
    <row r="1626" spans="22:31" ht="11.25" customHeight="1" x14ac:dyDescent="0.25"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</row>
    <row r="1627" spans="22:31" ht="11.25" customHeight="1" x14ac:dyDescent="0.25"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</row>
    <row r="1628" spans="22:31" ht="11.25" customHeight="1" x14ac:dyDescent="0.25"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</row>
    <row r="1629" spans="22:31" ht="11.25" customHeight="1" x14ac:dyDescent="0.25"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</row>
    <row r="1630" spans="22:31" ht="11.25" customHeight="1" x14ac:dyDescent="0.25"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</row>
    <row r="1631" spans="22:31" ht="11.25" customHeight="1" x14ac:dyDescent="0.25"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</row>
    <row r="1632" spans="22:31" ht="11.25" customHeight="1" x14ac:dyDescent="0.25"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</row>
    <row r="1633" spans="22:31" ht="11.25" customHeight="1" x14ac:dyDescent="0.25"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</row>
    <row r="1634" spans="22:31" ht="11.25" customHeight="1" x14ac:dyDescent="0.25"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</row>
    <row r="1635" spans="22:31" ht="11.25" customHeight="1" x14ac:dyDescent="0.25"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</row>
    <row r="1636" spans="22:31" ht="11.25" customHeight="1" x14ac:dyDescent="0.25"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</row>
    <row r="1637" spans="22:31" ht="11.25" customHeight="1" x14ac:dyDescent="0.25"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</row>
    <row r="1638" spans="22:31" ht="11.25" customHeight="1" x14ac:dyDescent="0.25"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</row>
    <row r="1639" spans="22:31" ht="11.25" customHeight="1" x14ac:dyDescent="0.25"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</row>
    <row r="1640" spans="22:31" ht="11.25" customHeight="1" x14ac:dyDescent="0.25"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</row>
    <row r="1641" spans="22:31" ht="11.25" customHeight="1" x14ac:dyDescent="0.25"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</row>
    <row r="1642" spans="22:31" ht="11.25" customHeight="1" x14ac:dyDescent="0.25"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</row>
    <row r="1643" spans="22:31" ht="11.25" customHeight="1" x14ac:dyDescent="0.25"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</row>
    <row r="1644" spans="22:31" ht="11.25" customHeight="1" x14ac:dyDescent="0.25"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</row>
    <row r="1645" spans="22:31" ht="11.25" customHeight="1" x14ac:dyDescent="0.25"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</row>
    <row r="1646" spans="22:31" ht="11.25" customHeight="1" x14ac:dyDescent="0.25"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</row>
    <row r="1647" spans="22:31" ht="11.25" customHeight="1" x14ac:dyDescent="0.25"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</row>
    <row r="1648" spans="22:31" ht="11.25" customHeight="1" x14ac:dyDescent="0.25"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</row>
    <row r="1649" spans="22:31" ht="11.25" customHeight="1" x14ac:dyDescent="0.25"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</row>
    <row r="1650" spans="22:31" ht="11.25" customHeight="1" x14ac:dyDescent="0.25"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</row>
    <row r="1651" spans="22:31" ht="11.25" customHeight="1" x14ac:dyDescent="0.25"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</row>
    <row r="1652" spans="22:31" ht="11.25" customHeight="1" x14ac:dyDescent="0.25"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</row>
    <row r="1653" spans="22:31" ht="11.25" customHeight="1" x14ac:dyDescent="0.25"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</row>
    <row r="1654" spans="22:31" ht="11.25" customHeight="1" x14ac:dyDescent="0.25"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</row>
    <row r="1655" spans="22:31" ht="11.25" customHeight="1" x14ac:dyDescent="0.25"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</row>
    <row r="1656" spans="22:31" ht="11.25" customHeight="1" x14ac:dyDescent="0.25"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</row>
    <row r="1657" spans="22:31" ht="11.25" customHeight="1" x14ac:dyDescent="0.25"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</row>
    <row r="1658" spans="22:31" ht="11.25" customHeight="1" x14ac:dyDescent="0.25"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</row>
    <row r="1659" spans="22:31" ht="11.25" customHeight="1" x14ac:dyDescent="0.25"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</row>
    <row r="1660" spans="22:31" ht="11.25" customHeight="1" x14ac:dyDescent="0.25"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</row>
    <row r="1661" spans="22:31" ht="11.25" customHeight="1" x14ac:dyDescent="0.25"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</row>
    <row r="1662" spans="22:31" ht="11.25" customHeight="1" x14ac:dyDescent="0.25"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</row>
    <row r="1663" spans="22:31" ht="11.25" customHeight="1" x14ac:dyDescent="0.25"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</row>
    <row r="1664" spans="22:31" ht="11.25" customHeight="1" x14ac:dyDescent="0.25"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</row>
    <row r="1665" spans="22:31" ht="11.25" customHeight="1" x14ac:dyDescent="0.25"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</row>
    <row r="1666" spans="22:31" ht="11.25" customHeight="1" x14ac:dyDescent="0.25"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</row>
    <row r="1667" spans="22:31" ht="11.25" customHeight="1" x14ac:dyDescent="0.25"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</row>
    <row r="1668" spans="22:31" ht="11.25" customHeight="1" x14ac:dyDescent="0.25"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</row>
    <row r="1669" spans="22:31" ht="11.25" customHeight="1" x14ac:dyDescent="0.25"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</row>
    <row r="1670" spans="22:31" ht="11.25" customHeight="1" x14ac:dyDescent="0.25"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</row>
    <row r="1671" spans="22:31" ht="11.25" customHeight="1" x14ac:dyDescent="0.25"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</row>
    <row r="1672" spans="22:31" ht="11.25" customHeight="1" x14ac:dyDescent="0.25"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</row>
    <row r="1673" spans="22:31" ht="11.25" customHeight="1" x14ac:dyDescent="0.25"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</row>
    <row r="1674" spans="22:31" ht="11.25" customHeight="1" x14ac:dyDescent="0.25"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</row>
    <row r="1675" spans="22:31" ht="11.25" customHeight="1" x14ac:dyDescent="0.25"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</row>
    <row r="1676" spans="22:31" ht="11.25" customHeight="1" x14ac:dyDescent="0.25"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</row>
    <row r="1677" spans="22:31" ht="11.25" customHeight="1" x14ac:dyDescent="0.25"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</row>
    <row r="1678" spans="22:31" ht="11.25" customHeight="1" x14ac:dyDescent="0.25"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</row>
    <row r="1679" spans="22:31" ht="11.25" customHeight="1" x14ac:dyDescent="0.25"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</row>
    <row r="1680" spans="22:31" ht="11.25" customHeight="1" x14ac:dyDescent="0.25"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</row>
    <row r="1681" spans="22:31" ht="11.25" customHeight="1" x14ac:dyDescent="0.25"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</row>
    <row r="1682" spans="22:31" ht="11.25" customHeight="1" x14ac:dyDescent="0.25"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</row>
    <row r="1683" spans="22:31" ht="11.25" customHeight="1" x14ac:dyDescent="0.25"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</row>
    <row r="1684" spans="22:31" ht="11.25" customHeight="1" x14ac:dyDescent="0.25"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</row>
    <row r="1685" spans="22:31" ht="11.25" customHeight="1" x14ac:dyDescent="0.25"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</row>
    <row r="1686" spans="22:31" ht="11.25" customHeight="1" x14ac:dyDescent="0.25"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</row>
    <row r="1687" spans="22:31" ht="11.25" customHeight="1" x14ac:dyDescent="0.25"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</row>
    <row r="1688" spans="22:31" ht="11.25" customHeight="1" x14ac:dyDescent="0.25"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</row>
    <row r="1689" spans="22:31" ht="11.25" customHeight="1" x14ac:dyDescent="0.25"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</row>
    <row r="1690" spans="22:31" ht="11.25" customHeight="1" x14ac:dyDescent="0.25"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</row>
    <row r="1691" spans="22:31" ht="11.25" customHeight="1" x14ac:dyDescent="0.25"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</row>
    <row r="1692" spans="22:31" ht="11.25" customHeight="1" x14ac:dyDescent="0.25"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</row>
    <row r="1693" spans="22:31" ht="11.25" customHeight="1" x14ac:dyDescent="0.25"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</row>
    <row r="1694" spans="22:31" ht="11.25" customHeight="1" x14ac:dyDescent="0.25"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</row>
    <row r="1695" spans="22:31" ht="11.25" customHeight="1" x14ac:dyDescent="0.25"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</row>
    <row r="1696" spans="22:31" ht="11.25" customHeight="1" x14ac:dyDescent="0.25"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</row>
    <row r="1697" spans="22:31" ht="11.25" customHeight="1" x14ac:dyDescent="0.25"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</row>
    <row r="1698" spans="22:31" ht="11.25" customHeight="1" x14ac:dyDescent="0.25"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</row>
    <row r="1699" spans="22:31" ht="11.25" customHeight="1" x14ac:dyDescent="0.25"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</row>
    <row r="1700" spans="22:31" ht="11.25" customHeight="1" x14ac:dyDescent="0.25"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</row>
    <row r="1701" spans="22:31" ht="11.25" customHeight="1" x14ac:dyDescent="0.25"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</row>
    <row r="1702" spans="22:31" ht="11.25" customHeight="1" x14ac:dyDescent="0.25"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</row>
    <row r="1703" spans="22:31" ht="11.25" customHeight="1" x14ac:dyDescent="0.25"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</row>
    <row r="1704" spans="22:31" ht="11.25" customHeight="1" x14ac:dyDescent="0.25"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</row>
    <row r="1705" spans="22:31" ht="11.25" customHeight="1" x14ac:dyDescent="0.25"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</row>
    <row r="1706" spans="22:31" ht="11.25" customHeight="1" x14ac:dyDescent="0.25"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</row>
    <row r="1707" spans="22:31" ht="11.25" customHeight="1" x14ac:dyDescent="0.25"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</row>
    <row r="1708" spans="22:31" ht="11.25" customHeight="1" x14ac:dyDescent="0.25"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</row>
    <row r="1709" spans="22:31" ht="11.25" customHeight="1" x14ac:dyDescent="0.25"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</row>
    <row r="1710" spans="22:31" ht="11.25" customHeight="1" x14ac:dyDescent="0.25"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</row>
    <row r="1711" spans="22:31" ht="11.25" customHeight="1" x14ac:dyDescent="0.25"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</row>
    <row r="1712" spans="22:31" ht="11.25" customHeight="1" x14ac:dyDescent="0.25"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</row>
    <row r="1713" spans="22:31" ht="11.25" customHeight="1" x14ac:dyDescent="0.25"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</row>
    <row r="1714" spans="22:31" ht="11.25" customHeight="1" x14ac:dyDescent="0.25"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</row>
    <row r="1715" spans="22:31" ht="11.25" customHeight="1" x14ac:dyDescent="0.25"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</row>
    <row r="1716" spans="22:31" ht="11.25" customHeight="1" x14ac:dyDescent="0.25"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</row>
    <row r="1717" spans="22:31" ht="11.25" customHeight="1" x14ac:dyDescent="0.25"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</row>
    <row r="1718" spans="22:31" ht="11.25" customHeight="1" x14ac:dyDescent="0.25"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</row>
    <row r="1719" spans="22:31" ht="11.25" customHeight="1" x14ac:dyDescent="0.25"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</row>
    <row r="1720" spans="22:31" ht="11.25" customHeight="1" x14ac:dyDescent="0.25"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</row>
    <row r="1721" spans="22:31" ht="11.25" customHeight="1" x14ac:dyDescent="0.25"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</row>
    <row r="1722" spans="22:31" ht="11.25" customHeight="1" x14ac:dyDescent="0.25"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</row>
    <row r="1723" spans="22:31" ht="11.25" customHeight="1" x14ac:dyDescent="0.25"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</row>
    <row r="1724" spans="22:31" ht="11.25" customHeight="1" x14ac:dyDescent="0.25"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</row>
    <row r="1725" spans="22:31" ht="11.25" customHeight="1" x14ac:dyDescent="0.25"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</row>
    <row r="1726" spans="22:31" ht="11.25" customHeight="1" x14ac:dyDescent="0.25"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</row>
    <row r="1727" spans="22:31" ht="11.25" customHeight="1" x14ac:dyDescent="0.25"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</row>
    <row r="1728" spans="22:31" ht="11.25" customHeight="1" x14ac:dyDescent="0.25"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</row>
    <row r="1729" spans="22:31" ht="11.25" customHeight="1" x14ac:dyDescent="0.25"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</row>
    <row r="1730" spans="22:31" ht="11.25" customHeight="1" x14ac:dyDescent="0.25"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</row>
    <row r="1731" spans="22:31" ht="11.25" customHeight="1" x14ac:dyDescent="0.25"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</row>
    <row r="1732" spans="22:31" ht="11.25" customHeight="1" x14ac:dyDescent="0.25"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</row>
    <row r="1733" spans="22:31" ht="11.25" customHeight="1" x14ac:dyDescent="0.25"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</row>
    <row r="1734" spans="22:31" ht="11.25" customHeight="1" x14ac:dyDescent="0.25"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</row>
    <row r="1735" spans="22:31" ht="11.25" customHeight="1" x14ac:dyDescent="0.25"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</row>
    <row r="1736" spans="22:31" ht="11.25" customHeight="1" x14ac:dyDescent="0.25"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</row>
    <row r="1737" spans="22:31" ht="11.25" customHeight="1" x14ac:dyDescent="0.25"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</row>
    <row r="1738" spans="22:31" ht="11.25" customHeight="1" x14ac:dyDescent="0.25"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</row>
    <row r="1739" spans="22:31" ht="11.25" customHeight="1" x14ac:dyDescent="0.25"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</row>
    <row r="1740" spans="22:31" ht="11.25" customHeight="1" x14ac:dyDescent="0.25"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</row>
    <row r="1741" spans="22:31" ht="11.25" customHeight="1" x14ac:dyDescent="0.25"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</row>
    <row r="1742" spans="22:31" ht="11.25" customHeight="1" x14ac:dyDescent="0.25"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</row>
    <row r="1743" spans="22:31" ht="11.25" customHeight="1" x14ac:dyDescent="0.25"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</row>
    <row r="1744" spans="22:31" ht="11.25" customHeight="1" x14ac:dyDescent="0.25"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</row>
    <row r="1745" spans="22:31" ht="11.25" customHeight="1" x14ac:dyDescent="0.25"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</row>
    <row r="1746" spans="22:31" ht="11.25" customHeight="1" x14ac:dyDescent="0.25"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</row>
    <row r="1747" spans="22:31" ht="11.25" customHeight="1" x14ac:dyDescent="0.25"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</row>
    <row r="1748" spans="22:31" ht="11.25" customHeight="1" x14ac:dyDescent="0.25"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</row>
    <row r="1749" spans="22:31" ht="11.25" customHeight="1" x14ac:dyDescent="0.25"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</row>
    <row r="1750" spans="22:31" ht="11.25" customHeight="1" x14ac:dyDescent="0.25"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</row>
    <row r="1751" spans="22:31" ht="11.25" customHeight="1" x14ac:dyDescent="0.25"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</row>
    <row r="1752" spans="22:31" ht="11.25" customHeight="1" x14ac:dyDescent="0.25"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</row>
    <row r="1753" spans="22:31" ht="11.25" customHeight="1" x14ac:dyDescent="0.25"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</row>
    <row r="1754" spans="22:31" ht="11.25" customHeight="1" x14ac:dyDescent="0.25"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</row>
    <row r="1755" spans="22:31" ht="11.25" customHeight="1" x14ac:dyDescent="0.25"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</row>
    <row r="1756" spans="22:31" ht="11.25" customHeight="1" x14ac:dyDescent="0.25"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</row>
    <row r="1757" spans="22:31" ht="11.25" customHeight="1" x14ac:dyDescent="0.25"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</row>
    <row r="1758" spans="22:31" ht="11.25" customHeight="1" x14ac:dyDescent="0.25"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</row>
    <row r="1759" spans="22:31" ht="11.25" customHeight="1" x14ac:dyDescent="0.25"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</row>
    <row r="1760" spans="22:31" ht="11.25" customHeight="1" x14ac:dyDescent="0.25"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</row>
    <row r="1761" spans="22:31" ht="11.25" customHeight="1" x14ac:dyDescent="0.25"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</row>
    <row r="1762" spans="22:31" ht="11.25" customHeight="1" x14ac:dyDescent="0.25"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</row>
    <row r="1763" spans="22:31" ht="11.25" customHeight="1" x14ac:dyDescent="0.25"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</row>
    <row r="1764" spans="22:31" ht="11.25" customHeight="1" x14ac:dyDescent="0.25"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</row>
    <row r="1765" spans="22:31" ht="11.25" customHeight="1" x14ac:dyDescent="0.25"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</row>
    <row r="1766" spans="22:31" ht="11.25" customHeight="1" x14ac:dyDescent="0.25"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</row>
    <row r="1767" spans="22:31" ht="11.25" customHeight="1" x14ac:dyDescent="0.25"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</row>
    <row r="1768" spans="22:31" ht="11.25" customHeight="1" x14ac:dyDescent="0.25"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</row>
    <row r="1769" spans="22:31" ht="11.25" customHeight="1" x14ac:dyDescent="0.25"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</row>
    <row r="1770" spans="22:31" ht="11.25" customHeight="1" x14ac:dyDescent="0.25"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</row>
    <row r="1771" spans="22:31" ht="11.25" customHeight="1" x14ac:dyDescent="0.25"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</row>
    <row r="1772" spans="22:31" ht="11.25" customHeight="1" x14ac:dyDescent="0.25"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</row>
    <row r="1773" spans="22:31" ht="11.25" customHeight="1" x14ac:dyDescent="0.25"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</row>
    <row r="1774" spans="22:31" ht="11.25" customHeight="1" x14ac:dyDescent="0.25"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</row>
    <row r="1775" spans="22:31" ht="11.25" customHeight="1" x14ac:dyDescent="0.25"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</row>
    <row r="1776" spans="22:31" ht="11.25" customHeight="1" x14ac:dyDescent="0.25"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</row>
    <row r="1777" spans="22:31" ht="11.25" customHeight="1" x14ac:dyDescent="0.25"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</row>
    <row r="1778" spans="22:31" ht="11.25" customHeight="1" x14ac:dyDescent="0.25"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</row>
    <row r="1779" spans="22:31" ht="11.25" customHeight="1" x14ac:dyDescent="0.25"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</row>
    <row r="1780" spans="22:31" ht="11.25" customHeight="1" x14ac:dyDescent="0.25"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</row>
    <row r="1781" spans="22:31" ht="11.25" customHeight="1" x14ac:dyDescent="0.25"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</row>
    <row r="1782" spans="22:31" ht="11.25" customHeight="1" x14ac:dyDescent="0.25"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</row>
    <row r="1783" spans="22:31" ht="11.25" customHeight="1" x14ac:dyDescent="0.25"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</row>
    <row r="1784" spans="22:31" ht="11.25" customHeight="1" x14ac:dyDescent="0.25"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</row>
    <row r="1785" spans="22:31" ht="11.25" customHeight="1" x14ac:dyDescent="0.25"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</row>
    <row r="1786" spans="22:31" ht="11.25" customHeight="1" x14ac:dyDescent="0.25"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</row>
    <row r="1787" spans="22:31" ht="11.25" customHeight="1" x14ac:dyDescent="0.25"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</row>
    <row r="1788" spans="22:31" ht="11.25" customHeight="1" x14ac:dyDescent="0.25"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</row>
    <row r="1789" spans="22:31" ht="11.25" customHeight="1" x14ac:dyDescent="0.25"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</row>
    <row r="1790" spans="22:31" ht="11.25" customHeight="1" x14ac:dyDescent="0.25"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</row>
    <row r="1791" spans="22:31" ht="11.25" customHeight="1" x14ac:dyDescent="0.25"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</row>
    <row r="1792" spans="22:31" ht="11.25" customHeight="1" x14ac:dyDescent="0.25"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</row>
    <row r="1793" spans="22:31" ht="11.25" customHeight="1" x14ac:dyDescent="0.25"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</row>
    <row r="1794" spans="22:31" ht="11.25" customHeight="1" x14ac:dyDescent="0.25"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</row>
    <row r="1795" spans="22:31" ht="11.25" customHeight="1" x14ac:dyDescent="0.25"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</row>
    <row r="1796" spans="22:31" ht="11.25" customHeight="1" x14ac:dyDescent="0.25"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</row>
    <row r="1797" spans="22:31" ht="11.25" customHeight="1" x14ac:dyDescent="0.25"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</row>
    <row r="1798" spans="22:31" ht="11.25" customHeight="1" x14ac:dyDescent="0.25"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</row>
    <row r="1799" spans="22:31" ht="11.25" customHeight="1" x14ac:dyDescent="0.25"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</row>
    <row r="1800" spans="22:31" ht="11.25" customHeight="1" x14ac:dyDescent="0.25"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</row>
    <row r="1801" spans="22:31" ht="11.25" customHeight="1" x14ac:dyDescent="0.25"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</row>
    <row r="1802" spans="22:31" ht="11.25" customHeight="1" x14ac:dyDescent="0.25"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</row>
    <row r="1803" spans="22:31" ht="11.25" customHeight="1" x14ac:dyDescent="0.25"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</row>
    <row r="1804" spans="22:31" ht="11.25" customHeight="1" x14ac:dyDescent="0.25"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</row>
    <row r="1805" spans="22:31" ht="11.25" customHeight="1" x14ac:dyDescent="0.25"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</row>
    <row r="1806" spans="22:31" ht="11.25" customHeight="1" x14ac:dyDescent="0.25"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</row>
    <row r="1807" spans="22:31" ht="11.25" customHeight="1" x14ac:dyDescent="0.25"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</row>
    <row r="1808" spans="22:31" ht="11.25" customHeight="1" x14ac:dyDescent="0.25"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</row>
    <row r="1809" spans="22:31" ht="11.25" customHeight="1" x14ac:dyDescent="0.25"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</row>
    <row r="1810" spans="22:31" ht="11.25" customHeight="1" x14ac:dyDescent="0.25"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</row>
    <row r="1811" spans="22:31" ht="11.25" customHeight="1" x14ac:dyDescent="0.25"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</row>
    <row r="1812" spans="22:31" ht="11.25" customHeight="1" x14ac:dyDescent="0.25"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</row>
    <row r="1813" spans="22:31" ht="11.25" customHeight="1" x14ac:dyDescent="0.25"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</row>
    <row r="1814" spans="22:31" ht="11.25" customHeight="1" x14ac:dyDescent="0.25"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</row>
    <row r="1815" spans="22:31" ht="11.25" customHeight="1" x14ac:dyDescent="0.25"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</row>
    <row r="1816" spans="22:31" ht="11.25" customHeight="1" x14ac:dyDescent="0.25"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</row>
    <row r="1817" spans="22:31" ht="11.25" customHeight="1" x14ac:dyDescent="0.25"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</row>
    <row r="1818" spans="22:31" ht="11.25" customHeight="1" x14ac:dyDescent="0.25"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</row>
    <row r="1819" spans="22:31" ht="11.25" customHeight="1" x14ac:dyDescent="0.25"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</row>
    <row r="1820" spans="22:31" ht="11.25" customHeight="1" x14ac:dyDescent="0.25"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</row>
    <row r="1821" spans="22:31" ht="11.25" customHeight="1" x14ac:dyDescent="0.25"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</row>
    <row r="1822" spans="22:31" ht="11.25" customHeight="1" x14ac:dyDescent="0.25"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</row>
    <row r="1823" spans="22:31" ht="11.25" customHeight="1" x14ac:dyDescent="0.25"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</row>
    <row r="1824" spans="22:31" ht="11.25" customHeight="1" x14ac:dyDescent="0.25"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</row>
    <row r="1825" spans="22:31" ht="11.25" customHeight="1" x14ac:dyDescent="0.25"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</row>
    <row r="1826" spans="22:31" ht="11.25" customHeight="1" x14ac:dyDescent="0.25"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</row>
    <row r="1827" spans="22:31" ht="11.25" customHeight="1" x14ac:dyDescent="0.25"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</row>
    <row r="1828" spans="22:31" ht="11.25" customHeight="1" x14ac:dyDescent="0.25"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</row>
    <row r="1829" spans="22:31" ht="11.25" customHeight="1" x14ac:dyDescent="0.25"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</row>
    <row r="1830" spans="22:31" ht="11.25" customHeight="1" x14ac:dyDescent="0.25"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</row>
    <row r="1831" spans="22:31" ht="11.25" customHeight="1" x14ac:dyDescent="0.25"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</row>
    <row r="1832" spans="22:31" ht="11.25" customHeight="1" x14ac:dyDescent="0.25"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</row>
    <row r="1833" spans="22:31" ht="11.25" customHeight="1" x14ac:dyDescent="0.25"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</row>
    <row r="1834" spans="22:31" ht="11.25" customHeight="1" x14ac:dyDescent="0.25"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</row>
    <row r="1835" spans="22:31" ht="11.25" customHeight="1" x14ac:dyDescent="0.25"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</row>
    <row r="1836" spans="22:31" ht="11.25" customHeight="1" x14ac:dyDescent="0.25"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</row>
    <row r="1837" spans="22:31" ht="11.25" customHeight="1" x14ac:dyDescent="0.25"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</row>
    <row r="1838" spans="22:31" ht="11.25" customHeight="1" x14ac:dyDescent="0.25"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</row>
    <row r="1839" spans="22:31" ht="11.25" customHeight="1" x14ac:dyDescent="0.25"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</row>
    <row r="1840" spans="22:31" ht="11.25" customHeight="1" x14ac:dyDescent="0.25"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</row>
    <row r="1841" spans="22:31" ht="11.25" customHeight="1" x14ac:dyDescent="0.25"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</row>
    <row r="1842" spans="22:31" ht="11.25" customHeight="1" x14ac:dyDescent="0.25"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</row>
    <row r="1843" spans="22:31" ht="11.25" customHeight="1" x14ac:dyDescent="0.25"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</row>
    <row r="1844" spans="22:31" ht="11.25" customHeight="1" x14ac:dyDescent="0.25"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</row>
    <row r="1845" spans="22:31" ht="11.25" customHeight="1" x14ac:dyDescent="0.25"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</row>
    <row r="1846" spans="22:31" ht="11.25" customHeight="1" x14ac:dyDescent="0.25"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</row>
    <row r="1847" spans="22:31" ht="11.25" customHeight="1" x14ac:dyDescent="0.25"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</row>
    <row r="1848" spans="22:31" ht="11.25" customHeight="1" x14ac:dyDescent="0.25"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</row>
    <row r="1849" spans="22:31" ht="11.25" customHeight="1" x14ac:dyDescent="0.25"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</row>
    <row r="1850" spans="22:31" ht="11.25" customHeight="1" x14ac:dyDescent="0.25"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</row>
    <row r="1851" spans="22:31" ht="11.25" customHeight="1" x14ac:dyDescent="0.25"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</row>
    <row r="1852" spans="22:31" ht="11.25" customHeight="1" x14ac:dyDescent="0.25"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</row>
    <row r="1853" spans="22:31" ht="11.25" customHeight="1" x14ac:dyDescent="0.25"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</row>
    <row r="1854" spans="22:31" ht="11.25" customHeight="1" x14ac:dyDescent="0.25"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</row>
    <row r="1855" spans="22:31" ht="11.25" customHeight="1" x14ac:dyDescent="0.25"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</row>
    <row r="1856" spans="22:31" ht="11.25" customHeight="1" x14ac:dyDescent="0.25"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</row>
    <row r="1857" spans="22:31" ht="11.25" customHeight="1" x14ac:dyDescent="0.25"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</row>
    <row r="1858" spans="22:31" ht="11.25" customHeight="1" x14ac:dyDescent="0.25"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</row>
    <row r="1859" spans="22:31" ht="11.25" customHeight="1" x14ac:dyDescent="0.25"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</row>
    <row r="1860" spans="22:31" ht="11.25" customHeight="1" x14ac:dyDescent="0.25"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</row>
    <row r="1861" spans="22:31" ht="11.25" customHeight="1" x14ac:dyDescent="0.25"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</row>
    <row r="1862" spans="22:31" ht="11.25" customHeight="1" x14ac:dyDescent="0.25"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</row>
    <row r="1863" spans="22:31" ht="11.25" customHeight="1" x14ac:dyDescent="0.25"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</row>
    <row r="1864" spans="22:31" ht="11.25" customHeight="1" x14ac:dyDescent="0.25"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</row>
    <row r="1865" spans="22:31" ht="11.25" customHeight="1" x14ac:dyDescent="0.25"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</row>
    <row r="1866" spans="22:31" ht="11.25" customHeight="1" x14ac:dyDescent="0.25"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</row>
    <row r="1867" spans="22:31" ht="11.25" customHeight="1" x14ac:dyDescent="0.25"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6515-E40A-46FB-A11D-69F4D4FE4F82}">
  <dimension ref="A1:J1521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1007</v>
      </c>
      <c r="B1" s="18" t="s">
        <v>1008</v>
      </c>
      <c r="C1" s="18" t="s">
        <v>1009</v>
      </c>
      <c r="D1" s="18" t="s">
        <v>1010</v>
      </c>
      <c r="E1" s="18" t="s">
        <v>1011</v>
      </c>
      <c r="F1" s="18" t="s">
        <v>1012</v>
      </c>
      <c r="G1" s="18" t="s">
        <v>1013</v>
      </c>
      <c r="H1" s="19" t="s">
        <v>1014</v>
      </c>
      <c r="I1" s="19" t="s">
        <v>1015</v>
      </c>
      <c r="J1" s="19" t="s">
        <v>1016</v>
      </c>
    </row>
    <row r="2" spans="1:10" ht="11.25" customHeight="1" x14ac:dyDescent="0.2">
      <c r="A2" s="20" t="s">
        <v>26</v>
      </c>
      <c r="B2" s="18">
        <v>69564581.856300011</v>
      </c>
      <c r="C2" s="18">
        <v>80292963.446307763</v>
      </c>
      <c r="D2" s="18">
        <v>604089498.46121573</v>
      </c>
      <c r="E2" s="18">
        <v>749847689.03085577</v>
      </c>
      <c r="F2" s="18">
        <v>499076996.80652457</v>
      </c>
      <c r="G2" s="18">
        <v>531074691.43737972</v>
      </c>
      <c r="H2" s="19">
        <v>0.23229514484034741</v>
      </c>
      <c r="I2" s="19">
        <v>6.4113743641965648E-2</v>
      </c>
      <c r="J2" s="19">
        <v>0.16072249680014905</v>
      </c>
    </row>
    <row r="3" spans="1:10" ht="11.25" customHeight="1" x14ac:dyDescent="0.2">
      <c r="A3" s="21" t="s">
        <v>39</v>
      </c>
      <c r="B3" s="18">
        <v>5931169.9957999988</v>
      </c>
      <c r="C3" s="18">
        <v>6398978.8256260119</v>
      </c>
      <c r="D3" s="18">
        <v>2958980.2345663989</v>
      </c>
      <c r="E3" s="18">
        <v>3888713.1356869871</v>
      </c>
      <c r="F3" s="18">
        <v>19026941.266514007</v>
      </c>
      <c r="G3" s="18">
        <v>20223512.407606903</v>
      </c>
      <c r="H3" s="19">
        <v>0.15720113774601563</v>
      </c>
      <c r="I3" s="19">
        <v>6.2888255360243894E-2</v>
      </c>
      <c r="J3" s="19">
        <v>9.2922032093829543E-2</v>
      </c>
    </row>
    <row r="4" spans="1:10" ht="11.25" customHeight="1" x14ac:dyDescent="0.2">
      <c r="A4" s="22" t="s">
        <v>40</v>
      </c>
      <c r="B4" s="18">
        <v>5931169.9957999988</v>
      </c>
      <c r="C4" s="18">
        <v>6398978.8256260119</v>
      </c>
      <c r="D4" s="18">
        <v>2958980.2345663989</v>
      </c>
      <c r="E4" s="18">
        <v>3888713.1356869871</v>
      </c>
      <c r="F4" s="18">
        <v>19026941.266514007</v>
      </c>
      <c r="G4" s="18">
        <v>20223512.407606903</v>
      </c>
      <c r="H4" s="19">
        <v>0.15720113774601563</v>
      </c>
      <c r="I4" s="19">
        <v>6.2888255360243894E-2</v>
      </c>
      <c r="J4" s="19">
        <v>9.2922032093829543E-2</v>
      </c>
    </row>
    <row r="5" spans="1:10" ht="11.25" customHeight="1" x14ac:dyDescent="0.2">
      <c r="A5" s="23" t="s">
        <v>38</v>
      </c>
      <c r="B5" s="18">
        <v>3708376.75</v>
      </c>
      <c r="C5" s="18">
        <v>4020841.0362717612</v>
      </c>
      <c r="D5" s="18">
        <v>1689632.6534999998</v>
      </c>
      <c r="E5" s="18">
        <v>2220527.4024461098</v>
      </c>
      <c r="F5" s="18">
        <v>10962988.8255</v>
      </c>
      <c r="G5" s="18">
        <v>11648258.061143152</v>
      </c>
      <c r="H5" s="19">
        <v>0.15623519193409452</v>
      </c>
      <c r="I5" s="19">
        <v>6.250751930433518E-2</v>
      </c>
      <c r="J5" s="19">
        <v>9.3431235030116744E-2</v>
      </c>
    </row>
    <row r="6" spans="1:10" ht="11.25" customHeight="1" x14ac:dyDescent="0.2">
      <c r="A6" s="24" t="s">
        <v>25</v>
      </c>
      <c r="B6" s="18">
        <v>3708376.75</v>
      </c>
      <c r="C6" s="18">
        <v>4020841.0362717612</v>
      </c>
      <c r="D6" s="18">
        <v>1689632.6534999998</v>
      </c>
      <c r="E6" s="18">
        <v>2220527.4024461098</v>
      </c>
      <c r="F6" s="18">
        <v>10962988.8255</v>
      </c>
      <c r="G6" s="18">
        <v>11648258.061143152</v>
      </c>
      <c r="H6" s="19">
        <v>0.15623519193409452</v>
      </c>
      <c r="I6" s="19">
        <v>6.250751930433518E-2</v>
      </c>
      <c r="J6" s="19">
        <v>9.3431235030116744E-2</v>
      </c>
    </row>
    <row r="7" spans="1:10" ht="11.25" customHeight="1" x14ac:dyDescent="0.2">
      <c r="A7" s="25" t="s">
        <v>25</v>
      </c>
      <c r="B7" s="18">
        <v>3708376.75</v>
      </c>
      <c r="C7" s="18">
        <v>4020841.0362717612</v>
      </c>
      <c r="D7" s="18">
        <v>1689632.6534999998</v>
      </c>
      <c r="E7" s="18">
        <v>2220527.4024461098</v>
      </c>
      <c r="F7" s="18">
        <v>10962988.8255</v>
      </c>
      <c r="G7" s="18">
        <v>11648258.061143152</v>
      </c>
      <c r="H7" s="19">
        <v>0.15623519193409452</v>
      </c>
      <c r="I7" s="19">
        <v>6.250751930433518E-2</v>
      </c>
      <c r="J7" s="19">
        <v>9.3431235030116744E-2</v>
      </c>
    </row>
    <row r="8" spans="1:10" ht="11.25" customHeight="1" x14ac:dyDescent="0.2">
      <c r="A8" s="26" t="s">
        <v>25</v>
      </c>
      <c r="B8" s="18">
        <v>3708376.75</v>
      </c>
      <c r="C8" s="18">
        <v>4020841.0362717612</v>
      </c>
      <c r="D8" s="18">
        <v>1689632.6534999998</v>
      </c>
      <c r="E8" s="18">
        <v>2220527.4024461098</v>
      </c>
      <c r="F8" s="18">
        <v>10962988.8255</v>
      </c>
      <c r="G8" s="18">
        <v>11648258.061143152</v>
      </c>
      <c r="H8" s="19">
        <v>0.15623519193409452</v>
      </c>
      <c r="I8" s="19">
        <v>6.250751930433518E-2</v>
      </c>
      <c r="J8" s="19">
        <v>9.3431235030116744E-2</v>
      </c>
    </row>
    <row r="9" spans="1:10" ht="11.25" customHeight="1" x14ac:dyDescent="0.2">
      <c r="A9" s="27" t="s">
        <v>35</v>
      </c>
      <c r="B9" s="18">
        <v>1530957.8699999999</v>
      </c>
      <c r="C9" s="18">
        <v>1505839.7214337513</v>
      </c>
      <c r="D9" s="18">
        <v>1567343.7779999999</v>
      </c>
      <c r="E9" s="18">
        <v>2059814.481504641</v>
      </c>
      <c r="F9" s="18">
        <v>9716569.8629999999</v>
      </c>
      <c r="G9" s="18">
        <v>10342999.070769548</v>
      </c>
      <c r="H9" s="19">
        <v>0.15084152804814055</v>
      </c>
      <c r="I9" s="19">
        <v>6.4470200554513246E-2</v>
      </c>
      <c r="J9" s="19">
        <v>8.5352534496273558E-2</v>
      </c>
    </row>
    <row r="10" spans="1:10" ht="11.25" customHeight="1" x14ac:dyDescent="0.2">
      <c r="A10" s="28">
        <v>44287</v>
      </c>
      <c r="B10" s="18">
        <v>125624.01</v>
      </c>
      <c r="C10" s="18">
        <v>123562.91961436588</v>
      </c>
      <c r="D10" s="18">
        <v>142756.93872000001</v>
      </c>
      <c r="E10" s="18">
        <v>187612.19704202417</v>
      </c>
      <c r="F10" s="18">
        <v>885005.43912000011</v>
      </c>
      <c r="G10" s="18">
        <v>942061.91727190115</v>
      </c>
      <c r="H10" s="19">
        <v>0.15945307645900342</v>
      </c>
      <c r="I10" s="19">
        <v>6.4470200554512802E-2</v>
      </c>
      <c r="J10" s="19">
        <v>8.6571722313531163E-2</v>
      </c>
    </row>
    <row r="11" spans="1:10" ht="11.25" customHeight="1" x14ac:dyDescent="0.2">
      <c r="A11" s="28">
        <v>44317</v>
      </c>
      <c r="B11" s="18">
        <v>126817.78</v>
      </c>
      <c r="C11" s="18">
        <v>124737.10364612893</v>
      </c>
      <c r="D11" s="18">
        <v>144509.88310000001</v>
      </c>
      <c r="E11" s="18">
        <v>189915.9291714257</v>
      </c>
      <c r="F11" s="18">
        <v>895872.61884999997</v>
      </c>
      <c r="G11" s="18">
        <v>953629.70625855622</v>
      </c>
      <c r="H11" s="19">
        <v>0.15967914669130789</v>
      </c>
      <c r="I11" s="19">
        <v>6.4470200554513024E-2</v>
      </c>
      <c r="J11" s="19">
        <v>8.6602495466533203E-2</v>
      </c>
    </row>
    <row r="12" spans="1:10" ht="11.25" customHeight="1" x14ac:dyDescent="0.2">
      <c r="A12" s="28">
        <v>44348</v>
      </c>
      <c r="B12" s="18">
        <v>119666.75</v>
      </c>
      <c r="C12" s="18">
        <v>117703.3993005192</v>
      </c>
      <c r="D12" s="18">
        <v>138516.85232000001</v>
      </c>
      <c r="E12" s="18">
        <v>182039.84495683224</v>
      </c>
      <c r="F12" s="18">
        <v>858719.50471999997</v>
      </c>
      <c r="G12" s="18">
        <v>914081.32340937038</v>
      </c>
      <c r="H12" s="19">
        <v>0.16096933176198092</v>
      </c>
      <c r="I12" s="19">
        <v>6.4470200554513024E-2</v>
      </c>
      <c r="J12" s="19">
        <v>8.6776963924455108E-2</v>
      </c>
    </row>
    <row r="13" spans="1:10" ht="11.25" customHeight="1" x14ac:dyDescent="0.2">
      <c r="A13" s="28">
        <v>44378</v>
      </c>
      <c r="B13" s="18">
        <v>121289.34999999999</v>
      </c>
      <c r="C13" s="18">
        <v>119299.37759611946</v>
      </c>
      <c r="D13" s="18">
        <v>142006.46064</v>
      </c>
      <c r="E13" s="18">
        <v>186625.91334413091</v>
      </c>
      <c r="F13" s="18">
        <v>880352.93544000003</v>
      </c>
      <c r="G13" s="18">
        <v>937109.46574657084</v>
      </c>
      <c r="H13" s="19">
        <v>0.16190717275990774</v>
      </c>
      <c r="I13" s="19">
        <v>6.4470200554512802E-2</v>
      </c>
      <c r="J13" s="19">
        <v>8.6902565973581591E-2</v>
      </c>
    </row>
    <row r="14" spans="1:10" ht="11.25" customHeight="1" x14ac:dyDescent="0.2">
      <c r="A14" s="28">
        <v>44409</v>
      </c>
      <c r="B14" s="18">
        <v>123723.25</v>
      </c>
      <c r="C14" s="18">
        <v>121693.34503951986</v>
      </c>
      <c r="D14" s="18">
        <v>142157.46710000001</v>
      </c>
      <c r="E14" s="18">
        <v>186824.36712145453</v>
      </c>
      <c r="F14" s="18">
        <v>881289.08285000001</v>
      </c>
      <c r="G14" s="18">
        <v>938105.96676784218</v>
      </c>
      <c r="H14" s="19">
        <v>0.16036136627741326</v>
      </c>
      <c r="I14" s="19">
        <v>6.4470200554512802E-2</v>
      </c>
      <c r="J14" s="19">
        <v>8.6694994048092555E-2</v>
      </c>
    </row>
    <row r="15" spans="1:10" ht="11.25" customHeight="1" x14ac:dyDescent="0.2">
      <c r="A15" s="28">
        <v>44440</v>
      </c>
      <c r="B15" s="18">
        <v>123688.48</v>
      </c>
      <c r="C15" s="18">
        <v>121659.14550461413</v>
      </c>
      <c r="D15" s="18">
        <v>129164.95877999999</v>
      </c>
      <c r="E15" s="18">
        <v>169749.51911155894</v>
      </c>
      <c r="F15" s="18">
        <v>800743.50212999992</v>
      </c>
      <c r="G15" s="18">
        <v>852367.59630504402</v>
      </c>
      <c r="H15" s="19">
        <v>0.15248052793823708</v>
      </c>
      <c r="I15" s="19">
        <v>6.4470200554512802E-2</v>
      </c>
      <c r="J15" s="19">
        <v>8.5591858242610952E-2</v>
      </c>
    </row>
    <row r="16" spans="1:10" ht="11.25" customHeight="1" x14ac:dyDescent="0.2">
      <c r="A16" s="28">
        <v>44470</v>
      </c>
      <c r="B16" s="18">
        <v>132218.72</v>
      </c>
      <c r="C16" s="18">
        <v>130049.43140148408</v>
      </c>
      <c r="D16" s="18">
        <v>126433.86117999999</v>
      </c>
      <c r="E16" s="18">
        <v>166160.29097549486</v>
      </c>
      <c r="F16" s="18">
        <v>783812.37252999994</v>
      </c>
      <c r="G16" s="18">
        <v>834344.91338411765</v>
      </c>
      <c r="H16" s="19">
        <v>0.14520304040902809</v>
      </c>
      <c r="I16" s="19">
        <v>6.4470200554513024E-2</v>
      </c>
      <c r="J16" s="19">
        <v>8.4501336699710272E-2</v>
      </c>
    </row>
    <row r="17" spans="1:10" ht="11.25" customHeight="1" x14ac:dyDescent="0.2">
      <c r="A17" s="28">
        <v>44501</v>
      </c>
      <c r="B17" s="18">
        <v>154309.26</v>
      </c>
      <c r="C17" s="18">
        <v>151777.53591158477</v>
      </c>
      <c r="D17" s="18">
        <v>126898.03301999999</v>
      </c>
      <c r="E17" s="18">
        <v>166770.30895072088</v>
      </c>
      <c r="F17" s="18">
        <v>786689.95316999999</v>
      </c>
      <c r="G17" s="18">
        <v>837408.01222509018</v>
      </c>
      <c r="H17" s="19">
        <v>0.13278656979799575</v>
      </c>
      <c r="I17" s="19">
        <v>6.4470200554512802E-2</v>
      </c>
      <c r="J17" s="19">
        <v>8.2459816439800715E-2</v>
      </c>
    </row>
    <row r="18" spans="1:10" ht="11.25" customHeight="1" x14ac:dyDescent="0.2">
      <c r="A18" s="28">
        <v>44531</v>
      </c>
      <c r="B18" s="18">
        <v>126470.08</v>
      </c>
      <c r="C18" s="18">
        <v>124395.10829707173</v>
      </c>
      <c r="D18" s="18">
        <v>131275.14048</v>
      </c>
      <c r="E18" s="18">
        <v>172522.73509982956</v>
      </c>
      <c r="F18" s="18">
        <v>813825.33408000006</v>
      </c>
      <c r="G18" s="18">
        <v>866292.81658448104</v>
      </c>
      <c r="H18" s="19">
        <v>0.15198195661572278</v>
      </c>
      <c r="I18" s="19">
        <v>6.4470200554512802E-2</v>
      </c>
      <c r="J18" s="19">
        <v>8.551943223095626E-2</v>
      </c>
    </row>
    <row r="19" spans="1:10" ht="11.25" customHeight="1" x14ac:dyDescent="0.2">
      <c r="A19" s="28">
        <v>44562</v>
      </c>
      <c r="B19" s="18">
        <v>125971.70999999999</v>
      </c>
      <c r="C19" s="18">
        <v>123904.91496342309</v>
      </c>
      <c r="D19" s="18">
        <v>113540.61334000001</v>
      </c>
      <c r="E19" s="18">
        <v>149215.89180331759</v>
      </c>
      <c r="F19" s="18">
        <v>703882.14589000004</v>
      </c>
      <c r="G19" s="18">
        <v>749261.56900226919</v>
      </c>
      <c r="H19" s="19">
        <v>0.14032047686762117</v>
      </c>
      <c r="I19" s="19">
        <v>6.4470200554512802E-2</v>
      </c>
      <c r="J19" s="19">
        <v>8.3727336883244519E-2</v>
      </c>
    </row>
    <row r="20" spans="1:10" ht="11.25" customHeight="1" x14ac:dyDescent="0.2">
      <c r="A20" s="28">
        <v>44593</v>
      </c>
      <c r="B20" s="18">
        <v>125589.24</v>
      </c>
      <c r="C20" s="18">
        <v>123528.72007946017</v>
      </c>
      <c r="D20" s="18">
        <v>115041.78466</v>
      </c>
      <c r="E20" s="18">
        <v>151188.74196392568</v>
      </c>
      <c r="F20" s="18">
        <v>713188.48710999999</v>
      </c>
      <c r="G20" s="18">
        <v>759167.89190715132</v>
      </c>
      <c r="H20" s="19">
        <v>0.14165437491507316</v>
      </c>
      <c r="I20" s="19">
        <v>6.4470200554512802E-2</v>
      </c>
      <c r="J20" s="19">
        <v>8.3942340445478214E-2</v>
      </c>
    </row>
    <row r="21" spans="1:10" ht="11.25" customHeight="1" x14ac:dyDescent="0.2">
      <c r="A21" s="28">
        <v>44621</v>
      </c>
      <c r="B21" s="18">
        <v>125589.24</v>
      </c>
      <c r="C21" s="18">
        <v>123528.72007946017</v>
      </c>
      <c r="D21" s="18">
        <v>115041.78466</v>
      </c>
      <c r="E21" s="18">
        <v>151188.74196392568</v>
      </c>
      <c r="F21" s="18">
        <v>713188.48710999999</v>
      </c>
      <c r="G21" s="18">
        <v>759167.89190715132</v>
      </c>
      <c r="H21" s="19">
        <v>0.14165437491507316</v>
      </c>
      <c r="I21" s="19">
        <v>6.4470200554512802E-2</v>
      </c>
      <c r="J21" s="19">
        <v>8.3942340445478214E-2</v>
      </c>
    </row>
    <row r="22" spans="1:10" ht="11.25" customHeight="1" x14ac:dyDescent="0.2">
      <c r="A22" s="27" t="s">
        <v>34</v>
      </c>
      <c r="B22" s="18">
        <v>2177418.8800000004</v>
      </c>
      <c r="C22" s="18">
        <v>2515001.3148380099</v>
      </c>
      <c r="D22" s="18">
        <v>122288.87549999998</v>
      </c>
      <c r="E22" s="18">
        <v>160712.92094146946</v>
      </c>
      <c r="F22" s="18">
        <v>1246418.9624999999</v>
      </c>
      <c r="G22" s="18">
        <v>1305258.9903736035</v>
      </c>
      <c r="H22" s="19">
        <v>0.16350185338994416</v>
      </c>
      <c r="I22" s="19">
        <v>4.7207263082379214E-2</v>
      </c>
      <c r="J22" s="19">
        <v>0.12262576685311855</v>
      </c>
    </row>
    <row r="23" spans="1:10" ht="11.25" customHeight="1" x14ac:dyDescent="0.2">
      <c r="A23" s="28">
        <v>44287</v>
      </c>
      <c r="B23" s="18">
        <v>177805.16</v>
      </c>
      <c r="C23" s="18">
        <v>205371.69733045701</v>
      </c>
      <c r="D23" s="18">
        <v>10528.675300000001</v>
      </c>
      <c r="E23" s="18">
        <v>13836.860909783265</v>
      </c>
      <c r="F23" s="18">
        <v>107312.6275</v>
      </c>
      <c r="G23" s="18">
        <v>112378.56293845386</v>
      </c>
      <c r="H23" s="19">
        <v>0.16393614504297327</v>
      </c>
      <c r="I23" s="19">
        <v>4.7207263082379214E-2</v>
      </c>
      <c r="J23" s="19">
        <v>0.12156633987198218</v>
      </c>
    </row>
    <row r="24" spans="1:10" ht="11.25" customHeight="1" x14ac:dyDescent="0.2">
      <c r="A24" s="28">
        <v>44317</v>
      </c>
      <c r="B24" s="18">
        <v>182934.7</v>
      </c>
      <c r="C24" s="18">
        <v>211296.51040294868</v>
      </c>
      <c r="D24" s="18">
        <v>11086.69276</v>
      </c>
      <c r="E24" s="18">
        <v>14570.211474716209</v>
      </c>
      <c r="F24" s="18">
        <v>113000.173</v>
      </c>
      <c r="G24" s="18">
        <v>118334.60189516535</v>
      </c>
      <c r="H24" s="19">
        <v>0.16413308174246954</v>
      </c>
      <c r="I24" s="19">
        <v>4.7207263082379214E-2</v>
      </c>
      <c r="J24" s="19">
        <v>0.12109819686703638</v>
      </c>
    </row>
    <row r="25" spans="1:10" ht="11.25" customHeight="1" x14ac:dyDescent="0.2">
      <c r="A25" s="28">
        <v>44348</v>
      </c>
      <c r="B25" s="18">
        <v>179108.8</v>
      </c>
      <c r="C25" s="18">
        <v>206877.45092899082</v>
      </c>
      <c r="D25" s="18">
        <v>11093.90062</v>
      </c>
      <c r="E25" s="18">
        <v>14579.684096241273</v>
      </c>
      <c r="F25" s="18">
        <v>113073.6385</v>
      </c>
      <c r="G25" s="18">
        <v>118411.53550035134</v>
      </c>
      <c r="H25" s="19">
        <v>0.16432171732237588</v>
      </c>
      <c r="I25" s="19">
        <v>4.7207263082379214E-2</v>
      </c>
      <c r="J25" s="19">
        <v>0.12065673013516753</v>
      </c>
    </row>
    <row r="26" spans="1:10" ht="11.25" customHeight="1" x14ac:dyDescent="0.2">
      <c r="A26" s="28">
        <v>44378</v>
      </c>
      <c r="B26" s="18">
        <v>178542</v>
      </c>
      <c r="C26" s="18">
        <v>206222.77545136743</v>
      </c>
      <c r="D26" s="18">
        <v>10835.995500000001</v>
      </c>
      <c r="E26" s="18">
        <v>14240.74333003102</v>
      </c>
      <c r="F26" s="18">
        <v>110444.96250000001</v>
      </c>
      <c r="G26" s="18">
        <v>115658.76690086101</v>
      </c>
      <c r="H26" s="19">
        <v>0.1641453813011684</v>
      </c>
      <c r="I26" s="19">
        <v>4.7207263082379214E-2</v>
      </c>
      <c r="J26" s="19">
        <v>0.12106920672252031</v>
      </c>
    </row>
    <row r="27" spans="1:10" ht="11.25" customHeight="1" x14ac:dyDescent="0.2">
      <c r="A27" s="28">
        <v>44409</v>
      </c>
      <c r="B27" s="18">
        <v>190444.79999999999</v>
      </c>
      <c r="C27" s="18">
        <v>219970.96048145861</v>
      </c>
      <c r="D27" s="18">
        <v>11289.373479999998</v>
      </c>
      <c r="E27" s="18">
        <v>14836.575936704578</v>
      </c>
      <c r="F27" s="18">
        <v>115065.97899999999</v>
      </c>
      <c r="G27" s="18">
        <v>120497.9289424845</v>
      </c>
      <c r="H27" s="19">
        <v>0.16394526701963108</v>
      </c>
      <c r="I27" s="19">
        <v>4.7207263082379214E-2</v>
      </c>
      <c r="J27" s="19">
        <v>0.12154448973340881</v>
      </c>
    </row>
    <row r="28" spans="1:10" ht="11.25" customHeight="1" x14ac:dyDescent="0.2">
      <c r="A28" s="28">
        <v>44440</v>
      </c>
      <c r="B28" s="18">
        <v>180214.06</v>
      </c>
      <c r="C28" s="18">
        <v>208154.06811035643</v>
      </c>
      <c r="D28" s="18">
        <v>10188.7225</v>
      </c>
      <c r="E28" s="18">
        <v>13390.092491586212</v>
      </c>
      <c r="F28" s="18">
        <v>103847.6875</v>
      </c>
      <c r="G28" s="18">
        <v>108750.0526043092</v>
      </c>
      <c r="H28" s="19">
        <v>0.1635552679065635</v>
      </c>
      <c r="I28" s="19">
        <v>4.7207263082379214E-2</v>
      </c>
      <c r="J28" s="19">
        <v>0.12249340912268347</v>
      </c>
    </row>
    <row r="29" spans="1:10" ht="11.25" customHeight="1" x14ac:dyDescent="0.2">
      <c r="A29" s="28">
        <v>44470</v>
      </c>
      <c r="B29" s="18">
        <v>182254.54</v>
      </c>
      <c r="C29" s="18">
        <v>210510.89982980062</v>
      </c>
      <c r="D29" s="18">
        <v>10110.11738</v>
      </c>
      <c r="E29" s="18">
        <v>13286.789076745712</v>
      </c>
      <c r="F29" s="18">
        <v>103046.51149999999</v>
      </c>
      <c r="G29" s="18">
        <v>107911.05527810191</v>
      </c>
      <c r="H29" s="19">
        <v>0.16340336085985396</v>
      </c>
      <c r="I29" s="19">
        <v>4.7207263082379214E-2</v>
      </c>
      <c r="J29" s="19">
        <v>0.12287137091757283</v>
      </c>
    </row>
    <row r="30" spans="1:10" ht="11.25" customHeight="1" x14ac:dyDescent="0.2">
      <c r="A30" s="28">
        <v>44501</v>
      </c>
      <c r="B30" s="18">
        <v>184720.12</v>
      </c>
      <c r="C30" s="18">
        <v>213358.73815746236</v>
      </c>
      <c r="D30" s="18">
        <v>9430.3193599999995</v>
      </c>
      <c r="E30" s="18">
        <v>12393.393622762431</v>
      </c>
      <c r="F30" s="18">
        <v>96117.728000000003</v>
      </c>
      <c r="G30" s="18">
        <v>100655.18287257657</v>
      </c>
      <c r="H30" s="19">
        <v>0.1627691007262051</v>
      </c>
      <c r="I30" s="19">
        <v>4.7207263082379214E-2</v>
      </c>
      <c r="J30" s="19">
        <v>0.12450261984112254</v>
      </c>
    </row>
    <row r="31" spans="1:10" ht="11.25" customHeight="1" x14ac:dyDescent="0.2">
      <c r="A31" s="28">
        <v>44531</v>
      </c>
      <c r="B31" s="18">
        <v>185541.98</v>
      </c>
      <c r="C31" s="18">
        <v>214308.01760001629</v>
      </c>
      <c r="D31" s="18">
        <v>9920.4179799999984</v>
      </c>
      <c r="E31" s="18">
        <v>13037.484758996512</v>
      </c>
      <c r="F31" s="18">
        <v>101113.01649999998</v>
      </c>
      <c r="G31" s="18">
        <v>105886.28527096844</v>
      </c>
      <c r="H31" s="19">
        <v>0.16311630629987017</v>
      </c>
      <c r="I31" s="19">
        <v>4.7207263082379214E-2</v>
      </c>
      <c r="J31" s="19">
        <v>0.12359882633647379</v>
      </c>
    </row>
    <row r="32" spans="1:10" ht="11.25" customHeight="1" x14ac:dyDescent="0.2">
      <c r="A32" s="28">
        <v>44562</v>
      </c>
      <c r="B32" s="18">
        <v>182736.32</v>
      </c>
      <c r="C32" s="18">
        <v>211067.37398578052</v>
      </c>
      <c r="D32" s="18">
        <v>9474.1044199999997</v>
      </c>
      <c r="E32" s="18">
        <v>12450.936263966925</v>
      </c>
      <c r="F32" s="18">
        <v>96564.003500000006</v>
      </c>
      <c r="G32" s="18">
        <v>101122.52581751229</v>
      </c>
      <c r="H32" s="19">
        <v>0.16288339159657861</v>
      </c>
      <c r="I32" s="19">
        <v>4.7207263082379214E-2</v>
      </c>
      <c r="J32" s="19">
        <v>0.12420216154733721</v>
      </c>
    </row>
    <row r="33" spans="1:10" ht="11.25" customHeight="1" x14ac:dyDescent="0.2">
      <c r="A33" s="28">
        <v>44593</v>
      </c>
      <c r="B33" s="18">
        <v>176558.2</v>
      </c>
      <c r="C33" s="18">
        <v>203931.41127968556</v>
      </c>
      <c r="D33" s="18">
        <v>9165.2780999999995</v>
      </c>
      <c r="E33" s="18">
        <v>12045.074489967663</v>
      </c>
      <c r="F33" s="18">
        <v>93416.317500000005</v>
      </c>
      <c r="G33" s="18">
        <v>97826.246176409564</v>
      </c>
      <c r="H33" s="19">
        <v>0.16289274775138529</v>
      </c>
      <c r="I33" s="19">
        <v>4.7207263082379214E-2</v>
      </c>
      <c r="J33" s="19">
        <v>0.12417769480541518</v>
      </c>
    </row>
    <row r="34" spans="1:10" ht="11.25" customHeight="1" x14ac:dyDescent="0.2">
      <c r="A34" s="28">
        <v>44621</v>
      </c>
      <c r="B34" s="18">
        <v>176558.2</v>
      </c>
      <c r="C34" s="18">
        <v>203931.41127968556</v>
      </c>
      <c r="D34" s="18">
        <v>9165.2780999999995</v>
      </c>
      <c r="E34" s="18">
        <v>12045.074489967663</v>
      </c>
      <c r="F34" s="18">
        <v>93416.317500000005</v>
      </c>
      <c r="G34" s="18">
        <v>97826.246176409564</v>
      </c>
      <c r="H34" s="19">
        <v>0.16289274775138529</v>
      </c>
      <c r="I34" s="19">
        <v>4.7207263082379214E-2</v>
      </c>
      <c r="J34" s="19">
        <v>0.12417769480541518</v>
      </c>
    </row>
    <row r="35" spans="1:10" ht="11.25" customHeight="1" x14ac:dyDescent="0.2">
      <c r="A35" s="23" t="s">
        <v>46</v>
      </c>
      <c r="B35" s="18">
        <v>1122727.5</v>
      </c>
      <c r="C35" s="18">
        <v>1233306.743290965</v>
      </c>
      <c r="D35" s="18">
        <v>161405.86000000002</v>
      </c>
      <c r="E35" s="18">
        <v>212120.74370305164</v>
      </c>
      <c r="F35" s="18">
        <v>1067272.2549999999</v>
      </c>
      <c r="G35" s="18">
        <v>1133142.3908288737</v>
      </c>
      <c r="H35" s="19">
        <v>0.12560543321919204</v>
      </c>
      <c r="I35" s="19">
        <v>6.1718212499465519E-2</v>
      </c>
      <c r="J35" s="19">
        <v>9.6607859304992827E-2</v>
      </c>
    </row>
    <row r="36" spans="1:10" ht="11.25" customHeight="1" x14ac:dyDescent="0.2">
      <c r="A36" s="24" t="s">
        <v>25</v>
      </c>
      <c r="B36" s="18">
        <v>1122727.5</v>
      </c>
      <c r="C36" s="18">
        <v>1233306.743290965</v>
      </c>
      <c r="D36" s="18">
        <v>161405.86000000002</v>
      </c>
      <c r="E36" s="18">
        <v>212120.74370305164</v>
      </c>
      <c r="F36" s="18">
        <v>1067272.2549999999</v>
      </c>
      <c r="G36" s="18">
        <v>1133142.3908288737</v>
      </c>
      <c r="H36" s="19">
        <v>0.12560543321919204</v>
      </c>
      <c r="I36" s="19">
        <v>6.1718212499465519E-2</v>
      </c>
      <c r="J36" s="19">
        <v>9.6607859304992827E-2</v>
      </c>
    </row>
    <row r="37" spans="1:10" ht="11.25" customHeight="1" x14ac:dyDescent="0.2">
      <c r="A37" s="25" t="s">
        <v>25</v>
      </c>
      <c r="B37" s="18">
        <v>1122727.5</v>
      </c>
      <c r="C37" s="18">
        <v>1233306.743290965</v>
      </c>
      <c r="D37" s="18">
        <v>161405.86000000002</v>
      </c>
      <c r="E37" s="18">
        <v>212120.74370305164</v>
      </c>
      <c r="F37" s="18">
        <v>1067272.2549999999</v>
      </c>
      <c r="G37" s="18">
        <v>1133142.3908288737</v>
      </c>
      <c r="H37" s="19">
        <v>0.12560543321919204</v>
      </c>
      <c r="I37" s="19">
        <v>6.1718212499465519E-2</v>
      </c>
      <c r="J37" s="19">
        <v>9.6607859304992827E-2</v>
      </c>
    </row>
    <row r="38" spans="1:10" ht="11.25" customHeight="1" x14ac:dyDescent="0.2">
      <c r="A38" s="26" t="s">
        <v>25</v>
      </c>
      <c r="B38" s="18">
        <v>1122727.5</v>
      </c>
      <c r="C38" s="18">
        <v>1233306.743290965</v>
      </c>
      <c r="D38" s="18">
        <v>161405.86000000002</v>
      </c>
      <c r="E38" s="18">
        <v>212120.74370305164</v>
      </c>
      <c r="F38" s="18">
        <v>1067272.2549999999</v>
      </c>
      <c r="G38" s="18">
        <v>1133142.3908288737</v>
      </c>
      <c r="H38" s="19">
        <v>0.12560543321919204</v>
      </c>
      <c r="I38" s="19">
        <v>6.1718212499465519E-2</v>
      </c>
      <c r="J38" s="19">
        <v>9.6607859304992827E-2</v>
      </c>
    </row>
    <row r="39" spans="1:10" ht="11.25" customHeight="1" x14ac:dyDescent="0.2">
      <c r="A39" s="27" t="s">
        <v>35</v>
      </c>
      <c r="B39" s="18">
        <v>370300.5</v>
      </c>
      <c r="C39" s="18">
        <v>364225.04674591654</v>
      </c>
      <c r="D39" s="18">
        <v>144713.03</v>
      </c>
      <c r="E39" s="18">
        <v>190182.90629052761</v>
      </c>
      <c r="F39" s="18">
        <v>897132.005</v>
      </c>
      <c r="G39" s="18">
        <v>954970.28528622235</v>
      </c>
      <c r="H39" s="19">
        <v>7.6492015727128715E-2</v>
      </c>
      <c r="I39" s="19">
        <v>6.4470200554513024E-2</v>
      </c>
      <c r="J39" s="19">
        <v>6.8854591055068637E-2</v>
      </c>
    </row>
    <row r="40" spans="1:10" ht="11.25" customHeight="1" x14ac:dyDescent="0.2">
      <c r="A40" s="28">
        <v>44287</v>
      </c>
      <c r="B40" s="18">
        <v>41144.5</v>
      </c>
      <c r="C40" s="18">
        <v>40469.449638435173</v>
      </c>
      <c r="D40" s="18">
        <v>16065.279999999999</v>
      </c>
      <c r="E40" s="18">
        <v>21113.106682729864</v>
      </c>
      <c r="F40" s="18">
        <v>99594.880000000005</v>
      </c>
      <c r="G40" s="18">
        <v>106015.78188780264</v>
      </c>
      <c r="H40" s="19">
        <v>7.643406985947232E-2</v>
      </c>
      <c r="I40" s="19">
        <v>6.4470200554512802E-2</v>
      </c>
      <c r="J40" s="19">
        <v>6.8835187735923675E-2</v>
      </c>
    </row>
    <row r="41" spans="1:10" ht="11.25" customHeight="1" x14ac:dyDescent="0.2">
      <c r="A41" s="28">
        <v>44317</v>
      </c>
      <c r="B41" s="18">
        <v>41144.5</v>
      </c>
      <c r="C41" s="18">
        <v>40469.449638435173</v>
      </c>
      <c r="D41" s="18">
        <v>15186.71</v>
      </c>
      <c r="E41" s="18">
        <v>19958.483661018076</v>
      </c>
      <c r="F41" s="18">
        <v>94148.285000000003</v>
      </c>
      <c r="G41" s="18">
        <v>100218.04381581343</v>
      </c>
      <c r="H41" s="19">
        <v>7.2725640004062564E-2</v>
      </c>
      <c r="I41" s="19">
        <v>6.4470200554512802E-2</v>
      </c>
      <c r="J41" s="19">
        <v>6.7560581029771916E-2</v>
      </c>
    </row>
    <row r="42" spans="1:10" ht="11.25" customHeight="1" x14ac:dyDescent="0.2">
      <c r="A42" s="28">
        <v>44348</v>
      </c>
      <c r="B42" s="18">
        <v>41144.5</v>
      </c>
      <c r="C42" s="18">
        <v>40469.449638435173</v>
      </c>
      <c r="D42" s="18">
        <v>14433.65</v>
      </c>
      <c r="E42" s="18">
        <v>18968.806785265115</v>
      </c>
      <c r="F42" s="18">
        <v>89479.774999999994</v>
      </c>
      <c r="G42" s="18">
        <v>95248.554039822688</v>
      </c>
      <c r="H42" s="19">
        <v>6.9453668819496217E-2</v>
      </c>
      <c r="I42" s="19">
        <v>6.4470200554513024E-2</v>
      </c>
      <c r="J42" s="19">
        <v>6.6379589143598983E-2</v>
      </c>
    </row>
    <row r="43" spans="1:10" ht="11.25" customHeight="1" x14ac:dyDescent="0.2">
      <c r="A43" s="28">
        <v>44378</v>
      </c>
      <c r="B43" s="18">
        <v>41144.5</v>
      </c>
      <c r="C43" s="18">
        <v>40469.449638435173</v>
      </c>
      <c r="D43" s="18">
        <v>14182.63</v>
      </c>
      <c r="E43" s="18">
        <v>18638.91449334746</v>
      </c>
      <c r="F43" s="18">
        <v>87923.604999999996</v>
      </c>
      <c r="G43" s="18">
        <v>93592.057447825777</v>
      </c>
      <c r="H43" s="19">
        <v>6.8343218449658183E-2</v>
      </c>
      <c r="I43" s="19">
        <v>6.4470200554513024E-2</v>
      </c>
      <c r="J43" s="19">
        <v>6.596605999688876E-2</v>
      </c>
    </row>
    <row r="44" spans="1:10" ht="11.25" customHeight="1" x14ac:dyDescent="0.2">
      <c r="A44" s="28">
        <v>44409</v>
      </c>
      <c r="B44" s="18">
        <v>41144.5</v>
      </c>
      <c r="C44" s="18">
        <v>40469.449638435173</v>
      </c>
      <c r="D44" s="18">
        <v>14433.65</v>
      </c>
      <c r="E44" s="18">
        <v>18968.806785265115</v>
      </c>
      <c r="F44" s="18">
        <v>89479.774999999994</v>
      </c>
      <c r="G44" s="18">
        <v>95248.554039822688</v>
      </c>
      <c r="H44" s="19">
        <v>6.9453668819496217E-2</v>
      </c>
      <c r="I44" s="19">
        <v>6.4470200554513024E-2</v>
      </c>
      <c r="J44" s="19">
        <v>6.6379589143598983E-2</v>
      </c>
    </row>
    <row r="45" spans="1:10" ht="11.25" customHeight="1" x14ac:dyDescent="0.2">
      <c r="A45" s="28">
        <v>44440</v>
      </c>
      <c r="B45" s="18">
        <v>41144.5</v>
      </c>
      <c r="C45" s="18">
        <v>40469.449638435173</v>
      </c>
      <c r="D45" s="18">
        <v>14684.67</v>
      </c>
      <c r="E45" s="18">
        <v>19298.699077182766</v>
      </c>
      <c r="F45" s="18">
        <v>91035.945000000007</v>
      </c>
      <c r="G45" s="18">
        <v>96905.050631819598</v>
      </c>
      <c r="H45" s="19">
        <v>7.0554133540189357E-2</v>
      </c>
      <c r="I45" s="19">
        <v>6.4470200554512802E-2</v>
      </c>
      <c r="J45" s="19">
        <v>6.6782941254889261E-2</v>
      </c>
    </row>
    <row r="46" spans="1:10" ht="11.25" customHeight="1" x14ac:dyDescent="0.2">
      <c r="A46" s="28">
        <v>44470</v>
      </c>
      <c r="B46" s="18">
        <v>41144.5</v>
      </c>
      <c r="C46" s="18">
        <v>40469.449638435173</v>
      </c>
      <c r="D46" s="18">
        <v>18324.46</v>
      </c>
      <c r="E46" s="18">
        <v>24082.137309988753</v>
      </c>
      <c r="F46" s="18">
        <v>113600.41</v>
      </c>
      <c r="G46" s="18">
        <v>120924.25121577489</v>
      </c>
      <c r="H46" s="19">
        <v>8.5466888077812664E-2</v>
      </c>
      <c r="I46" s="19">
        <v>6.4470200554512802E-2</v>
      </c>
      <c r="J46" s="19">
        <v>7.1684944390788541E-2</v>
      </c>
    </row>
    <row r="47" spans="1:10" ht="11.25" customHeight="1" x14ac:dyDescent="0.2">
      <c r="A47" s="28">
        <v>44501</v>
      </c>
      <c r="B47" s="18">
        <v>41144.5</v>
      </c>
      <c r="C47" s="18">
        <v>40469.449638435173</v>
      </c>
      <c r="D47" s="18">
        <v>19454.05</v>
      </c>
      <c r="E47" s="18">
        <v>25566.652623618196</v>
      </c>
      <c r="F47" s="18">
        <v>120603.175</v>
      </c>
      <c r="G47" s="18">
        <v>128378.48587976101</v>
      </c>
      <c r="H47" s="19">
        <v>8.9730732204869046E-2</v>
      </c>
      <c r="I47" s="19">
        <v>6.4470200554512802E-2</v>
      </c>
      <c r="J47" s="19">
        <v>7.2917976591085898E-2</v>
      </c>
    </row>
    <row r="48" spans="1:10" ht="11.25" customHeight="1" x14ac:dyDescent="0.2">
      <c r="A48" s="28">
        <v>44531</v>
      </c>
      <c r="B48" s="18">
        <v>41144.5</v>
      </c>
      <c r="C48" s="18">
        <v>40469.449638435173</v>
      </c>
      <c r="D48" s="18">
        <v>17947.93</v>
      </c>
      <c r="E48" s="18">
        <v>23587.298872112271</v>
      </c>
      <c r="F48" s="18">
        <v>111266.155</v>
      </c>
      <c r="G48" s="18">
        <v>118439.50632777951</v>
      </c>
      <c r="H48" s="19">
        <v>8.4009381752407908E-2</v>
      </c>
      <c r="I48" s="19">
        <v>6.4470200554512802E-2</v>
      </c>
      <c r="J48" s="19">
        <v>7.1247773267939296E-2</v>
      </c>
    </row>
    <row r="49" spans="1:10" ht="11.25" customHeight="1" x14ac:dyDescent="0.2">
      <c r="A49" s="27" t="s">
        <v>34</v>
      </c>
      <c r="B49" s="18">
        <v>752427</v>
      </c>
      <c r="C49" s="18">
        <v>869081.6965450485</v>
      </c>
      <c r="D49" s="18">
        <v>16692.829999999998</v>
      </c>
      <c r="E49" s="18">
        <v>21937.837412524001</v>
      </c>
      <c r="F49" s="18">
        <v>170140.25</v>
      </c>
      <c r="G49" s="18">
        <v>178172.10554265176</v>
      </c>
      <c r="H49" s="19">
        <v>0.15849247308780545</v>
      </c>
      <c r="I49" s="19">
        <v>4.7207263082379214E-2</v>
      </c>
      <c r="J49" s="19">
        <v>0.13833395272183213</v>
      </c>
    </row>
    <row r="50" spans="1:10" ht="11.25" customHeight="1" x14ac:dyDescent="0.2">
      <c r="A50" s="28">
        <v>44287</v>
      </c>
      <c r="B50" s="18">
        <v>83603</v>
      </c>
      <c r="C50" s="18">
        <v>96564.632949449835</v>
      </c>
      <c r="D50" s="18">
        <v>1757.1399999999999</v>
      </c>
      <c r="E50" s="18">
        <v>2309.2460434235791</v>
      </c>
      <c r="F50" s="18">
        <v>17909.5</v>
      </c>
      <c r="G50" s="18">
        <v>18754.95847817387</v>
      </c>
      <c r="H50" s="19">
        <v>0.15831439583947993</v>
      </c>
      <c r="I50" s="19">
        <v>4.7207263082379214E-2</v>
      </c>
      <c r="J50" s="19">
        <v>0.1390456814901968</v>
      </c>
    </row>
    <row r="51" spans="1:10" ht="11.25" customHeight="1" x14ac:dyDescent="0.2">
      <c r="A51" s="28">
        <v>44317</v>
      </c>
      <c r="B51" s="18">
        <v>83603</v>
      </c>
      <c r="C51" s="18">
        <v>96564.632949449835</v>
      </c>
      <c r="D51" s="18">
        <v>1882.6499999999999</v>
      </c>
      <c r="E51" s="18">
        <v>2474.192189382406</v>
      </c>
      <c r="F51" s="18">
        <v>19188.75</v>
      </c>
      <c r="G51" s="18">
        <v>20094.598369472002</v>
      </c>
      <c r="H51" s="19">
        <v>0.15854327760076981</v>
      </c>
      <c r="I51" s="19">
        <v>4.7207263082378992E-2</v>
      </c>
      <c r="J51" s="19">
        <v>0.13813333067401623</v>
      </c>
    </row>
    <row r="52" spans="1:10" ht="11.25" customHeight="1" x14ac:dyDescent="0.2">
      <c r="A52" s="28">
        <v>44348</v>
      </c>
      <c r="B52" s="18">
        <v>83603</v>
      </c>
      <c r="C52" s="18">
        <v>96564.632949449835</v>
      </c>
      <c r="D52" s="18">
        <v>1882.6499999999999</v>
      </c>
      <c r="E52" s="18">
        <v>2474.192189382406</v>
      </c>
      <c r="F52" s="18">
        <v>19188.75</v>
      </c>
      <c r="G52" s="18">
        <v>20094.598369472002</v>
      </c>
      <c r="H52" s="19">
        <v>0.15854327760076981</v>
      </c>
      <c r="I52" s="19">
        <v>4.7207263082378992E-2</v>
      </c>
      <c r="J52" s="19">
        <v>0.13813333067401623</v>
      </c>
    </row>
    <row r="53" spans="1:10" ht="11.25" customHeight="1" x14ac:dyDescent="0.2">
      <c r="A53" s="28">
        <v>44378</v>
      </c>
      <c r="B53" s="18">
        <v>83603</v>
      </c>
      <c r="C53" s="18">
        <v>96564.632949449835</v>
      </c>
      <c r="D53" s="18">
        <v>1757.1399999999999</v>
      </c>
      <c r="E53" s="18">
        <v>2309.2460434235791</v>
      </c>
      <c r="F53" s="18">
        <v>17909.5</v>
      </c>
      <c r="G53" s="18">
        <v>18754.95847817387</v>
      </c>
      <c r="H53" s="19">
        <v>0.15831439583947993</v>
      </c>
      <c r="I53" s="19">
        <v>4.7207263082379214E-2</v>
      </c>
      <c r="J53" s="19">
        <v>0.1390456814901968</v>
      </c>
    </row>
    <row r="54" spans="1:10" ht="11.25" customHeight="1" x14ac:dyDescent="0.2">
      <c r="A54" s="28">
        <v>44409</v>
      </c>
      <c r="B54" s="18">
        <v>83603</v>
      </c>
      <c r="C54" s="18">
        <v>96564.632949449835</v>
      </c>
      <c r="D54" s="18">
        <v>1631.6299999999999</v>
      </c>
      <c r="E54" s="18">
        <v>2144.2998974647521</v>
      </c>
      <c r="F54" s="18">
        <v>16630.25</v>
      </c>
      <c r="G54" s="18">
        <v>17415.318586875735</v>
      </c>
      <c r="H54" s="19">
        <v>0.15808484001062229</v>
      </c>
      <c r="I54" s="19">
        <v>4.7207263082379214E-2</v>
      </c>
      <c r="J54" s="19">
        <v>0.13998319571760454</v>
      </c>
    </row>
    <row r="55" spans="1:10" ht="11.25" customHeight="1" x14ac:dyDescent="0.2">
      <c r="A55" s="28">
        <v>44440</v>
      </c>
      <c r="B55" s="18">
        <v>83603</v>
      </c>
      <c r="C55" s="18">
        <v>96564.632949449835</v>
      </c>
      <c r="D55" s="18">
        <v>1882.6499999999999</v>
      </c>
      <c r="E55" s="18">
        <v>2474.192189382406</v>
      </c>
      <c r="F55" s="18">
        <v>19188.75</v>
      </c>
      <c r="G55" s="18">
        <v>20094.598369472002</v>
      </c>
      <c r="H55" s="19">
        <v>0.15854327760076981</v>
      </c>
      <c r="I55" s="19">
        <v>4.7207263082378992E-2</v>
      </c>
      <c r="J55" s="19">
        <v>0.13813333067401623</v>
      </c>
    </row>
    <row r="56" spans="1:10" ht="11.25" customHeight="1" x14ac:dyDescent="0.2">
      <c r="A56" s="28">
        <v>44470</v>
      </c>
      <c r="B56" s="18">
        <v>83603</v>
      </c>
      <c r="C56" s="18">
        <v>96564.632949449835</v>
      </c>
      <c r="D56" s="18">
        <v>1882.6499999999999</v>
      </c>
      <c r="E56" s="18">
        <v>2474.192189382406</v>
      </c>
      <c r="F56" s="18">
        <v>19188.75</v>
      </c>
      <c r="G56" s="18">
        <v>20094.598369472002</v>
      </c>
      <c r="H56" s="19">
        <v>0.15854327760076981</v>
      </c>
      <c r="I56" s="19">
        <v>4.7207263082378992E-2</v>
      </c>
      <c r="J56" s="19">
        <v>0.13813333067401623</v>
      </c>
    </row>
    <row r="57" spans="1:10" ht="11.25" customHeight="1" x14ac:dyDescent="0.2">
      <c r="A57" s="28">
        <v>44501</v>
      </c>
      <c r="B57" s="18">
        <v>83603</v>
      </c>
      <c r="C57" s="18">
        <v>96564.632949449835</v>
      </c>
      <c r="D57" s="18">
        <v>1882.6499999999999</v>
      </c>
      <c r="E57" s="18">
        <v>2474.192189382406</v>
      </c>
      <c r="F57" s="18">
        <v>19188.75</v>
      </c>
      <c r="G57" s="18">
        <v>20094.598369472002</v>
      </c>
      <c r="H57" s="19">
        <v>0.15854327760076981</v>
      </c>
      <c r="I57" s="19">
        <v>4.7207263082378992E-2</v>
      </c>
      <c r="J57" s="19">
        <v>0.13813333067401623</v>
      </c>
    </row>
    <row r="58" spans="1:10" ht="11.25" customHeight="1" x14ac:dyDescent="0.2">
      <c r="A58" s="28">
        <v>44531</v>
      </c>
      <c r="B58" s="18">
        <v>83603</v>
      </c>
      <c r="C58" s="18">
        <v>96564.632949449835</v>
      </c>
      <c r="D58" s="18">
        <v>2133.67</v>
      </c>
      <c r="E58" s="18">
        <v>2804.0844813000604</v>
      </c>
      <c r="F58" s="18">
        <v>21747.25</v>
      </c>
      <c r="G58" s="18">
        <v>22773.878152068271</v>
      </c>
      <c r="H58" s="19">
        <v>0.15899903076186539</v>
      </c>
      <c r="I58" s="19">
        <v>4.7207263082379214E-2</v>
      </c>
      <c r="J58" s="19">
        <v>0.13638017279997006</v>
      </c>
    </row>
    <row r="59" spans="1:10" ht="11.25" customHeight="1" x14ac:dyDescent="0.2">
      <c r="A59" s="23" t="s">
        <v>45</v>
      </c>
      <c r="B59" s="18">
        <v>362625.24480000004</v>
      </c>
      <c r="C59" s="18">
        <v>357916.44671384682</v>
      </c>
      <c r="D59" s="18">
        <v>245098.97466559999</v>
      </c>
      <c r="E59" s="18">
        <v>322110.83777827199</v>
      </c>
      <c r="F59" s="18">
        <v>1523814.0978799998</v>
      </c>
      <c r="G59" s="18">
        <v>1621862.9813237158</v>
      </c>
      <c r="H59" s="19">
        <v>0.11897347959918081</v>
      </c>
      <c r="I59" s="19">
        <v>6.4344386615221794E-2</v>
      </c>
      <c r="J59" s="19">
        <v>7.9919721397442967E-2</v>
      </c>
    </row>
    <row r="60" spans="1:10" ht="11.25" customHeight="1" x14ac:dyDescent="0.2">
      <c r="A60" s="24" t="s">
        <v>53</v>
      </c>
      <c r="B60" s="18">
        <v>362625.24480000004</v>
      </c>
      <c r="C60" s="18">
        <v>357916.44671384682</v>
      </c>
      <c r="D60" s="18">
        <v>245098.97466559999</v>
      </c>
      <c r="E60" s="18">
        <v>322110.83777827199</v>
      </c>
      <c r="F60" s="18">
        <v>1523814.0978799998</v>
      </c>
      <c r="G60" s="18">
        <v>1621862.9813237158</v>
      </c>
      <c r="H60" s="19">
        <v>0.11897347959918081</v>
      </c>
      <c r="I60" s="19">
        <v>6.4344386615221794E-2</v>
      </c>
      <c r="J60" s="19">
        <v>7.9919721397442967E-2</v>
      </c>
    </row>
    <row r="61" spans="1:10" ht="11.25" customHeight="1" x14ac:dyDescent="0.2">
      <c r="A61" s="25" t="s">
        <v>55</v>
      </c>
      <c r="B61" s="18">
        <v>0</v>
      </c>
      <c r="C61" s="18">
        <v>0</v>
      </c>
      <c r="D61" s="18">
        <v>24572.849840000003</v>
      </c>
      <c r="E61" s="18">
        <v>32293.816240403001</v>
      </c>
      <c r="F61" s="18">
        <v>152336.59364000001</v>
      </c>
      <c r="G61" s="18">
        <v>162157.76438376214</v>
      </c>
      <c r="H61" s="19">
        <v>0.31420720228529242</v>
      </c>
      <c r="I61" s="19">
        <v>6.4470200554513024E-2</v>
      </c>
      <c r="J61" s="19">
        <v>9.9158850986653446E-2</v>
      </c>
    </row>
    <row r="62" spans="1:10" ht="11.25" customHeight="1" x14ac:dyDescent="0.2">
      <c r="A62" s="26" t="s">
        <v>25</v>
      </c>
      <c r="B62" s="18">
        <v>0</v>
      </c>
      <c r="C62" s="18">
        <v>0</v>
      </c>
      <c r="D62" s="18">
        <v>24572.849840000003</v>
      </c>
      <c r="E62" s="18">
        <v>32293.816240403001</v>
      </c>
      <c r="F62" s="18">
        <v>152336.59364000001</v>
      </c>
      <c r="G62" s="18">
        <v>162157.76438376214</v>
      </c>
      <c r="H62" s="19">
        <v>0.31420720228529242</v>
      </c>
      <c r="I62" s="19">
        <v>6.4470200554513024E-2</v>
      </c>
      <c r="J62" s="19">
        <v>9.9158850986653446E-2</v>
      </c>
    </row>
    <row r="63" spans="1:10" ht="11.25" customHeight="1" x14ac:dyDescent="0.2">
      <c r="A63" s="27" t="s">
        <v>35</v>
      </c>
      <c r="B63" s="18">
        <v>0</v>
      </c>
      <c r="C63" s="18">
        <v>0</v>
      </c>
      <c r="D63" s="18">
        <v>24572.849840000003</v>
      </c>
      <c r="E63" s="18">
        <v>32293.816240403001</v>
      </c>
      <c r="F63" s="18">
        <v>152336.59364000001</v>
      </c>
      <c r="G63" s="18">
        <v>162157.76438376214</v>
      </c>
      <c r="H63" s="19">
        <v>0.31420720228529242</v>
      </c>
      <c r="I63" s="19">
        <v>6.4470200554513024E-2</v>
      </c>
      <c r="J63" s="19">
        <v>9.9158850986653446E-2</v>
      </c>
    </row>
    <row r="64" spans="1:10" ht="11.25" customHeight="1" x14ac:dyDescent="0.2">
      <c r="A64" s="28">
        <v>44287</v>
      </c>
      <c r="B64" s="18">
        <v>0</v>
      </c>
      <c r="C64" s="18">
        <v>0</v>
      </c>
      <c r="D64" s="18">
        <v>1844.4591</v>
      </c>
      <c r="E64" s="18">
        <v>2424.001433540649</v>
      </c>
      <c r="F64" s="18">
        <v>11434.514850000001</v>
      </c>
      <c r="G64" s="18">
        <v>12171.700315623057</v>
      </c>
      <c r="H64" s="19">
        <v>0.31420720228529264</v>
      </c>
      <c r="I64" s="19">
        <v>6.4470200554512802E-2</v>
      </c>
      <c r="J64" s="19">
        <v>9.9158850986653446E-2</v>
      </c>
    </row>
    <row r="65" spans="1:10" ht="11.25" customHeight="1" x14ac:dyDescent="0.2">
      <c r="A65" s="28">
        <v>44317</v>
      </c>
      <c r="B65" s="18">
        <v>0</v>
      </c>
      <c r="C65" s="18">
        <v>0</v>
      </c>
      <c r="D65" s="18">
        <v>480.99018000000001</v>
      </c>
      <c r="E65" s="18">
        <v>632.12075878449934</v>
      </c>
      <c r="F65" s="18">
        <v>2981.8440300000002</v>
      </c>
      <c r="G65" s="18">
        <v>3174.0841126363771</v>
      </c>
      <c r="H65" s="19">
        <v>0.31420720228529264</v>
      </c>
      <c r="I65" s="19">
        <v>6.4470200554512802E-2</v>
      </c>
      <c r="J65" s="19">
        <v>9.9158850986653668E-2</v>
      </c>
    </row>
    <row r="66" spans="1:10" ht="11.25" customHeight="1" x14ac:dyDescent="0.2">
      <c r="A66" s="28">
        <v>44348</v>
      </c>
      <c r="B66" s="18">
        <v>0</v>
      </c>
      <c r="C66" s="18">
        <v>0</v>
      </c>
      <c r="D66" s="18">
        <v>437.63544000000002</v>
      </c>
      <c r="E66" s="18">
        <v>575.1436472232931</v>
      </c>
      <c r="F66" s="18">
        <v>2713.0712400000002</v>
      </c>
      <c r="G66" s="18">
        <v>2887.983486961481</v>
      </c>
      <c r="H66" s="19">
        <v>0.31420720228529264</v>
      </c>
      <c r="I66" s="19">
        <v>6.4470200554512802E-2</v>
      </c>
      <c r="J66" s="19">
        <v>9.9158850986653446E-2</v>
      </c>
    </row>
    <row r="67" spans="1:10" ht="11.25" customHeight="1" x14ac:dyDescent="0.2">
      <c r="A67" s="28">
        <v>44378</v>
      </c>
      <c r="B67" s="18">
        <v>0</v>
      </c>
      <c r="C67" s="18">
        <v>0</v>
      </c>
      <c r="D67" s="18">
        <v>361.61941199999995</v>
      </c>
      <c r="E67" s="18">
        <v>475.24283573657254</v>
      </c>
      <c r="F67" s="18">
        <v>2241.8185019999996</v>
      </c>
      <c r="G67" s="18">
        <v>2386.3489904307576</v>
      </c>
      <c r="H67" s="19">
        <v>0.31420720228529264</v>
      </c>
      <c r="I67" s="19">
        <v>6.4470200554513024E-2</v>
      </c>
      <c r="J67" s="19">
        <v>9.9158850986653668E-2</v>
      </c>
    </row>
    <row r="68" spans="1:10" ht="11.25" customHeight="1" x14ac:dyDescent="0.2">
      <c r="A68" s="28">
        <v>44409</v>
      </c>
      <c r="B68" s="18">
        <v>0</v>
      </c>
      <c r="C68" s="18">
        <v>0</v>
      </c>
      <c r="D68" s="18">
        <v>398.239644</v>
      </c>
      <c r="E68" s="18">
        <v>523.36940838033092</v>
      </c>
      <c r="F68" s="18">
        <v>2468.8414739999998</v>
      </c>
      <c r="G68" s="18">
        <v>2628.008178966079</v>
      </c>
      <c r="H68" s="19">
        <v>0.31420720228529264</v>
      </c>
      <c r="I68" s="19">
        <v>6.4470200554512802E-2</v>
      </c>
      <c r="J68" s="19">
        <v>9.9158850986653446E-2</v>
      </c>
    </row>
    <row r="69" spans="1:10" ht="11.25" customHeight="1" x14ac:dyDescent="0.2">
      <c r="A69" s="28">
        <v>44440</v>
      </c>
      <c r="B69" s="18">
        <v>0</v>
      </c>
      <c r="C69" s="18">
        <v>0</v>
      </c>
      <c r="D69" s="18">
        <v>1579.9413959999999</v>
      </c>
      <c r="E69" s="18">
        <v>2076.3703618118793</v>
      </c>
      <c r="F69" s="18">
        <v>9794.6673659999997</v>
      </c>
      <c r="G69" s="18">
        <v>10426.131535450762</v>
      </c>
      <c r="H69" s="19">
        <v>0.31420720228529242</v>
      </c>
      <c r="I69" s="19">
        <v>6.4470200554512802E-2</v>
      </c>
      <c r="J69" s="19">
        <v>9.9158850986653668E-2</v>
      </c>
    </row>
    <row r="70" spans="1:10" ht="11.25" customHeight="1" x14ac:dyDescent="0.2">
      <c r="A70" s="28">
        <v>44470</v>
      </c>
      <c r="B70" s="18">
        <v>0</v>
      </c>
      <c r="C70" s="18">
        <v>0</v>
      </c>
      <c r="D70" s="18">
        <v>3171.0065640000003</v>
      </c>
      <c r="E70" s="18">
        <v>4167.3596649027386</v>
      </c>
      <c r="F70" s="18">
        <v>19658.295294000003</v>
      </c>
      <c r="G70" s="18">
        <v>20925.669534164019</v>
      </c>
      <c r="H70" s="19">
        <v>0.31420720228529242</v>
      </c>
      <c r="I70" s="19">
        <v>6.4470200554512802E-2</v>
      </c>
      <c r="J70" s="19">
        <v>9.9158850986653446E-2</v>
      </c>
    </row>
    <row r="71" spans="1:10" ht="11.25" customHeight="1" x14ac:dyDescent="0.2">
      <c r="A71" s="28">
        <v>44501</v>
      </c>
      <c r="B71" s="18">
        <v>0</v>
      </c>
      <c r="C71" s="18">
        <v>0</v>
      </c>
      <c r="D71" s="18">
        <v>3445.0343400000002</v>
      </c>
      <c r="E71" s="18">
        <v>4527.48894174816</v>
      </c>
      <c r="F71" s="18">
        <v>21357.099389999999</v>
      </c>
      <c r="G71" s="18">
        <v>22733.995870935963</v>
      </c>
      <c r="H71" s="19">
        <v>0.31420720228529264</v>
      </c>
      <c r="I71" s="19">
        <v>6.4470200554512802E-2</v>
      </c>
      <c r="J71" s="19">
        <v>9.9158850986653446E-2</v>
      </c>
    </row>
    <row r="72" spans="1:10" ht="11.25" customHeight="1" x14ac:dyDescent="0.2">
      <c r="A72" s="28">
        <v>44531</v>
      </c>
      <c r="B72" s="18">
        <v>0</v>
      </c>
      <c r="C72" s="18">
        <v>0</v>
      </c>
      <c r="D72" s="18">
        <v>2673.0832919999998</v>
      </c>
      <c r="E72" s="18">
        <v>3512.9853146548794</v>
      </c>
      <c r="F72" s="18">
        <v>16571.476481999998</v>
      </c>
      <c r="G72" s="18">
        <v>17639.842894278932</v>
      </c>
      <c r="H72" s="19">
        <v>0.31420720228529242</v>
      </c>
      <c r="I72" s="19">
        <v>6.4470200554513024E-2</v>
      </c>
      <c r="J72" s="19">
        <v>9.9158850986653446E-2</v>
      </c>
    </row>
    <row r="73" spans="1:10" ht="11.25" customHeight="1" x14ac:dyDescent="0.2">
      <c r="A73" s="28">
        <v>44562</v>
      </c>
      <c r="B73" s="18">
        <v>0</v>
      </c>
      <c r="C73" s="18">
        <v>0</v>
      </c>
      <c r="D73" s="18">
        <v>2129.5102400000001</v>
      </c>
      <c r="E73" s="18">
        <v>2798.6176947482818</v>
      </c>
      <c r="F73" s="18">
        <v>13201.65704</v>
      </c>
      <c r="G73" s="18">
        <v>14052.770517020697</v>
      </c>
      <c r="H73" s="19">
        <v>0.31420720228529242</v>
      </c>
      <c r="I73" s="19">
        <v>6.4470200554512802E-2</v>
      </c>
      <c r="J73" s="19">
        <v>9.9158850986653668E-2</v>
      </c>
    </row>
    <row r="74" spans="1:10" ht="11.25" customHeight="1" x14ac:dyDescent="0.2">
      <c r="A74" s="28">
        <v>44593</v>
      </c>
      <c r="B74" s="18">
        <v>0</v>
      </c>
      <c r="C74" s="18">
        <v>0</v>
      </c>
      <c r="D74" s="18">
        <v>4025.6651159999997</v>
      </c>
      <c r="E74" s="18">
        <v>5290.5580894358582</v>
      </c>
      <c r="F74" s="18">
        <v>24956.653986000001</v>
      </c>
      <c r="G74" s="18">
        <v>26565.614473647001</v>
      </c>
      <c r="H74" s="19">
        <v>0.31420720228529286</v>
      </c>
      <c r="I74" s="19">
        <v>6.4470200554512802E-2</v>
      </c>
      <c r="J74" s="19">
        <v>9.9158850986653446E-2</v>
      </c>
    </row>
    <row r="75" spans="1:10" ht="11.25" customHeight="1" x14ac:dyDescent="0.2">
      <c r="A75" s="28">
        <v>44621</v>
      </c>
      <c r="B75" s="18">
        <v>0</v>
      </c>
      <c r="C75" s="18">
        <v>0</v>
      </c>
      <c r="D75" s="18">
        <v>4025.6651159999997</v>
      </c>
      <c r="E75" s="18">
        <v>5290.5580894358582</v>
      </c>
      <c r="F75" s="18">
        <v>24956.653986000001</v>
      </c>
      <c r="G75" s="18">
        <v>26565.614473647001</v>
      </c>
      <c r="H75" s="19">
        <v>0.31420720228529286</v>
      </c>
      <c r="I75" s="19">
        <v>6.4470200554512802E-2</v>
      </c>
      <c r="J75" s="19">
        <v>9.9158850986653446E-2</v>
      </c>
    </row>
    <row r="76" spans="1:10" ht="11.25" customHeight="1" x14ac:dyDescent="0.2">
      <c r="A76" s="25" t="s">
        <v>25</v>
      </c>
      <c r="B76" s="18">
        <v>362625.24480000004</v>
      </c>
      <c r="C76" s="18">
        <v>357916.44671384682</v>
      </c>
      <c r="D76" s="18">
        <v>220526.12482559998</v>
      </c>
      <c r="E76" s="18">
        <v>289817.02153786895</v>
      </c>
      <c r="F76" s="18">
        <v>1371477.5042399997</v>
      </c>
      <c r="G76" s="18">
        <v>1459705.2169399536</v>
      </c>
      <c r="H76" s="19">
        <v>0.11074671515832901</v>
      </c>
      <c r="I76" s="19">
        <v>6.4330411856696967E-2</v>
      </c>
      <c r="J76" s="19">
        <v>7.8178427306183851E-2</v>
      </c>
    </row>
    <row r="77" spans="1:10" ht="11.25" customHeight="1" x14ac:dyDescent="0.2">
      <c r="A77" s="26" t="s">
        <v>25</v>
      </c>
      <c r="B77" s="18">
        <v>362625.24480000004</v>
      </c>
      <c r="C77" s="18">
        <v>357916.44671384682</v>
      </c>
      <c r="D77" s="18">
        <v>220526.12482559998</v>
      </c>
      <c r="E77" s="18">
        <v>289817.02153786895</v>
      </c>
      <c r="F77" s="18">
        <v>1371477.5042399997</v>
      </c>
      <c r="G77" s="18">
        <v>1459705.2169399536</v>
      </c>
      <c r="H77" s="19">
        <v>0.11074671515832901</v>
      </c>
      <c r="I77" s="19">
        <v>6.4330411856696967E-2</v>
      </c>
      <c r="J77" s="19">
        <v>7.8178427306183851E-2</v>
      </c>
    </row>
    <row r="78" spans="1:10" ht="11.25" customHeight="1" x14ac:dyDescent="0.2">
      <c r="A78" s="27" t="s">
        <v>35</v>
      </c>
      <c r="B78" s="18">
        <v>355388.34239999996</v>
      </c>
      <c r="C78" s="18">
        <v>349557.5502155514</v>
      </c>
      <c r="D78" s="18">
        <v>219436.52015999999</v>
      </c>
      <c r="E78" s="18">
        <v>288385.05523869378</v>
      </c>
      <c r="F78" s="18">
        <v>1360371.8013599999</v>
      </c>
      <c r="G78" s="18">
        <v>1448075.244222383</v>
      </c>
      <c r="H78" s="19">
        <v>0.10980343232397494</v>
      </c>
      <c r="I78" s="19">
        <v>6.4470200554512802E-2</v>
      </c>
      <c r="J78" s="19">
        <v>7.7935844231521001E-2</v>
      </c>
    </row>
    <row r="79" spans="1:10" ht="11.25" customHeight="1" x14ac:dyDescent="0.2">
      <c r="A79" s="28">
        <v>44287</v>
      </c>
      <c r="B79" s="18">
        <v>41924.275199999996</v>
      </c>
      <c r="C79" s="18">
        <v>41236.431207920781</v>
      </c>
      <c r="D79" s="18">
        <v>14952.415103999998</v>
      </c>
      <c r="E79" s="18">
        <v>19650.571621236191</v>
      </c>
      <c r="F79" s="18">
        <v>92695.800383999987</v>
      </c>
      <c r="G79" s="18">
        <v>98671.917225317564</v>
      </c>
      <c r="H79" s="19">
        <v>7.0508893955015361E-2</v>
      </c>
      <c r="I79" s="19">
        <v>6.4470200554513024E-2</v>
      </c>
      <c r="J79" s="19">
        <v>6.6766484401905801E-2</v>
      </c>
    </row>
    <row r="80" spans="1:10" ht="11.25" customHeight="1" x14ac:dyDescent="0.2">
      <c r="A80" s="28">
        <v>44317</v>
      </c>
      <c r="B80" s="18">
        <v>11749.4784</v>
      </c>
      <c r="C80" s="18">
        <v>11556.706835340858</v>
      </c>
      <c r="D80" s="18">
        <v>349.90179839999996</v>
      </c>
      <c r="E80" s="18">
        <v>459.84346354985644</v>
      </c>
      <c r="F80" s="18">
        <v>2169.1764863999997</v>
      </c>
      <c r="G80" s="18">
        <v>2309.0237295163415</v>
      </c>
      <c r="H80" s="19">
        <v>-6.8457969045587763E-3</v>
      </c>
      <c r="I80" s="19">
        <v>6.4470200554513024E-2</v>
      </c>
      <c r="J80" s="19">
        <v>3.996013392706832E-3</v>
      </c>
    </row>
    <row r="81" spans="1:10" ht="11.25" customHeight="1" x14ac:dyDescent="0.2">
      <c r="A81" s="28">
        <v>44348</v>
      </c>
      <c r="B81" s="18">
        <v>11482.444799999999</v>
      </c>
      <c r="C81" s="18">
        <v>11294.054407264928</v>
      </c>
      <c r="D81" s="18">
        <v>294.33888000000002</v>
      </c>
      <c r="E81" s="18">
        <v>386.82227600858647</v>
      </c>
      <c r="F81" s="18">
        <v>1824.72048</v>
      </c>
      <c r="G81" s="18">
        <v>1942.360575301527</v>
      </c>
      <c r="H81" s="19">
        <v>-8.143734259920099E-3</v>
      </c>
      <c r="I81" s="19">
        <v>6.4470200554512802E-2</v>
      </c>
      <c r="J81" s="19">
        <v>1.5978452323646142E-3</v>
      </c>
    </row>
    <row r="82" spans="1:10" ht="11.25" customHeight="1" x14ac:dyDescent="0.2">
      <c r="A82" s="28">
        <v>44378</v>
      </c>
      <c r="B82" s="18">
        <v>11749.4784</v>
      </c>
      <c r="C82" s="18">
        <v>11556.706835340858</v>
      </c>
      <c r="D82" s="18">
        <v>303.84034560000003</v>
      </c>
      <c r="E82" s="18">
        <v>399.30917053237243</v>
      </c>
      <c r="F82" s="18">
        <v>1883.6237376000001</v>
      </c>
      <c r="G82" s="18">
        <v>2005.0613377323132</v>
      </c>
      <c r="H82" s="19">
        <v>-8.072692822654215E-3</v>
      </c>
      <c r="I82" s="19">
        <v>6.4470200554512802E-2</v>
      </c>
      <c r="J82" s="19">
        <v>1.731718447904651E-3</v>
      </c>
    </row>
    <row r="83" spans="1:10" ht="11.25" customHeight="1" x14ac:dyDescent="0.2">
      <c r="A83" s="28">
        <v>44409</v>
      </c>
      <c r="B83" s="18">
        <v>11749.4784</v>
      </c>
      <c r="C83" s="18">
        <v>11556.706835340858</v>
      </c>
      <c r="D83" s="18">
        <v>287.10950399999996</v>
      </c>
      <c r="E83" s="18">
        <v>377.32137800135797</v>
      </c>
      <c r="F83" s="18">
        <v>1779.9027839999999</v>
      </c>
      <c r="G83" s="18">
        <v>1894.6534734520155</v>
      </c>
      <c r="H83" s="19">
        <v>-8.5206614595239039E-3</v>
      </c>
      <c r="I83" s="19">
        <v>6.4470200554512802E-2</v>
      </c>
      <c r="J83" s="19">
        <v>8.8235131984837345E-4</v>
      </c>
    </row>
    <row r="84" spans="1:10" ht="11.25" customHeight="1" x14ac:dyDescent="0.2">
      <c r="A84" s="28">
        <v>44440</v>
      </c>
      <c r="B84" s="18">
        <v>33379.199999999997</v>
      </c>
      <c r="C84" s="18">
        <v>32831.553509491074</v>
      </c>
      <c r="D84" s="18">
        <v>10198.997107199999</v>
      </c>
      <c r="E84" s="18">
        <v>13403.595454369104</v>
      </c>
      <c r="F84" s="18">
        <v>63227.525011199999</v>
      </c>
      <c r="G84" s="18">
        <v>67303.816229237535</v>
      </c>
      <c r="H84" s="19">
        <v>6.0969751688538798E-2</v>
      </c>
      <c r="I84" s="19">
        <v>6.4470200554512802E-2</v>
      </c>
      <c r="J84" s="19">
        <v>6.3041969485806648E-2</v>
      </c>
    </row>
    <row r="85" spans="1:10" ht="11.25" customHeight="1" x14ac:dyDescent="0.2">
      <c r="A85" s="28">
        <v>44470</v>
      </c>
      <c r="B85" s="18">
        <v>42191.308799999999</v>
      </c>
      <c r="C85" s="18">
        <v>41499.083635996714</v>
      </c>
      <c r="D85" s="18">
        <v>30568.4869248</v>
      </c>
      <c r="E85" s="18">
        <v>40173.325679535956</v>
      </c>
      <c r="F85" s="18">
        <v>189505.8652608</v>
      </c>
      <c r="G85" s="18">
        <v>201723.34640042027</v>
      </c>
      <c r="H85" s="19">
        <v>0.12249365878435015</v>
      </c>
      <c r="I85" s="19">
        <v>6.4470200554512802E-2</v>
      </c>
      <c r="J85" s="19">
        <v>8.0567523216518833E-2</v>
      </c>
    </row>
    <row r="86" spans="1:10" ht="11.25" customHeight="1" x14ac:dyDescent="0.2">
      <c r="A86" s="28">
        <v>44501</v>
      </c>
      <c r="B86" s="18">
        <v>50469.350399999996</v>
      </c>
      <c r="C86" s="18">
        <v>49641.308906350496</v>
      </c>
      <c r="D86" s="18">
        <v>35582.162457600003</v>
      </c>
      <c r="E86" s="18">
        <v>46762.334174663265</v>
      </c>
      <c r="F86" s="18">
        <v>220587.5776896</v>
      </c>
      <c r="G86" s="18">
        <v>234808.90306308269</v>
      </c>
      <c r="H86" s="19">
        <v>0.12030154821966565</v>
      </c>
      <c r="I86" s="19">
        <v>6.4470200554512802E-2</v>
      </c>
      <c r="J86" s="19">
        <v>8.0138039651255433E-2</v>
      </c>
    </row>
    <row r="87" spans="1:10" ht="11.25" customHeight="1" x14ac:dyDescent="0.2">
      <c r="A87" s="28">
        <v>44531</v>
      </c>
      <c r="B87" s="18">
        <v>50736.383999999991</v>
      </c>
      <c r="C87" s="18">
        <v>49903.961334426422</v>
      </c>
      <c r="D87" s="18">
        <v>23988.102336</v>
      </c>
      <c r="E87" s="18">
        <v>31525.336859127852</v>
      </c>
      <c r="F87" s="18">
        <v>148711.51785599999</v>
      </c>
      <c r="G87" s="18">
        <v>158298.97923694234</v>
      </c>
      <c r="H87" s="19">
        <v>8.9727105348118119E-2</v>
      </c>
      <c r="I87" s="19">
        <v>6.4470200554512802E-2</v>
      </c>
      <c r="J87" s="19">
        <v>7.2916955785230497E-2</v>
      </c>
    </row>
    <row r="88" spans="1:10" ht="11.25" customHeight="1" x14ac:dyDescent="0.2">
      <c r="A88" s="28">
        <v>44562</v>
      </c>
      <c r="B88" s="18">
        <v>5040.2591999999995</v>
      </c>
      <c r="C88" s="18">
        <v>4957.5645799331514</v>
      </c>
      <c r="D88" s="18">
        <v>17852.393222399998</v>
      </c>
      <c r="E88" s="18">
        <v>23461.743750907222</v>
      </c>
      <c r="F88" s="18">
        <v>110673.88559039999</v>
      </c>
      <c r="G88" s="18">
        <v>117809.05319056028</v>
      </c>
      <c r="H88" s="19">
        <v>0.24141614551543422</v>
      </c>
      <c r="I88" s="19">
        <v>6.4470200554512802E-2</v>
      </c>
      <c r="J88" s="19">
        <v>9.4797871510207576E-2</v>
      </c>
    </row>
    <row r="89" spans="1:10" ht="11.25" customHeight="1" x14ac:dyDescent="0.2">
      <c r="A89" s="28">
        <v>44593</v>
      </c>
      <c r="B89" s="18">
        <v>42458.342400000001</v>
      </c>
      <c r="C89" s="18">
        <v>41761.736064072647</v>
      </c>
      <c r="D89" s="18">
        <v>42529.38624</v>
      </c>
      <c r="E89" s="18">
        <v>55892.425705381014</v>
      </c>
      <c r="F89" s="18">
        <v>263656.10303999996</v>
      </c>
      <c r="G89" s="18">
        <v>280654.06488041009</v>
      </c>
      <c r="H89" s="19">
        <v>0.14903837685917565</v>
      </c>
      <c r="I89" s="19">
        <v>6.4470200554513024E-2</v>
      </c>
      <c r="J89" s="19">
        <v>8.5085099102200745E-2</v>
      </c>
    </row>
    <row r="90" spans="1:10" ht="11.25" customHeight="1" x14ac:dyDescent="0.2">
      <c r="A90" s="28">
        <v>44621</v>
      </c>
      <c r="B90" s="18">
        <v>42458.342400000001</v>
      </c>
      <c r="C90" s="18">
        <v>41761.736064072647</v>
      </c>
      <c r="D90" s="18">
        <v>42529.38624</v>
      </c>
      <c r="E90" s="18">
        <v>55892.425705381014</v>
      </c>
      <c r="F90" s="18">
        <v>263656.10303999996</v>
      </c>
      <c r="G90" s="18">
        <v>280654.06488041009</v>
      </c>
      <c r="H90" s="19">
        <v>0.14903837685917565</v>
      </c>
      <c r="I90" s="19">
        <v>6.4470200554513024E-2</v>
      </c>
      <c r="J90" s="19">
        <v>8.5085099102200745E-2</v>
      </c>
    </row>
    <row r="91" spans="1:10" ht="11.25" customHeight="1" x14ac:dyDescent="0.2">
      <c r="A91" s="27" t="s">
        <v>34</v>
      </c>
      <c r="B91" s="18">
        <v>7236.902399999999</v>
      </c>
      <c r="C91" s="18">
        <v>8358.8964982954258</v>
      </c>
      <c r="D91" s="18">
        <v>1089.6046655999999</v>
      </c>
      <c r="E91" s="18">
        <v>1431.9662991751779</v>
      </c>
      <c r="F91" s="18">
        <v>11105.702880000001</v>
      </c>
      <c r="G91" s="18">
        <v>11629.972717570898</v>
      </c>
      <c r="H91" s="19">
        <v>0.17586674944652603</v>
      </c>
      <c r="I91" s="19">
        <v>4.7207263082379214E-2</v>
      </c>
      <c r="J91" s="19">
        <v>0.10233656259419854</v>
      </c>
    </row>
    <row r="92" spans="1:10" ht="11.25" customHeight="1" x14ac:dyDescent="0.2">
      <c r="A92" s="28">
        <v>44287</v>
      </c>
      <c r="B92" s="18">
        <v>652.95359999999994</v>
      </c>
      <c r="C92" s="18">
        <v>754.18615022214374</v>
      </c>
      <c r="D92" s="18">
        <v>38.418969600000004</v>
      </c>
      <c r="E92" s="18">
        <v>50.490486552699714</v>
      </c>
      <c r="F92" s="18">
        <v>391.58208000000002</v>
      </c>
      <c r="G92" s="18">
        <v>410.06759826890527</v>
      </c>
      <c r="H92" s="19">
        <v>0.16388279222647895</v>
      </c>
      <c r="I92" s="19">
        <v>4.7207263082379214E-2</v>
      </c>
      <c r="J92" s="19">
        <v>0.12169446383782234</v>
      </c>
    </row>
    <row r="93" spans="1:10" ht="11.25" customHeight="1" x14ac:dyDescent="0.2">
      <c r="A93" s="28">
        <v>44317</v>
      </c>
      <c r="B93" s="18">
        <v>652.95359999999994</v>
      </c>
      <c r="C93" s="18">
        <v>754.18615022214374</v>
      </c>
      <c r="D93" s="18">
        <v>37.592755200000006</v>
      </c>
      <c r="E93" s="18">
        <v>49.404669637587894</v>
      </c>
      <c r="F93" s="18">
        <v>383.16096000000005</v>
      </c>
      <c r="G93" s="18">
        <v>401.24894024161699</v>
      </c>
      <c r="H93" s="19">
        <v>0.1637029343627352</v>
      </c>
      <c r="I93" s="19">
        <v>4.7207263082379214E-2</v>
      </c>
      <c r="J93" s="19">
        <v>0.12213053133285423</v>
      </c>
    </row>
    <row r="94" spans="1:10" ht="11.25" customHeight="1" x14ac:dyDescent="0.2">
      <c r="A94" s="28">
        <v>44348</v>
      </c>
      <c r="B94" s="18">
        <v>652.95359999999994</v>
      </c>
      <c r="C94" s="18">
        <v>754.18615022214374</v>
      </c>
      <c r="D94" s="18">
        <v>37.179648</v>
      </c>
      <c r="E94" s="18">
        <v>48.861761180031969</v>
      </c>
      <c r="F94" s="18">
        <v>378.9504</v>
      </c>
      <c r="G94" s="18">
        <v>396.8396112279728</v>
      </c>
      <c r="H94" s="19">
        <v>0.16361284393905295</v>
      </c>
      <c r="I94" s="19">
        <v>4.7207263082378992E-2</v>
      </c>
      <c r="J94" s="19">
        <v>0.12235139399508266</v>
      </c>
    </row>
    <row r="95" spans="1:10" ht="11.25" customHeight="1" x14ac:dyDescent="0.2">
      <c r="A95" s="28">
        <v>44378</v>
      </c>
      <c r="B95" s="18">
        <v>652.95359999999994</v>
      </c>
      <c r="C95" s="18">
        <v>754.18615022214374</v>
      </c>
      <c r="D95" s="18">
        <v>40.484505599999999</v>
      </c>
      <c r="E95" s="18">
        <v>53.205028840479258</v>
      </c>
      <c r="F95" s="18">
        <v>412.63488000000001</v>
      </c>
      <c r="G95" s="18">
        <v>432.11424333712597</v>
      </c>
      <c r="H95" s="19">
        <v>0.1643305617940114</v>
      </c>
      <c r="I95" s="19">
        <v>4.7207263082379214E-2</v>
      </c>
      <c r="J95" s="19">
        <v>0.12063619538394854</v>
      </c>
    </row>
    <row r="96" spans="1:10" ht="11.25" customHeight="1" x14ac:dyDescent="0.2">
      <c r="A96" s="28">
        <v>44409</v>
      </c>
      <c r="B96" s="18">
        <v>652.95359999999994</v>
      </c>
      <c r="C96" s="18">
        <v>754.18615022214374</v>
      </c>
      <c r="D96" s="18">
        <v>40.277951999999999</v>
      </c>
      <c r="E96" s="18">
        <v>52.933574611701303</v>
      </c>
      <c r="F96" s="18">
        <v>410.52960000000002</v>
      </c>
      <c r="G96" s="18">
        <v>429.90957883030387</v>
      </c>
      <c r="H96" s="19">
        <v>0.16428590491196382</v>
      </c>
      <c r="I96" s="19">
        <v>4.7207263082378992E-2</v>
      </c>
      <c r="J96" s="19">
        <v>0.12074002733532407</v>
      </c>
    </row>
    <row r="97" spans="1:10" ht="11.25" customHeight="1" x14ac:dyDescent="0.2">
      <c r="A97" s="28">
        <v>44440</v>
      </c>
      <c r="B97" s="18">
        <v>652.95359999999994</v>
      </c>
      <c r="C97" s="18">
        <v>754.18615022214374</v>
      </c>
      <c r="D97" s="18">
        <v>39.658291200000001</v>
      </c>
      <c r="E97" s="18">
        <v>52.119211925367438</v>
      </c>
      <c r="F97" s="18">
        <v>404.21375999999998</v>
      </c>
      <c r="G97" s="18">
        <v>423.29558530983769</v>
      </c>
      <c r="H97" s="19">
        <v>0.16415177445268681</v>
      </c>
      <c r="I97" s="19">
        <v>4.7207263082379214E-2</v>
      </c>
      <c r="J97" s="19">
        <v>0.1210541494102404</v>
      </c>
    </row>
    <row r="98" spans="1:10" ht="11.25" customHeight="1" x14ac:dyDescent="0.2">
      <c r="A98" s="28">
        <v>44470</v>
      </c>
      <c r="B98" s="18">
        <v>652.95359999999994</v>
      </c>
      <c r="C98" s="18">
        <v>754.18615022214374</v>
      </c>
      <c r="D98" s="18">
        <v>37.179648</v>
      </c>
      <c r="E98" s="18">
        <v>48.861761180031969</v>
      </c>
      <c r="F98" s="18">
        <v>378.9504</v>
      </c>
      <c r="G98" s="18">
        <v>396.8396112279728</v>
      </c>
      <c r="H98" s="19">
        <v>0.16361284393905295</v>
      </c>
      <c r="I98" s="19">
        <v>4.7207263082378992E-2</v>
      </c>
      <c r="J98" s="19">
        <v>0.12235139399508266</v>
      </c>
    </row>
    <row r="99" spans="1:10" ht="11.25" customHeight="1" x14ac:dyDescent="0.2">
      <c r="A99" s="28">
        <v>44501</v>
      </c>
      <c r="B99" s="18">
        <v>652.95359999999994</v>
      </c>
      <c r="C99" s="18">
        <v>754.18615022214374</v>
      </c>
      <c r="D99" s="18">
        <v>36.973094400000001</v>
      </c>
      <c r="E99" s="18">
        <v>48.590306951254014</v>
      </c>
      <c r="F99" s="18">
        <v>376.84512000000001</v>
      </c>
      <c r="G99" s="18">
        <v>394.63494672115075</v>
      </c>
      <c r="H99" s="19">
        <v>0.16356775826964975</v>
      </c>
      <c r="I99" s="19">
        <v>4.7207263082379214E-2</v>
      </c>
      <c r="J99" s="19">
        <v>0.1224625432834725</v>
      </c>
    </row>
    <row r="100" spans="1:10" ht="11.25" customHeight="1" x14ac:dyDescent="0.2">
      <c r="A100" s="28">
        <v>44531</v>
      </c>
      <c r="B100" s="18">
        <v>652.95359999999994</v>
      </c>
      <c r="C100" s="18">
        <v>754.18615022214374</v>
      </c>
      <c r="D100" s="18">
        <v>42.343487999999994</v>
      </c>
      <c r="E100" s="18">
        <v>55.648116899480854</v>
      </c>
      <c r="F100" s="18">
        <v>431.58239999999995</v>
      </c>
      <c r="G100" s="18">
        <v>451.95622389852457</v>
      </c>
      <c r="H100" s="19">
        <v>0.16473127976285262</v>
      </c>
      <c r="I100" s="19">
        <v>4.7207263082379214E-2</v>
      </c>
      <c r="J100" s="19">
        <v>0.11972087916835816</v>
      </c>
    </row>
    <row r="101" spans="1:10" ht="11.25" customHeight="1" x14ac:dyDescent="0.2">
      <c r="A101" s="28">
        <v>44562</v>
      </c>
      <c r="B101" s="18">
        <v>54.412799999999997</v>
      </c>
      <c r="C101" s="18">
        <v>62.848845851845311</v>
      </c>
      <c r="D101" s="18">
        <v>39.692716799999999</v>
      </c>
      <c r="E101" s="18">
        <v>52.164454296830435</v>
      </c>
      <c r="F101" s="18">
        <v>404.56464000000005</v>
      </c>
      <c r="G101" s="18">
        <v>423.66302939430807</v>
      </c>
      <c r="H101" s="19">
        <v>0.22217383273193758</v>
      </c>
      <c r="I101" s="19">
        <v>4.7207263082379214E-2</v>
      </c>
      <c r="J101" s="19">
        <v>8.0225720744361295E-2</v>
      </c>
    </row>
    <row r="102" spans="1:10" ht="11.25" customHeight="1" x14ac:dyDescent="0.2">
      <c r="A102" s="28">
        <v>44593</v>
      </c>
      <c r="B102" s="18">
        <v>652.95359999999994</v>
      </c>
      <c r="C102" s="18">
        <v>754.18615022214374</v>
      </c>
      <c r="D102" s="18">
        <v>349.90179840000002</v>
      </c>
      <c r="E102" s="18">
        <v>459.84346354985649</v>
      </c>
      <c r="F102" s="18">
        <v>3566.3443200000002</v>
      </c>
      <c r="G102" s="18">
        <v>3734.7016745565888</v>
      </c>
      <c r="H102" s="19">
        <v>0.21057294571970875</v>
      </c>
      <c r="I102" s="19">
        <v>4.7207263082379214E-2</v>
      </c>
      <c r="J102" s="19">
        <v>8.306302926532827E-2</v>
      </c>
    </row>
    <row r="103" spans="1:10" ht="11.25" customHeight="1" x14ac:dyDescent="0.2">
      <c r="A103" s="28">
        <v>44621</v>
      </c>
      <c r="B103" s="18">
        <v>652.95359999999994</v>
      </c>
      <c r="C103" s="18">
        <v>754.18615022214374</v>
      </c>
      <c r="D103" s="18">
        <v>349.90179840000002</v>
      </c>
      <c r="E103" s="18">
        <v>459.84346354985649</v>
      </c>
      <c r="F103" s="18">
        <v>3566.3443200000002</v>
      </c>
      <c r="G103" s="18">
        <v>3734.7016745565888</v>
      </c>
      <c r="H103" s="19">
        <v>0.21057294571970875</v>
      </c>
      <c r="I103" s="19">
        <v>4.7207263082379214E-2</v>
      </c>
      <c r="J103" s="19">
        <v>8.306302926532827E-2</v>
      </c>
    </row>
    <row r="104" spans="1:10" ht="11.25" customHeight="1" x14ac:dyDescent="0.2">
      <c r="A104" s="23" t="s">
        <v>50</v>
      </c>
      <c r="B104" s="18">
        <v>737440.50100000005</v>
      </c>
      <c r="C104" s="18">
        <v>786914.59934943402</v>
      </c>
      <c r="D104" s="18">
        <v>862842.74640079995</v>
      </c>
      <c r="E104" s="18">
        <v>1133954.1517595532</v>
      </c>
      <c r="F104" s="18">
        <v>5472866.0881340001</v>
      </c>
      <c r="G104" s="18">
        <v>5820248.9743111609</v>
      </c>
      <c r="H104" s="19">
        <v>0.20033047538858284</v>
      </c>
      <c r="I104" s="19">
        <v>6.3473668199252931E-2</v>
      </c>
      <c r="J104" s="19">
        <v>9.443719596439748E-2</v>
      </c>
    </row>
    <row r="105" spans="1:10" ht="11.25" customHeight="1" x14ac:dyDescent="0.2">
      <c r="A105" s="24" t="s">
        <v>51</v>
      </c>
      <c r="B105" s="18">
        <v>737440.50100000005</v>
      </c>
      <c r="C105" s="18">
        <v>786914.59934943402</v>
      </c>
      <c r="D105" s="18">
        <v>862842.74640079995</v>
      </c>
      <c r="E105" s="18">
        <v>1133954.1517595532</v>
      </c>
      <c r="F105" s="18">
        <v>5472866.0881340001</v>
      </c>
      <c r="G105" s="18">
        <v>5820248.9743111609</v>
      </c>
      <c r="H105" s="19">
        <v>0.20033047538858284</v>
      </c>
      <c r="I105" s="19">
        <v>6.3473668199252931E-2</v>
      </c>
      <c r="J105" s="19">
        <v>9.443719596439748E-2</v>
      </c>
    </row>
    <row r="106" spans="1:10" ht="11.25" customHeight="1" x14ac:dyDescent="0.2">
      <c r="A106" s="25" t="s">
        <v>25</v>
      </c>
      <c r="B106" s="18">
        <v>737440.50100000005</v>
      </c>
      <c r="C106" s="18">
        <v>786914.59934943402</v>
      </c>
      <c r="D106" s="18">
        <v>862842.74640079995</v>
      </c>
      <c r="E106" s="18">
        <v>1133954.1517595532</v>
      </c>
      <c r="F106" s="18">
        <v>5472866.0881340001</v>
      </c>
      <c r="G106" s="18">
        <v>5820248.9743111609</v>
      </c>
      <c r="H106" s="19">
        <v>0.20033047538858284</v>
      </c>
      <c r="I106" s="19">
        <v>6.3473668199252931E-2</v>
      </c>
      <c r="J106" s="19">
        <v>9.443719596439748E-2</v>
      </c>
    </row>
    <row r="107" spans="1:10" ht="11.25" customHeight="1" x14ac:dyDescent="0.2">
      <c r="A107" s="26" t="s">
        <v>25</v>
      </c>
      <c r="B107" s="18">
        <v>737440.50100000005</v>
      </c>
      <c r="C107" s="18">
        <v>786914.59934943402</v>
      </c>
      <c r="D107" s="18">
        <v>862842.74640079995</v>
      </c>
      <c r="E107" s="18">
        <v>1133954.1517595532</v>
      </c>
      <c r="F107" s="18">
        <v>5472866.0881340001</v>
      </c>
      <c r="G107" s="18">
        <v>5820248.9743111609</v>
      </c>
      <c r="H107" s="19">
        <v>0.20033047538858284</v>
      </c>
      <c r="I107" s="19">
        <v>6.3473668199252931E-2</v>
      </c>
      <c r="J107" s="19">
        <v>9.443719596439748E-2</v>
      </c>
    </row>
    <row r="108" spans="1:10" ht="11.25" customHeight="1" x14ac:dyDescent="0.2">
      <c r="A108" s="27" t="s">
        <v>35</v>
      </c>
      <c r="B108" s="18">
        <v>378297.59999999998</v>
      </c>
      <c r="C108" s="18">
        <v>372090.93977423216</v>
      </c>
      <c r="D108" s="18">
        <v>831846.11976399994</v>
      </c>
      <c r="E108" s="18">
        <v>1093218.1617869227</v>
      </c>
      <c r="F108" s="18">
        <v>5156935.6074940003</v>
      </c>
      <c r="G108" s="18">
        <v>5489404.2803558465</v>
      </c>
      <c r="H108" s="19">
        <v>0.21085543611870916</v>
      </c>
      <c r="I108" s="19">
        <v>6.4470200554512802E-2</v>
      </c>
      <c r="J108" s="19">
        <v>9.2292560600476747E-2</v>
      </c>
    </row>
    <row r="109" spans="1:10" ht="11.25" customHeight="1" x14ac:dyDescent="0.2">
      <c r="A109" s="28">
        <v>44287</v>
      </c>
      <c r="B109" s="18">
        <v>94574.399999999994</v>
      </c>
      <c r="C109" s="18">
        <v>93022.73494355804</v>
      </c>
      <c r="D109" s="18">
        <v>207997.17657400001</v>
      </c>
      <c r="E109" s="18">
        <v>273351.38750855654</v>
      </c>
      <c r="F109" s="18">
        <v>1289454.889129</v>
      </c>
      <c r="G109" s="18">
        <v>1372586.3044371437</v>
      </c>
      <c r="H109" s="19">
        <v>0.21086761222103889</v>
      </c>
      <c r="I109" s="19">
        <v>6.4470200554512802E-2</v>
      </c>
      <c r="J109" s="19">
        <v>9.2293667443132499E-2</v>
      </c>
    </row>
    <row r="110" spans="1:10" ht="11.25" customHeight="1" x14ac:dyDescent="0.2">
      <c r="A110" s="28">
        <v>44317</v>
      </c>
      <c r="B110" s="18">
        <v>94574.399999999994</v>
      </c>
      <c r="C110" s="18">
        <v>93022.73494355804</v>
      </c>
      <c r="D110" s="18">
        <v>214759.21644759999</v>
      </c>
      <c r="E110" s="18">
        <v>282238.10901258199</v>
      </c>
      <c r="F110" s="18">
        <v>1331375.3878546001</v>
      </c>
      <c r="G110" s="18">
        <v>1417209.4261229285</v>
      </c>
      <c r="H110" s="19">
        <v>0.21312661800437693</v>
      </c>
      <c r="I110" s="19">
        <v>6.4470200554512802E-2</v>
      </c>
      <c r="J110" s="19">
        <v>9.2497368746637276E-2</v>
      </c>
    </row>
    <row r="111" spans="1:10" ht="11.25" customHeight="1" x14ac:dyDescent="0.2">
      <c r="A111" s="28">
        <v>44348</v>
      </c>
      <c r="B111" s="18">
        <v>94574.399999999994</v>
      </c>
      <c r="C111" s="18">
        <v>93022.73494355804</v>
      </c>
      <c r="D111" s="18">
        <v>198900.96483399998</v>
      </c>
      <c r="E111" s="18">
        <v>261397.08052633647</v>
      </c>
      <c r="F111" s="18">
        <v>1233063.9568389999</v>
      </c>
      <c r="G111" s="18">
        <v>1312559.8374329514</v>
      </c>
      <c r="H111" s="19">
        <v>0.2076646217660103</v>
      </c>
      <c r="I111" s="19">
        <v>6.4470200554512802E-2</v>
      </c>
      <c r="J111" s="19">
        <v>9.1999157333157777E-2</v>
      </c>
    </row>
    <row r="112" spans="1:10" ht="11.25" customHeight="1" x14ac:dyDescent="0.2">
      <c r="A112" s="28">
        <v>44378</v>
      </c>
      <c r="B112" s="18">
        <v>94574.399999999994</v>
      </c>
      <c r="C112" s="18">
        <v>93022.73494355804</v>
      </c>
      <c r="D112" s="18">
        <v>210188.76190839999</v>
      </c>
      <c r="E112" s="18">
        <v>276231.5847394478</v>
      </c>
      <c r="F112" s="18">
        <v>1303041.3736713999</v>
      </c>
      <c r="G112" s="18">
        <v>1387048.7123628231</v>
      </c>
      <c r="H112" s="19">
        <v>0.21161073855110279</v>
      </c>
      <c r="I112" s="19">
        <v>6.4470200554513024E-2</v>
      </c>
      <c r="J112" s="19">
        <v>9.2361038409733087E-2</v>
      </c>
    </row>
    <row r="113" spans="1:10" ht="11.25" customHeight="1" x14ac:dyDescent="0.2">
      <c r="A113" s="27" t="s">
        <v>34</v>
      </c>
      <c r="B113" s="18">
        <v>359142.90099999995</v>
      </c>
      <c r="C113" s="18">
        <v>414823.6595752018</v>
      </c>
      <c r="D113" s="18">
        <v>30996.6266368</v>
      </c>
      <c r="E113" s="18">
        <v>40735.989972630705</v>
      </c>
      <c r="F113" s="18">
        <v>315930.48064000002</v>
      </c>
      <c r="G113" s="18">
        <v>330844.69395531499</v>
      </c>
      <c r="H113" s="19">
        <v>0.16768391120813408</v>
      </c>
      <c r="I113" s="19">
        <v>4.7207263082379214E-2</v>
      </c>
      <c r="J113" s="19">
        <v>0.1137767279230677</v>
      </c>
    </row>
    <row r="114" spans="1:10" ht="11.25" customHeight="1" x14ac:dyDescent="0.2">
      <c r="A114" s="28">
        <v>44287</v>
      </c>
      <c r="B114" s="18">
        <v>90646.906999999992</v>
      </c>
      <c r="C114" s="18">
        <v>104700.61244761448</v>
      </c>
      <c r="D114" s="18">
        <v>7368.2854475999993</v>
      </c>
      <c r="E114" s="18">
        <v>9683.4538037298298</v>
      </c>
      <c r="F114" s="18">
        <v>75100.622730000003</v>
      </c>
      <c r="G114" s="18">
        <v>78645.917584865616</v>
      </c>
      <c r="H114" s="19">
        <v>0.16700343482460944</v>
      </c>
      <c r="I114" s="19">
        <v>4.7207263082379214E-2</v>
      </c>
      <c r="J114" s="19">
        <v>0.11503379190503149</v>
      </c>
    </row>
    <row r="115" spans="1:10" ht="11.25" customHeight="1" x14ac:dyDescent="0.2">
      <c r="A115" s="28">
        <v>44317</v>
      </c>
      <c r="B115" s="18">
        <v>89129.3</v>
      </c>
      <c r="C115" s="18">
        <v>102947.71885627788</v>
      </c>
      <c r="D115" s="18">
        <v>7750.1004943999997</v>
      </c>
      <c r="E115" s="18">
        <v>10185.237888175287</v>
      </c>
      <c r="F115" s="18">
        <v>78992.240120000002</v>
      </c>
      <c r="G115" s="18">
        <v>82721.247580811309</v>
      </c>
      <c r="H115" s="19">
        <v>0.16777102425394008</v>
      </c>
      <c r="I115" s="19">
        <v>4.7207263082379214E-2</v>
      </c>
      <c r="J115" s="19">
        <v>0.11362015866262598</v>
      </c>
    </row>
    <row r="116" spans="1:10" ht="11.25" customHeight="1" x14ac:dyDescent="0.2">
      <c r="A116" s="28">
        <v>44348</v>
      </c>
      <c r="B116" s="18">
        <v>89129.3</v>
      </c>
      <c r="C116" s="18">
        <v>102947.71885627788</v>
      </c>
      <c r="D116" s="18">
        <v>7746.8644880000002</v>
      </c>
      <c r="E116" s="18">
        <v>10180.985105257765</v>
      </c>
      <c r="F116" s="18">
        <v>78959.257400000002</v>
      </c>
      <c r="G116" s="18">
        <v>82686.707836871094</v>
      </c>
      <c r="H116" s="19">
        <v>0.16776613276786811</v>
      </c>
      <c r="I116" s="19">
        <v>4.7207263082379214E-2</v>
      </c>
      <c r="J116" s="19">
        <v>0.11362892468352115</v>
      </c>
    </row>
    <row r="117" spans="1:10" ht="11.25" customHeight="1" x14ac:dyDescent="0.2">
      <c r="A117" s="28">
        <v>44378</v>
      </c>
      <c r="B117" s="18">
        <v>90237.394</v>
      </c>
      <c r="C117" s="18">
        <v>104227.60941503159</v>
      </c>
      <c r="D117" s="18">
        <v>8131.3762067999996</v>
      </c>
      <c r="E117" s="18">
        <v>10686.313175467823</v>
      </c>
      <c r="F117" s="18">
        <v>82878.360390000002</v>
      </c>
      <c r="G117" s="18">
        <v>86790.820952766968</v>
      </c>
      <c r="H117" s="19">
        <v>0.16819517361980485</v>
      </c>
      <c r="I117" s="19">
        <v>4.7207263082379214E-2</v>
      </c>
      <c r="J117" s="19">
        <v>0.11287137555835902</v>
      </c>
    </row>
    <row r="118" spans="1:10" ht="11.25" customHeight="1" x14ac:dyDescent="0.2">
      <c r="A118" s="21" t="s">
        <v>41</v>
      </c>
      <c r="B118" s="18">
        <v>63633411.860500015</v>
      </c>
      <c r="C118" s="18">
        <v>73893984.620681763</v>
      </c>
      <c r="D118" s="18">
        <v>55961521.975450777</v>
      </c>
      <c r="E118" s="18">
        <v>70419572.155823231</v>
      </c>
      <c r="F118" s="18">
        <v>106477334.02941875</v>
      </c>
      <c r="G118" s="18">
        <v>113152119.88226223</v>
      </c>
      <c r="H118" s="19">
        <v>0.2066862044044524</v>
      </c>
      <c r="I118" s="19">
        <v>6.2687387073377954E-2</v>
      </c>
      <c r="J118" s="19">
        <v>0.13886448386536832</v>
      </c>
    </row>
    <row r="119" spans="1:10" ht="11.25" customHeight="1" x14ac:dyDescent="0.2">
      <c r="A119" s="22" t="s">
        <v>40</v>
      </c>
      <c r="B119" s="18">
        <v>21189110.646899994</v>
      </c>
      <c r="C119" s="18">
        <v>25382947.462096214</v>
      </c>
      <c r="D119" s="18">
        <v>5415777.5172293996</v>
      </c>
      <c r="E119" s="18">
        <v>7054923.5842706356</v>
      </c>
      <c r="F119" s="18">
        <v>24725568.147579208</v>
      </c>
      <c r="G119" s="18">
        <v>26264884.225175615</v>
      </c>
      <c r="H119" s="19">
        <v>0.21924478111890333</v>
      </c>
      <c r="I119" s="19">
        <v>6.2256044771497487E-2</v>
      </c>
      <c r="J119" s="19">
        <v>0.14362426305086662</v>
      </c>
    </row>
    <row r="120" spans="1:10" ht="11.25" customHeight="1" x14ac:dyDescent="0.2">
      <c r="A120" s="23" t="s">
        <v>43</v>
      </c>
      <c r="B120" s="18">
        <v>7793608.9599999972</v>
      </c>
      <c r="C120" s="18">
        <v>9364496.4280865006</v>
      </c>
      <c r="D120" s="18">
        <v>1693352.8403399996</v>
      </c>
      <c r="E120" s="18">
        <v>2205865.1508117919</v>
      </c>
      <c r="F120" s="18">
        <v>7789417.0331900008</v>
      </c>
      <c r="G120" s="18">
        <v>8271908.5053094449</v>
      </c>
      <c r="H120" s="19">
        <v>0.21960663723592022</v>
      </c>
      <c r="I120" s="19">
        <v>6.1941923261213505E-2</v>
      </c>
      <c r="J120" s="19">
        <v>0.14852020063937621</v>
      </c>
    </row>
    <row r="121" spans="1:10" ht="11.25" customHeight="1" x14ac:dyDescent="0.2">
      <c r="A121" s="24" t="s">
        <v>25</v>
      </c>
      <c r="B121" s="18">
        <v>7793608.9599999972</v>
      </c>
      <c r="C121" s="18">
        <v>9364496.4280865006</v>
      </c>
      <c r="D121" s="18">
        <v>1693352.8403399996</v>
      </c>
      <c r="E121" s="18">
        <v>2205865.1508117919</v>
      </c>
      <c r="F121" s="18">
        <v>7789417.0331900008</v>
      </c>
      <c r="G121" s="18">
        <v>8271908.5053094449</v>
      </c>
      <c r="H121" s="19">
        <v>0.21960663723592022</v>
      </c>
      <c r="I121" s="19">
        <v>6.1941923261213505E-2</v>
      </c>
      <c r="J121" s="19">
        <v>0.14852020063937621</v>
      </c>
    </row>
    <row r="122" spans="1:10" ht="11.25" customHeight="1" x14ac:dyDescent="0.2">
      <c r="A122" s="25" t="s">
        <v>25</v>
      </c>
      <c r="B122" s="18">
        <v>7793608.9599999972</v>
      </c>
      <c r="C122" s="18">
        <v>9364496.4280865006</v>
      </c>
      <c r="D122" s="18">
        <v>1693352.8403399996</v>
      </c>
      <c r="E122" s="18">
        <v>2205865.1508117919</v>
      </c>
      <c r="F122" s="18">
        <v>7789417.0331900008</v>
      </c>
      <c r="G122" s="18">
        <v>8271908.5053094449</v>
      </c>
      <c r="H122" s="19">
        <v>0.21960663723592022</v>
      </c>
      <c r="I122" s="19">
        <v>6.1941923261213505E-2</v>
      </c>
      <c r="J122" s="19">
        <v>0.14852020063937621</v>
      </c>
    </row>
    <row r="123" spans="1:10" ht="11.25" customHeight="1" x14ac:dyDescent="0.2">
      <c r="A123" s="26" t="s">
        <v>25</v>
      </c>
      <c r="B123" s="18">
        <v>7793608.9599999972</v>
      </c>
      <c r="C123" s="18">
        <v>9364496.4280865006</v>
      </c>
      <c r="D123" s="18">
        <v>1693352.8403399996</v>
      </c>
      <c r="E123" s="18">
        <v>2205865.1508117919</v>
      </c>
      <c r="F123" s="18">
        <v>7789417.0331900008</v>
      </c>
      <c r="G123" s="18">
        <v>8271908.5053094449</v>
      </c>
      <c r="H123" s="19">
        <v>0.21960663723592022</v>
      </c>
      <c r="I123" s="19">
        <v>6.1941923261213505E-2</v>
      </c>
      <c r="J123" s="19">
        <v>0.14852020063937621</v>
      </c>
    </row>
    <row r="124" spans="1:10" ht="11.25" customHeight="1" x14ac:dyDescent="0.2">
      <c r="A124" s="27" t="s">
        <v>35</v>
      </c>
      <c r="B124" s="18">
        <v>2430440.8699999996</v>
      </c>
      <c r="C124" s="18">
        <v>2777833.6310208007</v>
      </c>
      <c r="D124" s="18">
        <v>1533326.7117300001</v>
      </c>
      <c r="E124" s="18">
        <v>1997405.3118988047</v>
      </c>
      <c r="F124" s="18">
        <v>6648602.7166900001</v>
      </c>
      <c r="G124" s="18">
        <v>7077239.4672422837</v>
      </c>
      <c r="H124" s="19">
        <v>0.20472223571580783</v>
      </c>
      <c r="I124" s="19">
        <v>6.4470200554512802E-2</v>
      </c>
      <c r="J124" s="19">
        <v>0.11685496047254618</v>
      </c>
    </row>
    <row r="125" spans="1:10" ht="11.25" customHeight="1" x14ac:dyDescent="0.2">
      <c r="A125" s="28">
        <v>44287</v>
      </c>
      <c r="B125" s="18">
        <v>205492.43</v>
      </c>
      <c r="C125" s="18">
        <v>234864.29561818048</v>
      </c>
      <c r="D125" s="18">
        <v>133928.98083000001</v>
      </c>
      <c r="E125" s="18">
        <v>174464.09540808972</v>
      </c>
      <c r="F125" s="18">
        <v>580724.62899000011</v>
      </c>
      <c r="G125" s="18">
        <v>618164.0622879304</v>
      </c>
      <c r="H125" s="19">
        <v>0.20595925291019213</v>
      </c>
      <c r="I125" s="19">
        <v>6.4470200554512802E-2</v>
      </c>
      <c r="J125" s="19">
        <v>0.11666236537321817</v>
      </c>
    </row>
    <row r="126" spans="1:10" ht="11.25" customHeight="1" x14ac:dyDescent="0.2">
      <c r="A126" s="28">
        <v>44317</v>
      </c>
      <c r="B126" s="18">
        <v>213441.8</v>
      </c>
      <c r="C126" s="18">
        <v>243949.90128092095</v>
      </c>
      <c r="D126" s="18">
        <v>133952.56503</v>
      </c>
      <c r="E126" s="18">
        <v>174494.81763186399</v>
      </c>
      <c r="F126" s="18">
        <v>580826.89159000001</v>
      </c>
      <c r="G126" s="18">
        <v>618272.9177782617</v>
      </c>
      <c r="H126" s="19">
        <v>0.20452362224312193</v>
      </c>
      <c r="I126" s="19">
        <v>6.4470200554513024E-2</v>
      </c>
      <c r="J126" s="19">
        <v>0.11688633426271933</v>
      </c>
    </row>
    <row r="127" spans="1:10" ht="11.25" customHeight="1" x14ac:dyDescent="0.2">
      <c r="A127" s="28">
        <v>44348</v>
      </c>
      <c r="B127" s="18">
        <v>217525.88</v>
      </c>
      <c r="C127" s="18">
        <v>248617.73538287933</v>
      </c>
      <c r="D127" s="18">
        <v>117383.33150999999</v>
      </c>
      <c r="E127" s="18">
        <v>152910.71895689913</v>
      </c>
      <c r="F127" s="18">
        <v>508981.63503</v>
      </c>
      <c r="G127" s="18">
        <v>541795.78311894799</v>
      </c>
      <c r="H127" s="19">
        <v>0.19891732009822394</v>
      </c>
      <c r="I127" s="19">
        <v>6.4470200554512802E-2</v>
      </c>
      <c r="J127" s="19">
        <v>0.11782731300666294</v>
      </c>
    </row>
    <row r="128" spans="1:10" ht="11.25" customHeight="1" x14ac:dyDescent="0.2">
      <c r="A128" s="28">
        <v>44378</v>
      </c>
      <c r="B128" s="18">
        <v>196449.11</v>
      </c>
      <c r="C128" s="18">
        <v>224528.37724955834</v>
      </c>
      <c r="D128" s="18">
        <v>119564.04969000001</v>
      </c>
      <c r="E128" s="18">
        <v>155751.45605693429</v>
      </c>
      <c r="F128" s="18">
        <v>518437.36857000011</v>
      </c>
      <c r="G128" s="18">
        <v>551861.12969666184</v>
      </c>
      <c r="H128" s="19">
        <v>0.20336708028088601</v>
      </c>
      <c r="I128" s="19">
        <v>6.4470200554512802E-2</v>
      </c>
      <c r="J128" s="19">
        <v>0.11707157157280368</v>
      </c>
    </row>
    <row r="129" spans="1:10" ht="11.25" customHeight="1" x14ac:dyDescent="0.2">
      <c r="A129" s="28">
        <v>44409</v>
      </c>
      <c r="B129" s="18">
        <v>196084.46</v>
      </c>
      <c r="C129" s="18">
        <v>224111.60634759776</v>
      </c>
      <c r="D129" s="18">
        <v>114539.94858000001</v>
      </c>
      <c r="E129" s="18">
        <v>149206.75415624911</v>
      </c>
      <c r="F129" s="18">
        <v>496652.54473999998</v>
      </c>
      <c r="G129" s="18">
        <v>528671.83390529698</v>
      </c>
      <c r="H129" s="19">
        <v>0.20183202025381197</v>
      </c>
      <c r="I129" s="19">
        <v>6.4470200554513024E-2</v>
      </c>
      <c r="J129" s="19">
        <v>0.11732434661936897</v>
      </c>
    </row>
    <row r="130" spans="1:10" ht="11.25" customHeight="1" x14ac:dyDescent="0.2">
      <c r="A130" s="28">
        <v>44440</v>
      </c>
      <c r="B130" s="18">
        <v>197445.82</v>
      </c>
      <c r="C130" s="18">
        <v>225667.55104825055</v>
      </c>
      <c r="D130" s="18">
        <v>117834.76386000001</v>
      </c>
      <c r="E130" s="18">
        <v>153498.78239240506</v>
      </c>
      <c r="F130" s="18">
        <v>510939.07457999996</v>
      </c>
      <c r="G130" s="18">
        <v>543879.41918930982</v>
      </c>
      <c r="H130" s="19">
        <v>0.20263141103869553</v>
      </c>
      <c r="I130" s="19">
        <v>6.4470200554513024E-2</v>
      </c>
      <c r="J130" s="19">
        <v>0.11719170949379798</v>
      </c>
    </row>
    <row r="131" spans="1:10" ht="11.25" customHeight="1" x14ac:dyDescent="0.2">
      <c r="A131" s="28">
        <v>44470</v>
      </c>
      <c r="B131" s="18">
        <v>205322.26</v>
      </c>
      <c r="C131" s="18">
        <v>234669.80253059888</v>
      </c>
      <c r="D131" s="18">
        <v>134629.02141000002</v>
      </c>
      <c r="E131" s="18">
        <v>175376.01115464256</v>
      </c>
      <c r="F131" s="18">
        <v>583760.04973000009</v>
      </c>
      <c r="G131" s="18">
        <v>621395.17721180548</v>
      </c>
      <c r="H131" s="19">
        <v>0.20618993399440533</v>
      </c>
      <c r="I131" s="19">
        <v>6.447020055451258E-2</v>
      </c>
      <c r="J131" s="19">
        <v>0.11662697655131282</v>
      </c>
    </row>
    <row r="132" spans="1:10" ht="11.25" customHeight="1" x14ac:dyDescent="0.2">
      <c r="A132" s="28">
        <v>44501</v>
      </c>
      <c r="B132" s="18">
        <v>197178.41</v>
      </c>
      <c r="C132" s="18">
        <v>225361.91905347948</v>
      </c>
      <c r="D132" s="18">
        <v>129189.42822000002</v>
      </c>
      <c r="E132" s="18">
        <v>168290.06381598578</v>
      </c>
      <c r="F132" s="18">
        <v>560173.62566000002</v>
      </c>
      <c r="G132" s="18">
        <v>596288.13165164879</v>
      </c>
      <c r="H132" s="19">
        <v>0.20616046304204128</v>
      </c>
      <c r="I132" s="19">
        <v>6.4470200554512802E-2</v>
      </c>
      <c r="J132" s="19">
        <v>0.11663148860357175</v>
      </c>
    </row>
    <row r="133" spans="1:10" ht="11.25" customHeight="1" x14ac:dyDescent="0.2">
      <c r="A133" s="28">
        <v>44531</v>
      </c>
      <c r="B133" s="18">
        <v>197372.88999999998</v>
      </c>
      <c r="C133" s="18">
        <v>225584.19686785844</v>
      </c>
      <c r="D133" s="18">
        <v>134313.96726</v>
      </c>
      <c r="E133" s="18">
        <v>174965.60231748369</v>
      </c>
      <c r="F133" s="18">
        <v>582393.95477999991</v>
      </c>
      <c r="G133" s="18">
        <v>619941.00984640245</v>
      </c>
      <c r="H133" s="19">
        <v>0.20761432181608108</v>
      </c>
      <c r="I133" s="19">
        <v>6.4470200554513024E-2</v>
      </c>
      <c r="J133" s="19">
        <v>0.11641202352149183</v>
      </c>
    </row>
    <row r="134" spans="1:10" ht="11.25" customHeight="1" x14ac:dyDescent="0.2">
      <c r="A134" s="28">
        <v>44562</v>
      </c>
      <c r="B134" s="18">
        <v>198588.38999999998</v>
      </c>
      <c r="C134" s="18">
        <v>226973.43320772701</v>
      </c>
      <c r="D134" s="18">
        <v>135947.63454</v>
      </c>
      <c r="E134" s="18">
        <v>177093.71740084098</v>
      </c>
      <c r="F134" s="18">
        <v>589477.64062000008</v>
      </c>
      <c r="G134" s="18">
        <v>627481.38233317249</v>
      </c>
      <c r="H134" s="19">
        <v>0.20784346368728435</v>
      </c>
      <c r="I134" s="19">
        <v>6.4470200554512802E-2</v>
      </c>
      <c r="J134" s="19">
        <v>0.11637800590656844</v>
      </c>
    </row>
    <row r="135" spans="1:10" ht="11.25" customHeight="1" x14ac:dyDescent="0.2">
      <c r="A135" s="28">
        <v>44593</v>
      </c>
      <c r="B135" s="18">
        <v>202769.71</v>
      </c>
      <c r="C135" s="18">
        <v>231752.40621687489</v>
      </c>
      <c r="D135" s="18">
        <v>131021.51040000003</v>
      </c>
      <c r="E135" s="18">
        <v>170676.64630370514</v>
      </c>
      <c r="F135" s="18">
        <v>568117.65120000008</v>
      </c>
      <c r="G135" s="18">
        <v>604744.31011142279</v>
      </c>
      <c r="H135" s="19">
        <v>0.20563102899569263</v>
      </c>
      <c r="I135" s="19">
        <v>6.4470200554512802E-2</v>
      </c>
      <c r="J135" s="19">
        <v>0.116713000998939</v>
      </c>
    </row>
    <row r="136" spans="1:10" ht="11.25" customHeight="1" x14ac:dyDescent="0.2">
      <c r="A136" s="28">
        <v>44621</v>
      </c>
      <c r="B136" s="18">
        <v>202769.71</v>
      </c>
      <c r="C136" s="18">
        <v>231752.40621687489</v>
      </c>
      <c r="D136" s="18">
        <v>131021.51040000003</v>
      </c>
      <c r="E136" s="18">
        <v>170676.64630370514</v>
      </c>
      <c r="F136" s="18">
        <v>568117.65120000008</v>
      </c>
      <c r="G136" s="18">
        <v>604744.31011142279</v>
      </c>
      <c r="H136" s="19">
        <v>0.20563102899569263</v>
      </c>
      <c r="I136" s="19">
        <v>6.4470200554512802E-2</v>
      </c>
      <c r="J136" s="19">
        <v>0.116713000998939</v>
      </c>
    </row>
    <row r="137" spans="1:10" ht="11.25" customHeight="1" x14ac:dyDescent="0.2">
      <c r="A137" s="27" t="s">
        <v>34</v>
      </c>
      <c r="B137" s="18">
        <v>5363168.09</v>
      </c>
      <c r="C137" s="18">
        <v>6586662.7970657013</v>
      </c>
      <c r="D137" s="18">
        <v>160026.12860999999</v>
      </c>
      <c r="E137" s="18">
        <v>208459.8389129866</v>
      </c>
      <c r="F137" s="18">
        <v>1140814.3165</v>
      </c>
      <c r="G137" s="18">
        <v>1194669.0380671599</v>
      </c>
      <c r="H137" s="19">
        <v>0.23028855532239279</v>
      </c>
      <c r="I137" s="19">
        <v>4.7207263082379214E-2</v>
      </c>
      <c r="J137" s="19">
        <v>0.19894679485340205</v>
      </c>
    </row>
    <row r="138" spans="1:10" ht="11.25" customHeight="1" x14ac:dyDescent="0.2">
      <c r="A138" s="28">
        <v>44287</v>
      </c>
      <c r="B138" s="18">
        <v>460315.30999999994</v>
      </c>
      <c r="C138" s="18">
        <v>565326.62717583508</v>
      </c>
      <c r="D138" s="18">
        <v>13172.852370000001</v>
      </c>
      <c r="E138" s="18">
        <v>17159.764514250433</v>
      </c>
      <c r="F138" s="18">
        <v>93908.280499999993</v>
      </c>
      <c r="G138" s="18">
        <v>98341.433403177361</v>
      </c>
      <c r="H138" s="19">
        <v>0.23020264915284328</v>
      </c>
      <c r="I138" s="19">
        <v>4.7207263082379214E-2</v>
      </c>
      <c r="J138" s="19">
        <v>0.19991556811584021</v>
      </c>
    </row>
    <row r="139" spans="1:10" ht="11.25" customHeight="1" x14ac:dyDescent="0.2">
      <c r="A139" s="28">
        <v>44317</v>
      </c>
      <c r="B139" s="18">
        <v>477988.62999999995</v>
      </c>
      <c r="C139" s="18">
        <v>587031.745753358</v>
      </c>
      <c r="D139" s="18">
        <v>13456.426740000001</v>
      </c>
      <c r="E139" s="18">
        <v>17529.16586141492</v>
      </c>
      <c r="F139" s="18">
        <v>95929.861000000004</v>
      </c>
      <c r="G139" s="18">
        <v>100458.44718568306</v>
      </c>
      <c r="H139" s="19">
        <v>0.23016989045556135</v>
      </c>
      <c r="I139" s="19">
        <v>4.7207263082379214E-2</v>
      </c>
      <c r="J139" s="19">
        <v>0.20028849974239282</v>
      </c>
    </row>
    <row r="140" spans="1:10" ht="11.25" customHeight="1" x14ac:dyDescent="0.2">
      <c r="A140" s="28">
        <v>44348</v>
      </c>
      <c r="B140" s="18">
        <v>468280.75</v>
      </c>
      <c r="C140" s="18">
        <v>575109.21583049325</v>
      </c>
      <c r="D140" s="18">
        <v>12429.078480000002</v>
      </c>
      <c r="E140" s="18">
        <v>16190.87907882913</v>
      </c>
      <c r="F140" s="18">
        <v>88605.971999999994</v>
      </c>
      <c r="G140" s="18">
        <v>92788.817430873925</v>
      </c>
      <c r="H140" s="19">
        <v>0.23005617916947463</v>
      </c>
      <c r="I140" s="19">
        <v>4.7207263082379214E-2</v>
      </c>
      <c r="J140" s="19">
        <v>0.2015983251535074</v>
      </c>
    </row>
    <row r="141" spans="1:10" ht="11.25" customHeight="1" x14ac:dyDescent="0.2">
      <c r="A141" s="28">
        <v>44378</v>
      </c>
      <c r="B141" s="18">
        <v>431004.98</v>
      </c>
      <c r="C141" s="18">
        <v>529329.7579856473</v>
      </c>
      <c r="D141" s="18">
        <v>12739.97976</v>
      </c>
      <c r="E141" s="18">
        <v>16595.878133106016</v>
      </c>
      <c r="F141" s="18">
        <v>90822.363999999987</v>
      </c>
      <c r="G141" s="18">
        <v>95109.839231111589</v>
      </c>
      <c r="H141" s="19">
        <v>0.2302689283817847</v>
      </c>
      <c r="I141" s="19">
        <v>4.7207263082379214E-2</v>
      </c>
      <c r="J141" s="19">
        <v>0.19916696524021926</v>
      </c>
    </row>
    <row r="142" spans="1:10" ht="11.25" customHeight="1" x14ac:dyDescent="0.2">
      <c r="A142" s="28">
        <v>44409</v>
      </c>
      <c r="B142" s="18">
        <v>433743.1</v>
      </c>
      <c r="C142" s="18">
        <v>532692.5228356861</v>
      </c>
      <c r="D142" s="18">
        <v>12571.301459999999</v>
      </c>
      <c r="E142" s="18">
        <v>16376.147445676768</v>
      </c>
      <c r="F142" s="18">
        <v>89619.869000000006</v>
      </c>
      <c r="G142" s="18">
        <v>93850.577733291371</v>
      </c>
      <c r="H142" s="19">
        <v>0.23022844094931583</v>
      </c>
      <c r="I142" s="19">
        <v>4.7207263082379214E-2</v>
      </c>
      <c r="J142" s="19">
        <v>0.19962331847677417</v>
      </c>
    </row>
    <row r="143" spans="1:10" ht="11.25" customHeight="1" x14ac:dyDescent="0.2">
      <c r="A143" s="28">
        <v>44440</v>
      </c>
      <c r="B143" s="18">
        <v>435547.76999999996</v>
      </c>
      <c r="C143" s="18">
        <v>534908.89057775715</v>
      </c>
      <c r="D143" s="18">
        <v>12782.27751</v>
      </c>
      <c r="E143" s="18">
        <v>16650.977773570798</v>
      </c>
      <c r="F143" s="18">
        <v>91123.901499999993</v>
      </c>
      <c r="G143" s="18">
        <v>95425.611491203308</v>
      </c>
      <c r="H143" s="19">
        <v>0.23025407601979975</v>
      </c>
      <c r="I143" s="19">
        <v>4.7207263082379214E-2</v>
      </c>
      <c r="J143" s="19">
        <v>0.19933403218174961</v>
      </c>
    </row>
    <row r="144" spans="1:10" ht="11.25" customHeight="1" x14ac:dyDescent="0.2">
      <c r="A144" s="28">
        <v>44470</v>
      </c>
      <c r="B144" s="18">
        <v>455150.22</v>
      </c>
      <c r="C144" s="18">
        <v>558983.22984508006</v>
      </c>
      <c r="D144" s="18">
        <v>13257.55041</v>
      </c>
      <c r="E144" s="18">
        <v>17270.097370065971</v>
      </c>
      <c r="F144" s="18">
        <v>94512.086500000005</v>
      </c>
      <c r="G144" s="18">
        <v>98973.743431870083</v>
      </c>
      <c r="H144" s="19">
        <v>0.2302386160476122</v>
      </c>
      <c r="I144" s="19">
        <v>4.7207263082379214E-2</v>
      </c>
      <c r="J144" s="19">
        <v>0.1995083533799944</v>
      </c>
    </row>
    <row r="145" spans="1:10" ht="11.25" customHeight="1" x14ac:dyDescent="0.2">
      <c r="A145" s="28">
        <v>44501</v>
      </c>
      <c r="B145" s="18">
        <v>438659.26999999996</v>
      </c>
      <c r="C145" s="18">
        <v>538730.21427098301</v>
      </c>
      <c r="D145" s="18">
        <v>12869.744130000001</v>
      </c>
      <c r="E145" s="18">
        <v>16764.917151307665</v>
      </c>
      <c r="F145" s="18">
        <v>91747.444499999998</v>
      </c>
      <c r="G145" s="18">
        <v>96078.590249647488</v>
      </c>
      <c r="H145" s="19">
        <v>0.23025345888926152</v>
      </c>
      <c r="I145" s="19">
        <v>4.7207263082379214E-2</v>
      </c>
      <c r="J145" s="19">
        <v>0.1993409825175112</v>
      </c>
    </row>
    <row r="146" spans="1:10" ht="11.25" customHeight="1" x14ac:dyDescent="0.2">
      <c r="A146" s="28">
        <v>44531</v>
      </c>
      <c r="B146" s="18">
        <v>436854.6</v>
      </c>
      <c r="C146" s="18">
        <v>536513.84652891196</v>
      </c>
      <c r="D146" s="18">
        <v>14636.251980000001</v>
      </c>
      <c r="E146" s="18">
        <v>19066.078499445874</v>
      </c>
      <c r="F146" s="18">
        <v>104340.747</v>
      </c>
      <c r="G146" s="18">
        <v>109266.38809384096</v>
      </c>
      <c r="H146" s="19">
        <v>0.23054525377840607</v>
      </c>
      <c r="I146" s="19">
        <v>4.7207263082378992E-2</v>
      </c>
      <c r="J146" s="19">
        <v>0.19612903322202335</v>
      </c>
    </row>
    <row r="147" spans="1:10" ht="11.25" customHeight="1" x14ac:dyDescent="0.2">
      <c r="A147" s="28">
        <v>44562</v>
      </c>
      <c r="B147" s="18">
        <v>436481.22</v>
      </c>
      <c r="C147" s="18">
        <v>536055.28768572491</v>
      </c>
      <c r="D147" s="18">
        <v>14200.09809</v>
      </c>
      <c r="E147" s="18">
        <v>18497.917721950249</v>
      </c>
      <c r="F147" s="18">
        <v>101231.43849999999</v>
      </c>
      <c r="G147" s="18">
        <v>106010.29764947719</v>
      </c>
      <c r="H147" s="19">
        <v>0.2304774641156353</v>
      </c>
      <c r="I147" s="19">
        <v>4.7207263082379214E-2</v>
      </c>
      <c r="J147" s="19">
        <v>0.19686217643971915</v>
      </c>
    </row>
    <row r="148" spans="1:10" ht="11.25" customHeight="1" x14ac:dyDescent="0.2">
      <c r="A148" s="28">
        <v>44593</v>
      </c>
      <c r="B148" s="18">
        <v>444571.12</v>
      </c>
      <c r="C148" s="18">
        <v>545990.72928811214</v>
      </c>
      <c r="D148" s="18">
        <v>13955.283840000002</v>
      </c>
      <c r="E148" s="18">
        <v>18179.007681684398</v>
      </c>
      <c r="F148" s="18">
        <v>99486.176000000007</v>
      </c>
      <c r="G148" s="18">
        <v>104182.64608349188</v>
      </c>
      <c r="H148" s="19">
        <v>0.2303974912787361</v>
      </c>
      <c r="I148" s="19">
        <v>4.7207263082379214E-2</v>
      </c>
      <c r="J148" s="19">
        <v>0.19773712493171103</v>
      </c>
    </row>
    <row r="149" spans="1:10" ht="11.25" customHeight="1" x14ac:dyDescent="0.2">
      <c r="A149" s="28">
        <v>44621</v>
      </c>
      <c r="B149" s="18">
        <v>444571.12</v>
      </c>
      <c r="C149" s="18">
        <v>545990.72928811214</v>
      </c>
      <c r="D149" s="18">
        <v>13955.283840000002</v>
      </c>
      <c r="E149" s="18">
        <v>18179.007681684398</v>
      </c>
      <c r="F149" s="18">
        <v>99486.176000000007</v>
      </c>
      <c r="G149" s="18">
        <v>104182.64608349188</v>
      </c>
      <c r="H149" s="19">
        <v>0.2303974912787361</v>
      </c>
      <c r="I149" s="19">
        <v>4.7207263082379214E-2</v>
      </c>
      <c r="J149" s="19">
        <v>0.19773712493171103</v>
      </c>
    </row>
    <row r="150" spans="1:10" ht="11.25" customHeight="1" x14ac:dyDescent="0.2">
      <c r="A150" s="23" t="s">
        <v>38</v>
      </c>
      <c r="B150" s="18">
        <v>3379498.5199999996</v>
      </c>
      <c r="C150" s="18">
        <v>3992695.0706898039</v>
      </c>
      <c r="D150" s="18">
        <v>722437.26425999997</v>
      </c>
      <c r="E150" s="18">
        <v>941091.03957269271</v>
      </c>
      <c r="F150" s="18">
        <v>3231472.7581800004</v>
      </c>
      <c r="G150" s="18">
        <v>3435446.7712510256</v>
      </c>
      <c r="H150" s="19">
        <v>0.20279457547689717</v>
      </c>
      <c r="I150" s="19">
        <v>6.3121068421417847E-2</v>
      </c>
      <c r="J150" s="19">
        <v>0.14124732490750924</v>
      </c>
    </row>
    <row r="151" spans="1:10" ht="11.25" customHeight="1" x14ac:dyDescent="0.2">
      <c r="A151" s="24" t="s">
        <v>25</v>
      </c>
      <c r="B151" s="18">
        <v>3379498.5199999996</v>
      </c>
      <c r="C151" s="18">
        <v>3992695.0706898039</v>
      </c>
      <c r="D151" s="18">
        <v>722437.26425999997</v>
      </c>
      <c r="E151" s="18">
        <v>941091.03957269271</v>
      </c>
      <c r="F151" s="18">
        <v>3231472.7581800004</v>
      </c>
      <c r="G151" s="18">
        <v>3435446.7712510256</v>
      </c>
      <c r="H151" s="19">
        <v>0.20279457547689717</v>
      </c>
      <c r="I151" s="19">
        <v>6.3121068421417847E-2</v>
      </c>
      <c r="J151" s="19">
        <v>0.14124732490750924</v>
      </c>
    </row>
    <row r="152" spans="1:10" ht="11.25" customHeight="1" x14ac:dyDescent="0.2">
      <c r="A152" s="25" t="s">
        <v>25</v>
      </c>
      <c r="B152" s="18">
        <v>3379498.5199999996</v>
      </c>
      <c r="C152" s="18">
        <v>3992695.0706898039</v>
      </c>
      <c r="D152" s="18">
        <v>722437.26425999997</v>
      </c>
      <c r="E152" s="18">
        <v>941091.03957269271</v>
      </c>
      <c r="F152" s="18">
        <v>3231472.7581800004</v>
      </c>
      <c r="G152" s="18">
        <v>3435446.7712510256</v>
      </c>
      <c r="H152" s="19">
        <v>0.20279457547689717</v>
      </c>
      <c r="I152" s="19">
        <v>6.3121068421417847E-2</v>
      </c>
      <c r="J152" s="19">
        <v>0.14124732490750924</v>
      </c>
    </row>
    <row r="153" spans="1:10" ht="11.25" customHeight="1" x14ac:dyDescent="0.2">
      <c r="A153" s="26" t="s">
        <v>25</v>
      </c>
      <c r="B153" s="18">
        <v>3379498.5199999996</v>
      </c>
      <c r="C153" s="18">
        <v>3992695.0706898039</v>
      </c>
      <c r="D153" s="18">
        <v>722437.26425999997</v>
      </c>
      <c r="E153" s="18">
        <v>941091.03957269271</v>
      </c>
      <c r="F153" s="18">
        <v>3231472.7581800004</v>
      </c>
      <c r="G153" s="18">
        <v>3435446.7712510256</v>
      </c>
      <c r="H153" s="19">
        <v>0.20279457547689717</v>
      </c>
      <c r="I153" s="19">
        <v>6.3121068421417847E-2</v>
      </c>
      <c r="J153" s="19">
        <v>0.14124732490750924</v>
      </c>
    </row>
    <row r="154" spans="1:10" ht="11.25" customHeight="1" x14ac:dyDescent="0.2">
      <c r="A154" s="27" t="s">
        <v>35</v>
      </c>
      <c r="B154" s="18">
        <v>1851814.2499999998</v>
      </c>
      <c r="C154" s="18">
        <v>2116501.5637897672</v>
      </c>
      <c r="D154" s="18">
        <v>687011.74505999999</v>
      </c>
      <c r="E154" s="18">
        <v>894943.58796597179</v>
      </c>
      <c r="F154" s="18">
        <v>2978926.87818</v>
      </c>
      <c r="G154" s="18">
        <v>3170978.8914534943</v>
      </c>
      <c r="H154" s="19">
        <v>0.18615657694357646</v>
      </c>
      <c r="I154" s="19">
        <v>6.4470200554513246E-2</v>
      </c>
      <c r="J154" s="19">
        <v>0.12046048187347336</v>
      </c>
    </row>
    <row r="155" spans="1:10" ht="11.25" customHeight="1" x14ac:dyDescent="0.2">
      <c r="A155" s="28">
        <v>44287</v>
      </c>
      <c r="B155" s="18">
        <v>153906.60999999999</v>
      </c>
      <c r="C155" s="18">
        <v>175905.10535415838</v>
      </c>
      <c r="D155" s="18">
        <v>52740.731220000001</v>
      </c>
      <c r="E155" s="18">
        <v>68703.307577155807</v>
      </c>
      <c r="F155" s="18">
        <v>228687.18466</v>
      </c>
      <c r="G155" s="18">
        <v>243430.69331927711</v>
      </c>
      <c r="H155" s="19">
        <v>0.18369978286292232</v>
      </c>
      <c r="I155" s="19">
        <v>6.4470200554512802E-2</v>
      </c>
      <c r="J155" s="19">
        <v>0.12106685143810392</v>
      </c>
    </row>
    <row r="156" spans="1:10" ht="11.25" customHeight="1" x14ac:dyDescent="0.2">
      <c r="A156" s="28">
        <v>44317</v>
      </c>
      <c r="B156" s="18">
        <v>157917.75999999998</v>
      </c>
      <c r="C156" s="18">
        <v>180489.58527572465</v>
      </c>
      <c r="D156" s="18">
        <v>61611.928049999995</v>
      </c>
      <c r="E156" s="18">
        <v>80259.472049859527</v>
      </c>
      <c r="F156" s="18">
        <v>267153.26165</v>
      </c>
      <c r="G156" s="18">
        <v>284376.68600736774</v>
      </c>
      <c r="H156" s="19">
        <v>0.18776216393199685</v>
      </c>
      <c r="I156" s="19">
        <v>6.4470200554512802E-2</v>
      </c>
      <c r="J156" s="19">
        <v>0.12008391432035381</v>
      </c>
    </row>
    <row r="157" spans="1:10" ht="11.25" customHeight="1" x14ac:dyDescent="0.2">
      <c r="A157" s="28">
        <v>44348</v>
      </c>
      <c r="B157" s="18">
        <v>157407.24999999997</v>
      </c>
      <c r="C157" s="18">
        <v>179906.10601297984</v>
      </c>
      <c r="D157" s="18">
        <v>53154.89028</v>
      </c>
      <c r="E157" s="18">
        <v>69242.816541609762</v>
      </c>
      <c r="F157" s="18">
        <v>230483.00484000001</v>
      </c>
      <c r="G157" s="18">
        <v>245342.29038644157</v>
      </c>
      <c r="H157" s="19">
        <v>0.18325603179791949</v>
      </c>
      <c r="I157" s="19">
        <v>6.4470200554512802E-2</v>
      </c>
      <c r="J157" s="19">
        <v>0.1211804923200992</v>
      </c>
    </row>
    <row r="158" spans="1:10" ht="11.25" customHeight="1" x14ac:dyDescent="0.2">
      <c r="A158" s="28">
        <v>44378</v>
      </c>
      <c r="B158" s="18">
        <v>157480.18</v>
      </c>
      <c r="C158" s="18">
        <v>179989.46019337198</v>
      </c>
      <c r="D158" s="18">
        <v>47984.977290000003</v>
      </c>
      <c r="E158" s="18">
        <v>62508.171153067808</v>
      </c>
      <c r="F158" s="18">
        <v>208065.93137000001</v>
      </c>
      <c r="G158" s="18">
        <v>221479.98369398541</v>
      </c>
      <c r="H158" s="19">
        <v>0.18023724579331479</v>
      </c>
      <c r="I158" s="19">
        <v>6.4470200554512802E-2</v>
      </c>
      <c r="J158" s="19">
        <v>0.12198968291330003</v>
      </c>
    </row>
    <row r="159" spans="1:10" ht="11.25" customHeight="1" x14ac:dyDescent="0.2">
      <c r="A159" s="28">
        <v>44409</v>
      </c>
      <c r="B159" s="18">
        <v>157455.86999999997</v>
      </c>
      <c r="C159" s="18">
        <v>179961.67546657461</v>
      </c>
      <c r="D159" s="18">
        <v>57254.593290000012</v>
      </c>
      <c r="E159" s="18">
        <v>74583.340845228275</v>
      </c>
      <c r="F159" s="18">
        <v>248259.57937000002</v>
      </c>
      <c r="G159" s="18">
        <v>264264.92424156296</v>
      </c>
      <c r="H159" s="19">
        <v>0.18552683651937407</v>
      </c>
      <c r="I159" s="19">
        <v>6.4470200554513024E-2</v>
      </c>
      <c r="J159" s="19">
        <v>0.12061233502828173</v>
      </c>
    </row>
    <row r="160" spans="1:10" ht="11.25" customHeight="1" x14ac:dyDescent="0.2">
      <c r="A160" s="28">
        <v>44440</v>
      </c>
      <c r="B160" s="18">
        <v>157504.49</v>
      </c>
      <c r="C160" s="18">
        <v>180017.24492016935</v>
      </c>
      <c r="D160" s="18">
        <v>57111.755070000007</v>
      </c>
      <c r="E160" s="18">
        <v>74397.271029064781</v>
      </c>
      <c r="F160" s="18">
        <v>247640.22371000002</v>
      </c>
      <c r="G160" s="18">
        <v>263605.63859794813</v>
      </c>
      <c r="H160" s="19">
        <v>0.1854392283596864</v>
      </c>
      <c r="I160" s="19">
        <v>6.4470200554512802E-2</v>
      </c>
      <c r="J160" s="19">
        <v>0.1206336515189399</v>
      </c>
    </row>
    <row r="161" spans="1:10" ht="11.25" customHeight="1" x14ac:dyDescent="0.2">
      <c r="A161" s="28">
        <v>44470</v>
      </c>
      <c r="B161" s="18">
        <v>160008.41999999998</v>
      </c>
      <c r="C161" s="18">
        <v>182879.0717802986</v>
      </c>
      <c r="D161" s="18">
        <v>62765.708130000006</v>
      </c>
      <c r="E161" s="18">
        <v>81762.456666852784</v>
      </c>
      <c r="F161" s="18">
        <v>272156.12589000002</v>
      </c>
      <c r="G161" s="18">
        <v>289702.08590826759</v>
      </c>
      <c r="H161" s="19">
        <v>0.18793654662052894</v>
      </c>
      <c r="I161" s="19">
        <v>6.4470200554512802E-2</v>
      </c>
      <c r="J161" s="19">
        <v>0.12004390487920791</v>
      </c>
    </row>
    <row r="162" spans="1:10" ht="11.25" customHeight="1" x14ac:dyDescent="0.2">
      <c r="A162" s="28">
        <v>44501</v>
      </c>
      <c r="B162" s="18">
        <v>163825.09</v>
      </c>
      <c r="C162" s="18">
        <v>187241.27388748588</v>
      </c>
      <c r="D162" s="18">
        <v>59814.555660000005</v>
      </c>
      <c r="E162" s="18">
        <v>77918.104661042787</v>
      </c>
      <c r="F162" s="18">
        <v>259359.73998000001</v>
      </c>
      <c r="G162" s="18">
        <v>276080.71443227696</v>
      </c>
      <c r="H162" s="19">
        <v>0.18565461757013879</v>
      </c>
      <c r="I162" s="19">
        <v>6.4470200554513024E-2</v>
      </c>
      <c r="J162" s="19">
        <v>0.12058132799409993</v>
      </c>
    </row>
    <row r="163" spans="1:10" ht="11.25" customHeight="1" x14ac:dyDescent="0.2">
      <c r="A163" s="28">
        <v>44531</v>
      </c>
      <c r="B163" s="18">
        <v>144693.12</v>
      </c>
      <c r="C163" s="18">
        <v>165374.6938979546</v>
      </c>
      <c r="D163" s="18">
        <v>60800.734110000005</v>
      </c>
      <c r="E163" s="18">
        <v>79202.761126909521</v>
      </c>
      <c r="F163" s="18">
        <v>263635.87283000001</v>
      </c>
      <c r="G163" s="18">
        <v>280632.53042471415</v>
      </c>
      <c r="H163" s="19">
        <v>0.19019352712097559</v>
      </c>
      <c r="I163" s="19">
        <v>6.4470200554512802E-2</v>
      </c>
      <c r="J163" s="19">
        <v>0.11954104651473241</v>
      </c>
    </row>
    <row r="164" spans="1:10" ht="11.25" customHeight="1" x14ac:dyDescent="0.2">
      <c r="A164" s="28">
        <v>44562</v>
      </c>
      <c r="B164" s="18">
        <v>144304.16</v>
      </c>
      <c r="C164" s="18">
        <v>164930.13826919664</v>
      </c>
      <c r="D164" s="18">
        <v>56241.651900000004</v>
      </c>
      <c r="E164" s="18">
        <v>73263.821334121996</v>
      </c>
      <c r="F164" s="18">
        <v>243867.4007</v>
      </c>
      <c r="G164" s="18">
        <v>259589.58093183677</v>
      </c>
      <c r="H164" s="19">
        <v>0.18772841649812899</v>
      </c>
      <c r="I164" s="19">
        <v>6.4470200554513024E-2</v>
      </c>
      <c r="J164" s="19">
        <v>0.12009167689438649</v>
      </c>
    </row>
    <row r="165" spans="1:10" ht="11.25" customHeight="1" x14ac:dyDescent="0.2">
      <c r="A165" s="28">
        <v>44593</v>
      </c>
      <c r="B165" s="18">
        <v>148655.65</v>
      </c>
      <c r="C165" s="18">
        <v>169903.60436592615</v>
      </c>
      <c r="D165" s="18">
        <v>58765.110030000003</v>
      </c>
      <c r="E165" s="18">
        <v>76551.032490529338</v>
      </c>
      <c r="F165" s="18">
        <v>254809.27659000002</v>
      </c>
      <c r="G165" s="18">
        <v>271236.88175490766</v>
      </c>
      <c r="H165" s="19">
        <v>0.18818693375151962</v>
      </c>
      <c r="I165" s="19">
        <v>6.4470200554512802E-2</v>
      </c>
      <c r="J165" s="19">
        <v>0.11998675464043473</v>
      </c>
    </row>
    <row r="166" spans="1:10" ht="11.25" customHeight="1" x14ac:dyDescent="0.2">
      <c r="A166" s="28">
        <v>44621</v>
      </c>
      <c r="B166" s="18">
        <v>148655.65</v>
      </c>
      <c r="C166" s="18">
        <v>169903.60436592615</v>
      </c>
      <c r="D166" s="18">
        <v>58765.110030000003</v>
      </c>
      <c r="E166" s="18">
        <v>76551.032490529338</v>
      </c>
      <c r="F166" s="18">
        <v>254809.27659000002</v>
      </c>
      <c r="G166" s="18">
        <v>271236.88175490766</v>
      </c>
      <c r="H166" s="19">
        <v>0.18818693375151962</v>
      </c>
      <c r="I166" s="19">
        <v>6.4470200554512802E-2</v>
      </c>
      <c r="J166" s="19">
        <v>0.11998675464043473</v>
      </c>
    </row>
    <row r="167" spans="1:10" ht="11.25" customHeight="1" x14ac:dyDescent="0.2">
      <c r="A167" s="27" t="s">
        <v>34</v>
      </c>
      <c r="B167" s="18">
        <v>1527684.27</v>
      </c>
      <c r="C167" s="18">
        <v>1876193.5069000367</v>
      </c>
      <c r="D167" s="18">
        <v>35425.519200000002</v>
      </c>
      <c r="E167" s="18">
        <v>46147.451606721181</v>
      </c>
      <c r="F167" s="18">
        <v>252545.88</v>
      </c>
      <c r="G167" s="18">
        <v>264467.879797531</v>
      </c>
      <c r="H167" s="19">
        <v>0.22981825831352065</v>
      </c>
      <c r="I167" s="19">
        <v>4.720726308237877E-2</v>
      </c>
      <c r="J167" s="19">
        <v>0.20441825804329072</v>
      </c>
    </row>
    <row r="168" spans="1:10" ht="11.25" customHeight="1" x14ac:dyDescent="0.2">
      <c r="A168" s="28">
        <v>44287</v>
      </c>
      <c r="B168" s="18">
        <v>131803.13999999998</v>
      </c>
      <c r="C168" s="18">
        <v>161871.27164504779</v>
      </c>
      <c r="D168" s="18">
        <v>3398.53449</v>
      </c>
      <c r="E168" s="18">
        <v>4427.1392333199119</v>
      </c>
      <c r="F168" s="18">
        <v>24227.898499999996</v>
      </c>
      <c r="G168" s="18">
        <v>25371.631278422679</v>
      </c>
      <c r="H168" s="19">
        <v>0.23000259801270251</v>
      </c>
      <c r="I168" s="19">
        <v>4.7207263082379436E-2</v>
      </c>
      <c r="J168" s="19">
        <v>0.20222389461466261</v>
      </c>
    </row>
    <row r="169" spans="1:10" ht="11.25" customHeight="1" x14ac:dyDescent="0.2">
      <c r="A169" s="28">
        <v>44317</v>
      </c>
      <c r="B169" s="18">
        <v>139208.51</v>
      </c>
      <c r="C169" s="18">
        <v>170966.02203492535</v>
      </c>
      <c r="D169" s="18">
        <v>3418.8886799999996</v>
      </c>
      <c r="E169" s="18">
        <v>4453.6538481859943</v>
      </c>
      <c r="F169" s="18">
        <v>24373.001999999997</v>
      </c>
      <c r="G169" s="18">
        <v>25523.584717521349</v>
      </c>
      <c r="H169" s="19">
        <v>0.22991569296362435</v>
      </c>
      <c r="I169" s="19">
        <v>4.7207263082379214E-2</v>
      </c>
      <c r="J169" s="19">
        <v>0.20325017055301986</v>
      </c>
    </row>
    <row r="170" spans="1:10" ht="11.25" customHeight="1" x14ac:dyDescent="0.2">
      <c r="A170" s="28">
        <v>44348</v>
      </c>
      <c r="B170" s="18">
        <v>139208.51</v>
      </c>
      <c r="C170" s="18">
        <v>170966.02203492535</v>
      </c>
      <c r="D170" s="18">
        <v>2895.3194400000007</v>
      </c>
      <c r="E170" s="18">
        <v>3771.6204803964902</v>
      </c>
      <c r="F170" s="18">
        <v>20640.516</v>
      </c>
      <c r="G170" s="18">
        <v>21614.89826896806</v>
      </c>
      <c r="H170" s="19">
        <v>0.22964766821502658</v>
      </c>
      <c r="I170" s="19">
        <v>4.7207263082379436E-2</v>
      </c>
      <c r="J170" s="19">
        <v>0.20650914324197189</v>
      </c>
    </row>
    <row r="171" spans="1:10" ht="11.25" customHeight="1" x14ac:dyDescent="0.2">
      <c r="A171" s="28">
        <v>44378</v>
      </c>
      <c r="B171" s="18">
        <v>139395.20000000001</v>
      </c>
      <c r="C171" s="18">
        <v>171195.30145651891</v>
      </c>
      <c r="D171" s="18">
        <v>2605.0287000000003</v>
      </c>
      <c r="E171" s="18">
        <v>3393.4699782006237</v>
      </c>
      <c r="F171" s="18">
        <v>18571.054999999997</v>
      </c>
      <c r="G171" s="18">
        <v>19447.743679102332</v>
      </c>
      <c r="H171" s="19">
        <v>0.22949641020345424</v>
      </c>
      <c r="I171" s="19">
        <v>4.7207263082379214E-2</v>
      </c>
      <c r="J171" s="19">
        <v>0.20841355093321634</v>
      </c>
    </row>
    <row r="172" spans="1:10" ht="11.25" customHeight="1" x14ac:dyDescent="0.2">
      <c r="A172" s="28">
        <v>44409</v>
      </c>
      <c r="B172" s="18">
        <v>138897.36000000002</v>
      </c>
      <c r="C172" s="18">
        <v>170583.88966560276</v>
      </c>
      <c r="D172" s="18">
        <v>2802.2131200000003</v>
      </c>
      <c r="E172" s="18">
        <v>3650.3344839309843</v>
      </c>
      <c r="F172" s="18">
        <v>19976.768</v>
      </c>
      <c r="G172" s="18">
        <v>20919.816542511657</v>
      </c>
      <c r="H172" s="19">
        <v>0.22960302782268349</v>
      </c>
      <c r="I172" s="19">
        <v>4.7207263082379436E-2</v>
      </c>
      <c r="J172" s="19">
        <v>0.2070661628048438</v>
      </c>
    </row>
    <row r="173" spans="1:10" ht="11.25" customHeight="1" x14ac:dyDescent="0.2">
      <c r="A173" s="28">
        <v>44440</v>
      </c>
      <c r="B173" s="18">
        <v>139955.26999999999</v>
      </c>
      <c r="C173" s="18">
        <v>171883.13972129958</v>
      </c>
      <c r="D173" s="18">
        <v>2935.1562300000005</v>
      </c>
      <c r="E173" s="18">
        <v>3823.5143235978653</v>
      </c>
      <c r="F173" s="18">
        <v>20924.5095</v>
      </c>
      <c r="G173" s="18">
        <v>21912.298324836243</v>
      </c>
      <c r="H173" s="19">
        <v>0.2296600876679844</v>
      </c>
      <c r="I173" s="19">
        <v>4.7207263082379214E-2</v>
      </c>
      <c r="J173" s="19">
        <v>0.20635491195656019</v>
      </c>
    </row>
    <row r="174" spans="1:10" ht="11.25" customHeight="1" x14ac:dyDescent="0.2">
      <c r="A174" s="28">
        <v>44470</v>
      </c>
      <c r="B174" s="18">
        <v>145369.28</v>
      </c>
      <c r="C174" s="18">
        <v>178532.2429475126</v>
      </c>
      <c r="D174" s="18">
        <v>3045.0791100000001</v>
      </c>
      <c r="E174" s="18">
        <v>3966.7066013633075</v>
      </c>
      <c r="F174" s="18">
        <v>21708.141500000002</v>
      </c>
      <c r="G174" s="18">
        <v>22732.923446820012</v>
      </c>
      <c r="H174" s="19">
        <v>0.22965830694059397</v>
      </c>
      <c r="I174" s="19">
        <v>4.7207263082378992E-2</v>
      </c>
      <c r="J174" s="19">
        <v>0.20637700633253075</v>
      </c>
    </row>
    <row r="175" spans="1:10" ht="11.25" customHeight="1" x14ac:dyDescent="0.2">
      <c r="A175" s="28">
        <v>44501</v>
      </c>
      <c r="B175" s="18">
        <v>148480.78</v>
      </c>
      <c r="C175" s="18">
        <v>182353.56664073849</v>
      </c>
      <c r="D175" s="18">
        <v>2882.0917800000002</v>
      </c>
      <c r="E175" s="18">
        <v>3754.3893201056853</v>
      </c>
      <c r="F175" s="18">
        <v>20546.217000000001</v>
      </c>
      <c r="G175" s="18">
        <v>21516.147671266652</v>
      </c>
      <c r="H175" s="19">
        <v>0.22954826221416313</v>
      </c>
      <c r="I175" s="19">
        <v>4.7207263082379214E-2</v>
      </c>
      <c r="J175" s="19">
        <v>0.20775524497030529</v>
      </c>
    </row>
    <row r="176" spans="1:10" ht="11.25" customHeight="1" x14ac:dyDescent="0.2">
      <c r="A176" s="28">
        <v>44531</v>
      </c>
      <c r="B176" s="18">
        <v>101932.74</v>
      </c>
      <c r="C176" s="18">
        <v>125186.56419007947</v>
      </c>
      <c r="D176" s="18">
        <v>2966.1233099999999</v>
      </c>
      <c r="E176" s="18">
        <v>3863.8539391623831</v>
      </c>
      <c r="F176" s="18">
        <v>21145.271499999999</v>
      </c>
      <c r="G176" s="18">
        <v>22143.481894648834</v>
      </c>
      <c r="H176" s="19">
        <v>0.23023657318257595</v>
      </c>
      <c r="I176" s="19">
        <v>4.7207263082379214E-2</v>
      </c>
      <c r="J176" s="19">
        <v>0.19953142009980596</v>
      </c>
    </row>
    <row r="177" spans="1:10" ht="11.25" customHeight="1" x14ac:dyDescent="0.2">
      <c r="A177" s="28">
        <v>44562</v>
      </c>
      <c r="B177" s="18">
        <v>96207.579999999987</v>
      </c>
      <c r="C177" s="18">
        <v>118155.32859454385</v>
      </c>
      <c r="D177" s="18">
        <v>2700.28836</v>
      </c>
      <c r="E177" s="18">
        <v>3517.5610472716089</v>
      </c>
      <c r="F177" s="18">
        <v>19250.153999999999</v>
      </c>
      <c r="G177" s="18">
        <v>20158.901084254314</v>
      </c>
      <c r="H177" s="19">
        <v>0.23016390565568012</v>
      </c>
      <c r="I177" s="19">
        <v>4.7207263082379214E-2</v>
      </c>
      <c r="J177" s="19">
        <v>0.20035684326148684</v>
      </c>
    </row>
    <row r="178" spans="1:10" ht="11.25" customHeight="1" x14ac:dyDescent="0.2">
      <c r="A178" s="28">
        <v>44593</v>
      </c>
      <c r="B178" s="18">
        <v>103612.94999999998</v>
      </c>
      <c r="C178" s="18">
        <v>127250.07898442143</v>
      </c>
      <c r="D178" s="18">
        <v>2888.3979900000004</v>
      </c>
      <c r="E178" s="18">
        <v>3762.6041755931619</v>
      </c>
      <c r="F178" s="18">
        <v>20591.173500000001</v>
      </c>
      <c r="G178" s="18">
        <v>21563.226444589414</v>
      </c>
      <c r="H178" s="19">
        <v>0.23015046882144752</v>
      </c>
      <c r="I178" s="19">
        <v>4.7207263082379214E-2</v>
      </c>
      <c r="J178" s="19">
        <v>0.200510524268803</v>
      </c>
    </row>
    <row r="179" spans="1:10" ht="11.25" customHeight="1" x14ac:dyDescent="0.2">
      <c r="A179" s="28">
        <v>44621</v>
      </c>
      <c r="B179" s="18">
        <v>103612.94999999998</v>
      </c>
      <c r="C179" s="18">
        <v>127250.07898442143</v>
      </c>
      <c r="D179" s="18">
        <v>2888.3979900000004</v>
      </c>
      <c r="E179" s="18">
        <v>3762.6041755931619</v>
      </c>
      <c r="F179" s="18">
        <v>20591.173500000001</v>
      </c>
      <c r="G179" s="18">
        <v>21563.226444589414</v>
      </c>
      <c r="H179" s="19">
        <v>0.23015046882144752</v>
      </c>
      <c r="I179" s="19">
        <v>4.7207263082379214E-2</v>
      </c>
      <c r="J179" s="19">
        <v>0.200510524268803</v>
      </c>
    </row>
    <row r="180" spans="1:10" ht="11.25" customHeight="1" x14ac:dyDescent="0.2">
      <c r="A180" s="23" t="s">
        <v>46</v>
      </c>
      <c r="B180" s="18">
        <v>3824469.6800000006</v>
      </c>
      <c r="C180" s="18">
        <v>4584403.5282851011</v>
      </c>
      <c r="D180" s="18">
        <v>835897.15902000002</v>
      </c>
      <c r="E180" s="18">
        <v>1088890.8494549652</v>
      </c>
      <c r="F180" s="18">
        <v>3834558.7059799987</v>
      </c>
      <c r="G180" s="18">
        <v>4072517.4881511233</v>
      </c>
      <c r="H180" s="19">
        <v>0.21734931470181573</v>
      </c>
      <c r="I180" s="19">
        <v>6.2056366955610232E-2</v>
      </c>
      <c r="J180" s="19">
        <v>0.14725100464564322</v>
      </c>
    </row>
    <row r="181" spans="1:10" ht="11.25" customHeight="1" x14ac:dyDescent="0.2">
      <c r="A181" s="24" t="s">
        <v>25</v>
      </c>
      <c r="B181" s="18">
        <v>3824469.6800000006</v>
      </c>
      <c r="C181" s="18">
        <v>4584403.5282851011</v>
      </c>
      <c r="D181" s="18">
        <v>835897.15902000002</v>
      </c>
      <c r="E181" s="18">
        <v>1088890.8494549652</v>
      </c>
      <c r="F181" s="18">
        <v>3834558.7059799987</v>
      </c>
      <c r="G181" s="18">
        <v>4072517.4881511233</v>
      </c>
      <c r="H181" s="19">
        <v>0.21734931470181573</v>
      </c>
      <c r="I181" s="19">
        <v>6.2056366955610232E-2</v>
      </c>
      <c r="J181" s="19">
        <v>0.14725100464564322</v>
      </c>
    </row>
    <row r="182" spans="1:10" ht="11.25" customHeight="1" x14ac:dyDescent="0.2">
      <c r="A182" s="25" t="s">
        <v>25</v>
      </c>
      <c r="B182" s="18">
        <v>3824469.6800000006</v>
      </c>
      <c r="C182" s="18">
        <v>4584403.5282851011</v>
      </c>
      <c r="D182" s="18">
        <v>835897.15902000002</v>
      </c>
      <c r="E182" s="18">
        <v>1088890.8494549652</v>
      </c>
      <c r="F182" s="18">
        <v>3834558.7059799987</v>
      </c>
      <c r="G182" s="18">
        <v>4072517.4881511233</v>
      </c>
      <c r="H182" s="19">
        <v>0.21734931470181573</v>
      </c>
      <c r="I182" s="19">
        <v>6.2056366955610232E-2</v>
      </c>
      <c r="J182" s="19">
        <v>0.14725100464564322</v>
      </c>
    </row>
    <row r="183" spans="1:10" ht="11.25" customHeight="1" x14ac:dyDescent="0.2">
      <c r="A183" s="26" t="s">
        <v>25</v>
      </c>
      <c r="B183" s="18">
        <v>3824469.6800000006</v>
      </c>
      <c r="C183" s="18">
        <v>4584403.5282851011</v>
      </c>
      <c r="D183" s="18">
        <v>835897.15902000002</v>
      </c>
      <c r="E183" s="18">
        <v>1088890.8494549652</v>
      </c>
      <c r="F183" s="18">
        <v>3834558.7059799987</v>
      </c>
      <c r="G183" s="18">
        <v>4072517.4881511233</v>
      </c>
      <c r="H183" s="19">
        <v>0.21734931470181573</v>
      </c>
      <c r="I183" s="19">
        <v>6.2056366955610232E-2</v>
      </c>
      <c r="J183" s="19">
        <v>0.14725100464564322</v>
      </c>
    </row>
    <row r="184" spans="1:10" ht="11.25" customHeight="1" x14ac:dyDescent="0.2">
      <c r="A184" s="27" t="s">
        <v>35</v>
      </c>
      <c r="B184" s="18">
        <v>1320956.7799999998</v>
      </c>
      <c r="C184" s="18">
        <v>1509766.4847155672</v>
      </c>
      <c r="D184" s="18">
        <v>760685.70965999993</v>
      </c>
      <c r="E184" s="18">
        <v>990915.8077903121</v>
      </c>
      <c r="F184" s="18">
        <v>3298381.9019799996</v>
      </c>
      <c r="G184" s="18">
        <v>3511029.2447060263</v>
      </c>
      <c r="H184" s="19">
        <v>0.20130248346070334</v>
      </c>
      <c r="I184" s="19">
        <v>6.4470200554513024E-2</v>
      </c>
      <c r="J184" s="19">
        <v>0.11741343525384051</v>
      </c>
    </row>
    <row r="185" spans="1:10" ht="11.25" customHeight="1" x14ac:dyDescent="0.2">
      <c r="A185" s="28">
        <v>44287</v>
      </c>
      <c r="B185" s="18">
        <v>89630.97</v>
      </c>
      <c r="C185" s="18">
        <v>102442.28770190837</v>
      </c>
      <c r="D185" s="18">
        <v>56809.928580000007</v>
      </c>
      <c r="E185" s="18">
        <v>74004.093352196709</v>
      </c>
      <c r="F185" s="18">
        <v>246331.48474000001</v>
      </c>
      <c r="G185" s="18">
        <v>262212.52496407874</v>
      </c>
      <c r="H185" s="19">
        <v>0.20489824062171524</v>
      </c>
      <c r="I185" s="19">
        <v>6.4470200554512802E-2</v>
      </c>
      <c r="J185" s="19">
        <v>0.11682726344025829</v>
      </c>
    </row>
    <row r="186" spans="1:10" ht="11.25" customHeight="1" x14ac:dyDescent="0.2">
      <c r="A186" s="28">
        <v>44317</v>
      </c>
      <c r="B186" s="18">
        <v>87467.37999999999</v>
      </c>
      <c r="C186" s="18">
        <v>99969.447016942315</v>
      </c>
      <c r="D186" s="18">
        <v>52214.9061</v>
      </c>
      <c r="E186" s="18">
        <v>68018.335561874861</v>
      </c>
      <c r="F186" s="18">
        <v>226407.17329999999</v>
      </c>
      <c r="G186" s="18">
        <v>241003.68916963134</v>
      </c>
      <c r="H186" s="19">
        <v>0.20264199039921893</v>
      </c>
      <c r="I186" s="19">
        <v>6.4470200554512802E-2</v>
      </c>
      <c r="J186" s="19">
        <v>0.11718996886379207</v>
      </c>
    </row>
    <row r="187" spans="1:10" ht="11.25" customHeight="1" x14ac:dyDescent="0.2">
      <c r="A187" s="28">
        <v>44348</v>
      </c>
      <c r="B187" s="18">
        <v>92669.72</v>
      </c>
      <c r="C187" s="18">
        <v>105915.37855157979</v>
      </c>
      <c r="D187" s="18">
        <v>48805.348560000006</v>
      </c>
      <c r="E187" s="18">
        <v>63576.837028312606</v>
      </c>
      <c r="F187" s="18">
        <v>211623.11368000001</v>
      </c>
      <c r="G187" s="18">
        <v>225266.49826092008</v>
      </c>
      <c r="H187" s="19">
        <v>0.19803593173740164</v>
      </c>
      <c r="I187" s="19">
        <v>6.4470200554512802E-2</v>
      </c>
      <c r="J187" s="19">
        <v>0.11798568697387379</v>
      </c>
    </row>
    <row r="188" spans="1:10" ht="11.25" customHeight="1" x14ac:dyDescent="0.2">
      <c r="A188" s="28">
        <v>44378</v>
      </c>
      <c r="B188" s="18">
        <v>80952.3</v>
      </c>
      <c r="C188" s="18">
        <v>92523.14023524677</v>
      </c>
      <c r="D188" s="18">
        <v>46135.412040000003</v>
      </c>
      <c r="E188" s="18">
        <v>60098.814147289668</v>
      </c>
      <c r="F188" s="18">
        <v>200046.09812000001</v>
      </c>
      <c r="G188" s="18">
        <v>212943.11018594416</v>
      </c>
      <c r="H188" s="19">
        <v>0.20091826292773041</v>
      </c>
      <c r="I188" s="19">
        <v>6.4470200554512802E-2</v>
      </c>
      <c r="J188" s="19">
        <v>0.11747869897545593</v>
      </c>
    </row>
    <row r="189" spans="1:10" ht="11.25" customHeight="1" x14ac:dyDescent="0.2">
      <c r="A189" s="28">
        <v>44409</v>
      </c>
      <c r="B189" s="18">
        <v>86178.95</v>
      </c>
      <c r="C189" s="18">
        <v>98496.856496681634</v>
      </c>
      <c r="D189" s="18">
        <v>47193.265950000001</v>
      </c>
      <c r="E189" s="18">
        <v>61476.839458453091</v>
      </c>
      <c r="F189" s="18">
        <v>204633.02035000001</v>
      </c>
      <c r="G189" s="18">
        <v>217825.75221204021</v>
      </c>
      <c r="H189" s="19">
        <v>0.19945293564821176</v>
      </c>
      <c r="I189" s="19">
        <v>6.4470200554512802E-2</v>
      </c>
      <c r="J189" s="19">
        <v>0.11773253072285295</v>
      </c>
    </row>
    <row r="190" spans="1:10" ht="11.25" customHeight="1" x14ac:dyDescent="0.2">
      <c r="A190" s="28">
        <v>44440</v>
      </c>
      <c r="B190" s="18">
        <v>94079.7</v>
      </c>
      <c r="C190" s="18">
        <v>107526.89270582734</v>
      </c>
      <c r="D190" s="18">
        <v>52274.68692</v>
      </c>
      <c r="E190" s="18">
        <v>68096.209720398416</v>
      </c>
      <c r="F190" s="18">
        <v>226666.38675999999</v>
      </c>
      <c r="G190" s="18">
        <v>241279.61417338398</v>
      </c>
      <c r="H190" s="19">
        <v>0.19998522847302547</v>
      </c>
      <c r="I190" s="19">
        <v>6.4470200554512802E-2</v>
      </c>
      <c r="J190" s="19">
        <v>0.11763940781822058</v>
      </c>
    </row>
    <row r="191" spans="1:10" ht="11.25" customHeight="1" x14ac:dyDescent="0.2">
      <c r="A191" s="28">
        <v>44470</v>
      </c>
      <c r="B191" s="18">
        <v>98649.98</v>
      </c>
      <c r="C191" s="18">
        <v>112750.42134373316</v>
      </c>
      <c r="D191" s="18">
        <v>60480.245340000009</v>
      </c>
      <c r="E191" s="18">
        <v>78785.272820793951</v>
      </c>
      <c r="F191" s="18">
        <v>262246.21302000002</v>
      </c>
      <c r="G191" s="18">
        <v>279153.27896806091</v>
      </c>
      <c r="H191" s="19">
        <v>0.20364119233344335</v>
      </c>
      <c r="I191" s="19">
        <v>6.4470200554512802E-2</v>
      </c>
      <c r="J191" s="19">
        <v>0.11702727130285862</v>
      </c>
    </row>
    <row r="192" spans="1:10" ht="11.25" customHeight="1" x14ac:dyDescent="0.2">
      <c r="A192" s="28">
        <v>44501</v>
      </c>
      <c r="B192" s="18">
        <v>100157.2</v>
      </c>
      <c r="C192" s="18">
        <v>114473.07440517019</v>
      </c>
      <c r="D192" s="18">
        <v>60750.592049999999</v>
      </c>
      <c r="E192" s="18">
        <v>79137.443007667636</v>
      </c>
      <c r="F192" s="18">
        <v>263418.45364999998</v>
      </c>
      <c r="G192" s="18">
        <v>280401.09418657515</v>
      </c>
      <c r="H192" s="19">
        <v>0.20323891681190864</v>
      </c>
      <c r="I192" s="19">
        <v>6.4470200554513024E-2</v>
      </c>
      <c r="J192" s="19">
        <v>0.11709237032333064</v>
      </c>
    </row>
    <row r="193" spans="1:10" ht="11.25" customHeight="1" x14ac:dyDescent="0.2">
      <c r="A193" s="28">
        <v>44531</v>
      </c>
      <c r="B193" s="18">
        <v>100546.15999999999</v>
      </c>
      <c r="C193" s="18">
        <v>114917.63003392813</v>
      </c>
      <c r="D193" s="18">
        <v>62185.331729999998</v>
      </c>
      <c r="E193" s="18">
        <v>81006.422812232995</v>
      </c>
      <c r="F193" s="18">
        <v>269639.57668999996</v>
      </c>
      <c r="G193" s="18">
        <v>287023.29427663825</v>
      </c>
      <c r="H193" s="19">
        <v>0.20397134422655827</v>
      </c>
      <c r="I193" s="19">
        <v>6.4470200554513024E-2</v>
      </c>
      <c r="J193" s="19">
        <v>0.1169742436459007</v>
      </c>
    </row>
    <row r="194" spans="1:10" ht="11.25" customHeight="1" x14ac:dyDescent="0.2">
      <c r="A194" s="28">
        <v>44562</v>
      </c>
      <c r="B194" s="18">
        <v>176636.46</v>
      </c>
      <c r="C194" s="18">
        <v>201883.82490970063</v>
      </c>
      <c r="D194" s="18">
        <v>97976.098410000006</v>
      </c>
      <c r="E194" s="18">
        <v>127629.66816279793</v>
      </c>
      <c r="F194" s="18">
        <v>424830.63072999998</v>
      </c>
      <c r="G194" s="18">
        <v>452219.5466948633</v>
      </c>
      <c r="H194" s="19">
        <v>0.19992142741167296</v>
      </c>
      <c r="I194" s="19">
        <v>6.4470200554513024E-2</v>
      </c>
      <c r="J194" s="19">
        <v>0.11765051387310166</v>
      </c>
    </row>
    <row r="195" spans="1:10" ht="11.25" customHeight="1" x14ac:dyDescent="0.2">
      <c r="A195" s="28">
        <v>44593</v>
      </c>
      <c r="B195" s="18">
        <v>156993.97999999998</v>
      </c>
      <c r="C195" s="18">
        <v>179433.76565742452</v>
      </c>
      <c r="D195" s="18">
        <v>87929.946989999997</v>
      </c>
      <c r="E195" s="18">
        <v>114542.93585914708</v>
      </c>
      <c r="F195" s="18">
        <v>381269.87547000003</v>
      </c>
      <c r="G195" s="18">
        <v>405850.42080694507</v>
      </c>
      <c r="H195" s="19">
        <v>0.20027759284038571</v>
      </c>
      <c r="I195" s="19">
        <v>6.4470200554512802E-2</v>
      </c>
      <c r="J195" s="19">
        <v>0.11758870748041317</v>
      </c>
    </row>
    <row r="196" spans="1:10" ht="11.25" customHeight="1" x14ac:dyDescent="0.2">
      <c r="A196" s="28">
        <v>44621</v>
      </c>
      <c r="B196" s="18">
        <v>156993.97999999998</v>
      </c>
      <c r="C196" s="18">
        <v>179433.76565742452</v>
      </c>
      <c r="D196" s="18">
        <v>87929.946989999997</v>
      </c>
      <c r="E196" s="18">
        <v>114542.93585914708</v>
      </c>
      <c r="F196" s="18">
        <v>381269.87547000003</v>
      </c>
      <c r="G196" s="18">
        <v>405850.42080694507</v>
      </c>
      <c r="H196" s="19">
        <v>0.20027759284038571</v>
      </c>
      <c r="I196" s="19">
        <v>6.4470200554512802E-2</v>
      </c>
      <c r="J196" s="19">
        <v>0.11758870748041317</v>
      </c>
    </row>
    <row r="197" spans="1:10" ht="11.25" customHeight="1" x14ac:dyDescent="0.2">
      <c r="A197" s="27" t="s">
        <v>34</v>
      </c>
      <c r="B197" s="18">
        <v>2503512.9</v>
      </c>
      <c r="C197" s="18">
        <v>3074637.0435695341</v>
      </c>
      <c r="D197" s="18">
        <v>75211.449359999999</v>
      </c>
      <c r="E197" s="18">
        <v>97975.04166465289</v>
      </c>
      <c r="F197" s="18">
        <v>536176.804</v>
      </c>
      <c r="G197" s="18">
        <v>561488.24344509735</v>
      </c>
      <c r="H197" s="19">
        <v>0.23030291547895798</v>
      </c>
      <c r="I197" s="19">
        <v>4.7207263082379436E-2</v>
      </c>
      <c r="J197" s="19">
        <v>0.19878613953812407</v>
      </c>
    </row>
    <row r="198" spans="1:10" ht="11.25" customHeight="1" x14ac:dyDescent="0.2">
      <c r="A198" s="28">
        <v>44287</v>
      </c>
      <c r="B198" s="18">
        <v>171630.34</v>
      </c>
      <c r="C198" s="18">
        <v>210784.21491833893</v>
      </c>
      <c r="D198" s="18">
        <v>5348.9478300000001</v>
      </c>
      <c r="E198" s="18">
        <v>6967.8671394546918</v>
      </c>
      <c r="F198" s="18">
        <v>38132.249499999998</v>
      </c>
      <c r="G198" s="18">
        <v>39932.368634069418</v>
      </c>
      <c r="H198" s="19">
        <v>0.23038172843682436</v>
      </c>
      <c r="I198" s="19">
        <v>4.7207263082379214E-2</v>
      </c>
      <c r="J198" s="19">
        <v>0.19791087865525525</v>
      </c>
    </row>
    <row r="199" spans="1:10" ht="11.25" customHeight="1" x14ac:dyDescent="0.2">
      <c r="A199" s="28">
        <v>44317</v>
      </c>
      <c r="B199" s="18">
        <v>167398.69999999998</v>
      </c>
      <c r="C199" s="18">
        <v>205587.21469555175</v>
      </c>
      <c r="D199" s="18">
        <v>5027.0235000000002</v>
      </c>
      <c r="E199" s="18">
        <v>6548.5087849354686</v>
      </c>
      <c r="F199" s="18">
        <v>35837.275000000001</v>
      </c>
      <c r="G199" s="18">
        <v>37529.054669080571</v>
      </c>
      <c r="H199" s="19">
        <v>0.23030206383612617</v>
      </c>
      <c r="I199" s="19">
        <v>4.7207263082379214E-2</v>
      </c>
      <c r="J199" s="19">
        <v>0.19879565716311243</v>
      </c>
    </row>
    <row r="200" spans="1:10" ht="11.25" customHeight="1" x14ac:dyDescent="0.2">
      <c r="A200" s="28">
        <v>44348</v>
      </c>
      <c r="B200" s="18">
        <v>175239.67999999999</v>
      </c>
      <c r="C200" s="18">
        <v>215216.95040248093</v>
      </c>
      <c r="D200" s="18">
        <v>4728.0168600000006</v>
      </c>
      <c r="E200" s="18">
        <v>6159.004417431709</v>
      </c>
      <c r="F200" s="18">
        <v>33705.679000000004</v>
      </c>
      <c r="G200" s="18">
        <v>35296.831855923221</v>
      </c>
      <c r="H200" s="19">
        <v>0.23008716943310592</v>
      </c>
      <c r="I200" s="19">
        <v>4.7207263082378992E-2</v>
      </c>
      <c r="J200" s="19">
        <v>0.2012389734695319</v>
      </c>
    </row>
    <row r="201" spans="1:10" ht="11.25" customHeight="1" x14ac:dyDescent="0.2">
      <c r="A201" s="28">
        <v>44378</v>
      </c>
      <c r="B201" s="18">
        <v>153272.49</v>
      </c>
      <c r="C201" s="18">
        <v>188238.4051283063</v>
      </c>
      <c r="D201" s="18">
        <v>4612.7106299999996</v>
      </c>
      <c r="E201" s="18">
        <v>6008.7994581525672</v>
      </c>
      <c r="F201" s="18">
        <v>32883.669499999996</v>
      </c>
      <c r="G201" s="18">
        <v>34436.017537200503</v>
      </c>
      <c r="H201" s="19">
        <v>0.23030660132403624</v>
      </c>
      <c r="I201" s="19">
        <v>4.7207263082379214E-2</v>
      </c>
      <c r="J201" s="19">
        <v>0.19874496278047116</v>
      </c>
    </row>
    <row r="202" spans="1:10" ht="11.25" customHeight="1" x14ac:dyDescent="0.2">
      <c r="A202" s="28">
        <v>44409</v>
      </c>
      <c r="B202" s="18">
        <v>161113.47</v>
      </c>
      <c r="C202" s="18">
        <v>197868.14083523548</v>
      </c>
      <c r="D202" s="18">
        <v>4714.4815799999997</v>
      </c>
      <c r="E202" s="18">
        <v>6141.3725324829793</v>
      </c>
      <c r="F202" s="18">
        <v>33609.186999999998</v>
      </c>
      <c r="G202" s="18">
        <v>35195.784732693879</v>
      </c>
      <c r="H202" s="19">
        <v>0.23024804578436009</v>
      </c>
      <c r="I202" s="19">
        <v>4.7207263082379214E-2</v>
      </c>
      <c r="J202" s="19">
        <v>0.19940197599886944</v>
      </c>
    </row>
    <row r="203" spans="1:10" ht="11.25" customHeight="1" x14ac:dyDescent="0.2">
      <c r="A203" s="28">
        <v>44440</v>
      </c>
      <c r="B203" s="18">
        <v>178600.09999999998</v>
      </c>
      <c r="C203" s="18">
        <v>219343.97999116487</v>
      </c>
      <c r="D203" s="18">
        <v>5093.8283099999999</v>
      </c>
      <c r="E203" s="18">
        <v>6635.532823148329</v>
      </c>
      <c r="F203" s="18">
        <v>36313.521499999995</v>
      </c>
      <c r="G203" s="18">
        <v>38027.783462898129</v>
      </c>
      <c r="H203" s="19">
        <v>0.23019587469953007</v>
      </c>
      <c r="I203" s="19">
        <v>4.7207263082379214E-2</v>
      </c>
      <c r="J203" s="19">
        <v>0.19999252982210347</v>
      </c>
    </row>
    <row r="204" spans="1:10" ht="11.25" customHeight="1" x14ac:dyDescent="0.2">
      <c r="A204" s="28">
        <v>44470</v>
      </c>
      <c r="B204" s="18">
        <v>180155.84999999998</v>
      </c>
      <c r="C204" s="18">
        <v>221254.6418377778</v>
      </c>
      <c r="D204" s="18">
        <v>5473.5339300000005</v>
      </c>
      <c r="E204" s="18">
        <v>7130.1606259145919</v>
      </c>
      <c r="F204" s="18">
        <v>39020.414499999999</v>
      </c>
      <c r="G204" s="18">
        <v>40862.461472884985</v>
      </c>
      <c r="H204" s="19">
        <v>0.23032678139908747</v>
      </c>
      <c r="I204" s="19">
        <v>4.7207263082379214E-2</v>
      </c>
      <c r="J204" s="19">
        <v>0.19851994445690013</v>
      </c>
    </row>
    <row r="205" spans="1:10" ht="11.25" customHeight="1" x14ac:dyDescent="0.2">
      <c r="A205" s="28">
        <v>44501</v>
      </c>
      <c r="B205" s="18">
        <v>184698.63999999998</v>
      </c>
      <c r="C205" s="18">
        <v>226833.77442988756</v>
      </c>
      <c r="D205" s="18">
        <v>5787.4088700000002</v>
      </c>
      <c r="E205" s="18">
        <v>7539.0333518847601</v>
      </c>
      <c r="F205" s="18">
        <v>41258.005499999999</v>
      </c>
      <c r="G205" s="18">
        <v>43205.683019892749</v>
      </c>
      <c r="H205" s="19">
        <v>0.23039355990696975</v>
      </c>
      <c r="I205" s="19">
        <v>4.7207263082379214E-2</v>
      </c>
      <c r="J205" s="19">
        <v>0.19778042011160424</v>
      </c>
    </row>
    <row r="206" spans="1:10" ht="11.25" customHeight="1" x14ac:dyDescent="0.2">
      <c r="A206" s="28">
        <v>44531</v>
      </c>
      <c r="B206" s="18">
        <v>183516.27</v>
      </c>
      <c r="C206" s="18">
        <v>225381.67142646175</v>
      </c>
      <c r="D206" s="18">
        <v>6451.2528300000004</v>
      </c>
      <c r="E206" s="18">
        <v>8403.797163688374</v>
      </c>
      <c r="F206" s="18">
        <v>45990.499499999998</v>
      </c>
      <c r="G206" s="18">
        <v>48161.585109186526</v>
      </c>
      <c r="H206" s="19">
        <v>0.23066019447630715</v>
      </c>
      <c r="I206" s="19">
        <v>4.7207263082379214E-2</v>
      </c>
      <c r="J206" s="19">
        <v>0.19490344475348453</v>
      </c>
    </row>
    <row r="207" spans="1:10" ht="11.25" customHeight="1" x14ac:dyDescent="0.2">
      <c r="A207" s="28">
        <v>44562</v>
      </c>
      <c r="B207" s="18">
        <v>338780.12</v>
      </c>
      <c r="C207" s="18">
        <v>416065.72371843259</v>
      </c>
      <c r="D207" s="18">
        <v>9705.1033800000005</v>
      </c>
      <c r="E207" s="18">
        <v>12642.462232897244</v>
      </c>
      <c r="F207" s="18">
        <v>69186.957000000009</v>
      </c>
      <c r="G207" s="18">
        <v>72453.083880968261</v>
      </c>
      <c r="H207" s="19">
        <v>0.23020477537967809</v>
      </c>
      <c r="I207" s="19">
        <v>4.7207263082379214E-2</v>
      </c>
      <c r="J207" s="19">
        <v>0.19989143010755317</v>
      </c>
    </row>
    <row r="208" spans="1:10" ht="11.25" customHeight="1" x14ac:dyDescent="0.2">
      <c r="A208" s="28">
        <v>44593</v>
      </c>
      <c r="B208" s="18">
        <v>304553.62</v>
      </c>
      <c r="C208" s="18">
        <v>374031.16309294803</v>
      </c>
      <c r="D208" s="18">
        <v>9134.5708200000008</v>
      </c>
      <c r="E208" s="18">
        <v>11899.251567331085</v>
      </c>
      <c r="F208" s="18">
        <v>65119.673000000003</v>
      </c>
      <c r="G208" s="18">
        <v>68193.794535149515</v>
      </c>
      <c r="H208" s="19">
        <v>0.23029946920039768</v>
      </c>
      <c r="I208" s="19">
        <v>4.7207263082379214E-2</v>
      </c>
      <c r="J208" s="19">
        <v>0.19882466170558977</v>
      </c>
    </row>
    <row r="209" spans="1:10" ht="11.25" customHeight="1" x14ac:dyDescent="0.2">
      <c r="A209" s="28">
        <v>44621</v>
      </c>
      <c r="B209" s="18">
        <v>304553.62</v>
      </c>
      <c r="C209" s="18">
        <v>374031.16309294803</v>
      </c>
      <c r="D209" s="18">
        <v>9134.5708200000008</v>
      </c>
      <c r="E209" s="18">
        <v>11899.251567331085</v>
      </c>
      <c r="F209" s="18">
        <v>65119.673000000003</v>
      </c>
      <c r="G209" s="18">
        <v>68193.794535149515</v>
      </c>
      <c r="H209" s="19">
        <v>0.23029946920039768</v>
      </c>
      <c r="I209" s="19">
        <v>4.7207263082379214E-2</v>
      </c>
      <c r="J209" s="19">
        <v>0.19882466170558977</v>
      </c>
    </row>
    <row r="210" spans="1:10" ht="11.25" customHeight="1" x14ac:dyDescent="0.2">
      <c r="A210" s="23" t="s">
        <v>45</v>
      </c>
      <c r="B210" s="18">
        <v>659680.16639999975</v>
      </c>
      <c r="C210" s="18">
        <v>788397.11722023098</v>
      </c>
      <c r="D210" s="18">
        <v>222123.44410560004</v>
      </c>
      <c r="E210" s="18">
        <v>289351.606386094</v>
      </c>
      <c r="F210" s="18">
        <v>993155.69172480027</v>
      </c>
      <c r="G210" s="18">
        <v>1055862.0747603779</v>
      </c>
      <c r="H210" s="19">
        <v>0.22220947018846537</v>
      </c>
      <c r="I210" s="19">
        <v>6.3138522547936393E-2</v>
      </c>
      <c r="J210" s="19">
        <v>0.13795045888655744</v>
      </c>
    </row>
    <row r="211" spans="1:10" ht="11.25" customHeight="1" x14ac:dyDescent="0.2">
      <c r="A211" s="24" t="s">
        <v>25</v>
      </c>
      <c r="B211" s="18">
        <v>659680.16639999975</v>
      </c>
      <c r="C211" s="18">
        <v>788397.11722023098</v>
      </c>
      <c r="D211" s="18">
        <v>222123.44410560004</v>
      </c>
      <c r="E211" s="18">
        <v>289351.606386094</v>
      </c>
      <c r="F211" s="18">
        <v>993155.69172480027</v>
      </c>
      <c r="G211" s="18">
        <v>1055862.0747603779</v>
      </c>
      <c r="H211" s="19">
        <v>0.22220947018846537</v>
      </c>
      <c r="I211" s="19">
        <v>6.3138522547936393E-2</v>
      </c>
      <c r="J211" s="19">
        <v>0.13795045888655744</v>
      </c>
    </row>
    <row r="212" spans="1:10" ht="11.25" customHeight="1" x14ac:dyDescent="0.2">
      <c r="A212" s="25" t="s">
        <v>25</v>
      </c>
      <c r="B212" s="18">
        <v>659680.16639999975</v>
      </c>
      <c r="C212" s="18">
        <v>788397.11722023098</v>
      </c>
      <c r="D212" s="18">
        <v>222123.44410560004</v>
      </c>
      <c r="E212" s="18">
        <v>289351.606386094</v>
      </c>
      <c r="F212" s="18">
        <v>993155.69172480027</v>
      </c>
      <c r="G212" s="18">
        <v>1055862.0747603779</v>
      </c>
      <c r="H212" s="19">
        <v>0.22220947018846537</v>
      </c>
      <c r="I212" s="19">
        <v>6.3138522547936393E-2</v>
      </c>
      <c r="J212" s="19">
        <v>0.13795045888655744</v>
      </c>
    </row>
    <row r="213" spans="1:10" ht="11.25" customHeight="1" x14ac:dyDescent="0.2">
      <c r="A213" s="26" t="s">
        <v>25</v>
      </c>
      <c r="B213" s="18">
        <v>659680.16639999975</v>
      </c>
      <c r="C213" s="18">
        <v>788397.11722023098</v>
      </c>
      <c r="D213" s="18">
        <v>222123.44410560004</v>
      </c>
      <c r="E213" s="18">
        <v>289351.606386094</v>
      </c>
      <c r="F213" s="18">
        <v>993155.69172480027</v>
      </c>
      <c r="G213" s="18">
        <v>1055862.0747603779</v>
      </c>
      <c r="H213" s="19">
        <v>0.22220947018846537</v>
      </c>
      <c r="I213" s="19">
        <v>6.3138522547936393E-2</v>
      </c>
      <c r="J213" s="19">
        <v>0.13795045888655744</v>
      </c>
    </row>
    <row r="214" spans="1:10" ht="11.25" customHeight="1" x14ac:dyDescent="0.2">
      <c r="A214" s="27" t="s">
        <v>35</v>
      </c>
      <c r="B214" s="18">
        <v>255593.39519999994</v>
      </c>
      <c r="C214" s="18">
        <v>292126.39476941916</v>
      </c>
      <c r="D214" s="18">
        <v>211376.67788160002</v>
      </c>
      <c r="E214" s="18">
        <v>275352.21031652874</v>
      </c>
      <c r="F214" s="18">
        <v>916542.79812480009</v>
      </c>
      <c r="G214" s="18">
        <v>975632.49613670039</v>
      </c>
      <c r="H214" s="19">
        <v>0.21523548894917033</v>
      </c>
      <c r="I214" s="19">
        <v>6.4470200554512802E-2</v>
      </c>
      <c r="J214" s="19">
        <v>0.11535724266669178</v>
      </c>
    </row>
    <row r="215" spans="1:10" ht="11.25" customHeight="1" x14ac:dyDescent="0.2">
      <c r="A215" s="28">
        <v>44287</v>
      </c>
      <c r="B215" s="18">
        <v>21237.216</v>
      </c>
      <c r="C215" s="18">
        <v>24272.73733018366</v>
      </c>
      <c r="D215" s="18">
        <v>16002.687715200002</v>
      </c>
      <c r="E215" s="18">
        <v>20846.081400965424</v>
      </c>
      <c r="F215" s="18">
        <v>69388.677705599999</v>
      </c>
      <c r="G215" s="18">
        <v>73862.179673492486</v>
      </c>
      <c r="H215" s="19">
        <v>0.21157184175890298</v>
      </c>
      <c r="I215" s="19">
        <v>6.4470200554512802E-2</v>
      </c>
      <c r="J215" s="19">
        <v>0.11584527168277581</v>
      </c>
    </row>
    <row r="216" spans="1:10" ht="11.25" customHeight="1" x14ac:dyDescent="0.2">
      <c r="A216" s="28">
        <v>44317</v>
      </c>
      <c r="B216" s="18">
        <v>20210.3616</v>
      </c>
      <c r="C216" s="18">
        <v>23099.110470262691</v>
      </c>
      <c r="D216" s="18">
        <v>16233.082790400002</v>
      </c>
      <c r="E216" s="18">
        <v>21146.20814076544</v>
      </c>
      <c r="F216" s="18">
        <v>70387.685491200013</v>
      </c>
      <c r="G216" s="18">
        <v>74925.593691385642</v>
      </c>
      <c r="H216" s="19">
        <v>0.21408169153965351</v>
      </c>
      <c r="I216" s="19">
        <v>6.4470200554512802E-2</v>
      </c>
      <c r="J216" s="19">
        <v>0.11550736601297618</v>
      </c>
    </row>
    <row r="217" spans="1:10" ht="11.25" customHeight="1" x14ac:dyDescent="0.2">
      <c r="A217" s="28">
        <v>44348</v>
      </c>
      <c r="B217" s="18">
        <v>19626.921599999998</v>
      </c>
      <c r="C217" s="18">
        <v>22432.27702712578</v>
      </c>
      <c r="D217" s="18">
        <v>15823.185292800001</v>
      </c>
      <c r="E217" s="18">
        <v>20612.250548572632</v>
      </c>
      <c r="F217" s="18">
        <v>68610.343718400007</v>
      </c>
      <c r="G217" s="18">
        <v>73033.666338039315</v>
      </c>
      <c r="H217" s="19">
        <v>0.21422842830527133</v>
      </c>
      <c r="I217" s="19">
        <v>6.4470200554512802E-2</v>
      </c>
      <c r="J217" s="19">
        <v>0.11548809592838949</v>
      </c>
    </row>
    <row r="218" spans="1:10" ht="11.25" customHeight="1" x14ac:dyDescent="0.2">
      <c r="A218" s="28">
        <v>44378</v>
      </c>
      <c r="B218" s="18">
        <v>20373.7248</v>
      </c>
      <c r="C218" s="18">
        <v>23285.82383434103</v>
      </c>
      <c r="D218" s="18">
        <v>15420.2769216</v>
      </c>
      <c r="E218" s="18">
        <v>20087.397420607893</v>
      </c>
      <c r="F218" s="18">
        <v>66863.307244800002</v>
      </c>
      <c r="G218" s="18">
        <v>71173.998072610266</v>
      </c>
      <c r="H218" s="19">
        <v>0.21174552072436259</v>
      </c>
      <c r="I218" s="19">
        <v>6.4470200554512802E-2</v>
      </c>
      <c r="J218" s="19">
        <v>0.11582137191079878</v>
      </c>
    </row>
    <row r="219" spans="1:10" ht="11.25" customHeight="1" x14ac:dyDescent="0.2">
      <c r="A219" s="28">
        <v>44409</v>
      </c>
      <c r="B219" s="18">
        <v>21190.540799999999</v>
      </c>
      <c r="C219" s="18">
        <v>24219.390654732706</v>
      </c>
      <c r="D219" s="18">
        <v>18611.010000000002</v>
      </c>
      <c r="E219" s="18">
        <v>24243.841804503572</v>
      </c>
      <c r="F219" s="18">
        <v>80698.53</v>
      </c>
      <c r="G219" s="18">
        <v>85901.180413554379</v>
      </c>
      <c r="H219" s="19">
        <v>0.21762171285135667</v>
      </c>
      <c r="I219" s="19">
        <v>6.4470200554513024E-2</v>
      </c>
      <c r="J219" s="19">
        <v>0.11505662054950805</v>
      </c>
    </row>
    <row r="220" spans="1:10" ht="11.25" customHeight="1" x14ac:dyDescent="0.2">
      <c r="A220" s="28">
        <v>44440</v>
      </c>
      <c r="B220" s="18">
        <v>21703.967999999997</v>
      </c>
      <c r="C220" s="18">
        <v>24806.204084693189</v>
      </c>
      <c r="D220" s="18">
        <v>20386.592640000003</v>
      </c>
      <c r="E220" s="18">
        <v>26556.824530050591</v>
      </c>
      <c r="F220" s="18">
        <v>88397.569920000009</v>
      </c>
      <c r="G220" s="18">
        <v>94096.578981273982</v>
      </c>
      <c r="H220" s="19">
        <v>0.22029803912689783</v>
      </c>
      <c r="I220" s="19">
        <v>6.4470200554512802E-2</v>
      </c>
      <c r="J220" s="19">
        <v>0.11473439746409508</v>
      </c>
    </row>
    <row r="221" spans="1:10" ht="11.25" customHeight="1" x14ac:dyDescent="0.2">
      <c r="A221" s="28">
        <v>44470</v>
      </c>
      <c r="B221" s="18">
        <v>22404.095999999998</v>
      </c>
      <c r="C221" s="18">
        <v>25606.404216457489</v>
      </c>
      <c r="D221" s="18">
        <v>18772.498195200002</v>
      </c>
      <c r="E221" s="18">
        <v>24454.206220928238</v>
      </c>
      <c r="F221" s="18">
        <v>81398.7531456</v>
      </c>
      <c r="G221" s="18">
        <v>86646.547085784114</v>
      </c>
      <c r="H221" s="19">
        <v>0.21575403249891267</v>
      </c>
      <c r="I221" s="19">
        <v>6.4470200554512802E-2</v>
      </c>
      <c r="J221" s="19">
        <v>0.11529080266914282</v>
      </c>
    </row>
    <row r="222" spans="1:10" ht="11.25" customHeight="1" x14ac:dyDescent="0.2">
      <c r="A222" s="28">
        <v>44501</v>
      </c>
      <c r="B222" s="18">
        <v>22544.121599999999</v>
      </c>
      <c r="C222" s="18">
        <v>25766.444242810347</v>
      </c>
      <c r="D222" s="18">
        <v>17987.894928000002</v>
      </c>
      <c r="E222" s="18">
        <v>23432.133937409319</v>
      </c>
      <c r="F222" s="18">
        <v>77996.663184000005</v>
      </c>
      <c r="G222" s="18">
        <v>83025.12370205528</v>
      </c>
      <c r="H222" s="19">
        <v>0.21382014502615987</v>
      </c>
      <c r="I222" s="19">
        <v>6.4470200554513024E-2</v>
      </c>
      <c r="J222" s="19">
        <v>0.11554184357364794</v>
      </c>
    </row>
    <row r="223" spans="1:10" ht="11.25" customHeight="1" x14ac:dyDescent="0.2">
      <c r="A223" s="28">
        <v>44531</v>
      </c>
      <c r="B223" s="18">
        <v>20863.814399999999</v>
      </c>
      <c r="C223" s="18">
        <v>23845.963926576034</v>
      </c>
      <c r="D223" s="18">
        <v>19665.531360000001</v>
      </c>
      <c r="E223" s="18">
        <v>25617.525931872799</v>
      </c>
      <c r="F223" s="18">
        <v>85271.002079999991</v>
      </c>
      <c r="G223" s="18">
        <v>90768.440685581882</v>
      </c>
      <c r="H223" s="19">
        <v>0.2204364252843749</v>
      </c>
      <c r="I223" s="19">
        <v>6.4470200554513024E-2</v>
      </c>
      <c r="J223" s="19">
        <v>0.11471814626765275</v>
      </c>
    </row>
    <row r="224" spans="1:10" ht="11.25" customHeight="1" x14ac:dyDescent="0.2">
      <c r="A224" s="28">
        <v>44562</v>
      </c>
      <c r="B224" s="18">
        <v>21843.993599999998</v>
      </c>
      <c r="C224" s="18">
        <v>24966.24411104605</v>
      </c>
      <c r="D224" s="18">
        <v>17409.470889600001</v>
      </c>
      <c r="E224" s="18">
        <v>22678.643348618505</v>
      </c>
      <c r="F224" s="18">
        <v>75488.5795488</v>
      </c>
      <c r="G224" s="18">
        <v>80355.343411886439</v>
      </c>
      <c r="H224" s="19">
        <v>0.21377534643567131</v>
      </c>
      <c r="I224" s="19">
        <v>6.4470200554513024E-2</v>
      </c>
      <c r="J224" s="19">
        <v>0.11554776581035964</v>
      </c>
    </row>
    <row r="225" spans="1:10" ht="11.25" customHeight="1" x14ac:dyDescent="0.2">
      <c r="A225" s="28">
        <v>44593</v>
      </c>
      <c r="B225" s="18">
        <v>21797.3184</v>
      </c>
      <c r="C225" s="18">
        <v>24912.897435595096</v>
      </c>
      <c r="D225" s="18">
        <v>17532.223574400003</v>
      </c>
      <c r="E225" s="18">
        <v>22838.548516117171</v>
      </c>
      <c r="F225" s="18">
        <v>76020.843043200002</v>
      </c>
      <c r="G225" s="18">
        <v>80921.922040518257</v>
      </c>
      <c r="H225" s="19">
        <v>0.21413684356645102</v>
      </c>
      <c r="I225" s="19">
        <v>6.4470200554513024E-2</v>
      </c>
      <c r="J225" s="19">
        <v>0.11550011707891317</v>
      </c>
    </row>
    <row r="226" spans="1:10" ht="11.25" customHeight="1" x14ac:dyDescent="0.2">
      <c r="A226" s="28">
        <v>44621</v>
      </c>
      <c r="B226" s="18">
        <v>21797.3184</v>
      </c>
      <c r="C226" s="18">
        <v>24912.897435595096</v>
      </c>
      <c r="D226" s="18">
        <v>17532.223574400003</v>
      </c>
      <c r="E226" s="18">
        <v>22838.548516117171</v>
      </c>
      <c r="F226" s="18">
        <v>76020.843043200002</v>
      </c>
      <c r="G226" s="18">
        <v>80921.922040518257</v>
      </c>
      <c r="H226" s="19">
        <v>0.21413684356645102</v>
      </c>
      <c r="I226" s="19">
        <v>6.4470200554513024E-2</v>
      </c>
      <c r="J226" s="19">
        <v>0.11550011707891317</v>
      </c>
    </row>
    <row r="227" spans="1:10" ht="11.25" customHeight="1" x14ac:dyDescent="0.2">
      <c r="A227" s="27" t="s">
        <v>34</v>
      </c>
      <c r="B227" s="18">
        <v>404086.77119999996</v>
      </c>
      <c r="C227" s="18">
        <v>496270.72245081177</v>
      </c>
      <c r="D227" s="18">
        <v>10746.766223999999</v>
      </c>
      <c r="E227" s="18">
        <v>13999.396069565177</v>
      </c>
      <c r="F227" s="18">
        <v>76612.893599999996</v>
      </c>
      <c r="G227" s="18">
        <v>80229.578623677517</v>
      </c>
      <c r="H227" s="19">
        <v>0.23005994570499633</v>
      </c>
      <c r="I227" s="19">
        <v>4.7207263082379214E-2</v>
      </c>
      <c r="J227" s="19">
        <v>0.20155455379676401</v>
      </c>
    </row>
    <row r="228" spans="1:10" ht="11.25" customHeight="1" x14ac:dyDescent="0.2">
      <c r="A228" s="28">
        <v>44287</v>
      </c>
      <c r="B228" s="18">
        <v>25210.617599999998</v>
      </c>
      <c r="C228" s="18">
        <v>30961.893091993279</v>
      </c>
      <c r="D228" s="18">
        <v>715.35185280000007</v>
      </c>
      <c r="E228" s="18">
        <v>931.86114852669073</v>
      </c>
      <c r="F228" s="18">
        <v>5099.6899199999998</v>
      </c>
      <c r="G228" s="18">
        <v>5340.4323236919972</v>
      </c>
      <c r="H228" s="19">
        <v>0.23018559821204509</v>
      </c>
      <c r="I228" s="19">
        <v>4.7207263082379214E-2</v>
      </c>
      <c r="J228" s="19">
        <v>0.20010943576770357</v>
      </c>
    </row>
    <row r="229" spans="1:10" ht="11.25" customHeight="1" x14ac:dyDescent="0.2">
      <c r="A229" s="28">
        <v>44317</v>
      </c>
      <c r="B229" s="18">
        <v>21685.910400000001</v>
      </c>
      <c r="C229" s="18">
        <v>26633.097612307018</v>
      </c>
      <c r="D229" s="18">
        <v>713.97371520000002</v>
      </c>
      <c r="E229" s="18">
        <v>930.06590205918371</v>
      </c>
      <c r="F229" s="18">
        <v>5089.86528</v>
      </c>
      <c r="G229" s="18">
        <v>5330.1438893268278</v>
      </c>
      <c r="H229" s="19">
        <v>0.23050473710542674</v>
      </c>
      <c r="I229" s="19">
        <v>4.7207263082379214E-2</v>
      </c>
      <c r="J229" s="19">
        <v>0.19656628843028123</v>
      </c>
    </row>
    <row r="230" spans="1:10" ht="11.25" customHeight="1" x14ac:dyDescent="0.2">
      <c r="A230" s="28">
        <v>44348</v>
      </c>
      <c r="B230" s="18">
        <v>26823.619200000001</v>
      </c>
      <c r="C230" s="18">
        <v>32942.867294561569</v>
      </c>
      <c r="D230" s="18">
        <v>697.92825600000003</v>
      </c>
      <c r="E230" s="18">
        <v>909.16410390178021</v>
      </c>
      <c r="F230" s="18">
        <v>4975.4784</v>
      </c>
      <c r="G230" s="18">
        <v>5210.3571177894946</v>
      </c>
      <c r="H230" s="19">
        <v>0.23001918596998183</v>
      </c>
      <c r="I230" s="19">
        <v>4.7207263082379214E-2</v>
      </c>
      <c r="J230" s="19">
        <v>0.20202964693892622</v>
      </c>
    </row>
    <row r="231" spans="1:10" ht="11.25" customHeight="1" x14ac:dyDescent="0.2">
      <c r="A231" s="28">
        <v>44378</v>
      </c>
      <c r="B231" s="18">
        <v>29272.991999999998</v>
      </c>
      <c r="C231" s="18">
        <v>35951.013305868975</v>
      </c>
      <c r="D231" s="18">
        <v>741.19193280000002</v>
      </c>
      <c r="E231" s="18">
        <v>965.52201979244774</v>
      </c>
      <c r="F231" s="18">
        <v>5283.9019200000002</v>
      </c>
      <c r="G231" s="18">
        <v>5533.3404680389285</v>
      </c>
      <c r="H231" s="19">
        <v>0.22996965062636354</v>
      </c>
      <c r="I231" s="19">
        <v>4.7207263082379214E-2</v>
      </c>
      <c r="J231" s="19">
        <v>0.20261126823490483</v>
      </c>
    </row>
    <row r="232" spans="1:10" ht="11.25" customHeight="1" x14ac:dyDescent="0.2">
      <c r="A232" s="28">
        <v>44409</v>
      </c>
      <c r="B232" s="18">
        <v>34231.4784</v>
      </c>
      <c r="C232" s="18">
        <v>42040.67474339372</v>
      </c>
      <c r="D232" s="18">
        <v>887.8159296</v>
      </c>
      <c r="E232" s="18">
        <v>1156.5234207461433</v>
      </c>
      <c r="F232" s="18">
        <v>6329.1734399999996</v>
      </c>
      <c r="G232" s="18">
        <v>6627.9563956760867</v>
      </c>
      <c r="H232" s="19">
        <v>0.2300132730096307</v>
      </c>
      <c r="I232" s="19">
        <v>4.7207263082379214E-2</v>
      </c>
      <c r="J232" s="19">
        <v>0.20209882876200669</v>
      </c>
    </row>
    <row r="233" spans="1:10" ht="11.25" customHeight="1" x14ac:dyDescent="0.2">
      <c r="A233" s="28">
        <v>44440</v>
      </c>
      <c r="B233" s="18">
        <v>27719.731199999998</v>
      </c>
      <c r="C233" s="18">
        <v>34043.408518210621</v>
      </c>
      <c r="D233" s="18">
        <v>842.23895040000014</v>
      </c>
      <c r="E233" s="18">
        <v>1097.1520554278748</v>
      </c>
      <c r="F233" s="18">
        <v>6004.2585600000002</v>
      </c>
      <c r="G233" s="18">
        <v>6287.703173456548</v>
      </c>
      <c r="H233" s="19">
        <v>0.23032691332556299</v>
      </c>
      <c r="I233" s="19">
        <v>4.7207263082379214E-2</v>
      </c>
      <c r="J233" s="19">
        <v>0.19851847576968829</v>
      </c>
    </row>
    <row r="234" spans="1:10" ht="11.25" customHeight="1" x14ac:dyDescent="0.2">
      <c r="A234" s="28">
        <v>44470</v>
      </c>
      <c r="B234" s="18">
        <v>27122.323199999995</v>
      </c>
      <c r="C234" s="18">
        <v>33309.714369111251</v>
      </c>
      <c r="D234" s="18">
        <v>837.95688000000007</v>
      </c>
      <c r="E234" s="18">
        <v>1091.5739681895493</v>
      </c>
      <c r="F234" s="18">
        <v>5973.7320000000009</v>
      </c>
      <c r="G234" s="18">
        <v>6255.7355381076277</v>
      </c>
      <c r="H234" s="19">
        <v>0.23036279460977438</v>
      </c>
      <c r="I234" s="19">
        <v>4.7207263082379214E-2</v>
      </c>
      <c r="J234" s="19">
        <v>0.19812015683729989</v>
      </c>
    </row>
    <row r="235" spans="1:10" ht="11.25" customHeight="1" x14ac:dyDescent="0.2">
      <c r="A235" s="28">
        <v>44501</v>
      </c>
      <c r="B235" s="18">
        <v>36979.555199999995</v>
      </c>
      <c r="C235" s="18">
        <v>45415.667829250808</v>
      </c>
      <c r="D235" s="18">
        <v>845.831952</v>
      </c>
      <c r="E235" s="18">
        <v>1101.8325194324466</v>
      </c>
      <c r="F235" s="18">
        <v>6029.8727999999992</v>
      </c>
      <c r="G235" s="18">
        <v>6314.5265916228818</v>
      </c>
      <c r="H235" s="19">
        <v>0.2297957496576124</v>
      </c>
      <c r="I235" s="19">
        <v>4.7207263082379214E-2</v>
      </c>
      <c r="J235" s="19">
        <v>0.20469077137226654</v>
      </c>
    </row>
    <row r="236" spans="1:10" ht="11.25" customHeight="1" x14ac:dyDescent="0.2">
      <c r="A236" s="28">
        <v>44531</v>
      </c>
      <c r="B236" s="18">
        <v>41221.151999999995</v>
      </c>
      <c r="C236" s="18">
        <v>50624.896287856311</v>
      </c>
      <c r="D236" s="18">
        <v>1223.1463392000001</v>
      </c>
      <c r="E236" s="18">
        <v>1593.3453558577673</v>
      </c>
      <c r="F236" s="18">
        <v>8719.7188800000004</v>
      </c>
      <c r="G236" s="18">
        <v>9131.3529431725492</v>
      </c>
      <c r="H236" s="19">
        <v>0.23027694382892472</v>
      </c>
      <c r="I236" s="19">
        <v>4.7207263082379214E-2</v>
      </c>
      <c r="J236" s="19">
        <v>0.19907696700298105</v>
      </c>
    </row>
    <row r="237" spans="1:10" ht="11.25" customHeight="1" x14ac:dyDescent="0.2">
      <c r="A237" s="28">
        <v>44562</v>
      </c>
      <c r="B237" s="18">
        <v>45761.452799999999</v>
      </c>
      <c r="C237" s="18">
        <v>56200.971821011502</v>
      </c>
      <c r="D237" s="18">
        <v>975.47532480000018</v>
      </c>
      <c r="E237" s="18">
        <v>1270.7139192686448</v>
      </c>
      <c r="F237" s="18">
        <v>6954.0907200000001</v>
      </c>
      <c r="G237" s="18">
        <v>7282.3743101177724</v>
      </c>
      <c r="H237" s="19">
        <v>0.22968470642348371</v>
      </c>
      <c r="I237" s="19">
        <v>4.7207263082379214E-2</v>
      </c>
      <c r="J237" s="19">
        <v>0.20605012614077789</v>
      </c>
    </row>
    <row r="238" spans="1:10" ht="11.25" customHeight="1" x14ac:dyDescent="0.2">
      <c r="A238" s="28">
        <v>44593</v>
      </c>
      <c r="B238" s="18">
        <v>44028.969599999997</v>
      </c>
      <c r="C238" s="18">
        <v>54073.25878862333</v>
      </c>
      <c r="D238" s="18">
        <v>1132.9275456</v>
      </c>
      <c r="E238" s="18">
        <v>1475.8208281813243</v>
      </c>
      <c r="F238" s="18">
        <v>8076.5558400000009</v>
      </c>
      <c r="G238" s="18">
        <v>8457.8279363384063</v>
      </c>
      <c r="H238" s="19">
        <v>0.22999880712975429</v>
      </c>
      <c r="I238" s="19">
        <v>4.7207263082379214E-2</v>
      </c>
      <c r="J238" s="19">
        <v>0.2022683598724353</v>
      </c>
    </row>
    <row r="239" spans="1:10" ht="11.25" customHeight="1" x14ac:dyDescent="0.2">
      <c r="A239" s="28">
        <v>44621</v>
      </c>
      <c r="B239" s="18">
        <v>44028.969599999997</v>
      </c>
      <c r="C239" s="18">
        <v>54073.25878862333</v>
      </c>
      <c r="D239" s="18">
        <v>1132.9275456</v>
      </c>
      <c r="E239" s="18">
        <v>1475.8208281813243</v>
      </c>
      <c r="F239" s="18">
        <v>8076.5558400000009</v>
      </c>
      <c r="G239" s="18">
        <v>8457.8279363384063</v>
      </c>
      <c r="H239" s="19">
        <v>0.22999880712975429</v>
      </c>
      <c r="I239" s="19">
        <v>4.7207263082379214E-2</v>
      </c>
      <c r="J239" s="19">
        <v>0.2022683598724353</v>
      </c>
    </row>
    <row r="240" spans="1:10" ht="11.25" customHeight="1" x14ac:dyDescent="0.2">
      <c r="A240" s="23" t="s">
        <v>50</v>
      </c>
      <c r="B240" s="18">
        <v>5531853.3204999994</v>
      </c>
      <c r="C240" s="18">
        <v>6652955.3178145969</v>
      </c>
      <c r="D240" s="18">
        <v>1941966.8095037995</v>
      </c>
      <c r="E240" s="18">
        <v>2529724.9380450966</v>
      </c>
      <c r="F240" s="18">
        <v>8876963.9585044011</v>
      </c>
      <c r="G240" s="18">
        <v>9429149.3857036475</v>
      </c>
      <c r="H240" s="19">
        <v>0.22864614027780017</v>
      </c>
      <c r="I240" s="19">
        <v>6.2204311043781546E-2</v>
      </c>
      <c r="J240" s="19">
        <v>0.13828361629729247</v>
      </c>
    </row>
    <row r="241" spans="1:10" ht="11.25" customHeight="1" x14ac:dyDescent="0.2">
      <c r="A241" s="24" t="s">
        <v>51</v>
      </c>
      <c r="B241" s="18">
        <v>5531853.3204999994</v>
      </c>
      <c r="C241" s="18">
        <v>6652955.3178145969</v>
      </c>
      <c r="D241" s="18">
        <v>1941966.8095037995</v>
      </c>
      <c r="E241" s="18">
        <v>2529724.9380450966</v>
      </c>
      <c r="F241" s="18">
        <v>8876963.9585044011</v>
      </c>
      <c r="G241" s="18">
        <v>9429149.3857036475</v>
      </c>
      <c r="H241" s="19">
        <v>0.22864614027780017</v>
      </c>
      <c r="I241" s="19">
        <v>6.2204311043781546E-2</v>
      </c>
      <c r="J241" s="19">
        <v>0.13828361629729247</v>
      </c>
    </row>
    <row r="242" spans="1:10" ht="11.25" customHeight="1" x14ac:dyDescent="0.2">
      <c r="A242" s="25" t="s">
        <v>25</v>
      </c>
      <c r="B242" s="18">
        <v>5531853.3204999994</v>
      </c>
      <c r="C242" s="18">
        <v>6652955.3178145969</v>
      </c>
      <c r="D242" s="18">
        <v>1941966.8095037995</v>
      </c>
      <c r="E242" s="18">
        <v>2529724.9380450966</v>
      </c>
      <c r="F242" s="18">
        <v>8876963.9585044011</v>
      </c>
      <c r="G242" s="18">
        <v>9429149.3857036475</v>
      </c>
      <c r="H242" s="19">
        <v>0.22864614027780017</v>
      </c>
      <c r="I242" s="19">
        <v>6.2204311043781546E-2</v>
      </c>
      <c r="J242" s="19">
        <v>0.13828361629729247</v>
      </c>
    </row>
    <row r="243" spans="1:10" ht="11.25" customHeight="1" x14ac:dyDescent="0.2">
      <c r="A243" s="26" t="s">
        <v>25</v>
      </c>
      <c r="B243" s="18">
        <v>5531853.3204999994</v>
      </c>
      <c r="C243" s="18">
        <v>6652955.3178145969</v>
      </c>
      <c r="D243" s="18">
        <v>1941966.8095037995</v>
      </c>
      <c r="E243" s="18">
        <v>2529724.9380450966</v>
      </c>
      <c r="F243" s="18">
        <v>8876963.9585044011</v>
      </c>
      <c r="G243" s="18">
        <v>9429149.3857036475</v>
      </c>
      <c r="H243" s="19">
        <v>0.22864614027780017</v>
      </c>
      <c r="I243" s="19">
        <v>6.2204311043781546E-2</v>
      </c>
      <c r="J243" s="19">
        <v>0.13828361629729247</v>
      </c>
    </row>
    <row r="244" spans="1:10" ht="11.25" customHeight="1" x14ac:dyDescent="0.2">
      <c r="A244" s="27" t="s">
        <v>35</v>
      </c>
      <c r="B244" s="18">
        <v>1653555.2604999999</v>
      </c>
      <c r="C244" s="18">
        <v>1889904.6136301442</v>
      </c>
      <c r="D244" s="18">
        <v>1778524.5249047999</v>
      </c>
      <c r="E244" s="18">
        <v>2316815.0050546345</v>
      </c>
      <c r="F244" s="18">
        <v>7711796.1211544005</v>
      </c>
      <c r="G244" s="18">
        <v>8208977.1637207391</v>
      </c>
      <c r="H244" s="19">
        <v>0.22570566004152903</v>
      </c>
      <c r="I244" s="19">
        <v>6.4470200554512802E-2</v>
      </c>
      <c r="J244" s="19">
        <v>0.11412733653088636</v>
      </c>
    </row>
    <row r="245" spans="1:10" ht="11.25" customHeight="1" x14ac:dyDescent="0.2">
      <c r="A245" s="28">
        <v>44287</v>
      </c>
      <c r="B245" s="18">
        <v>145181.75099999999</v>
      </c>
      <c r="C245" s="18">
        <v>165933.16690658176</v>
      </c>
      <c r="D245" s="18">
        <v>165021.64361880001</v>
      </c>
      <c r="E245" s="18">
        <v>214967.30280695963</v>
      </c>
      <c r="F245" s="18">
        <v>715544.40399640007</v>
      </c>
      <c r="G245" s="18">
        <v>761675.69522770727</v>
      </c>
      <c r="H245" s="19">
        <v>0.22790554945931185</v>
      </c>
      <c r="I245" s="19">
        <v>6.4470200554512802E-2</v>
      </c>
      <c r="J245" s="19">
        <v>0.11389580019939749</v>
      </c>
    </row>
    <row r="246" spans="1:10" ht="11.25" customHeight="1" x14ac:dyDescent="0.2">
      <c r="A246" s="28">
        <v>44317</v>
      </c>
      <c r="B246" s="18">
        <v>145966.96399999998</v>
      </c>
      <c r="C246" s="18">
        <v>166830.61358213687</v>
      </c>
      <c r="D246" s="18">
        <v>167919.44042520001</v>
      </c>
      <c r="E246" s="18">
        <v>218742.15045660129</v>
      </c>
      <c r="F246" s="18">
        <v>728109.4363356001</v>
      </c>
      <c r="G246" s="18">
        <v>775050.79772178945</v>
      </c>
      <c r="H246" s="19">
        <v>0.22838313033918389</v>
      </c>
      <c r="I246" s="19">
        <v>6.4470200554512802E-2</v>
      </c>
      <c r="J246" s="19">
        <v>0.1138466358110537</v>
      </c>
    </row>
    <row r="247" spans="1:10" ht="11.25" customHeight="1" x14ac:dyDescent="0.2">
      <c r="A247" s="28">
        <v>44348</v>
      </c>
      <c r="B247" s="18">
        <v>234179.44549999997</v>
      </c>
      <c r="C247" s="18">
        <v>267651.66247541859</v>
      </c>
      <c r="D247" s="18">
        <v>266348.52979320002</v>
      </c>
      <c r="E247" s="18">
        <v>346961.91239317198</v>
      </c>
      <c r="F247" s="18">
        <v>1154904.2648396001</v>
      </c>
      <c r="G247" s="18">
        <v>1229361.1744150713</v>
      </c>
      <c r="H247" s="19">
        <v>0.22793051578897527</v>
      </c>
      <c r="I247" s="19">
        <v>6.4470200554512802E-2</v>
      </c>
      <c r="J247" s="19">
        <v>0.11389322050157524</v>
      </c>
    </row>
    <row r="248" spans="1:10" ht="11.25" customHeight="1" x14ac:dyDescent="0.2">
      <c r="A248" s="28">
        <v>44378</v>
      </c>
      <c r="B248" s="18">
        <v>238580.77099999998</v>
      </c>
      <c r="C248" s="18">
        <v>272682.08726208267</v>
      </c>
      <c r="D248" s="18">
        <v>269500.83805740002</v>
      </c>
      <c r="E248" s="18">
        <v>351068.30226004613</v>
      </c>
      <c r="F248" s="18">
        <v>1168572.8751421999</v>
      </c>
      <c r="G248" s="18">
        <v>1243911.0027651812</v>
      </c>
      <c r="H248" s="19">
        <v>0.22765787700782769</v>
      </c>
      <c r="I248" s="19">
        <v>6.4470200554512802E-2</v>
      </c>
      <c r="J248" s="19">
        <v>0.11392144886600941</v>
      </c>
    </row>
    <row r="249" spans="1:10" ht="11.25" customHeight="1" x14ac:dyDescent="0.2">
      <c r="A249" s="28">
        <v>44409</v>
      </c>
      <c r="B249" s="18">
        <v>111210.95699999999</v>
      </c>
      <c r="C249" s="18">
        <v>127106.78967993497</v>
      </c>
      <c r="D249" s="18">
        <v>115254.3160488</v>
      </c>
      <c r="E249" s="18">
        <v>150137.33298587042</v>
      </c>
      <c r="F249" s="18">
        <v>499750.08778639999</v>
      </c>
      <c r="G249" s="18">
        <v>531969.0761731246</v>
      </c>
      <c r="H249" s="19">
        <v>0.22422355945965844</v>
      </c>
      <c r="I249" s="19">
        <v>6.4470200554512802E-2</v>
      </c>
      <c r="J249" s="19">
        <v>0.11428818843528266</v>
      </c>
    </row>
    <row r="250" spans="1:10" ht="11.25" customHeight="1" x14ac:dyDescent="0.2">
      <c r="A250" s="28">
        <v>44440</v>
      </c>
      <c r="B250" s="18">
        <v>110033.1375</v>
      </c>
      <c r="C250" s="18">
        <v>125760.61966660232</v>
      </c>
      <c r="D250" s="18">
        <v>113333.35937460001</v>
      </c>
      <c r="E250" s="18">
        <v>147634.97713722975</v>
      </c>
      <c r="F250" s="18">
        <v>491420.69675380003</v>
      </c>
      <c r="G250" s="18">
        <v>523102.68763015594</v>
      </c>
      <c r="H250" s="19">
        <v>0.22397763598951403</v>
      </c>
      <c r="I250" s="19">
        <v>6.4470200554512802E-2</v>
      </c>
      <c r="J250" s="19">
        <v>0.11431526968300365</v>
      </c>
    </row>
    <row r="251" spans="1:10" ht="11.25" customHeight="1" x14ac:dyDescent="0.2">
      <c r="A251" s="28">
        <v>44470</v>
      </c>
      <c r="B251" s="18">
        <v>111169.62999999999</v>
      </c>
      <c r="C251" s="18">
        <v>127059.55564437943</v>
      </c>
      <c r="D251" s="18">
        <v>115065.44454659999</v>
      </c>
      <c r="E251" s="18">
        <v>149891.29739614608</v>
      </c>
      <c r="F251" s="18">
        <v>498931.12886979996</v>
      </c>
      <c r="G251" s="18">
        <v>531097.31881092547</v>
      </c>
      <c r="H251" s="19">
        <v>0.22417292542089484</v>
      </c>
      <c r="I251" s="19">
        <v>6.4470200554512802E-2</v>
      </c>
      <c r="J251" s="19">
        <v>0.1142937550654981</v>
      </c>
    </row>
    <row r="252" spans="1:10" ht="11.25" customHeight="1" x14ac:dyDescent="0.2">
      <c r="A252" s="28">
        <v>44501</v>
      </c>
      <c r="B252" s="18">
        <v>110756.36</v>
      </c>
      <c r="C252" s="18">
        <v>126587.21528882413</v>
      </c>
      <c r="D252" s="18">
        <v>112899.75975600001</v>
      </c>
      <c r="E252" s="18">
        <v>147070.14371014378</v>
      </c>
      <c r="F252" s="18">
        <v>489540.58106800006</v>
      </c>
      <c r="G252" s="18">
        <v>521101.36050902674</v>
      </c>
      <c r="H252" s="19">
        <v>0.22356302746161072</v>
      </c>
      <c r="I252" s="19">
        <v>6.4470200554512802E-2</v>
      </c>
      <c r="J252" s="19">
        <v>0.11436118337305956</v>
      </c>
    </row>
    <row r="253" spans="1:10" ht="11.25" customHeight="1" x14ac:dyDescent="0.2">
      <c r="A253" s="28">
        <v>44531</v>
      </c>
      <c r="B253" s="18">
        <v>109330.57849999997</v>
      </c>
      <c r="C253" s="18">
        <v>124957.64106215828</v>
      </c>
      <c r="D253" s="18">
        <v>114015.73538880001</v>
      </c>
      <c r="E253" s="18">
        <v>148523.88193817568</v>
      </c>
      <c r="F253" s="18">
        <v>494379.52280640003</v>
      </c>
      <c r="G253" s="18">
        <v>526252.26979177294</v>
      </c>
      <c r="H253" s="19">
        <v>0.22447296415420293</v>
      </c>
      <c r="I253" s="19">
        <v>6.4470200554512802E-2</v>
      </c>
      <c r="J253" s="19">
        <v>0.11426083875497084</v>
      </c>
    </row>
    <row r="254" spans="1:10" ht="11.25" customHeight="1" x14ac:dyDescent="0.2">
      <c r="A254" s="28">
        <v>44562</v>
      </c>
      <c r="B254" s="18">
        <v>111500.24599999998</v>
      </c>
      <c r="C254" s="18">
        <v>127437.42792882367</v>
      </c>
      <c r="D254" s="18">
        <v>119836.1488086</v>
      </c>
      <c r="E254" s="18">
        <v>156105.90903860927</v>
      </c>
      <c r="F254" s="18">
        <v>519617.20775579999</v>
      </c>
      <c r="G254" s="18">
        <v>553117.03335139237</v>
      </c>
      <c r="H254" s="19">
        <v>0.22567543771928844</v>
      </c>
      <c r="I254" s="19">
        <v>6.4470200554512802E-2</v>
      </c>
      <c r="J254" s="19">
        <v>0.11413057672504534</v>
      </c>
    </row>
    <row r="255" spans="1:10" ht="11.25" customHeight="1" x14ac:dyDescent="0.2">
      <c r="A255" s="28">
        <v>44593</v>
      </c>
      <c r="B255" s="18">
        <v>112822.70999999999</v>
      </c>
      <c r="C255" s="18">
        <v>128948.9170666007</v>
      </c>
      <c r="D255" s="18">
        <v>109664.65454340001</v>
      </c>
      <c r="E255" s="18">
        <v>142855.89746584004</v>
      </c>
      <c r="F255" s="18">
        <v>475512.95790020004</v>
      </c>
      <c r="G255" s="18">
        <v>506169.37366229552</v>
      </c>
      <c r="H255" s="19">
        <v>0.22166404860901889</v>
      </c>
      <c r="I255" s="19">
        <v>6.4470200554512802E-2</v>
      </c>
      <c r="J255" s="19">
        <v>0.11457568596982748</v>
      </c>
    </row>
    <row r="256" spans="1:10" ht="11.25" customHeight="1" x14ac:dyDescent="0.2">
      <c r="A256" s="28">
        <v>44621</v>
      </c>
      <c r="B256" s="18">
        <v>112822.70999999999</v>
      </c>
      <c r="C256" s="18">
        <v>128948.9170666007</v>
      </c>
      <c r="D256" s="18">
        <v>109664.65454340001</v>
      </c>
      <c r="E256" s="18">
        <v>142855.89746584004</v>
      </c>
      <c r="F256" s="18">
        <v>475512.95790020004</v>
      </c>
      <c r="G256" s="18">
        <v>506169.37366229552</v>
      </c>
      <c r="H256" s="19">
        <v>0.22166404860901889</v>
      </c>
      <c r="I256" s="19">
        <v>6.4470200554512802E-2</v>
      </c>
      <c r="J256" s="19">
        <v>0.11457568596982748</v>
      </c>
    </row>
    <row r="257" spans="1:10" ht="11.25" customHeight="1" x14ac:dyDescent="0.2">
      <c r="A257" s="27" t="s">
        <v>34</v>
      </c>
      <c r="B257" s="18">
        <v>3878298.0599999996</v>
      </c>
      <c r="C257" s="18">
        <v>4763050.7041844521</v>
      </c>
      <c r="D257" s="18">
        <v>163442.28459900001</v>
      </c>
      <c r="E257" s="18">
        <v>212909.93299046133</v>
      </c>
      <c r="F257" s="18">
        <v>1165167.8373500002</v>
      </c>
      <c r="G257" s="18">
        <v>1220172.2219829084</v>
      </c>
      <c r="H257" s="19">
        <v>0.23114307524092137</v>
      </c>
      <c r="I257" s="19">
        <v>4.7207263082379214E-2</v>
      </c>
      <c r="J257" s="19">
        <v>0.18998312292853714</v>
      </c>
    </row>
    <row r="258" spans="1:10" ht="11.25" customHeight="1" x14ac:dyDescent="0.2">
      <c r="A258" s="28">
        <v>44287</v>
      </c>
      <c r="B258" s="18">
        <v>352178.239</v>
      </c>
      <c r="C258" s="18">
        <v>432520.3435414632</v>
      </c>
      <c r="D258" s="18">
        <v>14600.456291400002</v>
      </c>
      <c r="E258" s="18">
        <v>19019.448842500784</v>
      </c>
      <c r="F258" s="18">
        <v>104085.56221</v>
      </c>
      <c r="G258" s="18">
        <v>108999.15672832482</v>
      </c>
      <c r="H258" s="19">
        <v>0.231096021063117</v>
      </c>
      <c r="I258" s="19">
        <v>4.7207263082379214E-2</v>
      </c>
      <c r="J258" s="19">
        <v>0.19044701351242854</v>
      </c>
    </row>
    <row r="259" spans="1:10" ht="11.25" customHeight="1" x14ac:dyDescent="0.2">
      <c r="A259" s="28">
        <v>44317</v>
      </c>
      <c r="B259" s="18">
        <v>343291.79499999998</v>
      </c>
      <c r="C259" s="18">
        <v>421606.64307361009</v>
      </c>
      <c r="D259" s="18">
        <v>14638.336618200001</v>
      </c>
      <c r="E259" s="18">
        <v>19068.794076877752</v>
      </c>
      <c r="F259" s="18">
        <v>104355.60823</v>
      </c>
      <c r="G259" s="18">
        <v>109281.95088183531</v>
      </c>
      <c r="H259" s="19">
        <v>0.23117725562303693</v>
      </c>
      <c r="I259" s="19">
        <v>4.7207263082379214E-2</v>
      </c>
      <c r="J259" s="19">
        <v>0.18964817779780918</v>
      </c>
    </row>
    <row r="260" spans="1:10" ht="11.25" customHeight="1" x14ac:dyDescent="0.2">
      <c r="A260" s="28">
        <v>44348</v>
      </c>
      <c r="B260" s="18">
        <v>552440.60199999996</v>
      </c>
      <c r="C260" s="18">
        <v>678468.37908486649</v>
      </c>
      <c r="D260" s="18">
        <v>24382.255489800002</v>
      </c>
      <c r="E260" s="18">
        <v>31761.819747112058</v>
      </c>
      <c r="F260" s="18">
        <v>173819.27797</v>
      </c>
      <c r="G260" s="18">
        <v>182024.81035391899</v>
      </c>
      <c r="H260" s="19">
        <v>0.23127956808566252</v>
      </c>
      <c r="I260" s="19">
        <v>4.7207263082379214E-2</v>
      </c>
      <c r="J260" s="19">
        <v>0.18865564166519078</v>
      </c>
    </row>
    <row r="261" spans="1:10" ht="11.25" customHeight="1" x14ac:dyDescent="0.2">
      <c r="A261" s="28">
        <v>44378</v>
      </c>
      <c r="B261" s="18">
        <v>556513.5554999999</v>
      </c>
      <c r="C261" s="18">
        <v>683470.49179929902</v>
      </c>
      <c r="D261" s="18">
        <v>26158.486182600001</v>
      </c>
      <c r="E261" s="18">
        <v>34075.646665938446</v>
      </c>
      <c r="F261" s="18">
        <v>186481.89389000001</v>
      </c>
      <c r="G261" s="18">
        <v>195285.19371496557</v>
      </c>
      <c r="H261" s="19">
        <v>0.23147514748289177</v>
      </c>
      <c r="I261" s="19">
        <v>4.7207263082379214E-2</v>
      </c>
      <c r="J261" s="19">
        <v>0.18679927380289851</v>
      </c>
    </row>
    <row r="262" spans="1:10" ht="11.25" customHeight="1" x14ac:dyDescent="0.2">
      <c r="A262" s="28">
        <v>44409</v>
      </c>
      <c r="B262" s="18">
        <v>254162.87749999997</v>
      </c>
      <c r="C262" s="18">
        <v>312144.82588115509</v>
      </c>
      <c r="D262" s="18">
        <v>10919.6066226</v>
      </c>
      <c r="E262" s="18">
        <v>14224.548561616159</v>
      </c>
      <c r="F262" s="18">
        <v>77845.059890000004</v>
      </c>
      <c r="G262" s="18">
        <v>81519.912111890793</v>
      </c>
      <c r="H262" s="19">
        <v>0.23119932093222051</v>
      </c>
      <c r="I262" s="19">
        <v>4.7207263082379214E-2</v>
      </c>
      <c r="J262" s="19">
        <v>0.18943285156375556</v>
      </c>
    </row>
    <row r="263" spans="1:10" ht="11.25" customHeight="1" x14ac:dyDescent="0.2">
      <c r="A263" s="28">
        <v>44440</v>
      </c>
      <c r="B263" s="18">
        <v>256966.33900000001</v>
      </c>
      <c r="C263" s="18">
        <v>315587.83852875163</v>
      </c>
      <c r="D263" s="18">
        <v>10590.683937600001</v>
      </c>
      <c r="E263" s="18">
        <v>13796.073721129127</v>
      </c>
      <c r="F263" s="18">
        <v>75500.194640000002</v>
      </c>
      <c r="G263" s="18">
        <v>79064.352191141312</v>
      </c>
      <c r="H263" s="19">
        <v>0.23107929903488289</v>
      </c>
      <c r="I263" s="19">
        <v>4.7207263082379214E-2</v>
      </c>
      <c r="J263" s="19">
        <v>0.19061265442879205</v>
      </c>
    </row>
    <row r="264" spans="1:10" ht="11.25" customHeight="1" x14ac:dyDescent="0.2">
      <c r="A264" s="28">
        <v>44470</v>
      </c>
      <c r="B264" s="18">
        <v>254109.98199999999</v>
      </c>
      <c r="C264" s="18">
        <v>312079.86337837024</v>
      </c>
      <c r="D264" s="18">
        <v>10285.376214600001</v>
      </c>
      <c r="E264" s="18">
        <v>13398.361176882188</v>
      </c>
      <c r="F264" s="18">
        <v>73323.678690000001</v>
      </c>
      <c r="G264" s="18">
        <v>76785.088880086667</v>
      </c>
      <c r="H264" s="19">
        <v>0.23102851257726575</v>
      </c>
      <c r="I264" s="19">
        <v>4.7207263082379214E-2</v>
      </c>
      <c r="J264" s="19">
        <v>0.19111826541472632</v>
      </c>
    </row>
    <row r="265" spans="1:10" ht="11.25" customHeight="1" x14ac:dyDescent="0.2">
      <c r="A265" s="28">
        <v>44501</v>
      </c>
      <c r="B265" s="18">
        <v>266857.79749999999</v>
      </c>
      <c r="C265" s="18">
        <v>327735.82654951664</v>
      </c>
      <c r="D265" s="18">
        <v>10293.520966800001</v>
      </c>
      <c r="E265" s="18">
        <v>13408.971030075201</v>
      </c>
      <c r="F265" s="18">
        <v>73381.742019999991</v>
      </c>
      <c r="G265" s="18">
        <v>76845.893220981423</v>
      </c>
      <c r="H265" s="19">
        <v>0.23089725665677352</v>
      </c>
      <c r="I265" s="19">
        <v>4.7207263082379436E-2</v>
      </c>
      <c r="J265" s="19">
        <v>0.19244299017071897</v>
      </c>
    </row>
    <row r="266" spans="1:10" ht="11.25" customHeight="1" x14ac:dyDescent="0.2">
      <c r="A266" s="28">
        <v>44531</v>
      </c>
      <c r="B266" s="18">
        <v>255009.20549999995</v>
      </c>
      <c r="C266" s="18">
        <v>313184.2259257125</v>
      </c>
      <c r="D266" s="18">
        <v>10627.3594194</v>
      </c>
      <c r="E266" s="18">
        <v>13843.849450595886</v>
      </c>
      <c r="F266" s="18">
        <v>75761.651409999991</v>
      </c>
      <c r="G266" s="18">
        <v>79338.151619667377</v>
      </c>
      <c r="H266" s="19">
        <v>0.23111091831629427</v>
      </c>
      <c r="I266" s="19">
        <v>4.7207263082379436E-2</v>
      </c>
      <c r="J266" s="19">
        <v>0.19029979525110075</v>
      </c>
    </row>
    <row r="267" spans="1:10" ht="11.25" customHeight="1" x14ac:dyDescent="0.2">
      <c r="A267" s="28">
        <v>44562</v>
      </c>
      <c r="B267" s="18">
        <v>263631.17199999996</v>
      </c>
      <c r="C267" s="18">
        <v>323773.1138796414</v>
      </c>
      <c r="D267" s="18">
        <v>10889.871048000001</v>
      </c>
      <c r="E267" s="18">
        <v>14185.813180432202</v>
      </c>
      <c r="F267" s="18">
        <v>77633.0772</v>
      </c>
      <c r="G267" s="18">
        <v>81297.922299275058</v>
      </c>
      <c r="H267" s="19">
        <v>0.23108568766796322</v>
      </c>
      <c r="I267" s="19">
        <v>4.7207263082379214E-2</v>
      </c>
      <c r="J267" s="19">
        <v>0.19054932273429737</v>
      </c>
    </row>
    <row r="268" spans="1:10" ht="11.25" customHeight="1" x14ac:dyDescent="0.2">
      <c r="A268" s="28">
        <v>44593</v>
      </c>
      <c r="B268" s="18">
        <v>261568.2475</v>
      </c>
      <c r="C268" s="18">
        <v>321239.57627103268</v>
      </c>
      <c r="D268" s="18">
        <v>10028.165904000001</v>
      </c>
      <c r="E268" s="18">
        <v>13063.303268650792</v>
      </c>
      <c r="F268" s="18">
        <v>71490.045599999998</v>
      </c>
      <c r="G268" s="18">
        <v>74864.894990410481</v>
      </c>
      <c r="H268" s="19">
        <v>0.23088105380245771</v>
      </c>
      <c r="I268" s="19">
        <v>4.7207263082379214E-2</v>
      </c>
      <c r="J268" s="19">
        <v>0.19260834635657686</v>
      </c>
    </row>
    <row r="269" spans="1:10" ht="11.25" customHeight="1" x14ac:dyDescent="0.2">
      <c r="A269" s="28">
        <v>44621</v>
      </c>
      <c r="B269" s="18">
        <v>261568.2475</v>
      </c>
      <c r="C269" s="18">
        <v>321239.57627103268</v>
      </c>
      <c r="D269" s="18">
        <v>10028.165904000001</v>
      </c>
      <c r="E269" s="18">
        <v>13063.303268650792</v>
      </c>
      <c r="F269" s="18">
        <v>71490.045599999998</v>
      </c>
      <c r="G269" s="18">
        <v>74864.894990410481</v>
      </c>
      <c r="H269" s="19">
        <v>0.23088105380245771</v>
      </c>
      <c r="I269" s="19">
        <v>4.7207263082379214E-2</v>
      </c>
      <c r="J269" s="19">
        <v>0.19260834635657686</v>
      </c>
    </row>
    <row r="270" spans="1:10" ht="11.25" customHeight="1" x14ac:dyDescent="0.2">
      <c r="A270" s="22" t="s">
        <v>42</v>
      </c>
      <c r="B270" s="18">
        <v>42444301.213599987</v>
      </c>
      <c r="C270" s="18">
        <v>48511037.158585593</v>
      </c>
      <c r="D270" s="18">
        <v>50545744.458221398</v>
      </c>
      <c r="E270" s="18">
        <v>63364648.571552597</v>
      </c>
      <c r="F270" s="18">
        <v>81751765.881839558</v>
      </c>
      <c r="G270" s="18">
        <v>86887235.657086596</v>
      </c>
      <c r="H270" s="19">
        <v>0.20309313671021978</v>
      </c>
      <c r="I270" s="19">
        <v>6.2817845215352497E-2</v>
      </c>
      <c r="J270" s="19">
        <v>0.13746629739034932</v>
      </c>
    </row>
    <row r="271" spans="1:10" ht="11.25" customHeight="1" x14ac:dyDescent="0.2">
      <c r="A271" s="23" t="s">
        <v>43</v>
      </c>
      <c r="B271" s="18">
        <v>15570943.959999997</v>
      </c>
      <c r="C271" s="18">
        <v>17796562.069345143</v>
      </c>
      <c r="D271" s="18">
        <v>19952582.523839999</v>
      </c>
      <c r="E271" s="18">
        <v>24953795.516443532</v>
      </c>
      <c r="F271" s="18">
        <v>29003034.82858</v>
      </c>
      <c r="G271" s="18">
        <v>30816330.851267323</v>
      </c>
      <c r="H271" s="19">
        <v>0.20343788517832695</v>
      </c>
      <c r="I271" s="19">
        <v>6.2520906291519296E-2</v>
      </c>
      <c r="J271" s="19">
        <v>0.14009931632442307</v>
      </c>
    </row>
    <row r="272" spans="1:10" ht="11.25" customHeight="1" x14ac:dyDescent="0.2">
      <c r="A272" s="24" t="s">
        <v>25</v>
      </c>
      <c r="B272" s="18">
        <v>15570943.959999997</v>
      </c>
      <c r="C272" s="18">
        <v>17796562.069345143</v>
      </c>
      <c r="D272" s="18">
        <v>19952582.523839999</v>
      </c>
      <c r="E272" s="18">
        <v>24953795.516443532</v>
      </c>
      <c r="F272" s="18">
        <v>29003034.82858</v>
      </c>
      <c r="G272" s="18">
        <v>30816330.851267323</v>
      </c>
      <c r="H272" s="19">
        <v>0.20343788517832695</v>
      </c>
      <c r="I272" s="19">
        <v>6.2520906291519296E-2</v>
      </c>
      <c r="J272" s="19">
        <v>0.14009931632442307</v>
      </c>
    </row>
    <row r="273" spans="1:10" ht="11.25" customHeight="1" x14ac:dyDescent="0.2">
      <c r="A273" s="25" t="s">
        <v>25</v>
      </c>
      <c r="B273" s="18">
        <v>15570943.959999997</v>
      </c>
      <c r="C273" s="18">
        <v>17796562.069345143</v>
      </c>
      <c r="D273" s="18">
        <v>19952582.523839999</v>
      </c>
      <c r="E273" s="18">
        <v>24953795.516443532</v>
      </c>
      <c r="F273" s="18">
        <v>29003034.82858</v>
      </c>
      <c r="G273" s="18">
        <v>30816330.851267323</v>
      </c>
      <c r="H273" s="19">
        <v>0.20343788517832695</v>
      </c>
      <c r="I273" s="19">
        <v>6.2520906291519296E-2</v>
      </c>
      <c r="J273" s="19">
        <v>0.14009931632442307</v>
      </c>
    </row>
    <row r="274" spans="1:10" ht="11.25" customHeight="1" x14ac:dyDescent="0.2">
      <c r="A274" s="26" t="s">
        <v>25</v>
      </c>
      <c r="B274" s="18">
        <v>15570943.959999997</v>
      </c>
      <c r="C274" s="18">
        <v>17796562.069345143</v>
      </c>
      <c r="D274" s="18">
        <v>19952582.523839999</v>
      </c>
      <c r="E274" s="18">
        <v>24953795.516443532</v>
      </c>
      <c r="F274" s="18">
        <v>29003034.82858</v>
      </c>
      <c r="G274" s="18">
        <v>30816330.851267323</v>
      </c>
      <c r="H274" s="19">
        <v>0.20343788517832695</v>
      </c>
      <c r="I274" s="19">
        <v>6.2520906291519296E-2</v>
      </c>
      <c r="J274" s="19">
        <v>0.14009931632442307</v>
      </c>
    </row>
    <row r="275" spans="1:10" ht="11.25" customHeight="1" x14ac:dyDescent="0.2">
      <c r="A275" s="27" t="s">
        <v>35</v>
      </c>
      <c r="B275" s="18">
        <v>0</v>
      </c>
      <c r="C275" s="18">
        <v>0</v>
      </c>
      <c r="D275" s="18">
        <v>5933508.7848600009</v>
      </c>
      <c r="E275" s="18">
        <v>7729352.0515962364</v>
      </c>
      <c r="F275" s="18">
        <v>25728073.687580001</v>
      </c>
      <c r="G275" s="18">
        <v>27386767.758099571</v>
      </c>
      <c r="H275" s="19">
        <v>0.30266126365541557</v>
      </c>
      <c r="I275" s="19">
        <v>6.4470200554513024E-2</v>
      </c>
      <c r="J275" s="19">
        <v>0.10910817045429821</v>
      </c>
    </row>
    <row r="276" spans="1:10" ht="11.25" customHeight="1" x14ac:dyDescent="0.2">
      <c r="A276" s="28">
        <v>44287</v>
      </c>
      <c r="B276" s="18">
        <v>0</v>
      </c>
      <c r="C276" s="18">
        <v>0</v>
      </c>
      <c r="D276" s="18">
        <v>514379.70773999998</v>
      </c>
      <c r="E276" s="18">
        <v>670062.52008329169</v>
      </c>
      <c r="F276" s="18">
        <v>2230383.3202200001</v>
      </c>
      <c r="G276" s="18">
        <v>2374176.5801880234</v>
      </c>
      <c r="H276" s="19">
        <v>0.30266126365541557</v>
      </c>
      <c r="I276" s="19">
        <v>6.447020055451258E-2</v>
      </c>
      <c r="J276" s="19">
        <v>0.10910817045429821</v>
      </c>
    </row>
    <row r="277" spans="1:10" ht="11.25" customHeight="1" x14ac:dyDescent="0.2">
      <c r="A277" s="28">
        <v>44317</v>
      </c>
      <c r="B277" s="18">
        <v>0</v>
      </c>
      <c r="C277" s="18">
        <v>0</v>
      </c>
      <c r="D277" s="18">
        <v>470682.6969000001</v>
      </c>
      <c r="E277" s="18">
        <v>613140.11672449287</v>
      </c>
      <c r="F277" s="18">
        <v>2040910.2857000001</v>
      </c>
      <c r="G277" s="18">
        <v>2172488.1811328474</v>
      </c>
      <c r="H277" s="19">
        <v>0.30266126365541512</v>
      </c>
      <c r="I277" s="19">
        <v>6.4470200554513024E-2</v>
      </c>
      <c r="J277" s="19">
        <v>0.10910817045429821</v>
      </c>
    </row>
    <row r="278" spans="1:10" ht="11.25" customHeight="1" x14ac:dyDescent="0.2">
      <c r="A278" s="28">
        <v>44348</v>
      </c>
      <c r="B278" s="18">
        <v>0</v>
      </c>
      <c r="C278" s="18">
        <v>0</v>
      </c>
      <c r="D278" s="18">
        <v>449480.19348000002</v>
      </c>
      <c r="E278" s="18">
        <v>585520.43682673748</v>
      </c>
      <c r="F278" s="18">
        <v>1948974.8744400002</v>
      </c>
      <c r="G278" s="18">
        <v>2074625.6754708537</v>
      </c>
      <c r="H278" s="19">
        <v>0.30266126365541557</v>
      </c>
      <c r="I278" s="19">
        <v>6.4470200554513024E-2</v>
      </c>
      <c r="J278" s="19">
        <v>0.10910817045429821</v>
      </c>
    </row>
    <row r="279" spans="1:10" ht="11.25" customHeight="1" x14ac:dyDescent="0.2">
      <c r="A279" s="28">
        <v>44378</v>
      </c>
      <c r="B279" s="18">
        <v>0</v>
      </c>
      <c r="C279" s="18">
        <v>0</v>
      </c>
      <c r="D279" s="18">
        <v>447844.11651000008</v>
      </c>
      <c r="E279" s="18">
        <v>583389.18273355975</v>
      </c>
      <c r="F279" s="18">
        <v>1941880.7400300002</v>
      </c>
      <c r="G279" s="18">
        <v>2067074.18079268</v>
      </c>
      <c r="H279" s="19">
        <v>0.30266126365541535</v>
      </c>
      <c r="I279" s="19">
        <v>6.4470200554512802E-2</v>
      </c>
      <c r="J279" s="19">
        <v>0.10910817045429821</v>
      </c>
    </row>
    <row r="280" spans="1:10" ht="11.25" customHeight="1" x14ac:dyDescent="0.2">
      <c r="A280" s="28">
        <v>44409</v>
      </c>
      <c r="B280" s="18">
        <v>0</v>
      </c>
      <c r="C280" s="18">
        <v>0</v>
      </c>
      <c r="D280" s="18">
        <v>470504.12348999997</v>
      </c>
      <c r="E280" s="18">
        <v>612907.49606056709</v>
      </c>
      <c r="F280" s="18">
        <v>2040135.97997</v>
      </c>
      <c r="G280" s="18">
        <v>2171663.9557571434</v>
      </c>
      <c r="H280" s="19">
        <v>0.30266126365541557</v>
      </c>
      <c r="I280" s="19">
        <v>6.4470200554512802E-2</v>
      </c>
      <c r="J280" s="19">
        <v>0.10910817045429821</v>
      </c>
    </row>
    <row r="281" spans="1:10" ht="11.25" customHeight="1" x14ac:dyDescent="0.2">
      <c r="A281" s="28">
        <v>44440</v>
      </c>
      <c r="B281" s="18">
        <v>0</v>
      </c>
      <c r="C281" s="18">
        <v>0</v>
      </c>
      <c r="D281" s="18">
        <v>494003.77925999998</v>
      </c>
      <c r="E281" s="18">
        <v>643519.58734138252</v>
      </c>
      <c r="F281" s="18">
        <v>2142031.9907800001</v>
      </c>
      <c r="G281" s="18">
        <v>2280129.2228197693</v>
      </c>
      <c r="H281" s="19">
        <v>0.30266126365541557</v>
      </c>
      <c r="I281" s="19">
        <v>6.4470200554513024E-2</v>
      </c>
      <c r="J281" s="19">
        <v>0.10910817045429844</v>
      </c>
    </row>
    <row r="282" spans="1:10" ht="11.25" customHeight="1" x14ac:dyDescent="0.2">
      <c r="A282" s="28">
        <v>44470</v>
      </c>
      <c r="B282" s="18">
        <v>0</v>
      </c>
      <c r="C282" s="18">
        <v>0</v>
      </c>
      <c r="D282" s="18">
        <v>519778.28493000002</v>
      </c>
      <c r="E282" s="18">
        <v>677095.0374675584</v>
      </c>
      <c r="F282" s="18">
        <v>2253791.8962900001</v>
      </c>
      <c r="G282" s="18">
        <v>2399094.3118519522</v>
      </c>
      <c r="H282" s="19">
        <v>0.30266126365541535</v>
      </c>
      <c r="I282" s="19">
        <v>6.4470200554512802E-2</v>
      </c>
      <c r="J282" s="19">
        <v>0.10910817045429821</v>
      </c>
    </row>
    <row r="283" spans="1:10" ht="11.25" customHeight="1" x14ac:dyDescent="0.2">
      <c r="A283" s="28">
        <v>44501</v>
      </c>
      <c r="B283" s="18">
        <v>0</v>
      </c>
      <c r="C283" s="18">
        <v>0</v>
      </c>
      <c r="D283" s="18">
        <v>547462.39302000008</v>
      </c>
      <c r="E283" s="18">
        <v>713158.05269525095</v>
      </c>
      <c r="F283" s="18">
        <v>2373831.96006</v>
      </c>
      <c r="G283" s="18">
        <v>2526873.3826077809</v>
      </c>
      <c r="H283" s="19">
        <v>0.30266126365541535</v>
      </c>
      <c r="I283" s="19">
        <v>6.4470200554513024E-2</v>
      </c>
      <c r="J283" s="19">
        <v>0.10910817045429844</v>
      </c>
    </row>
    <row r="284" spans="1:10" ht="11.25" customHeight="1" x14ac:dyDescent="0.2">
      <c r="A284" s="28">
        <v>44531</v>
      </c>
      <c r="B284" s="18">
        <v>0</v>
      </c>
      <c r="C284" s="18">
        <v>0</v>
      </c>
      <c r="D284" s="18">
        <v>517979.32317000005</v>
      </c>
      <c r="E284" s="18">
        <v>674751.59966800909</v>
      </c>
      <c r="F284" s="18">
        <v>2245991.4830100005</v>
      </c>
      <c r="G284" s="18">
        <v>2390791.0043633832</v>
      </c>
      <c r="H284" s="19">
        <v>0.30266126365541557</v>
      </c>
      <c r="I284" s="19">
        <v>6.4470200554512802E-2</v>
      </c>
      <c r="J284" s="19">
        <v>0.10910817045429821</v>
      </c>
    </row>
    <row r="285" spans="1:10" ht="11.25" customHeight="1" x14ac:dyDescent="0.2">
      <c r="A285" s="28">
        <v>44562</v>
      </c>
      <c r="B285" s="18">
        <v>0</v>
      </c>
      <c r="C285" s="18">
        <v>0</v>
      </c>
      <c r="D285" s="18">
        <v>516942.18234</v>
      </c>
      <c r="E285" s="18">
        <v>673400.55648381263</v>
      </c>
      <c r="F285" s="18">
        <v>2241494.37402</v>
      </c>
      <c r="G285" s="18">
        <v>2386003.9658548813</v>
      </c>
      <c r="H285" s="19">
        <v>0.30266126365541557</v>
      </c>
      <c r="I285" s="19">
        <v>6.4470200554512802E-2</v>
      </c>
      <c r="J285" s="19">
        <v>0.10910817045429821</v>
      </c>
    </row>
    <row r="286" spans="1:10" ht="11.25" customHeight="1" x14ac:dyDescent="0.2">
      <c r="A286" s="28">
        <v>44593</v>
      </c>
      <c r="B286" s="18">
        <v>0</v>
      </c>
      <c r="C286" s="18">
        <v>0</v>
      </c>
      <c r="D286" s="18">
        <v>492225.99200999999</v>
      </c>
      <c r="E286" s="18">
        <v>641203.73275578697</v>
      </c>
      <c r="F286" s="18">
        <v>2134323.3915299997</v>
      </c>
      <c r="G286" s="18">
        <v>2271923.6486301273</v>
      </c>
      <c r="H286" s="19">
        <v>0.30266126365541535</v>
      </c>
      <c r="I286" s="19">
        <v>6.4470200554513024E-2</v>
      </c>
      <c r="J286" s="19">
        <v>0.10910817045429821</v>
      </c>
    </row>
    <row r="287" spans="1:10" ht="11.25" customHeight="1" x14ac:dyDescent="0.2">
      <c r="A287" s="28">
        <v>44621</v>
      </c>
      <c r="B287" s="18">
        <v>0</v>
      </c>
      <c r="C287" s="18">
        <v>0</v>
      </c>
      <c r="D287" s="18">
        <v>492225.99200999999</v>
      </c>
      <c r="E287" s="18">
        <v>641203.73275578697</v>
      </c>
      <c r="F287" s="18">
        <v>2134323.3915299997</v>
      </c>
      <c r="G287" s="18">
        <v>2271923.6486301273</v>
      </c>
      <c r="H287" s="19">
        <v>0.30266126365541535</v>
      </c>
      <c r="I287" s="19">
        <v>6.4470200554513024E-2</v>
      </c>
      <c r="J287" s="19">
        <v>0.10910817045429821</v>
      </c>
    </row>
    <row r="288" spans="1:10" ht="11.25" customHeight="1" x14ac:dyDescent="0.2">
      <c r="A288" s="27" t="s">
        <v>25</v>
      </c>
      <c r="B288" s="18">
        <v>15570943.959999997</v>
      </c>
      <c r="C288" s="18">
        <v>17796562.069345143</v>
      </c>
      <c r="D288" s="18">
        <v>0</v>
      </c>
      <c r="E288" s="18">
        <v>0</v>
      </c>
      <c r="F288" s="18">
        <v>0</v>
      </c>
      <c r="G288" s="18">
        <v>0</v>
      </c>
      <c r="H288" s="19">
        <v>0.14293405172239448</v>
      </c>
      <c r="I288" s="19">
        <v>0</v>
      </c>
      <c r="J288" s="19">
        <v>0.14293405172239448</v>
      </c>
    </row>
    <row r="289" spans="1:10" ht="11.25" customHeight="1" x14ac:dyDescent="0.2">
      <c r="A289" s="28">
        <v>44287</v>
      </c>
      <c r="B289" s="18">
        <v>1263658.1099999999</v>
      </c>
      <c r="C289" s="18">
        <v>1444277.883654163</v>
      </c>
      <c r="D289" s="18">
        <v>0</v>
      </c>
      <c r="E289" s="18">
        <v>0</v>
      </c>
      <c r="F289" s="18">
        <v>0</v>
      </c>
      <c r="G289" s="18">
        <v>0</v>
      </c>
      <c r="H289" s="19">
        <v>0.14293405172239448</v>
      </c>
      <c r="I289" s="19">
        <v>0</v>
      </c>
      <c r="J289" s="19">
        <v>0.14293405172239448</v>
      </c>
    </row>
    <row r="290" spans="1:10" ht="11.25" customHeight="1" x14ac:dyDescent="0.2">
      <c r="A290" s="28">
        <v>44317</v>
      </c>
      <c r="B290" s="18">
        <v>1293170.45</v>
      </c>
      <c r="C290" s="18">
        <v>1478008.5419861719</v>
      </c>
      <c r="D290" s="18">
        <v>0</v>
      </c>
      <c r="E290" s="18">
        <v>0</v>
      </c>
      <c r="F290" s="18">
        <v>0</v>
      </c>
      <c r="G290" s="18">
        <v>0</v>
      </c>
      <c r="H290" s="19">
        <v>0.14293405172239426</v>
      </c>
      <c r="I290" s="19">
        <v>0</v>
      </c>
      <c r="J290" s="19">
        <v>0.14293405172239426</v>
      </c>
    </row>
    <row r="291" spans="1:10" ht="11.25" customHeight="1" x14ac:dyDescent="0.2">
      <c r="A291" s="28">
        <v>44348</v>
      </c>
      <c r="B291" s="18">
        <v>1279994.43</v>
      </c>
      <c r="C291" s="18">
        <v>1462949.2200619967</v>
      </c>
      <c r="D291" s="18">
        <v>0</v>
      </c>
      <c r="E291" s="18">
        <v>0</v>
      </c>
      <c r="F291" s="18">
        <v>0</v>
      </c>
      <c r="G291" s="18">
        <v>0</v>
      </c>
      <c r="H291" s="19">
        <v>0.14293405172239448</v>
      </c>
      <c r="I291" s="19">
        <v>0</v>
      </c>
      <c r="J291" s="19">
        <v>0.14293405172239448</v>
      </c>
    </row>
    <row r="292" spans="1:10" ht="11.25" customHeight="1" x14ac:dyDescent="0.2">
      <c r="A292" s="28">
        <v>44378</v>
      </c>
      <c r="B292" s="18">
        <v>1279192.2</v>
      </c>
      <c r="C292" s="18">
        <v>1462032.3240776833</v>
      </c>
      <c r="D292" s="18">
        <v>0</v>
      </c>
      <c r="E292" s="18">
        <v>0</v>
      </c>
      <c r="F292" s="18">
        <v>0</v>
      </c>
      <c r="G292" s="18">
        <v>0</v>
      </c>
      <c r="H292" s="19">
        <v>0.14293405172239426</v>
      </c>
      <c r="I292" s="19">
        <v>0</v>
      </c>
      <c r="J292" s="19">
        <v>0.14293405172239426</v>
      </c>
    </row>
    <row r="293" spans="1:10" ht="11.25" customHeight="1" x14ac:dyDescent="0.2">
      <c r="A293" s="28">
        <v>44409</v>
      </c>
      <c r="B293" s="18">
        <v>1287481.9099999999</v>
      </c>
      <c r="C293" s="18">
        <v>1471506.915915587</v>
      </c>
      <c r="D293" s="18">
        <v>0</v>
      </c>
      <c r="E293" s="18">
        <v>0</v>
      </c>
      <c r="F293" s="18">
        <v>0</v>
      </c>
      <c r="G293" s="18">
        <v>0</v>
      </c>
      <c r="H293" s="19">
        <v>0.14293405172239426</v>
      </c>
      <c r="I293" s="19">
        <v>0</v>
      </c>
      <c r="J293" s="19">
        <v>0.14293405172239426</v>
      </c>
    </row>
    <row r="294" spans="1:10" ht="11.25" customHeight="1" x14ac:dyDescent="0.2">
      <c r="A294" s="28">
        <v>44440</v>
      </c>
      <c r="B294" s="18">
        <v>1305398.3799999999</v>
      </c>
      <c r="C294" s="18">
        <v>1491984.2595652496</v>
      </c>
      <c r="D294" s="18">
        <v>0</v>
      </c>
      <c r="E294" s="18">
        <v>0</v>
      </c>
      <c r="F294" s="18">
        <v>0</v>
      </c>
      <c r="G294" s="18">
        <v>0</v>
      </c>
      <c r="H294" s="19">
        <v>0.14293405172239426</v>
      </c>
      <c r="I294" s="19">
        <v>0</v>
      </c>
      <c r="J294" s="19">
        <v>0.14293405172239426</v>
      </c>
    </row>
    <row r="295" spans="1:10" ht="11.25" customHeight="1" x14ac:dyDescent="0.2">
      <c r="A295" s="28">
        <v>44470</v>
      </c>
      <c r="B295" s="18">
        <v>1273430.73</v>
      </c>
      <c r="C295" s="18">
        <v>1455447.3438267063</v>
      </c>
      <c r="D295" s="18">
        <v>0</v>
      </c>
      <c r="E295" s="18">
        <v>0</v>
      </c>
      <c r="F295" s="18">
        <v>0</v>
      </c>
      <c r="G295" s="18">
        <v>0</v>
      </c>
      <c r="H295" s="19">
        <v>0.14293405172239426</v>
      </c>
      <c r="I295" s="19">
        <v>0</v>
      </c>
      <c r="J295" s="19">
        <v>0.14293405172239426</v>
      </c>
    </row>
    <row r="296" spans="1:10" ht="11.25" customHeight="1" x14ac:dyDescent="0.2">
      <c r="A296" s="28">
        <v>44501</v>
      </c>
      <c r="B296" s="18">
        <v>1334521.7599999998</v>
      </c>
      <c r="C296" s="18">
        <v>1525270.3622685007</v>
      </c>
      <c r="D296" s="18">
        <v>0</v>
      </c>
      <c r="E296" s="18">
        <v>0</v>
      </c>
      <c r="F296" s="18">
        <v>0</v>
      </c>
      <c r="G296" s="18">
        <v>0</v>
      </c>
      <c r="H296" s="19">
        <v>0.14293405172239448</v>
      </c>
      <c r="I296" s="19">
        <v>0</v>
      </c>
      <c r="J296" s="19">
        <v>0.14293405172239448</v>
      </c>
    </row>
    <row r="297" spans="1:10" ht="11.25" customHeight="1" x14ac:dyDescent="0.2">
      <c r="A297" s="28">
        <v>44531</v>
      </c>
      <c r="B297" s="18">
        <v>1336733.9699999997</v>
      </c>
      <c r="C297" s="18">
        <v>1527798.7724070617</v>
      </c>
      <c r="D297" s="18">
        <v>0</v>
      </c>
      <c r="E297" s="18">
        <v>0</v>
      </c>
      <c r="F297" s="18">
        <v>0</v>
      </c>
      <c r="G297" s="18">
        <v>0</v>
      </c>
      <c r="H297" s="19">
        <v>0.14293405172239471</v>
      </c>
      <c r="I297" s="19">
        <v>0</v>
      </c>
      <c r="J297" s="19">
        <v>0.14293405172239471</v>
      </c>
    </row>
    <row r="298" spans="1:10" ht="11.25" customHeight="1" x14ac:dyDescent="0.2">
      <c r="A298" s="28">
        <v>44562</v>
      </c>
      <c r="B298" s="18">
        <v>1292222.3599999999</v>
      </c>
      <c r="C298" s="18">
        <v>1476924.9376410744</v>
      </c>
      <c r="D298" s="18">
        <v>0</v>
      </c>
      <c r="E298" s="18">
        <v>0</v>
      </c>
      <c r="F298" s="18">
        <v>0</v>
      </c>
      <c r="G298" s="18">
        <v>0</v>
      </c>
      <c r="H298" s="19">
        <v>0.14293405172239448</v>
      </c>
      <c r="I298" s="19">
        <v>0</v>
      </c>
      <c r="J298" s="19">
        <v>0.14293405172239448</v>
      </c>
    </row>
    <row r="299" spans="1:10" ht="11.25" customHeight="1" x14ac:dyDescent="0.2">
      <c r="A299" s="28">
        <v>44593</v>
      </c>
      <c r="B299" s="18">
        <v>1312569.8299999998</v>
      </c>
      <c r="C299" s="18">
        <v>1500180.7539704742</v>
      </c>
      <c r="D299" s="18">
        <v>0</v>
      </c>
      <c r="E299" s="18">
        <v>0</v>
      </c>
      <c r="F299" s="18">
        <v>0</v>
      </c>
      <c r="G299" s="18">
        <v>0</v>
      </c>
      <c r="H299" s="19">
        <v>0.14293405172239448</v>
      </c>
      <c r="I299" s="19">
        <v>0</v>
      </c>
      <c r="J299" s="19">
        <v>0.14293405172239448</v>
      </c>
    </row>
    <row r="300" spans="1:10" ht="11.25" customHeight="1" x14ac:dyDescent="0.2">
      <c r="A300" s="28">
        <v>44621</v>
      </c>
      <c r="B300" s="18">
        <v>1312569.8299999998</v>
      </c>
      <c r="C300" s="18">
        <v>1500180.7539704742</v>
      </c>
      <c r="D300" s="18">
        <v>0</v>
      </c>
      <c r="E300" s="18">
        <v>0</v>
      </c>
      <c r="F300" s="18">
        <v>0</v>
      </c>
      <c r="G300" s="18">
        <v>0</v>
      </c>
      <c r="H300" s="19">
        <v>0.14293405172239448</v>
      </c>
      <c r="I300" s="19">
        <v>0</v>
      </c>
      <c r="J300" s="19">
        <v>0.14293405172239448</v>
      </c>
    </row>
    <row r="301" spans="1:10" ht="11.25" customHeight="1" x14ac:dyDescent="0.2">
      <c r="A301" s="27" t="s">
        <v>34</v>
      </c>
      <c r="B301" s="18">
        <v>0</v>
      </c>
      <c r="C301" s="18">
        <v>0</v>
      </c>
      <c r="D301" s="18">
        <v>14019073.738979995</v>
      </c>
      <c r="E301" s="18">
        <v>17224443.464847293</v>
      </c>
      <c r="F301" s="18">
        <v>3274961.1409999998</v>
      </c>
      <c r="G301" s="18">
        <v>3429563.0931677562</v>
      </c>
      <c r="H301" s="19">
        <v>0.22864347427995702</v>
      </c>
      <c r="I301" s="19">
        <v>4.720726308237877E-2</v>
      </c>
      <c r="J301" s="19">
        <v>0.19428500644026325</v>
      </c>
    </row>
    <row r="302" spans="1:10" ht="11.25" customHeight="1" x14ac:dyDescent="0.2">
      <c r="A302" s="28">
        <v>44287</v>
      </c>
      <c r="B302" s="18">
        <v>0</v>
      </c>
      <c r="C302" s="18">
        <v>0</v>
      </c>
      <c r="D302" s="18">
        <v>1123583.71047</v>
      </c>
      <c r="E302" s="18">
        <v>1380483.7936762262</v>
      </c>
      <c r="F302" s="18">
        <v>262477.6115</v>
      </c>
      <c r="G302" s="18">
        <v>274868.46115931502</v>
      </c>
      <c r="H302" s="19">
        <v>0.22864347427995702</v>
      </c>
      <c r="I302" s="19">
        <v>4.7207263082379214E-2</v>
      </c>
      <c r="J302" s="19">
        <v>0.19428500644026325</v>
      </c>
    </row>
    <row r="303" spans="1:10" ht="11.25" customHeight="1" x14ac:dyDescent="0.2">
      <c r="A303" s="28">
        <v>44317</v>
      </c>
      <c r="B303" s="18">
        <v>0</v>
      </c>
      <c r="C303" s="18">
        <v>0</v>
      </c>
      <c r="D303" s="18">
        <v>1065335.5893599999</v>
      </c>
      <c r="E303" s="18">
        <v>1308917.6197853559</v>
      </c>
      <c r="F303" s="18">
        <v>248870.41200000001</v>
      </c>
      <c r="G303" s="18">
        <v>260618.90301270413</v>
      </c>
      <c r="H303" s="19">
        <v>0.22864347427995702</v>
      </c>
      <c r="I303" s="19">
        <v>4.7207263082379214E-2</v>
      </c>
      <c r="J303" s="19">
        <v>0.19428500644026325</v>
      </c>
    </row>
    <row r="304" spans="1:10" ht="11.25" customHeight="1" x14ac:dyDescent="0.2">
      <c r="A304" s="28">
        <v>44348</v>
      </c>
      <c r="B304" s="18">
        <v>0</v>
      </c>
      <c r="C304" s="18">
        <v>0</v>
      </c>
      <c r="D304" s="18">
        <v>1047596.2679399999</v>
      </c>
      <c r="E304" s="18">
        <v>1287122.3182845183</v>
      </c>
      <c r="F304" s="18">
        <v>244726.37300000002</v>
      </c>
      <c r="G304" s="18">
        <v>256279.23527340745</v>
      </c>
      <c r="H304" s="19">
        <v>0.22864347427995702</v>
      </c>
      <c r="I304" s="19">
        <v>4.7207263082378992E-2</v>
      </c>
      <c r="J304" s="19">
        <v>0.19428500644026325</v>
      </c>
    </row>
    <row r="305" spans="1:10" ht="11.25" customHeight="1" x14ac:dyDescent="0.2">
      <c r="A305" s="28">
        <v>44378</v>
      </c>
      <c r="B305" s="18">
        <v>0</v>
      </c>
      <c r="C305" s="18">
        <v>0</v>
      </c>
      <c r="D305" s="18">
        <v>1071988.2260399999</v>
      </c>
      <c r="E305" s="18">
        <v>1317091.3384289935</v>
      </c>
      <c r="F305" s="18">
        <v>250424.51799999998</v>
      </c>
      <c r="G305" s="18">
        <v>262246.374103504</v>
      </c>
      <c r="H305" s="19">
        <v>0.22864347427995724</v>
      </c>
      <c r="I305" s="19">
        <v>4.7207263082379214E-2</v>
      </c>
      <c r="J305" s="19">
        <v>0.19428500644026325</v>
      </c>
    </row>
    <row r="306" spans="1:10" ht="11.25" customHeight="1" x14ac:dyDescent="0.2">
      <c r="A306" s="28">
        <v>44409</v>
      </c>
      <c r="B306" s="18">
        <v>0</v>
      </c>
      <c r="C306" s="18">
        <v>0</v>
      </c>
      <c r="D306" s="18">
        <v>1135562.2115100001</v>
      </c>
      <c r="E306" s="18">
        <v>1395201.1008106777</v>
      </c>
      <c r="F306" s="18">
        <v>265275.87949999998</v>
      </c>
      <c r="G306" s="18">
        <v>277798.82773296599</v>
      </c>
      <c r="H306" s="19">
        <v>0.22864347427995702</v>
      </c>
      <c r="I306" s="19">
        <v>4.7207263082379214E-2</v>
      </c>
      <c r="J306" s="19">
        <v>0.19428500644026303</v>
      </c>
    </row>
    <row r="307" spans="1:10" ht="11.25" customHeight="1" x14ac:dyDescent="0.2">
      <c r="A307" s="28">
        <v>44440</v>
      </c>
      <c r="B307" s="18">
        <v>0</v>
      </c>
      <c r="C307" s="18">
        <v>0</v>
      </c>
      <c r="D307" s="18">
        <v>1174576.8277499999</v>
      </c>
      <c r="E307" s="18">
        <v>1443136.1544554906</v>
      </c>
      <c r="F307" s="18">
        <v>274389.98750000005</v>
      </c>
      <c r="G307" s="18">
        <v>287343.18782708328</v>
      </c>
      <c r="H307" s="19">
        <v>0.22864347427995702</v>
      </c>
      <c r="I307" s="19">
        <v>4.7207263082379214E-2</v>
      </c>
      <c r="J307" s="19">
        <v>0.19428500644026325</v>
      </c>
    </row>
    <row r="308" spans="1:10" ht="11.25" customHeight="1" x14ac:dyDescent="0.2">
      <c r="A308" s="28">
        <v>44470</v>
      </c>
      <c r="B308" s="18">
        <v>0</v>
      </c>
      <c r="C308" s="18">
        <v>0</v>
      </c>
      <c r="D308" s="18">
        <v>1204324.37742</v>
      </c>
      <c r="E308" s="18">
        <v>1479685.287233355</v>
      </c>
      <c r="F308" s="18">
        <v>281339.239</v>
      </c>
      <c r="G308" s="18">
        <v>294620.49447086937</v>
      </c>
      <c r="H308" s="19">
        <v>0.22864347427995702</v>
      </c>
      <c r="I308" s="19">
        <v>4.7207263082379214E-2</v>
      </c>
      <c r="J308" s="19">
        <v>0.19428500644026303</v>
      </c>
    </row>
    <row r="309" spans="1:10" ht="11.25" customHeight="1" x14ac:dyDescent="0.2">
      <c r="A309" s="28">
        <v>44501</v>
      </c>
      <c r="B309" s="18">
        <v>0</v>
      </c>
      <c r="C309" s="18">
        <v>0</v>
      </c>
      <c r="D309" s="18">
        <v>1282500.6813599998</v>
      </c>
      <c r="E309" s="18">
        <v>1575736.0929125624</v>
      </c>
      <c r="F309" s="18">
        <v>299601.81199999998</v>
      </c>
      <c r="G309" s="18">
        <v>313745.19355904154</v>
      </c>
      <c r="H309" s="19">
        <v>0.22864347427995724</v>
      </c>
      <c r="I309" s="19">
        <v>4.7207263082379436E-2</v>
      </c>
      <c r="J309" s="19">
        <v>0.19428500644026325</v>
      </c>
    </row>
    <row r="310" spans="1:10" ht="11.25" customHeight="1" x14ac:dyDescent="0.2">
      <c r="A310" s="28">
        <v>44531</v>
      </c>
      <c r="B310" s="18">
        <v>0</v>
      </c>
      <c r="C310" s="18">
        <v>0</v>
      </c>
      <c r="D310" s="18">
        <v>1289291.00196</v>
      </c>
      <c r="E310" s="18">
        <v>1584078.9760060215</v>
      </c>
      <c r="F310" s="18">
        <v>301188.08199999999</v>
      </c>
      <c r="G310" s="18">
        <v>315406.34702425118</v>
      </c>
      <c r="H310" s="19">
        <v>0.22864347427995724</v>
      </c>
      <c r="I310" s="19">
        <v>4.7207263082379214E-2</v>
      </c>
      <c r="J310" s="19">
        <v>0.19428500644026347</v>
      </c>
    </row>
    <row r="311" spans="1:10" ht="11.25" customHeight="1" x14ac:dyDescent="0.2">
      <c r="A311" s="28">
        <v>44562</v>
      </c>
      <c r="B311" s="18">
        <v>0</v>
      </c>
      <c r="C311" s="18">
        <v>0</v>
      </c>
      <c r="D311" s="18">
        <v>1227797.9211899999</v>
      </c>
      <c r="E311" s="18">
        <v>1508525.9036045908</v>
      </c>
      <c r="F311" s="18">
        <v>286822.83550000004</v>
      </c>
      <c r="G311" s="18">
        <v>300362.95655348245</v>
      </c>
      <c r="H311" s="19">
        <v>0.22864347427995746</v>
      </c>
      <c r="I311" s="19">
        <v>4.7207263082378992E-2</v>
      </c>
      <c r="J311" s="19">
        <v>0.19428500644026347</v>
      </c>
    </row>
    <row r="312" spans="1:10" ht="11.25" customHeight="1" x14ac:dyDescent="0.2">
      <c r="A312" s="28">
        <v>44593</v>
      </c>
      <c r="B312" s="18">
        <v>0</v>
      </c>
      <c r="C312" s="18">
        <v>0</v>
      </c>
      <c r="D312" s="18">
        <v>1198258.4619899997</v>
      </c>
      <c r="E312" s="18">
        <v>1472232.4398247513</v>
      </c>
      <c r="F312" s="18">
        <v>279922.19549999997</v>
      </c>
      <c r="G312" s="18">
        <v>293136.55622556567</v>
      </c>
      <c r="H312" s="19">
        <v>0.22864347427995724</v>
      </c>
      <c r="I312" s="19">
        <v>4.7207263082379214E-2</v>
      </c>
      <c r="J312" s="19">
        <v>0.19428500644026347</v>
      </c>
    </row>
    <row r="313" spans="1:10" ht="11.25" customHeight="1" x14ac:dyDescent="0.2">
      <c r="A313" s="28">
        <v>44621</v>
      </c>
      <c r="B313" s="18">
        <v>0</v>
      </c>
      <c r="C313" s="18">
        <v>0</v>
      </c>
      <c r="D313" s="18">
        <v>1198258.4619899997</v>
      </c>
      <c r="E313" s="18">
        <v>1472232.4398247513</v>
      </c>
      <c r="F313" s="18">
        <v>279922.19549999997</v>
      </c>
      <c r="G313" s="18">
        <v>293136.55622556567</v>
      </c>
      <c r="H313" s="19">
        <v>0.22864347427995724</v>
      </c>
      <c r="I313" s="19">
        <v>4.7207263082379214E-2</v>
      </c>
      <c r="J313" s="19">
        <v>0.19428500644026347</v>
      </c>
    </row>
    <row r="314" spans="1:10" ht="11.25" customHeight="1" x14ac:dyDescent="0.2">
      <c r="A314" s="23" t="s">
        <v>52</v>
      </c>
      <c r="B314" s="18">
        <v>119605.20000000003</v>
      </c>
      <c r="C314" s="18">
        <v>136700.85584306731</v>
      </c>
      <c r="D314" s="18">
        <v>165508.25261999998</v>
      </c>
      <c r="E314" s="18">
        <v>206743.30597274631</v>
      </c>
      <c r="F314" s="18">
        <v>226703.72710000005</v>
      </c>
      <c r="G314" s="18">
        <v>240836.75288891239</v>
      </c>
      <c r="H314" s="19">
        <v>0.20458771292548228</v>
      </c>
      <c r="I314" s="19">
        <v>6.2341391426168347E-2</v>
      </c>
      <c r="J314" s="19">
        <v>0.14158128694384353</v>
      </c>
    </row>
    <row r="315" spans="1:10" ht="11.25" customHeight="1" x14ac:dyDescent="0.2">
      <c r="A315" s="24" t="s">
        <v>25</v>
      </c>
      <c r="B315" s="18">
        <v>119605.20000000003</v>
      </c>
      <c r="C315" s="18">
        <v>136700.85584306731</v>
      </c>
      <c r="D315" s="18">
        <v>165508.25261999998</v>
      </c>
      <c r="E315" s="18">
        <v>206743.30597274631</v>
      </c>
      <c r="F315" s="18">
        <v>226703.72710000005</v>
      </c>
      <c r="G315" s="18">
        <v>240836.75288891239</v>
      </c>
      <c r="H315" s="19">
        <v>0.20458771292548228</v>
      </c>
      <c r="I315" s="19">
        <v>6.2341391426168347E-2</v>
      </c>
      <c r="J315" s="19">
        <v>0.14158128694384353</v>
      </c>
    </row>
    <row r="316" spans="1:10" ht="11.25" customHeight="1" x14ac:dyDescent="0.2">
      <c r="A316" s="25" t="s">
        <v>25</v>
      </c>
      <c r="B316" s="18">
        <v>119605.20000000003</v>
      </c>
      <c r="C316" s="18">
        <v>136700.85584306731</v>
      </c>
      <c r="D316" s="18">
        <v>165508.25261999998</v>
      </c>
      <c r="E316" s="18">
        <v>206743.30597274631</v>
      </c>
      <c r="F316" s="18">
        <v>226703.72710000005</v>
      </c>
      <c r="G316" s="18">
        <v>240836.75288891239</v>
      </c>
      <c r="H316" s="19">
        <v>0.20458771292548228</v>
      </c>
      <c r="I316" s="19">
        <v>6.2341391426168347E-2</v>
      </c>
      <c r="J316" s="19">
        <v>0.14158128694384353</v>
      </c>
    </row>
    <row r="317" spans="1:10" ht="11.25" customHeight="1" x14ac:dyDescent="0.2">
      <c r="A317" s="26" t="s">
        <v>25</v>
      </c>
      <c r="B317" s="18">
        <v>119605.20000000003</v>
      </c>
      <c r="C317" s="18">
        <v>136700.85584306731</v>
      </c>
      <c r="D317" s="18">
        <v>165508.25261999998</v>
      </c>
      <c r="E317" s="18">
        <v>206743.30597274631</v>
      </c>
      <c r="F317" s="18">
        <v>226703.72710000005</v>
      </c>
      <c r="G317" s="18">
        <v>240836.75288891239</v>
      </c>
      <c r="H317" s="19">
        <v>0.20458771292548228</v>
      </c>
      <c r="I317" s="19">
        <v>6.2341391426168347E-2</v>
      </c>
      <c r="J317" s="19">
        <v>0.14158128694384353</v>
      </c>
    </row>
    <row r="318" spans="1:10" ht="11.25" customHeight="1" x14ac:dyDescent="0.2">
      <c r="A318" s="27" t="s">
        <v>35</v>
      </c>
      <c r="B318" s="18">
        <v>0</v>
      </c>
      <c r="C318" s="18">
        <v>0</v>
      </c>
      <c r="D318" s="18">
        <v>45835.892700000004</v>
      </c>
      <c r="E318" s="18">
        <v>59708.641905356024</v>
      </c>
      <c r="F318" s="18">
        <v>198747.36310000005</v>
      </c>
      <c r="G318" s="18">
        <v>211560.64545873756</v>
      </c>
      <c r="H318" s="19">
        <v>0.30266126365541512</v>
      </c>
      <c r="I318" s="19">
        <v>6.447020055451258E-2</v>
      </c>
      <c r="J318" s="19">
        <v>0.10910817045429777</v>
      </c>
    </row>
    <row r="319" spans="1:10" ht="11.25" customHeight="1" x14ac:dyDescent="0.2">
      <c r="A319" s="28">
        <v>44287</v>
      </c>
      <c r="B319" s="18">
        <v>0</v>
      </c>
      <c r="C319" s="18">
        <v>0</v>
      </c>
      <c r="D319" s="18">
        <v>4216.9575000000004</v>
      </c>
      <c r="E319" s="18">
        <v>5493.2671857311816</v>
      </c>
      <c r="F319" s="18">
        <v>18284.997500000001</v>
      </c>
      <c r="G319" s="18">
        <v>19463.834955963768</v>
      </c>
      <c r="H319" s="19">
        <v>0.30266126365541535</v>
      </c>
      <c r="I319" s="19">
        <v>6.4470200554512802E-2</v>
      </c>
      <c r="J319" s="19">
        <v>0.10910817045429821</v>
      </c>
    </row>
    <row r="320" spans="1:10" ht="11.25" customHeight="1" x14ac:dyDescent="0.2">
      <c r="A320" s="28">
        <v>44317</v>
      </c>
      <c r="B320" s="18">
        <v>0</v>
      </c>
      <c r="C320" s="18">
        <v>0</v>
      </c>
      <c r="D320" s="18">
        <v>3696.567</v>
      </c>
      <c r="E320" s="18">
        <v>4815.3746394069076</v>
      </c>
      <c r="F320" s="18">
        <v>16028.550999999999</v>
      </c>
      <c r="G320" s="18">
        <v>17061.914897568236</v>
      </c>
      <c r="H320" s="19">
        <v>0.30266126365541535</v>
      </c>
      <c r="I320" s="19">
        <v>6.4470200554512802E-2</v>
      </c>
      <c r="J320" s="19">
        <v>0.10910817045429821</v>
      </c>
    </row>
    <row r="321" spans="1:10" ht="11.25" customHeight="1" x14ac:dyDescent="0.2">
      <c r="A321" s="28">
        <v>44348</v>
      </c>
      <c r="B321" s="18">
        <v>0</v>
      </c>
      <c r="C321" s="18">
        <v>0</v>
      </c>
      <c r="D321" s="18">
        <v>3283.8434999999999</v>
      </c>
      <c r="E321" s="18">
        <v>4277.7357233566217</v>
      </c>
      <c r="F321" s="18">
        <v>14238.9555</v>
      </c>
      <c r="G321" s="18">
        <v>15156.943816771784</v>
      </c>
      <c r="H321" s="19">
        <v>0.30266126365541535</v>
      </c>
      <c r="I321" s="19">
        <v>6.4470200554512802E-2</v>
      </c>
      <c r="J321" s="19">
        <v>0.10910817045429821</v>
      </c>
    </row>
    <row r="322" spans="1:10" ht="11.25" customHeight="1" x14ac:dyDescent="0.2">
      <c r="A322" s="28">
        <v>44378</v>
      </c>
      <c r="B322" s="18">
        <v>0</v>
      </c>
      <c r="C322" s="18">
        <v>0</v>
      </c>
      <c r="D322" s="18">
        <v>3642.7335000000003</v>
      </c>
      <c r="E322" s="18">
        <v>4745.2478242699135</v>
      </c>
      <c r="F322" s="18">
        <v>15795.1255</v>
      </c>
      <c r="G322" s="18">
        <v>16813.4404087687</v>
      </c>
      <c r="H322" s="19">
        <v>0.30266126365541512</v>
      </c>
      <c r="I322" s="19">
        <v>6.4470200554512802E-2</v>
      </c>
      <c r="J322" s="19">
        <v>0.10910817045429821</v>
      </c>
    </row>
    <row r="323" spans="1:10" ht="11.25" customHeight="1" x14ac:dyDescent="0.2">
      <c r="A323" s="28">
        <v>44409</v>
      </c>
      <c r="B323" s="18">
        <v>0</v>
      </c>
      <c r="C323" s="18">
        <v>0</v>
      </c>
      <c r="D323" s="18">
        <v>3804.2340000000004</v>
      </c>
      <c r="E323" s="18">
        <v>4955.6282696808958</v>
      </c>
      <c r="F323" s="18">
        <v>16495.402000000002</v>
      </c>
      <c r="G323" s="18">
        <v>17558.863875167313</v>
      </c>
      <c r="H323" s="19">
        <v>0.30266126365541535</v>
      </c>
      <c r="I323" s="19">
        <v>6.4470200554512802E-2</v>
      </c>
      <c r="J323" s="19">
        <v>0.10910817045429821</v>
      </c>
    </row>
    <row r="324" spans="1:10" ht="11.25" customHeight="1" x14ac:dyDescent="0.2">
      <c r="A324" s="28">
        <v>44440</v>
      </c>
      <c r="B324" s="18">
        <v>0</v>
      </c>
      <c r="C324" s="18">
        <v>0</v>
      </c>
      <c r="D324" s="18">
        <v>3768.3450000000003</v>
      </c>
      <c r="E324" s="18">
        <v>4908.8770595895667</v>
      </c>
      <c r="F324" s="18">
        <v>16339.785</v>
      </c>
      <c r="G324" s="18">
        <v>17393.214215967622</v>
      </c>
      <c r="H324" s="19">
        <v>0.30266126365541535</v>
      </c>
      <c r="I324" s="19">
        <v>6.4470200554513024E-2</v>
      </c>
      <c r="J324" s="19">
        <v>0.10910817045429821</v>
      </c>
    </row>
    <row r="325" spans="1:10" ht="11.25" customHeight="1" x14ac:dyDescent="0.2">
      <c r="A325" s="28">
        <v>44470</v>
      </c>
      <c r="B325" s="18">
        <v>0</v>
      </c>
      <c r="C325" s="18">
        <v>0</v>
      </c>
      <c r="D325" s="18">
        <v>3750.4005000000006</v>
      </c>
      <c r="E325" s="18">
        <v>4885.5014545439017</v>
      </c>
      <c r="F325" s="18">
        <v>16261.976500000001</v>
      </c>
      <c r="G325" s="18">
        <v>17310.389386367777</v>
      </c>
      <c r="H325" s="19">
        <v>0.30266126365541512</v>
      </c>
      <c r="I325" s="19">
        <v>6.4470200554513024E-2</v>
      </c>
      <c r="J325" s="19">
        <v>0.10910817045429821</v>
      </c>
    </row>
    <row r="326" spans="1:10" ht="11.25" customHeight="1" x14ac:dyDescent="0.2">
      <c r="A326" s="28">
        <v>44501</v>
      </c>
      <c r="B326" s="18">
        <v>0</v>
      </c>
      <c r="C326" s="18">
        <v>0</v>
      </c>
      <c r="D326" s="18">
        <v>3858.0675000000001</v>
      </c>
      <c r="E326" s="18">
        <v>5025.7550848178889</v>
      </c>
      <c r="F326" s="18">
        <v>16728.827499999999</v>
      </c>
      <c r="G326" s="18">
        <v>17807.33836396685</v>
      </c>
      <c r="H326" s="19">
        <v>0.30266126365541535</v>
      </c>
      <c r="I326" s="19">
        <v>6.4470200554512802E-2</v>
      </c>
      <c r="J326" s="19">
        <v>0.10910817045429821</v>
      </c>
    </row>
    <row r="327" spans="1:10" ht="11.25" customHeight="1" x14ac:dyDescent="0.2">
      <c r="A327" s="28">
        <v>44531</v>
      </c>
      <c r="B327" s="18">
        <v>0</v>
      </c>
      <c r="C327" s="18">
        <v>0</v>
      </c>
      <c r="D327" s="18">
        <v>3876.0120000000002</v>
      </c>
      <c r="E327" s="18">
        <v>5049.1306898635539</v>
      </c>
      <c r="F327" s="18">
        <v>16806.635999999999</v>
      </c>
      <c r="G327" s="18">
        <v>17890.163193566696</v>
      </c>
      <c r="H327" s="19">
        <v>0.30266126365541535</v>
      </c>
      <c r="I327" s="19">
        <v>6.4470200554513024E-2</v>
      </c>
      <c r="J327" s="19">
        <v>0.10910817045429821</v>
      </c>
    </row>
    <row r="328" spans="1:10" ht="11.25" customHeight="1" x14ac:dyDescent="0.2">
      <c r="A328" s="28">
        <v>44562</v>
      </c>
      <c r="B328" s="18">
        <v>0</v>
      </c>
      <c r="C328" s="18">
        <v>0</v>
      </c>
      <c r="D328" s="18">
        <v>4035.2566200000006</v>
      </c>
      <c r="E328" s="18">
        <v>5256.5724877830808</v>
      </c>
      <c r="F328" s="18">
        <v>17497.130860000001</v>
      </c>
      <c r="G328" s="18">
        <v>18625.174395672759</v>
      </c>
      <c r="H328" s="19">
        <v>0.30266126365541535</v>
      </c>
      <c r="I328" s="19">
        <v>6.4470200554513024E-2</v>
      </c>
      <c r="J328" s="19">
        <v>0.10910817045429821</v>
      </c>
    </row>
    <row r="329" spans="1:10" ht="11.25" customHeight="1" x14ac:dyDescent="0.2">
      <c r="A329" s="28">
        <v>44593</v>
      </c>
      <c r="B329" s="18">
        <v>0</v>
      </c>
      <c r="C329" s="18">
        <v>0</v>
      </c>
      <c r="D329" s="18">
        <v>3951.7377900000001</v>
      </c>
      <c r="E329" s="18">
        <v>5147.7757431562586</v>
      </c>
      <c r="F329" s="18">
        <v>17134.987870000001</v>
      </c>
      <c r="G329" s="18">
        <v>18239.683974478045</v>
      </c>
      <c r="H329" s="19">
        <v>0.30266126365541535</v>
      </c>
      <c r="I329" s="19">
        <v>6.4470200554512802E-2</v>
      </c>
      <c r="J329" s="19">
        <v>0.10910817045429799</v>
      </c>
    </row>
    <row r="330" spans="1:10" ht="11.25" customHeight="1" x14ac:dyDescent="0.2">
      <c r="A330" s="28">
        <v>44621</v>
      </c>
      <c r="B330" s="18">
        <v>0</v>
      </c>
      <c r="C330" s="18">
        <v>0</v>
      </c>
      <c r="D330" s="18">
        <v>3951.7377900000001</v>
      </c>
      <c r="E330" s="18">
        <v>5147.7757431562586</v>
      </c>
      <c r="F330" s="18">
        <v>17134.987870000001</v>
      </c>
      <c r="G330" s="18">
        <v>18239.683974478045</v>
      </c>
      <c r="H330" s="19">
        <v>0.30266126365541535</v>
      </c>
      <c r="I330" s="19">
        <v>6.4470200554512802E-2</v>
      </c>
      <c r="J330" s="19">
        <v>0.10910817045429799</v>
      </c>
    </row>
    <row r="331" spans="1:10" ht="11.25" customHeight="1" x14ac:dyDescent="0.2">
      <c r="A331" s="27" t="s">
        <v>25</v>
      </c>
      <c r="B331" s="18">
        <v>119605.20000000003</v>
      </c>
      <c r="C331" s="18">
        <v>136700.85584306731</v>
      </c>
      <c r="D331" s="18">
        <v>0</v>
      </c>
      <c r="E331" s="18">
        <v>0</v>
      </c>
      <c r="F331" s="18">
        <v>0</v>
      </c>
      <c r="G331" s="18">
        <v>0</v>
      </c>
      <c r="H331" s="19">
        <v>0.14293405172239404</v>
      </c>
      <c r="I331" s="19">
        <v>0</v>
      </c>
      <c r="J331" s="19">
        <v>0.14293405172239404</v>
      </c>
    </row>
    <row r="332" spans="1:10" ht="11.25" customHeight="1" x14ac:dyDescent="0.2">
      <c r="A332" s="28">
        <v>44287</v>
      </c>
      <c r="B332" s="18">
        <v>9967.1</v>
      </c>
      <c r="C332" s="18">
        <v>11391.737986922277</v>
      </c>
      <c r="D332" s="18">
        <v>0</v>
      </c>
      <c r="E332" s="18">
        <v>0</v>
      </c>
      <c r="F332" s="18">
        <v>0</v>
      </c>
      <c r="G332" s="18">
        <v>0</v>
      </c>
      <c r="H332" s="19">
        <v>0.14293405172239426</v>
      </c>
      <c r="I332" s="19">
        <v>0</v>
      </c>
      <c r="J332" s="19">
        <v>0.14293405172239426</v>
      </c>
    </row>
    <row r="333" spans="1:10" ht="11.25" customHeight="1" x14ac:dyDescent="0.2">
      <c r="A333" s="28">
        <v>44317</v>
      </c>
      <c r="B333" s="18">
        <v>9967.1</v>
      </c>
      <c r="C333" s="18">
        <v>11391.737986922277</v>
      </c>
      <c r="D333" s="18">
        <v>0</v>
      </c>
      <c r="E333" s="18">
        <v>0</v>
      </c>
      <c r="F333" s="18">
        <v>0</v>
      </c>
      <c r="G333" s="18">
        <v>0</v>
      </c>
      <c r="H333" s="19">
        <v>0.14293405172239426</v>
      </c>
      <c r="I333" s="19">
        <v>0</v>
      </c>
      <c r="J333" s="19">
        <v>0.14293405172239426</v>
      </c>
    </row>
    <row r="334" spans="1:10" ht="11.25" customHeight="1" x14ac:dyDescent="0.2">
      <c r="A334" s="28">
        <v>44348</v>
      </c>
      <c r="B334" s="18">
        <v>9967.1</v>
      </c>
      <c r="C334" s="18">
        <v>11391.737986922277</v>
      </c>
      <c r="D334" s="18">
        <v>0</v>
      </c>
      <c r="E334" s="18">
        <v>0</v>
      </c>
      <c r="F334" s="18">
        <v>0</v>
      </c>
      <c r="G334" s="18">
        <v>0</v>
      </c>
      <c r="H334" s="19">
        <v>0.14293405172239426</v>
      </c>
      <c r="I334" s="19">
        <v>0</v>
      </c>
      <c r="J334" s="19">
        <v>0.14293405172239426</v>
      </c>
    </row>
    <row r="335" spans="1:10" ht="11.25" customHeight="1" x14ac:dyDescent="0.2">
      <c r="A335" s="28">
        <v>44378</v>
      </c>
      <c r="B335" s="18">
        <v>9967.1</v>
      </c>
      <c r="C335" s="18">
        <v>11391.737986922277</v>
      </c>
      <c r="D335" s="18">
        <v>0</v>
      </c>
      <c r="E335" s="18">
        <v>0</v>
      </c>
      <c r="F335" s="18">
        <v>0</v>
      </c>
      <c r="G335" s="18">
        <v>0</v>
      </c>
      <c r="H335" s="19">
        <v>0.14293405172239426</v>
      </c>
      <c r="I335" s="19">
        <v>0</v>
      </c>
      <c r="J335" s="19">
        <v>0.14293405172239426</v>
      </c>
    </row>
    <row r="336" spans="1:10" ht="11.25" customHeight="1" x14ac:dyDescent="0.2">
      <c r="A336" s="28">
        <v>44409</v>
      </c>
      <c r="B336" s="18">
        <v>9967.1</v>
      </c>
      <c r="C336" s="18">
        <v>11391.737986922277</v>
      </c>
      <c r="D336" s="18">
        <v>0</v>
      </c>
      <c r="E336" s="18">
        <v>0</v>
      </c>
      <c r="F336" s="18">
        <v>0</v>
      </c>
      <c r="G336" s="18">
        <v>0</v>
      </c>
      <c r="H336" s="19">
        <v>0.14293405172239426</v>
      </c>
      <c r="I336" s="19">
        <v>0</v>
      </c>
      <c r="J336" s="19">
        <v>0.14293405172239426</v>
      </c>
    </row>
    <row r="337" spans="1:10" ht="11.25" customHeight="1" x14ac:dyDescent="0.2">
      <c r="A337" s="28">
        <v>44440</v>
      </c>
      <c r="B337" s="18">
        <v>9967.1</v>
      </c>
      <c r="C337" s="18">
        <v>11391.737986922277</v>
      </c>
      <c r="D337" s="18">
        <v>0</v>
      </c>
      <c r="E337" s="18">
        <v>0</v>
      </c>
      <c r="F337" s="18">
        <v>0</v>
      </c>
      <c r="G337" s="18">
        <v>0</v>
      </c>
      <c r="H337" s="19">
        <v>0.14293405172239426</v>
      </c>
      <c r="I337" s="19">
        <v>0</v>
      </c>
      <c r="J337" s="19">
        <v>0.14293405172239426</v>
      </c>
    </row>
    <row r="338" spans="1:10" ht="11.25" customHeight="1" x14ac:dyDescent="0.2">
      <c r="A338" s="28">
        <v>44470</v>
      </c>
      <c r="B338" s="18">
        <v>9967.1</v>
      </c>
      <c r="C338" s="18">
        <v>11391.737986922277</v>
      </c>
      <c r="D338" s="18">
        <v>0</v>
      </c>
      <c r="E338" s="18">
        <v>0</v>
      </c>
      <c r="F338" s="18">
        <v>0</v>
      </c>
      <c r="G338" s="18">
        <v>0</v>
      </c>
      <c r="H338" s="19">
        <v>0.14293405172239426</v>
      </c>
      <c r="I338" s="19">
        <v>0</v>
      </c>
      <c r="J338" s="19">
        <v>0.14293405172239426</v>
      </c>
    </row>
    <row r="339" spans="1:10" ht="11.25" customHeight="1" x14ac:dyDescent="0.2">
      <c r="A339" s="28">
        <v>44501</v>
      </c>
      <c r="B339" s="18">
        <v>9967.1</v>
      </c>
      <c r="C339" s="18">
        <v>11391.737986922277</v>
      </c>
      <c r="D339" s="18">
        <v>0</v>
      </c>
      <c r="E339" s="18">
        <v>0</v>
      </c>
      <c r="F339" s="18">
        <v>0</v>
      </c>
      <c r="G339" s="18">
        <v>0</v>
      </c>
      <c r="H339" s="19">
        <v>0.14293405172239426</v>
      </c>
      <c r="I339" s="19">
        <v>0</v>
      </c>
      <c r="J339" s="19">
        <v>0.14293405172239426</v>
      </c>
    </row>
    <row r="340" spans="1:10" ht="11.25" customHeight="1" x14ac:dyDescent="0.2">
      <c r="A340" s="28">
        <v>44531</v>
      </c>
      <c r="B340" s="18">
        <v>9967.1</v>
      </c>
      <c r="C340" s="18">
        <v>11391.737986922277</v>
      </c>
      <c r="D340" s="18">
        <v>0</v>
      </c>
      <c r="E340" s="18">
        <v>0</v>
      </c>
      <c r="F340" s="18">
        <v>0</v>
      </c>
      <c r="G340" s="18">
        <v>0</v>
      </c>
      <c r="H340" s="19">
        <v>0.14293405172239426</v>
      </c>
      <c r="I340" s="19">
        <v>0</v>
      </c>
      <c r="J340" s="19">
        <v>0.14293405172239426</v>
      </c>
    </row>
    <row r="341" spans="1:10" ht="11.25" customHeight="1" x14ac:dyDescent="0.2">
      <c r="A341" s="28">
        <v>44562</v>
      </c>
      <c r="B341" s="18">
        <v>9967.1</v>
      </c>
      <c r="C341" s="18">
        <v>11391.737986922277</v>
      </c>
      <c r="D341" s="18">
        <v>0</v>
      </c>
      <c r="E341" s="18">
        <v>0</v>
      </c>
      <c r="F341" s="18">
        <v>0</v>
      </c>
      <c r="G341" s="18">
        <v>0</v>
      </c>
      <c r="H341" s="19">
        <v>0.14293405172239426</v>
      </c>
      <c r="I341" s="19">
        <v>0</v>
      </c>
      <c r="J341" s="19">
        <v>0.14293405172239426</v>
      </c>
    </row>
    <row r="342" spans="1:10" ht="11.25" customHeight="1" x14ac:dyDescent="0.2">
      <c r="A342" s="28">
        <v>44593</v>
      </c>
      <c r="B342" s="18">
        <v>9967.1</v>
      </c>
      <c r="C342" s="18">
        <v>11391.737986922277</v>
      </c>
      <c r="D342" s="18">
        <v>0</v>
      </c>
      <c r="E342" s="18">
        <v>0</v>
      </c>
      <c r="F342" s="18">
        <v>0</v>
      </c>
      <c r="G342" s="18">
        <v>0</v>
      </c>
      <c r="H342" s="19">
        <v>0.14293405172239426</v>
      </c>
      <c r="I342" s="19">
        <v>0</v>
      </c>
      <c r="J342" s="19">
        <v>0.14293405172239426</v>
      </c>
    </row>
    <row r="343" spans="1:10" ht="11.25" customHeight="1" x14ac:dyDescent="0.2">
      <c r="A343" s="28">
        <v>44621</v>
      </c>
      <c r="B343" s="18">
        <v>9967.1</v>
      </c>
      <c r="C343" s="18">
        <v>11391.737986922277</v>
      </c>
      <c r="D343" s="18">
        <v>0</v>
      </c>
      <c r="E343" s="18">
        <v>0</v>
      </c>
      <c r="F343" s="18">
        <v>0</v>
      </c>
      <c r="G343" s="18">
        <v>0</v>
      </c>
      <c r="H343" s="19">
        <v>0.14293405172239426</v>
      </c>
      <c r="I343" s="19">
        <v>0</v>
      </c>
      <c r="J343" s="19">
        <v>0.14293405172239426</v>
      </c>
    </row>
    <row r="344" spans="1:10" ht="11.25" customHeight="1" x14ac:dyDescent="0.2">
      <c r="A344" s="27" t="s">
        <v>34</v>
      </c>
      <c r="B344" s="18">
        <v>0</v>
      </c>
      <c r="C344" s="18">
        <v>0</v>
      </c>
      <c r="D344" s="18">
        <v>119672.35991999999</v>
      </c>
      <c r="E344" s="18">
        <v>147034.66406739029</v>
      </c>
      <c r="F344" s="18">
        <v>27956.364000000005</v>
      </c>
      <c r="G344" s="18">
        <v>29276.107430174754</v>
      </c>
      <c r="H344" s="19">
        <v>0.22864347427995724</v>
      </c>
      <c r="I344" s="19">
        <v>4.7207263082378992E-2</v>
      </c>
      <c r="J344" s="19">
        <v>0.19428500644026325</v>
      </c>
    </row>
    <row r="345" spans="1:10" ht="11.25" customHeight="1" x14ac:dyDescent="0.2">
      <c r="A345" s="28">
        <v>44287</v>
      </c>
      <c r="B345" s="18">
        <v>0</v>
      </c>
      <c r="C345" s="18">
        <v>0</v>
      </c>
      <c r="D345" s="18">
        <v>11499.736499999999</v>
      </c>
      <c r="E345" s="18">
        <v>14129.076206664033</v>
      </c>
      <c r="F345" s="18">
        <v>2686.4249999999997</v>
      </c>
      <c r="G345" s="18">
        <v>2813.2437717260805</v>
      </c>
      <c r="H345" s="19">
        <v>0.22864347427995702</v>
      </c>
      <c r="I345" s="19">
        <v>4.7207263082379214E-2</v>
      </c>
      <c r="J345" s="19">
        <v>0.19428500644026347</v>
      </c>
    </row>
    <row r="346" spans="1:10" ht="11.25" customHeight="1" x14ac:dyDescent="0.2">
      <c r="A346" s="28">
        <v>44317</v>
      </c>
      <c r="B346" s="18">
        <v>0</v>
      </c>
      <c r="C346" s="18">
        <v>0</v>
      </c>
      <c r="D346" s="18">
        <v>9856.9169999999995</v>
      </c>
      <c r="E346" s="18">
        <v>12110.636748569172</v>
      </c>
      <c r="F346" s="18">
        <v>2302.65</v>
      </c>
      <c r="G346" s="18">
        <v>2411.3518043366403</v>
      </c>
      <c r="H346" s="19">
        <v>0.22864347427995724</v>
      </c>
      <c r="I346" s="19">
        <v>4.7207263082378992E-2</v>
      </c>
      <c r="J346" s="19">
        <v>0.19428500644026325</v>
      </c>
    </row>
    <row r="347" spans="1:10" ht="11.25" customHeight="1" x14ac:dyDescent="0.2">
      <c r="A347" s="28">
        <v>44348</v>
      </c>
      <c r="B347" s="18">
        <v>0</v>
      </c>
      <c r="C347" s="18">
        <v>0</v>
      </c>
      <c r="D347" s="18">
        <v>9309.3104999999996</v>
      </c>
      <c r="E347" s="18">
        <v>11437.823595870885</v>
      </c>
      <c r="F347" s="18">
        <v>2174.7249999999999</v>
      </c>
      <c r="G347" s="18">
        <v>2277.3878152068273</v>
      </c>
      <c r="H347" s="19">
        <v>0.22864347427995724</v>
      </c>
      <c r="I347" s="19">
        <v>4.7207263082379436E-2</v>
      </c>
      <c r="J347" s="19">
        <v>0.19428500644026325</v>
      </c>
    </row>
    <row r="348" spans="1:10" ht="11.25" customHeight="1" x14ac:dyDescent="0.2">
      <c r="A348" s="28">
        <v>44378</v>
      </c>
      <c r="B348" s="18">
        <v>0</v>
      </c>
      <c r="C348" s="18">
        <v>0</v>
      </c>
      <c r="D348" s="18">
        <v>10404.523499999999</v>
      </c>
      <c r="E348" s="18">
        <v>12783.449901267459</v>
      </c>
      <c r="F348" s="18">
        <v>2430.5750000000003</v>
      </c>
      <c r="G348" s="18">
        <v>2545.3157934664541</v>
      </c>
      <c r="H348" s="19">
        <v>0.22864347427995724</v>
      </c>
      <c r="I348" s="19">
        <v>4.7207263082379214E-2</v>
      </c>
      <c r="J348" s="19">
        <v>0.19428500644026325</v>
      </c>
    </row>
    <row r="349" spans="1:10" ht="11.25" customHeight="1" x14ac:dyDescent="0.2">
      <c r="A349" s="28">
        <v>44409</v>
      </c>
      <c r="B349" s="18">
        <v>0</v>
      </c>
      <c r="C349" s="18">
        <v>0</v>
      </c>
      <c r="D349" s="18">
        <v>10404.523499999999</v>
      </c>
      <c r="E349" s="18">
        <v>12783.449901267459</v>
      </c>
      <c r="F349" s="18">
        <v>2430.5750000000003</v>
      </c>
      <c r="G349" s="18">
        <v>2545.3157934664541</v>
      </c>
      <c r="H349" s="19">
        <v>0.22864347427995724</v>
      </c>
      <c r="I349" s="19">
        <v>4.7207263082379214E-2</v>
      </c>
      <c r="J349" s="19">
        <v>0.19428500644026325</v>
      </c>
    </row>
    <row r="350" spans="1:10" ht="11.25" customHeight="1" x14ac:dyDescent="0.2">
      <c r="A350" s="28">
        <v>44440</v>
      </c>
      <c r="B350" s="18">
        <v>0</v>
      </c>
      <c r="C350" s="18">
        <v>0</v>
      </c>
      <c r="D350" s="18">
        <v>10404.523499999999</v>
      </c>
      <c r="E350" s="18">
        <v>12783.449901267459</v>
      </c>
      <c r="F350" s="18">
        <v>2430.5750000000003</v>
      </c>
      <c r="G350" s="18">
        <v>2545.3157934664541</v>
      </c>
      <c r="H350" s="19">
        <v>0.22864347427995724</v>
      </c>
      <c r="I350" s="19">
        <v>4.7207263082379214E-2</v>
      </c>
      <c r="J350" s="19">
        <v>0.19428500644026325</v>
      </c>
    </row>
    <row r="351" spans="1:10" ht="11.25" customHeight="1" x14ac:dyDescent="0.2">
      <c r="A351" s="28">
        <v>44470</v>
      </c>
      <c r="B351" s="18">
        <v>0</v>
      </c>
      <c r="C351" s="18">
        <v>0</v>
      </c>
      <c r="D351" s="18">
        <v>8761.7039999999997</v>
      </c>
      <c r="E351" s="18">
        <v>10765.010443172596</v>
      </c>
      <c r="F351" s="18">
        <v>2046.8</v>
      </c>
      <c r="G351" s="18">
        <v>2143.4238260770135</v>
      </c>
      <c r="H351" s="19">
        <v>0.22864347427995702</v>
      </c>
      <c r="I351" s="19">
        <v>4.7207263082378992E-2</v>
      </c>
      <c r="J351" s="19">
        <v>0.19428500644026325</v>
      </c>
    </row>
    <row r="352" spans="1:10" ht="11.25" customHeight="1" x14ac:dyDescent="0.2">
      <c r="A352" s="28">
        <v>44501</v>
      </c>
      <c r="B352" s="18">
        <v>0</v>
      </c>
      <c r="C352" s="18">
        <v>0</v>
      </c>
      <c r="D352" s="18">
        <v>9856.9169999999995</v>
      </c>
      <c r="E352" s="18">
        <v>12110.636748569172</v>
      </c>
      <c r="F352" s="18">
        <v>2302.65</v>
      </c>
      <c r="G352" s="18">
        <v>2411.3518043366403</v>
      </c>
      <c r="H352" s="19">
        <v>0.22864347427995724</v>
      </c>
      <c r="I352" s="19">
        <v>4.7207263082378992E-2</v>
      </c>
      <c r="J352" s="19">
        <v>0.19428500644026325</v>
      </c>
    </row>
    <row r="353" spans="1:10" ht="11.25" customHeight="1" x14ac:dyDescent="0.2">
      <c r="A353" s="28">
        <v>44531</v>
      </c>
      <c r="B353" s="18">
        <v>0</v>
      </c>
      <c r="C353" s="18">
        <v>0</v>
      </c>
      <c r="D353" s="18">
        <v>9856.9169999999995</v>
      </c>
      <c r="E353" s="18">
        <v>12110.636748569172</v>
      </c>
      <c r="F353" s="18">
        <v>2302.65</v>
      </c>
      <c r="G353" s="18">
        <v>2411.3518043366403</v>
      </c>
      <c r="H353" s="19">
        <v>0.22864347427995724</v>
      </c>
      <c r="I353" s="19">
        <v>4.7207263082378992E-2</v>
      </c>
      <c r="J353" s="19">
        <v>0.19428500644026325</v>
      </c>
    </row>
    <row r="354" spans="1:10" ht="11.25" customHeight="1" x14ac:dyDescent="0.2">
      <c r="A354" s="28">
        <v>44562</v>
      </c>
      <c r="B354" s="18">
        <v>0</v>
      </c>
      <c r="C354" s="18">
        <v>0</v>
      </c>
      <c r="D354" s="18">
        <v>9666.0370199999998</v>
      </c>
      <c r="E354" s="18">
        <v>11876.113306771482</v>
      </c>
      <c r="F354" s="18">
        <v>2258.0590000000002</v>
      </c>
      <c r="G354" s="18">
        <v>2364.6557852685341</v>
      </c>
      <c r="H354" s="19">
        <v>0.22864347427995702</v>
      </c>
      <c r="I354" s="19">
        <v>4.7207263082379214E-2</v>
      </c>
      <c r="J354" s="19">
        <v>0.19428500644026303</v>
      </c>
    </row>
    <row r="355" spans="1:10" ht="11.25" customHeight="1" x14ac:dyDescent="0.2">
      <c r="A355" s="28">
        <v>44593</v>
      </c>
      <c r="B355" s="18">
        <v>0</v>
      </c>
      <c r="C355" s="18">
        <v>0</v>
      </c>
      <c r="D355" s="18">
        <v>9825.6252000000004</v>
      </c>
      <c r="E355" s="18">
        <v>12072.190282700698</v>
      </c>
      <c r="F355" s="18">
        <v>2295.34</v>
      </c>
      <c r="G355" s="18">
        <v>2403.6967192435081</v>
      </c>
      <c r="H355" s="19">
        <v>0.22864347427995702</v>
      </c>
      <c r="I355" s="19">
        <v>4.7207263082378992E-2</v>
      </c>
      <c r="J355" s="19">
        <v>0.19428500644026303</v>
      </c>
    </row>
    <row r="356" spans="1:10" ht="11.25" customHeight="1" x14ac:dyDescent="0.2">
      <c r="A356" s="28">
        <v>44621</v>
      </c>
      <c r="B356" s="18">
        <v>0</v>
      </c>
      <c r="C356" s="18">
        <v>0</v>
      </c>
      <c r="D356" s="18">
        <v>9825.6252000000004</v>
      </c>
      <c r="E356" s="18">
        <v>12072.190282700698</v>
      </c>
      <c r="F356" s="18">
        <v>2295.34</v>
      </c>
      <c r="G356" s="18">
        <v>2403.6967192435081</v>
      </c>
      <c r="H356" s="19">
        <v>0.22864347427995702</v>
      </c>
      <c r="I356" s="19">
        <v>4.7207263082378992E-2</v>
      </c>
      <c r="J356" s="19">
        <v>0.19428500644026303</v>
      </c>
    </row>
    <row r="357" spans="1:10" ht="11.25" customHeight="1" x14ac:dyDescent="0.2">
      <c r="A357" s="23" t="s">
        <v>38</v>
      </c>
      <c r="B357" s="18">
        <v>10562670.689999999</v>
      </c>
      <c r="C357" s="18">
        <v>12072436.008731078</v>
      </c>
      <c r="D357" s="18">
        <v>11208686.045250002</v>
      </c>
      <c r="E357" s="18">
        <v>14099689.505949453</v>
      </c>
      <c r="F357" s="18">
        <v>20809593.447809994</v>
      </c>
      <c r="G357" s="18">
        <v>22123872.334690001</v>
      </c>
      <c r="H357" s="19">
        <v>0.20213571588330304</v>
      </c>
      <c r="I357" s="19">
        <v>6.3157355292701389E-2</v>
      </c>
      <c r="J357" s="19">
        <v>0.13421606708495104</v>
      </c>
    </row>
    <row r="358" spans="1:10" ht="11.25" customHeight="1" x14ac:dyDescent="0.2">
      <c r="A358" s="24" t="s">
        <v>25</v>
      </c>
      <c r="B358" s="18">
        <v>10562670.689999999</v>
      </c>
      <c r="C358" s="18">
        <v>12072436.008731078</v>
      </c>
      <c r="D358" s="18">
        <v>11208686.045250002</v>
      </c>
      <c r="E358" s="18">
        <v>14099689.505949453</v>
      </c>
      <c r="F358" s="18">
        <v>20809593.447809994</v>
      </c>
      <c r="G358" s="18">
        <v>22123872.334690001</v>
      </c>
      <c r="H358" s="19">
        <v>0.20213571588330304</v>
      </c>
      <c r="I358" s="19">
        <v>6.3157355292701389E-2</v>
      </c>
      <c r="J358" s="19">
        <v>0.13421606708495104</v>
      </c>
    </row>
    <row r="359" spans="1:10" ht="11.25" customHeight="1" x14ac:dyDescent="0.2">
      <c r="A359" s="25" t="s">
        <v>25</v>
      </c>
      <c r="B359" s="18">
        <v>10562670.689999999</v>
      </c>
      <c r="C359" s="18">
        <v>12072436.008731078</v>
      </c>
      <c r="D359" s="18">
        <v>11208686.045250002</v>
      </c>
      <c r="E359" s="18">
        <v>14099689.505949453</v>
      </c>
      <c r="F359" s="18">
        <v>20809593.447809994</v>
      </c>
      <c r="G359" s="18">
        <v>22123872.334690001</v>
      </c>
      <c r="H359" s="19">
        <v>0.20213571588330304</v>
      </c>
      <c r="I359" s="19">
        <v>6.3157355292701389E-2</v>
      </c>
      <c r="J359" s="19">
        <v>0.13421606708495104</v>
      </c>
    </row>
    <row r="360" spans="1:10" ht="11.25" customHeight="1" x14ac:dyDescent="0.2">
      <c r="A360" s="26" t="s">
        <v>25</v>
      </c>
      <c r="B360" s="18">
        <v>10562670.689999999</v>
      </c>
      <c r="C360" s="18">
        <v>12072436.008731078</v>
      </c>
      <c r="D360" s="18">
        <v>11208686.045250002</v>
      </c>
      <c r="E360" s="18">
        <v>14099689.505949453</v>
      </c>
      <c r="F360" s="18">
        <v>20809593.447809994</v>
      </c>
      <c r="G360" s="18">
        <v>22123872.334690001</v>
      </c>
      <c r="H360" s="19">
        <v>0.20213571588330304</v>
      </c>
      <c r="I360" s="19">
        <v>6.3157355292701389E-2</v>
      </c>
      <c r="J360" s="19">
        <v>0.13421606708495104</v>
      </c>
    </row>
    <row r="361" spans="1:10" ht="11.25" customHeight="1" x14ac:dyDescent="0.2">
      <c r="A361" s="27" t="s">
        <v>35</v>
      </c>
      <c r="B361" s="18">
        <v>0</v>
      </c>
      <c r="C361" s="18">
        <v>0</v>
      </c>
      <c r="D361" s="18">
        <v>4434211.6127700005</v>
      </c>
      <c r="E361" s="18">
        <v>5776275.7028064858</v>
      </c>
      <c r="F361" s="18">
        <v>19227025.23181</v>
      </c>
      <c r="G361" s="18">
        <v>20466595.404571474</v>
      </c>
      <c r="H361" s="19">
        <v>0.30266126365541557</v>
      </c>
      <c r="I361" s="19">
        <v>6.4470200554512802E-2</v>
      </c>
      <c r="J361" s="19">
        <v>0.10910817045429821</v>
      </c>
    </row>
    <row r="362" spans="1:10" ht="11.25" customHeight="1" x14ac:dyDescent="0.2">
      <c r="A362" s="28">
        <v>44287</v>
      </c>
      <c r="B362" s="18">
        <v>0</v>
      </c>
      <c r="C362" s="18">
        <v>0</v>
      </c>
      <c r="D362" s="18">
        <v>413473.73391000001</v>
      </c>
      <c r="E362" s="18">
        <v>538616.21670352365</v>
      </c>
      <c r="F362" s="18">
        <v>1792848.5622300003</v>
      </c>
      <c r="G362" s="18">
        <v>1908433.8686008384</v>
      </c>
      <c r="H362" s="19">
        <v>0.30266126365541557</v>
      </c>
      <c r="I362" s="19">
        <v>6.4470200554512802E-2</v>
      </c>
      <c r="J362" s="19">
        <v>0.10910817045429821</v>
      </c>
    </row>
    <row r="363" spans="1:10" ht="11.25" customHeight="1" x14ac:dyDescent="0.2">
      <c r="A363" s="28">
        <v>44317</v>
      </c>
      <c r="B363" s="18">
        <v>0</v>
      </c>
      <c r="C363" s="18">
        <v>0</v>
      </c>
      <c r="D363" s="18">
        <v>392297.83962000004</v>
      </c>
      <c r="E363" s="18">
        <v>511031.19948867866</v>
      </c>
      <c r="F363" s="18">
        <v>1701028.5298599999</v>
      </c>
      <c r="G363" s="18">
        <v>1810694.1803290225</v>
      </c>
      <c r="H363" s="19">
        <v>0.30266126365541512</v>
      </c>
      <c r="I363" s="19">
        <v>6.4470200554513024E-2</v>
      </c>
      <c r="J363" s="19">
        <v>0.10910817045429821</v>
      </c>
    </row>
    <row r="364" spans="1:10" ht="11.25" customHeight="1" x14ac:dyDescent="0.2">
      <c r="A364" s="28">
        <v>44348</v>
      </c>
      <c r="B364" s="18">
        <v>0</v>
      </c>
      <c r="C364" s="18">
        <v>0</v>
      </c>
      <c r="D364" s="18">
        <v>375562.85019000003</v>
      </c>
      <c r="E364" s="18">
        <v>489231.17701053491</v>
      </c>
      <c r="F364" s="18">
        <v>1628464.5450700002</v>
      </c>
      <c r="G364" s="18">
        <v>1733451.9808865765</v>
      </c>
      <c r="H364" s="19">
        <v>0.30266126365541535</v>
      </c>
      <c r="I364" s="19">
        <v>6.4470200554512802E-2</v>
      </c>
      <c r="J364" s="19">
        <v>0.10910817045429821</v>
      </c>
    </row>
    <row r="365" spans="1:10" ht="11.25" customHeight="1" x14ac:dyDescent="0.2">
      <c r="A365" s="28">
        <v>44378</v>
      </c>
      <c r="B365" s="18">
        <v>0</v>
      </c>
      <c r="C365" s="18">
        <v>0</v>
      </c>
      <c r="D365" s="18">
        <v>368350.08405</v>
      </c>
      <c r="E365" s="18">
        <v>479835.38595615147</v>
      </c>
      <c r="F365" s="18">
        <v>1597189.5296499999</v>
      </c>
      <c r="G365" s="18">
        <v>1700160.6589501037</v>
      </c>
      <c r="H365" s="19">
        <v>0.30266126365541535</v>
      </c>
      <c r="I365" s="19">
        <v>6.4470200554513024E-2</v>
      </c>
      <c r="J365" s="19">
        <v>0.10910817045429844</v>
      </c>
    </row>
    <row r="366" spans="1:10" ht="11.25" customHeight="1" x14ac:dyDescent="0.2">
      <c r="A366" s="28">
        <v>44409</v>
      </c>
      <c r="B366" s="18">
        <v>0</v>
      </c>
      <c r="C366" s="18">
        <v>0</v>
      </c>
      <c r="D366" s="18">
        <v>385581.93105000001</v>
      </c>
      <c r="E366" s="18">
        <v>502282.64554428821</v>
      </c>
      <c r="F366" s="18">
        <v>1671907.92065</v>
      </c>
      <c r="G366" s="18">
        <v>1779696.1596029841</v>
      </c>
      <c r="H366" s="19">
        <v>0.30266126365541535</v>
      </c>
      <c r="I366" s="19">
        <v>6.4470200554512802E-2</v>
      </c>
      <c r="J366" s="19">
        <v>0.10910817045429821</v>
      </c>
    </row>
    <row r="367" spans="1:10" ht="11.25" customHeight="1" x14ac:dyDescent="0.2">
      <c r="A367" s="28">
        <v>44440</v>
      </c>
      <c r="B367" s="18">
        <v>0</v>
      </c>
      <c r="C367" s="18">
        <v>0</v>
      </c>
      <c r="D367" s="18">
        <v>364074.78129000001</v>
      </c>
      <c r="E367" s="18">
        <v>474266.11466030037</v>
      </c>
      <c r="F367" s="18">
        <v>1578651.5433699999</v>
      </c>
      <c r="G367" s="18">
        <v>1680427.5249767553</v>
      </c>
      <c r="H367" s="19">
        <v>0.30266126365541535</v>
      </c>
      <c r="I367" s="19">
        <v>6.4470200554513024E-2</v>
      </c>
      <c r="J367" s="19">
        <v>0.10910817045429844</v>
      </c>
    </row>
    <row r="368" spans="1:10" ht="11.25" customHeight="1" x14ac:dyDescent="0.2">
      <c r="A368" s="28">
        <v>44470</v>
      </c>
      <c r="B368" s="18">
        <v>0</v>
      </c>
      <c r="C368" s="18">
        <v>0</v>
      </c>
      <c r="D368" s="18">
        <v>374413.63313999999</v>
      </c>
      <c r="E368" s="18">
        <v>487734.13647596753</v>
      </c>
      <c r="F368" s="18">
        <v>1623481.46642</v>
      </c>
      <c r="G368" s="18">
        <v>1728147.6421566319</v>
      </c>
      <c r="H368" s="19">
        <v>0.30266126365541557</v>
      </c>
      <c r="I368" s="19">
        <v>6.4470200554512802E-2</v>
      </c>
      <c r="J368" s="19">
        <v>0.10910817045429821</v>
      </c>
    </row>
    <row r="369" spans="1:10" ht="11.25" customHeight="1" x14ac:dyDescent="0.2">
      <c r="A369" s="28">
        <v>44501</v>
      </c>
      <c r="B369" s="18">
        <v>0</v>
      </c>
      <c r="C369" s="18">
        <v>0</v>
      </c>
      <c r="D369" s="18">
        <v>363087.52616999997</v>
      </c>
      <c r="E369" s="18">
        <v>472980.05565813091</v>
      </c>
      <c r="F369" s="18">
        <v>1574370.7420099999</v>
      </c>
      <c r="G369" s="18">
        <v>1675870.7394945419</v>
      </c>
      <c r="H369" s="19">
        <v>0.30266126365541557</v>
      </c>
      <c r="I369" s="19">
        <v>6.4470200554512802E-2</v>
      </c>
      <c r="J369" s="19">
        <v>0.10910817045429821</v>
      </c>
    </row>
    <row r="370" spans="1:10" ht="11.25" customHeight="1" x14ac:dyDescent="0.2">
      <c r="A370" s="28">
        <v>44531</v>
      </c>
      <c r="B370" s="18">
        <v>0</v>
      </c>
      <c r="C370" s="18">
        <v>0</v>
      </c>
      <c r="D370" s="18">
        <v>357867.36858000007</v>
      </c>
      <c r="E370" s="18">
        <v>466179.95857546112</v>
      </c>
      <c r="F370" s="18">
        <v>1551735.8047400001</v>
      </c>
      <c r="G370" s="18">
        <v>1651776.5232792061</v>
      </c>
      <c r="H370" s="19">
        <v>0.30266126365541512</v>
      </c>
      <c r="I370" s="19">
        <v>6.4470200554512802E-2</v>
      </c>
      <c r="J370" s="19">
        <v>0.10910817045429821</v>
      </c>
    </row>
    <row r="371" spans="1:10" ht="11.25" customHeight="1" x14ac:dyDescent="0.2">
      <c r="A371" s="28">
        <v>44562</v>
      </c>
      <c r="B371" s="18">
        <v>0</v>
      </c>
      <c r="C371" s="18">
        <v>0</v>
      </c>
      <c r="D371" s="18">
        <v>365842.98105000006</v>
      </c>
      <c r="E371" s="18">
        <v>476569.47999405721</v>
      </c>
      <c r="F371" s="18">
        <v>1586318.5706500001</v>
      </c>
      <c r="G371" s="18">
        <v>1688588.8470431536</v>
      </c>
      <c r="H371" s="19">
        <v>0.30266126365541535</v>
      </c>
      <c r="I371" s="19">
        <v>6.4470200554512802E-2</v>
      </c>
      <c r="J371" s="19">
        <v>0.10910817045429799</v>
      </c>
    </row>
    <row r="372" spans="1:10" ht="11.25" customHeight="1" x14ac:dyDescent="0.2">
      <c r="A372" s="28">
        <v>44593</v>
      </c>
      <c r="B372" s="18">
        <v>0</v>
      </c>
      <c r="C372" s="18">
        <v>0</v>
      </c>
      <c r="D372" s="18">
        <v>336829.44186000002</v>
      </c>
      <c r="E372" s="18">
        <v>438774.66636969591</v>
      </c>
      <c r="F372" s="18">
        <v>1460514.0085800001</v>
      </c>
      <c r="G372" s="18">
        <v>1554673.6396258282</v>
      </c>
      <c r="H372" s="19">
        <v>0.30266126365541535</v>
      </c>
      <c r="I372" s="19">
        <v>6.4470200554512802E-2</v>
      </c>
      <c r="J372" s="19">
        <v>0.10910817045429821</v>
      </c>
    </row>
    <row r="373" spans="1:10" ht="11.25" customHeight="1" x14ac:dyDescent="0.2">
      <c r="A373" s="28">
        <v>44621</v>
      </c>
      <c r="B373" s="18">
        <v>0</v>
      </c>
      <c r="C373" s="18">
        <v>0</v>
      </c>
      <c r="D373" s="18">
        <v>336829.44186000002</v>
      </c>
      <c r="E373" s="18">
        <v>438774.66636969591</v>
      </c>
      <c r="F373" s="18">
        <v>1460514.0085800001</v>
      </c>
      <c r="G373" s="18">
        <v>1554673.6396258282</v>
      </c>
      <c r="H373" s="19">
        <v>0.30266126365541535</v>
      </c>
      <c r="I373" s="19">
        <v>6.4470200554512802E-2</v>
      </c>
      <c r="J373" s="19">
        <v>0.10910817045429821</v>
      </c>
    </row>
    <row r="374" spans="1:10" ht="11.25" customHeight="1" x14ac:dyDescent="0.2">
      <c r="A374" s="27" t="s">
        <v>25</v>
      </c>
      <c r="B374" s="18">
        <v>10562670.689999999</v>
      </c>
      <c r="C374" s="18">
        <v>12072436.008731078</v>
      </c>
      <c r="D374" s="18">
        <v>0</v>
      </c>
      <c r="E374" s="18">
        <v>0</v>
      </c>
      <c r="F374" s="18">
        <v>0</v>
      </c>
      <c r="G374" s="18">
        <v>0</v>
      </c>
      <c r="H374" s="19">
        <v>0.14293405172239448</v>
      </c>
      <c r="I374" s="19">
        <v>0</v>
      </c>
      <c r="J374" s="19">
        <v>0.14293405172239448</v>
      </c>
    </row>
    <row r="375" spans="1:10" ht="11.25" customHeight="1" x14ac:dyDescent="0.2">
      <c r="A375" s="28">
        <v>44287</v>
      </c>
      <c r="B375" s="18">
        <v>991483.35</v>
      </c>
      <c r="C375" s="18">
        <v>1133200.0824307927</v>
      </c>
      <c r="D375" s="18">
        <v>0</v>
      </c>
      <c r="E375" s="18">
        <v>0</v>
      </c>
      <c r="F375" s="18">
        <v>0</v>
      </c>
      <c r="G375" s="18">
        <v>0</v>
      </c>
      <c r="H375" s="19">
        <v>0.14293405172239426</v>
      </c>
      <c r="I375" s="19">
        <v>0</v>
      </c>
      <c r="J375" s="19">
        <v>0.14293405172239426</v>
      </c>
    </row>
    <row r="376" spans="1:10" ht="11.25" customHeight="1" x14ac:dyDescent="0.2">
      <c r="A376" s="28">
        <v>44317</v>
      </c>
      <c r="B376" s="18">
        <v>949694.46</v>
      </c>
      <c r="C376" s="18">
        <v>1085438.1370661112</v>
      </c>
      <c r="D376" s="18">
        <v>0</v>
      </c>
      <c r="E376" s="18">
        <v>0</v>
      </c>
      <c r="F376" s="18">
        <v>0</v>
      </c>
      <c r="G376" s="18">
        <v>0</v>
      </c>
      <c r="H376" s="19">
        <v>0.14293405172239426</v>
      </c>
      <c r="I376" s="19">
        <v>0</v>
      </c>
      <c r="J376" s="19">
        <v>0.14293405172239426</v>
      </c>
    </row>
    <row r="377" spans="1:10" ht="11.25" customHeight="1" x14ac:dyDescent="0.2">
      <c r="A377" s="28">
        <v>44348</v>
      </c>
      <c r="B377" s="18">
        <v>904404.92999999993</v>
      </c>
      <c r="C377" s="18">
        <v>1033675.1910426085</v>
      </c>
      <c r="D377" s="18">
        <v>0</v>
      </c>
      <c r="E377" s="18">
        <v>0</v>
      </c>
      <c r="F377" s="18">
        <v>0</v>
      </c>
      <c r="G377" s="18">
        <v>0</v>
      </c>
      <c r="H377" s="19">
        <v>0.14293405172239448</v>
      </c>
      <c r="I377" s="19">
        <v>0</v>
      </c>
      <c r="J377" s="19">
        <v>0.14293405172239448</v>
      </c>
    </row>
    <row r="378" spans="1:10" ht="11.25" customHeight="1" x14ac:dyDescent="0.2">
      <c r="A378" s="28">
        <v>44378</v>
      </c>
      <c r="B378" s="18">
        <v>888457.57</v>
      </c>
      <c r="C378" s="18">
        <v>1015448.4102635328</v>
      </c>
      <c r="D378" s="18">
        <v>0</v>
      </c>
      <c r="E378" s="18">
        <v>0</v>
      </c>
      <c r="F378" s="18">
        <v>0</v>
      </c>
      <c r="G378" s="18">
        <v>0</v>
      </c>
      <c r="H378" s="19">
        <v>0.14293405172239448</v>
      </c>
      <c r="I378" s="19">
        <v>0</v>
      </c>
      <c r="J378" s="19">
        <v>0.14293405172239448</v>
      </c>
    </row>
    <row r="379" spans="1:10" ht="11.25" customHeight="1" x14ac:dyDescent="0.2">
      <c r="A379" s="28">
        <v>44409</v>
      </c>
      <c r="B379" s="18">
        <v>863102.23999999987</v>
      </c>
      <c r="C379" s="18">
        <v>986468.94021387433</v>
      </c>
      <c r="D379" s="18">
        <v>0</v>
      </c>
      <c r="E379" s="18">
        <v>0</v>
      </c>
      <c r="F379" s="18">
        <v>0</v>
      </c>
      <c r="G379" s="18">
        <v>0</v>
      </c>
      <c r="H379" s="19">
        <v>0.14293405172239448</v>
      </c>
      <c r="I379" s="19">
        <v>0</v>
      </c>
      <c r="J379" s="19">
        <v>0.14293405172239448</v>
      </c>
    </row>
    <row r="380" spans="1:10" ht="11.25" customHeight="1" x14ac:dyDescent="0.2">
      <c r="A380" s="28">
        <v>44440</v>
      </c>
      <c r="B380" s="18">
        <v>860087.79999999993</v>
      </c>
      <c r="C380" s="18">
        <v>983023.63409100031</v>
      </c>
      <c r="D380" s="18">
        <v>0</v>
      </c>
      <c r="E380" s="18">
        <v>0</v>
      </c>
      <c r="F380" s="18">
        <v>0</v>
      </c>
      <c r="G380" s="18">
        <v>0</v>
      </c>
      <c r="H380" s="19">
        <v>0.14293405172239426</v>
      </c>
      <c r="I380" s="19">
        <v>0</v>
      </c>
      <c r="J380" s="19">
        <v>0.14293405172239426</v>
      </c>
    </row>
    <row r="381" spans="1:10" ht="11.25" customHeight="1" x14ac:dyDescent="0.2">
      <c r="A381" s="28">
        <v>44470</v>
      </c>
      <c r="B381" s="18">
        <v>859698.84</v>
      </c>
      <c r="C381" s="18">
        <v>982579.07846224238</v>
      </c>
      <c r="D381" s="18">
        <v>0</v>
      </c>
      <c r="E381" s="18">
        <v>0</v>
      </c>
      <c r="F381" s="18">
        <v>0</v>
      </c>
      <c r="G381" s="18">
        <v>0</v>
      </c>
      <c r="H381" s="19">
        <v>0.14293405172239426</v>
      </c>
      <c r="I381" s="19">
        <v>0</v>
      </c>
      <c r="J381" s="19">
        <v>0.14293405172239426</v>
      </c>
    </row>
    <row r="382" spans="1:10" ht="11.25" customHeight="1" x14ac:dyDescent="0.2">
      <c r="A382" s="28">
        <v>44501</v>
      </c>
      <c r="B382" s="18">
        <v>864974.10999999987</v>
      </c>
      <c r="C382" s="18">
        <v>988608.36417727196</v>
      </c>
      <c r="D382" s="18">
        <v>0</v>
      </c>
      <c r="E382" s="18">
        <v>0</v>
      </c>
      <c r="F382" s="18">
        <v>0</v>
      </c>
      <c r="G382" s="18">
        <v>0</v>
      </c>
      <c r="H382" s="19">
        <v>0.14293405172239448</v>
      </c>
      <c r="I382" s="19">
        <v>0</v>
      </c>
      <c r="J382" s="19">
        <v>0.14293405172239448</v>
      </c>
    </row>
    <row r="383" spans="1:10" ht="11.25" customHeight="1" x14ac:dyDescent="0.2">
      <c r="A383" s="28">
        <v>44531</v>
      </c>
      <c r="B383" s="18">
        <v>853742.89</v>
      </c>
      <c r="C383" s="18">
        <v>975771.82039688644</v>
      </c>
      <c r="D383" s="18">
        <v>0</v>
      </c>
      <c r="E383" s="18">
        <v>0</v>
      </c>
      <c r="F383" s="18">
        <v>0</v>
      </c>
      <c r="G383" s="18">
        <v>0</v>
      </c>
      <c r="H383" s="19">
        <v>0.14293405172239426</v>
      </c>
      <c r="I383" s="19">
        <v>0</v>
      </c>
      <c r="J383" s="19">
        <v>0.14293405172239426</v>
      </c>
    </row>
    <row r="384" spans="1:10" ht="11.25" customHeight="1" x14ac:dyDescent="0.2">
      <c r="A384" s="28">
        <v>44562</v>
      </c>
      <c r="B384" s="18">
        <v>847884.17999999993</v>
      </c>
      <c r="C384" s="18">
        <v>969075.70123871986</v>
      </c>
      <c r="D384" s="18">
        <v>0</v>
      </c>
      <c r="E384" s="18">
        <v>0</v>
      </c>
      <c r="F384" s="18">
        <v>0</v>
      </c>
      <c r="G384" s="18">
        <v>0</v>
      </c>
      <c r="H384" s="19">
        <v>0.14293405172239426</v>
      </c>
      <c r="I384" s="19">
        <v>0</v>
      </c>
      <c r="J384" s="19">
        <v>0.14293405172239426</v>
      </c>
    </row>
    <row r="385" spans="1:10" ht="11.25" customHeight="1" x14ac:dyDescent="0.2">
      <c r="A385" s="28">
        <v>44593</v>
      </c>
      <c r="B385" s="18">
        <v>839570.15999999992</v>
      </c>
      <c r="C385" s="18">
        <v>959573.32467401889</v>
      </c>
      <c r="D385" s="18">
        <v>0</v>
      </c>
      <c r="E385" s="18">
        <v>0</v>
      </c>
      <c r="F385" s="18">
        <v>0</v>
      </c>
      <c r="G385" s="18">
        <v>0</v>
      </c>
      <c r="H385" s="19">
        <v>0.14293405172239448</v>
      </c>
      <c r="I385" s="19">
        <v>0</v>
      </c>
      <c r="J385" s="19">
        <v>0.14293405172239448</v>
      </c>
    </row>
    <row r="386" spans="1:10" ht="11.25" customHeight="1" x14ac:dyDescent="0.2">
      <c r="A386" s="28">
        <v>44621</v>
      </c>
      <c r="B386" s="18">
        <v>839570.15999999992</v>
      </c>
      <c r="C386" s="18">
        <v>959573.32467401889</v>
      </c>
      <c r="D386" s="18">
        <v>0</v>
      </c>
      <c r="E386" s="18">
        <v>0</v>
      </c>
      <c r="F386" s="18">
        <v>0</v>
      </c>
      <c r="G386" s="18">
        <v>0</v>
      </c>
      <c r="H386" s="19">
        <v>0.14293405172239448</v>
      </c>
      <c r="I386" s="19">
        <v>0</v>
      </c>
      <c r="J386" s="19">
        <v>0.14293405172239448</v>
      </c>
    </row>
    <row r="387" spans="1:10" ht="11.25" customHeight="1" x14ac:dyDescent="0.2">
      <c r="A387" s="27" t="s">
        <v>34</v>
      </c>
      <c r="B387" s="18">
        <v>0</v>
      </c>
      <c r="C387" s="18">
        <v>0</v>
      </c>
      <c r="D387" s="18">
        <v>6774474.432479999</v>
      </c>
      <c r="E387" s="18">
        <v>8323413.8031429676</v>
      </c>
      <c r="F387" s="18">
        <v>1582568.216</v>
      </c>
      <c r="G387" s="18">
        <v>1657276.9301185238</v>
      </c>
      <c r="H387" s="19">
        <v>0.22864347427995746</v>
      </c>
      <c r="I387" s="19">
        <v>4.7207263082379214E-2</v>
      </c>
      <c r="J387" s="19">
        <v>0.1942850064402637</v>
      </c>
    </row>
    <row r="388" spans="1:10" ht="11.25" customHeight="1" x14ac:dyDescent="0.2">
      <c r="A388" s="28">
        <v>44287</v>
      </c>
      <c r="B388" s="18">
        <v>0</v>
      </c>
      <c r="C388" s="18">
        <v>0</v>
      </c>
      <c r="D388" s="18">
        <v>605981.35290000006</v>
      </c>
      <c r="E388" s="18">
        <v>744535.03477592475</v>
      </c>
      <c r="F388" s="18">
        <v>141561.80499999999</v>
      </c>
      <c r="G388" s="18">
        <v>148244.55037105147</v>
      </c>
      <c r="H388" s="19">
        <v>0.22864347427995702</v>
      </c>
      <c r="I388" s="19">
        <v>4.7207263082379436E-2</v>
      </c>
      <c r="J388" s="19">
        <v>0.19428500644026325</v>
      </c>
    </row>
    <row r="389" spans="1:10" ht="11.25" customHeight="1" x14ac:dyDescent="0.2">
      <c r="A389" s="28">
        <v>44317</v>
      </c>
      <c r="B389" s="18">
        <v>0</v>
      </c>
      <c r="C389" s="18">
        <v>0</v>
      </c>
      <c r="D389" s="18">
        <v>627004.74872999999</v>
      </c>
      <c r="E389" s="18">
        <v>770365.29286965856</v>
      </c>
      <c r="F389" s="18">
        <v>146473.02849999999</v>
      </c>
      <c r="G389" s="18">
        <v>153387.6192908723</v>
      </c>
      <c r="H389" s="19">
        <v>0.22864347427995679</v>
      </c>
      <c r="I389" s="19">
        <v>4.7207263082379214E-2</v>
      </c>
      <c r="J389" s="19">
        <v>0.19428500644026303</v>
      </c>
    </row>
    <row r="390" spans="1:10" ht="11.25" customHeight="1" x14ac:dyDescent="0.2">
      <c r="A390" s="28">
        <v>44348</v>
      </c>
      <c r="B390" s="18">
        <v>0</v>
      </c>
      <c r="C390" s="18">
        <v>0</v>
      </c>
      <c r="D390" s="18">
        <v>583559.21360999998</v>
      </c>
      <c r="E390" s="18">
        <v>716986.21965786989</v>
      </c>
      <c r="F390" s="18">
        <v>136323.82449999999</v>
      </c>
      <c r="G390" s="18">
        <v>142759.2991475676</v>
      </c>
      <c r="H390" s="19">
        <v>0.22864347427995702</v>
      </c>
      <c r="I390" s="19">
        <v>4.7207263082379214E-2</v>
      </c>
      <c r="J390" s="19">
        <v>0.19428500644026303</v>
      </c>
    </row>
    <row r="391" spans="1:10" ht="11.25" customHeight="1" x14ac:dyDescent="0.2">
      <c r="A391" s="28">
        <v>44378</v>
      </c>
      <c r="B391" s="18">
        <v>0</v>
      </c>
      <c r="C391" s="18">
        <v>0</v>
      </c>
      <c r="D391" s="18">
        <v>604307.24159999995</v>
      </c>
      <c r="E391" s="18">
        <v>742478.14885196136</v>
      </c>
      <c r="F391" s="18">
        <v>141170.72</v>
      </c>
      <c r="G391" s="18">
        <v>147835.0033185689</v>
      </c>
      <c r="H391" s="19">
        <v>0.22864347427995702</v>
      </c>
      <c r="I391" s="19">
        <v>4.7207263082379214E-2</v>
      </c>
      <c r="J391" s="19">
        <v>0.19428500644026325</v>
      </c>
    </row>
    <row r="392" spans="1:10" ht="11.25" customHeight="1" x14ac:dyDescent="0.2">
      <c r="A392" s="28">
        <v>44409</v>
      </c>
      <c r="B392" s="18">
        <v>0</v>
      </c>
      <c r="C392" s="18">
        <v>0</v>
      </c>
      <c r="D392" s="18">
        <v>599375.65391999995</v>
      </c>
      <c r="E392" s="18">
        <v>736418.9858310899</v>
      </c>
      <c r="F392" s="18">
        <v>140018.66400000002</v>
      </c>
      <c r="G392" s="18">
        <v>146628.56190789124</v>
      </c>
      <c r="H392" s="19">
        <v>0.22864347427995702</v>
      </c>
      <c r="I392" s="19">
        <v>4.7207263082378992E-2</v>
      </c>
      <c r="J392" s="19">
        <v>0.19428500644026325</v>
      </c>
    </row>
    <row r="393" spans="1:10" ht="11.25" customHeight="1" x14ac:dyDescent="0.2">
      <c r="A393" s="28">
        <v>44440</v>
      </c>
      <c r="B393" s="18">
        <v>0</v>
      </c>
      <c r="C393" s="18">
        <v>0</v>
      </c>
      <c r="D393" s="18">
        <v>556773.43281000003</v>
      </c>
      <c r="E393" s="18">
        <v>684076.04487445659</v>
      </c>
      <c r="F393" s="18">
        <v>130066.4645</v>
      </c>
      <c r="G393" s="18">
        <v>136206.54630784644</v>
      </c>
      <c r="H393" s="19">
        <v>0.22864347427995702</v>
      </c>
      <c r="I393" s="19">
        <v>4.7207263082379214E-2</v>
      </c>
      <c r="J393" s="19">
        <v>0.19428500644026303</v>
      </c>
    </row>
    <row r="394" spans="1:10" ht="11.25" customHeight="1" x14ac:dyDescent="0.2">
      <c r="A394" s="28">
        <v>44470</v>
      </c>
      <c r="B394" s="18">
        <v>0</v>
      </c>
      <c r="C394" s="18">
        <v>0</v>
      </c>
      <c r="D394" s="18">
        <v>569452.87016999989</v>
      </c>
      <c r="E394" s="18">
        <v>699654.5528443621</v>
      </c>
      <c r="F394" s="18">
        <v>133028.47649999999</v>
      </c>
      <c r="G394" s="18">
        <v>139308.38678758359</v>
      </c>
      <c r="H394" s="19">
        <v>0.22864347427995724</v>
      </c>
      <c r="I394" s="19">
        <v>4.7207263082379214E-2</v>
      </c>
      <c r="J394" s="19">
        <v>0.19428500644026325</v>
      </c>
    </row>
    <row r="395" spans="1:10" ht="11.25" customHeight="1" x14ac:dyDescent="0.2">
      <c r="A395" s="28">
        <v>44501</v>
      </c>
      <c r="B395" s="18">
        <v>0</v>
      </c>
      <c r="C395" s="18">
        <v>0</v>
      </c>
      <c r="D395" s="18">
        <v>527213.63393999997</v>
      </c>
      <c r="E395" s="18">
        <v>647757.59089180315</v>
      </c>
      <c r="F395" s="18">
        <v>123161.073</v>
      </c>
      <c r="G395" s="18">
        <v>128975.17017461911</v>
      </c>
      <c r="H395" s="19">
        <v>0.22864347427995724</v>
      </c>
      <c r="I395" s="19">
        <v>4.7207263082379214E-2</v>
      </c>
      <c r="J395" s="19">
        <v>0.19428500644026325</v>
      </c>
    </row>
    <row r="396" spans="1:10" ht="11.25" customHeight="1" x14ac:dyDescent="0.2">
      <c r="A396" s="28">
        <v>44531</v>
      </c>
      <c r="B396" s="18">
        <v>0</v>
      </c>
      <c r="C396" s="18">
        <v>0</v>
      </c>
      <c r="D396" s="18">
        <v>549698.35683000006</v>
      </c>
      <c r="E396" s="18">
        <v>675383.29894159478</v>
      </c>
      <c r="F396" s="18">
        <v>128413.6735</v>
      </c>
      <c r="G396" s="18">
        <v>134475.73156828928</v>
      </c>
      <c r="H396" s="19">
        <v>0.22864347427995702</v>
      </c>
      <c r="I396" s="19">
        <v>4.7207263082379436E-2</v>
      </c>
      <c r="J396" s="19">
        <v>0.19428500644026303</v>
      </c>
    </row>
    <row r="397" spans="1:10" ht="11.25" customHeight="1" x14ac:dyDescent="0.2">
      <c r="A397" s="28">
        <v>44562</v>
      </c>
      <c r="B397" s="18">
        <v>0</v>
      </c>
      <c r="C397" s="18">
        <v>0</v>
      </c>
      <c r="D397" s="18">
        <v>600616.37378999987</v>
      </c>
      <c r="E397" s="18">
        <v>737943.38820277492</v>
      </c>
      <c r="F397" s="18">
        <v>140308.50549999997</v>
      </c>
      <c r="G397" s="18">
        <v>146932.08603183395</v>
      </c>
      <c r="H397" s="19">
        <v>0.22864347427995724</v>
      </c>
      <c r="I397" s="19">
        <v>4.7207263082379436E-2</v>
      </c>
      <c r="J397" s="19">
        <v>0.19428500644026347</v>
      </c>
    </row>
    <row r="398" spans="1:10" ht="11.25" customHeight="1" x14ac:dyDescent="0.2">
      <c r="A398" s="28">
        <v>44593</v>
      </c>
      <c r="B398" s="18">
        <v>0</v>
      </c>
      <c r="C398" s="18">
        <v>0</v>
      </c>
      <c r="D398" s="18">
        <v>475245.77708999993</v>
      </c>
      <c r="E398" s="18">
        <v>583907.62270073558</v>
      </c>
      <c r="F398" s="18">
        <v>111020.99049999999</v>
      </c>
      <c r="G398" s="18">
        <v>116261.98760619982</v>
      </c>
      <c r="H398" s="19">
        <v>0.22864347427995724</v>
      </c>
      <c r="I398" s="19">
        <v>4.7207263082379436E-2</v>
      </c>
      <c r="J398" s="19">
        <v>0.19428500644026325</v>
      </c>
    </row>
    <row r="399" spans="1:10" ht="11.25" customHeight="1" x14ac:dyDescent="0.2">
      <c r="A399" s="28">
        <v>44621</v>
      </c>
      <c r="B399" s="18">
        <v>0</v>
      </c>
      <c r="C399" s="18">
        <v>0</v>
      </c>
      <c r="D399" s="18">
        <v>475245.77708999993</v>
      </c>
      <c r="E399" s="18">
        <v>583907.62270073558</v>
      </c>
      <c r="F399" s="18">
        <v>111020.99049999999</v>
      </c>
      <c r="G399" s="18">
        <v>116261.98760619982</v>
      </c>
      <c r="H399" s="19">
        <v>0.22864347427995724</v>
      </c>
      <c r="I399" s="19">
        <v>4.7207263082379436E-2</v>
      </c>
      <c r="J399" s="19">
        <v>0.19428500644026325</v>
      </c>
    </row>
    <row r="400" spans="1:10" ht="11.25" customHeight="1" x14ac:dyDescent="0.2">
      <c r="A400" s="23" t="s">
        <v>46</v>
      </c>
      <c r="B400" s="18">
        <v>9379989.1899999995</v>
      </c>
      <c r="C400" s="18">
        <v>10720709.050038958</v>
      </c>
      <c r="D400" s="18">
        <v>8606013.1841700003</v>
      </c>
      <c r="E400" s="18">
        <v>10759474.375631537</v>
      </c>
      <c r="F400" s="18">
        <v>12305809.669460006</v>
      </c>
      <c r="G400" s="18">
        <v>13074582.221584806</v>
      </c>
      <c r="H400" s="19">
        <v>0.19427224453826164</v>
      </c>
      <c r="I400" s="19">
        <v>6.2472325899262326E-2</v>
      </c>
      <c r="J400" s="19">
        <v>0.14072956736577114</v>
      </c>
    </row>
    <row r="401" spans="1:10" ht="11.25" customHeight="1" x14ac:dyDescent="0.2">
      <c r="A401" s="24" t="s">
        <v>25</v>
      </c>
      <c r="B401" s="18">
        <v>9379989.1899999995</v>
      </c>
      <c r="C401" s="18">
        <v>10720709.050038958</v>
      </c>
      <c r="D401" s="18">
        <v>8606013.1841700003</v>
      </c>
      <c r="E401" s="18">
        <v>10759474.375631537</v>
      </c>
      <c r="F401" s="18">
        <v>12305809.669460006</v>
      </c>
      <c r="G401" s="18">
        <v>13074582.221584806</v>
      </c>
      <c r="H401" s="19">
        <v>0.19427224453826164</v>
      </c>
      <c r="I401" s="19">
        <v>6.2472325899262326E-2</v>
      </c>
      <c r="J401" s="19">
        <v>0.14072956736577114</v>
      </c>
    </row>
    <row r="402" spans="1:10" ht="11.25" customHeight="1" x14ac:dyDescent="0.2">
      <c r="A402" s="25" t="s">
        <v>25</v>
      </c>
      <c r="B402" s="18">
        <v>9379989.1899999995</v>
      </c>
      <c r="C402" s="18">
        <v>10720709.050038958</v>
      </c>
      <c r="D402" s="18">
        <v>8606013.1841700003</v>
      </c>
      <c r="E402" s="18">
        <v>10759474.375631537</v>
      </c>
      <c r="F402" s="18">
        <v>12305809.669460006</v>
      </c>
      <c r="G402" s="18">
        <v>13074582.221584806</v>
      </c>
      <c r="H402" s="19">
        <v>0.19427224453826164</v>
      </c>
      <c r="I402" s="19">
        <v>6.2472325899262326E-2</v>
      </c>
      <c r="J402" s="19">
        <v>0.14072956736577114</v>
      </c>
    </row>
    <row r="403" spans="1:10" ht="11.25" customHeight="1" x14ac:dyDescent="0.2">
      <c r="A403" s="26" t="s">
        <v>25</v>
      </c>
      <c r="B403" s="18">
        <v>9379989.1899999995</v>
      </c>
      <c r="C403" s="18">
        <v>10720709.050038958</v>
      </c>
      <c r="D403" s="18">
        <v>8606013.1841700003</v>
      </c>
      <c r="E403" s="18">
        <v>10759474.375631537</v>
      </c>
      <c r="F403" s="18">
        <v>12305809.669460006</v>
      </c>
      <c r="G403" s="18">
        <v>13074582.221584806</v>
      </c>
      <c r="H403" s="19">
        <v>0.19427224453826164</v>
      </c>
      <c r="I403" s="19">
        <v>6.2472325899262326E-2</v>
      </c>
      <c r="J403" s="19">
        <v>0.14072956736577114</v>
      </c>
    </row>
    <row r="404" spans="1:10" ht="11.25" customHeight="1" x14ac:dyDescent="0.2">
      <c r="A404" s="27" t="s">
        <v>35</v>
      </c>
      <c r="B404" s="18">
        <v>0</v>
      </c>
      <c r="C404" s="18">
        <v>0</v>
      </c>
      <c r="D404" s="18">
        <v>2509564.7803200004</v>
      </c>
      <c r="E404" s="18">
        <v>3269112.8279567761</v>
      </c>
      <c r="F404" s="18">
        <v>10881633.436960002</v>
      </c>
      <c r="G404" s="18">
        <v>11583174.527001506</v>
      </c>
      <c r="H404" s="19">
        <v>0.30266126365541535</v>
      </c>
      <c r="I404" s="19">
        <v>6.4470200554513024E-2</v>
      </c>
      <c r="J404" s="19">
        <v>0.10910817045429844</v>
      </c>
    </row>
    <row r="405" spans="1:10" ht="11.25" customHeight="1" x14ac:dyDescent="0.2">
      <c r="A405" s="28">
        <v>44287</v>
      </c>
      <c r="B405" s="18">
        <v>0</v>
      </c>
      <c r="C405" s="18">
        <v>0</v>
      </c>
      <c r="D405" s="18">
        <v>205543.32699</v>
      </c>
      <c r="E405" s="18">
        <v>267753.33007273165</v>
      </c>
      <c r="F405" s="18">
        <v>891249.01546999998</v>
      </c>
      <c r="G405" s="18">
        <v>948708.018241363</v>
      </c>
      <c r="H405" s="19">
        <v>0.30266126365541535</v>
      </c>
      <c r="I405" s="19">
        <v>6.4470200554512802E-2</v>
      </c>
      <c r="J405" s="19">
        <v>0.10910817045429821</v>
      </c>
    </row>
    <row r="406" spans="1:10" ht="11.25" customHeight="1" x14ac:dyDescent="0.2">
      <c r="A406" s="28">
        <v>44317</v>
      </c>
      <c r="B406" s="18">
        <v>0</v>
      </c>
      <c r="C406" s="18">
        <v>0</v>
      </c>
      <c r="D406" s="18">
        <v>189441.36825</v>
      </c>
      <c r="E406" s="18">
        <v>246777.93215315588</v>
      </c>
      <c r="F406" s="18">
        <v>821429.89224999992</v>
      </c>
      <c r="G406" s="18">
        <v>874387.64214482938</v>
      </c>
      <c r="H406" s="19">
        <v>0.30266126365541535</v>
      </c>
      <c r="I406" s="19">
        <v>6.4470200554513024E-2</v>
      </c>
      <c r="J406" s="19">
        <v>0.10910817045429844</v>
      </c>
    </row>
    <row r="407" spans="1:10" ht="11.25" customHeight="1" x14ac:dyDescent="0.2">
      <c r="A407" s="28">
        <v>44348</v>
      </c>
      <c r="B407" s="18">
        <v>0</v>
      </c>
      <c r="C407" s="18">
        <v>0</v>
      </c>
      <c r="D407" s="18">
        <v>170234.85720000003</v>
      </c>
      <c r="E407" s="18">
        <v>221758.35419835118</v>
      </c>
      <c r="F407" s="18">
        <v>738149.23160000006</v>
      </c>
      <c r="G407" s="18">
        <v>785737.86060041166</v>
      </c>
      <c r="H407" s="19">
        <v>0.30266126365541512</v>
      </c>
      <c r="I407" s="19">
        <v>6.4470200554512802E-2</v>
      </c>
      <c r="J407" s="19">
        <v>0.10910817045429821</v>
      </c>
    </row>
    <row r="408" spans="1:10" ht="11.25" customHeight="1" x14ac:dyDescent="0.2">
      <c r="A408" s="28">
        <v>44378</v>
      </c>
      <c r="B408" s="18">
        <v>0</v>
      </c>
      <c r="C408" s="18">
        <v>0</v>
      </c>
      <c r="D408" s="18">
        <v>166657.54422000001</v>
      </c>
      <c r="E408" s="18">
        <v>217098.32715133348</v>
      </c>
      <c r="F408" s="18">
        <v>722637.77365999995</v>
      </c>
      <c r="G408" s="18">
        <v>769226.37585612689</v>
      </c>
      <c r="H408" s="19">
        <v>0.30266126365541535</v>
      </c>
      <c r="I408" s="19">
        <v>6.4470200554513024E-2</v>
      </c>
      <c r="J408" s="19">
        <v>0.10910817045429821</v>
      </c>
    </row>
    <row r="409" spans="1:10" ht="11.25" customHeight="1" x14ac:dyDescent="0.2">
      <c r="A409" s="28">
        <v>44409</v>
      </c>
      <c r="B409" s="18">
        <v>0</v>
      </c>
      <c r="C409" s="18">
        <v>0</v>
      </c>
      <c r="D409" s="18">
        <v>177521.24705999999</v>
      </c>
      <c r="E409" s="18">
        <v>231250.05202086479</v>
      </c>
      <c r="F409" s="18">
        <v>769743.48418000014</v>
      </c>
      <c r="G409" s="18">
        <v>819369.0009806141</v>
      </c>
      <c r="H409" s="19">
        <v>0.30266126365541535</v>
      </c>
      <c r="I409" s="19">
        <v>6.447020055451258E-2</v>
      </c>
      <c r="J409" s="19">
        <v>0.10910817045429799</v>
      </c>
    </row>
    <row r="410" spans="1:10" ht="11.25" customHeight="1" x14ac:dyDescent="0.2">
      <c r="A410" s="28">
        <v>44440</v>
      </c>
      <c r="B410" s="18">
        <v>0</v>
      </c>
      <c r="C410" s="18">
        <v>0</v>
      </c>
      <c r="D410" s="18">
        <v>193015.91265000001</v>
      </c>
      <c r="E410" s="18">
        <v>251434.35267825227</v>
      </c>
      <c r="F410" s="18">
        <v>836929.34545000002</v>
      </c>
      <c r="G410" s="18">
        <v>890886.34820111864</v>
      </c>
      <c r="H410" s="19">
        <v>0.30266126365541535</v>
      </c>
      <c r="I410" s="19">
        <v>6.4470200554512802E-2</v>
      </c>
      <c r="J410" s="19">
        <v>0.10910817045429799</v>
      </c>
    </row>
    <row r="411" spans="1:10" ht="11.25" customHeight="1" x14ac:dyDescent="0.2">
      <c r="A411" s="28">
        <v>44470</v>
      </c>
      <c r="B411" s="18">
        <v>0</v>
      </c>
      <c r="C411" s="18">
        <v>0</v>
      </c>
      <c r="D411" s="18">
        <v>222683.29815000002</v>
      </c>
      <c r="E411" s="18">
        <v>290080.90656303463</v>
      </c>
      <c r="F411" s="18">
        <v>965569.02694999997</v>
      </c>
      <c r="G411" s="18">
        <v>1027819.4557666923</v>
      </c>
      <c r="H411" s="19">
        <v>0.30266126365541535</v>
      </c>
      <c r="I411" s="19">
        <v>6.4470200554512802E-2</v>
      </c>
      <c r="J411" s="19">
        <v>0.10910817045429821</v>
      </c>
    </row>
    <row r="412" spans="1:10" ht="11.25" customHeight="1" x14ac:dyDescent="0.2">
      <c r="A412" s="28">
        <v>44501</v>
      </c>
      <c r="B412" s="18">
        <v>0</v>
      </c>
      <c r="C412" s="18">
        <v>0</v>
      </c>
      <c r="D412" s="18">
        <v>241524.45918000003</v>
      </c>
      <c r="E412" s="18">
        <v>314624.55719910964</v>
      </c>
      <c r="F412" s="18">
        <v>1047265.5065400001</v>
      </c>
      <c r="G412" s="18">
        <v>1114782.9237804573</v>
      </c>
      <c r="H412" s="19">
        <v>0.30266126365541535</v>
      </c>
      <c r="I412" s="19">
        <v>6.4470200554512802E-2</v>
      </c>
      <c r="J412" s="19">
        <v>0.10910817045429799</v>
      </c>
    </row>
    <row r="413" spans="1:10" ht="11.25" customHeight="1" x14ac:dyDescent="0.2">
      <c r="A413" s="28">
        <v>44531</v>
      </c>
      <c r="B413" s="18">
        <v>0</v>
      </c>
      <c r="C413" s="18">
        <v>0</v>
      </c>
      <c r="D413" s="18">
        <v>242411.27636999998</v>
      </c>
      <c r="E413" s="18">
        <v>315779.77960046637</v>
      </c>
      <c r="F413" s="18">
        <v>1051110.8026100001</v>
      </c>
      <c r="G413" s="18">
        <v>1118876.1268592817</v>
      </c>
      <c r="H413" s="19">
        <v>0.30266126365541557</v>
      </c>
      <c r="I413" s="19">
        <v>6.4470200554512802E-2</v>
      </c>
      <c r="J413" s="19">
        <v>0.10910817045429799</v>
      </c>
    </row>
    <row r="414" spans="1:10" ht="11.25" customHeight="1" x14ac:dyDescent="0.2">
      <c r="A414" s="28">
        <v>44562</v>
      </c>
      <c r="B414" s="18">
        <v>0</v>
      </c>
      <c r="C414" s="18">
        <v>0</v>
      </c>
      <c r="D414" s="18">
        <v>257136.73815000005</v>
      </c>
      <c r="E414" s="18">
        <v>334962.06825071067</v>
      </c>
      <c r="F414" s="18">
        <v>1114961.3469500002</v>
      </c>
      <c r="G414" s="18">
        <v>1186843.1285983964</v>
      </c>
      <c r="H414" s="19">
        <v>0.30266126365541512</v>
      </c>
      <c r="I414" s="19">
        <v>6.4470200554512802E-2</v>
      </c>
      <c r="J414" s="19">
        <v>0.10910817045429799</v>
      </c>
    </row>
    <row r="415" spans="1:10" ht="11.25" customHeight="1" x14ac:dyDescent="0.2">
      <c r="A415" s="28">
        <v>44593</v>
      </c>
      <c r="B415" s="18">
        <v>0</v>
      </c>
      <c r="C415" s="18">
        <v>0</v>
      </c>
      <c r="D415" s="18">
        <v>221697.37605000005</v>
      </c>
      <c r="E415" s="18">
        <v>288796.58403438283</v>
      </c>
      <c r="F415" s="18">
        <v>961294.00565000006</v>
      </c>
      <c r="G415" s="18">
        <v>1023268.8229861066</v>
      </c>
      <c r="H415" s="19">
        <v>0.30266126365541512</v>
      </c>
      <c r="I415" s="19">
        <v>6.4470200554512802E-2</v>
      </c>
      <c r="J415" s="19">
        <v>0.10910817045429821</v>
      </c>
    </row>
    <row r="416" spans="1:10" ht="11.25" customHeight="1" x14ac:dyDescent="0.2">
      <c r="A416" s="28">
        <v>44621</v>
      </c>
      <c r="B416" s="18">
        <v>0</v>
      </c>
      <c r="C416" s="18">
        <v>0</v>
      </c>
      <c r="D416" s="18">
        <v>221697.37605000005</v>
      </c>
      <c r="E416" s="18">
        <v>288796.58403438283</v>
      </c>
      <c r="F416" s="18">
        <v>961294.00565000006</v>
      </c>
      <c r="G416" s="18">
        <v>1023268.8229861066</v>
      </c>
      <c r="H416" s="19">
        <v>0.30266126365541512</v>
      </c>
      <c r="I416" s="19">
        <v>6.4470200554512802E-2</v>
      </c>
      <c r="J416" s="19">
        <v>0.10910817045429821</v>
      </c>
    </row>
    <row r="417" spans="1:10" ht="11.25" customHeight="1" x14ac:dyDescent="0.2">
      <c r="A417" s="27" t="s">
        <v>25</v>
      </c>
      <c r="B417" s="18">
        <v>9379989.1899999995</v>
      </c>
      <c r="C417" s="18">
        <v>10720709.050038958</v>
      </c>
      <c r="D417" s="18">
        <v>0</v>
      </c>
      <c r="E417" s="18">
        <v>0</v>
      </c>
      <c r="F417" s="18">
        <v>0</v>
      </c>
      <c r="G417" s="18">
        <v>0</v>
      </c>
      <c r="H417" s="19">
        <v>0.14293405172239493</v>
      </c>
      <c r="I417" s="19">
        <v>0</v>
      </c>
      <c r="J417" s="19">
        <v>0.14293405172239493</v>
      </c>
    </row>
    <row r="418" spans="1:10" ht="11.25" customHeight="1" x14ac:dyDescent="0.2">
      <c r="A418" s="28">
        <v>44287</v>
      </c>
      <c r="B418" s="18">
        <v>783122.34</v>
      </c>
      <c r="C418" s="18">
        <v>895057.1890505224</v>
      </c>
      <c r="D418" s="18">
        <v>0</v>
      </c>
      <c r="E418" s="18">
        <v>0</v>
      </c>
      <c r="F418" s="18">
        <v>0</v>
      </c>
      <c r="G418" s="18">
        <v>0</v>
      </c>
      <c r="H418" s="19">
        <v>0.14293405172239426</v>
      </c>
      <c r="I418" s="19">
        <v>0</v>
      </c>
      <c r="J418" s="19">
        <v>0.14293405172239426</v>
      </c>
    </row>
    <row r="419" spans="1:10" ht="11.25" customHeight="1" x14ac:dyDescent="0.2">
      <c r="A419" s="28">
        <v>44317</v>
      </c>
      <c r="B419" s="18">
        <v>779475.84000000008</v>
      </c>
      <c r="C419" s="18">
        <v>890889.48003091675</v>
      </c>
      <c r="D419" s="18">
        <v>0</v>
      </c>
      <c r="E419" s="18">
        <v>0</v>
      </c>
      <c r="F419" s="18">
        <v>0</v>
      </c>
      <c r="G419" s="18">
        <v>0</v>
      </c>
      <c r="H419" s="19">
        <v>0.14293405172239426</v>
      </c>
      <c r="I419" s="19">
        <v>0</v>
      </c>
      <c r="J419" s="19">
        <v>0.14293405172239426</v>
      </c>
    </row>
    <row r="420" spans="1:10" ht="11.25" customHeight="1" x14ac:dyDescent="0.2">
      <c r="A420" s="28">
        <v>44348</v>
      </c>
      <c r="B420" s="18">
        <v>779062.57</v>
      </c>
      <c r="C420" s="18">
        <v>890417.13967536134</v>
      </c>
      <c r="D420" s="18">
        <v>0</v>
      </c>
      <c r="E420" s="18">
        <v>0</v>
      </c>
      <c r="F420" s="18">
        <v>0</v>
      </c>
      <c r="G420" s="18">
        <v>0</v>
      </c>
      <c r="H420" s="19">
        <v>0.14293405172239426</v>
      </c>
      <c r="I420" s="19">
        <v>0</v>
      </c>
      <c r="J420" s="19">
        <v>0.14293405172239426</v>
      </c>
    </row>
    <row r="421" spans="1:10" ht="11.25" customHeight="1" x14ac:dyDescent="0.2">
      <c r="A421" s="28">
        <v>44378</v>
      </c>
      <c r="B421" s="18">
        <v>783730.09</v>
      </c>
      <c r="C421" s="18">
        <v>895751.80722045666</v>
      </c>
      <c r="D421" s="18">
        <v>0</v>
      </c>
      <c r="E421" s="18">
        <v>0</v>
      </c>
      <c r="F421" s="18">
        <v>0</v>
      </c>
      <c r="G421" s="18">
        <v>0</v>
      </c>
      <c r="H421" s="19">
        <v>0.14293405172239426</v>
      </c>
      <c r="I421" s="19">
        <v>0</v>
      </c>
      <c r="J421" s="19">
        <v>0.14293405172239426</v>
      </c>
    </row>
    <row r="422" spans="1:10" ht="11.25" customHeight="1" x14ac:dyDescent="0.2">
      <c r="A422" s="28">
        <v>44409</v>
      </c>
      <c r="B422" s="18">
        <v>773398.34</v>
      </c>
      <c r="C422" s="18">
        <v>883943.29833157384</v>
      </c>
      <c r="D422" s="18">
        <v>0</v>
      </c>
      <c r="E422" s="18">
        <v>0</v>
      </c>
      <c r="F422" s="18">
        <v>0</v>
      </c>
      <c r="G422" s="18">
        <v>0</v>
      </c>
      <c r="H422" s="19">
        <v>0.14293405172239426</v>
      </c>
      <c r="I422" s="19">
        <v>0</v>
      </c>
      <c r="J422" s="19">
        <v>0.14293405172239426</v>
      </c>
    </row>
    <row r="423" spans="1:10" ht="11.25" customHeight="1" x14ac:dyDescent="0.2">
      <c r="A423" s="28">
        <v>44440</v>
      </c>
      <c r="B423" s="18">
        <v>784921.28</v>
      </c>
      <c r="C423" s="18">
        <v>897113.25883352791</v>
      </c>
      <c r="D423" s="18">
        <v>0</v>
      </c>
      <c r="E423" s="18">
        <v>0</v>
      </c>
      <c r="F423" s="18">
        <v>0</v>
      </c>
      <c r="G423" s="18">
        <v>0</v>
      </c>
      <c r="H423" s="19">
        <v>0.14293405172239426</v>
      </c>
      <c r="I423" s="19">
        <v>0</v>
      </c>
      <c r="J423" s="19">
        <v>0.14293405172239426</v>
      </c>
    </row>
    <row r="424" spans="1:10" ht="11.25" customHeight="1" x14ac:dyDescent="0.2">
      <c r="A424" s="28">
        <v>44470</v>
      </c>
      <c r="B424" s="18">
        <v>785990.91999999993</v>
      </c>
      <c r="C424" s="18">
        <v>898335.7868126122</v>
      </c>
      <c r="D424" s="18">
        <v>0</v>
      </c>
      <c r="E424" s="18">
        <v>0</v>
      </c>
      <c r="F424" s="18">
        <v>0</v>
      </c>
      <c r="G424" s="18">
        <v>0</v>
      </c>
      <c r="H424" s="19">
        <v>0.14293405172239426</v>
      </c>
      <c r="I424" s="19">
        <v>0</v>
      </c>
      <c r="J424" s="19">
        <v>0.14293405172239426</v>
      </c>
    </row>
    <row r="425" spans="1:10" ht="11.25" customHeight="1" x14ac:dyDescent="0.2">
      <c r="A425" s="28">
        <v>44501</v>
      </c>
      <c r="B425" s="18">
        <v>790877.23</v>
      </c>
      <c r="C425" s="18">
        <v>903920.51689888386</v>
      </c>
      <c r="D425" s="18">
        <v>0</v>
      </c>
      <c r="E425" s="18">
        <v>0</v>
      </c>
      <c r="F425" s="18">
        <v>0</v>
      </c>
      <c r="G425" s="18">
        <v>0</v>
      </c>
      <c r="H425" s="19">
        <v>0.14293405172239426</v>
      </c>
      <c r="I425" s="19">
        <v>0</v>
      </c>
      <c r="J425" s="19">
        <v>0.14293405172239426</v>
      </c>
    </row>
    <row r="426" spans="1:10" ht="11.25" customHeight="1" x14ac:dyDescent="0.2">
      <c r="A426" s="28">
        <v>44531</v>
      </c>
      <c r="B426" s="18">
        <v>793356.85</v>
      </c>
      <c r="C426" s="18">
        <v>906754.55903221585</v>
      </c>
      <c r="D426" s="18">
        <v>0</v>
      </c>
      <c r="E426" s="18">
        <v>0</v>
      </c>
      <c r="F426" s="18">
        <v>0</v>
      </c>
      <c r="G426" s="18">
        <v>0</v>
      </c>
      <c r="H426" s="19">
        <v>0.14293405172239448</v>
      </c>
      <c r="I426" s="19">
        <v>0</v>
      </c>
      <c r="J426" s="19">
        <v>0.14293405172239448</v>
      </c>
    </row>
    <row r="427" spans="1:10" ht="11.25" customHeight="1" x14ac:dyDescent="0.2">
      <c r="A427" s="28">
        <v>44562</v>
      </c>
      <c r="B427" s="18">
        <v>829919.08999999985</v>
      </c>
      <c r="C427" s="18">
        <v>948542.78813546232</v>
      </c>
      <c r="D427" s="18">
        <v>0</v>
      </c>
      <c r="E427" s="18">
        <v>0</v>
      </c>
      <c r="F427" s="18">
        <v>0</v>
      </c>
      <c r="G427" s="18">
        <v>0</v>
      </c>
      <c r="H427" s="19">
        <v>0.14293405172239448</v>
      </c>
      <c r="I427" s="19">
        <v>0</v>
      </c>
      <c r="J427" s="19">
        <v>0.14293405172239448</v>
      </c>
    </row>
    <row r="428" spans="1:10" ht="11.25" customHeight="1" x14ac:dyDescent="0.2">
      <c r="A428" s="28">
        <v>44593</v>
      </c>
      <c r="B428" s="18">
        <v>748067.32</v>
      </c>
      <c r="C428" s="18">
        <v>854991.61300871288</v>
      </c>
      <c r="D428" s="18">
        <v>0</v>
      </c>
      <c r="E428" s="18">
        <v>0</v>
      </c>
      <c r="F428" s="18">
        <v>0</v>
      </c>
      <c r="G428" s="18">
        <v>0</v>
      </c>
      <c r="H428" s="19">
        <v>0.14293405172239448</v>
      </c>
      <c r="I428" s="19">
        <v>0</v>
      </c>
      <c r="J428" s="19">
        <v>0.14293405172239448</v>
      </c>
    </row>
    <row r="429" spans="1:10" ht="11.25" customHeight="1" x14ac:dyDescent="0.2">
      <c r="A429" s="28">
        <v>44621</v>
      </c>
      <c r="B429" s="18">
        <v>748067.32</v>
      </c>
      <c r="C429" s="18">
        <v>854991.61300871288</v>
      </c>
      <c r="D429" s="18">
        <v>0</v>
      </c>
      <c r="E429" s="18">
        <v>0</v>
      </c>
      <c r="F429" s="18">
        <v>0</v>
      </c>
      <c r="G429" s="18">
        <v>0</v>
      </c>
      <c r="H429" s="19">
        <v>0.14293405172239448</v>
      </c>
      <c r="I429" s="19">
        <v>0</v>
      </c>
      <c r="J429" s="19">
        <v>0.14293405172239448</v>
      </c>
    </row>
    <row r="430" spans="1:10" ht="11.25" customHeight="1" x14ac:dyDescent="0.2">
      <c r="A430" s="27" t="s">
        <v>34</v>
      </c>
      <c r="B430" s="18">
        <v>0</v>
      </c>
      <c r="C430" s="18">
        <v>0</v>
      </c>
      <c r="D430" s="18">
        <v>6096448.4038500004</v>
      </c>
      <c r="E430" s="18">
        <v>7490361.5476747621</v>
      </c>
      <c r="F430" s="18">
        <v>1424176.2324999997</v>
      </c>
      <c r="G430" s="18">
        <v>1491407.6945832989</v>
      </c>
      <c r="H430" s="19">
        <v>0.22864347427995702</v>
      </c>
      <c r="I430" s="19">
        <v>4.7207263082379436E-2</v>
      </c>
      <c r="J430" s="19">
        <v>0.19428500644026303</v>
      </c>
    </row>
    <row r="431" spans="1:10" ht="11.25" customHeight="1" x14ac:dyDescent="0.2">
      <c r="A431" s="28">
        <v>44287</v>
      </c>
      <c r="B431" s="18">
        <v>0</v>
      </c>
      <c r="C431" s="18">
        <v>0</v>
      </c>
      <c r="D431" s="18">
        <v>493682.90565000003</v>
      </c>
      <c r="E431" s="18">
        <v>606560.28039044025</v>
      </c>
      <c r="F431" s="18">
        <v>115328.04250000001</v>
      </c>
      <c r="G431" s="18">
        <v>120772.36374307331</v>
      </c>
      <c r="H431" s="19">
        <v>0.22864347427995702</v>
      </c>
      <c r="I431" s="19">
        <v>4.7207263082378992E-2</v>
      </c>
      <c r="J431" s="19">
        <v>0.19428500644026303</v>
      </c>
    </row>
    <row r="432" spans="1:10" ht="11.25" customHeight="1" x14ac:dyDescent="0.2">
      <c r="A432" s="28">
        <v>44317</v>
      </c>
      <c r="B432" s="18">
        <v>0</v>
      </c>
      <c r="C432" s="18">
        <v>0</v>
      </c>
      <c r="D432" s="18">
        <v>462386.41188000003</v>
      </c>
      <c r="E432" s="18">
        <v>568108.04755208641</v>
      </c>
      <c r="F432" s="18">
        <v>108016.94600000001</v>
      </c>
      <c r="G432" s="18">
        <v>113116.13038717715</v>
      </c>
      <c r="H432" s="19">
        <v>0.22864347427995702</v>
      </c>
      <c r="I432" s="19">
        <v>4.7207263082379214E-2</v>
      </c>
      <c r="J432" s="19">
        <v>0.19428500644026303</v>
      </c>
    </row>
    <row r="433" spans="1:10" ht="11.25" customHeight="1" x14ac:dyDescent="0.2">
      <c r="A433" s="28">
        <v>44348</v>
      </c>
      <c r="B433" s="18">
        <v>0</v>
      </c>
      <c r="C433" s="18">
        <v>0</v>
      </c>
      <c r="D433" s="18">
        <v>441242.54262000002</v>
      </c>
      <c r="E433" s="18">
        <v>542129.7705647588</v>
      </c>
      <c r="F433" s="18">
        <v>103077.579</v>
      </c>
      <c r="G433" s="18">
        <v>107943.58938974772</v>
      </c>
      <c r="H433" s="19">
        <v>0.22864347427995702</v>
      </c>
      <c r="I433" s="19">
        <v>4.7207263082379214E-2</v>
      </c>
      <c r="J433" s="19">
        <v>0.19428500644026325</v>
      </c>
    </row>
    <row r="434" spans="1:10" ht="11.25" customHeight="1" x14ac:dyDescent="0.2">
      <c r="A434" s="28">
        <v>44378</v>
      </c>
      <c r="B434" s="18">
        <v>0</v>
      </c>
      <c r="C434" s="18">
        <v>0</v>
      </c>
      <c r="D434" s="18">
        <v>433669.92701999994</v>
      </c>
      <c r="E434" s="18">
        <v>532825.72582458821</v>
      </c>
      <c r="F434" s="18">
        <v>101308.55900000001</v>
      </c>
      <c r="G434" s="18">
        <v>106091.05879720973</v>
      </c>
      <c r="H434" s="19">
        <v>0.22864347427995724</v>
      </c>
      <c r="I434" s="19">
        <v>4.7207263082378992E-2</v>
      </c>
      <c r="J434" s="19">
        <v>0.19428500644026325</v>
      </c>
    </row>
    <row r="435" spans="1:10" ht="11.25" customHeight="1" x14ac:dyDescent="0.2">
      <c r="A435" s="28">
        <v>44409</v>
      </c>
      <c r="B435" s="18">
        <v>0</v>
      </c>
      <c r="C435" s="18">
        <v>0</v>
      </c>
      <c r="D435" s="18">
        <v>452606.15978999995</v>
      </c>
      <c r="E435" s="18">
        <v>556091.60464489495</v>
      </c>
      <c r="F435" s="18">
        <v>105732.20550000001</v>
      </c>
      <c r="G435" s="18">
        <v>110723.53354131867</v>
      </c>
      <c r="H435" s="19">
        <v>0.22864347427995702</v>
      </c>
      <c r="I435" s="19">
        <v>4.7207263082378992E-2</v>
      </c>
      <c r="J435" s="19">
        <v>0.19428500644026303</v>
      </c>
    </row>
    <row r="436" spans="1:10" ht="11.25" customHeight="1" x14ac:dyDescent="0.2">
      <c r="A436" s="28">
        <v>44440</v>
      </c>
      <c r="B436" s="18">
        <v>0</v>
      </c>
      <c r="C436" s="18">
        <v>0</v>
      </c>
      <c r="D436" s="18">
        <v>469337.88524999993</v>
      </c>
      <c r="E436" s="18">
        <v>576648.92994476773</v>
      </c>
      <c r="F436" s="18">
        <v>109640.86249999999</v>
      </c>
      <c r="G436" s="18">
        <v>114816.70754061645</v>
      </c>
      <c r="H436" s="19">
        <v>0.22864347427995702</v>
      </c>
      <c r="I436" s="19">
        <v>4.7207263082379214E-2</v>
      </c>
      <c r="J436" s="19">
        <v>0.19428500644026347</v>
      </c>
    </row>
    <row r="437" spans="1:10" ht="11.25" customHeight="1" x14ac:dyDescent="0.2">
      <c r="A437" s="28">
        <v>44470</v>
      </c>
      <c r="B437" s="18">
        <v>0</v>
      </c>
      <c r="C437" s="18">
        <v>0</v>
      </c>
      <c r="D437" s="18">
        <v>497854.10258999997</v>
      </c>
      <c r="E437" s="18">
        <v>611685.19429070782</v>
      </c>
      <c r="F437" s="18">
        <v>116302.46549999999</v>
      </c>
      <c r="G437" s="18">
        <v>121792.78658598784</v>
      </c>
      <c r="H437" s="19">
        <v>0.22864347427995724</v>
      </c>
      <c r="I437" s="19">
        <v>4.7207263082379436E-2</v>
      </c>
      <c r="J437" s="19">
        <v>0.19428500644026325</v>
      </c>
    </row>
    <row r="438" spans="1:10" ht="11.25" customHeight="1" x14ac:dyDescent="0.2">
      <c r="A438" s="28">
        <v>44501</v>
      </c>
      <c r="B438" s="18">
        <v>0</v>
      </c>
      <c r="C438" s="18">
        <v>0</v>
      </c>
      <c r="D438" s="18">
        <v>553639.55903999996</v>
      </c>
      <c r="E438" s="18">
        <v>680225.63131772913</v>
      </c>
      <c r="F438" s="18">
        <v>129334.368</v>
      </c>
      <c r="G438" s="18">
        <v>135439.88953576924</v>
      </c>
      <c r="H438" s="19">
        <v>0.22864347427995746</v>
      </c>
      <c r="I438" s="19">
        <v>4.7207263082379214E-2</v>
      </c>
      <c r="J438" s="19">
        <v>0.19428500644026347</v>
      </c>
    </row>
    <row r="439" spans="1:10" ht="11.25" customHeight="1" x14ac:dyDescent="0.2">
      <c r="A439" s="28">
        <v>44531</v>
      </c>
      <c r="B439" s="18">
        <v>0</v>
      </c>
      <c r="C439" s="18">
        <v>0</v>
      </c>
      <c r="D439" s="18">
        <v>605288.23953000002</v>
      </c>
      <c r="E439" s="18">
        <v>743683.44555693807</v>
      </c>
      <c r="F439" s="18">
        <v>141399.8885</v>
      </c>
      <c r="G439" s="18">
        <v>148074.99023623858</v>
      </c>
      <c r="H439" s="19">
        <v>0.22864347427995702</v>
      </c>
      <c r="I439" s="19">
        <v>4.7207263082379214E-2</v>
      </c>
      <c r="J439" s="19">
        <v>0.19428500644026325</v>
      </c>
    </row>
    <row r="440" spans="1:10" ht="11.25" customHeight="1" x14ac:dyDescent="0.2">
      <c r="A440" s="28">
        <v>44562</v>
      </c>
      <c r="B440" s="18">
        <v>0</v>
      </c>
      <c r="C440" s="18">
        <v>0</v>
      </c>
      <c r="D440" s="18">
        <v>546289.11522000004</v>
      </c>
      <c r="E440" s="18">
        <v>671194.55648522452</v>
      </c>
      <c r="F440" s="18">
        <v>127617.249</v>
      </c>
      <c r="G440" s="18">
        <v>133641.71004739249</v>
      </c>
      <c r="H440" s="19">
        <v>0.22864347427995679</v>
      </c>
      <c r="I440" s="19">
        <v>4.7207263082379214E-2</v>
      </c>
      <c r="J440" s="19">
        <v>0.19428500644026325</v>
      </c>
    </row>
    <row r="441" spans="1:10" ht="11.25" customHeight="1" x14ac:dyDescent="0.2">
      <c r="A441" s="28">
        <v>44593</v>
      </c>
      <c r="B441" s="18">
        <v>0</v>
      </c>
      <c r="C441" s="18">
        <v>0</v>
      </c>
      <c r="D441" s="18">
        <v>570225.77763000003</v>
      </c>
      <c r="E441" s="18">
        <v>700604.18055131333</v>
      </c>
      <c r="F441" s="18">
        <v>133209.03349999999</v>
      </c>
      <c r="G441" s="18">
        <v>139497.46738938396</v>
      </c>
      <c r="H441" s="19">
        <v>0.22864347427995679</v>
      </c>
      <c r="I441" s="19">
        <v>4.7207263082379214E-2</v>
      </c>
      <c r="J441" s="19">
        <v>0.19428500644026303</v>
      </c>
    </row>
    <row r="442" spans="1:10" ht="11.25" customHeight="1" x14ac:dyDescent="0.2">
      <c r="A442" s="28">
        <v>44621</v>
      </c>
      <c r="B442" s="18">
        <v>0</v>
      </c>
      <c r="C442" s="18">
        <v>0</v>
      </c>
      <c r="D442" s="18">
        <v>570225.77763000003</v>
      </c>
      <c r="E442" s="18">
        <v>700604.18055131333</v>
      </c>
      <c r="F442" s="18">
        <v>133209.03349999999</v>
      </c>
      <c r="G442" s="18">
        <v>139497.46738938396</v>
      </c>
      <c r="H442" s="19">
        <v>0.22864347427995679</v>
      </c>
      <c r="I442" s="19">
        <v>4.7207263082379214E-2</v>
      </c>
      <c r="J442" s="19">
        <v>0.19428500644026303</v>
      </c>
    </row>
    <row r="443" spans="1:10" ht="11.25" customHeight="1" x14ac:dyDescent="0.2">
      <c r="A443" s="23" t="s">
        <v>45</v>
      </c>
      <c r="B443" s="18">
        <v>4354119.3695999999</v>
      </c>
      <c r="C443" s="18">
        <v>4976471.2927798843</v>
      </c>
      <c r="D443" s="18">
        <v>2497551.3647789997</v>
      </c>
      <c r="E443" s="18">
        <v>3193797.5805915534</v>
      </c>
      <c r="F443" s="18">
        <v>7522547.0191534022</v>
      </c>
      <c r="G443" s="18">
        <v>8004276.3274259353</v>
      </c>
      <c r="H443" s="19">
        <v>0.19244913979538314</v>
      </c>
      <c r="I443" s="19">
        <v>6.4038058791255681E-2</v>
      </c>
      <c r="J443" s="19">
        <v>0.12524698582797988</v>
      </c>
    </row>
    <row r="444" spans="1:10" ht="11.25" customHeight="1" x14ac:dyDescent="0.2">
      <c r="A444" s="24" t="s">
        <v>53</v>
      </c>
      <c r="B444" s="18">
        <v>2073872.4863999996</v>
      </c>
      <c r="C444" s="18">
        <v>2370299.483636748</v>
      </c>
      <c r="D444" s="18">
        <v>947406.94367820024</v>
      </c>
      <c r="E444" s="18">
        <v>1216022.877645517</v>
      </c>
      <c r="F444" s="18">
        <v>3103298.2545070006</v>
      </c>
      <c r="G444" s="18">
        <v>3302380.8675443665</v>
      </c>
      <c r="H444" s="19">
        <v>0.18702107642835286</v>
      </c>
      <c r="I444" s="19">
        <v>6.415194309739114E-2</v>
      </c>
      <c r="J444" s="19">
        <v>0.12476379329217124</v>
      </c>
    </row>
    <row r="445" spans="1:10" ht="11.25" customHeight="1" x14ac:dyDescent="0.2">
      <c r="A445" s="25" t="s">
        <v>55</v>
      </c>
      <c r="B445" s="18">
        <v>0</v>
      </c>
      <c r="C445" s="18">
        <v>0</v>
      </c>
      <c r="D445" s="18">
        <v>59594.427915000007</v>
      </c>
      <c r="E445" s="18">
        <v>77631.352774575469</v>
      </c>
      <c r="F445" s="18">
        <v>258405.25199499997</v>
      </c>
      <c r="G445" s="18">
        <v>275064.69041545707</v>
      </c>
      <c r="H445" s="19">
        <v>0.3026612636554149</v>
      </c>
      <c r="I445" s="19">
        <v>6.4470200554512802E-2</v>
      </c>
      <c r="J445" s="19">
        <v>0.10910817045429821</v>
      </c>
    </row>
    <row r="446" spans="1:10" ht="11.25" customHeight="1" x14ac:dyDescent="0.2">
      <c r="A446" s="26" t="s">
        <v>25</v>
      </c>
      <c r="B446" s="18">
        <v>0</v>
      </c>
      <c r="C446" s="18">
        <v>0</v>
      </c>
      <c r="D446" s="18">
        <v>59594.427915000007</v>
      </c>
      <c r="E446" s="18">
        <v>77631.352774575469</v>
      </c>
      <c r="F446" s="18">
        <v>258405.25199499997</v>
      </c>
      <c r="G446" s="18">
        <v>275064.69041545707</v>
      </c>
      <c r="H446" s="19">
        <v>0.3026612636554149</v>
      </c>
      <c r="I446" s="19">
        <v>6.4470200554512802E-2</v>
      </c>
      <c r="J446" s="19">
        <v>0.10910817045429821</v>
      </c>
    </row>
    <row r="447" spans="1:10" ht="11.25" customHeight="1" x14ac:dyDescent="0.2">
      <c r="A447" s="27" t="s">
        <v>35</v>
      </c>
      <c r="B447" s="18">
        <v>0</v>
      </c>
      <c r="C447" s="18">
        <v>0</v>
      </c>
      <c r="D447" s="18">
        <v>59594.427915000007</v>
      </c>
      <c r="E447" s="18">
        <v>77631.352774575469</v>
      </c>
      <c r="F447" s="18">
        <v>258405.25199499997</v>
      </c>
      <c r="G447" s="18">
        <v>275064.69041545707</v>
      </c>
      <c r="H447" s="19">
        <v>0.3026612636554149</v>
      </c>
      <c r="I447" s="19">
        <v>6.4470200554512802E-2</v>
      </c>
      <c r="J447" s="19">
        <v>0.10910817045429821</v>
      </c>
    </row>
    <row r="448" spans="1:10" ht="11.25" customHeight="1" x14ac:dyDescent="0.2">
      <c r="A448" s="28">
        <v>44287</v>
      </c>
      <c r="B448" s="18">
        <v>0</v>
      </c>
      <c r="C448" s="18">
        <v>0</v>
      </c>
      <c r="D448" s="18">
        <v>4936.249965</v>
      </c>
      <c r="E448" s="18">
        <v>6430.2616171258996</v>
      </c>
      <c r="F448" s="18">
        <v>21403.895645000001</v>
      </c>
      <c r="G448" s="18">
        <v>22783.809089881015</v>
      </c>
      <c r="H448" s="19">
        <v>0.30266126365541535</v>
      </c>
      <c r="I448" s="19">
        <v>6.4470200554512802E-2</v>
      </c>
      <c r="J448" s="19">
        <v>0.10910817045429821</v>
      </c>
    </row>
    <row r="449" spans="1:10" ht="11.25" customHeight="1" x14ac:dyDescent="0.2">
      <c r="A449" s="28">
        <v>44317</v>
      </c>
      <c r="B449" s="18">
        <v>0</v>
      </c>
      <c r="C449" s="18">
        <v>0</v>
      </c>
      <c r="D449" s="18">
        <v>1712.6435880000001</v>
      </c>
      <c r="E449" s="18">
        <v>2230.9944605354249</v>
      </c>
      <c r="F449" s="18">
        <v>7426.1321639999996</v>
      </c>
      <c r="G449" s="18">
        <v>7904.8963939573987</v>
      </c>
      <c r="H449" s="19">
        <v>0.30266126365541535</v>
      </c>
      <c r="I449" s="19">
        <v>6.4470200554513024E-2</v>
      </c>
      <c r="J449" s="19">
        <v>0.10910817045429821</v>
      </c>
    </row>
    <row r="450" spans="1:10" ht="11.25" customHeight="1" x14ac:dyDescent="0.2">
      <c r="A450" s="28">
        <v>44348</v>
      </c>
      <c r="B450" s="18">
        <v>0</v>
      </c>
      <c r="C450" s="18">
        <v>0</v>
      </c>
      <c r="D450" s="18">
        <v>1666.1570790000003</v>
      </c>
      <c r="E450" s="18">
        <v>2170.4382859785555</v>
      </c>
      <c r="F450" s="18">
        <v>7224.5636870000008</v>
      </c>
      <c r="G450" s="18">
        <v>7690.332756819741</v>
      </c>
      <c r="H450" s="19">
        <v>0.30266126365541512</v>
      </c>
      <c r="I450" s="19">
        <v>6.4470200554512802E-2</v>
      </c>
      <c r="J450" s="19">
        <v>0.10910817045429821</v>
      </c>
    </row>
    <row r="451" spans="1:10" ht="11.25" customHeight="1" x14ac:dyDescent="0.2">
      <c r="A451" s="28">
        <v>44378</v>
      </c>
      <c r="B451" s="18">
        <v>0</v>
      </c>
      <c r="C451" s="18">
        <v>0</v>
      </c>
      <c r="D451" s="18">
        <v>1817.9008979999999</v>
      </c>
      <c r="E451" s="18">
        <v>2368.1090809889943</v>
      </c>
      <c r="F451" s="18">
        <v>7882.5345939999997</v>
      </c>
      <c r="G451" s="18">
        <v>8390.7231801530652</v>
      </c>
      <c r="H451" s="19">
        <v>0.30266126365541535</v>
      </c>
      <c r="I451" s="19">
        <v>6.4470200554512802E-2</v>
      </c>
      <c r="J451" s="19">
        <v>0.10910817045429799</v>
      </c>
    </row>
    <row r="452" spans="1:10" ht="11.25" customHeight="1" x14ac:dyDescent="0.2">
      <c r="A452" s="28">
        <v>44409</v>
      </c>
      <c r="B452" s="18">
        <v>0</v>
      </c>
      <c r="C452" s="18">
        <v>0</v>
      </c>
      <c r="D452" s="18">
        <v>3072.8059260000005</v>
      </c>
      <c r="E452" s="18">
        <v>4002.8252505310093</v>
      </c>
      <c r="F452" s="18">
        <v>13323.883078000001</v>
      </c>
      <c r="G452" s="18">
        <v>14182.876492203541</v>
      </c>
      <c r="H452" s="19">
        <v>0.30266126365541535</v>
      </c>
      <c r="I452" s="19">
        <v>6.4470200554512802E-2</v>
      </c>
      <c r="J452" s="19">
        <v>0.10910817045429821</v>
      </c>
    </row>
    <row r="453" spans="1:10" ht="11.25" customHeight="1" x14ac:dyDescent="0.2">
      <c r="A453" s="28">
        <v>44440</v>
      </c>
      <c r="B453" s="18">
        <v>0</v>
      </c>
      <c r="C453" s="18">
        <v>0</v>
      </c>
      <c r="D453" s="18">
        <v>4582.5331079999996</v>
      </c>
      <c r="E453" s="18">
        <v>5969.4883692100575</v>
      </c>
      <c r="F453" s="18">
        <v>19870.156724</v>
      </c>
      <c r="G453" s="18">
        <v>21151.189713045878</v>
      </c>
      <c r="H453" s="19">
        <v>0.30266126365541535</v>
      </c>
      <c r="I453" s="19">
        <v>6.447020055451258E-2</v>
      </c>
      <c r="J453" s="19">
        <v>0.10910817045429799</v>
      </c>
    </row>
    <row r="454" spans="1:10" ht="11.25" customHeight="1" x14ac:dyDescent="0.2">
      <c r="A454" s="28">
        <v>44470</v>
      </c>
      <c r="B454" s="18">
        <v>0</v>
      </c>
      <c r="C454" s="18">
        <v>0</v>
      </c>
      <c r="D454" s="18">
        <v>6976.780584000001</v>
      </c>
      <c r="E454" s="18">
        <v>9088.381811800009</v>
      </c>
      <c r="F454" s="18">
        <v>30251.766952000005</v>
      </c>
      <c r="G454" s="18">
        <v>32202.104434523826</v>
      </c>
      <c r="H454" s="19">
        <v>0.30266126365541557</v>
      </c>
      <c r="I454" s="19">
        <v>6.4470200554512802E-2</v>
      </c>
      <c r="J454" s="19">
        <v>0.10910817045429821</v>
      </c>
    </row>
    <row r="455" spans="1:10" ht="11.25" customHeight="1" x14ac:dyDescent="0.2">
      <c r="A455" s="28">
        <v>44501</v>
      </c>
      <c r="B455" s="18">
        <v>0</v>
      </c>
      <c r="C455" s="18">
        <v>0</v>
      </c>
      <c r="D455" s="18">
        <v>6663.1312320000006</v>
      </c>
      <c r="E455" s="18">
        <v>8679.8029505789837</v>
      </c>
      <c r="F455" s="18">
        <v>28891.763295999997</v>
      </c>
      <c r="G455" s="18">
        <v>30754.42107006663</v>
      </c>
      <c r="H455" s="19">
        <v>0.30266126365541512</v>
      </c>
      <c r="I455" s="19">
        <v>6.4470200554512802E-2</v>
      </c>
      <c r="J455" s="19">
        <v>0.10910817045429821</v>
      </c>
    </row>
    <row r="456" spans="1:10" ht="11.25" customHeight="1" x14ac:dyDescent="0.2">
      <c r="A456" s="28">
        <v>44531</v>
      </c>
      <c r="B456" s="18">
        <v>0</v>
      </c>
      <c r="C456" s="18">
        <v>0</v>
      </c>
      <c r="D456" s="18">
        <v>4768.4893980000006</v>
      </c>
      <c r="E456" s="18">
        <v>6211.7264249261316</v>
      </c>
      <c r="F456" s="18">
        <v>20676.475094000001</v>
      </c>
      <c r="G456" s="18">
        <v>22009.491590070571</v>
      </c>
      <c r="H456" s="19">
        <v>0.30266126365541535</v>
      </c>
      <c r="I456" s="19">
        <v>6.4470200554512802E-2</v>
      </c>
      <c r="J456" s="19">
        <v>0.10910817045429821</v>
      </c>
    </row>
    <row r="457" spans="1:10" ht="11.25" customHeight="1" x14ac:dyDescent="0.2">
      <c r="A457" s="28">
        <v>44562</v>
      </c>
      <c r="B457" s="18">
        <v>0</v>
      </c>
      <c r="C457" s="18">
        <v>0</v>
      </c>
      <c r="D457" s="18">
        <v>4887.8715930000008</v>
      </c>
      <c r="E457" s="18">
        <v>6367.2409859227892</v>
      </c>
      <c r="F457" s="18">
        <v>21194.123929000001</v>
      </c>
      <c r="G457" s="18">
        <v>22560.51334927983</v>
      </c>
      <c r="H457" s="19">
        <v>0.30266126365541535</v>
      </c>
      <c r="I457" s="19">
        <v>6.4470200554512802E-2</v>
      </c>
      <c r="J457" s="19">
        <v>0.10910817045429821</v>
      </c>
    </row>
    <row r="458" spans="1:10" ht="11.25" customHeight="1" x14ac:dyDescent="0.2">
      <c r="A458" s="28">
        <v>44593</v>
      </c>
      <c r="B458" s="18">
        <v>0</v>
      </c>
      <c r="C458" s="18">
        <v>0</v>
      </c>
      <c r="D458" s="18">
        <v>9254.9322720000018</v>
      </c>
      <c r="E458" s="18">
        <v>12056.041768488805</v>
      </c>
      <c r="F458" s="18">
        <v>40129.978415999998</v>
      </c>
      <c r="G458" s="18">
        <v>42717.16617272779</v>
      </c>
      <c r="H458" s="19">
        <v>0.30266126365541512</v>
      </c>
      <c r="I458" s="19">
        <v>6.4470200554512802E-2</v>
      </c>
      <c r="J458" s="19">
        <v>0.10910817045429799</v>
      </c>
    </row>
    <row r="459" spans="1:10" ht="11.25" customHeight="1" x14ac:dyDescent="0.2">
      <c r="A459" s="28">
        <v>44621</v>
      </c>
      <c r="B459" s="18">
        <v>0</v>
      </c>
      <c r="C459" s="18">
        <v>0</v>
      </c>
      <c r="D459" s="18">
        <v>9254.9322720000018</v>
      </c>
      <c r="E459" s="18">
        <v>12056.041768488805</v>
      </c>
      <c r="F459" s="18">
        <v>40129.978415999998</v>
      </c>
      <c r="G459" s="18">
        <v>42717.16617272779</v>
      </c>
      <c r="H459" s="19">
        <v>0.30266126365541512</v>
      </c>
      <c r="I459" s="19">
        <v>6.4470200554512802E-2</v>
      </c>
      <c r="J459" s="19">
        <v>0.10910817045429799</v>
      </c>
    </row>
    <row r="460" spans="1:10" ht="11.25" customHeight="1" x14ac:dyDescent="0.2">
      <c r="A460" s="25" t="s">
        <v>25</v>
      </c>
      <c r="B460" s="18">
        <v>2073872.4863999996</v>
      </c>
      <c r="C460" s="18">
        <v>2370299.483636748</v>
      </c>
      <c r="D460" s="18">
        <v>887812.51576320035</v>
      </c>
      <c r="E460" s="18">
        <v>1138391.5248709416</v>
      </c>
      <c r="F460" s="18">
        <v>2844893.0025120005</v>
      </c>
      <c r="G460" s="18">
        <v>3027316.1771289096</v>
      </c>
      <c r="H460" s="19">
        <v>0.18469418791835035</v>
      </c>
      <c r="I460" s="19">
        <v>6.4123035367527725E-2</v>
      </c>
      <c r="J460" s="19">
        <v>0.12562118004340861</v>
      </c>
    </row>
    <row r="461" spans="1:10" ht="11.25" customHeight="1" x14ac:dyDescent="0.2">
      <c r="A461" s="26" t="s">
        <v>25</v>
      </c>
      <c r="B461" s="18">
        <v>2073872.4863999996</v>
      </c>
      <c r="C461" s="18">
        <v>2370299.483636748</v>
      </c>
      <c r="D461" s="18">
        <v>887812.51576320035</v>
      </c>
      <c r="E461" s="18">
        <v>1138391.5248709416</v>
      </c>
      <c r="F461" s="18">
        <v>2844893.0025120005</v>
      </c>
      <c r="G461" s="18">
        <v>3027316.1771289096</v>
      </c>
      <c r="H461" s="19">
        <v>0.18469418791835035</v>
      </c>
      <c r="I461" s="19">
        <v>6.4123035367527725E-2</v>
      </c>
      <c r="J461" s="19">
        <v>0.12562118004340861</v>
      </c>
    </row>
    <row r="462" spans="1:10" ht="11.25" customHeight="1" x14ac:dyDescent="0.2">
      <c r="A462" s="27" t="s">
        <v>35</v>
      </c>
      <c r="B462" s="18">
        <v>0</v>
      </c>
      <c r="C462" s="18">
        <v>0</v>
      </c>
      <c r="D462" s="18">
        <v>642905.86622400023</v>
      </c>
      <c r="E462" s="18">
        <v>837488.56810683524</v>
      </c>
      <c r="F462" s="18">
        <v>2787680.965872</v>
      </c>
      <c r="G462" s="18">
        <v>2967403.3168237661</v>
      </c>
      <c r="H462" s="19">
        <v>0.30266126365541468</v>
      </c>
      <c r="I462" s="19">
        <v>6.4470200554512802E-2</v>
      </c>
      <c r="J462" s="19">
        <v>0.10910817045429799</v>
      </c>
    </row>
    <row r="463" spans="1:10" ht="11.25" customHeight="1" x14ac:dyDescent="0.2">
      <c r="A463" s="28">
        <v>44287</v>
      </c>
      <c r="B463" s="18">
        <v>0</v>
      </c>
      <c r="C463" s="18">
        <v>0</v>
      </c>
      <c r="D463" s="18">
        <v>53945.965872000008</v>
      </c>
      <c r="E463" s="18">
        <v>70273.320071931434</v>
      </c>
      <c r="F463" s="18">
        <v>233913.15921600003</v>
      </c>
      <c r="G463" s="18">
        <v>248993.58750299524</v>
      </c>
      <c r="H463" s="19">
        <v>0.30266126365541512</v>
      </c>
      <c r="I463" s="19">
        <v>6.4470200554512802E-2</v>
      </c>
      <c r="J463" s="19">
        <v>0.10910817045429821</v>
      </c>
    </row>
    <row r="464" spans="1:10" ht="11.25" customHeight="1" x14ac:dyDescent="0.2">
      <c r="A464" s="28">
        <v>44317</v>
      </c>
      <c r="B464" s="18">
        <v>0</v>
      </c>
      <c r="C464" s="18">
        <v>0</v>
      </c>
      <c r="D464" s="18">
        <v>21021.028128000002</v>
      </c>
      <c r="E464" s="18">
        <v>27383.279064556511</v>
      </c>
      <c r="F464" s="18">
        <v>91148.522784000001</v>
      </c>
      <c r="G464" s="18">
        <v>97024.886328132066</v>
      </c>
      <c r="H464" s="19">
        <v>0.30266126365541535</v>
      </c>
      <c r="I464" s="19">
        <v>6.4470200554512802E-2</v>
      </c>
      <c r="J464" s="19">
        <v>0.10910817045429821</v>
      </c>
    </row>
    <row r="465" spans="1:10" ht="11.25" customHeight="1" x14ac:dyDescent="0.2">
      <c r="A465" s="28">
        <v>44348</v>
      </c>
      <c r="B465" s="18">
        <v>0</v>
      </c>
      <c r="C465" s="18">
        <v>0</v>
      </c>
      <c r="D465" s="18">
        <v>22156.810387199999</v>
      </c>
      <c r="E465" s="18">
        <v>28862.818617563385</v>
      </c>
      <c r="F465" s="18">
        <v>96073.347321599998</v>
      </c>
      <c r="G465" s="18">
        <v>102267.21529136693</v>
      </c>
      <c r="H465" s="19">
        <v>0.30266126365541535</v>
      </c>
      <c r="I465" s="19">
        <v>6.4470200554513024E-2</v>
      </c>
      <c r="J465" s="19">
        <v>0.10910817045429844</v>
      </c>
    </row>
    <row r="466" spans="1:10" ht="11.25" customHeight="1" x14ac:dyDescent="0.2">
      <c r="A466" s="28">
        <v>44378</v>
      </c>
      <c r="B466" s="18">
        <v>0</v>
      </c>
      <c r="C466" s="18">
        <v>0</v>
      </c>
      <c r="D466" s="18">
        <v>24209.841657600002</v>
      </c>
      <c r="E466" s="18">
        <v>31537.222926586732</v>
      </c>
      <c r="F466" s="18">
        <v>104975.4222528</v>
      </c>
      <c r="G466" s="18">
        <v>111743.20877873269</v>
      </c>
      <c r="H466" s="19">
        <v>0.30266126365541535</v>
      </c>
      <c r="I466" s="19">
        <v>6.4470200554513024E-2</v>
      </c>
      <c r="J466" s="19">
        <v>0.10910817045429821</v>
      </c>
    </row>
    <row r="467" spans="1:10" ht="11.25" customHeight="1" x14ac:dyDescent="0.2">
      <c r="A467" s="28">
        <v>44409</v>
      </c>
      <c r="B467" s="18">
        <v>0</v>
      </c>
      <c r="C467" s="18">
        <v>0</v>
      </c>
      <c r="D467" s="18">
        <v>35824.736131199999</v>
      </c>
      <c r="E467" s="18">
        <v>46667.496038790807</v>
      </c>
      <c r="F467" s="18">
        <v>155338.34775359998</v>
      </c>
      <c r="G467" s="18">
        <v>165353.04218708124</v>
      </c>
      <c r="H467" s="19">
        <v>0.30266126365541535</v>
      </c>
      <c r="I467" s="19">
        <v>6.4470200554512802E-2</v>
      </c>
      <c r="J467" s="19">
        <v>0.10910817045429821</v>
      </c>
    </row>
    <row r="468" spans="1:10" ht="11.25" customHeight="1" x14ac:dyDescent="0.2">
      <c r="A468" s="28">
        <v>44440</v>
      </c>
      <c r="B468" s="18">
        <v>0</v>
      </c>
      <c r="C468" s="18">
        <v>0</v>
      </c>
      <c r="D468" s="18">
        <v>50343.021993599999</v>
      </c>
      <c r="E468" s="18">
        <v>65579.904646415351</v>
      </c>
      <c r="F468" s="18">
        <v>218290.56406080001</v>
      </c>
      <c r="G468" s="18">
        <v>232363.8005049575</v>
      </c>
      <c r="H468" s="19">
        <v>0.30266126365541557</v>
      </c>
      <c r="I468" s="19">
        <v>6.4470200554512802E-2</v>
      </c>
      <c r="J468" s="19">
        <v>0.10910817045429799</v>
      </c>
    </row>
    <row r="469" spans="1:10" ht="11.25" customHeight="1" x14ac:dyDescent="0.2">
      <c r="A469" s="28">
        <v>44470</v>
      </c>
      <c r="B469" s="18">
        <v>0</v>
      </c>
      <c r="C469" s="18">
        <v>0</v>
      </c>
      <c r="D469" s="18">
        <v>77354.174419200004</v>
      </c>
      <c r="E469" s="18">
        <v>100766.28659793649</v>
      </c>
      <c r="F469" s="18">
        <v>335412.64901759999</v>
      </c>
      <c r="G469" s="18">
        <v>357036.7697682851</v>
      </c>
      <c r="H469" s="19">
        <v>0.30266126365541535</v>
      </c>
      <c r="I469" s="19">
        <v>6.4470200554512802E-2</v>
      </c>
      <c r="J469" s="19">
        <v>0.10910817045429821</v>
      </c>
    </row>
    <row r="470" spans="1:10" ht="11.25" customHeight="1" x14ac:dyDescent="0.2">
      <c r="A470" s="28">
        <v>44501</v>
      </c>
      <c r="B470" s="18">
        <v>0</v>
      </c>
      <c r="C470" s="18">
        <v>0</v>
      </c>
      <c r="D470" s="18">
        <v>79206.981983999998</v>
      </c>
      <c r="E470" s="18">
        <v>103179.86724160914</v>
      </c>
      <c r="F470" s="18">
        <v>343446.54115199996</v>
      </c>
      <c r="G470" s="18">
        <v>365588.60853982315</v>
      </c>
      <c r="H470" s="19">
        <v>0.30266126365541512</v>
      </c>
      <c r="I470" s="19">
        <v>6.4470200554512802E-2</v>
      </c>
      <c r="J470" s="19">
        <v>0.10910817045429821</v>
      </c>
    </row>
    <row r="471" spans="1:10" ht="11.25" customHeight="1" x14ac:dyDescent="0.2">
      <c r="A471" s="28">
        <v>44531</v>
      </c>
      <c r="B471" s="18">
        <v>0</v>
      </c>
      <c r="C471" s="18">
        <v>0</v>
      </c>
      <c r="D471" s="18">
        <v>59445.571622399999</v>
      </c>
      <c r="E471" s="18">
        <v>77437.443448354083</v>
      </c>
      <c r="F471" s="18">
        <v>257759.8015872</v>
      </c>
      <c r="G471" s="18">
        <v>274377.62769041822</v>
      </c>
      <c r="H471" s="19">
        <v>0.30266126365541535</v>
      </c>
      <c r="I471" s="19">
        <v>6.4470200554512802E-2</v>
      </c>
      <c r="J471" s="19">
        <v>0.10910817045429821</v>
      </c>
    </row>
    <row r="472" spans="1:10" ht="11.25" customHeight="1" x14ac:dyDescent="0.2">
      <c r="A472" s="28">
        <v>44562</v>
      </c>
      <c r="B472" s="18">
        <v>0</v>
      </c>
      <c r="C472" s="18">
        <v>0</v>
      </c>
      <c r="D472" s="18">
        <v>56715.874790400005</v>
      </c>
      <c r="E472" s="18">
        <v>73881.573123784794</v>
      </c>
      <c r="F472" s="18">
        <v>245923.66149120001</v>
      </c>
      <c r="G472" s="18">
        <v>261778.4092686378</v>
      </c>
      <c r="H472" s="19">
        <v>0.30266126365541557</v>
      </c>
      <c r="I472" s="19">
        <v>6.4470200554512802E-2</v>
      </c>
      <c r="J472" s="19">
        <v>0.10910817045429821</v>
      </c>
    </row>
    <row r="473" spans="1:10" ht="11.25" customHeight="1" x14ac:dyDescent="0.2">
      <c r="A473" s="28">
        <v>44593</v>
      </c>
      <c r="B473" s="18">
        <v>0</v>
      </c>
      <c r="C473" s="18">
        <v>0</v>
      </c>
      <c r="D473" s="18">
        <v>81340.929619200004</v>
      </c>
      <c r="E473" s="18">
        <v>105959.67816465328</v>
      </c>
      <c r="F473" s="18">
        <v>352699.47461759998</v>
      </c>
      <c r="G473" s="18">
        <v>375438.080481668</v>
      </c>
      <c r="H473" s="19">
        <v>0.30266126365541535</v>
      </c>
      <c r="I473" s="19">
        <v>6.4470200554513024E-2</v>
      </c>
      <c r="J473" s="19">
        <v>0.10910817045429821</v>
      </c>
    </row>
    <row r="474" spans="1:10" ht="11.25" customHeight="1" x14ac:dyDescent="0.2">
      <c r="A474" s="28">
        <v>44621</v>
      </c>
      <c r="B474" s="18">
        <v>0</v>
      </c>
      <c r="C474" s="18">
        <v>0</v>
      </c>
      <c r="D474" s="18">
        <v>81340.929619200004</v>
      </c>
      <c r="E474" s="18">
        <v>105959.67816465328</v>
      </c>
      <c r="F474" s="18">
        <v>352699.47461759998</v>
      </c>
      <c r="G474" s="18">
        <v>375438.080481668</v>
      </c>
      <c r="H474" s="19">
        <v>0.30266126365541535</v>
      </c>
      <c r="I474" s="19">
        <v>6.4470200554513024E-2</v>
      </c>
      <c r="J474" s="19">
        <v>0.10910817045429821</v>
      </c>
    </row>
    <row r="475" spans="1:10" ht="11.25" customHeight="1" x14ac:dyDescent="0.2">
      <c r="A475" s="27" t="s">
        <v>25</v>
      </c>
      <c r="B475" s="18">
        <v>2073872.4863999996</v>
      </c>
      <c r="C475" s="18">
        <v>2370299.483636748</v>
      </c>
      <c r="D475" s="18">
        <v>0</v>
      </c>
      <c r="E475" s="18">
        <v>0</v>
      </c>
      <c r="F475" s="18">
        <v>0</v>
      </c>
      <c r="G475" s="18">
        <v>0</v>
      </c>
      <c r="H475" s="19">
        <v>0.14293405172239493</v>
      </c>
      <c r="I475" s="19">
        <v>0</v>
      </c>
      <c r="J475" s="19">
        <v>0.14293405172239493</v>
      </c>
    </row>
    <row r="476" spans="1:10" ht="11.25" customHeight="1" x14ac:dyDescent="0.2">
      <c r="A476" s="28">
        <v>44287</v>
      </c>
      <c r="B476" s="18">
        <v>192628.55040000001</v>
      </c>
      <c r="C476" s="18">
        <v>220161.72958608344</v>
      </c>
      <c r="D476" s="18">
        <v>0</v>
      </c>
      <c r="E476" s="18">
        <v>0</v>
      </c>
      <c r="F476" s="18">
        <v>0</v>
      </c>
      <c r="G476" s="18">
        <v>0</v>
      </c>
      <c r="H476" s="19">
        <v>0.14293405172239426</v>
      </c>
      <c r="I476" s="19">
        <v>0</v>
      </c>
      <c r="J476" s="19">
        <v>0.14293405172239426</v>
      </c>
    </row>
    <row r="477" spans="1:10" ht="11.25" customHeight="1" x14ac:dyDescent="0.2">
      <c r="A477" s="28">
        <v>44317</v>
      </c>
      <c r="B477" s="18">
        <v>148963.9008</v>
      </c>
      <c r="C477" s="18">
        <v>170255.9147017168</v>
      </c>
      <c r="D477" s="18">
        <v>0</v>
      </c>
      <c r="E477" s="18">
        <v>0</v>
      </c>
      <c r="F477" s="18">
        <v>0</v>
      </c>
      <c r="G477" s="18">
        <v>0</v>
      </c>
      <c r="H477" s="19">
        <v>0.14293405172239426</v>
      </c>
      <c r="I477" s="19">
        <v>0</v>
      </c>
      <c r="J477" s="19">
        <v>0.14293405172239426</v>
      </c>
    </row>
    <row r="478" spans="1:10" ht="11.25" customHeight="1" x14ac:dyDescent="0.2">
      <c r="A478" s="28">
        <v>44348</v>
      </c>
      <c r="B478" s="18">
        <v>142195.99679999999</v>
      </c>
      <c r="C478" s="18">
        <v>162520.64676132862</v>
      </c>
      <c r="D478" s="18">
        <v>0</v>
      </c>
      <c r="E478" s="18">
        <v>0</v>
      </c>
      <c r="F478" s="18">
        <v>0</v>
      </c>
      <c r="G478" s="18">
        <v>0</v>
      </c>
      <c r="H478" s="19">
        <v>0.14293405172239448</v>
      </c>
      <c r="I478" s="19">
        <v>0</v>
      </c>
      <c r="J478" s="19">
        <v>0.14293405172239448</v>
      </c>
    </row>
    <row r="479" spans="1:10" ht="11.25" customHeight="1" x14ac:dyDescent="0.2">
      <c r="A479" s="28">
        <v>44378</v>
      </c>
      <c r="B479" s="18">
        <v>137575.152</v>
      </c>
      <c r="C479" s="18">
        <v>157239.32589168428</v>
      </c>
      <c r="D479" s="18">
        <v>0</v>
      </c>
      <c r="E479" s="18">
        <v>0</v>
      </c>
      <c r="F479" s="18">
        <v>0</v>
      </c>
      <c r="G479" s="18">
        <v>0</v>
      </c>
      <c r="H479" s="19">
        <v>0.14293405172239448</v>
      </c>
      <c r="I479" s="19">
        <v>0</v>
      </c>
      <c r="J479" s="19">
        <v>0.14293405172239448</v>
      </c>
    </row>
    <row r="480" spans="1:10" ht="11.25" customHeight="1" x14ac:dyDescent="0.2">
      <c r="A480" s="28">
        <v>44409</v>
      </c>
      <c r="B480" s="18">
        <v>134051.17439999999</v>
      </c>
      <c r="C480" s="18">
        <v>153211.6518951373</v>
      </c>
      <c r="D480" s="18">
        <v>0</v>
      </c>
      <c r="E480" s="18">
        <v>0</v>
      </c>
      <c r="F480" s="18">
        <v>0</v>
      </c>
      <c r="G480" s="18">
        <v>0</v>
      </c>
      <c r="H480" s="19">
        <v>0.14293405172239448</v>
      </c>
      <c r="I480" s="19">
        <v>0</v>
      </c>
      <c r="J480" s="19">
        <v>0.14293405172239448</v>
      </c>
    </row>
    <row r="481" spans="1:10" ht="11.25" customHeight="1" x14ac:dyDescent="0.2">
      <c r="A481" s="28">
        <v>44440</v>
      </c>
      <c r="B481" s="18">
        <v>166257.0624</v>
      </c>
      <c r="C481" s="18">
        <v>190020.85795629496</v>
      </c>
      <c r="D481" s="18">
        <v>0</v>
      </c>
      <c r="E481" s="18">
        <v>0</v>
      </c>
      <c r="F481" s="18">
        <v>0</v>
      </c>
      <c r="G481" s="18">
        <v>0</v>
      </c>
      <c r="H481" s="19">
        <v>0.14293405172239448</v>
      </c>
      <c r="I481" s="19">
        <v>0</v>
      </c>
      <c r="J481" s="19">
        <v>0.14293405172239448</v>
      </c>
    </row>
    <row r="482" spans="1:10" ht="11.25" customHeight="1" x14ac:dyDescent="0.2">
      <c r="A482" s="28">
        <v>44470</v>
      </c>
      <c r="B482" s="18">
        <v>190761.54240000001</v>
      </c>
      <c r="C482" s="18">
        <v>218027.86256804533</v>
      </c>
      <c r="D482" s="18">
        <v>0</v>
      </c>
      <c r="E482" s="18">
        <v>0</v>
      </c>
      <c r="F482" s="18">
        <v>0</v>
      </c>
      <c r="G482" s="18">
        <v>0</v>
      </c>
      <c r="H482" s="19">
        <v>0.14293405172239426</v>
      </c>
      <c r="I482" s="19">
        <v>0</v>
      </c>
      <c r="J482" s="19">
        <v>0.14293405172239426</v>
      </c>
    </row>
    <row r="483" spans="1:10" ht="11.25" customHeight="1" x14ac:dyDescent="0.2">
      <c r="A483" s="28">
        <v>44501</v>
      </c>
      <c r="B483" s="18">
        <v>192955.27679999996</v>
      </c>
      <c r="C483" s="18">
        <v>220535.1563142401</v>
      </c>
      <c r="D483" s="18">
        <v>0</v>
      </c>
      <c r="E483" s="18">
        <v>0</v>
      </c>
      <c r="F483" s="18">
        <v>0</v>
      </c>
      <c r="G483" s="18">
        <v>0</v>
      </c>
      <c r="H483" s="19">
        <v>0.14293405172239448</v>
      </c>
      <c r="I483" s="19">
        <v>0</v>
      </c>
      <c r="J483" s="19">
        <v>0.14293405172239448</v>
      </c>
    </row>
    <row r="484" spans="1:10" ht="11.25" customHeight="1" x14ac:dyDescent="0.2">
      <c r="A484" s="28">
        <v>44531</v>
      </c>
      <c r="B484" s="18">
        <v>190644.85439999998</v>
      </c>
      <c r="C484" s="18">
        <v>217894.4958794179</v>
      </c>
      <c r="D484" s="18">
        <v>0</v>
      </c>
      <c r="E484" s="18">
        <v>0</v>
      </c>
      <c r="F484" s="18">
        <v>0</v>
      </c>
      <c r="G484" s="18">
        <v>0</v>
      </c>
      <c r="H484" s="19">
        <v>0.14293405172239426</v>
      </c>
      <c r="I484" s="19">
        <v>0</v>
      </c>
      <c r="J484" s="19">
        <v>0.14293405172239426</v>
      </c>
    </row>
    <row r="485" spans="1:10" ht="11.25" customHeight="1" x14ac:dyDescent="0.2">
      <c r="A485" s="28">
        <v>44562</v>
      </c>
      <c r="B485" s="18">
        <v>157062.04799999995</v>
      </c>
      <c r="C485" s="18">
        <v>179511.56289245715</v>
      </c>
      <c r="D485" s="18">
        <v>0</v>
      </c>
      <c r="E485" s="18">
        <v>0</v>
      </c>
      <c r="F485" s="18">
        <v>0</v>
      </c>
      <c r="G485" s="18">
        <v>0</v>
      </c>
      <c r="H485" s="19">
        <v>0.14293405172239448</v>
      </c>
      <c r="I485" s="19">
        <v>0</v>
      </c>
      <c r="J485" s="19">
        <v>0.14293405172239448</v>
      </c>
    </row>
    <row r="486" spans="1:10" ht="11.25" customHeight="1" x14ac:dyDescent="0.2">
      <c r="A486" s="28">
        <v>44593</v>
      </c>
      <c r="B486" s="18">
        <v>210388.46399999998</v>
      </c>
      <c r="C486" s="18">
        <v>240460.13959517109</v>
      </c>
      <c r="D486" s="18">
        <v>0</v>
      </c>
      <c r="E486" s="18">
        <v>0</v>
      </c>
      <c r="F486" s="18">
        <v>0</v>
      </c>
      <c r="G486" s="18">
        <v>0</v>
      </c>
      <c r="H486" s="19">
        <v>0.14293405172239448</v>
      </c>
      <c r="I486" s="19">
        <v>0</v>
      </c>
      <c r="J486" s="19">
        <v>0.14293405172239448</v>
      </c>
    </row>
    <row r="487" spans="1:10" ht="11.25" customHeight="1" x14ac:dyDescent="0.2">
      <c r="A487" s="28">
        <v>44621</v>
      </c>
      <c r="B487" s="18">
        <v>210388.46399999998</v>
      </c>
      <c r="C487" s="18">
        <v>240460.13959517109</v>
      </c>
      <c r="D487" s="18">
        <v>0</v>
      </c>
      <c r="E487" s="18">
        <v>0</v>
      </c>
      <c r="F487" s="18">
        <v>0</v>
      </c>
      <c r="G487" s="18">
        <v>0</v>
      </c>
      <c r="H487" s="19">
        <v>0.14293405172239448</v>
      </c>
      <c r="I487" s="19">
        <v>0</v>
      </c>
      <c r="J487" s="19">
        <v>0.14293405172239448</v>
      </c>
    </row>
    <row r="488" spans="1:10" ht="11.25" customHeight="1" x14ac:dyDescent="0.2">
      <c r="A488" s="27" t="s">
        <v>34</v>
      </c>
      <c r="B488" s="18">
        <v>0</v>
      </c>
      <c r="C488" s="18">
        <v>0</v>
      </c>
      <c r="D488" s="18">
        <v>244906.64953920001</v>
      </c>
      <c r="E488" s="18">
        <v>300902.95676410652</v>
      </c>
      <c r="F488" s="18">
        <v>57212.036640000006</v>
      </c>
      <c r="G488" s="18">
        <v>59912.860305143178</v>
      </c>
      <c r="H488" s="19">
        <v>0.22864347427995768</v>
      </c>
      <c r="I488" s="19">
        <v>4.7207263082378992E-2</v>
      </c>
      <c r="J488" s="19">
        <v>0.19428500644026347</v>
      </c>
    </row>
    <row r="489" spans="1:10" ht="11.25" customHeight="1" x14ac:dyDescent="0.2">
      <c r="A489" s="28">
        <v>44287</v>
      </c>
      <c r="B489" s="18">
        <v>0</v>
      </c>
      <c r="C489" s="18">
        <v>0</v>
      </c>
      <c r="D489" s="18">
        <v>21133.230047999998</v>
      </c>
      <c r="E489" s="18">
        <v>25965.205188932301</v>
      </c>
      <c r="F489" s="18">
        <v>4936.8815999999997</v>
      </c>
      <c r="G489" s="18">
        <v>5169.9382684977563</v>
      </c>
      <c r="H489" s="19">
        <v>0.22864347427995702</v>
      </c>
      <c r="I489" s="19">
        <v>4.7207263082378992E-2</v>
      </c>
      <c r="J489" s="19">
        <v>0.19428500644026325</v>
      </c>
    </row>
    <row r="490" spans="1:10" ht="11.25" customHeight="1" x14ac:dyDescent="0.2">
      <c r="A490" s="28">
        <v>44317</v>
      </c>
      <c r="B490" s="18">
        <v>0</v>
      </c>
      <c r="C490" s="18">
        <v>0</v>
      </c>
      <c r="D490" s="18">
        <v>13955.141462399999</v>
      </c>
      <c r="E490" s="18">
        <v>17145.893490431416</v>
      </c>
      <c r="F490" s="18">
        <v>3260.0260799999996</v>
      </c>
      <c r="G490" s="18">
        <v>3413.9229888139771</v>
      </c>
      <c r="H490" s="19">
        <v>0.22864347427995702</v>
      </c>
      <c r="I490" s="19">
        <v>4.7207263082379214E-2</v>
      </c>
      <c r="J490" s="19">
        <v>0.19428500644026325</v>
      </c>
    </row>
    <row r="491" spans="1:10" ht="11.25" customHeight="1" x14ac:dyDescent="0.2">
      <c r="A491" s="28">
        <v>44348</v>
      </c>
      <c r="B491" s="18">
        <v>0</v>
      </c>
      <c r="C491" s="18">
        <v>0</v>
      </c>
      <c r="D491" s="18">
        <v>12876.700867199997</v>
      </c>
      <c r="E491" s="18">
        <v>15820.874490740342</v>
      </c>
      <c r="F491" s="18">
        <v>3008.0942399999999</v>
      </c>
      <c r="G491" s="18">
        <v>3150.0981361642689</v>
      </c>
      <c r="H491" s="19">
        <v>0.22864347427995702</v>
      </c>
      <c r="I491" s="19">
        <v>4.7207263082378992E-2</v>
      </c>
      <c r="J491" s="19">
        <v>0.19428500644026325</v>
      </c>
    </row>
    <row r="492" spans="1:10" ht="11.25" customHeight="1" x14ac:dyDescent="0.2">
      <c r="A492" s="28">
        <v>44378</v>
      </c>
      <c r="B492" s="18">
        <v>0</v>
      </c>
      <c r="C492" s="18">
        <v>0</v>
      </c>
      <c r="D492" s="18">
        <v>10847.490220799998</v>
      </c>
      <c r="E492" s="18">
        <v>13327.69807210157</v>
      </c>
      <c r="F492" s="18">
        <v>2534.0553599999998</v>
      </c>
      <c r="G492" s="18">
        <v>2653.6811780448329</v>
      </c>
      <c r="H492" s="19">
        <v>0.22864347427995724</v>
      </c>
      <c r="I492" s="19">
        <v>4.7207263082379214E-2</v>
      </c>
      <c r="J492" s="19">
        <v>0.19428500644026325</v>
      </c>
    </row>
    <row r="493" spans="1:10" ht="11.25" customHeight="1" x14ac:dyDescent="0.2">
      <c r="A493" s="28">
        <v>44409</v>
      </c>
      <c r="B493" s="18">
        <v>0</v>
      </c>
      <c r="C493" s="18">
        <v>0</v>
      </c>
      <c r="D493" s="18">
        <v>12577.801593599999</v>
      </c>
      <c r="E493" s="18">
        <v>15453.633848764684</v>
      </c>
      <c r="F493" s="18">
        <v>2938.2691199999999</v>
      </c>
      <c r="G493" s="18">
        <v>3076.9767633546708</v>
      </c>
      <c r="H493" s="19">
        <v>0.22864347427995724</v>
      </c>
      <c r="I493" s="19">
        <v>4.7207263082379214E-2</v>
      </c>
      <c r="J493" s="19">
        <v>0.19428500644026325</v>
      </c>
    </row>
    <row r="494" spans="1:10" ht="11.25" customHeight="1" x14ac:dyDescent="0.2">
      <c r="A494" s="28">
        <v>44440</v>
      </c>
      <c r="B494" s="18">
        <v>0</v>
      </c>
      <c r="C494" s="18">
        <v>0</v>
      </c>
      <c r="D494" s="18">
        <v>22594.682275200001</v>
      </c>
      <c r="E494" s="18">
        <v>27760.808930853495</v>
      </c>
      <c r="F494" s="18">
        <v>5278.2878400000009</v>
      </c>
      <c r="G494" s="18">
        <v>5527.4613626874025</v>
      </c>
      <c r="H494" s="19">
        <v>0.22864347427995702</v>
      </c>
      <c r="I494" s="19">
        <v>4.7207263082378992E-2</v>
      </c>
      <c r="J494" s="19">
        <v>0.19428500644026325</v>
      </c>
    </row>
    <row r="495" spans="1:10" ht="11.25" customHeight="1" x14ac:dyDescent="0.2">
      <c r="A495" s="28">
        <v>44470</v>
      </c>
      <c r="B495" s="18">
        <v>0</v>
      </c>
      <c r="C495" s="18">
        <v>0</v>
      </c>
      <c r="D495" s="18">
        <v>22376.891347199999</v>
      </c>
      <c r="E495" s="18">
        <v>27493.221528408918</v>
      </c>
      <c r="F495" s="18">
        <v>5227.4102400000002</v>
      </c>
      <c r="G495" s="18">
        <v>5474.1819704392028</v>
      </c>
      <c r="H495" s="19">
        <v>0.22864347427995724</v>
      </c>
      <c r="I495" s="19">
        <v>4.7207263082379214E-2</v>
      </c>
      <c r="J495" s="19">
        <v>0.19428500644026325</v>
      </c>
    </row>
    <row r="496" spans="1:10" ht="11.25" customHeight="1" x14ac:dyDescent="0.2">
      <c r="A496" s="28">
        <v>44501</v>
      </c>
      <c r="B496" s="18">
        <v>0</v>
      </c>
      <c r="C496" s="18">
        <v>0</v>
      </c>
      <c r="D496" s="18">
        <v>25702.333516799994</v>
      </c>
      <c r="E496" s="18">
        <v>31579.004349183335</v>
      </c>
      <c r="F496" s="18">
        <v>6004.2585599999993</v>
      </c>
      <c r="G496" s="18">
        <v>6287.7031734565462</v>
      </c>
      <c r="H496" s="19">
        <v>0.22864347427995724</v>
      </c>
      <c r="I496" s="19">
        <v>4.7207263082379214E-2</v>
      </c>
      <c r="J496" s="19">
        <v>0.19428500644026325</v>
      </c>
    </row>
    <row r="497" spans="1:10" ht="11.25" customHeight="1" x14ac:dyDescent="0.2">
      <c r="A497" s="28">
        <v>44531</v>
      </c>
      <c r="B497" s="18">
        <v>0</v>
      </c>
      <c r="C497" s="18">
        <v>0</v>
      </c>
      <c r="D497" s="18">
        <v>24616.382889599994</v>
      </c>
      <c r="E497" s="18">
        <v>30244.75819768383</v>
      </c>
      <c r="F497" s="18">
        <v>5750.5723199999993</v>
      </c>
      <c r="G497" s="18">
        <v>6022.0411003844865</v>
      </c>
      <c r="H497" s="19">
        <v>0.22864347427995724</v>
      </c>
      <c r="I497" s="19">
        <v>4.7207263082379214E-2</v>
      </c>
      <c r="J497" s="19">
        <v>0.19428500644026347</v>
      </c>
    </row>
    <row r="498" spans="1:10" ht="11.25" customHeight="1" x14ac:dyDescent="0.2">
      <c r="A498" s="28">
        <v>44562</v>
      </c>
      <c r="B498" s="18">
        <v>0</v>
      </c>
      <c r="C498" s="18">
        <v>0</v>
      </c>
      <c r="D498" s="18">
        <v>28362.386851199994</v>
      </c>
      <c r="E498" s="18">
        <v>34847.261519730535</v>
      </c>
      <c r="F498" s="18">
        <v>6625.6670399999994</v>
      </c>
      <c r="G498" s="18">
        <v>6938.4466470535272</v>
      </c>
      <c r="H498" s="19">
        <v>0.22864347427995724</v>
      </c>
      <c r="I498" s="19">
        <v>4.7207263082378992E-2</v>
      </c>
      <c r="J498" s="19">
        <v>0.19428500644026325</v>
      </c>
    </row>
    <row r="499" spans="1:10" ht="11.25" customHeight="1" x14ac:dyDescent="0.2">
      <c r="A499" s="28">
        <v>44593</v>
      </c>
      <c r="B499" s="18">
        <v>0</v>
      </c>
      <c r="C499" s="18">
        <v>0</v>
      </c>
      <c r="D499" s="18">
        <v>24931.804233599996</v>
      </c>
      <c r="E499" s="18">
        <v>30632.298573638043</v>
      </c>
      <c r="F499" s="18">
        <v>5824.2571200000002</v>
      </c>
      <c r="G499" s="18">
        <v>6099.2043581232592</v>
      </c>
      <c r="H499" s="19">
        <v>0.22864347427995724</v>
      </c>
      <c r="I499" s="19">
        <v>4.7207263082378992E-2</v>
      </c>
      <c r="J499" s="19">
        <v>0.19428500644026325</v>
      </c>
    </row>
    <row r="500" spans="1:10" ht="11.25" customHeight="1" x14ac:dyDescent="0.2">
      <c r="A500" s="28">
        <v>44621</v>
      </c>
      <c r="B500" s="18">
        <v>0</v>
      </c>
      <c r="C500" s="18">
        <v>0</v>
      </c>
      <c r="D500" s="18">
        <v>24931.804233599996</v>
      </c>
      <c r="E500" s="18">
        <v>30632.298573638043</v>
      </c>
      <c r="F500" s="18">
        <v>5824.2571200000002</v>
      </c>
      <c r="G500" s="18">
        <v>6099.2043581232592</v>
      </c>
      <c r="H500" s="19">
        <v>0.22864347427995724</v>
      </c>
      <c r="I500" s="19">
        <v>4.7207263082378992E-2</v>
      </c>
      <c r="J500" s="19">
        <v>0.19428500644026325</v>
      </c>
    </row>
    <row r="501" spans="1:10" ht="11.25" customHeight="1" x14ac:dyDescent="0.2">
      <c r="A501" s="24" t="s">
        <v>25</v>
      </c>
      <c r="B501" s="18">
        <v>2280246.8832</v>
      </c>
      <c r="C501" s="18">
        <v>2606171.8091431372</v>
      </c>
      <c r="D501" s="18">
        <v>1550144.4211007999</v>
      </c>
      <c r="E501" s="18">
        <v>1977774.7029460366</v>
      </c>
      <c r="F501" s="18">
        <v>4419248.7646464016</v>
      </c>
      <c r="G501" s="18">
        <v>4701895.4598815702</v>
      </c>
      <c r="H501" s="19">
        <v>0.19673060737744263</v>
      </c>
      <c r="I501" s="19">
        <v>6.3958086608818299E-2</v>
      </c>
      <c r="J501" s="19">
        <v>0.12560571059626557</v>
      </c>
    </row>
    <row r="502" spans="1:10" ht="11.25" customHeight="1" x14ac:dyDescent="0.2">
      <c r="A502" s="25" t="s">
        <v>25</v>
      </c>
      <c r="B502" s="18">
        <v>2280246.8832</v>
      </c>
      <c r="C502" s="18">
        <v>2606171.8091431372</v>
      </c>
      <c r="D502" s="18">
        <v>1550144.4211007999</v>
      </c>
      <c r="E502" s="18">
        <v>1977774.7029460366</v>
      </c>
      <c r="F502" s="18">
        <v>4419248.7646464016</v>
      </c>
      <c r="G502" s="18">
        <v>4701895.4598815702</v>
      </c>
      <c r="H502" s="19">
        <v>0.19673060737744263</v>
      </c>
      <c r="I502" s="19">
        <v>6.3958086608818299E-2</v>
      </c>
      <c r="J502" s="19">
        <v>0.12560571059626557</v>
      </c>
    </row>
    <row r="503" spans="1:10" ht="11.25" customHeight="1" x14ac:dyDescent="0.2">
      <c r="A503" s="26" t="s">
        <v>25</v>
      </c>
      <c r="B503" s="18">
        <v>2280246.8832</v>
      </c>
      <c r="C503" s="18">
        <v>2606171.8091431372</v>
      </c>
      <c r="D503" s="18">
        <v>1550144.4211007999</v>
      </c>
      <c r="E503" s="18">
        <v>1977774.7029460366</v>
      </c>
      <c r="F503" s="18">
        <v>4419248.7646464016</v>
      </c>
      <c r="G503" s="18">
        <v>4701895.4598815702</v>
      </c>
      <c r="H503" s="19">
        <v>0.19673060737744263</v>
      </c>
      <c r="I503" s="19">
        <v>6.3958086608818299E-2</v>
      </c>
      <c r="J503" s="19">
        <v>0.12560571059626557</v>
      </c>
    </row>
    <row r="504" spans="1:10" ht="11.25" customHeight="1" x14ac:dyDescent="0.2">
      <c r="A504" s="27" t="s">
        <v>35</v>
      </c>
      <c r="B504" s="18">
        <v>0</v>
      </c>
      <c r="C504" s="18">
        <v>0</v>
      </c>
      <c r="D504" s="18">
        <v>988949.76986880007</v>
      </c>
      <c r="E504" s="18">
        <v>1288266.5569090233</v>
      </c>
      <c r="F504" s="18">
        <v>4288149.4702463998</v>
      </c>
      <c r="G504" s="18">
        <v>4564607.3266009139</v>
      </c>
      <c r="H504" s="19">
        <v>0.3026612636554149</v>
      </c>
      <c r="I504" s="19">
        <v>6.4470200554513024E-2</v>
      </c>
      <c r="J504" s="19">
        <v>0.10910817045429821</v>
      </c>
    </row>
    <row r="505" spans="1:10" ht="11.25" customHeight="1" x14ac:dyDescent="0.2">
      <c r="A505" s="28">
        <v>44287</v>
      </c>
      <c r="B505" s="18">
        <v>0</v>
      </c>
      <c r="C505" s="18">
        <v>0</v>
      </c>
      <c r="D505" s="18">
        <v>67646.425507200009</v>
      </c>
      <c r="E505" s="18">
        <v>88120.378132981074</v>
      </c>
      <c r="F505" s="18">
        <v>293319.22868160001</v>
      </c>
      <c r="G505" s="18">
        <v>312229.57818119775</v>
      </c>
      <c r="H505" s="19">
        <v>0.30266126365541512</v>
      </c>
      <c r="I505" s="19">
        <v>6.4470200554512802E-2</v>
      </c>
      <c r="J505" s="19">
        <v>0.10910817045429799</v>
      </c>
    </row>
    <row r="506" spans="1:10" ht="11.25" customHeight="1" x14ac:dyDescent="0.2">
      <c r="A506" s="28">
        <v>44317</v>
      </c>
      <c r="B506" s="18">
        <v>0</v>
      </c>
      <c r="C506" s="18">
        <v>0</v>
      </c>
      <c r="D506" s="18">
        <v>39553.188969600007</v>
      </c>
      <c r="E506" s="18">
        <v>51524.407124740574</v>
      </c>
      <c r="F506" s="18">
        <v>171505.15778879999</v>
      </c>
      <c r="G506" s="18">
        <v>182562.12970757732</v>
      </c>
      <c r="H506" s="19">
        <v>0.30266126365541512</v>
      </c>
      <c r="I506" s="19">
        <v>6.4470200554513024E-2</v>
      </c>
      <c r="J506" s="19">
        <v>0.10910817045429821</v>
      </c>
    </row>
    <row r="507" spans="1:10" ht="11.25" customHeight="1" x14ac:dyDescent="0.2">
      <c r="A507" s="28">
        <v>44348</v>
      </c>
      <c r="B507" s="18">
        <v>0</v>
      </c>
      <c r="C507" s="18">
        <v>0</v>
      </c>
      <c r="D507" s="18">
        <v>40171.726656000006</v>
      </c>
      <c r="E507" s="18">
        <v>52330.152208924897</v>
      </c>
      <c r="F507" s="18">
        <v>174187.176768</v>
      </c>
      <c r="G507" s="18">
        <v>185417.05898825734</v>
      </c>
      <c r="H507" s="19">
        <v>0.30266126365541535</v>
      </c>
      <c r="I507" s="19">
        <v>6.4470200554512802E-2</v>
      </c>
      <c r="J507" s="19">
        <v>0.10910817045429821</v>
      </c>
    </row>
    <row r="508" spans="1:10" ht="11.25" customHeight="1" x14ac:dyDescent="0.2">
      <c r="A508" s="28">
        <v>44378</v>
      </c>
      <c r="B508" s="18">
        <v>0</v>
      </c>
      <c r="C508" s="18">
        <v>0</v>
      </c>
      <c r="D508" s="18">
        <v>42745.004870400007</v>
      </c>
      <c r="E508" s="18">
        <v>55682.262059432149</v>
      </c>
      <c r="F508" s="18">
        <v>185345.07573119999</v>
      </c>
      <c r="G508" s="18">
        <v>197294.30993538184</v>
      </c>
      <c r="H508" s="19">
        <v>0.30266126365541512</v>
      </c>
      <c r="I508" s="19">
        <v>6.4470200554513024E-2</v>
      </c>
      <c r="J508" s="19">
        <v>0.10910817045429821</v>
      </c>
    </row>
    <row r="509" spans="1:10" ht="11.25" customHeight="1" x14ac:dyDescent="0.2">
      <c r="A509" s="28">
        <v>44409</v>
      </c>
      <c r="B509" s="18">
        <v>0</v>
      </c>
      <c r="C509" s="18">
        <v>0</v>
      </c>
      <c r="D509" s="18">
        <v>62481.559536000001</v>
      </c>
      <c r="E509" s="18">
        <v>81392.307300326851</v>
      </c>
      <c r="F509" s="18">
        <v>270924.03940800001</v>
      </c>
      <c r="G509" s="18">
        <v>288390.5665636725</v>
      </c>
      <c r="H509" s="19">
        <v>0.30266126365541579</v>
      </c>
      <c r="I509" s="19">
        <v>6.4470200554512802E-2</v>
      </c>
      <c r="J509" s="19">
        <v>0.10910817045429821</v>
      </c>
    </row>
    <row r="510" spans="1:10" ht="11.25" customHeight="1" x14ac:dyDescent="0.2">
      <c r="A510" s="28">
        <v>44440</v>
      </c>
      <c r="B510" s="18">
        <v>0</v>
      </c>
      <c r="C510" s="18">
        <v>0</v>
      </c>
      <c r="D510" s="18">
        <v>90067.542998400007</v>
      </c>
      <c r="E510" s="18">
        <v>117327.49937663421</v>
      </c>
      <c r="F510" s="18">
        <v>390538.62851520005</v>
      </c>
      <c r="G510" s="18">
        <v>415716.73221985938</v>
      </c>
      <c r="H510" s="19">
        <v>0.30266126365541535</v>
      </c>
      <c r="I510" s="19">
        <v>6.4470200554512802E-2</v>
      </c>
      <c r="J510" s="19">
        <v>0.10910817045429821</v>
      </c>
    </row>
    <row r="511" spans="1:10" ht="11.25" customHeight="1" x14ac:dyDescent="0.2">
      <c r="A511" s="28">
        <v>44470</v>
      </c>
      <c r="B511" s="18">
        <v>0</v>
      </c>
      <c r="C511" s="18">
        <v>0</v>
      </c>
      <c r="D511" s="18">
        <v>121109.30493120002</v>
      </c>
      <c r="E511" s="18">
        <v>157764.40020210602</v>
      </c>
      <c r="F511" s="18">
        <v>525137.69415360014</v>
      </c>
      <c r="G511" s="18">
        <v>558993.42661441711</v>
      </c>
      <c r="H511" s="19">
        <v>0.30266126365541512</v>
      </c>
      <c r="I511" s="19">
        <v>6.4470200554512802E-2</v>
      </c>
      <c r="J511" s="19">
        <v>0.10910817045429799</v>
      </c>
    </row>
    <row r="512" spans="1:10" ht="11.25" customHeight="1" x14ac:dyDescent="0.2">
      <c r="A512" s="28">
        <v>44501</v>
      </c>
      <c r="B512" s="18">
        <v>0</v>
      </c>
      <c r="C512" s="18">
        <v>0</v>
      </c>
      <c r="D512" s="18">
        <v>109684.1996928</v>
      </c>
      <c r="E512" s="18">
        <v>142881.35817485579</v>
      </c>
      <c r="F512" s="18">
        <v>475597.70691840001</v>
      </c>
      <c r="G512" s="18">
        <v>506259.58646669565</v>
      </c>
      <c r="H512" s="19">
        <v>0.30266126365541557</v>
      </c>
      <c r="I512" s="19">
        <v>6.4470200554512802E-2</v>
      </c>
      <c r="J512" s="19">
        <v>0.10910817045429821</v>
      </c>
    </row>
    <row r="513" spans="1:10" ht="11.25" customHeight="1" x14ac:dyDescent="0.2">
      <c r="A513" s="28">
        <v>44531</v>
      </c>
      <c r="B513" s="18">
        <v>0</v>
      </c>
      <c r="C513" s="18">
        <v>0</v>
      </c>
      <c r="D513" s="18">
        <v>91284.340060800008</v>
      </c>
      <c r="E513" s="18">
        <v>118912.57377555239</v>
      </c>
      <c r="F513" s="18">
        <v>395814.73842239997</v>
      </c>
      <c r="G513" s="18">
        <v>421332.99399092415</v>
      </c>
      <c r="H513" s="19">
        <v>0.30266126365541535</v>
      </c>
      <c r="I513" s="19">
        <v>6.4470200554512802E-2</v>
      </c>
      <c r="J513" s="19">
        <v>0.10910817045429821</v>
      </c>
    </row>
    <row r="514" spans="1:10" ht="11.25" customHeight="1" x14ac:dyDescent="0.2">
      <c r="A514" s="28">
        <v>44562</v>
      </c>
      <c r="B514" s="18">
        <v>0</v>
      </c>
      <c r="C514" s="18">
        <v>0</v>
      </c>
      <c r="D514" s="18">
        <v>91989.8972928</v>
      </c>
      <c r="E514" s="18">
        <v>119831.67585097071</v>
      </c>
      <c r="F514" s="18">
        <v>398874.07971839997</v>
      </c>
      <c r="G514" s="18">
        <v>424589.57163384196</v>
      </c>
      <c r="H514" s="19">
        <v>0.30266126365541535</v>
      </c>
      <c r="I514" s="19">
        <v>6.4470200554512802E-2</v>
      </c>
      <c r="J514" s="19">
        <v>0.10910817045429799</v>
      </c>
    </row>
    <row r="515" spans="1:10" ht="11.25" customHeight="1" x14ac:dyDescent="0.2">
      <c r="A515" s="28">
        <v>44593</v>
      </c>
      <c r="B515" s="18">
        <v>0</v>
      </c>
      <c r="C515" s="18">
        <v>0</v>
      </c>
      <c r="D515" s="18">
        <v>116108.28967679999</v>
      </c>
      <c r="E515" s="18">
        <v>151249.77135124931</v>
      </c>
      <c r="F515" s="18">
        <v>503452.97207039996</v>
      </c>
      <c r="G515" s="18">
        <v>535910.6861495442</v>
      </c>
      <c r="H515" s="19">
        <v>0.30266126365541535</v>
      </c>
      <c r="I515" s="19">
        <v>6.4470200554512802E-2</v>
      </c>
      <c r="J515" s="19">
        <v>0.10910817045429821</v>
      </c>
    </row>
    <row r="516" spans="1:10" ht="11.25" customHeight="1" x14ac:dyDescent="0.2">
      <c r="A516" s="28">
        <v>44621</v>
      </c>
      <c r="B516" s="18">
        <v>0</v>
      </c>
      <c r="C516" s="18">
        <v>0</v>
      </c>
      <c r="D516" s="18">
        <v>116108.28967679999</v>
      </c>
      <c r="E516" s="18">
        <v>151249.77135124931</v>
      </c>
      <c r="F516" s="18">
        <v>503452.97207039996</v>
      </c>
      <c r="G516" s="18">
        <v>535910.6861495442</v>
      </c>
      <c r="H516" s="19">
        <v>0.30266126365541535</v>
      </c>
      <c r="I516" s="19">
        <v>6.4470200554512802E-2</v>
      </c>
      <c r="J516" s="19">
        <v>0.10910817045429821</v>
      </c>
    </row>
    <row r="517" spans="1:10" ht="11.25" customHeight="1" x14ac:dyDescent="0.2">
      <c r="A517" s="27" t="s">
        <v>25</v>
      </c>
      <c r="B517" s="18">
        <v>2280246.8832</v>
      </c>
      <c r="C517" s="18">
        <v>2606171.8091431372</v>
      </c>
      <c r="D517" s="18">
        <v>0</v>
      </c>
      <c r="E517" s="18">
        <v>0</v>
      </c>
      <c r="F517" s="18">
        <v>0</v>
      </c>
      <c r="G517" s="18">
        <v>0</v>
      </c>
      <c r="H517" s="19">
        <v>0.14293405172239404</v>
      </c>
      <c r="I517" s="19">
        <v>0</v>
      </c>
      <c r="J517" s="19">
        <v>0.14293405172239404</v>
      </c>
    </row>
    <row r="518" spans="1:10" ht="11.25" customHeight="1" x14ac:dyDescent="0.2">
      <c r="A518" s="28">
        <v>44287</v>
      </c>
      <c r="B518" s="18">
        <v>205534.24319999997</v>
      </c>
      <c r="C518" s="18">
        <v>234912.08534827194</v>
      </c>
      <c r="D518" s="18">
        <v>0</v>
      </c>
      <c r="E518" s="18">
        <v>0</v>
      </c>
      <c r="F518" s="18">
        <v>0</v>
      </c>
      <c r="G518" s="18">
        <v>0</v>
      </c>
      <c r="H518" s="19">
        <v>0.14293405172239426</v>
      </c>
      <c r="I518" s="19">
        <v>0</v>
      </c>
      <c r="J518" s="19">
        <v>0.14293405172239426</v>
      </c>
    </row>
    <row r="519" spans="1:10" ht="11.25" customHeight="1" x14ac:dyDescent="0.2">
      <c r="A519" s="28">
        <v>44317</v>
      </c>
      <c r="B519" s="18">
        <v>153328.03199999998</v>
      </c>
      <c r="C519" s="18">
        <v>175243.82885638095</v>
      </c>
      <c r="D519" s="18">
        <v>0</v>
      </c>
      <c r="E519" s="18">
        <v>0</v>
      </c>
      <c r="F519" s="18">
        <v>0</v>
      </c>
      <c r="G519" s="18">
        <v>0</v>
      </c>
      <c r="H519" s="19">
        <v>0.14293405172239448</v>
      </c>
      <c r="I519" s="19">
        <v>0</v>
      </c>
      <c r="J519" s="19">
        <v>0.14293405172239448</v>
      </c>
    </row>
    <row r="520" spans="1:10" ht="11.25" customHeight="1" x14ac:dyDescent="0.2">
      <c r="A520" s="28">
        <v>44348</v>
      </c>
      <c r="B520" s="18">
        <v>167027.20319999999</v>
      </c>
      <c r="C520" s="18">
        <v>190901.07810123565</v>
      </c>
      <c r="D520" s="18">
        <v>0</v>
      </c>
      <c r="E520" s="18">
        <v>0</v>
      </c>
      <c r="F520" s="18">
        <v>0</v>
      </c>
      <c r="G520" s="18">
        <v>0</v>
      </c>
      <c r="H520" s="19">
        <v>0.14293405172239426</v>
      </c>
      <c r="I520" s="19">
        <v>0</v>
      </c>
      <c r="J520" s="19">
        <v>0.14293405172239426</v>
      </c>
    </row>
    <row r="521" spans="1:10" ht="11.25" customHeight="1" x14ac:dyDescent="0.2">
      <c r="A521" s="28">
        <v>44378</v>
      </c>
      <c r="B521" s="18">
        <v>142195.99680000002</v>
      </c>
      <c r="C521" s="18">
        <v>162520.64676132862</v>
      </c>
      <c r="D521" s="18">
        <v>0</v>
      </c>
      <c r="E521" s="18">
        <v>0</v>
      </c>
      <c r="F521" s="18">
        <v>0</v>
      </c>
      <c r="G521" s="18">
        <v>0</v>
      </c>
      <c r="H521" s="19">
        <v>0.14293405172239426</v>
      </c>
      <c r="I521" s="19">
        <v>0</v>
      </c>
      <c r="J521" s="19">
        <v>0.14293405172239426</v>
      </c>
    </row>
    <row r="522" spans="1:10" ht="11.25" customHeight="1" x14ac:dyDescent="0.2">
      <c r="A522" s="28">
        <v>44409</v>
      </c>
      <c r="B522" s="18">
        <v>173258.34239999996</v>
      </c>
      <c r="C522" s="18">
        <v>198022.85927393788</v>
      </c>
      <c r="D522" s="18">
        <v>0</v>
      </c>
      <c r="E522" s="18">
        <v>0</v>
      </c>
      <c r="F522" s="18">
        <v>0</v>
      </c>
      <c r="G522" s="18">
        <v>0</v>
      </c>
      <c r="H522" s="19">
        <v>0.14293405172239448</v>
      </c>
      <c r="I522" s="19">
        <v>0</v>
      </c>
      <c r="J522" s="19">
        <v>0.14293405172239448</v>
      </c>
    </row>
    <row r="523" spans="1:10" ht="11.25" customHeight="1" x14ac:dyDescent="0.2">
      <c r="A523" s="28">
        <v>44440</v>
      </c>
      <c r="B523" s="18">
        <v>208031.3664</v>
      </c>
      <c r="C523" s="18">
        <v>237766.13248489797</v>
      </c>
      <c r="D523" s="18">
        <v>0</v>
      </c>
      <c r="E523" s="18">
        <v>0</v>
      </c>
      <c r="F523" s="18">
        <v>0</v>
      </c>
      <c r="G523" s="18">
        <v>0</v>
      </c>
      <c r="H523" s="19">
        <v>0.14293405172239426</v>
      </c>
      <c r="I523" s="19">
        <v>0</v>
      </c>
      <c r="J523" s="19">
        <v>0.14293405172239426</v>
      </c>
    </row>
    <row r="524" spans="1:10" ht="11.25" customHeight="1" x14ac:dyDescent="0.2">
      <c r="A524" s="28">
        <v>44470</v>
      </c>
      <c r="B524" s="18">
        <v>227774.97599999997</v>
      </c>
      <c r="C524" s="18">
        <v>260331.7762006511</v>
      </c>
      <c r="D524" s="18">
        <v>0</v>
      </c>
      <c r="E524" s="18">
        <v>0</v>
      </c>
      <c r="F524" s="18">
        <v>0</v>
      </c>
      <c r="G524" s="18">
        <v>0</v>
      </c>
      <c r="H524" s="19">
        <v>0.14293405172239448</v>
      </c>
      <c r="I524" s="19">
        <v>0</v>
      </c>
      <c r="J524" s="19">
        <v>0.14293405172239448</v>
      </c>
    </row>
    <row r="525" spans="1:10" ht="11.25" customHeight="1" x14ac:dyDescent="0.2">
      <c r="A525" s="28">
        <v>44501</v>
      </c>
      <c r="B525" s="18">
        <v>215359.37279999995</v>
      </c>
      <c r="C525" s="18">
        <v>246141.56053069758</v>
      </c>
      <c r="D525" s="18">
        <v>0</v>
      </c>
      <c r="E525" s="18">
        <v>0</v>
      </c>
      <c r="F525" s="18">
        <v>0</v>
      </c>
      <c r="G525" s="18">
        <v>0</v>
      </c>
      <c r="H525" s="19">
        <v>0.14293405172239448</v>
      </c>
      <c r="I525" s="19">
        <v>0</v>
      </c>
      <c r="J525" s="19">
        <v>0.14293405172239448</v>
      </c>
    </row>
    <row r="526" spans="1:10" ht="11.25" customHeight="1" x14ac:dyDescent="0.2">
      <c r="A526" s="28">
        <v>44531</v>
      </c>
      <c r="B526" s="18">
        <v>186817.48800000001</v>
      </c>
      <c r="C526" s="18">
        <v>213520.06849243978</v>
      </c>
      <c r="D526" s="18">
        <v>0</v>
      </c>
      <c r="E526" s="18">
        <v>0</v>
      </c>
      <c r="F526" s="18">
        <v>0</v>
      </c>
      <c r="G526" s="18">
        <v>0</v>
      </c>
      <c r="H526" s="19">
        <v>0.14293405172239426</v>
      </c>
      <c r="I526" s="19">
        <v>0</v>
      </c>
      <c r="J526" s="19">
        <v>0.14293405172239426</v>
      </c>
    </row>
    <row r="527" spans="1:10" ht="11.25" customHeight="1" x14ac:dyDescent="0.2">
      <c r="A527" s="28">
        <v>44562</v>
      </c>
      <c r="B527" s="18">
        <v>184483.728</v>
      </c>
      <c r="C527" s="18">
        <v>210852.73471989209</v>
      </c>
      <c r="D527" s="18">
        <v>0</v>
      </c>
      <c r="E527" s="18">
        <v>0</v>
      </c>
      <c r="F527" s="18">
        <v>0</v>
      </c>
      <c r="G527" s="18">
        <v>0</v>
      </c>
      <c r="H527" s="19">
        <v>0.14293405172239404</v>
      </c>
      <c r="I527" s="19">
        <v>0</v>
      </c>
      <c r="J527" s="19">
        <v>0.14293405172239404</v>
      </c>
    </row>
    <row r="528" spans="1:10" ht="11.25" customHeight="1" x14ac:dyDescent="0.2">
      <c r="A528" s="28">
        <v>44593</v>
      </c>
      <c r="B528" s="18">
        <v>208218.06719999999</v>
      </c>
      <c r="C528" s="18">
        <v>237979.51918670174</v>
      </c>
      <c r="D528" s="18">
        <v>0</v>
      </c>
      <c r="E528" s="18">
        <v>0</v>
      </c>
      <c r="F528" s="18">
        <v>0</v>
      </c>
      <c r="G528" s="18">
        <v>0</v>
      </c>
      <c r="H528" s="19">
        <v>0.14293405172239426</v>
      </c>
      <c r="I528" s="19">
        <v>0</v>
      </c>
      <c r="J528" s="19">
        <v>0.14293405172239426</v>
      </c>
    </row>
    <row r="529" spans="1:10" ht="11.25" customHeight="1" x14ac:dyDescent="0.2">
      <c r="A529" s="28">
        <v>44621</v>
      </c>
      <c r="B529" s="18">
        <v>208218.06719999999</v>
      </c>
      <c r="C529" s="18">
        <v>237979.51918670174</v>
      </c>
      <c r="D529" s="18">
        <v>0</v>
      </c>
      <c r="E529" s="18">
        <v>0</v>
      </c>
      <c r="F529" s="18">
        <v>0</v>
      </c>
      <c r="G529" s="18">
        <v>0</v>
      </c>
      <c r="H529" s="19">
        <v>0.14293405172239426</v>
      </c>
      <c r="I529" s="19">
        <v>0</v>
      </c>
      <c r="J529" s="19">
        <v>0.14293405172239426</v>
      </c>
    </row>
    <row r="530" spans="1:10" ht="11.25" customHeight="1" x14ac:dyDescent="0.2">
      <c r="A530" s="27" t="s">
        <v>34</v>
      </c>
      <c r="B530" s="18">
        <v>0</v>
      </c>
      <c r="C530" s="18">
        <v>0</v>
      </c>
      <c r="D530" s="18">
        <v>561194.65123199997</v>
      </c>
      <c r="E530" s="18">
        <v>689508.14603701327</v>
      </c>
      <c r="F530" s="18">
        <v>131099.29440000001</v>
      </c>
      <c r="G530" s="18">
        <v>137288.13328065508</v>
      </c>
      <c r="H530" s="19">
        <v>0.22864347427995702</v>
      </c>
      <c r="I530" s="19">
        <v>4.720726308237877E-2</v>
      </c>
      <c r="J530" s="19">
        <v>0.19428500644026303</v>
      </c>
    </row>
    <row r="531" spans="1:10" ht="11.25" customHeight="1" x14ac:dyDescent="0.2">
      <c r="A531" s="28">
        <v>44287</v>
      </c>
      <c r="B531" s="18">
        <v>0</v>
      </c>
      <c r="C531" s="18">
        <v>0</v>
      </c>
      <c r="D531" s="18">
        <v>46180.688774399998</v>
      </c>
      <c r="E531" s="18">
        <v>56739.601900420224</v>
      </c>
      <c r="F531" s="18">
        <v>10788.15648</v>
      </c>
      <c r="G531" s="18">
        <v>11297.435821125233</v>
      </c>
      <c r="H531" s="19">
        <v>0.22864347427995702</v>
      </c>
      <c r="I531" s="19">
        <v>4.7207263082379214E-2</v>
      </c>
      <c r="J531" s="19">
        <v>0.19428500644026325</v>
      </c>
    </row>
    <row r="532" spans="1:10" ht="11.25" customHeight="1" x14ac:dyDescent="0.2">
      <c r="A532" s="28">
        <v>44317</v>
      </c>
      <c r="B532" s="18">
        <v>0</v>
      </c>
      <c r="C532" s="18">
        <v>0</v>
      </c>
      <c r="D532" s="18">
        <v>390761.98502399994</v>
      </c>
      <c r="E532" s="18">
        <v>480107.16289641988</v>
      </c>
      <c r="F532" s="18">
        <v>91284.940799999997</v>
      </c>
      <c r="G532" s="18">
        <v>95594.253015805007</v>
      </c>
      <c r="H532" s="19">
        <v>0.22864347427995724</v>
      </c>
      <c r="I532" s="19">
        <v>4.7207263082379214E-2</v>
      </c>
      <c r="J532" s="19">
        <v>0.19428500644026347</v>
      </c>
    </row>
    <row r="533" spans="1:10" ht="11.25" customHeight="1" x14ac:dyDescent="0.2">
      <c r="A533" s="28">
        <v>44348</v>
      </c>
      <c r="B533" s="18">
        <v>0</v>
      </c>
      <c r="C533" s="18">
        <v>0</v>
      </c>
      <c r="D533" s="18">
        <v>36823.188902399997</v>
      </c>
      <c r="E533" s="18">
        <v>45242.570747111895</v>
      </c>
      <c r="F533" s="18">
        <v>8602.1740800000007</v>
      </c>
      <c r="G533" s="18">
        <v>9008.2591748749837</v>
      </c>
      <c r="H533" s="19">
        <v>0.22864347427995724</v>
      </c>
      <c r="I533" s="19">
        <v>4.7207263082379214E-2</v>
      </c>
      <c r="J533" s="19">
        <v>0.19428500644026347</v>
      </c>
    </row>
    <row r="534" spans="1:10" ht="11.25" customHeight="1" x14ac:dyDescent="0.2">
      <c r="A534" s="28">
        <v>44378</v>
      </c>
      <c r="B534" s="18">
        <v>0</v>
      </c>
      <c r="C534" s="18">
        <v>0</v>
      </c>
      <c r="D534" s="18">
        <v>42687.021887999996</v>
      </c>
      <c r="E534" s="18">
        <v>52447.130879136901</v>
      </c>
      <c r="F534" s="18">
        <v>9972.0096000000012</v>
      </c>
      <c r="G534" s="18">
        <v>10442.760880647213</v>
      </c>
      <c r="H534" s="19">
        <v>0.22864347427995746</v>
      </c>
      <c r="I534" s="19">
        <v>4.7207263082379214E-2</v>
      </c>
      <c r="J534" s="19">
        <v>0.19428500644026347</v>
      </c>
    </row>
    <row r="535" spans="1:10" ht="11.25" customHeight="1" x14ac:dyDescent="0.2">
      <c r="A535" s="28">
        <v>44409</v>
      </c>
      <c r="B535" s="18">
        <v>0</v>
      </c>
      <c r="C535" s="18">
        <v>0</v>
      </c>
      <c r="D535" s="18">
        <v>-313084.22204159998</v>
      </c>
      <c r="E535" s="18">
        <v>-384668.88631142897</v>
      </c>
      <c r="F535" s="18">
        <v>-73138.830719999998</v>
      </c>
      <c r="G535" s="18">
        <v>-76591.514743336636</v>
      </c>
      <c r="H535" s="19">
        <v>0.22864347427995724</v>
      </c>
      <c r="I535" s="19">
        <v>4.7207263082379214E-2</v>
      </c>
      <c r="J535" s="19">
        <v>0.19428500644026325</v>
      </c>
    </row>
    <row r="536" spans="1:10" ht="11.25" customHeight="1" x14ac:dyDescent="0.2">
      <c r="A536" s="28">
        <v>44440</v>
      </c>
      <c r="B536" s="18">
        <v>0</v>
      </c>
      <c r="C536" s="18">
        <v>0</v>
      </c>
      <c r="D536" s="18">
        <v>44094.401884799998</v>
      </c>
      <c r="E536" s="18">
        <v>54176.299128037368</v>
      </c>
      <c r="F536" s="18">
        <v>10300.784160000001</v>
      </c>
      <c r="G536" s="18">
        <v>10787.055987795924</v>
      </c>
      <c r="H536" s="19">
        <v>0.22864347427995724</v>
      </c>
      <c r="I536" s="19">
        <v>4.7207263082378992E-2</v>
      </c>
      <c r="J536" s="19">
        <v>0.19428500644026325</v>
      </c>
    </row>
    <row r="537" spans="1:10" ht="11.25" customHeight="1" x14ac:dyDescent="0.2">
      <c r="A537" s="28">
        <v>44470</v>
      </c>
      <c r="B537" s="18">
        <v>0</v>
      </c>
      <c r="C537" s="18">
        <v>0</v>
      </c>
      <c r="D537" s="18">
        <v>53047.862035199993</v>
      </c>
      <c r="E537" s="18">
        <v>65176.909514051957</v>
      </c>
      <c r="F537" s="18">
        <v>12392.37984</v>
      </c>
      <c r="G537" s="18">
        <v>12977.390175323651</v>
      </c>
      <c r="H537" s="19">
        <v>0.22864347427995724</v>
      </c>
      <c r="I537" s="19">
        <v>4.7207263082379214E-2</v>
      </c>
      <c r="J537" s="19">
        <v>0.19428500644026325</v>
      </c>
    </row>
    <row r="538" spans="1:10" ht="11.25" customHeight="1" x14ac:dyDescent="0.2">
      <c r="A538" s="28">
        <v>44501</v>
      </c>
      <c r="B538" s="18">
        <v>0</v>
      </c>
      <c r="C538" s="18">
        <v>0</v>
      </c>
      <c r="D538" s="18">
        <v>69834.285561599987</v>
      </c>
      <c r="E538" s="18">
        <v>85801.439236262857</v>
      </c>
      <c r="F538" s="18">
        <v>16313.81472</v>
      </c>
      <c r="G538" s="18">
        <v>17083.945263364229</v>
      </c>
      <c r="H538" s="19">
        <v>0.22864347427995724</v>
      </c>
      <c r="I538" s="19">
        <v>4.7207263082378992E-2</v>
      </c>
      <c r="J538" s="19">
        <v>0.19428500644026325</v>
      </c>
    </row>
    <row r="539" spans="1:10" ht="11.25" customHeight="1" x14ac:dyDescent="0.2">
      <c r="A539" s="28">
        <v>44531</v>
      </c>
      <c r="B539" s="18">
        <v>0</v>
      </c>
      <c r="C539" s="18">
        <v>0</v>
      </c>
      <c r="D539" s="18">
        <v>55387.988006399995</v>
      </c>
      <c r="E539" s="18">
        <v>68052.090017559894</v>
      </c>
      <c r="F539" s="18">
        <v>12939.050880000001</v>
      </c>
      <c r="G539" s="18">
        <v>13549.86805892845</v>
      </c>
      <c r="H539" s="19">
        <v>0.22864347427995724</v>
      </c>
      <c r="I539" s="19">
        <v>4.7207263082379214E-2</v>
      </c>
      <c r="J539" s="19">
        <v>0.19428500644026325</v>
      </c>
    </row>
    <row r="540" spans="1:10" ht="11.25" customHeight="1" x14ac:dyDescent="0.2">
      <c r="A540" s="28">
        <v>44562</v>
      </c>
      <c r="B540" s="18">
        <v>0</v>
      </c>
      <c r="C540" s="18">
        <v>0</v>
      </c>
      <c r="D540" s="18">
        <v>44782.320815999999</v>
      </c>
      <c r="E540" s="18">
        <v>55021.506233689885</v>
      </c>
      <c r="F540" s="18">
        <v>10461.4872</v>
      </c>
      <c r="G540" s="18">
        <v>10955.345378483344</v>
      </c>
      <c r="H540" s="19">
        <v>0.22864347427995724</v>
      </c>
      <c r="I540" s="19">
        <v>4.7207263082379436E-2</v>
      </c>
      <c r="J540" s="19">
        <v>0.19428500644026325</v>
      </c>
    </row>
    <row r="541" spans="1:10" ht="11.25" customHeight="1" x14ac:dyDescent="0.2">
      <c r="A541" s="28">
        <v>44593</v>
      </c>
      <c r="B541" s="18">
        <v>0</v>
      </c>
      <c r="C541" s="18">
        <v>0</v>
      </c>
      <c r="D541" s="18">
        <v>45339.565190399997</v>
      </c>
      <c r="E541" s="18">
        <v>55706.160897875663</v>
      </c>
      <c r="F541" s="18">
        <v>10591.663679999998</v>
      </c>
      <c r="G541" s="18">
        <v>11091.66713382184</v>
      </c>
      <c r="H541" s="19">
        <v>0.22864347427995724</v>
      </c>
      <c r="I541" s="19">
        <v>4.7207263082379436E-2</v>
      </c>
      <c r="J541" s="19">
        <v>0.19428500644026325</v>
      </c>
    </row>
    <row r="542" spans="1:10" ht="11.25" customHeight="1" x14ac:dyDescent="0.2">
      <c r="A542" s="28">
        <v>44621</v>
      </c>
      <c r="B542" s="18">
        <v>0</v>
      </c>
      <c r="C542" s="18">
        <v>0</v>
      </c>
      <c r="D542" s="18">
        <v>45339.565190399997</v>
      </c>
      <c r="E542" s="18">
        <v>55706.160897875663</v>
      </c>
      <c r="F542" s="18">
        <v>10591.663679999998</v>
      </c>
      <c r="G542" s="18">
        <v>11091.66713382184</v>
      </c>
      <c r="H542" s="19">
        <v>0.22864347427995724</v>
      </c>
      <c r="I542" s="19">
        <v>4.7207263082379436E-2</v>
      </c>
      <c r="J542" s="19">
        <v>0.19428500644026325</v>
      </c>
    </row>
    <row r="543" spans="1:10" ht="11.25" customHeight="1" x14ac:dyDescent="0.2">
      <c r="A543" s="23" t="s">
        <v>50</v>
      </c>
      <c r="B543" s="18">
        <v>2456972.804</v>
      </c>
      <c r="C543" s="18">
        <v>2808157.8818474519</v>
      </c>
      <c r="D543" s="18">
        <v>8115403.0875623999</v>
      </c>
      <c r="E543" s="18">
        <v>10151148.286963748</v>
      </c>
      <c r="F543" s="18">
        <v>11884077.189736197</v>
      </c>
      <c r="G543" s="18">
        <v>12627337.169229623</v>
      </c>
      <c r="H543" s="19">
        <v>0.22577047030211661</v>
      </c>
      <c r="I543" s="19">
        <v>6.2542506887732774E-2</v>
      </c>
      <c r="J543" s="19">
        <v>0.13938934369599987</v>
      </c>
    </row>
    <row r="544" spans="1:10" ht="11.25" customHeight="1" x14ac:dyDescent="0.2">
      <c r="A544" s="24" t="s">
        <v>51</v>
      </c>
      <c r="B544" s="18">
        <v>2456972.804</v>
      </c>
      <c r="C544" s="18">
        <v>2808157.8818474519</v>
      </c>
      <c r="D544" s="18">
        <v>8115403.0875623999</v>
      </c>
      <c r="E544" s="18">
        <v>10151148.286963748</v>
      </c>
      <c r="F544" s="18">
        <v>11884077.189736197</v>
      </c>
      <c r="G544" s="18">
        <v>12627337.169229623</v>
      </c>
      <c r="H544" s="19">
        <v>0.22577047030211661</v>
      </c>
      <c r="I544" s="19">
        <v>6.2542506887732774E-2</v>
      </c>
      <c r="J544" s="19">
        <v>0.13938934369599987</v>
      </c>
    </row>
    <row r="545" spans="1:10" ht="11.25" customHeight="1" x14ac:dyDescent="0.2">
      <c r="A545" s="25" t="s">
        <v>25</v>
      </c>
      <c r="B545" s="18">
        <v>2456972.804</v>
      </c>
      <c r="C545" s="18">
        <v>2808157.8818474519</v>
      </c>
      <c r="D545" s="18">
        <v>8115403.0875623999</v>
      </c>
      <c r="E545" s="18">
        <v>10151148.286963748</v>
      </c>
      <c r="F545" s="18">
        <v>11884077.189736197</v>
      </c>
      <c r="G545" s="18">
        <v>12627337.169229623</v>
      </c>
      <c r="H545" s="19">
        <v>0.22577047030211661</v>
      </c>
      <c r="I545" s="19">
        <v>6.2542506887732774E-2</v>
      </c>
      <c r="J545" s="19">
        <v>0.13938934369599987</v>
      </c>
    </row>
    <row r="546" spans="1:10" ht="11.25" customHeight="1" x14ac:dyDescent="0.2">
      <c r="A546" s="26" t="s">
        <v>25</v>
      </c>
      <c r="B546" s="18">
        <v>2456972.804</v>
      </c>
      <c r="C546" s="18">
        <v>2808157.8818474519</v>
      </c>
      <c r="D546" s="18">
        <v>8115403.0875623999</v>
      </c>
      <c r="E546" s="18">
        <v>10151148.286963748</v>
      </c>
      <c r="F546" s="18">
        <v>11884077.189736197</v>
      </c>
      <c r="G546" s="18">
        <v>12627337.169229623</v>
      </c>
      <c r="H546" s="19">
        <v>0.22577047030211661</v>
      </c>
      <c r="I546" s="19">
        <v>6.2542506887732774E-2</v>
      </c>
      <c r="J546" s="19">
        <v>0.13938934369599987</v>
      </c>
    </row>
    <row r="547" spans="1:10" ht="11.25" customHeight="1" x14ac:dyDescent="0.2">
      <c r="A547" s="27" t="s">
        <v>35</v>
      </c>
      <c r="B547" s="18">
        <v>0</v>
      </c>
      <c r="C547" s="18">
        <v>0</v>
      </c>
      <c r="D547" s="18">
        <v>2434701.7629054002</v>
      </c>
      <c r="E547" s="18">
        <v>3171591.6750904159</v>
      </c>
      <c r="F547" s="18">
        <v>10557022.6040862</v>
      </c>
      <c r="G547" s="18">
        <v>11237635.968630167</v>
      </c>
      <c r="H547" s="19">
        <v>0.30266126365541535</v>
      </c>
      <c r="I547" s="19">
        <v>6.4470200554513024E-2</v>
      </c>
      <c r="J547" s="19">
        <v>0.10910817045429821</v>
      </c>
    </row>
    <row r="548" spans="1:10" ht="11.25" customHeight="1" x14ac:dyDescent="0.2">
      <c r="A548" s="28">
        <v>44287</v>
      </c>
      <c r="B548" s="18">
        <v>0</v>
      </c>
      <c r="C548" s="18">
        <v>0</v>
      </c>
      <c r="D548" s="18">
        <v>304794.84458040004</v>
      </c>
      <c r="E548" s="18">
        <v>397044.43739675981</v>
      </c>
      <c r="F548" s="18">
        <v>1321609.9453612</v>
      </c>
      <c r="G548" s="18">
        <v>1406814.4035934755</v>
      </c>
      <c r="H548" s="19">
        <v>0.30266126365541535</v>
      </c>
      <c r="I548" s="19">
        <v>6.4470200554513024E-2</v>
      </c>
      <c r="J548" s="19">
        <v>0.10910817045429821</v>
      </c>
    </row>
    <row r="549" spans="1:10" ht="11.25" customHeight="1" x14ac:dyDescent="0.2">
      <c r="A549" s="28">
        <v>44317</v>
      </c>
      <c r="B549" s="18">
        <v>0</v>
      </c>
      <c r="C549" s="18">
        <v>0</v>
      </c>
      <c r="D549" s="18">
        <v>304057.57582800003</v>
      </c>
      <c r="E549" s="18">
        <v>396084.02595210477</v>
      </c>
      <c r="F549" s="18">
        <v>1318413.1008840001</v>
      </c>
      <c r="G549" s="18">
        <v>1403411.4579116888</v>
      </c>
      <c r="H549" s="19">
        <v>0.30266126365541535</v>
      </c>
      <c r="I549" s="19">
        <v>6.4470200554513024E-2</v>
      </c>
      <c r="J549" s="19">
        <v>0.10910817045429821</v>
      </c>
    </row>
    <row r="550" spans="1:10" ht="11.25" customHeight="1" x14ac:dyDescent="0.2">
      <c r="A550" s="28">
        <v>44348</v>
      </c>
      <c r="B550" s="18">
        <v>0</v>
      </c>
      <c r="C550" s="18">
        <v>0</v>
      </c>
      <c r="D550" s="18">
        <v>196457.30270760003</v>
      </c>
      <c r="E550" s="18">
        <v>255917.31819941668</v>
      </c>
      <c r="F550" s="18">
        <v>851851.43290280004</v>
      </c>
      <c r="G550" s="18">
        <v>906770.46562469273</v>
      </c>
      <c r="H550" s="19">
        <v>0.30266126365541512</v>
      </c>
      <c r="I550" s="19">
        <v>6.4470200554512802E-2</v>
      </c>
      <c r="J550" s="19">
        <v>0.10910817045429821</v>
      </c>
    </row>
    <row r="551" spans="1:10" ht="11.25" customHeight="1" x14ac:dyDescent="0.2">
      <c r="A551" s="28">
        <v>44378</v>
      </c>
      <c r="B551" s="18">
        <v>0</v>
      </c>
      <c r="C551" s="18">
        <v>0</v>
      </c>
      <c r="D551" s="18">
        <v>206396.55105060001</v>
      </c>
      <c r="E551" s="18">
        <v>268864.79200569406</v>
      </c>
      <c r="F551" s="18">
        <v>894948.64958179998</v>
      </c>
      <c r="G551" s="18">
        <v>952646.16850632906</v>
      </c>
      <c r="H551" s="19">
        <v>0.30266126365541535</v>
      </c>
      <c r="I551" s="19">
        <v>6.4470200554512802E-2</v>
      </c>
      <c r="J551" s="19">
        <v>0.10910817045429844</v>
      </c>
    </row>
    <row r="552" spans="1:10" ht="11.25" customHeight="1" x14ac:dyDescent="0.2">
      <c r="A552" s="28">
        <v>44409</v>
      </c>
      <c r="B552" s="18">
        <v>0</v>
      </c>
      <c r="C552" s="18">
        <v>0</v>
      </c>
      <c r="D552" s="18">
        <v>184812.09023220002</v>
      </c>
      <c r="E552" s="18">
        <v>240747.55100067629</v>
      </c>
      <c r="F552" s="18">
        <v>801357.04660659994</v>
      </c>
      <c r="G552" s="18">
        <v>853020.69611709961</v>
      </c>
      <c r="H552" s="19">
        <v>0.30266126365541512</v>
      </c>
      <c r="I552" s="19">
        <v>6.4470200554513024E-2</v>
      </c>
      <c r="J552" s="19">
        <v>0.10910817045429844</v>
      </c>
    </row>
    <row r="553" spans="1:10" ht="11.25" customHeight="1" x14ac:dyDescent="0.2">
      <c r="A553" s="28">
        <v>44440</v>
      </c>
      <c r="B553" s="18">
        <v>0</v>
      </c>
      <c r="C553" s="18">
        <v>0</v>
      </c>
      <c r="D553" s="18">
        <v>179848.99632060001</v>
      </c>
      <c r="E553" s="18">
        <v>234282.32081415097</v>
      </c>
      <c r="F553" s="18">
        <v>779836.75389180006</v>
      </c>
      <c r="G553" s="18">
        <v>830112.98581498466</v>
      </c>
      <c r="H553" s="19">
        <v>0.30266126365541535</v>
      </c>
      <c r="I553" s="19">
        <v>6.4470200554512802E-2</v>
      </c>
      <c r="J553" s="19">
        <v>0.10910817045429821</v>
      </c>
    </row>
    <row r="554" spans="1:10" ht="11.25" customHeight="1" x14ac:dyDescent="0.2">
      <c r="A554" s="28">
        <v>44470</v>
      </c>
      <c r="B554" s="18">
        <v>0</v>
      </c>
      <c r="C554" s="18">
        <v>0</v>
      </c>
      <c r="D554" s="18">
        <v>181747.92842820002</v>
      </c>
      <c r="E554" s="18">
        <v>236755.98611303302</v>
      </c>
      <c r="F554" s="18">
        <v>788070.64499459998</v>
      </c>
      <c r="G554" s="18">
        <v>838877.71752852621</v>
      </c>
      <c r="H554" s="19">
        <v>0.30266126365541535</v>
      </c>
      <c r="I554" s="19">
        <v>6.4470200554513024E-2</v>
      </c>
      <c r="J554" s="19">
        <v>0.10910817045429821</v>
      </c>
    </row>
    <row r="555" spans="1:10" ht="11.25" customHeight="1" x14ac:dyDescent="0.2">
      <c r="A555" s="28">
        <v>44501</v>
      </c>
      <c r="B555" s="18">
        <v>0</v>
      </c>
      <c r="C555" s="18">
        <v>0</v>
      </c>
      <c r="D555" s="18">
        <v>163323.00494400001</v>
      </c>
      <c r="E555" s="18">
        <v>212754.5520043507</v>
      </c>
      <c r="F555" s="18">
        <v>708178.99803200003</v>
      </c>
      <c r="G555" s="18">
        <v>753835.44006361696</v>
      </c>
      <c r="H555" s="19">
        <v>0.30266126365541535</v>
      </c>
      <c r="I555" s="19">
        <v>6.4470200554512802E-2</v>
      </c>
      <c r="J555" s="19">
        <v>0.10910817045429799</v>
      </c>
    </row>
    <row r="556" spans="1:10" ht="11.25" customHeight="1" x14ac:dyDescent="0.2">
      <c r="A556" s="28">
        <v>44531</v>
      </c>
      <c r="B556" s="18">
        <v>0</v>
      </c>
      <c r="C556" s="18">
        <v>0</v>
      </c>
      <c r="D556" s="18">
        <v>180239.84803860003</v>
      </c>
      <c r="E556" s="18">
        <v>234791.46820702273</v>
      </c>
      <c r="F556" s="18">
        <v>781531.51194580004</v>
      </c>
      <c r="G556" s="18">
        <v>831917.00526061747</v>
      </c>
      <c r="H556" s="19">
        <v>0.30266126365541512</v>
      </c>
      <c r="I556" s="19">
        <v>6.4470200554512802E-2</v>
      </c>
      <c r="J556" s="19">
        <v>0.10910817045429799</v>
      </c>
    </row>
    <row r="557" spans="1:10" ht="11.25" customHeight="1" x14ac:dyDescent="0.2">
      <c r="A557" s="28">
        <v>44562</v>
      </c>
      <c r="B557" s="18">
        <v>0</v>
      </c>
      <c r="C557" s="18">
        <v>0</v>
      </c>
      <c r="D557" s="18">
        <v>189427.56226440001</v>
      </c>
      <c r="E557" s="18">
        <v>246759.94763050819</v>
      </c>
      <c r="F557" s="18">
        <v>821370.02861319995</v>
      </c>
      <c r="G557" s="18">
        <v>874323.91908735898</v>
      </c>
      <c r="H557" s="19">
        <v>0.30266126365541535</v>
      </c>
      <c r="I557" s="19">
        <v>6.4470200554513024E-2</v>
      </c>
      <c r="J557" s="19">
        <v>0.10910817045429821</v>
      </c>
    </row>
    <row r="558" spans="1:10" ht="11.25" customHeight="1" x14ac:dyDescent="0.2">
      <c r="A558" s="28">
        <v>44593</v>
      </c>
      <c r="B558" s="18">
        <v>0</v>
      </c>
      <c r="C558" s="18">
        <v>0</v>
      </c>
      <c r="D558" s="18">
        <v>171798.0292554</v>
      </c>
      <c r="E558" s="18">
        <v>223794.63788334938</v>
      </c>
      <c r="F558" s="18">
        <v>744927.24563620007</v>
      </c>
      <c r="G558" s="18">
        <v>792952.85456088674</v>
      </c>
      <c r="H558" s="19">
        <v>0.30266126365541535</v>
      </c>
      <c r="I558" s="19">
        <v>6.4470200554512802E-2</v>
      </c>
      <c r="J558" s="19">
        <v>0.10910817045429821</v>
      </c>
    </row>
    <row r="559" spans="1:10" ht="11.25" customHeight="1" x14ac:dyDescent="0.2">
      <c r="A559" s="28">
        <v>44621</v>
      </c>
      <c r="B559" s="18">
        <v>0</v>
      </c>
      <c r="C559" s="18">
        <v>0</v>
      </c>
      <c r="D559" s="18">
        <v>171798.0292554</v>
      </c>
      <c r="E559" s="18">
        <v>223794.63788334938</v>
      </c>
      <c r="F559" s="18">
        <v>744927.24563620007</v>
      </c>
      <c r="G559" s="18">
        <v>792952.85456088674</v>
      </c>
      <c r="H559" s="19">
        <v>0.30266126365541535</v>
      </c>
      <c r="I559" s="19">
        <v>6.4470200554512802E-2</v>
      </c>
      <c r="J559" s="19">
        <v>0.10910817045429821</v>
      </c>
    </row>
    <row r="560" spans="1:10" ht="11.25" customHeight="1" x14ac:dyDescent="0.2">
      <c r="A560" s="27" t="s">
        <v>25</v>
      </c>
      <c r="B560" s="18">
        <v>2456972.804</v>
      </c>
      <c r="C560" s="18">
        <v>2808157.8818474519</v>
      </c>
      <c r="D560" s="18">
        <v>0</v>
      </c>
      <c r="E560" s="18">
        <v>0</v>
      </c>
      <c r="F560" s="18">
        <v>0</v>
      </c>
      <c r="G560" s="18">
        <v>0</v>
      </c>
      <c r="H560" s="19">
        <v>0.14293405172239448</v>
      </c>
      <c r="I560" s="19">
        <v>0</v>
      </c>
      <c r="J560" s="19">
        <v>0.14293405172239448</v>
      </c>
    </row>
    <row r="561" spans="1:10" ht="11.25" customHeight="1" x14ac:dyDescent="0.2">
      <c r="A561" s="28">
        <v>44287</v>
      </c>
      <c r="B561" s="18">
        <v>293318.38250000001</v>
      </c>
      <c r="C561" s="18">
        <v>335243.56735538406</v>
      </c>
      <c r="D561" s="18">
        <v>0</v>
      </c>
      <c r="E561" s="18">
        <v>0</v>
      </c>
      <c r="F561" s="18">
        <v>0</v>
      </c>
      <c r="G561" s="18">
        <v>0</v>
      </c>
      <c r="H561" s="19">
        <v>0.14293405172239426</v>
      </c>
      <c r="I561" s="19">
        <v>0</v>
      </c>
      <c r="J561" s="19">
        <v>0.14293405172239426</v>
      </c>
    </row>
    <row r="562" spans="1:10" ht="11.25" customHeight="1" x14ac:dyDescent="0.2">
      <c r="A562" s="28">
        <v>44317</v>
      </c>
      <c r="B562" s="18">
        <v>294496.20199999993</v>
      </c>
      <c r="C562" s="18">
        <v>336589.73736871663</v>
      </c>
      <c r="D562" s="18">
        <v>0</v>
      </c>
      <c r="E562" s="18">
        <v>0</v>
      </c>
      <c r="F562" s="18">
        <v>0</v>
      </c>
      <c r="G562" s="18">
        <v>0</v>
      </c>
      <c r="H562" s="19">
        <v>0.14293405172239448</v>
      </c>
      <c r="I562" s="19">
        <v>0</v>
      </c>
      <c r="J562" s="19">
        <v>0.14293405172239448</v>
      </c>
    </row>
    <row r="563" spans="1:10" ht="11.25" customHeight="1" x14ac:dyDescent="0.2">
      <c r="A563" s="28">
        <v>44348</v>
      </c>
      <c r="B563" s="18">
        <v>206283.72049999997</v>
      </c>
      <c r="C563" s="18">
        <v>235768.6884754349</v>
      </c>
      <c r="D563" s="18">
        <v>0</v>
      </c>
      <c r="E563" s="18">
        <v>0</v>
      </c>
      <c r="F563" s="18">
        <v>0</v>
      </c>
      <c r="G563" s="18">
        <v>0</v>
      </c>
      <c r="H563" s="19">
        <v>0.14293405172239426</v>
      </c>
      <c r="I563" s="19">
        <v>0</v>
      </c>
      <c r="J563" s="19">
        <v>0.14293405172239426</v>
      </c>
    </row>
    <row r="564" spans="1:10" ht="11.25" customHeight="1" x14ac:dyDescent="0.2">
      <c r="A564" s="28">
        <v>44378</v>
      </c>
      <c r="B564" s="18">
        <v>204382.67850000001</v>
      </c>
      <c r="C564" s="18">
        <v>233595.92283988048</v>
      </c>
      <c r="D564" s="18">
        <v>0</v>
      </c>
      <c r="E564" s="18">
        <v>0</v>
      </c>
      <c r="F564" s="18">
        <v>0</v>
      </c>
      <c r="G564" s="18">
        <v>0</v>
      </c>
      <c r="H564" s="19">
        <v>0.14293405172239426</v>
      </c>
      <c r="I564" s="19">
        <v>0</v>
      </c>
      <c r="J564" s="19">
        <v>0.14293405172239426</v>
      </c>
    </row>
    <row r="565" spans="1:10" ht="11.25" customHeight="1" x14ac:dyDescent="0.2">
      <c r="A565" s="28">
        <v>44409</v>
      </c>
      <c r="B565" s="18">
        <v>181632.16499999998</v>
      </c>
      <c r="C565" s="18">
        <v>207593.58626656045</v>
      </c>
      <c r="D565" s="18">
        <v>0</v>
      </c>
      <c r="E565" s="18">
        <v>0</v>
      </c>
      <c r="F565" s="18">
        <v>0</v>
      </c>
      <c r="G565" s="18">
        <v>0</v>
      </c>
      <c r="H565" s="19">
        <v>0.14293405172239448</v>
      </c>
      <c r="I565" s="19">
        <v>0</v>
      </c>
      <c r="J565" s="19">
        <v>0.14293405172239448</v>
      </c>
    </row>
    <row r="566" spans="1:10" ht="11.25" customHeight="1" x14ac:dyDescent="0.2">
      <c r="A566" s="28">
        <v>44440</v>
      </c>
      <c r="B566" s="18">
        <v>182603.34949999998</v>
      </c>
      <c r="C566" s="18">
        <v>208703.58610211543</v>
      </c>
      <c r="D566" s="18">
        <v>0</v>
      </c>
      <c r="E566" s="18">
        <v>0</v>
      </c>
      <c r="F566" s="18">
        <v>0</v>
      </c>
      <c r="G566" s="18">
        <v>0</v>
      </c>
      <c r="H566" s="19">
        <v>0.14293405172239426</v>
      </c>
      <c r="I566" s="19">
        <v>0</v>
      </c>
      <c r="J566" s="19">
        <v>0.14293405172239426</v>
      </c>
    </row>
    <row r="567" spans="1:10" ht="11.25" customHeight="1" x14ac:dyDescent="0.2">
      <c r="A567" s="28">
        <v>44470</v>
      </c>
      <c r="B567" s="18">
        <v>179813.77699999997</v>
      </c>
      <c r="C567" s="18">
        <v>205515.28870211708</v>
      </c>
      <c r="D567" s="18">
        <v>0</v>
      </c>
      <c r="E567" s="18">
        <v>0</v>
      </c>
      <c r="F567" s="18">
        <v>0</v>
      </c>
      <c r="G567" s="18">
        <v>0</v>
      </c>
      <c r="H567" s="19">
        <v>0.14293405172239448</v>
      </c>
      <c r="I567" s="19">
        <v>0</v>
      </c>
      <c r="J567" s="19">
        <v>0.14293405172239448</v>
      </c>
    </row>
    <row r="568" spans="1:10" ht="11.25" customHeight="1" x14ac:dyDescent="0.2">
      <c r="A568" s="28">
        <v>44501</v>
      </c>
      <c r="B568" s="18">
        <v>182024.77149999997</v>
      </c>
      <c r="C568" s="18">
        <v>208042.30960433799</v>
      </c>
      <c r="D568" s="18">
        <v>0</v>
      </c>
      <c r="E568" s="18">
        <v>0</v>
      </c>
      <c r="F568" s="18">
        <v>0</v>
      </c>
      <c r="G568" s="18">
        <v>0</v>
      </c>
      <c r="H568" s="19">
        <v>0.14293405172239448</v>
      </c>
      <c r="I568" s="19">
        <v>0</v>
      </c>
      <c r="J568" s="19">
        <v>0.14293405172239448</v>
      </c>
    </row>
    <row r="569" spans="1:10" ht="11.25" customHeight="1" x14ac:dyDescent="0.2">
      <c r="A569" s="28">
        <v>44531</v>
      </c>
      <c r="B569" s="18">
        <v>180950.26949999999</v>
      </c>
      <c r="C569" s="18">
        <v>206814.22467989419</v>
      </c>
      <c r="D569" s="18">
        <v>0</v>
      </c>
      <c r="E569" s="18">
        <v>0</v>
      </c>
      <c r="F569" s="18">
        <v>0</v>
      </c>
      <c r="G569" s="18">
        <v>0</v>
      </c>
      <c r="H569" s="19">
        <v>0.14293405172239426</v>
      </c>
      <c r="I569" s="19">
        <v>0</v>
      </c>
      <c r="J569" s="19">
        <v>0.14293405172239426</v>
      </c>
    </row>
    <row r="570" spans="1:10" ht="11.25" customHeight="1" x14ac:dyDescent="0.2">
      <c r="A570" s="28">
        <v>44562</v>
      </c>
      <c r="B570" s="18">
        <v>182830.64799999999</v>
      </c>
      <c r="C570" s="18">
        <v>208963.37329767086</v>
      </c>
      <c r="D570" s="18">
        <v>0</v>
      </c>
      <c r="E570" s="18">
        <v>0</v>
      </c>
      <c r="F570" s="18">
        <v>0</v>
      </c>
      <c r="G570" s="18">
        <v>0</v>
      </c>
      <c r="H570" s="19">
        <v>0.14293405172239426</v>
      </c>
      <c r="I570" s="19">
        <v>0</v>
      </c>
      <c r="J570" s="19">
        <v>0.14293405172239426</v>
      </c>
    </row>
    <row r="571" spans="1:10" ht="11.25" customHeight="1" x14ac:dyDescent="0.2">
      <c r="A571" s="28">
        <v>44593</v>
      </c>
      <c r="B571" s="18">
        <v>184318.41999999998</v>
      </c>
      <c r="C571" s="18">
        <v>210663.79857767001</v>
      </c>
      <c r="D571" s="18">
        <v>0</v>
      </c>
      <c r="E571" s="18">
        <v>0</v>
      </c>
      <c r="F571" s="18">
        <v>0</v>
      </c>
      <c r="G571" s="18">
        <v>0</v>
      </c>
      <c r="H571" s="19">
        <v>0.14293405172239448</v>
      </c>
      <c r="I571" s="19">
        <v>0</v>
      </c>
      <c r="J571" s="19">
        <v>0.14293405172239448</v>
      </c>
    </row>
    <row r="572" spans="1:10" ht="11.25" customHeight="1" x14ac:dyDescent="0.2">
      <c r="A572" s="28">
        <v>44621</v>
      </c>
      <c r="B572" s="18">
        <v>184318.41999999998</v>
      </c>
      <c r="C572" s="18">
        <v>210663.79857767001</v>
      </c>
      <c r="D572" s="18">
        <v>0</v>
      </c>
      <c r="E572" s="18">
        <v>0</v>
      </c>
      <c r="F572" s="18">
        <v>0</v>
      </c>
      <c r="G572" s="18">
        <v>0</v>
      </c>
      <c r="H572" s="19">
        <v>0.14293405172239448</v>
      </c>
      <c r="I572" s="19">
        <v>0</v>
      </c>
      <c r="J572" s="19">
        <v>0.14293405172239448</v>
      </c>
    </row>
    <row r="573" spans="1:10" ht="11.25" customHeight="1" x14ac:dyDescent="0.2">
      <c r="A573" s="27" t="s">
        <v>34</v>
      </c>
      <c r="B573" s="18">
        <v>0</v>
      </c>
      <c r="C573" s="18">
        <v>0</v>
      </c>
      <c r="D573" s="18">
        <v>5680701.3246569997</v>
      </c>
      <c r="E573" s="18">
        <v>6979556.6118733305</v>
      </c>
      <c r="F573" s="18">
        <v>1327054.5856499998</v>
      </c>
      <c r="G573" s="18">
        <v>1389701.2005994576</v>
      </c>
      <c r="H573" s="19">
        <v>0.22864347427995702</v>
      </c>
      <c r="I573" s="19">
        <v>4.7207263082379658E-2</v>
      </c>
      <c r="J573" s="19">
        <v>0.19428500644026347</v>
      </c>
    </row>
    <row r="574" spans="1:10" ht="11.25" customHeight="1" x14ac:dyDescent="0.2">
      <c r="A574" s="28">
        <v>44287</v>
      </c>
      <c r="B574" s="18">
        <v>0</v>
      </c>
      <c r="C574" s="18">
        <v>0</v>
      </c>
      <c r="D574" s="18">
        <v>760359.44819999998</v>
      </c>
      <c r="E574" s="18">
        <v>934210.67413803912</v>
      </c>
      <c r="F574" s="18">
        <v>177625.69</v>
      </c>
      <c r="G574" s="18">
        <v>186010.91267801914</v>
      </c>
      <c r="H574" s="19">
        <v>0.22864347427995724</v>
      </c>
      <c r="I574" s="19">
        <v>4.7207263082379214E-2</v>
      </c>
      <c r="J574" s="19">
        <v>0.19428500644026347</v>
      </c>
    </row>
    <row r="575" spans="1:10" ht="11.25" customHeight="1" x14ac:dyDescent="0.2">
      <c r="A575" s="28">
        <v>44317</v>
      </c>
      <c r="B575" s="18">
        <v>0</v>
      </c>
      <c r="C575" s="18">
        <v>0</v>
      </c>
      <c r="D575" s="18">
        <v>688181.1877758</v>
      </c>
      <c r="E575" s="18">
        <v>845529.32548296649</v>
      </c>
      <c r="F575" s="18">
        <v>160764.30511000002</v>
      </c>
      <c r="G575" s="18">
        <v>168353.54795558364</v>
      </c>
      <c r="H575" s="19">
        <v>0.22864347427995724</v>
      </c>
      <c r="I575" s="19">
        <v>4.7207263082378992E-2</v>
      </c>
      <c r="J575" s="19">
        <v>0.19428500644026325</v>
      </c>
    </row>
    <row r="576" spans="1:10" ht="11.25" customHeight="1" x14ac:dyDescent="0.2">
      <c r="A576" s="28">
        <v>44348</v>
      </c>
      <c r="B576" s="18">
        <v>0</v>
      </c>
      <c r="C576" s="18">
        <v>0</v>
      </c>
      <c r="D576" s="18">
        <v>455796.51525900001</v>
      </c>
      <c r="E576" s="18">
        <v>560011.41407251533</v>
      </c>
      <c r="F576" s="18">
        <v>106477.49655000001</v>
      </c>
      <c r="G576" s="18">
        <v>111504.00774198899</v>
      </c>
      <c r="H576" s="19">
        <v>0.22864347427995724</v>
      </c>
      <c r="I576" s="19">
        <v>4.7207263082379214E-2</v>
      </c>
      <c r="J576" s="19">
        <v>0.19428500644026325</v>
      </c>
    </row>
    <row r="577" spans="1:10" ht="11.25" customHeight="1" x14ac:dyDescent="0.2">
      <c r="A577" s="28">
        <v>44378</v>
      </c>
      <c r="B577" s="18">
        <v>0</v>
      </c>
      <c r="C577" s="18">
        <v>0</v>
      </c>
      <c r="D577" s="18">
        <v>495249.90511859994</v>
      </c>
      <c r="E577" s="18">
        <v>608485.56406173576</v>
      </c>
      <c r="F577" s="18">
        <v>115694.10536999999</v>
      </c>
      <c r="G577" s="18">
        <v>121155.70743928208</v>
      </c>
      <c r="H577" s="19">
        <v>0.22864347427995724</v>
      </c>
      <c r="I577" s="19">
        <v>4.7207263082379214E-2</v>
      </c>
      <c r="J577" s="19">
        <v>0.19428500644026347</v>
      </c>
    </row>
    <row r="578" spans="1:10" ht="11.25" customHeight="1" x14ac:dyDescent="0.2">
      <c r="A578" s="28">
        <v>44409</v>
      </c>
      <c r="B578" s="18">
        <v>0</v>
      </c>
      <c r="C578" s="18">
        <v>0</v>
      </c>
      <c r="D578" s="18">
        <v>504958.09219320002</v>
      </c>
      <c r="E578" s="18">
        <v>620413.46475803212</v>
      </c>
      <c r="F578" s="18">
        <v>117962.01094000001</v>
      </c>
      <c r="G578" s="18">
        <v>123530.67462417108</v>
      </c>
      <c r="H578" s="19">
        <v>0.22864347427995702</v>
      </c>
      <c r="I578" s="19">
        <v>4.7207263082379214E-2</v>
      </c>
      <c r="J578" s="19">
        <v>0.19428500644026325</v>
      </c>
    </row>
    <row r="579" spans="1:10" ht="11.25" customHeight="1" x14ac:dyDescent="0.2">
      <c r="A579" s="28">
        <v>44440</v>
      </c>
      <c r="B579" s="18">
        <v>0</v>
      </c>
      <c r="C579" s="18">
        <v>0</v>
      </c>
      <c r="D579" s="18">
        <v>375963.18534179998</v>
      </c>
      <c r="E579" s="18">
        <v>461924.71423970856</v>
      </c>
      <c r="F579" s="18">
        <v>87827.829809999996</v>
      </c>
      <c r="G579" s="18">
        <v>91973.941277795093</v>
      </c>
      <c r="H579" s="19">
        <v>0.22864347427995702</v>
      </c>
      <c r="I579" s="19">
        <v>4.7207263082379214E-2</v>
      </c>
      <c r="J579" s="19">
        <v>0.19428500644026303</v>
      </c>
    </row>
    <row r="580" spans="1:10" ht="11.25" customHeight="1" x14ac:dyDescent="0.2">
      <c r="A580" s="28">
        <v>44470</v>
      </c>
      <c r="B580" s="18">
        <v>0</v>
      </c>
      <c r="C580" s="18">
        <v>0</v>
      </c>
      <c r="D580" s="18">
        <v>374704.25364419998</v>
      </c>
      <c r="E580" s="18">
        <v>460377.93602488813</v>
      </c>
      <c r="F580" s="18">
        <v>87533.733889999989</v>
      </c>
      <c r="G580" s="18">
        <v>91665.961894328197</v>
      </c>
      <c r="H580" s="19">
        <v>0.22864347427995702</v>
      </c>
      <c r="I580" s="19">
        <v>4.7207263082379214E-2</v>
      </c>
      <c r="J580" s="19">
        <v>0.19428500644026325</v>
      </c>
    </row>
    <row r="581" spans="1:10" ht="11.25" customHeight="1" x14ac:dyDescent="0.2">
      <c r="A581" s="28">
        <v>44501</v>
      </c>
      <c r="B581" s="18">
        <v>0</v>
      </c>
      <c r="C581" s="18">
        <v>0</v>
      </c>
      <c r="D581" s="18">
        <v>386852.3562402</v>
      </c>
      <c r="E581" s="18">
        <v>475303.62300434697</v>
      </c>
      <c r="F581" s="18">
        <v>90371.622090000004</v>
      </c>
      <c r="G581" s="18">
        <v>94637.819029183986</v>
      </c>
      <c r="H581" s="19">
        <v>0.22864347427995702</v>
      </c>
      <c r="I581" s="19">
        <v>4.7207263082379214E-2</v>
      </c>
      <c r="J581" s="19">
        <v>0.19428500644026303</v>
      </c>
    </row>
    <row r="582" spans="1:10" ht="11.25" customHeight="1" x14ac:dyDescent="0.2">
      <c r="A582" s="28">
        <v>44531</v>
      </c>
      <c r="B582" s="18">
        <v>0</v>
      </c>
      <c r="C582" s="18">
        <v>0</v>
      </c>
      <c r="D582" s="18">
        <v>435491.82949139999</v>
      </c>
      <c r="E582" s="18">
        <v>535064.1944068484</v>
      </c>
      <c r="F582" s="18">
        <v>101734.16913000001</v>
      </c>
      <c r="G582" s="18">
        <v>106536.76081658718</v>
      </c>
      <c r="H582" s="19">
        <v>0.22864347427995724</v>
      </c>
      <c r="I582" s="19">
        <v>4.7207263082379214E-2</v>
      </c>
      <c r="J582" s="19">
        <v>0.19428500644026325</v>
      </c>
    </row>
    <row r="583" spans="1:10" ht="11.25" customHeight="1" x14ac:dyDescent="0.2">
      <c r="A583" s="28">
        <v>44562</v>
      </c>
      <c r="B583" s="18">
        <v>0</v>
      </c>
      <c r="C583" s="18">
        <v>0</v>
      </c>
      <c r="D583" s="18">
        <v>417032.89054679993</v>
      </c>
      <c r="E583" s="18">
        <v>512384.73953043338</v>
      </c>
      <c r="F583" s="18">
        <v>97422.022059999988</v>
      </c>
      <c r="G583" s="18">
        <v>102021.04908540376</v>
      </c>
      <c r="H583" s="19">
        <v>0.22864347427995724</v>
      </c>
      <c r="I583" s="19">
        <v>4.7207263082379214E-2</v>
      </c>
      <c r="J583" s="19">
        <v>0.19428500644026325</v>
      </c>
    </row>
    <row r="584" spans="1:10" ht="11.25" customHeight="1" x14ac:dyDescent="0.2">
      <c r="A584" s="28">
        <v>44593</v>
      </c>
      <c r="B584" s="18">
        <v>0</v>
      </c>
      <c r="C584" s="18">
        <v>0</v>
      </c>
      <c r="D584" s="18">
        <v>393055.83042299998</v>
      </c>
      <c r="E584" s="18">
        <v>482925.48107690836</v>
      </c>
      <c r="F584" s="18">
        <v>91820.80034999999</v>
      </c>
      <c r="G584" s="18">
        <v>96155.409028557056</v>
      </c>
      <c r="H584" s="19">
        <v>0.22864347427995702</v>
      </c>
      <c r="I584" s="19">
        <v>4.7207263082379214E-2</v>
      </c>
      <c r="J584" s="19">
        <v>0.19428500644026325</v>
      </c>
    </row>
    <row r="585" spans="1:10" ht="11.25" customHeight="1" x14ac:dyDescent="0.2">
      <c r="A585" s="28">
        <v>44621</v>
      </c>
      <c r="B585" s="18">
        <v>0</v>
      </c>
      <c r="C585" s="18">
        <v>0</v>
      </c>
      <c r="D585" s="18">
        <v>393055.83042299998</v>
      </c>
      <c r="E585" s="18">
        <v>482925.48107690836</v>
      </c>
      <c r="F585" s="18">
        <v>91820.80034999999</v>
      </c>
      <c r="G585" s="18">
        <v>96155.409028557056</v>
      </c>
      <c r="H585" s="19">
        <v>0.22864347427995702</v>
      </c>
      <c r="I585" s="19">
        <v>4.7207263082379214E-2</v>
      </c>
      <c r="J585" s="19">
        <v>0.19428500644026325</v>
      </c>
    </row>
    <row r="586" spans="1:10" ht="11.25" customHeight="1" x14ac:dyDescent="0.2">
      <c r="A586" s="21" t="s">
        <v>22</v>
      </c>
      <c r="B586" s="18">
        <v>0</v>
      </c>
      <c r="C586" s="18">
        <v>0</v>
      </c>
      <c r="D586" s="18">
        <v>367748909.31856</v>
      </c>
      <c r="E586" s="18">
        <v>454214973.9554292</v>
      </c>
      <c r="F586" s="18">
        <v>253492832.40087011</v>
      </c>
      <c r="G586" s="18">
        <v>269270168.14159018</v>
      </c>
      <c r="H586" s="19">
        <v>0.23512255902292578</v>
      </c>
      <c r="I586" s="19">
        <v>6.2239770613198742E-2</v>
      </c>
      <c r="J586" s="19">
        <v>0.16457908976722613</v>
      </c>
    </row>
    <row r="587" spans="1:10" ht="11.25" customHeight="1" x14ac:dyDescent="0.2">
      <c r="A587" s="22" t="s">
        <v>33</v>
      </c>
      <c r="B587" s="18">
        <v>0</v>
      </c>
      <c r="C587" s="18">
        <v>0</v>
      </c>
      <c r="D587" s="18">
        <v>469345.85609000002</v>
      </c>
      <c r="E587" s="18">
        <v>582172.69774251897</v>
      </c>
      <c r="F587" s="18">
        <v>361199.08453000005</v>
      </c>
      <c r="G587" s="18">
        <v>383738.49130519578</v>
      </c>
      <c r="H587" s="19">
        <v>0.24039168597854488</v>
      </c>
      <c r="I587" s="19">
        <v>6.2401616561472029E-2</v>
      </c>
      <c r="J587" s="19">
        <v>0.16298485705862431</v>
      </c>
    </row>
    <row r="588" spans="1:10" ht="11.25" customHeight="1" x14ac:dyDescent="0.2">
      <c r="A588" s="23" t="s">
        <v>24</v>
      </c>
      <c r="B588" s="18">
        <v>0</v>
      </c>
      <c r="C588" s="18">
        <v>0</v>
      </c>
      <c r="D588" s="18">
        <v>469345.85609000002</v>
      </c>
      <c r="E588" s="18">
        <v>582172.69774251897</v>
      </c>
      <c r="F588" s="18">
        <v>361199.08453000005</v>
      </c>
      <c r="G588" s="18">
        <v>383738.49130519578</v>
      </c>
      <c r="H588" s="19">
        <v>0.24039168597854488</v>
      </c>
      <c r="I588" s="19">
        <v>6.2401616561472029E-2</v>
      </c>
      <c r="J588" s="19">
        <v>0.16298485705862431</v>
      </c>
    </row>
    <row r="589" spans="1:10" ht="11.25" customHeight="1" x14ac:dyDescent="0.2">
      <c r="A589" s="24" t="s">
        <v>24</v>
      </c>
      <c r="B589" s="18">
        <v>0</v>
      </c>
      <c r="C589" s="18">
        <v>0</v>
      </c>
      <c r="D589" s="18">
        <v>469345.85609000002</v>
      </c>
      <c r="E589" s="18">
        <v>582172.69774251897</v>
      </c>
      <c r="F589" s="18">
        <v>361199.08453000005</v>
      </c>
      <c r="G589" s="18">
        <v>383738.49130519578</v>
      </c>
      <c r="H589" s="19">
        <v>0.24039168597854488</v>
      </c>
      <c r="I589" s="19">
        <v>6.2401616561472029E-2</v>
      </c>
      <c r="J589" s="19">
        <v>0.16298485705862431</v>
      </c>
    </row>
    <row r="590" spans="1:10" ht="11.25" customHeight="1" x14ac:dyDescent="0.2">
      <c r="A590" s="25" t="s">
        <v>25</v>
      </c>
      <c r="B590" s="18">
        <v>0</v>
      </c>
      <c r="C590" s="18">
        <v>0</v>
      </c>
      <c r="D590" s="18">
        <v>469345.85609000002</v>
      </c>
      <c r="E590" s="18">
        <v>582172.69774251897</v>
      </c>
      <c r="F590" s="18">
        <v>361199.08453000005</v>
      </c>
      <c r="G590" s="18">
        <v>383738.49130519578</v>
      </c>
      <c r="H590" s="19">
        <v>0.24039168597854488</v>
      </c>
      <c r="I590" s="19">
        <v>6.2401616561472029E-2</v>
      </c>
      <c r="J590" s="19">
        <v>0.16298485705862431</v>
      </c>
    </row>
    <row r="591" spans="1:10" ht="11.25" customHeight="1" x14ac:dyDescent="0.2">
      <c r="A591" s="26" t="s">
        <v>25</v>
      </c>
      <c r="B591" s="18">
        <v>0</v>
      </c>
      <c r="C591" s="18">
        <v>0</v>
      </c>
      <c r="D591" s="18">
        <v>469345.85609000002</v>
      </c>
      <c r="E591" s="18">
        <v>582172.69774251897</v>
      </c>
      <c r="F591" s="18">
        <v>361199.08453000005</v>
      </c>
      <c r="G591" s="18">
        <v>383738.49130519578</v>
      </c>
      <c r="H591" s="19">
        <v>0.24039168597854488</v>
      </c>
      <c r="I591" s="19">
        <v>6.2401616561472029E-2</v>
      </c>
      <c r="J591" s="19">
        <v>0.16298485705862431</v>
      </c>
    </row>
    <row r="592" spans="1:10" ht="11.25" customHeight="1" x14ac:dyDescent="0.2">
      <c r="A592" s="27" t="s">
        <v>35</v>
      </c>
      <c r="B592" s="18">
        <v>0</v>
      </c>
      <c r="C592" s="18">
        <v>0</v>
      </c>
      <c r="D592" s="18">
        <v>320302.97936999996</v>
      </c>
      <c r="E592" s="18">
        <v>398324.67547069676</v>
      </c>
      <c r="F592" s="18">
        <v>300944.82626999996</v>
      </c>
      <c r="G592" s="18">
        <v>320346.79957546998</v>
      </c>
      <c r="H592" s="19">
        <v>0.24358716941739544</v>
      </c>
      <c r="I592" s="19">
        <v>6.4470200554512802E-2</v>
      </c>
      <c r="J592" s="19">
        <v>0.15681933766478595</v>
      </c>
    </row>
    <row r="593" spans="1:10" ht="11.25" customHeight="1" x14ac:dyDescent="0.2">
      <c r="A593" s="28">
        <v>44287</v>
      </c>
      <c r="B593" s="18">
        <v>0</v>
      </c>
      <c r="C593" s="18">
        <v>0</v>
      </c>
      <c r="D593" s="18">
        <v>30277.325430000001</v>
      </c>
      <c r="E593" s="18">
        <v>37652.49342902303</v>
      </c>
      <c r="F593" s="18">
        <v>28447.454529999999</v>
      </c>
      <c r="G593" s="18">
        <v>30281.467628814484</v>
      </c>
      <c r="H593" s="19">
        <v>0.24358716941739567</v>
      </c>
      <c r="I593" s="19">
        <v>6.4470200554512802E-2</v>
      </c>
      <c r="J593" s="19">
        <v>0.15681933766478617</v>
      </c>
    </row>
    <row r="594" spans="1:10" ht="11.25" customHeight="1" x14ac:dyDescent="0.2">
      <c r="A594" s="28">
        <v>44317</v>
      </c>
      <c r="B594" s="18">
        <v>0</v>
      </c>
      <c r="C594" s="18">
        <v>0</v>
      </c>
      <c r="D594" s="18">
        <v>26026.626779999999</v>
      </c>
      <c r="E594" s="18">
        <v>32366.379126823183</v>
      </c>
      <c r="F594" s="18">
        <v>24453.655379999997</v>
      </c>
      <c r="G594" s="18">
        <v>26030.187446639542</v>
      </c>
      <c r="H594" s="19">
        <v>0.24358716941739567</v>
      </c>
      <c r="I594" s="19">
        <v>6.4470200554513024E-2</v>
      </c>
      <c r="J594" s="19">
        <v>0.1568193376647864</v>
      </c>
    </row>
    <row r="595" spans="1:10" ht="11.25" customHeight="1" x14ac:dyDescent="0.2">
      <c r="A595" s="28">
        <v>44348</v>
      </c>
      <c r="B595" s="18">
        <v>0</v>
      </c>
      <c r="C595" s="18">
        <v>0</v>
      </c>
      <c r="D595" s="18">
        <v>24331.789349999999</v>
      </c>
      <c r="E595" s="18">
        <v>30258.701044626829</v>
      </c>
      <c r="F595" s="18">
        <v>22861.248849999996</v>
      </c>
      <c r="G595" s="18">
        <v>24335.118148286125</v>
      </c>
      <c r="H595" s="19">
        <v>0.24358716941739544</v>
      </c>
      <c r="I595" s="19">
        <v>6.4470200554513024E-2</v>
      </c>
      <c r="J595" s="19">
        <v>0.1568193376647864</v>
      </c>
    </row>
    <row r="596" spans="1:10" ht="11.25" customHeight="1" x14ac:dyDescent="0.2">
      <c r="A596" s="28">
        <v>44378</v>
      </c>
      <c r="B596" s="18">
        <v>0</v>
      </c>
      <c r="C596" s="18">
        <v>0</v>
      </c>
      <c r="D596" s="18">
        <v>22278.251160000003</v>
      </c>
      <c r="E596" s="18">
        <v>27704.947299634212</v>
      </c>
      <c r="F596" s="18">
        <v>20931.820359999998</v>
      </c>
      <c r="G596" s="18">
        <v>22281.299016580237</v>
      </c>
      <c r="H596" s="19">
        <v>0.24358716941739544</v>
      </c>
      <c r="I596" s="19">
        <v>6.4470200554513024E-2</v>
      </c>
      <c r="J596" s="19">
        <v>0.1568193376647864</v>
      </c>
    </row>
    <row r="597" spans="1:10" ht="11.25" customHeight="1" x14ac:dyDescent="0.2">
      <c r="A597" s="28">
        <v>44409</v>
      </c>
      <c r="B597" s="18">
        <v>0</v>
      </c>
      <c r="C597" s="18">
        <v>0</v>
      </c>
      <c r="D597" s="18">
        <v>21903.934140000001</v>
      </c>
      <c r="E597" s="18">
        <v>27239.451456267652</v>
      </c>
      <c r="F597" s="18">
        <v>20580.125939999998</v>
      </c>
      <c r="G597" s="18">
        <v>21906.930786788933</v>
      </c>
      <c r="H597" s="19">
        <v>0.24358716941739544</v>
      </c>
      <c r="I597" s="19">
        <v>6.4470200554513024E-2</v>
      </c>
      <c r="J597" s="19">
        <v>0.1568193376647864</v>
      </c>
    </row>
    <row r="598" spans="1:10" ht="11.25" customHeight="1" x14ac:dyDescent="0.2">
      <c r="A598" s="28">
        <v>44440</v>
      </c>
      <c r="B598" s="18">
        <v>0</v>
      </c>
      <c r="C598" s="18">
        <v>0</v>
      </c>
      <c r="D598" s="18">
        <v>24318.775799999999</v>
      </c>
      <c r="E598" s="18">
        <v>30242.517560818262</v>
      </c>
      <c r="F598" s="18">
        <v>22849.021799999999</v>
      </c>
      <c r="G598" s="18">
        <v>24322.102817920437</v>
      </c>
      <c r="H598" s="19">
        <v>0.24358716941739567</v>
      </c>
      <c r="I598" s="19">
        <v>6.4470200554513024E-2</v>
      </c>
      <c r="J598" s="19">
        <v>0.1568193376647864</v>
      </c>
    </row>
    <row r="599" spans="1:10" ht="11.25" customHeight="1" x14ac:dyDescent="0.2">
      <c r="A599" s="28">
        <v>44470</v>
      </c>
      <c r="B599" s="18">
        <v>0</v>
      </c>
      <c r="C599" s="18">
        <v>0</v>
      </c>
      <c r="D599" s="18">
        <v>50147.596620000004</v>
      </c>
      <c r="E599" s="18">
        <v>62362.907733751155</v>
      </c>
      <c r="F599" s="18">
        <v>47116.826019999993</v>
      </c>
      <c r="G599" s="18">
        <v>50154.457243001489</v>
      </c>
      <c r="H599" s="19">
        <v>0.24358716941739544</v>
      </c>
      <c r="I599" s="19">
        <v>6.4470200554513024E-2</v>
      </c>
      <c r="J599" s="19">
        <v>0.15681933766478617</v>
      </c>
    </row>
    <row r="600" spans="1:10" ht="11.25" customHeight="1" x14ac:dyDescent="0.2">
      <c r="A600" s="28">
        <v>44501</v>
      </c>
      <c r="B600" s="18">
        <v>0</v>
      </c>
      <c r="C600" s="18">
        <v>0</v>
      </c>
      <c r="D600" s="18">
        <v>4056.4418399999981</v>
      </c>
      <c r="E600" s="18">
        <v>5044.5390257118888</v>
      </c>
      <c r="F600" s="18">
        <v>3811.2826399999985</v>
      </c>
      <c r="G600" s="18">
        <v>4056.9967961707339</v>
      </c>
      <c r="H600" s="19">
        <v>0.24358716941739544</v>
      </c>
      <c r="I600" s="19">
        <v>6.4470200554513468E-2</v>
      </c>
      <c r="J600" s="19">
        <v>0.1568193376647864</v>
      </c>
    </row>
    <row r="601" spans="1:10" ht="11.25" customHeight="1" x14ac:dyDescent="0.2">
      <c r="A601" s="28">
        <v>44531</v>
      </c>
      <c r="B601" s="18">
        <v>0</v>
      </c>
      <c r="C601" s="18">
        <v>0</v>
      </c>
      <c r="D601" s="18">
        <v>28769.409899999999</v>
      </c>
      <c r="E601" s="18">
        <v>35777.2690233498</v>
      </c>
      <c r="F601" s="18">
        <v>27030.672900000001</v>
      </c>
      <c r="G601" s="18">
        <v>28773.345802986438</v>
      </c>
      <c r="H601" s="19">
        <v>0.24358716941739567</v>
      </c>
      <c r="I601" s="19">
        <v>6.4470200554512802E-2</v>
      </c>
      <c r="J601" s="19">
        <v>0.1568193376647864</v>
      </c>
    </row>
    <row r="602" spans="1:10" ht="11.25" customHeight="1" x14ac:dyDescent="0.2">
      <c r="A602" s="28">
        <v>44562</v>
      </c>
      <c r="B602" s="18">
        <v>0</v>
      </c>
      <c r="C602" s="18">
        <v>0</v>
      </c>
      <c r="D602" s="18">
        <v>28904.987430000005</v>
      </c>
      <c r="E602" s="18">
        <v>35945.871500119101</v>
      </c>
      <c r="F602" s="18">
        <v>27158.056530000002</v>
      </c>
      <c r="G602" s="18">
        <v>28908.941881159899</v>
      </c>
      <c r="H602" s="19">
        <v>0.24358716941739544</v>
      </c>
      <c r="I602" s="19">
        <v>6.4470200554512802E-2</v>
      </c>
      <c r="J602" s="19">
        <v>0.15681933766478617</v>
      </c>
    </row>
    <row r="603" spans="1:10" ht="11.25" customHeight="1" x14ac:dyDescent="0.2">
      <c r="A603" s="28">
        <v>44593</v>
      </c>
      <c r="B603" s="18">
        <v>0</v>
      </c>
      <c r="C603" s="18">
        <v>0</v>
      </c>
      <c r="D603" s="18">
        <v>29643.920460000001</v>
      </c>
      <c r="E603" s="18">
        <v>36864.799135285823</v>
      </c>
      <c r="F603" s="18">
        <v>27852.33066</v>
      </c>
      <c r="G603" s="18">
        <v>29647.976003560809</v>
      </c>
      <c r="H603" s="19">
        <v>0.24358716941739567</v>
      </c>
      <c r="I603" s="19">
        <v>6.4470200554513024E-2</v>
      </c>
      <c r="J603" s="19">
        <v>0.1568193376647864</v>
      </c>
    </row>
    <row r="604" spans="1:10" ht="11.25" customHeight="1" x14ac:dyDescent="0.2">
      <c r="A604" s="28">
        <v>44621</v>
      </c>
      <c r="B604" s="18">
        <v>0</v>
      </c>
      <c r="C604" s="18">
        <v>0</v>
      </c>
      <c r="D604" s="18">
        <v>29643.920460000001</v>
      </c>
      <c r="E604" s="18">
        <v>36864.799135285823</v>
      </c>
      <c r="F604" s="18">
        <v>27852.33066</v>
      </c>
      <c r="G604" s="18">
        <v>29647.976003560809</v>
      </c>
      <c r="H604" s="19">
        <v>0.24358716941739567</v>
      </c>
      <c r="I604" s="19">
        <v>6.4470200554513024E-2</v>
      </c>
      <c r="J604" s="19">
        <v>0.1568193376647864</v>
      </c>
    </row>
    <row r="605" spans="1:10" ht="11.25" customHeight="1" x14ac:dyDescent="0.2">
      <c r="A605" s="27" t="s">
        <v>36</v>
      </c>
      <c r="B605" s="18">
        <v>0</v>
      </c>
      <c r="C605" s="18">
        <v>0</v>
      </c>
      <c r="D605" s="18">
        <v>43162.974560000002</v>
      </c>
      <c r="E605" s="18">
        <v>53311.683130172372</v>
      </c>
      <c r="F605" s="18">
        <v>16972.479259999996</v>
      </c>
      <c r="G605" s="18">
        <v>18066.698401799509</v>
      </c>
      <c r="H605" s="19">
        <v>0.23512532844706624</v>
      </c>
      <c r="I605" s="19">
        <v>6.4470200554512802E-2</v>
      </c>
      <c r="J605" s="19">
        <v>0.1869600543071428</v>
      </c>
    </row>
    <row r="606" spans="1:10" ht="11.25" customHeight="1" x14ac:dyDescent="0.2">
      <c r="A606" s="28">
        <v>44287</v>
      </c>
      <c r="B606" s="18">
        <v>0</v>
      </c>
      <c r="C606" s="18">
        <v>0</v>
      </c>
      <c r="D606" s="18">
        <v>3869.32384</v>
      </c>
      <c r="E606" s="18">
        <v>4779.0998787480648</v>
      </c>
      <c r="F606" s="18">
        <v>1521.48964</v>
      </c>
      <c r="G606" s="18">
        <v>1619.5803822324135</v>
      </c>
      <c r="H606" s="19">
        <v>0.23512532844706646</v>
      </c>
      <c r="I606" s="19">
        <v>6.4470200554512802E-2</v>
      </c>
      <c r="J606" s="19">
        <v>0.18696005430714302</v>
      </c>
    </row>
    <row r="607" spans="1:10" ht="11.25" customHeight="1" x14ac:dyDescent="0.2">
      <c r="A607" s="28">
        <v>44317</v>
      </c>
      <c r="B607" s="18">
        <v>0</v>
      </c>
      <c r="C607" s="18">
        <v>0</v>
      </c>
      <c r="D607" s="18">
        <v>3546.5032799999999</v>
      </c>
      <c r="E607" s="18">
        <v>4380.3760285485987</v>
      </c>
      <c r="F607" s="18">
        <v>1394.5506299999997</v>
      </c>
      <c r="G607" s="18">
        <v>1484.457588799522</v>
      </c>
      <c r="H607" s="19">
        <v>0.23512532844706646</v>
      </c>
      <c r="I607" s="19">
        <v>6.4470200554512802E-2</v>
      </c>
      <c r="J607" s="19">
        <v>0.1869600543071428</v>
      </c>
    </row>
    <row r="608" spans="1:10" ht="11.25" customHeight="1" x14ac:dyDescent="0.2">
      <c r="A608" s="28">
        <v>44348</v>
      </c>
      <c r="B608" s="18">
        <v>0</v>
      </c>
      <c r="C608" s="18">
        <v>0</v>
      </c>
      <c r="D608" s="18">
        <v>3734.2028</v>
      </c>
      <c r="E608" s="18">
        <v>4612.2084598379552</v>
      </c>
      <c r="F608" s="18">
        <v>1468.3575499999999</v>
      </c>
      <c r="G608" s="18">
        <v>1563.022855734233</v>
      </c>
      <c r="H608" s="19">
        <v>0.23512532844706646</v>
      </c>
      <c r="I608" s="19">
        <v>6.4470200554512802E-2</v>
      </c>
      <c r="J608" s="19">
        <v>0.1869600543071428</v>
      </c>
    </row>
    <row r="609" spans="1:10" ht="11.25" customHeight="1" x14ac:dyDescent="0.2">
      <c r="A609" s="28">
        <v>44378</v>
      </c>
      <c r="B609" s="18">
        <v>0</v>
      </c>
      <c r="C609" s="18">
        <v>0</v>
      </c>
      <c r="D609" s="18">
        <v>3358.8037600000002</v>
      </c>
      <c r="E609" s="18">
        <v>4148.5435972592413</v>
      </c>
      <c r="F609" s="18">
        <v>1320.74371</v>
      </c>
      <c r="G609" s="18">
        <v>1405.8923218648115</v>
      </c>
      <c r="H609" s="19">
        <v>0.23512532844706624</v>
      </c>
      <c r="I609" s="19">
        <v>6.4470200554513024E-2</v>
      </c>
      <c r="J609" s="19">
        <v>0.1869600543071428</v>
      </c>
    </row>
    <row r="610" spans="1:10" ht="11.25" customHeight="1" x14ac:dyDescent="0.2">
      <c r="A610" s="28">
        <v>44409</v>
      </c>
      <c r="B610" s="18">
        <v>0</v>
      </c>
      <c r="C610" s="18">
        <v>0</v>
      </c>
      <c r="D610" s="18">
        <v>3340.1468800000002</v>
      </c>
      <c r="E610" s="18">
        <v>4125.5000122214442</v>
      </c>
      <c r="F610" s="18">
        <v>1313.4074799999999</v>
      </c>
      <c r="G610" s="18">
        <v>1398.0831236453973</v>
      </c>
      <c r="H610" s="19">
        <v>0.23512532844706624</v>
      </c>
      <c r="I610" s="19">
        <v>6.4470200554513024E-2</v>
      </c>
      <c r="J610" s="19">
        <v>0.18696005430714302</v>
      </c>
    </row>
    <row r="611" spans="1:10" ht="11.25" customHeight="1" x14ac:dyDescent="0.2">
      <c r="A611" s="28">
        <v>44440</v>
      </c>
      <c r="B611" s="18">
        <v>0</v>
      </c>
      <c r="C611" s="18">
        <v>0</v>
      </c>
      <c r="D611" s="18">
        <v>3197.1107999999999</v>
      </c>
      <c r="E611" s="18">
        <v>3948.8325269316633</v>
      </c>
      <c r="F611" s="18">
        <v>1257.1630500000001</v>
      </c>
      <c r="G611" s="18">
        <v>1338.212603963223</v>
      </c>
      <c r="H611" s="19">
        <v>0.23512532844706646</v>
      </c>
      <c r="I611" s="19">
        <v>6.4470200554512802E-2</v>
      </c>
      <c r="J611" s="19">
        <v>0.18696005430714302</v>
      </c>
    </row>
    <row r="612" spans="1:10" ht="11.25" customHeight="1" x14ac:dyDescent="0.2">
      <c r="A612" s="28">
        <v>44470</v>
      </c>
      <c r="B612" s="18">
        <v>0</v>
      </c>
      <c r="C612" s="18">
        <v>0</v>
      </c>
      <c r="D612" s="18">
        <v>3585.5131200000001</v>
      </c>
      <c r="E612" s="18">
        <v>4428.5580699912653</v>
      </c>
      <c r="F612" s="18">
        <v>1409.8900199999998</v>
      </c>
      <c r="G612" s="18">
        <v>1500.785912349206</v>
      </c>
      <c r="H612" s="19">
        <v>0.23512532844706624</v>
      </c>
      <c r="I612" s="19">
        <v>6.4470200554512802E-2</v>
      </c>
      <c r="J612" s="19">
        <v>0.18696005430714258</v>
      </c>
    </row>
    <row r="613" spans="1:10" ht="11.25" customHeight="1" x14ac:dyDescent="0.2">
      <c r="A613" s="28">
        <v>44501</v>
      </c>
      <c r="B613" s="18">
        <v>0</v>
      </c>
      <c r="C613" s="18">
        <v>0</v>
      </c>
      <c r="D613" s="18">
        <v>3336.1893600000003</v>
      </c>
      <c r="E613" s="18">
        <v>4120.6119790316079</v>
      </c>
      <c r="F613" s="18">
        <v>1311.85131</v>
      </c>
      <c r="G613" s="18">
        <v>1396.4266270534006</v>
      </c>
      <c r="H613" s="19">
        <v>0.23512532844706624</v>
      </c>
      <c r="I613" s="19">
        <v>6.4470200554513024E-2</v>
      </c>
      <c r="J613" s="19">
        <v>0.1869600543071428</v>
      </c>
    </row>
    <row r="614" spans="1:10" ht="11.25" customHeight="1" x14ac:dyDescent="0.2">
      <c r="A614" s="28">
        <v>44531</v>
      </c>
      <c r="B614" s="18">
        <v>0</v>
      </c>
      <c r="C614" s="18">
        <v>0</v>
      </c>
      <c r="D614" s="18">
        <v>3647.7027200000002</v>
      </c>
      <c r="E614" s="18">
        <v>4505.3700201172578</v>
      </c>
      <c r="F614" s="18">
        <v>1434.3441200000002</v>
      </c>
      <c r="G614" s="18">
        <v>1526.8165730805865</v>
      </c>
      <c r="H614" s="19">
        <v>0.23512532844706646</v>
      </c>
      <c r="I614" s="19">
        <v>6.4470200554512802E-2</v>
      </c>
      <c r="J614" s="19">
        <v>0.1869600543071428</v>
      </c>
    </row>
    <row r="615" spans="1:10" ht="11.25" customHeight="1" x14ac:dyDescent="0.2">
      <c r="A615" s="28">
        <v>44562</v>
      </c>
      <c r="B615" s="18">
        <v>0</v>
      </c>
      <c r="C615" s="18">
        <v>0</v>
      </c>
      <c r="D615" s="18">
        <v>3866.4970399999997</v>
      </c>
      <c r="E615" s="18">
        <v>4775.6084264696092</v>
      </c>
      <c r="F615" s="18">
        <v>1520.3780899999999</v>
      </c>
      <c r="G615" s="18">
        <v>1618.3971703809871</v>
      </c>
      <c r="H615" s="19">
        <v>0.23512532844706624</v>
      </c>
      <c r="I615" s="19">
        <v>6.4470200554512802E-2</v>
      </c>
      <c r="J615" s="19">
        <v>0.1869600543071428</v>
      </c>
    </row>
    <row r="616" spans="1:10" ht="11.25" customHeight="1" x14ac:dyDescent="0.2">
      <c r="A616" s="28">
        <v>44593</v>
      </c>
      <c r="B616" s="18">
        <v>0</v>
      </c>
      <c r="C616" s="18">
        <v>0</v>
      </c>
      <c r="D616" s="18">
        <v>3840.4904800000004</v>
      </c>
      <c r="E616" s="18">
        <v>4743.4870655078321</v>
      </c>
      <c r="F616" s="18">
        <v>1510.15183</v>
      </c>
      <c r="G616" s="18">
        <v>1607.5116213478645</v>
      </c>
      <c r="H616" s="19">
        <v>0.23512532844706646</v>
      </c>
      <c r="I616" s="19">
        <v>6.4470200554512802E-2</v>
      </c>
      <c r="J616" s="19">
        <v>0.18696005430714302</v>
      </c>
    </row>
    <row r="617" spans="1:10" ht="11.25" customHeight="1" x14ac:dyDescent="0.2">
      <c r="A617" s="28">
        <v>44621</v>
      </c>
      <c r="B617" s="18">
        <v>0</v>
      </c>
      <c r="C617" s="18">
        <v>0</v>
      </c>
      <c r="D617" s="18">
        <v>3840.4904800000004</v>
      </c>
      <c r="E617" s="18">
        <v>4743.4870655078321</v>
      </c>
      <c r="F617" s="18">
        <v>1510.15183</v>
      </c>
      <c r="G617" s="18">
        <v>1607.5116213478645</v>
      </c>
      <c r="H617" s="19">
        <v>0.23512532844706646</v>
      </c>
      <c r="I617" s="19">
        <v>6.4470200554512802E-2</v>
      </c>
      <c r="J617" s="19">
        <v>0.18696005430714302</v>
      </c>
    </row>
    <row r="618" spans="1:10" ht="11.25" customHeight="1" x14ac:dyDescent="0.2">
      <c r="A618" s="27" t="s">
        <v>34</v>
      </c>
      <c r="B618" s="18">
        <v>0</v>
      </c>
      <c r="C618" s="18">
        <v>0</v>
      </c>
      <c r="D618" s="18">
        <v>105879.90216000003</v>
      </c>
      <c r="E618" s="18">
        <v>130536.33914164969</v>
      </c>
      <c r="F618" s="18">
        <v>43281.77900000001</v>
      </c>
      <c r="G618" s="18">
        <v>45324.993327926386</v>
      </c>
      <c r="H618" s="19">
        <v>0.23287173938251526</v>
      </c>
      <c r="I618" s="19">
        <v>4.7207263082379214E-2</v>
      </c>
      <c r="J618" s="19">
        <v>0.17899805836149318</v>
      </c>
    </row>
    <row r="619" spans="1:10" ht="11.25" customHeight="1" x14ac:dyDescent="0.2">
      <c r="A619" s="28">
        <v>44287</v>
      </c>
      <c r="B619" s="18">
        <v>0</v>
      </c>
      <c r="C619" s="18">
        <v>0</v>
      </c>
      <c r="D619" s="18">
        <v>8337.6689999999999</v>
      </c>
      <c r="E619" s="18">
        <v>10279.276482425672</v>
      </c>
      <c r="F619" s="18">
        <v>3408.2874999999999</v>
      </c>
      <c r="G619" s="18">
        <v>3569.183424672884</v>
      </c>
      <c r="H619" s="19">
        <v>0.23287173938251482</v>
      </c>
      <c r="I619" s="19">
        <v>4.7207263082378992E-2</v>
      </c>
      <c r="J619" s="19">
        <v>0.17899805836149296</v>
      </c>
    </row>
    <row r="620" spans="1:10" ht="11.25" customHeight="1" x14ac:dyDescent="0.2">
      <c r="A620" s="28">
        <v>44317</v>
      </c>
      <c r="B620" s="18">
        <v>0</v>
      </c>
      <c r="C620" s="18">
        <v>0</v>
      </c>
      <c r="D620" s="18">
        <v>7917.4326000000001</v>
      </c>
      <c r="E620" s="18">
        <v>9761.1789010058274</v>
      </c>
      <c r="F620" s="18">
        <v>3236.5024999999996</v>
      </c>
      <c r="G620" s="18">
        <v>3389.2889249842779</v>
      </c>
      <c r="H620" s="19">
        <v>0.23287173938251482</v>
      </c>
      <c r="I620" s="19">
        <v>4.7207263082379214E-2</v>
      </c>
      <c r="J620" s="19">
        <v>0.17899805836149318</v>
      </c>
    </row>
    <row r="621" spans="1:10" ht="11.25" customHeight="1" x14ac:dyDescent="0.2">
      <c r="A621" s="28">
        <v>44348</v>
      </c>
      <c r="B621" s="18">
        <v>0</v>
      </c>
      <c r="C621" s="18">
        <v>0</v>
      </c>
      <c r="D621" s="18">
        <v>8288.492400000001</v>
      </c>
      <c r="E621" s="18">
        <v>10218.648042046754</v>
      </c>
      <c r="F621" s="18">
        <v>3388.1849999999999</v>
      </c>
      <c r="G621" s="18">
        <v>3548.1319406667708</v>
      </c>
      <c r="H621" s="19">
        <v>0.2328717393825146</v>
      </c>
      <c r="I621" s="19">
        <v>4.7207263082379214E-2</v>
      </c>
      <c r="J621" s="19">
        <v>0.17899805836149274</v>
      </c>
    </row>
    <row r="622" spans="1:10" ht="11.25" customHeight="1" x14ac:dyDescent="0.2">
      <c r="A622" s="28">
        <v>44378</v>
      </c>
      <c r="B622" s="18">
        <v>0</v>
      </c>
      <c r="C622" s="18">
        <v>0</v>
      </c>
      <c r="D622" s="18">
        <v>7992.5386800000006</v>
      </c>
      <c r="E622" s="18">
        <v>9853.7750644936295</v>
      </c>
      <c r="F622" s="18">
        <v>3267.2045000000003</v>
      </c>
      <c r="G622" s="18">
        <v>3421.4402823754331</v>
      </c>
      <c r="H622" s="19">
        <v>0.23287173938251482</v>
      </c>
      <c r="I622" s="19">
        <v>4.7207263082378992E-2</v>
      </c>
      <c r="J622" s="19">
        <v>0.17899805836149296</v>
      </c>
    </row>
    <row r="623" spans="1:10" ht="11.25" customHeight="1" x14ac:dyDescent="0.2">
      <c r="A623" s="28">
        <v>44409</v>
      </c>
      <c r="B623" s="18">
        <v>0</v>
      </c>
      <c r="C623" s="18">
        <v>0</v>
      </c>
      <c r="D623" s="18">
        <v>7730.5615200000002</v>
      </c>
      <c r="E623" s="18">
        <v>9530.7908275659374</v>
      </c>
      <c r="F623" s="18">
        <v>3160.1129999999998</v>
      </c>
      <c r="G623" s="18">
        <v>3309.2932857610463</v>
      </c>
      <c r="H623" s="19">
        <v>0.23287173938251482</v>
      </c>
      <c r="I623" s="19">
        <v>4.7207263082379214E-2</v>
      </c>
      <c r="J623" s="19">
        <v>0.17899805836149296</v>
      </c>
    </row>
    <row r="624" spans="1:10" ht="11.25" customHeight="1" x14ac:dyDescent="0.2">
      <c r="A624" s="28">
        <v>44440</v>
      </c>
      <c r="B624" s="18">
        <v>0</v>
      </c>
      <c r="C624" s="18">
        <v>0</v>
      </c>
      <c r="D624" s="18">
        <v>7755.596880000001</v>
      </c>
      <c r="E624" s="18">
        <v>9561.6562153952054</v>
      </c>
      <c r="F624" s="18">
        <v>3170.3470000000002</v>
      </c>
      <c r="G624" s="18">
        <v>3320.0104048914322</v>
      </c>
      <c r="H624" s="19">
        <v>0.23287173938251482</v>
      </c>
      <c r="I624" s="19">
        <v>4.7207263082379214E-2</v>
      </c>
      <c r="J624" s="19">
        <v>0.17899805836149296</v>
      </c>
    </row>
    <row r="625" spans="1:10" ht="11.25" customHeight="1" x14ac:dyDescent="0.2">
      <c r="A625" s="28">
        <v>44470</v>
      </c>
      <c r="B625" s="18">
        <v>0</v>
      </c>
      <c r="C625" s="18">
        <v>0</v>
      </c>
      <c r="D625" s="18">
        <v>7563.3610799999988</v>
      </c>
      <c r="E625" s="18">
        <v>9324.654130277615</v>
      </c>
      <c r="F625" s="18">
        <v>3091.7644999999998</v>
      </c>
      <c r="G625" s="18">
        <v>3237.7182401402601</v>
      </c>
      <c r="H625" s="19">
        <v>0.23287173938251482</v>
      </c>
      <c r="I625" s="19">
        <v>4.7207263082379214E-2</v>
      </c>
      <c r="J625" s="19">
        <v>0.17899805836149318</v>
      </c>
    </row>
    <row r="626" spans="1:10" ht="11.25" customHeight="1" x14ac:dyDescent="0.2">
      <c r="A626" s="28">
        <v>44501</v>
      </c>
      <c r="B626" s="18">
        <v>0</v>
      </c>
      <c r="C626" s="18">
        <v>0</v>
      </c>
      <c r="D626" s="18">
        <v>7175.3130000000001</v>
      </c>
      <c r="E626" s="18">
        <v>8846.24061892397</v>
      </c>
      <c r="F626" s="18">
        <v>2933.1374999999998</v>
      </c>
      <c r="G626" s="18">
        <v>3071.6028936192915</v>
      </c>
      <c r="H626" s="19">
        <v>0.23287173938251482</v>
      </c>
      <c r="I626" s="19">
        <v>4.7207263082378992E-2</v>
      </c>
      <c r="J626" s="19">
        <v>0.17899805836149296</v>
      </c>
    </row>
    <row r="627" spans="1:10" ht="11.25" customHeight="1" x14ac:dyDescent="0.2">
      <c r="A627" s="28">
        <v>44531</v>
      </c>
      <c r="B627" s="18">
        <v>0</v>
      </c>
      <c r="C627" s="18">
        <v>0</v>
      </c>
      <c r="D627" s="18">
        <v>9721.7667600000004</v>
      </c>
      <c r="E627" s="18">
        <v>11985.691495272315</v>
      </c>
      <c r="F627" s="18">
        <v>3974.0815000000007</v>
      </c>
      <c r="G627" s="18">
        <v>4161.6870108813164</v>
      </c>
      <c r="H627" s="19">
        <v>0.2328717393825146</v>
      </c>
      <c r="I627" s="19">
        <v>4.7207263082378992E-2</v>
      </c>
      <c r="J627" s="19">
        <v>0.17899805836149274</v>
      </c>
    </row>
    <row r="628" spans="1:10" ht="11.25" customHeight="1" x14ac:dyDescent="0.2">
      <c r="A628" s="28">
        <v>44562</v>
      </c>
      <c r="B628" s="18">
        <v>0</v>
      </c>
      <c r="C628" s="18">
        <v>0</v>
      </c>
      <c r="D628" s="18">
        <v>13889.26008</v>
      </c>
      <c r="E628" s="18">
        <v>17123.676233565729</v>
      </c>
      <c r="F628" s="18">
        <v>5677.6770000000006</v>
      </c>
      <c r="G628" s="18">
        <v>5945.7045918357735</v>
      </c>
      <c r="H628" s="19">
        <v>0.23287173938251504</v>
      </c>
      <c r="I628" s="19">
        <v>4.7207263082378992E-2</v>
      </c>
      <c r="J628" s="19">
        <v>0.17899805836149296</v>
      </c>
    </row>
    <row r="629" spans="1:10" ht="11.25" customHeight="1" x14ac:dyDescent="0.2">
      <c r="A629" s="28">
        <v>44593</v>
      </c>
      <c r="B629" s="18">
        <v>0</v>
      </c>
      <c r="C629" s="18">
        <v>0</v>
      </c>
      <c r="D629" s="18">
        <v>9753.9550800000015</v>
      </c>
      <c r="E629" s="18">
        <v>12025.375565338516</v>
      </c>
      <c r="F629" s="18">
        <v>3987.2395000000006</v>
      </c>
      <c r="G629" s="18">
        <v>4175.466164048953</v>
      </c>
      <c r="H629" s="19">
        <v>0.2328717393825146</v>
      </c>
      <c r="I629" s="19">
        <v>4.720726308237877E-2</v>
      </c>
      <c r="J629" s="19">
        <v>0.17899805836149274</v>
      </c>
    </row>
    <row r="630" spans="1:10" ht="11.25" customHeight="1" x14ac:dyDescent="0.2">
      <c r="A630" s="28">
        <v>44621</v>
      </c>
      <c r="B630" s="18">
        <v>0</v>
      </c>
      <c r="C630" s="18">
        <v>0</v>
      </c>
      <c r="D630" s="18">
        <v>9753.9550800000015</v>
      </c>
      <c r="E630" s="18">
        <v>12025.375565338516</v>
      </c>
      <c r="F630" s="18">
        <v>3987.2395000000006</v>
      </c>
      <c r="G630" s="18">
        <v>4175.466164048953</v>
      </c>
      <c r="H630" s="19">
        <v>0.2328717393825146</v>
      </c>
      <c r="I630" s="19">
        <v>4.720726308237877E-2</v>
      </c>
      <c r="J630" s="19">
        <v>0.17899805836149274</v>
      </c>
    </row>
    <row r="631" spans="1:10" ht="11.25" customHeight="1" x14ac:dyDescent="0.2">
      <c r="A631" s="22" t="s">
        <v>23</v>
      </c>
      <c r="B631" s="18">
        <v>0</v>
      </c>
      <c r="C631" s="18">
        <v>0</v>
      </c>
      <c r="D631" s="18">
        <v>367279563.46247</v>
      </c>
      <c r="E631" s="18">
        <v>453632801.25768667</v>
      </c>
      <c r="F631" s="18">
        <v>253131633.31634012</v>
      </c>
      <c r="G631" s="18">
        <v>268886429.65028501</v>
      </c>
      <c r="H631" s="19">
        <v>0.23511582561560385</v>
      </c>
      <c r="I631" s="19">
        <v>6.2239539671662181E-2</v>
      </c>
      <c r="J631" s="19">
        <v>0.16458122396776464</v>
      </c>
    </row>
    <row r="632" spans="1:10" ht="11.25" customHeight="1" x14ac:dyDescent="0.2">
      <c r="A632" s="23" t="s">
        <v>24</v>
      </c>
      <c r="B632" s="18">
        <v>0</v>
      </c>
      <c r="C632" s="18">
        <v>0</v>
      </c>
      <c r="D632" s="18">
        <v>367279563.46247</v>
      </c>
      <c r="E632" s="18">
        <v>453632801.25768667</v>
      </c>
      <c r="F632" s="18">
        <v>253131633.31634012</v>
      </c>
      <c r="G632" s="18">
        <v>268886429.65028501</v>
      </c>
      <c r="H632" s="19">
        <v>0.23511582561560385</v>
      </c>
      <c r="I632" s="19">
        <v>6.2239539671662181E-2</v>
      </c>
      <c r="J632" s="19">
        <v>0.16458122396776464</v>
      </c>
    </row>
    <row r="633" spans="1:10" ht="11.25" customHeight="1" x14ac:dyDescent="0.2">
      <c r="A633" s="24" t="s">
        <v>24</v>
      </c>
      <c r="B633" s="18">
        <v>0</v>
      </c>
      <c r="C633" s="18">
        <v>0</v>
      </c>
      <c r="D633" s="18">
        <v>312377944.6092</v>
      </c>
      <c r="E633" s="18">
        <v>387022886.32365078</v>
      </c>
      <c r="F633" s="18">
        <v>211355891.81184</v>
      </c>
      <c r="G633" s="18">
        <v>224510017.56423354</v>
      </c>
      <c r="H633" s="19">
        <v>0.23895714471082563</v>
      </c>
      <c r="I633" s="19">
        <v>6.2236853865914155E-2</v>
      </c>
      <c r="J633" s="19">
        <v>0.16764062460967466</v>
      </c>
    </row>
    <row r="634" spans="1:10" ht="11.25" customHeight="1" x14ac:dyDescent="0.2">
      <c r="A634" s="25" t="s">
        <v>25</v>
      </c>
      <c r="B634" s="18">
        <v>0</v>
      </c>
      <c r="C634" s="18">
        <v>0</v>
      </c>
      <c r="D634" s="18">
        <v>312377944.6092</v>
      </c>
      <c r="E634" s="18">
        <v>387022886.32365078</v>
      </c>
      <c r="F634" s="18">
        <v>211355891.81184</v>
      </c>
      <c r="G634" s="18">
        <v>224510017.56423354</v>
      </c>
      <c r="H634" s="19">
        <v>0.23895714471082563</v>
      </c>
      <c r="I634" s="19">
        <v>6.2236853865914155E-2</v>
      </c>
      <c r="J634" s="19">
        <v>0.16764062460967466</v>
      </c>
    </row>
    <row r="635" spans="1:10" ht="11.25" customHeight="1" x14ac:dyDescent="0.2">
      <c r="A635" s="26" t="s">
        <v>25</v>
      </c>
      <c r="B635" s="18">
        <v>0</v>
      </c>
      <c r="C635" s="18">
        <v>0</v>
      </c>
      <c r="D635" s="18">
        <v>312377944.6092</v>
      </c>
      <c r="E635" s="18">
        <v>387022886.32365078</v>
      </c>
      <c r="F635" s="18">
        <v>211355891.81184</v>
      </c>
      <c r="G635" s="18">
        <v>224510017.56423354</v>
      </c>
      <c r="H635" s="19">
        <v>0.23895714471082563</v>
      </c>
      <c r="I635" s="19">
        <v>6.2236853865914155E-2</v>
      </c>
      <c r="J635" s="19">
        <v>0.16764062460967466</v>
      </c>
    </row>
    <row r="636" spans="1:10" ht="11.25" customHeight="1" x14ac:dyDescent="0.2">
      <c r="A636" s="27" t="s">
        <v>25</v>
      </c>
      <c r="B636" s="18">
        <v>0</v>
      </c>
      <c r="C636" s="18">
        <v>0</v>
      </c>
      <c r="D636" s="18">
        <v>312377944.6092</v>
      </c>
      <c r="E636" s="18">
        <v>387022886.32365078</v>
      </c>
      <c r="F636" s="18">
        <v>211355891.81184</v>
      </c>
      <c r="G636" s="18">
        <v>224510017.56423354</v>
      </c>
      <c r="H636" s="19">
        <v>0.23895714471082563</v>
      </c>
      <c r="I636" s="19">
        <v>6.2236853865914155E-2</v>
      </c>
      <c r="J636" s="19">
        <v>0.16764062460967466</v>
      </c>
    </row>
    <row r="637" spans="1:10" ht="11.25" customHeight="1" x14ac:dyDescent="0.2">
      <c r="A637" s="28">
        <v>44287</v>
      </c>
      <c r="B637" s="18">
        <v>0</v>
      </c>
      <c r="C637" s="18">
        <v>0</v>
      </c>
      <c r="D637" s="18">
        <v>28994943.784799997</v>
      </c>
      <c r="E637" s="18">
        <v>35923492.762666702</v>
      </c>
      <c r="F637" s="18">
        <v>19618069.416960001</v>
      </c>
      <c r="G637" s="18">
        <v>20839036.336394701</v>
      </c>
      <c r="H637" s="19">
        <v>0.23895714471082563</v>
      </c>
      <c r="I637" s="19">
        <v>6.2236853865914155E-2</v>
      </c>
      <c r="J637" s="19">
        <v>0.16764062460967466</v>
      </c>
    </row>
    <row r="638" spans="1:10" ht="11.25" customHeight="1" x14ac:dyDescent="0.2">
      <c r="A638" s="28">
        <v>44317</v>
      </c>
      <c r="B638" s="18">
        <v>0</v>
      </c>
      <c r="C638" s="18">
        <v>0</v>
      </c>
      <c r="D638" s="18">
        <v>26307591.9036</v>
      </c>
      <c r="E638" s="18">
        <v>32593978.949101888</v>
      </c>
      <c r="F638" s="18">
        <v>17799798.750720005</v>
      </c>
      <c r="G638" s="18">
        <v>18907602.224411245</v>
      </c>
      <c r="H638" s="19">
        <v>0.23895714471082563</v>
      </c>
      <c r="I638" s="19">
        <v>6.2236853865913933E-2</v>
      </c>
      <c r="J638" s="19">
        <v>0.16764062460967466</v>
      </c>
    </row>
    <row r="639" spans="1:10" ht="11.25" customHeight="1" x14ac:dyDescent="0.2">
      <c r="A639" s="28">
        <v>44348</v>
      </c>
      <c r="B639" s="18">
        <v>0</v>
      </c>
      <c r="C639" s="18">
        <v>0</v>
      </c>
      <c r="D639" s="18">
        <v>25606541.057999998</v>
      </c>
      <c r="E639" s="18">
        <v>31725406.995140202</v>
      </c>
      <c r="F639" s="18">
        <v>17325465.5616</v>
      </c>
      <c r="G639" s="18">
        <v>18403748.029916234</v>
      </c>
      <c r="H639" s="19">
        <v>0.23895714471082563</v>
      </c>
      <c r="I639" s="19">
        <v>6.2236853865914599E-2</v>
      </c>
      <c r="J639" s="19">
        <v>0.16764062460967488</v>
      </c>
    </row>
    <row r="640" spans="1:10" ht="11.25" customHeight="1" x14ac:dyDescent="0.2">
      <c r="A640" s="28">
        <v>44378</v>
      </c>
      <c r="B640" s="18">
        <v>0</v>
      </c>
      <c r="C640" s="18">
        <v>0</v>
      </c>
      <c r="D640" s="18">
        <v>24712747.516799998</v>
      </c>
      <c r="E640" s="18">
        <v>30618035.101374067</v>
      </c>
      <c r="F640" s="18">
        <v>16720722.063360002</v>
      </c>
      <c r="G640" s="18">
        <v>17761367.198949903</v>
      </c>
      <c r="H640" s="19">
        <v>0.23895714471082541</v>
      </c>
      <c r="I640" s="19">
        <v>6.2236853865914155E-2</v>
      </c>
      <c r="J640" s="19">
        <v>0.16764062460967444</v>
      </c>
    </row>
    <row r="641" spans="1:10" ht="11.25" customHeight="1" x14ac:dyDescent="0.2">
      <c r="A641" s="28">
        <v>44409</v>
      </c>
      <c r="B641" s="18">
        <v>0</v>
      </c>
      <c r="C641" s="18">
        <v>0</v>
      </c>
      <c r="D641" s="18">
        <v>23748050.4846</v>
      </c>
      <c r="E641" s="18">
        <v>29422816.820848547</v>
      </c>
      <c r="F641" s="18">
        <v>16068005.041919999</v>
      </c>
      <c r="G641" s="18">
        <v>17068027.123630747</v>
      </c>
      <c r="H641" s="19">
        <v>0.23895714471082519</v>
      </c>
      <c r="I641" s="19">
        <v>6.2236853865914155E-2</v>
      </c>
      <c r="J641" s="19">
        <v>0.16764062460967444</v>
      </c>
    </row>
    <row r="642" spans="1:10" ht="11.25" customHeight="1" x14ac:dyDescent="0.2">
      <c r="A642" s="28">
        <v>44440</v>
      </c>
      <c r="B642" s="18">
        <v>0</v>
      </c>
      <c r="C642" s="18">
        <v>0</v>
      </c>
      <c r="D642" s="18">
        <v>23843567.410799999</v>
      </c>
      <c r="E642" s="18">
        <v>29541158.199004859</v>
      </c>
      <c r="F642" s="18">
        <v>16132632.09216</v>
      </c>
      <c r="G642" s="18">
        <v>17136676.358152326</v>
      </c>
      <c r="H642" s="19">
        <v>0.23895714471082563</v>
      </c>
      <c r="I642" s="19">
        <v>6.2236853865914599E-2</v>
      </c>
      <c r="J642" s="19">
        <v>0.16764062460967488</v>
      </c>
    </row>
    <row r="643" spans="1:10" ht="11.25" customHeight="1" x14ac:dyDescent="0.2">
      <c r="A643" s="28">
        <v>44470</v>
      </c>
      <c r="B643" s="18">
        <v>0</v>
      </c>
      <c r="C643" s="18">
        <v>0</v>
      </c>
      <c r="D643" s="18">
        <v>24589650.567600001</v>
      </c>
      <c r="E643" s="18">
        <v>30465523.25667062</v>
      </c>
      <c r="F643" s="18">
        <v>16637434.283520002</v>
      </c>
      <c r="G643" s="18">
        <v>17672895.849727191</v>
      </c>
      <c r="H643" s="19">
        <v>0.23895714471082519</v>
      </c>
      <c r="I643" s="19">
        <v>6.2236853865914377E-2</v>
      </c>
      <c r="J643" s="19">
        <v>0.16764062460967444</v>
      </c>
    </row>
    <row r="644" spans="1:10" ht="11.25" customHeight="1" x14ac:dyDescent="0.2">
      <c r="A644" s="28">
        <v>44501</v>
      </c>
      <c r="B644" s="18">
        <v>0</v>
      </c>
      <c r="C644" s="18">
        <v>0</v>
      </c>
      <c r="D644" s="18">
        <v>25078562.862599999</v>
      </c>
      <c r="E644" s="18">
        <v>31071264.637697838</v>
      </c>
      <c r="F644" s="18">
        <v>16968233.867520001</v>
      </c>
      <c r="G644" s="18">
        <v>18024283.359095503</v>
      </c>
      <c r="H644" s="19">
        <v>0.23895714471082541</v>
      </c>
      <c r="I644" s="19">
        <v>6.2236853865914377E-2</v>
      </c>
      <c r="J644" s="19">
        <v>0.16764062460967466</v>
      </c>
    </row>
    <row r="645" spans="1:10" ht="11.25" customHeight="1" x14ac:dyDescent="0.2">
      <c r="A645" s="28">
        <v>44531</v>
      </c>
      <c r="B645" s="18">
        <v>0</v>
      </c>
      <c r="C645" s="18">
        <v>0</v>
      </c>
      <c r="D645" s="18">
        <v>27533287.038600001</v>
      </c>
      <c r="E645" s="18">
        <v>34112562.693847433</v>
      </c>
      <c r="F645" s="18">
        <v>18629107.902720001</v>
      </c>
      <c r="G645" s="18">
        <v>19788524.968913935</v>
      </c>
      <c r="H645" s="19">
        <v>0.23895714471082541</v>
      </c>
      <c r="I645" s="19">
        <v>6.2236853865914377E-2</v>
      </c>
      <c r="J645" s="19">
        <v>0.16764062460967444</v>
      </c>
    </row>
    <row r="646" spans="1:10" ht="11.25" customHeight="1" x14ac:dyDescent="0.2">
      <c r="A646" s="28">
        <v>44562</v>
      </c>
      <c r="B646" s="18">
        <v>0</v>
      </c>
      <c r="C646" s="18">
        <v>0</v>
      </c>
      <c r="D646" s="18">
        <v>27095515.0614</v>
      </c>
      <c r="E646" s="18">
        <v>33570181.974941306</v>
      </c>
      <c r="F646" s="18">
        <v>18332910.017279997</v>
      </c>
      <c r="G646" s="18">
        <v>19473892.658962414</v>
      </c>
      <c r="H646" s="19">
        <v>0.23895714471082519</v>
      </c>
      <c r="I646" s="19">
        <v>6.2236853865914599E-2</v>
      </c>
      <c r="J646" s="19">
        <v>0.16764062460967466</v>
      </c>
    </row>
    <row r="647" spans="1:10" ht="11.25" customHeight="1" x14ac:dyDescent="0.2">
      <c r="A647" s="28">
        <v>44593</v>
      </c>
      <c r="B647" s="18">
        <v>0</v>
      </c>
      <c r="C647" s="18">
        <v>0</v>
      </c>
      <c r="D647" s="18">
        <v>27433743.460200001</v>
      </c>
      <c r="E647" s="18">
        <v>33989232.466178678</v>
      </c>
      <c r="F647" s="18">
        <v>18561756.407040004</v>
      </c>
      <c r="G647" s="18">
        <v>19716981.728039645</v>
      </c>
      <c r="H647" s="19">
        <v>0.23895714471082563</v>
      </c>
      <c r="I647" s="19">
        <v>6.2236853865913933E-2</v>
      </c>
      <c r="J647" s="19">
        <v>0.16764062460967466</v>
      </c>
    </row>
    <row r="648" spans="1:10" ht="11.25" customHeight="1" x14ac:dyDescent="0.2">
      <c r="A648" s="28">
        <v>44621</v>
      </c>
      <c r="B648" s="18">
        <v>0</v>
      </c>
      <c r="C648" s="18">
        <v>0</v>
      </c>
      <c r="D648" s="18">
        <v>27433743.460200001</v>
      </c>
      <c r="E648" s="18">
        <v>33989232.466178678</v>
      </c>
      <c r="F648" s="18">
        <v>18561756.407040004</v>
      </c>
      <c r="G648" s="18">
        <v>19716981.728039645</v>
      </c>
      <c r="H648" s="19">
        <v>0.23895714471082563</v>
      </c>
      <c r="I648" s="19">
        <v>6.2236853865913933E-2</v>
      </c>
      <c r="J648" s="19">
        <v>0.16764062460967466</v>
      </c>
    </row>
    <row r="649" spans="1:10" ht="11.25" customHeight="1" x14ac:dyDescent="0.2">
      <c r="A649" s="24" t="s">
        <v>29</v>
      </c>
      <c r="B649" s="18">
        <v>0</v>
      </c>
      <c r="C649" s="18">
        <v>0</v>
      </c>
      <c r="D649" s="18">
        <v>9015296.521139998</v>
      </c>
      <c r="E649" s="18">
        <v>10938057.60818843</v>
      </c>
      <c r="F649" s="18">
        <v>6859792.1737799989</v>
      </c>
      <c r="G649" s="18">
        <v>7287079.5935203414</v>
      </c>
      <c r="H649" s="19">
        <v>0.2132776312503688</v>
      </c>
      <c r="I649" s="19">
        <v>6.2288682939046991E-2</v>
      </c>
      <c r="J649" s="19">
        <v>0.14803372453224672</v>
      </c>
    </row>
    <row r="650" spans="1:10" ht="11.25" customHeight="1" x14ac:dyDescent="0.2">
      <c r="A650" s="25" t="s">
        <v>25</v>
      </c>
      <c r="B650" s="18">
        <v>0</v>
      </c>
      <c r="C650" s="18">
        <v>0</v>
      </c>
      <c r="D650" s="18">
        <v>9015296.521139998</v>
      </c>
      <c r="E650" s="18">
        <v>10938057.60818843</v>
      </c>
      <c r="F650" s="18">
        <v>6859792.1737799989</v>
      </c>
      <c r="G650" s="18">
        <v>7287079.5935203414</v>
      </c>
      <c r="H650" s="19">
        <v>0.2132776312503688</v>
      </c>
      <c r="I650" s="19">
        <v>6.2288682939046991E-2</v>
      </c>
      <c r="J650" s="19">
        <v>0.14803372453224672</v>
      </c>
    </row>
    <row r="651" spans="1:10" ht="11.25" customHeight="1" x14ac:dyDescent="0.2">
      <c r="A651" s="26" t="s">
        <v>25</v>
      </c>
      <c r="B651" s="18">
        <v>0</v>
      </c>
      <c r="C651" s="18">
        <v>0</v>
      </c>
      <c r="D651" s="18">
        <v>9015296.521139998</v>
      </c>
      <c r="E651" s="18">
        <v>10938057.60818843</v>
      </c>
      <c r="F651" s="18">
        <v>6859792.1737799989</v>
      </c>
      <c r="G651" s="18">
        <v>7287079.5935203414</v>
      </c>
      <c r="H651" s="19">
        <v>0.2132776312503688</v>
      </c>
      <c r="I651" s="19">
        <v>6.2288682939046991E-2</v>
      </c>
      <c r="J651" s="19">
        <v>0.14803372453224672</v>
      </c>
    </row>
    <row r="652" spans="1:10" ht="11.25" customHeight="1" x14ac:dyDescent="0.2">
      <c r="A652" s="27" t="s">
        <v>25</v>
      </c>
      <c r="B652" s="18">
        <v>0</v>
      </c>
      <c r="C652" s="18">
        <v>0</v>
      </c>
      <c r="D652" s="18">
        <v>9015296.521139998</v>
      </c>
      <c r="E652" s="18">
        <v>10938057.60818843</v>
      </c>
      <c r="F652" s="18">
        <v>6859792.1737799989</v>
      </c>
      <c r="G652" s="18">
        <v>7287079.5935203414</v>
      </c>
      <c r="H652" s="19">
        <v>0.2132776312503688</v>
      </c>
      <c r="I652" s="19">
        <v>6.2288682939046991E-2</v>
      </c>
      <c r="J652" s="19">
        <v>0.14803372453224672</v>
      </c>
    </row>
    <row r="653" spans="1:10" ht="11.25" customHeight="1" x14ac:dyDescent="0.2">
      <c r="A653" s="28">
        <v>44287</v>
      </c>
      <c r="B653" s="18">
        <v>0</v>
      </c>
      <c r="C653" s="18">
        <v>0</v>
      </c>
      <c r="D653" s="18">
        <v>738019.75418000005</v>
      </c>
      <c r="E653" s="18">
        <v>895422.85916749004</v>
      </c>
      <c r="F653" s="18">
        <v>561563.57386000012</v>
      </c>
      <c r="G653" s="18">
        <v>596542.62926228391</v>
      </c>
      <c r="H653" s="19">
        <v>0.21327763125036903</v>
      </c>
      <c r="I653" s="19">
        <v>6.2288682939047213E-2</v>
      </c>
      <c r="J653" s="19">
        <v>0.14803372453224695</v>
      </c>
    </row>
    <row r="654" spans="1:10" ht="11.25" customHeight="1" x14ac:dyDescent="0.2">
      <c r="A654" s="28">
        <v>44317</v>
      </c>
      <c r="B654" s="18">
        <v>0</v>
      </c>
      <c r="C654" s="18">
        <v>0</v>
      </c>
      <c r="D654" s="18">
        <v>739782.81153999991</v>
      </c>
      <c r="E654" s="18">
        <v>897561.93722498929</v>
      </c>
      <c r="F654" s="18">
        <v>562905.09458000003</v>
      </c>
      <c r="G654" s="18">
        <v>597967.71154106816</v>
      </c>
      <c r="H654" s="19">
        <v>0.21327763125036903</v>
      </c>
      <c r="I654" s="19">
        <v>6.2288682939047435E-2</v>
      </c>
      <c r="J654" s="19">
        <v>0.14803372453224695</v>
      </c>
    </row>
    <row r="655" spans="1:10" ht="11.25" customHeight="1" x14ac:dyDescent="0.2">
      <c r="A655" s="28">
        <v>44348</v>
      </c>
      <c r="B655" s="18">
        <v>0</v>
      </c>
      <c r="C655" s="18">
        <v>0</v>
      </c>
      <c r="D655" s="18">
        <v>742110.31875999982</v>
      </c>
      <c r="E655" s="18">
        <v>900385.84967158909</v>
      </c>
      <c r="F655" s="18">
        <v>564676.10852000013</v>
      </c>
      <c r="G655" s="18">
        <v>599849.03960685746</v>
      </c>
      <c r="H655" s="19">
        <v>0.21327763125036925</v>
      </c>
      <c r="I655" s="19">
        <v>6.2288682939047213E-2</v>
      </c>
      <c r="J655" s="19">
        <v>0.14803372453224695</v>
      </c>
    </row>
    <row r="656" spans="1:10" ht="11.25" customHeight="1" x14ac:dyDescent="0.2">
      <c r="A656" s="28">
        <v>44378</v>
      </c>
      <c r="B656" s="18">
        <v>0</v>
      </c>
      <c r="C656" s="18">
        <v>0</v>
      </c>
      <c r="D656" s="18">
        <v>747194.35387999995</v>
      </c>
      <c r="E656" s="18">
        <v>906554.19575917639</v>
      </c>
      <c r="F656" s="18">
        <v>568544.58075999992</v>
      </c>
      <c r="G656" s="18">
        <v>603958.47388767335</v>
      </c>
      <c r="H656" s="19">
        <v>0.21327763125036903</v>
      </c>
      <c r="I656" s="19">
        <v>6.2288682939047657E-2</v>
      </c>
      <c r="J656" s="19">
        <v>0.14803372453224717</v>
      </c>
    </row>
    <row r="657" spans="1:10" ht="11.25" customHeight="1" x14ac:dyDescent="0.2">
      <c r="A657" s="28">
        <v>44409</v>
      </c>
      <c r="B657" s="18">
        <v>0</v>
      </c>
      <c r="C657" s="18">
        <v>0</v>
      </c>
      <c r="D657" s="18">
        <v>751641.53786000004</v>
      </c>
      <c r="E657" s="18">
        <v>911949.86460416543</v>
      </c>
      <c r="F657" s="18">
        <v>571928.46921999997</v>
      </c>
      <c r="G657" s="18">
        <v>607553.14030305936</v>
      </c>
      <c r="H657" s="19">
        <v>0.21327763125036903</v>
      </c>
      <c r="I657" s="19">
        <v>6.2288682939047657E-2</v>
      </c>
      <c r="J657" s="19">
        <v>0.14803372453224695</v>
      </c>
    </row>
    <row r="658" spans="1:10" ht="11.25" customHeight="1" x14ac:dyDescent="0.2">
      <c r="A658" s="28">
        <v>44440</v>
      </c>
      <c r="B658" s="18">
        <v>0</v>
      </c>
      <c r="C658" s="18">
        <v>0</v>
      </c>
      <c r="D658" s="18">
        <v>741751.43681999983</v>
      </c>
      <c r="E658" s="18">
        <v>899950.42624152731</v>
      </c>
      <c r="F658" s="18">
        <v>564403.03314000007</v>
      </c>
      <c r="G658" s="18">
        <v>599558.95472109423</v>
      </c>
      <c r="H658" s="19">
        <v>0.21327763125036925</v>
      </c>
      <c r="I658" s="19">
        <v>6.2288682939047435E-2</v>
      </c>
      <c r="J658" s="19">
        <v>0.14803372453224695</v>
      </c>
    </row>
    <row r="659" spans="1:10" ht="11.25" customHeight="1" x14ac:dyDescent="0.2">
      <c r="A659" s="28">
        <v>44470</v>
      </c>
      <c r="B659" s="18">
        <v>0</v>
      </c>
      <c r="C659" s="18">
        <v>0</v>
      </c>
      <c r="D659" s="18">
        <v>746696.16411999997</v>
      </c>
      <c r="E659" s="18">
        <v>905949.75326725037</v>
      </c>
      <c r="F659" s="18">
        <v>568165.50524000009</v>
      </c>
      <c r="G659" s="18">
        <v>603555.78625279805</v>
      </c>
      <c r="H659" s="19">
        <v>0.21327763125036903</v>
      </c>
      <c r="I659" s="19">
        <v>6.2288682939047213E-2</v>
      </c>
      <c r="J659" s="19">
        <v>0.14803372453224672</v>
      </c>
    </row>
    <row r="660" spans="1:10" ht="11.25" customHeight="1" x14ac:dyDescent="0.2">
      <c r="A660" s="28">
        <v>44501</v>
      </c>
      <c r="B660" s="18">
        <v>0</v>
      </c>
      <c r="C660" s="18">
        <v>0</v>
      </c>
      <c r="D660" s="18">
        <v>748600.25314000004</v>
      </c>
      <c r="E660" s="18">
        <v>908259.94188312592</v>
      </c>
      <c r="F660" s="18">
        <v>569614.33778000006</v>
      </c>
      <c r="G660" s="18">
        <v>605094.86466351396</v>
      </c>
      <c r="H660" s="19">
        <v>0.21327763125036903</v>
      </c>
      <c r="I660" s="19">
        <v>6.2288682939047435E-2</v>
      </c>
      <c r="J660" s="19">
        <v>0.14803372453224695</v>
      </c>
    </row>
    <row r="661" spans="1:10" ht="11.25" customHeight="1" x14ac:dyDescent="0.2">
      <c r="A661" s="28">
        <v>44531</v>
      </c>
      <c r="B661" s="18">
        <v>0</v>
      </c>
      <c r="C661" s="18">
        <v>0</v>
      </c>
      <c r="D661" s="18">
        <v>747766.88424000004</v>
      </c>
      <c r="E661" s="18">
        <v>907248.83403817611</v>
      </c>
      <c r="F661" s="18">
        <v>568980.22248</v>
      </c>
      <c r="G661" s="18">
        <v>604421.25115664559</v>
      </c>
      <c r="H661" s="19">
        <v>0.21327763125036903</v>
      </c>
      <c r="I661" s="19">
        <v>6.2288682939047879E-2</v>
      </c>
      <c r="J661" s="19">
        <v>0.14803372453224695</v>
      </c>
    </row>
    <row r="662" spans="1:10" ht="11.25" customHeight="1" x14ac:dyDescent="0.2">
      <c r="A662" s="28">
        <v>44562</v>
      </c>
      <c r="B662" s="18">
        <v>0</v>
      </c>
      <c r="C662" s="18">
        <v>0</v>
      </c>
      <c r="D662" s="18">
        <v>749545.02519999992</v>
      </c>
      <c r="E662" s="18">
        <v>909406.21269015409</v>
      </c>
      <c r="F662" s="18">
        <v>570333.22039999999</v>
      </c>
      <c r="G662" s="18">
        <v>605858.52553510154</v>
      </c>
      <c r="H662" s="19">
        <v>0.21327763125036903</v>
      </c>
      <c r="I662" s="19">
        <v>6.2288682939047657E-2</v>
      </c>
      <c r="J662" s="19">
        <v>0.14803372453224672</v>
      </c>
    </row>
    <row r="663" spans="1:10" ht="11.25" customHeight="1" x14ac:dyDescent="0.2">
      <c r="A663" s="28">
        <v>44593</v>
      </c>
      <c r="B663" s="18">
        <v>0</v>
      </c>
      <c r="C663" s="18">
        <v>0</v>
      </c>
      <c r="D663" s="18">
        <v>781093.99069999997</v>
      </c>
      <c r="E663" s="18">
        <v>947683.86682039383</v>
      </c>
      <c r="F663" s="18">
        <v>594339.01390000002</v>
      </c>
      <c r="G663" s="18">
        <v>631359.60829512321</v>
      </c>
      <c r="H663" s="19">
        <v>0.21327763125036925</v>
      </c>
      <c r="I663" s="19">
        <v>6.2288682939047435E-2</v>
      </c>
      <c r="J663" s="19">
        <v>0.14803372453224695</v>
      </c>
    </row>
    <row r="664" spans="1:10" ht="11.25" customHeight="1" x14ac:dyDescent="0.2">
      <c r="A664" s="28">
        <v>44621</v>
      </c>
      <c r="B664" s="18">
        <v>0</v>
      </c>
      <c r="C664" s="18">
        <v>0</v>
      </c>
      <c r="D664" s="18">
        <v>781093.99069999997</v>
      </c>
      <c r="E664" s="18">
        <v>947683.86682039383</v>
      </c>
      <c r="F664" s="18">
        <v>594339.01390000002</v>
      </c>
      <c r="G664" s="18">
        <v>631359.60829512321</v>
      </c>
      <c r="H664" s="19">
        <v>0.21327763125036925</v>
      </c>
      <c r="I664" s="19">
        <v>6.2288682939047435E-2</v>
      </c>
      <c r="J664" s="19">
        <v>0.14803372453224695</v>
      </c>
    </row>
    <row r="665" spans="1:10" ht="11.25" customHeight="1" x14ac:dyDescent="0.2">
      <c r="A665" s="24" t="s">
        <v>30</v>
      </c>
      <c r="B665" s="18">
        <v>0</v>
      </c>
      <c r="C665" s="18">
        <v>0</v>
      </c>
      <c r="D665" s="18">
        <v>24835467.3693</v>
      </c>
      <c r="E665" s="18">
        <v>30131850.900980704</v>
      </c>
      <c r="F665" s="18">
        <v>18897545.122260001</v>
      </c>
      <c r="G665" s="18">
        <v>20074240.206154831</v>
      </c>
      <c r="H665" s="19">
        <v>0.21325886293679108</v>
      </c>
      <c r="I665" s="19">
        <v>6.2267086877266342E-2</v>
      </c>
      <c r="J665" s="19">
        <v>0.14801355421890405</v>
      </c>
    </row>
    <row r="666" spans="1:10" ht="11.25" customHeight="1" x14ac:dyDescent="0.2">
      <c r="A666" s="25" t="s">
        <v>25</v>
      </c>
      <c r="B666" s="18">
        <v>0</v>
      </c>
      <c r="C666" s="18">
        <v>0</v>
      </c>
      <c r="D666" s="18">
        <v>24835467.3693</v>
      </c>
      <c r="E666" s="18">
        <v>30131850.900980704</v>
      </c>
      <c r="F666" s="18">
        <v>18897545.122260001</v>
      </c>
      <c r="G666" s="18">
        <v>20074240.206154831</v>
      </c>
      <c r="H666" s="19">
        <v>0.21325886293679108</v>
      </c>
      <c r="I666" s="19">
        <v>6.2267086877266342E-2</v>
      </c>
      <c r="J666" s="19">
        <v>0.14801355421890405</v>
      </c>
    </row>
    <row r="667" spans="1:10" ht="11.25" customHeight="1" x14ac:dyDescent="0.2">
      <c r="A667" s="26" t="s">
        <v>25</v>
      </c>
      <c r="B667" s="18">
        <v>0</v>
      </c>
      <c r="C667" s="18">
        <v>0</v>
      </c>
      <c r="D667" s="18">
        <v>24835467.3693</v>
      </c>
      <c r="E667" s="18">
        <v>30131850.900980704</v>
      </c>
      <c r="F667" s="18">
        <v>18897545.122260001</v>
      </c>
      <c r="G667" s="18">
        <v>20074240.206154831</v>
      </c>
      <c r="H667" s="19">
        <v>0.21325886293679108</v>
      </c>
      <c r="I667" s="19">
        <v>6.2267086877266342E-2</v>
      </c>
      <c r="J667" s="19">
        <v>0.14801355421890405</v>
      </c>
    </row>
    <row r="668" spans="1:10" ht="11.25" customHeight="1" x14ac:dyDescent="0.2">
      <c r="A668" s="27" t="s">
        <v>25</v>
      </c>
      <c r="B668" s="18">
        <v>0</v>
      </c>
      <c r="C668" s="18">
        <v>0</v>
      </c>
      <c r="D668" s="18">
        <v>24835467.3693</v>
      </c>
      <c r="E668" s="18">
        <v>30131850.900980704</v>
      </c>
      <c r="F668" s="18">
        <v>18897545.122260001</v>
      </c>
      <c r="G668" s="18">
        <v>20074240.206154831</v>
      </c>
      <c r="H668" s="19">
        <v>0.21325886293679108</v>
      </c>
      <c r="I668" s="19">
        <v>6.2267086877266342E-2</v>
      </c>
      <c r="J668" s="19">
        <v>0.14801355421890405</v>
      </c>
    </row>
    <row r="669" spans="1:10" ht="11.25" customHeight="1" x14ac:dyDescent="0.2">
      <c r="A669" s="28">
        <v>44287</v>
      </c>
      <c r="B669" s="18">
        <v>0</v>
      </c>
      <c r="C669" s="18">
        <v>0</v>
      </c>
      <c r="D669" s="18">
        <v>2176408.9406999997</v>
      </c>
      <c r="E669" s="18">
        <v>2640547.4366791481</v>
      </c>
      <c r="F669" s="18">
        <v>1656050.4197399998</v>
      </c>
      <c r="G669" s="18">
        <v>1759167.8550990843</v>
      </c>
      <c r="H669" s="19">
        <v>0.2132588629367913</v>
      </c>
      <c r="I669" s="19">
        <v>6.2267086877266786E-2</v>
      </c>
      <c r="J669" s="19">
        <v>0.14801355421890428</v>
      </c>
    </row>
    <row r="670" spans="1:10" ht="11.25" customHeight="1" x14ac:dyDescent="0.2">
      <c r="A670" s="28">
        <v>44317</v>
      </c>
      <c r="B670" s="18">
        <v>0</v>
      </c>
      <c r="C670" s="18">
        <v>0</v>
      </c>
      <c r="D670" s="18">
        <v>2030022.1851999999</v>
      </c>
      <c r="E670" s="18">
        <v>2462942.4081522119</v>
      </c>
      <c r="F670" s="18">
        <v>1544663.33464</v>
      </c>
      <c r="G670" s="18">
        <v>1640845.0206941573</v>
      </c>
      <c r="H670" s="19">
        <v>0.21325886293679108</v>
      </c>
      <c r="I670" s="19">
        <v>6.2267086877266564E-2</v>
      </c>
      <c r="J670" s="19">
        <v>0.14801355421890405</v>
      </c>
    </row>
    <row r="671" spans="1:10" ht="11.25" customHeight="1" x14ac:dyDescent="0.2">
      <c r="A671" s="28">
        <v>44348</v>
      </c>
      <c r="B671" s="18">
        <v>0</v>
      </c>
      <c r="C671" s="18">
        <v>0</v>
      </c>
      <c r="D671" s="18">
        <v>1978982.3718999997</v>
      </c>
      <c r="E671" s="18">
        <v>2401017.9023033478</v>
      </c>
      <c r="F671" s="18">
        <v>1505826.6515799998</v>
      </c>
      <c r="G671" s="18">
        <v>1599590.0905160352</v>
      </c>
      <c r="H671" s="19">
        <v>0.2132588629367913</v>
      </c>
      <c r="I671" s="19">
        <v>6.2267086877266564E-2</v>
      </c>
      <c r="J671" s="19">
        <v>0.14801355421890405</v>
      </c>
    </row>
    <row r="672" spans="1:10" ht="11.25" customHeight="1" x14ac:dyDescent="0.2">
      <c r="A672" s="28">
        <v>44378</v>
      </c>
      <c r="B672" s="18">
        <v>0</v>
      </c>
      <c r="C672" s="18">
        <v>0</v>
      </c>
      <c r="D672" s="18">
        <v>1970861.4823</v>
      </c>
      <c r="E672" s="18">
        <v>2391165.1610212172</v>
      </c>
      <c r="F672" s="18">
        <v>1499647.3888599998</v>
      </c>
      <c r="G672" s="18">
        <v>1593026.0631074116</v>
      </c>
      <c r="H672" s="19">
        <v>0.2132588629367913</v>
      </c>
      <c r="I672" s="19">
        <v>6.2267086877266786E-2</v>
      </c>
      <c r="J672" s="19">
        <v>0.1480135542189045</v>
      </c>
    </row>
    <row r="673" spans="1:10" ht="11.25" customHeight="1" x14ac:dyDescent="0.2">
      <c r="A673" s="28">
        <v>44409</v>
      </c>
      <c r="B673" s="18">
        <v>0</v>
      </c>
      <c r="C673" s="18">
        <v>0</v>
      </c>
      <c r="D673" s="18">
        <v>1894052.8790999998</v>
      </c>
      <c r="E673" s="18">
        <v>2297976.4424390215</v>
      </c>
      <c r="F673" s="18">
        <v>1441202.9866200001</v>
      </c>
      <c r="G673" s="18">
        <v>1530942.4981956438</v>
      </c>
      <c r="H673" s="19">
        <v>0.2132588629367913</v>
      </c>
      <c r="I673" s="19">
        <v>6.2267086877266564E-2</v>
      </c>
      <c r="J673" s="19">
        <v>0.14801355421890405</v>
      </c>
    </row>
    <row r="674" spans="1:10" ht="11.25" customHeight="1" x14ac:dyDescent="0.2">
      <c r="A674" s="28">
        <v>44440</v>
      </c>
      <c r="B674" s="18">
        <v>0</v>
      </c>
      <c r="C674" s="18">
        <v>0</v>
      </c>
      <c r="D674" s="18">
        <v>1907363.0998999996</v>
      </c>
      <c r="E674" s="18">
        <v>2314125.1857922669</v>
      </c>
      <c r="F674" s="18">
        <v>1451330.8611799998</v>
      </c>
      <c r="G674" s="18">
        <v>1541701.0060007533</v>
      </c>
      <c r="H674" s="19">
        <v>0.2132588629367913</v>
      </c>
      <c r="I674" s="19">
        <v>6.2267086877266786E-2</v>
      </c>
      <c r="J674" s="19">
        <v>0.14801355421890428</v>
      </c>
    </row>
    <row r="675" spans="1:10" ht="11.25" customHeight="1" x14ac:dyDescent="0.2">
      <c r="A675" s="28">
        <v>44470</v>
      </c>
      <c r="B675" s="18">
        <v>0</v>
      </c>
      <c r="C675" s="18">
        <v>0</v>
      </c>
      <c r="D675" s="18">
        <v>2026121.1365</v>
      </c>
      <c r="E675" s="18">
        <v>2458209.4262421895</v>
      </c>
      <c r="F675" s="18">
        <v>1541694.9892999998</v>
      </c>
      <c r="G675" s="18">
        <v>1637691.8451369898</v>
      </c>
      <c r="H675" s="19">
        <v>0.2132588629367913</v>
      </c>
      <c r="I675" s="19">
        <v>6.2267086877266786E-2</v>
      </c>
      <c r="J675" s="19">
        <v>0.1480135542189045</v>
      </c>
    </row>
    <row r="676" spans="1:10" ht="11.25" customHeight="1" x14ac:dyDescent="0.2">
      <c r="A676" s="28">
        <v>44501</v>
      </c>
      <c r="B676" s="18">
        <v>0</v>
      </c>
      <c r="C676" s="18">
        <v>0</v>
      </c>
      <c r="D676" s="18">
        <v>2066279.9034</v>
      </c>
      <c r="E676" s="18">
        <v>2506932.4061082266</v>
      </c>
      <c r="F676" s="18">
        <v>1572252.1798799997</v>
      </c>
      <c r="G676" s="18">
        <v>1670151.7429575596</v>
      </c>
      <c r="H676" s="19">
        <v>0.21325886293679108</v>
      </c>
      <c r="I676" s="19">
        <v>6.2267086877266786E-2</v>
      </c>
      <c r="J676" s="19">
        <v>0.14801355421890405</v>
      </c>
    </row>
    <row r="677" spans="1:10" ht="11.25" customHeight="1" x14ac:dyDescent="0.2">
      <c r="A677" s="28">
        <v>44531</v>
      </c>
      <c r="B677" s="18">
        <v>0</v>
      </c>
      <c r="C677" s="18">
        <v>0</v>
      </c>
      <c r="D677" s="18">
        <v>2114089.8677999997</v>
      </c>
      <c r="E677" s="18">
        <v>2564938.2691532192</v>
      </c>
      <c r="F677" s="18">
        <v>1608631.2399599999</v>
      </c>
      <c r="G677" s="18">
        <v>1708796.0211320745</v>
      </c>
      <c r="H677" s="19">
        <v>0.2132588629367913</v>
      </c>
      <c r="I677" s="19">
        <v>6.2267086877266786E-2</v>
      </c>
      <c r="J677" s="19">
        <v>0.14801355421890428</v>
      </c>
    </row>
    <row r="678" spans="1:10" ht="11.25" customHeight="1" x14ac:dyDescent="0.2">
      <c r="A678" s="28">
        <v>44562</v>
      </c>
      <c r="B678" s="18">
        <v>0</v>
      </c>
      <c r="C678" s="18">
        <v>0</v>
      </c>
      <c r="D678" s="18">
        <v>2185952.3897000002</v>
      </c>
      <c r="E678" s="18">
        <v>2652126.1107613835</v>
      </c>
      <c r="F678" s="18">
        <v>1663312.12154</v>
      </c>
      <c r="G678" s="18">
        <v>1766881.7219159422</v>
      </c>
      <c r="H678" s="19">
        <v>0.21325886293679108</v>
      </c>
      <c r="I678" s="19">
        <v>6.2267086877266786E-2</v>
      </c>
      <c r="J678" s="19">
        <v>0.14801355421890405</v>
      </c>
    </row>
    <row r="679" spans="1:10" ht="11.25" customHeight="1" x14ac:dyDescent="0.2">
      <c r="A679" s="28">
        <v>44593</v>
      </c>
      <c r="B679" s="18">
        <v>0</v>
      </c>
      <c r="C679" s="18">
        <v>0</v>
      </c>
      <c r="D679" s="18">
        <v>2242666.5563999997</v>
      </c>
      <c r="E679" s="18">
        <v>2720935.076164233</v>
      </c>
      <c r="F679" s="18">
        <v>1706466.4744800001</v>
      </c>
      <c r="G679" s="18">
        <v>1812723.1706995892</v>
      </c>
      <c r="H679" s="19">
        <v>0.2132588629367913</v>
      </c>
      <c r="I679" s="19">
        <v>6.2267086877266564E-2</v>
      </c>
      <c r="J679" s="19">
        <v>0.14801355421890428</v>
      </c>
    </row>
    <row r="680" spans="1:10" ht="11.25" customHeight="1" x14ac:dyDescent="0.2">
      <c r="A680" s="28">
        <v>44621</v>
      </c>
      <c r="B680" s="18">
        <v>0</v>
      </c>
      <c r="C680" s="18">
        <v>0</v>
      </c>
      <c r="D680" s="18">
        <v>2242666.5563999997</v>
      </c>
      <c r="E680" s="18">
        <v>2720935.076164233</v>
      </c>
      <c r="F680" s="18">
        <v>1706466.4744800001</v>
      </c>
      <c r="G680" s="18">
        <v>1812723.1706995892</v>
      </c>
      <c r="H680" s="19">
        <v>0.2132588629367913</v>
      </c>
      <c r="I680" s="19">
        <v>6.2267086877266564E-2</v>
      </c>
      <c r="J680" s="19">
        <v>0.14801355421890428</v>
      </c>
    </row>
    <row r="681" spans="1:10" ht="11.25" customHeight="1" x14ac:dyDescent="0.2">
      <c r="A681" s="24" t="s">
        <v>31</v>
      </c>
      <c r="B681" s="18">
        <v>0</v>
      </c>
      <c r="C681" s="18">
        <v>0</v>
      </c>
      <c r="D681" s="18">
        <v>16105741.831950001</v>
      </c>
      <c r="E681" s="18">
        <v>19540434.021785174</v>
      </c>
      <c r="F681" s="18">
        <v>12255594.632779999</v>
      </c>
      <c r="G681" s="18">
        <v>13018097.281009339</v>
      </c>
      <c r="H681" s="19">
        <v>0.21325886293679064</v>
      </c>
      <c r="I681" s="19">
        <v>6.2216699481057791E-2</v>
      </c>
      <c r="J681" s="19">
        <v>0.14799002308244913</v>
      </c>
    </row>
    <row r="682" spans="1:10" ht="11.25" customHeight="1" x14ac:dyDescent="0.2">
      <c r="A682" s="25" t="s">
        <v>25</v>
      </c>
      <c r="B682" s="18">
        <v>0</v>
      </c>
      <c r="C682" s="18">
        <v>0</v>
      </c>
      <c r="D682" s="18">
        <v>16105741.831950001</v>
      </c>
      <c r="E682" s="18">
        <v>19540434.021785174</v>
      </c>
      <c r="F682" s="18">
        <v>12255594.632779999</v>
      </c>
      <c r="G682" s="18">
        <v>13018097.281009339</v>
      </c>
      <c r="H682" s="19">
        <v>0.21325886293679064</v>
      </c>
      <c r="I682" s="19">
        <v>6.2216699481057791E-2</v>
      </c>
      <c r="J682" s="19">
        <v>0.14799002308244913</v>
      </c>
    </row>
    <row r="683" spans="1:10" ht="11.25" customHeight="1" x14ac:dyDescent="0.2">
      <c r="A683" s="26" t="s">
        <v>25</v>
      </c>
      <c r="B683" s="18">
        <v>0</v>
      </c>
      <c r="C683" s="18">
        <v>0</v>
      </c>
      <c r="D683" s="18">
        <v>16105741.831950001</v>
      </c>
      <c r="E683" s="18">
        <v>19540434.021785174</v>
      </c>
      <c r="F683" s="18">
        <v>12255594.632779999</v>
      </c>
      <c r="G683" s="18">
        <v>13018097.281009339</v>
      </c>
      <c r="H683" s="19">
        <v>0.21325886293679064</v>
      </c>
      <c r="I683" s="19">
        <v>6.2216699481057791E-2</v>
      </c>
      <c r="J683" s="19">
        <v>0.14799002308244913</v>
      </c>
    </row>
    <row r="684" spans="1:10" ht="11.25" customHeight="1" x14ac:dyDescent="0.2">
      <c r="A684" s="27" t="s">
        <v>25</v>
      </c>
      <c r="B684" s="18">
        <v>0</v>
      </c>
      <c r="C684" s="18">
        <v>0</v>
      </c>
      <c r="D684" s="18">
        <v>16105741.831950001</v>
      </c>
      <c r="E684" s="18">
        <v>19540434.021785174</v>
      </c>
      <c r="F684" s="18">
        <v>12255594.632779999</v>
      </c>
      <c r="G684" s="18">
        <v>13018097.281009339</v>
      </c>
      <c r="H684" s="19">
        <v>0.21325886293679064</v>
      </c>
      <c r="I684" s="19">
        <v>6.2216699481057791E-2</v>
      </c>
      <c r="J684" s="19">
        <v>0.14799002308244913</v>
      </c>
    </row>
    <row r="685" spans="1:10" ht="11.25" customHeight="1" x14ac:dyDescent="0.2">
      <c r="A685" s="28">
        <v>44287</v>
      </c>
      <c r="B685" s="18">
        <v>0</v>
      </c>
      <c r="C685" s="18">
        <v>0</v>
      </c>
      <c r="D685" s="18">
        <v>1696749.5052</v>
      </c>
      <c r="E685" s="18">
        <v>2058596.375367515</v>
      </c>
      <c r="F685" s="18">
        <v>1291134.20208</v>
      </c>
      <c r="G685" s="18">
        <v>1371464.3107205268</v>
      </c>
      <c r="H685" s="19">
        <v>0.21325886293679108</v>
      </c>
      <c r="I685" s="19">
        <v>6.2216699481058013E-2</v>
      </c>
      <c r="J685" s="19">
        <v>0.14799002308244957</v>
      </c>
    </row>
    <row r="686" spans="1:10" ht="11.25" customHeight="1" x14ac:dyDescent="0.2">
      <c r="A686" s="28">
        <v>44317</v>
      </c>
      <c r="B686" s="18">
        <v>0</v>
      </c>
      <c r="C686" s="18">
        <v>0</v>
      </c>
      <c r="D686" s="18">
        <v>1324091.2124999999</v>
      </c>
      <c r="E686" s="18">
        <v>1606465.3989023471</v>
      </c>
      <c r="F686" s="18">
        <v>1007561.4850000001</v>
      </c>
      <c r="G686" s="18">
        <v>1070248.6351209334</v>
      </c>
      <c r="H686" s="19">
        <v>0.2132588629367913</v>
      </c>
      <c r="I686" s="19">
        <v>6.2216699481057791E-2</v>
      </c>
      <c r="J686" s="19">
        <v>0.14799002308244935</v>
      </c>
    </row>
    <row r="687" spans="1:10" ht="11.25" customHeight="1" x14ac:dyDescent="0.2">
      <c r="A687" s="28">
        <v>44348</v>
      </c>
      <c r="B687" s="18">
        <v>0</v>
      </c>
      <c r="C687" s="18">
        <v>0</v>
      </c>
      <c r="D687" s="18">
        <v>1198068.6478500001</v>
      </c>
      <c r="E687" s="18">
        <v>1453567.40541071</v>
      </c>
      <c r="F687" s="18">
        <v>911665.15914000012</v>
      </c>
      <c r="G687" s="18">
        <v>968385.9563735642</v>
      </c>
      <c r="H687" s="19">
        <v>0.2132588629367913</v>
      </c>
      <c r="I687" s="19">
        <v>6.2216699481057791E-2</v>
      </c>
      <c r="J687" s="19">
        <v>0.14799002308244935</v>
      </c>
    </row>
    <row r="688" spans="1:10" ht="11.25" customHeight="1" x14ac:dyDescent="0.2">
      <c r="A688" s="28">
        <v>44378</v>
      </c>
      <c r="B688" s="18">
        <v>0</v>
      </c>
      <c r="C688" s="18">
        <v>0</v>
      </c>
      <c r="D688" s="18">
        <v>1152415.5177</v>
      </c>
      <c r="E688" s="18">
        <v>1398178.3406354156</v>
      </c>
      <c r="F688" s="18">
        <v>876925.60707999999</v>
      </c>
      <c r="G688" s="18">
        <v>931485.02404294047</v>
      </c>
      <c r="H688" s="19">
        <v>0.2132588629367913</v>
      </c>
      <c r="I688" s="19">
        <v>6.2216699481057791E-2</v>
      </c>
      <c r="J688" s="19">
        <v>0.14799002308244935</v>
      </c>
    </row>
    <row r="689" spans="1:10" ht="11.25" customHeight="1" x14ac:dyDescent="0.2">
      <c r="A689" s="28">
        <v>44409</v>
      </c>
      <c r="B689" s="18">
        <v>0</v>
      </c>
      <c r="C689" s="18">
        <v>0</v>
      </c>
      <c r="D689" s="18">
        <v>1000046.05215</v>
      </c>
      <c r="E689" s="18">
        <v>1213314.736115936</v>
      </c>
      <c r="F689" s="18">
        <v>760980.72086</v>
      </c>
      <c r="G689" s="18">
        <v>808326.42968062544</v>
      </c>
      <c r="H689" s="19">
        <v>0.21325886293679108</v>
      </c>
      <c r="I689" s="19">
        <v>6.2216699481058013E-2</v>
      </c>
      <c r="J689" s="19">
        <v>0.14799002308244935</v>
      </c>
    </row>
    <row r="690" spans="1:10" ht="11.25" customHeight="1" x14ac:dyDescent="0.2">
      <c r="A690" s="28">
        <v>44440</v>
      </c>
      <c r="B690" s="18">
        <v>0</v>
      </c>
      <c r="C690" s="18">
        <v>0</v>
      </c>
      <c r="D690" s="18">
        <v>1034213.5204500001</v>
      </c>
      <c r="E690" s="18">
        <v>1254768.7198550228</v>
      </c>
      <c r="F690" s="18">
        <v>786980.30818000005</v>
      </c>
      <c r="G690" s="18">
        <v>835943.62551154546</v>
      </c>
      <c r="H690" s="19">
        <v>0.21325886293679108</v>
      </c>
      <c r="I690" s="19">
        <v>6.2216699481058013E-2</v>
      </c>
      <c r="J690" s="19">
        <v>0.14799002308244935</v>
      </c>
    </row>
    <row r="691" spans="1:10" ht="11.25" customHeight="1" x14ac:dyDescent="0.2">
      <c r="A691" s="28">
        <v>44470</v>
      </c>
      <c r="B691" s="18">
        <v>0</v>
      </c>
      <c r="C691" s="18">
        <v>0</v>
      </c>
      <c r="D691" s="18">
        <v>1225399.6303500002</v>
      </c>
      <c r="E691" s="18">
        <v>1486726.9621616055</v>
      </c>
      <c r="F691" s="18">
        <v>932462.55214000004</v>
      </c>
      <c r="G691" s="18">
        <v>990477.2945238346</v>
      </c>
      <c r="H691" s="19">
        <v>0.21325886293679108</v>
      </c>
      <c r="I691" s="19">
        <v>6.2216699481057791E-2</v>
      </c>
      <c r="J691" s="19">
        <v>0.14799002308244913</v>
      </c>
    </row>
    <row r="692" spans="1:10" ht="11.25" customHeight="1" x14ac:dyDescent="0.2">
      <c r="A692" s="28">
        <v>44501</v>
      </c>
      <c r="B692" s="18">
        <v>0</v>
      </c>
      <c r="C692" s="18">
        <v>0</v>
      </c>
      <c r="D692" s="18">
        <v>1306102.3559999999</v>
      </c>
      <c r="E692" s="18">
        <v>1584640.2593196239</v>
      </c>
      <c r="F692" s="18">
        <v>993872.94239999994</v>
      </c>
      <c r="G692" s="18">
        <v>1055708.4365796554</v>
      </c>
      <c r="H692" s="19">
        <v>0.21325886293679108</v>
      </c>
      <c r="I692" s="19">
        <v>6.2216699481057791E-2</v>
      </c>
      <c r="J692" s="19">
        <v>0.14799002308244957</v>
      </c>
    </row>
    <row r="693" spans="1:10" ht="11.25" customHeight="1" x14ac:dyDescent="0.2">
      <c r="A693" s="28">
        <v>44531</v>
      </c>
      <c r="B693" s="18">
        <v>0</v>
      </c>
      <c r="C693" s="18">
        <v>0</v>
      </c>
      <c r="D693" s="18">
        <v>1409560.0293000001</v>
      </c>
      <c r="E693" s="18">
        <v>1710161.198389668</v>
      </c>
      <c r="F693" s="18">
        <v>1072598.6117199999</v>
      </c>
      <c r="G693" s="18">
        <v>1139332.1572091833</v>
      </c>
      <c r="H693" s="19">
        <v>0.21325886293679108</v>
      </c>
      <c r="I693" s="19">
        <v>6.2216699481058235E-2</v>
      </c>
      <c r="J693" s="19">
        <v>0.14799002308244935</v>
      </c>
    </row>
    <row r="694" spans="1:10" ht="11.25" customHeight="1" x14ac:dyDescent="0.2">
      <c r="A694" s="28">
        <v>44562</v>
      </c>
      <c r="B694" s="18">
        <v>0</v>
      </c>
      <c r="C694" s="18">
        <v>0</v>
      </c>
      <c r="D694" s="18">
        <v>1607845.5454500001</v>
      </c>
      <c r="E694" s="18">
        <v>1950732.8582506517</v>
      </c>
      <c r="F694" s="18">
        <v>1223483.1181799998</v>
      </c>
      <c r="G694" s="18">
        <v>1299604.1996639527</v>
      </c>
      <c r="H694" s="19">
        <v>0.21325886293679108</v>
      </c>
      <c r="I694" s="19">
        <v>6.2216699481058013E-2</v>
      </c>
      <c r="J694" s="19">
        <v>0.14799002308244957</v>
      </c>
    </row>
    <row r="695" spans="1:10" ht="11.25" customHeight="1" x14ac:dyDescent="0.2">
      <c r="A695" s="28">
        <v>44593</v>
      </c>
      <c r="B695" s="18">
        <v>0</v>
      </c>
      <c r="C695" s="18">
        <v>0</v>
      </c>
      <c r="D695" s="18">
        <v>1575624.9075</v>
      </c>
      <c r="E695" s="18">
        <v>1911640.8836883367</v>
      </c>
      <c r="F695" s="18">
        <v>1198964.963</v>
      </c>
      <c r="G695" s="18">
        <v>1273560.6057912884</v>
      </c>
      <c r="H695" s="19">
        <v>0.21325886293679108</v>
      </c>
      <c r="I695" s="19">
        <v>6.2216699481057569E-2</v>
      </c>
      <c r="J695" s="19">
        <v>0.14799002308244935</v>
      </c>
    </row>
    <row r="696" spans="1:10" ht="11.25" customHeight="1" x14ac:dyDescent="0.2">
      <c r="A696" s="28">
        <v>44621</v>
      </c>
      <c r="B696" s="18">
        <v>0</v>
      </c>
      <c r="C696" s="18">
        <v>0</v>
      </c>
      <c r="D696" s="18">
        <v>1575624.9075</v>
      </c>
      <c r="E696" s="18">
        <v>1911640.8836883367</v>
      </c>
      <c r="F696" s="18">
        <v>1198964.963</v>
      </c>
      <c r="G696" s="18">
        <v>1273560.6057912884</v>
      </c>
      <c r="H696" s="19">
        <v>0.21325886293679108</v>
      </c>
      <c r="I696" s="19">
        <v>6.2216699481057569E-2</v>
      </c>
      <c r="J696" s="19">
        <v>0.14799002308244935</v>
      </c>
    </row>
    <row r="697" spans="1:10" ht="11.25" customHeight="1" x14ac:dyDescent="0.2">
      <c r="A697" s="24" t="s">
        <v>32</v>
      </c>
      <c r="B697" s="18">
        <v>0</v>
      </c>
      <c r="C697" s="18">
        <v>0</v>
      </c>
      <c r="D697" s="18">
        <v>4945113.1308799991</v>
      </c>
      <c r="E697" s="18">
        <v>5999572.4030816574</v>
      </c>
      <c r="F697" s="18">
        <v>3762809.5756800002</v>
      </c>
      <c r="G697" s="18">
        <v>3996995.0053668595</v>
      </c>
      <c r="H697" s="19">
        <v>0.21323258827326685</v>
      </c>
      <c r="I697" s="19">
        <v>6.2236853865914155E-2</v>
      </c>
      <c r="J697" s="19">
        <v>0.14798531697091599</v>
      </c>
    </row>
    <row r="698" spans="1:10" ht="11.25" customHeight="1" x14ac:dyDescent="0.2">
      <c r="A698" s="25" t="s">
        <v>25</v>
      </c>
      <c r="B698" s="18">
        <v>0</v>
      </c>
      <c r="C698" s="18">
        <v>0</v>
      </c>
      <c r="D698" s="18">
        <v>4945113.1308799991</v>
      </c>
      <c r="E698" s="18">
        <v>5999572.4030816574</v>
      </c>
      <c r="F698" s="18">
        <v>3762809.5756800002</v>
      </c>
      <c r="G698" s="18">
        <v>3996995.0053668595</v>
      </c>
      <c r="H698" s="19">
        <v>0.21323258827326685</v>
      </c>
      <c r="I698" s="19">
        <v>6.2236853865914155E-2</v>
      </c>
      <c r="J698" s="19">
        <v>0.14798531697091599</v>
      </c>
    </row>
    <row r="699" spans="1:10" ht="11.25" customHeight="1" x14ac:dyDescent="0.2">
      <c r="A699" s="26" t="s">
        <v>25</v>
      </c>
      <c r="B699" s="18">
        <v>0</v>
      </c>
      <c r="C699" s="18">
        <v>0</v>
      </c>
      <c r="D699" s="18">
        <v>4945113.1308799991</v>
      </c>
      <c r="E699" s="18">
        <v>5999572.4030816574</v>
      </c>
      <c r="F699" s="18">
        <v>3762809.5756800002</v>
      </c>
      <c r="G699" s="18">
        <v>3996995.0053668595</v>
      </c>
      <c r="H699" s="19">
        <v>0.21323258827326685</v>
      </c>
      <c r="I699" s="19">
        <v>6.2236853865914155E-2</v>
      </c>
      <c r="J699" s="19">
        <v>0.14798531697091599</v>
      </c>
    </row>
    <row r="700" spans="1:10" ht="11.25" customHeight="1" x14ac:dyDescent="0.2">
      <c r="A700" s="27" t="s">
        <v>25</v>
      </c>
      <c r="B700" s="18">
        <v>0</v>
      </c>
      <c r="C700" s="18">
        <v>0</v>
      </c>
      <c r="D700" s="18">
        <v>4945113.1308799991</v>
      </c>
      <c r="E700" s="18">
        <v>5999572.4030816574</v>
      </c>
      <c r="F700" s="18">
        <v>3762809.5756800002</v>
      </c>
      <c r="G700" s="18">
        <v>3996995.0053668595</v>
      </c>
      <c r="H700" s="19">
        <v>0.21323258827326685</v>
      </c>
      <c r="I700" s="19">
        <v>6.2236853865914155E-2</v>
      </c>
      <c r="J700" s="19">
        <v>0.14798531697091599</v>
      </c>
    </row>
    <row r="701" spans="1:10" ht="11.25" customHeight="1" x14ac:dyDescent="0.2">
      <c r="A701" s="28">
        <v>44287</v>
      </c>
      <c r="B701" s="18">
        <v>0</v>
      </c>
      <c r="C701" s="18">
        <v>0</v>
      </c>
      <c r="D701" s="18">
        <v>565542.09920000006</v>
      </c>
      <c r="E701" s="18">
        <v>686134.10478991212</v>
      </c>
      <c r="F701" s="18">
        <v>430329.33120000007</v>
      </c>
      <c r="G701" s="18">
        <v>457111.67490011104</v>
      </c>
      <c r="H701" s="19">
        <v>0.21323258827326574</v>
      </c>
      <c r="I701" s="19">
        <v>6.2236853865914155E-2</v>
      </c>
      <c r="J701" s="19">
        <v>0.14798531697091533</v>
      </c>
    </row>
    <row r="702" spans="1:10" ht="11.25" customHeight="1" x14ac:dyDescent="0.2">
      <c r="A702" s="28">
        <v>44317</v>
      </c>
      <c r="B702" s="18">
        <v>0</v>
      </c>
      <c r="C702" s="18">
        <v>0</v>
      </c>
      <c r="D702" s="18">
        <v>392294.36479999992</v>
      </c>
      <c r="E702" s="18">
        <v>475944.30757132079</v>
      </c>
      <c r="F702" s="18">
        <v>298502.57280000002</v>
      </c>
      <c r="G702" s="18">
        <v>317080.43380195298</v>
      </c>
      <c r="H702" s="19">
        <v>0.21323258827326619</v>
      </c>
      <c r="I702" s="19">
        <v>6.2236853865913933E-2</v>
      </c>
      <c r="J702" s="19">
        <v>0.14798531697091555</v>
      </c>
    </row>
    <row r="703" spans="1:10" ht="11.25" customHeight="1" x14ac:dyDescent="0.2">
      <c r="A703" s="28">
        <v>44348</v>
      </c>
      <c r="B703" s="18">
        <v>0</v>
      </c>
      <c r="C703" s="18">
        <v>0</v>
      </c>
      <c r="D703" s="18">
        <v>347172.10111999995</v>
      </c>
      <c r="E703" s="18">
        <v>421200.50681808562</v>
      </c>
      <c r="F703" s="18">
        <v>264168.37632000004</v>
      </c>
      <c r="G703" s="18">
        <v>280609.38495302369</v>
      </c>
      <c r="H703" s="19">
        <v>0.21323258827326619</v>
      </c>
      <c r="I703" s="19">
        <v>6.2236853865914155E-2</v>
      </c>
      <c r="J703" s="19">
        <v>0.14798531697091555</v>
      </c>
    </row>
    <row r="704" spans="1:10" ht="11.25" customHeight="1" x14ac:dyDescent="0.2">
      <c r="A704" s="28">
        <v>44378</v>
      </c>
      <c r="B704" s="18">
        <v>0</v>
      </c>
      <c r="C704" s="18">
        <v>0</v>
      </c>
      <c r="D704" s="18">
        <v>319101.40287999995</v>
      </c>
      <c r="E704" s="18">
        <v>387144.22093773261</v>
      </c>
      <c r="F704" s="18">
        <v>242808.96768</v>
      </c>
      <c r="G704" s="18">
        <v>257920.63391883369</v>
      </c>
      <c r="H704" s="19">
        <v>0.21323258827326619</v>
      </c>
      <c r="I704" s="19">
        <v>6.2236853865914377E-2</v>
      </c>
      <c r="J704" s="19">
        <v>0.14798531697091577</v>
      </c>
    </row>
    <row r="705" spans="1:10" ht="11.25" customHeight="1" x14ac:dyDescent="0.2">
      <c r="A705" s="28">
        <v>44409</v>
      </c>
      <c r="B705" s="18">
        <v>0</v>
      </c>
      <c r="C705" s="18">
        <v>0</v>
      </c>
      <c r="D705" s="18">
        <v>279171.47647999995</v>
      </c>
      <c r="E705" s="18">
        <v>338699.93298189965</v>
      </c>
      <c r="F705" s="18">
        <v>212425.69727999999</v>
      </c>
      <c r="G705" s="18">
        <v>225646.40435898033</v>
      </c>
      <c r="H705" s="19">
        <v>0.21323258827326641</v>
      </c>
      <c r="I705" s="19">
        <v>6.2236853865914377E-2</v>
      </c>
      <c r="J705" s="19">
        <v>0.14798531697091599</v>
      </c>
    </row>
    <row r="706" spans="1:10" ht="11.25" customHeight="1" x14ac:dyDescent="0.2">
      <c r="A706" s="28">
        <v>44440</v>
      </c>
      <c r="B706" s="18">
        <v>0</v>
      </c>
      <c r="C706" s="18">
        <v>0</v>
      </c>
      <c r="D706" s="18">
        <v>297907.54239999992</v>
      </c>
      <c r="E706" s="18">
        <v>361431.13873207977</v>
      </c>
      <c r="F706" s="18">
        <v>226682.2464</v>
      </c>
      <c r="G706" s="18">
        <v>240790.23624319397</v>
      </c>
      <c r="H706" s="19">
        <v>0.21323258827326641</v>
      </c>
      <c r="I706" s="19">
        <v>6.2236853865914155E-2</v>
      </c>
      <c r="J706" s="19">
        <v>0.14798531697091577</v>
      </c>
    </row>
    <row r="707" spans="1:10" ht="11.25" customHeight="1" x14ac:dyDescent="0.2">
      <c r="A707" s="28">
        <v>44470</v>
      </c>
      <c r="B707" s="18">
        <v>0</v>
      </c>
      <c r="C707" s="18">
        <v>0</v>
      </c>
      <c r="D707" s="18">
        <v>367900.81536000001</v>
      </c>
      <c r="E707" s="18">
        <v>446349.25844705768</v>
      </c>
      <c r="F707" s="18">
        <v>279941.16096000001</v>
      </c>
      <c r="G707" s="18">
        <v>297363.81808572187</v>
      </c>
      <c r="H707" s="19">
        <v>0.21323258827326574</v>
      </c>
      <c r="I707" s="19">
        <v>6.2236853865914155E-2</v>
      </c>
      <c r="J707" s="19">
        <v>0.14798531697091533</v>
      </c>
    </row>
    <row r="708" spans="1:10" ht="11.25" customHeight="1" x14ac:dyDescent="0.2">
      <c r="A708" s="28">
        <v>44501</v>
      </c>
      <c r="B708" s="18">
        <v>0</v>
      </c>
      <c r="C708" s="18">
        <v>0</v>
      </c>
      <c r="D708" s="18">
        <v>399793.96287999995</v>
      </c>
      <c r="E708" s="18">
        <v>485043.06436092843</v>
      </c>
      <c r="F708" s="18">
        <v>304209.12767999998</v>
      </c>
      <c r="G708" s="18">
        <v>323142.14670409745</v>
      </c>
      <c r="H708" s="19">
        <v>0.21323258827326619</v>
      </c>
      <c r="I708" s="19">
        <v>6.2236853865914377E-2</v>
      </c>
      <c r="J708" s="19">
        <v>0.14798531697091577</v>
      </c>
    </row>
    <row r="709" spans="1:10" ht="11.25" customHeight="1" x14ac:dyDescent="0.2">
      <c r="A709" s="28">
        <v>44531</v>
      </c>
      <c r="B709" s="18">
        <v>0</v>
      </c>
      <c r="C709" s="18">
        <v>0</v>
      </c>
      <c r="D709" s="18">
        <v>445993.35872000002</v>
      </c>
      <c r="E709" s="18">
        <v>541093.67695255275</v>
      </c>
      <c r="F709" s="18">
        <v>339362.92992000002</v>
      </c>
      <c r="G709" s="18">
        <v>360483.81099693954</v>
      </c>
      <c r="H709" s="19">
        <v>0.21323258827326597</v>
      </c>
      <c r="I709" s="19">
        <v>6.2236853865914155E-2</v>
      </c>
      <c r="J709" s="19">
        <v>0.14798531697091555</v>
      </c>
    </row>
    <row r="710" spans="1:10" ht="11.25" customHeight="1" x14ac:dyDescent="0.2">
      <c r="A710" s="28">
        <v>44562</v>
      </c>
      <c r="B710" s="18">
        <v>0</v>
      </c>
      <c r="C710" s="18">
        <v>0</v>
      </c>
      <c r="D710" s="18">
        <v>513317.96671999997</v>
      </c>
      <c r="E710" s="18">
        <v>622774.0853708759</v>
      </c>
      <c r="F710" s="18">
        <v>390591.21792000002</v>
      </c>
      <c r="G710" s="18">
        <v>414900.3864709966</v>
      </c>
      <c r="H710" s="19">
        <v>0.21323258827326619</v>
      </c>
      <c r="I710" s="19">
        <v>6.2236853865914377E-2</v>
      </c>
      <c r="J710" s="19">
        <v>0.14798531697091577</v>
      </c>
    </row>
    <row r="711" spans="1:10" ht="11.25" customHeight="1" x14ac:dyDescent="0.2">
      <c r="A711" s="28">
        <v>44593</v>
      </c>
      <c r="B711" s="18">
        <v>0</v>
      </c>
      <c r="C711" s="18">
        <v>0</v>
      </c>
      <c r="D711" s="18">
        <v>508459.02015999996</v>
      </c>
      <c r="E711" s="18">
        <v>616879.05305960553</v>
      </c>
      <c r="F711" s="18">
        <v>386893.97376000008</v>
      </c>
      <c r="G711" s="18">
        <v>410973.03746650409</v>
      </c>
      <c r="H711" s="19">
        <v>0.21323258827326619</v>
      </c>
      <c r="I711" s="19">
        <v>6.2236853865914377E-2</v>
      </c>
      <c r="J711" s="19">
        <v>0.14798531697091555</v>
      </c>
    </row>
    <row r="712" spans="1:10" ht="11.25" customHeight="1" x14ac:dyDescent="0.2">
      <c r="A712" s="28">
        <v>44621</v>
      </c>
      <c r="B712" s="18">
        <v>0</v>
      </c>
      <c r="C712" s="18">
        <v>0</v>
      </c>
      <c r="D712" s="18">
        <v>508459.02015999996</v>
      </c>
      <c r="E712" s="18">
        <v>616879.05305960553</v>
      </c>
      <c r="F712" s="18">
        <v>386893.97376000008</v>
      </c>
      <c r="G712" s="18">
        <v>410973.03746650409</v>
      </c>
      <c r="H712" s="19">
        <v>0.21323258827326619</v>
      </c>
      <c r="I712" s="19">
        <v>6.2236853865914377E-2</v>
      </c>
      <c r="J712" s="19">
        <v>0.14798531697091555</v>
      </c>
    </row>
    <row r="713" spans="1:10" ht="11.25" customHeight="1" x14ac:dyDescent="0.2">
      <c r="A713" s="21" t="s">
        <v>44</v>
      </c>
      <c r="B713" s="18">
        <v>0</v>
      </c>
      <c r="C713" s="18">
        <v>0</v>
      </c>
      <c r="D713" s="18">
        <v>17844995.865965001</v>
      </c>
      <c r="E713" s="18">
        <v>23617201.229214199</v>
      </c>
      <c r="F713" s="18">
        <v>12079879.382933</v>
      </c>
      <c r="G713" s="18">
        <v>13706709.395592399</v>
      </c>
      <c r="H713" s="19">
        <v>0.32346353042637932</v>
      </c>
      <c r="I713" s="19">
        <v>0.13467270335148029</v>
      </c>
      <c r="J713" s="19">
        <v>0.24725367488979133</v>
      </c>
    </row>
    <row r="714" spans="1:10" ht="11.25" customHeight="1" x14ac:dyDescent="0.2">
      <c r="A714" s="22" t="s">
        <v>33</v>
      </c>
      <c r="B714" s="18">
        <v>0</v>
      </c>
      <c r="C714" s="18">
        <v>0</v>
      </c>
      <c r="D714" s="18">
        <v>23609.991199999986</v>
      </c>
      <c r="E714" s="18">
        <v>31353.361534482941</v>
      </c>
      <c r="F714" s="18">
        <v>21706.823059999988</v>
      </c>
      <c r="G714" s="18">
        <v>24678.419750025641</v>
      </c>
      <c r="H714" s="19">
        <v>0.32797006440574017</v>
      </c>
      <c r="I714" s="19">
        <v>0.13689689558954976</v>
      </c>
      <c r="J714" s="19">
        <v>0.23644572548795528</v>
      </c>
    </row>
    <row r="715" spans="1:10" ht="11.25" customHeight="1" x14ac:dyDescent="0.2">
      <c r="A715" s="23" t="s">
        <v>45</v>
      </c>
      <c r="B715" s="18">
        <v>0</v>
      </c>
      <c r="C715" s="18">
        <v>0</v>
      </c>
      <c r="D715" s="18">
        <v>23609.991199999986</v>
      </c>
      <c r="E715" s="18">
        <v>31353.361534482941</v>
      </c>
      <c r="F715" s="18">
        <v>21706.823059999988</v>
      </c>
      <c r="G715" s="18">
        <v>24678.419750025641</v>
      </c>
      <c r="H715" s="19">
        <v>0.32797006440574017</v>
      </c>
      <c r="I715" s="19">
        <v>0.13689689558954976</v>
      </c>
      <c r="J715" s="19">
        <v>0.23644572548795528</v>
      </c>
    </row>
    <row r="716" spans="1:10" ht="11.25" customHeight="1" x14ac:dyDescent="0.2">
      <c r="A716" s="24" t="s">
        <v>53</v>
      </c>
      <c r="B716" s="18">
        <v>0</v>
      </c>
      <c r="C716" s="18">
        <v>0</v>
      </c>
      <c r="D716" s="18">
        <v>19816.848119999999</v>
      </c>
      <c r="E716" s="18">
        <v>26321.576719903751</v>
      </c>
      <c r="F716" s="18">
        <v>18491.44253</v>
      </c>
      <c r="G716" s="18">
        <v>21025.478495131618</v>
      </c>
      <c r="H716" s="19">
        <v>0.32824234007924336</v>
      </c>
      <c r="I716" s="19">
        <v>0.13703830628792013</v>
      </c>
      <c r="J716" s="19">
        <v>0.2359480000717642</v>
      </c>
    </row>
    <row r="717" spans="1:10" ht="11.25" customHeight="1" x14ac:dyDescent="0.2">
      <c r="A717" s="25" t="s">
        <v>54</v>
      </c>
      <c r="B717" s="18">
        <v>0</v>
      </c>
      <c r="C717" s="18">
        <v>0</v>
      </c>
      <c r="D717" s="18">
        <v>2807.7727599999994</v>
      </c>
      <c r="E717" s="18">
        <v>3727.4559956613425</v>
      </c>
      <c r="F717" s="18">
        <v>2510.8190899999991</v>
      </c>
      <c r="G717" s="18">
        <v>2854.4870678999791</v>
      </c>
      <c r="H717" s="19">
        <v>0.32754902703071442</v>
      </c>
      <c r="I717" s="19">
        <v>0.13687484664615179</v>
      </c>
      <c r="J717" s="19">
        <v>0.2375349057027798</v>
      </c>
    </row>
    <row r="718" spans="1:10" ht="11.25" customHeight="1" x14ac:dyDescent="0.2">
      <c r="A718" s="26" t="s">
        <v>25</v>
      </c>
      <c r="B718" s="18">
        <v>0</v>
      </c>
      <c r="C718" s="18">
        <v>0</v>
      </c>
      <c r="D718" s="18">
        <v>2807.7727599999994</v>
      </c>
      <c r="E718" s="18">
        <v>3727.4559956613425</v>
      </c>
      <c r="F718" s="18">
        <v>2510.8190899999991</v>
      </c>
      <c r="G718" s="18">
        <v>2854.4870678999791</v>
      </c>
      <c r="H718" s="19">
        <v>0.32754902703071442</v>
      </c>
      <c r="I718" s="19">
        <v>0.13687484664615179</v>
      </c>
      <c r="J718" s="19">
        <v>0.2375349057027798</v>
      </c>
    </row>
    <row r="719" spans="1:10" ht="11.25" customHeight="1" x14ac:dyDescent="0.2">
      <c r="A719" s="27" t="s">
        <v>35</v>
      </c>
      <c r="B719" s="18">
        <v>0</v>
      </c>
      <c r="C719" s="18">
        <v>0</v>
      </c>
      <c r="D719" s="18">
        <v>2573.1827599999997</v>
      </c>
      <c r="E719" s="18">
        <v>3418.1047878536301</v>
      </c>
      <c r="F719" s="18">
        <v>2417.5955399999984</v>
      </c>
      <c r="G719" s="18">
        <v>2748.9608272662872</v>
      </c>
      <c r="H719" s="19">
        <v>0.32835678871625529</v>
      </c>
      <c r="I719" s="19">
        <v>0.1370639884892777</v>
      </c>
      <c r="J719" s="19">
        <v>0.23569215950143874</v>
      </c>
    </row>
    <row r="720" spans="1:10" ht="11.25" customHeight="1" x14ac:dyDescent="0.2">
      <c r="A720" s="28">
        <v>44470</v>
      </c>
      <c r="B720" s="18">
        <v>0</v>
      </c>
      <c r="C720" s="18">
        <v>0</v>
      </c>
      <c r="D720" s="18">
        <v>900.7597199999999</v>
      </c>
      <c r="E720" s="18">
        <v>1196.5302890641544</v>
      </c>
      <c r="F720" s="18">
        <v>846.29537999999991</v>
      </c>
      <c r="G720" s="18">
        <v>962.29200022284851</v>
      </c>
      <c r="H720" s="19">
        <v>0.32835678871625662</v>
      </c>
      <c r="I720" s="19">
        <v>0.13706398848927748</v>
      </c>
      <c r="J720" s="19">
        <v>0.2356921595014394</v>
      </c>
    </row>
    <row r="721" spans="1:10" ht="11.25" customHeight="1" x14ac:dyDescent="0.2">
      <c r="A721" s="28">
        <v>44501</v>
      </c>
      <c r="B721" s="18">
        <v>0</v>
      </c>
      <c r="C721" s="18">
        <v>0</v>
      </c>
      <c r="D721" s="18">
        <v>900.7597199999999</v>
      </c>
      <c r="E721" s="18">
        <v>1196.5302890641544</v>
      </c>
      <c r="F721" s="18">
        <v>846.29537999999991</v>
      </c>
      <c r="G721" s="18">
        <v>962.29200022284851</v>
      </c>
      <c r="H721" s="19">
        <v>0.32835678871625662</v>
      </c>
      <c r="I721" s="19">
        <v>0.13706398848927748</v>
      </c>
      <c r="J721" s="19">
        <v>0.2356921595014394</v>
      </c>
    </row>
    <row r="722" spans="1:10" ht="11.25" customHeight="1" x14ac:dyDescent="0.2">
      <c r="A722" s="28">
        <v>44531</v>
      </c>
      <c r="B722" s="18">
        <v>0</v>
      </c>
      <c r="C722" s="18">
        <v>0</v>
      </c>
      <c r="D722" s="18">
        <v>8459.1457199999986</v>
      </c>
      <c r="E722" s="18">
        <v>11236.763643902066</v>
      </c>
      <c r="F722" s="18">
        <v>7947.6643799999993</v>
      </c>
      <c r="G722" s="18">
        <v>9037.0029590969589</v>
      </c>
      <c r="H722" s="19">
        <v>0.32835678871625684</v>
      </c>
      <c r="I722" s="19">
        <v>0.13706398848927726</v>
      </c>
      <c r="J722" s="19">
        <v>0.2356921595014394</v>
      </c>
    </row>
    <row r="723" spans="1:10" ht="11.25" customHeight="1" x14ac:dyDescent="0.2">
      <c r="A723" s="28">
        <v>44562</v>
      </c>
      <c r="B723" s="18">
        <v>0</v>
      </c>
      <c r="C723" s="18">
        <v>0</v>
      </c>
      <c r="D723" s="18">
        <v>7570.8791999999994</v>
      </c>
      <c r="E723" s="18">
        <v>10056.828781870703</v>
      </c>
      <c r="F723" s="18">
        <v>7113.1067999999996</v>
      </c>
      <c r="G723" s="18">
        <v>8088.0575885582002</v>
      </c>
      <c r="H723" s="19">
        <v>0.32835678871625684</v>
      </c>
      <c r="I723" s="19">
        <v>0.13706398848927748</v>
      </c>
      <c r="J723" s="19">
        <v>0.2356921595014394</v>
      </c>
    </row>
    <row r="724" spans="1:10" ht="11.25" customHeight="1" x14ac:dyDescent="0.2">
      <c r="A724" s="28">
        <v>44593</v>
      </c>
      <c r="B724" s="18">
        <v>0</v>
      </c>
      <c r="C724" s="18">
        <v>0</v>
      </c>
      <c r="D724" s="18">
        <v>-7629.1808000000001</v>
      </c>
      <c r="E724" s="18">
        <v>-10134.274108023723</v>
      </c>
      <c r="F724" s="18">
        <v>-7167.8832000000002</v>
      </c>
      <c r="G724" s="18">
        <v>-8150.3418604172848</v>
      </c>
      <c r="H724" s="19">
        <v>0.32835678871625684</v>
      </c>
      <c r="I724" s="19">
        <v>0.13706398848927726</v>
      </c>
      <c r="J724" s="19">
        <v>0.2356921595014394</v>
      </c>
    </row>
    <row r="725" spans="1:10" ht="11.25" customHeight="1" x14ac:dyDescent="0.2">
      <c r="A725" s="28">
        <v>44621</v>
      </c>
      <c r="B725" s="18">
        <v>0</v>
      </c>
      <c r="C725" s="18">
        <v>0</v>
      </c>
      <c r="D725" s="18">
        <v>-7629.1808000000001</v>
      </c>
      <c r="E725" s="18">
        <v>-10134.274108023723</v>
      </c>
      <c r="F725" s="18">
        <v>-7167.8832000000002</v>
      </c>
      <c r="G725" s="18">
        <v>-8150.3418604172848</v>
      </c>
      <c r="H725" s="19">
        <v>0.32835678871625684</v>
      </c>
      <c r="I725" s="19">
        <v>0.13706398848927726</v>
      </c>
      <c r="J725" s="19">
        <v>0.2356921595014394</v>
      </c>
    </row>
    <row r="726" spans="1:10" ht="11.25" customHeight="1" x14ac:dyDescent="0.2">
      <c r="A726" s="27" t="s">
        <v>36</v>
      </c>
      <c r="B726" s="18">
        <v>0</v>
      </c>
      <c r="C726" s="18">
        <v>0</v>
      </c>
      <c r="D726" s="18">
        <v>171.64439999999999</v>
      </c>
      <c r="E726" s="18">
        <v>226.45559478053727</v>
      </c>
      <c r="F726" s="18">
        <v>67.492349999999988</v>
      </c>
      <c r="G726" s="18">
        <v>76.743120683514277</v>
      </c>
      <c r="H726" s="19">
        <v>0.31932993316727654</v>
      </c>
      <c r="I726" s="19">
        <v>0.13706398848927748</v>
      </c>
      <c r="J726" s="19">
        <v>0.26788841725101453</v>
      </c>
    </row>
    <row r="727" spans="1:10" ht="11.25" customHeight="1" x14ac:dyDescent="0.2">
      <c r="A727" s="28">
        <v>44470</v>
      </c>
      <c r="B727" s="18">
        <v>0</v>
      </c>
      <c r="C727" s="18">
        <v>0</v>
      </c>
      <c r="D727" s="18">
        <v>37.314</v>
      </c>
      <c r="E727" s="18">
        <v>49.229477126203761</v>
      </c>
      <c r="F727" s="18">
        <v>14.672249999999998</v>
      </c>
      <c r="G727" s="18">
        <v>16.683287105111798</v>
      </c>
      <c r="H727" s="19">
        <v>0.31932993316727676</v>
      </c>
      <c r="I727" s="19">
        <v>0.13706398848927748</v>
      </c>
      <c r="J727" s="19">
        <v>0.26788841725101475</v>
      </c>
    </row>
    <row r="728" spans="1:10" ht="11.25" customHeight="1" x14ac:dyDescent="0.2">
      <c r="A728" s="28">
        <v>44501</v>
      </c>
      <c r="B728" s="18">
        <v>0</v>
      </c>
      <c r="C728" s="18">
        <v>0</v>
      </c>
      <c r="D728" s="18">
        <v>37.314</v>
      </c>
      <c r="E728" s="18">
        <v>49.229477126203761</v>
      </c>
      <c r="F728" s="18">
        <v>14.672249999999998</v>
      </c>
      <c r="G728" s="18">
        <v>16.683287105111798</v>
      </c>
      <c r="H728" s="19">
        <v>0.31932993316727676</v>
      </c>
      <c r="I728" s="19">
        <v>0.13706398848927748</v>
      </c>
      <c r="J728" s="19">
        <v>0.26788841725101475</v>
      </c>
    </row>
    <row r="729" spans="1:10" ht="11.25" customHeight="1" x14ac:dyDescent="0.2">
      <c r="A729" s="28">
        <v>44531</v>
      </c>
      <c r="B729" s="18">
        <v>0</v>
      </c>
      <c r="C729" s="18">
        <v>0</v>
      </c>
      <c r="D729" s="18">
        <v>87.065999999999988</v>
      </c>
      <c r="E729" s="18">
        <v>114.8687799611421</v>
      </c>
      <c r="F729" s="18">
        <v>34.235249999999994</v>
      </c>
      <c r="G729" s="18">
        <v>38.927669911927531</v>
      </c>
      <c r="H729" s="19">
        <v>0.31932993316727676</v>
      </c>
      <c r="I729" s="19">
        <v>0.13706398848927748</v>
      </c>
      <c r="J729" s="19">
        <v>0.26788841725101475</v>
      </c>
    </row>
    <row r="730" spans="1:10" ht="11.25" customHeight="1" x14ac:dyDescent="0.2">
      <c r="A730" s="28">
        <v>44562</v>
      </c>
      <c r="B730" s="18">
        <v>0</v>
      </c>
      <c r="C730" s="18">
        <v>0</v>
      </c>
      <c r="D730" s="18">
        <v>9.9504000000000001</v>
      </c>
      <c r="E730" s="18">
        <v>13.127860566987669</v>
      </c>
      <c r="F730" s="18">
        <v>3.9125999999999999</v>
      </c>
      <c r="G730" s="18">
        <v>4.4488765613631465</v>
      </c>
      <c r="H730" s="19">
        <v>0.31932993316727654</v>
      </c>
      <c r="I730" s="19">
        <v>0.13706398848927748</v>
      </c>
      <c r="J730" s="19">
        <v>0.26788841725101453</v>
      </c>
    </row>
    <row r="731" spans="1:10" ht="11.25" customHeight="1" x14ac:dyDescent="0.2">
      <c r="A731" s="27" t="s">
        <v>34</v>
      </c>
      <c r="B731" s="18">
        <v>0</v>
      </c>
      <c r="C731" s="18">
        <v>0</v>
      </c>
      <c r="D731" s="18">
        <v>62.945600000000006</v>
      </c>
      <c r="E731" s="18">
        <v>82.895613027175401</v>
      </c>
      <c r="F731" s="18">
        <v>25.731200000000001</v>
      </c>
      <c r="G731" s="18">
        <v>28.783119950177039</v>
      </c>
      <c r="H731" s="19">
        <v>0.31694054909597158</v>
      </c>
      <c r="I731" s="19">
        <v>0.11860775829254133</v>
      </c>
      <c r="J731" s="19">
        <v>0.25939065209110401</v>
      </c>
    </row>
    <row r="732" spans="1:10" ht="11.25" customHeight="1" x14ac:dyDescent="0.2">
      <c r="A732" s="28">
        <v>44531</v>
      </c>
      <c r="B732" s="18">
        <v>0</v>
      </c>
      <c r="C732" s="18">
        <v>0</v>
      </c>
      <c r="D732" s="18">
        <v>31.472800000000003</v>
      </c>
      <c r="E732" s="18">
        <v>41.4478065135877</v>
      </c>
      <c r="F732" s="18">
        <v>12.865600000000001</v>
      </c>
      <c r="G732" s="18">
        <v>14.391559975088519</v>
      </c>
      <c r="H732" s="19">
        <v>0.31694054909597158</v>
      </c>
      <c r="I732" s="19">
        <v>0.11860775829254133</v>
      </c>
      <c r="J732" s="19">
        <v>0.25939065209110401</v>
      </c>
    </row>
    <row r="733" spans="1:10" ht="11.25" customHeight="1" x14ac:dyDescent="0.2">
      <c r="A733" s="28">
        <v>44562</v>
      </c>
      <c r="B733" s="18">
        <v>0</v>
      </c>
      <c r="C733" s="18">
        <v>0</v>
      </c>
      <c r="D733" s="18">
        <v>31.472800000000003</v>
      </c>
      <c r="E733" s="18">
        <v>41.4478065135877</v>
      </c>
      <c r="F733" s="18">
        <v>12.865600000000001</v>
      </c>
      <c r="G733" s="18">
        <v>14.391559975088519</v>
      </c>
      <c r="H733" s="19">
        <v>0.31694054909597158</v>
      </c>
      <c r="I733" s="19">
        <v>0.11860775829254133</v>
      </c>
      <c r="J733" s="19">
        <v>0.25939065209110401</v>
      </c>
    </row>
    <row r="734" spans="1:10" ht="11.25" customHeight="1" x14ac:dyDescent="0.2">
      <c r="A734" s="25" t="s">
        <v>55</v>
      </c>
      <c r="B734" s="18">
        <v>0</v>
      </c>
      <c r="C734" s="18">
        <v>0</v>
      </c>
      <c r="D734" s="18">
        <v>17009.075359999999</v>
      </c>
      <c r="E734" s="18">
        <v>22594.12072424241</v>
      </c>
      <c r="F734" s="18">
        <v>15980.623439999999</v>
      </c>
      <c r="G734" s="18">
        <v>18170.991427231638</v>
      </c>
      <c r="H734" s="19">
        <v>0.32835678871625684</v>
      </c>
      <c r="I734" s="19">
        <v>0.13706398848927748</v>
      </c>
      <c r="J734" s="19">
        <v>0.23569215950143962</v>
      </c>
    </row>
    <row r="735" spans="1:10" ht="11.25" customHeight="1" x14ac:dyDescent="0.2">
      <c r="A735" s="26" t="s">
        <v>25</v>
      </c>
      <c r="B735" s="18">
        <v>0</v>
      </c>
      <c r="C735" s="18">
        <v>0</v>
      </c>
      <c r="D735" s="18">
        <v>17009.075359999999</v>
      </c>
      <c r="E735" s="18">
        <v>22594.12072424241</v>
      </c>
      <c r="F735" s="18">
        <v>15980.623439999999</v>
      </c>
      <c r="G735" s="18">
        <v>18170.991427231638</v>
      </c>
      <c r="H735" s="19">
        <v>0.32835678871625684</v>
      </c>
      <c r="I735" s="19">
        <v>0.13706398848927748</v>
      </c>
      <c r="J735" s="19">
        <v>0.23569215950143962</v>
      </c>
    </row>
    <row r="736" spans="1:10" ht="11.25" customHeight="1" x14ac:dyDescent="0.2">
      <c r="A736" s="27" t="s">
        <v>35</v>
      </c>
      <c r="B736" s="18">
        <v>0</v>
      </c>
      <c r="C736" s="18">
        <v>0</v>
      </c>
      <c r="D736" s="18">
        <v>17009.075359999999</v>
      </c>
      <c r="E736" s="18">
        <v>22594.12072424241</v>
      </c>
      <c r="F736" s="18">
        <v>15980.623439999999</v>
      </c>
      <c r="G736" s="18">
        <v>18170.991427231638</v>
      </c>
      <c r="H736" s="19">
        <v>0.32835678871625684</v>
      </c>
      <c r="I736" s="19">
        <v>0.13706398848927748</v>
      </c>
      <c r="J736" s="19">
        <v>0.23569215950143962</v>
      </c>
    </row>
    <row r="737" spans="1:10" ht="11.25" customHeight="1" x14ac:dyDescent="0.2">
      <c r="A737" s="28">
        <v>44593</v>
      </c>
      <c r="B737" s="18">
        <v>0</v>
      </c>
      <c r="C737" s="18">
        <v>0</v>
      </c>
      <c r="D737" s="18">
        <v>8504.5376799999995</v>
      </c>
      <c r="E737" s="18">
        <v>11297.060362121205</v>
      </c>
      <c r="F737" s="18">
        <v>7990.3117199999997</v>
      </c>
      <c r="G737" s="18">
        <v>9085.4957136158191</v>
      </c>
      <c r="H737" s="19">
        <v>0.32835678871625684</v>
      </c>
      <c r="I737" s="19">
        <v>0.13706398848927748</v>
      </c>
      <c r="J737" s="19">
        <v>0.23569215950143962</v>
      </c>
    </row>
    <row r="738" spans="1:10" ht="11.25" customHeight="1" x14ac:dyDescent="0.2">
      <c r="A738" s="28">
        <v>44621</v>
      </c>
      <c r="B738" s="18">
        <v>0</v>
      </c>
      <c r="C738" s="18">
        <v>0</v>
      </c>
      <c r="D738" s="18">
        <v>8504.5376799999995</v>
      </c>
      <c r="E738" s="18">
        <v>11297.060362121205</v>
      </c>
      <c r="F738" s="18">
        <v>7990.3117199999997</v>
      </c>
      <c r="G738" s="18">
        <v>9085.4957136158191</v>
      </c>
      <c r="H738" s="19">
        <v>0.32835678871625684</v>
      </c>
      <c r="I738" s="19">
        <v>0.13706398848927748</v>
      </c>
      <c r="J738" s="19">
        <v>0.23569215950143962</v>
      </c>
    </row>
    <row r="739" spans="1:10" ht="11.25" customHeight="1" x14ac:dyDescent="0.2">
      <c r="A739" s="24" t="s">
        <v>25</v>
      </c>
      <c r="B739" s="18">
        <v>0</v>
      </c>
      <c r="C739" s="18">
        <v>0</v>
      </c>
      <c r="D739" s="18">
        <v>3793.1430799999998</v>
      </c>
      <c r="E739" s="18">
        <v>5031.7848145791841</v>
      </c>
      <c r="F739" s="18">
        <v>3215.3805299999995</v>
      </c>
      <c r="G739" s="18">
        <v>3652.941254894034</v>
      </c>
      <c r="H739" s="19">
        <v>0.32654759086472018</v>
      </c>
      <c r="I739" s="19">
        <v>0.13608365193840211</v>
      </c>
      <c r="J739" s="19">
        <v>0.23916627135015367</v>
      </c>
    </row>
    <row r="740" spans="1:10" ht="11.25" customHeight="1" x14ac:dyDescent="0.2">
      <c r="A740" s="25" t="s">
        <v>25</v>
      </c>
      <c r="B740" s="18">
        <v>0</v>
      </c>
      <c r="C740" s="18">
        <v>0</v>
      </c>
      <c r="D740" s="18">
        <v>3793.1430799999998</v>
      </c>
      <c r="E740" s="18">
        <v>5031.7848145791841</v>
      </c>
      <c r="F740" s="18">
        <v>3215.3805299999995</v>
      </c>
      <c r="G740" s="18">
        <v>3652.941254894034</v>
      </c>
      <c r="H740" s="19">
        <v>0.32654759086472018</v>
      </c>
      <c r="I740" s="19">
        <v>0.13608365193840211</v>
      </c>
      <c r="J740" s="19">
        <v>0.23916627135015367</v>
      </c>
    </row>
    <row r="741" spans="1:10" ht="11.25" customHeight="1" x14ac:dyDescent="0.2">
      <c r="A741" s="26" t="s">
        <v>25</v>
      </c>
      <c r="B741" s="18">
        <v>0</v>
      </c>
      <c r="C741" s="18">
        <v>0</v>
      </c>
      <c r="D741" s="18">
        <v>3793.1430799999998</v>
      </c>
      <c r="E741" s="18">
        <v>5031.7848145791841</v>
      </c>
      <c r="F741" s="18">
        <v>3215.3805299999995</v>
      </c>
      <c r="G741" s="18">
        <v>3652.941254894034</v>
      </c>
      <c r="H741" s="19">
        <v>0.32654759086472018</v>
      </c>
      <c r="I741" s="19">
        <v>0.13608365193840211</v>
      </c>
      <c r="J741" s="19">
        <v>0.23916627135015367</v>
      </c>
    </row>
    <row r="742" spans="1:10" ht="11.25" customHeight="1" x14ac:dyDescent="0.2">
      <c r="A742" s="27" t="s">
        <v>35</v>
      </c>
      <c r="B742" s="18">
        <v>0</v>
      </c>
      <c r="C742" s="18">
        <v>0</v>
      </c>
      <c r="D742" s="18">
        <v>3143.4973399999994</v>
      </c>
      <c r="E742" s="18">
        <v>4175.6860319004954</v>
      </c>
      <c r="F742" s="18">
        <v>2953.4261100000003</v>
      </c>
      <c r="G742" s="18">
        <v>3358.2344723449714</v>
      </c>
      <c r="H742" s="19">
        <v>0.32835678871625706</v>
      </c>
      <c r="I742" s="19">
        <v>0.13706398848927726</v>
      </c>
      <c r="J742" s="19">
        <v>0.2356921595014394</v>
      </c>
    </row>
    <row r="743" spans="1:10" ht="11.25" customHeight="1" x14ac:dyDescent="0.2">
      <c r="A743" s="28">
        <v>44287</v>
      </c>
      <c r="B743" s="18">
        <v>0</v>
      </c>
      <c r="C743" s="18">
        <v>0</v>
      </c>
      <c r="D743" s="18">
        <v>378.96039999999999</v>
      </c>
      <c r="E743" s="18">
        <v>503.39461999462816</v>
      </c>
      <c r="F743" s="18">
        <v>356.04660000000001</v>
      </c>
      <c r="G743" s="18">
        <v>404.84776708404638</v>
      </c>
      <c r="H743" s="19">
        <v>0.32835678871625684</v>
      </c>
      <c r="I743" s="19">
        <v>0.13706398848927748</v>
      </c>
      <c r="J743" s="19">
        <v>0.2356921595014394</v>
      </c>
    </row>
    <row r="744" spans="1:10" ht="11.25" customHeight="1" x14ac:dyDescent="0.2">
      <c r="A744" s="28">
        <v>44317</v>
      </c>
      <c r="B744" s="18">
        <v>0</v>
      </c>
      <c r="C744" s="18">
        <v>0</v>
      </c>
      <c r="D744" s="18">
        <v>167.20066</v>
      </c>
      <c r="E744" s="18">
        <v>222.10213178883868</v>
      </c>
      <c r="F744" s="18">
        <v>157.09089</v>
      </c>
      <c r="G744" s="18">
        <v>178.62239393873034</v>
      </c>
      <c r="H744" s="19">
        <v>0.32835678871625662</v>
      </c>
      <c r="I744" s="19">
        <v>0.13706398848927748</v>
      </c>
      <c r="J744" s="19">
        <v>0.2356921595014394</v>
      </c>
    </row>
    <row r="745" spans="1:10" ht="11.25" customHeight="1" x14ac:dyDescent="0.2">
      <c r="A745" s="28">
        <v>44348</v>
      </c>
      <c r="B745" s="18">
        <v>0</v>
      </c>
      <c r="C745" s="18">
        <v>0</v>
      </c>
      <c r="D745" s="18">
        <v>193.22816</v>
      </c>
      <c r="E745" s="18">
        <v>256.67593810715107</v>
      </c>
      <c r="F745" s="18">
        <v>181.54464000000002</v>
      </c>
      <c r="G745" s="18">
        <v>206.42787244725002</v>
      </c>
      <c r="H745" s="19">
        <v>0.32835678871625684</v>
      </c>
      <c r="I745" s="19">
        <v>0.13706398848927748</v>
      </c>
      <c r="J745" s="19">
        <v>0.2356921595014394</v>
      </c>
    </row>
    <row r="746" spans="1:10" ht="11.25" customHeight="1" x14ac:dyDescent="0.2">
      <c r="A746" s="28">
        <v>44378</v>
      </c>
      <c r="B746" s="18">
        <v>0</v>
      </c>
      <c r="C746" s="18">
        <v>0</v>
      </c>
      <c r="D746" s="18">
        <v>115.77032000000001</v>
      </c>
      <c r="E746" s="18">
        <v>153.78429050385344</v>
      </c>
      <c r="F746" s="18">
        <v>108.77028000000001</v>
      </c>
      <c r="G746" s="18">
        <v>123.67876840589548</v>
      </c>
      <c r="H746" s="19">
        <v>0.32835678871625662</v>
      </c>
      <c r="I746" s="19">
        <v>0.13706398848927726</v>
      </c>
      <c r="J746" s="19">
        <v>0.2356921595014394</v>
      </c>
    </row>
    <row r="747" spans="1:10" ht="11.25" customHeight="1" x14ac:dyDescent="0.2">
      <c r="A747" s="28">
        <v>44409</v>
      </c>
      <c r="B747" s="18">
        <v>0</v>
      </c>
      <c r="C747" s="18">
        <v>0</v>
      </c>
      <c r="D747" s="18">
        <v>158.03898000000001</v>
      </c>
      <c r="E747" s="18">
        <v>209.93215196479272</v>
      </c>
      <c r="F747" s="18">
        <v>148.48317</v>
      </c>
      <c r="G747" s="18">
        <v>168.83486550373141</v>
      </c>
      <c r="H747" s="19">
        <v>0.32835678871625662</v>
      </c>
      <c r="I747" s="19">
        <v>0.13706398848927726</v>
      </c>
      <c r="J747" s="19">
        <v>0.2356921595014394</v>
      </c>
    </row>
    <row r="748" spans="1:10" ht="11.25" customHeight="1" x14ac:dyDescent="0.2">
      <c r="A748" s="28">
        <v>44440</v>
      </c>
      <c r="B748" s="18">
        <v>0</v>
      </c>
      <c r="C748" s="18">
        <v>0</v>
      </c>
      <c r="D748" s="18">
        <v>390.82893999999999</v>
      </c>
      <c r="E748" s="18">
        <v>519.16027567577862</v>
      </c>
      <c r="F748" s="18">
        <v>367.19750999999997</v>
      </c>
      <c r="G748" s="18">
        <v>417.52706528393134</v>
      </c>
      <c r="H748" s="19">
        <v>0.32835678871625684</v>
      </c>
      <c r="I748" s="19">
        <v>0.13706398848927748</v>
      </c>
      <c r="J748" s="19">
        <v>0.2356921595014394</v>
      </c>
    </row>
    <row r="749" spans="1:10" ht="11.25" customHeight="1" x14ac:dyDescent="0.2">
      <c r="A749" s="28">
        <v>44470</v>
      </c>
      <c r="B749" s="18">
        <v>0</v>
      </c>
      <c r="C749" s="18">
        <v>0</v>
      </c>
      <c r="D749" s="18">
        <v>449.33875999999998</v>
      </c>
      <c r="E749" s="18">
        <v>596.88219227934474</v>
      </c>
      <c r="F749" s="18">
        <v>422.16953999999998</v>
      </c>
      <c r="G749" s="18">
        <v>480.0337809710835</v>
      </c>
      <c r="H749" s="19">
        <v>0.32835678871625662</v>
      </c>
      <c r="I749" s="19">
        <v>0.13706398848927726</v>
      </c>
      <c r="J749" s="19">
        <v>0.23569215950143918</v>
      </c>
    </row>
    <row r="750" spans="1:10" ht="11.25" customHeight="1" x14ac:dyDescent="0.2">
      <c r="A750" s="28">
        <v>44501</v>
      </c>
      <c r="B750" s="18">
        <v>0</v>
      </c>
      <c r="C750" s="18">
        <v>0</v>
      </c>
      <c r="D750" s="18">
        <v>338.14928000000003</v>
      </c>
      <c r="E750" s="18">
        <v>449.18289168751437</v>
      </c>
      <c r="F750" s="18">
        <v>317.70312000000001</v>
      </c>
      <c r="G750" s="18">
        <v>361.24877678268751</v>
      </c>
      <c r="H750" s="19">
        <v>0.32835678871625662</v>
      </c>
      <c r="I750" s="19">
        <v>0.13706398848927726</v>
      </c>
      <c r="J750" s="19">
        <v>0.2356921595014394</v>
      </c>
    </row>
    <row r="751" spans="1:10" ht="11.25" customHeight="1" x14ac:dyDescent="0.2">
      <c r="A751" s="28">
        <v>44531</v>
      </c>
      <c r="B751" s="18">
        <v>0</v>
      </c>
      <c r="C751" s="18">
        <v>0</v>
      </c>
      <c r="D751" s="18">
        <v>214.25837999999999</v>
      </c>
      <c r="E751" s="18">
        <v>284.6115736123474</v>
      </c>
      <c r="F751" s="18">
        <v>201.30326999999997</v>
      </c>
      <c r="G751" s="18">
        <v>228.89469908213388</v>
      </c>
      <c r="H751" s="19">
        <v>0.32835678871625662</v>
      </c>
      <c r="I751" s="19">
        <v>0.13706398848927748</v>
      </c>
      <c r="J751" s="19">
        <v>0.23569215950143918</v>
      </c>
    </row>
    <row r="752" spans="1:10" ht="11.25" customHeight="1" x14ac:dyDescent="0.2">
      <c r="A752" s="28">
        <v>44562</v>
      </c>
      <c r="B752" s="18">
        <v>0</v>
      </c>
      <c r="C752" s="18">
        <v>0</v>
      </c>
      <c r="D752" s="18">
        <v>212.17617999999999</v>
      </c>
      <c r="E752" s="18">
        <v>281.84566910688244</v>
      </c>
      <c r="F752" s="18">
        <v>199.34696999999997</v>
      </c>
      <c r="G752" s="18">
        <v>226.67026080145229</v>
      </c>
      <c r="H752" s="19">
        <v>0.32835678871625662</v>
      </c>
      <c r="I752" s="19">
        <v>0.13706398848927726</v>
      </c>
      <c r="J752" s="19">
        <v>0.2356921595014394</v>
      </c>
    </row>
    <row r="753" spans="1:10" ht="11.25" customHeight="1" x14ac:dyDescent="0.2">
      <c r="A753" s="28">
        <v>44593</v>
      </c>
      <c r="B753" s="18">
        <v>0</v>
      </c>
      <c r="C753" s="18">
        <v>0</v>
      </c>
      <c r="D753" s="18">
        <v>262.77364</v>
      </c>
      <c r="E753" s="18">
        <v>349.05714858968173</v>
      </c>
      <c r="F753" s="18">
        <v>246.88506000000001</v>
      </c>
      <c r="G753" s="18">
        <v>280.72411102201454</v>
      </c>
      <c r="H753" s="19">
        <v>0.32835678871625684</v>
      </c>
      <c r="I753" s="19">
        <v>0.13706398848927726</v>
      </c>
      <c r="J753" s="19">
        <v>0.2356921595014394</v>
      </c>
    </row>
    <row r="754" spans="1:10" ht="11.25" customHeight="1" x14ac:dyDescent="0.2">
      <c r="A754" s="28">
        <v>44621</v>
      </c>
      <c r="B754" s="18">
        <v>0</v>
      </c>
      <c r="C754" s="18">
        <v>0</v>
      </c>
      <c r="D754" s="18">
        <v>262.77364</v>
      </c>
      <c r="E754" s="18">
        <v>349.05714858968173</v>
      </c>
      <c r="F754" s="18">
        <v>246.88506000000001</v>
      </c>
      <c r="G754" s="18">
        <v>280.72411102201454</v>
      </c>
      <c r="H754" s="19">
        <v>0.32835678871625684</v>
      </c>
      <c r="I754" s="19">
        <v>0.13706398848927726</v>
      </c>
      <c r="J754" s="19">
        <v>0.2356921595014394</v>
      </c>
    </row>
    <row r="755" spans="1:10" ht="11.25" customHeight="1" x14ac:dyDescent="0.2">
      <c r="A755" s="27" t="s">
        <v>36</v>
      </c>
      <c r="B755" s="18">
        <v>0</v>
      </c>
      <c r="C755" s="18">
        <v>0</v>
      </c>
      <c r="D755" s="18">
        <v>231.84432000000001</v>
      </c>
      <c r="E755" s="18">
        <v>305.87915121081267</v>
      </c>
      <c r="F755" s="18">
        <v>91.163579999999996</v>
      </c>
      <c r="G755" s="18">
        <v>103.65882387976134</v>
      </c>
      <c r="H755" s="19">
        <v>0.31932993316727654</v>
      </c>
      <c r="I755" s="19">
        <v>0.1370639884892777</v>
      </c>
      <c r="J755" s="19">
        <v>0.26788841725101475</v>
      </c>
    </row>
    <row r="756" spans="1:10" ht="11.25" customHeight="1" x14ac:dyDescent="0.2">
      <c r="A756" s="28">
        <v>44287</v>
      </c>
      <c r="B756" s="18">
        <v>0</v>
      </c>
      <c r="C756" s="18">
        <v>0</v>
      </c>
      <c r="D756" s="18">
        <v>46.269359999999999</v>
      </c>
      <c r="E756" s="18">
        <v>61.044551636492663</v>
      </c>
      <c r="F756" s="18">
        <v>18.19359</v>
      </c>
      <c r="G756" s="18">
        <v>20.687276010338632</v>
      </c>
      <c r="H756" s="19">
        <v>0.31932993316727676</v>
      </c>
      <c r="I756" s="19">
        <v>0.13706398848927726</v>
      </c>
      <c r="J756" s="19">
        <v>0.26788841725101453</v>
      </c>
    </row>
    <row r="757" spans="1:10" ht="11.25" customHeight="1" x14ac:dyDescent="0.2">
      <c r="A757" s="28">
        <v>44317</v>
      </c>
      <c r="B757" s="18">
        <v>0</v>
      </c>
      <c r="C757" s="18">
        <v>0</v>
      </c>
      <c r="D757" s="18">
        <v>18.905759999999997</v>
      </c>
      <c r="E757" s="18">
        <v>24.942935077276573</v>
      </c>
      <c r="F757" s="18">
        <v>7.4339399999999998</v>
      </c>
      <c r="G757" s="18">
        <v>8.4528654665899783</v>
      </c>
      <c r="H757" s="19">
        <v>0.31932993316727698</v>
      </c>
      <c r="I757" s="19">
        <v>0.13706398848927726</v>
      </c>
      <c r="J757" s="19">
        <v>0.26788841725101475</v>
      </c>
    </row>
    <row r="758" spans="1:10" ht="11.25" customHeight="1" x14ac:dyDescent="0.2">
      <c r="A758" s="28">
        <v>44348</v>
      </c>
      <c r="B758" s="18">
        <v>0</v>
      </c>
      <c r="C758" s="18">
        <v>0</v>
      </c>
      <c r="D758" s="18">
        <v>15.423119999999999</v>
      </c>
      <c r="E758" s="18">
        <v>20.348183878830888</v>
      </c>
      <c r="F758" s="18">
        <v>6.0645299999999995</v>
      </c>
      <c r="G758" s="18">
        <v>6.895758670112877</v>
      </c>
      <c r="H758" s="19">
        <v>0.31932993316727676</v>
      </c>
      <c r="I758" s="19">
        <v>0.13706398848927748</v>
      </c>
      <c r="J758" s="19">
        <v>0.26788841725101475</v>
      </c>
    </row>
    <row r="759" spans="1:10" ht="11.25" customHeight="1" x14ac:dyDescent="0.2">
      <c r="A759" s="28">
        <v>44378</v>
      </c>
      <c r="B759" s="18">
        <v>0</v>
      </c>
      <c r="C759" s="18">
        <v>0</v>
      </c>
      <c r="D759" s="18">
        <v>16.915680000000002</v>
      </c>
      <c r="E759" s="18">
        <v>22.317362963879042</v>
      </c>
      <c r="F759" s="18">
        <v>6.6514199999999999</v>
      </c>
      <c r="G759" s="18">
        <v>7.5630901543173499</v>
      </c>
      <c r="H759" s="19">
        <v>0.31932993316727676</v>
      </c>
      <c r="I759" s="19">
        <v>0.13706398848927748</v>
      </c>
      <c r="J759" s="19">
        <v>0.26788841725101475</v>
      </c>
    </row>
    <row r="760" spans="1:10" ht="11.25" customHeight="1" x14ac:dyDescent="0.2">
      <c r="A760" s="28">
        <v>44409</v>
      </c>
      <c r="B760" s="18">
        <v>0</v>
      </c>
      <c r="C760" s="18">
        <v>0</v>
      </c>
      <c r="D760" s="18">
        <v>15.920640000000001</v>
      </c>
      <c r="E760" s="18">
        <v>21.004576907180272</v>
      </c>
      <c r="F760" s="18">
        <v>6.2601599999999999</v>
      </c>
      <c r="G760" s="18">
        <v>7.1182024981810343</v>
      </c>
      <c r="H760" s="19">
        <v>0.31932993316727676</v>
      </c>
      <c r="I760" s="19">
        <v>0.13706398848927726</v>
      </c>
      <c r="J760" s="19">
        <v>0.26788841725101453</v>
      </c>
    </row>
    <row r="761" spans="1:10" ht="11.25" customHeight="1" x14ac:dyDescent="0.2">
      <c r="A761" s="28">
        <v>44440</v>
      </c>
      <c r="B761" s="18">
        <v>0</v>
      </c>
      <c r="C761" s="18">
        <v>0</v>
      </c>
      <c r="D761" s="18">
        <v>19.9008</v>
      </c>
      <c r="E761" s="18">
        <v>26.255721133975339</v>
      </c>
      <c r="F761" s="18">
        <v>7.8251999999999997</v>
      </c>
      <c r="G761" s="18">
        <v>8.8977531227262929</v>
      </c>
      <c r="H761" s="19">
        <v>0.31932993316727654</v>
      </c>
      <c r="I761" s="19">
        <v>0.13706398848927748</v>
      </c>
      <c r="J761" s="19">
        <v>0.26788841725101453</v>
      </c>
    </row>
    <row r="762" spans="1:10" ht="11.25" customHeight="1" x14ac:dyDescent="0.2">
      <c r="A762" s="28">
        <v>44470</v>
      </c>
      <c r="B762" s="18">
        <v>0</v>
      </c>
      <c r="C762" s="18">
        <v>0</v>
      </c>
      <c r="D762" s="18">
        <v>18.408239999999999</v>
      </c>
      <c r="E762" s="18">
        <v>24.286542048927188</v>
      </c>
      <c r="F762" s="18">
        <v>7.2383099999999994</v>
      </c>
      <c r="G762" s="18">
        <v>8.2304216385218201</v>
      </c>
      <c r="H762" s="19">
        <v>0.31932993316727676</v>
      </c>
      <c r="I762" s="19">
        <v>0.13706398848927726</v>
      </c>
      <c r="J762" s="19">
        <v>0.26788841725101453</v>
      </c>
    </row>
    <row r="763" spans="1:10" ht="11.25" customHeight="1" x14ac:dyDescent="0.2">
      <c r="A763" s="28">
        <v>44501</v>
      </c>
      <c r="B763" s="18">
        <v>0</v>
      </c>
      <c r="C763" s="18">
        <v>0</v>
      </c>
      <c r="D763" s="18">
        <v>15.423119999999999</v>
      </c>
      <c r="E763" s="18">
        <v>20.348183878830888</v>
      </c>
      <c r="F763" s="18">
        <v>6.0645299999999995</v>
      </c>
      <c r="G763" s="18">
        <v>6.895758670112877</v>
      </c>
      <c r="H763" s="19">
        <v>0.31932993316727676</v>
      </c>
      <c r="I763" s="19">
        <v>0.13706398848927748</v>
      </c>
      <c r="J763" s="19">
        <v>0.26788841725101475</v>
      </c>
    </row>
    <row r="764" spans="1:10" ht="11.25" customHeight="1" x14ac:dyDescent="0.2">
      <c r="A764" s="28">
        <v>44531</v>
      </c>
      <c r="B764" s="18">
        <v>0</v>
      </c>
      <c r="C764" s="18">
        <v>0</v>
      </c>
      <c r="D764" s="18">
        <v>14.925599999999999</v>
      </c>
      <c r="E764" s="18">
        <v>19.691790850481503</v>
      </c>
      <c r="F764" s="18">
        <v>5.8689</v>
      </c>
      <c r="G764" s="18">
        <v>6.6733148420447197</v>
      </c>
      <c r="H764" s="19">
        <v>0.31932993316727654</v>
      </c>
      <c r="I764" s="19">
        <v>0.13706398848927726</v>
      </c>
      <c r="J764" s="19">
        <v>0.26788841725101453</v>
      </c>
    </row>
    <row r="765" spans="1:10" ht="11.25" customHeight="1" x14ac:dyDescent="0.2">
      <c r="A765" s="28">
        <v>44562</v>
      </c>
      <c r="B765" s="18">
        <v>0</v>
      </c>
      <c r="C765" s="18">
        <v>0</v>
      </c>
      <c r="D765" s="18">
        <v>18.905759999999997</v>
      </c>
      <c r="E765" s="18">
        <v>24.942935077276573</v>
      </c>
      <c r="F765" s="18">
        <v>7.4339399999999998</v>
      </c>
      <c r="G765" s="18">
        <v>8.4528654665899783</v>
      </c>
      <c r="H765" s="19">
        <v>0.31932993316727698</v>
      </c>
      <c r="I765" s="19">
        <v>0.13706398848927726</v>
      </c>
      <c r="J765" s="19">
        <v>0.26788841725101475</v>
      </c>
    </row>
    <row r="766" spans="1:10" ht="11.25" customHeight="1" x14ac:dyDescent="0.2">
      <c r="A766" s="28">
        <v>44593</v>
      </c>
      <c r="B766" s="18">
        <v>0</v>
      </c>
      <c r="C766" s="18">
        <v>0</v>
      </c>
      <c r="D766" s="18">
        <v>15.423119999999999</v>
      </c>
      <c r="E766" s="18">
        <v>20.348183878830888</v>
      </c>
      <c r="F766" s="18">
        <v>6.0645299999999995</v>
      </c>
      <c r="G766" s="18">
        <v>6.895758670112877</v>
      </c>
      <c r="H766" s="19">
        <v>0.31932993316727676</v>
      </c>
      <c r="I766" s="19">
        <v>0.13706398848927748</v>
      </c>
      <c r="J766" s="19">
        <v>0.26788841725101475</v>
      </c>
    </row>
    <row r="767" spans="1:10" ht="11.25" customHeight="1" x14ac:dyDescent="0.2">
      <c r="A767" s="28">
        <v>44621</v>
      </c>
      <c r="B767" s="18">
        <v>0</v>
      </c>
      <c r="C767" s="18">
        <v>0</v>
      </c>
      <c r="D767" s="18">
        <v>15.423119999999999</v>
      </c>
      <c r="E767" s="18">
        <v>20.348183878830888</v>
      </c>
      <c r="F767" s="18">
        <v>6.0645299999999995</v>
      </c>
      <c r="G767" s="18">
        <v>6.895758670112877</v>
      </c>
      <c r="H767" s="19">
        <v>0.31932993316727676</v>
      </c>
      <c r="I767" s="19">
        <v>0.13706398848927748</v>
      </c>
      <c r="J767" s="19">
        <v>0.26788841725101475</v>
      </c>
    </row>
    <row r="768" spans="1:10" ht="11.25" customHeight="1" x14ac:dyDescent="0.2">
      <c r="A768" s="27" t="s">
        <v>34</v>
      </c>
      <c r="B768" s="18">
        <v>0</v>
      </c>
      <c r="C768" s="18">
        <v>0</v>
      </c>
      <c r="D768" s="18">
        <v>417.80142000000006</v>
      </c>
      <c r="E768" s="18">
        <v>550.21963146787675</v>
      </c>
      <c r="F768" s="18">
        <v>170.79083999999997</v>
      </c>
      <c r="G768" s="18">
        <v>191.04795866930007</v>
      </c>
      <c r="H768" s="19">
        <v>0.31694054909597158</v>
      </c>
      <c r="I768" s="19">
        <v>0.11860775829254133</v>
      </c>
      <c r="J768" s="19">
        <v>0.25939065209110446</v>
      </c>
    </row>
    <row r="769" spans="1:10" ht="11.25" customHeight="1" x14ac:dyDescent="0.2">
      <c r="A769" s="28">
        <v>44287</v>
      </c>
      <c r="B769" s="18">
        <v>0</v>
      </c>
      <c r="C769" s="18">
        <v>0</v>
      </c>
      <c r="D769" s="18">
        <v>47.996020000000001</v>
      </c>
      <c r="E769" s="18">
        <v>63.207904933221243</v>
      </c>
      <c r="F769" s="18">
        <v>19.620039999999999</v>
      </c>
      <c r="G769" s="18">
        <v>21.947128962009991</v>
      </c>
      <c r="H769" s="19">
        <v>0.3169405490959718</v>
      </c>
      <c r="I769" s="19">
        <v>0.11860775829254133</v>
      </c>
      <c r="J769" s="19">
        <v>0.25939065209110423</v>
      </c>
    </row>
    <row r="770" spans="1:10" ht="11.25" customHeight="1" x14ac:dyDescent="0.2">
      <c r="A770" s="28">
        <v>44317</v>
      </c>
      <c r="B770" s="18">
        <v>0</v>
      </c>
      <c r="C770" s="18">
        <v>0</v>
      </c>
      <c r="D770" s="18">
        <v>45.635560000000005</v>
      </c>
      <c r="E770" s="18">
        <v>60.099319444702168</v>
      </c>
      <c r="F770" s="18">
        <v>18.65512</v>
      </c>
      <c r="G770" s="18">
        <v>20.867761963878355</v>
      </c>
      <c r="H770" s="19">
        <v>0.31694054909597158</v>
      </c>
      <c r="I770" s="19">
        <v>0.11860775829254133</v>
      </c>
      <c r="J770" s="19">
        <v>0.25939065209110423</v>
      </c>
    </row>
    <row r="771" spans="1:10" ht="11.25" customHeight="1" x14ac:dyDescent="0.2">
      <c r="A771" s="28">
        <v>44348</v>
      </c>
      <c r="B771" s="18">
        <v>0</v>
      </c>
      <c r="C771" s="18">
        <v>0</v>
      </c>
      <c r="D771" s="18">
        <v>42.488280000000003</v>
      </c>
      <c r="E771" s="18">
        <v>55.954538793343396</v>
      </c>
      <c r="F771" s="18">
        <v>17.368559999999999</v>
      </c>
      <c r="G771" s="18">
        <v>19.428605966369499</v>
      </c>
      <c r="H771" s="19">
        <v>0.31694054909597158</v>
      </c>
      <c r="I771" s="19">
        <v>0.11860775829254133</v>
      </c>
      <c r="J771" s="19">
        <v>0.25939065209110401</v>
      </c>
    </row>
    <row r="772" spans="1:10" ht="11.25" customHeight="1" x14ac:dyDescent="0.2">
      <c r="A772" s="28">
        <v>44378</v>
      </c>
      <c r="B772" s="18">
        <v>0</v>
      </c>
      <c r="C772" s="18">
        <v>0</v>
      </c>
      <c r="D772" s="18">
        <v>49.569660000000006</v>
      </c>
      <c r="E772" s="18">
        <v>65.280295258900637</v>
      </c>
      <c r="F772" s="18">
        <v>20.26332</v>
      </c>
      <c r="G772" s="18">
        <v>22.666706960764419</v>
      </c>
      <c r="H772" s="19">
        <v>0.3169405490959718</v>
      </c>
      <c r="I772" s="19">
        <v>0.11860775829254133</v>
      </c>
      <c r="J772" s="19">
        <v>0.25939065209110423</v>
      </c>
    </row>
    <row r="773" spans="1:10" ht="11.25" customHeight="1" x14ac:dyDescent="0.2">
      <c r="A773" s="28">
        <v>44409</v>
      </c>
      <c r="B773" s="18">
        <v>0</v>
      </c>
      <c r="C773" s="18">
        <v>0</v>
      </c>
      <c r="D773" s="18">
        <v>45.635560000000005</v>
      </c>
      <c r="E773" s="18">
        <v>60.099319444702168</v>
      </c>
      <c r="F773" s="18">
        <v>18.65512</v>
      </c>
      <c r="G773" s="18">
        <v>20.867761963878355</v>
      </c>
      <c r="H773" s="19">
        <v>0.31694054909597158</v>
      </c>
      <c r="I773" s="19">
        <v>0.11860775829254133</v>
      </c>
      <c r="J773" s="19">
        <v>0.25939065209110423</v>
      </c>
    </row>
    <row r="774" spans="1:10" ht="11.25" customHeight="1" x14ac:dyDescent="0.2">
      <c r="A774" s="28">
        <v>44440</v>
      </c>
      <c r="B774" s="18">
        <v>0</v>
      </c>
      <c r="C774" s="18">
        <v>0</v>
      </c>
      <c r="D774" s="18">
        <v>45.635560000000005</v>
      </c>
      <c r="E774" s="18">
        <v>60.099319444702168</v>
      </c>
      <c r="F774" s="18">
        <v>18.65512</v>
      </c>
      <c r="G774" s="18">
        <v>20.867761963878355</v>
      </c>
      <c r="H774" s="19">
        <v>0.31694054909597158</v>
      </c>
      <c r="I774" s="19">
        <v>0.11860775829254133</v>
      </c>
      <c r="J774" s="19">
        <v>0.25939065209110423</v>
      </c>
    </row>
    <row r="775" spans="1:10" ht="11.25" customHeight="1" x14ac:dyDescent="0.2">
      <c r="A775" s="28">
        <v>44470</v>
      </c>
      <c r="B775" s="18">
        <v>0</v>
      </c>
      <c r="C775" s="18">
        <v>0</v>
      </c>
      <c r="D775" s="18">
        <v>40.914639999999999</v>
      </c>
      <c r="E775" s="18">
        <v>53.88214846766401</v>
      </c>
      <c r="F775" s="18">
        <v>16.725279999999998</v>
      </c>
      <c r="G775" s="18">
        <v>18.709027967615075</v>
      </c>
      <c r="H775" s="19">
        <v>0.3169405490959718</v>
      </c>
      <c r="I775" s="19">
        <v>0.11860775829254133</v>
      </c>
      <c r="J775" s="19">
        <v>0.25939065209110423</v>
      </c>
    </row>
    <row r="776" spans="1:10" ht="11.25" customHeight="1" x14ac:dyDescent="0.2">
      <c r="A776" s="28">
        <v>44501</v>
      </c>
      <c r="B776" s="18">
        <v>0</v>
      </c>
      <c r="C776" s="18">
        <v>0</v>
      </c>
      <c r="D776" s="18">
        <v>36.980540000000005</v>
      </c>
      <c r="E776" s="18">
        <v>48.701172653465548</v>
      </c>
      <c r="F776" s="18">
        <v>15.11708</v>
      </c>
      <c r="G776" s="18">
        <v>16.910082970729011</v>
      </c>
      <c r="H776" s="19">
        <v>0.31694054909597158</v>
      </c>
      <c r="I776" s="19">
        <v>0.11860775829254133</v>
      </c>
      <c r="J776" s="19">
        <v>0.25939065209110401</v>
      </c>
    </row>
    <row r="777" spans="1:10" ht="11.25" customHeight="1" x14ac:dyDescent="0.2">
      <c r="A777" s="28">
        <v>44531</v>
      </c>
      <c r="B777" s="18">
        <v>0</v>
      </c>
      <c r="C777" s="18">
        <v>0</v>
      </c>
      <c r="D777" s="18">
        <v>17.310040000000001</v>
      </c>
      <c r="E777" s="18">
        <v>22.796293582473236</v>
      </c>
      <c r="F777" s="18">
        <v>7.0760799999999993</v>
      </c>
      <c r="G777" s="18">
        <v>7.9153579862986847</v>
      </c>
      <c r="H777" s="19">
        <v>0.3169405490959718</v>
      </c>
      <c r="I777" s="19">
        <v>0.11860775829254133</v>
      </c>
      <c r="J777" s="19">
        <v>0.25939065209110446</v>
      </c>
    </row>
    <row r="778" spans="1:10" ht="11.25" customHeight="1" x14ac:dyDescent="0.2">
      <c r="A778" s="28">
        <v>44562</v>
      </c>
      <c r="B778" s="18">
        <v>0</v>
      </c>
      <c r="C778" s="18">
        <v>0</v>
      </c>
      <c r="D778" s="18">
        <v>17.310040000000001</v>
      </c>
      <c r="E778" s="18">
        <v>22.796293582473236</v>
      </c>
      <c r="F778" s="18">
        <v>7.0760799999999993</v>
      </c>
      <c r="G778" s="18">
        <v>7.9153579862986847</v>
      </c>
      <c r="H778" s="19">
        <v>0.3169405490959718</v>
      </c>
      <c r="I778" s="19">
        <v>0.11860775829254133</v>
      </c>
      <c r="J778" s="19">
        <v>0.25939065209110446</v>
      </c>
    </row>
    <row r="779" spans="1:10" ht="11.25" customHeight="1" x14ac:dyDescent="0.2">
      <c r="A779" s="28">
        <v>44593</v>
      </c>
      <c r="B779" s="18">
        <v>0</v>
      </c>
      <c r="C779" s="18">
        <v>0</v>
      </c>
      <c r="D779" s="18">
        <v>14.16276</v>
      </c>
      <c r="E779" s="18">
        <v>18.651512931114464</v>
      </c>
      <c r="F779" s="18">
        <v>5.7895199999999996</v>
      </c>
      <c r="G779" s="18">
        <v>6.4762019887898328</v>
      </c>
      <c r="H779" s="19">
        <v>0.31694054909597158</v>
      </c>
      <c r="I779" s="19">
        <v>0.11860775829254133</v>
      </c>
      <c r="J779" s="19">
        <v>0.25939065209110401</v>
      </c>
    </row>
    <row r="780" spans="1:10" ht="11.25" customHeight="1" x14ac:dyDescent="0.2">
      <c r="A780" s="28">
        <v>44621</v>
      </c>
      <c r="B780" s="18">
        <v>0</v>
      </c>
      <c r="C780" s="18">
        <v>0</v>
      </c>
      <c r="D780" s="18">
        <v>14.16276</v>
      </c>
      <c r="E780" s="18">
        <v>18.651512931114464</v>
      </c>
      <c r="F780" s="18">
        <v>5.7895199999999996</v>
      </c>
      <c r="G780" s="18">
        <v>6.4762019887898328</v>
      </c>
      <c r="H780" s="19">
        <v>0.31694054909597158</v>
      </c>
      <c r="I780" s="19">
        <v>0.11860775829254133</v>
      </c>
      <c r="J780" s="19">
        <v>0.25939065209110401</v>
      </c>
    </row>
    <row r="781" spans="1:10" ht="11.25" customHeight="1" x14ac:dyDescent="0.2">
      <c r="A781" s="22" t="s">
        <v>23</v>
      </c>
      <c r="B781" s="18">
        <v>0</v>
      </c>
      <c r="C781" s="18">
        <v>0</v>
      </c>
      <c r="D781" s="18">
        <v>17821385.874765001</v>
      </c>
      <c r="E781" s="18">
        <v>23585847.867679715</v>
      </c>
      <c r="F781" s="18">
        <v>12058172.559873</v>
      </c>
      <c r="G781" s="18">
        <v>13682030.975842373</v>
      </c>
      <c r="H781" s="19">
        <v>0.32345756011473559</v>
      </c>
      <c r="I781" s="19">
        <v>0.13466869941579906</v>
      </c>
      <c r="J781" s="19">
        <v>0.24727006675972629</v>
      </c>
    </row>
    <row r="782" spans="1:10" ht="11.25" customHeight="1" x14ac:dyDescent="0.2">
      <c r="A782" s="23" t="s">
        <v>45</v>
      </c>
      <c r="B782" s="18">
        <v>0</v>
      </c>
      <c r="C782" s="18">
        <v>0</v>
      </c>
      <c r="D782" s="18">
        <v>17821385.874765001</v>
      </c>
      <c r="E782" s="18">
        <v>23585847.867679715</v>
      </c>
      <c r="F782" s="18">
        <v>12058172.559873</v>
      </c>
      <c r="G782" s="18">
        <v>13682030.975842373</v>
      </c>
      <c r="H782" s="19">
        <v>0.32345756011473559</v>
      </c>
      <c r="I782" s="19">
        <v>0.13466869941579906</v>
      </c>
      <c r="J782" s="19">
        <v>0.24727006675972629</v>
      </c>
    </row>
    <row r="783" spans="1:10" ht="11.25" customHeight="1" x14ac:dyDescent="0.2">
      <c r="A783" s="24" t="s">
        <v>53</v>
      </c>
      <c r="B783" s="18">
        <v>0</v>
      </c>
      <c r="C783" s="18">
        <v>0</v>
      </c>
      <c r="D783" s="18">
        <v>1006305.8965650002</v>
      </c>
      <c r="E783" s="18">
        <v>1331803.1465969877</v>
      </c>
      <c r="F783" s="18">
        <v>680879.15463299979</v>
      </c>
      <c r="G783" s="18">
        <v>772572.26484675461</v>
      </c>
      <c r="H783" s="19">
        <v>0.32345756011473648</v>
      </c>
      <c r="I783" s="19">
        <v>0.13466869941579929</v>
      </c>
      <c r="J783" s="19">
        <v>0.24727006675972651</v>
      </c>
    </row>
    <row r="784" spans="1:10" ht="11.25" customHeight="1" x14ac:dyDescent="0.2">
      <c r="A784" s="25" t="s">
        <v>54</v>
      </c>
      <c r="B784" s="18">
        <v>0</v>
      </c>
      <c r="C784" s="18">
        <v>0</v>
      </c>
      <c r="D784" s="18">
        <v>729324.48375000001</v>
      </c>
      <c r="E784" s="18">
        <v>965230.00179571495</v>
      </c>
      <c r="F784" s="18">
        <v>493470.06675</v>
      </c>
      <c r="G784" s="18">
        <v>559925.03883984999</v>
      </c>
      <c r="H784" s="19">
        <v>0.32345756011473648</v>
      </c>
      <c r="I784" s="19">
        <v>0.13466869941579929</v>
      </c>
      <c r="J784" s="19">
        <v>0.24727006675972674</v>
      </c>
    </row>
    <row r="785" spans="1:10" ht="11.25" customHeight="1" x14ac:dyDescent="0.2">
      <c r="A785" s="26" t="s">
        <v>25</v>
      </c>
      <c r="B785" s="18">
        <v>0</v>
      </c>
      <c r="C785" s="18">
        <v>0</v>
      </c>
      <c r="D785" s="18">
        <v>729324.48375000001</v>
      </c>
      <c r="E785" s="18">
        <v>965230.00179571495</v>
      </c>
      <c r="F785" s="18">
        <v>493470.06675</v>
      </c>
      <c r="G785" s="18">
        <v>559925.03883984999</v>
      </c>
      <c r="H785" s="19">
        <v>0.32345756011473648</v>
      </c>
      <c r="I785" s="19">
        <v>0.13466869941579929</v>
      </c>
      <c r="J785" s="19">
        <v>0.24727006675972674</v>
      </c>
    </row>
    <row r="786" spans="1:10" ht="11.25" customHeight="1" x14ac:dyDescent="0.2">
      <c r="A786" s="27" t="s">
        <v>25</v>
      </c>
      <c r="B786" s="18">
        <v>0</v>
      </c>
      <c r="C786" s="18">
        <v>0</v>
      </c>
      <c r="D786" s="18">
        <v>729324.48375000001</v>
      </c>
      <c r="E786" s="18">
        <v>965230.00179571495</v>
      </c>
      <c r="F786" s="18">
        <v>493470.06675</v>
      </c>
      <c r="G786" s="18">
        <v>559925.03883984999</v>
      </c>
      <c r="H786" s="19">
        <v>0.32345756011473648</v>
      </c>
      <c r="I786" s="19">
        <v>0.13466869941579929</v>
      </c>
      <c r="J786" s="19">
        <v>0.24727006675972674</v>
      </c>
    </row>
    <row r="787" spans="1:10" ht="11.25" customHeight="1" x14ac:dyDescent="0.2">
      <c r="A787" s="28">
        <v>44287</v>
      </c>
      <c r="B787" s="18">
        <v>0</v>
      </c>
      <c r="C787" s="18">
        <v>0</v>
      </c>
      <c r="D787" s="18">
        <v>103514.28164999999</v>
      </c>
      <c r="E787" s="18">
        <v>136996.75862953864</v>
      </c>
      <c r="F787" s="18">
        <v>70039.057529999991</v>
      </c>
      <c r="G787" s="18">
        <v>79471.126315873407</v>
      </c>
      <c r="H787" s="19">
        <v>0.3234575601147367</v>
      </c>
      <c r="I787" s="19">
        <v>0.13466869941579884</v>
      </c>
      <c r="J787" s="19">
        <v>0.24727006675972651</v>
      </c>
    </row>
    <row r="788" spans="1:10" ht="11.25" customHeight="1" x14ac:dyDescent="0.2">
      <c r="A788" s="28">
        <v>44317</v>
      </c>
      <c r="B788" s="18">
        <v>0</v>
      </c>
      <c r="C788" s="18">
        <v>0</v>
      </c>
      <c r="D788" s="18">
        <v>-32228.009549999995</v>
      </c>
      <c r="E788" s="18">
        <v>-42652.402886397431</v>
      </c>
      <c r="F788" s="18">
        <v>-21805.874310000003</v>
      </c>
      <c r="G788" s="18">
        <v>-24742.443042952083</v>
      </c>
      <c r="H788" s="19">
        <v>0.32345756011473692</v>
      </c>
      <c r="I788" s="19">
        <v>0.13466869941579884</v>
      </c>
      <c r="J788" s="19">
        <v>0.24727006675972651</v>
      </c>
    </row>
    <row r="789" spans="1:10" ht="11.25" customHeight="1" x14ac:dyDescent="0.2">
      <c r="A789" s="28">
        <v>44348</v>
      </c>
      <c r="B789" s="18">
        <v>0</v>
      </c>
      <c r="C789" s="18">
        <v>0</v>
      </c>
      <c r="D789" s="18">
        <v>39131.378549999994</v>
      </c>
      <c r="E789" s="18">
        <v>51788.718779709132</v>
      </c>
      <c r="F789" s="18">
        <v>26476.78011</v>
      </c>
      <c r="G789" s="18">
        <v>30042.373652131795</v>
      </c>
      <c r="H789" s="19">
        <v>0.3234575601147367</v>
      </c>
      <c r="I789" s="19">
        <v>0.13466869941579906</v>
      </c>
      <c r="J789" s="19">
        <v>0.24727006675972674</v>
      </c>
    </row>
    <row r="790" spans="1:10" ht="11.25" customHeight="1" x14ac:dyDescent="0.2">
      <c r="A790" s="28">
        <v>44378</v>
      </c>
      <c r="B790" s="18">
        <v>0</v>
      </c>
      <c r="C790" s="18">
        <v>0</v>
      </c>
      <c r="D790" s="18">
        <v>32916.213900000002</v>
      </c>
      <c r="E790" s="18">
        <v>43563.212136308772</v>
      </c>
      <c r="F790" s="18">
        <v>22271.521979999998</v>
      </c>
      <c r="G790" s="18">
        <v>25270.79887905698</v>
      </c>
      <c r="H790" s="19">
        <v>0.32345756011473625</v>
      </c>
      <c r="I790" s="19">
        <v>0.13466869941579906</v>
      </c>
      <c r="J790" s="19">
        <v>0.24727006675972629</v>
      </c>
    </row>
    <row r="791" spans="1:10" ht="11.25" customHeight="1" x14ac:dyDescent="0.2">
      <c r="A791" s="28">
        <v>44409</v>
      </c>
      <c r="B791" s="18">
        <v>0</v>
      </c>
      <c r="C791" s="18">
        <v>0</v>
      </c>
      <c r="D791" s="18">
        <v>31927.015349999998</v>
      </c>
      <c r="E791" s="18">
        <v>42254.049836856742</v>
      </c>
      <c r="F791" s="18">
        <v>21602.21787</v>
      </c>
      <c r="G791" s="18">
        <v>24511.360455049631</v>
      </c>
      <c r="H791" s="19">
        <v>0.3234575601147367</v>
      </c>
      <c r="I791" s="19">
        <v>0.13466869941579884</v>
      </c>
      <c r="J791" s="19">
        <v>0.24727006675972674</v>
      </c>
    </row>
    <row r="792" spans="1:10" ht="11.25" customHeight="1" x14ac:dyDescent="0.2">
      <c r="A792" s="28">
        <v>44440</v>
      </c>
      <c r="B792" s="18">
        <v>0</v>
      </c>
      <c r="C792" s="18">
        <v>0</v>
      </c>
      <c r="D792" s="18">
        <v>54593.889299999988</v>
      </c>
      <c r="E792" s="18">
        <v>72252.695530152021</v>
      </c>
      <c r="F792" s="18">
        <v>36938.908259999989</v>
      </c>
      <c r="G792" s="18">
        <v>41913.42299321371</v>
      </c>
      <c r="H792" s="19">
        <v>0.32345756011473692</v>
      </c>
      <c r="I792" s="19">
        <v>0.13466869941579929</v>
      </c>
      <c r="J792" s="19">
        <v>0.24727006675972674</v>
      </c>
    </row>
    <row r="793" spans="1:10" ht="11.25" customHeight="1" x14ac:dyDescent="0.2">
      <c r="A793" s="28">
        <v>44470</v>
      </c>
      <c r="B793" s="18">
        <v>0</v>
      </c>
      <c r="C793" s="18">
        <v>0</v>
      </c>
      <c r="D793" s="18">
        <v>100114.99695</v>
      </c>
      <c r="E793" s="18">
        <v>132497.94959434131</v>
      </c>
      <c r="F793" s="18">
        <v>67739.058990000005</v>
      </c>
      <c r="G793" s="18">
        <v>76861.389963833382</v>
      </c>
      <c r="H793" s="19">
        <v>0.3234575601147367</v>
      </c>
      <c r="I793" s="19">
        <v>0.13466869941579884</v>
      </c>
      <c r="J793" s="19">
        <v>0.24727006675972674</v>
      </c>
    </row>
    <row r="794" spans="1:10" ht="11.25" customHeight="1" x14ac:dyDescent="0.2">
      <c r="A794" s="28">
        <v>44501</v>
      </c>
      <c r="B794" s="18">
        <v>0</v>
      </c>
      <c r="C794" s="18">
        <v>0</v>
      </c>
      <c r="D794" s="18">
        <v>89701.450649999999</v>
      </c>
      <c r="E794" s="18">
        <v>118716.06301600144</v>
      </c>
      <c r="F794" s="18">
        <v>60693.123330000002</v>
      </c>
      <c r="G794" s="18">
        <v>68866.587312333781</v>
      </c>
      <c r="H794" s="19">
        <v>0.32345756011473648</v>
      </c>
      <c r="I794" s="19">
        <v>0.13466869941579884</v>
      </c>
      <c r="J794" s="19">
        <v>0.24727006675972674</v>
      </c>
    </row>
    <row r="795" spans="1:10" ht="11.25" customHeight="1" x14ac:dyDescent="0.2">
      <c r="A795" s="28">
        <v>44531</v>
      </c>
      <c r="B795" s="18">
        <v>0</v>
      </c>
      <c r="C795" s="18">
        <v>0</v>
      </c>
      <c r="D795" s="18">
        <v>77776.840349999999</v>
      </c>
      <c r="E795" s="18">
        <v>102934.34736304441</v>
      </c>
      <c r="F795" s="18">
        <v>52624.782870000003</v>
      </c>
      <c r="G795" s="18">
        <v>59711.693936141732</v>
      </c>
      <c r="H795" s="19">
        <v>0.3234575601147367</v>
      </c>
      <c r="I795" s="19">
        <v>0.13466869941579929</v>
      </c>
      <c r="J795" s="19">
        <v>0.24727006675972651</v>
      </c>
    </row>
    <row r="796" spans="1:10" ht="11.25" customHeight="1" x14ac:dyDescent="0.2">
      <c r="A796" s="28">
        <v>44562</v>
      </c>
      <c r="B796" s="18">
        <v>0</v>
      </c>
      <c r="C796" s="18">
        <v>0</v>
      </c>
      <c r="D796" s="18">
        <v>75838.9617</v>
      </c>
      <c r="E796" s="18">
        <v>100369.64721311694</v>
      </c>
      <c r="F796" s="18">
        <v>51313.589940000005</v>
      </c>
      <c r="G796" s="18">
        <v>58223.924359575431</v>
      </c>
      <c r="H796" s="19">
        <v>0.32345756011473648</v>
      </c>
      <c r="I796" s="19">
        <v>0.13466869941579884</v>
      </c>
      <c r="J796" s="19">
        <v>0.24727006675972651</v>
      </c>
    </row>
    <row r="797" spans="1:10" ht="11.25" customHeight="1" x14ac:dyDescent="0.2">
      <c r="A797" s="28">
        <v>44593</v>
      </c>
      <c r="B797" s="18">
        <v>0</v>
      </c>
      <c r="C797" s="18">
        <v>0</v>
      </c>
      <c r="D797" s="18">
        <v>78018.732449999996</v>
      </c>
      <c r="E797" s="18">
        <v>103254.48129152141</v>
      </c>
      <c r="F797" s="18">
        <v>52788.450089999991</v>
      </c>
      <c r="G797" s="18">
        <v>59897.402007796118</v>
      </c>
      <c r="H797" s="19">
        <v>0.32345756011473648</v>
      </c>
      <c r="I797" s="19">
        <v>0.13466869941579929</v>
      </c>
      <c r="J797" s="19">
        <v>0.24727006675972674</v>
      </c>
    </row>
    <row r="798" spans="1:10" ht="11.25" customHeight="1" x14ac:dyDescent="0.2">
      <c r="A798" s="28">
        <v>44621</v>
      </c>
      <c r="B798" s="18">
        <v>0</v>
      </c>
      <c r="C798" s="18">
        <v>0</v>
      </c>
      <c r="D798" s="18">
        <v>78018.732449999996</v>
      </c>
      <c r="E798" s="18">
        <v>103254.48129152141</v>
      </c>
      <c r="F798" s="18">
        <v>52788.450089999991</v>
      </c>
      <c r="G798" s="18">
        <v>59897.402007796118</v>
      </c>
      <c r="H798" s="19">
        <v>0.32345756011473648</v>
      </c>
      <c r="I798" s="19">
        <v>0.13466869941579929</v>
      </c>
      <c r="J798" s="19">
        <v>0.24727006675972674</v>
      </c>
    </row>
    <row r="799" spans="1:10" ht="11.25" customHeight="1" x14ac:dyDescent="0.2">
      <c r="A799" s="25" t="s">
        <v>55</v>
      </c>
      <c r="B799" s="18">
        <v>0</v>
      </c>
      <c r="C799" s="18">
        <v>0</v>
      </c>
      <c r="D799" s="18">
        <v>276981.41281499999</v>
      </c>
      <c r="E799" s="18">
        <v>366573.14480127255</v>
      </c>
      <c r="F799" s="18">
        <v>187409.08788299997</v>
      </c>
      <c r="G799" s="18">
        <v>212647.22600690482</v>
      </c>
      <c r="H799" s="19">
        <v>0.32345756011473692</v>
      </c>
      <c r="I799" s="19">
        <v>0.13466869941579906</v>
      </c>
      <c r="J799" s="19">
        <v>0.24727006675972696</v>
      </c>
    </row>
    <row r="800" spans="1:10" ht="11.25" customHeight="1" x14ac:dyDescent="0.2">
      <c r="A800" s="26" t="s">
        <v>25</v>
      </c>
      <c r="B800" s="18">
        <v>0</v>
      </c>
      <c r="C800" s="18">
        <v>0</v>
      </c>
      <c r="D800" s="18">
        <v>276981.41281499999</v>
      </c>
      <c r="E800" s="18">
        <v>366573.14480127255</v>
      </c>
      <c r="F800" s="18">
        <v>187409.08788299997</v>
      </c>
      <c r="G800" s="18">
        <v>212647.22600690482</v>
      </c>
      <c r="H800" s="19">
        <v>0.32345756011473692</v>
      </c>
      <c r="I800" s="19">
        <v>0.13466869941579906</v>
      </c>
      <c r="J800" s="19">
        <v>0.24727006675972696</v>
      </c>
    </row>
    <row r="801" spans="1:10" ht="11.25" customHeight="1" x14ac:dyDescent="0.2">
      <c r="A801" s="27" t="s">
        <v>25</v>
      </c>
      <c r="B801" s="18">
        <v>0</v>
      </c>
      <c r="C801" s="18">
        <v>0</v>
      </c>
      <c r="D801" s="18">
        <v>276981.41281499999</v>
      </c>
      <c r="E801" s="18">
        <v>366573.14480127255</v>
      </c>
      <c r="F801" s="18">
        <v>187409.08788299997</v>
      </c>
      <c r="G801" s="18">
        <v>212647.22600690482</v>
      </c>
      <c r="H801" s="19">
        <v>0.32345756011473692</v>
      </c>
      <c r="I801" s="19">
        <v>0.13466869941579906</v>
      </c>
      <c r="J801" s="19">
        <v>0.24727006675972696</v>
      </c>
    </row>
    <row r="802" spans="1:10" ht="11.25" customHeight="1" x14ac:dyDescent="0.2">
      <c r="A802" s="28">
        <v>44287</v>
      </c>
      <c r="B802" s="18">
        <v>0</v>
      </c>
      <c r="C802" s="18">
        <v>0</v>
      </c>
      <c r="D802" s="18">
        <v>26625.282794999996</v>
      </c>
      <c r="E802" s="18">
        <v>35237.431805235574</v>
      </c>
      <c r="F802" s="18">
        <v>18014.999319000002</v>
      </c>
      <c r="G802" s="18">
        <v>20441.055847266234</v>
      </c>
      <c r="H802" s="19">
        <v>0.3234575601147367</v>
      </c>
      <c r="I802" s="19">
        <v>0.13466869941579884</v>
      </c>
      <c r="J802" s="19">
        <v>0.24727006675972651</v>
      </c>
    </row>
    <row r="803" spans="1:10" ht="11.25" customHeight="1" x14ac:dyDescent="0.2">
      <c r="A803" s="28">
        <v>44317</v>
      </c>
      <c r="B803" s="18">
        <v>0</v>
      </c>
      <c r="C803" s="18">
        <v>0</v>
      </c>
      <c r="D803" s="18">
        <v>9826.8178184999997</v>
      </c>
      <c r="E803" s="18">
        <v>13005.376333764027</v>
      </c>
      <c r="F803" s="18">
        <v>6648.9478317000003</v>
      </c>
      <c r="G803" s="18">
        <v>7544.3529886785363</v>
      </c>
      <c r="H803" s="19">
        <v>0.32345756011473648</v>
      </c>
      <c r="I803" s="19">
        <v>0.13466869941579906</v>
      </c>
      <c r="J803" s="19">
        <v>0.24727006675972651</v>
      </c>
    </row>
    <row r="804" spans="1:10" ht="11.25" customHeight="1" x14ac:dyDescent="0.2">
      <c r="A804" s="28">
        <v>44348</v>
      </c>
      <c r="B804" s="18">
        <v>0</v>
      </c>
      <c r="C804" s="18">
        <v>0</v>
      </c>
      <c r="D804" s="18">
        <v>8964.3689009999998</v>
      </c>
      <c r="E804" s="18">
        <v>11863.961793685881</v>
      </c>
      <c r="F804" s="18">
        <v>6065.4041081999994</v>
      </c>
      <c r="G804" s="18">
        <v>6882.2241908825381</v>
      </c>
      <c r="H804" s="19">
        <v>0.32345756011473648</v>
      </c>
      <c r="I804" s="19">
        <v>0.13466869941579906</v>
      </c>
      <c r="J804" s="19">
        <v>0.24727006675972674</v>
      </c>
    </row>
    <row r="805" spans="1:10" ht="11.25" customHeight="1" x14ac:dyDescent="0.2">
      <c r="A805" s="28">
        <v>44378</v>
      </c>
      <c r="B805" s="18">
        <v>0</v>
      </c>
      <c r="C805" s="18">
        <v>0</v>
      </c>
      <c r="D805" s="18">
        <v>7468.470378</v>
      </c>
      <c r="E805" s="18">
        <v>9884.203584257064</v>
      </c>
      <c r="F805" s="18">
        <v>5053.2604595999992</v>
      </c>
      <c r="G805" s="18">
        <v>5733.7764735036144</v>
      </c>
      <c r="H805" s="19">
        <v>0.32345756011473648</v>
      </c>
      <c r="I805" s="19">
        <v>0.13466869941579906</v>
      </c>
      <c r="J805" s="19">
        <v>0.24727006675972651</v>
      </c>
    </row>
    <row r="806" spans="1:10" ht="11.25" customHeight="1" x14ac:dyDescent="0.2">
      <c r="A806" s="28">
        <v>44409</v>
      </c>
      <c r="B806" s="18">
        <v>0</v>
      </c>
      <c r="C806" s="18">
        <v>0</v>
      </c>
      <c r="D806" s="18">
        <v>7933.2139530000004</v>
      </c>
      <c r="E806" s="18">
        <v>10499.271982105563</v>
      </c>
      <c r="F806" s="18">
        <v>5367.7117746000004</v>
      </c>
      <c r="G806" s="18">
        <v>6090.5745381242523</v>
      </c>
      <c r="H806" s="19">
        <v>0.32345756011473648</v>
      </c>
      <c r="I806" s="19">
        <v>0.13466869941579884</v>
      </c>
      <c r="J806" s="19">
        <v>0.24727006675972651</v>
      </c>
    </row>
    <row r="807" spans="1:10" ht="11.25" customHeight="1" x14ac:dyDescent="0.2">
      <c r="A807" s="28">
        <v>44440</v>
      </c>
      <c r="B807" s="18">
        <v>0</v>
      </c>
      <c r="C807" s="18">
        <v>0</v>
      </c>
      <c r="D807" s="18">
        <v>18345.279653999998</v>
      </c>
      <c r="E807" s="18">
        <v>24279.199050505362</v>
      </c>
      <c r="F807" s="18">
        <v>12412.645642799998</v>
      </c>
      <c r="G807" s="18">
        <v>14084.240487825062</v>
      </c>
      <c r="H807" s="19">
        <v>0.32345756011473692</v>
      </c>
      <c r="I807" s="19">
        <v>0.13466869941579929</v>
      </c>
      <c r="J807" s="19">
        <v>0.24727006675972674</v>
      </c>
    </row>
    <row r="808" spans="1:10" ht="11.25" customHeight="1" x14ac:dyDescent="0.2">
      <c r="A808" s="28">
        <v>44470</v>
      </c>
      <c r="B808" s="18">
        <v>0</v>
      </c>
      <c r="C808" s="18">
        <v>0</v>
      </c>
      <c r="D808" s="18">
        <v>32251.312228499999</v>
      </c>
      <c r="E808" s="18">
        <v>42683.242992429179</v>
      </c>
      <c r="F808" s="18">
        <v>21821.641193699998</v>
      </c>
      <c r="G808" s="18">
        <v>24760.333232373803</v>
      </c>
      <c r="H808" s="19">
        <v>0.3234575601147367</v>
      </c>
      <c r="I808" s="19">
        <v>0.13466869941579906</v>
      </c>
      <c r="J808" s="19">
        <v>0.24727006675972674</v>
      </c>
    </row>
    <row r="809" spans="1:10" ht="11.25" customHeight="1" x14ac:dyDescent="0.2">
      <c r="A809" s="28">
        <v>44501</v>
      </c>
      <c r="B809" s="18">
        <v>0</v>
      </c>
      <c r="C809" s="18">
        <v>0</v>
      </c>
      <c r="D809" s="18">
        <v>31376.771752499997</v>
      </c>
      <c r="E809" s="18">
        <v>41525.825787840637</v>
      </c>
      <c r="F809" s="18">
        <v>21229.916170500001</v>
      </c>
      <c r="G809" s="18">
        <v>24088.921369887677</v>
      </c>
      <c r="H809" s="19">
        <v>0.3234575601147367</v>
      </c>
      <c r="I809" s="19">
        <v>0.13466869941579906</v>
      </c>
      <c r="J809" s="19">
        <v>0.24727006675972674</v>
      </c>
    </row>
    <row r="810" spans="1:10" ht="11.25" customHeight="1" x14ac:dyDescent="0.2">
      <c r="A810" s="28">
        <v>44531</v>
      </c>
      <c r="B810" s="18">
        <v>0</v>
      </c>
      <c r="C810" s="18">
        <v>0</v>
      </c>
      <c r="D810" s="18">
        <v>29217.893899499999</v>
      </c>
      <c r="E810" s="18">
        <v>38668.642571923512</v>
      </c>
      <c r="F810" s="18">
        <v>19769.192415900001</v>
      </c>
      <c r="G810" s="18">
        <v>22431.483847049931</v>
      </c>
      <c r="H810" s="19">
        <v>0.32345756011473648</v>
      </c>
      <c r="I810" s="19">
        <v>0.13466869941579906</v>
      </c>
      <c r="J810" s="19">
        <v>0.24727006675972651</v>
      </c>
    </row>
    <row r="811" spans="1:10" ht="11.25" customHeight="1" x14ac:dyDescent="0.2">
      <c r="A811" s="28">
        <v>44562</v>
      </c>
      <c r="B811" s="18">
        <v>0</v>
      </c>
      <c r="C811" s="18">
        <v>0</v>
      </c>
      <c r="D811" s="18">
        <v>26515.389446999998</v>
      </c>
      <c r="E811" s="18">
        <v>35091.992623018654</v>
      </c>
      <c r="F811" s="18">
        <v>17940.644105399999</v>
      </c>
      <c r="G811" s="18">
        <v>20356.687313755938</v>
      </c>
      <c r="H811" s="19">
        <v>0.3234575601147367</v>
      </c>
      <c r="I811" s="19">
        <v>0.13466869941579906</v>
      </c>
      <c r="J811" s="19">
        <v>0.24727006675972674</v>
      </c>
    </row>
    <row r="812" spans="1:10" ht="11.25" customHeight="1" x14ac:dyDescent="0.2">
      <c r="A812" s="28">
        <v>44593</v>
      </c>
      <c r="B812" s="18">
        <v>0</v>
      </c>
      <c r="C812" s="18">
        <v>0</v>
      </c>
      <c r="D812" s="18">
        <v>39228.305994000002</v>
      </c>
      <c r="E812" s="18">
        <v>51916.998138253541</v>
      </c>
      <c r="F812" s="18">
        <v>26542.3624308</v>
      </c>
      <c r="G812" s="18">
        <v>30116.787858778607</v>
      </c>
      <c r="H812" s="19">
        <v>0.3234575601147367</v>
      </c>
      <c r="I812" s="19">
        <v>0.13466869941579929</v>
      </c>
      <c r="J812" s="19">
        <v>0.24727006675972651</v>
      </c>
    </row>
    <row r="813" spans="1:10" ht="11.25" customHeight="1" x14ac:dyDescent="0.2">
      <c r="A813" s="28">
        <v>44621</v>
      </c>
      <c r="B813" s="18">
        <v>0</v>
      </c>
      <c r="C813" s="18">
        <v>0</v>
      </c>
      <c r="D813" s="18">
        <v>39228.305994000002</v>
      </c>
      <c r="E813" s="18">
        <v>51916.998138253541</v>
      </c>
      <c r="F813" s="18">
        <v>26542.3624308</v>
      </c>
      <c r="G813" s="18">
        <v>30116.787858778607</v>
      </c>
      <c r="H813" s="19">
        <v>0.3234575601147367</v>
      </c>
      <c r="I813" s="19">
        <v>0.13466869941579929</v>
      </c>
      <c r="J813" s="19">
        <v>0.24727006675972651</v>
      </c>
    </row>
    <row r="814" spans="1:10" ht="11.25" customHeight="1" x14ac:dyDescent="0.2">
      <c r="A814" s="24" t="s">
        <v>25</v>
      </c>
      <c r="B814" s="18">
        <v>0</v>
      </c>
      <c r="C814" s="18">
        <v>0</v>
      </c>
      <c r="D814" s="18">
        <v>16815079.9782</v>
      </c>
      <c r="E814" s="18">
        <v>22254044.721082732</v>
      </c>
      <c r="F814" s="18">
        <v>11377293.405239999</v>
      </c>
      <c r="G814" s="18">
        <v>12909458.710995618</v>
      </c>
      <c r="H814" s="19">
        <v>0.32345756011473648</v>
      </c>
      <c r="I814" s="19">
        <v>0.13466869941579884</v>
      </c>
      <c r="J814" s="19">
        <v>0.24727006675972651</v>
      </c>
    </row>
    <row r="815" spans="1:10" ht="11.25" customHeight="1" x14ac:dyDescent="0.2">
      <c r="A815" s="25" t="s">
        <v>25</v>
      </c>
      <c r="B815" s="18">
        <v>0</v>
      </c>
      <c r="C815" s="18">
        <v>0</v>
      </c>
      <c r="D815" s="18">
        <v>16815079.9782</v>
      </c>
      <c r="E815" s="18">
        <v>22254044.721082732</v>
      </c>
      <c r="F815" s="18">
        <v>11377293.405239999</v>
      </c>
      <c r="G815" s="18">
        <v>12909458.710995618</v>
      </c>
      <c r="H815" s="19">
        <v>0.32345756011473648</v>
      </c>
      <c r="I815" s="19">
        <v>0.13466869941579884</v>
      </c>
      <c r="J815" s="19">
        <v>0.24727006675972651</v>
      </c>
    </row>
    <row r="816" spans="1:10" ht="11.25" customHeight="1" x14ac:dyDescent="0.2">
      <c r="A816" s="26" t="s">
        <v>25</v>
      </c>
      <c r="B816" s="18">
        <v>0</v>
      </c>
      <c r="C816" s="18">
        <v>0</v>
      </c>
      <c r="D816" s="18">
        <v>16815079.9782</v>
      </c>
      <c r="E816" s="18">
        <v>22254044.721082732</v>
      </c>
      <c r="F816" s="18">
        <v>11377293.405239999</v>
      </c>
      <c r="G816" s="18">
        <v>12909458.710995618</v>
      </c>
      <c r="H816" s="19">
        <v>0.32345756011473648</v>
      </c>
      <c r="I816" s="19">
        <v>0.13466869941579884</v>
      </c>
      <c r="J816" s="19">
        <v>0.24727006675972651</v>
      </c>
    </row>
    <row r="817" spans="1:10" ht="11.25" customHeight="1" x14ac:dyDescent="0.2">
      <c r="A817" s="27" t="s">
        <v>25</v>
      </c>
      <c r="B817" s="18">
        <v>0</v>
      </c>
      <c r="C817" s="18">
        <v>0</v>
      </c>
      <c r="D817" s="18">
        <v>16815079.9782</v>
      </c>
      <c r="E817" s="18">
        <v>22254044.721082732</v>
      </c>
      <c r="F817" s="18">
        <v>11377293.405239999</v>
      </c>
      <c r="G817" s="18">
        <v>12909458.710995618</v>
      </c>
      <c r="H817" s="19">
        <v>0.32345756011473648</v>
      </c>
      <c r="I817" s="19">
        <v>0.13466869941579884</v>
      </c>
      <c r="J817" s="19">
        <v>0.24727006675972651</v>
      </c>
    </row>
    <row r="818" spans="1:10" ht="11.25" customHeight="1" x14ac:dyDescent="0.2">
      <c r="A818" s="28">
        <v>44287</v>
      </c>
      <c r="B818" s="18">
        <v>0</v>
      </c>
      <c r="C818" s="18">
        <v>0</v>
      </c>
      <c r="D818" s="18">
        <v>1662274.28565</v>
      </c>
      <c r="E818" s="18">
        <v>2199949.4703278155</v>
      </c>
      <c r="F818" s="18">
        <v>1124715.57033</v>
      </c>
      <c r="G818" s="18">
        <v>1276179.5533990399</v>
      </c>
      <c r="H818" s="19">
        <v>0.32345756011473648</v>
      </c>
      <c r="I818" s="19">
        <v>0.13466869941579906</v>
      </c>
      <c r="J818" s="19">
        <v>0.24727006675972651</v>
      </c>
    </row>
    <row r="819" spans="1:10" ht="11.25" customHeight="1" x14ac:dyDescent="0.2">
      <c r="A819" s="28">
        <v>44317</v>
      </c>
      <c r="B819" s="18">
        <v>0</v>
      </c>
      <c r="C819" s="18">
        <v>0</v>
      </c>
      <c r="D819" s="18">
        <v>1333465.5406499999</v>
      </c>
      <c r="E819" s="18">
        <v>1764785.050925727</v>
      </c>
      <c r="F819" s="18">
        <v>902239.46133000008</v>
      </c>
      <c r="G819" s="18">
        <v>1023742.8761489223</v>
      </c>
      <c r="H819" s="19">
        <v>0.3234575601147367</v>
      </c>
      <c r="I819" s="19">
        <v>0.13466869941579906</v>
      </c>
      <c r="J819" s="19">
        <v>0.24727006675972651</v>
      </c>
    </row>
    <row r="820" spans="1:10" ht="11.25" customHeight="1" x14ac:dyDescent="0.2">
      <c r="A820" s="28">
        <v>44348</v>
      </c>
      <c r="B820" s="18">
        <v>0</v>
      </c>
      <c r="C820" s="18">
        <v>0</v>
      </c>
      <c r="D820" s="18">
        <v>1185177.76245</v>
      </c>
      <c r="E820" s="18">
        <v>1568532.4697943199</v>
      </c>
      <c r="F820" s="18">
        <v>801906.09609000012</v>
      </c>
      <c r="G820" s="18">
        <v>909897.74710404116</v>
      </c>
      <c r="H820" s="19">
        <v>0.3234575601147367</v>
      </c>
      <c r="I820" s="19">
        <v>0.13466869941579906</v>
      </c>
      <c r="J820" s="19">
        <v>0.24727006675972674</v>
      </c>
    </row>
    <row r="821" spans="1:10" ht="11.25" customHeight="1" x14ac:dyDescent="0.2">
      <c r="A821" s="28">
        <v>44378</v>
      </c>
      <c r="B821" s="18">
        <v>0</v>
      </c>
      <c r="C821" s="18">
        <v>0</v>
      </c>
      <c r="D821" s="18">
        <v>1204412.4494999999</v>
      </c>
      <c r="E821" s="18">
        <v>1593988.7617870832</v>
      </c>
      <c r="F821" s="18">
        <v>814920.52589999989</v>
      </c>
      <c r="G821" s="18">
        <v>924664.81325019198</v>
      </c>
      <c r="H821" s="19">
        <v>0.3234575601147367</v>
      </c>
      <c r="I821" s="19">
        <v>0.13466869941579929</v>
      </c>
      <c r="J821" s="19">
        <v>0.24727006675972674</v>
      </c>
    </row>
    <row r="822" spans="1:10" ht="11.25" customHeight="1" x14ac:dyDescent="0.2">
      <c r="A822" s="28">
        <v>44409</v>
      </c>
      <c r="B822" s="18">
        <v>0</v>
      </c>
      <c r="C822" s="18">
        <v>0</v>
      </c>
      <c r="D822" s="18">
        <v>1169402.3761499999</v>
      </c>
      <c r="E822" s="18">
        <v>1547654.4155318544</v>
      </c>
      <c r="F822" s="18">
        <v>791232.2724299999</v>
      </c>
      <c r="G822" s="18">
        <v>897786.49349395535</v>
      </c>
      <c r="H822" s="19">
        <v>0.3234575601147367</v>
      </c>
      <c r="I822" s="19">
        <v>0.13466869941579929</v>
      </c>
      <c r="J822" s="19">
        <v>0.24727006675972674</v>
      </c>
    </row>
    <row r="823" spans="1:10" ht="11.25" customHeight="1" x14ac:dyDescent="0.2">
      <c r="A823" s="28">
        <v>44440</v>
      </c>
      <c r="B823" s="18">
        <v>0</v>
      </c>
      <c r="C823" s="18">
        <v>0</v>
      </c>
      <c r="D823" s="18">
        <v>1269140.2164</v>
      </c>
      <c r="E823" s="18">
        <v>1679653.2142402327</v>
      </c>
      <c r="F823" s="18">
        <v>858716.14248000004</v>
      </c>
      <c r="G823" s="18">
        <v>974358.32855513354</v>
      </c>
      <c r="H823" s="19">
        <v>0.32345756011473648</v>
      </c>
      <c r="I823" s="19">
        <v>0.13466869941579884</v>
      </c>
      <c r="J823" s="19">
        <v>0.24727006675972629</v>
      </c>
    </row>
    <row r="824" spans="1:10" ht="11.25" customHeight="1" x14ac:dyDescent="0.2">
      <c r="A824" s="28">
        <v>44470</v>
      </c>
      <c r="B824" s="18">
        <v>0</v>
      </c>
      <c r="C824" s="18">
        <v>0</v>
      </c>
      <c r="D824" s="18">
        <v>1438941.7683000001</v>
      </c>
      <c r="E824" s="18">
        <v>1904378.3618215027</v>
      </c>
      <c r="F824" s="18">
        <v>973605.99606000015</v>
      </c>
      <c r="G824" s="18">
        <v>1104720.249292824</v>
      </c>
      <c r="H824" s="19">
        <v>0.32345756011473648</v>
      </c>
      <c r="I824" s="19">
        <v>0.13466869941579906</v>
      </c>
      <c r="J824" s="19">
        <v>0.24727006675972651</v>
      </c>
    </row>
    <row r="825" spans="1:10" ht="11.25" customHeight="1" x14ac:dyDescent="0.2">
      <c r="A825" s="28">
        <v>44501</v>
      </c>
      <c r="B825" s="18">
        <v>0</v>
      </c>
      <c r="C825" s="18">
        <v>0</v>
      </c>
      <c r="D825" s="18">
        <v>1495202.0930999999</v>
      </c>
      <c r="E825" s="18">
        <v>1978836.5140125728</v>
      </c>
      <c r="F825" s="18">
        <v>1011672.4354199999</v>
      </c>
      <c r="G825" s="18">
        <v>1147913.0465328251</v>
      </c>
      <c r="H825" s="19">
        <v>0.32345756011473648</v>
      </c>
      <c r="I825" s="19">
        <v>0.13466869941579884</v>
      </c>
      <c r="J825" s="19">
        <v>0.24727006675972651</v>
      </c>
    </row>
    <row r="826" spans="1:10" ht="11.25" customHeight="1" x14ac:dyDescent="0.2">
      <c r="A826" s="28">
        <v>44531</v>
      </c>
      <c r="B826" s="18">
        <v>0</v>
      </c>
      <c r="C826" s="18">
        <v>0</v>
      </c>
      <c r="D826" s="18">
        <v>1493991.4139999999</v>
      </c>
      <c r="E826" s="18">
        <v>1977234.231604805</v>
      </c>
      <c r="F826" s="18">
        <v>1010853.2747999999</v>
      </c>
      <c r="G826" s="18">
        <v>1146983.5706175175</v>
      </c>
      <c r="H826" s="19">
        <v>0.32345756011473648</v>
      </c>
      <c r="I826" s="19">
        <v>0.13466869941579929</v>
      </c>
      <c r="J826" s="19">
        <v>0.24727006675972674</v>
      </c>
    </row>
    <row r="827" spans="1:10" ht="11.25" customHeight="1" x14ac:dyDescent="0.2">
      <c r="A827" s="28">
        <v>44562</v>
      </c>
      <c r="B827" s="18">
        <v>0</v>
      </c>
      <c r="C827" s="18">
        <v>0</v>
      </c>
      <c r="D827" s="18">
        <v>1484223.7256999998</v>
      </c>
      <c r="E827" s="18">
        <v>1964307.1106793256</v>
      </c>
      <c r="F827" s="18">
        <v>1004244.33474</v>
      </c>
      <c r="G827" s="18">
        <v>1139484.6131951201</v>
      </c>
      <c r="H827" s="19">
        <v>0.32345756011473648</v>
      </c>
      <c r="I827" s="19">
        <v>0.13466869941579906</v>
      </c>
      <c r="J827" s="19">
        <v>0.24727006675972674</v>
      </c>
    </row>
    <row r="828" spans="1:10" ht="11.25" customHeight="1" x14ac:dyDescent="0.2">
      <c r="A828" s="28">
        <v>44593</v>
      </c>
      <c r="B828" s="18">
        <v>0</v>
      </c>
      <c r="C828" s="18">
        <v>0</v>
      </c>
      <c r="D828" s="18">
        <v>1539424.1731499997</v>
      </c>
      <c r="E828" s="18">
        <v>2037362.5601787446</v>
      </c>
      <c r="F828" s="18">
        <v>1041593.6478299999</v>
      </c>
      <c r="G828" s="18">
        <v>1181863.7097030238</v>
      </c>
      <c r="H828" s="19">
        <v>0.3234575601147367</v>
      </c>
      <c r="I828" s="19">
        <v>0.13466869941579906</v>
      </c>
      <c r="J828" s="19">
        <v>0.24727006675972674</v>
      </c>
    </row>
    <row r="829" spans="1:10" ht="11.25" customHeight="1" x14ac:dyDescent="0.2">
      <c r="A829" s="28">
        <v>44621</v>
      </c>
      <c r="B829" s="18">
        <v>0</v>
      </c>
      <c r="C829" s="18">
        <v>0</v>
      </c>
      <c r="D829" s="18">
        <v>1539424.1731499997</v>
      </c>
      <c r="E829" s="18">
        <v>2037362.5601787446</v>
      </c>
      <c r="F829" s="18">
        <v>1041593.6478299999</v>
      </c>
      <c r="G829" s="18">
        <v>1181863.7097030238</v>
      </c>
      <c r="H829" s="19">
        <v>0.3234575601147367</v>
      </c>
      <c r="I829" s="19">
        <v>0.13466869941579906</v>
      </c>
      <c r="J829" s="19">
        <v>0.24727006675972674</v>
      </c>
    </row>
    <row r="830" spans="1:10" ht="11.25" customHeight="1" x14ac:dyDescent="0.2">
      <c r="A830" s="21" t="s">
        <v>37</v>
      </c>
      <c r="B830" s="18">
        <v>0</v>
      </c>
      <c r="C830" s="18">
        <v>0</v>
      </c>
      <c r="D830" s="18">
        <v>121962312.14614402</v>
      </c>
      <c r="E830" s="18">
        <v>151106607.37868327</v>
      </c>
      <c r="F830" s="18">
        <v>82551481.244398788</v>
      </c>
      <c r="G830" s="18">
        <v>87689397.120205715</v>
      </c>
      <c r="H830" s="19">
        <v>0.23896148506611148</v>
      </c>
      <c r="I830" s="19">
        <v>6.2238930160390504E-2</v>
      </c>
      <c r="J830" s="19">
        <v>0.16762786773447735</v>
      </c>
    </row>
    <row r="831" spans="1:10" ht="11.25" customHeight="1" x14ac:dyDescent="0.2">
      <c r="A831" s="22" t="s">
        <v>33</v>
      </c>
      <c r="B831" s="18">
        <v>0</v>
      </c>
      <c r="C831" s="18">
        <v>0</v>
      </c>
      <c r="D831" s="18">
        <v>493058.03629999975</v>
      </c>
      <c r="E831" s="18">
        <v>611407.13659723755</v>
      </c>
      <c r="F831" s="18">
        <v>365004.98012999998</v>
      </c>
      <c r="G831" s="18">
        <v>387893.14292316162</v>
      </c>
      <c r="H831" s="19">
        <v>0.24003077038425724</v>
      </c>
      <c r="I831" s="19">
        <v>6.2706439745040754E-2</v>
      </c>
      <c r="J831" s="19">
        <v>0.16460010557036031</v>
      </c>
    </row>
    <row r="832" spans="1:10" ht="11.25" customHeight="1" x14ac:dyDescent="0.2">
      <c r="A832" s="23" t="s">
        <v>43</v>
      </c>
      <c r="B832" s="18">
        <v>0</v>
      </c>
      <c r="C832" s="18">
        <v>0</v>
      </c>
      <c r="D832" s="18">
        <v>464264.0013</v>
      </c>
      <c r="E832" s="18">
        <v>575656.09821518743</v>
      </c>
      <c r="F832" s="18">
        <v>341419.98236999998</v>
      </c>
      <c r="G832" s="18">
        <v>362795.65406254178</v>
      </c>
      <c r="H832" s="19">
        <v>0.23993266030378235</v>
      </c>
      <c r="I832" s="19">
        <v>6.2608144796214127E-2</v>
      </c>
      <c r="J832" s="19">
        <v>0.16478888906659694</v>
      </c>
    </row>
    <row r="833" spans="1:10" ht="11.25" customHeight="1" x14ac:dyDescent="0.2">
      <c r="A833" s="24" t="s">
        <v>25</v>
      </c>
      <c r="B833" s="18">
        <v>0</v>
      </c>
      <c r="C833" s="18">
        <v>0</v>
      </c>
      <c r="D833" s="18">
        <v>464264.0013</v>
      </c>
      <c r="E833" s="18">
        <v>575656.09821518743</v>
      </c>
      <c r="F833" s="18">
        <v>341419.98236999998</v>
      </c>
      <c r="G833" s="18">
        <v>362795.65406254178</v>
      </c>
      <c r="H833" s="19">
        <v>0.23993266030378235</v>
      </c>
      <c r="I833" s="19">
        <v>6.2608144796214127E-2</v>
      </c>
      <c r="J833" s="19">
        <v>0.16478888906659694</v>
      </c>
    </row>
    <row r="834" spans="1:10" ht="11.25" customHeight="1" x14ac:dyDescent="0.2">
      <c r="A834" s="25" t="s">
        <v>25</v>
      </c>
      <c r="B834" s="18">
        <v>0</v>
      </c>
      <c r="C834" s="18">
        <v>0</v>
      </c>
      <c r="D834" s="18">
        <v>464264.0013</v>
      </c>
      <c r="E834" s="18">
        <v>575656.09821518743</v>
      </c>
      <c r="F834" s="18">
        <v>341419.98236999998</v>
      </c>
      <c r="G834" s="18">
        <v>362795.65406254178</v>
      </c>
      <c r="H834" s="19">
        <v>0.23993266030378235</v>
      </c>
      <c r="I834" s="19">
        <v>6.2608144796214127E-2</v>
      </c>
      <c r="J834" s="19">
        <v>0.16478888906659694</v>
      </c>
    </row>
    <row r="835" spans="1:10" ht="11.25" customHeight="1" x14ac:dyDescent="0.2">
      <c r="A835" s="26" t="s">
        <v>25</v>
      </c>
      <c r="B835" s="18">
        <v>0</v>
      </c>
      <c r="C835" s="18">
        <v>0</v>
      </c>
      <c r="D835" s="18">
        <v>464264.0013</v>
      </c>
      <c r="E835" s="18">
        <v>575656.09821518743</v>
      </c>
      <c r="F835" s="18">
        <v>341419.98236999998</v>
      </c>
      <c r="G835" s="18">
        <v>362795.65406254178</v>
      </c>
      <c r="H835" s="19">
        <v>0.23993266030378235</v>
      </c>
      <c r="I835" s="19">
        <v>6.2608144796214127E-2</v>
      </c>
      <c r="J835" s="19">
        <v>0.16478888906659694</v>
      </c>
    </row>
    <row r="836" spans="1:10" ht="11.25" customHeight="1" x14ac:dyDescent="0.2">
      <c r="A836" s="27" t="s">
        <v>35</v>
      </c>
      <c r="B836" s="18">
        <v>0</v>
      </c>
      <c r="C836" s="18">
        <v>0</v>
      </c>
      <c r="D836" s="18">
        <v>325866.07350000006</v>
      </c>
      <c r="E836" s="18">
        <v>404980.02348708326</v>
      </c>
      <c r="F836" s="18">
        <v>289414.27350000001</v>
      </c>
      <c r="G836" s="18">
        <v>308072.86975588364</v>
      </c>
      <c r="H836" s="19">
        <v>0.24278056668296677</v>
      </c>
      <c r="I836" s="19">
        <v>6.4470200554513024E-2</v>
      </c>
      <c r="J836" s="19">
        <v>0.15890731228404875</v>
      </c>
    </row>
    <row r="837" spans="1:10" ht="11.25" customHeight="1" x14ac:dyDescent="0.2">
      <c r="A837" s="28">
        <v>44287</v>
      </c>
      <c r="B837" s="18">
        <v>0</v>
      </c>
      <c r="C837" s="18">
        <v>0</v>
      </c>
      <c r="D837" s="18">
        <v>24429.505069999999</v>
      </c>
      <c r="E837" s="18">
        <v>30360.514154679</v>
      </c>
      <c r="F837" s="18">
        <v>21696.789069999999</v>
      </c>
      <c r="G837" s="18">
        <v>23095.58541273186</v>
      </c>
      <c r="H837" s="19">
        <v>0.24278056668296633</v>
      </c>
      <c r="I837" s="19">
        <v>6.4470200554512802E-2</v>
      </c>
      <c r="J837" s="19">
        <v>0.15890731228404853</v>
      </c>
    </row>
    <row r="838" spans="1:10" ht="11.25" customHeight="1" x14ac:dyDescent="0.2">
      <c r="A838" s="28">
        <v>44317</v>
      </c>
      <c r="B838" s="18">
        <v>0</v>
      </c>
      <c r="C838" s="18">
        <v>0</v>
      </c>
      <c r="D838" s="18">
        <v>23942.1515</v>
      </c>
      <c r="E838" s="18">
        <v>29754.840608779439</v>
      </c>
      <c r="F838" s="18">
        <v>21263.951500000003</v>
      </c>
      <c r="G838" s="18">
        <v>22634.842717786436</v>
      </c>
      <c r="H838" s="19">
        <v>0.24278056668296655</v>
      </c>
      <c r="I838" s="19">
        <v>6.4470200554512802E-2</v>
      </c>
      <c r="J838" s="19">
        <v>0.15890731228404875</v>
      </c>
    </row>
    <row r="839" spans="1:10" ht="11.25" customHeight="1" x14ac:dyDescent="0.2">
      <c r="A839" s="28">
        <v>44348</v>
      </c>
      <c r="B839" s="18">
        <v>0</v>
      </c>
      <c r="C839" s="18">
        <v>0</v>
      </c>
      <c r="D839" s="18">
        <v>23266.064190000001</v>
      </c>
      <c r="E839" s="18">
        <v>28914.612438530472</v>
      </c>
      <c r="F839" s="18">
        <v>20663.492190000001</v>
      </c>
      <c r="G839" s="18">
        <v>21995.67167564591</v>
      </c>
      <c r="H839" s="19">
        <v>0.24278056668296633</v>
      </c>
      <c r="I839" s="19">
        <v>6.4470200554512802E-2</v>
      </c>
      <c r="J839" s="19">
        <v>0.15890731228404853</v>
      </c>
    </row>
    <row r="840" spans="1:10" ht="11.25" customHeight="1" x14ac:dyDescent="0.2">
      <c r="A840" s="28">
        <v>44378</v>
      </c>
      <c r="B840" s="18">
        <v>0</v>
      </c>
      <c r="C840" s="18">
        <v>0</v>
      </c>
      <c r="D840" s="18">
        <v>24007.983029999999</v>
      </c>
      <c r="E840" s="18">
        <v>29836.654754938441</v>
      </c>
      <c r="F840" s="18">
        <v>21322.419030000001</v>
      </c>
      <c r="G840" s="18">
        <v>22697.079661171461</v>
      </c>
      <c r="H840" s="19">
        <v>0.24278056668296655</v>
      </c>
      <c r="I840" s="19">
        <v>6.4470200554512802E-2</v>
      </c>
      <c r="J840" s="19">
        <v>0.15890731228404875</v>
      </c>
    </row>
    <row r="841" spans="1:10" ht="11.25" customHeight="1" x14ac:dyDescent="0.2">
      <c r="A841" s="28">
        <v>44409</v>
      </c>
      <c r="B841" s="18">
        <v>0</v>
      </c>
      <c r="C841" s="18">
        <v>0</v>
      </c>
      <c r="D841" s="18">
        <v>24171.185150000001</v>
      </c>
      <c r="E841" s="18">
        <v>30039.479178115904</v>
      </c>
      <c r="F841" s="18">
        <v>21467.365150000001</v>
      </c>
      <c r="G841" s="18">
        <v>22851.370486597461</v>
      </c>
      <c r="H841" s="19">
        <v>0.24278056668296633</v>
      </c>
      <c r="I841" s="19">
        <v>6.4470200554512802E-2</v>
      </c>
      <c r="J841" s="19">
        <v>0.15890731228404875</v>
      </c>
    </row>
    <row r="842" spans="1:10" ht="11.25" customHeight="1" x14ac:dyDescent="0.2">
      <c r="A842" s="28">
        <v>44440</v>
      </c>
      <c r="B842" s="18">
        <v>0</v>
      </c>
      <c r="C842" s="18">
        <v>0</v>
      </c>
      <c r="D842" s="18">
        <v>25501.83311</v>
      </c>
      <c r="E842" s="18">
        <v>31693.182603900237</v>
      </c>
      <c r="F842" s="18">
        <v>22649.165110000002</v>
      </c>
      <c r="G842" s="18">
        <v>24109.361327033977</v>
      </c>
      <c r="H842" s="19">
        <v>0.24278056668296655</v>
      </c>
      <c r="I842" s="19">
        <v>6.4470200554512802E-2</v>
      </c>
      <c r="J842" s="19">
        <v>0.15890731228404875</v>
      </c>
    </row>
    <row r="843" spans="1:10" ht="11.25" customHeight="1" x14ac:dyDescent="0.2">
      <c r="A843" s="28">
        <v>44470</v>
      </c>
      <c r="B843" s="18">
        <v>0</v>
      </c>
      <c r="C843" s="18">
        <v>0</v>
      </c>
      <c r="D843" s="18">
        <v>29536.58</v>
      </c>
      <c r="E843" s="18">
        <v>36707.487630276781</v>
      </c>
      <c r="F843" s="18">
        <v>26232.579999999998</v>
      </c>
      <c r="G843" s="18">
        <v>27923.799693662306</v>
      </c>
      <c r="H843" s="19">
        <v>0.24278056668296655</v>
      </c>
      <c r="I843" s="19">
        <v>6.4470200554513024E-2</v>
      </c>
      <c r="J843" s="19">
        <v>0.15890731228404875</v>
      </c>
    </row>
    <row r="844" spans="1:10" ht="11.25" customHeight="1" x14ac:dyDescent="0.2">
      <c r="A844" s="28">
        <v>44501</v>
      </c>
      <c r="B844" s="18">
        <v>0</v>
      </c>
      <c r="C844" s="18">
        <v>0</v>
      </c>
      <c r="D844" s="18">
        <v>29580.384249999999</v>
      </c>
      <c r="E844" s="18">
        <v>36761.926700914897</v>
      </c>
      <c r="F844" s="18">
        <v>26271.484250000001</v>
      </c>
      <c r="G844" s="18">
        <v>27965.212108462227</v>
      </c>
      <c r="H844" s="19">
        <v>0.24278056668296655</v>
      </c>
      <c r="I844" s="19">
        <v>6.4470200554512802E-2</v>
      </c>
      <c r="J844" s="19">
        <v>0.15890731228404875</v>
      </c>
    </row>
    <row r="845" spans="1:10" ht="11.25" customHeight="1" x14ac:dyDescent="0.2">
      <c r="A845" s="28">
        <v>44531</v>
      </c>
      <c r="B845" s="18">
        <v>0</v>
      </c>
      <c r="C845" s="18">
        <v>0</v>
      </c>
      <c r="D845" s="18">
        <v>31795.627750000003</v>
      </c>
      <c r="E845" s="18">
        <v>39514.988273185656</v>
      </c>
      <c r="F845" s="18">
        <v>28238.927750000003</v>
      </c>
      <c r="G845" s="18">
        <v>30059.497085486899</v>
      </c>
      <c r="H845" s="19">
        <v>0.24278056668296633</v>
      </c>
      <c r="I845" s="19">
        <v>6.4470200554512802E-2</v>
      </c>
      <c r="J845" s="19">
        <v>0.15890731228404853</v>
      </c>
    </row>
    <row r="846" spans="1:10" ht="11.25" customHeight="1" x14ac:dyDescent="0.2">
      <c r="A846" s="28">
        <v>44562</v>
      </c>
      <c r="B846" s="18">
        <v>0</v>
      </c>
      <c r="C846" s="18">
        <v>0</v>
      </c>
      <c r="D846" s="18">
        <v>31300.514569999999</v>
      </c>
      <c r="E846" s="18">
        <v>38899.67123477305</v>
      </c>
      <c r="F846" s="18">
        <v>27799.19857</v>
      </c>
      <c r="G846" s="18">
        <v>29591.418477062623</v>
      </c>
      <c r="H846" s="19">
        <v>0.24278056668296655</v>
      </c>
      <c r="I846" s="19">
        <v>6.4470200554512802E-2</v>
      </c>
      <c r="J846" s="19">
        <v>0.15890731228404853</v>
      </c>
    </row>
    <row r="847" spans="1:10" ht="11.25" customHeight="1" x14ac:dyDescent="0.2">
      <c r="A847" s="28">
        <v>44593</v>
      </c>
      <c r="B847" s="18">
        <v>0</v>
      </c>
      <c r="C847" s="18">
        <v>0</v>
      </c>
      <c r="D847" s="18">
        <v>29167.122439999999</v>
      </c>
      <c r="E847" s="18">
        <v>36248.332954494668</v>
      </c>
      <c r="F847" s="18">
        <v>25904.450440000001</v>
      </c>
      <c r="G847" s="18">
        <v>27574.515555121241</v>
      </c>
      <c r="H847" s="19">
        <v>0.24278056668296655</v>
      </c>
      <c r="I847" s="19">
        <v>6.4470200554513024E-2</v>
      </c>
      <c r="J847" s="19">
        <v>0.15890731228404875</v>
      </c>
    </row>
    <row r="848" spans="1:10" ht="11.25" customHeight="1" x14ac:dyDescent="0.2">
      <c r="A848" s="28">
        <v>44621</v>
      </c>
      <c r="B848" s="18">
        <v>0</v>
      </c>
      <c r="C848" s="18">
        <v>0</v>
      </c>
      <c r="D848" s="18">
        <v>29167.122439999999</v>
      </c>
      <c r="E848" s="18">
        <v>36248.332954494668</v>
      </c>
      <c r="F848" s="18">
        <v>25904.450440000001</v>
      </c>
      <c r="G848" s="18">
        <v>27574.515555121241</v>
      </c>
      <c r="H848" s="19">
        <v>0.24278056668296655</v>
      </c>
      <c r="I848" s="19">
        <v>6.4470200554513024E-2</v>
      </c>
      <c r="J848" s="19">
        <v>0.15890731228404875</v>
      </c>
    </row>
    <row r="849" spans="1:10" ht="11.25" customHeight="1" x14ac:dyDescent="0.2">
      <c r="A849" s="27" t="s">
        <v>36</v>
      </c>
      <c r="B849" s="18">
        <v>0</v>
      </c>
      <c r="C849" s="18">
        <v>0</v>
      </c>
      <c r="D849" s="18">
        <v>41407.269420000011</v>
      </c>
      <c r="E849" s="18">
        <v>51125.543178736923</v>
      </c>
      <c r="F849" s="18">
        <v>15178.65987</v>
      </c>
      <c r="G849" s="18">
        <v>16157.231115967636</v>
      </c>
      <c r="H849" s="19">
        <v>0.23469970116027317</v>
      </c>
      <c r="I849" s="19">
        <v>6.4470200554512802E-2</v>
      </c>
      <c r="J849" s="19">
        <v>0.1890371889075777</v>
      </c>
    </row>
    <row r="850" spans="1:10" ht="11.25" customHeight="1" x14ac:dyDescent="0.2">
      <c r="A850" s="28">
        <v>44287</v>
      </c>
      <c r="B850" s="18">
        <v>0</v>
      </c>
      <c r="C850" s="18">
        <v>0</v>
      </c>
      <c r="D850" s="18">
        <v>3086.8814000000002</v>
      </c>
      <c r="E850" s="18">
        <v>3811.3715420972067</v>
      </c>
      <c r="F850" s="18">
        <v>1131.5579</v>
      </c>
      <c r="G850" s="18">
        <v>1204.5096647520434</v>
      </c>
      <c r="H850" s="19">
        <v>0.23469970116027339</v>
      </c>
      <c r="I850" s="19">
        <v>6.4470200554512802E-2</v>
      </c>
      <c r="J850" s="19">
        <v>0.1890371889075777</v>
      </c>
    </row>
    <row r="851" spans="1:10" ht="11.25" customHeight="1" x14ac:dyDescent="0.2">
      <c r="A851" s="28">
        <v>44317</v>
      </c>
      <c r="B851" s="18">
        <v>0</v>
      </c>
      <c r="C851" s="18">
        <v>0</v>
      </c>
      <c r="D851" s="18">
        <v>3000.1576200000004</v>
      </c>
      <c r="E851" s="18">
        <v>3704.2937168477174</v>
      </c>
      <c r="F851" s="18">
        <v>1099.76757</v>
      </c>
      <c r="G851" s="18">
        <v>1170.6698058012494</v>
      </c>
      <c r="H851" s="19">
        <v>0.23469970116027339</v>
      </c>
      <c r="I851" s="19">
        <v>6.4470200554513024E-2</v>
      </c>
      <c r="J851" s="19">
        <v>0.1890371889075777</v>
      </c>
    </row>
    <row r="852" spans="1:10" ht="11.25" customHeight="1" x14ac:dyDescent="0.2">
      <c r="A852" s="28">
        <v>44348</v>
      </c>
      <c r="B852" s="18">
        <v>0</v>
      </c>
      <c r="C852" s="18">
        <v>0</v>
      </c>
      <c r="D852" s="18">
        <v>2851.57492</v>
      </c>
      <c r="E852" s="18">
        <v>3520.8387015601306</v>
      </c>
      <c r="F852" s="18">
        <v>1045.30162</v>
      </c>
      <c r="G852" s="18">
        <v>1112.6924250813572</v>
      </c>
      <c r="H852" s="19">
        <v>0.23469970116027339</v>
      </c>
      <c r="I852" s="19">
        <v>6.4470200554513024E-2</v>
      </c>
      <c r="J852" s="19">
        <v>0.1890371889075777</v>
      </c>
    </row>
    <row r="853" spans="1:10" ht="11.25" customHeight="1" x14ac:dyDescent="0.2">
      <c r="A853" s="28">
        <v>44378</v>
      </c>
      <c r="B853" s="18">
        <v>0</v>
      </c>
      <c r="C853" s="18">
        <v>0</v>
      </c>
      <c r="D853" s="18">
        <v>3095.9783000000002</v>
      </c>
      <c r="E853" s="18">
        <v>3822.6034818086919</v>
      </c>
      <c r="F853" s="18">
        <v>1134.89255</v>
      </c>
      <c r="G853" s="18">
        <v>1208.0593003063227</v>
      </c>
      <c r="H853" s="19">
        <v>0.23469970116027361</v>
      </c>
      <c r="I853" s="19">
        <v>6.4470200554513024E-2</v>
      </c>
      <c r="J853" s="19">
        <v>0.1890371889075777</v>
      </c>
    </row>
    <row r="854" spans="1:10" ht="11.25" customHeight="1" x14ac:dyDescent="0.2">
      <c r="A854" s="28">
        <v>44409</v>
      </c>
      <c r="B854" s="18">
        <v>0</v>
      </c>
      <c r="C854" s="18">
        <v>0</v>
      </c>
      <c r="D854" s="18">
        <v>3231.2188800000004</v>
      </c>
      <c r="E854" s="18">
        <v>3989.5849855194338</v>
      </c>
      <c r="F854" s="18">
        <v>1184.46768</v>
      </c>
      <c r="G854" s="18">
        <v>1260.8305488799385</v>
      </c>
      <c r="H854" s="19">
        <v>0.23469970116027339</v>
      </c>
      <c r="I854" s="19">
        <v>6.4470200554512802E-2</v>
      </c>
      <c r="J854" s="19">
        <v>0.1890371889075777</v>
      </c>
    </row>
    <row r="855" spans="1:10" ht="11.25" customHeight="1" x14ac:dyDescent="0.2">
      <c r="A855" s="28">
        <v>44440</v>
      </c>
      <c r="B855" s="18">
        <v>0</v>
      </c>
      <c r="C855" s="18">
        <v>0</v>
      </c>
      <c r="D855" s="18">
        <v>3264.5741800000001</v>
      </c>
      <c r="E855" s="18">
        <v>4030.7687644615448</v>
      </c>
      <c r="F855" s="18">
        <v>1196.6947299999999</v>
      </c>
      <c r="G855" s="18">
        <v>1273.8458792456286</v>
      </c>
      <c r="H855" s="19">
        <v>0.23469970116027339</v>
      </c>
      <c r="I855" s="19">
        <v>6.4470200554512802E-2</v>
      </c>
      <c r="J855" s="19">
        <v>0.1890371889075777</v>
      </c>
    </row>
    <row r="856" spans="1:10" ht="11.25" customHeight="1" x14ac:dyDescent="0.2">
      <c r="A856" s="28">
        <v>44470</v>
      </c>
      <c r="B856" s="18">
        <v>0</v>
      </c>
      <c r="C856" s="18">
        <v>0</v>
      </c>
      <c r="D856" s="18">
        <v>3805.5365000000002</v>
      </c>
      <c r="E856" s="18">
        <v>4698.6947793045128</v>
      </c>
      <c r="F856" s="18">
        <v>1394.9952499999999</v>
      </c>
      <c r="G856" s="18">
        <v>1484.9308735400928</v>
      </c>
      <c r="H856" s="19">
        <v>0.23469970116027339</v>
      </c>
      <c r="I856" s="19">
        <v>6.4470200554512802E-2</v>
      </c>
      <c r="J856" s="19">
        <v>0.1890371889075777</v>
      </c>
    </row>
    <row r="857" spans="1:10" ht="11.25" customHeight="1" x14ac:dyDescent="0.2">
      <c r="A857" s="28">
        <v>44501</v>
      </c>
      <c r="B857" s="18">
        <v>0</v>
      </c>
      <c r="C857" s="18">
        <v>0</v>
      </c>
      <c r="D857" s="18">
        <v>3590.8496600000003</v>
      </c>
      <c r="E857" s="18">
        <v>4433.6210021134702</v>
      </c>
      <c r="F857" s="18">
        <v>1316.2975100000001</v>
      </c>
      <c r="G857" s="18">
        <v>1401.1594744591059</v>
      </c>
      <c r="H857" s="19">
        <v>0.23469970116027361</v>
      </c>
      <c r="I857" s="19">
        <v>6.4470200554512802E-2</v>
      </c>
      <c r="J857" s="19">
        <v>0.1890371889075777</v>
      </c>
    </row>
    <row r="858" spans="1:10" ht="11.25" customHeight="1" x14ac:dyDescent="0.2">
      <c r="A858" s="28">
        <v>44531</v>
      </c>
      <c r="B858" s="18">
        <v>0</v>
      </c>
      <c r="C858" s="18">
        <v>0</v>
      </c>
      <c r="D858" s="18">
        <v>3970.4936200000002</v>
      </c>
      <c r="E858" s="18">
        <v>4902.367286072772</v>
      </c>
      <c r="F858" s="18">
        <v>1455.4635699999999</v>
      </c>
      <c r="G858" s="18">
        <v>1549.2975982576872</v>
      </c>
      <c r="H858" s="19">
        <v>0.23469970116027339</v>
      </c>
      <c r="I858" s="19">
        <v>6.4470200554513024E-2</v>
      </c>
      <c r="J858" s="19">
        <v>0.1890371889075777</v>
      </c>
    </row>
    <row r="859" spans="1:10" ht="11.25" customHeight="1" x14ac:dyDescent="0.2">
      <c r="A859" s="28">
        <v>44562</v>
      </c>
      <c r="B859" s="18">
        <v>0</v>
      </c>
      <c r="C859" s="18">
        <v>0</v>
      </c>
      <c r="D859" s="18">
        <v>3783.7039400000003</v>
      </c>
      <c r="E859" s="18">
        <v>4671.7381239969491</v>
      </c>
      <c r="F859" s="18">
        <v>1386.99209</v>
      </c>
      <c r="G859" s="18">
        <v>1476.4117482098229</v>
      </c>
      <c r="H859" s="19">
        <v>0.23469970116027339</v>
      </c>
      <c r="I859" s="19">
        <v>6.4470200554512802E-2</v>
      </c>
      <c r="J859" s="19">
        <v>0.1890371889075777</v>
      </c>
    </row>
    <row r="860" spans="1:10" ht="11.25" customHeight="1" x14ac:dyDescent="0.2">
      <c r="A860" s="28">
        <v>44593</v>
      </c>
      <c r="B860" s="18">
        <v>0</v>
      </c>
      <c r="C860" s="18">
        <v>0</v>
      </c>
      <c r="D860" s="18">
        <v>3863.1502000000005</v>
      </c>
      <c r="E860" s="18">
        <v>4769.8303974772507</v>
      </c>
      <c r="F860" s="18">
        <v>1416.1147000000001</v>
      </c>
      <c r="G860" s="18">
        <v>1507.4118987171939</v>
      </c>
      <c r="H860" s="19">
        <v>0.23469970116027339</v>
      </c>
      <c r="I860" s="19">
        <v>6.4470200554512802E-2</v>
      </c>
      <c r="J860" s="19">
        <v>0.1890371889075777</v>
      </c>
    </row>
    <row r="861" spans="1:10" ht="11.25" customHeight="1" x14ac:dyDescent="0.2">
      <c r="A861" s="28">
        <v>44621</v>
      </c>
      <c r="B861" s="18">
        <v>0</v>
      </c>
      <c r="C861" s="18">
        <v>0</v>
      </c>
      <c r="D861" s="18">
        <v>3863.1502000000005</v>
      </c>
      <c r="E861" s="18">
        <v>4769.8303974772507</v>
      </c>
      <c r="F861" s="18">
        <v>1416.1147000000001</v>
      </c>
      <c r="G861" s="18">
        <v>1507.4118987171939</v>
      </c>
      <c r="H861" s="19">
        <v>0.23469970116027339</v>
      </c>
      <c r="I861" s="19">
        <v>6.4470200554512802E-2</v>
      </c>
      <c r="J861" s="19">
        <v>0.1890371889075777</v>
      </c>
    </row>
    <row r="862" spans="1:10" ht="11.25" customHeight="1" x14ac:dyDescent="0.2">
      <c r="A862" s="27" t="s">
        <v>34</v>
      </c>
      <c r="B862" s="18">
        <v>0</v>
      </c>
      <c r="C862" s="18">
        <v>0</v>
      </c>
      <c r="D862" s="18">
        <v>96990.658380000008</v>
      </c>
      <c r="E862" s="18">
        <v>119550.53154936736</v>
      </c>
      <c r="F862" s="18">
        <v>36827.048999999999</v>
      </c>
      <c r="G862" s="18">
        <v>38565.553190690669</v>
      </c>
      <c r="H862" s="19">
        <v>0.23259841252937896</v>
      </c>
      <c r="I862" s="19">
        <v>4.7207263082379214E-2</v>
      </c>
      <c r="J862" s="19">
        <v>0.18157819197319136</v>
      </c>
    </row>
    <row r="863" spans="1:10" ht="11.25" customHeight="1" x14ac:dyDescent="0.2">
      <c r="A863" s="28">
        <v>44287</v>
      </c>
      <c r="B863" s="18">
        <v>0</v>
      </c>
      <c r="C863" s="18">
        <v>0</v>
      </c>
      <c r="D863" s="18">
        <v>6859.5588600000001</v>
      </c>
      <c r="E863" s="18">
        <v>8455.0813614878389</v>
      </c>
      <c r="F863" s="18">
        <v>2604.5530000000003</v>
      </c>
      <c r="G863" s="18">
        <v>2727.5068186829999</v>
      </c>
      <c r="H863" s="19">
        <v>0.23259841252937941</v>
      </c>
      <c r="I863" s="19">
        <v>4.7207263082378992E-2</v>
      </c>
      <c r="J863" s="19">
        <v>0.18157819197319136</v>
      </c>
    </row>
    <row r="864" spans="1:10" ht="11.25" customHeight="1" x14ac:dyDescent="0.2">
      <c r="A864" s="28">
        <v>44317</v>
      </c>
      <c r="B864" s="18">
        <v>0</v>
      </c>
      <c r="C864" s="18">
        <v>0</v>
      </c>
      <c r="D864" s="18">
        <v>6663.18642</v>
      </c>
      <c r="E864" s="18">
        <v>8213.0330036793184</v>
      </c>
      <c r="F864" s="18">
        <v>2529.991</v>
      </c>
      <c r="G864" s="18">
        <v>2649.4249507330514</v>
      </c>
      <c r="H864" s="19">
        <v>0.23259841252937941</v>
      </c>
      <c r="I864" s="19">
        <v>4.7207263082379214E-2</v>
      </c>
      <c r="J864" s="19">
        <v>0.18157819197319158</v>
      </c>
    </row>
    <row r="865" spans="1:10" ht="11.25" customHeight="1" x14ac:dyDescent="0.2">
      <c r="A865" s="28">
        <v>44348</v>
      </c>
      <c r="B865" s="18">
        <v>0</v>
      </c>
      <c r="C865" s="18">
        <v>0</v>
      </c>
      <c r="D865" s="18">
        <v>6917.3154599999998</v>
      </c>
      <c r="E865" s="18">
        <v>8526.272054960933</v>
      </c>
      <c r="F865" s="18">
        <v>2626.4830000000002</v>
      </c>
      <c r="G865" s="18">
        <v>2750.4720739623963</v>
      </c>
      <c r="H865" s="19">
        <v>0.23259841252937941</v>
      </c>
      <c r="I865" s="19">
        <v>4.7207263082378992E-2</v>
      </c>
      <c r="J865" s="19">
        <v>0.18157819197319136</v>
      </c>
    </row>
    <row r="866" spans="1:10" ht="11.25" customHeight="1" x14ac:dyDescent="0.2">
      <c r="A866" s="28">
        <v>44378</v>
      </c>
      <c r="B866" s="18">
        <v>0</v>
      </c>
      <c r="C866" s="18">
        <v>0</v>
      </c>
      <c r="D866" s="18">
        <v>7540.1241300000002</v>
      </c>
      <c r="E866" s="18">
        <v>9293.9450329124684</v>
      </c>
      <c r="F866" s="18">
        <v>2862.9614999999999</v>
      </c>
      <c r="G866" s="18">
        <v>2998.1140767252232</v>
      </c>
      <c r="H866" s="19">
        <v>0.23259841252937941</v>
      </c>
      <c r="I866" s="19">
        <v>4.7207263082379214E-2</v>
      </c>
      <c r="J866" s="19">
        <v>0.1815781919731918</v>
      </c>
    </row>
    <row r="867" spans="1:10" ht="11.25" customHeight="1" x14ac:dyDescent="0.2">
      <c r="A867" s="28">
        <v>44409</v>
      </c>
      <c r="B867" s="18">
        <v>0</v>
      </c>
      <c r="C867" s="18">
        <v>0</v>
      </c>
      <c r="D867" s="18">
        <v>8215.8763500000005</v>
      </c>
      <c r="E867" s="18">
        <v>10126.876146547671</v>
      </c>
      <c r="F867" s="18">
        <v>3119.5425</v>
      </c>
      <c r="G867" s="18">
        <v>3266.8075634941629</v>
      </c>
      <c r="H867" s="19">
        <v>0.23259841252937918</v>
      </c>
      <c r="I867" s="19">
        <v>4.7207263082379214E-2</v>
      </c>
      <c r="J867" s="19">
        <v>0.18157819197319158</v>
      </c>
    </row>
    <row r="868" spans="1:10" ht="11.25" customHeight="1" x14ac:dyDescent="0.2">
      <c r="A868" s="28">
        <v>44440</v>
      </c>
      <c r="B868" s="18">
        <v>0</v>
      </c>
      <c r="C868" s="18">
        <v>0</v>
      </c>
      <c r="D868" s="18">
        <v>8577.8177099999994</v>
      </c>
      <c r="E868" s="18">
        <v>10573.004492312395</v>
      </c>
      <c r="F868" s="18">
        <v>3256.9704999999999</v>
      </c>
      <c r="G868" s="18">
        <v>3410.723163245048</v>
      </c>
      <c r="H868" s="19">
        <v>0.23259841252937941</v>
      </c>
      <c r="I868" s="19">
        <v>4.7207263082379214E-2</v>
      </c>
      <c r="J868" s="19">
        <v>0.18157819197319158</v>
      </c>
    </row>
    <row r="869" spans="1:10" ht="11.25" customHeight="1" x14ac:dyDescent="0.2">
      <c r="A869" s="28">
        <v>44470</v>
      </c>
      <c r="B869" s="18">
        <v>0</v>
      </c>
      <c r="C869" s="18">
        <v>0</v>
      </c>
      <c r="D869" s="18">
        <v>9420.1014599999999</v>
      </c>
      <c r="E869" s="18">
        <v>11611.202105461689</v>
      </c>
      <c r="F869" s="18">
        <v>3576.7829999999999</v>
      </c>
      <c r="G869" s="18">
        <v>3745.6331360695813</v>
      </c>
      <c r="H869" s="19">
        <v>0.23259841252937941</v>
      </c>
      <c r="I869" s="19">
        <v>4.7207263082379214E-2</v>
      </c>
      <c r="J869" s="19">
        <v>0.18157819197319158</v>
      </c>
    </row>
    <row r="870" spans="1:10" ht="11.25" customHeight="1" x14ac:dyDescent="0.2">
      <c r="A870" s="28">
        <v>44501</v>
      </c>
      <c r="B870" s="18">
        <v>0</v>
      </c>
      <c r="C870" s="18">
        <v>0</v>
      </c>
      <c r="D870" s="18">
        <v>7934.7942300000004</v>
      </c>
      <c r="E870" s="18">
        <v>9780.414771645279</v>
      </c>
      <c r="F870" s="18">
        <v>3012.8164999999999</v>
      </c>
      <c r="G870" s="18">
        <v>3155.043321134433</v>
      </c>
      <c r="H870" s="19">
        <v>0.23259841252937918</v>
      </c>
      <c r="I870" s="19">
        <v>4.7207263082379214E-2</v>
      </c>
      <c r="J870" s="19">
        <v>0.18157819197319158</v>
      </c>
    </row>
    <row r="871" spans="1:10" ht="11.25" customHeight="1" x14ac:dyDescent="0.2">
      <c r="A871" s="28">
        <v>44531</v>
      </c>
      <c r="B871" s="18">
        <v>0</v>
      </c>
      <c r="C871" s="18">
        <v>0</v>
      </c>
      <c r="D871" s="18">
        <v>8749.1622900000002</v>
      </c>
      <c r="E871" s="18">
        <v>10784.20354961591</v>
      </c>
      <c r="F871" s="18">
        <v>3322.0295000000001</v>
      </c>
      <c r="G871" s="18">
        <v>3478.8534205739247</v>
      </c>
      <c r="H871" s="19">
        <v>0.23259841252937941</v>
      </c>
      <c r="I871" s="19">
        <v>4.7207263082379214E-2</v>
      </c>
      <c r="J871" s="19">
        <v>0.18157819197319158</v>
      </c>
    </row>
    <row r="872" spans="1:10" ht="11.25" customHeight="1" x14ac:dyDescent="0.2">
      <c r="A872" s="28">
        <v>44562</v>
      </c>
      <c r="B872" s="18">
        <v>0</v>
      </c>
      <c r="C872" s="18">
        <v>0</v>
      </c>
      <c r="D872" s="18">
        <v>9257.4203699999998</v>
      </c>
      <c r="E872" s="18">
        <v>11410.681652179141</v>
      </c>
      <c r="F872" s="18">
        <v>3515.0134999999996</v>
      </c>
      <c r="G872" s="18">
        <v>3680.9476670326144</v>
      </c>
      <c r="H872" s="19">
        <v>0.23259841252937941</v>
      </c>
      <c r="I872" s="19">
        <v>4.7207263082379214E-2</v>
      </c>
      <c r="J872" s="19">
        <v>0.1815781919731918</v>
      </c>
    </row>
    <row r="873" spans="1:10" ht="11.25" customHeight="1" x14ac:dyDescent="0.2">
      <c r="A873" s="28">
        <v>44593</v>
      </c>
      <c r="B873" s="18">
        <v>0</v>
      </c>
      <c r="C873" s="18">
        <v>0</v>
      </c>
      <c r="D873" s="18">
        <v>8427.6505500000003</v>
      </c>
      <c r="E873" s="18">
        <v>10387.908689282352</v>
      </c>
      <c r="F873" s="18">
        <v>3199.9525000000003</v>
      </c>
      <c r="G873" s="18">
        <v>3351.0134995186172</v>
      </c>
      <c r="H873" s="19">
        <v>0.23259841252937941</v>
      </c>
      <c r="I873" s="19">
        <v>4.7207263082379214E-2</v>
      </c>
      <c r="J873" s="19">
        <v>0.18157819197319158</v>
      </c>
    </row>
    <row r="874" spans="1:10" ht="11.25" customHeight="1" x14ac:dyDescent="0.2">
      <c r="A874" s="28">
        <v>44621</v>
      </c>
      <c r="B874" s="18">
        <v>0</v>
      </c>
      <c r="C874" s="18">
        <v>0</v>
      </c>
      <c r="D874" s="18">
        <v>8427.6505500000003</v>
      </c>
      <c r="E874" s="18">
        <v>10387.908689282352</v>
      </c>
      <c r="F874" s="18">
        <v>3199.9525000000003</v>
      </c>
      <c r="G874" s="18">
        <v>3351.0134995186172</v>
      </c>
      <c r="H874" s="19">
        <v>0.23259841252937941</v>
      </c>
      <c r="I874" s="19">
        <v>4.7207263082379214E-2</v>
      </c>
      <c r="J874" s="19">
        <v>0.18157819197319158</v>
      </c>
    </row>
    <row r="875" spans="1:10" ht="11.25" customHeight="1" x14ac:dyDescent="0.2">
      <c r="A875" s="23" t="s">
        <v>38</v>
      </c>
      <c r="B875" s="18">
        <v>0</v>
      </c>
      <c r="C875" s="18">
        <v>0</v>
      </c>
      <c r="D875" s="18">
        <v>28794.035</v>
      </c>
      <c r="E875" s="18">
        <v>35751.038382050225</v>
      </c>
      <c r="F875" s="18">
        <v>23584.997759999991</v>
      </c>
      <c r="G875" s="18">
        <v>25097.48886061984</v>
      </c>
      <c r="H875" s="19">
        <v>0.24161265977658997</v>
      </c>
      <c r="I875" s="19">
        <v>6.4129372239543958E-2</v>
      </c>
      <c r="J875" s="19">
        <v>0.16169627494797756</v>
      </c>
    </row>
    <row r="876" spans="1:10" ht="11.25" customHeight="1" x14ac:dyDescent="0.2">
      <c r="A876" s="24" t="s">
        <v>25</v>
      </c>
      <c r="B876" s="18">
        <v>0</v>
      </c>
      <c r="C876" s="18">
        <v>0</v>
      </c>
      <c r="D876" s="18">
        <v>28794.035</v>
      </c>
      <c r="E876" s="18">
        <v>35751.038382050225</v>
      </c>
      <c r="F876" s="18">
        <v>23584.997759999991</v>
      </c>
      <c r="G876" s="18">
        <v>25097.48886061984</v>
      </c>
      <c r="H876" s="19">
        <v>0.24161265977658997</v>
      </c>
      <c r="I876" s="19">
        <v>6.4129372239543958E-2</v>
      </c>
      <c r="J876" s="19">
        <v>0.16169627494797756</v>
      </c>
    </row>
    <row r="877" spans="1:10" ht="11.25" customHeight="1" x14ac:dyDescent="0.2">
      <c r="A877" s="25" t="s">
        <v>25</v>
      </c>
      <c r="B877" s="18">
        <v>0</v>
      </c>
      <c r="C877" s="18">
        <v>0</v>
      </c>
      <c r="D877" s="18">
        <v>28794.035</v>
      </c>
      <c r="E877" s="18">
        <v>35751.038382050225</v>
      </c>
      <c r="F877" s="18">
        <v>23584.997759999991</v>
      </c>
      <c r="G877" s="18">
        <v>25097.48886061984</v>
      </c>
      <c r="H877" s="19">
        <v>0.24161265977658997</v>
      </c>
      <c r="I877" s="19">
        <v>6.4129372239543958E-2</v>
      </c>
      <c r="J877" s="19">
        <v>0.16169627494797756</v>
      </c>
    </row>
    <row r="878" spans="1:10" ht="11.25" customHeight="1" x14ac:dyDescent="0.2">
      <c r="A878" s="26" t="s">
        <v>25</v>
      </c>
      <c r="B878" s="18">
        <v>0</v>
      </c>
      <c r="C878" s="18">
        <v>0</v>
      </c>
      <c r="D878" s="18">
        <v>28794.035</v>
      </c>
      <c r="E878" s="18">
        <v>35751.038382050225</v>
      </c>
      <c r="F878" s="18">
        <v>23584.997759999991</v>
      </c>
      <c r="G878" s="18">
        <v>25097.48886061984</v>
      </c>
      <c r="H878" s="19">
        <v>0.24161265977658997</v>
      </c>
      <c r="I878" s="19">
        <v>6.4129372239543958E-2</v>
      </c>
      <c r="J878" s="19">
        <v>0.16169627494797756</v>
      </c>
    </row>
    <row r="879" spans="1:10" ht="11.25" customHeight="1" x14ac:dyDescent="0.2">
      <c r="A879" s="27" t="s">
        <v>35</v>
      </c>
      <c r="B879" s="18">
        <v>0</v>
      </c>
      <c r="C879" s="18">
        <v>0</v>
      </c>
      <c r="D879" s="18">
        <v>24951.401419999998</v>
      </c>
      <c r="E879" s="18">
        <v>31009.116796281774</v>
      </c>
      <c r="F879" s="18">
        <v>22160.305419999997</v>
      </c>
      <c r="G879" s="18">
        <v>23588.984754776655</v>
      </c>
      <c r="H879" s="19">
        <v>0.24278056668296655</v>
      </c>
      <c r="I879" s="19">
        <v>6.4470200554512802E-2</v>
      </c>
      <c r="J879" s="19">
        <v>0.15890731228404853</v>
      </c>
    </row>
    <row r="880" spans="1:10" ht="11.25" customHeight="1" x14ac:dyDescent="0.2">
      <c r="A880" s="28">
        <v>44287</v>
      </c>
      <c r="B880" s="18">
        <v>0</v>
      </c>
      <c r="C880" s="18">
        <v>0</v>
      </c>
      <c r="D880" s="18">
        <v>2370.4357</v>
      </c>
      <c r="E880" s="18">
        <v>2945.9314225315347</v>
      </c>
      <c r="F880" s="18">
        <v>2105.2757000000001</v>
      </c>
      <c r="G880" s="18">
        <v>2241.0032466015427</v>
      </c>
      <c r="H880" s="19">
        <v>0.24278056668296655</v>
      </c>
      <c r="I880" s="19">
        <v>6.4470200554513024E-2</v>
      </c>
      <c r="J880" s="19">
        <v>0.15890731228404875</v>
      </c>
    </row>
    <row r="881" spans="1:10" ht="11.25" customHeight="1" x14ac:dyDescent="0.2">
      <c r="A881" s="28">
        <v>44317</v>
      </c>
      <c r="B881" s="18">
        <v>0</v>
      </c>
      <c r="C881" s="18">
        <v>0</v>
      </c>
      <c r="D881" s="18">
        <v>2334.3910599999999</v>
      </c>
      <c r="E881" s="18">
        <v>2901.1358444064508</v>
      </c>
      <c r="F881" s="18">
        <v>2073.2630600000002</v>
      </c>
      <c r="G881" s="18">
        <v>2206.9267452804634</v>
      </c>
      <c r="H881" s="19">
        <v>0.24278056668296655</v>
      </c>
      <c r="I881" s="19">
        <v>6.4470200554512802E-2</v>
      </c>
      <c r="J881" s="19">
        <v>0.15890731228404875</v>
      </c>
    </row>
    <row r="882" spans="1:10" ht="11.25" customHeight="1" x14ac:dyDescent="0.2">
      <c r="A882" s="28">
        <v>44348</v>
      </c>
      <c r="B882" s="18">
        <v>0</v>
      </c>
      <c r="C882" s="18">
        <v>0</v>
      </c>
      <c r="D882" s="18">
        <v>2333.8904400000001</v>
      </c>
      <c r="E882" s="18">
        <v>2900.513683599158</v>
      </c>
      <c r="F882" s="18">
        <v>2072.81844</v>
      </c>
      <c r="G882" s="18">
        <v>2206.4534605398926</v>
      </c>
      <c r="H882" s="19">
        <v>0.24278056668296633</v>
      </c>
      <c r="I882" s="19">
        <v>6.4470200554513024E-2</v>
      </c>
      <c r="J882" s="19">
        <v>0.15890731228404875</v>
      </c>
    </row>
    <row r="883" spans="1:10" ht="11.25" customHeight="1" x14ac:dyDescent="0.2">
      <c r="A883" s="28">
        <v>44378</v>
      </c>
      <c r="B883" s="18">
        <v>0</v>
      </c>
      <c r="C883" s="18">
        <v>0</v>
      </c>
      <c r="D883" s="18">
        <v>177.97040999999999</v>
      </c>
      <c r="E883" s="18">
        <v>221.17816699259987</v>
      </c>
      <c r="F883" s="18">
        <v>158.06241</v>
      </c>
      <c r="G883" s="18">
        <v>168.25272527282962</v>
      </c>
      <c r="H883" s="19">
        <v>0.24278056668296655</v>
      </c>
      <c r="I883" s="19">
        <v>6.4470200554512802E-2</v>
      </c>
      <c r="J883" s="19">
        <v>0.15890731228404853</v>
      </c>
    </row>
    <row r="884" spans="1:10" ht="11.25" customHeight="1" x14ac:dyDescent="0.2">
      <c r="A884" s="28">
        <v>44409</v>
      </c>
      <c r="B884" s="18">
        <v>0</v>
      </c>
      <c r="C884" s="18">
        <v>0</v>
      </c>
      <c r="D884" s="18">
        <v>168.20832000000001</v>
      </c>
      <c r="E884" s="18">
        <v>209.04603125038977</v>
      </c>
      <c r="F884" s="18">
        <v>149.39232000000001</v>
      </c>
      <c r="G884" s="18">
        <v>159.02367283170398</v>
      </c>
      <c r="H884" s="19">
        <v>0.24278056668296633</v>
      </c>
      <c r="I884" s="19">
        <v>6.4470200554512802E-2</v>
      </c>
      <c r="J884" s="19">
        <v>0.15890731228404875</v>
      </c>
    </row>
    <row r="885" spans="1:10" ht="11.25" customHeight="1" x14ac:dyDescent="0.2">
      <c r="A885" s="28">
        <v>44440</v>
      </c>
      <c r="B885" s="18">
        <v>0</v>
      </c>
      <c r="C885" s="18">
        <v>0</v>
      </c>
      <c r="D885" s="18">
        <v>1920.8789400000001</v>
      </c>
      <c r="E885" s="18">
        <v>2387.231017582576</v>
      </c>
      <c r="F885" s="18">
        <v>1706.0069400000002</v>
      </c>
      <c r="G885" s="18">
        <v>1815.9935495691909</v>
      </c>
      <c r="H885" s="19">
        <v>0.24278056668296655</v>
      </c>
      <c r="I885" s="19">
        <v>6.4470200554512802E-2</v>
      </c>
      <c r="J885" s="19">
        <v>0.15890731228404853</v>
      </c>
    </row>
    <row r="886" spans="1:10" ht="11.25" customHeight="1" x14ac:dyDescent="0.2">
      <c r="A886" s="28">
        <v>44470</v>
      </c>
      <c r="B886" s="18">
        <v>0</v>
      </c>
      <c r="C886" s="18">
        <v>0</v>
      </c>
      <c r="D886" s="18">
        <v>1208.4966800000002</v>
      </c>
      <c r="E886" s="18">
        <v>1501.8961888048836</v>
      </c>
      <c r="F886" s="18">
        <v>1073.31268</v>
      </c>
      <c r="G886" s="18">
        <v>1142.5093637373018</v>
      </c>
      <c r="H886" s="19">
        <v>0.24278056668296633</v>
      </c>
      <c r="I886" s="19">
        <v>6.4470200554513024E-2</v>
      </c>
      <c r="J886" s="19">
        <v>0.15890731228404875</v>
      </c>
    </row>
    <row r="887" spans="1:10" ht="11.25" customHeight="1" x14ac:dyDescent="0.2">
      <c r="A887" s="28">
        <v>44501</v>
      </c>
      <c r="B887" s="18">
        <v>0</v>
      </c>
      <c r="C887" s="18">
        <v>0</v>
      </c>
      <c r="D887" s="18">
        <v>2699.0927299999998</v>
      </c>
      <c r="E887" s="18">
        <v>3354.3799925192748</v>
      </c>
      <c r="F887" s="18">
        <v>2397.1687299999999</v>
      </c>
      <c r="G887" s="18">
        <v>2551.714678786107</v>
      </c>
      <c r="H887" s="19">
        <v>0.24278056668296655</v>
      </c>
      <c r="I887" s="19">
        <v>6.4470200554513024E-2</v>
      </c>
      <c r="J887" s="19">
        <v>0.15890731228404875</v>
      </c>
    </row>
    <row r="888" spans="1:10" ht="11.25" customHeight="1" x14ac:dyDescent="0.2">
      <c r="A888" s="28">
        <v>44531</v>
      </c>
      <c r="B888" s="18">
        <v>0</v>
      </c>
      <c r="C888" s="18">
        <v>0</v>
      </c>
      <c r="D888" s="18">
        <v>2923.6208000000001</v>
      </c>
      <c r="E888" s="18">
        <v>3633.4191145901077</v>
      </c>
      <c r="F888" s="18">
        <v>2596.5808000000002</v>
      </c>
      <c r="G888" s="18">
        <v>2763.9828849319974</v>
      </c>
      <c r="H888" s="19">
        <v>0.24278056668296633</v>
      </c>
      <c r="I888" s="19">
        <v>6.4470200554512802E-2</v>
      </c>
      <c r="J888" s="19">
        <v>0.15890731228404853</v>
      </c>
    </row>
    <row r="889" spans="1:10" ht="11.25" customHeight="1" x14ac:dyDescent="0.2">
      <c r="A889" s="28">
        <v>44562</v>
      </c>
      <c r="B889" s="18">
        <v>0</v>
      </c>
      <c r="C889" s="18">
        <v>0</v>
      </c>
      <c r="D889" s="18">
        <v>2768.92922</v>
      </c>
      <c r="E889" s="18">
        <v>3441.1714251366243</v>
      </c>
      <c r="F889" s="18">
        <v>2459.1932200000001</v>
      </c>
      <c r="G889" s="18">
        <v>2617.737900095698</v>
      </c>
      <c r="H889" s="19">
        <v>0.24278056668296655</v>
      </c>
      <c r="I889" s="19">
        <v>6.4470200554512802E-2</v>
      </c>
      <c r="J889" s="19">
        <v>0.15890731228404853</v>
      </c>
    </row>
    <row r="890" spans="1:10" ht="11.25" customHeight="1" x14ac:dyDescent="0.2">
      <c r="A890" s="28">
        <v>44593</v>
      </c>
      <c r="B890" s="18">
        <v>0</v>
      </c>
      <c r="C890" s="18">
        <v>0</v>
      </c>
      <c r="D890" s="18">
        <v>3022.7435600000003</v>
      </c>
      <c r="E890" s="18">
        <v>3756.6069544340876</v>
      </c>
      <c r="F890" s="18">
        <v>2684.6155600000002</v>
      </c>
      <c r="G890" s="18">
        <v>2857.6932635649659</v>
      </c>
      <c r="H890" s="19">
        <v>0.24278056668296633</v>
      </c>
      <c r="I890" s="19">
        <v>6.4470200554512802E-2</v>
      </c>
      <c r="J890" s="19">
        <v>0.15890731228404853</v>
      </c>
    </row>
    <row r="891" spans="1:10" ht="11.25" customHeight="1" x14ac:dyDescent="0.2">
      <c r="A891" s="28">
        <v>44621</v>
      </c>
      <c r="B891" s="18">
        <v>0</v>
      </c>
      <c r="C891" s="18">
        <v>0</v>
      </c>
      <c r="D891" s="18">
        <v>3022.7435600000003</v>
      </c>
      <c r="E891" s="18">
        <v>3756.6069544340876</v>
      </c>
      <c r="F891" s="18">
        <v>2684.6155600000002</v>
      </c>
      <c r="G891" s="18">
        <v>2857.6932635649659</v>
      </c>
      <c r="H891" s="19">
        <v>0.24278056668296633</v>
      </c>
      <c r="I891" s="19">
        <v>6.4470200554512802E-2</v>
      </c>
      <c r="J891" s="19">
        <v>0.15890731228404853</v>
      </c>
    </row>
    <row r="892" spans="1:10" ht="11.25" customHeight="1" x14ac:dyDescent="0.2">
      <c r="A892" s="27" t="s">
        <v>36</v>
      </c>
      <c r="B892" s="18">
        <v>0</v>
      </c>
      <c r="C892" s="18">
        <v>0</v>
      </c>
      <c r="D892" s="18">
        <v>2616.2684399999998</v>
      </c>
      <c r="E892" s="18">
        <v>3230.3058610230555</v>
      </c>
      <c r="F892" s="18">
        <v>959.04534000000001</v>
      </c>
      <c r="G892" s="18">
        <v>1020.875185410671</v>
      </c>
      <c r="H892" s="19">
        <v>0.23469970116027383</v>
      </c>
      <c r="I892" s="19">
        <v>6.4470200554512802E-2</v>
      </c>
      <c r="J892" s="19">
        <v>0.18903718890757792</v>
      </c>
    </row>
    <row r="893" spans="1:10" ht="11.25" customHeight="1" x14ac:dyDescent="0.2">
      <c r="A893" s="28">
        <v>44287</v>
      </c>
      <c r="B893" s="18">
        <v>0</v>
      </c>
      <c r="C893" s="18">
        <v>0</v>
      </c>
      <c r="D893" s="18">
        <v>268.66178000000002</v>
      </c>
      <c r="E893" s="18">
        <v>331.71661947918716</v>
      </c>
      <c r="F893" s="18">
        <v>98.483329999999995</v>
      </c>
      <c r="G893" s="18">
        <v>104.83257003637628</v>
      </c>
      <c r="H893" s="19">
        <v>0.23469970116027339</v>
      </c>
      <c r="I893" s="19">
        <v>6.4470200554513024E-2</v>
      </c>
      <c r="J893" s="19">
        <v>0.1890371889075777</v>
      </c>
    </row>
    <row r="894" spans="1:10" ht="11.25" customHeight="1" x14ac:dyDescent="0.2">
      <c r="A894" s="28">
        <v>44317</v>
      </c>
      <c r="B894" s="18">
        <v>0</v>
      </c>
      <c r="C894" s="18">
        <v>0</v>
      </c>
      <c r="D894" s="18">
        <v>259.56488000000002</v>
      </c>
      <c r="E894" s="18">
        <v>320.48467976770223</v>
      </c>
      <c r="F894" s="18">
        <v>95.148679999999999</v>
      </c>
      <c r="G894" s="18">
        <v>101.28293448209716</v>
      </c>
      <c r="H894" s="19">
        <v>0.23469970116027339</v>
      </c>
      <c r="I894" s="19">
        <v>6.4470200554512802E-2</v>
      </c>
      <c r="J894" s="19">
        <v>0.1890371889075777</v>
      </c>
    </row>
    <row r="895" spans="1:10" ht="11.25" customHeight="1" x14ac:dyDescent="0.2">
      <c r="A895" s="28">
        <v>44348</v>
      </c>
      <c r="B895" s="18">
        <v>0</v>
      </c>
      <c r="C895" s="18">
        <v>0</v>
      </c>
      <c r="D895" s="18">
        <v>260.17133999999999</v>
      </c>
      <c r="E895" s="18">
        <v>321.23347574846792</v>
      </c>
      <c r="F895" s="18">
        <v>95.370990000000006</v>
      </c>
      <c r="G895" s="18">
        <v>101.51957685238244</v>
      </c>
      <c r="H895" s="19">
        <v>0.23469970116027361</v>
      </c>
      <c r="I895" s="19">
        <v>6.4470200554512802E-2</v>
      </c>
      <c r="J895" s="19">
        <v>0.18903718890757792</v>
      </c>
    </row>
    <row r="896" spans="1:10" ht="11.25" customHeight="1" x14ac:dyDescent="0.2">
      <c r="A896" s="28">
        <v>44378</v>
      </c>
      <c r="B896" s="18">
        <v>0</v>
      </c>
      <c r="C896" s="18">
        <v>0</v>
      </c>
      <c r="D896" s="18">
        <v>46.697420000000001</v>
      </c>
      <c r="E896" s="18">
        <v>57.657290518955776</v>
      </c>
      <c r="F896" s="18">
        <v>17.11787</v>
      </c>
      <c r="G896" s="18">
        <v>18.221462511966077</v>
      </c>
      <c r="H896" s="19">
        <v>0.23469970116027339</v>
      </c>
      <c r="I896" s="19">
        <v>6.4470200554512802E-2</v>
      </c>
      <c r="J896" s="19">
        <v>0.1890371889075777</v>
      </c>
    </row>
    <row r="897" spans="1:10" ht="11.25" customHeight="1" x14ac:dyDescent="0.2">
      <c r="A897" s="28">
        <v>44409</v>
      </c>
      <c r="B897" s="18">
        <v>0</v>
      </c>
      <c r="C897" s="18">
        <v>0</v>
      </c>
      <c r="D897" s="18">
        <v>48.516800000000003</v>
      </c>
      <c r="E897" s="18">
        <v>59.90367846125276</v>
      </c>
      <c r="F897" s="18">
        <v>17.784800000000001</v>
      </c>
      <c r="G897" s="18">
        <v>18.9313896228219</v>
      </c>
      <c r="H897" s="19">
        <v>0.23469970116027339</v>
      </c>
      <c r="I897" s="19">
        <v>6.4470200554512802E-2</v>
      </c>
      <c r="J897" s="19">
        <v>0.1890371889075777</v>
      </c>
    </row>
    <row r="898" spans="1:10" ht="11.25" customHeight="1" x14ac:dyDescent="0.2">
      <c r="A898" s="28">
        <v>44440</v>
      </c>
      <c r="B898" s="18">
        <v>0</v>
      </c>
      <c r="C898" s="18">
        <v>0</v>
      </c>
      <c r="D898" s="18">
        <v>215.29330000000002</v>
      </c>
      <c r="E898" s="18">
        <v>265.8225731718091</v>
      </c>
      <c r="F898" s="18">
        <v>78.920050000000003</v>
      </c>
      <c r="G898" s="18">
        <v>84.008041451272177</v>
      </c>
      <c r="H898" s="19">
        <v>0.23469970116027339</v>
      </c>
      <c r="I898" s="19">
        <v>6.4470200554512802E-2</v>
      </c>
      <c r="J898" s="19">
        <v>0.1890371889075777</v>
      </c>
    </row>
    <row r="899" spans="1:10" ht="11.25" customHeight="1" x14ac:dyDescent="0.2">
      <c r="A899" s="28">
        <v>44470</v>
      </c>
      <c r="B899" s="18">
        <v>0</v>
      </c>
      <c r="C899" s="18">
        <v>0</v>
      </c>
      <c r="D899" s="18">
        <v>143.73102</v>
      </c>
      <c r="E899" s="18">
        <v>177.4646474414613</v>
      </c>
      <c r="F899" s="18">
        <v>52.687469999999998</v>
      </c>
      <c r="G899" s="18">
        <v>56.084241757609874</v>
      </c>
      <c r="H899" s="19">
        <v>0.23469970116027361</v>
      </c>
      <c r="I899" s="19">
        <v>6.4470200554512802E-2</v>
      </c>
      <c r="J899" s="19">
        <v>0.1890371889075777</v>
      </c>
    </row>
    <row r="900" spans="1:10" ht="11.25" customHeight="1" x14ac:dyDescent="0.2">
      <c r="A900" s="28">
        <v>44501</v>
      </c>
      <c r="B900" s="18">
        <v>0</v>
      </c>
      <c r="C900" s="18">
        <v>0</v>
      </c>
      <c r="D900" s="18">
        <v>266.8424</v>
      </c>
      <c r="E900" s="18">
        <v>329.47023153689014</v>
      </c>
      <c r="F900" s="18">
        <v>97.816400000000002</v>
      </c>
      <c r="G900" s="18">
        <v>104.12264292552045</v>
      </c>
      <c r="H900" s="19">
        <v>0.23469970116027339</v>
      </c>
      <c r="I900" s="19">
        <v>6.4470200554512802E-2</v>
      </c>
      <c r="J900" s="19">
        <v>0.1890371889075777</v>
      </c>
    </row>
    <row r="901" spans="1:10" ht="11.25" customHeight="1" x14ac:dyDescent="0.2">
      <c r="A901" s="28">
        <v>44531</v>
      </c>
      <c r="B901" s="18">
        <v>0</v>
      </c>
      <c r="C901" s="18">
        <v>0</v>
      </c>
      <c r="D901" s="18">
        <v>254.10674</v>
      </c>
      <c r="E901" s="18">
        <v>313.74551594081129</v>
      </c>
      <c r="F901" s="18">
        <v>93.147890000000004</v>
      </c>
      <c r="G901" s="18">
        <v>99.1531531495297</v>
      </c>
      <c r="H901" s="19">
        <v>0.23469970116027339</v>
      </c>
      <c r="I901" s="19">
        <v>6.4470200554512802E-2</v>
      </c>
      <c r="J901" s="19">
        <v>0.1890371889075777</v>
      </c>
    </row>
    <row r="902" spans="1:10" ht="11.25" customHeight="1" x14ac:dyDescent="0.2">
      <c r="A902" s="28">
        <v>44562</v>
      </c>
      <c r="B902" s="18">
        <v>0</v>
      </c>
      <c r="C902" s="18">
        <v>0</v>
      </c>
      <c r="D902" s="18">
        <v>268.05531999999999</v>
      </c>
      <c r="E902" s="18">
        <v>330.96782349842147</v>
      </c>
      <c r="F902" s="18">
        <v>98.261020000000002</v>
      </c>
      <c r="G902" s="18">
        <v>104.595927666091</v>
      </c>
      <c r="H902" s="19">
        <v>0.23469970116027339</v>
      </c>
      <c r="I902" s="19">
        <v>6.4470200554512802E-2</v>
      </c>
      <c r="J902" s="19">
        <v>0.18903718890757792</v>
      </c>
    </row>
    <row r="903" spans="1:10" ht="11.25" customHeight="1" x14ac:dyDescent="0.2">
      <c r="A903" s="28">
        <v>44593</v>
      </c>
      <c r="B903" s="18">
        <v>0</v>
      </c>
      <c r="C903" s="18">
        <v>0</v>
      </c>
      <c r="D903" s="18">
        <v>292.31371999999999</v>
      </c>
      <c r="E903" s="18">
        <v>360.91966272904784</v>
      </c>
      <c r="F903" s="18">
        <v>107.15342</v>
      </c>
      <c r="G903" s="18">
        <v>114.06162247750194</v>
      </c>
      <c r="H903" s="19">
        <v>0.23469970116027339</v>
      </c>
      <c r="I903" s="19">
        <v>6.4470200554512802E-2</v>
      </c>
      <c r="J903" s="19">
        <v>0.1890371889075777</v>
      </c>
    </row>
    <row r="904" spans="1:10" ht="11.25" customHeight="1" x14ac:dyDescent="0.2">
      <c r="A904" s="28">
        <v>44621</v>
      </c>
      <c r="B904" s="18">
        <v>0</v>
      </c>
      <c r="C904" s="18">
        <v>0</v>
      </c>
      <c r="D904" s="18">
        <v>292.31371999999999</v>
      </c>
      <c r="E904" s="18">
        <v>360.91966272904784</v>
      </c>
      <c r="F904" s="18">
        <v>107.15342</v>
      </c>
      <c r="G904" s="18">
        <v>114.06162247750194</v>
      </c>
      <c r="H904" s="19">
        <v>0.23469970116027339</v>
      </c>
      <c r="I904" s="19">
        <v>6.4470200554512802E-2</v>
      </c>
      <c r="J904" s="19">
        <v>0.1890371889075777</v>
      </c>
    </row>
    <row r="905" spans="1:10" ht="11.25" customHeight="1" x14ac:dyDescent="0.2">
      <c r="A905" s="27" t="s">
        <v>34</v>
      </c>
      <c r="B905" s="18">
        <v>0</v>
      </c>
      <c r="C905" s="18">
        <v>0</v>
      </c>
      <c r="D905" s="18">
        <v>1226.3651399999999</v>
      </c>
      <c r="E905" s="18">
        <v>1511.61572474537</v>
      </c>
      <c r="F905" s="18">
        <v>465.64699999999993</v>
      </c>
      <c r="G905" s="18">
        <v>487.62892043252066</v>
      </c>
      <c r="H905" s="19">
        <v>0.23259841252937941</v>
      </c>
      <c r="I905" s="19">
        <v>4.7207263082379436E-2</v>
      </c>
      <c r="J905" s="19">
        <v>0.18157819197319158</v>
      </c>
    </row>
    <row r="906" spans="1:10" ht="11.25" customHeight="1" x14ac:dyDescent="0.2">
      <c r="A906" s="28">
        <v>44287</v>
      </c>
      <c r="B906" s="18">
        <v>0</v>
      </c>
      <c r="C906" s="18">
        <v>0</v>
      </c>
      <c r="D906" s="18">
        <v>105.8871</v>
      </c>
      <c r="E906" s="18">
        <v>130.51627136733964</v>
      </c>
      <c r="F906" s="18">
        <v>40.204999999999998</v>
      </c>
      <c r="G906" s="18">
        <v>42.102968012227052</v>
      </c>
      <c r="H906" s="19">
        <v>0.23259841252937918</v>
      </c>
      <c r="I906" s="19">
        <v>4.7207263082379214E-2</v>
      </c>
      <c r="J906" s="19">
        <v>0.18157819197319136</v>
      </c>
    </row>
    <row r="907" spans="1:10" ht="11.25" customHeight="1" x14ac:dyDescent="0.2">
      <c r="A907" s="28">
        <v>44317</v>
      </c>
      <c r="B907" s="18">
        <v>0</v>
      </c>
      <c r="C907" s="18">
        <v>0</v>
      </c>
      <c r="D907" s="18">
        <v>98.186219999999992</v>
      </c>
      <c r="E907" s="18">
        <v>121.0241789042604</v>
      </c>
      <c r="F907" s="18">
        <v>37.280999999999999</v>
      </c>
      <c r="G907" s="18">
        <v>39.040933974974173</v>
      </c>
      <c r="H907" s="19">
        <v>0.23259841252937941</v>
      </c>
      <c r="I907" s="19">
        <v>4.7207263082378992E-2</v>
      </c>
      <c r="J907" s="19">
        <v>0.18157819197319158</v>
      </c>
    </row>
    <row r="908" spans="1:10" ht="11.25" customHeight="1" x14ac:dyDescent="0.2">
      <c r="A908" s="28">
        <v>44348</v>
      </c>
      <c r="B908" s="18">
        <v>0</v>
      </c>
      <c r="C908" s="18">
        <v>0</v>
      </c>
      <c r="D908" s="18">
        <v>91.447950000000006</v>
      </c>
      <c r="E908" s="18">
        <v>112.71859799906606</v>
      </c>
      <c r="F908" s="18">
        <v>34.722500000000004</v>
      </c>
      <c r="G908" s="18">
        <v>36.361654192377912</v>
      </c>
      <c r="H908" s="19">
        <v>0.23259841252937941</v>
      </c>
      <c r="I908" s="19">
        <v>4.7207263082379214E-2</v>
      </c>
      <c r="J908" s="19">
        <v>0.18157819197319136</v>
      </c>
    </row>
    <row r="909" spans="1:10" ht="11.25" customHeight="1" x14ac:dyDescent="0.2">
      <c r="A909" s="28">
        <v>44378</v>
      </c>
      <c r="B909" s="18">
        <v>0</v>
      </c>
      <c r="C909" s="18">
        <v>0</v>
      </c>
      <c r="D909" s="18">
        <v>83.747069999999994</v>
      </c>
      <c r="E909" s="18">
        <v>103.2265055359868</v>
      </c>
      <c r="F909" s="18">
        <v>31.798499999999997</v>
      </c>
      <c r="G909" s="18">
        <v>33.299620155125034</v>
      </c>
      <c r="H909" s="19">
        <v>0.23259841252937941</v>
      </c>
      <c r="I909" s="19">
        <v>4.7207263082379214E-2</v>
      </c>
      <c r="J909" s="19">
        <v>0.18157819197319158</v>
      </c>
    </row>
    <row r="910" spans="1:10" ht="11.25" customHeight="1" x14ac:dyDescent="0.2">
      <c r="A910" s="28">
        <v>44409</v>
      </c>
      <c r="B910" s="18">
        <v>0</v>
      </c>
      <c r="C910" s="18">
        <v>0</v>
      </c>
      <c r="D910" s="18">
        <v>92.410560000000004</v>
      </c>
      <c r="E910" s="18">
        <v>113.90510955695096</v>
      </c>
      <c r="F910" s="18">
        <v>35.088000000000001</v>
      </c>
      <c r="G910" s="18">
        <v>36.744408447034523</v>
      </c>
      <c r="H910" s="19">
        <v>0.23259841252937918</v>
      </c>
      <c r="I910" s="19">
        <v>4.7207263082379214E-2</v>
      </c>
      <c r="J910" s="19">
        <v>0.18157819197319158</v>
      </c>
    </row>
    <row r="911" spans="1:10" ht="11.25" customHeight="1" x14ac:dyDescent="0.2">
      <c r="A911" s="28">
        <v>44440</v>
      </c>
      <c r="B911" s="18">
        <v>0</v>
      </c>
      <c r="C911" s="18">
        <v>0</v>
      </c>
      <c r="D911" s="18">
        <v>87.59751</v>
      </c>
      <c r="E911" s="18">
        <v>107.97255176752643</v>
      </c>
      <c r="F911" s="18">
        <v>33.2605</v>
      </c>
      <c r="G911" s="18">
        <v>34.83063717375147</v>
      </c>
      <c r="H911" s="19">
        <v>0.23259841252937918</v>
      </c>
      <c r="I911" s="19">
        <v>4.7207263082378992E-2</v>
      </c>
      <c r="J911" s="19">
        <v>0.18157819197319136</v>
      </c>
    </row>
    <row r="912" spans="1:10" ht="11.25" customHeight="1" x14ac:dyDescent="0.2">
      <c r="A912" s="28">
        <v>44470</v>
      </c>
      <c r="B912" s="18">
        <v>0</v>
      </c>
      <c r="C912" s="18">
        <v>0</v>
      </c>
      <c r="D912" s="18">
        <v>101.07405</v>
      </c>
      <c r="E912" s="18">
        <v>124.58371357791511</v>
      </c>
      <c r="F912" s="18">
        <v>38.377499999999998</v>
      </c>
      <c r="G912" s="18">
        <v>40.189196738944005</v>
      </c>
      <c r="H912" s="19">
        <v>0.23259841252937918</v>
      </c>
      <c r="I912" s="19">
        <v>4.7207263082379214E-2</v>
      </c>
      <c r="J912" s="19">
        <v>0.18157819197319158</v>
      </c>
    </row>
    <row r="913" spans="1:10" ht="11.25" customHeight="1" x14ac:dyDescent="0.2">
      <c r="A913" s="28">
        <v>44501</v>
      </c>
      <c r="B913" s="18">
        <v>0</v>
      </c>
      <c r="C913" s="18">
        <v>0</v>
      </c>
      <c r="D913" s="18">
        <v>99.14882999999999</v>
      </c>
      <c r="E913" s="18">
        <v>122.21069046214529</v>
      </c>
      <c r="F913" s="18">
        <v>37.646499999999996</v>
      </c>
      <c r="G913" s="18">
        <v>39.423688229630784</v>
      </c>
      <c r="H913" s="19">
        <v>0.23259841252937941</v>
      </c>
      <c r="I913" s="19">
        <v>4.7207263082379214E-2</v>
      </c>
      <c r="J913" s="19">
        <v>0.18157819197319158</v>
      </c>
    </row>
    <row r="914" spans="1:10" ht="11.25" customHeight="1" x14ac:dyDescent="0.2">
      <c r="A914" s="28">
        <v>44531</v>
      </c>
      <c r="B914" s="18">
        <v>0</v>
      </c>
      <c r="C914" s="18">
        <v>0</v>
      </c>
      <c r="D914" s="18">
        <v>105.8871</v>
      </c>
      <c r="E914" s="18">
        <v>130.51627136733964</v>
      </c>
      <c r="F914" s="18">
        <v>40.204999999999998</v>
      </c>
      <c r="G914" s="18">
        <v>42.102968012227052</v>
      </c>
      <c r="H914" s="19">
        <v>0.23259841252937918</v>
      </c>
      <c r="I914" s="19">
        <v>4.7207263082379214E-2</v>
      </c>
      <c r="J914" s="19">
        <v>0.18157819197319136</v>
      </c>
    </row>
    <row r="915" spans="1:10" ht="11.25" customHeight="1" x14ac:dyDescent="0.2">
      <c r="A915" s="28">
        <v>44562</v>
      </c>
      <c r="B915" s="18">
        <v>0</v>
      </c>
      <c r="C915" s="18">
        <v>0</v>
      </c>
      <c r="D915" s="18">
        <v>102.99927</v>
      </c>
      <c r="E915" s="18">
        <v>126.95673669368493</v>
      </c>
      <c r="F915" s="18">
        <v>39.108499999999999</v>
      </c>
      <c r="G915" s="18">
        <v>40.954705248257227</v>
      </c>
      <c r="H915" s="19">
        <v>0.23259841252937941</v>
      </c>
      <c r="I915" s="19">
        <v>4.7207263082379214E-2</v>
      </c>
      <c r="J915" s="19">
        <v>0.18157819197319158</v>
      </c>
    </row>
    <row r="916" spans="1:10" ht="11.25" customHeight="1" x14ac:dyDescent="0.2">
      <c r="A916" s="28">
        <v>44593</v>
      </c>
      <c r="B916" s="18">
        <v>0</v>
      </c>
      <c r="C916" s="18">
        <v>0</v>
      </c>
      <c r="D916" s="18">
        <v>128.98974000000001</v>
      </c>
      <c r="E916" s="18">
        <v>158.99254875657741</v>
      </c>
      <c r="F916" s="18">
        <v>48.977000000000004</v>
      </c>
      <c r="G916" s="18">
        <v>51.289070123985688</v>
      </c>
      <c r="H916" s="19">
        <v>0.23259841252937941</v>
      </c>
      <c r="I916" s="19">
        <v>4.7207263082379214E-2</v>
      </c>
      <c r="J916" s="19">
        <v>0.18157819197319158</v>
      </c>
    </row>
    <row r="917" spans="1:10" ht="11.25" customHeight="1" x14ac:dyDescent="0.2">
      <c r="A917" s="28">
        <v>44621</v>
      </c>
      <c r="B917" s="18">
        <v>0</v>
      </c>
      <c r="C917" s="18">
        <v>0</v>
      </c>
      <c r="D917" s="18">
        <v>128.98974000000001</v>
      </c>
      <c r="E917" s="18">
        <v>158.99254875657741</v>
      </c>
      <c r="F917" s="18">
        <v>48.977000000000004</v>
      </c>
      <c r="G917" s="18">
        <v>51.289070123985688</v>
      </c>
      <c r="H917" s="19">
        <v>0.23259841252937941</v>
      </c>
      <c r="I917" s="19">
        <v>4.7207263082379214E-2</v>
      </c>
      <c r="J917" s="19">
        <v>0.18157819197319158</v>
      </c>
    </row>
    <row r="918" spans="1:10" ht="11.25" customHeight="1" x14ac:dyDescent="0.2">
      <c r="A918" s="22" t="s">
        <v>23</v>
      </c>
      <c r="B918" s="18">
        <v>0</v>
      </c>
      <c r="C918" s="18">
        <v>0</v>
      </c>
      <c r="D918" s="18">
        <v>121469254.10984401</v>
      </c>
      <c r="E918" s="18">
        <v>150495200.24208602</v>
      </c>
      <c r="F918" s="18">
        <v>82186476.264268786</v>
      </c>
      <c r="G918" s="18">
        <v>87301503.977282554</v>
      </c>
      <c r="H918" s="19">
        <v>0.23895714471082519</v>
      </c>
      <c r="I918" s="19">
        <v>6.2236853865914821E-2</v>
      </c>
      <c r="J918" s="19">
        <v>0.16764062460967488</v>
      </c>
    </row>
    <row r="919" spans="1:10" ht="11.25" customHeight="1" x14ac:dyDescent="0.2">
      <c r="A919" s="23" t="s">
        <v>43</v>
      </c>
      <c r="B919" s="18">
        <v>0</v>
      </c>
      <c r="C919" s="18">
        <v>0</v>
      </c>
      <c r="D919" s="18">
        <v>92173311.367200017</v>
      </c>
      <c r="E919" s="18">
        <v>114198782.67004797</v>
      </c>
      <c r="F919" s="18">
        <v>62364750.013440005</v>
      </c>
      <c r="G919" s="18">
        <v>66246135.846410751</v>
      </c>
      <c r="H919" s="19">
        <v>0.23895714471082563</v>
      </c>
      <c r="I919" s="19">
        <v>6.2236853865914821E-2</v>
      </c>
      <c r="J919" s="19">
        <v>0.1676406246096751</v>
      </c>
    </row>
    <row r="920" spans="1:10" ht="11.25" customHeight="1" x14ac:dyDescent="0.2">
      <c r="A920" s="24" t="s">
        <v>25</v>
      </c>
      <c r="B920" s="18">
        <v>0</v>
      </c>
      <c r="C920" s="18">
        <v>0</v>
      </c>
      <c r="D920" s="18">
        <v>92173311.367200017</v>
      </c>
      <c r="E920" s="18">
        <v>114198782.67004797</v>
      </c>
      <c r="F920" s="18">
        <v>62364750.013440005</v>
      </c>
      <c r="G920" s="18">
        <v>66246135.846410751</v>
      </c>
      <c r="H920" s="19">
        <v>0.23895714471082563</v>
      </c>
      <c r="I920" s="19">
        <v>6.2236853865914821E-2</v>
      </c>
      <c r="J920" s="19">
        <v>0.1676406246096751</v>
      </c>
    </row>
    <row r="921" spans="1:10" ht="11.25" customHeight="1" x14ac:dyDescent="0.2">
      <c r="A921" s="25" t="s">
        <v>25</v>
      </c>
      <c r="B921" s="18">
        <v>0</v>
      </c>
      <c r="C921" s="18">
        <v>0</v>
      </c>
      <c r="D921" s="18">
        <v>92173311.367200017</v>
      </c>
      <c r="E921" s="18">
        <v>114198782.67004797</v>
      </c>
      <c r="F921" s="18">
        <v>62364750.013440005</v>
      </c>
      <c r="G921" s="18">
        <v>66246135.846410751</v>
      </c>
      <c r="H921" s="19">
        <v>0.23895714471082563</v>
      </c>
      <c r="I921" s="19">
        <v>6.2236853865914821E-2</v>
      </c>
      <c r="J921" s="19">
        <v>0.1676406246096751</v>
      </c>
    </row>
    <row r="922" spans="1:10" ht="11.25" customHeight="1" x14ac:dyDescent="0.2">
      <c r="A922" s="26" t="s">
        <v>25</v>
      </c>
      <c r="B922" s="18">
        <v>0</v>
      </c>
      <c r="C922" s="18">
        <v>0</v>
      </c>
      <c r="D922" s="18">
        <v>92173311.367200017</v>
      </c>
      <c r="E922" s="18">
        <v>114198782.67004797</v>
      </c>
      <c r="F922" s="18">
        <v>62364750.013440005</v>
      </c>
      <c r="G922" s="18">
        <v>66246135.846410751</v>
      </c>
      <c r="H922" s="19">
        <v>0.23895714471082563</v>
      </c>
      <c r="I922" s="19">
        <v>6.2236853865914821E-2</v>
      </c>
      <c r="J922" s="19">
        <v>0.1676406246096751</v>
      </c>
    </row>
    <row r="923" spans="1:10" ht="11.25" customHeight="1" x14ac:dyDescent="0.2">
      <c r="A923" s="27" t="s">
        <v>25</v>
      </c>
      <c r="B923" s="18">
        <v>0</v>
      </c>
      <c r="C923" s="18">
        <v>0</v>
      </c>
      <c r="D923" s="18">
        <v>92173311.367200017</v>
      </c>
      <c r="E923" s="18">
        <v>114198782.67004797</v>
      </c>
      <c r="F923" s="18">
        <v>62364750.013440005</v>
      </c>
      <c r="G923" s="18">
        <v>66246135.846410751</v>
      </c>
      <c r="H923" s="19">
        <v>0.23895714471082563</v>
      </c>
      <c r="I923" s="19">
        <v>6.2236853865914821E-2</v>
      </c>
      <c r="J923" s="19">
        <v>0.1676406246096751</v>
      </c>
    </row>
    <row r="924" spans="1:10" ht="11.25" customHeight="1" x14ac:dyDescent="0.2">
      <c r="A924" s="28">
        <v>44287</v>
      </c>
      <c r="B924" s="18">
        <v>0</v>
      </c>
      <c r="C924" s="18">
        <v>0</v>
      </c>
      <c r="D924" s="18">
        <v>7835494.7471999992</v>
      </c>
      <c r="E924" s="18">
        <v>9707842.1993875839</v>
      </c>
      <c r="F924" s="18">
        <v>5301520.1894399999</v>
      </c>
      <c r="G924" s="18">
        <v>5631470.1267373711</v>
      </c>
      <c r="H924" s="19">
        <v>0.23895714471082563</v>
      </c>
      <c r="I924" s="19">
        <v>6.2236853865914155E-2</v>
      </c>
      <c r="J924" s="19">
        <v>0.16764062460967488</v>
      </c>
    </row>
    <row r="925" spans="1:10" ht="11.25" customHeight="1" x14ac:dyDescent="0.2">
      <c r="A925" s="28">
        <v>44317</v>
      </c>
      <c r="B925" s="18">
        <v>0</v>
      </c>
      <c r="C925" s="18">
        <v>0</v>
      </c>
      <c r="D925" s="18">
        <v>7251710.4965999993</v>
      </c>
      <c r="E925" s="18">
        <v>8984558.5311370566</v>
      </c>
      <c r="F925" s="18">
        <v>4906529.9443199998</v>
      </c>
      <c r="G925" s="18">
        <v>5211896.9314533761</v>
      </c>
      <c r="H925" s="19">
        <v>0.23895714471082541</v>
      </c>
      <c r="I925" s="19">
        <v>6.2236853865914377E-2</v>
      </c>
      <c r="J925" s="19">
        <v>0.16764062460967466</v>
      </c>
    </row>
    <row r="926" spans="1:10" ht="11.25" customHeight="1" x14ac:dyDescent="0.2">
      <c r="A926" s="28">
        <v>44348</v>
      </c>
      <c r="B926" s="18">
        <v>0</v>
      </c>
      <c r="C926" s="18">
        <v>0</v>
      </c>
      <c r="D926" s="18">
        <v>7172079.9960000003</v>
      </c>
      <c r="E926" s="18">
        <v>8885899.7534817867</v>
      </c>
      <c r="F926" s="18">
        <v>4852651.6991999997</v>
      </c>
      <c r="G926" s="18">
        <v>5154665.4738652911</v>
      </c>
      <c r="H926" s="19">
        <v>0.23895714471082519</v>
      </c>
      <c r="I926" s="19">
        <v>6.2236853865914377E-2</v>
      </c>
      <c r="J926" s="19">
        <v>0.16764062460967444</v>
      </c>
    </row>
    <row r="927" spans="1:10" ht="11.25" customHeight="1" x14ac:dyDescent="0.2">
      <c r="A927" s="28">
        <v>44378</v>
      </c>
      <c r="B927" s="18">
        <v>0</v>
      </c>
      <c r="C927" s="18">
        <v>0</v>
      </c>
      <c r="D927" s="18">
        <v>7096551.273</v>
      </c>
      <c r="E927" s="18">
        <v>8792322.9024900533</v>
      </c>
      <c r="F927" s="18">
        <v>4801548.7296000011</v>
      </c>
      <c r="G927" s="18">
        <v>5100382.0162141817</v>
      </c>
      <c r="H927" s="19">
        <v>0.23895714471082541</v>
      </c>
      <c r="I927" s="19">
        <v>6.2236853865914155E-2</v>
      </c>
      <c r="J927" s="19">
        <v>0.16764062460967444</v>
      </c>
    </row>
    <row r="928" spans="1:10" ht="11.25" customHeight="1" x14ac:dyDescent="0.2">
      <c r="A928" s="28">
        <v>44409</v>
      </c>
      <c r="B928" s="18">
        <v>0</v>
      </c>
      <c r="C928" s="18">
        <v>0</v>
      </c>
      <c r="D928" s="18">
        <v>6943067.3112000003</v>
      </c>
      <c r="E928" s="18">
        <v>8602162.8514194191</v>
      </c>
      <c r="F928" s="18">
        <v>4697701.0022399994</v>
      </c>
      <c r="G928" s="18">
        <v>4990071.1330221696</v>
      </c>
      <c r="H928" s="19">
        <v>0.23895714471082519</v>
      </c>
      <c r="I928" s="19">
        <v>6.2236853865914377E-2</v>
      </c>
      <c r="J928" s="19">
        <v>0.16764062460967466</v>
      </c>
    </row>
    <row r="929" spans="1:10" ht="11.25" customHeight="1" x14ac:dyDescent="0.2">
      <c r="A929" s="28">
        <v>44440</v>
      </c>
      <c r="B929" s="18">
        <v>0</v>
      </c>
      <c r="C929" s="18">
        <v>0</v>
      </c>
      <c r="D929" s="18">
        <v>7278364.4345999993</v>
      </c>
      <c r="E929" s="18">
        <v>9017581.6180568393</v>
      </c>
      <c r="F929" s="18">
        <v>4924564.0819200007</v>
      </c>
      <c r="G929" s="18">
        <v>5231053.4570397856</v>
      </c>
      <c r="H929" s="19">
        <v>0.23895714471082585</v>
      </c>
      <c r="I929" s="19">
        <v>6.2236853865914155E-2</v>
      </c>
      <c r="J929" s="19">
        <v>0.16764062460967466</v>
      </c>
    </row>
    <row r="930" spans="1:10" ht="11.25" customHeight="1" x14ac:dyDescent="0.2">
      <c r="A930" s="28">
        <v>44470</v>
      </c>
      <c r="B930" s="18">
        <v>0</v>
      </c>
      <c r="C930" s="18">
        <v>0</v>
      </c>
      <c r="D930" s="18">
        <v>7774986.6036</v>
      </c>
      <c r="E930" s="18">
        <v>9632875.2025611736</v>
      </c>
      <c r="F930" s="18">
        <v>5260580.1907200003</v>
      </c>
      <c r="G930" s="18">
        <v>5587982.1512997644</v>
      </c>
      <c r="H930" s="19">
        <v>0.23895714471082541</v>
      </c>
      <c r="I930" s="19">
        <v>6.2236853865914377E-2</v>
      </c>
      <c r="J930" s="19">
        <v>0.16764062460967444</v>
      </c>
    </row>
    <row r="931" spans="1:10" ht="11.25" customHeight="1" x14ac:dyDescent="0.2">
      <c r="A931" s="28">
        <v>44501</v>
      </c>
      <c r="B931" s="18">
        <v>0</v>
      </c>
      <c r="C931" s="18">
        <v>0</v>
      </c>
      <c r="D931" s="18">
        <v>7895453.1252000006</v>
      </c>
      <c r="E931" s="18">
        <v>9782128.0601959527</v>
      </c>
      <c r="F931" s="18">
        <v>5342088.2150400002</v>
      </c>
      <c r="G931" s="18">
        <v>5674562.9786182689</v>
      </c>
      <c r="H931" s="19">
        <v>0.23895714471082496</v>
      </c>
      <c r="I931" s="19">
        <v>6.2236853865914599E-2</v>
      </c>
      <c r="J931" s="19">
        <v>0.16764062460967422</v>
      </c>
    </row>
    <row r="932" spans="1:10" ht="11.25" customHeight="1" x14ac:dyDescent="0.2">
      <c r="A932" s="28">
        <v>44531</v>
      </c>
      <c r="B932" s="18">
        <v>0</v>
      </c>
      <c r="C932" s="18">
        <v>0</v>
      </c>
      <c r="D932" s="18">
        <v>8295904.0499999998</v>
      </c>
      <c r="E932" s="18">
        <v>10278269.594582971</v>
      </c>
      <c r="F932" s="18">
        <v>5613034.5600000005</v>
      </c>
      <c r="G932" s="18">
        <v>5962372.1716550468</v>
      </c>
      <c r="H932" s="19">
        <v>0.23895714471082519</v>
      </c>
      <c r="I932" s="19">
        <v>6.2236853865914155E-2</v>
      </c>
      <c r="J932" s="19">
        <v>0.16764062460967466</v>
      </c>
    </row>
    <row r="933" spans="1:10" ht="11.25" customHeight="1" x14ac:dyDescent="0.2">
      <c r="A933" s="28">
        <v>44562</v>
      </c>
      <c r="B933" s="18">
        <v>0</v>
      </c>
      <c r="C933" s="18">
        <v>0</v>
      </c>
      <c r="D933" s="18">
        <v>8171927.4066000003</v>
      </c>
      <c r="E933" s="18">
        <v>10124667.846465277</v>
      </c>
      <c r="F933" s="18">
        <v>5529151.5763199991</v>
      </c>
      <c r="G933" s="18">
        <v>5873268.5749779176</v>
      </c>
      <c r="H933" s="19">
        <v>0.23895714471082541</v>
      </c>
      <c r="I933" s="19">
        <v>6.2236853865914599E-2</v>
      </c>
      <c r="J933" s="19">
        <v>0.16764062460967466</v>
      </c>
    </row>
    <row r="934" spans="1:10" ht="11.25" customHeight="1" x14ac:dyDescent="0.2">
      <c r="A934" s="28">
        <v>44593</v>
      </c>
      <c r="B934" s="18">
        <v>0</v>
      </c>
      <c r="C934" s="18">
        <v>0</v>
      </c>
      <c r="D934" s="18">
        <v>8228885.9616</v>
      </c>
      <c r="E934" s="18">
        <v>10195237.05513493</v>
      </c>
      <c r="F934" s="18">
        <v>5567689.9123200001</v>
      </c>
      <c r="G934" s="18">
        <v>5914205.4157637851</v>
      </c>
      <c r="H934" s="19">
        <v>0.23895714471082519</v>
      </c>
      <c r="I934" s="19">
        <v>6.2236853865914377E-2</v>
      </c>
      <c r="J934" s="19">
        <v>0.16764062460967444</v>
      </c>
    </row>
    <row r="935" spans="1:10" ht="11.25" customHeight="1" x14ac:dyDescent="0.2">
      <c r="A935" s="28">
        <v>44621</v>
      </c>
      <c r="B935" s="18">
        <v>0</v>
      </c>
      <c r="C935" s="18">
        <v>0</v>
      </c>
      <c r="D935" s="18">
        <v>8228885.9616</v>
      </c>
      <c r="E935" s="18">
        <v>10195237.05513493</v>
      </c>
      <c r="F935" s="18">
        <v>5567689.9123200001</v>
      </c>
      <c r="G935" s="18">
        <v>5914205.4157637851</v>
      </c>
      <c r="H935" s="19">
        <v>0.23895714471082519</v>
      </c>
      <c r="I935" s="19">
        <v>6.2236853865914377E-2</v>
      </c>
      <c r="J935" s="19">
        <v>0.16764062460967444</v>
      </c>
    </row>
    <row r="936" spans="1:10" ht="11.25" customHeight="1" x14ac:dyDescent="0.2">
      <c r="A936" s="23" t="s">
        <v>52</v>
      </c>
      <c r="B936" s="18">
        <v>0</v>
      </c>
      <c r="C936" s="18">
        <v>0</v>
      </c>
      <c r="D936" s="18">
        <v>523415.97180000006</v>
      </c>
      <c r="E936" s="18">
        <v>648489.95791736967</v>
      </c>
      <c r="F936" s="18">
        <v>354144.87935999996</v>
      </c>
      <c r="G936" s="18">
        <v>376185.74246409017</v>
      </c>
      <c r="H936" s="19">
        <v>0.23895714471082474</v>
      </c>
      <c r="I936" s="19">
        <v>6.2236853865914377E-2</v>
      </c>
      <c r="J936" s="19">
        <v>0.16764062460967422</v>
      </c>
    </row>
    <row r="937" spans="1:10" ht="11.25" customHeight="1" x14ac:dyDescent="0.2">
      <c r="A937" s="24" t="s">
        <v>25</v>
      </c>
      <c r="B937" s="18">
        <v>0</v>
      </c>
      <c r="C937" s="18">
        <v>0</v>
      </c>
      <c r="D937" s="18">
        <v>523415.97180000006</v>
      </c>
      <c r="E937" s="18">
        <v>648489.95791736967</v>
      </c>
      <c r="F937" s="18">
        <v>354144.87935999996</v>
      </c>
      <c r="G937" s="18">
        <v>376185.74246409017</v>
      </c>
      <c r="H937" s="19">
        <v>0.23895714471082474</v>
      </c>
      <c r="I937" s="19">
        <v>6.2236853865914377E-2</v>
      </c>
      <c r="J937" s="19">
        <v>0.16764062460967422</v>
      </c>
    </row>
    <row r="938" spans="1:10" ht="11.25" customHeight="1" x14ac:dyDescent="0.2">
      <c r="A938" s="25" t="s">
        <v>25</v>
      </c>
      <c r="B938" s="18">
        <v>0</v>
      </c>
      <c r="C938" s="18">
        <v>0</v>
      </c>
      <c r="D938" s="18">
        <v>523415.97180000006</v>
      </c>
      <c r="E938" s="18">
        <v>648489.95791736967</v>
      </c>
      <c r="F938" s="18">
        <v>354144.87935999996</v>
      </c>
      <c r="G938" s="18">
        <v>376185.74246409017</v>
      </c>
      <c r="H938" s="19">
        <v>0.23895714471082474</v>
      </c>
      <c r="I938" s="19">
        <v>6.2236853865914377E-2</v>
      </c>
      <c r="J938" s="19">
        <v>0.16764062460967422</v>
      </c>
    </row>
    <row r="939" spans="1:10" ht="11.25" customHeight="1" x14ac:dyDescent="0.2">
      <c r="A939" s="26" t="s">
        <v>25</v>
      </c>
      <c r="B939" s="18">
        <v>0</v>
      </c>
      <c r="C939" s="18">
        <v>0</v>
      </c>
      <c r="D939" s="18">
        <v>523415.97180000006</v>
      </c>
      <c r="E939" s="18">
        <v>648489.95791736967</v>
      </c>
      <c r="F939" s="18">
        <v>354144.87935999996</v>
      </c>
      <c r="G939" s="18">
        <v>376185.74246409017</v>
      </c>
      <c r="H939" s="19">
        <v>0.23895714471082474</v>
      </c>
      <c r="I939" s="19">
        <v>6.2236853865914377E-2</v>
      </c>
      <c r="J939" s="19">
        <v>0.16764062460967422</v>
      </c>
    </row>
    <row r="940" spans="1:10" ht="11.25" customHeight="1" x14ac:dyDescent="0.2">
      <c r="A940" s="27" t="s">
        <v>25</v>
      </c>
      <c r="B940" s="18">
        <v>0</v>
      </c>
      <c r="C940" s="18">
        <v>0</v>
      </c>
      <c r="D940" s="18">
        <v>523415.97180000006</v>
      </c>
      <c r="E940" s="18">
        <v>648489.95791736967</v>
      </c>
      <c r="F940" s="18">
        <v>354144.87935999996</v>
      </c>
      <c r="G940" s="18">
        <v>376185.74246409017</v>
      </c>
      <c r="H940" s="19">
        <v>0.23895714471082474</v>
      </c>
      <c r="I940" s="19">
        <v>6.2236853865914377E-2</v>
      </c>
      <c r="J940" s="19">
        <v>0.16764062460967422</v>
      </c>
    </row>
    <row r="941" spans="1:10" ht="11.25" customHeight="1" x14ac:dyDescent="0.2">
      <c r="A941" s="28">
        <v>44287</v>
      </c>
      <c r="B941" s="18">
        <v>0</v>
      </c>
      <c r="C941" s="18">
        <v>0</v>
      </c>
      <c r="D941" s="18">
        <v>47064.5052</v>
      </c>
      <c r="E941" s="18">
        <v>58310.904979819796</v>
      </c>
      <c r="F941" s="18">
        <v>31843.991040000001</v>
      </c>
      <c r="G941" s="18">
        <v>33825.860856863968</v>
      </c>
      <c r="H941" s="19">
        <v>0.23895714471082541</v>
      </c>
      <c r="I941" s="19">
        <v>6.2236853865914377E-2</v>
      </c>
      <c r="J941" s="19">
        <v>0.16764062460967466</v>
      </c>
    </row>
    <row r="942" spans="1:10" ht="11.25" customHeight="1" x14ac:dyDescent="0.2">
      <c r="A942" s="28">
        <v>44317</v>
      </c>
      <c r="B942" s="18">
        <v>0</v>
      </c>
      <c r="C942" s="18">
        <v>0</v>
      </c>
      <c r="D942" s="18">
        <v>40454.508599999994</v>
      </c>
      <c r="E942" s="18">
        <v>50121.402465735526</v>
      </c>
      <c r="F942" s="18">
        <v>27371.646720000001</v>
      </c>
      <c r="G942" s="18">
        <v>29075.171896982072</v>
      </c>
      <c r="H942" s="19">
        <v>0.23895714471082541</v>
      </c>
      <c r="I942" s="19">
        <v>6.2236853865914377E-2</v>
      </c>
      <c r="J942" s="19">
        <v>0.16764062460967466</v>
      </c>
    </row>
    <row r="943" spans="1:10" ht="11.25" customHeight="1" x14ac:dyDescent="0.2">
      <c r="A943" s="28">
        <v>44348</v>
      </c>
      <c r="B943" s="18">
        <v>0</v>
      </c>
      <c r="C943" s="18">
        <v>0</v>
      </c>
      <c r="D943" s="18">
        <v>38413.313399999999</v>
      </c>
      <c r="E943" s="18">
        <v>47592.449088946087</v>
      </c>
      <c r="F943" s="18">
        <v>25990.56768</v>
      </c>
      <c r="G943" s="18">
        <v>27608.138842592318</v>
      </c>
      <c r="H943" s="19">
        <v>0.23895714471082541</v>
      </c>
      <c r="I943" s="19">
        <v>6.2236853865914377E-2</v>
      </c>
      <c r="J943" s="19">
        <v>0.16764062460967466</v>
      </c>
    </row>
    <row r="944" spans="1:10" ht="11.25" customHeight="1" x14ac:dyDescent="0.2">
      <c r="A944" s="28">
        <v>44378</v>
      </c>
      <c r="B944" s="18">
        <v>0</v>
      </c>
      <c r="C944" s="18">
        <v>0</v>
      </c>
      <c r="D944" s="18">
        <v>38113.504199999996</v>
      </c>
      <c r="E944" s="18">
        <v>47220.998338556048</v>
      </c>
      <c r="F944" s="18">
        <v>25787.715840000001</v>
      </c>
      <c r="G944" s="18">
        <v>27392.662142269804</v>
      </c>
      <c r="H944" s="19">
        <v>0.23895714471082541</v>
      </c>
      <c r="I944" s="19">
        <v>6.2236853865914377E-2</v>
      </c>
      <c r="J944" s="19">
        <v>0.16764062460967466</v>
      </c>
    </row>
    <row r="945" spans="1:10" ht="11.25" customHeight="1" x14ac:dyDescent="0.2">
      <c r="A945" s="28">
        <v>44409</v>
      </c>
      <c r="B945" s="18">
        <v>0</v>
      </c>
      <c r="C945" s="18">
        <v>0</v>
      </c>
      <c r="D945" s="18">
        <v>37070.403599999998</v>
      </c>
      <c r="E945" s="18">
        <v>45928.641397533902</v>
      </c>
      <c r="F945" s="18">
        <v>25081.950720000001</v>
      </c>
      <c r="G945" s="18">
        <v>26642.972421632705</v>
      </c>
      <c r="H945" s="19">
        <v>0.23895714471082541</v>
      </c>
      <c r="I945" s="19">
        <v>6.2236853865914377E-2</v>
      </c>
      <c r="J945" s="19">
        <v>0.16764062460967466</v>
      </c>
    </row>
    <row r="946" spans="1:10" ht="11.25" customHeight="1" x14ac:dyDescent="0.2">
      <c r="A946" s="28">
        <v>44440</v>
      </c>
      <c r="B946" s="18">
        <v>0</v>
      </c>
      <c r="C946" s="18">
        <v>0</v>
      </c>
      <c r="D946" s="18">
        <v>38780.977800000001</v>
      </c>
      <c r="E946" s="18">
        <v>48047.969524181906</v>
      </c>
      <c r="F946" s="18">
        <v>26239.330560000002</v>
      </c>
      <c r="G946" s="18">
        <v>27872.383941602144</v>
      </c>
      <c r="H946" s="19">
        <v>0.23895714471082541</v>
      </c>
      <c r="I946" s="19">
        <v>6.2236853865914377E-2</v>
      </c>
      <c r="J946" s="19">
        <v>0.16764062460967466</v>
      </c>
    </row>
    <row r="947" spans="1:10" ht="11.25" customHeight="1" x14ac:dyDescent="0.2">
      <c r="A947" s="28">
        <v>44470</v>
      </c>
      <c r="B947" s="18">
        <v>0</v>
      </c>
      <c r="C947" s="18">
        <v>0</v>
      </c>
      <c r="D947" s="18">
        <v>43527.033599999995</v>
      </c>
      <c r="E947" s="18">
        <v>53928.129266788157</v>
      </c>
      <c r="F947" s="18">
        <v>29450.526719999998</v>
      </c>
      <c r="G947" s="18">
        <v>31283.434847746845</v>
      </c>
      <c r="H947" s="19">
        <v>0.23895714471082541</v>
      </c>
      <c r="I947" s="19">
        <v>6.2236853865914377E-2</v>
      </c>
      <c r="J947" s="19">
        <v>0.16764062460967466</v>
      </c>
    </row>
    <row r="948" spans="1:10" ht="11.25" customHeight="1" x14ac:dyDescent="0.2">
      <c r="A948" s="28">
        <v>44501</v>
      </c>
      <c r="B948" s="18">
        <v>0</v>
      </c>
      <c r="C948" s="18">
        <v>0</v>
      </c>
      <c r="D948" s="18">
        <v>45551.957399999999</v>
      </c>
      <c r="E948" s="18">
        <v>56436.923076293155</v>
      </c>
      <c r="F948" s="18">
        <v>30820.59648</v>
      </c>
      <c r="G948" s="18">
        <v>32738.773439186072</v>
      </c>
      <c r="H948" s="19">
        <v>0.23895714471082541</v>
      </c>
      <c r="I948" s="19">
        <v>6.2236853865914377E-2</v>
      </c>
      <c r="J948" s="19">
        <v>0.16764062460967466</v>
      </c>
    </row>
    <row r="949" spans="1:10" ht="11.25" customHeight="1" x14ac:dyDescent="0.2">
      <c r="A949" s="28">
        <v>44531</v>
      </c>
      <c r="B949" s="18">
        <v>0</v>
      </c>
      <c r="C949" s="18">
        <v>0</v>
      </c>
      <c r="D949" s="18">
        <v>49902.306599999996</v>
      </c>
      <c r="E949" s="18">
        <v>61826.819299620176</v>
      </c>
      <c r="F949" s="18">
        <v>33764.056320000003</v>
      </c>
      <c r="G949" s="18">
        <v>35865.424959108343</v>
      </c>
      <c r="H949" s="19">
        <v>0.23895714471082541</v>
      </c>
      <c r="I949" s="19">
        <v>6.2236853865914377E-2</v>
      </c>
      <c r="J949" s="19">
        <v>0.16764062460967466</v>
      </c>
    </row>
    <row r="950" spans="1:10" ht="11.25" customHeight="1" x14ac:dyDescent="0.2">
      <c r="A950" s="28">
        <v>44562</v>
      </c>
      <c r="B950" s="18">
        <v>0</v>
      </c>
      <c r="C950" s="18">
        <v>0</v>
      </c>
      <c r="D950" s="18">
        <v>47994.744600000005</v>
      </c>
      <c r="E950" s="18">
        <v>59463.431730741308</v>
      </c>
      <c r="F950" s="18">
        <v>32473.393920000002</v>
      </c>
      <c r="G950" s="18">
        <v>34494.435791929311</v>
      </c>
      <c r="H950" s="19">
        <v>0.23895714471082519</v>
      </c>
      <c r="I950" s="19">
        <v>6.2236853865914155E-2</v>
      </c>
      <c r="J950" s="19">
        <v>0.16764062460967466</v>
      </c>
    </row>
    <row r="951" spans="1:10" ht="11.25" customHeight="1" x14ac:dyDescent="0.2">
      <c r="A951" s="28">
        <v>44593</v>
      </c>
      <c r="B951" s="18">
        <v>0</v>
      </c>
      <c r="C951" s="18">
        <v>0</v>
      </c>
      <c r="D951" s="18">
        <v>48271.358399999997</v>
      </c>
      <c r="E951" s="18">
        <v>59806.144374576914</v>
      </c>
      <c r="F951" s="18">
        <v>32660.551679999997</v>
      </c>
      <c r="G951" s="18">
        <v>34693.241662088301</v>
      </c>
      <c r="H951" s="19">
        <v>0.23895714471082541</v>
      </c>
      <c r="I951" s="19">
        <v>6.2236853865914377E-2</v>
      </c>
      <c r="J951" s="19">
        <v>0.16764062460967444</v>
      </c>
    </row>
    <row r="952" spans="1:10" ht="11.25" customHeight="1" x14ac:dyDescent="0.2">
      <c r="A952" s="28">
        <v>44621</v>
      </c>
      <c r="B952" s="18">
        <v>0</v>
      </c>
      <c r="C952" s="18">
        <v>0</v>
      </c>
      <c r="D952" s="18">
        <v>48271.358399999997</v>
      </c>
      <c r="E952" s="18">
        <v>59806.144374576914</v>
      </c>
      <c r="F952" s="18">
        <v>32660.551679999997</v>
      </c>
      <c r="G952" s="18">
        <v>34693.241662088301</v>
      </c>
      <c r="H952" s="19">
        <v>0.23895714471082541</v>
      </c>
      <c r="I952" s="19">
        <v>6.2236853865914377E-2</v>
      </c>
      <c r="J952" s="19">
        <v>0.16764062460967444</v>
      </c>
    </row>
    <row r="953" spans="1:10" ht="11.25" customHeight="1" x14ac:dyDescent="0.2">
      <c r="A953" s="23" t="s">
        <v>38</v>
      </c>
      <c r="B953" s="18">
        <v>0</v>
      </c>
      <c r="C953" s="18">
        <v>0</v>
      </c>
      <c r="D953" s="18">
        <v>5418618.8861999996</v>
      </c>
      <c r="E953" s="18">
        <v>6713436.5835225042</v>
      </c>
      <c r="F953" s="18">
        <v>3666254.4422399998</v>
      </c>
      <c r="G953" s="18">
        <v>3894430.5841969503</v>
      </c>
      <c r="H953" s="19">
        <v>0.23895714471082541</v>
      </c>
      <c r="I953" s="19">
        <v>6.2236853865914599E-2</v>
      </c>
      <c r="J953" s="19">
        <v>0.16764062460967444</v>
      </c>
    </row>
    <row r="954" spans="1:10" ht="11.25" customHeight="1" x14ac:dyDescent="0.2">
      <c r="A954" s="24" t="s">
        <v>25</v>
      </c>
      <c r="B954" s="18">
        <v>0</v>
      </c>
      <c r="C954" s="18">
        <v>0</v>
      </c>
      <c r="D954" s="18">
        <v>5418618.8861999996</v>
      </c>
      <c r="E954" s="18">
        <v>6713436.5835225042</v>
      </c>
      <c r="F954" s="18">
        <v>3666254.4422399998</v>
      </c>
      <c r="G954" s="18">
        <v>3894430.5841969503</v>
      </c>
      <c r="H954" s="19">
        <v>0.23895714471082541</v>
      </c>
      <c r="I954" s="19">
        <v>6.2236853865914599E-2</v>
      </c>
      <c r="J954" s="19">
        <v>0.16764062460967444</v>
      </c>
    </row>
    <row r="955" spans="1:10" ht="11.25" customHeight="1" x14ac:dyDescent="0.2">
      <c r="A955" s="25" t="s">
        <v>25</v>
      </c>
      <c r="B955" s="18">
        <v>0</v>
      </c>
      <c r="C955" s="18">
        <v>0</v>
      </c>
      <c r="D955" s="18">
        <v>5418618.8861999996</v>
      </c>
      <c r="E955" s="18">
        <v>6713436.5835225042</v>
      </c>
      <c r="F955" s="18">
        <v>3666254.4422399998</v>
      </c>
      <c r="G955" s="18">
        <v>3894430.5841969503</v>
      </c>
      <c r="H955" s="19">
        <v>0.23895714471082541</v>
      </c>
      <c r="I955" s="19">
        <v>6.2236853865914599E-2</v>
      </c>
      <c r="J955" s="19">
        <v>0.16764062460967444</v>
      </c>
    </row>
    <row r="956" spans="1:10" ht="11.25" customHeight="1" x14ac:dyDescent="0.2">
      <c r="A956" s="26" t="s">
        <v>25</v>
      </c>
      <c r="B956" s="18">
        <v>0</v>
      </c>
      <c r="C956" s="18">
        <v>0</v>
      </c>
      <c r="D956" s="18">
        <v>5418618.8861999996</v>
      </c>
      <c r="E956" s="18">
        <v>6713436.5835225042</v>
      </c>
      <c r="F956" s="18">
        <v>3666254.4422399998</v>
      </c>
      <c r="G956" s="18">
        <v>3894430.5841969503</v>
      </c>
      <c r="H956" s="19">
        <v>0.23895714471082541</v>
      </c>
      <c r="I956" s="19">
        <v>6.2236853865914599E-2</v>
      </c>
      <c r="J956" s="19">
        <v>0.16764062460967444</v>
      </c>
    </row>
    <row r="957" spans="1:10" ht="11.25" customHeight="1" x14ac:dyDescent="0.2">
      <c r="A957" s="27" t="s">
        <v>25</v>
      </c>
      <c r="B957" s="18">
        <v>0</v>
      </c>
      <c r="C957" s="18">
        <v>0</v>
      </c>
      <c r="D957" s="18">
        <v>5418618.8861999996</v>
      </c>
      <c r="E957" s="18">
        <v>6713436.5835225042</v>
      </c>
      <c r="F957" s="18">
        <v>3666254.4422399998</v>
      </c>
      <c r="G957" s="18">
        <v>3894430.5841969503</v>
      </c>
      <c r="H957" s="19">
        <v>0.23895714471082541</v>
      </c>
      <c r="I957" s="19">
        <v>6.2236853865914599E-2</v>
      </c>
      <c r="J957" s="19">
        <v>0.16764062460967444</v>
      </c>
    </row>
    <row r="958" spans="1:10" ht="11.25" customHeight="1" x14ac:dyDescent="0.2">
      <c r="A958" s="28">
        <v>44287</v>
      </c>
      <c r="B958" s="18">
        <v>0</v>
      </c>
      <c r="C958" s="18">
        <v>0</v>
      </c>
      <c r="D958" s="18">
        <v>462379.87320000003</v>
      </c>
      <c r="E958" s="18">
        <v>572868.84747162554</v>
      </c>
      <c r="F958" s="18">
        <v>312847.66464000003</v>
      </c>
      <c r="G958" s="18">
        <v>332318.31902649225</v>
      </c>
      <c r="H958" s="19">
        <v>0.23895714471082541</v>
      </c>
      <c r="I958" s="19">
        <v>6.2236853865914155E-2</v>
      </c>
      <c r="J958" s="19">
        <v>0.16764062460967444</v>
      </c>
    </row>
    <row r="959" spans="1:10" ht="11.25" customHeight="1" x14ac:dyDescent="0.2">
      <c r="A959" s="28">
        <v>44317</v>
      </c>
      <c r="B959" s="18">
        <v>0</v>
      </c>
      <c r="C959" s="18">
        <v>0</v>
      </c>
      <c r="D959" s="18">
        <v>427326.777</v>
      </c>
      <c r="E959" s="18">
        <v>529439.56349039963</v>
      </c>
      <c r="F959" s="18">
        <v>289130.63040000002</v>
      </c>
      <c r="G959" s="18">
        <v>307125.21119236446</v>
      </c>
      <c r="H959" s="19">
        <v>0.23895714471082541</v>
      </c>
      <c r="I959" s="19">
        <v>6.2236853865914155E-2</v>
      </c>
      <c r="J959" s="19">
        <v>0.16764062460967444</v>
      </c>
    </row>
    <row r="960" spans="1:10" ht="11.25" customHeight="1" x14ac:dyDescent="0.2">
      <c r="A960" s="28">
        <v>44348</v>
      </c>
      <c r="B960" s="18">
        <v>0</v>
      </c>
      <c r="C960" s="18">
        <v>0</v>
      </c>
      <c r="D960" s="18">
        <v>445546.24439999997</v>
      </c>
      <c r="E960" s="18">
        <v>552012.7027984556</v>
      </c>
      <c r="F960" s="18">
        <v>301457.97888000001</v>
      </c>
      <c r="G960" s="18">
        <v>320219.77505826845</v>
      </c>
      <c r="H960" s="19">
        <v>0.23895714471082563</v>
      </c>
      <c r="I960" s="19">
        <v>6.2236853865914377E-2</v>
      </c>
      <c r="J960" s="19">
        <v>0.16764062460967466</v>
      </c>
    </row>
    <row r="961" spans="1:10" ht="11.25" customHeight="1" x14ac:dyDescent="0.2">
      <c r="A961" s="28">
        <v>44378</v>
      </c>
      <c r="B961" s="18">
        <v>0</v>
      </c>
      <c r="C961" s="18">
        <v>0</v>
      </c>
      <c r="D961" s="18">
        <v>430313.44439999998</v>
      </c>
      <c r="E961" s="18">
        <v>533139.91640450456</v>
      </c>
      <c r="F961" s="18">
        <v>291151.41888000001</v>
      </c>
      <c r="G961" s="18">
        <v>309271.76718968817</v>
      </c>
      <c r="H961" s="19">
        <v>0.23895714471082563</v>
      </c>
      <c r="I961" s="19">
        <v>6.2236853865914377E-2</v>
      </c>
      <c r="J961" s="19">
        <v>0.16764062460967466</v>
      </c>
    </row>
    <row r="962" spans="1:10" ht="11.25" customHeight="1" x14ac:dyDescent="0.2">
      <c r="A962" s="28">
        <v>44409</v>
      </c>
      <c r="B962" s="18">
        <v>0</v>
      </c>
      <c r="C962" s="18">
        <v>0</v>
      </c>
      <c r="D962" s="18">
        <v>450114.69959999999</v>
      </c>
      <c r="E962" s="18">
        <v>557672.82300878689</v>
      </c>
      <c r="F962" s="18">
        <v>304549.00991999998</v>
      </c>
      <c r="G962" s="18">
        <v>323503.18214539991</v>
      </c>
      <c r="H962" s="19">
        <v>0.23895714471082541</v>
      </c>
      <c r="I962" s="19">
        <v>6.2236853865914377E-2</v>
      </c>
      <c r="J962" s="19">
        <v>0.16764062460967466</v>
      </c>
    </row>
    <row r="963" spans="1:10" ht="11.25" customHeight="1" x14ac:dyDescent="0.2">
      <c r="A963" s="28">
        <v>44440</v>
      </c>
      <c r="B963" s="18">
        <v>0</v>
      </c>
      <c r="C963" s="18">
        <v>0</v>
      </c>
      <c r="D963" s="18">
        <v>447888.97979999997</v>
      </c>
      <c r="E963" s="18">
        <v>554915.25156045251</v>
      </c>
      <c r="F963" s="18">
        <v>303043.08095999999</v>
      </c>
      <c r="G963" s="18">
        <v>321903.52890478401</v>
      </c>
      <c r="H963" s="19">
        <v>0.23895714471082541</v>
      </c>
      <c r="I963" s="19">
        <v>6.2236853865914599E-2</v>
      </c>
      <c r="J963" s="19">
        <v>0.16764062460967466</v>
      </c>
    </row>
    <row r="964" spans="1:10" ht="11.25" customHeight="1" x14ac:dyDescent="0.2">
      <c r="A964" s="28">
        <v>44470</v>
      </c>
      <c r="B964" s="18">
        <v>0</v>
      </c>
      <c r="C964" s="18">
        <v>0</v>
      </c>
      <c r="D964" s="18">
        <v>451122.83399999997</v>
      </c>
      <c r="E964" s="18">
        <v>558921.85832649563</v>
      </c>
      <c r="F964" s="18">
        <v>305231.11680000008</v>
      </c>
      <c r="G964" s="18">
        <v>324227.74121161143</v>
      </c>
      <c r="H964" s="19">
        <v>0.23895714471082541</v>
      </c>
      <c r="I964" s="19">
        <v>6.2236853865914155E-2</v>
      </c>
      <c r="J964" s="19">
        <v>0.16764062460967466</v>
      </c>
    </row>
    <row r="965" spans="1:10" ht="11.25" customHeight="1" x14ac:dyDescent="0.2">
      <c r="A965" s="28">
        <v>44501</v>
      </c>
      <c r="B965" s="18">
        <v>0</v>
      </c>
      <c r="C965" s="18">
        <v>0</v>
      </c>
      <c r="D965" s="18">
        <v>449623.44179999997</v>
      </c>
      <c r="E965" s="18">
        <v>557064.17564758193</v>
      </c>
      <c r="F965" s="18">
        <v>304216.62336000003</v>
      </c>
      <c r="G965" s="18">
        <v>323150.10889163823</v>
      </c>
      <c r="H965" s="19">
        <v>0.23895714471082541</v>
      </c>
      <c r="I965" s="19">
        <v>6.2236853865914377E-2</v>
      </c>
      <c r="J965" s="19">
        <v>0.16764062460967444</v>
      </c>
    </row>
    <row r="966" spans="1:10" ht="11.25" customHeight="1" x14ac:dyDescent="0.2">
      <c r="A966" s="28">
        <v>44531</v>
      </c>
      <c r="B966" s="18">
        <v>0</v>
      </c>
      <c r="C966" s="18">
        <v>0</v>
      </c>
      <c r="D966" s="18">
        <v>487846.34520000004</v>
      </c>
      <c r="E966" s="18">
        <v>604420.71490660368</v>
      </c>
      <c r="F966" s="18">
        <v>330078.35904000007</v>
      </c>
      <c r="G966" s="18">
        <v>350621.39763587329</v>
      </c>
      <c r="H966" s="19">
        <v>0.23895714471082519</v>
      </c>
      <c r="I966" s="19">
        <v>6.2236853865914155E-2</v>
      </c>
      <c r="J966" s="19">
        <v>0.16764062460967444</v>
      </c>
    </row>
    <row r="967" spans="1:10" ht="11.25" customHeight="1" x14ac:dyDescent="0.2">
      <c r="A967" s="28">
        <v>44562</v>
      </c>
      <c r="B967" s="18">
        <v>0</v>
      </c>
      <c r="C967" s="18">
        <v>0</v>
      </c>
      <c r="D967" s="18">
        <v>481990.02600000007</v>
      </c>
      <c r="E967" s="18">
        <v>597164.98639205657</v>
      </c>
      <c r="F967" s="18">
        <v>326115.95520000003</v>
      </c>
      <c r="G967" s="18">
        <v>346412.38624712545</v>
      </c>
      <c r="H967" s="19">
        <v>0.23895714471082541</v>
      </c>
      <c r="I967" s="19">
        <v>6.2236853865914155E-2</v>
      </c>
      <c r="J967" s="19">
        <v>0.16764062460967466</v>
      </c>
    </row>
    <row r="968" spans="1:10" ht="11.25" customHeight="1" x14ac:dyDescent="0.2">
      <c r="A968" s="28">
        <v>44593</v>
      </c>
      <c r="B968" s="18">
        <v>0</v>
      </c>
      <c r="C968" s="18">
        <v>0</v>
      </c>
      <c r="D968" s="18">
        <v>442233.11040000001</v>
      </c>
      <c r="E968" s="18">
        <v>547907.87175777124</v>
      </c>
      <c r="F968" s="18">
        <v>299216.30208000005</v>
      </c>
      <c r="G968" s="18">
        <v>317838.58334685222</v>
      </c>
      <c r="H968" s="19">
        <v>0.23895714471082541</v>
      </c>
      <c r="I968" s="19">
        <v>6.2236853865914155E-2</v>
      </c>
      <c r="J968" s="19">
        <v>0.16764062460967444</v>
      </c>
    </row>
    <row r="969" spans="1:10" ht="11.25" customHeight="1" x14ac:dyDescent="0.2">
      <c r="A969" s="28">
        <v>44621</v>
      </c>
      <c r="B969" s="18">
        <v>0</v>
      </c>
      <c r="C969" s="18">
        <v>0</v>
      </c>
      <c r="D969" s="18">
        <v>442233.11040000001</v>
      </c>
      <c r="E969" s="18">
        <v>547907.87175777124</v>
      </c>
      <c r="F969" s="18">
        <v>299216.30208000005</v>
      </c>
      <c r="G969" s="18">
        <v>317838.58334685222</v>
      </c>
      <c r="H969" s="19">
        <v>0.23895714471082541</v>
      </c>
      <c r="I969" s="19">
        <v>6.2236853865914155E-2</v>
      </c>
      <c r="J969" s="19">
        <v>0.16764062460967444</v>
      </c>
    </row>
    <row r="970" spans="1:10" ht="11.25" customHeight="1" x14ac:dyDescent="0.2">
      <c r="A970" s="23" t="s">
        <v>46</v>
      </c>
      <c r="B970" s="18">
        <v>0</v>
      </c>
      <c r="C970" s="18">
        <v>0</v>
      </c>
      <c r="D970" s="18">
        <v>14972502.2598</v>
      </c>
      <c r="E970" s="18">
        <v>18550288.648978189</v>
      </c>
      <c r="F970" s="18">
        <v>10130441.736959999</v>
      </c>
      <c r="G970" s="18">
        <v>10760928.558940338</v>
      </c>
      <c r="H970" s="19">
        <v>0.23895714471082563</v>
      </c>
      <c r="I970" s="19">
        <v>6.2236853865914377E-2</v>
      </c>
      <c r="J970" s="19">
        <v>0.16764062460967488</v>
      </c>
    </row>
    <row r="971" spans="1:10" ht="11.25" customHeight="1" x14ac:dyDescent="0.2">
      <c r="A971" s="24" t="s">
        <v>25</v>
      </c>
      <c r="B971" s="18">
        <v>0</v>
      </c>
      <c r="C971" s="18">
        <v>0</v>
      </c>
      <c r="D971" s="18">
        <v>14972502.2598</v>
      </c>
      <c r="E971" s="18">
        <v>18550288.648978189</v>
      </c>
      <c r="F971" s="18">
        <v>10130441.736959999</v>
      </c>
      <c r="G971" s="18">
        <v>10760928.558940338</v>
      </c>
      <c r="H971" s="19">
        <v>0.23895714471082563</v>
      </c>
      <c r="I971" s="19">
        <v>6.2236853865914377E-2</v>
      </c>
      <c r="J971" s="19">
        <v>0.16764062460967488</v>
      </c>
    </row>
    <row r="972" spans="1:10" ht="11.25" customHeight="1" x14ac:dyDescent="0.2">
      <c r="A972" s="25" t="s">
        <v>25</v>
      </c>
      <c r="B972" s="18">
        <v>0</v>
      </c>
      <c r="C972" s="18">
        <v>0</v>
      </c>
      <c r="D972" s="18">
        <v>14972502.2598</v>
      </c>
      <c r="E972" s="18">
        <v>18550288.648978189</v>
      </c>
      <c r="F972" s="18">
        <v>10130441.736959999</v>
      </c>
      <c r="G972" s="18">
        <v>10760928.558940338</v>
      </c>
      <c r="H972" s="19">
        <v>0.23895714471082563</v>
      </c>
      <c r="I972" s="19">
        <v>6.2236853865914377E-2</v>
      </c>
      <c r="J972" s="19">
        <v>0.16764062460967488</v>
      </c>
    </row>
    <row r="973" spans="1:10" ht="11.25" customHeight="1" x14ac:dyDescent="0.2">
      <c r="A973" s="26" t="s">
        <v>25</v>
      </c>
      <c r="B973" s="18">
        <v>0</v>
      </c>
      <c r="C973" s="18">
        <v>0</v>
      </c>
      <c r="D973" s="18">
        <v>14972502.2598</v>
      </c>
      <c r="E973" s="18">
        <v>18550288.648978189</v>
      </c>
      <c r="F973" s="18">
        <v>10130441.736959999</v>
      </c>
      <c r="G973" s="18">
        <v>10760928.558940338</v>
      </c>
      <c r="H973" s="19">
        <v>0.23895714471082563</v>
      </c>
      <c r="I973" s="19">
        <v>6.2236853865914377E-2</v>
      </c>
      <c r="J973" s="19">
        <v>0.16764062460967488</v>
      </c>
    </row>
    <row r="974" spans="1:10" ht="11.25" customHeight="1" x14ac:dyDescent="0.2">
      <c r="A974" s="27" t="s">
        <v>25</v>
      </c>
      <c r="B974" s="18">
        <v>0</v>
      </c>
      <c r="C974" s="18">
        <v>0</v>
      </c>
      <c r="D974" s="18">
        <v>14972502.2598</v>
      </c>
      <c r="E974" s="18">
        <v>18550288.648978189</v>
      </c>
      <c r="F974" s="18">
        <v>10130441.736959999</v>
      </c>
      <c r="G974" s="18">
        <v>10760928.558940338</v>
      </c>
      <c r="H974" s="19">
        <v>0.23895714471082563</v>
      </c>
      <c r="I974" s="19">
        <v>6.2236853865914377E-2</v>
      </c>
      <c r="J974" s="19">
        <v>0.16764062460967488</v>
      </c>
    </row>
    <row r="975" spans="1:10" ht="11.25" customHeight="1" x14ac:dyDescent="0.2">
      <c r="A975" s="28">
        <v>44287</v>
      </c>
      <c r="B975" s="18">
        <v>0</v>
      </c>
      <c r="C975" s="18">
        <v>0</v>
      </c>
      <c r="D975" s="18">
        <v>1320722.5344</v>
      </c>
      <c r="E975" s="18">
        <v>1636318.620175469</v>
      </c>
      <c r="F975" s="18">
        <v>893604.98687999998</v>
      </c>
      <c r="G975" s="18">
        <v>949220.14986230293</v>
      </c>
      <c r="H975" s="19">
        <v>0.23895714471082541</v>
      </c>
      <c r="I975" s="19">
        <v>6.2236853865914377E-2</v>
      </c>
      <c r="J975" s="19">
        <v>0.16764062460967488</v>
      </c>
    </row>
    <row r="976" spans="1:10" ht="11.25" customHeight="1" x14ac:dyDescent="0.2">
      <c r="A976" s="28">
        <v>44317</v>
      </c>
      <c r="B976" s="18">
        <v>0</v>
      </c>
      <c r="C976" s="18">
        <v>0</v>
      </c>
      <c r="D976" s="18">
        <v>1188713.3585999999</v>
      </c>
      <c r="E976" s="18">
        <v>1472764.9086506714</v>
      </c>
      <c r="F976" s="18">
        <v>804287.16671999998</v>
      </c>
      <c r="G976" s="18">
        <v>854343.46958138293</v>
      </c>
      <c r="H976" s="19">
        <v>0.23895714471082541</v>
      </c>
      <c r="I976" s="19">
        <v>6.2236853865914377E-2</v>
      </c>
      <c r="J976" s="19">
        <v>0.16764062460967466</v>
      </c>
    </row>
    <row r="977" spans="1:10" ht="11.25" customHeight="1" x14ac:dyDescent="0.2">
      <c r="A977" s="28">
        <v>44348</v>
      </c>
      <c r="B977" s="18">
        <v>0</v>
      </c>
      <c r="C977" s="18">
        <v>0</v>
      </c>
      <c r="D977" s="18">
        <v>1048166.5446</v>
      </c>
      <c r="E977" s="18">
        <v>1298633.429279028</v>
      </c>
      <c r="F977" s="18">
        <v>709192.75391999993</v>
      </c>
      <c r="G977" s="18">
        <v>753330.67970848433</v>
      </c>
      <c r="H977" s="19">
        <v>0.23895714471082541</v>
      </c>
      <c r="I977" s="19">
        <v>6.2236853865914377E-2</v>
      </c>
      <c r="J977" s="19">
        <v>0.16764062460967466</v>
      </c>
    </row>
    <row r="978" spans="1:10" ht="11.25" customHeight="1" x14ac:dyDescent="0.2">
      <c r="A978" s="28">
        <v>44378</v>
      </c>
      <c r="B978" s="18">
        <v>0</v>
      </c>
      <c r="C978" s="18">
        <v>0</v>
      </c>
      <c r="D978" s="18">
        <v>1031027.9136000001</v>
      </c>
      <c r="E978" s="18">
        <v>1277399.3999510158</v>
      </c>
      <c r="F978" s="18">
        <v>697596.70272000006</v>
      </c>
      <c r="G978" s="18">
        <v>741012.92676452838</v>
      </c>
      <c r="H978" s="19">
        <v>0.23895714471082563</v>
      </c>
      <c r="I978" s="19">
        <v>6.2236853865914377E-2</v>
      </c>
      <c r="J978" s="19">
        <v>0.16764062460967488</v>
      </c>
    </row>
    <row r="979" spans="1:10" ht="11.25" customHeight="1" x14ac:dyDescent="0.2">
      <c r="A979" s="28">
        <v>44409</v>
      </c>
      <c r="B979" s="18">
        <v>0</v>
      </c>
      <c r="C979" s="18">
        <v>0</v>
      </c>
      <c r="D979" s="18">
        <v>1060075.8246000002</v>
      </c>
      <c r="E979" s="18">
        <v>1313388.5168233898</v>
      </c>
      <c r="F979" s="18">
        <v>717250.60992000008</v>
      </c>
      <c r="G979" s="18">
        <v>761890.03131482902</v>
      </c>
      <c r="H979" s="19">
        <v>0.23895714471082519</v>
      </c>
      <c r="I979" s="19">
        <v>6.2236853865914377E-2</v>
      </c>
      <c r="J979" s="19">
        <v>0.16764062460967466</v>
      </c>
    </row>
    <row r="980" spans="1:10" ht="11.25" customHeight="1" x14ac:dyDescent="0.2">
      <c r="A980" s="28">
        <v>44440</v>
      </c>
      <c r="B980" s="18">
        <v>0</v>
      </c>
      <c r="C980" s="18">
        <v>0</v>
      </c>
      <c r="D980" s="18">
        <v>1163172.7997999999</v>
      </c>
      <c r="E980" s="18">
        <v>1441121.2508455045</v>
      </c>
      <c r="F980" s="18">
        <v>787006.34496000002</v>
      </c>
      <c r="G980" s="18">
        <v>835987.14384282287</v>
      </c>
      <c r="H980" s="19">
        <v>0.23895714471082541</v>
      </c>
      <c r="I980" s="19">
        <v>6.2236853865914377E-2</v>
      </c>
      <c r="J980" s="19">
        <v>0.16764062460967444</v>
      </c>
    </row>
    <row r="981" spans="1:10" ht="11.25" customHeight="1" x14ac:dyDescent="0.2">
      <c r="A981" s="28">
        <v>44470</v>
      </c>
      <c r="B981" s="18">
        <v>0</v>
      </c>
      <c r="C981" s="18">
        <v>0</v>
      </c>
      <c r="D981" s="18">
        <v>1328603.7774</v>
      </c>
      <c r="E981" s="18">
        <v>1646083.1424995209</v>
      </c>
      <c r="F981" s="18">
        <v>898937.46048000001</v>
      </c>
      <c r="G981" s="18">
        <v>954884.49984248995</v>
      </c>
      <c r="H981" s="19">
        <v>0.23895714471082519</v>
      </c>
      <c r="I981" s="19">
        <v>6.2236853865914377E-2</v>
      </c>
      <c r="J981" s="19">
        <v>0.16764062460967466</v>
      </c>
    </row>
    <row r="982" spans="1:10" ht="11.25" customHeight="1" x14ac:dyDescent="0.2">
      <c r="A982" s="28">
        <v>44501</v>
      </c>
      <c r="B982" s="18">
        <v>0</v>
      </c>
      <c r="C982" s="18">
        <v>0</v>
      </c>
      <c r="D982" s="18">
        <v>1376714.4989999998</v>
      </c>
      <c r="E982" s="18">
        <v>1705690.2647630344</v>
      </c>
      <c r="F982" s="18">
        <v>931489.32479999994</v>
      </c>
      <c r="G982" s="18">
        <v>989462.2897852367</v>
      </c>
      <c r="H982" s="19">
        <v>0.23895714471082541</v>
      </c>
      <c r="I982" s="19">
        <v>6.2236853865914377E-2</v>
      </c>
      <c r="J982" s="19">
        <v>0.16764062460967444</v>
      </c>
    </row>
    <row r="983" spans="1:10" ht="11.25" customHeight="1" x14ac:dyDescent="0.2">
      <c r="A983" s="28">
        <v>44531</v>
      </c>
      <c r="B983" s="18">
        <v>0</v>
      </c>
      <c r="C983" s="18">
        <v>0</v>
      </c>
      <c r="D983" s="18">
        <v>1484952.1980000001</v>
      </c>
      <c r="E983" s="18">
        <v>1839792.1352661443</v>
      </c>
      <c r="F983" s="18">
        <v>1004723.2896</v>
      </c>
      <c r="G983" s="18">
        <v>1067254.1061505158</v>
      </c>
      <c r="H983" s="19">
        <v>0.23895714471082541</v>
      </c>
      <c r="I983" s="19">
        <v>6.2236853865914155E-2</v>
      </c>
      <c r="J983" s="19">
        <v>0.16764062460967444</v>
      </c>
    </row>
    <row r="984" spans="1:10" ht="11.25" customHeight="1" x14ac:dyDescent="0.2">
      <c r="A984" s="28">
        <v>44562</v>
      </c>
      <c r="B984" s="18">
        <v>0</v>
      </c>
      <c r="C984" s="18">
        <v>0</v>
      </c>
      <c r="D984" s="18">
        <v>1308377.3885999999</v>
      </c>
      <c r="E984" s="18">
        <v>1621023.513584062</v>
      </c>
      <c r="F984" s="18">
        <v>885252.22272000008</v>
      </c>
      <c r="G984" s="18">
        <v>940347.53593990044</v>
      </c>
      <c r="H984" s="19">
        <v>0.23895714471082541</v>
      </c>
      <c r="I984" s="19">
        <v>6.2236853865914155E-2</v>
      </c>
      <c r="J984" s="19">
        <v>0.16764062460967466</v>
      </c>
    </row>
    <row r="985" spans="1:10" ht="11.25" customHeight="1" x14ac:dyDescent="0.2">
      <c r="A985" s="28">
        <v>44593</v>
      </c>
      <c r="B985" s="18">
        <v>0</v>
      </c>
      <c r="C985" s="18">
        <v>0</v>
      </c>
      <c r="D985" s="18">
        <v>1330987.7105999999</v>
      </c>
      <c r="E985" s="18">
        <v>1649036.7335701745</v>
      </c>
      <c r="F985" s="18">
        <v>900550.43712000002</v>
      </c>
      <c r="G985" s="18">
        <v>956597.86307392281</v>
      </c>
      <c r="H985" s="19">
        <v>0.23895714471082563</v>
      </c>
      <c r="I985" s="19">
        <v>6.2236853865914377E-2</v>
      </c>
      <c r="J985" s="19">
        <v>0.16764062460967488</v>
      </c>
    </row>
    <row r="986" spans="1:10" ht="11.25" customHeight="1" x14ac:dyDescent="0.2">
      <c r="A986" s="28">
        <v>44621</v>
      </c>
      <c r="B986" s="18">
        <v>0</v>
      </c>
      <c r="C986" s="18">
        <v>0</v>
      </c>
      <c r="D986" s="18">
        <v>1330987.7105999999</v>
      </c>
      <c r="E986" s="18">
        <v>1649036.7335701745</v>
      </c>
      <c r="F986" s="18">
        <v>900550.43712000002</v>
      </c>
      <c r="G986" s="18">
        <v>956597.86307392281</v>
      </c>
      <c r="H986" s="19">
        <v>0.23895714471082563</v>
      </c>
      <c r="I986" s="19">
        <v>6.2236853865914377E-2</v>
      </c>
      <c r="J986" s="19">
        <v>0.16764062460967488</v>
      </c>
    </row>
    <row r="987" spans="1:10" ht="11.25" customHeight="1" x14ac:dyDescent="0.2">
      <c r="A987" s="23" t="s">
        <v>50</v>
      </c>
      <c r="B987" s="18">
        <v>0</v>
      </c>
      <c r="C987" s="18">
        <v>0</v>
      </c>
      <c r="D987" s="18">
        <v>8381405.6248439988</v>
      </c>
      <c r="E987" s="18">
        <v>10384202.381619973</v>
      </c>
      <c r="F987" s="18">
        <v>5670885.1922687991</v>
      </c>
      <c r="G987" s="18">
        <v>6023823.2452704106</v>
      </c>
      <c r="H987" s="19">
        <v>0.23895714471082519</v>
      </c>
      <c r="I987" s="19">
        <v>6.2236853865914599E-2</v>
      </c>
      <c r="J987" s="19">
        <v>0.16764062460967466</v>
      </c>
    </row>
    <row r="988" spans="1:10" ht="11.25" customHeight="1" x14ac:dyDescent="0.2">
      <c r="A988" s="24" t="s">
        <v>51</v>
      </c>
      <c r="B988" s="18">
        <v>0</v>
      </c>
      <c r="C988" s="18">
        <v>0</v>
      </c>
      <c r="D988" s="18">
        <v>8381405.6248439988</v>
      </c>
      <c r="E988" s="18">
        <v>10384202.381619973</v>
      </c>
      <c r="F988" s="18">
        <v>5670885.1922687991</v>
      </c>
      <c r="G988" s="18">
        <v>6023823.2452704106</v>
      </c>
      <c r="H988" s="19">
        <v>0.23895714471082519</v>
      </c>
      <c r="I988" s="19">
        <v>6.2236853865914599E-2</v>
      </c>
      <c r="J988" s="19">
        <v>0.16764062460967466</v>
      </c>
    </row>
    <row r="989" spans="1:10" ht="11.25" customHeight="1" x14ac:dyDescent="0.2">
      <c r="A989" s="25" t="s">
        <v>25</v>
      </c>
      <c r="B989" s="18">
        <v>0</v>
      </c>
      <c r="C989" s="18">
        <v>0</v>
      </c>
      <c r="D989" s="18">
        <v>8381405.6248439988</v>
      </c>
      <c r="E989" s="18">
        <v>10384202.381619973</v>
      </c>
      <c r="F989" s="18">
        <v>5670885.1922687991</v>
      </c>
      <c r="G989" s="18">
        <v>6023823.2452704106</v>
      </c>
      <c r="H989" s="19">
        <v>0.23895714471082519</v>
      </c>
      <c r="I989" s="19">
        <v>6.2236853865914599E-2</v>
      </c>
      <c r="J989" s="19">
        <v>0.16764062460967466</v>
      </c>
    </row>
    <row r="990" spans="1:10" ht="11.25" customHeight="1" x14ac:dyDescent="0.2">
      <c r="A990" s="26" t="s">
        <v>25</v>
      </c>
      <c r="B990" s="18">
        <v>0</v>
      </c>
      <c r="C990" s="18">
        <v>0</v>
      </c>
      <c r="D990" s="18">
        <v>8381405.6248439988</v>
      </c>
      <c r="E990" s="18">
        <v>10384202.381619973</v>
      </c>
      <c r="F990" s="18">
        <v>5670885.1922687991</v>
      </c>
      <c r="G990" s="18">
        <v>6023823.2452704106</v>
      </c>
      <c r="H990" s="19">
        <v>0.23895714471082519</v>
      </c>
      <c r="I990" s="19">
        <v>6.2236853865914599E-2</v>
      </c>
      <c r="J990" s="19">
        <v>0.16764062460967466</v>
      </c>
    </row>
    <row r="991" spans="1:10" ht="11.25" customHeight="1" x14ac:dyDescent="0.2">
      <c r="A991" s="27" t="s">
        <v>25</v>
      </c>
      <c r="B991" s="18">
        <v>0</v>
      </c>
      <c r="C991" s="18">
        <v>0</v>
      </c>
      <c r="D991" s="18">
        <v>8381405.6248439988</v>
      </c>
      <c r="E991" s="18">
        <v>10384202.381619973</v>
      </c>
      <c r="F991" s="18">
        <v>5670885.1922687991</v>
      </c>
      <c r="G991" s="18">
        <v>6023823.2452704106</v>
      </c>
      <c r="H991" s="19">
        <v>0.23895714471082519</v>
      </c>
      <c r="I991" s="19">
        <v>6.2236853865914599E-2</v>
      </c>
      <c r="J991" s="19">
        <v>0.16764062460967466</v>
      </c>
    </row>
    <row r="992" spans="1:10" ht="11.25" customHeight="1" x14ac:dyDescent="0.2">
      <c r="A992" s="28">
        <v>44287</v>
      </c>
      <c r="B992" s="18">
        <v>0</v>
      </c>
      <c r="C992" s="18">
        <v>0</v>
      </c>
      <c r="D992" s="18">
        <v>723316.4493359999</v>
      </c>
      <c r="E992" s="18">
        <v>896158.08279170294</v>
      </c>
      <c r="F992" s="18">
        <v>489398.16606720001</v>
      </c>
      <c r="G992" s="18">
        <v>519856.7682109708</v>
      </c>
      <c r="H992" s="19">
        <v>0.23895714471082563</v>
      </c>
      <c r="I992" s="19">
        <v>6.2236853865914377E-2</v>
      </c>
      <c r="J992" s="19">
        <v>0.16764062460967444</v>
      </c>
    </row>
    <row r="993" spans="1:10" ht="11.25" customHeight="1" x14ac:dyDescent="0.2">
      <c r="A993" s="28">
        <v>44317</v>
      </c>
      <c r="B993" s="18">
        <v>0</v>
      </c>
      <c r="C993" s="18">
        <v>0</v>
      </c>
      <c r="D993" s="18">
        <v>674087.00320799998</v>
      </c>
      <c r="E993" s="18">
        <v>835164.90878126072</v>
      </c>
      <c r="F993" s="18">
        <v>456089.36924160004</v>
      </c>
      <c r="G993" s="18">
        <v>484474.93666488654</v>
      </c>
      <c r="H993" s="19">
        <v>0.23895714471082541</v>
      </c>
      <c r="I993" s="19">
        <v>6.2236853865914377E-2</v>
      </c>
      <c r="J993" s="19">
        <v>0.16764062460967444</v>
      </c>
    </row>
    <row r="994" spans="1:10" ht="11.25" customHeight="1" x14ac:dyDescent="0.2">
      <c r="A994" s="28">
        <v>44348</v>
      </c>
      <c r="B994" s="18">
        <v>0</v>
      </c>
      <c r="C994" s="18">
        <v>0</v>
      </c>
      <c r="D994" s="18">
        <v>687305.88856800005</v>
      </c>
      <c r="E994" s="18">
        <v>851542.54124314606</v>
      </c>
      <c r="F994" s="18">
        <v>465033.30831360002</v>
      </c>
      <c r="G994" s="18">
        <v>493975.51836589625</v>
      </c>
      <c r="H994" s="19">
        <v>0.23895714471082541</v>
      </c>
      <c r="I994" s="19">
        <v>6.2236853865914377E-2</v>
      </c>
      <c r="J994" s="19">
        <v>0.16764062460967444</v>
      </c>
    </row>
    <row r="995" spans="1:10" ht="11.25" customHeight="1" x14ac:dyDescent="0.2">
      <c r="A995" s="28">
        <v>44378</v>
      </c>
      <c r="B995" s="18">
        <v>0</v>
      </c>
      <c r="C995" s="18">
        <v>0</v>
      </c>
      <c r="D995" s="18">
        <v>702853.53669599991</v>
      </c>
      <c r="E995" s="18">
        <v>870805.41097478149</v>
      </c>
      <c r="F995" s="18">
        <v>475552.89553919999</v>
      </c>
      <c r="G995" s="18">
        <v>505149.81160438561</v>
      </c>
      <c r="H995" s="19">
        <v>0.23895714471082563</v>
      </c>
      <c r="I995" s="19">
        <v>6.2236853865914377E-2</v>
      </c>
      <c r="J995" s="19">
        <v>0.16764062460967466</v>
      </c>
    </row>
    <row r="996" spans="1:10" ht="11.25" customHeight="1" x14ac:dyDescent="0.2">
      <c r="A996" s="28">
        <v>44409</v>
      </c>
      <c r="B996" s="18">
        <v>0</v>
      </c>
      <c r="C996" s="18">
        <v>0</v>
      </c>
      <c r="D996" s="18">
        <v>678234.58306800004</v>
      </c>
      <c r="E996" s="18">
        <v>840303.58248206647</v>
      </c>
      <c r="F996" s="18">
        <v>458895.63471360004</v>
      </c>
      <c r="G996" s="18">
        <v>487455.85527097638</v>
      </c>
      <c r="H996" s="19">
        <v>0.23895714471082541</v>
      </c>
      <c r="I996" s="19">
        <v>6.2236853865914377E-2</v>
      </c>
      <c r="J996" s="19">
        <v>0.16764062460967466</v>
      </c>
    </row>
    <row r="997" spans="1:10" ht="11.25" customHeight="1" x14ac:dyDescent="0.2">
      <c r="A997" s="28">
        <v>44440</v>
      </c>
      <c r="B997" s="18">
        <v>0</v>
      </c>
      <c r="C997" s="18">
        <v>0</v>
      </c>
      <c r="D997" s="18">
        <v>686445.13150799996</v>
      </c>
      <c r="E997" s="18">
        <v>850476.10013379867</v>
      </c>
      <c r="F997" s="18">
        <v>464450.91740160005</v>
      </c>
      <c r="G997" s="18">
        <v>493356.88127581327</v>
      </c>
      <c r="H997" s="19">
        <v>0.23895714471082541</v>
      </c>
      <c r="I997" s="19">
        <v>6.2236853865914377E-2</v>
      </c>
      <c r="J997" s="19">
        <v>0.16764062460967466</v>
      </c>
    </row>
    <row r="998" spans="1:10" ht="11.25" customHeight="1" x14ac:dyDescent="0.2">
      <c r="A998" s="28">
        <v>44470</v>
      </c>
      <c r="B998" s="18">
        <v>0</v>
      </c>
      <c r="C998" s="18">
        <v>0</v>
      </c>
      <c r="D998" s="18">
        <v>709767.90541200002</v>
      </c>
      <c r="E998" s="18">
        <v>879372.01749663474</v>
      </c>
      <c r="F998" s="18">
        <v>480231.17898240004</v>
      </c>
      <c r="G998" s="18">
        <v>510119.25669058342</v>
      </c>
      <c r="H998" s="19">
        <v>0.23895714471082541</v>
      </c>
      <c r="I998" s="19">
        <v>6.2236853865914377E-2</v>
      </c>
      <c r="J998" s="19">
        <v>0.16764062460967466</v>
      </c>
    </row>
    <row r="999" spans="1:10" ht="11.25" customHeight="1" x14ac:dyDescent="0.2">
      <c r="A999" s="28">
        <v>44501</v>
      </c>
      <c r="B999" s="18">
        <v>0</v>
      </c>
      <c r="C999" s="18">
        <v>0</v>
      </c>
      <c r="D999" s="18">
        <v>699379.59279600007</v>
      </c>
      <c r="E999" s="18">
        <v>866501.34335955197</v>
      </c>
      <c r="F999" s="18">
        <v>473202.41425919998</v>
      </c>
      <c r="G999" s="18">
        <v>502653.04376444774</v>
      </c>
      <c r="H999" s="19">
        <v>0.23895714471082541</v>
      </c>
      <c r="I999" s="19">
        <v>6.2236853865914377E-2</v>
      </c>
      <c r="J999" s="19">
        <v>0.16764062460967444</v>
      </c>
    </row>
    <row r="1000" spans="1:10" ht="11.25" customHeight="1" x14ac:dyDescent="0.2">
      <c r="A1000" s="28">
        <v>44531</v>
      </c>
      <c r="B1000" s="18">
        <v>0</v>
      </c>
      <c r="C1000" s="18">
        <v>0</v>
      </c>
      <c r="D1000" s="18">
        <v>704923.90963199991</v>
      </c>
      <c r="E1000" s="18">
        <v>873370.51431605464</v>
      </c>
      <c r="F1000" s="18">
        <v>476953.7163264</v>
      </c>
      <c r="G1000" s="18">
        <v>506637.8150702109</v>
      </c>
      <c r="H1000" s="19">
        <v>0.23895714471082563</v>
      </c>
      <c r="I1000" s="19">
        <v>6.2236853865914377E-2</v>
      </c>
      <c r="J1000" s="19">
        <v>0.16764062460967466</v>
      </c>
    </row>
    <row r="1001" spans="1:10" ht="11.25" customHeight="1" x14ac:dyDescent="0.2">
      <c r="A1001" s="28">
        <v>44562</v>
      </c>
      <c r="B1001" s="18">
        <v>0</v>
      </c>
      <c r="C1001" s="18">
        <v>0</v>
      </c>
      <c r="D1001" s="18">
        <v>721250.30696399999</v>
      </c>
      <c r="E1001" s="18">
        <v>893598.22093792388</v>
      </c>
      <c r="F1001" s="18">
        <v>488000.20769280009</v>
      </c>
      <c r="G1001" s="18">
        <v>518371.80530551268</v>
      </c>
      <c r="H1001" s="19">
        <v>0.23895714471082563</v>
      </c>
      <c r="I1001" s="19">
        <v>6.2236853865914155E-2</v>
      </c>
      <c r="J1001" s="19">
        <v>0.16764062460967466</v>
      </c>
    </row>
    <row r="1002" spans="1:10" ht="11.25" customHeight="1" x14ac:dyDescent="0.2">
      <c r="A1002" s="28">
        <v>44593</v>
      </c>
      <c r="B1002" s="18">
        <v>0</v>
      </c>
      <c r="C1002" s="18">
        <v>0</v>
      </c>
      <c r="D1002" s="18">
        <v>696920.65882799996</v>
      </c>
      <c r="E1002" s="18">
        <v>863454.82955152611</v>
      </c>
      <c r="F1002" s="18">
        <v>471538.69186560001</v>
      </c>
      <c r="G1002" s="18">
        <v>500885.77652336372</v>
      </c>
      <c r="H1002" s="19">
        <v>0.23895714471082541</v>
      </c>
      <c r="I1002" s="19">
        <v>6.2236853865914155E-2</v>
      </c>
      <c r="J1002" s="19">
        <v>0.16764062460967466</v>
      </c>
    </row>
    <row r="1003" spans="1:10" ht="11.25" customHeight="1" x14ac:dyDescent="0.2">
      <c r="A1003" s="28">
        <v>44621</v>
      </c>
      <c r="B1003" s="18">
        <v>0</v>
      </c>
      <c r="C1003" s="18">
        <v>0</v>
      </c>
      <c r="D1003" s="18">
        <v>696920.65882799996</v>
      </c>
      <c r="E1003" s="18">
        <v>863454.82955152611</v>
      </c>
      <c r="F1003" s="18">
        <v>471538.69186560001</v>
      </c>
      <c r="G1003" s="18">
        <v>500885.77652336372</v>
      </c>
      <c r="H1003" s="19">
        <v>0.23895714471082541</v>
      </c>
      <c r="I1003" s="19">
        <v>6.2236853865914155E-2</v>
      </c>
      <c r="J1003" s="19">
        <v>0.16764062460967466</v>
      </c>
    </row>
    <row r="1004" spans="1:10" ht="11.25" customHeight="1" x14ac:dyDescent="0.2">
      <c r="A1004" s="21" t="s">
        <v>47</v>
      </c>
      <c r="B1004" s="18">
        <v>0</v>
      </c>
      <c r="C1004" s="18">
        <v>0</v>
      </c>
      <c r="D1004" s="18">
        <v>37612778.920530006</v>
      </c>
      <c r="E1004" s="18">
        <v>46600621.176019371</v>
      </c>
      <c r="F1004" s="18">
        <v>25448528.482390001</v>
      </c>
      <c r="G1004" s="18">
        <v>27032784.490122158</v>
      </c>
      <c r="H1004" s="19">
        <v>0.23895714471082541</v>
      </c>
      <c r="I1004" s="19">
        <v>6.2253344386039577E-2</v>
      </c>
      <c r="J1004" s="19">
        <v>0.16764793973700587</v>
      </c>
    </row>
    <row r="1005" spans="1:10" ht="11.25" customHeight="1" x14ac:dyDescent="0.2">
      <c r="A1005" s="22" t="s">
        <v>23</v>
      </c>
      <c r="B1005" s="18">
        <v>0</v>
      </c>
      <c r="C1005" s="18">
        <v>0</v>
      </c>
      <c r="D1005" s="18">
        <v>37612778.920530006</v>
      </c>
      <c r="E1005" s="18">
        <v>46600621.176019371</v>
      </c>
      <c r="F1005" s="18">
        <v>25448528.482390001</v>
      </c>
      <c r="G1005" s="18">
        <v>27032784.490122158</v>
      </c>
      <c r="H1005" s="19">
        <v>0.23895714471082541</v>
      </c>
      <c r="I1005" s="19">
        <v>6.2253344386039577E-2</v>
      </c>
      <c r="J1005" s="19">
        <v>0.16764793973700587</v>
      </c>
    </row>
    <row r="1006" spans="1:10" ht="11.25" customHeight="1" x14ac:dyDescent="0.2">
      <c r="A1006" s="23" t="s">
        <v>48</v>
      </c>
      <c r="B1006" s="18">
        <v>0</v>
      </c>
      <c r="C1006" s="18">
        <v>0</v>
      </c>
      <c r="D1006" s="18">
        <v>37612778.920530006</v>
      </c>
      <c r="E1006" s="18">
        <v>46600621.176019371</v>
      </c>
      <c r="F1006" s="18">
        <v>25448528.482390001</v>
      </c>
      <c r="G1006" s="18">
        <v>27032784.490122158</v>
      </c>
      <c r="H1006" s="19">
        <v>0.23895714471082541</v>
      </c>
      <c r="I1006" s="19">
        <v>6.2253344386039577E-2</v>
      </c>
      <c r="J1006" s="19">
        <v>0.16764793973700587</v>
      </c>
    </row>
    <row r="1007" spans="1:10" ht="11.25" customHeight="1" x14ac:dyDescent="0.2">
      <c r="A1007" s="24" t="s">
        <v>49</v>
      </c>
      <c r="B1007" s="18">
        <v>0</v>
      </c>
      <c r="C1007" s="18">
        <v>0</v>
      </c>
      <c r="D1007" s="18">
        <v>37612778.920530006</v>
      </c>
      <c r="E1007" s="18">
        <v>46600621.176019371</v>
      </c>
      <c r="F1007" s="18">
        <v>25448528.482390001</v>
      </c>
      <c r="G1007" s="18">
        <v>27032784.490122158</v>
      </c>
      <c r="H1007" s="19">
        <v>0.23895714471082541</v>
      </c>
      <c r="I1007" s="19">
        <v>6.2253344386039577E-2</v>
      </c>
      <c r="J1007" s="19">
        <v>0.16764793973700587</v>
      </c>
    </row>
    <row r="1008" spans="1:10" ht="11.25" customHeight="1" x14ac:dyDescent="0.2">
      <c r="A1008" s="25" t="s">
        <v>25</v>
      </c>
      <c r="B1008" s="18">
        <v>0</v>
      </c>
      <c r="C1008" s="18">
        <v>0</v>
      </c>
      <c r="D1008" s="18">
        <v>37612778.920530006</v>
      </c>
      <c r="E1008" s="18">
        <v>46600621.176019371</v>
      </c>
      <c r="F1008" s="18">
        <v>25448528.482390001</v>
      </c>
      <c r="G1008" s="18">
        <v>27032784.490122158</v>
      </c>
      <c r="H1008" s="19">
        <v>0.23895714471082541</v>
      </c>
      <c r="I1008" s="19">
        <v>6.2253344386039577E-2</v>
      </c>
      <c r="J1008" s="19">
        <v>0.16764793973700587</v>
      </c>
    </row>
    <row r="1009" spans="1:10" ht="11.25" customHeight="1" x14ac:dyDescent="0.2">
      <c r="A1009" s="26" t="s">
        <v>25</v>
      </c>
      <c r="B1009" s="18">
        <v>0</v>
      </c>
      <c r="C1009" s="18">
        <v>0</v>
      </c>
      <c r="D1009" s="18">
        <v>37612778.920530006</v>
      </c>
      <c r="E1009" s="18">
        <v>46600621.176019371</v>
      </c>
      <c r="F1009" s="18">
        <v>25448528.482390001</v>
      </c>
      <c r="G1009" s="18">
        <v>27032784.490122158</v>
      </c>
      <c r="H1009" s="19">
        <v>0.23895714471082541</v>
      </c>
      <c r="I1009" s="19">
        <v>6.2253344386039577E-2</v>
      </c>
      <c r="J1009" s="19">
        <v>0.16764793973700587</v>
      </c>
    </row>
    <row r="1010" spans="1:10" ht="11.25" customHeight="1" x14ac:dyDescent="0.2">
      <c r="A1010" s="27" t="s">
        <v>25</v>
      </c>
      <c r="B1010" s="18">
        <v>0</v>
      </c>
      <c r="C1010" s="18">
        <v>0</v>
      </c>
      <c r="D1010" s="18">
        <v>37612778.920530006</v>
      </c>
      <c r="E1010" s="18">
        <v>46600621.176019371</v>
      </c>
      <c r="F1010" s="18">
        <v>25448528.482390001</v>
      </c>
      <c r="G1010" s="18">
        <v>27032784.490122158</v>
      </c>
      <c r="H1010" s="19">
        <v>0.23895714471082541</v>
      </c>
      <c r="I1010" s="19">
        <v>6.2253344386039577E-2</v>
      </c>
      <c r="J1010" s="19">
        <v>0.16764793973700587</v>
      </c>
    </row>
    <row r="1011" spans="1:10" ht="11.25" customHeight="1" x14ac:dyDescent="0.2">
      <c r="A1011" s="28">
        <v>44287</v>
      </c>
      <c r="B1011" s="18">
        <v>0</v>
      </c>
      <c r="C1011" s="18">
        <v>0</v>
      </c>
      <c r="D1011" s="18">
        <v>3205285.39518</v>
      </c>
      <c r="E1011" s="18">
        <v>3971211.2411955222</v>
      </c>
      <c r="F1011" s="18">
        <v>2168672.4303400004</v>
      </c>
      <c r="G1011" s="18">
        <v>2303679.5420064656</v>
      </c>
      <c r="H1011" s="19">
        <v>0.23895714471082541</v>
      </c>
      <c r="I1011" s="19">
        <v>6.2253344386039355E-2</v>
      </c>
      <c r="J1011" s="19">
        <v>0.16764793973700565</v>
      </c>
    </row>
    <row r="1012" spans="1:10" ht="11.25" customHeight="1" x14ac:dyDescent="0.2">
      <c r="A1012" s="28">
        <v>44317</v>
      </c>
      <c r="B1012" s="18">
        <v>0</v>
      </c>
      <c r="C1012" s="18">
        <v>0</v>
      </c>
      <c r="D1012" s="18">
        <v>3245411.8273499999</v>
      </c>
      <c r="E1012" s="18">
        <v>4020926.1710242978</v>
      </c>
      <c r="F1012" s="18">
        <v>2195821.6780500002</v>
      </c>
      <c r="G1012" s="18">
        <v>2332518.9211839777</v>
      </c>
      <c r="H1012" s="19">
        <v>0.23895714471082541</v>
      </c>
      <c r="I1012" s="19">
        <v>6.2253344386039355E-2</v>
      </c>
      <c r="J1012" s="19">
        <v>0.16764793973700565</v>
      </c>
    </row>
    <row r="1013" spans="1:10" ht="11.25" customHeight="1" x14ac:dyDescent="0.2">
      <c r="A1013" s="28">
        <v>44348</v>
      </c>
      <c r="B1013" s="18">
        <v>0</v>
      </c>
      <c r="C1013" s="18">
        <v>0</v>
      </c>
      <c r="D1013" s="18">
        <v>3123028.2751799999</v>
      </c>
      <c r="E1013" s="18">
        <v>3869298.1946681864</v>
      </c>
      <c r="F1013" s="18">
        <v>2113017.8703400004</v>
      </c>
      <c r="G1013" s="18">
        <v>2244560.2995161316</v>
      </c>
      <c r="H1013" s="19">
        <v>0.23895714471082541</v>
      </c>
      <c r="I1013" s="19">
        <v>6.2253344386039355E-2</v>
      </c>
      <c r="J1013" s="19">
        <v>0.16764793973700587</v>
      </c>
    </row>
    <row r="1014" spans="1:10" ht="11.25" customHeight="1" x14ac:dyDescent="0.2">
      <c r="A1014" s="28">
        <v>44378</v>
      </c>
      <c r="B1014" s="18">
        <v>0</v>
      </c>
      <c r="C1014" s="18">
        <v>0</v>
      </c>
      <c r="D1014" s="18">
        <v>3206690.0497499993</v>
      </c>
      <c r="E1014" s="18">
        <v>3972951.5480108741</v>
      </c>
      <c r="F1014" s="18">
        <v>2169622.8092499999</v>
      </c>
      <c r="G1014" s="18">
        <v>2304689.085182047</v>
      </c>
      <c r="H1014" s="19">
        <v>0.23895714471082541</v>
      </c>
      <c r="I1014" s="19">
        <v>6.2253344386039577E-2</v>
      </c>
      <c r="J1014" s="19">
        <v>0.16764793973700587</v>
      </c>
    </row>
    <row r="1015" spans="1:10" ht="11.25" customHeight="1" x14ac:dyDescent="0.2">
      <c r="A1015" s="28">
        <v>44409</v>
      </c>
      <c r="B1015" s="18">
        <v>0</v>
      </c>
      <c r="C1015" s="18">
        <v>0</v>
      </c>
      <c r="D1015" s="18">
        <v>3246133.8620699998</v>
      </c>
      <c r="E1015" s="18">
        <v>4021820.7410993706</v>
      </c>
      <c r="F1015" s="18">
        <v>2196310.2014099997</v>
      </c>
      <c r="G1015" s="18">
        <v>2333037.8567569484</v>
      </c>
      <c r="H1015" s="19">
        <v>0.23895714471082519</v>
      </c>
      <c r="I1015" s="19">
        <v>6.2253344386039577E-2</v>
      </c>
      <c r="J1015" s="19">
        <v>0.16764793973700565</v>
      </c>
    </row>
    <row r="1016" spans="1:10" ht="11.25" customHeight="1" x14ac:dyDescent="0.2">
      <c r="A1016" s="28">
        <v>44440</v>
      </c>
      <c r="B1016" s="18">
        <v>0</v>
      </c>
      <c r="C1016" s="18">
        <v>0</v>
      </c>
      <c r="D1016" s="18">
        <v>3287330.0176200001</v>
      </c>
      <c r="E1016" s="18">
        <v>4072861.0123526626</v>
      </c>
      <c r="F1016" s="18">
        <v>2224183.21606</v>
      </c>
      <c r="G1016" s="18">
        <v>2362646.0597870322</v>
      </c>
      <c r="H1016" s="19">
        <v>0.23895714471082541</v>
      </c>
      <c r="I1016" s="19">
        <v>6.2253344386039577E-2</v>
      </c>
      <c r="J1016" s="19">
        <v>0.16764793973700587</v>
      </c>
    </row>
    <row r="1017" spans="1:10" ht="11.25" customHeight="1" x14ac:dyDescent="0.2">
      <c r="A1017" s="28">
        <v>44470</v>
      </c>
      <c r="B1017" s="18">
        <v>0</v>
      </c>
      <c r="C1017" s="18">
        <v>0</v>
      </c>
      <c r="D1017" s="18">
        <v>3212403.4922099998</v>
      </c>
      <c r="E1017" s="18">
        <v>3980030.2583675859</v>
      </c>
      <c r="F1017" s="18">
        <v>2173488.4822300002</v>
      </c>
      <c r="G1017" s="18">
        <v>2308795.4092333545</v>
      </c>
      <c r="H1017" s="19">
        <v>0.23895714471082541</v>
      </c>
      <c r="I1017" s="19">
        <v>6.2253344386039355E-2</v>
      </c>
      <c r="J1017" s="19">
        <v>0.16764793973700587</v>
      </c>
    </row>
    <row r="1018" spans="1:10" ht="11.25" customHeight="1" x14ac:dyDescent="0.2">
      <c r="A1018" s="28">
        <v>44501</v>
      </c>
      <c r="B1018" s="18">
        <v>0</v>
      </c>
      <c r="C1018" s="18">
        <v>0</v>
      </c>
      <c r="D1018" s="18">
        <v>3044903.62341</v>
      </c>
      <c r="E1018" s="18">
        <v>3772505.0991797</v>
      </c>
      <c r="F1018" s="18">
        <v>2060159.3078300003</v>
      </c>
      <c r="G1018" s="18">
        <v>2188411.114710446</v>
      </c>
      <c r="H1018" s="19">
        <v>0.23895714471082541</v>
      </c>
      <c r="I1018" s="19">
        <v>6.2253344386039355E-2</v>
      </c>
      <c r="J1018" s="19">
        <v>0.16764793973700609</v>
      </c>
    </row>
    <row r="1019" spans="1:10" ht="11.25" customHeight="1" x14ac:dyDescent="0.2">
      <c r="A1019" s="28">
        <v>44531</v>
      </c>
      <c r="B1019" s="18">
        <v>0</v>
      </c>
      <c r="C1019" s="18">
        <v>0</v>
      </c>
      <c r="D1019" s="18">
        <v>3169700.2415099996</v>
      </c>
      <c r="E1019" s="18">
        <v>3927122.7608104432</v>
      </c>
      <c r="F1019" s="18">
        <v>2144595.7781300005</v>
      </c>
      <c r="G1019" s="18">
        <v>2278104.0376747735</v>
      </c>
      <c r="H1019" s="19">
        <v>0.23895714471082563</v>
      </c>
      <c r="I1019" s="19">
        <v>6.2253344386039355E-2</v>
      </c>
      <c r="J1019" s="19">
        <v>0.16764793973700565</v>
      </c>
    </row>
    <row r="1020" spans="1:10" ht="11.25" customHeight="1" x14ac:dyDescent="0.2">
      <c r="A1020" s="28">
        <v>44562</v>
      </c>
      <c r="B1020" s="18">
        <v>0</v>
      </c>
      <c r="C1020" s="18">
        <v>0</v>
      </c>
      <c r="D1020" s="18">
        <v>3153684.85641</v>
      </c>
      <c r="E1020" s="18">
        <v>3907280.3850155026</v>
      </c>
      <c r="F1020" s="18">
        <v>2133759.8868300002</v>
      </c>
      <c r="G1020" s="18">
        <v>2266593.5759019447</v>
      </c>
      <c r="H1020" s="19">
        <v>0.23895714471082519</v>
      </c>
      <c r="I1020" s="19">
        <v>6.2253344386039355E-2</v>
      </c>
      <c r="J1020" s="19">
        <v>0.16764793973700542</v>
      </c>
    </row>
    <row r="1021" spans="1:10" ht="11.25" customHeight="1" x14ac:dyDescent="0.2">
      <c r="A1021" s="28">
        <v>44593</v>
      </c>
      <c r="B1021" s="18">
        <v>0</v>
      </c>
      <c r="C1021" s="18">
        <v>0</v>
      </c>
      <c r="D1021" s="18">
        <v>2859103.63992</v>
      </c>
      <c r="E1021" s="18">
        <v>3542306.8821476111</v>
      </c>
      <c r="F1021" s="18">
        <v>1934448.4109600002</v>
      </c>
      <c r="G1021" s="18">
        <v>2054874.2940845198</v>
      </c>
      <c r="H1021" s="19">
        <v>0.23895714471082541</v>
      </c>
      <c r="I1021" s="19">
        <v>6.2253344386039355E-2</v>
      </c>
      <c r="J1021" s="19">
        <v>0.16764793973700587</v>
      </c>
    </row>
    <row r="1022" spans="1:10" ht="11.25" customHeight="1" x14ac:dyDescent="0.2">
      <c r="A1022" s="28">
        <v>44621</v>
      </c>
      <c r="B1022" s="18">
        <v>0</v>
      </c>
      <c r="C1022" s="18">
        <v>0</v>
      </c>
      <c r="D1022" s="18">
        <v>2859103.63992</v>
      </c>
      <c r="E1022" s="18">
        <v>3542306.8821476111</v>
      </c>
      <c r="F1022" s="18">
        <v>1934448.4109600002</v>
      </c>
      <c r="G1022" s="18">
        <v>2054874.2940845198</v>
      </c>
      <c r="H1022" s="19">
        <v>0.23895714471082541</v>
      </c>
      <c r="I1022" s="19">
        <v>6.2253344386039355E-2</v>
      </c>
      <c r="J1022" s="19">
        <v>0.16764793973700587</v>
      </c>
    </row>
    <row r="1023" spans="1:10" ht="11.25" customHeight="1" x14ac:dyDescent="0.2">
      <c r="A1023" s="20" t="s">
        <v>63</v>
      </c>
      <c r="B1023" s="18">
        <v>6072836.4699999979</v>
      </c>
      <c r="C1023" s="18">
        <v>7110338.4802937992</v>
      </c>
      <c r="D1023" s="18">
        <v>450380.66015000007</v>
      </c>
      <c r="E1023" s="18">
        <v>520432.12752350135</v>
      </c>
      <c r="F1023" s="18">
        <v>0</v>
      </c>
      <c r="G1023" s="18">
        <v>0</v>
      </c>
      <c r="H1023" s="19">
        <v>0.1697863884598052</v>
      </c>
      <c r="I1023" s="19">
        <v>0</v>
      </c>
      <c r="J1023" s="19">
        <v>0.1697863884598052</v>
      </c>
    </row>
    <row r="1024" spans="1:10" ht="11.25" customHeight="1" x14ac:dyDescent="0.2">
      <c r="A1024" s="21" t="s">
        <v>41</v>
      </c>
      <c r="B1024" s="18">
        <v>6072836.4699999979</v>
      </c>
      <c r="C1024" s="18">
        <v>7110338.4802937992</v>
      </c>
      <c r="D1024" s="18">
        <v>450380.66015000007</v>
      </c>
      <c r="E1024" s="18">
        <v>520432.12752350135</v>
      </c>
      <c r="F1024" s="18">
        <v>0</v>
      </c>
      <c r="G1024" s="18">
        <v>0</v>
      </c>
      <c r="H1024" s="19">
        <v>0.1697863884598052</v>
      </c>
      <c r="I1024" s="19">
        <v>0</v>
      </c>
      <c r="J1024" s="19">
        <v>0.1697863884598052</v>
      </c>
    </row>
    <row r="1025" spans="1:10" ht="11.25" customHeight="1" x14ac:dyDescent="0.2">
      <c r="A1025" s="22" t="s">
        <v>61</v>
      </c>
      <c r="B1025" s="18">
        <v>6072836.4699999979</v>
      </c>
      <c r="C1025" s="18">
        <v>7110338.4802937992</v>
      </c>
      <c r="D1025" s="18">
        <v>450380.66015000007</v>
      </c>
      <c r="E1025" s="18">
        <v>520432.12752350135</v>
      </c>
      <c r="F1025" s="18">
        <v>0</v>
      </c>
      <c r="G1025" s="18">
        <v>0</v>
      </c>
      <c r="H1025" s="19">
        <v>0.1697863884598052</v>
      </c>
      <c r="I1025" s="19">
        <v>0</v>
      </c>
      <c r="J1025" s="19">
        <v>0.1697863884598052</v>
      </c>
    </row>
    <row r="1026" spans="1:10" ht="11.25" customHeight="1" x14ac:dyDescent="0.2">
      <c r="A1026" s="23" t="s">
        <v>25</v>
      </c>
      <c r="B1026" s="18">
        <v>6072836.4699999979</v>
      </c>
      <c r="C1026" s="18">
        <v>7110338.4802937992</v>
      </c>
      <c r="D1026" s="18">
        <v>450380.66015000007</v>
      </c>
      <c r="E1026" s="18">
        <v>520432.12752350135</v>
      </c>
      <c r="F1026" s="18">
        <v>0</v>
      </c>
      <c r="G1026" s="18">
        <v>0</v>
      </c>
      <c r="H1026" s="19">
        <v>0.1697863884598052</v>
      </c>
      <c r="I1026" s="19">
        <v>0</v>
      </c>
      <c r="J1026" s="19">
        <v>0.1697863884598052</v>
      </c>
    </row>
    <row r="1027" spans="1:10" ht="11.25" customHeight="1" x14ac:dyDescent="0.2">
      <c r="A1027" s="24" t="s">
        <v>25</v>
      </c>
      <c r="B1027" s="18">
        <v>6072836.4699999979</v>
      </c>
      <c r="C1027" s="18">
        <v>7110338.4802937992</v>
      </c>
      <c r="D1027" s="18">
        <v>450380.66015000007</v>
      </c>
      <c r="E1027" s="18">
        <v>520432.12752350135</v>
      </c>
      <c r="F1027" s="18">
        <v>0</v>
      </c>
      <c r="G1027" s="18">
        <v>0</v>
      </c>
      <c r="H1027" s="19">
        <v>0.1697863884598052</v>
      </c>
      <c r="I1027" s="19">
        <v>0</v>
      </c>
      <c r="J1027" s="19">
        <v>0.1697863884598052</v>
      </c>
    </row>
    <row r="1028" spans="1:10" ht="11.25" customHeight="1" x14ac:dyDescent="0.2">
      <c r="A1028" s="25" t="s">
        <v>25</v>
      </c>
      <c r="B1028" s="18">
        <v>6072836.4699999979</v>
      </c>
      <c r="C1028" s="18">
        <v>7110338.4802937992</v>
      </c>
      <c r="D1028" s="18">
        <v>450380.66015000007</v>
      </c>
      <c r="E1028" s="18">
        <v>520432.12752350135</v>
      </c>
      <c r="F1028" s="18">
        <v>0</v>
      </c>
      <c r="G1028" s="18">
        <v>0</v>
      </c>
      <c r="H1028" s="19">
        <v>0.1697863884598052</v>
      </c>
      <c r="I1028" s="19">
        <v>0</v>
      </c>
      <c r="J1028" s="19">
        <v>0.1697863884598052</v>
      </c>
    </row>
    <row r="1029" spans="1:10" ht="11.25" customHeight="1" x14ac:dyDescent="0.2">
      <c r="A1029" s="26" t="s">
        <v>62</v>
      </c>
      <c r="B1029" s="18">
        <v>2610816.36</v>
      </c>
      <c r="C1029" s="18">
        <v>3047174.3425287907</v>
      </c>
      <c r="D1029" s="18">
        <v>219652.91399999999</v>
      </c>
      <c r="E1029" s="18">
        <v>253817.36709494609</v>
      </c>
      <c r="F1029" s="18">
        <v>0</v>
      </c>
      <c r="G1029" s="18">
        <v>0</v>
      </c>
      <c r="H1029" s="19">
        <v>0.16623477949251786</v>
      </c>
      <c r="I1029" s="19">
        <v>0</v>
      </c>
      <c r="J1029" s="19">
        <v>0.16623477949251786</v>
      </c>
    </row>
    <row r="1030" spans="1:10" ht="11.25" customHeight="1" x14ac:dyDescent="0.2">
      <c r="A1030" s="27" t="s">
        <v>35</v>
      </c>
      <c r="B1030" s="18">
        <v>1007875.4400000001</v>
      </c>
      <c r="C1030" s="18">
        <v>1103028.0255076892</v>
      </c>
      <c r="D1030" s="18">
        <v>0</v>
      </c>
      <c r="E1030" s="18">
        <v>0</v>
      </c>
      <c r="F1030" s="18">
        <v>0</v>
      </c>
      <c r="G1030" s="18">
        <v>0</v>
      </c>
      <c r="H1030" s="19">
        <v>9.440907252158981E-2</v>
      </c>
      <c r="I1030" s="19">
        <v>0</v>
      </c>
      <c r="J1030" s="19">
        <v>9.440907252158981E-2</v>
      </c>
    </row>
    <row r="1031" spans="1:10" ht="11.25" customHeight="1" x14ac:dyDescent="0.2">
      <c r="A1031" s="28">
        <v>44287</v>
      </c>
      <c r="B1031" s="18">
        <v>83989.62000000001</v>
      </c>
      <c r="C1031" s="18">
        <v>91919.002125640793</v>
      </c>
      <c r="D1031" s="18">
        <v>0</v>
      </c>
      <c r="E1031" s="18">
        <v>0</v>
      </c>
      <c r="F1031" s="18">
        <v>0</v>
      </c>
      <c r="G1031" s="18">
        <v>0</v>
      </c>
      <c r="H1031" s="19">
        <v>9.4409072521590032E-2</v>
      </c>
      <c r="I1031" s="19">
        <v>0</v>
      </c>
      <c r="J1031" s="19">
        <v>9.4409072521590032E-2</v>
      </c>
    </row>
    <row r="1032" spans="1:10" ht="11.25" customHeight="1" x14ac:dyDescent="0.2">
      <c r="A1032" s="28">
        <v>44317</v>
      </c>
      <c r="B1032" s="18">
        <v>83989.62000000001</v>
      </c>
      <c r="C1032" s="18">
        <v>91919.002125640793</v>
      </c>
      <c r="D1032" s="18">
        <v>0</v>
      </c>
      <c r="E1032" s="18">
        <v>0</v>
      </c>
      <c r="F1032" s="18">
        <v>0</v>
      </c>
      <c r="G1032" s="18">
        <v>0</v>
      </c>
      <c r="H1032" s="19">
        <v>9.4409072521590032E-2</v>
      </c>
      <c r="I1032" s="19">
        <v>0</v>
      </c>
      <c r="J1032" s="19">
        <v>9.4409072521590032E-2</v>
      </c>
    </row>
    <row r="1033" spans="1:10" ht="11.25" customHeight="1" x14ac:dyDescent="0.2">
      <c r="A1033" s="28">
        <v>44348</v>
      </c>
      <c r="B1033" s="18">
        <v>83989.62000000001</v>
      </c>
      <c r="C1033" s="18">
        <v>91919.002125640793</v>
      </c>
      <c r="D1033" s="18">
        <v>0</v>
      </c>
      <c r="E1033" s="18">
        <v>0</v>
      </c>
      <c r="F1033" s="18">
        <v>0</v>
      </c>
      <c r="G1033" s="18">
        <v>0</v>
      </c>
      <c r="H1033" s="19">
        <v>9.4409072521590032E-2</v>
      </c>
      <c r="I1033" s="19">
        <v>0</v>
      </c>
      <c r="J1033" s="19">
        <v>9.4409072521590032E-2</v>
      </c>
    </row>
    <row r="1034" spans="1:10" ht="11.25" customHeight="1" x14ac:dyDescent="0.2">
      <c r="A1034" s="28">
        <v>44378</v>
      </c>
      <c r="B1034" s="18">
        <v>83989.62000000001</v>
      </c>
      <c r="C1034" s="18">
        <v>91919.002125640793</v>
      </c>
      <c r="D1034" s="18">
        <v>0</v>
      </c>
      <c r="E1034" s="18">
        <v>0</v>
      </c>
      <c r="F1034" s="18">
        <v>0</v>
      </c>
      <c r="G1034" s="18">
        <v>0</v>
      </c>
      <c r="H1034" s="19">
        <v>9.4409072521590032E-2</v>
      </c>
      <c r="I1034" s="19">
        <v>0</v>
      </c>
      <c r="J1034" s="19">
        <v>9.4409072521590032E-2</v>
      </c>
    </row>
    <row r="1035" spans="1:10" ht="11.25" customHeight="1" x14ac:dyDescent="0.2">
      <c r="A1035" s="28">
        <v>44409</v>
      </c>
      <c r="B1035" s="18">
        <v>83989.62000000001</v>
      </c>
      <c r="C1035" s="18">
        <v>91919.002125640793</v>
      </c>
      <c r="D1035" s="18">
        <v>0</v>
      </c>
      <c r="E1035" s="18">
        <v>0</v>
      </c>
      <c r="F1035" s="18">
        <v>0</v>
      </c>
      <c r="G1035" s="18">
        <v>0</v>
      </c>
      <c r="H1035" s="19">
        <v>9.4409072521590032E-2</v>
      </c>
      <c r="I1035" s="19">
        <v>0</v>
      </c>
      <c r="J1035" s="19">
        <v>9.4409072521590032E-2</v>
      </c>
    </row>
    <row r="1036" spans="1:10" ht="11.25" customHeight="1" x14ac:dyDescent="0.2">
      <c r="A1036" s="28">
        <v>44440</v>
      </c>
      <c r="B1036" s="18">
        <v>83989.62000000001</v>
      </c>
      <c r="C1036" s="18">
        <v>91919.002125640793</v>
      </c>
      <c r="D1036" s="18">
        <v>0</v>
      </c>
      <c r="E1036" s="18">
        <v>0</v>
      </c>
      <c r="F1036" s="18">
        <v>0</v>
      </c>
      <c r="G1036" s="18">
        <v>0</v>
      </c>
      <c r="H1036" s="19">
        <v>9.4409072521590032E-2</v>
      </c>
      <c r="I1036" s="19">
        <v>0</v>
      </c>
      <c r="J1036" s="19">
        <v>9.4409072521590032E-2</v>
      </c>
    </row>
    <row r="1037" spans="1:10" ht="11.25" customHeight="1" x14ac:dyDescent="0.2">
      <c r="A1037" s="28">
        <v>44470</v>
      </c>
      <c r="B1037" s="18">
        <v>83989.62000000001</v>
      </c>
      <c r="C1037" s="18">
        <v>91919.002125640793</v>
      </c>
      <c r="D1037" s="18">
        <v>0</v>
      </c>
      <c r="E1037" s="18">
        <v>0</v>
      </c>
      <c r="F1037" s="18">
        <v>0</v>
      </c>
      <c r="G1037" s="18">
        <v>0</v>
      </c>
      <c r="H1037" s="19">
        <v>9.4409072521590032E-2</v>
      </c>
      <c r="I1037" s="19">
        <v>0</v>
      </c>
      <c r="J1037" s="19">
        <v>9.4409072521590032E-2</v>
      </c>
    </row>
    <row r="1038" spans="1:10" ht="11.25" customHeight="1" x14ac:dyDescent="0.2">
      <c r="A1038" s="28">
        <v>44501</v>
      </c>
      <c r="B1038" s="18">
        <v>83989.62000000001</v>
      </c>
      <c r="C1038" s="18">
        <v>91919.002125640793</v>
      </c>
      <c r="D1038" s="18">
        <v>0</v>
      </c>
      <c r="E1038" s="18">
        <v>0</v>
      </c>
      <c r="F1038" s="18">
        <v>0</v>
      </c>
      <c r="G1038" s="18">
        <v>0</v>
      </c>
      <c r="H1038" s="19">
        <v>9.4409072521590032E-2</v>
      </c>
      <c r="I1038" s="19">
        <v>0</v>
      </c>
      <c r="J1038" s="19">
        <v>9.4409072521590032E-2</v>
      </c>
    </row>
    <row r="1039" spans="1:10" ht="11.25" customHeight="1" x14ac:dyDescent="0.2">
      <c r="A1039" s="28">
        <v>44531</v>
      </c>
      <c r="B1039" s="18">
        <v>83989.62000000001</v>
      </c>
      <c r="C1039" s="18">
        <v>91919.002125640793</v>
      </c>
      <c r="D1039" s="18">
        <v>0</v>
      </c>
      <c r="E1039" s="18">
        <v>0</v>
      </c>
      <c r="F1039" s="18">
        <v>0</v>
      </c>
      <c r="G1039" s="18">
        <v>0</v>
      </c>
      <c r="H1039" s="19">
        <v>9.4409072521590032E-2</v>
      </c>
      <c r="I1039" s="19">
        <v>0</v>
      </c>
      <c r="J1039" s="19">
        <v>9.4409072521590032E-2</v>
      </c>
    </row>
    <row r="1040" spans="1:10" ht="11.25" customHeight="1" x14ac:dyDescent="0.2">
      <c r="A1040" s="28">
        <v>44562</v>
      </c>
      <c r="B1040" s="18">
        <v>83989.62000000001</v>
      </c>
      <c r="C1040" s="18">
        <v>91919.002125640793</v>
      </c>
      <c r="D1040" s="18">
        <v>0</v>
      </c>
      <c r="E1040" s="18">
        <v>0</v>
      </c>
      <c r="F1040" s="18">
        <v>0</v>
      </c>
      <c r="G1040" s="18">
        <v>0</v>
      </c>
      <c r="H1040" s="19">
        <v>9.4409072521590032E-2</v>
      </c>
      <c r="I1040" s="19">
        <v>0</v>
      </c>
      <c r="J1040" s="19">
        <v>9.4409072521590032E-2</v>
      </c>
    </row>
    <row r="1041" spans="1:10" ht="11.25" customHeight="1" x14ac:dyDescent="0.2">
      <c r="A1041" s="28">
        <v>44593</v>
      </c>
      <c r="B1041" s="18">
        <v>83989.62000000001</v>
      </c>
      <c r="C1041" s="18">
        <v>91919.002125640793</v>
      </c>
      <c r="D1041" s="18">
        <v>0</v>
      </c>
      <c r="E1041" s="18">
        <v>0</v>
      </c>
      <c r="F1041" s="18">
        <v>0</v>
      </c>
      <c r="G1041" s="18">
        <v>0</v>
      </c>
      <c r="H1041" s="19">
        <v>9.4409072521590032E-2</v>
      </c>
      <c r="I1041" s="19">
        <v>0</v>
      </c>
      <c r="J1041" s="19">
        <v>9.4409072521590032E-2</v>
      </c>
    </row>
    <row r="1042" spans="1:10" ht="11.25" customHeight="1" x14ac:dyDescent="0.2">
      <c r="A1042" s="28">
        <v>44621</v>
      </c>
      <c r="B1042" s="18">
        <v>83989.62000000001</v>
      </c>
      <c r="C1042" s="18">
        <v>91919.002125640793</v>
      </c>
      <c r="D1042" s="18">
        <v>0</v>
      </c>
      <c r="E1042" s="18">
        <v>0</v>
      </c>
      <c r="F1042" s="18">
        <v>0</v>
      </c>
      <c r="G1042" s="18">
        <v>0</v>
      </c>
      <c r="H1042" s="19">
        <v>9.4409072521590032E-2</v>
      </c>
      <c r="I1042" s="19">
        <v>0</v>
      </c>
      <c r="J1042" s="19">
        <v>9.4409072521590032E-2</v>
      </c>
    </row>
    <row r="1043" spans="1:10" ht="11.25" customHeight="1" x14ac:dyDescent="0.2">
      <c r="A1043" s="27" t="s">
        <v>25</v>
      </c>
      <c r="B1043" s="18">
        <v>0</v>
      </c>
      <c r="C1043" s="18">
        <v>0</v>
      </c>
      <c r="D1043" s="18">
        <v>219652.91399999999</v>
      </c>
      <c r="E1043" s="18">
        <v>253817.36709494609</v>
      </c>
      <c r="F1043" s="18">
        <v>0</v>
      </c>
      <c r="G1043" s="18">
        <v>0</v>
      </c>
      <c r="H1043" s="19">
        <v>0.15553835582143072</v>
      </c>
      <c r="I1043" s="19">
        <v>0</v>
      </c>
      <c r="J1043" s="19">
        <v>0.15553835582143072</v>
      </c>
    </row>
    <row r="1044" spans="1:10" ht="11.25" customHeight="1" x14ac:dyDescent="0.2">
      <c r="A1044" s="28">
        <v>44287</v>
      </c>
      <c r="B1044" s="18">
        <v>0</v>
      </c>
      <c r="C1044" s="18">
        <v>0</v>
      </c>
      <c r="D1044" s="18">
        <v>20814.258700000002</v>
      </c>
      <c r="E1044" s="18">
        <v>24051.674275839909</v>
      </c>
      <c r="F1044" s="18">
        <v>0</v>
      </c>
      <c r="G1044" s="18">
        <v>0</v>
      </c>
      <c r="H1044" s="19">
        <v>0.1555383558214305</v>
      </c>
      <c r="I1044" s="19">
        <v>0</v>
      </c>
      <c r="J1044" s="19">
        <v>0.1555383558214305</v>
      </c>
    </row>
    <row r="1045" spans="1:10" ht="11.25" customHeight="1" x14ac:dyDescent="0.2">
      <c r="A1045" s="28">
        <v>44317</v>
      </c>
      <c r="B1045" s="18">
        <v>0</v>
      </c>
      <c r="C1045" s="18">
        <v>0</v>
      </c>
      <c r="D1045" s="18">
        <v>18840.920549999999</v>
      </c>
      <c r="E1045" s="18">
        <v>21771.406354509203</v>
      </c>
      <c r="F1045" s="18">
        <v>0</v>
      </c>
      <c r="G1045" s="18">
        <v>0</v>
      </c>
      <c r="H1045" s="19">
        <v>0.15553835582143072</v>
      </c>
      <c r="I1045" s="19">
        <v>0</v>
      </c>
      <c r="J1045" s="19">
        <v>0.15553835582143072</v>
      </c>
    </row>
    <row r="1046" spans="1:10" ht="11.25" customHeight="1" x14ac:dyDescent="0.2">
      <c r="A1046" s="28">
        <v>44348</v>
      </c>
      <c r="B1046" s="18">
        <v>0</v>
      </c>
      <c r="C1046" s="18">
        <v>0</v>
      </c>
      <c r="D1046" s="18">
        <v>16476.535449999999</v>
      </c>
      <c r="E1046" s="18">
        <v>19039.268683526516</v>
      </c>
      <c r="F1046" s="18">
        <v>0</v>
      </c>
      <c r="G1046" s="18">
        <v>0</v>
      </c>
      <c r="H1046" s="19">
        <v>0.15553835582143072</v>
      </c>
      <c r="I1046" s="19">
        <v>0</v>
      </c>
      <c r="J1046" s="19">
        <v>0.15553835582143072</v>
      </c>
    </row>
    <row r="1047" spans="1:10" ht="11.25" customHeight="1" x14ac:dyDescent="0.2">
      <c r="A1047" s="28">
        <v>44378</v>
      </c>
      <c r="B1047" s="18">
        <v>0</v>
      </c>
      <c r="C1047" s="18">
        <v>0</v>
      </c>
      <c r="D1047" s="18">
        <v>15403.040500000001</v>
      </c>
      <c r="E1047" s="18">
        <v>17798.804094020907</v>
      </c>
      <c r="F1047" s="18">
        <v>0</v>
      </c>
      <c r="G1047" s="18">
        <v>0</v>
      </c>
      <c r="H1047" s="19">
        <v>0.1555383558214305</v>
      </c>
      <c r="I1047" s="19">
        <v>0</v>
      </c>
      <c r="J1047" s="19">
        <v>0.1555383558214305</v>
      </c>
    </row>
    <row r="1048" spans="1:10" ht="11.25" customHeight="1" x14ac:dyDescent="0.2">
      <c r="A1048" s="28">
        <v>44409</v>
      </c>
      <c r="B1048" s="18">
        <v>0</v>
      </c>
      <c r="C1048" s="18">
        <v>0</v>
      </c>
      <c r="D1048" s="18">
        <v>15685.524950000001</v>
      </c>
      <c r="E1048" s="18">
        <v>18125.225710919025</v>
      </c>
      <c r="F1048" s="18">
        <v>0</v>
      </c>
      <c r="G1048" s="18">
        <v>0</v>
      </c>
      <c r="H1048" s="19">
        <v>0.15553835582143027</v>
      </c>
      <c r="I1048" s="19">
        <v>0</v>
      </c>
      <c r="J1048" s="19">
        <v>0.15553835582143027</v>
      </c>
    </row>
    <row r="1049" spans="1:10" ht="11.25" customHeight="1" x14ac:dyDescent="0.2">
      <c r="A1049" s="28">
        <v>44440</v>
      </c>
      <c r="B1049" s="18">
        <v>0</v>
      </c>
      <c r="C1049" s="18">
        <v>0</v>
      </c>
      <c r="D1049" s="18">
        <v>15585.62815</v>
      </c>
      <c r="E1049" s="18">
        <v>18009.791126895205</v>
      </c>
      <c r="F1049" s="18">
        <v>0</v>
      </c>
      <c r="G1049" s="18">
        <v>0</v>
      </c>
      <c r="H1049" s="19">
        <v>0.1555383558214305</v>
      </c>
      <c r="I1049" s="19">
        <v>0</v>
      </c>
      <c r="J1049" s="19">
        <v>0.1555383558214305</v>
      </c>
    </row>
    <row r="1050" spans="1:10" ht="11.25" customHeight="1" x14ac:dyDescent="0.2">
      <c r="A1050" s="28">
        <v>44470</v>
      </c>
      <c r="B1050" s="18">
        <v>0</v>
      </c>
      <c r="C1050" s="18">
        <v>0</v>
      </c>
      <c r="D1050" s="18">
        <v>16907.002649999999</v>
      </c>
      <c r="E1050" s="18">
        <v>19536.69004404957</v>
      </c>
      <c r="F1050" s="18">
        <v>0</v>
      </c>
      <c r="G1050" s="18">
        <v>0</v>
      </c>
      <c r="H1050" s="19">
        <v>0.15553835582143072</v>
      </c>
      <c r="I1050" s="19">
        <v>0</v>
      </c>
      <c r="J1050" s="19">
        <v>0.15553835582143072</v>
      </c>
    </row>
    <row r="1051" spans="1:10" ht="11.25" customHeight="1" x14ac:dyDescent="0.2">
      <c r="A1051" s="28">
        <v>44501</v>
      </c>
      <c r="B1051" s="18">
        <v>0</v>
      </c>
      <c r="C1051" s="18">
        <v>0</v>
      </c>
      <c r="D1051" s="18">
        <v>19559.044600000001</v>
      </c>
      <c r="E1051" s="18">
        <v>22601.226238522031</v>
      </c>
      <c r="F1051" s="18">
        <v>0</v>
      </c>
      <c r="G1051" s="18">
        <v>0</v>
      </c>
      <c r="H1051" s="19">
        <v>0.1555383558214305</v>
      </c>
      <c r="I1051" s="19">
        <v>0</v>
      </c>
      <c r="J1051" s="19">
        <v>0.1555383558214305</v>
      </c>
    </row>
    <row r="1052" spans="1:10" ht="11.25" customHeight="1" x14ac:dyDescent="0.2">
      <c r="A1052" s="28">
        <v>44531</v>
      </c>
      <c r="B1052" s="18">
        <v>0</v>
      </c>
      <c r="C1052" s="18">
        <v>0</v>
      </c>
      <c r="D1052" s="18">
        <v>19959.953850000002</v>
      </c>
      <c r="E1052" s="18">
        <v>23064.492254100634</v>
      </c>
      <c r="F1052" s="18">
        <v>0</v>
      </c>
      <c r="G1052" s="18">
        <v>0</v>
      </c>
      <c r="H1052" s="19">
        <v>0.1555383558214305</v>
      </c>
      <c r="I1052" s="19">
        <v>0</v>
      </c>
      <c r="J1052" s="19">
        <v>0.1555383558214305</v>
      </c>
    </row>
    <row r="1053" spans="1:10" ht="11.25" customHeight="1" x14ac:dyDescent="0.2">
      <c r="A1053" s="28">
        <v>44562</v>
      </c>
      <c r="B1053" s="18">
        <v>0</v>
      </c>
      <c r="C1053" s="18">
        <v>0</v>
      </c>
      <c r="D1053" s="18">
        <v>19811.237700000001</v>
      </c>
      <c r="E1053" s="18">
        <v>22892.64503864554</v>
      </c>
      <c r="F1053" s="18">
        <v>0</v>
      </c>
      <c r="G1053" s="18">
        <v>0</v>
      </c>
      <c r="H1053" s="19">
        <v>0.1555383558214305</v>
      </c>
      <c r="I1053" s="19">
        <v>0</v>
      </c>
      <c r="J1053" s="19">
        <v>0.1555383558214305</v>
      </c>
    </row>
    <row r="1054" spans="1:10" ht="11.25" customHeight="1" x14ac:dyDescent="0.2">
      <c r="A1054" s="28">
        <v>44593</v>
      </c>
      <c r="B1054" s="18">
        <v>0</v>
      </c>
      <c r="C1054" s="18">
        <v>0</v>
      </c>
      <c r="D1054" s="18">
        <v>20304.883449999998</v>
      </c>
      <c r="E1054" s="18">
        <v>23463.071636958775</v>
      </c>
      <c r="F1054" s="18">
        <v>0</v>
      </c>
      <c r="G1054" s="18">
        <v>0</v>
      </c>
      <c r="H1054" s="19">
        <v>0.15553835582143072</v>
      </c>
      <c r="I1054" s="19">
        <v>0</v>
      </c>
      <c r="J1054" s="19">
        <v>0.15553835582143072</v>
      </c>
    </row>
    <row r="1055" spans="1:10" ht="11.25" customHeight="1" x14ac:dyDescent="0.2">
      <c r="A1055" s="28">
        <v>44621</v>
      </c>
      <c r="B1055" s="18">
        <v>0</v>
      </c>
      <c r="C1055" s="18">
        <v>0</v>
      </c>
      <c r="D1055" s="18">
        <v>20304.883449999998</v>
      </c>
      <c r="E1055" s="18">
        <v>23463.071636958775</v>
      </c>
      <c r="F1055" s="18">
        <v>0</v>
      </c>
      <c r="G1055" s="18">
        <v>0</v>
      </c>
      <c r="H1055" s="19">
        <v>0.15553835582143072</v>
      </c>
      <c r="I1055" s="19">
        <v>0</v>
      </c>
      <c r="J1055" s="19">
        <v>0.15553835582143072</v>
      </c>
    </row>
    <row r="1056" spans="1:10" ht="11.25" customHeight="1" x14ac:dyDescent="0.2">
      <c r="A1056" s="27" t="s">
        <v>34</v>
      </c>
      <c r="B1056" s="18">
        <v>1602940.9199999997</v>
      </c>
      <c r="C1056" s="18">
        <v>1944146.3170211019</v>
      </c>
      <c r="D1056" s="18">
        <v>0</v>
      </c>
      <c r="E1056" s="18">
        <v>0</v>
      </c>
      <c r="F1056" s="18">
        <v>0</v>
      </c>
      <c r="G1056" s="18">
        <v>0</v>
      </c>
      <c r="H1056" s="19">
        <v>0.21286211660321341</v>
      </c>
      <c r="I1056" s="19">
        <v>0</v>
      </c>
      <c r="J1056" s="19">
        <v>0.21286211660321341</v>
      </c>
    </row>
    <row r="1057" spans="1:10" ht="11.25" customHeight="1" x14ac:dyDescent="0.2">
      <c r="A1057" s="28">
        <v>44287</v>
      </c>
      <c r="B1057" s="18">
        <v>133578.41</v>
      </c>
      <c r="C1057" s="18">
        <v>162012.1930850918</v>
      </c>
      <c r="D1057" s="18">
        <v>0</v>
      </c>
      <c r="E1057" s="18">
        <v>0</v>
      </c>
      <c r="F1057" s="18">
        <v>0</v>
      </c>
      <c r="G1057" s="18">
        <v>0</v>
      </c>
      <c r="H1057" s="19">
        <v>0.21286211660321297</v>
      </c>
      <c r="I1057" s="19">
        <v>0</v>
      </c>
      <c r="J1057" s="19">
        <v>0.21286211660321297</v>
      </c>
    </row>
    <row r="1058" spans="1:10" ht="11.25" customHeight="1" x14ac:dyDescent="0.2">
      <c r="A1058" s="28">
        <v>44317</v>
      </c>
      <c r="B1058" s="18">
        <v>133578.41</v>
      </c>
      <c r="C1058" s="18">
        <v>162012.1930850918</v>
      </c>
      <c r="D1058" s="18">
        <v>0</v>
      </c>
      <c r="E1058" s="18">
        <v>0</v>
      </c>
      <c r="F1058" s="18">
        <v>0</v>
      </c>
      <c r="G1058" s="18">
        <v>0</v>
      </c>
      <c r="H1058" s="19">
        <v>0.21286211660321297</v>
      </c>
      <c r="I1058" s="19">
        <v>0</v>
      </c>
      <c r="J1058" s="19">
        <v>0.21286211660321297</v>
      </c>
    </row>
    <row r="1059" spans="1:10" ht="11.25" customHeight="1" x14ac:dyDescent="0.2">
      <c r="A1059" s="28">
        <v>44348</v>
      </c>
      <c r="B1059" s="18">
        <v>133578.41</v>
      </c>
      <c r="C1059" s="18">
        <v>162012.1930850918</v>
      </c>
      <c r="D1059" s="18">
        <v>0</v>
      </c>
      <c r="E1059" s="18">
        <v>0</v>
      </c>
      <c r="F1059" s="18">
        <v>0</v>
      </c>
      <c r="G1059" s="18">
        <v>0</v>
      </c>
      <c r="H1059" s="19">
        <v>0.21286211660321297</v>
      </c>
      <c r="I1059" s="19">
        <v>0</v>
      </c>
      <c r="J1059" s="19">
        <v>0.21286211660321297</v>
      </c>
    </row>
    <row r="1060" spans="1:10" ht="11.25" customHeight="1" x14ac:dyDescent="0.2">
      <c r="A1060" s="28">
        <v>44378</v>
      </c>
      <c r="B1060" s="18">
        <v>133578.41</v>
      </c>
      <c r="C1060" s="18">
        <v>162012.1930850918</v>
      </c>
      <c r="D1060" s="18">
        <v>0</v>
      </c>
      <c r="E1060" s="18">
        <v>0</v>
      </c>
      <c r="F1060" s="18">
        <v>0</v>
      </c>
      <c r="G1060" s="18">
        <v>0</v>
      </c>
      <c r="H1060" s="19">
        <v>0.21286211660321297</v>
      </c>
      <c r="I1060" s="19">
        <v>0</v>
      </c>
      <c r="J1060" s="19">
        <v>0.21286211660321297</v>
      </c>
    </row>
    <row r="1061" spans="1:10" ht="11.25" customHeight="1" x14ac:dyDescent="0.2">
      <c r="A1061" s="28">
        <v>44409</v>
      </c>
      <c r="B1061" s="18">
        <v>133578.41</v>
      </c>
      <c r="C1061" s="18">
        <v>162012.1930850918</v>
      </c>
      <c r="D1061" s="18">
        <v>0</v>
      </c>
      <c r="E1061" s="18">
        <v>0</v>
      </c>
      <c r="F1061" s="18">
        <v>0</v>
      </c>
      <c r="G1061" s="18">
        <v>0</v>
      </c>
      <c r="H1061" s="19">
        <v>0.21286211660321297</v>
      </c>
      <c r="I1061" s="19">
        <v>0</v>
      </c>
      <c r="J1061" s="19">
        <v>0.21286211660321297</v>
      </c>
    </row>
    <row r="1062" spans="1:10" ht="11.25" customHeight="1" x14ac:dyDescent="0.2">
      <c r="A1062" s="28">
        <v>44440</v>
      </c>
      <c r="B1062" s="18">
        <v>133578.41</v>
      </c>
      <c r="C1062" s="18">
        <v>162012.1930850918</v>
      </c>
      <c r="D1062" s="18">
        <v>0</v>
      </c>
      <c r="E1062" s="18">
        <v>0</v>
      </c>
      <c r="F1062" s="18">
        <v>0</v>
      </c>
      <c r="G1062" s="18">
        <v>0</v>
      </c>
      <c r="H1062" s="19">
        <v>0.21286211660321297</v>
      </c>
      <c r="I1062" s="19">
        <v>0</v>
      </c>
      <c r="J1062" s="19">
        <v>0.21286211660321297</v>
      </c>
    </row>
    <row r="1063" spans="1:10" ht="11.25" customHeight="1" x14ac:dyDescent="0.2">
      <c r="A1063" s="28">
        <v>44470</v>
      </c>
      <c r="B1063" s="18">
        <v>133578.41</v>
      </c>
      <c r="C1063" s="18">
        <v>162012.1930850918</v>
      </c>
      <c r="D1063" s="18">
        <v>0</v>
      </c>
      <c r="E1063" s="18">
        <v>0</v>
      </c>
      <c r="F1063" s="18">
        <v>0</v>
      </c>
      <c r="G1063" s="18">
        <v>0</v>
      </c>
      <c r="H1063" s="19">
        <v>0.21286211660321297</v>
      </c>
      <c r="I1063" s="19">
        <v>0</v>
      </c>
      <c r="J1063" s="19">
        <v>0.21286211660321297</v>
      </c>
    </row>
    <row r="1064" spans="1:10" ht="11.25" customHeight="1" x14ac:dyDescent="0.2">
      <c r="A1064" s="28">
        <v>44501</v>
      </c>
      <c r="B1064" s="18">
        <v>133578.41</v>
      </c>
      <c r="C1064" s="18">
        <v>162012.1930850918</v>
      </c>
      <c r="D1064" s="18">
        <v>0</v>
      </c>
      <c r="E1064" s="18">
        <v>0</v>
      </c>
      <c r="F1064" s="18">
        <v>0</v>
      </c>
      <c r="G1064" s="18">
        <v>0</v>
      </c>
      <c r="H1064" s="19">
        <v>0.21286211660321297</v>
      </c>
      <c r="I1064" s="19">
        <v>0</v>
      </c>
      <c r="J1064" s="19">
        <v>0.21286211660321297</v>
      </c>
    </row>
    <row r="1065" spans="1:10" ht="11.25" customHeight="1" x14ac:dyDescent="0.2">
      <c r="A1065" s="28">
        <v>44531</v>
      </c>
      <c r="B1065" s="18">
        <v>133578.41</v>
      </c>
      <c r="C1065" s="18">
        <v>162012.1930850918</v>
      </c>
      <c r="D1065" s="18">
        <v>0</v>
      </c>
      <c r="E1065" s="18">
        <v>0</v>
      </c>
      <c r="F1065" s="18">
        <v>0</v>
      </c>
      <c r="G1065" s="18">
        <v>0</v>
      </c>
      <c r="H1065" s="19">
        <v>0.21286211660321297</v>
      </c>
      <c r="I1065" s="19">
        <v>0</v>
      </c>
      <c r="J1065" s="19">
        <v>0.21286211660321297</v>
      </c>
    </row>
    <row r="1066" spans="1:10" ht="11.25" customHeight="1" x14ac:dyDescent="0.2">
      <c r="A1066" s="28">
        <v>44562</v>
      </c>
      <c r="B1066" s="18">
        <v>133578.41</v>
      </c>
      <c r="C1066" s="18">
        <v>162012.1930850918</v>
      </c>
      <c r="D1066" s="18">
        <v>0</v>
      </c>
      <c r="E1066" s="18">
        <v>0</v>
      </c>
      <c r="F1066" s="18">
        <v>0</v>
      </c>
      <c r="G1066" s="18">
        <v>0</v>
      </c>
      <c r="H1066" s="19">
        <v>0.21286211660321297</v>
      </c>
      <c r="I1066" s="19">
        <v>0</v>
      </c>
      <c r="J1066" s="19">
        <v>0.21286211660321297</v>
      </c>
    </row>
    <row r="1067" spans="1:10" ht="11.25" customHeight="1" x14ac:dyDescent="0.2">
      <c r="A1067" s="28">
        <v>44593</v>
      </c>
      <c r="B1067" s="18">
        <v>133578.41</v>
      </c>
      <c r="C1067" s="18">
        <v>162012.1930850918</v>
      </c>
      <c r="D1067" s="18">
        <v>0</v>
      </c>
      <c r="E1067" s="18">
        <v>0</v>
      </c>
      <c r="F1067" s="18">
        <v>0</v>
      </c>
      <c r="G1067" s="18">
        <v>0</v>
      </c>
      <c r="H1067" s="19">
        <v>0.21286211660321297</v>
      </c>
      <c r="I1067" s="19">
        <v>0</v>
      </c>
      <c r="J1067" s="19">
        <v>0.21286211660321297</v>
      </c>
    </row>
    <row r="1068" spans="1:10" ht="11.25" customHeight="1" x14ac:dyDescent="0.2">
      <c r="A1068" s="28">
        <v>44621</v>
      </c>
      <c r="B1068" s="18">
        <v>133578.41</v>
      </c>
      <c r="C1068" s="18">
        <v>162012.1930850918</v>
      </c>
      <c r="D1068" s="18">
        <v>0</v>
      </c>
      <c r="E1068" s="18">
        <v>0</v>
      </c>
      <c r="F1068" s="18">
        <v>0</v>
      </c>
      <c r="G1068" s="18">
        <v>0</v>
      </c>
      <c r="H1068" s="19">
        <v>0.21286211660321297</v>
      </c>
      <c r="I1068" s="19">
        <v>0</v>
      </c>
      <c r="J1068" s="19">
        <v>0.21286211660321297</v>
      </c>
    </row>
    <row r="1069" spans="1:10" ht="11.25" customHeight="1" x14ac:dyDescent="0.2">
      <c r="A1069" s="26" t="s">
        <v>67</v>
      </c>
      <c r="B1069" s="18">
        <v>3462020.11</v>
      </c>
      <c r="C1069" s="18">
        <v>4063164.1377650062</v>
      </c>
      <c r="D1069" s="18">
        <v>230727.74615000002</v>
      </c>
      <c r="E1069" s="18">
        <v>266614.76042855537</v>
      </c>
      <c r="F1069" s="18">
        <v>0</v>
      </c>
      <c r="G1069" s="18">
        <v>0</v>
      </c>
      <c r="H1069" s="19">
        <v>0.17250867561472782</v>
      </c>
      <c r="I1069" s="19">
        <v>0</v>
      </c>
      <c r="J1069" s="19">
        <v>0.17250867561472782</v>
      </c>
    </row>
    <row r="1070" spans="1:10" ht="11.25" customHeight="1" x14ac:dyDescent="0.2">
      <c r="A1070" s="27" t="s">
        <v>35</v>
      </c>
      <c r="B1070" s="18">
        <v>1146352.1400000001</v>
      </c>
      <c r="C1070" s="18">
        <v>1254578.1823205403</v>
      </c>
      <c r="D1070" s="18">
        <v>0</v>
      </c>
      <c r="E1070" s="18">
        <v>0</v>
      </c>
      <c r="F1070" s="18">
        <v>0</v>
      </c>
      <c r="G1070" s="18">
        <v>0</v>
      </c>
      <c r="H1070" s="19">
        <v>9.4409072521590254E-2</v>
      </c>
      <c r="I1070" s="19">
        <v>0</v>
      </c>
      <c r="J1070" s="19">
        <v>9.4409072521590254E-2</v>
      </c>
    </row>
    <row r="1071" spans="1:10" ht="11.25" customHeight="1" x14ac:dyDescent="0.2">
      <c r="A1071" s="28">
        <v>44287</v>
      </c>
      <c r="B1071" s="18">
        <v>95344.86</v>
      </c>
      <c r="C1071" s="18">
        <v>104346.27980230087</v>
      </c>
      <c r="D1071" s="18">
        <v>0</v>
      </c>
      <c r="E1071" s="18">
        <v>0</v>
      </c>
      <c r="F1071" s="18">
        <v>0</v>
      </c>
      <c r="G1071" s="18">
        <v>0</v>
      </c>
      <c r="H1071" s="19">
        <v>9.4409072521590254E-2</v>
      </c>
      <c r="I1071" s="19">
        <v>0</v>
      </c>
      <c r="J1071" s="19">
        <v>9.4409072521590254E-2</v>
      </c>
    </row>
    <row r="1072" spans="1:10" ht="11.25" customHeight="1" x14ac:dyDescent="0.2">
      <c r="A1072" s="28">
        <v>44317</v>
      </c>
      <c r="B1072" s="18">
        <v>95344.86</v>
      </c>
      <c r="C1072" s="18">
        <v>104346.27980230087</v>
      </c>
      <c r="D1072" s="18">
        <v>0</v>
      </c>
      <c r="E1072" s="18">
        <v>0</v>
      </c>
      <c r="F1072" s="18">
        <v>0</v>
      </c>
      <c r="G1072" s="18">
        <v>0</v>
      </c>
      <c r="H1072" s="19">
        <v>9.4409072521590254E-2</v>
      </c>
      <c r="I1072" s="19">
        <v>0</v>
      </c>
      <c r="J1072" s="19">
        <v>9.4409072521590254E-2</v>
      </c>
    </row>
    <row r="1073" spans="1:10" ht="11.25" customHeight="1" x14ac:dyDescent="0.2">
      <c r="A1073" s="28">
        <v>44348</v>
      </c>
      <c r="B1073" s="18">
        <v>95344.86</v>
      </c>
      <c r="C1073" s="18">
        <v>104346.27980230087</v>
      </c>
      <c r="D1073" s="18">
        <v>0</v>
      </c>
      <c r="E1073" s="18">
        <v>0</v>
      </c>
      <c r="F1073" s="18">
        <v>0</v>
      </c>
      <c r="G1073" s="18">
        <v>0</v>
      </c>
      <c r="H1073" s="19">
        <v>9.4409072521590254E-2</v>
      </c>
      <c r="I1073" s="19">
        <v>0</v>
      </c>
      <c r="J1073" s="19">
        <v>9.4409072521590254E-2</v>
      </c>
    </row>
    <row r="1074" spans="1:10" ht="11.25" customHeight="1" x14ac:dyDescent="0.2">
      <c r="A1074" s="28">
        <v>44378</v>
      </c>
      <c r="B1074" s="18">
        <v>95344.86</v>
      </c>
      <c r="C1074" s="18">
        <v>104346.27980230087</v>
      </c>
      <c r="D1074" s="18">
        <v>0</v>
      </c>
      <c r="E1074" s="18">
        <v>0</v>
      </c>
      <c r="F1074" s="18">
        <v>0</v>
      </c>
      <c r="G1074" s="18">
        <v>0</v>
      </c>
      <c r="H1074" s="19">
        <v>9.4409072521590254E-2</v>
      </c>
      <c r="I1074" s="19">
        <v>0</v>
      </c>
      <c r="J1074" s="19">
        <v>9.4409072521590254E-2</v>
      </c>
    </row>
    <row r="1075" spans="1:10" ht="11.25" customHeight="1" x14ac:dyDescent="0.2">
      <c r="A1075" s="28">
        <v>44409</v>
      </c>
      <c r="B1075" s="18">
        <v>95344.86</v>
      </c>
      <c r="C1075" s="18">
        <v>104346.27980230087</v>
      </c>
      <c r="D1075" s="18">
        <v>0</v>
      </c>
      <c r="E1075" s="18">
        <v>0</v>
      </c>
      <c r="F1075" s="18">
        <v>0</v>
      </c>
      <c r="G1075" s="18">
        <v>0</v>
      </c>
      <c r="H1075" s="19">
        <v>9.4409072521590254E-2</v>
      </c>
      <c r="I1075" s="19">
        <v>0</v>
      </c>
      <c r="J1075" s="19">
        <v>9.4409072521590254E-2</v>
      </c>
    </row>
    <row r="1076" spans="1:10" ht="11.25" customHeight="1" x14ac:dyDescent="0.2">
      <c r="A1076" s="28">
        <v>44440</v>
      </c>
      <c r="B1076" s="18">
        <v>95344.86</v>
      </c>
      <c r="C1076" s="18">
        <v>104346.27980230087</v>
      </c>
      <c r="D1076" s="18">
        <v>0</v>
      </c>
      <c r="E1076" s="18">
        <v>0</v>
      </c>
      <c r="F1076" s="18">
        <v>0</v>
      </c>
      <c r="G1076" s="18">
        <v>0</v>
      </c>
      <c r="H1076" s="19">
        <v>9.4409072521590254E-2</v>
      </c>
      <c r="I1076" s="19">
        <v>0</v>
      </c>
      <c r="J1076" s="19">
        <v>9.4409072521590254E-2</v>
      </c>
    </row>
    <row r="1077" spans="1:10" ht="11.25" customHeight="1" x14ac:dyDescent="0.2">
      <c r="A1077" s="28">
        <v>44470</v>
      </c>
      <c r="B1077" s="18">
        <v>95344.86</v>
      </c>
      <c r="C1077" s="18">
        <v>104346.27980230087</v>
      </c>
      <c r="D1077" s="18">
        <v>0</v>
      </c>
      <c r="E1077" s="18">
        <v>0</v>
      </c>
      <c r="F1077" s="18">
        <v>0</v>
      </c>
      <c r="G1077" s="18">
        <v>0</v>
      </c>
      <c r="H1077" s="19">
        <v>9.4409072521590254E-2</v>
      </c>
      <c r="I1077" s="19">
        <v>0</v>
      </c>
      <c r="J1077" s="19">
        <v>9.4409072521590254E-2</v>
      </c>
    </row>
    <row r="1078" spans="1:10" ht="11.25" customHeight="1" x14ac:dyDescent="0.2">
      <c r="A1078" s="28">
        <v>44501</v>
      </c>
      <c r="B1078" s="18">
        <v>95344.86</v>
      </c>
      <c r="C1078" s="18">
        <v>104346.27980230087</v>
      </c>
      <c r="D1078" s="18">
        <v>0</v>
      </c>
      <c r="E1078" s="18">
        <v>0</v>
      </c>
      <c r="F1078" s="18">
        <v>0</v>
      </c>
      <c r="G1078" s="18">
        <v>0</v>
      </c>
      <c r="H1078" s="19">
        <v>9.4409072521590254E-2</v>
      </c>
      <c r="I1078" s="19">
        <v>0</v>
      </c>
      <c r="J1078" s="19">
        <v>9.4409072521590254E-2</v>
      </c>
    </row>
    <row r="1079" spans="1:10" ht="11.25" customHeight="1" x14ac:dyDescent="0.2">
      <c r="A1079" s="28">
        <v>44531</v>
      </c>
      <c r="B1079" s="18">
        <v>97558.680000000008</v>
      </c>
      <c r="C1079" s="18">
        <v>106769.10449523061</v>
      </c>
      <c r="D1079" s="18">
        <v>0</v>
      </c>
      <c r="E1079" s="18">
        <v>0</v>
      </c>
      <c r="F1079" s="18">
        <v>0</v>
      </c>
      <c r="G1079" s="18">
        <v>0</v>
      </c>
      <c r="H1079" s="19">
        <v>9.4409072521590032E-2</v>
      </c>
      <c r="I1079" s="19">
        <v>0</v>
      </c>
      <c r="J1079" s="19">
        <v>9.4409072521590032E-2</v>
      </c>
    </row>
    <row r="1080" spans="1:10" ht="11.25" customHeight="1" x14ac:dyDescent="0.2">
      <c r="A1080" s="28">
        <v>44562</v>
      </c>
      <c r="B1080" s="18">
        <v>95344.86</v>
      </c>
      <c r="C1080" s="18">
        <v>104346.27980230087</v>
      </c>
      <c r="D1080" s="18">
        <v>0</v>
      </c>
      <c r="E1080" s="18">
        <v>0</v>
      </c>
      <c r="F1080" s="18">
        <v>0</v>
      </c>
      <c r="G1080" s="18">
        <v>0</v>
      </c>
      <c r="H1080" s="19">
        <v>9.4409072521590254E-2</v>
      </c>
      <c r="I1080" s="19">
        <v>0</v>
      </c>
      <c r="J1080" s="19">
        <v>9.4409072521590254E-2</v>
      </c>
    </row>
    <row r="1081" spans="1:10" ht="11.25" customHeight="1" x14ac:dyDescent="0.2">
      <c r="A1081" s="28">
        <v>44593</v>
      </c>
      <c r="B1081" s="18">
        <v>95344.86</v>
      </c>
      <c r="C1081" s="18">
        <v>104346.27980230087</v>
      </c>
      <c r="D1081" s="18">
        <v>0</v>
      </c>
      <c r="E1081" s="18">
        <v>0</v>
      </c>
      <c r="F1081" s="18">
        <v>0</v>
      </c>
      <c r="G1081" s="18">
        <v>0</v>
      </c>
      <c r="H1081" s="19">
        <v>9.4409072521590254E-2</v>
      </c>
      <c r="I1081" s="19">
        <v>0</v>
      </c>
      <c r="J1081" s="19">
        <v>9.4409072521590254E-2</v>
      </c>
    </row>
    <row r="1082" spans="1:10" ht="11.25" customHeight="1" x14ac:dyDescent="0.2">
      <c r="A1082" s="28">
        <v>44621</v>
      </c>
      <c r="B1082" s="18">
        <v>95344.86</v>
      </c>
      <c r="C1082" s="18">
        <v>104346.27980230087</v>
      </c>
      <c r="D1082" s="18">
        <v>0</v>
      </c>
      <c r="E1082" s="18">
        <v>0</v>
      </c>
      <c r="F1082" s="18">
        <v>0</v>
      </c>
      <c r="G1082" s="18">
        <v>0</v>
      </c>
      <c r="H1082" s="19">
        <v>9.4409072521590254E-2</v>
      </c>
      <c r="I1082" s="19">
        <v>0</v>
      </c>
      <c r="J1082" s="19">
        <v>9.4409072521590254E-2</v>
      </c>
    </row>
    <row r="1083" spans="1:10" ht="11.25" customHeight="1" x14ac:dyDescent="0.2">
      <c r="A1083" s="27" t="s">
        <v>25</v>
      </c>
      <c r="B1083" s="18">
        <v>0</v>
      </c>
      <c r="C1083" s="18">
        <v>0</v>
      </c>
      <c r="D1083" s="18">
        <v>230727.74615000002</v>
      </c>
      <c r="E1083" s="18">
        <v>266614.76042855537</v>
      </c>
      <c r="F1083" s="18">
        <v>0</v>
      </c>
      <c r="G1083" s="18">
        <v>0</v>
      </c>
      <c r="H1083" s="19">
        <v>0.15553835582143027</v>
      </c>
      <c r="I1083" s="19">
        <v>0</v>
      </c>
      <c r="J1083" s="19">
        <v>0.15553835582143027</v>
      </c>
    </row>
    <row r="1084" spans="1:10" ht="11.25" customHeight="1" x14ac:dyDescent="0.2">
      <c r="A1084" s="28">
        <v>44287</v>
      </c>
      <c r="B1084" s="18">
        <v>0</v>
      </c>
      <c r="C1084" s="18">
        <v>0</v>
      </c>
      <c r="D1084" s="18">
        <v>20892.568449999999</v>
      </c>
      <c r="E1084" s="18">
        <v>24142.164195599693</v>
      </c>
      <c r="F1084" s="18">
        <v>0</v>
      </c>
      <c r="G1084" s="18">
        <v>0</v>
      </c>
      <c r="H1084" s="19">
        <v>0.1555383558214305</v>
      </c>
      <c r="I1084" s="19">
        <v>0</v>
      </c>
      <c r="J1084" s="19">
        <v>0.1555383558214305</v>
      </c>
    </row>
    <row r="1085" spans="1:10" ht="11.25" customHeight="1" x14ac:dyDescent="0.2">
      <c r="A1085" s="28">
        <v>44317</v>
      </c>
      <c r="B1085" s="18">
        <v>0</v>
      </c>
      <c r="C1085" s="18">
        <v>0</v>
      </c>
      <c r="D1085" s="18">
        <v>19453.8596</v>
      </c>
      <c r="E1085" s="18">
        <v>22479.680936564953</v>
      </c>
      <c r="F1085" s="18">
        <v>0</v>
      </c>
      <c r="G1085" s="18">
        <v>0</v>
      </c>
      <c r="H1085" s="19">
        <v>0.1555383558214305</v>
      </c>
      <c r="I1085" s="19">
        <v>0</v>
      </c>
      <c r="J1085" s="19">
        <v>0.1555383558214305</v>
      </c>
    </row>
    <row r="1086" spans="1:10" ht="11.25" customHeight="1" x14ac:dyDescent="0.2">
      <c r="A1086" s="28">
        <v>44348</v>
      </c>
      <c r="B1086" s="18">
        <v>0</v>
      </c>
      <c r="C1086" s="18">
        <v>0</v>
      </c>
      <c r="D1086" s="18">
        <v>18579.530999999999</v>
      </c>
      <c r="E1086" s="18">
        <v>21469.360703673297</v>
      </c>
      <c r="F1086" s="18">
        <v>0</v>
      </c>
      <c r="G1086" s="18">
        <v>0</v>
      </c>
      <c r="H1086" s="19">
        <v>0.1555383558214305</v>
      </c>
      <c r="I1086" s="19">
        <v>0</v>
      </c>
      <c r="J1086" s="19">
        <v>0.1555383558214305</v>
      </c>
    </row>
    <row r="1087" spans="1:10" ht="11.25" customHeight="1" x14ac:dyDescent="0.2">
      <c r="A1087" s="28">
        <v>44378</v>
      </c>
      <c r="B1087" s="18">
        <v>0</v>
      </c>
      <c r="C1087" s="18">
        <v>0</v>
      </c>
      <c r="D1087" s="18">
        <v>17874.984499999999</v>
      </c>
      <c r="E1087" s="18">
        <v>20655.230199463556</v>
      </c>
      <c r="F1087" s="18">
        <v>0</v>
      </c>
      <c r="G1087" s="18">
        <v>0</v>
      </c>
      <c r="H1087" s="19">
        <v>0.15553835582143072</v>
      </c>
      <c r="I1087" s="19">
        <v>0</v>
      </c>
      <c r="J1087" s="19">
        <v>0.15553835582143072</v>
      </c>
    </row>
    <row r="1088" spans="1:10" ht="11.25" customHeight="1" x14ac:dyDescent="0.2">
      <c r="A1088" s="28">
        <v>44409</v>
      </c>
      <c r="B1088" s="18">
        <v>0</v>
      </c>
      <c r="C1088" s="18">
        <v>0</v>
      </c>
      <c r="D1088" s="18">
        <v>17762.06985</v>
      </c>
      <c r="E1088" s="18">
        <v>20524.752990454403</v>
      </c>
      <c r="F1088" s="18">
        <v>0</v>
      </c>
      <c r="G1088" s="18">
        <v>0</v>
      </c>
      <c r="H1088" s="19">
        <v>0.1555383558214305</v>
      </c>
      <c r="I1088" s="19">
        <v>0</v>
      </c>
      <c r="J1088" s="19">
        <v>0.1555383558214305</v>
      </c>
    </row>
    <row r="1089" spans="1:10" ht="11.25" customHeight="1" x14ac:dyDescent="0.2">
      <c r="A1089" s="28">
        <v>44440</v>
      </c>
      <c r="B1089" s="18">
        <v>0</v>
      </c>
      <c r="C1089" s="18">
        <v>0</v>
      </c>
      <c r="D1089" s="18">
        <v>17747.286049999999</v>
      </c>
      <c r="E1089" s="18">
        <v>20507.66974250961</v>
      </c>
      <c r="F1089" s="18">
        <v>0</v>
      </c>
      <c r="G1089" s="18">
        <v>0</v>
      </c>
      <c r="H1089" s="19">
        <v>0.1555383558214305</v>
      </c>
      <c r="I1089" s="19">
        <v>0</v>
      </c>
      <c r="J1089" s="19">
        <v>0.1555383558214305</v>
      </c>
    </row>
    <row r="1090" spans="1:10" ht="11.25" customHeight="1" x14ac:dyDescent="0.2">
      <c r="A1090" s="28">
        <v>44470</v>
      </c>
      <c r="B1090" s="18">
        <v>0</v>
      </c>
      <c r="C1090" s="18">
        <v>0</v>
      </c>
      <c r="D1090" s="18">
        <v>18390.198</v>
      </c>
      <c r="E1090" s="18">
        <v>21250.579160150563</v>
      </c>
      <c r="F1090" s="18">
        <v>0</v>
      </c>
      <c r="G1090" s="18">
        <v>0</v>
      </c>
      <c r="H1090" s="19">
        <v>0.15553835582143072</v>
      </c>
      <c r="I1090" s="19">
        <v>0</v>
      </c>
      <c r="J1090" s="19">
        <v>0.15553835582143072</v>
      </c>
    </row>
    <row r="1091" spans="1:10" ht="11.25" customHeight="1" x14ac:dyDescent="0.2">
      <c r="A1091" s="28">
        <v>44501</v>
      </c>
      <c r="B1091" s="18">
        <v>0</v>
      </c>
      <c r="C1091" s="18">
        <v>0</v>
      </c>
      <c r="D1091" s="18">
        <v>19827.507600000004</v>
      </c>
      <c r="E1091" s="18">
        <v>22911.445532140922</v>
      </c>
      <c r="F1091" s="18">
        <v>0</v>
      </c>
      <c r="G1091" s="18">
        <v>0</v>
      </c>
      <c r="H1091" s="19">
        <v>0.1555383558214305</v>
      </c>
      <c r="I1091" s="19">
        <v>0</v>
      </c>
      <c r="J1091" s="19">
        <v>0.1555383558214305</v>
      </c>
    </row>
    <row r="1092" spans="1:10" ht="11.25" customHeight="1" x14ac:dyDescent="0.2">
      <c r="A1092" s="28">
        <v>44531</v>
      </c>
      <c r="B1092" s="18">
        <v>0</v>
      </c>
      <c r="C1092" s="18">
        <v>0</v>
      </c>
      <c r="D1092" s="18">
        <v>20648.0471</v>
      </c>
      <c r="E1092" s="18">
        <v>23859.610396857457</v>
      </c>
      <c r="F1092" s="18">
        <v>0</v>
      </c>
      <c r="G1092" s="18">
        <v>0</v>
      </c>
      <c r="H1092" s="19">
        <v>0.1555383558214305</v>
      </c>
      <c r="I1092" s="19">
        <v>0</v>
      </c>
      <c r="J1092" s="19">
        <v>0.1555383558214305</v>
      </c>
    </row>
    <row r="1093" spans="1:10" ht="11.25" customHeight="1" x14ac:dyDescent="0.2">
      <c r="A1093" s="28">
        <v>44562</v>
      </c>
      <c r="B1093" s="18">
        <v>0</v>
      </c>
      <c r="C1093" s="18">
        <v>0</v>
      </c>
      <c r="D1093" s="18">
        <v>19645.373500000002</v>
      </c>
      <c r="E1093" s="18">
        <v>22700.982593687902</v>
      </c>
      <c r="F1093" s="18">
        <v>0</v>
      </c>
      <c r="G1093" s="18">
        <v>0</v>
      </c>
      <c r="H1093" s="19">
        <v>0.1555383558214305</v>
      </c>
      <c r="I1093" s="19">
        <v>0</v>
      </c>
      <c r="J1093" s="19">
        <v>0.1555383558214305</v>
      </c>
    </row>
    <row r="1094" spans="1:10" ht="11.25" customHeight="1" x14ac:dyDescent="0.2">
      <c r="A1094" s="28">
        <v>44593</v>
      </c>
      <c r="B1094" s="18">
        <v>0</v>
      </c>
      <c r="C1094" s="18">
        <v>0</v>
      </c>
      <c r="D1094" s="18">
        <v>19953.160250000001</v>
      </c>
      <c r="E1094" s="18">
        <v>23056.641988726522</v>
      </c>
      <c r="F1094" s="18">
        <v>0</v>
      </c>
      <c r="G1094" s="18">
        <v>0</v>
      </c>
      <c r="H1094" s="19">
        <v>0.1555383558214305</v>
      </c>
      <c r="I1094" s="19">
        <v>0</v>
      </c>
      <c r="J1094" s="19">
        <v>0.1555383558214305</v>
      </c>
    </row>
    <row r="1095" spans="1:10" ht="11.25" customHeight="1" x14ac:dyDescent="0.2">
      <c r="A1095" s="28">
        <v>44621</v>
      </c>
      <c r="B1095" s="18">
        <v>0</v>
      </c>
      <c r="C1095" s="18">
        <v>0</v>
      </c>
      <c r="D1095" s="18">
        <v>19953.160250000001</v>
      </c>
      <c r="E1095" s="18">
        <v>23056.641988726522</v>
      </c>
      <c r="F1095" s="18">
        <v>0</v>
      </c>
      <c r="G1095" s="18">
        <v>0</v>
      </c>
      <c r="H1095" s="19">
        <v>0.1555383558214305</v>
      </c>
      <c r="I1095" s="19">
        <v>0</v>
      </c>
      <c r="J1095" s="19">
        <v>0.1555383558214305</v>
      </c>
    </row>
    <row r="1096" spans="1:10" ht="11.25" customHeight="1" x14ac:dyDescent="0.2">
      <c r="A1096" s="27" t="s">
        <v>34</v>
      </c>
      <c r="B1096" s="18">
        <v>2315667.9700000002</v>
      </c>
      <c r="C1096" s="18">
        <v>2808585.9554444654</v>
      </c>
      <c r="D1096" s="18">
        <v>0</v>
      </c>
      <c r="E1096" s="18">
        <v>0</v>
      </c>
      <c r="F1096" s="18">
        <v>0</v>
      </c>
      <c r="G1096" s="18">
        <v>0</v>
      </c>
      <c r="H1096" s="19">
        <v>0.21286211660321275</v>
      </c>
      <c r="I1096" s="19">
        <v>0</v>
      </c>
      <c r="J1096" s="19">
        <v>0.21286211660321275</v>
      </c>
    </row>
    <row r="1097" spans="1:10" ht="11.25" customHeight="1" x14ac:dyDescent="0.2">
      <c r="A1097" s="28">
        <v>44287</v>
      </c>
      <c r="B1097" s="18">
        <v>191804.13</v>
      </c>
      <c r="C1097" s="18">
        <v>232631.96308503783</v>
      </c>
      <c r="D1097" s="18">
        <v>0</v>
      </c>
      <c r="E1097" s="18">
        <v>0</v>
      </c>
      <c r="F1097" s="18">
        <v>0</v>
      </c>
      <c r="G1097" s="18">
        <v>0</v>
      </c>
      <c r="H1097" s="19">
        <v>0.21286211660321297</v>
      </c>
      <c r="I1097" s="19">
        <v>0</v>
      </c>
      <c r="J1097" s="19">
        <v>0.21286211660321297</v>
      </c>
    </row>
    <row r="1098" spans="1:10" ht="11.25" customHeight="1" x14ac:dyDescent="0.2">
      <c r="A1098" s="28">
        <v>44317</v>
      </c>
      <c r="B1098" s="18">
        <v>191654.68</v>
      </c>
      <c r="C1098" s="18">
        <v>232450.70084171148</v>
      </c>
      <c r="D1098" s="18">
        <v>0</v>
      </c>
      <c r="E1098" s="18">
        <v>0</v>
      </c>
      <c r="F1098" s="18">
        <v>0</v>
      </c>
      <c r="G1098" s="18">
        <v>0</v>
      </c>
      <c r="H1098" s="19">
        <v>0.21286211660321319</v>
      </c>
      <c r="I1098" s="19">
        <v>0</v>
      </c>
      <c r="J1098" s="19">
        <v>0.21286211660321319</v>
      </c>
    </row>
    <row r="1099" spans="1:10" ht="11.25" customHeight="1" x14ac:dyDescent="0.2">
      <c r="A1099" s="28">
        <v>44348</v>
      </c>
      <c r="B1099" s="18">
        <v>191654.68</v>
      </c>
      <c r="C1099" s="18">
        <v>232450.70084171148</v>
      </c>
      <c r="D1099" s="18">
        <v>0</v>
      </c>
      <c r="E1099" s="18">
        <v>0</v>
      </c>
      <c r="F1099" s="18">
        <v>0</v>
      </c>
      <c r="G1099" s="18">
        <v>0</v>
      </c>
      <c r="H1099" s="19">
        <v>0.21286211660321319</v>
      </c>
      <c r="I1099" s="19">
        <v>0</v>
      </c>
      <c r="J1099" s="19">
        <v>0.21286211660321319</v>
      </c>
    </row>
    <row r="1100" spans="1:10" ht="11.25" customHeight="1" x14ac:dyDescent="0.2">
      <c r="A1100" s="28">
        <v>44378</v>
      </c>
      <c r="B1100" s="18">
        <v>191654.68</v>
      </c>
      <c r="C1100" s="18">
        <v>232450.70084171148</v>
      </c>
      <c r="D1100" s="18">
        <v>0</v>
      </c>
      <c r="E1100" s="18">
        <v>0</v>
      </c>
      <c r="F1100" s="18">
        <v>0</v>
      </c>
      <c r="G1100" s="18">
        <v>0</v>
      </c>
      <c r="H1100" s="19">
        <v>0.21286211660321319</v>
      </c>
      <c r="I1100" s="19">
        <v>0</v>
      </c>
      <c r="J1100" s="19">
        <v>0.21286211660321319</v>
      </c>
    </row>
    <row r="1101" spans="1:10" ht="11.25" customHeight="1" x14ac:dyDescent="0.2">
      <c r="A1101" s="28">
        <v>44409</v>
      </c>
      <c r="B1101" s="18">
        <v>191654.68</v>
      </c>
      <c r="C1101" s="18">
        <v>232450.70084171148</v>
      </c>
      <c r="D1101" s="18">
        <v>0</v>
      </c>
      <c r="E1101" s="18">
        <v>0</v>
      </c>
      <c r="F1101" s="18">
        <v>0</v>
      </c>
      <c r="G1101" s="18">
        <v>0</v>
      </c>
      <c r="H1101" s="19">
        <v>0.21286211660321319</v>
      </c>
      <c r="I1101" s="19">
        <v>0</v>
      </c>
      <c r="J1101" s="19">
        <v>0.21286211660321319</v>
      </c>
    </row>
    <row r="1102" spans="1:10" ht="11.25" customHeight="1" x14ac:dyDescent="0.2">
      <c r="A1102" s="28">
        <v>44440</v>
      </c>
      <c r="B1102" s="18">
        <v>191953.58000000002</v>
      </c>
      <c r="C1102" s="18">
        <v>232813.22532836418</v>
      </c>
      <c r="D1102" s="18">
        <v>0</v>
      </c>
      <c r="E1102" s="18">
        <v>0</v>
      </c>
      <c r="F1102" s="18">
        <v>0</v>
      </c>
      <c r="G1102" s="18">
        <v>0</v>
      </c>
      <c r="H1102" s="19">
        <v>0.21286211660321297</v>
      </c>
      <c r="I1102" s="19">
        <v>0</v>
      </c>
      <c r="J1102" s="19">
        <v>0.21286211660321297</v>
      </c>
    </row>
    <row r="1103" spans="1:10" ht="11.25" customHeight="1" x14ac:dyDescent="0.2">
      <c r="A1103" s="28">
        <v>44470</v>
      </c>
      <c r="B1103" s="18">
        <v>192103.03</v>
      </c>
      <c r="C1103" s="18">
        <v>232994.48757169052</v>
      </c>
      <c r="D1103" s="18">
        <v>0</v>
      </c>
      <c r="E1103" s="18">
        <v>0</v>
      </c>
      <c r="F1103" s="18">
        <v>0</v>
      </c>
      <c r="G1103" s="18">
        <v>0</v>
      </c>
      <c r="H1103" s="19">
        <v>0.21286211660321297</v>
      </c>
      <c r="I1103" s="19">
        <v>0</v>
      </c>
      <c r="J1103" s="19">
        <v>0.21286211660321297</v>
      </c>
    </row>
    <row r="1104" spans="1:10" ht="11.25" customHeight="1" x14ac:dyDescent="0.2">
      <c r="A1104" s="28">
        <v>44501</v>
      </c>
      <c r="B1104" s="18">
        <v>192103.03</v>
      </c>
      <c r="C1104" s="18">
        <v>232994.48757169052</v>
      </c>
      <c r="D1104" s="18">
        <v>0</v>
      </c>
      <c r="E1104" s="18">
        <v>0</v>
      </c>
      <c r="F1104" s="18">
        <v>0</v>
      </c>
      <c r="G1104" s="18">
        <v>0</v>
      </c>
      <c r="H1104" s="19">
        <v>0.21286211660321297</v>
      </c>
      <c r="I1104" s="19">
        <v>0</v>
      </c>
      <c r="J1104" s="19">
        <v>0.21286211660321297</v>
      </c>
    </row>
    <row r="1105" spans="1:10" ht="11.25" customHeight="1" x14ac:dyDescent="0.2">
      <c r="A1105" s="28">
        <v>44531</v>
      </c>
      <c r="B1105" s="18">
        <v>206121.44</v>
      </c>
      <c r="C1105" s="18">
        <v>249996.88599570218</v>
      </c>
      <c r="D1105" s="18">
        <v>0</v>
      </c>
      <c r="E1105" s="18">
        <v>0</v>
      </c>
      <c r="F1105" s="18">
        <v>0</v>
      </c>
      <c r="G1105" s="18">
        <v>0</v>
      </c>
      <c r="H1105" s="19">
        <v>0.21286211660321297</v>
      </c>
      <c r="I1105" s="19">
        <v>0</v>
      </c>
      <c r="J1105" s="19">
        <v>0.21286211660321297</v>
      </c>
    </row>
    <row r="1106" spans="1:10" ht="11.25" customHeight="1" x14ac:dyDescent="0.2">
      <c r="A1106" s="28">
        <v>44562</v>
      </c>
      <c r="B1106" s="18">
        <v>191654.68</v>
      </c>
      <c r="C1106" s="18">
        <v>232450.70084171148</v>
      </c>
      <c r="D1106" s="18">
        <v>0</v>
      </c>
      <c r="E1106" s="18">
        <v>0</v>
      </c>
      <c r="F1106" s="18">
        <v>0</v>
      </c>
      <c r="G1106" s="18">
        <v>0</v>
      </c>
      <c r="H1106" s="19">
        <v>0.21286211660321319</v>
      </c>
      <c r="I1106" s="19">
        <v>0</v>
      </c>
      <c r="J1106" s="19">
        <v>0.21286211660321319</v>
      </c>
    </row>
    <row r="1107" spans="1:10" ht="11.25" customHeight="1" x14ac:dyDescent="0.2">
      <c r="A1107" s="28">
        <v>44593</v>
      </c>
      <c r="B1107" s="18">
        <v>191654.68</v>
      </c>
      <c r="C1107" s="18">
        <v>232450.70084171148</v>
      </c>
      <c r="D1107" s="18">
        <v>0</v>
      </c>
      <c r="E1107" s="18">
        <v>0</v>
      </c>
      <c r="F1107" s="18">
        <v>0</v>
      </c>
      <c r="G1107" s="18">
        <v>0</v>
      </c>
      <c r="H1107" s="19">
        <v>0.21286211660321319</v>
      </c>
      <c r="I1107" s="19">
        <v>0</v>
      </c>
      <c r="J1107" s="19">
        <v>0.21286211660321319</v>
      </c>
    </row>
    <row r="1108" spans="1:10" ht="11.25" customHeight="1" x14ac:dyDescent="0.2">
      <c r="A1108" s="28">
        <v>44621</v>
      </c>
      <c r="B1108" s="18">
        <v>191654.68</v>
      </c>
      <c r="C1108" s="18">
        <v>232450.70084171148</v>
      </c>
      <c r="D1108" s="18">
        <v>0</v>
      </c>
      <c r="E1108" s="18">
        <v>0</v>
      </c>
      <c r="F1108" s="18">
        <v>0</v>
      </c>
      <c r="G1108" s="18">
        <v>0</v>
      </c>
      <c r="H1108" s="19">
        <v>0.21286211660321319</v>
      </c>
      <c r="I1108" s="19">
        <v>0</v>
      </c>
      <c r="J1108" s="19">
        <v>0.21286211660321319</v>
      </c>
    </row>
    <row r="1109" spans="1:10" ht="11.25" customHeight="1" x14ac:dyDescent="0.2">
      <c r="A1109" s="20" t="s">
        <v>72</v>
      </c>
      <c r="B1109" s="18">
        <v>3575381.1</v>
      </c>
      <c r="C1109" s="18">
        <v>4596012.3482219605</v>
      </c>
      <c r="D1109" s="18">
        <v>0</v>
      </c>
      <c r="E1109" s="18">
        <v>0</v>
      </c>
      <c r="F1109" s="18">
        <v>0</v>
      </c>
      <c r="G1109" s="18">
        <v>0</v>
      </c>
      <c r="H1109" s="19">
        <v>0.28546082772042403</v>
      </c>
      <c r="I1109" s="19">
        <v>0</v>
      </c>
      <c r="J1109" s="19">
        <v>0.28546082772042403</v>
      </c>
    </row>
    <row r="1110" spans="1:10" ht="11.25" customHeight="1" x14ac:dyDescent="0.2">
      <c r="A1110" s="21" t="s">
        <v>39</v>
      </c>
      <c r="B1110" s="18">
        <v>3533469.3</v>
      </c>
      <c r="C1110" s="18">
        <v>4542487.4765570248</v>
      </c>
      <c r="D1110" s="18">
        <v>0</v>
      </c>
      <c r="E1110" s="18">
        <v>0</v>
      </c>
      <c r="F1110" s="18">
        <v>0</v>
      </c>
      <c r="G1110" s="18">
        <v>0</v>
      </c>
      <c r="H1110" s="19">
        <v>0.28556019336492455</v>
      </c>
      <c r="I1110" s="19">
        <v>0</v>
      </c>
      <c r="J1110" s="19">
        <v>0.28556019336492455</v>
      </c>
    </row>
    <row r="1111" spans="1:10" ht="11.25" customHeight="1" x14ac:dyDescent="0.2">
      <c r="A1111" s="22" t="s">
        <v>69</v>
      </c>
      <c r="B1111" s="18">
        <v>3533469.3</v>
      </c>
      <c r="C1111" s="18">
        <v>4542487.4765570248</v>
      </c>
      <c r="D1111" s="18">
        <v>0</v>
      </c>
      <c r="E1111" s="18">
        <v>0</v>
      </c>
      <c r="F1111" s="18">
        <v>0</v>
      </c>
      <c r="G1111" s="18">
        <v>0</v>
      </c>
      <c r="H1111" s="19">
        <v>0.28556019336492455</v>
      </c>
      <c r="I1111" s="19">
        <v>0</v>
      </c>
      <c r="J1111" s="19">
        <v>0.28556019336492455</v>
      </c>
    </row>
    <row r="1112" spans="1:10" ht="11.25" customHeight="1" x14ac:dyDescent="0.2">
      <c r="A1112" s="23" t="s">
        <v>25</v>
      </c>
      <c r="B1112" s="18">
        <v>3533469.3</v>
      </c>
      <c r="C1112" s="18">
        <v>4542487.4765570248</v>
      </c>
      <c r="D1112" s="18">
        <v>0</v>
      </c>
      <c r="E1112" s="18">
        <v>0</v>
      </c>
      <c r="F1112" s="18">
        <v>0</v>
      </c>
      <c r="G1112" s="18">
        <v>0</v>
      </c>
      <c r="H1112" s="19">
        <v>0.28556019336492455</v>
      </c>
      <c r="I1112" s="19">
        <v>0</v>
      </c>
      <c r="J1112" s="19">
        <v>0.28556019336492455</v>
      </c>
    </row>
    <row r="1113" spans="1:10" ht="11.25" customHeight="1" x14ac:dyDescent="0.2">
      <c r="A1113" s="24" t="s">
        <v>25</v>
      </c>
      <c r="B1113" s="18">
        <v>3533469.3</v>
      </c>
      <c r="C1113" s="18">
        <v>4542487.4765570248</v>
      </c>
      <c r="D1113" s="18">
        <v>0</v>
      </c>
      <c r="E1113" s="18">
        <v>0</v>
      </c>
      <c r="F1113" s="18">
        <v>0</v>
      </c>
      <c r="G1113" s="18">
        <v>0</v>
      </c>
      <c r="H1113" s="19">
        <v>0.28556019336492455</v>
      </c>
      <c r="I1113" s="19">
        <v>0</v>
      </c>
      <c r="J1113" s="19">
        <v>0.28556019336492455</v>
      </c>
    </row>
    <row r="1114" spans="1:10" ht="11.25" customHeight="1" x14ac:dyDescent="0.2">
      <c r="A1114" s="25" t="s">
        <v>70</v>
      </c>
      <c r="B1114" s="18">
        <v>1634469.3</v>
      </c>
      <c r="C1114" s="18">
        <v>2101208.6693570325</v>
      </c>
      <c r="D1114" s="18">
        <v>0</v>
      </c>
      <c r="E1114" s="18">
        <v>0</v>
      </c>
      <c r="F1114" s="18">
        <v>0</v>
      </c>
      <c r="G1114" s="18">
        <v>0</v>
      </c>
      <c r="H1114" s="19">
        <v>0.28556019336492433</v>
      </c>
      <c r="I1114" s="19">
        <v>0</v>
      </c>
      <c r="J1114" s="19">
        <v>0.28556019336492433</v>
      </c>
    </row>
    <row r="1115" spans="1:10" ht="11.25" customHeight="1" x14ac:dyDescent="0.2">
      <c r="A1115" s="26" t="s">
        <v>75</v>
      </c>
      <c r="B1115" s="18">
        <v>785152.1</v>
      </c>
      <c r="C1115" s="18">
        <v>1009360.2854968768</v>
      </c>
      <c r="D1115" s="18">
        <v>0</v>
      </c>
      <c r="E1115" s="18">
        <v>0</v>
      </c>
      <c r="F1115" s="18">
        <v>0</v>
      </c>
      <c r="G1115" s="18">
        <v>0</v>
      </c>
      <c r="H1115" s="19">
        <v>0.28556019336492477</v>
      </c>
      <c r="I1115" s="19">
        <v>0</v>
      </c>
      <c r="J1115" s="19">
        <v>0.28556019336492477</v>
      </c>
    </row>
    <row r="1116" spans="1:10" ht="11.25" customHeight="1" x14ac:dyDescent="0.2">
      <c r="A1116" s="27" t="s">
        <v>25</v>
      </c>
      <c r="B1116" s="18">
        <v>785152.1</v>
      </c>
      <c r="C1116" s="18">
        <v>1009360.2854968768</v>
      </c>
      <c r="D1116" s="18">
        <v>0</v>
      </c>
      <c r="E1116" s="18">
        <v>0</v>
      </c>
      <c r="F1116" s="18">
        <v>0</v>
      </c>
      <c r="G1116" s="18">
        <v>0</v>
      </c>
      <c r="H1116" s="19">
        <v>0.28556019336492477</v>
      </c>
      <c r="I1116" s="19">
        <v>0</v>
      </c>
      <c r="J1116" s="19">
        <v>0.28556019336492477</v>
      </c>
    </row>
    <row r="1117" spans="1:10" ht="11.25" customHeight="1" x14ac:dyDescent="0.2">
      <c r="A1117" s="28">
        <v>44287</v>
      </c>
      <c r="B1117" s="18">
        <v>68575</v>
      </c>
      <c r="C1117" s="18">
        <v>88157.290259999703</v>
      </c>
      <c r="D1117" s="18">
        <v>0</v>
      </c>
      <c r="E1117" s="18">
        <v>0</v>
      </c>
      <c r="F1117" s="18">
        <v>0</v>
      </c>
      <c r="G1117" s="18">
        <v>0</v>
      </c>
      <c r="H1117" s="19">
        <v>0.28556019336492455</v>
      </c>
      <c r="I1117" s="19">
        <v>0</v>
      </c>
      <c r="J1117" s="19">
        <v>0.28556019336492455</v>
      </c>
    </row>
    <row r="1118" spans="1:10" ht="11.25" customHeight="1" x14ac:dyDescent="0.2">
      <c r="A1118" s="28">
        <v>44317</v>
      </c>
      <c r="B1118" s="18">
        <v>68575</v>
      </c>
      <c r="C1118" s="18">
        <v>88157.290259999703</v>
      </c>
      <c r="D1118" s="18">
        <v>0</v>
      </c>
      <c r="E1118" s="18">
        <v>0</v>
      </c>
      <c r="F1118" s="18">
        <v>0</v>
      </c>
      <c r="G1118" s="18">
        <v>0</v>
      </c>
      <c r="H1118" s="19">
        <v>0.28556019336492455</v>
      </c>
      <c r="I1118" s="19">
        <v>0</v>
      </c>
      <c r="J1118" s="19">
        <v>0.28556019336492455</v>
      </c>
    </row>
    <row r="1119" spans="1:10" ht="11.25" customHeight="1" x14ac:dyDescent="0.2">
      <c r="A1119" s="28">
        <v>44348</v>
      </c>
      <c r="B1119" s="18">
        <v>68575</v>
      </c>
      <c r="C1119" s="18">
        <v>88157.290259999703</v>
      </c>
      <c r="D1119" s="18">
        <v>0</v>
      </c>
      <c r="E1119" s="18">
        <v>0</v>
      </c>
      <c r="F1119" s="18">
        <v>0</v>
      </c>
      <c r="G1119" s="18">
        <v>0</v>
      </c>
      <c r="H1119" s="19">
        <v>0.28556019336492455</v>
      </c>
      <c r="I1119" s="19">
        <v>0</v>
      </c>
      <c r="J1119" s="19">
        <v>0.28556019336492455</v>
      </c>
    </row>
    <row r="1120" spans="1:10" ht="11.25" customHeight="1" x14ac:dyDescent="0.2">
      <c r="A1120" s="28">
        <v>44378</v>
      </c>
      <c r="B1120" s="18">
        <v>68575</v>
      </c>
      <c r="C1120" s="18">
        <v>88157.290259999703</v>
      </c>
      <c r="D1120" s="18">
        <v>0</v>
      </c>
      <c r="E1120" s="18">
        <v>0</v>
      </c>
      <c r="F1120" s="18">
        <v>0</v>
      </c>
      <c r="G1120" s="18">
        <v>0</v>
      </c>
      <c r="H1120" s="19">
        <v>0.28556019336492455</v>
      </c>
      <c r="I1120" s="19">
        <v>0</v>
      </c>
      <c r="J1120" s="19">
        <v>0.28556019336492455</v>
      </c>
    </row>
    <row r="1121" spans="1:10" ht="11.25" customHeight="1" x14ac:dyDescent="0.2">
      <c r="A1121" s="28">
        <v>44409</v>
      </c>
      <c r="B1121" s="18">
        <v>65410.000000000007</v>
      </c>
      <c r="C1121" s="18">
        <v>84088.492247999719</v>
      </c>
      <c r="D1121" s="18">
        <v>0</v>
      </c>
      <c r="E1121" s="18">
        <v>0</v>
      </c>
      <c r="F1121" s="18">
        <v>0</v>
      </c>
      <c r="G1121" s="18">
        <v>0</v>
      </c>
      <c r="H1121" s="19">
        <v>0.28556019336492455</v>
      </c>
      <c r="I1121" s="19">
        <v>0</v>
      </c>
      <c r="J1121" s="19">
        <v>0.28556019336492455</v>
      </c>
    </row>
    <row r="1122" spans="1:10" ht="11.25" customHeight="1" x14ac:dyDescent="0.2">
      <c r="A1122" s="28">
        <v>44440</v>
      </c>
      <c r="B1122" s="18">
        <v>65410.000000000007</v>
      </c>
      <c r="C1122" s="18">
        <v>84088.492247999719</v>
      </c>
      <c r="D1122" s="18">
        <v>0</v>
      </c>
      <c r="E1122" s="18">
        <v>0</v>
      </c>
      <c r="F1122" s="18">
        <v>0</v>
      </c>
      <c r="G1122" s="18">
        <v>0</v>
      </c>
      <c r="H1122" s="19">
        <v>0.28556019336492455</v>
      </c>
      <c r="I1122" s="19">
        <v>0</v>
      </c>
      <c r="J1122" s="19">
        <v>0.28556019336492455</v>
      </c>
    </row>
    <row r="1123" spans="1:10" ht="11.25" customHeight="1" x14ac:dyDescent="0.2">
      <c r="A1123" s="28">
        <v>44470</v>
      </c>
      <c r="B1123" s="18">
        <v>65410.000000000007</v>
      </c>
      <c r="C1123" s="18">
        <v>84088.492247999719</v>
      </c>
      <c r="D1123" s="18">
        <v>0</v>
      </c>
      <c r="E1123" s="18">
        <v>0</v>
      </c>
      <c r="F1123" s="18">
        <v>0</v>
      </c>
      <c r="G1123" s="18">
        <v>0</v>
      </c>
      <c r="H1123" s="19">
        <v>0.28556019336492455</v>
      </c>
      <c r="I1123" s="19">
        <v>0</v>
      </c>
      <c r="J1123" s="19">
        <v>0.28556019336492455</v>
      </c>
    </row>
    <row r="1124" spans="1:10" ht="11.25" customHeight="1" x14ac:dyDescent="0.2">
      <c r="A1124" s="28">
        <v>44501</v>
      </c>
      <c r="B1124" s="18">
        <v>52982.100000000006</v>
      </c>
      <c r="C1124" s="18">
        <v>68111.678720879776</v>
      </c>
      <c r="D1124" s="18">
        <v>0</v>
      </c>
      <c r="E1124" s="18">
        <v>0</v>
      </c>
      <c r="F1124" s="18">
        <v>0</v>
      </c>
      <c r="G1124" s="18">
        <v>0</v>
      </c>
      <c r="H1124" s="19">
        <v>0.28556019336492455</v>
      </c>
      <c r="I1124" s="19">
        <v>0</v>
      </c>
      <c r="J1124" s="19">
        <v>0.28556019336492455</v>
      </c>
    </row>
    <row r="1125" spans="1:10" ht="11.25" customHeight="1" x14ac:dyDescent="0.2">
      <c r="A1125" s="28">
        <v>44531</v>
      </c>
      <c r="B1125" s="18">
        <v>65410.000000000007</v>
      </c>
      <c r="C1125" s="18">
        <v>84088.492247999719</v>
      </c>
      <c r="D1125" s="18">
        <v>0</v>
      </c>
      <c r="E1125" s="18">
        <v>0</v>
      </c>
      <c r="F1125" s="18">
        <v>0</v>
      </c>
      <c r="G1125" s="18">
        <v>0</v>
      </c>
      <c r="H1125" s="19">
        <v>0.28556019336492455</v>
      </c>
      <c r="I1125" s="19">
        <v>0</v>
      </c>
      <c r="J1125" s="19">
        <v>0.28556019336492455</v>
      </c>
    </row>
    <row r="1126" spans="1:10" ht="11.25" customHeight="1" x14ac:dyDescent="0.2">
      <c r="A1126" s="28">
        <v>44562</v>
      </c>
      <c r="B1126" s="18">
        <v>65410.000000000007</v>
      </c>
      <c r="C1126" s="18">
        <v>84088.492247999719</v>
      </c>
      <c r="D1126" s="18">
        <v>0</v>
      </c>
      <c r="E1126" s="18">
        <v>0</v>
      </c>
      <c r="F1126" s="18">
        <v>0</v>
      </c>
      <c r="G1126" s="18">
        <v>0</v>
      </c>
      <c r="H1126" s="19">
        <v>0.28556019336492455</v>
      </c>
      <c r="I1126" s="19">
        <v>0</v>
      </c>
      <c r="J1126" s="19">
        <v>0.28556019336492455</v>
      </c>
    </row>
    <row r="1127" spans="1:10" ht="11.25" customHeight="1" x14ac:dyDescent="0.2">
      <c r="A1127" s="28">
        <v>44593</v>
      </c>
      <c r="B1127" s="18">
        <v>65410.000000000007</v>
      </c>
      <c r="C1127" s="18">
        <v>84088.492247999719</v>
      </c>
      <c r="D1127" s="18">
        <v>0</v>
      </c>
      <c r="E1127" s="18">
        <v>0</v>
      </c>
      <c r="F1127" s="18">
        <v>0</v>
      </c>
      <c r="G1127" s="18">
        <v>0</v>
      </c>
      <c r="H1127" s="19">
        <v>0.28556019336492455</v>
      </c>
      <c r="I1127" s="19">
        <v>0</v>
      </c>
      <c r="J1127" s="19">
        <v>0.28556019336492455</v>
      </c>
    </row>
    <row r="1128" spans="1:10" ht="11.25" customHeight="1" x14ac:dyDescent="0.2">
      <c r="A1128" s="28">
        <v>44621</v>
      </c>
      <c r="B1128" s="18">
        <v>65410.000000000007</v>
      </c>
      <c r="C1128" s="18">
        <v>84088.492247999719</v>
      </c>
      <c r="D1128" s="18">
        <v>0</v>
      </c>
      <c r="E1128" s="18">
        <v>0</v>
      </c>
      <c r="F1128" s="18">
        <v>0</v>
      </c>
      <c r="G1128" s="18">
        <v>0</v>
      </c>
      <c r="H1128" s="19">
        <v>0.28556019336492455</v>
      </c>
      <c r="I1128" s="19">
        <v>0</v>
      </c>
      <c r="J1128" s="19">
        <v>0.28556019336492455</v>
      </c>
    </row>
    <row r="1129" spans="1:10" ht="11.25" customHeight="1" x14ac:dyDescent="0.2">
      <c r="A1129" s="26" t="s">
        <v>71</v>
      </c>
      <c r="B1129" s="18">
        <v>292277.2</v>
      </c>
      <c r="C1129" s="18">
        <v>375739.93374815868</v>
      </c>
      <c r="D1129" s="18">
        <v>0</v>
      </c>
      <c r="E1129" s="18">
        <v>0</v>
      </c>
      <c r="F1129" s="18">
        <v>0</v>
      </c>
      <c r="G1129" s="18">
        <v>0</v>
      </c>
      <c r="H1129" s="19">
        <v>0.28556019336492433</v>
      </c>
      <c r="I1129" s="19">
        <v>0</v>
      </c>
      <c r="J1129" s="19">
        <v>0.28556019336492433</v>
      </c>
    </row>
    <row r="1130" spans="1:10" ht="11.25" customHeight="1" x14ac:dyDescent="0.2">
      <c r="A1130" s="27" t="s">
        <v>25</v>
      </c>
      <c r="B1130" s="18">
        <v>292277.2</v>
      </c>
      <c r="C1130" s="18">
        <v>375739.93374815868</v>
      </c>
      <c r="D1130" s="18">
        <v>0</v>
      </c>
      <c r="E1130" s="18">
        <v>0</v>
      </c>
      <c r="F1130" s="18">
        <v>0</v>
      </c>
      <c r="G1130" s="18">
        <v>0</v>
      </c>
      <c r="H1130" s="19">
        <v>0.28556019336492433</v>
      </c>
      <c r="I1130" s="19">
        <v>0</v>
      </c>
      <c r="J1130" s="19">
        <v>0.28556019336492433</v>
      </c>
    </row>
    <row r="1131" spans="1:10" ht="11.25" customHeight="1" x14ac:dyDescent="0.2">
      <c r="A1131" s="28">
        <v>44287</v>
      </c>
      <c r="B1131" s="18">
        <v>23716.400000000001</v>
      </c>
      <c r="C1131" s="18">
        <v>30488.859769919898</v>
      </c>
      <c r="D1131" s="18">
        <v>0</v>
      </c>
      <c r="E1131" s="18">
        <v>0</v>
      </c>
      <c r="F1131" s="18">
        <v>0</v>
      </c>
      <c r="G1131" s="18">
        <v>0</v>
      </c>
      <c r="H1131" s="19">
        <v>0.28556019336492455</v>
      </c>
      <c r="I1131" s="19">
        <v>0</v>
      </c>
      <c r="J1131" s="19">
        <v>0.28556019336492455</v>
      </c>
    </row>
    <row r="1132" spans="1:10" ht="11.25" customHeight="1" x14ac:dyDescent="0.2">
      <c r="A1132" s="28">
        <v>44317</v>
      </c>
      <c r="B1132" s="18">
        <v>24117.300000000003</v>
      </c>
      <c r="C1132" s="18">
        <v>31004.240851439896</v>
      </c>
      <c r="D1132" s="18">
        <v>0</v>
      </c>
      <c r="E1132" s="18">
        <v>0</v>
      </c>
      <c r="F1132" s="18">
        <v>0</v>
      </c>
      <c r="G1132" s="18">
        <v>0</v>
      </c>
      <c r="H1132" s="19">
        <v>0.28556019336492433</v>
      </c>
      <c r="I1132" s="19">
        <v>0</v>
      </c>
      <c r="J1132" s="19">
        <v>0.28556019336492433</v>
      </c>
    </row>
    <row r="1133" spans="1:10" ht="11.25" customHeight="1" x14ac:dyDescent="0.2">
      <c r="A1133" s="28">
        <v>44348</v>
      </c>
      <c r="B1133" s="18">
        <v>26058.5</v>
      </c>
      <c r="C1133" s="18">
        <v>33499.770298799885</v>
      </c>
      <c r="D1133" s="18">
        <v>0</v>
      </c>
      <c r="E1133" s="18">
        <v>0</v>
      </c>
      <c r="F1133" s="18">
        <v>0</v>
      </c>
      <c r="G1133" s="18">
        <v>0</v>
      </c>
      <c r="H1133" s="19">
        <v>0.28556019336492455</v>
      </c>
      <c r="I1133" s="19">
        <v>0</v>
      </c>
      <c r="J1133" s="19">
        <v>0.28556019336492455</v>
      </c>
    </row>
    <row r="1134" spans="1:10" ht="11.25" customHeight="1" x14ac:dyDescent="0.2">
      <c r="A1134" s="28">
        <v>44378</v>
      </c>
      <c r="B1134" s="18">
        <v>26053.225000000002</v>
      </c>
      <c r="C1134" s="18">
        <v>33492.988968779886</v>
      </c>
      <c r="D1134" s="18">
        <v>0</v>
      </c>
      <c r="E1134" s="18">
        <v>0</v>
      </c>
      <c r="F1134" s="18">
        <v>0</v>
      </c>
      <c r="G1134" s="18">
        <v>0</v>
      </c>
      <c r="H1134" s="19">
        <v>0.28556019336492433</v>
      </c>
      <c r="I1134" s="19">
        <v>0</v>
      </c>
      <c r="J1134" s="19">
        <v>0.28556019336492433</v>
      </c>
    </row>
    <row r="1135" spans="1:10" ht="11.25" customHeight="1" x14ac:dyDescent="0.2">
      <c r="A1135" s="28">
        <v>44409</v>
      </c>
      <c r="B1135" s="18">
        <v>26053.225000000002</v>
      </c>
      <c r="C1135" s="18">
        <v>33492.988968779886</v>
      </c>
      <c r="D1135" s="18">
        <v>0</v>
      </c>
      <c r="E1135" s="18">
        <v>0</v>
      </c>
      <c r="F1135" s="18">
        <v>0</v>
      </c>
      <c r="G1135" s="18">
        <v>0</v>
      </c>
      <c r="H1135" s="19">
        <v>0.28556019336492433</v>
      </c>
      <c r="I1135" s="19">
        <v>0</v>
      </c>
      <c r="J1135" s="19">
        <v>0.28556019336492433</v>
      </c>
    </row>
    <row r="1136" spans="1:10" ht="11.25" customHeight="1" x14ac:dyDescent="0.2">
      <c r="A1136" s="28">
        <v>44440</v>
      </c>
      <c r="B1136" s="18">
        <v>26069.050000000003</v>
      </c>
      <c r="C1136" s="18">
        <v>33513.332958839885</v>
      </c>
      <c r="D1136" s="18">
        <v>0</v>
      </c>
      <c r="E1136" s="18">
        <v>0</v>
      </c>
      <c r="F1136" s="18">
        <v>0</v>
      </c>
      <c r="G1136" s="18">
        <v>0</v>
      </c>
      <c r="H1136" s="19">
        <v>0.28556019336492433</v>
      </c>
      <c r="I1136" s="19">
        <v>0</v>
      </c>
      <c r="J1136" s="19">
        <v>0.28556019336492433</v>
      </c>
    </row>
    <row r="1137" spans="1:10" ht="11.25" customHeight="1" x14ac:dyDescent="0.2">
      <c r="A1137" s="28">
        <v>44470</v>
      </c>
      <c r="B1137" s="18">
        <v>23484.300000000003</v>
      </c>
      <c r="C1137" s="18">
        <v>30190.481249039898</v>
      </c>
      <c r="D1137" s="18">
        <v>0</v>
      </c>
      <c r="E1137" s="18">
        <v>0</v>
      </c>
      <c r="F1137" s="18">
        <v>0</v>
      </c>
      <c r="G1137" s="18">
        <v>0</v>
      </c>
      <c r="H1137" s="19">
        <v>0.28556019336492433</v>
      </c>
      <c r="I1137" s="19">
        <v>0</v>
      </c>
      <c r="J1137" s="19">
        <v>0.28556019336492433</v>
      </c>
    </row>
    <row r="1138" spans="1:10" ht="11.25" customHeight="1" x14ac:dyDescent="0.2">
      <c r="A1138" s="28">
        <v>44501</v>
      </c>
      <c r="B1138" s="18">
        <v>23589.800000000003</v>
      </c>
      <c r="C1138" s="18">
        <v>30326.107849439897</v>
      </c>
      <c r="D1138" s="18">
        <v>0</v>
      </c>
      <c r="E1138" s="18">
        <v>0</v>
      </c>
      <c r="F1138" s="18">
        <v>0</v>
      </c>
      <c r="G1138" s="18">
        <v>0</v>
      </c>
      <c r="H1138" s="19">
        <v>0.28556019336492433</v>
      </c>
      <c r="I1138" s="19">
        <v>0</v>
      </c>
      <c r="J1138" s="19">
        <v>0.28556019336492433</v>
      </c>
    </row>
    <row r="1139" spans="1:10" ht="11.25" customHeight="1" x14ac:dyDescent="0.2">
      <c r="A1139" s="28">
        <v>44531</v>
      </c>
      <c r="B1139" s="18">
        <v>23463.200000000001</v>
      </c>
      <c r="C1139" s="18">
        <v>30163.3559289599</v>
      </c>
      <c r="D1139" s="18">
        <v>0</v>
      </c>
      <c r="E1139" s="18">
        <v>0</v>
      </c>
      <c r="F1139" s="18">
        <v>0</v>
      </c>
      <c r="G1139" s="18">
        <v>0</v>
      </c>
      <c r="H1139" s="19">
        <v>0.28556019336492455</v>
      </c>
      <c r="I1139" s="19">
        <v>0</v>
      </c>
      <c r="J1139" s="19">
        <v>0.28556019336492455</v>
      </c>
    </row>
    <row r="1140" spans="1:10" ht="11.25" customHeight="1" x14ac:dyDescent="0.2">
      <c r="A1140" s="28">
        <v>44562</v>
      </c>
      <c r="B1140" s="18">
        <v>23125.600000000002</v>
      </c>
      <c r="C1140" s="18">
        <v>29729.350807679901</v>
      </c>
      <c r="D1140" s="18">
        <v>0</v>
      </c>
      <c r="E1140" s="18">
        <v>0</v>
      </c>
      <c r="F1140" s="18">
        <v>0</v>
      </c>
      <c r="G1140" s="18">
        <v>0</v>
      </c>
      <c r="H1140" s="19">
        <v>0.28556019336492455</v>
      </c>
      <c r="I1140" s="19">
        <v>0</v>
      </c>
      <c r="J1140" s="19">
        <v>0.28556019336492455</v>
      </c>
    </row>
    <row r="1141" spans="1:10" ht="11.25" customHeight="1" x14ac:dyDescent="0.2">
      <c r="A1141" s="28">
        <v>44593</v>
      </c>
      <c r="B1141" s="18">
        <v>23273.300000000003</v>
      </c>
      <c r="C1141" s="18">
        <v>29919.2280482399</v>
      </c>
      <c r="D1141" s="18">
        <v>0</v>
      </c>
      <c r="E1141" s="18">
        <v>0</v>
      </c>
      <c r="F1141" s="18">
        <v>0</v>
      </c>
      <c r="G1141" s="18">
        <v>0</v>
      </c>
      <c r="H1141" s="19">
        <v>0.28556019336492455</v>
      </c>
      <c r="I1141" s="19">
        <v>0</v>
      </c>
      <c r="J1141" s="19">
        <v>0.28556019336492455</v>
      </c>
    </row>
    <row r="1142" spans="1:10" ht="11.25" customHeight="1" x14ac:dyDescent="0.2">
      <c r="A1142" s="28">
        <v>44621</v>
      </c>
      <c r="B1142" s="18">
        <v>23273.300000000003</v>
      </c>
      <c r="C1142" s="18">
        <v>29919.2280482399</v>
      </c>
      <c r="D1142" s="18">
        <v>0</v>
      </c>
      <c r="E1142" s="18">
        <v>0</v>
      </c>
      <c r="F1142" s="18">
        <v>0</v>
      </c>
      <c r="G1142" s="18">
        <v>0</v>
      </c>
      <c r="H1142" s="19">
        <v>0.28556019336492455</v>
      </c>
      <c r="I1142" s="19">
        <v>0</v>
      </c>
      <c r="J1142" s="19">
        <v>0.28556019336492455</v>
      </c>
    </row>
    <row r="1143" spans="1:10" ht="11.25" customHeight="1" x14ac:dyDescent="0.2">
      <c r="A1143" s="26" t="s">
        <v>73</v>
      </c>
      <c r="B1143" s="18">
        <v>557040</v>
      </c>
      <c r="C1143" s="18">
        <v>716108.45011199755</v>
      </c>
      <c r="D1143" s="18">
        <v>0</v>
      </c>
      <c r="E1143" s="18">
        <v>0</v>
      </c>
      <c r="F1143" s="18">
        <v>0</v>
      </c>
      <c r="G1143" s="18">
        <v>0</v>
      </c>
      <c r="H1143" s="19">
        <v>0.28556019336492455</v>
      </c>
      <c r="I1143" s="19">
        <v>0</v>
      </c>
      <c r="J1143" s="19">
        <v>0.28556019336492455</v>
      </c>
    </row>
    <row r="1144" spans="1:10" ht="11.25" customHeight="1" x14ac:dyDescent="0.2">
      <c r="A1144" s="27" t="s">
        <v>25</v>
      </c>
      <c r="B1144" s="18">
        <v>557040</v>
      </c>
      <c r="C1144" s="18">
        <v>716108.45011199755</v>
      </c>
      <c r="D1144" s="18">
        <v>0</v>
      </c>
      <c r="E1144" s="18">
        <v>0</v>
      </c>
      <c r="F1144" s="18">
        <v>0</v>
      </c>
      <c r="G1144" s="18">
        <v>0</v>
      </c>
      <c r="H1144" s="19">
        <v>0.28556019336492455</v>
      </c>
      <c r="I1144" s="19">
        <v>0</v>
      </c>
      <c r="J1144" s="19">
        <v>0.28556019336492455</v>
      </c>
    </row>
    <row r="1145" spans="1:10" ht="11.25" customHeight="1" x14ac:dyDescent="0.2">
      <c r="A1145" s="28">
        <v>44287</v>
      </c>
      <c r="B1145" s="18">
        <v>52750</v>
      </c>
      <c r="C1145" s="18">
        <v>67813.30019999978</v>
      </c>
      <c r="D1145" s="18">
        <v>0</v>
      </c>
      <c r="E1145" s="18">
        <v>0</v>
      </c>
      <c r="F1145" s="18">
        <v>0</v>
      </c>
      <c r="G1145" s="18">
        <v>0</v>
      </c>
      <c r="H1145" s="19">
        <v>0.28556019336492477</v>
      </c>
      <c r="I1145" s="19">
        <v>0</v>
      </c>
      <c r="J1145" s="19">
        <v>0.28556019336492477</v>
      </c>
    </row>
    <row r="1146" spans="1:10" ht="11.25" customHeight="1" x14ac:dyDescent="0.2">
      <c r="A1146" s="28">
        <v>44317</v>
      </c>
      <c r="B1146" s="18">
        <v>52750</v>
      </c>
      <c r="C1146" s="18">
        <v>67813.30019999978</v>
      </c>
      <c r="D1146" s="18">
        <v>0</v>
      </c>
      <c r="E1146" s="18">
        <v>0</v>
      </c>
      <c r="F1146" s="18">
        <v>0</v>
      </c>
      <c r="G1146" s="18">
        <v>0</v>
      </c>
      <c r="H1146" s="19">
        <v>0.28556019336492477</v>
      </c>
      <c r="I1146" s="19">
        <v>0</v>
      </c>
      <c r="J1146" s="19">
        <v>0.28556019336492477</v>
      </c>
    </row>
    <row r="1147" spans="1:10" ht="11.25" customHeight="1" x14ac:dyDescent="0.2">
      <c r="A1147" s="28">
        <v>44348</v>
      </c>
      <c r="B1147" s="18">
        <v>52750</v>
      </c>
      <c r="C1147" s="18">
        <v>67813.30019999978</v>
      </c>
      <c r="D1147" s="18">
        <v>0</v>
      </c>
      <c r="E1147" s="18">
        <v>0</v>
      </c>
      <c r="F1147" s="18">
        <v>0</v>
      </c>
      <c r="G1147" s="18">
        <v>0</v>
      </c>
      <c r="H1147" s="19">
        <v>0.28556019336492477</v>
      </c>
      <c r="I1147" s="19">
        <v>0</v>
      </c>
      <c r="J1147" s="19">
        <v>0.28556019336492477</v>
      </c>
    </row>
    <row r="1148" spans="1:10" ht="11.25" customHeight="1" x14ac:dyDescent="0.2">
      <c r="A1148" s="28">
        <v>44378</v>
      </c>
      <c r="B1148" s="18">
        <v>52750</v>
      </c>
      <c r="C1148" s="18">
        <v>67813.30019999978</v>
      </c>
      <c r="D1148" s="18">
        <v>0</v>
      </c>
      <c r="E1148" s="18">
        <v>0</v>
      </c>
      <c r="F1148" s="18">
        <v>0</v>
      </c>
      <c r="G1148" s="18">
        <v>0</v>
      </c>
      <c r="H1148" s="19">
        <v>0.28556019336492477</v>
      </c>
      <c r="I1148" s="19">
        <v>0</v>
      </c>
      <c r="J1148" s="19">
        <v>0.28556019336492477</v>
      </c>
    </row>
    <row r="1149" spans="1:10" ht="11.25" customHeight="1" x14ac:dyDescent="0.2">
      <c r="A1149" s="28">
        <v>44409</v>
      </c>
      <c r="B1149" s="18">
        <v>43255</v>
      </c>
      <c r="C1149" s="18">
        <v>55606.906163999811</v>
      </c>
      <c r="D1149" s="18">
        <v>0</v>
      </c>
      <c r="E1149" s="18">
        <v>0</v>
      </c>
      <c r="F1149" s="18">
        <v>0</v>
      </c>
      <c r="G1149" s="18">
        <v>0</v>
      </c>
      <c r="H1149" s="19">
        <v>0.28556019336492455</v>
      </c>
      <c r="I1149" s="19">
        <v>0</v>
      </c>
      <c r="J1149" s="19">
        <v>0.28556019336492455</v>
      </c>
    </row>
    <row r="1150" spans="1:10" ht="11.25" customHeight="1" x14ac:dyDescent="0.2">
      <c r="A1150" s="28">
        <v>44440</v>
      </c>
      <c r="B1150" s="18">
        <v>43255</v>
      </c>
      <c r="C1150" s="18">
        <v>55606.906163999811</v>
      </c>
      <c r="D1150" s="18">
        <v>0</v>
      </c>
      <c r="E1150" s="18">
        <v>0</v>
      </c>
      <c r="F1150" s="18">
        <v>0</v>
      </c>
      <c r="G1150" s="18">
        <v>0</v>
      </c>
      <c r="H1150" s="19">
        <v>0.28556019336492455</v>
      </c>
      <c r="I1150" s="19">
        <v>0</v>
      </c>
      <c r="J1150" s="19">
        <v>0.28556019336492455</v>
      </c>
    </row>
    <row r="1151" spans="1:10" ht="11.25" customHeight="1" x14ac:dyDescent="0.2">
      <c r="A1151" s="28">
        <v>44470</v>
      </c>
      <c r="B1151" s="18">
        <v>43255</v>
      </c>
      <c r="C1151" s="18">
        <v>55606.906163999811</v>
      </c>
      <c r="D1151" s="18">
        <v>0</v>
      </c>
      <c r="E1151" s="18">
        <v>0</v>
      </c>
      <c r="F1151" s="18">
        <v>0</v>
      </c>
      <c r="G1151" s="18">
        <v>0</v>
      </c>
      <c r="H1151" s="19">
        <v>0.28556019336492455</v>
      </c>
      <c r="I1151" s="19">
        <v>0</v>
      </c>
      <c r="J1151" s="19">
        <v>0.28556019336492455</v>
      </c>
    </row>
    <row r="1152" spans="1:10" ht="11.25" customHeight="1" x14ac:dyDescent="0.2">
      <c r="A1152" s="28">
        <v>44501</v>
      </c>
      <c r="B1152" s="18">
        <v>43255</v>
      </c>
      <c r="C1152" s="18">
        <v>55606.906163999811</v>
      </c>
      <c r="D1152" s="18">
        <v>0</v>
      </c>
      <c r="E1152" s="18">
        <v>0</v>
      </c>
      <c r="F1152" s="18">
        <v>0</v>
      </c>
      <c r="G1152" s="18">
        <v>0</v>
      </c>
      <c r="H1152" s="19">
        <v>0.28556019336492455</v>
      </c>
      <c r="I1152" s="19">
        <v>0</v>
      </c>
      <c r="J1152" s="19">
        <v>0.28556019336492455</v>
      </c>
    </row>
    <row r="1153" spans="1:10" ht="11.25" customHeight="1" x14ac:dyDescent="0.2">
      <c r="A1153" s="28">
        <v>44531</v>
      </c>
      <c r="B1153" s="18">
        <v>43255</v>
      </c>
      <c r="C1153" s="18">
        <v>55606.906163999811</v>
      </c>
      <c r="D1153" s="18">
        <v>0</v>
      </c>
      <c r="E1153" s="18">
        <v>0</v>
      </c>
      <c r="F1153" s="18">
        <v>0</v>
      </c>
      <c r="G1153" s="18">
        <v>0</v>
      </c>
      <c r="H1153" s="19">
        <v>0.28556019336492455</v>
      </c>
      <c r="I1153" s="19">
        <v>0</v>
      </c>
      <c r="J1153" s="19">
        <v>0.28556019336492455</v>
      </c>
    </row>
    <row r="1154" spans="1:10" ht="11.25" customHeight="1" x14ac:dyDescent="0.2">
      <c r="A1154" s="28">
        <v>44562</v>
      </c>
      <c r="B1154" s="18">
        <v>43255</v>
      </c>
      <c r="C1154" s="18">
        <v>55606.906163999811</v>
      </c>
      <c r="D1154" s="18">
        <v>0</v>
      </c>
      <c r="E1154" s="18">
        <v>0</v>
      </c>
      <c r="F1154" s="18">
        <v>0</v>
      </c>
      <c r="G1154" s="18">
        <v>0</v>
      </c>
      <c r="H1154" s="19">
        <v>0.28556019336492455</v>
      </c>
      <c r="I1154" s="19">
        <v>0</v>
      </c>
      <c r="J1154" s="19">
        <v>0.28556019336492455</v>
      </c>
    </row>
    <row r="1155" spans="1:10" ht="11.25" customHeight="1" x14ac:dyDescent="0.2">
      <c r="A1155" s="28">
        <v>44593</v>
      </c>
      <c r="B1155" s="18">
        <v>43255</v>
      </c>
      <c r="C1155" s="18">
        <v>55606.906163999811</v>
      </c>
      <c r="D1155" s="18">
        <v>0</v>
      </c>
      <c r="E1155" s="18">
        <v>0</v>
      </c>
      <c r="F1155" s="18">
        <v>0</v>
      </c>
      <c r="G1155" s="18">
        <v>0</v>
      </c>
      <c r="H1155" s="19">
        <v>0.28556019336492455</v>
      </c>
      <c r="I1155" s="19">
        <v>0</v>
      </c>
      <c r="J1155" s="19">
        <v>0.28556019336492455</v>
      </c>
    </row>
    <row r="1156" spans="1:10" ht="11.25" customHeight="1" x14ac:dyDescent="0.2">
      <c r="A1156" s="28">
        <v>44621</v>
      </c>
      <c r="B1156" s="18">
        <v>43255</v>
      </c>
      <c r="C1156" s="18">
        <v>55606.906163999811</v>
      </c>
      <c r="D1156" s="18">
        <v>0</v>
      </c>
      <c r="E1156" s="18">
        <v>0</v>
      </c>
      <c r="F1156" s="18">
        <v>0</v>
      </c>
      <c r="G1156" s="18">
        <v>0</v>
      </c>
      <c r="H1156" s="19">
        <v>0.28556019336492455</v>
      </c>
      <c r="I1156" s="19">
        <v>0</v>
      </c>
      <c r="J1156" s="19">
        <v>0.28556019336492455</v>
      </c>
    </row>
    <row r="1157" spans="1:10" ht="11.25" customHeight="1" x14ac:dyDescent="0.2">
      <c r="A1157" s="25" t="s">
        <v>25</v>
      </c>
      <c r="B1157" s="18">
        <v>1899000</v>
      </c>
      <c r="C1157" s="18">
        <v>2441278.8071999918</v>
      </c>
      <c r="D1157" s="18">
        <v>0</v>
      </c>
      <c r="E1157" s="18">
        <v>0</v>
      </c>
      <c r="F1157" s="18">
        <v>0</v>
      </c>
      <c r="G1157" s="18">
        <v>0</v>
      </c>
      <c r="H1157" s="19">
        <v>0.28556019336492455</v>
      </c>
      <c r="I1157" s="19">
        <v>0</v>
      </c>
      <c r="J1157" s="19">
        <v>0.28556019336492455</v>
      </c>
    </row>
    <row r="1158" spans="1:10" ht="11.25" customHeight="1" x14ac:dyDescent="0.2">
      <c r="A1158" s="26" t="s">
        <v>74</v>
      </c>
      <c r="B1158" s="18">
        <v>1899000</v>
      </c>
      <c r="C1158" s="18">
        <v>2441278.8071999918</v>
      </c>
      <c r="D1158" s="18">
        <v>0</v>
      </c>
      <c r="E1158" s="18">
        <v>0</v>
      </c>
      <c r="F1158" s="18">
        <v>0</v>
      </c>
      <c r="G1158" s="18">
        <v>0</v>
      </c>
      <c r="H1158" s="19">
        <v>0.28556019336492455</v>
      </c>
      <c r="I1158" s="19">
        <v>0</v>
      </c>
      <c r="J1158" s="19">
        <v>0.28556019336492455</v>
      </c>
    </row>
    <row r="1159" spans="1:10" ht="11.25" customHeight="1" x14ac:dyDescent="0.2">
      <c r="A1159" s="27" t="s">
        <v>25</v>
      </c>
      <c r="B1159" s="18">
        <v>1899000</v>
      </c>
      <c r="C1159" s="18">
        <v>2441278.8071999918</v>
      </c>
      <c r="D1159" s="18">
        <v>0</v>
      </c>
      <c r="E1159" s="18">
        <v>0</v>
      </c>
      <c r="F1159" s="18">
        <v>0</v>
      </c>
      <c r="G1159" s="18">
        <v>0</v>
      </c>
      <c r="H1159" s="19">
        <v>0.28556019336492455</v>
      </c>
      <c r="I1159" s="19">
        <v>0</v>
      </c>
      <c r="J1159" s="19">
        <v>0.28556019336492455</v>
      </c>
    </row>
    <row r="1160" spans="1:10" ht="11.25" customHeight="1" x14ac:dyDescent="0.2">
      <c r="A1160" s="28">
        <v>44287</v>
      </c>
      <c r="B1160" s="18">
        <v>158250</v>
      </c>
      <c r="C1160" s="18">
        <v>203439.90059999932</v>
      </c>
      <c r="D1160" s="18">
        <v>0</v>
      </c>
      <c r="E1160" s="18">
        <v>0</v>
      </c>
      <c r="F1160" s="18">
        <v>0</v>
      </c>
      <c r="G1160" s="18">
        <v>0</v>
      </c>
      <c r="H1160" s="19">
        <v>0.28556019336492455</v>
      </c>
      <c r="I1160" s="19">
        <v>0</v>
      </c>
      <c r="J1160" s="19">
        <v>0.28556019336492455</v>
      </c>
    </row>
    <row r="1161" spans="1:10" ht="11.25" customHeight="1" x14ac:dyDescent="0.2">
      <c r="A1161" s="28">
        <v>44317</v>
      </c>
      <c r="B1161" s="18">
        <v>158250</v>
      </c>
      <c r="C1161" s="18">
        <v>203439.90059999932</v>
      </c>
      <c r="D1161" s="18">
        <v>0</v>
      </c>
      <c r="E1161" s="18">
        <v>0</v>
      </c>
      <c r="F1161" s="18">
        <v>0</v>
      </c>
      <c r="G1161" s="18">
        <v>0</v>
      </c>
      <c r="H1161" s="19">
        <v>0.28556019336492455</v>
      </c>
      <c r="I1161" s="19">
        <v>0</v>
      </c>
      <c r="J1161" s="19">
        <v>0.28556019336492455</v>
      </c>
    </row>
    <row r="1162" spans="1:10" ht="11.25" customHeight="1" x14ac:dyDescent="0.2">
      <c r="A1162" s="28">
        <v>44348</v>
      </c>
      <c r="B1162" s="18">
        <v>158250</v>
      </c>
      <c r="C1162" s="18">
        <v>203439.90059999932</v>
      </c>
      <c r="D1162" s="18">
        <v>0</v>
      </c>
      <c r="E1162" s="18">
        <v>0</v>
      </c>
      <c r="F1162" s="18">
        <v>0</v>
      </c>
      <c r="G1162" s="18">
        <v>0</v>
      </c>
      <c r="H1162" s="19">
        <v>0.28556019336492455</v>
      </c>
      <c r="I1162" s="19">
        <v>0</v>
      </c>
      <c r="J1162" s="19">
        <v>0.28556019336492455</v>
      </c>
    </row>
    <row r="1163" spans="1:10" ht="11.25" customHeight="1" x14ac:dyDescent="0.2">
      <c r="A1163" s="28">
        <v>44378</v>
      </c>
      <c r="B1163" s="18">
        <v>158250</v>
      </c>
      <c r="C1163" s="18">
        <v>203439.90059999932</v>
      </c>
      <c r="D1163" s="18">
        <v>0</v>
      </c>
      <c r="E1163" s="18">
        <v>0</v>
      </c>
      <c r="F1163" s="18">
        <v>0</v>
      </c>
      <c r="G1163" s="18">
        <v>0</v>
      </c>
      <c r="H1163" s="19">
        <v>0.28556019336492455</v>
      </c>
      <c r="I1163" s="19">
        <v>0</v>
      </c>
      <c r="J1163" s="19">
        <v>0.28556019336492455</v>
      </c>
    </row>
    <row r="1164" spans="1:10" ht="11.25" customHeight="1" x14ac:dyDescent="0.2">
      <c r="A1164" s="28">
        <v>44409</v>
      </c>
      <c r="B1164" s="18">
        <v>158250</v>
      </c>
      <c r="C1164" s="18">
        <v>203439.90059999932</v>
      </c>
      <c r="D1164" s="18">
        <v>0</v>
      </c>
      <c r="E1164" s="18">
        <v>0</v>
      </c>
      <c r="F1164" s="18">
        <v>0</v>
      </c>
      <c r="G1164" s="18">
        <v>0</v>
      </c>
      <c r="H1164" s="19">
        <v>0.28556019336492455</v>
      </c>
      <c r="I1164" s="19">
        <v>0</v>
      </c>
      <c r="J1164" s="19">
        <v>0.28556019336492455</v>
      </c>
    </row>
    <row r="1165" spans="1:10" ht="11.25" customHeight="1" x14ac:dyDescent="0.2">
      <c r="A1165" s="28">
        <v>44440</v>
      </c>
      <c r="B1165" s="18">
        <v>158250</v>
      </c>
      <c r="C1165" s="18">
        <v>203439.90059999932</v>
      </c>
      <c r="D1165" s="18">
        <v>0</v>
      </c>
      <c r="E1165" s="18">
        <v>0</v>
      </c>
      <c r="F1165" s="18">
        <v>0</v>
      </c>
      <c r="G1165" s="18">
        <v>0</v>
      </c>
      <c r="H1165" s="19">
        <v>0.28556019336492455</v>
      </c>
      <c r="I1165" s="19">
        <v>0</v>
      </c>
      <c r="J1165" s="19">
        <v>0.28556019336492455</v>
      </c>
    </row>
    <row r="1166" spans="1:10" ht="11.25" customHeight="1" x14ac:dyDescent="0.2">
      <c r="A1166" s="28">
        <v>44470</v>
      </c>
      <c r="B1166" s="18">
        <v>158250</v>
      </c>
      <c r="C1166" s="18">
        <v>203439.90059999932</v>
      </c>
      <c r="D1166" s="18">
        <v>0</v>
      </c>
      <c r="E1166" s="18">
        <v>0</v>
      </c>
      <c r="F1166" s="18">
        <v>0</v>
      </c>
      <c r="G1166" s="18">
        <v>0</v>
      </c>
      <c r="H1166" s="19">
        <v>0.28556019336492455</v>
      </c>
      <c r="I1166" s="19">
        <v>0</v>
      </c>
      <c r="J1166" s="19">
        <v>0.28556019336492455</v>
      </c>
    </row>
    <row r="1167" spans="1:10" ht="11.25" customHeight="1" x14ac:dyDescent="0.2">
      <c r="A1167" s="28">
        <v>44501</v>
      </c>
      <c r="B1167" s="18">
        <v>158250</v>
      </c>
      <c r="C1167" s="18">
        <v>203439.90059999932</v>
      </c>
      <c r="D1167" s="18">
        <v>0</v>
      </c>
      <c r="E1167" s="18">
        <v>0</v>
      </c>
      <c r="F1167" s="18">
        <v>0</v>
      </c>
      <c r="G1167" s="18">
        <v>0</v>
      </c>
      <c r="H1167" s="19">
        <v>0.28556019336492455</v>
      </c>
      <c r="I1167" s="19">
        <v>0</v>
      </c>
      <c r="J1167" s="19">
        <v>0.28556019336492455</v>
      </c>
    </row>
    <row r="1168" spans="1:10" ht="11.25" customHeight="1" x14ac:dyDescent="0.2">
      <c r="A1168" s="28">
        <v>44531</v>
      </c>
      <c r="B1168" s="18">
        <v>158250</v>
      </c>
      <c r="C1168" s="18">
        <v>203439.90059999932</v>
      </c>
      <c r="D1168" s="18">
        <v>0</v>
      </c>
      <c r="E1168" s="18">
        <v>0</v>
      </c>
      <c r="F1168" s="18">
        <v>0</v>
      </c>
      <c r="G1168" s="18">
        <v>0</v>
      </c>
      <c r="H1168" s="19">
        <v>0.28556019336492455</v>
      </c>
      <c r="I1168" s="19">
        <v>0</v>
      </c>
      <c r="J1168" s="19">
        <v>0.28556019336492455</v>
      </c>
    </row>
    <row r="1169" spans="1:10" ht="11.25" customHeight="1" x14ac:dyDescent="0.2">
      <c r="A1169" s="28">
        <v>44562</v>
      </c>
      <c r="B1169" s="18">
        <v>158250</v>
      </c>
      <c r="C1169" s="18">
        <v>203439.90059999932</v>
      </c>
      <c r="D1169" s="18">
        <v>0</v>
      </c>
      <c r="E1169" s="18">
        <v>0</v>
      </c>
      <c r="F1169" s="18">
        <v>0</v>
      </c>
      <c r="G1169" s="18">
        <v>0</v>
      </c>
      <c r="H1169" s="19">
        <v>0.28556019336492455</v>
      </c>
      <c r="I1169" s="19">
        <v>0</v>
      </c>
      <c r="J1169" s="19">
        <v>0.28556019336492455</v>
      </c>
    </row>
    <row r="1170" spans="1:10" ht="11.25" customHeight="1" x14ac:dyDescent="0.2">
      <c r="A1170" s="28">
        <v>44593</v>
      </c>
      <c r="B1170" s="18">
        <v>158250</v>
      </c>
      <c r="C1170" s="18">
        <v>203439.90059999932</v>
      </c>
      <c r="D1170" s="18">
        <v>0</v>
      </c>
      <c r="E1170" s="18">
        <v>0</v>
      </c>
      <c r="F1170" s="18">
        <v>0</v>
      </c>
      <c r="G1170" s="18">
        <v>0</v>
      </c>
      <c r="H1170" s="19">
        <v>0.28556019336492455</v>
      </c>
      <c r="I1170" s="19">
        <v>0</v>
      </c>
      <c r="J1170" s="19">
        <v>0.28556019336492455</v>
      </c>
    </row>
    <row r="1171" spans="1:10" ht="11.25" customHeight="1" x14ac:dyDescent="0.2">
      <c r="A1171" s="28">
        <v>44621</v>
      </c>
      <c r="B1171" s="18">
        <v>158250</v>
      </c>
      <c r="C1171" s="18">
        <v>203439.90059999932</v>
      </c>
      <c r="D1171" s="18">
        <v>0</v>
      </c>
      <c r="E1171" s="18">
        <v>0</v>
      </c>
      <c r="F1171" s="18">
        <v>0</v>
      </c>
      <c r="G1171" s="18">
        <v>0</v>
      </c>
      <c r="H1171" s="19">
        <v>0.28556019336492455</v>
      </c>
      <c r="I1171" s="19">
        <v>0</v>
      </c>
      <c r="J1171" s="19">
        <v>0.28556019336492455</v>
      </c>
    </row>
    <row r="1172" spans="1:10" ht="11.25" customHeight="1" x14ac:dyDescent="0.2">
      <c r="A1172" s="21" t="s">
        <v>41</v>
      </c>
      <c r="B1172" s="18">
        <v>41911.800000000003</v>
      </c>
      <c r="C1172" s="18">
        <v>53524.871664934886</v>
      </c>
      <c r="D1172" s="18">
        <v>0</v>
      </c>
      <c r="E1172" s="18">
        <v>0</v>
      </c>
      <c r="F1172" s="18">
        <v>0</v>
      </c>
      <c r="G1172" s="18">
        <v>0</v>
      </c>
      <c r="H1172" s="19">
        <v>0.27708358182981607</v>
      </c>
      <c r="I1172" s="19">
        <v>0</v>
      </c>
      <c r="J1172" s="19">
        <v>0.27708358182981607</v>
      </c>
    </row>
    <row r="1173" spans="1:10" ht="11.25" customHeight="1" x14ac:dyDescent="0.2">
      <c r="A1173" s="22" t="s">
        <v>69</v>
      </c>
      <c r="B1173" s="18">
        <v>41911.800000000003</v>
      </c>
      <c r="C1173" s="18">
        <v>53524.871664934886</v>
      </c>
      <c r="D1173" s="18">
        <v>0</v>
      </c>
      <c r="E1173" s="18">
        <v>0</v>
      </c>
      <c r="F1173" s="18">
        <v>0</v>
      </c>
      <c r="G1173" s="18">
        <v>0</v>
      </c>
      <c r="H1173" s="19">
        <v>0.27708358182981607</v>
      </c>
      <c r="I1173" s="19">
        <v>0</v>
      </c>
      <c r="J1173" s="19">
        <v>0.27708358182981607</v>
      </c>
    </row>
    <row r="1174" spans="1:10" ht="11.25" customHeight="1" x14ac:dyDescent="0.2">
      <c r="A1174" s="23" t="s">
        <v>25</v>
      </c>
      <c r="B1174" s="18">
        <v>41911.800000000003</v>
      </c>
      <c r="C1174" s="18">
        <v>53524.871664934886</v>
      </c>
      <c r="D1174" s="18">
        <v>0</v>
      </c>
      <c r="E1174" s="18">
        <v>0</v>
      </c>
      <c r="F1174" s="18">
        <v>0</v>
      </c>
      <c r="G1174" s="18">
        <v>0</v>
      </c>
      <c r="H1174" s="19">
        <v>0.27708358182981607</v>
      </c>
      <c r="I1174" s="19">
        <v>0</v>
      </c>
      <c r="J1174" s="19">
        <v>0.27708358182981607</v>
      </c>
    </row>
    <row r="1175" spans="1:10" ht="11.25" customHeight="1" x14ac:dyDescent="0.2">
      <c r="A1175" s="24" t="s">
        <v>25</v>
      </c>
      <c r="B1175" s="18">
        <v>41911.800000000003</v>
      </c>
      <c r="C1175" s="18">
        <v>53524.871664934886</v>
      </c>
      <c r="D1175" s="18">
        <v>0</v>
      </c>
      <c r="E1175" s="18">
        <v>0</v>
      </c>
      <c r="F1175" s="18">
        <v>0</v>
      </c>
      <c r="G1175" s="18">
        <v>0</v>
      </c>
      <c r="H1175" s="19">
        <v>0.27708358182981607</v>
      </c>
      <c r="I1175" s="19">
        <v>0</v>
      </c>
      <c r="J1175" s="19">
        <v>0.27708358182981607</v>
      </c>
    </row>
    <row r="1176" spans="1:10" ht="11.25" customHeight="1" x14ac:dyDescent="0.2">
      <c r="A1176" s="25" t="s">
        <v>70</v>
      </c>
      <c r="B1176" s="18">
        <v>41911.800000000003</v>
      </c>
      <c r="C1176" s="18">
        <v>53524.871664934886</v>
      </c>
      <c r="D1176" s="18">
        <v>0</v>
      </c>
      <c r="E1176" s="18">
        <v>0</v>
      </c>
      <c r="F1176" s="18">
        <v>0</v>
      </c>
      <c r="G1176" s="18">
        <v>0</v>
      </c>
      <c r="H1176" s="19">
        <v>0.27708358182981607</v>
      </c>
      <c r="I1176" s="19">
        <v>0</v>
      </c>
      <c r="J1176" s="19">
        <v>0.27708358182981607</v>
      </c>
    </row>
    <row r="1177" spans="1:10" ht="11.25" customHeight="1" x14ac:dyDescent="0.2">
      <c r="A1177" s="26" t="s">
        <v>76</v>
      </c>
      <c r="B1177" s="18">
        <v>41911.800000000003</v>
      </c>
      <c r="C1177" s="18">
        <v>53524.871664934886</v>
      </c>
      <c r="D1177" s="18">
        <v>0</v>
      </c>
      <c r="E1177" s="18">
        <v>0</v>
      </c>
      <c r="F1177" s="18">
        <v>0</v>
      </c>
      <c r="G1177" s="18">
        <v>0</v>
      </c>
      <c r="H1177" s="19">
        <v>0.27708358182981607</v>
      </c>
      <c r="I1177" s="19">
        <v>0</v>
      </c>
      <c r="J1177" s="19">
        <v>0.27708358182981607</v>
      </c>
    </row>
    <row r="1178" spans="1:10" ht="11.25" customHeight="1" x14ac:dyDescent="0.2">
      <c r="A1178" s="27" t="s">
        <v>25</v>
      </c>
      <c r="B1178" s="18">
        <v>41911.800000000003</v>
      </c>
      <c r="C1178" s="18">
        <v>53524.871664934886</v>
      </c>
      <c r="D1178" s="18">
        <v>0</v>
      </c>
      <c r="E1178" s="18">
        <v>0</v>
      </c>
      <c r="F1178" s="18">
        <v>0</v>
      </c>
      <c r="G1178" s="18">
        <v>0</v>
      </c>
      <c r="H1178" s="19">
        <v>0.27708358182981607</v>
      </c>
      <c r="I1178" s="19">
        <v>0</v>
      </c>
      <c r="J1178" s="19">
        <v>0.27708358182981607</v>
      </c>
    </row>
    <row r="1179" spans="1:10" ht="11.25" customHeight="1" x14ac:dyDescent="0.2">
      <c r="A1179" s="28">
        <v>44287</v>
      </c>
      <c r="B1179" s="18">
        <v>12890.52</v>
      </c>
      <c r="C1179" s="18">
        <v>16462.271453248886</v>
      </c>
      <c r="D1179" s="18">
        <v>0</v>
      </c>
      <c r="E1179" s="18">
        <v>0</v>
      </c>
      <c r="F1179" s="18">
        <v>0</v>
      </c>
      <c r="G1179" s="18">
        <v>0</v>
      </c>
      <c r="H1179" s="19">
        <v>0.27708358182981652</v>
      </c>
      <c r="I1179" s="19">
        <v>0</v>
      </c>
      <c r="J1179" s="19">
        <v>0.27708358182981652</v>
      </c>
    </row>
    <row r="1180" spans="1:10" ht="11.25" customHeight="1" x14ac:dyDescent="0.2">
      <c r="A1180" s="28">
        <v>44317</v>
      </c>
      <c r="B1180" s="18">
        <v>13219.24</v>
      </c>
      <c r="C1180" s="18">
        <v>16882.074368267982</v>
      </c>
      <c r="D1180" s="18">
        <v>0</v>
      </c>
      <c r="E1180" s="18">
        <v>0</v>
      </c>
      <c r="F1180" s="18">
        <v>0</v>
      </c>
      <c r="G1180" s="18">
        <v>0</v>
      </c>
      <c r="H1180" s="19">
        <v>0.27708358182981652</v>
      </c>
      <c r="I1180" s="19">
        <v>0</v>
      </c>
      <c r="J1180" s="19">
        <v>0.27708358182981652</v>
      </c>
    </row>
    <row r="1181" spans="1:10" ht="11.25" customHeight="1" x14ac:dyDescent="0.2">
      <c r="A1181" s="28">
        <v>44348</v>
      </c>
      <c r="B1181" s="18">
        <v>5870</v>
      </c>
      <c r="C1181" s="18">
        <v>7496.4806253410225</v>
      </c>
      <c r="D1181" s="18">
        <v>0</v>
      </c>
      <c r="E1181" s="18">
        <v>0</v>
      </c>
      <c r="F1181" s="18">
        <v>0</v>
      </c>
      <c r="G1181" s="18">
        <v>0</v>
      </c>
      <c r="H1181" s="19">
        <v>0.27708358182981652</v>
      </c>
      <c r="I1181" s="19">
        <v>0</v>
      </c>
      <c r="J1181" s="19">
        <v>0.27708358182981652</v>
      </c>
    </row>
    <row r="1182" spans="1:10" ht="11.25" customHeight="1" x14ac:dyDescent="0.2">
      <c r="A1182" s="28">
        <v>44378</v>
      </c>
      <c r="B1182" s="18">
        <v>5870</v>
      </c>
      <c r="C1182" s="18">
        <v>7496.4806253410225</v>
      </c>
      <c r="D1182" s="18">
        <v>0</v>
      </c>
      <c r="E1182" s="18">
        <v>0</v>
      </c>
      <c r="F1182" s="18">
        <v>0</v>
      </c>
      <c r="G1182" s="18">
        <v>0</v>
      </c>
      <c r="H1182" s="19">
        <v>0.27708358182981652</v>
      </c>
      <c r="I1182" s="19">
        <v>0</v>
      </c>
      <c r="J1182" s="19">
        <v>0.27708358182981652</v>
      </c>
    </row>
    <row r="1183" spans="1:10" ht="11.25" customHeight="1" x14ac:dyDescent="0.2">
      <c r="A1183" s="28">
        <v>44409</v>
      </c>
      <c r="B1183" s="18">
        <v>3522</v>
      </c>
      <c r="C1183" s="18">
        <v>4497.8883752046131</v>
      </c>
      <c r="D1183" s="18">
        <v>0</v>
      </c>
      <c r="E1183" s="18">
        <v>0</v>
      </c>
      <c r="F1183" s="18">
        <v>0</v>
      </c>
      <c r="G1183" s="18">
        <v>0</v>
      </c>
      <c r="H1183" s="19">
        <v>0.27708358182981629</v>
      </c>
      <c r="I1183" s="19">
        <v>0</v>
      </c>
      <c r="J1183" s="19">
        <v>0.27708358182981629</v>
      </c>
    </row>
    <row r="1184" spans="1:10" ht="11.25" customHeight="1" x14ac:dyDescent="0.2">
      <c r="A1184" s="28">
        <v>44501</v>
      </c>
      <c r="B1184" s="18">
        <v>540.04</v>
      </c>
      <c r="C1184" s="18">
        <v>689.67621753137405</v>
      </c>
      <c r="D1184" s="18">
        <v>0</v>
      </c>
      <c r="E1184" s="18">
        <v>0</v>
      </c>
      <c r="F1184" s="18">
        <v>0</v>
      </c>
      <c r="G1184" s="18">
        <v>0</v>
      </c>
      <c r="H1184" s="19">
        <v>0.27708358182981652</v>
      </c>
      <c r="I1184" s="19">
        <v>0</v>
      </c>
      <c r="J1184" s="19">
        <v>0.27708358182981652</v>
      </c>
    </row>
    <row r="1185" spans="1:10" ht="11.25" customHeight="1" x14ac:dyDescent="0.2">
      <c r="A1185" s="20" t="s">
        <v>57</v>
      </c>
      <c r="B1185" s="18">
        <v>36791562.014911525</v>
      </c>
      <c r="C1185" s="18">
        <v>42247404.796578765</v>
      </c>
      <c r="D1185" s="18">
        <v>24371903.641224895</v>
      </c>
      <c r="E1185" s="18">
        <v>31372874.445258617</v>
      </c>
      <c r="F1185" s="18">
        <v>0</v>
      </c>
      <c r="G1185" s="18">
        <v>0</v>
      </c>
      <c r="H1185" s="19">
        <v>0.20366428638517142</v>
      </c>
      <c r="I1185" s="19">
        <v>0</v>
      </c>
      <c r="J1185" s="19">
        <v>0.20366428638517142</v>
      </c>
    </row>
    <row r="1186" spans="1:10" ht="11.25" customHeight="1" x14ac:dyDescent="0.2">
      <c r="A1186" s="21" t="s">
        <v>39</v>
      </c>
      <c r="B1186" s="18">
        <v>16854026.389685843</v>
      </c>
      <c r="C1186" s="18">
        <v>18524927.25766832</v>
      </c>
      <c r="D1186" s="18">
        <v>4781473.2829600004</v>
      </c>
      <c r="E1186" s="18">
        <v>6283846.626000734</v>
      </c>
      <c r="F1186" s="18">
        <v>0</v>
      </c>
      <c r="G1186" s="18">
        <v>0</v>
      </c>
      <c r="H1186" s="19">
        <v>0.146669790808448</v>
      </c>
      <c r="I1186" s="19">
        <v>0</v>
      </c>
      <c r="J1186" s="19">
        <v>0.146669790808448</v>
      </c>
    </row>
    <row r="1187" spans="1:10" ht="11.25" customHeight="1" x14ac:dyDescent="0.2">
      <c r="A1187" s="22" t="s">
        <v>40</v>
      </c>
      <c r="B1187" s="18">
        <v>16854026.389685843</v>
      </c>
      <c r="C1187" s="18">
        <v>18524927.25766832</v>
      </c>
      <c r="D1187" s="18">
        <v>4781473.2829600004</v>
      </c>
      <c r="E1187" s="18">
        <v>6283846.626000734</v>
      </c>
      <c r="F1187" s="18">
        <v>0</v>
      </c>
      <c r="G1187" s="18">
        <v>0</v>
      </c>
      <c r="H1187" s="19">
        <v>0.146669790808448</v>
      </c>
      <c r="I1187" s="19">
        <v>0</v>
      </c>
      <c r="J1187" s="19">
        <v>0.146669790808448</v>
      </c>
    </row>
    <row r="1188" spans="1:10" ht="11.25" customHeight="1" x14ac:dyDescent="0.2">
      <c r="A1188" s="23" t="s">
        <v>38</v>
      </c>
      <c r="B1188" s="18">
        <v>16854026.389685843</v>
      </c>
      <c r="C1188" s="18">
        <v>18524927.25766832</v>
      </c>
      <c r="D1188" s="18">
        <v>4781473.2829600004</v>
      </c>
      <c r="E1188" s="18">
        <v>6283846.626000734</v>
      </c>
      <c r="F1188" s="18">
        <v>0</v>
      </c>
      <c r="G1188" s="18">
        <v>0</v>
      </c>
      <c r="H1188" s="19">
        <v>0.146669790808448</v>
      </c>
      <c r="I1188" s="19">
        <v>0</v>
      </c>
      <c r="J1188" s="19">
        <v>0.146669790808448</v>
      </c>
    </row>
    <row r="1189" spans="1:10" ht="11.25" customHeight="1" x14ac:dyDescent="0.2">
      <c r="A1189" s="24" t="s">
        <v>25</v>
      </c>
      <c r="B1189" s="18">
        <v>16854026.389685843</v>
      </c>
      <c r="C1189" s="18">
        <v>18524927.25766832</v>
      </c>
      <c r="D1189" s="18">
        <v>4781473.2829600004</v>
      </c>
      <c r="E1189" s="18">
        <v>6283846.626000734</v>
      </c>
      <c r="F1189" s="18">
        <v>0</v>
      </c>
      <c r="G1189" s="18">
        <v>0</v>
      </c>
      <c r="H1189" s="19">
        <v>0.146669790808448</v>
      </c>
      <c r="I1189" s="19">
        <v>0</v>
      </c>
      <c r="J1189" s="19">
        <v>0.146669790808448</v>
      </c>
    </row>
    <row r="1190" spans="1:10" ht="11.25" customHeight="1" x14ac:dyDescent="0.2">
      <c r="A1190" s="25" t="s">
        <v>60</v>
      </c>
      <c r="B1190" s="18">
        <v>2148878.9896858414</v>
      </c>
      <c r="C1190" s="18">
        <v>2316712.0361790843</v>
      </c>
      <c r="D1190" s="18">
        <v>2143647.9374199999</v>
      </c>
      <c r="E1190" s="18">
        <v>2817197.5585213765</v>
      </c>
      <c r="F1190" s="18">
        <v>0</v>
      </c>
      <c r="G1190" s="18">
        <v>0</v>
      </c>
      <c r="H1190" s="19">
        <v>0.19601104008959758</v>
      </c>
      <c r="I1190" s="19">
        <v>0</v>
      </c>
      <c r="J1190" s="19">
        <v>0.19601104008959758</v>
      </c>
    </row>
    <row r="1191" spans="1:10" ht="11.25" customHeight="1" x14ac:dyDescent="0.2">
      <c r="A1191" s="26" t="s">
        <v>25</v>
      </c>
      <c r="B1191" s="18">
        <v>2148878.9896858414</v>
      </c>
      <c r="C1191" s="18">
        <v>2316712.0361790843</v>
      </c>
      <c r="D1191" s="18">
        <v>2143647.9374199999</v>
      </c>
      <c r="E1191" s="18">
        <v>2817197.5585213765</v>
      </c>
      <c r="F1191" s="18">
        <v>0</v>
      </c>
      <c r="G1191" s="18">
        <v>0</v>
      </c>
      <c r="H1191" s="19">
        <v>0.19601104008959758</v>
      </c>
      <c r="I1191" s="19">
        <v>0</v>
      </c>
      <c r="J1191" s="19">
        <v>0.19601104008959758</v>
      </c>
    </row>
    <row r="1192" spans="1:10" ht="11.25" customHeight="1" x14ac:dyDescent="0.2">
      <c r="A1192" s="27" t="s">
        <v>35</v>
      </c>
      <c r="B1192" s="18">
        <v>964302.84869423695</v>
      </c>
      <c r="C1192" s="18">
        <v>948481.70645969687</v>
      </c>
      <c r="D1192" s="18">
        <v>0</v>
      </c>
      <c r="E1192" s="18">
        <v>0</v>
      </c>
      <c r="F1192" s="18">
        <v>0</v>
      </c>
      <c r="G1192" s="18">
        <v>0</v>
      </c>
      <c r="H1192" s="19">
        <v>-1.64068189324168E-2</v>
      </c>
      <c r="I1192" s="19">
        <v>0</v>
      </c>
      <c r="J1192" s="19">
        <v>-1.64068189324168E-2</v>
      </c>
    </row>
    <row r="1193" spans="1:10" ht="11.25" customHeight="1" x14ac:dyDescent="0.2">
      <c r="A1193" s="28">
        <v>44287</v>
      </c>
      <c r="B1193" s="18">
        <v>8725.9186639500003</v>
      </c>
      <c r="C1193" s="18">
        <v>8582.754096411576</v>
      </c>
      <c r="D1193" s="18">
        <v>0</v>
      </c>
      <c r="E1193" s="18">
        <v>0</v>
      </c>
      <c r="F1193" s="18">
        <v>0</v>
      </c>
      <c r="G1193" s="18">
        <v>0</v>
      </c>
      <c r="H1193" s="19">
        <v>-1.64068189324168E-2</v>
      </c>
      <c r="I1193" s="19">
        <v>0</v>
      </c>
      <c r="J1193" s="19">
        <v>-1.64068189324168E-2</v>
      </c>
    </row>
    <row r="1194" spans="1:10" ht="11.25" customHeight="1" x14ac:dyDescent="0.2">
      <c r="A1194" s="28">
        <v>44317</v>
      </c>
      <c r="B1194" s="18">
        <v>8739.1554290999993</v>
      </c>
      <c r="C1194" s="18">
        <v>8595.7736883525085</v>
      </c>
      <c r="D1194" s="18">
        <v>0</v>
      </c>
      <c r="E1194" s="18">
        <v>0</v>
      </c>
      <c r="F1194" s="18">
        <v>0</v>
      </c>
      <c r="G1194" s="18">
        <v>0</v>
      </c>
      <c r="H1194" s="19">
        <v>-1.64068189324168E-2</v>
      </c>
      <c r="I1194" s="19">
        <v>0</v>
      </c>
      <c r="J1194" s="19">
        <v>-1.64068189324168E-2</v>
      </c>
    </row>
    <row r="1195" spans="1:10" ht="11.25" customHeight="1" x14ac:dyDescent="0.2">
      <c r="A1195" s="28">
        <v>44348</v>
      </c>
      <c r="B1195" s="18">
        <v>8699.67009555</v>
      </c>
      <c r="C1195" s="18">
        <v>8556.9361835205491</v>
      </c>
      <c r="D1195" s="18">
        <v>0</v>
      </c>
      <c r="E1195" s="18">
        <v>0</v>
      </c>
      <c r="F1195" s="18">
        <v>0</v>
      </c>
      <c r="G1195" s="18">
        <v>0</v>
      </c>
      <c r="H1195" s="19">
        <v>-1.6406818932416911E-2</v>
      </c>
      <c r="I1195" s="19">
        <v>0</v>
      </c>
      <c r="J1195" s="19">
        <v>-1.6406818932416911E-2</v>
      </c>
    </row>
    <row r="1196" spans="1:10" ht="11.25" customHeight="1" x14ac:dyDescent="0.2">
      <c r="A1196" s="28">
        <v>44378</v>
      </c>
      <c r="B1196" s="18">
        <v>9096.7200257999993</v>
      </c>
      <c r="C1196" s="18">
        <v>8947.4717874578091</v>
      </c>
      <c r="D1196" s="18">
        <v>0</v>
      </c>
      <c r="E1196" s="18">
        <v>0</v>
      </c>
      <c r="F1196" s="18">
        <v>0</v>
      </c>
      <c r="G1196" s="18">
        <v>0</v>
      </c>
      <c r="H1196" s="19">
        <v>-1.64068189324168E-2</v>
      </c>
      <c r="I1196" s="19">
        <v>0</v>
      </c>
      <c r="J1196" s="19">
        <v>-1.64068189324168E-2</v>
      </c>
    </row>
    <row r="1197" spans="1:10" ht="11.25" customHeight="1" x14ac:dyDescent="0.2">
      <c r="A1197" s="28">
        <v>44409</v>
      </c>
      <c r="B1197" s="18">
        <v>8689.7500407000007</v>
      </c>
      <c r="C1197" s="18">
        <v>8547.1788852142745</v>
      </c>
      <c r="D1197" s="18">
        <v>0</v>
      </c>
      <c r="E1197" s="18">
        <v>0</v>
      </c>
      <c r="F1197" s="18">
        <v>0</v>
      </c>
      <c r="G1197" s="18">
        <v>0</v>
      </c>
      <c r="H1197" s="19">
        <v>-1.64068189324168E-2</v>
      </c>
      <c r="I1197" s="19">
        <v>0</v>
      </c>
      <c r="J1197" s="19">
        <v>-1.64068189324168E-2</v>
      </c>
    </row>
    <row r="1198" spans="1:10" ht="11.25" customHeight="1" x14ac:dyDescent="0.2">
      <c r="A1198" s="28">
        <v>44440</v>
      </c>
      <c r="B1198" s="18">
        <v>64332.12116676</v>
      </c>
      <c r="C1198" s="18">
        <v>63276.635703238673</v>
      </c>
      <c r="D1198" s="18">
        <v>0</v>
      </c>
      <c r="E1198" s="18">
        <v>0</v>
      </c>
      <c r="F1198" s="18">
        <v>0</v>
      </c>
      <c r="G1198" s="18">
        <v>0</v>
      </c>
      <c r="H1198" s="19">
        <v>-1.64068189324168E-2</v>
      </c>
      <c r="I1198" s="19">
        <v>0</v>
      </c>
      <c r="J1198" s="19">
        <v>-1.64068189324168E-2</v>
      </c>
    </row>
    <row r="1199" spans="1:10" ht="11.25" customHeight="1" x14ac:dyDescent="0.2">
      <c r="A1199" s="28">
        <v>44470</v>
      </c>
      <c r="B1199" s="18">
        <v>64338.620514239999</v>
      </c>
      <c r="C1199" s="18">
        <v>63283.028417101385</v>
      </c>
      <c r="D1199" s="18">
        <v>0</v>
      </c>
      <c r="E1199" s="18">
        <v>0</v>
      </c>
      <c r="F1199" s="18">
        <v>0</v>
      </c>
      <c r="G1199" s="18">
        <v>0</v>
      </c>
      <c r="H1199" s="19">
        <v>-1.64068189324168E-2</v>
      </c>
      <c r="I1199" s="19">
        <v>0</v>
      </c>
      <c r="J1199" s="19">
        <v>-1.64068189324168E-2</v>
      </c>
    </row>
    <row r="1200" spans="1:10" ht="11.25" customHeight="1" x14ac:dyDescent="0.2">
      <c r="A1200" s="28">
        <v>44501</v>
      </c>
      <c r="B1200" s="18">
        <v>171050.86996204461</v>
      </c>
      <c r="C1200" s="18">
        <v>168244.46931034495</v>
      </c>
      <c r="D1200" s="18">
        <v>0</v>
      </c>
      <c r="E1200" s="18">
        <v>0</v>
      </c>
      <c r="F1200" s="18">
        <v>0</v>
      </c>
      <c r="G1200" s="18">
        <v>0</v>
      </c>
      <c r="H1200" s="19">
        <v>-1.6406818932416911E-2</v>
      </c>
      <c r="I1200" s="19">
        <v>0</v>
      </c>
      <c r="J1200" s="19">
        <v>-1.6406818932416911E-2</v>
      </c>
    </row>
    <row r="1201" spans="1:10" ht="11.25" customHeight="1" x14ac:dyDescent="0.2">
      <c r="A1201" s="28">
        <v>44531</v>
      </c>
      <c r="B1201" s="18">
        <v>167761.28157936397</v>
      </c>
      <c r="C1201" s="18">
        <v>165008.85260862118</v>
      </c>
      <c r="D1201" s="18">
        <v>0</v>
      </c>
      <c r="E1201" s="18">
        <v>0</v>
      </c>
      <c r="F1201" s="18">
        <v>0</v>
      </c>
      <c r="G1201" s="18">
        <v>0</v>
      </c>
      <c r="H1201" s="19">
        <v>-1.6406818932416689E-2</v>
      </c>
      <c r="I1201" s="19">
        <v>0</v>
      </c>
      <c r="J1201" s="19">
        <v>-1.6406818932416689E-2</v>
      </c>
    </row>
    <row r="1202" spans="1:10" ht="11.25" customHeight="1" x14ac:dyDescent="0.2">
      <c r="A1202" s="28">
        <v>44562</v>
      </c>
      <c r="B1202" s="18">
        <v>119959.92046397999</v>
      </c>
      <c r="C1202" s="18">
        <v>117991.75976978036</v>
      </c>
      <c r="D1202" s="18">
        <v>0</v>
      </c>
      <c r="E1202" s="18">
        <v>0</v>
      </c>
      <c r="F1202" s="18">
        <v>0</v>
      </c>
      <c r="G1202" s="18">
        <v>0</v>
      </c>
      <c r="H1202" s="19">
        <v>-1.6406818932416689E-2</v>
      </c>
      <c r="I1202" s="19">
        <v>0</v>
      </c>
      <c r="J1202" s="19">
        <v>-1.6406818932416689E-2</v>
      </c>
    </row>
    <row r="1203" spans="1:10" ht="11.25" customHeight="1" x14ac:dyDescent="0.2">
      <c r="A1203" s="28">
        <v>44593</v>
      </c>
      <c r="B1203" s="18">
        <v>166454.4103763742</v>
      </c>
      <c r="C1203" s="18">
        <v>163723.42300482682</v>
      </c>
      <c r="D1203" s="18">
        <v>0</v>
      </c>
      <c r="E1203" s="18">
        <v>0</v>
      </c>
      <c r="F1203" s="18">
        <v>0</v>
      </c>
      <c r="G1203" s="18">
        <v>0</v>
      </c>
      <c r="H1203" s="19">
        <v>-1.64068189324168E-2</v>
      </c>
      <c r="I1203" s="19">
        <v>0</v>
      </c>
      <c r="J1203" s="19">
        <v>-1.64068189324168E-2</v>
      </c>
    </row>
    <row r="1204" spans="1:10" ht="11.25" customHeight="1" x14ac:dyDescent="0.2">
      <c r="A1204" s="28">
        <v>44621</v>
      </c>
      <c r="B1204" s="18">
        <v>166454.4103763742</v>
      </c>
      <c r="C1204" s="18">
        <v>163723.42300482682</v>
      </c>
      <c r="D1204" s="18">
        <v>0</v>
      </c>
      <c r="E1204" s="18">
        <v>0</v>
      </c>
      <c r="F1204" s="18">
        <v>0</v>
      </c>
      <c r="G1204" s="18">
        <v>0</v>
      </c>
      <c r="H1204" s="19">
        <v>-1.64068189324168E-2</v>
      </c>
      <c r="I1204" s="19">
        <v>0</v>
      </c>
      <c r="J1204" s="19">
        <v>-1.64068189324168E-2</v>
      </c>
    </row>
    <row r="1205" spans="1:10" ht="11.25" customHeight="1" x14ac:dyDescent="0.2">
      <c r="A1205" s="27" t="s">
        <v>25</v>
      </c>
      <c r="B1205" s="18">
        <v>0</v>
      </c>
      <c r="C1205" s="18">
        <v>0</v>
      </c>
      <c r="D1205" s="18">
        <v>2143647.9374199999</v>
      </c>
      <c r="E1205" s="18">
        <v>2817197.5585213765</v>
      </c>
      <c r="F1205" s="18">
        <v>0</v>
      </c>
      <c r="G1205" s="18">
        <v>0</v>
      </c>
      <c r="H1205" s="19">
        <v>0.31420720228529286</v>
      </c>
      <c r="I1205" s="19">
        <v>0</v>
      </c>
      <c r="J1205" s="19">
        <v>0.31420720228529286</v>
      </c>
    </row>
    <row r="1206" spans="1:10" ht="11.25" customHeight="1" x14ac:dyDescent="0.2">
      <c r="A1206" s="28">
        <v>44287</v>
      </c>
      <c r="B1206" s="18">
        <v>0</v>
      </c>
      <c r="C1206" s="18">
        <v>0</v>
      </c>
      <c r="D1206" s="18">
        <v>13275.1927</v>
      </c>
      <c r="E1206" s="18">
        <v>17446.35385806514</v>
      </c>
      <c r="F1206" s="18">
        <v>0</v>
      </c>
      <c r="G1206" s="18">
        <v>0</v>
      </c>
      <c r="H1206" s="19">
        <v>0.31420720228529264</v>
      </c>
      <c r="I1206" s="19">
        <v>0</v>
      </c>
      <c r="J1206" s="19">
        <v>0.31420720228529264</v>
      </c>
    </row>
    <row r="1207" spans="1:10" ht="11.25" customHeight="1" x14ac:dyDescent="0.2">
      <c r="A1207" s="28">
        <v>44317</v>
      </c>
      <c r="B1207" s="18">
        <v>0</v>
      </c>
      <c r="C1207" s="18">
        <v>0</v>
      </c>
      <c r="D1207" s="18">
        <v>11625.058939999999</v>
      </c>
      <c r="E1207" s="18">
        <v>15277.736185939028</v>
      </c>
      <c r="F1207" s="18">
        <v>0</v>
      </c>
      <c r="G1207" s="18">
        <v>0</v>
      </c>
      <c r="H1207" s="19">
        <v>0.31420720228529264</v>
      </c>
      <c r="I1207" s="19">
        <v>0</v>
      </c>
      <c r="J1207" s="19">
        <v>0.31420720228529264</v>
      </c>
    </row>
    <row r="1208" spans="1:10" ht="11.25" customHeight="1" x14ac:dyDescent="0.2">
      <c r="A1208" s="28">
        <v>44348</v>
      </c>
      <c r="B1208" s="18">
        <v>0</v>
      </c>
      <c r="C1208" s="18">
        <v>0</v>
      </c>
      <c r="D1208" s="18">
        <v>11758.78088</v>
      </c>
      <c r="E1208" s="18">
        <v>15453.474522590592</v>
      </c>
      <c r="F1208" s="18">
        <v>0</v>
      </c>
      <c r="G1208" s="18">
        <v>0</v>
      </c>
      <c r="H1208" s="19">
        <v>0.31420720228529264</v>
      </c>
      <c r="I1208" s="19">
        <v>0</v>
      </c>
      <c r="J1208" s="19">
        <v>0.31420720228529264</v>
      </c>
    </row>
    <row r="1209" spans="1:10" ht="11.25" customHeight="1" x14ac:dyDescent="0.2">
      <c r="A1209" s="28">
        <v>44378</v>
      </c>
      <c r="B1209" s="18">
        <v>0</v>
      </c>
      <c r="C1209" s="18">
        <v>0</v>
      </c>
      <c r="D1209" s="18">
        <v>13071.79478</v>
      </c>
      <c r="E1209" s="18">
        <v>17179.046846671292</v>
      </c>
      <c r="F1209" s="18">
        <v>0</v>
      </c>
      <c r="G1209" s="18">
        <v>0</v>
      </c>
      <c r="H1209" s="19">
        <v>0.31420720228529264</v>
      </c>
      <c r="I1209" s="19">
        <v>0</v>
      </c>
      <c r="J1209" s="19">
        <v>0.31420720228529264</v>
      </c>
    </row>
    <row r="1210" spans="1:10" ht="11.25" customHeight="1" x14ac:dyDescent="0.2">
      <c r="A1210" s="28">
        <v>44409</v>
      </c>
      <c r="B1210" s="18">
        <v>0</v>
      </c>
      <c r="C1210" s="18">
        <v>0</v>
      </c>
      <c r="D1210" s="18">
        <v>14864.113440000001</v>
      </c>
      <c r="E1210" s="18">
        <v>19534.524938433617</v>
      </c>
      <c r="F1210" s="18">
        <v>0</v>
      </c>
      <c r="G1210" s="18">
        <v>0</v>
      </c>
      <c r="H1210" s="19">
        <v>0.31420720228529242</v>
      </c>
      <c r="I1210" s="19">
        <v>0</v>
      </c>
      <c r="J1210" s="19">
        <v>0.31420720228529242</v>
      </c>
    </row>
    <row r="1211" spans="1:10" ht="11.25" customHeight="1" x14ac:dyDescent="0.2">
      <c r="A1211" s="28">
        <v>44440</v>
      </c>
      <c r="B1211" s="18">
        <v>0</v>
      </c>
      <c r="C1211" s="18">
        <v>0</v>
      </c>
      <c r="D1211" s="18">
        <v>246612.91357999999</v>
      </c>
      <c r="E1211" s="18">
        <v>324100.46720339643</v>
      </c>
      <c r="F1211" s="18">
        <v>0</v>
      </c>
      <c r="G1211" s="18">
        <v>0</v>
      </c>
      <c r="H1211" s="19">
        <v>0.31420720228529264</v>
      </c>
      <c r="I1211" s="19">
        <v>0</v>
      </c>
      <c r="J1211" s="19">
        <v>0.31420720228529264</v>
      </c>
    </row>
    <row r="1212" spans="1:10" ht="11.25" customHeight="1" x14ac:dyDescent="0.2">
      <c r="A1212" s="28">
        <v>44470</v>
      </c>
      <c r="B1212" s="18">
        <v>0</v>
      </c>
      <c r="C1212" s="18">
        <v>0</v>
      </c>
      <c r="D1212" s="18">
        <v>244654.56312000001</v>
      </c>
      <c r="E1212" s="18">
        <v>321526.78892426571</v>
      </c>
      <c r="F1212" s="18">
        <v>0</v>
      </c>
      <c r="G1212" s="18">
        <v>0</v>
      </c>
      <c r="H1212" s="19">
        <v>0.31420720228529242</v>
      </c>
      <c r="I1212" s="19">
        <v>0</v>
      </c>
      <c r="J1212" s="19">
        <v>0.31420720228529242</v>
      </c>
    </row>
    <row r="1213" spans="1:10" ht="11.25" customHeight="1" x14ac:dyDescent="0.2">
      <c r="A1213" s="28">
        <v>44501</v>
      </c>
      <c r="B1213" s="18">
        <v>0</v>
      </c>
      <c r="C1213" s="18">
        <v>0</v>
      </c>
      <c r="D1213" s="18">
        <v>362931.99557999999</v>
      </c>
      <c r="E1213" s="18">
        <v>476967.84253100998</v>
      </c>
      <c r="F1213" s="18">
        <v>0</v>
      </c>
      <c r="G1213" s="18">
        <v>0</v>
      </c>
      <c r="H1213" s="19">
        <v>0.31420720228529264</v>
      </c>
      <c r="I1213" s="19">
        <v>0</v>
      </c>
      <c r="J1213" s="19">
        <v>0.31420720228529264</v>
      </c>
    </row>
    <row r="1214" spans="1:10" ht="11.25" customHeight="1" x14ac:dyDescent="0.2">
      <c r="A1214" s="28">
        <v>44531</v>
      </c>
      <c r="B1214" s="18">
        <v>0</v>
      </c>
      <c r="C1214" s="18">
        <v>0</v>
      </c>
      <c r="D1214" s="18">
        <v>369366.71398</v>
      </c>
      <c r="E1214" s="18">
        <v>485424.39579696767</v>
      </c>
      <c r="F1214" s="18">
        <v>0</v>
      </c>
      <c r="G1214" s="18">
        <v>0</v>
      </c>
      <c r="H1214" s="19">
        <v>0.31420720228529264</v>
      </c>
      <c r="I1214" s="19">
        <v>0</v>
      </c>
      <c r="J1214" s="19">
        <v>0.31420720228529264</v>
      </c>
    </row>
    <row r="1215" spans="1:10" ht="11.25" customHeight="1" x14ac:dyDescent="0.2">
      <c r="A1215" s="28">
        <v>44562</v>
      </c>
      <c r="B1215" s="18">
        <v>0</v>
      </c>
      <c r="C1215" s="18">
        <v>0</v>
      </c>
      <c r="D1215" s="18">
        <v>255252.51994</v>
      </c>
      <c r="E1215" s="18">
        <v>335454.70010661829</v>
      </c>
      <c r="F1215" s="18">
        <v>0</v>
      </c>
      <c r="G1215" s="18">
        <v>0</v>
      </c>
      <c r="H1215" s="19">
        <v>0.31420720228529264</v>
      </c>
      <c r="I1215" s="19">
        <v>0</v>
      </c>
      <c r="J1215" s="19">
        <v>0.31420720228529264</v>
      </c>
    </row>
    <row r="1216" spans="1:10" ht="11.25" customHeight="1" x14ac:dyDescent="0.2">
      <c r="A1216" s="28">
        <v>44593</v>
      </c>
      <c r="B1216" s="18">
        <v>0</v>
      </c>
      <c r="C1216" s="18">
        <v>0</v>
      </c>
      <c r="D1216" s="18">
        <v>300117.14523999998</v>
      </c>
      <c r="E1216" s="18">
        <v>394416.11380370922</v>
      </c>
      <c r="F1216" s="18">
        <v>0</v>
      </c>
      <c r="G1216" s="18">
        <v>0</v>
      </c>
      <c r="H1216" s="19">
        <v>0.31420720228529264</v>
      </c>
      <c r="I1216" s="19">
        <v>0</v>
      </c>
      <c r="J1216" s="19">
        <v>0.31420720228529264</v>
      </c>
    </row>
    <row r="1217" spans="1:10" ht="11.25" customHeight="1" x14ac:dyDescent="0.2">
      <c r="A1217" s="28">
        <v>44621</v>
      </c>
      <c r="B1217" s="18">
        <v>0</v>
      </c>
      <c r="C1217" s="18">
        <v>0</v>
      </c>
      <c r="D1217" s="18">
        <v>300117.14523999998</v>
      </c>
      <c r="E1217" s="18">
        <v>394416.11380370922</v>
      </c>
      <c r="F1217" s="18">
        <v>0</v>
      </c>
      <c r="G1217" s="18">
        <v>0</v>
      </c>
      <c r="H1217" s="19">
        <v>0.31420720228529264</v>
      </c>
      <c r="I1217" s="19">
        <v>0</v>
      </c>
      <c r="J1217" s="19">
        <v>0.31420720228529264</v>
      </c>
    </row>
    <row r="1218" spans="1:10" ht="11.25" customHeight="1" x14ac:dyDescent="0.2">
      <c r="A1218" s="27" t="s">
        <v>34</v>
      </c>
      <c r="B1218" s="18">
        <v>1184576.1409916044</v>
      </c>
      <c r="C1218" s="18">
        <v>1368230.3297193882</v>
      </c>
      <c r="D1218" s="18">
        <v>0</v>
      </c>
      <c r="E1218" s="18">
        <v>0</v>
      </c>
      <c r="F1218" s="18">
        <v>0</v>
      </c>
      <c r="G1218" s="18">
        <v>0</v>
      </c>
      <c r="H1218" s="19">
        <v>0.15503789277238655</v>
      </c>
      <c r="I1218" s="19">
        <v>0</v>
      </c>
      <c r="J1218" s="19">
        <v>0.15503789277238655</v>
      </c>
    </row>
    <row r="1219" spans="1:10" ht="11.25" customHeight="1" x14ac:dyDescent="0.2">
      <c r="A1219" s="28">
        <v>44287</v>
      </c>
      <c r="B1219" s="18">
        <v>17211.607042058</v>
      </c>
      <c r="C1219" s="18">
        <v>19880.058329085041</v>
      </c>
      <c r="D1219" s="18">
        <v>0</v>
      </c>
      <c r="E1219" s="18">
        <v>0</v>
      </c>
      <c r="F1219" s="18">
        <v>0</v>
      </c>
      <c r="G1219" s="18">
        <v>0</v>
      </c>
      <c r="H1219" s="19">
        <v>0.15503789277238655</v>
      </c>
      <c r="I1219" s="19">
        <v>0</v>
      </c>
      <c r="J1219" s="19">
        <v>0.15503789277238655</v>
      </c>
    </row>
    <row r="1220" spans="1:10" ht="11.25" customHeight="1" x14ac:dyDescent="0.2">
      <c r="A1220" s="28">
        <v>44317</v>
      </c>
      <c r="B1220" s="18">
        <v>17241.46044907</v>
      </c>
      <c r="C1220" s="18">
        <v>19914.540145412258</v>
      </c>
      <c r="D1220" s="18">
        <v>0</v>
      </c>
      <c r="E1220" s="18">
        <v>0</v>
      </c>
      <c r="F1220" s="18">
        <v>0</v>
      </c>
      <c r="G1220" s="18">
        <v>0</v>
      </c>
      <c r="H1220" s="19">
        <v>0.15503789277238655</v>
      </c>
      <c r="I1220" s="19">
        <v>0</v>
      </c>
      <c r="J1220" s="19">
        <v>0.15503789277238655</v>
      </c>
    </row>
    <row r="1221" spans="1:10" ht="11.25" customHeight="1" x14ac:dyDescent="0.2">
      <c r="A1221" s="28">
        <v>44348</v>
      </c>
      <c r="B1221" s="18">
        <v>17161.510049970002</v>
      </c>
      <c r="C1221" s="18">
        <v>19822.194404909482</v>
      </c>
      <c r="D1221" s="18">
        <v>0</v>
      </c>
      <c r="E1221" s="18">
        <v>0</v>
      </c>
      <c r="F1221" s="18">
        <v>0</v>
      </c>
      <c r="G1221" s="18">
        <v>0</v>
      </c>
      <c r="H1221" s="19">
        <v>0.15503789277238633</v>
      </c>
      <c r="I1221" s="19">
        <v>0</v>
      </c>
      <c r="J1221" s="19">
        <v>0.15503789277238633</v>
      </c>
    </row>
    <row r="1222" spans="1:10" ht="11.25" customHeight="1" x14ac:dyDescent="0.2">
      <c r="A1222" s="28">
        <v>44378</v>
      </c>
      <c r="B1222" s="18">
        <v>18002.610194998</v>
      </c>
      <c r="C1222" s="18">
        <v>20793.69694403317</v>
      </c>
      <c r="D1222" s="18">
        <v>0</v>
      </c>
      <c r="E1222" s="18">
        <v>0</v>
      </c>
      <c r="F1222" s="18">
        <v>0</v>
      </c>
      <c r="G1222" s="18">
        <v>0</v>
      </c>
      <c r="H1222" s="19">
        <v>0.15503789277238633</v>
      </c>
      <c r="I1222" s="19">
        <v>0</v>
      </c>
      <c r="J1222" s="19">
        <v>0.15503789277238633</v>
      </c>
    </row>
    <row r="1223" spans="1:10" ht="11.25" customHeight="1" x14ac:dyDescent="0.2">
      <c r="A1223" s="28">
        <v>44409</v>
      </c>
      <c r="B1223" s="18">
        <v>17140.270299724001</v>
      </c>
      <c r="C1223" s="18">
        <v>19797.661688542332</v>
      </c>
      <c r="D1223" s="18">
        <v>0</v>
      </c>
      <c r="E1223" s="18">
        <v>0</v>
      </c>
      <c r="F1223" s="18">
        <v>0</v>
      </c>
      <c r="G1223" s="18">
        <v>0</v>
      </c>
      <c r="H1223" s="19">
        <v>0.15503789277238655</v>
      </c>
      <c r="I1223" s="19">
        <v>0</v>
      </c>
      <c r="J1223" s="19">
        <v>0.15503789277238655</v>
      </c>
    </row>
    <row r="1224" spans="1:10" ht="11.25" customHeight="1" x14ac:dyDescent="0.2">
      <c r="A1224" s="28">
        <v>44440</v>
      </c>
      <c r="B1224" s="18">
        <v>69589.771271513993</v>
      </c>
      <c r="C1224" s="18">
        <v>80378.822767961887</v>
      </c>
      <c r="D1224" s="18">
        <v>0</v>
      </c>
      <c r="E1224" s="18">
        <v>0</v>
      </c>
      <c r="F1224" s="18">
        <v>0</v>
      </c>
      <c r="G1224" s="18">
        <v>0</v>
      </c>
      <c r="H1224" s="19">
        <v>0.15503789277238655</v>
      </c>
      <c r="I1224" s="19">
        <v>0</v>
      </c>
      <c r="J1224" s="19">
        <v>0.15503789277238655</v>
      </c>
    </row>
    <row r="1225" spans="1:10" ht="11.25" customHeight="1" x14ac:dyDescent="0.2">
      <c r="A1225" s="28">
        <v>44470</v>
      </c>
      <c r="B1225" s="18">
        <v>69602.550752409996</v>
      </c>
      <c r="C1225" s="18">
        <v>80393.583552646742</v>
      </c>
      <c r="D1225" s="18">
        <v>0</v>
      </c>
      <c r="E1225" s="18">
        <v>0</v>
      </c>
      <c r="F1225" s="18">
        <v>0</v>
      </c>
      <c r="G1225" s="18">
        <v>0</v>
      </c>
      <c r="H1225" s="19">
        <v>0.15503789277238678</v>
      </c>
      <c r="I1225" s="19">
        <v>0</v>
      </c>
      <c r="J1225" s="19">
        <v>0.15503789277238678</v>
      </c>
    </row>
    <row r="1226" spans="1:10" ht="11.25" customHeight="1" x14ac:dyDescent="0.2">
      <c r="A1226" s="28">
        <v>44501</v>
      </c>
      <c r="B1226" s="18">
        <v>211749.60705575041</v>
      </c>
      <c r="C1226" s="18">
        <v>244578.81992905482</v>
      </c>
      <c r="D1226" s="18">
        <v>0</v>
      </c>
      <c r="E1226" s="18">
        <v>0</v>
      </c>
      <c r="F1226" s="18">
        <v>0</v>
      </c>
      <c r="G1226" s="18">
        <v>0</v>
      </c>
      <c r="H1226" s="19">
        <v>0.15503789277238655</v>
      </c>
      <c r="I1226" s="19">
        <v>0</v>
      </c>
      <c r="J1226" s="19">
        <v>0.15503789277238655</v>
      </c>
    </row>
    <row r="1227" spans="1:10" ht="11.25" customHeight="1" x14ac:dyDescent="0.2">
      <c r="A1227" s="28">
        <v>44531</v>
      </c>
      <c r="B1227" s="18">
        <v>209143.02594905719</v>
      </c>
      <c r="C1227" s="18">
        <v>241568.11998023957</v>
      </c>
      <c r="D1227" s="18">
        <v>0</v>
      </c>
      <c r="E1227" s="18">
        <v>0</v>
      </c>
      <c r="F1227" s="18">
        <v>0</v>
      </c>
      <c r="G1227" s="18">
        <v>0</v>
      </c>
      <c r="H1227" s="19">
        <v>0.15503789277238655</v>
      </c>
      <c r="I1227" s="19">
        <v>0</v>
      </c>
      <c r="J1227" s="19">
        <v>0.15503789277238655</v>
      </c>
    </row>
    <row r="1228" spans="1:10" ht="11.25" customHeight="1" x14ac:dyDescent="0.2">
      <c r="A1228" s="28">
        <v>44562</v>
      </c>
      <c r="B1228" s="18">
        <v>123267.21083206401</v>
      </c>
      <c r="C1228" s="18">
        <v>142378.29944739671</v>
      </c>
      <c r="D1228" s="18">
        <v>0</v>
      </c>
      <c r="E1228" s="18">
        <v>0</v>
      </c>
      <c r="F1228" s="18">
        <v>0</v>
      </c>
      <c r="G1228" s="18">
        <v>0</v>
      </c>
      <c r="H1228" s="19">
        <v>0.15503789277238655</v>
      </c>
      <c r="I1228" s="19">
        <v>0</v>
      </c>
      <c r="J1228" s="19">
        <v>0.15503789277238655</v>
      </c>
    </row>
    <row r="1229" spans="1:10" ht="11.25" customHeight="1" x14ac:dyDescent="0.2">
      <c r="A1229" s="28">
        <v>44593</v>
      </c>
      <c r="B1229" s="18">
        <v>207233.25854749439</v>
      </c>
      <c r="C1229" s="18">
        <v>239362.26626505307</v>
      </c>
      <c r="D1229" s="18">
        <v>0</v>
      </c>
      <c r="E1229" s="18">
        <v>0</v>
      </c>
      <c r="F1229" s="18">
        <v>0</v>
      </c>
      <c r="G1229" s="18">
        <v>0</v>
      </c>
      <c r="H1229" s="19">
        <v>0.15503789277238655</v>
      </c>
      <c r="I1229" s="19">
        <v>0</v>
      </c>
      <c r="J1229" s="19">
        <v>0.15503789277238655</v>
      </c>
    </row>
    <row r="1230" spans="1:10" ht="11.25" customHeight="1" x14ac:dyDescent="0.2">
      <c r="A1230" s="28">
        <v>44621</v>
      </c>
      <c r="B1230" s="18">
        <v>207233.25854749439</v>
      </c>
      <c r="C1230" s="18">
        <v>239362.26626505307</v>
      </c>
      <c r="D1230" s="18">
        <v>0</v>
      </c>
      <c r="E1230" s="18">
        <v>0</v>
      </c>
      <c r="F1230" s="18">
        <v>0</v>
      </c>
      <c r="G1230" s="18">
        <v>0</v>
      </c>
      <c r="H1230" s="19">
        <v>0.15503789277238655</v>
      </c>
      <c r="I1230" s="19">
        <v>0</v>
      </c>
      <c r="J1230" s="19">
        <v>0.15503789277238655</v>
      </c>
    </row>
    <row r="1231" spans="1:10" ht="11.25" customHeight="1" x14ac:dyDescent="0.2">
      <c r="A1231" s="25" t="s">
        <v>25</v>
      </c>
      <c r="B1231" s="18">
        <v>14705147.4</v>
      </c>
      <c r="C1231" s="18">
        <v>16208215.221489239</v>
      </c>
      <c r="D1231" s="18">
        <v>2637825.3455400001</v>
      </c>
      <c r="E1231" s="18">
        <v>3466649.067479359</v>
      </c>
      <c r="F1231" s="18">
        <v>0</v>
      </c>
      <c r="G1231" s="18">
        <v>0</v>
      </c>
      <c r="H1231" s="19">
        <v>0.13445742997135723</v>
      </c>
      <c r="I1231" s="19">
        <v>0</v>
      </c>
      <c r="J1231" s="19">
        <v>0.13445742997135723</v>
      </c>
    </row>
    <row r="1232" spans="1:10" ht="11.25" customHeight="1" x14ac:dyDescent="0.2">
      <c r="A1232" s="26" t="s">
        <v>25</v>
      </c>
      <c r="B1232" s="18">
        <v>14705147.4</v>
      </c>
      <c r="C1232" s="18">
        <v>16208215.221489239</v>
      </c>
      <c r="D1232" s="18">
        <v>2637825.3455400001</v>
      </c>
      <c r="E1232" s="18">
        <v>3466649.067479359</v>
      </c>
      <c r="F1232" s="18">
        <v>0</v>
      </c>
      <c r="G1232" s="18">
        <v>0</v>
      </c>
      <c r="H1232" s="19">
        <v>0.13445742997135723</v>
      </c>
      <c r="I1232" s="19">
        <v>0</v>
      </c>
      <c r="J1232" s="19">
        <v>0.13445742997135723</v>
      </c>
    </row>
    <row r="1233" spans="1:10" ht="11.25" customHeight="1" x14ac:dyDescent="0.2">
      <c r="A1233" s="27" t="s">
        <v>35</v>
      </c>
      <c r="B1233" s="18">
        <v>4530832.34</v>
      </c>
      <c r="C1233" s="18">
        <v>4456495.7941844817</v>
      </c>
      <c r="D1233" s="18">
        <v>0</v>
      </c>
      <c r="E1233" s="18">
        <v>0</v>
      </c>
      <c r="F1233" s="18">
        <v>0</v>
      </c>
      <c r="G1233" s="18">
        <v>0</v>
      </c>
      <c r="H1233" s="19">
        <v>-1.64068189324168E-2</v>
      </c>
      <c r="I1233" s="19">
        <v>0</v>
      </c>
      <c r="J1233" s="19">
        <v>-1.64068189324168E-2</v>
      </c>
    </row>
    <row r="1234" spans="1:10" ht="11.25" customHeight="1" x14ac:dyDescent="0.2">
      <c r="A1234" s="28">
        <v>44287</v>
      </c>
      <c r="B1234" s="18">
        <v>398811.9</v>
      </c>
      <c r="C1234" s="18">
        <v>392268.66536860686</v>
      </c>
      <c r="D1234" s="18">
        <v>0</v>
      </c>
      <c r="E1234" s="18">
        <v>0</v>
      </c>
      <c r="F1234" s="18">
        <v>0</v>
      </c>
      <c r="G1234" s="18">
        <v>0</v>
      </c>
      <c r="H1234" s="19">
        <v>-1.6406818932416911E-2</v>
      </c>
      <c r="I1234" s="19">
        <v>0</v>
      </c>
      <c r="J1234" s="19">
        <v>-1.6406818932416911E-2</v>
      </c>
    </row>
    <row r="1235" spans="1:10" ht="11.25" customHeight="1" x14ac:dyDescent="0.2">
      <c r="A1235" s="28">
        <v>44317</v>
      </c>
      <c r="B1235" s="18">
        <v>399205.96</v>
      </c>
      <c r="C1235" s="18">
        <v>392656.26009753835</v>
      </c>
      <c r="D1235" s="18">
        <v>0</v>
      </c>
      <c r="E1235" s="18">
        <v>0</v>
      </c>
      <c r="F1235" s="18">
        <v>0</v>
      </c>
      <c r="G1235" s="18">
        <v>0</v>
      </c>
      <c r="H1235" s="19">
        <v>-1.6406818932416911E-2</v>
      </c>
      <c r="I1235" s="19">
        <v>0</v>
      </c>
      <c r="J1235" s="19">
        <v>-1.6406818932416911E-2</v>
      </c>
    </row>
    <row r="1236" spans="1:10" ht="11.25" customHeight="1" x14ac:dyDescent="0.2">
      <c r="A1236" s="28">
        <v>44348</v>
      </c>
      <c r="B1236" s="18">
        <v>397096.58</v>
      </c>
      <c r="C1236" s="18">
        <v>390581.48831325804</v>
      </c>
      <c r="D1236" s="18">
        <v>0</v>
      </c>
      <c r="E1236" s="18">
        <v>0</v>
      </c>
      <c r="F1236" s="18">
        <v>0</v>
      </c>
      <c r="G1236" s="18">
        <v>0</v>
      </c>
      <c r="H1236" s="19">
        <v>-1.64068189324168E-2</v>
      </c>
      <c r="I1236" s="19">
        <v>0</v>
      </c>
      <c r="J1236" s="19">
        <v>-1.64068189324168E-2</v>
      </c>
    </row>
    <row r="1237" spans="1:10" ht="11.25" customHeight="1" x14ac:dyDescent="0.2">
      <c r="A1237" s="28">
        <v>44378</v>
      </c>
      <c r="B1237" s="18">
        <v>397826.75</v>
      </c>
      <c r="C1237" s="18">
        <v>391299.67854627816</v>
      </c>
      <c r="D1237" s="18">
        <v>0</v>
      </c>
      <c r="E1237" s="18">
        <v>0</v>
      </c>
      <c r="F1237" s="18">
        <v>0</v>
      </c>
      <c r="G1237" s="18">
        <v>0</v>
      </c>
      <c r="H1237" s="19">
        <v>-1.64068189324168E-2</v>
      </c>
      <c r="I1237" s="19">
        <v>0</v>
      </c>
      <c r="J1237" s="19">
        <v>-1.64068189324168E-2</v>
      </c>
    </row>
    <row r="1238" spans="1:10" ht="11.25" customHeight="1" x14ac:dyDescent="0.2">
      <c r="A1238" s="28">
        <v>44409</v>
      </c>
      <c r="B1238" s="18">
        <v>397815.16</v>
      </c>
      <c r="C1238" s="18">
        <v>391288.27870130958</v>
      </c>
      <c r="D1238" s="18">
        <v>0</v>
      </c>
      <c r="E1238" s="18">
        <v>0</v>
      </c>
      <c r="F1238" s="18">
        <v>0</v>
      </c>
      <c r="G1238" s="18">
        <v>0</v>
      </c>
      <c r="H1238" s="19">
        <v>-1.6406818932416689E-2</v>
      </c>
      <c r="I1238" s="19">
        <v>0</v>
      </c>
      <c r="J1238" s="19">
        <v>-1.6406818932416689E-2</v>
      </c>
    </row>
    <row r="1239" spans="1:10" ht="11.25" customHeight="1" x14ac:dyDescent="0.2">
      <c r="A1239" s="28">
        <v>44440</v>
      </c>
      <c r="B1239" s="18">
        <v>397583.35999999999</v>
      </c>
      <c r="C1239" s="18">
        <v>391060.28180193808</v>
      </c>
      <c r="D1239" s="18">
        <v>0</v>
      </c>
      <c r="E1239" s="18">
        <v>0</v>
      </c>
      <c r="F1239" s="18">
        <v>0</v>
      </c>
      <c r="G1239" s="18">
        <v>0</v>
      </c>
      <c r="H1239" s="19">
        <v>-1.6406818932416911E-2</v>
      </c>
      <c r="I1239" s="19">
        <v>0</v>
      </c>
      <c r="J1239" s="19">
        <v>-1.6406818932416911E-2</v>
      </c>
    </row>
    <row r="1240" spans="1:10" ht="11.25" customHeight="1" x14ac:dyDescent="0.2">
      <c r="A1240" s="28">
        <v>44470</v>
      </c>
      <c r="B1240" s="18">
        <v>398371.48</v>
      </c>
      <c r="C1240" s="18">
        <v>391835.47125980107</v>
      </c>
      <c r="D1240" s="18">
        <v>0</v>
      </c>
      <c r="E1240" s="18">
        <v>0</v>
      </c>
      <c r="F1240" s="18">
        <v>0</v>
      </c>
      <c r="G1240" s="18">
        <v>0</v>
      </c>
      <c r="H1240" s="19">
        <v>-1.64068189324168E-2</v>
      </c>
      <c r="I1240" s="19">
        <v>0</v>
      </c>
      <c r="J1240" s="19">
        <v>-1.64068189324168E-2</v>
      </c>
    </row>
    <row r="1241" spans="1:10" ht="11.25" customHeight="1" x14ac:dyDescent="0.2">
      <c r="A1241" s="28">
        <v>44501</v>
      </c>
      <c r="B1241" s="18">
        <v>336110</v>
      </c>
      <c r="C1241" s="18">
        <v>330595.50408862537</v>
      </c>
      <c r="D1241" s="18">
        <v>0</v>
      </c>
      <c r="E1241" s="18">
        <v>0</v>
      </c>
      <c r="F1241" s="18">
        <v>0</v>
      </c>
      <c r="G1241" s="18">
        <v>0</v>
      </c>
      <c r="H1241" s="19">
        <v>-1.6406818932416911E-2</v>
      </c>
      <c r="I1241" s="19">
        <v>0</v>
      </c>
      <c r="J1241" s="19">
        <v>-1.6406818932416911E-2</v>
      </c>
    </row>
    <row r="1242" spans="1:10" ht="11.25" customHeight="1" x14ac:dyDescent="0.2">
      <c r="A1242" s="28">
        <v>44531</v>
      </c>
      <c r="B1242" s="18">
        <v>336110</v>
      </c>
      <c r="C1242" s="18">
        <v>330595.50408862537</v>
      </c>
      <c r="D1242" s="18">
        <v>0</v>
      </c>
      <c r="E1242" s="18">
        <v>0</v>
      </c>
      <c r="F1242" s="18">
        <v>0</v>
      </c>
      <c r="G1242" s="18">
        <v>0</v>
      </c>
      <c r="H1242" s="19">
        <v>-1.6406818932416911E-2</v>
      </c>
      <c r="I1242" s="19">
        <v>0</v>
      </c>
      <c r="J1242" s="19">
        <v>-1.6406818932416911E-2</v>
      </c>
    </row>
    <row r="1243" spans="1:10" ht="11.25" customHeight="1" x14ac:dyDescent="0.2">
      <c r="A1243" s="28">
        <v>44562</v>
      </c>
      <c r="B1243" s="18">
        <v>399681.15</v>
      </c>
      <c r="C1243" s="18">
        <v>393123.65374124987</v>
      </c>
      <c r="D1243" s="18">
        <v>0</v>
      </c>
      <c r="E1243" s="18">
        <v>0</v>
      </c>
      <c r="F1243" s="18">
        <v>0</v>
      </c>
      <c r="G1243" s="18">
        <v>0</v>
      </c>
      <c r="H1243" s="19">
        <v>-1.6406818932416911E-2</v>
      </c>
      <c r="I1243" s="19">
        <v>0</v>
      </c>
      <c r="J1243" s="19">
        <v>-1.6406818932416911E-2</v>
      </c>
    </row>
    <row r="1244" spans="1:10" ht="11.25" customHeight="1" x14ac:dyDescent="0.2">
      <c r="A1244" s="28">
        <v>44593</v>
      </c>
      <c r="B1244" s="18">
        <v>336110</v>
      </c>
      <c r="C1244" s="18">
        <v>330595.50408862537</v>
      </c>
      <c r="D1244" s="18">
        <v>0</v>
      </c>
      <c r="E1244" s="18">
        <v>0</v>
      </c>
      <c r="F1244" s="18">
        <v>0</v>
      </c>
      <c r="G1244" s="18">
        <v>0</v>
      </c>
      <c r="H1244" s="19">
        <v>-1.6406818932416911E-2</v>
      </c>
      <c r="I1244" s="19">
        <v>0</v>
      </c>
      <c r="J1244" s="19">
        <v>-1.6406818932416911E-2</v>
      </c>
    </row>
    <row r="1245" spans="1:10" ht="11.25" customHeight="1" x14ac:dyDescent="0.2">
      <c r="A1245" s="28">
        <v>44621</v>
      </c>
      <c r="B1245" s="18">
        <v>336110</v>
      </c>
      <c r="C1245" s="18">
        <v>330595.50408862537</v>
      </c>
      <c r="D1245" s="18">
        <v>0</v>
      </c>
      <c r="E1245" s="18">
        <v>0</v>
      </c>
      <c r="F1245" s="18">
        <v>0</v>
      </c>
      <c r="G1245" s="18">
        <v>0</v>
      </c>
      <c r="H1245" s="19">
        <v>-1.6406818932416911E-2</v>
      </c>
      <c r="I1245" s="19">
        <v>0</v>
      </c>
      <c r="J1245" s="19">
        <v>-1.6406818932416911E-2</v>
      </c>
    </row>
    <row r="1246" spans="1:10" ht="11.25" customHeight="1" x14ac:dyDescent="0.2">
      <c r="A1246" s="27" t="s">
        <v>25</v>
      </c>
      <c r="B1246" s="18">
        <v>0</v>
      </c>
      <c r="C1246" s="18">
        <v>0</v>
      </c>
      <c r="D1246" s="18">
        <v>2637825.3455400001</v>
      </c>
      <c r="E1246" s="18">
        <v>3466649.067479359</v>
      </c>
      <c r="F1246" s="18">
        <v>0</v>
      </c>
      <c r="G1246" s="18">
        <v>0</v>
      </c>
      <c r="H1246" s="19">
        <v>0.31420720228529264</v>
      </c>
      <c r="I1246" s="19">
        <v>0</v>
      </c>
      <c r="J1246" s="19">
        <v>0.31420720228529264</v>
      </c>
    </row>
    <row r="1247" spans="1:10" ht="11.25" customHeight="1" x14ac:dyDescent="0.2">
      <c r="A1247" s="28">
        <v>44287</v>
      </c>
      <c r="B1247" s="18">
        <v>0</v>
      </c>
      <c r="C1247" s="18">
        <v>0</v>
      </c>
      <c r="D1247" s="18">
        <v>320032.24725999997</v>
      </c>
      <c r="E1247" s="18">
        <v>420588.68431263953</v>
      </c>
      <c r="F1247" s="18">
        <v>0</v>
      </c>
      <c r="G1247" s="18">
        <v>0</v>
      </c>
      <c r="H1247" s="19">
        <v>0.31420720228529242</v>
      </c>
      <c r="I1247" s="19">
        <v>0</v>
      </c>
      <c r="J1247" s="19">
        <v>0.31420720228529242</v>
      </c>
    </row>
    <row r="1248" spans="1:10" ht="11.25" customHeight="1" x14ac:dyDescent="0.2">
      <c r="A1248" s="28">
        <v>44317</v>
      </c>
      <c r="B1248" s="18">
        <v>0</v>
      </c>
      <c r="C1248" s="18">
        <v>0</v>
      </c>
      <c r="D1248" s="18">
        <v>251415.60752000008</v>
      </c>
      <c r="E1248" s="18">
        <v>330412.20216971647</v>
      </c>
      <c r="F1248" s="18">
        <v>0</v>
      </c>
      <c r="G1248" s="18">
        <v>0</v>
      </c>
      <c r="H1248" s="19">
        <v>0.31420720228529264</v>
      </c>
      <c r="I1248" s="19">
        <v>0</v>
      </c>
      <c r="J1248" s="19">
        <v>0.31420720228529264</v>
      </c>
    </row>
    <row r="1249" spans="1:10" ht="11.25" customHeight="1" x14ac:dyDescent="0.2">
      <c r="A1249" s="28">
        <v>44348</v>
      </c>
      <c r="B1249" s="18">
        <v>0</v>
      </c>
      <c r="C1249" s="18">
        <v>0</v>
      </c>
      <c r="D1249" s="18">
        <v>287312.43574000004</v>
      </c>
      <c r="E1249" s="18">
        <v>377588.07235563837</v>
      </c>
      <c r="F1249" s="18">
        <v>0</v>
      </c>
      <c r="G1249" s="18">
        <v>0</v>
      </c>
      <c r="H1249" s="19">
        <v>0.31420720228529264</v>
      </c>
      <c r="I1249" s="19">
        <v>0</v>
      </c>
      <c r="J1249" s="19">
        <v>0.31420720228529264</v>
      </c>
    </row>
    <row r="1250" spans="1:10" ht="11.25" customHeight="1" x14ac:dyDescent="0.2">
      <c r="A1250" s="28">
        <v>44378</v>
      </c>
      <c r="B1250" s="18">
        <v>0</v>
      </c>
      <c r="C1250" s="18">
        <v>0</v>
      </c>
      <c r="D1250" s="18">
        <v>277078.78065999987</v>
      </c>
      <c r="E1250" s="18">
        <v>364138.92914379883</v>
      </c>
      <c r="F1250" s="18">
        <v>0</v>
      </c>
      <c r="G1250" s="18">
        <v>0</v>
      </c>
      <c r="H1250" s="19">
        <v>0.31420720228529309</v>
      </c>
      <c r="I1250" s="19">
        <v>0</v>
      </c>
      <c r="J1250" s="19">
        <v>0.31420720228529309</v>
      </c>
    </row>
    <row r="1251" spans="1:10" ht="11.25" customHeight="1" x14ac:dyDescent="0.2">
      <c r="A1251" s="28">
        <v>44409</v>
      </c>
      <c r="B1251" s="18">
        <v>0</v>
      </c>
      <c r="C1251" s="18">
        <v>0</v>
      </c>
      <c r="D1251" s="18">
        <v>275293.59814000002</v>
      </c>
      <c r="E1251" s="18">
        <v>361792.82941862114</v>
      </c>
      <c r="F1251" s="18">
        <v>0</v>
      </c>
      <c r="G1251" s="18">
        <v>0</v>
      </c>
      <c r="H1251" s="19">
        <v>0.31420720228529286</v>
      </c>
      <c r="I1251" s="19">
        <v>0</v>
      </c>
      <c r="J1251" s="19">
        <v>0.31420720228529286</v>
      </c>
    </row>
    <row r="1252" spans="1:10" ht="11.25" customHeight="1" x14ac:dyDescent="0.2">
      <c r="A1252" s="28">
        <v>44440</v>
      </c>
      <c r="B1252" s="18">
        <v>0</v>
      </c>
      <c r="C1252" s="18">
        <v>0</v>
      </c>
      <c r="D1252" s="18">
        <v>298771.49874000007</v>
      </c>
      <c r="E1252" s="18">
        <v>392647.65548167925</v>
      </c>
      <c r="F1252" s="18">
        <v>0</v>
      </c>
      <c r="G1252" s="18">
        <v>0</v>
      </c>
      <c r="H1252" s="19">
        <v>0.31420720228529242</v>
      </c>
      <c r="I1252" s="19">
        <v>0</v>
      </c>
      <c r="J1252" s="19">
        <v>0.31420720228529242</v>
      </c>
    </row>
    <row r="1253" spans="1:10" ht="11.25" customHeight="1" x14ac:dyDescent="0.2">
      <c r="A1253" s="28">
        <v>44470</v>
      </c>
      <c r="B1253" s="18">
        <v>0</v>
      </c>
      <c r="C1253" s="18">
        <v>0</v>
      </c>
      <c r="D1253" s="18">
        <v>230991.97484000004</v>
      </c>
      <c r="E1253" s="18">
        <v>303571.31700483116</v>
      </c>
      <c r="F1253" s="18">
        <v>0</v>
      </c>
      <c r="G1253" s="18">
        <v>0</v>
      </c>
      <c r="H1253" s="19">
        <v>0.31420720228529264</v>
      </c>
      <c r="I1253" s="19">
        <v>0</v>
      </c>
      <c r="J1253" s="19">
        <v>0.31420720228529264</v>
      </c>
    </row>
    <row r="1254" spans="1:10" ht="11.25" customHeight="1" x14ac:dyDescent="0.2">
      <c r="A1254" s="28">
        <v>44501</v>
      </c>
      <c r="B1254" s="18">
        <v>0</v>
      </c>
      <c r="C1254" s="18">
        <v>0</v>
      </c>
      <c r="D1254" s="18">
        <v>119327.91529999994</v>
      </c>
      <c r="E1254" s="18">
        <v>156821.6057209493</v>
      </c>
      <c r="F1254" s="18">
        <v>0</v>
      </c>
      <c r="G1254" s="18">
        <v>0</v>
      </c>
      <c r="H1254" s="19">
        <v>0.31420720228529286</v>
      </c>
      <c r="I1254" s="19">
        <v>0</v>
      </c>
      <c r="J1254" s="19">
        <v>0.31420720228529286</v>
      </c>
    </row>
    <row r="1255" spans="1:10" ht="11.25" customHeight="1" x14ac:dyDescent="0.2">
      <c r="A1255" s="28">
        <v>44531</v>
      </c>
      <c r="B1255" s="18">
        <v>0</v>
      </c>
      <c r="C1255" s="18">
        <v>0</v>
      </c>
      <c r="D1255" s="18">
        <v>153527.02354000002</v>
      </c>
      <c r="E1255" s="18">
        <v>201766.32008169167</v>
      </c>
      <c r="F1255" s="18">
        <v>0</v>
      </c>
      <c r="G1255" s="18">
        <v>0</v>
      </c>
      <c r="H1255" s="19">
        <v>0.31420720228529242</v>
      </c>
      <c r="I1255" s="19">
        <v>0</v>
      </c>
      <c r="J1255" s="19">
        <v>0.31420720228529242</v>
      </c>
    </row>
    <row r="1256" spans="1:10" ht="11.25" customHeight="1" x14ac:dyDescent="0.2">
      <c r="A1256" s="28">
        <v>44562</v>
      </c>
      <c r="B1256" s="18">
        <v>0</v>
      </c>
      <c r="C1256" s="18">
        <v>0</v>
      </c>
      <c r="D1256" s="18">
        <v>196369.86203999998</v>
      </c>
      <c r="E1256" s="18">
        <v>258070.68700473721</v>
      </c>
      <c r="F1256" s="18">
        <v>0</v>
      </c>
      <c r="G1256" s="18">
        <v>0</v>
      </c>
      <c r="H1256" s="19">
        <v>0.31420720228529242</v>
      </c>
      <c r="I1256" s="19">
        <v>0</v>
      </c>
      <c r="J1256" s="19">
        <v>0.31420720228529242</v>
      </c>
    </row>
    <row r="1257" spans="1:10" ht="11.25" customHeight="1" x14ac:dyDescent="0.2">
      <c r="A1257" s="28">
        <v>44593</v>
      </c>
      <c r="B1257" s="18">
        <v>0</v>
      </c>
      <c r="C1257" s="18">
        <v>0</v>
      </c>
      <c r="D1257" s="18">
        <v>113852.20087999996</v>
      </c>
      <c r="E1257" s="18">
        <v>149625.38239252794</v>
      </c>
      <c r="F1257" s="18">
        <v>0</v>
      </c>
      <c r="G1257" s="18">
        <v>0</v>
      </c>
      <c r="H1257" s="19">
        <v>0.31420720228529309</v>
      </c>
      <c r="I1257" s="19">
        <v>0</v>
      </c>
      <c r="J1257" s="19">
        <v>0.31420720228529309</v>
      </c>
    </row>
    <row r="1258" spans="1:10" ht="11.25" customHeight="1" x14ac:dyDescent="0.2">
      <c r="A1258" s="28">
        <v>44621</v>
      </c>
      <c r="B1258" s="18">
        <v>0</v>
      </c>
      <c r="C1258" s="18">
        <v>0</v>
      </c>
      <c r="D1258" s="18">
        <v>113852.20087999996</v>
      </c>
      <c r="E1258" s="18">
        <v>149625.38239252794</v>
      </c>
      <c r="F1258" s="18">
        <v>0</v>
      </c>
      <c r="G1258" s="18">
        <v>0</v>
      </c>
      <c r="H1258" s="19">
        <v>0.31420720228529309</v>
      </c>
      <c r="I1258" s="19">
        <v>0</v>
      </c>
      <c r="J1258" s="19">
        <v>0.31420720228529309</v>
      </c>
    </row>
    <row r="1259" spans="1:10" ht="11.25" customHeight="1" x14ac:dyDescent="0.2">
      <c r="A1259" s="27" t="s">
        <v>34</v>
      </c>
      <c r="B1259" s="18">
        <v>10174315.060000001</v>
      </c>
      <c r="C1259" s="18">
        <v>11751719.427304758</v>
      </c>
      <c r="D1259" s="18">
        <v>0</v>
      </c>
      <c r="E1259" s="18">
        <v>0</v>
      </c>
      <c r="F1259" s="18">
        <v>0</v>
      </c>
      <c r="G1259" s="18">
        <v>0</v>
      </c>
      <c r="H1259" s="19">
        <v>0.15503789277238655</v>
      </c>
      <c r="I1259" s="19">
        <v>0</v>
      </c>
      <c r="J1259" s="19">
        <v>0.15503789277238655</v>
      </c>
    </row>
    <row r="1260" spans="1:10" ht="11.25" customHeight="1" x14ac:dyDescent="0.2">
      <c r="A1260" s="28">
        <v>44287</v>
      </c>
      <c r="B1260" s="18">
        <v>918499.4</v>
      </c>
      <c r="C1260" s="18">
        <v>1060901.6114887013</v>
      </c>
      <c r="D1260" s="18">
        <v>0</v>
      </c>
      <c r="E1260" s="18">
        <v>0</v>
      </c>
      <c r="F1260" s="18">
        <v>0</v>
      </c>
      <c r="G1260" s="18">
        <v>0</v>
      </c>
      <c r="H1260" s="19">
        <v>0.15503789277238633</v>
      </c>
      <c r="I1260" s="19">
        <v>0</v>
      </c>
      <c r="J1260" s="19">
        <v>0.15503789277238633</v>
      </c>
    </row>
    <row r="1261" spans="1:10" ht="11.25" customHeight="1" x14ac:dyDescent="0.2">
      <c r="A1261" s="28">
        <v>44317</v>
      </c>
      <c r="B1261" s="18">
        <v>882394.24</v>
      </c>
      <c r="C1261" s="18">
        <v>1019198.7835640915</v>
      </c>
      <c r="D1261" s="18">
        <v>0</v>
      </c>
      <c r="E1261" s="18">
        <v>0</v>
      </c>
      <c r="F1261" s="18">
        <v>0</v>
      </c>
      <c r="G1261" s="18">
        <v>0</v>
      </c>
      <c r="H1261" s="19">
        <v>0.15503789277238655</v>
      </c>
      <c r="I1261" s="19">
        <v>0</v>
      </c>
      <c r="J1261" s="19">
        <v>0.15503789277238655</v>
      </c>
    </row>
    <row r="1262" spans="1:10" ht="11.25" customHeight="1" x14ac:dyDescent="0.2">
      <c r="A1262" s="28">
        <v>44348</v>
      </c>
      <c r="B1262" s="18">
        <v>883301.12</v>
      </c>
      <c r="C1262" s="18">
        <v>1020246.264328289</v>
      </c>
      <c r="D1262" s="18">
        <v>0</v>
      </c>
      <c r="E1262" s="18">
        <v>0</v>
      </c>
      <c r="F1262" s="18">
        <v>0</v>
      </c>
      <c r="G1262" s="18">
        <v>0</v>
      </c>
      <c r="H1262" s="19">
        <v>0.15503789277238655</v>
      </c>
      <c r="I1262" s="19">
        <v>0</v>
      </c>
      <c r="J1262" s="19">
        <v>0.15503789277238655</v>
      </c>
    </row>
    <row r="1263" spans="1:10" ht="11.25" customHeight="1" x14ac:dyDescent="0.2">
      <c r="A1263" s="28">
        <v>44378</v>
      </c>
      <c r="B1263" s="18">
        <v>881260.64</v>
      </c>
      <c r="C1263" s="18">
        <v>1017889.4326088447</v>
      </c>
      <c r="D1263" s="18">
        <v>0</v>
      </c>
      <c r="E1263" s="18">
        <v>0</v>
      </c>
      <c r="F1263" s="18">
        <v>0</v>
      </c>
      <c r="G1263" s="18">
        <v>0</v>
      </c>
      <c r="H1263" s="19">
        <v>0.15503789277238655</v>
      </c>
      <c r="I1263" s="19">
        <v>0</v>
      </c>
      <c r="J1263" s="19">
        <v>0.15503789277238655</v>
      </c>
    </row>
    <row r="1264" spans="1:10" ht="11.25" customHeight="1" x14ac:dyDescent="0.2">
      <c r="A1264" s="28">
        <v>44409</v>
      </c>
      <c r="B1264" s="18">
        <v>880807.2</v>
      </c>
      <c r="C1264" s="18">
        <v>1017365.692226746</v>
      </c>
      <c r="D1264" s="18">
        <v>0</v>
      </c>
      <c r="E1264" s="18">
        <v>0</v>
      </c>
      <c r="F1264" s="18">
        <v>0</v>
      </c>
      <c r="G1264" s="18">
        <v>0</v>
      </c>
      <c r="H1264" s="19">
        <v>0.15503789277238655</v>
      </c>
      <c r="I1264" s="19">
        <v>0</v>
      </c>
      <c r="J1264" s="19">
        <v>0.15503789277238655</v>
      </c>
    </row>
    <row r="1265" spans="1:10" ht="11.25" customHeight="1" x14ac:dyDescent="0.2">
      <c r="A1265" s="28">
        <v>44440</v>
      </c>
      <c r="B1265" s="18">
        <v>881940.8</v>
      </c>
      <c r="C1265" s="18">
        <v>1018675.0431819927</v>
      </c>
      <c r="D1265" s="18">
        <v>0</v>
      </c>
      <c r="E1265" s="18">
        <v>0</v>
      </c>
      <c r="F1265" s="18">
        <v>0</v>
      </c>
      <c r="G1265" s="18">
        <v>0</v>
      </c>
      <c r="H1265" s="19">
        <v>0.15503789277238633</v>
      </c>
      <c r="I1265" s="19">
        <v>0</v>
      </c>
      <c r="J1265" s="19">
        <v>0.15503789277238633</v>
      </c>
    </row>
    <row r="1266" spans="1:10" ht="11.25" customHeight="1" x14ac:dyDescent="0.2">
      <c r="A1266" s="28">
        <v>44470</v>
      </c>
      <c r="B1266" s="18">
        <v>881147.28</v>
      </c>
      <c r="C1266" s="18">
        <v>1017758.4975133201</v>
      </c>
      <c r="D1266" s="18">
        <v>0</v>
      </c>
      <c r="E1266" s="18">
        <v>0</v>
      </c>
      <c r="F1266" s="18">
        <v>0</v>
      </c>
      <c r="G1266" s="18">
        <v>0</v>
      </c>
      <c r="H1266" s="19">
        <v>0.15503789277238655</v>
      </c>
      <c r="I1266" s="19">
        <v>0</v>
      </c>
      <c r="J1266" s="19">
        <v>0.15503789277238655</v>
      </c>
    </row>
    <row r="1267" spans="1:10" ht="11.25" customHeight="1" x14ac:dyDescent="0.2">
      <c r="A1267" s="28">
        <v>44501</v>
      </c>
      <c r="B1267" s="18">
        <v>771074.72</v>
      </c>
      <c r="C1267" s="18">
        <v>890620.5197588579</v>
      </c>
      <c r="D1267" s="18">
        <v>0</v>
      </c>
      <c r="E1267" s="18">
        <v>0</v>
      </c>
      <c r="F1267" s="18">
        <v>0</v>
      </c>
      <c r="G1267" s="18">
        <v>0</v>
      </c>
      <c r="H1267" s="19">
        <v>0.15503789277238655</v>
      </c>
      <c r="I1267" s="19">
        <v>0</v>
      </c>
      <c r="J1267" s="19">
        <v>0.15503789277238655</v>
      </c>
    </row>
    <row r="1268" spans="1:10" ht="11.25" customHeight="1" x14ac:dyDescent="0.2">
      <c r="A1268" s="28">
        <v>44531</v>
      </c>
      <c r="B1268" s="18">
        <v>770848</v>
      </c>
      <c r="C1268" s="18">
        <v>890358.64956780861</v>
      </c>
      <c r="D1268" s="18">
        <v>0</v>
      </c>
      <c r="E1268" s="18">
        <v>0</v>
      </c>
      <c r="F1268" s="18">
        <v>0</v>
      </c>
      <c r="G1268" s="18">
        <v>0</v>
      </c>
      <c r="H1268" s="19">
        <v>0.15503789277238655</v>
      </c>
      <c r="I1268" s="19">
        <v>0</v>
      </c>
      <c r="J1268" s="19">
        <v>0.15503789277238655</v>
      </c>
    </row>
    <row r="1269" spans="1:10" ht="11.25" customHeight="1" x14ac:dyDescent="0.2">
      <c r="A1269" s="28">
        <v>44562</v>
      </c>
      <c r="B1269" s="18">
        <v>881345.66</v>
      </c>
      <c r="C1269" s="18">
        <v>1017987.6339304883</v>
      </c>
      <c r="D1269" s="18">
        <v>0</v>
      </c>
      <c r="E1269" s="18">
        <v>0</v>
      </c>
      <c r="F1269" s="18">
        <v>0</v>
      </c>
      <c r="G1269" s="18">
        <v>0</v>
      </c>
      <c r="H1269" s="19">
        <v>0.15503789277238655</v>
      </c>
      <c r="I1269" s="19">
        <v>0</v>
      </c>
      <c r="J1269" s="19">
        <v>0.15503789277238655</v>
      </c>
    </row>
    <row r="1270" spans="1:10" ht="11.25" customHeight="1" x14ac:dyDescent="0.2">
      <c r="A1270" s="28">
        <v>44593</v>
      </c>
      <c r="B1270" s="18">
        <v>770848</v>
      </c>
      <c r="C1270" s="18">
        <v>890358.64956780861</v>
      </c>
      <c r="D1270" s="18">
        <v>0</v>
      </c>
      <c r="E1270" s="18">
        <v>0</v>
      </c>
      <c r="F1270" s="18">
        <v>0</v>
      </c>
      <c r="G1270" s="18">
        <v>0</v>
      </c>
      <c r="H1270" s="19">
        <v>0.15503789277238655</v>
      </c>
      <c r="I1270" s="19">
        <v>0</v>
      </c>
      <c r="J1270" s="19">
        <v>0.15503789277238655</v>
      </c>
    </row>
    <row r="1271" spans="1:10" ht="11.25" customHeight="1" x14ac:dyDescent="0.2">
      <c r="A1271" s="28">
        <v>44621</v>
      </c>
      <c r="B1271" s="18">
        <v>770848</v>
      </c>
      <c r="C1271" s="18">
        <v>890358.64956780861</v>
      </c>
      <c r="D1271" s="18">
        <v>0</v>
      </c>
      <c r="E1271" s="18">
        <v>0</v>
      </c>
      <c r="F1271" s="18">
        <v>0</v>
      </c>
      <c r="G1271" s="18">
        <v>0</v>
      </c>
      <c r="H1271" s="19">
        <v>0.15503789277238655</v>
      </c>
      <c r="I1271" s="19">
        <v>0</v>
      </c>
      <c r="J1271" s="19">
        <v>0.15503789277238655</v>
      </c>
    </row>
    <row r="1272" spans="1:10" ht="11.25" customHeight="1" x14ac:dyDescent="0.2">
      <c r="A1272" s="21" t="s">
        <v>41</v>
      </c>
      <c r="B1272" s="18">
        <v>19937535.625225704</v>
      </c>
      <c r="C1272" s="18">
        <v>23722477.538910478</v>
      </c>
      <c r="D1272" s="18">
        <v>19590430.35826489</v>
      </c>
      <c r="E1272" s="18">
        <v>25089027.81925787</v>
      </c>
      <c r="F1272" s="18">
        <v>0</v>
      </c>
      <c r="G1272" s="18">
        <v>0</v>
      </c>
      <c r="H1272" s="19">
        <v>0.23486003247814846</v>
      </c>
      <c r="I1272" s="19">
        <v>0</v>
      </c>
      <c r="J1272" s="19">
        <v>0.23486003247814846</v>
      </c>
    </row>
    <row r="1273" spans="1:10" ht="11.25" customHeight="1" x14ac:dyDescent="0.2">
      <c r="A1273" s="22" t="s">
        <v>40</v>
      </c>
      <c r="B1273" s="18">
        <v>15704929.057371434</v>
      </c>
      <c r="C1273" s="18">
        <v>18884887.364965986</v>
      </c>
      <c r="D1273" s="18">
        <v>9260066.4498000015</v>
      </c>
      <c r="E1273" s="18">
        <v>12062729.863029582</v>
      </c>
      <c r="F1273" s="18">
        <v>0</v>
      </c>
      <c r="G1273" s="18">
        <v>0</v>
      </c>
      <c r="H1273" s="19">
        <v>0.23964040847135593</v>
      </c>
      <c r="I1273" s="19">
        <v>0</v>
      </c>
      <c r="J1273" s="19">
        <v>0.23964040847135593</v>
      </c>
    </row>
    <row r="1274" spans="1:10" ht="11.25" customHeight="1" x14ac:dyDescent="0.2">
      <c r="A1274" s="23" t="s">
        <v>38</v>
      </c>
      <c r="B1274" s="18">
        <v>15704929.057371434</v>
      </c>
      <c r="C1274" s="18">
        <v>18884887.364965986</v>
      </c>
      <c r="D1274" s="18">
        <v>9260066.4498000015</v>
      </c>
      <c r="E1274" s="18">
        <v>12062729.863029582</v>
      </c>
      <c r="F1274" s="18">
        <v>0</v>
      </c>
      <c r="G1274" s="18">
        <v>0</v>
      </c>
      <c r="H1274" s="19">
        <v>0.23964040847135593</v>
      </c>
      <c r="I1274" s="19">
        <v>0</v>
      </c>
      <c r="J1274" s="19">
        <v>0.23964040847135593</v>
      </c>
    </row>
    <row r="1275" spans="1:10" ht="11.25" customHeight="1" x14ac:dyDescent="0.2">
      <c r="A1275" s="24" t="s">
        <v>25</v>
      </c>
      <c r="B1275" s="18">
        <v>15704929.057371434</v>
      </c>
      <c r="C1275" s="18">
        <v>18884887.364965986</v>
      </c>
      <c r="D1275" s="18">
        <v>9260066.4498000015</v>
      </c>
      <c r="E1275" s="18">
        <v>12062729.863029582</v>
      </c>
      <c r="F1275" s="18">
        <v>0</v>
      </c>
      <c r="G1275" s="18">
        <v>0</v>
      </c>
      <c r="H1275" s="19">
        <v>0.23964040847135593</v>
      </c>
      <c r="I1275" s="19">
        <v>0</v>
      </c>
      <c r="J1275" s="19">
        <v>0.23964040847135593</v>
      </c>
    </row>
    <row r="1276" spans="1:10" ht="11.25" customHeight="1" x14ac:dyDescent="0.2">
      <c r="A1276" s="25" t="s">
        <v>60</v>
      </c>
      <c r="B1276" s="18">
        <v>15563419.457371429</v>
      </c>
      <c r="C1276" s="18">
        <v>18714732.144212939</v>
      </c>
      <c r="D1276" s="18">
        <v>9212294.0892000012</v>
      </c>
      <c r="E1276" s="18">
        <v>12000498.659402587</v>
      </c>
      <c r="F1276" s="18">
        <v>0</v>
      </c>
      <c r="G1276" s="18">
        <v>0</v>
      </c>
      <c r="H1276" s="19">
        <v>0.23973143077713832</v>
      </c>
      <c r="I1276" s="19">
        <v>0</v>
      </c>
      <c r="J1276" s="19">
        <v>0.23973143077713832</v>
      </c>
    </row>
    <row r="1277" spans="1:10" ht="11.25" customHeight="1" x14ac:dyDescent="0.2">
      <c r="A1277" s="26" t="s">
        <v>25</v>
      </c>
      <c r="B1277" s="18">
        <v>15563419.457371429</v>
      </c>
      <c r="C1277" s="18">
        <v>18714732.144212939</v>
      </c>
      <c r="D1277" s="18">
        <v>9212294.0892000012</v>
      </c>
      <c r="E1277" s="18">
        <v>12000498.659402587</v>
      </c>
      <c r="F1277" s="18">
        <v>0</v>
      </c>
      <c r="G1277" s="18">
        <v>0</v>
      </c>
      <c r="H1277" s="19">
        <v>0.23973143077713832</v>
      </c>
      <c r="I1277" s="19">
        <v>0</v>
      </c>
      <c r="J1277" s="19">
        <v>0.23973143077713832</v>
      </c>
    </row>
    <row r="1278" spans="1:10" ht="11.25" customHeight="1" x14ac:dyDescent="0.2">
      <c r="A1278" s="27" t="s">
        <v>35</v>
      </c>
      <c r="B1278" s="18">
        <v>4685204.0110539086</v>
      </c>
      <c r="C1278" s="18">
        <v>5354879.2034998583</v>
      </c>
      <c r="D1278" s="18">
        <v>0</v>
      </c>
      <c r="E1278" s="18">
        <v>0</v>
      </c>
      <c r="F1278" s="18">
        <v>0</v>
      </c>
      <c r="G1278" s="18">
        <v>0</v>
      </c>
      <c r="H1278" s="19">
        <v>0.14293405172239448</v>
      </c>
      <c r="I1278" s="19">
        <v>0</v>
      </c>
      <c r="J1278" s="19">
        <v>0.14293405172239448</v>
      </c>
    </row>
    <row r="1279" spans="1:10" ht="11.25" customHeight="1" x14ac:dyDescent="0.2">
      <c r="A1279" s="28">
        <v>44287</v>
      </c>
      <c r="B1279" s="18">
        <v>322898.32462145831</v>
      </c>
      <c r="C1279" s="18">
        <v>369051.49045397626</v>
      </c>
      <c r="D1279" s="18">
        <v>0</v>
      </c>
      <c r="E1279" s="18">
        <v>0</v>
      </c>
      <c r="F1279" s="18">
        <v>0</v>
      </c>
      <c r="G1279" s="18">
        <v>0</v>
      </c>
      <c r="H1279" s="19">
        <v>0.14293405172239426</v>
      </c>
      <c r="I1279" s="19">
        <v>0</v>
      </c>
      <c r="J1279" s="19">
        <v>0.14293405172239426</v>
      </c>
    </row>
    <row r="1280" spans="1:10" ht="11.25" customHeight="1" x14ac:dyDescent="0.2">
      <c r="A1280" s="28">
        <v>44317</v>
      </c>
      <c r="B1280" s="18">
        <v>324657.87234180298</v>
      </c>
      <c r="C1280" s="18">
        <v>371062.53745918872</v>
      </c>
      <c r="D1280" s="18">
        <v>0</v>
      </c>
      <c r="E1280" s="18">
        <v>0</v>
      </c>
      <c r="F1280" s="18">
        <v>0</v>
      </c>
      <c r="G1280" s="18">
        <v>0</v>
      </c>
      <c r="H1280" s="19">
        <v>0.14293405172239426</v>
      </c>
      <c r="I1280" s="19">
        <v>0</v>
      </c>
      <c r="J1280" s="19">
        <v>0.14293405172239426</v>
      </c>
    </row>
    <row r="1281" spans="1:10" ht="11.25" customHeight="1" x14ac:dyDescent="0.2">
      <c r="A1281" s="28">
        <v>44348</v>
      </c>
      <c r="B1281" s="18">
        <v>342417.9219722976</v>
      </c>
      <c r="C1281" s="18">
        <v>391361.10294216074</v>
      </c>
      <c r="D1281" s="18">
        <v>0</v>
      </c>
      <c r="E1281" s="18">
        <v>0</v>
      </c>
      <c r="F1281" s="18">
        <v>0</v>
      </c>
      <c r="G1281" s="18">
        <v>0</v>
      </c>
      <c r="H1281" s="19">
        <v>0.14293405172239426</v>
      </c>
      <c r="I1281" s="19">
        <v>0</v>
      </c>
      <c r="J1281" s="19">
        <v>0.14293405172239426</v>
      </c>
    </row>
    <row r="1282" spans="1:10" ht="11.25" customHeight="1" x14ac:dyDescent="0.2">
      <c r="A1282" s="28">
        <v>44378</v>
      </c>
      <c r="B1282" s="18">
        <v>322289.35084317398</v>
      </c>
      <c r="C1282" s="18">
        <v>368355.47358616907</v>
      </c>
      <c r="D1282" s="18">
        <v>0</v>
      </c>
      <c r="E1282" s="18">
        <v>0</v>
      </c>
      <c r="F1282" s="18">
        <v>0</v>
      </c>
      <c r="G1282" s="18">
        <v>0</v>
      </c>
      <c r="H1282" s="19">
        <v>0.14293405172239426</v>
      </c>
      <c r="I1282" s="19">
        <v>0</v>
      </c>
      <c r="J1282" s="19">
        <v>0.14293405172239426</v>
      </c>
    </row>
    <row r="1283" spans="1:10" ht="11.25" customHeight="1" x14ac:dyDescent="0.2">
      <c r="A1283" s="28">
        <v>44409</v>
      </c>
      <c r="B1283" s="18">
        <v>309057.51347871398</v>
      </c>
      <c r="C1283" s="18">
        <v>353232.35609547509</v>
      </c>
      <c r="D1283" s="18">
        <v>0</v>
      </c>
      <c r="E1283" s="18">
        <v>0</v>
      </c>
      <c r="F1283" s="18">
        <v>0</v>
      </c>
      <c r="G1283" s="18">
        <v>0</v>
      </c>
      <c r="H1283" s="19">
        <v>0.14293405172239448</v>
      </c>
      <c r="I1283" s="19">
        <v>0</v>
      </c>
      <c r="J1283" s="19">
        <v>0.14293405172239448</v>
      </c>
    </row>
    <row r="1284" spans="1:10" ht="11.25" customHeight="1" x14ac:dyDescent="0.2">
      <c r="A1284" s="28">
        <v>44440</v>
      </c>
      <c r="B1284" s="18">
        <v>395581.19670412195</v>
      </c>
      <c r="C1284" s="18">
        <v>452123.21993423562</v>
      </c>
      <c r="D1284" s="18">
        <v>0</v>
      </c>
      <c r="E1284" s="18">
        <v>0</v>
      </c>
      <c r="F1284" s="18">
        <v>0</v>
      </c>
      <c r="G1284" s="18">
        <v>0</v>
      </c>
      <c r="H1284" s="19">
        <v>0.14293405172239448</v>
      </c>
      <c r="I1284" s="19">
        <v>0</v>
      </c>
      <c r="J1284" s="19">
        <v>0.14293405172239448</v>
      </c>
    </row>
    <row r="1285" spans="1:10" ht="11.25" customHeight="1" x14ac:dyDescent="0.2">
      <c r="A1285" s="28">
        <v>44470</v>
      </c>
      <c r="B1285" s="18">
        <v>408447.89564008429</v>
      </c>
      <c r="C1285" s="18">
        <v>466829.00828140718</v>
      </c>
      <c r="D1285" s="18">
        <v>0</v>
      </c>
      <c r="E1285" s="18">
        <v>0</v>
      </c>
      <c r="F1285" s="18">
        <v>0</v>
      </c>
      <c r="G1285" s="18">
        <v>0</v>
      </c>
      <c r="H1285" s="19">
        <v>0.14293405172239426</v>
      </c>
      <c r="I1285" s="19">
        <v>0</v>
      </c>
      <c r="J1285" s="19">
        <v>0.14293405172239426</v>
      </c>
    </row>
    <row r="1286" spans="1:10" ht="11.25" customHeight="1" x14ac:dyDescent="0.2">
      <c r="A1286" s="28">
        <v>44501</v>
      </c>
      <c r="B1286" s="18">
        <v>416035.8201004148</v>
      </c>
      <c r="C1286" s="18">
        <v>475501.5055290162</v>
      </c>
      <c r="D1286" s="18">
        <v>0</v>
      </c>
      <c r="E1286" s="18">
        <v>0</v>
      </c>
      <c r="F1286" s="18">
        <v>0</v>
      </c>
      <c r="G1286" s="18">
        <v>0</v>
      </c>
      <c r="H1286" s="19">
        <v>0.14293405172239426</v>
      </c>
      <c r="I1286" s="19">
        <v>0</v>
      </c>
      <c r="J1286" s="19">
        <v>0.14293405172239426</v>
      </c>
    </row>
    <row r="1287" spans="1:10" ht="11.25" customHeight="1" x14ac:dyDescent="0.2">
      <c r="A1287" s="28">
        <v>44531</v>
      </c>
      <c r="B1287" s="18">
        <v>451702.37939929956</v>
      </c>
      <c r="C1287" s="18">
        <v>516266.03065948765</v>
      </c>
      <c r="D1287" s="18">
        <v>0</v>
      </c>
      <c r="E1287" s="18">
        <v>0</v>
      </c>
      <c r="F1287" s="18">
        <v>0</v>
      </c>
      <c r="G1287" s="18">
        <v>0</v>
      </c>
      <c r="H1287" s="19">
        <v>0.14293405172239426</v>
      </c>
      <c r="I1287" s="19">
        <v>0</v>
      </c>
      <c r="J1287" s="19">
        <v>0.14293405172239426</v>
      </c>
    </row>
    <row r="1288" spans="1:10" ht="11.25" customHeight="1" x14ac:dyDescent="0.2">
      <c r="A1288" s="28">
        <v>44562</v>
      </c>
      <c r="B1288" s="18">
        <v>459277.04852995678</v>
      </c>
      <c r="C1288" s="18">
        <v>524923.37793944625</v>
      </c>
      <c r="D1288" s="18">
        <v>0</v>
      </c>
      <c r="E1288" s="18">
        <v>0</v>
      </c>
      <c r="F1288" s="18">
        <v>0</v>
      </c>
      <c r="G1288" s="18">
        <v>0</v>
      </c>
      <c r="H1288" s="19">
        <v>0.14293405172239426</v>
      </c>
      <c r="I1288" s="19">
        <v>0</v>
      </c>
      <c r="J1288" s="19">
        <v>0.14293405172239426</v>
      </c>
    </row>
    <row r="1289" spans="1:10" ht="11.25" customHeight="1" x14ac:dyDescent="0.2">
      <c r="A1289" s="28">
        <v>44593</v>
      </c>
      <c r="B1289" s="18">
        <v>466419.34371129237</v>
      </c>
      <c r="C1289" s="18">
        <v>533086.55030964746</v>
      </c>
      <c r="D1289" s="18">
        <v>0</v>
      </c>
      <c r="E1289" s="18">
        <v>0</v>
      </c>
      <c r="F1289" s="18">
        <v>0</v>
      </c>
      <c r="G1289" s="18">
        <v>0</v>
      </c>
      <c r="H1289" s="19">
        <v>0.14293405172239426</v>
      </c>
      <c r="I1289" s="19">
        <v>0</v>
      </c>
      <c r="J1289" s="19">
        <v>0.14293405172239426</v>
      </c>
    </row>
    <row r="1290" spans="1:10" ht="11.25" customHeight="1" x14ac:dyDescent="0.2">
      <c r="A1290" s="28">
        <v>44621</v>
      </c>
      <c r="B1290" s="18">
        <v>466419.34371129237</v>
      </c>
      <c r="C1290" s="18">
        <v>533086.55030964746</v>
      </c>
      <c r="D1290" s="18">
        <v>0</v>
      </c>
      <c r="E1290" s="18">
        <v>0</v>
      </c>
      <c r="F1290" s="18">
        <v>0</v>
      </c>
      <c r="G1290" s="18">
        <v>0</v>
      </c>
      <c r="H1290" s="19">
        <v>0.14293405172239426</v>
      </c>
      <c r="I1290" s="19">
        <v>0</v>
      </c>
      <c r="J1290" s="19">
        <v>0.14293405172239426</v>
      </c>
    </row>
    <row r="1291" spans="1:10" ht="11.25" customHeight="1" x14ac:dyDescent="0.2">
      <c r="A1291" s="27" t="s">
        <v>25</v>
      </c>
      <c r="B1291" s="18">
        <v>0</v>
      </c>
      <c r="C1291" s="18">
        <v>0</v>
      </c>
      <c r="D1291" s="18">
        <v>9212294.0892000012</v>
      </c>
      <c r="E1291" s="18">
        <v>12000498.659402587</v>
      </c>
      <c r="F1291" s="18">
        <v>0</v>
      </c>
      <c r="G1291" s="18">
        <v>0</v>
      </c>
      <c r="H1291" s="19">
        <v>0.30266126365541535</v>
      </c>
      <c r="I1291" s="19">
        <v>0</v>
      </c>
      <c r="J1291" s="19">
        <v>0.30266126365541535</v>
      </c>
    </row>
    <row r="1292" spans="1:10" ht="11.25" customHeight="1" x14ac:dyDescent="0.2">
      <c r="A1292" s="28">
        <v>44287</v>
      </c>
      <c r="B1292" s="18">
        <v>0</v>
      </c>
      <c r="C1292" s="18">
        <v>0</v>
      </c>
      <c r="D1292" s="18">
        <v>631499.76780000003</v>
      </c>
      <c r="E1292" s="18">
        <v>822630.2855204494</v>
      </c>
      <c r="F1292" s="18">
        <v>0</v>
      </c>
      <c r="G1292" s="18">
        <v>0</v>
      </c>
      <c r="H1292" s="19">
        <v>0.30266126365541535</v>
      </c>
      <c r="I1292" s="19">
        <v>0</v>
      </c>
      <c r="J1292" s="19">
        <v>0.30266126365541535</v>
      </c>
    </row>
    <row r="1293" spans="1:10" ht="11.25" customHeight="1" x14ac:dyDescent="0.2">
      <c r="A1293" s="28">
        <v>44317</v>
      </c>
      <c r="B1293" s="18">
        <v>0</v>
      </c>
      <c r="C1293" s="18">
        <v>0</v>
      </c>
      <c r="D1293" s="18">
        <v>557197.43808000011</v>
      </c>
      <c r="E1293" s="18">
        <v>725839.51879485289</v>
      </c>
      <c r="F1293" s="18">
        <v>0</v>
      </c>
      <c r="G1293" s="18">
        <v>0</v>
      </c>
      <c r="H1293" s="19">
        <v>0.30266126365541512</v>
      </c>
      <c r="I1293" s="19">
        <v>0</v>
      </c>
      <c r="J1293" s="19">
        <v>0.30266126365541512</v>
      </c>
    </row>
    <row r="1294" spans="1:10" ht="11.25" customHeight="1" x14ac:dyDescent="0.2">
      <c r="A1294" s="28">
        <v>44348</v>
      </c>
      <c r="B1294" s="18">
        <v>0</v>
      </c>
      <c r="C1294" s="18">
        <v>0</v>
      </c>
      <c r="D1294" s="18">
        <v>625609.20368999999</v>
      </c>
      <c r="E1294" s="18">
        <v>814956.87583327352</v>
      </c>
      <c r="F1294" s="18">
        <v>0</v>
      </c>
      <c r="G1294" s="18">
        <v>0</v>
      </c>
      <c r="H1294" s="19">
        <v>0.30266126365541535</v>
      </c>
      <c r="I1294" s="19">
        <v>0</v>
      </c>
      <c r="J1294" s="19">
        <v>0.30266126365541535</v>
      </c>
    </row>
    <row r="1295" spans="1:10" ht="11.25" customHeight="1" x14ac:dyDescent="0.2">
      <c r="A1295" s="28">
        <v>44378</v>
      </c>
      <c r="B1295" s="18">
        <v>0</v>
      </c>
      <c r="C1295" s="18">
        <v>0</v>
      </c>
      <c r="D1295" s="18">
        <v>598002.25695000007</v>
      </c>
      <c r="E1295" s="18">
        <v>778994.37570727745</v>
      </c>
      <c r="F1295" s="18">
        <v>0</v>
      </c>
      <c r="G1295" s="18">
        <v>0</v>
      </c>
      <c r="H1295" s="19">
        <v>0.30266126365541535</v>
      </c>
      <c r="I1295" s="19">
        <v>0</v>
      </c>
      <c r="J1295" s="19">
        <v>0.30266126365541535</v>
      </c>
    </row>
    <row r="1296" spans="1:10" ht="11.25" customHeight="1" x14ac:dyDescent="0.2">
      <c r="A1296" s="28">
        <v>44409</v>
      </c>
      <c r="B1296" s="18">
        <v>0</v>
      </c>
      <c r="C1296" s="18">
        <v>0</v>
      </c>
      <c r="D1296" s="18">
        <v>594625.81983000005</v>
      </c>
      <c r="E1296" s="18">
        <v>774596.02186188521</v>
      </c>
      <c r="F1296" s="18">
        <v>0</v>
      </c>
      <c r="G1296" s="18">
        <v>0</v>
      </c>
      <c r="H1296" s="19">
        <v>0.30266126365541535</v>
      </c>
      <c r="I1296" s="19">
        <v>0</v>
      </c>
      <c r="J1296" s="19">
        <v>0.30266126365541535</v>
      </c>
    </row>
    <row r="1297" spans="1:10" ht="11.25" customHeight="1" x14ac:dyDescent="0.2">
      <c r="A1297" s="28">
        <v>44440</v>
      </c>
      <c r="B1297" s="18">
        <v>0</v>
      </c>
      <c r="C1297" s="18">
        <v>0</v>
      </c>
      <c r="D1297" s="18">
        <v>847214.29374000011</v>
      </c>
      <c r="E1297" s="18">
        <v>1103633.2424702789</v>
      </c>
      <c r="F1297" s="18">
        <v>0</v>
      </c>
      <c r="G1297" s="18">
        <v>0</v>
      </c>
      <c r="H1297" s="19">
        <v>0.30266126365541535</v>
      </c>
      <c r="I1297" s="19">
        <v>0</v>
      </c>
      <c r="J1297" s="19">
        <v>0.30266126365541535</v>
      </c>
    </row>
    <row r="1298" spans="1:10" ht="11.25" customHeight="1" x14ac:dyDescent="0.2">
      <c r="A1298" s="28">
        <v>44470</v>
      </c>
      <c r="B1298" s="18">
        <v>0</v>
      </c>
      <c r="C1298" s="18">
        <v>0</v>
      </c>
      <c r="D1298" s="18">
        <v>838974.53823000006</v>
      </c>
      <c r="E1298" s="18">
        <v>1092899.6321454104</v>
      </c>
      <c r="F1298" s="18">
        <v>0</v>
      </c>
      <c r="G1298" s="18">
        <v>0</v>
      </c>
      <c r="H1298" s="19">
        <v>0.30266126365541535</v>
      </c>
      <c r="I1298" s="19">
        <v>0</v>
      </c>
      <c r="J1298" s="19">
        <v>0.30266126365541535</v>
      </c>
    </row>
    <row r="1299" spans="1:10" ht="11.25" customHeight="1" x14ac:dyDescent="0.2">
      <c r="A1299" s="28">
        <v>44501</v>
      </c>
      <c r="B1299" s="18">
        <v>0</v>
      </c>
      <c r="C1299" s="18">
        <v>0</v>
      </c>
      <c r="D1299" s="18">
        <v>901129.51812000002</v>
      </c>
      <c r="E1299" s="18">
        <v>1173866.5167913947</v>
      </c>
      <c r="F1299" s="18">
        <v>0</v>
      </c>
      <c r="G1299" s="18">
        <v>0</v>
      </c>
      <c r="H1299" s="19">
        <v>0.30266126365541535</v>
      </c>
      <c r="I1299" s="19">
        <v>0</v>
      </c>
      <c r="J1299" s="19">
        <v>0.30266126365541535</v>
      </c>
    </row>
    <row r="1300" spans="1:10" ht="11.25" customHeight="1" x14ac:dyDescent="0.2">
      <c r="A1300" s="28">
        <v>44531</v>
      </c>
      <c r="B1300" s="18">
        <v>0</v>
      </c>
      <c r="C1300" s="18">
        <v>0</v>
      </c>
      <c r="D1300" s="18">
        <v>878759.7506100001</v>
      </c>
      <c r="E1300" s="18">
        <v>1144726.2871791404</v>
      </c>
      <c r="F1300" s="18">
        <v>0</v>
      </c>
      <c r="G1300" s="18">
        <v>0</v>
      </c>
      <c r="H1300" s="19">
        <v>0.30266126365541535</v>
      </c>
      <c r="I1300" s="19">
        <v>0</v>
      </c>
      <c r="J1300" s="19">
        <v>0.30266126365541535</v>
      </c>
    </row>
    <row r="1301" spans="1:10" ht="11.25" customHeight="1" x14ac:dyDescent="0.2">
      <c r="A1301" s="28">
        <v>44562</v>
      </c>
      <c r="B1301" s="18">
        <v>0</v>
      </c>
      <c r="C1301" s="18">
        <v>0</v>
      </c>
      <c r="D1301" s="18">
        <v>896063.78576999996</v>
      </c>
      <c r="E1301" s="18">
        <v>1167267.5834870036</v>
      </c>
      <c r="F1301" s="18">
        <v>0</v>
      </c>
      <c r="G1301" s="18">
        <v>0</v>
      </c>
      <c r="H1301" s="19">
        <v>0.30266126365541535</v>
      </c>
      <c r="I1301" s="19">
        <v>0</v>
      </c>
      <c r="J1301" s="19">
        <v>0.30266126365541535</v>
      </c>
    </row>
    <row r="1302" spans="1:10" ht="11.25" customHeight="1" x14ac:dyDescent="0.2">
      <c r="A1302" s="28">
        <v>44593</v>
      </c>
      <c r="B1302" s="18">
        <v>0</v>
      </c>
      <c r="C1302" s="18">
        <v>0</v>
      </c>
      <c r="D1302" s="18">
        <v>921608.85819000017</v>
      </c>
      <c r="E1302" s="18">
        <v>1200544.1598058101</v>
      </c>
      <c r="F1302" s="18">
        <v>0</v>
      </c>
      <c r="G1302" s="18">
        <v>0</v>
      </c>
      <c r="H1302" s="19">
        <v>0.30266126365541535</v>
      </c>
      <c r="I1302" s="19">
        <v>0</v>
      </c>
      <c r="J1302" s="19">
        <v>0.30266126365541535</v>
      </c>
    </row>
    <row r="1303" spans="1:10" ht="11.25" customHeight="1" x14ac:dyDescent="0.2">
      <c r="A1303" s="28">
        <v>44621</v>
      </c>
      <c r="B1303" s="18">
        <v>0</v>
      </c>
      <c r="C1303" s="18">
        <v>0</v>
      </c>
      <c r="D1303" s="18">
        <v>921608.85819000017</v>
      </c>
      <c r="E1303" s="18">
        <v>1200544.1598058101</v>
      </c>
      <c r="F1303" s="18">
        <v>0</v>
      </c>
      <c r="G1303" s="18">
        <v>0</v>
      </c>
      <c r="H1303" s="19">
        <v>0.30266126365541535</v>
      </c>
      <c r="I1303" s="19">
        <v>0</v>
      </c>
      <c r="J1303" s="19">
        <v>0.30266126365541535</v>
      </c>
    </row>
    <row r="1304" spans="1:10" ht="11.25" customHeight="1" x14ac:dyDescent="0.2">
      <c r="A1304" s="27" t="s">
        <v>34</v>
      </c>
      <c r="B1304" s="18">
        <v>10878215.446317516</v>
      </c>
      <c r="C1304" s="18">
        <v>13359852.940713082</v>
      </c>
      <c r="D1304" s="18">
        <v>0</v>
      </c>
      <c r="E1304" s="18">
        <v>0</v>
      </c>
      <c r="F1304" s="18">
        <v>0</v>
      </c>
      <c r="G1304" s="18">
        <v>0</v>
      </c>
      <c r="H1304" s="19">
        <v>0.22812909954230109</v>
      </c>
      <c r="I1304" s="19">
        <v>0</v>
      </c>
      <c r="J1304" s="19">
        <v>0.22812909954230109</v>
      </c>
    </row>
    <row r="1305" spans="1:10" ht="11.25" customHeight="1" x14ac:dyDescent="0.2">
      <c r="A1305" s="28">
        <v>44287</v>
      </c>
      <c r="B1305" s="18">
        <v>735714.74374797347</v>
      </c>
      <c r="C1305" s="18">
        <v>903552.68575919326</v>
      </c>
      <c r="D1305" s="18">
        <v>0</v>
      </c>
      <c r="E1305" s="18">
        <v>0</v>
      </c>
      <c r="F1305" s="18">
        <v>0</v>
      </c>
      <c r="G1305" s="18">
        <v>0</v>
      </c>
      <c r="H1305" s="19">
        <v>0.22812909954230087</v>
      </c>
      <c r="I1305" s="19">
        <v>0</v>
      </c>
      <c r="J1305" s="19">
        <v>0.22812909954230087</v>
      </c>
    </row>
    <row r="1306" spans="1:10" ht="11.25" customHeight="1" x14ac:dyDescent="0.2">
      <c r="A1306" s="28">
        <v>44317</v>
      </c>
      <c r="B1306" s="18">
        <v>740881.97892497596</v>
      </c>
      <c r="C1306" s="18">
        <v>909898.71764424862</v>
      </c>
      <c r="D1306" s="18">
        <v>0</v>
      </c>
      <c r="E1306" s="18">
        <v>0</v>
      </c>
      <c r="F1306" s="18">
        <v>0</v>
      </c>
      <c r="G1306" s="18">
        <v>0</v>
      </c>
      <c r="H1306" s="19">
        <v>0.22812909954230087</v>
      </c>
      <c r="I1306" s="19">
        <v>0</v>
      </c>
      <c r="J1306" s="19">
        <v>0.22812909954230087</v>
      </c>
    </row>
    <row r="1307" spans="1:10" ht="11.25" customHeight="1" x14ac:dyDescent="0.2">
      <c r="A1307" s="28">
        <v>44348</v>
      </c>
      <c r="B1307" s="18">
        <v>782747.19478778553</v>
      </c>
      <c r="C1307" s="18">
        <v>961314.60750398494</v>
      </c>
      <c r="D1307" s="18">
        <v>0</v>
      </c>
      <c r="E1307" s="18">
        <v>0</v>
      </c>
      <c r="F1307" s="18">
        <v>0</v>
      </c>
      <c r="G1307" s="18">
        <v>0</v>
      </c>
      <c r="H1307" s="19">
        <v>0.22812909954230087</v>
      </c>
      <c r="I1307" s="19">
        <v>0</v>
      </c>
      <c r="J1307" s="19">
        <v>0.22812909954230087</v>
      </c>
    </row>
    <row r="1308" spans="1:10" ht="11.25" customHeight="1" x14ac:dyDescent="0.2">
      <c r="A1308" s="28">
        <v>44378</v>
      </c>
      <c r="B1308" s="18">
        <v>734257.96549433994</v>
      </c>
      <c r="C1308" s="18">
        <v>901763.57399432547</v>
      </c>
      <c r="D1308" s="18">
        <v>0</v>
      </c>
      <c r="E1308" s="18">
        <v>0</v>
      </c>
      <c r="F1308" s="18">
        <v>0</v>
      </c>
      <c r="G1308" s="18">
        <v>0</v>
      </c>
      <c r="H1308" s="19">
        <v>0.22812909954230087</v>
      </c>
      <c r="I1308" s="19">
        <v>0</v>
      </c>
      <c r="J1308" s="19">
        <v>0.22812909954230087</v>
      </c>
    </row>
    <row r="1309" spans="1:10" ht="11.25" customHeight="1" x14ac:dyDescent="0.2">
      <c r="A1309" s="28">
        <v>44409</v>
      </c>
      <c r="B1309" s="18">
        <v>703965.05549492431</v>
      </c>
      <c r="C1309" s="18">
        <v>864559.96971422725</v>
      </c>
      <c r="D1309" s="18">
        <v>0</v>
      </c>
      <c r="E1309" s="18">
        <v>0</v>
      </c>
      <c r="F1309" s="18">
        <v>0</v>
      </c>
      <c r="G1309" s="18">
        <v>0</v>
      </c>
      <c r="H1309" s="19">
        <v>0.22812909954230087</v>
      </c>
      <c r="I1309" s="19">
        <v>0</v>
      </c>
      <c r="J1309" s="19">
        <v>0.22812909954230087</v>
      </c>
    </row>
    <row r="1310" spans="1:10" ht="11.25" customHeight="1" x14ac:dyDescent="0.2">
      <c r="A1310" s="28">
        <v>44440</v>
      </c>
      <c r="B1310" s="18">
        <v>922544.90536954196</v>
      </c>
      <c r="C1310" s="18">
        <v>1133004.2439188326</v>
      </c>
      <c r="D1310" s="18">
        <v>0</v>
      </c>
      <c r="E1310" s="18">
        <v>0</v>
      </c>
      <c r="F1310" s="18">
        <v>0</v>
      </c>
      <c r="G1310" s="18">
        <v>0</v>
      </c>
      <c r="H1310" s="19">
        <v>0.22812909954230065</v>
      </c>
      <c r="I1310" s="19">
        <v>0</v>
      </c>
      <c r="J1310" s="19">
        <v>0.22812909954230065</v>
      </c>
    </row>
    <row r="1311" spans="1:10" ht="11.25" customHeight="1" x14ac:dyDescent="0.2">
      <c r="A1311" s="28">
        <v>44470</v>
      </c>
      <c r="B1311" s="18">
        <v>957344.91373392753</v>
      </c>
      <c r="C1311" s="18">
        <v>1175743.14685545</v>
      </c>
      <c r="D1311" s="18">
        <v>0</v>
      </c>
      <c r="E1311" s="18">
        <v>0</v>
      </c>
      <c r="F1311" s="18">
        <v>0</v>
      </c>
      <c r="G1311" s="18">
        <v>0</v>
      </c>
      <c r="H1311" s="19">
        <v>0.22812909954230065</v>
      </c>
      <c r="I1311" s="19">
        <v>0</v>
      </c>
      <c r="J1311" s="19">
        <v>0.22812909954230065</v>
      </c>
    </row>
    <row r="1312" spans="1:10" ht="11.25" customHeight="1" x14ac:dyDescent="0.2">
      <c r="A1312" s="28">
        <v>44501</v>
      </c>
      <c r="B1312" s="18">
        <v>977911.87375994551</v>
      </c>
      <c r="C1312" s="18">
        <v>1201002.0289525259</v>
      </c>
      <c r="D1312" s="18">
        <v>0</v>
      </c>
      <c r="E1312" s="18">
        <v>0</v>
      </c>
      <c r="F1312" s="18">
        <v>0</v>
      </c>
      <c r="G1312" s="18">
        <v>0</v>
      </c>
      <c r="H1312" s="19">
        <v>0.22812909954230065</v>
      </c>
      <c r="I1312" s="19">
        <v>0</v>
      </c>
      <c r="J1312" s="19">
        <v>0.22812909954230065</v>
      </c>
    </row>
    <row r="1313" spans="1:10" ht="11.25" customHeight="1" x14ac:dyDescent="0.2">
      <c r="A1313" s="28">
        <v>44531</v>
      </c>
      <c r="B1313" s="18">
        <v>1056842.1849654031</v>
      </c>
      <c r="C1313" s="18">
        <v>1297938.6409798784</v>
      </c>
      <c r="D1313" s="18">
        <v>0</v>
      </c>
      <c r="E1313" s="18">
        <v>0</v>
      </c>
      <c r="F1313" s="18">
        <v>0</v>
      </c>
      <c r="G1313" s="18">
        <v>0</v>
      </c>
      <c r="H1313" s="19">
        <v>0.22812909954230109</v>
      </c>
      <c r="I1313" s="19">
        <v>0</v>
      </c>
      <c r="J1313" s="19">
        <v>0.22812909954230109</v>
      </c>
    </row>
    <row r="1314" spans="1:10" ht="11.25" customHeight="1" x14ac:dyDescent="0.2">
      <c r="A1314" s="28">
        <v>44562</v>
      </c>
      <c r="B1314" s="18">
        <v>1091330.354861252</v>
      </c>
      <c r="C1314" s="18">
        <v>1340294.566018929</v>
      </c>
      <c r="D1314" s="18">
        <v>0</v>
      </c>
      <c r="E1314" s="18">
        <v>0</v>
      </c>
      <c r="F1314" s="18">
        <v>0</v>
      </c>
      <c r="G1314" s="18">
        <v>0</v>
      </c>
      <c r="H1314" s="19">
        <v>0.22812909954230087</v>
      </c>
      <c r="I1314" s="19">
        <v>0</v>
      </c>
      <c r="J1314" s="19">
        <v>0.22812909954230087</v>
      </c>
    </row>
    <row r="1315" spans="1:10" ht="11.25" customHeight="1" x14ac:dyDescent="0.2">
      <c r="A1315" s="28">
        <v>44593</v>
      </c>
      <c r="B1315" s="18">
        <v>1087337.1375887236</v>
      </c>
      <c r="C1315" s="18">
        <v>1335390.3796857421</v>
      </c>
      <c r="D1315" s="18">
        <v>0</v>
      </c>
      <c r="E1315" s="18">
        <v>0</v>
      </c>
      <c r="F1315" s="18">
        <v>0</v>
      </c>
      <c r="G1315" s="18">
        <v>0</v>
      </c>
      <c r="H1315" s="19">
        <v>0.22812909954230087</v>
      </c>
      <c r="I1315" s="19">
        <v>0</v>
      </c>
      <c r="J1315" s="19">
        <v>0.22812909954230087</v>
      </c>
    </row>
    <row r="1316" spans="1:10" ht="11.25" customHeight="1" x14ac:dyDescent="0.2">
      <c r="A1316" s="28">
        <v>44621</v>
      </c>
      <c r="B1316" s="18">
        <v>1087337.1375887236</v>
      </c>
      <c r="C1316" s="18">
        <v>1335390.3796857421</v>
      </c>
      <c r="D1316" s="18">
        <v>0</v>
      </c>
      <c r="E1316" s="18">
        <v>0</v>
      </c>
      <c r="F1316" s="18">
        <v>0</v>
      </c>
      <c r="G1316" s="18">
        <v>0</v>
      </c>
      <c r="H1316" s="19">
        <v>0.22812909954230087</v>
      </c>
      <c r="I1316" s="19">
        <v>0</v>
      </c>
      <c r="J1316" s="19">
        <v>0.22812909954230087</v>
      </c>
    </row>
    <row r="1317" spans="1:10" ht="11.25" customHeight="1" x14ac:dyDescent="0.2">
      <c r="A1317" s="25" t="s">
        <v>25</v>
      </c>
      <c r="B1317" s="18">
        <v>141509.59999999998</v>
      </c>
      <c r="C1317" s="18">
        <v>170155.22075303778</v>
      </c>
      <c r="D1317" s="18">
        <v>47772.3606</v>
      </c>
      <c r="E1317" s="18">
        <v>62231.203626998184</v>
      </c>
      <c r="F1317" s="18">
        <v>0</v>
      </c>
      <c r="G1317" s="18">
        <v>0</v>
      </c>
      <c r="H1317" s="19">
        <v>0.22772621143293437</v>
      </c>
      <c r="I1317" s="19">
        <v>0</v>
      </c>
      <c r="J1317" s="19">
        <v>0.22772621143293437</v>
      </c>
    </row>
    <row r="1318" spans="1:10" ht="11.25" customHeight="1" x14ac:dyDescent="0.2">
      <c r="A1318" s="26" t="s">
        <v>25</v>
      </c>
      <c r="B1318" s="18">
        <v>141509.59999999998</v>
      </c>
      <c r="C1318" s="18">
        <v>170155.22075303778</v>
      </c>
      <c r="D1318" s="18">
        <v>47772.3606</v>
      </c>
      <c r="E1318" s="18">
        <v>62231.203626998184</v>
      </c>
      <c r="F1318" s="18">
        <v>0</v>
      </c>
      <c r="G1318" s="18">
        <v>0</v>
      </c>
      <c r="H1318" s="19">
        <v>0.22772621143293437</v>
      </c>
      <c r="I1318" s="19">
        <v>0</v>
      </c>
      <c r="J1318" s="19">
        <v>0.22772621143293437</v>
      </c>
    </row>
    <row r="1319" spans="1:10" ht="11.25" customHeight="1" x14ac:dyDescent="0.2">
      <c r="A1319" s="27" t="s">
        <v>35</v>
      </c>
      <c r="B1319" s="18">
        <v>42688.359999999993</v>
      </c>
      <c r="C1319" s="18">
        <v>48789.980256184186</v>
      </c>
      <c r="D1319" s="18">
        <v>0</v>
      </c>
      <c r="E1319" s="18">
        <v>0</v>
      </c>
      <c r="F1319" s="18">
        <v>0</v>
      </c>
      <c r="G1319" s="18">
        <v>0</v>
      </c>
      <c r="H1319" s="19">
        <v>0.14293405172239448</v>
      </c>
      <c r="I1319" s="19">
        <v>0</v>
      </c>
      <c r="J1319" s="19">
        <v>0.14293405172239448</v>
      </c>
    </row>
    <row r="1320" spans="1:10" ht="11.25" customHeight="1" x14ac:dyDescent="0.2">
      <c r="A1320" s="28">
        <v>44287</v>
      </c>
      <c r="B1320" s="18">
        <v>729.3</v>
      </c>
      <c r="C1320" s="18">
        <v>833.54180392114222</v>
      </c>
      <c r="D1320" s="18">
        <v>0</v>
      </c>
      <c r="E1320" s="18">
        <v>0</v>
      </c>
      <c r="F1320" s="18">
        <v>0</v>
      </c>
      <c r="G1320" s="18">
        <v>0</v>
      </c>
      <c r="H1320" s="19">
        <v>0.14293405172239448</v>
      </c>
      <c r="I1320" s="19">
        <v>0</v>
      </c>
      <c r="J1320" s="19">
        <v>0.14293405172239448</v>
      </c>
    </row>
    <row r="1321" spans="1:10" ht="11.25" customHeight="1" x14ac:dyDescent="0.2">
      <c r="A1321" s="28">
        <v>44317</v>
      </c>
      <c r="B1321" s="18">
        <v>729.3</v>
      </c>
      <c r="C1321" s="18">
        <v>833.54180392114222</v>
      </c>
      <c r="D1321" s="18">
        <v>0</v>
      </c>
      <c r="E1321" s="18">
        <v>0</v>
      </c>
      <c r="F1321" s="18">
        <v>0</v>
      </c>
      <c r="G1321" s="18">
        <v>0</v>
      </c>
      <c r="H1321" s="19">
        <v>0.14293405172239448</v>
      </c>
      <c r="I1321" s="19">
        <v>0</v>
      </c>
      <c r="J1321" s="19">
        <v>0.14293405172239448</v>
      </c>
    </row>
    <row r="1322" spans="1:10" ht="11.25" customHeight="1" x14ac:dyDescent="0.2">
      <c r="A1322" s="28">
        <v>44348</v>
      </c>
      <c r="B1322" s="18">
        <v>729.3</v>
      </c>
      <c r="C1322" s="18">
        <v>833.54180392114222</v>
      </c>
      <c r="D1322" s="18">
        <v>0</v>
      </c>
      <c r="E1322" s="18">
        <v>0</v>
      </c>
      <c r="F1322" s="18">
        <v>0</v>
      </c>
      <c r="G1322" s="18">
        <v>0</v>
      </c>
      <c r="H1322" s="19">
        <v>0.14293405172239448</v>
      </c>
      <c r="I1322" s="19">
        <v>0</v>
      </c>
      <c r="J1322" s="19">
        <v>0.14293405172239448</v>
      </c>
    </row>
    <row r="1323" spans="1:10" ht="11.25" customHeight="1" x14ac:dyDescent="0.2">
      <c r="A1323" s="28">
        <v>44378</v>
      </c>
      <c r="B1323" s="18">
        <v>729.3</v>
      </c>
      <c r="C1323" s="18">
        <v>833.54180392114222</v>
      </c>
      <c r="D1323" s="18">
        <v>0</v>
      </c>
      <c r="E1323" s="18">
        <v>0</v>
      </c>
      <c r="F1323" s="18">
        <v>0</v>
      </c>
      <c r="G1323" s="18">
        <v>0</v>
      </c>
      <c r="H1323" s="19">
        <v>0.14293405172239448</v>
      </c>
      <c r="I1323" s="19">
        <v>0</v>
      </c>
      <c r="J1323" s="19">
        <v>0.14293405172239448</v>
      </c>
    </row>
    <row r="1324" spans="1:10" ht="11.25" customHeight="1" x14ac:dyDescent="0.2">
      <c r="A1324" s="28">
        <v>44409</v>
      </c>
      <c r="B1324" s="18">
        <v>37631.879999999997</v>
      </c>
      <c r="C1324" s="18">
        <v>43010.757082330936</v>
      </c>
      <c r="D1324" s="18">
        <v>0</v>
      </c>
      <c r="E1324" s="18">
        <v>0</v>
      </c>
      <c r="F1324" s="18">
        <v>0</v>
      </c>
      <c r="G1324" s="18">
        <v>0</v>
      </c>
      <c r="H1324" s="19">
        <v>0.14293405172239448</v>
      </c>
      <c r="I1324" s="19">
        <v>0</v>
      </c>
      <c r="J1324" s="19">
        <v>0.14293405172239448</v>
      </c>
    </row>
    <row r="1325" spans="1:10" ht="11.25" customHeight="1" x14ac:dyDescent="0.2">
      <c r="A1325" s="28">
        <v>44440</v>
      </c>
      <c r="B1325" s="18">
        <v>2139.2799999999997</v>
      </c>
      <c r="C1325" s="18">
        <v>2445.0559581686839</v>
      </c>
      <c r="D1325" s="18">
        <v>0</v>
      </c>
      <c r="E1325" s="18">
        <v>0</v>
      </c>
      <c r="F1325" s="18">
        <v>0</v>
      </c>
      <c r="G1325" s="18">
        <v>0</v>
      </c>
      <c r="H1325" s="19">
        <v>0.14293405172239448</v>
      </c>
      <c r="I1325" s="19">
        <v>0</v>
      </c>
      <c r="J1325" s="19">
        <v>0.14293405172239448</v>
      </c>
    </row>
    <row r="1326" spans="1:10" ht="11.25" customHeight="1" x14ac:dyDescent="0.2">
      <c r="A1326" s="27" t="s">
        <v>25</v>
      </c>
      <c r="B1326" s="18">
        <v>0</v>
      </c>
      <c r="C1326" s="18">
        <v>0</v>
      </c>
      <c r="D1326" s="18">
        <v>47772.3606</v>
      </c>
      <c r="E1326" s="18">
        <v>62231.203626998184</v>
      </c>
      <c r="F1326" s="18">
        <v>0</v>
      </c>
      <c r="G1326" s="18">
        <v>0</v>
      </c>
      <c r="H1326" s="19">
        <v>0.30266126365541557</v>
      </c>
      <c r="I1326" s="19">
        <v>0</v>
      </c>
      <c r="J1326" s="19">
        <v>0.30266126365541557</v>
      </c>
    </row>
    <row r="1327" spans="1:10" ht="11.25" customHeight="1" x14ac:dyDescent="0.2">
      <c r="A1327" s="28">
        <v>44287</v>
      </c>
      <c r="B1327" s="18">
        <v>0</v>
      </c>
      <c r="C1327" s="18">
        <v>0</v>
      </c>
      <c r="D1327" s="18">
        <v>453.12425999999999</v>
      </c>
      <c r="E1327" s="18">
        <v>590.26742112452496</v>
      </c>
      <c r="F1327" s="18">
        <v>0</v>
      </c>
      <c r="G1327" s="18">
        <v>0</v>
      </c>
      <c r="H1327" s="19">
        <v>0.30266126365541535</v>
      </c>
      <c r="I1327" s="19">
        <v>0</v>
      </c>
      <c r="J1327" s="19">
        <v>0.30266126365541535</v>
      </c>
    </row>
    <row r="1328" spans="1:10" ht="11.25" customHeight="1" x14ac:dyDescent="0.2">
      <c r="A1328" s="28">
        <v>44317</v>
      </c>
      <c r="B1328" s="18">
        <v>0</v>
      </c>
      <c r="C1328" s="18">
        <v>0</v>
      </c>
      <c r="D1328" s="18">
        <v>435.74373000000003</v>
      </c>
      <c r="E1328" s="18">
        <v>567.62647795172415</v>
      </c>
      <c r="F1328" s="18">
        <v>0</v>
      </c>
      <c r="G1328" s="18">
        <v>0</v>
      </c>
      <c r="H1328" s="19">
        <v>0.30266126365541535</v>
      </c>
      <c r="I1328" s="19">
        <v>0</v>
      </c>
      <c r="J1328" s="19">
        <v>0.30266126365541535</v>
      </c>
    </row>
    <row r="1329" spans="1:10" ht="11.25" customHeight="1" x14ac:dyDescent="0.2">
      <c r="A1329" s="28">
        <v>44348</v>
      </c>
      <c r="B1329" s="18">
        <v>0</v>
      </c>
      <c r="C1329" s="18">
        <v>0</v>
      </c>
      <c r="D1329" s="18">
        <v>504.65061000000003</v>
      </c>
      <c r="E1329" s="18">
        <v>657.38880132707618</v>
      </c>
      <c r="F1329" s="18">
        <v>0</v>
      </c>
      <c r="G1329" s="18">
        <v>0</v>
      </c>
      <c r="H1329" s="19">
        <v>0.30266126365541535</v>
      </c>
      <c r="I1329" s="19">
        <v>0</v>
      </c>
      <c r="J1329" s="19">
        <v>0.30266126365541535</v>
      </c>
    </row>
    <row r="1330" spans="1:10" ht="11.25" customHeight="1" x14ac:dyDescent="0.2">
      <c r="A1330" s="28">
        <v>44378</v>
      </c>
      <c r="B1330" s="18">
        <v>0</v>
      </c>
      <c r="C1330" s="18">
        <v>0</v>
      </c>
      <c r="D1330" s="18">
        <v>532.54149000000007</v>
      </c>
      <c r="E1330" s="18">
        <v>693.72117031233779</v>
      </c>
      <c r="F1330" s="18">
        <v>0</v>
      </c>
      <c r="G1330" s="18">
        <v>0</v>
      </c>
      <c r="H1330" s="19">
        <v>0.30266126365541535</v>
      </c>
      <c r="I1330" s="19">
        <v>0</v>
      </c>
      <c r="J1330" s="19">
        <v>0.30266126365541535</v>
      </c>
    </row>
    <row r="1331" spans="1:10" ht="11.25" customHeight="1" x14ac:dyDescent="0.2">
      <c r="A1331" s="28">
        <v>44409</v>
      </c>
      <c r="B1331" s="18">
        <v>0</v>
      </c>
      <c r="C1331" s="18">
        <v>0</v>
      </c>
      <c r="D1331" s="18">
        <v>45133.852590000002</v>
      </c>
      <c r="E1331" s="18">
        <v>58794.121448526646</v>
      </c>
      <c r="F1331" s="18">
        <v>0</v>
      </c>
      <c r="G1331" s="18">
        <v>0</v>
      </c>
      <c r="H1331" s="19">
        <v>0.30266126365541535</v>
      </c>
      <c r="I1331" s="19">
        <v>0</v>
      </c>
      <c r="J1331" s="19">
        <v>0.30266126365541535</v>
      </c>
    </row>
    <row r="1332" spans="1:10" ht="11.25" customHeight="1" x14ac:dyDescent="0.2">
      <c r="A1332" s="28">
        <v>44440</v>
      </c>
      <c r="B1332" s="18">
        <v>0</v>
      </c>
      <c r="C1332" s="18">
        <v>0</v>
      </c>
      <c r="D1332" s="18">
        <v>712.44792000000007</v>
      </c>
      <c r="E1332" s="18">
        <v>928.0783077558724</v>
      </c>
      <c r="F1332" s="18">
        <v>0</v>
      </c>
      <c r="G1332" s="18">
        <v>0</v>
      </c>
      <c r="H1332" s="19">
        <v>0.30266126365541535</v>
      </c>
      <c r="I1332" s="19">
        <v>0</v>
      </c>
      <c r="J1332" s="19">
        <v>0.30266126365541535</v>
      </c>
    </row>
    <row r="1333" spans="1:10" ht="11.25" customHeight="1" x14ac:dyDescent="0.2">
      <c r="A1333" s="27" t="s">
        <v>34</v>
      </c>
      <c r="B1333" s="18">
        <v>98821.239999999991</v>
      </c>
      <c r="C1333" s="18">
        <v>121365.2404968536</v>
      </c>
      <c r="D1333" s="18">
        <v>0</v>
      </c>
      <c r="E1333" s="18">
        <v>0</v>
      </c>
      <c r="F1333" s="18">
        <v>0</v>
      </c>
      <c r="G1333" s="18">
        <v>0</v>
      </c>
      <c r="H1333" s="19">
        <v>0.22812909954230087</v>
      </c>
      <c r="I1333" s="19">
        <v>0</v>
      </c>
      <c r="J1333" s="19">
        <v>0.22812909954230087</v>
      </c>
    </row>
    <row r="1334" spans="1:10" ht="11.25" customHeight="1" x14ac:dyDescent="0.2">
      <c r="A1334" s="28">
        <v>44287</v>
      </c>
      <c r="B1334" s="18">
        <v>1866.8999999999999</v>
      </c>
      <c r="C1334" s="18">
        <v>2292.7942159355212</v>
      </c>
      <c r="D1334" s="18">
        <v>0</v>
      </c>
      <c r="E1334" s="18">
        <v>0</v>
      </c>
      <c r="F1334" s="18">
        <v>0</v>
      </c>
      <c r="G1334" s="18">
        <v>0</v>
      </c>
      <c r="H1334" s="19">
        <v>0.22812909954230087</v>
      </c>
      <c r="I1334" s="19">
        <v>0</v>
      </c>
      <c r="J1334" s="19">
        <v>0.22812909954230087</v>
      </c>
    </row>
    <row r="1335" spans="1:10" ht="11.25" customHeight="1" x14ac:dyDescent="0.2">
      <c r="A1335" s="28">
        <v>44317</v>
      </c>
      <c r="B1335" s="18">
        <v>1866.8999999999999</v>
      </c>
      <c r="C1335" s="18">
        <v>2292.7942159355212</v>
      </c>
      <c r="D1335" s="18">
        <v>0</v>
      </c>
      <c r="E1335" s="18">
        <v>0</v>
      </c>
      <c r="F1335" s="18">
        <v>0</v>
      </c>
      <c r="G1335" s="18">
        <v>0</v>
      </c>
      <c r="H1335" s="19">
        <v>0.22812909954230087</v>
      </c>
      <c r="I1335" s="19">
        <v>0</v>
      </c>
      <c r="J1335" s="19">
        <v>0.22812909954230087</v>
      </c>
    </row>
    <row r="1336" spans="1:10" ht="11.25" customHeight="1" x14ac:dyDescent="0.2">
      <c r="A1336" s="28">
        <v>44348</v>
      </c>
      <c r="B1336" s="18">
        <v>1866.8999999999999</v>
      </c>
      <c r="C1336" s="18">
        <v>2292.7942159355212</v>
      </c>
      <c r="D1336" s="18">
        <v>0</v>
      </c>
      <c r="E1336" s="18">
        <v>0</v>
      </c>
      <c r="F1336" s="18">
        <v>0</v>
      </c>
      <c r="G1336" s="18">
        <v>0</v>
      </c>
      <c r="H1336" s="19">
        <v>0.22812909954230087</v>
      </c>
      <c r="I1336" s="19">
        <v>0</v>
      </c>
      <c r="J1336" s="19">
        <v>0.22812909954230087</v>
      </c>
    </row>
    <row r="1337" spans="1:10" ht="11.25" customHeight="1" x14ac:dyDescent="0.2">
      <c r="A1337" s="28">
        <v>44378</v>
      </c>
      <c r="B1337" s="18">
        <v>1866.8999999999999</v>
      </c>
      <c r="C1337" s="18">
        <v>2292.7942159355212</v>
      </c>
      <c r="D1337" s="18">
        <v>0</v>
      </c>
      <c r="E1337" s="18">
        <v>0</v>
      </c>
      <c r="F1337" s="18">
        <v>0</v>
      </c>
      <c r="G1337" s="18">
        <v>0</v>
      </c>
      <c r="H1337" s="19">
        <v>0.22812909954230087</v>
      </c>
      <c r="I1337" s="19">
        <v>0</v>
      </c>
      <c r="J1337" s="19">
        <v>0.22812909954230087</v>
      </c>
    </row>
    <row r="1338" spans="1:10" ht="11.25" customHeight="1" x14ac:dyDescent="0.2">
      <c r="A1338" s="28">
        <v>44409</v>
      </c>
      <c r="B1338" s="18">
        <v>89486.739999999991</v>
      </c>
      <c r="C1338" s="18">
        <v>109901.26941717599</v>
      </c>
      <c r="D1338" s="18">
        <v>0</v>
      </c>
      <c r="E1338" s="18">
        <v>0</v>
      </c>
      <c r="F1338" s="18">
        <v>0</v>
      </c>
      <c r="G1338" s="18">
        <v>0</v>
      </c>
      <c r="H1338" s="19">
        <v>0.22812909954230087</v>
      </c>
      <c r="I1338" s="19">
        <v>0</v>
      </c>
      <c r="J1338" s="19">
        <v>0.22812909954230087</v>
      </c>
    </row>
    <row r="1339" spans="1:10" ht="11.25" customHeight="1" x14ac:dyDescent="0.2">
      <c r="A1339" s="28">
        <v>44440</v>
      </c>
      <c r="B1339" s="18">
        <v>1866.8999999999999</v>
      </c>
      <c r="C1339" s="18">
        <v>2292.7942159355212</v>
      </c>
      <c r="D1339" s="18">
        <v>0</v>
      </c>
      <c r="E1339" s="18">
        <v>0</v>
      </c>
      <c r="F1339" s="18">
        <v>0</v>
      </c>
      <c r="G1339" s="18">
        <v>0</v>
      </c>
      <c r="H1339" s="19">
        <v>0.22812909954230087</v>
      </c>
      <c r="I1339" s="19">
        <v>0</v>
      </c>
      <c r="J1339" s="19">
        <v>0.22812909954230087</v>
      </c>
    </row>
    <row r="1340" spans="1:10" ht="11.25" customHeight="1" x14ac:dyDescent="0.2">
      <c r="A1340" s="22" t="s">
        <v>42</v>
      </c>
      <c r="B1340" s="18">
        <v>4232606.5678542638</v>
      </c>
      <c r="C1340" s="18">
        <v>4837590.1739444919</v>
      </c>
      <c r="D1340" s="18">
        <v>10330363.908464897</v>
      </c>
      <c r="E1340" s="18">
        <v>13026297.956228284</v>
      </c>
      <c r="F1340" s="18">
        <v>0</v>
      </c>
      <c r="G1340" s="18">
        <v>0</v>
      </c>
      <c r="H1340" s="19">
        <v>0.2266651339588468</v>
      </c>
      <c r="I1340" s="19">
        <v>0</v>
      </c>
      <c r="J1340" s="19">
        <v>0.2266651339588468</v>
      </c>
    </row>
    <row r="1341" spans="1:10" ht="11.25" customHeight="1" x14ac:dyDescent="0.2">
      <c r="A1341" s="23" t="s">
        <v>43</v>
      </c>
      <c r="B1341" s="18">
        <v>525776.67999999993</v>
      </c>
      <c r="C1341" s="18">
        <v>600928.07117354893</v>
      </c>
      <c r="D1341" s="18">
        <v>373961.03577000002</v>
      </c>
      <c r="E1341" s="18">
        <v>470795.54838610877</v>
      </c>
      <c r="F1341" s="18">
        <v>0</v>
      </c>
      <c r="G1341" s="18">
        <v>0</v>
      </c>
      <c r="H1341" s="19">
        <v>0.1911511552480285</v>
      </c>
      <c r="I1341" s="19">
        <v>0</v>
      </c>
      <c r="J1341" s="19">
        <v>0.1911511552480285</v>
      </c>
    </row>
    <row r="1342" spans="1:10" ht="11.25" customHeight="1" x14ac:dyDescent="0.2">
      <c r="A1342" s="24" t="s">
        <v>25</v>
      </c>
      <c r="B1342" s="18">
        <v>525776.67999999993</v>
      </c>
      <c r="C1342" s="18">
        <v>600928.07117354893</v>
      </c>
      <c r="D1342" s="18">
        <v>373961.03577000002</v>
      </c>
      <c r="E1342" s="18">
        <v>470795.54838610877</v>
      </c>
      <c r="F1342" s="18">
        <v>0</v>
      </c>
      <c r="G1342" s="18">
        <v>0</v>
      </c>
      <c r="H1342" s="19">
        <v>0.1911511552480285</v>
      </c>
      <c r="I1342" s="19">
        <v>0</v>
      </c>
      <c r="J1342" s="19">
        <v>0.1911511552480285</v>
      </c>
    </row>
    <row r="1343" spans="1:10" ht="11.25" customHeight="1" x14ac:dyDescent="0.2">
      <c r="A1343" s="25" t="s">
        <v>25</v>
      </c>
      <c r="B1343" s="18">
        <v>525776.67999999993</v>
      </c>
      <c r="C1343" s="18">
        <v>600928.07117354893</v>
      </c>
      <c r="D1343" s="18">
        <v>373961.03577000002</v>
      </c>
      <c r="E1343" s="18">
        <v>470795.54838610877</v>
      </c>
      <c r="F1343" s="18">
        <v>0</v>
      </c>
      <c r="G1343" s="18">
        <v>0</v>
      </c>
      <c r="H1343" s="19">
        <v>0.1911511552480285</v>
      </c>
      <c r="I1343" s="19">
        <v>0</v>
      </c>
      <c r="J1343" s="19">
        <v>0.1911511552480285</v>
      </c>
    </row>
    <row r="1344" spans="1:10" ht="11.25" customHeight="1" x14ac:dyDescent="0.2">
      <c r="A1344" s="26" t="s">
        <v>25</v>
      </c>
      <c r="B1344" s="18">
        <v>525776.67999999993</v>
      </c>
      <c r="C1344" s="18">
        <v>600928.07117354893</v>
      </c>
      <c r="D1344" s="18">
        <v>373961.03577000002</v>
      </c>
      <c r="E1344" s="18">
        <v>470795.54838610877</v>
      </c>
      <c r="F1344" s="18">
        <v>0</v>
      </c>
      <c r="G1344" s="18">
        <v>0</v>
      </c>
      <c r="H1344" s="19">
        <v>0.1911511552480285</v>
      </c>
      <c r="I1344" s="19">
        <v>0</v>
      </c>
      <c r="J1344" s="19">
        <v>0.1911511552480285</v>
      </c>
    </row>
    <row r="1345" spans="1:10" ht="11.25" customHeight="1" x14ac:dyDescent="0.2">
      <c r="A1345" s="27" t="s">
        <v>35</v>
      </c>
      <c r="B1345" s="18">
        <v>0</v>
      </c>
      <c r="C1345" s="18">
        <v>0</v>
      </c>
      <c r="D1345" s="18">
        <v>153081.60711000001</v>
      </c>
      <c r="E1345" s="18">
        <v>199413.47976031443</v>
      </c>
      <c r="F1345" s="18">
        <v>0</v>
      </c>
      <c r="G1345" s="18">
        <v>0</v>
      </c>
      <c r="H1345" s="19">
        <v>0.30266126365541512</v>
      </c>
      <c r="I1345" s="19">
        <v>0</v>
      </c>
      <c r="J1345" s="19">
        <v>0.30266126365541512</v>
      </c>
    </row>
    <row r="1346" spans="1:10" ht="11.25" customHeight="1" x14ac:dyDescent="0.2">
      <c r="A1346" s="28">
        <v>44287</v>
      </c>
      <c r="B1346" s="18">
        <v>0</v>
      </c>
      <c r="C1346" s="18">
        <v>0</v>
      </c>
      <c r="D1346" s="18">
        <v>1827.1602600000001</v>
      </c>
      <c r="E1346" s="18">
        <v>2380.1708931925573</v>
      </c>
      <c r="F1346" s="18">
        <v>0</v>
      </c>
      <c r="G1346" s="18">
        <v>0</v>
      </c>
      <c r="H1346" s="19">
        <v>0.30266126365541535</v>
      </c>
      <c r="I1346" s="19">
        <v>0</v>
      </c>
      <c r="J1346" s="19">
        <v>0.30266126365541535</v>
      </c>
    </row>
    <row r="1347" spans="1:10" ht="11.25" customHeight="1" x14ac:dyDescent="0.2">
      <c r="A1347" s="28">
        <v>44317</v>
      </c>
      <c r="B1347" s="18">
        <v>0</v>
      </c>
      <c r="C1347" s="18">
        <v>0</v>
      </c>
      <c r="D1347" s="18">
        <v>1504.7232300000001</v>
      </c>
      <c r="E1347" s="18">
        <v>1960.1446642434582</v>
      </c>
      <c r="F1347" s="18">
        <v>0</v>
      </c>
      <c r="G1347" s="18">
        <v>0</v>
      </c>
      <c r="H1347" s="19">
        <v>0.30266126365541535</v>
      </c>
      <c r="I1347" s="19">
        <v>0</v>
      </c>
      <c r="J1347" s="19">
        <v>0.30266126365541535</v>
      </c>
    </row>
    <row r="1348" spans="1:10" ht="11.25" customHeight="1" x14ac:dyDescent="0.2">
      <c r="A1348" s="28">
        <v>44348</v>
      </c>
      <c r="B1348" s="18">
        <v>0</v>
      </c>
      <c r="C1348" s="18">
        <v>0</v>
      </c>
      <c r="D1348" s="18">
        <v>1569.2721600000002</v>
      </c>
      <c r="E1348" s="18">
        <v>2044.2300549648633</v>
      </c>
      <c r="F1348" s="18">
        <v>0</v>
      </c>
      <c r="G1348" s="18">
        <v>0</v>
      </c>
      <c r="H1348" s="19">
        <v>0.30266126365541535</v>
      </c>
      <c r="I1348" s="19">
        <v>0</v>
      </c>
      <c r="J1348" s="19">
        <v>0.30266126365541535</v>
      </c>
    </row>
    <row r="1349" spans="1:10" ht="11.25" customHeight="1" x14ac:dyDescent="0.2">
      <c r="A1349" s="28">
        <v>44378</v>
      </c>
      <c r="B1349" s="18">
        <v>0</v>
      </c>
      <c r="C1349" s="18">
        <v>0</v>
      </c>
      <c r="D1349" s="18">
        <v>11357.227860000001</v>
      </c>
      <c r="E1349" s="18">
        <v>14794.620795730089</v>
      </c>
      <c r="F1349" s="18">
        <v>0</v>
      </c>
      <c r="G1349" s="18">
        <v>0</v>
      </c>
      <c r="H1349" s="19">
        <v>0.30266126365541535</v>
      </c>
      <c r="I1349" s="19">
        <v>0</v>
      </c>
      <c r="J1349" s="19">
        <v>0.30266126365541535</v>
      </c>
    </row>
    <row r="1350" spans="1:10" ht="11.25" customHeight="1" x14ac:dyDescent="0.2">
      <c r="A1350" s="28">
        <v>44409</v>
      </c>
      <c r="B1350" s="18">
        <v>0</v>
      </c>
      <c r="C1350" s="18">
        <v>0</v>
      </c>
      <c r="D1350" s="18">
        <v>27229.958430000002</v>
      </c>
      <c r="E1350" s="18">
        <v>35471.412057708236</v>
      </c>
      <c r="F1350" s="18">
        <v>0</v>
      </c>
      <c r="G1350" s="18">
        <v>0</v>
      </c>
      <c r="H1350" s="19">
        <v>0.30266126365541535</v>
      </c>
      <c r="I1350" s="19">
        <v>0</v>
      </c>
      <c r="J1350" s="19">
        <v>0.30266126365541535</v>
      </c>
    </row>
    <row r="1351" spans="1:10" ht="11.25" customHeight="1" x14ac:dyDescent="0.2">
      <c r="A1351" s="28">
        <v>44440</v>
      </c>
      <c r="B1351" s="18">
        <v>0</v>
      </c>
      <c r="C1351" s="18">
        <v>0</v>
      </c>
      <c r="D1351" s="18">
        <v>13407.822780000002</v>
      </c>
      <c r="E1351" s="18">
        <v>17465.851365462666</v>
      </c>
      <c r="F1351" s="18">
        <v>0</v>
      </c>
      <c r="G1351" s="18">
        <v>0</v>
      </c>
      <c r="H1351" s="19">
        <v>0.30266126365541535</v>
      </c>
      <c r="I1351" s="19">
        <v>0</v>
      </c>
      <c r="J1351" s="19">
        <v>0.30266126365541535</v>
      </c>
    </row>
    <row r="1352" spans="1:10" ht="11.25" customHeight="1" x14ac:dyDescent="0.2">
      <c r="A1352" s="28">
        <v>44470</v>
      </c>
      <c r="B1352" s="18">
        <v>0</v>
      </c>
      <c r="C1352" s="18">
        <v>0</v>
      </c>
      <c r="D1352" s="18">
        <v>15518.813760000001</v>
      </c>
      <c r="E1352" s="18">
        <v>20215.757543034648</v>
      </c>
      <c r="F1352" s="18">
        <v>0</v>
      </c>
      <c r="G1352" s="18">
        <v>0</v>
      </c>
      <c r="H1352" s="19">
        <v>0.30266126365541535</v>
      </c>
      <c r="I1352" s="19">
        <v>0</v>
      </c>
      <c r="J1352" s="19">
        <v>0.30266126365541535</v>
      </c>
    </row>
    <row r="1353" spans="1:10" ht="11.25" customHeight="1" x14ac:dyDescent="0.2">
      <c r="A1353" s="28">
        <v>44501</v>
      </c>
      <c r="B1353" s="18">
        <v>0</v>
      </c>
      <c r="C1353" s="18">
        <v>0</v>
      </c>
      <c r="D1353" s="18">
        <v>16465.257960000003</v>
      </c>
      <c r="E1353" s="18">
        <v>21448.653740585989</v>
      </c>
      <c r="F1353" s="18">
        <v>0</v>
      </c>
      <c r="G1353" s="18">
        <v>0</v>
      </c>
      <c r="H1353" s="19">
        <v>0.30266126365541535</v>
      </c>
      <c r="I1353" s="19">
        <v>0</v>
      </c>
      <c r="J1353" s="19">
        <v>0.30266126365541535</v>
      </c>
    </row>
    <row r="1354" spans="1:10" ht="11.25" customHeight="1" x14ac:dyDescent="0.2">
      <c r="A1354" s="28">
        <v>44531</v>
      </c>
      <c r="B1354" s="18">
        <v>0</v>
      </c>
      <c r="C1354" s="18">
        <v>0</v>
      </c>
      <c r="D1354" s="18">
        <v>18986.614020000001</v>
      </c>
      <c r="E1354" s="18">
        <v>24733.126611830827</v>
      </c>
      <c r="F1354" s="18">
        <v>0</v>
      </c>
      <c r="G1354" s="18">
        <v>0</v>
      </c>
      <c r="H1354" s="19">
        <v>0.30266126365541535</v>
      </c>
      <c r="I1354" s="19">
        <v>0</v>
      </c>
      <c r="J1354" s="19">
        <v>0.30266126365541535</v>
      </c>
    </row>
    <row r="1355" spans="1:10" ht="11.25" customHeight="1" x14ac:dyDescent="0.2">
      <c r="A1355" s="28">
        <v>44562</v>
      </c>
      <c r="B1355" s="18">
        <v>0</v>
      </c>
      <c r="C1355" s="18">
        <v>0</v>
      </c>
      <c r="D1355" s="18">
        <v>14338.219470000002</v>
      </c>
      <c r="E1355" s="18">
        <v>18677.843093358879</v>
      </c>
      <c r="F1355" s="18">
        <v>0</v>
      </c>
      <c r="G1355" s="18">
        <v>0</v>
      </c>
      <c r="H1355" s="19">
        <v>0.30266126365541512</v>
      </c>
      <c r="I1355" s="19">
        <v>0</v>
      </c>
      <c r="J1355" s="19">
        <v>0.30266126365541512</v>
      </c>
    </row>
    <row r="1356" spans="1:10" ht="11.25" customHeight="1" x14ac:dyDescent="0.2">
      <c r="A1356" s="28">
        <v>44593</v>
      </c>
      <c r="B1356" s="18">
        <v>0</v>
      </c>
      <c r="C1356" s="18">
        <v>0</v>
      </c>
      <c r="D1356" s="18">
        <v>15438.268590000001</v>
      </c>
      <c r="E1356" s="18">
        <v>20110.834470101108</v>
      </c>
      <c r="F1356" s="18">
        <v>0</v>
      </c>
      <c r="G1356" s="18">
        <v>0</v>
      </c>
      <c r="H1356" s="19">
        <v>0.30266126365541535</v>
      </c>
      <c r="I1356" s="19">
        <v>0</v>
      </c>
      <c r="J1356" s="19">
        <v>0.30266126365541535</v>
      </c>
    </row>
    <row r="1357" spans="1:10" ht="11.25" customHeight="1" x14ac:dyDescent="0.2">
      <c r="A1357" s="28">
        <v>44621</v>
      </c>
      <c r="B1357" s="18">
        <v>0</v>
      </c>
      <c r="C1357" s="18">
        <v>0</v>
      </c>
      <c r="D1357" s="18">
        <v>15438.268590000001</v>
      </c>
      <c r="E1357" s="18">
        <v>20110.834470101108</v>
      </c>
      <c r="F1357" s="18">
        <v>0</v>
      </c>
      <c r="G1357" s="18">
        <v>0</v>
      </c>
      <c r="H1357" s="19">
        <v>0.30266126365541535</v>
      </c>
      <c r="I1357" s="19">
        <v>0</v>
      </c>
      <c r="J1357" s="19">
        <v>0.30266126365541535</v>
      </c>
    </row>
    <row r="1358" spans="1:10" ht="11.25" customHeight="1" x14ac:dyDescent="0.2">
      <c r="A1358" s="27" t="s">
        <v>25</v>
      </c>
      <c r="B1358" s="18">
        <v>525776.67999999993</v>
      </c>
      <c r="C1358" s="18">
        <v>600928.07117354893</v>
      </c>
      <c r="D1358" s="18">
        <v>0</v>
      </c>
      <c r="E1358" s="18">
        <v>0</v>
      </c>
      <c r="F1358" s="18">
        <v>0</v>
      </c>
      <c r="G1358" s="18">
        <v>0</v>
      </c>
      <c r="H1358" s="19">
        <v>0.14293405172239471</v>
      </c>
      <c r="I1358" s="19">
        <v>0</v>
      </c>
      <c r="J1358" s="19">
        <v>0.14293405172239471</v>
      </c>
    </row>
    <row r="1359" spans="1:10" ht="11.25" customHeight="1" x14ac:dyDescent="0.2">
      <c r="A1359" s="28">
        <v>44287</v>
      </c>
      <c r="B1359" s="18">
        <v>5810.09</v>
      </c>
      <c r="C1359" s="18">
        <v>6640.5497045717657</v>
      </c>
      <c r="D1359" s="18">
        <v>0</v>
      </c>
      <c r="E1359" s="18">
        <v>0</v>
      </c>
      <c r="F1359" s="18">
        <v>0</v>
      </c>
      <c r="G1359" s="18">
        <v>0</v>
      </c>
      <c r="H1359" s="19">
        <v>0.14293405172239426</v>
      </c>
      <c r="I1359" s="19">
        <v>0</v>
      </c>
      <c r="J1359" s="19">
        <v>0.14293405172239426</v>
      </c>
    </row>
    <row r="1360" spans="1:10" ht="11.25" customHeight="1" x14ac:dyDescent="0.2">
      <c r="A1360" s="28">
        <v>44317</v>
      </c>
      <c r="B1360" s="18">
        <v>5810.09</v>
      </c>
      <c r="C1360" s="18">
        <v>6640.5497045717657</v>
      </c>
      <c r="D1360" s="18">
        <v>0</v>
      </c>
      <c r="E1360" s="18">
        <v>0</v>
      </c>
      <c r="F1360" s="18">
        <v>0</v>
      </c>
      <c r="G1360" s="18">
        <v>0</v>
      </c>
      <c r="H1360" s="19">
        <v>0.14293405172239426</v>
      </c>
      <c r="I1360" s="19">
        <v>0</v>
      </c>
      <c r="J1360" s="19">
        <v>0.14293405172239426</v>
      </c>
    </row>
    <row r="1361" spans="1:10" ht="11.25" customHeight="1" x14ac:dyDescent="0.2">
      <c r="A1361" s="28">
        <v>44348</v>
      </c>
      <c r="B1361" s="18">
        <v>5810.09</v>
      </c>
      <c r="C1361" s="18">
        <v>6640.5497045717657</v>
      </c>
      <c r="D1361" s="18">
        <v>0</v>
      </c>
      <c r="E1361" s="18">
        <v>0</v>
      </c>
      <c r="F1361" s="18">
        <v>0</v>
      </c>
      <c r="G1361" s="18">
        <v>0</v>
      </c>
      <c r="H1361" s="19">
        <v>0.14293405172239426</v>
      </c>
      <c r="I1361" s="19">
        <v>0</v>
      </c>
      <c r="J1361" s="19">
        <v>0.14293405172239426</v>
      </c>
    </row>
    <row r="1362" spans="1:10" ht="11.25" customHeight="1" x14ac:dyDescent="0.2">
      <c r="A1362" s="28">
        <v>44378</v>
      </c>
      <c r="B1362" s="18">
        <v>54430.09</v>
      </c>
      <c r="C1362" s="18">
        <v>62210.00329931458</v>
      </c>
      <c r="D1362" s="18">
        <v>0</v>
      </c>
      <c r="E1362" s="18">
        <v>0</v>
      </c>
      <c r="F1362" s="18">
        <v>0</v>
      </c>
      <c r="G1362" s="18">
        <v>0</v>
      </c>
      <c r="H1362" s="19">
        <v>0.14293405172239448</v>
      </c>
      <c r="I1362" s="19">
        <v>0</v>
      </c>
      <c r="J1362" s="19">
        <v>0.14293405172239448</v>
      </c>
    </row>
    <row r="1363" spans="1:10" ht="11.25" customHeight="1" x14ac:dyDescent="0.2">
      <c r="A1363" s="28">
        <v>44409</v>
      </c>
      <c r="B1363" s="18">
        <v>80684.89</v>
      </c>
      <c r="C1363" s="18">
        <v>92217.508240475698</v>
      </c>
      <c r="D1363" s="18">
        <v>0</v>
      </c>
      <c r="E1363" s="18">
        <v>0</v>
      </c>
      <c r="F1363" s="18">
        <v>0</v>
      </c>
      <c r="G1363" s="18">
        <v>0</v>
      </c>
      <c r="H1363" s="19">
        <v>0.14293405172239426</v>
      </c>
      <c r="I1363" s="19">
        <v>0</v>
      </c>
      <c r="J1363" s="19">
        <v>0.14293405172239426</v>
      </c>
    </row>
    <row r="1364" spans="1:10" ht="11.25" customHeight="1" x14ac:dyDescent="0.2">
      <c r="A1364" s="28">
        <v>44440</v>
      </c>
      <c r="B1364" s="18">
        <v>54430.09</v>
      </c>
      <c r="C1364" s="18">
        <v>62210.00329931458</v>
      </c>
      <c r="D1364" s="18">
        <v>0</v>
      </c>
      <c r="E1364" s="18">
        <v>0</v>
      </c>
      <c r="F1364" s="18">
        <v>0</v>
      </c>
      <c r="G1364" s="18">
        <v>0</v>
      </c>
      <c r="H1364" s="19">
        <v>0.14293405172239448</v>
      </c>
      <c r="I1364" s="19">
        <v>0</v>
      </c>
      <c r="J1364" s="19">
        <v>0.14293405172239448</v>
      </c>
    </row>
    <row r="1365" spans="1:10" ht="11.25" customHeight="1" x14ac:dyDescent="0.2">
      <c r="A1365" s="28">
        <v>44470</v>
      </c>
      <c r="B1365" s="18">
        <v>54430.09</v>
      </c>
      <c r="C1365" s="18">
        <v>62210.00329931458</v>
      </c>
      <c r="D1365" s="18">
        <v>0</v>
      </c>
      <c r="E1365" s="18">
        <v>0</v>
      </c>
      <c r="F1365" s="18">
        <v>0</v>
      </c>
      <c r="G1365" s="18">
        <v>0</v>
      </c>
      <c r="H1365" s="19">
        <v>0.14293405172239448</v>
      </c>
      <c r="I1365" s="19">
        <v>0</v>
      </c>
      <c r="J1365" s="19">
        <v>0.14293405172239448</v>
      </c>
    </row>
    <row r="1366" spans="1:10" ht="11.25" customHeight="1" x14ac:dyDescent="0.2">
      <c r="A1366" s="28">
        <v>44501</v>
      </c>
      <c r="B1366" s="18">
        <v>52874.25</v>
      </c>
      <c r="C1366" s="18">
        <v>60431.780784282804</v>
      </c>
      <c r="D1366" s="18">
        <v>0</v>
      </c>
      <c r="E1366" s="18">
        <v>0</v>
      </c>
      <c r="F1366" s="18">
        <v>0</v>
      </c>
      <c r="G1366" s="18">
        <v>0</v>
      </c>
      <c r="H1366" s="19">
        <v>0.14293405172239426</v>
      </c>
      <c r="I1366" s="19">
        <v>0</v>
      </c>
      <c r="J1366" s="19">
        <v>0.14293405172239426</v>
      </c>
    </row>
    <row r="1367" spans="1:10" ht="11.25" customHeight="1" x14ac:dyDescent="0.2">
      <c r="A1367" s="28">
        <v>44531</v>
      </c>
      <c r="B1367" s="18">
        <v>52874.25</v>
      </c>
      <c r="C1367" s="18">
        <v>60431.780784282804</v>
      </c>
      <c r="D1367" s="18">
        <v>0</v>
      </c>
      <c r="E1367" s="18">
        <v>0</v>
      </c>
      <c r="F1367" s="18">
        <v>0</v>
      </c>
      <c r="G1367" s="18">
        <v>0</v>
      </c>
      <c r="H1367" s="19">
        <v>0.14293405172239426</v>
      </c>
      <c r="I1367" s="19">
        <v>0</v>
      </c>
      <c r="J1367" s="19">
        <v>0.14293405172239426</v>
      </c>
    </row>
    <row r="1368" spans="1:10" ht="11.25" customHeight="1" x14ac:dyDescent="0.2">
      <c r="A1368" s="28">
        <v>44562</v>
      </c>
      <c r="B1368" s="18">
        <v>52874.25</v>
      </c>
      <c r="C1368" s="18">
        <v>60431.780784282804</v>
      </c>
      <c r="D1368" s="18">
        <v>0</v>
      </c>
      <c r="E1368" s="18">
        <v>0</v>
      </c>
      <c r="F1368" s="18">
        <v>0</v>
      </c>
      <c r="G1368" s="18">
        <v>0</v>
      </c>
      <c r="H1368" s="19">
        <v>0.14293405172239426</v>
      </c>
      <c r="I1368" s="19">
        <v>0</v>
      </c>
      <c r="J1368" s="19">
        <v>0.14293405172239426</v>
      </c>
    </row>
    <row r="1369" spans="1:10" ht="11.25" customHeight="1" x14ac:dyDescent="0.2">
      <c r="A1369" s="28">
        <v>44593</v>
      </c>
      <c r="B1369" s="18">
        <v>52874.25</v>
      </c>
      <c r="C1369" s="18">
        <v>60431.780784282804</v>
      </c>
      <c r="D1369" s="18">
        <v>0</v>
      </c>
      <c r="E1369" s="18">
        <v>0</v>
      </c>
      <c r="F1369" s="18">
        <v>0</v>
      </c>
      <c r="G1369" s="18">
        <v>0</v>
      </c>
      <c r="H1369" s="19">
        <v>0.14293405172239426</v>
      </c>
      <c r="I1369" s="19">
        <v>0</v>
      </c>
      <c r="J1369" s="19">
        <v>0.14293405172239426</v>
      </c>
    </row>
    <row r="1370" spans="1:10" ht="11.25" customHeight="1" x14ac:dyDescent="0.2">
      <c r="A1370" s="28">
        <v>44621</v>
      </c>
      <c r="B1370" s="18">
        <v>52874.25</v>
      </c>
      <c r="C1370" s="18">
        <v>60431.780784282804</v>
      </c>
      <c r="D1370" s="18">
        <v>0</v>
      </c>
      <c r="E1370" s="18">
        <v>0</v>
      </c>
      <c r="F1370" s="18">
        <v>0</v>
      </c>
      <c r="G1370" s="18">
        <v>0</v>
      </c>
      <c r="H1370" s="19">
        <v>0.14293405172239426</v>
      </c>
      <c r="I1370" s="19">
        <v>0</v>
      </c>
      <c r="J1370" s="19">
        <v>0.14293405172239426</v>
      </c>
    </row>
    <row r="1371" spans="1:10" ht="11.25" customHeight="1" x14ac:dyDescent="0.2">
      <c r="A1371" s="27" t="s">
        <v>34</v>
      </c>
      <c r="B1371" s="18">
        <v>0</v>
      </c>
      <c r="C1371" s="18">
        <v>0</v>
      </c>
      <c r="D1371" s="18">
        <v>220879.42866000001</v>
      </c>
      <c r="E1371" s="18">
        <v>271382.06862579432</v>
      </c>
      <c r="F1371" s="18">
        <v>0</v>
      </c>
      <c r="G1371" s="18">
        <v>0</v>
      </c>
      <c r="H1371" s="19">
        <v>0.22864347427995724</v>
      </c>
      <c r="I1371" s="19">
        <v>0</v>
      </c>
      <c r="J1371" s="19">
        <v>0.22864347427995724</v>
      </c>
    </row>
    <row r="1372" spans="1:10" ht="11.25" customHeight="1" x14ac:dyDescent="0.2">
      <c r="A1372" s="28">
        <v>44287</v>
      </c>
      <c r="B1372" s="18">
        <v>0</v>
      </c>
      <c r="C1372" s="18">
        <v>0</v>
      </c>
      <c r="D1372" s="18">
        <v>6181.6950900000002</v>
      </c>
      <c r="E1372" s="18">
        <v>7595.0993323169523</v>
      </c>
      <c r="F1372" s="18">
        <v>0</v>
      </c>
      <c r="G1372" s="18">
        <v>0</v>
      </c>
      <c r="H1372" s="19">
        <v>0.22864347427995702</v>
      </c>
      <c r="I1372" s="19">
        <v>0</v>
      </c>
      <c r="J1372" s="19">
        <v>0.22864347427995702</v>
      </c>
    </row>
    <row r="1373" spans="1:10" ht="11.25" customHeight="1" x14ac:dyDescent="0.2">
      <c r="A1373" s="28">
        <v>44317</v>
      </c>
      <c r="B1373" s="18">
        <v>0</v>
      </c>
      <c r="C1373" s="18">
        <v>0</v>
      </c>
      <c r="D1373" s="18">
        <v>5817.1456199999993</v>
      </c>
      <c r="E1373" s="18">
        <v>7147.1980049492349</v>
      </c>
      <c r="F1373" s="18">
        <v>0</v>
      </c>
      <c r="G1373" s="18">
        <v>0</v>
      </c>
      <c r="H1373" s="19">
        <v>0.22864347427995724</v>
      </c>
      <c r="I1373" s="19">
        <v>0</v>
      </c>
      <c r="J1373" s="19">
        <v>0.22864347427995724</v>
      </c>
    </row>
    <row r="1374" spans="1:10" ht="11.25" customHeight="1" x14ac:dyDescent="0.2">
      <c r="A1374" s="28">
        <v>44348</v>
      </c>
      <c r="B1374" s="18">
        <v>0</v>
      </c>
      <c r="C1374" s="18">
        <v>0</v>
      </c>
      <c r="D1374" s="18">
        <v>9138.7701899999993</v>
      </c>
      <c r="E1374" s="18">
        <v>11228.290356887705</v>
      </c>
      <c r="F1374" s="18">
        <v>0</v>
      </c>
      <c r="G1374" s="18">
        <v>0</v>
      </c>
      <c r="H1374" s="19">
        <v>0.22864347427995724</v>
      </c>
      <c r="I1374" s="19">
        <v>0</v>
      </c>
      <c r="J1374" s="19">
        <v>0.22864347427995724</v>
      </c>
    </row>
    <row r="1375" spans="1:10" ht="11.25" customHeight="1" x14ac:dyDescent="0.2">
      <c r="A1375" s="28">
        <v>44378</v>
      </c>
      <c r="B1375" s="18">
        <v>0</v>
      </c>
      <c r="C1375" s="18">
        <v>0</v>
      </c>
      <c r="D1375" s="18">
        <v>41148.716999999997</v>
      </c>
      <c r="E1375" s="18">
        <v>50557.102617042736</v>
      </c>
      <c r="F1375" s="18">
        <v>0</v>
      </c>
      <c r="G1375" s="18">
        <v>0</v>
      </c>
      <c r="H1375" s="19">
        <v>0.22864347427995724</v>
      </c>
      <c r="I1375" s="19">
        <v>0</v>
      </c>
      <c r="J1375" s="19">
        <v>0.22864347427995724</v>
      </c>
    </row>
    <row r="1376" spans="1:10" ht="11.25" customHeight="1" x14ac:dyDescent="0.2">
      <c r="A1376" s="28">
        <v>44409</v>
      </c>
      <c r="B1376" s="18">
        <v>0</v>
      </c>
      <c r="C1376" s="18">
        <v>0</v>
      </c>
      <c r="D1376" s="18">
        <v>32261.845799999999</v>
      </c>
      <c r="E1376" s="18">
        <v>39638.306310396241</v>
      </c>
      <c r="F1376" s="18">
        <v>0</v>
      </c>
      <c r="G1376" s="18">
        <v>0</v>
      </c>
      <c r="H1376" s="19">
        <v>0.22864347427995702</v>
      </c>
      <c r="I1376" s="19">
        <v>0</v>
      </c>
      <c r="J1376" s="19">
        <v>0.22864347427995702</v>
      </c>
    </row>
    <row r="1377" spans="1:10" ht="11.25" customHeight="1" x14ac:dyDescent="0.2">
      <c r="A1377" s="28">
        <v>44440</v>
      </c>
      <c r="B1377" s="18">
        <v>0</v>
      </c>
      <c r="C1377" s="18">
        <v>0</v>
      </c>
      <c r="D1377" s="18">
        <v>17872.311569999998</v>
      </c>
      <c r="E1377" s="18">
        <v>21958.698980778674</v>
      </c>
      <c r="F1377" s="18">
        <v>0</v>
      </c>
      <c r="G1377" s="18">
        <v>0</v>
      </c>
      <c r="H1377" s="19">
        <v>0.22864347427995724</v>
      </c>
      <c r="I1377" s="19">
        <v>0</v>
      </c>
      <c r="J1377" s="19">
        <v>0.22864347427995724</v>
      </c>
    </row>
    <row r="1378" spans="1:10" ht="11.25" customHeight="1" x14ac:dyDescent="0.2">
      <c r="A1378" s="28">
        <v>44470</v>
      </c>
      <c r="B1378" s="18">
        <v>0</v>
      </c>
      <c r="C1378" s="18">
        <v>0</v>
      </c>
      <c r="D1378" s="18">
        <v>24446.71875</v>
      </c>
      <c r="E1378" s="18">
        <v>30036.301459744969</v>
      </c>
      <c r="F1378" s="18">
        <v>0</v>
      </c>
      <c r="G1378" s="18">
        <v>0</v>
      </c>
      <c r="H1378" s="19">
        <v>0.22864347427995702</v>
      </c>
      <c r="I1378" s="19">
        <v>0</v>
      </c>
      <c r="J1378" s="19">
        <v>0.22864347427995702</v>
      </c>
    </row>
    <row r="1379" spans="1:10" ht="11.25" customHeight="1" x14ac:dyDescent="0.2">
      <c r="A1379" s="28">
        <v>44501</v>
      </c>
      <c r="B1379" s="18">
        <v>0</v>
      </c>
      <c r="C1379" s="18">
        <v>0</v>
      </c>
      <c r="D1379" s="18">
        <v>11657.760089999998</v>
      </c>
      <c r="E1379" s="18">
        <v>14323.230859299823</v>
      </c>
      <c r="F1379" s="18">
        <v>0</v>
      </c>
      <c r="G1379" s="18">
        <v>0</v>
      </c>
      <c r="H1379" s="19">
        <v>0.22864347427995724</v>
      </c>
      <c r="I1379" s="19">
        <v>0</v>
      </c>
      <c r="J1379" s="19">
        <v>0.22864347427995724</v>
      </c>
    </row>
    <row r="1380" spans="1:10" ht="11.25" customHeight="1" x14ac:dyDescent="0.2">
      <c r="A1380" s="28">
        <v>44531</v>
      </c>
      <c r="B1380" s="18">
        <v>0</v>
      </c>
      <c r="C1380" s="18">
        <v>0</v>
      </c>
      <c r="D1380" s="18">
        <v>25847.0268</v>
      </c>
      <c r="E1380" s="18">
        <v>31756.780807359159</v>
      </c>
      <c r="F1380" s="18">
        <v>0</v>
      </c>
      <c r="G1380" s="18">
        <v>0</v>
      </c>
      <c r="H1380" s="19">
        <v>0.22864347427995702</v>
      </c>
      <c r="I1380" s="19">
        <v>0</v>
      </c>
      <c r="J1380" s="19">
        <v>0.22864347427995702</v>
      </c>
    </row>
    <row r="1381" spans="1:10" ht="11.25" customHeight="1" x14ac:dyDescent="0.2">
      <c r="A1381" s="28">
        <v>44562</v>
      </c>
      <c r="B1381" s="18">
        <v>0</v>
      </c>
      <c r="C1381" s="18">
        <v>0</v>
      </c>
      <c r="D1381" s="18">
        <v>32197.697609999999</v>
      </c>
      <c r="E1381" s="18">
        <v>39559.49105536587</v>
      </c>
      <c r="F1381" s="18">
        <v>0</v>
      </c>
      <c r="G1381" s="18">
        <v>0</v>
      </c>
      <c r="H1381" s="19">
        <v>0.22864347427995702</v>
      </c>
      <c r="I1381" s="19">
        <v>0</v>
      </c>
      <c r="J1381" s="19">
        <v>0.22864347427995702</v>
      </c>
    </row>
    <row r="1382" spans="1:10" ht="11.25" customHeight="1" x14ac:dyDescent="0.2">
      <c r="A1382" s="28">
        <v>44593</v>
      </c>
      <c r="B1382" s="18">
        <v>0</v>
      </c>
      <c r="C1382" s="18">
        <v>0</v>
      </c>
      <c r="D1382" s="18">
        <v>7154.870069999999</v>
      </c>
      <c r="E1382" s="18">
        <v>8790.7844208264796</v>
      </c>
      <c r="F1382" s="18">
        <v>0</v>
      </c>
      <c r="G1382" s="18">
        <v>0</v>
      </c>
      <c r="H1382" s="19">
        <v>0.22864347427995724</v>
      </c>
      <c r="I1382" s="19">
        <v>0</v>
      </c>
      <c r="J1382" s="19">
        <v>0.22864347427995724</v>
      </c>
    </row>
    <row r="1383" spans="1:10" ht="11.25" customHeight="1" x14ac:dyDescent="0.2">
      <c r="A1383" s="28">
        <v>44621</v>
      </c>
      <c r="B1383" s="18">
        <v>0</v>
      </c>
      <c r="C1383" s="18">
        <v>0</v>
      </c>
      <c r="D1383" s="18">
        <v>7154.870069999999</v>
      </c>
      <c r="E1383" s="18">
        <v>8790.7844208264796</v>
      </c>
      <c r="F1383" s="18">
        <v>0</v>
      </c>
      <c r="G1383" s="18">
        <v>0</v>
      </c>
      <c r="H1383" s="19">
        <v>0.22864347427995724</v>
      </c>
      <c r="I1383" s="19">
        <v>0</v>
      </c>
      <c r="J1383" s="19">
        <v>0.22864347427995724</v>
      </c>
    </row>
    <row r="1384" spans="1:10" ht="11.25" customHeight="1" x14ac:dyDescent="0.2">
      <c r="A1384" s="23" t="s">
        <v>38</v>
      </c>
      <c r="B1384" s="18">
        <v>3706829.8878542641</v>
      </c>
      <c r="C1384" s="18">
        <v>4236662.1027709432</v>
      </c>
      <c r="D1384" s="18">
        <v>9956402.8726948965</v>
      </c>
      <c r="E1384" s="18">
        <v>12555502.407842176</v>
      </c>
      <c r="F1384" s="18">
        <v>0</v>
      </c>
      <c r="G1384" s="18">
        <v>0</v>
      </c>
      <c r="H1384" s="19">
        <v>0.22900376542646272</v>
      </c>
      <c r="I1384" s="19">
        <v>0</v>
      </c>
      <c r="J1384" s="19">
        <v>0.22900376542646272</v>
      </c>
    </row>
    <row r="1385" spans="1:10" ht="11.25" customHeight="1" x14ac:dyDescent="0.2">
      <c r="A1385" s="24" t="s">
        <v>25</v>
      </c>
      <c r="B1385" s="18">
        <v>3706829.8878542641</v>
      </c>
      <c r="C1385" s="18">
        <v>4236662.1027709432</v>
      </c>
      <c r="D1385" s="18">
        <v>9956402.8726948965</v>
      </c>
      <c r="E1385" s="18">
        <v>12555502.407842176</v>
      </c>
      <c r="F1385" s="18">
        <v>0</v>
      </c>
      <c r="G1385" s="18">
        <v>0</v>
      </c>
      <c r="H1385" s="19">
        <v>0.22900376542646272</v>
      </c>
      <c r="I1385" s="19">
        <v>0</v>
      </c>
      <c r="J1385" s="19">
        <v>0.22900376542646272</v>
      </c>
    </row>
    <row r="1386" spans="1:10" ht="11.25" customHeight="1" x14ac:dyDescent="0.2">
      <c r="A1386" s="25" t="s">
        <v>60</v>
      </c>
      <c r="B1386" s="18">
        <v>3689350.997854264</v>
      </c>
      <c r="C1386" s="18">
        <v>4216684.8842036333</v>
      </c>
      <c r="D1386" s="18">
        <v>9946968.1831948981</v>
      </c>
      <c r="E1386" s="18">
        <v>12543487.825129438</v>
      </c>
      <c r="F1386" s="18">
        <v>0</v>
      </c>
      <c r="G1386" s="18">
        <v>0</v>
      </c>
      <c r="H1386" s="19">
        <v>0.22908333889875721</v>
      </c>
      <c r="I1386" s="19">
        <v>0</v>
      </c>
      <c r="J1386" s="19">
        <v>0.22908333889875721</v>
      </c>
    </row>
    <row r="1387" spans="1:10" ht="11.25" customHeight="1" x14ac:dyDescent="0.2">
      <c r="A1387" s="26" t="s">
        <v>25</v>
      </c>
      <c r="B1387" s="18">
        <v>3689350.997854264</v>
      </c>
      <c r="C1387" s="18">
        <v>4216684.8842036333</v>
      </c>
      <c r="D1387" s="18">
        <v>9946968.1831948981</v>
      </c>
      <c r="E1387" s="18">
        <v>12543487.825129438</v>
      </c>
      <c r="F1387" s="18">
        <v>0</v>
      </c>
      <c r="G1387" s="18">
        <v>0</v>
      </c>
      <c r="H1387" s="19">
        <v>0.22908333889875721</v>
      </c>
      <c r="I1387" s="19">
        <v>0</v>
      </c>
      <c r="J1387" s="19">
        <v>0.22908333889875721</v>
      </c>
    </row>
    <row r="1388" spans="1:10" ht="11.25" customHeight="1" x14ac:dyDescent="0.2">
      <c r="A1388" s="27" t="s">
        <v>35</v>
      </c>
      <c r="B1388" s="18">
        <v>0</v>
      </c>
      <c r="C1388" s="18">
        <v>0</v>
      </c>
      <c r="D1388" s="18">
        <v>4353146.4624300003</v>
      </c>
      <c r="E1388" s="18">
        <v>5670675.2716261661</v>
      </c>
      <c r="F1388" s="18">
        <v>0</v>
      </c>
      <c r="G1388" s="18">
        <v>0</v>
      </c>
      <c r="H1388" s="19">
        <v>0.30266126365541557</v>
      </c>
      <c r="I1388" s="19">
        <v>0</v>
      </c>
      <c r="J1388" s="19">
        <v>0.30266126365541557</v>
      </c>
    </row>
    <row r="1389" spans="1:10" ht="11.25" customHeight="1" x14ac:dyDescent="0.2">
      <c r="A1389" s="28">
        <v>44287</v>
      </c>
      <c r="B1389" s="18">
        <v>0</v>
      </c>
      <c r="C1389" s="18">
        <v>0</v>
      </c>
      <c r="D1389" s="18">
        <v>315772.69905000005</v>
      </c>
      <c r="E1389" s="18">
        <v>411344.86317235423</v>
      </c>
      <c r="F1389" s="18">
        <v>0</v>
      </c>
      <c r="G1389" s="18">
        <v>0</v>
      </c>
      <c r="H1389" s="19">
        <v>0.30266126365541535</v>
      </c>
      <c r="I1389" s="19">
        <v>0</v>
      </c>
      <c r="J1389" s="19">
        <v>0.30266126365541535</v>
      </c>
    </row>
    <row r="1390" spans="1:10" ht="11.25" customHeight="1" x14ac:dyDescent="0.2">
      <c r="A1390" s="28">
        <v>44317</v>
      </c>
      <c r="B1390" s="18">
        <v>0</v>
      </c>
      <c r="C1390" s="18">
        <v>0</v>
      </c>
      <c r="D1390" s="18">
        <v>297274.02162000001</v>
      </c>
      <c r="E1390" s="18">
        <v>387247.35265543649</v>
      </c>
      <c r="F1390" s="18">
        <v>0</v>
      </c>
      <c r="G1390" s="18">
        <v>0</v>
      </c>
      <c r="H1390" s="19">
        <v>0.30266126365541535</v>
      </c>
      <c r="I1390" s="19">
        <v>0</v>
      </c>
      <c r="J1390" s="19">
        <v>0.30266126365541535</v>
      </c>
    </row>
    <row r="1391" spans="1:10" ht="11.25" customHeight="1" x14ac:dyDescent="0.2">
      <c r="A1391" s="28">
        <v>44348</v>
      </c>
      <c r="B1391" s="18">
        <v>0</v>
      </c>
      <c r="C1391" s="18">
        <v>0</v>
      </c>
      <c r="D1391" s="18">
        <v>292269.14676000003</v>
      </c>
      <c r="E1391" s="18">
        <v>380727.69604587165</v>
      </c>
      <c r="F1391" s="18">
        <v>0</v>
      </c>
      <c r="G1391" s="18">
        <v>0</v>
      </c>
      <c r="H1391" s="19">
        <v>0.30266126365541512</v>
      </c>
      <c r="I1391" s="19">
        <v>0</v>
      </c>
      <c r="J1391" s="19">
        <v>0.30266126365541512</v>
      </c>
    </row>
    <row r="1392" spans="1:10" ht="11.25" customHeight="1" x14ac:dyDescent="0.2">
      <c r="A1392" s="28">
        <v>44378</v>
      </c>
      <c r="B1392" s="18">
        <v>0</v>
      </c>
      <c r="C1392" s="18">
        <v>0</v>
      </c>
      <c r="D1392" s="18">
        <v>277320.04524000001</v>
      </c>
      <c r="E1392" s="18">
        <v>361254.08056931535</v>
      </c>
      <c r="F1392" s="18">
        <v>0</v>
      </c>
      <c r="G1392" s="18">
        <v>0</v>
      </c>
      <c r="H1392" s="19">
        <v>0.30266126365541535</v>
      </c>
      <c r="I1392" s="19">
        <v>0</v>
      </c>
      <c r="J1392" s="19">
        <v>0.30266126365541535</v>
      </c>
    </row>
    <row r="1393" spans="1:10" ht="11.25" customHeight="1" x14ac:dyDescent="0.2">
      <c r="A1393" s="28">
        <v>44409</v>
      </c>
      <c r="B1393" s="18">
        <v>0</v>
      </c>
      <c r="C1393" s="18">
        <v>0</v>
      </c>
      <c r="D1393" s="18">
        <v>288214.71516000002</v>
      </c>
      <c r="E1393" s="18">
        <v>375446.1450544112</v>
      </c>
      <c r="F1393" s="18">
        <v>0</v>
      </c>
      <c r="G1393" s="18">
        <v>0</v>
      </c>
      <c r="H1393" s="19">
        <v>0.30266126365541535</v>
      </c>
      <c r="I1393" s="19">
        <v>0</v>
      </c>
      <c r="J1393" s="19">
        <v>0.30266126365541535</v>
      </c>
    </row>
    <row r="1394" spans="1:10" ht="11.25" customHeight="1" x14ac:dyDescent="0.2">
      <c r="A1394" s="28">
        <v>44440</v>
      </c>
      <c r="B1394" s="18">
        <v>0</v>
      </c>
      <c r="C1394" s="18">
        <v>0</v>
      </c>
      <c r="D1394" s="18">
        <v>365804.16966000001</v>
      </c>
      <c r="E1394" s="18">
        <v>476518.92189971555</v>
      </c>
      <c r="F1394" s="18">
        <v>0</v>
      </c>
      <c r="G1394" s="18">
        <v>0</v>
      </c>
      <c r="H1394" s="19">
        <v>0.30266126365541535</v>
      </c>
      <c r="I1394" s="19">
        <v>0</v>
      </c>
      <c r="J1394" s="19">
        <v>0.30266126365541535</v>
      </c>
    </row>
    <row r="1395" spans="1:10" ht="11.25" customHeight="1" x14ac:dyDescent="0.2">
      <c r="A1395" s="28">
        <v>44470</v>
      </c>
      <c r="B1395" s="18">
        <v>0</v>
      </c>
      <c r="C1395" s="18">
        <v>0</v>
      </c>
      <c r="D1395" s="18">
        <v>374722.58616000001</v>
      </c>
      <c r="E1395" s="18">
        <v>488136.59760741086</v>
      </c>
      <c r="F1395" s="18">
        <v>0</v>
      </c>
      <c r="G1395" s="18">
        <v>0</v>
      </c>
      <c r="H1395" s="19">
        <v>0.30266126365541535</v>
      </c>
      <c r="I1395" s="19">
        <v>0</v>
      </c>
      <c r="J1395" s="19">
        <v>0.30266126365541535</v>
      </c>
    </row>
    <row r="1396" spans="1:10" ht="11.25" customHeight="1" x14ac:dyDescent="0.2">
      <c r="A1396" s="28">
        <v>44501</v>
      </c>
      <c r="B1396" s="18">
        <v>0</v>
      </c>
      <c r="C1396" s="18">
        <v>0</v>
      </c>
      <c r="D1396" s="18">
        <v>419523.49137000006</v>
      </c>
      <c r="E1396" s="18">
        <v>546497.00140117598</v>
      </c>
      <c r="F1396" s="18">
        <v>0</v>
      </c>
      <c r="G1396" s="18">
        <v>0</v>
      </c>
      <c r="H1396" s="19">
        <v>0.30266126365541535</v>
      </c>
      <c r="I1396" s="19">
        <v>0</v>
      </c>
      <c r="J1396" s="19">
        <v>0.30266126365541535</v>
      </c>
    </row>
    <row r="1397" spans="1:10" ht="11.25" customHeight="1" x14ac:dyDescent="0.2">
      <c r="A1397" s="28">
        <v>44531</v>
      </c>
      <c r="B1397" s="18">
        <v>0</v>
      </c>
      <c r="C1397" s="18">
        <v>0</v>
      </c>
      <c r="D1397" s="18">
        <v>405782.41359000001</v>
      </c>
      <c r="E1397" s="18">
        <v>528597.03165629378</v>
      </c>
      <c r="F1397" s="18">
        <v>0</v>
      </c>
      <c r="G1397" s="18">
        <v>0</v>
      </c>
      <c r="H1397" s="19">
        <v>0.30266126365541535</v>
      </c>
      <c r="I1397" s="19">
        <v>0</v>
      </c>
      <c r="J1397" s="19">
        <v>0.30266126365541535</v>
      </c>
    </row>
    <row r="1398" spans="1:10" ht="11.25" customHeight="1" x14ac:dyDescent="0.2">
      <c r="A1398" s="28">
        <v>44562</v>
      </c>
      <c r="B1398" s="18">
        <v>0</v>
      </c>
      <c r="C1398" s="18">
        <v>0</v>
      </c>
      <c r="D1398" s="18">
        <v>433193.25258000009</v>
      </c>
      <c r="E1398" s="18">
        <v>564304.06981286244</v>
      </c>
      <c r="F1398" s="18">
        <v>0</v>
      </c>
      <c r="G1398" s="18">
        <v>0</v>
      </c>
      <c r="H1398" s="19">
        <v>0.30266126365541535</v>
      </c>
      <c r="I1398" s="19">
        <v>0</v>
      </c>
      <c r="J1398" s="19">
        <v>0.30266126365541535</v>
      </c>
    </row>
    <row r="1399" spans="1:10" ht="11.25" customHeight="1" x14ac:dyDescent="0.2">
      <c r="A1399" s="28">
        <v>44593</v>
      </c>
      <c r="B1399" s="18">
        <v>0</v>
      </c>
      <c r="C1399" s="18">
        <v>0</v>
      </c>
      <c r="D1399" s="18">
        <v>441634.96062000009</v>
      </c>
      <c r="E1399" s="18">
        <v>575300.75587565883</v>
      </c>
      <c r="F1399" s="18">
        <v>0</v>
      </c>
      <c r="G1399" s="18">
        <v>0</v>
      </c>
      <c r="H1399" s="19">
        <v>0.30266126365541512</v>
      </c>
      <c r="I1399" s="19">
        <v>0</v>
      </c>
      <c r="J1399" s="19">
        <v>0.30266126365541512</v>
      </c>
    </row>
    <row r="1400" spans="1:10" ht="11.25" customHeight="1" x14ac:dyDescent="0.2">
      <c r="A1400" s="28">
        <v>44621</v>
      </c>
      <c r="B1400" s="18">
        <v>0</v>
      </c>
      <c r="C1400" s="18">
        <v>0</v>
      </c>
      <c r="D1400" s="18">
        <v>441634.96062000009</v>
      </c>
      <c r="E1400" s="18">
        <v>575300.75587565883</v>
      </c>
      <c r="F1400" s="18">
        <v>0</v>
      </c>
      <c r="G1400" s="18">
        <v>0</v>
      </c>
      <c r="H1400" s="19">
        <v>0.30266126365541512</v>
      </c>
      <c r="I1400" s="19">
        <v>0</v>
      </c>
      <c r="J1400" s="19">
        <v>0.30266126365541512</v>
      </c>
    </row>
    <row r="1401" spans="1:10" ht="11.25" customHeight="1" x14ac:dyDescent="0.2">
      <c r="A1401" s="27" t="s">
        <v>25</v>
      </c>
      <c r="B1401" s="18">
        <v>3689350.997854264</v>
      </c>
      <c r="C1401" s="18">
        <v>4216684.8842036333</v>
      </c>
      <c r="D1401" s="18">
        <v>0</v>
      </c>
      <c r="E1401" s="18">
        <v>0</v>
      </c>
      <c r="F1401" s="18">
        <v>0</v>
      </c>
      <c r="G1401" s="18">
        <v>0</v>
      </c>
      <c r="H1401" s="19">
        <v>0.14293405172239448</v>
      </c>
      <c r="I1401" s="19">
        <v>0</v>
      </c>
      <c r="J1401" s="19">
        <v>0.14293405172239448</v>
      </c>
    </row>
    <row r="1402" spans="1:10" ht="11.25" customHeight="1" x14ac:dyDescent="0.2">
      <c r="A1402" s="28">
        <v>44287</v>
      </c>
      <c r="B1402" s="18">
        <v>258709.72705050325</v>
      </c>
      <c r="C1402" s="18">
        <v>295688.15655782644</v>
      </c>
      <c r="D1402" s="18">
        <v>0</v>
      </c>
      <c r="E1402" s="18">
        <v>0</v>
      </c>
      <c r="F1402" s="18">
        <v>0</v>
      </c>
      <c r="G1402" s="18">
        <v>0</v>
      </c>
      <c r="H1402" s="19">
        <v>0.14293405172239448</v>
      </c>
      <c r="I1402" s="19">
        <v>0</v>
      </c>
      <c r="J1402" s="19">
        <v>0.14293405172239448</v>
      </c>
    </row>
    <row r="1403" spans="1:10" ht="11.25" customHeight="1" x14ac:dyDescent="0.2">
      <c r="A1403" s="28">
        <v>44317</v>
      </c>
      <c r="B1403" s="18">
        <v>306997.19515436399</v>
      </c>
      <c r="C1403" s="18">
        <v>350877.54812518787</v>
      </c>
      <c r="D1403" s="18">
        <v>0</v>
      </c>
      <c r="E1403" s="18">
        <v>0</v>
      </c>
      <c r="F1403" s="18">
        <v>0</v>
      </c>
      <c r="G1403" s="18">
        <v>0</v>
      </c>
      <c r="H1403" s="19">
        <v>0.14293405172239448</v>
      </c>
      <c r="I1403" s="19">
        <v>0</v>
      </c>
      <c r="J1403" s="19">
        <v>0.14293405172239448</v>
      </c>
    </row>
    <row r="1404" spans="1:10" ht="11.25" customHeight="1" x14ac:dyDescent="0.2">
      <c r="A1404" s="28">
        <v>44348</v>
      </c>
      <c r="B1404" s="18">
        <v>313230.05784487556</v>
      </c>
      <c r="C1404" s="18">
        <v>358001.29913388361</v>
      </c>
      <c r="D1404" s="18">
        <v>0</v>
      </c>
      <c r="E1404" s="18">
        <v>0</v>
      </c>
      <c r="F1404" s="18">
        <v>0</v>
      </c>
      <c r="G1404" s="18">
        <v>0</v>
      </c>
      <c r="H1404" s="19">
        <v>0.14293405172239448</v>
      </c>
      <c r="I1404" s="19">
        <v>0</v>
      </c>
      <c r="J1404" s="19">
        <v>0.14293405172239448</v>
      </c>
    </row>
    <row r="1405" spans="1:10" ht="11.25" customHeight="1" x14ac:dyDescent="0.2">
      <c r="A1405" s="28">
        <v>44378</v>
      </c>
      <c r="B1405" s="18">
        <v>273809.50538341398</v>
      </c>
      <c r="C1405" s="18">
        <v>312946.20738797006</v>
      </c>
      <c r="D1405" s="18">
        <v>0</v>
      </c>
      <c r="E1405" s="18">
        <v>0</v>
      </c>
      <c r="F1405" s="18">
        <v>0</v>
      </c>
      <c r="G1405" s="18">
        <v>0</v>
      </c>
      <c r="H1405" s="19">
        <v>0.14293405172239426</v>
      </c>
      <c r="I1405" s="19">
        <v>0</v>
      </c>
      <c r="J1405" s="19">
        <v>0.14293405172239426</v>
      </c>
    </row>
    <row r="1406" spans="1:10" ht="11.25" customHeight="1" x14ac:dyDescent="0.2">
      <c r="A1406" s="28">
        <v>44409</v>
      </c>
      <c r="B1406" s="18">
        <v>256058.36175399477</v>
      </c>
      <c r="C1406" s="18">
        <v>292657.82087689184</v>
      </c>
      <c r="D1406" s="18">
        <v>0</v>
      </c>
      <c r="E1406" s="18">
        <v>0</v>
      </c>
      <c r="F1406" s="18">
        <v>0</v>
      </c>
      <c r="G1406" s="18">
        <v>0</v>
      </c>
      <c r="H1406" s="19">
        <v>0.14293405172239448</v>
      </c>
      <c r="I1406" s="19">
        <v>0</v>
      </c>
      <c r="J1406" s="19">
        <v>0.14293405172239448</v>
      </c>
    </row>
    <row r="1407" spans="1:10" ht="11.25" customHeight="1" x14ac:dyDescent="0.2">
      <c r="A1407" s="28">
        <v>44440</v>
      </c>
      <c r="B1407" s="18">
        <v>292872.92637602997</v>
      </c>
      <c r="C1407" s="18">
        <v>334734.44038275047</v>
      </c>
      <c r="D1407" s="18">
        <v>0</v>
      </c>
      <c r="E1407" s="18">
        <v>0</v>
      </c>
      <c r="F1407" s="18">
        <v>0</v>
      </c>
      <c r="G1407" s="18">
        <v>0</v>
      </c>
      <c r="H1407" s="19">
        <v>0.14293405172239448</v>
      </c>
      <c r="I1407" s="19">
        <v>0</v>
      </c>
      <c r="J1407" s="19">
        <v>0.14293405172239448</v>
      </c>
    </row>
    <row r="1408" spans="1:10" ht="11.25" customHeight="1" x14ac:dyDescent="0.2">
      <c r="A1408" s="28">
        <v>44470</v>
      </c>
      <c r="B1408" s="18">
        <v>292861.41128038079</v>
      </c>
      <c r="C1408" s="18">
        <v>334721.27938782412</v>
      </c>
      <c r="D1408" s="18">
        <v>0</v>
      </c>
      <c r="E1408" s="18">
        <v>0</v>
      </c>
      <c r="F1408" s="18">
        <v>0</v>
      </c>
      <c r="G1408" s="18">
        <v>0</v>
      </c>
      <c r="H1408" s="19">
        <v>0.14293405172239426</v>
      </c>
      <c r="I1408" s="19">
        <v>0</v>
      </c>
      <c r="J1408" s="19">
        <v>0.14293405172239426</v>
      </c>
    </row>
    <row r="1409" spans="1:10" ht="11.25" customHeight="1" x14ac:dyDescent="0.2">
      <c r="A1409" s="28">
        <v>44501</v>
      </c>
      <c r="B1409" s="18">
        <v>317478.95447267999</v>
      </c>
      <c r="C1409" s="18">
        <v>362857.50777204969</v>
      </c>
      <c r="D1409" s="18">
        <v>0</v>
      </c>
      <c r="E1409" s="18">
        <v>0</v>
      </c>
      <c r="F1409" s="18">
        <v>0</v>
      </c>
      <c r="G1409" s="18">
        <v>0</v>
      </c>
      <c r="H1409" s="19">
        <v>0.14293405172239426</v>
      </c>
      <c r="I1409" s="19">
        <v>0</v>
      </c>
      <c r="J1409" s="19">
        <v>0.14293405172239426</v>
      </c>
    </row>
    <row r="1410" spans="1:10" ht="11.25" customHeight="1" x14ac:dyDescent="0.2">
      <c r="A1410" s="28">
        <v>44531</v>
      </c>
      <c r="B1410" s="18">
        <v>321825.87570500508</v>
      </c>
      <c r="C1410" s="18">
        <v>367825.75206862914</v>
      </c>
      <c r="D1410" s="18">
        <v>0</v>
      </c>
      <c r="E1410" s="18">
        <v>0</v>
      </c>
      <c r="F1410" s="18">
        <v>0</v>
      </c>
      <c r="G1410" s="18">
        <v>0</v>
      </c>
      <c r="H1410" s="19">
        <v>0.14293405172239448</v>
      </c>
      <c r="I1410" s="19">
        <v>0</v>
      </c>
      <c r="J1410" s="19">
        <v>0.14293405172239448</v>
      </c>
    </row>
    <row r="1411" spans="1:10" ht="11.25" customHeight="1" x14ac:dyDescent="0.2">
      <c r="A1411" s="28">
        <v>44562</v>
      </c>
      <c r="B1411" s="18">
        <v>343803.40177669202</v>
      </c>
      <c r="C1411" s="18">
        <v>392944.6149885768</v>
      </c>
      <c r="D1411" s="18">
        <v>0</v>
      </c>
      <c r="E1411" s="18">
        <v>0</v>
      </c>
      <c r="F1411" s="18">
        <v>0</v>
      </c>
      <c r="G1411" s="18">
        <v>0</v>
      </c>
      <c r="H1411" s="19">
        <v>0.14293405172239426</v>
      </c>
      <c r="I1411" s="19">
        <v>0</v>
      </c>
      <c r="J1411" s="19">
        <v>0.14293405172239426</v>
      </c>
    </row>
    <row r="1412" spans="1:10" ht="11.25" customHeight="1" x14ac:dyDescent="0.2">
      <c r="A1412" s="28">
        <v>44593</v>
      </c>
      <c r="B1412" s="18">
        <v>355851.7905281625</v>
      </c>
      <c r="C1412" s="18">
        <v>406715.12876102154</v>
      </c>
      <c r="D1412" s="18">
        <v>0</v>
      </c>
      <c r="E1412" s="18">
        <v>0</v>
      </c>
      <c r="F1412" s="18">
        <v>0</v>
      </c>
      <c r="G1412" s="18">
        <v>0</v>
      </c>
      <c r="H1412" s="19">
        <v>0.14293405172239448</v>
      </c>
      <c r="I1412" s="19">
        <v>0</v>
      </c>
      <c r="J1412" s="19">
        <v>0.14293405172239448</v>
      </c>
    </row>
    <row r="1413" spans="1:10" ht="11.25" customHeight="1" x14ac:dyDescent="0.2">
      <c r="A1413" s="28">
        <v>44621</v>
      </c>
      <c r="B1413" s="18">
        <v>355851.7905281625</v>
      </c>
      <c r="C1413" s="18">
        <v>406715.12876102154</v>
      </c>
      <c r="D1413" s="18">
        <v>0</v>
      </c>
      <c r="E1413" s="18">
        <v>0</v>
      </c>
      <c r="F1413" s="18">
        <v>0</v>
      </c>
      <c r="G1413" s="18">
        <v>0</v>
      </c>
      <c r="H1413" s="19">
        <v>0.14293405172239448</v>
      </c>
      <c r="I1413" s="19">
        <v>0</v>
      </c>
      <c r="J1413" s="19">
        <v>0.14293405172239448</v>
      </c>
    </row>
    <row r="1414" spans="1:10" ht="11.25" customHeight="1" x14ac:dyDescent="0.2">
      <c r="A1414" s="27" t="s">
        <v>34</v>
      </c>
      <c r="B1414" s="18">
        <v>0</v>
      </c>
      <c r="C1414" s="18">
        <v>0</v>
      </c>
      <c r="D1414" s="18">
        <v>5593821.7207648978</v>
      </c>
      <c r="E1414" s="18">
        <v>6872812.5535032731</v>
      </c>
      <c r="F1414" s="18">
        <v>0</v>
      </c>
      <c r="G1414" s="18">
        <v>0</v>
      </c>
      <c r="H1414" s="19">
        <v>0.22864347427995724</v>
      </c>
      <c r="I1414" s="19">
        <v>0</v>
      </c>
      <c r="J1414" s="19">
        <v>0.22864347427995724</v>
      </c>
    </row>
    <row r="1415" spans="1:10" ht="11.25" customHeight="1" x14ac:dyDescent="0.2">
      <c r="A1415" s="28">
        <v>44287</v>
      </c>
      <c r="B1415" s="18">
        <v>0</v>
      </c>
      <c r="C1415" s="18">
        <v>0</v>
      </c>
      <c r="D1415" s="18">
        <v>447394.49726482027</v>
      </c>
      <c r="E1415" s="18">
        <v>549688.32949318353</v>
      </c>
      <c r="F1415" s="18">
        <v>0</v>
      </c>
      <c r="G1415" s="18">
        <v>0</v>
      </c>
      <c r="H1415" s="19">
        <v>0.22864347427995702</v>
      </c>
      <c r="I1415" s="19">
        <v>0</v>
      </c>
      <c r="J1415" s="19">
        <v>0.22864347427995702</v>
      </c>
    </row>
    <row r="1416" spans="1:10" ht="11.25" customHeight="1" x14ac:dyDescent="0.2">
      <c r="A1416" s="28">
        <v>44317</v>
      </c>
      <c r="B1416" s="18">
        <v>0</v>
      </c>
      <c r="C1416" s="18">
        <v>0</v>
      </c>
      <c r="D1416" s="18">
        <v>398818.00020141923</v>
      </c>
      <c r="E1416" s="18">
        <v>490005.13337285636</v>
      </c>
      <c r="F1416" s="18">
        <v>0</v>
      </c>
      <c r="G1416" s="18">
        <v>0</v>
      </c>
      <c r="H1416" s="19">
        <v>0.22864347427995724</v>
      </c>
      <c r="I1416" s="19">
        <v>0</v>
      </c>
      <c r="J1416" s="19">
        <v>0.22864347427995724</v>
      </c>
    </row>
    <row r="1417" spans="1:10" ht="11.25" customHeight="1" x14ac:dyDescent="0.2">
      <c r="A1417" s="28">
        <v>44348</v>
      </c>
      <c r="B1417" s="18">
        <v>0</v>
      </c>
      <c r="C1417" s="18">
        <v>0</v>
      </c>
      <c r="D1417" s="18">
        <v>361121.00472815341</v>
      </c>
      <c r="E1417" s="18">
        <v>443688.96588466724</v>
      </c>
      <c r="F1417" s="18">
        <v>0</v>
      </c>
      <c r="G1417" s="18">
        <v>0</v>
      </c>
      <c r="H1417" s="19">
        <v>0.22864347427995724</v>
      </c>
      <c r="I1417" s="19">
        <v>0</v>
      </c>
      <c r="J1417" s="19">
        <v>0.22864347427995724</v>
      </c>
    </row>
    <row r="1418" spans="1:10" ht="11.25" customHeight="1" x14ac:dyDescent="0.2">
      <c r="A1418" s="28">
        <v>44378</v>
      </c>
      <c r="B1418" s="18">
        <v>0</v>
      </c>
      <c r="C1418" s="18">
        <v>0</v>
      </c>
      <c r="D1418" s="18">
        <v>363256.98629662476</v>
      </c>
      <c r="E1418" s="18">
        <v>446313.32569995179</v>
      </c>
      <c r="F1418" s="18">
        <v>0</v>
      </c>
      <c r="G1418" s="18">
        <v>0</v>
      </c>
      <c r="H1418" s="19">
        <v>0.22864347427995702</v>
      </c>
      <c r="I1418" s="19">
        <v>0</v>
      </c>
      <c r="J1418" s="19">
        <v>0.22864347427995702</v>
      </c>
    </row>
    <row r="1419" spans="1:10" ht="11.25" customHeight="1" x14ac:dyDescent="0.2">
      <c r="A1419" s="28">
        <v>44409</v>
      </c>
      <c r="B1419" s="18">
        <v>0</v>
      </c>
      <c r="C1419" s="18">
        <v>0</v>
      </c>
      <c r="D1419" s="18">
        <v>411353.78309992224</v>
      </c>
      <c r="E1419" s="18">
        <v>505407.14122609235</v>
      </c>
      <c r="F1419" s="18">
        <v>0</v>
      </c>
      <c r="G1419" s="18">
        <v>0</v>
      </c>
      <c r="H1419" s="19">
        <v>0.22864347427995702</v>
      </c>
      <c r="I1419" s="19">
        <v>0</v>
      </c>
      <c r="J1419" s="19">
        <v>0.22864347427995702</v>
      </c>
    </row>
    <row r="1420" spans="1:10" ht="11.25" customHeight="1" x14ac:dyDescent="0.2">
      <c r="A1420" s="28">
        <v>44440</v>
      </c>
      <c r="B1420" s="18">
        <v>0</v>
      </c>
      <c r="C1420" s="18">
        <v>0</v>
      </c>
      <c r="D1420" s="18">
        <v>477201.44270214305</v>
      </c>
      <c r="E1420" s="18">
        <v>586310.43849296891</v>
      </c>
      <c r="F1420" s="18">
        <v>0</v>
      </c>
      <c r="G1420" s="18">
        <v>0</v>
      </c>
      <c r="H1420" s="19">
        <v>0.22864347427995702</v>
      </c>
      <c r="I1420" s="19">
        <v>0</v>
      </c>
      <c r="J1420" s="19">
        <v>0.22864347427995702</v>
      </c>
    </row>
    <row r="1421" spans="1:10" ht="11.25" customHeight="1" x14ac:dyDescent="0.2">
      <c r="A1421" s="28">
        <v>44470</v>
      </c>
      <c r="B1421" s="18">
        <v>0</v>
      </c>
      <c r="C1421" s="18">
        <v>0</v>
      </c>
      <c r="D1421" s="18">
        <v>461014.46528009983</v>
      </c>
      <c r="E1421" s="18">
        <v>566422.4143150585</v>
      </c>
      <c r="F1421" s="18">
        <v>0</v>
      </c>
      <c r="G1421" s="18">
        <v>0</v>
      </c>
      <c r="H1421" s="19">
        <v>0.22864347427995702</v>
      </c>
      <c r="I1421" s="19">
        <v>0</v>
      </c>
      <c r="J1421" s="19">
        <v>0.22864347427995702</v>
      </c>
    </row>
    <row r="1422" spans="1:10" ht="11.25" customHeight="1" x14ac:dyDescent="0.2">
      <c r="A1422" s="28">
        <v>44501</v>
      </c>
      <c r="B1422" s="18">
        <v>0</v>
      </c>
      <c r="C1422" s="18">
        <v>0</v>
      </c>
      <c r="D1422" s="18">
        <v>472475.81351842755</v>
      </c>
      <c r="E1422" s="18">
        <v>580504.32503453002</v>
      </c>
      <c r="F1422" s="18">
        <v>0</v>
      </c>
      <c r="G1422" s="18">
        <v>0</v>
      </c>
      <c r="H1422" s="19">
        <v>0.22864347427995724</v>
      </c>
      <c r="I1422" s="19">
        <v>0</v>
      </c>
      <c r="J1422" s="19">
        <v>0.22864347427995724</v>
      </c>
    </row>
    <row r="1423" spans="1:10" ht="11.25" customHeight="1" x14ac:dyDescent="0.2">
      <c r="A1423" s="28">
        <v>44531</v>
      </c>
      <c r="B1423" s="18">
        <v>0</v>
      </c>
      <c r="C1423" s="18">
        <v>0</v>
      </c>
      <c r="D1423" s="18">
        <v>500595.5747131941</v>
      </c>
      <c r="E1423" s="18">
        <v>615053.48612479062</v>
      </c>
      <c r="F1423" s="18">
        <v>0</v>
      </c>
      <c r="G1423" s="18">
        <v>0</v>
      </c>
      <c r="H1423" s="19">
        <v>0.22864347427995702</v>
      </c>
      <c r="I1423" s="19">
        <v>0</v>
      </c>
      <c r="J1423" s="19">
        <v>0.22864347427995702</v>
      </c>
    </row>
    <row r="1424" spans="1:10" ht="11.25" customHeight="1" x14ac:dyDescent="0.2">
      <c r="A1424" s="28">
        <v>44562</v>
      </c>
      <c r="B1424" s="18">
        <v>0</v>
      </c>
      <c r="C1424" s="18">
        <v>0</v>
      </c>
      <c r="D1424" s="18">
        <v>605105.04988514818</v>
      </c>
      <c r="E1424" s="18">
        <v>743458.37079523527</v>
      </c>
      <c r="F1424" s="18">
        <v>0</v>
      </c>
      <c r="G1424" s="18">
        <v>0</v>
      </c>
      <c r="H1424" s="19">
        <v>0.22864347427995724</v>
      </c>
      <c r="I1424" s="19">
        <v>0</v>
      </c>
      <c r="J1424" s="19">
        <v>0.22864347427995724</v>
      </c>
    </row>
    <row r="1425" spans="1:10" ht="11.25" customHeight="1" x14ac:dyDescent="0.2">
      <c r="A1425" s="28">
        <v>44593</v>
      </c>
      <c r="B1425" s="18">
        <v>0</v>
      </c>
      <c r="C1425" s="18">
        <v>0</v>
      </c>
      <c r="D1425" s="18">
        <v>547742.5515374731</v>
      </c>
      <c r="E1425" s="18">
        <v>672980.31153196935</v>
      </c>
      <c r="F1425" s="18">
        <v>0</v>
      </c>
      <c r="G1425" s="18">
        <v>0</v>
      </c>
      <c r="H1425" s="19">
        <v>0.22864347427995702</v>
      </c>
      <c r="I1425" s="19">
        <v>0</v>
      </c>
      <c r="J1425" s="19">
        <v>0.22864347427995702</v>
      </c>
    </row>
    <row r="1426" spans="1:10" ht="11.25" customHeight="1" x14ac:dyDescent="0.2">
      <c r="A1426" s="28">
        <v>44621</v>
      </c>
      <c r="B1426" s="18">
        <v>0</v>
      </c>
      <c r="C1426" s="18">
        <v>0</v>
      </c>
      <c r="D1426" s="18">
        <v>547742.5515374731</v>
      </c>
      <c r="E1426" s="18">
        <v>672980.31153196935</v>
      </c>
      <c r="F1426" s="18">
        <v>0</v>
      </c>
      <c r="G1426" s="18">
        <v>0</v>
      </c>
      <c r="H1426" s="19">
        <v>0.22864347427995702</v>
      </c>
      <c r="I1426" s="19">
        <v>0</v>
      </c>
      <c r="J1426" s="19">
        <v>0.22864347427995702</v>
      </c>
    </row>
    <row r="1427" spans="1:10" ht="11.25" customHeight="1" x14ac:dyDescent="0.2">
      <c r="A1427" s="25" t="s">
        <v>25</v>
      </c>
      <c r="B1427" s="18">
        <v>17478.89</v>
      </c>
      <c r="C1427" s="18">
        <v>19977.218567310039</v>
      </c>
      <c r="D1427" s="18">
        <v>9434.6895000000004</v>
      </c>
      <c r="E1427" s="18">
        <v>12014.582712738582</v>
      </c>
      <c r="F1427" s="18">
        <v>0</v>
      </c>
      <c r="G1427" s="18">
        <v>0</v>
      </c>
      <c r="H1427" s="19">
        <v>0.1886862273391996</v>
      </c>
      <c r="I1427" s="19">
        <v>0</v>
      </c>
      <c r="J1427" s="19">
        <v>0.1886862273391996</v>
      </c>
    </row>
    <row r="1428" spans="1:10" ht="11.25" customHeight="1" x14ac:dyDescent="0.2">
      <c r="A1428" s="26" t="s">
        <v>25</v>
      </c>
      <c r="B1428" s="18">
        <v>17478.89</v>
      </c>
      <c r="C1428" s="18">
        <v>19977.218567310039</v>
      </c>
      <c r="D1428" s="18">
        <v>9434.6895000000004</v>
      </c>
      <c r="E1428" s="18">
        <v>12014.582712738582</v>
      </c>
      <c r="F1428" s="18">
        <v>0</v>
      </c>
      <c r="G1428" s="18">
        <v>0</v>
      </c>
      <c r="H1428" s="19">
        <v>0.1886862273391996</v>
      </c>
      <c r="I1428" s="19">
        <v>0</v>
      </c>
      <c r="J1428" s="19">
        <v>0.1886862273391996</v>
      </c>
    </row>
    <row r="1429" spans="1:10" ht="11.25" customHeight="1" x14ac:dyDescent="0.2">
      <c r="A1429" s="27" t="s">
        <v>35</v>
      </c>
      <c r="B1429" s="18">
        <v>0</v>
      </c>
      <c r="C1429" s="18">
        <v>0</v>
      </c>
      <c r="D1429" s="18">
        <v>5710.9653000000008</v>
      </c>
      <c r="E1429" s="18">
        <v>7439.4532743902282</v>
      </c>
      <c r="F1429" s="18">
        <v>0</v>
      </c>
      <c r="G1429" s="18">
        <v>0</v>
      </c>
      <c r="H1429" s="19">
        <v>0.30266126365541512</v>
      </c>
      <c r="I1429" s="19">
        <v>0</v>
      </c>
      <c r="J1429" s="19">
        <v>0.30266126365541512</v>
      </c>
    </row>
    <row r="1430" spans="1:10" ht="11.25" customHeight="1" x14ac:dyDescent="0.2">
      <c r="A1430" s="28">
        <v>44409</v>
      </c>
      <c r="B1430" s="18">
        <v>0</v>
      </c>
      <c r="C1430" s="18">
        <v>0</v>
      </c>
      <c r="D1430" s="18">
        <v>5710.9653000000008</v>
      </c>
      <c r="E1430" s="18">
        <v>7439.4532743902282</v>
      </c>
      <c r="F1430" s="18">
        <v>0</v>
      </c>
      <c r="G1430" s="18">
        <v>0</v>
      </c>
      <c r="H1430" s="19">
        <v>0.30266126365541512</v>
      </c>
      <c r="I1430" s="19">
        <v>0</v>
      </c>
      <c r="J1430" s="19">
        <v>0.30266126365541512</v>
      </c>
    </row>
    <row r="1431" spans="1:10" ht="11.25" customHeight="1" x14ac:dyDescent="0.2">
      <c r="A1431" s="27" t="s">
        <v>25</v>
      </c>
      <c r="B1431" s="18">
        <v>17478.89</v>
      </c>
      <c r="C1431" s="18">
        <v>19977.218567310039</v>
      </c>
      <c r="D1431" s="18">
        <v>0</v>
      </c>
      <c r="E1431" s="18">
        <v>0</v>
      </c>
      <c r="F1431" s="18">
        <v>0</v>
      </c>
      <c r="G1431" s="18">
        <v>0</v>
      </c>
      <c r="H1431" s="19">
        <v>0.14293405172239426</v>
      </c>
      <c r="I1431" s="19">
        <v>0</v>
      </c>
      <c r="J1431" s="19">
        <v>0.14293405172239426</v>
      </c>
    </row>
    <row r="1432" spans="1:10" ht="11.25" customHeight="1" x14ac:dyDescent="0.2">
      <c r="A1432" s="28">
        <v>44409</v>
      </c>
      <c r="B1432" s="18">
        <v>17478.89</v>
      </c>
      <c r="C1432" s="18">
        <v>19977.218567310039</v>
      </c>
      <c r="D1432" s="18">
        <v>0</v>
      </c>
      <c r="E1432" s="18">
        <v>0</v>
      </c>
      <c r="F1432" s="18">
        <v>0</v>
      </c>
      <c r="G1432" s="18">
        <v>0</v>
      </c>
      <c r="H1432" s="19">
        <v>0.14293405172239426</v>
      </c>
      <c r="I1432" s="19">
        <v>0</v>
      </c>
      <c r="J1432" s="19">
        <v>0.14293405172239426</v>
      </c>
    </row>
    <row r="1433" spans="1:10" ht="11.25" customHeight="1" x14ac:dyDescent="0.2">
      <c r="A1433" s="27" t="s">
        <v>34</v>
      </c>
      <c r="B1433" s="18">
        <v>0</v>
      </c>
      <c r="C1433" s="18">
        <v>0</v>
      </c>
      <c r="D1433" s="18">
        <v>3723.7241999999997</v>
      </c>
      <c r="E1433" s="18">
        <v>4575.1294383483537</v>
      </c>
      <c r="F1433" s="18">
        <v>0</v>
      </c>
      <c r="G1433" s="18">
        <v>0</v>
      </c>
      <c r="H1433" s="19">
        <v>0.22864347427995724</v>
      </c>
      <c r="I1433" s="19">
        <v>0</v>
      </c>
      <c r="J1433" s="19">
        <v>0.22864347427995724</v>
      </c>
    </row>
    <row r="1434" spans="1:10" ht="11.25" customHeight="1" x14ac:dyDescent="0.2">
      <c r="A1434" s="28">
        <v>44409</v>
      </c>
      <c r="B1434" s="18">
        <v>0</v>
      </c>
      <c r="C1434" s="18">
        <v>0</v>
      </c>
      <c r="D1434" s="18">
        <v>3723.7241999999997</v>
      </c>
      <c r="E1434" s="18">
        <v>4575.1294383483537</v>
      </c>
      <c r="F1434" s="18">
        <v>0</v>
      </c>
      <c r="G1434" s="18">
        <v>0</v>
      </c>
      <c r="H1434" s="19">
        <v>0.22864347427995724</v>
      </c>
      <c r="I1434" s="19">
        <v>0</v>
      </c>
      <c r="J1434" s="19">
        <v>0.22864347427995724</v>
      </c>
    </row>
    <row r="1435" spans="1:10" ht="11.25" customHeight="1" x14ac:dyDescent="0.2">
      <c r="A1435" s="20" t="s">
        <v>59</v>
      </c>
      <c r="B1435" s="18">
        <v>0</v>
      </c>
      <c r="C1435" s="18">
        <v>0</v>
      </c>
      <c r="D1435" s="18">
        <v>742565.17961999995</v>
      </c>
      <c r="E1435" s="18">
        <v>784608.35142392851</v>
      </c>
      <c r="F1435" s="18">
        <v>0</v>
      </c>
      <c r="G1435" s="18">
        <v>0</v>
      </c>
      <c r="H1435" s="19">
        <v>5.6618830181942803E-2</v>
      </c>
      <c r="I1435" s="19">
        <v>0</v>
      </c>
      <c r="J1435" s="19">
        <v>5.6618830181942803E-2</v>
      </c>
    </row>
    <row r="1436" spans="1:10" ht="11.25" customHeight="1" x14ac:dyDescent="0.2">
      <c r="A1436" s="21" t="s">
        <v>39</v>
      </c>
      <c r="B1436" s="18">
        <v>0</v>
      </c>
      <c r="C1436" s="18">
        <v>0</v>
      </c>
      <c r="D1436" s="18">
        <v>742565.17961999995</v>
      </c>
      <c r="E1436" s="18">
        <v>784608.35142392851</v>
      </c>
      <c r="F1436" s="18">
        <v>0</v>
      </c>
      <c r="G1436" s="18">
        <v>0</v>
      </c>
      <c r="H1436" s="19">
        <v>5.6618830181942803E-2</v>
      </c>
      <c r="I1436" s="19">
        <v>0</v>
      </c>
      <c r="J1436" s="19">
        <v>5.6618830181942803E-2</v>
      </c>
    </row>
    <row r="1437" spans="1:10" ht="11.25" customHeight="1" x14ac:dyDescent="0.2">
      <c r="A1437" s="22" t="s">
        <v>40</v>
      </c>
      <c r="B1437" s="18">
        <v>0</v>
      </c>
      <c r="C1437" s="18">
        <v>0</v>
      </c>
      <c r="D1437" s="18">
        <v>742565.17961999995</v>
      </c>
      <c r="E1437" s="18">
        <v>784608.35142392851</v>
      </c>
      <c r="F1437" s="18">
        <v>0</v>
      </c>
      <c r="G1437" s="18">
        <v>0</v>
      </c>
      <c r="H1437" s="19">
        <v>5.6618830181942803E-2</v>
      </c>
      <c r="I1437" s="19">
        <v>0</v>
      </c>
      <c r="J1437" s="19">
        <v>5.6618830181942803E-2</v>
      </c>
    </row>
    <row r="1438" spans="1:10" ht="11.25" customHeight="1" x14ac:dyDescent="0.2">
      <c r="A1438" s="23" t="s">
        <v>38</v>
      </c>
      <c r="B1438" s="18">
        <v>0</v>
      </c>
      <c r="C1438" s="18">
        <v>0</v>
      </c>
      <c r="D1438" s="18">
        <v>742565.17961999995</v>
      </c>
      <c r="E1438" s="18">
        <v>784608.35142392851</v>
      </c>
      <c r="F1438" s="18">
        <v>0</v>
      </c>
      <c r="G1438" s="18">
        <v>0</v>
      </c>
      <c r="H1438" s="19">
        <v>5.6618830181942803E-2</v>
      </c>
      <c r="I1438" s="19">
        <v>0</v>
      </c>
      <c r="J1438" s="19">
        <v>5.6618830181942803E-2</v>
      </c>
    </row>
    <row r="1439" spans="1:10" ht="11.25" customHeight="1" x14ac:dyDescent="0.2">
      <c r="A1439" s="24" t="s">
        <v>25</v>
      </c>
      <c r="B1439" s="18">
        <v>0</v>
      </c>
      <c r="C1439" s="18">
        <v>0</v>
      </c>
      <c r="D1439" s="18">
        <v>742565.17961999995</v>
      </c>
      <c r="E1439" s="18">
        <v>784608.35142392851</v>
      </c>
      <c r="F1439" s="18">
        <v>0</v>
      </c>
      <c r="G1439" s="18">
        <v>0</v>
      </c>
      <c r="H1439" s="19">
        <v>5.6618830181942803E-2</v>
      </c>
      <c r="I1439" s="19">
        <v>0</v>
      </c>
      <c r="J1439" s="19">
        <v>5.6618830181942803E-2</v>
      </c>
    </row>
    <row r="1440" spans="1:10" ht="11.25" customHeight="1" x14ac:dyDescent="0.2">
      <c r="A1440" s="25" t="s">
        <v>58</v>
      </c>
      <c r="B1440" s="18">
        <v>0</v>
      </c>
      <c r="C1440" s="18">
        <v>0</v>
      </c>
      <c r="D1440" s="18">
        <v>742565.17961999995</v>
      </c>
      <c r="E1440" s="18">
        <v>784608.35142392851</v>
      </c>
      <c r="F1440" s="18">
        <v>0</v>
      </c>
      <c r="G1440" s="18">
        <v>0</v>
      </c>
      <c r="H1440" s="19">
        <v>5.6618830181942803E-2</v>
      </c>
      <c r="I1440" s="19">
        <v>0</v>
      </c>
      <c r="J1440" s="19">
        <v>5.6618830181942803E-2</v>
      </c>
    </row>
    <row r="1441" spans="1:10" ht="11.25" customHeight="1" x14ac:dyDescent="0.2">
      <c r="A1441" s="26" t="s">
        <v>25</v>
      </c>
      <c r="B1441" s="18">
        <v>0</v>
      </c>
      <c r="C1441" s="18">
        <v>0</v>
      </c>
      <c r="D1441" s="18">
        <v>742565.17961999995</v>
      </c>
      <c r="E1441" s="18">
        <v>784608.35142392851</v>
      </c>
      <c r="F1441" s="18">
        <v>0</v>
      </c>
      <c r="G1441" s="18">
        <v>0</v>
      </c>
      <c r="H1441" s="19">
        <v>5.6618830181942803E-2</v>
      </c>
      <c r="I1441" s="19">
        <v>0</v>
      </c>
      <c r="J1441" s="19">
        <v>5.6618830181942803E-2</v>
      </c>
    </row>
    <row r="1442" spans="1:10" ht="11.25" customHeight="1" x14ac:dyDescent="0.2">
      <c r="A1442" s="27" t="s">
        <v>25</v>
      </c>
      <c r="B1442" s="18">
        <v>0</v>
      </c>
      <c r="C1442" s="18">
        <v>0</v>
      </c>
      <c r="D1442" s="18">
        <v>742565.17961999995</v>
      </c>
      <c r="E1442" s="18">
        <v>784608.35142392851</v>
      </c>
      <c r="F1442" s="18">
        <v>0</v>
      </c>
      <c r="G1442" s="18">
        <v>0</v>
      </c>
      <c r="H1442" s="19">
        <v>5.6618830181942803E-2</v>
      </c>
      <c r="I1442" s="19">
        <v>0</v>
      </c>
      <c r="J1442" s="19">
        <v>5.6618830181942803E-2</v>
      </c>
    </row>
    <row r="1443" spans="1:10" ht="11.25" customHeight="1" x14ac:dyDescent="0.2">
      <c r="A1443" s="28">
        <v>44287</v>
      </c>
      <c r="B1443" s="18">
        <v>0</v>
      </c>
      <c r="C1443" s="18">
        <v>0</v>
      </c>
      <c r="D1443" s="18">
        <v>56229.99325</v>
      </c>
      <c r="E1443" s="18">
        <v>59413.669688953531</v>
      </c>
      <c r="F1443" s="18">
        <v>0</v>
      </c>
      <c r="G1443" s="18">
        <v>0</v>
      </c>
      <c r="H1443" s="19">
        <v>5.6618830181942581E-2</v>
      </c>
      <c r="I1443" s="19">
        <v>0</v>
      </c>
      <c r="J1443" s="19">
        <v>5.6618830181942581E-2</v>
      </c>
    </row>
    <row r="1444" spans="1:10" ht="11.25" customHeight="1" x14ac:dyDescent="0.2">
      <c r="A1444" s="28">
        <v>44317</v>
      </c>
      <c r="B1444" s="18">
        <v>0</v>
      </c>
      <c r="C1444" s="18">
        <v>0</v>
      </c>
      <c r="D1444" s="18">
        <v>60641.41964</v>
      </c>
      <c r="E1444" s="18">
        <v>64074.865880589081</v>
      </c>
      <c r="F1444" s="18">
        <v>0</v>
      </c>
      <c r="G1444" s="18">
        <v>0</v>
      </c>
      <c r="H1444" s="19">
        <v>5.6618830181942581E-2</v>
      </c>
      <c r="I1444" s="19">
        <v>0</v>
      </c>
      <c r="J1444" s="19">
        <v>5.6618830181942581E-2</v>
      </c>
    </row>
    <row r="1445" spans="1:10" ht="11.25" customHeight="1" x14ac:dyDescent="0.2">
      <c r="A1445" s="28">
        <v>44348</v>
      </c>
      <c r="B1445" s="18">
        <v>0</v>
      </c>
      <c r="C1445" s="18">
        <v>0</v>
      </c>
      <c r="D1445" s="18">
        <v>55945.324430000008</v>
      </c>
      <c r="E1445" s="18">
        <v>59112.883253375861</v>
      </c>
      <c r="F1445" s="18">
        <v>0</v>
      </c>
      <c r="G1445" s="18">
        <v>0</v>
      </c>
      <c r="H1445" s="19">
        <v>5.6618830181942581E-2</v>
      </c>
      <c r="I1445" s="19">
        <v>0</v>
      </c>
      <c r="J1445" s="19">
        <v>5.6618830181942581E-2</v>
      </c>
    </row>
    <row r="1446" spans="1:10" ht="11.25" customHeight="1" x14ac:dyDescent="0.2">
      <c r="A1446" s="28">
        <v>44378</v>
      </c>
      <c r="B1446" s="18">
        <v>0</v>
      </c>
      <c r="C1446" s="18">
        <v>0</v>
      </c>
      <c r="D1446" s="18">
        <v>55519.254990000009</v>
      </c>
      <c r="E1446" s="18">
        <v>58662.690260106792</v>
      </c>
      <c r="F1446" s="18">
        <v>0</v>
      </c>
      <c r="G1446" s="18">
        <v>0</v>
      </c>
      <c r="H1446" s="19">
        <v>5.6618830181942581E-2</v>
      </c>
      <c r="I1446" s="19">
        <v>0</v>
      </c>
      <c r="J1446" s="19">
        <v>5.6618830181942581E-2</v>
      </c>
    </row>
    <row r="1447" spans="1:10" ht="11.25" customHeight="1" x14ac:dyDescent="0.2">
      <c r="A1447" s="28">
        <v>44409</v>
      </c>
      <c r="B1447" s="18">
        <v>0</v>
      </c>
      <c r="C1447" s="18">
        <v>0</v>
      </c>
      <c r="D1447" s="18">
        <v>55596.746499999994</v>
      </c>
      <c r="E1447" s="18">
        <v>58744.569248752014</v>
      </c>
      <c r="F1447" s="18">
        <v>0</v>
      </c>
      <c r="G1447" s="18">
        <v>0</v>
      </c>
      <c r="H1447" s="19">
        <v>5.6618830181942803E-2</v>
      </c>
      <c r="I1447" s="19">
        <v>0</v>
      </c>
      <c r="J1447" s="19">
        <v>5.6618830181942803E-2</v>
      </c>
    </row>
    <row r="1448" spans="1:10" ht="11.25" customHeight="1" x14ac:dyDescent="0.2">
      <c r="A1448" s="28">
        <v>44440</v>
      </c>
      <c r="B1448" s="18">
        <v>0</v>
      </c>
      <c r="C1448" s="18">
        <v>0</v>
      </c>
      <c r="D1448" s="18">
        <v>54917.411010000003</v>
      </c>
      <c r="E1448" s="18">
        <v>58026.770578007141</v>
      </c>
      <c r="F1448" s="18">
        <v>0</v>
      </c>
      <c r="G1448" s="18">
        <v>0</v>
      </c>
      <c r="H1448" s="19">
        <v>5.6618830181942581E-2</v>
      </c>
      <c r="I1448" s="19">
        <v>0</v>
      </c>
      <c r="J1448" s="19">
        <v>5.6618830181942581E-2</v>
      </c>
    </row>
    <row r="1449" spans="1:10" ht="11.25" customHeight="1" x14ac:dyDescent="0.2">
      <c r="A1449" s="28">
        <v>44470</v>
      </c>
      <c r="B1449" s="18">
        <v>0</v>
      </c>
      <c r="C1449" s="18">
        <v>0</v>
      </c>
      <c r="D1449" s="18">
        <v>65333.655620000005</v>
      </c>
      <c r="E1449" s="18">
        <v>69032.770772714313</v>
      </c>
      <c r="F1449" s="18">
        <v>0</v>
      </c>
      <c r="G1449" s="18">
        <v>0</v>
      </c>
      <c r="H1449" s="19">
        <v>5.6618830181942803E-2</v>
      </c>
      <c r="I1449" s="19">
        <v>0</v>
      </c>
      <c r="J1449" s="19">
        <v>5.6618830181942803E-2</v>
      </c>
    </row>
    <row r="1450" spans="1:10" ht="11.25" customHeight="1" x14ac:dyDescent="0.2">
      <c r="A1450" s="28">
        <v>44501</v>
      </c>
      <c r="B1450" s="18">
        <v>0</v>
      </c>
      <c r="C1450" s="18">
        <v>0</v>
      </c>
      <c r="D1450" s="18">
        <v>66743.332430000009</v>
      </c>
      <c r="E1450" s="18">
        <v>70522.261834631121</v>
      </c>
      <c r="F1450" s="18">
        <v>0</v>
      </c>
      <c r="G1450" s="18">
        <v>0</v>
      </c>
      <c r="H1450" s="19">
        <v>5.6618830181942581E-2</v>
      </c>
      <c r="I1450" s="19">
        <v>0</v>
      </c>
      <c r="J1450" s="19">
        <v>5.6618830181942581E-2</v>
      </c>
    </row>
    <row r="1451" spans="1:10" ht="11.25" customHeight="1" x14ac:dyDescent="0.2">
      <c r="A1451" s="28">
        <v>44531</v>
      </c>
      <c r="B1451" s="18">
        <v>0</v>
      </c>
      <c r="C1451" s="18">
        <v>0</v>
      </c>
      <c r="D1451" s="18">
        <v>57768.91835</v>
      </c>
      <c r="E1451" s="18">
        <v>61039.72692785316</v>
      </c>
      <c r="F1451" s="18">
        <v>0</v>
      </c>
      <c r="G1451" s="18">
        <v>0</v>
      </c>
      <c r="H1451" s="19">
        <v>5.6618830181942581E-2</v>
      </c>
      <c r="I1451" s="19">
        <v>0</v>
      </c>
      <c r="J1451" s="19">
        <v>5.6618830181942581E-2</v>
      </c>
    </row>
    <row r="1452" spans="1:10" ht="11.25" customHeight="1" x14ac:dyDescent="0.2">
      <c r="A1452" s="28">
        <v>44562</v>
      </c>
      <c r="B1452" s="18">
        <v>0</v>
      </c>
      <c r="C1452" s="18">
        <v>0</v>
      </c>
      <c r="D1452" s="18">
        <v>68824.397720000008</v>
      </c>
      <c r="E1452" s="18">
        <v>72721.154606883167</v>
      </c>
      <c r="F1452" s="18">
        <v>0</v>
      </c>
      <c r="G1452" s="18">
        <v>0</v>
      </c>
      <c r="H1452" s="19">
        <v>5.6618830181942581E-2</v>
      </c>
      <c r="I1452" s="19">
        <v>0</v>
      </c>
      <c r="J1452" s="19">
        <v>5.6618830181942581E-2</v>
      </c>
    </row>
    <row r="1453" spans="1:10" ht="11.25" customHeight="1" x14ac:dyDescent="0.2">
      <c r="A1453" s="28">
        <v>44593</v>
      </c>
      <c r="B1453" s="18">
        <v>0</v>
      </c>
      <c r="C1453" s="18">
        <v>0</v>
      </c>
      <c r="D1453" s="18">
        <v>72522.362840000002</v>
      </c>
      <c r="E1453" s="18">
        <v>76628.494186031196</v>
      </c>
      <c r="F1453" s="18">
        <v>0</v>
      </c>
      <c r="G1453" s="18">
        <v>0</v>
      </c>
      <c r="H1453" s="19">
        <v>5.6618830181942803E-2</v>
      </c>
      <c r="I1453" s="19">
        <v>0</v>
      </c>
      <c r="J1453" s="19">
        <v>5.6618830181942803E-2</v>
      </c>
    </row>
    <row r="1454" spans="1:10" ht="11.25" customHeight="1" x14ac:dyDescent="0.2">
      <c r="A1454" s="28">
        <v>44621</v>
      </c>
      <c r="B1454" s="18">
        <v>0</v>
      </c>
      <c r="C1454" s="18">
        <v>0</v>
      </c>
      <c r="D1454" s="18">
        <v>72522.362840000002</v>
      </c>
      <c r="E1454" s="18">
        <v>76628.494186031196</v>
      </c>
      <c r="F1454" s="18">
        <v>0</v>
      </c>
      <c r="G1454" s="18">
        <v>0</v>
      </c>
      <c r="H1454" s="19">
        <v>5.6618830181942803E-2</v>
      </c>
      <c r="I1454" s="19">
        <v>0</v>
      </c>
      <c r="J1454" s="19">
        <v>5.6618830181942803E-2</v>
      </c>
    </row>
    <row r="1455" spans="1:10" ht="11.25" customHeight="1" x14ac:dyDescent="0.2">
      <c r="A1455" s="20" t="s">
        <v>66</v>
      </c>
      <c r="B1455" s="18">
        <v>706420.27410999988</v>
      </c>
      <c r="C1455" s="18">
        <v>829294.22735913785</v>
      </c>
      <c r="D1455" s="18">
        <v>78962.723319850018</v>
      </c>
      <c r="E1455" s="18">
        <v>91244.455476202027</v>
      </c>
      <c r="F1455" s="18">
        <v>66398653.207264945</v>
      </c>
      <c r="G1455" s="18">
        <v>73572872.978875652</v>
      </c>
      <c r="H1455" s="19">
        <v>0.17208888637490793</v>
      </c>
      <c r="I1455" s="19">
        <v>0.10804767002150206</v>
      </c>
      <c r="J1455" s="19">
        <v>0.10879631337935947</v>
      </c>
    </row>
    <row r="1456" spans="1:10" ht="11.25" customHeight="1" x14ac:dyDescent="0.2">
      <c r="A1456" s="21" t="s">
        <v>39</v>
      </c>
      <c r="B1456" s="18">
        <v>0</v>
      </c>
      <c r="C1456" s="18">
        <v>0</v>
      </c>
      <c r="D1456" s="18">
        <v>0</v>
      </c>
      <c r="E1456" s="18">
        <v>0</v>
      </c>
      <c r="F1456" s="18">
        <v>65793774.656999998</v>
      </c>
      <c r="G1456" s="18">
        <v>72902638.710608587</v>
      </c>
      <c r="H1456" s="19">
        <v>0</v>
      </c>
      <c r="I1456" s="19">
        <v>0.10804767002150184</v>
      </c>
      <c r="J1456" s="19">
        <v>0.10804767002150184</v>
      </c>
    </row>
    <row r="1457" spans="1:10" ht="11.25" customHeight="1" x14ac:dyDescent="0.2">
      <c r="A1457" s="22" t="s">
        <v>61</v>
      </c>
      <c r="B1457" s="18">
        <v>0</v>
      </c>
      <c r="C1457" s="18">
        <v>0</v>
      </c>
      <c r="D1457" s="18">
        <v>0</v>
      </c>
      <c r="E1457" s="18">
        <v>0</v>
      </c>
      <c r="F1457" s="18">
        <v>65793774.656999998</v>
      </c>
      <c r="G1457" s="18">
        <v>72902638.710608587</v>
      </c>
      <c r="H1457" s="19">
        <v>0</v>
      </c>
      <c r="I1457" s="19">
        <v>0.10804767002150184</v>
      </c>
      <c r="J1457" s="19">
        <v>0.10804767002150184</v>
      </c>
    </row>
    <row r="1458" spans="1:10" ht="11.25" customHeight="1" x14ac:dyDescent="0.2">
      <c r="A1458" s="23" t="s">
        <v>25</v>
      </c>
      <c r="B1458" s="18">
        <v>0</v>
      </c>
      <c r="C1458" s="18">
        <v>0</v>
      </c>
      <c r="D1458" s="18">
        <v>0</v>
      </c>
      <c r="E1458" s="18">
        <v>0</v>
      </c>
      <c r="F1458" s="18">
        <v>65793774.656999998</v>
      </c>
      <c r="G1458" s="18">
        <v>72902638.710608587</v>
      </c>
      <c r="H1458" s="19">
        <v>0</v>
      </c>
      <c r="I1458" s="19">
        <v>0.10804767002150184</v>
      </c>
      <c r="J1458" s="19">
        <v>0.10804767002150184</v>
      </c>
    </row>
    <row r="1459" spans="1:10" ht="11.25" customHeight="1" x14ac:dyDescent="0.2">
      <c r="A1459" s="24" t="s">
        <v>25</v>
      </c>
      <c r="B1459" s="18">
        <v>0</v>
      </c>
      <c r="C1459" s="18">
        <v>0</v>
      </c>
      <c r="D1459" s="18">
        <v>0</v>
      </c>
      <c r="E1459" s="18">
        <v>0</v>
      </c>
      <c r="F1459" s="18">
        <v>65793774.656999998</v>
      </c>
      <c r="G1459" s="18">
        <v>72902638.710608587</v>
      </c>
      <c r="H1459" s="19">
        <v>0</v>
      </c>
      <c r="I1459" s="19">
        <v>0.10804767002150184</v>
      </c>
      <c r="J1459" s="19">
        <v>0.10804767002150184</v>
      </c>
    </row>
    <row r="1460" spans="1:10" ht="11.25" customHeight="1" x14ac:dyDescent="0.2">
      <c r="A1460" s="25" t="s">
        <v>64</v>
      </c>
      <c r="B1460" s="18">
        <v>0</v>
      </c>
      <c r="C1460" s="18">
        <v>0</v>
      </c>
      <c r="D1460" s="18">
        <v>0</v>
      </c>
      <c r="E1460" s="18">
        <v>0</v>
      </c>
      <c r="F1460" s="18">
        <v>65793774.656999998</v>
      </c>
      <c r="G1460" s="18">
        <v>72902638.710608587</v>
      </c>
      <c r="H1460" s="19">
        <v>0</v>
      </c>
      <c r="I1460" s="19">
        <v>0.10804767002150184</v>
      </c>
      <c r="J1460" s="19">
        <v>0.10804767002150184</v>
      </c>
    </row>
    <row r="1461" spans="1:10" ht="11.25" customHeight="1" x14ac:dyDescent="0.2">
      <c r="A1461" s="26" t="s">
        <v>65</v>
      </c>
      <c r="B1461" s="18">
        <v>0</v>
      </c>
      <c r="C1461" s="18">
        <v>0</v>
      </c>
      <c r="D1461" s="18">
        <v>0</v>
      </c>
      <c r="E1461" s="18">
        <v>0</v>
      </c>
      <c r="F1461" s="18">
        <v>65793774.656999998</v>
      </c>
      <c r="G1461" s="18">
        <v>72902638.710608587</v>
      </c>
      <c r="H1461" s="19">
        <v>0</v>
      </c>
      <c r="I1461" s="19">
        <v>0.10804767002150184</v>
      </c>
      <c r="J1461" s="19">
        <v>0.10804767002150184</v>
      </c>
    </row>
    <row r="1462" spans="1:10" ht="11.25" customHeight="1" x14ac:dyDescent="0.2">
      <c r="A1462" s="27" t="s">
        <v>25</v>
      </c>
      <c r="B1462" s="18">
        <v>0</v>
      </c>
      <c r="C1462" s="18">
        <v>0</v>
      </c>
      <c r="D1462" s="18">
        <v>0</v>
      </c>
      <c r="E1462" s="18">
        <v>0</v>
      </c>
      <c r="F1462" s="18">
        <v>65793774.656999998</v>
      </c>
      <c r="G1462" s="18">
        <v>72902638.710608587</v>
      </c>
      <c r="H1462" s="19">
        <v>0</v>
      </c>
      <c r="I1462" s="19">
        <v>0.10804767002150184</v>
      </c>
      <c r="J1462" s="19">
        <v>0.10804767002150184</v>
      </c>
    </row>
    <row r="1463" spans="1:10" ht="11.25" customHeight="1" x14ac:dyDescent="0.2">
      <c r="A1463" s="28">
        <v>44287</v>
      </c>
      <c r="B1463" s="18">
        <v>0</v>
      </c>
      <c r="C1463" s="18">
        <v>0</v>
      </c>
      <c r="D1463" s="18">
        <v>0</v>
      </c>
      <c r="E1463" s="18">
        <v>0</v>
      </c>
      <c r="F1463" s="18">
        <v>7227336.5345999999</v>
      </c>
      <c r="G1463" s="18">
        <v>8008233.4076248053</v>
      </c>
      <c r="H1463" s="19">
        <v>0</v>
      </c>
      <c r="I1463" s="19">
        <v>0.10804767002150184</v>
      </c>
      <c r="J1463" s="19">
        <v>0.10804767002150184</v>
      </c>
    </row>
    <row r="1464" spans="1:10" ht="11.25" customHeight="1" x14ac:dyDescent="0.2">
      <c r="A1464" s="28">
        <v>44317</v>
      </c>
      <c r="B1464" s="18">
        <v>0</v>
      </c>
      <c r="C1464" s="18">
        <v>0</v>
      </c>
      <c r="D1464" s="18">
        <v>0</v>
      </c>
      <c r="E1464" s="18">
        <v>0</v>
      </c>
      <c r="F1464" s="18">
        <v>6597170.4083999991</v>
      </c>
      <c r="G1464" s="18">
        <v>7309979.2997624194</v>
      </c>
      <c r="H1464" s="19">
        <v>0</v>
      </c>
      <c r="I1464" s="19">
        <v>0.10804767002150184</v>
      </c>
      <c r="J1464" s="19">
        <v>0.10804767002150184</v>
      </c>
    </row>
    <row r="1465" spans="1:10" ht="11.25" customHeight="1" x14ac:dyDescent="0.2">
      <c r="A1465" s="28">
        <v>44348</v>
      </c>
      <c r="B1465" s="18">
        <v>0</v>
      </c>
      <c r="C1465" s="18">
        <v>0</v>
      </c>
      <c r="D1465" s="18">
        <v>0</v>
      </c>
      <c r="E1465" s="18">
        <v>0</v>
      </c>
      <c r="F1465" s="18">
        <v>6351729.4112999998</v>
      </c>
      <c r="G1465" s="18">
        <v>7038018.9747980107</v>
      </c>
      <c r="H1465" s="19">
        <v>0</v>
      </c>
      <c r="I1465" s="19">
        <v>0.10804767002150184</v>
      </c>
      <c r="J1465" s="19">
        <v>0.10804767002150184</v>
      </c>
    </row>
    <row r="1466" spans="1:10" ht="11.25" customHeight="1" x14ac:dyDescent="0.2">
      <c r="A1466" s="28">
        <v>44378</v>
      </c>
      <c r="B1466" s="18">
        <v>0</v>
      </c>
      <c r="C1466" s="18">
        <v>0</v>
      </c>
      <c r="D1466" s="18">
        <v>0</v>
      </c>
      <c r="E1466" s="18">
        <v>0</v>
      </c>
      <c r="F1466" s="18">
        <v>6149212.1886</v>
      </c>
      <c r="G1466" s="18">
        <v>6813620.2380460501</v>
      </c>
      <c r="H1466" s="19">
        <v>0</v>
      </c>
      <c r="I1466" s="19">
        <v>0.10804767002150184</v>
      </c>
      <c r="J1466" s="19">
        <v>0.10804767002150184</v>
      </c>
    </row>
    <row r="1467" spans="1:10" ht="11.25" customHeight="1" x14ac:dyDescent="0.2">
      <c r="A1467" s="28">
        <v>44409</v>
      </c>
      <c r="B1467" s="18">
        <v>0</v>
      </c>
      <c r="C1467" s="18">
        <v>0</v>
      </c>
      <c r="D1467" s="18">
        <v>0</v>
      </c>
      <c r="E1467" s="18">
        <v>0</v>
      </c>
      <c r="F1467" s="18">
        <v>6122652.6660000002</v>
      </c>
      <c r="G1467" s="18">
        <v>6784191.0209122365</v>
      </c>
      <c r="H1467" s="19">
        <v>0</v>
      </c>
      <c r="I1467" s="19">
        <v>0.10804767002150184</v>
      </c>
      <c r="J1467" s="19">
        <v>0.10804767002150184</v>
      </c>
    </row>
    <row r="1468" spans="1:10" ht="11.25" customHeight="1" x14ac:dyDescent="0.2">
      <c r="A1468" s="28">
        <v>44440</v>
      </c>
      <c r="B1468" s="18">
        <v>0</v>
      </c>
      <c r="C1468" s="18">
        <v>0</v>
      </c>
      <c r="D1468" s="18">
        <v>0</v>
      </c>
      <c r="E1468" s="18">
        <v>0</v>
      </c>
      <c r="F1468" s="18">
        <v>6118486.0151999993</v>
      </c>
      <c r="G1468" s="18">
        <v>6779574.1732015032</v>
      </c>
      <c r="H1468" s="19">
        <v>0</v>
      </c>
      <c r="I1468" s="19">
        <v>0.10804767002150206</v>
      </c>
      <c r="J1468" s="19">
        <v>0.10804767002150206</v>
      </c>
    </row>
    <row r="1469" spans="1:10" ht="11.25" customHeight="1" x14ac:dyDescent="0.2">
      <c r="A1469" s="28">
        <v>44470</v>
      </c>
      <c r="B1469" s="18">
        <v>0</v>
      </c>
      <c r="C1469" s="18">
        <v>0</v>
      </c>
      <c r="D1469" s="18">
        <v>0</v>
      </c>
      <c r="E1469" s="18">
        <v>0</v>
      </c>
      <c r="F1469" s="18">
        <v>6323538.7098000003</v>
      </c>
      <c r="G1469" s="18">
        <v>7006782.3336846642</v>
      </c>
      <c r="H1469" s="19">
        <v>0</v>
      </c>
      <c r="I1469" s="19">
        <v>0.10804767002150184</v>
      </c>
      <c r="J1469" s="19">
        <v>0.10804767002150184</v>
      </c>
    </row>
    <row r="1470" spans="1:10" ht="11.25" customHeight="1" x14ac:dyDescent="0.2">
      <c r="A1470" s="28">
        <v>44501</v>
      </c>
      <c r="B1470" s="18">
        <v>0</v>
      </c>
      <c r="C1470" s="18">
        <v>0</v>
      </c>
      <c r="D1470" s="18">
        <v>0</v>
      </c>
      <c r="E1470" s="18">
        <v>0</v>
      </c>
      <c r="F1470" s="18">
        <v>6954524.2220999999</v>
      </c>
      <c r="G1470" s="18">
        <v>7705944.360406002</v>
      </c>
      <c r="H1470" s="19">
        <v>0</v>
      </c>
      <c r="I1470" s="19">
        <v>0.10804767002150184</v>
      </c>
      <c r="J1470" s="19">
        <v>0.10804767002150184</v>
      </c>
    </row>
    <row r="1471" spans="1:10" ht="11.25" customHeight="1" x14ac:dyDescent="0.2">
      <c r="A1471" s="28">
        <v>44531</v>
      </c>
      <c r="B1471" s="18">
        <v>0</v>
      </c>
      <c r="C1471" s="18">
        <v>0</v>
      </c>
      <c r="D1471" s="18">
        <v>0</v>
      </c>
      <c r="E1471" s="18">
        <v>0</v>
      </c>
      <c r="F1471" s="18">
        <v>6764772.2571</v>
      </c>
      <c r="G1471" s="18">
        <v>7495690.1377057517</v>
      </c>
      <c r="H1471" s="19">
        <v>0</v>
      </c>
      <c r="I1471" s="19">
        <v>0.10804767002150184</v>
      </c>
      <c r="J1471" s="19">
        <v>0.10804767002150184</v>
      </c>
    </row>
    <row r="1472" spans="1:10" ht="11.25" customHeight="1" x14ac:dyDescent="0.2">
      <c r="A1472" s="28">
        <v>44562</v>
      </c>
      <c r="B1472" s="18">
        <v>0</v>
      </c>
      <c r="C1472" s="18">
        <v>0</v>
      </c>
      <c r="D1472" s="18">
        <v>0</v>
      </c>
      <c r="E1472" s="18">
        <v>0</v>
      </c>
      <c r="F1472" s="18">
        <v>7184352.2439000001</v>
      </c>
      <c r="G1472" s="18">
        <v>7960604.7644671444</v>
      </c>
      <c r="H1472" s="19">
        <v>0</v>
      </c>
      <c r="I1472" s="19">
        <v>0.10804767002150184</v>
      </c>
      <c r="J1472" s="19">
        <v>0.10804767002150184</v>
      </c>
    </row>
    <row r="1473" spans="1:10" ht="11.25" customHeight="1" x14ac:dyDescent="0.2">
      <c r="A1473" s="21" t="s">
        <v>41</v>
      </c>
      <c r="B1473" s="18">
        <v>706420.27410999988</v>
      </c>
      <c r="C1473" s="18">
        <v>829294.22735913785</v>
      </c>
      <c r="D1473" s="18">
        <v>78962.723319850018</v>
      </c>
      <c r="E1473" s="18">
        <v>91244.455476202027</v>
      </c>
      <c r="F1473" s="18">
        <v>604878.55026495014</v>
      </c>
      <c r="G1473" s="18">
        <v>670234.26826706168</v>
      </c>
      <c r="H1473" s="19">
        <v>0.17208888637490793</v>
      </c>
      <c r="I1473" s="19">
        <v>0.1080476700215014</v>
      </c>
      <c r="J1473" s="19">
        <v>0.14422567015542564</v>
      </c>
    </row>
    <row r="1474" spans="1:10" ht="11.25" customHeight="1" x14ac:dyDescent="0.2">
      <c r="A1474" s="22" t="s">
        <v>61</v>
      </c>
      <c r="B1474" s="18">
        <v>706420.27410999988</v>
      </c>
      <c r="C1474" s="18">
        <v>829294.22735913785</v>
      </c>
      <c r="D1474" s="18">
        <v>78962.723319850018</v>
      </c>
      <c r="E1474" s="18">
        <v>91244.455476202027</v>
      </c>
      <c r="F1474" s="18">
        <v>604878.55026495014</v>
      </c>
      <c r="G1474" s="18">
        <v>670234.26826706168</v>
      </c>
      <c r="H1474" s="19">
        <v>0.17208888637490793</v>
      </c>
      <c r="I1474" s="19">
        <v>0.1080476700215014</v>
      </c>
      <c r="J1474" s="19">
        <v>0.14422567015542564</v>
      </c>
    </row>
    <row r="1475" spans="1:10" ht="11.25" customHeight="1" x14ac:dyDescent="0.2">
      <c r="A1475" s="23" t="s">
        <v>25</v>
      </c>
      <c r="B1475" s="18">
        <v>706420.27410999988</v>
      </c>
      <c r="C1475" s="18">
        <v>829294.22735913785</v>
      </c>
      <c r="D1475" s="18">
        <v>78962.723319850018</v>
      </c>
      <c r="E1475" s="18">
        <v>91244.455476202027</v>
      </c>
      <c r="F1475" s="18">
        <v>604878.55026495014</v>
      </c>
      <c r="G1475" s="18">
        <v>670234.26826706168</v>
      </c>
      <c r="H1475" s="19">
        <v>0.17208888637490793</v>
      </c>
      <c r="I1475" s="19">
        <v>0.1080476700215014</v>
      </c>
      <c r="J1475" s="19">
        <v>0.14422567015542564</v>
      </c>
    </row>
    <row r="1476" spans="1:10" ht="11.25" customHeight="1" x14ac:dyDescent="0.2">
      <c r="A1476" s="24" t="s">
        <v>25</v>
      </c>
      <c r="B1476" s="18">
        <v>706420.27410999988</v>
      </c>
      <c r="C1476" s="18">
        <v>829294.22735913785</v>
      </c>
      <c r="D1476" s="18">
        <v>78962.723319850018</v>
      </c>
      <c r="E1476" s="18">
        <v>91244.455476202027</v>
      </c>
      <c r="F1476" s="18">
        <v>604878.55026495014</v>
      </c>
      <c r="G1476" s="18">
        <v>670234.26826706168</v>
      </c>
      <c r="H1476" s="19">
        <v>0.17208888637490793</v>
      </c>
      <c r="I1476" s="19">
        <v>0.1080476700215014</v>
      </c>
      <c r="J1476" s="19">
        <v>0.14422567015542564</v>
      </c>
    </row>
    <row r="1477" spans="1:10" ht="11.25" customHeight="1" x14ac:dyDescent="0.2">
      <c r="A1477" s="25" t="s">
        <v>64</v>
      </c>
      <c r="B1477" s="18">
        <v>706420.27410999988</v>
      </c>
      <c r="C1477" s="18">
        <v>829294.22735913785</v>
      </c>
      <c r="D1477" s="18">
        <v>78962.723319850018</v>
      </c>
      <c r="E1477" s="18">
        <v>91244.455476202027</v>
      </c>
      <c r="F1477" s="18">
        <v>604878.55026495014</v>
      </c>
      <c r="G1477" s="18">
        <v>670234.26826706168</v>
      </c>
      <c r="H1477" s="19">
        <v>0.17208888637490793</v>
      </c>
      <c r="I1477" s="19">
        <v>0.1080476700215014</v>
      </c>
      <c r="J1477" s="19">
        <v>0.14422567015542564</v>
      </c>
    </row>
    <row r="1478" spans="1:10" ht="11.25" customHeight="1" x14ac:dyDescent="0.2">
      <c r="A1478" s="26" t="s">
        <v>68</v>
      </c>
      <c r="B1478" s="18">
        <v>706420.27410999988</v>
      </c>
      <c r="C1478" s="18">
        <v>829294.22735913785</v>
      </c>
      <c r="D1478" s="18">
        <v>78962.723319850018</v>
      </c>
      <c r="E1478" s="18">
        <v>91244.455476202027</v>
      </c>
      <c r="F1478" s="18">
        <v>821803.02426495007</v>
      </c>
      <c r="G1478" s="18">
        <v>910596.92625340156</v>
      </c>
      <c r="H1478" s="19">
        <v>0.17208888637490793</v>
      </c>
      <c r="I1478" s="19">
        <v>0.10804767002150162</v>
      </c>
      <c r="J1478" s="19">
        <v>0.13934266747652746</v>
      </c>
    </row>
    <row r="1479" spans="1:10" ht="11.25" customHeight="1" x14ac:dyDescent="0.2">
      <c r="A1479" s="27" t="s">
        <v>35</v>
      </c>
      <c r="B1479" s="18">
        <v>232127.09916000001</v>
      </c>
      <c r="C1479" s="18">
        <v>254042.00329882279</v>
      </c>
      <c r="D1479" s="18">
        <v>70171.028046599997</v>
      </c>
      <c r="E1479" s="18">
        <v>81085.314375267655</v>
      </c>
      <c r="F1479" s="18">
        <v>0</v>
      </c>
      <c r="G1479" s="18">
        <v>0</v>
      </c>
      <c r="H1479" s="19">
        <v>0.10859872262805625</v>
      </c>
      <c r="I1479" s="19">
        <v>0</v>
      </c>
      <c r="J1479" s="19">
        <v>0.10859872262805625</v>
      </c>
    </row>
    <row r="1480" spans="1:10" ht="11.25" customHeight="1" x14ac:dyDescent="0.2">
      <c r="A1480" s="28">
        <v>44287</v>
      </c>
      <c r="B1480" s="18">
        <v>19258.652700000002</v>
      </c>
      <c r="C1480" s="18">
        <v>21076.844239422418</v>
      </c>
      <c r="D1480" s="18">
        <v>6168.7508041999999</v>
      </c>
      <c r="E1480" s="18">
        <v>7128.2281617573954</v>
      </c>
      <c r="F1480" s="18">
        <v>0</v>
      </c>
      <c r="G1480" s="18">
        <v>0</v>
      </c>
      <c r="H1480" s="19">
        <v>0.10923918741923488</v>
      </c>
      <c r="I1480" s="19">
        <v>0</v>
      </c>
      <c r="J1480" s="19">
        <v>0.10923918741923488</v>
      </c>
    </row>
    <row r="1481" spans="1:10" ht="11.25" customHeight="1" x14ac:dyDescent="0.2">
      <c r="A1481" s="28">
        <v>44317</v>
      </c>
      <c r="B1481" s="18">
        <v>19461.375360000002</v>
      </c>
      <c r="C1481" s="18">
        <v>21298.705757732128</v>
      </c>
      <c r="D1481" s="18">
        <v>5743.9265478500001</v>
      </c>
      <c r="E1481" s="18">
        <v>6637.3274390616543</v>
      </c>
      <c r="F1481" s="18">
        <v>0</v>
      </c>
      <c r="G1481" s="18">
        <v>0</v>
      </c>
      <c r="H1481" s="19">
        <v>0.10833955883279134</v>
      </c>
      <c r="I1481" s="19">
        <v>0</v>
      </c>
      <c r="J1481" s="19">
        <v>0.10833955883279134</v>
      </c>
    </row>
    <row r="1482" spans="1:10" ht="11.25" customHeight="1" x14ac:dyDescent="0.2">
      <c r="A1482" s="28">
        <v>44348</v>
      </c>
      <c r="B1482" s="18">
        <v>18679.445100000001</v>
      </c>
      <c r="C1482" s="18">
        <v>20442.95418710896</v>
      </c>
      <c r="D1482" s="18">
        <v>5586.03164595</v>
      </c>
      <c r="E1482" s="18">
        <v>6454.8738237275429</v>
      </c>
      <c r="F1482" s="18">
        <v>0</v>
      </c>
      <c r="G1482" s="18">
        <v>0</v>
      </c>
      <c r="H1482" s="19">
        <v>0.10848133306615759</v>
      </c>
      <c r="I1482" s="19">
        <v>0</v>
      </c>
      <c r="J1482" s="19">
        <v>0.10848133306615759</v>
      </c>
    </row>
    <row r="1483" spans="1:10" ht="11.25" customHeight="1" x14ac:dyDescent="0.2">
      <c r="A1483" s="28">
        <v>44378</v>
      </c>
      <c r="B1483" s="18">
        <v>18708.405480000001</v>
      </c>
      <c r="C1483" s="18">
        <v>20474.648689724636</v>
      </c>
      <c r="D1483" s="18">
        <v>5382.4619044500005</v>
      </c>
      <c r="E1483" s="18">
        <v>6219.6411793396401</v>
      </c>
      <c r="F1483" s="18">
        <v>0</v>
      </c>
      <c r="G1483" s="18">
        <v>0</v>
      </c>
      <c r="H1483" s="19">
        <v>0.10806678078742449</v>
      </c>
      <c r="I1483" s="19">
        <v>0</v>
      </c>
      <c r="J1483" s="19">
        <v>0.10806678078742449</v>
      </c>
    </row>
    <row r="1484" spans="1:10" ht="11.25" customHeight="1" x14ac:dyDescent="0.2">
      <c r="A1484" s="28">
        <v>44409</v>
      </c>
      <c r="B1484" s="18">
        <v>18486.375900000003</v>
      </c>
      <c r="C1484" s="18">
        <v>20231.657503004477</v>
      </c>
      <c r="D1484" s="18">
        <v>5167.8693346500013</v>
      </c>
      <c r="E1484" s="18">
        <v>5971.6712340614522</v>
      </c>
      <c r="F1484" s="18">
        <v>0</v>
      </c>
      <c r="G1484" s="18">
        <v>0</v>
      </c>
      <c r="H1484" s="19">
        <v>0.1077643136413371</v>
      </c>
      <c r="I1484" s="19">
        <v>0</v>
      </c>
      <c r="J1484" s="19">
        <v>0.1077643136413371</v>
      </c>
    </row>
    <row r="1485" spans="1:10" ht="11.25" customHeight="1" x14ac:dyDescent="0.2">
      <c r="A1485" s="28">
        <v>44440</v>
      </c>
      <c r="B1485" s="18">
        <v>18949.741980000003</v>
      </c>
      <c r="C1485" s="18">
        <v>20738.769544855244</v>
      </c>
      <c r="D1485" s="18">
        <v>5349.244963950001</v>
      </c>
      <c r="E1485" s="18">
        <v>6181.2577305288514</v>
      </c>
      <c r="F1485" s="18">
        <v>0</v>
      </c>
      <c r="G1485" s="18">
        <v>0</v>
      </c>
      <c r="H1485" s="19">
        <v>0.10786623892921932</v>
      </c>
      <c r="I1485" s="19">
        <v>0</v>
      </c>
      <c r="J1485" s="19">
        <v>0.10786623892921932</v>
      </c>
    </row>
    <row r="1486" spans="1:10" ht="11.25" customHeight="1" x14ac:dyDescent="0.2">
      <c r="A1486" s="28">
        <v>44470</v>
      </c>
      <c r="B1486" s="18">
        <v>19393.80114</v>
      </c>
      <c r="C1486" s="18">
        <v>21224.751918295558</v>
      </c>
      <c r="D1486" s="18">
        <v>5509.422370700001</v>
      </c>
      <c r="E1486" s="18">
        <v>6366.3488677644864</v>
      </c>
      <c r="F1486" s="18">
        <v>0</v>
      </c>
      <c r="G1486" s="18">
        <v>0</v>
      </c>
      <c r="H1486" s="19">
        <v>0.10793290572223158</v>
      </c>
      <c r="I1486" s="19">
        <v>0</v>
      </c>
      <c r="J1486" s="19">
        <v>0.10793290572223158</v>
      </c>
    </row>
    <row r="1487" spans="1:10" ht="11.25" customHeight="1" x14ac:dyDescent="0.2">
      <c r="A1487" s="28">
        <v>44501</v>
      </c>
      <c r="B1487" s="18">
        <v>19712.365320000001</v>
      </c>
      <c r="C1487" s="18">
        <v>21573.391447067959</v>
      </c>
      <c r="D1487" s="18">
        <v>6194.4954794999994</v>
      </c>
      <c r="E1487" s="18">
        <v>7157.9771215247138</v>
      </c>
      <c r="F1487" s="18">
        <v>0</v>
      </c>
      <c r="G1487" s="18">
        <v>0</v>
      </c>
      <c r="H1487" s="19">
        <v>0.1090254736362033</v>
      </c>
      <c r="I1487" s="19">
        <v>0</v>
      </c>
      <c r="J1487" s="19">
        <v>0.1090254736362033</v>
      </c>
    </row>
    <row r="1488" spans="1:10" ht="11.25" customHeight="1" x14ac:dyDescent="0.2">
      <c r="A1488" s="28">
        <v>44531</v>
      </c>
      <c r="B1488" s="18">
        <v>19403.454600000001</v>
      </c>
      <c r="C1488" s="18">
        <v>21235.316752500785</v>
      </c>
      <c r="D1488" s="18">
        <v>6042.2790043000005</v>
      </c>
      <c r="E1488" s="18">
        <v>6982.0851460431732</v>
      </c>
      <c r="F1488" s="18">
        <v>0</v>
      </c>
      <c r="G1488" s="18">
        <v>0</v>
      </c>
      <c r="H1488" s="19">
        <v>0.10892467622845725</v>
      </c>
      <c r="I1488" s="19">
        <v>0</v>
      </c>
      <c r="J1488" s="19">
        <v>0.10892467622845725</v>
      </c>
    </row>
    <row r="1489" spans="1:10" ht="11.25" customHeight="1" x14ac:dyDescent="0.2">
      <c r="A1489" s="28">
        <v>44562</v>
      </c>
      <c r="B1489" s="18">
        <v>19664.098020000001</v>
      </c>
      <c r="C1489" s="18">
        <v>21520.567276041838</v>
      </c>
      <c r="D1489" s="18">
        <v>6182.9716135500003</v>
      </c>
      <c r="E1489" s="18">
        <v>7144.6608524121448</v>
      </c>
      <c r="F1489" s="18">
        <v>0</v>
      </c>
      <c r="G1489" s="18">
        <v>0</v>
      </c>
      <c r="H1489" s="19">
        <v>0.10903203089784519</v>
      </c>
      <c r="I1489" s="19">
        <v>0</v>
      </c>
      <c r="J1489" s="19">
        <v>0.10903203089784519</v>
      </c>
    </row>
    <row r="1490" spans="1:10" ht="11.25" customHeight="1" x14ac:dyDescent="0.2">
      <c r="A1490" s="28">
        <v>44593</v>
      </c>
      <c r="B1490" s="18">
        <v>20204.691780000001</v>
      </c>
      <c r="C1490" s="18">
        <v>22112.197991534398</v>
      </c>
      <c r="D1490" s="18">
        <v>6421.7871887500005</v>
      </c>
      <c r="E1490" s="18">
        <v>7420.6214095233017</v>
      </c>
      <c r="F1490" s="18">
        <v>0</v>
      </c>
      <c r="G1490" s="18">
        <v>0</v>
      </c>
      <c r="H1490" s="19">
        <v>0.10915226289284075</v>
      </c>
      <c r="I1490" s="19">
        <v>0</v>
      </c>
      <c r="J1490" s="19">
        <v>0.10915226289284075</v>
      </c>
    </row>
    <row r="1491" spans="1:10" ht="11.25" customHeight="1" x14ac:dyDescent="0.2">
      <c r="A1491" s="28">
        <v>44621</v>
      </c>
      <c r="B1491" s="18">
        <v>20204.691780000001</v>
      </c>
      <c r="C1491" s="18">
        <v>22112.197991534398</v>
      </c>
      <c r="D1491" s="18">
        <v>6421.7871887500005</v>
      </c>
      <c r="E1491" s="18">
        <v>7420.6214095233017</v>
      </c>
      <c r="F1491" s="18">
        <v>0</v>
      </c>
      <c r="G1491" s="18">
        <v>0</v>
      </c>
      <c r="H1491" s="19">
        <v>0.10915226289284075</v>
      </c>
      <c r="I1491" s="19">
        <v>0</v>
      </c>
      <c r="J1491" s="19">
        <v>0.10915226289284075</v>
      </c>
    </row>
    <row r="1492" spans="1:10" ht="11.25" customHeight="1" x14ac:dyDescent="0.2">
      <c r="A1492" s="27" t="s">
        <v>25</v>
      </c>
      <c r="B1492" s="18">
        <v>0</v>
      </c>
      <c r="C1492" s="18">
        <v>0</v>
      </c>
      <c r="D1492" s="18">
        <v>0</v>
      </c>
      <c r="E1492" s="18">
        <v>0</v>
      </c>
      <c r="F1492" s="18">
        <v>821803.02426495007</v>
      </c>
      <c r="G1492" s="18">
        <v>910596.92625340156</v>
      </c>
      <c r="H1492" s="19">
        <v>0</v>
      </c>
      <c r="I1492" s="19">
        <v>0.10804767002150162</v>
      </c>
      <c r="J1492" s="19">
        <v>0.10804767002150162</v>
      </c>
    </row>
    <row r="1493" spans="1:10" ht="11.25" customHeight="1" x14ac:dyDescent="0.2">
      <c r="A1493" s="28">
        <v>44287</v>
      </c>
      <c r="B1493" s="18">
        <v>0</v>
      </c>
      <c r="C1493" s="18">
        <v>0</v>
      </c>
      <c r="D1493" s="18">
        <v>0</v>
      </c>
      <c r="E1493" s="18">
        <v>0</v>
      </c>
      <c r="F1493" s="18">
        <v>72361.463387849988</v>
      </c>
      <c r="G1493" s="18">
        <v>80179.950906253405</v>
      </c>
      <c r="H1493" s="19">
        <v>0</v>
      </c>
      <c r="I1493" s="19">
        <v>0.10804767002150206</v>
      </c>
      <c r="J1493" s="19">
        <v>0.10804767002150206</v>
      </c>
    </row>
    <row r="1494" spans="1:10" ht="11.25" customHeight="1" x14ac:dyDescent="0.2">
      <c r="A1494" s="28">
        <v>44317</v>
      </c>
      <c r="B1494" s="18">
        <v>0</v>
      </c>
      <c r="C1494" s="18">
        <v>0</v>
      </c>
      <c r="D1494" s="18">
        <v>0</v>
      </c>
      <c r="E1494" s="18">
        <v>0</v>
      </c>
      <c r="F1494" s="18">
        <v>66724.584380999993</v>
      </c>
      <c r="G1494" s="18">
        <v>73934.020256520133</v>
      </c>
      <c r="H1494" s="19">
        <v>0</v>
      </c>
      <c r="I1494" s="19">
        <v>0.10804767002150184</v>
      </c>
      <c r="J1494" s="19">
        <v>0.10804767002150184</v>
      </c>
    </row>
    <row r="1495" spans="1:10" ht="11.25" customHeight="1" x14ac:dyDescent="0.2">
      <c r="A1495" s="28">
        <v>44348</v>
      </c>
      <c r="B1495" s="18">
        <v>0</v>
      </c>
      <c r="C1495" s="18">
        <v>0</v>
      </c>
      <c r="D1495" s="18">
        <v>0</v>
      </c>
      <c r="E1495" s="18">
        <v>0</v>
      </c>
      <c r="F1495" s="18">
        <v>65479.149262799991</v>
      </c>
      <c r="G1495" s="18">
        <v>72554.018775635675</v>
      </c>
      <c r="H1495" s="19">
        <v>0</v>
      </c>
      <c r="I1495" s="19">
        <v>0.10804767002150184</v>
      </c>
      <c r="J1495" s="19">
        <v>0.10804767002150184</v>
      </c>
    </row>
    <row r="1496" spans="1:10" ht="11.25" customHeight="1" x14ac:dyDescent="0.2">
      <c r="A1496" s="28">
        <v>44378</v>
      </c>
      <c r="B1496" s="18">
        <v>0</v>
      </c>
      <c r="C1496" s="18">
        <v>0</v>
      </c>
      <c r="D1496" s="18">
        <v>0</v>
      </c>
      <c r="E1496" s="18">
        <v>0</v>
      </c>
      <c r="F1496" s="18">
        <v>63363.957889049983</v>
      </c>
      <c r="G1496" s="18">
        <v>70210.285902302407</v>
      </c>
      <c r="H1496" s="19">
        <v>0</v>
      </c>
      <c r="I1496" s="19">
        <v>0.10804767002150206</v>
      </c>
      <c r="J1496" s="19">
        <v>0.10804767002150206</v>
      </c>
    </row>
    <row r="1497" spans="1:10" ht="11.25" customHeight="1" x14ac:dyDescent="0.2">
      <c r="A1497" s="28">
        <v>44409</v>
      </c>
      <c r="B1497" s="18">
        <v>0</v>
      </c>
      <c r="C1497" s="18">
        <v>0</v>
      </c>
      <c r="D1497" s="18">
        <v>0</v>
      </c>
      <c r="E1497" s="18">
        <v>0</v>
      </c>
      <c r="F1497" s="18">
        <v>61332.591370049988</v>
      </c>
      <c r="G1497" s="18">
        <v>67959.434963964755</v>
      </c>
      <c r="H1497" s="19">
        <v>0</v>
      </c>
      <c r="I1497" s="19">
        <v>0.10804767002150184</v>
      </c>
      <c r="J1497" s="19">
        <v>0.10804767002150184</v>
      </c>
    </row>
    <row r="1498" spans="1:10" ht="11.25" customHeight="1" x14ac:dyDescent="0.2">
      <c r="A1498" s="28">
        <v>44440</v>
      </c>
      <c r="B1498" s="18">
        <v>0</v>
      </c>
      <c r="C1498" s="18">
        <v>0</v>
      </c>
      <c r="D1498" s="18">
        <v>0</v>
      </c>
      <c r="E1498" s="18">
        <v>0</v>
      </c>
      <c r="F1498" s="18">
        <v>63355.216620149993</v>
      </c>
      <c r="G1498" s="18">
        <v>70200.600159664726</v>
      </c>
      <c r="H1498" s="19">
        <v>0</v>
      </c>
      <c r="I1498" s="19">
        <v>0.10804767002150184</v>
      </c>
      <c r="J1498" s="19">
        <v>0.10804767002150184</v>
      </c>
    </row>
    <row r="1499" spans="1:10" ht="11.25" customHeight="1" x14ac:dyDescent="0.2">
      <c r="A1499" s="28">
        <v>44470</v>
      </c>
      <c r="B1499" s="18">
        <v>0</v>
      </c>
      <c r="C1499" s="18">
        <v>0</v>
      </c>
      <c r="D1499" s="18">
        <v>0</v>
      </c>
      <c r="E1499" s="18">
        <v>0</v>
      </c>
      <c r="F1499" s="18">
        <v>64753.884877499993</v>
      </c>
      <c r="G1499" s="18">
        <v>71750.391263354439</v>
      </c>
      <c r="H1499" s="19">
        <v>0</v>
      </c>
      <c r="I1499" s="19">
        <v>0.10804767002150206</v>
      </c>
      <c r="J1499" s="19">
        <v>0.10804767002150206</v>
      </c>
    </row>
    <row r="1500" spans="1:10" ht="11.25" customHeight="1" x14ac:dyDescent="0.2">
      <c r="A1500" s="28">
        <v>44501</v>
      </c>
      <c r="B1500" s="18">
        <v>0</v>
      </c>
      <c r="C1500" s="18">
        <v>0</v>
      </c>
      <c r="D1500" s="18">
        <v>0</v>
      </c>
      <c r="E1500" s="18">
        <v>0</v>
      </c>
      <c r="F1500" s="18">
        <v>71851.795224300004</v>
      </c>
      <c r="G1500" s="18">
        <v>79615.214285147697</v>
      </c>
      <c r="H1500" s="19">
        <v>0</v>
      </c>
      <c r="I1500" s="19">
        <v>0.10804767002150184</v>
      </c>
      <c r="J1500" s="19">
        <v>0.10804767002150184</v>
      </c>
    </row>
    <row r="1501" spans="1:10" ht="11.25" customHeight="1" x14ac:dyDescent="0.2">
      <c r="A1501" s="28">
        <v>44531</v>
      </c>
      <c r="B1501" s="18">
        <v>0</v>
      </c>
      <c r="C1501" s="18">
        <v>0</v>
      </c>
      <c r="D1501" s="18">
        <v>0</v>
      </c>
      <c r="E1501" s="18">
        <v>0</v>
      </c>
      <c r="F1501" s="18">
        <v>70323.834467249995</v>
      </c>
      <c r="G1501" s="18">
        <v>77922.16092841416</v>
      </c>
      <c r="H1501" s="19">
        <v>0</v>
      </c>
      <c r="I1501" s="19">
        <v>0.10804767002150206</v>
      </c>
      <c r="J1501" s="19">
        <v>0.10804767002150206</v>
      </c>
    </row>
    <row r="1502" spans="1:10" ht="11.25" customHeight="1" x14ac:dyDescent="0.2">
      <c r="A1502" s="28">
        <v>44562</v>
      </c>
      <c r="B1502" s="18">
        <v>0</v>
      </c>
      <c r="C1502" s="18">
        <v>0</v>
      </c>
      <c r="D1502" s="18">
        <v>0</v>
      </c>
      <c r="E1502" s="18">
        <v>0</v>
      </c>
      <c r="F1502" s="18">
        <v>72893.44135709999</v>
      </c>
      <c r="G1502" s="18">
        <v>80769.407855583631</v>
      </c>
      <c r="H1502" s="19">
        <v>0</v>
      </c>
      <c r="I1502" s="19">
        <v>0.10804767002150184</v>
      </c>
      <c r="J1502" s="19">
        <v>0.10804767002150184</v>
      </c>
    </row>
    <row r="1503" spans="1:10" ht="11.25" customHeight="1" x14ac:dyDescent="0.2">
      <c r="A1503" s="28">
        <v>44593</v>
      </c>
      <c r="B1503" s="18">
        <v>0</v>
      </c>
      <c r="C1503" s="18">
        <v>0</v>
      </c>
      <c r="D1503" s="18">
        <v>0</v>
      </c>
      <c r="E1503" s="18">
        <v>0</v>
      </c>
      <c r="F1503" s="18">
        <v>74681.55271394999</v>
      </c>
      <c r="G1503" s="18">
        <v>82750.720478280258</v>
      </c>
      <c r="H1503" s="19">
        <v>0</v>
      </c>
      <c r="I1503" s="19">
        <v>0.10804767002150184</v>
      </c>
      <c r="J1503" s="19">
        <v>0.10804767002150184</v>
      </c>
    </row>
    <row r="1504" spans="1:10" ht="11.25" customHeight="1" x14ac:dyDescent="0.2">
      <c r="A1504" s="28">
        <v>44621</v>
      </c>
      <c r="B1504" s="18">
        <v>0</v>
      </c>
      <c r="C1504" s="18">
        <v>0</v>
      </c>
      <c r="D1504" s="18">
        <v>0</v>
      </c>
      <c r="E1504" s="18">
        <v>0</v>
      </c>
      <c r="F1504" s="18">
        <v>74681.55271394999</v>
      </c>
      <c r="G1504" s="18">
        <v>82750.720478280258</v>
      </c>
      <c r="H1504" s="19">
        <v>0</v>
      </c>
      <c r="I1504" s="19">
        <v>0.10804767002150184</v>
      </c>
      <c r="J1504" s="19">
        <v>0.10804767002150184</v>
      </c>
    </row>
    <row r="1505" spans="1:10" ht="11.25" customHeight="1" x14ac:dyDescent="0.2">
      <c r="A1505" s="27" t="s">
        <v>34</v>
      </c>
      <c r="B1505" s="18">
        <v>474293.17495000013</v>
      </c>
      <c r="C1505" s="18">
        <v>575252.22406031506</v>
      </c>
      <c r="D1505" s="18">
        <v>8791.6952732499994</v>
      </c>
      <c r="E1505" s="18">
        <v>10159.14110093435</v>
      </c>
      <c r="F1505" s="18">
        <v>0</v>
      </c>
      <c r="G1505" s="18">
        <v>0</v>
      </c>
      <c r="H1505" s="19">
        <v>0.2118188774794596</v>
      </c>
      <c r="I1505" s="19">
        <v>0</v>
      </c>
      <c r="J1505" s="19">
        <v>0.2118188774794596</v>
      </c>
    </row>
    <row r="1506" spans="1:10" ht="11.25" customHeight="1" x14ac:dyDescent="0.2">
      <c r="A1506" s="28">
        <v>44287</v>
      </c>
      <c r="B1506" s="18">
        <v>40005.015120000004</v>
      </c>
      <c r="C1506" s="18">
        <v>48520.567313186744</v>
      </c>
      <c r="D1506" s="18">
        <v>771.83922135</v>
      </c>
      <c r="E1506" s="18">
        <v>891.88982479727224</v>
      </c>
      <c r="F1506" s="18">
        <v>0</v>
      </c>
      <c r="G1506" s="18">
        <v>0</v>
      </c>
      <c r="H1506" s="19">
        <v>0.21177707148138292</v>
      </c>
      <c r="I1506" s="19">
        <v>0</v>
      </c>
      <c r="J1506" s="19">
        <v>0.21177707148138292</v>
      </c>
    </row>
    <row r="1507" spans="1:10" ht="11.25" customHeight="1" x14ac:dyDescent="0.2">
      <c r="A1507" s="28">
        <v>44317</v>
      </c>
      <c r="B1507" s="18">
        <v>38127.3851</v>
      </c>
      <c r="C1507" s="18">
        <v>46243.260992931806</v>
      </c>
      <c r="D1507" s="18">
        <v>671.12446805000002</v>
      </c>
      <c r="E1507" s="18">
        <v>775.5100643620292</v>
      </c>
      <c r="F1507" s="18">
        <v>0</v>
      </c>
      <c r="G1507" s="18">
        <v>0</v>
      </c>
      <c r="H1507" s="19">
        <v>0.21187054814118689</v>
      </c>
      <c r="I1507" s="19">
        <v>0</v>
      </c>
      <c r="J1507" s="19">
        <v>0.21187054814118689</v>
      </c>
    </row>
    <row r="1508" spans="1:10" ht="11.25" customHeight="1" x14ac:dyDescent="0.2">
      <c r="A1508" s="28">
        <v>44348</v>
      </c>
      <c r="B1508" s="18">
        <v>39257.795010000002</v>
      </c>
      <c r="C1508" s="18">
        <v>47614.292349003656</v>
      </c>
      <c r="D1508" s="18">
        <v>708.88167565000003</v>
      </c>
      <c r="E1508" s="18">
        <v>819.13996595254173</v>
      </c>
      <c r="F1508" s="18">
        <v>0</v>
      </c>
      <c r="G1508" s="18">
        <v>0</v>
      </c>
      <c r="H1508" s="19">
        <v>0.21184537548367577</v>
      </c>
      <c r="I1508" s="19">
        <v>0</v>
      </c>
      <c r="J1508" s="19">
        <v>0.21184537548367577</v>
      </c>
    </row>
    <row r="1509" spans="1:10" ht="11.25" customHeight="1" x14ac:dyDescent="0.2">
      <c r="A1509" s="28">
        <v>44378</v>
      </c>
      <c r="B1509" s="18">
        <v>38204.02306</v>
      </c>
      <c r="C1509" s="18">
        <v>46336.21227130956</v>
      </c>
      <c r="D1509" s="18">
        <v>714.10854989999996</v>
      </c>
      <c r="E1509" s="18">
        <v>825.17981962947192</v>
      </c>
      <c r="F1509" s="18">
        <v>0</v>
      </c>
      <c r="G1509" s="18">
        <v>0</v>
      </c>
      <c r="H1509" s="19">
        <v>0.21181028328045715</v>
      </c>
      <c r="I1509" s="19">
        <v>0</v>
      </c>
      <c r="J1509" s="19">
        <v>0.21181028328045715</v>
      </c>
    </row>
    <row r="1510" spans="1:10" ht="11.25" customHeight="1" x14ac:dyDescent="0.2">
      <c r="A1510" s="28">
        <v>44409</v>
      </c>
      <c r="B1510" s="18">
        <v>38395.617960000003</v>
      </c>
      <c r="C1510" s="18">
        <v>46568.59046725394</v>
      </c>
      <c r="D1510" s="18">
        <v>739.35837320000007</v>
      </c>
      <c r="E1510" s="18">
        <v>854.35695893033574</v>
      </c>
      <c r="F1510" s="18">
        <v>0</v>
      </c>
      <c r="G1510" s="18">
        <v>0</v>
      </c>
      <c r="H1510" s="19">
        <v>0.21177912623274575</v>
      </c>
      <c r="I1510" s="19">
        <v>0</v>
      </c>
      <c r="J1510" s="19">
        <v>0.21177912623274575</v>
      </c>
    </row>
    <row r="1511" spans="1:10" ht="11.25" customHeight="1" x14ac:dyDescent="0.2">
      <c r="A1511" s="28">
        <v>44440</v>
      </c>
      <c r="B1511" s="18">
        <v>39047.04062</v>
      </c>
      <c r="C1511" s="18">
        <v>47358.676333464835</v>
      </c>
      <c r="D1511" s="18">
        <v>749.77500780000003</v>
      </c>
      <c r="E1511" s="18">
        <v>866.39377974921229</v>
      </c>
      <c r="F1511" s="18">
        <v>0</v>
      </c>
      <c r="G1511" s="18">
        <v>0</v>
      </c>
      <c r="H1511" s="19">
        <v>0.2117821326268754</v>
      </c>
      <c r="I1511" s="19">
        <v>0</v>
      </c>
      <c r="J1511" s="19">
        <v>0.2117821326268754</v>
      </c>
    </row>
    <row r="1512" spans="1:10" ht="11.25" customHeight="1" x14ac:dyDescent="0.2">
      <c r="A1512" s="28">
        <v>44470</v>
      </c>
      <c r="B1512" s="18">
        <v>39430.230420000007</v>
      </c>
      <c r="C1512" s="18">
        <v>47823.432725353603</v>
      </c>
      <c r="D1512" s="18">
        <v>727.7293512</v>
      </c>
      <c r="E1512" s="18">
        <v>840.91917796864436</v>
      </c>
      <c r="F1512" s="18">
        <v>0</v>
      </c>
      <c r="G1512" s="18">
        <v>0</v>
      </c>
      <c r="H1512" s="19">
        <v>0.21182331424672496</v>
      </c>
      <c r="I1512" s="19">
        <v>0</v>
      </c>
      <c r="J1512" s="19">
        <v>0.21182331424672496</v>
      </c>
    </row>
    <row r="1513" spans="1:10" ht="11.25" customHeight="1" x14ac:dyDescent="0.2">
      <c r="A1513" s="28">
        <v>44501</v>
      </c>
      <c r="B1513" s="18">
        <v>39296.113990000005</v>
      </c>
      <c r="C1513" s="18">
        <v>47660.767988192529</v>
      </c>
      <c r="D1513" s="18">
        <v>715.51887810000005</v>
      </c>
      <c r="E1513" s="18">
        <v>826.80950795886861</v>
      </c>
      <c r="F1513" s="18">
        <v>0</v>
      </c>
      <c r="G1513" s="18">
        <v>0</v>
      </c>
      <c r="H1513" s="19">
        <v>0.21183700890170343</v>
      </c>
      <c r="I1513" s="19">
        <v>0</v>
      </c>
      <c r="J1513" s="19">
        <v>0.21183700890170343</v>
      </c>
    </row>
    <row r="1514" spans="1:10" ht="11.25" customHeight="1" x14ac:dyDescent="0.2">
      <c r="A1514" s="28">
        <v>44531</v>
      </c>
      <c r="B1514" s="18">
        <v>39621.825319999996</v>
      </c>
      <c r="C1514" s="18">
        <v>48055.810921297976</v>
      </c>
      <c r="D1514" s="18">
        <v>714.93124135000005</v>
      </c>
      <c r="E1514" s="18">
        <v>826.1304711549534</v>
      </c>
      <c r="F1514" s="18">
        <v>0</v>
      </c>
      <c r="G1514" s="18">
        <v>0</v>
      </c>
      <c r="H1514" s="19">
        <v>0.21184610661757519</v>
      </c>
      <c r="I1514" s="19">
        <v>0</v>
      </c>
      <c r="J1514" s="19">
        <v>0.21184610661757519</v>
      </c>
    </row>
    <row r="1515" spans="1:10" ht="11.25" customHeight="1" x14ac:dyDescent="0.2">
      <c r="A1515" s="28">
        <v>44562</v>
      </c>
      <c r="B1515" s="18">
        <v>41288.700949999999</v>
      </c>
      <c r="C1515" s="18">
        <v>50077.501226014094</v>
      </c>
      <c r="D1515" s="18">
        <v>805.6499842500001</v>
      </c>
      <c r="E1515" s="18">
        <v>930.95945816780647</v>
      </c>
      <c r="F1515" s="18">
        <v>0</v>
      </c>
      <c r="G1515" s="18">
        <v>0</v>
      </c>
      <c r="H1515" s="19">
        <v>0.21176498870015714</v>
      </c>
      <c r="I1515" s="19">
        <v>0</v>
      </c>
      <c r="J1515" s="19">
        <v>0.21176498870015714</v>
      </c>
    </row>
    <row r="1516" spans="1:10" ht="11.25" customHeight="1" x14ac:dyDescent="0.2">
      <c r="A1516" s="28">
        <v>44593</v>
      </c>
      <c r="B1516" s="18">
        <v>40809.7137</v>
      </c>
      <c r="C1516" s="18">
        <v>49496.555736153139</v>
      </c>
      <c r="D1516" s="18">
        <v>736.38926120000008</v>
      </c>
      <c r="E1516" s="18">
        <v>850.926036131606</v>
      </c>
      <c r="F1516" s="18">
        <v>0</v>
      </c>
      <c r="G1516" s="18">
        <v>0</v>
      </c>
      <c r="H1516" s="19">
        <v>0.21184607421072377</v>
      </c>
      <c r="I1516" s="19">
        <v>0</v>
      </c>
      <c r="J1516" s="19">
        <v>0.21184607421072377</v>
      </c>
    </row>
    <row r="1517" spans="1:10" ht="11.25" customHeight="1" x14ac:dyDescent="0.2">
      <c r="A1517" s="28">
        <v>44621</v>
      </c>
      <c r="B1517" s="18">
        <v>40809.7137</v>
      </c>
      <c r="C1517" s="18">
        <v>49496.555736153139</v>
      </c>
      <c r="D1517" s="18">
        <v>736.38926120000008</v>
      </c>
      <c r="E1517" s="18">
        <v>850.926036131606</v>
      </c>
      <c r="F1517" s="18">
        <v>0</v>
      </c>
      <c r="G1517" s="18">
        <v>0</v>
      </c>
      <c r="H1517" s="19">
        <v>0.21184607421072377</v>
      </c>
      <c r="I1517" s="19">
        <v>0</v>
      </c>
      <c r="J1517" s="19">
        <v>0.21184607421072377</v>
      </c>
    </row>
    <row r="1518" spans="1:10" ht="11.25" customHeight="1" x14ac:dyDescent="0.2">
      <c r="A1518" s="26" t="s">
        <v>65</v>
      </c>
      <c r="B1518" s="18">
        <v>0</v>
      </c>
      <c r="C1518" s="18">
        <v>0</v>
      </c>
      <c r="D1518" s="18">
        <v>0</v>
      </c>
      <c r="E1518" s="18">
        <v>0</v>
      </c>
      <c r="F1518" s="18">
        <v>-216924.47399999999</v>
      </c>
      <c r="G1518" s="18">
        <v>-240362.65798633988</v>
      </c>
      <c r="H1518" s="19">
        <v>0</v>
      </c>
      <c r="I1518" s="19">
        <v>0.10804767002150206</v>
      </c>
      <c r="J1518" s="19">
        <v>0.10804767002150206</v>
      </c>
    </row>
    <row r="1519" spans="1:10" ht="11.25" customHeight="1" x14ac:dyDescent="0.2">
      <c r="A1519" s="27" t="s">
        <v>25</v>
      </c>
      <c r="B1519" s="18">
        <v>0</v>
      </c>
      <c r="C1519" s="18">
        <v>0</v>
      </c>
      <c r="D1519" s="18">
        <v>0</v>
      </c>
      <c r="E1519" s="18">
        <v>0</v>
      </c>
      <c r="F1519" s="18">
        <v>-216924.47399999999</v>
      </c>
      <c r="G1519" s="18">
        <v>-240362.65798633988</v>
      </c>
      <c r="H1519" s="19">
        <v>0</v>
      </c>
      <c r="I1519" s="19">
        <v>0.10804767002150206</v>
      </c>
      <c r="J1519" s="19">
        <v>0.10804767002150206</v>
      </c>
    </row>
    <row r="1520" spans="1:10" ht="11.25" customHeight="1" x14ac:dyDescent="0.2">
      <c r="A1520" s="28">
        <v>44593</v>
      </c>
      <c r="B1520" s="18">
        <v>0</v>
      </c>
      <c r="C1520" s="18">
        <v>0</v>
      </c>
      <c r="D1520" s="18">
        <v>0</v>
      </c>
      <c r="E1520" s="18">
        <v>0</v>
      </c>
      <c r="F1520" s="18">
        <v>-108462.23699999999</v>
      </c>
      <c r="G1520" s="18">
        <v>-120181.32899316994</v>
      </c>
      <c r="H1520" s="19">
        <v>0</v>
      </c>
      <c r="I1520" s="19">
        <v>0.10804767002150206</v>
      </c>
      <c r="J1520" s="19">
        <v>0.10804767002150206</v>
      </c>
    </row>
    <row r="1521" spans="1:10" ht="11.25" customHeight="1" x14ac:dyDescent="0.2">
      <c r="A1521" s="28">
        <v>44621</v>
      </c>
      <c r="B1521" s="18">
        <v>0</v>
      </c>
      <c r="C1521" s="18">
        <v>0</v>
      </c>
      <c r="D1521" s="18">
        <v>0</v>
      </c>
      <c r="E1521" s="18">
        <v>0</v>
      </c>
      <c r="F1521" s="18">
        <v>-108462.23699999999</v>
      </c>
      <c r="G1521" s="18">
        <v>-120181.32899316994</v>
      </c>
      <c r="H1521" s="19">
        <v>0</v>
      </c>
      <c r="I1521" s="19">
        <v>0.10804767002150206</v>
      </c>
      <c r="J1521" s="19">
        <v>0.10804767002150206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4DD2-05B6-4146-A6EF-20941452A526}">
  <dimension ref="A1:G787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1007</v>
      </c>
      <c r="B1" s="18" t="s">
        <v>1033</v>
      </c>
      <c r="C1" s="18" t="s">
        <v>1034</v>
      </c>
      <c r="D1" s="18" t="s">
        <v>1035</v>
      </c>
      <c r="E1" s="18" t="s">
        <v>1036</v>
      </c>
      <c r="F1" s="18" t="s">
        <v>1037</v>
      </c>
      <c r="G1" s="18" t="s">
        <v>1038</v>
      </c>
    </row>
    <row r="2" spans="1:7" ht="11.25" customHeight="1" x14ac:dyDescent="0.2">
      <c r="A2" s="20" t="s">
        <v>1025</v>
      </c>
      <c r="B2" s="18">
        <v>1539929.4045000004</v>
      </c>
      <c r="C2" s="18">
        <v>3268494.2998055988</v>
      </c>
      <c r="D2" s="18">
        <v>1808475.4939432028</v>
      </c>
      <c r="E2" s="18">
        <v>3708484.374440629</v>
      </c>
      <c r="F2" s="18">
        <v>4808423.7043055994</v>
      </c>
      <c r="G2" s="18">
        <v>5516959.8683838323</v>
      </c>
    </row>
    <row r="3" spans="1:7" ht="11.25" customHeight="1" x14ac:dyDescent="0.2">
      <c r="A3" s="21" t="s">
        <v>39</v>
      </c>
      <c r="B3" s="18">
        <v>130136.55899999999</v>
      </c>
      <c r="C3" s="18">
        <v>404406.94688520016</v>
      </c>
      <c r="D3" s="18">
        <v>138867.28223813543</v>
      </c>
      <c r="E3" s="18">
        <v>443885.30591940752</v>
      </c>
      <c r="F3" s="18">
        <v>534543.50588520011</v>
      </c>
      <c r="G3" s="18">
        <v>582752.58815754298</v>
      </c>
    </row>
    <row r="4" spans="1:7" ht="11.25" customHeight="1" x14ac:dyDescent="0.2">
      <c r="A4" s="22" t="s">
        <v>40</v>
      </c>
      <c r="B4" s="18">
        <v>130136.55899999999</v>
      </c>
      <c r="C4" s="18">
        <v>404406.94688520016</v>
      </c>
      <c r="D4" s="18">
        <v>138867.28223813543</v>
      </c>
      <c r="E4" s="18">
        <v>443885.30591940752</v>
      </c>
      <c r="F4" s="18">
        <v>534543.50588520011</v>
      </c>
      <c r="G4" s="18">
        <v>582752.58815754298</v>
      </c>
    </row>
    <row r="5" spans="1:7" ht="11.25" customHeight="1" x14ac:dyDescent="0.2">
      <c r="A5" s="23" t="s">
        <v>50</v>
      </c>
      <c r="B5" s="18">
        <v>130136.55899999999</v>
      </c>
      <c r="C5" s="18">
        <v>404406.94688520016</v>
      </c>
      <c r="D5" s="18">
        <v>138867.28223813543</v>
      </c>
      <c r="E5" s="18">
        <v>443885.30591940752</v>
      </c>
      <c r="F5" s="18">
        <v>534543.50588520011</v>
      </c>
      <c r="G5" s="18">
        <v>582752.58815754298</v>
      </c>
    </row>
    <row r="6" spans="1:7" ht="11.25" customHeight="1" x14ac:dyDescent="0.2">
      <c r="A6" s="24" t="s">
        <v>51</v>
      </c>
      <c r="B6" s="18">
        <v>130136.55899999999</v>
      </c>
      <c r="C6" s="18">
        <v>404406.94688520016</v>
      </c>
      <c r="D6" s="18">
        <v>138867.28223813543</v>
      </c>
      <c r="E6" s="18">
        <v>443885.30591940752</v>
      </c>
      <c r="F6" s="18">
        <v>534543.50588520011</v>
      </c>
      <c r="G6" s="18">
        <v>582752.58815754298</v>
      </c>
    </row>
    <row r="7" spans="1:7" ht="11.25" customHeight="1" x14ac:dyDescent="0.2">
      <c r="A7" s="25" t="s">
        <v>25</v>
      </c>
      <c r="B7" s="18">
        <v>130136.55899999999</v>
      </c>
      <c r="C7" s="18">
        <v>404406.94688520016</v>
      </c>
      <c r="D7" s="18">
        <v>138867.28223813543</v>
      </c>
      <c r="E7" s="18">
        <v>443885.30591940752</v>
      </c>
      <c r="F7" s="18">
        <v>534543.50588520011</v>
      </c>
      <c r="G7" s="18">
        <v>582752.58815754298</v>
      </c>
    </row>
    <row r="8" spans="1:7" ht="11.25" customHeight="1" x14ac:dyDescent="0.2">
      <c r="A8" s="26" t="s">
        <v>25</v>
      </c>
      <c r="B8" s="18">
        <v>130136.55899999999</v>
      </c>
      <c r="C8" s="18">
        <v>404406.94688520016</v>
      </c>
      <c r="D8" s="18">
        <v>138867.28223813543</v>
      </c>
      <c r="E8" s="18">
        <v>443885.30591940752</v>
      </c>
      <c r="F8" s="18">
        <v>534543.50588520011</v>
      </c>
      <c r="G8" s="18">
        <v>582752.58815754298</v>
      </c>
    </row>
    <row r="9" spans="1:7" ht="11.25" customHeight="1" x14ac:dyDescent="0.2">
      <c r="A9" s="27" t="s">
        <v>35</v>
      </c>
      <c r="B9" s="18">
        <v>66758.399999999994</v>
      </c>
      <c r="C9" s="18">
        <v>382262.66344200016</v>
      </c>
      <c r="D9" s="18">
        <v>65663.107018982148</v>
      </c>
      <c r="E9" s="18">
        <v>420167.38992400671</v>
      </c>
      <c r="F9" s="18">
        <v>449021.06344200019</v>
      </c>
      <c r="G9" s="18">
        <v>485830.49694298883</v>
      </c>
    </row>
    <row r="10" spans="1:7" ht="11.25" customHeight="1" x14ac:dyDescent="0.2">
      <c r="A10" s="28">
        <v>44287</v>
      </c>
      <c r="B10" s="18">
        <v>16689.599999999999</v>
      </c>
      <c r="C10" s="18">
        <v>95582.046746999884</v>
      </c>
      <c r="D10" s="18">
        <v>16415.776754745537</v>
      </c>
      <c r="E10" s="18">
        <v>105059.852677385</v>
      </c>
      <c r="F10" s="18">
        <v>112271.64674699988</v>
      </c>
      <c r="G10" s="18">
        <v>121475.62943213055</v>
      </c>
    </row>
    <row r="11" spans="1:7" ht="11.25" customHeight="1" x14ac:dyDescent="0.2">
      <c r="A11" s="28">
        <v>44317</v>
      </c>
      <c r="B11" s="18">
        <v>16689.599999999999</v>
      </c>
      <c r="C11" s="18">
        <v>98689.442827799983</v>
      </c>
      <c r="D11" s="18">
        <v>16415.776754745537</v>
      </c>
      <c r="E11" s="18">
        <v>108475.37458311766</v>
      </c>
      <c r="F11" s="18">
        <v>115379.04282779997</v>
      </c>
      <c r="G11" s="18">
        <v>124891.15133786321</v>
      </c>
    </row>
    <row r="12" spans="1:7" ht="11.25" customHeight="1" x14ac:dyDescent="0.2">
      <c r="A12" s="28">
        <v>44348</v>
      </c>
      <c r="B12" s="18">
        <v>16689.599999999999</v>
      </c>
      <c r="C12" s="18">
        <v>91402.016277000177</v>
      </c>
      <c r="D12" s="18">
        <v>16415.776754745537</v>
      </c>
      <c r="E12" s="18">
        <v>100465.33518889091</v>
      </c>
      <c r="F12" s="18">
        <v>108091.61627700017</v>
      </c>
      <c r="G12" s="18">
        <v>116881.11194363644</v>
      </c>
    </row>
    <row r="13" spans="1:7" ht="11.25" customHeight="1" x14ac:dyDescent="0.2">
      <c r="A13" s="28">
        <v>44378</v>
      </c>
      <c r="B13" s="18">
        <v>16689.599999999999</v>
      </c>
      <c r="C13" s="18">
        <v>96589.157590200106</v>
      </c>
      <c r="D13" s="18">
        <v>16415.776754745537</v>
      </c>
      <c r="E13" s="18">
        <v>106166.82747461316</v>
      </c>
      <c r="F13" s="18">
        <v>113278.75759020011</v>
      </c>
      <c r="G13" s="18">
        <v>122582.60422935869</v>
      </c>
    </row>
    <row r="14" spans="1:7" ht="11.25" customHeight="1" x14ac:dyDescent="0.2">
      <c r="A14" s="27" t="s">
        <v>34</v>
      </c>
      <c r="B14" s="18">
        <v>63378.159000000014</v>
      </c>
      <c r="C14" s="18">
        <v>22144.283443200005</v>
      </c>
      <c r="D14" s="18">
        <v>73204.175219153272</v>
      </c>
      <c r="E14" s="18">
        <v>23717.915995400792</v>
      </c>
      <c r="F14" s="18">
        <v>85522.442443200023</v>
      </c>
      <c r="G14" s="18">
        <v>96922.091214554064</v>
      </c>
    </row>
    <row r="15" spans="1:7" ht="11.25" customHeight="1" x14ac:dyDescent="0.2">
      <c r="A15" s="28">
        <v>44287</v>
      </c>
      <c r="B15" s="18">
        <v>15996.513000000008</v>
      </c>
      <c r="C15" s="18">
        <v>5263.9728624000018</v>
      </c>
      <c r="D15" s="18">
        <v>18476.578667226095</v>
      </c>
      <c r="E15" s="18">
        <v>5638.0449822507744</v>
      </c>
      <c r="F15" s="18">
        <v>21260.485862400012</v>
      </c>
      <c r="G15" s="18">
        <v>24114.623649476867</v>
      </c>
    </row>
    <row r="16" spans="1:7" ht="11.25" customHeight="1" x14ac:dyDescent="0.2">
      <c r="A16" s="28">
        <v>44317</v>
      </c>
      <c r="B16" s="18">
        <v>15728.7</v>
      </c>
      <c r="C16" s="18">
        <v>5536.7451456000017</v>
      </c>
      <c r="D16" s="18">
        <v>18167.244504049035</v>
      </c>
      <c r="E16" s="18">
        <v>5930.2012001480816</v>
      </c>
      <c r="F16" s="18">
        <v>21265.445145600002</v>
      </c>
      <c r="G16" s="18">
        <v>24097.445704197118</v>
      </c>
    </row>
    <row r="17" spans="1:7" ht="11.25" customHeight="1" x14ac:dyDescent="0.2">
      <c r="A17" s="28">
        <v>44348</v>
      </c>
      <c r="B17" s="18">
        <v>15728.7</v>
      </c>
      <c r="C17" s="18">
        <v>5534.4333119999974</v>
      </c>
      <c r="D17" s="18">
        <v>18167.244504049035</v>
      </c>
      <c r="E17" s="18">
        <v>5927.7250814124782</v>
      </c>
      <c r="F17" s="18">
        <v>21263.133311999998</v>
      </c>
      <c r="G17" s="18">
        <v>24094.969585461513</v>
      </c>
    </row>
    <row r="18" spans="1:7" ht="11.25" customHeight="1" x14ac:dyDescent="0.2">
      <c r="A18" s="28">
        <v>44378</v>
      </c>
      <c r="B18" s="18">
        <v>15924.246000000003</v>
      </c>
      <c r="C18" s="18">
        <v>5809.1321232000046</v>
      </c>
      <c r="D18" s="18">
        <v>18393.107543829108</v>
      </c>
      <c r="E18" s="18">
        <v>6221.9447315894595</v>
      </c>
      <c r="F18" s="18">
        <v>21733.378123200007</v>
      </c>
      <c r="G18" s="18">
        <v>24615.052275418566</v>
      </c>
    </row>
    <row r="19" spans="1:7" ht="11.25" customHeight="1" x14ac:dyDescent="0.2">
      <c r="A19" s="21" t="s">
        <v>41</v>
      </c>
      <c r="B19" s="18">
        <v>1409792.8455000005</v>
      </c>
      <c r="C19" s="18">
        <v>1967132.6199131992</v>
      </c>
      <c r="D19" s="18">
        <v>1669608.2117050674</v>
      </c>
      <c r="E19" s="18">
        <v>2217278.2838260923</v>
      </c>
      <c r="F19" s="18">
        <v>3376925.4654131997</v>
      </c>
      <c r="G19" s="18">
        <v>3886886.4955311599</v>
      </c>
    </row>
    <row r="20" spans="1:7" ht="11.25" customHeight="1" x14ac:dyDescent="0.2">
      <c r="A20" s="22" t="s">
        <v>40</v>
      </c>
      <c r="B20" s="18">
        <v>976209.4095000003</v>
      </c>
      <c r="C20" s="18">
        <v>690570.04902179982</v>
      </c>
      <c r="D20" s="18">
        <v>1174050.9384378702</v>
      </c>
      <c r="E20" s="18">
        <v>763332.4036435365</v>
      </c>
      <c r="F20" s="18">
        <v>1666779.4585218001</v>
      </c>
      <c r="G20" s="18">
        <v>1937383.3420814066</v>
      </c>
    </row>
    <row r="21" spans="1:7" ht="11.25" customHeight="1" x14ac:dyDescent="0.2">
      <c r="A21" s="23" t="s">
        <v>50</v>
      </c>
      <c r="B21" s="18">
        <v>976209.4095000003</v>
      </c>
      <c r="C21" s="18">
        <v>690570.04902179982</v>
      </c>
      <c r="D21" s="18">
        <v>1174050.9384378702</v>
      </c>
      <c r="E21" s="18">
        <v>763332.4036435365</v>
      </c>
      <c r="F21" s="18">
        <v>1666779.4585218001</v>
      </c>
      <c r="G21" s="18">
        <v>1937383.3420814066</v>
      </c>
    </row>
    <row r="22" spans="1:7" ht="11.25" customHeight="1" x14ac:dyDescent="0.2">
      <c r="A22" s="24" t="s">
        <v>51</v>
      </c>
      <c r="B22" s="18">
        <v>976209.4095000003</v>
      </c>
      <c r="C22" s="18">
        <v>690570.04902179982</v>
      </c>
      <c r="D22" s="18">
        <v>1174050.9384378702</v>
      </c>
      <c r="E22" s="18">
        <v>763332.4036435365</v>
      </c>
      <c r="F22" s="18">
        <v>1666779.4585218001</v>
      </c>
      <c r="G22" s="18">
        <v>1937383.3420814066</v>
      </c>
    </row>
    <row r="23" spans="1:7" ht="11.25" customHeight="1" x14ac:dyDescent="0.2">
      <c r="A23" s="25" t="s">
        <v>25</v>
      </c>
      <c r="B23" s="18">
        <v>976209.4095000003</v>
      </c>
      <c r="C23" s="18">
        <v>690570.04902179982</v>
      </c>
      <c r="D23" s="18">
        <v>1174050.9384378702</v>
      </c>
      <c r="E23" s="18">
        <v>763332.4036435365</v>
      </c>
      <c r="F23" s="18">
        <v>1666779.4585218001</v>
      </c>
      <c r="G23" s="18">
        <v>1937383.3420814066</v>
      </c>
    </row>
    <row r="24" spans="1:7" ht="11.25" customHeight="1" x14ac:dyDescent="0.2">
      <c r="A24" s="26" t="s">
        <v>25</v>
      </c>
      <c r="B24" s="18">
        <v>976209.4095000003</v>
      </c>
      <c r="C24" s="18">
        <v>690570.04902179982</v>
      </c>
      <c r="D24" s="18">
        <v>1174050.9384378702</v>
      </c>
      <c r="E24" s="18">
        <v>763332.4036435365</v>
      </c>
      <c r="F24" s="18">
        <v>1666779.4585218001</v>
      </c>
      <c r="G24" s="18">
        <v>1937383.3420814066</v>
      </c>
    </row>
    <row r="25" spans="1:7" ht="11.25" customHeight="1" x14ac:dyDescent="0.2">
      <c r="A25" s="27" t="s">
        <v>35</v>
      </c>
      <c r="B25" s="18">
        <v>291803.86950000009</v>
      </c>
      <c r="C25" s="18">
        <v>605765.14762079983</v>
      </c>
      <c r="D25" s="18">
        <v>333512.57887590781</v>
      </c>
      <c r="E25" s="18">
        <v>671859.07460268307</v>
      </c>
      <c r="F25" s="18">
        <v>897569.01712079975</v>
      </c>
      <c r="G25" s="18">
        <v>1005371.6534785909</v>
      </c>
    </row>
    <row r="26" spans="1:7" ht="11.25" customHeight="1" x14ac:dyDescent="0.2">
      <c r="A26" s="28">
        <v>44287</v>
      </c>
      <c r="B26" s="18">
        <v>25620.309000000012</v>
      </c>
      <c r="C26" s="18">
        <v>56206.343464800026</v>
      </c>
      <c r="D26" s="18">
        <v>29282.323571749741</v>
      </c>
      <c r="E26" s="18">
        <v>62338.914768170245</v>
      </c>
      <c r="F26" s="18">
        <v>81826.652464800034</v>
      </c>
      <c r="G26" s="18">
        <v>91621.23833991999</v>
      </c>
    </row>
    <row r="27" spans="1:7" ht="11.25" customHeight="1" x14ac:dyDescent="0.2">
      <c r="A27" s="28">
        <v>44317</v>
      </c>
      <c r="B27" s="18">
        <v>25758.876000000007</v>
      </c>
      <c r="C27" s="18">
        <v>57193.332559199916</v>
      </c>
      <c r="D27" s="18">
        <v>29440.69651449475</v>
      </c>
      <c r="E27" s="18">
        <v>63433.592436918465</v>
      </c>
      <c r="F27" s="18">
        <v>82952.20855919992</v>
      </c>
      <c r="G27" s="18">
        <v>92874.288951413211</v>
      </c>
    </row>
    <row r="28" spans="1:7" ht="11.25" customHeight="1" x14ac:dyDescent="0.2">
      <c r="A28" s="28">
        <v>44348</v>
      </c>
      <c r="B28" s="18">
        <v>41325.784500000016</v>
      </c>
      <c r="C28" s="18">
        <v>90718.263487199787</v>
      </c>
      <c r="D28" s="18">
        <v>47232.646319191539</v>
      </c>
      <c r="E28" s="18">
        <v>100616.36724307912</v>
      </c>
      <c r="F28" s="18">
        <v>132044.0479871998</v>
      </c>
      <c r="G28" s="18">
        <v>147849.01356227067</v>
      </c>
    </row>
    <row r="29" spans="1:7" ht="11.25" customHeight="1" x14ac:dyDescent="0.2">
      <c r="A29" s="28">
        <v>44378</v>
      </c>
      <c r="B29" s="18">
        <v>42102.489000000009</v>
      </c>
      <c r="C29" s="18">
        <v>91791.939140400122</v>
      </c>
      <c r="D29" s="18">
        <v>48120.368340367553</v>
      </c>
      <c r="E29" s="18">
        <v>101807.18968246147</v>
      </c>
      <c r="F29" s="18">
        <v>133894.42814040012</v>
      </c>
      <c r="G29" s="18">
        <v>149927.55802282901</v>
      </c>
    </row>
    <row r="30" spans="1:7" ht="11.25" customHeight="1" x14ac:dyDescent="0.2">
      <c r="A30" s="28">
        <v>44409</v>
      </c>
      <c r="B30" s="18">
        <v>19625.463000000003</v>
      </c>
      <c r="C30" s="18">
        <v>39255.600244800065</v>
      </c>
      <c r="D30" s="18">
        <v>22430.609943517942</v>
      </c>
      <c r="E30" s="18">
        <v>43538.706967595499</v>
      </c>
      <c r="F30" s="18">
        <v>58881.063244800069</v>
      </c>
      <c r="G30" s="18">
        <v>65969.316911113448</v>
      </c>
    </row>
    <row r="31" spans="1:7" ht="11.25" customHeight="1" x14ac:dyDescent="0.2">
      <c r="A31" s="28">
        <v>44440</v>
      </c>
      <c r="B31" s="18">
        <v>19417.612499999999</v>
      </c>
      <c r="C31" s="18">
        <v>38601.322731600041</v>
      </c>
      <c r="D31" s="18">
        <v>22193.050529400411</v>
      </c>
      <c r="E31" s="18">
        <v>42813.042431960843</v>
      </c>
      <c r="F31" s="18">
        <v>58018.935231600044</v>
      </c>
      <c r="G31" s="18">
        <v>65006.092961361253</v>
      </c>
    </row>
    <row r="32" spans="1:7" ht="11.25" customHeight="1" x14ac:dyDescent="0.2">
      <c r="A32" s="28">
        <v>44470</v>
      </c>
      <c r="B32" s="18">
        <v>19618.169999999998</v>
      </c>
      <c r="C32" s="18">
        <v>39191.270643600001</v>
      </c>
      <c r="D32" s="18">
        <v>22422.274525478722</v>
      </c>
      <c r="E32" s="18">
        <v>43467.35848130245</v>
      </c>
      <c r="F32" s="18">
        <v>58809.440643599999</v>
      </c>
      <c r="G32" s="18">
        <v>65889.633006781165</v>
      </c>
    </row>
    <row r="33" spans="1:7" ht="11.25" customHeight="1" x14ac:dyDescent="0.2">
      <c r="A33" s="28">
        <v>44501</v>
      </c>
      <c r="B33" s="18">
        <v>19545.239999999998</v>
      </c>
      <c r="C33" s="18">
        <v>38453.638775999934</v>
      </c>
      <c r="D33" s="18">
        <v>22338.920345086612</v>
      </c>
      <c r="E33" s="18">
        <v>42649.244950159737</v>
      </c>
      <c r="F33" s="18">
        <v>57998.878775999932</v>
      </c>
      <c r="G33" s="18">
        <v>64988.165295246348</v>
      </c>
    </row>
    <row r="34" spans="1:7" ht="11.25" customHeight="1" x14ac:dyDescent="0.2">
      <c r="A34" s="28">
        <v>44531</v>
      </c>
      <c r="B34" s="18">
        <v>19293.631500000014</v>
      </c>
      <c r="C34" s="18">
        <v>38833.739884799965</v>
      </c>
      <c r="D34" s="18">
        <v>22051.34842273383</v>
      </c>
      <c r="E34" s="18">
        <v>43070.818195528598</v>
      </c>
      <c r="F34" s="18">
        <v>58127.371384799975</v>
      </c>
      <c r="G34" s="18">
        <v>65122.166618262432</v>
      </c>
    </row>
    <row r="35" spans="1:7" ht="11.25" customHeight="1" x14ac:dyDescent="0.2">
      <c r="A35" s="28">
        <v>44562</v>
      </c>
      <c r="B35" s="18">
        <v>19676.514000000014</v>
      </c>
      <c r="C35" s="18">
        <v>40816.171695600053</v>
      </c>
      <c r="D35" s="18">
        <v>22488.95786979243</v>
      </c>
      <c r="E35" s="18">
        <v>45269.549514255486</v>
      </c>
      <c r="F35" s="18">
        <v>60492.68569560007</v>
      </c>
      <c r="G35" s="18">
        <v>67758.507384047916</v>
      </c>
    </row>
    <row r="36" spans="1:7" ht="11.25" customHeight="1" x14ac:dyDescent="0.2">
      <c r="A36" s="28">
        <v>44593</v>
      </c>
      <c r="B36" s="18">
        <v>19909.89</v>
      </c>
      <c r="C36" s="18">
        <v>37351.76249639997</v>
      </c>
      <c r="D36" s="18">
        <v>22755.69124704718</v>
      </c>
      <c r="E36" s="18">
        <v>41427.144965625645</v>
      </c>
      <c r="F36" s="18">
        <v>57261.652496399969</v>
      </c>
      <c r="G36" s="18">
        <v>64182.836212672824</v>
      </c>
    </row>
    <row r="37" spans="1:7" ht="11.25" customHeight="1" x14ac:dyDescent="0.2">
      <c r="A37" s="28">
        <v>44621</v>
      </c>
      <c r="B37" s="18">
        <v>19909.89</v>
      </c>
      <c r="C37" s="18">
        <v>37351.76249639997</v>
      </c>
      <c r="D37" s="18">
        <v>22755.69124704718</v>
      </c>
      <c r="E37" s="18">
        <v>41427.144965625645</v>
      </c>
      <c r="F37" s="18">
        <v>57261.652496399969</v>
      </c>
      <c r="G37" s="18">
        <v>64182.836212672824</v>
      </c>
    </row>
    <row r="38" spans="1:7" ht="11.25" customHeight="1" x14ac:dyDescent="0.2">
      <c r="A38" s="27" t="s">
        <v>34</v>
      </c>
      <c r="B38" s="18">
        <v>684405.54000000027</v>
      </c>
      <c r="C38" s="18">
        <v>84804.901400999952</v>
      </c>
      <c r="D38" s="18">
        <v>840538.35956196231</v>
      </c>
      <c r="E38" s="18">
        <v>91473.32904085335</v>
      </c>
      <c r="F38" s="18">
        <v>769210.44140100025</v>
      </c>
      <c r="G38" s="18">
        <v>932011.68860281562</v>
      </c>
    </row>
    <row r="39" spans="1:7" ht="11.25" customHeight="1" x14ac:dyDescent="0.2">
      <c r="A39" s="28">
        <v>44287</v>
      </c>
      <c r="B39" s="18">
        <v>62149.100999999988</v>
      </c>
      <c r="C39" s="18">
        <v>7575.7033085999856</v>
      </c>
      <c r="D39" s="18">
        <v>76327.119448493497</v>
      </c>
      <c r="E39" s="18">
        <v>8171.4003555845975</v>
      </c>
      <c r="F39" s="18">
        <v>69724.804308599967</v>
      </c>
      <c r="G39" s="18">
        <v>84498.519804078096</v>
      </c>
    </row>
    <row r="40" spans="1:7" ht="11.25" customHeight="1" x14ac:dyDescent="0.2">
      <c r="A40" s="28">
        <v>44317</v>
      </c>
      <c r="B40" s="18">
        <v>60580.904999999999</v>
      </c>
      <c r="C40" s="18">
        <v>7595.358181799993</v>
      </c>
      <c r="D40" s="18">
        <v>74401.17230710767</v>
      </c>
      <c r="E40" s="18">
        <v>8192.6007420455062</v>
      </c>
      <c r="F40" s="18">
        <v>68176.263181799994</v>
      </c>
      <c r="G40" s="18">
        <v>82593.773049153184</v>
      </c>
    </row>
    <row r="41" spans="1:7" ht="11.25" customHeight="1" x14ac:dyDescent="0.2">
      <c r="A41" s="28">
        <v>44348</v>
      </c>
      <c r="B41" s="18">
        <v>97489.518000000011</v>
      </c>
      <c r="C41" s="18">
        <v>12651.161710199995</v>
      </c>
      <c r="D41" s="18">
        <v>119729.71395615295</v>
      </c>
      <c r="E41" s="18">
        <v>13645.955112831763</v>
      </c>
      <c r="F41" s="18">
        <v>110140.6797102</v>
      </c>
      <c r="G41" s="18">
        <v>133375.66906898472</v>
      </c>
    </row>
    <row r="42" spans="1:7" ht="11.25" customHeight="1" x14ac:dyDescent="0.2">
      <c r="A42" s="28">
        <v>44378</v>
      </c>
      <c r="B42" s="18">
        <v>98208.274500000072</v>
      </c>
      <c r="C42" s="18">
        <v>13572.790217399976</v>
      </c>
      <c r="D42" s="18">
        <v>120612.43972928818</v>
      </c>
      <c r="E42" s="18">
        <v>14640.053641334269</v>
      </c>
      <c r="F42" s="18">
        <v>111781.06471740005</v>
      </c>
      <c r="G42" s="18">
        <v>135252.49337062245</v>
      </c>
    </row>
    <row r="43" spans="1:7" ht="11.25" customHeight="1" x14ac:dyDescent="0.2">
      <c r="A43" s="28">
        <v>44409</v>
      </c>
      <c r="B43" s="18">
        <v>44852.272499999999</v>
      </c>
      <c r="C43" s="18">
        <v>5665.8297773999966</v>
      </c>
      <c r="D43" s="18">
        <v>55084.381037850901</v>
      </c>
      <c r="E43" s="18">
        <v>6111.3485536280996</v>
      </c>
      <c r="F43" s="18">
        <v>50518.102277399994</v>
      </c>
      <c r="G43" s="18">
        <v>61195.729591479001</v>
      </c>
    </row>
    <row r="44" spans="1:7" ht="11.25" customHeight="1" x14ac:dyDescent="0.2">
      <c r="A44" s="28">
        <v>44440</v>
      </c>
      <c r="B44" s="18">
        <v>45347.000999999989</v>
      </c>
      <c r="C44" s="18">
        <v>5495.1624624000051</v>
      </c>
      <c r="D44" s="18">
        <v>55691.971505073801</v>
      </c>
      <c r="E44" s="18">
        <v>5927.2612284427996</v>
      </c>
      <c r="F44" s="18">
        <v>50842.163462399993</v>
      </c>
      <c r="G44" s="18">
        <v>61619.232733516605</v>
      </c>
    </row>
    <row r="45" spans="1:7" ht="11.25" customHeight="1" x14ac:dyDescent="0.2">
      <c r="A45" s="28">
        <v>44470</v>
      </c>
      <c r="B45" s="18">
        <v>44842.937999999995</v>
      </c>
      <c r="C45" s="18">
        <v>5336.7481854000052</v>
      </c>
      <c r="D45" s="18">
        <v>55072.917066771217</v>
      </c>
      <c r="E45" s="18">
        <v>5756.3904291682302</v>
      </c>
      <c r="F45" s="18">
        <v>50179.686185400002</v>
      </c>
      <c r="G45" s="18">
        <v>60829.307495939443</v>
      </c>
    </row>
    <row r="46" spans="1:7" ht="11.25" customHeight="1" x14ac:dyDescent="0.2">
      <c r="A46" s="28">
        <v>44501</v>
      </c>
      <c r="B46" s="18">
        <v>47092.552499999998</v>
      </c>
      <c r="C46" s="18">
        <v>5340.9742332000087</v>
      </c>
      <c r="D46" s="18">
        <v>57835.734096973523</v>
      </c>
      <c r="E46" s="18">
        <v>5760.9487819823471</v>
      </c>
      <c r="F46" s="18">
        <v>52433.526733200008</v>
      </c>
      <c r="G46" s="18">
        <v>63596.682878955871</v>
      </c>
    </row>
    <row r="47" spans="1:7" ht="11.25" customHeight="1" x14ac:dyDescent="0.2">
      <c r="A47" s="28">
        <v>44531</v>
      </c>
      <c r="B47" s="18">
        <v>45001.624500000034</v>
      </c>
      <c r="C47" s="18">
        <v>5514.1921806000046</v>
      </c>
      <c r="D47" s="18">
        <v>55267.804575125781</v>
      </c>
      <c r="E47" s="18">
        <v>5947.7873023572338</v>
      </c>
      <c r="F47" s="18">
        <v>50515.816680600037</v>
      </c>
      <c r="G47" s="18">
        <v>61215.591877483013</v>
      </c>
    </row>
    <row r="48" spans="1:7" ht="11.25" customHeight="1" x14ac:dyDescent="0.2">
      <c r="A48" s="28">
        <v>44562</v>
      </c>
      <c r="B48" s="18">
        <v>46523.148000000023</v>
      </c>
      <c r="C48" s="18">
        <v>5650.4009520000036</v>
      </c>
      <c r="D48" s="18">
        <v>57136.431861113218</v>
      </c>
      <c r="E48" s="18">
        <v>6094.7065199813178</v>
      </c>
      <c r="F48" s="18">
        <v>52173.548952000026</v>
      </c>
      <c r="G48" s="18">
        <v>63231.138381094534</v>
      </c>
    </row>
    <row r="49" spans="1:7" ht="11.25" customHeight="1" x14ac:dyDescent="0.2">
      <c r="A49" s="28">
        <v>44593</v>
      </c>
      <c r="B49" s="18">
        <v>46159.102500000001</v>
      </c>
      <c r="C49" s="18">
        <v>5203.2900960000024</v>
      </c>
      <c r="D49" s="18">
        <v>56689.336989005766</v>
      </c>
      <c r="E49" s="18">
        <v>5612.4381867485954</v>
      </c>
      <c r="F49" s="18">
        <v>51362.392596000005</v>
      </c>
      <c r="G49" s="18">
        <v>62301.775175754359</v>
      </c>
    </row>
    <row r="50" spans="1:7" ht="11.25" customHeight="1" x14ac:dyDescent="0.2">
      <c r="A50" s="28">
        <v>44621</v>
      </c>
      <c r="B50" s="18">
        <v>46159.102500000001</v>
      </c>
      <c r="C50" s="18">
        <v>5203.2900960000024</v>
      </c>
      <c r="D50" s="18">
        <v>56689.336989005766</v>
      </c>
      <c r="E50" s="18">
        <v>5612.4381867485954</v>
      </c>
      <c r="F50" s="18">
        <v>51362.392596000005</v>
      </c>
      <c r="G50" s="18">
        <v>62301.775175754359</v>
      </c>
    </row>
    <row r="51" spans="1:7" ht="11.25" customHeight="1" x14ac:dyDescent="0.2">
      <c r="A51" s="22" t="s">
        <v>42</v>
      </c>
      <c r="B51" s="18">
        <v>433583.4360000001</v>
      </c>
      <c r="C51" s="18">
        <v>1276562.5708914001</v>
      </c>
      <c r="D51" s="18">
        <v>495557.27326719754</v>
      </c>
      <c r="E51" s="18">
        <v>1453945.8801825552</v>
      </c>
      <c r="F51" s="18">
        <v>1710146.0068914001</v>
      </c>
      <c r="G51" s="18">
        <v>1949503.1534497528</v>
      </c>
    </row>
    <row r="52" spans="1:7" ht="11.25" customHeight="1" x14ac:dyDescent="0.2">
      <c r="A52" s="23" t="s">
        <v>50</v>
      </c>
      <c r="B52" s="18">
        <v>433583.4360000001</v>
      </c>
      <c r="C52" s="18">
        <v>1276562.5708914001</v>
      </c>
      <c r="D52" s="18">
        <v>495557.27326719754</v>
      </c>
      <c r="E52" s="18">
        <v>1453945.8801825552</v>
      </c>
      <c r="F52" s="18">
        <v>1710146.0068914001</v>
      </c>
      <c r="G52" s="18">
        <v>1949503.1534497528</v>
      </c>
    </row>
    <row r="53" spans="1:7" ht="11.25" customHeight="1" x14ac:dyDescent="0.2">
      <c r="A53" s="24" t="s">
        <v>51</v>
      </c>
      <c r="B53" s="18">
        <v>433583.4360000001</v>
      </c>
      <c r="C53" s="18">
        <v>1276562.5708914001</v>
      </c>
      <c r="D53" s="18">
        <v>495557.27326719754</v>
      </c>
      <c r="E53" s="18">
        <v>1453945.8801825552</v>
      </c>
      <c r="F53" s="18">
        <v>1710146.0068914001</v>
      </c>
      <c r="G53" s="18">
        <v>1949503.1534497528</v>
      </c>
    </row>
    <row r="54" spans="1:7" ht="11.25" customHeight="1" x14ac:dyDescent="0.2">
      <c r="A54" s="25" t="s">
        <v>25</v>
      </c>
      <c r="B54" s="18">
        <v>433583.4360000001</v>
      </c>
      <c r="C54" s="18">
        <v>1276562.5708914001</v>
      </c>
      <c r="D54" s="18">
        <v>495557.27326719754</v>
      </c>
      <c r="E54" s="18">
        <v>1453945.8801825552</v>
      </c>
      <c r="F54" s="18">
        <v>1710146.0068914001</v>
      </c>
      <c r="G54" s="18">
        <v>1949503.1534497528</v>
      </c>
    </row>
    <row r="55" spans="1:7" ht="11.25" customHeight="1" x14ac:dyDescent="0.2">
      <c r="A55" s="26" t="s">
        <v>25</v>
      </c>
      <c r="B55" s="18">
        <v>433583.4360000001</v>
      </c>
      <c r="C55" s="18">
        <v>1276562.5708914001</v>
      </c>
      <c r="D55" s="18">
        <v>495557.27326719754</v>
      </c>
      <c r="E55" s="18">
        <v>1453945.8801825552</v>
      </c>
      <c r="F55" s="18">
        <v>1710146.0068914001</v>
      </c>
      <c r="G55" s="18">
        <v>1949503.1534497528</v>
      </c>
    </row>
    <row r="56" spans="1:7" ht="11.25" customHeight="1" x14ac:dyDescent="0.2">
      <c r="A56" s="27" t="s">
        <v>35</v>
      </c>
      <c r="B56" s="18">
        <v>0</v>
      </c>
      <c r="C56" s="18">
        <v>829259.00214840006</v>
      </c>
      <c r="D56" s="18">
        <v>0</v>
      </c>
      <c r="E56" s="18">
        <v>919737.93470556883</v>
      </c>
      <c r="F56" s="18">
        <v>829259.00214840006</v>
      </c>
      <c r="G56" s="18">
        <v>919737.93470556883</v>
      </c>
    </row>
    <row r="57" spans="1:7" ht="11.25" customHeight="1" x14ac:dyDescent="0.2">
      <c r="A57" s="28">
        <v>44287</v>
      </c>
      <c r="B57" s="18">
        <v>0</v>
      </c>
      <c r="C57" s="18">
        <v>103813.07169839999</v>
      </c>
      <c r="D57" s="18">
        <v>0</v>
      </c>
      <c r="E57" s="18">
        <v>115139.92602065329</v>
      </c>
      <c r="F57" s="18">
        <v>103813.07169839999</v>
      </c>
      <c r="G57" s="18">
        <v>115139.92602065329</v>
      </c>
    </row>
    <row r="58" spans="1:7" ht="11.25" customHeight="1" x14ac:dyDescent="0.2">
      <c r="A58" s="28">
        <v>44317</v>
      </c>
      <c r="B58" s="18">
        <v>0</v>
      </c>
      <c r="C58" s="18">
        <v>103561.958088</v>
      </c>
      <c r="D58" s="18">
        <v>0</v>
      </c>
      <c r="E58" s="18">
        <v>114861.41386364638</v>
      </c>
      <c r="F58" s="18">
        <v>103561.958088</v>
      </c>
      <c r="G58" s="18">
        <v>114861.41386364638</v>
      </c>
    </row>
    <row r="59" spans="1:7" ht="11.25" customHeight="1" x14ac:dyDescent="0.2">
      <c r="A59" s="28">
        <v>44348</v>
      </c>
      <c r="B59" s="18">
        <v>0</v>
      </c>
      <c r="C59" s="18">
        <v>66913.323549599998</v>
      </c>
      <c r="D59" s="18">
        <v>0</v>
      </c>
      <c r="E59" s="18">
        <v>74214.11386111335</v>
      </c>
      <c r="F59" s="18">
        <v>66913.323549599998</v>
      </c>
      <c r="G59" s="18">
        <v>74214.11386111335</v>
      </c>
    </row>
    <row r="60" spans="1:7" ht="11.25" customHeight="1" x14ac:dyDescent="0.2">
      <c r="A60" s="28">
        <v>44378</v>
      </c>
      <c r="B60" s="18">
        <v>0</v>
      </c>
      <c r="C60" s="18">
        <v>70298.629827600103</v>
      </c>
      <c r="D60" s="18">
        <v>0</v>
      </c>
      <c r="E60" s="18">
        <v>77968.784713533503</v>
      </c>
      <c r="F60" s="18">
        <v>70298.629827600103</v>
      </c>
      <c r="G60" s="18">
        <v>77968.784713533503</v>
      </c>
    </row>
    <row r="61" spans="1:7" ht="11.25" customHeight="1" x14ac:dyDescent="0.2">
      <c r="A61" s="28">
        <v>44409</v>
      </c>
      <c r="B61" s="18">
        <v>0</v>
      </c>
      <c r="C61" s="18">
        <v>62946.966181199969</v>
      </c>
      <c r="D61" s="18">
        <v>0</v>
      </c>
      <c r="E61" s="18">
        <v>69814.994496879284</v>
      </c>
      <c r="F61" s="18">
        <v>62946.966181199969</v>
      </c>
      <c r="G61" s="18">
        <v>69814.994496879284</v>
      </c>
    </row>
    <row r="62" spans="1:7" ht="11.25" customHeight="1" x14ac:dyDescent="0.2">
      <c r="A62" s="28">
        <v>44440</v>
      </c>
      <c r="B62" s="18">
        <v>0</v>
      </c>
      <c r="C62" s="18">
        <v>61256.537247599888</v>
      </c>
      <c r="D62" s="18">
        <v>0</v>
      </c>
      <c r="E62" s="18">
        <v>67940.125955051088</v>
      </c>
      <c r="F62" s="18">
        <v>61256.537247599888</v>
      </c>
      <c r="G62" s="18">
        <v>67940.125955051088</v>
      </c>
    </row>
    <row r="63" spans="1:7" ht="11.25" customHeight="1" x14ac:dyDescent="0.2">
      <c r="A63" s="28">
        <v>44470</v>
      </c>
      <c r="B63" s="18">
        <v>0</v>
      </c>
      <c r="C63" s="18">
        <v>61903.313197199939</v>
      </c>
      <c r="D63" s="18">
        <v>0</v>
      </c>
      <c r="E63" s="18">
        <v>68657.470445205836</v>
      </c>
      <c r="F63" s="18">
        <v>61903.313197199939</v>
      </c>
      <c r="G63" s="18">
        <v>68657.470445205836</v>
      </c>
    </row>
    <row r="64" spans="1:7" ht="11.25" customHeight="1" x14ac:dyDescent="0.2">
      <c r="A64" s="28">
        <v>44501</v>
      </c>
      <c r="B64" s="18">
        <v>0</v>
      </c>
      <c r="C64" s="18">
        <v>55627.787424000038</v>
      </c>
      <c r="D64" s="18">
        <v>0</v>
      </c>
      <c r="E64" s="18">
        <v>61697.233536253298</v>
      </c>
      <c r="F64" s="18">
        <v>55627.787424000038</v>
      </c>
      <c r="G64" s="18">
        <v>61697.233536253298</v>
      </c>
    </row>
    <row r="65" spans="1:7" ht="11.25" customHeight="1" x14ac:dyDescent="0.2">
      <c r="A65" s="28">
        <v>44531</v>
      </c>
      <c r="B65" s="18">
        <v>0</v>
      </c>
      <c r="C65" s="18">
        <v>61389.661275599945</v>
      </c>
      <c r="D65" s="18">
        <v>0</v>
      </c>
      <c r="E65" s="18">
        <v>68087.774902189733</v>
      </c>
      <c r="F65" s="18">
        <v>61389.661275599945</v>
      </c>
      <c r="G65" s="18">
        <v>68087.774902189733</v>
      </c>
    </row>
    <row r="66" spans="1:7" ht="11.25" customHeight="1" x14ac:dyDescent="0.2">
      <c r="A66" s="28">
        <v>44562</v>
      </c>
      <c r="B66" s="18">
        <v>0</v>
      </c>
      <c r="C66" s="18">
        <v>64518.995162400024</v>
      </c>
      <c r="D66" s="18">
        <v>0</v>
      </c>
      <c r="E66" s="18">
        <v>71558.544684119202</v>
      </c>
      <c r="F66" s="18">
        <v>64518.995162400024</v>
      </c>
      <c r="G66" s="18">
        <v>71558.544684119202</v>
      </c>
    </row>
    <row r="67" spans="1:7" ht="11.25" customHeight="1" x14ac:dyDescent="0.2">
      <c r="A67" s="28">
        <v>44593</v>
      </c>
      <c r="B67" s="18">
        <v>0</v>
      </c>
      <c r="C67" s="18">
        <v>58514.379248400022</v>
      </c>
      <c r="D67" s="18">
        <v>0</v>
      </c>
      <c r="E67" s="18">
        <v>64898.7761134619</v>
      </c>
      <c r="F67" s="18">
        <v>58514.379248400022</v>
      </c>
      <c r="G67" s="18">
        <v>64898.7761134619</v>
      </c>
    </row>
    <row r="68" spans="1:7" ht="11.25" customHeight="1" x14ac:dyDescent="0.2">
      <c r="A68" s="28">
        <v>44621</v>
      </c>
      <c r="B68" s="18">
        <v>0</v>
      </c>
      <c r="C68" s="18">
        <v>58514.379248400022</v>
      </c>
      <c r="D68" s="18">
        <v>0</v>
      </c>
      <c r="E68" s="18">
        <v>64898.7761134619</v>
      </c>
      <c r="F68" s="18">
        <v>58514.379248400022</v>
      </c>
      <c r="G68" s="18">
        <v>64898.7761134619</v>
      </c>
    </row>
    <row r="69" spans="1:7" ht="11.25" customHeight="1" x14ac:dyDescent="0.2">
      <c r="A69" s="27" t="s">
        <v>25</v>
      </c>
      <c r="B69" s="18">
        <v>433583.4360000001</v>
      </c>
      <c r="C69" s="18">
        <v>0</v>
      </c>
      <c r="D69" s="18">
        <v>495557.27326719754</v>
      </c>
      <c r="E69" s="18">
        <v>0</v>
      </c>
      <c r="F69" s="18">
        <v>433583.4360000001</v>
      </c>
      <c r="G69" s="18">
        <v>495557.27326719754</v>
      </c>
    </row>
    <row r="70" spans="1:7" ht="11.25" customHeight="1" x14ac:dyDescent="0.2">
      <c r="A70" s="28">
        <v>44287</v>
      </c>
      <c r="B70" s="18">
        <v>51762.067499999997</v>
      </c>
      <c r="C70" s="18">
        <v>0</v>
      </c>
      <c r="D70" s="18">
        <v>59160.629533303065</v>
      </c>
      <c r="E70" s="18">
        <v>0</v>
      </c>
      <c r="F70" s="18">
        <v>51762.067499999997</v>
      </c>
      <c r="G70" s="18">
        <v>59160.629533303065</v>
      </c>
    </row>
    <row r="71" spans="1:7" ht="11.25" customHeight="1" x14ac:dyDescent="0.2">
      <c r="A71" s="28">
        <v>44317</v>
      </c>
      <c r="B71" s="18">
        <v>51969.918000000027</v>
      </c>
      <c r="C71" s="18">
        <v>0</v>
      </c>
      <c r="D71" s="18">
        <v>59398.188947420618</v>
      </c>
      <c r="E71" s="18">
        <v>0</v>
      </c>
      <c r="F71" s="18">
        <v>51969.918000000027</v>
      </c>
      <c r="G71" s="18">
        <v>59398.188947420618</v>
      </c>
    </row>
    <row r="72" spans="1:7" ht="11.25" customHeight="1" x14ac:dyDescent="0.2">
      <c r="A72" s="28">
        <v>44348</v>
      </c>
      <c r="B72" s="18">
        <v>36403.009500000015</v>
      </c>
      <c r="C72" s="18">
        <v>0</v>
      </c>
      <c r="D72" s="18">
        <v>41606.239142723833</v>
      </c>
      <c r="E72" s="18">
        <v>0</v>
      </c>
      <c r="F72" s="18">
        <v>36403.009500000015</v>
      </c>
      <c r="G72" s="18">
        <v>41606.239142723833</v>
      </c>
    </row>
    <row r="73" spans="1:7" ht="11.25" customHeight="1" x14ac:dyDescent="0.2">
      <c r="A73" s="28">
        <v>44378</v>
      </c>
      <c r="B73" s="18">
        <v>36067.53149999999</v>
      </c>
      <c r="C73" s="18">
        <v>0</v>
      </c>
      <c r="D73" s="18">
        <v>41222.809912920078</v>
      </c>
      <c r="E73" s="18">
        <v>0</v>
      </c>
      <c r="F73" s="18">
        <v>36067.53149999999</v>
      </c>
      <c r="G73" s="18">
        <v>41222.809912920078</v>
      </c>
    </row>
    <row r="74" spans="1:7" ht="11.25" customHeight="1" x14ac:dyDescent="0.2">
      <c r="A74" s="28">
        <v>44409</v>
      </c>
      <c r="B74" s="18">
        <v>32052.734999999997</v>
      </c>
      <c r="C74" s="18">
        <v>0</v>
      </c>
      <c r="D74" s="18">
        <v>36634.162282334197</v>
      </c>
      <c r="E74" s="18">
        <v>0</v>
      </c>
      <c r="F74" s="18">
        <v>32052.734999999997</v>
      </c>
      <c r="G74" s="18">
        <v>36634.162282334197</v>
      </c>
    </row>
    <row r="75" spans="1:7" ht="11.25" customHeight="1" x14ac:dyDescent="0.2">
      <c r="A75" s="28">
        <v>44440</v>
      </c>
      <c r="B75" s="18">
        <v>32224.120500000005</v>
      </c>
      <c r="C75" s="18">
        <v>0</v>
      </c>
      <c r="D75" s="18">
        <v>36830.044606255673</v>
      </c>
      <c r="E75" s="18">
        <v>0</v>
      </c>
      <c r="F75" s="18">
        <v>32224.120500000005</v>
      </c>
      <c r="G75" s="18">
        <v>36830.044606255673</v>
      </c>
    </row>
    <row r="76" spans="1:7" ht="11.25" customHeight="1" x14ac:dyDescent="0.2">
      <c r="A76" s="28">
        <v>44470</v>
      </c>
      <c r="B76" s="18">
        <v>31731.843000000004</v>
      </c>
      <c r="C76" s="18">
        <v>0</v>
      </c>
      <c r="D76" s="18">
        <v>36267.403888608904</v>
      </c>
      <c r="E76" s="18">
        <v>0</v>
      </c>
      <c r="F76" s="18">
        <v>31731.843000000004</v>
      </c>
      <c r="G76" s="18">
        <v>36267.403888608904</v>
      </c>
    </row>
    <row r="77" spans="1:7" ht="11.25" customHeight="1" x14ac:dyDescent="0.2">
      <c r="A77" s="28">
        <v>44501</v>
      </c>
      <c r="B77" s="18">
        <v>32122.018500000006</v>
      </c>
      <c r="C77" s="18">
        <v>0</v>
      </c>
      <c r="D77" s="18">
        <v>36713.348753706719</v>
      </c>
      <c r="E77" s="18">
        <v>0</v>
      </c>
      <c r="F77" s="18">
        <v>32122.018500000006</v>
      </c>
      <c r="G77" s="18">
        <v>36713.348753706719</v>
      </c>
    </row>
    <row r="78" spans="1:7" ht="11.25" customHeight="1" x14ac:dyDescent="0.2">
      <c r="A78" s="28">
        <v>44531</v>
      </c>
      <c r="B78" s="18">
        <v>31932.400500000003</v>
      </c>
      <c r="C78" s="18">
        <v>0</v>
      </c>
      <c r="D78" s="18">
        <v>36496.627884687216</v>
      </c>
      <c r="E78" s="18">
        <v>0</v>
      </c>
      <c r="F78" s="18">
        <v>31932.400500000003</v>
      </c>
      <c r="G78" s="18">
        <v>36496.627884687216</v>
      </c>
    </row>
    <row r="79" spans="1:7" ht="11.25" customHeight="1" x14ac:dyDescent="0.2">
      <c r="A79" s="28">
        <v>44562</v>
      </c>
      <c r="B79" s="18">
        <v>32264.231999999993</v>
      </c>
      <c r="C79" s="18">
        <v>0</v>
      </c>
      <c r="D79" s="18">
        <v>36875.889405471324</v>
      </c>
      <c r="E79" s="18">
        <v>0</v>
      </c>
      <c r="F79" s="18">
        <v>32264.231999999993</v>
      </c>
      <c r="G79" s="18">
        <v>36875.889405471324</v>
      </c>
    </row>
    <row r="80" spans="1:7" ht="11.25" customHeight="1" x14ac:dyDescent="0.2">
      <c r="A80" s="28">
        <v>44593</v>
      </c>
      <c r="B80" s="18">
        <v>32526.78</v>
      </c>
      <c r="C80" s="18">
        <v>0</v>
      </c>
      <c r="D80" s="18">
        <v>37175.964454882946</v>
      </c>
      <c r="E80" s="18">
        <v>0</v>
      </c>
      <c r="F80" s="18">
        <v>32526.78</v>
      </c>
      <c r="G80" s="18">
        <v>37175.964454882946</v>
      </c>
    </row>
    <row r="81" spans="1:7" ht="11.25" customHeight="1" x14ac:dyDescent="0.2">
      <c r="A81" s="28">
        <v>44621</v>
      </c>
      <c r="B81" s="18">
        <v>32526.78</v>
      </c>
      <c r="C81" s="18">
        <v>0</v>
      </c>
      <c r="D81" s="18">
        <v>37175.964454882946</v>
      </c>
      <c r="E81" s="18">
        <v>0</v>
      </c>
      <c r="F81" s="18">
        <v>32526.78</v>
      </c>
      <c r="G81" s="18">
        <v>37175.964454882946</v>
      </c>
    </row>
    <row r="82" spans="1:7" ht="11.25" customHeight="1" x14ac:dyDescent="0.2">
      <c r="A82" s="27" t="s">
        <v>34</v>
      </c>
      <c r="B82" s="18">
        <v>0</v>
      </c>
      <c r="C82" s="18">
        <v>447303.56874299981</v>
      </c>
      <c r="D82" s="18">
        <v>0</v>
      </c>
      <c r="E82" s="18">
        <v>534207.94547698624</v>
      </c>
      <c r="F82" s="18">
        <v>447303.56874299981</v>
      </c>
      <c r="G82" s="18">
        <v>534207.94547698624</v>
      </c>
    </row>
    <row r="83" spans="1:7" ht="11.25" customHeight="1" x14ac:dyDescent="0.2">
      <c r="A83" s="28">
        <v>44287</v>
      </c>
      <c r="B83" s="18">
        <v>0</v>
      </c>
      <c r="C83" s="18">
        <v>59871.391799999968</v>
      </c>
      <c r="D83" s="18">
        <v>0</v>
      </c>
      <c r="E83" s="18">
        <v>71503.505541450475</v>
      </c>
      <c r="F83" s="18">
        <v>59871.391799999968</v>
      </c>
      <c r="G83" s="18">
        <v>71503.505541450475</v>
      </c>
    </row>
    <row r="84" spans="1:7" ht="11.25" customHeight="1" x14ac:dyDescent="0.2">
      <c r="A84" s="28">
        <v>44317</v>
      </c>
      <c r="B84" s="18">
        <v>0</v>
      </c>
      <c r="C84" s="18">
        <v>54188.010184199993</v>
      </c>
      <c r="D84" s="18">
        <v>0</v>
      </c>
      <c r="E84" s="18">
        <v>64715.928091822338</v>
      </c>
      <c r="F84" s="18">
        <v>54188.010184199993</v>
      </c>
      <c r="G84" s="18">
        <v>64715.928091822338</v>
      </c>
    </row>
    <row r="85" spans="1:7" ht="11.25" customHeight="1" x14ac:dyDescent="0.2">
      <c r="A85" s="28">
        <v>44348</v>
      </c>
      <c r="B85" s="18">
        <v>0</v>
      </c>
      <c r="C85" s="18">
        <v>35889.830540999988</v>
      </c>
      <c r="D85" s="18">
        <v>0</v>
      </c>
      <c r="E85" s="18">
        <v>42862.686498798132</v>
      </c>
      <c r="F85" s="18">
        <v>35889.830540999988</v>
      </c>
      <c r="G85" s="18">
        <v>42862.686498798132</v>
      </c>
    </row>
    <row r="86" spans="1:7" ht="11.25" customHeight="1" x14ac:dyDescent="0.2">
      <c r="A86" s="28">
        <v>44378</v>
      </c>
      <c r="B86" s="18">
        <v>0</v>
      </c>
      <c r="C86" s="18">
        <v>38996.42620140002</v>
      </c>
      <c r="D86" s="18">
        <v>0</v>
      </c>
      <c r="E86" s="18">
        <v>46572.847117086276</v>
      </c>
      <c r="F86" s="18">
        <v>38996.42620140002</v>
      </c>
      <c r="G86" s="18">
        <v>46572.847117086276</v>
      </c>
    </row>
    <row r="87" spans="1:7" ht="11.25" customHeight="1" x14ac:dyDescent="0.2">
      <c r="A87" s="28">
        <v>44409</v>
      </c>
      <c r="B87" s="18">
        <v>0</v>
      </c>
      <c r="C87" s="18">
        <v>39760.857646799923</v>
      </c>
      <c r="D87" s="18">
        <v>0</v>
      </c>
      <c r="E87" s="18">
        <v>47485.796130778836</v>
      </c>
      <c r="F87" s="18">
        <v>39760.857646799923</v>
      </c>
      <c r="G87" s="18">
        <v>47485.796130778836</v>
      </c>
    </row>
    <row r="88" spans="1:7" ht="11.25" customHeight="1" x14ac:dyDescent="0.2">
      <c r="A88" s="28">
        <v>44440</v>
      </c>
      <c r="B88" s="18">
        <v>0</v>
      </c>
      <c r="C88" s="18">
        <v>29603.681818200032</v>
      </c>
      <c r="D88" s="18">
        <v>0</v>
      </c>
      <c r="E88" s="18">
        <v>35355.233330904528</v>
      </c>
      <c r="F88" s="18">
        <v>29603.681818200032</v>
      </c>
      <c r="G88" s="18">
        <v>35355.233330904528</v>
      </c>
    </row>
    <row r="89" spans="1:7" ht="11.25" customHeight="1" x14ac:dyDescent="0.2">
      <c r="A89" s="28">
        <v>44470</v>
      </c>
      <c r="B89" s="18">
        <v>0</v>
      </c>
      <c r="C89" s="18">
        <v>29504.552395799998</v>
      </c>
      <c r="D89" s="18">
        <v>0</v>
      </c>
      <c r="E89" s="18">
        <v>35236.844548035086</v>
      </c>
      <c r="F89" s="18">
        <v>29504.552395799998</v>
      </c>
      <c r="G89" s="18">
        <v>35236.844548035086</v>
      </c>
    </row>
    <row r="90" spans="1:7" ht="11.25" customHeight="1" x14ac:dyDescent="0.2">
      <c r="A90" s="28">
        <v>44501</v>
      </c>
      <c r="B90" s="18">
        <v>0</v>
      </c>
      <c r="C90" s="18">
        <v>30461.104999799936</v>
      </c>
      <c r="D90" s="18">
        <v>0</v>
      </c>
      <c r="E90" s="18">
        <v>36379.2409808636</v>
      </c>
      <c r="F90" s="18">
        <v>30461.104999799936</v>
      </c>
      <c r="G90" s="18">
        <v>36379.2409808636</v>
      </c>
    </row>
    <row r="91" spans="1:7" ht="11.25" customHeight="1" x14ac:dyDescent="0.2">
      <c r="A91" s="28">
        <v>44531</v>
      </c>
      <c r="B91" s="18">
        <v>0</v>
      </c>
      <c r="C91" s="18">
        <v>34291.021188599931</v>
      </c>
      <c r="D91" s="18">
        <v>0</v>
      </c>
      <c r="E91" s="18">
        <v>40953.252461070268</v>
      </c>
      <c r="F91" s="18">
        <v>34291.021188599931</v>
      </c>
      <c r="G91" s="18">
        <v>40953.252461070268</v>
      </c>
    </row>
    <row r="92" spans="1:7" ht="11.25" customHeight="1" x14ac:dyDescent="0.2">
      <c r="A92" s="28">
        <v>44562</v>
      </c>
      <c r="B92" s="18">
        <v>0</v>
      </c>
      <c r="C92" s="18">
        <v>32837.547613200033</v>
      </c>
      <c r="D92" s="18">
        <v>0</v>
      </c>
      <c r="E92" s="18">
        <v>39217.390762713047</v>
      </c>
      <c r="F92" s="18">
        <v>32837.547613200033</v>
      </c>
      <c r="G92" s="18">
        <v>39217.390762713047</v>
      </c>
    </row>
    <row r="93" spans="1:7" ht="11.25" customHeight="1" x14ac:dyDescent="0.2">
      <c r="A93" s="28">
        <v>44593</v>
      </c>
      <c r="B93" s="18">
        <v>0</v>
      </c>
      <c r="C93" s="18">
        <v>30949.572177000009</v>
      </c>
      <c r="D93" s="18">
        <v>0</v>
      </c>
      <c r="E93" s="18">
        <v>36962.610006731848</v>
      </c>
      <c r="F93" s="18">
        <v>30949.572177000009</v>
      </c>
      <c r="G93" s="18">
        <v>36962.610006731848</v>
      </c>
    </row>
    <row r="94" spans="1:7" ht="11.25" customHeight="1" x14ac:dyDescent="0.2">
      <c r="A94" s="28">
        <v>44621</v>
      </c>
      <c r="B94" s="18">
        <v>0</v>
      </c>
      <c r="C94" s="18">
        <v>30949.572177000009</v>
      </c>
      <c r="D94" s="18">
        <v>0</v>
      </c>
      <c r="E94" s="18">
        <v>36962.610006731848</v>
      </c>
      <c r="F94" s="18">
        <v>30949.572177000009</v>
      </c>
      <c r="G94" s="18">
        <v>36962.610006731848</v>
      </c>
    </row>
    <row r="95" spans="1:7" ht="11.25" customHeight="1" x14ac:dyDescent="0.2">
      <c r="A95" s="21" t="s">
        <v>37</v>
      </c>
      <c r="B95" s="18">
        <v>0</v>
      </c>
      <c r="C95" s="18">
        <v>896954.73300719971</v>
      </c>
      <c r="D95" s="18">
        <v>0</v>
      </c>
      <c r="E95" s="18">
        <v>1047320.7846951304</v>
      </c>
      <c r="F95" s="18">
        <v>896954.73300719971</v>
      </c>
      <c r="G95" s="18">
        <v>1047320.7846951305</v>
      </c>
    </row>
    <row r="96" spans="1:7" ht="11.25" customHeight="1" x14ac:dyDescent="0.2">
      <c r="A96" s="22" t="s">
        <v>23</v>
      </c>
      <c r="B96" s="18">
        <v>0</v>
      </c>
      <c r="C96" s="18">
        <v>896954.73300719971</v>
      </c>
      <c r="D96" s="18">
        <v>0</v>
      </c>
      <c r="E96" s="18">
        <v>1047320.7846951304</v>
      </c>
      <c r="F96" s="18">
        <v>896954.73300719971</v>
      </c>
      <c r="G96" s="18">
        <v>1047320.7846951305</v>
      </c>
    </row>
    <row r="97" spans="1:7" ht="11.25" customHeight="1" x14ac:dyDescent="0.2">
      <c r="A97" s="23" t="s">
        <v>50</v>
      </c>
      <c r="B97" s="18">
        <v>0</v>
      </c>
      <c r="C97" s="18">
        <v>896954.73300719971</v>
      </c>
      <c r="D97" s="18">
        <v>0</v>
      </c>
      <c r="E97" s="18">
        <v>1047320.7846951304</v>
      </c>
      <c r="F97" s="18">
        <v>896954.73300719971</v>
      </c>
      <c r="G97" s="18">
        <v>1047320.7846951305</v>
      </c>
    </row>
    <row r="98" spans="1:7" ht="11.25" customHeight="1" x14ac:dyDescent="0.2">
      <c r="A98" s="24" t="s">
        <v>51</v>
      </c>
      <c r="B98" s="18">
        <v>0</v>
      </c>
      <c r="C98" s="18">
        <v>896954.73300719971</v>
      </c>
      <c r="D98" s="18">
        <v>0</v>
      </c>
      <c r="E98" s="18">
        <v>1047320.7846951304</v>
      </c>
      <c r="F98" s="18">
        <v>896954.73300719971</v>
      </c>
      <c r="G98" s="18">
        <v>1047320.7846951305</v>
      </c>
    </row>
    <row r="99" spans="1:7" ht="11.25" customHeight="1" x14ac:dyDescent="0.2">
      <c r="A99" s="25" t="s">
        <v>25</v>
      </c>
      <c r="B99" s="18">
        <v>0</v>
      </c>
      <c r="C99" s="18">
        <v>896954.73300719971</v>
      </c>
      <c r="D99" s="18">
        <v>0</v>
      </c>
      <c r="E99" s="18">
        <v>1047320.7846951304</v>
      </c>
      <c r="F99" s="18">
        <v>896954.73300719971</v>
      </c>
      <c r="G99" s="18">
        <v>1047320.7846951305</v>
      </c>
    </row>
    <row r="100" spans="1:7" ht="11.25" customHeight="1" x14ac:dyDescent="0.2">
      <c r="A100" s="26" t="s">
        <v>25</v>
      </c>
      <c r="B100" s="18">
        <v>0</v>
      </c>
      <c r="C100" s="18">
        <v>896954.73300719971</v>
      </c>
      <c r="D100" s="18">
        <v>0</v>
      </c>
      <c r="E100" s="18">
        <v>1047320.7846951304</v>
      </c>
      <c r="F100" s="18">
        <v>896954.73300719971</v>
      </c>
      <c r="G100" s="18">
        <v>1047320.7846951305</v>
      </c>
    </row>
    <row r="101" spans="1:7" ht="11.25" customHeight="1" x14ac:dyDescent="0.2">
      <c r="A101" s="27" t="s">
        <v>25</v>
      </c>
      <c r="B101" s="18">
        <v>0</v>
      </c>
      <c r="C101" s="18">
        <v>896954.73300719971</v>
      </c>
      <c r="D101" s="18">
        <v>0</v>
      </c>
      <c r="E101" s="18">
        <v>1047320.7846951304</v>
      </c>
      <c r="F101" s="18">
        <v>896954.73300719971</v>
      </c>
      <c r="G101" s="18">
        <v>1047320.7846951305</v>
      </c>
    </row>
    <row r="102" spans="1:7" ht="11.25" customHeight="1" x14ac:dyDescent="0.2">
      <c r="A102" s="28">
        <v>44287</v>
      </c>
      <c r="B102" s="18">
        <v>0</v>
      </c>
      <c r="C102" s="18">
        <v>77407.315876799956</v>
      </c>
      <c r="D102" s="18">
        <v>0</v>
      </c>
      <c r="E102" s="18">
        <v>90383.926659745077</v>
      </c>
      <c r="F102" s="18">
        <v>77407.315876799956</v>
      </c>
      <c r="G102" s="18">
        <v>90383.926659745077</v>
      </c>
    </row>
    <row r="103" spans="1:7" ht="11.25" customHeight="1" x14ac:dyDescent="0.2">
      <c r="A103" s="28">
        <v>44317</v>
      </c>
      <c r="B103" s="18">
        <v>0</v>
      </c>
      <c r="C103" s="18">
        <v>72138.917390399976</v>
      </c>
      <c r="D103" s="18">
        <v>0</v>
      </c>
      <c r="E103" s="18">
        <v>84232.330560392351</v>
      </c>
      <c r="F103" s="18">
        <v>72138.917390399976</v>
      </c>
      <c r="G103" s="18">
        <v>84232.330560392351</v>
      </c>
    </row>
    <row r="104" spans="1:7" ht="11.25" customHeight="1" x14ac:dyDescent="0.2">
      <c r="A104" s="28">
        <v>44348</v>
      </c>
      <c r="B104" s="18">
        <v>0</v>
      </c>
      <c r="C104" s="18">
        <v>73553.565758399884</v>
      </c>
      <c r="D104" s="18">
        <v>0</v>
      </c>
      <c r="E104" s="18">
        <v>85884.131464406819</v>
      </c>
      <c r="F104" s="18">
        <v>73553.565758399884</v>
      </c>
      <c r="G104" s="18">
        <v>85884.131464406819</v>
      </c>
    </row>
    <row r="105" spans="1:7" ht="11.25" customHeight="1" x14ac:dyDescent="0.2">
      <c r="A105" s="28">
        <v>44378</v>
      </c>
      <c r="B105" s="18">
        <v>0</v>
      </c>
      <c r="C105" s="18">
        <v>75217.431844800114</v>
      </c>
      <c r="D105" s="18">
        <v>0</v>
      </c>
      <c r="E105" s="18">
        <v>87826.929100798036</v>
      </c>
      <c r="F105" s="18">
        <v>75217.431844800114</v>
      </c>
      <c r="G105" s="18">
        <v>87826.929100798036</v>
      </c>
    </row>
    <row r="106" spans="1:7" ht="11.25" customHeight="1" x14ac:dyDescent="0.2">
      <c r="A106" s="28">
        <v>44409</v>
      </c>
      <c r="B106" s="18">
        <v>0</v>
      </c>
      <c r="C106" s="18">
        <v>72582.779858399881</v>
      </c>
      <c r="D106" s="18">
        <v>0</v>
      </c>
      <c r="E106" s="18">
        <v>84750.602409768559</v>
      </c>
      <c r="F106" s="18">
        <v>72582.779858399881</v>
      </c>
      <c r="G106" s="18">
        <v>84750.602409768559</v>
      </c>
    </row>
    <row r="107" spans="1:7" ht="11.25" customHeight="1" x14ac:dyDescent="0.2">
      <c r="A107" s="28">
        <v>44440</v>
      </c>
      <c r="B107" s="18">
        <v>0</v>
      </c>
      <c r="C107" s="18">
        <v>73461.449930399918</v>
      </c>
      <c r="D107" s="18">
        <v>0</v>
      </c>
      <c r="E107" s="18">
        <v>85776.573281464487</v>
      </c>
      <c r="F107" s="18">
        <v>73461.449930399918</v>
      </c>
      <c r="G107" s="18">
        <v>85776.573281464487</v>
      </c>
    </row>
    <row r="108" spans="1:7" ht="11.25" customHeight="1" x14ac:dyDescent="0.2">
      <c r="A108" s="28">
        <v>44470</v>
      </c>
      <c r="B108" s="18">
        <v>0</v>
      </c>
      <c r="C108" s="18">
        <v>75957.388365600069</v>
      </c>
      <c r="D108" s="18">
        <v>0</v>
      </c>
      <c r="E108" s="18">
        <v>88690.932394928896</v>
      </c>
      <c r="F108" s="18">
        <v>75957.388365600069</v>
      </c>
      <c r="G108" s="18">
        <v>88690.932394928896</v>
      </c>
    </row>
    <row r="109" spans="1:7" ht="11.25" customHeight="1" x14ac:dyDescent="0.2">
      <c r="A109" s="28">
        <v>44501</v>
      </c>
      <c r="B109" s="18">
        <v>0</v>
      </c>
      <c r="C109" s="18">
        <v>74845.660024799945</v>
      </c>
      <c r="D109" s="18">
        <v>0</v>
      </c>
      <c r="E109" s="18">
        <v>87392.833220680768</v>
      </c>
      <c r="F109" s="18">
        <v>74845.660024799945</v>
      </c>
      <c r="G109" s="18">
        <v>87392.833220680768</v>
      </c>
    </row>
    <row r="110" spans="1:7" ht="11.25" customHeight="1" x14ac:dyDescent="0.2">
      <c r="A110" s="28">
        <v>44531</v>
      </c>
      <c r="B110" s="18">
        <v>0</v>
      </c>
      <c r="C110" s="18">
        <v>75438.997401599889</v>
      </c>
      <c r="D110" s="18">
        <v>0</v>
      </c>
      <c r="E110" s="18">
        <v>88085.63804593173</v>
      </c>
      <c r="F110" s="18">
        <v>75438.997401599889</v>
      </c>
      <c r="G110" s="18">
        <v>88085.63804593173</v>
      </c>
    </row>
    <row r="111" spans="1:7" ht="11.25" customHeight="1" x14ac:dyDescent="0.2">
      <c r="A111" s="28">
        <v>44562</v>
      </c>
      <c r="B111" s="18">
        <v>0</v>
      </c>
      <c r="C111" s="18">
        <v>77186.203063199951</v>
      </c>
      <c r="D111" s="18">
        <v>0</v>
      </c>
      <c r="E111" s="18">
        <v>90125.746355963973</v>
      </c>
      <c r="F111" s="18">
        <v>77186.203063199951</v>
      </c>
      <c r="G111" s="18">
        <v>90125.746355963973</v>
      </c>
    </row>
    <row r="112" spans="1:7" ht="11.25" customHeight="1" x14ac:dyDescent="0.2">
      <c r="A112" s="28">
        <v>44593</v>
      </c>
      <c r="B112" s="18">
        <v>0</v>
      </c>
      <c r="C112" s="18">
        <v>74582.511746400007</v>
      </c>
      <c r="D112" s="18">
        <v>0</v>
      </c>
      <c r="E112" s="18">
        <v>87085.570600524894</v>
      </c>
      <c r="F112" s="18">
        <v>74582.511746400007</v>
      </c>
      <c r="G112" s="18">
        <v>87085.570600524894</v>
      </c>
    </row>
    <row r="113" spans="1:7" ht="11.25" customHeight="1" x14ac:dyDescent="0.2">
      <c r="A113" s="28">
        <v>44621</v>
      </c>
      <c r="B113" s="18">
        <v>0</v>
      </c>
      <c r="C113" s="18">
        <v>74582.511746400007</v>
      </c>
      <c r="D113" s="18">
        <v>0</v>
      </c>
      <c r="E113" s="18">
        <v>87085.570600524894</v>
      </c>
      <c r="F113" s="18">
        <v>74582.511746400007</v>
      </c>
      <c r="G113" s="18">
        <v>87085.570600524894</v>
      </c>
    </row>
    <row r="114" spans="1:7" ht="11.25" customHeight="1" x14ac:dyDescent="0.2">
      <c r="A114" s="20" t="s">
        <v>1028</v>
      </c>
      <c r="B114" s="18">
        <v>0</v>
      </c>
      <c r="C114" s="18">
        <v>61792743.483509973</v>
      </c>
      <c r="D114" s="18">
        <v>0</v>
      </c>
      <c r="E114" s="18">
        <v>70935025.368558407</v>
      </c>
      <c r="F114" s="18">
        <v>61792743.483509973</v>
      </c>
      <c r="G114" s="18">
        <v>70935025.368558437</v>
      </c>
    </row>
    <row r="115" spans="1:7" ht="11.25" customHeight="1" x14ac:dyDescent="0.2">
      <c r="A115" s="21" t="s">
        <v>22</v>
      </c>
      <c r="B115" s="18">
        <v>0</v>
      </c>
      <c r="C115" s="18">
        <v>61792743.483509973</v>
      </c>
      <c r="D115" s="18">
        <v>0</v>
      </c>
      <c r="E115" s="18">
        <v>70935025.368558407</v>
      </c>
      <c r="F115" s="18">
        <v>61792743.483509973</v>
      </c>
      <c r="G115" s="18">
        <v>70935025.368558437</v>
      </c>
    </row>
    <row r="116" spans="1:7" ht="11.25" customHeight="1" x14ac:dyDescent="0.2">
      <c r="A116" s="22" t="s">
        <v>23</v>
      </c>
      <c r="B116" s="18">
        <v>0</v>
      </c>
      <c r="C116" s="18">
        <v>61792743.483509973</v>
      </c>
      <c r="D116" s="18">
        <v>0</v>
      </c>
      <c r="E116" s="18">
        <v>70935025.368558407</v>
      </c>
      <c r="F116" s="18">
        <v>61792743.483509973</v>
      </c>
      <c r="G116" s="18">
        <v>70935025.368558437</v>
      </c>
    </row>
    <row r="117" spans="1:7" ht="11.25" customHeight="1" x14ac:dyDescent="0.2">
      <c r="A117" s="23" t="s">
        <v>24</v>
      </c>
      <c r="B117" s="18">
        <v>0</v>
      </c>
      <c r="C117" s="18">
        <v>61792743.483509973</v>
      </c>
      <c r="D117" s="18">
        <v>0</v>
      </c>
      <c r="E117" s="18">
        <v>70935025.368558407</v>
      </c>
      <c r="F117" s="18">
        <v>61792743.483509973</v>
      </c>
      <c r="G117" s="18">
        <v>70935025.368558437</v>
      </c>
    </row>
    <row r="118" spans="1:7" ht="11.25" customHeight="1" x14ac:dyDescent="0.2">
      <c r="A118" s="24" t="s">
        <v>29</v>
      </c>
      <c r="B118" s="18">
        <v>0</v>
      </c>
      <c r="C118" s="18">
        <v>29484220.179959994</v>
      </c>
      <c r="D118" s="18">
        <v>0</v>
      </c>
      <c r="E118" s="18">
        <v>33846683.374602005</v>
      </c>
      <c r="F118" s="18">
        <v>29484220.17995999</v>
      </c>
      <c r="G118" s="18">
        <v>33846683.374602012</v>
      </c>
    </row>
    <row r="119" spans="1:7" ht="11.25" customHeight="1" x14ac:dyDescent="0.2">
      <c r="A119" s="25" t="s">
        <v>25</v>
      </c>
      <c r="B119" s="18">
        <v>0</v>
      </c>
      <c r="C119" s="18">
        <v>29484220.179959994</v>
      </c>
      <c r="D119" s="18">
        <v>0</v>
      </c>
      <c r="E119" s="18">
        <v>33846683.374602005</v>
      </c>
      <c r="F119" s="18">
        <v>29484220.17995999</v>
      </c>
      <c r="G119" s="18">
        <v>33846683.374602012</v>
      </c>
    </row>
    <row r="120" spans="1:7" ht="11.25" customHeight="1" x14ac:dyDescent="0.2">
      <c r="A120" s="26" t="s">
        <v>25</v>
      </c>
      <c r="B120" s="18">
        <v>0</v>
      </c>
      <c r="C120" s="18">
        <v>29484220.179959994</v>
      </c>
      <c r="D120" s="18">
        <v>0</v>
      </c>
      <c r="E120" s="18">
        <v>33846683.374602005</v>
      </c>
      <c r="F120" s="18">
        <v>29484220.17995999</v>
      </c>
      <c r="G120" s="18">
        <v>33846683.374602012</v>
      </c>
    </row>
    <row r="121" spans="1:7" ht="11.25" customHeight="1" x14ac:dyDescent="0.2">
      <c r="A121" s="27" t="s">
        <v>25</v>
      </c>
      <c r="B121" s="18">
        <v>0</v>
      </c>
      <c r="C121" s="18">
        <v>29484220.179959994</v>
      </c>
      <c r="D121" s="18">
        <v>0</v>
      </c>
      <c r="E121" s="18">
        <v>33846683.374602005</v>
      </c>
      <c r="F121" s="18">
        <v>29484220.17995999</v>
      </c>
      <c r="G121" s="18">
        <v>33846683.374602012</v>
      </c>
    </row>
    <row r="122" spans="1:7" ht="11.25" customHeight="1" x14ac:dyDescent="0.2">
      <c r="A122" s="28">
        <v>44287</v>
      </c>
      <c r="B122" s="18">
        <v>0</v>
      </c>
      <c r="C122" s="18">
        <v>2413668.4665199989</v>
      </c>
      <c r="D122" s="18">
        <v>0</v>
      </c>
      <c r="E122" s="18">
        <v>2770793.0499410084</v>
      </c>
      <c r="F122" s="18">
        <v>2413668.4665199989</v>
      </c>
      <c r="G122" s="18">
        <v>2770793.0499410084</v>
      </c>
    </row>
    <row r="123" spans="1:7" ht="11.25" customHeight="1" x14ac:dyDescent="0.2">
      <c r="A123" s="28">
        <v>44317</v>
      </c>
      <c r="B123" s="18">
        <v>0</v>
      </c>
      <c r="C123" s="18">
        <v>2419434.4855599995</v>
      </c>
      <c r="D123" s="18">
        <v>0</v>
      </c>
      <c r="E123" s="18">
        <v>2777412.2048512502</v>
      </c>
      <c r="F123" s="18">
        <v>2419434.4855599995</v>
      </c>
      <c r="G123" s="18">
        <v>2777412.2048512502</v>
      </c>
    </row>
    <row r="124" spans="1:7" ht="11.25" customHeight="1" x14ac:dyDescent="0.2">
      <c r="A124" s="28">
        <v>44348</v>
      </c>
      <c r="B124" s="18">
        <v>0</v>
      </c>
      <c r="C124" s="18">
        <v>2427046.5186399994</v>
      </c>
      <c r="D124" s="18">
        <v>0</v>
      </c>
      <c r="E124" s="18">
        <v>2786150.5086599723</v>
      </c>
      <c r="F124" s="18">
        <v>2427046.5186399994</v>
      </c>
      <c r="G124" s="18">
        <v>2786150.5086599723</v>
      </c>
    </row>
    <row r="125" spans="1:7" ht="11.25" customHeight="1" x14ac:dyDescent="0.2">
      <c r="A125" s="28">
        <v>44378</v>
      </c>
      <c r="B125" s="18">
        <v>0</v>
      </c>
      <c r="C125" s="18">
        <v>2443673.6823199992</v>
      </c>
      <c r="D125" s="18">
        <v>0</v>
      </c>
      <c r="E125" s="18">
        <v>2805237.8150584348</v>
      </c>
      <c r="F125" s="18">
        <v>2443673.6823199992</v>
      </c>
      <c r="G125" s="18">
        <v>2805237.8150584348</v>
      </c>
    </row>
    <row r="126" spans="1:7" ht="11.25" customHeight="1" x14ac:dyDescent="0.2">
      <c r="A126" s="28">
        <v>44409</v>
      </c>
      <c r="B126" s="18">
        <v>0</v>
      </c>
      <c r="C126" s="18">
        <v>2458218.0460399999</v>
      </c>
      <c r="D126" s="18">
        <v>0</v>
      </c>
      <c r="E126" s="18">
        <v>2821934.1519705607</v>
      </c>
      <c r="F126" s="18">
        <v>2458218.0460399999</v>
      </c>
      <c r="G126" s="18">
        <v>2821934.1519705607</v>
      </c>
    </row>
    <row r="127" spans="1:7" ht="11.25" customHeight="1" x14ac:dyDescent="0.2">
      <c r="A127" s="28">
        <v>44440</v>
      </c>
      <c r="B127" s="18">
        <v>0</v>
      </c>
      <c r="C127" s="18">
        <v>2425872.8074799995</v>
      </c>
      <c r="D127" s="18">
        <v>0</v>
      </c>
      <c r="E127" s="18">
        <v>2784803.1360734403</v>
      </c>
      <c r="F127" s="18">
        <v>2425872.8074799995</v>
      </c>
      <c r="G127" s="18">
        <v>2784803.1360734403</v>
      </c>
    </row>
    <row r="128" spans="1:7" ht="11.25" customHeight="1" x14ac:dyDescent="0.2">
      <c r="A128" s="28">
        <v>44470</v>
      </c>
      <c r="B128" s="18">
        <v>0</v>
      </c>
      <c r="C128" s="18">
        <v>2442044.3696799991</v>
      </c>
      <c r="D128" s="18">
        <v>0</v>
      </c>
      <c r="E128" s="18">
        <v>2803367.4305372331</v>
      </c>
      <c r="F128" s="18">
        <v>2442044.3696799991</v>
      </c>
      <c r="G128" s="18">
        <v>2803367.4305372331</v>
      </c>
    </row>
    <row r="129" spans="1:7" ht="11.25" customHeight="1" x14ac:dyDescent="0.2">
      <c r="A129" s="28">
        <v>44501</v>
      </c>
      <c r="B129" s="18">
        <v>0</v>
      </c>
      <c r="C129" s="18">
        <v>2448271.6279599997</v>
      </c>
      <c r="D129" s="18">
        <v>0</v>
      </c>
      <c r="E129" s="18">
        <v>2810516.0693009025</v>
      </c>
      <c r="F129" s="18">
        <v>2448271.6279599997</v>
      </c>
      <c r="G129" s="18">
        <v>2810516.0693009025</v>
      </c>
    </row>
    <row r="130" spans="1:7" ht="11.25" customHeight="1" x14ac:dyDescent="0.2">
      <c r="A130" s="28">
        <v>44531</v>
      </c>
      <c r="B130" s="18">
        <v>0</v>
      </c>
      <c r="C130" s="18">
        <v>2445546.1233599996</v>
      </c>
      <c r="D130" s="18">
        <v>0</v>
      </c>
      <c r="E130" s="18">
        <v>2807387.3010760969</v>
      </c>
      <c r="F130" s="18">
        <v>2445546.1233599996</v>
      </c>
      <c r="G130" s="18">
        <v>2807387.3010760969</v>
      </c>
    </row>
    <row r="131" spans="1:7" ht="11.25" customHeight="1" x14ac:dyDescent="0.2">
      <c r="A131" s="28">
        <v>44562</v>
      </c>
      <c r="B131" s="18">
        <v>0</v>
      </c>
      <c r="C131" s="18">
        <v>2451361.4727999992</v>
      </c>
      <c r="D131" s="18">
        <v>0</v>
      </c>
      <c r="E131" s="18">
        <v>2814063.0852754749</v>
      </c>
      <c r="F131" s="18">
        <v>2451361.4727999992</v>
      </c>
      <c r="G131" s="18">
        <v>2814063.0852754749</v>
      </c>
    </row>
    <row r="132" spans="1:7" ht="11.25" customHeight="1" x14ac:dyDescent="0.2">
      <c r="A132" s="28">
        <v>44593</v>
      </c>
      <c r="B132" s="18">
        <v>0</v>
      </c>
      <c r="C132" s="18">
        <v>2554541.2897999999</v>
      </c>
      <c r="D132" s="18">
        <v>0</v>
      </c>
      <c r="E132" s="18">
        <v>2932509.3109288178</v>
      </c>
      <c r="F132" s="18">
        <v>2554541.2897999999</v>
      </c>
      <c r="G132" s="18">
        <v>2932509.3109288178</v>
      </c>
    </row>
    <row r="133" spans="1:7" ht="11.25" customHeight="1" x14ac:dyDescent="0.2">
      <c r="A133" s="28">
        <v>44621</v>
      </c>
      <c r="B133" s="18">
        <v>0</v>
      </c>
      <c r="C133" s="18">
        <v>2554541.2897999999</v>
      </c>
      <c r="D133" s="18">
        <v>0</v>
      </c>
      <c r="E133" s="18">
        <v>2932509.3109288178</v>
      </c>
      <c r="F133" s="18">
        <v>2554541.2897999999</v>
      </c>
      <c r="G133" s="18">
        <v>2932509.3109288178</v>
      </c>
    </row>
    <row r="134" spans="1:7" ht="11.25" customHeight="1" x14ac:dyDescent="0.2">
      <c r="A134" s="24" t="s">
        <v>30</v>
      </c>
      <c r="B134" s="18">
        <v>0</v>
      </c>
      <c r="C134" s="18">
        <v>29157134.511959992</v>
      </c>
      <c r="D134" s="18">
        <v>0</v>
      </c>
      <c r="E134" s="18">
        <v>33470727.404757015</v>
      </c>
      <c r="F134" s="18">
        <v>29157134.511959996</v>
      </c>
      <c r="G134" s="18">
        <v>33470727.404757019</v>
      </c>
    </row>
    <row r="135" spans="1:7" ht="11.25" customHeight="1" x14ac:dyDescent="0.2">
      <c r="A135" s="25" t="s">
        <v>25</v>
      </c>
      <c r="B135" s="18">
        <v>0</v>
      </c>
      <c r="C135" s="18">
        <v>29157134.511959992</v>
      </c>
      <c r="D135" s="18">
        <v>0</v>
      </c>
      <c r="E135" s="18">
        <v>33470727.404757015</v>
      </c>
      <c r="F135" s="18">
        <v>29157134.511959996</v>
      </c>
      <c r="G135" s="18">
        <v>33470727.404757019</v>
      </c>
    </row>
    <row r="136" spans="1:7" ht="11.25" customHeight="1" x14ac:dyDescent="0.2">
      <c r="A136" s="26" t="s">
        <v>25</v>
      </c>
      <c r="B136" s="18">
        <v>0</v>
      </c>
      <c r="C136" s="18">
        <v>29157134.511959992</v>
      </c>
      <c r="D136" s="18">
        <v>0</v>
      </c>
      <c r="E136" s="18">
        <v>33470727.404757015</v>
      </c>
      <c r="F136" s="18">
        <v>29157134.511959996</v>
      </c>
      <c r="G136" s="18">
        <v>33470727.404757019</v>
      </c>
    </row>
    <row r="137" spans="1:7" ht="11.25" customHeight="1" x14ac:dyDescent="0.2">
      <c r="A137" s="27" t="s">
        <v>25</v>
      </c>
      <c r="B137" s="18">
        <v>0</v>
      </c>
      <c r="C137" s="18">
        <v>29157134.511959992</v>
      </c>
      <c r="D137" s="18">
        <v>0</v>
      </c>
      <c r="E137" s="18">
        <v>33470727.404757015</v>
      </c>
      <c r="F137" s="18">
        <v>29157134.511959996</v>
      </c>
      <c r="G137" s="18">
        <v>33470727.404757019</v>
      </c>
    </row>
    <row r="138" spans="1:7" ht="11.25" customHeight="1" x14ac:dyDescent="0.2">
      <c r="A138" s="28">
        <v>44287</v>
      </c>
      <c r="B138" s="18">
        <v>0</v>
      </c>
      <c r="C138" s="18">
        <v>2555130.0200399994</v>
      </c>
      <c r="D138" s="18">
        <v>0</v>
      </c>
      <c r="E138" s="18">
        <v>2933143.5278521548</v>
      </c>
      <c r="F138" s="18">
        <v>2555130.0200399994</v>
      </c>
      <c r="G138" s="18">
        <v>2933143.5278521548</v>
      </c>
    </row>
    <row r="139" spans="1:7" ht="11.25" customHeight="1" x14ac:dyDescent="0.2">
      <c r="A139" s="28">
        <v>44317</v>
      </c>
      <c r="B139" s="18">
        <v>0</v>
      </c>
      <c r="C139" s="18">
        <v>2383270.2254399993</v>
      </c>
      <c r="D139" s="18">
        <v>0</v>
      </c>
      <c r="E139" s="18">
        <v>2735858.28589758</v>
      </c>
      <c r="F139" s="18">
        <v>2383270.2254399993</v>
      </c>
      <c r="G139" s="18">
        <v>2735858.28589758</v>
      </c>
    </row>
    <row r="140" spans="1:7" ht="11.25" customHeight="1" x14ac:dyDescent="0.2">
      <c r="A140" s="28">
        <v>44348</v>
      </c>
      <c r="B140" s="18">
        <v>0</v>
      </c>
      <c r="C140" s="18">
        <v>2323348.8766799993</v>
      </c>
      <c r="D140" s="18">
        <v>0</v>
      </c>
      <c r="E140" s="18">
        <v>2667071.9952129219</v>
      </c>
      <c r="F140" s="18">
        <v>2323348.8766799993</v>
      </c>
      <c r="G140" s="18">
        <v>2667071.9952129219</v>
      </c>
    </row>
    <row r="141" spans="1:7" ht="11.25" customHeight="1" x14ac:dyDescent="0.2">
      <c r="A141" s="28">
        <v>44378</v>
      </c>
      <c r="B141" s="18">
        <v>0</v>
      </c>
      <c r="C141" s="18">
        <v>2313814.8555599991</v>
      </c>
      <c r="D141" s="18">
        <v>0</v>
      </c>
      <c r="E141" s="18">
        <v>2656127.4827524191</v>
      </c>
      <c r="F141" s="18">
        <v>2313814.8555599991</v>
      </c>
      <c r="G141" s="18">
        <v>2656127.4827524191</v>
      </c>
    </row>
    <row r="142" spans="1:7" ht="11.25" customHeight="1" x14ac:dyDescent="0.2">
      <c r="A142" s="28">
        <v>44409</v>
      </c>
      <c r="B142" s="18">
        <v>0</v>
      </c>
      <c r="C142" s="18">
        <v>2223640.6405199994</v>
      </c>
      <c r="D142" s="18">
        <v>0</v>
      </c>
      <c r="E142" s="18">
        <v>2552612.627089777</v>
      </c>
      <c r="F142" s="18">
        <v>2223640.6405199994</v>
      </c>
      <c r="G142" s="18">
        <v>2552612.627089777</v>
      </c>
    </row>
    <row r="143" spans="1:7" ht="11.25" customHeight="1" x14ac:dyDescent="0.2">
      <c r="A143" s="28">
        <v>44440</v>
      </c>
      <c r="B143" s="18">
        <v>0</v>
      </c>
      <c r="C143" s="18">
        <v>2239266.998279999</v>
      </c>
      <c r="D143" s="18">
        <v>0</v>
      </c>
      <c r="E143" s="18">
        <v>2570550.7945286799</v>
      </c>
      <c r="F143" s="18">
        <v>2239266.998279999</v>
      </c>
      <c r="G143" s="18">
        <v>2570550.7945286799</v>
      </c>
    </row>
    <row r="144" spans="1:7" ht="11.25" customHeight="1" x14ac:dyDescent="0.2">
      <c r="A144" s="28">
        <v>44470</v>
      </c>
      <c r="B144" s="18">
        <v>0</v>
      </c>
      <c r="C144" s="18">
        <v>2378690.3477999992</v>
      </c>
      <c r="D144" s="18">
        <v>0</v>
      </c>
      <c r="E144" s="18">
        <v>2730600.8475861195</v>
      </c>
      <c r="F144" s="18">
        <v>2378690.3477999992</v>
      </c>
      <c r="G144" s="18">
        <v>2730600.8475861195</v>
      </c>
    </row>
    <row r="145" spans="1:7" ht="11.25" customHeight="1" x14ac:dyDescent="0.2">
      <c r="A145" s="28">
        <v>44501</v>
      </c>
      <c r="B145" s="18">
        <v>0</v>
      </c>
      <c r="C145" s="18">
        <v>2425837.2184799993</v>
      </c>
      <c r="D145" s="18">
        <v>0</v>
      </c>
      <c r="E145" s="18">
        <v>2784722.7660438572</v>
      </c>
      <c r="F145" s="18">
        <v>2425837.2184799993</v>
      </c>
      <c r="G145" s="18">
        <v>2784722.7660438572</v>
      </c>
    </row>
    <row r="146" spans="1:7" ht="11.25" customHeight="1" x14ac:dyDescent="0.2">
      <c r="A146" s="28">
        <v>44531</v>
      </c>
      <c r="B146" s="18">
        <v>0</v>
      </c>
      <c r="C146" s="18">
        <v>2481966.6861599996</v>
      </c>
      <c r="D146" s="18">
        <v>0</v>
      </c>
      <c r="E146" s="18">
        <v>2849156.193523529</v>
      </c>
      <c r="F146" s="18">
        <v>2481966.6861599996</v>
      </c>
      <c r="G146" s="18">
        <v>2849156.193523529</v>
      </c>
    </row>
    <row r="147" spans="1:7" ht="11.25" customHeight="1" x14ac:dyDescent="0.2">
      <c r="A147" s="28">
        <v>44562</v>
      </c>
      <c r="B147" s="18">
        <v>0</v>
      </c>
      <c r="C147" s="18">
        <v>2566334.1428399999</v>
      </c>
      <c r="D147" s="18">
        <v>0</v>
      </c>
      <c r="E147" s="18">
        <v>2946005.2217848836</v>
      </c>
      <c r="F147" s="18">
        <v>2566334.1428399999</v>
      </c>
      <c r="G147" s="18">
        <v>2946005.2217848836</v>
      </c>
    </row>
    <row r="148" spans="1:7" ht="11.25" customHeight="1" x14ac:dyDescent="0.2">
      <c r="A148" s="28">
        <v>44593</v>
      </c>
      <c r="B148" s="18">
        <v>0</v>
      </c>
      <c r="C148" s="18">
        <v>2632917.2500799992</v>
      </c>
      <c r="D148" s="18">
        <v>0</v>
      </c>
      <c r="E148" s="18">
        <v>3022438.8312425483</v>
      </c>
      <c r="F148" s="18">
        <v>2632917.2500799992</v>
      </c>
      <c r="G148" s="18">
        <v>3022438.8312425483</v>
      </c>
    </row>
    <row r="149" spans="1:7" ht="11.25" customHeight="1" x14ac:dyDescent="0.2">
      <c r="A149" s="28">
        <v>44621</v>
      </c>
      <c r="B149" s="18">
        <v>0</v>
      </c>
      <c r="C149" s="18">
        <v>2632917.2500799992</v>
      </c>
      <c r="D149" s="18">
        <v>0</v>
      </c>
      <c r="E149" s="18">
        <v>3022438.8312425483</v>
      </c>
      <c r="F149" s="18">
        <v>2632917.2500799992</v>
      </c>
      <c r="G149" s="18">
        <v>3022438.8312425483</v>
      </c>
    </row>
    <row r="150" spans="1:7" ht="11.25" customHeight="1" x14ac:dyDescent="0.2">
      <c r="A150" s="24" t="s">
        <v>31</v>
      </c>
      <c r="B150" s="18">
        <v>0</v>
      </c>
      <c r="C150" s="18">
        <v>3151388.7915899958</v>
      </c>
      <c r="D150" s="18">
        <v>0</v>
      </c>
      <c r="E150" s="18">
        <v>3617614.5891993856</v>
      </c>
      <c r="F150" s="18">
        <v>3151388.7915899949</v>
      </c>
      <c r="G150" s="18">
        <v>3617614.5891993847</v>
      </c>
    </row>
    <row r="151" spans="1:7" ht="11.25" customHeight="1" x14ac:dyDescent="0.2">
      <c r="A151" s="25" t="s">
        <v>25</v>
      </c>
      <c r="B151" s="18">
        <v>0</v>
      </c>
      <c r="C151" s="18">
        <v>3151388.7915899958</v>
      </c>
      <c r="D151" s="18">
        <v>0</v>
      </c>
      <c r="E151" s="18">
        <v>3617614.5891993856</v>
      </c>
      <c r="F151" s="18">
        <v>3151388.7915899949</v>
      </c>
      <c r="G151" s="18">
        <v>3617614.5891993847</v>
      </c>
    </row>
    <row r="152" spans="1:7" ht="11.25" customHeight="1" x14ac:dyDescent="0.2">
      <c r="A152" s="26" t="s">
        <v>25</v>
      </c>
      <c r="B152" s="18">
        <v>0</v>
      </c>
      <c r="C152" s="18">
        <v>3151388.7915899958</v>
      </c>
      <c r="D152" s="18">
        <v>0</v>
      </c>
      <c r="E152" s="18">
        <v>3617614.5891993856</v>
      </c>
      <c r="F152" s="18">
        <v>3151388.7915899949</v>
      </c>
      <c r="G152" s="18">
        <v>3617614.5891993847</v>
      </c>
    </row>
    <row r="153" spans="1:7" ht="11.25" customHeight="1" x14ac:dyDescent="0.2">
      <c r="A153" s="27" t="s">
        <v>25</v>
      </c>
      <c r="B153" s="18">
        <v>0</v>
      </c>
      <c r="C153" s="18">
        <v>3151388.7915899958</v>
      </c>
      <c r="D153" s="18">
        <v>0</v>
      </c>
      <c r="E153" s="18">
        <v>3617614.5891993856</v>
      </c>
      <c r="F153" s="18">
        <v>3151388.7915899949</v>
      </c>
      <c r="G153" s="18">
        <v>3617614.5891993847</v>
      </c>
    </row>
    <row r="154" spans="1:7" ht="11.25" customHeight="1" x14ac:dyDescent="0.2">
      <c r="A154" s="28">
        <v>44287</v>
      </c>
      <c r="B154" s="18">
        <v>0</v>
      </c>
      <c r="C154" s="18">
        <v>332000.68823999946</v>
      </c>
      <c r="D154" s="18">
        <v>0</v>
      </c>
      <c r="E154" s="18">
        <v>381117.85400978191</v>
      </c>
      <c r="F154" s="18">
        <v>332000.68823999946</v>
      </c>
      <c r="G154" s="18">
        <v>381117.85400978191</v>
      </c>
    </row>
    <row r="155" spans="1:7" ht="11.25" customHeight="1" x14ac:dyDescent="0.2">
      <c r="A155" s="28">
        <v>44317</v>
      </c>
      <c r="B155" s="18">
        <v>0</v>
      </c>
      <c r="C155" s="18">
        <v>259083.14249999961</v>
      </c>
      <c r="D155" s="18">
        <v>0</v>
      </c>
      <c r="E155" s="18">
        <v>297412.6704470308</v>
      </c>
      <c r="F155" s="18">
        <v>259083.14249999961</v>
      </c>
      <c r="G155" s="18">
        <v>297412.6704470308</v>
      </c>
    </row>
    <row r="156" spans="1:7" ht="11.25" customHeight="1" x14ac:dyDescent="0.2">
      <c r="A156" s="28">
        <v>44348</v>
      </c>
      <c r="B156" s="18">
        <v>0</v>
      </c>
      <c r="C156" s="18">
        <v>234424.47716999968</v>
      </c>
      <c r="D156" s="18">
        <v>0</v>
      </c>
      <c r="E156" s="18">
        <v>269105.92908714124</v>
      </c>
      <c r="F156" s="18">
        <v>234424.47716999968</v>
      </c>
      <c r="G156" s="18">
        <v>269105.92908714124</v>
      </c>
    </row>
    <row r="157" spans="1:7" ht="11.25" customHeight="1" x14ac:dyDescent="0.2">
      <c r="A157" s="28">
        <v>44378</v>
      </c>
      <c r="B157" s="18">
        <v>0</v>
      </c>
      <c r="C157" s="18">
        <v>225491.59073999966</v>
      </c>
      <c r="D157" s="18">
        <v>0</v>
      </c>
      <c r="E157" s="18">
        <v>258851.48496426144</v>
      </c>
      <c r="F157" s="18">
        <v>225491.59073999966</v>
      </c>
      <c r="G157" s="18">
        <v>258851.48496426144</v>
      </c>
    </row>
    <row r="158" spans="1:7" ht="11.25" customHeight="1" x14ac:dyDescent="0.2">
      <c r="A158" s="28">
        <v>44409</v>
      </c>
      <c r="B158" s="18">
        <v>0</v>
      </c>
      <c r="C158" s="18">
        <v>195677.66282999972</v>
      </c>
      <c r="D158" s="18">
        <v>0</v>
      </c>
      <c r="E158" s="18">
        <v>224626.79619961765</v>
      </c>
      <c r="F158" s="18">
        <v>195677.66282999972</v>
      </c>
      <c r="G158" s="18">
        <v>224626.79619961765</v>
      </c>
    </row>
    <row r="159" spans="1:7" ht="11.25" customHeight="1" x14ac:dyDescent="0.2">
      <c r="A159" s="28">
        <v>44440</v>
      </c>
      <c r="B159" s="18">
        <v>0</v>
      </c>
      <c r="C159" s="18">
        <v>202363.16528999974</v>
      </c>
      <c r="D159" s="18">
        <v>0</v>
      </c>
      <c r="E159" s="18">
        <v>232301.3717073962</v>
      </c>
      <c r="F159" s="18">
        <v>202363.16528999974</v>
      </c>
      <c r="G159" s="18">
        <v>232301.3717073962</v>
      </c>
    </row>
    <row r="160" spans="1:7" ht="11.25" customHeight="1" x14ac:dyDescent="0.2">
      <c r="A160" s="28">
        <v>44470</v>
      </c>
      <c r="B160" s="18">
        <v>0</v>
      </c>
      <c r="C160" s="18">
        <v>239772.29366999966</v>
      </c>
      <c r="D160" s="18">
        <v>0</v>
      </c>
      <c r="E160" s="18">
        <v>275244.91740949295</v>
      </c>
      <c r="F160" s="18">
        <v>239772.29366999966</v>
      </c>
      <c r="G160" s="18">
        <v>275244.91740949295</v>
      </c>
    </row>
    <row r="161" spans="1:7" ht="11.25" customHeight="1" x14ac:dyDescent="0.2">
      <c r="A161" s="28">
        <v>44501</v>
      </c>
      <c r="B161" s="18">
        <v>0</v>
      </c>
      <c r="C161" s="18">
        <v>255563.28719999961</v>
      </c>
      <c r="D161" s="18">
        <v>0</v>
      </c>
      <c r="E161" s="18">
        <v>293372.07732214179</v>
      </c>
      <c r="F161" s="18">
        <v>255563.28719999961</v>
      </c>
      <c r="G161" s="18">
        <v>293372.07732214179</v>
      </c>
    </row>
    <row r="162" spans="1:7" ht="11.25" customHeight="1" x14ac:dyDescent="0.2">
      <c r="A162" s="28">
        <v>44531</v>
      </c>
      <c r="B162" s="18">
        <v>0</v>
      </c>
      <c r="C162" s="18">
        <v>275806.71065999958</v>
      </c>
      <c r="D162" s="18">
        <v>0</v>
      </c>
      <c r="E162" s="18">
        <v>316610.37284431647</v>
      </c>
      <c r="F162" s="18">
        <v>275806.71065999958</v>
      </c>
      <c r="G162" s="18">
        <v>316610.37284431647</v>
      </c>
    </row>
    <row r="163" spans="1:7" ht="11.25" customHeight="1" x14ac:dyDescent="0.2">
      <c r="A163" s="28">
        <v>44562</v>
      </c>
      <c r="B163" s="18">
        <v>0</v>
      </c>
      <c r="C163" s="18">
        <v>314604.97028999956</v>
      </c>
      <c r="D163" s="18">
        <v>0</v>
      </c>
      <c r="E163" s="18">
        <v>361148.5619905112</v>
      </c>
      <c r="F163" s="18">
        <v>314604.97028999956</v>
      </c>
      <c r="G163" s="18">
        <v>361148.5619905112</v>
      </c>
    </row>
    <row r="164" spans="1:7" ht="11.25" customHeight="1" x14ac:dyDescent="0.2">
      <c r="A164" s="28">
        <v>44593</v>
      </c>
      <c r="B164" s="18">
        <v>0</v>
      </c>
      <c r="C164" s="18">
        <v>308300.40149999957</v>
      </c>
      <c r="D164" s="18">
        <v>0</v>
      </c>
      <c r="E164" s="18">
        <v>353911.27660884685</v>
      </c>
      <c r="F164" s="18">
        <v>308300.40149999957</v>
      </c>
      <c r="G164" s="18">
        <v>353911.27660884685</v>
      </c>
    </row>
    <row r="165" spans="1:7" ht="11.25" customHeight="1" x14ac:dyDescent="0.2">
      <c r="A165" s="28">
        <v>44621</v>
      </c>
      <c r="B165" s="18">
        <v>0</v>
      </c>
      <c r="C165" s="18">
        <v>308300.40149999957</v>
      </c>
      <c r="D165" s="18">
        <v>0</v>
      </c>
      <c r="E165" s="18">
        <v>353911.27660884685</v>
      </c>
      <c r="F165" s="18">
        <v>308300.40149999957</v>
      </c>
      <c r="G165" s="18">
        <v>353911.27660884685</v>
      </c>
    </row>
    <row r="166" spans="1:7" ht="11.25" customHeight="1" x14ac:dyDescent="0.2">
      <c r="A166" s="24" t="s">
        <v>32</v>
      </c>
      <c r="B166" s="18">
        <v>0</v>
      </c>
      <c r="C166" s="18">
        <v>-9.1312739414206596E-10</v>
      </c>
      <c r="D166" s="18">
        <v>0</v>
      </c>
      <c r="E166" s="18">
        <v>-9.1312739414206596E-10</v>
      </c>
      <c r="F166" s="18">
        <v>-9.1312739414206606E-10</v>
      </c>
      <c r="G166" s="18">
        <v>-9.1312739414206606E-10</v>
      </c>
    </row>
    <row r="167" spans="1:7" ht="11.25" customHeight="1" x14ac:dyDescent="0.2">
      <c r="A167" s="25" t="s">
        <v>25</v>
      </c>
      <c r="B167" s="18">
        <v>0</v>
      </c>
      <c r="C167" s="18">
        <v>-9.1312739414206596E-10</v>
      </c>
      <c r="D167" s="18">
        <v>0</v>
      </c>
      <c r="E167" s="18">
        <v>-9.1312739414206596E-10</v>
      </c>
      <c r="F167" s="18">
        <v>-9.1312739414206606E-10</v>
      </c>
      <c r="G167" s="18">
        <v>-9.1312739414206606E-10</v>
      </c>
    </row>
    <row r="168" spans="1:7" ht="11.25" customHeight="1" x14ac:dyDescent="0.2">
      <c r="A168" s="26" t="s">
        <v>25</v>
      </c>
      <c r="B168" s="18">
        <v>0</v>
      </c>
      <c r="C168" s="18">
        <v>-9.1312739414206596E-10</v>
      </c>
      <c r="D168" s="18">
        <v>0</v>
      </c>
      <c r="E168" s="18">
        <v>-9.1312739414206596E-10</v>
      </c>
      <c r="F168" s="18">
        <v>-9.1312739414206606E-10</v>
      </c>
      <c r="G168" s="18">
        <v>-9.1312739414206606E-10</v>
      </c>
    </row>
    <row r="169" spans="1:7" ht="11.25" customHeight="1" x14ac:dyDescent="0.2">
      <c r="A169" s="27" t="s">
        <v>25</v>
      </c>
      <c r="B169" s="18">
        <v>0</v>
      </c>
      <c r="C169" s="18">
        <v>-9.1312739414206596E-10</v>
      </c>
      <c r="D169" s="18">
        <v>0</v>
      </c>
      <c r="E169" s="18">
        <v>-9.1312739414206596E-10</v>
      </c>
      <c r="F169" s="18">
        <v>-9.1312739414206606E-10</v>
      </c>
      <c r="G169" s="18">
        <v>-9.1312739414206606E-10</v>
      </c>
    </row>
    <row r="170" spans="1:7" ht="11.25" customHeight="1" x14ac:dyDescent="0.2">
      <c r="A170" s="28">
        <v>44287</v>
      </c>
      <c r="B170" s="18">
        <v>0</v>
      </c>
      <c r="C170" s="18">
        <v>-1.0442875009175622E-10</v>
      </c>
      <c r="D170" s="18">
        <v>0</v>
      </c>
      <c r="E170" s="18">
        <v>-1.0442875009175622E-10</v>
      </c>
      <c r="F170" s="18">
        <v>-1.0442875009175622E-10</v>
      </c>
      <c r="G170" s="18">
        <v>-1.0442875009175622E-10</v>
      </c>
    </row>
    <row r="171" spans="1:7" ht="11.25" customHeight="1" x14ac:dyDescent="0.2">
      <c r="A171" s="28">
        <v>44317</v>
      </c>
      <c r="B171" s="18">
        <v>0</v>
      </c>
      <c r="C171" s="18">
        <v>-7.2438126608176391E-11</v>
      </c>
      <c r="D171" s="18">
        <v>0</v>
      </c>
      <c r="E171" s="18">
        <v>-7.2438126608176391E-11</v>
      </c>
      <c r="F171" s="18">
        <v>-7.2438126608176391E-11</v>
      </c>
      <c r="G171" s="18">
        <v>-7.2438126608176391E-11</v>
      </c>
    </row>
    <row r="172" spans="1:7" ht="11.25" customHeight="1" x14ac:dyDescent="0.2">
      <c r="A172" s="28">
        <v>44348</v>
      </c>
      <c r="B172" s="18">
        <v>0</v>
      </c>
      <c r="C172" s="18">
        <v>-6.4106188801815735E-11</v>
      </c>
      <c r="D172" s="18">
        <v>0</v>
      </c>
      <c r="E172" s="18">
        <v>-6.4106188801815735E-11</v>
      </c>
      <c r="F172" s="18">
        <v>-6.4106188801815735E-11</v>
      </c>
      <c r="G172" s="18">
        <v>-6.4106188801815735E-11</v>
      </c>
    </row>
    <row r="173" spans="1:7" ht="11.25" customHeight="1" x14ac:dyDescent="0.2">
      <c r="A173" s="28">
        <v>44378</v>
      </c>
      <c r="B173" s="18">
        <v>0</v>
      </c>
      <c r="C173" s="18">
        <v>-5.8922864809574087E-11</v>
      </c>
      <c r="D173" s="18">
        <v>0</v>
      </c>
      <c r="E173" s="18">
        <v>-5.8922864809574087E-11</v>
      </c>
      <c r="F173" s="18">
        <v>-5.8922864809574087E-11</v>
      </c>
      <c r="G173" s="18">
        <v>-5.8922864809574087E-11</v>
      </c>
    </row>
    <row r="174" spans="1:7" ht="11.25" customHeight="1" x14ac:dyDescent="0.2">
      <c r="A174" s="28">
        <v>44409</v>
      </c>
      <c r="B174" s="18">
        <v>0</v>
      </c>
      <c r="C174" s="18">
        <v>-5.1549704949138684E-11</v>
      </c>
      <c r="D174" s="18">
        <v>0</v>
      </c>
      <c r="E174" s="18">
        <v>-5.1549704949138684E-11</v>
      </c>
      <c r="F174" s="18">
        <v>-5.1549704949138684E-11</v>
      </c>
      <c r="G174" s="18">
        <v>-5.1549704949138684E-11</v>
      </c>
    </row>
    <row r="175" spans="1:7" ht="11.25" customHeight="1" x14ac:dyDescent="0.2">
      <c r="A175" s="28">
        <v>44440</v>
      </c>
      <c r="B175" s="18">
        <v>0</v>
      </c>
      <c r="C175" s="18">
        <v>-5.5009365951264045E-11</v>
      </c>
      <c r="D175" s="18">
        <v>0</v>
      </c>
      <c r="E175" s="18">
        <v>-5.5009365951264045E-11</v>
      </c>
      <c r="F175" s="18">
        <v>-5.5009365951264045E-11</v>
      </c>
      <c r="G175" s="18">
        <v>-5.5009365951264045E-11</v>
      </c>
    </row>
    <row r="176" spans="1:7" ht="11.25" customHeight="1" x14ac:dyDescent="0.2">
      <c r="A176" s="28">
        <v>44470</v>
      </c>
      <c r="B176" s="18">
        <v>0</v>
      </c>
      <c r="C176" s="18">
        <v>-6.7933797254227104E-11</v>
      </c>
      <c r="D176" s="18">
        <v>0</v>
      </c>
      <c r="E176" s="18">
        <v>-6.7933797254227104E-11</v>
      </c>
      <c r="F176" s="18">
        <v>-6.7933797254227104E-11</v>
      </c>
      <c r="G176" s="18">
        <v>-6.7933797254227104E-11</v>
      </c>
    </row>
    <row r="177" spans="1:7" ht="11.25" customHeight="1" x14ac:dyDescent="0.2">
      <c r="A177" s="28">
        <v>44501</v>
      </c>
      <c r="B177" s="18">
        <v>0</v>
      </c>
      <c r="C177" s="18">
        <v>-7.3822945978463401E-11</v>
      </c>
      <c r="D177" s="18">
        <v>0</v>
      </c>
      <c r="E177" s="18">
        <v>-7.3822945978463401E-11</v>
      </c>
      <c r="F177" s="18">
        <v>-7.3822945978463401E-11</v>
      </c>
      <c r="G177" s="18">
        <v>-7.3822945978463401E-11</v>
      </c>
    </row>
    <row r="178" spans="1:7" ht="11.25" customHeight="1" x14ac:dyDescent="0.2">
      <c r="A178" s="28">
        <v>44531</v>
      </c>
      <c r="B178" s="18">
        <v>0</v>
      </c>
      <c r="C178" s="18">
        <v>-8.2353778907418013E-11</v>
      </c>
      <c r="D178" s="18">
        <v>0</v>
      </c>
      <c r="E178" s="18">
        <v>-8.2353778907418013E-11</v>
      </c>
      <c r="F178" s="18">
        <v>-8.2353778907418013E-11</v>
      </c>
      <c r="G178" s="18">
        <v>-8.2353778907418013E-11</v>
      </c>
    </row>
    <row r="179" spans="1:7" ht="11.25" customHeight="1" x14ac:dyDescent="0.2">
      <c r="A179" s="28">
        <v>44562</v>
      </c>
      <c r="B179" s="18">
        <v>0</v>
      </c>
      <c r="C179" s="18">
        <v>-9.4785434612276728E-11</v>
      </c>
      <c r="D179" s="18">
        <v>0</v>
      </c>
      <c r="E179" s="18">
        <v>-9.4785434612276728E-11</v>
      </c>
      <c r="F179" s="18">
        <v>-9.4785434612276728E-11</v>
      </c>
      <c r="G179" s="18">
        <v>-9.4785434612276728E-11</v>
      </c>
    </row>
    <row r="180" spans="1:7" ht="11.25" customHeight="1" x14ac:dyDescent="0.2">
      <c r="A180" s="28">
        <v>44593</v>
      </c>
      <c r="B180" s="18">
        <v>0</v>
      </c>
      <c r="C180" s="18">
        <v>-9.3888218088977741E-11</v>
      </c>
      <c r="D180" s="18">
        <v>0</v>
      </c>
      <c r="E180" s="18">
        <v>-9.3888218088977741E-11</v>
      </c>
      <c r="F180" s="18">
        <v>-9.3888218088977741E-11</v>
      </c>
      <c r="G180" s="18">
        <v>-9.3888218088977741E-11</v>
      </c>
    </row>
    <row r="181" spans="1:7" ht="11.25" customHeight="1" x14ac:dyDescent="0.2">
      <c r="A181" s="28">
        <v>44621</v>
      </c>
      <c r="B181" s="18">
        <v>0</v>
      </c>
      <c r="C181" s="18">
        <v>-9.3888218088977741E-11</v>
      </c>
      <c r="D181" s="18">
        <v>0</v>
      </c>
      <c r="E181" s="18">
        <v>-9.3888218088977741E-11</v>
      </c>
      <c r="F181" s="18">
        <v>-9.3888218088977741E-11</v>
      </c>
      <c r="G181" s="18">
        <v>-9.3888218088977741E-11</v>
      </c>
    </row>
    <row r="182" spans="1:7" ht="11.25" customHeight="1" x14ac:dyDescent="0.2">
      <c r="A182" s="20" t="s">
        <v>1022</v>
      </c>
      <c r="B182" s="18">
        <v>20363367.72508847</v>
      </c>
      <c r="C182" s="18">
        <v>5956618.4473651014</v>
      </c>
      <c r="D182" s="18">
        <v>24157066.243188076</v>
      </c>
      <c r="E182" s="18">
        <v>7318560.3841307415</v>
      </c>
      <c r="F182" s="18">
        <v>26319986.172453571</v>
      </c>
      <c r="G182" s="18">
        <v>31475626.627318818</v>
      </c>
    </row>
    <row r="183" spans="1:7" ht="11.25" customHeight="1" x14ac:dyDescent="0.2">
      <c r="A183" s="21" t="s">
        <v>39</v>
      </c>
      <c r="B183" s="18">
        <v>691536.03031415876</v>
      </c>
      <c r="C183" s="18">
        <v>0</v>
      </c>
      <c r="D183" s="18">
        <v>751425.44599851756</v>
      </c>
      <c r="E183" s="18">
        <v>0</v>
      </c>
      <c r="F183" s="18">
        <v>691536.03031415876</v>
      </c>
      <c r="G183" s="18">
        <v>751425.44599851756</v>
      </c>
    </row>
    <row r="184" spans="1:7" ht="11.25" customHeight="1" x14ac:dyDescent="0.2">
      <c r="A184" s="22" t="s">
        <v>40</v>
      </c>
      <c r="B184" s="18">
        <v>691536.03031415876</v>
      </c>
      <c r="C184" s="18">
        <v>0</v>
      </c>
      <c r="D184" s="18">
        <v>751425.44599851756</v>
      </c>
      <c r="E184" s="18">
        <v>0</v>
      </c>
      <c r="F184" s="18">
        <v>691536.03031415876</v>
      </c>
      <c r="G184" s="18">
        <v>751425.44599851756</v>
      </c>
    </row>
    <row r="185" spans="1:7" ht="11.25" customHeight="1" x14ac:dyDescent="0.2">
      <c r="A185" s="23" t="s">
        <v>38</v>
      </c>
      <c r="B185" s="18">
        <v>691536.03031415876</v>
      </c>
      <c r="C185" s="18">
        <v>0</v>
      </c>
      <c r="D185" s="18">
        <v>751425.44599851756</v>
      </c>
      <c r="E185" s="18">
        <v>0</v>
      </c>
      <c r="F185" s="18">
        <v>691536.03031415876</v>
      </c>
      <c r="G185" s="18">
        <v>751425.44599851756</v>
      </c>
    </row>
    <row r="186" spans="1:7" ht="11.25" customHeight="1" x14ac:dyDescent="0.2">
      <c r="A186" s="24" t="s">
        <v>25</v>
      </c>
      <c r="B186" s="18">
        <v>691536.03031415876</v>
      </c>
      <c r="C186" s="18">
        <v>0</v>
      </c>
      <c r="D186" s="18">
        <v>751425.44599851756</v>
      </c>
      <c r="E186" s="18">
        <v>0</v>
      </c>
      <c r="F186" s="18">
        <v>691536.03031415876</v>
      </c>
      <c r="G186" s="18">
        <v>751425.44599851756</v>
      </c>
    </row>
    <row r="187" spans="1:7" ht="11.25" customHeight="1" x14ac:dyDescent="0.2">
      <c r="A187" s="25" t="s">
        <v>60</v>
      </c>
      <c r="B187" s="18">
        <v>691536.03031415876</v>
      </c>
      <c r="C187" s="18">
        <v>0</v>
      </c>
      <c r="D187" s="18">
        <v>751425.44599851756</v>
      </c>
      <c r="E187" s="18">
        <v>0</v>
      </c>
      <c r="F187" s="18">
        <v>691536.03031415876</v>
      </c>
      <c r="G187" s="18">
        <v>751425.44599851756</v>
      </c>
    </row>
    <row r="188" spans="1:7" ht="11.25" customHeight="1" x14ac:dyDescent="0.2">
      <c r="A188" s="26" t="s">
        <v>25</v>
      </c>
      <c r="B188" s="18">
        <v>691536.03031415876</v>
      </c>
      <c r="C188" s="18">
        <v>0</v>
      </c>
      <c r="D188" s="18">
        <v>751425.44599851756</v>
      </c>
      <c r="E188" s="18">
        <v>0</v>
      </c>
      <c r="F188" s="18">
        <v>691536.03031415876</v>
      </c>
      <c r="G188" s="18">
        <v>751425.44599851756</v>
      </c>
    </row>
    <row r="189" spans="1:7" ht="11.25" customHeight="1" x14ac:dyDescent="0.2">
      <c r="A189" s="27" t="s">
        <v>35</v>
      </c>
      <c r="B189" s="18">
        <v>276035.77130576305</v>
      </c>
      <c r="C189" s="18">
        <v>0</v>
      </c>
      <c r="D189" s="18">
        <v>271506.90238707932</v>
      </c>
      <c r="E189" s="18">
        <v>0</v>
      </c>
      <c r="F189" s="18">
        <v>276035.77130576305</v>
      </c>
      <c r="G189" s="18">
        <v>271506.90238707932</v>
      </c>
    </row>
    <row r="190" spans="1:7" ht="11.25" customHeight="1" x14ac:dyDescent="0.2">
      <c r="A190" s="28">
        <v>44287</v>
      </c>
      <c r="B190" s="18">
        <v>8659.0813360499997</v>
      </c>
      <c r="C190" s="18">
        <v>0</v>
      </c>
      <c r="D190" s="18">
        <v>8517.0133564483567</v>
      </c>
      <c r="E190" s="18">
        <v>0</v>
      </c>
      <c r="F190" s="18">
        <v>8659.0813360499997</v>
      </c>
      <c r="G190" s="18">
        <v>8517.0133564483567</v>
      </c>
    </row>
    <row r="191" spans="1:7" ht="11.25" customHeight="1" x14ac:dyDescent="0.2">
      <c r="A191" s="28">
        <v>44317</v>
      </c>
      <c r="B191" s="18">
        <v>8645.8445709000007</v>
      </c>
      <c r="C191" s="18">
        <v>0</v>
      </c>
      <c r="D191" s="18">
        <v>8503.9937645074242</v>
      </c>
      <c r="E191" s="18">
        <v>0</v>
      </c>
      <c r="F191" s="18">
        <v>8645.8445709000007</v>
      </c>
      <c r="G191" s="18">
        <v>8503.9937645074242</v>
      </c>
    </row>
    <row r="192" spans="1:7" ht="11.25" customHeight="1" x14ac:dyDescent="0.2">
      <c r="A192" s="28">
        <v>44348</v>
      </c>
      <c r="B192" s="18">
        <v>8685.32990445</v>
      </c>
      <c r="C192" s="18">
        <v>0</v>
      </c>
      <c r="D192" s="18">
        <v>8542.8312693393837</v>
      </c>
      <c r="E192" s="18">
        <v>0</v>
      </c>
      <c r="F192" s="18">
        <v>8685.32990445</v>
      </c>
      <c r="G192" s="18">
        <v>8542.8312693393837</v>
      </c>
    </row>
    <row r="193" spans="1:7" ht="11.25" customHeight="1" x14ac:dyDescent="0.2">
      <c r="A193" s="28">
        <v>44378</v>
      </c>
      <c r="B193" s="18">
        <v>8288.2799742000007</v>
      </c>
      <c r="C193" s="18">
        <v>0</v>
      </c>
      <c r="D193" s="18">
        <v>8152.2956654021245</v>
      </c>
      <c r="E193" s="18">
        <v>0</v>
      </c>
      <c r="F193" s="18">
        <v>8288.2799742000007</v>
      </c>
      <c r="G193" s="18">
        <v>8152.2956654021245</v>
      </c>
    </row>
    <row r="194" spans="1:7" ht="11.25" customHeight="1" x14ac:dyDescent="0.2">
      <c r="A194" s="28">
        <v>44409</v>
      </c>
      <c r="B194" s="18">
        <v>8695.2499592999993</v>
      </c>
      <c r="C194" s="18">
        <v>0</v>
      </c>
      <c r="D194" s="18">
        <v>8552.5885676456601</v>
      </c>
      <c r="E194" s="18">
        <v>0</v>
      </c>
      <c r="F194" s="18">
        <v>8695.2499592999993</v>
      </c>
      <c r="G194" s="18">
        <v>8552.5885676456601</v>
      </c>
    </row>
    <row r="195" spans="1:7" ht="11.25" customHeight="1" x14ac:dyDescent="0.2">
      <c r="A195" s="28">
        <v>44440</v>
      </c>
      <c r="B195" s="18">
        <v>64316.87883324</v>
      </c>
      <c r="C195" s="18">
        <v>0</v>
      </c>
      <c r="D195" s="18">
        <v>63261.643447924835</v>
      </c>
      <c r="E195" s="18">
        <v>0</v>
      </c>
      <c r="F195" s="18">
        <v>64316.87883324</v>
      </c>
      <c r="G195" s="18">
        <v>63261.643447924835</v>
      </c>
    </row>
    <row r="196" spans="1:7" ht="11.25" customHeight="1" x14ac:dyDescent="0.2">
      <c r="A196" s="28">
        <v>44470</v>
      </c>
      <c r="B196" s="18">
        <v>64310.379485760001</v>
      </c>
      <c r="C196" s="18">
        <v>0</v>
      </c>
      <c r="D196" s="18">
        <v>63255.250734062123</v>
      </c>
      <c r="E196" s="18">
        <v>0</v>
      </c>
      <c r="F196" s="18">
        <v>64310.379485760001</v>
      </c>
      <c r="G196" s="18">
        <v>63255.250734062123</v>
      </c>
    </row>
    <row r="197" spans="1:7" ht="11.25" customHeight="1" x14ac:dyDescent="0.2">
      <c r="A197" s="28">
        <v>44501</v>
      </c>
      <c r="B197" s="18">
        <v>20439.110037955394</v>
      </c>
      <c r="C197" s="18">
        <v>0</v>
      </c>
      <c r="D197" s="18">
        <v>20103.769260422916</v>
      </c>
      <c r="E197" s="18">
        <v>0</v>
      </c>
      <c r="F197" s="18">
        <v>20439.110037955394</v>
      </c>
      <c r="G197" s="18">
        <v>20103.769260422916</v>
      </c>
    </row>
    <row r="198" spans="1:7" ht="11.25" customHeight="1" x14ac:dyDescent="0.2">
      <c r="A198" s="28">
        <v>44531</v>
      </c>
      <c r="B198" s="18">
        <v>24748.618420636009</v>
      </c>
      <c r="C198" s="18">
        <v>0</v>
      </c>
      <c r="D198" s="18">
        <v>24342.572319381157</v>
      </c>
      <c r="E198" s="18">
        <v>0</v>
      </c>
      <c r="F198" s="18">
        <v>24748.618420636009</v>
      </c>
      <c r="G198" s="18">
        <v>24342.572319381157</v>
      </c>
    </row>
    <row r="199" spans="1:7" ht="11.25" customHeight="1" x14ac:dyDescent="0.2">
      <c r="A199" s="28">
        <v>44562</v>
      </c>
      <c r="B199" s="18">
        <v>8689.0795360200045</v>
      </c>
      <c r="C199" s="18">
        <v>0</v>
      </c>
      <c r="D199" s="18">
        <v>8546.5193813831575</v>
      </c>
      <c r="E199" s="18">
        <v>0</v>
      </c>
      <c r="F199" s="18">
        <v>8689.0795360200045</v>
      </c>
      <c r="G199" s="18">
        <v>8546.5193813831575</v>
      </c>
    </row>
    <row r="200" spans="1:7" ht="11.25" customHeight="1" x14ac:dyDescent="0.2">
      <c r="A200" s="28">
        <v>44593</v>
      </c>
      <c r="B200" s="18">
        <v>25278.9596236258</v>
      </c>
      <c r="C200" s="18">
        <v>0</v>
      </c>
      <c r="D200" s="18">
        <v>24864.212310281098</v>
      </c>
      <c r="E200" s="18">
        <v>0</v>
      </c>
      <c r="F200" s="18">
        <v>25278.9596236258</v>
      </c>
      <c r="G200" s="18">
        <v>24864.212310281098</v>
      </c>
    </row>
    <row r="201" spans="1:7" ht="11.25" customHeight="1" x14ac:dyDescent="0.2">
      <c r="A201" s="28">
        <v>44621</v>
      </c>
      <c r="B201" s="18">
        <v>25278.9596236258</v>
      </c>
      <c r="C201" s="18">
        <v>0</v>
      </c>
      <c r="D201" s="18">
        <v>24864.212310281098</v>
      </c>
      <c r="E201" s="18">
        <v>0</v>
      </c>
      <c r="F201" s="18">
        <v>25278.9596236258</v>
      </c>
      <c r="G201" s="18">
        <v>24864.212310281098</v>
      </c>
    </row>
    <row r="202" spans="1:7" ht="11.25" customHeight="1" x14ac:dyDescent="0.2">
      <c r="A202" s="27" t="s">
        <v>25</v>
      </c>
      <c r="B202" s="18">
        <v>0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</row>
    <row r="203" spans="1:7" ht="11.25" customHeight="1" x14ac:dyDescent="0.2">
      <c r="A203" s="28">
        <v>44287</v>
      </c>
      <c r="B203" s="18">
        <v>0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</row>
    <row r="204" spans="1:7" ht="11.25" customHeight="1" x14ac:dyDescent="0.2">
      <c r="A204" s="28">
        <v>44317</v>
      </c>
      <c r="B204" s="18">
        <v>0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</row>
    <row r="205" spans="1:7" ht="11.25" customHeight="1" x14ac:dyDescent="0.2">
      <c r="A205" s="28">
        <v>44348</v>
      </c>
      <c r="B205" s="18">
        <v>0</v>
      </c>
      <c r="C205" s="18">
        <v>0</v>
      </c>
      <c r="D205" s="18">
        <v>0</v>
      </c>
      <c r="E205" s="18">
        <v>0</v>
      </c>
      <c r="F205" s="18">
        <v>0</v>
      </c>
      <c r="G205" s="18">
        <v>0</v>
      </c>
    </row>
    <row r="206" spans="1:7" ht="11.25" customHeight="1" x14ac:dyDescent="0.2">
      <c r="A206" s="28">
        <v>44378</v>
      </c>
      <c r="B206" s="18">
        <v>0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</row>
    <row r="207" spans="1:7" ht="11.25" customHeight="1" x14ac:dyDescent="0.2">
      <c r="A207" s="28">
        <v>44409</v>
      </c>
      <c r="B207" s="18">
        <v>0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</row>
    <row r="208" spans="1:7" ht="11.25" customHeight="1" x14ac:dyDescent="0.2">
      <c r="A208" s="28">
        <v>44440</v>
      </c>
      <c r="B208" s="18">
        <v>0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</row>
    <row r="209" spans="1:7" ht="11.25" customHeight="1" x14ac:dyDescent="0.2">
      <c r="A209" s="28">
        <v>44470</v>
      </c>
      <c r="B209" s="18">
        <v>0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</row>
    <row r="210" spans="1:7" ht="11.25" customHeight="1" x14ac:dyDescent="0.2">
      <c r="A210" s="28">
        <v>44501</v>
      </c>
      <c r="B210" s="18">
        <v>0</v>
      </c>
      <c r="C210" s="18">
        <v>0</v>
      </c>
      <c r="D210" s="18">
        <v>0</v>
      </c>
      <c r="E210" s="18">
        <v>0</v>
      </c>
      <c r="F210" s="18">
        <v>0</v>
      </c>
      <c r="G210" s="18">
        <v>0</v>
      </c>
    </row>
    <row r="211" spans="1:7" ht="11.25" customHeight="1" x14ac:dyDescent="0.2">
      <c r="A211" s="28">
        <v>44531</v>
      </c>
      <c r="B211" s="18">
        <v>0</v>
      </c>
      <c r="C211" s="18">
        <v>0</v>
      </c>
      <c r="D211" s="18">
        <v>0</v>
      </c>
      <c r="E211" s="18">
        <v>0</v>
      </c>
      <c r="F211" s="18">
        <v>0</v>
      </c>
      <c r="G211" s="18">
        <v>0</v>
      </c>
    </row>
    <row r="212" spans="1:7" ht="11.25" customHeight="1" x14ac:dyDescent="0.2">
      <c r="A212" s="28">
        <v>44562</v>
      </c>
      <c r="B212" s="18">
        <v>0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</row>
    <row r="213" spans="1:7" ht="11.25" customHeight="1" x14ac:dyDescent="0.2">
      <c r="A213" s="28">
        <v>44593</v>
      </c>
      <c r="B213" s="18">
        <v>0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</row>
    <row r="214" spans="1:7" ht="11.25" customHeight="1" x14ac:dyDescent="0.2">
      <c r="A214" s="28">
        <v>44621</v>
      </c>
      <c r="B214" s="18">
        <v>0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</row>
    <row r="215" spans="1:7" ht="11.25" customHeight="1" x14ac:dyDescent="0.2">
      <c r="A215" s="27" t="s">
        <v>34</v>
      </c>
      <c r="B215" s="18">
        <v>415500.2590083956</v>
      </c>
      <c r="C215" s="18">
        <v>0</v>
      </c>
      <c r="D215" s="18">
        <v>479918.54361143807</v>
      </c>
      <c r="E215" s="18">
        <v>0</v>
      </c>
      <c r="F215" s="18">
        <v>415500.2590083956</v>
      </c>
      <c r="G215" s="18">
        <v>479918.54361143807</v>
      </c>
    </row>
    <row r="216" spans="1:7" ht="11.25" customHeight="1" x14ac:dyDescent="0.2">
      <c r="A216" s="28">
        <v>44287</v>
      </c>
      <c r="B216" s="18">
        <v>17079.792957941998</v>
      </c>
      <c r="C216" s="18">
        <v>0</v>
      </c>
      <c r="D216" s="18">
        <v>19727.808067129972</v>
      </c>
      <c r="E216" s="18">
        <v>0</v>
      </c>
      <c r="F216" s="18">
        <v>17079.792957941998</v>
      </c>
      <c r="G216" s="18">
        <v>19727.808067129972</v>
      </c>
    </row>
    <row r="217" spans="1:7" ht="11.25" customHeight="1" x14ac:dyDescent="0.2">
      <c r="A217" s="28">
        <v>44317</v>
      </c>
      <c r="B217" s="18">
        <v>17049.939550930001</v>
      </c>
      <c r="C217" s="18">
        <v>0</v>
      </c>
      <c r="D217" s="18">
        <v>19693.326250802758</v>
      </c>
      <c r="E217" s="18">
        <v>0</v>
      </c>
      <c r="F217" s="18">
        <v>17049.939550930001</v>
      </c>
      <c r="G217" s="18">
        <v>19693.326250802758</v>
      </c>
    </row>
    <row r="218" spans="1:7" ht="11.25" customHeight="1" x14ac:dyDescent="0.2">
      <c r="A218" s="28">
        <v>44348</v>
      </c>
      <c r="B218" s="18">
        <v>17129.889950029999</v>
      </c>
      <c r="C218" s="18">
        <v>0</v>
      </c>
      <c r="D218" s="18">
        <v>19785.671991305531</v>
      </c>
      <c r="E218" s="18">
        <v>0</v>
      </c>
      <c r="F218" s="18">
        <v>17129.889950029999</v>
      </c>
      <c r="G218" s="18">
        <v>19785.671991305531</v>
      </c>
    </row>
    <row r="219" spans="1:7" ht="11.25" customHeight="1" x14ac:dyDescent="0.2">
      <c r="A219" s="28">
        <v>44378</v>
      </c>
      <c r="B219" s="18">
        <v>16288.789805002001</v>
      </c>
      <c r="C219" s="18">
        <v>0</v>
      </c>
      <c r="D219" s="18">
        <v>18814.169452181843</v>
      </c>
      <c r="E219" s="18">
        <v>0</v>
      </c>
      <c r="F219" s="18">
        <v>16288.789805002001</v>
      </c>
      <c r="G219" s="18">
        <v>18814.169452181843</v>
      </c>
    </row>
    <row r="220" spans="1:7" ht="11.25" customHeight="1" x14ac:dyDescent="0.2">
      <c r="A220" s="28">
        <v>44409</v>
      </c>
      <c r="B220" s="18">
        <v>17151.129700276</v>
      </c>
      <c r="C220" s="18">
        <v>0</v>
      </c>
      <c r="D220" s="18">
        <v>19810.204707672685</v>
      </c>
      <c r="E220" s="18">
        <v>0</v>
      </c>
      <c r="F220" s="18">
        <v>17151.129700276</v>
      </c>
      <c r="G220" s="18">
        <v>19810.204707672685</v>
      </c>
    </row>
    <row r="221" spans="1:7" ht="11.25" customHeight="1" x14ac:dyDescent="0.2">
      <c r="A221" s="28">
        <v>44440</v>
      </c>
      <c r="B221" s="18">
        <v>69559.628728486001</v>
      </c>
      <c r="C221" s="18">
        <v>0</v>
      </c>
      <c r="D221" s="18">
        <v>80344.006988580033</v>
      </c>
      <c r="E221" s="18">
        <v>0</v>
      </c>
      <c r="F221" s="18">
        <v>69559.628728486001</v>
      </c>
      <c r="G221" s="18">
        <v>80344.006988580033</v>
      </c>
    </row>
    <row r="222" spans="1:7" ht="11.25" customHeight="1" x14ac:dyDescent="0.2">
      <c r="A222" s="28">
        <v>44470</v>
      </c>
      <c r="B222" s="18">
        <v>69546.849247589998</v>
      </c>
      <c r="C222" s="18">
        <v>0</v>
      </c>
      <c r="D222" s="18">
        <v>80329.246203895178</v>
      </c>
      <c r="E222" s="18">
        <v>0</v>
      </c>
      <c r="F222" s="18">
        <v>69546.849247589998</v>
      </c>
      <c r="G222" s="18">
        <v>80329.246203895178</v>
      </c>
    </row>
    <row r="223" spans="1:7" ht="11.25" customHeight="1" x14ac:dyDescent="0.2">
      <c r="A223" s="28">
        <v>44501</v>
      </c>
      <c r="B223" s="18">
        <v>39002.712944249586</v>
      </c>
      <c r="C223" s="18">
        <v>0</v>
      </c>
      <c r="D223" s="18">
        <v>45049.61137153233</v>
      </c>
      <c r="E223" s="18">
        <v>0</v>
      </c>
      <c r="F223" s="18">
        <v>39002.712944249586</v>
      </c>
      <c r="G223" s="18">
        <v>45049.61137153233</v>
      </c>
    </row>
    <row r="224" spans="1:7" ht="11.25" customHeight="1" x14ac:dyDescent="0.2">
      <c r="A224" s="28">
        <v>44531</v>
      </c>
      <c r="B224" s="18">
        <v>49714.534050942806</v>
      </c>
      <c r="C224" s="18">
        <v>0</v>
      </c>
      <c r="D224" s="18">
        <v>57422.170650362037</v>
      </c>
      <c r="E224" s="18">
        <v>0</v>
      </c>
      <c r="F224" s="18">
        <v>49714.534050942806</v>
      </c>
      <c r="G224" s="18">
        <v>57422.170650362037</v>
      </c>
    </row>
    <row r="225" spans="1:7" ht="11.25" customHeight="1" x14ac:dyDescent="0.2">
      <c r="A225" s="28">
        <v>44562</v>
      </c>
      <c r="B225" s="18">
        <v>17299.189167935994</v>
      </c>
      <c r="C225" s="18">
        <v>0</v>
      </c>
      <c r="D225" s="18">
        <v>19981.219003203685</v>
      </c>
      <c r="E225" s="18">
        <v>0</v>
      </c>
      <c r="F225" s="18">
        <v>17299.189167935994</v>
      </c>
      <c r="G225" s="18">
        <v>19981.219003203685</v>
      </c>
    </row>
    <row r="226" spans="1:7" ht="11.25" customHeight="1" x14ac:dyDescent="0.2">
      <c r="A226" s="28">
        <v>44593</v>
      </c>
      <c r="B226" s="18">
        <v>42838.901452505612</v>
      </c>
      <c r="C226" s="18">
        <v>0</v>
      </c>
      <c r="D226" s="18">
        <v>49480.554462386004</v>
      </c>
      <c r="E226" s="18">
        <v>0</v>
      </c>
      <c r="F226" s="18">
        <v>42838.901452505612</v>
      </c>
      <c r="G226" s="18">
        <v>49480.554462386004</v>
      </c>
    </row>
    <row r="227" spans="1:7" ht="11.25" customHeight="1" x14ac:dyDescent="0.2">
      <c r="A227" s="28">
        <v>44621</v>
      </c>
      <c r="B227" s="18">
        <v>42838.901452505612</v>
      </c>
      <c r="C227" s="18">
        <v>0</v>
      </c>
      <c r="D227" s="18">
        <v>49480.554462386004</v>
      </c>
      <c r="E227" s="18">
        <v>0</v>
      </c>
      <c r="F227" s="18">
        <v>42838.901452505612</v>
      </c>
      <c r="G227" s="18">
        <v>49480.554462386004</v>
      </c>
    </row>
    <row r="228" spans="1:7" ht="11.25" customHeight="1" x14ac:dyDescent="0.2">
      <c r="A228" s="21" t="s">
        <v>41</v>
      </c>
      <c r="B228" s="18">
        <v>19671831.694774304</v>
      </c>
      <c r="C228" s="18">
        <v>5956618.4473651014</v>
      </c>
      <c r="D228" s="18">
        <v>23405640.797189564</v>
      </c>
      <c r="E228" s="18">
        <v>7318560.3841307415</v>
      </c>
      <c r="F228" s="18">
        <v>25628450.142139405</v>
      </c>
      <c r="G228" s="18">
        <v>30724201.181320306</v>
      </c>
    </row>
    <row r="229" spans="1:7" ht="11.25" customHeight="1" x14ac:dyDescent="0.2">
      <c r="A229" s="22" t="s">
        <v>40</v>
      </c>
      <c r="B229" s="18">
        <v>15490771.572628573</v>
      </c>
      <c r="C229" s="18">
        <v>0</v>
      </c>
      <c r="D229" s="18">
        <v>18626964.811290603</v>
      </c>
      <c r="E229" s="18">
        <v>0</v>
      </c>
      <c r="F229" s="18">
        <v>15490771.572628573</v>
      </c>
      <c r="G229" s="18">
        <v>18626964.811290603</v>
      </c>
    </row>
    <row r="230" spans="1:7" ht="11.25" customHeight="1" x14ac:dyDescent="0.2">
      <c r="A230" s="23" t="s">
        <v>38</v>
      </c>
      <c r="B230" s="18">
        <v>15490771.572628573</v>
      </c>
      <c r="C230" s="18">
        <v>0</v>
      </c>
      <c r="D230" s="18">
        <v>18626964.811290603</v>
      </c>
      <c r="E230" s="18">
        <v>0</v>
      </c>
      <c r="F230" s="18">
        <v>15490771.572628573</v>
      </c>
      <c r="G230" s="18">
        <v>18626964.811290603</v>
      </c>
    </row>
    <row r="231" spans="1:7" ht="11.25" customHeight="1" x14ac:dyDescent="0.2">
      <c r="A231" s="24" t="s">
        <v>25</v>
      </c>
      <c r="B231" s="18">
        <v>15490771.572628573</v>
      </c>
      <c r="C231" s="18">
        <v>0</v>
      </c>
      <c r="D231" s="18">
        <v>18626964.811290603</v>
      </c>
      <c r="E231" s="18">
        <v>0</v>
      </c>
      <c r="F231" s="18">
        <v>15490771.572628573</v>
      </c>
      <c r="G231" s="18">
        <v>18626964.811290603</v>
      </c>
    </row>
    <row r="232" spans="1:7" ht="11.25" customHeight="1" x14ac:dyDescent="0.2">
      <c r="A232" s="25" t="s">
        <v>60</v>
      </c>
      <c r="B232" s="18">
        <v>15490771.572628573</v>
      </c>
      <c r="C232" s="18">
        <v>0</v>
      </c>
      <c r="D232" s="18">
        <v>18626964.811290603</v>
      </c>
      <c r="E232" s="18">
        <v>0</v>
      </c>
      <c r="F232" s="18">
        <v>15490771.572628573</v>
      </c>
      <c r="G232" s="18">
        <v>18626964.811290603</v>
      </c>
    </row>
    <row r="233" spans="1:7" ht="11.25" customHeight="1" x14ac:dyDescent="0.2">
      <c r="A233" s="26" t="s">
        <v>25</v>
      </c>
      <c r="B233" s="18">
        <v>15490771.572628573</v>
      </c>
      <c r="C233" s="18">
        <v>0</v>
      </c>
      <c r="D233" s="18">
        <v>18626964.811290603</v>
      </c>
      <c r="E233" s="18">
        <v>0</v>
      </c>
      <c r="F233" s="18">
        <v>15490771.572628573</v>
      </c>
      <c r="G233" s="18">
        <v>18626964.811290603</v>
      </c>
    </row>
    <row r="234" spans="1:7" ht="11.25" customHeight="1" x14ac:dyDescent="0.2">
      <c r="A234" s="27" t="s">
        <v>35</v>
      </c>
      <c r="B234" s="18">
        <v>4668141.4189460902</v>
      </c>
      <c r="C234" s="18">
        <v>0</v>
      </c>
      <c r="D234" s="18">
        <v>5335377.7859691819</v>
      </c>
      <c r="E234" s="18">
        <v>0</v>
      </c>
      <c r="F234" s="18">
        <v>4668141.4189460902</v>
      </c>
      <c r="G234" s="18">
        <v>5335377.7859691819</v>
      </c>
    </row>
    <row r="235" spans="1:7" ht="11.25" customHeight="1" x14ac:dyDescent="0.2">
      <c r="A235" s="28">
        <v>44287</v>
      </c>
      <c r="B235" s="18">
        <v>304032.26537854166</v>
      </c>
      <c r="C235" s="18">
        <v>0</v>
      </c>
      <c r="D235" s="18">
        <v>347488.82892343489</v>
      </c>
      <c r="E235" s="18">
        <v>0</v>
      </c>
      <c r="F235" s="18">
        <v>304032.26537854166</v>
      </c>
      <c r="G235" s="18">
        <v>347488.82892343489</v>
      </c>
    </row>
    <row r="236" spans="1:7" ht="11.25" customHeight="1" x14ac:dyDescent="0.2">
      <c r="A236" s="28">
        <v>44317</v>
      </c>
      <c r="B236" s="18">
        <v>299768.78765819699</v>
      </c>
      <c r="C236" s="18">
        <v>0</v>
      </c>
      <c r="D236" s="18">
        <v>342615.95505809318</v>
      </c>
      <c r="E236" s="18">
        <v>0</v>
      </c>
      <c r="F236" s="18">
        <v>299768.78765819699</v>
      </c>
      <c r="G236" s="18">
        <v>342615.95505809318</v>
      </c>
    </row>
    <row r="237" spans="1:7" ht="11.25" customHeight="1" x14ac:dyDescent="0.2">
      <c r="A237" s="28">
        <v>44348</v>
      </c>
      <c r="B237" s="18">
        <v>318911.31802770239</v>
      </c>
      <c r="C237" s="18">
        <v>0</v>
      </c>
      <c r="D237" s="18">
        <v>364494.60485353094</v>
      </c>
      <c r="E237" s="18">
        <v>0</v>
      </c>
      <c r="F237" s="18">
        <v>318911.31802770239</v>
      </c>
      <c r="G237" s="18">
        <v>364494.60485353094</v>
      </c>
    </row>
    <row r="238" spans="1:7" ht="11.25" customHeight="1" x14ac:dyDescent="0.2">
      <c r="A238" s="28">
        <v>44378</v>
      </c>
      <c r="B238" s="18">
        <v>335344.76915682602</v>
      </c>
      <c r="C238" s="18">
        <v>0</v>
      </c>
      <c r="D238" s="18">
        <v>383276.95573632215</v>
      </c>
      <c r="E238" s="18">
        <v>0</v>
      </c>
      <c r="F238" s="18">
        <v>335344.76915682602</v>
      </c>
      <c r="G238" s="18">
        <v>383276.95573632215</v>
      </c>
    </row>
    <row r="239" spans="1:7" ht="11.25" customHeight="1" x14ac:dyDescent="0.2">
      <c r="A239" s="28">
        <v>44409</v>
      </c>
      <c r="B239" s="18">
        <v>325311.93652128597</v>
      </c>
      <c r="C239" s="18">
        <v>0</v>
      </c>
      <c r="D239" s="18">
        <v>371810.08968193171</v>
      </c>
      <c r="E239" s="18">
        <v>0</v>
      </c>
      <c r="F239" s="18">
        <v>325311.93652128597</v>
      </c>
      <c r="G239" s="18">
        <v>371810.08968193171</v>
      </c>
    </row>
    <row r="240" spans="1:7" ht="11.25" customHeight="1" x14ac:dyDescent="0.2">
      <c r="A240" s="28">
        <v>44440</v>
      </c>
      <c r="B240" s="18">
        <v>422037.03329587803</v>
      </c>
      <c r="C240" s="18">
        <v>0</v>
      </c>
      <c r="D240" s="18">
        <v>482360.4964417569</v>
      </c>
      <c r="E240" s="18">
        <v>0</v>
      </c>
      <c r="F240" s="18">
        <v>422037.03329587803</v>
      </c>
      <c r="G240" s="18">
        <v>482360.4964417569</v>
      </c>
    </row>
    <row r="241" spans="1:7" ht="11.25" customHeight="1" x14ac:dyDescent="0.2">
      <c r="A241" s="28">
        <v>44470</v>
      </c>
      <c r="B241" s="18">
        <v>432702.41435991571</v>
      </c>
      <c r="C241" s="18">
        <v>0</v>
      </c>
      <c r="D241" s="18">
        <v>494550.32363444078</v>
      </c>
      <c r="E241" s="18">
        <v>0</v>
      </c>
      <c r="F241" s="18">
        <v>432702.41435991571</v>
      </c>
      <c r="G241" s="18">
        <v>494550.32363444078</v>
      </c>
    </row>
    <row r="242" spans="1:7" ht="11.25" customHeight="1" x14ac:dyDescent="0.2">
      <c r="A242" s="28">
        <v>44501</v>
      </c>
      <c r="B242" s="18">
        <v>420884.54989958514</v>
      </c>
      <c r="C242" s="18">
        <v>0</v>
      </c>
      <c r="D242" s="18">
        <v>481043.28392408916</v>
      </c>
      <c r="E242" s="18">
        <v>0</v>
      </c>
      <c r="F242" s="18">
        <v>420884.54989958514</v>
      </c>
      <c r="G242" s="18">
        <v>481043.28392408916</v>
      </c>
    </row>
    <row r="243" spans="1:7" ht="11.25" customHeight="1" x14ac:dyDescent="0.2">
      <c r="A243" s="28">
        <v>44531</v>
      </c>
      <c r="B243" s="18">
        <v>436050.20060070039</v>
      </c>
      <c r="C243" s="18">
        <v>0</v>
      </c>
      <c r="D243" s="18">
        <v>498376.62252692133</v>
      </c>
      <c r="E243" s="18">
        <v>0</v>
      </c>
      <c r="F243" s="18">
        <v>436050.20060070039</v>
      </c>
      <c r="G243" s="18">
        <v>498376.62252692133</v>
      </c>
    </row>
    <row r="244" spans="1:7" ht="11.25" customHeight="1" x14ac:dyDescent="0.2">
      <c r="A244" s="28">
        <v>44562</v>
      </c>
      <c r="B244" s="18">
        <v>459057.51147004316</v>
      </c>
      <c r="C244" s="18">
        <v>0</v>
      </c>
      <c r="D244" s="18">
        <v>524672.46155805595</v>
      </c>
      <c r="E244" s="18">
        <v>0</v>
      </c>
      <c r="F244" s="18">
        <v>459057.51147004316</v>
      </c>
      <c r="G244" s="18">
        <v>524672.46155805595</v>
      </c>
    </row>
    <row r="245" spans="1:7" ht="11.25" customHeight="1" x14ac:dyDescent="0.2">
      <c r="A245" s="28">
        <v>44593</v>
      </c>
      <c r="B245" s="18">
        <v>457020.31628870755</v>
      </c>
      <c r="C245" s="18">
        <v>0</v>
      </c>
      <c r="D245" s="18">
        <v>522344.08181530272</v>
      </c>
      <c r="E245" s="18">
        <v>0</v>
      </c>
      <c r="F245" s="18">
        <v>457020.31628870755</v>
      </c>
      <c r="G245" s="18">
        <v>522344.08181530272</v>
      </c>
    </row>
    <row r="246" spans="1:7" ht="11.25" customHeight="1" x14ac:dyDescent="0.2">
      <c r="A246" s="28">
        <v>44621</v>
      </c>
      <c r="B246" s="18">
        <v>457020.31628870755</v>
      </c>
      <c r="C246" s="18">
        <v>0</v>
      </c>
      <c r="D246" s="18">
        <v>522344.08181530272</v>
      </c>
      <c r="E246" s="18">
        <v>0</v>
      </c>
      <c r="F246" s="18">
        <v>457020.31628870755</v>
      </c>
      <c r="G246" s="18">
        <v>522344.08181530272</v>
      </c>
    </row>
    <row r="247" spans="1:7" ht="11.25" customHeight="1" x14ac:dyDescent="0.2">
      <c r="A247" s="27" t="s">
        <v>25</v>
      </c>
      <c r="B247" s="18">
        <v>0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</row>
    <row r="248" spans="1:7" ht="11.25" customHeight="1" x14ac:dyDescent="0.2">
      <c r="A248" s="28">
        <v>44287</v>
      </c>
      <c r="B248" s="18">
        <v>0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</row>
    <row r="249" spans="1:7" ht="11.25" customHeight="1" x14ac:dyDescent="0.2">
      <c r="A249" s="28">
        <v>44317</v>
      </c>
      <c r="B249" s="18">
        <v>0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</row>
    <row r="250" spans="1:7" ht="11.25" customHeight="1" x14ac:dyDescent="0.2">
      <c r="A250" s="28">
        <v>44348</v>
      </c>
      <c r="B250" s="18">
        <v>0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</row>
    <row r="251" spans="1:7" ht="11.25" customHeight="1" x14ac:dyDescent="0.2">
      <c r="A251" s="28">
        <v>44378</v>
      </c>
      <c r="B251" s="18">
        <v>0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</row>
    <row r="252" spans="1:7" ht="11.25" customHeight="1" x14ac:dyDescent="0.2">
      <c r="A252" s="28">
        <v>44409</v>
      </c>
      <c r="B252" s="18">
        <v>0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</row>
    <row r="253" spans="1:7" ht="11.25" customHeight="1" x14ac:dyDescent="0.2">
      <c r="A253" s="28">
        <v>44440</v>
      </c>
      <c r="B253" s="18">
        <v>0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</row>
    <row r="254" spans="1:7" ht="11.25" customHeight="1" x14ac:dyDescent="0.2">
      <c r="A254" s="28">
        <v>44470</v>
      </c>
      <c r="B254" s="18">
        <v>0</v>
      </c>
      <c r="C254" s="18">
        <v>0</v>
      </c>
      <c r="D254" s="18">
        <v>0</v>
      </c>
      <c r="E254" s="18">
        <v>0</v>
      </c>
      <c r="F254" s="18">
        <v>0</v>
      </c>
      <c r="G254" s="18">
        <v>0</v>
      </c>
    </row>
    <row r="255" spans="1:7" ht="11.25" customHeight="1" x14ac:dyDescent="0.2">
      <c r="A255" s="28">
        <v>44501</v>
      </c>
      <c r="B255" s="18">
        <v>0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</row>
    <row r="256" spans="1:7" ht="11.25" customHeight="1" x14ac:dyDescent="0.2">
      <c r="A256" s="28">
        <v>44531</v>
      </c>
      <c r="B256" s="18">
        <v>0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</row>
    <row r="257" spans="1:7" ht="11.25" customHeight="1" x14ac:dyDescent="0.2">
      <c r="A257" s="28">
        <v>44562</v>
      </c>
      <c r="B257" s="18">
        <v>0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</row>
    <row r="258" spans="1:7" ht="11.25" customHeight="1" x14ac:dyDescent="0.2">
      <c r="A258" s="28">
        <v>44593</v>
      </c>
      <c r="B258" s="18">
        <v>0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</row>
    <row r="259" spans="1:7" ht="11.25" customHeight="1" x14ac:dyDescent="0.2">
      <c r="A259" s="28">
        <v>44621</v>
      </c>
      <c r="B259" s="18">
        <v>0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</row>
    <row r="260" spans="1:7" ht="11.25" customHeight="1" x14ac:dyDescent="0.2">
      <c r="A260" s="27" t="s">
        <v>34</v>
      </c>
      <c r="B260" s="18">
        <v>10822630.153682481</v>
      </c>
      <c r="C260" s="18">
        <v>0</v>
      </c>
      <c r="D260" s="18">
        <v>13291587.02532142</v>
      </c>
      <c r="E260" s="18">
        <v>0</v>
      </c>
      <c r="F260" s="18">
        <v>10822630.153682481</v>
      </c>
      <c r="G260" s="18">
        <v>13291587.02532142</v>
      </c>
    </row>
    <row r="261" spans="1:7" ht="11.25" customHeight="1" x14ac:dyDescent="0.2">
      <c r="A261" s="28">
        <v>44287</v>
      </c>
      <c r="B261" s="18">
        <v>690285.70625202649</v>
      </c>
      <c r="C261" s="18">
        <v>0</v>
      </c>
      <c r="D261" s="18">
        <v>847759.96284622245</v>
      </c>
      <c r="E261" s="18">
        <v>0</v>
      </c>
      <c r="F261" s="18">
        <v>690285.70625202649</v>
      </c>
      <c r="G261" s="18">
        <v>847759.96284622245</v>
      </c>
    </row>
    <row r="262" spans="1:7" ht="11.25" customHeight="1" x14ac:dyDescent="0.2">
      <c r="A262" s="28">
        <v>44317</v>
      </c>
      <c r="B262" s="18">
        <v>679331.08107502398</v>
      </c>
      <c r="C262" s="18">
        <v>0</v>
      </c>
      <c r="D262" s="18">
        <v>834306.2688917669</v>
      </c>
      <c r="E262" s="18">
        <v>0</v>
      </c>
      <c r="F262" s="18">
        <v>679331.08107502398</v>
      </c>
      <c r="G262" s="18">
        <v>834306.2688917669</v>
      </c>
    </row>
    <row r="263" spans="1:7" ht="11.25" customHeight="1" x14ac:dyDescent="0.2">
      <c r="A263" s="28">
        <v>44348</v>
      </c>
      <c r="B263" s="18">
        <v>722409.81521221448</v>
      </c>
      <c r="C263" s="18">
        <v>0</v>
      </c>
      <c r="D263" s="18">
        <v>887212.51585709688</v>
      </c>
      <c r="E263" s="18">
        <v>0</v>
      </c>
      <c r="F263" s="18">
        <v>722409.81521221448</v>
      </c>
      <c r="G263" s="18">
        <v>887212.51585709688</v>
      </c>
    </row>
    <row r="264" spans="1:7" ht="11.25" customHeight="1" x14ac:dyDescent="0.2">
      <c r="A264" s="28">
        <v>44378</v>
      </c>
      <c r="B264" s="18">
        <v>763618.13450565992</v>
      </c>
      <c r="C264" s="18">
        <v>0</v>
      </c>
      <c r="D264" s="18">
        <v>937821.65192460769</v>
      </c>
      <c r="E264" s="18">
        <v>0</v>
      </c>
      <c r="F264" s="18">
        <v>763618.13450565992</v>
      </c>
      <c r="G264" s="18">
        <v>937821.65192460769</v>
      </c>
    </row>
    <row r="265" spans="1:7" ht="11.25" customHeight="1" x14ac:dyDescent="0.2">
      <c r="A265" s="28">
        <v>44409</v>
      </c>
      <c r="B265" s="18">
        <v>739708.71450507559</v>
      </c>
      <c r="C265" s="18">
        <v>0</v>
      </c>
      <c r="D265" s="18">
        <v>908457.79746871139</v>
      </c>
      <c r="E265" s="18">
        <v>0</v>
      </c>
      <c r="F265" s="18">
        <v>739708.71450507559</v>
      </c>
      <c r="G265" s="18">
        <v>908457.79746871139</v>
      </c>
    </row>
    <row r="266" spans="1:7" ht="11.25" customHeight="1" x14ac:dyDescent="0.2">
      <c r="A266" s="28">
        <v>44440</v>
      </c>
      <c r="B266" s="18">
        <v>982626.544630458</v>
      </c>
      <c r="C266" s="18">
        <v>0</v>
      </c>
      <c r="D266" s="18">
        <v>1206792.2534433668</v>
      </c>
      <c r="E266" s="18">
        <v>0</v>
      </c>
      <c r="F266" s="18">
        <v>982626.544630458</v>
      </c>
      <c r="G266" s="18">
        <v>1206792.2534433668</v>
      </c>
    </row>
    <row r="267" spans="1:7" ht="11.25" customHeight="1" x14ac:dyDescent="0.2">
      <c r="A267" s="28">
        <v>44470</v>
      </c>
      <c r="B267" s="18">
        <v>1021818.0062660724</v>
      </c>
      <c r="C267" s="18">
        <v>0</v>
      </c>
      <c r="D267" s="18">
        <v>1254924.4279316606</v>
      </c>
      <c r="E267" s="18">
        <v>0</v>
      </c>
      <c r="F267" s="18">
        <v>1021818.0062660724</v>
      </c>
      <c r="G267" s="18">
        <v>1254924.4279316606</v>
      </c>
    </row>
    <row r="268" spans="1:7" ht="11.25" customHeight="1" x14ac:dyDescent="0.2">
      <c r="A268" s="28">
        <v>44501</v>
      </c>
      <c r="B268" s="18">
        <v>988867.2762400544</v>
      </c>
      <c r="C268" s="18">
        <v>0</v>
      </c>
      <c r="D268" s="18">
        <v>1214456.6775355455</v>
      </c>
      <c r="E268" s="18">
        <v>0</v>
      </c>
      <c r="F268" s="18">
        <v>988867.2762400544</v>
      </c>
      <c r="G268" s="18">
        <v>1214456.6775355455</v>
      </c>
    </row>
    <row r="269" spans="1:7" ht="11.25" customHeight="1" x14ac:dyDescent="0.2">
      <c r="A269" s="28">
        <v>44531</v>
      </c>
      <c r="B269" s="18">
        <v>1003717.5750345967</v>
      </c>
      <c r="C269" s="18">
        <v>0</v>
      </c>
      <c r="D269" s="18">
        <v>1232694.761622021</v>
      </c>
      <c r="E269" s="18">
        <v>0</v>
      </c>
      <c r="F269" s="18">
        <v>1003717.5750345967</v>
      </c>
      <c r="G269" s="18">
        <v>1232694.761622021</v>
      </c>
    </row>
    <row r="270" spans="1:7" ht="11.25" customHeight="1" x14ac:dyDescent="0.2">
      <c r="A270" s="28">
        <v>44562</v>
      </c>
      <c r="B270" s="18">
        <v>1088524.3151387479</v>
      </c>
      <c r="C270" s="18">
        <v>0</v>
      </c>
      <c r="D270" s="18">
        <v>1336848.38698125</v>
      </c>
      <c r="E270" s="18">
        <v>0</v>
      </c>
      <c r="F270" s="18">
        <v>1088524.3151387479</v>
      </c>
      <c r="G270" s="18">
        <v>1336848.38698125</v>
      </c>
    </row>
    <row r="271" spans="1:7" ht="11.25" customHeight="1" x14ac:dyDescent="0.2">
      <c r="A271" s="28">
        <v>44593</v>
      </c>
      <c r="B271" s="18">
        <v>1070861.4924112763</v>
      </c>
      <c r="C271" s="18">
        <v>0</v>
      </c>
      <c r="D271" s="18">
        <v>1315156.1604095851</v>
      </c>
      <c r="E271" s="18">
        <v>0</v>
      </c>
      <c r="F271" s="18">
        <v>1070861.4924112763</v>
      </c>
      <c r="G271" s="18">
        <v>1315156.1604095851</v>
      </c>
    </row>
    <row r="272" spans="1:7" ht="11.25" customHeight="1" x14ac:dyDescent="0.2">
      <c r="A272" s="28">
        <v>44621</v>
      </c>
      <c r="B272" s="18">
        <v>1070861.4924112763</v>
      </c>
      <c r="C272" s="18">
        <v>0</v>
      </c>
      <c r="D272" s="18">
        <v>1315156.1604095851</v>
      </c>
      <c r="E272" s="18">
        <v>0</v>
      </c>
      <c r="F272" s="18">
        <v>1070861.4924112763</v>
      </c>
      <c r="G272" s="18">
        <v>1315156.1604095851</v>
      </c>
    </row>
    <row r="273" spans="1:7" ht="11.25" customHeight="1" x14ac:dyDescent="0.2">
      <c r="A273" s="22" t="s">
        <v>42</v>
      </c>
      <c r="B273" s="18">
        <v>4181060.1221457347</v>
      </c>
      <c r="C273" s="18">
        <v>5956618.4473651014</v>
      </c>
      <c r="D273" s="18">
        <v>4778675.9858989539</v>
      </c>
      <c r="E273" s="18">
        <v>7318560.3841307415</v>
      </c>
      <c r="F273" s="18">
        <v>10137678.569510836</v>
      </c>
      <c r="G273" s="18">
        <v>12097236.370029695</v>
      </c>
    </row>
    <row r="274" spans="1:7" ht="11.25" customHeight="1" x14ac:dyDescent="0.2">
      <c r="A274" s="23" t="s">
        <v>38</v>
      </c>
      <c r="B274" s="18">
        <v>4181060.1221457347</v>
      </c>
      <c r="C274" s="18">
        <v>5956618.4473651014</v>
      </c>
      <c r="D274" s="18">
        <v>4778675.9858989539</v>
      </c>
      <c r="E274" s="18">
        <v>7318560.3841307415</v>
      </c>
      <c r="F274" s="18">
        <v>10137678.569510836</v>
      </c>
      <c r="G274" s="18">
        <v>12097236.370029695</v>
      </c>
    </row>
    <row r="275" spans="1:7" ht="11.25" customHeight="1" x14ac:dyDescent="0.2">
      <c r="A275" s="24" t="s">
        <v>25</v>
      </c>
      <c r="B275" s="18">
        <v>4181060.1221457347</v>
      </c>
      <c r="C275" s="18">
        <v>5956618.4473651014</v>
      </c>
      <c r="D275" s="18">
        <v>4778675.9858989539</v>
      </c>
      <c r="E275" s="18">
        <v>7318560.3841307415</v>
      </c>
      <c r="F275" s="18">
        <v>10137678.569510836</v>
      </c>
      <c r="G275" s="18">
        <v>12097236.370029695</v>
      </c>
    </row>
    <row r="276" spans="1:7" ht="11.25" customHeight="1" x14ac:dyDescent="0.2">
      <c r="A276" s="25" t="s">
        <v>60</v>
      </c>
      <c r="B276" s="18">
        <v>4181060.1221457347</v>
      </c>
      <c r="C276" s="18">
        <v>5956618.4473651014</v>
      </c>
      <c r="D276" s="18">
        <v>4778675.9858989539</v>
      </c>
      <c r="E276" s="18">
        <v>7318560.3841307415</v>
      </c>
      <c r="F276" s="18">
        <v>10137678.569510836</v>
      </c>
      <c r="G276" s="18">
        <v>12097236.370029695</v>
      </c>
    </row>
    <row r="277" spans="1:7" ht="11.25" customHeight="1" x14ac:dyDescent="0.2">
      <c r="A277" s="26" t="s">
        <v>25</v>
      </c>
      <c r="B277" s="18">
        <v>4181060.1221457347</v>
      </c>
      <c r="C277" s="18">
        <v>5956618.4473651014</v>
      </c>
      <c r="D277" s="18">
        <v>4778675.9858989539</v>
      </c>
      <c r="E277" s="18">
        <v>7318560.3841307415</v>
      </c>
      <c r="F277" s="18">
        <v>10137678.569510836</v>
      </c>
      <c r="G277" s="18">
        <v>12097236.370029695</v>
      </c>
    </row>
    <row r="278" spans="1:7" ht="11.25" customHeight="1" x14ac:dyDescent="0.2">
      <c r="A278" s="27" t="s">
        <v>35</v>
      </c>
      <c r="B278" s="18">
        <v>0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</row>
    <row r="279" spans="1:7" ht="11.25" customHeight="1" x14ac:dyDescent="0.2">
      <c r="A279" s="28">
        <v>44287</v>
      </c>
      <c r="B279" s="18">
        <v>0</v>
      </c>
      <c r="C279" s="18">
        <v>0</v>
      </c>
      <c r="D279" s="18">
        <v>0</v>
      </c>
      <c r="E279" s="18">
        <v>0</v>
      </c>
      <c r="F279" s="18">
        <v>0</v>
      </c>
      <c r="G279" s="18">
        <v>0</v>
      </c>
    </row>
    <row r="280" spans="1:7" ht="11.25" customHeight="1" x14ac:dyDescent="0.2">
      <c r="A280" s="28">
        <v>44317</v>
      </c>
      <c r="B280" s="18">
        <v>0</v>
      </c>
      <c r="C280" s="18">
        <v>0</v>
      </c>
      <c r="D280" s="18">
        <v>0</v>
      </c>
      <c r="E280" s="18">
        <v>0</v>
      </c>
      <c r="F280" s="18">
        <v>0</v>
      </c>
      <c r="G280" s="18">
        <v>0</v>
      </c>
    </row>
    <row r="281" spans="1:7" ht="11.25" customHeight="1" x14ac:dyDescent="0.2">
      <c r="A281" s="28">
        <v>44348</v>
      </c>
      <c r="B281" s="18">
        <v>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</row>
    <row r="282" spans="1:7" ht="11.25" customHeight="1" x14ac:dyDescent="0.2">
      <c r="A282" s="28">
        <v>44378</v>
      </c>
      <c r="B282" s="18">
        <v>0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</row>
    <row r="283" spans="1:7" ht="11.25" customHeight="1" x14ac:dyDescent="0.2">
      <c r="A283" s="28">
        <v>44409</v>
      </c>
      <c r="B283" s="18">
        <v>0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</row>
    <row r="284" spans="1:7" ht="11.25" customHeight="1" x14ac:dyDescent="0.2">
      <c r="A284" s="28">
        <v>44440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</row>
    <row r="285" spans="1:7" ht="11.25" customHeight="1" x14ac:dyDescent="0.2">
      <c r="A285" s="28">
        <v>44470</v>
      </c>
      <c r="B285" s="18">
        <v>0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</row>
    <row r="286" spans="1:7" ht="11.25" customHeight="1" x14ac:dyDescent="0.2">
      <c r="A286" s="28">
        <v>44501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</row>
    <row r="287" spans="1:7" ht="11.25" customHeight="1" x14ac:dyDescent="0.2">
      <c r="A287" s="28">
        <v>44531</v>
      </c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</row>
    <row r="288" spans="1:7" ht="11.25" customHeight="1" x14ac:dyDescent="0.2">
      <c r="A288" s="28">
        <v>44562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</row>
    <row r="289" spans="1:7" ht="11.25" customHeight="1" x14ac:dyDescent="0.2">
      <c r="A289" s="28">
        <v>44593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</row>
    <row r="290" spans="1:7" ht="11.25" customHeight="1" x14ac:dyDescent="0.2">
      <c r="A290" s="28">
        <v>44621</v>
      </c>
      <c r="B290" s="18">
        <v>0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</row>
    <row r="291" spans="1:7" ht="11.25" customHeight="1" x14ac:dyDescent="0.2">
      <c r="A291" s="27" t="s">
        <v>25</v>
      </c>
      <c r="B291" s="18">
        <v>4181060.1221457347</v>
      </c>
      <c r="C291" s="18">
        <v>0</v>
      </c>
      <c r="D291" s="18">
        <v>4778675.9858989539</v>
      </c>
      <c r="E291" s="18">
        <v>0</v>
      </c>
      <c r="F291" s="18">
        <v>4181060.1221457347</v>
      </c>
      <c r="G291" s="18">
        <v>4778675.9858989539</v>
      </c>
    </row>
    <row r="292" spans="1:7" ht="11.25" customHeight="1" x14ac:dyDescent="0.2">
      <c r="A292" s="28">
        <v>44287</v>
      </c>
      <c r="B292" s="18">
        <v>306959.66294949671</v>
      </c>
      <c r="C292" s="18">
        <v>0</v>
      </c>
      <c r="D292" s="18">
        <v>350834.6512902088</v>
      </c>
      <c r="E292" s="18">
        <v>0</v>
      </c>
      <c r="F292" s="18">
        <v>306959.66294949671</v>
      </c>
      <c r="G292" s="18">
        <v>350834.6512902088</v>
      </c>
    </row>
    <row r="293" spans="1:7" ht="11.25" customHeight="1" x14ac:dyDescent="0.2">
      <c r="A293" s="28">
        <v>44317</v>
      </c>
      <c r="B293" s="18">
        <v>257845.65484563596</v>
      </c>
      <c r="C293" s="18">
        <v>0</v>
      </c>
      <c r="D293" s="18">
        <v>294700.57901173673</v>
      </c>
      <c r="E293" s="18">
        <v>0</v>
      </c>
      <c r="F293" s="18">
        <v>257845.65484563596</v>
      </c>
      <c r="G293" s="18">
        <v>294700.57901173673</v>
      </c>
    </row>
    <row r="294" spans="1:7" ht="11.25" customHeight="1" x14ac:dyDescent="0.2">
      <c r="A294" s="28">
        <v>44348</v>
      </c>
      <c r="B294" s="18">
        <v>270355.80215512437</v>
      </c>
      <c r="C294" s="18">
        <v>0</v>
      </c>
      <c r="D294" s="18">
        <v>308998.85236381437</v>
      </c>
      <c r="E294" s="18">
        <v>0</v>
      </c>
      <c r="F294" s="18">
        <v>270355.80215512437</v>
      </c>
      <c r="G294" s="18">
        <v>308998.85236381437</v>
      </c>
    </row>
    <row r="295" spans="1:7" ht="11.25" customHeight="1" x14ac:dyDescent="0.2">
      <c r="A295" s="28">
        <v>44378</v>
      </c>
      <c r="B295" s="18">
        <v>320083.794616586</v>
      </c>
      <c r="C295" s="18">
        <v>0</v>
      </c>
      <c r="D295" s="18">
        <v>365834.66827181337</v>
      </c>
      <c r="E295" s="18">
        <v>0</v>
      </c>
      <c r="F295" s="18">
        <v>320083.794616586</v>
      </c>
      <c r="G295" s="18">
        <v>365834.66827181337</v>
      </c>
    </row>
    <row r="296" spans="1:7" ht="11.25" customHeight="1" x14ac:dyDescent="0.2">
      <c r="A296" s="28">
        <v>44409</v>
      </c>
      <c r="B296" s="18">
        <v>296823.96824600518</v>
      </c>
      <c r="C296" s="18">
        <v>0</v>
      </c>
      <c r="D296" s="18">
        <v>339250.22067572601</v>
      </c>
      <c r="E296" s="18">
        <v>0</v>
      </c>
      <c r="F296" s="18">
        <v>296823.96824600518</v>
      </c>
      <c r="G296" s="18">
        <v>339250.22067572601</v>
      </c>
    </row>
    <row r="297" spans="1:7" ht="11.25" customHeight="1" x14ac:dyDescent="0.2">
      <c r="A297" s="28">
        <v>44440</v>
      </c>
      <c r="B297" s="18">
        <v>356836.13362396997</v>
      </c>
      <c r="C297" s="18">
        <v>0</v>
      </c>
      <c r="D297" s="18">
        <v>407840.16800379771</v>
      </c>
      <c r="E297" s="18">
        <v>0</v>
      </c>
      <c r="F297" s="18">
        <v>356836.13362396997</v>
      </c>
      <c r="G297" s="18">
        <v>407840.16800379771</v>
      </c>
    </row>
    <row r="298" spans="1:7" ht="11.25" customHeight="1" x14ac:dyDescent="0.2">
      <c r="A298" s="28">
        <v>44470</v>
      </c>
      <c r="B298" s="18">
        <v>373427.06871961919</v>
      </c>
      <c r="C298" s="18">
        <v>0</v>
      </c>
      <c r="D298" s="18">
        <v>426802.51267453132</v>
      </c>
      <c r="E298" s="18">
        <v>0</v>
      </c>
      <c r="F298" s="18">
        <v>373427.06871961919</v>
      </c>
      <c r="G298" s="18">
        <v>426802.51267453132</v>
      </c>
    </row>
    <row r="299" spans="1:7" ht="11.25" customHeight="1" x14ac:dyDescent="0.2">
      <c r="A299" s="28">
        <v>44501</v>
      </c>
      <c r="B299" s="18">
        <v>380218.04552732001</v>
      </c>
      <c r="C299" s="18">
        <v>0</v>
      </c>
      <c r="D299" s="18">
        <v>434564.15131250961</v>
      </c>
      <c r="E299" s="18">
        <v>0</v>
      </c>
      <c r="F299" s="18">
        <v>380218.04552732001</v>
      </c>
      <c r="G299" s="18">
        <v>434564.15131250961</v>
      </c>
    </row>
    <row r="300" spans="1:7" ht="11.25" customHeight="1" x14ac:dyDescent="0.2">
      <c r="A300" s="28">
        <v>44531</v>
      </c>
      <c r="B300" s="18">
        <v>376867.83429499489</v>
      </c>
      <c r="C300" s="18">
        <v>0</v>
      </c>
      <c r="D300" s="18">
        <v>430735.08081462246</v>
      </c>
      <c r="E300" s="18">
        <v>0</v>
      </c>
      <c r="F300" s="18">
        <v>376867.83429499489</v>
      </c>
      <c r="G300" s="18">
        <v>430735.08081462246</v>
      </c>
    </row>
    <row r="301" spans="1:7" ht="11.25" customHeight="1" x14ac:dyDescent="0.2">
      <c r="A301" s="28">
        <v>44562</v>
      </c>
      <c r="B301" s="18">
        <v>408250.7582233079</v>
      </c>
      <c r="C301" s="18">
        <v>0</v>
      </c>
      <c r="D301" s="18">
        <v>466603.69321490492</v>
      </c>
      <c r="E301" s="18">
        <v>0</v>
      </c>
      <c r="F301" s="18">
        <v>408250.7582233079</v>
      </c>
      <c r="G301" s="18">
        <v>466603.69321490492</v>
      </c>
    </row>
    <row r="302" spans="1:7" ht="11.25" customHeight="1" x14ac:dyDescent="0.2">
      <c r="A302" s="28">
        <v>44593</v>
      </c>
      <c r="B302" s="18">
        <v>416695.69947183749</v>
      </c>
      <c r="C302" s="18">
        <v>0</v>
      </c>
      <c r="D302" s="18">
        <v>476255.70413264446</v>
      </c>
      <c r="E302" s="18">
        <v>0</v>
      </c>
      <c r="F302" s="18">
        <v>416695.69947183749</v>
      </c>
      <c r="G302" s="18">
        <v>476255.70413264446</v>
      </c>
    </row>
    <row r="303" spans="1:7" ht="11.25" customHeight="1" x14ac:dyDescent="0.2">
      <c r="A303" s="28">
        <v>44621</v>
      </c>
      <c r="B303" s="18">
        <v>416695.69947183749</v>
      </c>
      <c r="C303" s="18">
        <v>0</v>
      </c>
      <c r="D303" s="18">
        <v>476255.70413264446</v>
      </c>
      <c r="E303" s="18">
        <v>0</v>
      </c>
      <c r="F303" s="18">
        <v>416695.69947183749</v>
      </c>
      <c r="G303" s="18">
        <v>476255.70413264446</v>
      </c>
    </row>
    <row r="304" spans="1:7" ht="11.25" customHeight="1" x14ac:dyDescent="0.2">
      <c r="A304" s="27" t="s">
        <v>34</v>
      </c>
      <c r="B304" s="18">
        <v>0</v>
      </c>
      <c r="C304" s="18">
        <v>5956618.4473651014</v>
      </c>
      <c r="D304" s="18">
        <v>0</v>
      </c>
      <c r="E304" s="18">
        <v>7318560.3841307415</v>
      </c>
      <c r="F304" s="18">
        <v>5956618.4473651014</v>
      </c>
      <c r="G304" s="18">
        <v>7318560.3841307415</v>
      </c>
    </row>
    <row r="305" spans="1:7" ht="11.25" customHeight="1" x14ac:dyDescent="0.2">
      <c r="A305" s="28">
        <v>44287</v>
      </c>
      <c r="B305" s="18">
        <v>0</v>
      </c>
      <c r="C305" s="18">
        <v>460904.75838517968</v>
      </c>
      <c r="D305" s="18">
        <v>0</v>
      </c>
      <c r="E305" s="18">
        <v>566287.62365453131</v>
      </c>
      <c r="F305" s="18">
        <v>460904.75838517968</v>
      </c>
      <c r="G305" s="18">
        <v>566287.62365453131</v>
      </c>
    </row>
    <row r="306" spans="1:7" ht="11.25" customHeight="1" x14ac:dyDescent="0.2">
      <c r="A306" s="28">
        <v>44317</v>
      </c>
      <c r="B306" s="18">
        <v>0</v>
      </c>
      <c r="C306" s="18">
        <v>367321.04345858074</v>
      </c>
      <c r="D306" s="18">
        <v>0</v>
      </c>
      <c r="E306" s="18">
        <v>451306.60301108973</v>
      </c>
      <c r="F306" s="18">
        <v>367321.04345858074</v>
      </c>
      <c r="G306" s="18">
        <v>451306.60301108973</v>
      </c>
    </row>
    <row r="307" spans="1:7" ht="11.25" customHeight="1" x14ac:dyDescent="0.2">
      <c r="A307" s="28">
        <v>44348</v>
      </c>
      <c r="B307" s="18">
        <v>0</v>
      </c>
      <c r="C307" s="18">
        <v>375150.01583184657</v>
      </c>
      <c r="D307" s="18">
        <v>0</v>
      </c>
      <c r="E307" s="18">
        <v>460925.61882782087</v>
      </c>
      <c r="F307" s="18">
        <v>375150.01583184657</v>
      </c>
      <c r="G307" s="18">
        <v>460925.61882782087</v>
      </c>
    </row>
    <row r="308" spans="1:7" ht="11.25" customHeight="1" x14ac:dyDescent="0.2">
      <c r="A308" s="28">
        <v>44378</v>
      </c>
      <c r="B308" s="18">
        <v>0</v>
      </c>
      <c r="C308" s="18">
        <v>402722.46918337524</v>
      </c>
      <c r="D308" s="18">
        <v>0</v>
      </c>
      <c r="E308" s="18">
        <v>494802.33370806515</v>
      </c>
      <c r="F308" s="18">
        <v>402722.46918337524</v>
      </c>
      <c r="G308" s="18">
        <v>494802.33370806515</v>
      </c>
    </row>
    <row r="309" spans="1:7" ht="11.25" customHeight="1" x14ac:dyDescent="0.2">
      <c r="A309" s="28">
        <v>44409</v>
      </c>
      <c r="B309" s="18">
        <v>0</v>
      </c>
      <c r="C309" s="18">
        <v>439554.74676007783</v>
      </c>
      <c r="D309" s="18">
        <v>0</v>
      </c>
      <c r="E309" s="18">
        <v>540056.07119554875</v>
      </c>
      <c r="F309" s="18">
        <v>439554.74676007783</v>
      </c>
      <c r="G309" s="18">
        <v>540056.07119554875</v>
      </c>
    </row>
    <row r="310" spans="1:7" ht="11.25" customHeight="1" x14ac:dyDescent="0.2">
      <c r="A310" s="28">
        <v>44440</v>
      </c>
      <c r="B310" s="18">
        <v>0</v>
      </c>
      <c r="C310" s="18">
        <v>512494.04310785682</v>
      </c>
      <c r="D310" s="18">
        <v>0</v>
      </c>
      <c r="E310" s="18">
        <v>629672.46167181933</v>
      </c>
      <c r="F310" s="18">
        <v>512494.04310785682</v>
      </c>
      <c r="G310" s="18">
        <v>629672.46167181933</v>
      </c>
    </row>
    <row r="311" spans="1:7" ht="11.25" customHeight="1" x14ac:dyDescent="0.2">
      <c r="A311" s="28">
        <v>44470</v>
      </c>
      <c r="B311" s="18">
        <v>0</v>
      </c>
      <c r="C311" s="18">
        <v>512740.97760990006</v>
      </c>
      <c r="D311" s="18">
        <v>0</v>
      </c>
      <c r="E311" s="18">
        <v>629975.85613632936</v>
      </c>
      <c r="F311" s="18">
        <v>512740.97760990006</v>
      </c>
      <c r="G311" s="18">
        <v>629975.85613632936</v>
      </c>
    </row>
    <row r="312" spans="1:7" ht="11.25" customHeight="1" x14ac:dyDescent="0.2">
      <c r="A312" s="28">
        <v>44501</v>
      </c>
      <c r="B312" s="18">
        <v>0</v>
      </c>
      <c r="C312" s="18">
        <v>513322.27860157238</v>
      </c>
      <c r="D312" s="18">
        <v>0</v>
      </c>
      <c r="E312" s="18">
        <v>630690.06780633994</v>
      </c>
      <c r="F312" s="18">
        <v>513322.27860157238</v>
      </c>
      <c r="G312" s="18">
        <v>630690.06780633994</v>
      </c>
    </row>
    <row r="313" spans="1:7" ht="11.25" customHeight="1" x14ac:dyDescent="0.2">
      <c r="A313" s="28">
        <v>44531</v>
      </c>
      <c r="B313" s="18">
        <v>0</v>
      </c>
      <c r="C313" s="18">
        <v>538343.81675680587</v>
      </c>
      <c r="D313" s="18">
        <v>0</v>
      </c>
      <c r="E313" s="18">
        <v>661432.6173772146</v>
      </c>
      <c r="F313" s="18">
        <v>538343.81675680587</v>
      </c>
      <c r="G313" s="18">
        <v>661432.6173772146</v>
      </c>
    </row>
    <row r="314" spans="1:7" ht="11.25" customHeight="1" x14ac:dyDescent="0.2">
      <c r="A314" s="28">
        <v>44562</v>
      </c>
      <c r="B314" s="18">
        <v>0</v>
      </c>
      <c r="C314" s="18">
        <v>649497.42718485184</v>
      </c>
      <c r="D314" s="18">
        <v>0</v>
      </c>
      <c r="E314" s="18">
        <v>798000.77547228977</v>
      </c>
      <c r="F314" s="18">
        <v>649497.42718485184</v>
      </c>
      <c r="G314" s="18">
        <v>798000.77547228977</v>
      </c>
    </row>
    <row r="315" spans="1:7" ht="11.25" customHeight="1" x14ac:dyDescent="0.2">
      <c r="A315" s="28">
        <v>44593</v>
      </c>
      <c r="B315" s="18">
        <v>0</v>
      </c>
      <c r="C315" s="18">
        <v>592283.43524252693</v>
      </c>
      <c r="D315" s="18">
        <v>0</v>
      </c>
      <c r="E315" s="18">
        <v>727705.1776348463</v>
      </c>
      <c r="F315" s="18">
        <v>592283.43524252693</v>
      </c>
      <c r="G315" s="18">
        <v>727705.1776348463</v>
      </c>
    </row>
    <row r="316" spans="1:7" ht="11.25" customHeight="1" x14ac:dyDescent="0.2">
      <c r="A316" s="28">
        <v>44621</v>
      </c>
      <c r="B316" s="18">
        <v>0</v>
      </c>
      <c r="C316" s="18">
        <v>592283.43524252693</v>
      </c>
      <c r="D316" s="18">
        <v>0</v>
      </c>
      <c r="E316" s="18">
        <v>727705.1776348463</v>
      </c>
      <c r="F316" s="18">
        <v>592283.43524252693</v>
      </c>
      <c r="G316" s="18">
        <v>727705.1776348463</v>
      </c>
    </row>
    <row r="317" spans="1:7" ht="11.25" customHeight="1" x14ac:dyDescent="0.2">
      <c r="A317" s="20" t="s">
        <v>1026</v>
      </c>
      <c r="B317" s="18">
        <v>395639.43588999991</v>
      </c>
      <c r="C317" s="18">
        <v>2121197.1279652002</v>
      </c>
      <c r="D317" s="18">
        <v>464456.51735090557</v>
      </c>
      <c r="E317" s="18">
        <v>2352487.7658816511</v>
      </c>
      <c r="F317" s="18">
        <v>2516836.5638552001</v>
      </c>
      <c r="G317" s="18">
        <v>2816944.2832325567</v>
      </c>
    </row>
    <row r="318" spans="1:7" ht="11.25" customHeight="1" x14ac:dyDescent="0.2">
      <c r="A318" s="21" t="s">
        <v>39</v>
      </c>
      <c r="B318" s="18">
        <v>0</v>
      </c>
      <c r="C318" s="18">
        <v>0</v>
      </c>
      <c r="D318" s="18">
        <v>0</v>
      </c>
      <c r="E318" s="18">
        <v>0</v>
      </c>
      <c r="F318" s="18">
        <v>0</v>
      </c>
      <c r="G318" s="18">
        <v>0</v>
      </c>
    </row>
    <row r="319" spans="1:7" ht="11.25" customHeight="1" x14ac:dyDescent="0.2">
      <c r="A319" s="22" t="s">
        <v>61</v>
      </c>
      <c r="B319" s="18">
        <v>0</v>
      </c>
      <c r="C319" s="18">
        <v>0</v>
      </c>
      <c r="D319" s="18">
        <v>0</v>
      </c>
      <c r="E319" s="18">
        <v>0</v>
      </c>
      <c r="F319" s="18">
        <v>0</v>
      </c>
      <c r="G319" s="18">
        <v>0</v>
      </c>
    </row>
    <row r="320" spans="1:7" ht="11.25" customHeight="1" x14ac:dyDescent="0.2">
      <c r="A320" s="23" t="s">
        <v>25</v>
      </c>
      <c r="B320" s="18">
        <v>0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</row>
    <row r="321" spans="1:7" ht="11.25" customHeight="1" x14ac:dyDescent="0.2">
      <c r="A321" s="24" t="s">
        <v>25</v>
      </c>
      <c r="B321" s="18">
        <v>0</v>
      </c>
      <c r="C321" s="18">
        <v>0</v>
      </c>
      <c r="D321" s="18">
        <v>0</v>
      </c>
      <c r="E321" s="18">
        <v>0</v>
      </c>
      <c r="F321" s="18">
        <v>0</v>
      </c>
      <c r="G321" s="18">
        <v>0</v>
      </c>
    </row>
    <row r="322" spans="1:7" ht="11.25" customHeight="1" x14ac:dyDescent="0.2">
      <c r="A322" s="25" t="s">
        <v>64</v>
      </c>
      <c r="B322" s="18">
        <v>0</v>
      </c>
      <c r="C322" s="18">
        <v>0</v>
      </c>
      <c r="D322" s="18">
        <v>0</v>
      </c>
      <c r="E322" s="18">
        <v>0</v>
      </c>
      <c r="F322" s="18">
        <v>0</v>
      </c>
      <c r="G322" s="18">
        <v>0</v>
      </c>
    </row>
    <row r="323" spans="1:7" ht="11.25" customHeight="1" x14ac:dyDescent="0.2">
      <c r="A323" s="26" t="s">
        <v>65</v>
      </c>
      <c r="B323" s="18">
        <v>0</v>
      </c>
      <c r="C323" s="18">
        <v>0</v>
      </c>
      <c r="D323" s="18">
        <v>0</v>
      </c>
      <c r="E323" s="18">
        <v>0</v>
      </c>
      <c r="F323" s="18">
        <v>0</v>
      </c>
      <c r="G323" s="18">
        <v>0</v>
      </c>
    </row>
    <row r="324" spans="1:7" ht="11.25" customHeight="1" x14ac:dyDescent="0.2">
      <c r="A324" s="27" t="s">
        <v>25</v>
      </c>
      <c r="B324" s="18">
        <v>0</v>
      </c>
      <c r="C324" s="18">
        <v>0</v>
      </c>
      <c r="D324" s="18">
        <v>0</v>
      </c>
      <c r="E324" s="18">
        <v>0</v>
      </c>
      <c r="F324" s="18">
        <v>0</v>
      </c>
      <c r="G324" s="18">
        <v>0</v>
      </c>
    </row>
    <row r="325" spans="1:7" ht="11.25" customHeight="1" x14ac:dyDescent="0.2">
      <c r="A325" s="28">
        <v>44287</v>
      </c>
      <c r="B325" s="18">
        <v>0</v>
      </c>
      <c r="C325" s="18">
        <v>0</v>
      </c>
      <c r="D325" s="18">
        <v>0</v>
      </c>
      <c r="E325" s="18">
        <v>0</v>
      </c>
      <c r="F325" s="18">
        <v>0</v>
      </c>
      <c r="G325" s="18">
        <v>0</v>
      </c>
    </row>
    <row r="326" spans="1:7" ht="11.25" customHeight="1" x14ac:dyDescent="0.2">
      <c r="A326" s="28">
        <v>44317</v>
      </c>
      <c r="B326" s="18">
        <v>0</v>
      </c>
      <c r="C326" s="18">
        <v>0</v>
      </c>
      <c r="D326" s="18">
        <v>0</v>
      </c>
      <c r="E326" s="18">
        <v>0</v>
      </c>
      <c r="F326" s="18">
        <v>0</v>
      </c>
      <c r="G326" s="18">
        <v>0</v>
      </c>
    </row>
    <row r="327" spans="1:7" ht="11.25" customHeight="1" x14ac:dyDescent="0.2">
      <c r="A327" s="28">
        <v>44348</v>
      </c>
      <c r="B327" s="18">
        <v>0</v>
      </c>
      <c r="C327" s="18">
        <v>0</v>
      </c>
      <c r="D327" s="18">
        <v>0</v>
      </c>
      <c r="E327" s="18">
        <v>0</v>
      </c>
      <c r="F327" s="18">
        <v>0</v>
      </c>
      <c r="G327" s="18">
        <v>0</v>
      </c>
    </row>
    <row r="328" spans="1:7" ht="11.25" customHeight="1" x14ac:dyDescent="0.2">
      <c r="A328" s="28">
        <v>44378</v>
      </c>
      <c r="B328" s="18">
        <v>0</v>
      </c>
      <c r="C328" s="18">
        <v>0</v>
      </c>
      <c r="D328" s="18">
        <v>0</v>
      </c>
      <c r="E328" s="18">
        <v>0</v>
      </c>
      <c r="F328" s="18">
        <v>0</v>
      </c>
      <c r="G328" s="18">
        <v>0</v>
      </c>
    </row>
    <row r="329" spans="1:7" ht="11.25" customHeight="1" x14ac:dyDescent="0.2">
      <c r="A329" s="28">
        <v>44409</v>
      </c>
      <c r="B329" s="18">
        <v>0</v>
      </c>
      <c r="C329" s="18">
        <v>0</v>
      </c>
      <c r="D329" s="18">
        <v>0</v>
      </c>
      <c r="E329" s="18">
        <v>0</v>
      </c>
      <c r="F329" s="18">
        <v>0</v>
      </c>
      <c r="G329" s="18">
        <v>0</v>
      </c>
    </row>
    <row r="330" spans="1:7" ht="11.25" customHeight="1" x14ac:dyDescent="0.2">
      <c r="A330" s="28">
        <v>44440</v>
      </c>
      <c r="B330" s="18">
        <v>0</v>
      </c>
      <c r="C330" s="18">
        <v>0</v>
      </c>
      <c r="D330" s="18">
        <v>0</v>
      </c>
      <c r="E330" s="18">
        <v>0</v>
      </c>
      <c r="F330" s="18">
        <v>0</v>
      </c>
      <c r="G330" s="18">
        <v>0</v>
      </c>
    </row>
    <row r="331" spans="1:7" ht="11.25" customHeight="1" x14ac:dyDescent="0.2">
      <c r="A331" s="28">
        <v>44470</v>
      </c>
      <c r="B331" s="18">
        <v>0</v>
      </c>
      <c r="C331" s="18">
        <v>0</v>
      </c>
      <c r="D331" s="18">
        <v>0</v>
      </c>
      <c r="E331" s="18">
        <v>0</v>
      </c>
      <c r="F331" s="18">
        <v>0</v>
      </c>
      <c r="G331" s="18">
        <v>0</v>
      </c>
    </row>
    <row r="332" spans="1:7" ht="11.25" customHeight="1" x14ac:dyDescent="0.2">
      <c r="A332" s="28">
        <v>44501</v>
      </c>
      <c r="B332" s="18">
        <v>0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</row>
    <row r="333" spans="1:7" ht="11.25" customHeight="1" x14ac:dyDescent="0.2">
      <c r="A333" s="28">
        <v>44531</v>
      </c>
      <c r="B333" s="18">
        <v>0</v>
      </c>
      <c r="C333" s="18">
        <v>0</v>
      </c>
      <c r="D333" s="18">
        <v>0</v>
      </c>
      <c r="E333" s="18">
        <v>0</v>
      </c>
      <c r="F333" s="18">
        <v>0</v>
      </c>
      <c r="G333" s="18">
        <v>0</v>
      </c>
    </row>
    <row r="334" spans="1:7" ht="11.25" customHeight="1" x14ac:dyDescent="0.2">
      <c r="A334" s="28">
        <v>44562</v>
      </c>
      <c r="B334" s="18">
        <v>0</v>
      </c>
      <c r="C334" s="18">
        <v>0</v>
      </c>
      <c r="D334" s="18">
        <v>0</v>
      </c>
      <c r="E334" s="18">
        <v>0</v>
      </c>
      <c r="F334" s="18">
        <v>0</v>
      </c>
      <c r="G334" s="18">
        <v>0</v>
      </c>
    </row>
    <row r="335" spans="1:7" ht="11.25" customHeight="1" x14ac:dyDescent="0.2">
      <c r="A335" s="21" t="s">
        <v>41</v>
      </c>
      <c r="B335" s="18">
        <v>395639.43588999991</v>
      </c>
      <c r="C335" s="18">
        <v>2121197.1279652002</v>
      </c>
      <c r="D335" s="18">
        <v>464456.51735090557</v>
      </c>
      <c r="E335" s="18">
        <v>2352487.7658816511</v>
      </c>
      <c r="F335" s="18">
        <v>2516836.5638552001</v>
      </c>
      <c r="G335" s="18">
        <v>2816944.2832325567</v>
      </c>
    </row>
    <row r="336" spans="1:7" ht="11.25" customHeight="1" x14ac:dyDescent="0.2">
      <c r="A336" s="22" t="s">
        <v>61</v>
      </c>
      <c r="B336" s="18">
        <v>395639.43588999991</v>
      </c>
      <c r="C336" s="18">
        <v>2121197.1279652002</v>
      </c>
      <c r="D336" s="18">
        <v>464456.51735090557</v>
      </c>
      <c r="E336" s="18">
        <v>2352487.7658816511</v>
      </c>
      <c r="F336" s="18">
        <v>2516836.5638552001</v>
      </c>
      <c r="G336" s="18">
        <v>2816944.2832325567</v>
      </c>
    </row>
    <row r="337" spans="1:7" ht="11.25" customHeight="1" x14ac:dyDescent="0.2">
      <c r="A337" s="23" t="s">
        <v>25</v>
      </c>
      <c r="B337" s="18">
        <v>395639.43588999991</v>
      </c>
      <c r="C337" s="18">
        <v>2121197.1279652002</v>
      </c>
      <c r="D337" s="18">
        <v>464456.51735090557</v>
      </c>
      <c r="E337" s="18">
        <v>2352487.7658816511</v>
      </c>
      <c r="F337" s="18">
        <v>2516836.5638552001</v>
      </c>
      <c r="G337" s="18">
        <v>2816944.2832325567</v>
      </c>
    </row>
    <row r="338" spans="1:7" ht="11.25" customHeight="1" x14ac:dyDescent="0.2">
      <c r="A338" s="24" t="s">
        <v>25</v>
      </c>
      <c r="B338" s="18">
        <v>395639.43588999991</v>
      </c>
      <c r="C338" s="18">
        <v>2121197.1279652002</v>
      </c>
      <c r="D338" s="18">
        <v>464456.51735090557</v>
      </c>
      <c r="E338" s="18">
        <v>2352487.7658816511</v>
      </c>
      <c r="F338" s="18">
        <v>2516836.5638552001</v>
      </c>
      <c r="G338" s="18">
        <v>2816944.2832325567</v>
      </c>
    </row>
    <row r="339" spans="1:7" ht="11.25" customHeight="1" x14ac:dyDescent="0.2">
      <c r="A339" s="25" t="s">
        <v>64</v>
      </c>
      <c r="B339" s="18">
        <v>395639.43588999991</v>
      </c>
      <c r="C339" s="18">
        <v>2121197.1279652002</v>
      </c>
      <c r="D339" s="18">
        <v>464456.51735090557</v>
      </c>
      <c r="E339" s="18">
        <v>2352487.7658816511</v>
      </c>
      <c r="F339" s="18">
        <v>2516836.5638552001</v>
      </c>
      <c r="G339" s="18">
        <v>2816944.2832325567</v>
      </c>
    </row>
    <row r="340" spans="1:7" ht="11.25" customHeight="1" x14ac:dyDescent="0.2">
      <c r="A340" s="26" t="s">
        <v>68</v>
      </c>
      <c r="B340" s="18">
        <v>395639.43588999991</v>
      </c>
      <c r="C340" s="18">
        <v>2121197.1279652002</v>
      </c>
      <c r="D340" s="18">
        <v>464456.51735090557</v>
      </c>
      <c r="E340" s="18">
        <v>2352487.7658816511</v>
      </c>
      <c r="F340" s="18">
        <v>2516836.5638552001</v>
      </c>
      <c r="G340" s="18">
        <v>2816944.2832325567</v>
      </c>
    </row>
    <row r="341" spans="1:7" ht="11.25" customHeight="1" x14ac:dyDescent="0.2">
      <c r="A341" s="27" t="s">
        <v>35</v>
      </c>
      <c r="B341" s="18">
        <v>130005.66083999998</v>
      </c>
      <c r="C341" s="18">
        <v>39300.154553399996</v>
      </c>
      <c r="D341" s="18">
        <v>142279.3747024608</v>
      </c>
      <c r="E341" s="18">
        <v>45412.835976163937</v>
      </c>
      <c r="F341" s="18">
        <v>169305.81539339997</v>
      </c>
      <c r="G341" s="18">
        <v>187692.21067862475</v>
      </c>
    </row>
    <row r="342" spans="1:7" ht="11.25" customHeight="1" x14ac:dyDescent="0.2">
      <c r="A342" s="28">
        <v>44287</v>
      </c>
      <c r="B342" s="18">
        <v>10786.047299999998</v>
      </c>
      <c r="C342" s="18">
        <v>3454.8853958000004</v>
      </c>
      <c r="D342" s="18">
        <v>11804.348021767</v>
      </c>
      <c r="E342" s="18">
        <v>3992.2525898142048</v>
      </c>
      <c r="F342" s="18">
        <v>14240.932695799998</v>
      </c>
      <c r="G342" s="18">
        <v>15796.600611581205</v>
      </c>
    </row>
    <row r="343" spans="1:7" ht="11.25" customHeight="1" x14ac:dyDescent="0.2">
      <c r="A343" s="28">
        <v>44317</v>
      </c>
      <c r="B343" s="18">
        <v>10899.584639999999</v>
      </c>
      <c r="C343" s="18">
        <v>3216.9573021500005</v>
      </c>
      <c r="D343" s="18">
        <v>11928.604316732968</v>
      </c>
      <c r="E343" s="18">
        <v>3717.3175516741567</v>
      </c>
      <c r="F343" s="18">
        <v>14116.541942149999</v>
      </c>
      <c r="G343" s="18">
        <v>15645.921868407124</v>
      </c>
    </row>
    <row r="344" spans="1:7" ht="11.25" customHeight="1" x14ac:dyDescent="0.2">
      <c r="A344" s="28">
        <v>44348</v>
      </c>
      <c r="B344" s="18">
        <v>10461.6549</v>
      </c>
      <c r="C344" s="18">
        <v>3128.5263040499999</v>
      </c>
      <c r="D344" s="18">
        <v>11449.330036149948</v>
      </c>
      <c r="E344" s="18">
        <v>3615.1321415260336</v>
      </c>
      <c r="F344" s="18">
        <v>13590.181204049999</v>
      </c>
      <c r="G344" s="18">
        <v>15064.462177675981</v>
      </c>
    </row>
    <row r="345" spans="1:7" ht="11.25" customHeight="1" x14ac:dyDescent="0.2">
      <c r="A345" s="28">
        <v>44378</v>
      </c>
      <c r="B345" s="18">
        <v>10477.874519999999</v>
      </c>
      <c r="C345" s="18">
        <v>3014.5145455499996</v>
      </c>
      <c r="D345" s="18">
        <v>11467.0809354308</v>
      </c>
      <c r="E345" s="18">
        <v>3483.3871815646335</v>
      </c>
      <c r="F345" s="18">
        <v>13492.38906555</v>
      </c>
      <c r="G345" s="18">
        <v>14950.468116995435</v>
      </c>
    </row>
    <row r="346" spans="1:7" ht="11.25" customHeight="1" x14ac:dyDescent="0.2">
      <c r="A346" s="28">
        <v>44409</v>
      </c>
      <c r="B346" s="18">
        <v>10353.524099999999</v>
      </c>
      <c r="C346" s="18">
        <v>2894.3293153499994</v>
      </c>
      <c r="D346" s="18">
        <v>11330.99070761093</v>
      </c>
      <c r="E346" s="18">
        <v>3344.5085382653051</v>
      </c>
      <c r="F346" s="18">
        <v>13247.853415349999</v>
      </c>
      <c r="G346" s="18">
        <v>14675.499245876235</v>
      </c>
    </row>
    <row r="347" spans="1:7" ht="11.25" customHeight="1" x14ac:dyDescent="0.2">
      <c r="A347" s="28">
        <v>44440</v>
      </c>
      <c r="B347" s="18">
        <v>10613.038019999998</v>
      </c>
      <c r="C347" s="18">
        <v>2995.9109860499998</v>
      </c>
      <c r="D347" s="18">
        <v>11615.005096104571</v>
      </c>
      <c r="E347" s="18">
        <v>3461.8900550075773</v>
      </c>
      <c r="F347" s="18">
        <v>13608.949006049997</v>
      </c>
      <c r="G347" s="18">
        <v>15076.895151112149</v>
      </c>
    </row>
    <row r="348" spans="1:7" ht="11.25" customHeight="1" x14ac:dyDescent="0.2">
      <c r="A348" s="28">
        <v>44470</v>
      </c>
      <c r="B348" s="18">
        <v>10861.738859999999</v>
      </c>
      <c r="C348" s="18">
        <v>3085.6203292999994</v>
      </c>
      <c r="D348" s="18">
        <v>11887.185551744315</v>
      </c>
      <c r="E348" s="18">
        <v>3565.5526420085025</v>
      </c>
      <c r="F348" s="18">
        <v>13947.359189299999</v>
      </c>
      <c r="G348" s="18">
        <v>15452.738193752817</v>
      </c>
    </row>
    <row r="349" spans="1:7" ht="11.25" customHeight="1" x14ac:dyDescent="0.2">
      <c r="A349" s="28">
        <v>44501</v>
      </c>
      <c r="B349" s="18">
        <v>11040.15468</v>
      </c>
      <c r="C349" s="18">
        <v>3469.3040205000002</v>
      </c>
      <c r="D349" s="18">
        <v>12082.445443833692</v>
      </c>
      <c r="E349" s="18">
        <v>4008.9138636932489</v>
      </c>
      <c r="F349" s="18">
        <v>14509.458700499999</v>
      </c>
      <c r="G349" s="18">
        <v>16091.359307526942</v>
      </c>
    </row>
    <row r="350" spans="1:7" ht="11.25" customHeight="1" x14ac:dyDescent="0.2">
      <c r="A350" s="28">
        <v>44531</v>
      </c>
      <c r="B350" s="18">
        <v>10867.145399999999</v>
      </c>
      <c r="C350" s="18">
        <v>3384.0532956999996</v>
      </c>
      <c r="D350" s="18">
        <v>11893.102518171263</v>
      </c>
      <c r="E350" s="18">
        <v>3910.4033813252709</v>
      </c>
      <c r="F350" s="18">
        <v>14251.198695699999</v>
      </c>
      <c r="G350" s="18">
        <v>15803.505899496533</v>
      </c>
    </row>
    <row r="351" spans="1:7" ht="11.25" customHeight="1" x14ac:dyDescent="0.2">
      <c r="A351" s="28">
        <v>44562</v>
      </c>
      <c r="B351" s="18">
        <v>11013.121979999998</v>
      </c>
      <c r="C351" s="18">
        <v>3462.8499364500003</v>
      </c>
      <c r="D351" s="18">
        <v>12052.860611698938</v>
      </c>
      <c r="E351" s="18">
        <v>4001.4559220217784</v>
      </c>
      <c r="F351" s="18">
        <v>14475.971916449998</v>
      </c>
      <c r="G351" s="18">
        <v>16054.316533720716</v>
      </c>
    </row>
    <row r="352" spans="1:7" ht="11.25" customHeight="1" x14ac:dyDescent="0.2">
      <c r="A352" s="28">
        <v>44593</v>
      </c>
      <c r="B352" s="18">
        <v>11315.888219999999</v>
      </c>
      <c r="C352" s="18">
        <v>3596.6015612499991</v>
      </c>
      <c r="D352" s="18">
        <v>12384.210731608187</v>
      </c>
      <c r="E352" s="18">
        <v>4156.0110546316146</v>
      </c>
      <c r="F352" s="18">
        <v>14912.489781249998</v>
      </c>
      <c r="G352" s="18">
        <v>16540.221786239803</v>
      </c>
    </row>
    <row r="353" spans="1:7" ht="11.25" customHeight="1" x14ac:dyDescent="0.2">
      <c r="A353" s="28">
        <v>44621</v>
      </c>
      <c r="B353" s="18">
        <v>11315.888219999999</v>
      </c>
      <c r="C353" s="18">
        <v>3596.6015612499991</v>
      </c>
      <c r="D353" s="18">
        <v>12384.210731608187</v>
      </c>
      <c r="E353" s="18">
        <v>4156.0110546316146</v>
      </c>
      <c r="F353" s="18">
        <v>14912.489781249998</v>
      </c>
      <c r="G353" s="18">
        <v>16540.221786239803</v>
      </c>
    </row>
    <row r="354" spans="1:7" ht="11.25" customHeight="1" x14ac:dyDescent="0.2">
      <c r="A354" s="27" t="s">
        <v>25</v>
      </c>
      <c r="B354" s="18">
        <v>0</v>
      </c>
      <c r="C354" s="18">
        <v>2076973.0754350503</v>
      </c>
      <c r="D354" s="18">
        <v>0</v>
      </c>
      <c r="E354" s="18">
        <v>2301385.1769332001</v>
      </c>
      <c r="F354" s="18">
        <v>2076973.0754350503</v>
      </c>
      <c r="G354" s="18">
        <v>2301385.1769332001</v>
      </c>
    </row>
    <row r="355" spans="1:7" ht="11.25" customHeight="1" x14ac:dyDescent="0.2">
      <c r="A355" s="28">
        <v>44287</v>
      </c>
      <c r="B355" s="18">
        <v>0</v>
      </c>
      <c r="C355" s="18">
        <v>182881.79371214999</v>
      </c>
      <c r="D355" s="18">
        <v>0</v>
      </c>
      <c r="E355" s="18">
        <v>202641.74541210075</v>
      </c>
      <c r="F355" s="18">
        <v>182881.79371214999</v>
      </c>
      <c r="G355" s="18">
        <v>202641.74541210075</v>
      </c>
    </row>
    <row r="356" spans="1:7" ht="11.25" customHeight="1" x14ac:dyDescent="0.2">
      <c r="A356" s="28">
        <v>44317</v>
      </c>
      <c r="B356" s="18">
        <v>0</v>
      </c>
      <c r="C356" s="18">
        <v>168635.50161900002</v>
      </c>
      <c r="D356" s="18">
        <v>0</v>
      </c>
      <c r="E356" s="18">
        <v>186856.17465184018</v>
      </c>
      <c r="F356" s="18">
        <v>168635.50161900002</v>
      </c>
      <c r="G356" s="18">
        <v>186856.17465184018</v>
      </c>
    </row>
    <row r="357" spans="1:7" ht="11.25" customHeight="1" x14ac:dyDescent="0.2">
      <c r="A357" s="28">
        <v>44348</v>
      </c>
      <c r="B357" s="18">
        <v>0</v>
      </c>
      <c r="C357" s="18">
        <v>165487.86753720001</v>
      </c>
      <c r="D357" s="18">
        <v>0</v>
      </c>
      <c r="E357" s="18">
        <v>183368.44604142141</v>
      </c>
      <c r="F357" s="18">
        <v>165487.86753720001</v>
      </c>
      <c r="G357" s="18">
        <v>183368.44604142141</v>
      </c>
    </row>
    <row r="358" spans="1:7" ht="11.25" customHeight="1" x14ac:dyDescent="0.2">
      <c r="A358" s="28">
        <v>44378</v>
      </c>
      <c r="B358" s="18">
        <v>0</v>
      </c>
      <c r="C358" s="18">
        <v>160142.06641094998</v>
      </c>
      <c r="D358" s="18">
        <v>0</v>
      </c>
      <c r="E358" s="18">
        <v>177445.04355908177</v>
      </c>
      <c r="F358" s="18">
        <v>160142.06641094998</v>
      </c>
      <c r="G358" s="18">
        <v>177445.04355908177</v>
      </c>
    </row>
    <row r="359" spans="1:7" ht="11.25" customHeight="1" x14ac:dyDescent="0.2">
      <c r="A359" s="28">
        <v>44409</v>
      </c>
      <c r="B359" s="18">
        <v>0</v>
      </c>
      <c r="C359" s="18">
        <v>155008.11892995</v>
      </c>
      <c r="D359" s="18">
        <v>0</v>
      </c>
      <c r="E359" s="18">
        <v>171756.38501474698</v>
      </c>
      <c r="F359" s="18">
        <v>155008.11892995</v>
      </c>
      <c r="G359" s="18">
        <v>171756.38501474698</v>
      </c>
    </row>
    <row r="360" spans="1:7" ht="11.25" customHeight="1" x14ac:dyDescent="0.2">
      <c r="A360" s="28">
        <v>44440</v>
      </c>
      <c r="B360" s="18">
        <v>0</v>
      </c>
      <c r="C360" s="18">
        <v>160119.97427984999</v>
      </c>
      <c r="D360" s="18">
        <v>0</v>
      </c>
      <c r="E360" s="18">
        <v>177420.56442469059</v>
      </c>
      <c r="F360" s="18">
        <v>160119.97427984999</v>
      </c>
      <c r="G360" s="18">
        <v>177420.56442469059</v>
      </c>
    </row>
    <row r="361" spans="1:7" ht="11.25" customHeight="1" x14ac:dyDescent="0.2">
      <c r="A361" s="28">
        <v>44470</v>
      </c>
      <c r="B361" s="18">
        <v>0</v>
      </c>
      <c r="C361" s="18">
        <v>163654.88012250001</v>
      </c>
      <c r="D361" s="18">
        <v>0</v>
      </c>
      <c r="E361" s="18">
        <v>181337.40860738434</v>
      </c>
      <c r="F361" s="18">
        <v>163654.88012250001</v>
      </c>
      <c r="G361" s="18">
        <v>181337.40860738434</v>
      </c>
    </row>
    <row r="362" spans="1:7" ht="11.25" customHeight="1" x14ac:dyDescent="0.2">
      <c r="A362" s="28">
        <v>44501</v>
      </c>
      <c r="B362" s="18">
        <v>0</v>
      </c>
      <c r="C362" s="18">
        <v>181593.69057569999</v>
      </c>
      <c r="D362" s="18">
        <v>0</v>
      </c>
      <c r="E362" s="18">
        <v>201214.46573300994</v>
      </c>
      <c r="F362" s="18">
        <v>181593.69057569999</v>
      </c>
      <c r="G362" s="18">
        <v>201214.46573300994</v>
      </c>
    </row>
    <row r="363" spans="1:7" ht="11.25" customHeight="1" x14ac:dyDescent="0.2">
      <c r="A363" s="28">
        <v>44531</v>
      </c>
      <c r="B363" s="18">
        <v>0</v>
      </c>
      <c r="C363" s="18">
        <v>177732.01903275002</v>
      </c>
      <c r="D363" s="18">
        <v>0</v>
      </c>
      <c r="E363" s="18">
        <v>196935.54957745591</v>
      </c>
      <c r="F363" s="18">
        <v>177732.01903275002</v>
      </c>
      <c r="G363" s="18">
        <v>196935.54957745591</v>
      </c>
    </row>
    <row r="364" spans="1:7" ht="11.25" customHeight="1" x14ac:dyDescent="0.2">
      <c r="A364" s="28">
        <v>44562</v>
      </c>
      <c r="B364" s="18">
        <v>0</v>
      </c>
      <c r="C364" s="18">
        <v>184226.28124289998</v>
      </c>
      <c r="D364" s="18">
        <v>0</v>
      </c>
      <c r="E364" s="18">
        <v>204131.50168792126</v>
      </c>
      <c r="F364" s="18">
        <v>184226.28124289998</v>
      </c>
      <c r="G364" s="18">
        <v>204131.50168792126</v>
      </c>
    </row>
    <row r="365" spans="1:7" ht="11.25" customHeight="1" x14ac:dyDescent="0.2">
      <c r="A365" s="28">
        <v>44593</v>
      </c>
      <c r="B365" s="18">
        <v>0</v>
      </c>
      <c r="C365" s="18">
        <v>188745.44098605</v>
      </c>
      <c r="D365" s="18">
        <v>0</v>
      </c>
      <c r="E365" s="18">
        <v>209138.94611177361</v>
      </c>
      <c r="F365" s="18">
        <v>188745.44098605</v>
      </c>
      <c r="G365" s="18">
        <v>209138.94611177361</v>
      </c>
    </row>
    <row r="366" spans="1:7" ht="11.25" customHeight="1" x14ac:dyDescent="0.2">
      <c r="A366" s="28">
        <v>44621</v>
      </c>
      <c r="B366" s="18">
        <v>0</v>
      </c>
      <c r="C366" s="18">
        <v>188745.44098605</v>
      </c>
      <c r="D366" s="18">
        <v>0</v>
      </c>
      <c r="E366" s="18">
        <v>209138.94611177361</v>
      </c>
      <c r="F366" s="18">
        <v>188745.44098605</v>
      </c>
      <c r="G366" s="18">
        <v>209138.94611177361</v>
      </c>
    </row>
    <row r="367" spans="1:7" ht="11.25" customHeight="1" x14ac:dyDescent="0.2">
      <c r="A367" s="27" t="s">
        <v>34</v>
      </c>
      <c r="B367" s="18">
        <v>265633.77504999994</v>
      </c>
      <c r="C367" s="18">
        <v>4923.8979767499986</v>
      </c>
      <c r="D367" s="18">
        <v>322177.14264844474</v>
      </c>
      <c r="E367" s="18">
        <v>5689.7529722861636</v>
      </c>
      <c r="F367" s="18">
        <v>270557.67302674992</v>
      </c>
      <c r="G367" s="18">
        <v>327866.89562073088</v>
      </c>
    </row>
    <row r="368" spans="1:7" ht="11.25" customHeight="1" x14ac:dyDescent="0.2">
      <c r="A368" s="28">
        <v>44287</v>
      </c>
      <c r="B368" s="18">
        <v>22405.304879999996</v>
      </c>
      <c r="C368" s="18">
        <v>432.27812864999999</v>
      </c>
      <c r="D368" s="18">
        <v>27174.545499897093</v>
      </c>
      <c r="E368" s="18">
        <v>499.51395803778576</v>
      </c>
      <c r="F368" s="18">
        <v>22837.583008649995</v>
      </c>
      <c r="G368" s="18">
        <v>27674.05945793488</v>
      </c>
    </row>
    <row r="369" spans="1:7" ht="11.25" customHeight="1" x14ac:dyDescent="0.2">
      <c r="A369" s="28">
        <v>44317</v>
      </c>
      <c r="B369" s="18">
        <v>21353.714900000003</v>
      </c>
      <c r="C369" s="18">
        <v>375.87158195000001</v>
      </c>
      <c r="D369" s="18">
        <v>25899.111850955571</v>
      </c>
      <c r="E369" s="18">
        <v>434.33402980650311</v>
      </c>
      <c r="F369" s="18">
        <v>21729.586481950002</v>
      </c>
      <c r="G369" s="18">
        <v>26333.445880762072</v>
      </c>
    </row>
    <row r="370" spans="1:7" ht="11.25" customHeight="1" x14ac:dyDescent="0.2">
      <c r="A370" s="28">
        <v>44348</v>
      </c>
      <c r="B370" s="18">
        <v>21986.814989999999</v>
      </c>
      <c r="C370" s="18">
        <v>397.01797434999997</v>
      </c>
      <c r="D370" s="18">
        <v>26666.974966134647</v>
      </c>
      <c r="E370" s="18">
        <v>458.76949731195384</v>
      </c>
      <c r="F370" s="18">
        <v>22383.83296435</v>
      </c>
      <c r="G370" s="18">
        <v>27125.744463446601</v>
      </c>
    </row>
    <row r="371" spans="1:7" ht="11.25" customHeight="1" x14ac:dyDescent="0.2">
      <c r="A371" s="28">
        <v>44378</v>
      </c>
      <c r="B371" s="18">
        <v>21396.63694</v>
      </c>
      <c r="C371" s="18">
        <v>399.94535010000004</v>
      </c>
      <c r="D371" s="18">
        <v>25951.170367238894</v>
      </c>
      <c r="E371" s="18">
        <v>462.15219227298047</v>
      </c>
      <c r="F371" s="18">
        <v>21796.582290099999</v>
      </c>
      <c r="G371" s="18">
        <v>26413.322559511875</v>
      </c>
    </row>
    <row r="372" spans="1:7" ht="11.25" customHeight="1" x14ac:dyDescent="0.2">
      <c r="A372" s="28">
        <v>44409</v>
      </c>
      <c r="B372" s="18">
        <v>21503.942039999998</v>
      </c>
      <c r="C372" s="18">
        <v>414.08682679999998</v>
      </c>
      <c r="D372" s="18">
        <v>26081.316657947213</v>
      </c>
      <c r="E372" s="18">
        <v>478.49321100778542</v>
      </c>
      <c r="F372" s="18">
        <v>21918.028866799999</v>
      </c>
      <c r="G372" s="18">
        <v>26559.809868954999</v>
      </c>
    </row>
    <row r="373" spans="1:7" ht="11.25" customHeight="1" x14ac:dyDescent="0.2">
      <c r="A373" s="28">
        <v>44440</v>
      </c>
      <c r="B373" s="18">
        <v>21868.779380000004</v>
      </c>
      <c r="C373" s="18">
        <v>419.92079219999999</v>
      </c>
      <c r="D373" s="18">
        <v>26523.814046355503</v>
      </c>
      <c r="E373" s="18">
        <v>485.23458179402058</v>
      </c>
      <c r="F373" s="18">
        <v>22288.700172200002</v>
      </c>
      <c r="G373" s="18">
        <v>27009.048628149525</v>
      </c>
    </row>
    <row r="374" spans="1:7" ht="11.25" customHeight="1" x14ac:dyDescent="0.2">
      <c r="A374" s="28">
        <v>44470</v>
      </c>
      <c r="B374" s="18">
        <v>22083.389579999995</v>
      </c>
      <c r="C374" s="18">
        <v>407.57384879999995</v>
      </c>
      <c r="D374" s="18">
        <v>26784.106627772137</v>
      </c>
      <c r="E374" s="18">
        <v>470.96721511816429</v>
      </c>
      <c r="F374" s="18">
        <v>22490.963428799994</v>
      </c>
      <c r="G374" s="18">
        <v>27255.073842890302</v>
      </c>
    </row>
    <row r="375" spans="1:7" ht="11.25" customHeight="1" x14ac:dyDescent="0.2">
      <c r="A375" s="28">
        <v>44501</v>
      </c>
      <c r="B375" s="18">
        <v>22008.276009999998</v>
      </c>
      <c r="C375" s="18">
        <v>400.73522190000006</v>
      </c>
      <c r="D375" s="18">
        <v>26693.004224276316</v>
      </c>
      <c r="E375" s="18">
        <v>463.06491943406212</v>
      </c>
      <c r="F375" s="18">
        <v>22409.011231899996</v>
      </c>
      <c r="G375" s="18">
        <v>27156.069143710378</v>
      </c>
    </row>
    <row r="376" spans="1:7" ht="11.25" customHeight="1" x14ac:dyDescent="0.2">
      <c r="A376" s="28">
        <v>44531</v>
      </c>
      <c r="B376" s="18">
        <v>22190.694680000001</v>
      </c>
      <c r="C376" s="18">
        <v>400.40610864999991</v>
      </c>
      <c r="D376" s="18">
        <v>26914.252918480459</v>
      </c>
      <c r="E376" s="18">
        <v>462.68461645027799</v>
      </c>
      <c r="F376" s="18">
        <v>22591.100788650001</v>
      </c>
      <c r="G376" s="18">
        <v>27376.937534930737</v>
      </c>
    </row>
    <row r="377" spans="1:7" ht="11.25" customHeight="1" x14ac:dyDescent="0.2">
      <c r="A377" s="28">
        <v>44562</v>
      </c>
      <c r="B377" s="18">
        <v>23124.249049999999</v>
      </c>
      <c r="C377" s="18">
        <v>451.21426574999998</v>
      </c>
      <c r="D377" s="18">
        <v>28046.525647642837</v>
      </c>
      <c r="E377" s="18">
        <v>521.39539076792903</v>
      </c>
      <c r="F377" s="18">
        <v>23575.463315749999</v>
      </c>
      <c r="G377" s="18">
        <v>28567.921038410765</v>
      </c>
    </row>
    <row r="378" spans="1:7" ht="11.25" customHeight="1" x14ac:dyDescent="0.2">
      <c r="A378" s="28">
        <v>44593</v>
      </c>
      <c r="B378" s="18">
        <v>22855.986300000004</v>
      </c>
      <c r="C378" s="18">
        <v>412.42393879999997</v>
      </c>
      <c r="D378" s="18">
        <v>27721.159920872044</v>
      </c>
      <c r="E378" s="18">
        <v>476.57168014235026</v>
      </c>
      <c r="F378" s="18">
        <v>23268.410238800003</v>
      </c>
      <c r="G378" s="18">
        <v>28197.731601014395</v>
      </c>
    </row>
    <row r="379" spans="1:7" ht="11.25" customHeight="1" x14ac:dyDescent="0.2">
      <c r="A379" s="28">
        <v>44621</v>
      </c>
      <c r="B379" s="18">
        <v>22855.986300000004</v>
      </c>
      <c r="C379" s="18">
        <v>412.42393879999997</v>
      </c>
      <c r="D379" s="18">
        <v>27721.159920872044</v>
      </c>
      <c r="E379" s="18">
        <v>476.57168014235026</v>
      </c>
      <c r="F379" s="18">
        <v>23268.410238800003</v>
      </c>
      <c r="G379" s="18">
        <v>28197.731601014395</v>
      </c>
    </row>
    <row r="380" spans="1:7" ht="11.25" customHeight="1" x14ac:dyDescent="0.2">
      <c r="A380" s="26" t="s">
        <v>65</v>
      </c>
      <c r="B380" s="18">
        <v>0</v>
      </c>
      <c r="C380" s="18">
        <v>0</v>
      </c>
      <c r="D380" s="18">
        <v>0</v>
      </c>
      <c r="E380" s="18">
        <v>0</v>
      </c>
      <c r="F380" s="18">
        <v>0</v>
      </c>
      <c r="G380" s="18">
        <v>0</v>
      </c>
    </row>
    <row r="381" spans="1:7" ht="11.25" customHeight="1" x14ac:dyDescent="0.2">
      <c r="A381" s="27" t="s">
        <v>25</v>
      </c>
      <c r="B381" s="18">
        <v>0</v>
      </c>
      <c r="C381" s="18">
        <v>0</v>
      </c>
      <c r="D381" s="18">
        <v>0</v>
      </c>
      <c r="E381" s="18">
        <v>0</v>
      </c>
      <c r="F381" s="18">
        <v>0</v>
      </c>
      <c r="G381" s="18">
        <v>0</v>
      </c>
    </row>
    <row r="382" spans="1:7" ht="11.25" customHeight="1" x14ac:dyDescent="0.2">
      <c r="A382" s="28">
        <v>44593</v>
      </c>
      <c r="B382" s="18">
        <v>0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</row>
    <row r="383" spans="1:7" ht="11.25" customHeight="1" x14ac:dyDescent="0.2">
      <c r="A383" s="28">
        <v>44621</v>
      </c>
      <c r="B383" s="18">
        <v>0</v>
      </c>
      <c r="C383" s="18">
        <v>0</v>
      </c>
      <c r="D383" s="18">
        <v>0</v>
      </c>
      <c r="E383" s="18">
        <v>0</v>
      </c>
      <c r="F383" s="18">
        <v>0</v>
      </c>
      <c r="G383" s="18">
        <v>0</v>
      </c>
    </row>
    <row r="384" spans="1:7" ht="11.25" customHeight="1" x14ac:dyDescent="0.2">
      <c r="A384" s="20" t="s">
        <v>1027</v>
      </c>
      <c r="B384" s="18">
        <v>3575381.1</v>
      </c>
      <c r="C384" s="18">
        <v>0</v>
      </c>
      <c r="D384" s="18">
        <v>4596012.3482219605</v>
      </c>
      <c r="E384" s="18">
        <v>0</v>
      </c>
      <c r="F384" s="18">
        <v>3575381.1</v>
      </c>
      <c r="G384" s="18">
        <v>4596012.3482219605</v>
      </c>
    </row>
    <row r="385" spans="1:7" ht="11.25" customHeight="1" x14ac:dyDescent="0.2">
      <c r="A385" s="21" t="s">
        <v>39</v>
      </c>
      <c r="B385" s="18">
        <v>3533469.3</v>
      </c>
      <c r="C385" s="18">
        <v>0</v>
      </c>
      <c r="D385" s="18">
        <v>4542487.4765570248</v>
      </c>
      <c r="E385" s="18">
        <v>0</v>
      </c>
      <c r="F385" s="18">
        <v>3533469.3</v>
      </c>
      <c r="G385" s="18">
        <v>4542487.4765570248</v>
      </c>
    </row>
    <row r="386" spans="1:7" ht="11.25" customHeight="1" x14ac:dyDescent="0.2">
      <c r="A386" s="22" t="s">
        <v>69</v>
      </c>
      <c r="B386" s="18">
        <v>3533469.3</v>
      </c>
      <c r="C386" s="18">
        <v>0</v>
      </c>
      <c r="D386" s="18">
        <v>4542487.4765570248</v>
      </c>
      <c r="E386" s="18">
        <v>0</v>
      </c>
      <c r="F386" s="18">
        <v>3533469.3</v>
      </c>
      <c r="G386" s="18">
        <v>4542487.4765570248</v>
      </c>
    </row>
    <row r="387" spans="1:7" ht="11.25" customHeight="1" x14ac:dyDescent="0.2">
      <c r="A387" s="23" t="s">
        <v>25</v>
      </c>
      <c r="B387" s="18">
        <v>3533469.3</v>
      </c>
      <c r="C387" s="18">
        <v>0</v>
      </c>
      <c r="D387" s="18">
        <v>4542487.4765570248</v>
      </c>
      <c r="E387" s="18">
        <v>0</v>
      </c>
      <c r="F387" s="18">
        <v>3533469.3</v>
      </c>
      <c r="G387" s="18">
        <v>4542487.4765570248</v>
      </c>
    </row>
    <row r="388" spans="1:7" ht="11.25" customHeight="1" x14ac:dyDescent="0.2">
      <c r="A388" s="24" t="s">
        <v>25</v>
      </c>
      <c r="B388" s="18">
        <v>3533469.3</v>
      </c>
      <c r="C388" s="18">
        <v>0</v>
      </c>
      <c r="D388" s="18">
        <v>4542487.4765570248</v>
      </c>
      <c r="E388" s="18">
        <v>0</v>
      </c>
      <c r="F388" s="18">
        <v>3533469.3</v>
      </c>
      <c r="G388" s="18">
        <v>4542487.4765570248</v>
      </c>
    </row>
    <row r="389" spans="1:7" ht="11.25" customHeight="1" x14ac:dyDescent="0.2">
      <c r="A389" s="25" t="s">
        <v>70</v>
      </c>
      <c r="B389" s="18">
        <v>1634469.3</v>
      </c>
      <c r="C389" s="18">
        <v>0</v>
      </c>
      <c r="D389" s="18">
        <v>2101208.6693570325</v>
      </c>
      <c r="E389" s="18">
        <v>0</v>
      </c>
      <c r="F389" s="18">
        <v>1634469.3</v>
      </c>
      <c r="G389" s="18">
        <v>2101208.6693570325</v>
      </c>
    </row>
    <row r="390" spans="1:7" ht="11.25" customHeight="1" x14ac:dyDescent="0.2">
      <c r="A390" s="26" t="s">
        <v>75</v>
      </c>
      <c r="B390" s="18">
        <v>785152.1</v>
      </c>
      <c r="C390" s="18">
        <v>0</v>
      </c>
      <c r="D390" s="18">
        <v>1009360.2854968768</v>
      </c>
      <c r="E390" s="18">
        <v>0</v>
      </c>
      <c r="F390" s="18">
        <v>785152.1</v>
      </c>
      <c r="G390" s="18">
        <v>1009360.2854968768</v>
      </c>
    </row>
    <row r="391" spans="1:7" ht="11.25" customHeight="1" x14ac:dyDescent="0.2">
      <c r="A391" s="27" t="s">
        <v>25</v>
      </c>
      <c r="B391" s="18">
        <v>785152.1</v>
      </c>
      <c r="C391" s="18">
        <v>0</v>
      </c>
      <c r="D391" s="18">
        <v>1009360.2854968768</v>
      </c>
      <c r="E391" s="18">
        <v>0</v>
      </c>
      <c r="F391" s="18">
        <v>785152.1</v>
      </c>
      <c r="G391" s="18">
        <v>1009360.2854968768</v>
      </c>
    </row>
    <row r="392" spans="1:7" ht="11.25" customHeight="1" x14ac:dyDescent="0.2">
      <c r="A392" s="28">
        <v>44287</v>
      </c>
      <c r="B392" s="18">
        <v>68575</v>
      </c>
      <c r="C392" s="18">
        <v>0</v>
      </c>
      <c r="D392" s="18">
        <v>88157.290259999703</v>
      </c>
      <c r="E392" s="18">
        <v>0</v>
      </c>
      <c r="F392" s="18">
        <v>68575</v>
      </c>
      <c r="G392" s="18">
        <v>88157.290259999703</v>
      </c>
    </row>
    <row r="393" spans="1:7" ht="11.25" customHeight="1" x14ac:dyDescent="0.2">
      <c r="A393" s="28">
        <v>44317</v>
      </c>
      <c r="B393" s="18">
        <v>68575</v>
      </c>
      <c r="C393" s="18">
        <v>0</v>
      </c>
      <c r="D393" s="18">
        <v>88157.290259999703</v>
      </c>
      <c r="E393" s="18">
        <v>0</v>
      </c>
      <c r="F393" s="18">
        <v>68575</v>
      </c>
      <c r="G393" s="18">
        <v>88157.290259999703</v>
      </c>
    </row>
    <row r="394" spans="1:7" ht="11.25" customHeight="1" x14ac:dyDescent="0.2">
      <c r="A394" s="28">
        <v>44348</v>
      </c>
      <c r="B394" s="18">
        <v>68575</v>
      </c>
      <c r="C394" s="18">
        <v>0</v>
      </c>
      <c r="D394" s="18">
        <v>88157.290259999703</v>
      </c>
      <c r="E394" s="18">
        <v>0</v>
      </c>
      <c r="F394" s="18">
        <v>68575</v>
      </c>
      <c r="G394" s="18">
        <v>88157.290259999703</v>
      </c>
    </row>
    <row r="395" spans="1:7" ht="11.25" customHeight="1" x14ac:dyDescent="0.2">
      <c r="A395" s="28">
        <v>44378</v>
      </c>
      <c r="B395" s="18">
        <v>68575</v>
      </c>
      <c r="C395" s="18">
        <v>0</v>
      </c>
      <c r="D395" s="18">
        <v>88157.290259999703</v>
      </c>
      <c r="E395" s="18">
        <v>0</v>
      </c>
      <c r="F395" s="18">
        <v>68575</v>
      </c>
      <c r="G395" s="18">
        <v>88157.290259999703</v>
      </c>
    </row>
    <row r="396" spans="1:7" ht="11.25" customHeight="1" x14ac:dyDescent="0.2">
      <c r="A396" s="28">
        <v>44409</v>
      </c>
      <c r="B396" s="18">
        <v>65410.000000000007</v>
      </c>
      <c r="C396" s="18">
        <v>0</v>
      </c>
      <c r="D396" s="18">
        <v>84088.492247999719</v>
      </c>
      <c r="E396" s="18">
        <v>0</v>
      </c>
      <c r="F396" s="18">
        <v>65410.000000000007</v>
      </c>
      <c r="G396" s="18">
        <v>84088.492247999719</v>
      </c>
    </row>
    <row r="397" spans="1:7" ht="11.25" customHeight="1" x14ac:dyDescent="0.2">
      <c r="A397" s="28">
        <v>44440</v>
      </c>
      <c r="B397" s="18">
        <v>65410.000000000007</v>
      </c>
      <c r="C397" s="18">
        <v>0</v>
      </c>
      <c r="D397" s="18">
        <v>84088.492247999719</v>
      </c>
      <c r="E397" s="18">
        <v>0</v>
      </c>
      <c r="F397" s="18">
        <v>65410.000000000007</v>
      </c>
      <c r="G397" s="18">
        <v>84088.492247999719</v>
      </c>
    </row>
    <row r="398" spans="1:7" ht="11.25" customHeight="1" x14ac:dyDescent="0.2">
      <c r="A398" s="28">
        <v>44470</v>
      </c>
      <c r="B398" s="18">
        <v>65410.000000000007</v>
      </c>
      <c r="C398" s="18">
        <v>0</v>
      </c>
      <c r="D398" s="18">
        <v>84088.492247999719</v>
      </c>
      <c r="E398" s="18">
        <v>0</v>
      </c>
      <c r="F398" s="18">
        <v>65410.000000000007</v>
      </c>
      <c r="G398" s="18">
        <v>84088.492247999719</v>
      </c>
    </row>
    <row r="399" spans="1:7" ht="11.25" customHeight="1" x14ac:dyDescent="0.2">
      <c r="A399" s="28">
        <v>44501</v>
      </c>
      <c r="B399" s="18">
        <v>52982.100000000006</v>
      </c>
      <c r="C399" s="18">
        <v>0</v>
      </c>
      <c r="D399" s="18">
        <v>68111.678720879776</v>
      </c>
      <c r="E399" s="18">
        <v>0</v>
      </c>
      <c r="F399" s="18">
        <v>52982.100000000006</v>
      </c>
      <c r="G399" s="18">
        <v>68111.678720879776</v>
      </c>
    </row>
    <row r="400" spans="1:7" ht="11.25" customHeight="1" x14ac:dyDescent="0.2">
      <c r="A400" s="28">
        <v>44531</v>
      </c>
      <c r="B400" s="18">
        <v>65410.000000000007</v>
      </c>
      <c r="C400" s="18">
        <v>0</v>
      </c>
      <c r="D400" s="18">
        <v>84088.492247999719</v>
      </c>
      <c r="E400" s="18">
        <v>0</v>
      </c>
      <c r="F400" s="18">
        <v>65410.000000000007</v>
      </c>
      <c r="G400" s="18">
        <v>84088.492247999719</v>
      </c>
    </row>
    <row r="401" spans="1:7" ht="11.25" customHeight="1" x14ac:dyDescent="0.2">
      <c r="A401" s="28">
        <v>44562</v>
      </c>
      <c r="B401" s="18">
        <v>65410.000000000007</v>
      </c>
      <c r="C401" s="18">
        <v>0</v>
      </c>
      <c r="D401" s="18">
        <v>84088.492247999719</v>
      </c>
      <c r="E401" s="18">
        <v>0</v>
      </c>
      <c r="F401" s="18">
        <v>65410.000000000007</v>
      </c>
      <c r="G401" s="18">
        <v>84088.492247999719</v>
      </c>
    </row>
    <row r="402" spans="1:7" ht="11.25" customHeight="1" x14ac:dyDescent="0.2">
      <c r="A402" s="28">
        <v>44593</v>
      </c>
      <c r="B402" s="18">
        <v>65410.000000000007</v>
      </c>
      <c r="C402" s="18">
        <v>0</v>
      </c>
      <c r="D402" s="18">
        <v>84088.492247999719</v>
      </c>
      <c r="E402" s="18">
        <v>0</v>
      </c>
      <c r="F402" s="18">
        <v>65410.000000000007</v>
      </c>
      <c r="G402" s="18">
        <v>84088.492247999719</v>
      </c>
    </row>
    <row r="403" spans="1:7" ht="11.25" customHeight="1" x14ac:dyDescent="0.2">
      <c r="A403" s="28">
        <v>44621</v>
      </c>
      <c r="B403" s="18">
        <v>65410.000000000007</v>
      </c>
      <c r="C403" s="18">
        <v>0</v>
      </c>
      <c r="D403" s="18">
        <v>84088.492247999719</v>
      </c>
      <c r="E403" s="18">
        <v>0</v>
      </c>
      <c r="F403" s="18">
        <v>65410.000000000007</v>
      </c>
      <c r="G403" s="18">
        <v>84088.492247999719</v>
      </c>
    </row>
    <row r="404" spans="1:7" ht="11.25" customHeight="1" x14ac:dyDescent="0.2">
      <c r="A404" s="26" t="s">
        <v>71</v>
      </c>
      <c r="B404" s="18">
        <v>292277.2</v>
      </c>
      <c r="C404" s="18">
        <v>0</v>
      </c>
      <c r="D404" s="18">
        <v>375739.93374815868</v>
      </c>
      <c r="E404" s="18">
        <v>0</v>
      </c>
      <c r="F404" s="18">
        <v>292277.2</v>
      </c>
      <c r="G404" s="18">
        <v>375739.93374815868</v>
      </c>
    </row>
    <row r="405" spans="1:7" ht="11.25" customHeight="1" x14ac:dyDescent="0.2">
      <c r="A405" s="27" t="s">
        <v>25</v>
      </c>
      <c r="B405" s="18">
        <v>292277.2</v>
      </c>
      <c r="C405" s="18">
        <v>0</v>
      </c>
      <c r="D405" s="18">
        <v>375739.93374815868</v>
      </c>
      <c r="E405" s="18">
        <v>0</v>
      </c>
      <c r="F405" s="18">
        <v>292277.2</v>
      </c>
      <c r="G405" s="18">
        <v>375739.93374815868</v>
      </c>
    </row>
    <row r="406" spans="1:7" ht="11.25" customHeight="1" x14ac:dyDescent="0.2">
      <c r="A406" s="28">
        <v>44287</v>
      </c>
      <c r="B406" s="18">
        <v>23716.400000000001</v>
      </c>
      <c r="C406" s="18">
        <v>0</v>
      </c>
      <c r="D406" s="18">
        <v>30488.859769919898</v>
      </c>
      <c r="E406" s="18">
        <v>0</v>
      </c>
      <c r="F406" s="18">
        <v>23716.400000000001</v>
      </c>
      <c r="G406" s="18">
        <v>30488.859769919898</v>
      </c>
    </row>
    <row r="407" spans="1:7" ht="11.25" customHeight="1" x14ac:dyDescent="0.2">
      <c r="A407" s="28">
        <v>44317</v>
      </c>
      <c r="B407" s="18">
        <v>24117.300000000003</v>
      </c>
      <c r="C407" s="18">
        <v>0</v>
      </c>
      <c r="D407" s="18">
        <v>31004.240851439896</v>
      </c>
      <c r="E407" s="18">
        <v>0</v>
      </c>
      <c r="F407" s="18">
        <v>24117.300000000003</v>
      </c>
      <c r="G407" s="18">
        <v>31004.240851439896</v>
      </c>
    </row>
    <row r="408" spans="1:7" ht="11.25" customHeight="1" x14ac:dyDescent="0.2">
      <c r="A408" s="28">
        <v>44348</v>
      </c>
      <c r="B408" s="18">
        <v>26058.5</v>
      </c>
      <c r="C408" s="18">
        <v>0</v>
      </c>
      <c r="D408" s="18">
        <v>33499.770298799885</v>
      </c>
      <c r="E408" s="18">
        <v>0</v>
      </c>
      <c r="F408" s="18">
        <v>26058.5</v>
      </c>
      <c r="G408" s="18">
        <v>33499.770298799885</v>
      </c>
    </row>
    <row r="409" spans="1:7" ht="11.25" customHeight="1" x14ac:dyDescent="0.2">
      <c r="A409" s="28">
        <v>44378</v>
      </c>
      <c r="B409" s="18">
        <v>26053.225000000002</v>
      </c>
      <c r="C409" s="18">
        <v>0</v>
      </c>
      <c r="D409" s="18">
        <v>33492.988968779886</v>
      </c>
      <c r="E409" s="18">
        <v>0</v>
      </c>
      <c r="F409" s="18">
        <v>26053.225000000002</v>
      </c>
      <c r="G409" s="18">
        <v>33492.988968779886</v>
      </c>
    </row>
    <row r="410" spans="1:7" ht="11.25" customHeight="1" x14ac:dyDescent="0.2">
      <c r="A410" s="28">
        <v>44409</v>
      </c>
      <c r="B410" s="18">
        <v>26053.225000000002</v>
      </c>
      <c r="C410" s="18">
        <v>0</v>
      </c>
      <c r="D410" s="18">
        <v>33492.988968779886</v>
      </c>
      <c r="E410" s="18">
        <v>0</v>
      </c>
      <c r="F410" s="18">
        <v>26053.225000000002</v>
      </c>
      <c r="G410" s="18">
        <v>33492.988968779886</v>
      </c>
    </row>
    <row r="411" spans="1:7" ht="11.25" customHeight="1" x14ac:dyDescent="0.2">
      <c r="A411" s="28">
        <v>44440</v>
      </c>
      <c r="B411" s="18">
        <v>26069.050000000003</v>
      </c>
      <c r="C411" s="18">
        <v>0</v>
      </c>
      <c r="D411" s="18">
        <v>33513.332958839885</v>
      </c>
      <c r="E411" s="18">
        <v>0</v>
      </c>
      <c r="F411" s="18">
        <v>26069.050000000003</v>
      </c>
      <c r="G411" s="18">
        <v>33513.332958839885</v>
      </c>
    </row>
    <row r="412" spans="1:7" ht="11.25" customHeight="1" x14ac:dyDescent="0.2">
      <c r="A412" s="28">
        <v>44470</v>
      </c>
      <c r="B412" s="18">
        <v>23484.300000000003</v>
      </c>
      <c r="C412" s="18">
        <v>0</v>
      </c>
      <c r="D412" s="18">
        <v>30190.481249039898</v>
      </c>
      <c r="E412" s="18">
        <v>0</v>
      </c>
      <c r="F412" s="18">
        <v>23484.300000000003</v>
      </c>
      <c r="G412" s="18">
        <v>30190.481249039898</v>
      </c>
    </row>
    <row r="413" spans="1:7" ht="11.25" customHeight="1" x14ac:dyDescent="0.2">
      <c r="A413" s="28">
        <v>44501</v>
      </c>
      <c r="B413" s="18">
        <v>23589.800000000003</v>
      </c>
      <c r="C413" s="18">
        <v>0</v>
      </c>
      <c r="D413" s="18">
        <v>30326.107849439897</v>
      </c>
      <c r="E413" s="18">
        <v>0</v>
      </c>
      <c r="F413" s="18">
        <v>23589.800000000003</v>
      </c>
      <c r="G413" s="18">
        <v>30326.107849439897</v>
      </c>
    </row>
    <row r="414" spans="1:7" ht="11.25" customHeight="1" x14ac:dyDescent="0.2">
      <c r="A414" s="28">
        <v>44531</v>
      </c>
      <c r="B414" s="18">
        <v>23463.200000000001</v>
      </c>
      <c r="C414" s="18">
        <v>0</v>
      </c>
      <c r="D414" s="18">
        <v>30163.3559289599</v>
      </c>
      <c r="E414" s="18">
        <v>0</v>
      </c>
      <c r="F414" s="18">
        <v>23463.200000000001</v>
      </c>
      <c r="G414" s="18">
        <v>30163.3559289599</v>
      </c>
    </row>
    <row r="415" spans="1:7" ht="11.25" customHeight="1" x14ac:dyDescent="0.2">
      <c r="A415" s="28">
        <v>44562</v>
      </c>
      <c r="B415" s="18">
        <v>23125.600000000002</v>
      </c>
      <c r="C415" s="18">
        <v>0</v>
      </c>
      <c r="D415" s="18">
        <v>29729.350807679901</v>
      </c>
      <c r="E415" s="18">
        <v>0</v>
      </c>
      <c r="F415" s="18">
        <v>23125.600000000002</v>
      </c>
      <c r="G415" s="18">
        <v>29729.350807679901</v>
      </c>
    </row>
    <row r="416" spans="1:7" ht="11.25" customHeight="1" x14ac:dyDescent="0.2">
      <c r="A416" s="28">
        <v>44593</v>
      </c>
      <c r="B416" s="18">
        <v>23273.300000000003</v>
      </c>
      <c r="C416" s="18">
        <v>0</v>
      </c>
      <c r="D416" s="18">
        <v>29919.2280482399</v>
      </c>
      <c r="E416" s="18">
        <v>0</v>
      </c>
      <c r="F416" s="18">
        <v>23273.300000000003</v>
      </c>
      <c r="G416" s="18">
        <v>29919.2280482399</v>
      </c>
    </row>
    <row r="417" spans="1:7" ht="11.25" customHeight="1" x14ac:dyDescent="0.2">
      <c r="A417" s="28">
        <v>44621</v>
      </c>
      <c r="B417" s="18">
        <v>23273.300000000003</v>
      </c>
      <c r="C417" s="18">
        <v>0</v>
      </c>
      <c r="D417" s="18">
        <v>29919.2280482399</v>
      </c>
      <c r="E417" s="18">
        <v>0</v>
      </c>
      <c r="F417" s="18">
        <v>23273.300000000003</v>
      </c>
      <c r="G417" s="18">
        <v>29919.2280482399</v>
      </c>
    </row>
    <row r="418" spans="1:7" ht="11.25" customHeight="1" x14ac:dyDescent="0.2">
      <c r="A418" s="26" t="s">
        <v>73</v>
      </c>
      <c r="B418" s="18">
        <v>557040</v>
      </c>
      <c r="C418" s="18">
        <v>0</v>
      </c>
      <c r="D418" s="18">
        <v>716108.45011199755</v>
      </c>
      <c r="E418" s="18">
        <v>0</v>
      </c>
      <c r="F418" s="18">
        <v>557040</v>
      </c>
      <c r="G418" s="18">
        <v>716108.45011199755</v>
      </c>
    </row>
    <row r="419" spans="1:7" ht="11.25" customHeight="1" x14ac:dyDescent="0.2">
      <c r="A419" s="27" t="s">
        <v>25</v>
      </c>
      <c r="B419" s="18">
        <v>557040</v>
      </c>
      <c r="C419" s="18">
        <v>0</v>
      </c>
      <c r="D419" s="18">
        <v>716108.45011199755</v>
      </c>
      <c r="E419" s="18">
        <v>0</v>
      </c>
      <c r="F419" s="18">
        <v>557040</v>
      </c>
      <c r="G419" s="18">
        <v>716108.45011199755</v>
      </c>
    </row>
    <row r="420" spans="1:7" ht="11.25" customHeight="1" x14ac:dyDescent="0.2">
      <c r="A420" s="28">
        <v>44287</v>
      </c>
      <c r="B420" s="18">
        <v>52750</v>
      </c>
      <c r="C420" s="18">
        <v>0</v>
      </c>
      <c r="D420" s="18">
        <v>67813.30019999978</v>
      </c>
      <c r="E420" s="18">
        <v>0</v>
      </c>
      <c r="F420" s="18">
        <v>52750</v>
      </c>
      <c r="G420" s="18">
        <v>67813.30019999978</v>
      </c>
    </row>
    <row r="421" spans="1:7" ht="11.25" customHeight="1" x14ac:dyDescent="0.2">
      <c r="A421" s="28">
        <v>44317</v>
      </c>
      <c r="B421" s="18">
        <v>52750</v>
      </c>
      <c r="C421" s="18">
        <v>0</v>
      </c>
      <c r="D421" s="18">
        <v>67813.30019999978</v>
      </c>
      <c r="E421" s="18">
        <v>0</v>
      </c>
      <c r="F421" s="18">
        <v>52750</v>
      </c>
      <c r="G421" s="18">
        <v>67813.30019999978</v>
      </c>
    </row>
    <row r="422" spans="1:7" ht="11.25" customHeight="1" x14ac:dyDescent="0.2">
      <c r="A422" s="28">
        <v>44348</v>
      </c>
      <c r="B422" s="18">
        <v>52750</v>
      </c>
      <c r="C422" s="18">
        <v>0</v>
      </c>
      <c r="D422" s="18">
        <v>67813.30019999978</v>
      </c>
      <c r="E422" s="18">
        <v>0</v>
      </c>
      <c r="F422" s="18">
        <v>52750</v>
      </c>
      <c r="G422" s="18">
        <v>67813.30019999978</v>
      </c>
    </row>
    <row r="423" spans="1:7" ht="11.25" customHeight="1" x14ac:dyDescent="0.2">
      <c r="A423" s="28">
        <v>44378</v>
      </c>
      <c r="B423" s="18">
        <v>52750</v>
      </c>
      <c r="C423" s="18">
        <v>0</v>
      </c>
      <c r="D423" s="18">
        <v>67813.30019999978</v>
      </c>
      <c r="E423" s="18">
        <v>0</v>
      </c>
      <c r="F423" s="18">
        <v>52750</v>
      </c>
      <c r="G423" s="18">
        <v>67813.30019999978</v>
      </c>
    </row>
    <row r="424" spans="1:7" ht="11.25" customHeight="1" x14ac:dyDescent="0.2">
      <c r="A424" s="28">
        <v>44409</v>
      </c>
      <c r="B424" s="18">
        <v>43255</v>
      </c>
      <c r="C424" s="18">
        <v>0</v>
      </c>
      <c r="D424" s="18">
        <v>55606.906163999811</v>
      </c>
      <c r="E424" s="18">
        <v>0</v>
      </c>
      <c r="F424" s="18">
        <v>43255</v>
      </c>
      <c r="G424" s="18">
        <v>55606.906163999811</v>
      </c>
    </row>
    <row r="425" spans="1:7" ht="11.25" customHeight="1" x14ac:dyDescent="0.2">
      <c r="A425" s="28">
        <v>44440</v>
      </c>
      <c r="B425" s="18">
        <v>43255</v>
      </c>
      <c r="C425" s="18">
        <v>0</v>
      </c>
      <c r="D425" s="18">
        <v>55606.906163999811</v>
      </c>
      <c r="E425" s="18">
        <v>0</v>
      </c>
      <c r="F425" s="18">
        <v>43255</v>
      </c>
      <c r="G425" s="18">
        <v>55606.906163999811</v>
      </c>
    </row>
    <row r="426" spans="1:7" ht="11.25" customHeight="1" x14ac:dyDescent="0.2">
      <c r="A426" s="28">
        <v>44470</v>
      </c>
      <c r="B426" s="18">
        <v>43255</v>
      </c>
      <c r="C426" s="18">
        <v>0</v>
      </c>
      <c r="D426" s="18">
        <v>55606.906163999811</v>
      </c>
      <c r="E426" s="18">
        <v>0</v>
      </c>
      <c r="F426" s="18">
        <v>43255</v>
      </c>
      <c r="G426" s="18">
        <v>55606.906163999811</v>
      </c>
    </row>
    <row r="427" spans="1:7" ht="11.25" customHeight="1" x14ac:dyDescent="0.2">
      <c r="A427" s="28">
        <v>44501</v>
      </c>
      <c r="B427" s="18">
        <v>43255</v>
      </c>
      <c r="C427" s="18">
        <v>0</v>
      </c>
      <c r="D427" s="18">
        <v>55606.906163999811</v>
      </c>
      <c r="E427" s="18">
        <v>0</v>
      </c>
      <c r="F427" s="18">
        <v>43255</v>
      </c>
      <c r="G427" s="18">
        <v>55606.906163999811</v>
      </c>
    </row>
    <row r="428" spans="1:7" ht="11.25" customHeight="1" x14ac:dyDescent="0.2">
      <c r="A428" s="28">
        <v>44531</v>
      </c>
      <c r="B428" s="18">
        <v>43255</v>
      </c>
      <c r="C428" s="18">
        <v>0</v>
      </c>
      <c r="D428" s="18">
        <v>55606.906163999811</v>
      </c>
      <c r="E428" s="18">
        <v>0</v>
      </c>
      <c r="F428" s="18">
        <v>43255</v>
      </c>
      <c r="G428" s="18">
        <v>55606.906163999811</v>
      </c>
    </row>
    <row r="429" spans="1:7" ht="11.25" customHeight="1" x14ac:dyDescent="0.2">
      <c r="A429" s="28">
        <v>44562</v>
      </c>
      <c r="B429" s="18">
        <v>43255</v>
      </c>
      <c r="C429" s="18">
        <v>0</v>
      </c>
      <c r="D429" s="18">
        <v>55606.906163999811</v>
      </c>
      <c r="E429" s="18">
        <v>0</v>
      </c>
      <c r="F429" s="18">
        <v>43255</v>
      </c>
      <c r="G429" s="18">
        <v>55606.906163999811</v>
      </c>
    </row>
    <row r="430" spans="1:7" ht="11.25" customHeight="1" x14ac:dyDescent="0.2">
      <c r="A430" s="28">
        <v>44593</v>
      </c>
      <c r="B430" s="18">
        <v>43255</v>
      </c>
      <c r="C430" s="18">
        <v>0</v>
      </c>
      <c r="D430" s="18">
        <v>55606.906163999811</v>
      </c>
      <c r="E430" s="18">
        <v>0</v>
      </c>
      <c r="F430" s="18">
        <v>43255</v>
      </c>
      <c r="G430" s="18">
        <v>55606.906163999811</v>
      </c>
    </row>
    <row r="431" spans="1:7" ht="11.25" customHeight="1" x14ac:dyDescent="0.2">
      <c r="A431" s="28">
        <v>44621</v>
      </c>
      <c r="B431" s="18">
        <v>43255</v>
      </c>
      <c r="C431" s="18">
        <v>0</v>
      </c>
      <c r="D431" s="18">
        <v>55606.906163999811</v>
      </c>
      <c r="E431" s="18">
        <v>0</v>
      </c>
      <c r="F431" s="18">
        <v>43255</v>
      </c>
      <c r="G431" s="18">
        <v>55606.906163999811</v>
      </c>
    </row>
    <row r="432" spans="1:7" ht="11.25" customHeight="1" x14ac:dyDescent="0.2">
      <c r="A432" s="25" t="s">
        <v>25</v>
      </c>
      <c r="B432" s="18">
        <v>1899000</v>
      </c>
      <c r="C432" s="18">
        <v>0</v>
      </c>
      <c r="D432" s="18">
        <v>2441278.8071999918</v>
      </c>
      <c r="E432" s="18">
        <v>0</v>
      </c>
      <c r="F432" s="18">
        <v>1899000</v>
      </c>
      <c r="G432" s="18">
        <v>2441278.8071999918</v>
      </c>
    </row>
    <row r="433" spans="1:7" ht="11.25" customHeight="1" x14ac:dyDescent="0.2">
      <c r="A433" s="26" t="s">
        <v>74</v>
      </c>
      <c r="B433" s="18">
        <v>1899000</v>
      </c>
      <c r="C433" s="18">
        <v>0</v>
      </c>
      <c r="D433" s="18">
        <v>2441278.8071999918</v>
      </c>
      <c r="E433" s="18">
        <v>0</v>
      </c>
      <c r="F433" s="18">
        <v>1899000</v>
      </c>
      <c r="G433" s="18">
        <v>2441278.8071999918</v>
      </c>
    </row>
    <row r="434" spans="1:7" ht="11.25" customHeight="1" x14ac:dyDescent="0.2">
      <c r="A434" s="27" t="s">
        <v>25</v>
      </c>
      <c r="B434" s="18">
        <v>1899000</v>
      </c>
      <c r="C434" s="18">
        <v>0</v>
      </c>
      <c r="D434" s="18">
        <v>2441278.8071999918</v>
      </c>
      <c r="E434" s="18">
        <v>0</v>
      </c>
      <c r="F434" s="18">
        <v>1899000</v>
      </c>
      <c r="G434" s="18">
        <v>2441278.8071999918</v>
      </c>
    </row>
    <row r="435" spans="1:7" ht="11.25" customHeight="1" x14ac:dyDescent="0.2">
      <c r="A435" s="28">
        <v>44287</v>
      </c>
      <c r="B435" s="18">
        <v>158250</v>
      </c>
      <c r="C435" s="18">
        <v>0</v>
      </c>
      <c r="D435" s="18">
        <v>203439.90059999932</v>
      </c>
      <c r="E435" s="18">
        <v>0</v>
      </c>
      <c r="F435" s="18">
        <v>158250</v>
      </c>
      <c r="G435" s="18">
        <v>203439.90059999932</v>
      </c>
    </row>
    <row r="436" spans="1:7" ht="11.25" customHeight="1" x14ac:dyDescent="0.2">
      <c r="A436" s="28">
        <v>44317</v>
      </c>
      <c r="B436" s="18">
        <v>158250</v>
      </c>
      <c r="C436" s="18">
        <v>0</v>
      </c>
      <c r="D436" s="18">
        <v>203439.90059999932</v>
      </c>
      <c r="E436" s="18">
        <v>0</v>
      </c>
      <c r="F436" s="18">
        <v>158250</v>
      </c>
      <c r="G436" s="18">
        <v>203439.90059999932</v>
      </c>
    </row>
    <row r="437" spans="1:7" ht="11.25" customHeight="1" x14ac:dyDescent="0.2">
      <c r="A437" s="28">
        <v>44348</v>
      </c>
      <c r="B437" s="18">
        <v>158250</v>
      </c>
      <c r="C437" s="18">
        <v>0</v>
      </c>
      <c r="D437" s="18">
        <v>203439.90059999932</v>
      </c>
      <c r="E437" s="18">
        <v>0</v>
      </c>
      <c r="F437" s="18">
        <v>158250</v>
      </c>
      <c r="G437" s="18">
        <v>203439.90059999932</v>
      </c>
    </row>
    <row r="438" spans="1:7" ht="11.25" customHeight="1" x14ac:dyDescent="0.2">
      <c r="A438" s="28">
        <v>44378</v>
      </c>
      <c r="B438" s="18">
        <v>158250</v>
      </c>
      <c r="C438" s="18">
        <v>0</v>
      </c>
      <c r="D438" s="18">
        <v>203439.90059999932</v>
      </c>
      <c r="E438" s="18">
        <v>0</v>
      </c>
      <c r="F438" s="18">
        <v>158250</v>
      </c>
      <c r="G438" s="18">
        <v>203439.90059999932</v>
      </c>
    </row>
    <row r="439" spans="1:7" ht="11.25" customHeight="1" x14ac:dyDescent="0.2">
      <c r="A439" s="28">
        <v>44409</v>
      </c>
      <c r="B439" s="18">
        <v>158250</v>
      </c>
      <c r="C439" s="18">
        <v>0</v>
      </c>
      <c r="D439" s="18">
        <v>203439.90059999932</v>
      </c>
      <c r="E439" s="18">
        <v>0</v>
      </c>
      <c r="F439" s="18">
        <v>158250</v>
      </c>
      <c r="G439" s="18">
        <v>203439.90059999932</v>
      </c>
    </row>
    <row r="440" spans="1:7" ht="11.25" customHeight="1" x14ac:dyDescent="0.2">
      <c r="A440" s="28">
        <v>44440</v>
      </c>
      <c r="B440" s="18">
        <v>158250</v>
      </c>
      <c r="C440" s="18">
        <v>0</v>
      </c>
      <c r="D440" s="18">
        <v>203439.90059999932</v>
      </c>
      <c r="E440" s="18">
        <v>0</v>
      </c>
      <c r="F440" s="18">
        <v>158250</v>
      </c>
      <c r="G440" s="18">
        <v>203439.90059999932</v>
      </c>
    </row>
    <row r="441" spans="1:7" ht="11.25" customHeight="1" x14ac:dyDescent="0.2">
      <c r="A441" s="28">
        <v>44470</v>
      </c>
      <c r="B441" s="18">
        <v>158250</v>
      </c>
      <c r="C441" s="18">
        <v>0</v>
      </c>
      <c r="D441" s="18">
        <v>203439.90059999932</v>
      </c>
      <c r="E441" s="18">
        <v>0</v>
      </c>
      <c r="F441" s="18">
        <v>158250</v>
      </c>
      <c r="G441" s="18">
        <v>203439.90059999932</v>
      </c>
    </row>
    <row r="442" spans="1:7" ht="11.25" customHeight="1" x14ac:dyDescent="0.2">
      <c r="A442" s="28">
        <v>44501</v>
      </c>
      <c r="B442" s="18">
        <v>158250</v>
      </c>
      <c r="C442" s="18">
        <v>0</v>
      </c>
      <c r="D442" s="18">
        <v>203439.90059999932</v>
      </c>
      <c r="E442" s="18">
        <v>0</v>
      </c>
      <c r="F442" s="18">
        <v>158250</v>
      </c>
      <c r="G442" s="18">
        <v>203439.90059999932</v>
      </c>
    </row>
    <row r="443" spans="1:7" ht="11.25" customHeight="1" x14ac:dyDescent="0.2">
      <c r="A443" s="28">
        <v>44531</v>
      </c>
      <c r="B443" s="18">
        <v>158250</v>
      </c>
      <c r="C443" s="18">
        <v>0</v>
      </c>
      <c r="D443" s="18">
        <v>203439.90059999932</v>
      </c>
      <c r="E443" s="18">
        <v>0</v>
      </c>
      <c r="F443" s="18">
        <v>158250</v>
      </c>
      <c r="G443" s="18">
        <v>203439.90059999932</v>
      </c>
    </row>
    <row r="444" spans="1:7" ht="11.25" customHeight="1" x14ac:dyDescent="0.2">
      <c r="A444" s="28">
        <v>44562</v>
      </c>
      <c r="B444" s="18">
        <v>158250</v>
      </c>
      <c r="C444" s="18">
        <v>0</v>
      </c>
      <c r="D444" s="18">
        <v>203439.90059999932</v>
      </c>
      <c r="E444" s="18">
        <v>0</v>
      </c>
      <c r="F444" s="18">
        <v>158250</v>
      </c>
      <c r="G444" s="18">
        <v>203439.90059999932</v>
      </c>
    </row>
    <row r="445" spans="1:7" ht="11.25" customHeight="1" x14ac:dyDescent="0.2">
      <c r="A445" s="28">
        <v>44593</v>
      </c>
      <c r="B445" s="18">
        <v>158250</v>
      </c>
      <c r="C445" s="18">
        <v>0</v>
      </c>
      <c r="D445" s="18">
        <v>203439.90059999932</v>
      </c>
      <c r="E445" s="18">
        <v>0</v>
      </c>
      <c r="F445" s="18">
        <v>158250</v>
      </c>
      <c r="G445" s="18">
        <v>203439.90059999932</v>
      </c>
    </row>
    <row r="446" spans="1:7" ht="11.25" customHeight="1" x14ac:dyDescent="0.2">
      <c r="A446" s="28">
        <v>44621</v>
      </c>
      <c r="B446" s="18">
        <v>158250</v>
      </c>
      <c r="C446" s="18">
        <v>0</v>
      </c>
      <c r="D446" s="18">
        <v>203439.90059999932</v>
      </c>
      <c r="E446" s="18">
        <v>0</v>
      </c>
      <c r="F446" s="18">
        <v>158250</v>
      </c>
      <c r="G446" s="18">
        <v>203439.90059999932</v>
      </c>
    </row>
    <row r="447" spans="1:7" ht="11.25" customHeight="1" x14ac:dyDescent="0.2">
      <c r="A447" s="21" t="s">
        <v>41</v>
      </c>
      <c r="B447" s="18">
        <v>41911.800000000003</v>
      </c>
      <c r="C447" s="18">
        <v>0</v>
      </c>
      <c r="D447" s="18">
        <v>53524.871664934886</v>
      </c>
      <c r="E447" s="18">
        <v>0</v>
      </c>
      <c r="F447" s="18">
        <v>41911.800000000003</v>
      </c>
      <c r="G447" s="18">
        <v>53524.871664934886</v>
      </c>
    </row>
    <row r="448" spans="1:7" ht="11.25" customHeight="1" x14ac:dyDescent="0.2">
      <c r="A448" s="22" t="s">
        <v>69</v>
      </c>
      <c r="B448" s="18">
        <v>41911.800000000003</v>
      </c>
      <c r="C448" s="18">
        <v>0</v>
      </c>
      <c r="D448" s="18">
        <v>53524.871664934886</v>
      </c>
      <c r="E448" s="18">
        <v>0</v>
      </c>
      <c r="F448" s="18">
        <v>41911.800000000003</v>
      </c>
      <c r="G448" s="18">
        <v>53524.871664934886</v>
      </c>
    </row>
    <row r="449" spans="1:7" ht="11.25" customHeight="1" x14ac:dyDescent="0.2">
      <c r="A449" s="23" t="s">
        <v>25</v>
      </c>
      <c r="B449" s="18">
        <v>41911.800000000003</v>
      </c>
      <c r="C449" s="18">
        <v>0</v>
      </c>
      <c r="D449" s="18">
        <v>53524.871664934886</v>
      </c>
      <c r="E449" s="18">
        <v>0</v>
      </c>
      <c r="F449" s="18">
        <v>41911.800000000003</v>
      </c>
      <c r="G449" s="18">
        <v>53524.871664934886</v>
      </c>
    </row>
    <row r="450" spans="1:7" ht="11.25" customHeight="1" x14ac:dyDescent="0.2">
      <c r="A450" s="24" t="s">
        <v>25</v>
      </c>
      <c r="B450" s="18">
        <v>41911.800000000003</v>
      </c>
      <c r="C450" s="18">
        <v>0</v>
      </c>
      <c r="D450" s="18">
        <v>53524.871664934886</v>
      </c>
      <c r="E450" s="18">
        <v>0</v>
      </c>
      <c r="F450" s="18">
        <v>41911.800000000003</v>
      </c>
      <c r="G450" s="18">
        <v>53524.871664934886</v>
      </c>
    </row>
    <row r="451" spans="1:7" ht="11.25" customHeight="1" x14ac:dyDescent="0.2">
      <c r="A451" s="25" t="s">
        <v>70</v>
      </c>
      <c r="B451" s="18">
        <v>41911.800000000003</v>
      </c>
      <c r="C451" s="18">
        <v>0</v>
      </c>
      <c r="D451" s="18">
        <v>53524.871664934886</v>
      </c>
      <c r="E451" s="18">
        <v>0</v>
      </c>
      <c r="F451" s="18">
        <v>41911.800000000003</v>
      </c>
      <c r="G451" s="18">
        <v>53524.871664934886</v>
      </c>
    </row>
    <row r="452" spans="1:7" ht="11.25" customHeight="1" x14ac:dyDescent="0.2">
      <c r="A452" s="26" t="s">
        <v>76</v>
      </c>
      <c r="B452" s="18">
        <v>41911.800000000003</v>
      </c>
      <c r="C452" s="18">
        <v>0</v>
      </c>
      <c r="D452" s="18">
        <v>53524.871664934886</v>
      </c>
      <c r="E452" s="18">
        <v>0</v>
      </c>
      <c r="F452" s="18">
        <v>41911.800000000003</v>
      </c>
      <c r="G452" s="18">
        <v>53524.871664934886</v>
      </c>
    </row>
    <row r="453" spans="1:7" ht="11.25" customHeight="1" x14ac:dyDescent="0.2">
      <c r="A453" s="27" t="s">
        <v>25</v>
      </c>
      <c r="B453" s="18">
        <v>41911.800000000003</v>
      </c>
      <c r="C453" s="18">
        <v>0</v>
      </c>
      <c r="D453" s="18">
        <v>53524.871664934886</v>
      </c>
      <c r="E453" s="18">
        <v>0</v>
      </c>
      <c r="F453" s="18">
        <v>41911.800000000003</v>
      </c>
      <c r="G453" s="18">
        <v>53524.871664934886</v>
      </c>
    </row>
    <row r="454" spans="1:7" ht="11.25" customHeight="1" x14ac:dyDescent="0.2">
      <c r="A454" s="28">
        <v>44287</v>
      </c>
      <c r="B454" s="18">
        <v>12890.52</v>
      </c>
      <c r="C454" s="18">
        <v>0</v>
      </c>
      <c r="D454" s="18">
        <v>16462.271453248886</v>
      </c>
      <c r="E454" s="18">
        <v>0</v>
      </c>
      <c r="F454" s="18">
        <v>12890.52</v>
      </c>
      <c r="G454" s="18">
        <v>16462.271453248886</v>
      </c>
    </row>
    <row r="455" spans="1:7" ht="11.25" customHeight="1" x14ac:dyDescent="0.2">
      <c r="A455" s="28">
        <v>44317</v>
      </c>
      <c r="B455" s="18">
        <v>13219.24</v>
      </c>
      <c r="C455" s="18">
        <v>0</v>
      </c>
      <c r="D455" s="18">
        <v>16882.074368267982</v>
      </c>
      <c r="E455" s="18">
        <v>0</v>
      </c>
      <c r="F455" s="18">
        <v>13219.24</v>
      </c>
      <c r="G455" s="18">
        <v>16882.074368267982</v>
      </c>
    </row>
    <row r="456" spans="1:7" ht="11.25" customHeight="1" x14ac:dyDescent="0.2">
      <c r="A456" s="28">
        <v>44348</v>
      </c>
      <c r="B456" s="18">
        <v>5870</v>
      </c>
      <c r="C456" s="18">
        <v>0</v>
      </c>
      <c r="D456" s="18">
        <v>7496.4806253410225</v>
      </c>
      <c r="E456" s="18">
        <v>0</v>
      </c>
      <c r="F456" s="18">
        <v>5870</v>
      </c>
      <c r="G456" s="18">
        <v>7496.4806253410225</v>
      </c>
    </row>
    <row r="457" spans="1:7" ht="11.25" customHeight="1" x14ac:dyDescent="0.2">
      <c r="A457" s="28">
        <v>44378</v>
      </c>
      <c r="B457" s="18">
        <v>5870</v>
      </c>
      <c r="C457" s="18">
        <v>0</v>
      </c>
      <c r="D457" s="18">
        <v>7496.4806253410225</v>
      </c>
      <c r="E457" s="18">
        <v>0</v>
      </c>
      <c r="F457" s="18">
        <v>5870</v>
      </c>
      <c r="G457" s="18">
        <v>7496.4806253410225</v>
      </c>
    </row>
    <row r="458" spans="1:7" ht="11.25" customHeight="1" x14ac:dyDescent="0.2">
      <c r="A458" s="28">
        <v>44409</v>
      </c>
      <c r="B458" s="18">
        <v>3522</v>
      </c>
      <c r="C458" s="18">
        <v>0</v>
      </c>
      <c r="D458" s="18">
        <v>4497.8883752046131</v>
      </c>
      <c r="E458" s="18">
        <v>0</v>
      </c>
      <c r="F458" s="18">
        <v>3522</v>
      </c>
      <c r="G458" s="18">
        <v>4497.8883752046131</v>
      </c>
    </row>
    <row r="459" spans="1:7" ht="11.25" customHeight="1" x14ac:dyDescent="0.2">
      <c r="A459" s="28">
        <v>44501</v>
      </c>
      <c r="B459" s="18">
        <v>540.04</v>
      </c>
      <c r="C459" s="18">
        <v>0</v>
      </c>
      <c r="D459" s="18">
        <v>689.67621753137405</v>
      </c>
      <c r="E459" s="18">
        <v>0</v>
      </c>
      <c r="F459" s="18">
        <v>540.04</v>
      </c>
      <c r="G459" s="18">
        <v>689.67621753137405</v>
      </c>
    </row>
    <row r="460" spans="1:7" ht="11.25" customHeight="1" x14ac:dyDescent="0.2">
      <c r="A460" s="20" t="s">
        <v>1024</v>
      </c>
      <c r="B460" s="18">
        <v>0</v>
      </c>
      <c r="C460" s="18">
        <v>5976107.2399549801</v>
      </c>
      <c r="D460" s="18">
        <v>0</v>
      </c>
      <c r="E460" s="18">
        <v>6667741.5492292643</v>
      </c>
      <c r="F460" s="18">
        <v>5976107.2399549782</v>
      </c>
      <c r="G460" s="18">
        <v>6667741.5492292633</v>
      </c>
    </row>
    <row r="461" spans="1:7" ht="11.25" customHeight="1" x14ac:dyDescent="0.2">
      <c r="A461" s="21" t="s">
        <v>39</v>
      </c>
      <c r="B461" s="18">
        <v>0</v>
      </c>
      <c r="C461" s="18">
        <v>1592184.99132</v>
      </c>
      <c r="D461" s="18">
        <v>0</v>
      </c>
      <c r="E461" s="18">
        <v>1750064.2256174861</v>
      </c>
      <c r="F461" s="18">
        <v>1592184.99132</v>
      </c>
      <c r="G461" s="18">
        <v>1750064.2256174861</v>
      </c>
    </row>
    <row r="462" spans="1:7" ht="11.25" customHeight="1" x14ac:dyDescent="0.2">
      <c r="A462" s="22" t="s">
        <v>40</v>
      </c>
      <c r="B462" s="18">
        <v>0</v>
      </c>
      <c r="C462" s="18">
        <v>1592184.99132</v>
      </c>
      <c r="D462" s="18">
        <v>0</v>
      </c>
      <c r="E462" s="18">
        <v>1750064.2256174861</v>
      </c>
      <c r="F462" s="18">
        <v>1592184.99132</v>
      </c>
      <c r="G462" s="18">
        <v>1750064.2256174861</v>
      </c>
    </row>
    <row r="463" spans="1:7" ht="11.25" customHeight="1" x14ac:dyDescent="0.2">
      <c r="A463" s="23" t="s">
        <v>45</v>
      </c>
      <c r="B463" s="18">
        <v>0</v>
      </c>
      <c r="C463" s="18">
        <v>1592184.99132</v>
      </c>
      <c r="D463" s="18">
        <v>0</v>
      </c>
      <c r="E463" s="18">
        <v>1750064.2256174861</v>
      </c>
      <c r="F463" s="18">
        <v>1592184.99132</v>
      </c>
      <c r="G463" s="18">
        <v>1750064.2256174861</v>
      </c>
    </row>
    <row r="464" spans="1:7" ht="11.25" customHeight="1" x14ac:dyDescent="0.2">
      <c r="A464" s="24" t="s">
        <v>53</v>
      </c>
      <c r="B464" s="18">
        <v>0</v>
      </c>
      <c r="C464" s="18">
        <v>1592184.99132</v>
      </c>
      <c r="D464" s="18">
        <v>0</v>
      </c>
      <c r="E464" s="18">
        <v>1750064.2256174861</v>
      </c>
      <c r="F464" s="18">
        <v>1592184.99132</v>
      </c>
      <c r="G464" s="18">
        <v>1750064.2256174861</v>
      </c>
    </row>
    <row r="465" spans="1:7" ht="11.25" customHeight="1" x14ac:dyDescent="0.2">
      <c r="A465" s="25" t="s">
        <v>55</v>
      </c>
      <c r="B465" s="18">
        <v>0</v>
      </c>
      <c r="C465" s="18">
        <v>1592184.99132</v>
      </c>
      <c r="D465" s="18">
        <v>0</v>
      </c>
      <c r="E465" s="18">
        <v>1750064.2256174861</v>
      </c>
      <c r="F465" s="18">
        <v>1592184.99132</v>
      </c>
      <c r="G465" s="18">
        <v>1750064.2256174861</v>
      </c>
    </row>
    <row r="466" spans="1:7" ht="11.25" customHeight="1" x14ac:dyDescent="0.2">
      <c r="A466" s="26" t="s">
        <v>25</v>
      </c>
      <c r="B466" s="18">
        <v>0</v>
      </c>
      <c r="C466" s="18">
        <v>1592184.99132</v>
      </c>
      <c r="D466" s="18">
        <v>0</v>
      </c>
      <c r="E466" s="18">
        <v>1750064.2256174861</v>
      </c>
      <c r="F466" s="18">
        <v>1592184.99132</v>
      </c>
      <c r="G466" s="18">
        <v>1750064.2256174861</v>
      </c>
    </row>
    <row r="467" spans="1:7" ht="11.25" customHeight="1" x14ac:dyDescent="0.2">
      <c r="A467" s="27" t="s">
        <v>35</v>
      </c>
      <c r="B467" s="18">
        <v>0</v>
      </c>
      <c r="C467" s="18">
        <v>1592184.99132</v>
      </c>
      <c r="D467" s="18">
        <v>0</v>
      </c>
      <c r="E467" s="18">
        <v>1750064.2256174861</v>
      </c>
      <c r="F467" s="18">
        <v>1592184.99132</v>
      </c>
      <c r="G467" s="18">
        <v>1750064.2256174861</v>
      </c>
    </row>
    <row r="468" spans="1:7" ht="11.25" customHeight="1" x14ac:dyDescent="0.2">
      <c r="A468" s="28">
        <v>44287</v>
      </c>
      <c r="B468" s="18">
        <v>0</v>
      </c>
      <c r="C468" s="18">
        <v>119510.76555000001</v>
      </c>
      <c r="D468" s="18">
        <v>0</v>
      </c>
      <c r="E468" s="18">
        <v>131361.31574247335</v>
      </c>
      <c r="F468" s="18">
        <v>119510.76555000001</v>
      </c>
      <c r="G468" s="18">
        <v>131361.31574247335</v>
      </c>
    </row>
    <row r="469" spans="1:7" ht="11.25" customHeight="1" x14ac:dyDescent="0.2">
      <c r="A469" s="28">
        <v>44317</v>
      </c>
      <c r="B469" s="18">
        <v>0</v>
      </c>
      <c r="C469" s="18">
        <v>31165.507889999997</v>
      </c>
      <c r="D469" s="18">
        <v>0</v>
      </c>
      <c r="E469" s="18">
        <v>34255.843842787886</v>
      </c>
      <c r="F469" s="18">
        <v>31165.507889999997</v>
      </c>
      <c r="G469" s="18">
        <v>34255.843842787886</v>
      </c>
    </row>
    <row r="470" spans="1:7" ht="11.25" customHeight="1" x14ac:dyDescent="0.2">
      <c r="A470" s="28">
        <v>44348</v>
      </c>
      <c r="B470" s="18">
        <v>0</v>
      </c>
      <c r="C470" s="18">
        <v>28356.360120000005</v>
      </c>
      <c r="D470" s="18">
        <v>0</v>
      </c>
      <c r="E470" s="18">
        <v>31168.144207662968</v>
      </c>
      <c r="F470" s="18">
        <v>28356.360120000005</v>
      </c>
      <c r="G470" s="18">
        <v>31168.144207662968</v>
      </c>
    </row>
    <row r="471" spans="1:7" ht="11.25" customHeight="1" x14ac:dyDescent="0.2">
      <c r="A471" s="28">
        <v>44378</v>
      </c>
      <c r="B471" s="18">
        <v>0</v>
      </c>
      <c r="C471" s="18">
        <v>23430.941226000003</v>
      </c>
      <c r="D471" s="18">
        <v>0</v>
      </c>
      <c r="E471" s="18">
        <v>25754.326435505973</v>
      </c>
      <c r="F471" s="18">
        <v>23430.941226000003</v>
      </c>
      <c r="G471" s="18">
        <v>25754.326435505973</v>
      </c>
    </row>
    <row r="472" spans="1:7" ht="11.25" customHeight="1" x14ac:dyDescent="0.2">
      <c r="A472" s="28">
        <v>44409</v>
      </c>
      <c r="B472" s="18">
        <v>0</v>
      </c>
      <c r="C472" s="18">
        <v>25803.730061999999</v>
      </c>
      <c r="D472" s="18">
        <v>0</v>
      </c>
      <c r="E472" s="18">
        <v>28362.398286117692</v>
      </c>
      <c r="F472" s="18">
        <v>25803.730061999999</v>
      </c>
      <c r="G472" s="18">
        <v>28362.398286117692</v>
      </c>
    </row>
    <row r="473" spans="1:7" ht="11.25" customHeight="1" x14ac:dyDescent="0.2">
      <c r="A473" s="28">
        <v>44440</v>
      </c>
      <c r="B473" s="18">
        <v>0</v>
      </c>
      <c r="C473" s="18">
        <v>102371.478858</v>
      </c>
      <c r="D473" s="18">
        <v>0</v>
      </c>
      <c r="E473" s="18">
        <v>112522.51707536378</v>
      </c>
      <c r="F473" s="18">
        <v>102371.478858</v>
      </c>
      <c r="G473" s="18">
        <v>112522.51707536378</v>
      </c>
    </row>
    <row r="474" spans="1:7" ht="11.25" customHeight="1" x14ac:dyDescent="0.2">
      <c r="A474" s="28">
        <v>44470</v>
      </c>
      <c r="B474" s="18">
        <v>0</v>
      </c>
      <c r="C474" s="18">
        <v>205463.71672200001</v>
      </c>
      <c r="D474" s="18">
        <v>0</v>
      </c>
      <c r="E474" s="18">
        <v>225837.26279160078</v>
      </c>
      <c r="F474" s="18">
        <v>205463.71672200001</v>
      </c>
      <c r="G474" s="18">
        <v>225837.26279160078</v>
      </c>
    </row>
    <row r="475" spans="1:7" ht="11.25" customHeight="1" x14ac:dyDescent="0.2">
      <c r="A475" s="28">
        <v>44501</v>
      </c>
      <c r="B475" s="18">
        <v>0</v>
      </c>
      <c r="C475" s="18">
        <v>223219.20357000001</v>
      </c>
      <c r="D475" s="18">
        <v>0</v>
      </c>
      <c r="E475" s="18">
        <v>245353.36331415715</v>
      </c>
      <c r="F475" s="18">
        <v>223219.20357000001</v>
      </c>
      <c r="G475" s="18">
        <v>245353.36331415715</v>
      </c>
    </row>
    <row r="476" spans="1:7" ht="11.25" customHeight="1" x14ac:dyDescent="0.2">
      <c r="A476" s="28">
        <v>44531</v>
      </c>
      <c r="B476" s="18">
        <v>0</v>
      </c>
      <c r="C476" s="18">
        <v>173201.037966</v>
      </c>
      <c r="D476" s="18">
        <v>0</v>
      </c>
      <c r="E476" s="18">
        <v>190375.45388040436</v>
      </c>
      <c r="F476" s="18">
        <v>173201.037966</v>
      </c>
      <c r="G476" s="18">
        <v>190375.45388040436</v>
      </c>
    </row>
    <row r="477" spans="1:7" ht="11.25" customHeight="1" x14ac:dyDescent="0.2">
      <c r="A477" s="28">
        <v>44562</v>
      </c>
      <c r="B477" s="18">
        <v>0</v>
      </c>
      <c r="C477" s="18">
        <v>137980.50552000001</v>
      </c>
      <c r="D477" s="18">
        <v>0</v>
      </c>
      <c r="E477" s="18">
        <v>151662.4939059208</v>
      </c>
      <c r="F477" s="18">
        <v>137980.50552000001</v>
      </c>
      <c r="G477" s="18">
        <v>151662.4939059208</v>
      </c>
    </row>
    <row r="478" spans="1:7" ht="11.25" customHeight="1" x14ac:dyDescent="0.2">
      <c r="A478" s="28">
        <v>44593</v>
      </c>
      <c r="B478" s="18">
        <v>0</v>
      </c>
      <c r="C478" s="18">
        <v>260840.87191799999</v>
      </c>
      <c r="D478" s="18">
        <v>0</v>
      </c>
      <c r="E478" s="18">
        <v>286705.55306774576</v>
      </c>
      <c r="F478" s="18">
        <v>260840.87191799999</v>
      </c>
      <c r="G478" s="18">
        <v>286705.55306774576</v>
      </c>
    </row>
    <row r="479" spans="1:7" ht="11.25" customHeight="1" x14ac:dyDescent="0.2">
      <c r="A479" s="28">
        <v>44621</v>
      </c>
      <c r="B479" s="18">
        <v>0</v>
      </c>
      <c r="C479" s="18">
        <v>260840.87191799999</v>
      </c>
      <c r="D479" s="18">
        <v>0</v>
      </c>
      <c r="E479" s="18">
        <v>286705.55306774576</v>
      </c>
      <c r="F479" s="18">
        <v>260840.87191799999</v>
      </c>
      <c r="G479" s="18">
        <v>286705.55306774576</v>
      </c>
    </row>
    <row r="480" spans="1:7" ht="11.25" customHeight="1" x14ac:dyDescent="0.2">
      <c r="A480" s="21" t="s">
        <v>41</v>
      </c>
      <c r="B480" s="18">
        <v>0</v>
      </c>
      <c r="C480" s="18">
        <v>2861997.1191900005</v>
      </c>
      <c r="D480" s="18">
        <v>0</v>
      </c>
      <c r="E480" s="18">
        <v>3174264.388710293</v>
      </c>
      <c r="F480" s="18">
        <v>2861997.1191899995</v>
      </c>
      <c r="G480" s="18">
        <v>3174264.3887102925</v>
      </c>
    </row>
    <row r="481" spans="1:7" ht="11.25" customHeight="1" x14ac:dyDescent="0.2">
      <c r="A481" s="22" t="s">
        <v>42</v>
      </c>
      <c r="B481" s="18">
        <v>0</v>
      </c>
      <c r="C481" s="18">
        <v>2861997.1191900005</v>
      </c>
      <c r="D481" s="18">
        <v>0</v>
      </c>
      <c r="E481" s="18">
        <v>3174264.388710293</v>
      </c>
      <c r="F481" s="18">
        <v>2861997.1191899995</v>
      </c>
      <c r="G481" s="18">
        <v>3174264.3887102925</v>
      </c>
    </row>
    <row r="482" spans="1:7" ht="11.25" customHeight="1" x14ac:dyDescent="0.2">
      <c r="A482" s="23" t="s">
        <v>45</v>
      </c>
      <c r="B482" s="18">
        <v>0</v>
      </c>
      <c r="C482" s="18">
        <v>2861997.1191900005</v>
      </c>
      <c r="D482" s="18">
        <v>0</v>
      </c>
      <c r="E482" s="18">
        <v>3174264.388710293</v>
      </c>
      <c r="F482" s="18">
        <v>2861997.1191899995</v>
      </c>
      <c r="G482" s="18">
        <v>3174264.3887102925</v>
      </c>
    </row>
    <row r="483" spans="1:7" ht="11.25" customHeight="1" x14ac:dyDescent="0.2">
      <c r="A483" s="24" t="s">
        <v>53</v>
      </c>
      <c r="B483" s="18">
        <v>0</v>
      </c>
      <c r="C483" s="18">
        <v>2861997.1191900005</v>
      </c>
      <c r="D483" s="18">
        <v>0</v>
      </c>
      <c r="E483" s="18">
        <v>3174264.388710293</v>
      </c>
      <c r="F483" s="18">
        <v>2861997.1191899995</v>
      </c>
      <c r="G483" s="18">
        <v>3174264.3887102925</v>
      </c>
    </row>
    <row r="484" spans="1:7" ht="11.25" customHeight="1" x14ac:dyDescent="0.2">
      <c r="A484" s="25" t="s">
        <v>55</v>
      </c>
      <c r="B484" s="18">
        <v>0</v>
      </c>
      <c r="C484" s="18">
        <v>2861997.1191900005</v>
      </c>
      <c r="D484" s="18">
        <v>0</v>
      </c>
      <c r="E484" s="18">
        <v>3174264.388710293</v>
      </c>
      <c r="F484" s="18">
        <v>2861997.1191899995</v>
      </c>
      <c r="G484" s="18">
        <v>3174264.3887102925</v>
      </c>
    </row>
    <row r="485" spans="1:7" ht="11.25" customHeight="1" x14ac:dyDescent="0.2">
      <c r="A485" s="26" t="s">
        <v>25</v>
      </c>
      <c r="B485" s="18">
        <v>0</v>
      </c>
      <c r="C485" s="18">
        <v>2861997.1191900005</v>
      </c>
      <c r="D485" s="18">
        <v>0</v>
      </c>
      <c r="E485" s="18">
        <v>3174264.388710293</v>
      </c>
      <c r="F485" s="18">
        <v>2861997.1191899995</v>
      </c>
      <c r="G485" s="18">
        <v>3174264.3887102925</v>
      </c>
    </row>
    <row r="486" spans="1:7" ht="11.25" customHeight="1" x14ac:dyDescent="0.2">
      <c r="A486" s="27" t="s">
        <v>35</v>
      </c>
      <c r="B486" s="18">
        <v>0</v>
      </c>
      <c r="C486" s="18">
        <v>2861997.1191900005</v>
      </c>
      <c r="D486" s="18">
        <v>0</v>
      </c>
      <c r="E486" s="18">
        <v>3174264.388710293</v>
      </c>
      <c r="F486" s="18">
        <v>2861997.1191899995</v>
      </c>
      <c r="G486" s="18">
        <v>3174264.3887102925</v>
      </c>
    </row>
    <row r="487" spans="1:7" ht="11.25" customHeight="1" x14ac:dyDescent="0.2">
      <c r="A487" s="28">
        <v>44287</v>
      </c>
      <c r="B487" s="18">
        <v>0</v>
      </c>
      <c r="C487" s="18">
        <v>237061.31049</v>
      </c>
      <c r="D487" s="18">
        <v>0</v>
      </c>
      <c r="E487" s="18">
        <v>262926.63636306225</v>
      </c>
      <c r="F487" s="18">
        <v>237061.31049</v>
      </c>
      <c r="G487" s="18">
        <v>262926.63636306225</v>
      </c>
    </row>
    <row r="488" spans="1:7" ht="11.25" customHeight="1" x14ac:dyDescent="0.2">
      <c r="A488" s="28">
        <v>44317</v>
      </c>
      <c r="B488" s="18">
        <v>0</v>
      </c>
      <c r="C488" s="18">
        <v>82248.981767999998</v>
      </c>
      <c r="D488" s="18">
        <v>0</v>
      </c>
      <c r="E488" s="18">
        <v>91223.017690435401</v>
      </c>
      <c r="F488" s="18">
        <v>82248.981767999998</v>
      </c>
      <c r="G488" s="18">
        <v>91223.017690435401</v>
      </c>
    </row>
    <row r="489" spans="1:7" ht="11.25" customHeight="1" x14ac:dyDescent="0.2">
      <c r="A489" s="28">
        <v>44348</v>
      </c>
      <c r="B489" s="18">
        <v>0</v>
      </c>
      <c r="C489" s="18">
        <v>80016.486894000001</v>
      </c>
      <c r="D489" s="18">
        <v>0</v>
      </c>
      <c r="E489" s="18">
        <v>88746.939385184669</v>
      </c>
      <c r="F489" s="18">
        <v>80016.486894000001</v>
      </c>
      <c r="G489" s="18">
        <v>88746.939385184669</v>
      </c>
    </row>
    <row r="490" spans="1:7" ht="11.25" customHeight="1" x14ac:dyDescent="0.2">
      <c r="A490" s="28">
        <v>44378</v>
      </c>
      <c r="B490" s="18">
        <v>0</v>
      </c>
      <c r="C490" s="18">
        <v>87303.919427999994</v>
      </c>
      <c r="D490" s="18">
        <v>0</v>
      </c>
      <c r="E490" s="18">
        <v>96829.490350278531</v>
      </c>
      <c r="F490" s="18">
        <v>87303.919427999994</v>
      </c>
      <c r="G490" s="18">
        <v>96829.490350278531</v>
      </c>
    </row>
    <row r="491" spans="1:7" ht="11.25" customHeight="1" x14ac:dyDescent="0.2">
      <c r="A491" s="28">
        <v>44409</v>
      </c>
      <c r="B491" s="18">
        <v>0</v>
      </c>
      <c r="C491" s="18">
        <v>147570.20103600001</v>
      </c>
      <c r="D491" s="18">
        <v>0</v>
      </c>
      <c r="E491" s="18">
        <v>163671.31568461095</v>
      </c>
      <c r="F491" s="18">
        <v>147570.20103600001</v>
      </c>
      <c r="G491" s="18">
        <v>163671.31568461095</v>
      </c>
    </row>
    <row r="492" spans="1:7" ht="11.25" customHeight="1" x14ac:dyDescent="0.2">
      <c r="A492" s="28">
        <v>44440</v>
      </c>
      <c r="B492" s="18">
        <v>0</v>
      </c>
      <c r="C492" s="18">
        <v>220074.20848799997</v>
      </c>
      <c r="D492" s="18">
        <v>0</v>
      </c>
      <c r="E492" s="18">
        <v>244086.10274030344</v>
      </c>
      <c r="F492" s="18">
        <v>220074.20848799997</v>
      </c>
      <c r="G492" s="18">
        <v>244086.10274030344</v>
      </c>
    </row>
    <row r="493" spans="1:7" ht="11.25" customHeight="1" x14ac:dyDescent="0.2">
      <c r="A493" s="28">
        <v>44470</v>
      </c>
      <c r="B493" s="18">
        <v>0</v>
      </c>
      <c r="C493" s="18">
        <v>335056.92782400001</v>
      </c>
      <c r="D493" s="18">
        <v>0</v>
      </c>
      <c r="E493" s="18">
        <v>371614.37621691445</v>
      </c>
      <c r="F493" s="18">
        <v>335056.92782400001</v>
      </c>
      <c r="G493" s="18">
        <v>371614.37621691445</v>
      </c>
    </row>
    <row r="494" spans="1:7" ht="11.25" customHeight="1" x14ac:dyDescent="0.2">
      <c r="A494" s="28">
        <v>44501</v>
      </c>
      <c r="B494" s="18">
        <v>0</v>
      </c>
      <c r="C494" s="18">
        <v>319994.05075200007</v>
      </c>
      <c r="D494" s="18">
        <v>0</v>
      </c>
      <c r="E494" s="18">
        <v>354908.01618581056</v>
      </c>
      <c r="F494" s="18">
        <v>319994.05075200007</v>
      </c>
      <c r="G494" s="18">
        <v>354908.01618581056</v>
      </c>
    </row>
    <row r="495" spans="1:7" ht="11.25" customHeight="1" x14ac:dyDescent="0.2">
      <c r="A495" s="28">
        <v>44531</v>
      </c>
      <c r="B495" s="18">
        <v>0</v>
      </c>
      <c r="C495" s="18">
        <v>229004.68042800005</v>
      </c>
      <c r="D495" s="18">
        <v>0</v>
      </c>
      <c r="E495" s="18">
        <v>253990.96213497035</v>
      </c>
      <c r="F495" s="18">
        <v>229004.68042800005</v>
      </c>
      <c r="G495" s="18">
        <v>253990.96213497035</v>
      </c>
    </row>
    <row r="496" spans="1:7" ht="11.25" customHeight="1" x14ac:dyDescent="0.2">
      <c r="A496" s="28">
        <v>44562</v>
      </c>
      <c r="B496" s="18">
        <v>0</v>
      </c>
      <c r="C496" s="18">
        <v>234737.95969799999</v>
      </c>
      <c r="D496" s="18">
        <v>0</v>
      </c>
      <c r="E496" s="18">
        <v>260349.78901682355</v>
      </c>
      <c r="F496" s="18">
        <v>234737.95969799999</v>
      </c>
      <c r="G496" s="18">
        <v>260349.78901682355</v>
      </c>
    </row>
    <row r="497" spans="1:7" ht="11.25" customHeight="1" x14ac:dyDescent="0.2">
      <c r="A497" s="28">
        <v>44593</v>
      </c>
      <c r="B497" s="18">
        <v>0</v>
      </c>
      <c r="C497" s="18">
        <v>444464.19619199994</v>
      </c>
      <c r="D497" s="18">
        <v>0</v>
      </c>
      <c r="E497" s="18">
        <v>492958.87147094938</v>
      </c>
      <c r="F497" s="18">
        <v>444464.19619199994</v>
      </c>
      <c r="G497" s="18">
        <v>492958.87147094938</v>
      </c>
    </row>
    <row r="498" spans="1:7" ht="11.25" customHeight="1" x14ac:dyDescent="0.2">
      <c r="A498" s="28">
        <v>44621</v>
      </c>
      <c r="B498" s="18">
        <v>0</v>
      </c>
      <c r="C498" s="18">
        <v>444464.19619199994</v>
      </c>
      <c r="D498" s="18">
        <v>0</v>
      </c>
      <c r="E498" s="18">
        <v>492958.87147094938</v>
      </c>
      <c r="F498" s="18">
        <v>444464.19619199994</v>
      </c>
      <c r="G498" s="18">
        <v>492958.87147094938</v>
      </c>
    </row>
    <row r="499" spans="1:7" ht="11.25" customHeight="1" x14ac:dyDescent="0.2">
      <c r="A499" s="21" t="s">
        <v>44</v>
      </c>
      <c r="B499" s="18">
        <v>0</v>
      </c>
      <c r="C499" s="18">
        <v>1521925.1294449791</v>
      </c>
      <c r="D499" s="18">
        <v>0</v>
      </c>
      <c r="E499" s="18">
        <v>1743412.934901485</v>
      </c>
      <c r="F499" s="18">
        <v>1521925.1294449791</v>
      </c>
      <c r="G499" s="18">
        <v>1743412.9349014848</v>
      </c>
    </row>
    <row r="500" spans="1:7" ht="11.25" customHeight="1" x14ac:dyDescent="0.2">
      <c r="A500" s="22" t="s">
        <v>33</v>
      </c>
      <c r="B500" s="18">
        <v>0</v>
      </c>
      <c r="C500" s="18">
        <v>31782.604942978724</v>
      </c>
      <c r="D500" s="18">
        <v>0</v>
      </c>
      <c r="E500" s="18">
        <v>40441.143344897646</v>
      </c>
      <c r="F500" s="18">
        <v>31782.604942978724</v>
      </c>
      <c r="G500" s="18">
        <v>40441.143344897646</v>
      </c>
    </row>
    <row r="501" spans="1:7" ht="11.25" customHeight="1" x14ac:dyDescent="0.2">
      <c r="A501" s="23" t="s">
        <v>45</v>
      </c>
      <c r="B501" s="18">
        <v>0</v>
      </c>
      <c r="C501" s="18">
        <v>31782.604942978724</v>
      </c>
      <c r="D501" s="18">
        <v>0</v>
      </c>
      <c r="E501" s="18">
        <v>40441.143344897646</v>
      </c>
      <c r="F501" s="18">
        <v>31782.604942978724</v>
      </c>
      <c r="G501" s="18">
        <v>40441.143344897646</v>
      </c>
    </row>
    <row r="502" spans="1:7" ht="11.25" customHeight="1" x14ac:dyDescent="0.2">
      <c r="A502" s="24" t="s">
        <v>53</v>
      </c>
      <c r="B502" s="18">
        <v>0</v>
      </c>
      <c r="C502" s="18">
        <v>31782.604942978724</v>
      </c>
      <c r="D502" s="18">
        <v>0</v>
      </c>
      <c r="E502" s="18">
        <v>40441.143344897646</v>
      </c>
      <c r="F502" s="18">
        <v>31782.604942978724</v>
      </c>
      <c r="G502" s="18">
        <v>40441.143344897646</v>
      </c>
    </row>
    <row r="503" spans="1:7" ht="11.25" customHeight="1" x14ac:dyDescent="0.2">
      <c r="A503" s="25" t="s">
        <v>55</v>
      </c>
      <c r="B503" s="18">
        <v>0</v>
      </c>
      <c r="C503" s="18">
        <v>31782.604942978724</v>
      </c>
      <c r="D503" s="18">
        <v>0</v>
      </c>
      <c r="E503" s="18">
        <v>40441.143344897646</v>
      </c>
      <c r="F503" s="18">
        <v>31782.604942978724</v>
      </c>
      <c r="G503" s="18">
        <v>40441.143344897646</v>
      </c>
    </row>
    <row r="504" spans="1:7" ht="11.25" customHeight="1" x14ac:dyDescent="0.2">
      <c r="A504" s="26" t="s">
        <v>25</v>
      </c>
      <c r="B504" s="18">
        <v>0</v>
      </c>
      <c r="C504" s="18">
        <v>31782.604942978724</v>
      </c>
      <c r="D504" s="18">
        <v>0</v>
      </c>
      <c r="E504" s="18">
        <v>40441.143344897646</v>
      </c>
      <c r="F504" s="18">
        <v>31782.604942978724</v>
      </c>
      <c r="G504" s="18">
        <v>40441.143344897646</v>
      </c>
    </row>
    <row r="505" spans="1:7" ht="11.25" customHeight="1" x14ac:dyDescent="0.2">
      <c r="A505" s="27" t="s">
        <v>35</v>
      </c>
      <c r="B505" s="18">
        <v>0</v>
      </c>
      <c r="C505" s="18">
        <v>31782.604942978724</v>
      </c>
      <c r="D505" s="18">
        <v>0</v>
      </c>
      <c r="E505" s="18">
        <v>40441.143344897646</v>
      </c>
      <c r="F505" s="18">
        <v>31782.604942978724</v>
      </c>
      <c r="G505" s="18">
        <v>40441.143344897646</v>
      </c>
    </row>
    <row r="506" spans="1:7" ht="11.25" customHeight="1" x14ac:dyDescent="0.2">
      <c r="A506" s="28">
        <v>44593</v>
      </c>
      <c r="B506" s="18">
        <v>0</v>
      </c>
      <c r="C506" s="18">
        <v>15891.302471489362</v>
      </c>
      <c r="D506" s="18">
        <v>0</v>
      </c>
      <c r="E506" s="18">
        <v>20220.571672448823</v>
      </c>
      <c r="F506" s="18">
        <v>15891.302471489362</v>
      </c>
      <c r="G506" s="18">
        <v>20220.571672448823</v>
      </c>
    </row>
    <row r="507" spans="1:7" ht="11.25" customHeight="1" x14ac:dyDescent="0.2">
      <c r="A507" s="28">
        <v>44621</v>
      </c>
      <c r="B507" s="18">
        <v>0</v>
      </c>
      <c r="C507" s="18">
        <v>15891.302471489362</v>
      </c>
      <c r="D507" s="18">
        <v>0</v>
      </c>
      <c r="E507" s="18">
        <v>20220.571672448823</v>
      </c>
      <c r="F507" s="18">
        <v>15891.302471489362</v>
      </c>
      <c r="G507" s="18">
        <v>20220.571672448823</v>
      </c>
    </row>
    <row r="508" spans="1:7" ht="11.25" customHeight="1" x14ac:dyDescent="0.2">
      <c r="A508" s="22" t="s">
        <v>23</v>
      </c>
      <c r="B508" s="18">
        <v>0</v>
      </c>
      <c r="C508" s="18">
        <v>1490142.5245020003</v>
      </c>
      <c r="D508" s="18">
        <v>0</v>
      </c>
      <c r="E508" s="18">
        <v>1702971.7915565872</v>
      </c>
      <c r="F508" s="18">
        <v>1490142.5245020003</v>
      </c>
      <c r="G508" s="18">
        <v>1702971.7915565874</v>
      </c>
    </row>
    <row r="509" spans="1:7" ht="11.25" customHeight="1" x14ac:dyDescent="0.2">
      <c r="A509" s="23" t="s">
        <v>45</v>
      </c>
      <c r="B509" s="18">
        <v>0</v>
      </c>
      <c r="C509" s="18">
        <v>1490142.5245020003</v>
      </c>
      <c r="D509" s="18">
        <v>0</v>
      </c>
      <c r="E509" s="18">
        <v>1702971.7915565872</v>
      </c>
      <c r="F509" s="18">
        <v>1490142.5245020003</v>
      </c>
      <c r="G509" s="18">
        <v>1702971.7915565874</v>
      </c>
    </row>
    <row r="510" spans="1:7" ht="11.25" customHeight="1" x14ac:dyDescent="0.2">
      <c r="A510" s="24" t="s">
        <v>53</v>
      </c>
      <c r="B510" s="18">
        <v>0</v>
      </c>
      <c r="C510" s="18">
        <v>1490142.5245020003</v>
      </c>
      <c r="D510" s="18">
        <v>0</v>
      </c>
      <c r="E510" s="18">
        <v>1702971.7915565872</v>
      </c>
      <c r="F510" s="18">
        <v>1490142.5245020003</v>
      </c>
      <c r="G510" s="18">
        <v>1702971.7915565874</v>
      </c>
    </row>
    <row r="511" spans="1:7" ht="11.25" customHeight="1" x14ac:dyDescent="0.2">
      <c r="A511" s="25" t="s">
        <v>55</v>
      </c>
      <c r="B511" s="18">
        <v>0</v>
      </c>
      <c r="C511" s="18">
        <v>1490142.5245020003</v>
      </c>
      <c r="D511" s="18">
        <v>0</v>
      </c>
      <c r="E511" s="18">
        <v>1702971.7915565872</v>
      </c>
      <c r="F511" s="18">
        <v>1490142.5245020003</v>
      </c>
      <c r="G511" s="18">
        <v>1702971.7915565874</v>
      </c>
    </row>
    <row r="512" spans="1:7" ht="11.25" customHeight="1" x14ac:dyDescent="0.2">
      <c r="A512" s="26" t="s">
        <v>25</v>
      </c>
      <c r="B512" s="18">
        <v>0</v>
      </c>
      <c r="C512" s="18">
        <v>1490142.5245020003</v>
      </c>
      <c r="D512" s="18">
        <v>0</v>
      </c>
      <c r="E512" s="18">
        <v>1702971.7915565872</v>
      </c>
      <c r="F512" s="18">
        <v>1490142.5245020003</v>
      </c>
      <c r="G512" s="18">
        <v>1702971.7915565874</v>
      </c>
    </row>
    <row r="513" spans="1:7" ht="11.25" customHeight="1" x14ac:dyDescent="0.2">
      <c r="A513" s="27" t="s">
        <v>25</v>
      </c>
      <c r="B513" s="18">
        <v>0</v>
      </c>
      <c r="C513" s="18">
        <v>1490142.5245020003</v>
      </c>
      <c r="D513" s="18">
        <v>0</v>
      </c>
      <c r="E513" s="18">
        <v>1702971.7915565872</v>
      </c>
      <c r="F513" s="18">
        <v>1490142.5245020003</v>
      </c>
      <c r="G513" s="18">
        <v>1702971.7915565874</v>
      </c>
    </row>
    <row r="514" spans="1:7" ht="11.25" customHeight="1" x14ac:dyDescent="0.2">
      <c r="A514" s="28">
        <v>44287</v>
      </c>
      <c r="B514" s="18">
        <v>0</v>
      </c>
      <c r="C514" s="18">
        <v>143242.34148600005</v>
      </c>
      <c r="D514" s="18">
        <v>0</v>
      </c>
      <c r="E514" s="18">
        <v>163700.89632110659</v>
      </c>
      <c r="F514" s="18">
        <v>143242.34148600005</v>
      </c>
      <c r="G514" s="18">
        <v>163700.89632110659</v>
      </c>
    </row>
    <row r="515" spans="1:7" ht="11.25" customHeight="1" x14ac:dyDescent="0.2">
      <c r="A515" s="28">
        <v>44317</v>
      </c>
      <c r="B515" s="18">
        <v>0</v>
      </c>
      <c r="C515" s="18">
        <v>52867.65982980001</v>
      </c>
      <c r="D515" s="18">
        <v>0</v>
      </c>
      <c r="E515" s="18">
        <v>60418.471317599062</v>
      </c>
      <c r="F515" s="18">
        <v>52867.65982980001</v>
      </c>
      <c r="G515" s="18">
        <v>60418.471317599062</v>
      </c>
    </row>
    <row r="516" spans="1:7" ht="11.25" customHeight="1" x14ac:dyDescent="0.2">
      <c r="A516" s="28">
        <v>44348</v>
      </c>
      <c r="B516" s="18">
        <v>0</v>
      </c>
      <c r="C516" s="18">
        <v>48227.739070800002</v>
      </c>
      <c r="D516" s="18">
        <v>0</v>
      </c>
      <c r="E516" s="18">
        <v>55115.854931776812</v>
      </c>
      <c r="F516" s="18">
        <v>48227.739070800002</v>
      </c>
      <c r="G516" s="18">
        <v>55115.854931776812</v>
      </c>
    </row>
    <row r="517" spans="1:7" ht="11.25" customHeight="1" x14ac:dyDescent="0.2">
      <c r="A517" s="28">
        <v>44378</v>
      </c>
      <c r="B517" s="18">
        <v>0</v>
      </c>
      <c r="C517" s="18">
        <v>40179.899402399999</v>
      </c>
      <c r="D517" s="18">
        <v>0</v>
      </c>
      <c r="E517" s="18">
        <v>45918.584393621029</v>
      </c>
      <c r="F517" s="18">
        <v>40179.899402399999</v>
      </c>
      <c r="G517" s="18">
        <v>45918.584393621029</v>
      </c>
    </row>
    <row r="518" spans="1:7" ht="11.25" customHeight="1" x14ac:dyDescent="0.2">
      <c r="A518" s="28">
        <v>44409</v>
      </c>
      <c r="B518" s="18">
        <v>0</v>
      </c>
      <c r="C518" s="18">
        <v>42680.190512400019</v>
      </c>
      <c r="D518" s="18">
        <v>0</v>
      </c>
      <c r="E518" s="18">
        <v>48775.979012590586</v>
      </c>
      <c r="F518" s="18">
        <v>42680.190512400019</v>
      </c>
      <c r="G518" s="18">
        <v>48775.979012590586</v>
      </c>
    </row>
    <row r="519" spans="1:7" ht="11.25" customHeight="1" x14ac:dyDescent="0.2">
      <c r="A519" s="28">
        <v>44440</v>
      </c>
      <c r="B519" s="18">
        <v>0</v>
      </c>
      <c r="C519" s="18">
        <v>98696.447023200017</v>
      </c>
      <c r="D519" s="18">
        <v>0</v>
      </c>
      <c r="E519" s="18">
        <v>112792.74461584773</v>
      </c>
      <c r="F519" s="18">
        <v>98696.447023200017</v>
      </c>
      <c r="G519" s="18">
        <v>112792.74461584773</v>
      </c>
    </row>
    <row r="520" spans="1:7" ht="11.25" customHeight="1" x14ac:dyDescent="0.2">
      <c r="A520" s="28">
        <v>44470</v>
      </c>
      <c r="B520" s="18">
        <v>0</v>
      </c>
      <c r="C520" s="18">
        <v>173510.02485780005</v>
      </c>
      <c r="D520" s="18">
        <v>0</v>
      </c>
      <c r="E520" s="18">
        <v>198291.55468458621</v>
      </c>
      <c r="F520" s="18">
        <v>173510.02485780005</v>
      </c>
      <c r="G520" s="18">
        <v>198291.55468458621</v>
      </c>
    </row>
    <row r="521" spans="1:7" ht="11.25" customHeight="1" x14ac:dyDescent="0.2">
      <c r="A521" s="28">
        <v>44501</v>
      </c>
      <c r="B521" s="18">
        <v>0</v>
      </c>
      <c r="C521" s="18">
        <v>168805.05227700004</v>
      </c>
      <c r="D521" s="18">
        <v>0</v>
      </c>
      <c r="E521" s="18">
        <v>192914.59546531469</v>
      </c>
      <c r="F521" s="18">
        <v>168805.05227700004</v>
      </c>
      <c r="G521" s="18">
        <v>192914.59546531469</v>
      </c>
    </row>
    <row r="522" spans="1:7" ht="11.25" customHeight="1" x14ac:dyDescent="0.2">
      <c r="A522" s="28">
        <v>44531</v>
      </c>
      <c r="B522" s="18">
        <v>0</v>
      </c>
      <c r="C522" s="18">
        <v>157190.42564460004</v>
      </c>
      <c r="D522" s="18">
        <v>0</v>
      </c>
      <c r="E522" s="18">
        <v>179641.11242646957</v>
      </c>
      <c r="F522" s="18">
        <v>157190.42564460004</v>
      </c>
      <c r="G522" s="18">
        <v>179641.11242646957</v>
      </c>
    </row>
    <row r="523" spans="1:7" ht="11.25" customHeight="1" x14ac:dyDescent="0.2">
      <c r="A523" s="28">
        <v>44562</v>
      </c>
      <c r="B523" s="18">
        <v>0</v>
      </c>
      <c r="C523" s="18">
        <v>142651.12220760001</v>
      </c>
      <c r="D523" s="18">
        <v>0</v>
      </c>
      <c r="E523" s="18">
        <v>163025.23628377146</v>
      </c>
      <c r="F523" s="18">
        <v>142651.12220760001</v>
      </c>
      <c r="G523" s="18">
        <v>163025.23628377146</v>
      </c>
    </row>
    <row r="524" spans="1:7" ht="11.25" customHeight="1" x14ac:dyDescent="0.2">
      <c r="A524" s="28">
        <v>44593</v>
      </c>
      <c r="B524" s="18">
        <v>0</v>
      </c>
      <c r="C524" s="18">
        <v>211045.81109520001</v>
      </c>
      <c r="D524" s="18">
        <v>0</v>
      </c>
      <c r="E524" s="18">
        <v>241188.38105195184</v>
      </c>
      <c r="F524" s="18">
        <v>211045.81109520001</v>
      </c>
      <c r="G524" s="18">
        <v>241188.38105195184</v>
      </c>
    </row>
    <row r="525" spans="1:7" ht="11.25" customHeight="1" x14ac:dyDescent="0.2">
      <c r="A525" s="28">
        <v>44621</v>
      </c>
      <c r="B525" s="18">
        <v>0</v>
      </c>
      <c r="C525" s="18">
        <v>211045.81109520001</v>
      </c>
      <c r="D525" s="18">
        <v>0</v>
      </c>
      <c r="E525" s="18">
        <v>241188.38105195184</v>
      </c>
      <c r="F525" s="18">
        <v>211045.81109520001</v>
      </c>
      <c r="G525" s="18">
        <v>241188.38105195184</v>
      </c>
    </row>
    <row r="526" spans="1:7" ht="11.25" customHeight="1" x14ac:dyDescent="0.2">
      <c r="A526" s="20" t="s">
        <v>1023</v>
      </c>
      <c r="B526" s="18">
        <v>224017.69920000012</v>
      </c>
      <c r="C526" s="18">
        <v>4535530.4961022437</v>
      </c>
      <c r="D526" s="18">
        <v>255116.03569641535</v>
      </c>
      <c r="E526" s="18">
        <v>2925976.0131043172</v>
      </c>
      <c r="F526" s="18">
        <v>4759548.1953022433</v>
      </c>
      <c r="G526" s="18">
        <v>3181092.0488007329</v>
      </c>
    </row>
    <row r="527" spans="1:7" ht="11.25" customHeight="1" x14ac:dyDescent="0.2">
      <c r="A527" s="21" t="s">
        <v>39</v>
      </c>
      <c r="B527" s="18">
        <v>15109.385200000002</v>
      </c>
      <c r="C527" s="18">
        <v>66333.484544400053</v>
      </c>
      <c r="D527" s="18">
        <v>14913.185279743624</v>
      </c>
      <c r="E527" s="18">
        <v>72896.759936576054</v>
      </c>
      <c r="F527" s="18">
        <v>81442.869744400057</v>
      </c>
      <c r="G527" s="18">
        <v>87809.945216319684</v>
      </c>
    </row>
    <row r="528" spans="1:7" ht="11.25" customHeight="1" x14ac:dyDescent="0.2">
      <c r="A528" s="22" t="s">
        <v>40</v>
      </c>
      <c r="B528" s="18">
        <v>15109.385200000002</v>
      </c>
      <c r="C528" s="18">
        <v>66333.484544400053</v>
      </c>
      <c r="D528" s="18">
        <v>14913.185279743624</v>
      </c>
      <c r="E528" s="18">
        <v>72896.759936576054</v>
      </c>
      <c r="F528" s="18">
        <v>81442.869744400057</v>
      </c>
      <c r="G528" s="18">
        <v>87809.945216319684</v>
      </c>
    </row>
    <row r="529" spans="1:7" ht="11.25" customHeight="1" x14ac:dyDescent="0.2">
      <c r="A529" s="23" t="s">
        <v>45</v>
      </c>
      <c r="B529" s="18">
        <v>15109.385200000002</v>
      </c>
      <c r="C529" s="18">
        <v>66333.484544400053</v>
      </c>
      <c r="D529" s="18">
        <v>14913.185279743624</v>
      </c>
      <c r="E529" s="18">
        <v>72896.759936576054</v>
      </c>
      <c r="F529" s="18">
        <v>81442.869744400057</v>
      </c>
      <c r="G529" s="18">
        <v>87809.945216319684</v>
      </c>
    </row>
    <row r="530" spans="1:7" ht="11.25" customHeight="1" x14ac:dyDescent="0.2">
      <c r="A530" s="24" t="s">
        <v>53</v>
      </c>
      <c r="B530" s="18">
        <v>15109.385200000002</v>
      </c>
      <c r="C530" s="18">
        <v>66333.484544400053</v>
      </c>
      <c r="D530" s="18">
        <v>14913.185279743624</v>
      </c>
      <c r="E530" s="18">
        <v>72896.759936576054</v>
      </c>
      <c r="F530" s="18">
        <v>81442.869744400057</v>
      </c>
      <c r="G530" s="18">
        <v>87809.945216319684</v>
      </c>
    </row>
    <row r="531" spans="1:7" ht="11.25" customHeight="1" x14ac:dyDescent="0.2">
      <c r="A531" s="25" t="s">
        <v>25</v>
      </c>
      <c r="B531" s="18">
        <v>15109.385200000002</v>
      </c>
      <c r="C531" s="18">
        <v>66333.484544400053</v>
      </c>
      <c r="D531" s="18">
        <v>14913.185279743624</v>
      </c>
      <c r="E531" s="18">
        <v>72896.759936576054</v>
      </c>
      <c r="F531" s="18">
        <v>81442.869744400057</v>
      </c>
      <c r="G531" s="18">
        <v>87809.945216319684</v>
      </c>
    </row>
    <row r="532" spans="1:7" ht="11.25" customHeight="1" x14ac:dyDescent="0.2">
      <c r="A532" s="26" t="s">
        <v>25</v>
      </c>
      <c r="B532" s="18">
        <v>15109.385200000002</v>
      </c>
      <c r="C532" s="18">
        <v>66333.484544400053</v>
      </c>
      <c r="D532" s="18">
        <v>14913.185279743624</v>
      </c>
      <c r="E532" s="18">
        <v>72896.759936576054</v>
      </c>
      <c r="F532" s="18">
        <v>81442.869744400057</v>
      </c>
      <c r="G532" s="18">
        <v>87809.945216319684</v>
      </c>
    </row>
    <row r="533" spans="1:7" ht="11.25" customHeight="1" x14ac:dyDescent="0.2">
      <c r="A533" s="27" t="s">
        <v>35</v>
      </c>
      <c r="B533" s="18">
        <v>14807.847600000012</v>
      </c>
      <c r="C533" s="18">
        <v>65825.346730000078</v>
      </c>
      <c r="D533" s="18">
        <v>14564.897925647989</v>
      </c>
      <c r="E533" s="18">
        <v>72352.512477544966</v>
      </c>
      <c r="F533" s="18">
        <v>80633.194330000086</v>
      </c>
      <c r="G533" s="18">
        <v>86917.41040319296</v>
      </c>
    </row>
    <row r="534" spans="1:7" ht="11.25" customHeight="1" x14ac:dyDescent="0.2">
      <c r="A534" s="28">
        <v>44287</v>
      </c>
      <c r="B534" s="18">
        <v>1746.844800000003</v>
      </c>
      <c r="C534" s="18">
        <v>4485.3423120000025</v>
      </c>
      <c r="D534" s="18">
        <v>1718.1846336633689</v>
      </c>
      <c r="E534" s="18">
        <v>4930.1037019397436</v>
      </c>
      <c r="F534" s="18">
        <v>6232.1871120000051</v>
      </c>
      <c r="G534" s="18">
        <v>6648.2883356031125</v>
      </c>
    </row>
    <row r="535" spans="1:7" ht="11.25" customHeight="1" x14ac:dyDescent="0.2">
      <c r="A535" s="28">
        <v>44317</v>
      </c>
      <c r="B535" s="18">
        <v>489.56160000000011</v>
      </c>
      <c r="C535" s="18">
        <v>104.96159520000018</v>
      </c>
      <c r="D535" s="18">
        <v>481.52945147253581</v>
      </c>
      <c r="E535" s="18">
        <v>115.36946637775844</v>
      </c>
      <c r="F535" s="18">
        <v>594.52319520000026</v>
      </c>
      <c r="G535" s="18">
        <v>596.89891785029431</v>
      </c>
    </row>
    <row r="536" spans="1:7" ht="11.25" customHeight="1" x14ac:dyDescent="0.2">
      <c r="A536" s="28">
        <v>44348</v>
      </c>
      <c r="B536" s="18">
        <v>478.43520000000098</v>
      </c>
      <c r="C536" s="18">
        <v>88.294140000000141</v>
      </c>
      <c r="D536" s="18">
        <v>470.58560030270638</v>
      </c>
      <c r="E536" s="18">
        <v>97.049285471254876</v>
      </c>
      <c r="F536" s="18">
        <v>566.72934000000112</v>
      </c>
      <c r="G536" s="18">
        <v>567.63488577396129</v>
      </c>
    </row>
    <row r="537" spans="1:7" ht="11.25" customHeight="1" x14ac:dyDescent="0.2">
      <c r="A537" s="28">
        <v>44378</v>
      </c>
      <c r="B537" s="18">
        <v>489.56160000000011</v>
      </c>
      <c r="C537" s="18">
        <v>91.144336800000005</v>
      </c>
      <c r="D537" s="18">
        <v>481.52945147253581</v>
      </c>
      <c r="E537" s="18">
        <v>100.18210451102857</v>
      </c>
      <c r="F537" s="18">
        <v>580.70593680000013</v>
      </c>
      <c r="G537" s="18">
        <v>581.71155598356438</v>
      </c>
    </row>
    <row r="538" spans="1:7" ht="11.25" customHeight="1" x14ac:dyDescent="0.2">
      <c r="A538" s="28">
        <v>44409</v>
      </c>
      <c r="B538" s="18">
        <v>489.56160000000011</v>
      </c>
      <c r="C538" s="18">
        <v>86.125512000000143</v>
      </c>
      <c r="D538" s="18">
        <v>481.52945147253581</v>
      </c>
      <c r="E538" s="18">
        <v>94.665618810557405</v>
      </c>
      <c r="F538" s="18">
        <v>575.6871120000003</v>
      </c>
      <c r="G538" s="18">
        <v>576.19507028309317</v>
      </c>
    </row>
    <row r="539" spans="1:7" ht="11.25" customHeight="1" x14ac:dyDescent="0.2">
      <c r="A539" s="28">
        <v>44440</v>
      </c>
      <c r="B539" s="18">
        <v>1390.8</v>
      </c>
      <c r="C539" s="18">
        <v>3059.4384216000012</v>
      </c>
      <c r="D539" s="18">
        <v>1367.9813962287947</v>
      </c>
      <c r="E539" s="18">
        <v>3362.8088201502778</v>
      </c>
      <c r="F539" s="18">
        <v>4450.2384216000009</v>
      </c>
      <c r="G539" s="18">
        <v>4730.7902163790723</v>
      </c>
    </row>
    <row r="540" spans="1:7" ht="11.25" customHeight="1" x14ac:dyDescent="0.2">
      <c r="A540" s="28">
        <v>44470</v>
      </c>
      <c r="B540" s="18">
        <v>1757.9711999999981</v>
      </c>
      <c r="C540" s="18">
        <v>9169.7646744000049</v>
      </c>
      <c r="D540" s="18">
        <v>1729.1284848331945</v>
      </c>
      <c r="E540" s="18">
        <v>10079.028003331514</v>
      </c>
      <c r="F540" s="18">
        <v>10927.735874400003</v>
      </c>
      <c r="G540" s="18">
        <v>11808.156488164708</v>
      </c>
    </row>
    <row r="541" spans="1:7" ht="11.25" customHeight="1" x14ac:dyDescent="0.2">
      <c r="A541" s="28">
        <v>44501</v>
      </c>
      <c r="B541" s="18">
        <v>2102.8896000000059</v>
      </c>
      <c r="C541" s="18">
        <v>10673.7391728</v>
      </c>
      <c r="D541" s="18">
        <v>2068.3878710979434</v>
      </c>
      <c r="E541" s="18">
        <v>11732.134884906081</v>
      </c>
      <c r="F541" s="18">
        <v>12776.628772800006</v>
      </c>
      <c r="G541" s="18">
        <v>13800.522756004026</v>
      </c>
    </row>
    <row r="542" spans="1:7" ht="11.25" customHeight="1" x14ac:dyDescent="0.2">
      <c r="A542" s="28">
        <v>44531</v>
      </c>
      <c r="B542" s="18">
        <v>2114.0160000000064</v>
      </c>
      <c r="C542" s="18">
        <v>7195.8175079999928</v>
      </c>
      <c r="D542" s="18">
        <v>2079.3317222677742</v>
      </c>
      <c r="E542" s="18">
        <v>7909.3465040029168</v>
      </c>
      <c r="F542" s="18">
        <v>9309.8335079999997</v>
      </c>
      <c r="G542" s="18">
        <v>9988.6782262706911</v>
      </c>
    </row>
    <row r="543" spans="1:7" ht="11.25" customHeight="1" x14ac:dyDescent="0.2">
      <c r="A543" s="28">
        <v>44562</v>
      </c>
      <c r="B543" s="18">
        <v>210.01080000000005</v>
      </c>
      <c r="C543" s="18">
        <v>5355.261617199998</v>
      </c>
      <c r="D543" s="18">
        <v>206.56519083054806</v>
      </c>
      <c r="E543" s="18">
        <v>5886.2832058944778</v>
      </c>
      <c r="F543" s="18">
        <v>5565.272417199998</v>
      </c>
      <c r="G543" s="18">
        <v>6092.8483967250259</v>
      </c>
    </row>
    <row r="544" spans="1:7" ht="11.25" customHeight="1" x14ac:dyDescent="0.2">
      <c r="A544" s="28">
        <v>44593</v>
      </c>
      <c r="B544" s="18">
        <v>1769.0975999999985</v>
      </c>
      <c r="C544" s="18">
        <v>12757.728720000043</v>
      </c>
      <c r="D544" s="18">
        <v>1740.0723360030254</v>
      </c>
      <c r="E544" s="18">
        <v>14022.770441074677</v>
      </c>
      <c r="F544" s="18">
        <v>14526.826320000042</v>
      </c>
      <c r="G544" s="18">
        <v>15762.842777077703</v>
      </c>
    </row>
    <row r="545" spans="1:7" ht="11.25" customHeight="1" x14ac:dyDescent="0.2">
      <c r="A545" s="28">
        <v>44621</v>
      </c>
      <c r="B545" s="18">
        <v>1769.0975999999985</v>
      </c>
      <c r="C545" s="18">
        <v>12757.728720000043</v>
      </c>
      <c r="D545" s="18">
        <v>1740.0723360030254</v>
      </c>
      <c r="E545" s="18">
        <v>14022.770441074677</v>
      </c>
      <c r="F545" s="18">
        <v>14526.826320000042</v>
      </c>
      <c r="G545" s="18">
        <v>15762.842777077703</v>
      </c>
    </row>
    <row r="546" spans="1:7" ht="11.25" customHeight="1" x14ac:dyDescent="0.2">
      <c r="A546" s="27" t="s">
        <v>34</v>
      </c>
      <c r="B546" s="18">
        <v>301.53760000000028</v>
      </c>
      <c r="C546" s="18">
        <v>508.13781439999917</v>
      </c>
      <c r="D546" s="18">
        <v>348.28735409564297</v>
      </c>
      <c r="E546" s="18">
        <v>544.24745903108567</v>
      </c>
      <c r="F546" s="18">
        <v>809.67541439999945</v>
      </c>
      <c r="G546" s="18">
        <v>892.53481312672864</v>
      </c>
    </row>
    <row r="547" spans="1:7" ht="11.25" customHeight="1" x14ac:dyDescent="0.2">
      <c r="A547" s="28">
        <v>44287</v>
      </c>
      <c r="B547" s="18">
        <v>27.206400000000023</v>
      </c>
      <c r="C547" s="18">
        <v>17.916710400000007</v>
      </c>
      <c r="D547" s="18">
        <v>31.424422925922684</v>
      </c>
      <c r="E547" s="18">
        <v>19.189920200900211</v>
      </c>
      <c r="F547" s="18">
        <v>45.12311040000003</v>
      </c>
      <c r="G547" s="18">
        <v>50.614343126822895</v>
      </c>
    </row>
    <row r="548" spans="1:7" ht="11.25" customHeight="1" x14ac:dyDescent="0.2">
      <c r="A548" s="28">
        <v>44317</v>
      </c>
      <c r="B548" s="18">
        <v>27.206400000000023</v>
      </c>
      <c r="C548" s="18">
        <v>17.531404799999976</v>
      </c>
      <c r="D548" s="18">
        <v>31.424422925922684</v>
      </c>
      <c r="E548" s="18">
        <v>18.777233744966843</v>
      </c>
      <c r="F548" s="18">
        <v>44.737804799999999</v>
      </c>
      <c r="G548" s="18">
        <v>50.201656670889527</v>
      </c>
    </row>
    <row r="549" spans="1:7" ht="11.25" customHeight="1" x14ac:dyDescent="0.2">
      <c r="A549" s="28">
        <v>44348</v>
      </c>
      <c r="B549" s="18">
        <v>27.206400000000023</v>
      </c>
      <c r="C549" s="18">
        <v>17.338752000000049</v>
      </c>
      <c r="D549" s="18">
        <v>31.424422925922684</v>
      </c>
      <c r="E549" s="18">
        <v>18.570890517000255</v>
      </c>
      <c r="F549" s="18">
        <v>44.545152000000073</v>
      </c>
      <c r="G549" s="18">
        <v>49.995313442922935</v>
      </c>
    </row>
    <row r="550" spans="1:7" ht="11.25" customHeight="1" x14ac:dyDescent="0.2">
      <c r="A550" s="28">
        <v>44378</v>
      </c>
      <c r="B550" s="18">
        <v>27.206400000000023</v>
      </c>
      <c r="C550" s="18">
        <v>18.879974399999988</v>
      </c>
      <c r="D550" s="18">
        <v>31.424422925922684</v>
      </c>
      <c r="E550" s="18">
        <v>20.221636340733539</v>
      </c>
      <c r="F550" s="18">
        <v>46.086374400000011</v>
      </c>
      <c r="G550" s="18">
        <v>51.646059266656223</v>
      </c>
    </row>
    <row r="551" spans="1:7" ht="11.25" customHeight="1" x14ac:dyDescent="0.2">
      <c r="A551" s="28">
        <v>44409</v>
      </c>
      <c r="B551" s="18">
        <v>27.206400000000023</v>
      </c>
      <c r="C551" s="18">
        <v>18.783647999999978</v>
      </c>
      <c r="D551" s="18">
        <v>31.424422925922684</v>
      </c>
      <c r="E551" s="18">
        <v>20.118464726750197</v>
      </c>
      <c r="F551" s="18">
        <v>45.990048000000002</v>
      </c>
      <c r="G551" s="18">
        <v>51.542887652672881</v>
      </c>
    </row>
    <row r="552" spans="1:7" ht="11.25" customHeight="1" x14ac:dyDescent="0.2">
      <c r="A552" s="28">
        <v>44440</v>
      </c>
      <c r="B552" s="18">
        <v>27.206400000000023</v>
      </c>
      <c r="C552" s="18">
        <v>18.494668799999957</v>
      </c>
      <c r="D552" s="18">
        <v>31.424422925922684</v>
      </c>
      <c r="E552" s="18">
        <v>19.808949884800167</v>
      </c>
      <c r="F552" s="18">
        <v>45.70106879999998</v>
      </c>
      <c r="G552" s="18">
        <v>51.233372810722855</v>
      </c>
    </row>
    <row r="553" spans="1:7" ht="11.25" customHeight="1" x14ac:dyDescent="0.2">
      <c r="A553" s="28">
        <v>44470</v>
      </c>
      <c r="B553" s="18">
        <v>27.206400000000023</v>
      </c>
      <c r="C553" s="18">
        <v>17.338752000000049</v>
      </c>
      <c r="D553" s="18">
        <v>31.424422925922684</v>
      </c>
      <c r="E553" s="18">
        <v>18.570890517000255</v>
      </c>
      <c r="F553" s="18">
        <v>44.545152000000073</v>
      </c>
      <c r="G553" s="18">
        <v>49.995313442922935</v>
      </c>
    </row>
    <row r="554" spans="1:7" ht="11.25" customHeight="1" x14ac:dyDescent="0.2">
      <c r="A554" s="28">
        <v>44501</v>
      </c>
      <c r="B554" s="18">
        <v>27.206400000000023</v>
      </c>
      <c r="C554" s="18">
        <v>17.242425600000043</v>
      </c>
      <c r="D554" s="18">
        <v>31.424422925922684</v>
      </c>
      <c r="E554" s="18">
        <v>18.467718903016912</v>
      </c>
      <c r="F554" s="18">
        <v>44.448825600000063</v>
      </c>
      <c r="G554" s="18">
        <v>49.8921418289396</v>
      </c>
    </row>
    <row r="555" spans="1:7" ht="11.25" customHeight="1" x14ac:dyDescent="0.2">
      <c r="A555" s="28">
        <v>44531</v>
      </c>
      <c r="B555" s="18">
        <v>27.206400000000023</v>
      </c>
      <c r="C555" s="18">
        <v>19.746912000000052</v>
      </c>
      <c r="D555" s="18">
        <v>31.424422925922684</v>
      </c>
      <c r="E555" s="18">
        <v>21.150180866583618</v>
      </c>
      <c r="F555" s="18">
        <v>46.953312000000075</v>
      </c>
      <c r="G555" s="18">
        <v>52.574603792506302</v>
      </c>
    </row>
    <row r="556" spans="1:7" ht="11.25" customHeight="1" x14ac:dyDescent="0.2">
      <c r="A556" s="28">
        <v>44562</v>
      </c>
      <c r="B556" s="18">
        <v>2.2672000000000021</v>
      </c>
      <c r="C556" s="18">
        <v>18.510723199999973</v>
      </c>
      <c r="D556" s="18">
        <v>2.6187019104935572</v>
      </c>
      <c r="E556" s="18">
        <v>19.826145153797412</v>
      </c>
      <c r="F556" s="18">
        <v>20.777923199999975</v>
      </c>
      <c r="G556" s="18">
        <v>22.444847064290968</v>
      </c>
    </row>
    <row r="557" spans="1:7" ht="11.25" customHeight="1" x14ac:dyDescent="0.2">
      <c r="A557" s="28">
        <v>44593</v>
      </c>
      <c r="B557" s="18">
        <v>27.206400000000023</v>
      </c>
      <c r="C557" s="18">
        <v>163.17692159999956</v>
      </c>
      <c r="D557" s="18">
        <v>31.424422925922684</v>
      </c>
      <c r="E557" s="18">
        <v>174.77271408776809</v>
      </c>
      <c r="F557" s="18">
        <v>190.38332159999959</v>
      </c>
      <c r="G557" s="18">
        <v>206.19713701369079</v>
      </c>
    </row>
    <row r="558" spans="1:7" ht="11.25" customHeight="1" x14ac:dyDescent="0.2">
      <c r="A558" s="28">
        <v>44621</v>
      </c>
      <c r="B558" s="18">
        <v>27.206400000000023</v>
      </c>
      <c r="C558" s="18">
        <v>163.17692159999956</v>
      </c>
      <c r="D558" s="18">
        <v>31.424422925922684</v>
      </c>
      <c r="E558" s="18">
        <v>174.77271408776809</v>
      </c>
      <c r="F558" s="18">
        <v>190.38332159999959</v>
      </c>
      <c r="G558" s="18">
        <v>206.19713701369079</v>
      </c>
    </row>
    <row r="559" spans="1:7" ht="11.25" customHeight="1" x14ac:dyDescent="0.2">
      <c r="A559" s="21" t="s">
        <v>41</v>
      </c>
      <c r="B559" s="18">
        <v>208908.31400000016</v>
      </c>
      <c r="C559" s="18">
        <v>454890.74332720012</v>
      </c>
      <c r="D559" s="18">
        <v>240202.85041667172</v>
      </c>
      <c r="E559" s="18">
        <v>507941.31441558042</v>
      </c>
      <c r="F559" s="18">
        <v>663799.05732720043</v>
      </c>
      <c r="G559" s="18">
        <v>748144.16483225208</v>
      </c>
    </row>
    <row r="560" spans="1:7" ht="11.25" customHeight="1" x14ac:dyDescent="0.2">
      <c r="A560" s="22" t="s">
        <v>40</v>
      </c>
      <c r="B560" s="18">
        <v>27486.673600000006</v>
      </c>
      <c r="C560" s="18">
        <v>50636.630659599956</v>
      </c>
      <c r="D560" s="18">
        <v>32849.879884176291</v>
      </c>
      <c r="E560" s="18">
        <v>56050.570047769601</v>
      </c>
      <c r="F560" s="18">
        <v>78123.304259599958</v>
      </c>
      <c r="G560" s="18">
        <v>88900.449931945885</v>
      </c>
    </row>
    <row r="561" spans="1:7" ht="11.25" customHeight="1" x14ac:dyDescent="0.2">
      <c r="A561" s="23" t="s">
        <v>45</v>
      </c>
      <c r="B561" s="18">
        <v>27486.673600000006</v>
      </c>
      <c r="C561" s="18">
        <v>50636.630659599956</v>
      </c>
      <c r="D561" s="18">
        <v>32849.879884176291</v>
      </c>
      <c r="E561" s="18">
        <v>56050.570047769601</v>
      </c>
      <c r="F561" s="18">
        <v>78123.304259599958</v>
      </c>
      <c r="G561" s="18">
        <v>88900.449931945885</v>
      </c>
    </row>
    <row r="562" spans="1:7" ht="11.25" customHeight="1" x14ac:dyDescent="0.2">
      <c r="A562" s="24" t="s">
        <v>25</v>
      </c>
      <c r="B562" s="18">
        <v>27486.673600000006</v>
      </c>
      <c r="C562" s="18">
        <v>50636.630659599956</v>
      </c>
      <c r="D562" s="18">
        <v>32849.879884176291</v>
      </c>
      <c r="E562" s="18">
        <v>56050.570047769601</v>
      </c>
      <c r="F562" s="18">
        <v>78123.304259599958</v>
      </c>
      <c r="G562" s="18">
        <v>88900.449931945885</v>
      </c>
    </row>
    <row r="563" spans="1:7" ht="11.25" customHeight="1" x14ac:dyDescent="0.2">
      <c r="A563" s="25" t="s">
        <v>25</v>
      </c>
      <c r="B563" s="18">
        <v>27486.673600000006</v>
      </c>
      <c r="C563" s="18">
        <v>50636.630659599956</v>
      </c>
      <c r="D563" s="18">
        <v>32849.879884176291</v>
      </c>
      <c r="E563" s="18">
        <v>56050.570047769601</v>
      </c>
      <c r="F563" s="18">
        <v>78123.304259599958</v>
      </c>
      <c r="G563" s="18">
        <v>88900.449931945885</v>
      </c>
    </row>
    <row r="564" spans="1:7" ht="11.25" customHeight="1" x14ac:dyDescent="0.2">
      <c r="A564" s="26" t="s">
        <v>25</v>
      </c>
      <c r="B564" s="18">
        <v>27486.673600000006</v>
      </c>
      <c r="C564" s="18">
        <v>50636.630659599956</v>
      </c>
      <c r="D564" s="18">
        <v>32849.879884176291</v>
      </c>
      <c r="E564" s="18">
        <v>56050.570047769601</v>
      </c>
      <c r="F564" s="18">
        <v>78123.304259599958</v>
      </c>
      <c r="G564" s="18">
        <v>88900.449931945885</v>
      </c>
    </row>
    <row r="565" spans="1:7" ht="11.25" customHeight="1" x14ac:dyDescent="0.2">
      <c r="A565" s="27" t="s">
        <v>35</v>
      </c>
      <c r="B565" s="18">
        <v>10649.724800000002</v>
      </c>
      <c r="C565" s="18">
        <v>46996.644833599959</v>
      </c>
      <c r="D565" s="18">
        <v>12171.933115392467</v>
      </c>
      <c r="E565" s="18">
        <v>52124.362768884494</v>
      </c>
      <c r="F565" s="18">
        <v>57646.369633599963</v>
      </c>
      <c r="G565" s="18">
        <v>64296.295884276959</v>
      </c>
    </row>
    <row r="566" spans="1:7" ht="11.25" customHeight="1" x14ac:dyDescent="0.2">
      <c r="A566" s="28">
        <v>44287</v>
      </c>
      <c r="B566" s="18">
        <v>884.88399999999945</v>
      </c>
      <c r="C566" s="18">
        <v>3557.9735591999888</v>
      </c>
      <c r="D566" s="18">
        <v>1011.3640554243185</v>
      </c>
      <c r="E566" s="18">
        <v>3946.177544769067</v>
      </c>
      <c r="F566" s="18">
        <v>4442.8575591999879</v>
      </c>
      <c r="G566" s="18">
        <v>4957.5416001933854</v>
      </c>
    </row>
    <row r="567" spans="1:7" ht="11.25" customHeight="1" x14ac:dyDescent="0.2">
      <c r="A567" s="28">
        <v>44317</v>
      </c>
      <c r="B567" s="18">
        <v>842.09839999999963</v>
      </c>
      <c r="C567" s="18">
        <v>3609.1986783999969</v>
      </c>
      <c r="D567" s="18">
        <v>962.46293626094507</v>
      </c>
      <c r="E567" s="18">
        <v>4002.9917430062915</v>
      </c>
      <c r="F567" s="18">
        <v>4451.2970783999963</v>
      </c>
      <c r="G567" s="18">
        <v>4965.4546792672363</v>
      </c>
    </row>
    <row r="568" spans="1:7" ht="11.25" customHeight="1" x14ac:dyDescent="0.2">
      <c r="A568" s="28">
        <v>44348</v>
      </c>
      <c r="B568" s="18">
        <v>817.78839999999957</v>
      </c>
      <c r="C568" s="18">
        <v>3518.0637087999949</v>
      </c>
      <c r="D568" s="18">
        <v>934.67820946357369</v>
      </c>
      <c r="E568" s="18">
        <v>3901.9132036088249</v>
      </c>
      <c r="F568" s="18">
        <v>4335.8521087999943</v>
      </c>
      <c r="G568" s="18">
        <v>4836.5914130723986</v>
      </c>
    </row>
    <row r="569" spans="1:7" ht="11.25" customHeight="1" x14ac:dyDescent="0.2">
      <c r="A569" s="28">
        <v>44378</v>
      </c>
      <c r="B569" s="18">
        <v>848.90519999999901</v>
      </c>
      <c r="C569" s="18">
        <v>3428.4826736000041</v>
      </c>
      <c r="D569" s="18">
        <v>970.24265976420838</v>
      </c>
      <c r="E569" s="18">
        <v>3802.5581455507609</v>
      </c>
      <c r="F569" s="18">
        <v>4277.3878736000033</v>
      </c>
      <c r="G569" s="18">
        <v>4772.8008053149697</v>
      </c>
    </row>
    <row r="570" spans="1:7" ht="11.25" customHeight="1" x14ac:dyDescent="0.2">
      <c r="A570" s="28">
        <v>44409</v>
      </c>
      <c r="B570" s="18">
        <v>882.93920000000116</v>
      </c>
      <c r="C570" s="18">
        <v>4137.8975</v>
      </c>
      <c r="D570" s="18">
        <v>1009.1412772805309</v>
      </c>
      <c r="E570" s="18">
        <v>4589.3759257524143</v>
      </c>
      <c r="F570" s="18">
        <v>5020.8367000000017</v>
      </c>
      <c r="G570" s="18">
        <v>5598.517203032945</v>
      </c>
    </row>
    <row r="571" spans="1:7" ht="11.25" customHeight="1" x14ac:dyDescent="0.2">
      <c r="A571" s="28">
        <v>44440</v>
      </c>
      <c r="B571" s="18">
        <v>904.33200000000102</v>
      </c>
      <c r="C571" s="18">
        <v>4532.6734399999959</v>
      </c>
      <c r="D571" s="18">
        <v>1033.5918368622176</v>
      </c>
      <c r="E571" s="18">
        <v>5027.2251463051853</v>
      </c>
      <c r="F571" s="18">
        <v>5437.0054399999972</v>
      </c>
      <c r="G571" s="18">
        <v>6060.8169831674031</v>
      </c>
    </row>
    <row r="572" spans="1:7" ht="11.25" customHeight="1" x14ac:dyDescent="0.2">
      <c r="A572" s="28">
        <v>44470</v>
      </c>
      <c r="B572" s="18">
        <v>933.50399999999945</v>
      </c>
      <c r="C572" s="18">
        <v>4173.8021391999973</v>
      </c>
      <c r="D572" s="18">
        <v>1066.9335090190614</v>
      </c>
      <c r="E572" s="18">
        <v>4629.1980544463459</v>
      </c>
      <c r="F572" s="18">
        <v>5107.3061391999963</v>
      </c>
      <c r="G572" s="18">
        <v>5696.1315634654075</v>
      </c>
    </row>
    <row r="573" spans="1:7" ht="11.25" customHeight="1" x14ac:dyDescent="0.2">
      <c r="A573" s="28">
        <v>44501</v>
      </c>
      <c r="B573" s="18">
        <v>939.33839999999964</v>
      </c>
      <c r="C573" s="18">
        <v>3999.3565879999887</v>
      </c>
      <c r="D573" s="18">
        <v>1073.6018434504308</v>
      </c>
      <c r="E573" s="18">
        <v>4435.7190683110111</v>
      </c>
      <c r="F573" s="18">
        <v>4938.6949879999884</v>
      </c>
      <c r="G573" s="18">
        <v>5509.3209117614424</v>
      </c>
    </row>
    <row r="574" spans="1:7" ht="11.25" customHeight="1" x14ac:dyDescent="0.2">
      <c r="A574" s="28">
        <v>44531</v>
      </c>
      <c r="B574" s="18">
        <v>869.32559999999978</v>
      </c>
      <c r="C574" s="18">
        <v>4372.3555600000082</v>
      </c>
      <c r="D574" s="18">
        <v>993.58183027400116</v>
      </c>
      <c r="E574" s="18">
        <v>4849.4152757272868</v>
      </c>
      <c r="F574" s="18">
        <v>5241.6811600000083</v>
      </c>
      <c r="G574" s="18">
        <v>5842.9971060012876</v>
      </c>
    </row>
    <row r="575" spans="1:7" ht="11.25" customHeight="1" x14ac:dyDescent="0.2">
      <c r="A575" s="28">
        <v>44562</v>
      </c>
      <c r="B575" s="18">
        <v>910.16640000000132</v>
      </c>
      <c r="C575" s="18">
        <v>3870.7521016000055</v>
      </c>
      <c r="D575" s="18">
        <v>1040.2601712935868</v>
      </c>
      <c r="E575" s="18">
        <v>4293.0827816877118</v>
      </c>
      <c r="F575" s="18">
        <v>4780.9185016000065</v>
      </c>
      <c r="G575" s="18">
        <v>5333.3429529812984</v>
      </c>
    </row>
    <row r="576" spans="1:7" ht="11.25" customHeight="1" x14ac:dyDescent="0.2">
      <c r="A576" s="28">
        <v>44593</v>
      </c>
      <c r="B576" s="18">
        <v>908.22160000000031</v>
      </c>
      <c r="C576" s="18">
        <v>3898.0444423999907</v>
      </c>
      <c r="D576" s="18">
        <v>1038.0373931497961</v>
      </c>
      <c r="E576" s="18">
        <v>4323.3529398597984</v>
      </c>
      <c r="F576" s="18">
        <v>4806.2660423999914</v>
      </c>
      <c r="G576" s="18">
        <v>5361.3903330095945</v>
      </c>
    </row>
    <row r="577" spans="1:7" ht="11.25" customHeight="1" x14ac:dyDescent="0.2">
      <c r="A577" s="28">
        <v>44621</v>
      </c>
      <c r="B577" s="18">
        <v>908.22160000000031</v>
      </c>
      <c r="C577" s="18">
        <v>3898.0444423999907</v>
      </c>
      <c r="D577" s="18">
        <v>1038.0373931497961</v>
      </c>
      <c r="E577" s="18">
        <v>4323.3529398597984</v>
      </c>
      <c r="F577" s="18">
        <v>4806.2660423999914</v>
      </c>
      <c r="G577" s="18">
        <v>5361.3903330095945</v>
      </c>
    </row>
    <row r="578" spans="1:7" ht="11.25" customHeight="1" x14ac:dyDescent="0.2">
      <c r="A578" s="27" t="s">
        <v>34</v>
      </c>
      <c r="B578" s="18">
        <v>16836.948799999998</v>
      </c>
      <c r="C578" s="18">
        <v>3639.985825999996</v>
      </c>
      <c r="D578" s="18">
        <v>20677.946768783822</v>
      </c>
      <c r="E578" s="18">
        <v>3926.2072788851078</v>
      </c>
      <c r="F578" s="18">
        <v>20476.934625999995</v>
      </c>
      <c r="G578" s="18">
        <v>24604.15404766893</v>
      </c>
    </row>
    <row r="579" spans="1:7" ht="11.25" customHeight="1" x14ac:dyDescent="0.2">
      <c r="A579" s="28">
        <v>44287</v>
      </c>
      <c r="B579" s="18">
        <v>1050.4423999999997</v>
      </c>
      <c r="C579" s="18">
        <v>242.29340720000005</v>
      </c>
      <c r="D579" s="18">
        <v>1290.0788788330531</v>
      </c>
      <c r="E579" s="18">
        <v>261.34556134244536</v>
      </c>
      <c r="F579" s="18">
        <v>1292.7358071999997</v>
      </c>
      <c r="G579" s="18">
        <v>1551.4244401754984</v>
      </c>
    </row>
    <row r="580" spans="1:7" ht="11.25" customHeight="1" x14ac:dyDescent="0.2">
      <c r="A580" s="28">
        <v>44317</v>
      </c>
      <c r="B580" s="18">
        <v>903.57959999999878</v>
      </c>
      <c r="C580" s="18">
        <v>241.82662479999993</v>
      </c>
      <c r="D580" s="18">
        <v>1109.712400512791</v>
      </c>
      <c r="E580" s="18">
        <v>260.84207464108374</v>
      </c>
      <c r="F580" s="18">
        <v>1145.4062247999987</v>
      </c>
      <c r="G580" s="18">
        <v>1370.5544751538746</v>
      </c>
    </row>
    <row r="581" spans="1:7" ht="11.25" customHeight="1" x14ac:dyDescent="0.2">
      <c r="A581" s="28">
        <v>44348</v>
      </c>
      <c r="B581" s="18">
        <v>1117.6507999999988</v>
      </c>
      <c r="C581" s="18">
        <v>236.39194399999988</v>
      </c>
      <c r="D581" s="18">
        <v>1372.6194706067306</v>
      </c>
      <c r="E581" s="18">
        <v>254.980050903803</v>
      </c>
      <c r="F581" s="18">
        <v>1354.0427439999987</v>
      </c>
      <c r="G581" s="18">
        <v>1627.5995215105336</v>
      </c>
    </row>
    <row r="582" spans="1:7" ht="11.25" customHeight="1" x14ac:dyDescent="0.2">
      <c r="A582" s="28">
        <v>44378</v>
      </c>
      <c r="B582" s="18">
        <v>1219.7080000000014</v>
      </c>
      <c r="C582" s="18">
        <v>251.04557719999963</v>
      </c>
      <c r="D582" s="18">
        <v>1497.9588877445424</v>
      </c>
      <c r="E582" s="18">
        <v>270.78593699297357</v>
      </c>
      <c r="F582" s="18">
        <v>1470.753577200001</v>
      </c>
      <c r="G582" s="18">
        <v>1768.744824737516</v>
      </c>
    </row>
    <row r="583" spans="1:7" ht="11.25" customHeight="1" x14ac:dyDescent="0.2">
      <c r="A583" s="28">
        <v>44409</v>
      </c>
      <c r="B583" s="18">
        <v>1426.3115999999973</v>
      </c>
      <c r="C583" s="18">
        <v>300.70789040000068</v>
      </c>
      <c r="D583" s="18">
        <v>1751.6947809747351</v>
      </c>
      <c r="E583" s="18">
        <v>324.35332568426037</v>
      </c>
      <c r="F583" s="18">
        <v>1727.0194903999979</v>
      </c>
      <c r="G583" s="18">
        <v>2076.0481066589955</v>
      </c>
    </row>
    <row r="584" spans="1:7" ht="11.25" customHeight="1" x14ac:dyDescent="0.2">
      <c r="A584" s="28">
        <v>44440</v>
      </c>
      <c r="B584" s="18">
        <v>1154.9888000000001</v>
      </c>
      <c r="C584" s="18">
        <v>285.27072959999879</v>
      </c>
      <c r="D584" s="18">
        <v>1418.4753549254426</v>
      </c>
      <c r="E584" s="18">
        <v>307.70230120351624</v>
      </c>
      <c r="F584" s="18">
        <v>1440.2595295999988</v>
      </c>
      <c r="G584" s="18">
        <v>1726.1776561289589</v>
      </c>
    </row>
    <row r="585" spans="1:7" ht="11.25" customHeight="1" x14ac:dyDescent="0.2">
      <c r="A585" s="28">
        <v>44470</v>
      </c>
      <c r="B585" s="18">
        <v>1130.0968000000014</v>
      </c>
      <c r="C585" s="18">
        <v>283.82036999999889</v>
      </c>
      <c r="D585" s="18">
        <v>1387.9047653796374</v>
      </c>
      <c r="E585" s="18">
        <v>306.13789609571455</v>
      </c>
      <c r="F585" s="18">
        <v>1413.9171700000002</v>
      </c>
      <c r="G585" s="18">
        <v>1694.0426614753519</v>
      </c>
    </row>
    <row r="586" spans="1:7" ht="11.25" customHeight="1" x14ac:dyDescent="0.2">
      <c r="A586" s="28">
        <v>44501</v>
      </c>
      <c r="B586" s="18">
        <v>1540.8147999999994</v>
      </c>
      <c r="C586" s="18">
        <v>286.48769800000008</v>
      </c>
      <c r="D586" s="18">
        <v>1892.3194928854496</v>
      </c>
      <c r="E586" s="18">
        <v>309.0149629606388</v>
      </c>
      <c r="F586" s="18">
        <v>1827.3024979999996</v>
      </c>
      <c r="G586" s="18">
        <v>2201.3344558460885</v>
      </c>
    </row>
    <row r="587" spans="1:7" ht="11.25" customHeight="1" x14ac:dyDescent="0.2">
      <c r="A587" s="28">
        <v>44531</v>
      </c>
      <c r="B587" s="18">
        <v>1717.5480000000014</v>
      </c>
      <c r="C587" s="18">
        <v>414.28605079999932</v>
      </c>
      <c r="D587" s="18">
        <v>2109.3706786606813</v>
      </c>
      <c r="E587" s="18">
        <v>446.86242912626244</v>
      </c>
      <c r="F587" s="18">
        <v>2131.8340508000006</v>
      </c>
      <c r="G587" s="18">
        <v>2556.2331077869439</v>
      </c>
    </row>
    <row r="588" spans="1:7" ht="11.25" customHeight="1" x14ac:dyDescent="0.2">
      <c r="A588" s="28">
        <v>44562</v>
      </c>
      <c r="B588" s="18">
        <v>1906.7271999999991</v>
      </c>
      <c r="C588" s="18">
        <v>330.39858519999905</v>
      </c>
      <c r="D588" s="18">
        <v>2341.7071592088114</v>
      </c>
      <c r="E588" s="18">
        <v>356.37867622443298</v>
      </c>
      <c r="F588" s="18">
        <v>2237.1257851999981</v>
      </c>
      <c r="G588" s="18">
        <v>2698.0858354332445</v>
      </c>
    </row>
    <row r="589" spans="1:7" ht="11.25" customHeight="1" x14ac:dyDescent="0.2">
      <c r="A589" s="28">
        <v>44593</v>
      </c>
      <c r="B589" s="18">
        <v>1834.540400000001</v>
      </c>
      <c r="C589" s="18">
        <v>383.7284743999997</v>
      </c>
      <c r="D589" s="18">
        <v>2253.0524495259738</v>
      </c>
      <c r="E589" s="18">
        <v>413.90203185498848</v>
      </c>
      <c r="F589" s="18">
        <v>2218.2688744000006</v>
      </c>
      <c r="G589" s="18">
        <v>2666.9544813809621</v>
      </c>
    </row>
    <row r="590" spans="1:7" ht="11.25" customHeight="1" x14ac:dyDescent="0.2">
      <c r="A590" s="28">
        <v>44621</v>
      </c>
      <c r="B590" s="18">
        <v>1834.540400000001</v>
      </c>
      <c r="C590" s="18">
        <v>383.7284743999997</v>
      </c>
      <c r="D590" s="18">
        <v>2253.0524495259738</v>
      </c>
      <c r="E590" s="18">
        <v>413.90203185498848</v>
      </c>
      <c r="F590" s="18">
        <v>2218.2688744000006</v>
      </c>
      <c r="G590" s="18">
        <v>2666.9544813809621</v>
      </c>
    </row>
    <row r="591" spans="1:7" ht="11.25" customHeight="1" x14ac:dyDescent="0.2">
      <c r="A591" s="22" t="s">
        <v>42</v>
      </c>
      <c r="B591" s="18">
        <v>181421.64040000015</v>
      </c>
      <c r="C591" s="18">
        <v>404254.1126676001</v>
      </c>
      <c r="D591" s="18">
        <v>207352.97053249541</v>
      </c>
      <c r="E591" s="18">
        <v>451890.74436781084</v>
      </c>
      <c r="F591" s="18">
        <v>585675.75306760054</v>
      </c>
      <c r="G591" s="18">
        <v>659243.71490030619</v>
      </c>
    </row>
    <row r="592" spans="1:7" ht="11.25" customHeight="1" x14ac:dyDescent="0.2">
      <c r="A592" s="23" t="s">
        <v>45</v>
      </c>
      <c r="B592" s="18">
        <v>181421.64040000015</v>
      </c>
      <c r="C592" s="18">
        <v>404254.1126676001</v>
      </c>
      <c r="D592" s="18">
        <v>207352.97053249541</v>
      </c>
      <c r="E592" s="18">
        <v>451890.74436781084</v>
      </c>
      <c r="F592" s="18">
        <v>585675.75306760054</v>
      </c>
      <c r="G592" s="18">
        <v>659243.71490030619</v>
      </c>
    </row>
    <row r="593" spans="1:7" ht="11.25" customHeight="1" x14ac:dyDescent="0.2">
      <c r="A593" s="24" t="s">
        <v>53</v>
      </c>
      <c r="B593" s="18">
        <v>86411.353600000046</v>
      </c>
      <c r="C593" s="18">
        <v>155529.3965948</v>
      </c>
      <c r="D593" s="18">
        <v>98762.47848486455</v>
      </c>
      <c r="E593" s="18">
        <v>173571.15424999382</v>
      </c>
      <c r="F593" s="18">
        <v>241940.75019480014</v>
      </c>
      <c r="G593" s="18">
        <v>272333.63273485843</v>
      </c>
    </row>
    <row r="594" spans="1:7" ht="11.25" customHeight="1" x14ac:dyDescent="0.2">
      <c r="A594" s="25" t="s">
        <v>25</v>
      </c>
      <c r="B594" s="18">
        <v>86411.353600000046</v>
      </c>
      <c r="C594" s="18">
        <v>155529.3965948</v>
      </c>
      <c r="D594" s="18">
        <v>98762.47848486455</v>
      </c>
      <c r="E594" s="18">
        <v>173571.15424999382</v>
      </c>
      <c r="F594" s="18">
        <v>241940.75019480014</v>
      </c>
      <c r="G594" s="18">
        <v>272333.63273485843</v>
      </c>
    </row>
    <row r="595" spans="1:7" ht="11.25" customHeight="1" x14ac:dyDescent="0.2">
      <c r="A595" s="26" t="s">
        <v>25</v>
      </c>
      <c r="B595" s="18">
        <v>86411.353600000046</v>
      </c>
      <c r="C595" s="18">
        <v>155529.3965948</v>
      </c>
      <c r="D595" s="18">
        <v>98762.47848486455</v>
      </c>
      <c r="E595" s="18">
        <v>173571.15424999382</v>
      </c>
      <c r="F595" s="18">
        <v>241940.75019480014</v>
      </c>
      <c r="G595" s="18">
        <v>272333.63273485843</v>
      </c>
    </row>
    <row r="596" spans="1:7" ht="11.25" customHeight="1" x14ac:dyDescent="0.2">
      <c r="A596" s="27" t="s">
        <v>35</v>
      </c>
      <c r="B596" s="18">
        <v>0</v>
      </c>
      <c r="C596" s="18">
        <v>142941.11800399999</v>
      </c>
      <c r="D596" s="18">
        <v>0</v>
      </c>
      <c r="E596" s="18">
        <v>158537.16187210841</v>
      </c>
      <c r="F596" s="18">
        <v>142941.11800400002</v>
      </c>
      <c r="G596" s="18">
        <v>158537.16187210844</v>
      </c>
    </row>
    <row r="597" spans="1:7" ht="11.25" customHeight="1" x14ac:dyDescent="0.2">
      <c r="A597" s="28">
        <v>44287</v>
      </c>
      <c r="B597" s="18">
        <v>0</v>
      </c>
      <c r="C597" s="18">
        <v>11994.130212000005</v>
      </c>
      <c r="D597" s="18">
        <v>0</v>
      </c>
      <c r="E597" s="18">
        <v>13302.787815621952</v>
      </c>
      <c r="F597" s="18">
        <v>11994.130212000005</v>
      </c>
      <c r="G597" s="18">
        <v>13302.787815621952</v>
      </c>
    </row>
    <row r="598" spans="1:7" ht="11.25" customHeight="1" x14ac:dyDescent="0.2">
      <c r="A598" s="28">
        <v>44317</v>
      </c>
      <c r="B598" s="18">
        <v>0</v>
      </c>
      <c r="C598" s="18">
        <v>4673.7312879999972</v>
      </c>
      <c r="D598" s="18">
        <v>0</v>
      </c>
      <c r="E598" s="18">
        <v>5183.6735580286877</v>
      </c>
      <c r="F598" s="18">
        <v>4673.7312879999972</v>
      </c>
      <c r="G598" s="18">
        <v>5183.6735580286877</v>
      </c>
    </row>
    <row r="599" spans="1:7" ht="11.25" customHeight="1" x14ac:dyDescent="0.2">
      <c r="A599" s="28">
        <v>44348</v>
      </c>
      <c r="B599" s="18">
        <v>0</v>
      </c>
      <c r="C599" s="18">
        <v>4926.2565712000014</v>
      </c>
      <c r="D599" s="18">
        <v>0</v>
      </c>
      <c r="E599" s="18">
        <v>5463.7514128720977</v>
      </c>
      <c r="F599" s="18">
        <v>4926.2565712000014</v>
      </c>
      <c r="G599" s="18">
        <v>5463.7514128720977</v>
      </c>
    </row>
    <row r="600" spans="1:7" ht="11.25" customHeight="1" x14ac:dyDescent="0.2">
      <c r="A600" s="28">
        <v>44378</v>
      </c>
      <c r="B600" s="18">
        <v>0</v>
      </c>
      <c r="C600" s="18">
        <v>5382.7193295999978</v>
      </c>
      <c r="D600" s="18">
        <v>0</v>
      </c>
      <c r="E600" s="18">
        <v>5970.0179877216406</v>
      </c>
      <c r="F600" s="18">
        <v>5382.7193295999978</v>
      </c>
      <c r="G600" s="18">
        <v>5970.0179877216406</v>
      </c>
    </row>
    <row r="601" spans="1:7" ht="11.25" customHeight="1" x14ac:dyDescent="0.2">
      <c r="A601" s="28">
        <v>44409</v>
      </c>
      <c r="B601" s="18">
        <v>0</v>
      </c>
      <c r="C601" s="18">
        <v>7965.128495200016</v>
      </c>
      <c r="D601" s="18">
        <v>0</v>
      </c>
      <c r="E601" s="18">
        <v>8834.1890927446875</v>
      </c>
      <c r="F601" s="18">
        <v>7965.128495200016</v>
      </c>
      <c r="G601" s="18">
        <v>8834.1890927446875</v>
      </c>
    </row>
    <row r="602" spans="1:7" ht="11.25" customHeight="1" x14ac:dyDescent="0.2">
      <c r="A602" s="28">
        <v>44440</v>
      </c>
      <c r="B602" s="18">
        <v>0</v>
      </c>
      <c r="C602" s="18">
        <v>11193.066085599999</v>
      </c>
      <c r="D602" s="18">
        <v>0</v>
      </c>
      <c r="E602" s="18">
        <v>12414.32104797387</v>
      </c>
      <c r="F602" s="18">
        <v>11193.066085599999</v>
      </c>
      <c r="G602" s="18">
        <v>12414.32104797387</v>
      </c>
    </row>
    <row r="603" spans="1:7" ht="11.25" customHeight="1" x14ac:dyDescent="0.2">
      <c r="A603" s="28">
        <v>44470</v>
      </c>
      <c r="B603" s="18">
        <v>0</v>
      </c>
      <c r="C603" s="18">
        <v>17198.617643199974</v>
      </c>
      <c r="D603" s="18">
        <v>0</v>
      </c>
      <c r="E603" s="18">
        <v>19075.127348592541</v>
      </c>
      <c r="F603" s="18">
        <v>17198.617643199974</v>
      </c>
      <c r="G603" s="18">
        <v>19075.127348592541</v>
      </c>
    </row>
    <row r="604" spans="1:7" ht="11.25" customHeight="1" x14ac:dyDescent="0.2">
      <c r="A604" s="28">
        <v>44501</v>
      </c>
      <c r="B604" s="18">
        <v>0</v>
      </c>
      <c r="C604" s="18">
        <v>17610.563464000039</v>
      </c>
      <c r="D604" s="18">
        <v>0</v>
      </c>
      <c r="E604" s="18">
        <v>19532.019824226394</v>
      </c>
      <c r="F604" s="18">
        <v>17610.563464000039</v>
      </c>
      <c r="G604" s="18">
        <v>19532.019824226394</v>
      </c>
    </row>
    <row r="605" spans="1:7" ht="11.25" customHeight="1" x14ac:dyDescent="0.2">
      <c r="A605" s="28">
        <v>44531</v>
      </c>
      <c r="B605" s="18">
        <v>0</v>
      </c>
      <c r="C605" s="18">
        <v>13216.890550399999</v>
      </c>
      <c r="D605" s="18">
        <v>0</v>
      </c>
      <c r="E605" s="18">
        <v>14658.961297448845</v>
      </c>
      <c r="F605" s="18">
        <v>13216.890550399999</v>
      </c>
      <c r="G605" s="18">
        <v>14658.961297448845</v>
      </c>
    </row>
    <row r="606" spans="1:7" ht="11.25" customHeight="1" x14ac:dyDescent="0.2">
      <c r="A606" s="28">
        <v>44562</v>
      </c>
      <c r="B606" s="18">
        <v>0</v>
      </c>
      <c r="C606" s="18">
        <v>12609.98067840001</v>
      </c>
      <c r="D606" s="18">
        <v>0</v>
      </c>
      <c r="E606" s="18">
        <v>13985.832599684285</v>
      </c>
      <c r="F606" s="18">
        <v>12609.98067840001</v>
      </c>
      <c r="G606" s="18">
        <v>13985.832599684285</v>
      </c>
    </row>
    <row r="607" spans="1:7" ht="11.25" customHeight="1" x14ac:dyDescent="0.2">
      <c r="A607" s="28">
        <v>44593</v>
      </c>
      <c r="B607" s="18">
        <v>0</v>
      </c>
      <c r="C607" s="18">
        <v>18085.016843199981</v>
      </c>
      <c r="D607" s="18">
        <v>0</v>
      </c>
      <c r="E607" s="18">
        <v>20058.239943596698</v>
      </c>
      <c r="F607" s="18">
        <v>18085.016843199981</v>
      </c>
      <c r="G607" s="18">
        <v>20058.239943596698</v>
      </c>
    </row>
    <row r="608" spans="1:7" ht="11.25" customHeight="1" x14ac:dyDescent="0.2">
      <c r="A608" s="28">
        <v>44621</v>
      </c>
      <c r="B608" s="18">
        <v>0</v>
      </c>
      <c r="C608" s="18">
        <v>18085.016843199981</v>
      </c>
      <c r="D608" s="18">
        <v>0</v>
      </c>
      <c r="E608" s="18">
        <v>20058.239943596698</v>
      </c>
      <c r="F608" s="18">
        <v>18085.016843199981</v>
      </c>
      <c r="G608" s="18">
        <v>20058.239943596698</v>
      </c>
    </row>
    <row r="609" spans="1:7" ht="11.25" customHeight="1" x14ac:dyDescent="0.2">
      <c r="A609" s="27" t="s">
        <v>25</v>
      </c>
      <c r="B609" s="18">
        <v>86411.353600000046</v>
      </c>
      <c r="C609" s="18">
        <v>0</v>
      </c>
      <c r="D609" s="18">
        <v>98762.47848486455</v>
      </c>
      <c r="E609" s="18">
        <v>0</v>
      </c>
      <c r="F609" s="18">
        <v>86411.353600000046</v>
      </c>
      <c r="G609" s="18">
        <v>98762.47848486458</v>
      </c>
    </row>
    <row r="610" spans="1:7" ht="11.25" customHeight="1" x14ac:dyDescent="0.2">
      <c r="A610" s="28">
        <v>44287</v>
      </c>
      <c r="B610" s="18">
        <v>8026.1895999999961</v>
      </c>
      <c r="C610" s="18">
        <v>0</v>
      </c>
      <c r="D610" s="18">
        <v>9173.4053994201386</v>
      </c>
      <c r="E610" s="18">
        <v>0</v>
      </c>
      <c r="F610" s="18">
        <v>8026.1895999999961</v>
      </c>
      <c r="G610" s="18">
        <v>9173.4053994201386</v>
      </c>
    </row>
    <row r="611" spans="1:7" ht="11.25" customHeight="1" x14ac:dyDescent="0.2">
      <c r="A611" s="28">
        <v>44317</v>
      </c>
      <c r="B611" s="18">
        <v>6206.8292000000065</v>
      </c>
      <c r="C611" s="18">
        <v>0</v>
      </c>
      <c r="D611" s="18">
        <v>7093.9964459048742</v>
      </c>
      <c r="E611" s="18">
        <v>0</v>
      </c>
      <c r="F611" s="18">
        <v>6206.8292000000065</v>
      </c>
      <c r="G611" s="18">
        <v>7093.9964459048742</v>
      </c>
    </row>
    <row r="612" spans="1:7" ht="11.25" customHeight="1" x14ac:dyDescent="0.2">
      <c r="A612" s="28">
        <v>44348</v>
      </c>
      <c r="B612" s="18">
        <v>5924.8332000000046</v>
      </c>
      <c r="C612" s="18">
        <v>0</v>
      </c>
      <c r="D612" s="18">
        <v>6771.6936150553638</v>
      </c>
      <c r="E612" s="18">
        <v>0</v>
      </c>
      <c r="F612" s="18">
        <v>5924.8332000000046</v>
      </c>
      <c r="G612" s="18">
        <v>6771.6936150553638</v>
      </c>
    </row>
    <row r="613" spans="1:7" ht="11.25" customHeight="1" x14ac:dyDescent="0.2">
      <c r="A613" s="28">
        <v>44378</v>
      </c>
      <c r="B613" s="18">
        <v>5732.2979999999961</v>
      </c>
      <c r="C613" s="18">
        <v>0</v>
      </c>
      <c r="D613" s="18">
        <v>6551.6385788201742</v>
      </c>
      <c r="E613" s="18">
        <v>0</v>
      </c>
      <c r="F613" s="18">
        <v>5732.2979999999961</v>
      </c>
      <c r="G613" s="18">
        <v>6551.6385788201742</v>
      </c>
    </row>
    <row r="614" spans="1:7" ht="11.25" customHeight="1" x14ac:dyDescent="0.2">
      <c r="A614" s="28">
        <v>44409</v>
      </c>
      <c r="B614" s="18">
        <v>5585.4656000000014</v>
      </c>
      <c r="C614" s="18">
        <v>0</v>
      </c>
      <c r="D614" s="18">
        <v>6383.8188289640557</v>
      </c>
      <c r="E614" s="18">
        <v>0</v>
      </c>
      <c r="F614" s="18">
        <v>5585.4656000000014</v>
      </c>
      <c r="G614" s="18">
        <v>6383.8188289640557</v>
      </c>
    </row>
    <row r="615" spans="1:7" ht="11.25" customHeight="1" x14ac:dyDescent="0.2">
      <c r="A615" s="28">
        <v>44440</v>
      </c>
      <c r="B615" s="18">
        <v>6927.3775999999953</v>
      </c>
      <c r="C615" s="18">
        <v>0</v>
      </c>
      <c r="D615" s="18">
        <v>7917.5357481789506</v>
      </c>
      <c r="E615" s="18">
        <v>0</v>
      </c>
      <c r="F615" s="18">
        <v>6927.3775999999953</v>
      </c>
      <c r="G615" s="18">
        <v>7917.5357481789506</v>
      </c>
    </row>
    <row r="616" spans="1:7" ht="11.25" customHeight="1" x14ac:dyDescent="0.2">
      <c r="A616" s="28">
        <v>44470</v>
      </c>
      <c r="B616" s="18">
        <v>7948.3975999999975</v>
      </c>
      <c r="C616" s="18">
        <v>0</v>
      </c>
      <c r="D616" s="18">
        <v>9084.4942736685534</v>
      </c>
      <c r="E616" s="18">
        <v>0</v>
      </c>
      <c r="F616" s="18">
        <v>7948.3975999999975</v>
      </c>
      <c r="G616" s="18">
        <v>9084.4942736685534</v>
      </c>
    </row>
    <row r="617" spans="1:7" ht="11.25" customHeight="1" x14ac:dyDescent="0.2">
      <c r="A617" s="28">
        <v>44501</v>
      </c>
      <c r="B617" s="18">
        <v>8039.8032000000176</v>
      </c>
      <c r="C617" s="18">
        <v>0</v>
      </c>
      <c r="D617" s="18">
        <v>9188.964846426692</v>
      </c>
      <c r="E617" s="18">
        <v>0</v>
      </c>
      <c r="F617" s="18">
        <v>8039.8032000000176</v>
      </c>
      <c r="G617" s="18">
        <v>9188.964846426692</v>
      </c>
    </row>
    <row r="618" spans="1:7" ht="11.25" customHeight="1" x14ac:dyDescent="0.2">
      <c r="A618" s="28">
        <v>44531</v>
      </c>
      <c r="B618" s="18">
        <v>7943.5356000000147</v>
      </c>
      <c r="C618" s="18">
        <v>0</v>
      </c>
      <c r="D618" s="18">
        <v>9078.9373283090972</v>
      </c>
      <c r="E618" s="18">
        <v>0</v>
      </c>
      <c r="F618" s="18">
        <v>7943.5356000000147</v>
      </c>
      <c r="G618" s="18">
        <v>9078.9373283090972</v>
      </c>
    </row>
    <row r="619" spans="1:7" ht="11.25" customHeight="1" x14ac:dyDescent="0.2">
      <c r="A619" s="28">
        <v>44562</v>
      </c>
      <c r="B619" s="18">
        <v>6544.2520000000159</v>
      </c>
      <c r="C619" s="18">
        <v>0</v>
      </c>
      <c r="D619" s="18">
        <v>7479.6484538524019</v>
      </c>
      <c r="E619" s="18">
        <v>0</v>
      </c>
      <c r="F619" s="18">
        <v>6544.2520000000159</v>
      </c>
      <c r="G619" s="18">
        <v>7479.6484538524019</v>
      </c>
    </row>
    <row r="620" spans="1:7" ht="11.25" customHeight="1" x14ac:dyDescent="0.2">
      <c r="A620" s="28">
        <v>44593</v>
      </c>
      <c r="B620" s="18">
        <v>8766.1860000000052</v>
      </c>
      <c r="C620" s="18">
        <v>0</v>
      </c>
      <c r="D620" s="18">
        <v>10019.172483132133</v>
      </c>
      <c r="E620" s="18">
        <v>0</v>
      </c>
      <c r="F620" s="18">
        <v>8766.1860000000052</v>
      </c>
      <c r="G620" s="18">
        <v>10019.172483132133</v>
      </c>
    </row>
    <row r="621" spans="1:7" ht="11.25" customHeight="1" x14ac:dyDescent="0.2">
      <c r="A621" s="28">
        <v>44621</v>
      </c>
      <c r="B621" s="18">
        <v>8766.1860000000052</v>
      </c>
      <c r="C621" s="18">
        <v>0</v>
      </c>
      <c r="D621" s="18">
        <v>10019.172483132133</v>
      </c>
      <c r="E621" s="18">
        <v>0</v>
      </c>
      <c r="F621" s="18">
        <v>8766.1860000000052</v>
      </c>
      <c r="G621" s="18">
        <v>10019.172483132133</v>
      </c>
    </row>
    <row r="622" spans="1:7" ht="11.25" customHeight="1" x14ac:dyDescent="0.2">
      <c r="A622" s="27" t="s">
        <v>34</v>
      </c>
      <c r="B622" s="18">
        <v>0</v>
      </c>
      <c r="C622" s="18">
        <v>12588.278590800015</v>
      </c>
      <c r="D622" s="18">
        <v>0</v>
      </c>
      <c r="E622" s="18">
        <v>15033.992377885423</v>
      </c>
      <c r="F622" s="18">
        <v>12588.278590800015</v>
      </c>
      <c r="G622" s="18">
        <v>15033.992377885425</v>
      </c>
    </row>
    <row r="623" spans="1:7" ht="11.25" customHeight="1" x14ac:dyDescent="0.2">
      <c r="A623" s="28">
        <v>44287</v>
      </c>
      <c r="B623" s="18">
        <v>0</v>
      </c>
      <c r="C623" s="18">
        <v>1086.2546520000021</v>
      </c>
      <c r="D623" s="18">
        <v>0</v>
      </c>
      <c r="E623" s="18">
        <v>1297.2976440595883</v>
      </c>
      <c r="F623" s="18">
        <v>1086.2546520000021</v>
      </c>
      <c r="G623" s="18">
        <v>1297.2976440595883</v>
      </c>
    </row>
    <row r="624" spans="1:7" ht="11.25" customHeight="1" x14ac:dyDescent="0.2">
      <c r="A624" s="28">
        <v>44317</v>
      </c>
      <c r="B624" s="18">
        <v>0</v>
      </c>
      <c r="C624" s="18">
        <v>717.29864760000203</v>
      </c>
      <c r="D624" s="18">
        <v>0</v>
      </c>
      <c r="E624" s="18">
        <v>856.65901996856064</v>
      </c>
      <c r="F624" s="18">
        <v>717.29864760000203</v>
      </c>
      <c r="G624" s="18">
        <v>856.65901996856064</v>
      </c>
    </row>
    <row r="625" spans="1:7" ht="11.25" customHeight="1" x14ac:dyDescent="0.2">
      <c r="A625" s="28">
        <v>44348</v>
      </c>
      <c r="B625" s="18">
        <v>0</v>
      </c>
      <c r="C625" s="18">
        <v>661.86646280000241</v>
      </c>
      <c r="D625" s="18">
        <v>0</v>
      </c>
      <c r="E625" s="18">
        <v>790.45719278769502</v>
      </c>
      <c r="F625" s="18">
        <v>661.86646280000241</v>
      </c>
      <c r="G625" s="18">
        <v>790.45719278769502</v>
      </c>
    </row>
    <row r="626" spans="1:7" ht="11.25" customHeight="1" x14ac:dyDescent="0.2">
      <c r="A626" s="28">
        <v>44378</v>
      </c>
      <c r="B626" s="18">
        <v>0</v>
      </c>
      <c r="C626" s="18">
        <v>557.56439920000128</v>
      </c>
      <c r="D626" s="18">
        <v>0</v>
      </c>
      <c r="E626" s="18">
        <v>665.89080208943506</v>
      </c>
      <c r="F626" s="18">
        <v>557.56439920000128</v>
      </c>
      <c r="G626" s="18">
        <v>665.89080208943506</v>
      </c>
    </row>
    <row r="627" spans="1:7" ht="11.25" customHeight="1" x14ac:dyDescent="0.2">
      <c r="A627" s="28">
        <v>44409</v>
      </c>
      <c r="B627" s="18">
        <v>0</v>
      </c>
      <c r="C627" s="18">
        <v>646.50294640000106</v>
      </c>
      <c r="D627" s="18">
        <v>0</v>
      </c>
      <c r="E627" s="18">
        <v>772.10877550497446</v>
      </c>
      <c r="F627" s="18">
        <v>646.50294640000106</v>
      </c>
      <c r="G627" s="18">
        <v>772.10877550497446</v>
      </c>
    </row>
    <row r="628" spans="1:7" ht="11.25" customHeight="1" x14ac:dyDescent="0.2">
      <c r="A628" s="28">
        <v>44440</v>
      </c>
      <c r="B628" s="18">
        <v>0</v>
      </c>
      <c r="C628" s="18">
        <v>1161.3737547999986</v>
      </c>
      <c r="D628" s="18">
        <v>0</v>
      </c>
      <c r="E628" s="18">
        <v>1387.0112622308689</v>
      </c>
      <c r="F628" s="18">
        <v>1161.3737547999986</v>
      </c>
      <c r="G628" s="18">
        <v>1387.0112622308689</v>
      </c>
    </row>
    <row r="629" spans="1:7" ht="11.25" customHeight="1" x14ac:dyDescent="0.2">
      <c r="A629" s="28">
        <v>44470</v>
      </c>
      <c r="B629" s="18">
        <v>0</v>
      </c>
      <c r="C629" s="18">
        <v>1150.179232799999</v>
      </c>
      <c r="D629" s="18">
        <v>0</v>
      </c>
      <c r="E629" s="18">
        <v>1373.6418124520042</v>
      </c>
      <c r="F629" s="18">
        <v>1150.179232799999</v>
      </c>
      <c r="G629" s="18">
        <v>1373.6418124520042</v>
      </c>
    </row>
    <row r="630" spans="1:7" ht="11.25" customHeight="1" x14ac:dyDescent="0.2">
      <c r="A630" s="28">
        <v>44501</v>
      </c>
      <c r="B630" s="18">
        <v>0</v>
      </c>
      <c r="C630" s="18">
        <v>1321.1080032000011</v>
      </c>
      <c r="D630" s="18">
        <v>0</v>
      </c>
      <c r="E630" s="18">
        <v>1577.7794801099967</v>
      </c>
      <c r="F630" s="18">
        <v>1321.1080032000011</v>
      </c>
      <c r="G630" s="18">
        <v>1577.7794801099967</v>
      </c>
    </row>
    <row r="631" spans="1:7" ht="11.25" customHeight="1" x14ac:dyDescent="0.2">
      <c r="A631" s="28">
        <v>44531</v>
      </c>
      <c r="B631" s="18">
        <v>0</v>
      </c>
      <c r="C631" s="18">
        <v>1265.2898004000024</v>
      </c>
      <c r="D631" s="18">
        <v>0</v>
      </c>
      <c r="E631" s="18">
        <v>1511.1166374195161</v>
      </c>
      <c r="F631" s="18">
        <v>1265.2898004000024</v>
      </c>
      <c r="G631" s="18">
        <v>1511.1166374195161</v>
      </c>
    </row>
    <row r="632" spans="1:7" ht="11.25" customHeight="1" x14ac:dyDescent="0.2">
      <c r="A632" s="28">
        <v>44562</v>
      </c>
      <c r="B632" s="18">
        <v>0</v>
      </c>
      <c r="C632" s="18">
        <v>1457.8355788000006</v>
      </c>
      <c r="D632" s="18">
        <v>0</v>
      </c>
      <c r="E632" s="18">
        <v>1741.0711736160035</v>
      </c>
      <c r="F632" s="18">
        <v>1457.8355788000006</v>
      </c>
      <c r="G632" s="18">
        <v>1741.0711736160035</v>
      </c>
    </row>
    <row r="633" spans="1:7" ht="11.25" customHeight="1" x14ac:dyDescent="0.2">
      <c r="A633" s="28">
        <v>44593</v>
      </c>
      <c r="B633" s="18">
        <v>0</v>
      </c>
      <c r="C633" s="18">
        <v>1281.5025564000018</v>
      </c>
      <c r="D633" s="18">
        <v>0</v>
      </c>
      <c r="E633" s="18">
        <v>1530.4792888233899</v>
      </c>
      <c r="F633" s="18">
        <v>1281.5025564000018</v>
      </c>
      <c r="G633" s="18">
        <v>1530.4792888233899</v>
      </c>
    </row>
    <row r="634" spans="1:7" ht="11.25" customHeight="1" x14ac:dyDescent="0.2">
      <c r="A634" s="28">
        <v>44621</v>
      </c>
      <c r="B634" s="18">
        <v>0</v>
      </c>
      <c r="C634" s="18">
        <v>1281.5025564000018</v>
      </c>
      <c r="D634" s="18">
        <v>0</v>
      </c>
      <c r="E634" s="18">
        <v>1530.4792888233899</v>
      </c>
      <c r="F634" s="18">
        <v>1281.5025564000018</v>
      </c>
      <c r="G634" s="18">
        <v>1530.4792888233899</v>
      </c>
    </row>
    <row r="635" spans="1:7" ht="11.25" customHeight="1" x14ac:dyDescent="0.2">
      <c r="A635" s="24" t="s">
        <v>25</v>
      </c>
      <c r="B635" s="18">
        <v>95010.286800000118</v>
      </c>
      <c r="C635" s="18">
        <v>248724.71607280005</v>
      </c>
      <c r="D635" s="18">
        <v>108590.49204763082</v>
      </c>
      <c r="E635" s="18">
        <v>278319.59011781687</v>
      </c>
      <c r="F635" s="18">
        <v>343735.00287280011</v>
      </c>
      <c r="G635" s="18">
        <v>386910.08216544782</v>
      </c>
    </row>
    <row r="636" spans="1:7" ht="11.25" customHeight="1" x14ac:dyDescent="0.2">
      <c r="A636" s="25" t="s">
        <v>25</v>
      </c>
      <c r="B636" s="18">
        <v>95010.286800000118</v>
      </c>
      <c r="C636" s="18">
        <v>248724.71607280005</v>
      </c>
      <c r="D636" s="18">
        <v>108590.49204763082</v>
      </c>
      <c r="E636" s="18">
        <v>278319.59011781687</v>
      </c>
      <c r="F636" s="18">
        <v>343735.00287280011</v>
      </c>
      <c r="G636" s="18">
        <v>386910.08216544782</v>
      </c>
    </row>
    <row r="637" spans="1:7" ht="11.25" customHeight="1" x14ac:dyDescent="0.2">
      <c r="A637" s="26" t="s">
        <v>25</v>
      </c>
      <c r="B637" s="18">
        <v>95010.286800000118</v>
      </c>
      <c r="C637" s="18">
        <v>248724.71607280005</v>
      </c>
      <c r="D637" s="18">
        <v>108590.49204763082</v>
      </c>
      <c r="E637" s="18">
        <v>278319.59011781687</v>
      </c>
      <c r="F637" s="18">
        <v>343735.00287280011</v>
      </c>
      <c r="G637" s="18">
        <v>386910.08216544782</v>
      </c>
    </row>
    <row r="638" spans="1:7" ht="11.25" customHeight="1" x14ac:dyDescent="0.2">
      <c r="A638" s="27" t="s">
        <v>35</v>
      </c>
      <c r="B638" s="18">
        <v>0</v>
      </c>
      <c r="C638" s="18">
        <v>219879.13500480005</v>
      </c>
      <c r="D638" s="18">
        <v>0</v>
      </c>
      <c r="E638" s="18">
        <v>243869.74514624738</v>
      </c>
      <c r="F638" s="18">
        <v>219879.13500480002</v>
      </c>
      <c r="G638" s="18">
        <v>243869.74514624744</v>
      </c>
    </row>
    <row r="639" spans="1:7" ht="11.25" customHeight="1" x14ac:dyDescent="0.2">
      <c r="A639" s="28">
        <v>44287</v>
      </c>
      <c r="B639" s="18">
        <v>0</v>
      </c>
      <c r="C639" s="18">
        <v>15040.235591200031</v>
      </c>
      <c r="D639" s="18">
        <v>0</v>
      </c>
      <c r="E639" s="18">
        <v>16681.248179757487</v>
      </c>
      <c r="F639" s="18">
        <v>15040.235591200031</v>
      </c>
      <c r="G639" s="18">
        <v>16681.248179757487</v>
      </c>
    </row>
    <row r="640" spans="1:7" ht="11.25" customHeight="1" x14ac:dyDescent="0.2">
      <c r="A640" s="28">
        <v>44317</v>
      </c>
      <c r="B640" s="18">
        <v>0</v>
      </c>
      <c r="C640" s="18">
        <v>8794.0977815999831</v>
      </c>
      <c r="D640" s="18">
        <v>0</v>
      </c>
      <c r="E640" s="18">
        <v>9753.6057013465579</v>
      </c>
      <c r="F640" s="18">
        <v>8794.0977815999831</v>
      </c>
      <c r="G640" s="18">
        <v>9753.6057013465579</v>
      </c>
    </row>
    <row r="641" spans="1:7" ht="11.25" customHeight="1" x14ac:dyDescent="0.2">
      <c r="A641" s="28">
        <v>44348</v>
      </c>
      <c r="B641" s="18">
        <v>0</v>
      </c>
      <c r="C641" s="18">
        <v>8931.6209759999965</v>
      </c>
      <c r="D641" s="18">
        <v>0</v>
      </c>
      <c r="E641" s="18">
        <v>9906.1337998825911</v>
      </c>
      <c r="F641" s="18">
        <v>8931.6209759999965</v>
      </c>
      <c r="G641" s="18">
        <v>9906.1337998825911</v>
      </c>
    </row>
    <row r="642" spans="1:7" ht="11.25" customHeight="1" x14ac:dyDescent="0.2">
      <c r="A642" s="28">
        <v>44378</v>
      </c>
      <c r="B642" s="18">
        <v>0</v>
      </c>
      <c r="C642" s="18">
        <v>9503.7533584000066</v>
      </c>
      <c r="D642" s="18">
        <v>0</v>
      </c>
      <c r="E642" s="18">
        <v>10540.690499783925</v>
      </c>
      <c r="F642" s="18">
        <v>9503.7533584000066</v>
      </c>
      <c r="G642" s="18">
        <v>10540.690499783925</v>
      </c>
    </row>
    <row r="643" spans="1:7" ht="11.25" customHeight="1" x14ac:dyDescent="0.2">
      <c r="A643" s="28">
        <v>44409</v>
      </c>
      <c r="B643" s="18">
        <v>0</v>
      </c>
      <c r="C643" s="18">
        <v>13891.899955999994</v>
      </c>
      <c r="D643" s="18">
        <v>0</v>
      </c>
      <c r="E643" s="18">
        <v>15407.619744333299</v>
      </c>
      <c r="F643" s="18">
        <v>13891.899955999994</v>
      </c>
      <c r="G643" s="18">
        <v>15407.619744333299</v>
      </c>
    </row>
    <row r="644" spans="1:7" ht="11.25" customHeight="1" x14ac:dyDescent="0.2">
      <c r="A644" s="28">
        <v>44440</v>
      </c>
      <c r="B644" s="18">
        <v>0</v>
      </c>
      <c r="C644" s="18">
        <v>20025.257146399952</v>
      </c>
      <c r="D644" s="18">
        <v>0</v>
      </c>
      <c r="E644" s="18">
        <v>22210.176316520508</v>
      </c>
      <c r="F644" s="18">
        <v>20025.257146399952</v>
      </c>
      <c r="G644" s="18">
        <v>22210.176316520508</v>
      </c>
    </row>
    <row r="645" spans="1:7" ht="11.25" customHeight="1" x14ac:dyDescent="0.2">
      <c r="A645" s="28">
        <v>44470</v>
      </c>
      <c r="B645" s="18">
        <v>0</v>
      </c>
      <c r="C645" s="18">
        <v>26926.958295199991</v>
      </c>
      <c r="D645" s="18">
        <v>0</v>
      </c>
      <c r="E645" s="18">
        <v>29864.90945068845</v>
      </c>
      <c r="F645" s="18">
        <v>26926.958295199991</v>
      </c>
      <c r="G645" s="18">
        <v>29864.90945068845</v>
      </c>
    </row>
    <row r="646" spans="1:7" ht="11.25" customHeight="1" x14ac:dyDescent="0.2">
      <c r="A646" s="28">
        <v>44501</v>
      </c>
      <c r="B646" s="18">
        <v>0</v>
      </c>
      <c r="C646" s="18">
        <v>24386.746108800002</v>
      </c>
      <c r="D646" s="18">
        <v>0</v>
      </c>
      <c r="E646" s="18">
        <v>27047.539360064646</v>
      </c>
      <c r="F646" s="18">
        <v>24386.746108800002</v>
      </c>
      <c r="G646" s="18">
        <v>27047.539360064646</v>
      </c>
    </row>
    <row r="647" spans="1:7" ht="11.25" customHeight="1" x14ac:dyDescent="0.2">
      <c r="A647" s="28">
        <v>44531</v>
      </c>
      <c r="B647" s="18">
        <v>0</v>
      </c>
      <c r="C647" s="18">
        <v>20295.79493680003</v>
      </c>
      <c r="D647" s="18">
        <v>0</v>
      </c>
      <c r="E647" s="18">
        <v>22510.231990269891</v>
      </c>
      <c r="F647" s="18">
        <v>20295.79493680003</v>
      </c>
      <c r="G647" s="18">
        <v>22510.231990269891</v>
      </c>
    </row>
    <row r="648" spans="1:7" ht="11.25" customHeight="1" x14ac:dyDescent="0.2">
      <c r="A648" s="28">
        <v>44562</v>
      </c>
      <c r="B648" s="18">
        <v>0</v>
      </c>
      <c r="C648" s="18">
        <v>20452.665708800017</v>
      </c>
      <c r="D648" s="18">
        <v>0</v>
      </c>
      <c r="E648" s="18">
        <v>22684.218645200548</v>
      </c>
      <c r="F648" s="18">
        <v>20452.665708800017</v>
      </c>
      <c r="G648" s="18">
        <v>22684.218645200548</v>
      </c>
    </row>
    <row r="649" spans="1:7" ht="11.25" customHeight="1" x14ac:dyDescent="0.2">
      <c r="A649" s="28">
        <v>44593</v>
      </c>
      <c r="B649" s="18">
        <v>0</v>
      </c>
      <c r="C649" s="18">
        <v>25815.052572800028</v>
      </c>
      <c r="D649" s="18">
        <v>0</v>
      </c>
      <c r="E649" s="18">
        <v>28631.685729199766</v>
      </c>
      <c r="F649" s="18">
        <v>25815.052572800028</v>
      </c>
      <c r="G649" s="18">
        <v>28631.685729199766</v>
      </c>
    </row>
    <row r="650" spans="1:7" ht="11.25" customHeight="1" x14ac:dyDescent="0.2">
      <c r="A650" s="28">
        <v>44621</v>
      </c>
      <c r="B650" s="18">
        <v>0</v>
      </c>
      <c r="C650" s="18">
        <v>25815.052572800028</v>
      </c>
      <c r="D650" s="18">
        <v>0</v>
      </c>
      <c r="E650" s="18">
        <v>28631.685729199766</v>
      </c>
      <c r="F650" s="18">
        <v>25815.052572800028</v>
      </c>
      <c r="G650" s="18">
        <v>28631.685729199766</v>
      </c>
    </row>
    <row r="651" spans="1:7" ht="11.25" customHeight="1" x14ac:dyDescent="0.2">
      <c r="A651" s="27" t="s">
        <v>25</v>
      </c>
      <c r="B651" s="18">
        <v>95010.286800000118</v>
      </c>
      <c r="C651" s="18">
        <v>0</v>
      </c>
      <c r="D651" s="18">
        <v>108590.49204763082</v>
      </c>
      <c r="E651" s="18">
        <v>0</v>
      </c>
      <c r="F651" s="18">
        <v>95010.28680000006</v>
      </c>
      <c r="G651" s="18">
        <v>108590.49204763082</v>
      </c>
    </row>
    <row r="652" spans="1:7" ht="11.25" customHeight="1" x14ac:dyDescent="0.2">
      <c r="A652" s="28">
        <v>44287</v>
      </c>
      <c r="B652" s="18">
        <v>8563.9268000000156</v>
      </c>
      <c r="C652" s="18">
        <v>0</v>
      </c>
      <c r="D652" s="18">
        <v>9788.0035561780169</v>
      </c>
      <c r="E652" s="18">
        <v>0</v>
      </c>
      <c r="F652" s="18">
        <v>8563.9268000000156</v>
      </c>
      <c r="G652" s="18">
        <v>9788.0035561780169</v>
      </c>
    </row>
    <row r="653" spans="1:7" ht="11.25" customHeight="1" x14ac:dyDescent="0.2">
      <c r="A653" s="28">
        <v>44317</v>
      </c>
      <c r="B653" s="18">
        <v>6388.6680000000106</v>
      </c>
      <c r="C653" s="18">
        <v>0</v>
      </c>
      <c r="D653" s="18">
        <v>7301.826202349218</v>
      </c>
      <c r="E653" s="18">
        <v>0</v>
      </c>
      <c r="F653" s="18">
        <v>6388.6680000000106</v>
      </c>
      <c r="G653" s="18">
        <v>7301.826202349218</v>
      </c>
    </row>
    <row r="654" spans="1:7" ht="11.25" customHeight="1" x14ac:dyDescent="0.2">
      <c r="A654" s="28">
        <v>44348</v>
      </c>
      <c r="B654" s="18">
        <v>6959.4668000000047</v>
      </c>
      <c r="C654" s="18">
        <v>0</v>
      </c>
      <c r="D654" s="18">
        <v>7954.2115875514919</v>
      </c>
      <c r="E654" s="18">
        <v>0</v>
      </c>
      <c r="F654" s="18">
        <v>6959.4668000000047</v>
      </c>
      <c r="G654" s="18">
        <v>7954.2115875514919</v>
      </c>
    </row>
    <row r="655" spans="1:7" ht="11.25" customHeight="1" x14ac:dyDescent="0.2">
      <c r="A655" s="28">
        <v>44378</v>
      </c>
      <c r="B655" s="18">
        <v>5924.8331999999918</v>
      </c>
      <c r="C655" s="18">
        <v>0</v>
      </c>
      <c r="D655" s="18">
        <v>6771.6936150553502</v>
      </c>
      <c r="E655" s="18">
        <v>0</v>
      </c>
      <c r="F655" s="18">
        <v>5924.8331999999918</v>
      </c>
      <c r="G655" s="18">
        <v>6771.6936150553502</v>
      </c>
    </row>
    <row r="656" spans="1:7" ht="11.25" customHeight="1" x14ac:dyDescent="0.2">
      <c r="A656" s="28">
        <v>44409</v>
      </c>
      <c r="B656" s="18">
        <v>7219.0976000000055</v>
      </c>
      <c r="C656" s="18">
        <v>0</v>
      </c>
      <c r="D656" s="18">
        <v>8250.9524697474189</v>
      </c>
      <c r="E656" s="18">
        <v>0</v>
      </c>
      <c r="F656" s="18">
        <v>7219.0976000000055</v>
      </c>
      <c r="G656" s="18">
        <v>8250.9524697474189</v>
      </c>
    </row>
    <row r="657" spans="1:7" ht="11.25" customHeight="1" x14ac:dyDescent="0.2">
      <c r="A657" s="28">
        <v>44440</v>
      </c>
      <c r="B657" s="18">
        <v>8667.973599999983</v>
      </c>
      <c r="C657" s="18">
        <v>0</v>
      </c>
      <c r="D657" s="18">
        <v>9906.92218687073</v>
      </c>
      <c r="E657" s="18">
        <v>0</v>
      </c>
      <c r="F657" s="18">
        <v>8667.973599999983</v>
      </c>
      <c r="G657" s="18">
        <v>9906.92218687073</v>
      </c>
    </row>
    <row r="658" spans="1:7" ht="11.25" customHeight="1" x14ac:dyDescent="0.2">
      <c r="A658" s="28">
        <v>44470</v>
      </c>
      <c r="B658" s="18">
        <v>9490.6240000000216</v>
      </c>
      <c r="C658" s="18">
        <v>0</v>
      </c>
      <c r="D658" s="18">
        <v>10847.157341693821</v>
      </c>
      <c r="E658" s="18">
        <v>0</v>
      </c>
      <c r="F658" s="18">
        <v>9490.6240000000216</v>
      </c>
      <c r="G658" s="18">
        <v>10847.157341693821</v>
      </c>
    </row>
    <row r="659" spans="1:7" ht="11.25" customHeight="1" x14ac:dyDescent="0.2">
      <c r="A659" s="28">
        <v>44501</v>
      </c>
      <c r="B659" s="18">
        <v>8973.3072000000211</v>
      </c>
      <c r="C659" s="18">
        <v>0</v>
      </c>
      <c r="D659" s="18">
        <v>10255.898355445759</v>
      </c>
      <c r="E659" s="18">
        <v>0</v>
      </c>
      <c r="F659" s="18">
        <v>8973.3072000000211</v>
      </c>
      <c r="G659" s="18">
        <v>10255.898355445759</v>
      </c>
    </row>
    <row r="660" spans="1:7" ht="11.25" customHeight="1" x14ac:dyDescent="0.2">
      <c r="A660" s="28">
        <v>44531</v>
      </c>
      <c r="B660" s="18">
        <v>7784.0620000000008</v>
      </c>
      <c r="C660" s="18">
        <v>0</v>
      </c>
      <c r="D660" s="18">
        <v>8896.669520518326</v>
      </c>
      <c r="E660" s="18">
        <v>0</v>
      </c>
      <c r="F660" s="18">
        <v>7784.0620000000008</v>
      </c>
      <c r="G660" s="18">
        <v>8896.669520518326</v>
      </c>
    </row>
    <row r="661" spans="1:7" ht="11.25" customHeight="1" x14ac:dyDescent="0.2">
      <c r="A661" s="28">
        <v>44562</v>
      </c>
      <c r="B661" s="18">
        <v>7686.8220000000083</v>
      </c>
      <c r="C661" s="18">
        <v>0</v>
      </c>
      <c r="D661" s="18">
        <v>8785.5306133288504</v>
      </c>
      <c r="E661" s="18">
        <v>0</v>
      </c>
      <c r="F661" s="18">
        <v>7686.8220000000083</v>
      </c>
      <c r="G661" s="18">
        <v>8785.5306133288504</v>
      </c>
    </row>
    <row r="662" spans="1:7" ht="11.25" customHeight="1" x14ac:dyDescent="0.2">
      <c r="A662" s="28">
        <v>44593</v>
      </c>
      <c r="B662" s="18">
        <v>8675.7528000000111</v>
      </c>
      <c r="C662" s="18">
        <v>0</v>
      </c>
      <c r="D662" s="18">
        <v>9915.8132994459193</v>
      </c>
      <c r="E662" s="18">
        <v>0</v>
      </c>
      <c r="F662" s="18">
        <v>8675.7528000000111</v>
      </c>
      <c r="G662" s="18">
        <v>9915.8132994459193</v>
      </c>
    </row>
    <row r="663" spans="1:7" ht="11.25" customHeight="1" x14ac:dyDescent="0.2">
      <c r="A663" s="28">
        <v>44621</v>
      </c>
      <c r="B663" s="18">
        <v>8675.7528000000111</v>
      </c>
      <c r="C663" s="18">
        <v>0</v>
      </c>
      <c r="D663" s="18">
        <v>9915.8132994459193</v>
      </c>
      <c r="E663" s="18">
        <v>0</v>
      </c>
      <c r="F663" s="18">
        <v>8675.7528000000111</v>
      </c>
      <c r="G663" s="18">
        <v>9915.8132994459193</v>
      </c>
    </row>
    <row r="664" spans="1:7" ht="11.25" customHeight="1" x14ac:dyDescent="0.2">
      <c r="A664" s="27" t="s">
        <v>34</v>
      </c>
      <c r="B664" s="18">
        <v>0</v>
      </c>
      <c r="C664" s="18">
        <v>28845.581068000032</v>
      </c>
      <c r="D664" s="18">
        <v>0</v>
      </c>
      <c r="E664" s="18">
        <v>34449.844971569546</v>
      </c>
      <c r="F664" s="18">
        <v>28845.581068000032</v>
      </c>
      <c r="G664" s="18">
        <v>34449.844971569546</v>
      </c>
    </row>
    <row r="665" spans="1:7" ht="11.25" customHeight="1" x14ac:dyDescent="0.2">
      <c r="A665" s="28">
        <v>44287</v>
      </c>
      <c r="B665" s="18">
        <v>0</v>
      </c>
      <c r="C665" s="18">
        <v>2373.7018855999986</v>
      </c>
      <c r="D665" s="18">
        <v>0</v>
      </c>
      <c r="E665" s="18">
        <v>2834.8765717310594</v>
      </c>
      <c r="F665" s="18">
        <v>2373.7018855999986</v>
      </c>
      <c r="G665" s="18">
        <v>2834.8765717310594</v>
      </c>
    </row>
    <row r="666" spans="1:7" ht="11.25" customHeight="1" x14ac:dyDescent="0.2">
      <c r="A666" s="28">
        <v>44317</v>
      </c>
      <c r="B666" s="18">
        <v>0</v>
      </c>
      <c r="C666" s="18">
        <v>20085.288575999995</v>
      </c>
      <c r="D666" s="18">
        <v>0</v>
      </c>
      <c r="E666" s="18">
        <v>23987.558996342701</v>
      </c>
      <c r="F666" s="18">
        <v>20085.288575999995</v>
      </c>
      <c r="G666" s="18">
        <v>23987.558996342701</v>
      </c>
    </row>
    <row r="667" spans="1:7" ht="11.25" customHeight="1" x14ac:dyDescent="0.2">
      <c r="A667" s="28">
        <v>44348</v>
      </c>
      <c r="B667" s="18">
        <v>0</v>
      </c>
      <c r="C667" s="18">
        <v>1892.7234575999951</v>
      </c>
      <c r="D667" s="18">
        <v>0</v>
      </c>
      <c r="E667" s="18">
        <v>2260.4512467494478</v>
      </c>
      <c r="F667" s="18">
        <v>1892.7234575999951</v>
      </c>
      <c r="G667" s="18">
        <v>2260.4512467494478</v>
      </c>
    </row>
    <row r="668" spans="1:7" ht="11.25" customHeight="1" x14ac:dyDescent="0.2">
      <c r="A668" s="28">
        <v>44378</v>
      </c>
      <c r="B668" s="18">
        <v>0</v>
      </c>
      <c r="C668" s="18">
        <v>2194.1263119999958</v>
      </c>
      <c r="D668" s="18">
        <v>0</v>
      </c>
      <c r="E668" s="18">
        <v>2620.4121566576655</v>
      </c>
      <c r="F668" s="18">
        <v>2194.1263119999958</v>
      </c>
      <c r="G668" s="18">
        <v>2620.4121566576655</v>
      </c>
    </row>
    <row r="669" spans="1:7" ht="11.25" customHeight="1" x14ac:dyDescent="0.2">
      <c r="A669" s="28">
        <v>44409</v>
      </c>
      <c r="B669" s="18">
        <v>0</v>
      </c>
      <c r="C669" s="18">
        <v>-16092.627198399969</v>
      </c>
      <c r="D669" s="18">
        <v>0</v>
      </c>
      <c r="E669" s="18">
        <v>-19219.183377281865</v>
      </c>
      <c r="F669" s="18">
        <v>-16092.627198399969</v>
      </c>
      <c r="G669" s="18">
        <v>-19219.183377281865</v>
      </c>
    </row>
    <row r="670" spans="1:7" ht="11.25" customHeight="1" x14ac:dyDescent="0.2">
      <c r="A670" s="28">
        <v>44440</v>
      </c>
      <c r="B670" s="18">
        <v>0</v>
      </c>
      <c r="C670" s="18">
        <v>2266.4660852000002</v>
      </c>
      <c r="D670" s="18">
        <v>0</v>
      </c>
      <c r="E670" s="18">
        <v>2706.8064631597199</v>
      </c>
      <c r="F670" s="18">
        <v>2266.4660852000002</v>
      </c>
      <c r="G670" s="18">
        <v>2706.8064631597199</v>
      </c>
    </row>
    <row r="671" spans="1:7" ht="11.25" customHeight="1" x14ac:dyDescent="0.2">
      <c r="A671" s="28">
        <v>44470</v>
      </c>
      <c r="B671" s="18">
        <v>0</v>
      </c>
      <c r="C671" s="18">
        <v>2726.6767448000005</v>
      </c>
      <c r="D671" s="18">
        <v>0</v>
      </c>
      <c r="E671" s="18">
        <v>3256.4291537239842</v>
      </c>
      <c r="F671" s="18">
        <v>2726.6767448000005</v>
      </c>
      <c r="G671" s="18">
        <v>3256.4291537239842</v>
      </c>
    </row>
    <row r="672" spans="1:7" ht="11.25" customHeight="1" x14ac:dyDescent="0.2">
      <c r="A672" s="28">
        <v>44501</v>
      </c>
      <c r="B672" s="18">
        <v>0</v>
      </c>
      <c r="C672" s="18">
        <v>3589.5041784000023</v>
      </c>
      <c r="D672" s="18">
        <v>0</v>
      </c>
      <c r="E672" s="18">
        <v>4286.8910208177986</v>
      </c>
      <c r="F672" s="18">
        <v>3589.5041784000023</v>
      </c>
      <c r="G672" s="18">
        <v>4286.8910208177986</v>
      </c>
    </row>
    <row r="673" spans="1:7" ht="11.25" customHeight="1" x14ac:dyDescent="0.2">
      <c r="A673" s="28">
        <v>44531</v>
      </c>
      <c r="B673" s="18">
        <v>0</v>
      </c>
      <c r="C673" s="18">
        <v>2846.9599536000082</v>
      </c>
      <c r="D673" s="18">
        <v>0</v>
      </c>
      <c r="E673" s="18">
        <v>3400.0815865203567</v>
      </c>
      <c r="F673" s="18">
        <v>2846.9599536000082</v>
      </c>
      <c r="G673" s="18">
        <v>3400.0815865203567</v>
      </c>
    </row>
    <row r="674" spans="1:7" ht="11.25" customHeight="1" x14ac:dyDescent="0.2">
      <c r="A674" s="28">
        <v>44562</v>
      </c>
      <c r="B674" s="18">
        <v>0</v>
      </c>
      <c r="C674" s="18">
        <v>2301.825334000001</v>
      </c>
      <c r="D674" s="18">
        <v>0</v>
      </c>
      <c r="E674" s="18">
        <v>2749.0354838405524</v>
      </c>
      <c r="F674" s="18">
        <v>2301.825334000001</v>
      </c>
      <c r="G674" s="18">
        <v>2749.0354838405524</v>
      </c>
    </row>
    <row r="675" spans="1:7" ht="11.25" customHeight="1" x14ac:dyDescent="0.2">
      <c r="A675" s="28">
        <v>44593</v>
      </c>
      <c r="B675" s="18">
        <v>0</v>
      </c>
      <c r="C675" s="18">
        <v>2330.4678696000001</v>
      </c>
      <c r="D675" s="18">
        <v>0</v>
      </c>
      <c r="E675" s="18">
        <v>2783.2428346540623</v>
      </c>
      <c r="F675" s="18">
        <v>2330.4678696000001</v>
      </c>
      <c r="G675" s="18">
        <v>2783.2428346540623</v>
      </c>
    </row>
    <row r="676" spans="1:7" ht="11.25" customHeight="1" x14ac:dyDescent="0.2">
      <c r="A676" s="28">
        <v>44621</v>
      </c>
      <c r="B676" s="18">
        <v>0</v>
      </c>
      <c r="C676" s="18">
        <v>2330.4678696000001</v>
      </c>
      <c r="D676" s="18">
        <v>0</v>
      </c>
      <c r="E676" s="18">
        <v>2783.2428346540623</v>
      </c>
      <c r="F676" s="18">
        <v>2330.4678696000001</v>
      </c>
      <c r="G676" s="18">
        <v>2783.2428346540623</v>
      </c>
    </row>
    <row r="677" spans="1:7" ht="11.25" customHeight="1" x14ac:dyDescent="0.2">
      <c r="A677" s="21" t="s">
        <v>44</v>
      </c>
      <c r="B677" s="18">
        <v>0</v>
      </c>
      <c r="C677" s="18">
        <v>4014306.2682306436</v>
      </c>
      <c r="D677" s="18">
        <v>0</v>
      </c>
      <c r="E677" s="18">
        <v>2345137.9387521609</v>
      </c>
      <c r="F677" s="18">
        <v>4014306.2682306427</v>
      </c>
      <c r="G677" s="18">
        <v>2345137.9387521609</v>
      </c>
    </row>
    <row r="678" spans="1:7" ht="11.25" customHeight="1" x14ac:dyDescent="0.2">
      <c r="A678" s="22" t="s">
        <v>33</v>
      </c>
      <c r="B678" s="18">
        <v>0</v>
      </c>
      <c r="C678" s="18">
        <v>2675.8240506382976</v>
      </c>
      <c r="D678" s="18">
        <v>0</v>
      </c>
      <c r="E678" s="18">
        <v>3308.6745363776522</v>
      </c>
      <c r="F678" s="18">
        <v>2675.8240506382976</v>
      </c>
      <c r="G678" s="18">
        <v>3308.6745363776522</v>
      </c>
    </row>
    <row r="679" spans="1:7" ht="11.25" customHeight="1" x14ac:dyDescent="0.2">
      <c r="A679" s="23" t="s">
        <v>45</v>
      </c>
      <c r="B679" s="18">
        <v>0</v>
      </c>
      <c r="C679" s="18">
        <v>2675.8240506382976</v>
      </c>
      <c r="D679" s="18">
        <v>0</v>
      </c>
      <c r="E679" s="18">
        <v>3308.6745363776522</v>
      </c>
      <c r="F679" s="18">
        <v>2675.8240506382976</v>
      </c>
      <c r="G679" s="18">
        <v>3308.6745363776522</v>
      </c>
    </row>
    <row r="680" spans="1:7" ht="11.25" customHeight="1" x14ac:dyDescent="0.2">
      <c r="A680" s="24" t="s">
        <v>53</v>
      </c>
      <c r="B680" s="18">
        <v>0</v>
      </c>
      <c r="C680" s="18">
        <v>2228.4714797872339</v>
      </c>
      <c r="D680" s="18">
        <v>0</v>
      </c>
      <c r="E680" s="18">
        <v>2754.3303191772343</v>
      </c>
      <c r="F680" s="18">
        <v>2228.4714797872339</v>
      </c>
      <c r="G680" s="18">
        <v>2754.3303191772343</v>
      </c>
    </row>
    <row r="681" spans="1:7" ht="11.25" customHeight="1" x14ac:dyDescent="0.2">
      <c r="A681" s="25" t="s">
        <v>54</v>
      </c>
      <c r="B681" s="18">
        <v>0</v>
      </c>
      <c r="C681" s="18">
        <v>339.48458617021237</v>
      </c>
      <c r="D681" s="18">
        <v>0</v>
      </c>
      <c r="E681" s="18">
        <v>420.12402533370152</v>
      </c>
      <c r="F681" s="18">
        <v>339.48458617021237</v>
      </c>
      <c r="G681" s="18">
        <v>420.12402533370152</v>
      </c>
    </row>
    <row r="682" spans="1:7" ht="11.25" customHeight="1" x14ac:dyDescent="0.2">
      <c r="A682" s="26" t="s">
        <v>25</v>
      </c>
      <c r="B682" s="18">
        <v>0</v>
      </c>
      <c r="C682" s="18">
        <v>339.48458617021237</v>
      </c>
      <c r="D682" s="18">
        <v>0</v>
      </c>
      <c r="E682" s="18">
        <v>420.12402533370152</v>
      </c>
      <c r="F682" s="18">
        <v>339.48458617021237</v>
      </c>
      <c r="G682" s="18">
        <v>420.12402533370152</v>
      </c>
    </row>
    <row r="683" spans="1:7" ht="11.25" customHeight="1" x14ac:dyDescent="0.2">
      <c r="A683" s="27" t="s">
        <v>35</v>
      </c>
      <c r="B683" s="18">
        <v>0</v>
      </c>
      <c r="C683" s="18">
        <v>318.56031702127621</v>
      </c>
      <c r="D683" s="18">
        <v>0</v>
      </c>
      <c r="E683" s="18">
        <v>393.6424860714842</v>
      </c>
      <c r="F683" s="18">
        <v>318.56031702127621</v>
      </c>
      <c r="G683" s="18">
        <v>393.6424860714842</v>
      </c>
    </row>
    <row r="684" spans="1:7" ht="11.25" customHeight="1" x14ac:dyDescent="0.2">
      <c r="A684" s="28">
        <v>44470</v>
      </c>
      <c r="B684" s="18">
        <v>0</v>
      </c>
      <c r="C684" s="18">
        <v>111.51415531914893</v>
      </c>
      <c r="D684" s="18">
        <v>0</v>
      </c>
      <c r="E684" s="18">
        <v>137.79716740129808</v>
      </c>
      <c r="F684" s="18">
        <v>111.51415531914893</v>
      </c>
      <c r="G684" s="18">
        <v>137.79716740129808</v>
      </c>
    </row>
    <row r="685" spans="1:7" ht="11.25" customHeight="1" x14ac:dyDescent="0.2">
      <c r="A685" s="28">
        <v>44501</v>
      </c>
      <c r="B685" s="18">
        <v>0</v>
      </c>
      <c r="C685" s="18">
        <v>111.51415531914893</v>
      </c>
      <c r="D685" s="18">
        <v>0</v>
      </c>
      <c r="E685" s="18">
        <v>137.79716740129808</v>
      </c>
      <c r="F685" s="18">
        <v>111.51415531914893</v>
      </c>
      <c r="G685" s="18">
        <v>137.79716740129808</v>
      </c>
    </row>
    <row r="686" spans="1:7" ht="11.25" customHeight="1" x14ac:dyDescent="0.2">
      <c r="A686" s="28">
        <v>44531</v>
      </c>
      <c r="B686" s="18">
        <v>0</v>
      </c>
      <c r="C686" s="18">
        <v>1047.2431978723403</v>
      </c>
      <c r="D686" s="18">
        <v>0</v>
      </c>
      <c r="E686" s="18">
        <v>1294.0702087020654</v>
      </c>
      <c r="F686" s="18">
        <v>1047.2431978723403</v>
      </c>
      <c r="G686" s="18">
        <v>1294.0702087020654</v>
      </c>
    </row>
    <row r="687" spans="1:7" ht="11.25" customHeight="1" x14ac:dyDescent="0.2">
      <c r="A687" s="28">
        <v>44562</v>
      </c>
      <c r="B687" s="18">
        <v>0</v>
      </c>
      <c r="C687" s="18">
        <v>937.27570212765954</v>
      </c>
      <c r="D687" s="18">
        <v>0</v>
      </c>
      <c r="E687" s="18">
        <v>1158.1842364103557</v>
      </c>
      <c r="F687" s="18">
        <v>937.27570212765954</v>
      </c>
      <c r="G687" s="18">
        <v>1158.1842364103557</v>
      </c>
    </row>
    <row r="688" spans="1:7" ht="11.25" customHeight="1" x14ac:dyDescent="0.2">
      <c r="A688" s="28">
        <v>44593</v>
      </c>
      <c r="B688" s="18">
        <v>0</v>
      </c>
      <c r="C688" s="18">
        <v>-944.49344680851073</v>
      </c>
      <c r="D688" s="18">
        <v>0</v>
      </c>
      <c r="E688" s="18">
        <v>-1167.1031469217664</v>
      </c>
      <c r="F688" s="18">
        <v>-944.49344680851073</v>
      </c>
      <c r="G688" s="18">
        <v>-1167.1031469217664</v>
      </c>
    </row>
    <row r="689" spans="1:7" ht="11.25" customHeight="1" x14ac:dyDescent="0.2">
      <c r="A689" s="28">
        <v>44621</v>
      </c>
      <c r="B689" s="18">
        <v>0</v>
      </c>
      <c r="C689" s="18">
        <v>-944.49344680851073</v>
      </c>
      <c r="D689" s="18">
        <v>0</v>
      </c>
      <c r="E689" s="18">
        <v>-1167.1031469217664</v>
      </c>
      <c r="F689" s="18">
        <v>-944.49344680851073</v>
      </c>
      <c r="G689" s="18">
        <v>-1167.1031469217664</v>
      </c>
    </row>
    <row r="690" spans="1:7" ht="11.25" customHeight="1" x14ac:dyDescent="0.2">
      <c r="A690" s="27" t="s">
        <v>36</v>
      </c>
      <c r="B690" s="18">
        <v>0</v>
      </c>
      <c r="C690" s="18">
        <v>15.264047872340424</v>
      </c>
      <c r="D690" s="18">
        <v>0</v>
      </c>
      <c r="E690" s="18">
        <v>19.353109497705418</v>
      </c>
      <c r="F690" s="18">
        <v>15.264047872340424</v>
      </c>
      <c r="G690" s="18">
        <v>19.353109497705418</v>
      </c>
    </row>
    <row r="691" spans="1:7" ht="11.25" customHeight="1" x14ac:dyDescent="0.2">
      <c r="A691" s="28">
        <v>44470</v>
      </c>
      <c r="B691" s="18">
        <v>0</v>
      </c>
      <c r="C691" s="18">
        <v>3.3182712765957443</v>
      </c>
      <c r="D691" s="18">
        <v>0</v>
      </c>
      <c r="E691" s="18">
        <v>4.2071977168924821</v>
      </c>
      <c r="F691" s="18">
        <v>3.3182712765957443</v>
      </c>
      <c r="G691" s="18">
        <v>4.2071977168924821</v>
      </c>
    </row>
    <row r="692" spans="1:7" ht="11.25" customHeight="1" x14ac:dyDescent="0.2">
      <c r="A692" s="28">
        <v>44501</v>
      </c>
      <c r="B692" s="18">
        <v>0</v>
      </c>
      <c r="C692" s="18">
        <v>3.3182712765957443</v>
      </c>
      <c r="D692" s="18">
        <v>0</v>
      </c>
      <c r="E692" s="18">
        <v>4.2071977168924821</v>
      </c>
      <c r="F692" s="18">
        <v>3.3182712765957443</v>
      </c>
      <c r="G692" s="18">
        <v>4.2071977168924821</v>
      </c>
    </row>
    <row r="693" spans="1:7" ht="11.25" customHeight="1" x14ac:dyDescent="0.2">
      <c r="A693" s="28">
        <v>44531</v>
      </c>
      <c r="B693" s="18">
        <v>0</v>
      </c>
      <c r="C693" s="18">
        <v>7.7426329787234032</v>
      </c>
      <c r="D693" s="18">
        <v>0</v>
      </c>
      <c r="E693" s="18">
        <v>9.8167946727491255</v>
      </c>
      <c r="F693" s="18">
        <v>7.7426329787234032</v>
      </c>
      <c r="G693" s="18">
        <v>9.8167946727491255</v>
      </c>
    </row>
    <row r="694" spans="1:7" ht="11.25" customHeight="1" x14ac:dyDescent="0.2">
      <c r="A694" s="28">
        <v>44562</v>
      </c>
      <c r="B694" s="18">
        <v>0</v>
      </c>
      <c r="C694" s="18">
        <v>0.88487234042553187</v>
      </c>
      <c r="D694" s="18">
        <v>0</v>
      </c>
      <c r="E694" s="18">
        <v>1.1219193911713286</v>
      </c>
      <c r="F694" s="18">
        <v>0.88487234042553187</v>
      </c>
      <c r="G694" s="18">
        <v>1.1219193911713286</v>
      </c>
    </row>
    <row r="695" spans="1:7" ht="11.25" customHeight="1" x14ac:dyDescent="0.2">
      <c r="A695" s="27" t="s">
        <v>34</v>
      </c>
      <c r="B695" s="18">
        <v>0</v>
      </c>
      <c r="C695" s="18">
        <v>5.6602212765957454</v>
      </c>
      <c r="D695" s="18">
        <v>0</v>
      </c>
      <c r="E695" s="18">
        <v>7.1284297645118579</v>
      </c>
      <c r="F695" s="18">
        <v>5.6602212765957454</v>
      </c>
      <c r="G695" s="18">
        <v>7.1284297645118579</v>
      </c>
    </row>
    <row r="696" spans="1:7" ht="11.25" customHeight="1" x14ac:dyDescent="0.2">
      <c r="A696" s="28">
        <v>44531</v>
      </c>
      <c r="B696" s="18">
        <v>0</v>
      </c>
      <c r="C696" s="18">
        <v>2.8301106382978727</v>
      </c>
      <c r="D696" s="18">
        <v>0</v>
      </c>
      <c r="E696" s="18">
        <v>3.564214882255929</v>
      </c>
      <c r="F696" s="18">
        <v>2.8301106382978727</v>
      </c>
      <c r="G696" s="18">
        <v>3.564214882255929</v>
      </c>
    </row>
    <row r="697" spans="1:7" ht="11.25" customHeight="1" x14ac:dyDescent="0.2">
      <c r="A697" s="28">
        <v>44562</v>
      </c>
      <c r="B697" s="18">
        <v>0</v>
      </c>
      <c r="C697" s="18">
        <v>2.8301106382978727</v>
      </c>
      <c r="D697" s="18">
        <v>0</v>
      </c>
      <c r="E697" s="18">
        <v>3.564214882255929</v>
      </c>
      <c r="F697" s="18">
        <v>2.8301106382978727</v>
      </c>
      <c r="G697" s="18">
        <v>3.564214882255929</v>
      </c>
    </row>
    <row r="698" spans="1:7" ht="11.25" customHeight="1" x14ac:dyDescent="0.2">
      <c r="A698" s="25" t="s">
        <v>55</v>
      </c>
      <c r="B698" s="18">
        <v>0</v>
      </c>
      <c r="C698" s="18">
        <v>1888.9868936170215</v>
      </c>
      <c r="D698" s="18">
        <v>0</v>
      </c>
      <c r="E698" s="18">
        <v>2334.2062938435329</v>
      </c>
      <c r="F698" s="18">
        <v>1888.9868936170215</v>
      </c>
      <c r="G698" s="18">
        <v>2334.2062938435329</v>
      </c>
    </row>
    <row r="699" spans="1:7" ht="11.25" customHeight="1" x14ac:dyDescent="0.2">
      <c r="A699" s="26" t="s">
        <v>25</v>
      </c>
      <c r="B699" s="18">
        <v>0</v>
      </c>
      <c r="C699" s="18">
        <v>1888.9868936170215</v>
      </c>
      <c r="D699" s="18">
        <v>0</v>
      </c>
      <c r="E699" s="18">
        <v>2334.2062938435329</v>
      </c>
      <c r="F699" s="18">
        <v>1888.9868936170215</v>
      </c>
      <c r="G699" s="18">
        <v>2334.2062938435329</v>
      </c>
    </row>
    <row r="700" spans="1:7" ht="11.25" customHeight="1" x14ac:dyDescent="0.2">
      <c r="A700" s="27" t="s">
        <v>35</v>
      </c>
      <c r="B700" s="18">
        <v>0</v>
      </c>
      <c r="C700" s="18">
        <v>1888.9868936170215</v>
      </c>
      <c r="D700" s="18">
        <v>0</v>
      </c>
      <c r="E700" s="18">
        <v>2334.2062938435329</v>
      </c>
      <c r="F700" s="18">
        <v>1888.9868936170215</v>
      </c>
      <c r="G700" s="18">
        <v>2334.2062938435329</v>
      </c>
    </row>
    <row r="701" spans="1:7" ht="11.25" customHeight="1" x14ac:dyDescent="0.2">
      <c r="A701" s="28">
        <v>44593</v>
      </c>
      <c r="B701" s="18">
        <v>0</v>
      </c>
      <c r="C701" s="18">
        <v>944.49344680851073</v>
      </c>
      <c r="D701" s="18">
        <v>0</v>
      </c>
      <c r="E701" s="18">
        <v>1167.1031469217664</v>
      </c>
      <c r="F701" s="18">
        <v>944.49344680851073</v>
      </c>
      <c r="G701" s="18">
        <v>1167.1031469217664</v>
      </c>
    </row>
    <row r="702" spans="1:7" ht="11.25" customHeight="1" x14ac:dyDescent="0.2">
      <c r="A702" s="28">
        <v>44621</v>
      </c>
      <c r="B702" s="18">
        <v>0</v>
      </c>
      <c r="C702" s="18">
        <v>944.49344680851073</v>
      </c>
      <c r="D702" s="18">
        <v>0</v>
      </c>
      <c r="E702" s="18">
        <v>1167.1031469217664</v>
      </c>
      <c r="F702" s="18">
        <v>944.49344680851073</v>
      </c>
      <c r="G702" s="18">
        <v>1167.1031469217664</v>
      </c>
    </row>
    <row r="703" spans="1:7" ht="11.25" customHeight="1" x14ac:dyDescent="0.2">
      <c r="A703" s="24" t="s">
        <v>25</v>
      </c>
      <c r="B703" s="18">
        <v>0</v>
      </c>
      <c r="C703" s="18">
        <v>447.35257085106394</v>
      </c>
      <c r="D703" s="18">
        <v>0</v>
      </c>
      <c r="E703" s="18">
        <v>554.34421720041826</v>
      </c>
      <c r="F703" s="18">
        <v>447.35257085106394</v>
      </c>
      <c r="G703" s="18">
        <v>554.34421720041826</v>
      </c>
    </row>
    <row r="704" spans="1:7" ht="11.25" customHeight="1" x14ac:dyDescent="0.2">
      <c r="A704" s="25" t="s">
        <v>25</v>
      </c>
      <c r="B704" s="18">
        <v>0</v>
      </c>
      <c r="C704" s="18">
        <v>447.35257085106394</v>
      </c>
      <c r="D704" s="18">
        <v>0</v>
      </c>
      <c r="E704" s="18">
        <v>554.34421720041826</v>
      </c>
      <c r="F704" s="18">
        <v>447.35257085106394</v>
      </c>
      <c r="G704" s="18">
        <v>554.34421720041826</v>
      </c>
    </row>
    <row r="705" spans="1:7" ht="11.25" customHeight="1" x14ac:dyDescent="0.2">
      <c r="A705" s="26" t="s">
        <v>25</v>
      </c>
      <c r="B705" s="18">
        <v>0</v>
      </c>
      <c r="C705" s="18">
        <v>447.35257085106394</v>
      </c>
      <c r="D705" s="18">
        <v>0</v>
      </c>
      <c r="E705" s="18">
        <v>554.34421720041826</v>
      </c>
      <c r="F705" s="18">
        <v>447.35257085106394</v>
      </c>
      <c r="G705" s="18">
        <v>554.34421720041826</v>
      </c>
    </row>
    <row r="706" spans="1:7" ht="11.25" customHeight="1" x14ac:dyDescent="0.2">
      <c r="A706" s="27" t="s">
        <v>35</v>
      </c>
      <c r="B706" s="18">
        <v>0</v>
      </c>
      <c r="C706" s="18">
        <v>389.16532659574472</v>
      </c>
      <c r="D706" s="18">
        <v>0</v>
      </c>
      <c r="E706" s="18">
        <v>480.88854282417867</v>
      </c>
      <c r="F706" s="18">
        <v>389.16532659574472</v>
      </c>
      <c r="G706" s="18">
        <v>480.88854282417867</v>
      </c>
    </row>
    <row r="707" spans="1:7" ht="11.25" customHeight="1" x14ac:dyDescent="0.2">
      <c r="A707" s="28">
        <v>44287</v>
      </c>
      <c r="B707" s="18">
        <v>0</v>
      </c>
      <c r="C707" s="18">
        <v>46.915340425531923</v>
      </c>
      <c r="D707" s="18">
        <v>0</v>
      </c>
      <c r="E707" s="18">
        <v>57.972918324170713</v>
      </c>
      <c r="F707" s="18">
        <v>46.915340425531923</v>
      </c>
      <c r="G707" s="18">
        <v>57.972918324170713</v>
      </c>
    </row>
    <row r="708" spans="1:7" ht="11.25" customHeight="1" x14ac:dyDescent="0.2">
      <c r="A708" s="28">
        <v>44317</v>
      </c>
      <c r="B708" s="18">
        <v>0</v>
      </c>
      <c r="C708" s="18">
        <v>20.699460638297875</v>
      </c>
      <c r="D708" s="18">
        <v>0</v>
      </c>
      <c r="E708" s="18">
        <v>25.578161216653342</v>
      </c>
      <c r="F708" s="18">
        <v>20.699460638297875</v>
      </c>
      <c r="G708" s="18">
        <v>25.578161216653342</v>
      </c>
    </row>
    <row r="709" spans="1:7" ht="11.25" customHeight="1" x14ac:dyDescent="0.2">
      <c r="A709" s="28">
        <v>44348</v>
      </c>
      <c r="B709" s="18">
        <v>0</v>
      </c>
      <c r="C709" s="18">
        <v>23.921668085106386</v>
      </c>
      <c r="D709" s="18">
        <v>0</v>
      </c>
      <c r="E709" s="18">
        <v>29.559817694961772</v>
      </c>
      <c r="F709" s="18">
        <v>23.921668085106386</v>
      </c>
      <c r="G709" s="18">
        <v>29.559817694961772</v>
      </c>
    </row>
    <row r="710" spans="1:7" ht="11.25" customHeight="1" x14ac:dyDescent="0.2">
      <c r="A710" s="28">
        <v>44378</v>
      </c>
      <c r="B710" s="18">
        <v>0</v>
      </c>
      <c r="C710" s="18">
        <v>14.332378723404258</v>
      </c>
      <c r="D710" s="18">
        <v>0</v>
      </c>
      <c r="E710" s="18">
        <v>17.710408015515892</v>
      </c>
      <c r="F710" s="18">
        <v>14.332378723404258</v>
      </c>
      <c r="G710" s="18">
        <v>17.710408015515892</v>
      </c>
    </row>
    <row r="711" spans="1:7" ht="11.25" customHeight="1" x14ac:dyDescent="0.2">
      <c r="A711" s="28">
        <v>44409</v>
      </c>
      <c r="B711" s="18">
        <v>0</v>
      </c>
      <c r="C711" s="18">
        <v>19.565243617021277</v>
      </c>
      <c r="D711" s="18">
        <v>0</v>
      </c>
      <c r="E711" s="18">
        <v>24.176618136288777</v>
      </c>
      <c r="F711" s="18">
        <v>19.565243617021277</v>
      </c>
      <c r="G711" s="18">
        <v>24.176618136288777</v>
      </c>
    </row>
    <row r="712" spans="1:7" ht="11.25" customHeight="1" x14ac:dyDescent="0.2">
      <c r="A712" s="28">
        <v>44440</v>
      </c>
      <c r="B712" s="18">
        <v>0</v>
      </c>
      <c r="C712" s="18">
        <v>48.384667021276591</v>
      </c>
      <c r="D712" s="18">
        <v>0</v>
      </c>
      <c r="E712" s="18">
        <v>59.788553678279357</v>
      </c>
      <c r="F712" s="18">
        <v>48.384667021276591</v>
      </c>
      <c r="G712" s="18">
        <v>59.788553678279357</v>
      </c>
    </row>
    <row r="713" spans="1:7" ht="11.25" customHeight="1" x14ac:dyDescent="0.2">
      <c r="A713" s="28">
        <v>44470</v>
      </c>
      <c r="B713" s="18">
        <v>0</v>
      </c>
      <c r="C713" s="18">
        <v>55.628189361702127</v>
      </c>
      <c r="D713" s="18">
        <v>0</v>
      </c>
      <c r="E713" s="18">
        <v>68.73931744151669</v>
      </c>
      <c r="F713" s="18">
        <v>55.628189361702127</v>
      </c>
      <c r="G713" s="18">
        <v>68.73931744151669</v>
      </c>
    </row>
    <row r="714" spans="1:7" ht="11.25" customHeight="1" x14ac:dyDescent="0.2">
      <c r="A714" s="28">
        <v>44501</v>
      </c>
      <c r="B714" s="18">
        <v>0</v>
      </c>
      <c r="C714" s="18">
        <v>41.862919148936165</v>
      </c>
      <c r="D714" s="18">
        <v>0</v>
      </c>
      <c r="E714" s="18">
        <v>51.729680966183103</v>
      </c>
      <c r="F714" s="18">
        <v>41.862919148936165</v>
      </c>
      <c r="G714" s="18">
        <v>51.729680966183103</v>
      </c>
    </row>
    <row r="715" spans="1:7" ht="11.25" customHeight="1" x14ac:dyDescent="0.2">
      <c r="A715" s="28">
        <v>44531</v>
      </c>
      <c r="B715" s="18">
        <v>0</v>
      </c>
      <c r="C715" s="18">
        <v>26.52521170212766</v>
      </c>
      <c r="D715" s="18">
        <v>0</v>
      </c>
      <c r="E715" s="18">
        <v>32.776996129434977</v>
      </c>
      <c r="F715" s="18">
        <v>26.52521170212766</v>
      </c>
      <c r="G715" s="18">
        <v>32.776996129434977</v>
      </c>
    </row>
    <row r="716" spans="1:7" ht="11.25" customHeight="1" x14ac:dyDescent="0.2">
      <c r="A716" s="28">
        <v>44562</v>
      </c>
      <c r="B716" s="18">
        <v>0</v>
      </c>
      <c r="C716" s="18">
        <v>26.26743510638298</v>
      </c>
      <c r="D716" s="18">
        <v>0</v>
      </c>
      <c r="E716" s="18">
        <v>32.458463611170302</v>
      </c>
      <c r="F716" s="18">
        <v>26.26743510638298</v>
      </c>
      <c r="G716" s="18">
        <v>32.458463611170302</v>
      </c>
    </row>
    <row r="717" spans="1:7" ht="11.25" customHeight="1" x14ac:dyDescent="0.2">
      <c r="A717" s="28">
        <v>44593</v>
      </c>
      <c r="B717" s="18">
        <v>0</v>
      </c>
      <c r="C717" s="18">
        <v>32.53140638297873</v>
      </c>
      <c r="D717" s="18">
        <v>0</v>
      </c>
      <c r="E717" s="18">
        <v>40.198803805001887</v>
      </c>
      <c r="F717" s="18">
        <v>32.53140638297873</v>
      </c>
      <c r="G717" s="18">
        <v>40.198803805001887</v>
      </c>
    </row>
    <row r="718" spans="1:7" ht="11.25" customHeight="1" x14ac:dyDescent="0.2">
      <c r="A718" s="28">
        <v>44621</v>
      </c>
      <c r="B718" s="18">
        <v>0</v>
      </c>
      <c r="C718" s="18">
        <v>32.53140638297873</v>
      </c>
      <c r="D718" s="18">
        <v>0</v>
      </c>
      <c r="E718" s="18">
        <v>40.198803805001887</v>
      </c>
      <c r="F718" s="18">
        <v>32.53140638297873</v>
      </c>
      <c r="G718" s="18">
        <v>40.198803805001887</v>
      </c>
    </row>
    <row r="719" spans="1:7" ht="11.25" customHeight="1" x14ac:dyDescent="0.2">
      <c r="A719" s="27" t="s">
        <v>36</v>
      </c>
      <c r="B719" s="18">
        <v>0</v>
      </c>
      <c r="C719" s="18">
        <v>20.61752553191489</v>
      </c>
      <c r="D719" s="18">
        <v>0</v>
      </c>
      <c r="E719" s="18">
        <v>26.140721814291965</v>
      </c>
      <c r="F719" s="18">
        <v>20.61752553191489</v>
      </c>
      <c r="G719" s="18">
        <v>26.140721814291965</v>
      </c>
    </row>
    <row r="720" spans="1:7" ht="11.25" customHeight="1" x14ac:dyDescent="0.2">
      <c r="A720" s="28">
        <v>44287</v>
      </c>
      <c r="B720" s="18">
        <v>0</v>
      </c>
      <c r="C720" s="18">
        <v>4.1146563829787235</v>
      </c>
      <c r="D720" s="18">
        <v>0</v>
      </c>
      <c r="E720" s="18">
        <v>5.2169251689466787</v>
      </c>
      <c r="F720" s="18">
        <v>4.1146563829787235</v>
      </c>
      <c r="G720" s="18">
        <v>5.2169251689466787</v>
      </c>
    </row>
    <row r="721" spans="1:7" ht="11.25" customHeight="1" x14ac:dyDescent="0.2">
      <c r="A721" s="28">
        <v>44317</v>
      </c>
      <c r="B721" s="18">
        <v>0</v>
      </c>
      <c r="C721" s="18">
        <v>1.6812574468085104</v>
      </c>
      <c r="D721" s="18">
        <v>0</v>
      </c>
      <c r="E721" s="18">
        <v>2.1316468432255244</v>
      </c>
      <c r="F721" s="18">
        <v>1.6812574468085104</v>
      </c>
      <c r="G721" s="18">
        <v>2.1316468432255244</v>
      </c>
    </row>
    <row r="722" spans="1:7" ht="11.25" customHeight="1" x14ac:dyDescent="0.2">
      <c r="A722" s="28">
        <v>44348</v>
      </c>
      <c r="B722" s="18">
        <v>0</v>
      </c>
      <c r="C722" s="18">
        <v>1.3715521276595743</v>
      </c>
      <c r="D722" s="18">
        <v>0</v>
      </c>
      <c r="E722" s="18">
        <v>1.7389750563155595</v>
      </c>
      <c r="F722" s="18">
        <v>1.3715521276595743</v>
      </c>
      <c r="G722" s="18">
        <v>1.7389750563155595</v>
      </c>
    </row>
    <row r="723" spans="1:7" ht="11.25" customHeight="1" x14ac:dyDescent="0.2">
      <c r="A723" s="28">
        <v>44378</v>
      </c>
      <c r="B723" s="18">
        <v>0</v>
      </c>
      <c r="C723" s="18">
        <v>1.5042829787234044</v>
      </c>
      <c r="D723" s="18">
        <v>0</v>
      </c>
      <c r="E723" s="18">
        <v>1.9072629649912591</v>
      </c>
      <c r="F723" s="18">
        <v>1.5042829787234044</v>
      </c>
      <c r="G723" s="18">
        <v>1.9072629649912591</v>
      </c>
    </row>
    <row r="724" spans="1:7" ht="11.25" customHeight="1" x14ac:dyDescent="0.2">
      <c r="A724" s="28">
        <v>44409</v>
      </c>
      <c r="B724" s="18">
        <v>0</v>
      </c>
      <c r="C724" s="18">
        <v>1.4157957446808511</v>
      </c>
      <c r="D724" s="18">
        <v>0</v>
      </c>
      <c r="E724" s="18">
        <v>1.7950710258741258</v>
      </c>
      <c r="F724" s="18">
        <v>1.4157957446808511</v>
      </c>
      <c r="G724" s="18">
        <v>1.7950710258741258</v>
      </c>
    </row>
    <row r="725" spans="1:7" ht="11.25" customHeight="1" x14ac:dyDescent="0.2">
      <c r="A725" s="28">
        <v>44440</v>
      </c>
      <c r="B725" s="18">
        <v>0</v>
      </c>
      <c r="C725" s="18">
        <v>1.7697446808510637</v>
      </c>
      <c r="D725" s="18">
        <v>0</v>
      </c>
      <c r="E725" s="18">
        <v>2.2438387823426571</v>
      </c>
      <c r="F725" s="18">
        <v>1.7697446808510637</v>
      </c>
      <c r="G725" s="18">
        <v>2.2438387823426571</v>
      </c>
    </row>
    <row r="726" spans="1:7" ht="11.25" customHeight="1" x14ac:dyDescent="0.2">
      <c r="A726" s="28">
        <v>44470</v>
      </c>
      <c r="B726" s="18">
        <v>0</v>
      </c>
      <c r="C726" s="18">
        <v>1.6370138297872339</v>
      </c>
      <c r="D726" s="18">
        <v>0</v>
      </c>
      <c r="E726" s="18">
        <v>2.0755508736669581</v>
      </c>
      <c r="F726" s="18">
        <v>1.6370138297872339</v>
      </c>
      <c r="G726" s="18">
        <v>2.0755508736669581</v>
      </c>
    </row>
    <row r="727" spans="1:7" ht="11.25" customHeight="1" x14ac:dyDescent="0.2">
      <c r="A727" s="28">
        <v>44501</v>
      </c>
      <c r="B727" s="18">
        <v>0</v>
      </c>
      <c r="C727" s="18">
        <v>1.3715521276595743</v>
      </c>
      <c r="D727" s="18">
        <v>0</v>
      </c>
      <c r="E727" s="18">
        <v>1.7389750563155595</v>
      </c>
      <c r="F727" s="18">
        <v>1.3715521276595743</v>
      </c>
      <c r="G727" s="18">
        <v>1.7389750563155595</v>
      </c>
    </row>
    <row r="728" spans="1:7" ht="11.25" customHeight="1" x14ac:dyDescent="0.2">
      <c r="A728" s="28">
        <v>44531</v>
      </c>
      <c r="B728" s="18">
        <v>0</v>
      </c>
      <c r="C728" s="18">
        <v>1.3273085106382978</v>
      </c>
      <c r="D728" s="18">
        <v>0</v>
      </c>
      <c r="E728" s="18">
        <v>1.6828790867569929</v>
      </c>
      <c r="F728" s="18">
        <v>1.3273085106382978</v>
      </c>
      <c r="G728" s="18">
        <v>1.6828790867569929</v>
      </c>
    </row>
    <row r="729" spans="1:7" ht="11.25" customHeight="1" x14ac:dyDescent="0.2">
      <c r="A729" s="28">
        <v>44562</v>
      </c>
      <c r="B729" s="18">
        <v>0</v>
      </c>
      <c r="C729" s="18">
        <v>1.6812574468085104</v>
      </c>
      <c r="D729" s="18">
        <v>0</v>
      </c>
      <c r="E729" s="18">
        <v>2.1316468432255244</v>
      </c>
      <c r="F729" s="18">
        <v>1.6812574468085104</v>
      </c>
      <c r="G729" s="18">
        <v>2.1316468432255244</v>
      </c>
    </row>
    <row r="730" spans="1:7" ht="11.25" customHeight="1" x14ac:dyDescent="0.2">
      <c r="A730" s="28">
        <v>44593</v>
      </c>
      <c r="B730" s="18">
        <v>0</v>
      </c>
      <c r="C730" s="18">
        <v>1.3715521276595743</v>
      </c>
      <c r="D730" s="18">
        <v>0</v>
      </c>
      <c r="E730" s="18">
        <v>1.7389750563155595</v>
      </c>
      <c r="F730" s="18">
        <v>1.3715521276595743</v>
      </c>
      <c r="G730" s="18">
        <v>1.7389750563155595</v>
      </c>
    </row>
    <row r="731" spans="1:7" ht="11.25" customHeight="1" x14ac:dyDescent="0.2">
      <c r="A731" s="28">
        <v>44621</v>
      </c>
      <c r="B731" s="18">
        <v>0</v>
      </c>
      <c r="C731" s="18">
        <v>1.3715521276595743</v>
      </c>
      <c r="D731" s="18">
        <v>0</v>
      </c>
      <c r="E731" s="18">
        <v>1.7389750563155595</v>
      </c>
      <c r="F731" s="18">
        <v>1.3715521276595743</v>
      </c>
      <c r="G731" s="18">
        <v>1.7389750563155595</v>
      </c>
    </row>
    <row r="732" spans="1:7" ht="11.25" customHeight="1" x14ac:dyDescent="0.2">
      <c r="A732" s="27" t="s">
        <v>34</v>
      </c>
      <c r="B732" s="18">
        <v>0</v>
      </c>
      <c r="C732" s="18">
        <v>37.569718723404257</v>
      </c>
      <c r="D732" s="18">
        <v>0</v>
      </c>
      <c r="E732" s="18">
        <v>47.31495256194745</v>
      </c>
      <c r="F732" s="18">
        <v>37.569718723404257</v>
      </c>
      <c r="G732" s="18">
        <v>47.31495256194745</v>
      </c>
    </row>
    <row r="733" spans="1:7" ht="11.25" customHeight="1" x14ac:dyDescent="0.2">
      <c r="A733" s="28">
        <v>44287</v>
      </c>
      <c r="B733" s="18">
        <v>0</v>
      </c>
      <c r="C733" s="18">
        <v>4.3159187234042564</v>
      </c>
      <c r="D733" s="18">
        <v>0</v>
      </c>
      <c r="E733" s="18">
        <v>5.4354276954402918</v>
      </c>
      <c r="F733" s="18">
        <v>4.3159187234042564</v>
      </c>
      <c r="G733" s="18">
        <v>5.4354276954402918</v>
      </c>
    </row>
    <row r="734" spans="1:7" ht="11.25" customHeight="1" x14ac:dyDescent="0.2">
      <c r="A734" s="28">
        <v>44317</v>
      </c>
      <c r="B734" s="18">
        <v>0</v>
      </c>
      <c r="C734" s="18">
        <v>4.1036604255319151</v>
      </c>
      <c r="D734" s="18">
        <v>0</v>
      </c>
      <c r="E734" s="18">
        <v>5.1681115792710974</v>
      </c>
      <c r="F734" s="18">
        <v>4.1036604255319151</v>
      </c>
      <c r="G734" s="18">
        <v>5.1681115792710974</v>
      </c>
    </row>
    <row r="735" spans="1:7" ht="11.25" customHeight="1" x14ac:dyDescent="0.2">
      <c r="A735" s="28">
        <v>44348</v>
      </c>
      <c r="B735" s="18">
        <v>0</v>
      </c>
      <c r="C735" s="18">
        <v>3.8206493617021282</v>
      </c>
      <c r="D735" s="18">
        <v>0</v>
      </c>
      <c r="E735" s="18">
        <v>4.811690091045504</v>
      </c>
      <c r="F735" s="18">
        <v>3.8206493617021282</v>
      </c>
      <c r="G735" s="18">
        <v>4.811690091045504</v>
      </c>
    </row>
    <row r="736" spans="1:7" ht="11.25" customHeight="1" x14ac:dyDescent="0.2">
      <c r="A736" s="28">
        <v>44378</v>
      </c>
      <c r="B736" s="18">
        <v>0</v>
      </c>
      <c r="C736" s="18">
        <v>4.4574242553191494</v>
      </c>
      <c r="D736" s="18">
        <v>0</v>
      </c>
      <c r="E736" s="18">
        <v>5.6136384395530889</v>
      </c>
      <c r="F736" s="18">
        <v>4.4574242553191494</v>
      </c>
      <c r="G736" s="18">
        <v>5.6136384395530889</v>
      </c>
    </row>
    <row r="737" spans="1:7" ht="11.25" customHeight="1" x14ac:dyDescent="0.2">
      <c r="A737" s="28">
        <v>44409</v>
      </c>
      <c r="B737" s="18">
        <v>0</v>
      </c>
      <c r="C737" s="18">
        <v>4.1036604255319151</v>
      </c>
      <c r="D737" s="18">
        <v>0</v>
      </c>
      <c r="E737" s="18">
        <v>5.1681115792710974</v>
      </c>
      <c r="F737" s="18">
        <v>4.1036604255319151</v>
      </c>
      <c r="G737" s="18">
        <v>5.1681115792710974</v>
      </c>
    </row>
    <row r="738" spans="1:7" ht="11.25" customHeight="1" x14ac:dyDescent="0.2">
      <c r="A738" s="28">
        <v>44440</v>
      </c>
      <c r="B738" s="18">
        <v>0</v>
      </c>
      <c r="C738" s="18">
        <v>4.1036604255319151</v>
      </c>
      <c r="D738" s="18">
        <v>0</v>
      </c>
      <c r="E738" s="18">
        <v>5.1681115792710974</v>
      </c>
      <c r="F738" s="18">
        <v>4.1036604255319151</v>
      </c>
      <c r="G738" s="18">
        <v>5.1681115792710974</v>
      </c>
    </row>
    <row r="739" spans="1:7" ht="11.25" customHeight="1" x14ac:dyDescent="0.2">
      <c r="A739" s="28">
        <v>44470</v>
      </c>
      <c r="B739" s="18">
        <v>0</v>
      </c>
      <c r="C739" s="18">
        <v>3.6791438297872339</v>
      </c>
      <c r="D739" s="18">
        <v>0</v>
      </c>
      <c r="E739" s="18">
        <v>4.6334793469327078</v>
      </c>
      <c r="F739" s="18">
        <v>3.6791438297872339</v>
      </c>
      <c r="G739" s="18">
        <v>4.6334793469327078</v>
      </c>
    </row>
    <row r="740" spans="1:7" ht="11.25" customHeight="1" x14ac:dyDescent="0.2">
      <c r="A740" s="28">
        <v>44501</v>
      </c>
      <c r="B740" s="18">
        <v>0</v>
      </c>
      <c r="C740" s="18">
        <v>3.3253800000000004</v>
      </c>
      <c r="D740" s="18">
        <v>0</v>
      </c>
      <c r="E740" s="18">
        <v>4.1879524866507163</v>
      </c>
      <c r="F740" s="18">
        <v>3.3253800000000004</v>
      </c>
      <c r="G740" s="18">
        <v>4.1879524866507163</v>
      </c>
    </row>
    <row r="741" spans="1:7" ht="11.25" customHeight="1" x14ac:dyDescent="0.2">
      <c r="A741" s="28">
        <v>44531</v>
      </c>
      <c r="B741" s="18">
        <v>0</v>
      </c>
      <c r="C741" s="18">
        <v>1.5565608510638298</v>
      </c>
      <c r="D741" s="18">
        <v>0</v>
      </c>
      <c r="E741" s="18">
        <v>1.9603181852407612</v>
      </c>
      <c r="F741" s="18">
        <v>1.5565608510638298</v>
      </c>
      <c r="G741" s="18">
        <v>1.9603181852407612</v>
      </c>
    </row>
    <row r="742" spans="1:7" ht="11.25" customHeight="1" x14ac:dyDescent="0.2">
      <c r="A742" s="28">
        <v>44562</v>
      </c>
      <c r="B742" s="18">
        <v>0</v>
      </c>
      <c r="C742" s="18">
        <v>1.5565608510638298</v>
      </c>
      <c r="D742" s="18">
        <v>0</v>
      </c>
      <c r="E742" s="18">
        <v>1.9603181852407612</v>
      </c>
      <c r="F742" s="18">
        <v>1.5565608510638298</v>
      </c>
      <c r="G742" s="18">
        <v>1.9603181852407612</v>
      </c>
    </row>
    <row r="743" spans="1:7" ht="11.25" customHeight="1" x14ac:dyDescent="0.2">
      <c r="A743" s="28">
        <v>44593</v>
      </c>
      <c r="B743" s="18">
        <v>0</v>
      </c>
      <c r="C743" s="18">
        <v>1.2735497872340427</v>
      </c>
      <c r="D743" s="18">
        <v>0</v>
      </c>
      <c r="E743" s="18">
        <v>1.6038966970151678</v>
      </c>
      <c r="F743" s="18">
        <v>1.2735497872340427</v>
      </c>
      <c r="G743" s="18">
        <v>1.6038966970151678</v>
      </c>
    </row>
    <row r="744" spans="1:7" ht="11.25" customHeight="1" x14ac:dyDescent="0.2">
      <c r="A744" s="28">
        <v>44621</v>
      </c>
      <c r="B744" s="18">
        <v>0</v>
      </c>
      <c r="C744" s="18">
        <v>1.2735497872340427</v>
      </c>
      <c r="D744" s="18">
        <v>0</v>
      </c>
      <c r="E744" s="18">
        <v>1.6038966970151678</v>
      </c>
      <c r="F744" s="18">
        <v>1.2735497872340427</v>
      </c>
      <c r="G744" s="18">
        <v>1.6038966970151678</v>
      </c>
    </row>
    <row r="745" spans="1:7" ht="11.25" customHeight="1" x14ac:dyDescent="0.2">
      <c r="A745" s="22" t="s">
        <v>23</v>
      </c>
      <c r="B745" s="18">
        <v>0</v>
      </c>
      <c r="C745" s="18">
        <v>4011630.4441800052</v>
      </c>
      <c r="D745" s="18">
        <v>0</v>
      </c>
      <c r="E745" s="18">
        <v>2341829.2642157832</v>
      </c>
      <c r="F745" s="18">
        <v>4011630.4441800048</v>
      </c>
      <c r="G745" s="18">
        <v>2341829.2642157832</v>
      </c>
    </row>
    <row r="746" spans="1:7" ht="11.25" customHeight="1" x14ac:dyDescent="0.2">
      <c r="A746" s="23" t="s">
        <v>45</v>
      </c>
      <c r="B746" s="18">
        <v>0</v>
      </c>
      <c r="C746" s="18">
        <v>4011630.4441800052</v>
      </c>
      <c r="D746" s="18">
        <v>0</v>
      </c>
      <c r="E746" s="18">
        <v>2341829.2642157832</v>
      </c>
      <c r="F746" s="18">
        <v>4011630.4441800048</v>
      </c>
      <c r="G746" s="18">
        <v>2341829.2642157832</v>
      </c>
    </row>
    <row r="747" spans="1:7" ht="11.25" customHeight="1" x14ac:dyDescent="0.2">
      <c r="A747" s="24" t="s">
        <v>53</v>
      </c>
      <c r="B747" s="18">
        <v>0</v>
      </c>
      <c r="C747" s="18">
        <v>166764.29850000018</v>
      </c>
      <c r="D747" s="18">
        <v>0</v>
      </c>
      <c r="E747" s="18">
        <v>97350.321742695669</v>
      </c>
      <c r="F747" s="18">
        <v>166764.29850000021</v>
      </c>
      <c r="G747" s="18">
        <v>97350.321742695698</v>
      </c>
    </row>
    <row r="748" spans="1:7" ht="11.25" customHeight="1" x14ac:dyDescent="0.2">
      <c r="A748" s="25" t="s">
        <v>54</v>
      </c>
      <c r="B748" s="18">
        <v>0</v>
      </c>
      <c r="C748" s="18">
        <v>166764.29850000018</v>
      </c>
      <c r="D748" s="18">
        <v>0</v>
      </c>
      <c r="E748" s="18">
        <v>97350.321742695669</v>
      </c>
      <c r="F748" s="18">
        <v>166764.29850000021</v>
      </c>
      <c r="G748" s="18">
        <v>97350.321742695698</v>
      </c>
    </row>
    <row r="749" spans="1:7" ht="11.25" customHeight="1" x14ac:dyDescent="0.2">
      <c r="A749" s="26" t="s">
        <v>25</v>
      </c>
      <c r="B749" s="18">
        <v>0</v>
      </c>
      <c r="C749" s="18">
        <v>166764.29850000018</v>
      </c>
      <c r="D749" s="18">
        <v>0</v>
      </c>
      <c r="E749" s="18">
        <v>97350.321742695669</v>
      </c>
      <c r="F749" s="18">
        <v>166764.29850000021</v>
      </c>
      <c r="G749" s="18">
        <v>97350.321742695698</v>
      </c>
    </row>
    <row r="750" spans="1:7" ht="11.25" customHeight="1" x14ac:dyDescent="0.2">
      <c r="A750" s="27" t="s">
        <v>25</v>
      </c>
      <c r="B750" s="18">
        <v>0</v>
      </c>
      <c r="C750" s="18">
        <v>166764.29850000018</v>
      </c>
      <c r="D750" s="18">
        <v>0</v>
      </c>
      <c r="E750" s="18">
        <v>97350.321742695669</v>
      </c>
      <c r="F750" s="18">
        <v>166764.29850000021</v>
      </c>
      <c r="G750" s="18">
        <v>97350.321742695698</v>
      </c>
    </row>
    <row r="751" spans="1:7" ht="11.25" customHeight="1" x14ac:dyDescent="0.2">
      <c r="A751" s="28">
        <v>44287</v>
      </c>
      <c r="B751" s="18">
        <v>0</v>
      </c>
      <c r="C751" s="18">
        <v>23669.144460000025</v>
      </c>
      <c r="D751" s="18">
        <v>0</v>
      </c>
      <c r="E751" s="18">
        <v>13817.099039068864</v>
      </c>
      <c r="F751" s="18">
        <v>23669.144460000025</v>
      </c>
      <c r="G751" s="18">
        <v>13817.099039068864</v>
      </c>
    </row>
    <row r="752" spans="1:7" ht="11.25" customHeight="1" x14ac:dyDescent="0.2">
      <c r="A752" s="28">
        <v>44317</v>
      </c>
      <c r="B752" s="18">
        <v>0</v>
      </c>
      <c r="C752" s="18">
        <v>-7369.1224200000079</v>
      </c>
      <c r="D752" s="18">
        <v>0</v>
      </c>
      <c r="E752" s="18">
        <v>-4301.7986763414601</v>
      </c>
      <c r="F752" s="18">
        <v>-7369.1224200000079</v>
      </c>
      <c r="G752" s="18">
        <v>-4301.7986763414601</v>
      </c>
    </row>
    <row r="753" spans="1:7" ht="11.25" customHeight="1" x14ac:dyDescent="0.2">
      <c r="A753" s="28">
        <v>44348</v>
      </c>
      <c r="B753" s="18">
        <v>0</v>
      </c>
      <c r="C753" s="18">
        <v>8947.6180200000108</v>
      </c>
      <c r="D753" s="18">
        <v>0</v>
      </c>
      <c r="E753" s="18">
        <v>5223.2612190536793</v>
      </c>
      <c r="F753" s="18">
        <v>8947.6180200000108</v>
      </c>
      <c r="G753" s="18">
        <v>5223.2612190536793</v>
      </c>
    </row>
    <row r="754" spans="1:7" ht="11.25" customHeight="1" x14ac:dyDescent="0.2">
      <c r="A754" s="28">
        <v>44378</v>
      </c>
      <c r="B754" s="18">
        <v>0</v>
      </c>
      <c r="C754" s="18">
        <v>7526.4843600000086</v>
      </c>
      <c r="D754" s="18">
        <v>0</v>
      </c>
      <c r="E754" s="18">
        <v>4393.6602775765405</v>
      </c>
      <c r="F754" s="18">
        <v>7526.4843600000086</v>
      </c>
      <c r="G754" s="18">
        <v>4393.6602775765405</v>
      </c>
    </row>
    <row r="755" spans="1:7" ht="11.25" customHeight="1" x14ac:dyDescent="0.2">
      <c r="A755" s="28">
        <v>44409</v>
      </c>
      <c r="B755" s="18">
        <v>0</v>
      </c>
      <c r="C755" s="18">
        <v>7300.2983400000085</v>
      </c>
      <c r="D755" s="18">
        <v>0</v>
      </c>
      <c r="E755" s="18">
        <v>4261.6219335259411</v>
      </c>
      <c r="F755" s="18">
        <v>7300.2983400000085</v>
      </c>
      <c r="G755" s="18">
        <v>4261.6219335259411</v>
      </c>
    </row>
    <row r="756" spans="1:7" ht="11.25" customHeight="1" x14ac:dyDescent="0.2">
      <c r="A756" s="28">
        <v>44440</v>
      </c>
      <c r="B756" s="18">
        <v>0</v>
      </c>
      <c r="C756" s="18">
        <v>12483.211320000015</v>
      </c>
      <c r="D756" s="18">
        <v>0</v>
      </c>
      <c r="E756" s="18">
        <v>7287.1990546829238</v>
      </c>
      <c r="F756" s="18">
        <v>12483.211320000015</v>
      </c>
      <c r="G756" s="18">
        <v>7287.1990546829238</v>
      </c>
    </row>
    <row r="757" spans="1:7" ht="11.25" customHeight="1" x14ac:dyDescent="0.2">
      <c r="A757" s="28">
        <v>44470</v>
      </c>
      <c r="B757" s="18">
        <v>0</v>
      </c>
      <c r="C757" s="18">
        <v>22891.878180000029</v>
      </c>
      <c r="D757" s="18">
        <v>0</v>
      </c>
      <c r="E757" s="18">
        <v>13363.362099457967</v>
      </c>
      <c r="F757" s="18">
        <v>22891.878180000029</v>
      </c>
      <c r="G757" s="18">
        <v>13363.362099457967</v>
      </c>
    </row>
    <row r="758" spans="1:7" ht="11.25" customHeight="1" x14ac:dyDescent="0.2">
      <c r="A758" s="28">
        <v>44501</v>
      </c>
      <c r="B758" s="18">
        <v>0</v>
      </c>
      <c r="C758" s="18">
        <v>20510.760060000026</v>
      </c>
      <c r="D758" s="18">
        <v>0</v>
      </c>
      <c r="E758" s="18">
        <v>11973.36065925545</v>
      </c>
      <c r="F758" s="18">
        <v>20510.760060000026</v>
      </c>
      <c r="G758" s="18">
        <v>11973.36065925545</v>
      </c>
    </row>
    <row r="759" spans="1:7" ht="11.25" customHeight="1" x14ac:dyDescent="0.2">
      <c r="A759" s="28">
        <v>44531</v>
      </c>
      <c r="B759" s="18">
        <v>0</v>
      </c>
      <c r="C759" s="18">
        <v>17784.128340000021</v>
      </c>
      <c r="D759" s="18">
        <v>0</v>
      </c>
      <c r="E759" s="18">
        <v>10381.662210586353</v>
      </c>
      <c r="F759" s="18">
        <v>17784.128340000021</v>
      </c>
      <c r="G759" s="18">
        <v>10381.662210586353</v>
      </c>
    </row>
    <row r="760" spans="1:7" ht="11.25" customHeight="1" x14ac:dyDescent="0.2">
      <c r="A760" s="28">
        <v>44562</v>
      </c>
      <c r="B760" s="18">
        <v>0</v>
      </c>
      <c r="C760" s="18">
        <v>17341.02108000002</v>
      </c>
      <c r="D760" s="18">
        <v>0</v>
      </c>
      <c r="E760" s="18">
        <v>10122.99393017186</v>
      </c>
      <c r="F760" s="18">
        <v>17341.02108000002</v>
      </c>
      <c r="G760" s="18">
        <v>10122.99393017186</v>
      </c>
    </row>
    <row r="761" spans="1:7" ht="11.25" customHeight="1" x14ac:dyDescent="0.2">
      <c r="A761" s="28">
        <v>44593</v>
      </c>
      <c r="B761" s="18">
        <v>0</v>
      </c>
      <c r="C761" s="18">
        <v>17839.438380000018</v>
      </c>
      <c r="D761" s="18">
        <v>0</v>
      </c>
      <c r="E761" s="18">
        <v>10413.949997828786</v>
      </c>
      <c r="F761" s="18">
        <v>17839.438380000018</v>
      </c>
      <c r="G761" s="18">
        <v>10413.949997828786</v>
      </c>
    </row>
    <row r="762" spans="1:7" ht="11.25" customHeight="1" x14ac:dyDescent="0.2">
      <c r="A762" s="28">
        <v>44621</v>
      </c>
      <c r="B762" s="18">
        <v>0</v>
      </c>
      <c r="C762" s="18">
        <v>17839.438380000018</v>
      </c>
      <c r="D762" s="18">
        <v>0</v>
      </c>
      <c r="E762" s="18">
        <v>10413.949997828786</v>
      </c>
      <c r="F762" s="18">
        <v>17839.438380000018</v>
      </c>
      <c r="G762" s="18">
        <v>10413.949997828786</v>
      </c>
    </row>
    <row r="763" spans="1:7" ht="11.25" customHeight="1" x14ac:dyDescent="0.2">
      <c r="A763" s="24" t="s">
        <v>25</v>
      </c>
      <c r="B763" s="18">
        <v>0</v>
      </c>
      <c r="C763" s="18">
        <v>3844866.1456800052</v>
      </c>
      <c r="D763" s="18">
        <v>0</v>
      </c>
      <c r="E763" s="18">
        <v>2244478.9424730875</v>
      </c>
      <c r="F763" s="18">
        <v>3844866.1456800043</v>
      </c>
      <c r="G763" s="18">
        <v>2244478.9424730875</v>
      </c>
    </row>
    <row r="764" spans="1:7" ht="11.25" customHeight="1" x14ac:dyDescent="0.2">
      <c r="A764" s="25" t="s">
        <v>25</v>
      </c>
      <c r="B764" s="18">
        <v>0</v>
      </c>
      <c r="C764" s="18">
        <v>3844866.1456800052</v>
      </c>
      <c r="D764" s="18">
        <v>0</v>
      </c>
      <c r="E764" s="18">
        <v>2244478.9424730875</v>
      </c>
      <c r="F764" s="18">
        <v>3844866.1456800043</v>
      </c>
      <c r="G764" s="18">
        <v>2244478.9424730875</v>
      </c>
    </row>
    <row r="765" spans="1:7" ht="11.25" customHeight="1" x14ac:dyDescent="0.2">
      <c r="A765" s="26" t="s">
        <v>25</v>
      </c>
      <c r="B765" s="18">
        <v>0</v>
      </c>
      <c r="C765" s="18">
        <v>3844866.1456800052</v>
      </c>
      <c r="D765" s="18">
        <v>0</v>
      </c>
      <c r="E765" s="18">
        <v>2244478.9424730875</v>
      </c>
      <c r="F765" s="18">
        <v>3844866.1456800043</v>
      </c>
      <c r="G765" s="18">
        <v>2244478.9424730875</v>
      </c>
    </row>
    <row r="766" spans="1:7" ht="11.25" customHeight="1" x14ac:dyDescent="0.2">
      <c r="A766" s="27" t="s">
        <v>25</v>
      </c>
      <c r="B766" s="18">
        <v>0</v>
      </c>
      <c r="C766" s="18">
        <v>3844866.1456800052</v>
      </c>
      <c r="D766" s="18">
        <v>0</v>
      </c>
      <c r="E766" s="18">
        <v>2244478.9424730875</v>
      </c>
      <c r="F766" s="18">
        <v>3844866.1456800043</v>
      </c>
      <c r="G766" s="18">
        <v>2244478.9424730875</v>
      </c>
    </row>
    <row r="767" spans="1:7" ht="11.25" customHeight="1" x14ac:dyDescent="0.2">
      <c r="A767" s="28">
        <v>44287</v>
      </c>
      <c r="B767" s="18">
        <v>0</v>
      </c>
      <c r="C767" s="18">
        <v>380088.71406000049</v>
      </c>
      <c r="D767" s="18">
        <v>0</v>
      </c>
      <c r="E767" s="18">
        <v>221880.57598256538</v>
      </c>
      <c r="F767" s="18">
        <v>380088.71406000049</v>
      </c>
      <c r="G767" s="18">
        <v>221880.57598256538</v>
      </c>
    </row>
    <row r="768" spans="1:7" ht="11.25" customHeight="1" x14ac:dyDescent="0.2">
      <c r="A768" s="28">
        <v>44317</v>
      </c>
      <c r="B768" s="18">
        <v>0</v>
      </c>
      <c r="C768" s="18">
        <v>304904.67606000032</v>
      </c>
      <c r="D768" s="18">
        <v>0</v>
      </c>
      <c r="E768" s="18">
        <v>177991.14428136073</v>
      </c>
      <c r="F768" s="18">
        <v>304904.67606000032</v>
      </c>
      <c r="G768" s="18">
        <v>177991.14428136073</v>
      </c>
    </row>
    <row r="769" spans="1:7" ht="11.25" customHeight="1" x14ac:dyDescent="0.2">
      <c r="A769" s="28">
        <v>44348</v>
      </c>
      <c r="B769" s="18">
        <v>0</v>
      </c>
      <c r="C769" s="18">
        <v>270997.81038000039</v>
      </c>
      <c r="D769" s="18">
        <v>0</v>
      </c>
      <c r="E769" s="18">
        <v>158197.67341904441</v>
      </c>
      <c r="F769" s="18">
        <v>270997.81038000039</v>
      </c>
      <c r="G769" s="18">
        <v>158197.67341904441</v>
      </c>
    </row>
    <row r="770" spans="1:7" ht="11.25" customHeight="1" x14ac:dyDescent="0.2">
      <c r="A770" s="28">
        <v>44378</v>
      </c>
      <c r="B770" s="18">
        <v>0</v>
      </c>
      <c r="C770" s="18">
        <v>275395.93380000035</v>
      </c>
      <c r="D770" s="18">
        <v>0</v>
      </c>
      <c r="E770" s="18">
        <v>160765.12181089001</v>
      </c>
      <c r="F770" s="18">
        <v>275395.93380000035</v>
      </c>
      <c r="G770" s="18">
        <v>160765.12181089001</v>
      </c>
    </row>
    <row r="771" spans="1:7" ht="11.25" customHeight="1" x14ac:dyDescent="0.2">
      <c r="A771" s="28">
        <v>44409</v>
      </c>
      <c r="B771" s="18">
        <v>0</v>
      </c>
      <c r="C771" s="18">
        <v>267390.67626000027</v>
      </c>
      <c r="D771" s="18">
        <v>0</v>
      </c>
      <c r="E771" s="18">
        <v>156091.97291654113</v>
      </c>
      <c r="F771" s="18">
        <v>267390.67626000027</v>
      </c>
      <c r="G771" s="18">
        <v>156091.97291654113</v>
      </c>
    </row>
    <row r="772" spans="1:7" ht="11.25" customHeight="1" x14ac:dyDescent="0.2">
      <c r="A772" s="28">
        <v>44440</v>
      </c>
      <c r="B772" s="18">
        <v>0</v>
      </c>
      <c r="C772" s="18">
        <v>290196.31536000036</v>
      </c>
      <c r="D772" s="18">
        <v>0</v>
      </c>
      <c r="E772" s="18">
        <v>169404.99209332134</v>
      </c>
      <c r="F772" s="18">
        <v>290196.31536000036</v>
      </c>
      <c r="G772" s="18">
        <v>169404.99209332134</v>
      </c>
    </row>
    <row r="773" spans="1:7" ht="11.25" customHeight="1" x14ac:dyDescent="0.2">
      <c r="A773" s="28">
        <v>44470</v>
      </c>
      <c r="B773" s="18">
        <v>0</v>
      </c>
      <c r="C773" s="18">
        <v>329022.43092000042</v>
      </c>
      <c r="D773" s="18">
        <v>0</v>
      </c>
      <c r="E773" s="18">
        <v>192070.12411368053</v>
      </c>
      <c r="F773" s="18">
        <v>329022.43092000042</v>
      </c>
      <c r="G773" s="18">
        <v>192070.12411368053</v>
      </c>
    </row>
    <row r="774" spans="1:7" ht="11.25" customHeight="1" x14ac:dyDescent="0.2">
      <c r="A774" s="28">
        <v>44501</v>
      </c>
      <c r="B774" s="18">
        <v>0</v>
      </c>
      <c r="C774" s="18">
        <v>341886.68244000041</v>
      </c>
      <c r="D774" s="18">
        <v>0</v>
      </c>
      <c r="E774" s="18">
        <v>199579.75918374897</v>
      </c>
      <c r="F774" s="18">
        <v>341886.68244000041</v>
      </c>
      <c r="G774" s="18">
        <v>199579.75918374897</v>
      </c>
    </row>
    <row r="775" spans="1:7" ht="11.25" customHeight="1" x14ac:dyDescent="0.2">
      <c r="A775" s="28">
        <v>44531</v>
      </c>
      <c r="B775" s="18">
        <v>0</v>
      </c>
      <c r="C775" s="18">
        <v>341609.85360000038</v>
      </c>
      <c r="D775" s="18">
        <v>0</v>
      </c>
      <c r="E775" s="18">
        <v>199418.15758865903</v>
      </c>
      <c r="F775" s="18">
        <v>341609.85360000038</v>
      </c>
      <c r="G775" s="18">
        <v>199418.15758865903</v>
      </c>
    </row>
    <row r="776" spans="1:7" ht="11.25" customHeight="1" x14ac:dyDescent="0.2">
      <c r="A776" s="28">
        <v>44562</v>
      </c>
      <c r="B776" s="18">
        <v>0</v>
      </c>
      <c r="C776" s="18">
        <v>339376.41468000039</v>
      </c>
      <c r="D776" s="18">
        <v>0</v>
      </c>
      <c r="E776" s="18">
        <v>198114.36535368816</v>
      </c>
      <c r="F776" s="18">
        <v>339376.41468000039</v>
      </c>
      <c r="G776" s="18">
        <v>198114.36535368816</v>
      </c>
    </row>
    <row r="777" spans="1:7" ht="11.25" customHeight="1" x14ac:dyDescent="0.2">
      <c r="A777" s="28">
        <v>44593</v>
      </c>
      <c r="B777" s="18">
        <v>0</v>
      </c>
      <c r="C777" s="18">
        <v>351998.31906000042</v>
      </c>
      <c r="D777" s="18">
        <v>0</v>
      </c>
      <c r="E777" s="18">
        <v>205482.52786479387</v>
      </c>
      <c r="F777" s="18">
        <v>351998.31906000042</v>
      </c>
      <c r="G777" s="18">
        <v>205482.52786479387</v>
      </c>
    </row>
    <row r="778" spans="1:7" ht="11.25" customHeight="1" x14ac:dyDescent="0.2">
      <c r="A778" s="28">
        <v>44621</v>
      </c>
      <c r="B778" s="18">
        <v>0</v>
      </c>
      <c r="C778" s="18">
        <v>351998.31906000042</v>
      </c>
      <c r="D778" s="18">
        <v>0</v>
      </c>
      <c r="E778" s="18">
        <v>205482.52786479387</v>
      </c>
      <c r="F778" s="18">
        <v>351998.31906000042</v>
      </c>
      <c r="G778" s="18">
        <v>205482.52786479387</v>
      </c>
    </row>
    <row r="779" spans="1:7" ht="11.25" customHeight="1" x14ac:dyDescent="0.2">
      <c r="A779" s="20" t="s">
        <v>1032</v>
      </c>
      <c r="B779" s="18">
        <v>0</v>
      </c>
      <c r="C779" s="18">
        <v>0</v>
      </c>
      <c r="D779" s="18">
        <v>0</v>
      </c>
      <c r="E779" s="18">
        <v>0</v>
      </c>
      <c r="F779" s="18">
        <v>0</v>
      </c>
      <c r="G779" s="18">
        <v>0</v>
      </c>
    </row>
    <row r="780" spans="1:7" ht="11.25" customHeight="1" x14ac:dyDescent="0.2">
      <c r="A780" s="21" t="s">
        <v>22</v>
      </c>
      <c r="B780" s="18">
        <v>0</v>
      </c>
      <c r="C780" s="18">
        <v>0</v>
      </c>
      <c r="D780" s="18">
        <v>0</v>
      </c>
      <c r="E780" s="18">
        <v>0</v>
      </c>
      <c r="F780" s="18">
        <v>0</v>
      </c>
      <c r="G780" s="18">
        <v>0</v>
      </c>
    </row>
    <row r="781" spans="1:7" ht="11.25" customHeight="1" x14ac:dyDescent="0.2">
      <c r="A781" s="22" t="s">
        <v>23</v>
      </c>
      <c r="B781" s="18">
        <v>0</v>
      </c>
      <c r="C781" s="18">
        <v>0</v>
      </c>
      <c r="D781" s="18">
        <v>0</v>
      </c>
      <c r="E781" s="18">
        <v>0</v>
      </c>
      <c r="F781" s="18">
        <v>0</v>
      </c>
      <c r="G781" s="18">
        <v>0</v>
      </c>
    </row>
    <row r="782" spans="1:7" ht="11.25" customHeight="1" x14ac:dyDescent="0.2">
      <c r="A782" s="23" t="s">
        <v>24</v>
      </c>
      <c r="B782" s="18">
        <v>0</v>
      </c>
      <c r="C782" s="18">
        <v>0</v>
      </c>
      <c r="D782" s="18">
        <v>0</v>
      </c>
      <c r="E782" s="18">
        <v>0</v>
      </c>
      <c r="F782" s="18">
        <v>0</v>
      </c>
      <c r="G782" s="18">
        <v>0</v>
      </c>
    </row>
    <row r="783" spans="1:7" ht="11.25" customHeight="1" x14ac:dyDescent="0.2">
      <c r="A783" s="24" t="s">
        <v>24</v>
      </c>
      <c r="B783" s="18">
        <v>0</v>
      </c>
      <c r="C783" s="18">
        <v>0</v>
      </c>
      <c r="D783" s="18">
        <v>0</v>
      </c>
      <c r="E783" s="18">
        <v>0</v>
      </c>
      <c r="F783" s="18">
        <v>0</v>
      </c>
      <c r="G783" s="18">
        <v>0</v>
      </c>
    </row>
    <row r="784" spans="1:7" ht="11.25" customHeight="1" x14ac:dyDescent="0.2">
      <c r="A784" s="25" t="s">
        <v>25</v>
      </c>
      <c r="B784" s="18">
        <v>0</v>
      </c>
      <c r="C784" s="18">
        <v>0</v>
      </c>
      <c r="D784" s="18">
        <v>0</v>
      </c>
      <c r="E784" s="18">
        <v>0</v>
      </c>
      <c r="F784" s="18">
        <v>0</v>
      </c>
      <c r="G784" s="18">
        <v>0</v>
      </c>
    </row>
    <row r="785" spans="1:7" ht="11.25" customHeight="1" x14ac:dyDescent="0.2">
      <c r="A785" s="26" t="s">
        <v>25</v>
      </c>
      <c r="B785" s="18">
        <v>0</v>
      </c>
      <c r="C785" s="18">
        <v>0</v>
      </c>
      <c r="D785" s="18">
        <v>0</v>
      </c>
      <c r="E785" s="18">
        <v>0</v>
      </c>
      <c r="F785" s="18">
        <v>0</v>
      </c>
      <c r="G785" s="18">
        <v>0</v>
      </c>
    </row>
    <row r="786" spans="1:7" ht="11.25" customHeight="1" x14ac:dyDescent="0.2">
      <c r="A786" s="27" t="s">
        <v>25</v>
      </c>
      <c r="B786" s="18">
        <v>0</v>
      </c>
      <c r="C786" s="18">
        <v>0</v>
      </c>
      <c r="D786" s="18">
        <v>0</v>
      </c>
      <c r="E786" s="18">
        <v>0</v>
      </c>
      <c r="F786" s="18">
        <v>0</v>
      </c>
      <c r="G786" s="18">
        <v>0</v>
      </c>
    </row>
    <row r="787" spans="1:7" ht="11.25" customHeight="1" x14ac:dyDescent="0.2">
      <c r="A787" s="28">
        <v>44287</v>
      </c>
      <c r="B787" s="18">
        <v>0</v>
      </c>
      <c r="C787" s="18">
        <v>0</v>
      </c>
      <c r="D787" s="18">
        <v>0</v>
      </c>
      <c r="E787" s="18">
        <v>0</v>
      </c>
      <c r="F787" s="18">
        <v>0</v>
      </c>
      <c r="G787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8E4B-F3D8-427E-9382-75C7BF5E845C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02" t="s">
        <v>1102</v>
      </c>
      <c r="B1" s="116"/>
      <c r="C1" s="116"/>
      <c r="D1" s="116"/>
      <c r="E1" s="116"/>
      <c r="F1" s="116"/>
      <c r="G1" s="116"/>
      <c r="H1" s="116"/>
      <c r="I1" s="116"/>
      <c r="J1" s="116"/>
      <c r="L1" s="102" t="s">
        <v>1112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</row>
    <row r="2" spans="1:22" ht="11.25" customHeight="1" x14ac:dyDescent="0.25">
      <c r="A2" s="113" t="s">
        <v>83</v>
      </c>
      <c r="B2" s="113" t="s">
        <v>84</v>
      </c>
      <c r="C2" s="113" t="s">
        <v>1103</v>
      </c>
      <c r="D2" s="113" t="s">
        <v>89</v>
      </c>
      <c r="E2" s="113" t="s">
        <v>1104</v>
      </c>
      <c r="F2" s="117"/>
      <c r="G2" s="117"/>
      <c r="H2" s="113" t="s">
        <v>899</v>
      </c>
      <c r="I2" s="117"/>
      <c r="J2" s="117"/>
      <c r="L2" s="113" t="s">
        <v>83</v>
      </c>
      <c r="M2" s="113" t="s">
        <v>84</v>
      </c>
      <c r="N2" s="113" t="s">
        <v>85</v>
      </c>
      <c r="O2" s="113" t="s">
        <v>86</v>
      </c>
      <c r="P2" s="113" t="s">
        <v>89</v>
      </c>
      <c r="Q2" s="113" t="s">
        <v>1104</v>
      </c>
      <c r="R2" s="119"/>
      <c r="S2" s="119"/>
      <c r="T2" s="113" t="s">
        <v>899</v>
      </c>
      <c r="U2" s="119"/>
      <c r="V2" s="119"/>
    </row>
    <row r="3" spans="1:22" ht="11.25" customHeight="1" x14ac:dyDescent="0.25">
      <c r="A3" s="117"/>
      <c r="B3" s="117"/>
      <c r="C3" s="117"/>
      <c r="D3" s="117"/>
      <c r="E3" s="113" t="s">
        <v>858</v>
      </c>
      <c r="F3" s="117"/>
      <c r="G3" s="46" t="s">
        <v>886</v>
      </c>
      <c r="H3" s="113" t="s">
        <v>858</v>
      </c>
      <c r="I3" s="117"/>
      <c r="J3" s="46" t="s">
        <v>886</v>
      </c>
      <c r="L3" s="119"/>
      <c r="M3" s="119"/>
      <c r="N3" s="119"/>
      <c r="O3" s="119"/>
      <c r="P3" s="119"/>
      <c r="Q3" s="113" t="s">
        <v>858</v>
      </c>
      <c r="R3" s="119"/>
      <c r="S3" s="46" t="s">
        <v>886</v>
      </c>
      <c r="T3" s="113" t="s">
        <v>858</v>
      </c>
      <c r="U3" s="119"/>
      <c r="V3" s="46" t="s">
        <v>886</v>
      </c>
    </row>
    <row r="4" spans="1:22" ht="11.25" customHeight="1" x14ac:dyDescent="0.25">
      <c r="A4" s="117"/>
      <c r="B4" s="117"/>
      <c r="C4" s="117"/>
      <c r="D4" s="117"/>
      <c r="E4" s="46" t="s">
        <v>1105</v>
      </c>
      <c r="F4" s="46" t="s">
        <v>1106</v>
      </c>
      <c r="G4" s="46" t="s">
        <v>1106</v>
      </c>
      <c r="H4" s="46" t="s">
        <v>1105</v>
      </c>
      <c r="I4" s="46" t="s">
        <v>1106</v>
      </c>
      <c r="J4" s="46" t="s">
        <v>1106</v>
      </c>
      <c r="L4" s="119"/>
      <c r="M4" s="119"/>
      <c r="N4" s="119"/>
      <c r="O4" s="119"/>
      <c r="P4" s="119"/>
      <c r="Q4" s="46" t="s">
        <v>1105</v>
      </c>
      <c r="R4" s="46" t="s">
        <v>1106</v>
      </c>
      <c r="S4" s="46" t="s">
        <v>1106</v>
      </c>
      <c r="T4" s="46" t="s">
        <v>1105</v>
      </c>
      <c r="U4" s="46" t="s">
        <v>1106</v>
      </c>
      <c r="V4" s="46" t="s">
        <v>1106</v>
      </c>
    </row>
    <row r="5" spans="1:22" ht="11.25" customHeight="1" x14ac:dyDescent="0.25">
      <c r="A5" s="118" t="s">
        <v>39</v>
      </c>
      <c r="B5" s="118" t="s">
        <v>40</v>
      </c>
      <c r="C5" s="118" t="s">
        <v>25</v>
      </c>
      <c r="D5" s="47" t="s">
        <v>1107</v>
      </c>
      <c r="E5" s="45">
        <f ca="1">ROUND('TUSD BE'!$AM$5+'TUSD BF'!$AM$5+'TUSD CVA'!$AM$5,2)</f>
        <v>31.33</v>
      </c>
      <c r="F5" s="45">
        <f ca="1">ROUND('TUSD BE'!$AM$7+'TUSD BF'!$AM$7+'TUSD CVA'!$AM$7,2)</f>
        <v>45.95</v>
      </c>
      <c r="G5" s="45">
        <f>ROUND('TE BE'!$AA$5+'TE BF'!$AA$5+'TE CVA'!$AA$5,2)</f>
        <v>361.55</v>
      </c>
      <c r="H5" s="45">
        <f ca="1">ROUND('TUSD BE'!$AM$5,2)</f>
        <v>31.06</v>
      </c>
      <c r="I5" s="45">
        <f ca="1">ROUND('TUSD BE'!$AM$7,2)</f>
        <v>47.27</v>
      </c>
      <c r="J5" s="45">
        <f>ROUND('TE BE'!$AA$5,2)</f>
        <v>394.42</v>
      </c>
      <c r="L5" s="120" t="s">
        <v>22</v>
      </c>
      <c r="M5" s="120" t="s">
        <v>1113</v>
      </c>
      <c r="N5" s="120" t="s">
        <v>1114</v>
      </c>
      <c r="O5" s="120" t="s">
        <v>1114</v>
      </c>
      <c r="P5" s="47" t="s">
        <v>1107</v>
      </c>
      <c r="Q5" s="45">
        <v>0</v>
      </c>
      <c r="R5" s="45">
        <f ca="1">ROUND('TUSD BE'!$AM$37+'TUSD BF'!$AM$37+'TUSD CVA'!$AM$37,2)</f>
        <v>1054.53</v>
      </c>
      <c r="S5" s="45">
        <f>ROUND('TE BE'!$AA$16+'TE BF'!$AA$16+'TE CVA'!$AA$16,2)</f>
        <v>361.55</v>
      </c>
      <c r="T5" s="45">
        <v>0</v>
      </c>
      <c r="U5" s="45">
        <f ca="1">ROUND('TUSD BE'!$AM$37,2)</f>
        <v>1073.71</v>
      </c>
      <c r="V5" s="45">
        <f>ROUND('TE BE'!$AA$16,2)</f>
        <v>394.42</v>
      </c>
    </row>
    <row r="6" spans="1:22" ht="11.25" customHeight="1" x14ac:dyDescent="0.25">
      <c r="A6" s="117"/>
      <c r="B6" s="117"/>
      <c r="C6" s="117"/>
      <c r="D6" s="47" t="s">
        <v>1108</v>
      </c>
      <c r="E6" s="45">
        <f ca="1">ROUND('TUSD BE'!$AM$6+'TUSD BF'!$AM$6+'TUSD CVA'!$AM$6,2)</f>
        <v>10.94</v>
      </c>
      <c r="F6" s="45">
        <f ca="1">ROUND('TUSD BE'!$AM$7+'TUSD BF'!$AM$7+'TUSD CVA'!$AM$7,2)</f>
        <v>45.95</v>
      </c>
      <c r="G6" s="45">
        <f>ROUND('TE BE'!$AA$6+'TE BF'!$AA$6+'TE CVA'!$AA$6,2)</f>
        <v>223.15</v>
      </c>
      <c r="H6" s="45">
        <f ca="1">ROUND('TUSD BE'!$AM$6,2)</f>
        <v>10.15</v>
      </c>
      <c r="I6" s="45">
        <f ca="1">ROUND('TUSD BE'!$AM$7,2)</f>
        <v>47.27</v>
      </c>
      <c r="J6" s="45">
        <f>ROUND('TE BE'!$AA$6,2)</f>
        <v>241.51</v>
      </c>
      <c r="L6" s="121"/>
      <c r="M6" s="121"/>
      <c r="N6" s="121"/>
      <c r="O6" s="121"/>
      <c r="P6" s="47" t="s">
        <v>1115</v>
      </c>
      <c r="Q6" s="45">
        <v>0</v>
      </c>
      <c r="R6" s="45">
        <f ca="1">ROUND('TUSD BE'!$AM$38+'TUSD BF'!$AM$38+'TUSD CVA'!$AM$38,2)</f>
        <v>668.5</v>
      </c>
      <c r="S6" s="45">
        <f>ROUND('TE BE'!$AA$17+'TE BF'!$AA$17+'TE CVA'!$AA$17,2)</f>
        <v>223.15</v>
      </c>
      <c r="T6" s="45">
        <v>0</v>
      </c>
      <c r="U6" s="45">
        <f ca="1">ROUND('TUSD BE'!$AM$38,2)</f>
        <v>681.79</v>
      </c>
      <c r="V6" s="45">
        <f>ROUND('TE BE'!$AA$17,2)</f>
        <v>241.51</v>
      </c>
    </row>
    <row r="7" spans="1:22" ht="11.25" customHeight="1" x14ac:dyDescent="0.25">
      <c r="A7" s="117"/>
      <c r="B7" s="118" t="s">
        <v>1109</v>
      </c>
      <c r="C7" s="118" t="s">
        <v>25</v>
      </c>
      <c r="D7" s="47" t="s">
        <v>1107</v>
      </c>
      <c r="E7" s="45">
        <f ca="1">ROUND('TUSD BE'!$AM$5+'TUSD BF'!$AM$5+'TUSD CVA'!$AM$5,2)</f>
        <v>31.33</v>
      </c>
      <c r="F7" s="45">
        <f ca="1">ROUND('TUSD BE'!$AM$8+'TUSD BF'!$AM$8+'TUSD CVA'!$AM$8,2)</f>
        <v>6.57</v>
      </c>
      <c r="G7" s="45">
        <v>0</v>
      </c>
      <c r="H7" s="45">
        <f ca="1">ROUND('TUSD BE'!$AM$5,2)</f>
        <v>31.06</v>
      </c>
      <c r="I7" s="45">
        <f ca="1">ROUND('TUSD BE'!$AM$8,2)</f>
        <v>7.18</v>
      </c>
      <c r="J7" s="45">
        <v>0</v>
      </c>
      <c r="L7" s="121"/>
      <c r="M7" s="122"/>
      <c r="N7" s="122"/>
      <c r="O7" s="122"/>
      <c r="P7" s="47" t="s">
        <v>1108</v>
      </c>
      <c r="Q7" s="45">
        <v>0</v>
      </c>
      <c r="R7" s="45">
        <f ca="1">ROUND('TUSD BE'!$AM$39+'TUSD BF'!$AM$39+'TUSD CVA'!$AM$39,2)</f>
        <v>282.45999999999998</v>
      </c>
      <c r="S7" s="45">
        <f>ROUND('TE BE'!$AA$18+'TE BF'!$AA$18+'TE CVA'!$AA$18,2)</f>
        <v>223.15</v>
      </c>
      <c r="T7" s="45">
        <v>0</v>
      </c>
      <c r="U7" s="45">
        <f ca="1">ROUND('TUSD BE'!$AM$39,2)</f>
        <v>289.87</v>
      </c>
      <c r="V7" s="45">
        <f>ROUND('TE BE'!$AA$18,2)</f>
        <v>241.51</v>
      </c>
    </row>
    <row r="8" spans="1:22" ht="11.25" customHeight="1" x14ac:dyDescent="0.25">
      <c r="A8" s="117"/>
      <c r="B8" s="117"/>
      <c r="C8" s="117"/>
      <c r="D8" s="47" t="s">
        <v>1108</v>
      </c>
      <c r="E8" s="45">
        <f ca="1">ROUND('TUSD BE'!$AM$6+'TUSD BF'!$AM$6+'TUSD CVA'!$AM$6,2)</f>
        <v>10.94</v>
      </c>
      <c r="F8" s="45">
        <f ca="1">ROUND('TUSD BE'!$AM$8+'TUSD BF'!$AM$8+'TUSD CVA'!$AM$8,2)</f>
        <v>6.57</v>
      </c>
      <c r="G8" s="45">
        <v>0</v>
      </c>
      <c r="H8" s="45">
        <f ca="1">ROUND('TUSD BE'!$AM$6,2)</f>
        <v>10.15</v>
      </c>
      <c r="I8" s="45">
        <f ca="1">ROUND('TUSD BE'!$AM$8,2)</f>
        <v>7.18</v>
      </c>
      <c r="J8" s="45">
        <v>0</v>
      </c>
      <c r="L8" s="121"/>
      <c r="M8" s="47" t="s">
        <v>1116</v>
      </c>
      <c r="N8" s="47" t="s">
        <v>1114</v>
      </c>
      <c r="O8" s="47" t="s">
        <v>1114</v>
      </c>
      <c r="P8" s="47" t="s">
        <v>1110</v>
      </c>
      <c r="Q8" s="45">
        <v>0</v>
      </c>
      <c r="R8" s="45">
        <f ca="1">ROUND('TUSD BE'!$AM$45+'TUSD BF'!$AM$45+'TUSD CVA'!$AM$45,2)</f>
        <v>411.14</v>
      </c>
      <c r="S8" s="45">
        <f>ROUND('TE BE'!$AA$24+'TE BF'!$AA$24+'TE CVA'!$AA$24,2)</f>
        <v>234.68</v>
      </c>
      <c r="T8" s="45">
        <v>0</v>
      </c>
      <c r="U8" s="45">
        <f ca="1">ROUND('TUSD BE'!$AM$45,2)</f>
        <v>420.51</v>
      </c>
      <c r="V8" s="45">
        <f>ROUND('TE BE'!$AA$24,2)</f>
        <v>254.25</v>
      </c>
    </row>
    <row r="9" spans="1:22" ht="11.25" customHeight="1" x14ac:dyDescent="0.25">
      <c r="A9" s="117"/>
      <c r="B9" s="118" t="s">
        <v>61</v>
      </c>
      <c r="C9" s="118" t="s">
        <v>65</v>
      </c>
      <c r="D9" s="47" t="s">
        <v>1107</v>
      </c>
      <c r="E9" s="45">
        <f ca="1">ROUND('TUSD BE'!$AM$9+'TUSD BF'!$AM$9+'TUSD CVA'!$AM$9-0*('TUSD BE'!$AC$9+'TUSD BF'!$AC$9+'TUSD CVA'!$AC$9),2)</f>
        <v>33.92</v>
      </c>
      <c r="F9" s="45">
        <f ca="1">ROUND('TUSD BE'!$AM$11+'TUSD BF'!$AM$11+'TUSD CVA'!$AM$11,2)</f>
        <v>4.62</v>
      </c>
      <c r="G9" s="45">
        <v>0</v>
      </c>
      <c r="H9" s="45">
        <f ca="1">ROUND('TUSD BE'!$AM$9-0*('TUSD BE'!$AC$9),2)</f>
        <v>31.06</v>
      </c>
      <c r="I9" s="45">
        <f ca="1">ROUND('TUSD BE'!$AM$11,2)</f>
        <v>4.63</v>
      </c>
      <c r="J9" s="45">
        <v>0</v>
      </c>
      <c r="L9" s="121"/>
      <c r="M9" s="47" t="s">
        <v>1118</v>
      </c>
      <c r="N9" s="47" t="s">
        <v>1114</v>
      </c>
      <c r="O9" s="47" t="s">
        <v>1114</v>
      </c>
      <c r="P9" s="47" t="s">
        <v>1110</v>
      </c>
      <c r="Q9" s="45">
        <v>0</v>
      </c>
      <c r="R9" s="45">
        <f ca="1">ROUND('TUSD BE'!$AM$40+'TUSD BF'!$AM$40+'TUSD CVA'!$AM$40,2)</f>
        <v>411.14</v>
      </c>
      <c r="S9" s="45">
        <f>ROUND('TE BE'!$AA$19+'TE BF'!$AA$19+'TE CVA'!$AA$19,2)</f>
        <v>234.68</v>
      </c>
      <c r="T9" s="45">
        <v>0</v>
      </c>
      <c r="U9" s="45">
        <f ca="1">ROUND('TUSD BE'!$AM$40,2)</f>
        <v>420.51</v>
      </c>
      <c r="V9" s="45">
        <f>ROUND('TE BE'!$AA$19,2)</f>
        <v>254.25</v>
      </c>
    </row>
    <row r="10" spans="1:22" ht="11.25" customHeight="1" x14ac:dyDescent="0.25">
      <c r="A10" s="117"/>
      <c r="B10" s="117"/>
      <c r="C10" s="117"/>
      <c r="D10" s="47" t="s">
        <v>1108</v>
      </c>
      <c r="E10" s="45">
        <f ca="1">ROUND('TUSD BE'!$AM$10+'TUSD BF'!$AM$10+'TUSD CVA'!$AM$10-0*('TUSD BE'!$AC$10+'TUSD BF'!$AC$10+'TUSD CVA'!$AC$10),2)</f>
        <v>11.79</v>
      </c>
      <c r="F10" s="45">
        <f ca="1">ROUND('TUSD BE'!$AM$11+'TUSD BF'!$AM$11+'TUSD CVA'!$AM$11,2)</f>
        <v>4.62</v>
      </c>
      <c r="G10" s="45">
        <v>0</v>
      </c>
      <c r="H10" s="45">
        <f ca="1">ROUND('TUSD BE'!$AM$10-0*('TUSD BE'!$AC$10),2)</f>
        <v>10.15</v>
      </c>
      <c r="I10" s="45">
        <f ca="1">ROUND('TUSD BE'!$AM$11,2)</f>
        <v>4.63</v>
      </c>
      <c r="J10" s="45">
        <v>0</v>
      </c>
      <c r="L10" s="121"/>
      <c r="M10" s="47" t="s">
        <v>1116</v>
      </c>
      <c r="N10" s="47" t="s">
        <v>1114</v>
      </c>
      <c r="O10" s="47" t="s">
        <v>1117</v>
      </c>
      <c r="P10" s="47" t="s">
        <v>1110</v>
      </c>
      <c r="Q10" s="45">
        <v>0</v>
      </c>
      <c r="R10" s="45">
        <f ca="1">ROUND('TUSD BE'!$AM$46+'TUSD BF'!$AM$46+'TUSD CVA'!$AM$46,2)</f>
        <v>356.66</v>
      </c>
      <c r="S10" s="45">
        <f>ROUND('TE BE'!$AA$25+'TE BF'!$AA$25+'TE CVA'!$AA$25,2)</f>
        <v>234.68</v>
      </c>
      <c r="T10" s="45">
        <v>0</v>
      </c>
      <c r="U10" s="45">
        <f ca="1">ROUND('TUSD BE'!$AM$46,2)</f>
        <v>364.86</v>
      </c>
      <c r="V10" s="45">
        <f>ROUND('TE BE'!$AA$25,2)</f>
        <v>254.25</v>
      </c>
    </row>
    <row r="11" spans="1:22" ht="11.25" customHeight="1" x14ac:dyDescent="0.25">
      <c r="A11" s="117"/>
      <c r="B11" s="117"/>
      <c r="C11" s="117"/>
      <c r="D11" s="47" t="s">
        <v>1110</v>
      </c>
      <c r="E11" s="45">
        <v>0</v>
      </c>
      <c r="F11" s="45">
        <v>0</v>
      </c>
      <c r="G11" s="45">
        <f>ROUND('TE BE'!$AA$7+'TE BF'!$AA$7+'TE CVA'!$AA$7,2)</f>
        <v>253.58</v>
      </c>
      <c r="H11" s="45">
        <v>0</v>
      </c>
      <c r="I11" s="45">
        <v>0</v>
      </c>
      <c r="J11" s="45">
        <f>ROUND('TE BE'!$AA$7,2)</f>
        <v>249.47</v>
      </c>
      <c r="L11" s="122"/>
      <c r="M11" s="47" t="s">
        <v>1118</v>
      </c>
      <c r="N11" s="47" t="s">
        <v>1114</v>
      </c>
      <c r="O11" s="47" t="s">
        <v>1117</v>
      </c>
      <c r="P11" s="47" t="s">
        <v>1110</v>
      </c>
      <c r="Q11" s="45">
        <v>0</v>
      </c>
      <c r="R11" s="45">
        <f ca="1">ROUND('TUSD BE'!$AM$41+'TUSD BF'!$AM$41+'TUSD CVA'!$AM$41,2)</f>
        <v>356.66</v>
      </c>
      <c r="S11" s="45">
        <f>ROUND('TE BE'!$AA$20+'TE BF'!$AA$20+'TE CVA'!$AA$20,2)</f>
        <v>234.68</v>
      </c>
      <c r="T11" s="45">
        <v>0</v>
      </c>
      <c r="U11" s="45">
        <f ca="1">ROUND('TUSD BE'!$AM$41,2)</f>
        <v>364.86</v>
      </c>
      <c r="V11" s="45">
        <f>ROUND('TE BE'!$AA$20,2)</f>
        <v>254.25</v>
      </c>
    </row>
    <row r="12" spans="1:22" ht="11.25" customHeight="1" x14ac:dyDescent="0.25">
      <c r="A12" s="117"/>
      <c r="B12" s="47" t="s">
        <v>69</v>
      </c>
      <c r="C12" s="47" t="s">
        <v>25</v>
      </c>
      <c r="D12" s="47" t="s">
        <v>1110</v>
      </c>
      <c r="E12" s="45">
        <f ca="1">ROUND('TUSD BE'!$AM$12+'TUSD BF'!$AM$12+'TUSD CVA'!$AM$12,2)</f>
        <v>12.96</v>
      </c>
      <c r="F12" s="45">
        <v>0</v>
      </c>
      <c r="G12" s="45">
        <v>0</v>
      </c>
      <c r="H12" s="45">
        <f>ROUND('TUSD BE'!$AM$12,2)</f>
        <v>13.44</v>
      </c>
      <c r="I12" s="45">
        <v>0</v>
      </c>
      <c r="J12" s="45">
        <v>0</v>
      </c>
      <c r="L12" s="120" t="s">
        <v>44</v>
      </c>
      <c r="M12" s="120" t="s">
        <v>1113</v>
      </c>
      <c r="N12" s="120" t="s">
        <v>1119</v>
      </c>
      <c r="O12" s="120" t="s">
        <v>1120</v>
      </c>
      <c r="P12" s="47" t="s">
        <v>1107</v>
      </c>
      <c r="Q12" s="45">
        <v>0</v>
      </c>
      <c r="R12" s="45">
        <f ca="1">ROUND(('TUSD BE'!$AM$50+'TUSD BF'!$AM$50+'TUSD CVA'!$AM$50)*(1-CUSTOS!$M$38),2)</f>
        <v>991.26</v>
      </c>
      <c r="S12" s="45">
        <f>ROUND(('TE BE'!$AA$29+'TE BF'!$AA$29+'TE CVA'!$AA$29)*(1-CUSTOS!$M$38),2)</f>
        <v>339.86</v>
      </c>
      <c r="T12" s="45">
        <v>0</v>
      </c>
      <c r="U12" s="45">
        <f ca="1">ROUND('TUSD BE'!$AM$50*(1-CUSTOS!$M$38),2)</f>
        <v>1009.29</v>
      </c>
      <c r="V12" s="45">
        <f>ROUND('TE BE'!$AA$29*(1-CUSTOS!$M$38),2)</f>
        <v>370.76</v>
      </c>
    </row>
    <row r="13" spans="1:22" ht="11.25" customHeight="1" x14ac:dyDescent="0.25">
      <c r="A13" s="118" t="s">
        <v>41</v>
      </c>
      <c r="B13" s="118" t="s">
        <v>40</v>
      </c>
      <c r="C13" s="118" t="s">
        <v>25</v>
      </c>
      <c r="D13" s="47" t="s">
        <v>1107</v>
      </c>
      <c r="E13" s="45">
        <f ca="1">ROUND('TUSD BE'!$AM$13+'TUSD BF'!$AM$13+'TUSD CVA'!$AM$13,2)</f>
        <v>73.08</v>
      </c>
      <c r="F13" s="45">
        <f ca="1">ROUND('TUSD BE'!$AM$15+'TUSD BF'!$AM$15+'TUSD CVA'!$AM$15,2)</f>
        <v>65.010000000000005</v>
      </c>
      <c r="G13" s="45">
        <f>ROUND('TE BE'!$AA$10+'TE BF'!$AA$10+'TE CVA'!$AA$10,2)</f>
        <v>361.55</v>
      </c>
      <c r="H13" s="45">
        <f ca="1">ROUND('TUSD BE'!$AM$13,2)</f>
        <v>74.09</v>
      </c>
      <c r="I13" s="45">
        <f ca="1">ROUND('TUSD BE'!$AM$15,2)</f>
        <v>67.58</v>
      </c>
      <c r="J13" s="45">
        <f>ROUND('TE BE'!$AA$10,2)</f>
        <v>394.42</v>
      </c>
      <c r="L13" s="121"/>
      <c r="M13" s="121"/>
      <c r="N13" s="121"/>
      <c r="O13" s="121"/>
      <c r="P13" s="47" t="s">
        <v>1115</v>
      </c>
      <c r="Q13" s="45">
        <v>0</v>
      </c>
      <c r="R13" s="45">
        <f ca="1">ROUND(('TUSD BE'!$AM$51+'TUSD BF'!$AM$51+'TUSD CVA'!$AM$51)*(1-CUSTOS!$M$38),2)</f>
        <v>628.39</v>
      </c>
      <c r="S13" s="45">
        <f>ROUND(('TE BE'!$AA$30+'TE BF'!$AA$30+'TE CVA'!$AA$30)*(1-CUSTOS!$M$38),2)</f>
        <v>209.76</v>
      </c>
      <c r="T13" s="45">
        <v>0</v>
      </c>
      <c r="U13" s="45">
        <f ca="1">ROUND('TUSD BE'!$AM$51*(1-CUSTOS!$M$38),2)</f>
        <v>640.89</v>
      </c>
      <c r="V13" s="45">
        <f>ROUND('TE BE'!$AA$30*(1-CUSTOS!$M$38),2)</f>
        <v>227.02</v>
      </c>
    </row>
    <row r="14" spans="1:22" ht="11.25" customHeight="1" x14ac:dyDescent="0.25">
      <c r="A14" s="117"/>
      <c r="B14" s="117"/>
      <c r="C14" s="117"/>
      <c r="D14" s="47" t="s">
        <v>1108</v>
      </c>
      <c r="E14" s="45">
        <f ca="1">ROUND('TUSD BE'!$AM$14+'TUSD BF'!$AM$14+'TUSD CVA'!$AM$14,2)</f>
        <v>26.6</v>
      </c>
      <c r="F14" s="45">
        <f ca="1">ROUND('TUSD BE'!$AM$15+'TUSD BF'!$AM$15+'TUSD CVA'!$AM$15,2)</f>
        <v>65.010000000000005</v>
      </c>
      <c r="G14" s="45">
        <f>ROUND('TE BE'!$AA$11+'TE BF'!$AA$11+'TE CVA'!$AA$11,2)</f>
        <v>223.15</v>
      </c>
      <c r="H14" s="45">
        <f ca="1">ROUND('TUSD BE'!$AM$14,2)</f>
        <v>26.29</v>
      </c>
      <c r="I14" s="45">
        <f ca="1">ROUND('TUSD BE'!$AM$15,2)</f>
        <v>67.58</v>
      </c>
      <c r="J14" s="45">
        <f>ROUND('TE BE'!$AA$11,2)</f>
        <v>241.51</v>
      </c>
      <c r="L14" s="121"/>
      <c r="M14" s="122"/>
      <c r="N14" s="122"/>
      <c r="O14" s="122"/>
      <c r="P14" s="47" t="s">
        <v>1108</v>
      </c>
      <c r="Q14" s="45">
        <v>0</v>
      </c>
      <c r="R14" s="45">
        <f ca="1">ROUND(('TUSD BE'!$AM$52+'TUSD BF'!$AM$52+'TUSD CVA'!$AM$52)*(1-CUSTOS!$M$38),2)</f>
        <v>265.52</v>
      </c>
      <c r="S14" s="45">
        <f>ROUND(('TE BE'!$AA$31+'TE BF'!$AA$31+'TE CVA'!$AA$31)*(1-CUSTOS!$M$38),2)</f>
        <v>209.76</v>
      </c>
      <c r="T14" s="45">
        <v>0</v>
      </c>
      <c r="U14" s="45">
        <f ca="1">ROUND('TUSD BE'!$AM$52*(1-CUSTOS!$M$38),2)</f>
        <v>272.48</v>
      </c>
      <c r="V14" s="45">
        <f>ROUND('TE BE'!$AA$31*(1-CUSTOS!$M$38),2)</f>
        <v>227.02</v>
      </c>
    </row>
    <row r="15" spans="1:22" ht="11.25" customHeight="1" x14ac:dyDescent="0.25">
      <c r="A15" s="117"/>
      <c r="B15" s="118" t="s">
        <v>1109</v>
      </c>
      <c r="C15" s="118" t="s">
        <v>25</v>
      </c>
      <c r="D15" s="47" t="s">
        <v>1107</v>
      </c>
      <c r="E15" s="45">
        <f ca="1">ROUND('TUSD BE'!$AM$13+'TUSD BF'!$AM$13+'TUSD CVA'!$AM$13,2)</f>
        <v>73.08</v>
      </c>
      <c r="F15" s="45">
        <f ca="1">ROUND('TUSD BE'!$AM$16+'TUSD BF'!$AM$16+'TUSD CVA'!$AM$16,2)</f>
        <v>16.88</v>
      </c>
      <c r="G15" s="45">
        <v>0</v>
      </c>
      <c r="H15" s="45">
        <f ca="1">ROUND('TUSD BE'!$AM$13,2)</f>
        <v>74.09</v>
      </c>
      <c r="I15" s="45">
        <f ca="1">ROUND('TUSD BE'!$AM$16,2)</f>
        <v>18.48</v>
      </c>
      <c r="J15" s="45">
        <v>0</v>
      </c>
      <c r="L15" s="121"/>
      <c r="M15" s="47" t="s">
        <v>1116</v>
      </c>
      <c r="N15" s="47" t="s">
        <v>1119</v>
      </c>
      <c r="O15" s="47" t="s">
        <v>1120</v>
      </c>
      <c r="P15" s="47" t="s">
        <v>1110</v>
      </c>
      <c r="Q15" s="45">
        <v>0</v>
      </c>
      <c r="R15" s="45">
        <f ca="1">ROUND(('TUSD BE'!$AM$62+'TUSD BF'!$AM$62+'TUSD CVA'!$AM$62)*(1-CUSTOS!$M$38),2)</f>
        <v>386.47</v>
      </c>
      <c r="S15" s="45">
        <f>ROUND(('TE BE'!$AA$41+'TE BF'!$AA$41+'TE CVA'!$AA$41)*(1-CUSTOS!$M$38),2)</f>
        <v>220.6</v>
      </c>
      <c r="T15" s="45">
        <v>0</v>
      </c>
      <c r="U15" s="45">
        <f ca="1">ROUND(('TUSD BE'!$AM$62)*(1-CUSTOS!$M$38),2)</f>
        <v>395.28</v>
      </c>
      <c r="V15" s="45">
        <f>ROUND(('TE BE'!$AA$41)*(1-CUSTOS!$M$38),2)</f>
        <v>239</v>
      </c>
    </row>
    <row r="16" spans="1:22" ht="11.25" customHeight="1" x14ac:dyDescent="0.25">
      <c r="A16" s="117"/>
      <c r="B16" s="117"/>
      <c r="C16" s="117"/>
      <c r="D16" s="47" t="s">
        <v>1108</v>
      </c>
      <c r="E16" s="45">
        <f ca="1">ROUND('TUSD BE'!$AM$14+'TUSD BF'!$AM$14+'TUSD CVA'!$AM$14,2)</f>
        <v>26.6</v>
      </c>
      <c r="F16" s="45">
        <f ca="1">ROUND('TUSD BE'!$AM$16+'TUSD BF'!$AM$16+'TUSD CVA'!$AM$16,2)</f>
        <v>16.88</v>
      </c>
      <c r="G16" s="45">
        <v>0</v>
      </c>
      <c r="H16" s="45">
        <f ca="1">ROUND('TUSD BE'!$AM$14,2)</f>
        <v>26.29</v>
      </c>
      <c r="I16" s="45">
        <f ca="1">ROUND('TUSD BE'!$AM$16,2)</f>
        <v>18.48</v>
      </c>
      <c r="J16" s="45">
        <v>0</v>
      </c>
      <c r="L16" s="121"/>
      <c r="M16" s="47" t="s">
        <v>1118</v>
      </c>
      <c r="N16" s="47" t="s">
        <v>1119</v>
      </c>
      <c r="O16" s="47" t="s">
        <v>1120</v>
      </c>
      <c r="P16" s="47" t="s">
        <v>1110</v>
      </c>
      <c r="Q16" s="45">
        <v>0</v>
      </c>
      <c r="R16" s="45">
        <f ca="1">ROUND(('TUSD BE'!$AM$53+'TUSD BF'!$AM$53+'TUSD CVA'!$AM$53)*(1-CUSTOS!$M$38),2)</f>
        <v>386.47</v>
      </c>
      <c r="S16" s="45">
        <f>ROUND(('TE BE'!$AA$32+'TE BF'!$AA$32+'TE CVA'!$AA$32)*(1-CUSTOS!$M$38),2)</f>
        <v>220.6</v>
      </c>
      <c r="T16" s="45">
        <v>0</v>
      </c>
      <c r="U16" s="45">
        <f ca="1">ROUND(('TUSD BE'!$AM$53)*(1-CUSTOS!$M$38),2)</f>
        <v>395.28</v>
      </c>
      <c r="V16" s="45">
        <f>ROUND(('TE BE'!$AA$32)*(1-CUSTOS!$M$38),2)</f>
        <v>239</v>
      </c>
    </row>
    <row r="17" spans="1:22" ht="11.25" customHeight="1" x14ac:dyDescent="0.25">
      <c r="A17" s="117"/>
      <c r="B17" s="118" t="s">
        <v>42</v>
      </c>
      <c r="C17" s="118" t="s">
        <v>25</v>
      </c>
      <c r="D17" s="47" t="s">
        <v>1110</v>
      </c>
      <c r="E17" s="45">
        <f ca="1">ROUND('TUSD BE'!$AM$30+'TUSD BF'!$AM$30+'TUSD CVA'!$AM$30,2)</f>
        <v>26.6</v>
      </c>
      <c r="F17" s="45">
        <v>0</v>
      </c>
      <c r="G17" s="45">
        <v>0</v>
      </c>
      <c r="H17" s="45">
        <f ca="1">ROUND('TUSD BE'!$AM$30,2)</f>
        <v>26.29</v>
      </c>
      <c r="I17" s="45">
        <v>0</v>
      </c>
      <c r="J17" s="45">
        <v>0</v>
      </c>
      <c r="L17" s="121"/>
      <c r="M17" s="120" t="s">
        <v>1113</v>
      </c>
      <c r="N17" s="120" t="s">
        <v>1119</v>
      </c>
      <c r="O17" s="120" t="s">
        <v>1121</v>
      </c>
      <c r="P17" s="47" t="s">
        <v>1107</v>
      </c>
      <c r="Q17" s="45">
        <v>0</v>
      </c>
      <c r="R17" s="45">
        <f ca="1">ROUND(('TUSD BE'!$AM$54+'TUSD BF'!$AM$54+'TUSD CVA'!$AM$54)*(1-CUSTOS!$M$39),2)</f>
        <v>991.26</v>
      </c>
      <c r="S17" s="45">
        <f>ROUND(('TE BE'!$AA$33+'TE BF'!$AA$33+'TE CVA'!$AA$33)*(1-CUSTOS!$M$39),2)</f>
        <v>339.86</v>
      </c>
      <c r="T17" s="45">
        <v>0</v>
      </c>
      <c r="U17" s="45">
        <f ca="1">ROUND('TUSD BE'!$AM$54*(1-CUSTOS!$M$39),2)</f>
        <v>1009.29</v>
      </c>
      <c r="V17" s="45">
        <f>ROUND('TE BE'!$AA$33*(1-CUSTOS!$M$39),2)</f>
        <v>370.76</v>
      </c>
    </row>
    <row r="18" spans="1:22" ht="11.25" customHeight="1" x14ac:dyDescent="0.25">
      <c r="A18" s="117"/>
      <c r="B18" s="117"/>
      <c r="C18" s="117"/>
      <c r="D18" s="47" t="s">
        <v>1107</v>
      </c>
      <c r="E18" s="45">
        <v>0</v>
      </c>
      <c r="F18" s="45">
        <f ca="1">ROUND('TUSD BE'!$AM$31+'TUSD BF'!$AM$31+'TUSD CVA'!$AM$31,2)</f>
        <v>1837.89</v>
      </c>
      <c r="G18" s="45">
        <f>ROUND('TE BE'!$AA$10+'TE BF'!$AA$10+'TE CVA'!$AA$10,2)</f>
        <v>361.55</v>
      </c>
      <c r="H18" s="45">
        <v>0</v>
      </c>
      <c r="I18" s="45">
        <f ca="1">ROUND('TUSD BE'!$AM$31,2)</f>
        <v>1865.97</v>
      </c>
      <c r="J18" s="45">
        <f>ROUND('TE BE'!$AA$10,2)</f>
        <v>394.42</v>
      </c>
      <c r="L18" s="121"/>
      <c r="M18" s="121"/>
      <c r="N18" s="121"/>
      <c r="O18" s="121"/>
      <c r="P18" s="47" t="s">
        <v>1115</v>
      </c>
      <c r="Q18" s="45">
        <v>0</v>
      </c>
      <c r="R18" s="45">
        <f ca="1">ROUND(('TUSD BE'!$AM$55+'TUSD BF'!$AM$55+'TUSD CVA'!$AM$55)*(1-CUSTOS!$M$39),2)</f>
        <v>628.39</v>
      </c>
      <c r="S18" s="45">
        <f>ROUND(('TE BE'!$AA$34+'TE BF'!$AA$34+'TE CVA'!$AA$34)*(1-CUSTOS!$M$39),2)</f>
        <v>209.76</v>
      </c>
      <c r="T18" s="45">
        <v>0</v>
      </c>
      <c r="U18" s="45">
        <f ca="1">ROUND('TUSD BE'!$AM$55*(1-CUSTOS!$M$39),2)</f>
        <v>640.89</v>
      </c>
      <c r="V18" s="45">
        <f>ROUND('TE BE'!$AA$34*(1-CUSTOS!$M$39),2)</f>
        <v>227.02</v>
      </c>
    </row>
    <row r="19" spans="1:22" ht="11.25" customHeight="1" x14ac:dyDescent="0.25">
      <c r="A19" s="117"/>
      <c r="B19" s="117"/>
      <c r="C19" s="117"/>
      <c r="D19" s="47" t="s">
        <v>1108</v>
      </c>
      <c r="E19" s="45">
        <v>0</v>
      </c>
      <c r="F19" s="45">
        <f ca="1">ROUND('TUSD BE'!$AM$32+'TUSD BF'!$AM$32+'TUSD CVA'!$AM$32,2)</f>
        <v>65.010000000000005</v>
      </c>
      <c r="G19" s="45">
        <f>ROUND('TE BE'!$AA$11+'TE BF'!$AA$11+'TE CVA'!$AA$11,2)</f>
        <v>223.15</v>
      </c>
      <c r="H19" s="45">
        <v>0</v>
      </c>
      <c r="I19" s="45">
        <f ca="1">ROUND('TUSD BE'!$AM$32,2)</f>
        <v>67.58</v>
      </c>
      <c r="J19" s="45">
        <f>ROUND('TE BE'!$AA$11,2)</f>
        <v>241.51</v>
      </c>
      <c r="L19" s="121"/>
      <c r="M19" s="122"/>
      <c r="N19" s="122"/>
      <c r="O19" s="122"/>
      <c r="P19" s="47" t="s">
        <v>1108</v>
      </c>
      <c r="Q19" s="45">
        <v>0</v>
      </c>
      <c r="R19" s="45">
        <f ca="1">ROUND(('TUSD BE'!$AM$56+'TUSD BF'!$AM$56+'TUSD CVA'!$AM$56)*(1-CUSTOS!$M$39),2)</f>
        <v>265.52</v>
      </c>
      <c r="S19" s="45">
        <f>ROUND(('TE BE'!$AA$35+'TE BF'!$AA$35+'TE CVA'!$AA$35)*(1-CUSTOS!$M$39),2)</f>
        <v>209.76</v>
      </c>
      <c r="T19" s="45">
        <v>0</v>
      </c>
      <c r="U19" s="45">
        <f ca="1">ROUND('TUSD BE'!$AM$56*(1-CUSTOS!$M$39),2)</f>
        <v>272.48</v>
      </c>
      <c r="V19" s="45">
        <f>ROUND('TE BE'!$AA$35*(1-CUSTOS!$M$39),2)</f>
        <v>227.02</v>
      </c>
    </row>
    <row r="20" spans="1:22" ht="11.25" customHeight="1" x14ac:dyDescent="0.25">
      <c r="A20" s="117"/>
      <c r="B20" s="118" t="s">
        <v>1111</v>
      </c>
      <c r="C20" s="118" t="s">
        <v>25</v>
      </c>
      <c r="D20" s="47" t="s">
        <v>1110</v>
      </c>
      <c r="E20" s="45">
        <f ca="1">ROUND('TUSD BE'!$AM$30+'TUSD BF'!$AM$30+'TUSD CVA'!$AM$30,2)</f>
        <v>26.6</v>
      </c>
      <c r="F20" s="45">
        <v>0</v>
      </c>
      <c r="G20" s="45">
        <v>0</v>
      </c>
      <c r="H20" s="45">
        <f ca="1">ROUND('TUSD BE'!$AM$30,2)</f>
        <v>26.29</v>
      </c>
      <c r="I20" s="45">
        <v>0</v>
      </c>
      <c r="J20" s="45">
        <v>0</v>
      </c>
      <c r="L20" s="121"/>
      <c r="M20" s="47" t="s">
        <v>1116</v>
      </c>
      <c r="N20" s="47" t="s">
        <v>1119</v>
      </c>
      <c r="O20" s="47" t="s">
        <v>1121</v>
      </c>
      <c r="P20" s="47" t="s">
        <v>1110</v>
      </c>
      <c r="Q20" s="45">
        <v>0</v>
      </c>
      <c r="R20" s="45">
        <f ca="1">ROUND(('TUSD BE'!$AM$62+'TUSD BF'!$AM$62+'TUSD CVA'!$AM$62)*(1-CUSTOS!$M$39),2)</f>
        <v>386.47</v>
      </c>
      <c r="S20" s="45">
        <f>ROUND(('TE BE'!$AA$41+'TE BF'!$AA$41+'TE CVA'!$AA$41)*(1-CUSTOS!$M$39),2)</f>
        <v>220.6</v>
      </c>
      <c r="T20" s="45">
        <v>0</v>
      </c>
      <c r="U20" s="45">
        <f ca="1">ROUND(('TUSD BE'!$AM$62)*(1-CUSTOS!$M$39),2)</f>
        <v>395.28</v>
      </c>
      <c r="V20" s="45">
        <f>ROUND(('TE BE'!$AA$41)*(1-CUSTOS!$M$39),2)</f>
        <v>239</v>
      </c>
    </row>
    <row r="21" spans="1:22" ht="11.25" customHeight="1" x14ac:dyDescent="0.25">
      <c r="A21" s="117"/>
      <c r="B21" s="117"/>
      <c r="C21" s="117"/>
      <c r="D21" s="47" t="s">
        <v>1107</v>
      </c>
      <c r="E21" s="45">
        <v>0</v>
      </c>
      <c r="F21" s="45">
        <f ca="1">ROUND('TUSD BE'!$AM$33+'TUSD BF'!$AM$33+'TUSD CVA'!$AM$33,2)</f>
        <v>1789.76</v>
      </c>
      <c r="G21" s="45">
        <v>0</v>
      </c>
      <c r="H21" s="45">
        <v>0</v>
      </c>
      <c r="I21" s="45">
        <f ca="1">ROUND('TUSD BE'!$AM$33,2)</f>
        <v>1816.87</v>
      </c>
      <c r="J21" s="45">
        <v>0</v>
      </c>
      <c r="L21" s="121"/>
      <c r="M21" s="47" t="s">
        <v>1118</v>
      </c>
      <c r="N21" s="47" t="s">
        <v>1119</v>
      </c>
      <c r="O21" s="47" t="s">
        <v>1121</v>
      </c>
      <c r="P21" s="47" t="s">
        <v>1110</v>
      </c>
      <c r="Q21" s="45">
        <v>0</v>
      </c>
      <c r="R21" s="45">
        <f ca="1">ROUND(('TUSD BE'!$AM$53+'TUSD BF'!$AM$53+'TUSD CVA'!$AM$53)*(1-CUSTOS!$M$39),2)</f>
        <v>386.47</v>
      </c>
      <c r="S21" s="45">
        <f>ROUND(('TE BE'!$AA$32+'TE BF'!$AA$32+'TE CVA'!$AA$32)*(1-CUSTOS!$M$39),2)</f>
        <v>220.6</v>
      </c>
      <c r="T21" s="45">
        <v>0</v>
      </c>
      <c r="U21" s="45">
        <f ca="1">ROUND(('TUSD BE'!$AM$53)*(1-CUSTOS!$M$39),2)</f>
        <v>395.28</v>
      </c>
      <c r="V21" s="45">
        <f>ROUND(('TE BE'!$AA$32)*(1-CUSTOS!$M$39),2)</f>
        <v>239</v>
      </c>
    </row>
    <row r="22" spans="1:22" ht="11.25" customHeight="1" x14ac:dyDescent="0.25">
      <c r="A22" s="117"/>
      <c r="B22" s="117"/>
      <c r="C22" s="117"/>
      <c r="D22" s="47" t="s">
        <v>1108</v>
      </c>
      <c r="E22" s="45">
        <v>0</v>
      </c>
      <c r="F22" s="45">
        <f ca="1">ROUND('TUSD BE'!$AM$34+'TUSD BF'!$AM$34+'TUSD CVA'!$AM$34,2)</f>
        <v>16.88</v>
      </c>
      <c r="G22" s="45">
        <v>0</v>
      </c>
      <c r="H22" s="45">
        <v>0</v>
      </c>
      <c r="I22" s="45">
        <f ca="1">ROUND('TUSD BE'!$AM$34,2)</f>
        <v>18.48</v>
      </c>
      <c r="J22" s="45">
        <v>0</v>
      </c>
      <c r="L22" s="121"/>
      <c r="M22" s="120" t="s">
        <v>1113</v>
      </c>
      <c r="N22" s="120" t="s">
        <v>1119</v>
      </c>
      <c r="O22" s="120" t="s">
        <v>1122</v>
      </c>
      <c r="P22" s="47" t="s">
        <v>1107</v>
      </c>
      <c r="Q22" s="45">
        <v>0</v>
      </c>
      <c r="R22" s="45">
        <f ca="1">ROUND(('TUSD BE'!$AM$58+'TUSD BF'!$AM$58+'TUSD CVA'!$AM$58)*(1-CUSTOS!$M$40),2)</f>
        <v>970.17</v>
      </c>
      <c r="S22" s="45">
        <f>ROUND(('TE BE'!$AA$37+'TE BF'!$AA$37+'TE CVA'!$AA$37)*(1-CUSTOS!$M$40),2)</f>
        <v>332.63</v>
      </c>
      <c r="T22" s="45">
        <v>0</v>
      </c>
      <c r="U22" s="45">
        <f ca="1">ROUND('TUSD BE'!$AM$58*(1-CUSTOS!$M$40),2)</f>
        <v>987.81</v>
      </c>
      <c r="V22" s="45">
        <f>ROUND('TE BE'!$AA$37*(1-CUSTOS!$M$40),2)</f>
        <v>362.87</v>
      </c>
    </row>
    <row r="23" spans="1:22" ht="11.25" customHeight="1" x14ac:dyDescent="0.25">
      <c r="A23" s="117"/>
      <c r="B23" s="118" t="s">
        <v>61</v>
      </c>
      <c r="C23" s="118" t="s">
        <v>65</v>
      </c>
      <c r="D23" s="47" t="s">
        <v>1107</v>
      </c>
      <c r="E23" s="45">
        <f ca="1">ROUND('TUSD BE'!$AM$20+'TUSD BF'!$AM$20+'TUSD CVA'!$AM$20-0*('TUSD BE'!$AC$20+'TUSD BF'!$AC$20+'TUSD CVA'!$AC$20),2)</f>
        <v>36.25</v>
      </c>
      <c r="F23" s="45">
        <f ca="1">ROUND('TUSD BE'!$AM$22+'TUSD BF'!$AM$22+'TUSD CVA'!$AM$22,2)</f>
        <v>11.15</v>
      </c>
      <c r="G23" s="45">
        <v>0</v>
      </c>
      <c r="H23" s="45">
        <f ca="1">ROUND('TUSD BE'!$AM$20-0*('TUSD BE'!$AC$20),2)</f>
        <v>33.380000000000003</v>
      </c>
      <c r="I23" s="45">
        <f ca="1">ROUND('TUSD BE'!$AM$22,2)</f>
        <v>11.17</v>
      </c>
      <c r="J23" s="45">
        <v>0</v>
      </c>
      <c r="L23" s="121"/>
      <c r="M23" s="121"/>
      <c r="N23" s="121"/>
      <c r="O23" s="121"/>
      <c r="P23" s="47" t="s">
        <v>1115</v>
      </c>
      <c r="Q23" s="45">
        <v>0</v>
      </c>
      <c r="R23" s="45">
        <f ca="1">ROUND(('TUSD BE'!$AM$59+'TUSD BF'!$AM$59+'TUSD CVA'!$AM$59)*(1-CUSTOS!$M$40),2)</f>
        <v>615.02</v>
      </c>
      <c r="S23" s="45">
        <f>ROUND(('TE BE'!$AA$38+'TE BF'!$AA$38+'TE CVA'!$AA$38)*(1-CUSTOS!$M$40),2)</f>
        <v>205.29</v>
      </c>
      <c r="T23" s="45">
        <v>0</v>
      </c>
      <c r="U23" s="45">
        <f ca="1">ROUND('TUSD BE'!$AM$59*(1-CUSTOS!$M$40),2)</f>
        <v>627.25</v>
      </c>
      <c r="V23" s="45">
        <f>ROUND('TE BE'!$AA$38*(1-CUSTOS!$M$40),2)</f>
        <v>222.19</v>
      </c>
    </row>
    <row r="24" spans="1:22" ht="11.25" customHeight="1" x14ac:dyDescent="0.25">
      <c r="A24" s="117"/>
      <c r="B24" s="117"/>
      <c r="C24" s="117"/>
      <c r="D24" s="47" t="s">
        <v>1108</v>
      </c>
      <c r="E24" s="45">
        <f ca="1">ROUND('TUSD BE'!$AM$21+'TUSD BF'!$AM$21+'TUSD CVA'!$AM$21-0*('TUSD BE'!$AC$21+'TUSD BF'!$AC$21+'TUSD CVA'!$AC$21),2)</f>
        <v>16.48</v>
      </c>
      <c r="F24" s="45">
        <f ca="1">ROUND('TUSD BE'!$AM$22+'TUSD BF'!$AM$22+'TUSD CVA'!$AM$22,2)</f>
        <v>11.15</v>
      </c>
      <c r="G24" s="45">
        <v>0</v>
      </c>
      <c r="H24" s="45">
        <f ca="1">ROUND('TUSD BE'!$AM$21-0*('TUSD BE'!$AC$21),2)</f>
        <v>14.64</v>
      </c>
      <c r="I24" s="45">
        <f ca="1">ROUND('TUSD BE'!$AM$22,2)</f>
        <v>11.17</v>
      </c>
      <c r="J24" s="45">
        <v>0</v>
      </c>
      <c r="L24" s="121"/>
      <c r="M24" s="122"/>
      <c r="N24" s="122"/>
      <c r="O24" s="122"/>
      <c r="P24" s="47" t="s">
        <v>1108</v>
      </c>
      <c r="Q24" s="45">
        <v>0</v>
      </c>
      <c r="R24" s="45">
        <f ca="1">ROUND(('TUSD BE'!$AM$60+'TUSD BF'!$AM$60+'TUSD CVA'!$AM$60)*(1-CUSTOS!$M$40),2)</f>
        <v>259.87</v>
      </c>
      <c r="S24" s="45">
        <f>ROUND(('TE BE'!$AA$39+'TE BF'!$AA$39+'TE CVA'!$AA$39)*(1-CUSTOS!$M$40),2)</f>
        <v>205.29</v>
      </c>
      <c r="T24" s="45">
        <v>0</v>
      </c>
      <c r="U24" s="45">
        <f ca="1">ROUND('TUSD BE'!$AM$60*(1-CUSTOS!$M$40),2)</f>
        <v>266.68</v>
      </c>
      <c r="V24" s="45">
        <f>ROUND('TE BE'!$AA$39*(1-CUSTOS!$M$40),2)</f>
        <v>222.19</v>
      </c>
    </row>
    <row r="25" spans="1:22" ht="11.25" customHeight="1" x14ac:dyDescent="0.25">
      <c r="A25" s="117"/>
      <c r="B25" s="117"/>
      <c r="C25" s="117"/>
      <c r="D25" s="47" t="s">
        <v>1110</v>
      </c>
      <c r="E25" s="45">
        <v>0</v>
      </c>
      <c r="F25" s="45">
        <v>0</v>
      </c>
      <c r="G25" s="45">
        <f>ROUND('TE BE'!$AA$12+'TE BF'!$AA$12+'TE CVA'!$AA$12,2)</f>
        <v>253.58</v>
      </c>
      <c r="H25" s="45">
        <v>0</v>
      </c>
      <c r="I25" s="45">
        <v>0</v>
      </c>
      <c r="J25" s="45">
        <f>ROUND('TE BE'!$AA$12,2)</f>
        <v>249.47</v>
      </c>
      <c r="L25" s="121"/>
      <c r="M25" s="47" t="s">
        <v>1116</v>
      </c>
      <c r="N25" s="47" t="s">
        <v>1119</v>
      </c>
      <c r="O25" s="47" t="s">
        <v>1122</v>
      </c>
      <c r="P25" s="47" t="s">
        <v>1110</v>
      </c>
      <c r="Q25" s="45">
        <v>0</v>
      </c>
      <c r="R25" s="45">
        <f ca="1">ROUND(('TUSD BE'!$AM$62+'TUSD BF'!$AM$62+'TUSD CVA'!$AM$62)*(1-CUSTOS!$M$40),2)</f>
        <v>378.25</v>
      </c>
      <c r="S25" s="45">
        <f>ROUND(('TE BE'!$AA$41+'TE BF'!$AA$41+'TE CVA'!$AA$41)*(1-CUSTOS!$M$40),2)</f>
        <v>215.9</v>
      </c>
      <c r="T25" s="45">
        <v>0</v>
      </c>
      <c r="U25" s="45">
        <f ca="1">ROUND(('TUSD BE'!$AM$62)*(1-CUSTOS!$M$40),2)</f>
        <v>386.87</v>
      </c>
      <c r="V25" s="45">
        <f>ROUND(('TE BE'!$AA$41)*(1-CUSTOS!$M$40),2)</f>
        <v>233.91</v>
      </c>
    </row>
    <row r="26" spans="1:22" ht="11.25" customHeight="1" x14ac:dyDescent="0.25">
      <c r="A26" s="117"/>
      <c r="B26" s="117"/>
      <c r="C26" s="118" t="s">
        <v>62</v>
      </c>
      <c r="D26" s="47" t="s">
        <v>1107</v>
      </c>
      <c r="E26" s="45">
        <f ca="1">ROUND('TUSD BE'!$AM$23+'TUSD BF'!$AM$23+'TUSD CVA'!$AM$23-0*('TUSD BE'!$AC$23+'TUSD BF'!$AC$23+'TUSD CVA'!$AC$23),2)</f>
        <v>36.25</v>
      </c>
      <c r="F26" s="45">
        <f ca="1">ROUND('TUSD BE'!$AM$25+'TUSD BF'!$AM$25+'TUSD CVA'!$AM$25,2)</f>
        <v>11.15</v>
      </c>
      <c r="G26" s="45">
        <v>0</v>
      </c>
      <c r="H26" s="45">
        <f ca="1">ROUND('TUSD BE'!$AM$23-0*('TUSD BE'!$AC$23),2)</f>
        <v>33.380000000000003</v>
      </c>
      <c r="I26" s="45">
        <f ca="1">ROUND('TUSD BE'!$AM$25,2)</f>
        <v>11.17</v>
      </c>
      <c r="J26" s="45">
        <v>0</v>
      </c>
      <c r="L26" s="122"/>
      <c r="M26" s="47" t="s">
        <v>1118</v>
      </c>
      <c r="N26" s="47" t="s">
        <v>1119</v>
      </c>
      <c r="O26" s="47" t="s">
        <v>1122</v>
      </c>
      <c r="P26" s="47" t="s">
        <v>1110</v>
      </c>
      <c r="Q26" s="45">
        <v>0</v>
      </c>
      <c r="R26" s="45">
        <f ca="1">ROUND(('TUSD BE'!$AM$53+'TUSD BF'!$AM$53+'TUSD CVA'!$AM$53)*(1-CUSTOS!$M$40),2)</f>
        <v>378.25</v>
      </c>
      <c r="S26" s="45">
        <f>ROUND(('TE BE'!$AA$32+'TE BF'!$AA$32+'TE CVA'!$AA$32)*(1-CUSTOS!$M$40),2)</f>
        <v>215.9</v>
      </c>
      <c r="T26" s="45">
        <v>0</v>
      </c>
      <c r="U26" s="45">
        <f ca="1">ROUND(('TUSD BE'!$AM$53)*(1-CUSTOS!$M$40),2)</f>
        <v>386.87</v>
      </c>
      <c r="V26" s="45">
        <f>ROUND(('TE BE'!$AA$32)*(1-CUSTOS!$M$40),2)</f>
        <v>233.91</v>
      </c>
    </row>
    <row r="27" spans="1:22" ht="11.25" customHeight="1" x14ac:dyDescent="0.25">
      <c r="A27" s="117"/>
      <c r="B27" s="117"/>
      <c r="C27" s="117"/>
      <c r="D27" s="47" t="s">
        <v>1108</v>
      </c>
      <c r="E27" s="45">
        <f ca="1">ROUND('TUSD BE'!$AM$24+'TUSD BF'!$AM$24+'TUSD CVA'!$AM$24-0*('TUSD BE'!$AC$24+'TUSD BF'!$AC$24+'TUSD CVA'!$AC$24),2)</f>
        <v>16.48</v>
      </c>
      <c r="F27" s="45">
        <f ca="1">ROUND('TUSD BE'!$AM$25+'TUSD BF'!$AM$25+'TUSD CVA'!$AM$25,2)</f>
        <v>11.15</v>
      </c>
      <c r="G27" s="45">
        <v>0</v>
      </c>
      <c r="H27" s="45">
        <f ca="1">ROUND('TUSD BE'!$AM$24-0*('TUSD BE'!$AC$24),2)</f>
        <v>14.64</v>
      </c>
      <c r="I27" s="45">
        <f ca="1">ROUND('TUSD BE'!$AM$25,2)</f>
        <v>11.17</v>
      </c>
      <c r="J27" s="45">
        <v>0</v>
      </c>
      <c r="L27" s="120" t="s">
        <v>37</v>
      </c>
      <c r="M27" s="120" t="s">
        <v>1113</v>
      </c>
      <c r="N27" s="120" t="s">
        <v>1110</v>
      </c>
      <c r="O27" s="120" t="s">
        <v>1110</v>
      </c>
      <c r="P27" s="47" t="s">
        <v>1107</v>
      </c>
      <c r="Q27" s="45">
        <v>0</v>
      </c>
      <c r="R27" s="45">
        <f ca="1">ROUND(('TUSD BE'!$AM$65+'TUSD BF'!$AM$65+'TUSD CVA'!$AM$65)*(1-CUSTOS!$M$31),2)</f>
        <v>1134.95</v>
      </c>
      <c r="S27" s="45">
        <f>ROUND(('TE BE'!$AA$44+'TE BF'!$AA$44+'TE CVA'!$AA$44)*(1-CUSTOS!$M$31),2)</f>
        <v>361.55</v>
      </c>
      <c r="T27" s="45">
        <v>0</v>
      </c>
      <c r="U27" s="45">
        <f ca="1">ROUND('TUSD BE'!$AM$65*(1-CUSTOS!$M$31),2)</f>
        <v>1155.3599999999999</v>
      </c>
      <c r="V27" s="45">
        <f>ROUND('TE BE'!$AA$44*(1-CUSTOS!$M$31),2)</f>
        <v>394.42</v>
      </c>
    </row>
    <row r="28" spans="1:22" ht="11.25" customHeight="1" x14ac:dyDescent="0.25">
      <c r="A28" s="117"/>
      <c r="B28" s="117"/>
      <c r="C28" s="117"/>
      <c r="D28" s="47" t="s">
        <v>1110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L28" s="121"/>
      <c r="M28" s="121"/>
      <c r="N28" s="121"/>
      <c r="O28" s="121"/>
      <c r="P28" s="47" t="s">
        <v>1115</v>
      </c>
      <c r="Q28" s="45">
        <v>0</v>
      </c>
      <c r="R28" s="45">
        <f ca="1">ROUND(('TUSD BE'!$AM$66+'TUSD BF'!$AM$66+'TUSD CVA'!$AM$66)*(1-CUSTOS!$M$31),2)</f>
        <v>716.75</v>
      </c>
      <c r="S28" s="45">
        <f>ROUND(('TE BE'!$AA$45+'TE BF'!$AA$45+'TE CVA'!$AA$45)*(1-CUSTOS!$M$31),2)</f>
        <v>223.15</v>
      </c>
      <c r="T28" s="45">
        <v>0</v>
      </c>
      <c r="U28" s="45">
        <f ca="1">ROUND('TUSD BE'!$AM$66*(1-CUSTOS!$M$31),2)</f>
        <v>730.78</v>
      </c>
      <c r="V28" s="45">
        <f>ROUND('TE BE'!$AA$45*(1-CUSTOS!$M$31),2)</f>
        <v>241.51</v>
      </c>
    </row>
    <row r="29" spans="1:22" ht="11.25" customHeight="1" x14ac:dyDescent="0.25">
      <c r="A29" s="117"/>
      <c r="B29" s="117"/>
      <c r="C29" s="118" t="s">
        <v>67</v>
      </c>
      <c r="D29" s="47" t="s">
        <v>1107</v>
      </c>
      <c r="E29" s="45">
        <f ca="1">ROUND('TUSD BE'!$AM$26+'TUSD BF'!$AM$26+'TUSD CVA'!$AM$26-0*('TUSD BE'!$AC$26+'TUSD BF'!$AC$26+'TUSD CVA'!$AC$26),2)</f>
        <v>36.25</v>
      </c>
      <c r="F29" s="45">
        <f ca="1">ROUND('TUSD BE'!$AM$28+'TUSD BF'!$AM$28+'TUSD CVA'!$AM$28,2)</f>
        <v>11.15</v>
      </c>
      <c r="G29" s="45">
        <v>0</v>
      </c>
      <c r="H29" s="45">
        <f ca="1">ROUND('TUSD BE'!$AM$26-0*('TUSD BE'!$AC$26),2)</f>
        <v>33.380000000000003</v>
      </c>
      <c r="I29" s="45">
        <f ca="1">ROUND('TUSD BE'!$AM$28,2)</f>
        <v>11.17</v>
      </c>
      <c r="J29" s="45">
        <v>0</v>
      </c>
      <c r="L29" s="121"/>
      <c r="M29" s="122"/>
      <c r="N29" s="122"/>
      <c r="O29" s="122"/>
      <c r="P29" s="47" t="s">
        <v>1108</v>
      </c>
      <c r="Q29" s="45">
        <v>0</v>
      </c>
      <c r="R29" s="45">
        <f ca="1">ROUND(('TUSD BE'!$AM$67+'TUSD BF'!$AM$67+'TUSD CVA'!$AM$67)*(1-CUSTOS!$M$31),2)</f>
        <v>298.55</v>
      </c>
      <c r="S29" s="45">
        <f>ROUND(('TE BE'!$AA$46+'TE BF'!$AA$46+'TE CVA'!$AA$46)*(1-CUSTOS!$M$31),2)</f>
        <v>223.15</v>
      </c>
      <c r="T29" s="45">
        <v>0</v>
      </c>
      <c r="U29" s="45">
        <f ca="1">ROUND('TUSD BE'!$AM$67*(1-CUSTOS!$M$31),2)</f>
        <v>306.2</v>
      </c>
      <c r="V29" s="45">
        <f>ROUND('TE BE'!$AA$46*(1-CUSTOS!$M$31),2)</f>
        <v>241.51</v>
      </c>
    </row>
    <row r="30" spans="1:22" ht="11.25" customHeight="1" x14ac:dyDescent="0.25">
      <c r="A30" s="117"/>
      <c r="B30" s="117"/>
      <c r="C30" s="117"/>
      <c r="D30" s="47" t="s">
        <v>1108</v>
      </c>
      <c r="E30" s="45">
        <f ca="1">ROUND('TUSD BE'!$AM$27+'TUSD BF'!$AM$27+'TUSD CVA'!$AM$27-0*('TUSD BE'!$AC$27+'TUSD BF'!$AC$27+'TUSD CVA'!$AC$27),2)</f>
        <v>16.48</v>
      </c>
      <c r="F30" s="45">
        <f ca="1">ROUND('TUSD BE'!$AM$28+'TUSD BF'!$AM$28+'TUSD CVA'!$AM$28,2)</f>
        <v>11.15</v>
      </c>
      <c r="G30" s="45">
        <v>0</v>
      </c>
      <c r="H30" s="45">
        <f ca="1">ROUND('TUSD BE'!$AM$27-0*('TUSD BE'!$AC$27),2)</f>
        <v>14.64</v>
      </c>
      <c r="I30" s="45">
        <f ca="1">ROUND('TUSD BE'!$AM$28,2)</f>
        <v>11.17</v>
      </c>
      <c r="J30" s="45">
        <v>0</v>
      </c>
      <c r="L30" s="121"/>
      <c r="M30" s="47" t="s">
        <v>1116</v>
      </c>
      <c r="N30" s="47" t="s">
        <v>1110</v>
      </c>
      <c r="O30" s="47" t="s">
        <v>1110</v>
      </c>
      <c r="P30" s="47" t="s">
        <v>1110</v>
      </c>
      <c r="Q30" s="45">
        <v>0</v>
      </c>
      <c r="R30" s="45">
        <f ca="1">ROUND(('TUSD BE'!$AM$69+'TUSD BF'!$AM$69+'TUSD CVA'!$AM$69)*(1-CUSTOS!$M$31),2)</f>
        <v>411.14</v>
      </c>
      <c r="S30" s="45">
        <f>ROUND(('TE BE'!$AA$48+'TE BF'!$AA$48+'TE CVA'!$AA$48)*(1-CUSTOS!$M$31),2)</f>
        <v>234.68</v>
      </c>
      <c r="T30" s="45">
        <v>0</v>
      </c>
      <c r="U30" s="45">
        <f ca="1">ROUND(('TUSD BE'!$AM$69)*(1-CUSTOS!$M$31),2)</f>
        <v>420.51</v>
      </c>
      <c r="V30" s="45">
        <f>ROUND(('TE BE'!$AA$48)*(1-CUSTOS!$M$31),2)</f>
        <v>254.25</v>
      </c>
    </row>
    <row r="31" spans="1:22" ht="11.25" customHeight="1" x14ac:dyDescent="0.25">
      <c r="A31" s="117"/>
      <c r="B31" s="117"/>
      <c r="C31" s="117"/>
      <c r="D31" s="47" t="s">
        <v>1110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L31" s="122"/>
      <c r="M31" s="47" t="s">
        <v>1118</v>
      </c>
      <c r="N31" s="47" t="s">
        <v>1110</v>
      </c>
      <c r="O31" s="47" t="s">
        <v>1110</v>
      </c>
      <c r="P31" s="47" t="s">
        <v>1110</v>
      </c>
      <c r="Q31" s="45">
        <v>0</v>
      </c>
      <c r="R31" s="45">
        <f ca="1">ROUND(('TUSD BE'!$AM$68+'TUSD BF'!$AM$68+'TUSD CVA'!$AM$68)*(1-CUSTOS!$M$31),2)</f>
        <v>411.14</v>
      </c>
      <c r="S31" s="45">
        <f>ROUND(('TE BE'!$AA$47+'TE BF'!$AA$47+'TE CVA'!$AA$47)*(1-CUSTOS!$M$31),2)</f>
        <v>234.68</v>
      </c>
      <c r="T31" s="45">
        <v>0</v>
      </c>
      <c r="U31" s="45">
        <f ca="1">ROUND(('TUSD BE'!$AM$68)*(1-CUSTOS!$M$31),2)</f>
        <v>420.51</v>
      </c>
      <c r="V31" s="45">
        <f>ROUND(('TE BE'!$AA$47)*(1-CUSTOS!$M$31),2)</f>
        <v>254.25</v>
      </c>
    </row>
    <row r="32" spans="1:22" ht="11.25" customHeight="1" x14ac:dyDescent="0.25">
      <c r="A32" s="117"/>
      <c r="B32" s="47" t="s">
        <v>69</v>
      </c>
      <c r="C32" s="47" t="s">
        <v>25</v>
      </c>
      <c r="D32" s="47" t="s">
        <v>1110</v>
      </c>
      <c r="E32" s="45">
        <f ca="1">ROUND('TUSD BE'!$AM$29+'TUSD BF'!$AM$29+'TUSD CVA'!$AM$29,2)</f>
        <v>14.32</v>
      </c>
      <c r="F32" s="45">
        <v>0</v>
      </c>
      <c r="G32" s="45">
        <v>0</v>
      </c>
      <c r="H32" s="45">
        <f ca="1">ROUND('TUSD BE'!$AM$29,2)</f>
        <v>14.72</v>
      </c>
      <c r="I32" s="45">
        <v>0</v>
      </c>
      <c r="J32" s="45">
        <v>0</v>
      </c>
      <c r="L32" s="120" t="s">
        <v>47</v>
      </c>
      <c r="M32" s="120" t="s">
        <v>1118</v>
      </c>
      <c r="N32" s="120" t="s">
        <v>1123</v>
      </c>
      <c r="O32" s="47" t="s">
        <v>1124</v>
      </c>
      <c r="P32" s="47" t="s">
        <v>1110</v>
      </c>
      <c r="Q32" s="45">
        <v>0</v>
      </c>
      <c r="R32" s="45">
        <f ca="1">ROUND(('TUSD BE'!$AM$70+'TUSD BF'!$AM$70+'TUSD CVA'!$AM$70),2)</f>
        <v>226.13</v>
      </c>
      <c r="S32" s="45">
        <f>ROUND(('TE BE'!$AA$49+'TE BF'!$AA$49+'TE CVA'!$AA$49),2)</f>
        <v>129.07</v>
      </c>
      <c r="T32" s="45">
        <v>0</v>
      </c>
      <c r="U32" s="45">
        <f ca="1">ROUND(('TUSD BE'!$AM$70),2)</f>
        <v>231.28</v>
      </c>
      <c r="V32" s="45">
        <f>ROUND(('TE BE'!$AA$49),2)</f>
        <v>139.84</v>
      </c>
    </row>
    <row r="33" spans="12:22" ht="11.25" customHeight="1" x14ac:dyDescent="0.25">
      <c r="L33" s="122"/>
      <c r="M33" s="122"/>
      <c r="N33" s="122"/>
      <c r="O33" s="47" t="s">
        <v>1125</v>
      </c>
      <c r="P33" s="47" t="s">
        <v>1110</v>
      </c>
      <c r="Q33" s="45">
        <v>0</v>
      </c>
      <c r="R33" s="45">
        <f ca="1">ROUND(('TUSD BE'!$AM$71+'TUSD BF'!$AM$71+'TUSD CVA'!$AM$71),2)</f>
        <v>246.69</v>
      </c>
      <c r="S33" s="45">
        <f>ROUND(('TE BE'!$AA$50+'TE BF'!$AA$50+'TE CVA'!$AA$50),2)</f>
        <v>140.81</v>
      </c>
      <c r="T33" s="45">
        <v>0</v>
      </c>
      <c r="U33" s="45">
        <f ca="1">ROUND(('TUSD BE'!$AM$71),2)</f>
        <v>252.31</v>
      </c>
      <c r="V33" s="45">
        <f>ROUND(('TE BE'!$AA$50),2)</f>
        <v>152.55000000000001</v>
      </c>
    </row>
    <row r="34" spans="12:22" ht="11.25" customHeight="1" x14ac:dyDescent="0.25">
      <c r="L34" s="120" t="s">
        <v>104</v>
      </c>
      <c r="M34" s="120" t="s">
        <v>72</v>
      </c>
      <c r="N34" s="47" t="s">
        <v>105</v>
      </c>
      <c r="O34" s="47" t="s">
        <v>1110</v>
      </c>
      <c r="P34" s="47" t="s">
        <v>1110</v>
      </c>
      <c r="Q34" s="45">
        <f ca="1">ROUND(('TUSD BE'!$AM$35+'TUSD BF'!$AM$35+'TUSD CVA'!$AM$35),2)</f>
        <v>7.02</v>
      </c>
      <c r="R34" s="45">
        <v>0</v>
      </c>
      <c r="S34" s="45">
        <v>0</v>
      </c>
      <c r="T34" s="45">
        <f ca="1">ROUND(('TUSD BE'!$AM$35),2)</f>
        <v>7.21</v>
      </c>
      <c r="U34" s="45">
        <v>0</v>
      </c>
      <c r="V34" s="45">
        <v>0</v>
      </c>
    </row>
    <row r="35" spans="12:22" ht="11.25" customHeight="1" x14ac:dyDescent="0.25">
      <c r="L35" s="122"/>
      <c r="M35" s="122"/>
      <c r="N35" s="47" t="s">
        <v>106</v>
      </c>
      <c r="O35" s="47" t="s">
        <v>1110</v>
      </c>
      <c r="P35" s="47" t="s">
        <v>1110</v>
      </c>
      <c r="Q35" s="45">
        <f ca="1">ROUND(('TUSD BE'!$AM$36+'TUSD BF'!$AM$36+'TUSD CVA'!$AM$36),2)</f>
        <v>21.03</v>
      </c>
      <c r="R35" s="45">
        <v>0</v>
      </c>
      <c r="S35" s="45">
        <v>0</v>
      </c>
      <c r="T35" s="45">
        <f ca="1">ROUND(('TUSD BE'!$AM$36),2)</f>
        <v>21.62</v>
      </c>
      <c r="U35" s="45">
        <v>0</v>
      </c>
      <c r="V35" s="45">
        <v>0</v>
      </c>
    </row>
  </sheetData>
  <mergeCells count="62">
    <mergeCell ref="N27:N29"/>
    <mergeCell ref="N32:N33"/>
    <mergeCell ref="O5:O7"/>
    <mergeCell ref="O12:O14"/>
    <mergeCell ref="O17:O19"/>
    <mergeCell ref="O22:O24"/>
    <mergeCell ref="O27:O29"/>
    <mergeCell ref="N12:N14"/>
    <mergeCell ref="N17:N19"/>
    <mergeCell ref="N22:N24"/>
    <mergeCell ref="L27:L31"/>
    <mergeCell ref="L32:L33"/>
    <mergeCell ref="L34:L35"/>
    <mergeCell ref="M5:M7"/>
    <mergeCell ref="M12:M14"/>
    <mergeCell ref="M17:M19"/>
    <mergeCell ref="M22:M24"/>
    <mergeCell ref="M27:M29"/>
    <mergeCell ref="M32:M33"/>
    <mergeCell ref="M34:M35"/>
    <mergeCell ref="L12:L26"/>
    <mergeCell ref="Q2:S2"/>
    <mergeCell ref="Q3:R3"/>
    <mergeCell ref="T2:V2"/>
    <mergeCell ref="T3:U3"/>
    <mergeCell ref="L5:L11"/>
    <mergeCell ref="N5:N7"/>
    <mergeCell ref="C20:C22"/>
    <mergeCell ref="C23:C25"/>
    <mergeCell ref="C26:C28"/>
    <mergeCell ref="C29:C31"/>
    <mergeCell ref="L1:V1"/>
    <mergeCell ref="L2:L4"/>
    <mergeCell ref="M2:M4"/>
    <mergeCell ref="N2:N4"/>
    <mergeCell ref="O2:O4"/>
    <mergeCell ref="P2:P4"/>
    <mergeCell ref="C5:C6"/>
    <mergeCell ref="C7:C8"/>
    <mergeCell ref="C9:C11"/>
    <mergeCell ref="C13:C14"/>
    <mergeCell ref="C15:C16"/>
    <mergeCell ref="C17:C19"/>
    <mergeCell ref="A5:A12"/>
    <mergeCell ref="A13:A32"/>
    <mergeCell ref="B5:B6"/>
    <mergeCell ref="B7:B8"/>
    <mergeCell ref="B9:B11"/>
    <mergeCell ref="B13:B14"/>
    <mergeCell ref="B15:B16"/>
    <mergeCell ref="B17:B19"/>
    <mergeCell ref="B20:B22"/>
    <mergeCell ref="B23:B31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FDAE-6DFC-43F4-9C6B-2EBD68E30E81}">
  <dimension ref="A1:AN1866"/>
  <sheetViews>
    <sheetView showGridLines="0" workbookViewId="0">
      <selection activeCell="A25" sqref="A25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15.5703125" style="3" bestFit="1" customWidth="1"/>
    <col min="8" max="8" width="10.28515625" style="3" bestFit="1" customWidth="1"/>
    <col min="9" max="9" width="8.7109375" style="6" bestFit="1" customWidth="1"/>
    <col min="10" max="10" width="10.140625" style="4" bestFit="1" customWidth="1"/>
    <col min="11" max="12" width="10.85546875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8.71093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8" t="s">
        <v>8</v>
      </c>
      <c r="J1" s="46" t="s">
        <v>1073</v>
      </c>
      <c r="K1" s="46" t="s">
        <v>1074</v>
      </c>
      <c r="L1" s="46" t="s">
        <v>1075</v>
      </c>
      <c r="M1" s="46" t="s">
        <v>1076</v>
      </c>
      <c r="N1" s="46" t="s">
        <v>1077</v>
      </c>
      <c r="O1" s="46" t="s">
        <v>1078</v>
      </c>
      <c r="P1" s="7"/>
      <c r="Q1" s="113" t="s">
        <v>1079</v>
      </c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L1" s="50" t="s">
        <v>1100</v>
      </c>
      <c r="AM1" s="50" t="s">
        <v>80</v>
      </c>
      <c r="AN1" s="50" t="s">
        <v>1101</v>
      </c>
    </row>
    <row r="2" spans="1:40" ht="11.25" customHeight="1" x14ac:dyDescent="0.2">
      <c r="A2" s="51" t="s">
        <v>27</v>
      </c>
      <c r="B2" s="51" t="s">
        <v>39</v>
      </c>
      <c r="C2" s="51" t="s">
        <v>40</v>
      </c>
      <c r="D2" s="51" t="s">
        <v>38</v>
      </c>
      <c r="E2" s="51" t="s">
        <v>25</v>
      </c>
      <c r="F2" s="51" t="s">
        <v>58</v>
      </c>
      <c r="G2" s="51" t="s">
        <v>25</v>
      </c>
      <c r="H2" s="51" t="s">
        <v>25</v>
      </c>
      <c r="I2" s="59">
        <v>44287</v>
      </c>
      <c r="J2" s="60">
        <f>EFEITO!$J$2*EFEITO!$Y$2</f>
        <v>0</v>
      </c>
      <c r="K2" s="60">
        <f ca="1">EFEITO!$L$2*EFEITO!$Z$2</f>
        <v>56537.632836447629</v>
      </c>
      <c r="L2" s="60">
        <f>EFEITO!$N$2*EFEITO!$AA$2</f>
        <v>0</v>
      </c>
      <c r="M2" s="60">
        <f>$J$2-EFEITO!$K$2*EFEITO!$Y$2</f>
        <v>0</v>
      </c>
      <c r="N2" s="60">
        <f ca="1">$K$2-EFEITO!$M$2*EFEITO!$Z$2</f>
        <v>0</v>
      </c>
      <c r="O2" s="60">
        <f>$L$2-EFEITO!$O$2*EFEITO!$AA$2</f>
        <v>0</v>
      </c>
      <c r="P2" s="18"/>
      <c r="Q2" s="44" t="s">
        <v>83</v>
      </c>
      <c r="R2" s="44" t="s">
        <v>1081</v>
      </c>
      <c r="S2" s="44" t="s">
        <v>1082</v>
      </c>
      <c r="T2" s="44" t="s">
        <v>1083</v>
      </c>
      <c r="U2" s="44" t="s">
        <v>1084</v>
      </c>
      <c r="V2" s="44" t="s">
        <v>1085</v>
      </c>
      <c r="W2" s="44" t="s">
        <v>1086</v>
      </c>
      <c r="X2" s="61" t="s">
        <v>1087</v>
      </c>
      <c r="Y2" s="61" t="s">
        <v>1088</v>
      </c>
      <c r="Z2" s="61" t="s">
        <v>1089</v>
      </c>
      <c r="AA2" s="61" t="s">
        <v>1090</v>
      </c>
      <c r="AB2" s="61" t="s">
        <v>1091</v>
      </c>
      <c r="AC2" s="61" t="s">
        <v>1092</v>
      </c>
      <c r="AD2" s="61" t="s">
        <v>1093</v>
      </c>
      <c r="AE2" s="61" t="s">
        <v>1094</v>
      </c>
      <c r="AF2" s="61" t="s">
        <v>1095</v>
      </c>
      <c r="AG2" s="61" t="s">
        <v>1096</v>
      </c>
      <c r="AH2" s="61" t="s">
        <v>1097</v>
      </c>
      <c r="AI2" s="61" t="s">
        <v>1098</v>
      </c>
      <c r="AJ2" s="61" t="s">
        <v>1099</v>
      </c>
      <c r="AL2" s="51"/>
      <c r="AM2" s="51"/>
      <c r="AN2" s="51"/>
    </row>
    <row r="3" spans="1:40" ht="11.25" customHeight="1" x14ac:dyDescent="0.2">
      <c r="A3" s="51" t="s">
        <v>27</v>
      </c>
      <c r="B3" s="51" t="s">
        <v>39</v>
      </c>
      <c r="C3" s="51" t="s">
        <v>40</v>
      </c>
      <c r="D3" s="51" t="s">
        <v>38</v>
      </c>
      <c r="E3" s="51" t="s">
        <v>25</v>
      </c>
      <c r="F3" s="51" t="s">
        <v>58</v>
      </c>
      <c r="G3" s="51" t="s">
        <v>25</v>
      </c>
      <c r="H3" s="51" t="s">
        <v>25</v>
      </c>
      <c r="I3" s="59">
        <v>44317</v>
      </c>
      <c r="J3" s="60">
        <f>EFEITO!$J$3*EFEITO!$Y$3</f>
        <v>0</v>
      </c>
      <c r="K3" s="60">
        <f ca="1">EFEITO!$L$3*EFEITO!$Z$3</f>
        <v>60973.194555510003</v>
      </c>
      <c r="L3" s="60">
        <f>EFEITO!$N$3*EFEITO!$AA$3</f>
        <v>0</v>
      </c>
      <c r="M3" s="60">
        <f>$J$3-EFEITO!$K$3*EFEITO!$Y$3</f>
        <v>0</v>
      </c>
      <c r="N3" s="60">
        <f ca="1">$K$3-EFEITO!$M$3*EFEITO!$Z$3</f>
        <v>0</v>
      </c>
      <c r="O3" s="60">
        <f>$L$3-EFEITO!$O$3*EFEITO!$AA$3</f>
        <v>0</v>
      </c>
      <c r="P3" s="18"/>
      <c r="Q3" s="60" t="s">
        <v>1080</v>
      </c>
      <c r="R3" s="60">
        <f>SUMIF($B$2:$B$1866,$Q$3,$J$2:$J$1866)</f>
        <v>0</v>
      </c>
      <c r="S3" s="60">
        <f>SUMIF($B$2:$B$1866,$Q$3,$K$2:$K$1866)</f>
        <v>0</v>
      </c>
      <c r="T3" s="60">
        <f>SUMIF($B$2:$B$1866,$Q$3,$L$2:$L$1866)</f>
        <v>0</v>
      </c>
      <c r="U3" s="60">
        <f>SUMIF($B$2:$B$1866,$Q$3,$M$2:$M$1866)</f>
        <v>0</v>
      </c>
      <c r="V3" s="60">
        <f>SUMIF($B$2:$B$1866,$Q$3,$N$2:$N$1866)</f>
        <v>0</v>
      </c>
      <c r="W3" s="60">
        <f>SUMIF($B$2:$B$1866,$Q$3,$O$2:$O$1866)</f>
        <v>0</v>
      </c>
      <c r="X3" s="52">
        <f>$R$3-$U$3</f>
        <v>0</v>
      </c>
      <c r="Y3" s="52">
        <f>$S$3-$V$3</f>
        <v>0</v>
      </c>
      <c r="Z3" s="52">
        <f>$T$3-$W$3</f>
        <v>0</v>
      </c>
      <c r="AA3" s="52">
        <f>SUMIF(EFEITO!$B$2:$B$1866,$Q$3,EFEITO!$AE$2:$AE$1866)</f>
        <v>0</v>
      </c>
      <c r="AB3" s="52">
        <f>SUMIF(EFEITO!$B$2:$B$1866,$Q$3,EFEITO!$AF$2:$AF$1866)</f>
        <v>0</v>
      </c>
      <c r="AC3" s="52">
        <f>SUMIF(EFEITO!$B$2:$B$1866,$Q$3,EFEITO!$AG$2:$AH$1866)</f>
        <v>0</v>
      </c>
      <c r="AD3" s="52">
        <f>SUMIF(SUBSIDIO!$B$2:$B$1866,$Q$3,SUBSIDIO!$AD$2:$AD$1866)</f>
        <v>0</v>
      </c>
      <c r="AE3" s="52">
        <f>SUMIF(SUBSIDIO!$B$2:$B$1866,$Q$3,SUBSIDIO!$AE$2:$AE$1866)</f>
        <v>0</v>
      </c>
      <c r="AF3" s="52" t="str">
        <f>IF(ABS($X$3-$AA$3)&lt;0.01,"OK","ERRO")</f>
        <v>OK</v>
      </c>
      <c r="AG3" s="52" t="str">
        <f>IF(ABS($Y$3-$AB$3)&lt;0.01,"OK","ERRO")</f>
        <v>OK</v>
      </c>
      <c r="AH3" s="52" t="str">
        <f>IF(ABS($Z$3-$AC$3)&lt;0.01,"OK","ERRO")</f>
        <v>OK</v>
      </c>
      <c r="AI3" s="52" t="str">
        <f>IF(ABS($U$3-$AD$3)&lt;0.01,"OK","ERRO")</f>
        <v>OK</v>
      </c>
      <c r="AJ3" s="52" t="str">
        <f>IF(ABS(($V$3+$W$3)-$AE$3)&lt;0.01,"OK","ERRO")</f>
        <v>OK</v>
      </c>
    </row>
    <row r="4" spans="1:40" ht="11.25" customHeight="1" x14ac:dyDescent="0.2">
      <c r="A4" s="51" t="s">
        <v>27</v>
      </c>
      <c r="B4" s="51" t="s">
        <v>39</v>
      </c>
      <c r="C4" s="51" t="s">
        <v>40</v>
      </c>
      <c r="D4" s="51" t="s">
        <v>38</v>
      </c>
      <c r="E4" s="51" t="s">
        <v>25</v>
      </c>
      <c r="F4" s="51" t="s">
        <v>58</v>
      </c>
      <c r="G4" s="51" t="s">
        <v>25</v>
      </c>
      <c r="H4" s="51" t="s">
        <v>25</v>
      </c>
      <c r="I4" s="59">
        <v>44348</v>
      </c>
      <c r="J4" s="60">
        <f>EFEITO!$J$4*EFEITO!$Y$4</f>
        <v>0</v>
      </c>
      <c r="K4" s="60">
        <f ca="1">EFEITO!$L$4*EFEITO!$Z$4</f>
        <v>56251.406566535268</v>
      </c>
      <c r="L4" s="60">
        <f>EFEITO!$N$4*EFEITO!$AA$4</f>
        <v>0</v>
      </c>
      <c r="M4" s="60">
        <f>$J$4-EFEITO!$K$4*EFEITO!$Y$4</f>
        <v>0</v>
      </c>
      <c r="N4" s="60">
        <f ca="1">$K$4-EFEITO!$M$4*EFEITO!$Z$4</f>
        <v>0</v>
      </c>
      <c r="O4" s="60">
        <f>$L$4-EFEITO!$O$4*EFEITO!$AA$4</f>
        <v>0</v>
      </c>
      <c r="P4" s="18"/>
      <c r="Q4" s="60" t="s">
        <v>971</v>
      </c>
      <c r="R4" s="60">
        <f>SUMIF($B$2:$B$1866,$Q$4,$J$2:$J$1866)</f>
        <v>0</v>
      </c>
      <c r="S4" s="60">
        <f>SUMIF($B$2:$B$1866,$Q$4,$K$2:$K$1866)</f>
        <v>0</v>
      </c>
      <c r="T4" s="60">
        <f>SUMIF($B$2:$B$1866,$Q$4,$L$2:$L$1866)</f>
        <v>0</v>
      </c>
      <c r="U4" s="60">
        <f>SUMIF($B$2:$B$1866,$Q$4,$M$2:$M$1866)</f>
        <v>0</v>
      </c>
      <c r="V4" s="60">
        <f>SUMIF($B$2:$B$1866,$Q$4,$N$2:$N$1866)</f>
        <v>0</v>
      </c>
      <c r="W4" s="60">
        <f>SUMIF($B$2:$B$1866,$Q$4,$O$2:$O$1866)</f>
        <v>0</v>
      </c>
      <c r="X4" s="52">
        <f>$R$4-$U$4</f>
        <v>0</v>
      </c>
      <c r="Y4" s="52">
        <f>$S$4-$V$4</f>
        <v>0</v>
      </c>
      <c r="Z4" s="52">
        <f>$T$4-$W$4</f>
        <v>0</v>
      </c>
      <c r="AA4" s="52">
        <f>SUMIF(EFEITO!$B$2:$B$1866,$Q$4,EFEITO!$AE$2:$AE$1866)</f>
        <v>0</v>
      </c>
      <c r="AB4" s="52">
        <f>SUMIF(EFEITO!$B$2:$B$1866,$Q$4,EFEITO!$AF$2:$AF$1866)</f>
        <v>0</v>
      </c>
      <c r="AC4" s="52">
        <f>SUMIF(EFEITO!$B$2:$B$1866,$Q$4,EFEITO!$AG$2:$AH$1866)</f>
        <v>0</v>
      </c>
      <c r="AD4" s="52">
        <f>SUMIF(SUBSIDIO!$B$2:$B$1866,$Q$4,SUBSIDIO!$AD$2:$AD$1866)</f>
        <v>0</v>
      </c>
      <c r="AE4" s="52">
        <f>SUMIF(SUBSIDIO!$B$2:$B$1866,$Q$4,SUBSIDIO!$AE$2:$AE$1866)</f>
        <v>0</v>
      </c>
      <c r="AF4" s="52" t="str">
        <f>IF(ABS($X$4-$AA$4)&lt;0.01,"OK","ERRO")</f>
        <v>OK</v>
      </c>
      <c r="AG4" s="52" t="str">
        <f>IF(ABS($Y$4-$AB$4)&lt;0.01,"OK","ERRO")</f>
        <v>OK</v>
      </c>
      <c r="AH4" s="52" t="str">
        <f>IF(ABS($Z$4-$AC$4)&lt;0.01,"OK","ERRO")</f>
        <v>OK</v>
      </c>
      <c r="AI4" s="52" t="str">
        <f>IF(ABS($U$4-$AD$4)&lt;0.01,"OK","ERRO")</f>
        <v>OK</v>
      </c>
      <c r="AJ4" s="52" t="str">
        <f>IF(ABS(($V$4+$W$4)-$AE$4)&lt;0.01,"OK","ERRO")</f>
        <v>OK</v>
      </c>
    </row>
    <row r="5" spans="1:40" ht="11.25" customHeight="1" x14ac:dyDescent="0.2">
      <c r="A5" s="51" t="s">
        <v>27</v>
      </c>
      <c r="B5" s="51" t="s">
        <v>39</v>
      </c>
      <c r="C5" s="51" t="s">
        <v>40</v>
      </c>
      <c r="D5" s="51" t="s">
        <v>38</v>
      </c>
      <c r="E5" s="51" t="s">
        <v>25</v>
      </c>
      <c r="F5" s="51" t="s">
        <v>58</v>
      </c>
      <c r="G5" s="51" t="s">
        <v>25</v>
      </c>
      <c r="H5" s="51" t="s">
        <v>25</v>
      </c>
      <c r="I5" s="59">
        <v>44378</v>
      </c>
      <c r="J5" s="60">
        <f>EFEITO!$J$5*EFEITO!$Y$5</f>
        <v>0</v>
      </c>
      <c r="K5" s="60">
        <f ca="1">EFEITO!$L$5*EFEITO!$Z$5</f>
        <v>55823.006060519721</v>
      </c>
      <c r="L5" s="60">
        <f>EFEITO!$N$5*EFEITO!$AA$5</f>
        <v>0</v>
      </c>
      <c r="M5" s="60">
        <f>$J$5-EFEITO!$K$5*EFEITO!$Y$5</f>
        <v>0</v>
      </c>
      <c r="N5" s="60">
        <f ca="1">$K$5-EFEITO!$M$5*EFEITO!$Z$5</f>
        <v>0</v>
      </c>
      <c r="O5" s="60">
        <f>$L$5-EFEITO!$O$5*EFEITO!$AA$5</f>
        <v>0</v>
      </c>
      <c r="P5" s="18"/>
      <c r="Q5" s="60" t="s">
        <v>39</v>
      </c>
      <c r="R5" s="60">
        <f ca="1">SUMIF($B$2:$B$1866,$Q$5,$J$2:$J$1866)</f>
        <v>33423540.522463121</v>
      </c>
      <c r="S5" s="60">
        <f ca="1">SUMIF($B$2:$B$1866,$Q$5,$K$2:$K$1866)</f>
        <v>11029872.151902802</v>
      </c>
      <c r="T5" s="60">
        <f>SUMIF($B$2:$B$1866,$Q$5,$L$2:$L$1866)</f>
        <v>93363848.966649935</v>
      </c>
      <c r="U5" s="60">
        <f ca="1">SUMIF($B$2:$B$1866,$Q$5,$M$2:$M$1866)</f>
        <v>5093020.8498012694</v>
      </c>
      <c r="V5" s="60">
        <f ca="1">SUMIF($B$2:$B$1866,$Q$5,$N$2:$N$1866)</f>
        <v>324527.57120631711</v>
      </c>
      <c r="W5" s="60">
        <f>SUMIF($B$2:$B$1866,$Q$5,$O$2:$O$1866)</f>
        <v>1580034.8495312578</v>
      </c>
      <c r="X5" s="52">
        <f ca="1">$R$5-$U$5</f>
        <v>28330519.672661852</v>
      </c>
      <c r="Y5" s="52">
        <f ca="1">$S$5-$V$5</f>
        <v>10705344.580696486</v>
      </c>
      <c r="Z5" s="52">
        <f>$T$5-$W$5</f>
        <v>91783814.117118672</v>
      </c>
      <c r="AA5" s="52">
        <f ca="1">SUMIF(EFEITO!$B$2:$B$1866,$Q$5,EFEITO!$AE$2:$AE$1866)</f>
        <v>28330519.672661923</v>
      </c>
      <c r="AB5" s="52">
        <f ca="1">SUMIF(EFEITO!$B$2:$B$1866,$Q$5,EFEITO!$AF$2:$AF$1866)</f>
        <v>10705344.580696492</v>
      </c>
      <c r="AC5" s="52">
        <f>SUMIF(EFEITO!$B$2:$B$1866,$Q$5,EFEITO!$AG$2:$AH$1866)</f>
        <v>91783814.117118672</v>
      </c>
      <c r="AD5" s="52">
        <f ca="1">SUMIF(SUBSIDIO!$B$2:$B$1866,$Q$5,SUBSIDIO!$AD$2:$AD$1866)</f>
        <v>5093020.8498012694</v>
      </c>
      <c r="AE5" s="52">
        <f ca="1">SUMIF(SUBSIDIO!$B$2:$B$1866,$Q$5,SUBSIDIO!$AE$2:$AE$1866)</f>
        <v>1904562.4207375755</v>
      </c>
      <c r="AF5" s="52" t="str">
        <f ca="1">IF(ABS($X$5-$AA$5)&lt;0.01,"OK","ERRO")</f>
        <v>OK</v>
      </c>
      <c r="AG5" s="52" t="str">
        <f ca="1">IF(ABS($Y$5-$AB$5)&lt;0.01,"OK","ERRO")</f>
        <v>OK</v>
      </c>
      <c r="AH5" s="52" t="str">
        <f>IF(ABS($Z$5-$AC$5)&lt;0.01,"OK","ERRO")</f>
        <v>OK</v>
      </c>
      <c r="AI5" s="52" t="str">
        <f ca="1">IF(ABS($U$5-$AD$5)&lt;0.01,"OK","ERRO")</f>
        <v>OK</v>
      </c>
      <c r="AJ5" s="52" t="str">
        <f ca="1">IF(ABS(($V$5+$W$5)-$AE$5)&lt;0.01,"OK","ERRO")</f>
        <v>OK</v>
      </c>
    </row>
    <row r="6" spans="1:40" ht="11.25" customHeight="1" x14ac:dyDescent="0.2">
      <c r="A6" s="51" t="s">
        <v>27</v>
      </c>
      <c r="B6" s="51" t="s">
        <v>39</v>
      </c>
      <c r="C6" s="51" t="s">
        <v>40</v>
      </c>
      <c r="D6" s="51" t="s">
        <v>38</v>
      </c>
      <c r="E6" s="51" t="s">
        <v>25</v>
      </c>
      <c r="F6" s="51" t="s">
        <v>58</v>
      </c>
      <c r="G6" s="51" t="s">
        <v>25</v>
      </c>
      <c r="H6" s="51" t="s">
        <v>25</v>
      </c>
      <c r="I6" s="59">
        <v>44409</v>
      </c>
      <c r="J6" s="60">
        <f>EFEITO!$J$6*EFEITO!$Y$6</f>
        <v>0</v>
      </c>
      <c r="K6" s="60">
        <f ca="1">EFEITO!$L$6*EFEITO!$Z$6</f>
        <v>55900.921533865818</v>
      </c>
      <c r="L6" s="60">
        <f>EFEITO!$N$6*EFEITO!$AA$6</f>
        <v>0</v>
      </c>
      <c r="M6" s="60">
        <f>$J$6-EFEITO!$K$6*EFEITO!$Y$6</f>
        <v>0</v>
      </c>
      <c r="N6" s="60">
        <f ca="1">$K$6-EFEITO!$M$6*EFEITO!$Z$6</f>
        <v>0</v>
      </c>
      <c r="O6" s="60">
        <f>$L$6-EFEITO!$O$6*EFEITO!$AA$6</f>
        <v>0</v>
      </c>
      <c r="P6" s="18"/>
      <c r="Q6" s="60" t="s">
        <v>972</v>
      </c>
      <c r="R6" s="60">
        <f>SUMIF($B$2:$B$1866,$Q$6,$J$2:$J$1866)</f>
        <v>0</v>
      </c>
      <c r="S6" s="60">
        <f>SUMIF($B$2:$B$1866,$Q$6,$K$2:$K$1866)</f>
        <v>0</v>
      </c>
      <c r="T6" s="60">
        <f>SUMIF($B$2:$B$1866,$Q$6,$L$2:$L$1866)</f>
        <v>0</v>
      </c>
      <c r="U6" s="60">
        <f>SUMIF($B$2:$B$1866,$Q$6,$M$2:$M$1866)</f>
        <v>0</v>
      </c>
      <c r="V6" s="60">
        <f>SUMIF($B$2:$B$1866,$Q$6,$N$2:$N$1866)</f>
        <v>0</v>
      </c>
      <c r="W6" s="60">
        <f>SUMIF($B$2:$B$1866,$Q$6,$O$2:$O$1866)</f>
        <v>0</v>
      </c>
      <c r="X6" s="52">
        <f>$R$6-$U$6</f>
        <v>0</v>
      </c>
      <c r="Y6" s="52">
        <f>$S$6-$V$6</f>
        <v>0</v>
      </c>
      <c r="Z6" s="52">
        <f>$T$6-$W$6</f>
        <v>0</v>
      </c>
      <c r="AA6" s="52">
        <f>SUMIF(EFEITO!$B$2:$B$1866,$Q$6,EFEITO!$AE$2:$AE$1866)</f>
        <v>0</v>
      </c>
      <c r="AB6" s="52">
        <f>SUMIF(EFEITO!$B$2:$B$1866,$Q$6,EFEITO!$AF$2:$AF$1866)</f>
        <v>0</v>
      </c>
      <c r="AC6" s="52">
        <f>SUMIF(EFEITO!$B$2:$B$1866,$Q$6,EFEITO!$AG$2:$AH$1866)</f>
        <v>0</v>
      </c>
      <c r="AD6" s="52">
        <f>SUMIF(SUBSIDIO!$B$2:$B$1866,$Q$6,SUBSIDIO!$AD$2:$AD$1866)</f>
        <v>0</v>
      </c>
      <c r="AE6" s="52">
        <f>SUMIF(SUBSIDIO!$B$2:$B$1866,$Q$6,SUBSIDIO!$AE$2:$AE$1866)</f>
        <v>0</v>
      </c>
      <c r="AF6" s="52" t="str">
        <f>IF(ABS($X$6-$AA$6)&lt;0.01,"OK","ERRO")</f>
        <v>OK</v>
      </c>
      <c r="AG6" s="52" t="str">
        <f>IF(ABS($Y$6-$AB$6)&lt;0.01,"OK","ERRO")</f>
        <v>OK</v>
      </c>
      <c r="AH6" s="52" t="str">
        <f>IF(ABS($Z$6-$AC$6)&lt;0.01,"OK","ERRO")</f>
        <v>OK</v>
      </c>
      <c r="AI6" s="52" t="str">
        <f>IF(ABS($U$6-$AD$6)&lt;0.01,"OK","ERRO")</f>
        <v>OK</v>
      </c>
      <c r="AJ6" s="52" t="str">
        <f>IF(ABS(($V$6+$W$6)-$AE$6)&lt;0.01,"OK","ERRO")</f>
        <v>OK</v>
      </c>
    </row>
    <row r="7" spans="1:40" ht="11.25" customHeight="1" x14ac:dyDescent="0.2">
      <c r="A7" s="51" t="s">
        <v>27</v>
      </c>
      <c r="B7" s="51" t="s">
        <v>39</v>
      </c>
      <c r="C7" s="51" t="s">
        <v>40</v>
      </c>
      <c r="D7" s="51" t="s">
        <v>38</v>
      </c>
      <c r="E7" s="51" t="s">
        <v>25</v>
      </c>
      <c r="F7" s="51" t="s">
        <v>58</v>
      </c>
      <c r="G7" s="51" t="s">
        <v>25</v>
      </c>
      <c r="H7" s="51" t="s">
        <v>25</v>
      </c>
      <c r="I7" s="59">
        <v>44440</v>
      </c>
      <c r="J7" s="60">
        <f>EFEITO!$J$7*EFEITO!$Y$7</f>
        <v>0</v>
      </c>
      <c r="K7" s="60">
        <f ca="1">EFEITO!$L$7*EFEITO!$Z$7</f>
        <v>55217.86933544877</v>
      </c>
      <c r="L7" s="60">
        <f>EFEITO!$N$7*EFEITO!$AA$7</f>
        <v>0</v>
      </c>
      <c r="M7" s="60">
        <f>$J$7-EFEITO!$K$7*EFEITO!$Y$7</f>
        <v>0</v>
      </c>
      <c r="N7" s="60">
        <f ca="1">$K$7-EFEITO!$M$7*EFEITO!$Z$7</f>
        <v>0</v>
      </c>
      <c r="O7" s="60">
        <f>$L$7-EFEITO!$O$7*EFEITO!$AA$7</f>
        <v>0</v>
      </c>
      <c r="P7" s="18"/>
      <c r="Q7" s="60" t="s">
        <v>41</v>
      </c>
      <c r="R7" s="60">
        <f ca="1">SUMIF($B$2:$B$1866,$Q$7,$J$2:$J$1866)</f>
        <v>126141720.73458546</v>
      </c>
      <c r="S7" s="60">
        <f ca="1">SUMIF($B$2:$B$1866,$Q$7,$K$2:$K$1866)</f>
        <v>101386351.30911225</v>
      </c>
      <c r="T7" s="60">
        <f>SUMIF($B$2:$B$1866,$Q$7,$L$2:$L$1866)</f>
        <v>113680293.69456874</v>
      </c>
      <c r="U7" s="60">
        <f ca="1">SUMIF($B$2:$B$1866,$Q$7,$M$2:$M$1866)</f>
        <v>22877741.502144434</v>
      </c>
      <c r="V7" s="60">
        <f ca="1">SUMIF($B$2:$B$1866,$Q$7,$N$2:$N$1866)</f>
        <v>8135946.3057685448</v>
      </c>
      <c r="W7" s="60">
        <f>SUMIF($B$2:$B$1866,$Q$7,$O$2:$O$1866)</f>
        <v>3170900.5760188419</v>
      </c>
      <c r="X7" s="52">
        <f ca="1">$R$7-$U$7</f>
        <v>103263979.23244104</v>
      </c>
      <c r="Y7" s="52">
        <f ca="1">$S$7-$V$7</f>
        <v>93250405.003343701</v>
      </c>
      <c r="Z7" s="52">
        <f>$T$7-$W$7</f>
        <v>110509393.1185499</v>
      </c>
      <c r="AA7" s="52">
        <f ca="1">SUMIF(EFEITO!$B$2:$B$1866,$Q$7,EFEITO!$AE$2:$AE$1866)</f>
        <v>103263979.23244101</v>
      </c>
      <c r="AB7" s="52">
        <f ca="1">SUMIF(EFEITO!$B$2:$B$1866,$Q$7,EFEITO!$AF$2:$AF$1866)</f>
        <v>93250405.003343672</v>
      </c>
      <c r="AC7" s="52">
        <f>SUMIF(EFEITO!$B$2:$B$1866,$Q$7,EFEITO!$AG$2:$AH$1866)</f>
        <v>110509393.11854991</v>
      </c>
      <c r="AD7" s="52">
        <f ca="1">SUMIF(SUBSIDIO!$B$2:$B$1866,$Q$7,SUBSIDIO!$AD$2:$AD$1866)</f>
        <v>22877741.50214443</v>
      </c>
      <c r="AE7" s="52">
        <f ca="1">SUMIF(SUBSIDIO!$B$2:$B$1866,$Q$7,SUBSIDIO!$AE$2:$AE$1866)</f>
        <v>11306846.881787388</v>
      </c>
      <c r="AF7" s="52" t="str">
        <f ca="1">IF(ABS($X$7-$AA$7)&lt;0.01,"OK","ERRO")</f>
        <v>OK</v>
      </c>
      <c r="AG7" s="52" t="str">
        <f ca="1">IF(ABS($Y$7-$AB$7)&lt;0.01,"OK","ERRO")</f>
        <v>OK</v>
      </c>
      <c r="AH7" s="52" t="str">
        <f>IF(ABS($Z$7-$AC$7)&lt;0.01,"OK","ERRO")</f>
        <v>OK</v>
      </c>
      <c r="AI7" s="52" t="str">
        <f ca="1">IF(ABS($U$7-$AD$7)&lt;0.01,"OK","ERRO")</f>
        <v>OK</v>
      </c>
      <c r="AJ7" s="52" t="str">
        <f ca="1">IF(ABS(($V$7+$W$7)-$AE$7)&lt;0.01,"OK","ERRO")</f>
        <v>OK</v>
      </c>
    </row>
    <row r="8" spans="1:40" ht="11.25" customHeight="1" x14ac:dyDescent="0.2">
      <c r="A8" s="51" t="s">
        <v>27</v>
      </c>
      <c r="B8" s="51" t="s">
        <v>39</v>
      </c>
      <c r="C8" s="51" t="s">
        <v>40</v>
      </c>
      <c r="D8" s="51" t="s">
        <v>38</v>
      </c>
      <c r="E8" s="51" t="s">
        <v>25</v>
      </c>
      <c r="F8" s="51" t="s">
        <v>58</v>
      </c>
      <c r="G8" s="51" t="s">
        <v>25</v>
      </c>
      <c r="H8" s="51" t="s">
        <v>25</v>
      </c>
      <c r="I8" s="59">
        <v>44470</v>
      </c>
      <c r="J8" s="60">
        <f>EFEITO!$J$8*EFEITO!$Y$8</f>
        <v>0</v>
      </c>
      <c r="K8" s="60">
        <f ca="1">EFEITO!$L$8*EFEITO!$Z$8</f>
        <v>65691.102200274108</v>
      </c>
      <c r="L8" s="60">
        <f>EFEITO!$N$8*EFEITO!$AA$8</f>
        <v>0</v>
      </c>
      <c r="M8" s="60">
        <f>$J$8-EFEITO!$K$8*EFEITO!$Y$8</f>
        <v>0</v>
      </c>
      <c r="N8" s="60">
        <f ca="1">$K$8-EFEITO!$M$8*EFEITO!$Z$8</f>
        <v>0</v>
      </c>
      <c r="O8" s="60">
        <f>$L$8-EFEITO!$O$8*EFEITO!$AA$8</f>
        <v>0</v>
      </c>
      <c r="P8" s="18"/>
      <c r="Q8" s="60" t="s">
        <v>973</v>
      </c>
      <c r="R8" s="60">
        <f>SUMIF($B$2:$B$1866,$Q$8,$J$2:$J$1866)</f>
        <v>0</v>
      </c>
      <c r="S8" s="60">
        <f>SUMIF($B$2:$B$1866,$Q$8,$K$2:$K$1866)</f>
        <v>0</v>
      </c>
      <c r="T8" s="60">
        <f>SUMIF($B$2:$B$1866,$Q$8,$L$2:$L$1866)</f>
        <v>0</v>
      </c>
      <c r="U8" s="60">
        <f>SUMIF($B$2:$B$1866,$Q$8,$M$2:$M$1866)</f>
        <v>0</v>
      </c>
      <c r="V8" s="60">
        <f>SUMIF($B$2:$B$1866,$Q$8,$N$2:$N$1866)</f>
        <v>0</v>
      </c>
      <c r="W8" s="60">
        <f>SUMIF($B$2:$B$1866,$Q$8,$O$2:$O$1866)</f>
        <v>0</v>
      </c>
      <c r="X8" s="52">
        <f>$R$8-$U$8</f>
        <v>0</v>
      </c>
      <c r="Y8" s="52">
        <f>$S$8-$V$8</f>
        <v>0</v>
      </c>
      <c r="Z8" s="52">
        <f>$T$8-$W$8</f>
        <v>0</v>
      </c>
      <c r="AA8" s="52">
        <f>SUMIF(EFEITO!$B$2:$B$1866,$Q$8,EFEITO!$AE$2:$AE$1866)</f>
        <v>0</v>
      </c>
      <c r="AB8" s="52">
        <f>SUMIF(EFEITO!$B$2:$B$1866,$Q$8,EFEITO!$AF$2:$AF$1866)</f>
        <v>0</v>
      </c>
      <c r="AC8" s="52">
        <f>SUMIF(EFEITO!$B$2:$B$1866,$Q$8,EFEITO!$AG$2:$AH$1866)</f>
        <v>0</v>
      </c>
      <c r="AD8" s="52">
        <f>SUMIF(SUBSIDIO!$B$2:$B$1866,$Q$8,SUBSIDIO!$AD$2:$AD$1866)</f>
        <v>0</v>
      </c>
      <c r="AE8" s="52">
        <f>SUMIF(SUBSIDIO!$B$2:$B$1866,$Q$8,SUBSIDIO!$AE$2:$AE$1866)</f>
        <v>0</v>
      </c>
      <c r="AF8" s="52" t="str">
        <f>IF(ABS($X$8-$AA$8)&lt;0.01,"OK","ERRO")</f>
        <v>OK</v>
      </c>
      <c r="AG8" s="52" t="str">
        <f>IF(ABS($Y$8-$AB$8)&lt;0.01,"OK","ERRO")</f>
        <v>OK</v>
      </c>
      <c r="AH8" s="52" t="str">
        <f>IF(ABS($Z$8-$AC$8)&lt;0.01,"OK","ERRO")</f>
        <v>OK</v>
      </c>
      <c r="AI8" s="52" t="str">
        <f>IF(ABS($U$8-$AD$8)&lt;0.01,"OK","ERRO")</f>
        <v>OK</v>
      </c>
      <c r="AJ8" s="52" t="str">
        <f>IF(ABS(($V$8+$W$8)-$AE$8)&lt;0.01,"OK","ERRO")</f>
        <v>OK</v>
      </c>
    </row>
    <row r="9" spans="1:40" ht="11.25" customHeight="1" x14ac:dyDescent="0.2">
      <c r="A9" s="51" t="s">
        <v>27</v>
      </c>
      <c r="B9" s="51" t="s">
        <v>39</v>
      </c>
      <c r="C9" s="51" t="s">
        <v>40</v>
      </c>
      <c r="D9" s="51" t="s">
        <v>38</v>
      </c>
      <c r="E9" s="51" t="s">
        <v>25</v>
      </c>
      <c r="F9" s="51" t="s">
        <v>58</v>
      </c>
      <c r="G9" s="51" t="s">
        <v>25</v>
      </c>
      <c r="H9" s="51" t="s">
        <v>25</v>
      </c>
      <c r="I9" s="59">
        <v>44501</v>
      </c>
      <c r="J9" s="60">
        <f>EFEITO!$J$9*EFEITO!$Y$9</f>
        <v>0</v>
      </c>
      <c r="K9" s="60">
        <f ca="1">EFEITO!$L$9*EFEITO!$Z$9</f>
        <v>67108.491484805723</v>
      </c>
      <c r="L9" s="60">
        <f>EFEITO!$N$9*EFEITO!$AA$9</f>
        <v>0</v>
      </c>
      <c r="M9" s="60">
        <f>$J$9-EFEITO!$K$9*EFEITO!$Y$9</f>
        <v>0</v>
      </c>
      <c r="N9" s="60">
        <f ca="1">$K$9-EFEITO!$M$9*EFEITO!$Z$9</f>
        <v>0</v>
      </c>
      <c r="O9" s="60">
        <f>$L$9-EFEITO!$O$9*EFEITO!$AA$9</f>
        <v>0</v>
      </c>
      <c r="P9" s="18"/>
      <c r="Q9" s="60" t="s">
        <v>22</v>
      </c>
      <c r="R9" s="60">
        <f>SUMIF($B$2:$B$1866,$Q$9,$J$2:$J$1866)</f>
        <v>0</v>
      </c>
      <c r="S9" s="60">
        <f ca="1">SUMIF($B$2:$B$1866,$Q$9,$K$2:$K$1866)</f>
        <v>475798170.11096209</v>
      </c>
      <c r="T9" s="60">
        <f>SUMIF($B$2:$B$1866,$Q$9,$L$2:$L$1866)</f>
        <v>280719703.62423962</v>
      </c>
      <c r="U9" s="60">
        <f>SUMIF($B$2:$B$1866,$Q$9,$M$2:$M$1866)</f>
        <v>0</v>
      </c>
      <c r="V9" s="60">
        <f ca="1">SUMIF($B$2:$B$1866,$Q$9,$N$2:$N$1866)</f>
        <v>40654777.635517649</v>
      </c>
      <c r="W9" s="60">
        <f>SUMIF($B$2:$B$1866,$Q$9,$O$2:$O$1866)</f>
        <v>26750742.831173137</v>
      </c>
      <c r="X9" s="52">
        <f>$R$9-$U$9</f>
        <v>0</v>
      </c>
      <c r="Y9" s="52">
        <f ca="1">$S$9-$V$9</f>
        <v>435143392.47544444</v>
      </c>
      <c r="Z9" s="52">
        <f>$T$9-$W$9</f>
        <v>253968960.7930665</v>
      </c>
      <c r="AA9" s="52">
        <f>SUMIF(EFEITO!$B$2:$B$1866,$Q$9,EFEITO!$AE$2:$AE$1866)</f>
        <v>0</v>
      </c>
      <c r="AB9" s="52">
        <f ca="1">SUMIF(EFEITO!$B$2:$B$1866,$Q$9,EFEITO!$AF$2:$AF$1866)</f>
        <v>435143392.47544432</v>
      </c>
      <c r="AC9" s="52">
        <f>SUMIF(EFEITO!$B$2:$B$1866,$Q$9,EFEITO!$AG$2:$AH$1866)</f>
        <v>253968960.79306641</v>
      </c>
      <c r="AD9" s="52">
        <f>SUMIF(SUBSIDIO!$B$2:$B$1866,$Q$9,SUBSIDIO!$AD$2:$AD$1866)</f>
        <v>0</v>
      </c>
      <c r="AE9" s="52">
        <f ca="1">SUMIF(SUBSIDIO!$B$2:$B$1866,$Q$9,SUBSIDIO!$AE$2:$AE$1866)</f>
        <v>67405520.466690794</v>
      </c>
      <c r="AF9" s="52" t="str">
        <f>IF(ABS($X$9-$AA$9)&lt;0.01,"OK","ERRO")</f>
        <v>OK</v>
      </c>
      <c r="AG9" s="52" t="str">
        <f ca="1">IF(ABS($Y$9-$AB$9)&lt;0.01,"OK","ERRO")</f>
        <v>OK</v>
      </c>
      <c r="AH9" s="52" t="str">
        <f>IF(ABS($Z$9-$AC$9)&lt;0.01,"OK","ERRO")</f>
        <v>OK</v>
      </c>
      <c r="AI9" s="52" t="str">
        <f>IF(ABS($U$9-$AD$9)&lt;0.01,"OK","ERRO")</f>
        <v>OK</v>
      </c>
      <c r="AJ9" s="52" t="str">
        <f ca="1">IF(ABS(($V$9+$W$9)-$AE$9)&lt;0.01,"OK","ERRO")</f>
        <v>OK</v>
      </c>
    </row>
    <row r="10" spans="1:40" ht="11.25" customHeight="1" x14ac:dyDescent="0.2">
      <c r="A10" s="51" t="s">
        <v>27</v>
      </c>
      <c r="B10" s="51" t="s">
        <v>39</v>
      </c>
      <c r="C10" s="51" t="s">
        <v>40</v>
      </c>
      <c r="D10" s="51" t="s">
        <v>38</v>
      </c>
      <c r="E10" s="51" t="s">
        <v>25</v>
      </c>
      <c r="F10" s="51" t="s">
        <v>58</v>
      </c>
      <c r="G10" s="51" t="s">
        <v>25</v>
      </c>
      <c r="H10" s="51" t="s">
        <v>25</v>
      </c>
      <c r="I10" s="59">
        <v>44531</v>
      </c>
      <c r="J10" s="60">
        <f>EFEITO!$J$10*EFEITO!$Y$10</f>
        <v>0</v>
      </c>
      <c r="K10" s="60">
        <f ca="1">EFEITO!$L$10*EFEITO!$Z$10</f>
        <v>58084.977540540996</v>
      </c>
      <c r="L10" s="60">
        <f>EFEITO!$N$10*EFEITO!$AA$10</f>
        <v>0</v>
      </c>
      <c r="M10" s="60">
        <f>$J$10-EFEITO!$K$10*EFEITO!$Y$10</f>
        <v>0</v>
      </c>
      <c r="N10" s="60">
        <f ca="1">$K$10-EFEITO!$M$10*EFEITO!$Z$10</f>
        <v>0</v>
      </c>
      <c r="O10" s="60">
        <f>$L$10-EFEITO!$O$10*EFEITO!$AA$10</f>
        <v>0</v>
      </c>
      <c r="P10" s="18"/>
      <c r="Q10" s="60" t="s">
        <v>44</v>
      </c>
      <c r="R10" s="60">
        <f>SUMIF($B$2:$B$1866,$Q$10,$J$2:$J$1866)</f>
        <v>0</v>
      </c>
      <c r="S10" s="60">
        <f ca="1">SUMIF($B$2:$B$1866,$Q$10,$K$2:$K$1866)</f>
        <v>25115011.804342974</v>
      </c>
      <c r="T10" s="60">
        <f>SUMIF($B$2:$B$1866,$Q$10,$L$2:$L$1866)</f>
        <v>14346768.078560298</v>
      </c>
      <c r="U10" s="60">
        <f>SUMIF($B$2:$B$1866,$Q$10,$M$2:$M$1866)</f>
        <v>0</v>
      </c>
      <c r="V10" s="60">
        <f ca="1">SUMIF($B$2:$B$1866,$Q$10,$N$2:$N$1866)</f>
        <v>2477004.0880888067</v>
      </c>
      <c r="W10" s="60">
        <f>SUMIF($B$2:$B$1866,$Q$10,$O$2:$O$1866)</f>
        <v>1418943.3761900361</v>
      </c>
      <c r="X10" s="52">
        <f>$R$10-$U$10</f>
        <v>0</v>
      </c>
      <c r="Y10" s="52">
        <f ca="1">$S$10-$V$10</f>
        <v>22638007.716254167</v>
      </c>
      <c r="Z10" s="52">
        <f>$T$10-$W$10</f>
        <v>12927824.702370262</v>
      </c>
      <c r="AA10" s="52">
        <f>SUMIF(EFEITO!$B$2:$B$1866,$Q$10,EFEITO!$AE$2:$AE$1866)</f>
        <v>0</v>
      </c>
      <c r="AB10" s="52">
        <f ca="1">SUMIF(EFEITO!$B$2:$B$1866,$Q$10,EFEITO!$AF$2:$AF$1866)</f>
        <v>22638007.716254152</v>
      </c>
      <c r="AC10" s="52">
        <f>SUMIF(EFEITO!$B$2:$B$1866,$Q$10,EFEITO!$AG$2:$AH$1866)</f>
        <v>12927824.702370265</v>
      </c>
      <c r="AD10" s="52">
        <f>SUMIF(SUBSIDIO!$B$2:$B$1866,$Q$10,SUBSIDIO!$AD$2:$AD$1866)</f>
        <v>0</v>
      </c>
      <c r="AE10" s="52">
        <f ca="1">SUMIF(SUBSIDIO!$B$2:$B$1866,$Q$10,SUBSIDIO!$AE$2:$AE$1866)</f>
        <v>3895947.4642788428</v>
      </c>
      <c r="AF10" s="52" t="str">
        <f>IF(ABS($X$10-$AA$10)&lt;0.01,"OK","ERRO")</f>
        <v>OK</v>
      </c>
      <c r="AG10" s="52" t="str">
        <f ca="1">IF(ABS($Y$10-$AB$10)&lt;0.01,"OK","ERRO")</f>
        <v>OK</v>
      </c>
      <c r="AH10" s="52" t="str">
        <f>IF(ABS($Z$10-$AC$10)&lt;0.01,"OK","ERRO")</f>
        <v>OK</v>
      </c>
      <c r="AI10" s="52" t="str">
        <f>IF(ABS($U$10-$AD$10)&lt;0.01,"OK","ERRO")</f>
        <v>OK</v>
      </c>
      <c r="AJ10" s="52" t="str">
        <f ca="1">IF(ABS(($V$10+$W$10)-$AE$10)&lt;0.01,"OK","ERRO")</f>
        <v>OK</v>
      </c>
    </row>
    <row r="11" spans="1:40" ht="11.25" customHeight="1" x14ac:dyDescent="0.2">
      <c r="A11" s="51" t="s">
        <v>27</v>
      </c>
      <c r="B11" s="51" t="s">
        <v>39</v>
      </c>
      <c r="C11" s="51" t="s">
        <v>40</v>
      </c>
      <c r="D11" s="51" t="s">
        <v>38</v>
      </c>
      <c r="E11" s="51" t="s">
        <v>25</v>
      </c>
      <c r="F11" s="51" t="s">
        <v>58</v>
      </c>
      <c r="G11" s="51" t="s">
        <v>25</v>
      </c>
      <c r="H11" s="51" t="s">
        <v>25</v>
      </c>
      <c r="I11" s="59">
        <v>44562</v>
      </c>
      <c r="J11" s="60">
        <f>EFEITO!$J$11*EFEITO!$Y$11</f>
        <v>0</v>
      </c>
      <c r="K11" s="60">
        <f ca="1">EFEITO!$L$11*EFEITO!$Z$11</f>
        <v>69200.942478914556</v>
      </c>
      <c r="L11" s="60">
        <f>EFEITO!$N$11*EFEITO!$AA$11</f>
        <v>0</v>
      </c>
      <c r="M11" s="60">
        <f>$J$11-EFEITO!$K$11*EFEITO!$Y$11</f>
        <v>0</v>
      </c>
      <c r="N11" s="60">
        <f ca="1">$K$11-EFEITO!$M$11*EFEITO!$Z$11</f>
        <v>0</v>
      </c>
      <c r="O11" s="60">
        <f>$L$11-EFEITO!$O$11*EFEITO!$AA$11</f>
        <v>0</v>
      </c>
      <c r="P11" s="18"/>
      <c r="Q11" s="60" t="s">
        <v>37</v>
      </c>
      <c r="R11" s="60">
        <f>SUMIF($B$2:$B$1866,$Q$11,$J$2:$J$1866)</f>
        <v>0</v>
      </c>
      <c r="S11" s="60">
        <f ca="1">SUMIF($B$2:$B$1866,$Q$11,$K$2:$K$1866)</f>
        <v>145476848.42659438</v>
      </c>
      <c r="T11" s="60">
        <f>SUMIF($B$2:$B$1866,$Q$11,$L$2:$L$1866)</f>
        <v>83069104.805481091</v>
      </c>
      <c r="U11" s="60">
        <f>SUMIF($B$2:$B$1866,$Q$11,$M$2:$M$1866)</f>
        <v>0</v>
      </c>
      <c r="V11" s="60">
        <f ca="1">SUMIF($B$2:$B$1866,$Q$11,$N$2:$N$1866)</f>
        <v>317669.50610439759</v>
      </c>
      <c r="W11" s="60">
        <f>SUMIF($B$2:$B$1866,$Q$11,$O$2:$O$1866)</f>
        <v>181325.14454754919</v>
      </c>
      <c r="X11" s="52">
        <f>$R$11-$U$11</f>
        <v>0</v>
      </c>
      <c r="Y11" s="52">
        <f ca="1">$S$11-$V$11</f>
        <v>145159178.92048997</v>
      </c>
      <c r="Z11" s="52">
        <f>$T$11-$W$11</f>
        <v>82887779.660933539</v>
      </c>
      <c r="AA11" s="52">
        <f>SUMIF(EFEITO!$B$2:$B$1866,$Q$11,EFEITO!$AE$2:$AE$1866)</f>
        <v>0</v>
      </c>
      <c r="AB11" s="52">
        <f ca="1">SUMIF(EFEITO!$B$2:$B$1866,$Q$11,EFEITO!$AF$2:$AF$1866)</f>
        <v>145159178.92049003</v>
      </c>
      <c r="AC11" s="52">
        <f>SUMIF(EFEITO!$B$2:$B$1866,$Q$11,EFEITO!$AG$2:$AH$1866)</f>
        <v>82887779.660933569</v>
      </c>
      <c r="AD11" s="52">
        <f>SUMIF(SUBSIDIO!$B$2:$B$1866,$Q$11,SUBSIDIO!$AD$2:$AD$1866)</f>
        <v>0</v>
      </c>
      <c r="AE11" s="52">
        <f ca="1">SUMIF(SUBSIDIO!$B$2:$B$1866,$Q$11,SUBSIDIO!$AE$2:$AE$1866)</f>
        <v>498994.65065194538</v>
      </c>
      <c r="AF11" s="52" t="str">
        <f>IF(ABS($X$11-$AA$11)&lt;0.01,"OK","ERRO")</f>
        <v>OK</v>
      </c>
      <c r="AG11" s="52" t="str">
        <f ca="1">IF(ABS($Y$11-$AB$11)&lt;0.01,"OK","ERRO")</f>
        <v>OK</v>
      </c>
      <c r="AH11" s="52" t="str">
        <f>IF(ABS($Z$11-$AC$11)&lt;0.01,"OK","ERRO")</f>
        <v>OK</v>
      </c>
      <c r="AI11" s="52" t="str">
        <f>IF(ABS($U$11-$AD$11)&lt;0.01,"OK","ERRO")</f>
        <v>OK</v>
      </c>
      <c r="AJ11" s="52" t="str">
        <f ca="1">IF(ABS(($V$11+$W$11)-$AE$11)&lt;0.01,"OK","ERRO")</f>
        <v>OK</v>
      </c>
    </row>
    <row r="12" spans="1:40" ht="11.25" customHeight="1" x14ac:dyDescent="0.2">
      <c r="A12" s="51" t="s">
        <v>27</v>
      </c>
      <c r="B12" s="51" t="s">
        <v>39</v>
      </c>
      <c r="C12" s="51" t="s">
        <v>40</v>
      </c>
      <c r="D12" s="51" t="s">
        <v>38</v>
      </c>
      <c r="E12" s="51" t="s">
        <v>25</v>
      </c>
      <c r="F12" s="51" t="s">
        <v>58</v>
      </c>
      <c r="G12" s="51" t="s">
        <v>25</v>
      </c>
      <c r="H12" s="51" t="s">
        <v>25</v>
      </c>
      <c r="I12" s="59">
        <v>44593</v>
      </c>
      <c r="J12" s="60">
        <f>EFEITO!$J$12*EFEITO!$Y$12</f>
        <v>0</v>
      </c>
      <c r="K12" s="60">
        <f ca="1">EFEITO!$L$12*EFEITO!$Z$12</f>
        <v>72919.139514204959</v>
      </c>
      <c r="L12" s="60">
        <f>EFEITO!$N$12*EFEITO!$AA$12</f>
        <v>0</v>
      </c>
      <c r="M12" s="60">
        <f>$J$12-EFEITO!$K$12*EFEITO!$Y$12</f>
        <v>0</v>
      </c>
      <c r="N12" s="60">
        <f ca="1">$K$12-EFEITO!$M$12*EFEITO!$Z$12</f>
        <v>0</v>
      </c>
      <c r="O12" s="60">
        <f>$L$12-EFEITO!$O$12*EFEITO!$AA$12</f>
        <v>0</v>
      </c>
      <c r="P12" s="18"/>
      <c r="Q12" s="60" t="s">
        <v>47</v>
      </c>
      <c r="R12" s="60">
        <f>SUMIF($B$2:$B$1866,$Q$12,$J$2:$J$1866)</f>
        <v>0</v>
      </c>
      <c r="S12" s="60">
        <f ca="1">SUMIF($B$2:$B$1866,$Q$12,$K$2:$K$1866)</f>
        <v>44668430.05995889</v>
      </c>
      <c r="T12" s="60">
        <f>SUMIF($B$2:$B$1866,$Q$12,$L$2:$L$1866)</f>
        <v>25496654.169482555</v>
      </c>
      <c r="U12" s="60">
        <f>SUMIF($B$2:$B$1866,$Q$12,$M$2:$M$1866)</f>
        <v>0</v>
      </c>
      <c r="V12" s="60">
        <f ca="1">SUMIF($B$2:$B$1866,$Q$12,$N$2:$N$1866)</f>
        <v>0</v>
      </c>
      <c r="W12" s="60">
        <f>SUMIF($B$2:$B$1866,$Q$12,$O$2:$O$1866)</f>
        <v>0</v>
      </c>
      <c r="X12" s="52">
        <f>$R$12-$U$12</f>
        <v>0</v>
      </c>
      <c r="Y12" s="52">
        <f ca="1">$S$12-$V$12</f>
        <v>44668430.05995889</v>
      </c>
      <c r="Z12" s="52">
        <f>$T$12-$W$12</f>
        <v>25496654.169482555</v>
      </c>
      <c r="AA12" s="52">
        <f>SUMIF(EFEITO!$B$2:$B$1866,$Q$12,EFEITO!$AE$2:$AE$1866)</f>
        <v>0</v>
      </c>
      <c r="AB12" s="52">
        <f ca="1">SUMIF(EFEITO!$B$2:$B$1866,$Q$12,EFEITO!$AF$2:$AF$1866)</f>
        <v>44668430.05995889</v>
      </c>
      <c r="AC12" s="52">
        <f>SUMIF(EFEITO!$B$2:$B$1866,$Q$12,EFEITO!$AG$2:$AH$1866)</f>
        <v>25496654.169482555</v>
      </c>
      <c r="AD12" s="52">
        <f>SUMIF(SUBSIDIO!$B$2:$B$1866,$Q$12,SUBSIDIO!$AD$2:$AD$1866)</f>
        <v>0</v>
      </c>
      <c r="AE12" s="52">
        <f>SUMIF(SUBSIDIO!$B$2:$B$1866,$Q$12,SUBSIDIO!$AE$2:$AE$1866)</f>
        <v>0</v>
      </c>
      <c r="AF12" s="52" t="str">
        <f>IF(ABS($X$12-$AA$12)&lt;0.01,"OK","ERRO")</f>
        <v>OK</v>
      </c>
      <c r="AG12" s="52" t="str">
        <f ca="1">IF(ABS($Y$12-$AB$12)&lt;0.01,"OK","ERRO")</f>
        <v>OK</v>
      </c>
      <c r="AH12" s="52" t="str">
        <f>IF(ABS($Z$12-$AC$12)&lt;0.01,"OK","ERRO")</f>
        <v>OK</v>
      </c>
      <c r="AI12" s="52" t="str">
        <f>IF(ABS($U$12-$AD$12)&lt;0.01,"OK","ERRO")</f>
        <v>OK</v>
      </c>
      <c r="AJ12" s="52" t="str">
        <f ca="1">IF(ABS(($V$12+$W$12)-$AE$12)&lt;0.01,"OK","ERRO")</f>
        <v>OK</v>
      </c>
    </row>
    <row r="13" spans="1:40" ht="11.25" customHeight="1" x14ac:dyDescent="0.2">
      <c r="A13" s="51" t="s">
        <v>56</v>
      </c>
      <c r="B13" s="51" t="s">
        <v>39</v>
      </c>
      <c r="C13" s="51" t="s">
        <v>40</v>
      </c>
      <c r="D13" s="51" t="s">
        <v>38</v>
      </c>
      <c r="E13" s="51" t="s">
        <v>25</v>
      </c>
      <c r="F13" s="51" t="s">
        <v>58</v>
      </c>
      <c r="G13" s="51" t="s">
        <v>25</v>
      </c>
      <c r="H13" s="51" t="s">
        <v>25</v>
      </c>
      <c r="I13" s="59">
        <v>44621</v>
      </c>
      <c r="J13" s="60">
        <f>EFEITO!$J$13*EFEITO!$Y$13</f>
        <v>0</v>
      </c>
      <c r="K13" s="60">
        <f ca="1">EFEITO!$L$13*EFEITO!$Z$13</f>
        <v>72919.139514204959</v>
      </c>
      <c r="L13" s="60">
        <f>EFEITO!$N$13*EFEITO!$AA$13</f>
        <v>0</v>
      </c>
      <c r="M13" s="60">
        <f>$J$13-EFEITO!$K$13*EFEITO!$Y$13</f>
        <v>0</v>
      </c>
      <c r="N13" s="60">
        <f ca="1">$K$13-EFEITO!$M$13*EFEITO!$Z$13</f>
        <v>0</v>
      </c>
      <c r="O13" s="60">
        <f>$L$13-EFEITO!$O$13*EFEITO!$AA$13</f>
        <v>0</v>
      </c>
      <c r="P13" s="18"/>
      <c r="Q13" s="60" t="s">
        <v>104</v>
      </c>
      <c r="R13" s="60">
        <f>SUMIF($B$2:$B$1866,$Q$13,$J$2:$J$1866)</f>
        <v>0</v>
      </c>
      <c r="S13" s="60">
        <f>SUMIF($B$2:$B$1866,$Q$13,$K$2:$K$1866)</f>
        <v>0</v>
      </c>
      <c r="T13" s="60">
        <f>SUMIF($B$2:$B$1866,$Q$13,$L$2:$L$1866)</f>
        <v>0</v>
      </c>
      <c r="U13" s="60">
        <f>SUMIF($B$2:$B$1866,$Q$13,$M$2:$M$1866)</f>
        <v>0</v>
      </c>
      <c r="V13" s="60">
        <f>SUMIF($B$2:$B$1866,$Q$13,$N$2:$N$1866)</f>
        <v>0</v>
      </c>
      <c r="W13" s="60">
        <f>SUMIF($B$2:$B$1866,$Q$13,$O$2:$O$1866)</f>
        <v>0</v>
      </c>
      <c r="X13" s="52">
        <f>$R$13-$U$13</f>
        <v>0</v>
      </c>
      <c r="Y13" s="52">
        <f>$S$13-$V$13</f>
        <v>0</v>
      </c>
      <c r="Z13" s="52">
        <f>$T$13-$W$13</f>
        <v>0</v>
      </c>
      <c r="AA13" s="52">
        <f>SUMIF(EFEITO!$B$2:$B$1866,$Q$13,EFEITO!$AE$2:$AE$1866)</f>
        <v>0</v>
      </c>
      <c r="AB13" s="52">
        <f>SUMIF(EFEITO!$B$2:$B$1866,$Q$13,EFEITO!$AF$2:$AF$1866)</f>
        <v>0</v>
      </c>
      <c r="AC13" s="52">
        <f>SUMIF(EFEITO!$B$2:$B$1866,$Q$13,EFEITO!$AG$2:$AH$1866)</f>
        <v>0</v>
      </c>
      <c r="AD13" s="52">
        <f>SUMIF(SUBSIDIO!$B$2:$B$1866,$Q$13,SUBSIDIO!$AD$2:$AD$1866)</f>
        <v>0</v>
      </c>
      <c r="AE13" s="52">
        <f>SUMIF(SUBSIDIO!$B$2:$B$1866,$Q$13,SUBSIDIO!$AE$2:$AE$1866)</f>
        <v>0</v>
      </c>
      <c r="AF13" s="52" t="str">
        <f>IF(ABS($X$13-$AA$13)&lt;0.01,"OK","ERRO")</f>
        <v>OK</v>
      </c>
      <c r="AG13" s="52" t="str">
        <f>IF(ABS($Y$13-$AB$13)&lt;0.01,"OK","ERRO")</f>
        <v>OK</v>
      </c>
      <c r="AH13" s="52" t="str">
        <f>IF(ABS($Z$13-$AC$13)&lt;0.01,"OK","ERRO")</f>
        <v>OK</v>
      </c>
      <c r="AI13" s="52" t="str">
        <f>IF(ABS($U$13-$AD$13)&lt;0.01,"OK","ERRO")</f>
        <v>OK</v>
      </c>
      <c r="AJ13" s="52" t="str">
        <f>IF(ABS(($V$13+$W$13)-$AE$13)&lt;0.01,"OK","ERRO")</f>
        <v>OK</v>
      </c>
    </row>
    <row r="14" spans="1:40" ht="11.25" customHeight="1" x14ac:dyDescent="0.2">
      <c r="A14" s="51" t="s">
        <v>21</v>
      </c>
      <c r="B14" s="51" t="s">
        <v>39</v>
      </c>
      <c r="C14" s="51" t="s">
        <v>40</v>
      </c>
      <c r="D14" s="51" t="s">
        <v>38</v>
      </c>
      <c r="E14" s="51" t="s">
        <v>25</v>
      </c>
      <c r="F14" s="51" t="s">
        <v>60</v>
      </c>
      <c r="G14" s="51" t="s">
        <v>25</v>
      </c>
      <c r="H14" s="51" t="s">
        <v>35</v>
      </c>
      <c r="I14" s="59">
        <v>44287</v>
      </c>
      <c r="J14" s="60">
        <f ca="1">EFEITO!$J$14*EFEITO!$Y$14</f>
        <v>16412.585180446247</v>
      </c>
      <c r="K14" s="60">
        <f ca="1">EFEITO!$L$14*EFEITO!$Z$14</f>
        <v>0</v>
      </c>
      <c r="L14" s="60">
        <f>EFEITO!$N$14*EFEITO!$AA$14</f>
        <v>0</v>
      </c>
      <c r="M14" s="60">
        <f ca="1">$J$14-EFEITO!$K$14*EFEITO!$Y$14</f>
        <v>8174.7431701083078</v>
      </c>
      <c r="N14" s="60">
        <f ca="1">$K$14-EFEITO!$M$14*EFEITO!$Z$14</f>
        <v>0</v>
      </c>
      <c r="O14" s="60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1" t="s">
        <v>21</v>
      </c>
      <c r="B15" s="51" t="s">
        <v>39</v>
      </c>
      <c r="C15" s="51" t="s">
        <v>40</v>
      </c>
      <c r="D15" s="51" t="s">
        <v>38</v>
      </c>
      <c r="E15" s="51" t="s">
        <v>25</v>
      </c>
      <c r="F15" s="51" t="s">
        <v>60</v>
      </c>
      <c r="G15" s="51" t="s">
        <v>25</v>
      </c>
      <c r="H15" s="51" t="s">
        <v>35</v>
      </c>
      <c r="I15" s="59">
        <v>44317</v>
      </c>
      <c r="J15" s="60">
        <f ca="1">EFEITO!$J$15*EFEITO!$Y$15</f>
        <v>16412.585180446247</v>
      </c>
      <c r="K15" s="60">
        <f ca="1">EFEITO!$L$15*EFEITO!$Z$15</f>
        <v>0</v>
      </c>
      <c r="L15" s="60">
        <f>EFEITO!$N$15*EFEITO!$AA$15</f>
        <v>0</v>
      </c>
      <c r="M15" s="60">
        <f ca="1">$J$15-EFEITO!$K$15*EFEITO!$Y$15</f>
        <v>8162.2467918777675</v>
      </c>
      <c r="N15" s="60">
        <f ca="1">$K$15-EFEITO!$M$15*EFEITO!$Z$15</f>
        <v>0</v>
      </c>
      <c r="O15" s="60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1" t="s">
        <v>21</v>
      </c>
      <c r="B16" s="51" t="s">
        <v>39</v>
      </c>
      <c r="C16" s="51" t="s">
        <v>40</v>
      </c>
      <c r="D16" s="51" t="s">
        <v>38</v>
      </c>
      <c r="E16" s="51" t="s">
        <v>25</v>
      </c>
      <c r="F16" s="51" t="s">
        <v>60</v>
      </c>
      <c r="G16" s="51" t="s">
        <v>25</v>
      </c>
      <c r="H16" s="51" t="s">
        <v>35</v>
      </c>
      <c r="I16" s="59">
        <v>44348</v>
      </c>
      <c r="J16" s="60">
        <f ca="1">EFEITO!$J$16*EFEITO!$Y$16</f>
        <v>16412.585180446247</v>
      </c>
      <c r="K16" s="60">
        <f ca="1">EFEITO!$L$16*EFEITO!$Z$16</f>
        <v>0</v>
      </c>
      <c r="L16" s="60">
        <f>EFEITO!$N$16*EFEITO!$AA$16</f>
        <v>0</v>
      </c>
      <c r="M16" s="60">
        <f ca="1">$J$16-EFEITO!$K$16*EFEITO!$Y$16</f>
        <v>8199.5235477171536</v>
      </c>
      <c r="N16" s="60">
        <f ca="1">$K$16-EFEITO!$M$16*EFEITO!$Z$16</f>
        <v>0</v>
      </c>
      <c r="O16" s="60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1" t="s">
        <v>21</v>
      </c>
      <c r="B17" s="51" t="s">
        <v>39</v>
      </c>
      <c r="C17" s="51" t="s">
        <v>40</v>
      </c>
      <c r="D17" s="51" t="s">
        <v>38</v>
      </c>
      <c r="E17" s="51" t="s">
        <v>25</v>
      </c>
      <c r="F17" s="51" t="s">
        <v>60</v>
      </c>
      <c r="G17" s="51" t="s">
        <v>25</v>
      </c>
      <c r="H17" s="51" t="s">
        <v>35</v>
      </c>
      <c r="I17" s="59">
        <v>44378</v>
      </c>
      <c r="J17" s="60">
        <f ca="1">EFEITO!$J$17*EFEITO!$Y$17</f>
        <v>16412.585180446247</v>
      </c>
      <c r="K17" s="60">
        <f ca="1">EFEITO!$L$17*EFEITO!$Z$17</f>
        <v>0</v>
      </c>
      <c r="L17" s="60">
        <f>EFEITO!$N$17*EFEITO!$AA$17</f>
        <v>0</v>
      </c>
      <c r="M17" s="60">
        <f ca="1">$J$17-EFEITO!$K$17*EFEITO!$Y$17</f>
        <v>7824.6822591857544</v>
      </c>
      <c r="N17" s="60">
        <f ca="1">$K$17-EFEITO!$M$17*EFEITO!$Z$17</f>
        <v>0</v>
      </c>
      <c r="O17" s="60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1" t="s">
        <v>21</v>
      </c>
      <c r="B18" s="51" t="s">
        <v>39</v>
      </c>
      <c r="C18" s="51" t="s">
        <v>40</v>
      </c>
      <c r="D18" s="51" t="s">
        <v>38</v>
      </c>
      <c r="E18" s="51" t="s">
        <v>25</v>
      </c>
      <c r="F18" s="51" t="s">
        <v>60</v>
      </c>
      <c r="G18" s="51" t="s">
        <v>25</v>
      </c>
      <c r="H18" s="51" t="s">
        <v>35</v>
      </c>
      <c r="I18" s="59">
        <v>44409</v>
      </c>
      <c r="J18" s="60">
        <f ca="1">EFEITO!$J$18*EFEITO!$Y$18</f>
        <v>16412.585180446247</v>
      </c>
      <c r="K18" s="60">
        <f ca="1">EFEITO!$L$18*EFEITO!$Z$18</f>
        <v>0</v>
      </c>
      <c r="L18" s="60">
        <f>EFEITO!$N$18*EFEITO!$AA$18</f>
        <v>0</v>
      </c>
      <c r="M18" s="60">
        <f ca="1">$J$18-EFEITO!$K$18*EFEITO!$Y$18</f>
        <v>8208.8887329469671</v>
      </c>
      <c r="N18" s="60">
        <f ca="1">$K$18-EFEITO!$M$18*EFEITO!$Z$18</f>
        <v>0</v>
      </c>
      <c r="O18" s="60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1" t="s">
        <v>21</v>
      </c>
      <c r="B19" s="51" t="s">
        <v>39</v>
      </c>
      <c r="C19" s="51" t="s">
        <v>40</v>
      </c>
      <c r="D19" s="51" t="s">
        <v>38</v>
      </c>
      <c r="E19" s="51" t="s">
        <v>25</v>
      </c>
      <c r="F19" s="51" t="s">
        <v>60</v>
      </c>
      <c r="G19" s="51" t="s">
        <v>25</v>
      </c>
      <c r="H19" s="51" t="s">
        <v>35</v>
      </c>
      <c r="I19" s="59">
        <v>44440</v>
      </c>
      <c r="J19" s="60">
        <f ca="1">EFEITO!$J$19*EFEITO!$Y$19</f>
        <v>121453.13033530222</v>
      </c>
      <c r="K19" s="60">
        <f ca="1">EFEITO!$L$19*EFEITO!$Z$19</f>
        <v>0</v>
      </c>
      <c r="L19" s="60">
        <f>EFEITO!$N$19*EFEITO!$AA$19</f>
        <v>0</v>
      </c>
      <c r="M19" s="60">
        <f ca="1">$J$19-EFEITO!$K$19*EFEITO!$Y$19</f>
        <v>60719.370284210054</v>
      </c>
      <c r="N19" s="60">
        <f ca="1">$K$19-EFEITO!$M$19*EFEITO!$Z$19</f>
        <v>0</v>
      </c>
      <c r="O19" s="60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1" t="s">
        <v>21</v>
      </c>
      <c r="B20" s="51" t="s">
        <v>39</v>
      </c>
      <c r="C20" s="51" t="s">
        <v>40</v>
      </c>
      <c r="D20" s="51" t="s">
        <v>38</v>
      </c>
      <c r="E20" s="51" t="s">
        <v>25</v>
      </c>
      <c r="F20" s="51" t="s">
        <v>60</v>
      </c>
      <c r="G20" s="51" t="s">
        <v>25</v>
      </c>
      <c r="H20" s="51" t="s">
        <v>35</v>
      </c>
      <c r="I20" s="59">
        <v>44470</v>
      </c>
      <c r="J20" s="60">
        <f ca="1">EFEITO!$J$20*EFEITO!$Y$20</f>
        <v>121453.13033530222</v>
      </c>
      <c r="K20" s="60">
        <f ca="1">EFEITO!$L$20*EFEITO!$Z$20</f>
        <v>0</v>
      </c>
      <c r="L20" s="60">
        <f>EFEITO!$N$20*EFEITO!$AA$20</f>
        <v>0</v>
      </c>
      <c r="M20" s="60">
        <f ca="1">$J$20-EFEITO!$K$20*EFEITO!$Y$20</f>
        <v>60713.234472065516</v>
      </c>
      <c r="N20" s="60">
        <f ca="1">$K$20-EFEITO!$M$20*EFEITO!$Z$20</f>
        <v>0</v>
      </c>
      <c r="O20" s="60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1" t="s">
        <v>21</v>
      </c>
      <c r="B21" s="51" t="s">
        <v>39</v>
      </c>
      <c r="C21" s="51" t="s">
        <v>40</v>
      </c>
      <c r="D21" s="51" t="s">
        <v>38</v>
      </c>
      <c r="E21" s="51" t="s">
        <v>25</v>
      </c>
      <c r="F21" s="51" t="s">
        <v>60</v>
      </c>
      <c r="G21" s="51" t="s">
        <v>25</v>
      </c>
      <c r="H21" s="51" t="s">
        <v>35</v>
      </c>
      <c r="I21" s="59">
        <v>44501</v>
      </c>
      <c r="J21" s="60">
        <f ca="1">EFEITO!$J$21*EFEITO!$Y$21</f>
        <v>180779.15490088859</v>
      </c>
      <c r="K21" s="60">
        <f ca="1">EFEITO!$L$21*EFEITO!$Z$21</f>
        <v>0</v>
      </c>
      <c r="L21" s="60">
        <f>EFEITO!$N$21*EFEITO!$AA$21</f>
        <v>0</v>
      </c>
      <c r="M21" s="60">
        <f ca="1">$J$21-EFEITO!$K$21*EFEITO!$Y$21</f>
        <v>19295.866235861788</v>
      </c>
      <c r="N21" s="60">
        <f ca="1">$K$21-EFEITO!$M$21*EFEITO!$Z$21</f>
        <v>0</v>
      </c>
      <c r="O21" s="60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1" t="s">
        <v>21</v>
      </c>
      <c r="B22" s="51" t="s">
        <v>39</v>
      </c>
      <c r="C22" s="51" t="s">
        <v>40</v>
      </c>
      <c r="D22" s="51" t="s">
        <v>38</v>
      </c>
      <c r="E22" s="51" t="s">
        <v>25</v>
      </c>
      <c r="F22" s="51" t="s">
        <v>60</v>
      </c>
      <c r="G22" s="51" t="s">
        <v>25</v>
      </c>
      <c r="H22" s="51" t="s">
        <v>35</v>
      </c>
      <c r="I22" s="59">
        <v>44531</v>
      </c>
      <c r="J22" s="60">
        <f ca="1">EFEITO!$J$22*EFEITO!$Y$22</f>
        <v>181742.0265648081</v>
      </c>
      <c r="K22" s="60">
        <f ca="1">EFEITO!$L$22*EFEITO!$Z$22</f>
        <v>0</v>
      </c>
      <c r="L22" s="60">
        <f>EFEITO!$N$22*EFEITO!$AA$22</f>
        <v>0</v>
      </c>
      <c r="M22" s="60">
        <f ca="1">$J$22-EFEITO!$K$22*EFEITO!$Y$22</f>
        <v>23364.326023989037</v>
      </c>
      <c r="N22" s="60">
        <f ca="1">$K$22-EFEITO!$M$22*EFEITO!$Z$22</f>
        <v>0</v>
      </c>
      <c r="O22" s="60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1" t="s">
        <v>21</v>
      </c>
      <c r="B23" s="51" t="s">
        <v>39</v>
      </c>
      <c r="C23" s="51" t="s">
        <v>40</v>
      </c>
      <c r="D23" s="51" t="s">
        <v>38</v>
      </c>
      <c r="E23" s="51" t="s">
        <v>25</v>
      </c>
      <c r="F23" s="51" t="s">
        <v>60</v>
      </c>
      <c r="G23" s="51" t="s">
        <v>25</v>
      </c>
      <c r="H23" s="51" t="s">
        <v>35</v>
      </c>
      <c r="I23" s="59">
        <v>44562</v>
      </c>
      <c r="J23" s="60">
        <f ca="1">EFEITO!$J$23*EFEITO!$Y$23</f>
        <v>121453.13033530222</v>
      </c>
      <c r="K23" s="60">
        <f ca="1">EFEITO!$L$23*EFEITO!$Z$23</f>
        <v>0</v>
      </c>
      <c r="L23" s="60">
        <f>EFEITO!$N$23*EFEITO!$AA$23</f>
        <v>0</v>
      </c>
      <c r="M23" s="60">
        <f ca="1">$J$23-EFEITO!$K$23*EFEITO!$Y$23</f>
        <v>8203.0634469140496</v>
      </c>
      <c r="N23" s="60">
        <f ca="1">$K$23-EFEITO!$M$23*EFEITO!$Z$23</f>
        <v>0</v>
      </c>
      <c r="O23" s="60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1" t="s">
        <v>21</v>
      </c>
      <c r="B24" s="51" t="s">
        <v>39</v>
      </c>
      <c r="C24" s="51" t="s">
        <v>40</v>
      </c>
      <c r="D24" s="51" t="s">
        <v>38</v>
      </c>
      <c r="E24" s="51" t="s">
        <v>25</v>
      </c>
      <c r="F24" s="51" t="s">
        <v>60</v>
      </c>
      <c r="G24" s="51" t="s">
        <v>25</v>
      </c>
      <c r="H24" s="51" t="s">
        <v>35</v>
      </c>
      <c r="I24" s="59">
        <v>44593</v>
      </c>
      <c r="J24" s="60">
        <f ca="1">EFEITO!$J$24*EFEITO!$Y$24</f>
        <v>181008.93109341484</v>
      </c>
      <c r="K24" s="60">
        <f ca="1">EFEITO!$L$24*EFEITO!$Z$24</f>
        <v>0</v>
      </c>
      <c r="L24" s="60">
        <f>EFEITO!$N$24*EFEITO!$AA$24</f>
        <v>0</v>
      </c>
      <c r="M24" s="60">
        <f ca="1">$J$24-EFEITO!$K$24*EFEITO!$Y$24</f>
        <v>23865.003054116765</v>
      </c>
      <c r="N24" s="60">
        <f ca="1">$K$24-EFEITO!$M$24*EFEITO!$Z$24</f>
        <v>0</v>
      </c>
      <c r="O24" s="60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1" t="s">
        <v>56</v>
      </c>
      <c r="B25" s="51" t="s">
        <v>39</v>
      </c>
      <c r="C25" s="51" t="s">
        <v>40</v>
      </c>
      <c r="D25" s="51" t="s">
        <v>38</v>
      </c>
      <c r="E25" s="51" t="s">
        <v>25</v>
      </c>
      <c r="F25" s="51" t="s">
        <v>60</v>
      </c>
      <c r="G25" s="51" t="s">
        <v>25</v>
      </c>
      <c r="H25" s="51" t="s">
        <v>35</v>
      </c>
      <c r="I25" s="59">
        <v>44621</v>
      </c>
      <c r="J25" s="60">
        <f ca="1">EFEITO!$J$25*EFEITO!$Y$25</f>
        <v>181008.93109341484</v>
      </c>
      <c r="K25" s="60">
        <f ca="1">EFEITO!$L$25*EFEITO!$Z$25</f>
        <v>0</v>
      </c>
      <c r="L25" s="60">
        <f>EFEITO!$N$25*EFEITO!$AA$25</f>
        <v>0</v>
      </c>
      <c r="M25" s="60">
        <f ca="1">$J$25-EFEITO!$K$25*EFEITO!$Y$25</f>
        <v>23865.003054116765</v>
      </c>
      <c r="N25" s="60">
        <f ca="1">$K$25-EFEITO!$M$25*EFEITO!$Z$25</f>
        <v>0</v>
      </c>
      <c r="O25" s="60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1" t="s">
        <v>21</v>
      </c>
      <c r="B26" s="51" t="s">
        <v>39</v>
      </c>
      <c r="C26" s="51" t="s">
        <v>40</v>
      </c>
      <c r="D26" s="51" t="s">
        <v>38</v>
      </c>
      <c r="E26" s="51" t="s">
        <v>25</v>
      </c>
      <c r="F26" s="51" t="s">
        <v>60</v>
      </c>
      <c r="G26" s="51" t="s">
        <v>25</v>
      </c>
      <c r="H26" s="51" t="s">
        <v>25</v>
      </c>
      <c r="I26" s="59">
        <v>44287</v>
      </c>
      <c r="J26" s="60">
        <f>EFEITO!$J$26*EFEITO!$Y$26</f>
        <v>0</v>
      </c>
      <c r="K26" s="60">
        <f ca="1">EFEITO!$L$26*EFEITO!$Z$26</f>
        <v>17008.997406329134</v>
      </c>
      <c r="L26" s="60">
        <f>EFEITO!$N$26*EFEITO!$AA$26</f>
        <v>0</v>
      </c>
      <c r="M26" s="60">
        <f>$J$26-EFEITO!$K$26*EFEITO!$Y$26</f>
        <v>0</v>
      </c>
      <c r="N26" s="60">
        <f ca="1">$K$26-EFEITO!$M$26*EFEITO!$Z$26</f>
        <v>0</v>
      </c>
      <c r="O26" s="60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1" t="s">
        <v>21</v>
      </c>
      <c r="B27" s="51" t="s">
        <v>39</v>
      </c>
      <c r="C27" s="51" t="s">
        <v>40</v>
      </c>
      <c r="D27" s="51" t="s">
        <v>38</v>
      </c>
      <c r="E27" s="51" t="s">
        <v>25</v>
      </c>
      <c r="F27" s="51" t="s">
        <v>60</v>
      </c>
      <c r="G27" s="51" t="s">
        <v>25</v>
      </c>
      <c r="H27" s="51" t="s">
        <v>25</v>
      </c>
      <c r="I27" s="59">
        <v>44317</v>
      </c>
      <c r="J27" s="60">
        <f>EFEITO!$J$27*EFEITO!$Y$27</f>
        <v>0</v>
      </c>
      <c r="K27" s="60">
        <f ca="1">EFEITO!$L$27*EFEITO!$Z$27</f>
        <v>14894.744040806525</v>
      </c>
      <c r="L27" s="60">
        <f>EFEITO!$N$27*EFEITO!$AA$27</f>
        <v>0</v>
      </c>
      <c r="M27" s="60">
        <f>$J$27-EFEITO!$K$27*EFEITO!$Y$27</f>
        <v>0</v>
      </c>
      <c r="N27" s="60">
        <f ca="1">$K$27-EFEITO!$M$27*EFEITO!$Z$27</f>
        <v>0</v>
      </c>
      <c r="O27" s="60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1" t="s">
        <v>21</v>
      </c>
      <c r="B28" s="51" t="s">
        <v>39</v>
      </c>
      <c r="C28" s="51" t="s">
        <v>40</v>
      </c>
      <c r="D28" s="51" t="s">
        <v>38</v>
      </c>
      <c r="E28" s="51" t="s">
        <v>25</v>
      </c>
      <c r="F28" s="51" t="s">
        <v>60</v>
      </c>
      <c r="G28" s="51" t="s">
        <v>25</v>
      </c>
      <c r="H28" s="51" t="s">
        <v>25</v>
      </c>
      <c r="I28" s="59">
        <v>44348</v>
      </c>
      <c r="J28" s="60">
        <f>EFEITO!$J$28*EFEITO!$Y$28</f>
        <v>0</v>
      </c>
      <c r="K28" s="60">
        <f ca="1">EFEITO!$L$28*EFEITO!$Z$28</f>
        <v>15066.076855480418</v>
      </c>
      <c r="L28" s="60">
        <f>EFEITO!$N$28*EFEITO!$AA$28</f>
        <v>0</v>
      </c>
      <c r="M28" s="60">
        <f>$J$28-EFEITO!$K$28*EFEITO!$Y$28</f>
        <v>0</v>
      </c>
      <c r="N28" s="60">
        <f ca="1">$K$28-EFEITO!$M$28*EFEITO!$Z$28</f>
        <v>0</v>
      </c>
      <c r="O28" s="60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1" t="s">
        <v>21</v>
      </c>
      <c r="B29" s="51" t="s">
        <v>39</v>
      </c>
      <c r="C29" s="51" t="s">
        <v>40</v>
      </c>
      <c r="D29" s="51" t="s">
        <v>38</v>
      </c>
      <c r="E29" s="51" t="s">
        <v>25</v>
      </c>
      <c r="F29" s="51" t="s">
        <v>60</v>
      </c>
      <c r="G29" s="51" t="s">
        <v>25</v>
      </c>
      <c r="H29" s="51" t="s">
        <v>25</v>
      </c>
      <c r="I29" s="59">
        <v>44378</v>
      </c>
      <c r="J29" s="60">
        <f>EFEITO!$J$29*EFEITO!$Y$29</f>
        <v>0</v>
      </c>
      <c r="K29" s="60">
        <f ca="1">EFEITO!$L$29*EFEITO!$Z$29</f>
        <v>16748.39141951489</v>
      </c>
      <c r="L29" s="60">
        <f>EFEITO!$N$29*EFEITO!$AA$29</f>
        <v>0</v>
      </c>
      <c r="M29" s="60">
        <f>$J$29-EFEITO!$K$29*EFEITO!$Y$29</f>
        <v>0</v>
      </c>
      <c r="N29" s="60">
        <f ca="1">$K$29-EFEITO!$M$29*EFEITO!$Z$29</f>
        <v>0</v>
      </c>
      <c r="O29" s="60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1" t="s">
        <v>21</v>
      </c>
      <c r="B30" s="51" t="s">
        <v>39</v>
      </c>
      <c r="C30" s="51" t="s">
        <v>40</v>
      </c>
      <c r="D30" s="51" t="s">
        <v>38</v>
      </c>
      <c r="E30" s="51" t="s">
        <v>25</v>
      </c>
      <c r="F30" s="51" t="s">
        <v>60</v>
      </c>
      <c r="G30" s="51" t="s">
        <v>25</v>
      </c>
      <c r="H30" s="51" t="s">
        <v>25</v>
      </c>
      <c r="I30" s="59">
        <v>44409</v>
      </c>
      <c r="J30" s="60">
        <f>EFEITO!$J$30*EFEITO!$Y$30</f>
        <v>0</v>
      </c>
      <c r="K30" s="60">
        <f ca="1">EFEITO!$L$30*EFEITO!$Z$30</f>
        <v>19044.820867145831</v>
      </c>
      <c r="L30" s="60">
        <f>EFEITO!$N$30*EFEITO!$AA$30</f>
        <v>0</v>
      </c>
      <c r="M30" s="60">
        <f>$J$30-EFEITO!$K$30*EFEITO!$Y$30</f>
        <v>0</v>
      </c>
      <c r="N30" s="60">
        <f ca="1">$K$30-EFEITO!$M$30*EFEITO!$Z$30</f>
        <v>0</v>
      </c>
      <c r="O30" s="60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1" t="s">
        <v>21</v>
      </c>
      <c r="B31" s="51" t="s">
        <v>39</v>
      </c>
      <c r="C31" s="51" t="s">
        <v>40</v>
      </c>
      <c r="D31" s="51" t="s">
        <v>38</v>
      </c>
      <c r="E31" s="51" t="s">
        <v>25</v>
      </c>
      <c r="F31" s="51" t="s">
        <v>60</v>
      </c>
      <c r="G31" s="51" t="s">
        <v>25</v>
      </c>
      <c r="H31" s="51" t="s">
        <v>25</v>
      </c>
      <c r="I31" s="59">
        <v>44440</v>
      </c>
      <c r="J31" s="60">
        <f>EFEITO!$J$31*EFEITO!$Y$31</f>
        <v>0</v>
      </c>
      <c r="K31" s="60">
        <f ca="1">EFEITO!$L$31*EFEITO!$Z$31</f>
        <v>315975.7076407253</v>
      </c>
      <c r="L31" s="60">
        <f>EFEITO!$N$31*EFEITO!$AA$31</f>
        <v>0</v>
      </c>
      <c r="M31" s="60">
        <f>$J$31-EFEITO!$K$31*EFEITO!$Y$31</f>
        <v>0</v>
      </c>
      <c r="N31" s="60">
        <f ca="1">$K$31-EFEITO!$M$31*EFEITO!$Z$31</f>
        <v>0</v>
      </c>
      <c r="O31" s="60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1" t="s">
        <v>21</v>
      </c>
      <c r="B32" s="51" t="s">
        <v>39</v>
      </c>
      <c r="C32" s="51" t="s">
        <v>40</v>
      </c>
      <c r="D32" s="51" t="s">
        <v>38</v>
      </c>
      <c r="E32" s="51" t="s">
        <v>25</v>
      </c>
      <c r="F32" s="51" t="s">
        <v>60</v>
      </c>
      <c r="G32" s="51" t="s">
        <v>25</v>
      </c>
      <c r="H32" s="51" t="s">
        <v>25</v>
      </c>
      <c r="I32" s="59">
        <v>44470</v>
      </c>
      <c r="J32" s="60">
        <f>EFEITO!$J$32*EFEITO!$Y$32</f>
        <v>0</v>
      </c>
      <c r="K32" s="60">
        <f ca="1">EFEITO!$L$32*EFEITO!$Z$32</f>
        <v>313466.54798876611</v>
      </c>
      <c r="L32" s="60">
        <f>EFEITO!$N$32*EFEITO!$AA$32</f>
        <v>0</v>
      </c>
      <c r="M32" s="60">
        <f>$J$32-EFEITO!$K$32*EFEITO!$Y$32</f>
        <v>0</v>
      </c>
      <c r="N32" s="60">
        <f ca="1">$K$32-EFEITO!$M$32*EFEITO!$Z$32</f>
        <v>0</v>
      </c>
      <c r="O32" s="60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1" t="s">
        <v>21</v>
      </c>
      <c r="B33" s="51" t="s">
        <v>39</v>
      </c>
      <c r="C33" s="51" t="s">
        <v>40</v>
      </c>
      <c r="D33" s="51" t="s">
        <v>38</v>
      </c>
      <c r="E33" s="51" t="s">
        <v>25</v>
      </c>
      <c r="F33" s="51" t="s">
        <v>60</v>
      </c>
      <c r="G33" s="51" t="s">
        <v>25</v>
      </c>
      <c r="H33" s="51" t="s">
        <v>25</v>
      </c>
      <c r="I33" s="59">
        <v>44501</v>
      </c>
      <c r="J33" s="60">
        <f>EFEITO!$J$33*EFEITO!$Y$33</f>
        <v>0</v>
      </c>
      <c r="K33" s="60">
        <f ca="1">EFEITO!$L$33*EFEITO!$Z$33</f>
        <v>465010.90500133199</v>
      </c>
      <c r="L33" s="60">
        <f>EFEITO!$N$33*EFEITO!$AA$33</f>
        <v>0</v>
      </c>
      <c r="M33" s="60">
        <f>$J$33-EFEITO!$K$33*EFEITO!$Y$33</f>
        <v>0</v>
      </c>
      <c r="N33" s="60">
        <f ca="1">$K$33-EFEITO!$M$33*EFEITO!$Z$33</f>
        <v>0</v>
      </c>
      <c r="O33" s="60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1" t="s">
        <v>21</v>
      </c>
      <c r="B34" s="51" t="s">
        <v>39</v>
      </c>
      <c r="C34" s="51" t="s">
        <v>40</v>
      </c>
      <c r="D34" s="51" t="s">
        <v>38</v>
      </c>
      <c r="E34" s="51" t="s">
        <v>25</v>
      </c>
      <c r="F34" s="51" t="s">
        <v>60</v>
      </c>
      <c r="G34" s="51" t="s">
        <v>25</v>
      </c>
      <c r="H34" s="51" t="s">
        <v>25</v>
      </c>
      <c r="I34" s="59">
        <v>44531</v>
      </c>
      <c r="J34" s="60">
        <f>EFEITO!$J$34*EFEITO!$Y$34</f>
        <v>0</v>
      </c>
      <c r="K34" s="60">
        <f ca="1">EFEITO!$L$34*EFEITO!$Z$34</f>
        <v>473255.46393538493</v>
      </c>
      <c r="L34" s="60">
        <f>EFEITO!$N$34*EFEITO!$AA$34</f>
        <v>0</v>
      </c>
      <c r="M34" s="60">
        <f>$J$34-EFEITO!$K$34*EFEITO!$Y$34</f>
        <v>0</v>
      </c>
      <c r="N34" s="60">
        <f ca="1">$K$34-EFEITO!$M$34*EFEITO!$Z$34</f>
        <v>0</v>
      </c>
      <c r="O34" s="60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1" t="s">
        <v>21</v>
      </c>
      <c r="B35" s="51" t="s">
        <v>39</v>
      </c>
      <c r="C35" s="51" t="s">
        <v>40</v>
      </c>
      <c r="D35" s="51" t="s">
        <v>38</v>
      </c>
      <c r="E35" s="51" t="s">
        <v>25</v>
      </c>
      <c r="F35" s="51" t="s">
        <v>60</v>
      </c>
      <c r="G35" s="51" t="s">
        <v>25</v>
      </c>
      <c r="H35" s="51" t="s">
        <v>25</v>
      </c>
      <c r="I35" s="59">
        <v>44562</v>
      </c>
      <c r="J35" s="60">
        <f>EFEITO!$J$35*EFEITO!$Y$35</f>
        <v>0</v>
      </c>
      <c r="K35" s="60">
        <f ca="1">EFEITO!$L$35*EFEITO!$Z$35</f>
        <v>327045.30530983821</v>
      </c>
      <c r="L35" s="60">
        <f>EFEITO!$N$35*EFEITO!$AA$35</f>
        <v>0</v>
      </c>
      <c r="M35" s="60">
        <f>$J$35-EFEITO!$K$35*EFEITO!$Y$35</f>
        <v>0</v>
      </c>
      <c r="N35" s="60">
        <f ca="1">$K$35-EFEITO!$M$35*EFEITO!$Z$35</f>
        <v>0</v>
      </c>
      <c r="O35" s="60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1" t="s">
        <v>21</v>
      </c>
      <c r="B36" s="51" t="s">
        <v>39</v>
      </c>
      <c r="C36" s="51" t="s">
        <v>40</v>
      </c>
      <c r="D36" s="51" t="s">
        <v>38</v>
      </c>
      <c r="E36" s="51" t="s">
        <v>25</v>
      </c>
      <c r="F36" s="51" t="s">
        <v>60</v>
      </c>
      <c r="G36" s="51" t="s">
        <v>25</v>
      </c>
      <c r="H36" s="51" t="s">
        <v>25</v>
      </c>
      <c r="I36" s="59">
        <v>44593</v>
      </c>
      <c r="J36" s="60">
        <f>EFEITO!$J$36*EFEITO!$Y$36</f>
        <v>0</v>
      </c>
      <c r="K36" s="60">
        <f ca="1">EFEITO!$L$36*EFEITO!$Z$36</f>
        <v>476842.3800458599</v>
      </c>
      <c r="L36" s="60">
        <f>EFEITO!$N$36*EFEITO!$AA$36</f>
        <v>0</v>
      </c>
      <c r="M36" s="60">
        <f>$J$36-EFEITO!$K$36*EFEITO!$Y$36</f>
        <v>0</v>
      </c>
      <c r="N36" s="60">
        <f ca="1">$K$36-EFEITO!$M$36*EFEITO!$Z$36</f>
        <v>0</v>
      </c>
      <c r="O36" s="60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1" t="s">
        <v>27</v>
      </c>
      <c r="B37" s="51" t="s">
        <v>39</v>
      </c>
      <c r="C37" s="51" t="s">
        <v>40</v>
      </c>
      <c r="D37" s="51" t="s">
        <v>38</v>
      </c>
      <c r="E37" s="51" t="s">
        <v>25</v>
      </c>
      <c r="F37" s="51" t="s">
        <v>60</v>
      </c>
      <c r="G37" s="51" t="s">
        <v>25</v>
      </c>
      <c r="H37" s="51" t="s">
        <v>25</v>
      </c>
      <c r="I37" s="59">
        <v>44593</v>
      </c>
      <c r="J37" s="60">
        <f>EFEITO!$J$37*EFEITO!$Y$37</f>
        <v>0</v>
      </c>
      <c r="K37" s="60">
        <f ca="1">EFEITO!$L$37*EFEITO!$Z$37</f>
        <v>-92313.743788695545</v>
      </c>
      <c r="L37" s="60">
        <f>EFEITO!$N$37*EFEITO!$AA$37</f>
        <v>0</v>
      </c>
      <c r="M37" s="60">
        <f>$J$37-EFEITO!$K$37*EFEITO!$Y$37</f>
        <v>0</v>
      </c>
      <c r="N37" s="60">
        <f ca="1">$K$37-EFEITO!$M$37*EFEITO!$Z$37</f>
        <v>0</v>
      </c>
      <c r="O37" s="60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1" t="s">
        <v>56</v>
      </c>
      <c r="B38" s="51" t="s">
        <v>39</v>
      </c>
      <c r="C38" s="51" t="s">
        <v>40</v>
      </c>
      <c r="D38" s="51" t="s">
        <v>38</v>
      </c>
      <c r="E38" s="51" t="s">
        <v>25</v>
      </c>
      <c r="F38" s="51" t="s">
        <v>60</v>
      </c>
      <c r="G38" s="51" t="s">
        <v>25</v>
      </c>
      <c r="H38" s="51" t="s">
        <v>25</v>
      </c>
      <c r="I38" s="59">
        <v>44621</v>
      </c>
      <c r="J38" s="60">
        <f>EFEITO!$J$38*EFEITO!$Y$38</f>
        <v>0</v>
      </c>
      <c r="K38" s="60">
        <f ca="1">EFEITO!$L$38*EFEITO!$Z$38</f>
        <v>476842.3800458599</v>
      </c>
      <c r="L38" s="60">
        <f>EFEITO!$N$38*EFEITO!$AA$38</f>
        <v>0</v>
      </c>
      <c r="M38" s="60">
        <f>$J$38-EFEITO!$K$38*EFEITO!$Y$38</f>
        <v>0</v>
      </c>
      <c r="N38" s="60">
        <f ca="1">$K$38-EFEITO!$M$38*EFEITO!$Z$38</f>
        <v>0</v>
      </c>
      <c r="O38" s="60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1" t="s">
        <v>56</v>
      </c>
      <c r="B39" s="51" t="s">
        <v>39</v>
      </c>
      <c r="C39" s="51" t="s">
        <v>40</v>
      </c>
      <c r="D39" s="51" t="s">
        <v>38</v>
      </c>
      <c r="E39" s="51" t="s">
        <v>25</v>
      </c>
      <c r="F39" s="51" t="s">
        <v>60</v>
      </c>
      <c r="G39" s="51" t="s">
        <v>25</v>
      </c>
      <c r="H39" s="51" t="s">
        <v>25</v>
      </c>
      <c r="I39" s="59">
        <v>44621</v>
      </c>
      <c r="J39" s="60">
        <f>EFEITO!$J$39*EFEITO!$Y$39</f>
        <v>0</v>
      </c>
      <c r="K39" s="60">
        <f ca="1">EFEITO!$L$39*EFEITO!$Z$39</f>
        <v>-92313.743788695545</v>
      </c>
      <c r="L39" s="60">
        <f>EFEITO!$N$39*EFEITO!$AA$39</f>
        <v>0</v>
      </c>
      <c r="M39" s="60">
        <f>$J$39-EFEITO!$K$39*EFEITO!$Y$39</f>
        <v>0</v>
      </c>
      <c r="N39" s="60">
        <f ca="1">$K$39-EFEITO!$M$39*EFEITO!$Z$39</f>
        <v>0</v>
      </c>
      <c r="O39" s="60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1" t="s">
        <v>21</v>
      </c>
      <c r="B40" s="51" t="s">
        <v>39</v>
      </c>
      <c r="C40" s="51" t="s">
        <v>40</v>
      </c>
      <c r="D40" s="51" t="s">
        <v>38</v>
      </c>
      <c r="E40" s="51" t="s">
        <v>25</v>
      </c>
      <c r="F40" s="51" t="s">
        <v>60</v>
      </c>
      <c r="G40" s="51" t="s">
        <v>25</v>
      </c>
      <c r="H40" s="51" t="s">
        <v>34</v>
      </c>
      <c r="I40" s="59">
        <v>44287</v>
      </c>
      <c r="J40" s="60">
        <f ca="1">EFEITO!$J$40*EFEITO!$Y$40</f>
        <v>37911.579697800844</v>
      </c>
      <c r="K40" s="60">
        <f ca="1">EFEITO!$L$40*EFEITO!$Z$40</f>
        <v>0</v>
      </c>
      <c r="L40" s="60">
        <f>EFEITO!$N$40*EFEITO!$AA$40</f>
        <v>0</v>
      </c>
      <c r="M40" s="60">
        <f ca="1">$J$40-EFEITO!$K$40*EFEITO!$Y$40</f>
        <v>18882.924930068639</v>
      </c>
      <c r="N40" s="60">
        <f ca="1">$K$40-EFEITO!$M$40*EFEITO!$Z$40</f>
        <v>0</v>
      </c>
      <c r="O40" s="60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1" t="s">
        <v>21</v>
      </c>
      <c r="B41" s="51" t="s">
        <v>39</v>
      </c>
      <c r="C41" s="51" t="s">
        <v>40</v>
      </c>
      <c r="D41" s="51" t="s">
        <v>38</v>
      </c>
      <c r="E41" s="51" t="s">
        <v>25</v>
      </c>
      <c r="F41" s="51" t="s">
        <v>60</v>
      </c>
      <c r="G41" s="51" t="s">
        <v>25</v>
      </c>
      <c r="H41" s="51" t="s">
        <v>34</v>
      </c>
      <c r="I41" s="59">
        <v>44317</v>
      </c>
      <c r="J41" s="60">
        <f ca="1">EFEITO!$J$41*EFEITO!$Y$41</f>
        <v>37911.579697800844</v>
      </c>
      <c r="K41" s="60">
        <f ca="1">EFEITO!$L$41*EFEITO!$Z$41</f>
        <v>0</v>
      </c>
      <c r="L41" s="60">
        <f>EFEITO!$N$41*EFEITO!$AA$41</f>
        <v>0</v>
      </c>
      <c r="M41" s="60">
        <f ca="1">$J$41-EFEITO!$K$41*EFEITO!$Y$41</f>
        <v>18849.919867015331</v>
      </c>
      <c r="N41" s="60">
        <f ca="1">$K$41-EFEITO!$M$41*EFEITO!$Z$41</f>
        <v>0</v>
      </c>
      <c r="O41" s="60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1" t="s">
        <v>21</v>
      </c>
      <c r="B42" s="51" t="s">
        <v>39</v>
      </c>
      <c r="C42" s="51" t="s">
        <v>40</v>
      </c>
      <c r="D42" s="51" t="s">
        <v>38</v>
      </c>
      <c r="E42" s="51" t="s">
        <v>25</v>
      </c>
      <c r="F42" s="51" t="s">
        <v>60</v>
      </c>
      <c r="G42" s="51" t="s">
        <v>25</v>
      </c>
      <c r="H42" s="51" t="s">
        <v>34</v>
      </c>
      <c r="I42" s="59">
        <v>44348</v>
      </c>
      <c r="J42" s="60">
        <f ca="1">EFEITO!$J$42*EFEITO!$Y$42</f>
        <v>37911.579697800844</v>
      </c>
      <c r="K42" s="60">
        <f ca="1">EFEITO!$L$42*EFEITO!$Z$42</f>
        <v>0</v>
      </c>
      <c r="L42" s="60">
        <f>EFEITO!$N$42*EFEITO!$AA$42</f>
        <v>0</v>
      </c>
      <c r="M42" s="60">
        <f ca="1">$J$42-EFEITO!$K$42*EFEITO!$Y$42</f>
        <v>18938.310715080752</v>
      </c>
      <c r="N42" s="60">
        <f ca="1">$K$42-EFEITO!$M$42*EFEITO!$Z$42</f>
        <v>0</v>
      </c>
      <c r="O42" s="60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1" t="s">
        <v>21</v>
      </c>
      <c r="B43" s="51" t="s">
        <v>39</v>
      </c>
      <c r="C43" s="51" t="s">
        <v>40</v>
      </c>
      <c r="D43" s="51" t="s">
        <v>38</v>
      </c>
      <c r="E43" s="51" t="s">
        <v>25</v>
      </c>
      <c r="F43" s="51" t="s">
        <v>60</v>
      </c>
      <c r="G43" s="51" t="s">
        <v>25</v>
      </c>
      <c r="H43" s="51" t="s">
        <v>34</v>
      </c>
      <c r="I43" s="59">
        <v>44378</v>
      </c>
      <c r="J43" s="60">
        <f ca="1">EFEITO!$J$43*EFEITO!$Y$43</f>
        <v>37911.579697800844</v>
      </c>
      <c r="K43" s="60">
        <f ca="1">EFEITO!$L$43*EFEITO!$Z$43</f>
        <v>0</v>
      </c>
      <c r="L43" s="60">
        <f>EFEITO!$N$43*EFEITO!$AA$43</f>
        <v>0</v>
      </c>
      <c r="M43" s="60">
        <f ca="1">$J$43-EFEITO!$K$43*EFEITO!$Y$43</f>
        <v>18008.414730021501</v>
      </c>
      <c r="N43" s="60">
        <f ca="1">$K$43-EFEITO!$M$43*EFEITO!$Z$43</f>
        <v>0</v>
      </c>
      <c r="O43" s="60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1" t="s">
        <v>21</v>
      </c>
      <c r="B44" s="51" t="s">
        <v>39</v>
      </c>
      <c r="C44" s="51" t="s">
        <v>40</v>
      </c>
      <c r="D44" s="51" t="s">
        <v>38</v>
      </c>
      <c r="E44" s="51" t="s">
        <v>25</v>
      </c>
      <c r="F44" s="51" t="s">
        <v>60</v>
      </c>
      <c r="G44" s="51" t="s">
        <v>25</v>
      </c>
      <c r="H44" s="51" t="s">
        <v>34</v>
      </c>
      <c r="I44" s="59">
        <v>44409</v>
      </c>
      <c r="J44" s="60">
        <f ca="1">EFEITO!$J$44*EFEITO!$Y$44</f>
        <v>37911.579697800844</v>
      </c>
      <c r="K44" s="60">
        <f ca="1">EFEITO!$L$44*EFEITO!$Z$44</f>
        <v>0</v>
      </c>
      <c r="L44" s="60">
        <f>EFEITO!$N$44*EFEITO!$AA$44</f>
        <v>0</v>
      </c>
      <c r="M44" s="60">
        <f ca="1">$J$44-EFEITO!$K$44*EFEITO!$Y$44</f>
        <v>18961.792768429772</v>
      </c>
      <c r="N44" s="60">
        <f ca="1">$K$44-EFEITO!$M$44*EFEITO!$Z$44</f>
        <v>0</v>
      </c>
      <c r="O44" s="60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1" t="s">
        <v>21</v>
      </c>
      <c r="B45" s="51" t="s">
        <v>39</v>
      </c>
      <c r="C45" s="51" t="s">
        <v>40</v>
      </c>
      <c r="D45" s="51" t="s">
        <v>38</v>
      </c>
      <c r="E45" s="51" t="s">
        <v>25</v>
      </c>
      <c r="F45" s="51" t="s">
        <v>60</v>
      </c>
      <c r="G45" s="51" t="s">
        <v>25</v>
      </c>
      <c r="H45" s="51" t="s">
        <v>34</v>
      </c>
      <c r="I45" s="59">
        <v>44440</v>
      </c>
      <c r="J45" s="60">
        <f ca="1">EFEITO!$J$45*EFEITO!$Y$45</f>
        <v>153839.55067454721</v>
      </c>
      <c r="K45" s="60">
        <f ca="1">EFEITO!$L$45*EFEITO!$Z$45</f>
        <v>0</v>
      </c>
      <c r="L45" s="60">
        <f>EFEITO!$N$45*EFEITO!$AA$45</f>
        <v>0</v>
      </c>
      <c r="M45" s="60">
        <f ca="1">$J$45-EFEITO!$K$45*EFEITO!$Y$45</f>
        <v>76903.112975540047</v>
      </c>
      <c r="N45" s="60">
        <f ca="1">$K$45-EFEITO!$M$45*EFEITO!$Z$45</f>
        <v>0</v>
      </c>
      <c r="O45" s="60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1" t="s">
        <v>21</v>
      </c>
      <c r="B46" s="51" t="s">
        <v>39</v>
      </c>
      <c r="C46" s="51" t="s">
        <v>40</v>
      </c>
      <c r="D46" s="51" t="s">
        <v>38</v>
      </c>
      <c r="E46" s="51" t="s">
        <v>25</v>
      </c>
      <c r="F46" s="51" t="s">
        <v>60</v>
      </c>
      <c r="G46" s="51" t="s">
        <v>25</v>
      </c>
      <c r="H46" s="51" t="s">
        <v>34</v>
      </c>
      <c r="I46" s="59">
        <v>44470</v>
      </c>
      <c r="J46" s="60">
        <f ca="1">EFEITO!$J$46*EFEITO!$Y$46</f>
        <v>153839.55067454721</v>
      </c>
      <c r="K46" s="60">
        <f ca="1">EFEITO!$L$46*EFEITO!$Z$46</f>
        <v>0</v>
      </c>
      <c r="L46" s="60">
        <f>EFEITO!$N$46*EFEITO!$AA$46</f>
        <v>0</v>
      </c>
      <c r="M46" s="60">
        <f ca="1">$J$46-EFEITO!$K$46*EFEITO!$Y$46</f>
        <v>76888.984351206091</v>
      </c>
      <c r="N46" s="60">
        <f ca="1">$K$46-EFEITO!$M$46*EFEITO!$Z$46</f>
        <v>0</v>
      </c>
      <c r="O46" s="60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1" t="s">
        <v>21</v>
      </c>
      <c r="B47" s="51" t="s">
        <v>39</v>
      </c>
      <c r="C47" s="51" t="s">
        <v>40</v>
      </c>
      <c r="D47" s="51" t="s">
        <v>38</v>
      </c>
      <c r="E47" s="51" t="s">
        <v>25</v>
      </c>
      <c r="F47" s="51" t="s">
        <v>60</v>
      </c>
      <c r="G47" s="51" t="s">
        <v>25</v>
      </c>
      <c r="H47" s="51" t="s">
        <v>34</v>
      </c>
      <c r="I47" s="59">
        <v>44501</v>
      </c>
      <c r="J47" s="60">
        <f ca="1">EFEITO!$J$47*EFEITO!$Y$47</f>
        <v>277224.51005466265</v>
      </c>
      <c r="K47" s="60">
        <f ca="1">EFEITO!$L$47*EFEITO!$Z$47</f>
        <v>0</v>
      </c>
      <c r="L47" s="60">
        <f>EFEITO!$N$47*EFEITO!$AA$47</f>
        <v>0</v>
      </c>
      <c r="M47" s="60">
        <f ca="1">$J$47-EFEITO!$K$47*EFEITO!$Y$47</f>
        <v>43120.270978040149</v>
      </c>
      <c r="N47" s="60">
        <f ca="1">$K$47-EFEITO!$M$47*EFEITO!$Z$47</f>
        <v>0</v>
      </c>
      <c r="O47" s="60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1" t="s">
        <v>21</v>
      </c>
      <c r="B48" s="51" t="s">
        <v>39</v>
      </c>
      <c r="C48" s="51" t="s">
        <v>40</v>
      </c>
      <c r="D48" s="51" t="s">
        <v>38</v>
      </c>
      <c r="E48" s="51" t="s">
        <v>25</v>
      </c>
      <c r="F48" s="51" t="s">
        <v>60</v>
      </c>
      <c r="G48" s="51" t="s">
        <v>25</v>
      </c>
      <c r="H48" s="51" t="s">
        <v>34</v>
      </c>
      <c r="I48" s="59">
        <v>44531</v>
      </c>
      <c r="J48" s="60">
        <f ca="1">EFEITO!$J$48*EFEITO!$Y$48</f>
        <v>286185.42889232468</v>
      </c>
      <c r="K48" s="60">
        <f ca="1">EFEITO!$L$48*EFEITO!$Z$48</f>
        <v>0</v>
      </c>
      <c r="L48" s="60">
        <f>EFEITO!$N$48*EFEITO!$AA$48</f>
        <v>0</v>
      </c>
      <c r="M48" s="60">
        <f ca="1">$J$48-EFEITO!$K$48*EFEITO!$Y$48</f>
        <v>54962.950471877848</v>
      </c>
      <c r="N48" s="60">
        <f ca="1">$K$48-EFEITO!$M$48*EFEITO!$Z$48</f>
        <v>0</v>
      </c>
      <c r="O48" s="60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1" t="s">
        <v>21</v>
      </c>
      <c r="B49" s="51" t="s">
        <v>39</v>
      </c>
      <c r="C49" s="51" t="s">
        <v>40</v>
      </c>
      <c r="D49" s="51" t="s">
        <v>38</v>
      </c>
      <c r="E49" s="51" t="s">
        <v>25</v>
      </c>
      <c r="F49" s="51" t="s">
        <v>60</v>
      </c>
      <c r="G49" s="51" t="s">
        <v>25</v>
      </c>
      <c r="H49" s="51" t="s">
        <v>34</v>
      </c>
      <c r="I49" s="59">
        <v>44562</v>
      </c>
      <c r="J49" s="60">
        <f ca="1">EFEITO!$J$49*EFEITO!$Y$49</f>
        <v>155406.14487693566</v>
      </c>
      <c r="K49" s="60">
        <f ca="1">EFEITO!$L$49*EFEITO!$Z$49</f>
        <v>0</v>
      </c>
      <c r="L49" s="60">
        <f>EFEITO!$N$49*EFEITO!$AA$49</f>
        <v>0</v>
      </c>
      <c r="M49" s="60">
        <f ca="1">$J$49-EFEITO!$K$49*EFEITO!$Y$49</f>
        <v>19125.483032117045</v>
      </c>
      <c r="N49" s="60">
        <f ca="1">$K$49-EFEITO!$M$49*EFEITO!$Z$49</f>
        <v>0</v>
      </c>
      <c r="O49" s="60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1" t="s">
        <v>21</v>
      </c>
      <c r="B50" s="51" t="s">
        <v>39</v>
      </c>
      <c r="C50" s="51" t="s">
        <v>40</v>
      </c>
      <c r="D50" s="51" t="s">
        <v>38</v>
      </c>
      <c r="E50" s="51" t="s">
        <v>25</v>
      </c>
      <c r="F50" s="51" t="s">
        <v>60</v>
      </c>
      <c r="G50" s="51" t="s">
        <v>25</v>
      </c>
      <c r="H50" s="51" t="s">
        <v>34</v>
      </c>
      <c r="I50" s="59">
        <v>44593</v>
      </c>
      <c r="J50" s="60">
        <f ca="1">EFEITO!$J$50*EFEITO!$Y$50</f>
        <v>276472.54483751621</v>
      </c>
      <c r="K50" s="60">
        <f ca="1">EFEITO!$L$50*EFEITO!$Z$50</f>
        <v>0</v>
      </c>
      <c r="L50" s="60">
        <f>EFEITO!$N$50*EFEITO!$AA$50</f>
        <v>0</v>
      </c>
      <c r="M50" s="60">
        <f ca="1">$J$50-EFEITO!$K$50*EFEITO!$Y$50</f>
        <v>47361.450001542747</v>
      </c>
      <c r="N50" s="60">
        <f ca="1">$K$50-EFEITO!$M$50*EFEITO!$Z$50</f>
        <v>0</v>
      </c>
      <c r="O50" s="60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1" t="s">
        <v>56</v>
      </c>
      <c r="B51" s="51" t="s">
        <v>39</v>
      </c>
      <c r="C51" s="51" t="s">
        <v>40</v>
      </c>
      <c r="D51" s="51" t="s">
        <v>38</v>
      </c>
      <c r="E51" s="51" t="s">
        <v>25</v>
      </c>
      <c r="F51" s="51" t="s">
        <v>60</v>
      </c>
      <c r="G51" s="51" t="s">
        <v>25</v>
      </c>
      <c r="H51" s="51" t="s">
        <v>34</v>
      </c>
      <c r="I51" s="59">
        <v>44621</v>
      </c>
      <c r="J51" s="60">
        <f ca="1">EFEITO!$J$51*EFEITO!$Y$51</f>
        <v>276472.54483751621</v>
      </c>
      <c r="K51" s="60">
        <f ca="1">EFEITO!$L$51*EFEITO!$Z$51</f>
        <v>0</v>
      </c>
      <c r="L51" s="60">
        <f>EFEITO!$N$51*EFEITO!$AA$51</f>
        <v>0</v>
      </c>
      <c r="M51" s="60">
        <f ca="1">$J$51-EFEITO!$K$51*EFEITO!$Y$51</f>
        <v>47361.450001542747</v>
      </c>
      <c r="N51" s="60">
        <f ca="1">$K$51-EFEITO!$M$51*EFEITO!$Z$51</f>
        <v>0</v>
      </c>
      <c r="O51" s="60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1" t="s">
        <v>21</v>
      </c>
      <c r="B52" s="51" t="s">
        <v>39</v>
      </c>
      <c r="C52" s="51" t="s">
        <v>40</v>
      </c>
      <c r="D52" s="51" t="s">
        <v>38</v>
      </c>
      <c r="E52" s="51" t="s">
        <v>25</v>
      </c>
      <c r="F52" s="51" t="s">
        <v>25</v>
      </c>
      <c r="G52" s="51" t="s">
        <v>25</v>
      </c>
      <c r="H52" s="51" t="s">
        <v>35</v>
      </c>
      <c r="I52" s="59">
        <v>44287</v>
      </c>
      <c r="J52" s="60">
        <f ca="1">EFEITO!$J$52*EFEITO!$Y$52</f>
        <v>118597.34051390456</v>
      </c>
      <c r="K52" s="60">
        <f ca="1">EFEITO!$L$52*EFEITO!$Z$52</f>
        <v>182909.01347322567</v>
      </c>
      <c r="L52" s="60">
        <f>EFEITO!$N$52*EFEITO!$AA$52</f>
        <v>888331.99474782997</v>
      </c>
      <c r="M52" s="60">
        <f ca="1">$J$52-EFEITO!$K$52*EFEITO!$Y$52</f>
        <v>0</v>
      </c>
      <c r="N52" s="60">
        <f ca="1">$K$52-EFEITO!$M$52*EFEITO!$Z$52</f>
        <v>0</v>
      </c>
      <c r="O52" s="60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1" t="s">
        <v>21</v>
      </c>
      <c r="B53" s="51" t="s">
        <v>39</v>
      </c>
      <c r="C53" s="51" t="s">
        <v>40</v>
      </c>
      <c r="D53" s="51" t="s">
        <v>38</v>
      </c>
      <c r="E53" s="51" t="s">
        <v>25</v>
      </c>
      <c r="F53" s="51" t="s">
        <v>25</v>
      </c>
      <c r="G53" s="51" t="s">
        <v>25</v>
      </c>
      <c r="H53" s="51" t="s">
        <v>35</v>
      </c>
      <c r="I53" s="59">
        <v>44287</v>
      </c>
      <c r="J53" s="60">
        <f ca="1">EFEITO!$J$53*EFEITO!$Y$53</f>
        <v>376504.70403943688</v>
      </c>
      <c r="K53" s="60">
        <f ca="1">EFEITO!$L$53*EFEITO!$Z$53</f>
        <v>0</v>
      </c>
      <c r="L53" s="60">
        <f>EFEITO!$N$53*EFEITO!$AA$53</f>
        <v>0</v>
      </c>
      <c r="M53" s="60">
        <f ca="1">$J$53-EFEITO!$K$53*EFEITO!$Y$53</f>
        <v>0</v>
      </c>
      <c r="N53" s="60">
        <f ca="1">$K$53-EFEITO!$M$53*EFEITO!$Z$53</f>
        <v>0</v>
      </c>
      <c r="O53" s="60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1" t="s">
        <v>21</v>
      </c>
      <c r="B54" s="51" t="s">
        <v>39</v>
      </c>
      <c r="C54" s="51" t="s">
        <v>40</v>
      </c>
      <c r="D54" s="51" t="s">
        <v>38</v>
      </c>
      <c r="E54" s="51" t="s">
        <v>25</v>
      </c>
      <c r="F54" s="51" t="s">
        <v>25</v>
      </c>
      <c r="G54" s="51" t="s">
        <v>25</v>
      </c>
      <c r="H54" s="51" t="s">
        <v>35</v>
      </c>
      <c r="I54" s="59">
        <v>44317</v>
      </c>
      <c r="J54" s="60">
        <f ca="1">EFEITO!$J$54*EFEITO!$Y$54</f>
        <v>119724.33802962855</v>
      </c>
      <c r="K54" s="60">
        <f ca="1">EFEITO!$L$54*EFEITO!$Z$54</f>
        <v>185154.99415965739</v>
      </c>
      <c r="L54" s="60">
        <f>EFEITO!$N$54*EFEITO!$AA$54</f>
        <v>899240.02199841174</v>
      </c>
      <c r="M54" s="60">
        <f ca="1">$J$54-EFEITO!$K$54*EFEITO!$Y$54</f>
        <v>0</v>
      </c>
      <c r="N54" s="60">
        <f ca="1">$K$54-EFEITO!$M$54*EFEITO!$Z$54</f>
        <v>0</v>
      </c>
      <c r="O54" s="60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1" t="s">
        <v>21</v>
      </c>
      <c r="B55" s="51" t="s">
        <v>39</v>
      </c>
      <c r="C55" s="51" t="s">
        <v>40</v>
      </c>
      <c r="D55" s="51" t="s">
        <v>38</v>
      </c>
      <c r="E55" s="51" t="s">
        <v>25</v>
      </c>
      <c r="F55" s="51" t="s">
        <v>25</v>
      </c>
      <c r="G55" s="51" t="s">
        <v>25</v>
      </c>
      <c r="H55" s="51" t="s">
        <v>35</v>
      </c>
      <c r="I55" s="59">
        <v>44317</v>
      </c>
      <c r="J55" s="60">
        <f ca="1">EFEITO!$J$55*EFEITO!$Y$55</f>
        <v>376876.72263686033</v>
      </c>
      <c r="K55" s="60">
        <f ca="1">EFEITO!$L$55*EFEITO!$Z$55</f>
        <v>0</v>
      </c>
      <c r="L55" s="60">
        <f>EFEITO!$N$55*EFEITO!$AA$55</f>
        <v>0</v>
      </c>
      <c r="M55" s="60">
        <f ca="1">$J$55-EFEITO!$K$55*EFEITO!$Y$55</f>
        <v>0</v>
      </c>
      <c r="N55" s="60">
        <f ca="1">$K$55-EFEITO!$M$55*EFEITO!$Z$55</f>
        <v>0</v>
      </c>
      <c r="O55" s="60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1" t="s">
        <v>21</v>
      </c>
      <c r="B56" s="51" t="s">
        <v>39</v>
      </c>
      <c r="C56" s="51" t="s">
        <v>40</v>
      </c>
      <c r="D56" s="51" t="s">
        <v>38</v>
      </c>
      <c r="E56" s="51" t="s">
        <v>25</v>
      </c>
      <c r="F56" s="51" t="s">
        <v>25</v>
      </c>
      <c r="G56" s="51" t="s">
        <v>25</v>
      </c>
      <c r="H56" s="51" t="s">
        <v>35</v>
      </c>
      <c r="I56" s="59">
        <v>44348</v>
      </c>
      <c r="J56" s="60">
        <f ca="1">EFEITO!$J$56*EFEITO!$Y$56</f>
        <v>112973.29465873832</v>
      </c>
      <c r="K56" s="60">
        <f ca="1">EFEITO!$L$56*EFEITO!$Z$56</f>
        <v>177476.35270437587</v>
      </c>
      <c r="L56" s="60">
        <f>EFEITO!$N$56*EFEITO!$AA$56</f>
        <v>861947.25686126819</v>
      </c>
      <c r="M56" s="60">
        <f ca="1">$J$56-EFEITO!$K$56*EFEITO!$Y$56</f>
        <v>0</v>
      </c>
      <c r="N56" s="60">
        <f ca="1">$K$56-EFEITO!$M$56*EFEITO!$Z$56</f>
        <v>0</v>
      </c>
      <c r="O56" s="60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1" t="s">
        <v>21</v>
      </c>
      <c r="B57" s="51" t="s">
        <v>39</v>
      </c>
      <c r="C57" s="51" t="s">
        <v>40</v>
      </c>
      <c r="D57" s="51" t="s">
        <v>38</v>
      </c>
      <c r="E57" s="51" t="s">
        <v>25</v>
      </c>
      <c r="F57" s="51" t="s">
        <v>25</v>
      </c>
      <c r="G57" s="51" t="s">
        <v>25</v>
      </c>
      <c r="H57" s="51" t="s">
        <v>35</v>
      </c>
      <c r="I57" s="59">
        <v>44348</v>
      </c>
      <c r="J57" s="60">
        <f ca="1">EFEITO!$J$57*EFEITO!$Y$57</f>
        <v>374885.32896829949</v>
      </c>
      <c r="K57" s="60">
        <f ca="1">EFEITO!$L$57*EFEITO!$Z$57</f>
        <v>0</v>
      </c>
      <c r="L57" s="60">
        <f>EFEITO!$N$57*EFEITO!$AA$57</f>
        <v>0</v>
      </c>
      <c r="M57" s="60">
        <f ca="1">$J$57-EFEITO!$K$57*EFEITO!$Y$57</f>
        <v>0</v>
      </c>
      <c r="N57" s="60">
        <f ca="1">$K$57-EFEITO!$M$57*EFEITO!$Z$57</f>
        <v>0</v>
      </c>
      <c r="O57" s="60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1" t="s">
        <v>21</v>
      </c>
      <c r="B58" s="51" t="s">
        <v>39</v>
      </c>
      <c r="C58" s="51" t="s">
        <v>40</v>
      </c>
      <c r="D58" s="51" t="s">
        <v>38</v>
      </c>
      <c r="E58" s="51" t="s">
        <v>25</v>
      </c>
      <c r="F58" s="51" t="s">
        <v>25</v>
      </c>
      <c r="G58" s="51" t="s">
        <v>25</v>
      </c>
      <c r="H58" s="51" t="s">
        <v>35</v>
      </c>
      <c r="I58" s="59">
        <v>44378</v>
      </c>
      <c r="J58" s="60">
        <f ca="1">EFEITO!$J$58*EFEITO!$Y$58</f>
        <v>114505.13594224663</v>
      </c>
      <c r="K58" s="60">
        <f ca="1">EFEITO!$L$58*EFEITO!$Z$58</f>
        <v>181947.4545712425</v>
      </c>
      <c r="L58" s="60">
        <f>EFEITO!$N$58*EFEITO!$AA$58</f>
        <v>883662.00325180509</v>
      </c>
      <c r="M58" s="60">
        <f ca="1">$J$58-EFEITO!$K$58*EFEITO!$Y$58</f>
        <v>0</v>
      </c>
      <c r="N58" s="60">
        <f ca="1">$K$58-EFEITO!$M$58*EFEITO!$Z$58</f>
        <v>0</v>
      </c>
      <c r="O58" s="60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1" t="s">
        <v>21</v>
      </c>
      <c r="B59" s="51" t="s">
        <v>39</v>
      </c>
      <c r="C59" s="51" t="s">
        <v>40</v>
      </c>
      <c r="D59" s="51" t="s">
        <v>38</v>
      </c>
      <c r="E59" s="51" t="s">
        <v>25</v>
      </c>
      <c r="F59" s="51" t="s">
        <v>25</v>
      </c>
      <c r="G59" s="51" t="s">
        <v>25</v>
      </c>
      <c r="H59" s="51" t="s">
        <v>35</v>
      </c>
      <c r="I59" s="59">
        <v>44378</v>
      </c>
      <c r="J59" s="60">
        <f ca="1">EFEITO!$J$59*EFEITO!$Y$59</f>
        <v>375574.65754587826</v>
      </c>
      <c r="K59" s="60">
        <f ca="1">EFEITO!$L$59*EFEITO!$Z$59</f>
        <v>0</v>
      </c>
      <c r="L59" s="60">
        <f>EFEITO!$N$59*EFEITO!$AA$59</f>
        <v>0</v>
      </c>
      <c r="M59" s="60">
        <f ca="1">$J$59-EFEITO!$K$59*EFEITO!$Y$59</f>
        <v>0</v>
      </c>
      <c r="N59" s="60">
        <f ca="1">$K$59-EFEITO!$M$59*EFEITO!$Z$59</f>
        <v>0</v>
      </c>
      <c r="O59" s="60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1" t="s">
        <v>21</v>
      </c>
      <c r="B60" s="51" t="s">
        <v>39</v>
      </c>
      <c r="C60" s="51" t="s">
        <v>40</v>
      </c>
      <c r="D60" s="51" t="s">
        <v>38</v>
      </c>
      <c r="E60" s="51" t="s">
        <v>25</v>
      </c>
      <c r="F60" s="51" t="s">
        <v>25</v>
      </c>
      <c r="G60" s="51" t="s">
        <v>25</v>
      </c>
      <c r="H60" s="51" t="s">
        <v>35</v>
      </c>
      <c r="I60" s="59">
        <v>44409</v>
      </c>
      <c r="J60" s="60">
        <f ca="1">EFEITO!$J$60*EFEITO!$Y$60</f>
        <v>116802.89786750912</v>
      </c>
      <c r="K60" s="60">
        <f ca="1">EFEITO!$L$60*EFEITO!$Z$60</f>
        <v>182140.9333812698</v>
      </c>
      <c r="L60" s="60">
        <f>EFEITO!$N$60*EFEITO!$AA$60</f>
        <v>884601.6694497104</v>
      </c>
      <c r="M60" s="60">
        <f ca="1">$J$60-EFEITO!$K$60*EFEITO!$Y$60</f>
        <v>0</v>
      </c>
      <c r="N60" s="60">
        <f ca="1">$K$60-EFEITO!$M$60*EFEITO!$Z$60</f>
        <v>0</v>
      </c>
      <c r="O60" s="60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1" t="s">
        <v>21</v>
      </c>
      <c r="B61" s="51" t="s">
        <v>39</v>
      </c>
      <c r="C61" s="51" t="s">
        <v>40</v>
      </c>
      <c r="D61" s="51" t="s">
        <v>38</v>
      </c>
      <c r="E61" s="51" t="s">
        <v>25</v>
      </c>
      <c r="F61" s="51" t="s">
        <v>25</v>
      </c>
      <c r="G61" s="51" t="s">
        <v>25</v>
      </c>
      <c r="H61" s="51" t="s">
        <v>35</v>
      </c>
      <c r="I61" s="59">
        <v>44409</v>
      </c>
      <c r="J61" s="60">
        <f ca="1">EFEITO!$J$61*EFEITO!$Y$61</f>
        <v>375563.71582242462</v>
      </c>
      <c r="K61" s="60">
        <f ca="1">EFEITO!$L$61*EFEITO!$Z$61</f>
        <v>0</v>
      </c>
      <c r="L61" s="60">
        <f>EFEITO!$N$61*EFEITO!$AA$61</f>
        <v>0</v>
      </c>
      <c r="M61" s="60">
        <f ca="1">$J$61-EFEITO!$K$61*EFEITO!$Y$61</f>
        <v>0</v>
      </c>
      <c r="N61" s="60">
        <f ca="1">$K$61-EFEITO!$M$61*EFEITO!$Z$61</f>
        <v>0</v>
      </c>
      <c r="O61" s="60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1" t="s">
        <v>21</v>
      </c>
      <c r="B62" s="51" t="s">
        <v>39</v>
      </c>
      <c r="C62" s="51" t="s">
        <v>40</v>
      </c>
      <c r="D62" s="51" t="s">
        <v>38</v>
      </c>
      <c r="E62" s="51" t="s">
        <v>25</v>
      </c>
      <c r="F62" s="51" t="s">
        <v>25</v>
      </c>
      <c r="G62" s="51" t="s">
        <v>25</v>
      </c>
      <c r="H62" s="51" t="s">
        <v>35</v>
      </c>
      <c r="I62" s="59">
        <v>44440</v>
      </c>
      <c r="J62" s="60">
        <f ca="1">EFEITO!$J$62*EFEITO!$Y$62</f>
        <v>116770.07269714822</v>
      </c>
      <c r="K62" s="60">
        <f ca="1">EFEITO!$L$62*EFEITO!$Z$62</f>
        <v>165494.12867488011</v>
      </c>
      <c r="L62" s="60">
        <f>EFEITO!$N$62*EFEITO!$AA$62</f>
        <v>803753.33425725496</v>
      </c>
      <c r="M62" s="60">
        <f ca="1">$J$62-EFEITO!$K$62*EFEITO!$Y$62</f>
        <v>0</v>
      </c>
      <c r="N62" s="60">
        <f ca="1">$K$62-EFEITO!$M$62*EFEITO!$Z$62</f>
        <v>0</v>
      </c>
      <c r="O62" s="60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1" t="s">
        <v>21</v>
      </c>
      <c r="B63" s="51" t="s">
        <v>39</v>
      </c>
      <c r="C63" s="51" t="s">
        <v>40</v>
      </c>
      <c r="D63" s="51" t="s">
        <v>38</v>
      </c>
      <c r="E63" s="51" t="s">
        <v>25</v>
      </c>
      <c r="F63" s="51" t="s">
        <v>25</v>
      </c>
      <c r="G63" s="51" t="s">
        <v>25</v>
      </c>
      <c r="H63" s="51" t="s">
        <v>35</v>
      </c>
      <c r="I63" s="59">
        <v>44440</v>
      </c>
      <c r="J63" s="60">
        <f ca="1">EFEITO!$J$63*EFEITO!$Y$63</f>
        <v>375344.88135335199</v>
      </c>
      <c r="K63" s="60">
        <f ca="1">EFEITO!$L$63*EFEITO!$Z$63</f>
        <v>0</v>
      </c>
      <c r="L63" s="60">
        <f>EFEITO!$N$63*EFEITO!$AA$63</f>
        <v>0</v>
      </c>
      <c r="M63" s="60">
        <f ca="1">$J$63-EFEITO!$K$63*EFEITO!$Y$63</f>
        <v>0</v>
      </c>
      <c r="N63" s="60">
        <f ca="1">$K$63-EFEITO!$M$63*EFEITO!$Z$63</f>
        <v>0</v>
      </c>
      <c r="O63" s="60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1" t="s">
        <v>21</v>
      </c>
      <c r="B64" s="51" t="s">
        <v>39</v>
      </c>
      <c r="C64" s="51" t="s">
        <v>40</v>
      </c>
      <c r="D64" s="51" t="s">
        <v>38</v>
      </c>
      <c r="E64" s="51" t="s">
        <v>25</v>
      </c>
      <c r="F64" s="51" t="s">
        <v>25</v>
      </c>
      <c r="G64" s="51" t="s">
        <v>25</v>
      </c>
      <c r="H64" s="51" t="s">
        <v>35</v>
      </c>
      <c r="I64" s="59">
        <v>44470</v>
      </c>
      <c r="J64" s="60">
        <f ca="1">EFEITO!$J$64*EFEITO!$Y$64</f>
        <v>124823.18115902052</v>
      </c>
      <c r="K64" s="60">
        <f ca="1">EFEITO!$L$64*EFEITO!$Z$64</f>
        <v>161994.87762484967</v>
      </c>
      <c r="L64" s="60">
        <f>EFEITO!$N$64*EFEITO!$AA$64</f>
        <v>786758.56398120173</v>
      </c>
      <c r="M64" s="60">
        <f ca="1">$J$64-EFEITO!$K$64*EFEITO!$Y$64</f>
        <v>0</v>
      </c>
      <c r="N64" s="60">
        <f ca="1">$K$64-EFEITO!$M$64*EFEITO!$Z$64</f>
        <v>0</v>
      </c>
      <c r="O64" s="60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1" t="s">
        <v>21</v>
      </c>
      <c r="B65" s="51" t="s">
        <v>39</v>
      </c>
      <c r="C65" s="51" t="s">
        <v>40</v>
      </c>
      <c r="D65" s="51" t="s">
        <v>38</v>
      </c>
      <c r="E65" s="51" t="s">
        <v>25</v>
      </c>
      <c r="F65" s="51" t="s">
        <v>25</v>
      </c>
      <c r="G65" s="51" t="s">
        <v>25</v>
      </c>
      <c r="H65" s="51" t="s">
        <v>35</v>
      </c>
      <c r="I65" s="59">
        <v>44470</v>
      </c>
      <c r="J65" s="60">
        <f ca="1">EFEITO!$J$65*EFEITO!$Y$65</f>
        <v>376088.91854819888</v>
      </c>
      <c r="K65" s="60">
        <f ca="1">EFEITO!$L$65*EFEITO!$Z$65</f>
        <v>0</v>
      </c>
      <c r="L65" s="60">
        <f>EFEITO!$N$65*EFEITO!$AA$65</f>
        <v>0</v>
      </c>
      <c r="M65" s="60">
        <f ca="1">$J$65-EFEITO!$K$65*EFEITO!$Y$65</f>
        <v>0</v>
      </c>
      <c r="N65" s="60">
        <f ca="1">$K$65-EFEITO!$M$65*EFEITO!$Z$65</f>
        <v>0</v>
      </c>
      <c r="O65" s="60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1" t="s">
        <v>21</v>
      </c>
      <c r="B66" s="51" t="s">
        <v>39</v>
      </c>
      <c r="C66" s="51" t="s">
        <v>40</v>
      </c>
      <c r="D66" s="51" t="s">
        <v>38</v>
      </c>
      <c r="E66" s="51" t="s">
        <v>25</v>
      </c>
      <c r="F66" s="51" t="s">
        <v>25</v>
      </c>
      <c r="G66" s="51" t="s">
        <v>25</v>
      </c>
      <c r="H66" s="51" t="s">
        <v>35</v>
      </c>
      <c r="I66" s="59">
        <v>44501</v>
      </c>
      <c r="J66" s="60">
        <f ca="1">EFEITO!$J$66*EFEITO!$Y$66</f>
        <v>145678.10606164086</v>
      </c>
      <c r="K66" s="60">
        <f ca="1">EFEITO!$L$66*EFEITO!$Z$66</f>
        <v>162589.60327599981</v>
      </c>
      <c r="L66" s="60">
        <f>EFEITO!$N$66*EFEITO!$AA$66</f>
        <v>789646.96086215274</v>
      </c>
      <c r="M66" s="60">
        <f ca="1">$J$66-EFEITO!$K$66*EFEITO!$Y$66</f>
        <v>0</v>
      </c>
      <c r="N66" s="60">
        <f ca="1">$K$66-EFEITO!$M$66*EFEITO!$Z$66</f>
        <v>0</v>
      </c>
      <c r="O66" s="60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1" t="s">
        <v>21</v>
      </c>
      <c r="B67" s="51" t="s">
        <v>39</v>
      </c>
      <c r="C67" s="51" t="s">
        <v>40</v>
      </c>
      <c r="D67" s="51" t="s">
        <v>38</v>
      </c>
      <c r="E67" s="51" t="s">
        <v>25</v>
      </c>
      <c r="F67" s="51" t="s">
        <v>25</v>
      </c>
      <c r="G67" s="51" t="s">
        <v>25</v>
      </c>
      <c r="H67" s="51" t="s">
        <v>35</v>
      </c>
      <c r="I67" s="59">
        <v>44501</v>
      </c>
      <c r="J67" s="60">
        <f ca="1">EFEITO!$J$67*EFEITO!$Y$67</f>
        <v>317309.98015529406</v>
      </c>
      <c r="K67" s="60">
        <f ca="1">EFEITO!$L$67*EFEITO!$Z$67</f>
        <v>0</v>
      </c>
      <c r="L67" s="60">
        <f>EFEITO!$N$67*EFEITO!$AA$67</f>
        <v>0</v>
      </c>
      <c r="M67" s="60">
        <f ca="1">$J$67-EFEITO!$K$67*EFEITO!$Y$67</f>
        <v>0</v>
      </c>
      <c r="N67" s="60">
        <f ca="1">$K$67-EFEITO!$M$67*EFEITO!$Z$67</f>
        <v>0</v>
      </c>
      <c r="O67" s="60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1" t="s">
        <v>21</v>
      </c>
      <c r="B68" s="51" t="s">
        <v>39</v>
      </c>
      <c r="C68" s="51" t="s">
        <v>40</v>
      </c>
      <c r="D68" s="51" t="s">
        <v>38</v>
      </c>
      <c r="E68" s="51" t="s">
        <v>25</v>
      </c>
      <c r="F68" s="51" t="s">
        <v>25</v>
      </c>
      <c r="G68" s="51" t="s">
        <v>25</v>
      </c>
      <c r="H68" s="51" t="s">
        <v>35</v>
      </c>
      <c r="I68" s="59">
        <v>44531</v>
      </c>
      <c r="J68" s="60">
        <f ca="1">EFEITO!$J$68*EFEITO!$Y$68</f>
        <v>119396.08632601962</v>
      </c>
      <c r="K68" s="60">
        <f ca="1">EFEITO!$L$68*EFEITO!$Z$68</f>
        <v>168197.82389598101</v>
      </c>
      <c r="L68" s="60">
        <f>EFEITO!$N$68*EFEITO!$AA$68</f>
        <v>816884.33815555263</v>
      </c>
      <c r="M68" s="60">
        <f ca="1">$J$68-EFEITO!$K$68*EFEITO!$Y$68</f>
        <v>0</v>
      </c>
      <c r="N68" s="60">
        <f ca="1">$K$68-EFEITO!$M$68*EFEITO!$Z$68</f>
        <v>0</v>
      </c>
      <c r="O68" s="60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1" t="s">
        <v>21</v>
      </c>
      <c r="B69" s="51" t="s">
        <v>39</v>
      </c>
      <c r="C69" s="51" t="s">
        <v>40</v>
      </c>
      <c r="D69" s="51" t="s">
        <v>38</v>
      </c>
      <c r="E69" s="51" t="s">
        <v>25</v>
      </c>
      <c r="F69" s="51" t="s">
        <v>25</v>
      </c>
      <c r="G69" s="51" t="s">
        <v>25</v>
      </c>
      <c r="H69" s="51" t="s">
        <v>35</v>
      </c>
      <c r="I69" s="59">
        <v>44531</v>
      </c>
      <c r="J69" s="60">
        <f ca="1">EFEITO!$J$69*EFEITO!$Y$69</f>
        <v>317309.98015529406</v>
      </c>
      <c r="K69" s="60">
        <f ca="1">EFEITO!$L$69*EFEITO!$Z$69</f>
        <v>0</v>
      </c>
      <c r="L69" s="60">
        <f>EFEITO!$N$69*EFEITO!$AA$69</f>
        <v>0</v>
      </c>
      <c r="M69" s="60">
        <f ca="1">$J$69-EFEITO!$K$69*EFEITO!$Y$69</f>
        <v>0</v>
      </c>
      <c r="N69" s="60">
        <f ca="1">$K$69-EFEITO!$M$69*EFEITO!$Z$69</f>
        <v>0</v>
      </c>
      <c r="O69" s="60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1" t="s">
        <v>21</v>
      </c>
      <c r="B70" s="51" t="s">
        <v>39</v>
      </c>
      <c r="C70" s="51" t="s">
        <v>40</v>
      </c>
      <c r="D70" s="51" t="s">
        <v>38</v>
      </c>
      <c r="E70" s="51" t="s">
        <v>25</v>
      </c>
      <c r="F70" s="51" t="s">
        <v>25</v>
      </c>
      <c r="G70" s="51" t="s">
        <v>25</v>
      </c>
      <c r="H70" s="51" t="s">
        <v>35</v>
      </c>
      <c r="I70" s="59">
        <v>44562</v>
      </c>
      <c r="J70" s="60">
        <f ca="1">EFEITO!$J$70*EFEITO!$Y$70</f>
        <v>118925.59221751349</v>
      </c>
      <c r="K70" s="60">
        <f ca="1">EFEITO!$L$70*EFEITO!$Z$70</f>
        <v>142902.27286731478</v>
      </c>
      <c r="L70" s="60">
        <f>EFEITO!$N$70*EFEITO!$AA$70</f>
        <v>694031.74124495871</v>
      </c>
      <c r="M70" s="60">
        <f ca="1">$J$70-EFEITO!$K$70*EFEITO!$Y$70</f>
        <v>0</v>
      </c>
      <c r="N70" s="60">
        <f ca="1">$K$70-EFEITO!$M$70*EFEITO!$Z$70</f>
        <v>0</v>
      </c>
      <c r="O70" s="60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1" t="s">
        <v>27</v>
      </c>
      <c r="B71" s="51" t="s">
        <v>39</v>
      </c>
      <c r="C71" s="51" t="s">
        <v>40</v>
      </c>
      <c r="D71" s="51" t="s">
        <v>38</v>
      </c>
      <c r="E71" s="51" t="s">
        <v>25</v>
      </c>
      <c r="F71" s="51" t="s">
        <v>25</v>
      </c>
      <c r="G71" s="51" t="s">
        <v>25</v>
      </c>
      <c r="H71" s="51" t="s">
        <v>35</v>
      </c>
      <c r="I71" s="59">
        <v>44562</v>
      </c>
      <c r="J71" s="60">
        <f ca="1">EFEITO!$J$71*EFEITO!$Y$71</f>
        <v>0</v>
      </c>
      <c r="K71" s="60">
        <f ca="1">EFEITO!$L$71*EFEITO!$Z$71</f>
        <v>2572.9787132576926</v>
      </c>
      <c r="L71" s="60">
        <f>EFEITO!$N$71*EFEITO!$AA$71</f>
        <v>12496.154614745034</v>
      </c>
      <c r="M71" s="60">
        <f ca="1">$J$71-EFEITO!$K$71*EFEITO!$Y$71</f>
        <v>0</v>
      </c>
      <c r="N71" s="60">
        <f ca="1">$K$71-EFEITO!$M$71*EFEITO!$Z$71</f>
        <v>0</v>
      </c>
      <c r="O71" s="60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1" t="s">
        <v>21</v>
      </c>
      <c r="B72" s="51" t="s">
        <v>39</v>
      </c>
      <c r="C72" s="51" t="s">
        <v>40</v>
      </c>
      <c r="D72" s="51" t="s">
        <v>38</v>
      </c>
      <c r="E72" s="51" t="s">
        <v>25</v>
      </c>
      <c r="F72" s="51" t="s">
        <v>25</v>
      </c>
      <c r="G72" s="51" t="s">
        <v>25</v>
      </c>
      <c r="H72" s="51" t="s">
        <v>35</v>
      </c>
      <c r="I72" s="59">
        <v>44562</v>
      </c>
      <c r="J72" s="60">
        <f ca="1">EFEITO!$J$72*EFEITO!$Y$72</f>
        <v>377325.33329845918</v>
      </c>
      <c r="K72" s="60">
        <f ca="1">EFEITO!$L$72*EFEITO!$Z$72</f>
        <v>0</v>
      </c>
      <c r="L72" s="60">
        <f>EFEITO!$N$72*EFEITO!$AA$72</f>
        <v>0</v>
      </c>
      <c r="M72" s="60">
        <f ca="1">$J$72-EFEITO!$K$72*EFEITO!$Y$72</f>
        <v>0</v>
      </c>
      <c r="N72" s="60">
        <f ca="1">$K$72-EFEITO!$M$72*EFEITO!$Z$72</f>
        <v>0</v>
      </c>
      <c r="O72" s="60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1" t="s">
        <v>21</v>
      </c>
      <c r="B73" s="51" t="s">
        <v>39</v>
      </c>
      <c r="C73" s="51" t="s">
        <v>40</v>
      </c>
      <c r="D73" s="51" t="s">
        <v>38</v>
      </c>
      <c r="E73" s="51" t="s">
        <v>25</v>
      </c>
      <c r="F73" s="51" t="s">
        <v>25</v>
      </c>
      <c r="G73" s="51" t="s">
        <v>25</v>
      </c>
      <c r="H73" s="51" t="s">
        <v>35</v>
      </c>
      <c r="I73" s="59">
        <v>44593</v>
      </c>
      <c r="J73" s="60">
        <f ca="1">EFEITO!$J$73*EFEITO!$Y$73</f>
        <v>118564.51534354368</v>
      </c>
      <c r="K73" s="60">
        <f ca="1">EFEITO!$L$73*EFEITO!$Z$73</f>
        <v>147398.6450608295</v>
      </c>
      <c r="L73" s="60">
        <f>EFEITO!$N$73*EFEITO!$AA$73</f>
        <v>715869.21772546193</v>
      </c>
      <c r="M73" s="60">
        <f ca="1">$J$73-EFEITO!$K$73*EFEITO!$Y$73</f>
        <v>0</v>
      </c>
      <c r="N73" s="60">
        <f ca="1">$K$73-EFEITO!$M$73*EFEITO!$Z$73</f>
        <v>0</v>
      </c>
      <c r="O73" s="60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1" t="s">
        <v>21</v>
      </c>
      <c r="B74" s="51" t="s">
        <v>39</v>
      </c>
      <c r="C74" s="51" t="s">
        <v>40</v>
      </c>
      <c r="D74" s="51" t="s">
        <v>38</v>
      </c>
      <c r="E74" s="51" t="s">
        <v>25</v>
      </c>
      <c r="F74" s="51" t="s">
        <v>25</v>
      </c>
      <c r="G74" s="51" t="s">
        <v>25</v>
      </c>
      <c r="H74" s="51" t="s">
        <v>35</v>
      </c>
      <c r="I74" s="59">
        <v>44593</v>
      </c>
      <c r="J74" s="60">
        <f ca="1">EFEITO!$J$74*EFEITO!$Y$74</f>
        <v>317309.98015529406</v>
      </c>
      <c r="K74" s="60">
        <f ca="1">EFEITO!$L$74*EFEITO!$Z$74</f>
        <v>0</v>
      </c>
      <c r="L74" s="60">
        <f>EFEITO!$N$74*EFEITO!$AA$74</f>
        <v>0</v>
      </c>
      <c r="M74" s="60">
        <f ca="1">$J$74-EFEITO!$K$74*EFEITO!$Y$74</f>
        <v>0</v>
      </c>
      <c r="N74" s="60">
        <f ca="1">$K$74-EFEITO!$M$74*EFEITO!$Z$74</f>
        <v>0</v>
      </c>
      <c r="O74" s="60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1" t="s">
        <v>56</v>
      </c>
      <c r="B75" s="51" t="s">
        <v>39</v>
      </c>
      <c r="C75" s="51" t="s">
        <v>40</v>
      </c>
      <c r="D75" s="51" t="s">
        <v>38</v>
      </c>
      <c r="E75" s="51" t="s">
        <v>25</v>
      </c>
      <c r="F75" s="51" t="s">
        <v>25</v>
      </c>
      <c r="G75" s="51" t="s">
        <v>25</v>
      </c>
      <c r="H75" s="51" t="s">
        <v>35</v>
      </c>
      <c r="I75" s="59">
        <v>44621</v>
      </c>
      <c r="J75" s="60">
        <f ca="1">EFEITO!$J$75*EFEITO!$Y$75</f>
        <v>118564.51534354368</v>
      </c>
      <c r="K75" s="60">
        <f ca="1">EFEITO!$L$75*EFEITO!$Z$75</f>
        <v>147398.6450608295</v>
      </c>
      <c r="L75" s="60">
        <f>EFEITO!$N$75*EFEITO!$AA$75</f>
        <v>715869.21772546193</v>
      </c>
      <c r="M75" s="60">
        <f ca="1">$J$75-EFEITO!$K$75*EFEITO!$Y$75</f>
        <v>0</v>
      </c>
      <c r="N75" s="60">
        <f ca="1">$K$75-EFEITO!$M$75*EFEITO!$Z$75</f>
        <v>0</v>
      </c>
      <c r="O75" s="60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1" t="s">
        <v>56</v>
      </c>
      <c r="B76" s="51" t="s">
        <v>39</v>
      </c>
      <c r="C76" s="51" t="s">
        <v>40</v>
      </c>
      <c r="D76" s="51" t="s">
        <v>38</v>
      </c>
      <c r="E76" s="51" t="s">
        <v>25</v>
      </c>
      <c r="F76" s="51" t="s">
        <v>25</v>
      </c>
      <c r="G76" s="51" t="s">
        <v>25</v>
      </c>
      <c r="H76" s="51" t="s">
        <v>35</v>
      </c>
      <c r="I76" s="59">
        <v>44621</v>
      </c>
      <c r="J76" s="60">
        <f ca="1">EFEITO!$J$76*EFEITO!$Y$76</f>
        <v>317309.98015529406</v>
      </c>
      <c r="K76" s="60">
        <f ca="1">EFEITO!$L$76*EFEITO!$Z$76</f>
        <v>0</v>
      </c>
      <c r="L76" s="60">
        <f>EFEITO!$N$76*EFEITO!$AA$76</f>
        <v>0</v>
      </c>
      <c r="M76" s="60">
        <f ca="1">$J$76-EFEITO!$K$76*EFEITO!$Y$76</f>
        <v>0</v>
      </c>
      <c r="N76" s="60">
        <f ca="1">$K$76-EFEITO!$M$76*EFEITO!$Z$76</f>
        <v>0</v>
      </c>
      <c r="O76" s="60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1" t="s">
        <v>21</v>
      </c>
      <c r="B77" s="51" t="s">
        <v>39</v>
      </c>
      <c r="C77" s="51" t="s">
        <v>40</v>
      </c>
      <c r="D77" s="51" t="s">
        <v>38</v>
      </c>
      <c r="E77" s="51" t="s">
        <v>25</v>
      </c>
      <c r="F77" s="51" t="s">
        <v>25</v>
      </c>
      <c r="G77" s="51" t="s">
        <v>25</v>
      </c>
      <c r="H77" s="51" t="s">
        <v>25</v>
      </c>
      <c r="I77" s="59">
        <v>44287</v>
      </c>
      <c r="J77" s="60">
        <f>EFEITO!$J$77*EFEITO!$Y$77</f>
        <v>0</v>
      </c>
      <c r="K77" s="60">
        <f ca="1">EFEITO!$L$77*EFEITO!$Z$77</f>
        <v>805687.66774981562</v>
      </c>
      <c r="L77" s="60">
        <f>EFEITO!$N$77*EFEITO!$AA$77</f>
        <v>0</v>
      </c>
      <c r="M77" s="60">
        <f>$J$77-EFEITO!$K$77*EFEITO!$Y$77</f>
        <v>0</v>
      </c>
      <c r="N77" s="60">
        <f ca="1">$K$77-EFEITO!$M$77*EFEITO!$Z$77</f>
        <v>0</v>
      </c>
      <c r="O77" s="60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1" t="s">
        <v>27</v>
      </c>
      <c r="B78" s="51" t="s">
        <v>39</v>
      </c>
      <c r="C78" s="51" t="s">
        <v>40</v>
      </c>
      <c r="D78" s="51" t="s">
        <v>38</v>
      </c>
      <c r="E78" s="51" t="s">
        <v>25</v>
      </c>
      <c r="F78" s="51" t="s">
        <v>25</v>
      </c>
      <c r="G78" s="51" t="s">
        <v>25</v>
      </c>
      <c r="H78" s="51" t="s">
        <v>25</v>
      </c>
      <c r="I78" s="59">
        <v>44287</v>
      </c>
      <c r="J78" s="60">
        <f>EFEITO!$J$78*EFEITO!$Y$78</f>
        <v>0</v>
      </c>
      <c r="K78" s="60">
        <f ca="1">EFEITO!$L$78*EFEITO!$Z$78</f>
        <v>-395642.57186303253</v>
      </c>
      <c r="L78" s="60">
        <f>EFEITO!$N$78*EFEITO!$AA$78</f>
        <v>0</v>
      </c>
      <c r="M78" s="60">
        <f>$J$78-EFEITO!$K$78*EFEITO!$Y$78</f>
        <v>0</v>
      </c>
      <c r="N78" s="60">
        <f ca="1">$K$78-EFEITO!$M$78*EFEITO!$Z$78</f>
        <v>0</v>
      </c>
      <c r="O78" s="60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1" t="s">
        <v>21</v>
      </c>
      <c r="B79" s="51" t="s">
        <v>39</v>
      </c>
      <c r="C79" s="51" t="s">
        <v>40</v>
      </c>
      <c r="D79" s="51" t="s">
        <v>38</v>
      </c>
      <c r="E79" s="51" t="s">
        <v>25</v>
      </c>
      <c r="F79" s="51" t="s">
        <v>25</v>
      </c>
      <c r="G79" s="51" t="s">
        <v>25</v>
      </c>
      <c r="H79" s="51" t="s">
        <v>25</v>
      </c>
      <c r="I79" s="59">
        <v>44317</v>
      </c>
      <c r="J79" s="60">
        <f>EFEITO!$J$79*EFEITO!$Y$79</f>
        <v>0</v>
      </c>
      <c r="K79" s="60">
        <f ca="1">EFEITO!$L$79*EFEITO!$Z$79</f>
        <v>748811.2381564792</v>
      </c>
      <c r="L79" s="60">
        <f>EFEITO!$N$79*EFEITO!$AA$79</f>
        <v>0</v>
      </c>
      <c r="M79" s="60">
        <f>$J$79-EFEITO!$K$79*EFEITO!$Y$79</f>
        <v>0</v>
      </c>
      <c r="N79" s="60">
        <f ca="1">$K$79-EFEITO!$M$79*EFEITO!$Z$79</f>
        <v>0</v>
      </c>
      <c r="O79" s="60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1" t="s">
        <v>27</v>
      </c>
      <c r="B80" s="51" t="s">
        <v>39</v>
      </c>
      <c r="C80" s="51" t="s">
        <v>40</v>
      </c>
      <c r="D80" s="51" t="s">
        <v>38</v>
      </c>
      <c r="E80" s="51" t="s">
        <v>25</v>
      </c>
      <c r="F80" s="51" t="s">
        <v>25</v>
      </c>
      <c r="G80" s="51" t="s">
        <v>25</v>
      </c>
      <c r="H80" s="51" t="s">
        <v>25</v>
      </c>
      <c r="I80" s="59">
        <v>44317</v>
      </c>
      <c r="J80" s="60">
        <f>EFEITO!$J$80*EFEITO!$Y$80</f>
        <v>0</v>
      </c>
      <c r="K80" s="60">
        <f ca="1">EFEITO!$L$80*EFEITO!$Z$80</f>
        <v>-426682.02219275583</v>
      </c>
      <c r="L80" s="60">
        <f>EFEITO!$N$80*EFEITO!$AA$80</f>
        <v>0</v>
      </c>
      <c r="M80" s="60">
        <f>$J$80-EFEITO!$K$80*EFEITO!$Y$80</f>
        <v>0</v>
      </c>
      <c r="N80" s="60">
        <f ca="1">$K$80-EFEITO!$M$80*EFEITO!$Z$80</f>
        <v>0</v>
      </c>
      <c r="O80" s="60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1" t="s">
        <v>21</v>
      </c>
      <c r="B81" s="51" t="s">
        <v>39</v>
      </c>
      <c r="C81" s="51" t="s">
        <v>40</v>
      </c>
      <c r="D81" s="51" t="s">
        <v>38</v>
      </c>
      <c r="E81" s="51" t="s">
        <v>25</v>
      </c>
      <c r="F81" s="51" t="s">
        <v>25</v>
      </c>
      <c r="G81" s="51" t="s">
        <v>25</v>
      </c>
      <c r="H81" s="51" t="s">
        <v>25</v>
      </c>
      <c r="I81" s="59">
        <v>44348</v>
      </c>
      <c r="J81" s="60">
        <f>EFEITO!$J$81*EFEITO!$Y$81</f>
        <v>0</v>
      </c>
      <c r="K81" s="60">
        <f ca="1">EFEITO!$L$81*EFEITO!$Z$81</f>
        <v>761762.05083337112</v>
      </c>
      <c r="L81" s="60">
        <f>EFEITO!$N$81*EFEITO!$AA$81</f>
        <v>0</v>
      </c>
      <c r="M81" s="60">
        <f>$J$81-EFEITO!$K$81*EFEITO!$Y$81</f>
        <v>0</v>
      </c>
      <c r="N81" s="60">
        <f ca="1">$K$81-EFEITO!$M$81*EFEITO!$Z$81</f>
        <v>0</v>
      </c>
      <c r="O81" s="60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1" t="s">
        <v>27</v>
      </c>
      <c r="B82" s="51" t="s">
        <v>39</v>
      </c>
      <c r="C82" s="51" t="s">
        <v>40</v>
      </c>
      <c r="D82" s="51" t="s">
        <v>38</v>
      </c>
      <c r="E82" s="51" t="s">
        <v>25</v>
      </c>
      <c r="F82" s="51" t="s">
        <v>25</v>
      </c>
      <c r="G82" s="51" t="s">
        <v>25</v>
      </c>
      <c r="H82" s="51" t="s">
        <v>25</v>
      </c>
      <c r="I82" s="59">
        <v>44348</v>
      </c>
      <c r="J82" s="60">
        <f>EFEITO!$J$82*EFEITO!$Y$82</f>
        <v>0</v>
      </c>
      <c r="K82" s="60">
        <f ca="1">EFEITO!$L$82*EFEITO!$Z$82</f>
        <v>-393639.59982685832</v>
      </c>
      <c r="L82" s="60">
        <f>EFEITO!$N$82*EFEITO!$AA$82</f>
        <v>0</v>
      </c>
      <c r="M82" s="60">
        <f>$J$82-EFEITO!$K$82*EFEITO!$Y$82</f>
        <v>0</v>
      </c>
      <c r="N82" s="60">
        <f ca="1">$K$82-EFEITO!$M$82*EFEITO!$Z$82</f>
        <v>0</v>
      </c>
      <c r="O82" s="60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1" t="s">
        <v>21</v>
      </c>
      <c r="B83" s="51" t="s">
        <v>39</v>
      </c>
      <c r="C83" s="51" t="s">
        <v>40</v>
      </c>
      <c r="D83" s="51" t="s">
        <v>38</v>
      </c>
      <c r="E83" s="51" t="s">
        <v>25</v>
      </c>
      <c r="F83" s="51" t="s">
        <v>25</v>
      </c>
      <c r="G83" s="51" t="s">
        <v>25</v>
      </c>
      <c r="H83" s="51" t="s">
        <v>25</v>
      </c>
      <c r="I83" s="59">
        <v>44378</v>
      </c>
      <c r="J83" s="60">
        <f>EFEITO!$J$83*EFEITO!$Y$83</f>
        <v>0</v>
      </c>
      <c r="K83" s="60">
        <f ca="1">EFEITO!$L$83*EFEITO!$Z$83</f>
        <v>745652.17164918012</v>
      </c>
      <c r="L83" s="60">
        <f>EFEITO!$N$83*EFEITO!$AA$83</f>
        <v>0</v>
      </c>
      <c r="M83" s="60">
        <f>$J$83-EFEITO!$K$83*EFEITO!$Y$83</f>
        <v>0</v>
      </c>
      <c r="N83" s="60">
        <f ca="1">$K$83-EFEITO!$M$83*EFEITO!$Z$83</f>
        <v>0</v>
      </c>
      <c r="O83" s="60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1" t="s">
        <v>27</v>
      </c>
      <c r="B84" s="51" t="s">
        <v>39</v>
      </c>
      <c r="C84" s="51" t="s">
        <v>40</v>
      </c>
      <c r="D84" s="51" t="s">
        <v>38</v>
      </c>
      <c r="E84" s="51" t="s">
        <v>25</v>
      </c>
      <c r="F84" s="51" t="s">
        <v>25</v>
      </c>
      <c r="G84" s="51" t="s">
        <v>25</v>
      </c>
      <c r="H84" s="51" t="s">
        <v>25</v>
      </c>
      <c r="I84" s="59">
        <v>44378</v>
      </c>
      <c r="J84" s="60">
        <f>EFEITO!$J$84*EFEITO!$Y$84</f>
        <v>0</v>
      </c>
      <c r="K84" s="60">
        <f ca="1">EFEITO!$L$84*EFEITO!$Z$84</f>
        <v>-390641.71205752552</v>
      </c>
      <c r="L84" s="60">
        <f>EFEITO!$N$84*EFEITO!$AA$84</f>
        <v>0</v>
      </c>
      <c r="M84" s="60">
        <f>$J$84-EFEITO!$K$84*EFEITO!$Y$84</f>
        <v>0</v>
      </c>
      <c r="N84" s="60">
        <f ca="1">$K$84-EFEITO!$M$84*EFEITO!$Z$84</f>
        <v>0</v>
      </c>
      <c r="O84" s="60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1" t="s">
        <v>21</v>
      </c>
      <c r="B85" s="51" t="s">
        <v>39</v>
      </c>
      <c r="C85" s="51" t="s">
        <v>40</v>
      </c>
      <c r="D85" s="51" t="s">
        <v>38</v>
      </c>
      <c r="E85" s="51" t="s">
        <v>25</v>
      </c>
      <c r="F85" s="51" t="s">
        <v>25</v>
      </c>
      <c r="G85" s="51" t="s">
        <v>25</v>
      </c>
      <c r="H85" s="51" t="s">
        <v>25</v>
      </c>
      <c r="I85" s="59">
        <v>44409</v>
      </c>
      <c r="J85" s="60">
        <f>EFEITO!$J$85*EFEITO!$Y$85</f>
        <v>0</v>
      </c>
      <c r="K85" s="60">
        <f ca="1">EFEITO!$L$85*EFEITO!$Z$85</f>
        <v>743910.1272221593</v>
      </c>
      <c r="L85" s="60">
        <f>EFEITO!$N$85*EFEITO!$AA$85</f>
        <v>0</v>
      </c>
      <c r="M85" s="60">
        <f>$J$85-EFEITO!$K$85*EFEITO!$Y$85</f>
        <v>0</v>
      </c>
      <c r="N85" s="60">
        <f ca="1">$K$85-EFEITO!$M$85*EFEITO!$Z$85</f>
        <v>0</v>
      </c>
      <c r="O85" s="60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1" t="s">
        <v>27</v>
      </c>
      <c r="B86" s="51" t="s">
        <v>39</v>
      </c>
      <c r="C86" s="51" t="s">
        <v>40</v>
      </c>
      <c r="D86" s="51" t="s">
        <v>38</v>
      </c>
      <c r="E86" s="51" t="s">
        <v>25</v>
      </c>
      <c r="F86" s="51" t="s">
        <v>25</v>
      </c>
      <c r="G86" s="51" t="s">
        <v>25</v>
      </c>
      <c r="H86" s="51" t="s">
        <v>25</v>
      </c>
      <c r="I86" s="59">
        <v>44409</v>
      </c>
      <c r="J86" s="60">
        <f>EFEITO!$J$86*EFEITO!$Y$86</f>
        <v>0</v>
      </c>
      <c r="K86" s="60">
        <f ca="1">EFEITO!$L$86*EFEITO!$Z$86</f>
        <v>-391186.95381449384</v>
      </c>
      <c r="L86" s="60">
        <f>EFEITO!$N$86*EFEITO!$AA$86</f>
        <v>0</v>
      </c>
      <c r="M86" s="60">
        <f>$J$86-EFEITO!$K$86*EFEITO!$Y$86</f>
        <v>0</v>
      </c>
      <c r="N86" s="60">
        <f ca="1">$K$86-EFEITO!$M$86*EFEITO!$Z$86</f>
        <v>0</v>
      </c>
      <c r="O86" s="60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1" t="s">
        <v>21</v>
      </c>
      <c r="B87" s="51" t="s">
        <v>39</v>
      </c>
      <c r="C87" s="51" t="s">
        <v>40</v>
      </c>
      <c r="D87" s="51" t="s">
        <v>38</v>
      </c>
      <c r="E87" s="51" t="s">
        <v>25</v>
      </c>
      <c r="F87" s="51" t="s">
        <v>25</v>
      </c>
      <c r="G87" s="51" t="s">
        <v>25</v>
      </c>
      <c r="H87" s="51" t="s">
        <v>25</v>
      </c>
      <c r="I87" s="59">
        <v>44440</v>
      </c>
      <c r="J87" s="60">
        <f>EFEITO!$J$87*EFEITO!$Y$87</f>
        <v>0</v>
      </c>
      <c r="K87" s="60">
        <f ca="1">EFEITO!$L$87*EFEITO!$Z$87</f>
        <v>769211.55934502732</v>
      </c>
      <c r="L87" s="60">
        <f>EFEITO!$N$87*EFEITO!$AA$87</f>
        <v>0</v>
      </c>
      <c r="M87" s="60">
        <f>$J$87-EFEITO!$K$87*EFEITO!$Y$87</f>
        <v>0</v>
      </c>
      <c r="N87" s="60">
        <f ca="1">$K$87-EFEITO!$M$87*EFEITO!$Z$87</f>
        <v>0</v>
      </c>
      <c r="O87" s="60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1" t="s">
        <v>27</v>
      </c>
      <c r="B88" s="51" t="s">
        <v>39</v>
      </c>
      <c r="C88" s="51" t="s">
        <v>40</v>
      </c>
      <c r="D88" s="51" t="s">
        <v>38</v>
      </c>
      <c r="E88" s="51" t="s">
        <v>25</v>
      </c>
      <c r="F88" s="51" t="s">
        <v>25</v>
      </c>
      <c r="G88" s="51" t="s">
        <v>25</v>
      </c>
      <c r="H88" s="51" t="s">
        <v>25</v>
      </c>
      <c r="I88" s="59">
        <v>44440</v>
      </c>
      <c r="J88" s="60">
        <f>EFEITO!$J$88*EFEITO!$Y$88</f>
        <v>0</v>
      </c>
      <c r="K88" s="60">
        <f ca="1">EFEITO!$L$88*EFEITO!$Z$88</f>
        <v>-386407.04855598783</v>
      </c>
      <c r="L88" s="60">
        <f>EFEITO!$N$88*EFEITO!$AA$88</f>
        <v>0</v>
      </c>
      <c r="M88" s="60">
        <f>$J$88-EFEITO!$K$88*EFEITO!$Y$88</f>
        <v>0</v>
      </c>
      <c r="N88" s="60">
        <f ca="1">$K$88-EFEITO!$M$88*EFEITO!$Z$88</f>
        <v>0</v>
      </c>
      <c r="O88" s="60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1" t="s">
        <v>21</v>
      </c>
      <c r="B89" s="51" t="s">
        <v>39</v>
      </c>
      <c r="C89" s="51" t="s">
        <v>40</v>
      </c>
      <c r="D89" s="51" t="s">
        <v>38</v>
      </c>
      <c r="E89" s="51" t="s">
        <v>25</v>
      </c>
      <c r="F89" s="51" t="s">
        <v>25</v>
      </c>
      <c r="G89" s="51" t="s">
        <v>25</v>
      </c>
      <c r="H89" s="51" t="s">
        <v>25</v>
      </c>
      <c r="I89" s="59">
        <v>44470</v>
      </c>
      <c r="J89" s="60">
        <f>EFEITO!$J$89*EFEITO!$Y$89</f>
        <v>0</v>
      </c>
      <c r="K89" s="60">
        <f ca="1">EFEITO!$L$89*EFEITO!$Z$89</f>
        <v>755658.4858650394</v>
      </c>
      <c r="L89" s="60">
        <f>EFEITO!$N$89*EFEITO!$AA$89</f>
        <v>0</v>
      </c>
      <c r="M89" s="60">
        <f>$J$89-EFEITO!$K$89*EFEITO!$Y$89</f>
        <v>0</v>
      </c>
      <c r="N89" s="60">
        <f ca="1">$K$89-EFEITO!$M$89*EFEITO!$Z$89</f>
        <v>0</v>
      </c>
      <c r="O89" s="60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1" t="s">
        <v>27</v>
      </c>
      <c r="B90" s="51" t="s">
        <v>39</v>
      </c>
      <c r="C90" s="51" t="s">
        <v>40</v>
      </c>
      <c r="D90" s="51" t="s">
        <v>38</v>
      </c>
      <c r="E90" s="51" t="s">
        <v>25</v>
      </c>
      <c r="F90" s="51" t="s">
        <v>25</v>
      </c>
      <c r="G90" s="51" t="s">
        <v>25</v>
      </c>
      <c r="H90" s="51" t="s">
        <v>25</v>
      </c>
      <c r="I90" s="59">
        <v>44470</v>
      </c>
      <c r="J90" s="60">
        <f>EFEITO!$J$90*EFEITO!$Y$90</f>
        <v>0</v>
      </c>
      <c r="K90" s="60">
        <f ca="1">EFEITO!$L$90*EFEITO!$Z$90</f>
        <v>-459697.29044401884</v>
      </c>
      <c r="L90" s="60">
        <f>EFEITO!$N$90*EFEITO!$AA$90</f>
        <v>0</v>
      </c>
      <c r="M90" s="60">
        <f>$J$90-EFEITO!$K$90*EFEITO!$Y$90</f>
        <v>0</v>
      </c>
      <c r="N90" s="60">
        <f ca="1">$K$90-EFEITO!$M$90*EFEITO!$Z$90</f>
        <v>0</v>
      </c>
      <c r="O90" s="60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1" t="s">
        <v>21</v>
      </c>
      <c r="B91" s="51" t="s">
        <v>39</v>
      </c>
      <c r="C91" s="51" t="s">
        <v>40</v>
      </c>
      <c r="D91" s="51" t="s">
        <v>38</v>
      </c>
      <c r="E91" s="51" t="s">
        <v>25</v>
      </c>
      <c r="F91" s="51" t="s">
        <v>25</v>
      </c>
      <c r="G91" s="51" t="s">
        <v>25</v>
      </c>
      <c r="H91" s="51" t="s">
        <v>25</v>
      </c>
      <c r="I91" s="59">
        <v>44501</v>
      </c>
      <c r="J91" s="60">
        <f>EFEITO!$J$91*EFEITO!$Y$91</f>
        <v>0</v>
      </c>
      <c r="K91" s="60">
        <f ca="1">EFEITO!$L$91*EFEITO!$Z$91</f>
        <v>622506.28610137233</v>
      </c>
      <c r="L91" s="60">
        <f>EFEITO!$N$91*EFEITO!$AA$91</f>
        <v>0</v>
      </c>
      <c r="M91" s="60">
        <f>$J$91-EFEITO!$K$91*EFEITO!$Y$91</f>
        <v>0</v>
      </c>
      <c r="N91" s="60">
        <f ca="1">$K$91-EFEITO!$M$91*EFEITO!$Z$91</f>
        <v>0</v>
      </c>
      <c r="O91" s="60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1" t="s">
        <v>27</v>
      </c>
      <c r="B92" s="51" t="s">
        <v>39</v>
      </c>
      <c r="C92" s="51" t="s">
        <v>40</v>
      </c>
      <c r="D92" s="51" t="s">
        <v>38</v>
      </c>
      <c r="E92" s="51" t="s">
        <v>25</v>
      </c>
      <c r="F92" s="51" t="s">
        <v>25</v>
      </c>
      <c r="G92" s="51" t="s">
        <v>25</v>
      </c>
      <c r="H92" s="51" t="s">
        <v>25</v>
      </c>
      <c r="I92" s="59">
        <v>44501</v>
      </c>
      <c r="J92" s="60">
        <f>EFEITO!$J$92*EFEITO!$Y$92</f>
        <v>0</v>
      </c>
      <c r="K92" s="60">
        <f ca="1">EFEITO!$L$92*EFEITO!$Z$92</f>
        <v>-469615.9855454819</v>
      </c>
      <c r="L92" s="60">
        <f>EFEITO!$N$92*EFEITO!$AA$92</f>
        <v>0</v>
      </c>
      <c r="M92" s="60">
        <f>$J$92-EFEITO!$K$92*EFEITO!$Y$92</f>
        <v>0</v>
      </c>
      <c r="N92" s="60">
        <f ca="1">$K$92-EFEITO!$M$92*EFEITO!$Z$92</f>
        <v>0</v>
      </c>
      <c r="O92" s="60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1" t="s">
        <v>21</v>
      </c>
      <c r="B93" s="51" t="s">
        <v>39</v>
      </c>
      <c r="C93" s="51" t="s">
        <v>40</v>
      </c>
      <c r="D93" s="51" t="s">
        <v>38</v>
      </c>
      <c r="E93" s="51" t="s">
        <v>25</v>
      </c>
      <c r="F93" s="51" t="s">
        <v>25</v>
      </c>
      <c r="G93" s="51" t="s">
        <v>25</v>
      </c>
      <c r="H93" s="51" t="s">
        <v>25</v>
      </c>
      <c r="I93" s="59">
        <v>44531</v>
      </c>
      <c r="J93" s="60">
        <f>EFEITO!$J$93*EFEITO!$Y$93</f>
        <v>0</v>
      </c>
      <c r="K93" s="60">
        <f ca="1">EFEITO!$L$93*EFEITO!$Z$93</f>
        <v>603178.98892834957</v>
      </c>
      <c r="L93" s="60">
        <f>EFEITO!$N$93*EFEITO!$AA$93</f>
        <v>0</v>
      </c>
      <c r="M93" s="60">
        <f>$J$93-EFEITO!$K$93*EFEITO!$Y$93</f>
        <v>0</v>
      </c>
      <c r="N93" s="60">
        <f ca="1">$K$93-EFEITO!$M$93*EFEITO!$Z$93</f>
        <v>0</v>
      </c>
      <c r="O93" s="60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1" t="s">
        <v>27</v>
      </c>
      <c r="B94" s="51" t="s">
        <v>39</v>
      </c>
      <c r="C94" s="51" t="s">
        <v>40</v>
      </c>
      <c r="D94" s="51" t="s">
        <v>38</v>
      </c>
      <c r="E94" s="51" t="s">
        <v>25</v>
      </c>
      <c r="F94" s="51" t="s">
        <v>25</v>
      </c>
      <c r="G94" s="51" t="s">
        <v>25</v>
      </c>
      <c r="H94" s="51" t="s">
        <v>25</v>
      </c>
      <c r="I94" s="59">
        <v>44531</v>
      </c>
      <c r="J94" s="60">
        <f>EFEITO!$J$94*EFEITO!$Y$94</f>
        <v>0</v>
      </c>
      <c r="K94" s="60">
        <f ca="1">EFEITO!$L$94*EFEITO!$Z$94</f>
        <v>-406470.67710148677</v>
      </c>
      <c r="L94" s="60">
        <f>EFEITO!$N$94*EFEITO!$AA$94</f>
        <v>0</v>
      </c>
      <c r="M94" s="60">
        <f>$J$94-EFEITO!$K$94*EFEITO!$Y$94</f>
        <v>0</v>
      </c>
      <c r="N94" s="60">
        <f ca="1">$K$94-EFEITO!$M$94*EFEITO!$Z$94</f>
        <v>0</v>
      </c>
      <c r="O94" s="60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1" t="s">
        <v>21</v>
      </c>
      <c r="B95" s="51" t="s">
        <v>39</v>
      </c>
      <c r="C95" s="51" t="s">
        <v>40</v>
      </c>
      <c r="D95" s="51" t="s">
        <v>38</v>
      </c>
      <c r="E95" s="51" t="s">
        <v>25</v>
      </c>
      <c r="F95" s="51" t="s">
        <v>25</v>
      </c>
      <c r="G95" s="51" t="s">
        <v>25</v>
      </c>
      <c r="H95" s="51" t="s">
        <v>25</v>
      </c>
      <c r="I95" s="59">
        <v>44562</v>
      </c>
      <c r="J95" s="60">
        <f>EFEITO!$J$95*EFEITO!$Y$95</f>
        <v>0</v>
      </c>
      <c r="K95" s="60">
        <f ca="1">EFEITO!$L$95*EFEITO!$Z$95</f>
        <v>735859.87412700581</v>
      </c>
      <c r="L95" s="60">
        <f>EFEITO!$N$95*EFEITO!$AA$95</f>
        <v>0</v>
      </c>
      <c r="M95" s="60">
        <f>$J$95-EFEITO!$K$95*EFEITO!$Y$95</f>
        <v>0</v>
      </c>
      <c r="N95" s="60">
        <f ca="1">$K$95-EFEITO!$M$95*EFEITO!$Z$95</f>
        <v>0</v>
      </c>
      <c r="O95" s="60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1" t="s">
        <v>27</v>
      </c>
      <c r="B96" s="51" t="s">
        <v>39</v>
      </c>
      <c r="C96" s="51" t="s">
        <v>40</v>
      </c>
      <c r="D96" s="51" t="s">
        <v>38</v>
      </c>
      <c r="E96" s="51" t="s">
        <v>25</v>
      </c>
      <c r="F96" s="51" t="s">
        <v>25</v>
      </c>
      <c r="G96" s="51" t="s">
        <v>25</v>
      </c>
      <c r="H96" s="51" t="s">
        <v>25</v>
      </c>
      <c r="I96" s="59">
        <v>44562</v>
      </c>
      <c r="J96" s="60">
        <f>EFEITO!$J$96*EFEITO!$Y$96</f>
        <v>0</v>
      </c>
      <c r="K96" s="60">
        <f ca="1">EFEITO!$L$96*EFEITO!$Z$96</f>
        <v>-484258.66956448607</v>
      </c>
      <c r="L96" s="60">
        <f>EFEITO!$N$96*EFEITO!$AA$96</f>
        <v>0</v>
      </c>
      <c r="M96" s="60">
        <f>$J$96-EFEITO!$K$96*EFEITO!$Y$96</f>
        <v>0</v>
      </c>
      <c r="N96" s="60">
        <f ca="1">$K$96-EFEITO!$M$96*EFEITO!$Z$96</f>
        <v>0</v>
      </c>
      <c r="O96" s="60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1" t="s">
        <v>21</v>
      </c>
      <c r="B97" s="51" t="s">
        <v>39</v>
      </c>
      <c r="C97" s="51" t="s">
        <v>40</v>
      </c>
      <c r="D97" s="51" t="s">
        <v>38</v>
      </c>
      <c r="E97" s="51" t="s">
        <v>25</v>
      </c>
      <c r="F97" s="51" t="s">
        <v>25</v>
      </c>
      <c r="G97" s="51" t="s">
        <v>25</v>
      </c>
      <c r="H97" s="51" t="s">
        <v>25</v>
      </c>
      <c r="I97" s="59">
        <v>44593</v>
      </c>
      <c r="J97" s="60">
        <f>EFEITO!$J$97*EFEITO!$Y$97</f>
        <v>0</v>
      </c>
      <c r="K97" s="60">
        <f ca="1">EFEITO!$L$97*EFEITO!$Z$97</f>
        <v>563838.8335933662</v>
      </c>
      <c r="L97" s="60">
        <f>EFEITO!$N$97*EFEITO!$AA$97</f>
        <v>0</v>
      </c>
      <c r="M97" s="60">
        <f>$J$97-EFEITO!$K$97*EFEITO!$Y$97</f>
        <v>0</v>
      </c>
      <c r="N97" s="60">
        <f ca="1">$K$97-EFEITO!$M$97*EFEITO!$Z$97</f>
        <v>0</v>
      </c>
      <c r="O97" s="60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1" t="s">
        <v>27</v>
      </c>
      <c r="B98" s="51" t="s">
        <v>39</v>
      </c>
      <c r="C98" s="51" t="s">
        <v>40</v>
      </c>
      <c r="D98" s="51" t="s">
        <v>38</v>
      </c>
      <c r="E98" s="51" t="s">
        <v>25</v>
      </c>
      <c r="F98" s="51" t="s">
        <v>25</v>
      </c>
      <c r="G98" s="51" t="s">
        <v>25</v>
      </c>
      <c r="H98" s="51" t="s">
        <v>25</v>
      </c>
      <c r="I98" s="59">
        <v>44593</v>
      </c>
      <c r="J98" s="60">
        <f>EFEITO!$J$98*EFEITO!$Y$98</f>
        <v>0</v>
      </c>
      <c r="K98" s="60">
        <f ca="1">EFEITO!$L$98*EFEITO!$Z$98</f>
        <v>-417964.35679780273</v>
      </c>
      <c r="L98" s="60">
        <f>EFEITO!$N$98*EFEITO!$AA$98</f>
        <v>0</v>
      </c>
      <c r="M98" s="60">
        <f>$J$98-EFEITO!$K$98*EFEITO!$Y$98</f>
        <v>0</v>
      </c>
      <c r="N98" s="60">
        <f ca="1">$K$98-EFEITO!$M$98*EFEITO!$Z$98</f>
        <v>0</v>
      </c>
      <c r="O98" s="60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1" t="s">
        <v>56</v>
      </c>
      <c r="B99" s="51" t="s">
        <v>39</v>
      </c>
      <c r="C99" s="51" t="s">
        <v>40</v>
      </c>
      <c r="D99" s="51" t="s">
        <v>38</v>
      </c>
      <c r="E99" s="51" t="s">
        <v>25</v>
      </c>
      <c r="F99" s="51" t="s">
        <v>25</v>
      </c>
      <c r="G99" s="51" t="s">
        <v>25</v>
      </c>
      <c r="H99" s="51" t="s">
        <v>25</v>
      </c>
      <c r="I99" s="59">
        <v>44621</v>
      </c>
      <c r="J99" s="60">
        <f>EFEITO!$J$99*EFEITO!$Y$99</f>
        <v>0</v>
      </c>
      <c r="K99" s="60">
        <f ca="1">EFEITO!$L$99*EFEITO!$Z$99</f>
        <v>563838.8335933662</v>
      </c>
      <c r="L99" s="60">
        <f>EFEITO!$N$99*EFEITO!$AA$99</f>
        <v>0</v>
      </c>
      <c r="M99" s="60">
        <f>$J$99-EFEITO!$K$99*EFEITO!$Y$99</f>
        <v>0</v>
      </c>
      <c r="N99" s="60">
        <f ca="1">$K$99-EFEITO!$M$99*EFEITO!$Z$99</f>
        <v>0</v>
      </c>
      <c r="O99" s="60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1" t="s">
        <v>56</v>
      </c>
      <c r="B100" s="51" t="s">
        <v>39</v>
      </c>
      <c r="C100" s="51" t="s">
        <v>40</v>
      </c>
      <c r="D100" s="51" t="s">
        <v>38</v>
      </c>
      <c r="E100" s="51" t="s">
        <v>25</v>
      </c>
      <c r="F100" s="51" t="s">
        <v>25</v>
      </c>
      <c r="G100" s="51" t="s">
        <v>25</v>
      </c>
      <c r="H100" s="51" t="s">
        <v>25</v>
      </c>
      <c r="I100" s="59">
        <v>44621</v>
      </c>
      <c r="J100" s="60">
        <f>EFEITO!$J$100*EFEITO!$Y$100</f>
        <v>0</v>
      </c>
      <c r="K100" s="60">
        <f ca="1">EFEITO!$L$100*EFEITO!$Z$100</f>
        <v>-417964.35679780273</v>
      </c>
      <c r="L100" s="60">
        <f>EFEITO!$N$100*EFEITO!$AA$100</f>
        <v>0</v>
      </c>
      <c r="M100" s="60">
        <f>$J$100-EFEITO!$K$100*EFEITO!$Y$100</f>
        <v>0</v>
      </c>
      <c r="N100" s="60">
        <f ca="1">$K$100-EFEITO!$M$100*EFEITO!$Z$100</f>
        <v>0</v>
      </c>
      <c r="O100" s="60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1" t="s">
        <v>21</v>
      </c>
      <c r="B101" s="51" t="s">
        <v>39</v>
      </c>
      <c r="C101" s="51" t="s">
        <v>40</v>
      </c>
      <c r="D101" s="51" t="s">
        <v>38</v>
      </c>
      <c r="E101" s="51" t="s">
        <v>25</v>
      </c>
      <c r="F101" s="51" t="s">
        <v>25</v>
      </c>
      <c r="G101" s="51" t="s">
        <v>25</v>
      </c>
      <c r="H101" s="51" t="s">
        <v>34</v>
      </c>
      <c r="I101" s="59">
        <v>44287</v>
      </c>
      <c r="J101" s="60">
        <f ca="1">EFEITO!$J$101*EFEITO!$Y$101</f>
        <v>196576.24051570453</v>
      </c>
      <c r="K101" s="60">
        <f ca="1">EFEITO!$L$101*EFEITO!$Z$101</f>
        <v>13489.98955546473</v>
      </c>
      <c r="L101" s="60">
        <f>EFEITO!$N$101*EFEITO!$AA$101</f>
        <v>106152.92714712721</v>
      </c>
      <c r="M101" s="60">
        <f ca="1">$J$101-EFEITO!$K$101*EFEITO!$Y$101</f>
        <v>0</v>
      </c>
      <c r="N101" s="60">
        <f ca="1">$K$101-EFEITO!$M$101*EFEITO!$Z$101</f>
        <v>0</v>
      </c>
      <c r="O101" s="60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1" t="s">
        <v>21</v>
      </c>
      <c r="B102" s="51" t="s">
        <v>39</v>
      </c>
      <c r="C102" s="51" t="s">
        <v>40</v>
      </c>
      <c r="D102" s="51" t="s">
        <v>38</v>
      </c>
      <c r="E102" s="51" t="s">
        <v>25</v>
      </c>
      <c r="F102" s="51" t="s">
        <v>25</v>
      </c>
      <c r="G102" s="51" t="s">
        <v>25</v>
      </c>
      <c r="H102" s="51" t="s">
        <v>34</v>
      </c>
      <c r="I102" s="59">
        <v>44287</v>
      </c>
      <c r="J102" s="60">
        <f ca="1">EFEITO!$J$102*EFEITO!$Y$102</f>
        <v>1015466.3619882027</v>
      </c>
      <c r="K102" s="60">
        <f ca="1">EFEITO!$L$102*EFEITO!$Z$102</f>
        <v>0</v>
      </c>
      <c r="L102" s="60">
        <f>EFEITO!$N$102*EFEITO!$AA$102</f>
        <v>0</v>
      </c>
      <c r="M102" s="60">
        <f ca="1">$J$102-EFEITO!$K$102*EFEITO!$Y$102</f>
        <v>0</v>
      </c>
      <c r="N102" s="60">
        <f ca="1">$K$102-EFEITO!$M$102*EFEITO!$Z$102</f>
        <v>0</v>
      </c>
      <c r="O102" s="60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1" t="s">
        <v>21</v>
      </c>
      <c r="B103" s="51" t="s">
        <v>39</v>
      </c>
      <c r="C103" s="51" t="s">
        <v>40</v>
      </c>
      <c r="D103" s="51" t="s">
        <v>38</v>
      </c>
      <c r="E103" s="51" t="s">
        <v>25</v>
      </c>
      <c r="F103" s="51" t="s">
        <v>25</v>
      </c>
      <c r="G103" s="51" t="s">
        <v>25</v>
      </c>
      <c r="H103" s="51" t="s">
        <v>34</v>
      </c>
      <c r="I103" s="59">
        <v>44317</v>
      </c>
      <c r="J103" s="60">
        <f ca="1">EFEITO!$J$103*EFEITO!$Y$103</f>
        <v>202247.31152835075</v>
      </c>
      <c r="K103" s="60">
        <f ca="1">EFEITO!$L$103*EFEITO!$Z$103</f>
        <v>14204.95601541121</v>
      </c>
      <c r="L103" s="60">
        <f>EFEITO!$N$103*EFEITO!$AA$103</f>
        <v>111779.00878516622</v>
      </c>
      <c r="M103" s="60">
        <f ca="1">$J$103-EFEITO!$K$103*EFEITO!$Y$103</f>
        <v>0</v>
      </c>
      <c r="N103" s="60">
        <f ca="1">$K$103-EFEITO!$M$103*EFEITO!$Z$103</f>
        <v>0</v>
      </c>
      <c r="O103" s="60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1" t="s">
        <v>21</v>
      </c>
      <c r="B104" s="51" t="s">
        <v>39</v>
      </c>
      <c r="C104" s="51" t="s">
        <v>40</v>
      </c>
      <c r="D104" s="51" t="s">
        <v>38</v>
      </c>
      <c r="E104" s="51" t="s">
        <v>25</v>
      </c>
      <c r="F104" s="51" t="s">
        <v>25</v>
      </c>
      <c r="G104" s="51" t="s">
        <v>25</v>
      </c>
      <c r="H104" s="51" t="s">
        <v>34</v>
      </c>
      <c r="I104" s="59">
        <v>44317</v>
      </c>
      <c r="J104" s="60">
        <f ca="1">EFEITO!$J$104*EFEITO!$Y$104</f>
        <v>975549.54171134462</v>
      </c>
      <c r="K104" s="60">
        <f ca="1">EFEITO!$L$104*EFEITO!$Z$104</f>
        <v>0</v>
      </c>
      <c r="L104" s="60">
        <f>EFEITO!$N$104*EFEITO!$AA$104</f>
        <v>0</v>
      </c>
      <c r="M104" s="60">
        <f ca="1">$J$104-EFEITO!$K$104*EFEITO!$Y$104</f>
        <v>0</v>
      </c>
      <c r="N104" s="60">
        <f ca="1">$K$104-EFEITO!$M$104*EFEITO!$Z$104</f>
        <v>0</v>
      </c>
      <c r="O104" s="60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1" t="s">
        <v>21</v>
      </c>
      <c r="B105" s="51" t="s">
        <v>39</v>
      </c>
      <c r="C105" s="51" t="s">
        <v>40</v>
      </c>
      <c r="D105" s="51" t="s">
        <v>38</v>
      </c>
      <c r="E105" s="51" t="s">
        <v>25</v>
      </c>
      <c r="F105" s="51" t="s">
        <v>25</v>
      </c>
      <c r="G105" s="51" t="s">
        <v>25</v>
      </c>
      <c r="H105" s="51" t="s">
        <v>34</v>
      </c>
      <c r="I105" s="59">
        <v>44348</v>
      </c>
      <c r="J105" s="60">
        <f ca="1">EFEITO!$J$105*EFEITO!$Y$105</f>
        <v>198017.50718190192</v>
      </c>
      <c r="K105" s="60">
        <f ca="1">EFEITO!$L$105*EFEITO!$Z$105</f>
        <v>14214.191171149867</v>
      </c>
      <c r="L105" s="60">
        <f>EFEITO!$N$105*EFEITO!$AA$105</f>
        <v>111851.68036213724</v>
      </c>
      <c r="M105" s="60">
        <f ca="1">$J$105-EFEITO!$K$105*EFEITO!$Y$105</f>
        <v>0</v>
      </c>
      <c r="N105" s="60">
        <f ca="1">$K$105-EFEITO!$M$105*EFEITO!$Z$105</f>
        <v>0</v>
      </c>
      <c r="O105" s="60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1" t="s">
        <v>21</v>
      </c>
      <c r="B106" s="51" t="s">
        <v>39</v>
      </c>
      <c r="C106" s="51" t="s">
        <v>40</v>
      </c>
      <c r="D106" s="51" t="s">
        <v>38</v>
      </c>
      <c r="E106" s="51" t="s">
        <v>25</v>
      </c>
      <c r="F106" s="51" t="s">
        <v>25</v>
      </c>
      <c r="G106" s="51" t="s">
        <v>25</v>
      </c>
      <c r="H106" s="51" t="s">
        <v>34</v>
      </c>
      <c r="I106" s="59">
        <v>44348</v>
      </c>
      <c r="J106" s="60">
        <f ca="1">EFEITO!$J$106*EFEITO!$Y$106</f>
        <v>976552.16200087324</v>
      </c>
      <c r="K106" s="60">
        <f ca="1">EFEITO!$L$106*EFEITO!$Z$106</f>
        <v>0</v>
      </c>
      <c r="L106" s="60">
        <f>EFEITO!$N$106*EFEITO!$AA$106</f>
        <v>0</v>
      </c>
      <c r="M106" s="60">
        <f ca="1">$J$106-EFEITO!$K$106*EFEITO!$Y$106</f>
        <v>0</v>
      </c>
      <c r="N106" s="60">
        <f ca="1">$K$106-EFEITO!$M$106*EFEITO!$Z$106</f>
        <v>0</v>
      </c>
      <c r="O106" s="60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1" t="s">
        <v>21</v>
      </c>
      <c r="B107" s="51" t="s">
        <v>39</v>
      </c>
      <c r="C107" s="51" t="s">
        <v>40</v>
      </c>
      <c r="D107" s="51" t="s">
        <v>38</v>
      </c>
      <c r="E107" s="51" t="s">
        <v>25</v>
      </c>
      <c r="F107" s="51" t="s">
        <v>25</v>
      </c>
      <c r="G107" s="51" t="s">
        <v>25</v>
      </c>
      <c r="H107" s="51" t="s">
        <v>34</v>
      </c>
      <c r="I107" s="59">
        <v>44378</v>
      </c>
      <c r="J107" s="60">
        <f ca="1">EFEITO!$J$107*EFEITO!$Y$107</f>
        <v>197390.86950094652</v>
      </c>
      <c r="K107" s="60">
        <f ca="1">EFEITO!$L$107*EFEITO!$Z$107</f>
        <v>13883.747190690057</v>
      </c>
      <c r="L107" s="60">
        <f>EFEITO!$N$107*EFEITO!$AA$107</f>
        <v>109251.41179708508</v>
      </c>
      <c r="M107" s="60">
        <f ca="1">$J$107-EFEITO!$K$107*EFEITO!$Y$107</f>
        <v>0</v>
      </c>
      <c r="N107" s="60">
        <f ca="1">$K$107-EFEITO!$M$107*EFEITO!$Z$107</f>
        <v>0</v>
      </c>
      <c r="O107" s="60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1" t="s">
        <v>21</v>
      </c>
      <c r="B108" s="51" t="s">
        <v>39</v>
      </c>
      <c r="C108" s="51" t="s">
        <v>40</v>
      </c>
      <c r="D108" s="51" t="s">
        <v>38</v>
      </c>
      <c r="E108" s="51" t="s">
        <v>25</v>
      </c>
      <c r="F108" s="51" t="s">
        <v>25</v>
      </c>
      <c r="G108" s="51" t="s">
        <v>25</v>
      </c>
      <c r="H108" s="51" t="s">
        <v>34</v>
      </c>
      <c r="I108" s="59">
        <v>44378</v>
      </c>
      <c r="J108" s="60">
        <f ca="1">EFEITO!$J$108*EFEITO!$Y$108</f>
        <v>974296.2663494338</v>
      </c>
      <c r="K108" s="60">
        <f ca="1">EFEITO!$L$108*EFEITO!$Z$108</f>
        <v>0</v>
      </c>
      <c r="L108" s="60">
        <f>EFEITO!$N$108*EFEITO!$AA$108</f>
        <v>0</v>
      </c>
      <c r="M108" s="60">
        <f ca="1">$J$108-EFEITO!$K$108*EFEITO!$Y$108</f>
        <v>0</v>
      </c>
      <c r="N108" s="60">
        <f ca="1">$K$108-EFEITO!$M$108*EFEITO!$Z$108</f>
        <v>0</v>
      </c>
      <c r="O108" s="60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1" t="s">
        <v>21</v>
      </c>
      <c r="B109" s="51" t="s">
        <v>39</v>
      </c>
      <c r="C109" s="51" t="s">
        <v>40</v>
      </c>
      <c r="D109" s="51" t="s">
        <v>38</v>
      </c>
      <c r="E109" s="51" t="s">
        <v>25</v>
      </c>
      <c r="F109" s="51" t="s">
        <v>25</v>
      </c>
      <c r="G109" s="51" t="s">
        <v>25</v>
      </c>
      <c r="H109" s="51" t="s">
        <v>34</v>
      </c>
      <c r="I109" s="59">
        <v>44409</v>
      </c>
      <c r="J109" s="60">
        <f ca="1">EFEITO!$J$109*EFEITO!$Y$109</f>
        <v>210550.26080100963</v>
      </c>
      <c r="K109" s="60">
        <f ca="1">EFEITO!$L$109*EFEITO!$Z$109</f>
        <v>14464.643081256432</v>
      </c>
      <c r="L109" s="60">
        <f>EFEITO!$N$109*EFEITO!$AA$109</f>
        <v>113822.49014357483</v>
      </c>
      <c r="M109" s="60">
        <f ca="1">$J$109-EFEITO!$K$109*EFEITO!$Y$109</f>
        <v>0</v>
      </c>
      <c r="N109" s="60">
        <f ca="1">$K$109-EFEITO!$M$109*EFEITO!$Z$109</f>
        <v>0</v>
      </c>
      <c r="O109" s="60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1" t="s">
        <v>21</v>
      </c>
      <c r="B110" s="51" t="s">
        <v>39</v>
      </c>
      <c r="C110" s="51" t="s">
        <v>40</v>
      </c>
      <c r="D110" s="51" t="s">
        <v>38</v>
      </c>
      <c r="E110" s="51" t="s">
        <v>25</v>
      </c>
      <c r="F110" s="51" t="s">
        <v>25</v>
      </c>
      <c r="G110" s="51" t="s">
        <v>25</v>
      </c>
      <c r="H110" s="51" t="s">
        <v>34</v>
      </c>
      <c r="I110" s="59">
        <v>44409</v>
      </c>
      <c r="J110" s="60">
        <f ca="1">EFEITO!$J$110*EFEITO!$Y$110</f>
        <v>973794.95620466955</v>
      </c>
      <c r="K110" s="60">
        <f ca="1">EFEITO!$L$110*EFEITO!$Z$110</f>
        <v>0</v>
      </c>
      <c r="L110" s="60">
        <f>EFEITO!$N$110*EFEITO!$AA$110</f>
        <v>0</v>
      </c>
      <c r="M110" s="60">
        <f ca="1">$J$110-EFEITO!$K$110*EFEITO!$Y$110</f>
        <v>0</v>
      </c>
      <c r="N110" s="60">
        <f ca="1">$K$110-EFEITO!$M$110*EFEITO!$Z$110</f>
        <v>0</v>
      </c>
      <c r="O110" s="60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1" t="s">
        <v>21</v>
      </c>
      <c r="B111" s="51" t="s">
        <v>39</v>
      </c>
      <c r="C111" s="51" t="s">
        <v>40</v>
      </c>
      <c r="D111" s="51" t="s">
        <v>38</v>
      </c>
      <c r="E111" s="51" t="s">
        <v>25</v>
      </c>
      <c r="F111" s="51" t="s">
        <v>25</v>
      </c>
      <c r="G111" s="51" t="s">
        <v>25</v>
      </c>
      <c r="H111" s="51" t="s">
        <v>34</v>
      </c>
      <c r="I111" s="59">
        <v>44440</v>
      </c>
      <c r="J111" s="60">
        <f ca="1">EFEITO!$J$111*EFEITO!$Y$111</f>
        <v>199239.4506597649</v>
      </c>
      <c r="K111" s="60">
        <f ca="1">EFEITO!$L$111*EFEITO!$Z$111</f>
        <v>13054.421016148963</v>
      </c>
      <c r="L111" s="60">
        <f>EFEITO!$N$111*EFEITO!$AA$111</f>
        <v>102725.43187506178</v>
      </c>
      <c r="M111" s="60">
        <f ca="1">$J$111-EFEITO!$K$111*EFEITO!$Y$111</f>
        <v>0</v>
      </c>
      <c r="N111" s="60">
        <f ca="1">$K$111-EFEITO!$M$111*EFEITO!$Z$111</f>
        <v>0</v>
      </c>
      <c r="O111" s="60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1" t="s">
        <v>21</v>
      </c>
      <c r="B112" s="51" t="s">
        <v>39</v>
      </c>
      <c r="C112" s="51" t="s">
        <v>40</v>
      </c>
      <c r="D112" s="51" t="s">
        <v>38</v>
      </c>
      <c r="E112" s="51" t="s">
        <v>25</v>
      </c>
      <c r="F112" s="51" t="s">
        <v>25</v>
      </c>
      <c r="G112" s="51" t="s">
        <v>25</v>
      </c>
      <c r="H112" s="51" t="s">
        <v>34</v>
      </c>
      <c r="I112" s="59">
        <v>44440</v>
      </c>
      <c r="J112" s="60">
        <f ca="1">EFEITO!$J$112*EFEITO!$Y$112</f>
        <v>975048.23156658025</v>
      </c>
      <c r="K112" s="60">
        <f ca="1">EFEITO!$L$112*EFEITO!$Z$112</f>
        <v>0</v>
      </c>
      <c r="L112" s="60">
        <f>EFEITO!$N$112*EFEITO!$AA$112</f>
        <v>0</v>
      </c>
      <c r="M112" s="60">
        <f ca="1">$J$112-EFEITO!$K$112*EFEITO!$Y$112</f>
        <v>0</v>
      </c>
      <c r="N112" s="60">
        <f ca="1">$K$112-EFEITO!$M$112*EFEITO!$Z$112</f>
        <v>0</v>
      </c>
      <c r="O112" s="60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1" t="s">
        <v>21</v>
      </c>
      <c r="B113" s="51" t="s">
        <v>39</v>
      </c>
      <c r="C113" s="51" t="s">
        <v>40</v>
      </c>
      <c r="D113" s="51" t="s">
        <v>38</v>
      </c>
      <c r="E113" s="51" t="s">
        <v>25</v>
      </c>
      <c r="F113" s="51" t="s">
        <v>25</v>
      </c>
      <c r="G113" s="51" t="s">
        <v>25</v>
      </c>
      <c r="H113" s="51" t="s">
        <v>34</v>
      </c>
      <c r="I113" s="59">
        <v>44470</v>
      </c>
      <c r="J113" s="60">
        <f ca="1">EFEITO!$J$113*EFEITO!$Y$113</f>
        <v>201495.34631120431</v>
      </c>
      <c r="K113" s="60">
        <f ca="1">EFEITO!$L$113*EFEITO!$Z$113</f>
        <v>12953.707277944304</v>
      </c>
      <c r="L113" s="60">
        <f>EFEITO!$N$113*EFEITO!$AA$113</f>
        <v>101932.9139809302</v>
      </c>
      <c r="M113" s="60">
        <f ca="1">$J$113-EFEITO!$K$113*EFEITO!$Y$113</f>
        <v>0</v>
      </c>
      <c r="N113" s="60">
        <f ca="1">$K$113-EFEITO!$M$113*EFEITO!$Z$113</f>
        <v>0</v>
      </c>
      <c r="O113" s="60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1" t="s">
        <v>21</v>
      </c>
      <c r="B114" s="51" t="s">
        <v>39</v>
      </c>
      <c r="C114" s="51" t="s">
        <v>40</v>
      </c>
      <c r="D114" s="51" t="s">
        <v>38</v>
      </c>
      <c r="E114" s="51" t="s">
        <v>25</v>
      </c>
      <c r="F114" s="51" t="s">
        <v>25</v>
      </c>
      <c r="G114" s="51" t="s">
        <v>25</v>
      </c>
      <c r="H114" s="51" t="s">
        <v>34</v>
      </c>
      <c r="I114" s="59">
        <v>44470</v>
      </c>
      <c r="J114" s="60">
        <f ca="1">EFEITO!$J$114*EFEITO!$Y$114</f>
        <v>974170.93881324271</v>
      </c>
      <c r="K114" s="60">
        <f ca="1">EFEITO!$L$114*EFEITO!$Z$114</f>
        <v>0</v>
      </c>
      <c r="L114" s="60">
        <f>EFEITO!$N$114*EFEITO!$AA$114</f>
        <v>0</v>
      </c>
      <c r="M114" s="60">
        <f ca="1">$J$114-EFEITO!$K$114*EFEITO!$Y$114</f>
        <v>0</v>
      </c>
      <c r="N114" s="60">
        <f ca="1">$K$114-EFEITO!$M$114*EFEITO!$Z$114</f>
        <v>0</v>
      </c>
      <c r="O114" s="60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1" t="s">
        <v>21</v>
      </c>
      <c r="B115" s="51" t="s">
        <v>39</v>
      </c>
      <c r="C115" s="51" t="s">
        <v>40</v>
      </c>
      <c r="D115" s="51" t="s">
        <v>38</v>
      </c>
      <c r="E115" s="51" t="s">
        <v>25</v>
      </c>
      <c r="F115" s="51" t="s">
        <v>25</v>
      </c>
      <c r="G115" s="51" t="s">
        <v>25</v>
      </c>
      <c r="H115" s="51" t="s">
        <v>34</v>
      </c>
      <c r="I115" s="59">
        <v>44501</v>
      </c>
      <c r="J115" s="60">
        <f ca="1">EFEITO!$J$115*EFEITO!$Y$115</f>
        <v>204221.22022336023</v>
      </c>
      <c r="K115" s="60">
        <f ca="1">EFEITO!$L$115*EFEITO!$Z$115</f>
        <v>12082.708037458124</v>
      </c>
      <c r="L115" s="60">
        <f>EFEITO!$N$115*EFEITO!$AA$115</f>
        <v>95079.008087201932</v>
      </c>
      <c r="M115" s="60">
        <f ca="1">$J$115-EFEITO!$K$115*EFEITO!$Y$115</f>
        <v>0</v>
      </c>
      <c r="N115" s="60">
        <f ca="1">$K$115-EFEITO!$M$115*EFEITO!$Z$115</f>
        <v>0</v>
      </c>
      <c r="O115" s="60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1" t="s">
        <v>21</v>
      </c>
      <c r="B116" s="51" t="s">
        <v>39</v>
      </c>
      <c r="C116" s="51" t="s">
        <v>40</v>
      </c>
      <c r="D116" s="51" t="s">
        <v>38</v>
      </c>
      <c r="E116" s="51" t="s">
        <v>25</v>
      </c>
      <c r="F116" s="51" t="s">
        <v>25</v>
      </c>
      <c r="G116" s="51" t="s">
        <v>25</v>
      </c>
      <c r="H116" s="51" t="s">
        <v>34</v>
      </c>
      <c r="I116" s="59">
        <v>44501</v>
      </c>
      <c r="J116" s="60">
        <f ca="1">EFEITO!$J$116*EFEITO!$Y$116</f>
        <v>852477.90117170685</v>
      </c>
      <c r="K116" s="60">
        <f ca="1">EFEITO!$L$116*EFEITO!$Z$116</f>
        <v>0</v>
      </c>
      <c r="L116" s="60">
        <f>EFEITO!$N$116*EFEITO!$AA$116</f>
        <v>0</v>
      </c>
      <c r="M116" s="60">
        <f ca="1">$J$116-EFEITO!$K$116*EFEITO!$Y$116</f>
        <v>0</v>
      </c>
      <c r="N116" s="60">
        <f ca="1">$K$116-EFEITO!$M$116*EFEITO!$Z$116</f>
        <v>0</v>
      </c>
      <c r="O116" s="60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1" t="s">
        <v>21</v>
      </c>
      <c r="B117" s="51" t="s">
        <v>39</v>
      </c>
      <c r="C117" s="51" t="s">
        <v>40</v>
      </c>
      <c r="D117" s="51" t="s">
        <v>38</v>
      </c>
      <c r="E117" s="51" t="s">
        <v>25</v>
      </c>
      <c r="F117" s="51" t="s">
        <v>25</v>
      </c>
      <c r="G117" s="51" t="s">
        <v>25</v>
      </c>
      <c r="H117" s="51" t="s">
        <v>34</v>
      </c>
      <c r="I117" s="59">
        <v>44531</v>
      </c>
      <c r="J117" s="60">
        <f ca="1">EFEITO!$J$117*EFEITO!$Y$117</f>
        <v>205129.84486074554</v>
      </c>
      <c r="K117" s="60">
        <f ca="1">EFEITO!$L$117*EFEITO!$Z$117</f>
        <v>12710.652681638352</v>
      </c>
      <c r="L117" s="60">
        <f>EFEITO!$N$117*EFEITO!$AA$117</f>
        <v>100020.31377109622</v>
      </c>
      <c r="M117" s="60">
        <f ca="1">$J$117-EFEITO!$K$117*EFEITO!$Y$117</f>
        <v>0</v>
      </c>
      <c r="N117" s="60">
        <f ca="1">$K$117-EFEITO!$M$117*EFEITO!$Z$117</f>
        <v>0</v>
      </c>
      <c r="O117" s="60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1" t="s">
        <v>21</v>
      </c>
      <c r="B118" s="51" t="s">
        <v>39</v>
      </c>
      <c r="C118" s="51" t="s">
        <v>40</v>
      </c>
      <c r="D118" s="51" t="s">
        <v>38</v>
      </c>
      <c r="E118" s="51" t="s">
        <v>25</v>
      </c>
      <c r="F118" s="51" t="s">
        <v>25</v>
      </c>
      <c r="G118" s="51" t="s">
        <v>25</v>
      </c>
      <c r="H118" s="51" t="s">
        <v>34</v>
      </c>
      <c r="I118" s="59">
        <v>44531</v>
      </c>
      <c r="J118" s="60">
        <f ca="1">EFEITO!$J$118*EFEITO!$Y$118</f>
        <v>852227.24609932466</v>
      </c>
      <c r="K118" s="60">
        <f ca="1">EFEITO!$L$118*EFEITO!$Z$118</f>
        <v>0</v>
      </c>
      <c r="L118" s="60">
        <f>EFEITO!$N$118*EFEITO!$AA$118</f>
        <v>0</v>
      </c>
      <c r="M118" s="60">
        <f ca="1">$J$118-EFEITO!$K$118*EFEITO!$Y$118</f>
        <v>0</v>
      </c>
      <c r="N118" s="60">
        <f ca="1">$K$118-EFEITO!$M$118*EFEITO!$Z$118</f>
        <v>0</v>
      </c>
      <c r="O118" s="60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1" t="s">
        <v>21</v>
      </c>
      <c r="B119" s="51" t="s">
        <v>39</v>
      </c>
      <c r="C119" s="51" t="s">
        <v>40</v>
      </c>
      <c r="D119" s="51" t="s">
        <v>38</v>
      </c>
      <c r="E119" s="51" t="s">
        <v>25</v>
      </c>
      <c r="F119" s="51" t="s">
        <v>25</v>
      </c>
      <c r="G119" s="51" t="s">
        <v>25</v>
      </c>
      <c r="H119" s="51" t="s">
        <v>34</v>
      </c>
      <c r="I119" s="59">
        <v>44562</v>
      </c>
      <c r="J119" s="60">
        <f ca="1">EFEITO!$J$119*EFEITO!$Y$119</f>
        <v>202027.98834001637</v>
      </c>
      <c r="K119" s="60">
        <f ca="1">EFEITO!$L$119*EFEITO!$Z$119</f>
        <v>12138.808162616831</v>
      </c>
      <c r="L119" s="60">
        <f>EFEITO!$N$119*EFEITO!$AA$119</f>
        <v>95520.460801040739</v>
      </c>
      <c r="M119" s="60">
        <f ca="1">$J$119-EFEITO!$K$119*EFEITO!$Y$119</f>
        <v>0</v>
      </c>
      <c r="N119" s="60">
        <f ca="1">$K$119-EFEITO!$M$119*EFEITO!$Z$119</f>
        <v>0</v>
      </c>
      <c r="O119" s="60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1" t="s">
        <v>21</v>
      </c>
      <c r="B120" s="51" t="s">
        <v>39</v>
      </c>
      <c r="C120" s="51" t="s">
        <v>40</v>
      </c>
      <c r="D120" s="51" t="s">
        <v>38</v>
      </c>
      <c r="E120" s="51" t="s">
        <v>25</v>
      </c>
      <c r="F120" s="51" t="s">
        <v>25</v>
      </c>
      <c r="G120" s="51" t="s">
        <v>25</v>
      </c>
      <c r="H120" s="51" t="s">
        <v>34</v>
      </c>
      <c r="I120" s="59">
        <v>44562</v>
      </c>
      <c r="J120" s="60">
        <f ca="1">EFEITO!$J$120*EFEITO!$Y$120</f>
        <v>974390.26200157718</v>
      </c>
      <c r="K120" s="60">
        <f ca="1">EFEITO!$L$120*EFEITO!$Z$120</f>
        <v>0</v>
      </c>
      <c r="L120" s="60">
        <f>EFEITO!$N$120*EFEITO!$AA$120</f>
        <v>0</v>
      </c>
      <c r="M120" s="60">
        <f ca="1">$J$120-EFEITO!$K$120*EFEITO!$Y$120</f>
        <v>0</v>
      </c>
      <c r="N120" s="60">
        <f ca="1">$K$120-EFEITO!$M$120*EFEITO!$Z$120</f>
        <v>0</v>
      </c>
      <c r="O120" s="60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1" t="s">
        <v>21</v>
      </c>
      <c r="B121" s="51" t="s">
        <v>39</v>
      </c>
      <c r="C121" s="51" t="s">
        <v>40</v>
      </c>
      <c r="D121" s="51" t="s">
        <v>38</v>
      </c>
      <c r="E121" s="51" t="s">
        <v>25</v>
      </c>
      <c r="F121" s="51" t="s">
        <v>25</v>
      </c>
      <c r="G121" s="51" t="s">
        <v>25</v>
      </c>
      <c r="H121" s="51" t="s">
        <v>34</v>
      </c>
      <c r="I121" s="59">
        <v>44593</v>
      </c>
      <c r="J121" s="60">
        <f ca="1">EFEITO!$J$121*EFEITO!$Y$121</f>
        <v>195197.63761760268</v>
      </c>
      <c r="K121" s="60">
        <f ca="1">EFEITO!$L$121*EFEITO!$Z$121</f>
        <v>11743.12079335656</v>
      </c>
      <c r="L121" s="60">
        <f>EFEITO!$N$121*EFEITO!$AA$121</f>
        <v>92406.791045447142</v>
      </c>
      <c r="M121" s="60">
        <f ca="1">$J$121-EFEITO!$K$121*EFEITO!$Y$121</f>
        <v>0</v>
      </c>
      <c r="N121" s="60">
        <f ca="1">$K$121-EFEITO!$M$121*EFEITO!$Z$121</f>
        <v>0</v>
      </c>
      <c r="O121" s="60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1" t="s">
        <v>21</v>
      </c>
      <c r="B122" s="51" t="s">
        <v>39</v>
      </c>
      <c r="C122" s="51" t="s">
        <v>40</v>
      </c>
      <c r="D122" s="51" t="s">
        <v>38</v>
      </c>
      <c r="E122" s="51" t="s">
        <v>25</v>
      </c>
      <c r="F122" s="51" t="s">
        <v>25</v>
      </c>
      <c r="G122" s="51" t="s">
        <v>25</v>
      </c>
      <c r="H122" s="51" t="s">
        <v>34</v>
      </c>
      <c r="I122" s="59">
        <v>44593</v>
      </c>
      <c r="J122" s="60">
        <f ca="1">EFEITO!$J$122*EFEITO!$Y$122</f>
        <v>852227.24609932466</v>
      </c>
      <c r="K122" s="60">
        <f ca="1">EFEITO!$L$122*EFEITO!$Z$122</f>
        <v>0</v>
      </c>
      <c r="L122" s="60">
        <f>EFEITO!$N$122*EFEITO!$AA$122</f>
        <v>0</v>
      </c>
      <c r="M122" s="60">
        <f ca="1">$J$122-EFEITO!$K$122*EFEITO!$Y$122</f>
        <v>0</v>
      </c>
      <c r="N122" s="60">
        <f ca="1">$K$122-EFEITO!$M$122*EFEITO!$Z$122</f>
        <v>0</v>
      </c>
      <c r="O122" s="60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1" t="s">
        <v>56</v>
      </c>
      <c r="B123" s="51" t="s">
        <v>39</v>
      </c>
      <c r="C123" s="51" t="s">
        <v>40</v>
      </c>
      <c r="D123" s="51" t="s">
        <v>38</v>
      </c>
      <c r="E123" s="51" t="s">
        <v>25</v>
      </c>
      <c r="F123" s="51" t="s">
        <v>25</v>
      </c>
      <c r="G123" s="51" t="s">
        <v>25</v>
      </c>
      <c r="H123" s="51" t="s">
        <v>34</v>
      </c>
      <c r="I123" s="59">
        <v>44621</v>
      </c>
      <c r="J123" s="60">
        <f ca="1">EFEITO!$J$123*EFEITO!$Y$123</f>
        <v>195197.63761760268</v>
      </c>
      <c r="K123" s="60">
        <f ca="1">EFEITO!$L$123*EFEITO!$Z$123</f>
        <v>11743.12079335656</v>
      </c>
      <c r="L123" s="60">
        <f>EFEITO!$N$123*EFEITO!$AA$123</f>
        <v>92406.791045447142</v>
      </c>
      <c r="M123" s="60">
        <f ca="1">$J$123-EFEITO!$K$123*EFEITO!$Y$123</f>
        <v>0</v>
      </c>
      <c r="N123" s="60">
        <f ca="1">$K$123-EFEITO!$M$123*EFEITO!$Z$123</f>
        <v>0</v>
      </c>
      <c r="O123" s="60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1" t="s">
        <v>56</v>
      </c>
      <c r="B124" s="51" t="s">
        <v>39</v>
      </c>
      <c r="C124" s="51" t="s">
        <v>40</v>
      </c>
      <c r="D124" s="51" t="s">
        <v>38</v>
      </c>
      <c r="E124" s="51" t="s">
        <v>25</v>
      </c>
      <c r="F124" s="51" t="s">
        <v>25</v>
      </c>
      <c r="G124" s="51" t="s">
        <v>25</v>
      </c>
      <c r="H124" s="51" t="s">
        <v>34</v>
      </c>
      <c r="I124" s="59">
        <v>44621</v>
      </c>
      <c r="J124" s="60">
        <f ca="1">EFEITO!$J$124*EFEITO!$Y$124</f>
        <v>852227.24609932466</v>
      </c>
      <c r="K124" s="60">
        <f ca="1">EFEITO!$L$124*EFEITO!$Z$124</f>
        <v>0</v>
      </c>
      <c r="L124" s="60">
        <f>EFEITO!$N$124*EFEITO!$AA$124</f>
        <v>0</v>
      </c>
      <c r="M124" s="60">
        <f ca="1">$J$124-EFEITO!$K$124*EFEITO!$Y$124</f>
        <v>0</v>
      </c>
      <c r="N124" s="60">
        <f ca="1">$K$124-EFEITO!$M$124*EFEITO!$Z$124</f>
        <v>0</v>
      </c>
      <c r="O124" s="60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1" t="s">
        <v>21</v>
      </c>
      <c r="B125" s="51" t="s">
        <v>39</v>
      </c>
      <c r="C125" s="51" t="s">
        <v>40</v>
      </c>
      <c r="D125" s="51" t="s">
        <v>46</v>
      </c>
      <c r="E125" s="51" t="s">
        <v>25</v>
      </c>
      <c r="F125" s="51" t="s">
        <v>25</v>
      </c>
      <c r="G125" s="51" t="s">
        <v>25</v>
      </c>
      <c r="H125" s="51" t="s">
        <v>35</v>
      </c>
      <c r="I125" s="59">
        <v>44287</v>
      </c>
      <c r="J125" s="60">
        <f ca="1">EFEITO!$J$125*EFEITO!$Y$125</f>
        <v>38843.118260389449</v>
      </c>
      <c r="K125" s="60">
        <f ca="1">EFEITO!$L$125*EFEITO!$Z$125</f>
        <v>20583.82970606154</v>
      </c>
      <c r="L125" s="60">
        <f>EFEITO!$N$125*EFEITO!$AA$125</f>
        <v>99969.236917960268</v>
      </c>
      <c r="M125" s="60">
        <f ca="1">$J$125-EFEITO!$K$125*EFEITO!$Y$125</f>
        <v>0</v>
      </c>
      <c r="N125" s="60">
        <f ca="1">$K$125-EFEITO!$M$125*EFEITO!$Z$125</f>
        <v>0</v>
      </c>
      <c r="O125" s="60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1" t="s">
        <v>21</v>
      </c>
      <c r="B126" s="51" t="s">
        <v>39</v>
      </c>
      <c r="C126" s="51" t="s">
        <v>40</v>
      </c>
      <c r="D126" s="51" t="s">
        <v>46</v>
      </c>
      <c r="E126" s="51" t="s">
        <v>25</v>
      </c>
      <c r="F126" s="51" t="s">
        <v>25</v>
      </c>
      <c r="G126" s="51" t="s">
        <v>25</v>
      </c>
      <c r="H126" s="51" t="s">
        <v>35</v>
      </c>
      <c r="I126" s="59">
        <v>44317</v>
      </c>
      <c r="J126" s="60">
        <f ca="1">EFEITO!$J$126*EFEITO!$Y$126</f>
        <v>38843.118260389449</v>
      </c>
      <c r="K126" s="60">
        <f ca="1">EFEITO!$L$126*EFEITO!$Z$126</f>
        <v>19458.151519011299</v>
      </c>
      <c r="L126" s="60">
        <f>EFEITO!$N$126*EFEITO!$AA$126</f>
        <v>94502.169274009328</v>
      </c>
      <c r="M126" s="60">
        <f ca="1">$J$126-EFEITO!$K$126*EFEITO!$Y$126</f>
        <v>0</v>
      </c>
      <c r="N126" s="60">
        <f ca="1">$K$126-EFEITO!$M$126*EFEITO!$Z$126</f>
        <v>0</v>
      </c>
      <c r="O126" s="60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1" t="s">
        <v>21</v>
      </c>
      <c r="B127" s="51" t="s">
        <v>39</v>
      </c>
      <c r="C127" s="51" t="s">
        <v>40</v>
      </c>
      <c r="D127" s="51" t="s">
        <v>46</v>
      </c>
      <c r="E127" s="51" t="s">
        <v>25</v>
      </c>
      <c r="F127" s="51" t="s">
        <v>25</v>
      </c>
      <c r="G127" s="51" t="s">
        <v>25</v>
      </c>
      <c r="H127" s="51" t="s">
        <v>35</v>
      </c>
      <c r="I127" s="59">
        <v>44348</v>
      </c>
      <c r="J127" s="60">
        <f ca="1">EFEITO!$J$127*EFEITO!$Y$127</f>
        <v>38843.118260389449</v>
      </c>
      <c r="K127" s="60">
        <f ca="1">EFEITO!$L$127*EFEITO!$Z$127</f>
        <v>18493.284501539663</v>
      </c>
      <c r="L127" s="60">
        <f>EFEITO!$N$127*EFEITO!$AA$127</f>
        <v>89816.111293479931</v>
      </c>
      <c r="M127" s="60">
        <f ca="1">$J$127-EFEITO!$K$127*EFEITO!$Y$127</f>
        <v>0</v>
      </c>
      <c r="N127" s="60">
        <f ca="1">$K$127-EFEITO!$M$127*EFEITO!$Z$127</f>
        <v>0</v>
      </c>
      <c r="O127" s="60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1" t="s">
        <v>21</v>
      </c>
      <c r="B128" s="51" t="s">
        <v>39</v>
      </c>
      <c r="C128" s="51" t="s">
        <v>40</v>
      </c>
      <c r="D128" s="51" t="s">
        <v>46</v>
      </c>
      <c r="E128" s="51" t="s">
        <v>25</v>
      </c>
      <c r="F128" s="51" t="s">
        <v>25</v>
      </c>
      <c r="G128" s="51" t="s">
        <v>25</v>
      </c>
      <c r="H128" s="51" t="s">
        <v>35</v>
      </c>
      <c r="I128" s="59">
        <v>44378</v>
      </c>
      <c r="J128" s="60">
        <f ca="1">EFEITO!$J$128*EFEITO!$Y$128</f>
        <v>38843.118260389449</v>
      </c>
      <c r="K128" s="60">
        <f ca="1">EFEITO!$L$128*EFEITO!$Z$128</f>
        <v>18171.662162382454</v>
      </c>
      <c r="L128" s="60">
        <f>EFEITO!$N$128*EFEITO!$AA$128</f>
        <v>88254.091966636799</v>
      </c>
      <c r="M128" s="60">
        <f ca="1">$J$128-EFEITO!$K$128*EFEITO!$Y$128</f>
        <v>0</v>
      </c>
      <c r="N128" s="60">
        <f ca="1">$K$128-EFEITO!$M$128*EFEITO!$Z$128</f>
        <v>0</v>
      </c>
      <c r="O128" s="60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1" t="s">
        <v>21</v>
      </c>
      <c r="B129" s="51" t="s">
        <v>39</v>
      </c>
      <c r="C129" s="51" t="s">
        <v>40</v>
      </c>
      <c r="D129" s="51" t="s">
        <v>46</v>
      </c>
      <c r="E129" s="51" t="s">
        <v>25</v>
      </c>
      <c r="F129" s="51" t="s">
        <v>25</v>
      </c>
      <c r="G129" s="51" t="s">
        <v>25</v>
      </c>
      <c r="H129" s="51" t="s">
        <v>35</v>
      </c>
      <c r="I129" s="59">
        <v>44409</v>
      </c>
      <c r="J129" s="60">
        <f ca="1">EFEITO!$J$129*EFEITO!$Y$129</f>
        <v>38843.118260389449</v>
      </c>
      <c r="K129" s="60">
        <f ca="1">EFEITO!$L$129*EFEITO!$Z$129</f>
        <v>18493.284501539663</v>
      </c>
      <c r="L129" s="60">
        <f>EFEITO!$N$129*EFEITO!$AA$129</f>
        <v>89816.111293479931</v>
      </c>
      <c r="M129" s="60">
        <f ca="1">$J$129-EFEITO!$K$129*EFEITO!$Y$129</f>
        <v>0</v>
      </c>
      <c r="N129" s="60">
        <f ca="1">$K$129-EFEITO!$M$129*EFEITO!$Z$129</f>
        <v>0</v>
      </c>
      <c r="O129" s="60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1" t="s">
        <v>21</v>
      </c>
      <c r="B130" s="51" t="s">
        <v>39</v>
      </c>
      <c r="C130" s="51" t="s">
        <v>40</v>
      </c>
      <c r="D130" s="51" t="s">
        <v>46</v>
      </c>
      <c r="E130" s="51" t="s">
        <v>25</v>
      </c>
      <c r="F130" s="51" t="s">
        <v>25</v>
      </c>
      <c r="G130" s="51" t="s">
        <v>25</v>
      </c>
      <c r="H130" s="51" t="s">
        <v>35</v>
      </c>
      <c r="I130" s="59">
        <v>44440</v>
      </c>
      <c r="J130" s="60">
        <f ca="1">EFEITO!$J$130*EFEITO!$Y$130</f>
        <v>38843.118260389449</v>
      </c>
      <c r="K130" s="60">
        <f ca="1">EFEITO!$L$130*EFEITO!$Z$130</f>
        <v>18814.906840696876</v>
      </c>
      <c r="L130" s="60">
        <f>EFEITO!$N$130*EFEITO!$AA$130</f>
        <v>91378.130620323063</v>
      </c>
      <c r="M130" s="60">
        <f ca="1">$J$130-EFEITO!$K$130*EFEITO!$Y$130</f>
        <v>0</v>
      </c>
      <c r="N130" s="60">
        <f ca="1">$K$130-EFEITO!$M$130*EFEITO!$Z$130</f>
        <v>0</v>
      </c>
      <c r="O130" s="60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1" t="s">
        <v>21</v>
      </c>
      <c r="B131" s="51" t="s">
        <v>39</v>
      </c>
      <c r="C131" s="51" t="s">
        <v>40</v>
      </c>
      <c r="D131" s="51" t="s">
        <v>46</v>
      </c>
      <c r="E131" s="51" t="s">
        <v>25</v>
      </c>
      <c r="F131" s="51" t="s">
        <v>25</v>
      </c>
      <c r="G131" s="51" t="s">
        <v>25</v>
      </c>
      <c r="H131" s="51" t="s">
        <v>35</v>
      </c>
      <c r="I131" s="59">
        <v>44470</v>
      </c>
      <c r="J131" s="60">
        <f ca="1">EFEITO!$J$131*EFEITO!$Y$131</f>
        <v>38843.118260389449</v>
      </c>
      <c r="K131" s="60">
        <f ca="1">EFEITO!$L$131*EFEITO!$Z$131</f>
        <v>23478.430758476443</v>
      </c>
      <c r="L131" s="60">
        <f>EFEITO!$N$131*EFEITO!$AA$131</f>
        <v>114027.41085954844</v>
      </c>
      <c r="M131" s="60">
        <f ca="1">$J$131-EFEITO!$K$131*EFEITO!$Y$131</f>
        <v>0</v>
      </c>
      <c r="N131" s="60">
        <f ca="1">$K$131-EFEITO!$M$131*EFEITO!$Z$131</f>
        <v>0</v>
      </c>
      <c r="O131" s="60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1" t="s">
        <v>21</v>
      </c>
      <c r="B132" s="51" t="s">
        <v>39</v>
      </c>
      <c r="C132" s="51" t="s">
        <v>40</v>
      </c>
      <c r="D132" s="51" t="s">
        <v>46</v>
      </c>
      <c r="E132" s="51" t="s">
        <v>25</v>
      </c>
      <c r="F132" s="51" t="s">
        <v>25</v>
      </c>
      <c r="G132" s="51" t="s">
        <v>25</v>
      </c>
      <c r="H132" s="51" t="s">
        <v>35</v>
      </c>
      <c r="I132" s="59">
        <v>44501</v>
      </c>
      <c r="J132" s="60">
        <f ca="1">EFEITO!$J$132*EFEITO!$Y$132</f>
        <v>38843.118260389449</v>
      </c>
      <c r="K132" s="60">
        <f ca="1">EFEITO!$L$132*EFEITO!$Z$132</f>
        <v>24925.731284683894</v>
      </c>
      <c r="L132" s="60">
        <f>EFEITO!$N$132*EFEITO!$AA$132</f>
        <v>121056.49783034252</v>
      </c>
      <c r="M132" s="60">
        <f ca="1">$J$132-EFEITO!$K$132*EFEITO!$Y$132</f>
        <v>0</v>
      </c>
      <c r="N132" s="60">
        <f ca="1">$K$132-EFEITO!$M$132*EFEITO!$Z$132</f>
        <v>0</v>
      </c>
      <c r="O132" s="60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1" t="s">
        <v>21</v>
      </c>
      <c r="B133" s="51" t="s">
        <v>39</v>
      </c>
      <c r="C133" s="51" t="s">
        <v>40</v>
      </c>
      <c r="D133" s="51" t="s">
        <v>46</v>
      </c>
      <c r="E133" s="51" t="s">
        <v>25</v>
      </c>
      <c r="F133" s="51" t="s">
        <v>25</v>
      </c>
      <c r="G133" s="51" t="s">
        <v>25</v>
      </c>
      <c r="H133" s="51" t="s">
        <v>35</v>
      </c>
      <c r="I133" s="59">
        <v>44531</v>
      </c>
      <c r="J133" s="60">
        <f ca="1">EFEITO!$J$133*EFEITO!$Y$133</f>
        <v>38843.118260389449</v>
      </c>
      <c r="K133" s="60">
        <f ca="1">EFEITO!$L$133*EFEITO!$Z$133</f>
        <v>22995.997249740627</v>
      </c>
      <c r="L133" s="60">
        <f>EFEITO!$N$133*EFEITO!$AA$133</f>
        <v>111684.38186928374</v>
      </c>
      <c r="M133" s="60">
        <f ca="1">$J$133-EFEITO!$K$133*EFEITO!$Y$133</f>
        <v>0</v>
      </c>
      <c r="N133" s="60">
        <f ca="1">$K$133-EFEITO!$M$133*EFEITO!$Z$133</f>
        <v>0</v>
      </c>
      <c r="O133" s="60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1" t="s">
        <v>21</v>
      </c>
      <c r="B134" s="51" t="s">
        <v>39</v>
      </c>
      <c r="C134" s="51" t="s">
        <v>40</v>
      </c>
      <c r="D134" s="51" t="s">
        <v>46</v>
      </c>
      <c r="E134" s="51" t="s">
        <v>25</v>
      </c>
      <c r="F134" s="51" t="s">
        <v>25</v>
      </c>
      <c r="G134" s="51" t="s">
        <v>25</v>
      </c>
      <c r="H134" s="51" t="s">
        <v>34</v>
      </c>
      <c r="I134" s="59">
        <v>44287</v>
      </c>
      <c r="J134" s="60">
        <f ca="1">EFEITO!$J$134*EFEITO!$Y$134</f>
        <v>92429.057940919403</v>
      </c>
      <c r="K134" s="60">
        <f ca="1">EFEITO!$L$134*EFEITO!$Z$134</f>
        <v>2251.3563741004809</v>
      </c>
      <c r="L134" s="60">
        <f>EFEITO!$N$134*EFEITO!$AA$134</f>
        <v>17715.956575021653</v>
      </c>
      <c r="M134" s="60">
        <f ca="1">$J$134-EFEITO!$K$134*EFEITO!$Y$134</f>
        <v>0</v>
      </c>
      <c r="N134" s="60">
        <f ca="1">$K$134-EFEITO!$M$134*EFEITO!$Z$134</f>
        <v>0</v>
      </c>
      <c r="O134" s="60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1" t="s">
        <v>21</v>
      </c>
      <c r="B135" s="51" t="s">
        <v>39</v>
      </c>
      <c r="C135" s="51" t="s">
        <v>40</v>
      </c>
      <c r="D135" s="51" t="s">
        <v>46</v>
      </c>
      <c r="E135" s="51" t="s">
        <v>25</v>
      </c>
      <c r="F135" s="51" t="s">
        <v>25</v>
      </c>
      <c r="G135" s="51" t="s">
        <v>25</v>
      </c>
      <c r="H135" s="51" t="s">
        <v>34</v>
      </c>
      <c r="I135" s="59">
        <v>44317</v>
      </c>
      <c r="J135" s="60">
        <f ca="1">EFEITO!$J$135*EFEITO!$Y$135</f>
        <v>92429.057940919403</v>
      </c>
      <c r="K135" s="60">
        <f ca="1">EFEITO!$L$135*EFEITO!$Z$135</f>
        <v>2412.1675436790865</v>
      </c>
      <c r="L135" s="60">
        <f>EFEITO!$N$135*EFEITO!$AA$135</f>
        <v>18981.382044666057</v>
      </c>
      <c r="M135" s="60">
        <f ca="1">$J$135-EFEITO!$K$135*EFEITO!$Y$135</f>
        <v>0</v>
      </c>
      <c r="N135" s="60">
        <f ca="1">$K$135-EFEITO!$M$135*EFEITO!$Z$135</f>
        <v>0</v>
      </c>
      <c r="O135" s="60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1" t="s">
        <v>21</v>
      </c>
      <c r="B136" s="51" t="s">
        <v>39</v>
      </c>
      <c r="C136" s="51" t="s">
        <v>40</v>
      </c>
      <c r="D136" s="51" t="s">
        <v>46</v>
      </c>
      <c r="E136" s="51" t="s">
        <v>25</v>
      </c>
      <c r="F136" s="51" t="s">
        <v>25</v>
      </c>
      <c r="G136" s="51" t="s">
        <v>25</v>
      </c>
      <c r="H136" s="51" t="s">
        <v>34</v>
      </c>
      <c r="I136" s="59">
        <v>44348</v>
      </c>
      <c r="J136" s="60">
        <f ca="1">EFEITO!$J$136*EFEITO!$Y$136</f>
        <v>92429.057940919403</v>
      </c>
      <c r="K136" s="60">
        <f ca="1">EFEITO!$L$136*EFEITO!$Z$136</f>
        <v>2412.1675436790865</v>
      </c>
      <c r="L136" s="60">
        <f>EFEITO!$N$136*EFEITO!$AA$136</f>
        <v>18981.382044666057</v>
      </c>
      <c r="M136" s="60">
        <f ca="1">$J$136-EFEITO!$K$136*EFEITO!$Y$136</f>
        <v>0</v>
      </c>
      <c r="N136" s="60">
        <f ca="1">$K$136-EFEITO!$M$136*EFEITO!$Z$136</f>
        <v>0</v>
      </c>
      <c r="O136" s="60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1" t="s">
        <v>21</v>
      </c>
      <c r="B137" s="51" t="s">
        <v>39</v>
      </c>
      <c r="C137" s="51" t="s">
        <v>40</v>
      </c>
      <c r="D137" s="51" t="s">
        <v>46</v>
      </c>
      <c r="E137" s="51" t="s">
        <v>25</v>
      </c>
      <c r="F137" s="51" t="s">
        <v>25</v>
      </c>
      <c r="G137" s="51" t="s">
        <v>25</v>
      </c>
      <c r="H137" s="51" t="s">
        <v>34</v>
      </c>
      <c r="I137" s="59">
        <v>44378</v>
      </c>
      <c r="J137" s="60">
        <f ca="1">EFEITO!$J$137*EFEITO!$Y$137</f>
        <v>92429.057940919403</v>
      </c>
      <c r="K137" s="60">
        <f ca="1">EFEITO!$L$137*EFEITO!$Z$137</f>
        <v>2251.3563741004809</v>
      </c>
      <c r="L137" s="60">
        <f>EFEITO!$N$137*EFEITO!$AA$137</f>
        <v>17715.956575021653</v>
      </c>
      <c r="M137" s="60">
        <f ca="1">$J$137-EFEITO!$K$137*EFEITO!$Y$137</f>
        <v>0</v>
      </c>
      <c r="N137" s="60">
        <f ca="1">$K$137-EFEITO!$M$137*EFEITO!$Z$137</f>
        <v>0</v>
      </c>
      <c r="O137" s="60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1" t="s">
        <v>21</v>
      </c>
      <c r="B138" s="51" t="s">
        <v>39</v>
      </c>
      <c r="C138" s="51" t="s">
        <v>40</v>
      </c>
      <c r="D138" s="51" t="s">
        <v>46</v>
      </c>
      <c r="E138" s="51" t="s">
        <v>25</v>
      </c>
      <c r="F138" s="51" t="s">
        <v>25</v>
      </c>
      <c r="G138" s="51" t="s">
        <v>25</v>
      </c>
      <c r="H138" s="51" t="s">
        <v>34</v>
      </c>
      <c r="I138" s="59">
        <v>44409</v>
      </c>
      <c r="J138" s="60">
        <f ca="1">EFEITO!$J$138*EFEITO!$Y$138</f>
        <v>92429.057940919403</v>
      </c>
      <c r="K138" s="60">
        <f ca="1">EFEITO!$L$138*EFEITO!$Z$138</f>
        <v>2090.5452045218749</v>
      </c>
      <c r="L138" s="60">
        <f>EFEITO!$N$138*EFEITO!$AA$138</f>
        <v>16450.531105377249</v>
      </c>
      <c r="M138" s="60">
        <f ca="1">$J$138-EFEITO!$K$138*EFEITO!$Y$138</f>
        <v>0</v>
      </c>
      <c r="N138" s="60">
        <f ca="1">$K$138-EFEITO!$M$138*EFEITO!$Z$138</f>
        <v>0</v>
      </c>
      <c r="O138" s="60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1" t="s">
        <v>21</v>
      </c>
      <c r="B139" s="51" t="s">
        <v>39</v>
      </c>
      <c r="C139" s="51" t="s">
        <v>40</v>
      </c>
      <c r="D139" s="51" t="s">
        <v>46</v>
      </c>
      <c r="E139" s="51" t="s">
        <v>25</v>
      </c>
      <c r="F139" s="51" t="s">
        <v>25</v>
      </c>
      <c r="G139" s="51" t="s">
        <v>25</v>
      </c>
      <c r="H139" s="51" t="s">
        <v>34</v>
      </c>
      <c r="I139" s="59">
        <v>44440</v>
      </c>
      <c r="J139" s="60">
        <f ca="1">EFEITO!$J$139*EFEITO!$Y$139</f>
        <v>92429.057940919403</v>
      </c>
      <c r="K139" s="60">
        <f ca="1">EFEITO!$L$139*EFEITO!$Z$139</f>
        <v>2412.1675436790865</v>
      </c>
      <c r="L139" s="60">
        <f>EFEITO!$N$139*EFEITO!$AA$139</f>
        <v>18981.382044666057</v>
      </c>
      <c r="M139" s="60">
        <f ca="1">$J$139-EFEITO!$K$139*EFEITO!$Y$139</f>
        <v>0</v>
      </c>
      <c r="N139" s="60">
        <f ca="1">$K$139-EFEITO!$M$139*EFEITO!$Z$139</f>
        <v>0</v>
      </c>
      <c r="O139" s="60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1" t="s">
        <v>21</v>
      </c>
      <c r="B140" s="51" t="s">
        <v>39</v>
      </c>
      <c r="C140" s="51" t="s">
        <v>40</v>
      </c>
      <c r="D140" s="51" t="s">
        <v>46</v>
      </c>
      <c r="E140" s="51" t="s">
        <v>25</v>
      </c>
      <c r="F140" s="51" t="s">
        <v>25</v>
      </c>
      <c r="G140" s="51" t="s">
        <v>25</v>
      </c>
      <c r="H140" s="51" t="s">
        <v>34</v>
      </c>
      <c r="I140" s="59">
        <v>44470</v>
      </c>
      <c r="J140" s="60">
        <f ca="1">EFEITO!$J$140*EFEITO!$Y$140</f>
        <v>92429.057940919403</v>
      </c>
      <c r="K140" s="60">
        <f ca="1">EFEITO!$L$140*EFEITO!$Z$140</f>
        <v>2412.1675436790865</v>
      </c>
      <c r="L140" s="60">
        <f>EFEITO!$N$140*EFEITO!$AA$140</f>
        <v>18981.382044666057</v>
      </c>
      <c r="M140" s="60">
        <f ca="1">$J$140-EFEITO!$K$140*EFEITO!$Y$140</f>
        <v>0</v>
      </c>
      <c r="N140" s="60">
        <f ca="1">$K$140-EFEITO!$M$140*EFEITO!$Z$140</f>
        <v>0</v>
      </c>
      <c r="O140" s="60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1" t="s">
        <v>21</v>
      </c>
      <c r="B141" s="51" t="s">
        <v>39</v>
      </c>
      <c r="C141" s="51" t="s">
        <v>40</v>
      </c>
      <c r="D141" s="51" t="s">
        <v>46</v>
      </c>
      <c r="E141" s="51" t="s">
        <v>25</v>
      </c>
      <c r="F141" s="51" t="s">
        <v>25</v>
      </c>
      <c r="G141" s="51" t="s">
        <v>25</v>
      </c>
      <c r="H141" s="51" t="s">
        <v>34</v>
      </c>
      <c r="I141" s="59">
        <v>44501</v>
      </c>
      <c r="J141" s="60">
        <f ca="1">EFEITO!$J$141*EFEITO!$Y$141</f>
        <v>92429.057940919403</v>
      </c>
      <c r="K141" s="60">
        <f ca="1">EFEITO!$L$141*EFEITO!$Z$141</f>
        <v>2412.1675436790865</v>
      </c>
      <c r="L141" s="60">
        <f>EFEITO!$N$141*EFEITO!$AA$141</f>
        <v>18981.382044666057</v>
      </c>
      <c r="M141" s="60">
        <f ca="1">$J$141-EFEITO!$K$141*EFEITO!$Y$141</f>
        <v>0</v>
      </c>
      <c r="N141" s="60">
        <f ca="1">$K$141-EFEITO!$M$141*EFEITO!$Z$141</f>
        <v>0</v>
      </c>
      <c r="O141" s="60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1" t="s">
        <v>21</v>
      </c>
      <c r="B142" s="51" t="s">
        <v>39</v>
      </c>
      <c r="C142" s="51" t="s">
        <v>40</v>
      </c>
      <c r="D142" s="51" t="s">
        <v>46</v>
      </c>
      <c r="E142" s="51" t="s">
        <v>25</v>
      </c>
      <c r="F142" s="51" t="s">
        <v>25</v>
      </c>
      <c r="G142" s="51" t="s">
        <v>25</v>
      </c>
      <c r="H142" s="51" t="s">
        <v>34</v>
      </c>
      <c r="I142" s="59">
        <v>44531</v>
      </c>
      <c r="J142" s="60">
        <f ca="1">EFEITO!$J$142*EFEITO!$Y$142</f>
        <v>92429.057940919403</v>
      </c>
      <c r="K142" s="60">
        <f ca="1">EFEITO!$L$142*EFEITO!$Z$142</f>
        <v>2733.7898828362981</v>
      </c>
      <c r="L142" s="60">
        <f>EFEITO!$N$142*EFEITO!$AA$142</f>
        <v>21512.232983954866</v>
      </c>
      <c r="M142" s="60">
        <f ca="1">$J$142-EFEITO!$K$142*EFEITO!$Y$142</f>
        <v>0</v>
      </c>
      <c r="N142" s="60">
        <f ca="1">$K$142-EFEITO!$M$142*EFEITO!$Z$142</f>
        <v>0</v>
      </c>
      <c r="O142" s="60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1" t="s">
        <v>21</v>
      </c>
      <c r="B143" s="51" t="s">
        <v>39</v>
      </c>
      <c r="C143" s="51" t="s">
        <v>40</v>
      </c>
      <c r="D143" s="51" t="s">
        <v>45</v>
      </c>
      <c r="E143" s="51" t="s">
        <v>53</v>
      </c>
      <c r="F143" s="51" t="s">
        <v>55</v>
      </c>
      <c r="G143" s="51" t="s">
        <v>25</v>
      </c>
      <c r="H143" s="51" t="s">
        <v>35</v>
      </c>
      <c r="I143" s="59">
        <v>44287</v>
      </c>
      <c r="J143" s="60">
        <f ca="1">EFEITO!$J$143*EFEITO!$Y$133</f>
        <v>0</v>
      </c>
      <c r="K143" s="60">
        <f ca="1">EFEITO!$L$143*EFEITO!$Z$133</f>
        <v>23632.350020787395</v>
      </c>
      <c r="L143" s="60">
        <f>EFEITO!$N$143*EFEITO!$AA$133</f>
        <v>114774.94868025194</v>
      </c>
      <c r="M143" s="60">
        <f ca="1">$J$143-EFEITO!$K$143*EFEITO!$Y$143</f>
        <v>0</v>
      </c>
      <c r="N143" s="60">
        <f ca="1">$K$143-EFEITO!$M$143*EFEITO!$Z$143</f>
        <v>21269.115018708657</v>
      </c>
      <c r="O143" s="60">
        <f>$L$143-EFEITO!$O$143*EFEITO!$AA$143</f>
        <v>103297.45381222674</v>
      </c>
      <c r="P143" s="18"/>
      <c r="Q143" s="18"/>
      <c r="R143" s="18"/>
      <c r="S143" s="18"/>
      <c r="T143" s="18"/>
      <c r="U143" s="18"/>
      <c r="V143" s="18"/>
      <c r="W143" s="18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1" t="s">
        <v>21</v>
      </c>
      <c r="B144" s="51" t="s">
        <v>39</v>
      </c>
      <c r="C144" s="51" t="s">
        <v>40</v>
      </c>
      <c r="D144" s="51" t="s">
        <v>45</v>
      </c>
      <c r="E144" s="51" t="s">
        <v>53</v>
      </c>
      <c r="F144" s="51" t="s">
        <v>55</v>
      </c>
      <c r="G144" s="51" t="s">
        <v>25</v>
      </c>
      <c r="H144" s="51" t="s">
        <v>35</v>
      </c>
      <c r="I144" s="59">
        <v>44317</v>
      </c>
      <c r="J144" s="60">
        <f ca="1">EFEITO!$J$144*EFEITO!$Y$133</f>
        <v>0</v>
      </c>
      <c r="K144" s="60">
        <f ca="1">EFEITO!$L$144*EFEITO!$Z$133</f>
        <v>6162.7434787366838</v>
      </c>
      <c r="L144" s="60">
        <f>EFEITO!$N$144*EFEITO!$AA$133</f>
        <v>29930.521758495561</v>
      </c>
      <c r="M144" s="60">
        <f ca="1">$J$144-EFEITO!$K$144*EFEITO!$Y$144</f>
        <v>0</v>
      </c>
      <c r="N144" s="60">
        <f ca="1">$K$144-EFEITO!$M$144*EFEITO!$Z$144</f>
        <v>5546.4691308630154</v>
      </c>
      <c r="O144" s="60">
        <f>$L$144-EFEITO!$O$144*EFEITO!$AA$144</f>
        <v>26937.469582646005</v>
      </c>
      <c r="P144" s="18"/>
      <c r="Q144" s="18"/>
      <c r="R144" s="18"/>
      <c r="S144" s="18"/>
      <c r="T144" s="18"/>
      <c r="U144" s="18"/>
      <c r="V144" s="18"/>
      <c r="W144" s="18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1" t="s">
        <v>21</v>
      </c>
      <c r="B145" s="51" t="s">
        <v>39</v>
      </c>
      <c r="C145" s="51" t="s">
        <v>40</v>
      </c>
      <c r="D145" s="51" t="s">
        <v>45</v>
      </c>
      <c r="E145" s="51" t="s">
        <v>53</v>
      </c>
      <c r="F145" s="51" t="s">
        <v>55</v>
      </c>
      <c r="G145" s="51" t="s">
        <v>25</v>
      </c>
      <c r="H145" s="51" t="s">
        <v>35</v>
      </c>
      <c r="I145" s="59">
        <v>44348</v>
      </c>
      <c r="J145" s="60">
        <f ca="1">EFEITO!$J$145*EFEITO!$Y$133</f>
        <v>0</v>
      </c>
      <c r="K145" s="60">
        <f ca="1">EFEITO!$L$145*EFEITO!$Z$133</f>
        <v>5607.2557529637288</v>
      </c>
      <c r="L145" s="60">
        <f>EFEITO!$N$145*EFEITO!$AA$133</f>
        <v>27232.691235419359</v>
      </c>
      <c r="M145" s="60">
        <f ca="1">$J$145-EFEITO!$K$145*EFEITO!$Y$145</f>
        <v>0</v>
      </c>
      <c r="N145" s="60">
        <f ca="1">$K$145-EFEITO!$M$145*EFEITO!$Z$145</f>
        <v>5046.5301776673559</v>
      </c>
      <c r="O145" s="60">
        <f>$L$145-EFEITO!$O$145*EFEITO!$AA$145</f>
        <v>24509.422111877422</v>
      </c>
      <c r="P145" s="18"/>
      <c r="Q145" s="18"/>
      <c r="R145" s="18"/>
      <c r="S145" s="18"/>
      <c r="T145" s="18"/>
      <c r="U145" s="18"/>
      <c r="V145" s="18"/>
      <c r="W145" s="18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1" t="s">
        <v>21</v>
      </c>
      <c r="B146" s="51" t="s">
        <v>39</v>
      </c>
      <c r="C146" s="51" t="s">
        <v>40</v>
      </c>
      <c r="D146" s="51" t="s">
        <v>45</v>
      </c>
      <c r="E146" s="51" t="s">
        <v>53</v>
      </c>
      <c r="F146" s="51" t="s">
        <v>55</v>
      </c>
      <c r="G146" s="51" t="s">
        <v>25</v>
      </c>
      <c r="H146" s="51" t="s">
        <v>35</v>
      </c>
      <c r="I146" s="59">
        <v>44378</v>
      </c>
      <c r="J146" s="60">
        <f ca="1">EFEITO!$J$146*EFEITO!$Y$133</f>
        <v>0</v>
      </c>
      <c r="K146" s="60">
        <f ca="1">EFEITO!$L$146*EFEITO!$Z$133</f>
        <v>4633.2914178987894</v>
      </c>
      <c r="L146" s="60">
        <f>EFEITO!$N$146*EFEITO!$AA$133</f>
        <v>22502.450422502119</v>
      </c>
      <c r="M146" s="60">
        <f ca="1">$J$146-EFEITO!$K$146*EFEITO!$Y$146</f>
        <v>0</v>
      </c>
      <c r="N146" s="60">
        <f ca="1">$K$146-EFEITO!$M$146*EFEITO!$Z$146</f>
        <v>4169.9622761089104</v>
      </c>
      <c r="O146" s="60">
        <f>$L$146-EFEITO!$O$146*EFEITO!$AA$146</f>
        <v>20252.205380251908</v>
      </c>
      <c r="P146" s="18"/>
      <c r="Q146" s="18"/>
      <c r="R146" s="18"/>
      <c r="S146" s="18"/>
      <c r="T146" s="18"/>
      <c r="U146" s="18"/>
      <c r="V146" s="18"/>
      <c r="W146" s="18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1" t="s">
        <v>21</v>
      </c>
      <c r="B147" s="51" t="s">
        <v>39</v>
      </c>
      <c r="C147" s="51" t="s">
        <v>40</v>
      </c>
      <c r="D147" s="51" t="s">
        <v>45</v>
      </c>
      <c r="E147" s="51" t="s">
        <v>53</v>
      </c>
      <c r="F147" s="51" t="s">
        <v>55</v>
      </c>
      <c r="G147" s="51" t="s">
        <v>25</v>
      </c>
      <c r="H147" s="51" t="s">
        <v>35</v>
      </c>
      <c r="I147" s="59">
        <v>44409</v>
      </c>
      <c r="J147" s="60">
        <f ca="1">EFEITO!$J$147*EFEITO!$Y$133</f>
        <v>0</v>
      </c>
      <c r="K147" s="60">
        <f ca="1">EFEITO!$L$147*EFEITO!$Z$133</f>
        <v>5102.4924646807103</v>
      </c>
      <c r="L147" s="60">
        <f>EFEITO!$N$147*EFEITO!$AA$133</f>
        <v>24781.213474748125</v>
      </c>
      <c r="M147" s="60">
        <f ca="1">$J$147-EFEITO!$K$147*EFEITO!$Y$147</f>
        <v>0</v>
      </c>
      <c r="N147" s="60">
        <f ca="1">$K$147-EFEITO!$M$147*EFEITO!$Z$147</f>
        <v>4592.2432182126395</v>
      </c>
      <c r="O147" s="60">
        <f>$L$147-EFEITO!$O$147*EFEITO!$AA$147</f>
        <v>22303.092127273314</v>
      </c>
      <c r="P147" s="18"/>
      <c r="Q147" s="18"/>
      <c r="R147" s="18"/>
      <c r="S147" s="18"/>
      <c r="T147" s="18"/>
      <c r="U147" s="18"/>
      <c r="V147" s="18"/>
      <c r="W147" s="18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1" t="s">
        <v>21</v>
      </c>
      <c r="B148" s="51" t="s">
        <v>39</v>
      </c>
      <c r="C148" s="51" t="s">
        <v>40</v>
      </c>
      <c r="D148" s="51" t="s">
        <v>45</v>
      </c>
      <c r="E148" s="51" t="s">
        <v>53</v>
      </c>
      <c r="F148" s="51" t="s">
        <v>55</v>
      </c>
      <c r="G148" s="51" t="s">
        <v>25</v>
      </c>
      <c r="H148" s="51" t="s">
        <v>35</v>
      </c>
      <c r="I148" s="59">
        <v>44440</v>
      </c>
      <c r="J148" s="60">
        <f ca="1">EFEITO!$J$148*EFEITO!$Y$133</f>
        <v>0</v>
      </c>
      <c r="K148" s="60">
        <f ca="1">EFEITO!$L$148*EFEITO!$Z$133</f>
        <v>20243.185702845603</v>
      </c>
      <c r="L148" s="60">
        <f>EFEITO!$N$148*EFEITO!$AA$133</f>
        <v>98314.835305215282</v>
      </c>
      <c r="M148" s="60">
        <f ca="1">$J$148-EFEITO!$K$148*EFEITO!$Y$148</f>
        <v>0</v>
      </c>
      <c r="N148" s="60">
        <f ca="1">$K$148-EFEITO!$M$148*EFEITO!$Z$148</f>
        <v>18218.867132561045</v>
      </c>
      <c r="O148" s="60">
        <f>$L$148-EFEITO!$O$148*EFEITO!$AA$148</f>
        <v>88483.351774693758</v>
      </c>
      <c r="P148" s="18"/>
      <c r="Q148" s="18"/>
      <c r="R148" s="18"/>
      <c r="S148" s="18"/>
      <c r="T148" s="18"/>
      <c r="U148" s="18"/>
      <c r="V148" s="18"/>
      <c r="W148" s="18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1" t="s">
        <v>21</v>
      </c>
      <c r="B149" s="51" t="s">
        <v>39</v>
      </c>
      <c r="C149" s="51" t="s">
        <v>40</v>
      </c>
      <c r="D149" s="51" t="s">
        <v>45</v>
      </c>
      <c r="E149" s="51" t="s">
        <v>53</v>
      </c>
      <c r="F149" s="51" t="s">
        <v>55</v>
      </c>
      <c r="G149" s="51" t="s">
        <v>25</v>
      </c>
      <c r="H149" s="51" t="s">
        <v>35</v>
      </c>
      <c r="I149" s="59">
        <v>44470</v>
      </c>
      <c r="J149" s="60">
        <f ca="1">EFEITO!$J$149*EFEITO!$Y$133</f>
        <v>0</v>
      </c>
      <c r="K149" s="60">
        <f ca="1">EFEITO!$L$149*EFEITO!$Z$133</f>
        <v>40628.896047986302</v>
      </c>
      <c r="L149" s="60">
        <f>EFEITO!$N$149*EFEITO!$AA$133</f>
        <v>197321.86831784018</v>
      </c>
      <c r="M149" s="60">
        <f ca="1">$J$149-EFEITO!$K$149*EFEITO!$Y$149</f>
        <v>0</v>
      </c>
      <c r="N149" s="60">
        <f ca="1">$K$149-EFEITO!$M$149*EFEITO!$Z$149</f>
        <v>36566.006443187674</v>
      </c>
      <c r="O149" s="60">
        <f>$L$149-EFEITO!$O$149*EFEITO!$AA$149</f>
        <v>177589.68148605616</v>
      </c>
      <c r="P149" s="18"/>
      <c r="Q149" s="18"/>
      <c r="R149" s="18"/>
      <c r="S149" s="18"/>
      <c r="T149" s="18"/>
      <c r="U149" s="18"/>
      <c r="V149" s="18"/>
      <c r="W149" s="18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1" t="s">
        <v>21</v>
      </c>
      <c r="B150" s="51" t="s">
        <v>39</v>
      </c>
      <c r="C150" s="51" t="s">
        <v>40</v>
      </c>
      <c r="D150" s="51" t="s">
        <v>45</v>
      </c>
      <c r="E150" s="51" t="s">
        <v>53</v>
      </c>
      <c r="F150" s="51" t="s">
        <v>55</v>
      </c>
      <c r="G150" s="51" t="s">
        <v>25</v>
      </c>
      <c r="H150" s="51" t="s">
        <v>35</v>
      </c>
      <c r="I150" s="59">
        <v>44501</v>
      </c>
      <c r="J150" s="60">
        <f ca="1">EFEITO!$J$150*EFEITO!$Y$133</f>
        <v>0</v>
      </c>
      <c r="K150" s="60">
        <f ca="1">EFEITO!$L$150*EFEITO!$Z$133</f>
        <v>44139.909286420225</v>
      </c>
      <c r="L150" s="60">
        <f>EFEITO!$N$150*EFEITO!$AA$133</f>
        <v>214373.76387213229</v>
      </c>
      <c r="M150" s="60">
        <f ca="1">$J$150-EFEITO!$K$150*EFEITO!$Y$150</f>
        <v>0</v>
      </c>
      <c r="N150" s="60">
        <f ca="1">$K$150-EFEITO!$M$150*EFEITO!$Z$150</f>
        <v>39725.918357778202</v>
      </c>
      <c r="O150" s="60">
        <f>$L$150-EFEITO!$O$150*EFEITO!$AA$150</f>
        <v>192936.38748491905</v>
      </c>
      <c r="P150" s="18"/>
      <c r="Q150" s="18"/>
      <c r="R150" s="18"/>
      <c r="S150" s="18"/>
      <c r="T150" s="18"/>
      <c r="U150" s="18"/>
      <c r="V150" s="18"/>
      <c r="W150" s="18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1" t="s">
        <v>21</v>
      </c>
      <c r="B151" s="51" t="s">
        <v>39</v>
      </c>
      <c r="C151" s="51" t="s">
        <v>40</v>
      </c>
      <c r="D151" s="51" t="s">
        <v>45</v>
      </c>
      <c r="E151" s="51" t="s">
        <v>53</v>
      </c>
      <c r="F151" s="51" t="s">
        <v>55</v>
      </c>
      <c r="G151" s="51" t="s">
        <v>25</v>
      </c>
      <c r="H151" s="51" t="s">
        <v>35</v>
      </c>
      <c r="I151" s="59">
        <v>44531</v>
      </c>
      <c r="J151" s="60">
        <f ca="1">EFEITO!$J$151*EFEITO!$Y$133</f>
        <v>0</v>
      </c>
      <c r="K151" s="60">
        <f ca="1">EFEITO!$L$151*EFEITO!$Z$133</f>
        <v>34249.195328463851</v>
      </c>
      <c r="L151" s="60">
        <f>EFEITO!$N$151*EFEITO!$AA$133</f>
        <v>166337.65295057988</v>
      </c>
      <c r="M151" s="60">
        <f ca="1">$J$151-EFEITO!$K$151*EFEITO!$Y$151</f>
        <v>0</v>
      </c>
      <c r="N151" s="60">
        <f ca="1">$K$151-EFEITO!$M$151*EFEITO!$Z$151</f>
        <v>30824.275795617468</v>
      </c>
      <c r="O151" s="60">
        <f>$L$151-EFEITO!$O$151*EFEITO!$AA$151</f>
        <v>149703.88765552189</v>
      </c>
      <c r="P151" s="18"/>
      <c r="Q151" s="18"/>
      <c r="R151" s="18"/>
      <c r="S151" s="18"/>
      <c r="T151" s="18"/>
      <c r="U151" s="18"/>
      <c r="V151" s="18"/>
      <c r="W151" s="18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1" t="s">
        <v>21</v>
      </c>
      <c r="B152" s="51" t="s">
        <v>39</v>
      </c>
      <c r="C152" s="51" t="s">
        <v>40</v>
      </c>
      <c r="D152" s="51" t="s">
        <v>45</v>
      </c>
      <c r="E152" s="51" t="s">
        <v>53</v>
      </c>
      <c r="F152" s="51" t="s">
        <v>55</v>
      </c>
      <c r="G152" s="51" t="s">
        <v>25</v>
      </c>
      <c r="H152" s="51" t="s">
        <v>35</v>
      </c>
      <c r="I152" s="59">
        <v>44562</v>
      </c>
      <c r="J152" s="60">
        <f ca="1">EFEITO!$J$152*EFEITO!$Y$133</f>
        <v>0</v>
      </c>
      <c r="K152" s="60">
        <f ca="1">EFEITO!$L$152*EFEITO!$Z$133</f>
        <v>27284.601412159787</v>
      </c>
      <c r="L152" s="60">
        <f>EFEITO!$N$152*EFEITO!$AA$133</f>
        <v>132512.79386464629</v>
      </c>
      <c r="M152" s="60">
        <f ca="1">$J$152-EFEITO!$K$152*EFEITO!$Y$152</f>
        <v>0</v>
      </c>
      <c r="N152" s="60">
        <f ca="1">$K$152-EFEITO!$M$152*EFEITO!$Z$152</f>
        <v>24556.141270943808</v>
      </c>
      <c r="O152" s="60">
        <f>$L$152-EFEITO!$O$152*EFEITO!$AA$152</f>
        <v>119261.51447818166</v>
      </c>
      <c r="P152" s="18"/>
      <c r="Q152" s="18"/>
      <c r="R152" s="18"/>
      <c r="S152" s="18"/>
      <c r="T152" s="18"/>
      <c r="U152" s="18"/>
      <c r="V152" s="18"/>
      <c r="W152" s="18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1" t="s">
        <v>21</v>
      </c>
      <c r="B153" s="51" t="s">
        <v>39</v>
      </c>
      <c r="C153" s="51" t="s">
        <v>40</v>
      </c>
      <c r="D153" s="51" t="s">
        <v>45</v>
      </c>
      <c r="E153" s="51" t="s">
        <v>53</v>
      </c>
      <c r="F153" s="51" t="s">
        <v>55</v>
      </c>
      <c r="G153" s="51" t="s">
        <v>25</v>
      </c>
      <c r="H153" s="51" t="s">
        <v>35</v>
      </c>
      <c r="I153" s="59">
        <v>44593</v>
      </c>
      <c r="J153" s="60">
        <f ca="1">EFEITO!$J$153*EFEITO!$Y$133</f>
        <v>0</v>
      </c>
      <c r="K153" s="60">
        <f ca="1">EFEITO!$L$153*EFEITO!$Z$133</f>
        <v>51579.309667417234</v>
      </c>
      <c r="L153" s="60">
        <f>EFEITO!$N$153*EFEITO!$AA$133</f>
        <v>250504.60977572258</v>
      </c>
      <c r="M153" s="60">
        <f ca="1">$J$153-EFEITO!$K$153*EFEITO!$Y$153</f>
        <v>0</v>
      </c>
      <c r="N153" s="60">
        <f ca="1">$K$153-EFEITO!$M$153*EFEITO!$Z$153</f>
        <v>46421.378700675508</v>
      </c>
      <c r="O153" s="60">
        <f>$L$153-EFEITO!$O$153*EFEITO!$AA$153</f>
        <v>225454.14879815033</v>
      </c>
      <c r="P153" s="18"/>
      <c r="Q153" s="18"/>
      <c r="R153" s="18"/>
      <c r="S153" s="18"/>
      <c r="T153" s="18"/>
      <c r="U153" s="18"/>
      <c r="V153" s="18"/>
      <c r="W153" s="18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1" t="s">
        <v>56</v>
      </c>
      <c r="B154" s="51" t="s">
        <v>39</v>
      </c>
      <c r="C154" s="51" t="s">
        <v>40</v>
      </c>
      <c r="D154" s="51" t="s">
        <v>45</v>
      </c>
      <c r="E154" s="51" t="s">
        <v>53</v>
      </c>
      <c r="F154" s="51" t="s">
        <v>55</v>
      </c>
      <c r="G154" s="51" t="s">
        <v>25</v>
      </c>
      <c r="H154" s="51" t="s">
        <v>35</v>
      </c>
      <c r="I154" s="59">
        <v>44621</v>
      </c>
      <c r="J154" s="60">
        <f ca="1">EFEITO!$J$154*EFEITO!$Y$133</f>
        <v>0</v>
      </c>
      <c r="K154" s="60">
        <f ca="1">EFEITO!$L$154*EFEITO!$Z$133</f>
        <v>51579.309667417234</v>
      </c>
      <c r="L154" s="60">
        <f>EFEITO!$N$154*EFEITO!$AA$133</f>
        <v>250504.60977572258</v>
      </c>
      <c r="M154" s="60">
        <f ca="1">$J$154-EFEITO!$K$154*EFEITO!$Y$154</f>
        <v>0</v>
      </c>
      <c r="N154" s="60">
        <f ca="1">$K$154-EFEITO!$M$154*EFEITO!$Z$154</f>
        <v>46421.378700675508</v>
      </c>
      <c r="O154" s="60">
        <f>$L$154-EFEITO!$O$154*EFEITO!$AA$154</f>
        <v>225454.14879815033</v>
      </c>
      <c r="P154" s="18"/>
      <c r="Q154" s="18"/>
      <c r="R154" s="18"/>
      <c r="S154" s="18"/>
      <c r="T154" s="18"/>
      <c r="U154" s="18"/>
      <c r="V154" s="18"/>
      <c r="W154" s="18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1" t="s">
        <v>21</v>
      </c>
      <c r="B155" s="51" t="s">
        <v>39</v>
      </c>
      <c r="C155" s="51" t="s">
        <v>40</v>
      </c>
      <c r="D155" s="51" t="s">
        <v>45</v>
      </c>
      <c r="E155" s="51" t="s">
        <v>53</v>
      </c>
      <c r="F155" s="51" t="s">
        <v>25</v>
      </c>
      <c r="G155" s="51" t="s">
        <v>25</v>
      </c>
      <c r="H155" s="51" t="s">
        <v>35</v>
      </c>
      <c r="I155" s="59">
        <v>44287</v>
      </c>
      <c r="J155" s="60">
        <f ca="1">EFEITO!$J$155*EFEITO!$Y$133</f>
        <v>41228.413973280971</v>
      </c>
      <c r="K155" s="60">
        <f ca="1">EFEITO!$L$155*EFEITO!$Z$133</f>
        <v>19956.206684220466</v>
      </c>
      <c r="L155" s="60">
        <f>EFEITO!$N$155*EFEITO!$AA$133</f>
        <v>96921.067774434967</v>
      </c>
      <c r="M155" s="60">
        <f ca="1">$J$155-EFEITO!$K$155*EFEITO!$Y$155</f>
        <v>824.56827946562407</v>
      </c>
      <c r="N155" s="60">
        <f ca="1">$K$155-EFEITO!$M$155*EFEITO!$Z$155</f>
        <v>399.12413368441048</v>
      </c>
      <c r="O155" s="60">
        <f>$L$155-EFEITO!$O$155*EFEITO!$AA$155</f>
        <v>1938.4213554887101</v>
      </c>
      <c r="P155" s="18"/>
      <c r="Q155" s="18"/>
      <c r="R155" s="18"/>
      <c r="S155" s="18"/>
      <c r="T155" s="18"/>
      <c r="U155" s="18"/>
      <c r="V155" s="18"/>
      <c r="W155" s="18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1" t="s">
        <v>21</v>
      </c>
      <c r="B156" s="51" t="s">
        <v>39</v>
      </c>
      <c r="C156" s="51" t="s">
        <v>40</v>
      </c>
      <c r="D156" s="51" t="s">
        <v>45</v>
      </c>
      <c r="E156" s="51" t="s">
        <v>53</v>
      </c>
      <c r="F156" s="51" t="s">
        <v>25</v>
      </c>
      <c r="G156" s="51" t="s">
        <v>25</v>
      </c>
      <c r="H156" s="51" t="s">
        <v>35</v>
      </c>
      <c r="I156" s="59">
        <v>44317</v>
      </c>
      <c r="J156" s="60">
        <f ca="1">EFEITO!$J$156*EFEITO!$Y$133</f>
        <v>11554.459967034158</v>
      </c>
      <c r="K156" s="60">
        <f ca="1">EFEITO!$L$156*EFEITO!$Z$133</f>
        <v>466.99563645627114</v>
      </c>
      <c r="L156" s="60">
        <f>EFEITO!$N$156*EFEITO!$AA$133</f>
        <v>2268.0520625762238</v>
      </c>
      <c r="M156" s="60">
        <f ca="1">$J$156-EFEITO!$K$156*EFEITO!$Y$156</f>
        <v>231.08919934068399</v>
      </c>
      <c r="N156" s="60">
        <f ca="1">$K$156-EFEITO!$M$156*EFEITO!$Z$156</f>
        <v>9.3399127291253876</v>
      </c>
      <c r="O156" s="60">
        <f>$L$156-EFEITO!$O$156*EFEITO!$AA$156</f>
        <v>45.361041251524966</v>
      </c>
      <c r="P156" s="18"/>
      <c r="Q156" s="18"/>
      <c r="R156" s="18"/>
      <c r="S156" s="18"/>
      <c r="T156" s="18"/>
      <c r="U156" s="18"/>
      <c r="V156" s="18"/>
      <c r="W156" s="18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1" t="s">
        <v>21</v>
      </c>
      <c r="B157" s="51" t="s">
        <v>39</v>
      </c>
      <c r="C157" s="51" t="s">
        <v>40</v>
      </c>
      <c r="D157" s="51" t="s">
        <v>45</v>
      </c>
      <c r="E157" s="51" t="s">
        <v>53</v>
      </c>
      <c r="F157" s="51" t="s">
        <v>25</v>
      </c>
      <c r="G157" s="51" t="s">
        <v>25</v>
      </c>
      <c r="H157" s="51" t="s">
        <v>35</v>
      </c>
      <c r="I157" s="59">
        <v>44348</v>
      </c>
      <c r="J157" s="60">
        <f ca="1">EFEITO!$J$157*EFEITO!$Y$133</f>
        <v>11291.858604147017</v>
      </c>
      <c r="K157" s="60">
        <f ca="1">EFEITO!$L$157*EFEITO!$Z$133</f>
        <v>392.83871425630844</v>
      </c>
      <c r="L157" s="60">
        <f>EFEITO!$N$157*EFEITO!$AA$133</f>
        <v>1907.8950349298223</v>
      </c>
      <c r="M157" s="60">
        <f ca="1">$J$157-EFEITO!$K$157*EFEITO!$Y$157</f>
        <v>225.83717208294001</v>
      </c>
      <c r="N157" s="60">
        <f ca="1">$K$157-EFEITO!$M$157*EFEITO!$Z$157</f>
        <v>7.8567742851261642</v>
      </c>
      <c r="O157" s="60">
        <f>$L$157-EFEITO!$O$157*EFEITO!$AA$157</f>
        <v>38.15790069859645</v>
      </c>
      <c r="P157" s="18"/>
      <c r="Q157" s="18"/>
      <c r="R157" s="18"/>
      <c r="S157" s="18"/>
      <c r="T157" s="18"/>
      <c r="U157" s="18"/>
      <c r="V157" s="18"/>
      <c r="W157" s="18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1" t="s">
        <v>21</v>
      </c>
      <c r="B158" s="51" t="s">
        <v>39</v>
      </c>
      <c r="C158" s="51" t="s">
        <v>40</v>
      </c>
      <c r="D158" s="51" t="s">
        <v>45</v>
      </c>
      <c r="E158" s="51" t="s">
        <v>53</v>
      </c>
      <c r="F158" s="51" t="s">
        <v>25</v>
      </c>
      <c r="G158" s="51" t="s">
        <v>25</v>
      </c>
      <c r="H158" s="51" t="s">
        <v>35</v>
      </c>
      <c r="I158" s="59">
        <v>44378</v>
      </c>
      <c r="J158" s="60">
        <f ca="1">EFEITO!$J$158*EFEITO!$Y$133</f>
        <v>11554.459967034158</v>
      </c>
      <c r="K158" s="60">
        <f ca="1">EFEITO!$L$158*EFEITO!$Z$133</f>
        <v>405.51982362879278</v>
      </c>
      <c r="L158" s="60">
        <f>EFEITO!$N$158*EFEITO!$AA$133</f>
        <v>1969.4832255310657</v>
      </c>
      <c r="M158" s="60">
        <f ca="1">$J$158-EFEITO!$K$158*EFEITO!$Y$158</f>
        <v>231.08919934068399</v>
      </c>
      <c r="N158" s="60">
        <f ca="1">$K$158-EFEITO!$M$158*EFEITO!$Z$158</f>
        <v>8.1103964725758715</v>
      </c>
      <c r="O158" s="60">
        <f>$L$158-EFEITO!$O$158*EFEITO!$AA$158</f>
        <v>39.389664510621515</v>
      </c>
      <c r="P158" s="18"/>
      <c r="Q158" s="18"/>
      <c r="R158" s="18"/>
      <c r="S158" s="18"/>
      <c r="T158" s="18"/>
      <c r="U158" s="18"/>
      <c r="V158" s="18"/>
      <c r="W158" s="18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1" t="s">
        <v>21</v>
      </c>
      <c r="B159" s="51" t="s">
        <v>39</v>
      </c>
      <c r="C159" s="51" t="s">
        <v>40</v>
      </c>
      <c r="D159" s="51" t="s">
        <v>45</v>
      </c>
      <c r="E159" s="51" t="s">
        <v>53</v>
      </c>
      <c r="F159" s="51" t="s">
        <v>25</v>
      </c>
      <c r="G159" s="51" t="s">
        <v>25</v>
      </c>
      <c r="H159" s="51" t="s">
        <v>35</v>
      </c>
      <c r="I159" s="59">
        <v>44409</v>
      </c>
      <c r="J159" s="60">
        <f ca="1">EFEITO!$J$159*EFEITO!$Y$133</f>
        <v>11554.459967034158</v>
      </c>
      <c r="K159" s="60">
        <f ca="1">EFEITO!$L$159*EFEITO!$Z$133</f>
        <v>383.19004408159202</v>
      </c>
      <c r="L159" s="60">
        <f>EFEITO!$N$159*EFEITO!$AA$133</f>
        <v>1861.0344551245282</v>
      </c>
      <c r="M159" s="60">
        <f ca="1">$J$159-EFEITO!$K$159*EFEITO!$Y$159</f>
        <v>231.08919934068399</v>
      </c>
      <c r="N159" s="60">
        <f ca="1">$K$159-EFEITO!$M$159*EFEITO!$Z$159</f>
        <v>7.6638008816318006</v>
      </c>
      <c r="O159" s="60">
        <f>$L$159-EFEITO!$O$159*EFEITO!$AA$159</f>
        <v>37.220689102490724</v>
      </c>
      <c r="P159" s="18"/>
      <c r="Q159" s="18"/>
      <c r="R159" s="18"/>
      <c r="S159" s="18"/>
      <c r="T159" s="18"/>
      <c r="U159" s="18"/>
      <c r="V159" s="18"/>
      <c r="W159" s="18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1" t="s">
        <v>21</v>
      </c>
      <c r="B160" s="51" t="s">
        <v>39</v>
      </c>
      <c r="C160" s="51" t="s">
        <v>40</v>
      </c>
      <c r="D160" s="51" t="s">
        <v>45</v>
      </c>
      <c r="E160" s="51" t="s">
        <v>53</v>
      </c>
      <c r="F160" s="51" t="s">
        <v>25</v>
      </c>
      <c r="G160" s="51" t="s">
        <v>25</v>
      </c>
      <c r="H160" s="51" t="s">
        <v>35</v>
      </c>
      <c r="I160" s="59">
        <v>44440</v>
      </c>
      <c r="J160" s="60">
        <f ca="1">EFEITO!$J$160*EFEITO!$Y$133</f>
        <v>32825.170360892495</v>
      </c>
      <c r="K160" s="60">
        <f ca="1">EFEITO!$L$160*EFEITO!$Z$133</f>
        <v>13612.068206199116</v>
      </c>
      <c r="L160" s="60">
        <f>EFEITO!$N$160*EFEITO!$AA$133</f>
        <v>66109.567115599886</v>
      </c>
      <c r="M160" s="60">
        <f ca="1">$J$160-EFEITO!$K$160*EFEITO!$Y$160</f>
        <v>656.50340721785324</v>
      </c>
      <c r="N160" s="60">
        <f ca="1">$K$160-EFEITO!$M$160*EFEITO!$Z$160</f>
        <v>272.24136412398184</v>
      </c>
      <c r="O160" s="60">
        <f>$L$160-EFEITO!$O$160*EFEITO!$AA$160</f>
        <v>1322.1913423120059</v>
      </c>
      <c r="P160" s="18"/>
      <c r="Q160" s="18"/>
      <c r="R160" s="18"/>
      <c r="S160" s="18"/>
      <c r="T160" s="18"/>
      <c r="U160" s="18"/>
      <c r="V160" s="18"/>
      <c r="W160" s="18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1" t="s">
        <v>21</v>
      </c>
      <c r="B161" s="51" t="s">
        <v>39</v>
      </c>
      <c r="C161" s="51" t="s">
        <v>40</v>
      </c>
      <c r="D161" s="51" t="s">
        <v>45</v>
      </c>
      <c r="E161" s="51" t="s">
        <v>53</v>
      </c>
      <c r="F161" s="51" t="s">
        <v>25</v>
      </c>
      <c r="G161" s="51" t="s">
        <v>25</v>
      </c>
      <c r="H161" s="51" t="s">
        <v>35</v>
      </c>
      <c r="I161" s="59">
        <v>44470</v>
      </c>
      <c r="J161" s="60">
        <f ca="1">EFEITO!$J$161*EFEITO!$Y$133</f>
        <v>41491.015336168108</v>
      </c>
      <c r="K161" s="60">
        <f ca="1">EFEITO!$L$161*EFEITO!$Z$133</f>
        <v>40798.161290479889</v>
      </c>
      <c r="L161" s="60">
        <f>EFEITO!$N$161*EFEITO!$AA$133</f>
        <v>198143.93677499591</v>
      </c>
      <c r="M161" s="60">
        <f ca="1">$J$161-EFEITO!$K$161*EFEITO!$Y$161</f>
        <v>829.82030672336259</v>
      </c>
      <c r="N161" s="60">
        <f ca="1">$K$161-EFEITO!$M$161*EFEITO!$Z$161</f>
        <v>815.96322580959531</v>
      </c>
      <c r="O161" s="60">
        <f>$L$161-EFEITO!$O$161*EFEITO!$AA$161</f>
        <v>3962.8787354999222</v>
      </c>
      <c r="P161" s="18"/>
      <c r="Q161" s="18"/>
      <c r="R161" s="18"/>
      <c r="S161" s="18"/>
      <c r="T161" s="18"/>
      <c r="U161" s="18"/>
      <c r="V161" s="18"/>
      <c r="W161" s="18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1" t="s">
        <v>21</v>
      </c>
      <c r="B162" s="51" t="s">
        <v>39</v>
      </c>
      <c r="C162" s="51" t="s">
        <v>40</v>
      </c>
      <c r="D162" s="51" t="s">
        <v>45</v>
      </c>
      <c r="E162" s="51" t="s">
        <v>53</v>
      </c>
      <c r="F162" s="51" t="s">
        <v>25</v>
      </c>
      <c r="G162" s="51" t="s">
        <v>25</v>
      </c>
      <c r="H162" s="51" t="s">
        <v>35</v>
      </c>
      <c r="I162" s="59">
        <v>44501</v>
      </c>
      <c r="J162" s="60">
        <f ca="1">EFEITO!$J$162*EFEITO!$Y$133</f>
        <v>49631.657585669447</v>
      </c>
      <c r="K162" s="60">
        <f ca="1">EFEITO!$L$162*EFEITO!$Z$133</f>
        <v>47489.651894791037</v>
      </c>
      <c r="L162" s="60">
        <f>EFEITO!$N$162*EFEITO!$AA$133</f>
        <v>230642.41830682158</v>
      </c>
      <c r="M162" s="60">
        <f ca="1">$J$162-EFEITO!$K$162*EFEITO!$Y$162</f>
        <v>992.63315171338763</v>
      </c>
      <c r="N162" s="60">
        <f ca="1">$K$162-EFEITO!$M$162*EFEITO!$Z$162</f>
        <v>949.79303789582627</v>
      </c>
      <c r="O162" s="60">
        <f>$L$162-EFEITO!$O$162*EFEITO!$AA$162</f>
        <v>4612.8483661364589</v>
      </c>
      <c r="P162" s="18"/>
      <c r="Q162" s="18"/>
      <c r="R162" s="18"/>
      <c r="S162" s="18"/>
      <c r="T162" s="18"/>
      <c r="U162" s="18"/>
      <c r="V162" s="18"/>
      <c r="W162" s="18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1" t="s">
        <v>21</v>
      </c>
      <c r="B163" s="51" t="s">
        <v>39</v>
      </c>
      <c r="C163" s="51" t="s">
        <v>40</v>
      </c>
      <c r="D163" s="51" t="s">
        <v>45</v>
      </c>
      <c r="E163" s="51" t="s">
        <v>53</v>
      </c>
      <c r="F163" s="51" t="s">
        <v>25</v>
      </c>
      <c r="G163" s="51" t="s">
        <v>25</v>
      </c>
      <c r="H163" s="51" t="s">
        <v>35</v>
      </c>
      <c r="I163" s="59">
        <v>44531</v>
      </c>
      <c r="J163" s="60">
        <f ca="1">EFEITO!$J$163*EFEITO!$Y$133</f>
        <v>49894.258948556584</v>
      </c>
      <c r="K163" s="60">
        <f ca="1">EFEITO!$L$163*EFEITO!$Z$133</f>
        <v>32015.666021162368</v>
      </c>
      <c r="L163" s="60">
        <f>EFEITO!$N$163*EFEITO!$AA$133</f>
        <v>155490.09816250869</v>
      </c>
      <c r="M163" s="60">
        <f ca="1">$J$163-EFEITO!$K$163*EFEITO!$Y$163</f>
        <v>997.88517897112615</v>
      </c>
      <c r="N163" s="60">
        <f ca="1">$K$163-EFEITO!$M$163*EFEITO!$Z$163</f>
        <v>640.31332042324721</v>
      </c>
      <c r="O163" s="60">
        <f>$L$163-EFEITO!$O$163*EFEITO!$AA$163</f>
        <v>3109.8019632501819</v>
      </c>
      <c r="P163" s="18"/>
      <c r="Q163" s="18"/>
      <c r="R163" s="18"/>
      <c r="S163" s="18"/>
      <c r="T163" s="18"/>
      <c r="U163" s="18"/>
      <c r="V163" s="18"/>
      <c r="W163" s="18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1" t="s">
        <v>21</v>
      </c>
      <c r="B164" s="51" t="s">
        <v>39</v>
      </c>
      <c r="C164" s="51" t="s">
        <v>40</v>
      </c>
      <c r="D164" s="51" t="s">
        <v>45</v>
      </c>
      <c r="E164" s="51" t="s">
        <v>53</v>
      </c>
      <c r="F164" s="51" t="s">
        <v>25</v>
      </c>
      <c r="G164" s="51" t="s">
        <v>25</v>
      </c>
      <c r="H164" s="51" t="s">
        <v>35</v>
      </c>
      <c r="I164" s="59">
        <v>44562</v>
      </c>
      <c r="J164" s="60">
        <f ca="1">EFEITO!$J$164*EFEITO!$Y$133</f>
        <v>4956.6007244947659</v>
      </c>
      <c r="K164" s="60">
        <f ca="1">EFEITO!$L$164*EFEITO!$Z$133</f>
        <v>23826.655859686798</v>
      </c>
      <c r="L164" s="60">
        <f>EFEITO!$N$164*EFEITO!$AA$133</f>
        <v>115718.63149928329</v>
      </c>
      <c r="M164" s="60">
        <f ca="1">$J$164-EFEITO!$K$164*EFEITO!$Y$164</f>
        <v>99.132014489895482</v>
      </c>
      <c r="N164" s="60">
        <f ca="1">$K$164-EFEITO!$M$164*EFEITO!$Z$164</f>
        <v>476.53311719373596</v>
      </c>
      <c r="O164" s="60">
        <f>$L$164-EFEITO!$O$164*EFEITO!$AA$164</f>
        <v>2314.3726299856789</v>
      </c>
      <c r="P164" s="18"/>
      <c r="Q164" s="18"/>
      <c r="R164" s="18"/>
      <c r="S164" s="18"/>
      <c r="T164" s="18"/>
      <c r="U164" s="18"/>
      <c r="V164" s="18"/>
      <c r="W164" s="18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1" t="s">
        <v>21</v>
      </c>
      <c r="B165" s="51" t="s">
        <v>39</v>
      </c>
      <c r="C165" s="51" t="s">
        <v>40</v>
      </c>
      <c r="D165" s="51" t="s">
        <v>45</v>
      </c>
      <c r="E165" s="51" t="s">
        <v>53</v>
      </c>
      <c r="F165" s="51" t="s">
        <v>25</v>
      </c>
      <c r="G165" s="51" t="s">
        <v>25</v>
      </c>
      <c r="H165" s="51" t="s">
        <v>35</v>
      </c>
      <c r="I165" s="59">
        <v>44593</v>
      </c>
      <c r="J165" s="60">
        <f ca="1">EFEITO!$J$165*EFEITO!$Y$133</f>
        <v>41753.616699055252</v>
      </c>
      <c r="K165" s="60">
        <f ca="1">EFEITO!$L$165*EFEITO!$Z$133</f>
        <v>56761.748256402738</v>
      </c>
      <c r="L165" s="60">
        <f>EFEITO!$N$165*EFEITO!$AA$133</f>
        <v>275674.0966260003</v>
      </c>
      <c r="M165" s="60">
        <f ca="1">$J$165-EFEITO!$K$165*EFEITO!$Y$165</f>
        <v>835.07233398110839</v>
      </c>
      <c r="N165" s="60">
        <f ca="1">$K$165-EFEITO!$M$165*EFEITO!$Z$165</f>
        <v>1135.2349651280529</v>
      </c>
      <c r="O165" s="60">
        <f>$L$165-EFEITO!$O$165*EFEITO!$AA$165</f>
        <v>5513.4819325200515</v>
      </c>
      <c r="P165" s="18"/>
      <c r="Q165" s="18"/>
      <c r="R165" s="18"/>
      <c r="S165" s="18"/>
      <c r="T165" s="18"/>
      <c r="U165" s="18"/>
      <c r="V165" s="18"/>
      <c r="W165" s="18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1" t="s">
        <v>56</v>
      </c>
      <c r="B166" s="51" t="s">
        <v>39</v>
      </c>
      <c r="C166" s="51" t="s">
        <v>40</v>
      </c>
      <c r="D166" s="51" t="s">
        <v>45</v>
      </c>
      <c r="E166" s="51" t="s">
        <v>53</v>
      </c>
      <c r="F166" s="51" t="s">
        <v>25</v>
      </c>
      <c r="G166" s="51" t="s">
        <v>25</v>
      </c>
      <c r="H166" s="51" t="s">
        <v>35</v>
      </c>
      <c r="I166" s="59">
        <v>44621</v>
      </c>
      <c r="J166" s="60">
        <f ca="1">EFEITO!$J$166*EFEITO!$Y$133</f>
        <v>41753.616699055252</v>
      </c>
      <c r="K166" s="60">
        <f ca="1">EFEITO!$L$166*EFEITO!$Z$133</f>
        <v>56761.748256402738</v>
      </c>
      <c r="L166" s="60">
        <f>EFEITO!$N$166*EFEITO!$AA$133</f>
        <v>275674.0966260003</v>
      </c>
      <c r="M166" s="60">
        <f ca="1">$J$166-EFEITO!$K$166*EFEITO!$Y$166</f>
        <v>835.07233398110839</v>
      </c>
      <c r="N166" s="60">
        <f ca="1">$K$166-EFEITO!$M$166*EFEITO!$Z$166</f>
        <v>1135.2349651280529</v>
      </c>
      <c r="O166" s="60">
        <f>$L$166-EFEITO!$O$166*EFEITO!$AA$166</f>
        <v>5513.4819325200515</v>
      </c>
      <c r="P166" s="18"/>
      <c r="Q166" s="18"/>
      <c r="R166" s="18"/>
      <c r="S166" s="18"/>
      <c r="T166" s="18"/>
      <c r="U166" s="18"/>
      <c r="V166" s="18"/>
      <c r="W166" s="18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1" t="s">
        <v>21</v>
      </c>
      <c r="B167" s="51" t="s">
        <v>39</v>
      </c>
      <c r="C167" s="51" t="s">
        <v>40</v>
      </c>
      <c r="D167" s="51" t="s">
        <v>45</v>
      </c>
      <c r="E167" s="51" t="s">
        <v>53</v>
      </c>
      <c r="F167" s="51" t="s">
        <v>25</v>
      </c>
      <c r="G167" s="51" t="s">
        <v>25</v>
      </c>
      <c r="H167" s="51" t="s">
        <v>34</v>
      </c>
      <c r="I167" s="59">
        <v>44287</v>
      </c>
      <c r="J167" s="60">
        <f ca="1">EFEITO!$J$167*EFEITO!$Y$142</f>
        <v>751.96521714646292</v>
      </c>
      <c r="K167" s="60">
        <f ca="1">EFEITO!$L$167*EFEITO!$Z$142</f>
        <v>51.275790071349732</v>
      </c>
      <c r="L167" s="60">
        <f>EFEITO!$N$167*EFEITO!$AA$142</f>
        <v>403.48994974947283</v>
      </c>
      <c r="M167" s="60">
        <f ca="1">$J$167-EFEITO!$K$167*EFEITO!$Y$167</f>
        <v>15.039304342929199</v>
      </c>
      <c r="N167" s="60">
        <f ca="1">$K$167-EFEITO!$M$167*EFEITO!$Z$167</f>
        <v>1.0255158014269909</v>
      </c>
      <c r="O167" s="60">
        <f>$L$167-EFEITO!$O$167*EFEITO!$AA$167</f>
        <v>8.0697989949895259</v>
      </c>
      <c r="P167" s="18"/>
      <c r="Q167" s="18"/>
      <c r="R167" s="18"/>
      <c r="S167" s="18"/>
      <c r="T167" s="18"/>
      <c r="U167" s="18"/>
      <c r="V167" s="18"/>
      <c r="W167" s="18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1" t="s">
        <v>21</v>
      </c>
      <c r="B168" s="51" t="s">
        <v>39</v>
      </c>
      <c r="C168" s="51" t="s">
        <v>40</v>
      </c>
      <c r="D168" s="51" t="s">
        <v>45</v>
      </c>
      <c r="E168" s="51" t="s">
        <v>53</v>
      </c>
      <c r="F168" s="51" t="s">
        <v>25</v>
      </c>
      <c r="G168" s="51" t="s">
        <v>25</v>
      </c>
      <c r="H168" s="51" t="s">
        <v>34</v>
      </c>
      <c r="I168" s="59">
        <v>44317</v>
      </c>
      <c r="J168" s="60">
        <f ca="1">EFEITO!$J$168*EFEITO!$Y$142</f>
        <v>751.96521714646292</v>
      </c>
      <c r="K168" s="60">
        <f ca="1">EFEITO!$L$168*EFEITO!$Z$142</f>
        <v>50.173084908525006</v>
      </c>
      <c r="L168" s="60">
        <f>EFEITO!$N$168*EFEITO!$AA$142</f>
        <v>394.81274652905404</v>
      </c>
      <c r="M168" s="60">
        <f ca="1">$J$168-EFEITO!$K$168*EFEITO!$Y$168</f>
        <v>15.039304342929199</v>
      </c>
      <c r="N168" s="60">
        <f ca="1">$K$168-EFEITO!$M$168*EFEITO!$Z$168</f>
        <v>1.0034616981704971</v>
      </c>
      <c r="O168" s="60">
        <f>$L$168-EFEITO!$O$168*EFEITO!$AA$168</f>
        <v>7.8962549305811081</v>
      </c>
      <c r="P168" s="18"/>
      <c r="Q168" s="18"/>
      <c r="R168" s="18"/>
      <c r="S168" s="18"/>
      <c r="T168" s="18"/>
      <c r="U168" s="18"/>
      <c r="V168" s="18"/>
      <c r="W168" s="18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1" t="s">
        <v>21</v>
      </c>
      <c r="B169" s="51" t="s">
        <v>39</v>
      </c>
      <c r="C169" s="51" t="s">
        <v>40</v>
      </c>
      <c r="D169" s="51" t="s">
        <v>45</v>
      </c>
      <c r="E169" s="51" t="s">
        <v>53</v>
      </c>
      <c r="F169" s="51" t="s">
        <v>25</v>
      </c>
      <c r="G169" s="51" t="s">
        <v>25</v>
      </c>
      <c r="H169" s="51" t="s">
        <v>34</v>
      </c>
      <c r="I169" s="59">
        <v>44348</v>
      </c>
      <c r="J169" s="60">
        <f ca="1">EFEITO!$J$169*EFEITO!$Y$142</f>
        <v>751.96521714646292</v>
      </c>
      <c r="K169" s="60">
        <f ca="1">EFEITO!$L$169*EFEITO!$Z$142</f>
        <v>49.621732327112646</v>
      </c>
      <c r="L169" s="60">
        <f>EFEITO!$N$169*EFEITO!$AA$142</f>
        <v>390.47414491884467</v>
      </c>
      <c r="M169" s="60">
        <f ca="1">$J$169-EFEITO!$K$169*EFEITO!$Y$169</f>
        <v>15.039304342929199</v>
      </c>
      <c r="N169" s="60">
        <f ca="1">$K$169-EFEITO!$M$169*EFEITO!$Z$169</f>
        <v>0.99243464654225733</v>
      </c>
      <c r="O169" s="60">
        <f>$L$169-EFEITO!$O$169*EFEITO!$AA$169</f>
        <v>7.8094828983769276</v>
      </c>
      <c r="P169" s="18"/>
      <c r="Q169" s="18"/>
      <c r="R169" s="18"/>
      <c r="S169" s="18"/>
      <c r="T169" s="18"/>
      <c r="U169" s="18"/>
      <c r="V169" s="18"/>
      <c r="W169" s="18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1" t="s">
        <v>21</v>
      </c>
      <c r="B170" s="51" t="s">
        <v>39</v>
      </c>
      <c r="C170" s="51" t="s">
        <v>40</v>
      </c>
      <c r="D170" s="51" t="s">
        <v>45</v>
      </c>
      <c r="E170" s="51" t="s">
        <v>53</v>
      </c>
      <c r="F170" s="51" t="s">
        <v>25</v>
      </c>
      <c r="G170" s="51" t="s">
        <v>25</v>
      </c>
      <c r="H170" s="51" t="s">
        <v>34</v>
      </c>
      <c r="I170" s="59">
        <v>44378</v>
      </c>
      <c r="J170" s="60">
        <f ca="1">EFEITO!$J$170*EFEITO!$Y$142</f>
        <v>751.96521714646292</v>
      </c>
      <c r="K170" s="60">
        <f ca="1">EFEITO!$L$170*EFEITO!$Z$142</f>
        <v>54.032552978411537</v>
      </c>
      <c r="L170" s="60">
        <f>EFEITO!$N$170*EFEITO!$AA$142</f>
        <v>425.18295780051966</v>
      </c>
      <c r="M170" s="60">
        <f ca="1">$J$170-EFEITO!$K$170*EFEITO!$Y$170</f>
        <v>15.039304342929199</v>
      </c>
      <c r="N170" s="60">
        <f ca="1">$K$170-EFEITO!$M$170*EFEITO!$Z$170</f>
        <v>1.0806510595682326</v>
      </c>
      <c r="O170" s="60">
        <f>$L$170-EFEITO!$O$170*EFEITO!$AA$170</f>
        <v>8.5036591560104284</v>
      </c>
      <c r="P170" s="18"/>
      <c r="Q170" s="18"/>
      <c r="R170" s="18"/>
      <c r="S170" s="18"/>
      <c r="T170" s="18"/>
      <c r="U170" s="18"/>
      <c r="V170" s="18"/>
      <c r="W170" s="18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1" t="s">
        <v>21</v>
      </c>
      <c r="B171" s="51" t="s">
        <v>39</v>
      </c>
      <c r="C171" s="51" t="s">
        <v>40</v>
      </c>
      <c r="D171" s="51" t="s">
        <v>45</v>
      </c>
      <c r="E171" s="51" t="s">
        <v>53</v>
      </c>
      <c r="F171" s="51" t="s">
        <v>25</v>
      </c>
      <c r="G171" s="51" t="s">
        <v>25</v>
      </c>
      <c r="H171" s="51" t="s">
        <v>34</v>
      </c>
      <c r="I171" s="59">
        <v>44409</v>
      </c>
      <c r="J171" s="60">
        <f ca="1">EFEITO!$J$171*EFEITO!$Y$142</f>
        <v>751.96521714646292</v>
      </c>
      <c r="K171" s="60">
        <f ca="1">EFEITO!$L$171*EFEITO!$Z$142</f>
        <v>53.756876687705358</v>
      </c>
      <c r="L171" s="60">
        <f>EFEITO!$N$171*EFEITO!$AA$142</f>
        <v>423.01365699541498</v>
      </c>
      <c r="M171" s="60">
        <f ca="1">$J$171-EFEITO!$K$171*EFEITO!$Y$171</f>
        <v>15.039304342929199</v>
      </c>
      <c r="N171" s="60">
        <f ca="1">$K$171-EFEITO!$M$171*EFEITO!$Z$171</f>
        <v>1.0751375337541091</v>
      </c>
      <c r="O171" s="60">
        <f>$L$171-EFEITO!$O$171*EFEITO!$AA$171</f>
        <v>8.4602731399083382</v>
      </c>
      <c r="P171" s="18"/>
      <c r="Q171" s="18"/>
      <c r="R171" s="18"/>
      <c r="S171" s="18"/>
      <c r="T171" s="18"/>
      <c r="U171" s="18"/>
      <c r="V171" s="18"/>
      <c r="W171" s="18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1" t="s">
        <v>21</v>
      </c>
      <c r="B172" s="51" t="s">
        <v>39</v>
      </c>
      <c r="C172" s="51" t="s">
        <v>40</v>
      </c>
      <c r="D172" s="51" t="s">
        <v>45</v>
      </c>
      <c r="E172" s="51" t="s">
        <v>53</v>
      </c>
      <c r="F172" s="51" t="s">
        <v>25</v>
      </c>
      <c r="G172" s="51" t="s">
        <v>25</v>
      </c>
      <c r="H172" s="51" t="s">
        <v>34</v>
      </c>
      <c r="I172" s="59">
        <v>44440</v>
      </c>
      <c r="J172" s="60">
        <f ca="1">EFEITO!$J$172*EFEITO!$Y$142</f>
        <v>751.96521714646292</v>
      </c>
      <c r="K172" s="60">
        <f ca="1">EFEITO!$L$172*EFEITO!$Z$142</f>
        <v>52.929847815586811</v>
      </c>
      <c r="L172" s="60">
        <f>EFEITO!$N$172*EFEITO!$AA$142</f>
        <v>416.50575458010093</v>
      </c>
      <c r="M172" s="60">
        <f ca="1">$J$172-EFEITO!$K$172*EFEITO!$Y$172</f>
        <v>15.039304342929199</v>
      </c>
      <c r="N172" s="60">
        <f ca="1">$K$172-EFEITO!$M$172*EFEITO!$Z$172</f>
        <v>1.0585969563117317</v>
      </c>
      <c r="O172" s="60">
        <f>$L$172-EFEITO!$O$172*EFEITO!$AA$172</f>
        <v>8.3301150916020674</v>
      </c>
      <c r="P172" s="18"/>
      <c r="Q172" s="18"/>
      <c r="R172" s="18"/>
      <c r="S172" s="18"/>
      <c r="T172" s="18"/>
      <c r="U172" s="18"/>
      <c r="V172" s="18"/>
      <c r="W172" s="18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1" t="s">
        <v>21</v>
      </c>
      <c r="B173" s="51" t="s">
        <v>39</v>
      </c>
      <c r="C173" s="51" t="s">
        <v>40</v>
      </c>
      <c r="D173" s="51" t="s">
        <v>45</v>
      </c>
      <c r="E173" s="51" t="s">
        <v>53</v>
      </c>
      <c r="F173" s="51" t="s">
        <v>25</v>
      </c>
      <c r="G173" s="51" t="s">
        <v>25</v>
      </c>
      <c r="H173" s="51" t="s">
        <v>34</v>
      </c>
      <c r="I173" s="59">
        <v>44470</v>
      </c>
      <c r="J173" s="60">
        <f ca="1">EFEITO!$J$173*EFEITO!$Y$142</f>
        <v>751.96521714646292</v>
      </c>
      <c r="K173" s="60">
        <f ca="1">EFEITO!$L$173*EFEITO!$Z$142</f>
        <v>49.621732327112646</v>
      </c>
      <c r="L173" s="60">
        <f>EFEITO!$N$173*EFEITO!$AA$142</f>
        <v>390.47414491884467</v>
      </c>
      <c r="M173" s="60">
        <f ca="1">$J$173-EFEITO!$K$173*EFEITO!$Y$173</f>
        <v>15.039304342929199</v>
      </c>
      <c r="N173" s="60">
        <f ca="1">$K$173-EFEITO!$M$173*EFEITO!$Z$173</f>
        <v>0.99243464654225733</v>
      </c>
      <c r="O173" s="60">
        <f>$L$173-EFEITO!$O$173*EFEITO!$AA$173</f>
        <v>7.8094828983769276</v>
      </c>
      <c r="P173" s="18"/>
      <c r="Q173" s="18"/>
      <c r="R173" s="18"/>
      <c r="S173" s="18"/>
      <c r="T173" s="18"/>
      <c r="U173" s="18"/>
      <c r="V173" s="18"/>
      <c r="W173" s="18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1" t="s">
        <v>21</v>
      </c>
      <c r="B174" s="51" t="s">
        <v>39</v>
      </c>
      <c r="C174" s="51" t="s">
        <v>40</v>
      </c>
      <c r="D174" s="51" t="s">
        <v>45</v>
      </c>
      <c r="E174" s="51" t="s">
        <v>53</v>
      </c>
      <c r="F174" s="51" t="s">
        <v>25</v>
      </c>
      <c r="G174" s="51" t="s">
        <v>25</v>
      </c>
      <c r="H174" s="51" t="s">
        <v>34</v>
      </c>
      <c r="I174" s="59">
        <v>44501</v>
      </c>
      <c r="J174" s="60">
        <f ca="1">EFEITO!$J$174*EFEITO!$Y$142</f>
        <v>751.96521714646292</v>
      </c>
      <c r="K174" s="60">
        <f ca="1">EFEITO!$L$174*EFEITO!$Z$142</f>
        <v>49.346056036406459</v>
      </c>
      <c r="L174" s="60">
        <f>EFEITO!$N$174*EFEITO!$AA$142</f>
        <v>388.30484411373993</v>
      </c>
      <c r="M174" s="60">
        <f ca="1">$J$174-EFEITO!$K$174*EFEITO!$Y$174</f>
        <v>15.039304342929199</v>
      </c>
      <c r="N174" s="60">
        <f ca="1">$K$174-EFEITO!$M$174*EFEITO!$Z$174</f>
        <v>0.98692112072812677</v>
      </c>
      <c r="O174" s="60">
        <f>$L$174-EFEITO!$O$174*EFEITO!$AA$174</f>
        <v>7.7660968822747805</v>
      </c>
      <c r="P174" s="18"/>
      <c r="Q174" s="18"/>
      <c r="R174" s="18"/>
      <c r="S174" s="18"/>
      <c r="T174" s="18"/>
      <c r="U174" s="18"/>
      <c r="V174" s="18"/>
      <c r="W174" s="18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1" t="s">
        <v>21</v>
      </c>
      <c r="B175" s="51" t="s">
        <v>39</v>
      </c>
      <c r="C175" s="51" t="s">
        <v>40</v>
      </c>
      <c r="D175" s="51" t="s">
        <v>45</v>
      </c>
      <c r="E175" s="51" t="s">
        <v>53</v>
      </c>
      <c r="F175" s="51" t="s">
        <v>25</v>
      </c>
      <c r="G175" s="51" t="s">
        <v>25</v>
      </c>
      <c r="H175" s="51" t="s">
        <v>34</v>
      </c>
      <c r="I175" s="59">
        <v>44531</v>
      </c>
      <c r="J175" s="60">
        <f ca="1">EFEITO!$J$175*EFEITO!$Y$142</f>
        <v>751.96521714646292</v>
      </c>
      <c r="K175" s="60">
        <f ca="1">EFEITO!$L$175*EFEITO!$Z$142</f>
        <v>56.51363959476717</v>
      </c>
      <c r="L175" s="60">
        <f>EFEITO!$N$175*EFEITO!$AA$142</f>
        <v>444.70666504646192</v>
      </c>
      <c r="M175" s="60">
        <f ca="1">$J$175-EFEITO!$K$175*EFEITO!$Y$175</f>
        <v>15.039304342929199</v>
      </c>
      <c r="N175" s="60">
        <f ca="1">$K$175-EFEITO!$M$175*EFEITO!$Z$175</f>
        <v>1.1302727918953437</v>
      </c>
      <c r="O175" s="60">
        <f>$L$175-EFEITO!$O$175*EFEITO!$AA$175</f>
        <v>8.8941333009292407</v>
      </c>
      <c r="P175" s="18"/>
      <c r="Q175" s="18"/>
      <c r="R175" s="18"/>
      <c r="S175" s="18"/>
      <c r="T175" s="18"/>
      <c r="U175" s="18"/>
      <c r="V175" s="18"/>
      <c r="W175" s="18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1" t="s">
        <v>21</v>
      </c>
      <c r="B176" s="51" t="s">
        <v>39</v>
      </c>
      <c r="C176" s="51" t="s">
        <v>40</v>
      </c>
      <c r="D176" s="51" t="s">
        <v>45</v>
      </c>
      <c r="E176" s="51" t="s">
        <v>53</v>
      </c>
      <c r="F176" s="51" t="s">
        <v>25</v>
      </c>
      <c r="G176" s="51" t="s">
        <v>25</v>
      </c>
      <c r="H176" s="51" t="s">
        <v>34</v>
      </c>
      <c r="I176" s="59">
        <v>44562</v>
      </c>
      <c r="J176" s="60">
        <f ca="1">EFEITO!$J$176*EFEITO!$Y$142</f>
        <v>62.663768095538579</v>
      </c>
      <c r="K176" s="60">
        <f ca="1">EFEITO!$L$176*EFEITO!$Z$142</f>
        <v>52.975793864037847</v>
      </c>
      <c r="L176" s="60">
        <f>EFEITO!$N$176*EFEITO!$AA$142</f>
        <v>416.86730471428507</v>
      </c>
      <c r="M176" s="60">
        <f ca="1">$J$176-EFEITO!$K$176*EFEITO!$Y$176</f>
        <v>1.2532753619107737</v>
      </c>
      <c r="N176" s="60">
        <f ca="1">$K$176-EFEITO!$M$176*EFEITO!$Z$176</f>
        <v>1.0595158772807594</v>
      </c>
      <c r="O176" s="60">
        <f>$L$176-EFEITO!$O$176*EFEITO!$AA$176</f>
        <v>8.3373460942857491</v>
      </c>
      <c r="P176" s="18"/>
      <c r="Q176" s="18"/>
      <c r="R176" s="18"/>
      <c r="S176" s="18"/>
      <c r="T176" s="18"/>
      <c r="U176" s="18"/>
      <c r="V176" s="18"/>
      <c r="W176" s="18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1" t="s">
        <v>21</v>
      </c>
      <c r="B177" s="51" t="s">
        <v>39</v>
      </c>
      <c r="C177" s="51" t="s">
        <v>40</v>
      </c>
      <c r="D177" s="51" t="s">
        <v>45</v>
      </c>
      <c r="E177" s="51" t="s">
        <v>53</v>
      </c>
      <c r="F177" s="51" t="s">
        <v>25</v>
      </c>
      <c r="G177" s="51" t="s">
        <v>25</v>
      </c>
      <c r="H177" s="51" t="s">
        <v>34</v>
      </c>
      <c r="I177" s="59">
        <v>44593</v>
      </c>
      <c r="J177" s="60">
        <f ca="1">EFEITO!$J$177*EFEITO!$Y$142</f>
        <v>751.96521714646292</v>
      </c>
      <c r="K177" s="60">
        <f ca="1">EFEITO!$L$177*EFEITO!$Z$142</f>
        <v>466.99563645627114</v>
      </c>
      <c r="L177" s="60">
        <f>EFEITO!$N$177*EFEITO!$AA$142</f>
        <v>3674.7955638473486</v>
      </c>
      <c r="M177" s="60">
        <f ca="1">$J$177-EFEITO!$K$177*EFEITO!$Y$177</f>
        <v>15.039304342929199</v>
      </c>
      <c r="N177" s="60">
        <f ca="1">$K$177-EFEITO!$M$177*EFEITO!$Z$177</f>
        <v>9.3399127291253876</v>
      </c>
      <c r="O177" s="60">
        <f>$L$177-EFEITO!$O$177*EFEITO!$AA$177</f>
        <v>73.495911276947027</v>
      </c>
      <c r="P177" s="18"/>
      <c r="Q177" s="18"/>
      <c r="R177" s="18"/>
      <c r="S177" s="18"/>
      <c r="T177" s="18"/>
      <c r="U177" s="18"/>
      <c r="V177" s="18"/>
      <c r="W177" s="18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1" t="s">
        <v>56</v>
      </c>
      <c r="B178" s="51" t="s">
        <v>39</v>
      </c>
      <c r="C178" s="51" t="s">
        <v>40</v>
      </c>
      <c r="D178" s="51" t="s">
        <v>45</v>
      </c>
      <c r="E178" s="51" t="s">
        <v>53</v>
      </c>
      <c r="F178" s="51" t="s">
        <v>25</v>
      </c>
      <c r="G178" s="51" t="s">
        <v>25</v>
      </c>
      <c r="H178" s="51" t="s">
        <v>34</v>
      </c>
      <c r="I178" s="59">
        <v>44621</v>
      </c>
      <c r="J178" s="60">
        <f ca="1">EFEITO!$J$178*EFEITO!$Y$142</f>
        <v>751.96521714646292</v>
      </c>
      <c r="K178" s="60">
        <f ca="1">EFEITO!$L$178*EFEITO!$Z$142</f>
        <v>466.99563645627114</v>
      </c>
      <c r="L178" s="60">
        <f>EFEITO!$N$178*EFEITO!$AA$142</f>
        <v>3674.7955638473486</v>
      </c>
      <c r="M178" s="60">
        <f ca="1">$J$178-EFEITO!$K$178*EFEITO!$Y$178</f>
        <v>15.039304342929199</v>
      </c>
      <c r="N178" s="60">
        <f ca="1">$K$178-EFEITO!$M$178*EFEITO!$Z$178</f>
        <v>9.3399127291253876</v>
      </c>
      <c r="O178" s="60">
        <f>$L$178-EFEITO!$O$178*EFEITO!$AA$178</f>
        <v>73.495911276947027</v>
      </c>
      <c r="P178" s="18"/>
      <c r="Q178" s="18"/>
      <c r="R178" s="18"/>
      <c r="S178" s="18"/>
      <c r="T178" s="18"/>
      <c r="U178" s="18"/>
      <c r="V178" s="18"/>
      <c r="W178" s="18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1" t="s">
        <v>21</v>
      </c>
      <c r="B179" s="51" t="s">
        <v>39</v>
      </c>
      <c r="C179" s="51" t="s">
        <v>40</v>
      </c>
      <c r="D179" s="51" t="s">
        <v>50</v>
      </c>
      <c r="E179" s="51" t="s">
        <v>51</v>
      </c>
      <c r="F179" s="51" t="s">
        <v>25</v>
      </c>
      <c r="G179" s="51" t="s">
        <v>25</v>
      </c>
      <c r="H179" s="51" t="s">
        <v>35</v>
      </c>
      <c r="I179" s="59">
        <v>44287</v>
      </c>
      <c r="J179" s="60">
        <f ca="1">EFEITO!$J$179*EFEITO!$Y$133</f>
        <v>105040.54515485596</v>
      </c>
      <c r="K179" s="60">
        <f ca="1">EFEITO!$L$179*EFEITO!$Z$133</f>
        <v>283509.40277635521</v>
      </c>
      <c r="L179" s="60">
        <f>EFEITO!$N$179*EFEITO!$AA$133</f>
        <v>1376916.6894279467</v>
      </c>
      <c r="M179" s="60">
        <f ca="1">$J$179-EFEITO!$K$179*EFEITO!$Y$179</f>
        <v>3151.2163546456868</v>
      </c>
      <c r="N179" s="60">
        <f ca="1">$K$179-EFEITO!$M$179*EFEITO!$Z$179</f>
        <v>8505.2820832906873</v>
      </c>
      <c r="O179" s="60">
        <f>$L$179-EFEITO!$O$179*EFEITO!$AA$179</f>
        <v>41307.500682838494</v>
      </c>
      <c r="P179" s="18"/>
      <c r="Q179" s="18"/>
      <c r="R179" s="18"/>
      <c r="S179" s="18"/>
      <c r="T179" s="18"/>
      <c r="U179" s="18"/>
      <c r="V179" s="18"/>
      <c r="W179" s="18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1" t="s">
        <v>21</v>
      </c>
      <c r="B180" s="51" t="s">
        <v>39</v>
      </c>
      <c r="C180" s="51" t="s">
        <v>40</v>
      </c>
      <c r="D180" s="51" t="s">
        <v>50</v>
      </c>
      <c r="E180" s="51" t="s">
        <v>51</v>
      </c>
      <c r="F180" s="51" t="s">
        <v>25</v>
      </c>
      <c r="G180" s="51" t="s">
        <v>25</v>
      </c>
      <c r="H180" s="51" t="s">
        <v>35</v>
      </c>
      <c r="I180" s="59">
        <v>44317</v>
      </c>
      <c r="J180" s="60">
        <f ca="1">EFEITO!$J$180*EFEITO!$Y$133</f>
        <v>105040.54515485596</v>
      </c>
      <c r="K180" s="60">
        <f ca="1">EFEITO!$L$180*EFEITO!$Z$133</f>
        <v>292726.36387982569</v>
      </c>
      <c r="L180" s="60">
        <f>EFEITO!$N$180*EFEITO!$AA$133</f>
        <v>1421680.5930053808</v>
      </c>
      <c r="M180" s="60">
        <f ca="1">$J$180-EFEITO!$K$180*EFEITO!$Y$180</f>
        <v>3151.2163546456868</v>
      </c>
      <c r="N180" s="60">
        <f ca="1">$K$180-EFEITO!$M$180*EFEITO!$Z$180</f>
        <v>8781.7909163947916</v>
      </c>
      <c r="O180" s="60">
        <f>$L$180-EFEITO!$O$180*EFEITO!$AA$180</f>
        <v>42650.417790161446</v>
      </c>
      <c r="P180" s="18"/>
      <c r="Q180" s="18"/>
      <c r="R180" s="18"/>
      <c r="S180" s="18"/>
      <c r="T180" s="18"/>
      <c r="U180" s="18"/>
      <c r="V180" s="18"/>
      <c r="W180" s="18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1" t="s">
        <v>21</v>
      </c>
      <c r="B181" s="51" t="s">
        <v>39</v>
      </c>
      <c r="C181" s="51" t="s">
        <v>40</v>
      </c>
      <c r="D181" s="51" t="s">
        <v>50</v>
      </c>
      <c r="E181" s="51" t="s">
        <v>51</v>
      </c>
      <c r="F181" s="51" t="s">
        <v>25</v>
      </c>
      <c r="G181" s="51" t="s">
        <v>25</v>
      </c>
      <c r="H181" s="51" t="s">
        <v>35</v>
      </c>
      <c r="I181" s="59">
        <v>44348</v>
      </c>
      <c r="J181" s="60">
        <f ca="1">EFEITO!$J$181*EFEITO!$Y$133</f>
        <v>105040.54515485596</v>
      </c>
      <c r="K181" s="60">
        <f ca="1">EFEITO!$L$181*EFEITO!$Z$133</f>
        <v>271110.86160184472</v>
      </c>
      <c r="L181" s="60">
        <f>EFEITO!$N$181*EFEITO!$AA$133</f>
        <v>1316700.844378144</v>
      </c>
      <c r="M181" s="60">
        <f ca="1">$J$181-EFEITO!$K$181*EFEITO!$Y$181</f>
        <v>3151.2163546456868</v>
      </c>
      <c r="N181" s="60">
        <f ca="1">$K$181-EFEITO!$M$181*EFEITO!$Z$181</f>
        <v>8133.3258480553632</v>
      </c>
      <c r="O181" s="60">
        <f>$L$181-EFEITO!$O$181*EFEITO!$AA$181</f>
        <v>39501.025331344223</v>
      </c>
      <c r="P181" s="18"/>
      <c r="Q181" s="18"/>
      <c r="R181" s="18"/>
      <c r="S181" s="18"/>
      <c r="T181" s="18"/>
      <c r="U181" s="18"/>
      <c r="V181" s="18"/>
      <c r="W181" s="18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1" t="s">
        <v>21</v>
      </c>
      <c r="B182" s="51" t="s">
        <v>39</v>
      </c>
      <c r="C182" s="51" t="s">
        <v>40</v>
      </c>
      <c r="D182" s="51" t="s">
        <v>50</v>
      </c>
      <c r="E182" s="51" t="s">
        <v>51</v>
      </c>
      <c r="F182" s="51" t="s">
        <v>25</v>
      </c>
      <c r="G182" s="51" t="s">
        <v>25</v>
      </c>
      <c r="H182" s="51" t="s">
        <v>35</v>
      </c>
      <c r="I182" s="59">
        <v>44378</v>
      </c>
      <c r="J182" s="60">
        <f ca="1">EFEITO!$J$182*EFEITO!$Y$133</f>
        <v>105040.54515485596</v>
      </c>
      <c r="K182" s="60">
        <f ca="1">EFEITO!$L$182*EFEITO!$Z$133</f>
        <v>286496.63106244738</v>
      </c>
      <c r="L182" s="60">
        <f>EFEITO!$N$182*EFEITO!$AA$133</f>
        <v>1391424.7249356657</v>
      </c>
      <c r="M182" s="60">
        <f ca="1">$J$182-EFEITO!$K$182*EFEITO!$Y$182</f>
        <v>3151.2163546456868</v>
      </c>
      <c r="N182" s="60">
        <f ca="1">$K$182-EFEITO!$M$182*EFEITO!$Z$182</f>
        <v>8594.8989318733802</v>
      </c>
      <c r="O182" s="60">
        <f>$L$182-EFEITO!$O$182*EFEITO!$AA$182</f>
        <v>41742.741748070111</v>
      </c>
      <c r="P182" s="18"/>
      <c r="Q182" s="18"/>
      <c r="R182" s="18"/>
      <c r="S182" s="18"/>
      <c r="T182" s="18"/>
      <c r="U182" s="18"/>
      <c r="V182" s="18"/>
      <c r="W182" s="18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1" t="s">
        <v>21</v>
      </c>
      <c r="B183" s="51" t="s">
        <v>39</v>
      </c>
      <c r="C183" s="51" t="s">
        <v>40</v>
      </c>
      <c r="D183" s="51" t="s">
        <v>50</v>
      </c>
      <c r="E183" s="51" t="s">
        <v>51</v>
      </c>
      <c r="F183" s="51" t="s">
        <v>25</v>
      </c>
      <c r="G183" s="51" t="s">
        <v>25</v>
      </c>
      <c r="H183" s="51" t="s">
        <v>34</v>
      </c>
      <c r="I183" s="59">
        <v>44287</v>
      </c>
      <c r="J183" s="60">
        <f ca="1">EFEITO!$J$183*EFEITO!$Y$142</f>
        <v>117901.87967175584</v>
      </c>
      <c r="K183" s="60">
        <f ca="1">EFEITO!$L$183*EFEITO!$Z$142</f>
        <v>10043.300784862246</v>
      </c>
      <c r="L183" s="60">
        <f>EFEITO!$N$183*EFEITO!$AA$142</f>
        <v>79030.882281171595</v>
      </c>
      <c r="M183" s="60">
        <f ca="1">$J$183-EFEITO!$K$183*EFEITO!$Y$183</f>
        <v>3537.0563901526766</v>
      </c>
      <c r="N183" s="60">
        <f ca="1">$K$183-EFEITO!$M$183*EFEITO!$Z$183</f>
        <v>301.29902354586739</v>
      </c>
      <c r="O183" s="60">
        <f>$L$183-EFEITO!$O$183*EFEITO!$AA$183</f>
        <v>2370.926468435151</v>
      </c>
      <c r="P183" s="18"/>
      <c r="Q183" s="18"/>
      <c r="R183" s="18"/>
      <c r="S183" s="18"/>
      <c r="T183" s="18"/>
      <c r="U183" s="18"/>
      <c r="V183" s="18"/>
      <c r="W183" s="18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1" t="s">
        <v>21</v>
      </c>
      <c r="B184" s="51" t="s">
        <v>39</v>
      </c>
      <c r="C184" s="51" t="s">
        <v>40</v>
      </c>
      <c r="D184" s="51" t="s">
        <v>50</v>
      </c>
      <c r="E184" s="51" t="s">
        <v>51</v>
      </c>
      <c r="F184" s="51" t="s">
        <v>25</v>
      </c>
      <c r="G184" s="51" t="s">
        <v>25</v>
      </c>
      <c r="H184" s="51" t="s">
        <v>34</v>
      </c>
      <c r="I184" s="59">
        <v>44317</v>
      </c>
      <c r="J184" s="60">
        <f ca="1">EFEITO!$J$184*EFEITO!$Y$142</f>
        <v>115927.97097674636</v>
      </c>
      <c r="K184" s="60">
        <f ca="1">EFEITO!$L$184*EFEITO!$Z$142</f>
        <v>10563.731675667064</v>
      </c>
      <c r="L184" s="60">
        <f>EFEITO!$N$184*EFEITO!$AA$142</f>
        <v>83126.160651075072</v>
      </c>
      <c r="M184" s="60">
        <f ca="1">$J$184-EFEITO!$K$184*EFEITO!$Y$184</f>
        <v>3477.8391293023888</v>
      </c>
      <c r="N184" s="60">
        <f ca="1">$K$184-EFEITO!$M$184*EFEITO!$Z$184</f>
        <v>316.91195027001231</v>
      </c>
      <c r="O184" s="60">
        <f>$L$184-EFEITO!$O$184*EFEITO!$AA$184</f>
        <v>2493.7848195322586</v>
      </c>
      <c r="P184" s="18"/>
      <c r="Q184" s="18"/>
      <c r="R184" s="18"/>
      <c r="S184" s="18"/>
      <c r="T184" s="18"/>
      <c r="U184" s="18"/>
      <c r="V184" s="18"/>
      <c r="W184" s="18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1" t="s">
        <v>21</v>
      </c>
      <c r="B185" s="51" t="s">
        <v>39</v>
      </c>
      <c r="C185" s="51" t="s">
        <v>40</v>
      </c>
      <c r="D185" s="51" t="s">
        <v>50</v>
      </c>
      <c r="E185" s="51" t="s">
        <v>51</v>
      </c>
      <c r="F185" s="51" t="s">
        <v>25</v>
      </c>
      <c r="G185" s="51" t="s">
        <v>25</v>
      </c>
      <c r="H185" s="51" t="s">
        <v>34</v>
      </c>
      <c r="I185" s="59">
        <v>44348</v>
      </c>
      <c r="J185" s="60">
        <f ca="1">EFEITO!$J$185*EFEITO!$Y$142</f>
        <v>115927.97097674636</v>
      </c>
      <c r="K185" s="60">
        <f ca="1">EFEITO!$L$185*EFEITO!$Z$142</f>
        <v>10559.320855015765</v>
      </c>
      <c r="L185" s="60">
        <f>EFEITO!$N$185*EFEITO!$AA$142</f>
        <v>83091.451838193403</v>
      </c>
      <c r="M185" s="60">
        <f ca="1">$J$185-EFEITO!$K$185*EFEITO!$Y$185</f>
        <v>3477.8391293023888</v>
      </c>
      <c r="N185" s="60">
        <f ca="1">$K$185-EFEITO!$M$185*EFEITO!$Z$185</f>
        <v>316.77962565047346</v>
      </c>
      <c r="O185" s="60">
        <f>$L$185-EFEITO!$O$185*EFEITO!$AA$185</f>
        <v>2492.7435551458038</v>
      </c>
      <c r="P185" s="18"/>
      <c r="Q185" s="18"/>
      <c r="R185" s="18"/>
      <c r="S185" s="18"/>
      <c r="T185" s="18"/>
      <c r="U185" s="18"/>
      <c r="V185" s="18"/>
      <c r="W185" s="18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1" t="s">
        <v>21</v>
      </c>
      <c r="B186" s="51" t="s">
        <v>39</v>
      </c>
      <c r="C186" s="51" t="s">
        <v>40</v>
      </c>
      <c r="D186" s="51" t="s">
        <v>50</v>
      </c>
      <c r="E186" s="51" t="s">
        <v>51</v>
      </c>
      <c r="F186" s="51" t="s">
        <v>25</v>
      </c>
      <c r="G186" s="51" t="s">
        <v>25</v>
      </c>
      <c r="H186" s="51" t="s">
        <v>34</v>
      </c>
      <c r="I186" s="59">
        <v>44378</v>
      </c>
      <c r="J186" s="60">
        <f ca="1">EFEITO!$J$186*EFEITO!$Y$142</f>
        <v>117369.23764294376</v>
      </c>
      <c r="K186" s="60">
        <f ca="1">EFEITO!$L$186*EFEITO!$Z$142</f>
        <v>11083.427429696667</v>
      </c>
      <c r="L186" s="60">
        <f>EFEITO!$N$186*EFEITO!$AA$142</f>
        <v>87215.654218831609</v>
      </c>
      <c r="M186" s="60">
        <f ca="1">$J$186-EFEITO!$K$186*EFEITO!$Y$186</f>
        <v>3521.0771292883146</v>
      </c>
      <c r="N186" s="60">
        <f ca="1">$K$186-EFEITO!$M$186*EFEITO!$Z$186</f>
        <v>332.50282289089955</v>
      </c>
      <c r="O186" s="60">
        <f>$L$186-EFEITO!$O$186*EFEITO!$AA$186</f>
        <v>2616.4696265649545</v>
      </c>
      <c r="P186" s="18"/>
      <c r="Q186" s="18"/>
      <c r="R186" s="18"/>
      <c r="S186" s="18"/>
      <c r="T186" s="18"/>
      <c r="U186" s="18"/>
      <c r="V186" s="18"/>
      <c r="W186" s="18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1" t="s">
        <v>21</v>
      </c>
      <c r="B187" s="51" t="s">
        <v>39</v>
      </c>
      <c r="C187" s="51" t="s">
        <v>61</v>
      </c>
      <c r="D187" s="51" t="s">
        <v>25</v>
      </c>
      <c r="E187" s="51" t="s">
        <v>25</v>
      </c>
      <c r="F187" s="51" t="s">
        <v>64</v>
      </c>
      <c r="G187" s="51" t="s">
        <v>65</v>
      </c>
      <c r="H187" s="51" t="s">
        <v>25</v>
      </c>
      <c r="I187" s="59">
        <v>44287</v>
      </c>
      <c r="J187" s="60">
        <f ca="1">EFEITO!$J$187*EFEITO!$Y$187</f>
        <v>0</v>
      </c>
      <c r="K187" s="60">
        <f ca="1">EFEITO!$L$187*EFEITO!$Z$187</f>
        <v>0</v>
      </c>
      <c r="L187" s="60">
        <f>EFEITO!$N$187*EFEITO!$AA$187</f>
        <v>7964762.0347111616</v>
      </c>
      <c r="M187" s="60">
        <f ca="1">$J$187-EFEITO!$K$187*EFEITO!$Y$187</f>
        <v>0</v>
      </c>
      <c r="N187" s="60">
        <f ca="1">$K$187-EFEITO!$M$187*EFEITO!$Z$187</f>
        <v>0</v>
      </c>
      <c r="O187" s="60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1" t="s">
        <v>21</v>
      </c>
      <c r="B188" s="51" t="s">
        <v>39</v>
      </c>
      <c r="C188" s="51" t="s">
        <v>61</v>
      </c>
      <c r="D188" s="51" t="s">
        <v>25</v>
      </c>
      <c r="E188" s="51" t="s">
        <v>25</v>
      </c>
      <c r="F188" s="51" t="s">
        <v>64</v>
      </c>
      <c r="G188" s="51" t="s">
        <v>65</v>
      </c>
      <c r="H188" s="51" t="s">
        <v>25</v>
      </c>
      <c r="I188" s="59">
        <v>44317</v>
      </c>
      <c r="J188" s="60">
        <f ca="1">EFEITO!$J$188*EFEITO!$Y$188</f>
        <v>0</v>
      </c>
      <c r="K188" s="60">
        <f ca="1">EFEITO!$L$188*EFEITO!$Z$188</f>
        <v>0</v>
      </c>
      <c r="L188" s="60">
        <f>EFEITO!$N$188*EFEITO!$AA$188</f>
        <v>7270298.2839932702</v>
      </c>
      <c r="M188" s="60">
        <f ca="1">$J$188-EFEITO!$K$188*EFEITO!$Y$188</f>
        <v>0</v>
      </c>
      <c r="N188" s="60">
        <f ca="1">$K$188-EFEITO!$M$188*EFEITO!$Z$188</f>
        <v>0</v>
      </c>
      <c r="O188" s="60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1" t="s">
        <v>21</v>
      </c>
      <c r="B189" s="51" t="s">
        <v>39</v>
      </c>
      <c r="C189" s="51" t="s">
        <v>61</v>
      </c>
      <c r="D189" s="51" t="s">
        <v>25</v>
      </c>
      <c r="E189" s="51" t="s">
        <v>25</v>
      </c>
      <c r="F189" s="51" t="s">
        <v>64</v>
      </c>
      <c r="G189" s="51" t="s">
        <v>65</v>
      </c>
      <c r="H189" s="51" t="s">
        <v>25</v>
      </c>
      <c r="I189" s="59">
        <v>44348</v>
      </c>
      <c r="J189" s="60">
        <f ca="1">EFEITO!$J$189*EFEITO!$Y$189</f>
        <v>0</v>
      </c>
      <c r="K189" s="60">
        <f ca="1">EFEITO!$L$189*EFEITO!$Z$189</f>
        <v>0</v>
      </c>
      <c r="L189" s="60">
        <f>EFEITO!$N$189*EFEITO!$AA$189</f>
        <v>6999814.2507529501</v>
      </c>
      <c r="M189" s="60">
        <f ca="1">$J$189-EFEITO!$K$189*EFEITO!$Y$189</f>
        <v>0</v>
      </c>
      <c r="N189" s="60">
        <f ca="1">$K$189-EFEITO!$M$189*EFEITO!$Z$189</f>
        <v>0</v>
      </c>
      <c r="O189" s="60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1" t="s">
        <v>21</v>
      </c>
      <c r="B190" s="51" t="s">
        <v>39</v>
      </c>
      <c r="C190" s="51" t="s">
        <v>61</v>
      </c>
      <c r="D190" s="51" t="s">
        <v>25</v>
      </c>
      <c r="E190" s="51" t="s">
        <v>25</v>
      </c>
      <c r="F190" s="51" t="s">
        <v>64</v>
      </c>
      <c r="G190" s="51" t="s">
        <v>65</v>
      </c>
      <c r="H190" s="51" t="s">
        <v>25</v>
      </c>
      <c r="I190" s="59">
        <v>44378</v>
      </c>
      <c r="J190" s="60">
        <f ca="1">EFEITO!$J$190*EFEITO!$Y$190</f>
        <v>0</v>
      </c>
      <c r="K190" s="60">
        <f ca="1">EFEITO!$L$190*EFEITO!$Z$190</f>
        <v>0</v>
      </c>
      <c r="L190" s="60">
        <f>EFEITO!$N$190*EFEITO!$AA$190</f>
        <v>6776633.6254957672</v>
      </c>
      <c r="M190" s="60">
        <f ca="1">$J$190-EFEITO!$K$190*EFEITO!$Y$190</f>
        <v>0</v>
      </c>
      <c r="N190" s="60">
        <f ca="1">$K$190-EFEITO!$M$190*EFEITO!$Z$190</f>
        <v>0</v>
      </c>
      <c r="O190" s="60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1" t="s">
        <v>21</v>
      </c>
      <c r="B191" s="51" t="s">
        <v>39</v>
      </c>
      <c r="C191" s="51" t="s">
        <v>61</v>
      </c>
      <c r="D191" s="51" t="s">
        <v>25</v>
      </c>
      <c r="E191" s="51" t="s">
        <v>25</v>
      </c>
      <c r="F191" s="51" t="s">
        <v>64</v>
      </c>
      <c r="G191" s="51" t="s">
        <v>65</v>
      </c>
      <c r="H191" s="51" t="s">
        <v>25</v>
      </c>
      <c r="I191" s="59">
        <v>44409</v>
      </c>
      <c r="J191" s="60">
        <f ca="1">EFEITO!$J$191*EFEITO!$Y$191</f>
        <v>0</v>
      </c>
      <c r="K191" s="60">
        <f ca="1">EFEITO!$L$191*EFEITO!$Z$191</f>
        <v>0</v>
      </c>
      <c r="L191" s="60">
        <f>EFEITO!$N$191*EFEITO!$AA$191</f>
        <v>6747364.1600084733</v>
      </c>
      <c r="M191" s="60">
        <f ca="1">$J$191-EFEITO!$K$191*EFEITO!$Y$191</f>
        <v>0</v>
      </c>
      <c r="N191" s="60">
        <f ca="1">$K$191-EFEITO!$M$191*EFEITO!$Z$191</f>
        <v>0</v>
      </c>
      <c r="O191" s="60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1" t="s">
        <v>21</v>
      </c>
      <c r="B192" s="51" t="s">
        <v>39</v>
      </c>
      <c r="C192" s="51" t="s">
        <v>61</v>
      </c>
      <c r="D192" s="51" t="s">
        <v>25</v>
      </c>
      <c r="E192" s="51" t="s">
        <v>25</v>
      </c>
      <c r="F192" s="51" t="s">
        <v>64</v>
      </c>
      <c r="G192" s="51" t="s">
        <v>65</v>
      </c>
      <c r="H192" s="51" t="s">
        <v>25</v>
      </c>
      <c r="I192" s="59">
        <v>44440</v>
      </c>
      <c r="J192" s="60">
        <f ca="1">EFEITO!$J$192*EFEITO!$Y$192</f>
        <v>0</v>
      </c>
      <c r="K192" s="60">
        <f ca="1">EFEITO!$L$192*EFEITO!$Z$192</f>
        <v>0</v>
      </c>
      <c r="L192" s="60">
        <f>EFEITO!$N$192*EFEITO!$AA$192</f>
        <v>6742772.3740933081</v>
      </c>
      <c r="M192" s="60">
        <f ca="1">$J$192-EFEITO!$K$192*EFEITO!$Y$192</f>
        <v>0</v>
      </c>
      <c r="N192" s="60">
        <f ca="1">$K$192-EFEITO!$M$192*EFEITO!$Z$192</f>
        <v>0</v>
      </c>
      <c r="O192" s="60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1" t="s">
        <v>21</v>
      </c>
      <c r="B193" s="51" t="s">
        <v>39</v>
      </c>
      <c r="C193" s="51" t="s">
        <v>61</v>
      </c>
      <c r="D193" s="51" t="s">
        <v>25</v>
      </c>
      <c r="E193" s="51" t="s">
        <v>25</v>
      </c>
      <c r="F193" s="51" t="s">
        <v>64</v>
      </c>
      <c r="G193" s="51" t="s">
        <v>65</v>
      </c>
      <c r="H193" s="51" t="s">
        <v>25</v>
      </c>
      <c r="I193" s="59">
        <v>44470</v>
      </c>
      <c r="J193" s="60">
        <f ca="1">EFEITO!$J$193*EFEITO!$Y$193</f>
        <v>0</v>
      </c>
      <c r="K193" s="60">
        <f ca="1">EFEITO!$L$193*EFEITO!$Z$193</f>
        <v>0</v>
      </c>
      <c r="L193" s="60">
        <f>EFEITO!$N$193*EFEITO!$AA$193</f>
        <v>6968747.1725887945</v>
      </c>
      <c r="M193" s="60">
        <f ca="1">$J$193-EFEITO!$K$193*EFEITO!$Y$193</f>
        <v>0</v>
      </c>
      <c r="N193" s="60">
        <f ca="1">$K$193-EFEITO!$M$193*EFEITO!$Z$193</f>
        <v>0</v>
      </c>
      <c r="O193" s="60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1" t="s">
        <v>21</v>
      </c>
      <c r="B194" s="51" t="s">
        <v>39</v>
      </c>
      <c r="C194" s="51" t="s">
        <v>61</v>
      </c>
      <c r="D194" s="51" t="s">
        <v>25</v>
      </c>
      <c r="E194" s="51" t="s">
        <v>25</v>
      </c>
      <c r="F194" s="51" t="s">
        <v>64</v>
      </c>
      <c r="G194" s="51" t="s">
        <v>65</v>
      </c>
      <c r="H194" s="51" t="s">
        <v>25</v>
      </c>
      <c r="I194" s="59">
        <v>44501</v>
      </c>
      <c r="J194" s="60">
        <f ca="1">EFEITO!$J$194*EFEITO!$Y$194</f>
        <v>0</v>
      </c>
      <c r="K194" s="60">
        <f ca="1">EFEITO!$L$194*EFEITO!$Z$194</f>
        <v>0</v>
      </c>
      <c r="L194" s="60">
        <f>EFEITO!$N$194*EFEITO!$AA$194</f>
        <v>7664113.9136780081</v>
      </c>
      <c r="M194" s="60">
        <f ca="1">$J$194-EFEITO!$K$194*EFEITO!$Y$194</f>
        <v>0</v>
      </c>
      <c r="N194" s="60">
        <f ca="1">$K$194-EFEITO!$M$194*EFEITO!$Z$194</f>
        <v>0</v>
      </c>
      <c r="O194" s="60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1" t="s">
        <v>21</v>
      </c>
      <c r="B195" s="51" t="s">
        <v>39</v>
      </c>
      <c r="C195" s="51" t="s">
        <v>61</v>
      </c>
      <c r="D195" s="51" t="s">
        <v>25</v>
      </c>
      <c r="E195" s="51" t="s">
        <v>25</v>
      </c>
      <c r="F195" s="51" t="s">
        <v>64</v>
      </c>
      <c r="G195" s="51" t="s">
        <v>65</v>
      </c>
      <c r="H195" s="51" t="s">
        <v>25</v>
      </c>
      <c r="I195" s="59">
        <v>44531</v>
      </c>
      <c r="J195" s="60">
        <f ca="1">EFEITO!$J$195*EFEITO!$Y$195</f>
        <v>0</v>
      </c>
      <c r="K195" s="60">
        <f ca="1">EFEITO!$L$195*EFEITO!$Z$195</f>
        <v>0</v>
      </c>
      <c r="L195" s="60">
        <f>EFEITO!$N$195*EFEITO!$AA$195</f>
        <v>7455001.0213132296</v>
      </c>
      <c r="M195" s="60">
        <f ca="1">$J$195-EFEITO!$K$195*EFEITO!$Y$195</f>
        <v>0</v>
      </c>
      <c r="N195" s="60">
        <f ca="1">$K$195-EFEITO!$M$195*EFEITO!$Z$195</f>
        <v>0</v>
      </c>
      <c r="O195" s="60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1" t="s">
        <v>21</v>
      </c>
      <c r="B196" s="51" t="s">
        <v>39</v>
      </c>
      <c r="C196" s="51" t="s">
        <v>61</v>
      </c>
      <c r="D196" s="51" t="s">
        <v>25</v>
      </c>
      <c r="E196" s="51" t="s">
        <v>25</v>
      </c>
      <c r="F196" s="51" t="s">
        <v>64</v>
      </c>
      <c r="G196" s="51" t="s">
        <v>65</v>
      </c>
      <c r="H196" s="51" t="s">
        <v>25</v>
      </c>
      <c r="I196" s="59">
        <v>44562</v>
      </c>
      <c r="J196" s="60">
        <f ca="1">EFEITO!$J$196*EFEITO!$Y$196</f>
        <v>0</v>
      </c>
      <c r="K196" s="60">
        <f ca="1">EFEITO!$L$196*EFEITO!$Z$196</f>
        <v>0</v>
      </c>
      <c r="L196" s="60">
        <f>EFEITO!$N$196*EFEITO!$AA$196</f>
        <v>7917391.9357795101</v>
      </c>
      <c r="M196" s="60">
        <f ca="1">$J$196-EFEITO!$K$196*EFEITO!$Y$196</f>
        <v>0</v>
      </c>
      <c r="N196" s="60">
        <f ca="1">$K$196-EFEITO!$M$196*EFEITO!$Z$196</f>
        <v>0</v>
      </c>
      <c r="O196" s="60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1" t="s">
        <v>21</v>
      </c>
      <c r="B197" s="51" t="s">
        <v>39</v>
      </c>
      <c r="C197" s="51" t="s">
        <v>69</v>
      </c>
      <c r="D197" s="51" t="s">
        <v>25</v>
      </c>
      <c r="E197" s="51" t="s">
        <v>25</v>
      </c>
      <c r="F197" s="51" t="s">
        <v>70</v>
      </c>
      <c r="G197" s="51" t="s">
        <v>71</v>
      </c>
      <c r="H197" s="51" t="s">
        <v>25</v>
      </c>
      <c r="I197" s="59">
        <v>44287</v>
      </c>
      <c r="J197" s="60">
        <f ca="1">EFEITO!$J$197*EFEITO!$Y$197</f>
        <v>58249.953476811192</v>
      </c>
      <c r="K197" s="60">
        <f>EFEITO!$L$197*EFEITO!$Z$197</f>
        <v>0</v>
      </c>
      <c r="L197" s="60">
        <f>EFEITO!$N$197*EFEITO!$AA$197</f>
        <v>0</v>
      </c>
      <c r="M197" s="60">
        <f ca="1">$J$197-EFEITO!$K$197*EFEITO!$Y$197</f>
        <v>29124.976738405596</v>
      </c>
      <c r="N197" s="60">
        <f>$K$197-EFEITO!$M$197*EFEITO!$Z$197</f>
        <v>0</v>
      </c>
      <c r="O197" s="60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1" t="s">
        <v>21</v>
      </c>
      <c r="B198" s="51" t="s">
        <v>39</v>
      </c>
      <c r="C198" s="51" t="s">
        <v>69</v>
      </c>
      <c r="D198" s="51" t="s">
        <v>25</v>
      </c>
      <c r="E198" s="51" t="s">
        <v>25</v>
      </c>
      <c r="F198" s="51" t="s">
        <v>70</v>
      </c>
      <c r="G198" s="51" t="s">
        <v>73</v>
      </c>
      <c r="H198" s="51" t="s">
        <v>25</v>
      </c>
      <c r="I198" s="59">
        <v>44287</v>
      </c>
      <c r="J198" s="60">
        <f ca="1">EFEITO!$J$198*EFEITO!$Y$198</f>
        <v>129559.50506408182</v>
      </c>
      <c r="K198" s="60">
        <f>EFEITO!$L$198*EFEITO!$Z$198</f>
        <v>0</v>
      </c>
      <c r="L198" s="60">
        <f>EFEITO!$N$198*EFEITO!$AA$198</f>
        <v>0</v>
      </c>
      <c r="M198" s="60">
        <f ca="1">$J$198-EFEITO!$K$198*EFEITO!$Y$198</f>
        <v>64779.752532040911</v>
      </c>
      <c r="N198" s="60">
        <f>$K$198-EFEITO!$M$198*EFEITO!$Z$198</f>
        <v>0</v>
      </c>
      <c r="O198" s="60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1" t="s">
        <v>21</v>
      </c>
      <c r="B199" s="51" t="s">
        <v>39</v>
      </c>
      <c r="C199" s="51" t="s">
        <v>69</v>
      </c>
      <c r="D199" s="51" t="s">
        <v>25</v>
      </c>
      <c r="E199" s="51" t="s">
        <v>25</v>
      </c>
      <c r="F199" s="51" t="s">
        <v>70</v>
      </c>
      <c r="G199" s="51" t="s">
        <v>75</v>
      </c>
      <c r="H199" s="51" t="s">
        <v>25</v>
      </c>
      <c r="I199" s="59">
        <v>44287</v>
      </c>
      <c r="J199" s="60">
        <f ca="1">EFEITO!$J$199*EFEITO!$Y$199</f>
        <v>168427.35658330636</v>
      </c>
      <c r="K199" s="60">
        <f>EFEITO!$L$199*EFEITO!$Z$199</f>
        <v>0</v>
      </c>
      <c r="L199" s="60">
        <f>EFEITO!$N$199*EFEITO!$AA$199</f>
        <v>0</v>
      </c>
      <c r="M199" s="60">
        <f ca="1">$J$199-EFEITO!$K$199*EFEITO!$Y$199</f>
        <v>84213.678291653181</v>
      </c>
      <c r="N199" s="60">
        <f>$K$199-EFEITO!$M$199*EFEITO!$Z$199</f>
        <v>0</v>
      </c>
      <c r="O199" s="60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1" t="s">
        <v>21</v>
      </c>
      <c r="B200" s="51" t="s">
        <v>39</v>
      </c>
      <c r="C200" s="51" t="s">
        <v>69</v>
      </c>
      <c r="D200" s="51" t="s">
        <v>25</v>
      </c>
      <c r="E200" s="51" t="s">
        <v>25</v>
      </c>
      <c r="F200" s="51" t="s">
        <v>70</v>
      </c>
      <c r="G200" s="51" t="s">
        <v>71</v>
      </c>
      <c r="H200" s="51" t="s">
        <v>25</v>
      </c>
      <c r="I200" s="59">
        <v>44317</v>
      </c>
      <c r="J200" s="60">
        <f ca="1">EFEITO!$J$200*EFEITO!$Y$200</f>
        <v>59234.60571529821</v>
      </c>
      <c r="K200" s="60">
        <f>EFEITO!$L$200*EFEITO!$Z$200</f>
        <v>0</v>
      </c>
      <c r="L200" s="60">
        <f>EFEITO!$N$200*EFEITO!$AA$200</f>
        <v>0</v>
      </c>
      <c r="M200" s="60">
        <f ca="1">$J$200-EFEITO!$K$200*EFEITO!$Y$200</f>
        <v>29617.302857649105</v>
      </c>
      <c r="N200" s="60">
        <f>$K$200-EFEITO!$M$200*EFEITO!$Z$200</f>
        <v>0</v>
      </c>
      <c r="O200" s="60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1" t="s">
        <v>21</v>
      </c>
      <c r="B201" s="51" t="s">
        <v>39</v>
      </c>
      <c r="C201" s="51" t="s">
        <v>69</v>
      </c>
      <c r="D201" s="51" t="s">
        <v>25</v>
      </c>
      <c r="E201" s="51" t="s">
        <v>25</v>
      </c>
      <c r="F201" s="51" t="s">
        <v>70</v>
      </c>
      <c r="G201" s="51" t="s">
        <v>73</v>
      </c>
      <c r="H201" s="51" t="s">
        <v>25</v>
      </c>
      <c r="I201" s="59">
        <v>44317</v>
      </c>
      <c r="J201" s="60">
        <f ca="1">EFEITO!$J$201*EFEITO!$Y$201</f>
        <v>129559.50506408182</v>
      </c>
      <c r="K201" s="60">
        <f>EFEITO!$L$201*EFEITO!$Z$201</f>
        <v>0</v>
      </c>
      <c r="L201" s="60">
        <f>EFEITO!$N$201*EFEITO!$AA$201</f>
        <v>0</v>
      </c>
      <c r="M201" s="60">
        <f ca="1">$J$201-EFEITO!$K$201*EFEITO!$Y$201</f>
        <v>64779.752532040911</v>
      </c>
      <c r="N201" s="60">
        <f>$K$201-EFEITO!$M$201*EFEITO!$Z$201</f>
        <v>0</v>
      </c>
      <c r="O201" s="60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1" t="s">
        <v>21</v>
      </c>
      <c r="B202" s="51" t="s">
        <v>39</v>
      </c>
      <c r="C202" s="51" t="s">
        <v>69</v>
      </c>
      <c r="D202" s="51" t="s">
        <v>25</v>
      </c>
      <c r="E202" s="51" t="s">
        <v>25</v>
      </c>
      <c r="F202" s="51" t="s">
        <v>70</v>
      </c>
      <c r="G202" s="51" t="s">
        <v>75</v>
      </c>
      <c r="H202" s="51" t="s">
        <v>25</v>
      </c>
      <c r="I202" s="59">
        <v>44317</v>
      </c>
      <c r="J202" s="60">
        <f ca="1">EFEITO!$J$202*EFEITO!$Y$202</f>
        <v>168427.35658330636</v>
      </c>
      <c r="K202" s="60">
        <f>EFEITO!$L$202*EFEITO!$Z$202</f>
        <v>0</v>
      </c>
      <c r="L202" s="60">
        <f>EFEITO!$N$202*EFEITO!$AA$202</f>
        <v>0</v>
      </c>
      <c r="M202" s="60">
        <f ca="1">$J$202-EFEITO!$K$202*EFEITO!$Y$202</f>
        <v>84213.678291653181</v>
      </c>
      <c r="N202" s="60">
        <f>$K$202-EFEITO!$M$202*EFEITO!$Z$202</f>
        <v>0</v>
      </c>
      <c r="O202" s="60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1" t="s">
        <v>21</v>
      </c>
      <c r="B203" s="51" t="s">
        <v>39</v>
      </c>
      <c r="C203" s="51" t="s">
        <v>69</v>
      </c>
      <c r="D203" s="51" t="s">
        <v>25</v>
      </c>
      <c r="E203" s="51" t="s">
        <v>25</v>
      </c>
      <c r="F203" s="51" t="s">
        <v>70</v>
      </c>
      <c r="G203" s="51" t="s">
        <v>71</v>
      </c>
      <c r="H203" s="51" t="s">
        <v>25</v>
      </c>
      <c r="I203" s="59">
        <v>44348</v>
      </c>
      <c r="J203" s="60">
        <f ca="1">EFEITO!$J$203*EFEITO!$Y$203</f>
        <v>64002.395501656421</v>
      </c>
      <c r="K203" s="60">
        <f>EFEITO!$L$203*EFEITO!$Z$203</f>
        <v>0</v>
      </c>
      <c r="L203" s="60">
        <f>EFEITO!$N$203*EFEITO!$AA$203</f>
        <v>0</v>
      </c>
      <c r="M203" s="60">
        <f ca="1">$J$203-EFEITO!$K$203*EFEITO!$Y$203</f>
        <v>32001.197750828211</v>
      </c>
      <c r="N203" s="60">
        <f>$K$203-EFEITO!$M$203*EFEITO!$Z$203</f>
        <v>0</v>
      </c>
      <c r="O203" s="60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1" t="s">
        <v>21</v>
      </c>
      <c r="B204" s="51" t="s">
        <v>39</v>
      </c>
      <c r="C204" s="51" t="s">
        <v>69</v>
      </c>
      <c r="D204" s="51" t="s">
        <v>25</v>
      </c>
      <c r="E204" s="51" t="s">
        <v>25</v>
      </c>
      <c r="F204" s="51" t="s">
        <v>70</v>
      </c>
      <c r="G204" s="51" t="s">
        <v>73</v>
      </c>
      <c r="H204" s="51" t="s">
        <v>25</v>
      </c>
      <c r="I204" s="59">
        <v>44348</v>
      </c>
      <c r="J204" s="60">
        <f ca="1">EFEITO!$J$204*EFEITO!$Y$204</f>
        <v>129559.50506408182</v>
      </c>
      <c r="K204" s="60">
        <f>EFEITO!$L$204*EFEITO!$Z$204</f>
        <v>0</v>
      </c>
      <c r="L204" s="60">
        <f>EFEITO!$N$204*EFEITO!$AA$204</f>
        <v>0</v>
      </c>
      <c r="M204" s="60">
        <f ca="1">$J$204-EFEITO!$K$204*EFEITO!$Y$204</f>
        <v>64779.752532040911</v>
      </c>
      <c r="N204" s="60">
        <f>$K$204-EFEITO!$M$204*EFEITO!$Z$204</f>
        <v>0</v>
      </c>
      <c r="O204" s="60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1" t="s">
        <v>21</v>
      </c>
      <c r="B205" s="51" t="s">
        <v>39</v>
      </c>
      <c r="C205" s="51" t="s">
        <v>69</v>
      </c>
      <c r="D205" s="51" t="s">
        <v>25</v>
      </c>
      <c r="E205" s="51" t="s">
        <v>25</v>
      </c>
      <c r="F205" s="51" t="s">
        <v>70</v>
      </c>
      <c r="G205" s="51" t="s">
        <v>75</v>
      </c>
      <c r="H205" s="51" t="s">
        <v>25</v>
      </c>
      <c r="I205" s="59">
        <v>44348</v>
      </c>
      <c r="J205" s="60">
        <f ca="1">EFEITO!$J$205*EFEITO!$Y$205</f>
        <v>168427.35658330636</v>
      </c>
      <c r="K205" s="60">
        <f>EFEITO!$L$205*EFEITO!$Z$205</f>
        <v>0</v>
      </c>
      <c r="L205" s="60">
        <f>EFEITO!$N$205*EFEITO!$AA$205</f>
        <v>0</v>
      </c>
      <c r="M205" s="60">
        <f ca="1">$J$205-EFEITO!$K$205*EFEITO!$Y$205</f>
        <v>84213.678291653181</v>
      </c>
      <c r="N205" s="60">
        <f>$K$205-EFEITO!$M$205*EFEITO!$Z$205</f>
        <v>0</v>
      </c>
      <c r="O205" s="60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1" t="s">
        <v>21</v>
      </c>
      <c r="B206" s="51" t="s">
        <v>39</v>
      </c>
      <c r="C206" s="51" t="s">
        <v>69</v>
      </c>
      <c r="D206" s="51" t="s">
        <v>25</v>
      </c>
      <c r="E206" s="51" t="s">
        <v>25</v>
      </c>
      <c r="F206" s="51" t="s">
        <v>70</v>
      </c>
      <c r="G206" s="51" t="s">
        <v>71</v>
      </c>
      <c r="H206" s="51" t="s">
        <v>25</v>
      </c>
      <c r="I206" s="59">
        <v>44378</v>
      </c>
      <c r="J206" s="60">
        <f ca="1">EFEITO!$J$206*EFEITO!$Y$206</f>
        <v>63989.439551150012</v>
      </c>
      <c r="K206" s="60">
        <f>EFEITO!$L$206*EFEITO!$Z$206</f>
        <v>0</v>
      </c>
      <c r="L206" s="60">
        <f>EFEITO!$N$206*EFEITO!$AA$206</f>
        <v>0</v>
      </c>
      <c r="M206" s="60">
        <f ca="1">$J$206-EFEITO!$K$206*EFEITO!$Y$206</f>
        <v>31994.719775575006</v>
      </c>
      <c r="N206" s="60">
        <f>$K$206-EFEITO!$M$206*EFEITO!$Z$206</f>
        <v>0</v>
      </c>
      <c r="O206" s="60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1" t="s">
        <v>21</v>
      </c>
      <c r="B207" s="51" t="s">
        <v>39</v>
      </c>
      <c r="C207" s="51" t="s">
        <v>69</v>
      </c>
      <c r="D207" s="51" t="s">
        <v>25</v>
      </c>
      <c r="E207" s="51" t="s">
        <v>25</v>
      </c>
      <c r="F207" s="51" t="s">
        <v>70</v>
      </c>
      <c r="G207" s="51" t="s">
        <v>73</v>
      </c>
      <c r="H207" s="51" t="s">
        <v>25</v>
      </c>
      <c r="I207" s="59">
        <v>44378</v>
      </c>
      <c r="J207" s="60">
        <f ca="1">EFEITO!$J$207*EFEITO!$Y$207</f>
        <v>129559.50506408182</v>
      </c>
      <c r="K207" s="60">
        <f>EFEITO!$L$207*EFEITO!$Z$207</f>
        <v>0</v>
      </c>
      <c r="L207" s="60">
        <f>EFEITO!$N$207*EFEITO!$AA$207</f>
        <v>0</v>
      </c>
      <c r="M207" s="60">
        <f ca="1">$J$207-EFEITO!$K$207*EFEITO!$Y$207</f>
        <v>64779.752532040911</v>
      </c>
      <c r="N207" s="60">
        <f>$K$207-EFEITO!$M$207*EFEITO!$Z$207</f>
        <v>0</v>
      </c>
      <c r="O207" s="60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1" t="s">
        <v>21</v>
      </c>
      <c r="B208" s="51" t="s">
        <v>39</v>
      </c>
      <c r="C208" s="51" t="s">
        <v>69</v>
      </c>
      <c r="D208" s="51" t="s">
        <v>25</v>
      </c>
      <c r="E208" s="51" t="s">
        <v>25</v>
      </c>
      <c r="F208" s="51" t="s">
        <v>70</v>
      </c>
      <c r="G208" s="51" t="s">
        <v>75</v>
      </c>
      <c r="H208" s="51" t="s">
        <v>25</v>
      </c>
      <c r="I208" s="59">
        <v>44378</v>
      </c>
      <c r="J208" s="60">
        <f ca="1">EFEITO!$J$208*EFEITO!$Y$208</f>
        <v>168427.35658330636</v>
      </c>
      <c r="K208" s="60">
        <f>EFEITO!$L$208*EFEITO!$Z$208</f>
        <v>0</v>
      </c>
      <c r="L208" s="60">
        <f>EFEITO!$N$208*EFEITO!$AA$208</f>
        <v>0</v>
      </c>
      <c r="M208" s="60">
        <f ca="1">$J$208-EFEITO!$K$208*EFEITO!$Y$208</f>
        <v>84213.678291653181</v>
      </c>
      <c r="N208" s="60">
        <f>$K$208-EFEITO!$M$208*EFEITO!$Z$208</f>
        <v>0</v>
      </c>
      <c r="O208" s="60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1" t="s">
        <v>21</v>
      </c>
      <c r="B209" s="51" t="s">
        <v>39</v>
      </c>
      <c r="C209" s="51" t="s">
        <v>69</v>
      </c>
      <c r="D209" s="51" t="s">
        <v>25</v>
      </c>
      <c r="E209" s="51" t="s">
        <v>25</v>
      </c>
      <c r="F209" s="51" t="s">
        <v>70</v>
      </c>
      <c r="G209" s="51" t="s">
        <v>71</v>
      </c>
      <c r="H209" s="51" t="s">
        <v>25</v>
      </c>
      <c r="I209" s="59">
        <v>44409</v>
      </c>
      <c r="J209" s="60">
        <f ca="1">EFEITO!$J$209*EFEITO!$Y$209</f>
        <v>63989.439551150012</v>
      </c>
      <c r="K209" s="60">
        <f>EFEITO!$L$209*EFEITO!$Z$209</f>
        <v>0</v>
      </c>
      <c r="L209" s="60">
        <f>EFEITO!$N$209*EFEITO!$AA$209</f>
        <v>0</v>
      </c>
      <c r="M209" s="60">
        <f ca="1">$J$209-EFEITO!$K$209*EFEITO!$Y$209</f>
        <v>31994.719775575006</v>
      </c>
      <c r="N209" s="60">
        <f>$K$209-EFEITO!$M$209*EFEITO!$Z$209</f>
        <v>0</v>
      </c>
      <c r="O209" s="60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1" t="s">
        <v>21</v>
      </c>
      <c r="B210" s="51" t="s">
        <v>39</v>
      </c>
      <c r="C210" s="51" t="s">
        <v>69</v>
      </c>
      <c r="D210" s="51" t="s">
        <v>25</v>
      </c>
      <c r="E210" s="51" t="s">
        <v>25</v>
      </c>
      <c r="F210" s="51" t="s">
        <v>70</v>
      </c>
      <c r="G210" s="51" t="s">
        <v>73</v>
      </c>
      <c r="H210" s="51" t="s">
        <v>25</v>
      </c>
      <c r="I210" s="59">
        <v>44409</v>
      </c>
      <c r="J210" s="60">
        <f ca="1">EFEITO!$J$210*EFEITO!$Y$210</f>
        <v>106238.7941525471</v>
      </c>
      <c r="K210" s="60">
        <f>EFEITO!$L$210*EFEITO!$Z$210</f>
        <v>0</v>
      </c>
      <c r="L210" s="60">
        <f>EFEITO!$N$210*EFEITO!$AA$210</f>
        <v>0</v>
      </c>
      <c r="M210" s="60">
        <f ca="1">$J$210-EFEITO!$K$210*EFEITO!$Y$210</f>
        <v>53119.397076273548</v>
      </c>
      <c r="N210" s="60">
        <f>$K$210-EFEITO!$M$210*EFEITO!$Z$210</f>
        <v>0</v>
      </c>
      <c r="O210" s="60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1" t="s">
        <v>21</v>
      </c>
      <c r="B211" s="51" t="s">
        <v>39</v>
      </c>
      <c r="C211" s="51" t="s">
        <v>69</v>
      </c>
      <c r="D211" s="51" t="s">
        <v>25</v>
      </c>
      <c r="E211" s="51" t="s">
        <v>25</v>
      </c>
      <c r="F211" s="51" t="s">
        <v>70</v>
      </c>
      <c r="G211" s="51" t="s">
        <v>75</v>
      </c>
      <c r="H211" s="51" t="s">
        <v>25</v>
      </c>
      <c r="I211" s="59">
        <v>44409</v>
      </c>
      <c r="J211" s="60">
        <f ca="1">EFEITO!$J$211*EFEITO!$Y$211</f>
        <v>160653.78627946146</v>
      </c>
      <c r="K211" s="60">
        <f>EFEITO!$L$211*EFEITO!$Z$211</f>
        <v>0</v>
      </c>
      <c r="L211" s="60">
        <f>EFEITO!$N$211*EFEITO!$AA$211</f>
        <v>0</v>
      </c>
      <c r="M211" s="60">
        <f ca="1">$J$211-EFEITO!$K$211*EFEITO!$Y$211</f>
        <v>80326.893139730731</v>
      </c>
      <c r="N211" s="60">
        <f>$K$211-EFEITO!$M$211*EFEITO!$Z$211</f>
        <v>0</v>
      </c>
      <c r="O211" s="60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1" t="s">
        <v>21</v>
      </c>
      <c r="B212" s="51" t="s">
        <v>39</v>
      </c>
      <c r="C212" s="51" t="s">
        <v>69</v>
      </c>
      <c r="D212" s="51" t="s">
        <v>25</v>
      </c>
      <c r="E212" s="51" t="s">
        <v>25</v>
      </c>
      <c r="F212" s="51" t="s">
        <v>70</v>
      </c>
      <c r="G212" s="51" t="s">
        <v>71</v>
      </c>
      <c r="H212" s="51" t="s">
        <v>25</v>
      </c>
      <c r="I212" s="59">
        <v>44440</v>
      </c>
      <c r="J212" s="60">
        <f ca="1">EFEITO!$J$212*EFEITO!$Y$212</f>
        <v>64028.307402669241</v>
      </c>
      <c r="K212" s="60">
        <f>EFEITO!$L$212*EFEITO!$Z$212</f>
        <v>0</v>
      </c>
      <c r="L212" s="60">
        <f>EFEITO!$N$212*EFEITO!$AA$212</f>
        <v>0</v>
      </c>
      <c r="M212" s="60">
        <f ca="1">$J$212-EFEITO!$K$212*EFEITO!$Y$212</f>
        <v>32014.153701334621</v>
      </c>
      <c r="N212" s="60">
        <f>$K$212-EFEITO!$M$212*EFEITO!$Z$212</f>
        <v>0</v>
      </c>
      <c r="O212" s="60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1" t="s">
        <v>21</v>
      </c>
      <c r="B213" s="51" t="s">
        <v>39</v>
      </c>
      <c r="C213" s="51" t="s">
        <v>69</v>
      </c>
      <c r="D213" s="51" t="s">
        <v>25</v>
      </c>
      <c r="E213" s="51" t="s">
        <v>25</v>
      </c>
      <c r="F213" s="51" t="s">
        <v>70</v>
      </c>
      <c r="G213" s="51" t="s">
        <v>73</v>
      </c>
      <c r="H213" s="51" t="s">
        <v>25</v>
      </c>
      <c r="I213" s="59">
        <v>44440</v>
      </c>
      <c r="J213" s="60">
        <f ca="1">EFEITO!$J$213*EFEITO!$Y$213</f>
        <v>106238.7941525471</v>
      </c>
      <c r="K213" s="60">
        <f>EFEITO!$L$213*EFEITO!$Z$213</f>
        <v>0</v>
      </c>
      <c r="L213" s="60">
        <f>EFEITO!$N$213*EFEITO!$AA$213</f>
        <v>0</v>
      </c>
      <c r="M213" s="60">
        <f ca="1">$J$213-EFEITO!$K$213*EFEITO!$Y$213</f>
        <v>53119.397076273548</v>
      </c>
      <c r="N213" s="60">
        <f>$K$213-EFEITO!$M$213*EFEITO!$Z$213</f>
        <v>0</v>
      </c>
      <c r="O213" s="60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1" t="s">
        <v>21</v>
      </c>
      <c r="B214" s="51" t="s">
        <v>39</v>
      </c>
      <c r="C214" s="51" t="s">
        <v>69</v>
      </c>
      <c r="D214" s="51" t="s">
        <v>25</v>
      </c>
      <c r="E214" s="51" t="s">
        <v>25</v>
      </c>
      <c r="F214" s="51" t="s">
        <v>70</v>
      </c>
      <c r="G214" s="51" t="s">
        <v>75</v>
      </c>
      <c r="H214" s="51" t="s">
        <v>25</v>
      </c>
      <c r="I214" s="59">
        <v>44440</v>
      </c>
      <c r="J214" s="60">
        <f ca="1">EFEITO!$J$214*EFEITO!$Y$214</f>
        <v>160653.78627946146</v>
      </c>
      <c r="K214" s="60">
        <f>EFEITO!$L$214*EFEITO!$Z$214</f>
        <v>0</v>
      </c>
      <c r="L214" s="60">
        <f>EFEITO!$N$214*EFEITO!$AA$214</f>
        <v>0</v>
      </c>
      <c r="M214" s="60">
        <f ca="1">$J$214-EFEITO!$K$214*EFEITO!$Y$214</f>
        <v>80326.893139730731</v>
      </c>
      <c r="N214" s="60">
        <f>$K$214-EFEITO!$M$214*EFEITO!$Z$214</f>
        <v>0</v>
      </c>
      <c r="O214" s="60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1" t="s">
        <v>21</v>
      </c>
      <c r="B215" s="51" t="s">
        <v>39</v>
      </c>
      <c r="C215" s="51" t="s">
        <v>69</v>
      </c>
      <c r="D215" s="51" t="s">
        <v>25</v>
      </c>
      <c r="E215" s="51" t="s">
        <v>25</v>
      </c>
      <c r="F215" s="51" t="s">
        <v>70</v>
      </c>
      <c r="G215" s="51" t="s">
        <v>71</v>
      </c>
      <c r="H215" s="51" t="s">
        <v>25</v>
      </c>
      <c r="I215" s="59">
        <v>44470</v>
      </c>
      <c r="J215" s="60">
        <f ca="1">EFEITO!$J$215*EFEITO!$Y$215</f>
        <v>57679.89165452923</v>
      </c>
      <c r="K215" s="60">
        <f>EFEITO!$L$215*EFEITO!$Z$215</f>
        <v>0</v>
      </c>
      <c r="L215" s="60">
        <f>EFEITO!$N$215*EFEITO!$AA$215</f>
        <v>0</v>
      </c>
      <c r="M215" s="60">
        <f ca="1">$J$215-EFEITO!$K$215*EFEITO!$Y$215</f>
        <v>28839.945827264615</v>
      </c>
      <c r="N215" s="60">
        <f>$K$215-EFEITO!$M$215*EFEITO!$Z$215</f>
        <v>0</v>
      </c>
      <c r="O215" s="60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1" t="s">
        <v>21</v>
      </c>
      <c r="B216" s="51" t="s">
        <v>39</v>
      </c>
      <c r="C216" s="51" t="s">
        <v>69</v>
      </c>
      <c r="D216" s="51" t="s">
        <v>25</v>
      </c>
      <c r="E216" s="51" t="s">
        <v>25</v>
      </c>
      <c r="F216" s="51" t="s">
        <v>70</v>
      </c>
      <c r="G216" s="51" t="s">
        <v>73</v>
      </c>
      <c r="H216" s="51" t="s">
        <v>25</v>
      </c>
      <c r="I216" s="59">
        <v>44470</v>
      </c>
      <c r="J216" s="60">
        <f ca="1">EFEITO!$J$216*EFEITO!$Y$216</f>
        <v>106238.7941525471</v>
      </c>
      <c r="K216" s="60">
        <f>EFEITO!$L$216*EFEITO!$Z$216</f>
        <v>0</v>
      </c>
      <c r="L216" s="60">
        <f>EFEITO!$N$216*EFEITO!$AA$216</f>
        <v>0</v>
      </c>
      <c r="M216" s="60">
        <f ca="1">$J$216-EFEITO!$K$216*EFEITO!$Y$216</f>
        <v>53119.397076273548</v>
      </c>
      <c r="N216" s="60">
        <f>$K$216-EFEITO!$M$216*EFEITO!$Z$216</f>
        <v>0</v>
      </c>
      <c r="O216" s="60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1" t="s">
        <v>21</v>
      </c>
      <c r="B217" s="51" t="s">
        <v>39</v>
      </c>
      <c r="C217" s="51" t="s">
        <v>69</v>
      </c>
      <c r="D217" s="51" t="s">
        <v>25</v>
      </c>
      <c r="E217" s="51" t="s">
        <v>25</v>
      </c>
      <c r="F217" s="51" t="s">
        <v>70</v>
      </c>
      <c r="G217" s="51" t="s">
        <v>75</v>
      </c>
      <c r="H217" s="51" t="s">
        <v>25</v>
      </c>
      <c r="I217" s="59">
        <v>44470</v>
      </c>
      <c r="J217" s="60">
        <f ca="1">EFEITO!$J$217*EFEITO!$Y$217</f>
        <v>160653.78627946146</v>
      </c>
      <c r="K217" s="60">
        <f>EFEITO!$L$217*EFEITO!$Z$217</f>
        <v>0</v>
      </c>
      <c r="L217" s="60">
        <f>EFEITO!$N$217*EFEITO!$AA$217</f>
        <v>0</v>
      </c>
      <c r="M217" s="60">
        <f ca="1">$J$217-EFEITO!$K$217*EFEITO!$Y$217</f>
        <v>80326.893139730731</v>
      </c>
      <c r="N217" s="60">
        <f>$K$217-EFEITO!$M$217*EFEITO!$Z$217</f>
        <v>0</v>
      </c>
      <c r="O217" s="60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1" t="s">
        <v>21</v>
      </c>
      <c r="B218" s="51" t="s">
        <v>39</v>
      </c>
      <c r="C218" s="51" t="s">
        <v>69</v>
      </c>
      <c r="D218" s="51" t="s">
        <v>25</v>
      </c>
      <c r="E218" s="51" t="s">
        <v>25</v>
      </c>
      <c r="F218" s="51" t="s">
        <v>70</v>
      </c>
      <c r="G218" s="51" t="s">
        <v>71</v>
      </c>
      <c r="H218" s="51" t="s">
        <v>25</v>
      </c>
      <c r="I218" s="59">
        <v>44501</v>
      </c>
      <c r="J218" s="60">
        <f ca="1">EFEITO!$J$218*EFEITO!$Y$218</f>
        <v>57939.010664657391</v>
      </c>
      <c r="K218" s="60">
        <f>EFEITO!$L$218*EFEITO!$Z$218</f>
        <v>0</v>
      </c>
      <c r="L218" s="60">
        <f>EFEITO!$N$218*EFEITO!$AA$218</f>
        <v>0</v>
      </c>
      <c r="M218" s="60">
        <f ca="1">$J$218-EFEITO!$K$218*EFEITO!$Y$218</f>
        <v>28969.505332328696</v>
      </c>
      <c r="N218" s="60">
        <f>$K$218-EFEITO!$M$218*EFEITO!$Z$218</f>
        <v>0</v>
      </c>
      <c r="O218" s="60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1" t="s">
        <v>21</v>
      </c>
      <c r="B219" s="51" t="s">
        <v>39</v>
      </c>
      <c r="C219" s="51" t="s">
        <v>69</v>
      </c>
      <c r="D219" s="51" t="s">
        <v>25</v>
      </c>
      <c r="E219" s="51" t="s">
        <v>25</v>
      </c>
      <c r="F219" s="51" t="s">
        <v>70</v>
      </c>
      <c r="G219" s="51" t="s">
        <v>73</v>
      </c>
      <c r="H219" s="51" t="s">
        <v>25</v>
      </c>
      <c r="I219" s="59">
        <v>44501</v>
      </c>
      <c r="J219" s="60">
        <f ca="1">EFEITO!$J$219*EFEITO!$Y$219</f>
        <v>106238.7941525471</v>
      </c>
      <c r="K219" s="60">
        <f>EFEITO!$L$219*EFEITO!$Z$219</f>
        <v>0</v>
      </c>
      <c r="L219" s="60">
        <f>EFEITO!$N$219*EFEITO!$AA$219</f>
        <v>0</v>
      </c>
      <c r="M219" s="60">
        <f ca="1">$J$219-EFEITO!$K$219*EFEITO!$Y$219</f>
        <v>53119.397076273548</v>
      </c>
      <c r="N219" s="60">
        <f>$K$219-EFEITO!$M$219*EFEITO!$Z$219</f>
        <v>0</v>
      </c>
      <c r="O219" s="60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1" t="s">
        <v>21</v>
      </c>
      <c r="B220" s="51" t="s">
        <v>39</v>
      </c>
      <c r="C220" s="51" t="s">
        <v>69</v>
      </c>
      <c r="D220" s="51" t="s">
        <v>25</v>
      </c>
      <c r="E220" s="51" t="s">
        <v>25</v>
      </c>
      <c r="F220" s="51" t="s">
        <v>70</v>
      </c>
      <c r="G220" s="51" t="s">
        <v>75</v>
      </c>
      <c r="H220" s="51" t="s">
        <v>25</v>
      </c>
      <c r="I220" s="59">
        <v>44501</v>
      </c>
      <c r="J220" s="60">
        <f ca="1">EFEITO!$J$220*EFEITO!$Y$220</f>
        <v>130129.56688636378</v>
      </c>
      <c r="K220" s="60">
        <f>EFEITO!$L$220*EFEITO!$Z$220</f>
        <v>0</v>
      </c>
      <c r="L220" s="60">
        <f>EFEITO!$N$220*EFEITO!$AA$220</f>
        <v>0</v>
      </c>
      <c r="M220" s="60">
        <f ca="1">$J$220-EFEITO!$K$220*EFEITO!$Y$220</f>
        <v>65064.783443181892</v>
      </c>
      <c r="N220" s="60">
        <f>$K$220-EFEITO!$M$220*EFEITO!$Z$220</f>
        <v>0</v>
      </c>
      <c r="O220" s="60">
        <f>$L$220-EFEITO!$O$220*EFEITO!$AA$220</f>
        <v>0</v>
      </c>
      <c r="P220" s="18"/>
      <c r="Q220" s="18"/>
      <c r="R220" s="18"/>
      <c r="S220" s="18"/>
      <c r="T220" s="18"/>
      <c r="U220" s="18"/>
      <c r="V220" s="18"/>
      <c r="W220" s="18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1" t="s">
        <v>21</v>
      </c>
      <c r="B221" s="51" t="s">
        <v>39</v>
      </c>
      <c r="C221" s="51" t="s">
        <v>69</v>
      </c>
      <c r="D221" s="51" t="s">
        <v>25</v>
      </c>
      <c r="E221" s="51" t="s">
        <v>25</v>
      </c>
      <c r="F221" s="51" t="s">
        <v>70</v>
      </c>
      <c r="G221" s="51" t="s">
        <v>71</v>
      </c>
      <c r="H221" s="51" t="s">
        <v>25</v>
      </c>
      <c r="I221" s="59">
        <v>44531</v>
      </c>
      <c r="J221" s="60">
        <f ca="1">EFEITO!$J$221*EFEITO!$Y$221</f>
        <v>57628.067852503598</v>
      </c>
      <c r="K221" s="60">
        <f>EFEITO!$L$221*EFEITO!$Z$221</f>
        <v>0</v>
      </c>
      <c r="L221" s="60">
        <f>EFEITO!$N$221*EFEITO!$AA$221</f>
        <v>0</v>
      </c>
      <c r="M221" s="60">
        <f ca="1">$J$221-EFEITO!$K$221*EFEITO!$Y$221</f>
        <v>28814.033926251799</v>
      </c>
      <c r="N221" s="60">
        <f>$K$221-EFEITO!$M$221*EFEITO!$Z$221</f>
        <v>0</v>
      </c>
      <c r="O221" s="60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1" t="s">
        <v>21</v>
      </c>
      <c r="B222" s="51" t="s">
        <v>39</v>
      </c>
      <c r="C222" s="51" t="s">
        <v>69</v>
      </c>
      <c r="D222" s="51" t="s">
        <v>25</v>
      </c>
      <c r="E222" s="51" t="s">
        <v>25</v>
      </c>
      <c r="F222" s="51" t="s">
        <v>70</v>
      </c>
      <c r="G222" s="51" t="s">
        <v>73</v>
      </c>
      <c r="H222" s="51" t="s">
        <v>25</v>
      </c>
      <c r="I222" s="59">
        <v>44531</v>
      </c>
      <c r="J222" s="60">
        <f ca="1">EFEITO!$J$222*EFEITO!$Y$222</f>
        <v>106238.7941525471</v>
      </c>
      <c r="K222" s="60">
        <f>EFEITO!$L$222*EFEITO!$Z$222</f>
        <v>0</v>
      </c>
      <c r="L222" s="60">
        <f>EFEITO!$N$222*EFEITO!$AA$222</f>
        <v>0</v>
      </c>
      <c r="M222" s="60">
        <f ca="1">$J$222-EFEITO!$K$222*EFEITO!$Y$222</f>
        <v>53119.397076273548</v>
      </c>
      <c r="N222" s="60">
        <f>$K$222-EFEITO!$M$222*EFEITO!$Z$222</f>
        <v>0</v>
      </c>
      <c r="O222" s="60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1" t="s">
        <v>21</v>
      </c>
      <c r="B223" s="51" t="s">
        <v>39</v>
      </c>
      <c r="C223" s="51" t="s">
        <v>69</v>
      </c>
      <c r="D223" s="51" t="s">
        <v>25</v>
      </c>
      <c r="E223" s="51" t="s">
        <v>25</v>
      </c>
      <c r="F223" s="51" t="s">
        <v>70</v>
      </c>
      <c r="G223" s="51" t="s">
        <v>75</v>
      </c>
      <c r="H223" s="51" t="s">
        <v>25</v>
      </c>
      <c r="I223" s="59">
        <v>44531</v>
      </c>
      <c r="J223" s="60">
        <f ca="1">EFEITO!$J$223*EFEITO!$Y$223</f>
        <v>160653.78627946146</v>
      </c>
      <c r="K223" s="60">
        <f>EFEITO!$L$223*EFEITO!$Z$223</f>
        <v>0</v>
      </c>
      <c r="L223" s="60">
        <f>EFEITO!$N$223*EFEITO!$AA$223</f>
        <v>0</v>
      </c>
      <c r="M223" s="60">
        <f ca="1">$J$223-EFEITO!$K$223*EFEITO!$Y$223</f>
        <v>80326.893139730731</v>
      </c>
      <c r="N223" s="60">
        <f>$K$223-EFEITO!$M$223*EFEITO!$Z$223</f>
        <v>0</v>
      </c>
      <c r="O223" s="60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1" t="s">
        <v>21</v>
      </c>
      <c r="B224" s="51" t="s">
        <v>39</v>
      </c>
      <c r="C224" s="51" t="s">
        <v>69</v>
      </c>
      <c r="D224" s="51" t="s">
        <v>25</v>
      </c>
      <c r="E224" s="51" t="s">
        <v>25</v>
      </c>
      <c r="F224" s="51" t="s">
        <v>70</v>
      </c>
      <c r="G224" s="51" t="s">
        <v>71</v>
      </c>
      <c r="H224" s="51" t="s">
        <v>25</v>
      </c>
      <c r="I224" s="59">
        <v>44562</v>
      </c>
      <c r="J224" s="60">
        <f ca="1">EFEITO!$J$224*EFEITO!$Y$224</f>
        <v>56798.887020093469</v>
      </c>
      <c r="K224" s="60">
        <f>EFEITO!$L$224*EFEITO!$Z$224</f>
        <v>0</v>
      </c>
      <c r="L224" s="60">
        <f>EFEITO!$N$224*EFEITO!$AA$224</f>
        <v>0</v>
      </c>
      <c r="M224" s="60">
        <f ca="1">$J$224-EFEITO!$K$224*EFEITO!$Y$224</f>
        <v>28399.443510046734</v>
      </c>
      <c r="N224" s="60">
        <f>$K$224-EFEITO!$M$224*EFEITO!$Z$224</f>
        <v>0</v>
      </c>
      <c r="O224" s="60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1" t="s">
        <v>21</v>
      </c>
      <c r="B225" s="51" t="s">
        <v>39</v>
      </c>
      <c r="C225" s="51" t="s">
        <v>69</v>
      </c>
      <c r="D225" s="51" t="s">
        <v>25</v>
      </c>
      <c r="E225" s="51" t="s">
        <v>25</v>
      </c>
      <c r="F225" s="51" t="s">
        <v>70</v>
      </c>
      <c r="G225" s="51" t="s">
        <v>73</v>
      </c>
      <c r="H225" s="51" t="s">
        <v>25</v>
      </c>
      <c r="I225" s="59">
        <v>44562</v>
      </c>
      <c r="J225" s="60">
        <f ca="1">EFEITO!$J$225*EFEITO!$Y$225</f>
        <v>106238.7941525471</v>
      </c>
      <c r="K225" s="60">
        <f>EFEITO!$L$225*EFEITO!$Z$225</f>
        <v>0</v>
      </c>
      <c r="L225" s="60">
        <f>EFEITO!$N$225*EFEITO!$AA$225</f>
        <v>0</v>
      </c>
      <c r="M225" s="60">
        <f ca="1">$J$225-EFEITO!$K$225*EFEITO!$Y$225</f>
        <v>53119.397076273548</v>
      </c>
      <c r="N225" s="60">
        <f>$K$225-EFEITO!$M$225*EFEITO!$Z$225</f>
        <v>0</v>
      </c>
      <c r="O225" s="60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1" t="s">
        <v>21</v>
      </c>
      <c r="B226" s="51" t="s">
        <v>39</v>
      </c>
      <c r="C226" s="51" t="s">
        <v>69</v>
      </c>
      <c r="D226" s="51" t="s">
        <v>25</v>
      </c>
      <c r="E226" s="51" t="s">
        <v>25</v>
      </c>
      <c r="F226" s="51" t="s">
        <v>70</v>
      </c>
      <c r="G226" s="51" t="s">
        <v>75</v>
      </c>
      <c r="H226" s="51" t="s">
        <v>25</v>
      </c>
      <c r="I226" s="59">
        <v>44562</v>
      </c>
      <c r="J226" s="60">
        <f ca="1">EFEITO!$J$226*EFEITO!$Y$226</f>
        <v>160653.78627946146</v>
      </c>
      <c r="K226" s="60">
        <f>EFEITO!$L$226*EFEITO!$Z$226</f>
        <v>0</v>
      </c>
      <c r="L226" s="60">
        <f>EFEITO!$N$226*EFEITO!$AA$226</f>
        <v>0</v>
      </c>
      <c r="M226" s="60">
        <f ca="1">$J$226-EFEITO!$K$226*EFEITO!$Y$226</f>
        <v>80326.893139730731</v>
      </c>
      <c r="N226" s="60">
        <f>$K$226-EFEITO!$M$226*EFEITO!$Z$226</f>
        <v>0</v>
      </c>
      <c r="O226" s="60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1" t="s">
        <v>21</v>
      </c>
      <c r="B227" s="51" t="s">
        <v>39</v>
      </c>
      <c r="C227" s="51" t="s">
        <v>69</v>
      </c>
      <c r="D227" s="51" t="s">
        <v>25</v>
      </c>
      <c r="E227" s="51" t="s">
        <v>25</v>
      </c>
      <c r="F227" s="51" t="s">
        <v>70</v>
      </c>
      <c r="G227" s="51" t="s">
        <v>71</v>
      </c>
      <c r="H227" s="51" t="s">
        <v>25</v>
      </c>
      <c r="I227" s="59">
        <v>44593</v>
      </c>
      <c r="J227" s="60">
        <f ca="1">EFEITO!$J$227*EFEITO!$Y$227</f>
        <v>57161.653634272901</v>
      </c>
      <c r="K227" s="60">
        <f>EFEITO!$L$227*EFEITO!$Z$227</f>
        <v>0</v>
      </c>
      <c r="L227" s="60">
        <f>EFEITO!$N$227*EFEITO!$AA$227</f>
        <v>0</v>
      </c>
      <c r="M227" s="60">
        <f ca="1">$J$227-EFEITO!$K$227*EFEITO!$Y$227</f>
        <v>28580.826817136451</v>
      </c>
      <c r="N227" s="60">
        <f>$K$227-EFEITO!$M$227*EFEITO!$Z$227</f>
        <v>0</v>
      </c>
      <c r="O227" s="60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1" t="s">
        <v>21</v>
      </c>
      <c r="B228" s="51" t="s">
        <v>39</v>
      </c>
      <c r="C228" s="51" t="s">
        <v>69</v>
      </c>
      <c r="D228" s="51" t="s">
        <v>25</v>
      </c>
      <c r="E228" s="51" t="s">
        <v>25</v>
      </c>
      <c r="F228" s="51" t="s">
        <v>70</v>
      </c>
      <c r="G228" s="51" t="s">
        <v>73</v>
      </c>
      <c r="H228" s="51" t="s">
        <v>25</v>
      </c>
      <c r="I228" s="59">
        <v>44593</v>
      </c>
      <c r="J228" s="60">
        <f ca="1">EFEITO!$J$228*EFEITO!$Y$228</f>
        <v>106238.7941525471</v>
      </c>
      <c r="K228" s="60">
        <f>EFEITO!$L$228*EFEITO!$Z$228</f>
        <v>0</v>
      </c>
      <c r="L228" s="60">
        <f>EFEITO!$N$228*EFEITO!$AA$228</f>
        <v>0</v>
      </c>
      <c r="M228" s="60">
        <f ca="1">$J$228-EFEITO!$K$228*EFEITO!$Y$228</f>
        <v>53119.397076273548</v>
      </c>
      <c r="N228" s="60">
        <f>$K$228-EFEITO!$M$228*EFEITO!$Z$228</f>
        <v>0</v>
      </c>
      <c r="O228" s="60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1" t="s">
        <v>21</v>
      </c>
      <c r="B229" s="51" t="s">
        <v>39</v>
      </c>
      <c r="C229" s="51" t="s">
        <v>69</v>
      </c>
      <c r="D229" s="51" t="s">
        <v>25</v>
      </c>
      <c r="E229" s="51" t="s">
        <v>25</v>
      </c>
      <c r="F229" s="51" t="s">
        <v>70</v>
      </c>
      <c r="G229" s="51" t="s">
        <v>75</v>
      </c>
      <c r="H229" s="51" t="s">
        <v>25</v>
      </c>
      <c r="I229" s="59">
        <v>44593</v>
      </c>
      <c r="J229" s="60">
        <f ca="1">EFEITO!$J$229*EFEITO!$Y$229</f>
        <v>160653.78627946146</v>
      </c>
      <c r="K229" s="60">
        <f>EFEITO!$L$229*EFEITO!$Z$229</f>
        <v>0</v>
      </c>
      <c r="L229" s="60">
        <f>EFEITO!$N$229*EFEITO!$AA$229</f>
        <v>0</v>
      </c>
      <c r="M229" s="60">
        <f ca="1">$J$229-EFEITO!$K$229*EFEITO!$Y$229</f>
        <v>80326.893139730731</v>
      </c>
      <c r="N229" s="60">
        <f>$K$229-EFEITO!$M$229*EFEITO!$Z$229</f>
        <v>0</v>
      </c>
      <c r="O229" s="60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1" t="s">
        <v>56</v>
      </c>
      <c r="B230" s="51" t="s">
        <v>39</v>
      </c>
      <c r="C230" s="51" t="s">
        <v>69</v>
      </c>
      <c r="D230" s="51" t="s">
        <v>25</v>
      </c>
      <c r="E230" s="51" t="s">
        <v>25</v>
      </c>
      <c r="F230" s="51" t="s">
        <v>70</v>
      </c>
      <c r="G230" s="51" t="s">
        <v>71</v>
      </c>
      <c r="H230" s="51" t="s">
        <v>25</v>
      </c>
      <c r="I230" s="59">
        <v>44621</v>
      </c>
      <c r="J230" s="60">
        <f ca="1">EFEITO!$J$230*EFEITO!$Y$230</f>
        <v>57161.653634272901</v>
      </c>
      <c r="K230" s="60">
        <f>EFEITO!$L$230*EFEITO!$Z$230</f>
        <v>0</v>
      </c>
      <c r="L230" s="60">
        <f>EFEITO!$N$230*EFEITO!$AA$230</f>
        <v>0</v>
      </c>
      <c r="M230" s="60">
        <f ca="1">$J$230-EFEITO!$K$230*EFEITO!$Y$230</f>
        <v>28580.826817136451</v>
      </c>
      <c r="N230" s="60">
        <f>$K$230-EFEITO!$M$230*EFEITO!$Z$230</f>
        <v>0</v>
      </c>
      <c r="O230" s="60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1" t="s">
        <v>56</v>
      </c>
      <c r="B231" s="51" t="s">
        <v>39</v>
      </c>
      <c r="C231" s="51" t="s">
        <v>69</v>
      </c>
      <c r="D231" s="51" t="s">
        <v>25</v>
      </c>
      <c r="E231" s="51" t="s">
        <v>25</v>
      </c>
      <c r="F231" s="51" t="s">
        <v>70</v>
      </c>
      <c r="G231" s="51" t="s">
        <v>73</v>
      </c>
      <c r="H231" s="51" t="s">
        <v>25</v>
      </c>
      <c r="I231" s="59">
        <v>44621</v>
      </c>
      <c r="J231" s="60">
        <f ca="1">EFEITO!$J$231*EFEITO!$Y$231</f>
        <v>106238.7941525471</v>
      </c>
      <c r="K231" s="60">
        <f>EFEITO!$L$231*EFEITO!$Z$231</f>
        <v>0</v>
      </c>
      <c r="L231" s="60">
        <f>EFEITO!$N$231*EFEITO!$AA$231</f>
        <v>0</v>
      </c>
      <c r="M231" s="60">
        <f ca="1">$J$231-EFEITO!$K$231*EFEITO!$Y$231</f>
        <v>53119.397076273548</v>
      </c>
      <c r="N231" s="60">
        <f>$K$231-EFEITO!$M$231*EFEITO!$Z$231</f>
        <v>0</v>
      </c>
      <c r="O231" s="60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1" t="s">
        <v>56</v>
      </c>
      <c r="B232" s="51" t="s">
        <v>39</v>
      </c>
      <c r="C232" s="51" t="s">
        <v>69</v>
      </c>
      <c r="D232" s="51" t="s">
        <v>25</v>
      </c>
      <c r="E232" s="51" t="s">
        <v>25</v>
      </c>
      <c r="F232" s="51" t="s">
        <v>70</v>
      </c>
      <c r="G232" s="51" t="s">
        <v>75</v>
      </c>
      <c r="H232" s="51" t="s">
        <v>25</v>
      </c>
      <c r="I232" s="59">
        <v>44621</v>
      </c>
      <c r="J232" s="60">
        <f ca="1">EFEITO!$J$232*EFEITO!$Y$232</f>
        <v>160653.78627946146</v>
      </c>
      <c r="K232" s="60">
        <f>EFEITO!$L$232*EFEITO!$Z$232</f>
        <v>0</v>
      </c>
      <c r="L232" s="60">
        <f>EFEITO!$N$232*EFEITO!$AA$232</f>
        <v>0</v>
      </c>
      <c r="M232" s="60">
        <f ca="1">$J$232-EFEITO!$K$232*EFEITO!$Y$232</f>
        <v>80326.893139730731</v>
      </c>
      <c r="N232" s="60">
        <f>$K$232-EFEITO!$M$232*EFEITO!$Z$232</f>
        <v>0</v>
      </c>
      <c r="O232" s="60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1" t="s">
        <v>21</v>
      </c>
      <c r="B233" s="51" t="s">
        <v>39</v>
      </c>
      <c r="C233" s="51" t="s">
        <v>69</v>
      </c>
      <c r="D233" s="51" t="s">
        <v>25</v>
      </c>
      <c r="E233" s="51" t="s">
        <v>25</v>
      </c>
      <c r="F233" s="51" t="s">
        <v>25</v>
      </c>
      <c r="G233" s="51" t="s">
        <v>74</v>
      </c>
      <c r="H233" s="51" t="s">
        <v>25</v>
      </c>
      <c r="I233" s="59">
        <v>44287</v>
      </c>
      <c r="J233" s="60">
        <f ca="1">EFEITO!$J$233*EFEITO!$Y$233</f>
        <v>388678.51519224548</v>
      </c>
      <c r="K233" s="60">
        <f>EFEITO!$L$233*EFEITO!$Z$233</f>
        <v>0</v>
      </c>
      <c r="L233" s="60">
        <f>EFEITO!$N$233*EFEITO!$AA$233</f>
        <v>0</v>
      </c>
      <c r="M233" s="60">
        <f ca="1">$J$233-EFEITO!$K$233*EFEITO!$Y$233</f>
        <v>194339.25759612274</v>
      </c>
      <c r="N233" s="60">
        <f>$K$233-EFEITO!$M$233*EFEITO!$Z$233</f>
        <v>0</v>
      </c>
      <c r="O233" s="60">
        <f>$L$233-EFEITO!$O$233*EFEITO!$AA$233</f>
        <v>0</v>
      </c>
      <c r="P233" s="18"/>
      <c r="Q233" s="18"/>
      <c r="R233" s="18"/>
      <c r="S233" s="18"/>
      <c r="T233" s="18"/>
      <c r="U233" s="18"/>
      <c r="V233" s="18"/>
      <c r="W233" s="18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1" t="s">
        <v>21</v>
      </c>
      <c r="B234" s="51" t="s">
        <v>39</v>
      </c>
      <c r="C234" s="51" t="s">
        <v>69</v>
      </c>
      <c r="D234" s="51" t="s">
        <v>25</v>
      </c>
      <c r="E234" s="51" t="s">
        <v>25</v>
      </c>
      <c r="F234" s="51" t="s">
        <v>25</v>
      </c>
      <c r="G234" s="51" t="s">
        <v>74</v>
      </c>
      <c r="H234" s="51" t="s">
        <v>25</v>
      </c>
      <c r="I234" s="59">
        <v>44317</v>
      </c>
      <c r="J234" s="60">
        <f ca="1">EFEITO!$J$234*EFEITO!$Y$234</f>
        <v>388678.51519224548</v>
      </c>
      <c r="K234" s="60">
        <f>EFEITO!$L$234*EFEITO!$Z$234</f>
        <v>0</v>
      </c>
      <c r="L234" s="60">
        <f>EFEITO!$N$234*EFEITO!$AA$234</f>
        <v>0</v>
      </c>
      <c r="M234" s="60">
        <f ca="1">$J$234-EFEITO!$K$234*EFEITO!$Y$234</f>
        <v>194339.25759612274</v>
      </c>
      <c r="N234" s="60">
        <f>$K$234-EFEITO!$M$234*EFEITO!$Z$234</f>
        <v>0</v>
      </c>
      <c r="O234" s="60">
        <f>$L$234-EFEITO!$O$234*EFEITO!$AA$234</f>
        <v>0</v>
      </c>
      <c r="P234" s="18"/>
      <c r="Q234" s="18"/>
      <c r="R234" s="18"/>
      <c r="S234" s="18"/>
      <c r="T234" s="18"/>
      <c r="U234" s="18"/>
      <c r="V234" s="18"/>
      <c r="W234" s="18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1" t="s">
        <v>21</v>
      </c>
      <c r="B235" s="51" t="s">
        <v>39</v>
      </c>
      <c r="C235" s="51" t="s">
        <v>69</v>
      </c>
      <c r="D235" s="51" t="s">
        <v>25</v>
      </c>
      <c r="E235" s="51" t="s">
        <v>25</v>
      </c>
      <c r="F235" s="51" t="s">
        <v>25</v>
      </c>
      <c r="G235" s="51" t="s">
        <v>74</v>
      </c>
      <c r="H235" s="51" t="s">
        <v>25</v>
      </c>
      <c r="I235" s="59">
        <v>44348</v>
      </c>
      <c r="J235" s="60">
        <f ca="1">EFEITO!$J$235*EFEITO!$Y$235</f>
        <v>388678.51519224548</v>
      </c>
      <c r="K235" s="60">
        <f>EFEITO!$L$235*EFEITO!$Z$235</f>
        <v>0</v>
      </c>
      <c r="L235" s="60">
        <f>EFEITO!$N$235*EFEITO!$AA$235</f>
        <v>0</v>
      </c>
      <c r="M235" s="60">
        <f ca="1">$J$235-EFEITO!$K$235*EFEITO!$Y$235</f>
        <v>194339.25759612274</v>
      </c>
      <c r="N235" s="60">
        <f>$K$235-EFEITO!$M$235*EFEITO!$Z$235</f>
        <v>0</v>
      </c>
      <c r="O235" s="60">
        <f>$L$235-EFEITO!$O$235*EFEITO!$AA$235</f>
        <v>0</v>
      </c>
      <c r="P235" s="18"/>
      <c r="Q235" s="18"/>
      <c r="R235" s="18"/>
      <c r="S235" s="18"/>
      <c r="T235" s="18"/>
      <c r="U235" s="18"/>
      <c r="V235" s="18"/>
      <c r="W235" s="18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1" t="s">
        <v>21</v>
      </c>
      <c r="B236" s="51" t="s">
        <v>39</v>
      </c>
      <c r="C236" s="51" t="s">
        <v>69</v>
      </c>
      <c r="D236" s="51" t="s">
        <v>25</v>
      </c>
      <c r="E236" s="51" t="s">
        <v>25</v>
      </c>
      <c r="F236" s="51" t="s">
        <v>25</v>
      </c>
      <c r="G236" s="51" t="s">
        <v>74</v>
      </c>
      <c r="H236" s="51" t="s">
        <v>25</v>
      </c>
      <c r="I236" s="59">
        <v>44378</v>
      </c>
      <c r="J236" s="60">
        <f ca="1">EFEITO!$J$236*EFEITO!$Y$236</f>
        <v>388678.51519224548</v>
      </c>
      <c r="K236" s="60">
        <f>EFEITO!$L$236*EFEITO!$Z$236</f>
        <v>0</v>
      </c>
      <c r="L236" s="60">
        <f>EFEITO!$N$236*EFEITO!$AA$236</f>
        <v>0</v>
      </c>
      <c r="M236" s="60">
        <f ca="1">$J$236-EFEITO!$K$236*EFEITO!$Y$236</f>
        <v>194339.25759612274</v>
      </c>
      <c r="N236" s="60">
        <f>$K$236-EFEITO!$M$236*EFEITO!$Z$236</f>
        <v>0</v>
      </c>
      <c r="O236" s="60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1" t="s">
        <v>21</v>
      </c>
      <c r="B237" s="51" t="s">
        <v>39</v>
      </c>
      <c r="C237" s="51" t="s">
        <v>69</v>
      </c>
      <c r="D237" s="51" t="s">
        <v>25</v>
      </c>
      <c r="E237" s="51" t="s">
        <v>25</v>
      </c>
      <c r="F237" s="51" t="s">
        <v>25</v>
      </c>
      <c r="G237" s="51" t="s">
        <v>74</v>
      </c>
      <c r="H237" s="51" t="s">
        <v>25</v>
      </c>
      <c r="I237" s="59">
        <v>44409</v>
      </c>
      <c r="J237" s="60">
        <f ca="1">EFEITO!$J$237*EFEITO!$Y$237</f>
        <v>388678.51519224548</v>
      </c>
      <c r="K237" s="60">
        <f>EFEITO!$L$237*EFEITO!$Z$237</f>
        <v>0</v>
      </c>
      <c r="L237" s="60">
        <f>EFEITO!$N$237*EFEITO!$AA$237</f>
        <v>0</v>
      </c>
      <c r="M237" s="60">
        <f ca="1">$J$237-EFEITO!$K$237*EFEITO!$Y$237</f>
        <v>194339.25759612274</v>
      </c>
      <c r="N237" s="60">
        <f>$K$237-EFEITO!$M$237*EFEITO!$Z$237</f>
        <v>0</v>
      </c>
      <c r="O237" s="60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1" t="s">
        <v>21</v>
      </c>
      <c r="B238" s="51" t="s">
        <v>39</v>
      </c>
      <c r="C238" s="51" t="s">
        <v>69</v>
      </c>
      <c r="D238" s="51" t="s">
        <v>25</v>
      </c>
      <c r="E238" s="51" t="s">
        <v>25</v>
      </c>
      <c r="F238" s="51" t="s">
        <v>25</v>
      </c>
      <c r="G238" s="51" t="s">
        <v>74</v>
      </c>
      <c r="H238" s="51" t="s">
        <v>25</v>
      </c>
      <c r="I238" s="59">
        <v>44440</v>
      </c>
      <c r="J238" s="60">
        <f ca="1">EFEITO!$J$238*EFEITO!$Y$238</f>
        <v>388678.51519224548</v>
      </c>
      <c r="K238" s="60">
        <f>EFEITO!$L$238*EFEITO!$Z$238</f>
        <v>0</v>
      </c>
      <c r="L238" s="60">
        <f>EFEITO!$N$238*EFEITO!$AA$238</f>
        <v>0</v>
      </c>
      <c r="M238" s="60">
        <f ca="1">$J$238-EFEITO!$K$238*EFEITO!$Y$238</f>
        <v>194339.25759612274</v>
      </c>
      <c r="N238" s="60">
        <f>$K$238-EFEITO!$M$238*EFEITO!$Z$238</f>
        <v>0</v>
      </c>
      <c r="O238" s="60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1" t="s">
        <v>21</v>
      </c>
      <c r="B239" s="51" t="s">
        <v>39</v>
      </c>
      <c r="C239" s="51" t="s">
        <v>69</v>
      </c>
      <c r="D239" s="51" t="s">
        <v>25</v>
      </c>
      <c r="E239" s="51" t="s">
        <v>25</v>
      </c>
      <c r="F239" s="51" t="s">
        <v>25</v>
      </c>
      <c r="G239" s="51" t="s">
        <v>74</v>
      </c>
      <c r="H239" s="51" t="s">
        <v>25</v>
      </c>
      <c r="I239" s="59">
        <v>44470</v>
      </c>
      <c r="J239" s="60">
        <f ca="1">EFEITO!$J$239*EFEITO!$Y$239</f>
        <v>388678.51519224548</v>
      </c>
      <c r="K239" s="60">
        <f>EFEITO!$L$239*EFEITO!$Z$239</f>
        <v>0</v>
      </c>
      <c r="L239" s="60">
        <f>EFEITO!$N$239*EFEITO!$AA$239</f>
        <v>0</v>
      </c>
      <c r="M239" s="60">
        <f ca="1">$J$239-EFEITO!$K$239*EFEITO!$Y$239</f>
        <v>194339.25759612274</v>
      </c>
      <c r="N239" s="60">
        <f>$K$239-EFEITO!$M$239*EFEITO!$Z$239</f>
        <v>0</v>
      </c>
      <c r="O239" s="60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1" t="s">
        <v>21</v>
      </c>
      <c r="B240" s="51" t="s">
        <v>39</v>
      </c>
      <c r="C240" s="51" t="s">
        <v>69</v>
      </c>
      <c r="D240" s="51" t="s">
        <v>25</v>
      </c>
      <c r="E240" s="51" t="s">
        <v>25</v>
      </c>
      <c r="F240" s="51" t="s">
        <v>25</v>
      </c>
      <c r="G240" s="51" t="s">
        <v>74</v>
      </c>
      <c r="H240" s="51" t="s">
        <v>25</v>
      </c>
      <c r="I240" s="59">
        <v>44501</v>
      </c>
      <c r="J240" s="60">
        <f ca="1">EFEITO!$J$240*EFEITO!$Y$240</f>
        <v>388678.51519224548</v>
      </c>
      <c r="K240" s="60">
        <f>EFEITO!$L$240*EFEITO!$Z$240</f>
        <v>0</v>
      </c>
      <c r="L240" s="60">
        <f>EFEITO!$N$240*EFEITO!$AA$240</f>
        <v>0</v>
      </c>
      <c r="M240" s="60">
        <f ca="1">$J$240-EFEITO!$K$240*EFEITO!$Y$240</f>
        <v>194339.25759612274</v>
      </c>
      <c r="N240" s="60">
        <f>$K$240-EFEITO!$M$240*EFEITO!$Z$240</f>
        <v>0</v>
      </c>
      <c r="O240" s="60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1" t="s">
        <v>21</v>
      </c>
      <c r="B241" s="51" t="s">
        <v>39</v>
      </c>
      <c r="C241" s="51" t="s">
        <v>69</v>
      </c>
      <c r="D241" s="51" t="s">
        <v>25</v>
      </c>
      <c r="E241" s="51" t="s">
        <v>25</v>
      </c>
      <c r="F241" s="51" t="s">
        <v>25</v>
      </c>
      <c r="G241" s="51" t="s">
        <v>74</v>
      </c>
      <c r="H241" s="51" t="s">
        <v>25</v>
      </c>
      <c r="I241" s="59">
        <v>44531</v>
      </c>
      <c r="J241" s="60">
        <f ca="1">EFEITO!$J$241*EFEITO!$Y$241</f>
        <v>388678.51519224548</v>
      </c>
      <c r="K241" s="60">
        <f>EFEITO!$L$241*EFEITO!$Z$241</f>
        <v>0</v>
      </c>
      <c r="L241" s="60">
        <f>EFEITO!$N$241*EFEITO!$AA$241</f>
        <v>0</v>
      </c>
      <c r="M241" s="60">
        <f ca="1">$J$241-EFEITO!$K$241*EFEITO!$Y$241</f>
        <v>194339.25759612274</v>
      </c>
      <c r="N241" s="60">
        <f>$K$241-EFEITO!$M$241*EFEITO!$Z$241</f>
        <v>0</v>
      </c>
      <c r="O241" s="60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1" t="s">
        <v>21</v>
      </c>
      <c r="B242" s="51" t="s">
        <v>39</v>
      </c>
      <c r="C242" s="51" t="s">
        <v>69</v>
      </c>
      <c r="D242" s="51" t="s">
        <v>25</v>
      </c>
      <c r="E242" s="51" t="s">
        <v>25</v>
      </c>
      <c r="F242" s="51" t="s">
        <v>25</v>
      </c>
      <c r="G242" s="51" t="s">
        <v>74</v>
      </c>
      <c r="H242" s="51" t="s">
        <v>25</v>
      </c>
      <c r="I242" s="59">
        <v>44562</v>
      </c>
      <c r="J242" s="60">
        <f ca="1">EFEITO!$J$242*EFEITO!$Y$242</f>
        <v>388678.51519224548</v>
      </c>
      <c r="K242" s="60">
        <f>EFEITO!$L$242*EFEITO!$Z$242</f>
        <v>0</v>
      </c>
      <c r="L242" s="60">
        <f>EFEITO!$N$242*EFEITO!$AA$242</f>
        <v>0</v>
      </c>
      <c r="M242" s="60">
        <f ca="1">$J$242-EFEITO!$K$242*EFEITO!$Y$242</f>
        <v>194339.25759612274</v>
      </c>
      <c r="N242" s="60">
        <f>$K$242-EFEITO!$M$242*EFEITO!$Z$242</f>
        <v>0</v>
      </c>
      <c r="O242" s="60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1" t="s">
        <v>21</v>
      </c>
      <c r="B243" s="51" t="s">
        <v>39</v>
      </c>
      <c r="C243" s="51" t="s">
        <v>69</v>
      </c>
      <c r="D243" s="51" t="s">
        <v>25</v>
      </c>
      <c r="E243" s="51" t="s">
        <v>25</v>
      </c>
      <c r="F243" s="51" t="s">
        <v>25</v>
      </c>
      <c r="G243" s="51" t="s">
        <v>74</v>
      </c>
      <c r="H243" s="51" t="s">
        <v>25</v>
      </c>
      <c r="I243" s="59">
        <v>44593</v>
      </c>
      <c r="J243" s="60">
        <f ca="1">EFEITO!$J$243*EFEITO!$Y$243</f>
        <v>388678.51519224548</v>
      </c>
      <c r="K243" s="60">
        <f>EFEITO!$L$243*EFEITO!$Z$243</f>
        <v>0</v>
      </c>
      <c r="L243" s="60">
        <f>EFEITO!$N$243*EFEITO!$AA$243</f>
        <v>0</v>
      </c>
      <c r="M243" s="60">
        <f ca="1">$J$243-EFEITO!$K$243*EFEITO!$Y$243</f>
        <v>194339.25759612274</v>
      </c>
      <c r="N243" s="60">
        <f>$K$243-EFEITO!$M$243*EFEITO!$Z$243</f>
        <v>0</v>
      </c>
      <c r="O243" s="60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1" t="s">
        <v>56</v>
      </c>
      <c r="B244" s="51" t="s">
        <v>39</v>
      </c>
      <c r="C244" s="51" t="s">
        <v>69</v>
      </c>
      <c r="D244" s="51" t="s">
        <v>25</v>
      </c>
      <c r="E244" s="51" t="s">
        <v>25</v>
      </c>
      <c r="F244" s="51" t="s">
        <v>25</v>
      </c>
      <c r="G244" s="51" t="s">
        <v>74</v>
      </c>
      <c r="H244" s="51" t="s">
        <v>25</v>
      </c>
      <c r="I244" s="59">
        <v>44621</v>
      </c>
      <c r="J244" s="60">
        <f ca="1">EFEITO!$J$244*EFEITO!$Y$244</f>
        <v>388678.51519224548</v>
      </c>
      <c r="K244" s="60">
        <f>EFEITO!$L$244*EFEITO!$Z$244</f>
        <v>0</v>
      </c>
      <c r="L244" s="60">
        <f>EFEITO!$N$244*EFEITO!$AA$244</f>
        <v>0</v>
      </c>
      <c r="M244" s="60">
        <f ca="1">$J$244-EFEITO!$K$244*EFEITO!$Y$244</f>
        <v>194339.25759612274</v>
      </c>
      <c r="N244" s="60">
        <f>$K$244-EFEITO!$M$244*EFEITO!$Z$244</f>
        <v>0</v>
      </c>
      <c r="O244" s="60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1" t="s">
        <v>21</v>
      </c>
      <c r="B245" s="51" t="s">
        <v>41</v>
      </c>
      <c r="C245" s="51" t="s">
        <v>40</v>
      </c>
      <c r="D245" s="51" t="s">
        <v>43</v>
      </c>
      <c r="E245" s="51" t="s">
        <v>25</v>
      </c>
      <c r="F245" s="51" t="s">
        <v>25</v>
      </c>
      <c r="G245" s="51" t="s">
        <v>25</v>
      </c>
      <c r="H245" s="51" t="s">
        <v>35</v>
      </c>
      <c r="I245" s="59">
        <v>44287</v>
      </c>
      <c r="J245" s="60">
        <f ca="1">EFEITO!$J$245*EFEITO!$Y$245</f>
        <v>216854.10259406021</v>
      </c>
      <c r="K245" s="60">
        <f ca="1">EFEITO!$L$245*EFEITO!$Z$245</f>
        <v>165259.17144871506</v>
      </c>
      <c r="L245" s="60">
        <f>EFEITO!$N$245*EFEITO!$AA$245</f>
        <v>567271.64141545759</v>
      </c>
      <c r="M245" s="60">
        <f ca="1">$J$245-EFEITO!$K$245*EFEITO!$Y$245</f>
        <v>0</v>
      </c>
      <c r="N245" s="60">
        <f ca="1">$K$245-EFEITO!$M$245*EFEITO!$Z$245</f>
        <v>0</v>
      </c>
      <c r="O245" s="60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1" t="s">
        <v>28</v>
      </c>
      <c r="B246" s="51" t="s">
        <v>41</v>
      </c>
      <c r="C246" s="51" t="s">
        <v>40</v>
      </c>
      <c r="D246" s="51" t="s">
        <v>43</v>
      </c>
      <c r="E246" s="51" t="s">
        <v>25</v>
      </c>
      <c r="F246" s="51" t="s">
        <v>25</v>
      </c>
      <c r="G246" s="51" t="s">
        <v>25</v>
      </c>
      <c r="H246" s="51" t="s">
        <v>35</v>
      </c>
      <c r="I246" s="59">
        <v>44287</v>
      </c>
      <c r="J246" s="60">
        <f ca="1">EFEITO!$J$246*EFEITO!$Y$246</f>
        <v>7979.4223939921576</v>
      </c>
      <c r="K246" s="60">
        <f ca="1">EFEITO!$L$246*EFEITO!$Z$246</f>
        <v>4555.0691925294459</v>
      </c>
      <c r="L246" s="60">
        <f>EFEITO!$N$246*EFEITO!$AA$246</f>
        <v>15635.813461699723</v>
      </c>
      <c r="M246" s="60">
        <f ca="1">$J$246-EFEITO!$K$246*EFEITO!$Y$246</f>
        <v>0</v>
      </c>
      <c r="N246" s="60">
        <f ca="1">$K$246-EFEITO!$M$246*EFEITO!$Z$246</f>
        <v>0</v>
      </c>
      <c r="O246" s="60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1" t="s">
        <v>21</v>
      </c>
      <c r="B247" s="51" t="s">
        <v>41</v>
      </c>
      <c r="C247" s="51" t="s">
        <v>40</v>
      </c>
      <c r="D247" s="51" t="s">
        <v>43</v>
      </c>
      <c r="E247" s="51" t="s">
        <v>25</v>
      </c>
      <c r="F247" s="51" t="s">
        <v>25</v>
      </c>
      <c r="G247" s="51" t="s">
        <v>25</v>
      </c>
      <c r="H247" s="51" t="s">
        <v>35</v>
      </c>
      <c r="I247" s="59">
        <v>44317</v>
      </c>
      <c r="J247" s="60">
        <f ca="1">EFEITO!$J$247*EFEITO!$Y$247</f>
        <v>225551.67300351168</v>
      </c>
      <c r="K247" s="60">
        <f ca="1">EFEITO!$L$247*EFEITO!$Z$247</f>
        <v>165325.47900653409</v>
      </c>
      <c r="L247" s="60">
        <f>EFEITO!$N$247*EFEITO!$AA$247</f>
        <v>567499.24994594045</v>
      </c>
      <c r="M247" s="60">
        <f ca="1">$J$247-EFEITO!$K$247*EFEITO!$Y$247</f>
        <v>0</v>
      </c>
      <c r="N247" s="60">
        <f ca="1">$K$247-EFEITO!$M$247*EFEITO!$Z$247</f>
        <v>0</v>
      </c>
      <c r="O247" s="60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1" t="s">
        <v>28</v>
      </c>
      <c r="B248" s="51" t="s">
        <v>41</v>
      </c>
      <c r="C248" s="51" t="s">
        <v>40</v>
      </c>
      <c r="D248" s="51" t="s">
        <v>43</v>
      </c>
      <c r="E248" s="51" t="s">
        <v>25</v>
      </c>
      <c r="F248" s="51" t="s">
        <v>25</v>
      </c>
      <c r="G248" s="51" t="s">
        <v>25</v>
      </c>
      <c r="H248" s="51" t="s">
        <v>35</v>
      </c>
      <c r="I248" s="59">
        <v>44317</v>
      </c>
      <c r="J248" s="60">
        <f ca="1">EFEITO!$J$248*EFEITO!$Y$248</f>
        <v>7979.4223939921576</v>
      </c>
      <c r="K248" s="60">
        <f ca="1">EFEITO!$L$248*EFEITO!$Z$248</f>
        <v>4518.6650431386015</v>
      </c>
      <c r="L248" s="60">
        <f>EFEITO!$N$248*EFEITO!$AA$248</f>
        <v>15510.851915552275</v>
      </c>
      <c r="M248" s="60">
        <f ca="1">$J$248-EFEITO!$K$248*EFEITO!$Y$248</f>
        <v>0</v>
      </c>
      <c r="N248" s="60">
        <f ca="1">$K$248-EFEITO!$M$248*EFEITO!$Z$248</f>
        <v>0</v>
      </c>
      <c r="O248" s="60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1" t="s">
        <v>21</v>
      </c>
      <c r="B249" s="51" t="s">
        <v>41</v>
      </c>
      <c r="C249" s="51" t="s">
        <v>40</v>
      </c>
      <c r="D249" s="51" t="s">
        <v>43</v>
      </c>
      <c r="E249" s="51" t="s">
        <v>25</v>
      </c>
      <c r="F249" s="51" t="s">
        <v>25</v>
      </c>
      <c r="G249" s="51" t="s">
        <v>25</v>
      </c>
      <c r="H249" s="51" t="s">
        <v>35</v>
      </c>
      <c r="I249" s="59">
        <v>44348</v>
      </c>
      <c r="J249" s="60">
        <f ca="1">EFEITO!$J$249*EFEITO!$Y$249</f>
        <v>230818.09178354649</v>
      </c>
      <c r="K249" s="60">
        <f ca="1">EFEITO!$L$249*EFEITO!$Z$249</f>
        <v>144903.66130200497</v>
      </c>
      <c r="L249" s="60">
        <f>EFEITO!$N$249*EFEITO!$AA$249</f>
        <v>497398.94659587438</v>
      </c>
      <c r="M249" s="60">
        <f ca="1">$J$249-EFEITO!$K$249*EFEITO!$Y$249</f>
        <v>0</v>
      </c>
      <c r="N249" s="60">
        <f ca="1">$K$249-EFEITO!$M$249*EFEITO!$Z$249</f>
        <v>0</v>
      </c>
      <c r="O249" s="60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1" t="s">
        <v>28</v>
      </c>
      <c r="B250" s="51" t="s">
        <v>41</v>
      </c>
      <c r="C250" s="51" t="s">
        <v>40</v>
      </c>
      <c r="D250" s="51" t="s">
        <v>43</v>
      </c>
      <c r="E250" s="51" t="s">
        <v>25</v>
      </c>
      <c r="F250" s="51" t="s">
        <v>25</v>
      </c>
      <c r="G250" s="51" t="s">
        <v>25</v>
      </c>
      <c r="H250" s="51" t="s">
        <v>35</v>
      </c>
      <c r="I250" s="59">
        <v>44348</v>
      </c>
      <c r="J250" s="60">
        <f ca="1">EFEITO!$J$250*EFEITO!$Y$250</f>
        <v>7181.4801545929422</v>
      </c>
      <c r="K250" s="60">
        <f ca="1">EFEITO!$L$250*EFEITO!$Z$250</f>
        <v>3931.6481342112297</v>
      </c>
      <c r="L250" s="60">
        <f>EFEITO!$N$250*EFEITO!$AA$250</f>
        <v>13495.846983924635</v>
      </c>
      <c r="M250" s="60">
        <f ca="1">$J$250-EFEITO!$K$250*EFEITO!$Y$250</f>
        <v>0</v>
      </c>
      <c r="N250" s="60">
        <f ca="1">$K$250-EFEITO!$M$250*EFEITO!$Z$250</f>
        <v>0</v>
      </c>
      <c r="O250" s="60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1" t="s">
        <v>21</v>
      </c>
      <c r="B251" s="51" t="s">
        <v>41</v>
      </c>
      <c r="C251" s="51" t="s">
        <v>40</v>
      </c>
      <c r="D251" s="51" t="s">
        <v>43</v>
      </c>
      <c r="E251" s="51" t="s">
        <v>25</v>
      </c>
      <c r="F251" s="51" t="s">
        <v>25</v>
      </c>
      <c r="G251" s="51" t="s">
        <v>25</v>
      </c>
      <c r="H251" s="51" t="s">
        <v>35</v>
      </c>
      <c r="I251" s="59">
        <v>44378</v>
      </c>
      <c r="J251" s="60">
        <f ca="1">EFEITO!$J$251*EFEITO!$Y$251</f>
        <v>213316.55866605701</v>
      </c>
      <c r="K251" s="60">
        <f ca="1">EFEITO!$L$251*EFEITO!$Z$251</f>
        <v>142620.08101664501</v>
      </c>
      <c r="L251" s="60">
        <f>EFEITO!$N$251*EFEITO!$AA$251</f>
        <v>489560.28732253943</v>
      </c>
      <c r="M251" s="60">
        <f ca="1">$J$251-EFEITO!$K$251*EFEITO!$Y$251</f>
        <v>0</v>
      </c>
      <c r="N251" s="60">
        <f ca="1">$K$251-EFEITO!$M$251*EFEITO!$Z$251</f>
        <v>0</v>
      </c>
      <c r="O251" s="60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1" t="s">
        <v>27</v>
      </c>
      <c r="B252" s="51" t="s">
        <v>41</v>
      </c>
      <c r="C252" s="51" t="s">
        <v>40</v>
      </c>
      <c r="D252" s="51" t="s">
        <v>43</v>
      </c>
      <c r="E252" s="51" t="s">
        <v>25</v>
      </c>
      <c r="F252" s="51" t="s">
        <v>25</v>
      </c>
      <c r="G252" s="51" t="s">
        <v>25</v>
      </c>
      <c r="H252" s="51" t="s">
        <v>35</v>
      </c>
      <c r="I252" s="59">
        <v>44378</v>
      </c>
      <c r="J252" s="60">
        <f ca="1">EFEITO!$J$252*EFEITO!$Y$252</f>
        <v>-5558.9976011478702</v>
      </c>
      <c r="K252" s="60">
        <f ca="1">EFEITO!$L$252*EFEITO!$Z$252</f>
        <v>4912.0898861982305</v>
      </c>
      <c r="L252" s="60">
        <f>EFEITO!$N$252*EFEITO!$AA$252</f>
        <v>16861.32919641722</v>
      </c>
      <c r="M252" s="60">
        <f ca="1">$J$252-EFEITO!$K$252*EFEITO!$Y$252</f>
        <v>0</v>
      </c>
      <c r="N252" s="60">
        <f ca="1">$K$252-EFEITO!$M$252*EFEITO!$Z$252</f>
        <v>0</v>
      </c>
      <c r="O252" s="60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1" t="s">
        <v>28</v>
      </c>
      <c r="B253" s="51" t="s">
        <v>41</v>
      </c>
      <c r="C253" s="51" t="s">
        <v>40</v>
      </c>
      <c r="D253" s="51" t="s">
        <v>43</v>
      </c>
      <c r="E253" s="51" t="s">
        <v>25</v>
      </c>
      <c r="F253" s="51" t="s">
        <v>25</v>
      </c>
      <c r="G253" s="51" t="s">
        <v>25</v>
      </c>
      <c r="H253" s="51" t="s">
        <v>35</v>
      </c>
      <c r="I253" s="59">
        <v>44378</v>
      </c>
      <c r="J253" s="60">
        <f ca="1">EFEITO!$J$253*EFEITO!$Y$253</f>
        <v>7181.4801545929422</v>
      </c>
      <c r="K253" s="60">
        <f ca="1">EFEITO!$L$253*EFEITO!$Z$253</f>
        <v>4068.1636944268976</v>
      </c>
      <c r="L253" s="60">
        <f>EFEITO!$N$253*EFEITO!$AA$253</f>
        <v>13964.452781977576</v>
      </c>
      <c r="M253" s="60">
        <f ca="1">$J$253-EFEITO!$K$253*EFEITO!$Y$253</f>
        <v>0</v>
      </c>
      <c r="N253" s="60">
        <f ca="1">$K$253-EFEITO!$M$253*EFEITO!$Z$253</f>
        <v>0</v>
      </c>
      <c r="O253" s="60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1" t="s">
        <v>21</v>
      </c>
      <c r="B254" s="51" t="s">
        <v>41</v>
      </c>
      <c r="C254" s="51" t="s">
        <v>40</v>
      </c>
      <c r="D254" s="51" t="s">
        <v>43</v>
      </c>
      <c r="E254" s="51" t="s">
        <v>25</v>
      </c>
      <c r="F254" s="51" t="s">
        <v>25</v>
      </c>
      <c r="G254" s="51" t="s">
        <v>25</v>
      </c>
      <c r="H254" s="51" t="s">
        <v>35</v>
      </c>
      <c r="I254" s="59">
        <v>44409</v>
      </c>
      <c r="J254" s="60">
        <f ca="1">EFEITO!$J$254*EFEITO!$Y$254</f>
        <v>207358.58994520953</v>
      </c>
      <c r="K254" s="60">
        <f ca="1">EFEITO!$L$254*EFEITO!$Z$254</f>
        <v>141899.86392539288</v>
      </c>
      <c r="L254" s="60">
        <f>EFEITO!$N$254*EFEITO!$AA$254</f>
        <v>487088.05701938295</v>
      </c>
      <c r="M254" s="60">
        <f ca="1">$J$254-EFEITO!$K$254*EFEITO!$Y$254</f>
        <v>0</v>
      </c>
      <c r="N254" s="60">
        <f ca="1">$K$254-EFEITO!$M$254*EFEITO!$Z$254</f>
        <v>0</v>
      </c>
      <c r="O254" s="60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1" t="s">
        <v>27</v>
      </c>
      <c r="B255" s="51" t="s">
        <v>41</v>
      </c>
      <c r="C255" s="51" t="s">
        <v>40</v>
      </c>
      <c r="D255" s="51" t="s">
        <v>43</v>
      </c>
      <c r="E255" s="51" t="s">
        <v>25</v>
      </c>
      <c r="F255" s="51" t="s">
        <v>25</v>
      </c>
      <c r="G255" s="51" t="s">
        <v>25</v>
      </c>
      <c r="H255" s="51" t="s">
        <v>35</v>
      </c>
      <c r="I255" s="59">
        <v>44409</v>
      </c>
      <c r="J255" s="60">
        <f ca="1">EFEITO!$J$255*EFEITO!$Y$255</f>
        <v>0</v>
      </c>
      <c r="K255" s="60">
        <f ca="1">EFEITO!$L$255*EFEITO!$Z$255</f>
        <v>-328.41743343312061</v>
      </c>
      <c r="L255" s="60">
        <f>EFEITO!$N$255*EFEITO!$AA$255</f>
        <v>-1127.3316627444983</v>
      </c>
      <c r="M255" s="60">
        <f ca="1">$J$255-EFEITO!$K$255*EFEITO!$Y$255</f>
        <v>0</v>
      </c>
      <c r="N255" s="60">
        <f ca="1">$K$255-EFEITO!$M$255*EFEITO!$Z$255</f>
        <v>0</v>
      </c>
      <c r="O255" s="60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1" t="s">
        <v>28</v>
      </c>
      <c r="B256" s="51" t="s">
        <v>41</v>
      </c>
      <c r="C256" s="51" t="s">
        <v>40</v>
      </c>
      <c r="D256" s="51" t="s">
        <v>43</v>
      </c>
      <c r="E256" s="51" t="s">
        <v>25</v>
      </c>
      <c r="F256" s="51" t="s">
        <v>25</v>
      </c>
      <c r="G256" s="51" t="s">
        <v>25</v>
      </c>
      <c r="H256" s="51" t="s">
        <v>35</v>
      </c>
      <c r="I256" s="59">
        <v>44409</v>
      </c>
      <c r="J256" s="60">
        <f ca="1">EFEITO!$J$256*EFEITO!$Y$256</f>
        <v>7181.4801545929422</v>
      </c>
      <c r="K256" s="60">
        <f ca="1">EFEITO!$L$256*EFEITO!$Z$256</f>
        <v>3658.6170137798949</v>
      </c>
      <c r="L256" s="60">
        <f>EFEITO!$N$256*EFEITO!$AA$256</f>
        <v>12558.63538781876</v>
      </c>
      <c r="M256" s="60">
        <f ca="1">$J$256-EFEITO!$K$256*EFEITO!$Y$256</f>
        <v>0</v>
      </c>
      <c r="N256" s="60">
        <f ca="1">$K$256-EFEITO!$M$256*EFEITO!$Z$256</f>
        <v>0</v>
      </c>
      <c r="O256" s="60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1" t="s">
        <v>21</v>
      </c>
      <c r="B257" s="51" t="s">
        <v>41</v>
      </c>
      <c r="C257" s="51" t="s">
        <v>40</v>
      </c>
      <c r="D257" s="51" t="s">
        <v>43</v>
      </c>
      <c r="E257" s="51" t="s">
        <v>25</v>
      </c>
      <c r="F257" s="51" t="s">
        <v>25</v>
      </c>
      <c r="G257" s="51" t="s">
        <v>25</v>
      </c>
      <c r="H257" s="51" t="s">
        <v>35</v>
      </c>
      <c r="I257" s="59">
        <v>44440</v>
      </c>
      <c r="J257" s="60">
        <f ca="1">EFEITO!$J$257*EFEITO!$Y$257</f>
        <v>208848.08212542141</v>
      </c>
      <c r="K257" s="60">
        <f ca="1">EFEITO!$L$257*EFEITO!$Z$257</f>
        <v>145571.61243591734</v>
      </c>
      <c r="L257" s="60">
        <f>EFEITO!$N$257*EFEITO!$AA$257</f>
        <v>499691.76782206201</v>
      </c>
      <c r="M257" s="60">
        <f ca="1">$J$257-EFEITO!$K$257*EFEITO!$Y$257</f>
        <v>0</v>
      </c>
      <c r="N257" s="60">
        <f ca="1">$K$257-EFEITO!$M$257*EFEITO!$Z$257</f>
        <v>0</v>
      </c>
      <c r="O257" s="60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1" t="s">
        <v>28</v>
      </c>
      <c r="B258" s="51" t="s">
        <v>41</v>
      </c>
      <c r="C258" s="51" t="s">
        <v>40</v>
      </c>
      <c r="D258" s="51" t="s">
        <v>43</v>
      </c>
      <c r="E258" s="51" t="s">
        <v>25</v>
      </c>
      <c r="F258" s="51" t="s">
        <v>25</v>
      </c>
      <c r="G258" s="51" t="s">
        <v>25</v>
      </c>
      <c r="H258" s="51" t="s">
        <v>35</v>
      </c>
      <c r="I258" s="59">
        <v>44440</v>
      </c>
      <c r="J258" s="60">
        <f ca="1">EFEITO!$J$258*EFEITO!$Y$258</f>
        <v>7181.4801545929422</v>
      </c>
      <c r="K258" s="60">
        <f ca="1">EFEITO!$L$258*EFEITO!$Z$258</f>
        <v>3836.0872420602627</v>
      </c>
      <c r="L258" s="60">
        <f>EFEITO!$N$258*EFEITO!$AA$258</f>
        <v>13167.822925287579</v>
      </c>
      <c r="M258" s="60">
        <f ca="1">$J$258-EFEITO!$K$258*EFEITO!$Y$258</f>
        <v>0</v>
      </c>
      <c r="N258" s="60">
        <f ca="1">$K$258-EFEITO!$M$258*EFEITO!$Z$258</f>
        <v>0</v>
      </c>
      <c r="O258" s="60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1" t="s">
        <v>21</v>
      </c>
      <c r="B259" s="51" t="s">
        <v>41</v>
      </c>
      <c r="C259" s="51" t="s">
        <v>40</v>
      </c>
      <c r="D259" s="51" t="s">
        <v>43</v>
      </c>
      <c r="E259" s="51" t="s">
        <v>25</v>
      </c>
      <c r="F259" s="51" t="s">
        <v>25</v>
      </c>
      <c r="G259" s="51" t="s">
        <v>25</v>
      </c>
      <c r="H259" s="51" t="s">
        <v>35</v>
      </c>
      <c r="I259" s="59">
        <v>44470</v>
      </c>
      <c r="J259" s="60">
        <f ca="1">EFEITO!$J$259*EFEITO!$Y$259</f>
        <v>217465.85831093293</v>
      </c>
      <c r="K259" s="60">
        <f ca="1">EFEITO!$L$259*EFEITO!$Z$259</f>
        <v>166510.82411366384</v>
      </c>
      <c r="L259" s="60">
        <f>EFEITO!$N$259*EFEITO!$AA$259</f>
        <v>571568.08714674867</v>
      </c>
      <c r="M259" s="60">
        <f ca="1">$J$259-EFEITO!$K$259*EFEITO!$Y$259</f>
        <v>0</v>
      </c>
      <c r="N259" s="60">
        <f ca="1">$K$259-EFEITO!$M$259*EFEITO!$Z$259</f>
        <v>0</v>
      </c>
      <c r="O259" s="60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1" t="s">
        <v>28</v>
      </c>
      <c r="B260" s="51" t="s">
        <v>41</v>
      </c>
      <c r="C260" s="51" t="s">
        <v>40</v>
      </c>
      <c r="D260" s="51" t="s">
        <v>43</v>
      </c>
      <c r="E260" s="51" t="s">
        <v>25</v>
      </c>
      <c r="F260" s="51" t="s">
        <v>25</v>
      </c>
      <c r="G260" s="51" t="s">
        <v>25</v>
      </c>
      <c r="H260" s="51" t="s">
        <v>35</v>
      </c>
      <c r="I260" s="59">
        <v>44470</v>
      </c>
      <c r="J260" s="60">
        <f ca="1">EFEITO!$J$260*EFEITO!$Y$260</f>
        <v>7181.4801545929422</v>
      </c>
      <c r="K260" s="60">
        <f ca="1">EFEITO!$L$260*EFEITO!$Z$260</f>
        <v>4191.0276986209983</v>
      </c>
      <c r="L260" s="60">
        <f>EFEITO!$N$260*EFEITO!$AA$260</f>
        <v>14386.19800022522</v>
      </c>
      <c r="M260" s="60">
        <f ca="1">$J$260-EFEITO!$K$260*EFEITO!$Y$260</f>
        <v>0</v>
      </c>
      <c r="N260" s="60">
        <f ca="1">$K$260-EFEITO!$M$260*EFEITO!$Z$260</f>
        <v>0</v>
      </c>
      <c r="O260" s="60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1" t="s">
        <v>21</v>
      </c>
      <c r="B261" s="51" t="s">
        <v>41</v>
      </c>
      <c r="C261" s="51" t="s">
        <v>40</v>
      </c>
      <c r="D261" s="51" t="s">
        <v>43</v>
      </c>
      <c r="E261" s="51" t="s">
        <v>25</v>
      </c>
      <c r="F261" s="51" t="s">
        <v>25</v>
      </c>
      <c r="G261" s="51" t="s">
        <v>25</v>
      </c>
      <c r="H261" s="51" t="s">
        <v>35</v>
      </c>
      <c r="I261" s="59">
        <v>44501</v>
      </c>
      <c r="J261" s="60">
        <f ca="1">EFEITO!$J$261*EFEITO!$Y$261</f>
        <v>215736.98345890132</v>
      </c>
      <c r="K261" s="60">
        <f ca="1">EFEITO!$L$261*EFEITO!$Z$261</f>
        <v>163804.76067314119</v>
      </c>
      <c r="L261" s="60">
        <f>EFEITO!$N$261*EFEITO!$AA$261</f>
        <v>562279.20450124878</v>
      </c>
      <c r="M261" s="60">
        <f ca="1">$J$261-EFEITO!$K$261*EFEITO!$Y$261</f>
        <v>0</v>
      </c>
      <c r="N261" s="60">
        <f ca="1">$K$261-EFEITO!$M$261*EFEITO!$Z$261</f>
        <v>0</v>
      </c>
      <c r="O261" s="60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1" t="s">
        <v>21</v>
      </c>
      <c r="B262" s="51" t="s">
        <v>41</v>
      </c>
      <c r="C262" s="51" t="s">
        <v>40</v>
      </c>
      <c r="D262" s="51" t="s">
        <v>43</v>
      </c>
      <c r="E262" s="51" t="s">
        <v>25</v>
      </c>
      <c r="F262" s="51" t="s">
        <v>25</v>
      </c>
      <c r="G262" s="51" t="s">
        <v>25</v>
      </c>
      <c r="H262" s="51" t="s">
        <v>35</v>
      </c>
      <c r="I262" s="59">
        <v>44531</v>
      </c>
      <c r="J262" s="60">
        <f ca="1">EFEITO!$J$262*EFEITO!$Y$262</f>
        <v>215949.76805607445</v>
      </c>
      <c r="K262" s="60">
        <f ca="1">EFEITO!$L$262*EFEITO!$Z$262</f>
        <v>170302.38128012995</v>
      </c>
      <c r="L262" s="60">
        <f>EFEITO!$N$262*EFEITO!$AA$262</f>
        <v>584583.0553236237</v>
      </c>
      <c r="M262" s="60">
        <f ca="1">$J$262-EFEITO!$K$262*EFEITO!$Y$262</f>
        <v>0</v>
      </c>
      <c r="N262" s="60">
        <f ca="1">$K$262-EFEITO!$M$262*EFEITO!$Z$262</f>
        <v>0</v>
      </c>
      <c r="O262" s="60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1" t="s">
        <v>21</v>
      </c>
      <c r="B263" s="51" t="s">
        <v>41</v>
      </c>
      <c r="C263" s="51" t="s">
        <v>40</v>
      </c>
      <c r="D263" s="51" t="s">
        <v>43</v>
      </c>
      <c r="E263" s="51" t="s">
        <v>25</v>
      </c>
      <c r="F263" s="51" t="s">
        <v>25</v>
      </c>
      <c r="G263" s="51" t="s">
        <v>25</v>
      </c>
      <c r="H263" s="51" t="s">
        <v>35</v>
      </c>
      <c r="I263" s="59">
        <v>44562</v>
      </c>
      <c r="J263" s="60">
        <f ca="1">EFEITO!$J$263*EFEITO!$Y$263</f>
        <v>215018.83544344202</v>
      </c>
      <c r="K263" s="60">
        <f ca="1">EFEITO!$L$263*EFEITO!$Z$263</f>
        <v>171635.8132663889</v>
      </c>
      <c r="L263" s="60">
        <f>EFEITO!$N$263*EFEITO!$AA$263</f>
        <v>589160.21824251034</v>
      </c>
      <c r="M263" s="60">
        <f ca="1">$J$263-EFEITO!$K$263*EFEITO!$Y$263</f>
        <v>0</v>
      </c>
      <c r="N263" s="60">
        <f ca="1">$K$263-EFEITO!$M$263*EFEITO!$Z$263</f>
        <v>0</v>
      </c>
      <c r="O263" s="60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1" t="s">
        <v>28</v>
      </c>
      <c r="B264" s="51" t="s">
        <v>41</v>
      </c>
      <c r="C264" s="51" t="s">
        <v>40</v>
      </c>
      <c r="D264" s="51" t="s">
        <v>43</v>
      </c>
      <c r="E264" s="51" t="s">
        <v>25</v>
      </c>
      <c r="F264" s="51" t="s">
        <v>25</v>
      </c>
      <c r="G264" s="51" t="s">
        <v>25</v>
      </c>
      <c r="H264" s="51" t="s">
        <v>35</v>
      </c>
      <c r="I264" s="59">
        <v>44562</v>
      </c>
      <c r="J264" s="60">
        <f ca="1">EFEITO!$J$264*EFEITO!$Y$264</f>
        <v>2260.8363449644448</v>
      </c>
      <c r="K264" s="60">
        <f ca="1">EFEITO!$L$264*EFEITO!$Z$264</f>
        <v>784.76944901120976</v>
      </c>
      <c r="L264" s="60">
        <f>EFEITO!$N$264*EFEITO!$AA$264</f>
        <v>2693.8139019500363</v>
      </c>
      <c r="M264" s="60">
        <f ca="1">$J$264-EFEITO!$K$264*EFEITO!$Y$264</f>
        <v>0</v>
      </c>
      <c r="N264" s="60">
        <f ca="1">$K$264-EFEITO!$M$264*EFEITO!$Z$264</f>
        <v>0</v>
      </c>
      <c r="O264" s="60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1" t="s">
        <v>28</v>
      </c>
      <c r="B265" s="51" t="s">
        <v>41</v>
      </c>
      <c r="C265" s="51" t="s">
        <v>40</v>
      </c>
      <c r="D265" s="51" t="s">
        <v>43</v>
      </c>
      <c r="E265" s="51" t="s">
        <v>25</v>
      </c>
      <c r="F265" s="51" t="s">
        <v>25</v>
      </c>
      <c r="G265" s="51" t="s">
        <v>25</v>
      </c>
      <c r="H265" s="51" t="s">
        <v>35</v>
      </c>
      <c r="I265" s="59">
        <v>44562</v>
      </c>
      <c r="J265" s="60">
        <f ca="1">EFEITO!$J$265*EFEITO!$Y$265</f>
        <v>0</v>
      </c>
      <c r="K265" s="60">
        <f ca="1">EFEITO!$L$265*EFEITO!$Z$265</f>
        <v>-46.805334931086072</v>
      </c>
      <c r="L265" s="60">
        <f>EFEITO!$N$265*EFEITO!$AA$265</f>
        <v>-160.66484504672187</v>
      </c>
      <c r="M265" s="60">
        <f ca="1">$J$265-EFEITO!$K$265*EFEITO!$Y$265</f>
        <v>0</v>
      </c>
      <c r="N265" s="60">
        <f ca="1">$K$265-EFEITO!$M$265*EFEITO!$Z$265</f>
        <v>0</v>
      </c>
      <c r="O265" s="60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1" t="s">
        <v>21</v>
      </c>
      <c r="B266" s="51" t="s">
        <v>41</v>
      </c>
      <c r="C266" s="51" t="s">
        <v>40</v>
      </c>
      <c r="D266" s="51" t="s">
        <v>43</v>
      </c>
      <c r="E266" s="51" t="s">
        <v>25</v>
      </c>
      <c r="F266" s="51" t="s">
        <v>25</v>
      </c>
      <c r="G266" s="51" t="s">
        <v>25</v>
      </c>
      <c r="H266" s="51" t="s">
        <v>35</v>
      </c>
      <c r="I266" s="59">
        <v>44593</v>
      </c>
      <c r="J266" s="60">
        <f ca="1">EFEITO!$J$266*EFEITO!$Y$266</f>
        <v>219434.11583478434</v>
      </c>
      <c r="K266" s="60">
        <f ca="1">EFEITO!$L$266*EFEITO!$Z$266</f>
        <v>163955.70787829394</v>
      </c>
      <c r="L266" s="60">
        <f>EFEITO!$N$266*EFEITO!$AA$266</f>
        <v>562797.34862652444</v>
      </c>
      <c r="M266" s="60">
        <f ca="1">$J$266-EFEITO!$K$266*EFEITO!$Y$266</f>
        <v>0</v>
      </c>
      <c r="N266" s="60">
        <f ca="1">$K$266-EFEITO!$M$266*EFEITO!$Z$266</f>
        <v>0</v>
      </c>
      <c r="O266" s="60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1" t="s">
        <v>27</v>
      </c>
      <c r="B267" s="51" t="s">
        <v>41</v>
      </c>
      <c r="C267" s="51" t="s">
        <v>40</v>
      </c>
      <c r="D267" s="51" t="s">
        <v>43</v>
      </c>
      <c r="E267" s="51" t="s">
        <v>25</v>
      </c>
      <c r="F267" s="51" t="s">
        <v>25</v>
      </c>
      <c r="G267" s="51" t="s">
        <v>25</v>
      </c>
      <c r="H267" s="51" t="s">
        <v>35</v>
      </c>
      <c r="I267" s="59">
        <v>44593</v>
      </c>
      <c r="J267" s="60">
        <f ca="1">EFEITO!$J$267*EFEITO!$Y$267</f>
        <v>2420.4247928442878</v>
      </c>
      <c r="K267" s="60">
        <f ca="1">EFEITO!$L$267*EFEITO!$Z$267</f>
        <v>2172.0275704408996</v>
      </c>
      <c r="L267" s="60">
        <f>EFEITO!$N$267*EFEITO!$AA$267</f>
        <v>7455.741392640376</v>
      </c>
      <c r="M267" s="60">
        <f ca="1">$J$267-EFEITO!$K$267*EFEITO!$Y$267</f>
        <v>0</v>
      </c>
      <c r="N267" s="60">
        <f ca="1">$K$267-EFEITO!$M$267*EFEITO!$Z$267</f>
        <v>0</v>
      </c>
      <c r="O267" s="60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1" t="s">
        <v>56</v>
      </c>
      <c r="B268" s="51" t="s">
        <v>41</v>
      </c>
      <c r="C268" s="51" t="s">
        <v>40</v>
      </c>
      <c r="D268" s="51" t="s">
        <v>43</v>
      </c>
      <c r="E268" s="51" t="s">
        <v>25</v>
      </c>
      <c r="F268" s="51" t="s">
        <v>25</v>
      </c>
      <c r="G268" s="51" t="s">
        <v>25</v>
      </c>
      <c r="H268" s="51" t="s">
        <v>35</v>
      </c>
      <c r="I268" s="59">
        <v>44621</v>
      </c>
      <c r="J268" s="60">
        <f ca="1">EFEITO!$J$268*EFEITO!$Y$268</f>
        <v>219434.11583478434</v>
      </c>
      <c r="K268" s="60">
        <f ca="1">EFEITO!$L$268*EFEITO!$Z$268</f>
        <v>163955.70787829394</v>
      </c>
      <c r="L268" s="60">
        <f>EFEITO!$N$268*EFEITO!$AA$268</f>
        <v>562797.34862652444</v>
      </c>
      <c r="M268" s="60">
        <f ca="1">$J$268-EFEITO!$K$268*EFEITO!$Y$268</f>
        <v>0</v>
      </c>
      <c r="N268" s="60">
        <f ca="1">$K$268-EFEITO!$M$268*EFEITO!$Z$268</f>
        <v>0</v>
      </c>
      <c r="O268" s="60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1" t="s">
        <v>56</v>
      </c>
      <c r="B269" s="51" t="s">
        <v>41</v>
      </c>
      <c r="C269" s="51" t="s">
        <v>40</v>
      </c>
      <c r="D269" s="51" t="s">
        <v>43</v>
      </c>
      <c r="E269" s="51" t="s">
        <v>25</v>
      </c>
      <c r="F269" s="51" t="s">
        <v>25</v>
      </c>
      <c r="G269" s="51" t="s">
        <v>25</v>
      </c>
      <c r="H269" s="51" t="s">
        <v>35</v>
      </c>
      <c r="I269" s="59">
        <v>44621</v>
      </c>
      <c r="J269" s="60">
        <f ca="1">EFEITO!$J$269*EFEITO!$Y$269</f>
        <v>2420.4247928442878</v>
      </c>
      <c r="K269" s="60">
        <f ca="1">EFEITO!$L$269*EFEITO!$Z$269</f>
        <v>2172.0275704408996</v>
      </c>
      <c r="L269" s="60">
        <f>EFEITO!$N$269*EFEITO!$AA$269</f>
        <v>7455.741392640376</v>
      </c>
      <c r="M269" s="60">
        <f ca="1">$J$269-EFEITO!$K$269*EFEITO!$Y$269</f>
        <v>0</v>
      </c>
      <c r="N269" s="60">
        <f ca="1">$K$269-EFEITO!$M$269*EFEITO!$Z$269</f>
        <v>0</v>
      </c>
      <c r="O269" s="60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1" t="s">
        <v>21</v>
      </c>
      <c r="B270" s="51" t="s">
        <v>41</v>
      </c>
      <c r="C270" s="51" t="s">
        <v>40</v>
      </c>
      <c r="D270" s="51" t="s">
        <v>43</v>
      </c>
      <c r="E270" s="51" t="s">
        <v>25</v>
      </c>
      <c r="F270" s="51" t="s">
        <v>25</v>
      </c>
      <c r="G270" s="51" t="s">
        <v>25</v>
      </c>
      <c r="H270" s="51" t="s">
        <v>34</v>
      </c>
      <c r="I270" s="59">
        <v>44287</v>
      </c>
      <c r="J270" s="60">
        <f ca="1">EFEITO!$J$270*EFEITO!$Y$270</f>
        <v>520642.36820311245</v>
      </c>
      <c r="K270" s="60">
        <f ca="1">EFEITO!$L$270*EFEITO!$Z$270</f>
        <v>15997.088368300821</v>
      </c>
      <c r="L270" s="60">
        <f>EFEITO!$N$270*EFEITO!$AA$270</f>
        <v>88970.618570161299</v>
      </c>
      <c r="M270" s="60">
        <f ca="1">$J$270-EFEITO!$K$270*EFEITO!$Y$270</f>
        <v>0</v>
      </c>
      <c r="N270" s="60">
        <f ca="1">$K$270-EFEITO!$M$270*EFEITO!$Z$270</f>
        <v>0</v>
      </c>
      <c r="O270" s="60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1" t="s">
        <v>28</v>
      </c>
      <c r="B271" s="51" t="s">
        <v>41</v>
      </c>
      <c r="C271" s="51" t="s">
        <v>40</v>
      </c>
      <c r="D271" s="51" t="s">
        <v>43</v>
      </c>
      <c r="E271" s="51" t="s">
        <v>25</v>
      </c>
      <c r="F271" s="51" t="s">
        <v>25</v>
      </c>
      <c r="G271" s="51" t="s">
        <v>25</v>
      </c>
      <c r="H271" s="51" t="s">
        <v>34</v>
      </c>
      <c r="I271" s="59">
        <v>44287</v>
      </c>
      <c r="J271" s="60">
        <f ca="1">EFEITO!$J$271*EFEITO!$Y$271</f>
        <v>19951.623599024384</v>
      </c>
      <c r="K271" s="60">
        <f ca="1">EFEITO!$L$271*EFEITO!$Z$271</f>
        <v>705.33039444761653</v>
      </c>
      <c r="L271" s="60">
        <f>EFEITO!$N$271*EFEITO!$AA$271</f>
        <v>3922.8189558976519</v>
      </c>
      <c r="M271" s="60">
        <f ca="1">$J$271-EFEITO!$K$271*EFEITO!$Y$271</f>
        <v>0</v>
      </c>
      <c r="N271" s="60">
        <f ca="1">$K$271-EFEITO!$M$271*EFEITO!$Z$271</f>
        <v>0</v>
      </c>
      <c r="O271" s="60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1" t="s">
        <v>21</v>
      </c>
      <c r="B272" s="51" t="s">
        <v>41</v>
      </c>
      <c r="C272" s="51" t="s">
        <v>40</v>
      </c>
      <c r="D272" s="51" t="s">
        <v>43</v>
      </c>
      <c r="E272" s="51" t="s">
        <v>25</v>
      </c>
      <c r="F272" s="51" t="s">
        <v>25</v>
      </c>
      <c r="G272" s="51" t="s">
        <v>25</v>
      </c>
      <c r="H272" s="51" t="s">
        <v>34</v>
      </c>
      <c r="I272" s="59">
        <v>44317</v>
      </c>
      <c r="J272" s="60">
        <f ca="1">EFEITO!$J$272*EFEITO!$Y$272</f>
        <v>541397.90337572386</v>
      </c>
      <c r="K272" s="60">
        <f ca="1">EFEITO!$L$272*EFEITO!$Z$272</f>
        <v>16347.543313597329</v>
      </c>
      <c r="L272" s="60">
        <f>EFEITO!$N$272*EFEITO!$AA$272</f>
        <v>90919.735343547873</v>
      </c>
      <c r="M272" s="60">
        <f ca="1">$J$272-EFEITO!$K$272*EFEITO!$Y$272</f>
        <v>0</v>
      </c>
      <c r="N272" s="60">
        <f ca="1">$K$272-EFEITO!$M$272*EFEITO!$Z$272</f>
        <v>0</v>
      </c>
      <c r="O272" s="60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1" t="s">
        <v>28</v>
      </c>
      <c r="B273" s="51" t="s">
        <v>41</v>
      </c>
      <c r="C273" s="51" t="s">
        <v>40</v>
      </c>
      <c r="D273" s="51" t="s">
        <v>43</v>
      </c>
      <c r="E273" s="51" t="s">
        <v>25</v>
      </c>
      <c r="F273" s="51" t="s">
        <v>25</v>
      </c>
      <c r="G273" s="51" t="s">
        <v>25</v>
      </c>
      <c r="H273" s="51" t="s">
        <v>34</v>
      </c>
      <c r="I273" s="59">
        <v>44317</v>
      </c>
      <c r="J273" s="60">
        <f ca="1">EFEITO!$J$273*EFEITO!$Y$273</f>
        <v>19951.623599024384</v>
      </c>
      <c r="K273" s="60">
        <f ca="1">EFEITO!$L$273*EFEITO!$Z$273</f>
        <v>714.43143179532774</v>
      </c>
      <c r="L273" s="60">
        <f>EFEITO!$N$273*EFEITO!$AA$273</f>
        <v>3973.4359746834284</v>
      </c>
      <c r="M273" s="60">
        <f ca="1">$J$273-EFEITO!$K$273*EFEITO!$Y$273</f>
        <v>0</v>
      </c>
      <c r="N273" s="60">
        <f ca="1">$K$273-EFEITO!$M$273*EFEITO!$Z$273</f>
        <v>0</v>
      </c>
      <c r="O273" s="60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1" t="s">
        <v>21</v>
      </c>
      <c r="B274" s="51" t="s">
        <v>41</v>
      </c>
      <c r="C274" s="51" t="s">
        <v>40</v>
      </c>
      <c r="D274" s="51" t="s">
        <v>43</v>
      </c>
      <c r="E274" s="51" t="s">
        <v>25</v>
      </c>
      <c r="F274" s="51" t="s">
        <v>25</v>
      </c>
      <c r="G274" s="51" t="s">
        <v>25</v>
      </c>
      <c r="H274" s="51" t="s">
        <v>34</v>
      </c>
      <c r="I274" s="59">
        <v>44348</v>
      </c>
      <c r="J274" s="60">
        <f ca="1">EFEITO!$J$274*EFEITO!$Y$274</f>
        <v>531677.8816223531</v>
      </c>
      <c r="K274" s="60">
        <f ca="1">EFEITO!$L$274*EFEITO!$Z$274</f>
        <v>15117.733138283042</v>
      </c>
      <c r="L274" s="60">
        <f>EFEITO!$N$274*EFEITO!$AA$274</f>
        <v>84079.929905052777</v>
      </c>
      <c r="M274" s="60">
        <f ca="1">$J$274-EFEITO!$K$274*EFEITO!$Y$274</f>
        <v>0</v>
      </c>
      <c r="N274" s="60">
        <f ca="1">$K$274-EFEITO!$M$274*EFEITO!$Z$274</f>
        <v>0</v>
      </c>
      <c r="O274" s="60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1" t="s">
        <v>28</v>
      </c>
      <c r="B275" s="51" t="s">
        <v>41</v>
      </c>
      <c r="C275" s="51" t="s">
        <v>40</v>
      </c>
      <c r="D275" s="51" t="s">
        <v>43</v>
      </c>
      <c r="E275" s="51" t="s">
        <v>25</v>
      </c>
      <c r="F275" s="51" t="s">
        <v>25</v>
      </c>
      <c r="G275" s="51" t="s">
        <v>25</v>
      </c>
      <c r="H275" s="51" t="s">
        <v>34</v>
      </c>
      <c r="I275" s="59">
        <v>44348</v>
      </c>
      <c r="J275" s="60">
        <f ca="1">EFEITO!$J$275*EFEITO!$Y$275</f>
        <v>18270.717581524161</v>
      </c>
      <c r="K275" s="60">
        <f ca="1">EFEITO!$L$275*EFEITO!$Z$275</f>
        <v>641.62313301363815</v>
      </c>
      <c r="L275" s="60">
        <f>EFEITO!$N$275*EFEITO!$AA$275</f>
        <v>3568.4998243972186</v>
      </c>
      <c r="M275" s="60">
        <f ca="1">$J$275-EFEITO!$K$275*EFEITO!$Y$275</f>
        <v>0</v>
      </c>
      <c r="N275" s="60">
        <f ca="1">$K$275-EFEITO!$M$275*EFEITO!$Z$275</f>
        <v>0</v>
      </c>
      <c r="O275" s="60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1" t="s">
        <v>21</v>
      </c>
      <c r="B276" s="51" t="s">
        <v>41</v>
      </c>
      <c r="C276" s="51" t="s">
        <v>40</v>
      </c>
      <c r="D276" s="51" t="s">
        <v>43</v>
      </c>
      <c r="E276" s="51" t="s">
        <v>25</v>
      </c>
      <c r="F276" s="51" t="s">
        <v>25</v>
      </c>
      <c r="G276" s="51" t="s">
        <v>25</v>
      </c>
      <c r="H276" s="51" t="s">
        <v>34</v>
      </c>
      <c r="I276" s="59">
        <v>44378</v>
      </c>
      <c r="J276" s="60">
        <f ca="1">EFEITO!$J$276*EFEITO!$Y$276</f>
        <v>490897.63998039113</v>
      </c>
      <c r="K276" s="60">
        <f ca="1">EFEITO!$L$276*EFEITO!$Z$276</f>
        <v>14795.231379125933</v>
      </c>
      <c r="L276" s="60">
        <f>EFEITO!$N$276*EFEITO!$AA$276</f>
        <v>82286.279689365372</v>
      </c>
      <c r="M276" s="60">
        <f ca="1">$J$276-EFEITO!$K$276*EFEITO!$Y$276</f>
        <v>0</v>
      </c>
      <c r="N276" s="60">
        <f ca="1">$K$276-EFEITO!$M$276*EFEITO!$Z$276</f>
        <v>0</v>
      </c>
      <c r="O276" s="60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1" t="s">
        <v>27</v>
      </c>
      <c r="B277" s="51" t="s">
        <v>41</v>
      </c>
      <c r="C277" s="51" t="s">
        <v>40</v>
      </c>
      <c r="D277" s="51" t="s">
        <v>43</v>
      </c>
      <c r="E277" s="51" t="s">
        <v>25</v>
      </c>
      <c r="F277" s="51" t="s">
        <v>25</v>
      </c>
      <c r="G277" s="51" t="s">
        <v>25</v>
      </c>
      <c r="H277" s="51" t="s">
        <v>34</v>
      </c>
      <c r="I277" s="59">
        <v>44378</v>
      </c>
      <c r="J277" s="60">
        <f ca="1">EFEITO!$J$277*EFEITO!$Y$277</f>
        <v>-2996.3976833699621</v>
      </c>
      <c r="K277" s="60">
        <f ca="1">EFEITO!$L$277*EFEITO!$Z$277</f>
        <v>689.40357908912199</v>
      </c>
      <c r="L277" s="60">
        <f>EFEITO!$N$277*EFEITO!$AA$277</f>
        <v>3834.239173022544</v>
      </c>
      <c r="M277" s="60">
        <f ca="1">$J$277-EFEITO!$K$277*EFEITO!$Y$277</f>
        <v>0</v>
      </c>
      <c r="N277" s="60">
        <f ca="1">$K$277-EFEITO!$M$277*EFEITO!$Z$277</f>
        <v>0</v>
      </c>
      <c r="O277" s="60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1" t="s">
        <v>28</v>
      </c>
      <c r="B278" s="51" t="s">
        <v>41</v>
      </c>
      <c r="C278" s="51" t="s">
        <v>40</v>
      </c>
      <c r="D278" s="51" t="s">
        <v>43</v>
      </c>
      <c r="E278" s="51" t="s">
        <v>25</v>
      </c>
      <c r="F278" s="51" t="s">
        <v>25</v>
      </c>
      <c r="G278" s="51" t="s">
        <v>25</v>
      </c>
      <c r="H278" s="51" t="s">
        <v>34</v>
      </c>
      <c r="I278" s="59">
        <v>44378</v>
      </c>
      <c r="J278" s="60">
        <f ca="1">EFEITO!$J$278*EFEITO!$Y$278</f>
        <v>18270.717581524161</v>
      </c>
      <c r="K278" s="60">
        <f ca="1">EFEITO!$L$278*EFEITO!$Z$278</f>
        <v>668.92624505677168</v>
      </c>
      <c r="L278" s="60">
        <f>EFEITO!$N$278*EFEITO!$AA$278</f>
        <v>3720.3508807545472</v>
      </c>
      <c r="M278" s="60">
        <f ca="1">$J$278-EFEITO!$K$278*EFEITO!$Y$278</f>
        <v>0</v>
      </c>
      <c r="N278" s="60">
        <f ca="1">$K$278-EFEITO!$M$278*EFEITO!$Z$278</f>
        <v>0</v>
      </c>
      <c r="O278" s="60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1" t="s">
        <v>21</v>
      </c>
      <c r="B279" s="51" t="s">
        <v>41</v>
      </c>
      <c r="C279" s="51" t="s">
        <v>40</v>
      </c>
      <c r="D279" s="51" t="s">
        <v>43</v>
      </c>
      <c r="E279" s="51" t="s">
        <v>25</v>
      </c>
      <c r="F279" s="51" t="s">
        <v>25</v>
      </c>
      <c r="G279" s="51" t="s">
        <v>25</v>
      </c>
      <c r="H279" s="51" t="s">
        <v>34</v>
      </c>
      <c r="I279" s="59">
        <v>44409</v>
      </c>
      <c r="J279" s="60">
        <f ca="1">EFEITO!$J$279*EFEITO!$Y$279</f>
        <v>491116.88859136944</v>
      </c>
      <c r="K279" s="60">
        <f ca="1">EFEITO!$L$279*EFEITO!$Z$279</f>
        <v>15277.196314096867</v>
      </c>
      <c r="L279" s="60">
        <f>EFEITO!$N$279*EFEITO!$AA$279</f>
        <v>84966.812384206409</v>
      </c>
      <c r="M279" s="60">
        <f ca="1">$J$279-EFEITO!$K$279*EFEITO!$Y$279</f>
        <v>0</v>
      </c>
      <c r="N279" s="60">
        <f ca="1">$K$279-EFEITO!$M$279*EFEITO!$Z$279</f>
        <v>0</v>
      </c>
      <c r="O279" s="60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1" t="s">
        <v>27</v>
      </c>
      <c r="B280" s="51" t="s">
        <v>41</v>
      </c>
      <c r="C280" s="51" t="s">
        <v>40</v>
      </c>
      <c r="D280" s="51" t="s">
        <v>43</v>
      </c>
      <c r="E280" s="51" t="s">
        <v>25</v>
      </c>
      <c r="F280" s="51" t="s">
        <v>25</v>
      </c>
      <c r="G280" s="51" t="s">
        <v>25</v>
      </c>
      <c r="H280" s="51" t="s">
        <v>34</v>
      </c>
      <c r="I280" s="59">
        <v>44409</v>
      </c>
      <c r="J280" s="60">
        <f ca="1">EFEITO!$J$280*EFEITO!$Y$280</f>
        <v>0</v>
      </c>
      <c r="K280" s="60">
        <f ca="1">EFEITO!$L$280*EFEITO!$Z$280</f>
        <v>-20.087289574591107</v>
      </c>
      <c r="L280" s="60">
        <f>EFEITO!$N$280*EFEITO!$AA$280</f>
        <v>-111.71899146289165</v>
      </c>
      <c r="M280" s="60">
        <f ca="1">$J$280-EFEITO!$K$280*EFEITO!$Y$280</f>
        <v>0</v>
      </c>
      <c r="N280" s="60">
        <f ca="1">$K$280-EFEITO!$M$280*EFEITO!$Z$280</f>
        <v>0</v>
      </c>
      <c r="O280" s="60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1" t="s">
        <v>28</v>
      </c>
      <c r="B281" s="51" t="s">
        <v>41</v>
      </c>
      <c r="C281" s="51" t="s">
        <v>40</v>
      </c>
      <c r="D281" s="51" t="s">
        <v>43</v>
      </c>
      <c r="E281" s="51" t="s">
        <v>25</v>
      </c>
      <c r="F281" s="51" t="s">
        <v>25</v>
      </c>
      <c r="G281" s="51" t="s">
        <v>25</v>
      </c>
      <c r="H281" s="51" t="s">
        <v>34</v>
      </c>
      <c r="I281" s="59">
        <v>44409</v>
      </c>
      <c r="J281" s="60">
        <f ca="1">EFEITO!$J$281*EFEITO!$Y$281</f>
        <v>18270.717581524161</v>
      </c>
      <c r="K281" s="60">
        <f ca="1">EFEITO!$L$281*EFEITO!$Z$281</f>
        <v>682.57780107833855</v>
      </c>
      <c r="L281" s="60">
        <f>EFEITO!$N$281*EFEITO!$AA$281</f>
        <v>3796.2764089332118</v>
      </c>
      <c r="M281" s="60">
        <f ca="1">$J$281-EFEITO!$K$281*EFEITO!$Y$281</f>
        <v>0</v>
      </c>
      <c r="N281" s="60">
        <f ca="1">$K$281-EFEITO!$M$281*EFEITO!$Z$281</f>
        <v>0</v>
      </c>
      <c r="O281" s="60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1" t="s">
        <v>21</v>
      </c>
      <c r="B282" s="51" t="s">
        <v>41</v>
      </c>
      <c r="C282" s="51" t="s">
        <v>40</v>
      </c>
      <c r="D282" s="51" t="s">
        <v>43</v>
      </c>
      <c r="E282" s="51" t="s">
        <v>25</v>
      </c>
      <c r="F282" s="51" t="s">
        <v>25</v>
      </c>
      <c r="G282" s="51" t="s">
        <v>25</v>
      </c>
      <c r="H282" s="51" t="s">
        <v>34</v>
      </c>
      <c r="I282" s="59">
        <v>44440</v>
      </c>
      <c r="J282" s="60">
        <f ca="1">EFEITO!$J$282*EFEITO!$Y$282</f>
        <v>493236.2918308262</v>
      </c>
      <c r="K282" s="60">
        <f ca="1">EFEITO!$L$282*EFEITO!$Z$282</f>
        <v>15524.614515135358</v>
      </c>
      <c r="L282" s="60">
        <f>EFEITO!$N$282*EFEITO!$AA$282</f>
        <v>86342.87219491115</v>
      </c>
      <c r="M282" s="60">
        <f ca="1">$J$282-EFEITO!$K$282*EFEITO!$Y$282</f>
        <v>0</v>
      </c>
      <c r="N282" s="60">
        <f ca="1">$K$282-EFEITO!$M$282*EFEITO!$Z$282</f>
        <v>0</v>
      </c>
      <c r="O282" s="60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1" t="s">
        <v>28</v>
      </c>
      <c r="B283" s="51" t="s">
        <v>41</v>
      </c>
      <c r="C283" s="51" t="s">
        <v>40</v>
      </c>
      <c r="D283" s="51" t="s">
        <v>43</v>
      </c>
      <c r="E283" s="51" t="s">
        <v>25</v>
      </c>
      <c r="F283" s="51" t="s">
        <v>25</v>
      </c>
      <c r="G283" s="51" t="s">
        <v>25</v>
      </c>
      <c r="H283" s="51" t="s">
        <v>34</v>
      </c>
      <c r="I283" s="59">
        <v>44440</v>
      </c>
      <c r="J283" s="60">
        <f ca="1">EFEITO!$J$283*EFEITO!$Y$283</f>
        <v>18270.717581524161</v>
      </c>
      <c r="K283" s="60">
        <f ca="1">EFEITO!$L$283*EFEITO!$Z$283</f>
        <v>682.57780107833855</v>
      </c>
      <c r="L283" s="60">
        <f>EFEITO!$N$283*EFEITO!$AA$283</f>
        <v>3796.2764089332118</v>
      </c>
      <c r="M283" s="60">
        <f ca="1">$J$283-EFEITO!$K$283*EFEITO!$Y$283</f>
        <v>0</v>
      </c>
      <c r="N283" s="60">
        <f ca="1">$K$283-EFEITO!$M$283*EFEITO!$Z$283</f>
        <v>0</v>
      </c>
      <c r="O283" s="60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1" t="s">
        <v>21</v>
      </c>
      <c r="B284" s="51" t="s">
        <v>41</v>
      </c>
      <c r="C284" s="51" t="s">
        <v>40</v>
      </c>
      <c r="D284" s="51" t="s">
        <v>43</v>
      </c>
      <c r="E284" s="51" t="s">
        <v>25</v>
      </c>
      <c r="F284" s="51" t="s">
        <v>25</v>
      </c>
      <c r="G284" s="51" t="s">
        <v>25</v>
      </c>
      <c r="H284" s="51" t="s">
        <v>34</v>
      </c>
      <c r="I284" s="59">
        <v>44470</v>
      </c>
      <c r="J284" s="60">
        <f ca="1">EFEITO!$J$284*EFEITO!$Y$284</f>
        <v>516257.39598354668</v>
      </c>
      <c r="K284" s="60">
        <f ca="1">EFEITO!$L$284*EFEITO!$Z$284</f>
        <v>16113.581646351524</v>
      </c>
      <c r="L284" s="60">
        <f>EFEITO!$N$284*EFEITO!$AA$284</f>
        <v>89618.516410619224</v>
      </c>
      <c r="M284" s="60">
        <f ca="1">$J$284-EFEITO!$K$284*EFEITO!$Y$284</f>
        <v>0</v>
      </c>
      <c r="N284" s="60">
        <f ca="1">$K$284-EFEITO!$M$284*EFEITO!$Z$284</f>
        <v>0</v>
      </c>
      <c r="O284" s="60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1" t="s">
        <v>28</v>
      </c>
      <c r="B285" s="51" t="s">
        <v>41</v>
      </c>
      <c r="C285" s="51" t="s">
        <v>40</v>
      </c>
      <c r="D285" s="51" t="s">
        <v>43</v>
      </c>
      <c r="E285" s="51" t="s">
        <v>25</v>
      </c>
      <c r="F285" s="51" t="s">
        <v>25</v>
      </c>
      <c r="G285" s="51" t="s">
        <v>25</v>
      </c>
      <c r="H285" s="51" t="s">
        <v>34</v>
      </c>
      <c r="I285" s="59">
        <v>44470</v>
      </c>
      <c r="J285" s="60">
        <f ca="1">EFEITO!$J$285*EFEITO!$Y$285</f>
        <v>18270.717581524161</v>
      </c>
      <c r="K285" s="60">
        <f ca="1">EFEITO!$L$285*EFEITO!$Z$285</f>
        <v>696.22935709990543</v>
      </c>
      <c r="L285" s="60">
        <f>EFEITO!$N$285*EFEITO!$AA$285</f>
        <v>3872.2019371118763</v>
      </c>
      <c r="M285" s="60">
        <f ca="1">$J$285-EFEITO!$K$285*EFEITO!$Y$285</f>
        <v>0</v>
      </c>
      <c r="N285" s="60">
        <f ca="1">$K$285-EFEITO!$M$285*EFEITO!$Z$285</f>
        <v>0</v>
      </c>
      <c r="O285" s="60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1" t="s">
        <v>21</v>
      </c>
      <c r="B286" s="51" t="s">
        <v>41</v>
      </c>
      <c r="C286" s="51" t="s">
        <v>40</v>
      </c>
      <c r="D286" s="51" t="s">
        <v>43</v>
      </c>
      <c r="E286" s="51" t="s">
        <v>25</v>
      </c>
      <c r="F286" s="51" t="s">
        <v>25</v>
      </c>
      <c r="G286" s="51" t="s">
        <v>25</v>
      </c>
      <c r="H286" s="51" t="s">
        <v>34</v>
      </c>
      <c r="I286" s="59">
        <v>44501</v>
      </c>
      <c r="J286" s="60">
        <f ca="1">EFEITO!$J$286*EFEITO!$Y$286</f>
        <v>515161.15292865521</v>
      </c>
      <c r="K286" s="60">
        <f ca="1">EFEITO!$L$286*EFEITO!$Z$286</f>
        <v>16318.094957036521</v>
      </c>
      <c r="L286" s="60">
        <f>EFEITO!$N$286*EFEITO!$AA$286</f>
        <v>90755.953132762457</v>
      </c>
      <c r="M286" s="60">
        <f ca="1">$J$286-EFEITO!$K$286*EFEITO!$Y$286</f>
        <v>0</v>
      </c>
      <c r="N286" s="60">
        <f ca="1">$K$286-EFEITO!$M$286*EFEITO!$Z$286</f>
        <v>0</v>
      </c>
      <c r="O286" s="60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1" t="s">
        <v>21</v>
      </c>
      <c r="B287" s="51" t="s">
        <v>41</v>
      </c>
      <c r="C287" s="51" t="s">
        <v>40</v>
      </c>
      <c r="D287" s="51" t="s">
        <v>43</v>
      </c>
      <c r="E287" s="51" t="s">
        <v>25</v>
      </c>
      <c r="F287" s="51" t="s">
        <v>25</v>
      </c>
      <c r="G287" s="51" t="s">
        <v>25</v>
      </c>
      <c r="H287" s="51" t="s">
        <v>34</v>
      </c>
      <c r="I287" s="59">
        <v>44531</v>
      </c>
      <c r="J287" s="60">
        <f ca="1">EFEITO!$J$287*EFEITO!$Y$287</f>
        <v>513041.74968919839</v>
      </c>
      <c r="K287" s="60">
        <f ca="1">EFEITO!$L$287*EFEITO!$Z$287</f>
        <v>18557.925255717866</v>
      </c>
      <c r="L287" s="60">
        <f>EFEITO!$N$287*EFEITO!$AA$287</f>
        <v>103213.16300607615</v>
      </c>
      <c r="M287" s="60">
        <f ca="1">$J$287-EFEITO!$K$287*EFEITO!$Y$287</f>
        <v>0</v>
      </c>
      <c r="N287" s="60">
        <f ca="1">$K$287-EFEITO!$M$287*EFEITO!$Z$287</f>
        <v>0</v>
      </c>
      <c r="O287" s="60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1" t="s">
        <v>21</v>
      </c>
      <c r="B288" s="51" t="s">
        <v>41</v>
      </c>
      <c r="C288" s="51" t="s">
        <v>40</v>
      </c>
      <c r="D288" s="51" t="s">
        <v>43</v>
      </c>
      <c r="E288" s="51" t="s">
        <v>25</v>
      </c>
      <c r="F288" s="51" t="s">
        <v>25</v>
      </c>
      <c r="G288" s="51" t="s">
        <v>25</v>
      </c>
      <c r="H288" s="51" t="s">
        <v>34</v>
      </c>
      <c r="I288" s="59">
        <v>44562</v>
      </c>
      <c r="J288" s="60">
        <f ca="1">EFEITO!$J$288*EFEITO!$Y$288</f>
        <v>507122.0371927846</v>
      </c>
      <c r="K288" s="60">
        <f ca="1">EFEITO!$L$288*EFEITO!$Z$288</f>
        <v>17823.796578805708</v>
      </c>
      <c r="L288" s="60">
        <f>EFEITO!$N$288*EFEITO!$AA$288</f>
        <v>99130.177340734939</v>
      </c>
      <c r="M288" s="60">
        <f ca="1">$J$288-EFEITO!$K$288*EFEITO!$Y$288</f>
        <v>0</v>
      </c>
      <c r="N288" s="60">
        <f ca="1">$K$288-EFEITO!$M$288*EFEITO!$Z$288</f>
        <v>0</v>
      </c>
      <c r="O288" s="60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1" t="s">
        <v>28</v>
      </c>
      <c r="B289" s="51" t="s">
        <v>41</v>
      </c>
      <c r="C289" s="51" t="s">
        <v>40</v>
      </c>
      <c r="D289" s="51" t="s">
        <v>43</v>
      </c>
      <c r="E289" s="51" t="s">
        <v>25</v>
      </c>
      <c r="F289" s="51" t="s">
        <v>25</v>
      </c>
      <c r="G289" s="51" t="s">
        <v>25</v>
      </c>
      <c r="H289" s="51" t="s">
        <v>34</v>
      </c>
      <c r="I289" s="59">
        <v>44562</v>
      </c>
      <c r="J289" s="60">
        <f ca="1">EFEITO!$J$289*EFEITO!$Y$289</f>
        <v>5481.2152744572477</v>
      </c>
      <c r="K289" s="60">
        <f ca="1">EFEITO!$L$289*EFEITO!$Z$289</f>
        <v>181.1106432194525</v>
      </c>
      <c r="L289" s="60">
        <f>EFEITO!$N$289*EFEITO!$AA$289</f>
        <v>1007.2786738369455</v>
      </c>
      <c r="M289" s="60">
        <f ca="1">$J$289-EFEITO!$K$289*EFEITO!$Y$289</f>
        <v>0</v>
      </c>
      <c r="N289" s="60">
        <f ca="1">$K$289-EFEITO!$M$289*EFEITO!$Z$289</f>
        <v>0</v>
      </c>
      <c r="O289" s="60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1" t="s">
        <v>21</v>
      </c>
      <c r="B290" s="51" t="s">
        <v>41</v>
      </c>
      <c r="C290" s="51" t="s">
        <v>40</v>
      </c>
      <c r="D290" s="51" t="s">
        <v>43</v>
      </c>
      <c r="E290" s="51" t="s">
        <v>25</v>
      </c>
      <c r="F290" s="51" t="s">
        <v>25</v>
      </c>
      <c r="G290" s="51" t="s">
        <v>25</v>
      </c>
      <c r="H290" s="51" t="s">
        <v>34</v>
      </c>
      <c r="I290" s="59">
        <v>44593</v>
      </c>
      <c r="J290" s="60">
        <f ca="1">EFEITO!$J$290*EFEITO!$Y$290</f>
        <v>516257.39598354668</v>
      </c>
      <c r="K290" s="60">
        <f ca="1">EFEITO!$L$290*EFEITO!$Z$290</f>
        <v>17405.733927497633</v>
      </c>
      <c r="L290" s="60">
        <f>EFEITO!$N$290*EFEITO!$AA$290</f>
        <v>96805.048427796894</v>
      </c>
      <c r="M290" s="60">
        <f ca="1">$J$290-EFEITO!$K$290*EFEITO!$Y$290</f>
        <v>0</v>
      </c>
      <c r="N290" s="60">
        <f ca="1">$K$290-EFEITO!$M$290*EFEITO!$Z$290</f>
        <v>0</v>
      </c>
      <c r="O290" s="60">
        <f>$L$290-EFEITO!$O$290*EFEITO!$AA$290</f>
        <v>0</v>
      </c>
      <c r="P290" s="18"/>
      <c r="Q290" s="18"/>
      <c r="R290" s="18"/>
      <c r="S290" s="18"/>
      <c r="T290" s="18"/>
      <c r="U290" s="18"/>
      <c r="V290" s="18"/>
      <c r="W290" s="18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1" t="s">
        <v>27</v>
      </c>
      <c r="B291" s="51" t="s">
        <v>41</v>
      </c>
      <c r="C291" s="51" t="s">
        <v>40</v>
      </c>
      <c r="D291" s="51" t="s">
        <v>43</v>
      </c>
      <c r="E291" s="51" t="s">
        <v>25</v>
      </c>
      <c r="F291" s="51" t="s">
        <v>25</v>
      </c>
      <c r="G291" s="51" t="s">
        <v>25</v>
      </c>
      <c r="H291" s="51" t="s">
        <v>34</v>
      </c>
      <c r="I291" s="59">
        <v>44593</v>
      </c>
      <c r="J291" s="60">
        <f ca="1">EFEITO!$J$291*EFEITO!$Y$291</f>
        <v>5846.6296260877316</v>
      </c>
      <c r="K291" s="60">
        <f ca="1">EFEITO!$L$291*EFEITO!$Z$291</f>
        <v>288.76291356095049</v>
      </c>
      <c r="L291" s="60">
        <f>EFEITO!$N$291*EFEITO!$AA$291</f>
        <v>1606.0056960458408</v>
      </c>
      <c r="M291" s="60">
        <f ca="1">$J$291-EFEITO!$K$291*EFEITO!$Y$291</f>
        <v>0</v>
      </c>
      <c r="N291" s="60">
        <f ca="1">$K$291-EFEITO!$M$291*EFEITO!$Z$291</f>
        <v>0</v>
      </c>
      <c r="O291" s="60">
        <f>$L$291-EFEITO!$O$291*EFEITO!$AA$291</f>
        <v>0</v>
      </c>
      <c r="P291" s="18"/>
      <c r="Q291" s="18"/>
      <c r="R291" s="18"/>
      <c r="S291" s="18"/>
      <c r="T291" s="18"/>
      <c r="U291" s="18"/>
      <c r="V291" s="18"/>
      <c r="W291" s="18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1" t="s">
        <v>56</v>
      </c>
      <c r="B292" s="51" t="s">
        <v>41</v>
      </c>
      <c r="C292" s="51" t="s">
        <v>40</v>
      </c>
      <c r="D292" s="51" t="s">
        <v>43</v>
      </c>
      <c r="E292" s="51" t="s">
        <v>25</v>
      </c>
      <c r="F292" s="51" t="s">
        <v>25</v>
      </c>
      <c r="G292" s="51" t="s">
        <v>25</v>
      </c>
      <c r="H292" s="51" t="s">
        <v>34</v>
      </c>
      <c r="I292" s="59">
        <v>44621</v>
      </c>
      <c r="J292" s="60">
        <f ca="1">EFEITO!$J$292*EFEITO!$Y$292</f>
        <v>516257.39598354668</v>
      </c>
      <c r="K292" s="60">
        <f ca="1">EFEITO!$L$292*EFEITO!$Z$292</f>
        <v>17405.733927497633</v>
      </c>
      <c r="L292" s="60">
        <f>EFEITO!$N$292*EFEITO!$AA$292</f>
        <v>96805.048427796894</v>
      </c>
      <c r="M292" s="60">
        <f ca="1">$J$292-EFEITO!$K$292*EFEITO!$Y$292</f>
        <v>0</v>
      </c>
      <c r="N292" s="60">
        <f ca="1">$K$292-EFEITO!$M$292*EFEITO!$Z$292</f>
        <v>0</v>
      </c>
      <c r="O292" s="60">
        <f>$L$292-EFEITO!$O$292*EFEITO!$AA$292</f>
        <v>0</v>
      </c>
      <c r="P292" s="18"/>
      <c r="Q292" s="18"/>
      <c r="R292" s="18"/>
      <c r="S292" s="18"/>
      <c r="T292" s="18"/>
      <c r="U292" s="18"/>
      <c r="V292" s="18"/>
      <c r="W292" s="18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1" t="s">
        <v>56</v>
      </c>
      <c r="B293" s="51" t="s">
        <v>41</v>
      </c>
      <c r="C293" s="51" t="s">
        <v>40</v>
      </c>
      <c r="D293" s="51" t="s">
        <v>43</v>
      </c>
      <c r="E293" s="51" t="s">
        <v>25</v>
      </c>
      <c r="F293" s="51" t="s">
        <v>25</v>
      </c>
      <c r="G293" s="51" t="s">
        <v>25</v>
      </c>
      <c r="H293" s="51" t="s">
        <v>34</v>
      </c>
      <c r="I293" s="59">
        <v>44621</v>
      </c>
      <c r="J293" s="60">
        <f ca="1">EFEITO!$J$293*EFEITO!$Y$293</f>
        <v>5846.6296260877316</v>
      </c>
      <c r="K293" s="60">
        <f ca="1">EFEITO!$L$293*EFEITO!$Z$293</f>
        <v>288.76291356095049</v>
      </c>
      <c r="L293" s="60">
        <f>EFEITO!$N$293*EFEITO!$AA$293</f>
        <v>1606.0056960458408</v>
      </c>
      <c r="M293" s="60">
        <f ca="1">$J$293-EFEITO!$K$293*EFEITO!$Y$293</f>
        <v>0</v>
      </c>
      <c r="N293" s="60">
        <f ca="1">$K$293-EFEITO!$M$293*EFEITO!$Z$293</f>
        <v>0</v>
      </c>
      <c r="O293" s="60">
        <f>$L$293-EFEITO!$O$293*EFEITO!$AA$293</f>
        <v>0</v>
      </c>
      <c r="P293" s="18"/>
      <c r="Q293" s="18"/>
      <c r="R293" s="18"/>
      <c r="S293" s="18"/>
      <c r="T293" s="18"/>
      <c r="U293" s="18"/>
      <c r="V293" s="18"/>
      <c r="W293" s="18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1" t="s">
        <v>21</v>
      </c>
      <c r="B294" s="51" t="s">
        <v>41</v>
      </c>
      <c r="C294" s="51" t="s">
        <v>40</v>
      </c>
      <c r="D294" s="51" t="s">
        <v>38</v>
      </c>
      <c r="E294" s="51" t="s">
        <v>25</v>
      </c>
      <c r="F294" s="51" t="s">
        <v>60</v>
      </c>
      <c r="G294" s="51" t="s">
        <v>25</v>
      </c>
      <c r="H294" s="51" t="s">
        <v>35</v>
      </c>
      <c r="I294" s="59">
        <v>44287</v>
      </c>
      <c r="J294" s="60">
        <f ca="1">EFEITO!$J$294*EFEITO!$Y$294</f>
        <v>685937.74706221255</v>
      </c>
      <c r="K294" s="60">
        <f ca="1">EFEITO!$L$294*EFEITO!$Z$294</f>
        <v>0</v>
      </c>
      <c r="L294" s="60">
        <f>EFEITO!$N$294*EFEITO!$AA$294</f>
        <v>0</v>
      </c>
      <c r="M294" s="60">
        <f ca="1">$J$294-EFEITO!$K$294*EFEITO!$Y$294</f>
        <v>332648.00039184181</v>
      </c>
      <c r="N294" s="60">
        <f ca="1">$K$294-EFEITO!$M$294*EFEITO!$Z$294</f>
        <v>0</v>
      </c>
      <c r="O294" s="60">
        <f>$L$294-EFEITO!$O$294*EFEITO!$AA$294</f>
        <v>0</v>
      </c>
      <c r="P294" s="18"/>
      <c r="Q294" s="18"/>
      <c r="R294" s="18"/>
      <c r="S294" s="18"/>
      <c r="T294" s="18"/>
      <c r="U294" s="18"/>
      <c r="V294" s="18"/>
      <c r="W294" s="18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1" t="s">
        <v>21</v>
      </c>
      <c r="B295" s="51" t="s">
        <v>41</v>
      </c>
      <c r="C295" s="51" t="s">
        <v>40</v>
      </c>
      <c r="D295" s="51" t="s">
        <v>38</v>
      </c>
      <c r="E295" s="51" t="s">
        <v>25</v>
      </c>
      <c r="F295" s="51" t="s">
        <v>60</v>
      </c>
      <c r="G295" s="51" t="s">
        <v>25</v>
      </c>
      <c r="H295" s="51" t="s">
        <v>35</v>
      </c>
      <c r="I295" s="59">
        <v>44317</v>
      </c>
      <c r="J295" s="60">
        <f ca="1">EFEITO!$J$295*EFEITO!$Y$295</f>
        <v>683198.14537360857</v>
      </c>
      <c r="K295" s="60">
        <f ca="1">EFEITO!$L$295*EFEITO!$Z$295</f>
        <v>0</v>
      </c>
      <c r="L295" s="60">
        <f>EFEITO!$N$295*EFEITO!$AA$295</f>
        <v>0</v>
      </c>
      <c r="M295" s="60">
        <f ca="1">$J$295-EFEITO!$K$295*EFEITO!$Y$295</f>
        <v>327983.24108867371</v>
      </c>
      <c r="N295" s="60">
        <f ca="1">$K$295-EFEITO!$M$295*EFEITO!$Z$295</f>
        <v>0</v>
      </c>
      <c r="O295" s="60">
        <f>$L$295-EFEITO!$O$295*EFEITO!$AA$295</f>
        <v>0</v>
      </c>
      <c r="P295" s="18"/>
      <c r="Q295" s="18"/>
      <c r="R295" s="18"/>
      <c r="S295" s="18"/>
      <c r="T295" s="18"/>
      <c r="U295" s="18"/>
      <c r="V295" s="18"/>
      <c r="W295" s="18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1" t="s">
        <v>21</v>
      </c>
      <c r="B296" s="51" t="s">
        <v>41</v>
      </c>
      <c r="C296" s="51" t="s">
        <v>40</v>
      </c>
      <c r="D296" s="51" t="s">
        <v>38</v>
      </c>
      <c r="E296" s="51" t="s">
        <v>25</v>
      </c>
      <c r="F296" s="51" t="s">
        <v>60</v>
      </c>
      <c r="G296" s="51" t="s">
        <v>25</v>
      </c>
      <c r="H296" s="51" t="s">
        <v>35</v>
      </c>
      <c r="I296" s="59">
        <v>44348</v>
      </c>
      <c r="J296" s="60">
        <f ca="1">EFEITO!$J$296*EFEITO!$Y$296</f>
        <v>723574.02268720884</v>
      </c>
      <c r="K296" s="60">
        <f ca="1">EFEITO!$L$296*EFEITO!$Z$296</f>
        <v>0</v>
      </c>
      <c r="L296" s="60">
        <f>EFEITO!$N$296*EFEITO!$AA$296</f>
        <v>0</v>
      </c>
      <c r="M296" s="60">
        <f ca="1">$J$296-EFEITO!$K$296*EFEITO!$Y$296</f>
        <v>348927.4801546419</v>
      </c>
      <c r="N296" s="60">
        <f ca="1">$K$296-EFEITO!$M$296*EFEITO!$Z$296</f>
        <v>0</v>
      </c>
      <c r="O296" s="60">
        <f>$L$296-EFEITO!$O$296*EFEITO!$AA$296</f>
        <v>0</v>
      </c>
      <c r="P296" s="18"/>
      <c r="Q296" s="18"/>
      <c r="R296" s="18"/>
      <c r="S296" s="18"/>
      <c r="T296" s="18"/>
      <c r="U296" s="18"/>
      <c r="V296" s="18"/>
      <c r="W296" s="18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1" t="s">
        <v>21</v>
      </c>
      <c r="B297" s="51" t="s">
        <v>41</v>
      </c>
      <c r="C297" s="51" t="s">
        <v>40</v>
      </c>
      <c r="D297" s="51" t="s">
        <v>38</v>
      </c>
      <c r="E297" s="51" t="s">
        <v>25</v>
      </c>
      <c r="F297" s="51" t="s">
        <v>60</v>
      </c>
      <c r="G297" s="51" t="s">
        <v>25</v>
      </c>
      <c r="H297" s="51" t="s">
        <v>35</v>
      </c>
      <c r="I297" s="59">
        <v>44378</v>
      </c>
      <c r="J297" s="60">
        <f ca="1">EFEITO!$J$297*EFEITO!$Y$297</f>
        <v>719531.11534091947</v>
      </c>
      <c r="K297" s="60">
        <f ca="1">EFEITO!$L$297*EFEITO!$Z$297</f>
        <v>0</v>
      </c>
      <c r="L297" s="60">
        <f>EFEITO!$N$297*EFEITO!$AA$297</f>
        <v>0</v>
      </c>
      <c r="M297" s="60">
        <f ca="1">$J$297-EFEITO!$K$297*EFEITO!$Y$297</f>
        <v>366907.65949788946</v>
      </c>
      <c r="N297" s="60">
        <f ca="1">$K$297-EFEITO!$M$297*EFEITO!$Z$297</f>
        <v>0</v>
      </c>
      <c r="O297" s="60">
        <f>$L$297-EFEITO!$O$297*EFEITO!$AA$297</f>
        <v>0</v>
      </c>
      <c r="P297" s="18"/>
      <c r="Q297" s="18"/>
      <c r="R297" s="18"/>
      <c r="S297" s="18"/>
      <c r="T297" s="18"/>
      <c r="U297" s="18"/>
      <c r="V297" s="18"/>
      <c r="W297" s="18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1" t="s">
        <v>21</v>
      </c>
      <c r="B298" s="51" t="s">
        <v>41</v>
      </c>
      <c r="C298" s="51" t="s">
        <v>40</v>
      </c>
      <c r="D298" s="51" t="s">
        <v>38</v>
      </c>
      <c r="E298" s="51" t="s">
        <v>25</v>
      </c>
      <c r="F298" s="51" t="s">
        <v>60</v>
      </c>
      <c r="G298" s="51" t="s">
        <v>25</v>
      </c>
      <c r="H298" s="51" t="s">
        <v>35</v>
      </c>
      <c r="I298" s="59">
        <v>44409</v>
      </c>
      <c r="J298" s="60">
        <f ca="1">EFEITO!$J$298*EFEITO!$Y$298</f>
        <v>694076.75790408452</v>
      </c>
      <c r="K298" s="60">
        <f ca="1">EFEITO!$L$298*EFEITO!$Z$298</f>
        <v>0</v>
      </c>
      <c r="L298" s="60">
        <f>EFEITO!$N$298*EFEITO!$AA$298</f>
        <v>0</v>
      </c>
      <c r="M298" s="60">
        <f ca="1">$J$298-EFEITO!$K$298*EFEITO!$Y$298</f>
        <v>355930.52945439523</v>
      </c>
      <c r="N298" s="60">
        <f ca="1">$K$298-EFEITO!$M$298*EFEITO!$Z$298</f>
        <v>0</v>
      </c>
      <c r="O298" s="60">
        <f>$L$298-EFEITO!$O$298*EFEITO!$AA$298</f>
        <v>0</v>
      </c>
      <c r="P298" s="18"/>
      <c r="Q298" s="18"/>
      <c r="R298" s="18"/>
      <c r="S298" s="18"/>
      <c r="T298" s="18"/>
      <c r="U298" s="18"/>
      <c r="V298" s="18"/>
      <c r="W298" s="18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1" t="s">
        <v>21</v>
      </c>
      <c r="B299" s="51" t="s">
        <v>41</v>
      </c>
      <c r="C299" s="51" t="s">
        <v>40</v>
      </c>
      <c r="D299" s="51" t="s">
        <v>38</v>
      </c>
      <c r="E299" s="51" t="s">
        <v>25</v>
      </c>
      <c r="F299" s="51" t="s">
        <v>60</v>
      </c>
      <c r="G299" s="51" t="s">
        <v>25</v>
      </c>
      <c r="H299" s="51" t="s">
        <v>35</v>
      </c>
      <c r="I299" s="59">
        <v>44440</v>
      </c>
      <c r="J299" s="60">
        <f ca="1">EFEITO!$J$299*EFEITO!$Y$299</f>
        <v>894573.04459046084</v>
      </c>
      <c r="K299" s="60">
        <f ca="1">EFEITO!$L$299*EFEITO!$Z$299</f>
        <v>0</v>
      </c>
      <c r="L299" s="60">
        <f>EFEITO!$N$299*EFEITO!$AA$299</f>
        <v>0</v>
      </c>
      <c r="M299" s="60">
        <f ca="1">$J$299-EFEITO!$K$299*EFEITO!$Y$299</f>
        <v>461759.46175444167</v>
      </c>
      <c r="N299" s="60">
        <f ca="1">$K$299-EFEITO!$M$299*EFEITO!$Z$299</f>
        <v>0</v>
      </c>
      <c r="O299" s="60">
        <f>$L$299-EFEITO!$O$299*EFEITO!$AA$299</f>
        <v>0</v>
      </c>
      <c r="P299" s="18"/>
      <c r="Q299" s="18"/>
      <c r="R299" s="18"/>
      <c r="S299" s="18"/>
      <c r="T299" s="18"/>
      <c r="U299" s="18"/>
      <c r="V299" s="18"/>
      <c r="W299" s="18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1" t="s">
        <v>21</v>
      </c>
      <c r="B300" s="51" t="s">
        <v>41</v>
      </c>
      <c r="C300" s="51" t="s">
        <v>40</v>
      </c>
      <c r="D300" s="51" t="s">
        <v>38</v>
      </c>
      <c r="E300" s="51" t="s">
        <v>25</v>
      </c>
      <c r="F300" s="51" t="s">
        <v>60</v>
      </c>
      <c r="G300" s="51" t="s">
        <v>25</v>
      </c>
      <c r="H300" s="51" t="s">
        <v>35</v>
      </c>
      <c r="I300" s="59">
        <v>44470</v>
      </c>
      <c r="J300" s="60">
        <f ca="1">EFEITO!$J$300*EFEITO!$Y$300</f>
        <v>920319.98084840889</v>
      </c>
      <c r="K300" s="60">
        <f ca="1">EFEITO!$L$300*EFEITO!$Z$300</f>
        <v>0</v>
      </c>
      <c r="L300" s="60">
        <f>EFEITO!$N$300*EFEITO!$AA$300</f>
        <v>0</v>
      </c>
      <c r="M300" s="60">
        <f ca="1">$J$300-EFEITO!$K$300*EFEITO!$Y$300</f>
        <v>473428.676138487</v>
      </c>
      <c r="N300" s="60">
        <f ca="1">$K$300-EFEITO!$M$300*EFEITO!$Z$300</f>
        <v>0</v>
      </c>
      <c r="O300" s="60">
        <f>$L$300-EFEITO!$O$300*EFEITO!$AA$300</f>
        <v>0</v>
      </c>
      <c r="P300" s="18"/>
      <c r="Q300" s="18"/>
      <c r="R300" s="18"/>
      <c r="S300" s="18"/>
      <c r="T300" s="18"/>
      <c r="U300" s="18"/>
      <c r="V300" s="18"/>
      <c r="W300" s="18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1" t="s">
        <v>21</v>
      </c>
      <c r="B301" s="51" t="s">
        <v>41</v>
      </c>
      <c r="C301" s="51" t="s">
        <v>40</v>
      </c>
      <c r="D301" s="51" t="s">
        <v>38</v>
      </c>
      <c r="E301" s="51" t="s">
        <v>25</v>
      </c>
      <c r="F301" s="51" t="s">
        <v>60</v>
      </c>
      <c r="G301" s="51" t="s">
        <v>25</v>
      </c>
      <c r="H301" s="51" t="s">
        <v>35</v>
      </c>
      <c r="I301" s="59">
        <v>44501</v>
      </c>
      <c r="J301" s="60">
        <f ca="1">EFEITO!$J$301*EFEITO!$Y$301</f>
        <v>925692.79192703019</v>
      </c>
      <c r="K301" s="60">
        <f ca="1">EFEITO!$L$301*EFEITO!$Z$301</f>
        <v>0</v>
      </c>
      <c r="L301" s="60">
        <f>EFEITO!$N$301*EFEITO!$AA$301</f>
        <v>0</v>
      </c>
      <c r="M301" s="60">
        <f ca="1">$J$301-EFEITO!$K$301*EFEITO!$Y$301</f>
        <v>460498.505793783</v>
      </c>
      <c r="N301" s="60">
        <f ca="1">$K$301-EFEITO!$M$301*EFEITO!$Z$301</f>
        <v>0</v>
      </c>
      <c r="O301" s="60">
        <f>$L$301-EFEITO!$O$301*EFEITO!$AA$301</f>
        <v>0</v>
      </c>
      <c r="P301" s="18"/>
      <c r="Q301" s="18"/>
      <c r="R301" s="18"/>
      <c r="S301" s="18"/>
      <c r="T301" s="18"/>
      <c r="U301" s="18"/>
      <c r="V301" s="18"/>
      <c r="W301" s="18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1" t="s">
        <v>27</v>
      </c>
      <c r="B302" s="51" t="s">
        <v>41</v>
      </c>
      <c r="C302" s="51" t="s">
        <v>40</v>
      </c>
      <c r="D302" s="51" t="s">
        <v>38</v>
      </c>
      <c r="E302" s="51" t="s">
        <v>25</v>
      </c>
      <c r="F302" s="51" t="s">
        <v>60</v>
      </c>
      <c r="G302" s="51" t="s">
        <v>25</v>
      </c>
      <c r="H302" s="51" t="s">
        <v>35</v>
      </c>
      <c r="I302" s="59">
        <v>44501</v>
      </c>
      <c r="J302" s="60">
        <f ca="1">EFEITO!$J$302*EFEITO!$Y$302</f>
        <v>-10000.876067136838</v>
      </c>
      <c r="K302" s="60">
        <f ca="1">EFEITO!$L$302*EFEITO!$Z$302</f>
        <v>0</v>
      </c>
      <c r="L302" s="60">
        <f>EFEITO!$N$302*EFEITO!$AA$302</f>
        <v>0</v>
      </c>
      <c r="M302" s="60">
        <f ca="1">$J$302-EFEITO!$K$302*EFEITO!$Y$302</f>
        <v>0</v>
      </c>
      <c r="N302" s="60">
        <f ca="1">$K$302-EFEITO!$M$302*EFEITO!$Z$302</f>
        <v>0</v>
      </c>
      <c r="O302" s="60">
        <f>$L$302-EFEITO!$O$302*EFEITO!$AA$302</f>
        <v>0</v>
      </c>
      <c r="P302" s="18"/>
      <c r="Q302" s="18"/>
      <c r="R302" s="18"/>
      <c r="S302" s="18"/>
      <c r="T302" s="18"/>
      <c r="U302" s="18"/>
      <c r="V302" s="18"/>
      <c r="W302" s="18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1" t="s">
        <v>21</v>
      </c>
      <c r="B303" s="51" t="s">
        <v>41</v>
      </c>
      <c r="C303" s="51" t="s">
        <v>40</v>
      </c>
      <c r="D303" s="51" t="s">
        <v>38</v>
      </c>
      <c r="E303" s="51" t="s">
        <v>25</v>
      </c>
      <c r="F303" s="51" t="s">
        <v>60</v>
      </c>
      <c r="G303" s="51" t="s">
        <v>25</v>
      </c>
      <c r="H303" s="51" t="s">
        <v>35</v>
      </c>
      <c r="I303" s="59">
        <v>44531</v>
      </c>
      <c r="J303" s="60">
        <f ca="1">EFEITO!$J$303*EFEITO!$Y$303</f>
        <v>971308.48994601879</v>
      </c>
      <c r="K303" s="60">
        <f ca="1">EFEITO!$L$303*EFEITO!$Z$303</f>
        <v>0</v>
      </c>
      <c r="L303" s="60">
        <f>EFEITO!$N$303*EFEITO!$AA$303</f>
        <v>0</v>
      </c>
      <c r="M303" s="60">
        <f ca="1">$J$303-EFEITO!$K$303*EFEITO!$Y$303</f>
        <v>477091.55842287152</v>
      </c>
      <c r="N303" s="60">
        <f ca="1">$K$303-EFEITO!$M$303*EFEITO!$Z$303</f>
        <v>0</v>
      </c>
      <c r="O303" s="60">
        <f>$L$303-EFEITO!$O$303*EFEITO!$AA$303</f>
        <v>0</v>
      </c>
      <c r="P303" s="18"/>
      <c r="Q303" s="18"/>
      <c r="R303" s="18"/>
      <c r="S303" s="18"/>
      <c r="T303" s="18"/>
      <c r="U303" s="18"/>
      <c r="V303" s="18"/>
      <c r="W303" s="18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1" t="s">
        <v>21</v>
      </c>
      <c r="B304" s="51" t="s">
        <v>41</v>
      </c>
      <c r="C304" s="51" t="s">
        <v>40</v>
      </c>
      <c r="D304" s="51" t="s">
        <v>38</v>
      </c>
      <c r="E304" s="51" t="s">
        <v>25</v>
      </c>
      <c r="F304" s="51" t="s">
        <v>60</v>
      </c>
      <c r="G304" s="51" t="s">
        <v>25</v>
      </c>
      <c r="H304" s="51" t="s">
        <v>35</v>
      </c>
      <c r="I304" s="59">
        <v>44562</v>
      </c>
      <c r="J304" s="60">
        <f ca="1">EFEITO!$J$304*EFEITO!$Y$304</f>
        <v>1004768.8678514925</v>
      </c>
      <c r="K304" s="60">
        <f ca="1">EFEITO!$L$304*EFEITO!$Z$304</f>
        <v>0</v>
      </c>
      <c r="L304" s="60">
        <f>EFEITO!$N$304*EFEITO!$AA$304</f>
        <v>0</v>
      </c>
      <c r="M304" s="60">
        <f ca="1">$J$304-EFEITO!$K$304*EFEITO!$Y$304</f>
        <v>502264.33390297194</v>
      </c>
      <c r="N304" s="60">
        <f ca="1">$K$304-EFEITO!$M$304*EFEITO!$Z$304</f>
        <v>0</v>
      </c>
      <c r="O304" s="60">
        <f>$L$304-EFEITO!$O$304*EFEITO!$AA$304</f>
        <v>0</v>
      </c>
      <c r="P304" s="18"/>
      <c r="Q304" s="18"/>
      <c r="R304" s="18"/>
      <c r="S304" s="18"/>
      <c r="T304" s="18"/>
      <c r="U304" s="18"/>
      <c r="V304" s="18"/>
      <c r="W304" s="18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1" t="s">
        <v>21</v>
      </c>
      <c r="B305" s="51" t="s">
        <v>41</v>
      </c>
      <c r="C305" s="51" t="s">
        <v>40</v>
      </c>
      <c r="D305" s="51" t="s">
        <v>38</v>
      </c>
      <c r="E305" s="51" t="s">
        <v>25</v>
      </c>
      <c r="F305" s="51" t="s">
        <v>60</v>
      </c>
      <c r="G305" s="51" t="s">
        <v>25</v>
      </c>
      <c r="H305" s="51" t="s">
        <v>35</v>
      </c>
      <c r="I305" s="59">
        <v>44593</v>
      </c>
      <c r="J305" s="60">
        <f ca="1">EFEITO!$J$305*EFEITO!$Y$305</f>
        <v>1010354.463527287</v>
      </c>
      <c r="K305" s="60">
        <f ca="1">EFEITO!$L$305*EFEITO!$Z$305</f>
        <v>0</v>
      </c>
      <c r="L305" s="60">
        <f>EFEITO!$N$305*EFEITO!$AA$305</f>
        <v>0</v>
      </c>
      <c r="M305" s="60">
        <f ca="1">$J$305-EFEITO!$K$305*EFEITO!$Y$305</f>
        <v>500035.39644912822</v>
      </c>
      <c r="N305" s="60">
        <f ca="1">$K$305-EFEITO!$M$305*EFEITO!$Z$305</f>
        <v>0</v>
      </c>
      <c r="O305" s="60">
        <f>$L$305-EFEITO!$O$305*EFEITO!$AA$305</f>
        <v>0</v>
      </c>
      <c r="P305" s="18"/>
      <c r="Q305" s="18"/>
      <c r="R305" s="18"/>
      <c r="S305" s="18"/>
      <c r="T305" s="18"/>
      <c r="U305" s="18"/>
      <c r="V305" s="18"/>
      <c r="W305" s="18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1" t="s">
        <v>56</v>
      </c>
      <c r="B306" s="51" t="s">
        <v>41</v>
      </c>
      <c r="C306" s="51" t="s">
        <v>40</v>
      </c>
      <c r="D306" s="51" t="s">
        <v>38</v>
      </c>
      <c r="E306" s="51" t="s">
        <v>25</v>
      </c>
      <c r="F306" s="51" t="s">
        <v>60</v>
      </c>
      <c r="G306" s="51" t="s">
        <v>25</v>
      </c>
      <c r="H306" s="51" t="s">
        <v>35</v>
      </c>
      <c r="I306" s="59">
        <v>44621</v>
      </c>
      <c r="J306" s="60">
        <f ca="1">EFEITO!$J$306*EFEITO!$Y$306</f>
        <v>1010354.463527287</v>
      </c>
      <c r="K306" s="60">
        <f ca="1">EFEITO!$L$306*EFEITO!$Z$306</f>
        <v>0</v>
      </c>
      <c r="L306" s="60">
        <f>EFEITO!$N$306*EFEITO!$AA$306</f>
        <v>0</v>
      </c>
      <c r="M306" s="60">
        <f ca="1">$J$306-EFEITO!$K$306*EFEITO!$Y$306</f>
        <v>500035.39644912822</v>
      </c>
      <c r="N306" s="60">
        <f ca="1">$K$306-EFEITO!$M$306*EFEITO!$Z$306</f>
        <v>0</v>
      </c>
      <c r="O306" s="60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1" t="s">
        <v>21</v>
      </c>
      <c r="B307" s="51" t="s">
        <v>41</v>
      </c>
      <c r="C307" s="51" t="s">
        <v>40</v>
      </c>
      <c r="D307" s="51" t="s">
        <v>38</v>
      </c>
      <c r="E307" s="51" t="s">
        <v>25</v>
      </c>
      <c r="F307" s="51" t="s">
        <v>60</v>
      </c>
      <c r="G307" s="51" t="s">
        <v>25</v>
      </c>
      <c r="H307" s="51" t="s">
        <v>25</v>
      </c>
      <c r="I307" s="59">
        <v>44287</v>
      </c>
      <c r="J307" s="60">
        <f>EFEITO!$J$307*EFEITO!$Y$307</f>
        <v>0</v>
      </c>
      <c r="K307" s="60">
        <f ca="1">EFEITO!$L$307*EFEITO!$Z$307</f>
        <v>800705.3654070521</v>
      </c>
      <c r="L307" s="60">
        <f>EFEITO!$N$307*EFEITO!$AA$307</f>
        <v>0</v>
      </c>
      <c r="M307" s="60">
        <f>$J$307-EFEITO!$K$307*EFEITO!$Y$307</f>
        <v>0</v>
      </c>
      <c r="N307" s="60">
        <f ca="1">$K$307-EFEITO!$M$307*EFEITO!$Z$307</f>
        <v>0</v>
      </c>
      <c r="O307" s="60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1" t="s">
        <v>21</v>
      </c>
      <c r="B308" s="51" t="s">
        <v>41</v>
      </c>
      <c r="C308" s="51" t="s">
        <v>40</v>
      </c>
      <c r="D308" s="51" t="s">
        <v>38</v>
      </c>
      <c r="E308" s="51" t="s">
        <v>25</v>
      </c>
      <c r="F308" s="51" t="s">
        <v>60</v>
      </c>
      <c r="G308" s="51" t="s">
        <v>25</v>
      </c>
      <c r="H308" s="51" t="s">
        <v>25</v>
      </c>
      <c r="I308" s="59">
        <v>44317</v>
      </c>
      <c r="J308" s="60">
        <f>EFEITO!$J$308*EFEITO!$Y$308</f>
        <v>0</v>
      </c>
      <c r="K308" s="60">
        <f ca="1">EFEITO!$L$308*EFEITO!$Z$308</f>
        <v>706494.28710956953</v>
      </c>
      <c r="L308" s="60">
        <f>EFEITO!$N$308*EFEITO!$AA$308</f>
        <v>0</v>
      </c>
      <c r="M308" s="60">
        <f>$J$308-EFEITO!$K$308*EFEITO!$Y$308</f>
        <v>0</v>
      </c>
      <c r="N308" s="60">
        <f ca="1">$K$308-EFEITO!$M$308*EFEITO!$Z$308</f>
        <v>0</v>
      </c>
      <c r="O308" s="60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1" t="s">
        <v>21</v>
      </c>
      <c r="B309" s="51" t="s">
        <v>41</v>
      </c>
      <c r="C309" s="51" t="s">
        <v>40</v>
      </c>
      <c r="D309" s="51" t="s">
        <v>38</v>
      </c>
      <c r="E309" s="51" t="s">
        <v>25</v>
      </c>
      <c r="F309" s="51" t="s">
        <v>60</v>
      </c>
      <c r="G309" s="51" t="s">
        <v>25</v>
      </c>
      <c r="H309" s="51" t="s">
        <v>25</v>
      </c>
      <c r="I309" s="59">
        <v>44348</v>
      </c>
      <c r="J309" s="60">
        <f>EFEITO!$J$309*EFEITO!$Y$309</f>
        <v>0</v>
      </c>
      <c r="K309" s="60">
        <f ca="1">EFEITO!$L$309*EFEITO!$Z$309</f>
        <v>793236.46909283358</v>
      </c>
      <c r="L309" s="60">
        <f>EFEITO!$N$309*EFEITO!$AA$309</f>
        <v>0</v>
      </c>
      <c r="M309" s="60">
        <f>$J$309-EFEITO!$K$309*EFEITO!$Y$309</f>
        <v>0</v>
      </c>
      <c r="N309" s="60">
        <f ca="1">$K$309-EFEITO!$M$309*EFEITO!$Z$309</f>
        <v>0</v>
      </c>
      <c r="O309" s="60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1" t="s">
        <v>21</v>
      </c>
      <c r="B310" s="51" t="s">
        <v>41</v>
      </c>
      <c r="C310" s="51" t="s">
        <v>40</v>
      </c>
      <c r="D310" s="51" t="s">
        <v>38</v>
      </c>
      <c r="E310" s="51" t="s">
        <v>25</v>
      </c>
      <c r="F310" s="51" t="s">
        <v>60</v>
      </c>
      <c r="G310" s="51" t="s">
        <v>25</v>
      </c>
      <c r="H310" s="51" t="s">
        <v>25</v>
      </c>
      <c r="I310" s="59">
        <v>44378</v>
      </c>
      <c r="J310" s="60">
        <f>EFEITO!$J$310*EFEITO!$Y$310</f>
        <v>0</v>
      </c>
      <c r="K310" s="60">
        <f ca="1">EFEITO!$L$310*EFEITO!$Z$310</f>
        <v>758232.4492905247</v>
      </c>
      <c r="L310" s="60">
        <f>EFEITO!$N$310*EFEITO!$AA$310</f>
        <v>0</v>
      </c>
      <c r="M310" s="60">
        <f>$J$310-EFEITO!$K$310*EFEITO!$Y$310</f>
        <v>0</v>
      </c>
      <c r="N310" s="60">
        <f ca="1">$K$310-EFEITO!$M$310*EFEITO!$Z$310</f>
        <v>0</v>
      </c>
      <c r="O310" s="60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1" t="s">
        <v>21</v>
      </c>
      <c r="B311" s="51" t="s">
        <v>41</v>
      </c>
      <c r="C311" s="51" t="s">
        <v>40</v>
      </c>
      <c r="D311" s="51" t="s">
        <v>38</v>
      </c>
      <c r="E311" s="51" t="s">
        <v>25</v>
      </c>
      <c r="F311" s="51" t="s">
        <v>60</v>
      </c>
      <c r="G311" s="51" t="s">
        <v>25</v>
      </c>
      <c r="H311" s="51" t="s">
        <v>25</v>
      </c>
      <c r="I311" s="59">
        <v>44409</v>
      </c>
      <c r="J311" s="60">
        <f>EFEITO!$J$311*EFEITO!$Y$311</f>
        <v>0</v>
      </c>
      <c r="K311" s="60">
        <f ca="1">EFEITO!$L$311*EFEITO!$Z$311</f>
        <v>753951.32132216136</v>
      </c>
      <c r="L311" s="60">
        <f>EFEITO!$N$311*EFEITO!$AA$311</f>
        <v>0</v>
      </c>
      <c r="M311" s="60">
        <f>$J$311-EFEITO!$K$311*EFEITO!$Y$311</f>
        <v>0</v>
      </c>
      <c r="N311" s="60">
        <f ca="1">$K$311-EFEITO!$M$311*EFEITO!$Z$311</f>
        <v>0</v>
      </c>
      <c r="O311" s="60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1" t="s">
        <v>21</v>
      </c>
      <c r="B312" s="51" t="s">
        <v>41</v>
      </c>
      <c r="C312" s="51" t="s">
        <v>40</v>
      </c>
      <c r="D312" s="51" t="s">
        <v>38</v>
      </c>
      <c r="E312" s="51" t="s">
        <v>25</v>
      </c>
      <c r="F312" s="51" t="s">
        <v>60</v>
      </c>
      <c r="G312" s="51" t="s">
        <v>25</v>
      </c>
      <c r="H312" s="51" t="s">
        <v>25</v>
      </c>
      <c r="I312" s="59">
        <v>44440</v>
      </c>
      <c r="J312" s="60">
        <f>EFEITO!$J$312*EFEITO!$Y$312</f>
        <v>0</v>
      </c>
      <c r="K312" s="60">
        <f ca="1">EFEITO!$L$312*EFEITO!$Z$312</f>
        <v>1074218.9708326356</v>
      </c>
      <c r="L312" s="60">
        <f>EFEITO!$N$312*EFEITO!$AA$312</f>
        <v>0</v>
      </c>
      <c r="M312" s="60">
        <f>$J$312-EFEITO!$K$312*EFEITO!$Y$312</f>
        <v>0</v>
      </c>
      <c r="N312" s="60">
        <f ca="1">$K$312-EFEITO!$M$312*EFEITO!$Z$312</f>
        <v>0</v>
      </c>
      <c r="O312" s="60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1" t="s">
        <v>21</v>
      </c>
      <c r="B313" s="51" t="s">
        <v>41</v>
      </c>
      <c r="C313" s="51" t="s">
        <v>40</v>
      </c>
      <c r="D313" s="51" t="s">
        <v>38</v>
      </c>
      <c r="E313" s="51" t="s">
        <v>25</v>
      </c>
      <c r="F313" s="51" t="s">
        <v>60</v>
      </c>
      <c r="G313" s="51" t="s">
        <v>25</v>
      </c>
      <c r="H313" s="51" t="s">
        <v>25</v>
      </c>
      <c r="I313" s="59">
        <v>44470</v>
      </c>
      <c r="J313" s="60">
        <f>EFEITO!$J$313*EFEITO!$Y$313</f>
        <v>0</v>
      </c>
      <c r="K313" s="60">
        <f ca="1">EFEITO!$L$313*EFEITO!$Z$313</f>
        <v>1063771.4350093305</v>
      </c>
      <c r="L313" s="60">
        <f>EFEITO!$N$313*EFEITO!$AA$313</f>
        <v>0</v>
      </c>
      <c r="M313" s="60">
        <f>$J$313-EFEITO!$K$313*EFEITO!$Y$313</f>
        <v>0</v>
      </c>
      <c r="N313" s="60">
        <f ca="1">$K$313-EFEITO!$M$313*EFEITO!$Z$313</f>
        <v>0</v>
      </c>
      <c r="O313" s="60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1" t="s">
        <v>21</v>
      </c>
      <c r="B314" s="51" t="s">
        <v>41</v>
      </c>
      <c r="C314" s="51" t="s">
        <v>40</v>
      </c>
      <c r="D314" s="51" t="s">
        <v>38</v>
      </c>
      <c r="E314" s="51" t="s">
        <v>25</v>
      </c>
      <c r="F314" s="51" t="s">
        <v>60</v>
      </c>
      <c r="G314" s="51" t="s">
        <v>25</v>
      </c>
      <c r="H314" s="51" t="s">
        <v>25</v>
      </c>
      <c r="I314" s="59">
        <v>44501</v>
      </c>
      <c r="J314" s="60">
        <f>EFEITO!$J$314*EFEITO!$Y$314</f>
        <v>0</v>
      </c>
      <c r="K314" s="60">
        <f ca="1">EFEITO!$L$314*EFEITO!$Z$314</f>
        <v>1142580.3727514138</v>
      </c>
      <c r="L314" s="60">
        <f>EFEITO!$N$314*EFEITO!$AA$314</f>
        <v>0</v>
      </c>
      <c r="M314" s="60">
        <f>$J$314-EFEITO!$K$314*EFEITO!$Y$314</f>
        <v>0</v>
      </c>
      <c r="N314" s="60">
        <f ca="1">$K$314-EFEITO!$M$314*EFEITO!$Z$314</f>
        <v>0</v>
      </c>
      <c r="O314" s="60">
        <f>$L$314-EFEITO!$O$314*EFEITO!$AA$314</f>
        <v>0</v>
      </c>
      <c r="P314" s="18"/>
      <c r="Q314" s="18"/>
      <c r="R314" s="18"/>
      <c r="S314" s="18"/>
      <c r="T314" s="18"/>
      <c r="U314" s="18"/>
      <c r="V314" s="18"/>
      <c r="W314" s="18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1" t="s">
        <v>21</v>
      </c>
      <c r="B315" s="51" t="s">
        <v>41</v>
      </c>
      <c r="C315" s="51" t="s">
        <v>40</v>
      </c>
      <c r="D315" s="51" t="s">
        <v>38</v>
      </c>
      <c r="E315" s="51" t="s">
        <v>25</v>
      </c>
      <c r="F315" s="51" t="s">
        <v>60</v>
      </c>
      <c r="G315" s="51" t="s">
        <v>25</v>
      </c>
      <c r="H315" s="51" t="s">
        <v>25</v>
      </c>
      <c r="I315" s="59">
        <v>44531</v>
      </c>
      <c r="J315" s="60">
        <f>EFEITO!$J$315*EFEITO!$Y$315</f>
        <v>0</v>
      </c>
      <c r="K315" s="60">
        <f ca="1">EFEITO!$L$315*EFEITO!$Z$315</f>
        <v>1114216.7948350431</v>
      </c>
      <c r="L315" s="60">
        <f>EFEITO!$N$315*EFEITO!$AA$315</f>
        <v>0</v>
      </c>
      <c r="M315" s="60">
        <f>$J$315-EFEITO!$K$315*EFEITO!$Y$315</f>
        <v>0</v>
      </c>
      <c r="N315" s="60">
        <f ca="1">$K$315-EFEITO!$M$315*EFEITO!$Z$315</f>
        <v>0</v>
      </c>
      <c r="O315" s="60">
        <f>$L$315-EFEITO!$O$315*EFEITO!$AA$315</f>
        <v>0</v>
      </c>
      <c r="P315" s="18"/>
      <c r="Q315" s="18"/>
      <c r="R315" s="18"/>
      <c r="S315" s="18"/>
      <c r="T315" s="18"/>
      <c r="U315" s="18"/>
      <c r="V315" s="18"/>
      <c r="W315" s="18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1" t="s">
        <v>21</v>
      </c>
      <c r="B316" s="51" t="s">
        <v>41</v>
      </c>
      <c r="C316" s="51" t="s">
        <v>40</v>
      </c>
      <c r="D316" s="51" t="s">
        <v>38</v>
      </c>
      <c r="E316" s="51" t="s">
        <v>25</v>
      </c>
      <c r="F316" s="51" t="s">
        <v>60</v>
      </c>
      <c r="G316" s="51" t="s">
        <v>25</v>
      </c>
      <c r="H316" s="51" t="s">
        <v>25</v>
      </c>
      <c r="I316" s="59">
        <v>44562</v>
      </c>
      <c r="J316" s="60">
        <f>EFEITO!$J$316*EFEITO!$Y$316</f>
        <v>0</v>
      </c>
      <c r="K316" s="60">
        <f ca="1">EFEITO!$L$316*EFEITO!$Z$316</f>
        <v>1136157.3156432668</v>
      </c>
      <c r="L316" s="60">
        <f>EFEITO!$N$316*EFEITO!$AA$316</f>
        <v>0</v>
      </c>
      <c r="M316" s="60">
        <f>$J$316-EFEITO!$K$316*EFEITO!$Y$316</f>
        <v>0</v>
      </c>
      <c r="N316" s="60">
        <f ca="1">$K$316-EFEITO!$M$316*EFEITO!$Z$316</f>
        <v>0</v>
      </c>
      <c r="O316" s="60">
        <f>$L$316-EFEITO!$O$316*EFEITO!$AA$316</f>
        <v>0</v>
      </c>
      <c r="P316" s="18"/>
      <c r="Q316" s="18"/>
      <c r="R316" s="18"/>
      <c r="S316" s="18"/>
      <c r="T316" s="18"/>
      <c r="U316" s="18"/>
      <c r="V316" s="18"/>
      <c r="W316" s="18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1" t="s">
        <v>21</v>
      </c>
      <c r="B317" s="51" t="s">
        <v>41</v>
      </c>
      <c r="C317" s="51" t="s">
        <v>40</v>
      </c>
      <c r="D317" s="51" t="s">
        <v>38</v>
      </c>
      <c r="E317" s="51" t="s">
        <v>25</v>
      </c>
      <c r="F317" s="51" t="s">
        <v>60</v>
      </c>
      <c r="G317" s="51" t="s">
        <v>25</v>
      </c>
      <c r="H317" s="51" t="s">
        <v>25</v>
      </c>
      <c r="I317" s="59">
        <v>44593</v>
      </c>
      <c r="J317" s="60">
        <f>EFEITO!$J$317*EFEITO!$Y$317</f>
        <v>0</v>
      </c>
      <c r="K317" s="60">
        <f ca="1">EFEITO!$L$317*EFEITO!$Z$317</f>
        <v>1168546.9974600363</v>
      </c>
      <c r="L317" s="60">
        <f>EFEITO!$N$317*EFEITO!$AA$317</f>
        <v>0</v>
      </c>
      <c r="M317" s="60">
        <f>$J$317-EFEITO!$K$317*EFEITO!$Y$317</f>
        <v>0</v>
      </c>
      <c r="N317" s="60">
        <f ca="1">$K$317-EFEITO!$M$317*EFEITO!$Z$317</f>
        <v>0</v>
      </c>
      <c r="O317" s="60">
        <f>$L$317-EFEITO!$O$317*EFEITO!$AA$317</f>
        <v>0</v>
      </c>
      <c r="P317" s="18"/>
      <c r="Q317" s="18"/>
      <c r="R317" s="18"/>
      <c r="S317" s="18"/>
      <c r="T317" s="18"/>
      <c r="U317" s="18"/>
      <c r="V317" s="18"/>
      <c r="W317" s="18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1" t="s">
        <v>56</v>
      </c>
      <c r="B318" s="51" t="s">
        <v>41</v>
      </c>
      <c r="C318" s="51" t="s">
        <v>40</v>
      </c>
      <c r="D318" s="51" t="s">
        <v>38</v>
      </c>
      <c r="E318" s="51" t="s">
        <v>25</v>
      </c>
      <c r="F318" s="51" t="s">
        <v>60</v>
      </c>
      <c r="G318" s="51" t="s">
        <v>25</v>
      </c>
      <c r="H318" s="51" t="s">
        <v>25</v>
      </c>
      <c r="I318" s="59">
        <v>44621</v>
      </c>
      <c r="J318" s="60">
        <f>EFEITO!$J$318*EFEITO!$Y$318</f>
        <v>0</v>
      </c>
      <c r="K318" s="60">
        <f ca="1">EFEITO!$L$318*EFEITO!$Z$318</f>
        <v>1168546.9974600363</v>
      </c>
      <c r="L318" s="60">
        <f>EFEITO!$N$318*EFEITO!$AA$318</f>
        <v>0</v>
      </c>
      <c r="M318" s="60">
        <f>$J$318-EFEITO!$K$318*EFEITO!$Y$318</f>
        <v>0</v>
      </c>
      <c r="N318" s="60">
        <f ca="1">$K$318-EFEITO!$M$318*EFEITO!$Z$318</f>
        <v>0</v>
      </c>
      <c r="O318" s="60">
        <f>$L$318-EFEITO!$O$318*EFEITO!$AA$318</f>
        <v>0</v>
      </c>
      <c r="P318" s="18"/>
      <c r="Q318" s="18"/>
      <c r="R318" s="18"/>
      <c r="S318" s="18"/>
      <c r="T318" s="18"/>
      <c r="U318" s="18"/>
      <c r="V318" s="18"/>
      <c r="W318" s="18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1" t="s">
        <v>21</v>
      </c>
      <c r="B319" s="51" t="s">
        <v>41</v>
      </c>
      <c r="C319" s="51" t="s">
        <v>40</v>
      </c>
      <c r="D319" s="51" t="s">
        <v>38</v>
      </c>
      <c r="E319" s="51" t="s">
        <v>25</v>
      </c>
      <c r="F319" s="51" t="s">
        <v>60</v>
      </c>
      <c r="G319" s="51" t="s">
        <v>25</v>
      </c>
      <c r="H319" s="51" t="s">
        <v>34</v>
      </c>
      <c r="I319" s="59">
        <v>44287</v>
      </c>
      <c r="J319" s="60">
        <f ca="1">EFEITO!$J$319*EFEITO!$Y$319</f>
        <v>1674693.9735225046</v>
      </c>
      <c r="K319" s="60">
        <f ca="1">EFEITO!$L$319*EFEITO!$Z$319</f>
        <v>0</v>
      </c>
      <c r="L319" s="60">
        <f>EFEITO!$N$319*EFEITO!$AA$319</f>
        <v>0</v>
      </c>
      <c r="M319" s="60">
        <f ca="1">$J$319-EFEITO!$K$319*EFEITO!$Y$319</f>
        <v>810671.07115498791</v>
      </c>
      <c r="N319" s="60">
        <f ca="1">$K$319-EFEITO!$M$319*EFEITO!$Z$319</f>
        <v>0</v>
      </c>
      <c r="O319" s="60">
        <f>$L$319-EFEITO!$O$319*EFEITO!$AA$319</f>
        <v>0</v>
      </c>
      <c r="P319" s="18"/>
      <c r="Q319" s="18"/>
      <c r="R319" s="18"/>
      <c r="S319" s="18"/>
      <c r="T319" s="18"/>
      <c r="U319" s="18"/>
      <c r="V319" s="18"/>
      <c r="W319" s="18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1" t="s">
        <v>21</v>
      </c>
      <c r="B320" s="51" t="s">
        <v>41</v>
      </c>
      <c r="C320" s="51" t="s">
        <v>40</v>
      </c>
      <c r="D320" s="51" t="s">
        <v>38</v>
      </c>
      <c r="E320" s="51" t="s">
        <v>25</v>
      </c>
      <c r="F320" s="51" t="s">
        <v>60</v>
      </c>
      <c r="G320" s="51" t="s">
        <v>25</v>
      </c>
      <c r="H320" s="51" t="s">
        <v>34</v>
      </c>
      <c r="I320" s="59">
        <v>44317</v>
      </c>
      <c r="J320" s="60">
        <f ca="1">EFEITO!$J$320*EFEITO!$Y$320</f>
        <v>1667897.2665821775</v>
      </c>
      <c r="K320" s="60">
        <f ca="1">EFEITO!$L$320*EFEITO!$Z$320</f>
        <v>0</v>
      </c>
      <c r="L320" s="60">
        <f>EFEITO!$N$320*EFEITO!$AA$320</f>
        <v>0</v>
      </c>
      <c r="M320" s="60">
        <f ca="1">$J$320-EFEITO!$K$320*EFEITO!$Y$320</f>
        <v>797805.96668315958</v>
      </c>
      <c r="N320" s="60">
        <f ca="1">$K$320-EFEITO!$M$320*EFEITO!$Z$320</f>
        <v>0</v>
      </c>
      <c r="O320" s="60">
        <f>$L$320-EFEITO!$O$320*EFEITO!$AA$320</f>
        <v>0</v>
      </c>
      <c r="P320" s="18"/>
      <c r="Q320" s="18"/>
      <c r="R320" s="18"/>
      <c r="S320" s="18"/>
      <c r="T320" s="18"/>
      <c r="U320" s="18"/>
      <c r="V320" s="18"/>
      <c r="W320" s="18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1" t="s">
        <v>21</v>
      </c>
      <c r="B321" s="51" t="s">
        <v>41</v>
      </c>
      <c r="C321" s="51" t="s">
        <v>40</v>
      </c>
      <c r="D321" s="51" t="s">
        <v>38</v>
      </c>
      <c r="E321" s="51" t="s">
        <v>25</v>
      </c>
      <c r="F321" s="51" t="s">
        <v>60</v>
      </c>
      <c r="G321" s="51" t="s">
        <v>25</v>
      </c>
      <c r="H321" s="51" t="s">
        <v>34</v>
      </c>
      <c r="I321" s="59">
        <v>44348</v>
      </c>
      <c r="J321" s="60">
        <f ca="1">EFEITO!$J$321*EFEITO!$Y$321</f>
        <v>1767655.3845772995</v>
      </c>
      <c r="K321" s="60">
        <f ca="1">EFEITO!$L$321*EFEITO!$Z$321</f>
        <v>0</v>
      </c>
      <c r="L321" s="60">
        <f>EFEITO!$N$321*EFEITO!$AA$321</f>
        <v>0</v>
      </c>
      <c r="M321" s="60">
        <f ca="1">$J$321-EFEITO!$K$321*EFEITO!$Y$321</f>
        <v>848397.60320510541</v>
      </c>
      <c r="N321" s="60">
        <f ca="1">$K$321-EFEITO!$M$321*EFEITO!$Z$321</f>
        <v>0</v>
      </c>
      <c r="O321" s="60">
        <f>$L$321-EFEITO!$O$321*EFEITO!$AA$321</f>
        <v>0</v>
      </c>
      <c r="P321" s="18"/>
      <c r="Q321" s="18"/>
      <c r="R321" s="18"/>
      <c r="S321" s="18"/>
      <c r="T321" s="18"/>
      <c r="U321" s="18"/>
      <c r="V321" s="18"/>
      <c r="W321" s="18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1" t="s">
        <v>21</v>
      </c>
      <c r="B322" s="51" t="s">
        <v>41</v>
      </c>
      <c r="C322" s="51" t="s">
        <v>40</v>
      </c>
      <c r="D322" s="51" t="s">
        <v>38</v>
      </c>
      <c r="E322" s="51" t="s">
        <v>25</v>
      </c>
      <c r="F322" s="51" t="s">
        <v>60</v>
      </c>
      <c r="G322" s="51" t="s">
        <v>25</v>
      </c>
      <c r="H322" s="51" t="s">
        <v>34</v>
      </c>
      <c r="I322" s="59">
        <v>44378</v>
      </c>
      <c r="J322" s="60">
        <f ca="1">EFEITO!$J$322*EFEITO!$Y$322</f>
        <v>1759104.6887491462</v>
      </c>
      <c r="K322" s="60">
        <f ca="1">EFEITO!$L$322*EFEITO!$Z$322</f>
        <v>0</v>
      </c>
      <c r="L322" s="60">
        <f>EFEITO!$N$322*EFEITO!$AA$322</f>
        <v>0</v>
      </c>
      <c r="M322" s="60">
        <f ca="1">$J$322-EFEITO!$K$322*EFEITO!$Y$322</f>
        <v>896792.625787128</v>
      </c>
      <c r="N322" s="60">
        <f ca="1">$K$322-EFEITO!$M$322*EFEITO!$Z$322</f>
        <v>0</v>
      </c>
      <c r="O322" s="60">
        <f>$L$322-EFEITO!$O$322*EFEITO!$AA$322</f>
        <v>0</v>
      </c>
      <c r="P322" s="18"/>
      <c r="Q322" s="18"/>
      <c r="R322" s="18"/>
      <c r="S322" s="18"/>
      <c r="T322" s="18"/>
      <c r="U322" s="18"/>
      <c r="V322" s="18"/>
      <c r="W322" s="18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1" t="s">
        <v>21</v>
      </c>
      <c r="B323" s="51" t="s">
        <v>41</v>
      </c>
      <c r="C323" s="51" t="s">
        <v>40</v>
      </c>
      <c r="D323" s="51" t="s">
        <v>38</v>
      </c>
      <c r="E323" s="51" t="s">
        <v>25</v>
      </c>
      <c r="F323" s="51" t="s">
        <v>60</v>
      </c>
      <c r="G323" s="51" t="s">
        <v>25</v>
      </c>
      <c r="H323" s="51" t="s">
        <v>34</v>
      </c>
      <c r="I323" s="59">
        <v>44409</v>
      </c>
      <c r="J323" s="60">
        <f ca="1">EFEITO!$J$323*EFEITO!$Y$323</f>
        <v>1695449.508695116</v>
      </c>
      <c r="K323" s="60">
        <f ca="1">EFEITO!$L$323*EFEITO!$Z$323</f>
        <v>0</v>
      </c>
      <c r="L323" s="60">
        <f>EFEITO!$N$323*EFEITO!$AA$323</f>
        <v>0</v>
      </c>
      <c r="M323" s="60">
        <f ca="1">$J$323-EFEITO!$K$323*EFEITO!$Y$323</f>
        <v>868713.41894999344</v>
      </c>
      <c r="N323" s="60">
        <f ca="1">$K$323-EFEITO!$M$323*EFEITO!$Z$323</f>
        <v>0</v>
      </c>
      <c r="O323" s="60">
        <f>$L$323-EFEITO!$O$323*EFEITO!$AA$323</f>
        <v>0</v>
      </c>
      <c r="P323" s="18"/>
      <c r="Q323" s="18"/>
      <c r="R323" s="18"/>
      <c r="S323" s="18"/>
      <c r="T323" s="18"/>
      <c r="U323" s="18"/>
      <c r="V323" s="18"/>
      <c r="W323" s="18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1" t="s">
        <v>21</v>
      </c>
      <c r="B324" s="51" t="s">
        <v>41</v>
      </c>
      <c r="C324" s="51" t="s">
        <v>40</v>
      </c>
      <c r="D324" s="51" t="s">
        <v>38</v>
      </c>
      <c r="E324" s="51" t="s">
        <v>25</v>
      </c>
      <c r="F324" s="51" t="s">
        <v>60</v>
      </c>
      <c r="G324" s="51" t="s">
        <v>25</v>
      </c>
      <c r="H324" s="51" t="s">
        <v>34</v>
      </c>
      <c r="I324" s="59">
        <v>44440</v>
      </c>
      <c r="J324" s="60">
        <f ca="1">EFEITO!$J$324*EFEITO!$Y$324</f>
        <v>2237432.0750334486</v>
      </c>
      <c r="K324" s="60">
        <f ca="1">EFEITO!$L$324*EFEITO!$Z$324</f>
        <v>0</v>
      </c>
      <c r="L324" s="60">
        <f>EFEITO!$N$324*EFEITO!$AA$324</f>
        <v>0</v>
      </c>
      <c r="M324" s="60">
        <f ca="1">$J$324-EFEITO!$K$324*EFEITO!$Y$324</f>
        <v>1153995.9559731348</v>
      </c>
      <c r="N324" s="60">
        <f ca="1">$K$324-EFEITO!$M$324*EFEITO!$Z$324</f>
        <v>0</v>
      </c>
      <c r="O324" s="60">
        <f>$L$324-EFEITO!$O$324*EFEITO!$AA$324</f>
        <v>0</v>
      </c>
      <c r="P324" s="18"/>
      <c r="Q324" s="18"/>
      <c r="R324" s="18"/>
      <c r="S324" s="18"/>
      <c r="T324" s="18"/>
      <c r="U324" s="18"/>
      <c r="V324" s="18"/>
      <c r="W324" s="18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1" t="s">
        <v>21</v>
      </c>
      <c r="B325" s="51" t="s">
        <v>41</v>
      </c>
      <c r="C325" s="51" t="s">
        <v>40</v>
      </c>
      <c r="D325" s="51" t="s">
        <v>38</v>
      </c>
      <c r="E325" s="51" t="s">
        <v>25</v>
      </c>
      <c r="F325" s="51" t="s">
        <v>60</v>
      </c>
      <c r="G325" s="51" t="s">
        <v>25</v>
      </c>
      <c r="H325" s="51" t="s">
        <v>34</v>
      </c>
      <c r="I325" s="59">
        <v>44470</v>
      </c>
      <c r="J325" s="60">
        <f ca="1">EFEITO!$J$325*EFEITO!$Y$325</f>
        <v>2324327.6078511775</v>
      </c>
      <c r="K325" s="60">
        <f ca="1">EFEITO!$L$325*EFEITO!$Z$325</f>
        <v>0</v>
      </c>
      <c r="L325" s="60">
        <f>EFEITO!$N$325*EFEITO!$AA$325</f>
        <v>0</v>
      </c>
      <c r="M325" s="60">
        <f ca="1">$J$325-EFEITO!$K$325*EFEITO!$Y$325</f>
        <v>1200022.3822724405</v>
      </c>
      <c r="N325" s="60">
        <f ca="1">$K$325-EFEITO!$M$325*EFEITO!$Z$325</f>
        <v>0</v>
      </c>
      <c r="O325" s="60">
        <f>$L$325-EFEITO!$O$325*EFEITO!$AA$325</f>
        <v>0</v>
      </c>
      <c r="P325" s="18"/>
      <c r="Q325" s="18"/>
      <c r="R325" s="18"/>
      <c r="S325" s="18"/>
      <c r="T325" s="18"/>
      <c r="U325" s="18"/>
      <c r="V325" s="18"/>
      <c r="W325" s="18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1" t="s">
        <v>21</v>
      </c>
      <c r="B326" s="51" t="s">
        <v>41</v>
      </c>
      <c r="C326" s="51" t="s">
        <v>40</v>
      </c>
      <c r="D326" s="51" t="s">
        <v>38</v>
      </c>
      <c r="E326" s="51" t="s">
        <v>25</v>
      </c>
      <c r="F326" s="51" t="s">
        <v>60</v>
      </c>
      <c r="G326" s="51" t="s">
        <v>25</v>
      </c>
      <c r="H326" s="51" t="s">
        <v>34</v>
      </c>
      <c r="I326" s="59">
        <v>44501</v>
      </c>
      <c r="J326" s="60">
        <f ca="1">EFEITO!$J$326*EFEITO!$Y$326</f>
        <v>2342525.2425623755</v>
      </c>
      <c r="K326" s="60">
        <f ca="1">EFEITO!$L$326*EFEITO!$Z$326</f>
        <v>0</v>
      </c>
      <c r="L326" s="60">
        <f>EFEITO!$N$326*EFEITO!$AA$326</f>
        <v>0</v>
      </c>
      <c r="M326" s="60">
        <f ca="1">$J$326-EFEITO!$K$326*EFEITO!$Y$326</f>
        <v>1161325.06699618</v>
      </c>
      <c r="N326" s="60">
        <f ca="1">$K$326-EFEITO!$M$326*EFEITO!$Z$326</f>
        <v>0</v>
      </c>
      <c r="O326" s="60">
        <f>$L$326-EFEITO!$O$326*EFEITO!$AA$326</f>
        <v>0</v>
      </c>
      <c r="P326" s="18"/>
      <c r="Q326" s="18"/>
      <c r="R326" s="18"/>
      <c r="S326" s="18"/>
      <c r="T326" s="18"/>
      <c r="U326" s="18"/>
      <c r="V326" s="18"/>
      <c r="W326" s="18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1" t="s">
        <v>27</v>
      </c>
      <c r="B327" s="51" t="s">
        <v>41</v>
      </c>
      <c r="C327" s="51" t="s">
        <v>40</v>
      </c>
      <c r="D327" s="51" t="s">
        <v>38</v>
      </c>
      <c r="E327" s="51" t="s">
        <v>25</v>
      </c>
      <c r="F327" s="51" t="s">
        <v>60</v>
      </c>
      <c r="G327" s="51" t="s">
        <v>25</v>
      </c>
      <c r="H327" s="51" t="s">
        <v>34</v>
      </c>
      <c r="I327" s="59">
        <v>44501</v>
      </c>
      <c r="J327" s="60">
        <f ca="1">EFEITO!$J$327*EFEITO!$Y$327</f>
        <v>-32741.125906091293</v>
      </c>
      <c r="K327" s="60">
        <f ca="1">EFEITO!$L$327*EFEITO!$Z$327</f>
        <v>0</v>
      </c>
      <c r="L327" s="60">
        <f>EFEITO!$N$327*EFEITO!$AA$327</f>
        <v>0</v>
      </c>
      <c r="M327" s="60">
        <f ca="1">$J$327-EFEITO!$K$327*EFEITO!$Y$327</f>
        <v>0</v>
      </c>
      <c r="N327" s="60">
        <f ca="1">$K$327-EFEITO!$M$327*EFEITO!$Z$327</f>
        <v>0</v>
      </c>
      <c r="O327" s="60">
        <f>$L$327-EFEITO!$O$327*EFEITO!$AA$327</f>
        <v>0</v>
      </c>
      <c r="P327" s="18"/>
      <c r="Q327" s="18"/>
      <c r="R327" s="18"/>
      <c r="S327" s="18"/>
      <c r="T327" s="18"/>
      <c r="U327" s="18"/>
      <c r="V327" s="18"/>
      <c r="W327" s="18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1" t="s">
        <v>21</v>
      </c>
      <c r="B328" s="51" t="s">
        <v>41</v>
      </c>
      <c r="C328" s="51" t="s">
        <v>40</v>
      </c>
      <c r="D328" s="51" t="s">
        <v>38</v>
      </c>
      <c r="E328" s="51" t="s">
        <v>25</v>
      </c>
      <c r="F328" s="51" t="s">
        <v>60</v>
      </c>
      <c r="G328" s="51" t="s">
        <v>25</v>
      </c>
      <c r="H328" s="51" t="s">
        <v>34</v>
      </c>
      <c r="I328" s="59">
        <v>44531</v>
      </c>
      <c r="J328" s="60">
        <f ca="1">EFEITO!$J$328*EFEITO!$Y$328</f>
        <v>2419920.002237712</v>
      </c>
      <c r="K328" s="60">
        <f ca="1">EFEITO!$L$328*EFEITO!$Z$328</f>
        <v>0</v>
      </c>
      <c r="L328" s="60">
        <f>EFEITO!$N$328*EFEITO!$AA$328</f>
        <v>0</v>
      </c>
      <c r="M328" s="60">
        <f ca="1">$J$328-EFEITO!$K$328*EFEITO!$Y$328</f>
        <v>1178765.24795561</v>
      </c>
      <c r="N328" s="60">
        <f ca="1">$K$328-EFEITO!$M$328*EFEITO!$Z$328</f>
        <v>0</v>
      </c>
      <c r="O328" s="60">
        <f>$L$328-EFEITO!$O$328*EFEITO!$AA$328</f>
        <v>0</v>
      </c>
      <c r="P328" s="18"/>
      <c r="Q328" s="18"/>
      <c r="R328" s="18"/>
      <c r="S328" s="18"/>
      <c r="T328" s="18"/>
      <c r="U328" s="18"/>
      <c r="V328" s="18"/>
      <c r="W328" s="18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1" t="s">
        <v>21</v>
      </c>
      <c r="B329" s="51" t="s">
        <v>41</v>
      </c>
      <c r="C329" s="51" t="s">
        <v>40</v>
      </c>
      <c r="D329" s="51" t="s">
        <v>38</v>
      </c>
      <c r="E329" s="51" t="s">
        <v>25</v>
      </c>
      <c r="F329" s="51" t="s">
        <v>60</v>
      </c>
      <c r="G329" s="51" t="s">
        <v>25</v>
      </c>
      <c r="H329" s="51" t="s">
        <v>34</v>
      </c>
      <c r="I329" s="59">
        <v>44562</v>
      </c>
      <c r="J329" s="60">
        <f ca="1">EFEITO!$J$329*EFEITO!$Y$329</f>
        <v>2560019.864652839</v>
      </c>
      <c r="K329" s="60">
        <f ca="1">EFEITO!$L$329*EFEITO!$Z$329</f>
        <v>0</v>
      </c>
      <c r="L329" s="60">
        <f>EFEITO!$N$329*EFEITO!$AA$329</f>
        <v>0</v>
      </c>
      <c r="M329" s="60">
        <f ca="1">$J$329-EFEITO!$K$329*EFEITO!$Y$329</f>
        <v>1278362.226740933</v>
      </c>
      <c r="N329" s="60">
        <f ca="1">$K$329-EFEITO!$M$329*EFEITO!$Z$329</f>
        <v>0</v>
      </c>
      <c r="O329" s="60">
        <f>$L$329-EFEITO!$O$329*EFEITO!$AA$329</f>
        <v>0</v>
      </c>
      <c r="P329" s="18"/>
      <c r="Q329" s="18"/>
      <c r="R329" s="18"/>
      <c r="S329" s="18"/>
      <c r="T329" s="18"/>
      <c r="U329" s="18"/>
      <c r="V329" s="18"/>
      <c r="W329" s="18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1" t="s">
        <v>21</v>
      </c>
      <c r="B330" s="51" t="s">
        <v>41</v>
      </c>
      <c r="C330" s="51" t="s">
        <v>40</v>
      </c>
      <c r="D330" s="51" t="s">
        <v>38</v>
      </c>
      <c r="E330" s="51" t="s">
        <v>25</v>
      </c>
      <c r="F330" s="51" t="s">
        <v>60</v>
      </c>
      <c r="G330" s="51" t="s">
        <v>25</v>
      </c>
      <c r="H330" s="51" t="s">
        <v>34</v>
      </c>
      <c r="I330" s="59">
        <v>44593</v>
      </c>
      <c r="J330" s="60">
        <f ca="1">EFEITO!$J$330*EFEITO!$Y$330</f>
        <v>2534587.0257793576</v>
      </c>
      <c r="K330" s="60">
        <f ca="1">EFEITO!$L$330*EFEITO!$Z$330</f>
        <v>0</v>
      </c>
      <c r="L330" s="60">
        <f>EFEITO!$N$330*EFEITO!$AA$330</f>
        <v>0</v>
      </c>
      <c r="M330" s="60">
        <f ca="1">$J$330-EFEITO!$K$330*EFEITO!$Y$330</f>
        <v>1257619.0195581494</v>
      </c>
      <c r="N330" s="60">
        <f ca="1">$K$330-EFEITO!$M$330*EFEITO!$Z$330</f>
        <v>0</v>
      </c>
      <c r="O330" s="60">
        <f>$L$330-EFEITO!$O$330*EFEITO!$AA$330</f>
        <v>0</v>
      </c>
      <c r="P330" s="18"/>
      <c r="Q330" s="18"/>
      <c r="R330" s="18"/>
      <c r="S330" s="18"/>
      <c r="T330" s="18"/>
      <c r="U330" s="18"/>
      <c r="V330" s="18"/>
      <c r="W330" s="18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1" t="s">
        <v>56</v>
      </c>
      <c r="B331" s="51" t="s">
        <v>41</v>
      </c>
      <c r="C331" s="51" t="s">
        <v>40</v>
      </c>
      <c r="D331" s="51" t="s">
        <v>38</v>
      </c>
      <c r="E331" s="51" t="s">
        <v>25</v>
      </c>
      <c r="F331" s="51" t="s">
        <v>60</v>
      </c>
      <c r="G331" s="51" t="s">
        <v>25</v>
      </c>
      <c r="H331" s="51" t="s">
        <v>34</v>
      </c>
      <c r="I331" s="59">
        <v>44621</v>
      </c>
      <c r="J331" s="60">
        <f ca="1">EFEITO!$J$331*EFEITO!$Y$331</f>
        <v>2534587.0257793576</v>
      </c>
      <c r="K331" s="60">
        <f ca="1">EFEITO!$L$331*EFEITO!$Z$331</f>
        <v>0</v>
      </c>
      <c r="L331" s="60">
        <f>EFEITO!$N$331*EFEITO!$AA$331</f>
        <v>0</v>
      </c>
      <c r="M331" s="60">
        <f ca="1">$J$331-EFEITO!$K$331*EFEITO!$Y$331</f>
        <v>1257619.0195581494</v>
      </c>
      <c r="N331" s="60">
        <f ca="1">$K$331-EFEITO!$M$331*EFEITO!$Z$331</f>
        <v>0</v>
      </c>
      <c r="O331" s="60">
        <f>$L$331-EFEITO!$O$331*EFEITO!$AA$331</f>
        <v>0</v>
      </c>
      <c r="P331" s="18"/>
      <c r="Q331" s="18"/>
      <c r="R331" s="18"/>
      <c r="S331" s="18"/>
      <c r="T331" s="18"/>
      <c r="U331" s="18"/>
      <c r="V331" s="18"/>
      <c r="W331" s="18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1" t="s">
        <v>21</v>
      </c>
      <c r="B332" s="51" t="s">
        <v>41</v>
      </c>
      <c r="C332" s="51" t="s">
        <v>40</v>
      </c>
      <c r="D332" s="51" t="s">
        <v>38</v>
      </c>
      <c r="E332" s="51" t="s">
        <v>25</v>
      </c>
      <c r="F332" s="51" t="s">
        <v>25</v>
      </c>
      <c r="G332" s="51" t="s">
        <v>25</v>
      </c>
      <c r="H332" s="51" t="s">
        <v>35</v>
      </c>
      <c r="I332" s="59">
        <v>44287</v>
      </c>
      <c r="J332" s="60">
        <f ca="1">EFEITO!$J$332*EFEITO!$Y$332</f>
        <v>164588.88591341159</v>
      </c>
      <c r="K332" s="60">
        <f ca="1">EFEITO!$L$332*EFEITO!$Z$332</f>
        <v>65603.527572783511</v>
      </c>
      <c r="L332" s="60">
        <f>EFEITO!$N$332*EFEITO!$AA$332</f>
        <v>225191.86343861153</v>
      </c>
      <c r="M332" s="60">
        <f ca="1">$J$332-EFEITO!$K$332*EFEITO!$Y$332</f>
        <v>0</v>
      </c>
      <c r="N332" s="60">
        <f ca="1">$K$332-EFEITO!$M$332*EFEITO!$Z$332</f>
        <v>0</v>
      </c>
      <c r="O332" s="60">
        <f>$L$332-EFEITO!$O$332*EFEITO!$AA$332</f>
        <v>0</v>
      </c>
      <c r="P332" s="18"/>
      <c r="Q332" s="18"/>
      <c r="R332" s="18"/>
      <c r="S332" s="18"/>
      <c r="T332" s="18"/>
      <c r="U332" s="18"/>
      <c r="V332" s="18"/>
      <c r="W332" s="18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1" t="s">
        <v>28</v>
      </c>
      <c r="B333" s="51" t="s">
        <v>41</v>
      </c>
      <c r="C333" s="51" t="s">
        <v>40</v>
      </c>
      <c r="D333" s="51" t="s">
        <v>38</v>
      </c>
      <c r="E333" s="51" t="s">
        <v>25</v>
      </c>
      <c r="F333" s="51" t="s">
        <v>25</v>
      </c>
      <c r="G333" s="51" t="s">
        <v>25</v>
      </c>
      <c r="H333" s="51" t="s">
        <v>35</v>
      </c>
      <c r="I333" s="59">
        <v>44287</v>
      </c>
      <c r="J333" s="60">
        <f ca="1">EFEITO!$J$333*EFEITO!$Y$333</f>
        <v>3803.5246744695951</v>
      </c>
      <c r="K333" s="60">
        <f ca="1">EFEITO!$L$333*EFEITO!$Z$333</f>
        <v>1268.6846062709385</v>
      </c>
      <c r="L333" s="60">
        <f>EFEITO!$N$333*EFEITO!$AA$333</f>
        <v>4354.9098832386444</v>
      </c>
      <c r="M333" s="60">
        <f ca="1">$J$333-EFEITO!$K$333*EFEITO!$Y$333</f>
        <v>0</v>
      </c>
      <c r="N333" s="60">
        <f ca="1">$K$333-EFEITO!$M$333*EFEITO!$Z$333</f>
        <v>0</v>
      </c>
      <c r="O333" s="60">
        <f>$L$333-EFEITO!$O$333*EFEITO!$AA$333</f>
        <v>0</v>
      </c>
      <c r="P333" s="18"/>
      <c r="Q333" s="18"/>
      <c r="R333" s="18"/>
      <c r="S333" s="18"/>
      <c r="T333" s="18"/>
      <c r="U333" s="18"/>
      <c r="V333" s="18"/>
      <c r="W333" s="18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1" t="s">
        <v>21</v>
      </c>
      <c r="B334" s="51" t="s">
        <v>41</v>
      </c>
      <c r="C334" s="51" t="s">
        <v>40</v>
      </c>
      <c r="D334" s="51" t="s">
        <v>38</v>
      </c>
      <c r="E334" s="51" t="s">
        <v>25</v>
      </c>
      <c r="F334" s="51" t="s">
        <v>25</v>
      </c>
      <c r="G334" s="51" t="s">
        <v>25</v>
      </c>
      <c r="H334" s="51" t="s">
        <v>35</v>
      </c>
      <c r="I334" s="59">
        <v>44287</v>
      </c>
      <c r="J334" s="60">
        <f ca="1">EFEITO!$J$334*EFEITO!$Y$334</f>
        <v>797.94223939921585</v>
      </c>
      <c r="K334" s="60">
        <f ca="1">EFEITO!$L$334*EFEITO!$Z$334</f>
        <v>0</v>
      </c>
      <c r="L334" s="60">
        <f>EFEITO!$N$334*EFEITO!$AA$334</f>
        <v>0</v>
      </c>
      <c r="M334" s="60">
        <f ca="1">$J$334-EFEITO!$K$334*EFEITO!$Y$334</f>
        <v>0</v>
      </c>
      <c r="N334" s="60">
        <f ca="1">$K$334-EFEITO!$M$334*EFEITO!$Z$334</f>
        <v>0</v>
      </c>
      <c r="O334" s="60">
        <f>$L$334-EFEITO!$O$334*EFEITO!$AA$334</f>
        <v>0</v>
      </c>
      <c r="P334" s="18"/>
      <c r="Q334" s="18"/>
      <c r="R334" s="18"/>
      <c r="S334" s="18"/>
      <c r="T334" s="18"/>
      <c r="U334" s="18"/>
      <c r="V334" s="18"/>
      <c r="W334" s="18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1" t="s">
        <v>21</v>
      </c>
      <c r="B335" s="51" t="s">
        <v>41</v>
      </c>
      <c r="C335" s="51" t="s">
        <v>40</v>
      </c>
      <c r="D335" s="51" t="s">
        <v>38</v>
      </c>
      <c r="E335" s="51" t="s">
        <v>25</v>
      </c>
      <c r="F335" s="51" t="s">
        <v>25</v>
      </c>
      <c r="G335" s="51" t="s">
        <v>25</v>
      </c>
      <c r="H335" s="51" t="s">
        <v>35</v>
      </c>
      <c r="I335" s="59">
        <v>44317</v>
      </c>
      <c r="J335" s="60">
        <f ca="1">EFEITO!$J$335*EFEITO!$Y$335</f>
        <v>168977.56823010725</v>
      </c>
      <c r="K335" s="60">
        <f ca="1">EFEITO!$L$335*EFEITO!$Z$335</f>
        <v>76968.968020014858</v>
      </c>
      <c r="L335" s="60">
        <f>EFEITO!$N$335*EFEITO!$AA$335</f>
        <v>264205.08129146363</v>
      </c>
      <c r="M335" s="60">
        <f ca="1">$J$335-EFEITO!$K$335*EFEITO!$Y$335</f>
        <v>0</v>
      </c>
      <c r="N335" s="60">
        <f ca="1">$K$335-EFEITO!$M$335*EFEITO!$Z$335</f>
        <v>0</v>
      </c>
      <c r="O335" s="60">
        <f>$L$335-EFEITO!$O$335*EFEITO!$AA$335</f>
        <v>0</v>
      </c>
      <c r="P335" s="18"/>
      <c r="Q335" s="18"/>
      <c r="R335" s="18"/>
      <c r="S335" s="18"/>
      <c r="T335" s="18"/>
      <c r="U335" s="18"/>
      <c r="V335" s="18"/>
      <c r="W335" s="18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1" t="s">
        <v>28</v>
      </c>
      <c r="B336" s="51" t="s">
        <v>41</v>
      </c>
      <c r="C336" s="51" t="s">
        <v>40</v>
      </c>
      <c r="D336" s="51" t="s">
        <v>38</v>
      </c>
      <c r="E336" s="51" t="s">
        <v>25</v>
      </c>
      <c r="F336" s="51" t="s">
        <v>25</v>
      </c>
      <c r="G336" s="51" t="s">
        <v>25</v>
      </c>
      <c r="H336" s="51" t="s">
        <v>35</v>
      </c>
      <c r="I336" s="59">
        <v>44317</v>
      </c>
      <c r="J336" s="60">
        <f ca="1">EFEITO!$J$336*EFEITO!$Y$336</f>
        <v>3803.5246744695951</v>
      </c>
      <c r="K336" s="60">
        <f ca="1">EFEITO!$L$336*EFEITO!$Z$336</f>
        <v>1151.4112393047174</v>
      </c>
      <c r="L336" s="60">
        <f>EFEITO!$N$336*EFEITO!$AA$336</f>
        <v>3952.3551881493581</v>
      </c>
      <c r="M336" s="60">
        <f ca="1">$J$336-EFEITO!$K$336*EFEITO!$Y$336</f>
        <v>0</v>
      </c>
      <c r="N336" s="60">
        <f ca="1">$K$336-EFEITO!$M$336*EFEITO!$Z$336</f>
        <v>0</v>
      </c>
      <c r="O336" s="60">
        <f>$L$336-EFEITO!$O$336*EFEITO!$AA$336</f>
        <v>0</v>
      </c>
      <c r="P336" s="18"/>
      <c r="Q336" s="18"/>
      <c r="R336" s="18"/>
      <c r="S336" s="18"/>
      <c r="T336" s="18"/>
      <c r="U336" s="18"/>
      <c r="V336" s="18"/>
      <c r="W336" s="18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1" t="s">
        <v>21</v>
      </c>
      <c r="B337" s="51" t="s">
        <v>41</v>
      </c>
      <c r="C337" s="51" t="s">
        <v>40</v>
      </c>
      <c r="D337" s="51" t="s">
        <v>38</v>
      </c>
      <c r="E337" s="51" t="s">
        <v>25</v>
      </c>
      <c r="F337" s="51" t="s">
        <v>25</v>
      </c>
      <c r="G337" s="51" t="s">
        <v>25</v>
      </c>
      <c r="H337" s="51" t="s">
        <v>35</v>
      </c>
      <c r="I337" s="59">
        <v>44317</v>
      </c>
      <c r="J337" s="60">
        <f ca="1">EFEITO!$J$337*EFEITO!$Y$337</f>
        <v>797.94223939921585</v>
      </c>
      <c r="K337" s="60">
        <f ca="1">EFEITO!$L$337*EFEITO!$Z$337</f>
        <v>0</v>
      </c>
      <c r="L337" s="60">
        <f>EFEITO!$N$337*EFEITO!$AA$337</f>
        <v>0</v>
      </c>
      <c r="M337" s="60">
        <f ca="1">$J$337-EFEITO!$K$337*EFEITO!$Y$337</f>
        <v>0</v>
      </c>
      <c r="N337" s="60">
        <f ca="1">$K$337-EFEITO!$M$337*EFEITO!$Z$337</f>
        <v>0</v>
      </c>
      <c r="O337" s="60">
        <f>$L$337-EFEITO!$O$337*EFEITO!$AA$337</f>
        <v>0</v>
      </c>
      <c r="P337" s="18"/>
      <c r="Q337" s="18"/>
      <c r="R337" s="18"/>
      <c r="S337" s="18"/>
      <c r="T337" s="18"/>
      <c r="U337" s="18"/>
      <c r="V337" s="18"/>
      <c r="W337" s="18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1" t="s">
        <v>21</v>
      </c>
      <c r="B338" s="51" t="s">
        <v>41</v>
      </c>
      <c r="C338" s="51" t="s">
        <v>40</v>
      </c>
      <c r="D338" s="51" t="s">
        <v>38</v>
      </c>
      <c r="E338" s="51" t="s">
        <v>25</v>
      </c>
      <c r="F338" s="51" t="s">
        <v>25</v>
      </c>
      <c r="G338" s="51" t="s">
        <v>25</v>
      </c>
      <c r="H338" s="51" t="s">
        <v>35</v>
      </c>
      <c r="I338" s="59">
        <v>44348</v>
      </c>
      <c r="J338" s="60">
        <f ca="1">EFEITO!$J$338*EFEITO!$Y$338</f>
        <v>168817.97978222743</v>
      </c>
      <c r="K338" s="60">
        <f ca="1">EFEITO!$L$338*EFEITO!$Z$338</f>
        <v>66176.632896050811</v>
      </c>
      <c r="L338" s="60">
        <f>EFEITO!$N$338*EFEITO!$AA$338</f>
        <v>227159.11520796141</v>
      </c>
      <c r="M338" s="60">
        <f ca="1">$J$338-EFEITO!$K$338*EFEITO!$Y$338</f>
        <v>0</v>
      </c>
      <c r="N338" s="60">
        <f ca="1">$K$338-EFEITO!$M$338*EFEITO!$Z$338</f>
        <v>0</v>
      </c>
      <c r="O338" s="60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1" t="s">
        <v>27</v>
      </c>
      <c r="B339" s="51" t="s">
        <v>41</v>
      </c>
      <c r="C339" s="51" t="s">
        <v>40</v>
      </c>
      <c r="D339" s="51" t="s">
        <v>38</v>
      </c>
      <c r="E339" s="51" t="s">
        <v>25</v>
      </c>
      <c r="F339" s="51" t="s">
        <v>25</v>
      </c>
      <c r="G339" s="51" t="s">
        <v>25</v>
      </c>
      <c r="H339" s="51" t="s">
        <v>35</v>
      </c>
      <c r="I339" s="59">
        <v>44348</v>
      </c>
      <c r="J339" s="60">
        <f ca="1">EFEITO!$J$339*EFEITO!$Y$339</f>
        <v>-398.97111969960793</v>
      </c>
      <c r="K339" s="60">
        <f ca="1">EFEITO!$L$339*EFEITO!$Z$339</f>
        <v>0</v>
      </c>
      <c r="L339" s="60">
        <f>EFEITO!$N$339*EFEITO!$AA$339</f>
        <v>0</v>
      </c>
      <c r="M339" s="60">
        <f ca="1">$J$339-EFEITO!$K$339*EFEITO!$Y$339</f>
        <v>0</v>
      </c>
      <c r="N339" s="60">
        <f ca="1">$K$339-EFEITO!$M$339*EFEITO!$Z$339</f>
        <v>0</v>
      </c>
      <c r="O339" s="60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1" t="s">
        <v>28</v>
      </c>
      <c r="B340" s="51" t="s">
        <v>41</v>
      </c>
      <c r="C340" s="51" t="s">
        <v>40</v>
      </c>
      <c r="D340" s="51" t="s">
        <v>38</v>
      </c>
      <c r="E340" s="51" t="s">
        <v>25</v>
      </c>
      <c r="F340" s="51" t="s">
        <v>25</v>
      </c>
      <c r="G340" s="51" t="s">
        <v>25</v>
      </c>
      <c r="H340" s="51" t="s">
        <v>35</v>
      </c>
      <c r="I340" s="59">
        <v>44348</v>
      </c>
      <c r="J340" s="60">
        <f ca="1">EFEITO!$J$340*EFEITO!$Y$340</f>
        <v>3803.5246744695951</v>
      </c>
      <c r="K340" s="60">
        <f ca="1">EFEITO!$L$340*EFEITO!$Z$340</f>
        <v>1220.7091379665753</v>
      </c>
      <c r="L340" s="60">
        <f>EFEITO!$N$340*EFEITO!$AA$340</f>
        <v>4190.228417065754</v>
      </c>
      <c r="M340" s="60">
        <f ca="1">$J$340-EFEITO!$K$340*EFEITO!$Y$340</f>
        <v>0</v>
      </c>
      <c r="N340" s="60">
        <f ca="1">$K$340-EFEITO!$M$340*EFEITO!$Z$340</f>
        <v>0</v>
      </c>
      <c r="O340" s="60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1" t="s">
        <v>21</v>
      </c>
      <c r="B341" s="51" t="s">
        <v>41</v>
      </c>
      <c r="C341" s="51" t="s">
        <v>40</v>
      </c>
      <c r="D341" s="51" t="s">
        <v>38</v>
      </c>
      <c r="E341" s="51" t="s">
        <v>25</v>
      </c>
      <c r="F341" s="51" t="s">
        <v>25</v>
      </c>
      <c r="G341" s="51" t="s">
        <v>25</v>
      </c>
      <c r="H341" s="51" t="s">
        <v>35</v>
      </c>
      <c r="I341" s="59">
        <v>44348</v>
      </c>
      <c r="J341" s="60">
        <f ca="1">EFEITO!$J$341*EFEITO!$Y$341</f>
        <v>797.94223939921585</v>
      </c>
      <c r="K341" s="60">
        <f ca="1">EFEITO!$L$341*EFEITO!$Z$341</f>
        <v>0</v>
      </c>
      <c r="L341" s="60">
        <f>EFEITO!$N$341*EFEITO!$AA$341</f>
        <v>0</v>
      </c>
      <c r="M341" s="60">
        <f ca="1">$J$341-EFEITO!$K$341*EFEITO!$Y$341</f>
        <v>0</v>
      </c>
      <c r="N341" s="60">
        <f ca="1">$K$341-EFEITO!$M$341*EFEITO!$Z$341</f>
        <v>0</v>
      </c>
      <c r="O341" s="60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1" t="s">
        <v>21</v>
      </c>
      <c r="B342" s="51" t="s">
        <v>41</v>
      </c>
      <c r="C342" s="51" t="s">
        <v>40</v>
      </c>
      <c r="D342" s="51" t="s">
        <v>38</v>
      </c>
      <c r="E342" s="51" t="s">
        <v>25</v>
      </c>
      <c r="F342" s="51" t="s">
        <v>25</v>
      </c>
      <c r="G342" s="51" t="s">
        <v>25</v>
      </c>
      <c r="H342" s="51" t="s">
        <v>35</v>
      </c>
      <c r="I342" s="59">
        <v>44378</v>
      </c>
      <c r="J342" s="60">
        <f ca="1">EFEITO!$J$342*EFEITO!$Y$342</f>
        <v>168498.80288646775</v>
      </c>
      <c r="K342" s="60">
        <f ca="1">EFEITO!$L$342*EFEITO!$Z$342</f>
        <v>60179.114291318772</v>
      </c>
      <c r="L342" s="60">
        <f>EFEITO!$N$342*EFEITO!$AA$342</f>
        <v>206571.92362578708</v>
      </c>
      <c r="M342" s="60">
        <f ca="1">$J$342-EFEITO!$K$342*EFEITO!$Y$342</f>
        <v>0</v>
      </c>
      <c r="N342" s="60">
        <f ca="1">$K$342-EFEITO!$M$342*EFEITO!$Z$342</f>
        <v>0</v>
      </c>
      <c r="O342" s="60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1" t="s">
        <v>28</v>
      </c>
      <c r="B343" s="51" t="s">
        <v>41</v>
      </c>
      <c r="C343" s="51" t="s">
        <v>40</v>
      </c>
      <c r="D343" s="51" t="s">
        <v>38</v>
      </c>
      <c r="E343" s="51" t="s">
        <v>25</v>
      </c>
      <c r="F343" s="51" t="s">
        <v>25</v>
      </c>
      <c r="G343" s="51" t="s">
        <v>25</v>
      </c>
      <c r="H343" s="51" t="s">
        <v>35</v>
      </c>
      <c r="I343" s="59">
        <v>44378</v>
      </c>
      <c r="J343" s="60">
        <f ca="1">EFEITO!$J$343*EFEITO!$Y$343</f>
        <v>3803.5246744695951</v>
      </c>
      <c r="K343" s="60">
        <f ca="1">EFEITO!$L$343*EFEITO!$Z$343</f>
        <v>663.07557819038595</v>
      </c>
      <c r="L343" s="60">
        <f>EFEITO!$N$343*EFEITO!$AA$343</f>
        <v>2276.0853048285599</v>
      </c>
      <c r="M343" s="60">
        <f ca="1">$J$343-EFEITO!$K$343*EFEITO!$Y$343</f>
        <v>0</v>
      </c>
      <c r="N343" s="60">
        <f ca="1">$K$343-EFEITO!$M$343*EFEITO!$Z$343</f>
        <v>0</v>
      </c>
      <c r="O343" s="60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1" t="s">
        <v>21</v>
      </c>
      <c r="B344" s="51" t="s">
        <v>41</v>
      </c>
      <c r="C344" s="51" t="s">
        <v>40</v>
      </c>
      <c r="D344" s="51" t="s">
        <v>38</v>
      </c>
      <c r="E344" s="51" t="s">
        <v>25</v>
      </c>
      <c r="F344" s="51" t="s">
        <v>25</v>
      </c>
      <c r="G344" s="51" t="s">
        <v>25</v>
      </c>
      <c r="H344" s="51" t="s">
        <v>35</v>
      </c>
      <c r="I344" s="59">
        <v>44378</v>
      </c>
      <c r="J344" s="60">
        <f ca="1">EFEITO!$J$344*EFEITO!$Y$344</f>
        <v>797.94223939921585</v>
      </c>
      <c r="K344" s="60">
        <f ca="1">EFEITO!$L$344*EFEITO!$Z$344</f>
        <v>0</v>
      </c>
      <c r="L344" s="60">
        <f>EFEITO!$N$344*EFEITO!$AA$344</f>
        <v>0</v>
      </c>
      <c r="M344" s="60">
        <f ca="1">$J$344-EFEITO!$K$344*EFEITO!$Y$344</f>
        <v>0</v>
      </c>
      <c r="N344" s="60">
        <f ca="1">$K$344-EFEITO!$M$344*EFEITO!$Z$344</f>
        <v>0</v>
      </c>
      <c r="O344" s="60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1" t="s">
        <v>21</v>
      </c>
      <c r="B345" s="51" t="s">
        <v>41</v>
      </c>
      <c r="C345" s="51" t="s">
        <v>40</v>
      </c>
      <c r="D345" s="51" t="s">
        <v>38</v>
      </c>
      <c r="E345" s="51" t="s">
        <v>25</v>
      </c>
      <c r="F345" s="51" t="s">
        <v>25</v>
      </c>
      <c r="G345" s="51" t="s">
        <v>25</v>
      </c>
      <c r="H345" s="51" t="s">
        <v>35</v>
      </c>
      <c r="I345" s="59">
        <v>44409</v>
      </c>
      <c r="J345" s="60">
        <f ca="1">EFEITO!$J$345*EFEITO!$Y$345</f>
        <v>168472.20481182108</v>
      </c>
      <c r="K345" s="60">
        <f ca="1">EFEITO!$L$345*EFEITO!$Z$345</f>
        <v>72595.529529981883</v>
      </c>
      <c r="L345" s="60">
        <f>EFEITO!$N$345*EFEITO!$AA$345</f>
        <v>249192.73668679249</v>
      </c>
      <c r="M345" s="60">
        <f ca="1">$J$345-EFEITO!$K$345*EFEITO!$Y$345</f>
        <v>0</v>
      </c>
      <c r="N345" s="60">
        <f ca="1">$K$345-EFEITO!$M$345*EFEITO!$Z$345</f>
        <v>0</v>
      </c>
      <c r="O345" s="60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1" t="s">
        <v>28</v>
      </c>
      <c r="B346" s="51" t="s">
        <v>41</v>
      </c>
      <c r="C346" s="51" t="s">
        <v>40</v>
      </c>
      <c r="D346" s="51" t="s">
        <v>38</v>
      </c>
      <c r="E346" s="51" t="s">
        <v>25</v>
      </c>
      <c r="F346" s="51" t="s">
        <v>25</v>
      </c>
      <c r="G346" s="51" t="s">
        <v>25</v>
      </c>
      <c r="H346" s="51" t="s">
        <v>35</v>
      </c>
      <c r="I346" s="59">
        <v>44409</v>
      </c>
      <c r="J346" s="60">
        <f ca="1">EFEITO!$J$346*EFEITO!$Y$346</f>
        <v>3803.5246744695951</v>
      </c>
      <c r="K346" s="60">
        <f ca="1">EFEITO!$L$346*EFEITO!$Z$346</f>
        <v>0</v>
      </c>
      <c r="L346" s="60">
        <f>EFEITO!$N$346*EFEITO!$AA$346</f>
        <v>0</v>
      </c>
      <c r="M346" s="60">
        <f ca="1">$J$346-EFEITO!$K$346*EFEITO!$Y$346</f>
        <v>0</v>
      </c>
      <c r="N346" s="60">
        <f ca="1">$K$346-EFEITO!$M$346*EFEITO!$Z$346</f>
        <v>0</v>
      </c>
      <c r="O346" s="60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1" t="s">
        <v>21</v>
      </c>
      <c r="B347" s="51" t="s">
        <v>41</v>
      </c>
      <c r="C347" s="51" t="s">
        <v>40</v>
      </c>
      <c r="D347" s="51" t="s">
        <v>38</v>
      </c>
      <c r="E347" s="51" t="s">
        <v>25</v>
      </c>
      <c r="F347" s="51" t="s">
        <v>25</v>
      </c>
      <c r="G347" s="51" t="s">
        <v>25</v>
      </c>
      <c r="H347" s="51" t="s">
        <v>35</v>
      </c>
      <c r="I347" s="59">
        <v>44409</v>
      </c>
      <c r="J347" s="60">
        <f ca="1">EFEITO!$J$347*EFEITO!$Y$347</f>
        <v>41173.819552999536</v>
      </c>
      <c r="K347" s="60">
        <f ca="1">EFEITO!$L$347*EFEITO!$Z$347</f>
        <v>0</v>
      </c>
      <c r="L347" s="60">
        <f>EFEITO!$N$347*EFEITO!$AA$347</f>
        <v>0</v>
      </c>
      <c r="M347" s="60">
        <f ca="1">$J$347-EFEITO!$K$347*EFEITO!$Y$347</f>
        <v>0</v>
      </c>
      <c r="N347" s="60">
        <f ca="1">$K$347-EFEITO!$M$347*EFEITO!$Z$347</f>
        <v>0</v>
      </c>
      <c r="O347" s="60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1" t="s">
        <v>21</v>
      </c>
      <c r="B348" s="51" t="s">
        <v>41</v>
      </c>
      <c r="C348" s="51" t="s">
        <v>40</v>
      </c>
      <c r="D348" s="51" t="s">
        <v>38</v>
      </c>
      <c r="E348" s="51" t="s">
        <v>25</v>
      </c>
      <c r="F348" s="51" t="s">
        <v>25</v>
      </c>
      <c r="G348" s="51" t="s">
        <v>25</v>
      </c>
      <c r="H348" s="51" t="s">
        <v>35</v>
      </c>
      <c r="I348" s="59">
        <v>44440</v>
      </c>
      <c r="J348" s="60">
        <f ca="1">EFEITO!$J$348*EFEITO!$Y$348</f>
        <v>168525.40096111438</v>
      </c>
      <c r="K348" s="60">
        <f ca="1">EFEITO!$L$348*EFEITO!$Z$348</f>
        <v>72414.418886762433</v>
      </c>
      <c r="L348" s="60">
        <f>EFEITO!$N$348*EFEITO!$AA$348</f>
        <v>248571.05299470891</v>
      </c>
      <c r="M348" s="60">
        <f ca="1">$J$348-EFEITO!$K$348*EFEITO!$Y$348</f>
        <v>0</v>
      </c>
      <c r="N348" s="60">
        <f ca="1">$K$348-EFEITO!$M$348*EFEITO!$Z$348</f>
        <v>0</v>
      </c>
      <c r="O348" s="60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1" t="s">
        <v>28</v>
      </c>
      <c r="B349" s="51" t="s">
        <v>41</v>
      </c>
      <c r="C349" s="51" t="s">
        <v>40</v>
      </c>
      <c r="D349" s="51" t="s">
        <v>38</v>
      </c>
      <c r="E349" s="51" t="s">
        <v>25</v>
      </c>
      <c r="F349" s="51" t="s">
        <v>25</v>
      </c>
      <c r="G349" s="51" t="s">
        <v>25</v>
      </c>
      <c r="H349" s="51" t="s">
        <v>35</v>
      </c>
      <c r="I349" s="59">
        <v>44440</v>
      </c>
      <c r="J349" s="60">
        <f ca="1">EFEITO!$J$349*EFEITO!$Y$349</f>
        <v>3803.5246744695951</v>
      </c>
      <c r="K349" s="60">
        <f ca="1">EFEITO!$L$349*EFEITO!$Z$349</f>
        <v>0</v>
      </c>
      <c r="L349" s="60">
        <f>EFEITO!$N$349*EFEITO!$AA$349</f>
        <v>0</v>
      </c>
      <c r="M349" s="60">
        <f ca="1">$J$349-EFEITO!$K$349*EFEITO!$Y$349</f>
        <v>0</v>
      </c>
      <c r="N349" s="60">
        <f ca="1">$K$349-EFEITO!$M$349*EFEITO!$Z$349</f>
        <v>0</v>
      </c>
      <c r="O349" s="60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1" t="s">
        <v>21</v>
      </c>
      <c r="B350" s="51" t="s">
        <v>41</v>
      </c>
      <c r="C350" s="51" t="s">
        <v>40</v>
      </c>
      <c r="D350" s="51" t="s">
        <v>38</v>
      </c>
      <c r="E350" s="51" t="s">
        <v>25</v>
      </c>
      <c r="F350" s="51" t="s">
        <v>25</v>
      </c>
      <c r="G350" s="51" t="s">
        <v>25</v>
      </c>
      <c r="H350" s="51" t="s">
        <v>35</v>
      </c>
      <c r="I350" s="59">
        <v>44440</v>
      </c>
      <c r="J350" s="60">
        <f ca="1">EFEITO!$J$350*EFEITO!$Y$350</f>
        <v>2340.6305689043666</v>
      </c>
      <c r="K350" s="60">
        <f ca="1">EFEITO!$L$350*EFEITO!$Z$350</f>
        <v>0</v>
      </c>
      <c r="L350" s="60">
        <f>EFEITO!$N$350*EFEITO!$AA$350</f>
        <v>0</v>
      </c>
      <c r="M350" s="60">
        <f ca="1">$J$350-EFEITO!$K$350*EFEITO!$Y$350</f>
        <v>0</v>
      </c>
      <c r="N350" s="60">
        <f ca="1">$K$350-EFEITO!$M$350*EFEITO!$Z$350</f>
        <v>0</v>
      </c>
      <c r="O350" s="60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1" t="s">
        <v>21</v>
      </c>
      <c r="B351" s="51" t="s">
        <v>41</v>
      </c>
      <c r="C351" s="51" t="s">
        <v>40</v>
      </c>
      <c r="D351" s="51" t="s">
        <v>38</v>
      </c>
      <c r="E351" s="51" t="s">
        <v>25</v>
      </c>
      <c r="F351" s="51" t="s">
        <v>25</v>
      </c>
      <c r="G351" s="51" t="s">
        <v>25</v>
      </c>
      <c r="H351" s="51" t="s">
        <v>35</v>
      </c>
      <c r="I351" s="59">
        <v>44470</v>
      </c>
      <c r="J351" s="60">
        <f ca="1">EFEITO!$J$351*EFEITO!$Y$351</f>
        <v>171265.00264971834</v>
      </c>
      <c r="K351" s="60">
        <f ca="1">EFEITO!$L$351*EFEITO!$Z$351</f>
        <v>79583.306005554536</v>
      </c>
      <c r="L351" s="60">
        <f>EFEITO!$N$351*EFEITO!$AA$351</f>
        <v>273179.10546979558</v>
      </c>
      <c r="M351" s="60">
        <f ca="1">$J$351-EFEITO!$K$351*EFEITO!$Y$351</f>
        <v>0</v>
      </c>
      <c r="N351" s="60">
        <f ca="1">$K$351-EFEITO!$M$351*EFEITO!$Z$351</f>
        <v>0</v>
      </c>
      <c r="O351" s="60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1" t="s">
        <v>28</v>
      </c>
      <c r="B352" s="51" t="s">
        <v>41</v>
      </c>
      <c r="C352" s="51" t="s">
        <v>40</v>
      </c>
      <c r="D352" s="51" t="s">
        <v>38</v>
      </c>
      <c r="E352" s="51" t="s">
        <v>25</v>
      </c>
      <c r="F352" s="51" t="s">
        <v>25</v>
      </c>
      <c r="G352" s="51" t="s">
        <v>25</v>
      </c>
      <c r="H352" s="51" t="s">
        <v>35</v>
      </c>
      <c r="I352" s="59">
        <v>44470</v>
      </c>
      <c r="J352" s="60">
        <f ca="1">EFEITO!$J$352*EFEITO!$Y$352</f>
        <v>3803.5246744695951</v>
      </c>
      <c r="K352" s="60">
        <f ca="1">EFEITO!$L$352*EFEITO!$Z$352</f>
        <v>0</v>
      </c>
      <c r="L352" s="60">
        <f>EFEITO!$N$352*EFEITO!$AA$352</f>
        <v>0</v>
      </c>
      <c r="M352" s="60">
        <f ca="1">$J$352-EFEITO!$K$352*EFEITO!$Y$352</f>
        <v>0</v>
      </c>
      <c r="N352" s="60">
        <f ca="1">$K$352-EFEITO!$M$352*EFEITO!$Z$352</f>
        <v>0</v>
      </c>
      <c r="O352" s="60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1" t="s">
        <v>21</v>
      </c>
      <c r="B353" s="51" t="s">
        <v>41</v>
      </c>
      <c r="C353" s="51" t="s">
        <v>40</v>
      </c>
      <c r="D353" s="51" t="s">
        <v>38</v>
      </c>
      <c r="E353" s="51" t="s">
        <v>25</v>
      </c>
      <c r="F353" s="51" t="s">
        <v>25</v>
      </c>
      <c r="G353" s="51" t="s">
        <v>25</v>
      </c>
      <c r="H353" s="51" t="s">
        <v>35</v>
      </c>
      <c r="I353" s="59">
        <v>44501</v>
      </c>
      <c r="J353" s="60">
        <f ca="1">EFEITO!$J$353*EFEITO!$Y$353</f>
        <v>169722.31432021319</v>
      </c>
      <c r="K353" s="60">
        <f ca="1">EFEITO!$L$353*EFEITO!$Z$353</f>
        <v>75140.309587221185</v>
      </c>
      <c r="L353" s="60">
        <f>EFEITO!$N$353*EFEITO!$AA$353</f>
        <v>257927.9950537355</v>
      </c>
      <c r="M353" s="60">
        <f ca="1">$J$353-EFEITO!$K$353*EFEITO!$Y$353</f>
        <v>0</v>
      </c>
      <c r="N353" s="60">
        <f ca="1">$K$353-EFEITO!$M$353*EFEITO!$Z$353</f>
        <v>0</v>
      </c>
      <c r="O353" s="60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1" t="s">
        <v>28</v>
      </c>
      <c r="B354" s="51" t="s">
        <v>41</v>
      </c>
      <c r="C354" s="51" t="s">
        <v>40</v>
      </c>
      <c r="D354" s="51" t="s">
        <v>38</v>
      </c>
      <c r="E354" s="51" t="s">
        <v>25</v>
      </c>
      <c r="F354" s="51" t="s">
        <v>25</v>
      </c>
      <c r="G354" s="51" t="s">
        <v>25</v>
      </c>
      <c r="H354" s="51" t="s">
        <v>35</v>
      </c>
      <c r="I354" s="59">
        <v>44501</v>
      </c>
      <c r="J354" s="60">
        <f ca="1">EFEITO!$J$354*EFEITO!$Y$354</f>
        <v>9522.1107234973078</v>
      </c>
      <c r="K354" s="60">
        <f ca="1">EFEITO!$L$354*EFEITO!$Z$354</f>
        <v>701.10491282189344</v>
      </c>
      <c r="L354" s="60">
        <f>EFEITO!$N$354*EFEITO!$AA$354</f>
        <v>2406.6254914290212</v>
      </c>
      <c r="M354" s="60">
        <f ca="1">$J$354-EFEITO!$K$354*EFEITO!$Y$354</f>
        <v>0</v>
      </c>
      <c r="N354" s="60">
        <f ca="1">$K$354-EFEITO!$M$354*EFEITO!$Z$354</f>
        <v>0</v>
      </c>
      <c r="O354" s="60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1" t="s">
        <v>21</v>
      </c>
      <c r="B355" s="51" t="s">
        <v>41</v>
      </c>
      <c r="C355" s="51" t="s">
        <v>40</v>
      </c>
      <c r="D355" s="51" t="s">
        <v>38</v>
      </c>
      <c r="E355" s="51" t="s">
        <v>25</v>
      </c>
      <c r="F355" s="51" t="s">
        <v>25</v>
      </c>
      <c r="G355" s="51" t="s">
        <v>25</v>
      </c>
      <c r="H355" s="51" t="s">
        <v>35</v>
      </c>
      <c r="I355" s="59">
        <v>44531</v>
      </c>
      <c r="J355" s="60">
        <f ca="1">EFEITO!$J$355*EFEITO!$Y$355</f>
        <v>148789.62957330712</v>
      </c>
      <c r="K355" s="60">
        <f ca="1">EFEITO!$L$355*EFEITO!$Z$355</f>
        <v>75547.841038169761</v>
      </c>
      <c r="L355" s="60">
        <f>EFEITO!$N$355*EFEITO!$AA$355</f>
        <v>259326.89493373258</v>
      </c>
      <c r="M355" s="60">
        <f ca="1">$J$355-EFEITO!$K$355*EFEITO!$Y$355</f>
        <v>0</v>
      </c>
      <c r="N355" s="60">
        <f ca="1">$K$355-EFEITO!$M$355*EFEITO!$Z$355</f>
        <v>0</v>
      </c>
      <c r="O355" s="60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1" t="s">
        <v>28</v>
      </c>
      <c r="B356" s="51" t="s">
        <v>41</v>
      </c>
      <c r="C356" s="51" t="s">
        <v>40</v>
      </c>
      <c r="D356" s="51" t="s">
        <v>38</v>
      </c>
      <c r="E356" s="51" t="s">
        <v>25</v>
      </c>
      <c r="F356" s="51" t="s">
        <v>25</v>
      </c>
      <c r="G356" s="51" t="s">
        <v>25</v>
      </c>
      <c r="H356" s="51" t="s">
        <v>35</v>
      </c>
      <c r="I356" s="59">
        <v>44531</v>
      </c>
      <c r="J356" s="60">
        <f ca="1">EFEITO!$J$356*EFEITO!$Y$356</f>
        <v>9522.1107234973078</v>
      </c>
      <c r="K356" s="60">
        <f ca="1">EFEITO!$L$356*EFEITO!$Z$356</f>
        <v>1543.990986039202</v>
      </c>
      <c r="L356" s="60">
        <f>EFEITO!$N$356*EFEITO!$AA$356</f>
        <v>5299.9315759787378</v>
      </c>
      <c r="M356" s="60">
        <f ca="1">$J$356-EFEITO!$K$356*EFEITO!$Y$356</f>
        <v>0</v>
      </c>
      <c r="N356" s="60">
        <f ca="1">$K$356-EFEITO!$M$356*EFEITO!$Z$356</f>
        <v>0</v>
      </c>
      <c r="O356" s="60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1" t="s">
        <v>21</v>
      </c>
      <c r="B357" s="51" t="s">
        <v>41</v>
      </c>
      <c r="C357" s="51" t="s">
        <v>40</v>
      </c>
      <c r="D357" s="51" t="s">
        <v>38</v>
      </c>
      <c r="E357" s="51" t="s">
        <v>25</v>
      </c>
      <c r="F357" s="51" t="s">
        <v>25</v>
      </c>
      <c r="G357" s="51" t="s">
        <v>25</v>
      </c>
      <c r="H357" s="51" t="s">
        <v>35</v>
      </c>
      <c r="I357" s="59">
        <v>44562</v>
      </c>
      <c r="J357" s="60">
        <f ca="1">EFEITO!$J$357*EFEITO!$Y$357</f>
        <v>148364.06037896086</v>
      </c>
      <c r="K357" s="60">
        <f ca="1">EFEITO!$L$357*EFEITO!$Z$357</f>
        <v>69575.415293553553</v>
      </c>
      <c r="L357" s="60">
        <f>EFEITO!$N$357*EFEITO!$AA$357</f>
        <v>238825.83756015272</v>
      </c>
      <c r="M357" s="60">
        <f ca="1">$J$357-EFEITO!$K$357*EFEITO!$Y$357</f>
        <v>0</v>
      </c>
      <c r="N357" s="60">
        <f ca="1">$K$357-EFEITO!$M$357*EFEITO!$Z$357</f>
        <v>0</v>
      </c>
      <c r="O357" s="60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1" t="s">
        <v>28</v>
      </c>
      <c r="B358" s="51" t="s">
        <v>41</v>
      </c>
      <c r="C358" s="51" t="s">
        <v>40</v>
      </c>
      <c r="D358" s="51" t="s">
        <v>38</v>
      </c>
      <c r="E358" s="51" t="s">
        <v>25</v>
      </c>
      <c r="F358" s="51" t="s">
        <v>25</v>
      </c>
      <c r="G358" s="51" t="s">
        <v>25</v>
      </c>
      <c r="H358" s="51" t="s">
        <v>35</v>
      </c>
      <c r="I358" s="59">
        <v>44562</v>
      </c>
      <c r="J358" s="60">
        <f ca="1">EFEITO!$J$358*EFEITO!$Y$358</f>
        <v>9522.1107234973078</v>
      </c>
      <c r="K358" s="60">
        <f ca="1">EFEITO!$L$358*EFEITO!$Z$358</f>
        <v>1735.7628444374018</v>
      </c>
      <c r="L358" s="60">
        <f>EFEITO!$N$358*EFEITO!$AA$358</f>
        <v>5958.2111494340561</v>
      </c>
      <c r="M358" s="60">
        <f ca="1">$J$358-EFEITO!$K$358*EFEITO!$Y$358</f>
        <v>0</v>
      </c>
      <c r="N358" s="60">
        <f ca="1">$K$358-EFEITO!$M$358*EFEITO!$Z$358</f>
        <v>0</v>
      </c>
      <c r="O358" s="60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1" t="s">
        <v>21</v>
      </c>
      <c r="B359" s="51" t="s">
        <v>41</v>
      </c>
      <c r="C359" s="51" t="s">
        <v>40</v>
      </c>
      <c r="D359" s="51" t="s">
        <v>38</v>
      </c>
      <c r="E359" s="51" t="s">
        <v>25</v>
      </c>
      <c r="F359" s="51" t="s">
        <v>25</v>
      </c>
      <c r="G359" s="51" t="s">
        <v>25</v>
      </c>
      <c r="H359" s="51" t="s">
        <v>35</v>
      </c>
      <c r="I359" s="59">
        <v>44593</v>
      </c>
      <c r="J359" s="60">
        <f ca="1">EFEITO!$J$359*EFEITO!$Y$359</f>
        <v>153125.1157407095</v>
      </c>
      <c r="K359" s="60">
        <f ca="1">EFEITO!$L$359*EFEITO!$Z$359</f>
        <v>73089.975887601118</v>
      </c>
      <c r="L359" s="60">
        <f>EFEITO!$N$359*EFEITO!$AA$359</f>
        <v>250889.98225821659</v>
      </c>
      <c r="M359" s="60">
        <f ca="1">$J$359-EFEITO!$K$359*EFEITO!$Y$359</f>
        <v>0</v>
      </c>
      <c r="N359" s="60">
        <f ca="1">$K$359-EFEITO!$M$359*EFEITO!$Z$359</f>
        <v>0</v>
      </c>
      <c r="O359" s="60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1" t="s">
        <v>28</v>
      </c>
      <c r="B360" s="51" t="s">
        <v>41</v>
      </c>
      <c r="C360" s="51" t="s">
        <v>40</v>
      </c>
      <c r="D360" s="51" t="s">
        <v>38</v>
      </c>
      <c r="E360" s="51" t="s">
        <v>25</v>
      </c>
      <c r="F360" s="51" t="s">
        <v>25</v>
      </c>
      <c r="G360" s="51" t="s">
        <v>25</v>
      </c>
      <c r="H360" s="51" t="s">
        <v>35</v>
      </c>
      <c r="I360" s="59">
        <v>44593</v>
      </c>
      <c r="J360" s="60">
        <f ca="1">EFEITO!$J$360*EFEITO!$Y$360</f>
        <v>9522.1107234973078</v>
      </c>
      <c r="K360" s="60">
        <f ca="1">EFEITO!$L$360*EFEITO!$Z$360</f>
        <v>1420.8019447969684</v>
      </c>
      <c r="L360" s="60">
        <f>EFEITO!$N$360*EFEITO!$AA$360</f>
        <v>4877.0706296404906</v>
      </c>
      <c r="M360" s="60">
        <f ca="1">$J$360-EFEITO!$K$360*EFEITO!$Y$360</f>
        <v>0</v>
      </c>
      <c r="N360" s="60">
        <f ca="1">$K$360-EFEITO!$M$360*EFEITO!$Z$360</f>
        <v>0</v>
      </c>
      <c r="O360" s="60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1" t="s">
        <v>56</v>
      </c>
      <c r="B361" s="51" t="s">
        <v>41</v>
      </c>
      <c r="C361" s="51" t="s">
        <v>40</v>
      </c>
      <c r="D361" s="51" t="s">
        <v>38</v>
      </c>
      <c r="E361" s="51" t="s">
        <v>25</v>
      </c>
      <c r="F361" s="51" t="s">
        <v>25</v>
      </c>
      <c r="G361" s="51" t="s">
        <v>25</v>
      </c>
      <c r="H361" s="51" t="s">
        <v>35</v>
      </c>
      <c r="I361" s="59">
        <v>44621</v>
      </c>
      <c r="J361" s="60">
        <f ca="1">EFEITO!$J$361*EFEITO!$Y$361</f>
        <v>153125.1157407095</v>
      </c>
      <c r="K361" s="60">
        <f ca="1">EFEITO!$L$361*EFEITO!$Z$361</f>
        <v>73089.975887601118</v>
      </c>
      <c r="L361" s="60">
        <f>EFEITO!$N$361*EFEITO!$AA$361</f>
        <v>250889.98225821659</v>
      </c>
      <c r="M361" s="60">
        <f ca="1">$J$361-EFEITO!$K$361*EFEITO!$Y$361</f>
        <v>0</v>
      </c>
      <c r="N361" s="60">
        <f ca="1">$K$361-EFEITO!$M$361*EFEITO!$Z$361</f>
        <v>0</v>
      </c>
      <c r="O361" s="60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1" t="s">
        <v>56</v>
      </c>
      <c r="B362" s="51" t="s">
        <v>41</v>
      </c>
      <c r="C362" s="51" t="s">
        <v>40</v>
      </c>
      <c r="D362" s="51" t="s">
        <v>38</v>
      </c>
      <c r="E362" s="51" t="s">
        <v>25</v>
      </c>
      <c r="F362" s="51" t="s">
        <v>25</v>
      </c>
      <c r="G362" s="51" t="s">
        <v>25</v>
      </c>
      <c r="H362" s="51" t="s">
        <v>35</v>
      </c>
      <c r="I362" s="59">
        <v>44621</v>
      </c>
      <c r="J362" s="60">
        <f ca="1">EFEITO!$J$362*EFEITO!$Y$362</f>
        <v>9522.1107234973078</v>
      </c>
      <c r="K362" s="60">
        <f ca="1">EFEITO!$L$362*EFEITO!$Z$362</f>
        <v>1420.8019447969684</v>
      </c>
      <c r="L362" s="60">
        <f>EFEITO!$N$362*EFEITO!$AA$362</f>
        <v>4877.0706296404906</v>
      </c>
      <c r="M362" s="60">
        <f ca="1">$J$362-EFEITO!$K$362*EFEITO!$Y$362</f>
        <v>0</v>
      </c>
      <c r="N362" s="60">
        <f ca="1">$K$362-EFEITO!$M$362*EFEITO!$Z$362</f>
        <v>0</v>
      </c>
      <c r="O362" s="60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1" t="s">
        <v>21</v>
      </c>
      <c r="B363" s="51" t="s">
        <v>41</v>
      </c>
      <c r="C363" s="51" t="s">
        <v>40</v>
      </c>
      <c r="D363" s="51" t="s">
        <v>38</v>
      </c>
      <c r="E363" s="51" t="s">
        <v>25</v>
      </c>
      <c r="F363" s="51" t="s">
        <v>25</v>
      </c>
      <c r="G363" s="51" t="s">
        <v>25</v>
      </c>
      <c r="H363" s="51" t="s">
        <v>25</v>
      </c>
      <c r="I363" s="59">
        <v>44287</v>
      </c>
      <c r="J363" s="60">
        <f>EFEITO!$J$363*EFEITO!$Y$363</f>
        <v>0</v>
      </c>
      <c r="K363" s="60">
        <f ca="1">EFEITO!$L$363*EFEITO!$Z$363</f>
        <v>574.53548627908151</v>
      </c>
      <c r="L363" s="60">
        <f>EFEITO!$N$363*EFEITO!$AA$363</f>
        <v>0</v>
      </c>
      <c r="M363" s="60">
        <f>$J$363-EFEITO!$K$363*EFEITO!$Y$363</f>
        <v>0</v>
      </c>
      <c r="N363" s="60">
        <f ca="1">$K$363-EFEITO!$M$363*EFEITO!$Z$363</f>
        <v>0</v>
      </c>
      <c r="O363" s="60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1" t="s">
        <v>21</v>
      </c>
      <c r="B364" s="51" t="s">
        <v>41</v>
      </c>
      <c r="C364" s="51" t="s">
        <v>40</v>
      </c>
      <c r="D364" s="51" t="s">
        <v>38</v>
      </c>
      <c r="E364" s="51" t="s">
        <v>25</v>
      </c>
      <c r="F364" s="51" t="s">
        <v>25</v>
      </c>
      <c r="G364" s="51" t="s">
        <v>25</v>
      </c>
      <c r="H364" s="51" t="s">
        <v>25</v>
      </c>
      <c r="I364" s="59">
        <v>44317</v>
      </c>
      <c r="J364" s="60">
        <f>EFEITO!$J$364*EFEITO!$Y$364</f>
        <v>0</v>
      </c>
      <c r="K364" s="60">
        <f ca="1">EFEITO!$L$364*EFEITO!$Z$364</f>
        <v>552.49797441569524</v>
      </c>
      <c r="L364" s="60">
        <f>EFEITO!$N$364*EFEITO!$AA$364</f>
        <v>0</v>
      </c>
      <c r="M364" s="60">
        <f>$J$364-EFEITO!$K$364*EFEITO!$Y$364</f>
        <v>0</v>
      </c>
      <c r="N364" s="60">
        <f ca="1">$K$364-EFEITO!$M$364*EFEITO!$Z$364</f>
        <v>0</v>
      </c>
      <c r="O364" s="60">
        <f>$L$364-EFEITO!$O$364*EFEITO!$AA$364</f>
        <v>0</v>
      </c>
      <c r="P364" s="18"/>
      <c r="Q364" s="18"/>
      <c r="R364" s="18"/>
      <c r="S364" s="18"/>
      <c r="T364" s="18"/>
      <c r="U364" s="18"/>
      <c r="V364" s="18"/>
      <c r="W364" s="18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1" t="s">
        <v>21</v>
      </c>
      <c r="B365" s="51" t="s">
        <v>41</v>
      </c>
      <c r="C365" s="51" t="s">
        <v>40</v>
      </c>
      <c r="D365" s="51" t="s">
        <v>38</v>
      </c>
      <c r="E365" s="51" t="s">
        <v>25</v>
      </c>
      <c r="F365" s="51" t="s">
        <v>25</v>
      </c>
      <c r="G365" s="51" t="s">
        <v>25</v>
      </c>
      <c r="H365" s="51" t="s">
        <v>25</v>
      </c>
      <c r="I365" s="59">
        <v>44348</v>
      </c>
      <c r="J365" s="60">
        <f>EFEITO!$J$365*EFEITO!$Y$365</f>
        <v>0</v>
      </c>
      <c r="K365" s="60">
        <f ca="1">EFEITO!$L$365*EFEITO!$Z$365</f>
        <v>639.86793295372252</v>
      </c>
      <c r="L365" s="60">
        <f>EFEITO!$N$365*EFEITO!$AA$365</f>
        <v>0</v>
      </c>
      <c r="M365" s="60">
        <f>$J$365-EFEITO!$K$365*EFEITO!$Y$365</f>
        <v>0</v>
      </c>
      <c r="N365" s="60">
        <f ca="1">$K$365-EFEITO!$M$365*EFEITO!$Z$365</f>
        <v>0</v>
      </c>
      <c r="O365" s="60">
        <f>$L$365-EFEITO!$O$365*EFEITO!$AA$365</f>
        <v>0</v>
      </c>
      <c r="P365" s="18"/>
      <c r="Q365" s="18"/>
      <c r="R365" s="18"/>
      <c r="S365" s="18"/>
      <c r="T365" s="18"/>
      <c r="U365" s="18"/>
      <c r="V365" s="18"/>
      <c r="W365" s="18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1" t="s">
        <v>21</v>
      </c>
      <c r="B366" s="51" t="s">
        <v>41</v>
      </c>
      <c r="C366" s="51" t="s">
        <v>40</v>
      </c>
      <c r="D366" s="51" t="s">
        <v>38</v>
      </c>
      <c r="E366" s="51" t="s">
        <v>25</v>
      </c>
      <c r="F366" s="51" t="s">
        <v>25</v>
      </c>
      <c r="G366" s="51" t="s">
        <v>25</v>
      </c>
      <c r="H366" s="51" t="s">
        <v>25</v>
      </c>
      <c r="I366" s="59">
        <v>44378</v>
      </c>
      <c r="J366" s="60">
        <f>EFEITO!$J$366*EFEITO!$Y$366</f>
        <v>0</v>
      </c>
      <c r="K366" s="60">
        <f ca="1">EFEITO!$L$366*EFEITO!$Z$366</f>
        <v>675.23196379054309</v>
      </c>
      <c r="L366" s="60">
        <f>EFEITO!$N$366*EFEITO!$AA$366</f>
        <v>0</v>
      </c>
      <c r="M366" s="60">
        <f>$J$366-EFEITO!$K$366*EFEITO!$Y$366</f>
        <v>0</v>
      </c>
      <c r="N366" s="60">
        <f ca="1">$K$366-EFEITO!$M$366*EFEITO!$Z$366</f>
        <v>0</v>
      </c>
      <c r="O366" s="60">
        <f>$L$366-EFEITO!$O$366*EFEITO!$AA$366</f>
        <v>0</v>
      </c>
      <c r="P366" s="18"/>
      <c r="Q366" s="18"/>
      <c r="R366" s="18"/>
      <c r="S366" s="18"/>
      <c r="T366" s="18"/>
      <c r="U366" s="18"/>
      <c r="V366" s="18"/>
      <c r="W366" s="18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1" t="s">
        <v>21</v>
      </c>
      <c r="B367" s="51" t="s">
        <v>41</v>
      </c>
      <c r="C367" s="51" t="s">
        <v>40</v>
      </c>
      <c r="D367" s="51" t="s">
        <v>38</v>
      </c>
      <c r="E367" s="51" t="s">
        <v>25</v>
      </c>
      <c r="F367" s="51" t="s">
        <v>25</v>
      </c>
      <c r="G367" s="51" t="s">
        <v>25</v>
      </c>
      <c r="H367" s="51" t="s">
        <v>25</v>
      </c>
      <c r="I367" s="59">
        <v>44409</v>
      </c>
      <c r="J367" s="60">
        <f>EFEITO!$J$367*EFEITO!$Y$367</f>
        <v>0</v>
      </c>
      <c r="K367" s="60">
        <f ca="1">EFEITO!$L$367*EFEITO!$Z$367</f>
        <v>57227.127820179026</v>
      </c>
      <c r="L367" s="60">
        <f>EFEITO!$N$367*EFEITO!$AA$367</f>
        <v>0</v>
      </c>
      <c r="M367" s="60">
        <f>$J$367-EFEITO!$K$367*EFEITO!$Y$367</f>
        <v>0</v>
      </c>
      <c r="N367" s="60">
        <f ca="1">$K$367-EFEITO!$M$367*EFEITO!$Z$367</f>
        <v>0</v>
      </c>
      <c r="O367" s="60">
        <f>$L$367-EFEITO!$O$367*EFEITO!$AA$367</f>
        <v>0</v>
      </c>
      <c r="P367" s="18"/>
      <c r="Q367" s="18"/>
      <c r="R367" s="18"/>
      <c r="S367" s="18"/>
      <c r="T367" s="18"/>
      <c r="U367" s="18"/>
      <c r="V367" s="18"/>
      <c r="W367" s="18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1" t="s">
        <v>21</v>
      </c>
      <c r="B368" s="51" t="s">
        <v>41</v>
      </c>
      <c r="C368" s="51" t="s">
        <v>40</v>
      </c>
      <c r="D368" s="51" t="s">
        <v>38</v>
      </c>
      <c r="E368" s="51" t="s">
        <v>25</v>
      </c>
      <c r="F368" s="51" t="s">
        <v>25</v>
      </c>
      <c r="G368" s="51" t="s">
        <v>25</v>
      </c>
      <c r="H368" s="51" t="s">
        <v>25</v>
      </c>
      <c r="I368" s="59">
        <v>44440</v>
      </c>
      <c r="J368" s="60">
        <f>EFEITO!$J$368*EFEITO!$Y$368</f>
        <v>0</v>
      </c>
      <c r="K368" s="60">
        <f ca="1">EFEITO!$L$368*EFEITO!$Z$368</f>
        <v>903.34296416996119</v>
      </c>
      <c r="L368" s="60">
        <f>EFEITO!$N$368*EFEITO!$AA$368</f>
        <v>0</v>
      </c>
      <c r="M368" s="60">
        <f>$J$368-EFEITO!$K$368*EFEITO!$Y$368</f>
        <v>0</v>
      </c>
      <c r="N368" s="60">
        <f ca="1">$K$368-EFEITO!$M$368*EFEITO!$Z$368</f>
        <v>0</v>
      </c>
      <c r="O368" s="60">
        <f>$L$368-EFEITO!$O$368*EFEITO!$AA$368</f>
        <v>0</v>
      </c>
      <c r="P368" s="18"/>
      <c r="Q368" s="18"/>
      <c r="R368" s="18"/>
      <c r="S368" s="18"/>
      <c r="T368" s="18"/>
      <c r="U368" s="18"/>
      <c r="V368" s="18"/>
      <c r="W368" s="18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1" t="s">
        <v>21</v>
      </c>
      <c r="B369" s="51" t="s">
        <v>41</v>
      </c>
      <c r="C369" s="51" t="s">
        <v>40</v>
      </c>
      <c r="D369" s="51" t="s">
        <v>38</v>
      </c>
      <c r="E369" s="51" t="s">
        <v>25</v>
      </c>
      <c r="F369" s="51" t="s">
        <v>25</v>
      </c>
      <c r="G369" s="51" t="s">
        <v>25</v>
      </c>
      <c r="H369" s="51" t="s">
        <v>34</v>
      </c>
      <c r="I369" s="59">
        <v>44287</v>
      </c>
      <c r="J369" s="60">
        <f ca="1">EFEITO!$J$369*EFEITO!$Y$369</f>
        <v>153912.52490675953</v>
      </c>
      <c r="K369" s="60">
        <f ca="1">EFEITO!$L$369*EFEITO!$Z$369</f>
        <v>4271.8319087867485</v>
      </c>
      <c r="L369" s="60">
        <f>EFEITO!$N$369*EFEITO!$AA$369</f>
        <v>23758.543967640773</v>
      </c>
      <c r="M369" s="60">
        <f ca="1">$J$369-EFEITO!$K$369*EFEITO!$Y$369</f>
        <v>0</v>
      </c>
      <c r="N369" s="60">
        <f ca="1">$K$369-EFEITO!$M$369*EFEITO!$Z$369</f>
        <v>0</v>
      </c>
      <c r="O369" s="60">
        <f>$L$369-EFEITO!$O$369*EFEITO!$AA$369</f>
        <v>0</v>
      </c>
      <c r="P369" s="18"/>
      <c r="Q369" s="18"/>
      <c r="R369" s="18"/>
      <c r="S369" s="18"/>
      <c r="T369" s="18"/>
      <c r="U369" s="18"/>
      <c r="V369" s="18"/>
      <c r="W369" s="18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1" t="s">
        <v>28</v>
      </c>
      <c r="B370" s="51" t="s">
        <v>41</v>
      </c>
      <c r="C370" s="51" t="s">
        <v>40</v>
      </c>
      <c r="D370" s="51" t="s">
        <v>38</v>
      </c>
      <c r="E370" s="51" t="s">
        <v>25</v>
      </c>
      <c r="F370" s="51" t="s">
        <v>25</v>
      </c>
      <c r="G370" s="51" t="s">
        <v>25</v>
      </c>
      <c r="H370" s="51" t="s">
        <v>34</v>
      </c>
      <c r="I370" s="59">
        <v>44287</v>
      </c>
      <c r="J370" s="60">
        <f ca="1">EFEITO!$J$370*EFEITO!$Y$370</f>
        <v>876.99444391315967</v>
      </c>
      <c r="K370" s="60">
        <f ca="1">EFEITO!$L$370*EFEITO!$Z$370</f>
        <v>37.314253125615835</v>
      </c>
      <c r="L370" s="60">
        <f>EFEITO!$N$370*EFEITO!$AA$370</f>
        <v>207.52977702168221</v>
      </c>
      <c r="M370" s="60">
        <f ca="1">$J$370-EFEITO!$K$370*EFEITO!$Y$370</f>
        <v>0</v>
      </c>
      <c r="N370" s="60">
        <f ca="1">$K$370-EFEITO!$M$370*EFEITO!$Z$370</f>
        <v>0</v>
      </c>
      <c r="O370" s="60">
        <f>$L$370-EFEITO!$O$370*EFEITO!$AA$370</f>
        <v>0</v>
      </c>
      <c r="P370" s="18"/>
      <c r="Q370" s="18"/>
      <c r="R370" s="18"/>
      <c r="S370" s="18"/>
      <c r="T370" s="18"/>
      <c r="U370" s="18"/>
      <c r="V370" s="18"/>
      <c r="W370" s="18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1" t="s">
        <v>21</v>
      </c>
      <c r="B371" s="51" t="s">
        <v>41</v>
      </c>
      <c r="C371" s="51" t="s">
        <v>40</v>
      </c>
      <c r="D371" s="51" t="s">
        <v>38</v>
      </c>
      <c r="E371" s="51" t="s">
        <v>25</v>
      </c>
      <c r="F371" s="51" t="s">
        <v>25</v>
      </c>
      <c r="G371" s="51" t="s">
        <v>25</v>
      </c>
      <c r="H371" s="51" t="s">
        <v>34</v>
      </c>
      <c r="I371" s="59">
        <v>44287</v>
      </c>
      <c r="J371" s="60">
        <f ca="1">EFEITO!$J$371*EFEITO!$Y$371</f>
        <v>2192.4861097828993</v>
      </c>
      <c r="K371" s="60">
        <f ca="1">EFEITO!$L$371*EFEITO!$Z$371</f>
        <v>0</v>
      </c>
      <c r="L371" s="60">
        <f>EFEITO!$N$371*EFEITO!$AA$371</f>
        <v>0</v>
      </c>
      <c r="M371" s="60">
        <f ca="1">$J$371-EFEITO!$K$371*EFEITO!$Y$371</f>
        <v>0</v>
      </c>
      <c r="N371" s="60">
        <f ca="1">$K$371-EFEITO!$M$371*EFEITO!$Z$371</f>
        <v>0</v>
      </c>
      <c r="O371" s="60">
        <f>$L$371-EFEITO!$O$371*EFEITO!$AA$371</f>
        <v>0</v>
      </c>
      <c r="P371" s="18"/>
      <c r="Q371" s="18"/>
      <c r="R371" s="18"/>
      <c r="S371" s="18"/>
      <c r="T371" s="18"/>
      <c r="U371" s="18"/>
      <c r="V371" s="18"/>
      <c r="W371" s="18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1" t="s">
        <v>21</v>
      </c>
      <c r="B372" s="51" t="s">
        <v>41</v>
      </c>
      <c r="C372" s="51" t="s">
        <v>40</v>
      </c>
      <c r="D372" s="51" t="s">
        <v>38</v>
      </c>
      <c r="E372" s="51" t="s">
        <v>25</v>
      </c>
      <c r="F372" s="51" t="s">
        <v>25</v>
      </c>
      <c r="G372" s="51" t="s">
        <v>25</v>
      </c>
      <c r="H372" s="51" t="s">
        <v>34</v>
      </c>
      <c r="I372" s="59">
        <v>44317</v>
      </c>
      <c r="J372" s="60">
        <f ca="1">EFEITO!$J$372*EFEITO!$Y$372</f>
        <v>162609.38647556503</v>
      </c>
      <c r="K372" s="60">
        <f ca="1">EFEITO!$L$372*EFEITO!$Z$372</f>
        <v>4302.9704579978461</v>
      </c>
      <c r="L372" s="60">
        <f>EFEITO!$N$372*EFEITO!$AA$372</f>
        <v>23931.726481914964</v>
      </c>
      <c r="M372" s="60">
        <f ca="1">$J$372-EFEITO!$K$372*EFEITO!$Y$372</f>
        <v>0</v>
      </c>
      <c r="N372" s="60">
        <f ca="1">$K$372-EFEITO!$M$372*EFEITO!$Z$372</f>
        <v>0</v>
      </c>
      <c r="O372" s="60">
        <f>$L$372-EFEITO!$O$372*EFEITO!$AA$372</f>
        <v>0</v>
      </c>
      <c r="P372" s="18"/>
      <c r="Q372" s="18"/>
      <c r="R372" s="18"/>
      <c r="S372" s="18"/>
      <c r="T372" s="18"/>
      <c r="U372" s="18"/>
      <c r="V372" s="18"/>
      <c r="W372" s="18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1" t="s">
        <v>28</v>
      </c>
      <c r="B373" s="51" t="s">
        <v>41</v>
      </c>
      <c r="C373" s="51" t="s">
        <v>40</v>
      </c>
      <c r="D373" s="51" t="s">
        <v>38</v>
      </c>
      <c r="E373" s="51" t="s">
        <v>25</v>
      </c>
      <c r="F373" s="51" t="s">
        <v>25</v>
      </c>
      <c r="G373" s="51" t="s">
        <v>25</v>
      </c>
      <c r="H373" s="51" t="s">
        <v>34</v>
      </c>
      <c r="I373" s="59">
        <v>44317</v>
      </c>
      <c r="J373" s="60">
        <f ca="1">EFEITO!$J$373*EFEITO!$Y$373</f>
        <v>876.99444391315967</v>
      </c>
      <c r="K373" s="60">
        <f ca="1">EFEITO!$L$373*EFEITO!$Z$373</f>
        <v>31.98364553624215</v>
      </c>
      <c r="L373" s="60">
        <f>EFEITO!$N$373*EFEITO!$AA$373</f>
        <v>177.88266601858476</v>
      </c>
      <c r="M373" s="60">
        <f ca="1">$J$373-EFEITO!$K$373*EFEITO!$Y$373</f>
        <v>0</v>
      </c>
      <c r="N373" s="60">
        <f ca="1">$K$373-EFEITO!$M$373*EFEITO!$Z$373</f>
        <v>0</v>
      </c>
      <c r="O373" s="60">
        <f>$L$373-EFEITO!$O$373*EFEITO!$AA$373</f>
        <v>0</v>
      </c>
      <c r="P373" s="18"/>
      <c r="Q373" s="18"/>
      <c r="R373" s="18"/>
      <c r="S373" s="18"/>
      <c r="T373" s="18"/>
      <c r="U373" s="18"/>
      <c r="V373" s="18"/>
      <c r="W373" s="18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1" t="s">
        <v>21</v>
      </c>
      <c r="B374" s="51" t="s">
        <v>41</v>
      </c>
      <c r="C374" s="51" t="s">
        <v>40</v>
      </c>
      <c r="D374" s="51" t="s">
        <v>38</v>
      </c>
      <c r="E374" s="51" t="s">
        <v>25</v>
      </c>
      <c r="F374" s="51" t="s">
        <v>25</v>
      </c>
      <c r="G374" s="51" t="s">
        <v>25</v>
      </c>
      <c r="H374" s="51" t="s">
        <v>34</v>
      </c>
      <c r="I374" s="59">
        <v>44317</v>
      </c>
      <c r="J374" s="60">
        <f ca="1">EFEITO!$J$374*EFEITO!$Y$374</f>
        <v>2192.4861097828993</v>
      </c>
      <c r="K374" s="60">
        <f ca="1">EFEITO!$L$374*EFEITO!$Z$374</f>
        <v>0</v>
      </c>
      <c r="L374" s="60">
        <f>EFEITO!$N$374*EFEITO!$AA$374</f>
        <v>0</v>
      </c>
      <c r="M374" s="60">
        <f ca="1">$J$374-EFEITO!$K$374*EFEITO!$Y$374</f>
        <v>0</v>
      </c>
      <c r="N374" s="60">
        <f ca="1">$K$374-EFEITO!$M$374*EFEITO!$Z$374</f>
        <v>0</v>
      </c>
      <c r="O374" s="60">
        <f>$L$374-EFEITO!$O$374*EFEITO!$AA$374</f>
        <v>0</v>
      </c>
      <c r="P374" s="18"/>
      <c r="Q374" s="18"/>
      <c r="R374" s="18"/>
      <c r="S374" s="18"/>
      <c r="T374" s="18"/>
      <c r="U374" s="18"/>
      <c r="V374" s="18"/>
      <c r="W374" s="18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1" t="s">
        <v>21</v>
      </c>
      <c r="B375" s="51" t="s">
        <v>41</v>
      </c>
      <c r="C375" s="51" t="s">
        <v>40</v>
      </c>
      <c r="D375" s="51" t="s">
        <v>38</v>
      </c>
      <c r="E375" s="51" t="s">
        <v>25</v>
      </c>
      <c r="F375" s="51" t="s">
        <v>25</v>
      </c>
      <c r="G375" s="51" t="s">
        <v>25</v>
      </c>
      <c r="H375" s="51" t="s">
        <v>34</v>
      </c>
      <c r="I375" s="59">
        <v>44348</v>
      </c>
      <c r="J375" s="60">
        <f ca="1">EFEITO!$J$375*EFEITO!$Y$375</f>
        <v>162609.38647556503</v>
      </c>
      <c r="K375" s="60">
        <f ca="1">EFEITO!$L$375*EFEITO!$Z$375</f>
        <v>3633.7841833025686</v>
      </c>
      <c r="L375" s="60">
        <f>EFEITO!$N$375*EFEITO!$AA$375</f>
        <v>20209.929400623685</v>
      </c>
      <c r="M375" s="60">
        <f ca="1">$J$375-EFEITO!$K$375*EFEITO!$Y$375</f>
        <v>0</v>
      </c>
      <c r="N375" s="60">
        <f ca="1">$K$375-EFEITO!$M$375*EFEITO!$Z$375</f>
        <v>0</v>
      </c>
      <c r="O375" s="60">
        <f>$L$375-EFEITO!$O$375*EFEITO!$AA$375</f>
        <v>0</v>
      </c>
      <c r="P375" s="18"/>
      <c r="Q375" s="18"/>
      <c r="R375" s="18"/>
      <c r="S375" s="18"/>
      <c r="T375" s="18"/>
      <c r="U375" s="18"/>
      <c r="V375" s="18"/>
      <c r="W375" s="18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1" t="s">
        <v>28</v>
      </c>
      <c r="B376" s="51" t="s">
        <v>41</v>
      </c>
      <c r="C376" s="51" t="s">
        <v>40</v>
      </c>
      <c r="D376" s="51" t="s">
        <v>38</v>
      </c>
      <c r="E376" s="51" t="s">
        <v>25</v>
      </c>
      <c r="F376" s="51" t="s">
        <v>25</v>
      </c>
      <c r="G376" s="51" t="s">
        <v>25</v>
      </c>
      <c r="H376" s="51" t="s">
        <v>34</v>
      </c>
      <c r="I376" s="59">
        <v>44348</v>
      </c>
      <c r="J376" s="60">
        <f ca="1">EFEITO!$J$376*EFEITO!$Y$376</f>
        <v>876.99444391315967</v>
      </c>
      <c r="K376" s="60">
        <f ca="1">EFEITO!$L$376*EFEITO!$Z$376</f>
        <v>37.314253125615835</v>
      </c>
      <c r="L376" s="60">
        <f>EFEITO!$N$376*EFEITO!$AA$376</f>
        <v>207.52977702168221</v>
      </c>
      <c r="M376" s="60">
        <f ca="1">$J$376-EFEITO!$K$376*EFEITO!$Y$376</f>
        <v>0</v>
      </c>
      <c r="N376" s="60">
        <f ca="1">$K$376-EFEITO!$M$376*EFEITO!$Z$376</f>
        <v>0</v>
      </c>
      <c r="O376" s="60">
        <f>$L$376-EFEITO!$O$376*EFEITO!$AA$376</f>
        <v>0</v>
      </c>
      <c r="P376" s="18"/>
      <c r="Q376" s="18"/>
      <c r="R376" s="18"/>
      <c r="S376" s="18"/>
      <c r="T376" s="18"/>
      <c r="U376" s="18"/>
      <c r="V376" s="18"/>
      <c r="W376" s="18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1" t="s">
        <v>21</v>
      </c>
      <c r="B377" s="51" t="s">
        <v>41</v>
      </c>
      <c r="C377" s="51" t="s">
        <v>40</v>
      </c>
      <c r="D377" s="51" t="s">
        <v>38</v>
      </c>
      <c r="E377" s="51" t="s">
        <v>25</v>
      </c>
      <c r="F377" s="51" t="s">
        <v>25</v>
      </c>
      <c r="G377" s="51" t="s">
        <v>25</v>
      </c>
      <c r="H377" s="51" t="s">
        <v>34</v>
      </c>
      <c r="I377" s="59">
        <v>44348</v>
      </c>
      <c r="J377" s="60">
        <f ca="1">EFEITO!$J$377*EFEITO!$Y$377</f>
        <v>2192.4861097828993</v>
      </c>
      <c r="K377" s="60">
        <f ca="1">EFEITO!$L$377*EFEITO!$Z$377</f>
        <v>0</v>
      </c>
      <c r="L377" s="60">
        <f>EFEITO!$N$377*EFEITO!$AA$377</f>
        <v>0</v>
      </c>
      <c r="M377" s="60">
        <f ca="1">$J$377-EFEITO!$K$377*EFEITO!$Y$377</f>
        <v>0</v>
      </c>
      <c r="N377" s="60">
        <f ca="1">$K$377-EFEITO!$M$377*EFEITO!$Z$377</f>
        <v>0</v>
      </c>
      <c r="O377" s="60">
        <f>$L$377-EFEITO!$O$377*EFEITO!$AA$377</f>
        <v>0</v>
      </c>
      <c r="P377" s="18"/>
      <c r="Q377" s="18"/>
      <c r="R377" s="18"/>
      <c r="S377" s="18"/>
      <c r="T377" s="18"/>
      <c r="U377" s="18"/>
      <c r="V377" s="18"/>
      <c r="W377" s="18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1" t="s">
        <v>21</v>
      </c>
      <c r="B378" s="51" t="s">
        <v>41</v>
      </c>
      <c r="C378" s="51" t="s">
        <v>40</v>
      </c>
      <c r="D378" s="51" t="s">
        <v>38</v>
      </c>
      <c r="E378" s="51" t="s">
        <v>25</v>
      </c>
      <c r="F378" s="51" t="s">
        <v>25</v>
      </c>
      <c r="G378" s="51" t="s">
        <v>25</v>
      </c>
      <c r="H378" s="51" t="s">
        <v>34</v>
      </c>
      <c r="I378" s="59">
        <v>44378</v>
      </c>
      <c r="J378" s="60">
        <f ca="1">EFEITO!$J$378*EFEITO!$Y$378</f>
        <v>162828.63508654331</v>
      </c>
      <c r="K378" s="60">
        <f ca="1">EFEITO!$L$378*EFEITO!$Z$378</f>
        <v>3265.7122299972775</v>
      </c>
      <c r="L378" s="60">
        <f>EFEITO!$N$378*EFEITO!$AA$378</f>
        <v>18162.83254087322</v>
      </c>
      <c r="M378" s="60">
        <f ca="1">$J$378-EFEITO!$K$378*EFEITO!$Y$378</f>
        <v>0</v>
      </c>
      <c r="N378" s="60">
        <f ca="1">$K$378-EFEITO!$M$378*EFEITO!$Z$378</f>
        <v>0</v>
      </c>
      <c r="O378" s="60">
        <f>$L$378-EFEITO!$O$378*EFEITO!$AA$378</f>
        <v>0</v>
      </c>
      <c r="P378" s="18"/>
      <c r="Q378" s="18"/>
      <c r="R378" s="18"/>
      <c r="S378" s="18"/>
      <c r="T378" s="18"/>
      <c r="U378" s="18"/>
      <c r="V378" s="18"/>
      <c r="W378" s="18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1" t="s">
        <v>28</v>
      </c>
      <c r="B379" s="51" t="s">
        <v>41</v>
      </c>
      <c r="C379" s="51" t="s">
        <v>40</v>
      </c>
      <c r="D379" s="51" t="s">
        <v>38</v>
      </c>
      <c r="E379" s="51" t="s">
        <v>25</v>
      </c>
      <c r="F379" s="51" t="s">
        <v>25</v>
      </c>
      <c r="G379" s="51" t="s">
        <v>25</v>
      </c>
      <c r="H379" s="51" t="s">
        <v>34</v>
      </c>
      <c r="I379" s="59">
        <v>44378</v>
      </c>
      <c r="J379" s="60">
        <f ca="1">EFEITO!$J$379*EFEITO!$Y$379</f>
        <v>876.99444391315967</v>
      </c>
      <c r="K379" s="60">
        <f ca="1">EFEITO!$L$379*EFEITO!$Z$379</f>
        <v>37.314253125615835</v>
      </c>
      <c r="L379" s="60">
        <f>EFEITO!$N$379*EFEITO!$AA$379</f>
        <v>207.52977702168221</v>
      </c>
      <c r="M379" s="60">
        <f ca="1">$J$379-EFEITO!$K$379*EFEITO!$Y$379</f>
        <v>0</v>
      </c>
      <c r="N379" s="60">
        <f ca="1">$K$379-EFEITO!$M$379*EFEITO!$Z$379</f>
        <v>0</v>
      </c>
      <c r="O379" s="60">
        <f>$L$379-EFEITO!$O$379*EFEITO!$AA$379</f>
        <v>0</v>
      </c>
      <c r="P379" s="18"/>
      <c r="Q379" s="18"/>
      <c r="R379" s="18"/>
      <c r="S379" s="18"/>
      <c r="T379" s="18"/>
      <c r="U379" s="18"/>
      <c r="V379" s="18"/>
      <c r="W379" s="18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1" t="s">
        <v>21</v>
      </c>
      <c r="B380" s="51" t="s">
        <v>41</v>
      </c>
      <c r="C380" s="51" t="s">
        <v>40</v>
      </c>
      <c r="D380" s="51" t="s">
        <v>38</v>
      </c>
      <c r="E380" s="51" t="s">
        <v>25</v>
      </c>
      <c r="F380" s="51" t="s">
        <v>25</v>
      </c>
      <c r="G380" s="51" t="s">
        <v>25</v>
      </c>
      <c r="H380" s="51" t="s">
        <v>34</v>
      </c>
      <c r="I380" s="59">
        <v>44378</v>
      </c>
      <c r="J380" s="60">
        <f ca="1">EFEITO!$J$380*EFEITO!$Y$380</f>
        <v>2192.4861097828993</v>
      </c>
      <c r="K380" s="60">
        <f ca="1">EFEITO!$L$380*EFEITO!$Z$380</f>
        <v>0</v>
      </c>
      <c r="L380" s="60">
        <f>EFEITO!$N$380*EFEITO!$AA$380</f>
        <v>0</v>
      </c>
      <c r="M380" s="60">
        <f ca="1">$J$380-EFEITO!$K$380*EFEITO!$Y$380</f>
        <v>0</v>
      </c>
      <c r="N380" s="60">
        <f ca="1">$K$380-EFEITO!$M$380*EFEITO!$Z$380</f>
        <v>0</v>
      </c>
      <c r="O380" s="60">
        <f>$L$380-EFEITO!$O$380*EFEITO!$AA$380</f>
        <v>0</v>
      </c>
      <c r="P380" s="18"/>
      <c r="Q380" s="18"/>
      <c r="R380" s="18"/>
      <c r="S380" s="18"/>
      <c r="T380" s="18"/>
      <c r="U380" s="18"/>
      <c r="V380" s="18"/>
      <c r="W380" s="18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1" t="s">
        <v>21</v>
      </c>
      <c r="B381" s="51" t="s">
        <v>41</v>
      </c>
      <c r="C381" s="51" t="s">
        <v>40</v>
      </c>
      <c r="D381" s="51" t="s">
        <v>38</v>
      </c>
      <c r="E381" s="51" t="s">
        <v>25</v>
      </c>
      <c r="F381" s="51" t="s">
        <v>25</v>
      </c>
      <c r="G381" s="51" t="s">
        <v>25</v>
      </c>
      <c r="H381" s="51" t="s">
        <v>34</v>
      </c>
      <c r="I381" s="59">
        <v>44409</v>
      </c>
      <c r="J381" s="60">
        <f ca="1">EFEITO!$J$381*EFEITO!$Y$381</f>
        <v>162243.97212393454</v>
      </c>
      <c r="K381" s="60">
        <f ca="1">EFEITO!$L$381*EFEITO!$Z$381</f>
        <v>3547.8443877763243</v>
      </c>
      <c r="L381" s="60">
        <f>EFEITO!$N$381*EFEITO!$AA$381</f>
        <v>19731.960123232282</v>
      </c>
      <c r="M381" s="60">
        <f ca="1">$J$381-EFEITO!$K$381*EFEITO!$Y$381</f>
        <v>0</v>
      </c>
      <c r="N381" s="60">
        <f ca="1">$K$381-EFEITO!$M$381*EFEITO!$Z$381</f>
        <v>0</v>
      </c>
      <c r="O381" s="60">
        <f>$L$381-EFEITO!$O$381*EFEITO!$AA$381</f>
        <v>0</v>
      </c>
      <c r="P381" s="18"/>
      <c r="Q381" s="18"/>
      <c r="R381" s="18"/>
      <c r="S381" s="18"/>
      <c r="T381" s="18"/>
      <c r="U381" s="18"/>
      <c r="V381" s="18"/>
      <c r="W381" s="18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1" t="s">
        <v>28</v>
      </c>
      <c r="B382" s="51" t="s">
        <v>41</v>
      </c>
      <c r="C382" s="51" t="s">
        <v>40</v>
      </c>
      <c r="D382" s="51" t="s">
        <v>38</v>
      </c>
      <c r="E382" s="51" t="s">
        <v>25</v>
      </c>
      <c r="F382" s="51" t="s">
        <v>25</v>
      </c>
      <c r="G382" s="51" t="s">
        <v>25</v>
      </c>
      <c r="H382" s="51" t="s">
        <v>34</v>
      </c>
      <c r="I382" s="59">
        <v>44409</v>
      </c>
      <c r="J382" s="60">
        <f ca="1">EFEITO!$J$382*EFEITO!$Y$382</f>
        <v>876.99444391315967</v>
      </c>
      <c r="K382" s="60">
        <f ca="1">EFEITO!$L$382*EFEITO!$Z$382</f>
        <v>5.2005927701206751</v>
      </c>
      <c r="L382" s="60">
        <f>EFEITO!$N$382*EFEITO!$AA$382</f>
        <v>28.924010734729233</v>
      </c>
      <c r="M382" s="60">
        <f ca="1">$J$382-EFEITO!$K$382*EFEITO!$Y$382</f>
        <v>0</v>
      </c>
      <c r="N382" s="60">
        <f ca="1">$K$382-EFEITO!$M$382*EFEITO!$Z$382</f>
        <v>0</v>
      </c>
      <c r="O382" s="60">
        <f>$L$382-EFEITO!$O$382*EFEITO!$AA$382</f>
        <v>0</v>
      </c>
      <c r="P382" s="18"/>
      <c r="Q382" s="18"/>
      <c r="R382" s="18"/>
      <c r="S382" s="18"/>
      <c r="T382" s="18"/>
      <c r="U382" s="18"/>
      <c r="V382" s="18"/>
      <c r="W382" s="18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1" t="s">
        <v>21</v>
      </c>
      <c r="B383" s="51" t="s">
        <v>41</v>
      </c>
      <c r="C383" s="51" t="s">
        <v>40</v>
      </c>
      <c r="D383" s="51" t="s">
        <v>38</v>
      </c>
      <c r="E383" s="51" t="s">
        <v>25</v>
      </c>
      <c r="F383" s="51" t="s">
        <v>25</v>
      </c>
      <c r="G383" s="51" t="s">
        <v>25</v>
      </c>
      <c r="H383" s="51" t="s">
        <v>34</v>
      </c>
      <c r="I383" s="59">
        <v>44409</v>
      </c>
      <c r="J383" s="60">
        <f ca="1">EFEITO!$J$383*EFEITO!$Y$383</f>
        <v>105093.16752892696</v>
      </c>
      <c r="K383" s="60">
        <f ca="1">EFEITO!$L$383*EFEITO!$Z$383</f>
        <v>0</v>
      </c>
      <c r="L383" s="60">
        <f>EFEITO!$N$383*EFEITO!$AA$383</f>
        <v>0</v>
      </c>
      <c r="M383" s="60">
        <f ca="1">$J$383-EFEITO!$K$383*EFEITO!$Y$383</f>
        <v>0</v>
      </c>
      <c r="N383" s="60">
        <f ca="1">$K$383-EFEITO!$M$383*EFEITO!$Z$383</f>
        <v>0</v>
      </c>
      <c r="O383" s="60">
        <f>$L$383-EFEITO!$O$383*EFEITO!$AA$383</f>
        <v>0</v>
      </c>
      <c r="P383" s="18"/>
      <c r="Q383" s="18"/>
      <c r="R383" s="18"/>
      <c r="S383" s="18"/>
      <c r="T383" s="18"/>
      <c r="U383" s="18"/>
      <c r="V383" s="18"/>
      <c r="W383" s="18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1" t="s">
        <v>21</v>
      </c>
      <c r="B384" s="51" t="s">
        <v>41</v>
      </c>
      <c r="C384" s="51" t="s">
        <v>40</v>
      </c>
      <c r="D384" s="51" t="s">
        <v>38</v>
      </c>
      <c r="E384" s="51" t="s">
        <v>25</v>
      </c>
      <c r="F384" s="51" t="s">
        <v>25</v>
      </c>
      <c r="G384" s="51" t="s">
        <v>25</v>
      </c>
      <c r="H384" s="51" t="s">
        <v>34</v>
      </c>
      <c r="I384" s="59">
        <v>44440</v>
      </c>
      <c r="J384" s="60">
        <f ca="1">EFEITO!$J$384*EFEITO!$Y$384</f>
        <v>163486.38091947819</v>
      </c>
      <c r="K384" s="60">
        <f ca="1">EFEITO!$L$384*EFEITO!$Z$384</f>
        <v>3721.6091937079814</v>
      </c>
      <c r="L384" s="60">
        <f>EFEITO!$N$384*EFEITO!$AA$384</f>
        <v>20698.383631906421</v>
      </c>
      <c r="M384" s="60">
        <f ca="1">$J$384-EFEITO!$K$384*EFEITO!$Y$384</f>
        <v>0</v>
      </c>
      <c r="N384" s="60">
        <f ca="1">$K$384-EFEITO!$M$384*EFEITO!$Z$384</f>
        <v>0</v>
      </c>
      <c r="O384" s="60">
        <f>$L$384-EFEITO!$O$384*EFEITO!$AA$384</f>
        <v>0</v>
      </c>
      <c r="P384" s="18"/>
      <c r="Q384" s="18"/>
      <c r="R384" s="18"/>
      <c r="S384" s="18"/>
      <c r="T384" s="18"/>
      <c r="U384" s="18"/>
      <c r="V384" s="18"/>
      <c r="W384" s="18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1" t="s">
        <v>28</v>
      </c>
      <c r="B385" s="51" t="s">
        <v>41</v>
      </c>
      <c r="C385" s="51" t="s">
        <v>40</v>
      </c>
      <c r="D385" s="51" t="s">
        <v>38</v>
      </c>
      <c r="E385" s="51" t="s">
        <v>25</v>
      </c>
      <c r="F385" s="51" t="s">
        <v>25</v>
      </c>
      <c r="G385" s="51" t="s">
        <v>25</v>
      </c>
      <c r="H385" s="51" t="s">
        <v>34</v>
      </c>
      <c r="I385" s="59">
        <v>44440</v>
      </c>
      <c r="J385" s="60">
        <f ca="1">EFEITO!$J$385*EFEITO!$Y$385</f>
        <v>876.99444391315967</v>
      </c>
      <c r="K385" s="60">
        <f ca="1">EFEITO!$L$385*EFEITO!$Z$385</f>
        <v>0</v>
      </c>
      <c r="L385" s="60">
        <f>EFEITO!$N$385*EFEITO!$AA$385</f>
        <v>0</v>
      </c>
      <c r="M385" s="60">
        <f ca="1">$J$385-EFEITO!$K$385*EFEITO!$Y$385</f>
        <v>0</v>
      </c>
      <c r="N385" s="60">
        <f ca="1">$K$385-EFEITO!$M$385*EFEITO!$Z$385</f>
        <v>0</v>
      </c>
      <c r="O385" s="60">
        <f>$L$385-EFEITO!$O$385*EFEITO!$AA$385</f>
        <v>0</v>
      </c>
      <c r="P385" s="18"/>
      <c r="Q385" s="18"/>
      <c r="R385" s="18"/>
      <c r="S385" s="18"/>
      <c r="T385" s="18"/>
      <c r="U385" s="18"/>
      <c r="V385" s="18"/>
      <c r="W385" s="18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1" t="s">
        <v>21</v>
      </c>
      <c r="B386" s="51" t="s">
        <v>41</v>
      </c>
      <c r="C386" s="51" t="s">
        <v>40</v>
      </c>
      <c r="D386" s="51" t="s">
        <v>38</v>
      </c>
      <c r="E386" s="51" t="s">
        <v>25</v>
      </c>
      <c r="F386" s="51" t="s">
        <v>25</v>
      </c>
      <c r="G386" s="51" t="s">
        <v>25</v>
      </c>
      <c r="H386" s="51" t="s">
        <v>34</v>
      </c>
      <c r="I386" s="59">
        <v>44440</v>
      </c>
      <c r="J386" s="60">
        <f ca="1">EFEITO!$J$386*EFEITO!$Y$386</f>
        <v>2192.4861097828993</v>
      </c>
      <c r="K386" s="60">
        <f ca="1">EFEITO!$L$386*EFEITO!$Z$386</f>
        <v>0</v>
      </c>
      <c r="L386" s="60">
        <f>EFEITO!$N$386*EFEITO!$AA$386</f>
        <v>0</v>
      </c>
      <c r="M386" s="60">
        <f ca="1">$J$386-EFEITO!$K$386*EFEITO!$Y$386</f>
        <v>0</v>
      </c>
      <c r="N386" s="60">
        <f ca="1">$K$386-EFEITO!$M$386*EFEITO!$Z$386</f>
        <v>0</v>
      </c>
      <c r="O386" s="60">
        <f>$L$386-EFEITO!$O$386*EFEITO!$AA$386</f>
        <v>0</v>
      </c>
      <c r="P386" s="18"/>
      <c r="Q386" s="18"/>
      <c r="R386" s="18"/>
      <c r="S386" s="18"/>
      <c r="T386" s="18"/>
      <c r="U386" s="18"/>
      <c r="V386" s="18"/>
      <c r="W386" s="18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1" t="s">
        <v>21</v>
      </c>
      <c r="B387" s="51" t="s">
        <v>41</v>
      </c>
      <c r="C387" s="51" t="s">
        <v>40</v>
      </c>
      <c r="D387" s="51" t="s">
        <v>38</v>
      </c>
      <c r="E387" s="51" t="s">
        <v>25</v>
      </c>
      <c r="F387" s="51" t="s">
        <v>25</v>
      </c>
      <c r="G387" s="51" t="s">
        <v>25</v>
      </c>
      <c r="H387" s="51" t="s">
        <v>34</v>
      </c>
      <c r="I387" s="59">
        <v>44470</v>
      </c>
      <c r="J387" s="60">
        <f ca="1">EFEITO!$J$387*EFEITO!$Y$387</f>
        <v>169844.5906378486</v>
      </c>
      <c r="K387" s="60">
        <f ca="1">EFEITO!$L$387*EFEITO!$Z$387</f>
        <v>3860.9850799472156</v>
      </c>
      <c r="L387" s="60">
        <f>EFEITO!$N$387*EFEITO!$AA$387</f>
        <v>21473.547119597166</v>
      </c>
      <c r="M387" s="60">
        <f ca="1">$J$387-EFEITO!$K$387*EFEITO!$Y$387</f>
        <v>0</v>
      </c>
      <c r="N387" s="60">
        <f ca="1">$K$387-EFEITO!$M$387*EFEITO!$Z$387</f>
        <v>0</v>
      </c>
      <c r="O387" s="60">
        <f>$L$387-EFEITO!$O$387*EFEITO!$AA$387</f>
        <v>0</v>
      </c>
      <c r="P387" s="18"/>
      <c r="Q387" s="18"/>
      <c r="R387" s="18"/>
      <c r="S387" s="18"/>
      <c r="T387" s="18"/>
      <c r="U387" s="18"/>
      <c r="V387" s="18"/>
      <c r="W387" s="18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1" t="s">
        <v>28</v>
      </c>
      <c r="B388" s="51" t="s">
        <v>41</v>
      </c>
      <c r="C388" s="51" t="s">
        <v>40</v>
      </c>
      <c r="D388" s="51" t="s">
        <v>38</v>
      </c>
      <c r="E388" s="51" t="s">
        <v>25</v>
      </c>
      <c r="F388" s="51" t="s">
        <v>25</v>
      </c>
      <c r="G388" s="51" t="s">
        <v>25</v>
      </c>
      <c r="H388" s="51" t="s">
        <v>34</v>
      </c>
      <c r="I388" s="59">
        <v>44470</v>
      </c>
      <c r="J388" s="60">
        <f ca="1">EFEITO!$J$388*EFEITO!$Y$388</f>
        <v>876.99444391315967</v>
      </c>
      <c r="K388" s="60">
        <f ca="1">EFEITO!$L$388*EFEITO!$Z$388</f>
        <v>0</v>
      </c>
      <c r="L388" s="60">
        <f>EFEITO!$N$388*EFEITO!$AA$388</f>
        <v>0</v>
      </c>
      <c r="M388" s="60">
        <f ca="1">$J$388-EFEITO!$K$388*EFEITO!$Y$388</f>
        <v>0</v>
      </c>
      <c r="N388" s="60">
        <f ca="1">$K$388-EFEITO!$M$388*EFEITO!$Z$388</f>
        <v>0</v>
      </c>
      <c r="O388" s="60">
        <f>$L$388-EFEITO!$O$388*EFEITO!$AA$388</f>
        <v>0</v>
      </c>
      <c r="P388" s="18"/>
      <c r="Q388" s="18"/>
      <c r="R388" s="18"/>
      <c r="S388" s="18"/>
      <c r="T388" s="18"/>
      <c r="U388" s="18"/>
      <c r="V388" s="18"/>
      <c r="W388" s="18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1" t="s">
        <v>21</v>
      </c>
      <c r="B389" s="51" t="s">
        <v>41</v>
      </c>
      <c r="C389" s="51" t="s">
        <v>40</v>
      </c>
      <c r="D389" s="51" t="s">
        <v>38</v>
      </c>
      <c r="E389" s="51" t="s">
        <v>25</v>
      </c>
      <c r="F389" s="51" t="s">
        <v>25</v>
      </c>
      <c r="G389" s="51" t="s">
        <v>25</v>
      </c>
      <c r="H389" s="51" t="s">
        <v>34</v>
      </c>
      <c r="I389" s="59">
        <v>44501</v>
      </c>
      <c r="J389" s="60">
        <f ca="1">EFEITO!$J$389*EFEITO!$Y$389</f>
        <v>172256.32535860979</v>
      </c>
      <c r="K389" s="60">
        <f ca="1">EFEITO!$L$389*EFEITO!$Z$389</f>
        <v>3558.3755881358188</v>
      </c>
      <c r="L389" s="60">
        <f>EFEITO!$N$389*EFEITO!$AA$389</f>
        <v>19790.531244970109</v>
      </c>
      <c r="M389" s="60">
        <f ca="1">$J$389-EFEITO!$K$389*EFEITO!$Y$389</f>
        <v>0</v>
      </c>
      <c r="N389" s="60">
        <f ca="1">$K$389-EFEITO!$M$389*EFEITO!$Z$389</f>
        <v>0</v>
      </c>
      <c r="O389" s="60">
        <f>$L$389-EFEITO!$O$389*EFEITO!$AA$389</f>
        <v>0</v>
      </c>
      <c r="P389" s="18"/>
      <c r="Q389" s="18"/>
      <c r="R389" s="18"/>
      <c r="S389" s="18"/>
      <c r="T389" s="18"/>
      <c r="U389" s="18"/>
      <c r="V389" s="18"/>
      <c r="W389" s="18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1" t="s">
        <v>28</v>
      </c>
      <c r="B390" s="51" t="s">
        <v>41</v>
      </c>
      <c r="C390" s="51" t="s">
        <v>40</v>
      </c>
      <c r="D390" s="51" t="s">
        <v>38</v>
      </c>
      <c r="E390" s="51" t="s">
        <v>25</v>
      </c>
      <c r="F390" s="51" t="s">
        <v>25</v>
      </c>
      <c r="G390" s="51" t="s">
        <v>25</v>
      </c>
      <c r="H390" s="51" t="s">
        <v>34</v>
      </c>
      <c r="I390" s="59">
        <v>44501</v>
      </c>
      <c r="J390" s="60">
        <f ca="1">EFEITO!$J$390*EFEITO!$Y$390</f>
        <v>2119.4032394568026</v>
      </c>
      <c r="K390" s="60">
        <f ca="1">EFEITO!$L$390*EFEITO!$Z$390</f>
        <v>95.950936608726451</v>
      </c>
      <c r="L390" s="60">
        <f>EFEITO!$N$390*EFEITO!$AA$390</f>
        <v>533.64799805575433</v>
      </c>
      <c r="M390" s="60">
        <f ca="1">$J$390-EFEITO!$K$390*EFEITO!$Y$390</f>
        <v>0</v>
      </c>
      <c r="N390" s="60">
        <f ca="1">$K$390-EFEITO!$M$390*EFEITO!$Z$390</f>
        <v>0</v>
      </c>
      <c r="O390" s="60">
        <f>$L$390-EFEITO!$O$390*EFEITO!$AA$390</f>
        <v>0</v>
      </c>
      <c r="P390" s="18"/>
      <c r="Q390" s="18"/>
      <c r="R390" s="18"/>
      <c r="S390" s="18"/>
      <c r="T390" s="18"/>
      <c r="U390" s="18"/>
      <c r="V390" s="18"/>
      <c r="W390" s="18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1" t="s">
        <v>21</v>
      </c>
      <c r="B391" s="51" t="s">
        <v>41</v>
      </c>
      <c r="C391" s="51" t="s">
        <v>40</v>
      </c>
      <c r="D391" s="51" t="s">
        <v>38</v>
      </c>
      <c r="E391" s="51" t="s">
        <v>25</v>
      </c>
      <c r="F391" s="51" t="s">
        <v>25</v>
      </c>
      <c r="G391" s="51" t="s">
        <v>25</v>
      </c>
      <c r="H391" s="51" t="s">
        <v>34</v>
      </c>
      <c r="I391" s="59">
        <v>44531</v>
      </c>
      <c r="J391" s="60">
        <f ca="1">EFEITO!$J$391*EFEITO!$Y$391</f>
        <v>117444.17261403729</v>
      </c>
      <c r="K391" s="60">
        <f ca="1">EFEITO!$L$391*EFEITO!$Z$391</f>
        <v>3702.236985639282</v>
      </c>
      <c r="L391" s="60">
        <f>EFEITO!$N$391*EFEITO!$AA$391</f>
        <v>20590.641691919554</v>
      </c>
      <c r="M391" s="60">
        <f ca="1">$J$391-EFEITO!$K$391*EFEITO!$Y$391</f>
        <v>0</v>
      </c>
      <c r="N391" s="60">
        <f ca="1">$K$391-EFEITO!$M$391*EFEITO!$Z$391</f>
        <v>0</v>
      </c>
      <c r="O391" s="60">
        <f>$L$391-EFEITO!$O$391*EFEITO!$AA$391</f>
        <v>0</v>
      </c>
      <c r="P391" s="18"/>
      <c r="Q391" s="18"/>
      <c r="R391" s="18"/>
      <c r="S391" s="18"/>
      <c r="T391" s="18"/>
      <c r="U391" s="18"/>
      <c r="V391" s="18"/>
      <c r="W391" s="18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1" t="s">
        <v>28</v>
      </c>
      <c r="B392" s="51" t="s">
        <v>41</v>
      </c>
      <c r="C392" s="51" t="s">
        <v>40</v>
      </c>
      <c r="D392" s="51" t="s">
        <v>38</v>
      </c>
      <c r="E392" s="51" t="s">
        <v>25</v>
      </c>
      <c r="F392" s="51" t="s">
        <v>25</v>
      </c>
      <c r="G392" s="51" t="s">
        <v>25</v>
      </c>
      <c r="H392" s="51" t="s">
        <v>34</v>
      </c>
      <c r="I392" s="59">
        <v>44531</v>
      </c>
      <c r="J392" s="60">
        <f ca="1">EFEITO!$J$392*EFEITO!$Y$392</f>
        <v>2265.5689801089957</v>
      </c>
      <c r="K392" s="60">
        <f ca="1">EFEITO!$L$392*EFEITO!$Z$392</f>
        <v>58.636683483110609</v>
      </c>
      <c r="L392" s="60">
        <f>EFEITO!$N$392*EFEITO!$AA$392</f>
        <v>326.11822103407212</v>
      </c>
      <c r="M392" s="60">
        <f ca="1">$J$392-EFEITO!$K$392*EFEITO!$Y$392</f>
        <v>0</v>
      </c>
      <c r="N392" s="60">
        <f ca="1">$K$392-EFEITO!$M$392*EFEITO!$Z$392</f>
        <v>0</v>
      </c>
      <c r="O392" s="60">
        <f>$L$392-EFEITO!$O$392*EFEITO!$AA$392</f>
        <v>0</v>
      </c>
      <c r="P392" s="18"/>
      <c r="Q392" s="18"/>
      <c r="R392" s="18"/>
      <c r="S392" s="18"/>
      <c r="T392" s="18"/>
      <c r="U392" s="18"/>
      <c r="V392" s="18"/>
      <c r="W392" s="18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1" t="s">
        <v>21</v>
      </c>
      <c r="B393" s="51" t="s">
        <v>41</v>
      </c>
      <c r="C393" s="51" t="s">
        <v>40</v>
      </c>
      <c r="D393" s="51" t="s">
        <v>38</v>
      </c>
      <c r="E393" s="51" t="s">
        <v>25</v>
      </c>
      <c r="F393" s="51" t="s">
        <v>25</v>
      </c>
      <c r="G393" s="51" t="s">
        <v>25</v>
      </c>
      <c r="H393" s="51" t="s">
        <v>34</v>
      </c>
      <c r="I393" s="59">
        <v>44562</v>
      </c>
      <c r="J393" s="60">
        <f ca="1">EFEITO!$J$393*EFEITO!$Y$393</f>
        <v>110866.7142846886</v>
      </c>
      <c r="K393" s="60">
        <f ca="1">EFEITO!$L$393*EFEITO!$Z$393</f>
        <v>3364.5885000391968</v>
      </c>
      <c r="L393" s="60">
        <f>EFEITO!$N$393*EFEITO!$AA$393</f>
        <v>18712.75029496726</v>
      </c>
      <c r="M393" s="60">
        <f ca="1">$J$393-EFEITO!$K$393*EFEITO!$Y$393</f>
        <v>0</v>
      </c>
      <c r="N393" s="60">
        <f ca="1">$K$393-EFEITO!$M$393*EFEITO!$Z$393</f>
        <v>0</v>
      </c>
      <c r="O393" s="60">
        <f>$L$393-EFEITO!$O$393*EFEITO!$AA$393</f>
        <v>0</v>
      </c>
      <c r="P393" s="18"/>
      <c r="Q393" s="18"/>
      <c r="R393" s="18"/>
      <c r="S393" s="18"/>
      <c r="T393" s="18"/>
      <c r="U393" s="18"/>
      <c r="V393" s="18"/>
      <c r="W393" s="18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1" t="s">
        <v>28</v>
      </c>
      <c r="B394" s="51" t="s">
        <v>41</v>
      </c>
      <c r="C394" s="51" t="s">
        <v>40</v>
      </c>
      <c r="D394" s="51" t="s">
        <v>38</v>
      </c>
      <c r="E394" s="51" t="s">
        <v>25</v>
      </c>
      <c r="F394" s="51" t="s">
        <v>25</v>
      </c>
      <c r="G394" s="51" t="s">
        <v>25</v>
      </c>
      <c r="H394" s="51" t="s">
        <v>34</v>
      </c>
      <c r="I394" s="59">
        <v>44562</v>
      </c>
      <c r="J394" s="60">
        <f ca="1">EFEITO!$J$394*EFEITO!$Y$394</f>
        <v>2119.4032394568026</v>
      </c>
      <c r="K394" s="60">
        <f ca="1">EFEITO!$L$394*EFEITO!$Z$394</f>
        <v>59.221750169749185</v>
      </c>
      <c r="L394" s="60">
        <f>EFEITO!$N$394*EFEITO!$AA$394</f>
        <v>329.37217224172912</v>
      </c>
      <c r="M394" s="60">
        <f ca="1">$J$394-EFEITO!$K$394*EFEITO!$Y$394</f>
        <v>0</v>
      </c>
      <c r="N394" s="60">
        <f ca="1">$K$394-EFEITO!$M$394*EFEITO!$Z$394</f>
        <v>0</v>
      </c>
      <c r="O394" s="60">
        <f>$L$394-EFEITO!$O$394*EFEITO!$AA$394</f>
        <v>0</v>
      </c>
      <c r="P394" s="18"/>
      <c r="Q394" s="18"/>
      <c r="R394" s="18"/>
      <c r="S394" s="18"/>
      <c r="T394" s="18"/>
      <c r="U394" s="18"/>
      <c r="V394" s="18"/>
      <c r="W394" s="18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1" t="s">
        <v>21</v>
      </c>
      <c r="B395" s="51" t="s">
        <v>41</v>
      </c>
      <c r="C395" s="51" t="s">
        <v>40</v>
      </c>
      <c r="D395" s="51" t="s">
        <v>38</v>
      </c>
      <c r="E395" s="51" t="s">
        <v>25</v>
      </c>
      <c r="F395" s="51" t="s">
        <v>25</v>
      </c>
      <c r="G395" s="51" t="s">
        <v>25</v>
      </c>
      <c r="H395" s="51" t="s">
        <v>34</v>
      </c>
      <c r="I395" s="59">
        <v>44593</v>
      </c>
      <c r="J395" s="60">
        <f ca="1">EFEITO!$J$395*EFEITO!$Y$395</f>
        <v>119490.49298316801</v>
      </c>
      <c r="K395" s="60">
        <f ca="1">EFEITO!$L$395*EFEITO!$Z$395</f>
        <v>3602.5156192722179</v>
      </c>
      <c r="L395" s="60">
        <f>EFEITO!$N$395*EFEITO!$AA$395</f>
        <v>20036.023786081125</v>
      </c>
      <c r="M395" s="60">
        <f ca="1">$J$395-EFEITO!$K$395*EFEITO!$Y$395</f>
        <v>0</v>
      </c>
      <c r="N395" s="60">
        <f ca="1">$K$395-EFEITO!$M$395*EFEITO!$Z$395</f>
        <v>0</v>
      </c>
      <c r="O395" s="60">
        <f>$L$395-EFEITO!$O$395*EFEITO!$AA$395</f>
        <v>0</v>
      </c>
      <c r="P395" s="18"/>
      <c r="Q395" s="18"/>
      <c r="R395" s="18"/>
      <c r="S395" s="18"/>
      <c r="T395" s="18"/>
      <c r="U395" s="18"/>
      <c r="V395" s="18"/>
      <c r="W395" s="18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1" t="s">
        <v>28</v>
      </c>
      <c r="B396" s="51" t="s">
        <v>41</v>
      </c>
      <c r="C396" s="51" t="s">
        <v>40</v>
      </c>
      <c r="D396" s="51" t="s">
        <v>38</v>
      </c>
      <c r="E396" s="51" t="s">
        <v>25</v>
      </c>
      <c r="F396" s="51" t="s">
        <v>25</v>
      </c>
      <c r="G396" s="51" t="s">
        <v>25</v>
      </c>
      <c r="H396" s="51" t="s">
        <v>34</v>
      </c>
      <c r="I396" s="59">
        <v>44593</v>
      </c>
      <c r="J396" s="60">
        <f ca="1">EFEITO!$J$396*EFEITO!$Y$396</f>
        <v>2192.4861097828993</v>
      </c>
      <c r="K396" s="60">
        <f ca="1">EFEITO!$L$396*EFEITO!$Z$396</f>
        <v>59.806816856387762</v>
      </c>
      <c r="L396" s="60">
        <f>EFEITO!$N$396*EFEITO!$AA$396</f>
        <v>332.62612344938617</v>
      </c>
      <c r="M396" s="60">
        <f ca="1">$J$396-EFEITO!$K$396*EFEITO!$Y$396</f>
        <v>0</v>
      </c>
      <c r="N396" s="60">
        <f ca="1">$K$396-EFEITO!$M$396*EFEITO!$Z$396</f>
        <v>0</v>
      </c>
      <c r="O396" s="60">
        <f>$L$396-EFEITO!$O$396*EFEITO!$AA$396</f>
        <v>0</v>
      </c>
      <c r="P396" s="18"/>
      <c r="Q396" s="18"/>
      <c r="R396" s="18"/>
      <c r="S396" s="18"/>
      <c r="T396" s="18"/>
      <c r="U396" s="18"/>
      <c r="V396" s="18"/>
      <c r="W396" s="18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1" t="s">
        <v>56</v>
      </c>
      <c r="B397" s="51" t="s">
        <v>41</v>
      </c>
      <c r="C397" s="51" t="s">
        <v>40</v>
      </c>
      <c r="D397" s="51" t="s">
        <v>38</v>
      </c>
      <c r="E397" s="51" t="s">
        <v>25</v>
      </c>
      <c r="F397" s="51" t="s">
        <v>25</v>
      </c>
      <c r="G397" s="51" t="s">
        <v>25</v>
      </c>
      <c r="H397" s="51" t="s">
        <v>34</v>
      </c>
      <c r="I397" s="59">
        <v>44621</v>
      </c>
      <c r="J397" s="60">
        <f ca="1">EFEITO!$J$397*EFEITO!$Y$397</f>
        <v>119490.49298316801</v>
      </c>
      <c r="K397" s="60">
        <f ca="1">EFEITO!$L$397*EFEITO!$Z$397</f>
        <v>3602.5156192722179</v>
      </c>
      <c r="L397" s="60">
        <f>EFEITO!$N$397*EFEITO!$AA$397</f>
        <v>20036.023786081125</v>
      </c>
      <c r="M397" s="60">
        <f ca="1">$J$397-EFEITO!$K$397*EFEITO!$Y$397</f>
        <v>0</v>
      </c>
      <c r="N397" s="60">
        <f ca="1">$K$397-EFEITO!$M$397*EFEITO!$Z$397</f>
        <v>0</v>
      </c>
      <c r="O397" s="60">
        <f>$L$397-EFEITO!$O$397*EFEITO!$AA$397</f>
        <v>0</v>
      </c>
      <c r="P397" s="18"/>
      <c r="Q397" s="18"/>
      <c r="R397" s="18"/>
      <c r="S397" s="18"/>
      <c r="T397" s="18"/>
      <c r="U397" s="18"/>
      <c r="V397" s="18"/>
      <c r="W397" s="18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1" t="s">
        <v>56</v>
      </c>
      <c r="B398" s="51" t="s">
        <v>41</v>
      </c>
      <c r="C398" s="51" t="s">
        <v>40</v>
      </c>
      <c r="D398" s="51" t="s">
        <v>38</v>
      </c>
      <c r="E398" s="51" t="s">
        <v>25</v>
      </c>
      <c r="F398" s="51" t="s">
        <v>25</v>
      </c>
      <c r="G398" s="51" t="s">
        <v>25</v>
      </c>
      <c r="H398" s="51" t="s">
        <v>34</v>
      </c>
      <c r="I398" s="59">
        <v>44621</v>
      </c>
      <c r="J398" s="60">
        <f ca="1">EFEITO!$J$398*EFEITO!$Y$398</f>
        <v>2192.4861097828993</v>
      </c>
      <c r="K398" s="60">
        <f ca="1">EFEITO!$L$398*EFEITO!$Z$398</f>
        <v>59.806816856387762</v>
      </c>
      <c r="L398" s="60">
        <f>EFEITO!$N$398*EFEITO!$AA$398</f>
        <v>332.62612344938617</v>
      </c>
      <c r="M398" s="60">
        <f ca="1">$J$398-EFEITO!$K$398*EFEITO!$Y$398</f>
        <v>0</v>
      </c>
      <c r="N398" s="60">
        <f ca="1">$K$398-EFEITO!$M$398*EFEITO!$Z$398</f>
        <v>0</v>
      </c>
      <c r="O398" s="60">
        <f>$L$398-EFEITO!$O$398*EFEITO!$AA$398</f>
        <v>0</v>
      </c>
      <c r="P398" s="18"/>
      <c r="Q398" s="18"/>
      <c r="R398" s="18"/>
      <c r="S398" s="18"/>
      <c r="T398" s="18"/>
      <c r="U398" s="18"/>
      <c r="V398" s="18"/>
      <c r="W398" s="18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1" t="s">
        <v>21</v>
      </c>
      <c r="B399" s="51" t="s">
        <v>41</v>
      </c>
      <c r="C399" s="51" t="s">
        <v>40</v>
      </c>
      <c r="D399" s="51" t="s">
        <v>46</v>
      </c>
      <c r="E399" s="51" t="s">
        <v>25</v>
      </c>
      <c r="F399" s="51" t="s">
        <v>25</v>
      </c>
      <c r="G399" s="51" t="s">
        <v>25</v>
      </c>
      <c r="H399" s="51" t="s">
        <v>35</v>
      </c>
      <c r="I399" s="59">
        <v>44287</v>
      </c>
      <c r="J399" s="60">
        <f ca="1">EFEITO!$J$399*EFEITO!$Y$399</f>
        <v>98067.101222163619</v>
      </c>
      <c r="K399" s="60">
        <f ca="1">EFEITO!$L$399*EFEITO!$Z$399</f>
        <v>72031.720266291188</v>
      </c>
      <c r="L399" s="60">
        <f>EFEITO!$N$399*EFEITO!$AA$399</f>
        <v>247257.39474083384</v>
      </c>
      <c r="M399" s="60">
        <f ca="1">$J$399-EFEITO!$K$399*EFEITO!$Y$399</f>
        <v>0</v>
      </c>
      <c r="N399" s="60">
        <f ca="1">$K$399-EFEITO!$M$399*EFEITO!$Z$399</f>
        <v>0</v>
      </c>
      <c r="O399" s="60">
        <f>$L$399-EFEITO!$O$399*EFEITO!$AA$399</f>
        <v>0</v>
      </c>
      <c r="P399" s="18"/>
      <c r="Q399" s="18"/>
      <c r="R399" s="18"/>
      <c r="S399" s="18"/>
      <c r="T399" s="18"/>
      <c r="U399" s="18"/>
      <c r="V399" s="18"/>
      <c r="W399" s="18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1" t="s">
        <v>21</v>
      </c>
      <c r="B400" s="51" t="s">
        <v>41</v>
      </c>
      <c r="C400" s="51" t="s">
        <v>40</v>
      </c>
      <c r="D400" s="51" t="s">
        <v>46</v>
      </c>
      <c r="E400" s="51" t="s">
        <v>25</v>
      </c>
      <c r="F400" s="51" t="s">
        <v>25</v>
      </c>
      <c r="G400" s="51" t="s">
        <v>25</v>
      </c>
      <c r="H400" s="51" t="s">
        <v>35</v>
      </c>
      <c r="I400" s="59">
        <v>44317</v>
      </c>
      <c r="J400" s="60">
        <f ca="1">EFEITO!$J$400*EFEITO!$Y$400</f>
        <v>95699.872578612616</v>
      </c>
      <c r="K400" s="60">
        <f ca="1">EFEITO!$L$400*EFEITO!$Z$400</f>
        <v>66205.496185924974</v>
      </c>
      <c r="L400" s="60">
        <f>EFEITO!$N$400*EFEITO!$AA$400</f>
        <v>227258.19186240688</v>
      </c>
      <c r="M400" s="60">
        <f ca="1">$J$400-EFEITO!$K$400*EFEITO!$Y$400</f>
        <v>0</v>
      </c>
      <c r="N400" s="60">
        <f ca="1">$K$400-EFEITO!$M$400*EFEITO!$Z$400</f>
        <v>0</v>
      </c>
      <c r="O400" s="60">
        <f>$L$400-EFEITO!$O$400*EFEITO!$AA$400</f>
        <v>0</v>
      </c>
      <c r="P400" s="18"/>
      <c r="Q400" s="18"/>
      <c r="R400" s="18"/>
      <c r="S400" s="18"/>
      <c r="T400" s="18"/>
      <c r="U400" s="18"/>
      <c r="V400" s="18"/>
      <c r="W400" s="18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1" t="s">
        <v>21</v>
      </c>
      <c r="B401" s="51" t="s">
        <v>41</v>
      </c>
      <c r="C401" s="51" t="s">
        <v>40</v>
      </c>
      <c r="D401" s="51" t="s">
        <v>46</v>
      </c>
      <c r="E401" s="51" t="s">
        <v>25</v>
      </c>
      <c r="F401" s="51" t="s">
        <v>25</v>
      </c>
      <c r="G401" s="51" t="s">
        <v>25</v>
      </c>
      <c r="H401" s="51" t="s">
        <v>35</v>
      </c>
      <c r="I401" s="59">
        <v>44348</v>
      </c>
      <c r="J401" s="60">
        <f ca="1">EFEITO!$J$401*EFEITO!$Y$401</f>
        <v>101391.86055299369</v>
      </c>
      <c r="K401" s="60">
        <f ca="1">EFEITO!$L$401*EFEITO!$Z$401</f>
        <v>61882.37343094292</v>
      </c>
      <c r="L401" s="60">
        <f>EFEITO!$N$401*EFEITO!$AA$401</f>
        <v>212418.56196616092</v>
      </c>
      <c r="M401" s="60">
        <f ca="1">$J$401-EFEITO!$K$401*EFEITO!$Y$401</f>
        <v>0</v>
      </c>
      <c r="N401" s="60">
        <f ca="1">$K$401-EFEITO!$M$401*EFEITO!$Z$401</f>
        <v>0</v>
      </c>
      <c r="O401" s="60">
        <f>$L$401-EFEITO!$O$401*EFEITO!$AA$401</f>
        <v>0</v>
      </c>
      <c r="P401" s="18"/>
      <c r="Q401" s="18"/>
      <c r="R401" s="18"/>
      <c r="S401" s="18"/>
      <c r="T401" s="18"/>
      <c r="U401" s="18"/>
      <c r="V401" s="18"/>
      <c r="W401" s="18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1" t="s">
        <v>21</v>
      </c>
      <c r="B402" s="51" t="s">
        <v>41</v>
      </c>
      <c r="C402" s="51" t="s">
        <v>40</v>
      </c>
      <c r="D402" s="51" t="s">
        <v>46</v>
      </c>
      <c r="E402" s="51" t="s">
        <v>25</v>
      </c>
      <c r="F402" s="51" t="s">
        <v>25</v>
      </c>
      <c r="G402" s="51" t="s">
        <v>25</v>
      </c>
      <c r="H402" s="51" t="s">
        <v>35</v>
      </c>
      <c r="I402" s="59">
        <v>44378</v>
      </c>
      <c r="J402" s="60">
        <f ca="1">EFEITO!$J$402*EFEITO!$Y$402</f>
        <v>94423.164995573869</v>
      </c>
      <c r="K402" s="60">
        <f ca="1">EFEITO!$L$402*EFEITO!$Z$402</f>
        <v>58497.047567232868</v>
      </c>
      <c r="L402" s="60">
        <f>EFEITO!$N$402*EFEITO!$AA$402</f>
        <v>200798.03075692052</v>
      </c>
      <c r="M402" s="60">
        <f ca="1">$J$402-EFEITO!$K$402*EFEITO!$Y$402</f>
        <v>0</v>
      </c>
      <c r="N402" s="60">
        <f ca="1">$K$402-EFEITO!$M$402*EFEITO!$Z$402</f>
        <v>0</v>
      </c>
      <c r="O402" s="60">
        <f>$L$402-EFEITO!$O$402*EFEITO!$AA$402</f>
        <v>0</v>
      </c>
      <c r="P402" s="18"/>
      <c r="Q402" s="18"/>
      <c r="R402" s="18"/>
      <c r="S402" s="18"/>
      <c r="T402" s="18"/>
      <c r="U402" s="18"/>
      <c r="V402" s="18"/>
      <c r="W402" s="18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1" t="s">
        <v>27</v>
      </c>
      <c r="B403" s="51" t="s">
        <v>41</v>
      </c>
      <c r="C403" s="51" t="s">
        <v>40</v>
      </c>
      <c r="D403" s="51" t="s">
        <v>46</v>
      </c>
      <c r="E403" s="51" t="s">
        <v>25</v>
      </c>
      <c r="F403" s="51" t="s">
        <v>25</v>
      </c>
      <c r="G403" s="51" t="s">
        <v>25</v>
      </c>
      <c r="H403" s="51" t="s">
        <v>35</v>
      </c>
      <c r="I403" s="59">
        <v>44378</v>
      </c>
      <c r="J403" s="60">
        <f ca="1">EFEITO!$J$403*EFEITO!$Y$403</f>
        <v>-5851.5764222609159</v>
      </c>
      <c r="K403" s="60">
        <f ca="1">EFEITO!$L$403*EFEITO!$Z$403</f>
        <v>0</v>
      </c>
      <c r="L403" s="60">
        <f>EFEITO!$N$403*EFEITO!$AA$403</f>
        <v>0</v>
      </c>
      <c r="M403" s="60">
        <f ca="1">$J$403-EFEITO!$K$403*EFEITO!$Y$403</f>
        <v>0</v>
      </c>
      <c r="N403" s="60">
        <f ca="1">$K$403-EFEITO!$M$403*EFEITO!$Z$403</f>
        <v>0</v>
      </c>
      <c r="O403" s="60">
        <f>$L$403-EFEITO!$O$403*EFEITO!$AA$403</f>
        <v>0</v>
      </c>
      <c r="P403" s="18"/>
      <c r="Q403" s="18"/>
      <c r="R403" s="18"/>
      <c r="S403" s="18"/>
      <c r="T403" s="18"/>
      <c r="U403" s="18"/>
      <c r="V403" s="18"/>
      <c r="W403" s="18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1" t="s">
        <v>21</v>
      </c>
      <c r="B404" s="51" t="s">
        <v>41</v>
      </c>
      <c r="C404" s="51" t="s">
        <v>40</v>
      </c>
      <c r="D404" s="51" t="s">
        <v>46</v>
      </c>
      <c r="E404" s="51" t="s">
        <v>25</v>
      </c>
      <c r="F404" s="51" t="s">
        <v>25</v>
      </c>
      <c r="G404" s="51" t="s">
        <v>25</v>
      </c>
      <c r="H404" s="51" t="s">
        <v>35</v>
      </c>
      <c r="I404" s="59">
        <v>44409</v>
      </c>
      <c r="J404" s="60">
        <f ca="1">EFEITO!$J$404*EFEITO!$Y$404</f>
        <v>94290.174622340666</v>
      </c>
      <c r="K404" s="60">
        <f ca="1">EFEITO!$L$404*EFEITO!$Z$404</f>
        <v>59838.345450056615</v>
      </c>
      <c r="L404" s="60">
        <f>EFEITO!$N$404*EFEITO!$AA$404</f>
        <v>205402.19429559971</v>
      </c>
      <c r="M404" s="60">
        <f ca="1">$J$404-EFEITO!$K$404*EFEITO!$Y$404</f>
        <v>0</v>
      </c>
      <c r="N404" s="60">
        <f ca="1">$K$404-EFEITO!$M$404*EFEITO!$Z$404</f>
        <v>0</v>
      </c>
      <c r="O404" s="60">
        <f>$L$404-EFEITO!$O$404*EFEITO!$AA$404</f>
        <v>0</v>
      </c>
      <c r="P404" s="18"/>
      <c r="Q404" s="18"/>
      <c r="R404" s="18"/>
      <c r="S404" s="18"/>
      <c r="T404" s="18"/>
      <c r="U404" s="18"/>
      <c r="V404" s="18"/>
      <c r="W404" s="18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1" t="s">
        <v>21</v>
      </c>
      <c r="B405" s="51" t="s">
        <v>41</v>
      </c>
      <c r="C405" s="51" t="s">
        <v>40</v>
      </c>
      <c r="D405" s="51" t="s">
        <v>46</v>
      </c>
      <c r="E405" s="51" t="s">
        <v>25</v>
      </c>
      <c r="F405" s="51" t="s">
        <v>25</v>
      </c>
      <c r="G405" s="51" t="s">
        <v>25</v>
      </c>
      <c r="H405" s="51" t="s">
        <v>35</v>
      </c>
      <c r="I405" s="59">
        <v>44440</v>
      </c>
      <c r="J405" s="60">
        <f ca="1">EFEITO!$J$405*EFEITO!$Y$405</f>
        <v>102934.54888249884</v>
      </c>
      <c r="K405" s="60">
        <f ca="1">EFEITO!$L$405*EFEITO!$Z$405</f>
        <v>66281.294825549499</v>
      </c>
      <c r="L405" s="60">
        <f>EFEITO!$N$405*EFEITO!$AA$405</f>
        <v>227518.37965313531</v>
      </c>
      <c r="M405" s="60">
        <f ca="1">$J$405-EFEITO!$K$405*EFEITO!$Y$405</f>
        <v>0</v>
      </c>
      <c r="N405" s="60">
        <f ca="1">$K$405-EFEITO!$M$405*EFEITO!$Z$405</f>
        <v>0</v>
      </c>
      <c r="O405" s="60">
        <f>$L$405-EFEITO!$O$405*EFEITO!$AA$405</f>
        <v>0</v>
      </c>
      <c r="P405" s="18"/>
      <c r="Q405" s="18"/>
      <c r="R405" s="18"/>
      <c r="S405" s="18"/>
      <c r="T405" s="18"/>
      <c r="U405" s="18"/>
      <c r="V405" s="18"/>
      <c r="W405" s="18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1" t="s">
        <v>21</v>
      </c>
      <c r="B406" s="51" t="s">
        <v>41</v>
      </c>
      <c r="C406" s="51" t="s">
        <v>40</v>
      </c>
      <c r="D406" s="51" t="s">
        <v>46</v>
      </c>
      <c r="E406" s="51" t="s">
        <v>25</v>
      </c>
      <c r="F406" s="51" t="s">
        <v>25</v>
      </c>
      <c r="G406" s="51" t="s">
        <v>25</v>
      </c>
      <c r="H406" s="51" t="s">
        <v>35</v>
      </c>
      <c r="I406" s="59">
        <v>44470</v>
      </c>
      <c r="J406" s="60">
        <f ca="1">EFEITO!$J$406*EFEITO!$Y$406</f>
        <v>107934.98691606725</v>
      </c>
      <c r="K406" s="60">
        <f ca="1">EFEITO!$L$406*EFEITO!$Z$406</f>
        <v>76685.47070663367</v>
      </c>
      <c r="L406" s="60">
        <f>EFEITO!$N$406*EFEITO!$AA$406</f>
        <v>263231.94325084041</v>
      </c>
      <c r="M406" s="60">
        <f ca="1">$J$406-EFEITO!$K$406*EFEITO!$Y$406</f>
        <v>0</v>
      </c>
      <c r="N406" s="60">
        <f ca="1">$K$406-EFEITO!$M$406*EFEITO!$Z$406</f>
        <v>0</v>
      </c>
      <c r="O406" s="60">
        <f>$L$406-EFEITO!$O$406*EFEITO!$AA$406</f>
        <v>0</v>
      </c>
      <c r="P406" s="18"/>
      <c r="Q406" s="18"/>
      <c r="R406" s="18"/>
      <c r="S406" s="18"/>
      <c r="T406" s="18"/>
      <c r="U406" s="18"/>
      <c r="V406" s="18"/>
      <c r="W406" s="18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1" t="s">
        <v>21</v>
      </c>
      <c r="B407" s="51" t="s">
        <v>41</v>
      </c>
      <c r="C407" s="51" t="s">
        <v>40</v>
      </c>
      <c r="D407" s="51" t="s">
        <v>46</v>
      </c>
      <c r="E407" s="51" t="s">
        <v>25</v>
      </c>
      <c r="F407" s="51" t="s">
        <v>25</v>
      </c>
      <c r="G407" s="51" t="s">
        <v>25</v>
      </c>
      <c r="H407" s="51" t="s">
        <v>35</v>
      </c>
      <c r="I407" s="59">
        <v>44501</v>
      </c>
      <c r="J407" s="60">
        <f ca="1">EFEITO!$J$407*EFEITO!$Y$407</f>
        <v>109584.06754415897</v>
      </c>
      <c r="K407" s="60">
        <f ca="1">EFEITO!$L$407*EFEITO!$Z$407</f>
        <v>77028.254777594237</v>
      </c>
      <c r="L407" s="60">
        <f>EFEITO!$N$407*EFEITO!$AA$407</f>
        <v>264408.59009518952</v>
      </c>
      <c r="M407" s="60">
        <f ca="1">$J$407-EFEITO!$K$407*EFEITO!$Y$407</f>
        <v>0</v>
      </c>
      <c r="N407" s="60">
        <f ca="1">$K$407-EFEITO!$M$407*EFEITO!$Z$407</f>
        <v>0</v>
      </c>
      <c r="O407" s="60">
        <f>$L$407-EFEITO!$O$407*EFEITO!$AA$407</f>
        <v>0</v>
      </c>
      <c r="P407" s="18"/>
      <c r="Q407" s="18"/>
      <c r="R407" s="18"/>
      <c r="S407" s="18"/>
      <c r="T407" s="18"/>
      <c r="U407" s="18"/>
      <c r="V407" s="18"/>
      <c r="W407" s="18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1" t="s">
        <v>21</v>
      </c>
      <c r="B408" s="51" t="s">
        <v>41</v>
      </c>
      <c r="C408" s="51" t="s">
        <v>40</v>
      </c>
      <c r="D408" s="51" t="s">
        <v>46</v>
      </c>
      <c r="E408" s="51" t="s">
        <v>25</v>
      </c>
      <c r="F408" s="51" t="s">
        <v>25</v>
      </c>
      <c r="G408" s="51" t="s">
        <v>25</v>
      </c>
      <c r="H408" s="51" t="s">
        <v>35</v>
      </c>
      <c r="I408" s="59">
        <v>44531</v>
      </c>
      <c r="J408" s="60">
        <f ca="1">EFEITO!$J$408*EFEITO!$Y$408</f>
        <v>110009.63673850521</v>
      </c>
      <c r="K408" s="60">
        <f ca="1">EFEITO!$L$408*EFEITO!$Z$408</f>
        <v>78847.422128582446</v>
      </c>
      <c r="L408" s="60">
        <f>EFEITO!$N$408*EFEITO!$AA$408</f>
        <v>270653.09707267204</v>
      </c>
      <c r="M408" s="60">
        <f ca="1">$J$408-EFEITO!$K$408*EFEITO!$Y$408</f>
        <v>0</v>
      </c>
      <c r="N408" s="60">
        <f ca="1">$K$408-EFEITO!$M$408*EFEITO!$Z$408</f>
        <v>0</v>
      </c>
      <c r="O408" s="60">
        <f>$L$408-EFEITO!$O$408*EFEITO!$AA$408</f>
        <v>0</v>
      </c>
      <c r="P408" s="18"/>
      <c r="Q408" s="18"/>
      <c r="R408" s="18"/>
      <c r="S408" s="18"/>
      <c r="T408" s="18"/>
      <c r="U408" s="18"/>
      <c r="V408" s="18"/>
      <c r="W408" s="18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1" t="s">
        <v>21</v>
      </c>
      <c r="B409" s="51" t="s">
        <v>41</v>
      </c>
      <c r="C409" s="51" t="s">
        <v>40</v>
      </c>
      <c r="D409" s="51" t="s">
        <v>46</v>
      </c>
      <c r="E409" s="51" t="s">
        <v>25</v>
      </c>
      <c r="F409" s="51" t="s">
        <v>25</v>
      </c>
      <c r="G409" s="51" t="s">
        <v>25</v>
      </c>
      <c r="H409" s="51" t="s">
        <v>35</v>
      </c>
      <c r="I409" s="59">
        <v>44562</v>
      </c>
      <c r="J409" s="60">
        <f ca="1">EFEITO!$J$409*EFEITO!$Y$409</f>
        <v>193261.61038249006</v>
      </c>
      <c r="K409" s="60">
        <f ca="1">EFEITO!$L$409*EFEITO!$Z$409</f>
        <v>124228.05467029396</v>
      </c>
      <c r="L409" s="60">
        <f>EFEITO!$N$409*EFEITO!$AA$409</f>
        <v>426427.48275266623</v>
      </c>
      <c r="M409" s="60">
        <f ca="1">$J$409-EFEITO!$K$409*EFEITO!$Y$409</f>
        <v>0</v>
      </c>
      <c r="N409" s="60">
        <f ca="1">$K$409-EFEITO!$M$409*EFEITO!$Z$409</f>
        <v>0</v>
      </c>
      <c r="O409" s="60">
        <f>$L$409-EFEITO!$O$409*EFEITO!$AA$409</f>
        <v>0</v>
      </c>
      <c r="P409" s="18"/>
      <c r="Q409" s="18"/>
      <c r="R409" s="18"/>
      <c r="S409" s="18"/>
      <c r="T409" s="18"/>
      <c r="U409" s="18"/>
      <c r="V409" s="18"/>
      <c r="W409" s="18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1" t="s">
        <v>21</v>
      </c>
      <c r="B410" s="51" t="s">
        <v>41</v>
      </c>
      <c r="C410" s="51" t="s">
        <v>40</v>
      </c>
      <c r="D410" s="51" t="s">
        <v>46</v>
      </c>
      <c r="E410" s="51" t="s">
        <v>25</v>
      </c>
      <c r="F410" s="51" t="s">
        <v>25</v>
      </c>
      <c r="G410" s="51" t="s">
        <v>25</v>
      </c>
      <c r="H410" s="51" t="s">
        <v>35</v>
      </c>
      <c r="I410" s="59">
        <v>44593</v>
      </c>
      <c r="J410" s="60">
        <f ca="1">EFEITO!$J$410*EFEITO!$Y$410</f>
        <v>180334.94610422276</v>
      </c>
      <c r="K410" s="60">
        <f ca="1">EFEITO!$L$410*EFEITO!$Z$410</f>
        <v>117690.84455084265</v>
      </c>
      <c r="L410" s="60">
        <f>EFEITO!$N$410*EFEITO!$AA$410</f>
        <v>403987.736248856</v>
      </c>
      <c r="M410" s="60">
        <f ca="1">$J$410-EFEITO!$K$410*EFEITO!$Y$410</f>
        <v>0</v>
      </c>
      <c r="N410" s="60">
        <f ca="1">$K$410-EFEITO!$M$410*EFEITO!$Z$410</f>
        <v>0</v>
      </c>
      <c r="O410" s="60">
        <f>$L$410-EFEITO!$O$410*EFEITO!$AA$410</f>
        <v>0</v>
      </c>
      <c r="P410" s="18"/>
      <c r="Q410" s="18"/>
      <c r="R410" s="18"/>
      <c r="S410" s="18"/>
      <c r="T410" s="18"/>
      <c r="U410" s="18"/>
      <c r="V410" s="18"/>
      <c r="W410" s="18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1" t="s">
        <v>27</v>
      </c>
      <c r="B411" s="51" t="s">
        <v>41</v>
      </c>
      <c r="C411" s="51" t="s">
        <v>40</v>
      </c>
      <c r="D411" s="51" t="s">
        <v>46</v>
      </c>
      <c r="E411" s="51" t="s">
        <v>25</v>
      </c>
      <c r="F411" s="51" t="s">
        <v>25</v>
      </c>
      <c r="G411" s="51" t="s">
        <v>25</v>
      </c>
      <c r="H411" s="51" t="s">
        <v>35</v>
      </c>
      <c r="I411" s="59">
        <v>44593</v>
      </c>
      <c r="J411" s="60">
        <f ca="1">EFEITO!$J$411*EFEITO!$Y$411</f>
        <v>-8564.580036218249</v>
      </c>
      <c r="K411" s="60">
        <f ca="1">EFEITO!$L$411*EFEITO!$Z$411</f>
        <v>-6200.7317672245072</v>
      </c>
      <c r="L411" s="60">
        <f>EFEITO!$N$411*EFEITO!$AA$411</f>
        <v>-21284.744784418843</v>
      </c>
      <c r="M411" s="60">
        <f ca="1">$J$411-EFEITO!$K$411*EFEITO!$Y$411</f>
        <v>0</v>
      </c>
      <c r="N411" s="60">
        <f ca="1">$K$411-EFEITO!$M$411*EFEITO!$Z$411</f>
        <v>0</v>
      </c>
      <c r="O411" s="60">
        <f>$L$411-EFEITO!$O$411*EFEITO!$AA$411</f>
        <v>0</v>
      </c>
      <c r="P411" s="18"/>
      <c r="Q411" s="18"/>
      <c r="R411" s="18"/>
      <c r="S411" s="18"/>
      <c r="T411" s="18"/>
      <c r="U411" s="18"/>
      <c r="V411" s="18"/>
      <c r="W411" s="18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1" t="s">
        <v>56</v>
      </c>
      <c r="B412" s="51" t="s">
        <v>41</v>
      </c>
      <c r="C412" s="51" t="s">
        <v>40</v>
      </c>
      <c r="D412" s="51" t="s">
        <v>46</v>
      </c>
      <c r="E412" s="51" t="s">
        <v>25</v>
      </c>
      <c r="F412" s="51" t="s">
        <v>25</v>
      </c>
      <c r="G412" s="51" t="s">
        <v>25</v>
      </c>
      <c r="H412" s="51" t="s">
        <v>35</v>
      </c>
      <c r="I412" s="59">
        <v>44621</v>
      </c>
      <c r="J412" s="60">
        <f ca="1">EFEITO!$J$412*EFEITO!$Y$412</f>
        <v>180334.94610422276</v>
      </c>
      <c r="K412" s="60">
        <f ca="1">EFEITO!$L$412*EFEITO!$Z$412</f>
        <v>117690.84455084265</v>
      </c>
      <c r="L412" s="60">
        <f>EFEITO!$N$412*EFEITO!$AA$412</f>
        <v>403987.736248856</v>
      </c>
      <c r="M412" s="60">
        <f ca="1">$J$412-EFEITO!$K$412*EFEITO!$Y$412</f>
        <v>0</v>
      </c>
      <c r="N412" s="60">
        <f ca="1">$K$412-EFEITO!$M$412*EFEITO!$Z$412</f>
        <v>0</v>
      </c>
      <c r="O412" s="60">
        <f>$L$412-EFEITO!$O$412*EFEITO!$AA$412</f>
        <v>0</v>
      </c>
      <c r="P412" s="18"/>
      <c r="Q412" s="18"/>
      <c r="R412" s="18"/>
      <c r="S412" s="18"/>
      <c r="T412" s="18"/>
      <c r="U412" s="18"/>
      <c r="V412" s="18"/>
      <c r="W412" s="18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1" t="s">
        <v>56</v>
      </c>
      <c r="B413" s="51" t="s">
        <v>41</v>
      </c>
      <c r="C413" s="51" t="s">
        <v>40</v>
      </c>
      <c r="D413" s="51" t="s">
        <v>46</v>
      </c>
      <c r="E413" s="51" t="s">
        <v>25</v>
      </c>
      <c r="F413" s="51" t="s">
        <v>25</v>
      </c>
      <c r="G413" s="51" t="s">
        <v>25</v>
      </c>
      <c r="H413" s="51" t="s">
        <v>35</v>
      </c>
      <c r="I413" s="59">
        <v>44621</v>
      </c>
      <c r="J413" s="60">
        <f ca="1">EFEITO!$J$413*EFEITO!$Y$413</f>
        <v>-8564.580036218249</v>
      </c>
      <c r="K413" s="60">
        <f ca="1">EFEITO!$L$413*EFEITO!$Z$413</f>
        <v>-6200.7317672245072</v>
      </c>
      <c r="L413" s="60">
        <f>EFEITO!$N$413*EFEITO!$AA$413</f>
        <v>-21284.744784418843</v>
      </c>
      <c r="M413" s="60">
        <f ca="1">$J$413-EFEITO!$K$413*EFEITO!$Y$413</f>
        <v>0</v>
      </c>
      <c r="N413" s="60">
        <f ca="1">$K$413-EFEITO!$M$413*EFEITO!$Z$413</f>
        <v>0</v>
      </c>
      <c r="O413" s="60">
        <f>$L$413-EFEITO!$O$413*EFEITO!$AA$413</f>
        <v>0</v>
      </c>
      <c r="P413" s="18"/>
      <c r="Q413" s="18"/>
      <c r="R413" s="18"/>
      <c r="S413" s="18"/>
      <c r="T413" s="18"/>
      <c r="U413" s="18"/>
      <c r="V413" s="18"/>
      <c r="W413" s="18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1" t="s">
        <v>21</v>
      </c>
      <c r="B414" s="51" t="s">
        <v>41</v>
      </c>
      <c r="C414" s="51" t="s">
        <v>40</v>
      </c>
      <c r="D414" s="51" t="s">
        <v>46</v>
      </c>
      <c r="E414" s="51" t="s">
        <v>25</v>
      </c>
      <c r="F414" s="51" t="s">
        <v>25</v>
      </c>
      <c r="G414" s="51" t="s">
        <v>25</v>
      </c>
      <c r="H414" s="51" t="s">
        <v>34</v>
      </c>
      <c r="I414" s="59">
        <v>44287</v>
      </c>
      <c r="J414" s="60">
        <f ca="1">EFEITO!$J$414*EFEITO!$Y$414</f>
        <v>201562.55635937452</v>
      </c>
      <c r="K414" s="60">
        <f ca="1">EFEITO!$L$414*EFEITO!$Z$414</f>
        <v>6782.158038923998</v>
      </c>
      <c r="L414" s="60">
        <f>EFEITO!$N$414*EFEITO!$AA$414</f>
        <v>37720.163949294576</v>
      </c>
      <c r="M414" s="60">
        <f ca="1">$J$414-EFEITO!$K$414*EFEITO!$Y$414</f>
        <v>0</v>
      </c>
      <c r="N414" s="60">
        <f ca="1">$K$414-EFEITO!$M$414*EFEITO!$Z$414</f>
        <v>0</v>
      </c>
      <c r="O414" s="60">
        <f>$L$414-EFEITO!$O$414*EFEITO!$AA$414</f>
        <v>0</v>
      </c>
      <c r="P414" s="18"/>
      <c r="Q414" s="18"/>
      <c r="R414" s="18"/>
      <c r="S414" s="18"/>
      <c r="T414" s="18"/>
      <c r="U414" s="18"/>
      <c r="V414" s="18"/>
      <c r="W414" s="18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1" t="s">
        <v>21</v>
      </c>
      <c r="B415" s="51" t="s">
        <v>41</v>
      </c>
      <c r="C415" s="51" t="s">
        <v>40</v>
      </c>
      <c r="D415" s="51" t="s">
        <v>46</v>
      </c>
      <c r="E415" s="51" t="s">
        <v>25</v>
      </c>
      <c r="F415" s="51" t="s">
        <v>25</v>
      </c>
      <c r="G415" s="51" t="s">
        <v>25</v>
      </c>
      <c r="H415" s="51" t="s">
        <v>34</v>
      </c>
      <c r="I415" s="59">
        <v>44317</v>
      </c>
      <c r="J415" s="60">
        <f ca="1">EFEITO!$J$415*EFEITO!$Y$415</f>
        <v>196592.92117719995</v>
      </c>
      <c r="K415" s="60">
        <f ca="1">EFEITO!$L$415*EFEITO!$Z$415</f>
        <v>6373.9765138791518</v>
      </c>
      <c r="L415" s="60">
        <f>EFEITO!$N$415*EFEITO!$AA$415</f>
        <v>35449.99065675251</v>
      </c>
      <c r="M415" s="60">
        <f ca="1">$J$415-EFEITO!$K$415*EFEITO!$Y$415</f>
        <v>0</v>
      </c>
      <c r="N415" s="60">
        <f ca="1">$K$415-EFEITO!$M$415*EFEITO!$Z$415</f>
        <v>0</v>
      </c>
      <c r="O415" s="60">
        <f>$L$415-EFEITO!$O$415*EFEITO!$AA$415</f>
        <v>0</v>
      </c>
      <c r="P415" s="18"/>
      <c r="Q415" s="18"/>
      <c r="R415" s="18"/>
      <c r="S415" s="18"/>
      <c r="T415" s="18"/>
      <c r="U415" s="18"/>
      <c r="V415" s="18"/>
      <c r="W415" s="18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1" t="s">
        <v>21</v>
      </c>
      <c r="B416" s="51" t="s">
        <v>41</v>
      </c>
      <c r="C416" s="51" t="s">
        <v>40</v>
      </c>
      <c r="D416" s="51" t="s">
        <v>46</v>
      </c>
      <c r="E416" s="51" t="s">
        <v>25</v>
      </c>
      <c r="F416" s="51" t="s">
        <v>25</v>
      </c>
      <c r="G416" s="51" t="s">
        <v>25</v>
      </c>
      <c r="H416" s="51" t="s">
        <v>34</v>
      </c>
      <c r="I416" s="59">
        <v>44348</v>
      </c>
      <c r="J416" s="60">
        <f ca="1">EFEITO!$J$416*EFEITO!$Y$416</f>
        <v>205801.36283828813</v>
      </c>
      <c r="K416" s="60">
        <f ca="1">EFEITO!$L$416*EFEITO!$Z$416</f>
        <v>5994.853300937355</v>
      </c>
      <c r="L416" s="60">
        <f>EFEITO!$N$416*EFEITO!$AA$416</f>
        <v>33341.430274190752</v>
      </c>
      <c r="M416" s="60">
        <f ca="1">$J$416-EFEITO!$K$416*EFEITO!$Y$416</f>
        <v>0</v>
      </c>
      <c r="N416" s="60">
        <f ca="1">$K$416-EFEITO!$M$416*EFEITO!$Z$416</f>
        <v>0</v>
      </c>
      <c r="O416" s="60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1" t="s">
        <v>21</v>
      </c>
      <c r="B417" s="51" t="s">
        <v>41</v>
      </c>
      <c r="C417" s="51" t="s">
        <v>40</v>
      </c>
      <c r="D417" s="51" t="s">
        <v>46</v>
      </c>
      <c r="E417" s="51" t="s">
        <v>25</v>
      </c>
      <c r="F417" s="51" t="s">
        <v>25</v>
      </c>
      <c r="G417" s="51" t="s">
        <v>25</v>
      </c>
      <c r="H417" s="51" t="s">
        <v>34</v>
      </c>
      <c r="I417" s="59">
        <v>44378</v>
      </c>
      <c r="J417" s="60">
        <f ca="1">EFEITO!$J$417*EFEITO!$Y$417</f>
        <v>190965.54016209053</v>
      </c>
      <c r="K417" s="60">
        <f ca="1">EFEITO!$L$417*EFEITO!$Z$417</f>
        <v>5848.6516366873366</v>
      </c>
      <c r="L417" s="60">
        <f>EFEITO!$N$417*EFEITO!$AA$417</f>
        <v>32528.304022410677</v>
      </c>
      <c r="M417" s="60">
        <f ca="1">$J$417-EFEITO!$K$417*EFEITO!$Y$417</f>
        <v>0</v>
      </c>
      <c r="N417" s="60">
        <f ca="1">$K$417-EFEITO!$M$417*EFEITO!$Z$417</f>
        <v>0</v>
      </c>
      <c r="O417" s="60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1" t="s">
        <v>27</v>
      </c>
      <c r="B418" s="51" t="s">
        <v>41</v>
      </c>
      <c r="C418" s="51" t="s">
        <v>40</v>
      </c>
      <c r="D418" s="51" t="s">
        <v>46</v>
      </c>
      <c r="E418" s="51" t="s">
        <v>25</v>
      </c>
      <c r="F418" s="51" t="s">
        <v>25</v>
      </c>
      <c r="G418" s="51" t="s">
        <v>25</v>
      </c>
      <c r="H418" s="51" t="s">
        <v>34</v>
      </c>
      <c r="I418" s="59">
        <v>44378</v>
      </c>
      <c r="J418" s="60">
        <f ca="1">EFEITO!$J$418*EFEITO!$Y$418</f>
        <v>-10962.430548914495</v>
      </c>
      <c r="K418" s="60">
        <f ca="1">EFEITO!$L$418*EFEITO!$Z$418</f>
        <v>0</v>
      </c>
      <c r="L418" s="60">
        <f>EFEITO!$N$418*EFEITO!$AA$418</f>
        <v>0</v>
      </c>
      <c r="M418" s="60">
        <f ca="1">$J$418-EFEITO!$K$418*EFEITO!$Y$418</f>
        <v>0</v>
      </c>
      <c r="N418" s="60">
        <f ca="1">$K$418-EFEITO!$M$418*EFEITO!$Z$418</f>
        <v>0</v>
      </c>
      <c r="O418" s="60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1" t="s">
        <v>21</v>
      </c>
      <c r="B419" s="51" t="s">
        <v>41</v>
      </c>
      <c r="C419" s="51" t="s">
        <v>40</v>
      </c>
      <c r="D419" s="51" t="s">
        <v>46</v>
      </c>
      <c r="E419" s="51" t="s">
        <v>25</v>
      </c>
      <c r="F419" s="51" t="s">
        <v>25</v>
      </c>
      <c r="G419" s="51" t="s">
        <v>25</v>
      </c>
      <c r="H419" s="51" t="s">
        <v>34</v>
      </c>
      <c r="I419" s="59">
        <v>44409</v>
      </c>
      <c r="J419" s="60">
        <f ca="1">EFEITO!$J$419*EFEITO!$Y$419</f>
        <v>189211.5512742642</v>
      </c>
      <c r="K419" s="60">
        <f ca="1">EFEITO!$L$419*EFEITO!$Z$419</f>
        <v>5977.691344795956</v>
      </c>
      <c r="L419" s="60">
        <f>EFEITO!$N$419*EFEITO!$AA$419</f>
        <v>33245.981038766142</v>
      </c>
      <c r="M419" s="60">
        <f ca="1">$J$419-EFEITO!$K$419*EFEITO!$Y$419</f>
        <v>0</v>
      </c>
      <c r="N419" s="60">
        <f ca="1">$K$419-EFEITO!$M$419*EFEITO!$Z$419</f>
        <v>0</v>
      </c>
      <c r="O419" s="60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1" t="s">
        <v>21</v>
      </c>
      <c r="B420" s="51" t="s">
        <v>41</v>
      </c>
      <c r="C420" s="51" t="s">
        <v>40</v>
      </c>
      <c r="D420" s="51" t="s">
        <v>46</v>
      </c>
      <c r="E420" s="51" t="s">
        <v>25</v>
      </c>
      <c r="F420" s="51" t="s">
        <v>25</v>
      </c>
      <c r="G420" s="51" t="s">
        <v>25</v>
      </c>
      <c r="H420" s="51" t="s">
        <v>34</v>
      </c>
      <c r="I420" s="59">
        <v>44440</v>
      </c>
      <c r="J420" s="60">
        <f ca="1">EFEITO!$J$420*EFEITO!$Y$420</f>
        <v>209747.83783589734</v>
      </c>
      <c r="K420" s="60">
        <f ca="1">EFEITO!$L$420*EFEITO!$Z$420</f>
        <v>6458.6811686224919</v>
      </c>
      <c r="L420" s="60">
        <f>EFEITO!$N$420*EFEITO!$AA$420</f>
        <v>35921.090481594416</v>
      </c>
      <c r="M420" s="60">
        <f ca="1">$J$420-EFEITO!$K$420*EFEITO!$Y$420</f>
        <v>0</v>
      </c>
      <c r="N420" s="60">
        <f ca="1">$K$420-EFEITO!$M$420*EFEITO!$Z$420</f>
        <v>0</v>
      </c>
      <c r="O420" s="60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1" t="s">
        <v>21</v>
      </c>
      <c r="B421" s="51" t="s">
        <v>41</v>
      </c>
      <c r="C421" s="51" t="s">
        <v>40</v>
      </c>
      <c r="D421" s="51" t="s">
        <v>46</v>
      </c>
      <c r="E421" s="51" t="s">
        <v>25</v>
      </c>
      <c r="F421" s="51" t="s">
        <v>25</v>
      </c>
      <c r="G421" s="51" t="s">
        <v>25</v>
      </c>
      <c r="H421" s="51" t="s">
        <v>34</v>
      </c>
      <c r="I421" s="59">
        <v>44470</v>
      </c>
      <c r="J421" s="60">
        <f ca="1">EFEITO!$J$421*EFEITO!$Y$421</f>
        <v>211574.90959404976</v>
      </c>
      <c r="K421" s="60">
        <f ca="1">EFEITO!$L$421*EFEITO!$Z$421</f>
        <v>6940.1260443164138</v>
      </c>
      <c r="L421" s="60">
        <f>EFEITO!$N$421*EFEITO!$AA$421</f>
        <v>38598.730775361975</v>
      </c>
      <c r="M421" s="60">
        <f ca="1">$J$421-EFEITO!$K$421*EFEITO!$Y$421</f>
        <v>0</v>
      </c>
      <c r="N421" s="60">
        <f ca="1">$K$421-EFEITO!$M$421*EFEITO!$Z$421</f>
        <v>0</v>
      </c>
      <c r="O421" s="60">
        <f>$L$421-EFEITO!$O$421*EFEITO!$AA$421</f>
        <v>0</v>
      </c>
      <c r="P421" s="18"/>
      <c r="Q421" s="18"/>
      <c r="R421" s="18"/>
      <c r="S421" s="18"/>
      <c r="T421" s="18"/>
      <c r="U421" s="18"/>
      <c r="V421" s="18"/>
      <c r="W421" s="18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1" t="s">
        <v>21</v>
      </c>
      <c r="B422" s="51" t="s">
        <v>41</v>
      </c>
      <c r="C422" s="51" t="s">
        <v>40</v>
      </c>
      <c r="D422" s="51" t="s">
        <v>46</v>
      </c>
      <c r="E422" s="51" t="s">
        <v>25</v>
      </c>
      <c r="F422" s="51" t="s">
        <v>25</v>
      </c>
      <c r="G422" s="51" t="s">
        <v>25</v>
      </c>
      <c r="H422" s="51" t="s">
        <v>34</v>
      </c>
      <c r="I422" s="59">
        <v>44501</v>
      </c>
      <c r="J422" s="60">
        <f ca="1">EFEITO!$J$422*EFEITO!$Y$422</f>
        <v>216909.95912785482</v>
      </c>
      <c r="K422" s="60">
        <f ca="1">EFEITO!$L$422*EFEITO!$Z$422</f>
        <v>7338.1014060498983</v>
      </c>
      <c r="L422" s="60">
        <f>EFEITO!$N$422*EFEITO!$AA$422</f>
        <v>40812.14069683713</v>
      </c>
      <c r="M422" s="60">
        <f ca="1">$J$422-EFEITO!$K$422*EFEITO!$Y$422</f>
        <v>0</v>
      </c>
      <c r="N422" s="60">
        <f ca="1">$K$422-EFEITO!$M$422*EFEITO!$Z$422</f>
        <v>0</v>
      </c>
      <c r="O422" s="60">
        <f>$L$422-EFEITO!$O$422*EFEITO!$AA$422</f>
        <v>0</v>
      </c>
      <c r="P422" s="18"/>
      <c r="Q422" s="18"/>
      <c r="R422" s="18"/>
      <c r="S422" s="18"/>
      <c r="T422" s="18"/>
      <c r="U422" s="18"/>
      <c r="V422" s="18"/>
      <c r="W422" s="18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1" t="s">
        <v>21</v>
      </c>
      <c r="B423" s="51" t="s">
        <v>41</v>
      </c>
      <c r="C423" s="51" t="s">
        <v>40</v>
      </c>
      <c r="D423" s="51" t="s">
        <v>46</v>
      </c>
      <c r="E423" s="51" t="s">
        <v>25</v>
      </c>
      <c r="F423" s="51" t="s">
        <v>25</v>
      </c>
      <c r="G423" s="51" t="s">
        <v>25</v>
      </c>
      <c r="H423" s="51" t="s">
        <v>34</v>
      </c>
      <c r="I423" s="59">
        <v>44531</v>
      </c>
      <c r="J423" s="60">
        <f ca="1">EFEITO!$J$423*EFEITO!$Y$423</f>
        <v>215521.38459165898</v>
      </c>
      <c r="K423" s="60">
        <f ca="1">EFEITO!$L$423*EFEITO!$Z$423</f>
        <v>8179.8173458939291</v>
      </c>
      <c r="L423" s="60">
        <f>EFEITO!$N$423*EFEITO!$AA$423</f>
        <v>45493.491834253051</v>
      </c>
      <c r="M423" s="60">
        <f ca="1">$J$423-EFEITO!$K$423*EFEITO!$Y$423</f>
        <v>0</v>
      </c>
      <c r="N423" s="60">
        <f ca="1">$K$423-EFEITO!$M$423*EFEITO!$Z$423</f>
        <v>0</v>
      </c>
      <c r="O423" s="60">
        <f>$L$423-EFEITO!$O$423*EFEITO!$AA$423</f>
        <v>0</v>
      </c>
      <c r="P423" s="18"/>
      <c r="Q423" s="18"/>
      <c r="R423" s="18"/>
      <c r="S423" s="18"/>
      <c r="T423" s="18"/>
      <c r="U423" s="18"/>
      <c r="V423" s="18"/>
      <c r="W423" s="18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1" t="s">
        <v>21</v>
      </c>
      <c r="B424" s="51" t="s">
        <v>41</v>
      </c>
      <c r="C424" s="51" t="s">
        <v>40</v>
      </c>
      <c r="D424" s="51" t="s">
        <v>46</v>
      </c>
      <c r="E424" s="51" t="s">
        <v>25</v>
      </c>
      <c r="F424" s="51" t="s">
        <v>25</v>
      </c>
      <c r="G424" s="51" t="s">
        <v>25</v>
      </c>
      <c r="H424" s="51" t="s">
        <v>34</v>
      </c>
      <c r="I424" s="59">
        <v>44562</v>
      </c>
      <c r="J424" s="60">
        <f ca="1">EFEITO!$J$424*EFEITO!$Y$424</f>
        <v>397863.1460552701</v>
      </c>
      <c r="K424" s="60">
        <f ca="1">EFEITO!$L$424*EFEITO!$Z$424</f>
        <v>12305.512597840288</v>
      </c>
      <c r="L424" s="60">
        <f>EFEITO!$N$424*EFEITO!$AA$424</f>
        <v>68439.271100247948</v>
      </c>
      <c r="M424" s="60">
        <f ca="1">$J$424-EFEITO!$K$424*EFEITO!$Y$424</f>
        <v>0</v>
      </c>
      <c r="N424" s="60">
        <f ca="1">$K$424-EFEITO!$M$424*EFEITO!$Z$424</f>
        <v>0</v>
      </c>
      <c r="O424" s="60">
        <f>$L$424-EFEITO!$O$424*EFEITO!$AA$424</f>
        <v>0</v>
      </c>
      <c r="P424" s="18"/>
      <c r="Q424" s="18"/>
      <c r="R424" s="18"/>
      <c r="S424" s="18"/>
      <c r="T424" s="18"/>
      <c r="U424" s="18"/>
      <c r="V424" s="18"/>
      <c r="W424" s="18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1" t="s">
        <v>21</v>
      </c>
      <c r="B425" s="51" t="s">
        <v>41</v>
      </c>
      <c r="C425" s="51" t="s">
        <v>40</v>
      </c>
      <c r="D425" s="51" t="s">
        <v>46</v>
      </c>
      <c r="E425" s="51" t="s">
        <v>25</v>
      </c>
      <c r="F425" s="51" t="s">
        <v>25</v>
      </c>
      <c r="G425" s="51" t="s">
        <v>25</v>
      </c>
      <c r="H425" s="51" t="s">
        <v>34</v>
      </c>
      <c r="I425" s="59">
        <v>44593</v>
      </c>
      <c r="J425" s="60">
        <f ca="1">EFEITO!$J$425*EFEITO!$Y$425</f>
        <v>376157.5335684194</v>
      </c>
      <c r="K425" s="60">
        <f ca="1">EFEITO!$L$425*EFEITO!$Z$425</f>
        <v>12307.787857177216</v>
      </c>
      <c r="L425" s="60">
        <f>EFEITO!$N$425*EFEITO!$AA$425</f>
        <v>68451.925354944382</v>
      </c>
      <c r="M425" s="60">
        <f ca="1">$J$425-EFEITO!$K$425*EFEITO!$Y$425</f>
        <v>0</v>
      </c>
      <c r="N425" s="60">
        <f ca="1">$K$425-EFEITO!$M$425*EFEITO!$Z$425</f>
        <v>0</v>
      </c>
      <c r="O425" s="60">
        <f>$L$425-EFEITO!$O$425*EFEITO!$AA$425</f>
        <v>0</v>
      </c>
      <c r="P425" s="18"/>
      <c r="Q425" s="18"/>
      <c r="R425" s="18"/>
      <c r="S425" s="18"/>
      <c r="T425" s="18"/>
      <c r="U425" s="18"/>
      <c r="V425" s="18"/>
      <c r="W425" s="18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1" t="s">
        <v>27</v>
      </c>
      <c r="B426" s="51" t="s">
        <v>41</v>
      </c>
      <c r="C426" s="51" t="s">
        <v>40</v>
      </c>
      <c r="D426" s="51" t="s">
        <v>46</v>
      </c>
      <c r="E426" s="51" t="s">
        <v>25</v>
      </c>
      <c r="F426" s="51" t="s">
        <v>25</v>
      </c>
      <c r="G426" s="51" t="s">
        <v>25</v>
      </c>
      <c r="H426" s="51" t="s">
        <v>34</v>
      </c>
      <c r="I426" s="59">
        <v>44593</v>
      </c>
      <c r="J426" s="60">
        <f ca="1">EFEITO!$J$426*EFEITO!$Y$426</f>
        <v>-18489.966192502448</v>
      </c>
      <c r="K426" s="60">
        <f ca="1">EFEITO!$L$426*EFEITO!$Z$426</f>
        <v>-725.67771366071361</v>
      </c>
      <c r="L426" s="60">
        <f>EFEITO!$N$426*EFEITO!$AA$426</f>
        <v>-4035.9841478972803</v>
      </c>
      <c r="M426" s="60">
        <f ca="1">$J$426-EFEITO!$K$426*EFEITO!$Y$426</f>
        <v>0</v>
      </c>
      <c r="N426" s="60">
        <f ca="1">$K$426-EFEITO!$M$426*EFEITO!$Z$426</f>
        <v>0</v>
      </c>
      <c r="O426" s="60">
        <f>$L$426-EFEITO!$O$426*EFEITO!$AA$426</f>
        <v>0</v>
      </c>
      <c r="P426" s="18"/>
      <c r="Q426" s="18"/>
      <c r="R426" s="18"/>
      <c r="S426" s="18"/>
      <c r="T426" s="18"/>
      <c r="U426" s="18"/>
      <c r="V426" s="18"/>
      <c r="W426" s="18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1" t="s">
        <v>56</v>
      </c>
      <c r="B427" s="51" t="s">
        <v>41</v>
      </c>
      <c r="C427" s="51" t="s">
        <v>40</v>
      </c>
      <c r="D427" s="51" t="s">
        <v>46</v>
      </c>
      <c r="E427" s="51" t="s">
        <v>25</v>
      </c>
      <c r="F427" s="51" t="s">
        <v>25</v>
      </c>
      <c r="G427" s="51" t="s">
        <v>25</v>
      </c>
      <c r="H427" s="51" t="s">
        <v>34</v>
      </c>
      <c r="I427" s="59">
        <v>44621</v>
      </c>
      <c r="J427" s="60">
        <f ca="1">EFEITO!$J$427*EFEITO!$Y$427</f>
        <v>376157.5335684194</v>
      </c>
      <c r="K427" s="60">
        <f ca="1">EFEITO!$L$427*EFEITO!$Z$427</f>
        <v>12307.787857177216</v>
      </c>
      <c r="L427" s="60">
        <f>EFEITO!$N$427*EFEITO!$AA$427</f>
        <v>68451.925354944382</v>
      </c>
      <c r="M427" s="60">
        <f ca="1">$J$427-EFEITO!$K$427*EFEITO!$Y$427</f>
        <v>0</v>
      </c>
      <c r="N427" s="60">
        <f ca="1">$K$427-EFEITO!$M$427*EFEITO!$Z$427</f>
        <v>0</v>
      </c>
      <c r="O427" s="60">
        <f>$L$427-EFEITO!$O$427*EFEITO!$AA$427</f>
        <v>0</v>
      </c>
      <c r="P427" s="18"/>
      <c r="Q427" s="18"/>
      <c r="R427" s="18"/>
      <c r="S427" s="18"/>
      <c r="T427" s="18"/>
      <c r="U427" s="18"/>
      <c r="V427" s="18"/>
      <c r="W427" s="18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1" t="s">
        <v>56</v>
      </c>
      <c r="B428" s="51" t="s">
        <v>41</v>
      </c>
      <c r="C428" s="51" t="s">
        <v>40</v>
      </c>
      <c r="D428" s="51" t="s">
        <v>46</v>
      </c>
      <c r="E428" s="51" t="s">
        <v>25</v>
      </c>
      <c r="F428" s="51" t="s">
        <v>25</v>
      </c>
      <c r="G428" s="51" t="s">
        <v>25</v>
      </c>
      <c r="H428" s="51" t="s">
        <v>34</v>
      </c>
      <c r="I428" s="59">
        <v>44621</v>
      </c>
      <c r="J428" s="60">
        <f ca="1">EFEITO!$J$428*EFEITO!$Y$428</f>
        <v>-18489.966192502448</v>
      </c>
      <c r="K428" s="60">
        <f ca="1">EFEITO!$L$428*EFEITO!$Z$428</f>
        <v>-725.67771366071361</v>
      </c>
      <c r="L428" s="60">
        <f>EFEITO!$N$428*EFEITO!$AA$428</f>
        <v>-4035.9841478972803</v>
      </c>
      <c r="M428" s="60">
        <f ca="1">$J$428-EFEITO!$K$428*EFEITO!$Y$428</f>
        <v>0</v>
      </c>
      <c r="N428" s="60">
        <f ca="1">$K$428-EFEITO!$M$428*EFEITO!$Z$428</f>
        <v>0</v>
      </c>
      <c r="O428" s="60">
        <f>$L$428-EFEITO!$O$428*EFEITO!$AA$428</f>
        <v>0</v>
      </c>
      <c r="P428" s="18"/>
      <c r="Q428" s="18"/>
      <c r="R428" s="18"/>
      <c r="S428" s="18"/>
      <c r="T428" s="18"/>
      <c r="U428" s="18"/>
      <c r="V428" s="18"/>
      <c r="W428" s="18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1" t="s">
        <v>21</v>
      </c>
      <c r="B429" s="51" t="s">
        <v>41</v>
      </c>
      <c r="C429" s="51" t="s">
        <v>40</v>
      </c>
      <c r="D429" s="51" t="s">
        <v>45</v>
      </c>
      <c r="E429" s="51" t="s">
        <v>25</v>
      </c>
      <c r="F429" s="51" t="s">
        <v>25</v>
      </c>
      <c r="G429" s="51" t="s">
        <v>25</v>
      </c>
      <c r="H429" s="51" t="s">
        <v>35</v>
      </c>
      <c r="I429" s="59">
        <v>44287</v>
      </c>
      <c r="J429" s="60">
        <f ca="1">EFEITO!$J$429*EFEITO!$Y$413</f>
        <v>24204.247928442877</v>
      </c>
      <c r="K429" s="60">
        <f ca="1">EFEITO!$L$429*EFEITO!$Z$413</f>
        <v>21135.924099276312</v>
      </c>
      <c r="L429" s="60">
        <f>EFEITO!$N$429*EFEITO!$AA$413</f>
        <v>72551.557965119064</v>
      </c>
      <c r="M429" s="60">
        <f ca="1">$J$429-EFEITO!$K$429*EFEITO!$Y$429</f>
        <v>484.08495856885565</v>
      </c>
      <c r="N429" s="60">
        <f ca="1">$K$429-EFEITO!$M$429*EFEITO!$Z$429</f>
        <v>422.71848198552834</v>
      </c>
      <c r="O429" s="60">
        <f>$L$429-EFEITO!$O$429*EFEITO!$AA$429</f>
        <v>1451.0311593023944</v>
      </c>
      <c r="P429" s="18"/>
      <c r="Q429" s="18"/>
      <c r="R429" s="18"/>
      <c r="S429" s="18"/>
      <c r="T429" s="18"/>
      <c r="U429" s="18"/>
      <c r="V429" s="18"/>
      <c r="W429" s="18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1" t="s">
        <v>21</v>
      </c>
      <c r="B430" s="51" t="s">
        <v>41</v>
      </c>
      <c r="C430" s="51" t="s">
        <v>40</v>
      </c>
      <c r="D430" s="51" t="s">
        <v>45</v>
      </c>
      <c r="E430" s="51" t="s">
        <v>25</v>
      </c>
      <c r="F430" s="51" t="s">
        <v>25</v>
      </c>
      <c r="G430" s="51" t="s">
        <v>25</v>
      </c>
      <c r="H430" s="51" t="s">
        <v>35</v>
      </c>
      <c r="I430" s="59">
        <v>44317</v>
      </c>
      <c r="J430" s="60">
        <f ca="1">EFEITO!$J$430*EFEITO!$Y$413</f>
        <v>23033.932643990694</v>
      </c>
      <c r="K430" s="60">
        <f ca="1">EFEITO!$L$430*EFEITO!$Z$413</f>
        <v>21440.223783738002</v>
      </c>
      <c r="L430" s="60">
        <f>EFEITO!$N$430*EFEITO!$AA$413</f>
        <v>73596.102603540887</v>
      </c>
      <c r="M430" s="60">
        <f ca="1">$J$430-EFEITO!$K$430*EFEITO!$Y$430</f>
        <v>460.67865287981476</v>
      </c>
      <c r="N430" s="60">
        <f ca="1">$K$430-EFEITO!$M$430*EFEITO!$Z$430</f>
        <v>428.80447567476222</v>
      </c>
      <c r="O430" s="60">
        <f>$L$430-EFEITO!$O$430*EFEITO!$AA$430</f>
        <v>1471.9220520708332</v>
      </c>
      <c r="P430" s="18"/>
      <c r="Q430" s="18"/>
      <c r="R430" s="18"/>
      <c r="S430" s="18"/>
      <c r="T430" s="18"/>
      <c r="U430" s="18"/>
      <c r="V430" s="18"/>
      <c r="W430" s="18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1" t="s">
        <v>21</v>
      </c>
      <c r="B431" s="51" t="s">
        <v>41</v>
      </c>
      <c r="C431" s="51" t="s">
        <v>40</v>
      </c>
      <c r="D431" s="51" t="s">
        <v>45</v>
      </c>
      <c r="E431" s="51" t="s">
        <v>25</v>
      </c>
      <c r="F431" s="51" t="s">
        <v>25</v>
      </c>
      <c r="G431" s="51" t="s">
        <v>25</v>
      </c>
      <c r="H431" s="51" t="s">
        <v>35</v>
      </c>
      <c r="I431" s="59">
        <v>44348</v>
      </c>
      <c r="J431" s="60">
        <f ca="1">EFEITO!$J$431*EFEITO!$Y$413</f>
        <v>22368.980777824683</v>
      </c>
      <c r="K431" s="60">
        <f ca="1">EFEITO!$L$431*EFEITO!$Z$413</f>
        <v>20898.842076368437</v>
      </c>
      <c r="L431" s="60">
        <f>EFEITO!$N$431*EFEITO!$AA$413</f>
        <v>71737.745895833796</v>
      </c>
      <c r="M431" s="60">
        <f ca="1">$J$431-EFEITO!$K$431*EFEITO!$Y$431</f>
        <v>447.37961555649599</v>
      </c>
      <c r="N431" s="60">
        <f ca="1">$K$431-EFEITO!$M$431*EFEITO!$Z$431</f>
        <v>417.97684152737202</v>
      </c>
      <c r="O431" s="60">
        <f>$L$431-EFEITO!$O$431*EFEITO!$AA$431</f>
        <v>1434.7549179166817</v>
      </c>
      <c r="P431" s="18"/>
      <c r="Q431" s="18"/>
      <c r="R431" s="18"/>
      <c r="S431" s="18"/>
      <c r="T431" s="18"/>
      <c r="U431" s="18"/>
      <c r="V431" s="18"/>
      <c r="W431" s="18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1" t="s">
        <v>21</v>
      </c>
      <c r="B432" s="51" t="s">
        <v>41</v>
      </c>
      <c r="C432" s="51" t="s">
        <v>40</v>
      </c>
      <c r="D432" s="51" t="s">
        <v>45</v>
      </c>
      <c r="E432" s="51" t="s">
        <v>25</v>
      </c>
      <c r="F432" s="51" t="s">
        <v>25</v>
      </c>
      <c r="G432" s="51" t="s">
        <v>25</v>
      </c>
      <c r="H432" s="51" t="s">
        <v>35</v>
      </c>
      <c r="I432" s="59">
        <v>44378</v>
      </c>
      <c r="J432" s="60">
        <f ca="1">EFEITO!$J$432*EFEITO!$Y$413</f>
        <v>23220.119166517179</v>
      </c>
      <c r="K432" s="60">
        <f ca="1">EFEITO!$L$432*EFEITO!$Z$413</f>
        <v>20366.69142116584</v>
      </c>
      <c r="L432" s="60">
        <f>EFEITO!$N$432*EFEITO!$AA$413</f>
        <v>69911.075865899824</v>
      </c>
      <c r="M432" s="60">
        <f ca="1">$J$432-EFEITO!$K$432*EFEITO!$Y$432</f>
        <v>464.40238333034358</v>
      </c>
      <c r="N432" s="60">
        <f ca="1">$K$432-EFEITO!$M$432*EFEITO!$Z$432</f>
        <v>407.33382842331775</v>
      </c>
      <c r="O432" s="60">
        <f>$L$432-EFEITO!$O$432*EFEITO!$AA$432</f>
        <v>1398.2215173180011</v>
      </c>
      <c r="P432" s="18"/>
      <c r="Q432" s="18"/>
      <c r="R432" s="18"/>
      <c r="S432" s="18"/>
      <c r="T432" s="18"/>
      <c r="U432" s="18"/>
      <c r="V432" s="18"/>
      <c r="W432" s="18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1" t="s">
        <v>21</v>
      </c>
      <c r="B433" s="51" t="s">
        <v>41</v>
      </c>
      <c r="C433" s="51" t="s">
        <v>40</v>
      </c>
      <c r="D433" s="51" t="s">
        <v>45</v>
      </c>
      <c r="E433" s="51" t="s">
        <v>25</v>
      </c>
      <c r="F433" s="51" t="s">
        <v>25</v>
      </c>
      <c r="G433" s="51" t="s">
        <v>25</v>
      </c>
      <c r="H433" s="51" t="s">
        <v>35</v>
      </c>
      <c r="I433" s="59">
        <v>44409</v>
      </c>
      <c r="J433" s="60">
        <f ca="1">EFEITO!$J$433*EFEITO!$Y$413</f>
        <v>24151.051779149599</v>
      </c>
      <c r="K433" s="60">
        <f ca="1">EFEITO!$L$433*EFEITO!$Z$413</f>
        <v>24580.926765023502</v>
      </c>
      <c r="L433" s="60">
        <f>EFEITO!$N$433*EFEITO!$AA$413</f>
        <v>84376.936851794031</v>
      </c>
      <c r="M433" s="60">
        <f ca="1">$J$433-EFEITO!$K$433*EFEITO!$Y$433</f>
        <v>483.02103558299495</v>
      </c>
      <c r="N433" s="60">
        <f ca="1">$K$433-EFEITO!$M$433*EFEITO!$Z$433</f>
        <v>491.61853530047301</v>
      </c>
      <c r="O433" s="60">
        <f>$L$433-EFEITO!$O$433*EFEITO!$AA$433</f>
        <v>1687.5387370358803</v>
      </c>
      <c r="P433" s="18"/>
      <c r="Q433" s="18"/>
      <c r="R433" s="18"/>
      <c r="S433" s="18"/>
      <c r="T433" s="18"/>
      <c r="U433" s="18"/>
      <c r="V433" s="18"/>
      <c r="W433" s="18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1" t="s">
        <v>21</v>
      </c>
      <c r="B434" s="51" t="s">
        <v>41</v>
      </c>
      <c r="C434" s="51" t="s">
        <v>40</v>
      </c>
      <c r="D434" s="51" t="s">
        <v>45</v>
      </c>
      <c r="E434" s="51" t="s">
        <v>25</v>
      </c>
      <c r="F434" s="51" t="s">
        <v>25</v>
      </c>
      <c r="G434" s="51" t="s">
        <v>25</v>
      </c>
      <c r="H434" s="51" t="s">
        <v>35</v>
      </c>
      <c r="I434" s="59">
        <v>44440</v>
      </c>
      <c r="J434" s="60">
        <f ca="1">EFEITO!$J$434*EFEITO!$Y$413</f>
        <v>24736.20942137569</v>
      </c>
      <c r="K434" s="60">
        <f ca="1">EFEITO!$L$434*EFEITO!$Z$413</f>
        <v>26926.069067299792</v>
      </c>
      <c r="L434" s="60">
        <f>EFEITO!$N$434*EFEITO!$AA$413</f>
        <v>92426.915025489157</v>
      </c>
      <c r="M434" s="60">
        <f ca="1">$J$434-EFEITO!$K$434*EFEITO!$Y$434</f>
        <v>494.72418842751358</v>
      </c>
      <c r="N434" s="60">
        <f ca="1">$K$434-EFEITO!$M$434*EFEITO!$Z$434</f>
        <v>538.52138134599591</v>
      </c>
      <c r="O434" s="60">
        <f>$L$434-EFEITO!$O$434*EFEITO!$AA$434</f>
        <v>1848.5383005097829</v>
      </c>
      <c r="P434" s="18"/>
      <c r="Q434" s="18"/>
      <c r="R434" s="18"/>
      <c r="S434" s="18"/>
      <c r="T434" s="18"/>
      <c r="U434" s="18"/>
      <c r="V434" s="18"/>
      <c r="W434" s="18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1" t="s">
        <v>21</v>
      </c>
      <c r="B435" s="51" t="s">
        <v>41</v>
      </c>
      <c r="C435" s="51" t="s">
        <v>40</v>
      </c>
      <c r="D435" s="51" t="s">
        <v>45</v>
      </c>
      <c r="E435" s="51" t="s">
        <v>25</v>
      </c>
      <c r="F435" s="51" t="s">
        <v>25</v>
      </c>
      <c r="G435" s="51" t="s">
        <v>25</v>
      </c>
      <c r="H435" s="51" t="s">
        <v>35</v>
      </c>
      <c r="I435" s="59">
        <v>44470</v>
      </c>
      <c r="J435" s="60">
        <f ca="1">EFEITO!$J$435*EFEITO!$Y$413</f>
        <v>25534.151660774907</v>
      </c>
      <c r="K435" s="60">
        <f ca="1">EFEITO!$L$435*EFEITO!$Z$413</f>
        <v>24794.216076008077</v>
      </c>
      <c r="L435" s="60">
        <f>EFEITO!$N$435*EFEITO!$AA$413</f>
        <v>85109.077624847225</v>
      </c>
      <c r="M435" s="60">
        <f ca="1">$J$435-EFEITO!$K$435*EFEITO!$Y$435</f>
        <v>510.68303321550047</v>
      </c>
      <c r="N435" s="60">
        <f ca="1">$K$435-EFEITO!$M$435*EFEITO!$Z$435</f>
        <v>495.88432152016321</v>
      </c>
      <c r="O435" s="60">
        <f>$L$435-EFEITO!$O$435*EFEITO!$AA$435</f>
        <v>1702.181552496957</v>
      </c>
      <c r="P435" s="18"/>
      <c r="Q435" s="18"/>
      <c r="R435" s="18"/>
      <c r="S435" s="18"/>
      <c r="T435" s="18"/>
      <c r="U435" s="18"/>
      <c r="V435" s="18"/>
      <c r="W435" s="18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1" t="s">
        <v>21</v>
      </c>
      <c r="B436" s="51" t="s">
        <v>41</v>
      </c>
      <c r="C436" s="51" t="s">
        <v>40</v>
      </c>
      <c r="D436" s="51" t="s">
        <v>45</v>
      </c>
      <c r="E436" s="51" t="s">
        <v>25</v>
      </c>
      <c r="F436" s="51" t="s">
        <v>25</v>
      </c>
      <c r="G436" s="51" t="s">
        <v>25</v>
      </c>
      <c r="H436" s="51" t="s">
        <v>35</v>
      </c>
      <c r="I436" s="59">
        <v>44501</v>
      </c>
      <c r="J436" s="60">
        <f ca="1">EFEITO!$J$436*EFEITO!$Y$413</f>
        <v>25693.740108654747</v>
      </c>
      <c r="K436" s="60">
        <f ca="1">EFEITO!$L$436*EFEITO!$Z$413</f>
        <v>23757.932959151902</v>
      </c>
      <c r="L436" s="60">
        <f>EFEITO!$N$436*EFEITO!$AA$413</f>
        <v>81551.913326389171</v>
      </c>
      <c r="M436" s="60">
        <f ca="1">$J$436-EFEITO!$K$436*EFEITO!$Y$436</f>
        <v>513.87480217309349</v>
      </c>
      <c r="N436" s="60">
        <f ca="1">$K$436-EFEITO!$M$436*EFEITO!$Z$436</f>
        <v>475.15865918303825</v>
      </c>
      <c r="O436" s="60">
        <f>$L$436-EFEITO!$O$436*EFEITO!$AA$436</f>
        <v>1631.0382665277866</v>
      </c>
      <c r="P436" s="18"/>
      <c r="Q436" s="18"/>
      <c r="R436" s="18"/>
      <c r="S436" s="18"/>
      <c r="T436" s="18"/>
      <c r="U436" s="18"/>
      <c r="V436" s="18"/>
      <c r="W436" s="18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1" t="s">
        <v>21</v>
      </c>
      <c r="B437" s="51" t="s">
        <v>41</v>
      </c>
      <c r="C437" s="51" t="s">
        <v>40</v>
      </c>
      <c r="D437" s="51" t="s">
        <v>45</v>
      </c>
      <c r="E437" s="51" t="s">
        <v>25</v>
      </c>
      <c r="F437" s="51" t="s">
        <v>25</v>
      </c>
      <c r="G437" s="51" t="s">
        <v>25</v>
      </c>
      <c r="H437" s="51" t="s">
        <v>35</v>
      </c>
      <c r="I437" s="59">
        <v>44531</v>
      </c>
      <c r="J437" s="60">
        <f ca="1">EFEITO!$J$437*EFEITO!$Y$413</f>
        <v>23778.678734096629</v>
      </c>
      <c r="K437" s="60">
        <f ca="1">EFEITO!$L$437*EFEITO!$Z$413</f>
        <v>25973.710516271447</v>
      </c>
      <c r="L437" s="60">
        <f>EFEITO!$N$437*EFEITO!$AA$413</f>
        <v>89157.831720024624</v>
      </c>
      <c r="M437" s="60">
        <f ca="1">$J$437-EFEITO!$K$437*EFEITO!$Y$437</f>
        <v>475.57357468193368</v>
      </c>
      <c r="N437" s="60">
        <f ca="1">$K$437-EFEITO!$M$437*EFEITO!$Z$437</f>
        <v>519.47421032543207</v>
      </c>
      <c r="O437" s="60">
        <f>$L$437-EFEITO!$O$437*EFEITO!$AA$437</f>
        <v>1783.1566344005114</v>
      </c>
      <c r="P437" s="18"/>
      <c r="Q437" s="18"/>
      <c r="R437" s="18"/>
      <c r="S437" s="18"/>
      <c r="T437" s="18"/>
      <c r="U437" s="18"/>
      <c r="V437" s="18"/>
      <c r="W437" s="18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1" t="s">
        <v>21</v>
      </c>
      <c r="B438" s="51" t="s">
        <v>41</v>
      </c>
      <c r="C438" s="51" t="s">
        <v>40</v>
      </c>
      <c r="D438" s="51" t="s">
        <v>45</v>
      </c>
      <c r="E438" s="51" t="s">
        <v>25</v>
      </c>
      <c r="F438" s="51" t="s">
        <v>25</v>
      </c>
      <c r="G438" s="51" t="s">
        <v>25</v>
      </c>
      <c r="H438" s="51" t="s">
        <v>35</v>
      </c>
      <c r="I438" s="59">
        <v>44562</v>
      </c>
      <c r="J438" s="60">
        <f ca="1">EFEITO!$J$438*EFEITO!$Y$413</f>
        <v>24895.797869255533</v>
      </c>
      <c r="K438" s="60">
        <f ca="1">EFEITO!$L$438*EFEITO!$Z$413</f>
        <v>22993.965881221178</v>
      </c>
      <c r="L438" s="60">
        <f>EFEITO!$N$438*EFEITO!$AA$413</f>
        <v>78929.506022237692</v>
      </c>
      <c r="M438" s="60">
        <f ca="1">$J$438-EFEITO!$K$438*EFEITO!$Y$438</f>
        <v>497.91595738511387</v>
      </c>
      <c r="N438" s="60">
        <f ca="1">$K$438-EFEITO!$M$438*EFEITO!$Z$438</f>
        <v>459.87931762442531</v>
      </c>
      <c r="O438" s="60">
        <f>$L$438-EFEITO!$O$438*EFEITO!$AA$438</f>
        <v>1578.5901204447582</v>
      </c>
      <c r="P438" s="18"/>
      <c r="Q438" s="18"/>
      <c r="R438" s="18"/>
      <c r="S438" s="18"/>
      <c r="T438" s="18"/>
      <c r="U438" s="18"/>
      <c r="V438" s="18"/>
      <c r="W438" s="18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1" t="s">
        <v>21</v>
      </c>
      <c r="B439" s="51" t="s">
        <v>41</v>
      </c>
      <c r="C439" s="51" t="s">
        <v>40</v>
      </c>
      <c r="D439" s="51" t="s">
        <v>45</v>
      </c>
      <c r="E439" s="51" t="s">
        <v>25</v>
      </c>
      <c r="F439" s="51" t="s">
        <v>25</v>
      </c>
      <c r="G439" s="51" t="s">
        <v>25</v>
      </c>
      <c r="H439" s="51" t="s">
        <v>35</v>
      </c>
      <c r="I439" s="59">
        <v>44593</v>
      </c>
      <c r="J439" s="60">
        <f ca="1">EFEITO!$J$439*EFEITO!$Y$413</f>
        <v>24842.601719962251</v>
      </c>
      <c r="K439" s="60">
        <f ca="1">EFEITO!$L$439*EFEITO!$Z$413</f>
        <v>23156.094360829688</v>
      </c>
      <c r="L439" s="60">
        <f>EFEITO!$N$439*EFEITO!$AA$413</f>
        <v>79486.031193830073</v>
      </c>
      <c r="M439" s="60">
        <f ca="1">$J$439-EFEITO!$K$439*EFEITO!$Y$439</f>
        <v>496.85203439924589</v>
      </c>
      <c r="N439" s="60">
        <f ca="1">$K$439-EFEITO!$M$439*EFEITO!$Z$439</f>
        <v>463.1218872165955</v>
      </c>
      <c r="O439" s="60">
        <f>$L$439-EFEITO!$O$439*EFEITO!$AA$439</f>
        <v>1589.7206238766084</v>
      </c>
      <c r="P439" s="18"/>
      <c r="Q439" s="18"/>
      <c r="R439" s="18"/>
      <c r="S439" s="18"/>
      <c r="T439" s="18"/>
      <c r="U439" s="18"/>
      <c r="V439" s="18"/>
      <c r="W439" s="18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1" t="s">
        <v>56</v>
      </c>
      <c r="B440" s="51" t="s">
        <v>41</v>
      </c>
      <c r="C440" s="51" t="s">
        <v>40</v>
      </c>
      <c r="D440" s="51" t="s">
        <v>45</v>
      </c>
      <c r="E440" s="51" t="s">
        <v>25</v>
      </c>
      <c r="F440" s="51" t="s">
        <v>25</v>
      </c>
      <c r="G440" s="51" t="s">
        <v>25</v>
      </c>
      <c r="H440" s="51" t="s">
        <v>35</v>
      </c>
      <c r="I440" s="59">
        <v>44621</v>
      </c>
      <c r="J440" s="60">
        <f ca="1">EFEITO!$J$440*EFEITO!$Y$413</f>
        <v>24842.601719962251</v>
      </c>
      <c r="K440" s="60">
        <f ca="1">EFEITO!$L$440*EFEITO!$Z$413</f>
        <v>23156.094360829688</v>
      </c>
      <c r="L440" s="60">
        <f>EFEITO!$N$440*EFEITO!$AA$413</f>
        <v>79486.031193830073</v>
      </c>
      <c r="M440" s="60">
        <f ca="1">$J$440-EFEITO!$K$440*EFEITO!$Y$440</f>
        <v>496.85203439924589</v>
      </c>
      <c r="N440" s="60">
        <f ca="1">$K$440-EFEITO!$M$440*EFEITO!$Z$440</f>
        <v>463.1218872165955</v>
      </c>
      <c r="O440" s="60">
        <f>$L$440-EFEITO!$O$440*EFEITO!$AA$440</f>
        <v>1589.7206238766084</v>
      </c>
      <c r="P440" s="18"/>
      <c r="Q440" s="18"/>
      <c r="R440" s="18"/>
      <c r="S440" s="18"/>
      <c r="T440" s="18"/>
      <c r="U440" s="18"/>
      <c r="V440" s="18"/>
      <c r="W440" s="18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1" t="s">
        <v>21</v>
      </c>
      <c r="B441" s="51" t="s">
        <v>41</v>
      </c>
      <c r="C441" s="51" t="s">
        <v>40</v>
      </c>
      <c r="D441" s="51" t="s">
        <v>45</v>
      </c>
      <c r="E441" s="51" t="s">
        <v>25</v>
      </c>
      <c r="F441" s="51" t="s">
        <v>25</v>
      </c>
      <c r="G441" s="51" t="s">
        <v>25</v>
      </c>
      <c r="H441" s="51" t="s">
        <v>34</v>
      </c>
      <c r="I441" s="59">
        <v>44287</v>
      </c>
      <c r="J441" s="60">
        <f ca="1">EFEITO!$J$441*EFEITO!$Y$428</f>
        <v>30840.971277612782</v>
      </c>
      <c r="K441" s="60">
        <f ca="1">EFEITO!$L$441*EFEITO!$Z$428</f>
        <v>944.81769151167362</v>
      </c>
      <c r="L441" s="60">
        <f>EFEITO!$N$441*EFEITO!$AA$428</f>
        <v>5254.7696502319332</v>
      </c>
      <c r="M441" s="60">
        <f ca="1">$J$441-EFEITO!$K$441*EFEITO!$Y$441</f>
        <v>616.8194255522576</v>
      </c>
      <c r="N441" s="60">
        <f ca="1">$K$441-EFEITO!$M$441*EFEITO!$Z$441</f>
        <v>18.896353830233579</v>
      </c>
      <c r="O441" s="60">
        <f>$L$441-EFEITO!$O$441*EFEITO!$AA$441</f>
        <v>105.09539300463894</v>
      </c>
      <c r="P441" s="18"/>
      <c r="Q441" s="18"/>
      <c r="R441" s="18"/>
      <c r="S441" s="18"/>
      <c r="T441" s="18"/>
      <c r="U441" s="18"/>
      <c r="V441" s="18"/>
      <c r="W441" s="18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1" t="s">
        <v>21</v>
      </c>
      <c r="B442" s="51" t="s">
        <v>41</v>
      </c>
      <c r="C442" s="51" t="s">
        <v>40</v>
      </c>
      <c r="D442" s="51" t="s">
        <v>45</v>
      </c>
      <c r="E442" s="51" t="s">
        <v>25</v>
      </c>
      <c r="F442" s="51" t="s">
        <v>25</v>
      </c>
      <c r="G442" s="51" t="s">
        <v>25</v>
      </c>
      <c r="H442" s="51" t="s">
        <v>34</v>
      </c>
      <c r="I442" s="59">
        <v>44317</v>
      </c>
      <c r="J442" s="60">
        <f ca="1">EFEITO!$J$442*EFEITO!$Y$428</f>
        <v>26529.081928373082</v>
      </c>
      <c r="K442" s="60">
        <f ca="1">EFEITO!$L$442*EFEITO!$Z$428</f>
        <v>942.9974840421313</v>
      </c>
      <c r="L442" s="60">
        <f>EFEITO!$N$442*EFEITO!$AA$428</f>
        <v>5244.6462464747783</v>
      </c>
      <c r="M442" s="60">
        <f ca="1">$J$442-EFEITO!$K$442*EFEITO!$Y$442</f>
        <v>530.58163856746614</v>
      </c>
      <c r="N442" s="60">
        <f ca="1">$K$442-EFEITO!$M$442*EFEITO!$Z$442</f>
        <v>18.859949680842647</v>
      </c>
      <c r="O442" s="60">
        <f>$L$442-EFEITO!$O$442*EFEITO!$AA$442</f>
        <v>104.89292492949608</v>
      </c>
      <c r="P442" s="18"/>
      <c r="Q442" s="18"/>
      <c r="R442" s="18"/>
      <c r="S442" s="18"/>
      <c r="T442" s="18"/>
      <c r="U442" s="18"/>
      <c r="V442" s="18"/>
      <c r="W442" s="18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1" t="s">
        <v>21</v>
      </c>
      <c r="B443" s="51" t="s">
        <v>41</v>
      </c>
      <c r="C443" s="51" t="s">
        <v>40</v>
      </c>
      <c r="D443" s="51" t="s">
        <v>45</v>
      </c>
      <c r="E443" s="51" t="s">
        <v>25</v>
      </c>
      <c r="F443" s="51" t="s">
        <v>25</v>
      </c>
      <c r="G443" s="51" t="s">
        <v>25</v>
      </c>
      <c r="H443" s="51" t="s">
        <v>34</v>
      </c>
      <c r="I443" s="59">
        <v>44348</v>
      </c>
      <c r="J443" s="60">
        <f ca="1">EFEITO!$J$443*EFEITO!$Y$428</f>
        <v>32814.208776417392</v>
      </c>
      <c r="K443" s="60">
        <f ca="1">EFEITO!$L$443*EFEITO!$Z$428</f>
        <v>921.80506850388952</v>
      </c>
      <c r="L443" s="60">
        <f>EFEITO!$N$443*EFEITO!$AA$428</f>
        <v>5126.7809027307558</v>
      </c>
      <c r="M443" s="60">
        <f ca="1">$J$443-EFEITO!$K$443*EFEITO!$Y$443</f>
        <v>656.28417552835162</v>
      </c>
      <c r="N443" s="60">
        <f ca="1">$K$443-EFEITO!$M$443*EFEITO!$Z$443</f>
        <v>18.436101370077836</v>
      </c>
      <c r="O443" s="60">
        <f>$L$443-EFEITO!$O$443*EFEITO!$AA$443</f>
        <v>102.53561805461504</v>
      </c>
      <c r="P443" s="18"/>
      <c r="Q443" s="18"/>
      <c r="R443" s="18"/>
      <c r="S443" s="18"/>
      <c r="T443" s="18"/>
      <c r="U443" s="18"/>
      <c r="V443" s="18"/>
      <c r="W443" s="18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1" t="s">
        <v>21</v>
      </c>
      <c r="B444" s="51" t="s">
        <v>41</v>
      </c>
      <c r="C444" s="51" t="s">
        <v>40</v>
      </c>
      <c r="D444" s="51" t="s">
        <v>45</v>
      </c>
      <c r="E444" s="51" t="s">
        <v>25</v>
      </c>
      <c r="F444" s="51" t="s">
        <v>25</v>
      </c>
      <c r="G444" s="51" t="s">
        <v>25</v>
      </c>
      <c r="H444" s="51" t="s">
        <v>34</v>
      </c>
      <c r="I444" s="59">
        <v>44378</v>
      </c>
      <c r="J444" s="60">
        <f ca="1">EFEITO!$J$444*EFEITO!$Y$428</f>
        <v>35810.606459787356</v>
      </c>
      <c r="K444" s="60">
        <f ca="1">EFEITO!$L$444*EFEITO!$Z$428</f>
        <v>978.94658156559046</v>
      </c>
      <c r="L444" s="60">
        <f>EFEITO!$N$444*EFEITO!$AA$428</f>
        <v>5444.5834706785936</v>
      </c>
      <c r="M444" s="60">
        <f ca="1">$J$444-EFEITO!$K$444*EFEITO!$Y$444</f>
        <v>716.21212919575191</v>
      </c>
      <c r="N444" s="60">
        <f ca="1">$K$444-EFEITO!$M$444*EFEITO!$Z$444</f>
        <v>19.578931631311889</v>
      </c>
      <c r="O444" s="60">
        <f>$L$444-EFEITO!$O$444*EFEITO!$AA$444</f>
        <v>108.89166941357234</v>
      </c>
      <c r="P444" s="18"/>
      <c r="Q444" s="18"/>
      <c r="R444" s="18"/>
      <c r="S444" s="18"/>
      <c r="T444" s="18"/>
      <c r="U444" s="18"/>
      <c r="V444" s="18"/>
      <c r="W444" s="18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1" t="s">
        <v>21</v>
      </c>
      <c r="B445" s="51" t="s">
        <v>41</v>
      </c>
      <c r="C445" s="51" t="s">
        <v>40</v>
      </c>
      <c r="D445" s="51" t="s">
        <v>45</v>
      </c>
      <c r="E445" s="51" t="s">
        <v>25</v>
      </c>
      <c r="F445" s="51" t="s">
        <v>25</v>
      </c>
      <c r="G445" s="51" t="s">
        <v>25</v>
      </c>
      <c r="H445" s="51" t="s">
        <v>34</v>
      </c>
      <c r="I445" s="59">
        <v>44409</v>
      </c>
      <c r="J445" s="60">
        <f ca="1">EFEITO!$J$445*EFEITO!$Y$428</f>
        <v>41876.484696853375</v>
      </c>
      <c r="K445" s="60">
        <f ca="1">EFEITO!$L$445*EFEITO!$Z$428</f>
        <v>1172.603654842959</v>
      </c>
      <c r="L445" s="60">
        <f>EFEITO!$N$445*EFEITO!$AA$428</f>
        <v>6521.6413204130731</v>
      </c>
      <c r="M445" s="60">
        <f ca="1">$J$445-EFEITO!$K$445*EFEITO!$Y$445</f>
        <v>837.52969393706735</v>
      </c>
      <c r="N445" s="60">
        <f ca="1">$K$445-EFEITO!$M$445*EFEITO!$Z$445</f>
        <v>23.452073096859067</v>
      </c>
      <c r="O445" s="60">
        <f>$L$445-EFEITO!$O$445*EFEITO!$AA$445</f>
        <v>130.43282640826146</v>
      </c>
      <c r="P445" s="18"/>
      <c r="Q445" s="18"/>
      <c r="R445" s="18"/>
      <c r="S445" s="18"/>
      <c r="T445" s="18"/>
      <c r="U445" s="18"/>
      <c r="V445" s="18"/>
      <c r="W445" s="18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1" t="s">
        <v>21</v>
      </c>
      <c r="B446" s="51" t="s">
        <v>41</v>
      </c>
      <c r="C446" s="51" t="s">
        <v>40</v>
      </c>
      <c r="D446" s="51" t="s">
        <v>45</v>
      </c>
      <c r="E446" s="51" t="s">
        <v>25</v>
      </c>
      <c r="F446" s="51" t="s">
        <v>25</v>
      </c>
      <c r="G446" s="51" t="s">
        <v>25</v>
      </c>
      <c r="H446" s="51" t="s">
        <v>34</v>
      </c>
      <c r="I446" s="59">
        <v>44440</v>
      </c>
      <c r="J446" s="60">
        <f ca="1">EFEITO!$J$446*EFEITO!$Y$428</f>
        <v>33910.451831308841</v>
      </c>
      <c r="K446" s="60">
        <f ca="1">EFEITO!$L$446*EFEITO!$Z$428</f>
        <v>1112.4067935288122</v>
      </c>
      <c r="L446" s="60">
        <f>EFEITO!$N$446*EFEITO!$AA$428</f>
        <v>6186.845896158582</v>
      </c>
      <c r="M446" s="60">
        <f ca="1">$J$446-EFEITO!$K$446*EFEITO!$Y$446</f>
        <v>678.20903662617638</v>
      </c>
      <c r="N446" s="60">
        <f ca="1">$K$446-EFEITO!$M$446*EFEITO!$Z$446</f>
        <v>22.248135870576334</v>
      </c>
      <c r="O446" s="60">
        <f>$L$446-EFEITO!$O$446*EFEITO!$AA$446</f>
        <v>123.73691792317186</v>
      </c>
      <c r="P446" s="18"/>
      <c r="Q446" s="18"/>
      <c r="R446" s="18"/>
      <c r="S446" s="18"/>
      <c r="T446" s="18"/>
      <c r="U446" s="18"/>
      <c r="V446" s="18"/>
      <c r="W446" s="18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1" t="s">
        <v>21</v>
      </c>
      <c r="B447" s="51" t="s">
        <v>41</v>
      </c>
      <c r="C447" s="51" t="s">
        <v>40</v>
      </c>
      <c r="D447" s="51" t="s">
        <v>45</v>
      </c>
      <c r="E447" s="51" t="s">
        <v>25</v>
      </c>
      <c r="F447" s="51" t="s">
        <v>25</v>
      </c>
      <c r="G447" s="51" t="s">
        <v>25</v>
      </c>
      <c r="H447" s="51" t="s">
        <v>34</v>
      </c>
      <c r="I447" s="59">
        <v>44470</v>
      </c>
      <c r="J447" s="60">
        <f ca="1">EFEITO!$J$447*EFEITO!$Y$428</f>
        <v>33179.623128047875</v>
      </c>
      <c r="K447" s="60">
        <f ca="1">EFEITO!$L$447*EFEITO!$Z$428</f>
        <v>1106.751148891306</v>
      </c>
      <c r="L447" s="60">
        <f>EFEITO!$N$447*EFEITO!$AA$428</f>
        <v>6155.3910344845644</v>
      </c>
      <c r="M447" s="60">
        <f ca="1">$J$447-EFEITO!$K$447*EFEITO!$Y$447</f>
        <v>663.59246256095867</v>
      </c>
      <c r="N447" s="60">
        <f ca="1">$K$447-EFEITO!$M$447*EFEITO!$Z$447</f>
        <v>22.135022977826111</v>
      </c>
      <c r="O447" s="60">
        <f>$L$447-EFEITO!$O$447*EFEITO!$AA$447</f>
        <v>123.10782068969183</v>
      </c>
      <c r="P447" s="18"/>
      <c r="Q447" s="18"/>
      <c r="R447" s="18"/>
      <c r="S447" s="18"/>
      <c r="T447" s="18"/>
      <c r="U447" s="18"/>
      <c r="V447" s="18"/>
      <c r="W447" s="18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1" t="s">
        <v>21</v>
      </c>
      <c r="B448" s="51" t="s">
        <v>41</v>
      </c>
      <c r="C448" s="51" t="s">
        <v>40</v>
      </c>
      <c r="D448" s="51" t="s">
        <v>45</v>
      </c>
      <c r="E448" s="51" t="s">
        <v>25</v>
      </c>
      <c r="F448" s="51" t="s">
        <v>25</v>
      </c>
      <c r="G448" s="51" t="s">
        <v>25</v>
      </c>
      <c r="H448" s="51" t="s">
        <v>34</v>
      </c>
      <c r="I448" s="59">
        <v>44501</v>
      </c>
      <c r="J448" s="60">
        <f ca="1">EFEITO!$J$448*EFEITO!$Y$428</f>
        <v>45238.296731853821</v>
      </c>
      <c r="K448" s="60">
        <f ca="1">EFEITO!$L$448*EFEITO!$Z$428</f>
        <v>1117.1523344315474</v>
      </c>
      <c r="L448" s="60">
        <f>EFEITO!$N$448*EFEITO!$AA$428</f>
        <v>6213.2390559540227</v>
      </c>
      <c r="M448" s="60">
        <f ca="1">$J$448-EFEITO!$K$448*EFEITO!$Y$448</f>
        <v>904.76593463707832</v>
      </c>
      <c r="N448" s="60">
        <f ca="1">$K$448-EFEITO!$M$448*EFEITO!$Z$448</f>
        <v>22.343046688631148</v>
      </c>
      <c r="O448" s="60">
        <f>$L$448-EFEITO!$O$448*EFEITO!$AA$448</f>
        <v>124.26478111908091</v>
      </c>
      <c r="P448" s="18"/>
      <c r="Q448" s="18"/>
      <c r="R448" s="18"/>
      <c r="S448" s="18"/>
      <c r="T448" s="18"/>
      <c r="U448" s="18"/>
      <c r="V448" s="18"/>
      <c r="W448" s="18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1" t="s">
        <v>21</v>
      </c>
      <c r="B449" s="51" t="s">
        <v>41</v>
      </c>
      <c r="C449" s="51" t="s">
        <v>40</v>
      </c>
      <c r="D449" s="51" t="s">
        <v>45</v>
      </c>
      <c r="E449" s="51" t="s">
        <v>25</v>
      </c>
      <c r="F449" s="51" t="s">
        <v>25</v>
      </c>
      <c r="G449" s="51" t="s">
        <v>25</v>
      </c>
      <c r="H449" s="51" t="s">
        <v>34</v>
      </c>
      <c r="I449" s="59">
        <v>44531</v>
      </c>
      <c r="J449" s="60">
        <f ca="1">EFEITO!$J$449*EFEITO!$Y$428</f>
        <v>50427.180525006683</v>
      </c>
      <c r="K449" s="60">
        <f ca="1">EFEITO!$L$449*EFEITO!$Z$428</f>
        <v>1615.4991366283609</v>
      </c>
      <c r="L449" s="60">
        <f>EFEITO!$N$449*EFEITO!$AA$428</f>
        <v>8984.882384609451</v>
      </c>
      <c r="M449" s="60">
        <f ca="1">$J$449-EFEITO!$K$449*EFEITO!$Y$449</f>
        <v>1008.5436105001354</v>
      </c>
      <c r="N449" s="60">
        <f ca="1">$K$449-EFEITO!$M$449*EFEITO!$Z$449</f>
        <v>32.309982732567278</v>
      </c>
      <c r="O449" s="60">
        <f>$L$449-EFEITO!$O$449*EFEITO!$AA$449</f>
        <v>179.69764769219</v>
      </c>
      <c r="P449" s="18"/>
      <c r="Q449" s="18"/>
      <c r="R449" s="18"/>
      <c r="S449" s="18"/>
      <c r="T449" s="18"/>
      <c r="U449" s="18"/>
      <c r="V449" s="18"/>
      <c r="W449" s="18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1" t="s">
        <v>21</v>
      </c>
      <c r="B450" s="51" t="s">
        <v>41</v>
      </c>
      <c r="C450" s="51" t="s">
        <v>40</v>
      </c>
      <c r="D450" s="51" t="s">
        <v>45</v>
      </c>
      <c r="E450" s="51" t="s">
        <v>25</v>
      </c>
      <c r="F450" s="51" t="s">
        <v>25</v>
      </c>
      <c r="G450" s="51" t="s">
        <v>25</v>
      </c>
      <c r="H450" s="51" t="s">
        <v>34</v>
      </c>
      <c r="I450" s="59">
        <v>44562</v>
      </c>
      <c r="J450" s="60">
        <f ca="1">EFEITO!$J$450*EFEITO!$Y$428</f>
        <v>55981.478669790027</v>
      </c>
      <c r="K450" s="60">
        <f ca="1">EFEITO!$L$450*EFEITO!$Z$428</f>
        <v>1288.3818513877707</v>
      </c>
      <c r="L450" s="60">
        <f>EFEITO!$N$450*EFEITO!$AA$428</f>
        <v>7165.5621093949831</v>
      </c>
      <c r="M450" s="60">
        <f ca="1">$J$450-EFEITO!$K$450*EFEITO!$Y$450</f>
        <v>1119.6295733958032</v>
      </c>
      <c r="N450" s="60">
        <f ca="1">$K$450-EFEITO!$M$450*EFEITO!$Z$450</f>
        <v>25.767637027755654</v>
      </c>
      <c r="O450" s="60">
        <f>$L$450-EFEITO!$O$450*EFEITO!$AA$450</f>
        <v>143.31124218790046</v>
      </c>
      <c r="P450" s="18"/>
      <c r="Q450" s="18"/>
      <c r="R450" s="18"/>
      <c r="S450" s="18"/>
      <c r="T450" s="18"/>
      <c r="U450" s="18"/>
      <c r="V450" s="18"/>
      <c r="W450" s="18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1" t="s">
        <v>21</v>
      </c>
      <c r="B451" s="51" t="s">
        <v>41</v>
      </c>
      <c r="C451" s="51" t="s">
        <v>40</v>
      </c>
      <c r="D451" s="51" t="s">
        <v>45</v>
      </c>
      <c r="E451" s="51" t="s">
        <v>25</v>
      </c>
      <c r="F451" s="51" t="s">
        <v>25</v>
      </c>
      <c r="G451" s="51" t="s">
        <v>25</v>
      </c>
      <c r="H451" s="51" t="s">
        <v>34</v>
      </c>
      <c r="I451" s="59">
        <v>44593</v>
      </c>
      <c r="J451" s="60">
        <f ca="1">EFEITO!$J$451*EFEITO!$Y$428</f>
        <v>53862.075430333221</v>
      </c>
      <c r="K451" s="60">
        <f ca="1">EFEITO!$L$451*EFEITO!$Z$428</f>
        <v>1496.3405547829711</v>
      </c>
      <c r="L451" s="60">
        <f>EFEITO!$N$451*EFEITO!$AA$428</f>
        <v>8322.1609886499682</v>
      </c>
      <c r="M451" s="60">
        <f ca="1">$J$451-EFEITO!$K$451*EFEITO!$Y$451</f>
        <v>1077.2415086066685</v>
      </c>
      <c r="N451" s="60">
        <f ca="1">$K$451-EFEITO!$M$451*EFEITO!$Z$451</f>
        <v>29.926811095659559</v>
      </c>
      <c r="O451" s="60">
        <f>$L$451-EFEITO!$O$451*EFEITO!$AA$451</f>
        <v>166.44321977300024</v>
      </c>
      <c r="P451" s="18"/>
      <c r="Q451" s="18"/>
      <c r="R451" s="18"/>
      <c r="S451" s="18"/>
      <c r="T451" s="18"/>
      <c r="U451" s="18"/>
      <c r="V451" s="18"/>
      <c r="W451" s="18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1" t="s">
        <v>56</v>
      </c>
      <c r="B452" s="51" t="s">
        <v>41</v>
      </c>
      <c r="C452" s="51" t="s">
        <v>40</v>
      </c>
      <c r="D452" s="51" t="s">
        <v>45</v>
      </c>
      <c r="E452" s="51" t="s">
        <v>25</v>
      </c>
      <c r="F452" s="51" t="s">
        <v>25</v>
      </c>
      <c r="G452" s="51" t="s">
        <v>25</v>
      </c>
      <c r="H452" s="51" t="s">
        <v>34</v>
      </c>
      <c r="I452" s="59">
        <v>44621</v>
      </c>
      <c r="J452" s="60">
        <f ca="1">EFEITO!$J$452*EFEITO!$Y$428</f>
        <v>53862.075430333221</v>
      </c>
      <c r="K452" s="60">
        <f ca="1">EFEITO!$L$452*EFEITO!$Z$428</f>
        <v>1496.3405547829711</v>
      </c>
      <c r="L452" s="60">
        <f>EFEITO!$N$452*EFEITO!$AA$428</f>
        <v>8322.1609886499682</v>
      </c>
      <c r="M452" s="60">
        <f ca="1">$J$452-EFEITO!$K$452*EFEITO!$Y$452</f>
        <v>1077.2415086066685</v>
      </c>
      <c r="N452" s="60">
        <f ca="1">$K$452-EFEITO!$M$452*EFEITO!$Z$452</f>
        <v>29.926811095659559</v>
      </c>
      <c r="O452" s="60">
        <f>$L$452-EFEITO!$O$452*EFEITO!$AA$452</f>
        <v>166.44321977300024</v>
      </c>
      <c r="P452" s="18"/>
      <c r="Q452" s="18"/>
      <c r="R452" s="18"/>
      <c r="S452" s="18"/>
      <c r="T452" s="18"/>
      <c r="U452" s="18"/>
      <c r="V452" s="18"/>
      <c r="W452" s="18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1" t="s">
        <v>21</v>
      </c>
      <c r="B453" s="51" t="s">
        <v>41</v>
      </c>
      <c r="C453" s="51" t="s">
        <v>40</v>
      </c>
      <c r="D453" s="51" t="s">
        <v>50</v>
      </c>
      <c r="E453" s="51" t="s">
        <v>51</v>
      </c>
      <c r="F453" s="51" t="s">
        <v>25</v>
      </c>
      <c r="G453" s="51" t="s">
        <v>25</v>
      </c>
      <c r="H453" s="51" t="s">
        <v>35</v>
      </c>
      <c r="I453" s="59">
        <v>44287</v>
      </c>
      <c r="J453" s="60">
        <f ca="1">EFEITO!$J$453*EFEITO!$Y$413</f>
        <v>186878.07246729633</v>
      </c>
      <c r="K453" s="60">
        <f ca="1">EFEITO!$L$453*EFEITO!$Z$413</f>
        <v>222593.56149477782</v>
      </c>
      <c r="L453" s="60">
        <f>EFEITO!$N$453*EFEITO!$AA$413</f>
        <v>764078.71279229387</v>
      </c>
      <c r="M453" s="60">
        <f ca="1">$J$453-EFEITO!$K$453*EFEITO!$Y$453</f>
        <v>5606.3421740188787</v>
      </c>
      <c r="N453" s="60">
        <f ca="1">$K$453-EFEITO!$M$453*EFEITO!$Z$453</f>
        <v>6677.8068448433187</v>
      </c>
      <c r="O453" s="60">
        <f>$L$453-EFEITO!$O$453*EFEITO!$AA$453</f>
        <v>22922.361383768846</v>
      </c>
      <c r="P453" s="18"/>
      <c r="Q453" s="18"/>
      <c r="R453" s="18"/>
      <c r="S453" s="18"/>
      <c r="T453" s="18"/>
      <c r="U453" s="18"/>
      <c r="V453" s="18"/>
      <c r="W453" s="18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1" t="s">
        <v>21</v>
      </c>
      <c r="B454" s="51" t="s">
        <v>41</v>
      </c>
      <c r="C454" s="51" t="s">
        <v>40</v>
      </c>
      <c r="D454" s="51" t="s">
        <v>50</v>
      </c>
      <c r="E454" s="51" t="s">
        <v>51</v>
      </c>
      <c r="F454" s="51" t="s">
        <v>25</v>
      </c>
      <c r="G454" s="51" t="s">
        <v>25</v>
      </c>
      <c r="H454" s="51" t="s">
        <v>35</v>
      </c>
      <c r="I454" s="59">
        <v>44317</v>
      </c>
      <c r="J454" s="60">
        <f ca="1">EFEITO!$J$454*EFEITO!$Y$413</f>
        <v>187888.79930386867</v>
      </c>
      <c r="K454" s="60">
        <f ca="1">EFEITO!$L$454*EFEITO!$Z$413</f>
        <v>226502.3270208005</v>
      </c>
      <c r="L454" s="60">
        <f>EFEITO!$N$454*EFEITO!$AA$413</f>
        <v>777496.01251864003</v>
      </c>
      <c r="M454" s="60">
        <f ca="1">$J$454-EFEITO!$K$454*EFEITO!$Y$454</f>
        <v>5636.6639791160414</v>
      </c>
      <c r="N454" s="60">
        <f ca="1">$K$454-EFEITO!$M$454*EFEITO!$Z$454</f>
        <v>6795.0698106240015</v>
      </c>
      <c r="O454" s="60">
        <f>$L$454-EFEITO!$O$454*EFEITO!$AA$454</f>
        <v>23324.880375559209</v>
      </c>
      <c r="P454" s="18"/>
      <c r="Q454" s="18"/>
      <c r="R454" s="18"/>
      <c r="S454" s="18"/>
      <c r="T454" s="18"/>
      <c r="U454" s="18"/>
      <c r="V454" s="18"/>
      <c r="W454" s="18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1" t="s">
        <v>21</v>
      </c>
      <c r="B455" s="51" t="s">
        <v>41</v>
      </c>
      <c r="C455" s="51" t="s">
        <v>40</v>
      </c>
      <c r="D455" s="51" t="s">
        <v>50</v>
      </c>
      <c r="E455" s="51" t="s">
        <v>51</v>
      </c>
      <c r="F455" s="51" t="s">
        <v>25</v>
      </c>
      <c r="G455" s="51" t="s">
        <v>25</v>
      </c>
      <c r="H455" s="51" t="s">
        <v>35</v>
      </c>
      <c r="I455" s="59">
        <v>44348</v>
      </c>
      <c r="J455" s="60">
        <f ca="1">EFEITO!$J$455*EFEITO!$Y$413</f>
        <v>301435.97997037711</v>
      </c>
      <c r="K455" s="60">
        <f ca="1">EFEITO!$L$455*EFEITO!$Z$413</f>
        <v>359270.86014559626</v>
      </c>
      <c r="L455" s="60">
        <f>EFEITO!$N$455*EFEITO!$AA$413</f>
        <v>1233239.6971431163</v>
      </c>
      <c r="M455" s="60">
        <f ca="1">$J$455-EFEITO!$K$455*EFEITO!$Y$455</f>
        <v>9043.0793991113314</v>
      </c>
      <c r="N455" s="60">
        <f ca="1">$K$455-EFEITO!$M$455*EFEITO!$Z$455</f>
        <v>10778.125804367883</v>
      </c>
      <c r="O455" s="60">
        <f>$L$455-EFEITO!$O$455*EFEITO!$AA$455</f>
        <v>36997.190914293518</v>
      </c>
      <c r="P455" s="18"/>
      <c r="Q455" s="18"/>
      <c r="R455" s="18"/>
      <c r="S455" s="18"/>
      <c r="T455" s="18"/>
      <c r="U455" s="18"/>
      <c r="V455" s="18"/>
      <c r="W455" s="18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1" t="s">
        <v>21</v>
      </c>
      <c r="B456" s="51" t="s">
        <v>41</v>
      </c>
      <c r="C456" s="51" t="s">
        <v>40</v>
      </c>
      <c r="D456" s="51" t="s">
        <v>50</v>
      </c>
      <c r="E456" s="51" t="s">
        <v>51</v>
      </c>
      <c r="F456" s="51" t="s">
        <v>25</v>
      </c>
      <c r="G456" s="51" t="s">
        <v>25</v>
      </c>
      <c r="H456" s="51" t="s">
        <v>35</v>
      </c>
      <c r="I456" s="59">
        <v>44378</v>
      </c>
      <c r="J456" s="60">
        <f ca="1">EFEITO!$J$456*EFEITO!$Y$413</f>
        <v>307314.15446728462</v>
      </c>
      <c r="K456" s="60">
        <f ca="1">EFEITO!$L$456*EFEITO!$Z$413</f>
        <v>365343.13727139879</v>
      </c>
      <c r="L456" s="60">
        <f>EFEITO!$N$456*EFEITO!$AA$413</f>
        <v>1254083.5061861291</v>
      </c>
      <c r="M456" s="60">
        <f ca="1">$J$456-EFEITO!$K$456*EFEITO!$Y$456</f>
        <v>9219.4246340185055</v>
      </c>
      <c r="N456" s="60">
        <f ca="1">$K$456-EFEITO!$M$456*EFEITO!$Z$456</f>
        <v>10960.29411814193</v>
      </c>
      <c r="O456" s="60">
        <f>$L$456-EFEITO!$O$456*EFEITO!$AA$456</f>
        <v>37622.505185583839</v>
      </c>
      <c r="P456" s="18"/>
      <c r="Q456" s="18"/>
      <c r="R456" s="18"/>
      <c r="S456" s="18"/>
      <c r="T456" s="18"/>
      <c r="U456" s="18"/>
      <c r="V456" s="18"/>
      <c r="W456" s="18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1" t="s">
        <v>27</v>
      </c>
      <c r="B457" s="51" t="s">
        <v>41</v>
      </c>
      <c r="C457" s="51" t="s">
        <v>40</v>
      </c>
      <c r="D457" s="51" t="s">
        <v>50</v>
      </c>
      <c r="E457" s="51" t="s">
        <v>51</v>
      </c>
      <c r="F457" s="51" t="s">
        <v>25</v>
      </c>
      <c r="G457" s="51" t="s">
        <v>25</v>
      </c>
      <c r="H457" s="51" t="s">
        <v>35</v>
      </c>
      <c r="I457" s="59">
        <v>44378</v>
      </c>
      <c r="J457" s="60">
        <f ca="1">EFEITO!$J$457*EFEITO!$Y$413</f>
        <v>-212.78459717312421</v>
      </c>
      <c r="K457" s="60">
        <f ca="1">EFEITO!$L$457*EFEITO!$Z$413</f>
        <v>-1820.2074695422361</v>
      </c>
      <c r="L457" s="60">
        <f>EFEITO!$N$457*EFEITO!$AA$413</f>
        <v>-6248.0773073725168</v>
      </c>
      <c r="M457" s="60">
        <f ca="1">$J$457-EFEITO!$K$457*EFEITO!$Y$457</f>
        <v>-6.3835379151937275</v>
      </c>
      <c r="N457" s="60">
        <f ca="1">$K$457-EFEITO!$M$457*EFEITO!$Z$457</f>
        <v>-54.606224086267048</v>
      </c>
      <c r="O457" s="60">
        <f>$L$457-EFEITO!$O$457*EFEITO!$AA$457</f>
        <v>-187.44231922117524</v>
      </c>
      <c r="P457" s="18"/>
      <c r="Q457" s="18"/>
      <c r="R457" s="18"/>
      <c r="S457" s="18"/>
      <c r="T457" s="18"/>
      <c r="U457" s="18"/>
      <c r="V457" s="18"/>
      <c r="W457" s="18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1" t="s">
        <v>21</v>
      </c>
      <c r="B458" s="51" t="s">
        <v>41</v>
      </c>
      <c r="C458" s="51" t="s">
        <v>40</v>
      </c>
      <c r="D458" s="51" t="s">
        <v>50</v>
      </c>
      <c r="E458" s="51" t="s">
        <v>51</v>
      </c>
      <c r="F458" s="51" t="s">
        <v>25</v>
      </c>
      <c r="G458" s="51" t="s">
        <v>25</v>
      </c>
      <c r="H458" s="51" t="s">
        <v>35</v>
      </c>
      <c r="I458" s="59">
        <v>44409</v>
      </c>
      <c r="J458" s="60">
        <f ca="1">EFEITO!$J$458*EFEITO!$Y$413</f>
        <v>143150.83774821932</v>
      </c>
      <c r="K458" s="60">
        <f ca="1">EFEITO!$L$458*EFEITO!$Z$413</f>
        <v>155463.6599439639</v>
      </c>
      <c r="L458" s="60">
        <f>EFEITO!$N$458*EFEITO!$AA$413</f>
        <v>533647.39024021418</v>
      </c>
      <c r="M458" s="60">
        <f ca="1">$J$458-EFEITO!$K$458*EFEITO!$Y$458</f>
        <v>4294.5251324465789</v>
      </c>
      <c r="N458" s="60">
        <f ca="1">$K$458-EFEITO!$M$458*EFEITO!$Z$458</f>
        <v>4663.9097983189276</v>
      </c>
      <c r="O458" s="60">
        <f>$L$458-EFEITO!$O$458*EFEITO!$AA$458</f>
        <v>16009.421707206406</v>
      </c>
      <c r="P458" s="18"/>
      <c r="Q458" s="18"/>
      <c r="R458" s="18"/>
      <c r="S458" s="18"/>
      <c r="T458" s="18"/>
      <c r="U458" s="18"/>
      <c r="V458" s="18"/>
      <c r="W458" s="18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1" t="s">
        <v>21</v>
      </c>
      <c r="B459" s="51" t="s">
        <v>41</v>
      </c>
      <c r="C459" s="51" t="s">
        <v>40</v>
      </c>
      <c r="D459" s="51" t="s">
        <v>50</v>
      </c>
      <c r="E459" s="51" t="s">
        <v>51</v>
      </c>
      <c r="F459" s="51" t="s">
        <v>25</v>
      </c>
      <c r="G459" s="51" t="s">
        <v>25</v>
      </c>
      <c r="H459" s="51" t="s">
        <v>35</v>
      </c>
      <c r="I459" s="59">
        <v>44440</v>
      </c>
      <c r="J459" s="60">
        <f ca="1">EFEITO!$J$459*EFEITO!$Y$413</f>
        <v>141634.7474933608</v>
      </c>
      <c r="K459" s="60">
        <f ca="1">EFEITO!$L$459*EFEITO!$Z$413</f>
        <v>152872.52960366089</v>
      </c>
      <c r="L459" s="60">
        <f>EFEITO!$N$459*EFEITO!$AA$413</f>
        <v>524753.02904755133</v>
      </c>
      <c r="M459" s="60">
        <f ca="1">$J$459-EFEITO!$K$459*EFEITO!$Y$459</f>
        <v>4249.0424248008349</v>
      </c>
      <c r="N459" s="60">
        <f ca="1">$K$459-EFEITO!$M$459*EFEITO!$Z$459</f>
        <v>4586.1758881098358</v>
      </c>
      <c r="O459" s="60">
        <f>$L$459-EFEITO!$O$459*EFEITO!$AA$459</f>
        <v>15742.590871426568</v>
      </c>
      <c r="P459" s="18"/>
      <c r="Q459" s="18"/>
      <c r="R459" s="18"/>
      <c r="S459" s="18"/>
      <c r="T459" s="18"/>
      <c r="U459" s="18"/>
      <c r="V459" s="18"/>
      <c r="W459" s="18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1" t="s">
        <v>21</v>
      </c>
      <c r="B460" s="51" t="s">
        <v>41</v>
      </c>
      <c r="C460" s="51" t="s">
        <v>40</v>
      </c>
      <c r="D460" s="51" t="s">
        <v>50</v>
      </c>
      <c r="E460" s="51" t="s">
        <v>51</v>
      </c>
      <c r="F460" s="51" t="s">
        <v>25</v>
      </c>
      <c r="G460" s="51" t="s">
        <v>25</v>
      </c>
      <c r="H460" s="51" t="s">
        <v>35</v>
      </c>
      <c r="I460" s="59">
        <v>44470</v>
      </c>
      <c r="J460" s="60">
        <f ca="1">EFEITO!$J$460*EFEITO!$Y$413</f>
        <v>143097.64159892604</v>
      </c>
      <c r="K460" s="60">
        <f ca="1">EFEITO!$L$460*EFEITO!$Z$413</f>
        <v>155208.89590563759</v>
      </c>
      <c r="L460" s="60">
        <f>EFEITO!$N$460*EFEITO!$AA$413</f>
        <v>532772.88256280008</v>
      </c>
      <c r="M460" s="60">
        <f ca="1">$J$460-EFEITO!$K$460*EFEITO!$Y$460</f>
        <v>4292.9292479677824</v>
      </c>
      <c r="N460" s="60">
        <f ca="1">$K$460-EFEITO!$M$460*EFEITO!$Z$460</f>
        <v>4656.2668771691388</v>
      </c>
      <c r="O460" s="60">
        <f>$L$460-EFEITO!$O$460*EFEITO!$AA$460</f>
        <v>15983.186476884002</v>
      </c>
      <c r="P460" s="18"/>
      <c r="Q460" s="18"/>
      <c r="R460" s="18"/>
      <c r="S460" s="18"/>
      <c r="T460" s="18"/>
      <c r="U460" s="18"/>
      <c r="V460" s="18"/>
      <c r="W460" s="18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1" t="s">
        <v>21</v>
      </c>
      <c r="B461" s="51" t="s">
        <v>41</v>
      </c>
      <c r="C461" s="51" t="s">
        <v>40</v>
      </c>
      <c r="D461" s="51" t="s">
        <v>50</v>
      </c>
      <c r="E461" s="51" t="s">
        <v>51</v>
      </c>
      <c r="F461" s="51" t="s">
        <v>25</v>
      </c>
      <c r="G461" s="51" t="s">
        <v>25</v>
      </c>
      <c r="H461" s="51" t="s">
        <v>35</v>
      </c>
      <c r="I461" s="59">
        <v>44501</v>
      </c>
      <c r="J461" s="60">
        <f ca="1">EFEITO!$J$461*EFEITO!$Y$413</f>
        <v>142565.68010599323</v>
      </c>
      <c r="K461" s="60">
        <f ca="1">EFEITO!$L$461*EFEITO!$Z$413</f>
        <v>152287.65793925119</v>
      </c>
      <c r="L461" s="60">
        <f>EFEITO!$N$461*EFEITO!$AA$413</f>
        <v>522745.38792132161</v>
      </c>
      <c r="M461" s="60">
        <f ca="1">$J$461-EFEITO!$K$461*EFEITO!$Y$461</f>
        <v>4276.9704031798174</v>
      </c>
      <c r="N461" s="60">
        <f ca="1">$K$461-EFEITO!$M$461*EFEITO!$Z$461</f>
        <v>4568.6297381775512</v>
      </c>
      <c r="O461" s="60">
        <f>$L$461-EFEITO!$O$461*EFEITO!$AA$461</f>
        <v>15682.361637639639</v>
      </c>
      <c r="P461" s="18"/>
      <c r="Q461" s="18"/>
      <c r="R461" s="18"/>
      <c r="S461" s="18"/>
      <c r="T461" s="18"/>
      <c r="U461" s="18"/>
      <c r="V461" s="18"/>
      <c r="W461" s="18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1" t="s">
        <v>21</v>
      </c>
      <c r="B462" s="51" t="s">
        <v>41</v>
      </c>
      <c r="C462" s="51" t="s">
        <v>40</v>
      </c>
      <c r="D462" s="51" t="s">
        <v>50</v>
      </c>
      <c r="E462" s="51" t="s">
        <v>51</v>
      </c>
      <c r="F462" s="51" t="s">
        <v>25</v>
      </c>
      <c r="G462" s="51" t="s">
        <v>25</v>
      </c>
      <c r="H462" s="51" t="s">
        <v>35</v>
      </c>
      <c r="I462" s="59">
        <v>44531</v>
      </c>
      <c r="J462" s="60">
        <f ca="1">EFEITO!$J$462*EFEITO!$Y$413</f>
        <v>140730.41295537504</v>
      </c>
      <c r="K462" s="60">
        <f ca="1">EFEITO!$L$462*EFEITO!$Z$413</f>
        <v>153792.96951656262</v>
      </c>
      <c r="L462" s="60">
        <f>EFEITO!$N$462*EFEITO!$AA$413</f>
        <v>527912.54785451863</v>
      </c>
      <c r="M462" s="60">
        <f ca="1">$J$462-EFEITO!$K$462*EFEITO!$Y$462</f>
        <v>4221.9123886612651</v>
      </c>
      <c r="N462" s="60">
        <f ca="1">$K$462-EFEITO!$M$462*EFEITO!$Z$462</f>
        <v>4613.7890854968864</v>
      </c>
      <c r="O462" s="60">
        <f>$L$462-EFEITO!$O$462*EFEITO!$AA$462</f>
        <v>15837.376435635553</v>
      </c>
      <c r="P462" s="18"/>
      <c r="Q462" s="18"/>
      <c r="R462" s="18"/>
      <c r="S462" s="18"/>
      <c r="T462" s="18"/>
      <c r="U462" s="18"/>
      <c r="V462" s="18"/>
      <c r="W462" s="18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1" t="s">
        <v>21</v>
      </c>
      <c r="B463" s="51" t="s">
        <v>41</v>
      </c>
      <c r="C463" s="51" t="s">
        <v>40</v>
      </c>
      <c r="D463" s="51" t="s">
        <v>50</v>
      </c>
      <c r="E463" s="51" t="s">
        <v>51</v>
      </c>
      <c r="F463" s="51" t="s">
        <v>25</v>
      </c>
      <c r="G463" s="51" t="s">
        <v>25</v>
      </c>
      <c r="H463" s="51" t="s">
        <v>35</v>
      </c>
      <c r="I463" s="59">
        <v>44562</v>
      </c>
      <c r="J463" s="60">
        <f ca="1">EFEITO!$J$463*EFEITO!$Y$413</f>
        <v>143523.21079327227</v>
      </c>
      <c r="K463" s="60">
        <f ca="1">EFEITO!$L$463*EFEITO!$Z$413</f>
        <v>161643.97938456567</v>
      </c>
      <c r="L463" s="60">
        <f>EFEITO!$N$463*EFEITO!$AA$413</f>
        <v>554862.06730054319</v>
      </c>
      <c r="M463" s="60">
        <f ca="1">$J$463-EFEITO!$K$463*EFEITO!$Y$463</f>
        <v>4305.6963237981545</v>
      </c>
      <c r="N463" s="60">
        <f ca="1">$K$463-EFEITO!$M$463*EFEITO!$Z$463</f>
        <v>4849.3193815369741</v>
      </c>
      <c r="O463" s="60">
        <f>$L$463-EFEITO!$O$463*EFEITO!$AA$463</f>
        <v>16645.862019016291</v>
      </c>
      <c r="P463" s="18"/>
      <c r="Q463" s="18"/>
      <c r="R463" s="18"/>
      <c r="S463" s="18"/>
      <c r="T463" s="18"/>
      <c r="U463" s="18"/>
      <c r="V463" s="18"/>
      <c r="W463" s="18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1" t="s">
        <v>21</v>
      </c>
      <c r="B464" s="51" t="s">
        <v>41</v>
      </c>
      <c r="C464" s="51" t="s">
        <v>40</v>
      </c>
      <c r="D464" s="51" t="s">
        <v>50</v>
      </c>
      <c r="E464" s="51" t="s">
        <v>51</v>
      </c>
      <c r="F464" s="51" t="s">
        <v>25</v>
      </c>
      <c r="G464" s="51" t="s">
        <v>25</v>
      </c>
      <c r="H464" s="51" t="s">
        <v>35</v>
      </c>
      <c r="I464" s="59">
        <v>44593</v>
      </c>
      <c r="J464" s="60">
        <f ca="1">EFEITO!$J$464*EFEITO!$Y$413</f>
        <v>145225.48757065728</v>
      </c>
      <c r="K464" s="60">
        <f ca="1">EFEITO!$L$464*EFEITO!$Z$413</f>
        <v>147923.90555325255</v>
      </c>
      <c r="L464" s="60">
        <f>EFEITO!$N$464*EFEITO!$AA$413</f>
        <v>507766.29201375035</v>
      </c>
      <c r="M464" s="60">
        <f ca="1">$J$464-EFEITO!$K$464*EFEITO!$Y$464</f>
        <v>4356.76462711973</v>
      </c>
      <c r="N464" s="60">
        <f ca="1">$K$464-EFEITO!$M$464*EFEITO!$Z$464</f>
        <v>4437.7171665975766</v>
      </c>
      <c r="O464" s="60">
        <f>$L$464-EFEITO!$O$464*EFEITO!$AA$464</f>
        <v>15232.988760412496</v>
      </c>
      <c r="P464" s="18"/>
      <c r="Q464" s="18"/>
      <c r="R464" s="18"/>
      <c r="S464" s="18"/>
      <c r="T464" s="18"/>
      <c r="U464" s="18"/>
      <c r="V464" s="18"/>
      <c r="W464" s="18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1" t="s">
        <v>56</v>
      </c>
      <c r="B465" s="51" t="s">
        <v>41</v>
      </c>
      <c r="C465" s="51" t="s">
        <v>40</v>
      </c>
      <c r="D465" s="51" t="s">
        <v>50</v>
      </c>
      <c r="E465" s="51" t="s">
        <v>51</v>
      </c>
      <c r="F465" s="51" t="s">
        <v>25</v>
      </c>
      <c r="G465" s="51" t="s">
        <v>25</v>
      </c>
      <c r="H465" s="51" t="s">
        <v>35</v>
      </c>
      <c r="I465" s="59">
        <v>44621</v>
      </c>
      <c r="J465" s="60">
        <f ca="1">EFEITO!$J$465*EFEITO!$Y$413</f>
        <v>145225.48757065728</v>
      </c>
      <c r="K465" s="60">
        <f ca="1">EFEITO!$L$465*EFEITO!$Z$413</f>
        <v>147923.90555325255</v>
      </c>
      <c r="L465" s="60">
        <f>EFEITO!$N$465*EFEITO!$AA$413</f>
        <v>507766.29201375035</v>
      </c>
      <c r="M465" s="60">
        <f ca="1">$J$465-EFEITO!$K$465*EFEITO!$Y$465</f>
        <v>4356.76462711973</v>
      </c>
      <c r="N465" s="60">
        <f ca="1">$K$465-EFEITO!$M$465*EFEITO!$Z$465</f>
        <v>4437.7171665975766</v>
      </c>
      <c r="O465" s="60">
        <f>$L$465-EFEITO!$O$465*EFEITO!$AA$465</f>
        <v>15232.988760412496</v>
      </c>
      <c r="P465" s="18"/>
      <c r="Q465" s="18"/>
      <c r="R465" s="18"/>
      <c r="S465" s="18"/>
      <c r="T465" s="18"/>
      <c r="U465" s="18"/>
      <c r="V465" s="18"/>
      <c r="W465" s="18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1" t="s">
        <v>21</v>
      </c>
      <c r="B466" s="51" t="s">
        <v>41</v>
      </c>
      <c r="C466" s="51" t="s">
        <v>40</v>
      </c>
      <c r="D466" s="51" t="s">
        <v>50</v>
      </c>
      <c r="E466" s="51" t="s">
        <v>51</v>
      </c>
      <c r="F466" s="51" t="s">
        <v>25</v>
      </c>
      <c r="G466" s="51" t="s">
        <v>25</v>
      </c>
      <c r="H466" s="51" t="s">
        <v>34</v>
      </c>
      <c r="I466" s="59">
        <v>44287</v>
      </c>
      <c r="J466" s="60">
        <f ca="1">EFEITO!$J$466*EFEITO!$Y$428</f>
        <v>486585.75063115143</v>
      </c>
      <c r="K466" s="60">
        <f ca="1">EFEITO!$L$466*EFEITO!$Z$428</f>
        <v>19694.189768579607</v>
      </c>
      <c r="L466" s="60">
        <f>EFEITO!$N$466*EFEITO!$AA$428</f>
        <v>109532.6978014803</v>
      </c>
      <c r="M466" s="60">
        <f ca="1">$J$466-EFEITO!$K$466*EFEITO!$Y$466</f>
        <v>14597.572518934612</v>
      </c>
      <c r="N466" s="60">
        <f ca="1">$K$466-EFEITO!$M$466*EFEITO!$Z$466</f>
        <v>590.82569305738798</v>
      </c>
      <c r="O466" s="60">
        <f>$L$466-EFEITO!$O$466*EFEITO!$AA$466</f>
        <v>3285.980934044419</v>
      </c>
      <c r="P466" s="18"/>
      <c r="Q466" s="18"/>
      <c r="R466" s="18"/>
      <c r="S466" s="18"/>
      <c r="T466" s="18"/>
      <c r="U466" s="18"/>
      <c r="V466" s="18"/>
      <c r="W466" s="18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1" t="s">
        <v>21</v>
      </c>
      <c r="B467" s="51" t="s">
        <v>41</v>
      </c>
      <c r="C467" s="51" t="s">
        <v>40</v>
      </c>
      <c r="D467" s="51" t="s">
        <v>50</v>
      </c>
      <c r="E467" s="51" t="s">
        <v>51</v>
      </c>
      <c r="F467" s="51" t="s">
        <v>25</v>
      </c>
      <c r="G467" s="51" t="s">
        <v>25</v>
      </c>
      <c r="H467" s="51" t="s">
        <v>34</v>
      </c>
      <c r="I467" s="59">
        <v>44317</v>
      </c>
      <c r="J467" s="60">
        <f ca="1">EFEITO!$J$467*EFEITO!$Y$428</f>
        <v>474307.82841636718</v>
      </c>
      <c r="K467" s="60">
        <f ca="1">EFEITO!$L$467*EFEITO!$Z$428</f>
        <v>19745.285592546043</v>
      </c>
      <c r="L467" s="60">
        <f>EFEITO!$N$467*EFEITO!$AA$428</f>
        <v>109816.87620694902</v>
      </c>
      <c r="M467" s="60">
        <f ca="1">$J$467-EFEITO!$K$467*EFEITO!$Y$467</f>
        <v>14229.234852491063</v>
      </c>
      <c r="N467" s="60">
        <f ca="1">$K$467-EFEITO!$M$467*EFEITO!$Z$467</f>
        <v>592.35856777638037</v>
      </c>
      <c r="O467" s="60">
        <f>$L$467-EFEITO!$O$467*EFEITO!$AA$467</f>
        <v>3294.5062862084742</v>
      </c>
      <c r="P467" s="18"/>
      <c r="Q467" s="18"/>
      <c r="R467" s="18"/>
      <c r="S467" s="18"/>
      <c r="T467" s="18"/>
      <c r="U467" s="18"/>
      <c r="V467" s="18"/>
      <c r="W467" s="18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1" t="s">
        <v>21</v>
      </c>
      <c r="B468" s="51" t="s">
        <v>41</v>
      </c>
      <c r="C468" s="51" t="s">
        <v>40</v>
      </c>
      <c r="D468" s="51" t="s">
        <v>50</v>
      </c>
      <c r="E468" s="51" t="s">
        <v>51</v>
      </c>
      <c r="F468" s="51" t="s">
        <v>25</v>
      </c>
      <c r="G468" s="51" t="s">
        <v>25</v>
      </c>
      <c r="H468" s="51" t="s">
        <v>34</v>
      </c>
      <c r="I468" s="59">
        <v>44348</v>
      </c>
      <c r="J468" s="60">
        <f ca="1">EFEITO!$J$468*EFEITO!$Y$428</f>
        <v>763277.49768575327</v>
      </c>
      <c r="K468" s="60">
        <f ca="1">EFEITO!$L$468*EFEITO!$Z$428</f>
        <v>32888.613685652774</v>
      </c>
      <c r="L468" s="60">
        <f>EFEITO!$N$468*EFEITO!$AA$428</f>
        <v>182915.80543656184</v>
      </c>
      <c r="M468" s="60">
        <f ca="1">$J$468-EFEITO!$K$468*EFEITO!$Y$468</f>
        <v>22898.324930572649</v>
      </c>
      <c r="N468" s="60">
        <f ca="1">$K$468-EFEITO!$M$468*EFEITO!$Z$468</f>
        <v>986.65841056958379</v>
      </c>
      <c r="O468" s="60">
        <f>$L$468-EFEITO!$O$468*EFEITO!$AA$468</f>
        <v>5487.4741630968638</v>
      </c>
      <c r="P468" s="18"/>
      <c r="Q468" s="18"/>
      <c r="R468" s="18"/>
      <c r="S468" s="18"/>
      <c r="T468" s="18"/>
      <c r="U468" s="18"/>
      <c r="V468" s="18"/>
      <c r="W468" s="18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1" t="s">
        <v>21</v>
      </c>
      <c r="B469" s="51" t="s">
        <v>41</v>
      </c>
      <c r="C469" s="51" t="s">
        <v>40</v>
      </c>
      <c r="D469" s="51" t="s">
        <v>50</v>
      </c>
      <c r="E469" s="51" t="s">
        <v>51</v>
      </c>
      <c r="F469" s="51" t="s">
        <v>25</v>
      </c>
      <c r="G469" s="51" t="s">
        <v>25</v>
      </c>
      <c r="H469" s="51" t="s">
        <v>34</v>
      </c>
      <c r="I469" s="59">
        <v>44378</v>
      </c>
      <c r="J469" s="60">
        <f ca="1">EFEITO!$J$469*EFEITO!$Y$428</f>
        <v>767881.71851629741</v>
      </c>
      <c r="K469" s="60">
        <f ca="1">EFEITO!$L$469*EFEITO!$Z$428</f>
        <v>35193.516401370252</v>
      </c>
      <c r="L469" s="60">
        <f>EFEITO!$N$469*EFEITO!$AA$428</f>
        <v>195734.92699419381</v>
      </c>
      <c r="M469" s="60">
        <f ca="1">$J$469-EFEITO!$K$469*EFEITO!$Y$469</f>
        <v>23036.45155548898</v>
      </c>
      <c r="N469" s="60">
        <f ca="1">$K$469-EFEITO!$M$469*EFEITO!$Z$469</f>
        <v>1055.8054920411087</v>
      </c>
      <c r="O469" s="60">
        <f>$L$469-EFEITO!$O$469*EFEITO!$AA$469</f>
        <v>5872.0478098258027</v>
      </c>
      <c r="P469" s="18"/>
      <c r="Q469" s="18"/>
      <c r="R469" s="18"/>
      <c r="S469" s="18"/>
      <c r="T469" s="18"/>
      <c r="U469" s="18"/>
      <c r="V469" s="18"/>
      <c r="W469" s="18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1" t="s">
        <v>27</v>
      </c>
      <c r="B470" s="51" t="s">
        <v>41</v>
      </c>
      <c r="C470" s="51" t="s">
        <v>40</v>
      </c>
      <c r="D470" s="51" t="s">
        <v>50</v>
      </c>
      <c r="E470" s="51" t="s">
        <v>51</v>
      </c>
      <c r="F470" s="51" t="s">
        <v>25</v>
      </c>
      <c r="G470" s="51" t="s">
        <v>25</v>
      </c>
      <c r="H470" s="51" t="s">
        <v>34</v>
      </c>
      <c r="I470" s="59">
        <v>44378</v>
      </c>
      <c r="J470" s="60">
        <f ca="1">EFEITO!$J$470*EFEITO!$Y$428</f>
        <v>1023.1601845653529</v>
      </c>
      <c r="K470" s="60">
        <f ca="1">EFEITO!$L$470*EFEITO!$Z$428</f>
        <v>91.010373477111798</v>
      </c>
      <c r="L470" s="60">
        <f>EFEITO!$N$470*EFEITO!$AA$428</f>
        <v>506.1701878577615</v>
      </c>
      <c r="M470" s="60">
        <f ca="1">$J$470-EFEITO!$K$470*EFEITO!$Y$470</f>
        <v>30.694805536960644</v>
      </c>
      <c r="N470" s="60">
        <f ca="1">$K$470-EFEITO!$M$470*EFEITO!$Z$470</f>
        <v>2.7303112043133524</v>
      </c>
      <c r="O470" s="60">
        <f>$L$470-EFEITO!$O$470*EFEITO!$AA$470</f>
        <v>15.185105635732839</v>
      </c>
      <c r="P470" s="18"/>
      <c r="Q470" s="18"/>
      <c r="R470" s="18"/>
      <c r="S470" s="18"/>
      <c r="T470" s="18"/>
      <c r="U470" s="18"/>
      <c r="V470" s="18"/>
      <c r="W470" s="18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1" t="s">
        <v>21</v>
      </c>
      <c r="B471" s="51" t="s">
        <v>41</v>
      </c>
      <c r="C471" s="51" t="s">
        <v>40</v>
      </c>
      <c r="D471" s="51" t="s">
        <v>50</v>
      </c>
      <c r="E471" s="51" t="s">
        <v>51</v>
      </c>
      <c r="F471" s="51" t="s">
        <v>25</v>
      </c>
      <c r="G471" s="51" t="s">
        <v>25</v>
      </c>
      <c r="H471" s="51" t="s">
        <v>34</v>
      </c>
      <c r="I471" s="59">
        <v>44409</v>
      </c>
      <c r="J471" s="60">
        <f ca="1">EFEITO!$J$471*EFEITO!$Y$428</f>
        <v>351163.19191689434</v>
      </c>
      <c r="K471" s="60">
        <f ca="1">EFEITO!$L$471*EFEITO!$Z$428</f>
        <v>14729.183850945401</v>
      </c>
      <c r="L471" s="60">
        <f>EFEITO!$N$471*EFEITO!$AA$428</f>
        <v>81918.944753034317</v>
      </c>
      <c r="M471" s="60">
        <f ca="1">$J$471-EFEITO!$K$471*EFEITO!$Y$471</f>
        <v>10534.895757506834</v>
      </c>
      <c r="N471" s="60">
        <f ca="1">$K$471-EFEITO!$M$471*EFEITO!$Z$471</f>
        <v>441.87551552836157</v>
      </c>
      <c r="O471" s="60">
        <f>$L$471-EFEITO!$O$471*EFEITO!$AA$471</f>
        <v>2457.5683425910393</v>
      </c>
      <c r="P471" s="18"/>
      <c r="Q471" s="18"/>
      <c r="R471" s="18"/>
      <c r="S471" s="18"/>
      <c r="T471" s="18"/>
      <c r="U471" s="18"/>
      <c r="V471" s="18"/>
      <c r="W471" s="18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1" t="s">
        <v>21</v>
      </c>
      <c r="B472" s="51" t="s">
        <v>41</v>
      </c>
      <c r="C472" s="51" t="s">
        <v>40</v>
      </c>
      <c r="D472" s="51" t="s">
        <v>50</v>
      </c>
      <c r="E472" s="51" t="s">
        <v>51</v>
      </c>
      <c r="F472" s="51" t="s">
        <v>25</v>
      </c>
      <c r="G472" s="51" t="s">
        <v>25</v>
      </c>
      <c r="H472" s="51" t="s">
        <v>34</v>
      </c>
      <c r="I472" s="59">
        <v>44440</v>
      </c>
      <c r="J472" s="60">
        <f ca="1">EFEITO!$J$472*EFEITO!$Y$428</f>
        <v>355036.58404417749</v>
      </c>
      <c r="K472" s="60">
        <f ca="1">EFEITO!$L$472*EFEITO!$Z$428</f>
        <v>14285.508280244481</v>
      </c>
      <c r="L472" s="60">
        <f>EFEITO!$N$472*EFEITO!$AA$428</f>
        <v>79451.365087227736</v>
      </c>
      <c r="M472" s="60">
        <f ca="1">$J$472-EFEITO!$K$472*EFEITO!$Y$472</f>
        <v>10651.097521325399</v>
      </c>
      <c r="N472" s="60">
        <f ca="1">$K$472-EFEITO!$M$472*EFEITO!$Z$472</f>
        <v>428.56524840733437</v>
      </c>
      <c r="O472" s="60">
        <f>$L$472-EFEITO!$O$472*EFEITO!$AA$472</f>
        <v>2383.5409526168369</v>
      </c>
      <c r="P472" s="18"/>
      <c r="Q472" s="18"/>
      <c r="R472" s="18"/>
      <c r="S472" s="18"/>
      <c r="T472" s="18"/>
      <c r="U472" s="18"/>
      <c r="V472" s="18"/>
      <c r="W472" s="18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1" t="s">
        <v>21</v>
      </c>
      <c r="B473" s="51" t="s">
        <v>41</v>
      </c>
      <c r="C473" s="51" t="s">
        <v>40</v>
      </c>
      <c r="D473" s="51" t="s">
        <v>50</v>
      </c>
      <c r="E473" s="51" t="s">
        <v>51</v>
      </c>
      <c r="F473" s="51" t="s">
        <v>25</v>
      </c>
      <c r="G473" s="51" t="s">
        <v>25</v>
      </c>
      <c r="H473" s="51" t="s">
        <v>34</v>
      </c>
      <c r="I473" s="59">
        <v>44470</v>
      </c>
      <c r="J473" s="60">
        <f ca="1">EFEITO!$J$473*EFEITO!$Y$428</f>
        <v>351090.10904656828</v>
      </c>
      <c r="K473" s="60">
        <f ca="1">EFEITO!$L$473*EFEITO!$Z$428</f>
        <v>13873.68634026055</v>
      </c>
      <c r="L473" s="60">
        <f>EFEITO!$N$473*EFEITO!$AA$428</f>
        <v>77160.944987171359</v>
      </c>
      <c r="M473" s="60">
        <f ca="1">$J$473-EFEITO!$K$473*EFEITO!$Y$473</f>
        <v>10532.703271397098</v>
      </c>
      <c r="N473" s="60">
        <f ca="1">$K$473-EFEITO!$M$473*EFEITO!$Z$473</f>
        <v>416.21059020781649</v>
      </c>
      <c r="O473" s="60">
        <f>$L$473-EFEITO!$O$473*EFEITO!$AA$473</f>
        <v>2314.8283496151416</v>
      </c>
      <c r="P473" s="18"/>
      <c r="Q473" s="18"/>
      <c r="R473" s="18"/>
      <c r="S473" s="18"/>
      <c r="T473" s="18"/>
      <c r="U473" s="18"/>
      <c r="V473" s="18"/>
      <c r="W473" s="18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1" t="s">
        <v>21</v>
      </c>
      <c r="B474" s="51" t="s">
        <v>41</v>
      </c>
      <c r="C474" s="51" t="s">
        <v>40</v>
      </c>
      <c r="D474" s="51" t="s">
        <v>50</v>
      </c>
      <c r="E474" s="51" t="s">
        <v>51</v>
      </c>
      <c r="F474" s="51" t="s">
        <v>25</v>
      </c>
      <c r="G474" s="51" t="s">
        <v>25</v>
      </c>
      <c r="H474" s="51" t="s">
        <v>34</v>
      </c>
      <c r="I474" s="59">
        <v>44501</v>
      </c>
      <c r="J474" s="60">
        <f ca="1">EFEITO!$J$474*EFEITO!$Y$428</f>
        <v>368703.08079515753</v>
      </c>
      <c r="K474" s="60">
        <f ca="1">EFEITO!$L$474*EFEITO!$Z$428</f>
        <v>13884.672592487432</v>
      </c>
      <c r="L474" s="60">
        <f>EFEITO!$N$474*EFEITO!$AA$428</f>
        <v>77222.046959848478</v>
      </c>
      <c r="M474" s="60">
        <f ca="1">$J$474-EFEITO!$K$474*EFEITO!$Y$474</f>
        <v>11061.092423854745</v>
      </c>
      <c r="N474" s="60">
        <f ca="1">$K$474-EFEITO!$M$474*EFEITO!$Z$474</f>
        <v>416.54017777462286</v>
      </c>
      <c r="O474" s="60">
        <f>$L$474-EFEITO!$O$474*EFEITO!$AA$474</f>
        <v>2316.6614087954658</v>
      </c>
      <c r="P474" s="18"/>
      <c r="Q474" s="18"/>
      <c r="R474" s="18"/>
      <c r="S474" s="18"/>
      <c r="T474" s="18"/>
      <c r="U474" s="18"/>
      <c r="V474" s="18"/>
      <c r="W474" s="18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1" t="s">
        <v>21</v>
      </c>
      <c r="B475" s="51" t="s">
        <v>41</v>
      </c>
      <c r="C475" s="51" t="s">
        <v>40</v>
      </c>
      <c r="D475" s="51" t="s">
        <v>50</v>
      </c>
      <c r="E475" s="51" t="s">
        <v>51</v>
      </c>
      <c r="F475" s="51" t="s">
        <v>25</v>
      </c>
      <c r="G475" s="51" t="s">
        <v>25</v>
      </c>
      <c r="H475" s="51" t="s">
        <v>34</v>
      </c>
      <c r="I475" s="59">
        <v>44531</v>
      </c>
      <c r="J475" s="60">
        <f ca="1">EFEITO!$J$475*EFEITO!$Y$428</f>
        <v>352332.51784211188</v>
      </c>
      <c r="K475" s="60">
        <f ca="1">EFEITO!$L$475*EFEITO!$Z$428</f>
        <v>14334.978918970255</v>
      </c>
      <c r="L475" s="60">
        <f>EFEITO!$N$475*EFEITO!$AA$428</f>
        <v>79726.504739341835</v>
      </c>
      <c r="M475" s="60">
        <f ca="1">$J$475-EFEITO!$K$475*EFEITO!$Y$475</f>
        <v>10569.975535263366</v>
      </c>
      <c r="N475" s="60">
        <f ca="1">$K$475-EFEITO!$M$475*EFEITO!$Z$475</f>
        <v>430.04936756910865</v>
      </c>
      <c r="O475" s="60">
        <f>$L$475-EFEITO!$O$475*EFEITO!$AA$475</f>
        <v>2391.7951421802572</v>
      </c>
      <c r="P475" s="18"/>
      <c r="Q475" s="18"/>
      <c r="R475" s="18"/>
      <c r="S475" s="18"/>
      <c r="T475" s="18"/>
      <c r="U475" s="18"/>
      <c r="V475" s="18"/>
      <c r="W475" s="18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1" t="s">
        <v>21</v>
      </c>
      <c r="B476" s="51" t="s">
        <v>41</v>
      </c>
      <c r="C476" s="51" t="s">
        <v>40</v>
      </c>
      <c r="D476" s="51" t="s">
        <v>50</v>
      </c>
      <c r="E476" s="51" t="s">
        <v>51</v>
      </c>
      <c r="F476" s="51" t="s">
        <v>25</v>
      </c>
      <c r="G476" s="51" t="s">
        <v>25</v>
      </c>
      <c r="H476" s="51" t="s">
        <v>34</v>
      </c>
      <c r="I476" s="59">
        <v>44562</v>
      </c>
      <c r="J476" s="60">
        <f ca="1">EFEITO!$J$476*EFEITO!$Y$428</f>
        <v>364245.02570526564</v>
      </c>
      <c r="K476" s="60">
        <f ca="1">EFEITO!$L$476*EFEITO!$Z$428</f>
        <v>14689.074279205846</v>
      </c>
      <c r="L476" s="60">
        <f>EFEITO!$N$476*EFEITO!$AA$428</f>
        <v>81695.86832024272</v>
      </c>
      <c r="M476" s="60">
        <f ca="1">$J$476-EFEITO!$K$476*EFEITO!$Y$476</f>
        <v>10927.350771158002</v>
      </c>
      <c r="N476" s="60">
        <f ca="1">$K$476-EFEITO!$M$476*EFEITO!$Z$476</f>
        <v>440.67222837617555</v>
      </c>
      <c r="O476" s="60">
        <f>$L$476-EFEITO!$O$476*EFEITO!$AA$476</f>
        <v>2450.8760496072937</v>
      </c>
      <c r="P476" s="18"/>
      <c r="Q476" s="18"/>
      <c r="R476" s="18"/>
      <c r="S476" s="18"/>
      <c r="T476" s="18"/>
      <c r="U476" s="18"/>
      <c r="V476" s="18"/>
      <c r="W476" s="18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1" t="s">
        <v>21</v>
      </c>
      <c r="B477" s="51" t="s">
        <v>41</v>
      </c>
      <c r="C477" s="51" t="s">
        <v>40</v>
      </c>
      <c r="D477" s="51" t="s">
        <v>50</v>
      </c>
      <c r="E477" s="51" t="s">
        <v>51</v>
      </c>
      <c r="F477" s="51" t="s">
        <v>25</v>
      </c>
      <c r="G477" s="51" t="s">
        <v>25</v>
      </c>
      <c r="H477" s="51" t="s">
        <v>34</v>
      </c>
      <c r="I477" s="59">
        <v>44593</v>
      </c>
      <c r="J477" s="60">
        <f ca="1">EFEITO!$J$477*EFEITO!$Y$428</f>
        <v>361394.7937625479</v>
      </c>
      <c r="K477" s="60">
        <f ca="1">EFEITO!$L$477*EFEITO!$Z$428</f>
        <v>13526.741795083875</v>
      </c>
      <c r="L477" s="60">
        <f>EFEITO!$N$477*EFEITO!$AA$428</f>
        <v>75231.351921030742</v>
      </c>
      <c r="M477" s="60">
        <f ca="1">$J$477-EFEITO!$K$477*EFEITO!$Y$477</f>
        <v>10841.843812876497</v>
      </c>
      <c r="N477" s="60">
        <f ca="1">$K$477-EFEITO!$M$477*EFEITO!$Z$477</f>
        <v>405.80225385251651</v>
      </c>
      <c r="O477" s="60">
        <f>$L$477-EFEITO!$O$477*EFEITO!$AA$477</f>
        <v>2256.9405576309364</v>
      </c>
      <c r="P477" s="18"/>
      <c r="Q477" s="18"/>
      <c r="R477" s="18"/>
      <c r="S477" s="18"/>
      <c r="T477" s="18"/>
      <c r="U477" s="18"/>
      <c r="V477" s="18"/>
      <c r="W477" s="18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1" t="s">
        <v>56</v>
      </c>
      <c r="B478" s="51" t="s">
        <v>41</v>
      </c>
      <c r="C478" s="51" t="s">
        <v>40</v>
      </c>
      <c r="D478" s="51" t="s">
        <v>50</v>
      </c>
      <c r="E478" s="51" t="s">
        <v>51</v>
      </c>
      <c r="F478" s="51" t="s">
        <v>25</v>
      </c>
      <c r="G478" s="51" t="s">
        <v>25</v>
      </c>
      <c r="H478" s="51" t="s">
        <v>34</v>
      </c>
      <c r="I478" s="59">
        <v>44621</v>
      </c>
      <c r="J478" s="60">
        <f ca="1">EFEITO!$J$478*EFEITO!$Y$428</f>
        <v>361394.7937625479</v>
      </c>
      <c r="K478" s="60">
        <f ca="1">EFEITO!$L$478*EFEITO!$Z$428</f>
        <v>13526.741795083875</v>
      </c>
      <c r="L478" s="60">
        <f>EFEITO!$N$478*EFEITO!$AA$428</f>
        <v>75231.351921030742</v>
      </c>
      <c r="M478" s="60">
        <f ca="1">$J$478-EFEITO!$K$478*EFEITO!$Y$478</f>
        <v>10841.843812876497</v>
      </c>
      <c r="N478" s="60">
        <f ca="1">$K$478-EFEITO!$M$478*EFEITO!$Z$478</f>
        <v>405.80225385251651</v>
      </c>
      <c r="O478" s="60">
        <f>$L$478-EFEITO!$O$478*EFEITO!$AA$478</f>
        <v>2256.9405576309364</v>
      </c>
      <c r="P478" s="18"/>
      <c r="Q478" s="18"/>
      <c r="R478" s="18"/>
      <c r="S478" s="18"/>
      <c r="T478" s="18"/>
      <c r="U478" s="18"/>
      <c r="V478" s="18"/>
      <c r="W478" s="18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1" t="s">
        <v>21</v>
      </c>
      <c r="B479" s="51" t="s">
        <v>41</v>
      </c>
      <c r="C479" s="51" t="s">
        <v>61</v>
      </c>
      <c r="D479" s="51" t="s">
        <v>25</v>
      </c>
      <c r="E479" s="51" t="s">
        <v>25</v>
      </c>
      <c r="F479" s="51" t="s">
        <v>64</v>
      </c>
      <c r="G479" s="51" t="s">
        <v>68</v>
      </c>
      <c r="H479" s="51" t="s">
        <v>35</v>
      </c>
      <c r="I479" s="59">
        <v>44287</v>
      </c>
      <c r="J479" s="60">
        <f ca="1">EFEITO!$J$479*EFEITO!$Y$479</f>
        <v>32881.192261189419</v>
      </c>
      <c r="K479" s="60">
        <f ca="1">EFEITO!$L$479*EFEITO!$Z$479</f>
        <v>11120.4807515716</v>
      </c>
      <c r="L479" s="60">
        <f>EFEITO!$N$479*EFEITO!$AA$479</f>
        <v>0</v>
      </c>
      <c r="M479" s="60">
        <f ca="1">$J$479-EFEITO!$K$479*EFEITO!$Y$479</f>
        <v>0</v>
      </c>
      <c r="N479" s="60">
        <f ca="1">$K$479-EFEITO!$M$479*EFEITO!$Z$479</f>
        <v>0</v>
      </c>
      <c r="O479" s="60">
        <f>$L$479-EFEITO!$O$479*EFEITO!$AA$479</f>
        <v>0</v>
      </c>
      <c r="P479" s="18"/>
      <c r="Q479" s="18"/>
      <c r="R479" s="18"/>
      <c r="S479" s="18"/>
      <c r="T479" s="18"/>
      <c r="U479" s="18"/>
      <c r="V479" s="18"/>
      <c r="W479" s="18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1" t="s">
        <v>21</v>
      </c>
      <c r="B480" s="51" t="s">
        <v>41</v>
      </c>
      <c r="C480" s="51" t="s">
        <v>61</v>
      </c>
      <c r="D480" s="51" t="s">
        <v>25</v>
      </c>
      <c r="E480" s="51" t="s">
        <v>25</v>
      </c>
      <c r="F480" s="51" t="s">
        <v>64</v>
      </c>
      <c r="G480" s="51" t="s">
        <v>68</v>
      </c>
      <c r="H480" s="51" t="s">
        <v>35</v>
      </c>
      <c r="I480" s="59">
        <v>44317</v>
      </c>
      <c r="J480" s="60">
        <f ca="1">EFEITO!$J$480*EFEITO!$Y$480</f>
        <v>33227.310074465095</v>
      </c>
      <c r="K480" s="60">
        <f ca="1">EFEITO!$L$480*EFEITO!$Z$480</f>
        <v>10354.644990735811</v>
      </c>
      <c r="L480" s="60">
        <f>EFEITO!$N$480*EFEITO!$AA$480</f>
        <v>0</v>
      </c>
      <c r="M480" s="60">
        <f ca="1">$J$480-EFEITO!$K$480*EFEITO!$Y$480</f>
        <v>0</v>
      </c>
      <c r="N480" s="60">
        <f ca="1">$K$480-EFEITO!$M$480*EFEITO!$Z$480</f>
        <v>0</v>
      </c>
      <c r="O480" s="60">
        <f>$L$480-EFEITO!$O$480*EFEITO!$AA$480</f>
        <v>0</v>
      </c>
      <c r="P480" s="18"/>
      <c r="Q480" s="18"/>
      <c r="R480" s="18"/>
      <c r="S480" s="18"/>
      <c r="T480" s="18"/>
      <c r="U480" s="18"/>
      <c r="V480" s="18"/>
      <c r="W480" s="18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1" t="s">
        <v>21</v>
      </c>
      <c r="B481" s="51" t="s">
        <v>41</v>
      </c>
      <c r="C481" s="51" t="s">
        <v>61</v>
      </c>
      <c r="D481" s="51" t="s">
        <v>25</v>
      </c>
      <c r="E481" s="51" t="s">
        <v>25</v>
      </c>
      <c r="F481" s="51" t="s">
        <v>64</v>
      </c>
      <c r="G481" s="51" t="s">
        <v>68</v>
      </c>
      <c r="H481" s="51" t="s">
        <v>35</v>
      </c>
      <c r="I481" s="59">
        <v>44348</v>
      </c>
      <c r="J481" s="60">
        <f ca="1">EFEITO!$J$481*EFEITO!$Y$481</f>
        <v>31892.28422325891</v>
      </c>
      <c r="K481" s="60">
        <f ca="1">EFEITO!$L$481*EFEITO!$Z$481</f>
        <v>10070.005965253577</v>
      </c>
      <c r="L481" s="60">
        <f>EFEITO!$N$481*EFEITO!$AA$481</f>
        <v>0</v>
      </c>
      <c r="M481" s="60">
        <f ca="1">$J$481-EFEITO!$K$481*EFEITO!$Y$481</f>
        <v>0</v>
      </c>
      <c r="N481" s="60">
        <f ca="1">$K$481-EFEITO!$M$481*EFEITO!$Z$481</f>
        <v>0</v>
      </c>
      <c r="O481" s="60">
        <f>$L$481-EFEITO!$O$481*EFEITO!$AA$481</f>
        <v>0</v>
      </c>
      <c r="P481" s="18"/>
      <c r="Q481" s="18"/>
      <c r="R481" s="18"/>
      <c r="S481" s="18"/>
      <c r="T481" s="18"/>
      <c r="U481" s="18"/>
      <c r="V481" s="18"/>
      <c r="W481" s="18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1" t="s">
        <v>21</v>
      </c>
      <c r="B482" s="51" t="s">
        <v>41</v>
      </c>
      <c r="C482" s="51" t="s">
        <v>61</v>
      </c>
      <c r="D482" s="51" t="s">
        <v>25</v>
      </c>
      <c r="E482" s="51" t="s">
        <v>25</v>
      </c>
      <c r="F482" s="51" t="s">
        <v>64</v>
      </c>
      <c r="G482" s="51" t="s">
        <v>68</v>
      </c>
      <c r="H482" s="51" t="s">
        <v>35</v>
      </c>
      <c r="I482" s="59">
        <v>44378</v>
      </c>
      <c r="J482" s="60">
        <f ca="1">EFEITO!$J$482*EFEITO!$Y$482</f>
        <v>31941.729625155436</v>
      </c>
      <c r="K482" s="60">
        <f ca="1">EFEITO!$L$482*EFEITO!$Z$482</f>
        <v>9703.0283609042726</v>
      </c>
      <c r="L482" s="60">
        <f>EFEITO!$N$482*EFEITO!$AA$482</f>
        <v>0</v>
      </c>
      <c r="M482" s="60">
        <f ca="1">$J$482-EFEITO!$K$482*EFEITO!$Y$482</f>
        <v>0</v>
      </c>
      <c r="N482" s="60">
        <f ca="1">$K$482-EFEITO!$M$482*EFEITO!$Z$482</f>
        <v>0</v>
      </c>
      <c r="O482" s="60">
        <f>$L$482-EFEITO!$O$482*EFEITO!$AA$482</f>
        <v>0</v>
      </c>
      <c r="P482" s="18"/>
      <c r="Q482" s="18"/>
      <c r="R482" s="18"/>
      <c r="S482" s="18"/>
      <c r="T482" s="18"/>
      <c r="U482" s="18"/>
      <c r="V482" s="18"/>
      <c r="W482" s="18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1" t="s">
        <v>21</v>
      </c>
      <c r="B483" s="51" t="s">
        <v>41</v>
      </c>
      <c r="C483" s="51" t="s">
        <v>61</v>
      </c>
      <c r="D483" s="51" t="s">
        <v>25</v>
      </c>
      <c r="E483" s="51" t="s">
        <v>25</v>
      </c>
      <c r="F483" s="51" t="s">
        <v>64</v>
      </c>
      <c r="G483" s="51" t="s">
        <v>68</v>
      </c>
      <c r="H483" s="51" t="s">
        <v>35</v>
      </c>
      <c r="I483" s="59">
        <v>44409</v>
      </c>
      <c r="J483" s="60">
        <f ca="1">EFEITO!$J$483*EFEITO!$Y$483</f>
        <v>31562.648210615407</v>
      </c>
      <c r="K483" s="60">
        <f ca="1">EFEITO!$L$483*EFEITO!$Z$483</f>
        <v>9316.1797723267573</v>
      </c>
      <c r="L483" s="60">
        <f>EFEITO!$N$483*EFEITO!$AA$483</f>
        <v>0</v>
      </c>
      <c r="M483" s="60">
        <f ca="1">$J$483-EFEITO!$K$483*EFEITO!$Y$483</f>
        <v>0</v>
      </c>
      <c r="N483" s="60">
        <f ca="1">$K$483-EFEITO!$M$483*EFEITO!$Z$483</f>
        <v>0</v>
      </c>
      <c r="O483" s="60">
        <f>$L$483-EFEITO!$O$483*EFEITO!$AA$483</f>
        <v>0</v>
      </c>
      <c r="P483" s="18"/>
      <c r="Q483" s="18"/>
      <c r="R483" s="18"/>
      <c r="S483" s="18"/>
      <c r="T483" s="18"/>
      <c r="U483" s="18"/>
      <c r="V483" s="18"/>
      <c r="W483" s="18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1" t="s">
        <v>21</v>
      </c>
      <c r="B484" s="51" t="s">
        <v>41</v>
      </c>
      <c r="C484" s="51" t="s">
        <v>61</v>
      </c>
      <c r="D484" s="51" t="s">
        <v>25</v>
      </c>
      <c r="E484" s="51" t="s">
        <v>25</v>
      </c>
      <c r="F484" s="51" t="s">
        <v>64</v>
      </c>
      <c r="G484" s="51" t="s">
        <v>68</v>
      </c>
      <c r="H484" s="51" t="s">
        <v>35</v>
      </c>
      <c r="I484" s="59">
        <v>44440</v>
      </c>
      <c r="J484" s="60">
        <f ca="1">EFEITO!$J$484*EFEITO!$Y$484</f>
        <v>32353.774640959815</v>
      </c>
      <c r="K484" s="60">
        <f ca="1">EFEITO!$L$484*EFEITO!$Z$484</f>
        <v>9643.1477855364283</v>
      </c>
      <c r="L484" s="60">
        <f>EFEITO!$N$484*EFEITO!$AA$484</f>
        <v>0</v>
      </c>
      <c r="M484" s="60">
        <f ca="1">$J$484-EFEITO!$K$484*EFEITO!$Y$484</f>
        <v>0</v>
      </c>
      <c r="N484" s="60">
        <f ca="1">$K$484-EFEITO!$M$484*EFEITO!$Z$484</f>
        <v>0</v>
      </c>
      <c r="O484" s="60">
        <f>$L$484-EFEITO!$O$484*EFEITO!$AA$484</f>
        <v>0</v>
      </c>
      <c r="P484" s="18"/>
      <c r="Q484" s="18"/>
      <c r="R484" s="18"/>
      <c r="S484" s="18"/>
      <c r="T484" s="18"/>
      <c r="U484" s="18"/>
      <c r="V484" s="18"/>
      <c r="W484" s="18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1" t="s">
        <v>21</v>
      </c>
      <c r="B485" s="51" t="s">
        <v>41</v>
      </c>
      <c r="C485" s="51" t="s">
        <v>61</v>
      </c>
      <c r="D485" s="51" t="s">
        <v>25</v>
      </c>
      <c r="E485" s="51" t="s">
        <v>25</v>
      </c>
      <c r="F485" s="51" t="s">
        <v>64</v>
      </c>
      <c r="G485" s="51" t="s">
        <v>68</v>
      </c>
      <c r="H485" s="51" t="s">
        <v>35</v>
      </c>
      <c r="I485" s="59">
        <v>44470</v>
      </c>
      <c r="J485" s="60">
        <f ca="1">EFEITO!$J$485*EFEITO!$Y$485</f>
        <v>33111.937470039869</v>
      </c>
      <c r="K485" s="60">
        <f ca="1">EFEITO!$L$485*EFEITO!$Z$485</f>
        <v>9931.9015097729898</v>
      </c>
      <c r="L485" s="60">
        <f>EFEITO!$N$485*EFEITO!$AA$485</f>
        <v>0</v>
      </c>
      <c r="M485" s="60">
        <f ca="1">$J$485-EFEITO!$K$485*EFEITO!$Y$485</f>
        <v>0</v>
      </c>
      <c r="N485" s="60">
        <f ca="1">$K$485-EFEITO!$M$485*EFEITO!$Z$485</f>
        <v>0</v>
      </c>
      <c r="O485" s="60">
        <f>$L$485-EFEITO!$O$485*EFEITO!$AA$485</f>
        <v>0</v>
      </c>
      <c r="P485" s="18"/>
      <c r="Q485" s="18"/>
      <c r="R485" s="18"/>
      <c r="S485" s="18"/>
      <c r="T485" s="18"/>
      <c r="U485" s="18"/>
      <c r="V485" s="18"/>
      <c r="W485" s="18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1" t="s">
        <v>21</v>
      </c>
      <c r="B486" s="51" t="s">
        <v>41</v>
      </c>
      <c r="C486" s="51" t="s">
        <v>61</v>
      </c>
      <c r="D486" s="51" t="s">
        <v>25</v>
      </c>
      <c r="E486" s="51" t="s">
        <v>25</v>
      </c>
      <c r="F486" s="51" t="s">
        <v>64</v>
      </c>
      <c r="G486" s="51" t="s">
        <v>68</v>
      </c>
      <c r="H486" s="51" t="s">
        <v>35</v>
      </c>
      <c r="I486" s="59">
        <v>44501</v>
      </c>
      <c r="J486" s="60">
        <f ca="1">EFEITO!$J$486*EFEITO!$Y$486</f>
        <v>33655.83689090165</v>
      </c>
      <c r="K486" s="60">
        <f ca="1">EFEITO!$L$486*EFEITO!$Z$486</f>
        <v>11166.890985217962</v>
      </c>
      <c r="L486" s="60">
        <f>EFEITO!$N$486*EFEITO!$AA$486</f>
        <v>0</v>
      </c>
      <c r="M486" s="60">
        <f ca="1">$J$486-EFEITO!$K$486*EFEITO!$Y$486</f>
        <v>0</v>
      </c>
      <c r="N486" s="60">
        <f ca="1">$K$486-EFEITO!$M$486*EFEITO!$Z$486</f>
        <v>0</v>
      </c>
      <c r="O486" s="60">
        <f>$L$486-EFEITO!$O$486*EFEITO!$AA$486</f>
        <v>0</v>
      </c>
      <c r="P486" s="18"/>
      <c r="Q486" s="18"/>
      <c r="R486" s="18"/>
      <c r="S486" s="18"/>
      <c r="T486" s="18"/>
      <c r="U486" s="18"/>
      <c r="V486" s="18"/>
      <c r="W486" s="18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1" t="s">
        <v>21</v>
      </c>
      <c r="B487" s="51" t="s">
        <v>41</v>
      </c>
      <c r="C487" s="51" t="s">
        <v>61</v>
      </c>
      <c r="D487" s="51" t="s">
        <v>25</v>
      </c>
      <c r="E487" s="51" t="s">
        <v>25</v>
      </c>
      <c r="F487" s="51" t="s">
        <v>64</v>
      </c>
      <c r="G487" s="51" t="s">
        <v>68</v>
      </c>
      <c r="H487" s="51" t="s">
        <v>35</v>
      </c>
      <c r="I487" s="59">
        <v>44531</v>
      </c>
      <c r="J487" s="60">
        <f ca="1">EFEITO!$J$487*EFEITO!$Y$487</f>
        <v>33128.41927067205</v>
      </c>
      <c r="K487" s="60">
        <f ca="1">EFEITO!$L$487*EFEITO!$Z$487</f>
        <v>10892.488527368443</v>
      </c>
      <c r="L487" s="60">
        <f>EFEITO!$N$487*EFEITO!$AA$487</f>
        <v>0</v>
      </c>
      <c r="M487" s="60">
        <f ca="1">$J$487-EFEITO!$K$487*EFEITO!$Y$487</f>
        <v>0</v>
      </c>
      <c r="N487" s="60">
        <f ca="1">$K$487-EFEITO!$M$487*EFEITO!$Z$487</f>
        <v>0</v>
      </c>
      <c r="O487" s="60">
        <f>$L$487-EFEITO!$O$487*EFEITO!$AA$487</f>
        <v>0</v>
      </c>
      <c r="P487" s="18"/>
      <c r="Q487" s="18"/>
      <c r="R487" s="18"/>
      <c r="S487" s="18"/>
      <c r="T487" s="18"/>
      <c r="U487" s="18"/>
      <c r="V487" s="18"/>
      <c r="W487" s="18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1" t="s">
        <v>21</v>
      </c>
      <c r="B488" s="51" t="s">
        <v>41</v>
      </c>
      <c r="C488" s="51" t="s">
        <v>61</v>
      </c>
      <c r="D488" s="51" t="s">
        <v>25</v>
      </c>
      <c r="E488" s="51" t="s">
        <v>25</v>
      </c>
      <c r="F488" s="51" t="s">
        <v>64</v>
      </c>
      <c r="G488" s="51" t="s">
        <v>68</v>
      </c>
      <c r="H488" s="51" t="s">
        <v>35</v>
      </c>
      <c r="I488" s="59">
        <v>44562</v>
      </c>
      <c r="J488" s="60">
        <f ca="1">EFEITO!$J$488*EFEITO!$Y$488</f>
        <v>33573.427887740778</v>
      </c>
      <c r="K488" s="60">
        <f ca="1">EFEITO!$L$488*EFEITO!$Z$488</f>
        <v>11146.116774433924</v>
      </c>
      <c r="L488" s="60">
        <f>EFEITO!$N$488*EFEITO!$AA$488</f>
        <v>0</v>
      </c>
      <c r="M488" s="60">
        <f ca="1">$J$488-EFEITO!$K$488*EFEITO!$Y$488</f>
        <v>0</v>
      </c>
      <c r="N488" s="60">
        <f ca="1">$K$488-EFEITO!$M$488*EFEITO!$Z$488</f>
        <v>0</v>
      </c>
      <c r="O488" s="60">
        <f>$L$488-EFEITO!$O$488*EFEITO!$AA$488</f>
        <v>0</v>
      </c>
      <c r="P488" s="18"/>
      <c r="Q488" s="18"/>
      <c r="R488" s="18"/>
      <c r="S488" s="18"/>
      <c r="T488" s="18"/>
      <c r="U488" s="18"/>
      <c r="V488" s="18"/>
      <c r="W488" s="18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1" t="s">
        <v>21</v>
      </c>
      <c r="B489" s="51" t="s">
        <v>41</v>
      </c>
      <c r="C489" s="51" t="s">
        <v>61</v>
      </c>
      <c r="D489" s="51" t="s">
        <v>25</v>
      </c>
      <c r="E489" s="51" t="s">
        <v>25</v>
      </c>
      <c r="F489" s="51" t="s">
        <v>64</v>
      </c>
      <c r="G489" s="51" t="s">
        <v>68</v>
      </c>
      <c r="H489" s="51" t="s">
        <v>35</v>
      </c>
      <c r="I489" s="59">
        <v>44593</v>
      </c>
      <c r="J489" s="60">
        <f ca="1">EFEITO!$J$489*EFEITO!$Y$489</f>
        <v>34496.408723142587</v>
      </c>
      <c r="K489" s="60">
        <f ca="1">EFEITO!$L$489*EFEITO!$Z$489</f>
        <v>11576.632464154916</v>
      </c>
      <c r="L489" s="60">
        <f>EFEITO!$N$489*EFEITO!$AA$489</f>
        <v>0</v>
      </c>
      <c r="M489" s="60">
        <f ca="1">$J$489-EFEITO!$K$489*EFEITO!$Y$489</f>
        <v>0</v>
      </c>
      <c r="N489" s="60">
        <f ca="1">$K$489-EFEITO!$M$489*EFEITO!$Z$489</f>
        <v>0</v>
      </c>
      <c r="O489" s="60">
        <f>$L$489-EFEITO!$O$489*EFEITO!$AA$489</f>
        <v>0</v>
      </c>
      <c r="P489" s="18"/>
      <c r="Q489" s="18"/>
      <c r="R489" s="18"/>
      <c r="S489" s="18"/>
      <c r="T489" s="18"/>
      <c r="U489" s="18"/>
      <c r="V489" s="18"/>
      <c r="W489" s="18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1" t="s">
        <v>56</v>
      </c>
      <c r="B490" s="51" t="s">
        <v>41</v>
      </c>
      <c r="C490" s="51" t="s">
        <v>61</v>
      </c>
      <c r="D490" s="51" t="s">
        <v>25</v>
      </c>
      <c r="E490" s="51" t="s">
        <v>25</v>
      </c>
      <c r="F490" s="51" t="s">
        <v>64</v>
      </c>
      <c r="G490" s="51" t="s">
        <v>68</v>
      </c>
      <c r="H490" s="51" t="s">
        <v>35</v>
      </c>
      <c r="I490" s="59">
        <v>44621</v>
      </c>
      <c r="J490" s="60">
        <f ca="1">EFEITO!$J$490*EFEITO!$Y$490</f>
        <v>34496.408723142587</v>
      </c>
      <c r="K490" s="60">
        <f ca="1">EFEITO!$L$490*EFEITO!$Z$490</f>
        <v>11576.632464154916</v>
      </c>
      <c r="L490" s="60">
        <f>EFEITO!$N$490*EFEITO!$AA$490</f>
        <v>0</v>
      </c>
      <c r="M490" s="60">
        <f ca="1">$J$490-EFEITO!$K$490*EFEITO!$Y$490</f>
        <v>0</v>
      </c>
      <c r="N490" s="60">
        <f ca="1">$K$490-EFEITO!$M$490*EFEITO!$Z$490</f>
        <v>0</v>
      </c>
      <c r="O490" s="60">
        <f>$L$490-EFEITO!$O$490*EFEITO!$AA$490</f>
        <v>0</v>
      </c>
      <c r="P490" s="18"/>
      <c r="Q490" s="18"/>
      <c r="R490" s="18"/>
      <c r="S490" s="18"/>
      <c r="T490" s="18"/>
      <c r="U490" s="18"/>
      <c r="V490" s="18"/>
      <c r="W490" s="18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1" t="s">
        <v>21</v>
      </c>
      <c r="B491" s="51" t="s">
        <v>41</v>
      </c>
      <c r="C491" s="51" t="s">
        <v>61</v>
      </c>
      <c r="D491" s="51" t="s">
        <v>25</v>
      </c>
      <c r="E491" s="51" t="s">
        <v>25</v>
      </c>
      <c r="F491" s="51" t="s">
        <v>64</v>
      </c>
      <c r="G491" s="51" t="s">
        <v>68</v>
      </c>
      <c r="H491" s="51" t="s">
        <v>25</v>
      </c>
      <c r="I491" s="59">
        <v>44287</v>
      </c>
      <c r="J491" s="60">
        <f ca="1">EFEITO!$J$491*EFEITO!$Y$491</f>
        <v>0</v>
      </c>
      <c r="K491" s="60">
        <f ca="1">EFEITO!$L$491*EFEITO!$Z$491</f>
        <v>0</v>
      </c>
      <c r="L491" s="60">
        <f>EFEITO!$N$491*EFEITO!$AA$491</f>
        <v>281286.44543305674</v>
      </c>
      <c r="M491" s="60">
        <f ca="1">$J$491-EFEITO!$K$491*EFEITO!$Y$491</f>
        <v>0</v>
      </c>
      <c r="N491" s="60">
        <f ca="1">$K$491-EFEITO!$M$491*EFEITO!$Z$491</f>
        <v>0</v>
      </c>
      <c r="O491" s="60">
        <f>$L$491-EFEITO!$O$491*EFEITO!$AA$491</f>
        <v>0</v>
      </c>
      <c r="P491" s="18"/>
      <c r="Q491" s="18"/>
      <c r="R491" s="18"/>
      <c r="S491" s="18"/>
      <c r="T491" s="18"/>
      <c r="U491" s="18"/>
      <c r="V491" s="18"/>
      <c r="W491" s="18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1" t="s">
        <v>21</v>
      </c>
      <c r="B492" s="51" t="s">
        <v>41</v>
      </c>
      <c r="C492" s="51" t="s">
        <v>61</v>
      </c>
      <c r="D492" s="51" t="s">
        <v>25</v>
      </c>
      <c r="E492" s="51" t="s">
        <v>25</v>
      </c>
      <c r="F492" s="51" t="s">
        <v>64</v>
      </c>
      <c r="G492" s="51" t="s">
        <v>68</v>
      </c>
      <c r="H492" s="51" t="s">
        <v>25</v>
      </c>
      <c r="I492" s="59">
        <v>44317</v>
      </c>
      <c r="J492" s="60">
        <f ca="1">EFEITO!$J$492*EFEITO!$Y$492</f>
        <v>0</v>
      </c>
      <c r="K492" s="60">
        <f ca="1">EFEITO!$L$492*EFEITO!$Z$492</f>
        <v>0</v>
      </c>
      <c r="L492" s="60">
        <f>EFEITO!$N$492*EFEITO!$AA$492</f>
        <v>259374.53839112032</v>
      </c>
      <c r="M492" s="60">
        <f ca="1">$J$492-EFEITO!$K$492*EFEITO!$Y$492</f>
        <v>0</v>
      </c>
      <c r="N492" s="60">
        <f ca="1">$K$492-EFEITO!$M$492*EFEITO!$Z$492</f>
        <v>0</v>
      </c>
      <c r="O492" s="60">
        <f>$L$492-EFEITO!$O$492*EFEITO!$AA$492</f>
        <v>0</v>
      </c>
      <c r="P492" s="18"/>
      <c r="Q492" s="18"/>
      <c r="R492" s="18"/>
      <c r="S492" s="18"/>
      <c r="T492" s="18"/>
      <c r="U492" s="18"/>
      <c r="V492" s="18"/>
      <c r="W492" s="18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1" t="s">
        <v>21</v>
      </c>
      <c r="B493" s="51" t="s">
        <v>41</v>
      </c>
      <c r="C493" s="51" t="s">
        <v>61</v>
      </c>
      <c r="D493" s="51" t="s">
        <v>25</v>
      </c>
      <c r="E493" s="51" t="s">
        <v>25</v>
      </c>
      <c r="F493" s="51" t="s">
        <v>64</v>
      </c>
      <c r="G493" s="51" t="s">
        <v>68</v>
      </c>
      <c r="H493" s="51" t="s">
        <v>25</v>
      </c>
      <c r="I493" s="59">
        <v>44348</v>
      </c>
      <c r="J493" s="60">
        <f ca="1">EFEITO!$J$493*EFEITO!$Y$493</f>
        <v>0</v>
      </c>
      <c r="K493" s="60">
        <f ca="1">EFEITO!$L$493*EFEITO!$Z$493</f>
        <v>0</v>
      </c>
      <c r="L493" s="60">
        <f>EFEITO!$N$493*EFEITO!$AA$493</f>
        <v>254533.23196896745</v>
      </c>
      <c r="M493" s="60">
        <f ca="1">$J$493-EFEITO!$K$493*EFEITO!$Y$493</f>
        <v>0</v>
      </c>
      <c r="N493" s="60">
        <f ca="1">$K$493-EFEITO!$M$493*EFEITO!$Z$493</f>
        <v>0</v>
      </c>
      <c r="O493" s="60">
        <f>$L$493-EFEITO!$O$493*EFEITO!$AA$493</f>
        <v>0</v>
      </c>
      <c r="P493" s="18"/>
      <c r="Q493" s="18"/>
      <c r="R493" s="18"/>
      <c r="S493" s="18"/>
      <c r="T493" s="18"/>
      <c r="U493" s="18"/>
      <c r="V493" s="18"/>
      <c r="W493" s="18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1" t="s">
        <v>21</v>
      </c>
      <c r="B494" s="51" t="s">
        <v>41</v>
      </c>
      <c r="C494" s="51" t="s">
        <v>61</v>
      </c>
      <c r="D494" s="51" t="s">
        <v>25</v>
      </c>
      <c r="E494" s="51" t="s">
        <v>25</v>
      </c>
      <c r="F494" s="51" t="s">
        <v>64</v>
      </c>
      <c r="G494" s="51" t="s">
        <v>68</v>
      </c>
      <c r="H494" s="51" t="s">
        <v>25</v>
      </c>
      <c r="I494" s="59">
        <v>44378</v>
      </c>
      <c r="J494" s="60">
        <f ca="1">EFEITO!$J$494*EFEITO!$Y$494</f>
        <v>0</v>
      </c>
      <c r="K494" s="60">
        <f ca="1">EFEITO!$L$494*EFEITO!$Z$494</f>
        <v>0</v>
      </c>
      <c r="L494" s="60">
        <f>EFEITO!$N$494*EFEITO!$AA$494</f>
        <v>246310.97339268911</v>
      </c>
      <c r="M494" s="60">
        <f ca="1">$J$494-EFEITO!$K$494*EFEITO!$Y$494</f>
        <v>0</v>
      </c>
      <c r="N494" s="60">
        <f ca="1">$K$494-EFEITO!$M$494*EFEITO!$Z$494</f>
        <v>0</v>
      </c>
      <c r="O494" s="60">
        <f>$L$494-EFEITO!$O$494*EFEITO!$AA$494</f>
        <v>0</v>
      </c>
      <c r="P494" s="18"/>
      <c r="Q494" s="18"/>
      <c r="R494" s="18"/>
      <c r="S494" s="18"/>
      <c r="T494" s="18"/>
      <c r="U494" s="18"/>
      <c r="V494" s="18"/>
      <c r="W494" s="18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1" t="s">
        <v>21</v>
      </c>
      <c r="B495" s="51" t="s">
        <v>41</v>
      </c>
      <c r="C495" s="51" t="s">
        <v>61</v>
      </c>
      <c r="D495" s="51" t="s">
        <v>25</v>
      </c>
      <c r="E495" s="51" t="s">
        <v>25</v>
      </c>
      <c r="F495" s="51" t="s">
        <v>64</v>
      </c>
      <c r="G495" s="51" t="s">
        <v>68</v>
      </c>
      <c r="H495" s="51" t="s">
        <v>25</v>
      </c>
      <c r="I495" s="59">
        <v>44409</v>
      </c>
      <c r="J495" s="60">
        <f ca="1">EFEITO!$J$495*EFEITO!$Y$495</f>
        <v>0</v>
      </c>
      <c r="K495" s="60">
        <f ca="1">EFEITO!$L$495*EFEITO!$Z$495</f>
        <v>0</v>
      </c>
      <c r="L495" s="60">
        <f>EFEITO!$N$495*EFEITO!$AA$495</f>
        <v>238414.56222644984</v>
      </c>
      <c r="M495" s="60">
        <f ca="1">$J$495-EFEITO!$K$495*EFEITO!$Y$495</f>
        <v>0</v>
      </c>
      <c r="N495" s="60">
        <f ca="1">$K$495-EFEITO!$M$495*EFEITO!$Z$495</f>
        <v>0</v>
      </c>
      <c r="O495" s="60">
        <f>$L$495-EFEITO!$O$495*EFEITO!$AA$495</f>
        <v>0</v>
      </c>
      <c r="P495" s="18"/>
      <c r="Q495" s="18"/>
      <c r="R495" s="18"/>
      <c r="S495" s="18"/>
      <c r="T495" s="18"/>
      <c r="U495" s="18"/>
      <c r="V495" s="18"/>
      <c r="W495" s="18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1" t="s">
        <v>21</v>
      </c>
      <c r="B496" s="51" t="s">
        <v>41</v>
      </c>
      <c r="C496" s="51" t="s">
        <v>61</v>
      </c>
      <c r="D496" s="51" t="s">
        <v>25</v>
      </c>
      <c r="E496" s="51" t="s">
        <v>25</v>
      </c>
      <c r="F496" s="51" t="s">
        <v>64</v>
      </c>
      <c r="G496" s="51" t="s">
        <v>68</v>
      </c>
      <c r="H496" s="51" t="s">
        <v>25</v>
      </c>
      <c r="I496" s="59">
        <v>44440</v>
      </c>
      <c r="J496" s="60">
        <f ca="1">EFEITO!$J$496*EFEITO!$Y$496</f>
        <v>0</v>
      </c>
      <c r="K496" s="60">
        <f ca="1">EFEITO!$L$496*EFEITO!$Z$496</f>
        <v>0</v>
      </c>
      <c r="L496" s="60">
        <f>EFEITO!$N$496*EFEITO!$AA$496</f>
        <v>246276.99397405467</v>
      </c>
      <c r="M496" s="60">
        <f ca="1">$J$496-EFEITO!$K$496*EFEITO!$Y$496</f>
        <v>0</v>
      </c>
      <c r="N496" s="60">
        <f ca="1">$K$496-EFEITO!$M$496*EFEITO!$Z$496</f>
        <v>0</v>
      </c>
      <c r="O496" s="60">
        <f>$L$496-EFEITO!$O$496*EFEITO!$AA$496</f>
        <v>0</v>
      </c>
      <c r="P496" s="18"/>
      <c r="Q496" s="18"/>
      <c r="R496" s="18"/>
      <c r="S496" s="18"/>
      <c r="T496" s="18"/>
      <c r="U496" s="18"/>
      <c r="V496" s="18"/>
      <c r="W496" s="18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1" t="s">
        <v>21</v>
      </c>
      <c r="B497" s="51" t="s">
        <v>41</v>
      </c>
      <c r="C497" s="51" t="s">
        <v>61</v>
      </c>
      <c r="D497" s="51" t="s">
        <v>25</v>
      </c>
      <c r="E497" s="51" t="s">
        <v>25</v>
      </c>
      <c r="F497" s="51" t="s">
        <v>64</v>
      </c>
      <c r="G497" s="51" t="s">
        <v>68</v>
      </c>
      <c r="H497" s="51" t="s">
        <v>25</v>
      </c>
      <c r="I497" s="59">
        <v>44470</v>
      </c>
      <c r="J497" s="60">
        <f ca="1">EFEITO!$J$497*EFEITO!$Y$497</f>
        <v>0</v>
      </c>
      <c r="K497" s="60">
        <f ca="1">EFEITO!$L$497*EFEITO!$Z$497</f>
        <v>0</v>
      </c>
      <c r="L497" s="60">
        <f>EFEITO!$N$497*EFEITO!$AA$497</f>
        <v>251713.95453331401</v>
      </c>
      <c r="M497" s="60">
        <f ca="1">$J$497-EFEITO!$K$497*EFEITO!$Y$497</f>
        <v>0</v>
      </c>
      <c r="N497" s="60">
        <f ca="1">$K$497-EFEITO!$M$497*EFEITO!$Z$497</f>
        <v>0</v>
      </c>
      <c r="O497" s="60">
        <f>$L$497-EFEITO!$O$497*EFEITO!$AA$497</f>
        <v>0</v>
      </c>
      <c r="P497" s="18"/>
      <c r="Q497" s="18"/>
      <c r="R497" s="18"/>
      <c r="S497" s="18"/>
      <c r="T497" s="18"/>
      <c r="U497" s="18"/>
      <c r="V497" s="18"/>
      <c r="W497" s="18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1" t="s">
        <v>21</v>
      </c>
      <c r="B498" s="51" t="s">
        <v>41</v>
      </c>
      <c r="C498" s="51" t="s">
        <v>61</v>
      </c>
      <c r="D498" s="51" t="s">
        <v>25</v>
      </c>
      <c r="E498" s="51" t="s">
        <v>25</v>
      </c>
      <c r="F498" s="51" t="s">
        <v>64</v>
      </c>
      <c r="G498" s="51" t="s">
        <v>68</v>
      </c>
      <c r="H498" s="51" t="s">
        <v>25</v>
      </c>
      <c r="I498" s="59">
        <v>44501</v>
      </c>
      <c r="J498" s="60">
        <f ca="1">EFEITO!$J$498*EFEITO!$Y$498</f>
        <v>0</v>
      </c>
      <c r="K498" s="60">
        <f ca="1">EFEITO!$L$498*EFEITO!$Z$498</f>
        <v>0</v>
      </c>
      <c r="L498" s="60">
        <f>EFEITO!$N$498*EFEITO!$AA$498</f>
        <v>279305.24246446887</v>
      </c>
      <c r="M498" s="60">
        <f ca="1">$J$498-EFEITO!$K$498*EFEITO!$Y$498</f>
        <v>0</v>
      </c>
      <c r="N498" s="60">
        <f ca="1">$K$498-EFEITO!$M$498*EFEITO!$Z$498</f>
        <v>0</v>
      </c>
      <c r="O498" s="60">
        <f>$L$498-EFEITO!$O$498*EFEITO!$AA$498</f>
        <v>0</v>
      </c>
      <c r="P498" s="18"/>
      <c r="Q498" s="18"/>
      <c r="R498" s="18"/>
      <c r="S498" s="18"/>
      <c r="T498" s="18"/>
      <c r="U498" s="18"/>
      <c r="V498" s="18"/>
      <c r="W498" s="18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1" t="s">
        <v>21</v>
      </c>
      <c r="B499" s="51" t="s">
        <v>41</v>
      </c>
      <c r="C499" s="51" t="s">
        <v>61</v>
      </c>
      <c r="D499" s="51" t="s">
        <v>25</v>
      </c>
      <c r="E499" s="51" t="s">
        <v>25</v>
      </c>
      <c r="F499" s="51" t="s">
        <v>64</v>
      </c>
      <c r="G499" s="51" t="s">
        <v>68</v>
      </c>
      <c r="H499" s="51" t="s">
        <v>25</v>
      </c>
      <c r="I499" s="59">
        <v>44531</v>
      </c>
      <c r="J499" s="60">
        <f ca="1">EFEITO!$J$499*EFEITO!$Y$499</f>
        <v>0</v>
      </c>
      <c r="K499" s="60">
        <f ca="1">EFEITO!$L$499*EFEITO!$Z$499</f>
        <v>0</v>
      </c>
      <c r="L499" s="60">
        <f>EFEITO!$N$499*EFEITO!$AA$499</f>
        <v>273365.69080272119</v>
      </c>
      <c r="M499" s="60">
        <f ca="1">$J$499-EFEITO!$K$499*EFEITO!$Y$499</f>
        <v>0</v>
      </c>
      <c r="N499" s="60">
        <f ca="1">$K$499-EFEITO!$M$499*EFEITO!$Z$499</f>
        <v>0</v>
      </c>
      <c r="O499" s="60">
        <f>$L$499-EFEITO!$O$499*EFEITO!$AA$499</f>
        <v>0</v>
      </c>
      <c r="P499" s="18"/>
      <c r="Q499" s="18"/>
      <c r="R499" s="18"/>
      <c r="S499" s="18"/>
      <c r="T499" s="18"/>
      <c r="U499" s="18"/>
      <c r="V499" s="18"/>
      <c r="W499" s="18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1" t="s">
        <v>21</v>
      </c>
      <c r="B500" s="51" t="s">
        <v>41</v>
      </c>
      <c r="C500" s="51" t="s">
        <v>61</v>
      </c>
      <c r="D500" s="51" t="s">
        <v>25</v>
      </c>
      <c r="E500" s="51" t="s">
        <v>25</v>
      </c>
      <c r="F500" s="51" t="s">
        <v>64</v>
      </c>
      <c r="G500" s="51" t="s">
        <v>68</v>
      </c>
      <c r="H500" s="51" t="s">
        <v>25</v>
      </c>
      <c r="I500" s="59">
        <v>44562</v>
      </c>
      <c r="J500" s="60">
        <f ca="1">EFEITO!$J$500*EFEITO!$Y$500</f>
        <v>0</v>
      </c>
      <c r="K500" s="60">
        <f ca="1">EFEITO!$L$500*EFEITO!$Z$500</f>
        <v>0</v>
      </c>
      <c r="L500" s="60">
        <f>EFEITO!$N$500*EFEITO!$AA$500</f>
        <v>283354.37199248769</v>
      </c>
      <c r="M500" s="60">
        <f ca="1">$J$500-EFEITO!$K$500*EFEITO!$Y$500</f>
        <v>0</v>
      </c>
      <c r="N500" s="60">
        <f ca="1">$K$500-EFEITO!$M$500*EFEITO!$Z$500</f>
        <v>0</v>
      </c>
      <c r="O500" s="60">
        <f>$L$500-EFEITO!$O$500*EFEITO!$AA$500</f>
        <v>0</v>
      </c>
      <c r="P500" s="18"/>
      <c r="Q500" s="18"/>
      <c r="R500" s="18"/>
      <c r="S500" s="18"/>
      <c r="T500" s="18"/>
      <c r="U500" s="18"/>
      <c r="V500" s="18"/>
      <c r="W500" s="18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1" t="s">
        <v>27</v>
      </c>
      <c r="B501" s="51" t="s">
        <v>41</v>
      </c>
      <c r="C501" s="51" t="s">
        <v>61</v>
      </c>
      <c r="D501" s="51" t="s">
        <v>25</v>
      </c>
      <c r="E501" s="51" t="s">
        <v>25</v>
      </c>
      <c r="F501" s="51" t="s">
        <v>64</v>
      </c>
      <c r="G501" s="51" t="s">
        <v>65</v>
      </c>
      <c r="H501" s="51" t="s">
        <v>25</v>
      </c>
      <c r="I501" s="59">
        <v>44593</v>
      </c>
      <c r="J501" s="60">
        <f ca="1">EFEITO!$J$501*EFEITO!$Y$501</f>
        <v>0</v>
      </c>
      <c r="K501" s="60">
        <f ca="1">EFEITO!$L$501*EFEITO!$Z$501</f>
        <v>0</v>
      </c>
      <c r="L501" s="60">
        <f>EFEITO!$N$501*EFEITO!$AA$501</f>
        <v>-119528.94449037247</v>
      </c>
      <c r="M501" s="60">
        <f ca="1">$J$501-EFEITO!$K$501*EFEITO!$Y$501</f>
        <v>0</v>
      </c>
      <c r="N501" s="60">
        <f ca="1">$K$501-EFEITO!$M$501*EFEITO!$Z$501</f>
        <v>0</v>
      </c>
      <c r="O501" s="60">
        <f>$L$501-EFEITO!$O$501*EFEITO!$AA$501</f>
        <v>0</v>
      </c>
      <c r="P501" s="18"/>
      <c r="Q501" s="18"/>
      <c r="R501" s="18"/>
      <c r="S501" s="18"/>
      <c r="T501" s="18"/>
      <c r="U501" s="18"/>
      <c r="V501" s="18"/>
      <c r="W501" s="18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1" t="s">
        <v>21</v>
      </c>
      <c r="B502" s="51" t="s">
        <v>41</v>
      </c>
      <c r="C502" s="51" t="s">
        <v>61</v>
      </c>
      <c r="D502" s="51" t="s">
        <v>25</v>
      </c>
      <c r="E502" s="51" t="s">
        <v>25</v>
      </c>
      <c r="F502" s="51" t="s">
        <v>64</v>
      </c>
      <c r="G502" s="51" t="s">
        <v>68</v>
      </c>
      <c r="H502" s="51" t="s">
        <v>25</v>
      </c>
      <c r="I502" s="59">
        <v>44593</v>
      </c>
      <c r="J502" s="60">
        <f ca="1">EFEITO!$J$502*EFEITO!$Y$502</f>
        <v>0</v>
      </c>
      <c r="K502" s="60">
        <f ca="1">EFEITO!$L$502*EFEITO!$Z$502</f>
        <v>0</v>
      </c>
      <c r="L502" s="60">
        <f>EFEITO!$N$502*EFEITO!$AA$502</f>
        <v>290305.19172523607</v>
      </c>
      <c r="M502" s="60">
        <f ca="1">$J$502-EFEITO!$K$502*EFEITO!$Y$502</f>
        <v>0</v>
      </c>
      <c r="N502" s="60">
        <f ca="1">$K$502-EFEITO!$M$502*EFEITO!$Z$502</f>
        <v>0</v>
      </c>
      <c r="O502" s="60">
        <f>$L$502-EFEITO!$O$502*EFEITO!$AA$502</f>
        <v>0</v>
      </c>
      <c r="P502" s="18"/>
      <c r="Q502" s="18"/>
      <c r="R502" s="18"/>
      <c r="S502" s="18"/>
      <c r="T502" s="18"/>
      <c r="U502" s="18"/>
      <c r="V502" s="18"/>
      <c r="W502" s="18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1" t="s">
        <v>56</v>
      </c>
      <c r="B503" s="51" t="s">
        <v>41</v>
      </c>
      <c r="C503" s="51" t="s">
        <v>61</v>
      </c>
      <c r="D503" s="51" t="s">
        <v>25</v>
      </c>
      <c r="E503" s="51" t="s">
        <v>25</v>
      </c>
      <c r="F503" s="51" t="s">
        <v>64</v>
      </c>
      <c r="G503" s="51" t="s">
        <v>65</v>
      </c>
      <c r="H503" s="51" t="s">
        <v>25</v>
      </c>
      <c r="I503" s="59">
        <v>44621</v>
      </c>
      <c r="J503" s="60">
        <f ca="1">EFEITO!$J$503*EFEITO!$Y$503</f>
        <v>0</v>
      </c>
      <c r="K503" s="60">
        <f ca="1">EFEITO!$L$503*EFEITO!$Z$503</f>
        <v>0</v>
      </c>
      <c r="L503" s="60">
        <f>EFEITO!$N$503*EFEITO!$AA$503</f>
        <v>-119528.94449037247</v>
      </c>
      <c r="M503" s="60">
        <f ca="1">$J$503-EFEITO!$K$503*EFEITO!$Y$503</f>
        <v>0</v>
      </c>
      <c r="N503" s="60">
        <f ca="1">$K$503-EFEITO!$M$503*EFEITO!$Z$503</f>
        <v>0</v>
      </c>
      <c r="O503" s="60">
        <f>$L$503-EFEITO!$O$503*EFEITO!$AA$503</f>
        <v>0</v>
      </c>
      <c r="P503" s="18"/>
      <c r="Q503" s="18"/>
      <c r="R503" s="18"/>
      <c r="S503" s="18"/>
      <c r="T503" s="18"/>
      <c r="U503" s="18"/>
      <c r="V503" s="18"/>
      <c r="W503" s="18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1" t="s">
        <v>56</v>
      </c>
      <c r="B504" s="51" t="s">
        <v>41</v>
      </c>
      <c r="C504" s="51" t="s">
        <v>61</v>
      </c>
      <c r="D504" s="51" t="s">
        <v>25</v>
      </c>
      <c r="E504" s="51" t="s">
        <v>25</v>
      </c>
      <c r="F504" s="51" t="s">
        <v>64</v>
      </c>
      <c r="G504" s="51" t="s">
        <v>68</v>
      </c>
      <c r="H504" s="51" t="s">
        <v>25</v>
      </c>
      <c r="I504" s="59">
        <v>44621</v>
      </c>
      <c r="J504" s="60">
        <f ca="1">EFEITO!$J$504*EFEITO!$Y$504</f>
        <v>0</v>
      </c>
      <c r="K504" s="60">
        <f ca="1">EFEITO!$L$504*EFEITO!$Z$504</f>
        <v>0</v>
      </c>
      <c r="L504" s="60">
        <f>EFEITO!$N$504*EFEITO!$AA$504</f>
        <v>290305.19172523607</v>
      </c>
      <c r="M504" s="60">
        <f ca="1">$J$504-EFEITO!$K$504*EFEITO!$Y$504</f>
        <v>0</v>
      </c>
      <c r="N504" s="60">
        <f ca="1">$K$504-EFEITO!$M$504*EFEITO!$Z$504</f>
        <v>0</v>
      </c>
      <c r="O504" s="60">
        <f>$L$504-EFEITO!$O$504*EFEITO!$AA$504</f>
        <v>0</v>
      </c>
      <c r="P504" s="18"/>
      <c r="Q504" s="18"/>
      <c r="R504" s="18"/>
      <c r="S504" s="18"/>
      <c r="T504" s="18"/>
      <c r="U504" s="18"/>
      <c r="V504" s="18"/>
      <c r="W504" s="18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1" t="s">
        <v>21</v>
      </c>
      <c r="B505" s="51" t="s">
        <v>41</v>
      </c>
      <c r="C505" s="51" t="s">
        <v>61</v>
      </c>
      <c r="D505" s="51" t="s">
        <v>25</v>
      </c>
      <c r="E505" s="51" t="s">
        <v>25</v>
      </c>
      <c r="F505" s="51" t="s">
        <v>64</v>
      </c>
      <c r="G505" s="51" t="s">
        <v>68</v>
      </c>
      <c r="H505" s="51" t="s">
        <v>34</v>
      </c>
      <c r="I505" s="59">
        <v>44287</v>
      </c>
      <c r="J505" s="60">
        <f ca="1">EFEITO!$J$505*EFEITO!$Y$505</f>
        <v>75695.112813083833</v>
      </c>
      <c r="K505" s="60">
        <f ca="1">EFEITO!$L$505*EFEITO!$Z$505</f>
        <v>1391.4037828350579</v>
      </c>
      <c r="L505" s="60">
        <f>EFEITO!$N$505*EFEITO!$AA$505</f>
        <v>0</v>
      </c>
      <c r="M505" s="60">
        <f ca="1">$J$505-EFEITO!$K$505*EFEITO!$Y$505</f>
        <v>0</v>
      </c>
      <c r="N505" s="60">
        <f ca="1">$K$505-EFEITO!$M$505*EFEITO!$Z$505</f>
        <v>0</v>
      </c>
      <c r="O505" s="60">
        <f>$L$505-EFEITO!$O$505*EFEITO!$AA$505</f>
        <v>0</v>
      </c>
      <c r="P505" s="18"/>
      <c r="Q505" s="18"/>
      <c r="R505" s="18"/>
      <c r="S505" s="18"/>
      <c r="T505" s="18"/>
      <c r="U505" s="18"/>
      <c r="V505" s="18"/>
      <c r="W505" s="18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1" t="s">
        <v>21</v>
      </c>
      <c r="B506" s="51" t="s">
        <v>41</v>
      </c>
      <c r="C506" s="51" t="s">
        <v>61</v>
      </c>
      <c r="D506" s="51" t="s">
        <v>25</v>
      </c>
      <c r="E506" s="51" t="s">
        <v>25</v>
      </c>
      <c r="F506" s="51" t="s">
        <v>64</v>
      </c>
      <c r="G506" s="51" t="s">
        <v>68</v>
      </c>
      <c r="H506" s="51" t="s">
        <v>34</v>
      </c>
      <c r="I506" s="59">
        <v>44317</v>
      </c>
      <c r="J506" s="60">
        <f ca="1">EFEITO!$J$506*EFEITO!$Y$506</f>
        <v>72142.37284388738</v>
      </c>
      <c r="K506" s="60">
        <f ca="1">EFEITO!$L$506*EFEITO!$Z$506</f>
        <v>1209.8440941685324</v>
      </c>
      <c r="L506" s="60">
        <f>EFEITO!$N$506*EFEITO!$AA$506</f>
        <v>0</v>
      </c>
      <c r="M506" s="60">
        <f ca="1">$J$506-EFEITO!$K$506*EFEITO!$Y$506</f>
        <v>0</v>
      </c>
      <c r="N506" s="60">
        <f ca="1">$K$506-EFEITO!$M$506*EFEITO!$Z$506</f>
        <v>0</v>
      </c>
      <c r="O506" s="60">
        <f>$L$506-EFEITO!$O$506*EFEITO!$AA$506</f>
        <v>0</v>
      </c>
      <c r="P506" s="18"/>
      <c r="Q506" s="18"/>
      <c r="R506" s="18"/>
      <c r="S506" s="18"/>
      <c r="T506" s="18"/>
      <c r="U506" s="18"/>
      <c r="V506" s="18"/>
      <c r="W506" s="18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1" t="s">
        <v>21</v>
      </c>
      <c r="B507" s="51" t="s">
        <v>41</v>
      </c>
      <c r="C507" s="51" t="s">
        <v>61</v>
      </c>
      <c r="D507" s="51" t="s">
        <v>25</v>
      </c>
      <c r="E507" s="51" t="s">
        <v>25</v>
      </c>
      <c r="F507" s="51" t="s">
        <v>64</v>
      </c>
      <c r="G507" s="51" t="s">
        <v>68</v>
      </c>
      <c r="H507" s="51" t="s">
        <v>34</v>
      </c>
      <c r="I507" s="59">
        <v>44348</v>
      </c>
      <c r="J507" s="60">
        <f ca="1">EFEITO!$J$507*EFEITO!$Y$507</f>
        <v>74281.267315138306</v>
      </c>
      <c r="K507" s="60">
        <f ca="1">EFEITO!$L$507*EFEITO!$Z$507</f>
        <v>1277.9094632644956</v>
      </c>
      <c r="L507" s="60">
        <f>EFEITO!$N$507*EFEITO!$AA$507</f>
        <v>0</v>
      </c>
      <c r="M507" s="60">
        <f ca="1">$J$507-EFEITO!$K$507*EFEITO!$Y$507</f>
        <v>0</v>
      </c>
      <c r="N507" s="60">
        <f ca="1">$K$507-EFEITO!$M$507*EFEITO!$Z$507</f>
        <v>0</v>
      </c>
      <c r="O507" s="60">
        <f>$L$507-EFEITO!$O$507*EFEITO!$AA$507</f>
        <v>0</v>
      </c>
      <c r="P507" s="18"/>
      <c r="Q507" s="18"/>
      <c r="R507" s="18"/>
      <c r="S507" s="18"/>
      <c r="T507" s="18"/>
      <c r="U507" s="18"/>
      <c r="V507" s="18"/>
      <c r="W507" s="18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1" t="s">
        <v>21</v>
      </c>
      <c r="B508" s="51" t="s">
        <v>41</v>
      </c>
      <c r="C508" s="51" t="s">
        <v>61</v>
      </c>
      <c r="D508" s="51" t="s">
        <v>25</v>
      </c>
      <c r="E508" s="51" t="s">
        <v>25</v>
      </c>
      <c r="F508" s="51" t="s">
        <v>64</v>
      </c>
      <c r="G508" s="51" t="s">
        <v>68</v>
      </c>
      <c r="H508" s="51" t="s">
        <v>34</v>
      </c>
      <c r="I508" s="59">
        <v>44378</v>
      </c>
      <c r="J508" s="60">
        <f ca="1">EFEITO!$J$508*EFEITO!$Y$508</f>
        <v>72287.382638548457</v>
      </c>
      <c r="K508" s="60">
        <f ca="1">EFEITO!$L$508*EFEITO!$Z$508</f>
        <v>1287.3320119024525</v>
      </c>
      <c r="L508" s="60">
        <f>EFEITO!$N$508*EFEITO!$AA$508</f>
        <v>0</v>
      </c>
      <c r="M508" s="60">
        <f ca="1">$J$508-EFEITO!$K$508*EFEITO!$Y$508</f>
        <v>0</v>
      </c>
      <c r="N508" s="60">
        <f ca="1">$K$508-EFEITO!$M$508*EFEITO!$Z$508</f>
        <v>0</v>
      </c>
      <c r="O508" s="60">
        <f>$L$508-EFEITO!$O$508*EFEITO!$AA$508</f>
        <v>0</v>
      </c>
      <c r="P508" s="18"/>
      <c r="Q508" s="18"/>
      <c r="R508" s="18"/>
      <c r="S508" s="18"/>
      <c r="T508" s="18"/>
      <c r="U508" s="18"/>
      <c r="V508" s="18"/>
      <c r="W508" s="18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1" t="s">
        <v>21</v>
      </c>
      <c r="B509" s="51" t="s">
        <v>41</v>
      </c>
      <c r="C509" s="51" t="s">
        <v>61</v>
      </c>
      <c r="D509" s="51" t="s">
        <v>25</v>
      </c>
      <c r="E509" s="51" t="s">
        <v>25</v>
      </c>
      <c r="F509" s="51" t="s">
        <v>64</v>
      </c>
      <c r="G509" s="51" t="s">
        <v>68</v>
      </c>
      <c r="H509" s="51" t="s">
        <v>34</v>
      </c>
      <c r="I509" s="59">
        <v>44409</v>
      </c>
      <c r="J509" s="60">
        <f ca="1">EFEITO!$J$509*EFEITO!$Y$509</f>
        <v>72649.907125201149</v>
      </c>
      <c r="K509" s="60">
        <f ca="1">EFEITO!$L$509*EFEITO!$Z$509</f>
        <v>1332.8501699381211</v>
      </c>
      <c r="L509" s="60">
        <f>EFEITO!$N$509*EFEITO!$AA$509</f>
        <v>0</v>
      </c>
      <c r="M509" s="60">
        <f ca="1">$J$509-EFEITO!$K$509*EFEITO!$Y$509</f>
        <v>0</v>
      </c>
      <c r="N509" s="60">
        <f ca="1">$K$509-EFEITO!$M$509*EFEITO!$Z$509</f>
        <v>0</v>
      </c>
      <c r="O509" s="60">
        <f>$L$509-EFEITO!$O$509*EFEITO!$AA$509</f>
        <v>0</v>
      </c>
      <c r="P509" s="18"/>
      <c r="Q509" s="18"/>
      <c r="R509" s="18"/>
      <c r="S509" s="18"/>
      <c r="T509" s="18"/>
      <c r="U509" s="18"/>
      <c r="V509" s="18"/>
      <c r="W509" s="18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1" t="s">
        <v>21</v>
      </c>
      <c r="B510" s="51" t="s">
        <v>41</v>
      </c>
      <c r="C510" s="51" t="s">
        <v>61</v>
      </c>
      <c r="D510" s="51" t="s">
        <v>25</v>
      </c>
      <c r="E510" s="51" t="s">
        <v>25</v>
      </c>
      <c r="F510" s="51" t="s">
        <v>64</v>
      </c>
      <c r="G510" s="51" t="s">
        <v>68</v>
      </c>
      <c r="H510" s="51" t="s">
        <v>34</v>
      </c>
      <c r="I510" s="59">
        <v>44440</v>
      </c>
      <c r="J510" s="60">
        <f ca="1">EFEITO!$J$510*EFEITO!$Y$510</f>
        <v>73882.49037982033</v>
      </c>
      <c r="K510" s="60">
        <f ca="1">EFEITO!$L$510*EFEITO!$Z$510</f>
        <v>1351.6283615432328</v>
      </c>
      <c r="L510" s="60">
        <f>EFEITO!$N$510*EFEITO!$AA$510</f>
        <v>0</v>
      </c>
      <c r="M510" s="60">
        <f ca="1">$J$510-EFEITO!$K$510*EFEITO!$Y$510</f>
        <v>0</v>
      </c>
      <c r="N510" s="60">
        <f ca="1">$K$510-EFEITO!$M$510*EFEITO!$Z$510</f>
        <v>0</v>
      </c>
      <c r="O510" s="60">
        <f>$L$510-EFEITO!$O$510*EFEITO!$AA$510</f>
        <v>0</v>
      </c>
      <c r="P510" s="18"/>
      <c r="Q510" s="18"/>
      <c r="R510" s="18"/>
      <c r="S510" s="18"/>
      <c r="T510" s="18"/>
      <c r="U510" s="18"/>
      <c r="V510" s="18"/>
      <c r="W510" s="18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1" t="s">
        <v>21</v>
      </c>
      <c r="B511" s="51" t="s">
        <v>41</v>
      </c>
      <c r="C511" s="51" t="s">
        <v>61</v>
      </c>
      <c r="D511" s="51" t="s">
        <v>25</v>
      </c>
      <c r="E511" s="51" t="s">
        <v>25</v>
      </c>
      <c r="F511" s="51" t="s">
        <v>64</v>
      </c>
      <c r="G511" s="51" t="s">
        <v>68</v>
      </c>
      <c r="H511" s="51" t="s">
        <v>34</v>
      </c>
      <c r="I511" s="59">
        <v>44470</v>
      </c>
      <c r="J511" s="60">
        <f ca="1">EFEITO!$J$511*EFEITO!$Y$511</f>
        <v>74607.539353125743</v>
      </c>
      <c r="K511" s="60">
        <f ca="1">EFEITO!$L$511*EFEITO!$Z$511</f>
        <v>1311.8863930868088</v>
      </c>
      <c r="L511" s="60">
        <f>EFEITO!$N$511*EFEITO!$AA$511</f>
        <v>0</v>
      </c>
      <c r="M511" s="60">
        <f ca="1">$J$511-EFEITO!$K$511*EFEITO!$Y$511</f>
        <v>0</v>
      </c>
      <c r="N511" s="60">
        <f ca="1">$K$511-EFEITO!$M$511*EFEITO!$Z$511</f>
        <v>0</v>
      </c>
      <c r="O511" s="60">
        <f>$L$511-EFEITO!$O$511*EFEITO!$AA$511</f>
        <v>0</v>
      </c>
      <c r="P511" s="18"/>
      <c r="Q511" s="18"/>
      <c r="R511" s="18"/>
      <c r="S511" s="18"/>
      <c r="T511" s="18"/>
      <c r="U511" s="18"/>
      <c r="V511" s="18"/>
      <c r="W511" s="18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1" t="s">
        <v>21</v>
      </c>
      <c r="B512" s="51" t="s">
        <v>41</v>
      </c>
      <c r="C512" s="51" t="s">
        <v>61</v>
      </c>
      <c r="D512" s="51" t="s">
        <v>25</v>
      </c>
      <c r="E512" s="51" t="s">
        <v>25</v>
      </c>
      <c r="F512" s="51" t="s">
        <v>64</v>
      </c>
      <c r="G512" s="51" t="s">
        <v>68</v>
      </c>
      <c r="H512" s="51" t="s">
        <v>34</v>
      </c>
      <c r="I512" s="59">
        <v>44501</v>
      </c>
      <c r="J512" s="60">
        <f ca="1">EFEITO!$J$512*EFEITO!$Y$512</f>
        <v>74353.772212468844</v>
      </c>
      <c r="K512" s="60">
        <f ca="1">EFEITO!$L$512*EFEITO!$Z$512</f>
        <v>1289.8744273929308</v>
      </c>
      <c r="L512" s="60">
        <f>EFEITO!$N$512*EFEITO!$AA$512</f>
        <v>0</v>
      </c>
      <c r="M512" s="60">
        <f ca="1">$J$512-EFEITO!$K$512*EFEITO!$Y$512</f>
        <v>0</v>
      </c>
      <c r="N512" s="60">
        <f ca="1">$K$512-EFEITO!$M$512*EFEITO!$Z$512</f>
        <v>0</v>
      </c>
      <c r="O512" s="60">
        <f>$L$512-EFEITO!$O$512*EFEITO!$AA$512</f>
        <v>0</v>
      </c>
      <c r="P512" s="18"/>
      <c r="Q512" s="18"/>
      <c r="R512" s="18"/>
      <c r="S512" s="18"/>
      <c r="T512" s="18"/>
      <c r="U512" s="18"/>
      <c r="V512" s="18"/>
      <c r="W512" s="18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1" t="s">
        <v>21</v>
      </c>
      <c r="B513" s="51" t="s">
        <v>41</v>
      </c>
      <c r="C513" s="51" t="s">
        <v>61</v>
      </c>
      <c r="D513" s="51" t="s">
        <v>25</v>
      </c>
      <c r="E513" s="51" t="s">
        <v>25</v>
      </c>
      <c r="F513" s="51" t="s">
        <v>64</v>
      </c>
      <c r="G513" s="51" t="s">
        <v>68</v>
      </c>
      <c r="H513" s="51" t="s">
        <v>34</v>
      </c>
      <c r="I513" s="59">
        <v>44531</v>
      </c>
      <c r="J513" s="60">
        <f ca="1">EFEITO!$J$513*EFEITO!$Y$513</f>
        <v>74970.063839778435</v>
      </c>
      <c r="K513" s="60">
        <f ca="1">EFEITO!$L$513*EFEITO!$Z$513</f>
        <v>1288.8150876052314</v>
      </c>
      <c r="L513" s="60">
        <f>EFEITO!$N$513*EFEITO!$AA$513</f>
        <v>0</v>
      </c>
      <c r="M513" s="60">
        <f ca="1">$J$513-EFEITO!$K$513*EFEITO!$Y$513</f>
        <v>0</v>
      </c>
      <c r="N513" s="60">
        <f ca="1">$K$513-EFEITO!$M$513*EFEITO!$Z$513</f>
        <v>0</v>
      </c>
      <c r="O513" s="60">
        <f>$L$513-EFEITO!$O$513*EFEITO!$AA$513</f>
        <v>0</v>
      </c>
      <c r="P513" s="18"/>
      <c r="Q513" s="18"/>
      <c r="R513" s="18"/>
      <c r="S513" s="18"/>
      <c r="T513" s="18"/>
      <c r="U513" s="18"/>
      <c r="V513" s="18"/>
      <c r="W513" s="18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1" t="s">
        <v>21</v>
      </c>
      <c r="B514" s="51" t="s">
        <v>41</v>
      </c>
      <c r="C514" s="51" t="s">
        <v>61</v>
      </c>
      <c r="D514" s="51" t="s">
        <v>25</v>
      </c>
      <c r="E514" s="51" t="s">
        <v>25</v>
      </c>
      <c r="F514" s="51" t="s">
        <v>64</v>
      </c>
      <c r="G514" s="51" t="s">
        <v>68</v>
      </c>
      <c r="H514" s="51" t="s">
        <v>34</v>
      </c>
      <c r="I514" s="59">
        <v>44562</v>
      </c>
      <c r="J514" s="60">
        <f ca="1">EFEITO!$J$514*EFEITO!$Y$514</f>
        <v>78124.026873656927</v>
      </c>
      <c r="K514" s="60">
        <f ca="1">EFEITO!$L$514*EFEITO!$Z$514</f>
        <v>1452.3548489357354</v>
      </c>
      <c r="L514" s="60">
        <f>EFEITO!$N$514*EFEITO!$AA$514</f>
        <v>0</v>
      </c>
      <c r="M514" s="60">
        <f ca="1">$J$514-EFEITO!$K$514*EFEITO!$Y$514</f>
        <v>0</v>
      </c>
      <c r="N514" s="60">
        <f ca="1">$K$514-EFEITO!$M$514*EFEITO!$Z$514</f>
        <v>0</v>
      </c>
      <c r="O514" s="60">
        <f>$L$514-EFEITO!$O$514*EFEITO!$AA$514</f>
        <v>0</v>
      </c>
      <c r="P514" s="18"/>
      <c r="Q514" s="18"/>
      <c r="R514" s="18"/>
      <c r="S514" s="18"/>
      <c r="T514" s="18"/>
      <c r="U514" s="18"/>
      <c r="V514" s="18"/>
      <c r="W514" s="18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1" t="s">
        <v>21</v>
      </c>
      <c r="B515" s="51" t="s">
        <v>41</v>
      </c>
      <c r="C515" s="51" t="s">
        <v>61</v>
      </c>
      <c r="D515" s="51" t="s">
        <v>25</v>
      </c>
      <c r="E515" s="51" t="s">
        <v>25</v>
      </c>
      <c r="F515" s="51" t="s">
        <v>64</v>
      </c>
      <c r="G515" s="51" t="s">
        <v>68</v>
      </c>
      <c r="H515" s="51" t="s">
        <v>34</v>
      </c>
      <c r="I515" s="59">
        <v>44593</v>
      </c>
      <c r="J515" s="60">
        <f ca="1">EFEITO!$J$515*EFEITO!$Y$515</f>
        <v>77217.715657025183</v>
      </c>
      <c r="K515" s="60">
        <f ca="1">EFEITO!$L$515*EFEITO!$Z$515</f>
        <v>1327.4977162739563</v>
      </c>
      <c r="L515" s="60">
        <f>EFEITO!$N$515*EFEITO!$AA$515</f>
        <v>0</v>
      </c>
      <c r="M515" s="60">
        <f ca="1">$J$515-EFEITO!$K$515*EFEITO!$Y$515</f>
        <v>0</v>
      </c>
      <c r="N515" s="60">
        <f ca="1">$K$515-EFEITO!$M$515*EFEITO!$Z$515</f>
        <v>0</v>
      </c>
      <c r="O515" s="60">
        <f>$L$515-EFEITO!$O$515*EFEITO!$AA$515</f>
        <v>0</v>
      </c>
      <c r="P515" s="18"/>
      <c r="Q515" s="18"/>
      <c r="R515" s="18"/>
      <c r="S515" s="18"/>
      <c r="T515" s="18"/>
      <c r="U515" s="18"/>
      <c r="V515" s="18"/>
      <c r="W515" s="18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1" t="s">
        <v>56</v>
      </c>
      <c r="B516" s="51" t="s">
        <v>41</v>
      </c>
      <c r="C516" s="51" t="s">
        <v>61</v>
      </c>
      <c r="D516" s="51" t="s">
        <v>25</v>
      </c>
      <c r="E516" s="51" t="s">
        <v>25</v>
      </c>
      <c r="F516" s="51" t="s">
        <v>64</v>
      </c>
      <c r="G516" s="51" t="s">
        <v>68</v>
      </c>
      <c r="H516" s="51" t="s">
        <v>34</v>
      </c>
      <c r="I516" s="59">
        <v>44621</v>
      </c>
      <c r="J516" s="60">
        <f ca="1">EFEITO!$J$516*EFEITO!$Y$516</f>
        <v>77217.715657025183</v>
      </c>
      <c r="K516" s="60">
        <f ca="1">EFEITO!$L$516*EFEITO!$Z$516</f>
        <v>1327.4977162739563</v>
      </c>
      <c r="L516" s="60">
        <f>EFEITO!$N$516*EFEITO!$AA$516</f>
        <v>0</v>
      </c>
      <c r="M516" s="60">
        <f ca="1">$J$516-EFEITO!$K$516*EFEITO!$Y$516</f>
        <v>0</v>
      </c>
      <c r="N516" s="60">
        <f ca="1">$K$516-EFEITO!$M$516*EFEITO!$Z$516</f>
        <v>0</v>
      </c>
      <c r="O516" s="60">
        <f>$L$516-EFEITO!$O$516*EFEITO!$AA$516</f>
        <v>0</v>
      </c>
      <c r="P516" s="18"/>
      <c r="Q516" s="18"/>
      <c r="R516" s="18"/>
      <c r="S516" s="18"/>
      <c r="T516" s="18"/>
      <c r="U516" s="18"/>
      <c r="V516" s="18"/>
      <c r="W516" s="18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1" t="s">
        <v>21</v>
      </c>
      <c r="B517" s="51" t="s">
        <v>41</v>
      </c>
      <c r="C517" s="51" t="s">
        <v>61</v>
      </c>
      <c r="D517" s="51" t="s">
        <v>25</v>
      </c>
      <c r="E517" s="51" t="s">
        <v>25</v>
      </c>
      <c r="F517" s="51" t="s">
        <v>25</v>
      </c>
      <c r="G517" s="51" t="s">
        <v>62</v>
      </c>
      <c r="H517" s="51" t="s">
        <v>35</v>
      </c>
      <c r="I517" s="59">
        <v>44287</v>
      </c>
      <c r="J517" s="60">
        <f ca="1">EFEITO!$J$517*EFEITO!$Y$517</f>
        <v>91919.002125640793</v>
      </c>
      <c r="K517" s="60">
        <f ca="1">EFEITO!$L$517*EFEITO!$Z$517</f>
        <v>0</v>
      </c>
      <c r="L517" s="60">
        <f>EFEITO!$N$517*EFEITO!$AA$517</f>
        <v>0</v>
      </c>
      <c r="M517" s="60">
        <f ca="1">$J$517-EFEITO!$K$517*EFEITO!$Y$517</f>
        <v>0</v>
      </c>
      <c r="N517" s="60">
        <f ca="1">$K$517-EFEITO!$M$517*EFEITO!$Z$517</f>
        <v>0</v>
      </c>
      <c r="O517" s="60">
        <f>$L$517-EFEITO!$O$517*EFEITO!$AA$517</f>
        <v>0</v>
      </c>
      <c r="P517" s="18"/>
      <c r="Q517" s="18"/>
      <c r="R517" s="18"/>
      <c r="S517" s="18"/>
      <c r="T517" s="18"/>
      <c r="U517" s="18"/>
      <c r="V517" s="18"/>
      <c r="W517" s="18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1" t="s">
        <v>21</v>
      </c>
      <c r="B518" s="51" t="s">
        <v>41</v>
      </c>
      <c r="C518" s="51" t="s">
        <v>61</v>
      </c>
      <c r="D518" s="51" t="s">
        <v>25</v>
      </c>
      <c r="E518" s="51" t="s">
        <v>25</v>
      </c>
      <c r="F518" s="51" t="s">
        <v>25</v>
      </c>
      <c r="G518" s="51" t="s">
        <v>67</v>
      </c>
      <c r="H518" s="51" t="s">
        <v>35</v>
      </c>
      <c r="I518" s="59">
        <v>44287</v>
      </c>
      <c r="J518" s="60">
        <f ca="1">EFEITO!$J$518*EFEITO!$Y$518</f>
        <v>104346.27980230087</v>
      </c>
      <c r="K518" s="60">
        <f ca="1">EFEITO!$L$518*EFEITO!$Z$518</f>
        <v>0</v>
      </c>
      <c r="L518" s="60">
        <f>EFEITO!$N$518*EFEITO!$AA$518</f>
        <v>0</v>
      </c>
      <c r="M518" s="60">
        <f ca="1">$J$518-EFEITO!$K$518*EFEITO!$Y$518</f>
        <v>0</v>
      </c>
      <c r="N518" s="60">
        <f ca="1">$K$518-EFEITO!$M$518*EFEITO!$Z$518</f>
        <v>0</v>
      </c>
      <c r="O518" s="60">
        <f>$L$518-EFEITO!$O$518*EFEITO!$AA$518</f>
        <v>0</v>
      </c>
      <c r="P518" s="18"/>
      <c r="Q518" s="18"/>
      <c r="R518" s="18"/>
      <c r="S518" s="18"/>
      <c r="T518" s="18"/>
      <c r="U518" s="18"/>
      <c r="V518" s="18"/>
      <c r="W518" s="18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1" t="s">
        <v>21</v>
      </c>
      <c r="B519" s="51" t="s">
        <v>41</v>
      </c>
      <c r="C519" s="51" t="s">
        <v>61</v>
      </c>
      <c r="D519" s="51" t="s">
        <v>25</v>
      </c>
      <c r="E519" s="51" t="s">
        <v>25</v>
      </c>
      <c r="F519" s="51" t="s">
        <v>25</v>
      </c>
      <c r="G519" s="51" t="s">
        <v>62</v>
      </c>
      <c r="H519" s="51" t="s">
        <v>35</v>
      </c>
      <c r="I519" s="59">
        <v>44317</v>
      </c>
      <c r="J519" s="60">
        <f ca="1">EFEITO!$J$519*EFEITO!$Y$519</f>
        <v>91919.002125640793</v>
      </c>
      <c r="K519" s="60">
        <f ca="1">EFEITO!$L$519*EFEITO!$Z$519</f>
        <v>0</v>
      </c>
      <c r="L519" s="60">
        <f>EFEITO!$N$519*EFEITO!$AA$519</f>
        <v>0</v>
      </c>
      <c r="M519" s="60">
        <f ca="1">$J$519-EFEITO!$K$519*EFEITO!$Y$519</f>
        <v>0</v>
      </c>
      <c r="N519" s="60">
        <f ca="1">$K$519-EFEITO!$M$519*EFEITO!$Z$519</f>
        <v>0</v>
      </c>
      <c r="O519" s="60">
        <f>$L$519-EFEITO!$O$519*EFEITO!$AA$519</f>
        <v>0</v>
      </c>
      <c r="P519" s="18"/>
      <c r="Q519" s="18"/>
      <c r="R519" s="18"/>
      <c r="S519" s="18"/>
      <c r="T519" s="18"/>
      <c r="U519" s="18"/>
      <c r="V519" s="18"/>
      <c r="W519" s="18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1" t="s">
        <v>21</v>
      </c>
      <c r="B520" s="51" t="s">
        <v>41</v>
      </c>
      <c r="C520" s="51" t="s">
        <v>61</v>
      </c>
      <c r="D520" s="51" t="s">
        <v>25</v>
      </c>
      <c r="E520" s="51" t="s">
        <v>25</v>
      </c>
      <c r="F520" s="51" t="s">
        <v>25</v>
      </c>
      <c r="G520" s="51" t="s">
        <v>67</v>
      </c>
      <c r="H520" s="51" t="s">
        <v>35</v>
      </c>
      <c r="I520" s="59">
        <v>44317</v>
      </c>
      <c r="J520" s="60">
        <f ca="1">EFEITO!$J$520*EFEITO!$Y$520</f>
        <v>104346.27980230087</v>
      </c>
      <c r="K520" s="60">
        <f ca="1">EFEITO!$L$520*EFEITO!$Z$520</f>
        <v>0</v>
      </c>
      <c r="L520" s="60">
        <f>EFEITO!$N$520*EFEITO!$AA$520</f>
        <v>0</v>
      </c>
      <c r="M520" s="60">
        <f ca="1">$J$520-EFEITO!$K$520*EFEITO!$Y$520</f>
        <v>0</v>
      </c>
      <c r="N520" s="60">
        <f ca="1">$K$520-EFEITO!$M$520*EFEITO!$Z$520</f>
        <v>0</v>
      </c>
      <c r="O520" s="60">
        <f>$L$520-EFEITO!$O$520*EFEITO!$AA$520</f>
        <v>0</v>
      </c>
      <c r="P520" s="18"/>
      <c r="Q520" s="18"/>
      <c r="R520" s="18"/>
      <c r="S520" s="18"/>
      <c r="T520" s="18"/>
      <c r="U520" s="18"/>
      <c r="V520" s="18"/>
      <c r="W520" s="18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1" t="s">
        <v>21</v>
      </c>
      <c r="B521" s="51" t="s">
        <v>41</v>
      </c>
      <c r="C521" s="51" t="s">
        <v>61</v>
      </c>
      <c r="D521" s="51" t="s">
        <v>25</v>
      </c>
      <c r="E521" s="51" t="s">
        <v>25</v>
      </c>
      <c r="F521" s="51" t="s">
        <v>25</v>
      </c>
      <c r="G521" s="51" t="s">
        <v>62</v>
      </c>
      <c r="H521" s="51" t="s">
        <v>35</v>
      </c>
      <c r="I521" s="59">
        <v>44348</v>
      </c>
      <c r="J521" s="60">
        <f ca="1">EFEITO!$J$521*EFEITO!$Y$521</f>
        <v>91919.002125640793</v>
      </c>
      <c r="K521" s="60">
        <f ca="1">EFEITO!$L$521*EFEITO!$Z$521</f>
        <v>0</v>
      </c>
      <c r="L521" s="60">
        <f>EFEITO!$N$521*EFEITO!$AA$521</f>
        <v>0</v>
      </c>
      <c r="M521" s="60">
        <f ca="1">$J$521-EFEITO!$K$521*EFEITO!$Y$521</f>
        <v>0</v>
      </c>
      <c r="N521" s="60">
        <f ca="1">$K$521-EFEITO!$M$521*EFEITO!$Z$521</f>
        <v>0</v>
      </c>
      <c r="O521" s="60">
        <f>$L$521-EFEITO!$O$521*EFEITO!$AA$521</f>
        <v>0</v>
      </c>
      <c r="P521" s="18"/>
      <c r="Q521" s="18"/>
      <c r="R521" s="18"/>
      <c r="S521" s="18"/>
      <c r="T521" s="18"/>
      <c r="U521" s="18"/>
      <c r="V521" s="18"/>
      <c r="W521" s="18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1" t="s">
        <v>21</v>
      </c>
      <c r="B522" s="51" t="s">
        <v>41</v>
      </c>
      <c r="C522" s="51" t="s">
        <v>61</v>
      </c>
      <c r="D522" s="51" t="s">
        <v>25</v>
      </c>
      <c r="E522" s="51" t="s">
        <v>25</v>
      </c>
      <c r="F522" s="51" t="s">
        <v>25</v>
      </c>
      <c r="G522" s="51" t="s">
        <v>67</v>
      </c>
      <c r="H522" s="51" t="s">
        <v>35</v>
      </c>
      <c r="I522" s="59">
        <v>44348</v>
      </c>
      <c r="J522" s="60">
        <f ca="1">EFEITO!$J$522*EFEITO!$Y$522</f>
        <v>104346.27980230087</v>
      </c>
      <c r="K522" s="60">
        <f ca="1">EFEITO!$L$522*EFEITO!$Z$522</f>
        <v>0</v>
      </c>
      <c r="L522" s="60">
        <f>EFEITO!$N$522*EFEITO!$AA$522</f>
        <v>0</v>
      </c>
      <c r="M522" s="60">
        <f ca="1">$J$522-EFEITO!$K$522*EFEITO!$Y$522</f>
        <v>0</v>
      </c>
      <c r="N522" s="60">
        <f ca="1">$K$522-EFEITO!$M$522*EFEITO!$Z$522</f>
        <v>0</v>
      </c>
      <c r="O522" s="60">
        <f>$L$522-EFEITO!$O$522*EFEITO!$AA$522</f>
        <v>0</v>
      </c>
      <c r="P522" s="18"/>
      <c r="Q522" s="18"/>
      <c r="R522" s="18"/>
      <c r="S522" s="18"/>
      <c r="T522" s="18"/>
      <c r="U522" s="18"/>
      <c r="V522" s="18"/>
      <c r="W522" s="18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1" t="s">
        <v>21</v>
      </c>
      <c r="B523" s="51" t="s">
        <v>41</v>
      </c>
      <c r="C523" s="51" t="s">
        <v>61</v>
      </c>
      <c r="D523" s="51" t="s">
        <v>25</v>
      </c>
      <c r="E523" s="51" t="s">
        <v>25</v>
      </c>
      <c r="F523" s="51" t="s">
        <v>25</v>
      </c>
      <c r="G523" s="51" t="s">
        <v>62</v>
      </c>
      <c r="H523" s="51" t="s">
        <v>35</v>
      </c>
      <c r="I523" s="59">
        <v>44378</v>
      </c>
      <c r="J523" s="60">
        <f ca="1">EFEITO!$J$523*EFEITO!$Y$523</f>
        <v>91919.002125640793</v>
      </c>
      <c r="K523" s="60">
        <f ca="1">EFEITO!$L$523*EFEITO!$Z$523</f>
        <v>0</v>
      </c>
      <c r="L523" s="60">
        <f>EFEITO!$N$523*EFEITO!$AA$523</f>
        <v>0</v>
      </c>
      <c r="M523" s="60">
        <f ca="1">$J$523-EFEITO!$K$523*EFEITO!$Y$523</f>
        <v>0</v>
      </c>
      <c r="N523" s="60">
        <f ca="1">$K$523-EFEITO!$M$523*EFEITO!$Z$523</f>
        <v>0</v>
      </c>
      <c r="O523" s="60">
        <f>$L$523-EFEITO!$O$523*EFEITO!$AA$523</f>
        <v>0</v>
      </c>
      <c r="P523" s="18"/>
      <c r="Q523" s="18"/>
      <c r="R523" s="18"/>
      <c r="S523" s="18"/>
      <c r="T523" s="18"/>
      <c r="U523" s="18"/>
      <c r="V523" s="18"/>
      <c r="W523" s="18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1" t="s">
        <v>21</v>
      </c>
      <c r="B524" s="51" t="s">
        <v>41</v>
      </c>
      <c r="C524" s="51" t="s">
        <v>61</v>
      </c>
      <c r="D524" s="51" t="s">
        <v>25</v>
      </c>
      <c r="E524" s="51" t="s">
        <v>25</v>
      </c>
      <c r="F524" s="51" t="s">
        <v>25</v>
      </c>
      <c r="G524" s="51" t="s">
        <v>67</v>
      </c>
      <c r="H524" s="51" t="s">
        <v>35</v>
      </c>
      <c r="I524" s="59">
        <v>44378</v>
      </c>
      <c r="J524" s="60">
        <f ca="1">EFEITO!$J$524*EFEITO!$Y$524</f>
        <v>104346.27980230087</v>
      </c>
      <c r="K524" s="60">
        <f ca="1">EFEITO!$L$524*EFEITO!$Z$524</f>
        <v>0</v>
      </c>
      <c r="L524" s="60">
        <f>EFEITO!$N$524*EFEITO!$AA$524</f>
        <v>0</v>
      </c>
      <c r="M524" s="60">
        <f ca="1">$J$524-EFEITO!$K$524*EFEITO!$Y$524</f>
        <v>0</v>
      </c>
      <c r="N524" s="60">
        <f ca="1">$K$524-EFEITO!$M$524*EFEITO!$Z$524</f>
        <v>0</v>
      </c>
      <c r="O524" s="60">
        <f>$L$524-EFEITO!$O$524*EFEITO!$AA$524</f>
        <v>0</v>
      </c>
      <c r="P524" s="18"/>
      <c r="Q524" s="18"/>
      <c r="R524" s="18"/>
      <c r="S524" s="18"/>
      <c r="T524" s="18"/>
      <c r="U524" s="18"/>
      <c r="V524" s="18"/>
      <c r="W524" s="18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1" t="s">
        <v>21</v>
      </c>
      <c r="B525" s="51" t="s">
        <v>41</v>
      </c>
      <c r="C525" s="51" t="s">
        <v>61</v>
      </c>
      <c r="D525" s="51" t="s">
        <v>25</v>
      </c>
      <c r="E525" s="51" t="s">
        <v>25</v>
      </c>
      <c r="F525" s="51" t="s">
        <v>25</v>
      </c>
      <c r="G525" s="51" t="s">
        <v>62</v>
      </c>
      <c r="H525" s="51" t="s">
        <v>35</v>
      </c>
      <c r="I525" s="59">
        <v>44409</v>
      </c>
      <c r="J525" s="60">
        <f ca="1">EFEITO!$J$525*EFEITO!$Y$525</f>
        <v>91919.002125640793</v>
      </c>
      <c r="K525" s="60">
        <f ca="1">EFEITO!$L$525*EFEITO!$Z$525</f>
        <v>0</v>
      </c>
      <c r="L525" s="60">
        <f>EFEITO!$N$525*EFEITO!$AA$525</f>
        <v>0</v>
      </c>
      <c r="M525" s="60">
        <f ca="1">$J$525-EFEITO!$K$525*EFEITO!$Y$525</f>
        <v>0</v>
      </c>
      <c r="N525" s="60">
        <f ca="1">$K$525-EFEITO!$M$525*EFEITO!$Z$525</f>
        <v>0</v>
      </c>
      <c r="O525" s="60">
        <f>$L$525-EFEITO!$O$525*EFEITO!$AA$525</f>
        <v>0</v>
      </c>
      <c r="P525" s="18"/>
      <c r="Q525" s="18"/>
      <c r="R525" s="18"/>
      <c r="S525" s="18"/>
      <c r="T525" s="18"/>
      <c r="U525" s="18"/>
      <c r="V525" s="18"/>
      <c r="W525" s="18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1" t="s">
        <v>21</v>
      </c>
      <c r="B526" s="51" t="s">
        <v>41</v>
      </c>
      <c r="C526" s="51" t="s">
        <v>61</v>
      </c>
      <c r="D526" s="51" t="s">
        <v>25</v>
      </c>
      <c r="E526" s="51" t="s">
        <v>25</v>
      </c>
      <c r="F526" s="51" t="s">
        <v>25</v>
      </c>
      <c r="G526" s="51" t="s">
        <v>67</v>
      </c>
      <c r="H526" s="51" t="s">
        <v>35</v>
      </c>
      <c r="I526" s="59">
        <v>44409</v>
      </c>
      <c r="J526" s="60">
        <f ca="1">EFEITO!$J$526*EFEITO!$Y$526</f>
        <v>104346.27980230087</v>
      </c>
      <c r="K526" s="60">
        <f ca="1">EFEITO!$L$526*EFEITO!$Z$526</f>
        <v>0</v>
      </c>
      <c r="L526" s="60">
        <f>EFEITO!$N$526*EFEITO!$AA$526</f>
        <v>0</v>
      </c>
      <c r="M526" s="60">
        <f ca="1">$J$526-EFEITO!$K$526*EFEITO!$Y$526</f>
        <v>0</v>
      </c>
      <c r="N526" s="60">
        <f ca="1">$K$526-EFEITO!$M$526*EFEITO!$Z$526</f>
        <v>0</v>
      </c>
      <c r="O526" s="60">
        <f>$L$526-EFEITO!$O$526*EFEITO!$AA$526</f>
        <v>0</v>
      </c>
      <c r="P526" s="18"/>
      <c r="Q526" s="18"/>
      <c r="R526" s="18"/>
      <c r="S526" s="18"/>
      <c r="T526" s="18"/>
      <c r="U526" s="18"/>
      <c r="V526" s="18"/>
      <c r="W526" s="18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1" t="s">
        <v>21</v>
      </c>
      <c r="B527" s="51" t="s">
        <v>41</v>
      </c>
      <c r="C527" s="51" t="s">
        <v>61</v>
      </c>
      <c r="D527" s="51" t="s">
        <v>25</v>
      </c>
      <c r="E527" s="51" t="s">
        <v>25</v>
      </c>
      <c r="F527" s="51" t="s">
        <v>25</v>
      </c>
      <c r="G527" s="51" t="s">
        <v>62</v>
      </c>
      <c r="H527" s="51" t="s">
        <v>35</v>
      </c>
      <c r="I527" s="59">
        <v>44440</v>
      </c>
      <c r="J527" s="60">
        <f ca="1">EFEITO!$J$527*EFEITO!$Y$527</f>
        <v>91919.002125640793</v>
      </c>
      <c r="K527" s="60">
        <f ca="1">EFEITO!$L$527*EFEITO!$Z$527</f>
        <v>0</v>
      </c>
      <c r="L527" s="60">
        <f>EFEITO!$N$527*EFEITO!$AA$527</f>
        <v>0</v>
      </c>
      <c r="M527" s="60">
        <f ca="1">$J$527-EFEITO!$K$527*EFEITO!$Y$527</f>
        <v>0</v>
      </c>
      <c r="N527" s="60">
        <f ca="1">$K$527-EFEITO!$M$527*EFEITO!$Z$527</f>
        <v>0</v>
      </c>
      <c r="O527" s="60">
        <f>$L$527-EFEITO!$O$527*EFEITO!$AA$527</f>
        <v>0</v>
      </c>
      <c r="P527" s="18"/>
      <c r="Q527" s="18"/>
      <c r="R527" s="18"/>
      <c r="S527" s="18"/>
      <c r="T527" s="18"/>
      <c r="U527" s="18"/>
      <c r="V527" s="18"/>
      <c r="W527" s="18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1" t="s">
        <v>21</v>
      </c>
      <c r="B528" s="51" t="s">
        <v>41</v>
      </c>
      <c r="C528" s="51" t="s">
        <v>61</v>
      </c>
      <c r="D528" s="51" t="s">
        <v>25</v>
      </c>
      <c r="E528" s="51" t="s">
        <v>25</v>
      </c>
      <c r="F528" s="51" t="s">
        <v>25</v>
      </c>
      <c r="G528" s="51" t="s">
        <v>67</v>
      </c>
      <c r="H528" s="51" t="s">
        <v>35</v>
      </c>
      <c r="I528" s="59">
        <v>44440</v>
      </c>
      <c r="J528" s="60">
        <f ca="1">EFEITO!$J$528*EFEITO!$Y$528</f>
        <v>104346.27980230087</v>
      </c>
      <c r="K528" s="60">
        <f ca="1">EFEITO!$L$528*EFEITO!$Z$528</f>
        <v>0</v>
      </c>
      <c r="L528" s="60">
        <f>EFEITO!$N$528*EFEITO!$AA$528</f>
        <v>0</v>
      </c>
      <c r="M528" s="60">
        <f ca="1">$J$528-EFEITO!$K$528*EFEITO!$Y$528</f>
        <v>0</v>
      </c>
      <c r="N528" s="60">
        <f ca="1">$K$528-EFEITO!$M$528*EFEITO!$Z$528</f>
        <v>0</v>
      </c>
      <c r="O528" s="60">
        <f>$L$528-EFEITO!$O$528*EFEITO!$AA$528</f>
        <v>0</v>
      </c>
      <c r="P528" s="18"/>
      <c r="Q528" s="18"/>
      <c r="R528" s="18"/>
      <c r="S528" s="18"/>
      <c r="T528" s="18"/>
      <c r="U528" s="18"/>
      <c r="V528" s="18"/>
      <c r="W528" s="18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1" t="s">
        <v>21</v>
      </c>
      <c r="B529" s="51" t="s">
        <v>41</v>
      </c>
      <c r="C529" s="51" t="s">
        <v>61</v>
      </c>
      <c r="D529" s="51" t="s">
        <v>25</v>
      </c>
      <c r="E529" s="51" t="s">
        <v>25</v>
      </c>
      <c r="F529" s="51" t="s">
        <v>25</v>
      </c>
      <c r="G529" s="51" t="s">
        <v>62</v>
      </c>
      <c r="H529" s="51" t="s">
        <v>35</v>
      </c>
      <c r="I529" s="59">
        <v>44470</v>
      </c>
      <c r="J529" s="60">
        <f ca="1">EFEITO!$J$529*EFEITO!$Y$529</f>
        <v>91919.002125640793</v>
      </c>
      <c r="K529" s="60">
        <f ca="1">EFEITO!$L$529*EFEITO!$Z$529</f>
        <v>0</v>
      </c>
      <c r="L529" s="60">
        <f>EFEITO!$N$529*EFEITO!$AA$529</f>
        <v>0</v>
      </c>
      <c r="M529" s="60">
        <f ca="1">$J$529-EFEITO!$K$529*EFEITO!$Y$529</f>
        <v>0</v>
      </c>
      <c r="N529" s="60">
        <f ca="1">$K$529-EFEITO!$M$529*EFEITO!$Z$529</f>
        <v>0</v>
      </c>
      <c r="O529" s="60">
        <f>$L$529-EFEITO!$O$529*EFEITO!$AA$529</f>
        <v>0</v>
      </c>
      <c r="P529" s="18"/>
      <c r="Q529" s="18"/>
      <c r="R529" s="18"/>
      <c r="S529" s="18"/>
      <c r="T529" s="18"/>
      <c r="U529" s="18"/>
      <c r="V529" s="18"/>
      <c r="W529" s="18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1" t="s">
        <v>21</v>
      </c>
      <c r="B530" s="51" t="s">
        <v>41</v>
      </c>
      <c r="C530" s="51" t="s">
        <v>61</v>
      </c>
      <c r="D530" s="51" t="s">
        <v>25</v>
      </c>
      <c r="E530" s="51" t="s">
        <v>25</v>
      </c>
      <c r="F530" s="51" t="s">
        <v>25</v>
      </c>
      <c r="G530" s="51" t="s">
        <v>67</v>
      </c>
      <c r="H530" s="51" t="s">
        <v>35</v>
      </c>
      <c r="I530" s="59">
        <v>44470</v>
      </c>
      <c r="J530" s="60">
        <f ca="1">EFEITO!$J$530*EFEITO!$Y$530</f>
        <v>104346.27980230087</v>
      </c>
      <c r="K530" s="60">
        <f ca="1">EFEITO!$L$530*EFEITO!$Z$530</f>
        <v>0</v>
      </c>
      <c r="L530" s="60">
        <f>EFEITO!$N$530*EFEITO!$AA$530</f>
        <v>0</v>
      </c>
      <c r="M530" s="60">
        <f ca="1">$J$530-EFEITO!$K$530*EFEITO!$Y$530</f>
        <v>0</v>
      </c>
      <c r="N530" s="60">
        <f ca="1">$K$530-EFEITO!$M$530*EFEITO!$Z$530</f>
        <v>0</v>
      </c>
      <c r="O530" s="60">
        <f>$L$530-EFEITO!$O$530*EFEITO!$AA$530</f>
        <v>0</v>
      </c>
      <c r="P530" s="18"/>
      <c r="Q530" s="18"/>
      <c r="R530" s="18"/>
      <c r="S530" s="18"/>
      <c r="T530" s="18"/>
      <c r="U530" s="18"/>
      <c r="V530" s="18"/>
      <c r="W530" s="18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1" t="s">
        <v>21</v>
      </c>
      <c r="B531" s="51" t="s">
        <v>41</v>
      </c>
      <c r="C531" s="51" t="s">
        <v>61</v>
      </c>
      <c r="D531" s="51" t="s">
        <v>25</v>
      </c>
      <c r="E531" s="51" t="s">
        <v>25</v>
      </c>
      <c r="F531" s="51" t="s">
        <v>25</v>
      </c>
      <c r="G531" s="51" t="s">
        <v>62</v>
      </c>
      <c r="H531" s="51" t="s">
        <v>35</v>
      </c>
      <c r="I531" s="59">
        <v>44501</v>
      </c>
      <c r="J531" s="60">
        <f ca="1">EFEITO!$J$531*EFEITO!$Y$531</f>
        <v>91919.002125640793</v>
      </c>
      <c r="K531" s="60">
        <f ca="1">EFEITO!$L$531*EFEITO!$Z$531</f>
        <v>0</v>
      </c>
      <c r="L531" s="60">
        <f>EFEITO!$N$531*EFEITO!$AA$531</f>
        <v>0</v>
      </c>
      <c r="M531" s="60">
        <f ca="1">$J$531-EFEITO!$K$531*EFEITO!$Y$531</f>
        <v>0</v>
      </c>
      <c r="N531" s="60">
        <f ca="1">$K$531-EFEITO!$M$531*EFEITO!$Z$531</f>
        <v>0</v>
      </c>
      <c r="O531" s="60">
        <f>$L$531-EFEITO!$O$531*EFEITO!$AA$531</f>
        <v>0</v>
      </c>
      <c r="P531" s="18"/>
      <c r="Q531" s="18"/>
      <c r="R531" s="18"/>
      <c r="S531" s="18"/>
      <c r="T531" s="18"/>
      <c r="U531" s="18"/>
      <c r="V531" s="18"/>
      <c r="W531" s="18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1" t="s">
        <v>21</v>
      </c>
      <c r="B532" s="51" t="s">
        <v>41</v>
      </c>
      <c r="C532" s="51" t="s">
        <v>61</v>
      </c>
      <c r="D532" s="51" t="s">
        <v>25</v>
      </c>
      <c r="E532" s="51" t="s">
        <v>25</v>
      </c>
      <c r="F532" s="51" t="s">
        <v>25</v>
      </c>
      <c r="G532" s="51" t="s">
        <v>67</v>
      </c>
      <c r="H532" s="51" t="s">
        <v>35</v>
      </c>
      <c r="I532" s="59">
        <v>44501</v>
      </c>
      <c r="J532" s="60">
        <f ca="1">EFEITO!$J$532*EFEITO!$Y$532</f>
        <v>104346.27980230087</v>
      </c>
      <c r="K532" s="60">
        <f ca="1">EFEITO!$L$532*EFEITO!$Z$532</f>
        <v>0</v>
      </c>
      <c r="L532" s="60">
        <f>EFEITO!$N$532*EFEITO!$AA$532</f>
        <v>0</v>
      </c>
      <c r="M532" s="60">
        <f ca="1">$J$532-EFEITO!$K$532*EFEITO!$Y$532</f>
        <v>0</v>
      </c>
      <c r="N532" s="60">
        <f ca="1">$K$532-EFEITO!$M$532*EFEITO!$Z$532</f>
        <v>0</v>
      </c>
      <c r="O532" s="60">
        <f>$L$532-EFEITO!$O$532*EFEITO!$AA$532</f>
        <v>0</v>
      </c>
      <c r="P532" s="18"/>
      <c r="Q532" s="18"/>
      <c r="R532" s="18"/>
      <c r="S532" s="18"/>
      <c r="T532" s="18"/>
      <c r="U532" s="18"/>
      <c r="V532" s="18"/>
      <c r="W532" s="18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1" t="s">
        <v>21</v>
      </c>
      <c r="B533" s="51" t="s">
        <v>41</v>
      </c>
      <c r="C533" s="51" t="s">
        <v>61</v>
      </c>
      <c r="D533" s="51" t="s">
        <v>25</v>
      </c>
      <c r="E533" s="51" t="s">
        <v>25</v>
      </c>
      <c r="F533" s="51" t="s">
        <v>25</v>
      </c>
      <c r="G533" s="51" t="s">
        <v>62</v>
      </c>
      <c r="H533" s="51" t="s">
        <v>35</v>
      </c>
      <c r="I533" s="59">
        <v>44531</v>
      </c>
      <c r="J533" s="60">
        <f ca="1">EFEITO!$J$533*EFEITO!$Y$533</f>
        <v>91919.002125640793</v>
      </c>
      <c r="K533" s="60">
        <f ca="1">EFEITO!$L$533*EFEITO!$Z$533</f>
        <v>0</v>
      </c>
      <c r="L533" s="60">
        <f>EFEITO!$N$533*EFEITO!$AA$533</f>
        <v>0</v>
      </c>
      <c r="M533" s="60">
        <f ca="1">$J$533-EFEITO!$K$533*EFEITO!$Y$533</f>
        <v>0</v>
      </c>
      <c r="N533" s="60">
        <f ca="1">$K$533-EFEITO!$M$533*EFEITO!$Z$533</f>
        <v>0</v>
      </c>
      <c r="O533" s="60">
        <f>$L$533-EFEITO!$O$533*EFEITO!$AA$533</f>
        <v>0</v>
      </c>
      <c r="P533" s="18"/>
      <c r="Q533" s="18"/>
      <c r="R533" s="18"/>
      <c r="S533" s="18"/>
      <c r="T533" s="18"/>
      <c r="U533" s="18"/>
      <c r="V533" s="18"/>
      <c r="W533" s="18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1" t="s">
        <v>21</v>
      </c>
      <c r="B534" s="51" t="s">
        <v>41</v>
      </c>
      <c r="C534" s="51" t="s">
        <v>61</v>
      </c>
      <c r="D534" s="51" t="s">
        <v>25</v>
      </c>
      <c r="E534" s="51" t="s">
        <v>25</v>
      </c>
      <c r="F534" s="51" t="s">
        <v>25</v>
      </c>
      <c r="G534" s="51" t="s">
        <v>67</v>
      </c>
      <c r="H534" s="51" t="s">
        <v>35</v>
      </c>
      <c r="I534" s="59">
        <v>44531</v>
      </c>
      <c r="J534" s="60">
        <f ca="1">EFEITO!$J$534*EFEITO!$Y$534</f>
        <v>106769.10449523061</v>
      </c>
      <c r="K534" s="60">
        <f ca="1">EFEITO!$L$534*EFEITO!$Z$534</f>
        <v>0</v>
      </c>
      <c r="L534" s="60">
        <f>EFEITO!$N$534*EFEITO!$AA$534</f>
        <v>0</v>
      </c>
      <c r="M534" s="60">
        <f ca="1">$J$534-EFEITO!$K$534*EFEITO!$Y$534</f>
        <v>0</v>
      </c>
      <c r="N534" s="60">
        <f ca="1">$K$534-EFEITO!$M$534*EFEITO!$Z$534</f>
        <v>0</v>
      </c>
      <c r="O534" s="60">
        <f>$L$534-EFEITO!$O$534*EFEITO!$AA$534</f>
        <v>0</v>
      </c>
      <c r="P534" s="18"/>
      <c r="Q534" s="18"/>
      <c r="R534" s="18"/>
      <c r="S534" s="18"/>
      <c r="T534" s="18"/>
      <c r="U534" s="18"/>
      <c r="V534" s="18"/>
      <c r="W534" s="18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1" t="s">
        <v>21</v>
      </c>
      <c r="B535" s="51" t="s">
        <v>41</v>
      </c>
      <c r="C535" s="51" t="s">
        <v>61</v>
      </c>
      <c r="D535" s="51" t="s">
        <v>25</v>
      </c>
      <c r="E535" s="51" t="s">
        <v>25</v>
      </c>
      <c r="F535" s="51" t="s">
        <v>25</v>
      </c>
      <c r="G535" s="51" t="s">
        <v>62</v>
      </c>
      <c r="H535" s="51" t="s">
        <v>35</v>
      </c>
      <c r="I535" s="59">
        <v>44562</v>
      </c>
      <c r="J535" s="60">
        <f ca="1">EFEITO!$J$535*EFEITO!$Y$535</f>
        <v>91919.002125640793</v>
      </c>
      <c r="K535" s="60">
        <f ca="1">EFEITO!$L$535*EFEITO!$Z$535</f>
        <v>0</v>
      </c>
      <c r="L535" s="60">
        <f>EFEITO!$N$535*EFEITO!$AA$535</f>
        <v>0</v>
      </c>
      <c r="M535" s="60">
        <f ca="1">$J$535-EFEITO!$K$535*EFEITO!$Y$535</f>
        <v>0</v>
      </c>
      <c r="N535" s="60">
        <f ca="1">$K$535-EFEITO!$M$535*EFEITO!$Z$535</f>
        <v>0</v>
      </c>
      <c r="O535" s="60">
        <f>$L$535-EFEITO!$O$535*EFEITO!$AA$535</f>
        <v>0</v>
      </c>
      <c r="P535" s="18"/>
      <c r="Q535" s="18"/>
      <c r="R535" s="18"/>
      <c r="S535" s="18"/>
      <c r="T535" s="18"/>
      <c r="U535" s="18"/>
      <c r="V535" s="18"/>
      <c r="W535" s="18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1" t="s">
        <v>21</v>
      </c>
      <c r="B536" s="51" t="s">
        <v>41</v>
      </c>
      <c r="C536" s="51" t="s">
        <v>61</v>
      </c>
      <c r="D536" s="51" t="s">
        <v>25</v>
      </c>
      <c r="E536" s="51" t="s">
        <v>25</v>
      </c>
      <c r="F536" s="51" t="s">
        <v>25</v>
      </c>
      <c r="G536" s="51" t="s">
        <v>67</v>
      </c>
      <c r="H536" s="51" t="s">
        <v>35</v>
      </c>
      <c r="I536" s="59">
        <v>44562</v>
      </c>
      <c r="J536" s="60">
        <f ca="1">EFEITO!$J$536*EFEITO!$Y$536</f>
        <v>104346.27980230087</v>
      </c>
      <c r="K536" s="60">
        <f ca="1">EFEITO!$L$536*EFEITO!$Z$536</f>
        <v>0</v>
      </c>
      <c r="L536" s="60">
        <f>EFEITO!$N$536*EFEITO!$AA$536</f>
        <v>0</v>
      </c>
      <c r="M536" s="60">
        <f ca="1">$J$536-EFEITO!$K$536*EFEITO!$Y$536</f>
        <v>0</v>
      </c>
      <c r="N536" s="60">
        <f ca="1">$K$536-EFEITO!$M$536*EFEITO!$Z$536</f>
        <v>0</v>
      </c>
      <c r="O536" s="60">
        <f>$L$536-EFEITO!$O$536*EFEITO!$AA$536</f>
        <v>0</v>
      </c>
      <c r="P536" s="18"/>
      <c r="Q536" s="18"/>
      <c r="R536" s="18"/>
      <c r="S536" s="18"/>
      <c r="T536" s="18"/>
      <c r="U536" s="18"/>
      <c r="V536" s="18"/>
      <c r="W536" s="18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1" t="s">
        <v>21</v>
      </c>
      <c r="B537" s="51" t="s">
        <v>41</v>
      </c>
      <c r="C537" s="51" t="s">
        <v>61</v>
      </c>
      <c r="D537" s="51" t="s">
        <v>25</v>
      </c>
      <c r="E537" s="51" t="s">
        <v>25</v>
      </c>
      <c r="F537" s="51" t="s">
        <v>25</v>
      </c>
      <c r="G537" s="51" t="s">
        <v>62</v>
      </c>
      <c r="H537" s="51" t="s">
        <v>35</v>
      </c>
      <c r="I537" s="59">
        <v>44593</v>
      </c>
      <c r="J537" s="60">
        <f ca="1">EFEITO!$J$537*EFEITO!$Y$537</f>
        <v>91919.002125640793</v>
      </c>
      <c r="K537" s="60">
        <f ca="1">EFEITO!$L$537*EFEITO!$Z$537</f>
        <v>0</v>
      </c>
      <c r="L537" s="60">
        <f>EFEITO!$N$537*EFEITO!$AA$537</f>
        <v>0</v>
      </c>
      <c r="M537" s="60">
        <f ca="1">$J$537-EFEITO!$K$537*EFEITO!$Y$537</f>
        <v>0</v>
      </c>
      <c r="N537" s="60">
        <f ca="1">$K$537-EFEITO!$M$537*EFEITO!$Z$537</f>
        <v>0</v>
      </c>
      <c r="O537" s="60">
        <f>$L$537-EFEITO!$O$537*EFEITO!$AA$537</f>
        <v>0</v>
      </c>
      <c r="P537" s="18"/>
      <c r="Q537" s="18"/>
      <c r="R537" s="18"/>
      <c r="S537" s="18"/>
      <c r="T537" s="18"/>
      <c r="U537" s="18"/>
      <c r="V537" s="18"/>
      <c r="W537" s="18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1" t="s">
        <v>21</v>
      </c>
      <c r="B538" s="51" t="s">
        <v>41</v>
      </c>
      <c r="C538" s="51" t="s">
        <v>61</v>
      </c>
      <c r="D538" s="51" t="s">
        <v>25</v>
      </c>
      <c r="E538" s="51" t="s">
        <v>25</v>
      </c>
      <c r="F538" s="51" t="s">
        <v>25</v>
      </c>
      <c r="G538" s="51" t="s">
        <v>67</v>
      </c>
      <c r="H538" s="51" t="s">
        <v>35</v>
      </c>
      <c r="I538" s="59">
        <v>44593</v>
      </c>
      <c r="J538" s="60">
        <f ca="1">EFEITO!$J$538*EFEITO!$Y$538</f>
        <v>104346.27980230087</v>
      </c>
      <c r="K538" s="60">
        <f ca="1">EFEITO!$L$538*EFEITO!$Z$538</f>
        <v>0</v>
      </c>
      <c r="L538" s="60">
        <f>EFEITO!$N$538*EFEITO!$AA$538</f>
        <v>0</v>
      </c>
      <c r="M538" s="60">
        <f ca="1">$J$538-EFEITO!$K$538*EFEITO!$Y$538</f>
        <v>0</v>
      </c>
      <c r="N538" s="60">
        <f ca="1">$K$538-EFEITO!$M$538*EFEITO!$Z$538</f>
        <v>0</v>
      </c>
      <c r="O538" s="60">
        <f>$L$538-EFEITO!$O$538*EFEITO!$AA$538</f>
        <v>0</v>
      </c>
      <c r="P538" s="18"/>
      <c r="Q538" s="18"/>
      <c r="R538" s="18"/>
      <c r="S538" s="18"/>
      <c r="T538" s="18"/>
      <c r="U538" s="18"/>
      <c r="V538" s="18"/>
      <c r="W538" s="18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1" t="s">
        <v>56</v>
      </c>
      <c r="B539" s="51" t="s">
        <v>41</v>
      </c>
      <c r="C539" s="51" t="s">
        <v>61</v>
      </c>
      <c r="D539" s="51" t="s">
        <v>25</v>
      </c>
      <c r="E539" s="51" t="s">
        <v>25</v>
      </c>
      <c r="F539" s="51" t="s">
        <v>25</v>
      </c>
      <c r="G539" s="51" t="s">
        <v>62</v>
      </c>
      <c r="H539" s="51" t="s">
        <v>35</v>
      </c>
      <c r="I539" s="59">
        <v>44621</v>
      </c>
      <c r="J539" s="60">
        <f ca="1">EFEITO!$J$539*EFEITO!$Y$539</f>
        <v>91919.002125640793</v>
      </c>
      <c r="K539" s="60">
        <f ca="1">EFEITO!$L$539*EFEITO!$Z$539</f>
        <v>0</v>
      </c>
      <c r="L539" s="60">
        <f>EFEITO!$N$539*EFEITO!$AA$539</f>
        <v>0</v>
      </c>
      <c r="M539" s="60">
        <f ca="1">$J$539-EFEITO!$K$539*EFEITO!$Y$539</f>
        <v>0</v>
      </c>
      <c r="N539" s="60">
        <f ca="1">$K$539-EFEITO!$M$539*EFEITO!$Z$539</f>
        <v>0</v>
      </c>
      <c r="O539" s="60">
        <f>$L$539-EFEITO!$O$539*EFEITO!$AA$539</f>
        <v>0</v>
      </c>
      <c r="P539" s="18"/>
      <c r="Q539" s="18"/>
      <c r="R539" s="18"/>
      <c r="S539" s="18"/>
      <c r="T539" s="18"/>
      <c r="U539" s="18"/>
      <c r="V539" s="18"/>
      <c r="W539" s="18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1" t="s">
        <v>56</v>
      </c>
      <c r="B540" s="51" t="s">
        <v>41</v>
      </c>
      <c r="C540" s="51" t="s">
        <v>61</v>
      </c>
      <c r="D540" s="51" t="s">
        <v>25</v>
      </c>
      <c r="E540" s="51" t="s">
        <v>25</v>
      </c>
      <c r="F540" s="51" t="s">
        <v>25</v>
      </c>
      <c r="G540" s="51" t="s">
        <v>67</v>
      </c>
      <c r="H540" s="51" t="s">
        <v>35</v>
      </c>
      <c r="I540" s="59">
        <v>44621</v>
      </c>
      <c r="J540" s="60">
        <f ca="1">EFEITO!$J$540*EFEITO!$Y$540</f>
        <v>104346.27980230087</v>
      </c>
      <c r="K540" s="60">
        <f ca="1">EFEITO!$L$540*EFEITO!$Z$540</f>
        <v>0</v>
      </c>
      <c r="L540" s="60">
        <f>EFEITO!$N$540*EFEITO!$AA$540</f>
        <v>0</v>
      </c>
      <c r="M540" s="60">
        <f ca="1">$J$540-EFEITO!$K$540*EFEITO!$Y$540</f>
        <v>0</v>
      </c>
      <c r="N540" s="60">
        <f ca="1">$K$540-EFEITO!$M$540*EFEITO!$Z$540</f>
        <v>0</v>
      </c>
      <c r="O540" s="60">
        <f>$L$540-EFEITO!$O$540*EFEITO!$AA$540</f>
        <v>0</v>
      </c>
      <c r="P540" s="18"/>
      <c r="Q540" s="18"/>
      <c r="R540" s="18"/>
      <c r="S540" s="18"/>
      <c r="T540" s="18"/>
      <c r="U540" s="18"/>
      <c r="V540" s="18"/>
      <c r="W540" s="18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1" t="s">
        <v>21</v>
      </c>
      <c r="B541" s="51" t="s">
        <v>41</v>
      </c>
      <c r="C541" s="51" t="s">
        <v>61</v>
      </c>
      <c r="D541" s="51" t="s">
        <v>25</v>
      </c>
      <c r="E541" s="51" t="s">
        <v>25</v>
      </c>
      <c r="F541" s="51" t="s">
        <v>25</v>
      </c>
      <c r="G541" s="51" t="s">
        <v>62</v>
      </c>
      <c r="H541" s="51" t="s">
        <v>25</v>
      </c>
      <c r="I541" s="59">
        <v>44287</v>
      </c>
      <c r="J541" s="60">
        <f ca="1">EFEITO!$J$541*EFEITO!$Y$541</f>
        <v>0</v>
      </c>
      <c r="K541" s="60">
        <f ca="1">EFEITO!$L$541*EFEITO!$Z$541</f>
        <v>24051.674275839909</v>
      </c>
      <c r="L541" s="60">
        <f>EFEITO!$N$541*EFEITO!$AA$541</f>
        <v>0</v>
      </c>
      <c r="M541" s="60">
        <f ca="1">$J$541-EFEITO!$K$541*EFEITO!$Y$541</f>
        <v>0</v>
      </c>
      <c r="N541" s="60">
        <f ca="1">$K$541-EFEITO!$M$541*EFEITO!$Z$541</f>
        <v>0</v>
      </c>
      <c r="O541" s="60">
        <f>$L$541-EFEITO!$O$541*EFEITO!$AA$541</f>
        <v>0</v>
      </c>
      <c r="P541" s="18"/>
      <c r="Q541" s="18"/>
      <c r="R541" s="18"/>
      <c r="S541" s="18"/>
      <c r="T541" s="18"/>
      <c r="U541" s="18"/>
      <c r="V541" s="18"/>
      <c r="W541" s="18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1" t="s">
        <v>21</v>
      </c>
      <c r="B542" s="51" t="s">
        <v>41</v>
      </c>
      <c r="C542" s="51" t="s">
        <v>61</v>
      </c>
      <c r="D542" s="51" t="s">
        <v>25</v>
      </c>
      <c r="E542" s="51" t="s">
        <v>25</v>
      </c>
      <c r="F542" s="51" t="s">
        <v>25</v>
      </c>
      <c r="G542" s="51" t="s">
        <v>67</v>
      </c>
      <c r="H542" s="51" t="s">
        <v>25</v>
      </c>
      <c r="I542" s="59">
        <v>44287</v>
      </c>
      <c r="J542" s="60">
        <f ca="1">EFEITO!$J$542*EFEITO!$Y$542</f>
        <v>0</v>
      </c>
      <c r="K542" s="60">
        <f ca="1">EFEITO!$L$542*EFEITO!$Z$542</f>
        <v>24142.164195599693</v>
      </c>
      <c r="L542" s="60">
        <f>EFEITO!$N$542*EFEITO!$AA$542</f>
        <v>0</v>
      </c>
      <c r="M542" s="60">
        <f ca="1">$J$542-EFEITO!$K$542*EFEITO!$Y$542</f>
        <v>0</v>
      </c>
      <c r="N542" s="60">
        <f ca="1">$K$542-EFEITO!$M$542*EFEITO!$Z$542</f>
        <v>0</v>
      </c>
      <c r="O542" s="60">
        <f>$L$542-EFEITO!$O$542*EFEITO!$AA$542</f>
        <v>0</v>
      </c>
      <c r="P542" s="18"/>
      <c r="Q542" s="18"/>
      <c r="R542" s="18"/>
      <c r="S542" s="18"/>
      <c r="T542" s="18"/>
      <c r="U542" s="18"/>
      <c r="V542" s="18"/>
      <c r="W542" s="18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1" t="s">
        <v>21</v>
      </c>
      <c r="B543" s="51" t="s">
        <v>41</v>
      </c>
      <c r="C543" s="51" t="s">
        <v>61</v>
      </c>
      <c r="D543" s="51" t="s">
        <v>25</v>
      </c>
      <c r="E543" s="51" t="s">
        <v>25</v>
      </c>
      <c r="F543" s="51" t="s">
        <v>25</v>
      </c>
      <c r="G543" s="51" t="s">
        <v>62</v>
      </c>
      <c r="H543" s="51" t="s">
        <v>25</v>
      </c>
      <c r="I543" s="59">
        <v>44317</v>
      </c>
      <c r="J543" s="60">
        <f ca="1">EFEITO!$J$543*EFEITO!$Y$543</f>
        <v>0</v>
      </c>
      <c r="K543" s="60">
        <f ca="1">EFEITO!$L$543*EFEITO!$Z$543</f>
        <v>21771.406354509203</v>
      </c>
      <c r="L543" s="60">
        <f>EFEITO!$N$543*EFEITO!$AA$543</f>
        <v>0</v>
      </c>
      <c r="M543" s="60">
        <f ca="1">$J$543-EFEITO!$K$543*EFEITO!$Y$543</f>
        <v>0</v>
      </c>
      <c r="N543" s="60">
        <f ca="1">$K$543-EFEITO!$M$543*EFEITO!$Z$543</f>
        <v>0</v>
      </c>
      <c r="O543" s="60">
        <f>$L$543-EFEITO!$O$543*EFEITO!$AA$543</f>
        <v>0</v>
      </c>
      <c r="P543" s="18"/>
      <c r="Q543" s="18"/>
      <c r="R543" s="18"/>
      <c r="S543" s="18"/>
      <c r="T543" s="18"/>
      <c r="U543" s="18"/>
      <c r="V543" s="18"/>
      <c r="W543" s="18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1" t="s">
        <v>21</v>
      </c>
      <c r="B544" s="51" t="s">
        <v>41</v>
      </c>
      <c r="C544" s="51" t="s">
        <v>61</v>
      </c>
      <c r="D544" s="51" t="s">
        <v>25</v>
      </c>
      <c r="E544" s="51" t="s">
        <v>25</v>
      </c>
      <c r="F544" s="51" t="s">
        <v>25</v>
      </c>
      <c r="G544" s="51" t="s">
        <v>67</v>
      </c>
      <c r="H544" s="51" t="s">
        <v>25</v>
      </c>
      <c r="I544" s="59">
        <v>44317</v>
      </c>
      <c r="J544" s="60">
        <f ca="1">EFEITO!$J$544*EFEITO!$Y$544</f>
        <v>0</v>
      </c>
      <c r="K544" s="60">
        <f ca="1">EFEITO!$L$544*EFEITO!$Z$544</f>
        <v>22479.680936564953</v>
      </c>
      <c r="L544" s="60">
        <f>EFEITO!$N$544*EFEITO!$AA$544</f>
        <v>0</v>
      </c>
      <c r="M544" s="60">
        <f ca="1">$J$544-EFEITO!$K$544*EFEITO!$Y$544</f>
        <v>0</v>
      </c>
      <c r="N544" s="60">
        <f ca="1">$K$544-EFEITO!$M$544*EFEITO!$Z$544</f>
        <v>0</v>
      </c>
      <c r="O544" s="60">
        <f>$L$544-EFEITO!$O$544*EFEITO!$AA$544</f>
        <v>0</v>
      </c>
      <c r="P544" s="18"/>
      <c r="Q544" s="18"/>
      <c r="R544" s="18"/>
      <c r="S544" s="18"/>
      <c r="T544" s="18"/>
      <c r="U544" s="18"/>
      <c r="V544" s="18"/>
      <c r="W544" s="18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1" t="s">
        <v>21</v>
      </c>
      <c r="B545" s="51" t="s">
        <v>41</v>
      </c>
      <c r="C545" s="51" t="s">
        <v>61</v>
      </c>
      <c r="D545" s="51" t="s">
        <v>25</v>
      </c>
      <c r="E545" s="51" t="s">
        <v>25</v>
      </c>
      <c r="F545" s="51" t="s">
        <v>25</v>
      </c>
      <c r="G545" s="51" t="s">
        <v>62</v>
      </c>
      <c r="H545" s="51" t="s">
        <v>25</v>
      </c>
      <c r="I545" s="59">
        <v>44348</v>
      </c>
      <c r="J545" s="60">
        <f ca="1">EFEITO!$J$545*EFEITO!$Y$545</f>
        <v>0</v>
      </c>
      <c r="K545" s="60">
        <f ca="1">EFEITO!$L$545*EFEITO!$Z$545</f>
        <v>19039.268683526516</v>
      </c>
      <c r="L545" s="60">
        <f>EFEITO!$N$545*EFEITO!$AA$545</f>
        <v>0</v>
      </c>
      <c r="M545" s="60">
        <f ca="1">$J$545-EFEITO!$K$545*EFEITO!$Y$545</f>
        <v>0</v>
      </c>
      <c r="N545" s="60">
        <f ca="1">$K$545-EFEITO!$M$545*EFEITO!$Z$545</f>
        <v>0</v>
      </c>
      <c r="O545" s="60">
        <f>$L$545-EFEITO!$O$545*EFEITO!$AA$545</f>
        <v>0</v>
      </c>
      <c r="P545" s="18"/>
      <c r="Q545" s="18"/>
      <c r="R545" s="18"/>
      <c r="S545" s="18"/>
      <c r="T545" s="18"/>
      <c r="U545" s="18"/>
      <c r="V545" s="18"/>
      <c r="W545" s="18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1" t="s">
        <v>21</v>
      </c>
      <c r="B546" s="51" t="s">
        <v>41</v>
      </c>
      <c r="C546" s="51" t="s">
        <v>61</v>
      </c>
      <c r="D546" s="51" t="s">
        <v>25</v>
      </c>
      <c r="E546" s="51" t="s">
        <v>25</v>
      </c>
      <c r="F546" s="51" t="s">
        <v>25</v>
      </c>
      <c r="G546" s="51" t="s">
        <v>67</v>
      </c>
      <c r="H546" s="51" t="s">
        <v>25</v>
      </c>
      <c r="I546" s="59">
        <v>44348</v>
      </c>
      <c r="J546" s="60">
        <f ca="1">EFEITO!$J$546*EFEITO!$Y$546</f>
        <v>0</v>
      </c>
      <c r="K546" s="60">
        <f ca="1">EFEITO!$L$546*EFEITO!$Z$546</f>
        <v>21469.360703673297</v>
      </c>
      <c r="L546" s="60">
        <f>EFEITO!$N$546*EFEITO!$AA$546</f>
        <v>0</v>
      </c>
      <c r="M546" s="60">
        <f ca="1">$J$546-EFEITO!$K$546*EFEITO!$Y$546</f>
        <v>0</v>
      </c>
      <c r="N546" s="60">
        <f ca="1">$K$546-EFEITO!$M$546*EFEITO!$Z$546</f>
        <v>0</v>
      </c>
      <c r="O546" s="60">
        <f>$L$546-EFEITO!$O$546*EFEITO!$AA$546</f>
        <v>0</v>
      </c>
      <c r="P546" s="18"/>
      <c r="Q546" s="18"/>
      <c r="R546" s="18"/>
      <c r="S546" s="18"/>
      <c r="T546" s="18"/>
      <c r="U546" s="18"/>
      <c r="V546" s="18"/>
      <c r="W546" s="18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1" t="s">
        <v>21</v>
      </c>
      <c r="B547" s="51" t="s">
        <v>41</v>
      </c>
      <c r="C547" s="51" t="s">
        <v>61</v>
      </c>
      <c r="D547" s="51" t="s">
        <v>25</v>
      </c>
      <c r="E547" s="51" t="s">
        <v>25</v>
      </c>
      <c r="F547" s="51" t="s">
        <v>25</v>
      </c>
      <c r="G547" s="51" t="s">
        <v>62</v>
      </c>
      <c r="H547" s="51" t="s">
        <v>25</v>
      </c>
      <c r="I547" s="59">
        <v>44378</v>
      </c>
      <c r="J547" s="60">
        <f ca="1">EFEITO!$J$547*EFEITO!$Y$547</f>
        <v>0</v>
      </c>
      <c r="K547" s="60">
        <f ca="1">EFEITO!$L$547*EFEITO!$Z$547</f>
        <v>17798.804094020907</v>
      </c>
      <c r="L547" s="60">
        <f>EFEITO!$N$547*EFEITO!$AA$547</f>
        <v>0</v>
      </c>
      <c r="M547" s="60">
        <f ca="1">$J$547-EFEITO!$K$547*EFEITO!$Y$547</f>
        <v>0</v>
      </c>
      <c r="N547" s="60">
        <f ca="1">$K$547-EFEITO!$M$547*EFEITO!$Z$547</f>
        <v>0</v>
      </c>
      <c r="O547" s="60">
        <f>$L$547-EFEITO!$O$547*EFEITO!$AA$547</f>
        <v>0</v>
      </c>
      <c r="P547" s="18"/>
      <c r="Q547" s="18"/>
      <c r="R547" s="18"/>
      <c r="S547" s="18"/>
      <c r="T547" s="18"/>
      <c r="U547" s="18"/>
      <c r="V547" s="18"/>
      <c r="W547" s="18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1" t="s">
        <v>21</v>
      </c>
      <c r="B548" s="51" t="s">
        <v>41</v>
      </c>
      <c r="C548" s="51" t="s">
        <v>61</v>
      </c>
      <c r="D548" s="51" t="s">
        <v>25</v>
      </c>
      <c r="E548" s="51" t="s">
        <v>25</v>
      </c>
      <c r="F548" s="51" t="s">
        <v>25</v>
      </c>
      <c r="G548" s="51" t="s">
        <v>67</v>
      </c>
      <c r="H548" s="51" t="s">
        <v>25</v>
      </c>
      <c r="I548" s="59">
        <v>44378</v>
      </c>
      <c r="J548" s="60">
        <f ca="1">EFEITO!$J$548*EFEITO!$Y$548</f>
        <v>0</v>
      </c>
      <c r="K548" s="60">
        <f ca="1">EFEITO!$L$548*EFEITO!$Z$548</f>
        <v>20655.230199463556</v>
      </c>
      <c r="L548" s="60">
        <f>EFEITO!$N$548*EFEITO!$AA$548</f>
        <v>0</v>
      </c>
      <c r="M548" s="60">
        <f ca="1">$J$548-EFEITO!$K$548*EFEITO!$Y$548</f>
        <v>0</v>
      </c>
      <c r="N548" s="60">
        <f ca="1">$K$548-EFEITO!$M$548*EFEITO!$Z$548</f>
        <v>0</v>
      </c>
      <c r="O548" s="60">
        <f>$L$548-EFEITO!$O$548*EFEITO!$AA$548</f>
        <v>0</v>
      </c>
      <c r="P548" s="18"/>
      <c r="Q548" s="18"/>
      <c r="R548" s="18"/>
      <c r="S548" s="18"/>
      <c r="T548" s="18"/>
      <c r="U548" s="18"/>
      <c r="V548" s="18"/>
      <c r="W548" s="18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1" t="s">
        <v>21</v>
      </c>
      <c r="B549" s="51" t="s">
        <v>41</v>
      </c>
      <c r="C549" s="51" t="s">
        <v>61</v>
      </c>
      <c r="D549" s="51" t="s">
        <v>25</v>
      </c>
      <c r="E549" s="51" t="s">
        <v>25</v>
      </c>
      <c r="F549" s="51" t="s">
        <v>25</v>
      </c>
      <c r="G549" s="51" t="s">
        <v>62</v>
      </c>
      <c r="H549" s="51" t="s">
        <v>25</v>
      </c>
      <c r="I549" s="59">
        <v>44409</v>
      </c>
      <c r="J549" s="60">
        <f ca="1">EFEITO!$J$549*EFEITO!$Y$549</f>
        <v>0</v>
      </c>
      <c r="K549" s="60">
        <f ca="1">EFEITO!$L$549*EFEITO!$Z$549</f>
        <v>18125.225710919025</v>
      </c>
      <c r="L549" s="60">
        <f>EFEITO!$N$549*EFEITO!$AA$549</f>
        <v>0</v>
      </c>
      <c r="M549" s="60">
        <f ca="1">$J$549-EFEITO!$K$549*EFEITO!$Y$549</f>
        <v>0</v>
      </c>
      <c r="N549" s="60">
        <f ca="1">$K$549-EFEITO!$M$549*EFEITO!$Z$549</f>
        <v>0</v>
      </c>
      <c r="O549" s="60">
        <f>$L$549-EFEITO!$O$549*EFEITO!$AA$549</f>
        <v>0</v>
      </c>
      <c r="P549" s="18"/>
      <c r="Q549" s="18"/>
      <c r="R549" s="18"/>
      <c r="S549" s="18"/>
      <c r="T549" s="18"/>
      <c r="U549" s="18"/>
      <c r="V549" s="18"/>
      <c r="W549" s="18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1" t="s">
        <v>21</v>
      </c>
      <c r="B550" s="51" t="s">
        <v>41</v>
      </c>
      <c r="C550" s="51" t="s">
        <v>61</v>
      </c>
      <c r="D550" s="51" t="s">
        <v>25</v>
      </c>
      <c r="E550" s="51" t="s">
        <v>25</v>
      </c>
      <c r="F550" s="51" t="s">
        <v>25</v>
      </c>
      <c r="G550" s="51" t="s">
        <v>67</v>
      </c>
      <c r="H550" s="51" t="s">
        <v>25</v>
      </c>
      <c r="I550" s="59">
        <v>44409</v>
      </c>
      <c r="J550" s="60">
        <f ca="1">EFEITO!$J$550*EFEITO!$Y$550</f>
        <v>0</v>
      </c>
      <c r="K550" s="60">
        <f ca="1">EFEITO!$L$550*EFEITO!$Z$550</f>
        <v>20524.752990454403</v>
      </c>
      <c r="L550" s="60">
        <f>EFEITO!$N$550*EFEITO!$AA$550</f>
        <v>0</v>
      </c>
      <c r="M550" s="60">
        <f ca="1">$J$550-EFEITO!$K$550*EFEITO!$Y$550</f>
        <v>0</v>
      </c>
      <c r="N550" s="60">
        <f ca="1">$K$550-EFEITO!$M$550*EFEITO!$Z$550</f>
        <v>0</v>
      </c>
      <c r="O550" s="60">
        <f>$L$550-EFEITO!$O$550*EFEITO!$AA$550</f>
        <v>0</v>
      </c>
      <c r="P550" s="18"/>
      <c r="Q550" s="18"/>
      <c r="R550" s="18"/>
      <c r="S550" s="18"/>
      <c r="T550" s="18"/>
      <c r="U550" s="18"/>
      <c r="V550" s="18"/>
      <c r="W550" s="18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1" t="s">
        <v>21</v>
      </c>
      <c r="B551" s="51" t="s">
        <v>41</v>
      </c>
      <c r="C551" s="51" t="s">
        <v>61</v>
      </c>
      <c r="D551" s="51" t="s">
        <v>25</v>
      </c>
      <c r="E551" s="51" t="s">
        <v>25</v>
      </c>
      <c r="F551" s="51" t="s">
        <v>25</v>
      </c>
      <c r="G551" s="51" t="s">
        <v>62</v>
      </c>
      <c r="H551" s="51" t="s">
        <v>25</v>
      </c>
      <c r="I551" s="59">
        <v>44440</v>
      </c>
      <c r="J551" s="60">
        <f ca="1">EFEITO!$J$551*EFEITO!$Y$551</f>
        <v>0</v>
      </c>
      <c r="K551" s="60">
        <f ca="1">EFEITO!$L$551*EFEITO!$Z$551</f>
        <v>18009.791126895205</v>
      </c>
      <c r="L551" s="60">
        <f>EFEITO!$N$551*EFEITO!$AA$551</f>
        <v>0</v>
      </c>
      <c r="M551" s="60">
        <f ca="1">$J$551-EFEITO!$K$551*EFEITO!$Y$551</f>
        <v>0</v>
      </c>
      <c r="N551" s="60">
        <f ca="1">$K$551-EFEITO!$M$551*EFEITO!$Z$551</f>
        <v>0</v>
      </c>
      <c r="O551" s="60">
        <f>$L$551-EFEITO!$O$551*EFEITO!$AA$551</f>
        <v>0</v>
      </c>
      <c r="P551" s="18"/>
      <c r="Q551" s="18"/>
      <c r="R551" s="18"/>
      <c r="S551" s="18"/>
      <c r="T551" s="18"/>
      <c r="U551" s="18"/>
      <c r="V551" s="18"/>
      <c r="W551" s="18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1" t="s">
        <v>21</v>
      </c>
      <c r="B552" s="51" t="s">
        <v>41</v>
      </c>
      <c r="C552" s="51" t="s">
        <v>61</v>
      </c>
      <c r="D552" s="51" t="s">
        <v>25</v>
      </c>
      <c r="E552" s="51" t="s">
        <v>25</v>
      </c>
      <c r="F552" s="51" t="s">
        <v>25</v>
      </c>
      <c r="G552" s="51" t="s">
        <v>67</v>
      </c>
      <c r="H552" s="51" t="s">
        <v>25</v>
      </c>
      <c r="I552" s="59">
        <v>44440</v>
      </c>
      <c r="J552" s="60">
        <f ca="1">EFEITO!$J$552*EFEITO!$Y$552</f>
        <v>0</v>
      </c>
      <c r="K552" s="60">
        <f ca="1">EFEITO!$L$552*EFEITO!$Z$552</f>
        <v>20507.66974250961</v>
      </c>
      <c r="L552" s="60">
        <f>EFEITO!$N$552*EFEITO!$AA$552</f>
        <v>0</v>
      </c>
      <c r="M552" s="60">
        <f ca="1">$J$552-EFEITO!$K$552*EFEITO!$Y$552</f>
        <v>0</v>
      </c>
      <c r="N552" s="60">
        <f ca="1">$K$552-EFEITO!$M$552*EFEITO!$Z$552</f>
        <v>0</v>
      </c>
      <c r="O552" s="60">
        <f>$L$552-EFEITO!$O$552*EFEITO!$AA$552</f>
        <v>0</v>
      </c>
      <c r="P552" s="18"/>
      <c r="Q552" s="18"/>
      <c r="R552" s="18"/>
      <c r="S552" s="18"/>
      <c r="T552" s="18"/>
      <c r="U552" s="18"/>
      <c r="V552" s="18"/>
      <c r="W552" s="18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1" t="s">
        <v>21</v>
      </c>
      <c r="B553" s="51" t="s">
        <v>41</v>
      </c>
      <c r="C553" s="51" t="s">
        <v>61</v>
      </c>
      <c r="D553" s="51" t="s">
        <v>25</v>
      </c>
      <c r="E553" s="51" t="s">
        <v>25</v>
      </c>
      <c r="F553" s="51" t="s">
        <v>25</v>
      </c>
      <c r="G553" s="51" t="s">
        <v>62</v>
      </c>
      <c r="H553" s="51" t="s">
        <v>25</v>
      </c>
      <c r="I553" s="59">
        <v>44470</v>
      </c>
      <c r="J553" s="60">
        <f ca="1">EFEITO!$J$553*EFEITO!$Y$553</f>
        <v>0</v>
      </c>
      <c r="K553" s="60">
        <f ca="1">EFEITO!$L$553*EFEITO!$Z$553</f>
        <v>19536.69004404957</v>
      </c>
      <c r="L553" s="60">
        <f>EFEITO!$N$553*EFEITO!$AA$553</f>
        <v>0</v>
      </c>
      <c r="M553" s="60">
        <f ca="1">$J$553-EFEITO!$K$553*EFEITO!$Y$553</f>
        <v>0</v>
      </c>
      <c r="N553" s="60">
        <f ca="1">$K$553-EFEITO!$M$553*EFEITO!$Z$553</f>
        <v>0</v>
      </c>
      <c r="O553" s="60">
        <f>$L$553-EFEITO!$O$553*EFEITO!$AA$553</f>
        <v>0</v>
      </c>
      <c r="P553" s="18"/>
      <c r="Q553" s="18"/>
      <c r="R553" s="18"/>
      <c r="S553" s="18"/>
      <c r="T553" s="18"/>
      <c r="U553" s="18"/>
      <c r="V553" s="18"/>
      <c r="W553" s="18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1" t="s">
        <v>21</v>
      </c>
      <c r="B554" s="51" t="s">
        <v>41</v>
      </c>
      <c r="C554" s="51" t="s">
        <v>61</v>
      </c>
      <c r="D554" s="51" t="s">
        <v>25</v>
      </c>
      <c r="E554" s="51" t="s">
        <v>25</v>
      </c>
      <c r="F554" s="51" t="s">
        <v>25</v>
      </c>
      <c r="G554" s="51" t="s">
        <v>67</v>
      </c>
      <c r="H554" s="51" t="s">
        <v>25</v>
      </c>
      <c r="I554" s="59">
        <v>44470</v>
      </c>
      <c r="J554" s="60">
        <f ca="1">EFEITO!$J$554*EFEITO!$Y$554</f>
        <v>0</v>
      </c>
      <c r="K554" s="60">
        <f ca="1">EFEITO!$L$554*EFEITO!$Z$554</f>
        <v>21250.579160150563</v>
      </c>
      <c r="L554" s="60">
        <f>EFEITO!$N$554*EFEITO!$AA$554</f>
        <v>0</v>
      </c>
      <c r="M554" s="60">
        <f ca="1">$J$554-EFEITO!$K$554*EFEITO!$Y$554</f>
        <v>0</v>
      </c>
      <c r="N554" s="60">
        <f ca="1">$K$554-EFEITO!$M$554*EFEITO!$Z$554</f>
        <v>0</v>
      </c>
      <c r="O554" s="60">
        <f>$L$554-EFEITO!$O$554*EFEITO!$AA$554</f>
        <v>0</v>
      </c>
      <c r="P554" s="18"/>
      <c r="Q554" s="18"/>
      <c r="R554" s="18"/>
      <c r="S554" s="18"/>
      <c r="T554" s="18"/>
      <c r="U554" s="18"/>
      <c r="V554" s="18"/>
      <c r="W554" s="18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1" t="s">
        <v>21</v>
      </c>
      <c r="B555" s="51" t="s">
        <v>41</v>
      </c>
      <c r="C555" s="51" t="s">
        <v>61</v>
      </c>
      <c r="D555" s="51" t="s">
        <v>25</v>
      </c>
      <c r="E555" s="51" t="s">
        <v>25</v>
      </c>
      <c r="F555" s="51" t="s">
        <v>25</v>
      </c>
      <c r="G555" s="51" t="s">
        <v>62</v>
      </c>
      <c r="H555" s="51" t="s">
        <v>25</v>
      </c>
      <c r="I555" s="59">
        <v>44501</v>
      </c>
      <c r="J555" s="60">
        <f ca="1">EFEITO!$J$555*EFEITO!$Y$555</f>
        <v>0</v>
      </c>
      <c r="K555" s="60">
        <f ca="1">EFEITO!$L$555*EFEITO!$Z$555</f>
        <v>22601.226238522031</v>
      </c>
      <c r="L555" s="60">
        <f>EFEITO!$N$555*EFEITO!$AA$555</f>
        <v>0</v>
      </c>
      <c r="M555" s="60">
        <f ca="1">$J$555-EFEITO!$K$555*EFEITO!$Y$555</f>
        <v>0</v>
      </c>
      <c r="N555" s="60">
        <f ca="1">$K$555-EFEITO!$M$555*EFEITO!$Z$555</f>
        <v>0</v>
      </c>
      <c r="O555" s="60">
        <f>$L$555-EFEITO!$O$555*EFEITO!$AA$555</f>
        <v>0</v>
      </c>
      <c r="P555" s="18"/>
      <c r="Q555" s="18"/>
      <c r="R555" s="18"/>
      <c r="S555" s="18"/>
      <c r="T555" s="18"/>
      <c r="U555" s="18"/>
      <c r="V555" s="18"/>
      <c r="W555" s="18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1" t="s">
        <v>21</v>
      </c>
      <c r="B556" s="51" t="s">
        <v>41</v>
      </c>
      <c r="C556" s="51" t="s">
        <v>61</v>
      </c>
      <c r="D556" s="51" t="s">
        <v>25</v>
      </c>
      <c r="E556" s="51" t="s">
        <v>25</v>
      </c>
      <c r="F556" s="51" t="s">
        <v>25</v>
      </c>
      <c r="G556" s="51" t="s">
        <v>67</v>
      </c>
      <c r="H556" s="51" t="s">
        <v>25</v>
      </c>
      <c r="I556" s="59">
        <v>44501</v>
      </c>
      <c r="J556" s="60">
        <f ca="1">EFEITO!$J$556*EFEITO!$Y$556</f>
        <v>0</v>
      </c>
      <c r="K556" s="60">
        <f ca="1">EFEITO!$L$556*EFEITO!$Z$556</f>
        <v>22911.445532140922</v>
      </c>
      <c r="L556" s="60">
        <f>EFEITO!$N$556*EFEITO!$AA$556</f>
        <v>0</v>
      </c>
      <c r="M556" s="60">
        <f ca="1">$J$556-EFEITO!$K$556*EFEITO!$Y$556</f>
        <v>0</v>
      </c>
      <c r="N556" s="60">
        <f ca="1">$K$556-EFEITO!$M$556*EFEITO!$Z$556</f>
        <v>0</v>
      </c>
      <c r="O556" s="60">
        <f>$L$556-EFEITO!$O$556*EFEITO!$AA$556</f>
        <v>0</v>
      </c>
      <c r="P556" s="18"/>
      <c r="Q556" s="18"/>
      <c r="R556" s="18"/>
      <c r="S556" s="18"/>
      <c r="T556" s="18"/>
      <c r="U556" s="18"/>
      <c r="V556" s="18"/>
      <c r="W556" s="18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1" t="s">
        <v>21</v>
      </c>
      <c r="B557" s="51" t="s">
        <v>41</v>
      </c>
      <c r="C557" s="51" t="s">
        <v>61</v>
      </c>
      <c r="D557" s="51" t="s">
        <v>25</v>
      </c>
      <c r="E557" s="51" t="s">
        <v>25</v>
      </c>
      <c r="F557" s="51" t="s">
        <v>25</v>
      </c>
      <c r="G557" s="51" t="s">
        <v>62</v>
      </c>
      <c r="H557" s="51" t="s">
        <v>25</v>
      </c>
      <c r="I557" s="59">
        <v>44531</v>
      </c>
      <c r="J557" s="60">
        <f ca="1">EFEITO!$J$557*EFEITO!$Y$557</f>
        <v>0</v>
      </c>
      <c r="K557" s="60">
        <f ca="1">EFEITO!$L$557*EFEITO!$Z$557</f>
        <v>23064.492254100634</v>
      </c>
      <c r="L557" s="60">
        <f>EFEITO!$N$557*EFEITO!$AA$557</f>
        <v>0</v>
      </c>
      <c r="M557" s="60">
        <f ca="1">$J$557-EFEITO!$K$557*EFEITO!$Y$557</f>
        <v>0</v>
      </c>
      <c r="N557" s="60">
        <f ca="1">$K$557-EFEITO!$M$557*EFEITO!$Z$557</f>
        <v>0</v>
      </c>
      <c r="O557" s="60">
        <f>$L$557-EFEITO!$O$557*EFEITO!$AA$557</f>
        <v>0</v>
      </c>
      <c r="P557" s="18"/>
      <c r="Q557" s="18"/>
      <c r="R557" s="18"/>
      <c r="S557" s="18"/>
      <c r="T557" s="18"/>
      <c r="U557" s="18"/>
      <c r="V557" s="18"/>
      <c r="W557" s="18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1" t="s">
        <v>21</v>
      </c>
      <c r="B558" s="51" t="s">
        <v>41</v>
      </c>
      <c r="C558" s="51" t="s">
        <v>61</v>
      </c>
      <c r="D558" s="51" t="s">
        <v>25</v>
      </c>
      <c r="E558" s="51" t="s">
        <v>25</v>
      </c>
      <c r="F558" s="51" t="s">
        <v>25</v>
      </c>
      <c r="G558" s="51" t="s">
        <v>67</v>
      </c>
      <c r="H558" s="51" t="s">
        <v>25</v>
      </c>
      <c r="I558" s="59">
        <v>44531</v>
      </c>
      <c r="J558" s="60">
        <f ca="1">EFEITO!$J$558*EFEITO!$Y$558</f>
        <v>0</v>
      </c>
      <c r="K558" s="60">
        <f ca="1">EFEITO!$L$558*EFEITO!$Z$558</f>
        <v>23859.610396857457</v>
      </c>
      <c r="L558" s="60">
        <f>EFEITO!$N$558*EFEITO!$AA$558</f>
        <v>0</v>
      </c>
      <c r="M558" s="60">
        <f ca="1">$J$558-EFEITO!$K$558*EFEITO!$Y$558</f>
        <v>0</v>
      </c>
      <c r="N558" s="60">
        <f ca="1">$K$558-EFEITO!$M$558*EFEITO!$Z$558</f>
        <v>0</v>
      </c>
      <c r="O558" s="60">
        <f>$L$558-EFEITO!$O$558*EFEITO!$AA$558</f>
        <v>0</v>
      </c>
      <c r="P558" s="18"/>
      <c r="Q558" s="18"/>
      <c r="R558" s="18"/>
      <c r="S558" s="18"/>
      <c r="T558" s="18"/>
      <c r="U558" s="18"/>
      <c r="V558" s="18"/>
      <c r="W558" s="18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1" t="s">
        <v>21</v>
      </c>
      <c r="B559" s="51" t="s">
        <v>41</v>
      </c>
      <c r="C559" s="51" t="s">
        <v>61</v>
      </c>
      <c r="D559" s="51" t="s">
        <v>25</v>
      </c>
      <c r="E559" s="51" t="s">
        <v>25</v>
      </c>
      <c r="F559" s="51" t="s">
        <v>25</v>
      </c>
      <c r="G559" s="51" t="s">
        <v>62</v>
      </c>
      <c r="H559" s="51" t="s">
        <v>25</v>
      </c>
      <c r="I559" s="59">
        <v>44562</v>
      </c>
      <c r="J559" s="60">
        <f ca="1">EFEITO!$J$559*EFEITO!$Y$559</f>
        <v>0</v>
      </c>
      <c r="K559" s="60">
        <f ca="1">EFEITO!$L$559*EFEITO!$Z$559</f>
        <v>22892.64503864554</v>
      </c>
      <c r="L559" s="60">
        <f>EFEITO!$N$559*EFEITO!$AA$559</f>
        <v>0</v>
      </c>
      <c r="M559" s="60">
        <f ca="1">$J$559-EFEITO!$K$559*EFEITO!$Y$559</f>
        <v>0</v>
      </c>
      <c r="N559" s="60">
        <f ca="1">$K$559-EFEITO!$M$559*EFEITO!$Z$559</f>
        <v>0</v>
      </c>
      <c r="O559" s="60">
        <f>$L$559-EFEITO!$O$559*EFEITO!$AA$559</f>
        <v>0</v>
      </c>
      <c r="P559" s="18"/>
      <c r="Q559" s="18"/>
      <c r="R559" s="18"/>
      <c r="S559" s="18"/>
      <c r="T559" s="18"/>
      <c r="U559" s="18"/>
      <c r="V559" s="18"/>
      <c r="W559" s="18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1" t="s">
        <v>21</v>
      </c>
      <c r="B560" s="51" t="s">
        <v>41</v>
      </c>
      <c r="C560" s="51" t="s">
        <v>61</v>
      </c>
      <c r="D560" s="51" t="s">
        <v>25</v>
      </c>
      <c r="E560" s="51" t="s">
        <v>25</v>
      </c>
      <c r="F560" s="51" t="s">
        <v>25</v>
      </c>
      <c r="G560" s="51" t="s">
        <v>67</v>
      </c>
      <c r="H560" s="51" t="s">
        <v>25</v>
      </c>
      <c r="I560" s="59">
        <v>44562</v>
      </c>
      <c r="J560" s="60">
        <f ca="1">EFEITO!$J$560*EFEITO!$Y$560</f>
        <v>0</v>
      </c>
      <c r="K560" s="60">
        <f ca="1">EFEITO!$L$560*EFEITO!$Z$560</f>
        <v>22700.982593687902</v>
      </c>
      <c r="L560" s="60">
        <f>EFEITO!$N$560*EFEITO!$AA$560</f>
        <v>0</v>
      </c>
      <c r="M560" s="60">
        <f ca="1">$J$560-EFEITO!$K$560*EFEITO!$Y$560</f>
        <v>0</v>
      </c>
      <c r="N560" s="60">
        <f ca="1">$K$560-EFEITO!$M$560*EFEITO!$Z$560</f>
        <v>0</v>
      </c>
      <c r="O560" s="60">
        <f>$L$560-EFEITO!$O$560*EFEITO!$AA$560</f>
        <v>0</v>
      </c>
      <c r="P560" s="18"/>
      <c r="Q560" s="18"/>
      <c r="R560" s="18"/>
      <c r="S560" s="18"/>
      <c r="T560" s="18"/>
      <c r="U560" s="18"/>
      <c r="V560" s="18"/>
      <c r="W560" s="18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1" t="s">
        <v>21</v>
      </c>
      <c r="B561" s="51" t="s">
        <v>41</v>
      </c>
      <c r="C561" s="51" t="s">
        <v>61</v>
      </c>
      <c r="D561" s="51" t="s">
        <v>25</v>
      </c>
      <c r="E561" s="51" t="s">
        <v>25</v>
      </c>
      <c r="F561" s="51" t="s">
        <v>25</v>
      </c>
      <c r="G561" s="51" t="s">
        <v>62</v>
      </c>
      <c r="H561" s="51" t="s">
        <v>25</v>
      </c>
      <c r="I561" s="59">
        <v>44593</v>
      </c>
      <c r="J561" s="60">
        <f ca="1">EFEITO!$J$561*EFEITO!$Y$561</f>
        <v>0</v>
      </c>
      <c r="K561" s="60">
        <f ca="1">EFEITO!$L$561*EFEITO!$Z$561</f>
        <v>23463.071636958775</v>
      </c>
      <c r="L561" s="60">
        <f>EFEITO!$N$561*EFEITO!$AA$561</f>
        <v>0</v>
      </c>
      <c r="M561" s="60">
        <f ca="1">$J$561-EFEITO!$K$561*EFEITO!$Y$561</f>
        <v>0</v>
      </c>
      <c r="N561" s="60">
        <f ca="1">$K$561-EFEITO!$M$561*EFEITO!$Z$561</f>
        <v>0</v>
      </c>
      <c r="O561" s="60">
        <f>$L$561-EFEITO!$O$561*EFEITO!$AA$561</f>
        <v>0</v>
      </c>
      <c r="P561" s="18"/>
      <c r="Q561" s="18"/>
      <c r="R561" s="18"/>
      <c r="S561" s="18"/>
      <c r="T561" s="18"/>
      <c r="U561" s="18"/>
      <c r="V561" s="18"/>
      <c r="W561" s="18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1" t="s">
        <v>21</v>
      </c>
      <c r="B562" s="51" t="s">
        <v>41</v>
      </c>
      <c r="C562" s="51" t="s">
        <v>61</v>
      </c>
      <c r="D562" s="51" t="s">
        <v>25</v>
      </c>
      <c r="E562" s="51" t="s">
        <v>25</v>
      </c>
      <c r="F562" s="51" t="s">
        <v>25</v>
      </c>
      <c r="G562" s="51" t="s">
        <v>67</v>
      </c>
      <c r="H562" s="51" t="s">
        <v>25</v>
      </c>
      <c r="I562" s="59">
        <v>44593</v>
      </c>
      <c r="J562" s="60">
        <f ca="1">EFEITO!$J$562*EFEITO!$Y$562</f>
        <v>0</v>
      </c>
      <c r="K562" s="60">
        <f ca="1">EFEITO!$L$562*EFEITO!$Z$562</f>
        <v>23056.641988726522</v>
      </c>
      <c r="L562" s="60">
        <f>EFEITO!$N$562*EFEITO!$AA$562</f>
        <v>0</v>
      </c>
      <c r="M562" s="60">
        <f ca="1">$J$562-EFEITO!$K$562*EFEITO!$Y$562</f>
        <v>0</v>
      </c>
      <c r="N562" s="60">
        <f ca="1">$K$562-EFEITO!$M$562*EFEITO!$Z$562</f>
        <v>0</v>
      </c>
      <c r="O562" s="60">
        <f>$L$562-EFEITO!$O$562*EFEITO!$AA$562</f>
        <v>0</v>
      </c>
      <c r="P562" s="18"/>
      <c r="Q562" s="18"/>
      <c r="R562" s="18"/>
      <c r="S562" s="18"/>
      <c r="T562" s="18"/>
      <c r="U562" s="18"/>
      <c r="V562" s="18"/>
      <c r="W562" s="18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1" t="s">
        <v>56</v>
      </c>
      <c r="B563" s="51" t="s">
        <v>41</v>
      </c>
      <c r="C563" s="51" t="s">
        <v>61</v>
      </c>
      <c r="D563" s="51" t="s">
        <v>25</v>
      </c>
      <c r="E563" s="51" t="s">
        <v>25</v>
      </c>
      <c r="F563" s="51" t="s">
        <v>25</v>
      </c>
      <c r="G563" s="51" t="s">
        <v>62</v>
      </c>
      <c r="H563" s="51" t="s">
        <v>25</v>
      </c>
      <c r="I563" s="59">
        <v>44621</v>
      </c>
      <c r="J563" s="60">
        <f ca="1">EFEITO!$J$563*EFEITO!$Y$563</f>
        <v>0</v>
      </c>
      <c r="K563" s="60">
        <f ca="1">EFEITO!$L$563*EFEITO!$Z$563</f>
        <v>23463.071636958775</v>
      </c>
      <c r="L563" s="60">
        <f>EFEITO!$N$563*EFEITO!$AA$563</f>
        <v>0</v>
      </c>
      <c r="M563" s="60">
        <f ca="1">$J$563-EFEITO!$K$563*EFEITO!$Y$563</f>
        <v>0</v>
      </c>
      <c r="N563" s="60">
        <f ca="1">$K$563-EFEITO!$M$563*EFEITO!$Z$563</f>
        <v>0</v>
      </c>
      <c r="O563" s="60">
        <f>$L$563-EFEITO!$O$563*EFEITO!$AA$563</f>
        <v>0</v>
      </c>
      <c r="P563" s="18"/>
      <c r="Q563" s="18"/>
      <c r="R563" s="18"/>
      <c r="S563" s="18"/>
      <c r="T563" s="18"/>
      <c r="U563" s="18"/>
      <c r="V563" s="18"/>
      <c r="W563" s="18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1" t="s">
        <v>56</v>
      </c>
      <c r="B564" s="51" t="s">
        <v>41</v>
      </c>
      <c r="C564" s="51" t="s">
        <v>61</v>
      </c>
      <c r="D564" s="51" t="s">
        <v>25</v>
      </c>
      <c r="E564" s="51" t="s">
        <v>25</v>
      </c>
      <c r="F564" s="51" t="s">
        <v>25</v>
      </c>
      <c r="G564" s="51" t="s">
        <v>67</v>
      </c>
      <c r="H564" s="51" t="s">
        <v>25</v>
      </c>
      <c r="I564" s="59">
        <v>44621</v>
      </c>
      <c r="J564" s="60">
        <f ca="1">EFEITO!$J$564*EFEITO!$Y$564</f>
        <v>0</v>
      </c>
      <c r="K564" s="60">
        <f ca="1">EFEITO!$L$564*EFEITO!$Z$564</f>
        <v>23056.641988726522</v>
      </c>
      <c r="L564" s="60">
        <f>EFEITO!$N$564*EFEITO!$AA$564</f>
        <v>0</v>
      </c>
      <c r="M564" s="60">
        <f ca="1">$J$564-EFEITO!$K$564*EFEITO!$Y$564</f>
        <v>0</v>
      </c>
      <c r="N564" s="60">
        <f ca="1">$K$564-EFEITO!$M$564*EFEITO!$Z$564</f>
        <v>0</v>
      </c>
      <c r="O564" s="60">
        <f>$L$564-EFEITO!$O$564*EFEITO!$AA$564</f>
        <v>0</v>
      </c>
      <c r="P564" s="18"/>
      <c r="Q564" s="18"/>
      <c r="R564" s="18"/>
      <c r="S564" s="18"/>
      <c r="T564" s="18"/>
      <c r="U564" s="18"/>
      <c r="V564" s="18"/>
      <c r="W564" s="18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1" t="s">
        <v>21</v>
      </c>
      <c r="B565" s="51" t="s">
        <v>41</v>
      </c>
      <c r="C565" s="51" t="s">
        <v>61</v>
      </c>
      <c r="D565" s="51" t="s">
        <v>25</v>
      </c>
      <c r="E565" s="51" t="s">
        <v>25</v>
      </c>
      <c r="F565" s="51" t="s">
        <v>25</v>
      </c>
      <c r="G565" s="51" t="s">
        <v>62</v>
      </c>
      <c r="H565" s="51" t="s">
        <v>34</v>
      </c>
      <c r="I565" s="59">
        <v>44287</v>
      </c>
      <c r="J565" s="60">
        <f ca="1">EFEITO!$J$565*EFEITO!$Y$565</f>
        <v>162012.1930850918</v>
      </c>
      <c r="K565" s="60">
        <f ca="1">EFEITO!$L$565*EFEITO!$Z$565</f>
        <v>0</v>
      </c>
      <c r="L565" s="60">
        <f>EFEITO!$N$565*EFEITO!$AA$565</f>
        <v>0</v>
      </c>
      <c r="M565" s="60">
        <f ca="1">$J$565-EFEITO!$K$565*EFEITO!$Y$565</f>
        <v>0</v>
      </c>
      <c r="N565" s="60">
        <f ca="1">$K$565-EFEITO!$M$565*EFEITO!$Z$565</f>
        <v>0</v>
      </c>
      <c r="O565" s="60">
        <f>$L$565-EFEITO!$O$565*EFEITO!$AA$565</f>
        <v>0</v>
      </c>
      <c r="P565" s="18"/>
      <c r="Q565" s="18"/>
      <c r="R565" s="18"/>
      <c r="S565" s="18"/>
      <c r="T565" s="18"/>
      <c r="U565" s="18"/>
      <c r="V565" s="18"/>
      <c r="W565" s="18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1" t="s">
        <v>21</v>
      </c>
      <c r="B566" s="51" t="s">
        <v>41</v>
      </c>
      <c r="C566" s="51" t="s">
        <v>61</v>
      </c>
      <c r="D566" s="51" t="s">
        <v>25</v>
      </c>
      <c r="E566" s="51" t="s">
        <v>25</v>
      </c>
      <c r="F566" s="51" t="s">
        <v>25</v>
      </c>
      <c r="G566" s="51" t="s">
        <v>67</v>
      </c>
      <c r="H566" s="51" t="s">
        <v>34</v>
      </c>
      <c r="I566" s="59">
        <v>44287</v>
      </c>
      <c r="J566" s="60">
        <f ca="1">EFEITO!$J$566*EFEITO!$Y$566</f>
        <v>232631.96308503783</v>
      </c>
      <c r="K566" s="60">
        <f ca="1">EFEITO!$L$566*EFEITO!$Z$566</f>
        <v>0</v>
      </c>
      <c r="L566" s="60">
        <f>EFEITO!$N$566*EFEITO!$AA$566</f>
        <v>0</v>
      </c>
      <c r="M566" s="60">
        <f ca="1">$J$566-EFEITO!$K$566*EFEITO!$Y$566</f>
        <v>0</v>
      </c>
      <c r="N566" s="60">
        <f ca="1">$K$566-EFEITO!$M$566*EFEITO!$Z$566</f>
        <v>0</v>
      </c>
      <c r="O566" s="60">
        <f>$L$566-EFEITO!$O$566*EFEITO!$AA$566</f>
        <v>0</v>
      </c>
      <c r="P566" s="18"/>
      <c r="Q566" s="18"/>
      <c r="R566" s="18"/>
      <c r="S566" s="18"/>
      <c r="T566" s="18"/>
      <c r="U566" s="18"/>
      <c r="V566" s="18"/>
      <c r="W566" s="18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1" t="s">
        <v>21</v>
      </c>
      <c r="B567" s="51" t="s">
        <v>41</v>
      </c>
      <c r="C567" s="51" t="s">
        <v>61</v>
      </c>
      <c r="D567" s="51" t="s">
        <v>25</v>
      </c>
      <c r="E567" s="51" t="s">
        <v>25</v>
      </c>
      <c r="F567" s="51" t="s">
        <v>25</v>
      </c>
      <c r="G567" s="51" t="s">
        <v>62</v>
      </c>
      <c r="H567" s="51" t="s">
        <v>34</v>
      </c>
      <c r="I567" s="59">
        <v>44317</v>
      </c>
      <c r="J567" s="60">
        <f ca="1">EFEITO!$J$567*EFEITO!$Y$567</f>
        <v>162012.1930850918</v>
      </c>
      <c r="K567" s="60">
        <f ca="1">EFEITO!$L$567*EFEITO!$Z$567</f>
        <v>0</v>
      </c>
      <c r="L567" s="60">
        <f>EFEITO!$N$567*EFEITO!$AA$567</f>
        <v>0</v>
      </c>
      <c r="M567" s="60">
        <f ca="1">$J$567-EFEITO!$K$567*EFEITO!$Y$567</f>
        <v>0</v>
      </c>
      <c r="N567" s="60">
        <f ca="1">$K$567-EFEITO!$M$567*EFEITO!$Z$567</f>
        <v>0</v>
      </c>
      <c r="O567" s="60">
        <f>$L$567-EFEITO!$O$567*EFEITO!$AA$567</f>
        <v>0</v>
      </c>
      <c r="P567" s="18"/>
      <c r="Q567" s="18"/>
      <c r="R567" s="18"/>
      <c r="S567" s="18"/>
      <c r="T567" s="18"/>
      <c r="U567" s="18"/>
      <c r="V567" s="18"/>
      <c r="W567" s="18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1" t="s">
        <v>21</v>
      </c>
      <c r="B568" s="51" t="s">
        <v>41</v>
      </c>
      <c r="C568" s="51" t="s">
        <v>61</v>
      </c>
      <c r="D568" s="51" t="s">
        <v>25</v>
      </c>
      <c r="E568" s="51" t="s">
        <v>25</v>
      </c>
      <c r="F568" s="51" t="s">
        <v>25</v>
      </c>
      <c r="G568" s="51" t="s">
        <v>67</v>
      </c>
      <c r="H568" s="51" t="s">
        <v>34</v>
      </c>
      <c r="I568" s="59">
        <v>44317</v>
      </c>
      <c r="J568" s="60">
        <f ca="1">EFEITO!$J$568*EFEITO!$Y$568</f>
        <v>232450.70084171148</v>
      </c>
      <c r="K568" s="60">
        <f ca="1">EFEITO!$L$568*EFEITO!$Z$568</f>
        <v>0</v>
      </c>
      <c r="L568" s="60">
        <f>EFEITO!$N$568*EFEITO!$AA$568</f>
        <v>0</v>
      </c>
      <c r="M568" s="60">
        <f ca="1">$J$568-EFEITO!$K$568*EFEITO!$Y$568</f>
        <v>0</v>
      </c>
      <c r="N568" s="60">
        <f ca="1">$K$568-EFEITO!$M$568*EFEITO!$Z$568</f>
        <v>0</v>
      </c>
      <c r="O568" s="60">
        <f>$L$568-EFEITO!$O$568*EFEITO!$AA$568</f>
        <v>0</v>
      </c>
      <c r="P568" s="18"/>
      <c r="Q568" s="18"/>
      <c r="R568" s="18"/>
      <c r="S568" s="18"/>
      <c r="T568" s="18"/>
      <c r="U568" s="18"/>
      <c r="V568" s="18"/>
      <c r="W568" s="18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1" t="s">
        <v>21</v>
      </c>
      <c r="B569" s="51" t="s">
        <v>41</v>
      </c>
      <c r="C569" s="51" t="s">
        <v>61</v>
      </c>
      <c r="D569" s="51" t="s">
        <v>25</v>
      </c>
      <c r="E569" s="51" t="s">
        <v>25</v>
      </c>
      <c r="F569" s="51" t="s">
        <v>25</v>
      </c>
      <c r="G569" s="51" t="s">
        <v>62</v>
      </c>
      <c r="H569" s="51" t="s">
        <v>34</v>
      </c>
      <c r="I569" s="59">
        <v>44348</v>
      </c>
      <c r="J569" s="60">
        <f ca="1">EFEITO!$J$569*EFEITO!$Y$569</f>
        <v>162012.1930850918</v>
      </c>
      <c r="K569" s="60">
        <f ca="1">EFEITO!$L$569*EFEITO!$Z$569</f>
        <v>0</v>
      </c>
      <c r="L569" s="60">
        <f>EFEITO!$N$569*EFEITO!$AA$569</f>
        <v>0</v>
      </c>
      <c r="M569" s="60">
        <f ca="1">$J$569-EFEITO!$K$569*EFEITO!$Y$569</f>
        <v>0</v>
      </c>
      <c r="N569" s="60">
        <f ca="1">$K$569-EFEITO!$M$569*EFEITO!$Z$569</f>
        <v>0</v>
      </c>
      <c r="O569" s="60">
        <f>$L$569-EFEITO!$O$569*EFEITO!$AA$569</f>
        <v>0</v>
      </c>
      <c r="P569" s="18"/>
      <c r="Q569" s="18"/>
      <c r="R569" s="18"/>
      <c r="S569" s="18"/>
      <c r="T569" s="18"/>
      <c r="U569" s="18"/>
      <c r="V569" s="18"/>
      <c r="W569" s="18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1" t="s">
        <v>21</v>
      </c>
      <c r="B570" s="51" t="s">
        <v>41</v>
      </c>
      <c r="C570" s="51" t="s">
        <v>61</v>
      </c>
      <c r="D570" s="51" t="s">
        <v>25</v>
      </c>
      <c r="E570" s="51" t="s">
        <v>25</v>
      </c>
      <c r="F570" s="51" t="s">
        <v>25</v>
      </c>
      <c r="G570" s="51" t="s">
        <v>67</v>
      </c>
      <c r="H570" s="51" t="s">
        <v>34</v>
      </c>
      <c r="I570" s="59">
        <v>44348</v>
      </c>
      <c r="J570" s="60">
        <f ca="1">EFEITO!$J$570*EFEITO!$Y$570</f>
        <v>232450.70084171148</v>
      </c>
      <c r="K570" s="60">
        <f ca="1">EFEITO!$L$570*EFEITO!$Z$570</f>
        <v>0</v>
      </c>
      <c r="L570" s="60">
        <f>EFEITO!$N$570*EFEITO!$AA$570</f>
        <v>0</v>
      </c>
      <c r="M570" s="60">
        <f ca="1">$J$570-EFEITO!$K$570*EFEITO!$Y$570</f>
        <v>0</v>
      </c>
      <c r="N570" s="60">
        <f ca="1">$K$570-EFEITO!$M$570*EFEITO!$Z$570</f>
        <v>0</v>
      </c>
      <c r="O570" s="60">
        <f>$L$570-EFEITO!$O$570*EFEITO!$AA$570</f>
        <v>0</v>
      </c>
      <c r="P570" s="18"/>
      <c r="Q570" s="18"/>
      <c r="R570" s="18"/>
      <c r="S570" s="18"/>
      <c r="T570" s="18"/>
      <c r="U570" s="18"/>
      <c r="V570" s="18"/>
      <c r="W570" s="18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1" t="s">
        <v>21</v>
      </c>
      <c r="B571" s="51" t="s">
        <v>41</v>
      </c>
      <c r="C571" s="51" t="s">
        <v>61</v>
      </c>
      <c r="D571" s="51" t="s">
        <v>25</v>
      </c>
      <c r="E571" s="51" t="s">
        <v>25</v>
      </c>
      <c r="F571" s="51" t="s">
        <v>25</v>
      </c>
      <c r="G571" s="51" t="s">
        <v>62</v>
      </c>
      <c r="H571" s="51" t="s">
        <v>34</v>
      </c>
      <c r="I571" s="59">
        <v>44378</v>
      </c>
      <c r="J571" s="60">
        <f ca="1">EFEITO!$J$571*EFEITO!$Y$571</f>
        <v>162012.1930850918</v>
      </c>
      <c r="K571" s="60">
        <f ca="1">EFEITO!$L$571*EFEITO!$Z$571</f>
        <v>0</v>
      </c>
      <c r="L571" s="60">
        <f>EFEITO!$N$571*EFEITO!$AA$571</f>
        <v>0</v>
      </c>
      <c r="M571" s="60">
        <f ca="1">$J$571-EFEITO!$K$571*EFEITO!$Y$571</f>
        <v>0</v>
      </c>
      <c r="N571" s="60">
        <f ca="1">$K$571-EFEITO!$M$571*EFEITO!$Z$571</f>
        <v>0</v>
      </c>
      <c r="O571" s="60">
        <f>$L$571-EFEITO!$O$571*EFEITO!$AA$571</f>
        <v>0</v>
      </c>
      <c r="P571" s="18"/>
      <c r="Q571" s="18"/>
      <c r="R571" s="18"/>
      <c r="S571" s="18"/>
      <c r="T571" s="18"/>
      <c r="U571" s="18"/>
      <c r="V571" s="18"/>
      <c r="W571" s="18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1" t="s">
        <v>21</v>
      </c>
      <c r="B572" s="51" t="s">
        <v>41</v>
      </c>
      <c r="C572" s="51" t="s">
        <v>61</v>
      </c>
      <c r="D572" s="51" t="s">
        <v>25</v>
      </c>
      <c r="E572" s="51" t="s">
        <v>25</v>
      </c>
      <c r="F572" s="51" t="s">
        <v>25</v>
      </c>
      <c r="G572" s="51" t="s">
        <v>67</v>
      </c>
      <c r="H572" s="51" t="s">
        <v>34</v>
      </c>
      <c r="I572" s="59">
        <v>44378</v>
      </c>
      <c r="J572" s="60">
        <f ca="1">EFEITO!$J$572*EFEITO!$Y$572</f>
        <v>232450.70084171148</v>
      </c>
      <c r="K572" s="60">
        <f ca="1">EFEITO!$L$572*EFEITO!$Z$572</f>
        <v>0</v>
      </c>
      <c r="L572" s="60">
        <f>EFEITO!$N$572*EFEITO!$AA$572</f>
        <v>0</v>
      </c>
      <c r="M572" s="60">
        <f ca="1">$J$572-EFEITO!$K$572*EFEITO!$Y$572</f>
        <v>0</v>
      </c>
      <c r="N572" s="60">
        <f ca="1">$K$572-EFEITO!$M$572*EFEITO!$Z$572</f>
        <v>0</v>
      </c>
      <c r="O572" s="60">
        <f>$L$572-EFEITO!$O$572*EFEITO!$AA$572</f>
        <v>0</v>
      </c>
      <c r="P572" s="18"/>
      <c r="Q572" s="18"/>
      <c r="R572" s="18"/>
      <c r="S572" s="18"/>
      <c r="T572" s="18"/>
      <c r="U572" s="18"/>
      <c r="V572" s="18"/>
      <c r="W572" s="18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1" t="s">
        <v>21</v>
      </c>
      <c r="B573" s="51" t="s">
        <v>41</v>
      </c>
      <c r="C573" s="51" t="s">
        <v>61</v>
      </c>
      <c r="D573" s="51" t="s">
        <v>25</v>
      </c>
      <c r="E573" s="51" t="s">
        <v>25</v>
      </c>
      <c r="F573" s="51" t="s">
        <v>25</v>
      </c>
      <c r="G573" s="51" t="s">
        <v>62</v>
      </c>
      <c r="H573" s="51" t="s">
        <v>34</v>
      </c>
      <c r="I573" s="59">
        <v>44409</v>
      </c>
      <c r="J573" s="60">
        <f ca="1">EFEITO!$J$573*EFEITO!$Y$573</f>
        <v>162012.1930850918</v>
      </c>
      <c r="K573" s="60">
        <f ca="1">EFEITO!$L$573*EFEITO!$Z$573</f>
        <v>0</v>
      </c>
      <c r="L573" s="60">
        <f>EFEITO!$N$573*EFEITO!$AA$573</f>
        <v>0</v>
      </c>
      <c r="M573" s="60">
        <f ca="1">$J$573-EFEITO!$K$573*EFEITO!$Y$573</f>
        <v>0</v>
      </c>
      <c r="N573" s="60">
        <f ca="1">$K$573-EFEITO!$M$573*EFEITO!$Z$573</f>
        <v>0</v>
      </c>
      <c r="O573" s="60">
        <f>$L$573-EFEITO!$O$573*EFEITO!$AA$573</f>
        <v>0</v>
      </c>
      <c r="P573" s="18"/>
      <c r="Q573" s="18"/>
      <c r="R573" s="18"/>
      <c r="S573" s="18"/>
      <c r="T573" s="18"/>
      <c r="U573" s="18"/>
      <c r="V573" s="18"/>
      <c r="W573" s="18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1" t="s">
        <v>21</v>
      </c>
      <c r="B574" s="51" t="s">
        <v>41</v>
      </c>
      <c r="C574" s="51" t="s">
        <v>61</v>
      </c>
      <c r="D574" s="51" t="s">
        <v>25</v>
      </c>
      <c r="E574" s="51" t="s">
        <v>25</v>
      </c>
      <c r="F574" s="51" t="s">
        <v>25</v>
      </c>
      <c r="G574" s="51" t="s">
        <v>67</v>
      </c>
      <c r="H574" s="51" t="s">
        <v>34</v>
      </c>
      <c r="I574" s="59">
        <v>44409</v>
      </c>
      <c r="J574" s="60">
        <f ca="1">EFEITO!$J$574*EFEITO!$Y$574</f>
        <v>232450.70084171148</v>
      </c>
      <c r="K574" s="60">
        <f ca="1">EFEITO!$L$574*EFEITO!$Z$574</f>
        <v>0</v>
      </c>
      <c r="L574" s="60">
        <f>EFEITO!$N$574*EFEITO!$AA$574</f>
        <v>0</v>
      </c>
      <c r="M574" s="60">
        <f ca="1">$J$574-EFEITO!$K$574*EFEITO!$Y$574</f>
        <v>0</v>
      </c>
      <c r="N574" s="60">
        <f ca="1">$K$574-EFEITO!$M$574*EFEITO!$Z$574</f>
        <v>0</v>
      </c>
      <c r="O574" s="60">
        <f>$L$574-EFEITO!$O$574*EFEITO!$AA$574</f>
        <v>0</v>
      </c>
      <c r="P574" s="18"/>
      <c r="Q574" s="18"/>
      <c r="R574" s="18"/>
      <c r="S574" s="18"/>
      <c r="T574" s="18"/>
      <c r="U574" s="18"/>
      <c r="V574" s="18"/>
      <c r="W574" s="18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1" t="s">
        <v>21</v>
      </c>
      <c r="B575" s="51" t="s">
        <v>41</v>
      </c>
      <c r="C575" s="51" t="s">
        <v>61</v>
      </c>
      <c r="D575" s="51" t="s">
        <v>25</v>
      </c>
      <c r="E575" s="51" t="s">
        <v>25</v>
      </c>
      <c r="F575" s="51" t="s">
        <v>25</v>
      </c>
      <c r="G575" s="51" t="s">
        <v>62</v>
      </c>
      <c r="H575" s="51" t="s">
        <v>34</v>
      </c>
      <c r="I575" s="59">
        <v>44440</v>
      </c>
      <c r="J575" s="60">
        <f ca="1">EFEITO!$J$575*EFEITO!$Y$575</f>
        <v>162012.1930850918</v>
      </c>
      <c r="K575" s="60">
        <f ca="1">EFEITO!$L$575*EFEITO!$Z$575</f>
        <v>0</v>
      </c>
      <c r="L575" s="60">
        <f>EFEITO!$N$575*EFEITO!$AA$575</f>
        <v>0</v>
      </c>
      <c r="M575" s="60">
        <f ca="1">$J$575-EFEITO!$K$575*EFEITO!$Y$575</f>
        <v>0</v>
      </c>
      <c r="N575" s="60">
        <f ca="1">$K$575-EFEITO!$M$575*EFEITO!$Z$575</f>
        <v>0</v>
      </c>
      <c r="O575" s="60">
        <f>$L$575-EFEITO!$O$575*EFEITO!$AA$575</f>
        <v>0</v>
      </c>
      <c r="P575" s="18"/>
      <c r="Q575" s="18"/>
      <c r="R575" s="18"/>
      <c r="S575" s="18"/>
      <c r="T575" s="18"/>
      <c r="U575" s="18"/>
      <c r="V575" s="18"/>
      <c r="W575" s="18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1" t="s">
        <v>21</v>
      </c>
      <c r="B576" s="51" t="s">
        <v>41</v>
      </c>
      <c r="C576" s="51" t="s">
        <v>61</v>
      </c>
      <c r="D576" s="51" t="s">
        <v>25</v>
      </c>
      <c r="E576" s="51" t="s">
        <v>25</v>
      </c>
      <c r="F576" s="51" t="s">
        <v>25</v>
      </c>
      <c r="G576" s="51" t="s">
        <v>67</v>
      </c>
      <c r="H576" s="51" t="s">
        <v>34</v>
      </c>
      <c r="I576" s="59">
        <v>44440</v>
      </c>
      <c r="J576" s="60">
        <f ca="1">EFEITO!$J$576*EFEITO!$Y$576</f>
        <v>232813.22532836418</v>
      </c>
      <c r="K576" s="60">
        <f ca="1">EFEITO!$L$576*EFEITO!$Z$576</f>
        <v>0</v>
      </c>
      <c r="L576" s="60">
        <f>EFEITO!$N$576*EFEITO!$AA$576</f>
        <v>0</v>
      </c>
      <c r="M576" s="60">
        <f ca="1">$J$576-EFEITO!$K$576*EFEITO!$Y$576</f>
        <v>0</v>
      </c>
      <c r="N576" s="60">
        <f ca="1">$K$576-EFEITO!$M$576*EFEITO!$Z$576</f>
        <v>0</v>
      </c>
      <c r="O576" s="60">
        <f>$L$576-EFEITO!$O$576*EFEITO!$AA$576</f>
        <v>0</v>
      </c>
      <c r="P576" s="18"/>
      <c r="Q576" s="18"/>
      <c r="R576" s="18"/>
      <c r="S576" s="18"/>
      <c r="T576" s="18"/>
      <c r="U576" s="18"/>
      <c r="V576" s="18"/>
      <c r="W576" s="18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1" t="s">
        <v>21</v>
      </c>
      <c r="B577" s="51" t="s">
        <v>41</v>
      </c>
      <c r="C577" s="51" t="s">
        <v>61</v>
      </c>
      <c r="D577" s="51" t="s">
        <v>25</v>
      </c>
      <c r="E577" s="51" t="s">
        <v>25</v>
      </c>
      <c r="F577" s="51" t="s">
        <v>25</v>
      </c>
      <c r="G577" s="51" t="s">
        <v>62</v>
      </c>
      <c r="H577" s="51" t="s">
        <v>34</v>
      </c>
      <c r="I577" s="59">
        <v>44470</v>
      </c>
      <c r="J577" s="60">
        <f ca="1">EFEITO!$J$577*EFEITO!$Y$577</f>
        <v>162012.1930850918</v>
      </c>
      <c r="K577" s="60">
        <f ca="1">EFEITO!$L$577*EFEITO!$Z$577</f>
        <v>0</v>
      </c>
      <c r="L577" s="60">
        <f>EFEITO!$N$577*EFEITO!$AA$577</f>
        <v>0</v>
      </c>
      <c r="M577" s="60">
        <f ca="1">$J$577-EFEITO!$K$577*EFEITO!$Y$577</f>
        <v>0</v>
      </c>
      <c r="N577" s="60">
        <f ca="1">$K$577-EFEITO!$M$577*EFEITO!$Z$577</f>
        <v>0</v>
      </c>
      <c r="O577" s="60">
        <f>$L$577-EFEITO!$O$577*EFEITO!$AA$577</f>
        <v>0</v>
      </c>
      <c r="P577" s="18"/>
      <c r="Q577" s="18"/>
      <c r="R577" s="18"/>
      <c r="S577" s="18"/>
      <c r="T577" s="18"/>
      <c r="U577" s="18"/>
      <c r="V577" s="18"/>
      <c r="W577" s="18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1" t="s">
        <v>21</v>
      </c>
      <c r="B578" s="51" t="s">
        <v>41</v>
      </c>
      <c r="C578" s="51" t="s">
        <v>61</v>
      </c>
      <c r="D578" s="51" t="s">
        <v>25</v>
      </c>
      <c r="E578" s="51" t="s">
        <v>25</v>
      </c>
      <c r="F578" s="51" t="s">
        <v>25</v>
      </c>
      <c r="G578" s="51" t="s">
        <v>67</v>
      </c>
      <c r="H578" s="51" t="s">
        <v>34</v>
      </c>
      <c r="I578" s="59">
        <v>44470</v>
      </c>
      <c r="J578" s="60">
        <f ca="1">EFEITO!$J$578*EFEITO!$Y$578</f>
        <v>232994.48757169052</v>
      </c>
      <c r="K578" s="60">
        <f ca="1">EFEITO!$L$578*EFEITO!$Z$578</f>
        <v>0</v>
      </c>
      <c r="L578" s="60">
        <f>EFEITO!$N$578*EFEITO!$AA$578</f>
        <v>0</v>
      </c>
      <c r="M578" s="60">
        <f ca="1">$J$578-EFEITO!$K$578*EFEITO!$Y$578</f>
        <v>0</v>
      </c>
      <c r="N578" s="60">
        <f ca="1">$K$578-EFEITO!$M$578*EFEITO!$Z$578</f>
        <v>0</v>
      </c>
      <c r="O578" s="60">
        <f>$L$578-EFEITO!$O$578*EFEITO!$AA$578</f>
        <v>0</v>
      </c>
      <c r="P578" s="18"/>
      <c r="Q578" s="18"/>
      <c r="R578" s="18"/>
      <c r="S578" s="18"/>
      <c r="T578" s="18"/>
      <c r="U578" s="18"/>
      <c r="V578" s="18"/>
      <c r="W578" s="18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1" t="s">
        <v>21</v>
      </c>
      <c r="B579" s="51" t="s">
        <v>41</v>
      </c>
      <c r="C579" s="51" t="s">
        <v>61</v>
      </c>
      <c r="D579" s="51" t="s">
        <v>25</v>
      </c>
      <c r="E579" s="51" t="s">
        <v>25</v>
      </c>
      <c r="F579" s="51" t="s">
        <v>25</v>
      </c>
      <c r="G579" s="51" t="s">
        <v>62</v>
      </c>
      <c r="H579" s="51" t="s">
        <v>34</v>
      </c>
      <c r="I579" s="59">
        <v>44501</v>
      </c>
      <c r="J579" s="60">
        <f ca="1">EFEITO!$J$579*EFEITO!$Y$579</f>
        <v>162012.1930850918</v>
      </c>
      <c r="K579" s="60">
        <f ca="1">EFEITO!$L$579*EFEITO!$Z$579</f>
        <v>0</v>
      </c>
      <c r="L579" s="60">
        <f>EFEITO!$N$579*EFEITO!$AA$579</f>
        <v>0</v>
      </c>
      <c r="M579" s="60">
        <f ca="1">$J$579-EFEITO!$K$579*EFEITO!$Y$579</f>
        <v>0</v>
      </c>
      <c r="N579" s="60">
        <f ca="1">$K$579-EFEITO!$M$579*EFEITO!$Z$579</f>
        <v>0</v>
      </c>
      <c r="O579" s="60">
        <f>$L$579-EFEITO!$O$579*EFEITO!$AA$579</f>
        <v>0</v>
      </c>
      <c r="P579" s="18"/>
      <c r="Q579" s="18"/>
      <c r="R579" s="18"/>
      <c r="S579" s="18"/>
      <c r="T579" s="18"/>
      <c r="U579" s="18"/>
      <c r="V579" s="18"/>
      <c r="W579" s="18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1" t="s">
        <v>21</v>
      </c>
      <c r="B580" s="51" t="s">
        <v>41</v>
      </c>
      <c r="C580" s="51" t="s">
        <v>61</v>
      </c>
      <c r="D580" s="51" t="s">
        <v>25</v>
      </c>
      <c r="E580" s="51" t="s">
        <v>25</v>
      </c>
      <c r="F580" s="51" t="s">
        <v>25</v>
      </c>
      <c r="G580" s="51" t="s">
        <v>67</v>
      </c>
      <c r="H580" s="51" t="s">
        <v>34</v>
      </c>
      <c r="I580" s="59">
        <v>44501</v>
      </c>
      <c r="J580" s="60">
        <f ca="1">EFEITO!$J$580*EFEITO!$Y$580</f>
        <v>232994.48757169052</v>
      </c>
      <c r="K580" s="60">
        <f ca="1">EFEITO!$L$580*EFEITO!$Z$580</f>
        <v>0</v>
      </c>
      <c r="L580" s="60">
        <f>EFEITO!$N$580*EFEITO!$AA$580</f>
        <v>0</v>
      </c>
      <c r="M580" s="60">
        <f ca="1">$J$580-EFEITO!$K$580*EFEITO!$Y$580</f>
        <v>0</v>
      </c>
      <c r="N580" s="60">
        <f ca="1">$K$580-EFEITO!$M$580*EFEITO!$Z$580</f>
        <v>0</v>
      </c>
      <c r="O580" s="60">
        <f>$L$580-EFEITO!$O$580*EFEITO!$AA$580</f>
        <v>0</v>
      </c>
      <c r="P580" s="18"/>
      <c r="Q580" s="18"/>
      <c r="R580" s="18"/>
      <c r="S580" s="18"/>
      <c r="T580" s="18"/>
      <c r="U580" s="18"/>
      <c r="V580" s="18"/>
      <c r="W580" s="18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1" t="s">
        <v>21</v>
      </c>
      <c r="B581" s="51" t="s">
        <v>41</v>
      </c>
      <c r="C581" s="51" t="s">
        <v>61</v>
      </c>
      <c r="D581" s="51" t="s">
        <v>25</v>
      </c>
      <c r="E581" s="51" t="s">
        <v>25</v>
      </c>
      <c r="F581" s="51" t="s">
        <v>25</v>
      </c>
      <c r="G581" s="51" t="s">
        <v>62</v>
      </c>
      <c r="H581" s="51" t="s">
        <v>34</v>
      </c>
      <c r="I581" s="59">
        <v>44531</v>
      </c>
      <c r="J581" s="60">
        <f ca="1">EFEITO!$J$581*EFEITO!$Y$581</f>
        <v>162012.1930850918</v>
      </c>
      <c r="K581" s="60">
        <f ca="1">EFEITO!$L$581*EFEITO!$Z$581</f>
        <v>0</v>
      </c>
      <c r="L581" s="60">
        <f>EFEITO!$N$581*EFEITO!$AA$581</f>
        <v>0</v>
      </c>
      <c r="M581" s="60">
        <f ca="1">$J$581-EFEITO!$K$581*EFEITO!$Y$581</f>
        <v>0</v>
      </c>
      <c r="N581" s="60">
        <f ca="1">$K$581-EFEITO!$M$581*EFEITO!$Z$581</f>
        <v>0</v>
      </c>
      <c r="O581" s="60">
        <f>$L$581-EFEITO!$O$581*EFEITO!$AA$581</f>
        <v>0</v>
      </c>
      <c r="P581" s="18"/>
      <c r="Q581" s="18"/>
      <c r="R581" s="18"/>
      <c r="S581" s="18"/>
      <c r="T581" s="18"/>
      <c r="U581" s="18"/>
      <c r="V581" s="18"/>
      <c r="W581" s="18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1" t="s">
        <v>21</v>
      </c>
      <c r="B582" s="51" t="s">
        <v>41</v>
      </c>
      <c r="C582" s="51" t="s">
        <v>61</v>
      </c>
      <c r="D582" s="51" t="s">
        <v>25</v>
      </c>
      <c r="E582" s="51" t="s">
        <v>25</v>
      </c>
      <c r="F582" s="51" t="s">
        <v>25</v>
      </c>
      <c r="G582" s="51" t="s">
        <v>67</v>
      </c>
      <c r="H582" s="51" t="s">
        <v>34</v>
      </c>
      <c r="I582" s="59">
        <v>44531</v>
      </c>
      <c r="J582" s="60">
        <f ca="1">EFEITO!$J$582*EFEITO!$Y$582</f>
        <v>249996.88599570218</v>
      </c>
      <c r="K582" s="60">
        <f ca="1">EFEITO!$L$582*EFEITO!$Z$582</f>
        <v>0</v>
      </c>
      <c r="L582" s="60">
        <f>EFEITO!$N$582*EFEITO!$AA$582</f>
        <v>0</v>
      </c>
      <c r="M582" s="60">
        <f ca="1">$J$582-EFEITO!$K$582*EFEITO!$Y$582</f>
        <v>0</v>
      </c>
      <c r="N582" s="60">
        <f ca="1">$K$582-EFEITO!$M$582*EFEITO!$Z$582</f>
        <v>0</v>
      </c>
      <c r="O582" s="60">
        <f>$L$582-EFEITO!$O$582*EFEITO!$AA$582</f>
        <v>0</v>
      </c>
      <c r="P582" s="18"/>
      <c r="Q582" s="18"/>
      <c r="R582" s="18"/>
      <c r="S582" s="18"/>
      <c r="T582" s="18"/>
      <c r="U582" s="18"/>
      <c r="V582" s="18"/>
      <c r="W582" s="18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1" t="s">
        <v>21</v>
      </c>
      <c r="B583" s="51" t="s">
        <v>41</v>
      </c>
      <c r="C583" s="51" t="s">
        <v>61</v>
      </c>
      <c r="D583" s="51" t="s">
        <v>25</v>
      </c>
      <c r="E583" s="51" t="s">
        <v>25</v>
      </c>
      <c r="F583" s="51" t="s">
        <v>25</v>
      </c>
      <c r="G583" s="51" t="s">
        <v>62</v>
      </c>
      <c r="H583" s="51" t="s">
        <v>34</v>
      </c>
      <c r="I583" s="59">
        <v>44562</v>
      </c>
      <c r="J583" s="60">
        <f ca="1">EFEITO!$J$583*EFEITO!$Y$583</f>
        <v>162012.1930850918</v>
      </c>
      <c r="K583" s="60">
        <f ca="1">EFEITO!$L$583*EFEITO!$Z$583</f>
        <v>0</v>
      </c>
      <c r="L583" s="60">
        <f>EFEITO!$N$583*EFEITO!$AA$583</f>
        <v>0</v>
      </c>
      <c r="M583" s="60">
        <f ca="1">$J$583-EFEITO!$K$583*EFEITO!$Y$583</f>
        <v>0</v>
      </c>
      <c r="N583" s="60">
        <f ca="1">$K$583-EFEITO!$M$583*EFEITO!$Z$583</f>
        <v>0</v>
      </c>
      <c r="O583" s="60">
        <f>$L$583-EFEITO!$O$583*EFEITO!$AA$583</f>
        <v>0</v>
      </c>
      <c r="P583" s="18"/>
      <c r="Q583" s="18"/>
      <c r="R583" s="18"/>
      <c r="S583" s="18"/>
      <c r="T583" s="18"/>
      <c r="U583" s="18"/>
      <c r="V583" s="18"/>
      <c r="W583" s="18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1" t="s">
        <v>21</v>
      </c>
      <c r="B584" s="51" t="s">
        <v>41</v>
      </c>
      <c r="C584" s="51" t="s">
        <v>61</v>
      </c>
      <c r="D584" s="51" t="s">
        <v>25</v>
      </c>
      <c r="E584" s="51" t="s">
        <v>25</v>
      </c>
      <c r="F584" s="51" t="s">
        <v>25</v>
      </c>
      <c r="G584" s="51" t="s">
        <v>67</v>
      </c>
      <c r="H584" s="51" t="s">
        <v>34</v>
      </c>
      <c r="I584" s="59">
        <v>44562</v>
      </c>
      <c r="J584" s="60">
        <f ca="1">EFEITO!$J$584*EFEITO!$Y$584</f>
        <v>232450.70084171148</v>
      </c>
      <c r="K584" s="60">
        <f ca="1">EFEITO!$L$584*EFEITO!$Z$584</f>
        <v>0</v>
      </c>
      <c r="L584" s="60">
        <f>EFEITO!$N$584*EFEITO!$AA$584</f>
        <v>0</v>
      </c>
      <c r="M584" s="60">
        <f ca="1">$J$584-EFEITO!$K$584*EFEITO!$Y$584</f>
        <v>0</v>
      </c>
      <c r="N584" s="60">
        <f ca="1">$K$584-EFEITO!$M$584*EFEITO!$Z$584</f>
        <v>0</v>
      </c>
      <c r="O584" s="60">
        <f>$L$584-EFEITO!$O$584*EFEITO!$AA$584</f>
        <v>0</v>
      </c>
      <c r="P584" s="18"/>
      <c r="Q584" s="18"/>
      <c r="R584" s="18"/>
      <c r="S584" s="18"/>
      <c r="T584" s="18"/>
      <c r="U584" s="18"/>
      <c r="V584" s="18"/>
      <c r="W584" s="18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1" t="s">
        <v>21</v>
      </c>
      <c r="B585" s="51" t="s">
        <v>41</v>
      </c>
      <c r="C585" s="51" t="s">
        <v>61</v>
      </c>
      <c r="D585" s="51" t="s">
        <v>25</v>
      </c>
      <c r="E585" s="51" t="s">
        <v>25</v>
      </c>
      <c r="F585" s="51" t="s">
        <v>25</v>
      </c>
      <c r="G585" s="51" t="s">
        <v>62</v>
      </c>
      <c r="H585" s="51" t="s">
        <v>34</v>
      </c>
      <c r="I585" s="59">
        <v>44593</v>
      </c>
      <c r="J585" s="60">
        <f ca="1">EFEITO!$J$585*EFEITO!$Y$585</f>
        <v>162012.1930850918</v>
      </c>
      <c r="K585" s="60">
        <f ca="1">EFEITO!$L$585*EFEITO!$Z$585</f>
        <v>0</v>
      </c>
      <c r="L585" s="60">
        <f>EFEITO!$N$585*EFEITO!$AA$585</f>
        <v>0</v>
      </c>
      <c r="M585" s="60">
        <f ca="1">$J$585-EFEITO!$K$585*EFEITO!$Y$585</f>
        <v>0</v>
      </c>
      <c r="N585" s="60">
        <f ca="1">$K$585-EFEITO!$M$585*EFEITO!$Z$585</f>
        <v>0</v>
      </c>
      <c r="O585" s="60">
        <f>$L$585-EFEITO!$O$585*EFEITO!$AA$585</f>
        <v>0</v>
      </c>
      <c r="P585" s="18"/>
      <c r="Q585" s="18"/>
      <c r="R585" s="18"/>
      <c r="S585" s="18"/>
      <c r="T585" s="18"/>
      <c r="U585" s="18"/>
      <c r="V585" s="18"/>
      <c r="W585" s="18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1" t="s">
        <v>21</v>
      </c>
      <c r="B586" s="51" t="s">
        <v>41</v>
      </c>
      <c r="C586" s="51" t="s">
        <v>61</v>
      </c>
      <c r="D586" s="51" t="s">
        <v>25</v>
      </c>
      <c r="E586" s="51" t="s">
        <v>25</v>
      </c>
      <c r="F586" s="51" t="s">
        <v>25</v>
      </c>
      <c r="G586" s="51" t="s">
        <v>67</v>
      </c>
      <c r="H586" s="51" t="s">
        <v>34</v>
      </c>
      <c r="I586" s="59">
        <v>44593</v>
      </c>
      <c r="J586" s="60">
        <f ca="1">EFEITO!$J$586*EFEITO!$Y$586</f>
        <v>232450.70084171148</v>
      </c>
      <c r="K586" s="60">
        <f ca="1">EFEITO!$L$586*EFEITO!$Z$586</f>
        <v>0</v>
      </c>
      <c r="L586" s="60">
        <f>EFEITO!$N$586*EFEITO!$AA$586</f>
        <v>0</v>
      </c>
      <c r="M586" s="60">
        <f ca="1">$J$586-EFEITO!$K$586*EFEITO!$Y$586</f>
        <v>0</v>
      </c>
      <c r="N586" s="60">
        <f ca="1">$K$586-EFEITO!$M$586*EFEITO!$Z$586</f>
        <v>0</v>
      </c>
      <c r="O586" s="60">
        <f>$L$586-EFEITO!$O$586*EFEITO!$AA$586</f>
        <v>0</v>
      </c>
      <c r="P586" s="18"/>
      <c r="Q586" s="18"/>
      <c r="R586" s="18"/>
      <c r="S586" s="18"/>
      <c r="T586" s="18"/>
      <c r="U586" s="18"/>
      <c r="V586" s="18"/>
      <c r="W586" s="18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1" t="s">
        <v>56</v>
      </c>
      <c r="B587" s="51" t="s">
        <v>41</v>
      </c>
      <c r="C587" s="51" t="s">
        <v>61</v>
      </c>
      <c r="D587" s="51" t="s">
        <v>25</v>
      </c>
      <c r="E587" s="51" t="s">
        <v>25</v>
      </c>
      <c r="F587" s="51" t="s">
        <v>25</v>
      </c>
      <c r="G587" s="51" t="s">
        <v>62</v>
      </c>
      <c r="H587" s="51" t="s">
        <v>34</v>
      </c>
      <c r="I587" s="59">
        <v>44621</v>
      </c>
      <c r="J587" s="60">
        <f ca="1">EFEITO!$J$587*EFEITO!$Y$587</f>
        <v>162012.1930850918</v>
      </c>
      <c r="K587" s="60">
        <f ca="1">EFEITO!$L$587*EFEITO!$Z$587</f>
        <v>0</v>
      </c>
      <c r="L587" s="60">
        <f>EFEITO!$N$587*EFEITO!$AA$587</f>
        <v>0</v>
      </c>
      <c r="M587" s="60">
        <f ca="1">$J$587-EFEITO!$K$587*EFEITO!$Y$587</f>
        <v>0</v>
      </c>
      <c r="N587" s="60">
        <f ca="1">$K$587-EFEITO!$M$587*EFEITO!$Z$587</f>
        <v>0</v>
      </c>
      <c r="O587" s="60">
        <f>$L$587-EFEITO!$O$587*EFEITO!$AA$587</f>
        <v>0</v>
      </c>
      <c r="P587" s="18"/>
      <c r="Q587" s="18"/>
      <c r="R587" s="18"/>
      <c r="S587" s="18"/>
      <c r="T587" s="18"/>
      <c r="U587" s="18"/>
      <c r="V587" s="18"/>
      <c r="W587" s="18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1" t="s">
        <v>56</v>
      </c>
      <c r="B588" s="51" t="s">
        <v>41</v>
      </c>
      <c r="C588" s="51" t="s">
        <v>61</v>
      </c>
      <c r="D588" s="51" t="s">
        <v>25</v>
      </c>
      <c r="E588" s="51" t="s">
        <v>25</v>
      </c>
      <c r="F588" s="51" t="s">
        <v>25</v>
      </c>
      <c r="G588" s="51" t="s">
        <v>67</v>
      </c>
      <c r="H588" s="51" t="s">
        <v>34</v>
      </c>
      <c r="I588" s="59">
        <v>44621</v>
      </c>
      <c r="J588" s="60">
        <f ca="1">EFEITO!$J$588*EFEITO!$Y$588</f>
        <v>232450.70084171148</v>
      </c>
      <c r="K588" s="60">
        <f ca="1">EFEITO!$L$588*EFEITO!$Z$588</f>
        <v>0</v>
      </c>
      <c r="L588" s="60">
        <f>EFEITO!$N$588*EFEITO!$AA$588</f>
        <v>0</v>
      </c>
      <c r="M588" s="60">
        <f ca="1">$J$588-EFEITO!$K$588*EFEITO!$Y$588</f>
        <v>0</v>
      </c>
      <c r="N588" s="60">
        <f ca="1">$K$588-EFEITO!$M$588*EFEITO!$Z$588</f>
        <v>0</v>
      </c>
      <c r="O588" s="60">
        <f>$L$588-EFEITO!$O$588*EFEITO!$AA$588</f>
        <v>0</v>
      </c>
      <c r="P588" s="18"/>
      <c r="Q588" s="18"/>
      <c r="R588" s="18"/>
      <c r="S588" s="18"/>
      <c r="T588" s="18"/>
      <c r="U588" s="18"/>
      <c r="V588" s="18"/>
      <c r="W588" s="18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1" t="s">
        <v>21</v>
      </c>
      <c r="B589" s="51" t="s">
        <v>41</v>
      </c>
      <c r="C589" s="51" t="s">
        <v>69</v>
      </c>
      <c r="D589" s="51" t="s">
        <v>25</v>
      </c>
      <c r="E589" s="51" t="s">
        <v>25</v>
      </c>
      <c r="F589" s="51" t="s">
        <v>70</v>
      </c>
      <c r="G589" s="51" t="s">
        <v>76</v>
      </c>
      <c r="H589" s="51" t="s">
        <v>25</v>
      </c>
      <c r="I589" s="59">
        <v>44287</v>
      </c>
      <c r="J589" s="60">
        <f ca="1">EFEITO!$J$589*EFEITO!$Y$589</f>
        <v>31439.423522981502</v>
      </c>
      <c r="K589" s="60">
        <f>EFEITO!$L$589*EFEITO!$Z$589</f>
        <v>0</v>
      </c>
      <c r="L589" s="60">
        <f>EFEITO!$N$589*EFEITO!$AA$589</f>
        <v>0</v>
      </c>
      <c r="M589" s="60">
        <f ca="1">$J$589-EFEITO!$K$589*EFEITO!$Y$589</f>
        <v>15719.711761490751</v>
      </c>
      <c r="N589" s="60">
        <f>$K$589-EFEITO!$M$589*EFEITO!$Z$589</f>
        <v>0</v>
      </c>
      <c r="O589" s="60">
        <f>$L$589-EFEITO!$O$589*EFEITO!$AA$589</f>
        <v>0</v>
      </c>
      <c r="P589" s="18"/>
      <c r="Q589" s="18"/>
      <c r="R589" s="18"/>
      <c r="S589" s="18"/>
      <c r="T589" s="18"/>
      <c r="U589" s="18"/>
      <c r="V589" s="18"/>
      <c r="W589" s="18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1" t="s">
        <v>21</v>
      </c>
      <c r="B590" s="51" t="s">
        <v>41</v>
      </c>
      <c r="C590" s="51" t="s">
        <v>69</v>
      </c>
      <c r="D590" s="51" t="s">
        <v>25</v>
      </c>
      <c r="E590" s="51" t="s">
        <v>25</v>
      </c>
      <c r="F590" s="51" t="s">
        <v>70</v>
      </c>
      <c r="G590" s="51" t="s">
        <v>76</v>
      </c>
      <c r="H590" s="51" t="s">
        <v>25</v>
      </c>
      <c r="I590" s="59">
        <v>44317</v>
      </c>
      <c r="J590" s="60">
        <f ca="1">EFEITO!$J$590*EFEITO!$Y$590</f>
        <v>32241.157456172288</v>
      </c>
      <c r="K590" s="60">
        <f>EFEITO!$L$590*EFEITO!$Z$590</f>
        <v>0</v>
      </c>
      <c r="L590" s="60">
        <f>EFEITO!$N$590*EFEITO!$AA$590</f>
        <v>0</v>
      </c>
      <c r="M590" s="60">
        <f ca="1">$J$590-EFEITO!$K$590*EFEITO!$Y$590</f>
        <v>16120.578728086144</v>
      </c>
      <c r="N590" s="60">
        <f>$K$590-EFEITO!$M$590*EFEITO!$Z$590</f>
        <v>0</v>
      </c>
      <c r="O590" s="60">
        <f>$L$590-EFEITO!$O$590*EFEITO!$AA$590</f>
        <v>0</v>
      </c>
      <c r="P590" s="18"/>
      <c r="Q590" s="18"/>
      <c r="R590" s="18"/>
      <c r="S590" s="18"/>
      <c r="T590" s="18"/>
      <c r="U590" s="18"/>
      <c r="V590" s="18"/>
      <c r="W590" s="18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1" t="s">
        <v>21</v>
      </c>
      <c r="B591" s="51" t="s">
        <v>41</v>
      </c>
      <c r="C591" s="51" t="s">
        <v>69</v>
      </c>
      <c r="D591" s="51" t="s">
        <v>25</v>
      </c>
      <c r="E591" s="51" t="s">
        <v>25</v>
      </c>
      <c r="F591" s="51" t="s">
        <v>70</v>
      </c>
      <c r="G591" s="51" t="s">
        <v>76</v>
      </c>
      <c r="H591" s="51" t="s">
        <v>25</v>
      </c>
      <c r="I591" s="59">
        <v>44348</v>
      </c>
      <c r="J591" s="60">
        <f ca="1">EFEITO!$J$591*EFEITO!$Y$591</f>
        <v>14316.677378406877</v>
      </c>
      <c r="K591" s="60">
        <f>EFEITO!$L$591*EFEITO!$Z$591</f>
        <v>0</v>
      </c>
      <c r="L591" s="60">
        <f>EFEITO!$N$591*EFEITO!$AA$591</f>
        <v>0</v>
      </c>
      <c r="M591" s="60">
        <f ca="1">$J$591-EFEITO!$K$591*EFEITO!$Y$591</f>
        <v>7158.3386892034387</v>
      </c>
      <c r="N591" s="60">
        <f>$K$591-EFEITO!$M$591*EFEITO!$Z$591</f>
        <v>0</v>
      </c>
      <c r="O591" s="60">
        <f>$L$591-EFEITO!$O$591*EFEITO!$AA$591</f>
        <v>0</v>
      </c>
      <c r="P591" s="18"/>
      <c r="Q591" s="18"/>
      <c r="R591" s="18"/>
      <c r="S591" s="18"/>
      <c r="T591" s="18"/>
      <c r="U591" s="18"/>
      <c r="V591" s="18"/>
      <c r="W591" s="18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1" t="s">
        <v>21</v>
      </c>
      <c r="B592" s="51" t="s">
        <v>41</v>
      </c>
      <c r="C592" s="51" t="s">
        <v>69</v>
      </c>
      <c r="D592" s="51" t="s">
        <v>25</v>
      </c>
      <c r="E592" s="51" t="s">
        <v>25</v>
      </c>
      <c r="F592" s="51" t="s">
        <v>70</v>
      </c>
      <c r="G592" s="51" t="s">
        <v>76</v>
      </c>
      <c r="H592" s="51" t="s">
        <v>25</v>
      </c>
      <c r="I592" s="59">
        <v>44378</v>
      </c>
      <c r="J592" s="60">
        <f ca="1">EFEITO!$J$592*EFEITO!$Y$592</f>
        <v>14316.677378406877</v>
      </c>
      <c r="K592" s="60">
        <f>EFEITO!$L$592*EFEITO!$Z$592</f>
        <v>0</v>
      </c>
      <c r="L592" s="60">
        <f>EFEITO!$N$592*EFEITO!$AA$592</f>
        <v>0</v>
      </c>
      <c r="M592" s="60">
        <f ca="1">$J$592-EFEITO!$K$592*EFEITO!$Y$592</f>
        <v>7158.3386892034387</v>
      </c>
      <c r="N592" s="60">
        <f>$K$592-EFEITO!$M$592*EFEITO!$Z$592</f>
        <v>0</v>
      </c>
      <c r="O592" s="60">
        <f>$L$592-EFEITO!$O$592*EFEITO!$AA$592</f>
        <v>0</v>
      </c>
      <c r="P592" s="18"/>
      <c r="Q592" s="18"/>
      <c r="R592" s="18"/>
      <c r="S592" s="18"/>
      <c r="T592" s="18"/>
      <c r="U592" s="18"/>
      <c r="V592" s="18"/>
      <c r="W592" s="18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1" t="s">
        <v>21</v>
      </c>
      <c r="B593" s="51" t="s">
        <v>41</v>
      </c>
      <c r="C593" s="51" t="s">
        <v>69</v>
      </c>
      <c r="D593" s="51" t="s">
        <v>25</v>
      </c>
      <c r="E593" s="51" t="s">
        <v>25</v>
      </c>
      <c r="F593" s="51" t="s">
        <v>70</v>
      </c>
      <c r="G593" s="51" t="s">
        <v>76</v>
      </c>
      <c r="H593" s="51" t="s">
        <v>25</v>
      </c>
      <c r="I593" s="59">
        <v>44409</v>
      </c>
      <c r="J593" s="60">
        <f ca="1">EFEITO!$J$593*EFEITO!$Y$593</f>
        <v>8590.0064270441271</v>
      </c>
      <c r="K593" s="60">
        <f>EFEITO!$L$593*EFEITO!$Z$593</f>
        <v>0</v>
      </c>
      <c r="L593" s="60">
        <f>EFEITO!$N$593*EFEITO!$AA$593</f>
        <v>0</v>
      </c>
      <c r="M593" s="60">
        <f ca="1">$J$593-EFEITO!$K$593*EFEITO!$Y$593</f>
        <v>4295.0032135220636</v>
      </c>
      <c r="N593" s="60">
        <f>$K$593-EFEITO!$M$593*EFEITO!$Z$593</f>
        <v>0</v>
      </c>
      <c r="O593" s="60">
        <f>$L$593-EFEITO!$O$593*EFEITO!$AA$593</f>
        <v>0</v>
      </c>
      <c r="P593" s="18"/>
      <c r="Q593" s="18"/>
      <c r="R593" s="18"/>
      <c r="S593" s="18"/>
      <c r="T593" s="18"/>
      <c r="U593" s="18"/>
      <c r="V593" s="18"/>
      <c r="W593" s="18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1" t="s">
        <v>21</v>
      </c>
      <c r="B594" s="51" t="s">
        <v>41</v>
      </c>
      <c r="C594" s="51" t="s">
        <v>69</v>
      </c>
      <c r="D594" s="51" t="s">
        <v>25</v>
      </c>
      <c r="E594" s="51" t="s">
        <v>25</v>
      </c>
      <c r="F594" s="51" t="s">
        <v>70</v>
      </c>
      <c r="G594" s="51" t="s">
        <v>76</v>
      </c>
      <c r="H594" s="51" t="s">
        <v>25</v>
      </c>
      <c r="I594" s="59">
        <v>44501</v>
      </c>
      <c r="J594" s="60">
        <f ca="1">EFEITO!$J$594*EFEITO!$Y$594</f>
        <v>1317.1343188134329</v>
      </c>
      <c r="K594" s="60">
        <f>EFEITO!$L$594*EFEITO!$Z$594</f>
        <v>0</v>
      </c>
      <c r="L594" s="60">
        <f>EFEITO!$N$594*EFEITO!$AA$594</f>
        <v>0</v>
      </c>
      <c r="M594" s="60">
        <f ca="1">$J$594-EFEITO!$K$594*EFEITO!$Y$594</f>
        <v>658.56715940671643</v>
      </c>
      <c r="N594" s="60">
        <f>$K$594-EFEITO!$M$594*EFEITO!$Z$594</f>
        <v>0</v>
      </c>
      <c r="O594" s="60">
        <f>$L$594-EFEITO!$O$594*EFEITO!$AA$594</f>
        <v>0</v>
      </c>
      <c r="P594" s="18"/>
      <c r="Q594" s="18"/>
      <c r="R594" s="18"/>
      <c r="S594" s="18"/>
      <c r="T594" s="18"/>
      <c r="U594" s="18"/>
      <c r="V594" s="18"/>
      <c r="W594" s="18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51" t="s">
        <v>21</v>
      </c>
      <c r="B595" s="51" t="s">
        <v>41</v>
      </c>
      <c r="C595" s="51" t="s">
        <v>42</v>
      </c>
      <c r="D595" s="51" t="s">
        <v>43</v>
      </c>
      <c r="E595" s="51" t="s">
        <v>25</v>
      </c>
      <c r="F595" s="51" t="s">
        <v>25</v>
      </c>
      <c r="G595" s="51" t="s">
        <v>25</v>
      </c>
      <c r="H595" s="51" t="s">
        <v>35</v>
      </c>
      <c r="I595" s="59">
        <v>44287</v>
      </c>
      <c r="J595" s="60">
        <f>EFEITO!$J$595*EFEITO!$Y$595</f>
        <v>0</v>
      </c>
      <c r="K595" s="60">
        <f ca="1">EFEITO!$L$595*EFEITO!$Z$595</f>
        <v>629527.46433407231</v>
      </c>
      <c r="L595" s="60">
        <f>EFEITO!$N$595*EFEITO!$AA$595</f>
        <v>2160927.4382676128</v>
      </c>
      <c r="M595" s="60">
        <f>$J$595-EFEITO!$K$595*EFEITO!$Y$595</f>
        <v>0</v>
      </c>
      <c r="N595" s="60">
        <f ca="1">$K$595-EFEITO!$M$595*EFEITO!$Z$595</f>
        <v>0</v>
      </c>
      <c r="O595" s="60">
        <f>$L$595-EFEITO!$O$595*EFEITO!$AA$595</f>
        <v>0</v>
      </c>
      <c r="P595" s="18"/>
      <c r="Q595" s="18"/>
      <c r="R595" s="18"/>
      <c r="S595" s="18"/>
      <c r="T595" s="18"/>
      <c r="U595" s="18"/>
      <c r="V595" s="18"/>
      <c r="W595" s="18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51" t="s">
        <v>28</v>
      </c>
      <c r="B596" s="51" t="s">
        <v>41</v>
      </c>
      <c r="C596" s="51" t="s">
        <v>42</v>
      </c>
      <c r="D596" s="51" t="s">
        <v>43</v>
      </c>
      <c r="E596" s="51" t="s">
        <v>25</v>
      </c>
      <c r="F596" s="51" t="s">
        <v>25</v>
      </c>
      <c r="G596" s="51" t="s">
        <v>25</v>
      </c>
      <c r="H596" s="51" t="s">
        <v>35</v>
      </c>
      <c r="I596" s="59">
        <v>44287</v>
      </c>
      <c r="J596" s="60">
        <f>EFEITO!$J$596*EFEITO!$Y$596</f>
        <v>0</v>
      </c>
      <c r="K596" s="60">
        <f ca="1">EFEITO!$L$596*EFEITO!$Z$596</f>
        <v>22676.404685195681</v>
      </c>
      <c r="L596" s="60">
        <f>EFEITO!$N$596*EFEITO!$AA$596</f>
        <v>77839.439677719289</v>
      </c>
      <c r="M596" s="60">
        <f>$J$596-EFEITO!$K$596*EFEITO!$Y$596</f>
        <v>0</v>
      </c>
      <c r="N596" s="60">
        <f ca="1">$K$596-EFEITO!$M$596*EFEITO!$Z$596</f>
        <v>0</v>
      </c>
      <c r="O596" s="60">
        <f>$L$596-EFEITO!$O$596*EFEITO!$AA$596</f>
        <v>0</v>
      </c>
      <c r="P596" s="18"/>
      <c r="Q596" s="18"/>
      <c r="R596" s="18"/>
      <c r="S596" s="18"/>
      <c r="T596" s="18"/>
      <c r="U596" s="18"/>
      <c r="V596" s="18"/>
      <c r="W596" s="18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51" t="s">
        <v>21</v>
      </c>
      <c r="B597" s="51" t="s">
        <v>41</v>
      </c>
      <c r="C597" s="51" t="s">
        <v>42</v>
      </c>
      <c r="D597" s="51" t="s">
        <v>43</v>
      </c>
      <c r="E597" s="51" t="s">
        <v>25</v>
      </c>
      <c r="F597" s="51" t="s">
        <v>25</v>
      </c>
      <c r="G597" s="51" t="s">
        <v>25</v>
      </c>
      <c r="H597" s="51" t="s">
        <v>35</v>
      </c>
      <c r="I597" s="59">
        <v>44287</v>
      </c>
      <c r="J597" s="60">
        <f>EFEITO!$J$597*EFEITO!$Y$597</f>
        <v>0</v>
      </c>
      <c r="K597" s="60">
        <f ca="1">EFEITO!$L$597*EFEITO!$Z$597</f>
        <v>2316.7340642695076</v>
      </c>
      <c r="L597" s="60">
        <f>EFEITO!$N$597*EFEITO!$AA$597</f>
        <v>0</v>
      </c>
      <c r="M597" s="60">
        <f>$J$597-EFEITO!$K$597*EFEITO!$Y$597</f>
        <v>0</v>
      </c>
      <c r="N597" s="60">
        <f ca="1">$K$597-EFEITO!$M$597*EFEITO!$Z$597</f>
        <v>0</v>
      </c>
      <c r="O597" s="60">
        <f>$L$597-EFEITO!$O$597*EFEITO!$AA$597</f>
        <v>0</v>
      </c>
      <c r="P597" s="18"/>
      <c r="Q597" s="18"/>
      <c r="R597" s="18"/>
      <c r="S597" s="18"/>
      <c r="T597" s="18"/>
      <c r="U597" s="18"/>
      <c r="V597" s="18"/>
      <c r="W597" s="18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51" t="s">
        <v>21</v>
      </c>
      <c r="B598" s="51" t="s">
        <v>41</v>
      </c>
      <c r="C598" s="51" t="s">
        <v>42</v>
      </c>
      <c r="D598" s="51" t="s">
        <v>43</v>
      </c>
      <c r="E598" s="51" t="s">
        <v>25</v>
      </c>
      <c r="F598" s="51" t="s">
        <v>25</v>
      </c>
      <c r="G598" s="51" t="s">
        <v>25</v>
      </c>
      <c r="H598" s="51" t="s">
        <v>35</v>
      </c>
      <c r="I598" s="59">
        <v>44317</v>
      </c>
      <c r="J598" s="60">
        <f>EFEITO!$J$598*EFEITO!$Y$598</f>
        <v>0</v>
      </c>
      <c r="K598" s="60">
        <f ca="1">EFEITO!$L$598*EFEITO!$Z$598</f>
        <v>577030.40565313736</v>
      </c>
      <c r="L598" s="60">
        <f>EFEITO!$N$598*EFEITO!$AA$598</f>
        <v>1980725.0786263559</v>
      </c>
      <c r="M598" s="60">
        <f>$J$598-EFEITO!$K$598*EFEITO!$Y$598</f>
        <v>0</v>
      </c>
      <c r="N598" s="60">
        <f ca="1">$K$598-EFEITO!$M$598*EFEITO!$Z$598</f>
        <v>0</v>
      </c>
      <c r="O598" s="60">
        <f>$L$598-EFEITO!$O$598*EFEITO!$AA$598</f>
        <v>0</v>
      </c>
      <c r="P598" s="18"/>
      <c r="Q598" s="18"/>
      <c r="R598" s="18"/>
      <c r="S598" s="18"/>
      <c r="T598" s="18"/>
      <c r="U598" s="18"/>
      <c r="V598" s="18"/>
      <c r="W598" s="18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51" t="s">
        <v>27</v>
      </c>
      <c r="B599" s="51" t="s">
        <v>41</v>
      </c>
      <c r="C599" s="51" t="s">
        <v>42</v>
      </c>
      <c r="D599" s="51" t="s">
        <v>43</v>
      </c>
      <c r="E599" s="51" t="s">
        <v>25</v>
      </c>
      <c r="F599" s="51" t="s">
        <v>25</v>
      </c>
      <c r="G599" s="51" t="s">
        <v>25</v>
      </c>
      <c r="H599" s="51" t="s">
        <v>35</v>
      </c>
      <c r="I599" s="59">
        <v>44317</v>
      </c>
      <c r="J599" s="60">
        <f>EFEITO!$J$599*EFEITO!$Y$599</f>
        <v>0</v>
      </c>
      <c r="K599" s="60">
        <f ca="1">EFEITO!$L$599*EFEITO!$Z$599</f>
        <v>-2225.8537056116488</v>
      </c>
      <c r="L599" s="60">
        <f>EFEITO!$N$599*EFEITO!$AA$599</f>
        <v>-7640.5059644441071</v>
      </c>
      <c r="M599" s="60">
        <f>$J$599-EFEITO!$K$599*EFEITO!$Y$599</f>
        <v>0</v>
      </c>
      <c r="N599" s="60">
        <f ca="1">$K$599-EFEITO!$M$599*EFEITO!$Z$599</f>
        <v>0</v>
      </c>
      <c r="O599" s="60">
        <f>$L$599-EFEITO!$O$599*EFEITO!$AA$599</f>
        <v>0</v>
      </c>
      <c r="P599" s="18"/>
      <c r="Q599" s="18"/>
      <c r="R599" s="18"/>
      <c r="S599" s="18"/>
      <c r="T599" s="18"/>
      <c r="U599" s="18"/>
      <c r="V599" s="18"/>
      <c r="W599" s="18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51" t="s">
        <v>28</v>
      </c>
      <c r="B600" s="51" t="s">
        <v>41</v>
      </c>
      <c r="C600" s="51" t="s">
        <v>42</v>
      </c>
      <c r="D600" s="51" t="s">
        <v>43</v>
      </c>
      <c r="E600" s="51" t="s">
        <v>25</v>
      </c>
      <c r="F600" s="51" t="s">
        <v>25</v>
      </c>
      <c r="G600" s="51" t="s">
        <v>25</v>
      </c>
      <c r="H600" s="51" t="s">
        <v>35</v>
      </c>
      <c r="I600" s="59">
        <v>44317</v>
      </c>
      <c r="J600" s="60">
        <f>EFEITO!$J$600*EFEITO!$Y$600</f>
        <v>0</v>
      </c>
      <c r="K600" s="60">
        <f ca="1">EFEITO!$L$600*EFEITO!$Z$600</f>
        <v>21996.88223236979</v>
      </c>
      <c r="L600" s="60">
        <f>EFEITO!$N$600*EFEITO!$AA$600</f>
        <v>75506.89853150626</v>
      </c>
      <c r="M600" s="60">
        <f>$J$600-EFEITO!$K$600*EFEITO!$Y$600</f>
        <v>0</v>
      </c>
      <c r="N600" s="60">
        <f ca="1">$K$600-EFEITO!$M$600*EFEITO!$Z$600</f>
        <v>0</v>
      </c>
      <c r="O600" s="60">
        <f>$L$600-EFEITO!$O$600*EFEITO!$AA$600</f>
        <v>0</v>
      </c>
      <c r="P600" s="18"/>
      <c r="Q600" s="18"/>
      <c r="R600" s="18"/>
      <c r="S600" s="18"/>
      <c r="T600" s="18"/>
      <c r="U600" s="18"/>
      <c r="V600" s="18"/>
      <c r="W600" s="18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51" t="s">
        <v>28</v>
      </c>
      <c r="B601" s="51" t="s">
        <v>41</v>
      </c>
      <c r="C601" s="51" t="s">
        <v>42</v>
      </c>
      <c r="D601" s="51" t="s">
        <v>43</v>
      </c>
      <c r="E601" s="51" t="s">
        <v>25</v>
      </c>
      <c r="F601" s="51" t="s">
        <v>25</v>
      </c>
      <c r="G601" s="51" t="s">
        <v>25</v>
      </c>
      <c r="H601" s="51" t="s">
        <v>35</v>
      </c>
      <c r="I601" s="59">
        <v>44317</v>
      </c>
      <c r="J601" s="60">
        <f>EFEITO!$J$601*EFEITO!$Y$601</f>
        <v>0</v>
      </c>
      <c r="K601" s="60">
        <f ca="1">EFEITO!$L$601*EFEITO!$Z$601</f>
        <v>-2.8603260235663708</v>
      </c>
      <c r="L601" s="60">
        <f>EFEITO!$N$601*EFEITO!$AA$601</f>
        <v>-9.8184071972996687</v>
      </c>
      <c r="M601" s="60">
        <f>$J$601-EFEITO!$K$601*EFEITO!$Y$601</f>
        <v>0</v>
      </c>
      <c r="N601" s="60">
        <f ca="1">$K$601-EFEITO!$M$601*EFEITO!$Z$601</f>
        <v>0</v>
      </c>
      <c r="O601" s="60">
        <f>$L$601-EFEITO!$O$601*EFEITO!$AA$601</f>
        <v>0</v>
      </c>
      <c r="P601" s="18"/>
      <c r="Q601" s="18"/>
      <c r="R601" s="18"/>
      <c r="S601" s="18"/>
      <c r="T601" s="18"/>
      <c r="U601" s="18"/>
      <c r="V601" s="18"/>
      <c r="W601" s="18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51" t="s">
        <v>21</v>
      </c>
      <c r="B602" s="51" t="s">
        <v>41</v>
      </c>
      <c r="C602" s="51" t="s">
        <v>42</v>
      </c>
      <c r="D602" s="51" t="s">
        <v>43</v>
      </c>
      <c r="E602" s="51" t="s">
        <v>25</v>
      </c>
      <c r="F602" s="51" t="s">
        <v>25</v>
      </c>
      <c r="G602" s="51" t="s">
        <v>25</v>
      </c>
      <c r="H602" s="51" t="s">
        <v>35</v>
      </c>
      <c r="I602" s="59">
        <v>44317</v>
      </c>
      <c r="J602" s="60">
        <f>EFEITO!$J$602*EFEITO!$Y$602</f>
        <v>0</v>
      </c>
      <c r="K602" s="60">
        <f ca="1">EFEITO!$L$602*EFEITO!$Z$602</f>
        <v>1907.902465128396</v>
      </c>
      <c r="L602" s="60">
        <f>EFEITO!$N$602*EFEITO!$AA$602</f>
        <v>0</v>
      </c>
      <c r="M602" s="60">
        <f>$J$602-EFEITO!$K$602*EFEITO!$Y$602</f>
        <v>0</v>
      </c>
      <c r="N602" s="60">
        <f ca="1">$K$602-EFEITO!$M$602*EFEITO!$Z$602</f>
        <v>0</v>
      </c>
      <c r="O602" s="60">
        <f>$L$602-EFEITO!$O$602*EFEITO!$AA$602</f>
        <v>0</v>
      </c>
      <c r="P602" s="18"/>
      <c r="Q602" s="18"/>
      <c r="R602" s="18"/>
      <c r="S602" s="18"/>
      <c r="T602" s="18"/>
      <c r="U602" s="18"/>
      <c r="V602" s="18"/>
      <c r="W602" s="18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51" t="s">
        <v>21</v>
      </c>
      <c r="B603" s="51" t="s">
        <v>41</v>
      </c>
      <c r="C603" s="51" t="s">
        <v>42</v>
      </c>
      <c r="D603" s="51" t="s">
        <v>43</v>
      </c>
      <c r="E603" s="51" t="s">
        <v>25</v>
      </c>
      <c r="F603" s="51" t="s">
        <v>25</v>
      </c>
      <c r="G603" s="51" t="s">
        <v>25</v>
      </c>
      <c r="H603" s="51" t="s">
        <v>35</v>
      </c>
      <c r="I603" s="59">
        <v>44348</v>
      </c>
      <c r="J603" s="60">
        <f>EFEITO!$J$603*EFEITO!$Y$603</f>
        <v>0</v>
      </c>
      <c r="K603" s="60">
        <f ca="1">EFEITO!$L$603*EFEITO!$Z$603</f>
        <v>553622.99264669162</v>
      </c>
      <c r="L603" s="60">
        <f>EFEITO!$N$603*EFEITO!$AA$603</f>
        <v>1900376.366472872</v>
      </c>
      <c r="M603" s="60">
        <f>$J$603-EFEITO!$K$603*EFEITO!$Y$603</f>
        <v>0</v>
      </c>
      <c r="N603" s="60">
        <f ca="1">$K$603-EFEITO!$M$603*EFEITO!$Z$603</f>
        <v>0</v>
      </c>
      <c r="O603" s="60">
        <f>$L$603-EFEITO!$O$603*EFEITO!$AA$603</f>
        <v>0</v>
      </c>
      <c r="P603" s="18"/>
      <c r="Q603" s="18"/>
      <c r="R603" s="18"/>
      <c r="S603" s="18"/>
      <c r="T603" s="18"/>
      <c r="U603" s="18"/>
      <c r="V603" s="18"/>
      <c r="W603" s="18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51" t="s">
        <v>27</v>
      </c>
      <c r="B604" s="51" t="s">
        <v>41</v>
      </c>
      <c r="C604" s="51" t="s">
        <v>42</v>
      </c>
      <c r="D604" s="51" t="s">
        <v>43</v>
      </c>
      <c r="E604" s="51" t="s">
        <v>25</v>
      </c>
      <c r="F604" s="51" t="s">
        <v>25</v>
      </c>
      <c r="G604" s="51" t="s">
        <v>25</v>
      </c>
      <c r="H604" s="51" t="s">
        <v>35</v>
      </c>
      <c r="I604" s="59">
        <v>44348</v>
      </c>
      <c r="J604" s="60">
        <f>EFEITO!$J$604*EFEITO!$Y$604</f>
        <v>0</v>
      </c>
      <c r="K604" s="60">
        <f ca="1">EFEITO!$L$604*EFEITO!$Z$604</f>
        <v>-2573.0582804268306</v>
      </c>
      <c r="L604" s="60">
        <f>EFEITO!$N$604*EFEITO!$AA$604</f>
        <v>-8832.3267108254149</v>
      </c>
      <c r="M604" s="60">
        <f>$J$604-EFEITO!$K$604*EFEITO!$Y$604</f>
        <v>0</v>
      </c>
      <c r="N604" s="60">
        <f ca="1">$K$604-EFEITO!$M$604*EFEITO!$Z$604</f>
        <v>0</v>
      </c>
      <c r="O604" s="60">
        <f>$L$604-EFEITO!$O$604*EFEITO!$AA$604</f>
        <v>0</v>
      </c>
      <c r="P604" s="18"/>
      <c r="Q604" s="18"/>
      <c r="R604" s="18"/>
      <c r="S604" s="18"/>
      <c r="T604" s="18"/>
      <c r="U604" s="18"/>
      <c r="V604" s="18"/>
      <c r="W604" s="18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51" t="s">
        <v>28</v>
      </c>
      <c r="B605" s="51" t="s">
        <v>41</v>
      </c>
      <c r="C605" s="51" t="s">
        <v>42</v>
      </c>
      <c r="D605" s="51" t="s">
        <v>43</v>
      </c>
      <c r="E605" s="51" t="s">
        <v>25</v>
      </c>
      <c r="F605" s="51" t="s">
        <v>25</v>
      </c>
      <c r="G605" s="51" t="s">
        <v>25</v>
      </c>
      <c r="H605" s="51" t="s">
        <v>35</v>
      </c>
      <c r="I605" s="59">
        <v>44348</v>
      </c>
      <c r="J605" s="60">
        <f>EFEITO!$J$605*EFEITO!$Y$605</f>
        <v>0</v>
      </c>
      <c r="K605" s="60">
        <f ca="1">EFEITO!$L$605*EFEITO!$Z$605</f>
        <v>18865.085266203121</v>
      </c>
      <c r="L605" s="60">
        <f>EFEITO!$N$605*EFEITO!$AA$605</f>
        <v>64756.635232935616</v>
      </c>
      <c r="M605" s="60">
        <f>$J$605-EFEITO!$K$605*EFEITO!$Y$605</f>
        <v>0</v>
      </c>
      <c r="N605" s="60">
        <f ca="1">$K$605-EFEITO!$M$605*EFEITO!$Z$605</f>
        <v>0</v>
      </c>
      <c r="O605" s="60">
        <f>$L$605-EFEITO!$O$605*EFEITO!$AA$605</f>
        <v>0</v>
      </c>
      <c r="P605" s="18"/>
      <c r="Q605" s="18"/>
      <c r="R605" s="18"/>
      <c r="S605" s="18"/>
      <c r="T605" s="18"/>
      <c r="U605" s="18"/>
      <c r="V605" s="18"/>
      <c r="W605" s="18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51" t="s">
        <v>21</v>
      </c>
      <c r="B606" s="51" t="s">
        <v>41</v>
      </c>
      <c r="C606" s="51" t="s">
        <v>42</v>
      </c>
      <c r="D606" s="51" t="s">
        <v>43</v>
      </c>
      <c r="E606" s="51" t="s">
        <v>25</v>
      </c>
      <c r="F606" s="51" t="s">
        <v>25</v>
      </c>
      <c r="G606" s="51" t="s">
        <v>25</v>
      </c>
      <c r="H606" s="51" t="s">
        <v>35</v>
      </c>
      <c r="I606" s="59">
        <v>44348</v>
      </c>
      <c r="J606" s="60">
        <f>EFEITO!$J$606*EFEITO!$Y$606</f>
        <v>0</v>
      </c>
      <c r="K606" s="60">
        <f ca="1">EFEITO!$L$606*EFEITO!$Z$606</f>
        <v>1989.7467938481702</v>
      </c>
      <c r="L606" s="60">
        <f>EFEITO!$N$606*EFEITO!$AA$606</f>
        <v>0</v>
      </c>
      <c r="M606" s="60">
        <f>$J$606-EFEITO!$K$606*EFEITO!$Y$606</f>
        <v>0</v>
      </c>
      <c r="N606" s="60">
        <f ca="1">$K$606-EFEITO!$M$606*EFEITO!$Z$606</f>
        <v>0</v>
      </c>
      <c r="O606" s="60">
        <f>$L$606-EFEITO!$O$606*EFEITO!$AA$606</f>
        <v>0</v>
      </c>
      <c r="P606" s="18"/>
      <c r="Q606" s="18"/>
      <c r="R606" s="18"/>
      <c r="S606" s="18"/>
      <c r="T606" s="18"/>
      <c r="U606" s="18"/>
      <c r="V606" s="18"/>
      <c r="W606" s="18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51" t="s">
        <v>21</v>
      </c>
      <c r="B607" s="51" t="s">
        <v>41</v>
      </c>
      <c r="C607" s="51" t="s">
        <v>42</v>
      </c>
      <c r="D607" s="51" t="s">
        <v>43</v>
      </c>
      <c r="E607" s="51" t="s">
        <v>25</v>
      </c>
      <c r="F607" s="51" t="s">
        <v>25</v>
      </c>
      <c r="G607" s="51" t="s">
        <v>25</v>
      </c>
      <c r="H607" s="51" t="s">
        <v>35</v>
      </c>
      <c r="I607" s="59">
        <v>44378</v>
      </c>
      <c r="J607" s="60">
        <f>EFEITO!$J$607*EFEITO!$Y$607</f>
        <v>0</v>
      </c>
      <c r="K607" s="60">
        <f ca="1">EFEITO!$L$607*EFEITO!$Z$607</f>
        <v>547229.05885805702</v>
      </c>
      <c r="L607" s="60">
        <f>EFEITO!$N$607*EFEITO!$AA$607</f>
        <v>1878428.4329113991</v>
      </c>
      <c r="M607" s="60">
        <f>$J$607-EFEITO!$K$607*EFEITO!$Y$607</f>
        <v>0</v>
      </c>
      <c r="N607" s="60">
        <f ca="1">$K$607-EFEITO!$M$607*EFEITO!$Z$607</f>
        <v>0</v>
      </c>
      <c r="O607" s="60">
        <f>$L$607-EFEITO!$O$607*EFEITO!$AA$607</f>
        <v>0</v>
      </c>
      <c r="P607" s="18"/>
      <c r="Q607" s="18"/>
      <c r="R607" s="18"/>
      <c r="S607" s="18"/>
      <c r="T607" s="18"/>
      <c r="U607" s="18"/>
      <c r="V607" s="18"/>
      <c r="W607" s="18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51" t="s">
        <v>27</v>
      </c>
      <c r="B608" s="51" t="s">
        <v>41</v>
      </c>
      <c r="C608" s="51" t="s">
        <v>42</v>
      </c>
      <c r="D608" s="51" t="s">
        <v>43</v>
      </c>
      <c r="E608" s="51" t="s">
        <v>25</v>
      </c>
      <c r="F608" s="51" t="s">
        <v>25</v>
      </c>
      <c r="G608" s="51" t="s">
        <v>25</v>
      </c>
      <c r="H608" s="51" t="s">
        <v>35</v>
      </c>
      <c r="I608" s="59">
        <v>44378</v>
      </c>
      <c r="J608" s="60">
        <f>EFEITO!$J$608*EFEITO!$Y$608</f>
        <v>0</v>
      </c>
      <c r="K608" s="60">
        <f ca="1">EFEITO!$L$608*EFEITO!$Z$608</f>
        <v>980.83179644475922</v>
      </c>
      <c r="L608" s="60">
        <f>EFEITO!$N$608*EFEITO!$AA$608</f>
        <v>3366.8210862013048</v>
      </c>
      <c r="M608" s="60">
        <f>$J$608-EFEITO!$K$608*EFEITO!$Y$608</f>
        <v>0</v>
      </c>
      <c r="N608" s="60">
        <f ca="1">$K$608-EFEITO!$M$608*EFEITO!$Z$608</f>
        <v>0</v>
      </c>
      <c r="O608" s="60">
        <f>$L$608-EFEITO!$O$608*EFEITO!$AA$608</f>
        <v>0</v>
      </c>
      <c r="P608" s="18"/>
      <c r="Q608" s="18"/>
      <c r="R608" s="18"/>
      <c r="S608" s="18"/>
      <c r="T608" s="18"/>
      <c r="U608" s="18"/>
      <c r="V608" s="18"/>
      <c r="W608" s="18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51" t="s">
        <v>28</v>
      </c>
      <c r="B609" s="51" t="s">
        <v>41</v>
      </c>
      <c r="C609" s="51" t="s">
        <v>42</v>
      </c>
      <c r="D609" s="51" t="s">
        <v>43</v>
      </c>
      <c r="E609" s="51" t="s">
        <v>25</v>
      </c>
      <c r="F609" s="51" t="s">
        <v>25</v>
      </c>
      <c r="G609" s="51" t="s">
        <v>25</v>
      </c>
      <c r="H609" s="51" t="s">
        <v>35</v>
      </c>
      <c r="I609" s="59">
        <v>44378</v>
      </c>
      <c r="J609" s="60">
        <f>EFEITO!$J$609*EFEITO!$Y$609</f>
        <v>0</v>
      </c>
      <c r="K609" s="60">
        <f ca="1">EFEITO!$L$609*EFEITO!$Z$609</f>
        <v>19630.677529374512</v>
      </c>
      <c r="L609" s="60">
        <f>EFEITO!$N$609*EFEITO!$AA$609</f>
        <v>67384.621177540117</v>
      </c>
      <c r="M609" s="60">
        <f>$J$609-EFEITO!$K$609*EFEITO!$Y$609</f>
        <v>0</v>
      </c>
      <c r="N609" s="60">
        <f ca="1">$K$609-EFEITO!$M$609*EFEITO!$Z$609</f>
        <v>0</v>
      </c>
      <c r="O609" s="60">
        <f>$L$609-EFEITO!$O$609*EFEITO!$AA$609</f>
        <v>0</v>
      </c>
      <c r="P609" s="18"/>
      <c r="Q609" s="18"/>
      <c r="R609" s="18"/>
      <c r="S609" s="18"/>
      <c r="T609" s="18"/>
      <c r="U609" s="18"/>
      <c r="V609" s="18"/>
      <c r="W609" s="18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51" t="s">
        <v>21</v>
      </c>
      <c r="B610" s="51" t="s">
        <v>41</v>
      </c>
      <c r="C610" s="51" t="s">
        <v>42</v>
      </c>
      <c r="D610" s="51" t="s">
        <v>43</v>
      </c>
      <c r="E610" s="51" t="s">
        <v>25</v>
      </c>
      <c r="F610" s="51" t="s">
        <v>25</v>
      </c>
      <c r="G610" s="51" t="s">
        <v>25</v>
      </c>
      <c r="H610" s="51" t="s">
        <v>35</v>
      </c>
      <c r="I610" s="59">
        <v>44378</v>
      </c>
      <c r="J610" s="60">
        <f>EFEITO!$J$610*EFEITO!$Y$610</f>
        <v>0</v>
      </c>
      <c r="K610" s="60">
        <f ca="1">EFEITO!$L$610*EFEITO!$Z$610</f>
        <v>14400.311365644895</v>
      </c>
      <c r="L610" s="60">
        <f>EFEITO!$N$610*EFEITO!$AA$610</f>
        <v>0</v>
      </c>
      <c r="M610" s="60">
        <f>$J$610-EFEITO!$K$610*EFEITO!$Y$610</f>
        <v>0</v>
      </c>
      <c r="N610" s="60">
        <f ca="1">$K$610-EFEITO!$M$610*EFEITO!$Z$610</f>
        <v>0</v>
      </c>
      <c r="O610" s="60">
        <f>$L$610-EFEITO!$O$610*EFEITO!$AA$610</f>
        <v>0</v>
      </c>
      <c r="P610" s="18"/>
      <c r="Q610" s="18"/>
      <c r="R610" s="18"/>
      <c r="S610" s="18"/>
      <c r="T610" s="18"/>
      <c r="U610" s="18"/>
      <c r="V610" s="18"/>
      <c r="W610" s="18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51" t="s">
        <v>21</v>
      </c>
      <c r="B611" s="51" t="s">
        <v>41</v>
      </c>
      <c r="C611" s="51" t="s">
        <v>42</v>
      </c>
      <c r="D611" s="51" t="s">
        <v>43</v>
      </c>
      <c r="E611" s="51" t="s">
        <v>25</v>
      </c>
      <c r="F611" s="51" t="s">
        <v>25</v>
      </c>
      <c r="G611" s="51" t="s">
        <v>25</v>
      </c>
      <c r="H611" s="51" t="s">
        <v>35</v>
      </c>
      <c r="I611" s="59">
        <v>44409</v>
      </c>
      <c r="J611" s="60">
        <f>EFEITO!$J$611*EFEITO!$Y$611</f>
        <v>0</v>
      </c>
      <c r="K611" s="60">
        <f ca="1">EFEITO!$L$611*EFEITO!$Z$611</f>
        <v>576709.52907922084</v>
      </c>
      <c r="L611" s="60">
        <f>EFEITO!$N$611*EFEITO!$AA$611</f>
        <v>1979623.631855313</v>
      </c>
      <c r="M611" s="60">
        <f>$J$611-EFEITO!$K$611*EFEITO!$Y$611</f>
        <v>0</v>
      </c>
      <c r="N611" s="60">
        <f ca="1">$K$611-EFEITO!$M$611*EFEITO!$Z$611</f>
        <v>0</v>
      </c>
      <c r="O611" s="60">
        <f>$L$611-EFEITO!$O$611*EFEITO!$AA$611</f>
        <v>0</v>
      </c>
      <c r="P611" s="18"/>
      <c r="Q611" s="18"/>
      <c r="R611" s="18"/>
      <c r="S611" s="18"/>
      <c r="T611" s="18"/>
      <c r="U611" s="18"/>
      <c r="V611" s="18"/>
      <c r="W611" s="18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51" t="s">
        <v>28</v>
      </c>
      <c r="B612" s="51" t="s">
        <v>41</v>
      </c>
      <c r="C612" s="51" t="s">
        <v>42</v>
      </c>
      <c r="D612" s="51" t="s">
        <v>43</v>
      </c>
      <c r="E612" s="51" t="s">
        <v>25</v>
      </c>
      <c r="F612" s="51" t="s">
        <v>25</v>
      </c>
      <c r="G612" s="51" t="s">
        <v>25</v>
      </c>
      <c r="H612" s="51" t="s">
        <v>35</v>
      </c>
      <c r="I612" s="59">
        <v>44409</v>
      </c>
      <c r="J612" s="60">
        <f>EFEITO!$J$612*EFEITO!$Y$612</f>
        <v>0</v>
      </c>
      <c r="K612" s="60">
        <f ca="1">EFEITO!$L$612*EFEITO!$Z$612</f>
        <v>19837.531106806062</v>
      </c>
      <c r="L612" s="60">
        <f>EFEITO!$N$612*EFEITO!$AA$612</f>
        <v>68094.670534399382</v>
      </c>
      <c r="M612" s="60">
        <f>$J$612-EFEITO!$K$612*EFEITO!$Y$612</f>
        <v>0</v>
      </c>
      <c r="N612" s="60">
        <f ca="1">$K$612-EFEITO!$M$612*EFEITO!$Z$612</f>
        <v>0</v>
      </c>
      <c r="O612" s="60">
        <f>$L$612-EFEITO!$O$612*EFEITO!$AA$612</f>
        <v>0</v>
      </c>
      <c r="P612" s="18"/>
      <c r="Q612" s="18"/>
      <c r="R612" s="18"/>
      <c r="S612" s="18"/>
      <c r="T612" s="18"/>
      <c r="U612" s="18"/>
      <c r="V612" s="18"/>
      <c r="W612" s="18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51" t="s">
        <v>28</v>
      </c>
      <c r="B613" s="51" t="s">
        <v>41</v>
      </c>
      <c r="C613" s="51" t="s">
        <v>42</v>
      </c>
      <c r="D613" s="51" t="s">
        <v>43</v>
      </c>
      <c r="E613" s="51" t="s">
        <v>25</v>
      </c>
      <c r="F613" s="51" t="s">
        <v>25</v>
      </c>
      <c r="G613" s="51" t="s">
        <v>25</v>
      </c>
      <c r="H613" s="51" t="s">
        <v>35</v>
      </c>
      <c r="I613" s="59">
        <v>44409</v>
      </c>
      <c r="J613" s="60">
        <f>EFEITO!$J$613*EFEITO!$Y$613</f>
        <v>0</v>
      </c>
      <c r="K613" s="60">
        <f ca="1">EFEITO!$L$613*EFEITO!$Z$613</f>
        <v>25.092860115832256</v>
      </c>
      <c r="L613" s="60">
        <f>EFEITO!$N$613*EFEITO!$AA$613</f>
        <v>86.134208594492563</v>
      </c>
      <c r="M613" s="60">
        <f>$J$613-EFEITO!$K$613*EFEITO!$Y$613</f>
        <v>0</v>
      </c>
      <c r="N613" s="60">
        <f ca="1">$K$613-EFEITO!$M$613*EFEITO!$Z$613</f>
        <v>0</v>
      </c>
      <c r="O613" s="60">
        <f>$L$613-EFEITO!$O$613*EFEITO!$AA$613</f>
        <v>0</v>
      </c>
      <c r="P613" s="18"/>
      <c r="Q613" s="18"/>
      <c r="R613" s="18"/>
      <c r="S613" s="18"/>
      <c r="T613" s="18"/>
      <c r="U613" s="18"/>
      <c r="V613" s="18"/>
      <c r="W613" s="18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51" t="s">
        <v>21</v>
      </c>
      <c r="B614" s="51" t="s">
        <v>41</v>
      </c>
      <c r="C614" s="51" t="s">
        <v>42</v>
      </c>
      <c r="D614" s="51" t="s">
        <v>43</v>
      </c>
      <c r="E614" s="51" t="s">
        <v>25</v>
      </c>
      <c r="F614" s="51" t="s">
        <v>25</v>
      </c>
      <c r="G614" s="51" t="s">
        <v>25</v>
      </c>
      <c r="H614" s="51" t="s">
        <v>35</v>
      </c>
      <c r="I614" s="59">
        <v>44409</v>
      </c>
      <c r="J614" s="60">
        <f>EFEITO!$J$614*EFEITO!$Y$614</f>
        <v>0</v>
      </c>
      <c r="K614" s="60">
        <f ca="1">EFEITO!$L$614*EFEITO!$Z$614</f>
        <v>34526.020319325267</v>
      </c>
      <c r="L614" s="60">
        <f>EFEITO!$N$614*EFEITO!$AA$614</f>
        <v>0</v>
      </c>
      <c r="M614" s="60">
        <f>$J$614-EFEITO!$K$614*EFEITO!$Y$614</f>
        <v>0</v>
      </c>
      <c r="N614" s="60">
        <f ca="1">$K$614-EFEITO!$M$614*EFEITO!$Z$614</f>
        <v>0</v>
      </c>
      <c r="O614" s="60">
        <f>$L$614-EFEITO!$O$614*EFEITO!$AA$614</f>
        <v>0</v>
      </c>
      <c r="P614" s="18"/>
      <c r="Q614" s="18"/>
      <c r="R614" s="18"/>
      <c r="S614" s="18"/>
      <c r="T614" s="18"/>
      <c r="U614" s="18"/>
      <c r="V614" s="18"/>
      <c r="W614" s="18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51" t="s">
        <v>21</v>
      </c>
      <c r="B615" s="51" t="s">
        <v>41</v>
      </c>
      <c r="C615" s="51" t="s">
        <v>42</v>
      </c>
      <c r="D615" s="51" t="s">
        <v>43</v>
      </c>
      <c r="E615" s="51" t="s">
        <v>25</v>
      </c>
      <c r="F615" s="51" t="s">
        <v>25</v>
      </c>
      <c r="G615" s="51" t="s">
        <v>25</v>
      </c>
      <c r="H615" s="51" t="s">
        <v>35</v>
      </c>
      <c r="I615" s="59">
        <v>44440</v>
      </c>
      <c r="J615" s="60">
        <f>EFEITO!$J$615*EFEITO!$Y$615</f>
        <v>0</v>
      </c>
      <c r="K615" s="60">
        <f ca="1">EFEITO!$L$615*EFEITO!$Z$615</f>
        <v>598967.74109828915</v>
      </c>
      <c r="L615" s="60">
        <f>EFEITO!$N$615*EFEITO!$AA$615</f>
        <v>2056027.5757716633</v>
      </c>
      <c r="M615" s="60">
        <f>$J$615-EFEITO!$K$615*EFEITO!$Y$615</f>
        <v>0</v>
      </c>
      <c r="N615" s="60">
        <f ca="1">$K$615-EFEITO!$M$615*EFEITO!$Z$615</f>
        <v>0</v>
      </c>
      <c r="O615" s="60">
        <f>$L$615-EFEITO!$O$615*EFEITO!$AA$615</f>
        <v>0</v>
      </c>
      <c r="P615" s="18"/>
      <c r="Q615" s="18"/>
      <c r="R615" s="18"/>
      <c r="S615" s="18"/>
      <c r="T615" s="18"/>
      <c r="U615" s="18"/>
      <c r="V615" s="18"/>
      <c r="W615" s="18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51" t="s">
        <v>28</v>
      </c>
      <c r="B616" s="51" t="s">
        <v>41</v>
      </c>
      <c r="C616" s="51" t="s">
        <v>42</v>
      </c>
      <c r="D616" s="51" t="s">
        <v>43</v>
      </c>
      <c r="E616" s="51" t="s">
        <v>25</v>
      </c>
      <c r="F616" s="51" t="s">
        <v>25</v>
      </c>
      <c r="G616" s="51" t="s">
        <v>25</v>
      </c>
      <c r="H616" s="51" t="s">
        <v>35</v>
      </c>
      <c r="I616" s="59">
        <v>44440</v>
      </c>
      <c r="J616" s="60">
        <f>EFEITO!$J$616*EFEITO!$Y$616</f>
        <v>0</v>
      </c>
      <c r="K616" s="60">
        <f ca="1">EFEITO!$L$616*EFEITO!$Z$616</f>
        <v>27400.623157573304</v>
      </c>
      <c r="L616" s="60">
        <f>EFEITO!$N$616*EFEITO!$AA$616</f>
        <v>94055.878037768431</v>
      </c>
      <c r="M616" s="60">
        <f>$J$616-EFEITO!$K$616*EFEITO!$Y$616</f>
        <v>0</v>
      </c>
      <c r="N616" s="60">
        <f ca="1">$K$616-EFEITO!$M$616*EFEITO!$Z$616</f>
        <v>0</v>
      </c>
      <c r="O616" s="60">
        <f>$L$616-EFEITO!$O$616*EFEITO!$AA$616</f>
        <v>0</v>
      </c>
      <c r="P616" s="18"/>
      <c r="Q616" s="18"/>
      <c r="R616" s="18"/>
      <c r="S616" s="18"/>
      <c r="T616" s="18"/>
      <c r="U616" s="18"/>
      <c r="V616" s="18"/>
      <c r="W616" s="18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51" t="s">
        <v>21</v>
      </c>
      <c r="B617" s="51" t="s">
        <v>41</v>
      </c>
      <c r="C617" s="51" t="s">
        <v>42</v>
      </c>
      <c r="D617" s="51" t="s">
        <v>43</v>
      </c>
      <c r="E617" s="51" t="s">
        <v>25</v>
      </c>
      <c r="F617" s="51" t="s">
        <v>25</v>
      </c>
      <c r="G617" s="51" t="s">
        <v>25</v>
      </c>
      <c r="H617" s="51" t="s">
        <v>35</v>
      </c>
      <c r="I617" s="59">
        <v>44440</v>
      </c>
      <c r="J617" s="60">
        <f>EFEITO!$J$617*EFEITO!$Y$617</f>
        <v>0</v>
      </c>
      <c r="K617" s="60">
        <f ca="1">EFEITO!$L$617*EFEITO!$Z$617</f>
        <v>17000.347721066726</v>
      </c>
      <c r="L617" s="60">
        <f>EFEITO!$N$617*EFEITO!$AA$617</f>
        <v>0</v>
      </c>
      <c r="M617" s="60">
        <f>$J$617-EFEITO!$K$617*EFEITO!$Y$617</f>
        <v>0</v>
      </c>
      <c r="N617" s="60">
        <f ca="1">$K$617-EFEITO!$M$617*EFEITO!$Z$617</f>
        <v>0</v>
      </c>
      <c r="O617" s="60">
        <f>$L$617-EFEITO!$O$617*EFEITO!$AA$617</f>
        <v>0</v>
      </c>
      <c r="P617" s="18"/>
      <c r="Q617" s="18"/>
      <c r="R617" s="18"/>
      <c r="S617" s="18"/>
      <c r="T617" s="18"/>
      <c r="U617" s="18"/>
      <c r="V617" s="18"/>
      <c r="W617" s="18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51" t="s">
        <v>21</v>
      </c>
      <c r="B618" s="51" t="s">
        <v>41</v>
      </c>
      <c r="C618" s="51" t="s">
        <v>42</v>
      </c>
      <c r="D618" s="51" t="s">
        <v>43</v>
      </c>
      <c r="E618" s="51" t="s">
        <v>25</v>
      </c>
      <c r="F618" s="51" t="s">
        <v>25</v>
      </c>
      <c r="G618" s="51" t="s">
        <v>25</v>
      </c>
      <c r="H618" s="51" t="s">
        <v>35</v>
      </c>
      <c r="I618" s="59">
        <v>44470</v>
      </c>
      <c r="J618" s="60">
        <f>EFEITO!$J$618*EFEITO!$Y$618</f>
        <v>0</v>
      </c>
      <c r="K618" s="60">
        <f ca="1">EFEITO!$L$618*EFEITO!$Z$618</f>
        <v>631140.10314467712</v>
      </c>
      <c r="L618" s="60">
        <f>EFEITO!$N$618*EFEITO!$AA$618</f>
        <v>2166463.0116163273</v>
      </c>
      <c r="M618" s="60">
        <f>$J$618-EFEITO!$K$618*EFEITO!$Y$618</f>
        <v>0</v>
      </c>
      <c r="N618" s="60">
        <f ca="1">$K$618-EFEITO!$M$618*EFEITO!$Z$618</f>
        <v>0</v>
      </c>
      <c r="O618" s="60">
        <f>$L$618-EFEITO!$O$618*EFEITO!$AA$618</f>
        <v>0</v>
      </c>
      <c r="P618" s="18"/>
      <c r="Q618" s="18"/>
      <c r="R618" s="18"/>
      <c r="S618" s="18"/>
      <c r="T618" s="18"/>
      <c r="U618" s="18"/>
      <c r="V618" s="18"/>
      <c r="W618" s="18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51" t="s">
        <v>28</v>
      </c>
      <c r="B619" s="51" t="s">
        <v>41</v>
      </c>
      <c r="C619" s="51" t="s">
        <v>42</v>
      </c>
      <c r="D619" s="51" t="s">
        <v>43</v>
      </c>
      <c r="E619" s="51" t="s">
        <v>25</v>
      </c>
      <c r="F619" s="51" t="s">
        <v>25</v>
      </c>
      <c r="G619" s="51" t="s">
        <v>25</v>
      </c>
      <c r="H619" s="51" t="s">
        <v>35</v>
      </c>
      <c r="I619" s="59">
        <v>44470</v>
      </c>
      <c r="J619" s="60">
        <f>EFEITO!$J$619*EFEITO!$Y$619</f>
        <v>0</v>
      </c>
      <c r="K619" s="60">
        <f ca="1">EFEITO!$L$619*EFEITO!$Z$619</f>
        <v>27908.851086033348</v>
      </c>
      <c r="L619" s="60">
        <f>EFEITO!$N$619*EFEITO!$AA$619</f>
        <v>95800.430480234078</v>
      </c>
      <c r="M619" s="60">
        <f>$J$619-EFEITO!$K$619*EFEITO!$Y$619</f>
        <v>0</v>
      </c>
      <c r="N619" s="60">
        <f ca="1">$K$619-EFEITO!$M$619*EFEITO!$Z$619</f>
        <v>0</v>
      </c>
      <c r="O619" s="60">
        <f>$L$619-EFEITO!$O$619*EFEITO!$AA$619</f>
        <v>0</v>
      </c>
      <c r="P619" s="18"/>
      <c r="Q619" s="18"/>
      <c r="R619" s="18"/>
      <c r="S619" s="18"/>
      <c r="T619" s="18"/>
      <c r="U619" s="18"/>
      <c r="V619" s="18"/>
      <c r="W619" s="18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51" t="s">
        <v>21</v>
      </c>
      <c r="B620" s="51" t="s">
        <v>41</v>
      </c>
      <c r="C620" s="51" t="s">
        <v>42</v>
      </c>
      <c r="D620" s="51" t="s">
        <v>43</v>
      </c>
      <c r="E620" s="51" t="s">
        <v>25</v>
      </c>
      <c r="F620" s="51" t="s">
        <v>25</v>
      </c>
      <c r="G620" s="51" t="s">
        <v>25</v>
      </c>
      <c r="H620" s="51" t="s">
        <v>35</v>
      </c>
      <c r="I620" s="59">
        <v>44470</v>
      </c>
      <c r="J620" s="60">
        <f>EFEITO!$J$620*EFEITO!$Y$620</f>
        <v>0</v>
      </c>
      <c r="K620" s="60">
        <f ca="1">EFEITO!$L$620*EFEITO!$Z$620</f>
        <v>19676.962805028583</v>
      </c>
      <c r="L620" s="60">
        <f>EFEITO!$N$620*EFEITO!$AA$620</f>
        <v>0</v>
      </c>
      <c r="M620" s="60">
        <f>$J$620-EFEITO!$K$620*EFEITO!$Y$620</f>
        <v>0</v>
      </c>
      <c r="N620" s="60">
        <f ca="1">$K$620-EFEITO!$M$620*EFEITO!$Z$620</f>
        <v>0</v>
      </c>
      <c r="O620" s="60">
        <f>$L$620-EFEITO!$O$620*EFEITO!$AA$620</f>
        <v>0</v>
      </c>
      <c r="P620" s="18"/>
      <c r="Q620" s="18"/>
      <c r="R620" s="18"/>
      <c r="S620" s="18"/>
      <c r="T620" s="18"/>
      <c r="U620" s="18"/>
      <c r="V620" s="18"/>
      <c r="W620" s="18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51" t="s">
        <v>21</v>
      </c>
      <c r="B621" s="51" t="s">
        <v>41</v>
      </c>
      <c r="C621" s="51" t="s">
        <v>42</v>
      </c>
      <c r="D621" s="51" t="s">
        <v>43</v>
      </c>
      <c r="E621" s="51" t="s">
        <v>25</v>
      </c>
      <c r="F621" s="51" t="s">
        <v>25</v>
      </c>
      <c r="G621" s="51" t="s">
        <v>25</v>
      </c>
      <c r="H621" s="51" t="s">
        <v>35</v>
      </c>
      <c r="I621" s="59">
        <v>44501</v>
      </c>
      <c r="J621" s="60">
        <f>EFEITO!$J$621*EFEITO!$Y$621</f>
        <v>0</v>
      </c>
      <c r="K621" s="60">
        <f ca="1">EFEITO!$L$621*EFEITO!$Z$621</f>
        <v>659542.81552164315</v>
      </c>
      <c r="L621" s="60">
        <f>EFEITO!$N$621*EFEITO!$AA$621</f>
        <v>2263958.6793574225</v>
      </c>
      <c r="M621" s="60">
        <f>$J$621-EFEITO!$K$621*EFEITO!$Y$621</f>
        <v>0</v>
      </c>
      <c r="N621" s="60">
        <f ca="1">$K$621-EFEITO!$M$621*EFEITO!$Z$621</f>
        <v>0</v>
      </c>
      <c r="O621" s="60">
        <f>$L$621-EFEITO!$O$621*EFEITO!$AA$621</f>
        <v>0</v>
      </c>
      <c r="P621" s="18"/>
      <c r="Q621" s="18"/>
      <c r="R621" s="18"/>
      <c r="S621" s="18"/>
      <c r="T621" s="18"/>
      <c r="U621" s="18"/>
      <c r="V621" s="18"/>
      <c r="W621" s="18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51" t="s">
        <v>28</v>
      </c>
      <c r="B622" s="51" t="s">
        <v>41</v>
      </c>
      <c r="C622" s="51" t="s">
        <v>42</v>
      </c>
      <c r="D622" s="51" t="s">
        <v>43</v>
      </c>
      <c r="E622" s="51" t="s">
        <v>25</v>
      </c>
      <c r="F622" s="51" t="s">
        <v>25</v>
      </c>
      <c r="G622" s="51" t="s">
        <v>25</v>
      </c>
      <c r="H622" s="51" t="s">
        <v>35</v>
      </c>
      <c r="I622" s="59">
        <v>44501</v>
      </c>
      <c r="J622" s="60">
        <f>EFEITO!$J$622*EFEITO!$Y$622</f>
        <v>0</v>
      </c>
      <c r="K622" s="60">
        <f ca="1">EFEITO!$L$622*EFEITO!$Z$622</f>
        <v>34607.994662864294</v>
      </c>
      <c r="L622" s="60">
        <f>EFEITO!$N$622*EFEITO!$AA$622</f>
        <v>118796.03271878239</v>
      </c>
      <c r="M622" s="60">
        <f>$J$622-EFEITO!$K$622*EFEITO!$Y$622</f>
        <v>0</v>
      </c>
      <c r="N622" s="60">
        <f ca="1">$K$622-EFEITO!$M$622*EFEITO!$Z$622</f>
        <v>0</v>
      </c>
      <c r="O622" s="60">
        <f>$L$622-EFEITO!$O$622*EFEITO!$AA$622</f>
        <v>0</v>
      </c>
      <c r="P622" s="18"/>
      <c r="Q622" s="18"/>
      <c r="R622" s="18"/>
      <c r="S622" s="18"/>
      <c r="T622" s="18"/>
      <c r="U622" s="18"/>
      <c r="V622" s="18"/>
      <c r="W622" s="18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51" t="s">
        <v>21</v>
      </c>
      <c r="B623" s="51" t="s">
        <v>41</v>
      </c>
      <c r="C623" s="51" t="s">
        <v>42</v>
      </c>
      <c r="D623" s="51" t="s">
        <v>43</v>
      </c>
      <c r="E623" s="51" t="s">
        <v>25</v>
      </c>
      <c r="F623" s="51" t="s">
        <v>25</v>
      </c>
      <c r="G623" s="51" t="s">
        <v>25</v>
      </c>
      <c r="H623" s="51" t="s">
        <v>35</v>
      </c>
      <c r="I623" s="59">
        <v>44501</v>
      </c>
      <c r="J623" s="60">
        <f>EFEITO!$J$623*EFEITO!$Y$623</f>
        <v>0</v>
      </c>
      <c r="K623" s="60">
        <f ca="1">EFEITO!$L$623*EFEITO!$Z$623</f>
        <v>20876.999586733931</v>
      </c>
      <c r="L623" s="60">
        <f>EFEITO!$N$623*EFEITO!$AA$623</f>
        <v>0</v>
      </c>
      <c r="M623" s="60">
        <f>$J$623-EFEITO!$K$623*EFEITO!$Y$623</f>
        <v>0</v>
      </c>
      <c r="N623" s="60">
        <f ca="1">$K$623-EFEITO!$M$623*EFEITO!$Z$623</f>
        <v>0</v>
      </c>
      <c r="O623" s="60">
        <f>$L$623-EFEITO!$O$623*EFEITO!$AA$623</f>
        <v>0</v>
      </c>
      <c r="P623" s="18"/>
      <c r="Q623" s="18"/>
      <c r="R623" s="18"/>
      <c r="S623" s="18"/>
      <c r="T623" s="18"/>
      <c r="U623" s="18"/>
      <c r="V623" s="18"/>
      <c r="W623" s="18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51" t="s">
        <v>21</v>
      </c>
      <c r="B624" s="51" t="s">
        <v>41</v>
      </c>
      <c r="C624" s="51" t="s">
        <v>42</v>
      </c>
      <c r="D624" s="51" t="s">
        <v>43</v>
      </c>
      <c r="E624" s="51" t="s">
        <v>25</v>
      </c>
      <c r="F624" s="51" t="s">
        <v>25</v>
      </c>
      <c r="G624" s="51" t="s">
        <v>25</v>
      </c>
      <c r="H624" s="51" t="s">
        <v>35</v>
      </c>
      <c r="I624" s="59">
        <v>44531</v>
      </c>
      <c r="J624" s="60">
        <f>EFEITO!$J$624*EFEITO!$Y$624</f>
        <v>0</v>
      </c>
      <c r="K624" s="60">
        <f ca="1">EFEITO!$L$624*EFEITO!$Z$624</f>
        <v>630685.31130693015</v>
      </c>
      <c r="L624" s="60">
        <f>EFEITO!$N$624*EFEITO!$AA$624</f>
        <v>2164901.8848719564</v>
      </c>
      <c r="M624" s="60">
        <f>$J$624-EFEITO!$K$624*EFEITO!$Y$624</f>
        <v>0</v>
      </c>
      <c r="N624" s="60">
        <f ca="1">$K$624-EFEITO!$M$624*EFEITO!$Z$624</f>
        <v>0</v>
      </c>
      <c r="O624" s="60">
        <f>$L$624-EFEITO!$O$624*EFEITO!$AA$624</f>
        <v>0</v>
      </c>
      <c r="P624" s="18"/>
      <c r="Q624" s="18"/>
      <c r="R624" s="18"/>
      <c r="S624" s="18"/>
      <c r="T624" s="18"/>
      <c r="U624" s="18"/>
      <c r="V624" s="18"/>
      <c r="W624" s="18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51" t="s">
        <v>28</v>
      </c>
      <c r="B625" s="51" t="s">
        <v>41</v>
      </c>
      <c r="C625" s="51" t="s">
        <v>42</v>
      </c>
      <c r="D625" s="51" t="s">
        <v>43</v>
      </c>
      <c r="E625" s="51" t="s">
        <v>25</v>
      </c>
      <c r="F625" s="51" t="s">
        <v>25</v>
      </c>
      <c r="G625" s="51" t="s">
        <v>25</v>
      </c>
      <c r="H625" s="51" t="s">
        <v>35</v>
      </c>
      <c r="I625" s="59">
        <v>44531</v>
      </c>
      <c r="J625" s="60">
        <f>EFEITO!$J$625*EFEITO!$Y$625</f>
        <v>0</v>
      </c>
      <c r="K625" s="60">
        <f ca="1">EFEITO!$L$625*EFEITO!$Z$625</f>
        <v>33665.322215870299</v>
      </c>
      <c r="L625" s="60">
        <f>EFEITO!$N$625*EFEITO!$AA$625</f>
        <v>115560.1981104178</v>
      </c>
      <c r="M625" s="60">
        <f>$J$625-EFEITO!$K$625*EFEITO!$Y$625</f>
        <v>0</v>
      </c>
      <c r="N625" s="60">
        <f ca="1">$K$625-EFEITO!$M$625*EFEITO!$Z$625</f>
        <v>0</v>
      </c>
      <c r="O625" s="60">
        <f>$L$625-EFEITO!$O$625*EFEITO!$AA$625</f>
        <v>0</v>
      </c>
      <c r="P625" s="18"/>
      <c r="Q625" s="18"/>
      <c r="R625" s="18"/>
      <c r="S625" s="18"/>
      <c r="T625" s="18"/>
      <c r="U625" s="18"/>
      <c r="V625" s="18"/>
      <c r="W625" s="18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51" t="s">
        <v>28</v>
      </c>
      <c r="B626" s="51" t="s">
        <v>41</v>
      </c>
      <c r="C626" s="51" t="s">
        <v>42</v>
      </c>
      <c r="D626" s="51" t="s">
        <v>43</v>
      </c>
      <c r="E626" s="51" t="s">
        <v>25</v>
      </c>
      <c r="F626" s="51" t="s">
        <v>25</v>
      </c>
      <c r="G626" s="51" t="s">
        <v>25</v>
      </c>
      <c r="H626" s="51" t="s">
        <v>35</v>
      </c>
      <c r="I626" s="59">
        <v>44531</v>
      </c>
      <c r="J626" s="60">
        <f>EFEITO!$J$626*EFEITO!$Y$626</f>
        <v>0</v>
      </c>
      <c r="K626" s="60">
        <f ca="1">EFEITO!$L$626*EFEITO!$Z$626</f>
        <v>-7582.6592810648235</v>
      </c>
      <c r="L626" s="60">
        <f>EFEITO!$N$626*EFEITO!$AA$626</f>
        <v>-26028.374334423304</v>
      </c>
      <c r="M626" s="60">
        <f>$J$626-EFEITO!$K$626*EFEITO!$Y$626</f>
        <v>0</v>
      </c>
      <c r="N626" s="60">
        <f ca="1">$K$626-EFEITO!$M$626*EFEITO!$Z$626</f>
        <v>0</v>
      </c>
      <c r="O626" s="60">
        <f>$L$626-EFEITO!$O$626*EFEITO!$AA$626</f>
        <v>0</v>
      </c>
      <c r="P626" s="18"/>
      <c r="Q626" s="18"/>
      <c r="R626" s="18"/>
      <c r="S626" s="18"/>
      <c r="T626" s="18"/>
      <c r="U626" s="18"/>
      <c r="V626" s="18"/>
      <c r="W626" s="18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51" t="s">
        <v>21</v>
      </c>
      <c r="B627" s="51" t="s">
        <v>41</v>
      </c>
      <c r="C627" s="51" t="s">
        <v>42</v>
      </c>
      <c r="D627" s="51" t="s">
        <v>43</v>
      </c>
      <c r="E627" s="51" t="s">
        <v>25</v>
      </c>
      <c r="F627" s="51" t="s">
        <v>25</v>
      </c>
      <c r="G627" s="51" t="s">
        <v>25</v>
      </c>
      <c r="H627" s="51" t="s">
        <v>35</v>
      </c>
      <c r="I627" s="59">
        <v>44531</v>
      </c>
      <c r="J627" s="60">
        <f>EFEITO!$J$627*EFEITO!$Y$627</f>
        <v>0</v>
      </c>
      <c r="K627" s="60">
        <f ca="1">EFEITO!$L$627*EFEITO!$Z$627</f>
        <v>24073.933977346365</v>
      </c>
      <c r="L627" s="60">
        <f>EFEITO!$N$627*EFEITO!$AA$627</f>
        <v>0</v>
      </c>
      <c r="M627" s="60">
        <f>$J$627-EFEITO!$K$627*EFEITO!$Y$627</f>
        <v>0</v>
      </c>
      <c r="N627" s="60">
        <f ca="1">$K$627-EFEITO!$M$627*EFEITO!$Z$627</f>
        <v>0</v>
      </c>
      <c r="O627" s="60">
        <f>$L$627-EFEITO!$O$627*EFEITO!$AA$627</f>
        <v>0</v>
      </c>
      <c r="P627" s="18"/>
      <c r="Q627" s="18"/>
      <c r="R627" s="18"/>
      <c r="S627" s="18"/>
      <c r="T627" s="18"/>
      <c r="U627" s="18"/>
      <c r="V627" s="18"/>
      <c r="W627" s="18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51" t="s">
        <v>21</v>
      </c>
      <c r="B628" s="51" t="s">
        <v>41</v>
      </c>
      <c r="C628" s="51" t="s">
        <v>42</v>
      </c>
      <c r="D628" s="51" t="s">
        <v>43</v>
      </c>
      <c r="E628" s="51" t="s">
        <v>25</v>
      </c>
      <c r="F628" s="51" t="s">
        <v>25</v>
      </c>
      <c r="G628" s="51" t="s">
        <v>25</v>
      </c>
      <c r="H628" s="51" t="s">
        <v>35</v>
      </c>
      <c r="I628" s="59">
        <v>44562</v>
      </c>
      <c r="J628" s="60">
        <f>EFEITO!$J$628*EFEITO!$Y$628</f>
        <v>0</v>
      </c>
      <c r="K628" s="60">
        <f ca="1">EFEITO!$L$628*EFEITO!$Z$628</f>
        <v>615582.52987286111</v>
      </c>
      <c r="L628" s="60">
        <f>EFEITO!$N$628*EFEITO!$AA$628</f>
        <v>2113059.8022877416</v>
      </c>
      <c r="M628" s="60">
        <f>$J$628-EFEITO!$K$628*EFEITO!$Y$628</f>
        <v>0</v>
      </c>
      <c r="N628" s="60">
        <f ca="1">$K$628-EFEITO!$M$628*EFEITO!$Z$628</f>
        <v>0</v>
      </c>
      <c r="O628" s="60">
        <f>$L$628-EFEITO!$O$628*EFEITO!$AA$628</f>
        <v>0</v>
      </c>
      <c r="P628" s="18"/>
      <c r="Q628" s="18"/>
      <c r="R628" s="18"/>
      <c r="S628" s="18"/>
      <c r="T628" s="18"/>
      <c r="U628" s="18"/>
      <c r="V628" s="18"/>
      <c r="W628" s="18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51" t="s">
        <v>28</v>
      </c>
      <c r="B629" s="51" t="s">
        <v>41</v>
      </c>
      <c r="C629" s="51" t="s">
        <v>42</v>
      </c>
      <c r="D629" s="51" t="s">
        <v>43</v>
      </c>
      <c r="E629" s="51" t="s">
        <v>25</v>
      </c>
      <c r="F629" s="51" t="s">
        <v>25</v>
      </c>
      <c r="G629" s="51" t="s">
        <v>25</v>
      </c>
      <c r="H629" s="51" t="s">
        <v>35</v>
      </c>
      <c r="I629" s="59">
        <v>44562</v>
      </c>
      <c r="J629" s="60">
        <f>EFEITO!$J$629*EFEITO!$Y$629</f>
        <v>0</v>
      </c>
      <c r="K629" s="60">
        <f ca="1">EFEITO!$L$629*EFEITO!$Z$629</f>
        <v>39231.126613272696</v>
      </c>
      <c r="L629" s="60">
        <f>EFEITO!$N$629*EFEITO!$AA$629</f>
        <v>134665.47964265422</v>
      </c>
      <c r="M629" s="60">
        <f>$J$629-EFEITO!$K$629*EFEITO!$Y$629</f>
        <v>0</v>
      </c>
      <c r="N629" s="60">
        <f ca="1">$K$629-EFEITO!$M$629*EFEITO!$Z$629</f>
        <v>0</v>
      </c>
      <c r="O629" s="60">
        <f>$L$629-EFEITO!$O$629*EFEITO!$AA$629</f>
        <v>0</v>
      </c>
      <c r="P629" s="18"/>
      <c r="Q629" s="18"/>
      <c r="R629" s="18"/>
      <c r="S629" s="18"/>
      <c r="T629" s="18"/>
      <c r="U629" s="18"/>
      <c r="V629" s="18"/>
      <c r="W629" s="18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51" t="s">
        <v>28</v>
      </c>
      <c r="B630" s="51" t="s">
        <v>41</v>
      </c>
      <c r="C630" s="51" t="s">
        <v>42</v>
      </c>
      <c r="D630" s="51" t="s">
        <v>43</v>
      </c>
      <c r="E630" s="51" t="s">
        <v>25</v>
      </c>
      <c r="F630" s="51" t="s">
        <v>25</v>
      </c>
      <c r="G630" s="51" t="s">
        <v>25</v>
      </c>
      <c r="H630" s="51" t="s">
        <v>35</v>
      </c>
      <c r="I630" s="59">
        <v>44562</v>
      </c>
      <c r="J630" s="60">
        <f>EFEITO!$J$630*EFEITO!$Y$630</f>
        <v>0</v>
      </c>
      <c r="K630" s="60">
        <f ca="1">EFEITO!$L$630*EFEITO!$Z$630</f>
        <v>639.28286626708393</v>
      </c>
      <c r="L630" s="60">
        <f>EFEITO!$N$630*EFEITO!$AA$630</f>
        <v>2194.4140085964759</v>
      </c>
      <c r="M630" s="60">
        <f>$J$630-EFEITO!$K$630*EFEITO!$Y$630</f>
        <v>0</v>
      </c>
      <c r="N630" s="60">
        <f ca="1">$K$630-EFEITO!$M$630*EFEITO!$Z$630</f>
        <v>0</v>
      </c>
      <c r="O630" s="60">
        <f>$L$630-EFEITO!$O$630*EFEITO!$AA$630</f>
        <v>0</v>
      </c>
      <c r="P630" s="18"/>
      <c r="Q630" s="18"/>
      <c r="R630" s="18"/>
      <c r="S630" s="18"/>
      <c r="T630" s="18"/>
      <c r="U630" s="18"/>
      <c r="V630" s="18"/>
      <c r="W630" s="18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51" t="s">
        <v>21</v>
      </c>
      <c r="B631" s="51" t="s">
        <v>41</v>
      </c>
      <c r="C631" s="51" t="s">
        <v>42</v>
      </c>
      <c r="D631" s="51" t="s">
        <v>43</v>
      </c>
      <c r="E631" s="51" t="s">
        <v>25</v>
      </c>
      <c r="F631" s="51" t="s">
        <v>25</v>
      </c>
      <c r="G631" s="51" t="s">
        <v>25</v>
      </c>
      <c r="H631" s="51" t="s">
        <v>35</v>
      </c>
      <c r="I631" s="59">
        <v>44562</v>
      </c>
      <c r="J631" s="60">
        <f>EFEITO!$J$631*EFEITO!$Y$631</f>
        <v>0</v>
      </c>
      <c r="K631" s="60">
        <f ca="1">EFEITO!$L$631*EFEITO!$Z$631</f>
        <v>18180.037183558976</v>
      </c>
      <c r="L631" s="60">
        <f>EFEITO!$N$631*EFEITO!$AA$631</f>
        <v>0</v>
      </c>
      <c r="M631" s="60">
        <f>$J$631-EFEITO!$K$631*EFEITO!$Y$631</f>
        <v>0</v>
      </c>
      <c r="N631" s="60">
        <f ca="1">$K$631-EFEITO!$M$631*EFEITO!$Z$631</f>
        <v>0</v>
      </c>
      <c r="O631" s="60">
        <f>$L$631-EFEITO!$O$631*EFEITO!$AA$631</f>
        <v>0</v>
      </c>
      <c r="P631" s="18"/>
      <c r="Q631" s="18"/>
      <c r="R631" s="18"/>
      <c r="S631" s="18"/>
      <c r="T631" s="18"/>
      <c r="U631" s="18"/>
      <c r="V631" s="18"/>
      <c r="W631" s="18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51" t="s">
        <v>21</v>
      </c>
      <c r="B632" s="51" t="s">
        <v>41</v>
      </c>
      <c r="C632" s="51" t="s">
        <v>42</v>
      </c>
      <c r="D632" s="51" t="s">
        <v>43</v>
      </c>
      <c r="E632" s="51" t="s">
        <v>25</v>
      </c>
      <c r="F632" s="51" t="s">
        <v>25</v>
      </c>
      <c r="G632" s="51" t="s">
        <v>25</v>
      </c>
      <c r="H632" s="51" t="s">
        <v>35</v>
      </c>
      <c r="I632" s="59">
        <v>44593</v>
      </c>
      <c r="J632" s="60">
        <f>EFEITO!$J$632*EFEITO!$Y$632</f>
        <v>0</v>
      </c>
      <c r="K632" s="60">
        <f ca="1">EFEITO!$L$632*EFEITO!$Z$632</f>
        <v>591516.26676985063</v>
      </c>
      <c r="L632" s="60">
        <f>EFEITO!$N$632*EFEITO!$AA$632</f>
        <v>2030449.5092946072</v>
      </c>
      <c r="M632" s="60">
        <f>$J$632-EFEITO!$K$632*EFEITO!$Y$632</f>
        <v>0</v>
      </c>
      <c r="N632" s="60">
        <f ca="1">$K$632-EFEITO!$M$632*EFEITO!$Z$632</f>
        <v>0</v>
      </c>
      <c r="O632" s="60">
        <f>$L$632-EFEITO!$O$632*EFEITO!$AA$632</f>
        <v>0</v>
      </c>
      <c r="P632" s="18"/>
      <c r="Q632" s="18"/>
      <c r="R632" s="18"/>
      <c r="S632" s="18"/>
      <c r="T632" s="18"/>
      <c r="U632" s="18"/>
      <c r="V632" s="18"/>
      <c r="W632" s="18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51" t="s">
        <v>27</v>
      </c>
      <c r="B633" s="51" t="s">
        <v>41</v>
      </c>
      <c r="C633" s="51" t="s">
        <v>42</v>
      </c>
      <c r="D633" s="51" t="s">
        <v>43</v>
      </c>
      <c r="E633" s="51" t="s">
        <v>25</v>
      </c>
      <c r="F633" s="51" t="s">
        <v>25</v>
      </c>
      <c r="G633" s="51" t="s">
        <v>25</v>
      </c>
      <c r="H633" s="51" t="s">
        <v>35</v>
      </c>
      <c r="I633" s="59">
        <v>44593</v>
      </c>
      <c r="J633" s="60">
        <f>EFEITO!$J$633*EFEITO!$Y$633</f>
        <v>0</v>
      </c>
      <c r="K633" s="60">
        <f ca="1">EFEITO!$L$633*EFEITO!$Z$633</f>
        <v>-2334.4810870975443</v>
      </c>
      <c r="L633" s="60">
        <f>EFEITO!$N$633*EFEITO!$AA$633</f>
        <v>-8013.3822923233738</v>
      </c>
      <c r="M633" s="60">
        <f>$J$633-EFEITO!$K$633*EFEITO!$Y$633</f>
        <v>0</v>
      </c>
      <c r="N633" s="60">
        <f ca="1">$K$633-EFEITO!$M$633*EFEITO!$Z$633</f>
        <v>0</v>
      </c>
      <c r="O633" s="60">
        <f>$L$633-EFEITO!$O$633*EFEITO!$AA$633</f>
        <v>0</v>
      </c>
      <c r="P633" s="18"/>
      <c r="Q633" s="18"/>
      <c r="R633" s="18"/>
      <c r="S633" s="18"/>
      <c r="T633" s="18"/>
      <c r="U633" s="18"/>
      <c r="V633" s="18"/>
      <c r="W633" s="18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51" t="s">
        <v>28</v>
      </c>
      <c r="B634" s="51" t="s">
        <v>41</v>
      </c>
      <c r="C634" s="51" t="s">
        <v>42</v>
      </c>
      <c r="D634" s="51" t="s">
        <v>43</v>
      </c>
      <c r="E634" s="51" t="s">
        <v>25</v>
      </c>
      <c r="F634" s="51" t="s">
        <v>25</v>
      </c>
      <c r="G634" s="51" t="s">
        <v>25</v>
      </c>
      <c r="H634" s="51" t="s">
        <v>35</v>
      </c>
      <c r="I634" s="59">
        <v>44593</v>
      </c>
      <c r="J634" s="60">
        <f>EFEITO!$J$634*EFEITO!$Y$634</f>
        <v>0</v>
      </c>
      <c r="K634" s="60">
        <f ca="1">EFEITO!$L$634*EFEITO!$Z$634</f>
        <v>34369.742506583141</v>
      </c>
      <c r="L634" s="60">
        <f>EFEITO!$N$634*EFEITO!$AA$634</f>
        <v>117978.20402837096</v>
      </c>
      <c r="M634" s="60">
        <f>$J$634-EFEITO!$K$634*EFEITO!$Y$634</f>
        <v>0</v>
      </c>
      <c r="N634" s="60">
        <f ca="1">$K$634-EFEITO!$M$634*EFEITO!$Z$634</f>
        <v>0</v>
      </c>
      <c r="O634" s="60">
        <f>$L$634-EFEITO!$O$634*EFEITO!$AA$634</f>
        <v>0</v>
      </c>
      <c r="P634" s="18"/>
      <c r="Q634" s="18"/>
      <c r="R634" s="18"/>
      <c r="S634" s="18"/>
      <c r="T634" s="18"/>
      <c r="U634" s="18"/>
      <c r="V634" s="18"/>
      <c r="W634" s="18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51" t="s">
        <v>28</v>
      </c>
      <c r="B635" s="51" t="s">
        <v>41</v>
      </c>
      <c r="C635" s="51" t="s">
        <v>42</v>
      </c>
      <c r="D635" s="51" t="s">
        <v>43</v>
      </c>
      <c r="E635" s="51" t="s">
        <v>25</v>
      </c>
      <c r="F635" s="51" t="s">
        <v>25</v>
      </c>
      <c r="G635" s="51" t="s">
        <v>25</v>
      </c>
      <c r="H635" s="51" t="s">
        <v>35</v>
      </c>
      <c r="I635" s="59">
        <v>44593</v>
      </c>
      <c r="J635" s="60">
        <f>EFEITO!$J$635*EFEITO!$Y$635</f>
        <v>0</v>
      </c>
      <c r="K635" s="60">
        <f ca="1">EFEITO!$L$635*EFEITO!$Z$635</f>
        <v>562.70413772705706</v>
      </c>
      <c r="L635" s="60">
        <f>EFEITO!$N$635*EFEITO!$AA$635</f>
        <v>1931.5484704505898</v>
      </c>
      <c r="M635" s="60">
        <f>$J$635-EFEITO!$K$635*EFEITO!$Y$635</f>
        <v>0</v>
      </c>
      <c r="N635" s="60">
        <f ca="1">$K$635-EFEITO!$M$635*EFEITO!$Z$635</f>
        <v>0</v>
      </c>
      <c r="O635" s="60">
        <f>$L$635-EFEITO!$O$635*EFEITO!$AA$635</f>
        <v>0</v>
      </c>
      <c r="P635" s="18"/>
      <c r="Q635" s="18"/>
      <c r="R635" s="18"/>
      <c r="S635" s="18"/>
      <c r="T635" s="18"/>
      <c r="U635" s="18"/>
      <c r="V635" s="18"/>
      <c r="W635" s="18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51" t="s">
        <v>21</v>
      </c>
      <c r="B636" s="51" t="s">
        <v>41</v>
      </c>
      <c r="C636" s="51" t="s">
        <v>42</v>
      </c>
      <c r="D636" s="51" t="s">
        <v>43</v>
      </c>
      <c r="E636" s="51" t="s">
        <v>25</v>
      </c>
      <c r="F636" s="51" t="s">
        <v>25</v>
      </c>
      <c r="G636" s="51" t="s">
        <v>25</v>
      </c>
      <c r="H636" s="51" t="s">
        <v>35</v>
      </c>
      <c r="I636" s="59">
        <v>44593</v>
      </c>
      <c r="J636" s="60">
        <f>EFEITO!$J$636*EFEITO!$Y$636</f>
        <v>0</v>
      </c>
      <c r="K636" s="60">
        <f ca="1">EFEITO!$L$636*EFEITO!$Z$636</f>
        <v>19278.402376608461</v>
      </c>
      <c r="L636" s="60">
        <f>EFEITO!$N$636*EFEITO!$AA$636</f>
        <v>0</v>
      </c>
      <c r="M636" s="60">
        <f>$J$636-EFEITO!$K$636*EFEITO!$Y$636</f>
        <v>0</v>
      </c>
      <c r="N636" s="60">
        <f ca="1">$K$636-EFEITO!$M$636*EFEITO!$Z$636</f>
        <v>0</v>
      </c>
      <c r="O636" s="60">
        <f>$L$636-EFEITO!$O$636*EFEITO!$AA$636</f>
        <v>0</v>
      </c>
      <c r="P636" s="18"/>
      <c r="Q636" s="18"/>
      <c r="R636" s="18"/>
      <c r="S636" s="18"/>
      <c r="T636" s="18"/>
      <c r="U636" s="18"/>
      <c r="V636" s="18"/>
      <c r="W636" s="18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51" t="s">
        <v>27</v>
      </c>
      <c r="B637" s="51" t="s">
        <v>41</v>
      </c>
      <c r="C637" s="51" t="s">
        <v>42</v>
      </c>
      <c r="D637" s="51" t="s">
        <v>43</v>
      </c>
      <c r="E637" s="51" t="s">
        <v>25</v>
      </c>
      <c r="F637" s="51" t="s">
        <v>25</v>
      </c>
      <c r="G637" s="51" t="s">
        <v>25</v>
      </c>
      <c r="H637" s="51" t="s">
        <v>35</v>
      </c>
      <c r="I637" s="59">
        <v>44593</v>
      </c>
      <c r="J637" s="60">
        <f>EFEITO!$J$637*EFEITO!$Y$637</f>
        <v>0</v>
      </c>
      <c r="K637" s="60">
        <f ca="1">EFEITO!$L$637*EFEITO!$Z$637</f>
        <v>296.43378789687841</v>
      </c>
      <c r="L637" s="60">
        <f>EFEITO!$N$637*EFEITO!$AA$637</f>
        <v>0</v>
      </c>
      <c r="M637" s="60">
        <f>$J$637-EFEITO!$K$637*EFEITO!$Y$637</f>
        <v>0</v>
      </c>
      <c r="N637" s="60">
        <f ca="1">$K$637-EFEITO!$M$637*EFEITO!$Z$637</f>
        <v>0</v>
      </c>
      <c r="O637" s="60">
        <f>$L$637-EFEITO!$O$637*EFEITO!$AA$637</f>
        <v>0</v>
      </c>
      <c r="P637" s="18"/>
      <c r="Q637" s="18"/>
      <c r="R637" s="18"/>
      <c r="S637" s="18"/>
      <c r="T637" s="18"/>
      <c r="U637" s="18"/>
      <c r="V637" s="18"/>
      <c r="W637" s="18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51" t="s">
        <v>56</v>
      </c>
      <c r="B638" s="51" t="s">
        <v>41</v>
      </c>
      <c r="C638" s="51" t="s">
        <v>42</v>
      </c>
      <c r="D638" s="51" t="s">
        <v>43</v>
      </c>
      <c r="E638" s="51" t="s">
        <v>25</v>
      </c>
      <c r="F638" s="51" t="s">
        <v>25</v>
      </c>
      <c r="G638" s="51" t="s">
        <v>25</v>
      </c>
      <c r="H638" s="51" t="s">
        <v>35</v>
      </c>
      <c r="I638" s="59">
        <v>44621</v>
      </c>
      <c r="J638" s="60">
        <f>EFEITO!$J$638*EFEITO!$Y$638</f>
        <v>0</v>
      </c>
      <c r="K638" s="60">
        <f ca="1">EFEITO!$L$638*EFEITO!$Z$638</f>
        <v>591516.26676985063</v>
      </c>
      <c r="L638" s="60">
        <f>EFEITO!$N$638*EFEITO!$AA$638</f>
        <v>2030449.5092946072</v>
      </c>
      <c r="M638" s="60">
        <f>$J$638-EFEITO!$K$638*EFEITO!$Y$638</f>
        <v>0</v>
      </c>
      <c r="N638" s="60">
        <f ca="1">$K$638-EFEITO!$M$638*EFEITO!$Z$638</f>
        <v>0</v>
      </c>
      <c r="O638" s="60">
        <f>$L$638-EFEITO!$O$638*EFEITO!$AA$638</f>
        <v>0</v>
      </c>
      <c r="P638" s="18"/>
      <c r="Q638" s="18"/>
      <c r="R638" s="18"/>
      <c r="S638" s="18"/>
      <c r="T638" s="18"/>
      <c r="U638" s="18"/>
      <c r="V638" s="18"/>
      <c r="W638" s="18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51" t="s">
        <v>56</v>
      </c>
      <c r="B639" s="51" t="s">
        <v>41</v>
      </c>
      <c r="C639" s="51" t="s">
        <v>42</v>
      </c>
      <c r="D639" s="51" t="s">
        <v>43</v>
      </c>
      <c r="E639" s="51" t="s">
        <v>25</v>
      </c>
      <c r="F639" s="51" t="s">
        <v>25</v>
      </c>
      <c r="G639" s="51" t="s">
        <v>25</v>
      </c>
      <c r="H639" s="51" t="s">
        <v>35</v>
      </c>
      <c r="I639" s="59">
        <v>44621</v>
      </c>
      <c r="J639" s="60">
        <f>EFEITO!$J$639*EFEITO!$Y$639</f>
        <v>0</v>
      </c>
      <c r="K639" s="60">
        <f ca="1">EFEITO!$L$639*EFEITO!$Z$639</f>
        <v>-2334.4810870975443</v>
      </c>
      <c r="L639" s="60">
        <f>EFEITO!$N$639*EFEITO!$AA$639</f>
        <v>-8013.3822923233738</v>
      </c>
      <c r="M639" s="60">
        <f>$J$639-EFEITO!$K$639*EFEITO!$Y$639</f>
        <v>0</v>
      </c>
      <c r="N639" s="60">
        <f ca="1">$K$639-EFEITO!$M$639*EFEITO!$Z$639</f>
        <v>0</v>
      </c>
      <c r="O639" s="60">
        <f>$L$639-EFEITO!$O$639*EFEITO!$AA$639</f>
        <v>0</v>
      </c>
      <c r="P639" s="18"/>
      <c r="Q639" s="18"/>
      <c r="R639" s="18"/>
      <c r="S639" s="18"/>
      <c r="T639" s="18"/>
      <c r="U639" s="18"/>
      <c r="V639" s="18"/>
      <c r="W639" s="18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51" t="s">
        <v>56</v>
      </c>
      <c r="B640" s="51" t="s">
        <v>41</v>
      </c>
      <c r="C640" s="51" t="s">
        <v>42</v>
      </c>
      <c r="D640" s="51" t="s">
        <v>43</v>
      </c>
      <c r="E640" s="51" t="s">
        <v>25</v>
      </c>
      <c r="F640" s="51" t="s">
        <v>25</v>
      </c>
      <c r="G640" s="51" t="s">
        <v>25</v>
      </c>
      <c r="H640" s="51" t="s">
        <v>35</v>
      </c>
      <c r="I640" s="59">
        <v>44621</v>
      </c>
      <c r="J640" s="60">
        <f>EFEITO!$J$640*EFEITO!$Y$640</f>
        <v>0</v>
      </c>
      <c r="K640" s="60">
        <f ca="1">EFEITO!$L$640*EFEITO!$Z$640</f>
        <v>34369.742506583141</v>
      </c>
      <c r="L640" s="60">
        <f>EFEITO!$N$640*EFEITO!$AA$640</f>
        <v>117978.20402837096</v>
      </c>
      <c r="M640" s="60">
        <f>$J$640-EFEITO!$K$640*EFEITO!$Y$640</f>
        <v>0</v>
      </c>
      <c r="N640" s="60">
        <f ca="1">$K$640-EFEITO!$M$640*EFEITO!$Z$640</f>
        <v>0</v>
      </c>
      <c r="O640" s="60">
        <f>$L$640-EFEITO!$O$640*EFEITO!$AA$640</f>
        <v>0</v>
      </c>
      <c r="P640" s="18"/>
      <c r="Q640" s="18"/>
      <c r="R640" s="18"/>
      <c r="S640" s="18"/>
      <c r="T640" s="18"/>
      <c r="U640" s="18"/>
      <c r="V640" s="18"/>
      <c r="W640" s="18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51" t="s">
        <v>56</v>
      </c>
      <c r="B641" s="51" t="s">
        <v>41</v>
      </c>
      <c r="C641" s="51" t="s">
        <v>42</v>
      </c>
      <c r="D641" s="51" t="s">
        <v>43</v>
      </c>
      <c r="E641" s="51" t="s">
        <v>25</v>
      </c>
      <c r="F641" s="51" t="s">
        <v>25</v>
      </c>
      <c r="G641" s="51" t="s">
        <v>25</v>
      </c>
      <c r="H641" s="51" t="s">
        <v>35</v>
      </c>
      <c r="I641" s="59">
        <v>44621</v>
      </c>
      <c r="J641" s="60">
        <f>EFEITO!$J$641*EFEITO!$Y$641</f>
        <v>0</v>
      </c>
      <c r="K641" s="60">
        <f ca="1">EFEITO!$L$641*EFEITO!$Z$641</f>
        <v>562.70413772705706</v>
      </c>
      <c r="L641" s="60">
        <f>EFEITO!$N$641*EFEITO!$AA$641</f>
        <v>1931.5484704505898</v>
      </c>
      <c r="M641" s="60">
        <f>$J$641-EFEITO!$K$641*EFEITO!$Y$641</f>
        <v>0</v>
      </c>
      <c r="N641" s="60">
        <f ca="1">$K$641-EFEITO!$M$641*EFEITO!$Z$641</f>
        <v>0</v>
      </c>
      <c r="O641" s="60">
        <f>$L$641-EFEITO!$O$641*EFEITO!$AA$641</f>
        <v>0</v>
      </c>
      <c r="P641" s="18"/>
      <c r="Q641" s="18"/>
      <c r="R641" s="18"/>
      <c r="S641" s="18"/>
      <c r="T641" s="18"/>
      <c r="U641" s="18"/>
      <c r="V641" s="18"/>
      <c r="W641" s="18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51" t="s">
        <v>56</v>
      </c>
      <c r="B642" s="51" t="s">
        <v>41</v>
      </c>
      <c r="C642" s="51" t="s">
        <v>42</v>
      </c>
      <c r="D642" s="51" t="s">
        <v>43</v>
      </c>
      <c r="E642" s="51" t="s">
        <v>25</v>
      </c>
      <c r="F642" s="51" t="s">
        <v>25</v>
      </c>
      <c r="G642" s="51" t="s">
        <v>25</v>
      </c>
      <c r="H642" s="51" t="s">
        <v>35</v>
      </c>
      <c r="I642" s="59">
        <v>44621</v>
      </c>
      <c r="J642" s="60">
        <f>EFEITO!$J$642*EFEITO!$Y$642</f>
        <v>0</v>
      </c>
      <c r="K642" s="60">
        <f ca="1">EFEITO!$L$642*EFEITO!$Z$642</f>
        <v>19278.402376608461</v>
      </c>
      <c r="L642" s="60">
        <f>EFEITO!$N$642*EFEITO!$AA$642</f>
        <v>0</v>
      </c>
      <c r="M642" s="60">
        <f>$J$642-EFEITO!$K$642*EFEITO!$Y$642</f>
        <v>0</v>
      </c>
      <c r="N642" s="60">
        <f ca="1">$K$642-EFEITO!$M$642*EFEITO!$Z$642</f>
        <v>0</v>
      </c>
      <c r="O642" s="60">
        <f>$L$642-EFEITO!$O$642*EFEITO!$AA$642</f>
        <v>0</v>
      </c>
      <c r="P642" s="18"/>
      <c r="Q642" s="18"/>
      <c r="R642" s="18"/>
      <c r="S642" s="18"/>
      <c r="T642" s="18"/>
      <c r="U642" s="18"/>
      <c r="V642" s="18"/>
      <c r="W642" s="18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51" t="s">
        <v>56</v>
      </c>
      <c r="B643" s="51" t="s">
        <v>41</v>
      </c>
      <c r="C643" s="51" t="s">
        <v>42</v>
      </c>
      <c r="D643" s="51" t="s">
        <v>43</v>
      </c>
      <c r="E643" s="51" t="s">
        <v>25</v>
      </c>
      <c r="F643" s="51" t="s">
        <v>25</v>
      </c>
      <c r="G643" s="51" t="s">
        <v>25</v>
      </c>
      <c r="H643" s="51" t="s">
        <v>35</v>
      </c>
      <c r="I643" s="59">
        <v>44621</v>
      </c>
      <c r="J643" s="60">
        <f>EFEITO!$J$643*EFEITO!$Y$643</f>
        <v>0</v>
      </c>
      <c r="K643" s="60">
        <f ca="1">EFEITO!$L$643*EFEITO!$Z$643</f>
        <v>296.43378789687841</v>
      </c>
      <c r="L643" s="60">
        <f>EFEITO!$N$643*EFEITO!$AA$643</f>
        <v>0</v>
      </c>
      <c r="M643" s="60">
        <f>$J$643-EFEITO!$K$643*EFEITO!$Y$643</f>
        <v>0</v>
      </c>
      <c r="N643" s="60">
        <f ca="1">$K$643-EFEITO!$M$643*EFEITO!$Z$643</f>
        <v>0</v>
      </c>
      <c r="O643" s="60">
        <f>$L$643-EFEITO!$O$643*EFEITO!$AA$643</f>
        <v>0</v>
      </c>
      <c r="P643" s="18"/>
      <c r="Q643" s="18"/>
      <c r="R643" s="18"/>
      <c r="S643" s="18"/>
      <c r="T643" s="18"/>
      <c r="U643" s="18"/>
      <c r="V643" s="18"/>
      <c r="W643" s="18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51" t="s">
        <v>21</v>
      </c>
      <c r="B644" s="51" t="s">
        <v>41</v>
      </c>
      <c r="C644" s="51" t="s">
        <v>42</v>
      </c>
      <c r="D644" s="51" t="s">
        <v>43</v>
      </c>
      <c r="E644" s="51" t="s">
        <v>25</v>
      </c>
      <c r="F644" s="51" t="s">
        <v>25</v>
      </c>
      <c r="G644" s="51" t="s">
        <v>25</v>
      </c>
      <c r="H644" s="51" t="s">
        <v>25</v>
      </c>
      <c r="I644" s="59">
        <v>44287</v>
      </c>
      <c r="J644" s="60">
        <f ca="1">EFEITO!$J$644*EFEITO!$Y$644</f>
        <v>1345676.3905974841</v>
      </c>
      <c r="K644" s="60">
        <f>EFEITO!$L$644*EFEITO!$Z$644</f>
        <v>0</v>
      </c>
      <c r="L644" s="60">
        <f>EFEITO!$N$644*EFEITO!$AA$644</f>
        <v>0</v>
      </c>
      <c r="M644" s="60">
        <f ca="1">$J$644-EFEITO!$K$644*EFEITO!$Y$644</f>
        <v>0</v>
      </c>
      <c r="N644" s="60">
        <f>$K$644-EFEITO!$M$644*EFEITO!$Z$644</f>
        <v>0</v>
      </c>
      <c r="O644" s="60">
        <f>$L$644-EFEITO!$O$644*EFEITO!$AA$644</f>
        <v>0</v>
      </c>
      <c r="P644" s="18"/>
      <c r="Q644" s="18"/>
      <c r="R644" s="18"/>
      <c r="S644" s="18"/>
      <c r="T644" s="18"/>
      <c r="U644" s="18"/>
      <c r="V644" s="18"/>
      <c r="W644" s="18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51" t="s">
        <v>27</v>
      </c>
      <c r="B645" s="51" t="s">
        <v>41</v>
      </c>
      <c r="C645" s="51" t="s">
        <v>42</v>
      </c>
      <c r="D645" s="51" t="s">
        <v>43</v>
      </c>
      <c r="E645" s="51" t="s">
        <v>25</v>
      </c>
      <c r="F645" s="51" t="s">
        <v>25</v>
      </c>
      <c r="G645" s="51" t="s">
        <v>25</v>
      </c>
      <c r="H645" s="51" t="s">
        <v>25</v>
      </c>
      <c r="I645" s="59">
        <v>44287</v>
      </c>
      <c r="J645" s="60">
        <f ca="1">EFEITO!$J$645*EFEITO!$Y$645</f>
        <v>-85672.398436829142</v>
      </c>
      <c r="K645" s="60">
        <f>EFEITO!$L$645*EFEITO!$Z$645</f>
        <v>0</v>
      </c>
      <c r="L645" s="60">
        <f>EFEITO!$N$645*EFEITO!$AA$645</f>
        <v>0</v>
      </c>
      <c r="M645" s="60">
        <f ca="1">$J$645-EFEITO!$K$645*EFEITO!$Y$645</f>
        <v>0</v>
      </c>
      <c r="N645" s="60">
        <f>$K$645-EFEITO!$M$645*EFEITO!$Z$645</f>
        <v>0</v>
      </c>
      <c r="O645" s="60">
        <f>$L$645-EFEITO!$O$645*EFEITO!$AA$645</f>
        <v>0</v>
      </c>
      <c r="P645" s="18"/>
      <c r="Q645" s="18"/>
      <c r="R645" s="18"/>
      <c r="S645" s="18"/>
      <c r="T645" s="18"/>
      <c r="U645" s="18"/>
      <c r="V645" s="18"/>
      <c r="W645" s="18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51" t="s">
        <v>28</v>
      </c>
      <c r="B646" s="51" t="s">
        <v>41</v>
      </c>
      <c r="C646" s="51" t="s">
        <v>42</v>
      </c>
      <c r="D646" s="51" t="s">
        <v>43</v>
      </c>
      <c r="E646" s="51" t="s">
        <v>25</v>
      </c>
      <c r="F646" s="51" t="s">
        <v>25</v>
      </c>
      <c r="G646" s="51" t="s">
        <v>25</v>
      </c>
      <c r="H646" s="51" t="s">
        <v>25</v>
      </c>
      <c r="I646" s="59">
        <v>44287</v>
      </c>
      <c r="J646" s="60">
        <f ca="1">EFEITO!$J$646*EFEITO!$Y$646</f>
        <v>122590.52604636618</v>
      </c>
      <c r="K646" s="60">
        <f>EFEITO!$L$646*EFEITO!$Z$646</f>
        <v>0</v>
      </c>
      <c r="L646" s="60">
        <f>EFEITO!$N$646*EFEITO!$AA$646</f>
        <v>0</v>
      </c>
      <c r="M646" s="60">
        <f ca="1">$J$646-EFEITO!$K$646*EFEITO!$Y$646</f>
        <v>0</v>
      </c>
      <c r="N646" s="60">
        <f>$K$646-EFEITO!$M$646*EFEITO!$Z$646</f>
        <v>0</v>
      </c>
      <c r="O646" s="60">
        <f>$L$646-EFEITO!$O$646*EFEITO!$AA$646</f>
        <v>0</v>
      </c>
      <c r="P646" s="18"/>
      <c r="Q646" s="18"/>
      <c r="R646" s="18"/>
      <c r="S646" s="18"/>
      <c r="T646" s="18"/>
      <c r="U646" s="18"/>
      <c r="V646" s="18"/>
      <c r="W646" s="18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51" t="s">
        <v>21</v>
      </c>
      <c r="B647" s="51" t="s">
        <v>41</v>
      </c>
      <c r="C647" s="51" t="s">
        <v>42</v>
      </c>
      <c r="D647" s="51" t="s">
        <v>43</v>
      </c>
      <c r="E647" s="51" t="s">
        <v>25</v>
      </c>
      <c r="F647" s="51" t="s">
        <v>25</v>
      </c>
      <c r="G647" s="51" t="s">
        <v>25</v>
      </c>
      <c r="H647" s="51" t="s">
        <v>25</v>
      </c>
      <c r="I647" s="59">
        <v>44287</v>
      </c>
      <c r="J647" s="60">
        <f ca="1">EFEITO!$J$647*EFEITO!$Y$647</f>
        <v>6356.9398405470856</v>
      </c>
      <c r="K647" s="60">
        <f>EFEITO!$L$647*EFEITO!$Z$647</f>
        <v>0</v>
      </c>
      <c r="L647" s="60">
        <f>EFEITO!$N$647*EFEITO!$AA$647</f>
        <v>0</v>
      </c>
      <c r="M647" s="60">
        <f ca="1">$J$647-EFEITO!$K$647*EFEITO!$Y$647</f>
        <v>0</v>
      </c>
      <c r="N647" s="60">
        <f>$K$647-EFEITO!$M$647*EFEITO!$Z$647</f>
        <v>0</v>
      </c>
      <c r="O647" s="60">
        <f>$L$647-EFEITO!$O$647*EFEITO!$AA$647</f>
        <v>0</v>
      </c>
      <c r="P647" s="18"/>
      <c r="Q647" s="18"/>
      <c r="R647" s="18"/>
      <c r="S647" s="18"/>
      <c r="T647" s="18"/>
      <c r="U647" s="18"/>
      <c r="V647" s="18"/>
      <c r="W647" s="18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51" t="s">
        <v>21</v>
      </c>
      <c r="B648" s="51" t="s">
        <v>41</v>
      </c>
      <c r="C648" s="51" t="s">
        <v>42</v>
      </c>
      <c r="D648" s="51" t="s">
        <v>43</v>
      </c>
      <c r="E648" s="51" t="s">
        <v>25</v>
      </c>
      <c r="F648" s="51" t="s">
        <v>25</v>
      </c>
      <c r="G648" s="51" t="s">
        <v>25</v>
      </c>
      <c r="H648" s="51" t="s">
        <v>25</v>
      </c>
      <c r="I648" s="59">
        <v>44317</v>
      </c>
      <c r="J648" s="60">
        <f ca="1">EFEITO!$J$648*EFEITO!$Y$648</f>
        <v>1297001.9139941321</v>
      </c>
      <c r="K648" s="60">
        <f>EFEITO!$L$648*EFEITO!$Z$648</f>
        <v>0</v>
      </c>
      <c r="L648" s="60">
        <f>EFEITO!$N$648*EFEITO!$AA$648</f>
        <v>0</v>
      </c>
      <c r="M648" s="60">
        <f ca="1">$J$648-EFEITO!$K$648*EFEITO!$Y$648</f>
        <v>0</v>
      </c>
      <c r="N648" s="60">
        <f>$K$648-EFEITO!$M$648*EFEITO!$Z$648</f>
        <v>0</v>
      </c>
      <c r="O648" s="60">
        <f>$L$648-EFEITO!$O$648*EFEITO!$AA$648</f>
        <v>0</v>
      </c>
      <c r="P648" s="18"/>
      <c r="Q648" s="18"/>
      <c r="R648" s="18"/>
      <c r="S648" s="18"/>
      <c r="T648" s="18"/>
      <c r="U648" s="18"/>
      <c r="V648" s="18"/>
      <c r="W648" s="18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51" t="s">
        <v>27</v>
      </c>
      <c r="B649" s="51" t="s">
        <v>41</v>
      </c>
      <c r="C649" s="51" t="s">
        <v>42</v>
      </c>
      <c r="D649" s="51" t="s">
        <v>43</v>
      </c>
      <c r="E649" s="51" t="s">
        <v>25</v>
      </c>
      <c r="F649" s="51" t="s">
        <v>25</v>
      </c>
      <c r="G649" s="51" t="s">
        <v>25</v>
      </c>
      <c r="H649" s="51" t="s">
        <v>25</v>
      </c>
      <c r="I649" s="59">
        <v>44317</v>
      </c>
      <c r="J649" s="60">
        <f ca="1">EFEITO!$J$649*EFEITO!$Y$649</f>
        <v>-2978.984360423739</v>
      </c>
      <c r="K649" s="60">
        <f>EFEITO!$L$649*EFEITO!$Z$649</f>
        <v>0</v>
      </c>
      <c r="L649" s="60">
        <f>EFEITO!$N$649*EFEITO!$AA$649</f>
        <v>0</v>
      </c>
      <c r="M649" s="60">
        <f ca="1">$J$649-EFEITO!$K$649*EFEITO!$Y$649</f>
        <v>0</v>
      </c>
      <c r="N649" s="60">
        <f>$K$649-EFEITO!$M$649*EFEITO!$Z$649</f>
        <v>0</v>
      </c>
      <c r="O649" s="60">
        <f>$L$649-EFEITO!$O$649*EFEITO!$AA$649</f>
        <v>0</v>
      </c>
      <c r="P649" s="18"/>
      <c r="Q649" s="18"/>
      <c r="R649" s="18"/>
      <c r="S649" s="18"/>
      <c r="T649" s="18"/>
      <c r="U649" s="18"/>
      <c r="V649" s="18"/>
      <c r="W649" s="18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51" t="s">
        <v>28</v>
      </c>
      <c r="B650" s="51" t="s">
        <v>41</v>
      </c>
      <c r="C650" s="51" t="s">
        <v>42</v>
      </c>
      <c r="D650" s="51" t="s">
        <v>43</v>
      </c>
      <c r="E650" s="51" t="s">
        <v>25</v>
      </c>
      <c r="F650" s="51" t="s">
        <v>25</v>
      </c>
      <c r="G650" s="51" t="s">
        <v>25</v>
      </c>
      <c r="H650" s="51" t="s">
        <v>25</v>
      </c>
      <c r="I650" s="59">
        <v>44317</v>
      </c>
      <c r="J650" s="60">
        <f ca="1">EFEITO!$J$650*EFEITO!$Y$650</f>
        <v>120861.65119433455</v>
      </c>
      <c r="K650" s="60">
        <f>EFEITO!$L$650*EFEITO!$Z$650</f>
        <v>0</v>
      </c>
      <c r="L650" s="60">
        <f>EFEITO!$N$650*EFEITO!$AA$650</f>
        <v>0</v>
      </c>
      <c r="M650" s="60">
        <f ca="1">$J$650-EFEITO!$K$650*EFEITO!$Y$650</f>
        <v>0</v>
      </c>
      <c r="N650" s="60">
        <f>$K$650-EFEITO!$M$650*EFEITO!$Z$650</f>
        <v>0</v>
      </c>
      <c r="O650" s="60">
        <f>$L$650-EFEITO!$O$650*EFEITO!$AA$650</f>
        <v>0</v>
      </c>
      <c r="P650" s="18"/>
      <c r="Q650" s="18"/>
      <c r="R650" s="18"/>
      <c r="S650" s="18"/>
      <c r="T650" s="18"/>
      <c r="U650" s="18"/>
      <c r="V650" s="18"/>
      <c r="W650" s="18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51" t="s">
        <v>21</v>
      </c>
      <c r="B651" s="51" t="s">
        <v>41</v>
      </c>
      <c r="C651" s="51" t="s">
        <v>42</v>
      </c>
      <c r="D651" s="51" t="s">
        <v>43</v>
      </c>
      <c r="E651" s="51" t="s">
        <v>25</v>
      </c>
      <c r="F651" s="51" t="s">
        <v>25</v>
      </c>
      <c r="G651" s="51" t="s">
        <v>25</v>
      </c>
      <c r="H651" s="51" t="s">
        <v>25</v>
      </c>
      <c r="I651" s="59">
        <v>44317</v>
      </c>
      <c r="J651" s="60">
        <f ca="1">EFEITO!$J$651*EFEITO!$Y$651</f>
        <v>6356.9398405470856</v>
      </c>
      <c r="K651" s="60">
        <f>EFEITO!$L$651*EFEITO!$Z$651</f>
        <v>0</v>
      </c>
      <c r="L651" s="60">
        <f>EFEITO!$N$651*EFEITO!$AA$651</f>
        <v>0</v>
      </c>
      <c r="M651" s="60">
        <f ca="1">$J$651-EFEITO!$K$651*EFEITO!$Y$651</f>
        <v>0</v>
      </c>
      <c r="N651" s="60">
        <f>$K$651-EFEITO!$M$651*EFEITO!$Z$651</f>
        <v>0</v>
      </c>
      <c r="O651" s="60">
        <f>$L$651-EFEITO!$O$651*EFEITO!$AA$651</f>
        <v>0</v>
      </c>
      <c r="P651" s="18"/>
      <c r="Q651" s="18"/>
      <c r="R651" s="18"/>
      <c r="S651" s="18"/>
      <c r="T651" s="18"/>
      <c r="U651" s="18"/>
      <c r="V651" s="18"/>
      <c r="W651" s="18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51" t="s">
        <v>21</v>
      </c>
      <c r="B652" s="51" t="s">
        <v>41</v>
      </c>
      <c r="C652" s="51" t="s">
        <v>42</v>
      </c>
      <c r="D652" s="51" t="s">
        <v>43</v>
      </c>
      <c r="E652" s="51" t="s">
        <v>25</v>
      </c>
      <c r="F652" s="51" t="s">
        <v>25</v>
      </c>
      <c r="G652" s="51" t="s">
        <v>25</v>
      </c>
      <c r="H652" s="51" t="s">
        <v>25</v>
      </c>
      <c r="I652" s="59">
        <v>44348</v>
      </c>
      <c r="J652" s="60">
        <f ca="1">EFEITO!$J$652*EFEITO!$Y$652</f>
        <v>1291549.3086915708</v>
      </c>
      <c r="K652" s="60">
        <f>EFEITO!$L$652*EFEITO!$Z$652</f>
        <v>0</v>
      </c>
      <c r="L652" s="60">
        <f>EFEITO!$N$652*EFEITO!$AA$652</f>
        <v>0</v>
      </c>
      <c r="M652" s="60">
        <f ca="1">$J$652-EFEITO!$K$652*EFEITO!$Y$652</f>
        <v>0</v>
      </c>
      <c r="N652" s="60">
        <f>$K$652-EFEITO!$M$652*EFEITO!$Z$652</f>
        <v>0</v>
      </c>
      <c r="O652" s="60">
        <f>$L$652-EFEITO!$O$652*EFEITO!$AA$652</f>
        <v>0</v>
      </c>
      <c r="P652" s="18"/>
      <c r="Q652" s="18"/>
      <c r="R652" s="18"/>
      <c r="S652" s="18"/>
      <c r="T652" s="18"/>
      <c r="U652" s="18"/>
      <c r="V652" s="18"/>
      <c r="W652" s="18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51" t="s">
        <v>27</v>
      </c>
      <c r="B653" s="51" t="s">
        <v>41</v>
      </c>
      <c r="C653" s="51" t="s">
        <v>42</v>
      </c>
      <c r="D653" s="51" t="s">
        <v>43</v>
      </c>
      <c r="E653" s="51" t="s">
        <v>25</v>
      </c>
      <c r="F653" s="51" t="s">
        <v>25</v>
      </c>
      <c r="G653" s="51" t="s">
        <v>25</v>
      </c>
      <c r="H653" s="51" t="s">
        <v>25</v>
      </c>
      <c r="I653" s="59">
        <v>44348</v>
      </c>
      <c r="J653" s="60">
        <f ca="1">EFEITO!$J$653*EFEITO!$Y$653</f>
        <v>-6729.3128856000531</v>
      </c>
      <c r="K653" s="60">
        <f>EFEITO!$L$653*EFEITO!$Z$653</f>
        <v>0</v>
      </c>
      <c r="L653" s="60">
        <f>EFEITO!$N$653*EFEITO!$AA$653</f>
        <v>0</v>
      </c>
      <c r="M653" s="60">
        <f ca="1">$J$653-EFEITO!$K$653*EFEITO!$Y$653</f>
        <v>0</v>
      </c>
      <c r="N653" s="60">
        <f>$K$653-EFEITO!$M$653*EFEITO!$Z$653</f>
        <v>0</v>
      </c>
      <c r="O653" s="60">
        <f>$L$653-EFEITO!$O$653*EFEITO!$AA$653</f>
        <v>0</v>
      </c>
      <c r="P653" s="18"/>
      <c r="Q653" s="18"/>
      <c r="R653" s="18"/>
      <c r="S653" s="18"/>
      <c r="T653" s="18"/>
      <c r="U653" s="18"/>
      <c r="V653" s="18"/>
      <c r="W653" s="18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51" t="s">
        <v>28</v>
      </c>
      <c r="B654" s="51" t="s">
        <v>41</v>
      </c>
      <c r="C654" s="51" t="s">
        <v>42</v>
      </c>
      <c r="D654" s="51" t="s">
        <v>43</v>
      </c>
      <c r="E654" s="51" t="s">
        <v>25</v>
      </c>
      <c r="F654" s="51" t="s">
        <v>25</v>
      </c>
      <c r="G654" s="51" t="s">
        <v>25</v>
      </c>
      <c r="H654" s="51" t="s">
        <v>25</v>
      </c>
      <c r="I654" s="59">
        <v>44348</v>
      </c>
      <c r="J654" s="60">
        <f ca="1">EFEITO!$J$654*EFEITO!$Y$654</f>
        <v>115648.42856359301</v>
      </c>
      <c r="K654" s="60">
        <f>EFEITO!$L$654*EFEITO!$Z$654</f>
        <v>0</v>
      </c>
      <c r="L654" s="60">
        <f>EFEITO!$N$654*EFEITO!$AA$654</f>
        <v>0</v>
      </c>
      <c r="M654" s="60">
        <f ca="1">$J$654-EFEITO!$K$654*EFEITO!$Y$654</f>
        <v>0</v>
      </c>
      <c r="N654" s="60">
        <f>$K$654-EFEITO!$M$654*EFEITO!$Z$654</f>
        <v>0</v>
      </c>
      <c r="O654" s="60">
        <f>$L$654-EFEITO!$O$654*EFEITO!$AA$654</f>
        <v>0</v>
      </c>
      <c r="P654" s="18"/>
      <c r="Q654" s="18"/>
      <c r="R654" s="18"/>
      <c r="S654" s="18"/>
      <c r="T654" s="18"/>
      <c r="U654" s="18"/>
      <c r="V654" s="18"/>
      <c r="W654" s="18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51" t="s">
        <v>21</v>
      </c>
      <c r="B655" s="51" t="s">
        <v>41</v>
      </c>
      <c r="C655" s="51" t="s">
        <v>42</v>
      </c>
      <c r="D655" s="51" t="s">
        <v>43</v>
      </c>
      <c r="E655" s="51" t="s">
        <v>25</v>
      </c>
      <c r="F655" s="51" t="s">
        <v>25</v>
      </c>
      <c r="G655" s="51" t="s">
        <v>25</v>
      </c>
      <c r="H655" s="51" t="s">
        <v>25</v>
      </c>
      <c r="I655" s="59">
        <v>44348</v>
      </c>
      <c r="J655" s="60">
        <f ca="1">EFEITO!$J$655*EFEITO!$Y$655</f>
        <v>6356.9398405470856</v>
      </c>
      <c r="K655" s="60">
        <f>EFEITO!$L$655*EFEITO!$Z$655</f>
        <v>0</v>
      </c>
      <c r="L655" s="60">
        <f>EFEITO!$N$655*EFEITO!$AA$655</f>
        <v>0</v>
      </c>
      <c r="M655" s="60">
        <f ca="1">$J$655-EFEITO!$K$655*EFEITO!$Y$655</f>
        <v>0</v>
      </c>
      <c r="N655" s="60">
        <f>$K$655-EFEITO!$M$655*EFEITO!$Z$655</f>
        <v>0</v>
      </c>
      <c r="O655" s="60">
        <f>$L$655-EFEITO!$O$655*EFEITO!$AA$655</f>
        <v>0</v>
      </c>
      <c r="P655" s="18"/>
      <c r="Q655" s="18"/>
      <c r="R655" s="18"/>
      <c r="S655" s="18"/>
      <c r="T655" s="18"/>
      <c r="U655" s="18"/>
      <c r="V655" s="18"/>
      <c r="W655" s="18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51" t="s">
        <v>21</v>
      </c>
      <c r="B656" s="51" t="s">
        <v>41</v>
      </c>
      <c r="C656" s="51" t="s">
        <v>42</v>
      </c>
      <c r="D656" s="51" t="s">
        <v>43</v>
      </c>
      <c r="E656" s="51" t="s">
        <v>25</v>
      </c>
      <c r="F656" s="51" t="s">
        <v>25</v>
      </c>
      <c r="G656" s="51" t="s">
        <v>25</v>
      </c>
      <c r="H656" s="51" t="s">
        <v>25</v>
      </c>
      <c r="I656" s="59">
        <v>44378</v>
      </c>
      <c r="J656" s="60">
        <f ca="1">EFEITO!$J$656*EFEITO!$Y$656</f>
        <v>1279500.3808766424</v>
      </c>
      <c r="K656" s="60">
        <f>EFEITO!$L$656*EFEITO!$Z$656</f>
        <v>0</v>
      </c>
      <c r="L656" s="60">
        <f>EFEITO!$N$656*EFEITO!$AA$656</f>
        <v>0</v>
      </c>
      <c r="M656" s="60">
        <f ca="1">$J$656-EFEITO!$K$656*EFEITO!$Y$656</f>
        <v>0</v>
      </c>
      <c r="N656" s="60">
        <f>$K$656-EFEITO!$M$656*EFEITO!$Z$656</f>
        <v>0</v>
      </c>
      <c r="O656" s="60">
        <f>$L$656-EFEITO!$O$656*EFEITO!$AA$656</f>
        <v>0</v>
      </c>
      <c r="P656" s="18"/>
      <c r="Q656" s="18"/>
      <c r="R656" s="18"/>
      <c r="S656" s="18"/>
      <c r="T656" s="18"/>
      <c r="U656" s="18"/>
      <c r="V656" s="18"/>
      <c r="W656" s="18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51" t="s">
        <v>27</v>
      </c>
      <c r="B657" s="51" t="s">
        <v>41</v>
      </c>
      <c r="C657" s="51" t="s">
        <v>42</v>
      </c>
      <c r="D657" s="51" t="s">
        <v>43</v>
      </c>
      <c r="E657" s="51" t="s">
        <v>25</v>
      </c>
      <c r="F657" s="51" t="s">
        <v>25</v>
      </c>
      <c r="G657" s="51" t="s">
        <v>25</v>
      </c>
      <c r="H657" s="51" t="s">
        <v>25</v>
      </c>
      <c r="I657" s="59">
        <v>44378</v>
      </c>
      <c r="J657" s="60">
        <f ca="1">EFEITO!$J$657*EFEITO!$Y$657</f>
        <v>1994.8555984980394</v>
      </c>
      <c r="K657" s="60">
        <f>EFEITO!$L$657*EFEITO!$Z$657</f>
        <v>0</v>
      </c>
      <c r="L657" s="60">
        <f>EFEITO!$N$657*EFEITO!$AA$657</f>
        <v>0</v>
      </c>
      <c r="M657" s="60">
        <f ca="1">$J$657-EFEITO!$K$657*EFEITO!$Y$657</f>
        <v>0</v>
      </c>
      <c r="N657" s="60">
        <f>$K$657-EFEITO!$M$657*EFEITO!$Z$657</f>
        <v>0</v>
      </c>
      <c r="O657" s="60">
        <f>$L$657-EFEITO!$O$657*EFEITO!$AA$657</f>
        <v>0</v>
      </c>
      <c r="P657" s="18"/>
      <c r="Q657" s="18"/>
      <c r="R657" s="18"/>
      <c r="S657" s="18"/>
      <c r="T657" s="18"/>
      <c r="U657" s="18"/>
      <c r="V657" s="18"/>
      <c r="W657" s="18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51" t="s">
        <v>28</v>
      </c>
      <c r="B658" s="51" t="s">
        <v>41</v>
      </c>
      <c r="C658" s="51" t="s">
        <v>42</v>
      </c>
      <c r="D658" s="51" t="s">
        <v>43</v>
      </c>
      <c r="E658" s="51" t="s">
        <v>25</v>
      </c>
      <c r="F658" s="51" t="s">
        <v>25</v>
      </c>
      <c r="G658" s="51" t="s">
        <v>25</v>
      </c>
      <c r="H658" s="51" t="s">
        <v>25</v>
      </c>
      <c r="I658" s="59">
        <v>44378</v>
      </c>
      <c r="J658" s="60">
        <f ca="1">EFEITO!$J$658*EFEITO!$Y$658</f>
        <v>118095.45143108394</v>
      </c>
      <c r="K658" s="60">
        <f>EFEITO!$L$658*EFEITO!$Z$658</f>
        <v>0</v>
      </c>
      <c r="L658" s="60">
        <f>EFEITO!$N$658*EFEITO!$AA$658</f>
        <v>0</v>
      </c>
      <c r="M658" s="60">
        <f ca="1">$J$658-EFEITO!$K$658*EFEITO!$Y$658</f>
        <v>0</v>
      </c>
      <c r="N658" s="60">
        <f>$K$658-EFEITO!$M$658*EFEITO!$Z$658</f>
        <v>0</v>
      </c>
      <c r="O658" s="60">
        <f>$L$658-EFEITO!$O$658*EFEITO!$AA$658</f>
        <v>0</v>
      </c>
      <c r="P658" s="18"/>
      <c r="Q658" s="18"/>
      <c r="R658" s="18"/>
      <c r="S658" s="18"/>
      <c r="T658" s="18"/>
      <c r="U658" s="18"/>
      <c r="V658" s="18"/>
      <c r="W658" s="18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51" t="s">
        <v>21</v>
      </c>
      <c r="B659" s="51" t="s">
        <v>41</v>
      </c>
      <c r="C659" s="51" t="s">
        <v>42</v>
      </c>
      <c r="D659" s="51" t="s">
        <v>43</v>
      </c>
      <c r="E659" s="51" t="s">
        <v>25</v>
      </c>
      <c r="F659" s="51" t="s">
        <v>25</v>
      </c>
      <c r="G659" s="51" t="s">
        <v>25</v>
      </c>
      <c r="H659" s="51" t="s">
        <v>25</v>
      </c>
      <c r="I659" s="59">
        <v>44378</v>
      </c>
      <c r="J659" s="60">
        <f ca="1">EFEITO!$J$659*EFEITO!$Y$659</f>
        <v>59553.089133828136</v>
      </c>
      <c r="K659" s="60">
        <f>EFEITO!$L$659*EFEITO!$Z$659</f>
        <v>0</v>
      </c>
      <c r="L659" s="60">
        <f>EFEITO!$N$659*EFEITO!$AA$659</f>
        <v>0</v>
      </c>
      <c r="M659" s="60">
        <f ca="1">$J$659-EFEITO!$K$659*EFEITO!$Y$659</f>
        <v>0</v>
      </c>
      <c r="N659" s="60">
        <f>$K$659-EFEITO!$M$659*EFEITO!$Z$659</f>
        <v>0</v>
      </c>
      <c r="O659" s="60">
        <f>$L$659-EFEITO!$O$659*EFEITO!$AA$659</f>
        <v>0</v>
      </c>
      <c r="P659" s="18"/>
      <c r="Q659" s="18"/>
      <c r="R659" s="18"/>
      <c r="S659" s="18"/>
      <c r="T659" s="18"/>
      <c r="U659" s="18"/>
      <c r="V659" s="18"/>
      <c r="W659" s="18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51" t="s">
        <v>21</v>
      </c>
      <c r="B660" s="51" t="s">
        <v>41</v>
      </c>
      <c r="C660" s="51" t="s">
        <v>42</v>
      </c>
      <c r="D660" s="51" t="s">
        <v>43</v>
      </c>
      <c r="E660" s="51" t="s">
        <v>25</v>
      </c>
      <c r="F660" s="51" t="s">
        <v>25</v>
      </c>
      <c r="G660" s="51" t="s">
        <v>25</v>
      </c>
      <c r="H660" s="51" t="s">
        <v>25</v>
      </c>
      <c r="I660" s="59">
        <v>44409</v>
      </c>
      <c r="J660" s="60">
        <f ca="1">EFEITO!$J$660*EFEITO!$Y$660</f>
        <v>1292533.4374534963</v>
      </c>
      <c r="K660" s="60">
        <f>EFEITO!$L$660*EFEITO!$Z$660</f>
        <v>0</v>
      </c>
      <c r="L660" s="60">
        <f>EFEITO!$N$660*EFEITO!$AA$660</f>
        <v>0</v>
      </c>
      <c r="M660" s="60">
        <f ca="1">$J$660-EFEITO!$K$660*EFEITO!$Y$660</f>
        <v>0</v>
      </c>
      <c r="N660" s="60">
        <f>$K$660-EFEITO!$M$660*EFEITO!$Z$660</f>
        <v>0</v>
      </c>
      <c r="O660" s="60">
        <f>$L$660-EFEITO!$O$660*EFEITO!$AA$660</f>
        <v>0</v>
      </c>
      <c r="P660" s="18"/>
      <c r="Q660" s="18"/>
      <c r="R660" s="18"/>
      <c r="S660" s="18"/>
      <c r="T660" s="18"/>
      <c r="U660" s="18"/>
      <c r="V660" s="18"/>
      <c r="W660" s="18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51" t="s">
        <v>28</v>
      </c>
      <c r="B661" s="51" t="s">
        <v>41</v>
      </c>
      <c r="C661" s="51" t="s">
        <v>42</v>
      </c>
      <c r="D661" s="51" t="s">
        <v>43</v>
      </c>
      <c r="E661" s="51" t="s">
        <v>25</v>
      </c>
      <c r="F661" s="51" t="s">
        <v>25</v>
      </c>
      <c r="G661" s="51" t="s">
        <v>25</v>
      </c>
      <c r="H661" s="51" t="s">
        <v>25</v>
      </c>
      <c r="I661" s="59">
        <v>44409</v>
      </c>
      <c r="J661" s="60">
        <f ca="1">EFEITO!$J$661*EFEITO!$Y$661</f>
        <v>116127.19390723253</v>
      </c>
      <c r="K661" s="60">
        <f>EFEITO!$L$661*EFEITO!$Z$661</f>
        <v>0</v>
      </c>
      <c r="L661" s="60">
        <f>EFEITO!$N$661*EFEITO!$AA$661</f>
        <v>0</v>
      </c>
      <c r="M661" s="60">
        <f ca="1">$J$661-EFEITO!$K$661*EFEITO!$Y$661</f>
        <v>0</v>
      </c>
      <c r="N661" s="60">
        <f>$K$661-EFEITO!$M$661*EFEITO!$Z$661</f>
        <v>0</v>
      </c>
      <c r="O661" s="60">
        <f>$L$661-EFEITO!$O$661*EFEITO!$AA$661</f>
        <v>0</v>
      </c>
      <c r="P661" s="18"/>
      <c r="Q661" s="18"/>
      <c r="R661" s="18"/>
      <c r="S661" s="18"/>
      <c r="T661" s="18"/>
      <c r="U661" s="18"/>
      <c r="V661" s="18"/>
      <c r="W661" s="18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51" t="s">
        <v>21</v>
      </c>
      <c r="B662" s="51" t="s">
        <v>41</v>
      </c>
      <c r="C662" s="51" t="s">
        <v>42</v>
      </c>
      <c r="D662" s="51" t="s">
        <v>43</v>
      </c>
      <c r="E662" s="51" t="s">
        <v>25</v>
      </c>
      <c r="F662" s="51" t="s">
        <v>25</v>
      </c>
      <c r="G662" s="51" t="s">
        <v>25</v>
      </c>
      <c r="H662" s="51" t="s">
        <v>25</v>
      </c>
      <c r="I662" s="59">
        <v>44409</v>
      </c>
      <c r="J662" s="60">
        <f ca="1">EFEITO!$J$662*EFEITO!$Y$662</f>
        <v>88279.009752199912</v>
      </c>
      <c r="K662" s="60">
        <f>EFEITO!$L$662*EFEITO!$Z$662</f>
        <v>0</v>
      </c>
      <c r="L662" s="60">
        <f>EFEITO!$N$662*EFEITO!$AA$662</f>
        <v>0</v>
      </c>
      <c r="M662" s="60">
        <f ca="1">$J$662-EFEITO!$K$662*EFEITO!$Y$662</f>
        <v>0</v>
      </c>
      <c r="N662" s="60">
        <f>$K$662-EFEITO!$M$662*EFEITO!$Z$662</f>
        <v>0</v>
      </c>
      <c r="O662" s="60">
        <f>$L$662-EFEITO!$O$662*EFEITO!$AA$662</f>
        <v>0</v>
      </c>
      <c r="P662" s="18"/>
      <c r="Q662" s="18"/>
      <c r="R662" s="18"/>
      <c r="S662" s="18"/>
      <c r="T662" s="18"/>
      <c r="U662" s="18"/>
      <c r="V662" s="18"/>
      <c r="W662" s="18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51" t="s">
        <v>21</v>
      </c>
      <c r="B663" s="51" t="s">
        <v>41</v>
      </c>
      <c r="C663" s="51" t="s">
        <v>42</v>
      </c>
      <c r="D663" s="51" t="s">
        <v>43</v>
      </c>
      <c r="E663" s="51" t="s">
        <v>25</v>
      </c>
      <c r="F663" s="51" t="s">
        <v>25</v>
      </c>
      <c r="G663" s="51" t="s">
        <v>25</v>
      </c>
      <c r="H663" s="51" t="s">
        <v>25</v>
      </c>
      <c r="I663" s="59">
        <v>44440</v>
      </c>
      <c r="J663" s="60">
        <f ca="1">EFEITO!$J$663*EFEITO!$Y$663</f>
        <v>1304050.4037754918</v>
      </c>
      <c r="K663" s="60">
        <f>EFEITO!$L$663*EFEITO!$Z$663</f>
        <v>0</v>
      </c>
      <c r="L663" s="60">
        <f>EFEITO!$N$663*EFEITO!$AA$663</f>
        <v>0</v>
      </c>
      <c r="M663" s="60">
        <f ca="1">$J$663-EFEITO!$K$663*EFEITO!$Y$663</f>
        <v>0</v>
      </c>
      <c r="N663" s="60">
        <f>$K$663-EFEITO!$M$663*EFEITO!$Z$663</f>
        <v>0</v>
      </c>
      <c r="O663" s="60">
        <f>$L$663-EFEITO!$O$663*EFEITO!$AA$663</f>
        <v>0</v>
      </c>
      <c r="P663" s="18"/>
      <c r="Q663" s="18"/>
      <c r="R663" s="18"/>
      <c r="S663" s="18"/>
      <c r="T663" s="18"/>
      <c r="U663" s="18"/>
      <c r="V663" s="18"/>
      <c r="W663" s="18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51" t="s">
        <v>28</v>
      </c>
      <c r="B664" s="51" t="s">
        <v>41</v>
      </c>
      <c r="C664" s="51" t="s">
        <v>42</v>
      </c>
      <c r="D664" s="51" t="s">
        <v>43</v>
      </c>
      <c r="E664" s="51" t="s">
        <v>25</v>
      </c>
      <c r="F664" s="51" t="s">
        <v>25</v>
      </c>
      <c r="G664" s="51" t="s">
        <v>25</v>
      </c>
      <c r="H664" s="51" t="s">
        <v>25</v>
      </c>
      <c r="I664" s="59">
        <v>44440</v>
      </c>
      <c r="J664" s="60">
        <f ca="1">EFEITO!$J$664*EFEITO!$Y$664</f>
        <v>124213.00859981126</v>
      </c>
      <c r="K664" s="60">
        <f>EFEITO!$L$664*EFEITO!$Z$664</f>
        <v>0</v>
      </c>
      <c r="L664" s="60">
        <f>EFEITO!$N$664*EFEITO!$AA$664</f>
        <v>0</v>
      </c>
      <c r="M664" s="60">
        <f ca="1">$J$664-EFEITO!$K$664*EFEITO!$Y$664</f>
        <v>0</v>
      </c>
      <c r="N664" s="60">
        <f>$K$664-EFEITO!$M$664*EFEITO!$Z$664</f>
        <v>0</v>
      </c>
      <c r="O664" s="60">
        <f>$L$664-EFEITO!$O$664*EFEITO!$AA$664</f>
        <v>0</v>
      </c>
      <c r="P664" s="18"/>
      <c r="Q664" s="18"/>
      <c r="R664" s="18"/>
      <c r="S664" s="18"/>
      <c r="T664" s="18"/>
      <c r="U664" s="18"/>
      <c r="V664" s="18"/>
      <c r="W664" s="18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51" t="s">
        <v>21</v>
      </c>
      <c r="B665" s="51" t="s">
        <v>41</v>
      </c>
      <c r="C665" s="51" t="s">
        <v>42</v>
      </c>
      <c r="D665" s="51" t="s">
        <v>43</v>
      </c>
      <c r="E665" s="51" t="s">
        <v>25</v>
      </c>
      <c r="F665" s="51" t="s">
        <v>25</v>
      </c>
      <c r="G665" s="51" t="s">
        <v>25</v>
      </c>
      <c r="H665" s="51" t="s">
        <v>25</v>
      </c>
      <c r="I665" s="59">
        <v>44440</v>
      </c>
      <c r="J665" s="60">
        <f ca="1">EFEITO!$J$665*EFEITO!$Y$665</f>
        <v>59553.089133828136</v>
      </c>
      <c r="K665" s="60">
        <f>EFEITO!$L$665*EFEITO!$Z$665</f>
        <v>0</v>
      </c>
      <c r="L665" s="60">
        <f>EFEITO!$N$665*EFEITO!$AA$665</f>
        <v>0</v>
      </c>
      <c r="M665" s="60">
        <f ca="1">$J$665-EFEITO!$K$665*EFEITO!$Y$665</f>
        <v>0</v>
      </c>
      <c r="N665" s="60">
        <f>$K$665-EFEITO!$M$665*EFEITO!$Z$665</f>
        <v>0</v>
      </c>
      <c r="O665" s="60">
        <f>$L$665-EFEITO!$O$665*EFEITO!$AA$665</f>
        <v>0</v>
      </c>
      <c r="P665" s="18"/>
      <c r="Q665" s="18"/>
      <c r="R665" s="18"/>
      <c r="S665" s="18"/>
      <c r="T665" s="18"/>
      <c r="U665" s="18"/>
      <c r="V665" s="18"/>
      <c r="W665" s="18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51" t="s">
        <v>21</v>
      </c>
      <c r="B666" s="51" t="s">
        <v>41</v>
      </c>
      <c r="C666" s="51" t="s">
        <v>42</v>
      </c>
      <c r="D666" s="51" t="s">
        <v>43</v>
      </c>
      <c r="E666" s="51" t="s">
        <v>25</v>
      </c>
      <c r="F666" s="51" t="s">
        <v>25</v>
      </c>
      <c r="G666" s="51" t="s">
        <v>25</v>
      </c>
      <c r="H666" s="51" t="s">
        <v>25</v>
      </c>
      <c r="I666" s="59">
        <v>44470</v>
      </c>
      <c r="J666" s="60">
        <f ca="1">EFEITO!$J$666*EFEITO!$Y$666</f>
        <v>1295512.4218139201</v>
      </c>
      <c r="K666" s="60">
        <f>EFEITO!$L$666*EFEITO!$Z$666</f>
        <v>0</v>
      </c>
      <c r="L666" s="60">
        <f>EFEITO!$N$666*EFEITO!$AA$666</f>
        <v>0</v>
      </c>
      <c r="M666" s="60">
        <f ca="1">$J$666-EFEITO!$K$666*EFEITO!$Y$666</f>
        <v>0</v>
      </c>
      <c r="N666" s="60">
        <f>$K$666-EFEITO!$M$666*EFEITO!$Z$666</f>
        <v>0</v>
      </c>
      <c r="O666" s="60">
        <f>$L$666-EFEITO!$O$666*EFEITO!$AA$666</f>
        <v>0</v>
      </c>
      <c r="P666" s="18"/>
      <c r="Q666" s="18"/>
      <c r="R666" s="18"/>
      <c r="S666" s="18"/>
      <c r="T666" s="18"/>
      <c r="U666" s="18"/>
      <c r="V666" s="18"/>
      <c r="W666" s="18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51" t="s">
        <v>27</v>
      </c>
      <c r="B667" s="51" t="s">
        <v>41</v>
      </c>
      <c r="C667" s="51" t="s">
        <v>42</v>
      </c>
      <c r="D667" s="51" t="s">
        <v>43</v>
      </c>
      <c r="E667" s="51" t="s">
        <v>25</v>
      </c>
      <c r="F667" s="51" t="s">
        <v>25</v>
      </c>
      <c r="G667" s="51" t="s">
        <v>25</v>
      </c>
      <c r="H667" s="51" t="s">
        <v>25</v>
      </c>
      <c r="I667" s="59">
        <v>44470</v>
      </c>
      <c r="J667" s="60">
        <f ca="1">EFEITO!$J$667*EFEITO!$Y$667</f>
        <v>-25480.955511481625</v>
      </c>
      <c r="K667" s="60">
        <f>EFEITO!$L$667*EFEITO!$Z$667</f>
        <v>0</v>
      </c>
      <c r="L667" s="60">
        <f>EFEITO!$N$667*EFEITO!$AA$667</f>
        <v>0</v>
      </c>
      <c r="M667" s="60">
        <f ca="1">$J$667-EFEITO!$K$667*EFEITO!$Y$667</f>
        <v>0</v>
      </c>
      <c r="N667" s="60">
        <f>$K$667-EFEITO!$M$667*EFEITO!$Z$667</f>
        <v>0</v>
      </c>
      <c r="O667" s="60">
        <f>$L$667-EFEITO!$O$667*EFEITO!$AA$667</f>
        <v>0</v>
      </c>
      <c r="P667" s="18"/>
      <c r="Q667" s="18"/>
      <c r="R667" s="18"/>
      <c r="S667" s="18"/>
      <c r="T667" s="18"/>
      <c r="U667" s="18"/>
      <c r="V667" s="18"/>
      <c r="W667" s="18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51" t="s">
        <v>28</v>
      </c>
      <c r="B668" s="51" t="s">
        <v>41</v>
      </c>
      <c r="C668" s="51" t="s">
        <v>42</v>
      </c>
      <c r="D668" s="51" t="s">
        <v>43</v>
      </c>
      <c r="E668" s="51" t="s">
        <v>25</v>
      </c>
      <c r="F668" s="51" t="s">
        <v>25</v>
      </c>
      <c r="G668" s="51" t="s">
        <v>25</v>
      </c>
      <c r="H668" s="51" t="s">
        <v>25</v>
      </c>
      <c r="I668" s="59">
        <v>44470</v>
      </c>
      <c r="J668" s="60">
        <f ca="1">EFEITO!$J$668*EFEITO!$Y$668</f>
        <v>123255.47791253219</v>
      </c>
      <c r="K668" s="60">
        <f>EFEITO!$L$668*EFEITO!$Z$668</f>
        <v>0</v>
      </c>
      <c r="L668" s="60">
        <f>EFEITO!$N$668*EFEITO!$AA$668</f>
        <v>0</v>
      </c>
      <c r="M668" s="60">
        <f ca="1">$J$668-EFEITO!$K$668*EFEITO!$Y$668</f>
        <v>0</v>
      </c>
      <c r="N668" s="60">
        <f>$K$668-EFEITO!$M$668*EFEITO!$Z$668</f>
        <v>0</v>
      </c>
      <c r="O668" s="60">
        <f>$L$668-EFEITO!$O$668*EFEITO!$AA$668</f>
        <v>0</v>
      </c>
      <c r="P668" s="18"/>
      <c r="Q668" s="18"/>
      <c r="R668" s="18"/>
      <c r="S668" s="18"/>
      <c r="T668" s="18"/>
      <c r="U668" s="18"/>
      <c r="V668" s="18"/>
      <c r="W668" s="18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51" t="s">
        <v>21</v>
      </c>
      <c r="B669" s="51" t="s">
        <v>41</v>
      </c>
      <c r="C669" s="51" t="s">
        <v>42</v>
      </c>
      <c r="D669" s="51" t="s">
        <v>43</v>
      </c>
      <c r="E669" s="51" t="s">
        <v>25</v>
      </c>
      <c r="F669" s="51" t="s">
        <v>25</v>
      </c>
      <c r="G669" s="51" t="s">
        <v>25</v>
      </c>
      <c r="H669" s="51" t="s">
        <v>25</v>
      </c>
      <c r="I669" s="59">
        <v>44470</v>
      </c>
      <c r="J669" s="60">
        <f ca="1">EFEITO!$J$669*EFEITO!$Y$669</f>
        <v>59553.089133828136</v>
      </c>
      <c r="K669" s="60">
        <f>EFEITO!$L$669*EFEITO!$Z$669</f>
        <v>0</v>
      </c>
      <c r="L669" s="60">
        <f>EFEITO!$N$669*EFEITO!$AA$669</f>
        <v>0</v>
      </c>
      <c r="M669" s="60">
        <f ca="1">$J$669-EFEITO!$K$669*EFEITO!$Y$669</f>
        <v>0</v>
      </c>
      <c r="N669" s="60">
        <f>$K$669-EFEITO!$M$669*EFEITO!$Z$669</f>
        <v>0</v>
      </c>
      <c r="O669" s="60">
        <f>$L$669-EFEITO!$O$669*EFEITO!$AA$669</f>
        <v>0</v>
      </c>
      <c r="P669" s="18"/>
      <c r="Q669" s="18"/>
      <c r="R669" s="18"/>
      <c r="S669" s="18"/>
      <c r="T669" s="18"/>
      <c r="U669" s="18"/>
      <c r="V669" s="18"/>
      <c r="W669" s="18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51" t="s">
        <v>21</v>
      </c>
      <c r="B670" s="51" t="s">
        <v>41</v>
      </c>
      <c r="C670" s="51" t="s">
        <v>42</v>
      </c>
      <c r="D670" s="51" t="s">
        <v>43</v>
      </c>
      <c r="E670" s="51" t="s">
        <v>25</v>
      </c>
      <c r="F670" s="51" t="s">
        <v>25</v>
      </c>
      <c r="G670" s="51" t="s">
        <v>25</v>
      </c>
      <c r="H670" s="51" t="s">
        <v>25</v>
      </c>
      <c r="I670" s="59">
        <v>44501</v>
      </c>
      <c r="J670" s="60">
        <f ca="1">EFEITO!$J$670*EFEITO!$Y$670</f>
        <v>1316578.0969340594</v>
      </c>
      <c r="K670" s="60">
        <f>EFEITO!$L$670*EFEITO!$Z$670</f>
        <v>0</v>
      </c>
      <c r="L670" s="60">
        <f>EFEITO!$N$670*EFEITO!$AA$670</f>
        <v>0</v>
      </c>
      <c r="M670" s="60">
        <f ca="1">$J$670-EFEITO!$K$670*EFEITO!$Y$670</f>
        <v>0</v>
      </c>
      <c r="N670" s="60">
        <f>$K$670-EFEITO!$M$670*EFEITO!$Z$670</f>
        <v>0</v>
      </c>
      <c r="O670" s="60">
        <f>$L$670-EFEITO!$O$670*EFEITO!$AA$670</f>
        <v>0</v>
      </c>
      <c r="P670" s="18"/>
      <c r="Q670" s="18"/>
      <c r="R670" s="18"/>
      <c r="S670" s="18"/>
      <c r="T670" s="18"/>
      <c r="U670" s="18"/>
      <c r="V670" s="18"/>
      <c r="W670" s="18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51" t="s">
        <v>27</v>
      </c>
      <c r="B671" s="51" t="s">
        <v>41</v>
      </c>
      <c r="C671" s="51" t="s">
        <v>42</v>
      </c>
      <c r="D671" s="51" t="s">
        <v>43</v>
      </c>
      <c r="E671" s="51" t="s">
        <v>25</v>
      </c>
      <c r="F671" s="51" t="s">
        <v>25</v>
      </c>
      <c r="G671" s="51" t="s">
        <v>25</v>
      </c>
      <c r="H671" s="51" t="s">
        <v>25</v>
      </c>
      <c r="I671" s="59">
        <v>44501</v>
      </c>
      <c r="J671" s="60">
        <f ca="1">EFEITO!$J$671*EFEITO!$Y$671</f>
        <v>9043.3453798577793</v>
      </c>
      <c r="K671" s="60">
        <f>EFEITO!$L$671*EFEITO!$Z$671</f>
        <v>0</v>
      </c>
      <c r="L671" s="60">
        <f>EFEITO!$N$671*EFEITO!$AA$671</f>
        <v>0</v>
      </c>
      <c r="M671" s="60">
        <f ca="1">$J$671-EFEITO!$K$671*EFEITO!$Y$671</f>
        <v>0</v>
      </c>
      <c r="N671" s="60">
        <f>$K$671-EFEITO!$M$671*EFEITO!$Z$671</f>
        <v>0</v>
      </c>
      <c r="O671" s="60">
        <f>$L$671-EFEITO!$O$671*EFEITO!$AA$671</f>
        <v>0</v>
      </c>
      <c r="P671" s="18"/>
      <c r="Q671" s="18"/>
      <c r="R671" s="18"/>
      <c r="S671" s="18"/>
      <c r="T671" s="18"/>
      <c r="U671" s="18"/>
      <c r="V671" s="18"/>
      <c r="W671" s="18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51" t="s">
        <v>28</v>
      </c>
      <c r="B672" s="51" t="s">
        <v>41</v>
      </c>
      <c r="C672" s="51" t="s">
        <v>42</v>
      </c>
      <c r="D672" s="51" t="s">
        <v>43</v>
      </c>
      <c r="E672" s="51" t="s">
        <v>25</v>
      </c>
      <c r="F672" s="51" t="s">
        <v>25</v>
      </c>
      <c r="G672" s="51" t="s">
        <v>25</v>
      </c>
      <c r="H672" s="51" t="s">
        <v>25</v>
      </c>
      <c r="I672" s="59">
        <v>44501</v>
      </c>
      <c r="J672" s="60">
        <f ca="1">EFEITO!$J$672*EFEITO!$Y$672</f>
        <v>134506.46348806116</v>
      </c>
      <c r="K672" s="60">
        <f>EFEITO!$L$672*EFEITO!$Z$672</f>
        <v>0</v>
      </c>
      <c r="L672" s="60">
        <f>EFEITO!$N$672*EFEITO!$AA$672</f>
        <v>0</v>
      </c>
      <c r="M672" s="60">
        <f ca="1">$J$672-EFEITO!$K$672*EFEITO!$Y$672</f>
        <v>0</v>
      </c>
      <c r="N672" s="60">
        <f>$K$672-EFEITO!$M$672*EFEITO!$Z$672</f>
        <v>0</v>
      </c>
      <c r="O672" s="60">
        <f>$L$672-EFEITO!$O$672*EFEITO!$AA$672</f>
        <v>0</v>
      </c>
      <c r="P672" s="18"/>
      <c r="Q672" s="18"/>
      <c r="R672" s="18"/>
      <c r="S672" s="18"/>
      <c r="T672" s="18"/>
      <c r="U672" s="18"/>
      <c r="V672" s="18"/>
      <c r="W672" s="18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51" t="s">
        <v>21</v>
      </c>
      <c r="B673" s="51" t="s">
        <v>41</v>
      </c>
      <c r="C673" s="51" t="s">
        <v>42</v>
      </c>
      <c r="D673" s="51" t="s">
        <v>43</v>
      </c>
      <c r="E673" s="51" t="s">
        <v>25</v>
      </c>
      <c r="F673" s="51" t="s">
        <v>25</v>
      </c>
      <c r="G673" s="51" t="s">
        <v>25</v>
      </c>
      <c r="H673" s="51" t="s">
        <v>25</v>
      </c>
      <c r="I673" s="59">
        <v>44501</v>
      </c>
      <c r="J673" s="60">
        <f ca="1">EFEITO!$J$673*EFEITO!$Y$673</f>
        <v>57850.812356443144</v>
      </c>
      <c r="K673" s="60">
        <f>EFEITO!$L$673*EFEITO!$Z$673</f>
        <v>0</v>
      </c>
      <c r="L673" s="60">
        <f>EFEITO!$N$673*EFEITO!$AA$673</f>
        <v>0</v>
      </c>
      <c r="M673" s="60">
        <f ca="1">$J$673-EFEITO!$K$673*EFEITO!$Y$673</f>
        <v>0</v>
      </c>
      <c r="N673" s="60">
        <f>$K$673-EFEITO!$M$673*EFEITO!$Z$673</f>
        <v>0</v>
      </c>
      <c r="O673" s="60">
        <f>$L$673-EFEITO!$O$673*EFEITO!$AA$673</f>
        <v>0</v>
      </c>
      <c r="P673" s="18"/>
      <c r="Q673" s="18"/>
      <c r="R673" s="18"/>
      <c r="S673" s="18"/>
      <c r="T673" s="18"/>
      <c r="U673" s="18"/>
      <c r="V673" s="18"/>
      <c r="W673" s="18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51" t="s">
        <v>21</v>
      </c>
      <c r="B674" s="51" t="s">
        <v>41</v>
      </c>
      <c r="C674" s="51" t="s">
        <v>42</v>
      </c>
      <c r="D674" s="51" t="s">
        <v>43</v>
      </c>
      <c r="E674" s="51" t="s">
        <v>25</v>
      </c>
      <c r="F674" s="51" t="s">
        <v>25</v>
      </c>
      <c r="G674" s="51" t="s">
        <v>25</v>
      </c>
      <c r="H674" s="51" t="s">
        <v>25</v>
      </c>
      <c r="I674" s="59">
        <v>44531</v>
      </c>
      <c r="J674" s="60">
        <f ca="1">EFEITO!$J$674*EFEITO!$Y$674</f>
        <v>1306896.3977626823</v>
      </c>
      <c r="K674" s="60">
        <f>EFEITO!$L$674*EFEITO!$Z$674</f>
        <v>0</v>
      </c>
      <c r="L674" s="60">
        <f>EFEITO!$N$674*EFEITO!$AA$674</f>
        <v>0</v>
      </c>
      <c r="M674" s="60">
        <f ca="1">$J$674-EFEITO!$K$674*EFEITO!$Y$674</f>
        <v>0</v>
      </c>
      <c r="N674" s="60">
        <f>$K$674-EFEITO!$M$674*EFEITO!$Z$674</f>
        <v>0</v>
      </c>
      <c r="O674" s="60">
        <f>$L$674-EFEITO!$O$674*EFEITO!$AA$674</f>
        <v>0</v>
      </c>
      <c r="P674" s="18"/>
      <c r="Q674" s="18"/>
      <c r="R674" s="18"/>
      <c r="S674" s="18"/>
      <c r="T674" s="18"/>
      <c r="U674" s="18"/>
      <c r="V674" s="18"/>
      <c r="W674" s="18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51" t="s">
        <v>27</v>
      </c>
      <c r="B675" s="51" t="s">
        <v>41</v>
      </c>
      <c r="C675" s="51" t="s">
        <v>42</v>
      </c>
      <c r="D675" s="51" t="s">
        <v>43</v>
      </c>
      <c r="E675" s="51" t="s">
        <v>25</v>
      </c>
      <c r="F675" s="51" t="s">
        <v>25</v>
      </c>
      <c r="G675" s="51" t="s">
        <v>25</v>
      </c>
      <c r="H675" s="51" t="s">
        <v>25</v>
      </c>
      <c r="I675" s="59">
        <v>44531</v>
      </c>
      <c r="J675" s="60">
        <f ca="1">EFEITO!$J$675*EFEITO!$Y$675</f>
        <v>8591.1781108648902</v>
      </c>
      <c r="K675" s="60">
        <f>EFEITO!$L$675*EFEITO!$Z$675</f>
        <v>0</v>
      </c>
      <c r="L675" s="60">
        <f>EFEITO!$N$675*EFEITO!$AA$675</f>
        <v>0</v>
      </c>
      <c r="M675" s="60">
        <f ca="1">$J$675-EFEITO!$K$675*EFEITO!$Y$675</f>
        <v>0</v>
      </c>
      <c r="N675" s="60">
        <f>$K$675-EFEITO!$M$675*EFEITO!$Z$675</f>
        <v>0</v>
      </c>
      <c r="O675" s="60">
        <f>$L$675-EFEITO!$O$675*EFEITO!$AA$675</f>
        <v>0</v>
      </c>
      <c r="P675" s="18"/>
      <c r="Q675" s="18"/>
      <c r="R675" s="18"/>
      <c r="S675" s="18"/>
      <c r="T675" s="18"/>
      <c r="U675" s="18"/>
      <c r="V675" s="18"/>
      <c r="W675" s="18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51" t="s">
        <v>28</v>
      </c>
      <c r="B676" s="51" t="s">
        <v>41</v>
      </c>
      <c r="C676" s="51" t="s">
        <v>42</v>
      </c>
      <c r="D676" s="51" t="s">
        <v>43</v>
      </c>
      <c r="E676" s="51" t="s">
        <v>25</v>
      </c>
      <c r="F676" s="51" t="s">
        <v>25</v>
      </c>
      <c r="G676" s="51" t="s">
        <v>25</v>
      </c>
      <c r="H676" s="51" t="s">
        <v>25</v>
      </c>
      <c r="I676" s="59">
        <v>44531</v>
      </c>
      <c r="J676" s="60">
        <f ca="1">EFEITO!$J$676*EFEITO!$Y$676</f>
        <v>147060.75472127547</v>
      </c>
      <c r="K676" s="60">
        <f>EFEITO!$L$676*EFEITO!$Z$676</f>
        <v>0</v>
      </c>
      <c r="L676" s="60">
        <f>EFEITO!$N$676*EFEITO!$AA$676</f>
        <v>0</v>
      </c>
      <c r="M676" s="60">
        <f ca="1">$J$676-EFEITO!$K$676*EFEITO!$Y$676</f>
        <v>0</v>
      </c>
      <c r="N676" s="60">
        <f>$K$676-EFEITO!$M$676*EFEITO!$Z$676</f>
        <v>0</v>
      </c>
      <c r="O676" s="60">
        <f>$L$676-EFEITO!$O$676*EFEITO!$AA$676</f>
        <v>0</v>
      </c>
      <c r="P676" s="18"/>
      <c r="Q676" s="18"/>
      <c r="R676" s="18"/>
      <c r="S676" s="18"/>
      <c r="T676" s="18"/>
      <c r="U676" s="18"/>
      <c r="V676" s="18"/>
      <c r="W676" s="18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51" t="s">
        <v>21</v>
      </c>
      <c r="B677" s="51" t="s">
        <v>41</v>
      </c>
      <c r="C677" s="51" t="s">
        <v>42</v>
      </c>
      <c r="D677" s="51" t="s">
        <v>43</v>
      </c>
      <c r="E677" s="51" t="s">
        <v>25</v>
      </c>
      <c r="F677" s="51" t="s">
        <v>25</v>
      </c>
      <c r="G677" s="51" t="s">
        <v>25</v>
      </c>
      <c r="H677" s="51" t="s">
        <v>25</v>
      </c>
      <c r="I677" s="59">
        <v>44531</v>
      </c>
      <c r="J677" s="60">
        <f ca="1">EFEITO!$J$677*EFEITO!$Y$677</f>
        <v>57850.812356443144</v>
      </c>
      <c r="K677" s="60">
        <f>EFEITO!$L$677*EFEITO!$Z$677</f>
        <v>0</v>
      </c>
      <c r="L677" s="60">
        <f>EFEITO!$N$677*EFEITO!$AA$677</f>
        <v>0</v>
      </c>
      <c r="M677" s="60">
        <f ca="1">$J$677-EFEITO!$K$677*EFEITO!$Y$677</f>
        <v>0</v>
      </c>
      <c r="N677" s="60">
        <f>$K$677-EFEITO!$M$677*EFEITO!$Z$677</f>
        <v>0</v>
      </c>
      <c r="O677" s="60">
        <f>$L$677-EFEITO!$O$677*EFEITO!$AA$677</f>
        <v>0</v>
      </c>
      <c r="P677" s="18"/>
      <c r="Q677" s="18"/>
      <c r="R677" s="18"/>
      <c r="S677" s="18"/>
      <c r="T677" s="18"/>
      <c r="U677" s="18"/>
      <c r="V677" s="18"/>
      <c r="W677" s="18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51" t="s">
        <v>21</v>
      </c>
      <c r="B678" s="51" t="s">
        <v>41</v>
      </c>
      <c r="C678" s="51" t="s">
        <v>42</v>
      </c>
      <c r="D678" s="51" t="s">
        <v>43</v>
      </c>
      <c r="E678" s="51" t="s">
        <v>25</v>
      </c>
      <c r="F678" s="51" t="s">
        <v>25</v>
      </c>
      <c r="G678" s="51" t="s">
        <v>25</v>
      </c>
      <c r="H678" s="51" t="s">
        <v>25</v>
      </c>
      <c r="I678" s="59">
        <v>44562</v>
      </c>
      <c r="J678" s="60">
        <f ca="1">EFEITO!$J$678*EFEITO!$Y$678</f>
        <v>1257822.9500396305</v>
      </c>
      <c r="K678" s="60">
        <f>EFEITO!$L$678*EFEITO!$Z$678</f>
        <v>0</v>
      </c>
      <c r="L678" s="60">
        <f>EFEITO!$N$678*EFEITO!$AA$678</f>
        <v>0</v>
      </c>
      <c r="M678" s="60">
        <f ca="1">$J$678-EFEITO!$K$678*EFEITO!$Y$678</f>
        <v>0</v>
      </c>
      <c r="N678" s="60">
        <f>$K$678-EFEITO!$M$678*EFEITO!$Z$678</f>
        <v>0</v>
      </c>
      <c r="O678" s="60">
        <f>$L$678-EFEITO!$O$678*EFEITO!$AA$678</f>
        <v>0</v>
      </c>
      <c r="P678" s="18"/>
      <c r="Q678" s="18"/>
      <c r="R678" s="18"/>
      <c r="S678" s="18"/>
      <c r="T678" s="18"/>
      <c r="U678" s="18"/>
      <c r="V678" s="18"/>
      <c r="W678" s="18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51" t="s">
        <v>28</v>
      </c>
      <c r="B679" s="51" t="s">
        <v>41</v>
      </c>
      <c r="C679" s="51" t="s">
        <v>42</v>
      </c>
      <c r="D679" s="51" t="s">
        <v>43</v>
      </c>
      <c r="E679" s="51" t="s">
        <v>25</v>
      </c>
      <c r="F679" s="51" t="s">
        <v>25</v>
      </c>
      <c r="G679" s="51" t="s">
        <v>25</v>
      </c>
      <c r="H679" s="51" t="s">
        <v>25</v>
      </c>
      <c r="I679" s="59">
        <v>44562</v>
      </c>
      <c r="J679" s="60">
        <f ca="1">EFEITO!$J$679*EFEITO!$Y$679</f>
        <v>156024.30587719331</v>
      </c>
      <c r="K679" s="60">
        <f>EFEITO!$L$679*EFEITO!$Z$679</f>
        <v>0</v>
      </c>
      <c r="L679" s="60">
        <f>EFEITO!$N$679*EFEITO!$AA$679</f>
        <v>0</v>
      </c>
      <c r="M679" s="60">
        <f ca="1">$J$679-EFEITO!$K$679*EFEITO!$Y$679</f>
        <v>0</v>
      </c>
      <c r="N679" s="60">
        <f>$K$679-EFEITO!$M$679*EFEITO!$Z$679</f>
        <v>0</v>
      </c>
      <c r="O679" s="60">
        <f>$L$679-EFEITO!$O$679*EFEITO!$AA$679</f>
        <v>0</v>
      </c>
      <c r="P679" s="18"/>
      <c r="Q679" s="18"/>
      <c r="R679" s="18"/>
      <c r="S679" s="18"/>
      <c r="T679" s="18"/>
      <c r="U679" s="18"/>
      <c r="V679" s="18"/>
      <c r="W679" s="18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51" t="s">
        <v>21</v>
      </c>
      <c r="B680" s="51" t="s">
        <v>41</v>
      </c>
      <c r="C680" s="51" t="s">
        <v>42</v>
      </c>
      <c r="D680" s="51" t="s">
        <v>43</v>
      </c>
      <c r="E680" s="51" t="s">
        <v>25</v>
      </c>
      <c r="F680" s="51" t="s">
        <v>25</v>
      </c>
      <c r="G680" s="51" t="s">
        <v>25</v>
      </c>
      <c r="H680" s="51" t="s">
        <v>25</v>
      </c>
      <c r="I680" s="59">
        <v>44562</v>
      </c>
      <c r="J680" s="60">
        <f ca="1">EFEITO!$J$680*EFEITO!$Y$680</f>
        <v>57850.812356443144</v>
      </c>
      <c r="K680" s="60">
        <f>EFEITO!$L$680*EFEITO!$Z$680</f>
        <v>0</v>
      </c>
      <c r="L680" s="60">
        <f>EFEITO!$N$680*EFEITO!$AA$680</f>
        <v>0</v>
      </c>
      <c r="M680" s="60">
        <f ca="1">$J$680-EFEITO!$K$680*EFEITO!$Y$680</f>
        <v>0</v>
      </c>
      <c r="N680" s="60">
        <f>$K$680-EFEITO!$M$680*EFEITO!$Z$680</f>
        <v>0</v>
      </c>
      <c r="O680" s="60">
        <f>$L$680-EFEITO!$O$680*EFEITO!$AA$680</f>
        <v>0</v>
      </c>
      <c r="P680" s="18"/>
      <c r="Q680" s="18"/>
      <c r="R680" s="18"/>
      <c r="S680" s="18"/>
      <c r="T680" s="18"/>
      <c r="U680" s="18"/>
      <c r="V680" s="18"/>
      <c r="W680" s="18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51" t="s">
        <v>21</v>
      </c>
      <c r="B681" s="51" t="s">
        <v>41</v>
      </c>
      <c r="C681" s="51" t="s">
        <v>42</v>
      </c>
      <c r="D681" s="51" t="s">
        <v>43</v>
      </c>
      <c r="E681" s="51" t="s">
        <v>25</v>
      </c>
      <c r="F681" s="51" t="s">
        <v>25</v>
      </c>
      <c r="G681" s="51" t="s">
        <v>25</v>
      </c>
      <c r="H681" s="51" t="s">
        <v>25</v>
      </c>
      <c r="I681" s="59">
        <v>44593</v>
      </c>
      <c r="J681" s="60">
        <f ca="1">EFEITO!$J$681*EFEITO!$Y$681</f>
        <v>1255588.7117693126</v>
      </c>
      <c r="K681" s="60">
        <f>EFEITO!$L$681*EFEITO!$Z$681</f>
        <v>0</v>
      </c>
      <c r="L681" s="60">
        <f>EFEITO!$N$681*EFEITO!$AA$681</f>
        <v>0</v>
      </c>
      <c r="M681" s="60">
        <f ca="1">$J$681-EFEITO!$K$681*EFEITO!$Y$681</f>
        <v>0</v>
      </c>
      <c r="N681" s="60">
        <f>$K$681-EFEITO!$M$681*EFEITO!$Z$681</f>
        <v>0</v>
      </c>
      <c r="O681" s="60">
        <f>$L$681-EFEITO!$O$681*EFEITO!$AA$681</f>
        <v>0</v>
      </c>
      <c r="P681" s="18"/>
      <c r="Q681" s="18"/>
      <c r="R681" s="18"/>
      <c r="S681" s="18"/>
      <c r="T681" s="18"/>
      <c r="U681" s="18"/>
      <c r="V681" s="18"/>
      <c r="W681" s="18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51" t="s">
        <v>27</v>
      </c>
      <c r="B682" s="51" t="s">
        <v>41</v>
      </c>
      <c r="C682" s="51" t="s">
        <v>42</v>
      </c>
      <c r="D682" s="51" t="s">
        <v>43</v>
      </c>
      <c r="E682" s="51" t="s">
        <v>25</v>
      </c>
      <c r="F682" s="51" t="s">
        <v>25</v>
      </c>
      <c r="G682" s="51" t="s">
        <v>25</v>
      </c>
      <c r="H682" s="51" t="s">
        <v>25</v>
      </c>
      <c r="I682" s="59">
        <v>44593</v>
      </c>
      <c r="J682" s="60">
        <f ca="1">EFEITO!$J$682*EFEITO!$Y$682</f>
        <v>212.78459717312421</v>
      </c>
      <c r="K682" s="60">
        <f>EFEITO!$L$682*EFEITO!$Z$682</f>
        <v>0</v>
      </c>
      <c r="L682" s="60">
        <f>EFEITO!$N$682*EFEITO!$AA$682</f>
        <v>0</v>
      </c>
      <c r="M682" s="60">
        <f ca="1">$J$682-EFEITO!$K$682*EFEITO!$Y$682</f>
        <v>0</v>
      </c>
      <c r="N682" s="60">
        <f>$K$682-EFEITO!$M$682*EFEITO!$Z$682</f>
        <v>0</v>
      </c>
      <c r="O682" s="60">
        <f>$L$682-EFEITO!$O$682*EFEITO!$AA$682</f>
        <v>0</v>
      </c>
      <c r="P682" s="18"/>
      <c r="Q682" s="18"/>
      <c r="R682" s="18"/>
      <c r="S682" s="18"/>
      <c r="T682" s="18"/>
      <c r="U682" s="18"/>
      <c r="V682" s="18"/>
      <c r="W682" s="18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51" t="s">
        <v>28</v>
      </c>
      <c r="B683" s="51" t="s">
        <v>41</v>
      </c>
      <c r="C683" s="51" t="s">
        <v>42</v>
      </c>
      <c r="D683" s="51" t="s">
        <v>43</v>
      </c>
      <c r="E683" s="51" t="s">
        <v>25</v>
      </c>
      <c r="F683" s="51" t="s">
        <v>25</v>
      </c>
      <c r="G683" s="51" t="s">
        <v>25</v>
      </c>
      <c r="H683" s="51" t="s">
        <v>25</v>
      </c>
      <c r="I683" s="59">
        <v>44593</v>
      </c>
      <c r="J683" s="60">
        <f ca="1">EFEITO!$J$683*EFEITO!$Y$683</f>
        <v>180308.34802957613</v>
      </c>
      <c r="K683" s="60">
        <f>EFEITO!$L$683*EFEITO!$Z$683</f>
        <v>0</v>
      </c>
      <c r="L683" s="60">
        <f>EFEITO!$N$683*EFEITO!$AA$683</f>
        <v>0</v>
      </c>
      <c r="M683" s="60">
        <f ca="1">$J$683-EFEITO!$K$683*EFEITO!$Y$683</f>
        <v>0</v>
      </c>
      <c r="N683" s="60">
        <f>$K$683-EFEITO!$M$683*EFEITO!$Z$683</f>
        <v>0</v>
      </c>
      <c r="O683" s="60">
        <f>$L$683-EFEITO!$O$683*EFEITO!$AA$683</f>
        <v>0</v>
      </c>
      <c r="P683" s="18"/>
      <c r="Q683" s="18"/>
      <c r="R683" s="18"/>
      <c r="S683" s="18"/>
      <c r="T683" s="18"/>
      <c r="U683" s="18"/>
      <c r="V683" s="18"/>
      <c r="W683" s="18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51" t="s">
        <v>21</v>
      </c>
      <c r="B684" s="51" t="s">
        <v>41</v>
      </c>
      <c r="C684" s="51" t="s">
        <v>42</v>
      </c>
      <c r="D684" s="51" t="s">
        <v>43</v>
      </c>
      <c r="E684" s="51" t="s">
        <v>25</v>
      </c>
      <c r="F684" s="51" t="s">
        <v>25</v>
      </c>
      <c r="G684" s="51" t="s">
        <v>25</v>
      </c>
      <c r="H684" s="51" t="s">
        <v>25</v>
      </c>
      <c r="I684" s="59">
        <v>44593</v>
      </c>
      <c r="J684" s="60">
        <f ca="1">EFEITO!$J$684*EFEITO!$Y$684</f>
        <v>57850.812356443144</v>
      </c>
      <c r="K684" s="60">
        <f>EFEITO!$L$684*EFEITO!$Z$684</f>
        <v>0</v>
      </c>
      <c r="L684" s="60">
        <f>EFEITO!$N$684*EFEITO!$AA$684</f>
        <v>0</v>
      </c>
      <c r="M684" s="60">
        <f ca="1">$J$684-EFEITO!$K$684*EFEITO!$Y$684</f>
        <v>0</v>
      </c>
      <c r="N684" s="60">
        <f>$K$684-EFEITO!$M$684*EFEITO!$Z$684</f>
        <v>0</v>
      </c>
      <c r="O684" s="60">
        <f>$L$684-EFEITO!$O$684*EFEITO!$AA$684</f>
        <v>0</v>
      </c>
      <c r="P684" s="18"/>
      <c r="Q684" s="18"/>
      <c r="R684" s="18"/>
      <c r="S684" s="18"/>
      <c r="T684" s="18"/>
      <c r="U684" s="18"/>
      <c r="V684" s="18"/>
      <c r="W684" s="18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51" t="s">
        <v>56</v>
      </c>
      <c r="B685" s="51" t="s">
        <v>41</v>
      </c>
      <c r="C685" s="51" t="s">
        <v>42</v>
      </c>
      <c r="D685" s="51" t="s">
        <v>43</v>
      </c>
      <c r="E685" s="51" t="s">
        <v>25</v>
      </c>
      <c r="F685" s="51" t="s">
        <v>25</v>
      </c>
      <c r="G685" s="51" t="s">
        <v>25</v>
      </c>
      <c r="H685" s="51" t="s">
        <v>25</v>
      </c>
      <c r="I685" s="59">
        <v>44621</v>
      </c>
      <c r="J685" s="60">
        <f ca="1">EFEITO!$J$685*EFEITO!$Y$685</f>
        <v>1255588.7117693126</v>
      </c>
      <c r="K685" s="60">
        <f>EFEITO!$L$685*EFEITO!$Z$685</f>
        <v>0</v>
      </c>
      <c r="L685" s="60">
        <f>EFEITO!$N$685*EFEITO!$AA$685</f>
        <v>0</v>
      </c>
      <c r="M685" s="60">
        <f ca="1">$J$685-EFEITO!$K$685*EFEITO!$Y$685</f>
        <v>0</v>
      </c>
      <c r="N685" s="60">
        <f>$K$685-EFEITO!$M$685*EFEITO!$Z$685</f>
        <v>0</v>
      </c>
      <c r="O685" s="60">
        <f>$L$685-EFEITO!$O$685*EFEITO!$AA$685</f>
        <v>0</v>
      </c>
      <c r="P685" s="18"/>
      <c r="Q685" s="18"/>
      <c r="R685" s="18"/>
      <c r="S685" s="18"/>
      <c r="T685" s="18"/>
      <c r="U685" s="18"/>
      <c r="V685" s="18"/>
      <c r="W685" s="18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51" t="s">
        <v>56</v>
      </c>
      <c r="B686" s="51" t="s">
        <v>41</v>
      </c>
      <c r="C686" s="51" t="s">
        <v>42</v>
      </c>
      <c r="D686" s="51" t="s">
        <v>43</v>
      </c>
      <c r="E686" s="51" t="s">
        <v>25</v>
      </c>
      <c r="F686" s="51" t="s">
        <v>25</v>
      </c>
      <c r="G686" s="51" t="s">
        <v>25</v>
      </c>
      <c r="H686" s="51" t="s">
        <v>25</v>
      </c>
      <c r="I686" s="59">
        <v>44621</v>
      </c>
      <c r="J686" s="60">
        <f ca="1">EFEITO!$J$686*EFEITO!$Y$686</f>
        <v>212.78459717312421</v>
      </c>
      <c r="K686" s="60">
        <f>EFEITO!$L$686*EFEITO!$Z$686</f>
        <v>0</v>
      </c>
      <c r="L686" s="60">
        <f>EFEITO!$N$686*EFEITO!$AA$686</f>
        <v>0</v>
      </c>
      <c r="M686" s="60">
        <f ca="1">$J$686-EFEITO!$K$686*EFEITO!$Y$686</f>
        <v>0</v>
      </c>
      <c r="N686" s="60">
        <f>$K$686-EFEITO!$M$686*EFEITO!$Z$686</f>
        <v>0</v>
      </c>
      <c r="O686" s="60">
        <f>$L$686-EFEITO!$O$686*EFEITO!$AA$686</f>
        <v>0</v>
      </c>
      <c r="P686" s="18"/>
      <c r="Q686" s="18"/>
      <c r="R686" s="18"/>
      <c r="S686" s="18"/>
      <c r="T686" s="18"/>
      <c r="U686" s="18"/>
      <c r="V686" s="18"/>
      <c r="W686" s="18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51" t="s">
        <v>56</v>
      </c>
      <c r="B687" s="51" t="s">
        <v>41</v>
      </c>
      <c r="C687" s="51" t="s">
        <v>42</v>
      </c>
      <c r="D687" s="51" t="s">
        <v>43</v>
      </c>
      <c r="E687" s="51" t="s">
        <v>25</v>
      </c>
      <c r="F687" s="51" t="s">
        <v>25</v>
      </c>
      <c r="G687" s="51" t="s">
        <v>25</v>
      </c>
      <c r="H687" s="51" t="s">
        <v>25</v>
      </c>
      <c r="I687" s="59">
        <v>44621</v>
      </c>
      <c r="J687" s="60">
        <f ca="1">EFEITO!$J$687*EFEITO!$Y$687</f>
        <v>180308.34802957613</v>
      </c>
      <c r="K687" s="60">
        <f>EFEITO!$L$687*EFEITO!$Z$687</f>
        <v>0</v>
      </c>
      <c r="L687" s="60">
        <f>EFEITO!$N$687*EFEITO!$AA$687</f>
        <v>0</v>
      </c>
      <c r="M687" s="60">
        <f ca="1">$J$687-EFEITO!$K$687*EFEITO!$Y$687</f>
        <v>0</v>
      </c>
      <c r="N687" s="60">
        <f>$K$687-EFEITO!$M$687*EFEITO!$Z$687</f>
        <v>0</v>
      </c>
      <c r="O687" s="60">
        <f>$L$687-EFEITO!$O$687*EFEITO!$AA$687</f>
        <v>0</v>
      </c>
      <c r="P687" s="18"/>
      <c r="Q687" s="18"/>
      <c r="R687" s="18"/>
      <c r="S687" s="18"/>
      <c r="T687" s="18"/>
      <c r="U687" s="18"/>
      <c r="V687" s="18"/>
      <c r="W687" s="18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51" t="s">
        <v>56</v>
      </c>
      <c r="B688" s="51" t="s">
        <v>41</v>
      </c>
      <c r="C688" s="51" t="s">
        <v>42</v>
      </c>
      <c r="D688" s="51" t="s">
        <v>43</v>
      </c>
      <c r="E688" s="51" t="s">
        <v>25</v>
      </c>
      <c r="F688" s="51" t="s">
        <v>25</v>
      </c>
      <c r="G688" s="51" t="s">
        <v>25</v>
      </c>
      <c r="H688" s="51" t="s">
        <v>25</v>
      </c>
      <c r="I688" s="59">
        <v>44621</v>
      </c>
      <c r="J688" s="60">
        <f ca="1">EFEITO!$J$688*EFEITO!$Y$688</f>
        <v>57850.812356443144</v>
      </c>
      <c r="K688" s="60">
        <f>EFEITO!$L$688*EFEITO!$Z$688</f>
        <v>0</v>
      </c>
      <c r="L688" s="60">
        <f>EFEITO!$N$688*EFEITO!$AA$688</f>
        <v>0</v>
      </c>
      <c r="M688" s="60">
        <f ca="1">$J$688-EFEITO!$K$688*EFEITO!$Y$688</f>
        <v>0</v>
      </c>
      <c r="N688" s="60">
        <f>$K$688-EFEITO!$M$688*EFEITO!$Z$688</f>
        <v>0</v>
      </c>
      <c r="O688" s="60">
        <f>$L$688-EFEITO!$O$688*EFEITO!$AA$688</f>
        <v>0</v>
      </c>
      <c r="P688" s="18"/>
      <c r="Q688" s="18"/>
      <c r="R688" s="18"/>
      <c r="S688" s="18"/>
      <c r="T688" s="18"/>
      <c r="U688" s="18"/>
      <c r="V688" s="18"/>
      <c r="W688" s="18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51" t="s">
        <v>21</v>
      </c>
      <c r="B689" s="51" t="s">
        <v>41</v>
      </c>
      <c r="C689" s="51" t="s">
        <v>42</v>
      </c>
      <c r="D689" s="51" t="s">
        <v>43</v>
      </c>
      <c r="E689" s="51" t="s">
        <v>25</v>
      </c>
      <c r="F689" s="51" t="s">
        <v>25</v>
      </c>
      <c r="G689" s="51" t="s">
        <v>25</v>
      </c>
      <c r="H689" s="51" t="s">
        <v>34</v>
      </c>
      <c r="I689" s="59">
        <v>44287</v>
      </c>
      <c r="J689" s="60">
        <f>EFEITO!$J$689*EFEITO!$Y$689</f>
        <v>0</v>
      </c>
      <c r="K689" s="60">
        <f ca="1">EFEITO!$L$689*EFEITO!$Z$689</f>
        <v>1246151.645259582</v>
      </c>
      <c r="L689" s="60">
        <f>EFEITO!$N$689*EFEITO!$AA$689</f>
        <v>245143.2836813925</v>
      </c>
      <c r="M689" s="60">
        <f>$J$689-EFEITO!$K$689*EFEITO!$Y$689</f>
        <v>0</v>
      </c>
      <c r="N689" s="60">
        <f ca="1">$K$689-EFEITO!$M$689*EFEITO!$Z$689</f>
        <v>0</v>
      </c>
      <c r="O689" s="60">
        <f>$L$689-EFEITO!$O$689*EFEITO!$AA$689</f>
        <v>0</v>
      </c>
      <c r="P689" s="18"/>
      <c r="Q689" s="18"/>
      <c r="R689" s="18"/>
      <c r="S689" s="18"/>
      <c r="T689" s="18"/>
      <c r="U689" s="18"/>
      <c r="V689" s="18"/>
      <c r="W689" s="18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51" t="s">
        <v>28</v>
      </c>
      <c r="B690" s="51" t="s">
        <v>41</v>
      </c>
      <c r="C690" s="51" t="s">
        <v>42</v>
      </c>
      <c r="D690" s="51" t="s">
        <v>43</v>
      </c>
      <c r="E690" s="51" t="s">
        <v>25</v>
      </c>
      <c r="F690" s="51" t="s">
        <v>25</v>
      </c>
      <c r="G690" s="51" t="s">
        <v>25</v>
      </c>
      <c r="H690" s="51" t="s">
        <v>34</v>
      </c>
      <c r="I690" s="59">
        <v>44287</v>
      </c>
      <c r="J690" s="60">
        <f>EFEITO!$J$690*EFEITO!$Y$690</f>
        <v>0</v>
      </c>
      <c r="K690" s="60">
        <f ca="1">EFEITO!$L$690*EFEITO!$Z$690</f>
        <v>73697.535556128423</v>
      </c>
      <c r="L690" s="60">
        <f>EFEITO!$N$690*EFEITO!$AA$690</f>
        <v>14497.798830648842</v>
      </c>
      <c r="M690" s="60">
        <f>$J$690-EFEITO!$K$690*EFEITO!$Y$690</f>
        <v>0</v>
      </c>
      <c r="N690" s="60">
        <f ca="1">$K$690-EFEITO!$M$690*EFEITO!$Z$690</f>
        <v>0</v>
      </c>
      <c r="O690" s="60">
        <f>$L$690-EFEITO!$O$690*EFEITO!$AA$690</f>
        <v>0</v>
      </c>
      <c r="P690" s="18"/>
      <c r="Q690" s="18"/>
      <c r="R690" s="18"/>
      <c r="S690" s="18"/>
      <c r="T690" s="18"/>
      <c r="U690" s="18"/>
      <c r="V690" s="18"/>
      <c r="W690" s="18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51" t="s">
        <v>21</v>
      </c>
      <c r="B691" s="51" t="s">
        <v>41</v>
      </c>
      <c r="C691" s="51" t="s">
        <v>42</v>
      </c>
      <c r="D691" s="51" t="s">
        <v>43</v>
      </c>
      <c r="E691" s="51" t="s">
        <v>25</v>
      </c>
      <c r="F691" s="51" t="s">
        <v>25</v>
      </c>
      <c r="G691" s="51" t="s">
        <v>25</v>
      </c>
      <c r="H691" s="51" t="s">
        <v>34</v>
      </c>
      <c r="I691" s="59">
        <v>44287</v>
      </c>
      <c r="J691" s="60">
        <f>EFEITO!$J$691*EFEITO!$Y$691</f>
        <v>0</v>
      </c>
      <c r="K691" s="60">
        <f ca="1">EFEITO!$L$691*EFEITO!$Z$691</f>
        <v>7261.5018574593732</v>
      </c>
      <c r="L691" s="60">
        <f>EFEITO!$N$691*EFEITO!$AA$691</f>
        <v>0</v>
      </c>
      <c r="M691" s="60">
        <f>$J$691-EFEITO!$K$691*EFEITO!$Y$691</f>
        <v>0</v>
      </c>
      <c r="N691" s="60">
        <f ca="1">$K$691-EFEITO!$M$691*EFEITO!$Z$691</f>
        <v>0</v>
      </c>
      <c r="O691" s="60">
        <f>$L$691-EFEITO!$O$691*EFEITO!$AA$691</f>
        <v>0</v>
      </c>
      <c r="P691" s="18"/>
      <c r="Q691" s="18"/>
      <c r="R691" s="18"/>
      <c r="S691" s="18"/>
      <c r="T691" s="18"/>
      <c r="U691" s="18"/>
      <c r="V691" s="18"/>
      <c r="W691" s="18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51" t="s">
        <v>21</v>
      </c>
      <c r="B692" s="51" t="s">
        <v>41</v>
      </c>
      <c r="C692" s="51" t="s">
        <v>42</v>
      </c>
      <c r="D692" s="51" t="s">
        <v>43</v>
      </c>
      <c r="E692" s="51" t="s">
        <v>25</v>
      </c>
      <c r="F692" s="51" t="s">
        <v>25</v>
      </c>
      <c r="G692" s="51" t="s">
        <v>25</v>
      </c>
      <c r="H692" s="51" t="s">
        <v>34</v>
      </c>
      <c r="I692" s="59">
        <v>44317</v>
      </c>
      <c r="J692" s="60">
        <f>EFEITO!$J$692*EFEITO!$Y$692</f>
        <v>0</v>
      </c>
      <c r="K692" s="60">
        <f ca="1">EFEITO!$L$692*EFEITO!$Z$692</f>
        <v>1179118.2974369763</v>
      </c>
      <c r="L692" s="60">
        <f>EFEITO!$N$692*EFEITO!$AA$692</f>
        <v>231956.46563729527</v>
      </c>
      <c r="M692" s="60">
        <f>$J$692-EFEITO!$K$692*EFEITO!$Y$692</f>
        <v>0</v>
      </c>
      <c r="N692" s="60">
        <f ca="1">$K$692-EFEITO!$M$692*EFEITO!$Z$692</f>
        <v>0</v>
      </c>
      <c r="O692" s="60">
        <f>$L$692-EFEITO!$O$692*EFEITO!$AA$692</f>
        <v>0</v>
      </c>
      <c r="P692" s="18"/>
      <c r="Q692" s="18"/>
      <c r="R692" s="18"/>
      <c r="S692" s="18"/>
      <c r="T692" s="18"/>
      <c r="U692" s="18"/>
      <c r="V692" s="18"/>
      <c r="W692" s="18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51" t="s">
        <v>27</v>
      </c>
      <c r="B693" s="51" t="s">
        <v>41</v>
      </c>
      <c r="C693" s="51" t="s">
        <v>42</v>
      </c>
      <c r="D693" s="51" t="s">
        <v>43</v>
      </c>
      <c r="E693" s="51" t="s">
        <v>25</v>
      </c>
      <c r="F693" s="51" t="s">
        <v>25</v>
      </c>
      <c r="G693" s="51" t="s">
        <v>25</v>
      </c>
      <c r="H693" s="51" t="s">
        <v>34</v>
      </c>
      <c r="I693" s="59">
        <v>44317</v>
      </c>
      <c r="J693" s="60">
        <f>EFEITO!$J$693*EFEITO!$Y$693</f>
        <v>0</v>
      </c>
      <c r="K693" s="60">
        <f ca="1">EFEITO!$L$693*EFEITO!$Z$693</f>
        <v>-8013.1987088136857</v>
      </c>
      <c r="L693" s="60">
        <f>EFEITO!$N$693*EFEITO!$AA$693</f>
        <v>-1576.3585850427432</v>
      </c>
      <c r="M693" s="60">
        <f>$J$693-EFEITO!$K$693*EFEITO!$Y$693</f>
        <v>0</v>
      </c>
      <c r="N693" s="60">
        <f ca="1">$K$693-EFEITO!$M$693*EFEITO!$Z$693</f>
        <v>0</v>
      </c>
      <c r="O693" s="60">
        <f>$L$693-EFEITO!$O$693*EFEITO!$AA$693</f>
        <v>0</v>
      </c>
      <c r="P693" s="18"/>
      <c r="Q693" s="18"/>
      <c r="R693" s="18"/>
      <c r="S693" s="18"/>
      <c r="T693" s="18"/>
      <c r="U693" s="18"/>
      <c r="V693" s="18"/>
      <c r="W693" s="18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51" t="s">
        <v>28</v>
      </c>
      <c r="B694" s="51" t="s">
        <v>41</v>
      </c>
      <c r="C694" s="51" t="s">
        <v>42</v>
      </c>
      <c r="D694" s="51" t="s">
        <v>43</v>
      </c>
      <c r="E694" s="51" t="s">
        <v>25</v>
      </c>
      <c r="F694" s="51" t="s">
        <v>25</v>
      </c>
      <c r="G694" s="51" t="s">
        <v>25</v>
      </c>
      <c r="H694" s="51" t="s">
        <v>34</v>
      </c>
      <c r="I694" s="59">
        <v>44317</v>
      </c>
      <c r="J694" s="60">
        <f>EFEITO!$J$694*EFEITO!$Y$694</f>
        <v>0</v>
      </c>
      <c r="K694" s="60">
        <f ca="1">EFEITO!$L$694*EFEITO!$Z$694</f>
        <v>80431.563094911297</v>
      </c>
      <c r="L694" s="60">
        <f>EFEITO!$N$694*EFEITO!$AA$694</f>
        <v>15822.518522299441</v>
      </c>
      <c r="M694" s="60">
        <f>$J$694-EFEITO!$K$694*EFEITO!$Y$694</f>
        <v>0</v>
      </c>
      <c r="N694" s="60">
        <f ca="1">$K$694-EFEITO!$M$694*EFEITO!$Z$694</f>
        <v>0</v>
      </c>
      <c r="O694" s="60">
        <f>$L$694-EFEITO!$O$694*EFEITO!$AA$694</f>
        <v>0</v>
      </c>
      <c r="P694" s="18"/>
      <c r="Q694" s="18"/>
      <c r="R694" s="18"/>
      <c r="S694" s="18"/>
      <c r="T694" s="18"/>
      <c r="U694" s="18"/>
      <c r="V694" s="18"/>
      <c r="W694" s="18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51" t="s">
        <v>28</v>
      </c>
      <c r="B695" s="51" t="s">
        <v>41</v>
      </c>
      <c r="C695" s="51" t="s">
        <v>42</v>
      </c>
      <c r="D695" s="51" t="s">
        <v>43</v>
      </c>
      <c r="E695" s="51" t="s">
        <v>25</v>
      </c>
      <c r="F695" s="51" t="s">
        <v>25</v>
      </c>
      <c r="G695" s="51" t="s">
        <v>25</v>
      </c>
      <c r="H695" s="51" t="s">
        <v>34</v>
      </c>
      <c r="I695" s="59">
        <v>44317</v>
      </c>
      <c r="J695" s="60">
        <f>EFEITO!$J$695*EFEITO!$Y$695</f>
        <v>0</v>
      </c>
      <c r="K695" s="60">
        <f ca="1">EFEITO!$L$695*EFEITO!$Z$695</f>
        <v>-110.27337672679383</v>
      </c>
      <c r="L695" s="60">
        <f>EFEITO!$N$695*EFEITO!$AA$695</f>
        <v>-21.693008051046924</v>
      </c>
      <c r="M695" s="60">
        <f>$J$695-EFEITO!$K$695*EFEITO!$Y$695</f>
        <v>0</v>
      </c>
      <c r="N695" s="60">
        <f ca="1">$K$695-EFEITO!$M$695*EFEITO!$Z$695</f>
        <v>0</v>
      </c>
      <c r="O695" s="60">
        <f>$L$695-EFEITO!$O$695*EFEITO!$AA$695</f>
        <v>0</v>
      </c>
      <c r="P695" s="18"/>
      <c r="Q695" s="18"/>
      <c r="R695" s="18"/>
      <c r="S695" s="18"/>
      <c r="T695" s="18"/>
      <c r="U695" s="18"/>
      <c r="V695" s="18"/>
      <c r="W695" s="18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51" t="s">
        <v>21</v>
      </c>
      <c r="B696" s="51" t="s">
        <v>41</v>
      </c>
      <c r="C696" s="51" t="s">
        <v>42</v>
      </c>
      <c r="D696" s="51" t="s">
        <v>43</v>
      </c>
      <c r="E696" s="51" t="s">
        <v>25</v>
      </c>
      <c r="F696" s="51" t="s">
        <v>25</v>
      </c>
      <c r="G696" s="51" t="s">
        <v>25</v>
      </c>
      <c r="H696" s="51" t="s">
        <v>34</v>
      </c>
      <c r="I696" s="59">
        <v>44317</v>
      </c>
      <c r="J696" s="60">
        <f>EFEITO!$J$696*EFEITO!$Y$696</f>
        <v>0</v>
      </c>
      <c r="K696" s="60">
        <f ca="1">EFEITO!$L$696*EFEITO!$Z$696</f>
        <v>6833.2735778369906</v>
      </c>
      <c r="L696" s="60">
        <f>EFEITO!$N$696*EFEITO!$AA$696</f>
        <v>0</v>
      </c>
      <c r="M696" s="60">
        <f>$J$696-EFEITO!$K$696*EFEITO!$Y$696</f>
        <v>0</v>
      </c>
      <c r="N696" s="60">
        <f ca="1">$K$696-EFEITO!$M$696*EFEITO!$Z$696</f>
        <v>0</v>
      </c>
      <c r="O696" s="60">
        <f>$L$696-EFEITO!$O$696*EFEITO!$AA$696</f>
        <v>0</v>
      </c>
      <c r="P696" s="18"/>
      <c r="Q696" s="18"/>
      <c r="R696" s="18"/>
      <c r="S696" s="18"/>
      <c r="T696" s="18"/>
      <c r="U696" s="18"/>
      <c r="V696" s="18"/>
      <c r="W696" s="18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51" t="s">
        <v>21</v>
      </c>
      <c r="B697" s="51" t="s">
        <v>41</v>
      </c>
      <c r="C697" s="51" t="s">
        <v>42</v>
      </c>
      <c r="D697" s="51" t="s">
        <v>43</v>
      </c>
      <c r="E697" s="51" t="s">
        <v>25</v>
      </c>
      <c r="F697" s="51" t="s">
        <v>25</v>
      </c>
      <c r="G697" s="51" t="s">
        <v>25</v>
      </c>
      <c r="H697" s="51" t="s">
        <v>34</v>
      </c>
      <c r="I697" s="59">
        <v>44348</v>
      </c>
      <c r="J697" s="60">
        <f>EFEITO!$J$697*EFEITO!$Y$697</f>
        <v>0</v>
      </c>
      <c r="K697" s="60">
        <f ca="1">EFEITO!$L$697*EFEITO!$Z$697</f>
        <v>1170057.501649258</v>
      </c>
      <c r="L697" s="60">
        <f>EFEITO!$N$697*EFEITO!$AA$697</f>
        <v>230174.02347576755</v>
      </c>
      <c r="M697" s="60">
        <f>$J$697-EFEITO!$K$697*EFEITO!$Y$697</f>
        <v>0</v>
      </c>
      <c r="N697" s="60">
        <f ca="1">$K$697-EFEITO!$M$697*EFEITO!$Z$697</f>
        <v>0</v>
      </c>
      <c r="O697" s="60">
        <f>$L$697-EFEITO!$O$697*EFEITO!$AA$697</f>
        <v>0</v>
      </c>
      <c r="P697" s="18"/>
      <c r="Q697" s="18"/>
      <c r="R697" s="18"/>
      <c r="S697" s="18"/>
      <c r="T697" s="18"/>
      <c r="U697" s="18"/>
      <c r="V697" s="18"/>
      <c r="W697" s="18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51" t="s">
        <v>27</v>
      </c>
      <c r="B698" s="51" t="s">
        <v>41</v>
      </c>
      <c r="C698" s="51" t="s">
        <v>42</v>
      </c>
      <c r="D698" s="51" t="s">
        <v>43</v>
      </c>
      <c r="E698" s="51" t="s">
        <v>25</v>
      </c>
      <c r="F698" s="51" t="s">
        <v>25</v>
      </c>
      <c r="G698" s="51" t="s">
        <v>25</v>
      </c>
      <c r="H698" s="51" t="s">
        <v>34</v>
      </c>
      <c r="I698" s="59">
        <v>44348</v>
      </c>
      <c r="J698" s="60">
        <f>EFEITO!$J$698*EFEITO!$Y$698</f>
        <v>0</v>
      </c>
      <c r="K698" s="60">
        <f ca="1">EFEITO!$L$698*EFEITO!$Z$698</f>
        <v>-8187.7982219644418</v>
      </c>
      <c r="L698" s="60">
        <f>EFEITO!$N$698*EFEITO!$AA$698</f>
        <v>-1610.7058477902342</v>
      </c>
      <c r="M698" s="60">
        <f>$J$698-EFEITO!$K$698*EFEITO!$Y$698</f>
        <v>0</v>
      </c>
      <c r="N698" s="60">
        <f ca="1">$K$698-EFEITO!$M$698*EFEITO!$Z$698</f>
        <v>0</v>
      </c>
      <c r="O698" s="60">
        <f>$L$698-EFEITO!$O$698*EFEITO!$AA$698</f>
        <v>0</v>
      </c>
      <c r="P698" s="18"/>
      <c r="Q698" s="18"/>
      <c r="R698" s="18"/>
      <c r="S698" s="18"/>
      <c r="T698" s="18"/>
      <c r="U698" s="18"/>
      <c r="V698" s="18"/>
      <c r="W698" s="18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51" t="s">
        <v>28</v>
      </c>
      <c r="B699" s="51" t="s">
        <v>41</v>
      </c>
      <c r="C699" s="51" t="s">
        <v>42</v>
      </c>
      <c r="D699" s="51" t="s">
        <v>43</v>
      </c>
      <c r="E699" s="51" t="s">
        <v>25</v>
      </c>
      <c r="F699" s="51" t="s">
        <v>25</v>
      </c>
      <c r="G699" s="51" t="s">
        <v>25</v>
      </c>
      <c r="H699" s="51" t="s">
        <v>34</v>
      </c>
      <c r="I699" s="59">
        <v>44348</v>
      </c>
      <c r="J699" s="60">
        <f>EFEITO!$J$699*EFEITO!$Y$699</f>
        <v>0</v>
      </c>
      <c r="K699" s="60">
        <f ca="1">EFEITO!$L$699*EFEITO!$Z$699</f>
        <v>68718.692596913694</v>
      </c>
      <c r="L699" s="60">
        <f>EFEITO!$N$699*EFEITO!$AA$699</f>
        <v>13518.359517144076</v>
      </c>
      <c r="M699" s="60">
        <f>$J$699-EFEITO!$K$699*EFEITO!$Y$699</f>
        <v>0</v>
      </c>
      <c r="N699" s="60">
        <f ca="1">$K$699-EFEITO!$M$699*EFEITO!$Z$699</f>
        <v>0</v>
      </c>
      <c r="O699" s="60">
        <f>$L$699-EFEITO!$O$699*EFEITO!$AA$699</f>
        <v>0</v>
      </c>
      <c r="P699" s="18"/>
      <c r="Q699" s="18"/>
      <c r="R699" s="18"/>
      <c r="S699" s="18"/>
      <c r="T699" s="18"/>
      <c r="U699" s="18"/>
      <c r="V699" s="18"/>
      <c r="W699" s="18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51" t="s">
        <v>21</v>
      </c>
      <c r="B700" s="51" t="s">
        <v>41</v>
      </c>
      <c r="C700" s="51" t="s">
        <v>42</v>
      </c>
      <c r="D700" s="51" t="s">
        <v>43</v>
      </c>
      <c r="E700" s="51" t="s">
        <v>25</v>
      </c>
      <c r="F700" s="51" t="s">
        <v>25</v>
      </c>
      <c r="G700" s="51" t="s">
        <v>25</v>
      </c>
      <c r="H700" s="51" t="s">
        <v>34</v>
      </c>
      <c r="I700" s="59">
        <v>44348</v>
      </c>
      <c r="J700" s="60">
        <f>EFEITO!$J$700*EFEITO!$Y$700</f>
        <v>0</v>
      </c>
      <c r="K700" s="60">
        <f ca="1">EFEITO!$L$700*EFEITO!$Z$700</f>
        <v>10735.113224353379</v>
      </c>
      <c r="L700" s="60">
        <f>EFEITO!$N$700*EFEITO!$AA$700</f>
        <v>0</v>
      </c>
      <c r="M700" s="60">
        <f>$J$700-EFEITO!$K$700*EFEITO!$Y$700</f>
        <v>0</v>
      </c>
      <c r="N700" s="60">
        <f ca="1">$K$700-EFEITO!$M$700*EFEITO!$Z$700</f>
        <v>0</v>
      </c>
      <c r="O700" s="60">
        <f>$L$700-EFEITO!$O$700*EFEITO!$AA$700</f>
        <v>0</v>
      </c>
      <c r="P700" s="18"/>
      <c r="Q700" s="18"/>
      <c r="R700" s="18"/>
      <c r="S700" s="18"/>
      <c r="T700" s="18"/>
      <c r="U700" s="18"/>
      <c r="V700" s="18"/>
      <c r="W700" s="18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51" t="s">
        <v>21</v>
      </c>
      <c r="B701" s="51" t="s">
        <v>41</v>
      </c>
      <c r="C701" s="51" t="s">
        <v>42</v>
      </c>
      <c r="D701" s="51" t="s">
        <v>43</v>
      </c>
      <c r="E701" s="51" t="s">
        <v>25</v>
      </c>
      <c r="F701" s="51" t="s">
        <v>25</v>
      </c>
      <c r="G701" s="51" t="s">
        <v>25</v>
      </c>
      <c r="H701" s="51" t="s">
        <v>34</v>
      </c>
      <c r="I701" s="59">
        <v>44378</v>
      </c>
      <c r="J701" s="60">
        <f>EFEITO!$J$701*EFEITO!$Y$701</f>
        <v>0</v>
      </c>
      <c r="K701" s="60">
        <f ca="1">EFEITO!$L$701*EFEITO!$Z$701</f>
        <v>1179715.611560913</v>
      </c>
      <c r="L701" s="60">
        <f>EFEITO!$N$701*EFEITO!$AA$701</f>
        <v>232073.96943090507</v>
      </c>
      <c r="M701" s="60">
        <f>$J$701-EFEITO!$K$701*EFEITO!$Y$701</f>
        <v>0</v>
      </c>
      <c r="N701" s="60">
        <f ca="1">$K$701-EFEITO!$M$701*EFEITO!$Z$701</f>
        <v>0</v>
      </c>
      <c r="O701" s="60">
        <f>$L$701-EFEITO!$O$701*EFEITO!$AA$701</f>
        <v>0</v>
      </c>
      <c r="P701" s="18"/>
      <c r="Q701" s="18"/>
      <c r="R701" s="18"/>
      <c r="S701" s="18"/>
      <c r="T701" s="18"/>
      <c r="U701" s="18"/>
      <c r="V701" s="18"/>
      <c r="W701" s="18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51" t="s">
        <v>27</v>
      </c>
      <c r="B702" s="51" t="s">
        <v>41</v>
      </c>
      <c r="C702" s="51" t="s">
        <v>42</v>
      </c>
      <c r="D702" s="51" t="s">
        <v>43</v>
      </c>
      <c r="E702" s="51" t="s">
        <v>25</v>
      </c>
      <c r="F702" s="51" t="s">
        <v>25</v>
      </c>
      <c r="G702" s="51" t="s">
        <v>25</v>
      </c>
      <c r="H702" s="51" t="s">
        <v>34</v>
      </c>
      <c r="I702" s="59">
        <v>44378</v>
      </c>
      <c r="J702" s="60">
        <f>EFEITO!$J$702*EFEITO!$Y$702</f>
        <v>0</v>
      </c>
      <c r="K702" s="60">
        <f ca="1">EFEITO!$L$702*EFEITO!$Z$702</f>
        <v>7847.7886437234929</v>
      </c>
      <c r="L702" s="60">
        <f>EFEITO!$N$702*EFEITO!$AA$702</f>
        <v>1543.8190729661726</v>
      </c>
      <c r="M702" s="60">
        <f>$J$702-EFEITO!$K$702*EFEITO!$Y$702</f>
        <v>0</v>
      </c>
      <c r="N702" s="60">
        <f ca="1">$K$702-EFEITO!$M$702*EFEITO!$Z$702</f>
        <v>0</v>
      </c>
      <c r="O702" s="60">
        <f>$L$702-EFEITO!$O$702*EFEITO!$AA$702</f>
        <v>0</v>
      </c>
      <c r="P702" s="18"/>
      <c r="Q702" s="18"/>
      <c r="R702" s="18"/>
      <c r="S702" s="18"/>
      <c r="T702" s="18"/>
      <c r="U702" s="18"/>
      <c r="V702" s="18"/>
      <c r="W702" s="18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51" t="s">
        <v>28</v>
      </c>
      <c r="B703" s="51" t="s">
        <v>41</v>
      </c>
      <c r="C703" s="51" t="s">
        <v>42</v>
      </c>
      <c r="D703" s="51" t="s">
        <v>43</v>
      </c>
      <c r="E703" s="51" t="s">
        <v>25</v>
      </c>
      <c r="F703" s="51" t="s">
        <v>25</v>
      </c>
      <c r="G703" s="51" t="s">
        <v>25</v>
      </c>
      <c r="H703" s="51" t="s">
        <v>34</v>
      </c>
      <c r="I703" s="59">
        <v>44378</v>
      </c>
      <c r="J703" s="60">
        <f>EFEITO!$J$703*EFEITO!$Y$703</f>
        <v>0</v>
      </c>
      <c r="K703" s="60">
        <f ca="1">EFEITO!$L$703*EFEITO!$Z$703</f>
        <v>71677.694872415988</v>
      </c>
      <c r="L703" s="60">
        <f>EFEITO!$N$703*EFEITO!$AA$703</f>
        <v>14100.455233180501</v>
      </c>
      <c r="M703" s="60">
        <f>$J$703-EFEITO!$K$703*EFEITO!$Y$703</f>
        <v>0</v>
      </c>
      <c r="N703" s="60">
        <f ca="1">$K$703-EFEITO!$M$703*EFEITO!$Z$703</f>
        <v>0</v>
      </c>
      <c r="O703" s="60">
        <f>$L$703-EFEITO!$O$703*EFEITO!$AA$703</f>
        <v>0</v>
      </c>
      <c r="P703" s="18"/>
      <c r="Q703" s="18"/>
      <c r="R703" s="18"/>
      <c r="S703" s="18"/>
      <c r="T703" s="18"/>
      <c r="U703" s="18"/>
      <c r="V703" s="18"/>
      <c r="W703" s="18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51" t="s">
        <v>21</v>
      </c>
      <c r="B704" s="51" t="s">
        <v>41</v>
      </c>
      <c r="C704" s="51" t="s">
        <v>42</v>
      </c>
      <c r="D704" s="51" t="s">
        <v>43</v>
      </c>
      <c r="E704" s="51" t="s">
        <v>25</v>
      </c>
      <c r="F704" s="51" t="s">
        <v>25</v>
      </c>
      <c r="G704" s="51" t="s">
        <v>25</v>
      </c>
      <c r="H704" s="51" t="s">
        <v>34</v>
      </c>
      <c r="I704" s="59">
        <v>44378</v>
      </c>
      <c r="J704" s="60">
        <f>EFEITO!$J$704*EFEITO!$Y$704</f>
        <v>0</v>
      </c>
      <c r="K704" s="60">
        <f ca="1">EFEITO!$L$704*EFEITO!$Z$704</f>
        <v>48336.496798577959</v>
      </c>
      <c r="L704" s="60">
        <f>EFEITO!$N$704*EFEITO!$AA$704</f>
        <v>0</v>
      </c>
      <c r="M704" s="60">
        <f>$J$704-EFEITO!$K$704*EFEITO!$Y$704</f>
        <v>0</v>
      </c>
      <c r="N704" s="60">
        <f ca="1">$K$704-EFEITO!$M$704*EFEITO!$Z$704</f>
        <v>0</v>
      </c>
      <c r="O704" s="60">
        <f>$L$704-EFEITO!$O$704*EFEITO!$AA$704</f>
        <v>0</v>
      </c>
      <c r="P704" s="18"/>
      <c r="Q704" s="18"/>
      <c r="R704" s="18"/>
      <c r="S704" s="18"/>
      <c r="T704" s="18"/>
      <c r="U704" s="18"/>
      <c r="V704" s="18"/>
      <c r="W704" s="18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51" t="s">
        <v>21</v>
      </c>
      <c r="B705" s="51" t="s">
        <v>41</v>
      </c>
      <c r="C705" s="51" t="s">
        <v>42</v>
      </c>
      <c r="D705" s="51" t="s">
        <v>43</v>
      </c>
      <c r="E705" s="51" t="s">
        <v>25</v>
      </c>
      <c r="F705" s="51" t="s">
        <v>25</v>
      </c>
      <c r="G705" s="51" t="s">
        <v>25</v>
      </c>
      <c r="H705" s="51" t="s">
        <v>34</v>
      </c>
      <c r="I705" s="59">
        <v>44409</v>
      </c>
      <c r="J705" s="60">
        <f>EFEITO!$J$705*EFEITO!$Y$705</f>
        <v>0</v>
      </c>
      <c r="K705" s="60">
        <f ca="1">EFEITO!$L$705*EFEITO!$Z$705</f>
        <v>1261430.0216050793</v>
      </c>
      <c r="L705" s="60">
        <f>EFEITO!$N$705*EFEITO!$AA$705</f>
        <v>248148.84994686503</v>
      </c>
      <c r="M705" s="60">
        <f>$J$705-EFEITO!$K$705*EFEITO!$Y$705</f>
        <v>0</v>
      </c>
      <c r="N705" s="60">
        <f ca="1">$K$705-EFEITO!$M$705*EFEITO!$Z$705</f>
        <v>0</v>
      </c>
      <c r="O705" s="60">
        <f>$L$705-EFEITO!$O$705*EFEITO!$AA$705</f>
        <v>0</v>
      </c>
      <c r="P705" s="18"/>
      <c r="Q705" s="18"/>
      <c r="R705" s="18"/>
      <c r="S705" s="18"/>
      <c r="T705" s="18"/>
      <c r="U705" s="18"/>
      <c r="V705" s="18"/>
      <c r="W705" s="18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51" t="s">
        <v>28</v>
      </c>
      <c r="B706" s="51" t="s">
        <v>41</v>
      </c>
      <c r="C706" s="51" t="s">
        <v>42</v>
      </c>
      <c r="D706" s="51" t="s">
        <v>43</v>
      </c>
      <c r="E706" s="51" t="s">
        <v>25</v>
      </c>
      <c r="F706" s="51" t="s">
        <v>25</v>
      </c>
      <c r="G706" s="51" t="s">
        <v>25</v>
      </c>
      <c r="H706" s="51" t="s">
        <v>34</v>
      </c>
      <c r="I706" s="59">
        <v>44409</v>
      </c>
      <c r="J706" s="60">
        <f>EFEITO!$J$706*EFEITO!$Y$706</f>
        <v>0</v>
      </c>
      <c r="K706" s="60">
        <f ca="1">EFEITO!$L$706*EFEITO!$Z$706</f>
        <v>72490.04208097003</v>
      </c>
      <c r="L706" s="60">
        <f>EFEITO!$N$706*EFEITO!$AA$706</f>
        <v>14260.260392489879</v>
      </c>
      <c r="M706" s="60">
        <f>$J$706-EFEITO!$K$706*EFEITO!$Y$706</f>
        <v>0</v>
      </c>
      <c r="N706" s="60">
        <f ca="1">$K$706-EFEITO!$M$706*EFEITO!$Z$706</f>
        <v>0</v>
      </c>
      <c r="O706" s="60">
        <f>$L$706-EFEITO!$O$706*EFEITO!$AA$706</f>
        <v>0</v>
      </c>
      <c r="P706" s="18"/>
      <c r="Q706" s="18"/>
      <c r="R706" s="18"/>
      <c r="S706" s="18"/>
      <c r="T706" s="18"/>
      <c r="U706" s="18"/>
      <c r="V706" s="18"/>
      <c r="W706" s="18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51" t="s">
        <v>21</v>
      </c>
      <c r="B707" s="51" t="s">
        <v>41</v>
      </c>
      <c r="C707" s="51" t="s">
        <v>42</v>
      </c>
      <c r="D707" s="51" t="s">
        <v>43</v>
      </c>
      <c r="E707" s="51" t="s">
        <v>25</v>
      </c>
      <c r="F707" s="51" t="s">
        <v>25</v>
      </c>
      <c r="G707" s="51" t="s">
        <v>25</v>
      </c>
      <c r="H707" s="51" t="s">
        <v>34</v>
      </c>
      <c r="I707" s="59">
        <v>44409</v>
      </c>
      <c r="J707" s="60">
        <f>EFEITO!$J$707*EFEITO!$Y$707</f>
        <v>0</v>
      </c>
      <c r="K707" s="60">
        <f ca="1">EFEITO!$L$707*EFEITO!$Z$707</f>
        <v>37897.283801774814</v>
      </c>
      <c r="L707" s="60">
        <f>EFEITO!$N$707*EFEITO!$AA$707</f>
        <v>0</v>
      </c>
      <c r="M707" s="60">
        <f>$J$707-EFEITO!$K$707*EFEITO!$Y$707</f>
        <v>0</v>
      </c>
      <c r="N707" s="60">
        <f ca="1">$K$707-EFEITO!$M$707*EFEITO!$Z$707</f>
        <v>0</v>
      </c>
      <c r="O707" s="60">
        <f>$L$707-EFEITO!$O$707*EFEITO!$AA$707</f>
        <v>0</v>
      </c>
      <c r="P707" s="18"/>
      <c r="Q707" s="18"/>
      <c r="R707" s="18"/>
      <c r="S707" s="18"/>
      <c r="T707" s="18"/>
      <c r="U707" s="18"/>
      <c r="V707" s="18"/>
      <c r="W707" s="18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51" t="s">
        <v>21</v>
      </c>
      <c r="B708" s="51" t="s">
        <v>41</v>
      </c>
      <c r="C708" s="51" t="s">
        <v>42</v>
      </c>
      <c r="D708" s="51" t="s">
        <v>43</v>
      </c>
      <c r="E708" s="51" t="s">
        <v>25</v>
      </c>
      <c r="F708" s="51" t="s">
        <v>25</v>
      </c>
      <c r="G708" s="51" t="s">
        <v>25</v>
      </c>
      <c r="H708" s="51" t="s">
        <v>34</v>
      </c>
      <c r="I708" s="59">
        <v>44440</v>
      </c>
      <c r="J708" s="60">
        <f>EFEITO!$J$708*EFEITO!$Y$708</f>
        <v>0</v>
      </c>
      <c r="K708" s="60">
        <f ca="1">EFEITO!$L$708*EFEITO!$Z$708</f>
        <v>1287351.6166943244</v>
      </c>
      <c r="L708" s="60">
        <f>EFEITO!$N$708*EFEITO!$AA$708</f>
        <v>253248.15303939782</v>
      </c>
      <c r="M708" s="60">
        <f>$J$708-EFEITO!$K$708*EFEITO!$Y$708</f>
        <v>0</v>
      </c>
      <c r="N708" s="60">
        <f ca="1">$K$708-EFEITO!$M$708*EFEITO!$Z$708</f>
        <v>0</v>
      </c>
      <c r="O708" s="60">
        <f>$L$708-EFEITO!$O$708*EFEITO!$AA$708</f>
        <v>0</v>
      </c>
      <c r="P708" s="18"/>
      <c r="Q708" s="18"/>
      <c r="R708" s="18"/>
      <c r="S708" s="18"/>
      <c r="T708" s="18"/>
      <c r="U708" s="18"/>
      <c r="V708" s="18"/>
      <c r="W708" s="18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51" t="s">
        <v>28</v>
      </c>
      <c r="B709" s="51" t="s">
        <v>41</v>
      </c>
      <c r="C709" s="51" t="s">
        <v>42</v>
      </c>
      <c r="D709" s="51" t="s">
        <v>43</v>
      </c>
      <c r="E709" s="51" t="s">
        <v>25</v>
      </c>
      <c r="F709" s="51" t="s">
        <v>25</v>
      </c>
      <c r="G709" s="51" t="s">
        <v>25</v>
      </c>
      <c r="H709" s="51" t="s">
        <v>34</v>
      </c>
      <c r="I709" s="59">
        <v>44440</v>
      </c>
      <c r="J709" s="60">
        <f>EFEITO!$J$709*EFEITO!$Y$709</f>
        <v>0</v>
      </c>
      <c r="K709" s="60">
        <f ca="1">EFEITO!$L$709*EFEITO!$Z$709</f>
        <v>92398.06235938055</v>
      </c>
      <c r="L709" s="60">
        <f>EFEITO!$N$709*EFEITO!$AA$709</f>
        <v>18176.571445972218</v>
      </c>
      <c r="M709" s="60">
        <f>$J$709-EFEITO!$K$709*EFEITO!$Y$709</f>
        <v>0</v>
      </c>
      <c r="N709" s="60">
        <f ca="1">$K$709-EFEITO!$M$709*EFEITO!$Z$709</f>
        <v>0</v>
      </c>
      <c r="O709" s="60">
        <f>$L$709-EFEITO!$O$709*EFEITO!$AA$709</f>
        <v>0</v>
      </c>
      <c r="P709" s="18"/>
      <c r="Q709" s="18"/>
      <c r="R709" s="18"/>
      <c r="S709" s="18"/>
      <c r="T709" s="18"/>
      <c r="U709" s="18"/>
      <c r="V709" s="18"/>
      <c r="W709" s="18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51" t="s">
        <v>21</v>
      </c>
      <c r="B710" s="51" t="s">
        <v>41</v>
      </c>
      <c r="C710" s="51" t="s">
        <v>42</v>
      </c>
      <c r="D710" s="51" t="s">
        <v>43</v>
      </c>
      <c r="E710" s="51" t="s">
        <v>25</v>
      </c>
      <c r="F710" s="51" t="s">
        <v>25</v>
      </c>
      <c r="G710" s="51" t="s">
        <v>25</v>
      </c>
      <c r="H710" s="51" t="s">
        <v>34</v>
      </c>
      <c r="I710" s="59">
        <v>44440</v>
      </c>
      <c r="J710" s="60">
        <f>EFEITO!$J$710*EFEITO!$Y$710</f>
        <v>0</v>
      </c>
      <c r="K710" s="60">
        <f ca="1">EFEITO!$L$710*EFEITO!$Z$710</f>
        <v>20994.21303916943</v>
      </c>
      <c r="L710" s="60">
        <f>EFEITO!$N$710*EFEITO!$AA$710</f>
        <v>0</v>
      </c>
      <c r="M710" s="60">
        <f>$J$710-EFEITO!$K$710*EFEITO!$Y$710</f>
        <v>0</v>
      </c>
      <c r="N710" s="60">
        <f ca="1">$K$710-EFEITO!$M$710*EFEITO!$Z$710</f>
        <v>0</v>
      </c>
      <c r="O710" s="60">
        <f>$L$710-EFEITO!$O$710*EFEITO!$AA$710</f>
        <v>0</v>
      </c>
      <c r="P710" s="18"/>
      <c r="Q710" s="18"/>
      <c r="R710" s="18"/>
      <c r="S710" s="18"/>
      <c r="T710" s="18"/>
      <c r="U710" s="18"/>
      <c r="V710" s="18"/>
      <c r="W710" s="18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51" t="s">
        <v>21</v>
      </c>
      <c r="B711" s="51" t="s">
        <v>41</v>
      </c>
      <c r="C711" s="51" t="s">
        <v>42</v>
      </c>
      <c r="D711" s="51" t="s">
        <v>43</v>
      </c>
      <c r="E711" s="51" t="s">
        <v>25</v>
      </c>
      <c r="F711" s="51" t="s">
        <v>25</v>
      </c>
      <c r="G711" s="51" t="s">
        <v>25</v>
      </c>
      <c r="H711" s="51" t="s">
        <v>34</v>
      </c>
      <c r="I711" s="59">
        <v>44470</v>
      </c>
      <c r="J711" s="60">
        <f>EFEITO!$J$711*EFEITO!$Y$711</f>
        <v>0</v>
      </c>
      <c r="K711" s="60">
        <f ca="1">EFEITO!$L$711*EFEITO!$Z$711</f>
        <v>1316849.7449687417</v>
      </c>
      <c r="L711" s="60">
        <f>EFEITO!$N$711*EFEITO!$AA$711</f>
        <v>259051.03269305287</v>
      </c>
      <c r="M711" s="60">
        <f>$J$711-EFEITO!$K$711*EFEITO!$Y$711</f>
        <v>0</v>
      </c>
      <c r="N711" s="60">
        <f ca="1">$K$711-EFEITO!$M$711*EFEITO!$Z$711</f>
        <v>0</v>
      </c>
      <c r="O711" s="60">
        <f>$L$711-EFEITO!$O$711*EFEITO!$AA$711</f>
        <v>0</v>
      </c>
      <c r="P711" s="18"/>
      <c r="Q711" s="18"/>
      <c r="R711" s="18"/>
      <c r="S711" s="18"/>
      <c r="T711" s="18"/>
      <c r="U711" s="18"/>
      <c r="V711" s="18"/>
      <c r="W711" s="18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51" t="s">
        <v>28</v>
      </c>
      <c r="B712" s="51" t="s">
        <v>41</v>
      </c>
      <c r="C712" s="51" t="s">
        <v>42</v>
      </c>
      <c r="D712" s="51" t="s">
        <v>43</v>
      </c>
      <c r="E712" s="51" t="s">
        <v>25</v>
      </c>
      <c r="F712" s="51" t="s">
        <v>25</v>
      </c>
      <c r="G712" s="51" t="s">
        <v>25</v>
      </c>
      <c r="H712" s="51" t="s">
        <v>34</v>
      </c>
      <c r="I712" s="59">
        <v>44470</v>
      </c>
      <c r="J712" s="60">
        <f>EFEITO!$J$712*EFEITO!$Y$712</f>
        <v>0</v>
      </c>
      <c r="K712" s="60">
        <f ca="1">EFEITO!$L$712*EFEITO!$Z$712</f>
        <v>97843.729280072046</v>
      </c>
      <c r="L712" s="60">
        <f>EFEITO!$N$712*EFEITO!$AA$712</f>
        <v>19247.844493559751</v>
      </c>
      <c r="M712" s="60">
        <f>$J$712-EFEITO!$K$712*EFEITO!$Y$712</f>
        <v>0</v>
      </c>
      <c r="N712" s="60">
        <f ca="1">$K$712-EFEITO!$M$712*EFEITO!$Z$712</f>
        <v>0</v>
      </c>
      <c r="O712" s="60">
        <f>$L$712-EFEITO!$O$712*EFEITO!$AA$712</f>
        <v>0</v>
      </c>
      <c r="P712" s="18"/>
      <c r="Q712" s="18"/>
      <c r="R712" s="18"/>
      <c r="S712" s="18"/>
      <c r="T712" s="18"/>
      <c r="U712" s="18"/>
      <c r="V712" s="18"/>
      <c r="W712" s="18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51" t="s">
        <v>21</v>
      </c>
      <c r="B713" s="51" t="s">
        <v>41</v>
      </c>
      <c r="C713" s="51" t="s">
        <v>42</v>
      </c>
      <c r="D713" s="51" t="s">
        <v>43</v>
      </c>
      <c r="E713" s="51" t="s">
        <v>25</v>
      </c>
      <c r="F713" s="51" t="s">
        <v>25</v>
      </c>
      <c r="G713" s="51" t="s">
        <v>25</v>
      </c>
      <c r="H713" s="51" t="s">
        <v>34</v>
      </c>
      <c r="I713" s="59">
        <v>44470</v>
      </c>
      <c r="J713" s="60">
        <f>EFEITO!$J$713*EFEITO!$Y$713</f>
        <v>0</v>
      </c>
      <c r="K713" s="60">
        <f ca="1">EFEITO!$L$713*EFEITO!$Z$713</f>
        <v>28717.025189269225</v>
      </c>
      <c r="L713" s="60">
        <f>EFEITO!$N$713*EFEITO!$AA$713</f>
        <v>0</v>
      </c>
      <c r="M713" s="60">
        <f>$J$713-EFEITO!$K$713*EFEITO!$Y$713</f>
        <v>0</v>
      </c>
      <c r="N713" s="60">
        <f ca="1">$K$713-EFEITO!$M$713*EFEITO!$Z$713</f>
        <v>0</v>
      </c>
      <c r="O713" s="60">
        <f>$L$713-EFEITO!$O$713*EFEITO!$AA$713</f>
        <v>0</v>
      </c>
      <c r="P713" s="18"/>
      <c r="Q713" s="18"/>
      <c r="R713" s="18"/>
      <c r="S713" s="18"/>
      <c r="T713" s="18"/>
      <c r="U713" s="18"/>
      <c r="V713" s="18"/>
      <c r="W713" s="18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51" t="s">
        <v>21</v>
      </c>
      <c r="B714" s="51" t="s">
        <v>41</v>
      </c>
      <c r="C714" s="51" t="s">
        <v>42</v>
      </c>
      <c r="D714" s="51" t="s">
        <v>43</v>
      </c>
      <c r="E714" s="51" t="s">
        <v>25</v>
      </c>
      <c r="F714" s="51" t="s">
        <v>25</v>
      </c>
      <c r="G714" s="51" t="s">
        <v>25</v>
      </c>
      <c r="H714" s="51" t="s">
        <v>34</v>
      </c>
      <c r="I714" s="59">
        <v>44501</v>
      </c>
      <c r="J714" s="60">
        <f>EFEITO!$J$714*EFEITO!$Y$714</f>
        <v>0</v>
      </c>
      <c r="K714" s="60">
        <f ca="1">EFEITO!$L$714*EFEITO!$Z$714</f>
        <v>1389288.3261405725</v>
      </c>
      <c r="L714" s="60">
        <f>EFEITO!$N$714*EFEITO!$AA$714</f>
        <v>273301.16968178557</v>
      </c>
      <c r="M714" s="60">
        <f>$J$714-EFEITO!$K$714*EFEITO!$Y$714</f>
        <v>0</v>
      </c>
      <c r="N714" s="60">
        <f ca="1">$K$714-EFEITO!$M$714*EFEITO!$Z$714</f>
        <v>0</v>
      </c>
      <c r="O714" s="60">
        <f>$L$714-EFEITO!$O$714*EFEITO!$AA$714</f>
        <v>0</v>
      </c>
      <c r="P714" s="18"/>
      <c r="Q714" s="18"/>
      <c r="R714" s="18"/>
      <c r="S714" s="18"/>
      <c r="T714" s="18"/>
      <c r="U714" s="18"/>
      <c r="V714" s="18"/>
      <c r="W714" s="18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51" t="s">
        <v>28</v>
      </c>
      <c r="B715" s="51" t="s">
        <v>41</v>
      </c>
      <c r="C715" s="51" t="s">
        <v>42</v>
      </c>
      <c r="D715" s="51" t="s">
        <v>43</v>
      </c>
      <c r="E715" s="51" t="s">
        <v>25</v>
      </c>
      <c r="F715" s="51" t="s">
        <v>25</v>
      </c>
      <c r="G715" s="51" t="s">
        <v>25</v>
      </c>
      <c r="H715" s="51" t="s">
        <v>34</v>
      </c>
      <c r="I715" s="59">
        <v>44501</v>
      </c>
      <c r="J715" s="60">
        <f>EFEITO!$J$715*EFEITO!$Y$715</f>
        <v>0</v>
      </c>
      <c r="K715" s="60">
        <f ca="1">EFEITO!$L$715*EFEITO!$Z$715</f>
        <v>117237.14046709085</v>
      </c>
      <c r="L715" s="60">
        <f>EFEITO!$N$715*EFEITO!$AA$715</f>
        <v>23062.921509470536</v>
      </c>
      <c r="M715" s="60">
        <f>$J$715-EFEITO!$K$715*EFEITO!$Y$715</f>
        <v>0</v>
      </c>
      <c r="N715" s="60">
        <f ca="1">$K$715-EFEITO!$M$715*EFEITO!$Z$715</f>
        <v>0</v>
      </c>
      <c r="O715" s="60">
        <f>$L$715-EFEITO!$O$715*EFEITO!$AA$715</f>
        <v>0</v>
      </c>
      <c r="P715" s="18"/>
      <c r="Q715" s="18"/>
      <c r="R715" s="18"/>
      <c r="S715" s="18"/>
      <c r="T715" s="18"/>
      <c r="U715" s="18"/>
      <c r="V715" s="18"/>
      <c r="W715" s="18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51" t="s">
        <v>21</v>
      </c>
      <c r="B716" s="51" t="s">
        <v>41</v>
      </c>
      <c r="C716" s="51" t="s">
        <v>42</v>
      </c>
      <c r="D716" s="51" t="s">
        <v>43</v>
      </c>
      <c r="E716" s="51" t="s">
        <v>25</v>
      </c>
      <c r="F716" s="51" t="s">
        <v>25</v>
      </c>
      <c r="G716" s="51" t="s">
        <v>25</v>
      </c>
      <c r="H716" s="51" t="s">
        <v>34</v>
      </c>
      <c r="I716" s="59">
        <v>44501</v>
      </c>
      <c r="J716" s="60">
        <f>EFEITO!$J$716*EFEITO!$Y$716</f>
        <v>0</v>
      </c>
      <c r="K716" s="60">
        <f ca="1">EFEITO!$L$716*EFEITO!$Z$716</f>
        <v>13694.115499855679</v>
      </c>
      <c r="L716" s="60">
        <f>EFEITO!$N$716*EFEITO!$AA$716</f>
        <v>0</v>
      </c>
      <c r="M716" s="60">
        <f>$J$716-EFEITO!$K$716*EFEITO!$Y$716</f>
        <v>0</v>
      </c>
      <c r="N716" s="60">
        <f ca="1">$K$716-EFEITO!$M$716*EFEITO!$Z$716</f>
        <v>0</v>
      </c>
      <c r="O716" s="60">
        <f>$L$716-EFEITO!$O$716*EFEITO!$AA$716</f>
        <v>0</v>
      </c>
      <c r="P716" s="18"/>
      <c r="Q716" s="18"/>
      <c r="R716" s="18"/>
      <c r="S716" s="18"/>
      <c r="T716" s="18"/>
      <c r="U716" s="18"/>
      <c r="V716" s="18"/>
      <c r="W716" s="18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51" t="s">
        <v>21</v>
      </c>
      <c r="B717" s="51" t="s">
        <v>41</v>
      </c>
      <c r="C717" s="51" t="s">
        <v>42</v>
      </c>
      <c r="D717" s="51" t="s">
        <v>43</v>
      </c>
      <c r="E717" s="51" t="s">
        <v>25</v>
      </c>
      <c r="F717" s="51" t="s">
        <v>25</v>
      </c>
      <c r="G717" s="51" t="s">
        <v>25</v>
      </c>
      <c r="H717" s="51" t="s">
        <v>34</v>
      </c>
      <c r="I717" s="59">
        <v>44531</v>
      </c>
      <c r="J717" s="60">
        <f>EFEITO!$J$717*EFEITO!$Y$717</f>
        <v>0</v>
      </c>
      <c r="K717" s="60">
        <f ca="1">EFEITO!$L$717*EFEITO!$Z$717</f>
        <v>1400449.8297549363</v>
      </c>
      <c r="L717" s="60">
        <f>EFEITO!$N$717*EFEITO!$AA$717</f>
        <v>275496.86364668573</v>
      </c>
      <c r="M717" s="60">
        <f>$J$717-EFEITO!$K$717*EFEITO!$Y$717</f>
        <v>0</v>
      </c>
      <c r="N717" s="60">
        <f ca="1">$K$717-EFEITO!$M$717*EFEITO!$Z$717</f>
        <v>0</v>
      </c>
      <c r="O717" s="60">
        <f>$L$717-EFEITO!$O$717*EFEITO!$AA$717</f>
        <v>0</v>
      </c>
      <c r="P717" s="18"/>
      <c r="Q717" s="18"/>
      <c r="R717" s="18"/>
      <c r="S717" s="18"/>
      <c r="T717" s="18"/>
      <c r="U717" s="18"/>
      <c r="V717" s="18"/>
      <c r="W717" s="18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51" t="s">
        <v>28</v>
      </c>
      <c r="B718" s="51" t="s">
        <v>41</v>
      </c>
      <c r="C718" s="51" t="s">
        <v>42</v>
      </c>
      <c r="D718" s="51" t="s">
        <v>43</v>
      </c>
      <c r="E718" s="51" t="s">
        <v>25</v>
      </c>
      <c r="F718" s="51" t="s">
        <v>25</v>
      </c>
      <c r="G718" s="51" t="s">
        <v>25</v>
      </c>
      <c r="H718" s="51" t="s">
        <v>34</v>
      </c>
      <c r="I718" s="59">
        <v>44531</v>
      </c>
      <c r="J718" s="60">
        <f>EFEITO!$J$718*EFEITO!$Y$718</f>
        <v>0</v>
      </c>
      <c r="K718" s="60">
        <f ca="1">EFEITO!$L$718*EFEITO!$Z$718</f>
        <v>134893.74597066265</v>
      </c>
      <c r="L718" s="60">
        <f>EFEITO!$N$718*EFEITO!$AA$718</f>
        <v>26536.333648577332</v>
      </c>
      <c r="M718" s="60">
        <f>$J$718-EFEITO!$K$718*EFEITO!$Y$718</f>
        <v>0</v>
      </c>
      <c r="N718" s="60">
        <f ca="1">$K$718-EFEITO!$M$718*EFEITO!$Z$718</f>
        <v>0</v>
      </c>
      <c r="O718" s="60">
        <f>$L$718-EFEITO!$O$718*EFEITO!$AA$718</f>
        <v>0</v>
      </c>
      <c r="P718" s="18"/>
      <c r="Q718" s="18"/>
      <c r="R718" s="18"/>
      <c r="S718" s="18"/>
      <c r="T718" s="18"/>
      <c r="U718" s="18"/>
      <c r="V718" s="18"/>
      <c r="W718" s="18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51" t="s">
        <v>28</v>
      </c>
      <c r="B719" s="51" t="s">
        <v>41</v>
      </c>
      <c r="C719" s="51" t="s">
        <v>42</v>
      </c>
      <c r="D719" s="51" t="s">
        <v>43</v>
      </c>
      <c r="E719" s="51" t="s">
        <v>25</v>
      </c>
      <c r="F719" s="51" t="s">
        <v>25</v>
      </c>
      <c r="G719" s="51" t="s">
        <v>25</v>
      </c>
      <c r="H719" s="51" t="s">
        <v>34</v>
      </c>
      <c r="I719" s="59">
        <v>44531</v>
      </c>
      <c r="J719" s="60">
        <f>EFEITO!$J$719*EFEITO!$Y$719</f>
        <v>0</v>
      </c>
      <c r="K719" s="60">
        <f ca="1">EFEITO!$L$719*EFEITO!$Z$719</f>
        <v>-20841.668201364035</v>
      </c>
      <c r="L719" s="60">
        <f>EFEITO!$N$719*EFEITO!$AA$719</f>
        <v>-4099.9785216478685</v>
      </c>
      <c r="M719" s="60">
        <f>$J$719-EFEITO!$K$719*EFEITO!$Y$719</f>
        <v>0</v>
      </c>
      <c r="N719" s="60">
        <f ca="1">$K$719-EFEITO!$M$719*EFEITO!$Z$719</f>
        <v>0</v>
      </c>
      <c r="O719" s="60">
        <f>$L$719-EFEITO!$O$719*EFEITO!$AA$719</f>
        <v>0</v>
      </c>
      <c r="P719" s="18"/>
      <c r="Q719" s="18"/>
      <c r="R719" s="18"/>
      <c r="S719" s="18"/>
      <c r="T719" s="18"/>
      <c r="U719" s="18"/>
      <c r="V719" s="18"/>
      <c r="W719" s="18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51" t="s">
        <v>21</v>
      </c>
      <c r="B720" s="51" t="s">
        <v>41</v>
      </c>
      <c r="C720" s="51" t="s">
        <v>42</v>
      </c>
      <c r="D720" s="51" t="s">
        <v>43</v>
      </c>
      <c r="E720" s="51" t="s">
        <v>25</v>
      </c>
      <c r="F720" s="51" t="s">
        <v>25</v>
      </c>
      <c r="G720" s="51" t="s">
        <v>25</v>
      </c>
      <c r="H720" s="51" t="s">
        <v>34</v>
      </c>
      <c r="I720" s="59">
        <v>44531</v>
      </c>
      <c r="J720" s="60">
        <f>EFEITO!$J$720*EFEITO!$Y$720</f>
        <v>0</v>
      </c>
      <c r="K720" s="60">
        <f ca="1">EFEITO!$L$720*EFEITO!$Z$720</f>
        <v>30361.936392110565</v>
      </c>
      <c r="L720" s="60">
        <f>EFEITO!$N$720*EFEITO!$AA$720</f>
        <v>0</v>
      </c>
      <c r="M720" s="60">
        <f>$J$720-EFEITO!$K$720*EFEITO!$Y$720</f>
        <v>0</v>
      </c>
      <c r="N720" s="60">
        <f ca="1">$K$720-EFEITO!$M$720*EFEITO!$Z$720</f>
        <v>0</v>
      </c>
      <c r="O720" s="60">
        <f>$L$720-EFEITO!$O$720*EFEITO!$AA$720</f>
        <v>0</v>
      </c>
      <c r="P720" s="18"/>
      <c r="Q720" s="18"/>
      <c r="R720" s="18"/>
      <c r="S720" s="18"/>
      <c r="T720" s="18"/>
      <c r="U720" s="18"/>
      <c r="V720" s="18"/>
      <c r="W720" s="18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51" t="s">
        <v>21</v>
      </c>
      <c r="B721" s="51" t="s">
        <v>41</v>
      </c>
      <c r="C721" s="51" t="s">
        <v>42</v>
      </c>
      <c r="D721" s="51" t="s">
        <v>43</v>
      </c>
      <c r="E721" s="51" t="s">
        <v>25</v>
      </c>
      <c r="F721" s="51" t="s">
        <v>25</v>
      </c>
      <c r="G721" s="51" t="s">
        <v>25</v>
      </c>
      <c r="H721" s="51" t="s">
        <v>34</v>
      </c>
      <c r="I721" s="59">
        <v>44562</v>
      </c>
      <c r="J721" s="60">
        <f>EFEITO!$J$721*EFEITO!$Y$721</f>
        <v>0</v>
      </c>
      <c r="K721" s="60">
        <f ca="1">EFEITO!$L$721*EFEITO!$Z$721</f>
        <v>1306684.3775241436</v>
      </c>
      <c r="L721" s="60">
        <f>EFEITO!$N$721*EFEITO!$AA$721</f>
        <v>257051.29890088053</v>
      </c>
      <c r="M721" s="60">
        <f>$J$721-EFEITO!$K$721*EFEITO!$Y$721</f>
        <v>0</v>
      </c>
      <c r="N721" s="60">
        <f ca="1">$K$721-EFEITO!$M$721*EFEITO!$Z$721</f>
        <v>0</v>
      </c>
      <c r="O721" s="60">
        <f>$L$721-EFEITO!$O$721*EFEITO!$AA$721</f>
        <v>0</v>
      </c>
      <c r="P721" s="18"/>
      <c r="Q721" s="18"/>
      <c r="R721" s="18"/>
      <c r="S721" s="18"/>
      <c r="T721" s="18"/>
      <c r="U721" s="18"/>
      <c r="V721" s="18"/>
      <c r="W721" s="18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51" t="s">
        <v>28</v>
      </c>
      <c r="B722" s="51" t="s">
        <v>41</v>
      </c>
      <c r="C722" s="51" t="s">
        <v>42</v>
      </c>
      <c r="D722" s="51" t="s">
        <v>43</v>
      </c>
      <c r="E722" s="51" t="s">
        <v>25</v>
      </c>
      <c r="F722" s="51" t="s">
        <v>25</v>
      </c>
      <c r="G722" s="51" t="s">
        <v>25</v>
      </c>
      <c r="H722" s="51" t="s">
        <v>34</v>
      </c>
      <c r="I722" s="59">
        <v>44562</v>
      </c>
      <c r="J722" s="60">
        <f>EFEITO!$J$722*EFEITO!$Y$722</f>
        <v>0</v>
      </c>
      <c r="K722" s="60">
        <f ca="1">EFEITO!$L$722*EFEITO!$Z$722</f>
        <v>132890.44629345924</v>
      </c>
      <c r="L722" s="60">
        <f>EFEITO!$N$722*EFEITO!$AA$722</f>
        <v>26142.244002316645</v>
      </c>
      <c r="M722" s="60">
        <f>$J$722-EFEITO!$K$722*EFEITO!$Y$722</f>
        <v>0</v>
      </c>
      <c r="N722" s="60">
        <f ca="1">$K$722-EFEITO!$M$722*EFEITO!$Z$722</f>
        <v>0</v>
      </c>
      <c r="O722" s="60">
        <f>$L$722-EFEITO!$O$722*EFEITO!$AA$722</f>
        <v>0</v>
      </c>
      <c r="P722" s="18"/>
      <c r="Q722" s="18"/>
      <c r="R722" s="18"/>
      <c r="S722" s="18"/>
      <c r="T722" s="18"/>
      <c r="U722" s="18"/>
      <c r="V722" s="18"/>
      <c r="W722" s="18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51" t="s">
        <v>28</v>
      </c>
      <c r="B723" s="51" t="s">
        <v>41</v>
      </c>
      <c r="C723" s="51" t="s">
        <v>42</v>
      </c>
      <c r="D723" s="51" t="s">
        <v>43</v>
      </c>
      <c r="E723" s="51" t="s">
        <v>25</v>
      </c>
      <c r="F723" s="51" t="s">
        <v>25</v>
      </c>
      <c r="G723" s="51" t="s">
        <v>25</v>
      </c>
      <c r="H723" s="51" t="s">
        <v>34</v>
      </c>
      <c r="I723" s="59">
        <v>44562</v>
      </c>
      <c r="J723" s="60">
        <f>EFEITO!$J$723*EFEITO!$Y$723</f>
        <v>0</v>
      </c>
      <c r="K723" s="60">
        <f ca="1">EFEITO!$L$723*EFEITO!$Z$723</f>
        <v>2692.5082817458829</v>
      </c>
      <c r="L723" s="60">
        <f>EFEITO!$N$723*EFEITO!$AA$723</f>
        <v>529.67094657972905</v>
      </c>
      <c r="M723" s="60">
        <f>$J$723-EFEITO!$K$723*EFEITO!$Y$723</f>
        <v>0</v>
      </c>
      <c r="N723" s="60">
        <f ca="1">$K$723-EFEITO!$M$723*EFEITO!$Z$723</f>
        <v>0</v>
      </c>
      <c r="O723" s="60">
        <f>$L$723-EFEITO!$O$723*EFEITO!$AA$723</f>
        <v>0</v>
      </c>
      <c r="P723" s="18"/>
      <c r="Q723" s="18"/>
      <c r="R723" s="18"/>
      <c r="S723" s="18"/>
      <c r="T723" s="18"/>
      <c r="U723" s="18"/>
      <c r="V723" s="18"/>
      <c r="W723" s="18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51" t="s">
        <v>21</v>
      </c>
      <c r="B724" s="51" t="s">
        <v>41</v>
      </c>
      <c r="C724" s="51" t="s">
        <v>42</v>
      </c>
      <c r="D724" s="51" t="s">
        <v>43</v>
      </c>
      <c r="E724" s="51" t="s">
        <v>25</v>
      </c>
      <c r="F724" s="51" t="s">
        <v>25</v>
      </c>
      <c r="G724" s="51" t="s">
        <v>25</v>
      </c>
      <c r="H724" s="51" t="s">
        <v>34</v>
      </c>
      <c r="I724" s="59">
        <v>44562</v>
      </c>
      <c r="J724" s="60">
        <f>EFEITO!$J$724*EFEITO!$Y$724</f>
        <v>0</v>
      </c>
      <c r="K724" s="60">
        <f ca="1">EFEITO!$L$724*EFEITO!$Z$724</f>
        <v>37821.930327678172</v>
      </c>
      <c r="L724" s="60">
        <f>EFEITO!$N$724*EFEITO!$AA$724</f>
        <v>0</v>
      </c>
      <c r="M724" s="60">
        <f>$J$724-EFEITO!$K$724*EFEITO!$Y$724</f>
        <v>0</v>
      </c>
      <c r="N724" s="60">
        <f ca="1">$K$724-EFEITO!$M$724*EFEITO!$Z$724</f>
        <v>0</v>
      </c>
      <c r="O724" s="60">
        <f>$L$724-EFEITO!$O$724*EFEITO!$AA$724</f>
        <v>0</v>
      </c>
      <c r="P724" s="18"/>
      <c r="Q724" s="18"/>
      <c r="R724" s="18"/>
      <c r="S724" s="18"/>
      <c r="T724" s="18"/>
      <c r="U724" s="18"/>
      <c r="V724" s="18"/>
      <c r="W724" s="18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51" t="s">
        <v>21</v>
      </c>
      <c r="B725" s="51" t="s">
        <v>41</v>
      </c>
      <c r="C725" s="51" t="s">
        <v>42</v>
      </c>
      <c r="D725" s="51" t="s">
        <v>43</v>
      </c>
      <c r="E725" s="51" t="s">
        <v>25</v>
      </c>
      <c r="F725" s="51" t="s">
        <v>25</v>
      </c>
      <c r="G725" s="51" t="s">
        <v>25</v>
      </c>
      <c r="H725" s="51" t="s">
        <v>34</v>
      </c>
      <c r="I725" s="59">
        <v>44593</v>
      </c>
      <c r="J725" s="60">
        <f>EFEITO!$J$725*EFEITO!$Y$725</f>
        <v>0</v>
      </c>
      <c r="K725" s="60">
        <f ca="1">EFEITO!$L$725*EFEITO!$Z$725</f>
        <v>1266875.6885257708</v>
      </c>
      <c r="L725" s="60">
        <f>EFEITO!$N$725*EFEITO!$AA$725</f>
        <v>249220.12299445257</v>
      </c>
      <c r="M725" s="60">
        <f>$J$725-EFEITO!$K$725*EFEITO!$Y$725</f>
        <v>0</v>
      </c>
      <c r="N725" s="60">
        <f ca="1">$K$725-EFEITO!$M$725*EFEITO!$Z$725</f>
        <v>0</v>
      </c>
      <c r="O725" s="60">
        <f>$L$725-EFEITO!$O$725*EFEITO!$AA$725</f>
        <v>0</v>
      </c>
      <c r="P725" s="18"/>
      <c r="Q725" s="18"/>
      <c r="R725" s="18"/>
      <c r="S725" s="18"/>
      <c r="T725" s="18"/>
      <c r="U725" s="18"/>
      <c r="V725" s="18"/>
      <c r="W725" s="18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51" t="s">
        <v>27</v>
      </c>
      <c r="B726" s="51" t="s">
        <v>41</v>
      </c>
      <c r="C726" s="51" t="s">
        <v>42</v>
      </c>
      <c r="D726" s="51" t="s">
        <v>43</v>
      </c>
      <c r="E726" s="51" t="s">
        <v>25</v>
      </c>
      <c r="F726" s="51" t="s">
        <v>25</v>
      </c>
      <c r="G726" s="51" t="s">
        <v>25</v>
      </c>
      <c r="H726" s="51" t="s">
        <v>34</v>
      </c>
      <c r="I726" s="59">
        <v>44593</v>
      </c>
      <c r="J726" s="60">
        <f>EFEITO!$J$726*EFEITO!$Y$726</f>
        <v>0</v>
      </c>
      <c r="K726" s="60">
        <f ca="1">EFEITO!$L$726*EFEITO!$Z$726</f>
        <v>-8577.4308197324463</v>
      </c>
      <c r="L726" s="60">
        <f>EFEITO!$N$726*EFEITO!$AA$726</f>
        <v>-1687.3544762372665</v>
      </c>
      <c r="M726" s="60">
        <f>$J$726-EFEITO!$K$726*EFEITO!$Y$726</f>
        <v>0</v>
      </c>
      <c r="N726" s="60">
        <f ca="1">$K$726-EFEITO!$M$726*EFEITO!$Z$726</f>
        <v>0</v>
      </c>
      <c r="O726" s="60">
        <f>$L$726-EFEITO!$O$726*EFEITO!$AA$726</f>
        <v>0</v>
      </c>
      <c r="P726" s="18"/>
      <c r="Q726" s="18"/>
      <c r="R726" s="18"/>
      <c r="S726" s="18"/>
      <c r="T726" s="18"/>
      <c r="U726" s="18"/>
      <c r="V726" s="18"/>
      <c r="W726" s="18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51" t="s">
        <v>28</v>
      </c>
      <c r="B727" s="51" t="s">
        <v>41</v>
      </c>
      <c r="C727" s="51" t="s">
        <v>42</v>
      </c>
      <c r="D727" s="51" t="s">
        <v>43</v>
      </c>
      <c r="E727" s="51" t="s">
        <v>25</v>
      </c>
      <c r="F727" s="51" t="s">
        <v>25</v>
      </c>
      <c r="G727" s="51" t="s">
        <v>25</v>
      </c>
      <c r="H727" s="51" t="s">
        <v>34</v>
      </c>
      <c r="I727" s="59">
        <v>44593</v>
      </c>
      <c r="J727" s="60">
        <f>EFEITO!$J$727*EFEITO!$Y$727</f>
        <v>0</v>
      </c>
      <c r="K727" s="60">
        <f ca="1">EFEITO!$L$727*EFEITO!$Z$727</f>
        <v>149269.71851661237</v>
      </c>
      <c r="L727" s="60">
        <f>EFEITO!$N$727*EFEITO!$AA$727</f>
        <v>29364.378798165486</v>
      </c>
      <c r="M727" s="60">
        <f>$J$727-EFEITO!$K$727*EFEITO!$Y$727</f>
        <v>0</v>
      </c>
      <c r="N727" s="60">
        <f ca="1">$K$727-EFEITO!$M$727*EFEITO!$Z$727</f>
        <v>0</v>
      </c>
      <c r="O727" s="60">
        <f>$L$727-EFEITO!$O$727*EFEITO!$AA$727</f>
        <v>0</v>
      </c>
      <c r="P727" s="18"/>
      <c r="Q727" s="18"/>
      <c r="R727" s="18"/>
      <c r="S727" s="18"/>
      <c r="T727" s="18"/>
      <c r="U727" s="18"/>
      <c r="V727" s="18"/>
      <c r="W727" s="18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51" t="s">
        <v>21</v>
      </c>
      <c r="B728" s="51" t="s">
        <v>41</v>
      </c>
      <c r="C728" s="51" t="s">
        <v>42</v>
      </c>
      <c r="D728" s="51" t="s">
        <v>43</v>
      </c>
      <c r="E728" s="51" t="s">
        <v>25</v>
      </c>
      <c r="F728" s="51" t="s">
        <v>25</v>
      </c>
      <c r="G728" s="51" t="s">
        <v>25</v>
      </c>
      <c r="H728" s="51" t="s">
        <v>34</v>
      </c>
      <c r="I728" s="59">
        <v>44593</v>
      </c>
      <c r="J728" s="60">
        <f>EFEITO!$J$728*EFEITO!$Y$728</f>
        <v>0</v>
      </c>
      <c r="K728" s="60">
        <f ca="1">EFEITO!$L$728*EFEITO!$Z$728</f>
        <v>24214.195639591813</v>
      </c>
      <c r="L728" s="60">
        <f>EFEITO!$N$728*EFEITO!$AA$728</f>
        <v>0</v>
      </c>
      <c r="M728" s="60">
        <f>$J$728-EFEITO!$K$728*EFEITO!$Y$728</f>
        <v>0</v>
      </c>
      <c r="N728" s="60">
        <f ca="1">$K$728-EFEITO!$M$728*EFEITO!$Z$728</f>
        <v>0</v>
      </c>
      <c r="O728" s="60">
        <f>$L$728-EFEITO!$O$728*EFEITO!$AA$728</f>
        <v>0</v>
      </c>
      <c r="P728" s="18"/>
      <c r="Q728" s="18"/>
      <c r="R728" s="18"/>
      <c r="S728" s="18"/>
      <c r="T728" s="18"/>
      <c r="U728" s="18"/>
      <c r="V728" s="18"/>
      <c r="W728" s="18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51" t="s">
        <v>27</v>
      </c>
      <c r="B729" s="51" t="s">
        <v>41</v>
      </c>
      <c r="C729" s="51" t="s">
        <v>42</v>
      </c>
      <c r="D729" s="51" t="s">
        <v>43</v>
      </c>
      <c r="E729" s="51" t="s">
        <v>25</v>
      </c>
      <c r="F729" s="51" t="s">
        <v>25</v>
      </c>
      <c r="G729" s="51" t="s">
        <v>25</v>
      </c>
      <c r="H729" s="51" t="s">
        <v>34</v>
      </c>
      <c r="I729" s="59">
        <v>44593</v>
      </c>
      <c r="J729" s="60">
        <f>EFEITO!$J$729*EFEITO!$Y$729</f>
        <v>0</v>
      </c>
      <c r="K729" s="60">
        <f ca="1">EFEITO!$L$729*EFEITO!$Z$729</f>
        <v>-15809.526443398008</v>
      </c>
      <c r="L729" s="60">
        <f>EFEITO!$N$729*EFEITO!$AA$729</f>
        <v>0</v>
      </c>
      <c r="M729" s="60">
        <f>$J$729-EFEITO!$K$729*EFEITO!$Y$729</f>
        <v>0</v>
      </c>
      <c r="N729" s="60">
        <f ca="1">$K$729-EFEITO!$M$729*EFEITO!$Z$729</f>
        <v>0</v>
      </c>
      <c r="O729" s="60">
        <f>$L$729-EFEITO!$O$729*EFEITO!$AA$729</f>
        <v>0</v>
      </c>
      <c r="P729" s="18"/>
      <c r="Q729" s="18"/>
      <c r="R729" s="18"/>
      <c r="S729" s="18"/>
      <c r="T729" s="18"/>
      <c r="U729" s="18"/>
      <c r="V729" s="18"/>
      <c r="W729" s="18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51" t="s">
        <v>56</v>
      </c>
      <c r="B730" s="51" t="s">
        <v>41</v>
      </c>
      <c r="C730" s="51" t="s">
        <v>42</v>
      </c>
      <c r="D730" s="51" t="s">
        <v>43</v>
      </c>
      <c r="E730" s="51" t="s">
        <v>25</v>
      </c>
      <c r="F730" s="51" t="s">
        <v>25</v>
      </c>
      <c r="G730" s="51" t="s">
        <v>25</v>
      </c>
      <c r="H730" s="51" t="s">
        <v>34</v>
      </c>
      <c r="I730" s="59">
        <v>44621</v>
      </c>
      <c r="J730" s="60">
        <f>EFEITO!$J$730*EFEITO!$Y$730</f>
        <v>0</v>
      </c>
      <c r="K730" s="60">
        <f ca="1">EFEITO!$L$730*EFEITO!$Z$730</f>
        <v>1266875.6885257708</v>
      </c>
      <c r="L730" s="60">
        <f>EFEITO!$N$730*EFEITO!$AA$730</f>
        <v>249220.12299445257</v>
      </c>
      <c r="M730" s="60">
        <f>$J$730-EFEITO!$K$730*EFEITO!$Y$730</f>
        <v>0</v>
      </c>
      <c r="N730" s="60">
        <f ca="1">$K$730-EFEITO!$M$730*EFEITO!$Z$730</f>
        <v>0</v>
      </c>
      <c r="O730" s="60">
        <f>$L$730-EFEITO!$O$730*EFEITO!$AA$730</f>
        <v>0</v>
      </c>
      <c r="P730" s="18"/>
      <c r="Q730" s="18"/>
      <c r="R730" s="18"/>
      <c r="S730" s="18"/>
      <c r="T730" s="18"/>
      <c r="U730" s="18"/>
      <c r="V730" s="18"/>
      <c r="W730" s="18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51" t="s">
        <v>56</v>
      </c>
      <c r="B731" s="51" t="s">
        <v>41</v>
      </c>
      <c r="C731" s="51" t="s">
        <v>42</v>
      </c>
      <c r="D731" s="51" t="s">
        <v>43</v>
      </c>
      <c r="E731" s="51" t="s">
        <v>25</v>
      </c>
      <c r="F731" s="51" t="s">
        <v>25</v>
      </c>
      <c r="G731" s="51" t="s">
        <v>25</v>
      </c>
      <c r="H731" s="51" t="s">
        <v>34</v>
      </c>
      <c r="I731" s="59">
        <v>44621</v>
      </c>
      <c r="J731" s="60">
        <f>EFEITO!$J$731*EFEITO!$Y$731</f>
        <v>0</v>
      </c>
      <c r="K731" s="60">
        <f ca="1">EFEITO!$L$731*EFEITO!$Z$731</f>
        <v>-8577.4308197324463</v>
      </c>
      <c r="L731" s="60">
        <f>EFEITO!$N$731*EFEITO!$AA$731</f>
        <v>-1687.3544762372665</v>
      </c>
      <c r="M731" s="60">
        <f>$J$731-EFEITO!$K$731*EFEITO!$Y$731</f>
        <v>0</v>
      </c>
      <c r="N731" s="60">
        <f ca="1">$K$731-EFEITO!$M$731*EFEITO!$Z$731</f>
        <v>0</v>
      </c>
      <c r="O731" s="60">
        <f>$L$731-EFEITO!$O$731*EFEITO!$AA$731</f>
        <v>0</v>
      </c>
      <c r="P731" s="18"/>
      <c r="Q731" s="18"/>
      <c r="R731" s="18"/>
      <c r="S731" s="18"/>
      <c r="T731" s="18"/>
      <c r="U731" s="18"/>
      <c r="V731" s="18"/>
      <c r="W731" s="18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51" t="s">
        <v>56</v>
      </c>
      <c r="B732" s="51" t="s">
        <v>41</v>
      </c>
      <c r="C732" s="51" t="s">
        <v>42</v>
      </c>
      <c r="D732" s="51" t="s">
        <v>43</v>
      </c>
      <c r="E732" s="51" t="s">
        <v>25</v>
      </c>
      <c r="F732" s="51" t="s">
        <v>25</v>
      </c>
      <c r="G732" s="51" t="s">
        <v>25</v>
      </c>
      <c r="H732" s="51" t="s">
        <v>34</v>
      </c>
      <c r="I732" s="59">
        <v>44621</v>
      </c>
      <c r="J732" s="60">
        <f>EFEITO!$J$732*EFEITO!$Y$732</f>
        <v>0</v>
      </c>
      <c r="K732" s="60">
        <f ca="1">EFEITO!$L$732*EFEITO!$Z$732</f>
        <v>149269.71851661237</v>
      </c>
      <c r="L732" s="60">
        <f>EFEITO!$N$732*EFEITO!$AA$732</f>
        <v>29364.378798165486</v>
      </c>
      <c r="M732" s="60">
        <f>$J$732-EFEITO!$K$732*EFEITO!$Y$732</f>
        <v>0</v>
      </c>
      <c r="N732" s="60">
        <f ca="1">$K$732-EFEITO!$M$732*EFEITO!$Z$732</f>
        <v>0</v>
      </c>
      <c r="O732" s="60">
        <f>$L$732-EFEITO!$O$732*EFEITO!$AA$732</f>
        <v>0</v>
      </c>
      <c r="P732" s="18"/>
      <c r="Q732" s="18"/>
      <c r="R732" s="18"/>
      <c r="S732" s="18"/>
      <c r="T732" s="18"/>
      <c r="U732" s="18"/>
      <c r="V732" s="18"/>
      <c r="W732" s="18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51" t="s">
        <v>56</v>
      </c>
      <c r="B733" s="51" t="s">
        <v>41</v>
      </c>
      <c r="C733" s="51" t="s">
        <v>42</v>
      </c>
      <c r="D733" s="51" t="s">
        <v>43</v>
      </c>
      <c r="E733" s="51" t="s">
        <v>25</v>
      </c>
      <c r="F733" s="51" t="s">
        <v>25</v>
      </c>
      <c r="G733" s="51" t="s">
        <v>25</v>
      </c>
      <c r="H733" s="51" t="s">
        <v>34</v>
      </c>
      <c r="I733" s="59">
        <v>44621</v>
      </c>
      <c r="J733" s="60">
        <f>EFEITO!$J$733*EFEITO!$Y$733</f>
        <v>0</v>
      </c>
      <c r="K733" s="60">
        <f ca="1">EFEITO!$L$733*EFEITO!$Z$733</f>
        <v>24214.195639591813</v>
      </c>
      <c r="L733" s="60">
        <f>EFEITO!$N$733*EFEITO!$AA$733</f>
        <v>0</v>
      </c>
      <c r="M733" s="60">
        <f>$J$733-EFEITO!$K$733*EFEITO!$Y$733</f>
        <v>0</v>
      </c>
      <c r="N733" s="60">
        <f ca="1">$K$733-EFEITO!$M$733*EFEITO!$Z$733</f>
        <v>0</v>
      </c>
      <c r="O733" s="60">
        <f>$L$733-EFEITO!$O$733*EFEITO!$AA$733</f>
        <v>0</v>
      </c>
      <c r="P733" s="18"/>
      <c r="Q733" s="18"/>
      <c r="R733" s="18"/>
      <c r="S733" s="18"/>
      <c r="T733" s="18"/>
      <c r="U733" s="18"/>
      <c r="V733" s="18"/>
      <c r="W733" s="18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51" t="s">
        <v>56</v>
      </c>
      <c r="B734" s="51" t="s">
        <v>41</v>
      </c>
      <c r="C734" s="51" t="s">
        <v>42</v>
      </c>
      <c r="D734" s="51" t="s">
        <v>43</v>
      </c>
      <c r="E734" s="51" t="s">
        <v>25</v>
      </c>
      <c r="F734" s="51" t="s">
        <v>25</v>
      </c>
      <c r="G734" s="51" t="s">
        <v>25</v>
      </c>
      <c r="H734" s="51" t="s">
        <v>34</v>
      </c>
      <c r="I734" s="59">
        <v>44621</v>
      </c>
      <c r="J734" s="60">
        <f>EFEITO!$J$734*EFEITO!$Y$734</f>
        <v>0</v>
      </c>
      <c r="K734" s="60">
        <f ca="1">EFEITO!$L$734*EFEITO!$Z$734</f>
        <v>-15809.526443398008</v>
      </c>
      <c r="L734" s="60">
        <f>EFEITO!$N$734*EFEITO!$AA$734</f>
        <v>0</v>
      </c>
      <c r="M734" s="60">
        <f>$J$734-EFEITO!$K$734*EFEITO!$Y$734</f>
        <v>0</v>
      </c>
      <c r="N734" s="60">
        <f ca="1">$K$734-EFEITO!$M$734*EFEITO!$Z$734</f>
        <v>0</v>
      </c>
      <c r="O734" s="60">
        <f>$L$734-EFEITO!$O$734*EFEITO!$AA$734</f>
        <v>0</v>
      </c>
      <c r="P734" s="18"/>
      <c r="Q734" s="18"/>
      <c r="R734" s="18"/>
      <c r="S734" s="18"/>
      <c r="T734" s="18"/>
      <c r="U734" s="18"/>
      <c r="V734" s="18"/>
      <c r="W734" s="18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51" t="s">
        <v>21</v>
      </c>
      <c r="B735" s="51" t="s">
        <v>41</v>
      </c>
      <c r="C735" s="51" t="s">
        <v>42</v>
      </c>
      <c r="D735" s="51" t="s">
        <v>52</v>
      </c>
      <c r="E735" s="51" t="s">
        <v>25</v>
      </c>
      <c r="F735" s="51" t="s">
        <v>25</v>
      </c>
      <c r="G735" s="51" t="s">
        <v>25</v>
      </c>
      <c r="H735" s="51" t="s">
        <v>35</v>
      </c>
      <c r="I735" s="59">
        <v>44287</v>
      </c>
      <c r="J735" s="60">
        <f>EFEITO!$J$735*EFEITO!$Y$735</f>
        <v>0</v>
      </c>
      <c r="K735" s="60">
        <f ca="1">EFEITO!$L$735*EFEITO!$Z$735</f>
        <v>5346.8594417803188</v>
      </c>
      <c r="L735" s="60">
        <f>EFEITO!$N$735*EFEITO!$AA$735</f>
        <v>18353.72709040677</v>
      </c>
      <c r="M735" s="60">
        <f>$J$735-EFEITO!$K$735*EFEITO!$Y$735</f>
        <v>0</v>
      </c>
      <c r="N735" s="60">
        <f ca="1">$K$735-EFEITO!$M$735*EFEITO!$Z$735</f>
        <v>0</v>
      </c>
      <c r="O735" s="60">
        <f>$L$735-EFEITO!$O$735*EFEITO!$AA$735</f>
        <v>0</v>
      </c>
      <c r="P735" s="18"/>
      <c r="Q735" s="18"/>
      <c r="R735" s="18"/>
      <c r="S735" s="18"/>
      <c r="T735" s="18"/>
      <c r="U735" s="18"/>
      <c r="V735" s="18"/>
      <c r="W735" s="18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51" t="s">
        <v>21</v>
      </c>
      <c r="B736" s="51" t="s">
        <v>41</v>
      </c>
      <c r="C736" s="51" t="s">
        <v>42</v>
      </c>
      <c r="D736" s="51" t="s">
        <v>52</v>
      </c>
      <c r="E736" s="51" t="s">
        <v>25</v>
      </c>
      <c r="F736" s="51" t="s">
        <v>25</v>
      </c>
      <c r="G736" s="51" t="s">
        <v>25</v>
      </c>
      <c r="H736" s="51" t="s">
        <v>35</v>
      </c>
      <c r="I736" s="59">
        <v>44317</v>
      </c>
      <c r="J736" s="60">
        <f>EFEITO!$J$736*EFEITO!$Y$736</f>
        <v>0</v>
      </c>
      <c r="K736" s="60">
        <f ca="1">EFEITO!$L$736*EFEITO!$Z$736</f>
        <v>4687.0342340712577</v>
      </c>
      <c r="L736" s="60">
        <f>EFEITO!$N$736*EFEITO!$AA$736</f>
        <v>16088.799066484231</v>
      </c>
      <c r="M736" s="60">
        <f>$J$736-EFEITO!$K$736*EFEITO!$Y$736</f>
        <v>0</v>
      </c>
      <c r="N736" s="60">
        <f ca="1">$K$736-EFEITO!$M$736*EFEITO!$Z$736</f>
        <v>0</v>
      </c>
      <c r="O736" s="60">
        <f>$L$736-EFEITO!$O$736*EFEITO!$AA$736</f>
        <v>0</v>
      </c>
      <c r="P736" s="18"/>
      <c r="Q736" s="18"/>
      <c r="R736" s="18"/>
      <c r="S736" s="18"/>
      <c r="T736" s="18"/>
      <c r="U736" s="18"/>
      <c r="V736" s="18"/>
      <c r="W736" s="18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51" t="s">
        <v>21</v>
      </c>
      <c r="B737" s="51" t="s">
        <v>41</v>
      </c>
      <c r="C737" s="51" t="s">
        <v>42</v>
      </c>
      <c r="D737" s="51" t="s">
        <v>52</v>
      </c>
      <c r="E737" s="51" t="s">
        <v>25</v>
      </c>
      <c r="F737" s="51" t="s">
        <v>25</v>
      </c>
      <c r="G737" s="51" t="s">
        <v>25</v>
      </c>
      <c r="H737" s="51" t="s">
        <v>35</v>
      </c>
      <c r="I737" s="59">
        <v>44348</v>
      </c>
      <c r="J737" s="60">
        <f>EFEITO!$J$737*EFEITO!$Y$737</f>
        <v>0</v>
      </c>
      <c r="K737" s="60">
        <f ca="1">EFEITO!$L$737*EFEITO!$Z$737</f>
        <v>4163.724586577865</v>
      </c>
      <c r="L737" s="60">
        <f>EFEITO!$N$737*EFEITO!$AA$737</f>
        <v>14292.476840614632</v>
      </c>
      <c r="M737" s="60">
        <f>$J$737-EFEITO!$K$737*EFEITO!$Y$737</f>
        <v>0</v>
      </c>
      <c r="N737" s="60">
        <f ca="1">$K$737-EFEITO!$M$737*EFEITO!$Z$737</f>
        <v>0</v>
      </c>
      <c r="O737" s="60">
        <f>$L$737-EFEITO!$O$737*EFEITO!$AA$737</f>
        <v>0</v>
      </c>
      <c r="P737" s="18"/>
      <c r="Q737" s="18"/>
      <c r="R737" s="18"/>
      <c r="S737" s="18"/>
      <c r="T737" s="18"/>
      <c r="U737" s="18"/>
      <c r="V737" s="18"/>
      <c r="W737" s="18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51" t="s">
        <v>21</v>
      </c>
      <c r="B738" s="51" t="s">
        <v>41</v>
      </c>
      <c r="C738" s="51" t="s">
        <v>42</v>
      </c>
      <c r="D738" s="51" t="s">
        <v>52</v>
      </c>
      <c r="E738" s="51" t="s">
        <v>25</v>
      </c>
      <c r="F738" s="51" t="s">
        <v>25</v>
      </c>
      <c r="G738" s="51" t="s">
        <v>25</v>
      </c>
      <c r="H738" s="51" t="s">
        <v>35</v>
      </c>
      <c r="I738" s="59">
        <v>44378</v>
      </c>
      <c r="J738" s="60">
        <f>EFEITO!$J$738*EFEITO!$Y$738</f>
        <v>0</v>
      </c>
      <c r="K738" s="60">
        <f ca="1">EFEITO!$L$738*EFEITO!$Z$738</f>
        <v>4618.7764539634236</v>
      </c>
      <c r="L738" s="60">
        <f>EFEITO!$N$738*EFEITO!$AA$738</f>
        <v>15854.496167457761</v>
      </c>
      <c r="M738" s="60">
        <f>$J$738-EFEITO!$K$738*EFEITO!$Y$738</f>
        <v>0</v>
      </c>
      <c r="N738" s="60">
        <f ca="1">$K$738-EFEITO!$M$738*EFEITO!$Z$738</f>
        <v>0</v>
      </c>
      <c r="O738" s="60">
        <f>$L$738-EFEITO!$O$738*EFEITO!$AA$738</f>
        <v>0</v>
      </c>
      <c r="P738" s="18"/>
      <c r="Q738" s="18"/>
      <c r="R738" s="18"/>
      <c r="S738" s="18"/>
      <c r="T738" s="18"/>
      <c r="U738" s="18"/>
      <c r="V738" s="18"/>
      <c r="W738" s="18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51" t="s">
        <v>21</v>
      </c>
      <c r="B739" s="51" t="s">
        <v>41</v>
      </c>
      <c r="C739" s="51" t="s">
        <v>42</v>
      </c>
      <c r="D739" s="51" t="s">
        <v>52</v>
      </c>
      <c r="E739" s="51" t="s">
        <v>25</v>
      </c>
      <c r="F739" s="51" t="s">
        <v>25</v>
      </c>
      <c r="G739" s="51" t="s">
        <v>25</v>
      </c>
      <c r="H739" s="51" t="s">
        <v>35</v>
      </c>
      <c r="I739" s="59">
        <v>44409</v>
      </c>
      <c r="J739" s="60">
        <f>EFEITO!$J$739*EFEITO!$Y$739</f>
        <v>0</v>
      </c>
      <c r="K739" s="60">
        <f ca="1">EFEITO!$L$739*EFEITO!$Z$739</f>
        <v>4823.549794286926</v>
      </c>
      <c r="L739" s="60">
        <f>EFEITO!$N$739*EFEITO!$AA$739</f>
        <v>16557.404864537169</v>
      </c>
      <c r="M739" s="60">
        <f>$J$739-EFEITO!$K$739*EFEITO!$Y$739</f>
        <v>0</v>
      </c>
      <c r="N739" s="60">
        <f ca="1">$K$739-EFEITO!$M$739*EFEITO!$Z$739</f>
        <v>0</v>
      </c>
      <c r="O739" s="60">
        <f>$L$739-EFEITO!$O$739*EFEITO!$AA$739</f>
        <v>0</v>
      </c>
      <c r="P739" s="18"/>
      <c r="Q739" s="18"/>
      <c r="R739" s="18"/>
      <c r="S739" s="18"/>
      <c r="T739" s="18"/>
      <c r="U739" s="18"/>
      <c r="V739" s="18"/>
      <c r="W739" s="18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51" t="s">
        <v>21</v>
      </c>
      <c r="B740" s="51" t="s">
        <v>41</v>
      </c>
      <c r="C740" s="51" t="s">
        <v>42</v>
      </c>
      <c r="D740" s="51" t="s">
        <v>52</v>
      </c>
      <c r="E740" s="51" t="s">
        <v>25</v>
      </c>
      <c r="F740" s="51" t="s">
        <v>25</v>
      </c>
      <c r="G740" s="51" t="s">
        <v>25</v>
      </c>
      <c r="H740" s="51" t="s">
        <v>35</v>
      </c>
      <c r="I740" s="59">
        <v>44440</v>
      </c>
      <c r="J740" s="60">
        <f>EFEITO!$J$740*EFEITO!$Y$740</f>
        <v>0</v>
      </c>
      <c r="K740" s="60">
        <f ca="1">EFEITO!$L$740*EFEITO!$Z$740</f>
        <v>4778.0446075483696</v>
      </c>
      <c r="L740" s="60">
        <f>EFEITO!$N$740*EFEITO!$AA$740</f>
        <v>16401.202931852858</v>
      </c>
      <c r="M740" s="60">
        <f>$J$740-EFEITO!$K$740*EFEITO!$Y$740</f>
        <v>0</v>
      </c>
      <c r="N740" s="60">
        <f ca="1">$K$740-EFEITO!$M$740*EFEITO!$Z$740</f>
        <v>0</v>
      </c>
      <c r="O740" s="60">
        <f>$L$740-EFEITO!$O$740*EFEITO!$AA$740</f>
        <v>0</v>
      </c>
      <c r="P740" s="18"/>
      <c r="Q740" s="18"/>
      <c r="R740" s="18"/>
      <c r="S740" s="18"/>
      <c r="T740" s="18"/>
      <c r="U740" s="18"/>
      <c r="V740" s="18"/>
      <c r="W740" s="18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51" t="s">
        <v>21</v>
      </c>
      <c r="B741" s="51" t="s">
        <v>41</v>
      </c>
      <c r="C741" s="51" t="s">
        <v>42</v>
      </c>
      <c r="D741" s="51" t="s">
        <v>52</v>
      </c>
      <c r="E741" s="51" t="s">
        <v>25</v>
      </c>
      <c r="F741" s="51" t="s">
        <v>25</v>
      </c>
      <c r="G741" s="51" t="s">
        <v>25</v>
      </c>
      <c r="H741" s="51" t="s">
        <v>35</v>
      </c>
      <c r="I741" s="59">
        <v>44470</v>
      </c>
      <c r="J741" s="60">
        <f>EFEITO!$J$741*EFEITO!$Y$741</f>
        <v>0</v>
      </c>
      <c r="K741" s="60">
        <f ca="1">EFEITO!$L$741*EFEITO!$Z$741</f>
        <v>4755.2920141790919</v>
      </c>
      <c r="L741" s="60">
        <f>EFEITO!$N$741*EFEITO!$AA$741</f>
        <v>16323.101965510703</v>
      </c>
      <c r="M741" s="60">
        <f>$J$741-EFEITO!$K$741*EFEITO!$Y$741</f>
        <v>0</v>
      </c>
      <c r="N741" s="60">
        <f ca="1">$K$741-EFEITO!$M$741*EFEITO!$Z$741</f>
        <v>0</v>
      </c>
      <c r="O741" s="60">
        <f>$L$741-EFEITO!$O$741*EFEITO!$AA$741</f>
        <v>0</v>
      </c>
      <c r="P741" s="18"/>
      <c r="Q741" s="18"/>
      <c r="R741" s="18"/>
      <c r="S741" s="18"/>
      <c r="T741" s="18"/>
      <c r="U741" s="18"/>
      <c r="V741" s="18"/>
      <c r="W741" s="18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51" t="s">
        <v>21</v>
      </c>
      <c r="B742" s="51" t="s">
        <v>41</v>
      </c>
      <c r="C742" s="51" t="s">
        <v>42</v>
      </c>
      <c r="D742" s="51" t="s">
        <v>52</v>
      </c>
      <c r="E742" s="51" t="s">
        <v>25</v>
      </c>
      <c r="F742" s="51" t="s">
        <v>25</v>
      </c>
      <c r="G742" s="51" t="s">
        <v>25</v>
      </c>
      <c r="H742" s="51" t="s">
        <v>35</v>
      </c>
      <c r="I742" s="59">
        <v>44501</v>
      </c>
      <c r="J742" s="60">
        <f>EFEITO!$J$742*EFEITO!$Y$742</f>
        <v>0</v>
      </c>
      <c r="K742" s="60">
        <f ca="1">EFEITO!$L$742*EFEITO!$Z$742</f>
        <v>4891.8075743947593</v>
      </c>
      <c r="L742" s="60">
        <f>EFEITO!$N$742*EFEITO!$AA$742</f>
        <v>16791.707763563641</v>
      </c>
      <c r="M742" s="60">
        <f>$J$742-EFEITO!$K$742*EFEITO!$Y$742</f>
        <v>0</v>
      </c>
      <c r="N742" s="60">
        <f ca="1">$K$742-EFEITO!$M$742*EFEITO!$Z$742</f>
        <v>0</v>
      </c>
      <c r="O742" s="60">
        <f>$L$742-EFEITO!$O$742*EFEITO!$AA$742</f>
        <v>0</v>
      </c>
      <c r="P742" s="18"/>
      <c r="Q742" s="18"/>
      <c r="R742" s="18"/>
      <c r="S742" s="18"/>
      <c r="T742" s="18"/>
      <c r="U742" s="18"/>
      <c r="V742" s="18"/>
      <c r="W742" s="18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51" t="s">
        <v>21</v>
      </c>
      <c r="B743" s="51" t="s">
        <v>41</v>
      </c>
      <c r="C743" s="51" t="s">
        <v>42</v>
      </c>
      <c r="D743" s="51" t="s">
        <v>52</v>
      </c>
      <c r="E743" s="51" t="s">
        <v>25</v>
      </c>
      <c r="F743" s="51" t="s">
        <v>25</v>
      </c>
      <c r="G743" s="51" t="s">
        <v>25</v>
      </c>
      <c r="H743" s="51" t="s">
        <v>35</v>
      </c>
      <c r="I743" s="59">
        <v>44531</v>
      </c>
      <c r="J743" s="60">
        <f>EFEITO!$J$743*EFEITO!$Y$743</f>
        <v>0</v>
      </c>
      <c r="K743" s="60">
        <f ca="1">EFEITO!$L$743*EFEITO!$Z$743</f>
        <v>4914.560167764037</v>
      </c>
      <c r="L743" s="60">
        <f>EFEITO!$N$743*EFEITO!$AA$743</f>
        <v>16869.808729905795</v>
      </c>
      <c r="M743" s="60">
        <f>$J$743-EFEITO!$K$743*EFEITO!$Y$743</f>
        <v>0</v>
      </c>
      <c r="N743" s="60">
        <f ca="1">$K$743-EFEITO!$M$743*EFEITO!$Z$743</f>
        <v>0</v>
      </c>
      <c r="O743" s="60">
        <f>$L$743-EFEITO!$O$743*EFEITO!$AA$743</f>
        <v>0</v>
      </c>
      <c r="P743" s="18"/>
      <c r="Q743" s="18"/>
      <c r="R743" s="18"/>
      <c r="S743" s="18"/>
      <c r="T743" s="18"/>
      <c r="U743" s="18"/>
      <c r="V743" s="18"/>
      <c r="W743" s="18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51" t="s">
        <v>21</v>
      </c>
      <c r="B744" s="51" t="s">
        <v>41</v>
      </c>
      <c r="C744" s="51" t="s">
        <v>42</v>
      </c>
      <c r="D744" s="51" t="s">
        <v>52</v>
      </c>
      <c r="E744" s="51" t="s">
        <v>25</v>
      </c>
      <c r="F744" s="51" t="s">
        <v>25</v>
      </c>
      <c r="G744" s="51" t="s">
        <v>25</v>
      </c>
      <c r="H744" s="51" t="s">
        <v>35</v>
      </c>
      <c r="I744" s="59">
        <v>44562</v>
      </c>
      <c r="J744" s="60">
        <f>EFEITO!$J$744*EFEITO!$Y$744</f>
        <v>0</v>
      </c>
      <c r="K744" s="60">
        <f ca="1">EFEITO!$L$744*EFEITO!$Z$744</f>
        <v>5116.4731820639727</v>
      </c>
      <c r="L744" s="60">
        <f>EFEITO!$N$744*EFEITO!$AA$744</f>
        <v>17562.899019787907</v>
      </c>
      <c r="M744" s="60">
        <f>$J$744-EFEITO!$K$744*EFEITO!$Y$744</f>
        <v>0</v>
      </c>
      <c r="N744" s="60">
        <f ca="1">$K$744-EFEITO!$M$744*EFEITO!$Z$744</f>
        <v>0</v>
      </c>
      <c r="O744" s="60">
        <f>$L$744-EFEITO!$O$744*EFEITO!$AA$744</f>
        <v>0</v>
      </c>
      <c r="P744" s="18"/>
      <c r="Q744" s="18"/>
      <c r="R744" s="18"/>
      <c r="S744" s="18"/>
      <c r="T744" s="18"/>
      <c r="U744" s="18"/>
      <c r="V744" s="18"/>
      <c r="W744" s="18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51" t="s">
        <v>21</v>
      </c>
      <c r="B745" s="51" t="s">
        <v>41</v>
      </c>
      <c r="C745" s="51" t="s">
        <v>42</v>
      </c>
      <c r="D745" s="51" t="s">
        <v>52</v>
      </c>
      <c r="E745" s="51" t="s">
        <v>25</v>
      </c>
      <c r="F745" s="51" t="s">
        <v>25</v>
      </c>
      <c r="G745" s="51" t="s">
        <v>25</v>
      </c>
      <c r="H745" s="51" t="s">
        <v>35</v>
      </c>
      <c r="I745" s="59">
        <v>44593</v>
      </c>
      <c r="J745" s="60">
        <f>EFEITO!$J$745*EFEITO!$Y$745</f>
        <v>0</v>
      </c>
      <c r="K745" s="60">
        <f ca="1">EFEITO!$L$745*EFEITO!$Z$745</f>
        <v>5010.5761117823904</v>
      </c>
      <c r="L745" s="60">
        <f>EFEITO!$N$745*EFEITO!$AA$745</f>
        <v>17199.394807869696</v>
      </c>
      <c r="M745" s="60">
        <f>$J$745-EFEITO!$K$745*EFEITO!$Y$745</f>
        <v>0</v>
      </c>
      <c r="N745" s="60">
        <f ca="1">$K$745-EFEITO!$M$745*EFEITO!$Z$745</f>
        <v>0</v>
      </c>
      <c r="O745" s="60">
        <f>$L$745-EFEITO!$O$745*EFEITO!$AA$745</f>
        <v>0</v>
      </c>
      <c r="P745" s="18"/>
      <c r="Q745" s="18"/>
      <c r="R745" s="18"/>
      <c r="S745" s="18"/>
      <c r="T745" s="18"/>
      <c r="U745" s="18"/>
      <c r="V745" s="18"/>
      <c r="W745" s="18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51" t="s">
        <v>56</v>
      </c>
      <c r="B746" s="51" t="s">
        <v>41</v>
      </c>
      <c r="C746" s="51" t="s">
        <v>42</v>
      </c>
      <c r="D746" s="51" t="s">
        <v>52</v>
      </c>
      <c r="E746" s="51" t="s">
        <v>25</v>
      </c>
      <c r="F746" s="51" t="s">
        <v>25</v>
      </c>
      <c r="G746" s="51" t="s">
        <v>25</v>
      </c>
      <c r="H746" s="51" t="s">
        <v>35</v>
      </c>
      <c r="I746" s="59">
        <v>44621</v>
      </c>
      <c r="J746" s="60">
        <f>EFEITO!$J$746*EFEITO!$Y$746</f>
        <v>0</v>
      </c>
      <c r="K746" s="60">
        <f ca="1">EFEITO!$L$746*EFEITO!$Z$746</f>
        <v>5010.5761117823904</v>
      </c>
      <c r="L746" s="60">
        <f>EFEITO!$N$746*EFEITO!$AA$746</f>
        <v>17199.394807869696</v>
      </c>
      <c r="M746" s="60">
        <f>$J$746-EFEITO!$K$746*EFEITO!$Y$746</f>
        <v>0</v>
      </c>
      <c r="N746" s="60">
        <f ca="1">$K$746-EFEITO!$M$746*EFEITO!$Z$746</f>
        <v>0</v>
      </c>
      <c r="O746" s="60">
        <f>$L$746-EFEITO!$O$746*EFEITO!$AA$746</f>
        <v>0</v>
      </c>
      <c r="P746" s="18"/>
      <c r="Q746" s="18"/>
      <c r="R746" s="18"/>
      <c r="S746" s="18"/>
      <c r="T746" s="18"/>
      <c r="U746" s="18"/>
      <c r="V746" s="18"/>
      <c r="W746" s="18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51" t="s">
        <v>21</v>
      </c>
      <c r="B747" s="51" t="s">
        <v>41</v>
      </c>
      <c r="C747" s="51" t="s">
        <v>42</v>
      </c>
      <c r="D747" s="51" t="s">
        <v>52</v>
      </c>
      <c r="E747" s="51" t="s">
        <v>25</v>
      </c>
      <c r="F747" s="51" t="s">
        <v>25</v>
      </c>
      <c r="G747" s="51" t="s">
        <v>25</v>
      </c>
      <c r="H747" s="51" t="s">
        <v>25</v>
      </c>
      <c r="I747" s="59">
        <v>44287</v>
      </c>
      <c r="J747" s="60">
        <f ca="1">EFEITO!$J$747*EFEITO!$Y$747</f>
        <v>10905.210605122616</v>
      </c>
      <c r="K747" s="60">
        <f>EFEITO!$L$747*EFEITO!$Z$747</f>
        <v>0</v>
      </c>
      <c r="L747" s="60">
        <f>EFEITO!$N$747*EFEITO!$AA$747</f>
        <v>0</v>
      </c>
      <c r="M747" s="60">
        <f ca="1">$J$747-EFEITO!$K$747*EFEITO!$Y$747</f>
        <v>0</v>
      </c>
      <c r="N747" s="60">
        <f>$K$747-EFEITO!$M$747*EFEITO!$Z$747</f>
        <v>0</v>
      </c>
      <c r="O747" s="60">
        <f>$L$747-EFEITO!$O$747*EFEITO!$AA$747</f>
        <v>0</v>
      </c>
      <c r="P747" s="18"/>
      <c r="Q747" s="18"/>
      <c r="R747" s="18"/>
      <c r="S747" s="18"/>
      <c r="T747" s="18"/>
      <c r="U747" s="18"/>
      <c r="V747" s="18"/>
      <c r="W747" s="18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51" t="s">
        <v>21</v>
      </c>
      <c r="B748" s="51" t="s">
        <v>41</v>
      </c>
      <c r="C748" s="51" t="s">
        <v>42</v>
      </c>
      <c r="D748" s="51" t="s">
        <v>52</v>
      </c>
      <c r="E748" s="51" t="s">
        <v>25</v>
      </c>
      <c r="F748" s="51" t="s">
        <v>25</v>
      </c>
      <c r="G748" s="51" t="s">
        <v>25</v>
      </c>
      <c r="H748" s="51" t="s">
        <v>25</v>
      </c>
      <c r="I748" s="59">
        <v>44317</v>
      </c>
      <c r="J748" s="60">
        <f ca="1">EFEITO!$J$748*EFEITO!$Y$748</f>
        <v>10905.210605122616</v>
      </c>
      <c r="K748" s="60">
        <f>EFEITO!$L$748*EFEITO!$Z$748</f>
        <v>0</v>
      </c>
      <c r="L748" s="60">
        <f>EFEITO!$N$748*EFEITO!$AA$748</f>
        <v>0</v>
      </c>
      <c r="M748" s="60">
        <f ca="1">$J$748-EFEITO!$K$748*EFEITO!$Y$748</f>
        <v>0</v>
      </c>
      <c r="N748" s="60">
        <f>$K$748-EFEITO!$M$748*EFEITO!$Z$748</f>
        <v>0</v>
      </c>
      <c r="O748" s="60">
        <f>$L$748-EFEITO!$O$748*EFEITO!$AA$748</f>
        <v>0</v>
      </c>
      <c r="P748" s="18"/>
      <c r="Q748" s="18"/>
      <c r="R748" s="18"/>
      <c r="S748" s="18"/>
      <c r="T748" s="18"/>
      <c r="U748" s="18"/>
      <c r="V748" s="18"/>
      <c r="W748" s="18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51" t="s">
        <v>21</v>
      </c>
      <c r="B749" s="51" t="s">
        <v>41</v>
      </c>
      <c r="C749" s="51" t="s">
        <v>42</v>
      </c>
      <c r="D749" s="51" t="s">
        <v>52</v>
      </c>
      <c r="E749" s="51" t="s">
        <v>25</v>
      </c>
      <c r="F749" s="51" t="s">
        <v>25</v>
      </c>
      <c r="G749" s="51" t="s">
        <v>25</v>
      </c>
      <c r="H749" s="51" t="s">
        <v>25</v>
      </c>
      <c r="I749" s="59">
        <v>44348</v>
      </c>
      <c r="J749" s="60">
        <f ca="1">EFEITO!$J$749*EFEITO!$Y$749</f>
        <v>10905.210605122616</v>
      </c>
      <c r="K749" s="60">
        <f>EFEITO!$L$749*EFEITO!$Z$749</f>
        <v>0</v>
      </c>
      <c r="L749" s="60">
        <f>EFEITO!$N$749*EFEITO!$AA$749</f>
        <v>0</v>
      </c>
      <c r="M749" s="60">
        <f ca="1">$J$749-EFEITO!$K$749*EFEITO!$Y$749</f>
        <v>0</v>
      </c>
      <c r="N749" s="60">
        <f>$K$749-EFEITO!$M$749*EFEITO!$Z$749</f>
        <v>0</v>
      </c>
      <c r="O749" s="60">
        <f>$L$749-EFEITO!$O$749*EFEITO!$AA$749</f>
        <v>0</v>
      </c>
      <c r="P749" s="18"/>
      <c r="Q749" s="18"/>
      <c r="R749" s="18"/>
      <c r="S749" s="18"/>
      <c r="T749" s="18"/>
      <c r="U749" s="18"/>
      <c r="V749" s="18"/>
      <c r="W749" s="18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51" t="s">
        <v>21</v>
      </c>
      <c r="B750" s="51" t="s">
        <v>41</v>
      </c>
      <c r="C750" s="51" t="s">
        <v>42</v>
      </c>
      <c r="D750" s="51" t="s">
        <v>52</v>
      </c>
      <c r="E750" s="51" t="s">
        <v>25</v>
      </c>
      <c r="F750" s="51" t="s">
        <v>25</v>
      </c>
      <c r="G750" s="51" t="s">
        <v>25</v>
      </c>
      <c r="H750" s="51" t="s">
        <v>25</v>
      </c>
      <c r="I750" s="59">
        <v>44378</v>
      </c>
      <c r="J750" s="60">
        <f ca="1">EFEITO!$J$750*EFEITO!$Y$750</f>
        <v>10905.210605122616</v>
      </c>
      <c r="K750" s="60">
        <f>EFEITO!$L$750*EFEITO!$Z$750</f>
        <v>0</v>
      </c>
      <c r="L750" s="60">
        <f>EFEITO!$N$750*EFEITO!$AA$750</f>
        <v>0</v>
      </c>
      <c r="M750" s="60">
        <f ca="1">$J$750-EFEITO!$K$750*EFEITO!$Y$750</f>
        <v>0</v>
      </c>
      <c r="N750" s="60">
        <f>$K$750-EFEITO!$M$750*EFEITO!$Z$750</f>
        <v>0</v>
      </c>
      <c r="O750" s="60">
        <f>$L$750-EFEITO!$O$750*EFEITO!$AA$750</f>
        <v>0</v>
      </c>
      <c r="P750" s="18"/>
      <c r="Q750" s="18"/>
      <c r="R750" s="18"/>
      <c r="S750" s="18"/>
      <c r="T750" s="18"/>
      <c r="U750" s="18"/>
      <c r="V750" s="18"/>
      <c r="W750" s="18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51" t="s">
        <v>21</v>
      </c>
      <c r="B751" s="51" t="s">
        <v>41</v>
      </c>
      <c r="C751" s="51" t="s">
        <v>42</v>
      </c>
      <c r="D751" s="51" t="s">
        <v>52</v>
      </c>
      <c r="E751" s="51" t="s">
        <v>25</v>
      </c>
      <c r="F751" s="51" t="s">
        <v>25</v>
      </c>
      <c r="G751" s="51" t="s">
        <v>25</v>
      </c>
      <c r="H751" s="51" t="s">
        <v>25</v>
      </c>
      <c r="I751" s="59">
        <v>44409</v>
      </c>
      <c r="J751" s="60">
        <f ca="1">EFEITO!$J$751*EFEITO!$Y$751</f>
        <v>10905.210605122616</v>
      </c>
      <c r="K751" s="60">
        <f>EFEITO!$L$751*EFEITO!$Z$751</f>
        <v>0</v>
      </c>
      <c r="L751" s="60">
        <f>EFEITO!$N$751*EFEITO!$AA$751</f>
        <v>0</v>
      </c>
      <c r="M751" s="60">
        <f ca="1">$J$751-EFEITO!$K$751*EFEITO!$Y$751</f>
        <v>0</v>
      </c>
      <c r="N751" s="60">
        <f>$K$751-EFEITO!$M$751*EFEITO!$Z$751</f>
        <v>0</v>
      </c>
      <c r="O751" s="60">
        <f>$L$751-EFEITO!$O$751*EFEITO!$AA$751</f>
        <v>0</v>
      </c>
      <c r="P751" s="18"/>
      <c r="Q751" s="18"/>
      <c r="R751" s="18"/>
      <c r="S751" s="18"/>
      <c r="T751" s="18"/>
      <c r="U751" s="18"/>
      <c r="V751" s="18"/>
      <c r="W751" s="18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51" t="s">
        <v>21</v>
      </c>
      <c r="B752" s="51" t="s">
        <v>41</v>
      </c>
      <c r="C752" s="51" t="s">
        <v>42</v>
      </c>
      <c r="D752" s="51" t="s">
        <v>52</v>
      </c>
      <c r="E752" s="51" t="s">
        <v>25</v>
      </c>
      <c r="F752" s="51" t="s">
        <v>25</v>
      </c>
      <c r="G752" s="51" t="s">
        <v>25</v>
      </c>
      <c r="H752" s="51" t="s">
        <v>25</v>
      </c>
      <c r="I752" s="59">
        <v>44440</v>
      </c>
      <c r="J752" s="60">
        <f ca="1">EFEITO!$J$752*EFEITO!$Y$752</f>
        <v>10905.210605122616</v>
      </c>
      <c r="K752" s="60">
        <f>EFEITO!$L$752*EFEITO!$Z$752</f>
        <v>0</v>
      </c>
      <c r="L752" s="60">
        <f>EFEITO!$N$752*EFEITO!$AA$752</f>
        <v>0</v>
      </c>
      <c r="M752" s="60">
        <f ca="1">$J$752-EFEITO!$K$752*EFEITO!$Y$752</f>
        <v>0</v>
      </c>
      <c r="N752" s="60">
        <f>$K$752-EFEITO!$M$752*EFEITO!$Z$752</f>
        <v>0</v>
      </c>
      <c r="O752" s="60">
        <f>$L$752-EFEITO!$O$752*EFEITO!$AA$752</f>
        <v>0</v>
      </c>
      <c r="P752" s="18"/>
      <c r="Q752" s="18"/>
      <c r="R752" s="18"/>
      <c r="S752" s="18"/>
      <c r="T752" s="18"/>
      <c r="U752" s="18"/>
      <c r="V752" s="18"/>
      <c r="W752" s="18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51" t="s">
        <v>21</v>
      </c>
      <c r="B753" s="51" t="s">
        <v>41</v>
      </c>
      <c r="C753" s="51" t="s">
        <v>42</v>
      </c>
      <c r="D753" s="51" t="s">
        <v>52</v>
      </c>
      <c r="E753" s="51" t="s">
        <v>25</v>
      </c>
      <c r="F753" s="51" t="s">
        <v>25</v>
      </c>
      <c r="G753" s="51" t="s">
        <v>25</v>
      </c>
      <c r="H753" s="51" t="s">
        <v>25</v>
      </c>
      <c r="I753" s="59">
        <v>44470</v>
      </c>
      <c r="J753" s="60">
        <f ca="1">EFEITO!$J$753*EFEITO!$Y$753</f>
        <v>10905.210605122616</v>
      </c>
      <c r="K753" s="60">
        <f>EFEITO!$L$753*EFEITO!$Z$753</f>
        <v>0</v>
      </c>
      <c r="L753" s="60">
        <f>EFEITO!$N$753*EFEITO!$AA$753</f>
        <v>0</v>
      </c>
      <c r="M753" s="60">
        <f ca="1">$J$753-EFEITO!$K$753*EFEITO!$Y$753</f>
        <v>0</v>
      </c>
      <c r="N753" s="60">
        <f>$K$753-EFEITO!$M$753*EFEITO!$Z$753</f>
        <v>0</v>
      </c>
      <c r="O753" s="60">
        <f>$L$753-EFEITO!$O$753*EFEITO!$AA$753</f>
        <v>0</v>
      </c>
      <c r="P753" s="18"/>
      <c r="Q753" s="18"/>
      <c r="R753" s="18"/>
      <c r="S753" s="18"/>
      <c r="T753" s="18"/>
      <c r="U753" s="18"/>
      <c r="V753" s="18"/>
      <c r="W753" s="18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51" t="s">
        <v>21</v>
      </c>
      <c r="B754" s="51" t="s">
        <v>41</v>
      </c>
      <c r="C754" s="51" t="s">
        <v>42</v>
      </c>
      <c r="D754" s="51" t="s">
        <v>52</v>
      </c>
      <c r="E754" s="51" t="s">
        <v>25</v>
      </c>
      <c r="F754" s="51" t="s">
        <v>25</v>
      </c>
      <c r="G754" s="51" t="s">
        <v>25</v>
      </c>
      <c r="H754" s="51" t="s">
        <v>25</v>
      </c>
      <c r="I754" s="59">
        <v>44501</v>
      </c>
      <c r="J754" s="60">
        <f ca="1">EFEITO!$J$754*EFEITO!$Y$754</f>
        <v>10905.210605122616</v>
      </c>
      <c r="K754" s="60">
        <f>EFEITO!$L$754*EFEITO!$Z$754</f>
        <v>0</v>
      </c>
      <c r="L754" s="60">
        <f>EFEITO!$N$754*EFEITO!$AA$754</f>
        <v>0</v>
      </c>
      <c r="M754" s="60">
        <f ca="1">$J$754-EFEITO!$K$754*EFEITO!$Y$754</f>
        <v>0</v>
      </c>
      <c r="N754" s="60">
        <f>$K$754-EFEITO!$M$754*EFEITO!$Z$754</f>
        <v>0</v>
      </c>
      <c r="O754" s="60">
        <f>$L$754-EFEITO!$O$754*EFEITO!$AA$754</f>
        <v>0</v>
      </c>
      <c r="P754" s="18"/>
      <c r="Q754" s="18"/>
      <c r="R754" s="18"/>
      <c r="S754" s="18"/>
      <c r="T754" s="18"/>
      <c r="U754" s="18"/>
      <c r="V754" s="18"/>
      <c r="W754" s="18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51" t="s">
        <v>21</v>
      </c>
      <c r="B755" s="51" t="s">
        <v>41</v>
      </c>
      <c r="C755" s="51" t="s">
        <v>42</v>
      </c>
      <c r="D755" s="51" t="s">
        <v>52</v>
      </c>
      <c r="E755" s="51" t="s">
        <v>25</v>
      </c>
      <c r="F755" s="51" t="s">
        <v>25</v>
      </c>
      <c r="G755" s="51" t="s">
        <v>25</v>
      </c>
      <c r="H755" s="51" t="s">
        <v>25</v>
      </c>
      <c r="I755" s="59">
        <v>44531</v>
      </c>
      <c r="J755" s="60">
        <f ca="1">EFEITO!$J$755*EFEITO!$Y$755</f>
        <v>10905.210605122616</v>
      </c>
      <c r="K755" s="60">
        <f>EFEITO!$L$755*EFEITO!$Z$755</f>
        <v>0</v>
      </c>
      <c r="L755" s="60">
        <f>EFEITO!$N$755*EFEITO!$AA$755</f>
        <v>0</v>
      </c>
      <c r="M755" s="60">
        <f ca="1">$J$755-EFEITO!$K$755*EFEITO!$Y$755</f>
        <v>0</v>
      </c>
      <c r="N755" s="60">
        <f>$K$755-EFEITO!$M$755*EFEITO!$Z$755</f>
        <v>0</v>
      </c>
      <c r="O755" s="60">
        <f>$L$755-EFEITO!$O$755*EFEITO!$AA$755</f>
        <v>0</v>
      </c>
      <c r="P755" s="18"/>
      <c r="Q755" s="18"/>
      <c r="R755" s="18"/>
      <c r="S755" s="18"/>
      <c r="T755" s="18"/>
      <c r="U755" s="18"/>
      <c r="V755" s="18"/>
      <c r="W755" s="18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51" t="s">
        <v>21</v>
      </c>
      <c r="B756" s="51" t="s">
        <v>41</v>
      </c>
      <c r="C756" s="51" t="s">
        <v>42</v>
      </c>
      <c r="D756" s="51" t="s">
        <v>52</v>
      </c>
      <c r="E756" s="51" t="s">
        <v>25</v>
      </c>
      <c r="F756" s="51" t="s">
        <v>25</v>
      </c>
      <c r="G756" s="51" t="s">
        <v>25</v>
      </c>
      <c r="H756" s="51" t="s">
        <v>25</v>
      </c>
      <c r="I756" s="59">
        <v>44562</v>
      </c>
      <c r="J756" s="60">
        <f ca="1">EFEITO!$J$756*EFEITO!$Y$756</f>
        <v>10905.210605122616</v>
      </c>
      <c r="K756" s="60">
        <f>EFEITO!$L$756*EFEITO!$Z$756</f>
        <v>0</v>
      </c>
      <c r="L756" s="60">
        <f>EFEITO!$N$756*EFEITO!$AA$756</f>
        <v>0</v>
      </c>
      <c r="M756" s="60">
        <f ca="1">$J$756-EFEITO!$K$756*EFEITO!$Y$756</f>
        <v>0</v>
      </c>
      <c r="N756" s="60">
        <f>$K$756-EFEITO!$M$756*EFEITO!$Z$756</f>
        <v>0</v>
      </c>
      <c r="O756" s="60">
        <f>$L$756-EFEITO!$O$756*EFEITO!$AA$756</f>
        <v>0</v>
      </c>
      <c r="P756" s="18"/>
      <c r="Q756" s="18"/>
      <c r="R756" s="18"/>
      <c r="S756" s="18"/>
      <c r="T756" s="18"/>
      <c r="U756" s="18"/>
      <c r="V756" s="18"/>
      <c r="W756" s="18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51" t="s">
        <v>21</v>
      </c>
      <c r="B757" s="51" t="s">
        <v>41</v>
      </c>
      <c r="C757" s="51" t="s">
        <v>42</v>
      </c>
      <c r="D757" s="51" t="s">
        <v>52</v>
      </c>
      <c r="E757" s="51" t="s">
        <v>25</v>
      </c>
      <c r="F757" s="51" t="s">
        <v>25</v>
      </c>
      <c r="G757" s="51" t="s">
        <v>25</v>
      </c>
      <c r="H757" s="51" t="s">
        <v>25</v>
      </c>
      <c r="I757" s="59">
        <v>44593</v>
      </c>
      <c r="J757" s="60">
        <f ca="1">EFEITO!$J$757*EFEITO!$Y$757</f>
        <v>10905.210605122616</v>
      </c>
      <c r="K757" s="60">
        <f>EFEITO!$L$757*EFEITO!$Z$757</f>
        <v>0</v>
      </c>
      <c r="L757" s="60">
        <f>EFEITO!$N$757*EFEITO!$AA$757</f>
        <v>0</v>
      </c>
      <c r="M757" s="60">
        <f ca="1">$J$757-EFEITO!$K$757*EFEITO!$Y$757</f>
        <v>0</v>
      </c>
      <c r="N757" s="60">
        <f>$K$757-EFEITO!$M$757*EFEITO!$Z$757</f>
        <v>0</v>
      </c>
      <c r="O757" s="60">
        <f>$L$757-EFEITO!$O$757*EFEITO!$AA$757</f>
        <v>0</v>
      </c>
      <c r="P757" s="18"/>
      <c r="Q757" s="18"/>
      <c r="R757" s="18"/>
      <c r="S757" s="18"/>
      <c r="T757" s="18"/>
      <c r="U757" s="18"/>
      <c r="V757" s="18"/>
      <c r="W757" s="18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51" t="s">
        <v>56</v>
      </c>
      <c r="B758" s="51" t="s">
        <v>41</v>
      </c>
      <c r="C758" s="51" t="s">
        <v>42</v>
      </c>
      <c r="D758" s="51" t="s">
        <v>52</v>
      </c>
      <c r="E758" s="51" t="s">
        <v>25</v>
      </c>
      <c r="F758" s="51" t="s">
        <v>25</v>
      </c>
      <c r="G758" s="51" t="s">
        <v>25</v>
      </c>
      <c r="H758" s="51" t="s">
        <v>25</v>
      </c>
      <c r="I758" s="59">
        <v>44621</v>
      </c>
      <c r="J758" s="60">
        <f ca="1">EFEITO!$J$758*EFEITO!$Y$758</f>
        <v>10905.210605122616</v>
      </c>
      <c r="K758" s="60">
        <f>EFEITO!$L$758*EFEITO!$Z$758</f>
        <v>0</v>
      </c>
      <c r="L758" s="60">
        <f>EFEITO!$N$758*EFEITO!$AA$758</f>
        <v>0</v>
      </c>
      <c r="M758" s="60">
        <f ca="1">$J$758-EFEITO!$K$758*EFEITO!$Y$758</f>
        <v>0</v>
      </c>
      <c r="N758" s="60">
        <f>$K$758-EFEITO!$M$758*EFEITO!$Z$758</f>
        <v>0</v>
      </c>
      <c r="O758" s="60">
        <f>$L$758-EFEITO!$O$758*EFEITO!$AA$758</f>
        <v>0</v>
      </c>
      <c r="P758" s="18"/>
      <c r="Q758" s="18"/>
      <c r="R758" s="18"/>
      <c r="S758" s="18"/>
      <c r="T758" s="18"/>
      <c r="U758" s="18"/>
      <c r="V758" s="18"/>
      <c r="W758" s="18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51" t="s">
        <v>21</v>
      </c>
      <c r="B759" s="51" t="s">
        <v>41</v>
      </c>
      <c r="C759" s="51" t="s">
        <v>42</v>
      </c>
      <c r="D759" s="51" t="s">
        <v>52</v>
      </c>
      <c r="E759" s="51" t="s">
        <v>25</v>
      </c>
      <c r="F759" s="51" t="s">
        <v>25</v>
      </c>
      <c r="G759" s="51" t="s">
        <v>25</v>
      </c>
      <c r="H759" s="51" t="s">
        <v>34</v>
      </c>
      <c r="I759" s="59">
        <v>44287</v>
      </c>
      <c r="J759" s="60">
        <f>EFEITO!$J$759*EFEITO!$Y$759</f>
        <v>0</v>
      </c>
      <c r="K759" s="60">
        <f ca="1">EFEITO!$L$759*EFEITO!$Z$759</f>
        <v>13508.488649032242</v>
      </c>
      <c r="L759" s="60">
        <f>EFEITO!$N$759*EFEITO!$AA$759</f>
        <v>2657.3934862532478</v>
      </c>
      <c r="M759" s="60">
        <f>$J$759-EFEITO!$K$759*EFEITO!$Y$759</f>
        <v>0</v>
      </c>
      <c r="N759" s="60">
        <f ca="1">$K$759-EFEITO!$M$759*EFEITO!$Z$759</f>
        <v>0</v>
      </c>
      <c r="O759" s="60">
        <f>$L$759-EFEITO!$O$759*EFEITO!$AA$759</f>
        <v>0</v>
      </c>
      <c r="P759" s="18"/>
      <c r="Q759" s="18"/>
      <c r="R759" s="18"/>
      <c r="S759" s="18"/>
      <c r="T759" s="18"/>
      <c r="U759" s="18"/>
      <c r="V759" s="18"/>
      <c r="W759" s="18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51" t="s">
        <v>21</v>
      </c>
      <c r="B760" s="51" t="s">
        <v>41</v>
      </c>
      <c r="C760" s="51" t="s">
        <v>42</v>
      </c>
      <c r="D760" s="51" t="s">
        <v>52</v>
      </c>
      <c r="E760" s="51" t="s">
        <v>25</v>
      </c>
      <c r="F760" s="51" t="s">
        <v>25</v>
      </c>
      <c r="G760" s="51" t="s">
        <v>25</v>
      </c>
      <c r="H760" s="51" t="s">
        <v>34</v>
      </c>
      <c r="I760" s="59">
        <v>44317</v>
      </c>
      <c r="J760" s="60">
        <f>EFEITO!$J$760*EFEITO!$Y$760</f>
        <v>0</v>
      </c>
      <c r="K760" s="60">
        <f ca="1">EFEITO!$L$760*EFEITO!$Z$760</f>
        <v>11578.704556313351</v>
      </c>
      <c r="L760" s="60">
        <f>EFEITO!$N$760*EFEITO!$AA$760</f>
        <v>2277.765845359927</v>
      </c>
      <c r="M760" s="60">
        <f>$J$760-EFEITO!$K$760*EFEITO!$Y$760</f>
        <v>0</v>
      </c>
      <c r="N760" s="60">
        <f ca="1">$K$760-EFEITO!$M$760*EFEITO!$Z$760</f>
        <v>0</v>
      </c>
      <c r="O760" s="60">
        <f>$L$760-EFEITO!$O$760*EFEITO!$AA$760</f>
        <v>0</v>
      </c>
      <c r="P760" s="18"/>
      <c r="Q760" s="18"/>
      <c r="R760" s="18"/>
      <c r="S760" s="18"/>
      <c r="T760" s="18"/>
      <c r="U760" s="18"/>
      <c r="V760" s="18"/>
      <c r="W760" s="18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51" t="s">
        <v>21</v>
      </c>
      <c r="B761" s="51" t="s">
        <v>41</v>
      </c>
      <c r="C761" s="51" t="s">
        <v>42</v>
      </c>
      <c r="D761" s="51" t="s">
        <v>52</v>
      </c>
      <c r="E761" s="51" t="s">
        <v>25</v>
      </c>
      <c r="F761" s="51" t="s">
        <v>25</v>
      </c>
      <c r="G761" s="51" t="s">
        <v>25</v>
      </c>
      <c r="H761" s="51" t="s">
        <v>34</v>
      </c>
      <c r="I761" s="59">
        <v>44348</v>
      </c>
      <c r="J761" s="60">
        <f>EFEITO!$J$761*EFEITO!$Y$761</f>
        <v>0</v>
      </c>
      <c r="K761" s="60">
        <f ca="1">EFEITO!$L$761*EFEITO!$Z$761</f>
        <v>10935.443192073721</v>
      </c>
      <c r="L761" s="60">
        <f>EFEITO!$N$761*EFEITO!$AA$761</f>
        <v>2151.2232983954868</v>
      </c>
      <c r="M761" s="60">
        <f>$J$761-EFEITO!$K$761*EFEITO!$Y$761</f>
        <v>0</v>
      </c>
      <c r="N761" s="60">
        <f ca="1">$K$761-EFEITO!$M$761*EFEITO!$Z$761</f>
        <v>0</v>
      </c>
      <c r="O761" s="60">
        <f>$L$761-EFEITO!$O$761*EFEITO!$AA$761</f>
        <v>0</v>
      </c>
      <c r="P761" s="18"/>
      <c r="Q761" s="18"/>
      <c r="R761" s="18"/>
      <c r="S761" s="18"/>
      <c r="T761" s="18"/>
      <c r="U761" s="18"/>
      <c r="V761" s="18"/>
      <c r="W761" s="18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51" t="s">
        <v>21</v>
      </c>
      <c r="B762" s="51" t="s">
        <v>41</v>
      </c>
      <c r="C762" s="51" t="s">
        <v>42</v>
      </c>
      <c r="D762" s="51" t="s">
        <v>52</v>
      </c>
      <c r="E762" s="51" t="s">
        <v>25</v>
      </c>
      <c r="F762" s="51" t="s">
        <v>25</v>
      </c>
      <c r="G762" s="51" t="s">
        <v>25</v>
      </c>
      <c r="H762" s="51" t="s">
        <v>34</v>
      </c>
      <c r="I762" s="59">
        <v>44378</v>
      </c>
      <c r="J762" s="60">
        <f>EFEITO!$J$762*EFEITO!$Y$762</f>
        <v>0</v>
      </c>
      <c r="K762" s="60">
        <f ca="1">EFEITO!$L$762*EFEITO!$Z$762</f>
        <v>12221.965920552982</v>
      </c>
      <c r="L762" s="60">
        <f>EFEITO!$N$762*EFEITO!$AA$762</f>
        <v>2404.3083923243676</v>
      </c>
      <c r="M762" s="60">
        <f>$J$762-EFEITO!$K$762*EFEITO!$Y$762</f>
        <v>0</v>
      </c>
      <c r="N762" s="60">
        <f ca="1">$K$762-EFEITO!$M$762*EFEITO!$Z$762</f>
        <v>0</v>
      </c>
      <c r="O762" s="60">
        <f>$L$762-EFEITO!$O$762*EFEITO!$AA$762</f>
        <v>0</v>
      </c>
      <c r="P762" s="18"/>
      <c r="Q762" s="18"/>
      <c r="R762" s="18"/>
      <c r="S762" s="18"/>
      <c r="T762" s="18"/>
      <c r="U762" s="18"/>
      <c r="V762" s="18"/>
      <c r="W762" s="18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51" t="s">
        <v>21</v>
      </c>
      <c r="B763" s="51" t="s">
        <v>41</v>
      </c>
      <c r="C763" s="51" t="s">
        <v>42</v>
      </c>
      <c r="D763" s="51" t="s">
        <v>52</v>
      </c>
      <c r="E763" s="51" t="s">
        <v>25</v>
      </c>
      <c r="F763" s="51" t="s">
        <v>25</v>
      </c>
      <c r="G763" s="51" t="s">
        <v>25</v>
      </c>
      <c r="H763" s="51" t="s">
        <v>34</v>
      </c>
      <c r="I763" s="59">
        <v>44409</v>
      </c>
      <c r="J763" s="60">
        <f>EFEITO!$J$763*EFEITO!$Y$763</f>
        <v>0</v>
      </c>
      <c r="K763" s="60">
        <f ca="1">EFEITO!$L$763*EFEITO!$Z$763</f>
        <v>12221.965920552982</v>
      </c>
      <c r="L763" s="60">
        <f>EFEITO!$N$763*EFEITO!$AA$763</f>
        <v>2404.3083923243676</v>
      </c>
      <c r="M763" s="60">
        <f>$J$763-EFEITO!$K$763*EFEITO!$Y$763</f>
        <v>0</v>
      </c>
      <c r="N763" s="60">
        <f ca="1">$K$763-EFEITO!$M$763*EFEITO!$Z$763</f>
        <v>0</v>
      </c>
      <c r="O763" s="60">
        <f>$L$763-EFEITO!$O$763*EFEITO!$AA$763</f>
        <v>0</v>
      </c>
      <c r="P763" s="18"/>
      <c r="Q763" s="18"/>
      <c r="R763" s="18"/>
      <c r="S763" s="18"/>
      <c r="T763" s="18"/>
      <c r="U763" s="18"/>
      <c r="V763" s="18"/>
      <c r="W763" s="18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51" t="s">
        <v>21</v>
      </c>
      <c r="B764" s="51" t="s">
        <v>41</v>
      </c>
      <c r="C764" s="51" t="s">
        <v>42</v>
      </c>
      <c r="D764" s="51" t="s">
        <v>52</v>
      </c>
      <c r="E764" s="51" t="s">
        <v>25</v>
      </c>
      <c r="F764" s="51" t="s">
        <v>25</v>
      </c>
      <c r="G764" s="51" t="s">
        <v>25</v>
      </c>
      <c r="H764" s="51" t="s">
        <v>34</v>
      </c>
      <c r="I764" s="59">
        <v>44440</v>
      </c>
      <c r="J764" s="60">
        <f>EFEITO!$J$764*EFEITO!$Y$764</f>
        <v>0</v>
      </c>
      <c r="K764" s="60">
        <f ca="1">EFEITO!$L$764*EFEITO!$Z$764</f>
        <v>12221.965920552982</v>
      </c>
      <c r="L764" s="60">
        <f>EFEITO!$N$764*EFEITO!$AA$764</f>
        <v>2404.3083923243676</v>
      </c>
      <c r="M764" s="60">
        <f>$J$764-EFEITO!$K$764*EFEITO!$Y$764</f>
        <v>0</v>
      </c>
      <c r="N764" s="60">
        <f ca="1">$K$764-EFEITO!$M$764*EFEITO!$Z$764</f>
        <v>0</v>
      </c>
      <c r="O764" s="60">
        <f>$L$764-EFEITO!$O$764*EFEITO!$AA$764</f>
        <v>0</v>
      </c>
      <c r="P764" s="18"/>
      <c r="Q764" s="18"/>
      <c r="R764" s="18"/>
      <c r="S764" s="18"/>
      <c r="T764" s="18"/>
      <c r="U764" s="18"/>
      <c r="V764" s="18"/>
      <c r="W764" s="18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51" t="s">
        <v>21</v>
      </c>
      <c r="B765" s="51" t="s">
        <v>41</v>
      </c>
      <c r="C765" s="51" t="s">
        <v>42</v>
      </c>
      <c r="D765" s="51" t="s">
        <v>52</v>
      </c>
      <c r="E765" s="51" t="s">
        <v>25</v>
      </c>
      <c r="F765" s="51" t="s">
        <v>25</v>
      </c>
      <c r="G765" s="51" t="s">
        <v>25</v>
      </c>
      <c r="H765" s="51" t="s">
        <v>34</v>
      </c>
      <c r="I765" s="59">
        <v>44470</v>
      </c>
      <c r="J765" s="60">
        <f>EFEITO!$J$765*EFEITO!$Y$765</f>
        <v>0</v>
      </c>
      <c r="K765" s="60">
        <f ca="1">EFEITO!$L$765*EFEITO!$Z$765</f>
        <v>10292.181827834091</v>
      </c>
      <c r="L765" s="60">
        <f>EFEITO!$N$765*EFEITO!$AA$765</f>
        <v>2024.680751431046</v>
      </c>
      <c r="M765" s="60">
        <f>$J$765-EFEITO!$K$765*EFEITO!$Y$765</f>
        <v>0</v>
      </c>
      <c r="N765" s="60">
        <f ca="1">$K$765-EFEITO!$M$765*EFEITO!$Z$765</f>
        <v>0</v>
      </c>
      <c r="O765" s="60">
        <f>$L$765-EFEITO!$O$765*EFEITO!$AA$765</f>
        <v>0</v>
      </c>
      <c r="P765" s="18"/>
      <c r="Q765" s="18"/>
      <c r="R765" s="18"/>
      <c r="S765" s="18"/>
      <c r="T765" s="18"/>
      <c r="U765" s="18"/>
      <c r="V765" s="18"/>
      <c r="W765" s="18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51" t="s">
        <v>21</v>
      </c>
      <c r="B766" s="51" t="s">
        <v>41</v>
      </c>
      <c r="C766" s="51" t="s">
        <v>42</v>
      </c>
      <c r="D766" s="51" t="s">
        <v>52</v>
      </c>
      <c r="E766" s="51" t="s">
        <v>25</v>
      </c>
      <c r="F766" s="51" t="s">
        <v>25</v>
      </c>
      <c r="G766" s="51" t="s">
        <v>25</v>
      </c>
      <c r="H766" s="51" t="s">
        <v>34</v>
      </c>
      <c r="I766" s="59">
        <v>44501</v>
      </c>
      <c r="J766" s="60">
        <f>EFEITO!$J$766*EFEITO!$Y$766</f>
        <v>0</v>
      </c>
      <c r="K766" s="60">
        <f ca="1">EFEITO!$L$766*EFEITO!$Z$766</f>
        <v>11578.704556313351</v>
      </c>
      <c r="L766" s="60">
        <f>EFEITO!$N$766*EFEITO!$AA$766</f>
        <v>2277.765845359927</v>
      </c>
      <c r="M766" s="60">
        <f>$J$766-EFEITO!$K$766*EFEITO!$Y$766</f>
        <v>0</v>
      </c>
      <c r="N766" s="60">
        <f ca="1">$K$766-EFEITO!$M$766*EFEITO!$Z$766</f>
        <v>0</v>
      </c>
      <c r="O766" s="60">
        <f>$L$766-EFEITO!$O$766*EFEITO!$AA$766</f>
        <v>0</v>
      </c>
      <c r="P766" s="18"/>
      <c r="Q766" s="18"/>
      <c r="R766" s="18"/>
      <c r="S766" s="18"/>
      <c r="T766" s="18"/>
      <c r="U766" s="18"/>
      <c r="V766" s="18"/>
      <c r="W766" s="18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51" t="s">
        <v>21</v>
      </c>
      <c r="B767" s="51" t="s">
        <v>41</v>
      </c>
      <c r="C767" s="51" t="s">
        <v>42</v>
      </c>
      <c r="D767" s="51" t="s">
        <v>52</v>
      </c>
      <c r="E767" s="51" t="s">
        <v>25</v>
      </c>
      <c r="F767" s="51" t="s">
        <v>25</v>
      </c>
      <c r="G767" s="51" t="s">
        <v>25</v>
      </c>
      <c r="H767" s="51" t="s">
        <v>34</v>
      </c>
      <c r="I767" s="59">
        <v>44531</v>
      </c>
      <c r="J767" s="60">
        <f>EFEITO!$J$767*EFEITO!$Y$767</f>
        <v>0</v>
      </c>
      <c r="K767" s="60">
        <f ca="1">EFEITO!$L$767*EFEITO!$Z$767</f>
        <v>11578.704556313351</v>
      </c>
      <c r="L767" s="60">
        <f>EFEITO!$N$767*EFEITO!$AA$767</f>
        <v>2277.765845359927</v>
      </c>
      <c r="M767" s="60">
        <f>$J$767-EFEITO!$K$767*EFEITO!$Y$767</f>
        <v>0</v>
      </c>
      <c r="N767" s="60">
        <f ca="1">$K$767-EFEITO!$M$767*EFEITO!$Z$767</f>
        <v>0</v>
      </c>
      <c r="O767" s="60">
        <f>$L$767-EFEITO!$O$767*EFEITO!$AA$767</f>
        <v>0</v>
      </c>
      <c r="P767" s="18"/>
      <c r="Q767" s="18"/>
      <c r="R767" s="18"/>
      <c r="S767" s="18"/>
      <c r="T767" s="18"/>
      <c r="U767" s="18"/>
      <c r="V767" s="18"/>
      <c r="W767" s="18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51" t="s">
        <v>21</v>
      </c>
      <c r="B768" s="51" t="s">
        <v>41</v>
      </c>
      <c r="C768" s="51" t="s">
        <v>42</v>
      </c>
      <c r="D768" s="51" t="s">
        <v>52</v>
      </c>
      <c r="E768" s="51" t="s">
        <v>25</v>
      </c>
      <c r="F768" s="51" t="s">
        <v>25</v>
      </c>
      <c r="G768" s="51" t="s">
        <v>25</v>
      </c>
      <c r="H768" s="51" t="s">
        <v>34</v>
      </c>
      <c r="I768" s="59">
        <v>44562</v>
      </c>
      <c r="J768" s="60">
        <f>EFEITO!$J$768*EFEITO!$Y$768</f>
        <v>0</v>
      </c>
      <c r="K768" s="60">
        <f ca="1">EFEITO!$L$768*EFEITO!$Z$768</f>
        <v>11354.482023635537</v>
      </c>
      <c r="L768" s="60">
        <f>EFEITO!$N$768*EFEITO!$AA$768</f>
        <v>2233.6567289894647</v>
      </c>
      <c r="M768" s="60">
        <f>$J$768-EFEITO!$K$768*EFEITO!$Y$768</f>
        <v>0</v>
      </c>
      <c r="N768" s="60">
        <f ca="1">$K$768-EFEITO!$M$768*EFEITO!$Z$768</f>
        <v>0</v>
      </c>
      <c r="O768" s="60">
        <f>$L$768-EFEITO!$O$768*EFEITO!$AA$768</f>
        <v>0</v>
      </c>
      <c r="P768" s="18"/>
      <c r="Q768" s="18"/>
      <c r="R768" s="18"/>
      <c r="S768" s="18"/>
      <c r="T768" s="18"/>
      <c r="U768" s="18"/>
      <c r="V768" s="18"/>
      <c r="W768" s="18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51" t="s">
        <v>21</v>
      </c>
      <c r="B769" s="51" t="s">
        <v>41</v>
      </c>
      <c r="C769" s="51" t="s">
        <v>42</v>
      </c>
      <c r="D769" s="51" t="s">
        <v>52</v>
      </c>
      <c r="E769" s="51" t="s">
        <v>25</v>
      </c>
      <c r="F769" s="51" t="s">
        <v>25</v>
      </c>
      <c r="G769" s="51" t="s">
        <v>25</v>
      </c>
      <c r="H769" s="51" t="s">
        <v>34</v>
      </c>
      <c r="I769" s="59">
        <v>44593</v>
      </c>
      <c r="J769" s="60">
        <f>EFEITO!$J$769*EFEITO!$Y$769</f>
        <v>0</v>
      </c>
      <c r="K769" s="60">
        <f ca="1">EFEITO!$L$769*EFEITO!$Z$769</f>
        <v>11541.946764071088</v>
      </c>
      <c r="L769" s="60">
        <f>EFEITO!$N$769*EFEITO!$AA$769</f>
        <v>2270.5348426762448</v>
      </c>
      <c r="M769" s="60">
        <f>$J$769-EFEITO!$K$769*EFEITO!$Y$769</f>
        <v>0</v>
      </c>
      <c r="N769" s="60">
        <f ca="1">$K$769-EFEITO!$M$769*EFEITO!$Z$769</f>
        <v>0</v>
      </c>
      <c r="O769" s="60">
        <f>$L$769-EFEITO!$O$769*EFEITO!$AA$769</f>
        <v>0</v>
      </c>
      <c r="P769" s="18"/>
      <c r="Q769" s="18"/>
      <c r="R769" s="18"/>
      <c r="S769" s="18"/>
      <c r="T769" s="18"/>
      <c r="U769" s="18"/>
      <c r="V769" s="18"/>
      <c r="W769" s="18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51" t="s">
        <v>56</v>
      </c>
      <c r="B770" s="51" t="s">
        <v>41</v>
      </c>
      <c r="C770" s="51" t="s">
        <v>42</v>
      </c>
      <c r="D770" s="51" t="s">
        <v>52</v>
      </c>
      <c r="E770" s="51" t="s">
        <v>25</v>
      </c>
      <c r="F770" s="51" t="s">
        <v>25</v>
      </c>
      <c r="G770" s="51" t="s">
        <v>25</v>
      </c>
      <c r="H770" s="51" t="s">
        <v>34</v>
      </c>
      <c r="I770" s="59">
        <v>44621</v>
      </c>
      <c r="J770" s="60">
        <f>EFEITO!$J$770*EFEITO!$Y$770</f>
        <v>0</v>
      </c>
      <c r="K770" s="60">
        <f ca="1">EFEITO!$L$770*EFEITO!$Z$770</f>
        <v>11541.946764071088</v>
      </c>
      <c r="L770" s="60">
        <f>EFEITO!$N$770*EFEITO!$AA$770</f>
        <v>2270.5348426762448</v>
      </c>
      <c r="M770" s="60">
        <f>$J$770-EFEITO!$K$770*EFEITO!$Y$770</f>
        <v>0</v>
      </c>
      <c r="N770" s="60">
        <f ca="1">$K$770-EFEITO!$M$770*EFEITO!$Z$770</f>
        <v>0</v>
      </c>
      <c r="O770" s="60">
        <f>$L$770-EFEITO!$O$770*EFEITO!$AA$770</f>
        <v>0</v>
      </c>
      <c r="P770" s="18"/>
      <c r="Q770" s="18"/>
      <c r="R770" s="18"/>
      <c r="S770" s="18"/>
      <c r="T770" s="18"/>
      <c r="U770" s="18"/>
      <c r="V770" s="18"/>
      <c r="W770" s="18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51" t="s">
        <v>21</v>
      </c>
      <c r="B771" s="51" t="s">
        <v>41</v>
      </c>
      <c r="C771" s="51" t="s">
        <v>42</v>
      </c>
      <c r="D771" s="51" t="s">
        <v>38</v>
      </c>
      <c r="E771" s="51" t="s">
        <v>25</v>
      </c>
      <c r="F771" s="51" t="s">
        <v>60</v>
      </c>
      <c r="G771" s="51" t="s">
        <v>25</v>
      </c>
      <c r="H771" s="51" t="s">
        <v>35</v>
      </c>
      <c r="I771" s="59">
        <v>44287</v>
      </c>
      <c r="J771" s="60">
        <f>EFEITO!$J$771*EFEITO!$Y$771</f>
        <v>0</v>
      </c>
      <c r="K771" s="60">
        <f ca="1">EFEITO!$L$771*EFEITO!$Z$771</f>
        <v>400381.61100080988</v>
      </c>
      <c r="L771" s="60">
        <f>EFEITO!$N$771*EFEITO!$AA$771</f>
        <v>0</v>
      </c>
      <c r="M771" s="60">
        <f>$J$771-EFEITO!$K$771*EFEITO!$Y$771</f>
        <v>0</v>
      </c>
      <c r="N771" s="60">
        <f ca="1">$K$771-EFEITO!$M$771*EFEITO!$Z$771</f>
        <v>0</v>
      </c>
      <c r="O771" s="60">
        <f>$L$771-EFEITO!$O$771*EFEITO!$AA$771</f>
        <v>0</v>
      </c>
      <c r="P771" s="18"/>
      <c r="Q771" s="18"/>
      <c r="R771" s="18"/>
      <c r="S771" s="18"/>
      <c r="T771" s="18"/>
      <c r="U771" s="18"/>
      <c r="V771" s="18"/>
      <c r="W771" s="18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51" t="s">
        <v>21</v>
      </c>
      <c r="B772" s="51" t="s">
        <v>41</v>
      </c>
      <c r="C772" s="51" t="s">
        <v>42</v>
      </c>
      <c r="D772" s="51" t="s">
        <v>38</v>
      </c>
      <c r="E772" s="51" t="s">
        <v>25</v>
      </c>
      <c r="F772" s="51" t="s">
        <v>60</v>
      </c>
      <c r="G772" s="51" t="s">
        <v>25</v>
      </c>
      <c r="H772" s="51" t="s">
        <v>35</v>
      </c>
      <c r="I772" s="59">
        <v>44317</v>
      </c>
      <c r="J772" s="60">
        <f>EFEITO!$J$772*EFEITO!$Y$772</f>
        <v>0</v>
      </c>
      <c r="K772" s="60">
        <f ca="1">EFEITO!$L$772*EFEITO!$Z$772</f>
        <v>376926.35254087899</v>
      </c>
      <c r="L772" s="60">
        <f>EFEITO!$N$772*EFEITO!$AA$772</f>
        <v>0</v>
      </c>
      <c r="M772" s="60">
        <f>$J$772-EFEITO!$K$772*EFEITO!$Y$772</f>
        <v>0</v>
      </c>
      <c r="N772" s="60">
        <f ca="1">$K$772-EFEITO!$M$772*EFEITO!$Z$772</f>
        <v>0</v>
      </c>
      <c r="O772" s="60">
        <f>$L$772-EFEITO!$O$772*EFEITO!$AA$772</f>
        <v>0</v>
      </c>
      <c r="P772" s="18"/>
      <c r="Q772" s="18"/>
      <c r="R772" s="18"/>
      <c r="S772" s="18"/>
      <c r="T772" s="18"/>
      <c r="U772" s="18"/>
      <c r="V772" s="18"/>
      <c r="W772" s="18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51" t="s">
        <v>21</v>
      </c>
      <c r="B773" s="51" t="s">
        <v>41</v>
      </c>
      <c r="C773" s="51" t="s">
        <v>42</v>
      </c>
      <c r="D773" s="51" t="s">
        <v>38</v>
      </c>
      <c r="E773" s="51" t="s">
        <v>25</v>
      </c>
      <c r="F773" s="51" t="s">
        <v>60</v>
      </c>
      <c r="G773" s="51" t="s">
        <v>25</v>
      </c>
      <c r="H773" s="51" t="s">
        <v>35</v>
      </c>
      <c r="I773" s="59">
        <v>44348</v>
      </c>
      <c r="J773" s="60">
        <f>EFEITO!$J$773*EFEITO!$Y$773</f>
        <v>0</v>
      </c>
      <c r="K773" s="60">
        <f ca="1">EFEITO!$L$773*EFEITO!$Z$773</f>
        <v>370580.45922795846</v>
      </c>
      <c r="L773" s="60">
        <f>EFEITO!$N$773*EFEITO!$AA$773</f>
        <v>0</v>
      </c>
      <c r="M773" s="60">
        <f>$J$773-EFEITO!$K$773*EFEITO!$Y$773</f>
        <v>0</v>
      </c>
      <c r="N773" s="60">
        <f ca="1">$K$773-EFEITO!$M$773*EFEITO!$Z$773</f>
        <v>0</v>
      </c>
      <c r="O773" s="60">
        <f>$L$773-EFEITO!$O$773*EFEITO!$AA$773</f>
        <v>0</v>
      </c>
      <c r="P773" s="18"/>
      <c r="Q773" s="18"/>
      <c r="R773" s="18"/>
      <c r="S773" s="18"/>
      <c r="T773" s="18"/>
      <c r="U773" s="18"/>
      <c r="V773" s="18"/>
      <c r="W773" s="18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51" t="s">
        <v>21</v>
      </c>
      <c r="B774" s="51" t="s">
        <v>41</v>
      </c>
      <c r="C774" s="51" t="s">
        <v>42</v>
      </c>
      <c r="D774" s="51" t="s">
        <v>38</v>
      </c>
      <c r="E774" s="51" t="s">
        <v>25</v>
      </c>
      <c r="F774" s="51" t="s">
        <v>60</v>
      </c>
      <c r="G774" s="51" t="s">
        <v>25</v>
      </c>
      <c r="H774" s="51" t="s">
        <v>35</v>
      </c>
      <c r="I774" s="59">
        <v>44378</v>
      </c>
      <c r="J774" s="60">
        <f>EFEITO!$J$774*EFEITO!$Y$774</f>
        <v>0</v>
      </c>
      <c r="K774" s="60">
        <f ca="1">EFEITO!$L$774*EFEITO!$Z$774</f>
        <v>351625.85875869961</v>
      </c>
      <c r="L774" s="60">
        <f>EFEITO!$N$774*EFEITO!$AA$774</f>
        <v>0</v>
      </c>
      <c r="M774" s="60">
        <f>$J$774-EFEITO!$K$774*EFEITO!$Y$774</f>
        <v>0</v>
      </c>
      <c r="N774" s="60">
        <f ca="1">$K$774-EFEITO!$M$774*EFEITO!$Z$774</f>
        <v>0</v>
      </c>
      <c r="O774" s="60">
        <f>$L$774-EFEITO!$O$774*EFEITO!$AA$774</f>
        <v>0</v>
      </c>
      <c r="P774" s="18"/>
      <c r="Q774" s="18"/>
      <c r="R774" s="18"/>
      <c r="S774" s="18"/>
      <c r="T774" s="18"/>
      <c r="U774" s="18"/>
      <c r="V774" s="18"/>
      <c r="W774" s="18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51" t="s">
        <v>21</v>
      </c>
      <c r="B775" s="51" t="s">
        <v>41</v>
      </c>
      <c r="C775" s="51" t="s">
        <v>42</v>
      </c>
      <c r="D775" s="51" t="s">
        <v>38</v>
      </c>
      <c r="E775" s="51" t="s">
        <v>25</v>
      </c>
      <c r="F775" s="51" t="s">
        <v>60</v>
      </c>
      <c r="G775" s="51" t="s">
        <v>25</v>
      </c>
      <c r="H775" s="51" t="s">
        <v>35</v>
      </c>
      <c r="I775" s="59">
        <v>44409</v>
      </c>
      <c r="J775" s="60">
        <f>EFEITO!$J$775*EFEITO!$Y$775</f>
        <v>0</v>
      </c>
      <c r="K775" s="60">
        <f ca="1">EFEITO!$L$775*EFEITO!$Z$775</f>
        <v>365439.67327469419</v>
      </c>
      <c r="L775" s="60">
        <f>EFEITO!$N$775*EFEITO!$AA$775</f>
        <v>0</v>
      </c>
      <c r="M775" s="60">
        <f>$J$775-EFEITO!$K$775*EFEITO!$Y$775</f>
        <v>0</v>
      </c>
      <c r="N775" s="60">
        <f ca="1">$K$775-EFEITO!$M$775*EFEITO!$Z$775</f>
        <v>0</v>
      </c>
      <c r="O775" s="60">
        <f>$L$775-EFEITO!$O$775*EFEITO!$AA$775</f>
        <v>0</v>
      </c>
      <c r="P775" s="18"/>
      <c r="Q775" s="18"/>
      <c r="R775" s="18"/>
      <c r="S775" s="18"/>
      <c r="T775" s="18"/>
      <c r="U775" s="18"/>
      <c r="V775" s="18"/>
      <c r="W775" s="18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51" t="s">
        <v>21</v>
      </c>
      <c r="B776" s="51" t="s">
        <v>41</v>
      </c>
      <c r="C776" s="51" t="s">
        <v>42</v>
      </c>
      <c r="D776" s="51" t="s">
        <v>38</v>
      </c>
      <c r="E776" s="51" t="s">
        <v>25</v>
      </c>
      <c r="F776" s="51" t="s">
        <v>60</v>
      </c>
      <c r="G776" s="51" t="s">
        <v>25</v>
      </c>
      <c r="H776" s="51" t="s">
        <v>35</v>
      </c>
      <c r="I776" s="59">
        <v>44440</v>
      </c>
      <c r="J776" s="60">
        <f>EFEITO!$J$776*EFEITO!$Y$776</f>
        <v>0</v>
      </c>
      <c r="K776" s="60">
        <f ca="1">EFEITO!$L$776*EFEITO!$Z$776</f>
        <v>463818.63663297071</v>
      </c>
      <c r="L776" s="60">
        <f>EFEITO!$N$776*EFEITO!$AA$776</f>
        <v>0</v>
      </c>
      <c r="M776" s="60">
        <f>$J$776-EFEITO!$K$776*EFEITO!$Y$776</f>
        <v>0</v>
      </c>
      <c r="N776" s="60">
        <f ca="1">$K$776-EFEITO!$M$776*EFEITO!$Z$776</f>
        <v>0</v>
      </c>
      <c r="O776" s="60">
        <f>$L$776-EFEITO!$O$776*EFEITO!$AA$776</f>
        <v>0</v>
      </c>
      <c r="P776" s="18"/>
      <c r="Q776" s="18"/>
      <c r="R776" s="18"/>
      <c r="S776" s="18"/>
      <c r="T776" s="18"/>
      <c r="U776" s="18"/>
      <c r="V776" s="18"/>
      <c r="W776" s="18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51" t="s">
        <v>21</v>
      </c>
      <c r="B777" s="51" t="s">
        <v>41</v>
      </c>
      <c r="C777" s="51" t="s">
        <v>42</v>
      </c>
      <c r="D777" s="51" t="s">
        <v>38</v>
      </c>
      <c r="E777" s="51" t="s">
        <v>25</v>
      </c>
      <c r="F777" s="51" t="s">
        <v>60</v>
      </c>
      <c r="G777" s="51" t="s">
        <v>25</v>
      </c>
      <c r="H777" s="51" t="s">
        <v>35</v>
      </c>
      <c r="I777" s="59">
        <v>44470</v>
      </c>
      <c r="J777" s="60">
        <f>EFEITO!$J$777*EFEITO!$Y$777</f>
        <v>0</v>
      </c>
      <c r="K777" s="60">
        <f ca="1">EFEITO!$L$777*EFEITO!$Z$777</f>
        <v>475126.67553750187</v>
      </c>
      <c r="L777" s="60">
        <f>EFEITO!$N$777*EFEITO!$AA$777</f>
        <v>0</v>
      </c>
      <c r="M777" s="60">
        <f>$J$777-EFEITO!$K$777*EFEITO!$Y$777</f>
        <v>0</v>
      </c>
      <c r="N777" s="60">
        <f ca="1">$K$777-EFEITO!$M$777*EFEITO!$Z$777</f>
        <v>0</v>
      </c>
      <c r="O777" s="60">
        <f>$L$777-EFEITO!$O$777*EFEITO!$AA$777</f>
        <v>0</v>
      </c>
      <c r="P777" s="18"/>
      <c r="Q777" s="18"/>
      <c r="R777" s="18"/>
      <c r="S777" s="18"/>
      <c r="T777" s="18"/>
      <c r="U777" s="18"/>
      <c r="V777" s="18"/>
      <c r="W777" s="18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51" t="s">
        <v>21</v>
      </c>
      <c r="B778" s="51" t="s">
        <v>41</v>
      </c>
      <c r="C778" s="51" t="s">
        <v>42</v>
      </c>
      <c r="D778" s="51" t="s">
        <v>38</v>
      </c>
      <c r="E778" s="51" t="s">
        <v>25</v>
      </c>
      <c r="F778" s="51" t="s">
        <v>60</v>
      </c>
      <c r="G778" s="51" t="s">
        <v>25</v>
      </c>
      <c r="H778" s="51" t="s">
        <v>35</v>
      </c>
      <c r="I778" s="59">
        <v>44501</v>
      </c>
      <c r="J778" s="60">
        <f>EFEITO!$J$778*EFEITO!$Y$778</f>
        <v>0</v>
      </c>
      <c r="K778" s="60">
        <f ca="1">EFEITO!$L$778*EFEITO!$Z$778</f>
        <v>531931.64523956634</v>
      </c>
      <c r="L778" s="60">
        <f>EFEITO!$N$778*EFEITO!$AA$778</f>
        <v>0</v>
      </c>
      <c r="M778" s="60">
        <f>$J$778-EFEITO!$K$778*EFEITO!$Y$778</f>
        <v>0</v>
      </c>
      <c r="N778" s="60">
        <f ca="1">$K$778-EFEITO!$M$778*EFEITO!$Z$778</f>
        <v>0</v>
      </c>
      <c r="O778" s="60">
        <f>$L$778-EFEITO!$O$778*EFEITO!$AA$778</f>
        <v>0</v>
      </c>
      <c r="P778" s="18"/>
      <c r="Q778" s="18"/>
      <c r="R778" s="18"/>
      <c r="S778" s="18"/>
      <c r="T778" s="18"/>
      <c r="U778" s="18"/>
      <c r="V778" s="18"/>
      <c r="W778" s="18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51" t="s">
        <v>21</v>
      </c>
      <c r="B779" s="51" t="s">
        <v>41</v>
      </c>
      <c r="C779" s="51" t="s">
        <v>42</v>
      </c>
      <c r="D779" s="51" t="s">
        <v>38</v>
      </c>
      <c r="E779" s="51" t="s">
        <v>25</v>
      </c>
      <c r="F779" s="51" t="s">
        <v>60</v>
      </c>
      <c r="G779" s="51" t="s">
        <v>25</v>
      </c>
      <c r="H779" s="51" t="s">
        <v>35</v>
      </c>
      <c r="I779" s="59">
        <v>44531</v>
      </c>
      <c r="J779" s="60">
        <f>EFEITO!$J$779*EFEITO!$Y$779</f>
        <v>0</v>
      </c>
      <c r="K779" s="60">
        <f ca="1">EFEITO!$L$779*EFEITO!$Z$779</f>
        <v>514508.74935592728</v>
      </c>
      <c r="L779" s="60">
        <f>EFEITO!$N$779*EFEITO!$AA$779</f>
        <v>0</v>
      </c>
      <c r="M779" s="60">
        <f>$J$779-EFEITO!$K$779*EFEITO!$Y$779</f>
        <v>0</v>
      </c>
      <c r="N779" s="60">
        <f ca="1">$K$779-EFEITO!$M$779*EFEITO!$Z$779</f>
        <v>0</v>
      </c>
      <c r="O779" s="60">
        <f>$L$779-EFEITO!$O$779*EFEITO!$AA$779</f>
        <v>0</v>
      </c>
      <c r="P779" s="18"/>
      <c r="Q779" s="18"/>
      <c r="R779" s="18"/>
      <c r="S779" s="18"/>
      <c r="T779" s="18"/>
      <c r="U779" s="18"/>
      <c r="V779" s="18"/>
      <c r="W779" s="18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51" t="s">
        <v>21</v>
      </c>
      <c r="B780" s="51" t="s">
        <v>41</v>
      </c>
      <c r="C780" s="51" t="s">
        <v>42</v>
      </c>
      <c r="D780" s="51" t="s">
        <v>38</v>
      </c>
      <c r="E780" s="51" t="s">
        <v>25</v>
      </c>
      <c r="F780" s="51" t="s">
        <v>60</v>
      </c>
      <c r="G780" s="51" t="s">
        <v>25</v>
      </c>
      <c r="H780" s="51" t="s">
        <v>35</v>
      </c>
      <c r="I780" s="59">
        <v>44562</v>
      </c>
      <c r="J780" s="60">
        <f>EFEITO!$J$780*EFEITO!$Y$780</f>
        <v>0</v>
      </c>
      <c r="K780" s="60">
        <f ca="1">EFEITO!$L$780*EFEITO!$Z$780</f>
        <v>549264.11581641494</v>
      </c>
      <c r="L780" s="60">
        <f>EFEITO!$N$780*EFEITO!$AA$780</f>
        <v>0</v>
      </c>
      <c r="M780" s="60">
        <f>$J$780-EFEITO!$K$780*EFEITO!$Y$780</f>
        <v>0</v>
      </c>
      <c r="N780" s="60">
        <f ca="1">$K$780-EFEITO!$M$780*EFEITO!$Z$780</f>
        <v>0</v>
      </c>
      <c r="O780" s="60">
        <f>$L$780-EFEITO!$O$780*EFEITO!$AA$780</f>
        <v>0</v>
      </c>
      <c r="P780" s="18"/>
      <c r="Q780" s="18"/>
      <c r="R780" s="18"/>
      <c r="S780" s="18"/>
      <c r="T780" s="18"/>
      <c r="U780" s="18"/>
      <c r="V780" s="18"/>
      <c r="W780" s="18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51" t="s">
        <v>21</v>
      </c>
      <c r="B781" s="51" t="s">
        <v>41</v>
      </c>
      <c r="C781" s="51" t="s">
        <v>42</v>
      </c>
      <c r="D781" s="51" t="s">
        <v>38</v>
      </c>
      <c r="E781" s="51" t="s">
        <v>25</v>
      </c>
      <c r="F781" s="51" t="s">
        <v>60</v>
      </c>
      <c r="G781" s="51" t="s">
        <v>25</v>
      </c>
      <c r="H781" s="51" t="s">
        <v>35</v>
      </c>
      <c r="I781" s="59">
        <v>44593</v>
      </c>
      <c r="J781" s="60">
        <f>EFEITO!$J$781*EFEITO!$Y$781</f>
        <v>0</v>
      </c>
      <c r="K781" s="60">
        <f ca="1">EFEITO!$L$781*EFEITO!$Z$781</f>
        <v>559967.71582623885</v>
      </c>
      <c r="L781" s="60">
        <f>EFEITO!$N$781*EFEITO!$AA$781</f>
        <v>0</v>
      </c>
      <c r="M781" s="60">
        <f>$J$781-EFEITO!$K$781*EFEITO!$Y$781</f>
        <v>0</v>
      </c>
      <c r="N781" s="60">
        <f ca="1">$K$781-EFEITO!$M$781*EFEITO!$Z$781</f>
        <v>0</v>
      </c>
      <c r="O781" s="60">
        <f>$L$781-EFEITO!$O$781*EFEITO!$AA$781</f>
        <v>0</v>
      </c>
      <c r="P781" s="18"/>
      <c r="Q781" s="18"/>
      <c r="R781" s="18"/>
      <c r="S781" s="18"/>
      <c r="T781" s="18"/>
      <c r="U781" s="18"/>
      <c r="V781" s="18"/>
      <c r="W781" s="18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51" t="s">
        <v>56</v>
      </c>
      <c r="B782" s="51" t="s">
        <v>41</v>
      </c>
      <c r="C782" s="51" t="s">
        <v>42</v>
      </c>
      <c r="D782" s="51" t="s">
        <v>38</v>
      </c>
      <c r="E782" s="51" t="s">
        <v>25</v>
      </c>
      <c r="F782" s="51" t="s">
        <v>60</v>
      </c>
      <c r="G782" s="51" t="s">
        <v>25</v>
      </c>
      <c r="H782" s="51" t="s">
        <v>35</v>
      </c>
      <c r="I782" s="59">
        <v>44621</v>
      </c>
      <c r="J782" s="60">
        <f>EFEITO!$J$782*EFEITO!$Y$782</f>
        <v>0</v>
      </c>
      <c r="K782" s="60">
        <f ca="1">EFEITO!$L$782*EFEITO!$Z$782</f>
        <v>559967.71582623885</v>
      </c>
      <c r="L782" s="60">
        <f>EFEITO!$N$782*EFEITO!$AA$782</f>
        <v>0</v>
      </c>
      <c r="M782" s="60">
        <f>$J$782-EFEITO!$K$782*EFEITO!$Y$782</f>
        <v>0</v>
      </c>
      <c r="N782" s="60">
        <f ca="1">$K$782-EFEITO!$M$782*EFEITO!$Z$782</f>
        <v>0</v>
      </c>
      <c r="O782" s="60">
        <f>$L$782-EFEITO!$O$782*EFEITO!$AA$782</f>
        <v>0</v>
      </c>
      <c r="P782" s="18"/>
      <c r="Q782" s="18"/>
      <c r="R782" s="18"/>
      <c r="S782" s="18"/>
      <c r="T782" s="18"/>
      <c r="U782" s="18"/>
      <c r="V782" s="18"/>
      <c r="W782" s="18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51" t="s">
        <v>21</v>
      </c>
      <c r="B783" s="51" t="s">
        <v>41</v>
      </c>
      <c r="C783" s="51" t="s">
        <v>42</v>
      </c>
      <c r="D783" s="51" t="s">
        <v>38</v>
      </c>
      <c r="E783" s="51" t="s">
        <v>25</v>
      </c>
      <c r="F783" s="51" t="s">
        <v>60</v>
      </c>
      <c r="G783" s="51" t="s">
        <v>25</v>
      </c>
      <c r="H783" s="51" t="s">
        <v>25</v>
      </c>
      <c r="I783" s="59">
        <v>44287</v>
      </c>
      <c r="J783" s="60">
        <f ca="1">EFEITO!$J$783*EFEITO!$Y$783</f>
        <v>618910.59895267838</v>
      </c>
      <c r="K783" s="60">
        <f>EFEITO!$L$783*EFEITO!$Z$783</f>
        <v>0</v>
      </c>
      <c r="L783" s="60">
        <f>EFEITO!$N$783*EFEITO!$AA$783</f>
        <v>0</v>
      </c>
      <c r="M783" s="60">
        <f ca="1">$J$783-EFEITO!$K$783*EFEITO!$Y$783</f>
        <v>335850.92672309047</v>
      </c>
      <c r="N783" s="60">
        <f>$K$783-EFEITO!$M$783*EFEITO!$Z$783</f>
        <v>0</v>
      </c>
      <c r="O783" s="60">
        <f>$L$783-EFEITO!$O$783*EFEITO!$AA$783</f>
        <v>0</v>
      </c>
      <c r="P783" s="18"/>
      <c r="Q783" s="18"/>
      <c r="R783" s="18"/>
      <c r="S783" s="18"/>
      <c r="T783" s="18"/>
      <c r="U783" s="18"/>
      <c r="V783" s="18"/>
      <c r="W783" s="18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51" t="s">
        <v>21</v>
      </c>
      <c r="B784" s="51" t="s">
        <v>41</v>
      </c>
      <c r="C784" s="51" t="s">
        <v>42</v>
      </c>
      <c r="D784" s="51" t="s">
        <v>38</v>
      </c>
      <c r="E784" s="51" t="s">
        <v>25</v>
      </c>
      <c r="F784" s="51" t="s">
        <v>60</v>
      </c>
      <c r="G784" s="51" t="s">
        <v>25</v>
      </c>
      <c r="H784" s="51" t="s">
        <v>25</v>
      </c>
      <c r="I784" s="59">
        <v>44317</v>
      </c>
      <c r="J784" s="60">
        <f ca="1">EFEITO!$J$784*EFEITO!$Y$784</f>
        <v>618006.26441469265</v>
      </c>
      <c r="K784" s="60">
        <f>EFEITO!$L$784*EFEITO!$Z$784</f>
        <v>0</v>
      </c>
      <c r="L784" s="60">
        <f>EFEITO!$N$784*EFEITO!$AA$784</f>
        <v>0</v>
      </c>
      <c r="M784" s="60">
        <f ca="1">$J$784-EFEITO!$K$784*EFEITO!$Y$784</f>
        <v>282114.27292867686</v>
      </c>
      <c r="N784" s="60">
        <f>$K$784-EFEITO!$M$784*EFEITO!$Z$784</f>
        <v>0</v>
      </c>
      <c r="O784" s="60">
        <f>$L$784-EFEITO!$O$784*EFEITO!$AA$784</f>
        <v>0</v>
      </c>
      <c r="P784" s="18"/>
      <c r="Q784" s="18"/>
      <c r="R784" s="18"/>
      <c r="S784" s="18"/>
      <c r="T784" s="18"/>
      <c r="U784" s="18"/>
      <c r="V784" s="18"/>
      <c r="W784" s="18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51" t="s">
        <v>21</v>
      </c>
      <c r="B785" s="51" t="s">
        <v>41</v>
      </c>
      <c r="C785" s="51" t="s">
        <v>42</v>
      </c>
      <c r="D785" s="51" t="s">
        <v>38</v>
      </c>
      <c r="E785" s="51" t="s">
        <v>25</v>
      </c>
      <c r="F785" s="51" t="s">
        <v>60</v>
      </c>
      <c r="G785" s="51" t="s">
        <v>25</v>
      </c>
      <c r="H785" s="51" t="s">
        <v>25</v>
      </c>
      <c r="I785" s="59">
        <v>44348</v>
      </c>
      <c r="J785" s="60">
        <f ca="1">EFEITO!$J$785*EFEITO!$Y$785</f>
        <v>638513.37996725249</v>
      </c>
      <c r="K785" s="60">
        <f>EFEITO!$L$785*EFEITO!$Z$785</f>
        <v>0</v>
      </c>
      <c r="L785" s="60">
        <f>EFEITO!$N$785*EFEITO!$AA$785</f>
        <v>0</v>
      </c>
      <c r="M785" s="60">
        <f ca="1">$J$785-EFEITO!$K$785*EFEITO!$Y$785</f>
        <v>295801.88428113441</v>
      </c>
      <c r="N785" s="60">
        <f>$K$785-EFEITO!$M$785*EFEITO!$Z$785</f>
        <v>0</v>
      </c>
      <c r="O785" s="60">
        <f>$L$785-EFEITO!$O$785*EFEITO!$AA$785</f>
        <v>0</v>
      </c>
      <c r="P785" s="18"/>
      <c r="Q785" s="18"/>
      <c r="R785" s="18"/>
      <c r="S785" s="18"/>
      <c r="T785" s="18"/>
      <c r="U785" s="18"/>
      <c r="V785" s="18"/>
      <c r="W785" s="18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1.25" customHeight="1" x14ac:dyDescent="0.2">
      <c r="A786" s="51" t="s">
        <v>21</v>
      </c>
      <c r="B786" s="51" t="s">
        <v>41</v>
      </c>
      <c r="C786" s="51" t="s">
        <v>42</v>
      </c>
      <c r="D786" s="51" t="s">
        <v>38</v>
      </c>
      <c r="E786" s="51" t="s">
        <v>25</v>
      </c>
      <c r="F786" s="51" t="s">
        <v>60</v>
      </c>
      <c r="G786" s="51" t="s">
        <v>25</v>
      </c>
      <c r="H786" s="51" t="s">
        <v>25</v>
      </c>
      <c r="I786" s="59">
        <v>44378</v>
      </c>
      <c r="J786" s="60">
        <f ca="1">EFEITO!$J$786*EFEITO!$Y$786</f>
        <v>649790.96361742809</v>
      </c>
      <c r="K786" s="60">
        <f>EFEITO!$L$786*EFEITO!$Z$786</f>
        <v>0</v>
      </c>
      <c r="L786" s="60">
        <f>EFEITO!$N$786*EFEITO!$AA$786</f>
        <v>0</v>
      </c>
      <c r="M786" s="60">
        <f ca="1">$J$786-EFEITO!$K$786*EFEITO!$Y$786</f>
        <v>350210.31108152657</v>
      </c>
      <c r="N786" s="60">
        <f>$K$786-EFEITO!$M$786*EFEITO!$Z$786</f>
        <v>0</v>
      </c>
      <c r="O786" s="60">
        <f>$L$786-EFEITO!$O$786*EFEITO!$AA$786</f>
        <v>0</v>
      </c>
      <c r="P786" s="18"/>
      <c r="Q786" s="18"/>
      <c r="R786" s="18"/>
      <c r="S786" s="18"/>
      <c r="T786" s="18"/>
      <c r="U786" s="18"/>
      <c r="V786" s="18"/>
      <c r="W786" s="18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1.25" customHeight="1" x14ac:dyDescent="0.2">
      <c r="A787" s="51" t="s">
        <v>21</v>
      </c>
      <c r="B787" s="51" t="s">
        <v>41</v>
      </c>
      <c r="C787" s="51" t="s">
        <v>42</v>
      </c>
      <c r="D787" s="51" t="s">
        <v>38</v>
      </c>
      <c r="E787" s="51" t="s">
        <v>25</v>
      </c>
      <c r="F787" s="51" t="s">
        <v>60</v>
      </c>
      <c r="G787" s="51" t="s">
        <v>25</v>
      </c>
      <c r="H787" s="51" t="s">
        <v>25</v>
      </c>
      <c r="I787" s="59">
        <v>44409</v>
      </c>
      <c r="J787" s="60">
        <f ca="1">EFEITO!$J$787*EFEITO!$Y$787</f>
        <v>604920.01168854546</v>
      </c>
      <c r="K787" s="60">
        <f>EFEITO!$L$787*EFEITO!$Z$787</f>
        <v>0</v>
      </c>
      <c r="L787" s="60">
        <f>EFEITO!$N$787*EFEITO!$AA$787</f>
        <v>0</v>
      </c>
      <c r="M787" s="60">
        <f ca="1">$J$787-EFEITO!$K$787*EFEITO!$Y$787</f>
        <v>324761.2531599878</v>
      </c>
      <c r="N787" s="60">
        <f>$K$787-EFEITO!$M$787*EFEITO!$Z$787</f>
        <v>0</v>
      </c>
      <c r="O787" s="60">
        <f>$L$787-EFEITO!$O$787*EFEITO!$AA$787</f>
        <v>0</v>
      </c>
      <c r="P787" s="18"/>
      <c r="Q787" s="18"/>
      <c r="R787" s="18"/>
      <c r="S787" s="18"/>
      <c r="T787" s="18"/>
      <c r="U787" s="18"/>
      <c r="V787" s="18"/>
      <c r="W787" s="18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1.25" customHeight="1" x14ac:dyDescent="0.2">
      <c r="A788" s="51" t="s">
        <v>21</v>
      </c>
      <c r="B788" s="51" t="s">
        <v>41</v>
      </c>
      <c r="C788" s="51" t="s">
        <v>42</v>
      </c>
      <c r="D788" s="51" t="s">
        <v>38</v>
      </c>
      <c r="E788" s="51" t="s">
        <v>25</v>
      </c>
      <c r="F788" s="51" t="s">
        <v>60</v>
      </c>
      <c r="G788" s="51" t="s">
        <v>25</v>
      </c>
      <c r="H788" s="51" t="s">
        <v>25</v>
      </c>
      <c r="I788" s="59">
        <v>44440</v>
      </c>
      <c r="J788" s="60">
        <f ca="1">EFEITO!$J$788*EFEITO!$Y$788</f>
        <v>710860.14300611475</v>
      </c>
      <c r="K788" s="60">
        <f>EFEITO!$L$788*EFEITO!$Z$788</f>
        <v>0</v>
      </c>
      <c r="L788" s="60">
        <f>EFEITO!$N$788*EFEITO!$AA$788</f>
        <v>0</v>
      </c>
      <c r="M788" s="60">
        <f ca="1">$J$788-EFEITO!$K$788*EFEITO!$Y$788</f>
        <v>390421.80661246186</v>
      </c>
      <c r="N788" s="60">
        <f>$K$788-EFEITO!$M$788*EFEITO!$Z$788</f>
        <v>0</v>
      </c>
      <c r="O788" s="60">
        <f>$L$788-EFEITO!$O$788*EFEITO!$AA$788</f>
        <v>0</v>
      </c>
      <c r="P788" s="18"/>
      <c r="Q788" s="18"/>
      <c r="R788" s="18"/>
      <c r="S788" s="18"/>
      <c r="T788" s="18"/>
      <c r="U788" s="18"/>
      <c r="V788" s="18"/>
      <c r="W788" s="18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1.25" customHeight="1" x14ac:dyDescent="0.2">
      <c r="A789" s="51" t="s">
        <v>21</v>
      </c>
      <c r="B789" s="51" t="s">
        <v>41</v>
      </c>
      <c r="C789" s="51" t="s">
        <v>42</v>
      </c>
      <c r="D789" s="51" t="s">
        <v>38</v>
      </c>
      <c r="E789" s="51" t="s">
        <v>25</v>
      </c>
      <c r="F789" s="51" t="s">
        <v>60</v>
      </c>
      <c r="G789" s="51" t="s">
        <v>25</v>
      </c>
      <c r="H789" s="51" t="s">
        <v>25</v>
      </c>
      <c r="I789" s="59">
        <v>44470</v>
      </c>
      <c r="J789" s="60">
        <f ca="1">EFEITO!$J$789*EFEITO!$Y$789</f>
        <v>729000.0299151236</v>
      </c>
      <c r="K789" s="60">
        <f>EFEITO!$L$789*EFEITO!$Z$789</f>
        <v>0</v>
      </c>
      <c r="L789" s="60">
        <f>EFEITO!$N$789*EFEITO!$AA$789</f>
        <v>0</v>
      </c>
      <c r="M789" s="60">
        <f ca="1">$J$789-EFEITO!$K$789*EFEITO!$Y$789</f>
        <v>408574.2924261865</v>
      </c>
      <c r="N789" s="60">
        <f>$K$789-EFEITO!$M$789*EFEITO!$Z$789</f>
        <v>0</v>
      </c>
      <c r="O789" s="60">
        <f>$L$789-EFEITO!$O$789*EFEITO!$AA$789</f>
        <v>0</v>
      </c>
      <c r="P789" s="18"/>
      <c r="Q789" s="18"/>
      <c r="R789" s="18"/>
      <c r="S789" s="18"/>
      <c r="T789" s="18"/>
      <c r="U789" s="18"/>
      <c r="V789" s="18"/>
      <c r="W789" s="18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1.25" customHeight="1" x14ac:dyDescent="0.2">
      <c r="A790" s="51" t="s">
        <v>21</v>
      </c>
      <c r="B790" s="51" t="s">
        <v>41</v>
      </c>
      <c r="C790" s="51" t="s">
        <v>42</v>
      </c>
      <c r="D790" s="51" t="s">
        <v>38</v>
      </c>
      <c r="E790" s="51" t="s">
        <v>25</v>
      </c>
      <c r="F790" s="51" t="s">
        <v>60</v>
      </c>
      <c r="G790" s="51" t="s">
        <v>25</v>
      </c>
      <c r="H790" s="51" t="s">
        <v>25</v>
      </c>
      <c r="I790" s="59">
        <v>44501</v>
      </c>
      <c r="J790" s="60">
        <f ca="1">EFEITO!$J$790*EFEITO!$Y$790</f>
        <v>763364.74235858314</v>
      </c>
      <c r="K790" s="60">
        <f>EFEITO!$L$790*EFEITO!$Z$790</f>
        <v>0</v>
      </c>
      <c r="L790" s="60">
        <f>EFEITO!$N$790*EFEITO!$AA$790</f>
        <v>0</v>
      </c>
      <c r="M790" s="60">
        <f ca="1">$J$790-EFEITO!$K$790*EFEITO!$Y$790</f>
        <v>416004.44084473158</v>
      </c>
      <c r="N790" s="60">
        <f>$K$790-EFEITO!$M$790*EFEITO!$Z$790</f>
        <v>0</v>
      </c>
      <c r="O790" s="60">
        <f>$L$790-EFEITO!$O$790*EFEITO!$AA$790</f>
        <v>0</v>
      </c>
      <c r="P790" s="18"/>
      <c r="Q790" s="18"/>
      <c r="R790" s="18"/>
      <c r="S790" s="18"/>
      <c r="T790" s="18"/>
      <c r="U790" s="18"/>
      <c r="V790" s="18"/>
      <c r="W790" s="18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1.25" customHeight="1" x14ac:dyDescent="0.2">
      <c r="A791" s="51" t="s">
        <v>21</v>
      </c>
      <c r="B791" s="51" t="s">
        <v>41</v>
      </c>
      <c r="C791" s="51" t="s">
        <v>42</v>
      </c>
      <c r="D791" s="51" t="s">
        <v>38</v>
      </c>
      <c r="E791" s="51" t="s">
        <v>25</v>
      </c>
      <c r="F791" s="51" t="s">
        <v>60</v>
      </c>
      <c r="G791" s="51" t="s">
        <v>25</v>
      </c>
      <c r="H791" s="51" t="s">
        <v>25</v>
      </c>
      <c r="I791" s="59">
        <v>44531</v>
      </c>
      <c r="J791" s="60">
        <f ca="1">EFEITO!$J$791*EFEITO!$Y$791</f>
        <v>764455.26341909543</v>
      </c>
      <c r="K791" s="60">
        <f>EFEITO!$L$791*EFEITO!$Z$791</f>
        <v>0</v>
      </c>
      <c r="L791" s="60">
        <f>EFEITO!$N$791*EFEITO!$AA$791</f>
        <v>0</v>
      </c>
      <c r="M791" s="60">
        <f ca="1">$J$791-EFEITO!$K$791*EFEITO!$Y$791</f>
        <v>412338.90532686253</v>
      </c>
      <c r="N791" s="60">
        <f>$K$791-EFEITO!$M$791*EFEITO!$Z$791</f>
        <v>0</v>
      </c>
      <c r="O791" s="60">
        <f>$L$791-EFEITO!$O$791*EFEITO!$AA$791</f>
        <v>0</v>
      </c>
      <c r="P791" s="18"/>
      <c r="Q791" s="18"/>
      <c r="R791" s="18"/>
      <c r="S791" s="18"/>
      <c r="T791" s="18"/>
      <c r="U791" s="18"/>
      <c r="V791" s="18"/>
      <c r="W791" s="18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1.25" customHeight="1" x14ac:dyDescent="0.2">
      <c r="A792" s="51" t="s">
        <v>21</v>
      </c>
      <c r="B792" s="51" t="s">
        <v>41</v>
      </c>
      <c r="C792" s="51" t="s">
        <v>42</v>
      </c>
      <c r="D792" s="51" t="s">
        <v>38</v>
      </c>
      <c r="E792" s="51" t="s">
        <v>25</v>
      </c>
      <c r="F792" s="51" t="s">
        <v>60</v>
      </c>
      <c r="G792" s="51" t="s">
        <v>25</v>
      </c>
      <c r="H792" s="51" t="s">
        <v>25</v>
      </c>
      <c r="I792" s="59">
        <v>44562</v>
      </c>
      <c r="J792" s="60">
        <f ca="1">EFEITO!$J$792*EFEITO!$Y$792</f>
        <v>822838.03726847132</v>
      </c>
      <c r="K792" s="60">
        <f>EFEITO!$L$792*EFEITO!$Z$792</f>
        <v>0</v>
      </c>
      <c r="L792" s="60">
        <f>EFEITO!$N$792*EFEITO!$AA$792</f>
        <v>0</v>
      </c>
      <c r="M792" s="60">
        <f ca="1">$J$792-EFEITO!$K$792*EFEITO!$Y$792</f>
        <v>446675.61257799831</v>
      </c>
      <c r="N792" s="60">
        <f>$K$792-EFEITO!$M$792*EFEITO!$Z$792</f>
        <v>0</v>
      </c>
      <c r="O792" s="60">
        <f>$L$792-EFEITO!$O$792*EFEITO!$AA$792</f>
        <v>0</v>
      </c>
      <c r="P792" s="18"/>
      <c r="Q792" s="18"/>
      <c r="R792" s="18"/>
      <c r="S792" s="18"/>
      <c r="T792" s="18"/>
      <c r="U792" s="18"/>
      <c r="V792" s="18"/>
      <c r="W792" s="18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1.25" customHeight="1" x14ac:dyDescent="0.2">
      <c r="A793" s="51" t="s">
        <v>21</v>
      </c>
      <c r="B793" s="51" t="s">
        <v>41</v>
      </c>
      <c r="C793" s="51" t="s">
        <v>42</v>
      </c>
      <c r="D793" s="51" t="s">
        <v>38</v>
      </c>
      <c r="E793" s="51" t="s">
        <v>25</v>
      </c>
      <c r="F793" s="51" t="s">
        <v>60</v>
      </c>
      <c r="G793" s="51" t="s">
        <v>25</v>
      </c>
      <c r="H793" s="51" t="s">
        <v>25</v>
      </c>
      <c r="I793" s="59">
        <v>44593</v>
      </c>
      <c r="J793" s="60">
        <f ca="1">EFEITO!$J$793*EFEITO!$Y$793</f>
        <v>845260.2141955893</v>
      </c>
      <c r="K793" s="60">
        <f>EFEITO!$L$793*EFEITO!$Z$793</f>
        <v>0</v>
      </c>
      <c r="L793" s="60">
        <f>EFEITO!$N$793*EFEITO!$AA$793</f>
        <v>0</v>
      </c>
      <c r="M793" s="60">
        <f ca="1">$J$793-EFEITO!$K$793*EFEITO!$Y$793</f>
        <v>455915.39775754919</v>
      </c>
      <c r="N793" s="60">
        <f>$K$793-EFEITO!$M$793*EFEITO!$Z$793</f>
        <v>0</v>
      </c>
      <c r="O793" s="60">
        <f>$L$793-EFEITO!$O$793*EFEITO!$AA$793</f>
        <v>0</v>
      </c>
      <c r="P793" s="18"/>
      <c r="Q793" s="18"/>
      <c r="R793" s="18"/>
      <c r="S793" s="18"/>
      <c r="T793" s="18"/>
      <c r="U793" s="18"/>
      <c r="V793" s="18"/>
      <c r="W793" s="18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1.25" customHeight="1" x14ac:dyDescent="0.2">
      <c r="A794" s="51" t="s">
        <v>56</v>
      </c>
      <c r="B794" s="51" t="s">
        <v>41</v>
      </c>
      <c r="C794" s="51" t="s">
        <v>42</v>
      </c>
      <c r="D794" s="51" t="s">
        <v>38</v>
      </c>
      <c r="E794" s="51" t="s">
        <v>25</v>
      </c>
      <c r="F794" s="51" t="s">
        <v>60</v>
      </c>
      <c r="G794" s="51" t="s">
        <v>25</v>
      </c>
      <c r="H794" s="51" t="s">
        <v>25</v>
      </c>
      <c r="I794" s="59">
        <v>44621</v>
      </c>
      <c r="J794" s="60">
        <f ca="1">EFEITO!$J$794*EFEITO!$Y$794</f>
        <v>845260.2141955893</v>
      </c>
      <c r="K794" s="60">
        <f>EFEITO!$L$794*EFEITO!$Z$794</f>
        <v>0</v>
      </c>
      <c r="L794" s="60">
        <f>EFEITO!$N$794*EFEITO!$AA$794</f>
        <v>0</v>
      </c>
      <c r="M794" s="60">
        <f ca="1">$J$794-EFEITO!$K$794*EFEITO!$Y$794</f>
        <v>455915.39775754919</v>
      </c>
      <c r="N794" s="60">
        <f>$K$794-EFEITO!$M$794*EFEITO!$Z$794</f>
        <v>0</v>
      </c>
      <c r="O794" s="60">
        <f>$L$794-EFEITO!$O$794*EFEITO!$AA$794</f>
        <v>0</v>
      </c>
      <c r="P794" s="18"/>
      <c r="Q794" s="18"/>
      <c r="R794" s="18"/>
      <c r="S794" s="18"/>
      <c r="T794" s="18"/>
      <c r="U794" s="18"/>
      <c r="V794" s="18"/>
      <c r="W794" s="18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1.25" customHeight="1" x14ac:dyDescent="0.2">
      <c r="A795" s="51" t="s">
        <v>21</v>
      </c>
      <c r="B795" s="51" t="s">
        <v>41</v>
      </c>
      <c r="C795" s="51" t="s">
        <v>42</v>
      </c>
      <c r="D795" s="51" t="s">
        <v>38</v>
      </c>
      <c r="E795" s="51" t="s">
        <v>25</v>
      </c>
      <c r="F795" s="51" t="s">
        <v>60</v>
      </c>
      <c r="G795" s="51" t="s">
        <v>25</v>
      </c>
      <c r="H795" s="51" t="s">
        <v>34</v>
      </c>
      <c r="I795" s="59">
        <v>44287</v>
      </c>
      <c r="J795" s="60">
        <f>EFEITO!$J$795*EFEITO!$Y$795</f>
        <v>0</v>
      </c>
      <c r="K795" s="60">
        <f ca="1">EFEITO!$L$795*EFEITO!$Z$795</f>
        <v>1066959.2459681542</v>
      </c>
      <c r="L795" s="60">
        <f>EFEITO!$N$795*EFEITO!$AA$795</f>
        <v>0</v>
      </c>
      <c r="M795" s="60">
        <f>$J$795-EFEITO!$K$795*EFEITO!$Y$795</f>
        <v>0</v>
      </c>
      <c r="N795" s="60">
        <f ca="1">$K$795-EFEITO!$M$795*EFEITO!$Z$795</f>
        <v>541414.7269314517</v>
      </c>
      <c r="O795" s="60">
        <f>$L$795-EFEITO!$O$795*EFEITO!$AA$795</f>
        <v>0</v>
      </c>
      <c r="P795" s="18"/>
      <c r="Q795" s="18"/>
      <c r="R795" s="18"/>
      <c r="S795" s="18"/>
      <c r="T795" s="18"/>
      <c r="U795" s="18"/>
      <c r="V795" s="18"/>
      <c r="W795" s="18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1.25" customHeight="1" x14ac:dyDescent="0.2">
      <c r="A796" s="51" t="s">
        <v>21</v>
      </c>
      <c r="B796" s="51" t="s">
        <v>41</v>
      </c>
      <c r="C796" s="51" t="s">
        <v>42</v>
      </c>
      <c r="D796" s="51" t="s">
        <v>38</v>
      </c>
      <c r="E796" s="51" t="s">
        <v>25</v>
      </c>
      <c r="F796" s="51" t="s">
        <v>60</v>
      </c>
      <c r="G796" s="51" t="s">
        <v>25</v>
      </c>
      <c r="H796" s="51" t="s">
        <v>34</v>
      </c>
      <c r="I796" s="59">
        <v>44317</v>
      </c>
      <c r="J796" s="60">
        <f>EFEITO!$J$796*EFEITO!$Y$796</f>
        <v>0</v>
      </c>
      <c r="K796" s="60">
        <f ca="1">EFEITO!$L$796*EFEITO!$Z$796</f>
        <v>899966.75792193401</v>
      </c>
      <c r="L796" s="60">
        <f>EFEITO!$N$796*EFEITO!$AA$796</f>
        <v>0</v>
      </c>
      <c r="M796" s="60">
        <f>$J$796-EFEITO!$K$796*EFEITO!$Y$796</f>
        <v>0</v>
      </c>
      <c r="N796" s="60">
        <f ca="1">$K$796-EFEITO!$M$796*EFEITO!$Z$796</f>
        <v>431483.9862731566</v>
      </c>
      <c r="O796" s="60">
        <f>$L$796-EFEITO!$O$796*EFEITO!$AA$796</f>
        <v>0</v>
      </c>
      <c r="P796" s="18"/>
      <c r="Q796" s="18"/>
      <c r="R796" s="18"/>
      <c r="S796" s="18"/>
      <c r="T796" s="18"/>
      <c r="U796" s="18"/>
      <c r="V796" s="18"/>
      <c r="W796" s="18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1.25" customHeight="1" x14ac:dyDescent="0.2">
      <c r="A797" s="51" t="s">
        <v>21</v>
      </c>
      <c r="B797" s="51" t="s">
        <v>41</v>
      </c>
      <c r="C797" s="51" t="s">
        <v>42</v>
      </c>
      <c r="D797" s="51" t="s">
        <v>38</v>
      </c>
      <c r="E797" s="51" t="s">
        <v>25</v>
      </c>
      <c r="F797" s="51" t="s">
        <v>60</v>
      </c>
      <c r="G797" s="51" t="s">
        <v>25</v>
      </c>
      <c r="H797" s="51" t="s">
        <v>34</v>
      </c>
      <c r="I797" s="59">
        <v>44348</v>
      </c>
      <c r="J797" s="60">
        <f>EFEITO!$J$797*EFEITO!$Y$797</f>
        <v>0</v>
      </c>
      <c r="K797" s="60">
        <f ca="1">EFEITO!$L$797*EFEITO!$Z$797</f>
        <v>864881.44522669248</v>
      </c>
      <c r="L797" s="60">
        <f>EFEITO!$N$797*EFEITO!$AA$797</f>
        <v>0</v>
      </c>
      <c r="M797" s="60">
        <f>$J$797-EFEITO!$K$797*EFEITO!$Y$797</f>
        <v>0</v>
      </c>
      <c r="N797" s="60">
        <f ca="1">$K$797-EFEITO!$M$797*EFEITO!$Z$797</f>
        <v>440680.50868372212</v>
      </c>
      <c r="O797" s="60">
        <f>$L$797-EFEITO!$O$797*EFEITO!$AA$797</f>
        <v>0</v>
      </c>
      <c r="P797" s="18"/>
      <c r="Q797" s="18"/>
      <c r="R797" s="18"/>
      <c r="S797" s="18"/>
      <c r="T797" s="18"/>
      <c r="U797" s="18"/>
      <c r="V797" s="18"/>
      <c r="W797" s="18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1.25" customHeight="1" x14ac:dyDescent="0.2">
      <c r="A798" s="51" t="s">
        <v>21</v>
      </c>
      <c r="B798" s="51" t="s">
        <v>41</v>
      </c>
      <c r="C798" s="51" t="s">
        <v>42</v>
      </c>
      <c r="D798" s="51" t="s">
        <v>38</v>
      </c>
      <c r="E798" s="51" t="s">
        <v>25</v>
      </c>
      <c r="F798" s="51" t="s">
        <v>60</v>
      </c>
      <c r="G798" s="51" t="s">
        <v>25</v>
      </c>
      <c r="H798" s="51" t="s">
        <v>34</v>
      </c>
      <c r="I798" s="59">
        <v>44378</v>
      </c>
      <c r="J798" s="60">
        <f>EFEITO!$J$798*EFEITO!$Y$798</f>
        <v>0</v>
      </c>
      <c r="K798" s="60">
        <f ca="1">EFEITO!$L$798*EFEITO!$Z$798</f>
        <v>899779.29318149842</v>
      </c>
      <c r="L798" s="60">
        <f>EFEITO!$N$798*EFEITO!$AA$798</f>
        <v>0</v>
      </c>
      <c r="M798" s="60">
        <f>$J$798-EFEITO!$K$798*EFEITO!$Y$798</f>
        <v>0</v>
      </c>
      <c r="N798" s="60">
        <f ca="1">$K$798-EFEITO!$M$798*EFEITO!$Z$798</f>
        <v>473069.26586307969</v>
      </c>
      <c r="O798" s="60">
        <f>$L$798-EFEITO!$O$798*EFEITO!$AA$798</f>
        <v>0</v>
      </c>
      <c r="P798" s="18"/>
      <c r="Q798" s="18"/>
      <c r="R798" s="18"/>
      <c r="S798" s="18"/>
      <c r="T798" s="18"/>
      <c r="U798" s="18"/>
      <c r="V798" s="18"/>
      <c r="W798" s="18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1.25" customHeight="1" x14ac:dyDescent="0.2">
      <c r="A799" s="51" t="s">
        <v>21</v>
      </c>
      <c r="B799" s="51" t="s">
        <v>41</v>
      </c>
      <c r="C799" s="51" t="s">
        <v>42</v>
      </c>
      <c r="D799" s="51" t="s">
        <v>38</v>
      </c>
      <c r="E799" s="51" t="s">
        <v>25</v>
      </c>
      <c r="F799" s="51" t="s">
        <v>60</v>
      </c>
      <c r="G799" s="51" t="s">
        <v>25</v>
      </c>
      <c r="H799" s="51" t="s">
        <v>34</v>
      </c>
      <c r="I799" s="59">
        <v>44409</v>
      </c>
      <c r="J799" s="60">
        <f>EFEITO!$J$799*EFEITO!$Y$799</f>
        <v>0</v>
      </c>
      <c r="K799" s="60">
        <f ca="1">EFEITO!$L$799*EFEITO!$Z$799</f>
        <v>999543.61710622895</v>
      </c>
      <c r="L799" s="60">
        <f>EFEITO!$N$799*EFEITO!$AA$799</f>
        <v>0</v>
      </c>
      <c r="M799" s="60">
        <f>$J$799-EFEITO!$K$799*EFEITO!$Y$799</f>
        <v>0</v>
      </c>
      <c r="N799" s="60">
        <f ca="1">$K$799-EFEITO!$M$799*EFEITO!$Z$799</f>
        <v>516335.33579110744</v>
      </c>
      <c r="O799" s="60">
        <f>$L$799-EFEITO!$O$799*EFEITO!$AA$799</f>
        <v>0</v>
      </c>
      <c r="P799" s="18"/>
      <c r="Q799" s="18"/>
      <c r="R799" s="18"/>
      <c r="S799" s="18"/>
      <c r="T799" s="18"/>
      <c r="U799" s="18"/>
      <c r="V799" s="18"/>
      <c r="W799" s="18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1.25" customHeight="1" x14ac:dyDescent="0.2">
      <c r="A800" s="51" t="s">
        <v>21</v>
      </c>
      <c r="B800" s="51" t="s">
        <v>41</v>
      </c>
      <c r="C800" s="51" t="s">
        <v>42</v>
      </c>
      <c r="D800" s="51" t="s">
        <v>38</v>
      </c>
      <c r="E800" s="51" t="s">
        <v>25</v>
      </c>
      <c r="F800" s="51" t="s">
        <v>60</v>
      </c>
      <c r="G800" s="51" t="s">
        <v>25</v>
      </c>
      <c r="H800" s="51" t="s">
        <v>34</v>
      </c>
      <c r="I800" s="59">
        <v>44440</v>
      </c>
      <c r="J800" s="60">
        <f>EFEITO!$J$800*EFEITO!$Y$800</f>
        <v>0</v>
      </c>
      <c r="K800" s="60">
        <f ca="1">EFEITO!$L$800*EFEITO!$Z$800</f>
        <v>1162573.6151487329</v>
      </c>
      <c r="L800" s="60">
        <f>EFEITO!$N$800*EFEITO!$AA$800</f>
        <v>0</v>
      </c>
      <c r="M800" s="60">
        <f>$J$800-EFEITO!$K$800*EFEITO!$Y$800</f>
        <v>0</v>
      </c>
      <c r="N800" s="60">
        <f ca="1">$K$800-EFEITO!$M$800*EFEITO!$Z$800</f>
        <v>602015.53000967682</v>
      </c>
      <c r="O800" s="60">
        <f>$L$800-EFEITO!$O$800*EFEITO!$AA$800</f>
        <v>0</v>
      </c>
      <c r="P800" s="18"/>
      <c r="Q800" s="18"/>
      <c r="R800" s="18"/>
      <c r="S800" s="18"/>
      <c r="T800" s="18"/>
      <c r="U800" s="18"/>
      <c r="V800" s="18"/>
      <c r="W800" s="18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1.25" customHeight="1" x14ac:dyDescent="0.2">
      <c r="A801" s="51" t="s">
        <v>21</v>
      </c>
      <c r="B801" s="51" t="s">
        <v>41</v>
      </c>
      <c r="C801" s="51" t="s">
        <v>42</v>
      </c>
      <c r="D801" s="51" t="s">
        <v>38</v>
      </c>
      <c r="E801" s="51" t="s">
        <v>25</v>
      </c>
      <c r="F801" s="51" t="s">
        <v>60</v>
      </c>
      <c r="G801" s="51" t="s">
        <v>25</v>
      </c>
      <c r="H801" s="51" t="s">
        <v>34</v>
      </c>
      <c r="I801" s="59">
        <v>44470</v>
      </c>
      <c r="J801" s="60">
        <f>EFEITO!$J$801*EFEITO!$Y$801</f>
        <v>0</v>
      </c>
      <c r="K801" s="60">
        <f ca="1">EFEITO!$L$801*EFEITO!$Z$801</f>
        <v>1143849.1957805234</v>
      </c>
      <c r="L801" s="60">
        <f>EFEITO!$N$801*EFEITO!$AA$801</f>
        <v>0</v>
      </c>
      <c r="M801" s="60">
        <f>$J$801-EFEITO!$K$801*EFEITO!$Y$801</f>
        <v>0</v>
      </c>
      <c r="N801" s="60">
        <f ca="1">$K$801-EFEITO!$M$801*EFEITO!$Z$801</f>
        <v>602305.59856193501</v>
      </c>
      <c r="O801" s="60">
        <f>$L$801-EFEITO!$O$801*EFEITO!$AA$801</f>
        <v>0</v>
      </c>
      <c r="P801" s="18"/>
      <c r="Q801" s="18"/>
      <c r="R801" s="18"/>
      <c r="S801" s="18"/>
      <c r="T801" s="18"/>
      <c r="U801" s="18"/>
      <c r="V801" s="18"/>
      <c r="W801" s="18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1.25" customHeight="1" x14ac:dyDescent="0.2">
      <c r="A802" s="51" t="s">
        <v>21</v>
      </c>
      <c r="B802" s="51" t="s">
        <v>41</v>
      </c>
      <c r="C802" s="51" t="s">
        <v>42</v>
      </c>
      <c r="D802" s="51" t="s">
        <v>38</v>
      </c>
      <c r="E802" s="51" t="s">
        <v>25</v>
      </c>
      <c r="F802" s="51" t="s">
        <v>60</v>
      </c>
      <c r="G802" s="51" t="s">
        <v>25</v>
      </c>
      <c r="H802" s="51" t="s">
        <v>34</v>
      </c>
      <c r="I802" s="59">
        <v>44501</v>
      </c>
      <c r="J802" s="60">
        <f>EFEITO!$J$802*EFEITO!$Y$802</f>
        <v>0</v>
      </c>
      <c r="K802" s="60">
        <f ca="1">EFEITO!$L$802*EFEITO!$Z$802</f>
        <v>1157995.4321249588</v>
      </c>
      <c r="L802" s="60">
        <f>EFEITO!$N$802*EFEITO!$AA$802</f>
        <v>0</v>
      </c>
      <c r="M802" s="60">
        <f>$J$802-EFEITO!$K$802*EFEITO!$Y$802</f>
        <v>0</v>
      </c>
      <c r="N802" s="60">
        <f ca="1">$K$802-EFEITO!$M$802*EFEITO!$Z$802</f>
        <v>602988.44010771089</v>
      </c>
      <c r="O802" s="60">
        <f>$L$802-EFEITO!$O$802*EFEITO!$AA$802</f>
        <v>0</v>
      </c>
      <c r="P802" s="18"/>
      <c r="Q802" s="18"/>
      <c r="R802" s="18"/>
      <c r="S802" s="18"/>
      <c r="T802" s="18"/>
      <c r="U802" s="18"/>
      <c r="V802" s="18"/>
      <c r="W802" s="18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1.25" customHeight="1" x14ac:dyDescent="0.2">
      <c r="A803" s="51" t="s">
        <v>21</v>
      </c>
      <c r="B803" s="51" t="s">
        <v>41</v>
      </c>
      <c r="C803" s="51" t="s">
        <v>42</v>
      </c>
      <c r="D803" s="51" t="s">
        <v>38</v>
      </c>
      <c r="E803" s="51" t="s">
        <v>25</v>
      </c>
      <c r="F803" s="51" t="s">
        <v>60</v>
      </c>
      <c r="G803" s="51" t="s">
        <v>25</v>
      </c>
      <c r="H803" s="51" t="s">
        <v>34</v>
      </c>
      <c r="I803" s="59">
        <v>44531</v>
      </c>
      <c r="J803" s="60">
        <f>EFEITO!$J$803*EFEITO!$Y$803</f>
        <v>0</v>
      </c>
      <c r="K803" s="60">
        <f ca="1">EFEITO!$L$803*EFEITO!$Z$803</f>
        <v>1220419.3528003849</v>
      </c>
      <c r="L803" s="60">
        <f>EFEITO!$N$803*EFEITO!$AA$803</f>
        <v>0</v>
      </c>
      <c r="M803" s="60">
        <f>$J$803-EFEITO!$K$803*EFEITO!$Y$803</f>
        <v>0</v>
      </c>
      <c r="N803" s="60">
        <f ca="1">$K$803-EFEITO!$M$803*EFEITO!$Z$803</f>
        <v>632380.69306509825</v>
      </c>
      <c r="O803" s="60">
        <f>$L$803-EFEITO!$O$803*EFEITO!$AA$803</f>
        <v>0</v>
      </c>
      <c r="P803" s="18"/>
      <c r="Q803" s="18"/>
      <c r="R803" s="18"/>
      <c r="S803" s="18"/>
      <c r="T803" s="18"/>
      <c r="U803" s="18"/>
      <c r="V803" s="18"/>
      <c r="W803" s="18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1.25" customHeight="1" x14ac:dyDescent="0.2">
      <c r="A804" s="51" t="s">
        <v>21</v>
      </c>
      <c r="B804" s="51" t="s">
        <v>41</v>
      </c>
      <c r="C804" s="51" t="s">
        <v>42</v>
      </c>
      <c r="D804" s="51" t="s">
        <v>38</v>
      </c>
      <c r="E804" s="51" t="s">
        <v>25</v>
      </c>
      <c r="F804" s="51" t="s">
        <v>60</v>
      </c>
      <c r="G804" s="51" t="s">
        <v>25</v>
      </c>
      <c r="H804" s="51" t="s">
        <v>34</v>
      </c>
      <c r="I804" s="59">
        <v>44562</v>
      </c>
      <c r="J804" s="60">
        <f>EFEITO!$J$804*EFEITO!$Y$804</f>
        <v>0</v>
      </c>
      <c r="K804" s="60">
        <f ca="1">EFEITO!$L$804*EFEITO!$Z$804</f>
        <v>1473754.0569340726</v>
      </c>
      <c r="L804" s="60">
        <f>EFEITO!$N$804*EFEITO!$AA$804</f>
        <v>0</v>
      </c>
      <c r="M804" s="60">
        <f>$J$804-EFEITO!$K$804*EFEITO!$Y$804</f>
        <v>0</v>
      </c>
      <c r="N804" s="60">
        <f ca="1">$K$804-EFEITO!$M$804*EFEITO!$Z$804</f>
        <v>762950.40522904322</v>
      </c>
      <c r="O804" s="60">
        <f>$L$804-EFEITO!$O$804*EFEITO!$AA$804</f>
        <v>0</v>
      </c>
      <c r="P804" s="18"/>
      <c r="Q804" s="18"/>
      <c r="R804" s="18"/>
      <c r="S804" s="18"/>
      <c r="T804" s="18"/>
      <c r="U804" s="18"/>
      <c r="V804" s="18"/>
      <c r="W804" s="18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1.25" customHeight="1" x14ac:dyDescent="0.2">
      <c r="A805" s="51" t="s">
        <v>21</v>
      </c>
      <c r="B805" s="51" t="s">
        <v>41</v>
      </c>
      <c r="C805" s="51" t="s">
        <v>42</v>
      </c>
      <c r="D805" s="51" t="s">
        <v>38</v>
      </c>
      <c r="E805" s="51" t="s">
        <v>25</v>
      </c>
      <c r="F805" s="51" t="s">
        <v>60</v>
      </c>
      <c r="G805" s="51" t="s">
        <v>25</v>
      </c>
      <c r="H805" s="51" t="s">
        <v>34</v>
      </c>
      <c r="I805" s="59">
        <v>44593</v>
      </c>
      <c r="J805" s="60">
        <f>EFEITO!$J$805*EFEITO!$Y$805</f>
        <v>0</v>
      </c>
      <c r="K805" s="60">
        <f ca="1">EFEITO!$L$805*EFEITO!$Z$805</f>
        <v>1339163.5627494087</v>
      </c>
      <c r="L805" s="60">
        <f>EFEITO!$N$805*EFEITO!$AA$805</f>
        <v>0</v>
      </c>
      <c r="M805" s="60">
        <f>$J$805-EFEITO!$K$805*EFEITO!$Y$805</f>
        <v>0</v>
      </c>
      <c r="N805" s="60">
        <f ca="1">$K$805-EFEITO!$M$805*EFEITO!$Z$805</f>
        <v>695742.381747921</v>
      </c>
      <c r="O805" s="60">
        <f>$L$805-EFEITO!$O$805*EFEITO!$AA$805</f>
        <v>0</v>
      </c>
      <c r="P805" s="18"/>
      <c r="Q805" s="18"/>
      <c r="R805" s="18"/>
      <c r="S805" s="18"/>
      <c r="T805" s="18"/>
      <c r="U805" s="18"/>
      <c r="V805" s="18"/>
      <c r="W805" s="18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1.25" customHeight="1" x14ac:dyDescent="0.2">
      <c r="A806" s="51" t="s">
        <v>56</v>
      </c>
      <c r="B806" s="51" t="s">
        <v>41</v>
      </c>
      <c r="C806" s="51" t="s">
        <v>42</v>
      </c>
      <c r="D806" s="51" t="s">
        <v>38</v>
      </c>
      <c r="E806" s="51" t="s">
        <v>25</v>
      </c>
      <c r="F806" s="51" t="s">
        <v>60</v>
      </c>
      <c r="G806" s="51" t="s">
        <v>25</v>
      </c>
      <c r="H806" s="51" t="s">
        <v>34</v>
      </c>
      <c r="I806" s="59">
        <v>44621</v>
      </c>
      <c r="J806" s="60">
        <f>EFEITO!$J$806*EFEITO!$Y$806</f>
        <v>0</v>
      </c>
      <c r="K806" s="60">
        <f ca="1">EFEITO!$L$806*EFEITO!$Z$806</f>
        <v>1339163.5627494087</v>
      </c>
      <c r="L806" s="60">
        <f>EFEITO!$N$806*EFEITO!$AA$806</f>
        <v>0</v>
      </c>
      <c r="M806" s="60">
        <f>$J$806-EFEITO!$K$806*EFEITO!$Y$806</f>
        <v>0</v>
      </c>
      <c r="N806" s="60">
        <f ca="1">$K$806-EFEITO!$M$806*EFEITO!$Z$806</f>
        <v>695742.381747921</v>
      </c>
      <c r="O806" s="60">
        <f>$L$806-EFEITO!$O$806*EFEITO!$AA$806</f>
        <v>0</v>
      </c>
      <c r="P806" s="18"/>
      <c r="Q806" s="18"/>
      <c r="R806" s="18"/>
      <c r="S806" s="18"/>
      <c r="T806" s="18"/>
      <c r="U806" s="18"/>
      <c r="V806" s="18"/>
      <c r="W806" s="18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1.25" customHeight="1" x14ac:dyDescent="0.2">
      <c r="A807" s="51" t="s">
        <v>21</v>
      </c>
      <c r="B807" s="51" t="s">
        <v>41</v>
      </c>
      <c r="C807" s="51" t="s">
        <v>42</v>
      </c>
      <c r="D807" s="51" t="s">
        <v>38</v>
      </c>
      <c r="E807" s="51" t="s">
        <v>25</v>
      </c>
      <c r="F807" s="51" t="s">
        <v>25</v>
      </c>
      <c r="G807" s="51" t="s">
        <v>25</v>
      </c>
      <c r="H807" s="51" t="s">
        <v>35</v>
      </c>
      <c r="I807" s="59">
        <v>44287</v>
      </c>
      <c r="J807" s="60">
        <f>EFEITO!$J$807*EFEITO!$Y$807</f>
        <v>0</v>
      </c>
      <c r="K807" s="60">
        <f ca="1">EFEITO!$L$807*EFEITO!$Z$807</f>
        <v>516978.77089209616</v>
      </c>
      <c r="L807" s="60">
        <f>EFEITO!$N$807*EFEITO!$AA$807</f>
        <v>1774590.7435577027</v>
      </c>
      <c r="M807" s="60">
        <f>$J$807-EFEITO!$K$807*EFEITO!$Y$807</f>
        <v>0</v>
      </c>
      <c r="N807" s="60">
        <f ca="1">$K$807-EFEITO!$M$807*EFEITO!$Z$807</f>
        <v>0</v>
      </c>
      <c r="O807" s="60">
        <f>$L$807-EFEITO!$O$807*EFEITO!$AA$807</f>
        <v>0</v>
      </c>
      <c r="P807" s="18"/>
      <c r="Q807" s="18"/>
      <c r="R807" s="18"/>
      <c r="S807" s="18"/>
      <c r="T807" s="18"/>
      <c r="U807" s="18"/>
      <c r="V807" s="18"/>
      <c r="W807" s="18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1.25" customHeight="1" x14ac:dyDescent="0.2">
      <c r="A808" s="51" t="s">
        <v>28</v>
      </c>
      <c r="B808" s="51" t="s">
        <v>41</v>
      </c>
      <c r="C808" s="51" t="s">
        <v>42</v>
      </c>
      <c r="D808" s="51" t="s">
        <v>38</v>
      </c>
      <c r="E808" s="51" t="s">
        <v>25</v>
      </c>
      <c r="F808" s="51" t="s">
        <v>25</v>
      </c>
      <c r="G808" s="51" t="s">
        <v>25</v>
      </c>
      <c r="H808" s="51" t="s">
        <v>35</v>
      </c>
      <c r="I808" s="59">
        <v>44287</v>
      </c>
      <c r="J808" s="60">
        <f>EFEITO!$J$808*EFEITO!$Y$808</f>
        <v>0</v>
      </c>
      <c r="K808" s="60">
        <f ca="1">EFEITO!$L$808*EFEITO!$Z$808</f>
        <v>7282.1300263614748</v>
      </c>
      <c r="L808" s="60">
        <f>EFEITO!$N$808*EFEITO!$AA$808</f>
        <v>24996.772141852478</v>
      </c>
      <c r="M808" s="60">
        <f>$J$808-EFEITO!$K$808*EFEITO!$Y$808</f>
        <v>0</v>
      </c>
      <c r="N808" s="60">
        <f ca="1">$K$808-EFEITO!$M$808*EFEITO!$Z$808</f>
        <v>0</v>
      </c>
      <c r="O808" s="60">
        <f>$L$808-EFEITO!$O$808*EFEITO!$AA$808</f>
        <v>0</v>
      </c>
      <c r="P808" s="18"/>
      <c r="Q808" s="18"/>
      <c r="R808" s="18"/>
      <c r="S808" s="18"/>
      <c r="T808" s="18"/>
      <c r="U808" s="18"/>
      <c r="V808" s="18"/>
      <c r="W808" s="18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1.25" customHeight="1" x14ac:dyDescent="0.2">
      <c r="A809" s="51" t="s">
        <v>21</v>
      </c>
      <c r="B809" s="51" t="s">
        <v>41</v>
      </c>
      <c r="C809" s="51" t="s">
        <v>42</v>
      </c>
      <c r="D809" s="51" t="s">
        <v>38</v>
      </c>
      <c r="E809" s="51" t="s">
        <v>25</v>
      </c>
      <c r="F809" s="51" t="s">
        <v>25</v>
      </c>
      <c r="G809" s="51" t="s">
        <v>25</v>
      </c>
      <c r="H809" s="51" t="s">
        <v>35</v>
      </c>
      <c r="I809" s="59">
        <v>44317</v>
      </c>
      <c r="J809" s="60">
        <f>EFEITO!$J$809*EFEITO!$Y$809</f>
        <v>0</v>
      </c>
      <c r="K809" s="60">
        <f ca="1">EFEITO!$L$809*EFEITO!$Z$809</f>
        <v>490890.06226819538</v>
      </c>
      <c r="L809" s="60">
        <f>EFEITO!$N$809*EFEITO!$AA$809</f>
        <v>1685038.1672392229</v>
      </c>
      <c r="M809" s="60">
        <f>$J$809-EFEITO!$K$809*EFEITO!$Y$809</f>
        <v>0</v>
      </c>
      <c r="N809" s="60">
        <f ca="1">$K$809-EFEITO!$M$809*EFEITO!$Z$809</f>
        <v>0</v>
      </c>
      <c r="O809" s="60">
        <f>$L$809-EFEITO!$O$809*EFEITO!$AA$809</f>
        <v>0</v>
      </c>
      <c r="P809" s="18"/>
      <c r="Q809" s="18"/>
      <c r="R809" s="18"/>
      <c r="S809" s="18"/>
      <c r="T809" s="18"/>
      <c r="U809" s="18"/>
      <c r="V809" s="18"/>
      <c r="W809" s="18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1.25" customHeight="1" x14ac:dyDescent="0.2">
      <c r="A810" s="51" t="s">
        <v>28</v>
      </c>
      <c r="B810" s="51" t="s">
        <v>41</v>
      </c>
      <c r="C810" s="51" t="s">
        <v>42</v>
      </c>
      <c r="D810" s="51" t="s">
        <v>38</v>
      </c>
      <c r="E810" s="51" t="s">
        <v>25</v>
      </c>
      <c r="F810" s="51" t="s">
        <v>25</v>
      </c>
      <c r="G810" s="51" t="s">
        <v>25</v>
      </c>
      <c r="H810" s="51" t="s">
        <v>35</v>
      </c>
      <c r="I810" s="59">
        <v>44317</v>
      </c>
      <c r="J810" s="60">
        <f>EFEITO!$J$810*EFEITO!$Y$810</f>
        <v>0</v>
      </c>
      <c r="K810" s="60">
        <f ca="1">EFEITO!$L$810*EFEITO!$Z$810</f>
        <v>8432.2411174736608</v>
      </c>
      <c r="L810" s="60">
        <f>EFEITO!$N$810*EFEITO!$AA$810</f>
        <v>28944.664417639426</v>
      </c>
      <c r="M810" s="60">
        <f>$J$810-EFEITO!$K$810*EFEITO!$Y$810</f>
        <v>0</v>
      </c>
      <c r="N810" s="60">
        <f ca="1">$K$810-EFEITO!$M$810*EFEITO!$Z$810</f>
        <v>0</v>
      </c>
      <c r="O810" s="60">
        <f>$L$810-EFEITO!$O$810*EFEITO!$AA$810</f>
        <v>0</v>
      </c>
      <c r="P810" s="18"/>
      <c r="Q810" s="18"/>
      <c r="R810" s="18"/>
      <c r="S810" s="18"/>
      <c r="T810" s="18"/>
      <c r="U810" s="18"/>
      <c r="V810" s="18"/>
      <c r="W810" s="18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1.25" customHeight="1" x14ac:dyDescent="0.2">
      <c r="A811" s="51" t="s">
        <v>28</v>
      </c>
      <c r="B811" s="51" t="s">
        <v>41</v>
      </c>
      <c r="C811" s="51" t="s">
        <v>42</v>
      </c>
      <c r="D811" s="51" t="s">
        <v>38</v>
      </c>
      <c r="E811" s="51" t="s">
        <v>25</v>
      </c>
      <c r="F811" s="51" t="s">
        <v>25</v>
      </c>
      <c r="G811" s="51" t="s">
        <v>25</v>
      </c>
      <c r="H811" s="51" t="s">
        <v>35</v>
      </c>
      <c r="I811" s="59">
        <v>44317</v>
      </c>
      <c r="J811" s="60">
        <f>EFEITO!$J$811*EFEITO!$Y$811</f>
        <v>0</v>
      </c>
      <c r="K811" s="60">
        <f ca="1">EFEITO!$L$811*EFEITO!$Z$811</f>
        <v>-1911.2178430193478</v>
      </c>
      <c r="L811" s="60">
        <f>EFEITO!$N$811*EFEITO!$AA$811</f>
        <v>-6560.4811727411425</v>
      </c>
      <c r="M811" s="60">
        <f>$J$811-EFEITO!$K$811*EFEITO!$Y$811</f>
        <v>0</v>
      </c>
      <c r="N811" s="60">
        <f ca="1">$K$811-EFEITO!$M$811*EFEITO!$Z$811</f>
        <v>0</v>
      </c>
      <c r="O811" s="60">
        <f>$L$811-EFEITO!$O$811*EFEITO!$AA$811</f>
        <v>0</v>
      </c>
      <c r="P811" s="18"/>
      <c r="Q811" s="18"/>
      <c r="R811" s="18"/>
      <c r="S811" s="18"/>
      <c r="T811" s="18"/>
      <c r="U811" s="18"/>
      <c r="V811" s="18"/>
      <c r="W811" s="18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1.25" customHeight="1" x14ac:dyDescent="0.2">
      <c r="A812" s="51" t="s">
        <v>21</v>
      </c>
      <c r="B812" s="51" t="s">
        <v>41</v>
      </c>
      <c r="C812" s="51" t="s">
        <v>42</v>
      </c>
      <c r="D812" s="51" t="s">
        <v>38</v>
      </c>
      <c r="E812" s="51" t="s">
        <v>25</v>
      </c>
      <c r="F812" s="51" t="s">
        <v>25</v>
      </c>
      <c r="G812" s="51" t="s">
        <v>25</v>
      </c>
      <c r="H812" s="51" t="s">
        <v>35</v>
      </c>
      <c r="I812" s="59">
        <v>44348</v>
      </c>
      <c r="J812" s="60">
        <f>EFEITO!$J$812*EFEITO!$Y$812</f>
        <v>0</v>
      </c>
      <c r="K812" s="60">
        <f ca="1">EFEITO!$L$812*EFEITO!$Z$812</f>
        <v>466274.68157606985</v>
      </c>
      <c r="L812" s="60">
        <f>EFEITO!$N$812*EFEITO!$AA$812</f>
        <v>1600542.9632098251</v>
      </c>
      <c r="M812" s="60">
        <f>$J$812-EFEITO!$K$812*EFEITO!$Y$812</f>
        <v>0</v>
      </c>
      <c r="N812" s="60">
        <f ca="1">$K$812-EFEITO!$M$812*EFEITO!$Z$812</f>
        <v>0</v>
      </c>
      <c r="O812" s="60">
        <f>$L$812-EFEITO!$O$812*EFEITO!$AA$812</f>
        <v>0</v>
      </c>
      <c r="P812" s="18"/>
      <c r="Q812" s="18"/>
      <c r="R812" s="18"/>
      <c r="S812" s="18"/>
      <c r="T812" s="18"/>
      <c r="U812" s="18"/>
      <c r="V812" s="18"/>
      <c r="W812" s="18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1.25" customHeight="1" x14ac:dyDescent="0.2">
      <c r="A813" s="51" t="s">
        <v>28</v>
      </c>
      <c r="B813" s="51" t="s">
        <v>41</v>
      </c>
      <c r="C813" s="51" t="s">
        <v>42</v>
      </c>
      <c r="D813" s="51" t="s">
        <v>38</v>
      </c>
      <c r="E813" s="51" t="s">
        <v>25</v>
      </c>
      <c r="F813" s="51" t="s">
        <v>25</v>
      </c>
      <c r="G813" s="51" t="s">
        <v>25</v>
      </c>
      <c r="H813" s="51" t="s">
        <v>35</v>
      </c>
      <c r="I813" s="59">
        <v>44348</v>
      </c>
      <c r="J813" s="60">
        <f>EFEITO!$J$813*EFEITO!$Y$813</f>
        <v>0</v>
      </c>
      <c r="K813" s="60">
        <f ca="1">EFEITO!$L$813*EFEITO!$Z$813</f>
        <v>9917.4003978008732</v>
      </c>
      <c r="L813" s="60">
        <f>EFEITO!$N$813*EFEITO!$AA$813</f>
        <v>34042.649209219155</v>
      </c>
      <c r="M813" s="60">
        <f>$J$813-EFEITO!$K$813*EFEITO!$Y$813</f>
        <v>0</v>
      </c>
      <c r="N813" s="60">
        <f ca="1">$K$813-EFEITO!$M$813*EFEITO!$Z$813</f>
        <v>0</v>
      </c>
      <c r="O813" s="60">
        <f>$L$813-EFEITO!$O$813*EFEITO!$AA$813</f>
        <v>0</v>
      </c>
      <c r="P813" s="18"/>
      <c r="Q813" s="18"/>
      <c r="R813" s="18"/>
      <c r="S813" s="18"/>
      <c r="T813" s="18"/>
      <c r="U813" s="18"/>
      <c r="V813" s="18"/>
      <c r="W813" s="18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1.25" customHeight="1" x14ac:dyDescent="0.2">
      <c r="A814" s="51" t="s">
        <v>21</v>
      </c>
      <c r="B814" s="51" t="s">
        <v>41</v>
      </c>
      <c r="C814" s="51" t="s">
        <v>42</v>
      </c>
      <c r="D814" s="51" t="s">
        <v>38</v>
      </c>
      <c r="E814" s="51" t="s">
        <v>25</v>
      </c>
      <c r="F814" s="51" t="s">
        <v>25</v>
      </c>
      <c r="G814" s="51" t="s">
        <v>25</v>
      </c>
      <c r="H814" s="51" t="s">
        <v>35</v>
      </c>
      <c r="I814" s="59">
        <v>44378</v>
      </c>
      <c r="J814" s="60">
        <f>EFEITO!$J$814*EFEITO!$Y$814</f>
        <v>0</v>
      </c>
      <c r="K814" s="60">
        <f ca="1">EFEITO!$L$814*EFEITO!$Z$814</f>
        <v>459127.24690245447</v>
      </c>
      <c r="L814" s="60">
        <f>EFEITO!$N$814*EFEITO!$AA$814</f>
        <v>1576008.5487887182</v>
      </c>
      <c r="M814" s="60">
        <f>$J$814-EFEITO!$K$814*EFEITO!$Y$814</f>
        <v>0</v>
      </c>
      <c r="N814" s="60">
        <f ca="1">$K$814-EFEITO!$M$814*EFEITO!$Z$814</f>
        <v>0</v>
      </c>
      <c r="O814" s="60">
        <f>$L$814-EFEITO!$O$814*EFEITO!$AA$814</f>
        <v>0</v>
      </c>
      <c r="P814" s="18"/>
      <c r="Q814" s="18"/>
      <c r="R814" s="18"/>
      <c r="S814" s="18"/>
      <c r="T814" s="18"/>
      <c r="U814" s="18"/>
      <c r="V814" s="18"/>
      <c r="W814" s="18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1.25" customHeight="1" x14ac:dyDescent="0.2">
      <c r="A815" s="51" t="s">
        <v>28</v>
      </c>
      <c r="B815" s="51" t="s">
        <v>41</v>
      </c>
      <c r="C815" s="51" t="s">
        <v>42</v>
      </c>
      <c r="D815" s="51" t="s">
        <v>38</v>
      </c>
      <c r="E815" s="51" t="s">
        <v>25</v>
      </c>
      <c r="F815" s="51" t="s">
        <v>25</v>
      </c>
      <c r="G815" s="51" t="s">
        <v>25</v>
      </c>
      <c r="H815" s="51" t="s">
        <v>35</v>
      </c>
      <c r="I815" s="59">
        <v>44378</v>
      </c>
      <c r="J815" s="60">
        <f>EFEITO!$J$815*EFEITO!$Y$815</f>
        <v>0</v>
      </c>
      <c r="K815" s="60">
        <f ca="1">EFEITO!$L$815*EFEITO!$Z$815</f>
        <v>7919.4626703397635</v>
      </c>
      <c r="L815" s="60">
        <f>EFEITO!$N$815*EFEITO!$AA$815</f>
        <v>27184.491781905341</v>
      </c>
      <c r="M815" s="60">
        <f>$J$815-EFEITO!$K$815*EFEITO!$Y$815</f>
        <v>0</v>
      </c>
      <c r="N815" s="60">
        <f ca="1">$K$815-EFEITO!$M$815*EFEITO!$Z$815</f>
        <v>0</v>
      </c>
      <c r="O815" s="60">
        <f>$L$815-EFEITO!$O$815*EFEITO!$AA$815</f>
        <v>0</v>
      </c>
      <c r="P815" s="18"/>
      <c r="Q815" s="18"/>
      <c r="R815" s="18"/>
      <c r="S815" s="18"/>
      <c r="T815" s="18"/>
      <c r="U815" s="18"/>
      <c r="V815" s="18"/>
      <c r="W815" s="18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1.25" customHeight="1" x14ac:dyDescent="0.2">
      <c r="A816" s="51" t="s">
        <v>21</v>
      </c>
      <c r="B816" s="51" t="s">
        <v>41</v>
      </c>
      <c r="C816" s="51" t="s">
        <v>42</v>
      </c>
      <c r="D816" s="51" t="s">
        <v>38</v>
      </c>
      <c r="E816" s="51" t="s">
        <v>25</v>
      </c>
      <c r="F816" s="51" t="s">
        <v>25</v>
      </c>
      <c r="G816" s="51" t="s">
        <v>25</v>
      </c>
      <c r="H816" s="51" t="s">
        <v>35</v>
      </c>
      <c r="I816" s="59">
        <v>44409</v>
      </c>
      <c r="J816" s="60">
        <f>EFEITO!$J$816*EFEITO!$Y$816</f>
        <v>0</v>
      </c>
      <c r="K816" s="60">
        <f ca="1">EFEITO!$L$816*EFEITO!$Z$816</f>
        <v>476784.29947556817</v>
      </c>
      <c r="L816" s="60">
        <f>EFEITO!$N$816*EFEITO!$AA$816</f>
        <v>1636618.4690001216</v>
      </c>
      <c r="M816" s="60">
        <f>$J$816-EFEITO!$K$816*EFEITO!$Y$816</f>
        <v>0</v>
      </c>
      <c r="N816" s="60">
        <f ca="1">$K$816-EFEITO!$M$816*EFEITO!$Z$816</f>
        <v>0</v>
      </c>
      <c r="O816" s="60">
        <f>$L$816-EFEITO!$O$816*EFEITO!$AA$816</f>
        <v>0</v>
      </c>
      <c r="P816" s="18"/>
      <c r="Q816" s="18"/>
      <c r="R816" s="18"/>
      <c r="S816" s="18"/>
      <c r="T816" s="18"/>
      <c r="U816" s="18"/>
      <c r="V816" s="18"/>
      <c r="W816" s="18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1.25" customHeight="1" x14ac:dyDescent="0.2">
      <c r="A817" s="51" t="s">
        <v>28</v>
      </c>
      <c r="B817" s="51" t="s">
        <v>41</v>
      </c>
      <c r="C817" s="51" t="s">
        <v>42</v>
      </c>
      <c r="D817" s="51" t="s">
        <v>38</v>
      </c>
      <c r="E817" s="51" t="s">
        <v>25</v>
      </c>
      <c r="F817" s="51" t="s">
        <v>25</v>
      </c>
      <c r="G817" s="51" t="s">
        <v>25</v>
      </c>
      <c r="H817" s="51" t="s">
        <v>35</v>
      </c>
      <c r="I817" s="59">
        <v>44409</v>
      </c>
      <c r="J817" s="60">
        <f>EFEITO!$J$817*EFEITO!$Y$817</f>
        <v>0</v>
      </c>
      <c r="K817" s="60">
        <f ca="1">EFEITO!$L$817*EFEITO!$Z$817</f>
        <v>12111.400472695534</v>
      </c>
      <c r="L817" s="60">
        <f>EFEITO!$N$817*EFEITO!$AA$817</f>
        <v>41573.813820784242</v>
      </c>
      <c r="M817" s="60">
        <f>$J$817-EFEITO!$K$817*EFEITO!$Y$817</f>
        <v>0</v>
      </c>
      <c r="N817" s="60">
        <f ca="1">$K$817-EFEITO!$M$817*EFEITO!$Z$817</f>
        <v>0</v>
      </c>
      <c r="O817" s="60">
        <f>$L$817-EFEITO!$O$817*EFEITO!$AA$817</f>
        <v>0</v>
      </c>
      <c r="P817" s="18"/>
      <c r="Q817" s="18"/>
      <c r="R817" s="18"/>
      <c r="S817" s="18"/>
      <c r="T817" s="18"/>
      <c r="U817" s="18"/>
      <c r="V817" s="18"/>
      <c r="W817" s="18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1.25" customHeight="1" x14ac:dyDescent="0.2">
      <c r="A818" s="51" t="s">
        <v>21</v>
      </c>
      <c r="B818" s="51" t="s">
        <v>41</v>
      </c>
      <c r="C818" s="51" t="s">
        <v>42</v>
      </c>
      <c r="D818" s="51" t="s">
        <v>38</v>
      </c>
      <c r="E818" s="51" t="s">
        <v>25</v>
      </c>
      <c r="F818" s="51" t="s">
        <v>25</v>
      </c>
      <c r="G818" s="51" t="s">
        <v>25</v>
      </c>
      <c r="H818" s="51" t="s">
        <v>35</v>
      </c>
      <c r="I818" s="59">
        <v>44409</v>
      </c>
      <c r="J818" s="60">
        <f>EFEITO!$J$818*EFEITO!$Y$818</f>
        <v>0</v>
      </c>
      <c r="K818" s="60">
        <f ca="1">EFEITO!$L$818*EFEITO!$Z$818</f>
        <v>7241.1753582967749</v>
      </c>
      <c r="L818" s="60">
        <f>EFEITO!$N$818*EFEITO!$AA$818</f>
        <v>0</v>
      </c>
      <c r="M818" s="60">
        <f>$J$818-EFEITO!$K$818*EFEITO!$Y$818</f>
        <v>0</v>
      </c>
      <c r="N818" s="60">
        <f ca="1">$K$818-EFEITO!$M$818*EFEITO!$Z$818</f>
        <v>0</v>
      </c>
      <c r="O818" s="60">
        <f>$L$818-EFEITO!$O$818*EFEITO!$AA$818</f>
        <v>0</v>
      </c>
      <c r="P818" s="18"/>
      <c r="Q818" s="18"/>
      <c r="R818" s="18"/>
      <c r="S818" s="18"/>
      <c r="T818" s="18"/>
      <c r="U818" s="18"/>
      <c r="V818" s="18"/>
      <c r="W818" s="18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1.25" customHeight="1" x14ac:dyDescent="0.2">
      <c r="A819" s="51" t="s">
        <v>21</v>
      </c>
      <c r="B819" s="51" t="s">
        <v>41</v>
      </c>
      <c r="C819" s="51" t="s">
        <v>42</v>
      </c>
      <c r="D819" s="51" t="s">
        <v>38</v>
      </c>
      <c r="E819" s="51" t="s">
        <v>25</v>
      </c>
      <c r="F819" s="51" t="s">
        <v>25</v>
      </c>
      <c r="G819" s="51" t="s">
        <v>25</v>
      </c>
      <c r="H819" s="51" t="s">
        <v>35</v>
      </c>
      <c r="I819" s="59">
        <v>44440</v>
      </c>
      <c r="J819" s="60">
        <f>EFEITO!$J$819*EFEITO!$Y$819</f>
        <v>0</v>
      </c>
      <c r="K819" s="60">
        <f ca="1">EFEITO!$L$819*EFEITO!$Z$819</f>
        <v>451822.62431236223</v>
      </c>
      <c r="L819" s="60">
        <f>EFEITO!$N$819*EFEITO!$AA$819</f>
        <v>1550934.5682629959</v>
      </c>
      <c r="M819" s="60">
        <f>$J$819-EFEITO!$K$819*EFEITO!$Y$819</f>
        <v>0</v>
      </c>
      <c r="N819" s="60">
        <f ca="1">$K$819-EFEITO!$M$819*EFEITO!$Z$819</f>
        <v>0</v>
      </c>
      <c r="O819" s="60">
        <f>$L$819-EFEITO!$O$819*EFEITO!$AA$819</f>
        <v>0</v>
      </c>
      <c r="P819" s="18"/>
      <c r="Q819" s="18"/>
      <c r="R819" s="18"/>
      <c r="S819" s="18"/>
      <c r="T819" s="18"/>
      <c r="U819" s="18"/>
      <c r="V819" s="18"/>
      <c r="W819" s="18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1.25" customHeight="1" x14ac:dyDescent="0.2">
      <c r="A820" s="51" t="s">
        <v>28</v>
      </c>
      <c r="B820" s="51" t="s">
        <v>41</v>
      </c>
      <c r="C820" s="51" t="s">
        <v>42</v>
      </c>
      <c r="D820" s="51" t="s">
        <v>38</v>
      </c>
      <c r="E820" s="51" t="s">
        <v>25</v>
      </c>
      <c r="F820" s="51" t="s">
        <v>25</v>
      </c>
      <c r="G820" s="51" t="s">
        <v>25</v>
      </c>
      <c r="H820" s="51" t="s">
        <v>35</v>
      </c>
      <c r="I820" s="59">
        <v>44440</v>
      </c>
      <c r="J820" s="60">
        <f>EFEITO!$J$820*EFEITO!$Y$820</f>
        <v>0</v>
      </c>
      <c r="K820" s="60">
        <f ca="1">EFEITO!$L$820*EFEITO!$Z$820</f>
        <v>9803.2473864967251</v>
      </c>
      <c r="L820" s="60">
        <f>EFEITO!$N$820*EFEITO!$AA$820</f>
        <v>33650.805503799653</v>
      </c>
      <c r="M820" s="60">
        <f>$J$820-EFEITO!$K$820*EFEITO!$Y$820</f>
        <v>0</v>
      </c>
      <c r="N820" s="60">
        <f ca="1">$K$820-EFEITO!$M$820*EFEITO!$Z$820</f>
        <v>0</v>
      </c>
      <c r="O820" s="60">
        <f>$L$820-EFEITO!$O$820*EFEITO!$AA$820</f>
        <v>0</v>
      </c>
      <c r="P820" s="18"/>
      <c r="Q820" s="18"/>
      <c r="R820" s="18"/>
      <c r="S820" s="18"/>
      <c r="T820" s="18"/>
      <c r="U820" s="18"/>
      <c r="V820" s="18"/>
      <c r="W820" s="18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1.25" customHeight="1" x14ac:dyDescent="0.2">
      <c r="A821" s="51" t="s">
        <v>21</v>
      </c>
      <c r="B821" s="51" t="s">
        <v>41</v>
      </c>
      <c r="C821" s="51" t="s">
        <v>42</v>
      </c>
      <c r="D821" s="51" t="s">
        <v>38</v>
      </c>
      <c r="E821" s="51" t="s">
        <v>25</v>
      </c>
      <c r="F821" s="51" t="s">
        <v>25</v>
      </c>
      <c r="G821" s="51" t="s">
        <v>25</v>
      </c>
      <c r="H821" s="51" t="s">
        <v>35</v>
      </c>
      <c r="I821" s="59">
        <v>44470</v>
      </c>
      <c r="J821" s="60">
        <f>EFEITO!$J$821*EFEITO!$Y$821</f>
        <v>0</v>
      </c>
      <c r="K821" s="60">
        <f ca="1">EFEITO!$L$821*EFEITO!$Z$821</f>
        <v>464449.66355821519</v>
      </c>
      <c r="L821" s="60">
        <f>EFEITO!$N$821*EFEITO!$AA$821</f>
        <v>1594278.3731267117</v>
      </c>
      <c r="M821" s="60">
        <f>$J$821-EFEITO!$K$821*EFEITO!$Y$821</f>
        <v>0</v>
      </c>
      <c r="N821" s="60">
        <f ca="1">$K$821-EFEITO!$M$821*EFEITO!$Z$821</f>
        <v>0</v>
      </c>
      <c r="O821" s="60">
        <f>$L$821-EFEITO!$O$821*EFEITO!$AA$821</f>
        <v>0</v>
      </c>
      <c r="P821" s="18"/>
      <c r="Q821" s="18"/>
      <c r="R821" s="18"/>
      <c r="S821" s="18"/>
      <c r="T821" s="18"/>
      <c r="U821" s="18"/>
      <c r="V821" s="18"/>
      <c r="W821" s="18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1.25" customHeight="1" x14ac:dyDescent="0.2">
      <c r="A822" s="51" t="s">
        <v>28</v>
      </c>
      <c r="B822" s="51" t="s">
        <v>41</v>
      </c>
      <c r="C822" s="51" t="s">
        <v>42</v>
      </c>
      <c r="D822" s="51" t="s">
        <v>38</v>
      </c>
      <c r="E822" s="51" t="s">
        <v>25</v>
      </c>
      <c r="F822" s="51" t="s">
        <v>25</v>
      </c>
      <c r="G822" s="51" t="s">
        <v>25</v>
      </c>
      <c r="H822" s="51" t="s">
        <v>35</v>
      </c>
      <c r="I822" s="59">
        <v>44470</v>
      </c>
      <c r="J822" s="60">
        <f>EFEITO!$J$822*EFEITO!$Y$822</f>
        <v>0</v>
      </c>
      <c r="K822" s="60">
        <f ca="1">EFEITO!$L$822*EFEITO!$Z$822</f>
        <v>10285.277328877286</v>
      </c>
      <c r="L822" s="60">
        <f>EFEITO!$N$822*EFEITO!$AA$822</f>
        <v>35305.430262162772</v>
      </c>
      <c r="M822" s="60">
        <f>$J$822-EFEITO!$K$822*EFEITO!$Y$822</f>
        <v>0</v>
      </c>
      <c r="N822" s="60">
        <f ca="1">$K$822-EFEITO!$M$822*EFEITO!$Z$822</f>
        <v>0</v>
      </c>
      <c r="O822" s="60">
        <f>$L$822-EFEITO!$O$822*EFEITO!$AA$822</f>
        <v>0</v>
      </c>
      <c r="P822" s="18"/>
      <c r="Q822" s="18"/>
      <c r="R822" s="18"/>
      <c r="S822" s="18"/>
      <c r="T822" s="18"/>
      <c r="U822" s="18"/>
      <c r="V822" s="18"/>
      <c r="W822" s="18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1.25" customHeight="1" x14ac:dyDescent="0.2">
      <c r="A823" s="51" t="s">
        <v>21</v>
      </c>
      <c r="B823" s="51" t="s">
        <v>41</v>
      </c>
      <c r="C823" s="51" t="s">
        <v>42</v>
      </c>
      <c r="D823" s="51" t="s">
        <v>38</v>
      </c>
      <c r="E823" s="51" t="s">
        <v>25</v>
      </c>
      <c r="F823" s="51" t="s">
        <v>25</v>
      </c>
      <c r="G823" s="51" t="s">
        <v>25</v>
      </c>
      <c r="H823" s="51" t="s">
        <v>35</v>
      </c>
      <c r="I823" s="59">
        <v>44501</v>
      </c>
      <c r="J823" s="60">
        <f>EFEITO!$J$823*EFEITO!$Y$823</f>
        <v>0</v>
      </c>
      <c r="K823" s="60">
        <f ca="1">EFEITO!$L$823*EFEITO!$Z$823</f>
        <v>450742.13615696004</v>
      </c>
      <c r="L823" s="60">
        <f>EFEITO!$N$823*EFEITO!$AA$823</f>
        <v>1547225.6649442161</v>
      </c>
      <c r="M823" s="60">
        <f>$J$823-EFEITO!$K$823*EFEITO!$Y$823</f>
        <v>0</v>
      </c>
      <c r="N823" s="60">
        <f ca="1">$K$823-EFEITO!$M$823*EFEITO!$Z$823</f>
        <v>0</v>
      </c>
      <c r="O823" s="60">
        <f>$L$823-EFEITO!$O$823*EFEITO!$AA$823</f>
        <v>0</v>
      </c>
      <c r="P823" s="18"/>
      <c r="Q823" s="18"/>
      <c r="R823" s="18"/>
      <c r="S823" s="18"/>
      <c r="T823" s="18"/>
      <c r="U823" s="18"/>
      <c r="V823" s="18"/>
      <c r="W823" s="18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1.25" customHeight="1" x14ac:dyDescent="0.2">
      <c r="A824" s="51" t="s">
        <v>28</v>
      </c>
      <c r="B824" s="51" t="s">
        <v>41</v>
      </c>
      <c r="C824" s="51" t="s">
        <v>42</v>
      </c>
      <c r="D824" s="51" t="s">
        <v>38</v>
      </c>
      <c r="E824" s="51" t="s">
        <v>25</v>
      </c>
      <c r="F824" s="51" t="s">
        <v>25</v>
      </c>
      <c r="G824" s="51" t="s">
        <v>25</v>
      </c>
      <c r="H824" s="51" t="s">
        <v>35</v>
      </c>
      <c r="I824" s="59">
        <v>44501</v>
      </c>
      <c r="J824" s="60">
        <f>EFEITO!$J$824*EFEITO!$Y$824</f>
        <v>0</v>
      </c>
      <c r="K824" s="60">
        <f ca="1">EFEITO!$L$824*EFEITO!$Z$824</f>
        <v>9631.9528621308746</v>
      </c>
      <c r="L824" s="60">
        <f>EFEITO!$N$824*EFEITO!$AA$824</f>
        <v>33062.816800052278</v>
      </c>
      <c r="M824" s="60">
        <f>$J$824-EFEITO!$K$824*EFEITO!$Y$824</f>
        <v>0</v>
      </c>
      <c r="N824" s="60">
        <f ca="1">$K$824-EFEITO!$M$824*EFEITO!$Z$824</f>
        <v>0</v>
      </c>
      <c r="O824" s="60">
        <f>$L$824-EFEITO!$O$824*EFEITO!$AA$824</f>
        <v>0</v>
      </c>
      <c r="P824" s="18"/>
      <c r="Q824" s="18"/>
      <c r="R824" s="18"/>
      <c r="S824" s="18"/>
      <c r="T824" s="18"/>
      <c r="U824" s="18"/>
      <c r="V824" s="18"/>
      <c r="W824" s="18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1.25" customHeight="1" x14ac:dyDescent="0.2">
      <c r="A825" s="51" t="s">
        <v>21</v>
      </c>
      <c r="B825" s="51" t="s">
        <v>41</v>
      </c>
      <c r="C825" s="51" t="s">
        <v>42</v>
      </c>
      <c r="D825" s="51" t="s">
        <v>38</v>
      </c>
      <c r="E825" s="51" t="s">
        <v>25</v>
      </c>
      <c r="F825" s="51" t="s">
        <v>25</v>
      </c>
      <c r="G825" s="51" t="s">
        <v>25</v>
      </c>
      <c r="H825" s="51" t="s">
        <v>35</v>
      </c>
      <c r="I825" s="59">
        <v>44531</v>
      </c>
      <c r="J825" s="60">
        <f>EFEITO!$J$825*EFEITO!$Y$825</f>
        <v>0</v>
      </c>
      <c r="K825" s="60">
        <f ca="1">EFEITO!$L$825*EFEITO!$Z$825</f>
        <v>444649.18667489628</v>
      </c>
      <c r="L825" s="60">
        <f>EFEITO!$N$825*EFEITO!$AA$825</f>
        <v>1526310.8955946409</v>
      </c>
      <c r="M825" s="60">
        <f>$J$825-EFEITO!$K$825*EFEITO!$Y$825</f>
        <v>0</v>
      </c>
      <c r="N825" s="60">
        <f ca="1">$K$825-EFEITO!$M$825*EFEITO!$Z$825</f>
        <v>0</v>
      </c>
      <c r="O825" s="60">
        <f>$L$825-EFEITO!$O$825*EFEITO!$AA$825</f>
        <v>0</v>
      </c>
      <c r="P825" s="18"/>
      <c r="Q825" s="18"/>
      <c r="R825" s="18"/>
      <c r="S825" s="18"/>
      <c r="T825" s="18"/>
      <c r="U825" s="18"/>
      <c r="V825" s="18"/>
      <c r="W825" s="18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1.25" customHeight="1" x14ac:dyDescent="0.2">
      <c r="A826" s="51" t="s">
        <v>27</v>
      </c>
      <c r="B826" s="51" t="s">
        <v>41</v>
      </c>
      <c r="C826" s="51" t="s">
        <v>42</v>
      </c>
      <c r="D826" s="51" t="s">
        <v>38</v>
      </c>
      <c r="E826" s="51" t="s">
        <v>25</v>
      </c>
      <c r="F826" s="51" t="s">
        <v>25</v>
      </c>
      <c r="G826" s="51" t="s">
        <v>25</v>
      </c>
      <c r="H826" s="51" t="s">
        <v>35</v>
      </c>
      <c r="I826" s="59">
        <v>44531</v>
      </c>
      <c r="J826" s="60">
        <f>EFEITO!$J$826*EFEITO!$Y$826</f>
        <v>0</v>
      </c>
      <c r="K826" s="60">
        <f ca="1">EFEITO!$L$826*EFEITO!$Z$826</f>
        <v>-554.77323375262301</v>
      </c>
      <c r="L826" s="60">
        <f>EFEITO!$N$826*EFEITO!$AA$826</f>
        <v>-1904.3247050398952</v>
      </c>
      <c r="M826" s="60">
        <f>$J$826-EFEITO!$K$826*EFEITO!$Y$826</f>
        <v>0</v>
      </c>
      <c r="N826" s="60">
        <f ca="1">$K$826-EFEITO!$M$826*EFEITO!$Z$826</f>
        <v>0</v>
      </c>
      <c r="O826" s="60">
        <f>$L$826-EFEITO!$O$826*EFEITO!$AA$826</f>
        <v>0</v>
      </c>
      <c r="P826" s="18"/>
      <c r="Q826" s="18"/>
      <c r="R826" s="18"/>
      <c r="S826" s="18"/>
      <c r="T826" s="18"/>
      <c r="U826" s="18"/>
      <c r="V826" s="18"/>
      <c r="W826" s="18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1.25" customHeight="1" x14ac:dyDescent="0.2">
      <c r="A827" s="51" t="s">
        <v>28</v>
      </c>
      <c r="B827" s="51" t="s">
        <v>41</v>
      </c>
      <c r="C827" s="51" t="s">
        <v>42</v>
      </c>
      <c r="D827" s="51" t="s">
        <v>38</v>
      </c>
      <c r="E827" s="51" t="s">
        <v>25</v>
      </c>
      <c r="F827" s="51" t="s">
        <v>25</v>
      </c>
      <c r="G827" s="51" t="s">
        <v>25</v>
      </c>
      <c r="H827" s="51" t="s">
        <v>35</v>
      </c>
      <c r="I827" s="59">
        <v>44531</v>
      </c>
      <c r="J827" s="60">
        <f>EFEITO!$J$827*EFEITO!$Y$827</f>
        <v>0</v>
      </c>
      <c r="K827" s="60">
        <f ca="1">EFEITO!$L$827*EFEITO!$Z$827</f>
        <v>9660.8161520050435</v>
      </c>
      <c r="L827" s="60">
        <f>EFEITO!$N$827*EFEITO!$AA$827</f>
        <v>33161.893454497753</v>
      </c>
      <c r="M827" s="60">
        <f>$J$827-EFEITO!$K$827*EFEITO!$Y$827</f>
        <v>0</v>
      </c>
      <c r="N827" s="60">
        <f ca="1">$K$827-EFEITO!$M$827*EFEITO!$Z$827</f>
        <v>0</v>
      </c>
      <c r="O827" s="60">
        <f>$L$827-EFEITO!$O$827*EFEITO!$AA$827</f>
        <v>0</v>
      </c>
      <c r="P827" s="18"/>
      <c r="Q827" s="18"/>
      <c r="R827" s="18"/>
      <c r="S827" s="18"/>
      <c r="T827" s="18"/>
      <c r="U827" s="18"/>
      <c r="V827" s="18"/>
      <c r="W827" s="18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1.25" customHeight="1" x14ac:dyDescent="0.2">
      <c r="A828" s="51" t="s">
        <v>21</v>
      </c>
      <c r="B828" s="51" t="s">
        <v>41</v>
      </c>
      <c r="C828" s="51" t="s">
        <v>42</v>
      </c>
      <c r="D828" s="51" t="s">
        <v>38</v>
      </c>
      <c r="E828" s="51" t="s">
        <v>25</v>
      </c>
      <c r="F828" s="51" t="s">
        <v>25</v>
      </c>
      <c r="G828" s="51" t="s">
        <v>25</v>
      </c>
      <c r="H828" s="51" t="s">
        <v>35</v>
      </c>
      <c r="I828" s="59">
        <v>44562</v>
      </c>
      <c r="J828" s="60">
        <f>EFEITO!$J$828*EFEITO!$Y$828</f>
        <v>0</v>
      </c>
      <c r="K828" s="60">
        <f ca="1">EFEITO!$L$828*EFEITO!$Z$828</f>
        <v>456566.01997057971</v>
      </c>
      <c r="L828" s="60">
        <f>EFEITO!$N$828*EFEITO!$AA$828</f>
        <v>1567216.8345803907</v>
      </c>
      <c r="M828" s="60">
        <f>$J$828-EFEITO!$K$828*EFEITO!$Y$828</f>
        <v>0</v>
      </c>
      <c r="N828" s="60">
        <f ca="1">$K$828-EFEITO!$M$828*EFEITO!$Z$828</f>
        <v>0</v>
      </c>
      <c r="O828" s="60">
        <f>$L$828-EFEITO!$O$828*EFEITO!$AA$828</f>
        <v>0</v>
      </c>
      <c r="P828" s="18"/>
      <c r="Q828" s="18"/>
      <c r="R828" s="18"/>
      <c r="S828" s="18"/>
      <c r="T828" s="18"/>
      <c r="U828" s="18"/>
      <c r="V828" s="18"/>
      <c r="W828" s="18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1.25" customHeight="1" x14ac:dyDescent="0.2">
      <c r="A829" s="51" t="s">
        <v>27</v>
      </c>
      <c r="B829" s="51" t="s">
        <v>41</v>
      </c>
      <c r="C829" s="51" t="s">
        <v>42</v>
      </c>
      <c r="D829" s="51" t="s">
        <v>38</v>
      </c>
      <c r="E829" s="51" t="s">
        <v>25</v>
      </c>
      <c r="F829" s="51" t="s">
        <v>25</v>
      </c>
      <c r="G829" s="51" t="s">
        <v>25</v>
      </c>
      <c r="H829" s="51" t="s">
        <v>35</v>
      </c>
      <c r="I829" s="59">
        <v>44562</v>
      </c>
      <c r="J829" s="60">
        <f>EFEITO!$J$829*EFEITO!$Y$829</f>
        <v>0</v>
      </c>
      <c r="K829" s="60">
        <f ca="1">EFEITO!$L$829*EFEITO!$Z$829</f>
        <v>4.1604742160965396</v>
      </c>
      <c r="L829" s="60">
        <f>EFEITO!$N$829*EFEITO!$AA$829</f>
        <v>14.28131955970861</v>
      </c>
      <c r="M829" s="60">
        <f>$J$829-EFEITO!$K$829*EFEITO!$Y$829</f>
        <v>0</v>
      </c>
      <c r="N829" s="60">
        <f ca="1">$K$829-EFEITO!$M$829*EFEITO!$Z$829</f>
        <v>0</v>
      </c>
      <c r="O829" s="60">
        <f>$L$829-EFEITO!$O$829*EFEITO!$AA$829</f>
        <v>0</v>
      </c>
      <c r="P829" s="18"/>
      <c r="Q829" s="18"/>
      <c r="R829" s="18"/>
      <c r="S829" s="18"/>
      <c r="T829" s="18"/>
      <c r="U829" s="18"/>
      <c r="V829" s="18"/>
      <c r="W829" s="18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1.25" customHeight="1" x14ac:dyDescent="0.2">
      <c r="A830" s="51" t="s">
        <v>28</v>
      </c>
      <c r="B830" s="51" t="s">
        <v>41</v>
      </c>
      <c r="C830" s="51" t="s">
        <v>42</v>
      </c>
      <c r="D830" s="51" t="s">
        <v>38</v>
      </c>
      <c r="E830" s="51" t="s">
        <v>25</v>
      </c>
      <c r="F830" s="51" t="s">
        <v>25</v>
      </c>
      <c r="G830" s="51" t="s">
        <v>25</v>
      </c>
      <c r="H830" s="51" t="s">
        <v>35</v>
      </c>
      <c r="I830" s="59">
        <v>44562</v>
      </c>
      <c r="J830" s="60">
        <f>EFEITO!$J$830*EFEITO!$Y$830</f>
        <v>0</v>
      </c>
      <c r="K830" s="60">
        <f ca="1">EFEITO!$L$830*EFEITO!$Z$830</f>
        <v>7297.6667972622099</v>
      </c>
      <c r="L830" s="60">
        <f>EFEITO!$N$830*EFEITO!$AA$830</f>
        <v>25050.103944583265</v>
      </c>
      <c r="M830" s="60">
        <f>$J$830-EFEITO!$K$830*EFEITO!$Y$830</f>
        <v>0</v>
      </c>
      <c r="N830" s="60">
        <f ca="1">$K$830-EFEITO!$M$830*EFEITO!$Z$830</f>
        <v>0</v>
      </c>
      <c r="O830" s="60">
        <f>$L$830-EFEITO!$O$830*EFEITO!$AA$830</f>
        <v>0</v>
      </c>
      <c r="P830" s="18"/>
      <c r="Q830" s="18"/>
      <c r="R830" s="18"/>
      <c r="S830" s="18"/>
      <c r="T830" s="18"/>
      <c r="U830" s="18"/>
      <c r="V830" s="18"/>
      <c r="W830" s="18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1.25" customHeight="1" x14ac:dyDescent="0.2">
      <c r="A831" s="51" t="s">
        <v>21</v>
      </c>
      <c r="B831" s="51" t="s">
        <v>41</v>
      </c>
      <c r="C831" s="51" t="s">
        <v>42</v>
      </c>
      <c r="D831" s="51" t="s">
        <v>38</v>
      </c>
      <c r="E831" s="51" t="s">
        <v>25</v>
      </c>
      <c r="F831" s="51" t="s">
        <v>25</v>
      </c>
      <c r="G831" s="51" t="s">
        <v>25</v>
      </c>
      <c r="H831" s="51" t="s">
        <v>35</v>
      </c>
      <c r="I831" s="59">
        <v>44593</v>
      </c>
      <c r="J831" s="60">
        <f>EFEITO!$J$831*EFEITO!$Y$831</f>
        <v>0</v>
      </c>
      <c r="K831" s="60">
        <f ca="1">EFEITO!$L$831*EFEITO!$Z$831</f>
        <v>419604.82208664541</v>
      </c>
      <c r="L831" s="60">
        <f>EFEITO!$N$831*EFEITO!$AA$831</f>
        <v>1440343.1536312662</v>
      </c>
      <c r="M831" s="60">
        <f>$J$831-EFEITO!$K$831*EFEITO!$Y$831</f>
        <v>0</v>
      </c>
      <c r="N831" s="60">
        <f ca="1">$K$831-EFEITO!$M$831*EFEITO!$Z$831</f>
        <v>0</v>
      </c>
      <c r="O831" s="60">
        <f>$L$831-EFEITO!$O$831*EFEITO!$AA$831</f>
        <v>0</v>
      </c>
      <c r="P831" s="18"/>
      <c r="Q831" s="18"/>
      <c r="R831" s="18"/>
      <c r="S831" s="18"/>
      <c r="T831" s="18"/>
      <c r="U831" s="18"/>
      <c r="V831" s="18"/>
      <c r="W831" s="18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1.25" customHeight="1" x14ac:dyDescent="0.2">
      <c r="A832" s="51" t="s">
        <v>27</v>
      </c>
      <c r="B832" s="51" t="s">
        <v>41</v>
      </c>
      <c r="C832" s="51" t="s">
        <v>42</v>
      </c>
      <c r="D832" s="51" t="s">
        <v>38</v>
      </c>
      <c r="E832" s="51" t="s">
        <v>25</v>
      </c>
      <c r="F832" s="51" t="s">
        <v>25</v>
      </c>
      <c r="G832" s="51" t="s">
        <v>25</v>
      </c>
      <c r="H832" s="51" t="s">
        <v>35</v>
      </c>
      <c r="I832" s="59">
        <v>44593</v>
      </c>
      <c r="J832" s="60">
        <f>EFEITO!$J$832*EFEITO!$Y$832</f>
        <v>0</v>
      </c>
      <c r="K832" s="60">
        <f ca="1">EFEITO!$L$832*EFEITO!$Z$832</f>
        <v>24.442786019567173</v>
      </c>
      <c r="L832" s="60">
        <f>EFEITO!$N$832*EFEITO!$AA$832</f>
        <v>83.902752413288084</v>
      </c>
      <c r="M832" s="60">
        <f>$J$832-EFEITO!$K$832*EFEITO!$Y$832</f>
        <v>0</v>
      </c>
      <c r="N832" s="60">
        <f ca="1">$K$832-EFEITO!$M$832*EFEITO!$Z$832</f>
        <v>0</v>
      </c>
      <c r="O832" s="60">
        <f>$L$832-EFEITO!$O$832*EFEITO!$AA$832</f>
        <v>0</v>
      </c>
      <c r="P832" s="18"/>
      <c r="Q832" s="18"/>
      <c r="R832" s="18"/>
      <c r="S832" s="18"/>
      <c r="T832" s="18"/>
      <c r="U832" s="18"/>
      <c r="V832" s="18"/>
      <c r="W832" s="18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1.25" customHeight="1" x14ac:dyDescent="0.2">
      <c r="A833" s="51" t="s">
        <v>28</v>
      </c>
      <c r="B833" s="51" t="s">
        <v>41</v>
      </c>
      <c r="C833" s="51" t="s">
        <v>42</v>
      </c>
      <c r="D833" s="51" t="s">
        <v>38</v>
      </c>
      <c r="E833" s="51" t="s">
        <v>25</v>
      </c>
      <c r="F833" s="51" t="s">
        <v>25</v>
      </c>
      <c r="G833" s="51" t="s">
        <v>25</v>
      </c>
      <c r="H833" s="51" t="s">
        <v>35</v>
      </c>
      <c r="I833" s="59">
        <v>44593</v>
      </c>
      <c r="J833" s="60">
        <f>EFEITO!$J$833*EFEITO!$Y$833</f>
        <v>0</v>
      </c>
      <c r="K833" s="60">
        <f ca="1">EFEITO!$L$833*EFEITO!$Z$833</f>
        <v>7451.0842839807701</v>
      </c>
      <c r="L833" s="60">
        <f>EFEITO!$N$833*EFEITO!$AA$833</f>
        <v>25576.727603347521</v>
      </c>
      <c r="M833" s="60">
        <f>$J$833-EFEITO!$K$833*EFEITO!$Y$833</f>
        <v>0</v>
      </c>
      <c r="N833" s="60">
        <f ca="1">$K$833-EFEITO!$M$833*EFEITO!$Z$833</f>
        <v>0</v>
      </c>
      <c r="O833" s="60">
        <f>$L$833-EFEITO!$O$833*EFEITO!$AA$833</f>
        <v>0</v>
      </c>
      <c r="P833" s="18"/>
      <c r="Q833" s="18"/>
      <c r="R833" s="18"/>
      <c r="S833" s="18"/>
      <c r="T833" s="18"/>
      <c r="U833" s="18"/>
      <c r="V833" s="18"/>
      <c r="W833" s="18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1.25" customHeight="1" x14ac:dyDescent="0.2">
      <c r="A834" s="51" t="s">
        <v>56</v>
      </c>
      <c r="B834" s="51" t="s">
        <v>41</v>
      </c>
      <c r="C834" s="51" t="s">
        <v>42</v>
      </c>
      <c r="D834" s="51" t="s">
        <v>38</v>
      </c>
      <c r="E834" s="51" t="s">
        <v>25</v>
      </c>
      <c r="F834" s="51" t="s">
        <v>25</v>
      </c>
      <c r="G834" s="51" t="s">
        <v>25</v>
      </c>
      <c r="H834" s="51" t="s">
        <v>35</v>
      </c>
      <c r="I834" s="59">
        <v>44621</v>
      </c>
      <c r="J834" s="60">
        <f>EFEITO!$J$834*EFEITO!$Y$834</f>
        <v>0</v>
      </c>
      <c r="K834" s="60">
        <f ca="1">EFEITO!$L$834*EFEITO!$Z$834</f>
        <v>419604.82208664541</v>
      </c>
      <c r="L834" s="60">
        <f>EFEITO!$N$834*EFEITO!$AA$834</f>
        <v>1440343.1536312662</v>
      </c>
      <c r="M834" s="60">
        <f>$J$834-EFEITO!$K$834*EFEITO!$Y$834</f>
        <v>0</v>
      </c>
      <c r="N834" s="60">
        <f ca="1">$K$834-EFEITO!$M$834*EFEITO!$Z$834</f>
        <v>0</v>
      </c>
      <c r="O834" s="60">
        <f>$L$834-EFEITO!$O$834*EFEITO!$AA$834</f>
        <v>0</v>
      </c>
      <c r="P834" s="18"/>
      <c r="Q834" s="18"/>
      <c r="R834" s="18"/>
      <c r="S834" s="18"/>
      <c r="T834" s="18"/>
      <c r="U834" s="18"/>
      <c r="V834" s="18"/>
      <c r="W834" s="18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1.25" customHeight="1" x14ac:dyDescent="0.2">
      <c r="A835" s="51" t="s">
        <v>56</v>
      </c>
      <c r="B835" s="51" t="s">
        <v>41</v>
      </c>
      <c r="C835" s="51" t="s">
        <v>42</v>
      </c>
      <c r="D835" s="51" t="s">
        <v>38</v>
      </c>
      <c r="E835" s="51" t="s">
        <v>25</v>
      </c>
      <c r="F835" s="51" t="s">
        <v>25</v>
      </c>
      <c r="G835" s="51" t="s">
        <v>25</v>
      </c>
      <c r="H835" s="51" t="s">
        <v>35</v>
      </c>
      <c r="I835" s="59">
        <v>44621</v>
      </c>
      <c r="J835" s="60">
        <f>EFEITO!$J$835*EFEITO!$Y$835</f>
        <v>0</v>
      </c>
      <c r="K835" s="60">
        <f ca="1">EFEITO!$L$835*EFEITO!$Z$835</f>
        <v>24.442786019567173</v>
      </c>
      <c r="L835" s="60">
        <f>EFEITO!$N$835*EFEITO!$AA$835</f>
        <v>83.902752413288084</v>
      </c>
      <c r="M835" s="60">
        <f>$J$835-EFEITO!$K$835*EFEITO!$Y$835</f>
        <v>0</v>
      </c>
      <c r="N835" s="60">
        <f ca="1">$K$835-EFEITO!$M$835*EFEITO!$Z$835</f>
        <v>0</v>
      </c>
      <c r="O835" s="60">
        <f>$L$835-EFEITO!$O$835*EFEITO!$AA$835</f>
        <v>0</v>
      </c>
      <c r="P835" s="18"/>
      <c r="Q835" s="18"/>
      <c r="R835" s="18"/>
      <c r="S835" s="18"/>
      <c r="T835" s="18"/>
      <c r="U835" s="18"/>
      <c r="V835" s="18"/>
      <c r="W835" s="18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1.25" customHeight="1" x14ac:dyDescent="0.2">
      <c r="A836" s="51" t="s">
        <v>56</v>
      </c>
      <c r="B836" s="51" t="s">
        <v>41</v>
      </c>
      <c r="C836" s="51" t="s">
        <v>42</v>
      </c>
      <c r="D836" s="51" t="s">
        <v>38</v>
      </c>
      <c r="E836" s="51" t="s">
        <v>25</v>
      </c>
      <c r="F836" s="51" t="s">
        <v>25</v>
      </c>
      <c r="G836" s="51" t="s">
        <v>25</v>
      </c>
      <c r="H836" s="51" t="s">
        <v>35</v>
      </c>
      <c r="I836" s="59">
        <v>44621</v>
      </c>
      <c r="J836" s="60">
        <f>EFEITO!$J$836*EFEITO!$Y$836</f>
        <v>0</v>
      </c>
      <c r="K836" s="60">
        <f ca="1">EFEITO!$L$836*EFEITO!$Z$836</f>
        <v>7451.0842839807701</v>
      </c>
      <c r="L836" s="60">
        <f>EFEITO!$N$836*EFEITO!$AA$836</f>
        <v>25576.727603347521</v>
      </c>
      <c r="M836" s="60">
        <f>$J$836-EFEITO!$K$836*EFEITO!$Y$836</f>
        <v>0</v>
      </c>
      <c r="N836" s="60">
        <f ca="1">$K$836-EFEITO!$M$836*EFEITO!$Z$836</f>
        <v>0</v>
      </c>
      <c r="O836" s="60">
        <f>$L$836-EFEITO!$O$836*EFEITO!$AA$836</f>
        <v>0</v>
      </c>
      <c r="P836" s="18"/>
      <c r="Q836" s="18"/>
      <c r="R836" s="18"/>
      <c r="S836" s="18"/>
      <c r="T836" s="18"/>
      <c r="U836" s="18"/>
      <c r="V836" s="18"/>
      <c r="W836" s="18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1.25" customHeight="1" x14ac:dyDescent="0.2">
      <c r="A837" s="51" t="s">
        <v>21</v>
      </c>
      <c r="B837" s="51" t="s">
        <v>41</v>
      </c>
      <c r="C837" s="51" t="s">
        <v>42</v>
      </c>
      <c r="D837" s="51" t="s">
        <v>38</v>
      </c>
      <c r="E837" s="51" t="s">
        <v>25</v>
      </c>
      <c r="F837" s="51" t="s">
        <v>25</v>
      </c>
      <c r="G837" s="51" t="s">
        <v>25</v>
      </c>
      <c r="H837" s="51" t="s">
        <v>25</v>
      </c>
      <c r="I837" s="59">
        <v>44287</v>
      </c>
      <c r="J837" s="60">
        <f ca="1">EFEITO!$J$837*EFEITO!$Y$837</f>
        <v>1067912.6970626172</v>
      </c>
      <c r="K837" s="60">
        <f>EFEITO!$L$837*EFEITO!$Z$837</f>
        <v>0</v>
      </c>
      <c r="L837" s="60">
        <f>EFEITO!$N$837*EFEITO!$AA$837</f>
        <v>0</v>
      </c>
      <c r="M837" s="60">
        <f ca="1">$J$837-EFEITO!$K$837*EFEITO!$Y$837</f>
        <v>0</v>
      </c>
      <c r="N837" s="60">
        <f>$K$837-EFEITO!$M$837*EFEITO!$Z$837</f>
        <v>0</v>
      </c>
      <c r="O837" s="60">
        <f>$L$837-EFEITO!$O$837*EFEITO!$AA$837</f>
        <v>0</v>
      </c>
      <c r="P837" s="18"/>
      <c r="Q837" s="18"/>
      <c r="R837" s="18"/>
      <c r="S837" s="18"/>
      <c r="T837" s="18"/>
      <c r="U837" s="18"/>
      <c r="V837" s="18"/>
      <c r="W837" s="18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1.25" customHeight="1" x14ac:dyDescent="0.2">
      <c r="A838" s="51" t="s">
        <v>28</v>
      </c>
      <c r="B838" s="51" t="s">
        <v>41</v>
      </c>
      <c r="C838" s="51" t="s">
        <v>42</v>
      </c>
      <c r="D838" s="51" t="s">
        <v>38</v>
      </c>
      <c r="E838" s="51" t="s">
        <v>25</v>
      </c>
      <c r="F838" s="51" t="s">
        <v>25</v>
      </c>
      <c r="G838" s="51" t="s">
        <v>25</v>
      </c>
      <c r="H838" s="51" t="s">
        <v>25</v>
      </c>
      <c r="I838" s="59">
        <v>44287</v>
      </c>
      <c r="J838" s="60">
        <f ca="1">EFEITO!$J$838*EFEITO!$Y$838</f>
        <v>16889.777400616735</v>
      </c>
      <c r="K838" s="60">
        <f>EFEITO!$L$838*EFEITO!$Z$838</f>
        <v>0</v>
      </c>
      <c r="L838" s="60">
        <f>EFEITO!$N$838*EFEITO!$AA$838</f>
        <v>0</v>
      </c>
      <c r="M838" s="60">
        <f ca="1">$J$838-EFEITO!$K$838*EFEITO!$Y$838</f>
        <v>0</v>
      </c>
      <c r="N838" s="60">
        <f>$K$838-EFEITO!$M$838*EFEITO!$Z$838</f>
        <v>0</v>
      </c>
      <c r="O838" s="60">
        <f>$L$838-EFEITO!$O$838*EFEITO!$AA$838</f>
        <v>0</v>
      </c>
      <c r="P838" s="18"/>
      <c r="Q838" s="18"/>
      <c r="R838" s="18"/>
      <c r="S838" s="18"/>
      <c r="T838" s="18"/>
      <c r="U838" s="18"/>
      <c r="V838" s="18"/>
      <c r="W838" s="18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1.25" customHeight="1" x14ac:dyDescent="0.2">
      <c r="A839" s="51" t="s">
        <v>21</v>
      </c>
      <c r="B839" s="51" t="s">
        <v>41</v>
      </c>
      <c r="C839" s="51" t="s">
        <v>42</v>
      </c>
      <c r="D839" s="51" t="s">
        <v>38</v>
      </c>
      <c r="E839" s="51" t="s">
        <v>25</v>
      </c>
      <c r="F839" s="51" t="s">
        <v>25</v>
      </c>
      <c r="G839" s="51" t="s">
        <v>25</v>
      </c>
      <c r="H839" s="51" t="s">
        <v>25</v>
      </c>
      <c r="I839" s="59">
        <v>44317</v>
      </c>
      <c r="J839" s="60">
        <f ca="1">EFEITO!$J$839*EFEITO!$Y$839</f>
        <v>1003013.3949248142</v>
      </c>
      <c r="K839" s="60">
        <f>EFEITO!$L$839*EFEITO!$Z$839</f>
        <v>0</v>
      </c>
      <c r="L839" s="60">
        <f>EFEITO!$N$839*EFEITO!$AA$839</f>
        <v>0</v>
      </c>
      <c r="M839" s="60">
        <f ca="1">$J$839-EFEITO!$K$839*EFEITO!$Y$839</f>
        <v>0</v>
      </c>
      <c r="N839" s="60">
        <f>$K$839-EFEITO!$M$839*EFEITO!$Z$839</f>
        <v>0</v>
      </c>
      <c r="O839" s="60">
        <f>$L$839-EFEITO!$O$839*EFEITO!$AA$839</f>
        <v>0</v>
      </c>
      <c r="P839" s="18"/>
      <c r="Q839" s="18"/>
      <c r="R839" s="18"/>
      <c r="S839" s="18"/>
      <c r="T839" s="18"/>
      <c r="U839" s="18"/>
      <c r="V839" s="18"/>
      <c r="W839" s="18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1.25" customHeight="1" x14ac:dyDescent="0.2">
      <c r="A840" s="51" t="s">
        <v>28</v>
      </c>
      <c r="B840" s="51" t="s">
        <v>41</v>
      </c>
      <c r="C840" s="51" t="s">
        <v>42</v>
      </c>
      <c r="D840" s="51" t="s">
        <v>38</v>
      </c>
      <c r="E840" s="51" t="s">
        <v>25</v>
      </c>
      <c r="F840" s="51" t="s">
        <v>25</v>
      </c>
      <c r="G840" s="51" t="s">
        <v>25</v>
      </c>
      <c r="H840" s="51" t="s">
        <v>25</v>
      </c>
      <c r="I840" s="59">
        <v>44317</v>
      </c>
      <c r="J840" s="60">
        <f ca="1">EFEITO!$J$840*EFEITO!$Y$840</f>
        <v>36066.989220844553</v>
      </c>
      <c r="K840" s="60">
        <f>EFEITO!$L$840*EFEITO!$Z$840</f>
        <v>0</v>
      </c>
      <c r="L840" s="60">
        <f>EFEITO!$N$840*EFEITO!$AA$840</f>
        <v>0</v>
      </c>
      <c r="M840" s="60">
        <f ca="1">$J$840-EFEITO!$K$840*EFEITO!$Y$840</f>
        <v>0</v>
      </c>
      <c r="N840" s="60">
        <f>$K$840-EFEITO!$M$840*EFEITO!$Z$840</f>
        <v>0</v>
      </c>
      <c r="O840" s="60">
        <f>$L$840-EFEITO!$O$840*EFEITO!$AA$840</f>
        <v>0</v>
      </c>
      <c r="P840" s="18"/>
      <c r="Q840" s="18"/>
      <c r="R840" s="18"/>
      <c r="S840" s="18"/>
      <c r="T840" s="18"/>
      <c r="U840" s="18"/>
      <c r="V840" s="18"/>
      <c r="W840" s="18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1.25" customHeight="1" x14ac:dyDescent="0.2">
      <c r="A841" s="51" t="s">
        <v>21</v>
      </c>
      <c r="B841" s="51" t="s">
        <v>41</v>
      </c>
      <c r="C841" s="51" t="s">
        <v>42</v>
      </c>
      <c r="D841" s="51" t="s">
        <v>38</v>
      </c>
      <c r="E841" s="51" t="s">
        <v>25</v>
      </c>
      <c r="F841" s="51" t="s">
        <v>25</v>
      </c>
      <c r="G841" s="51" t="s">
        <v>25</v>
      </c>
      <c r="H841" s="51" t="s">
        <v>25</v>
      </c>
      <c r="I841" s="59">
        <v>44348</v>
      </c>
      <c r="J841" s="60">
        <f ca="1">EFEITO!$J$841*EFEITO!$Y$841</f>
        <v>952929.22036519018</v>
      </c>
      <c r="K841" s="60">
        <f>EFEITO!$L$841*EFEITO!$Z$841</f>
        <v>0</v>
      </c>
      <c r="L841" s="60">
        <f>EFEITO!$N$841*EFEITO!$AA$841</f>
        <v>0</v>
      </c>
      <c r="M841" s="60">
        <f ca="1">$J$841-EFEITO!$K$841*EFEITO!$Y$841</f>
        <v>0</v>
      </c>
      <c r="N841" s="60">
        <f>$K$841-EFEITO!$M$841*EFEITO!$Z$841</f>
        <v>0</v>
      </c>
      <c r="O841" s="60">
        <f>$L$841-EFEITO!$O$841*EFEITO!$AA$841</f>
        <v>0</v>
      </c>
      <c r="P841" s="18"/>
      <c r="Q841" s="18"/>
      <c r="R841" s="18"/>
      <c r="S841" s="18"/>
      <c r="T841" s="18"/>
      <c r="U841" s="18"/>
      <c r="V841" s="18"/>
      <c r="W841" s="18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1.25" customHeight="1" x14ac:dyDescent="0.2">
      <c r="A842" s="51" t="s">
        <v>28</v>
      </c>
      <c r="B842" s="51" t="s">
        <v>41</v>
      </c>
      <c r="C842" s="51" t="s">
        <v>42</v>
      </c>
      <c r="D842" s="51" t="s">
        <v>38</v>
      </c>
      <c r="E842" s="51" t="s">
        <v>25</v>
      </c>
      <c r="F842" s="51" t="s">
        <v>25</v>
      </c>
      <c r="G842" s="51" t="s">
        <v>25</v>
      </c>
      <c r="H842" s="51" t="s">
        <v>25</v>
      </c>
      <c r="I842" s="59">
        <v>44348</v>
      </c>
      <c r="J842" s="60">
        <f ca="1">EFEITO!$J$842*EFEITO!$Y$842</f>
        <v>36598.950713777362</v>
      </c>
      <c r="K842" s="60">
        <f>EFEITO!$L$842*EFEITO!$Z$842</f>
        <v>0</v>
      </c>
      <c r="L842" s="60">
        <f>EFEITO!$N$842*EFEITO!$AA$842</f>
        <v>0</v>
      </c>
      <c r="M842" s="60">
        <f ca="1">$J$842-EFEITO!$K$842*EFEITO!$Y$842</f>
        <v>0</v>
      </c>
      <c r="N842" s="60">
        <f>$K$842-EFEITO!$M$842*EFEITO!$Z$842</f>
        <v>0</v>
      </c>
      <c r="O842" s="60">
        <f>$L$842-EFEITO!$O$842*EFEITO!$AA$842</f>
        <v>0</v>
      </c>
      <c r="P842" s="18"/>
      <c r="Q842" s="18"/>
      <c r="R842" s="18"/>
      <c r="S842" s="18"/>
      <c r="T842" s="18"/>
      <c r="U842" s="18"/>
      <c r="V842" s="18"/>
      <c r="W842" s="18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1.25" customHeight="1" x14ac:dyDescent="0.2">
      <c r="A843" s="51" t="s">
        <v>21</v>
      </c>
      <c r="B843" s="51" t="s">
        <v>41</v>
      </c>
      <c r="C843" s="51" t="s">
        <v>42</v>
      </c>
      <c r="D843" s="51" t="s">
        <v>38</v>
      </c>
      <c r="E843" s="51" t="s">
        <v>25</v>
      </c>
      <c r="F843" s="51" t="s">
        <v>25</v>
      </c>
      <c r="G843" s="51" t="s">
        <v>25</v>
      </c>
      <c r="H843" s="51" t="s">
        <v>25</v>
      </c>
      <c r="I843" s="59">
        <v>44378</v>
      </c>
      <c r="J843" s="60">
        <f ca="1">EFEITO!$J$843*EFEITO!$Y$843</f>
        <v>935746.86414346041</v>
      </c>
      <c r="K843" s="60">
        <f>EFEITO!$L$843*EFEITO!$Z$843</f>
        <v>0</v>
      </c>
      <c r="L843" s="60">
        <f>EFEITO!$N$843*EFEITO!$AA$843</f>
        <v>0</v>
      </c>
      <c r="M843" s="60">
        <f ca="1">$J$843-EFEITO!$K$843*EFEITO!$Y$843</f>
        <v>0</v>
      </c>
      <c r="N843" s="60">
        <f>$K$843-EFEITO!$M$843*EFEITO!$Z$843</f>
        <v>0</v>
      </c>
      <c r="O843" s="60">
        <f>$L$843-EFEITO!$O$843*EFEITO!$AA$843</f>
        <v>0</v>
      </c>
      <c r="P843" s="18"/>
      <c r="Q843" s="18"/>
      <c r="R843" s="18"/>
      <c r="S843" s="18"/>
      <c r="T843" s="18"/>
      <c r="U843" s="18"/>
      <c r="V843" s="18"/>
      <c r="W843" s="18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1.25" customHeight="1" x14ac:dyDescent="0.2">
      <c r="A844" s="51" t="s">
        <v>28</v>
      </c>
      <c r="B844" s="51" t="s">
        <v>41</v>
      </c>
      <c r="C844" s="51" t="s">
        <v>42</v>
      </c>
      <c r="D844" s="51" t="s">
        <v>38</v>
      </c>
      <c r="E844" s="51" t="s">
        <v>25</v>
      </c>
      <c r="F844" s="51" t="s">
        <v>25</v>
      </c>
      <c r="G844" s="51" t="s">
        <v>25</v>
      </c>
      <c r="H844" s="51" t="s">
        <v>25</v>
      </c>
      <c r="I844" s="59">
        <v>44378</v>
      </c>
      <c r="J844" s="60">
        <f ca="1">EFEITO!$J$844*EFEITO!$Y$844</f>
        <v>36332.969967310957</v>
      </c>
      <c r="K844" s="60">
        <f>EFEITO!$L$844*EFEITO!$Z$844</f>
        <v>0</v>
      </c>
      <c r="L844" s="60">
        <f>EFEITO!$N$844*EFEITO!$AA$844</f>
        <v>0</v>
      </c>
      <c r="M844" s="60">
        <f ca="1">$J$844-EFEITO!$K$844*EFEITO!$Y$844</f>
        <v>0</v>
      </c>
      <c r="N844" s="60">
        <f>$K$844-EFEITO!$M$844*EFEITO!$Z$844</f>
        <v>0</v>
      </c>
      <c r="O844" s="60">
        <f>$L$844-EFEITO!$O$844*EFEITO!$AA$844</f>
        <v>0</v>
      </c>
      <c r="P844" s="18"/>
      <c r="Q844" s="18"/>
      <c r="R844" s="18"/>
      <c r="S844" s="18"/>
      <c r="T844" s="18"/>
      <c r="U844" s="18"/>
      <c r="V844" s="18"/>
      <c r="W844" s="18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1.25" customHeight="1" x14ac:dyDescent="0.2">
      <c r="A845" s="51" t="s">
        <v>21</v>
      </c>
      <c r="B845" s="51" t="s">
        <v>41</v>
      </c>
      <c r="C845" s="51" t="s">
        <v>42</v>
      </c>
      <c r="D845" s="51" t="s">
        <v>38</v>
      </c>
      <c r="E845" s="51" t="s">
        <v>25</v>
      </c>
      <c r="F845" s="51" t="s">
        <v>25</v>
      </c>
      <c r="G845" s="51" t="s">
        <v>25</v>
      </c>
      <c r="H845" s="51" t="s">
        <v>25</v>
      </c>
      <c r="I845" s="59">
        <v>44409</v>
      </c>
      <c r="J845" s="60">
        <f ca="1">EFEITO!$J$845*EFEITO!$Y$845</f>
        <v>900637.40560989489</v>
      </c>
      <c r="K845" s="60">
        <f>EFEITO!$L$845*EFEITO!$Z$845</f>
        <v>0</v>
      </c>
      <c r="L845" s="60">
        <f>EFEITO!$N$845*EFEITO!$AA$845</f>
        <v>0</v>
      </c>
      <c r="M845" s="60">
        <f ca="1">$J$845-EFEITO!$K$845*EFEITO!$Y$845</f>
        <v>0</v>
      </c>
      <c r="N845" s="60">
        <f>$K$845-EFEITO!$M$845*EFEITO!$Z$845</f>
        <v>0</v>
      </c>
      <c r="O845" s="60">
        <f>$L$845-EFEITO!$O$845*EFEITO!$AA$845</f>
        <v>0</v>
      </c>
      <c r="P845" s="18"/>
      <c r="Q845" s="18"/>
      <c r="R845" s="18"/>
      <c r="S845" s="18"/>
      <c r="T845" s="18"/>
      <c r="U845" s="18"/>
      <c r="V845" s="18"/>
      <c r="W845" s="18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1.25" customHeight="1" x14ac:dyDescent="0.2">
      <c r="A846" s="51" t="s">
        <v>28</v>
      </c>
      <c r="B846" s="51" t="s">
        <v>41</v>
      </c>
      <c r="C846" s="51" t="s">
        <v>42</v>
      </c>
      <c r="D846" s="51" t="s">
        <v>38</v>
      </c>
      <c r="E846" s="51" t="s">
        <v>25</v>
      </c>
      <c r="F846" s="51" t="s">
        <v>25</v>
      </c>
      <c r="G846" s="51" t="s">
        <v>25</v>
      </c>
      <c r="H846" s="51" t="s">
        <v>25</v>
      </c>
      <c r="I846" s="59">
        <v>44409</v>
      </c>
      <c r="J846" s="60">
        <f ca="1">EFEITO!$J$846*EFEITO!$Y$846</f>
        <v>43700.636644430386</v>
      </c>
      <c r="K846" s="60">
        <f>EFEITO!$L$846*EFEITO!$Z$846</f>
        <v>0</v>
      </c>
      <c r="L846" s="60">
        <f>EFEITO!$N$846*EFEITO!$AA$846</f>
        <v>0</v>
      </c>
      <c r="M846" s="60">
        <f ca="1">$J$846-EFEITO!$K$846*EFEITO!$Y$846</f>
        <v>0</v>
      </c>
      <c r="N846" s="60">
        <f>$K$846-EFEITO!$M$846*EFEITO!$Z$846</f>
        <v>0</v>
      </c>
      <c r="O846" s="60">
        <f>$L$846-EFEITO!$O$846*EFEITO!$AA$846</f>
        <v>0</v>
      </c>
      <c r="P846" s="18"/>
      <c r="Q846" s="18"/>
      <c r="R846" s="18"/>
      <c r="S846" s="18"/>
      <c r="T846" s="18"/>
      <c r="U846" s="18"/>
      <c r="V846" s="18"/>
      <c r="W846" s="18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1.25" customHeight="1" x14ac:dyDescent="0.2">
      <c r="A847" s="51" t="s">
        <v>21</v>
      </c>
      <c r="B847" s="51" t="s">
        <v>41</v>
      </c>
      <c r="C847" s="51" t="s">
        <v>42</v>
      </c>
      <c r="D847" s="51" t="s">
        <v>38</v>
      </c>
      <c r="E847" s="51" t="s">
        <v>25</v>
      </c>
      <c r="F847" s="51" t="s">
        <v>25</v>
      </c>
      <c r="G847" s="51" t="s">
        <v>25</v>
      </c>
      <c r="H847" s="51" t="s">
        <v>25</v>
      </c>
      <c r="I847" s="59">
        <v>44409</v>
      </c>
      <c r="J847" s="60">
        <f ca="1">EFEITO!$J$847*EFEITO!$Y$847</f>
        <v>19124.015670934539</v>
      </c>
      <c r="K847" s="60">
        <f>EFEITO!$L$847*EFEITO!$Z$847</f>
        <v>0</v>
      </c>
      <c r="L847" s="60">
        <f>EFEITO!$N$847*EFEITO!$AA$847</f>
        <v>0</v>
      </c>
      <c r="M847" s="60">
        <f ca="1">$J$847-EFEITO!$K$847*EFEITO!$Y$847</f>
        <v>0</v>
      </c>
      <c r="N847" s="60">
        <f>$K$847-EFEITO!$M$847*EFEITO!$Z$847</f>
        <v>0</v>
      </c>
      <c r="O847" s="60">
        <f>$L$847-EFEITO!$O$847*EFEITO!$AA$847</f>
        <v>0</v>
      </c>
      <c r="P847" s="18"/>
      <c r="Q847" s="18"/>
      <c r="R847" s="18"/>
      <c r="S847" s="18"/>
      <c r="T847" s="18"/>
      <c r="U847" s="18"/>
      <c r="V847" s="18"/>
      <c r="W847" s="18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1.25" customHeight="1" x14ac:dyDescent="0.2">
      <c r="A848" s="51" t="s">
        <v>21</v>
      </c>
      <c r="B848" s="51" t="s">
        <v>41</v>
      </c>
      <c r="C848" s="51" t="s">
        <v>42</v>
      </c>
      <c r="D848" s="51" t="s">
        <v>38</v>
      </c>
      <c r="E848" s="51" t="s">
        <v>25</v>
      </c>
      <c r="F848" s="51" t="s">
        <v>25</v>
      </c>
      <c r="G848" s="51" t="s">
        <v>25</v>
      </c>
      <c r="H848" s="51" t="s">
        <v>25</v>
      </c>
      <c r="I848" s="59">
        <v>44440</v>
      </c>
      <c r="J848" s="60">
        <f ca="1">EFEITO!$J$848*EFEITO!$Y$848</f>
        <v>894839.02533692727</v>
      </c>
      <c r="K848" s="60">
        <f>EFEITO!$L$848*EFEITO!$Z$848</f>
        <v>0</v>
      </c>
      <c r="L848" s="60">
        <f>EFEITO!$N$848*EFEITO!$AA$848</f>
        <v>0</v>
      </c>
      <c r="M848" s="60">
        <f ca="1">$J$848-EFEITO!$K$848*EFEITO!$Y$848</f>
        <v>0</v>
      </c>
      <c r="N848" s="60">
        <f>$K$848-EFEITO!$M$848*EFEITO!$Z$848</f>
        <v>0</v>
      </c>
      <c r="O848" s="60">
        <f>$L$848-EFEITO!$O$848*EFEITO!$AA$848</f>
        <v>0</v>
      </c>
      <c r="P848" s="18"/>
      <c r="Q848" s="18"/>
      <c r="R848" s="18"/>
      <c r="S848" s="18"/>
      <c r="T848" s="18"/>
      <c r="U848" s="18"/>
      <c r="V848" s="18"/>
      <c r="W848" s="18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1.25" customHeight="1" x14ac:dyDescent="0.2">
      <c r="A849" s="51" t="s">
        <v>28</v>
      </c>
      <c r="B849" s="51" t="s">
        <v>41</v>
      </c>
      <c r="C849" s="51" t="s">
        <v>42</v>
      </c>
      <c r="D849" s="51" t="s">
        <v>38</v>
      </c>
      <c r="E849" s="51" t="s">
        <v>25</v>
      </c>
      <c r="F849" s="51" t="s">
        <v>25</v>
      </c>
      <c r="G849" s="51" t="s">
        <v>25</v>
      </c>
      <c r="H849" s="51" t="s">
        <v>25</v>
      </c>
      <c r="I849" s="59">
        <v>44440</v>
      </c>
      <c r="J849" s="60">
        <f ca="1">EFEITO!$J$849*EFEITO!$Y$849</f>
        <v>46200.855661214591</v>
      </c>
      <c r="K849" s="60">
        <f>EFEITO!$L$849*EFEITO!$Z$849</f>
        <v>0</v>
      </c>
      <c r="L849" s="60">
        <f>EFEITO!$N$849*EFEITO!$AA$849</f>
        <v>0</v>
      </c>
      <c r="M849" s="60">
        <f ca="1">$J$849-EFEITO!$K$849*EFEITO!$Y$849</f>
        <v>0</v>
      </c>
      <c r="N849" s="60">
        <f>$K$849-EFEITO!$M$849*EFEITO!$Z$849</f>
        <v>0</v>
      </c>
      <c r="O849" s="60">
        <f>$L$849-EFEITO!$O$849*EFEITO!$AA$849</f>
        <v>0</v>
      </c>
      <c r="P849" s="18"/>
      <c r="Q849" s="18"/>
      <c r="R849" s="18"/>
      <c r="S849" s="18"/>
      <c r="T849" s="18"/>
      <c r="U849" s="18"/>
      <c r="V849" s="18"/>
      <c r="W849" s="18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1.25" customHeight="1" x14ac:dyDescent="0.2">
      <c r="A850" s="51" t="s">
        <v>21</v>
      </c>
      <c r="B850" s="51" t="s">
        <v>41</v>
      </c>
      <c r="C850" s="51" t="s">
        <v>42</v>
      </c>
      <c r="D850" s="51" t="s">
        <v>38</v>
      </c>
      <c r="E850" s="51" t="s">
        <v>25</v>
      </c>
      <c r="F850" s="51" t="s">
        <v>25</v>
      </c>
      <c r="G850" s="51" t="s">
        <v>25</v>
      </c>
      <c r="H850" s="51" t="s">
        <v>25</v>
      </c>
      <c r="I850" s="59">
        <v>44470</v>
      </c>
      <c r="J850" s="60">
        <f ca="1">EFEITO!$J$850*EFEITO!$Y$850</f>
        <v>892604.78706660948</v>
      </c>
      <c r="K850" s="60">
        <f>EFEITO!$L$850*EFEITO!$Z$850</f>
        <v>0</v>
      </c>
      <c r="L850" s="60">
        <f>EFEITO!$N$850*EFEITO!$AA$850</f>
        <v>0</v>
      </c>
      <c r="M850" s="60">
        <f ca="1">$J$850-EFEITO!$K$850*EFEITO!$Y$850</f>
        <v>0</v>
      </c>
      <c r="N850" s="60">
        <f>$K$850-EFEITO!$M$850*EFEITO!$Z$850</f>
        <v>0</v>
      </c>
      <c r="O850" s="60">
        <f>$L$850-EFEITO!$O$850*EFEITO!$AA$850</f>
        <v>0</v>
      </c>
      <c r="P850" s="18"/>
      <c r="Q850" s="18"/>
      <c r="R850" s="18"/>
      <c r="S850" s="18"/>
      <c r="T850" s="18"/>
      <c r="U850" s="18"/>
      <c r="V850" s="18"/>
      <c r="W850" s="18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1.25" customHeight="1" x14ac:dyDescent="0.2">
      <c r="A851" s="51" t="s">
        <v>28</v>
      </c>
      <c r="B851" s="51" t="s">
        <v>41</v>
      </c>
      <c r="C851" s="51" t="s">
        <v>42</v>
      </c>
      <c r="D851" s="51" t="s">
        <v>38</v>
      </c>
      <c r="E851" s="51" t="s">
        <v>25</v>
      </c>
      <c r="F851" s="51" t="s">
        <v>25</v>
      </c>
      <c r="G851" s="51" t="s">
        <v>25</v>
      </c>
      <c r="H851" s="51" t="s">
        <v>25</v>
      </c>
      <c r="I851" s="59">
        <v>44470</v>
      </c>
      <c r="J851" s="60">
        <f ca="1">EFEITO!$J$851*EFEITO!$Y$851</f>
        <v>48009.524737186148</v>
      </c>
      <c r="K851" s="60">
        <f>EFEITO!$L$851*EFEITO!$Z$851</f>
        <v>0</v>
      </c>
      <c r="L851" s="60">
        <f>EFEITO!$N$851*EFEITO!$AA$851</f>
        <v>0</v>
      </c>
      <c r="M851" s="60">
        <f ca="1">$J$851-EFEITO!$K$851*EFEITO!$Y$851</f>
        <v>0</v>
      </c>
      <c r="N851" s="60">
        <f>$K$851-EFEITO!$M$851*EFEITO!$Z$851</f>
        <v>0</v>
      </c>
      <c r="O851" s="60">
        <f>$L$851-EFEITO!$O$851*EFEITO!$AA$851</f>
        <v>0</v>
      </c>
      <c r="P851" s="18"/>
      <c r="Q851" s="18"/>
      <c r="R851" s="18"/>
      <c r="S851" s="18"/>
      <c r="T851" s="18"/>
      <c r="U851" s="18"/>
      <c r="V851" s="18"/>
      <c r="W851" s="18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1.25" customHeight="1" x14ac:dyDescent="0.2">
      <c r="A852" s="51" t="s">
        <v>21</v>
      </c>
      <c r="B852" s="51" t="s">
        <v>41</v>
      </c>
      <c r="C852" s="51" t="s">
        <v>42</v>
      </c>
      <c r="D852" s="51" t="s">
        <v>38</v>
      </c>
      <c r="E852" s="51" t="s">
        <v>25</v>
      </c>
      <c r="F852" s="51" t="s">
        <v>25</v>
      </c>
      <c r="G852" s="51" t="s">
        <v>25</v>
      </c>
      <c r="H852" s="51" t="s">
        <v>25</v>
      </c>
      <c r="I852" s="59">
        <v>44501</v>
      </c>
      <c r="J852" s="60">
        <f ca="1">EFEITO!$J$852*EFEITO!$Y$852</f>
        <v>898482.96156351699</v>
      </c>
      <c r="K852" s="60">
        <f>EFEITO!$L$852*EFEITO!$Z$852</f>
        <v>0</v>
      </c>
      <c r="L852" s="60">
        <f>EFEITO!$N$852*EFEITO!$AA$852</f>
        <v>0</v>
      </c>
      <c r="M852" s="60">
        <f ca="1">$J$852-EFEITO!$K$852*EFEITO!$Y$852</f>
        <v>0</v>
      </c>
      <c r="N852" s="60">
        <f>$K$852-EFEITO!$M$852*EFEITO!$Z$852</f>
        <v>0</v>
      </c>
      <c r="O852" s="60">
        <f>$L$852-EFEITO!$O$852*EFEITO!$AA$852</f>
        <v>0</v>
      </c>
      <c r="P852" s="18"/>
      <c r="Q852" s="18"/>
      <c r="R852" s="18"/>
      <c r="S852" s="18"/>
      <c r="T852" s="18"/>
      <c r="U852" s="18"/>
      <c r="V852" s="18"/>
      <c r="W852" s="18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1.25" customHeight="1" x14ac:dyDescent="0.2">
      <c r="A853" s="51" t="s">
        <v>28</v>
      </c>
      <c r="B853" s="51" t="s">
        <v>41</v>
      </c>
      <c r="C853" s="51" t="s">
        <v>42</v>
      </c>
      <c r="D853" s="51" t="s">
        <v>38</v>
      </c>
      <c r="E853" s="51" t="s">
        <v>25</v>
      </c>
      <c r="F853" s="51" t="s">
        <v>25</v>
      </c>
      <c r="G853" s="51" t="s">
        <v>25</v>
      </c>
      <c r="H853" s="51" t="s">
        <v>25</v>
      </c>
      <c r="I853" s="59">
        <v>44501</v>
      </c>
      <c r="J853" s="60">
        <f ca="1">EFEITO!$J$853*EFEITO!$Y$853</f>
        <v>47903.13243859959</v>
      </c>
      <c r="K853" s="60">
        <f>EFEITO!$L$853*EFEITO!$Z$853</f>
        <v>0</v>
      </c>
      <c r="L853" s="60">
        <f>EFEITO!$N$853*EFEITO!$AA$853</f>
        <v>0</v>
      </c>
      <c r="M853" s="60">
        <f ca="1">$J$853-EFEITO!$K$853*EFEITO!$Y$853</f>
        <v>0</v>
      </c>
      <c r="N853" s="60">
        <f>$K$853-EFEITO!$M$853*EFEITO!$Z$853</f>
        <v>0</v>
      </c>
      <c r="O853" s="60">
        <f>$L$853-EFEITO!$O$853*EFEITO!$AA$853</f>
        <v>0</v>
      </c>
      <c r="P853" s="18"/>
      <c r="Q853" s="18"/>
      <c r="R853" s="18"/>
      <c r="S853" s="18"/>
      <c r="T853" s="18"/>
      <c r="U853" s="18"/>
      <c r="V853" s="18"/>
      <c r="W853" s="18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1.25" customHeight="1" x14ac:dyDescent="0.2">
      <c r="A854" s="51" t="s">
        <v>21</v>
      </c>
      <c r="B854" s="51" t="s">
        <v>41</v>
      </c>
      <c r="C854" s="51" t="s">
        <v>42</v>
      </c>
      <c r="D854" s="51" t="s">
        <v>38</v>
      </c>
      <c r="E854" s="51" t="s">
        <v>25</v>
      </c>
      <c r="F854" s="51" t="s">
        <v>25</v>
      </c>
      <c r="G854" s="51" t="s">
        <v>25</v>
      </c>
      <c r="H854" s="51" t="s">
        <v>25</v>
      </c>
      <c r="I854" s="59">
        <v>44531</v>
      </c>
      <c r="J854" s="60">
        <f ca="1">EFEITO!$J$854*EFEITO!$Y$854</f>
        <v>884705.15889655717</v>
      </c>
      <c r="K854" s="60">
        <f>EFEITO!$L$854*EFEITO!$Z$854</f>
        <v>0</v>
      </c>
      <c r="L854" s="60">
        <f>EFEITO!$N$854*EFEITO!$AA$854</f>
        <v>0</v>
      </c>
      <c r="M854" s="60">
        <f ca="1">$J$854-EFEITO!$K$854*EFEITO!$Y$854</f>
        <v>0</v>
      </c>
      <c r="N854" s="60">
        <f>$K$854-EFEITO!$M$854*EFEITO!$Z$854</f>
        <v>0</v>
      </c>
      <c r="O854" s="60">
        <f>$L$854-EFEITO!$O$854*EFEITO!$AA$854</f>
        <v>0</v>
      </c>
      <c r="P854" s="18"/>
      <c r="Q854" s="18"/>
      <c r="R854" s="18"/>
      <c r="S854" s="18"/>
      <c r="T854" s="18"/>
      <c r="U854" s="18"/>
      <c r="V854" s="18"/>
      <c r="W854" s="18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1.25" customHeight="1" x14ac:dyDescent="0.2">
      <c r="A855" s="51" t="s">
        <v>28</v>
      </c>
      <c r="B855" s="51" t="s">
        <v>41</v>
      </c>
      <c r="C855" s="51" t="s">
        <v>42</v>
      </c>
      <c r="D855" s="51" t="s">
        <v>38</v>
      </c>
      <c r="E855" s="51" t="s">
        <v>25</v>
      </c>
      <c r="F855" s="51" t="s">
        <v>25</v>
      </c>
      <c r="G855" s="51" t="s">
        <v>25</v>
      </c>
      <c r="H855" s="51" t="s">
        <v>25</v>
      </c>
      <c r="I855" s="59">
        <v>44531</v>
      </c>
      <c r="J855" s="60">
        <f ca="1">EFEITO!$J$855*EFEITO!$Y$855</f>
        <v>49392.62461881146</v>
      </c>
      <c r="K855" s="60">
        <f>EFEITO!$L$855*EFEITO!$Z$855</f>
        <v>0</v>
      </c>
      <c r="L855" s="60">
        <f>EFEITO!$N$855*EFEITO!$AA$855</f>
        <v>0</v>
      </c>
      <c r="M855" s="60">
        <f ca="1">$J$855-EFEITO!$K$855*EFEITO!$Y$855</f>
        <v>0</v>
      </c>
      <c r="N855" s="60">
        <f>$K$855-EFEITO!$M$855*EFEITO!$Z$855</f>
        <v>0</v>
      </c>
      <c r="O855" s="60">
        <f>$L$855-EFEITO!$O$855*EFEITO!$AA$855</f>
        <v>0</v>
      </c>
      <c r="P855" s="18"/>
      <c r="Q855" s="18"/>
      <c r="R855" s="18"/>
      <c r="S855" s="18"/>
      <c r="T855" s="18"/>
      <c r="U855" s="18"/>
      <c r="V855" s="18"/>
      <c r="W855" s="18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1.25" customHeight="1" x14ac:dyDescent="0.2">
      <c r="A856" s="51" t="s">
        <v>21</v>
      </c>
      <c r="B856" s="51" t="s">
        <v>41</v>
      </c>
      <c r="C856" s="51" t="s">
        <v>42</v>
      </c>
      <c r="D856" s="51" t="s">
        <v>38</v>
      </c>
      <c r="E856" s="51" t="s">
        <v>25</v>
      </c>
      <c r="F856" s="51" t="s">
        <v>25</v>
      </c>
      <c r="G856" s="51" t="s">
        <v>25</v>
      </c>
      <c r="H856" s="51" t="s">
        <v>25</v>
      </c>
      <c r="I856" s="59">
        <v>44562</v>
      </c>
      <c r="J856" s="60">
        <f ca="1">EFEITO!$J$856*EFEITO!$Y$856</f>
        <v>880848.43807279435</v>
      </c>
      <c r="K856" s="60">
        <f>EFEITO!$L$856*EFEITO!$Z$856</f>
        <v>0</v>
      </c>
      <c r="L856" s="60">
        <f>EFEITO!$N$856*EFEITO!$AA$856</f>
        <v>0</v>
      </c>
      <c r="M856" s="60">
        <f ca="1">$J$856-EFEITO!$K$856*EFEITO!$Y$856</f>
        <v>0</v>
      </c>
      <c r="N856" s="60">
        <f>$K$856-EFEITO!$M$856*EFEITO!$Z$856</f>
        <v>0</v>
      </c>
      <c r="O856" s="60">
        <f>$L$856-EFEITO!$O$856*EFEITO!$AA$856</f>
        <v>0</v>
      </c>
      <c r="P856" s="18"/>
      <c r="Q856" s="18"/>
      <c r="R856" s="18"/>
      <c r="S856" s="18"/>
      <c r="T856" s="18"/>
      <c r="U856" s="18"/>
      <c r="V856" s="18"/>
      <c r="W856" s="18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1.25" customHeight="1" x14ac:dyDescent="0.2">
      <c r="A857" s="51" t="s">
        <v>28</v>
      </c>
      <c r="B857" s="51" t="s">
        <v>41</v>
      </c>
      <c r="C857" s="51" t="s">
        <v>42</v>
      </c>
      <c r="D857" s="51" t="s">
        <v>38</v>
      </c>
      <c r="E857" s="51" t="s">
        <v>25</v>
      </c>
      <c r="F857" s="51" t="s">
        <v>25</v>
      </c>
      <c r="G857" s="51" t="s">
        <v>25</v>
      </c>
      <c r="H857" s="51" t="s">
        <v>25</v>
      </c>
      <c r="I857" s="59">
        <v>44562</v>
      </c>
      <c r="J857" s="60">
        <f ca="1">EFEITO!$J$857*EFEITO!$Y$857</f>
        <v>46839.209452733965</v>
      </c>
      <c r="K857" s="60">
        <f>EFEITO!$L$857*EFEITO!$Z$857</f>
        <v>0</v>
      </c>
      <c r="L857" s="60">
        <f>EFEITO!$N$857*EFEITO!$AA$857</f>
        <v>0</v>
      </c>
      <c r="M857" s="60">
        <f ca="1">$J$857-EFEITO!$K$857*EFEITO!$Y$857</f>
        <v>0</v>
      </c>
      <c r="N857" s="60">
        <f>$K$857-EFEITO!$M$857*EFEITO!$Z$857</f>
        <v>0</v>
      </c>
      <c r="O857" s="60">
        <f>$L$857-EFEITO!$O$857*EFEITO!$AA$857</f>
        <v>0</v>
      </c>
      <c r="P857" s="18"/>
      <c r="Q857" s="18"/>
      <c r="R857" s="18"/>
      <c r="S857" s="18"/>
      <c r="T857" s="18"/>
      <c r="U857" s="18"/>
      <c r="V857" s="18"/>
      <c r="W857" s="18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1.25" customHeight="1" x14ac:dyDescent="0.2">
      <c r="A858" s="51" t="s">
        <v>21</v>
      </c>
      <c r="B858" s="51" t="s">
        <v>41</v>
      </c>
      <c r="C858" s="51" t="s">
        <v>42</v>
      </c>
      <c r="D858" s="51" t="s">
        <v>38</v>
      </c>
      <c r="E858" s="51" t="s">
        <v>25</v>
      </c>
      <c r="F858" s="51" t="s">
        <v>25</v>
      </c>
      <c r="G858" s="51" t="s">
        <v>25</v>
      </c>
      <c r="H858" s="51" t="s">
        <v>25</v>
      </c>
      <c r="I858" s="59">
        <v>44593</v>
      </c>
      <c r="J858" s="60">
        <f ca="1">EFEITO!$J$858*EFEITO!$Y$858</f>
        <v>882630.50907411927</v>
      </c>
      <c r="K858" s="60">
        <f>EFEITO!$L$858*EFEITO!$Z$858</f>
        <v>0</v>
      </c>
      <c r="L858" s="60">
        <f>EFEITO!$N$858*EFEITO!$AA$858</f>
        <v>0</v>
      </c>
      <c r="M858" s="60">
        <f ca="1">$J$858-EFEITO!$K$858*EFEITO!$Y$858</f>
        <v>0</v>
      </c>
      <c r="N858" s="60">
        <f>$K$858-EFEITO!$M$858*EFEITO!$Z$858</f>
        <v>0</v>
      </c>
      <c r="O858" s="60">
        <f>$L$858-EFEITO!$O$858*EFEITO!$AA$858</f>
        <v>0</v>
      </c>
      <c r="P858" s="18"/>
      <c r="Q858" s="18"/>
      <c r="R858" s="18"/>
      <c r="S858" s="18"/>
      <c r="T858" s="18"/>
      <c r="U858" s="18"/>
      <c r="V858" s="18"/>
      <c r="W858" s="18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1.25" customHeight="1" x14ac:dyDescent="0.2">
      <c r="A859" s="51" t="s">
        <v>27</v>
      </c>
      <c r="B859" s="51" t="s">
        <v>41</v>
      </c>
      <c r="C859" s="51" t="s">
        <v>42</v>
      </c>
      <c r="D859" s="51" t="s">
        <v>38</v>
      </c>
      <c r="E859" s="51" t="s">
        <v>25</v>
      </c>
      <c r="F859" s="51" t="s">
        <v>25</v>
      </c>
      <c r="G859" s="51" t="s">
        <v>25</v>
      </c>
      <c r="H859" s="51" t="s">
        <v>25</v>
      </c>
      <c r="I859" s="59">
        <v>44593</v>
      </c>
      <c r="J859" s="60">
        <f ca="1">EFEITO!$J$859*EFEITO!$Y$859</f>
        <v>-11437.172098055426</v>
      </c>
      <c r="K859" s="60">
        <f>EFEITO!$L$859*EFEITO!$Z$859</f>
        <v>0</v>
      </c>
      <c r="L859" s="60">
        <f>EFEITO!$N$859*EFEITO!$AA$859</f>
        <v>0</v>
      </c>
      <c r="M859" s="60">
        <f ca="1">$J$859-EFEITO!$K$859*EFEITO!$Y$859</f>
        <v>0</v>
      </c>
      <c r="N859" s="60">
        <f>$K$859-EFEITO!$M$859*EFEITO!$Z$859</f>
        <v>0</v>
      </c>
      <c r="O859" s="60">
        <f>$L$859-EFEITO!$O$859*EFEITO!$AA$859</f>
        <v>0</v>
      </c>
      <c r="P859" s="18"/>
      <c r="Q859" s="18"/>
      <c r="R859" s="18"/>
      <c r="S859" s="18"/>
      <c r="T859" s="18"/>
      <c r="U859" s="18"/>
      <c r="V859" s="18"/>
      <c r="W859" s="18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1.25" customHeight="1" x14ac:dyDescent="0.2">
      <c r="A860" s="51" t="s">
        <v>28</v>
      </c>
      <c r="B860" s="51" t="s">
        <v>41</v>
      </c>
      <c r="C860" s="51" t="s">
        <v>42</v>
      </c>
      <c r="D860" s="51" t="s">
        <v>38</v>
      </c>
      <c r="E860" s="51" t="s">
        <v>25</v>
      </c>
      <c r="F860" s="51" t="s">
        <v>25</v>
      </c>
      <c r="G860" s="51" t="s">
        <v>25</v>
      </c>
      <c r="H860" s="51" t="s">
        <v>25</v>
      </c>
      <c r="I860" s="59">
        <v>44593</v>
      </c>
      <c r="J860" s="60">
        <f ca="1">EFEITO!$J$860*EFEITO!$Y$860</f>
        <v>47397.769020313419</v>
      </c>
      <c r="K860" s="60">
        <f>EFEITO!$L$860*EFEITO!$Z$860</f>
        <v>0</v>
      </c>
      <c r="L860" s="60">
        <f>EFEITO!$N$860*EFEITO!$AA$860</f>
        <v>0</v>
      </c>
      <c r="M860" s="60">
        <f ca="1">$J$860-EFEITO!$K$860*EFEITO!$Y$860</f>
        <v>0</v>
      </c>
      <c r="N860" s="60">
        <f>$K$860-EFEITO!$M$860*EFEITO!$Z$860</f>
        <v>0</v>
      </c>
      <c r="O860" s="60">
        <f>$L$860-EFEITO!$O$860*EFEITO!$AA$860</f>
        <v>0</v>
      </c>
      <c r="P860" s="18"/>
      <c r="Q860" s="18"/>
      <c r="R860" s="18"/>
      <c r="S860" s="18"/>
      <c r="T860" s="18"/>
      <c r="U860" s="18"/>
      <c r="V860" s="18"/>
      <c r="W860" s="18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1.25" customHeight="1" x14ac:dyDescent="0.2">
      <c r="A861" s="51" t="s">
        <v>56</v>
      </c>
      <c r="B861" s="51" t="s">
        <v>41</v>
      </c>
      <c r="C861" s="51" t="s">
        <v>42</v>
      </c>
      <c r="D861" s="51" t="s">
        <v>38</v>
      </c>
      <c r="E861" s="51" t="s">
        <v>25</v>
      </c>
      <c r="F861" s="51" t="s">
        <v>25</v>
      </c>
      <c r="G861" s="51" t="s">
        <v>25</v>
      </c>
      <c r="H861" s="51" t="s">
        <v>25</v>
      </c>
      <c r="I861" s="59">
        <v>44621</v>
      </c>
      <c r="J861" s="60">
        <f ca="1">EFEITO!$J$861*EFEITO!$Y$861</f>
        <v>882630.50907411927</v>
      </c>
      <c r="K861" s="60">
        <f>EFEITO!$L$861*EFEITO!$Z$861</f>
        <v>0</v>
      </c>
      <c r="L861" s="60">
        <f>EFEITO!$N$861*EFEITO!$AA$861</f>
        <v>0</v>
      </c>
      <c r="M861" s="60">
        <f ca="1">$J$861-EFEITO!$K$861*EFEITO!$Y$861</f>
        <v>0</v>
      </c>
      <c r="N861" s="60">
        <f>$K$861-EFEITO!$M$861*EFEITO!$Z$861</f>
        <v>0</v>
      </c>
      <c r="O861" s="60">
        <f>$L$861-EFEITO!$O$861*EFEITO!$AA$861</f>
        <v>0</v>
      </c>
      <c r="P861" s="18"/>
      <c r="Q861" s="18"/>
      <c r="R861" s="18"/>
      <c r="S861" s="18"/>
      <c r="T861" s="18"/>
      <c r="U861" s="18"/>
      <c r="V861" s="18"/>
      <c r="W861" s="18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1.25" customHeight="1" x14ac:dyDescent="0.2">
      <c r="A862" s="51" t="s">
        <v>56</v>
      </c>
      <c r="B862" s="51" t="s">
        <v>41</v>
      </c>
      <c r="C862" s="51" t="s">
        <v>42</v>
      </c>
      <c r="D862" s="51" t="s">
        <v>38</v>
      </c>
      <c r="E862" s="51" t="s">
        <v>25</v>
      </c>
      <c r="F862" s="51" t="s">
        <v>25</v>
      </c>
      <c r="G862" s="51" t="s">
        <v>25</v>
      </c>
      <c r="H862" s="51" t="s">
        <v>25</v>
      </c>
      <c r="I862" s="59">
        <v>44621</v>
      </c>
      <c r="J862" s="60">
        <f ca="1">EFEITO!$J$862*EFEITO!$Y$862</f>
        <v>-11437.172098055426</v>
      </c>
      <c r="K862" s="60">
        <f>EFEITO!$L$862*EFEITO!$Z$862</f>
        <v>0</v>
      </c>
      <c r="L862" s="60">
        <f>EFEITO!$N$862*EFEITO!$AA$862</f>
        <v>0</v>
      </c>
      <c r="M862" s="60">
        <f ca="1">$J$862-EFEITO!$K$862*EFEITO!$Y$862</f>
        <v>0</v>
      </c>
      <c r="N862" s="60">
        <f>$K$862-EFEITO!$M$862*EFEITO!$Z$862</f>
        <v>0</v>
      </c>
      <c r="O862" s="60">
        <f>$L$862-EFEITO!$O$862*EFEITO!$AA$862</f>
        <v>0</v>
      </c>
      <c r="P862" s="18"/>
      <c r="Q862" s="18"/>
      <c r="R862" s="18"/>
      <c r="S862" s="18"/>
      <c r="T862" s="18"/>
      <c r="U862" s="18"/>
      <c r="V862" s="18"/>
      <c r="W862" s="18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1.25" customHeight="1" x14ac:dyDescent="0.2">
      <c r="A863" s="51" t="s">
        <v>56</v>
      </c>
      <c r="B863" s="51" t="s">
        <v>41</v>
      </c>
      <c r="C863" s="51" t="s">
        <v>42</v>
      </c>
      <c r="D863" s="51" t="s">
        <v>38</v>
      </c>
      <c r="E863" s="51" t="s">
        <v>25</v>
      </c>
      <c r="F863" s="51" t="s">
        <v>25</v>
      </c>
      <c r="G863" s="51" t="s">
        <v>25</v>
      </c>
      <c r="H863" s="51" t="s">
        <v>25</v>
      </c>
      <c r="I863" s="59">
        <v>44621</v>
      </c>
      <c r="J863" s="60">
        <f ca="1">EFEITO!$J$863*EFEITO!$Y$863</f>
        <v>47397.769020313419</v>
      </c>
      <c r="K863" s="60">
        <f>EFEITO!$L$863*EFEITO!$Z$863</f>
        <v>0</v>
      </c>
      <c r="L863" s="60">
        <f>EFEITO!$N$863*EFEITO!$AA$863</f>
        <v>0</v>
      </c>
      <c r="M863" s="60">
        <f ca="1">$J$863-EFEITO!$K$863*EFEITO!$Y$863</f>
        <v>0</v>
      </c>
      <c r="N863" s="60">
        <f>$K$863-EFEITO!$M$863*EFEITO!$Z$863</f>
        <v>0</v>
      </c>
      <c r="O863" s="60">
        <f>$L$863-EFEITO!$O$863*EFEITO!$AA$863</f>
        <v>0</v>
      </c>
      <c r="P863" s="18"/>
      <c r="Q863" s="18"/>
      <c r="R863" s="18"/>
      <c r="S863" s="18"/>
      <c r="T863" s="18"/>
      <c r="U863" s="18"/>
      <c r="V863" s="18"/>
      <c r="W863" s="18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1.25" customHeight="1" x14ac:dyDescent="0.2">
      <c r="A864" s="51" t="s">
        <v>21</v>
      </c>
      <c r="B864" s="51" t="s">
        <v>41</v>
      </c>
      <c r="C864" s="51" t="s">
        <v>42</v>
      </c>
      <c r="D864" s="51" t="s">
        <v>38</v>
      </c>
      <c r="E864" s="51" t="s">
        <v>25</v>
      </c>
      <c r="F864" s="51" t="s">
        <v>25</v>
      </c>
      <c r="G864" s="51" t="s">
        <v>25</v>
      </c>
      <c r="H864" s="51" t="s">
        <v>34</v>
      </c>
      <c r="I864" s="59">
        <v>44287</v>
      </c>
      <c r="J864" s="60">
        <f>EFEITO!$J$864*EFEITO!$Y$864</f>
        <v>0</v>
      </c>
      <c r="K864" s="60">
        <f ca="1">EFEITO!$L$864*EFEITO!$Z$864</f>
        <v>710289.19839340018</v>
      </c>
      <c r="L864" s="60">
        <f>EFEITO!$N$864*EFEITO!$AA$864</f>
        <v>139728.28035813509</v>
      </c>
      <c r="M864" s="60">
        <f>$J$864-EFEITO!$K$864*EFEITO!$Y$864</f>
        <v>0</v>
      </c>
      <c r="N864" s="60">
        <f ca="1">$K$864-EFEITO!$M$864*EFEITO!$Z$864</f>
        <v>0</v>
      </c>
      <c r="O864" s="60">
        <f>$L$864-EFEITO!$O$864*EFEITO!$AA$864</f>
        <v>0</v>
      </c>
      <c r="P864" s="18"/>
      <c r="Q864" s="18"/>
      <c r="R864" s="18"/>
      <c r="S864" s="18"/>
      <c r="T864" s="18"/>
      <c r="U864" s="18"/>
      <c r="V864" s="18"/>
      <c r="W864" s="18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1.25" customHeight="1" x14ac:dyDescent="0.2">
      <c r="A865" s="51" t="s">
        <v>28</v>
      </c>
      <c r="B865" s="51" t="s">
        <v>41</v>
      </c>
      <c r="C865" s="51" t="s">
        <v>42</v>
      </c>
      <c r="D865" s="51" t="s">
        <v>38</v>
      </c>
      <c r="E865" s="51" t="s">
        <v>25</v>
      </c>
      <c r="F865" s="51" t="s">
        <v>25</v>
      </c>
      <c r="G865" s="51" t="s">
        <v>25</v>
      </c>
      <c r="H865" s="51" t="s">
        <v>34</v>
      </c>
      <c r="I865" s="59">
        <v>44287</v>
      </c>
      <c r="J865" s="60">
        <f>EFEITO!$J$865*EFEITO!$Y$865</f>
        <v>0</v>
      </c>
      <c r="K865" s="60">
        <f ca="1">EFEITO!$L$865*EFEITO!$Z$865</f>
        <v>1543.8272741751134</v>
      </c>
      <c r="L865" s="60">
        <f>EFEITO!$N$865*EFEITO!$AA$865</f>
        <v>303.70211271465689</v>
      </c>
      <c r="M865" s="60">
        <f>$J$865-EFEITO!$K$865*EFEITO!$Y$865</f>
        <v>0</v>
      </c>
      <c r="N865" s="60">
        <f ca="1">$K$865-EFEITO!$M$865*EFEITO!$Z$865</f>
        <v>0</v>
      </c>
      <c r="O865" s="60">
        <f>$L$865-EFEITO!$O$865*EFEITO!$AA$865</f>
        <v>0</v>
      </c>
      <c r="P865" s="18"/>
      <c r="Q865" s="18"/>
      <c r="R865" s="18"/>
      <c r="S865" s="18"/>
      <c r="T865" s="18"/>
      <c r="U865" s="18"/>
      <c r="V865" s="18"/>
      <c r="W865" s="18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1.25" customHeight="1" x14ac:dyDescent="0.2">
      <c r="A866" s="51" t="s">
        <v>21</v>
      </c>
      <c r="B866" s="51" t="s">
        <v>41</v>
      </c>
      <c r="C866" s="51" t="s">
        <v>42</v>
      </c>
      <c r="D866" s="51" t="s">
        <v>38</v>
      </c>
      <c r="E866" s="51" t="s">
        <v>25</v>
      </c>
      <c r="F866" s="51" t="s">
        <v>25</v>
      </c>
      <c r="G866" s="51" t="s">
        <v>25</v>
      </c>
      <c r="H866" s="51" t="s">
        <v>34</v>
      </c>
      <c r="I866" s="59">
        <v>44317</v>
      </c>
      <c r="J866" s="60">
        <f>EFEITO!$J$866*EFEITO!$Y$866</f>
        <v>0</v>
      </c>
      <c r="K866" s="60">
        <f ca="1">EFEITO!$L$866*EFEITO!$Z$866</f>
        <v>732926.48474579875</v>
      </c>
      <c r="L866" s="60">
        <f>EFEITO!$N$866*EFEITO!$AA$866</f>
        <v>144181.49336088082</v>
      </c>
      <c r="M866" s="60">
        <f>$J$866-EFEITO!$K$866*EFEITO!$Y$866</f>
        <v>0</v>
      </c>
      <c r="N866" s="60">
        <f ca="1">$K$866-EFEITO!$M$866*EFEITO!$Z$866</f>
        <v>0</v>
      </c>
      <c r="O866" s="60">
        <f>$L$866-EFEITO!$O$866*EFEITO!$AA$866</f>
        <v>0</v>
      </c>
      <c r="P866" s="18"/>
      <c r="Q866" s="18"/>
      <c r="R866" s="18"/>
      <c r="S866" s="18"/>
      <c r="T866" s="18"/>
      <c r="U866" s="18"/>
      <c r="V866" s="18"/>
      <c r="W866" s="18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1.25" customHeight="1" x14ac:dyDescent="0.2">
      <c r="A867" s="51" t="s">
        <v>28</v>
      </c>
      <c r="B867" s="51" t="s">
        <v>41</v>
      </c>
      <c r="C867" s="51" t="s">
        <v>42</v>
      </c>
      <c r="D867" s="51" t="s">
        <v>38</v>
      </c>
      <c r="E867" s="51" t="s">
        <v>25</v>
      </c>
      <c r="F867" s="51" t="s">
        <v>25</v>
      </c>
      <c r="G867" s="51" t="s">
        <v>25</v>
      </c>
      <c r="H867" s="51" t="s">
        <v>34</v>
      </c>
      <c r="I867" s="59">
        <v>44317</v>
      </c>
      <c r="J867" s="60">
        <f>EFEITO!$J$867*EFEITO!$Y$867</f>
        <v>0</v>
      </c>
      <c r="K867" s="60">
        <f ca="1">EFEITO!$L$867*EFEITO!$Z$867</f>
        <v>4374.1772768294886</v>
      </c>
      <c r="L867" s="60">
        <f>EFEITO!$N$867*EFEITO!$AA$867</f>
        <v>860.48931935819462</v>
      </c>
      <c r="M867" s="60">
        <f>$J$867-EFEITO!$K$867*EFEITO!$Y$867</f>
        <v>0</v>
      </c>
      <c r="N867" s="60">
        <f ca="1">$K$867-EFEITO!$M$867*EFEITO!$Z$867</f>
        <v>0</v>
      </c>
      <c r="O867" s="60">
        <f>$L$867-EFEITO!$O$867*EFEITO!$AA$867</f>
        <v>0</v>
      </c>
      <c r="P867" s="18"/>
      <c r="Q867" s="18"/>
      <c r="R867" s="18"/>
      <c r="S867" s="18"/>
      <c r="T867" s="18"/>
      <c r="U867" s="18"/>
      <c r="V867" s="18"/>
      <c r="W867" s="18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1.25" customHeight="1" x14ac:dyDescent="0.2">
      <c r="A868" s="51" t="s">
        <v>28</v>
      </c>
      <c r="B868" s="51" t="s">
        <v>41</v>
      </c>
      <c r="C868" s="51" t="s">
        <v>42</v>
      </c>
      <c r="D868" s="51" t="s">
        <v>38</v>
      </c>
      <c r="E868" s="51" t="s">
        <v>25</v>
      </c>
      <c r="F868" s="51" t="s">
        <v>25</v>
      </c>
      <c r="G868" s="51" t="s">
        <v>25</v>
      </c>
      <c r="H868" s="51" t="s">
        <v>34</v>
      </c>
      <c r="I868" s="59">
        <v>44317</v>
      </c>
      <c r="J868" s="60">
        <f>EFEITO!$J$868*EFEITO!$Y$868</f>
        <v>0</v>
      </c>
      <c r="K868" s="60">
        <f ca="1">EFEITO!$L$868*EFEITO!$Z$868</f>
        <v>-771.91363708755671</v>
      </c>
      <c r="L868" s="60">
        <f>EFEITO!$N$868*EFEITO!$AA$868</f>
        <v>-151.85105635732845</v>
      </c>
      <c r="M868" s="60">
        <f>$J$868-EFEITO!$K$868*EFEITO!$Y$868</f>
        <v>0</v>
      </c>
      <c r="N868" s="60">
        <f ca="1">$K$868-EFEITO!$M$868*EFEITO!$Z$868</f>
        <v>0</v>
      </c>
      <c r="O868" s="60">
        <f>$L$868-EFEITO!$O$868*EFEITO!$AA$868</f>
        <v>0</v>
      </c>
      <c r="P868" s="18"/>
      <c r="Q868" s="18"/>
      <c r="R868" s="18"/>
      <c r="S868" s="18"/>
      <c r="T868" s="18"/>
      <c r="U868" s="18"/>
      <c r="V868" s="18"/>
      <c r="W868" s="18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1.25" customHeight="1" x14ac:dyDescent="0.2">
      <c r="A869" s="51" t="s">
        <v>21</v>
      </c>
      <c r="B869" s="51" t="s">
        <v>41</v>
      </c>
      <c r="C869" s="51" t="s">
        <v>42</v>
      </c>
      <c r="D869" s="51" t="s">
        <v>38</v>
      </c>
      <c r="E869" s="51" t="s">
        <v>25</v>
      </c>
      <c r="F869" s="51" t="s">
        <v>25</v>
      </c>
      <c r="G869" s="51" t="s">
        <v>25</v>
      </c>
      <c r="H869" s="51" t="s">
        <v>34</v>
      </c>
      <c r="I869" s="59">
        <v>44348</v>
      </c>
      <c r="J869" s="60">
        <f>EFEITO!$J$869*EFEITO!$Y$869</f>
        <v>0</v>
      </c>
      <c r="K869" s="60">
        <f ca="1">EFEITO!$L$869*EFEITO!$Z$869</f>
        <v>677922.12443447404</v>
      </c>
      <c r="L869" s="60">
        <f>EFEITO!$N$869*EFEITO!$AA$869</f>
        <v>133361.02094501862</v>
      </c>
      <c r="M869" s="60">
        <f>$J$869-EFEITO!$K$869*EFEITO!$Y$869</f>
        <v>0</v>
      </c>
      <c r="N869" s="60">
        <f ca="1">$K$869-EFEITO!$M$869*EFEITO!$Z$869</f>
        <v>0</v>
      </c>
      <c r="O869" s="60">
        <f>$L$869-EFEITO!$O$869*EFEITO!$AA$869</f>
        <v>0</v>
      </c>
      <c r="P869" s="18"/>
      <c r="Q869" s="18"/>
      <c r="R869" s="18"/>
      <c r="S869" s="18"/>
      <c r="T869" s="18"/>
      <c r="U869" s="18"/>
      <c r="V869" s="18"/>
      <c r="W869" s="18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1.25" customHeight="1" x14ac:dyDescent="0.2">
      <c r="A870" s="51" t="s">
        <v>28</v>
      </c>
      <c r="B870" s="51" t="s">
        <v>41</v>
      </c>
      <c r="C870" s="51" t="s">
        <v>42</v>
      </c>
      <c r="D870" s="51" t="s">
        <v>38</v>
      </c>
      <c r="E870" s="51" t="s">
        <v>25</v>
      </c>
      <c r="F870" s="51" t="s">
        <v>25</v>
      </c>
      <c r="G870" s="51" t="s">
        <v>25</v>
      </c>
      <c r="H870" s="51" t="s">
        <v>34</v>
      </c>
      <c r="I870" s="59">
        <v>44348</v>
      </c>
      <c r="J870" s="60">
        <f>EFEITO!$J$870*EFEITO!$Y$870</f>
        <v>0</v>
      </c>
      <c r="K870" s="60">
        <f ca="1">EFEITO!$L$870*EFEITO!$Z$870</f>
        <v>7572.10520190651</v>
      </c>
      <c r="L870" s="60">
        <f>EFEITO!$N$870*EFEITO!$AA$870</f>
        <v>1489.5865528385555</v>
      </c>
      <c r="M870" s="60">
        <f>$J$870-EFEITO!$K$870*EFEITO!$Y$870</f>
        <v>0</v>
      </c>
      <c r="N870" s="60">
        <f ca="1">$K$870-EFEITO!$M$870*EFEITO!$Z$870</f>
        <v>0</v>
      </c>
      <c r="O870" s="60">
        <f>$L$870-EFEITO!$O$870*EFEITO!$AA$870</f>
        <v>0</v>
      </c>
      <c r="P870" s="18"/>
      <c r="Q870" s="18"/>
      <c r="R870" s="18"/>
      <c r="S870" s="18"/>
      <c r="T870" s="18"/>
      <c r="U870" s="18"/>
      <c r="V870" s="18"/>
      <c r="W870" s="18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1.25" customHeight="1" x14ac:dyDescent="0.2">
      <c r="A871" s="51" t="s">
        <v>21</v>
      </c>
      <c r="B871" s="51" t="s">
        <v>41</v>
      </c>
      <c r="C871" s="51" t="s">
        <v>42</v>
      </c>
      <c r="D871" s="51" t="s">
        <v>38</v>
      </c>
      <c r="E871" s="51" t="s">
        <v>25</v>
      </c>
      <c r="F871" s="51" t="s">
        <v>25</v>
      </c>
      <c r="G871" s="51" t="s">
        <v>25</v>
      </c>
      <c r="H871" s="51" t="s">
        <v>34</v>
      </c>
      <c r="I871" s="59">
        <v>44378</v>
      </c>
      <c r="J871" s="60">
        <f>EFEITO!$J$871*EFEITO!$Y$871</f>
        <v>0</v>
      </c>
      <c r="K871" s="60">
        <f ca="1">EFEITO!$L$871*EFEITO!$Z$871</f>
        <v>699294.9427337388</v>
      </c>
      <c r="L871" s="60">
        <f>EFEITO!$N$871*EFEITO!$AA$871</f>
        <v>137565.48745544569</v>
      </c>
      <c r="M871" s="60">
        <f>$J$871-EFEITO!$K$871*EFEITO!$Y$871</f>
        <v>0</v>
      </c>
      <c r="N871" s="60">
        <f ca="1">$K$871-EFEITO!$M$871*EFEITO!$Z$871</f>
        <v>0</v>
      </c>
      <c r="O871" s="60">
        <f>$L$871-EFEITO!$O$871*EFEITO!$AA$871</f>
        <v>0</v>
      </c>
      <c r="P871" s="18"/>
      <c r="Q871" s="18"/>
      <c r="R871" s="18"/>
      <c r="S871" s="18"/>
      <c r="T871" s="18"/>
      <c r="U871" s="18"/>
      <c r="V871" s="18"/>
      <c r="W871" s="18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1.25" customHeight="1" x14ac:dyDescent="0.2">
      <c r="A872" s="51" t="s">
        <v>28</v>
      </c>
      <c r="B872" s="51" t="s">
        <v>41</v>
      </c>
      <c r="C872" s="51" t="s">
        <v>42</v>
      </c>
      <c r="D872" s="51" t="s">
        <v>38</v>
      </c>
      <c r="E872" s="51" t="s">
        <v>25</v>
      </c>
      <c r="F872" s="51" t="s">
        <v>25</v>
      </c>
      <c r="G872" s="51" t="s">
        <v>25</v>
      </c>
      <c r="H872" s="51" t="s">
        <v>34</v>
      </c>
      <c r="I872" s="59">
        <v>44378</v>
      </c>
      <c r="J872" s="60">
        <f>EFEITO!$J$872*EFEITO!$Y$872</f>
        <v>0</v>
      </c>
      <c r="K872" s="60">
        <f ca="1">EFEITO!$L$872*EFEITO!$Z$872</f>
        <v>10571.5410488753</v>
      </c>
      <c r="L872" s="60">
        <f>EFEITO!$N$872*EFEITO!$AA$872</f>
        <v>2079.6363718270318</v>
      </c>
      <c r="M872" s="60">
        <f>$J$872-EFEITO!$K$872*EFEITO!$Y$872</f>
        <v>0</v>
      </c>
      <c r="N872" s="60">
        <f ca="1">$K$872-EFEITO!$M$872*EFEITO!$Z$872</f>
        <v>0</v>
      </c>
      <c r="O872" s="60">
        <f>$L$872-EFEITO!$O$872*EFEITO!$AA$872</f>
        <v>0</v>
      </c>
      <c r="P872" s="18"/>
      <c r="Q872" s="18"/>
      <c r="R872" s="18"/>
      <c r="S872" s="18"/>
      <c r="T872" s="18"/>
      <c r="U872" s="18"/>
      <c r="V872" s="18"/>
      <c r="W872" s="18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1.25" customHeight="1" x14ac:dyDescent="0.2">
      <c r="A873" s="51" t="s">
        <v>21</v>
      </c>
      <c r="B873" s="51" t="s">
        <v>41</v>
      </c>
      <c r="C873" s="51" t="s">
        <v>42</v>
      </c>
      <c r="D873" s="51" t="s">
        <v>38</v>
      </c>
      <c r="E873" s="51" t="s">
        <v>25</v>
      </c>
      <c r="F873" s="51" t="s">
        <v>25</v>
      </c>
      <c r="G873" s="51" t="s">
        <v>25</v>
      </c>
      <c r="H873" s="51" t="s">
        <v>34</v>
      </c>
      <c r="I873" s="59">
        <v>44409</v>
      </c>
      <c r="J873" s="60">
        <f>EFEITO!$J$873*EFEITO!$Y$873</f>
        <v>0</v>
      </c>
      <c r="K873" s="60">
        <f ca="1">EFEITO!$L$873*EFEITO!$Z$873</f>
        <v>690950.92389474472</v>
      </c>
      <c r="L873" s="60">
        <f>EFEITO!$N$873*EFEITO!$AA$873</f>
        <v>135924.04984624981</v>
      </c>
      <c r="M873" s="60">
        <f>$J$873-EFEITO!$K$873*EFEITO!$Y$873</f>
        <v>0</v>
      </c>
      <c r="N873" s="60">
        <f ca="1">$K$873-EFEITO!$M$873*EFEITO!$Z$873</f>
        <v>0</v>
      </c>
      <c r="O873" s="60">
        <f>$L$873-EFEITO!$O$873*EFEITO!$AA$873</f>
        <v>0</v>
      </c>
      <c r="P873" s="18"/>
      <c r="Q873" s="18"/>
      <c r="R873" s="18"/>
      <c r="S873" s="18"/>
      <c r="T873" s="18"/>
      <c r="U873" s="18"/>
      <c r="V873" s="18"/>
      <c r="W873" s="18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1.25" customHeight="1" x14ac:dyDescent="0.2">
      <c r="A874" s="51" t="s">
        <v>28</v>
      </c>
      <c r="B874" s="51" t="s">
        <v>41</v>
      </c>
      <c r="C874" s="51" t="s">
        <v>42</v>
      </c>
      <c r="D874" s="51" t="s">
        <v>38</v>
      </c>
      <c r="E874" s="51" t="s">
        <v>25</v>
      </c>
      <c r="F874" s="51" t="s">
        <v>25</v>
      </c>
      <c r="G874" s="51" t="s">
        <v>25</v>
      </c>
      <c r="H874" s="51" t="s">
        <v>34</v>
      </c>
      <c r="I874" s="59">
        <v>44409</v>
      </c>
      <c r="J874" s="60">
        <f>EFEITO!$J$874*EFEITO!$Y$874</f>
        <v>0</v>
      </c>
      <c r="K874" s="60">
        <f ca="1">EFEITO!$L$874*EFEITO!$Z$874</f>
        <v>13122.531830488464</v>
      </c>
      <c r="L874" s="60">
        <f>EFEITO!$N$874*EFEITO!$AA$874</f>
        <v>2581.4679580745837</v>
      </c>
      <c r="M874" s="60">
        <f>$J$874-EFEITO!$K$874*EFEITO!$Y$874</f>
        <v>0</v>
      </c>
      <c r="N874" s="60">
        <f ca="1">$K$874-EFEITO!$M$874*EFEITO!$Z$874</f>
        <v>0</v>
      </c>
      <c r="O874" s="60">
        <f>$L$874-EFEITO!$O$874*EFEITO!$AA$874</f>
        <v>0</v>
      </c>
      <c r="P874" s="18"/>
      <c r="Q874" s="18"/>
      <c r="R874" s="18"/>
      <c r="S874" s="18"/>
      <c r="T874" s="18"/>
      <c r="U874" s="18"/>
      <c r="V874" s="18"/>
      <c r="W874" s="18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1.25" customHeight="1" x14ac:dyDescent="0.2">
      <c r="A875" s="51" t="s">
        <v>21</v>
      </c>
      <c r="B875" s="51" t="s">
        <v>41</v>
      </c>
      <c r="C875" s="51" t="s">
        <v>42</v>
      </c>
      <c r="D875" s="51" t="s">
        <v>38</v>
      </c>
      <c r="E875" s="51" t="s">
        <v>25</v>
      </c>
      <c r="F875" s="51" t="s">
        <v>25</v>
      </c>
      <c r="G875" s="51" t="s">
        <v>25</v>
      </c>
      <c r="H875" s="51" t="s">
        <v>34</v>
      </c>
      <c r="I875" s="59">
        <v>44409</v>
      </c>
      <c r="J875" s="60">
        <f>EFEITO!$J$875*EFEITO!$Y$875</f>
        <v>0</v>
      </c>
      <c r="K875" s="60">
        <f ca="1">EFEITO!$L$875*EFEITO!$Z$875</f>
        <v>4374.1772768294886</v>
      </c>
      <c r="L875" s="60">
        <f>EFEITO!$N$875*EFEITO!$AA$875</f>
        <v>0</v>
      </c>
      <c r="M875" s="60">
        <f>$J$875-EFEITO!$K$875*EFEITO!$Y$875</f>
        <v>0</v>
      </c>
      <c r="N875" s="60">
        <f ca="1">$K$875-EFEITO!$M$875*EFEITO!$Z$875</f>
        <v>0</v>
      </c>
      <c r="O875" s="60">
        <f>$L$875-EFEITO!$O$875*EFEITO!$AA$875</f>
        <v>0</v>
      </c>
      <c r="P875" s="18"/>
      <c r="Q875" s="18"/>
      <c r="R875" s="18"/>
      <c r="S875" s="18"/>
      <c r="T875" s="18"/>
      <c r="U875" s="18"/>
      <c r="V875" s="18"/>
      <c r="W875" s="18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1.25" customHeight="1" x14ac:dyDescent="0.2">
      <c r="A876" s="51" t="s">
        <v>21</v>
      </c>
      <c r="B876" s="51" t="s">
        <v>41</v>
      </c>
      <c r="C876" s="51" t="s">
        <v>42</v>
      </c>
      <c r="D876" s="51" t="s">
        <v>38</v>
      </c>
      <c r="E876" s="51" t="s">
        <v>25</v>
      </c>
      <c r="F876" s="51" t="s">
        <v>25</v>
      </c>
      <c r="G876" s="51" t="s">
        <v>25</v>
      </c>
      <c r="H876" s="51" t="s">
        <v>34</v>
      </c>
      <c r="I876" s="59">
        <v>44440</v>
      </c>
      <c r="J876" s="60">
        <f>EFEITO!$J$876*EFEITO!$Y$876</f>
        <v>0</v>
      </c>
      <c r="K876" s="60">
        <f ca="1">EFEITO!$L$876*EFEITO!$Z$876</f>
        <v>635180.16361516877</v>
      </c>
      <c r="L876" s="60">
        <f>EFEITO!$N$876*EFEITO!$AA$876</f>
        <v>124952.81102443284</v>
      </c>
      <c r="M876" s="60">
        <f>$J$876-EFEITO!$K$876*EFEITO!$Y$876</f>
        <v>0</v>
      </c>
      <c r="N876" s="60">
        <f ca="1">$K$876-EFEITO!$M$876*EFEITO!$Z$876</f>
        <v>0</v>
      </c>
      <c r="O876" s="60">
        <f>$L$876-EFEITO!$O$876*EFEITO!$AA$876</f>
        <v>0</v>
      </c>
      <c r="P876" s="18"/>
      <c r="Q876" s="18"/>
      <c r="R876" s="18"/>
      <c r="S876" s="18"/>
      <c r="T876" s="18"/>
      <c r="U876" s="18"/>
      <c r="V876" s="18"/>
      <c r="W876" s="18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1.25" customHeight="1" x14ac:dyDescent="0.2">
      <c r="A877" s="51" t="s">
        <v>28</v>
      </c>
      <c r="B877" s="51" t="s">
        <v>41</v>
      </c>
      <c r="C877" s="51" t="s">
        <v>42</v>
      </c>
      <c r="D877" s="51" t="s">
        <v>38</v>
      </c>
      <c r="E877" s="51" t="s">
        <v>25</v>
      </c>
      <c r="F877" s="51" t="s">
        <v>25</v>
      </c>
      <c r="G877" s="51" t="s">
        <v>25</v>
      </c>
      <c r="H877" s="51" t="s">
        <v>34</v>
      </c>
      <c r="I877" s="59">
        <v>44440</v>
      </c>
      <c r="J877" s="60">
        <f>EFEITO!$J$877*EFEITO!$Y$877</f>
        <v>0</v>
      </c>
      <c r="K877" s="60">
        <f ca="1">EFEITO!$L$877*EFEITO!$Z$877</f>
        <v>18849.395861833291</v>
      </c>
      <c r="L877" s="60">
        <f>EFEITO!$N$877*EFEITO!$AA$877</f>
        <v>3708.0581761922876</v>
      </c>
      <c r="M877" s="60">
        <f>$J$877-EFEITO!$K$877*EFEITO!$Y$877</f>
        <v>0</v>
      </c>
      <c r="N877" s="60">
        <f ca="1">$K$877-EFEITO!$M$877*EFEITO!$Z$877</f>
        <v>0</v>
      </c>
      <c r="O877" s="60">
        <f>$L$877-EFEITO!$O$877*EFEITO!$AA$877</f>
        <v>0</v>
      </c>
      <c r="P877" s="18"/>
      <c r="Q877" s="18"/>
      <c r="R877" s="18"/>
      <c r="S877" s="18"/>
      <c r="T877" s="18"/>
      <c r="U877" s="18"/>
      <c r="V877" s="18"/>
      <c r="W877" s="18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1.25" customHeight="1" x14ac:dyDescent="0.2">
      <c r="A878" s="51" t="s">
        <v>21</v>
      </c>
      <c r="B878" s="51" t="s">
        <v>41</v>
      </c>
      <c r="C878" s="51" t="s">
        <v>42</v>
      </c>
      <c r="D878" s="51" t="s">
        <v>38</v>
      </c>
      <c r="E878" s="51" t="s">
        <v>25</v>
      </c>
      <c r="F878" s="51" t="s">
        <v>25</v>
      </c>
      <c r="G878" s="51" t="s">
        <v>25</v>
      </c>
      <c r="H878" s="51" t="s">
        <v>34</v>
      </c>
      <c r="I878" s="59">
        <v>44470</v>
      </c>
      <c r="J878" s="60">
        <f>EFEITO!$J$878*EFEITO!$Y$878</f>
        <v>0</v>
      </c>
      <c r="K878" s="60">
        <f ca="1">EFEITO!$L$878*EFEITO!$Z$878</f>
        <v>643487.42466192052</v>
      </c>
      <c r="L878" s="60">
        <f>EFEITO!$N$878*EFEITO!$AA$878</f>
        <v>126587.01763094503</v>
      </c>
      <c r="M878" s="60">
        <f>$J$878-EFEITO!$K$878*EFEITO!$Y$878</f>
        <v>0</v>
      </c>
      <c r="N878" s="60">
        <f ca="1">$K$878-EFEITO!$M$878*EFEITO!$Z$878</f>
        <v>0</v>
      </c>
      <c r="O878" s="60">
        <f>$L$878-EFEITO!$O$878*EFEITO!$AA$878</f>
        <v>0</v>
      </c>
      <c r="P878" s="18"/>
      <c r="Q878" s="18"/>
      <c r="R878" s="18"/>
      <c r="S878" s="18"/>
      <c r="T878" s="18"/>
      <c r="U878" s="18"/>
      <c r="V878" s="18"/>
      <c r="W878" s="18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1.25" customHeight="1" x14ac:dyDescent="0.2">
      <c r="A879" s="51" t="s">
        <v>28</v>
      </c>
      <c r="B879" s="51" t="s">
        <v>41</v>
      </c>
      <c r="C879" s="51" t="s">
        <v>42</v>
      </c>
      <c r="D879" s="51" t="s">
        <v>38</v>
      </c>
      <c r="E879" s="51" t="s">
        <v>25</v>
      </c>
      <c r="F879" s="51" t="s">
        <v>25</v>
      </c>
      <c r="G879" s="51" t="s">
        <v>25</v>
      </c>
      <c r="H879" s="51" t="s">
        <v>34</v>
      </c>
      <c r="I879" s="59">
        <v>44470</v>
      </c>
      <c r="J879" s="60">
        <f>EFEITO!$J$879*EFEITO!$Y$879</f>
        <v>0</v>
      </c>
      <c r="K879" s="60">
        <f ca="1">EFEITO!$L$879*EFEITO!$Z$879</f>
        <v>25436.392231647111</v>
      </c>
      <c r="L879" s="60">
        <f>EFEITO!$N$879*EFEITO!$AA$879</f>
        <v>5003.8538571081572</v>
      </c>
      <c r="M879" s="60">
        <f>$J$879-EFEITO!$K$879*EFEITO!$Y$879</f>
        <v>0</v>
      </c>
      <c r="N879" s="60">
        <f ca="1">$K$879-EFEITO!$M$879*EFEITO!$Z$879</f>
        <v>0</v>
      </c>
      <c r="O879" s="60">
        <f>$L$879-EFEITO!$O$879*EFEITO!$AA$879</f>
        <v>0</v>
      </c>
      <c r="P879" s="18"/>
      <c r="Q879" s="18"/>
      <c r="R879" s="18"/>
      <c r="S879" s="18"/>
      <c r="T879" s="18"/>
      <c r="U879" s="18"/>
      <c r="V879" s="18"/>
      <c r="W879" s="18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1.25" customHeight="1" x14ac:dyDescent="0.2">
      <c r="A880" s="51" t="s">
        <v>21</v>
      </c>
      <c r="B880" s="51" t="s">
        <v>41</v>
      </c>
      <c r="C880" s="51" t="s">
        <v>42</v>
      </c>
      <c r="D880" s="51" t="s">
        <v>38</v>
      </c>
      <c r="E880" s="51" t="s">
        <v>25</v>
      </c>
      <c r="F880" s="51" t="s">
        <v>25</v>
      </c>
      <c r="G880" s="51" t="s">
        <v>25</v>
      </c>
      <c r="H880" s="51" t="s">
        <v>34</v>
      </c>
      <c r="I880" s="59">
        <v>44501</v>
      </c>
      <c r="J880" s="60">
        <f>EFEITO!$J$880*EFEITO!$Y$880</f>
        <v>0</v>
      </c>
      <c r="K880" s="60">
        <f ca="1">EFEITO!$L$880*EFEITO!$Z$880</f>
        <v>600980.71371296584</v>
      </c>
      <c r="L880" s="60">
        <f>EFEITO!$N$880*EFEITO!$AA$880</f>
        <v>118225.08612753481</v>
      </c>
      <c r="M880" s="60">
        <f>$J$880-EFEITO!$K$880*EFEITO!$Y$880</f>
        <v>0</v>
      </c>
      <c r="N880" s="60">
        <f ca="1">$K$880-EFEITO!$M$880*EFEITO!$Z$880</f>
        <v>0</v>
      </c>
      <c r="O880" s="60">
        <f>$L$880-EFEITO!$O$880*EFEITO!$AA$880</f>
        <v>0</v>
      </c>
      <c r="P880" s="18"/>
      <c r="Q880" s="18"/>
      <c r="R880" s="18"/>
      <c r="S880" s="18"/>
      <c r="T880" s="18"/>
      <c r="U880" s="18"/>
      <c r="V880" s="18"/>
      <c r="W880" s="18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1.25" customHeight="1" x14ac:dyDescent="0.2">
      <c r="A881" s="51" t="s">
        <v>28</v>
      </c>
      <c r="B881" s="51" t="s">
        <v>41</v>
      </c>
      <c r="C881" s="51" t="s">
        <v>42</v>
      </c>
      <c r="D881" s="51" t="s">
        <v>38</v>
      </c>
      <c r="E881" s="51" t="s">
        <v>25</v>
      </c>
      <c r="F881" s="51" t="s">
        <v>25</v>
      </c>
      <c r="G881" s="51" t="s">
        <v>25</v>
      </c>
      <c r="H881" s="51" t="s">
        <v>34</v>
      </c>
      <c r="I881" s="59">
        <v>44501</v>
      </c>
      <c r="J881" s="60">
        <f>EFEITO!$J$881*EFEITO!$Y$881</f>
        <v>0</v>
      </c>
      <c r="K881" s="60">
        <f ca="1">EFEITO!$L$881*EFEITO!$Z$881</f>
        <v>18325.597322381022</v>
      </c>
      <c r="L881" s="60">
        <f>EFEITO!$N$881*EFEITO!$AA$881</f>
        <v>3605.0163879498145</v>
      </c>
      <c r="M881" s="60">
        <f>$J$881-EFEITO!$K$881*EFEITO!$Y$881</f>
        <v>0</v>
      </c>
      <c r="N881" s="60">
        <f ca="1">$K$881-EFEITO!$M$881*EFEITO!$Z$881</f>
        <v>0</v>
      </c>
      <c r="O881" s="60">
        <f>$L$881-EFEITO!$O$881*EFEITO!$AA$881</f>
        <v>0</v>
      </c>
      <c r="P881" s="18"/>
      <c r="Q881" s="18"/>
      <c r="R881" s="18"/>
      <c r="S881" s="18"/>
      <c r="T881" s="18"/>
      <c r="U881" s="18"/>
      <c r="V881" s="18"/>
      <c r="W881" s="18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1.25" customHeight="1" x14ac:dyDescent="0.2">
      <c r="A882" s="51" t="s">
        <v>21</v>
      </c>
      <c r="B882" s="51" t="s">
        <v>41</v>
      </c>
      <c r="C882" s="51" t="s">
        <v>42</v>
      </c>
      <c r="D882" s="51" t="s">
        <v>38</v>
      </c>
      <c r="E882" s="51" t="s">
        <v>25</v>
      </c>
      <c r="F882" s="51" t="s">
        <v>25</v>
      </c>
      <c r="G882" s="51" t="s">
        <v>25</v>
      </c>
      <c r="H882" s="51" t="s">
        <v>34</v>
      </c>
      <c r="I882" s="59">
        <v>44531</v>
      </c>
      <c r="J882" s="60">
        <f>EFEITO!$J$882*EFEITO!$Y$882</f>
        <v>0</v>
      </c>
      <c r="K882" s="60">
        <f ca="1">EFEITO!$L$882*EFEITO!$Z$882</f>
        <v>637887.37501381163</v>
      </c>
      <c r="L882" s="60">
        <f>EFEITO!$N$882*EFEITO!$AA$882</f>
        <v>125485.37437208604</v>
      </c>
      <c r="M882" s="60">
        <f>$J$882-EFEITO!$K$882*EFEITO!$Y$882</f>
        <v>0</v>
      </c>
      <c r="N882" s="60">
        <f ca="1">$K$882-EFEITO!$M$882*EFEITO!$Z$882</f>
        <v>0</v>
      </c>
      <c r="O882" s="60">
        <f>$L$882-EFEITO!$O$882*EFEITO!$AA$882</f>
        <v>0</v>
      </c>
      <c r="P882" s="18"/>
      <c r="Q882" s="18"/>
      <c r="R882" s="18"/>
      <c r="S882" s="18"/>
      <c r="T882" s="18"/>
      <c r="U882" s="18"/>
      <c r="V882" s="18"/>
      <c r="W882" s="18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1.25" customHeight="1" x14ac:dyDescent="0.2">
      <c r="A883" s="51" t="s">
        <v>27</v>
      </c>
      <c r="B883" s="51" t="s">
        <v>41</v>
      </c>
      <c r="C883" s="51" t="s">
        <v>42</v>
      </c>
      <c r="D883" s="51" t="s">
        <v>38</v>
      </c>
      <c r="E883" s="51" t="s">
        <v>25</v>
      </c>
      <c r="F883" s="51" t="s">
        <v>25</v>
      </c>
      <c r="G883" s="51" t="s">
        <v>25</v>
      </c>
      <c r="H883" s="51" t="s">
        <v>34</v>
      </c>
      <c r="I883" s="59">
        <v>44531</v>
      </c>
      <c r="J883" s="60">
        <f>EFEITO!$J$883*EFEITO!$Y$883</f>
        <v>0</v>
      </c>
      <c r="K883" s="60">
        <f ca="1">EFEITO!$L$883*EFEITO!$Z$883</f>
        <v>-231.57409112626704</v>
      </c>
      <c r="L883" s="60">
        <f>EFEITO!$N$883*EFEITO!$AA$883</f>
        <v>-45.555316907198538</v>
      </c>
      <c r="M883" s="60">
        <f>$J$883-EFEITO!$K$883*EFEITO!$Y$883</f>
        <v>0</v>
      </c>
      <c r="N883" s="60">
        <f ca="1">$K$883-EFEITO!$M$883*EFEITO!$Z$883</f>
        <v>0</v>
      </c>
      <c r="O883" s="60">
        <f>$L$883-EFEITO!$O$883*EFEITO!$AA$883</f>
        <v>0</v>
      </c>
      <c r="P883" s="18"/>
      <c r="Q883" s="18"/>
      <c r="R883" s="18"/>
      <c r="S883" s="18"/>
      <c r="T883" s="18"/>
      <c r="U883" s="18"/>
      <c r="V883" s="18"/>
      <c r="W883" s="18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1.25" customHeight="1" x14ac:dyDescent="0.2">
      <c r="A884" s="51" t="s">
        <v>28</v>
      </c>
      <c r="B884" s="51" t="s">
        <v>41</v>
      </c>
      <c r="C884" s="51" t="s">
        <v>42</v>
      </c>
      <c r="D884" s="51" t="s">
        <v>38</v>
      </c>
      <c r="E884" s="51" t="s">
        <v>25</v>
      </c>
      <c r="F884" s="51" t="s">
        <v>25</v>
      </c>
      <c r="G884" s="51" t="s">
        <v>25</v>
      </c>
      <c r="H884" s="51" t="s">
        <v>34</v>
      </c>
      <c r="I884" s="59">
        <v>44531</v>
      </c>
      <c r="J884" s="60">
        <f>EFEITO!$J$884*EFEITO!$Y$884</f>
        <v>0</v>
      </c>
      <c r="K884" s="60">
        <f ca="1">EFEITO!$L$884*EFEITO!$Z$884</f>
        <v>8062.8217283407412</v>
      </c>
      <c r="L884" s="60">
        <f>EFEITO!$N$884*EFEITO!$AA$884</f>
        <v>1586.1204386657141</v>
      </c>
      <c r="M884" s="60">
        <f>$J$884-EFEITO!$K$884*EFEITO!$Y$884</f>
        <v>0</v>
      </c>
      <c r="N884" s="60">
        <f ca="1">$K$884-EFEITO!$M$884*EFEITO!$Z$884</f>
        <v>0</v>
      </c>
      <c r="O884" s="60">
        <f>$L$884-EFEITO!$O$884*EFEITO!$AA$884</f>
        <v>0</v>
      </c>
      <c r="P884" s="18"/>
      <c r="Q884" s="18"/>
      <c r="R884" s="18"/>
      <c r="S884" s="18"/>
      <c r="T884" s="18"/>
      <c r="U884" s="18"/>
      <c r="V884" s="18"/>
      <c r="W884" s="18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1.25" customHeight="1" x14ac:dyDescent="0.2">
      <c r="A885" s="51" t="s">
        <v>21</v>
      </c>
      <c r="B885" s="51" t="s">
        <v>41</v>
      </c>
      <c r="C885" s="51" t="s">
        <v>42</v>
      </c>
      <c r="D885" s="51" t="s">
        <v>38</v>
      </c>
      <c r="E885" s="51" t="s">
        <v>25</v>
      </c>
      <c r="F885" s="51" t="s">
        <v>25</v>
      </c>
      <c r="G885" s="51" t="s">
        <v>25</v>
      </c>
      <c r="H885" s="51" t="s">
        <v>34</v>
      </c>
      <c r="I885" s="59">
        <v>44562</v>
      </c>
      <c r="J885" s="60">
        <f>EFEITO!$J$885*EFEITO!$Y$885</f>
        <v>0</v>
      </c>
      <c r="K885" s="60">
        <f ca="1">EFEITO!$L$885*EFEITO!$Z$885</f>
        <v>700952.71916386497</v>
      </c>
      <c r="L885" s="60">
        <f>EFEITO!$N$885*EFEITO!$AA$885</f>
        <v>137891.60567647975</v>
      </c>
      <c r="M885" s="60">
        <f>$J$885-EFEITO!$K$885*EFEITO!$Y$885</f>
        <v>0</v>
      </c>
      <c r="N885" s="60">
        <f ca="1">$K$885-EFEITO!$M$885*EFEITO!$Z$885</f>
        <v>0</v>
      </c>
      <c r="O885" s="60">
        <f>$L$885-EFEITO!$O$885*EFEITO!$AA$885</f>
        <v>0</v>
      </c>
      <c r="P885" s="18"/>
      <c r="Q885" s="18"/>
      <c r="R885" s="18"/>
      <c r="S885" s="18"/>
      <c r="T885" s="18"/>
      <c r="U885" s="18"/>
      <c r="V885" s="18"/>
      <c r="W885" s="18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1.25" customHeight="1" x14ac:dyDescent="0.2">
      <c r="A886" s="51" t="s">
        <v>27</v>
      </c>
      <c r="B886" s="51" t="s">
        <v>41</v>
      </c>
      <c r="C886" s="51" t="s">
        <v>42</v>
      </c>
      <c r="D886" s="51" t="s">
        <v>38</v>
      </c>
      <c r="E886" s="51" t="s">
        <v>25</v>
      </c>
      <c r="F886" s="51" t="s">
        <v>25</v>
      </c>
      <c r="G886" s="51" t="s">
        <v>25</v>
      </c>
      <c r="H886" s="51" t="s">
        <v>34</v>
      </c>
      <c r="I886" s="59">
        <v>44562</v>
      </c>
      <c r="J886" s="60">
        <f>EFEITO!$J$886*EFEITO!$Y$886</f>
        <v>0</v>
      </c>
      <c r="K886" s="60">
        <f ca="1">EFEITO!$L$886*EFEITO!$Z$886</f>
        <v>99.246039054114448</v>
      </c>
      <c r="L886" s="60">
        <f>EFEITO!$N$886*EFEITO!$AA$886</f>
        <v>19.52370724594223</v>
      </c>
      <c r="M886" s="60">
        <f>$J$886-EFEITO!$K$886*EFEITO!$Y$886</f>
        <v>0</v>
      </c>
      <c r="N886" s="60">
        <f ca="1">$K$886-EFEITO!$M$886*EFEITO!$Z$886</f>
        <v>0</v>
      </c>
      <c r="O886" s="60">
        <f>$L$886-EFEITO!$O$886*EFEITO!$AA$886</f>
        <v>0</v>
      </c>
      <c r="P886" s="18"/>
      <c r="Q886" s="18"/>
      <c r="R886" s="18"/>
      <c r="S886" s="18"/>
      <c r="T886" s="18"/>
      <c r="U886" s="18"/>
      <c r="V886" s="18"/>
      <c r="W886" s="18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1.25" customHeight="1" x14ac:dyDescent="0.2">
      <c r="A887" s="51" t="s">
        <v>28</v>
      </c>
      <c r="B887" s="51" t="s">
        <v>41</v>
      </c>
      <c r="C887" s="51" t="s">
        <v>42</v>
      </c>
      <c r="D887" s="51" t="s">
        <v>38</v>
      </c>
      <c r="E887" s="51" t="s">
        <v>25</v>
      </c>
      <c r="F887" s="51" t="s">
        <v>25</v>
      </c>
      <c r="G887" s="51" t="s">
        <v>25</v>
      </c>
      <c r="H887" s="51" t="s">
        <v>34</v>
      </c>
      <c r="I887" s="59">
        <v>44562</v>
      </c>
      <c r="J887" s="60">
        <f>EFEITO!$J$887*EFEITO!$Y$887</f>
        <v>0</v>
      </c>
      <c r="K887" s="60">
        <f ca="1">EFEITO!$L$887*EFEITO!$Z$887</f>
        <v>4478.9369847199423</v>
      </c>
      <c r="L887" s="60">
        <f>EFEITO!$N$887*EFEITO!$AA$887</f>
        <v>881.0976770066892</v>
      </c>
      <c r="M887" s="60">
        <f>$J$887-EFEITO!$K$887*EFEITO!$Y$887</f>
        <v>0</v>
      </c>
      <c r="N887" s="60">
        <f ca="1">$K$887-EFEITO!$M$887*EFEITO!$Z$887</f>
        <v>0</v>
      </c>
      <c r="O887" s="60">
        <f>$L$887-EFEITO!$O$887*EFEITO!$AA$887</f>
        <v>0</v>
      </c>
      <c r="P887" s="18"/>
      <c r="Q887" s="18"/>
      <c r="R887" s="18"/>
      <c r="S887" s="18"/>
      <c r="T887" s="18"/>
      <c r="U887" s="18"/>
      <c r="V887" s="18"/>
      <c r="W887" s="18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1.25" customHeight="1" x14ac:dyDescent="0.2">
      <c r="A888" s="51" t="s">
        <v>21</v>
      </c>
      <c r="B888" s="51" t="s">
        <v>41</v>
      </c>
      <c r="C888" s="51" t="s">
        <v>42</v>
      </c>
      <c r="D888" s="51" t="s">
        <v>38</v>
      </c>
      <c r="E888" s="51" t="s">
        <v>25</v>
      </c>
      <c r="F888" s="51" t="s">
        <v>25</v>
      </c>
      <c r="G888" s="51" t="s">
        <v>25</v>
      </c>
      <c r="H888" s="51" t="s">
        <v>34</v>
      </c>
      <c r="I888" s="59">
        <v>44593</v>
      </c>
      <c r="J888" s="60">
        <f>EFEITO!$J$888*EFEITO!$Y$888</f>
        <v>0</v>
      </c>
      <c r="K888" s="60">
        <f ca="1">EFEITO!$L$888*EFEITO!$Z$888</f>
        <v>550940.4932439588</v>
      </c>
      <c r="L888" s="60">
        <f>EFEITO!$N$888*EFEITO!$AA$888</f>
        <v>108381.1606241039</v>
      </c>
      <c r="M888" s="60">
        <f>$J$888-EFEITO!$K$888*EFEITO!$Y$888</f>
        <v>0</v>
      </c>
      <c r="N888" s="60">
        <f ca="1">$K$888-EFEITO!$M$888*EFEITO!$Z$888</f>
        <v>0</v>
      </c>
      <c r="O888" s="60">
        <f>$L$888-EFEITO!$O$888*EFEITO!$AA$888</f>
        <v>0</v>
      </c>
      <c r="P888" s="18"/>
      <c r="Q888" s="18"/>
      <c r="R888" s="18"/>
      <c r="S888" s="18"/>
      <c r="T888" s="18"/>
      <c r="U888" s="18"/>
      <c r="V888" s="18"/>
      <c r="W888" s="18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1.25" customHeight="1" x14ac:dyDescent="0.2">
      <c r="A889" s="51" t="s">
        <v>27</v>
      </c>
      <c r="B889" s="51" t="s">
        <v>41</v>
      </c>
      <c r="C889" s="51" t="s">
        <v>42</v>
      </c>
      <c r="D889" s="51" t="s">
        <v>38</v>
      </c>
      <c r="E889" s="51" t="s">
        <v>25</v>
      </c>
      <c r="F889" s="51" t="s">
        <v>25</v>
      </c>
      <c r="G889" s="51" t="s">
        <v>25</v>
      </c>
      <c r="H889" s="51" t="s">
        <v>34</v>
      </c>
      <c r="I889" s="59">
        <v>44593</v>
      </c>
      <c r="J889" s="60">
        <f>EFEITO!$J$889*EFEITO!$Y$889</f>
        <v>0</v>
      </c>
      <c r="K889" s="60">
        <f ca="1">EFEITO!$L$889*EFEITO!$Z$889</f>
        <v>-2543.6392231647105</v>
      </c>
      <c r="L889" s="60">
        <f>EFEITO!$N$889*EFEITO!$AA$889</f>
        <v>-500.38538571081568</v>
      </c>
      <c r="M889" s="60">
        <f>$J$889-EFEITO!$K$889*EFEITO!$Y$889</f>
        <v>0</v>
      </c>
      <c r="N889" s="60">
        <f ca="1">$K$889-EFEITO!$M$889*EFEITO!$Z$889</f>
        <v>0</v>
      </c>
      <c r="O889" s="60">
        <f>$L$889-EFEITO!$O$889*EFEITO!$AA$889</f>
        <v>0</v>
      </c>
      <c r="P889" s="18"/>
      <c r="Q889" s="18"/>
      <c r="R889" s="18"/>
      <c r="S889" s="18"/>
      <c r="T889" s="18"/>
      <c r="U889" s="18"/>
      <c r="V889" s="18"/>
      <c r="W889" s="18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1.25" customHeight="1" x14ac:dyDescent="0.2">
      <c r="A890" s="51" t="s">
        <v>28</v>
      </c>
      <c r="B890" s="51" t="s">
        <v>41</v>
      </c>
      <c r="C890" s="51" t="s">
        <v>42</v>
      </c>
      <c r="D890" s="51" t="s">
        <v>38</v>
      </c>
      <c r="E890" s="51" t="s">
        <v>25</v>
      </c>
      <c r="F890" s="51" t="s">
        <v>25</v>
      </c>
      <c r="G890" s="51" t="s">
        <v>25</v>
      </c>
      <c r="H890" s="51" t="s">
        <v>34</v>
      </c>
      <c r="I890" s="59">
        <v>44593</v>
      </c>
      <c r="J890" s="60">
        <f>EFEITO!$J$890*EFEITO!$Y$890</f>
        <v>0</v>
      </c>
      <c r="K890" s="60">
        <f ca="1">EFEITO!$L$890*EFEITO!$Z$890</f>
        <v>9863.953548211708</v>
      </c>
      <c r="L890" s="60">
        <f>EFEITO!$N$890*EFEITO!$AA$890</f>
        <v>1940.4395701661474</v>
      </c>
      <c r="M890" s="60">
        <f>$J$890-EFEITO!$K$890*EFEITO!$Y$890</f>
        <v>0</v>
      </c>
      <c r="N890" s="60">
        <f ca="1">$K$890-EFEITO!$M$890*EFEITO!$Z$890</f>
        <v>0</v>
      </c>
      <c r="O890" s="60">
        <f>$L$890-EFEITO!$O$890*EFEITO!$AA$890</f>
        <v>0</v>
      </c>
      <c r="P890" s="18"/>
      <c r="Q890" s="18"/>
      <c r="R890" s="18"/>
      <c r="S890" s="18"/>
      <c r="T890" s="18"/>
      <c r="U890" s="18"/>
      <c r="V890" s="18"/>
      <c r="W890" s="18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1.25" customHeight="1" x14ac:dyDescent="0.2">
      <c r="A891" s="51" t="s">
        <v>56</v>
      </c>
      <c r="B891" s="51" t="s">
        <v>41</v>
      </c>
      <c r="C891" s="51" t="s">
        <v>42</v>
      </c>
      <c r="D891" s="51" t="s">
        <v>38</v>
      </c>
      <c r="E891" s="51" t="s">
        <v>25</v>
      </c>
      <c r="F891" s="51" t="s">
        <v>25</v>
      </c>
      <c r="G891" s="51" t="s">
        <v>25</v>
      </c>
      <c r="H891" s="51" t="s">
        <v>34</v>
      </c>
      <c r="I891" s="59">
        <v>44621</v>
      </c>
      <c r="J891" s="60">
        <f>EFEITO!$J$891*EFEITO!$Y$891</f>
        <v>0</v>
      </c>
      <c r="K891" s="60">
        <f ca="1">EFEITO!$L$891*EFEITO!$Z$891</f>
        <v>550940.4932439588</v>
      </c>
      <c r="L891" s="60">
        <f>EFEITO!$N$891*EFEITO!$AA$891</f>
        <v>108381.1606241039</v>
      </c>
      <c r="M891" s="60">
        <f>$J$891-EFEITO!$K$891*EFEITO!$Y$891</f>
        <v>0</v>
      </c>
      <c r="N891" s="60">
        <f ca="1">$K$891-EFEITO!$M$891*EFEITO!$Z$891</f>
        <v>0</v>
      </c>
      <c r="O891" s="60">
        <f>$L$891-EFEITO!$O$891*EFEITO!$AA$891</f>
        <v>0</v>
      </c>
      <c r="P891" s="18"/>
      <c r="Q891" s="18"/>
      <c r="R891" s="18"/>
      <c r="S891" s="18"/>
      <c r="T891" s="18"/>
      <c r="U891" s="18"/>
      <c r="V891" s="18"/>
      <c r="W891" s="18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1.25" customHeight="1" x14ac:dyDescent="0.2">
      <c r="A892" s="51" t="s">
        <v>56</v>
      </c>
      <c r="B892" s="51" t="s">
        <v>41</v>
      </c>
      <c r="C892" s="51" t="s">
        <v>42</v>
      </c>
      <c r="D892" s="51" t="s">
        <v>38</v>
      </c>
      <c r="E892" s="51" t="s">
        <v>25</v>
      </c>
      <c r="F892" s="51" t="s">
        <v>25</v>
      </c>
      <c r="G892" s="51" t="s">
        <v>25</v>
      </c>
      <c r="H892" s="51" t="s">
        <v>34</v>
      </c>
      <c r="I892" s="59">
        <v>44621</v>
      </c>
      <c r="J892" s="60">
        <f>EFEITO!$J$892*EFEITO!$Y$892</f>
        <v>0</v>
      </c>
      <c r="K892" s="60">
        <f ca="1">EFEITO!$L$892*EFEITO!$Z$892</f>
        <v>-2543.6392231647105</v>
      </c>
      <c r="L892" s="60">
        <f>EFEITO!$N$892*EFEITO!$AA$892</f>
        <v>-500.38538571081568</v>
      </c>
      <c r="M892" s="60">
        <f>$J$892-EFEITO!$K$892*EFEITO!$Y$892</f>
        <v>0</v>
      </c>
      <c r="N892" s="60">
        <f ca="1">$K$892-EFEITO!$M$892*EFEITO!$Z$892</f>
        <v>0</v>
      </c>
      <c r="O892" s="60">
        <f>$L$892-EFEITO!$O$892*EFEITO!$AA$892</f>
        <v>0</v>
      </c>
      <c r="P892" s="18"/>
      <c r="Q892" s="18"/>
      <c r="R892" s="18"/>
      <c r="S892" s="18"/>
      <c r="T892" s="18"/>
      <c r="U892" s="18"/>
      <c r="V892" s="18"/>
      <c r="W892" s="18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1.25" customHeight="1" x14ac:dyDescent="0.2">
      <c r="A893" s="51" t="s">
        <v>56</v>
      </c>
      <c r="B893" s="51" t="s">
        <v>41</v>
      </c>
      <c r="C893" s="51" t="s">
        <v>42</v>
      </c>
      <c r="D893" s="51" t="s">
        <v>38</v>
      </c>
      <c r="E893" s="51" t="s">
        <v>25</v>
      </c>
      <c r="F893" s="51" t="s">
        <v>25</v>
      </c>
      <c r="G893" s="51" t="s">
        <v>25</v>
      </c>
      <c r="H893" s="51" t="s">
        <v>34</v>
      </c>
      <c r="I893" s="59">
        <v>44621</v>
      </c>
      <c r="J893" s="60">
        <f>EFEITO!$J$893*EFEITO!$Y$893</f>
        <v>0</v>
      </c>
      <c r="K893" s="60">
        <f ca="1">EFEITO!$L$893*EFEITO!$Z$893</f>
        <v>9863.953548211708</v>
      </c>
      <c r="L893" s="60">
        <f>EFEITO!$N$893*EFEITO!$AA$893</f>
        <v>1940.4395701661474</v>
      </c>
      <c r="M893" s="60">
        <f>$J$893-EFEITO!$K$893*EFEITO!$Y$893</f>
        <v>0</v>
      </c>
      <c r="N893" s="60">
        <f ca="1">$K$893-EFEITO!$M$893*EFEITO!$Z$893</f>
        <v>0</v>
      </c>
      <c r="O893" s="60">
        <f>$L$893-EFEITO!$O$893*EFEITO!$AA$893</f>
        <v>0</v>
      </c>
      <c r="P893" s="18"/>
      <c r="Q893" s="18"/>
      <c r="R893" s="18"/>
      <c r="S893" s="18"/>
      <c r="T893" s="18"/>
      <c r="U893" s="18"/>
      <c r="V893" s="18"/>
      <c r="W893" s="18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1.25" customHeight="1" x14ac:dyDescent="0.2">
      <c r="A894" s="51" t="s">
        <v>21</v>
      </c>
      <c r="B894" s="51" t="s">
        <v>41</v>
      </c>
      <c r="C894" s="51" t="s">
        <v>42</v>
      </c>
      <c r="D894" s="51" t="s">
        <v>46</v>
      </c>
      <c r="E894" s="51" t="s">
        <v>25</v>
      </c>
      <c r="F894" s="51" t="s">
        <v>25</v>
      </c>
      <c r="G894" s="51" t="s">
        <v>25</v>
      </c>
      <c r="H894" s="51" t="s">
        <v>35</v>
      </c>
      <c r="I894" s="59">
        <v>44287</v>
      </c>
      <c r="J894" s="60">
        <f>EFEITO!$J$894*EFEITO!$Y$894</f>
        <v>0</v>
      </c>
      <c r="K894" s="60">
        <f ca="1">EFEITO!$L$894*EFEITO!$Z$894</f>
        <v>239126.50594062993</v>
      </c>
      <c r="L894" s="60">
        <f>EFEITO!$N$894*EFEITO!$AA$894</f>
        <v>820829.99897515832</v>
      </c>
      <c r="M894" s="60">
        <f>$J$894-EFEITO!$K$894*EFEITO!$Y$894</f>
        <v>0</v>
      </c>
      <c r="N894" s="60">
        <f ca="1">$K$894-EFEITO!$M$894*EFEITO!$Z$894</f>
        <v>0</v>
      </c>
      <c r="O894" s="60">
        <f>$L$894-EFEITO!$O$894*EFEITO!$AA$894</f>
        <v>0</v>
      </c>
      <c r="P894" s="18"/>
      <c r="Q894" s="18"/>
      <c r="R894" s="18"/>
      <c r="S894" s="18"/>
      <c r="T894" s="18"/>
      <c r="U894" s="18"/>
      <c r="V894" s="18"/>
      <c r="W894" s="18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1.25" customHeight="1" x14ac:dyDescent="0.2">
      <c r="A895" s="51" t="s">
        <v>28</v>
      </c>
      <c r="B895" s="51" t="s">
        <v>41</v>
      </c>
      <c r="C895" s="51" t="s">
        <v>42</v>
      </c>
      <c r="D895" s="51" t="s">
        <v>46</v>
      </c>
      <c r="E895" s="51" t="s">
        <v>25</v>
      </c>
      <c r="F895" s="51" t="s">
        <v>25</v>
      </c>
      <c r="G895" s="51" t="s">
        <v>25</v>
      </c>
      <c r="H895" s="51" t="s">
        <v>35</v>
      </c>
      <c r="I895" s="59">
        <v>44287</v>
      </c>
      <c r="J895" s="60">
        <f>EFEITO!$J$895*EFEITO!$Y$895</f>
        <v>0</v>
      </c>
      <c r="K895" s="60">
        <f ca="1">EFEITO!$L$895*EFEITO!$Z$895</f>
        <v>21490.604526198542</v>
      </c>
      <c r="L895" s="60">
        <f>EFEITO!$N$895*EFEITO!$AA$895</f>
        <v>73769.040457584226</v>
      </c>
      <c r="M895" s="60">
        <f>$J$895-EFEITO!$K$895*EFEITO!$Y$895</f>
        <v>0</v>
      </c>
      <c r="N895" s="60">
        <f ca="1">$K$895-EFEITO!$M$895*EFEITO!$Z$895</f>
        <v>0</v>
      </c>
      <c r="O895" s="60">
        <f>$L$895-EFEITO!$O$895*EFEITO!$AA$895</f>
        <v>0</v>
      </c>
      <c r="P895" s="18"/>
      <c r="Q895" s="18"/>
      <c r="R895" s="18"/>
      <c r="S895" s="18"/>
      <c r="T895" s="18"/>
      <c r="U895" s="18"/>
      <c r="V895" s="18"/>
      <c r="W895" s="18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1.25" customHeight="1" x14ac:dyDescent="0.2">
      <c r="A896" s="51" t="s">
        <v>21</v>
      </c>
      <c r="B896" s="51" t="s">
        <v>41</v>
      </c>
      <c r="C896" s="51" t="s">
        <v>42</v>
      </c>
      <c r="D896" s="51" t="s">
        <v>46</v>
      </c>
      <c r="E896" s="51" t="s">
        <v>25</v>
      </c>
      <c r="F896" s="51" t="s">
        <v>25</v>
      </c>
      <c r="G896" s="51" t="s">
        <v>25</v>
      </c>
      <c r="H896" s="51" t="s">
        <v>35</v>
      </c>
      <c r="I896" s="59">
        <v>44317</v>
      </c>
      <c r="J896" s="60">
        <f>EFEITO!$J$896*EFEITO!$Y$896</f>
        <v>0</v>
      </c>
      <c r="K896" s="60">
        <f ca="1">EFEITO!$L$896*EFEITO!$Z$896</f>
        <v>216489.17070861979</v>
      </c>
      <c r="L896" s="60">
        <f>EFEITO!$N$896*EFEITO!$AA$896</f>
        <v>743124.66981392947</v>
      </c>
      <c r="M896" s="60">
        <f>$J$896-EFEITO!$K$896*EFEITO!$Y$896</f>
        <v>0</v>
      </c>
      <c r="N896" s="60">
        <f ca="1">$K$896-EFEITO!$M$896*EFEITO!$Z$896</f>
        <v>0</v>
      </c>
      <c r="O896" s="60">
        <f>$L$896-EFEITO!$O$896*EFEITO!$AA$896</f>
        <v>0</v>
      </c>
      <c r="P896" s="18"/>
      <c r="Q896" s="18"/>
      <c r="R896" s="18"/>
      <c r="S896" s="18"/>
      <c r="T896" s="18"/>
      <c r="U896" s="18"/>
      <c r="V896" s="18"/>
      <c r="W896" s="18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1.25" customHeight="1" x14ac:dyDescent="0.2">
      <c r="A897" s="51" t="s">
        <v>28</v>
      </c>
      <c r="B897" s="51" t="s">
        <v>41</v>
      </c>
      <c r="C897" s="51" t="s">
        <v>42</v>
      </c>
      <c r="D897" s="51" t="s">
        <v>46</v>
      </c>
      <c r="E897" s="51" t="s">
        <v>25</v>
      </c>
      <c r="F897" s="51" t="s">
        <v>25</v>
      </c>
      <c r="G897" s="51" t="s">
        <v>25</v>
      </c>
      <c r="H897" s="51" t="s">
        <v>35</v>
      </c>
      <c r="I897" s="59">
        <v>44317</v>
      </c>
      <c r="J897" s="60">
        <f>EFEITO!$J$897*EFEITO!$Y$897</f>
        <v>0</v>
      </c>
      <c r="K897" s="60">
        <f ca="1">EFEITO!$L$897*EFEITO!$Z$897</f>
        <v>23711.582676088205</v>
      </c>
      <c r="L897" s="60">
        <f>EFEITO!$N$897*EFEITO!$AA$897</f>
        <v>81392.810500669308</v>
      </c>
      <c r="M897" s="60">
        <f>$J$897-EFEITO!$K$897*EFEITO!$Y$897</f>
        <v>0</v>
      </c>
      <c r="N897" s="60">
        <f ca="1">$K$897-EFEITO!$M$897*EFEITO!$Z$897</f>
        <v>0</v>
      </c>
      <c r="O897" s="60">
        <f>$L$897-EFEITO!$O$897*EFEITO!$AA$897</f>
        <v>0</v>
      </c>
      <c r="P897" s="18"/>
      <c r="Q897" s="18"/>
      <c r="R897" s="18"/>
      <c r="S897" s="18"/>
      <c r="T897" s="18"/>
      <c r="U897" s="18"/>
      <c r="V897" s="18"/>
      <c r="W897" s="18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1.25" customHeight="1" x14ac:dyDescent="0.2">
      <c r="A898" s="51" t="s">
        <v>21</v>
      </c>
      <c r="B898" s="51" t="s">
        <v>41</v>
      </c>
      <c r="C898" s="51" t="s">
        <v>42</v>
      </c>
      <c r="D898" s="51" t="s">
        <v>46</v>
      </c>
      <c r="E898" s="51" t="s">
        <v>25</v>
      </c>
      <c r="F898" s="51" t="s">
        <v>25</v>
      </c>
      <c r="G898" s="51" t="s">
        <v>25</v>
      </c>
      <c r="H898" s="51" t="s">
        <v>35</v>
      </c>
      <c r="I898" s="59">
        <v>44348</v>
      </c>
      <c r="J898" s="60">
        <f>EFEITO!$J$898*EFEITO!$Y$898</f>
        <v>0</v>
      </c>
      <c r="K898" s="60">
        <f ca="1">EFEITO!$L$898*EFEITO!$Z$898</f>
        <v>192964.22430556931</v>
      </c>
      <c r="L898" s="60">
        <f>EFEITO!$N$898*EFEITO!$AA$898</f>
        <v>662372.51038288407</v>
      </c>
      <c r="M898" s="60">
        <f>$J$898-EFEITO!$K$898*EFEITO!$Y$898</f>
        <v>0</v>
      </c>
      <c r="N898" s="60">
        <f ca="1">$K$898-EFEITO!$M$898*EFEITO!$Z$898</f>
        <v>0</v>
      </c>
      <c r="O898" s="60">
        <f>$L$898-EFEITO!$O$898*EFEITO!$AA$898</f>
        <v>0</v>
      </c>
      <c r="P898" s="18"/>
      <c r="Q898" s="18"/>
      <c r="R898" s="18"/>
      <c r="S898" s="18"/>
      <c r="T898" s="18"/>
      <c r="U898" s="18"/>
      <c r="V898" s="18"/>
      <c r="W898" s="18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1.25" customHeight="1" x14ac:dyDescent="0.2">
      <c r="A899" s="51" t="s">
        <v>28</v>
      </c>
      <c r="B899" s="51" t="s">
        <v>41</v>
      </c>
      <c r="C899" s="51" t="s">
        <v>42</v>
      </c>
      <c r="D899" s="51" t="s">
        <v>46</v>
      </c>
      <c r="E899" s="51" t="s">
        <v>25</v>
      </c>
      <c r="F899" s="51" t="s">
        <v>25</v>
      </c>
      <c r="G899" s="51" t="s">
        <v>25</v>
      </c>
      <c r="H899" s="51" t="s">
        <v>35</v>
      </c>
      <c r="I899" s="59">
        <v>44348</v>
      </c>
      <c r="J899" s="60">
        <f>EFEITO!$J$899*EFEITO!$Y$899</f>
        <v>0</v>
      </c>
      <c r="K899" s="60">
        <f ca="1">EFEITO!$L$899*EFEITO!$Z$899</f>
        <v>22883.778321904243</v>
      </c>
      <c r="L899" s="60">
        <f>EFEITO!$N$899*EFEITO!$AA$899</f>
        <v>78551.274199523526</v>
      </c>
      <c r="M899" s="60">
        <f>$J$899-EFEITO!$K$899*EFEITO!$Y$899</f>
        <v>0</v>
      </c>
      <c r="N899" s="60">
        <f ca="1">$K$899-EFEITO!$M$899*EFEITO!$Z$899</f>
        <v>0</v>
      </c>
      <c r="O899" s="60">
        <f>$L$899-EFEITO!$O$899*EFEITO!$AA$899</f>
        <v>0</v>
      </c>
      <c r="P899" s="18"/>
      <c r="Q899" s="18"/>
      <c r="R899" s="18"/>
      <c r="S899" s="18"/>
      <c r="T899" s="18"/>
      <c r="U899" s="18"/>
      <c r="V899" s="18"/>
      <c r="W899" s="18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1.25" customHeight="1" x14ac:dyDescent="0.2">
      <c r="A900" s="51" t="s">
        <v>21</v>
      </c>
      <c r="B900" s="51" t="s">
        <v>41</v>
      </c>
      <c r="C900" s="51" t="s">
        <v>42</v>
      </c>
      <c r="D900" s="51" t="s">
        <v>46</v>
      </c>
      <c r="E900" s="51" t="s">
        <v>25</v>
      </c>
      <c r="F900" s="51" t="s">
        <v>25</v>
      </c>
      <c r="G900" s="51" t="s">
        <v>25</v>
      </c>
      <c r="H900" s="51" t="s">
        <v>35</v>
      </c>
      <c r="I900" s="59">
        <v>44378</v>
      </c>
      <c r="J900" s="60">
        <f>EFEITO!$J$900*EFEITO!$Y$900</f>
        <v>0</v>
      </c>
      <c r="K900" s="60">
        <f ca="1">EFEITO!$L$900*EFEITO!$Z$900</f>
        <v>188261.45827836843</v>
      </c>
      <c r="L900" s="60">
        <f>EFEITO!$N$900*EFEITO!$AA$900</f>
        <v>646229.71007681463</v>
      </c>
      <c r="M900" s="60">
        <f>$J$900-EFEITO!$K$900*EFEITO!$Y$900</f>
        <v>0</v>
      </c>
      <c r="N900" s="60">
        <f ca="1">$K$900-EFEITO!$M$900*EFEITO!$Z$900</f>
        <v>0</v>
      </c>
      <c r="O900" s="60">
        <f>$L$900-EFEITO!$O$900*EFEITO!$AA$900</f>
        <v>0</v>
      </c>
      <c r="P900" s="18"/>
      <c r="Q900" s="18"/>
      <c r="R900" s="18"/>
      <c r="S900" s="18"/>
      <c r="T900" s="18"/>
      <c r="U900" s="18"/>
      <c r="V900" s="18"/>
      <c r="W900" s="18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1.25" customHeight="1" x14ac:dyDescent="0.2">
      <c r="A901" s="51" t="s">
        <v>28</v>
      </c>
      <c r="B901" s="51" t="s">
        <v>41</v>
      </c>
      <c r="C901" s="51" t="s">
        <v>42</v>
      </c>
      <c r="D901" s="51" t="s">
        <v>46</v>
      </c>
      <c r="E901" s="51" t="s">
        <v>25</v>
      </c>
      <c r="F901" s="51" t="s">
        <v>25</v>
      </c>
      <c r="G901" s="51" t="s">
        <v>25</v>
      </c>
      <c r="H901" s="51" t="s">
        <v>35</v>
      </c>
      <c r="I901" s="59">
        <v>44378</v>
      </c>
      <c r="J901" s="60">
        <f>EFEITO!$J$901*EFEITO!$Y$901</f>
        <v>0</v>
      </c>
      <c r="K901" s="60">
        <f ca="1">EFEITO!$L$901*EFEITO!$Z$901</f>
        <v>23050.717349825121</v>
      </c>
      <c r="L901" s="60">
        <f>EFEITO!$N$901*EFEITO!$AA$901</f>
        <v>79124.312146856842</v>
      </c>
      <c r="M901" s="60">
        <f>$J$901-EFEITO!$K$901*EFEITO!$Y$901</f>
        <v>0</v>
      </c>
      <c r="N901" s="60">
        <f ca="1">$K$901-EFEITO!$M$901*EFEITO!$Z$901</f>
        <v>0</v>
      </c>
      <c r="O901" s="60">
        <f>$L$901-EFEITO!$O$901*EFEITO!$AA$901</f>
        <v>0</v>
      </c>
      <c r="P901" s="18"/>
      <c r="Q901" s="18"/>
      <c r="R901" s="18"/>
      <c r="S901" s="18"/>
      <c r="T901" s="18"/>
      <c r="U901" s="18"/>
      <c r="V901" s="18"/>
      <c r="W901" s="18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1.25" customHeight="1" x14ac:dyDescent="0.2">
      <c r="A902" s="51" t="s">
        <v>21</v>
      </c>
      <c r="B902" s="51" t="s">
        <v>41</v>
      </c>
      <c r="C902" s="51" t="s">
        <v>42</v>
      </c>
      <c r="D902" s="51" t="s">
        <v>46</v>
      </c>
      <c r="E902" s="51" t="s">
        <v>25</v>
      </c>
      <c r="F902" s="51" t="s">
        <v>25</v>
      </c>
      <c r="G902" s="51" t="s">
        <v>25</v>
      </c>
      <c r="H902" s="51" t="s">
        <v>35</v>
      </c>
      <c r="I902" s="59">
        <v>44409</v>
      </c>
      <c r="J902" s="60">
        <f>EFEITO!$J$902*EFEITO!$Y$902</f>
        <v>0</v>
      </c>
      <c r="K902" s="60">
        <f ca="1">EFEITO!$L$902*EFEITO!$Z$902</f>
        <v>202473.70320796382</v>
      </c>
      <c r="L902" s="60">
        <f>EFEITO!$N$902*EFEITO!$AA$902</f>
        <v>695014.92083839735</v>
      </c>
      <c r="M902" s="60">
        <f>$J$902-EFEITO!$K$902*EFEITO!$Y$902</f>
        <v>0</v>
      </c>
      <c r="N902" s="60">
        <f ca="1">$K$902-EFEITO!$M$902*EFEITO!$Z$902</f>
        <v>0</v>
      </c>
      <c r="O902" s="60">
        <f>$L$902-EFEITO!$O$902*EFEITO!$AA$902</f>
        <v>0</v>
      </c>
      <c r="P902" s="18"/>
      <c r="Q902" s="18"/>
      <c r="R902" s="18"/>
      <c r="S902" s="18"/>
      <c r="T902" s="18"/>
      <c r="U902" s="18"/>
      <c r="V902" s="18"/>
      <c r="W902" s="18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1.25" customHeight="1" x14ac:dyDescent="0.2">
      <c r="A903" s="51" t="s">
        <v>28</v>
      </c>
      <c r="B903" s="51" t="s">
        <v>41</v>
      </c>
      <c r="C903" s="51" t="s">
        <v>42</v>
      </c>
      <c r="D903" s="51" t="s">
        <v>46</v>
      </c>
      <c r="E903" s="51" t="s">
        <v>25</v>
      </c>
      <c r="F903" s="51" t="s">
        <v>25</v>
      </c>
      <c r="G903" s="51" t="s">
        <v>25</v>
      </c>
      <c r="H903" s="51" t="s">
        <v>35</v>
      </c>
      <c r="I903" s="59">
        <v>44409</v>
      </c>
      <c r="J903" s="60">
        <f>EFEITO!$J$903*EFEITO!$Y$903</f>
        <v>0</v>
      </c>
      <c r="K903" s="60">
        <f ca="1">EFEITO!$L$903*EFEITO!$Z$903</f>
        <v>22601.711171534826</v>
      </c>
      <c r="L903" s="60">
        <f>EFEITO!$N$903*EFEITO!$AA$903</f>
        <v>77583.045362498902</v>
      </c>
      <c r="M903" s="60">
        <f>$J$903-EFEITO!$K$903*EFEITO!$Y$903</f>
        <v>0</v>
      </c>
      <c r="N903" s="60">
        <f ca="1">$K$903-EFEITO!$M$903*EFEITO!$Z$903</f>
        <v>0</v>
      </c>
      <c r="O903" s="60">
        <f>$L$903-EFEITO!$O$903*EFEITO!$AA$903</f>
        <v>0</v>
      </c>
      <c r="P903" s="18"/>
      <c r="Q903" s="18"/>
      <c r="R903" s="18"/>
      <c r="S903" s="18"/>
      <c r="T903" s="18"/>
      <c r="U903" s="18"/>
      <c r="V903" s="18"/>
      <c r="W903" s="18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1.25" customHeight="1" x14ac:dyDescent="0.2">
      <c r="A904" s="51" t="s">
        <v>28</v>
      </c>
      <c r="B904" s="51" t="s">
        <v>41</v>
      </c>
      <c r="C904" s="51" t="s">
        <v>42</v>
      </c>
      <c r="D904" s="51" t="s">
        <v>46</v>
      </c>
      <c r="E904" s="51" t="s">
        <v>25</v>
      </c>
      <c r="F904" s="51" t="s">
        <v>25</v>
      </c>
      <c r="G904" s="51" t="s">
        <v>25</v>
      </c>
      <c r="H904" s="51" t="s">
        <v>35</v>
      </c>
      <c r="I904" s="59">
        <v>44409</v>
      </c>
      <c r="J904" s="60">
        <f>EFEITO!$J$904*EFEITO!$Y$904</f>
        <v>0</v>
      </c>
      <c r="K904" s="60">
        <f ca="1">EFEITO!$L$904*EFEITO!$Z$904</f>
        <v>11.311289275012467</v>
      </c>
      <c r="L904" s="60">
        <f>EFEITO!$N$904*EFEITO!$AA$904</f>
        <v>38.827337552957779</v>
      </c>
      <c r="M904" s="60">
        <f>$J$904-EFEITO!$K$904*EFEITO!$Y$904</f>
        <v>0</v>
      </c>
      <c r="N904" s="60">
        <f ca="1">$K$904-EFEITO!$M$904*EFEITO!$Z$904</f>
        <v>0</v>
      </c>
      <c r="O904" s="60">
        <f>$L$904-EFEITO!$O$904*EFEITO!$AA$904</f>
        <v>0</v>
      </c>
      <c r="P904" s="18"/>
      <c r="Q904" s="18"/>
      <c r="R904" s="18"/>
      <c r="S904" s="18"/>
      <c r="T904" s="18"/>
      <c r="U904" s="18"/>
      <c r="V904" s="18"/>
      <c r="W904" s="18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1.25" customHeight="1" x14ac:dyDescent="0.2">
      <c r="A905" s="51" t="s">
        <v>21</v>
      </c>
      <c r="B905" s="51" t="s">
        <v>41</v>
      </c>
      <c r="C905" s="51" t="s">
        <v>42</v>
      </c>
      <c r="D905" s="51" t="s">
        <v>46</v>
      </c>
      <c r="E905" s="51" t="s">
        <v>25</v>
      </c>
      <c r="F905" s="51" t="s">
        <v>25</v>
      </c>
      <c r="G905" s="51" t="s">
        <v>25</v>
      </c>
      <c r="H905" s="51" t="s">
        <v>35</v>
      </c>
      <c r="I905" s="59">
        <v>44440</v>
      </c>
      <c r="J905" s="60">
        <f>EFEITO!$J$905*EFEITO!$Y$905</f>
        <v>0</v>
      </c>
      <c r="K905" s="60">
        <f ca="1">EFEITO!$L$905*EFEITO!$Z$905</f>
        <v>219144.3333474049</v>
      </c>
      <c r="L905" s="60">
        <f>EFEITO!$N$905*EFEITO!$AA$905</f>
        <v>752238.8294404411</v>
      </c>
      <c r="M905" s="60">
        <f>$J$905-EFEITO!$K$905*EFEITO!$Y$905</f>
        <v>0</v>
      </c>
      <c r="N905" s="60">
        <f ca="1">$K$905-EFEITO!$M$905*EFEITO!$Z$905</f>
        <v>0</v>
      </c>
      <c r="O905" s="60">
        <f>$L$905-EFEITO!$O$905*EFEITO!$AA$905</f>
        <v>0</v>
      </c>
      <c r="P905" s="18"/>
      <c r="Q905" s="18"/>
      <c r="R905" s="18"/>
      <c r="S905" s="18"/>
      <c r="T905" s="18"/>
      <c r="U905" s="18"/>
      <c r="V905" s="18"/>
      <c r="W905" s="18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1.25" customHeight="1" x14ac:dyDescent="0.2">
      <c r="A906" s="51" t="s">
        <v>28</v>
      </c>
      <c r="B906" s="51" t="s">
        <v>41</v>
      </c>
      <c r="C906" s="51" t="s">
        <v>42</v>
      </c>
      <c r="D906" s="51" t="s">
        <v>46</v>
      </c>
      <c r="E906" s="51" t="s">
        <v>25</v>
      </c>
      <c r="F906" s="51" t="s">
        <v>25</v>
      </c>
      <c r="G906" s="51" t="s">
        <v>25</v>
      </c>
      <c r="H906" s="51" t="s">
        <v>35</v>
      </c>
      <c r="I906" s="59">
        <v>44440</v>
      </c>
      <c r="J906" s="60">
        <f>EFEITO!$J$906*EFEITO!$Y$906</f>
        <v>0</v>
      </c>
      <c r="K906" s="60">
        <f ca="1">EFEITO!$L$906*EFEITO!$Z$906</f>
        <v>25588.736636463262</v>
      </c>
      <c r="L906" s="60">
        <f>EFEITO!$N$906*EFEITO!$AA$906</f>
        <v>87836.363369515326</v>
      </c>
      <c r="M906" s="60">
        <f>$J$906-EFEITO!$K$906*EFEITO!$Y$906</f>
        <v>0</v>
      </c>
      <c r="N906" s="60">
        <f ca="1">$K$906-EFEITO!$M$906*EFEITO!$Z$906</f>
        <v>0</v>
      </c>
      <c r="O906" s="60">
        <f>$L$906-EFEITO!$O$906*EFEITO!$AA$906</f>
        <v>0</v>
      </c>
      <c r="P906" s="18"/>
      <c r="Q906" s="18"/>
      <c r="R906" s="18"/>
      <c r="S906" s="18"/>
      <c r="T906" s="18"/>
      <c r="U906" s="18"/>
      <c r="V906" s="18"/>
      <c r="W906" s="18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1.25" customHeight="1" x14ac:dyDescent="0.2">
      <c r="A907" s="51" t="s">
        <v>21</v>
      </c>
      <c r="B907" s="51" t="s">
        <v>41</v>
      </c>
      <c r="C907" s="51" t="s">
        <v>42</v>
      </c>
      <c r="D907" s="51" t="s">
        <v>46</v>
      </c>
      <c r="E907" s="51" t="s">
        <v>25</v>
      </c>
      <c r="F907" s="51" t="s">
        <v>25</v>
      </c>
      <c r="G907" s="51" t="s">
        <v>25</v>
      </c>
      <c r="H907" s="51" t="s">
        <v>35</v>
      </c>
      <c r="I907" s="59">
        <v>44470</v>
      </c>
      <c r="J907" s="60">
        <f>EFEITO!$J$907*EFEITO!$Y$907</f>
        <v>0</v>
      </c>
      <c r="K907" s="60">
        <f ca="1">EFEITO!$L$907*EFEITO!$Z$907</f>
        <v>252958.45752391027</v>
      </c>
      <c r="L907" s="60">
        <f>EFEITO!$N$907*EFEITO!$AA$907</f>
        <v>868309.80787073646</v>
      </c>
      <c r="M907" s="60">
        <f>$J$907-EFEITO!$K$907*EFEITO!$Y$907</f>
        <v>0</v>
      </c>
      <c r="N907" s="60">
        <f ca="1">$K$907-EFEITO!$M$907*EFEITO!$Z$907</f>
        <v>0</v>
      </c>
      <c r="O907" s="60">
        <f>$L$907-EFEITO!$O$907*EFEITO!$AA$907</f>
        <v>0</v>
      </c>
      <c r="P907" s="18"/>
      <c r="Q907" s="18"/>
      <c r="R907" s="18"/>
      <c r="S907" s="18"/>
      <c r="T907" s="18"/>
      <c r="U907" s="18"/>
      <c r="V907" s="18"/>
      <c r="W907" s="18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1.25" customHeight="1" x14ac:dyDescent="0.2">
      <c r="A908" s="51" t="s">
        <v>28</v>
      </c>
      <c r="B908" s="51" t="s">
        <v>41</v>
      </c>
      <c r="C908" s="51" t="s">
        <v>42</v>
      </c>
      <c r="D908" s="51" t="s">
        <v>46</v>
      </c>
      <c r="E908" s="51" t="s">
        <v>25</v>
      </c>
      <c r="F908" s="51" t="s">
        <v>25</v>
      </c>
      <c r="G908" s="51" t="s">
        <v>25</v>
      </c>
      <c r="H908" s="51" t="s">
        <v>35</v>
      </c>
      <c r="I908" s="59">
        <v>44470</v>
      </c>
      <c r="J908" s="60">
        <f>EFEITO!$J$908*EFEITO!$Y$908</f>
        <v>0</v>
      </c>
      <c r="K908" s="60">
        <f ca="1">EFEITO!$L$908*EFEITO!$Z$908</f>
        <v>29391.150040336994</v>
      </c>
      <c r="L908" s="60">
        <f>EFEITO!$N$908*EFEITO!$AA$908</f>
        <v>100888.59686461651</v>
      </c>
      <c r="M908" s="60">
        <f>$J$908-EFEITO!$K$908*EFEITO!$Y$908</f>
        <v>0</v>
      </c>
      <c r="N908" s="60">
        <f ca="1">$K$908-EFEITO!$M$908*EFEITO!$Z$908</f>
        <v>0</v>
      </c>
      <c r="O908" s="60">
        <f>$L$908-EFEITO!$O$908*EFEITO!$AA$908</f>
        <v>0</v>
      </c>
      <c r="P908" s="18"/>
      <c r="Q908" s="18"/>
      <c r="R908" s="18"/>
      <c r="S908" s="18"/>
      <c r="T908" s="18"/>
      <c r="U908" s="18"/>
      <c r="V908" s="18"/>
      <c r="W908" s="18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1.25" customHeight="1" x14ac:dyDescent="0.2">
      <c r="A909" s="51" t="s">
        <v>21</v>
      </c>
      <c r="B909" s="51" t="s">
        <v>41</v>
      </c>
      <c r="C909" s="51" t="s">
        <v>42</v>
      </c>
      <c r="D909" s="51" t="s">
        <v>46</v>
      </c>
      <c r="E909" s="51" t="s">
        <v>25</v>
      </c>
      <c r="F909" s="51" t="s">
        <v>25</v>
      </c>
      <c r="G909" s="51" t="s">
        <v>25</v>
      </c>
      <c r="H909" s="51" t="s">
        <v>35</v>
      </c>
      <c r="I909" s="59">
        <v>44501</v>
      </c>
      <c r="J909" s="60">
        <f>EFEITO!$J$909*EFEITO!$Y$909</f>
        <v>0</v>
      </c>
      <c r="K909" s="60">
        <f ca="1">EFEITO!$L$909*EFEITO!$Z$909</f>
        <v>275459.34220311441</v>
      </c>
      <c r="L909" s="60">
        <f>EFEITO!$N$909*EFEITO!$AA$909</f>
        <v>945546.75437953067</v>
      </c>
      <c r="M909" s="60">
        <f>$J$909-EFEITO!$K$909*EFEITO!$Y$909</f>
        <v>0</v>
      </c>
      <c r="N909" s="60">
        <f ca="1">$K$909-EFEITO!$M$909*EFEITO!$Z$909</f>
        <v>0</v>
      </c>
      <c r="O909" s="60">
        <f>$L$909-EFEITO!$O$909*EFEITO!$AA$909</f>
        <v>0</v>
      </c>
      <c r="P909" s="18"/>
      <c r="Q909" s="18"/>
      <c r="R909" s="18"/>
      <c r="S909" s="18"/>
      <c r="T909" s="18"/>
      <c r="U909" s="18"/>
      <c r="V909" s="18"/>
      <c r="W909" s="18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1.25" customHeight="1" x14ac:dyDescent="0.2">
      <c r="A910" s="51" t="s">
        <v>28</v>
      </c>
      <c r="B910" s="51" t="s">
        <v>41</v>
      </c>
      <c r="C910" s="51" t="s">
        <v>42</v>
      </c>
      <c r="D910" s="51" t="s">
        <v>46</v>
      </c>
      <c r="E910" s="51" t="s">
        <v>25</v>
      </c>
      <c r="F910" s="51" t="s">
        <v>25</v>
      </c>
      <c r="G910" s="51" t="s">
        <v>25</v>
      </c>
      <c r="H910" s="51" t="s">
        <v>35</v>
      </c>
      <c r="I910" s="59">
        <v>44501</v>
      </c>
      <c r="J910" s="60">
        <f>EFEITO!$J$910*EFEITO!$Y$910</f>
        <v>0</v>
      </c>
      <c r="K910" s="60">
        <f ca="1">EFEITO!$L$910*EFEITO!$Z$910</f>
        <v>30779.773317368839</v>
      </c>
      <c r="L910" s="60">
        <f>EFEITO!$N$910*EFEITO!$AA$910</f>
        <v>105655.21041328738</v>
      </c>
      <c r="M910" s="60">
        <f>$J$910-EFEITO!$K$910*EFEITO!$Y$910</f>
        <v>0</v>
      </c>
      <c r="N910" s="60">
        <f ca="1">$K$910-EFEITO!$M$910*EFEITO!$Z$910</f>
        <v>0</v>
      </c>
      <c r="O910" s="60">
        <f>$L$910-EFEITO!$O$910*EFEITO!$AA$910</f>
        <v>0</v>
      </c>
      <c r="P910" s="18"/>
      <c r="Q910" s="18"/>
      <c r="R910" s="18"/>
      <c r="S910" s="18"/>
      <c r="T910" s="18"/>
      <c r="U910" s="18"/>
      <c r="V910" s="18"/>
      <c r="W910" s="18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1.25" customHeight="1" x14ac:dyDescent="0.2">
      <c r="A911" s="51" t="s">
        <v>21</v>
      </c>
      <c r="B911" s="51" t="s">
        <v>41</v>
      </c>
      <c r="C911" s="51" t="s">
        <v>42</v>
      </c>
      <c r="D911" s="51" t="s">
        <v>46</v>
      </c>
      <c r="E911" s="51" t="s">
        <v>25</v>
      </c>
      <c r="F911" s="51" t="s">
        <v>25</v>
      </c>
      <c r="G911" s="51" t="s">
        <v>25</v>
      </c>
      <c r="H911" s="51" t="s">
        <v>35</v>
      </c>
      <c r="I911" s="59">
        <v>44531</v>
      </c>
      <c r="J911" s="60">
        <f>EFEITO!$J$911*EFEITO!$Y$911</f>
        <v>0</v>
      </c>
      <c r="K911" s="60">
        <f ca="1">EFEITO!$L$911*EFEITO!$Z$911</f>
        <v>275293.18326410901</v>
      </c>
      <c r="L911" s="60">
        <f>EFEITO!$N$911*EFEITO!$AA$911</f>
        <v>944976.39417961461</v>
      </c>
      <c r="M911" s="60">
        <f>$J$911-EFEITO!$K$911*EFEITO!$Y$911</f>
        <v>0</v>
      </c>
      <c r="N911" s="60">
        <f ca="1">$K$911-EFEITO!$M$911*EFEITO!$Z$911</f>
        <v>0</v>
      </c>
      <c r="O911" s="60">
        <f>$L$911-EFEITO!$O$911*EFEITO!$AA$911</f>
        <v>0</v>
      </c>
      <c r="P911" s="18"/>
      <c r="Q911" s="18"/>
      <c r="R911" s="18"/>
      <c r="S911" s="18"/>
      <c r="T911" s="18"/>
      <c r="U911" s="18"/>
      <c r="V911" s="18"/>
      <c r="W911" s="18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1.25" customHeight="1" x14ac:dyDescent="0.2">
      <c r="A912" s="51" t="s">
        <v>28</v>
      </c>
      <c r="B912" s="51" t="s">
        <v>41</v>
      </c>
      <c r="C912" s="51" t="s">
        <v>42</v>
      </c>
      <c r="D912" s="51" t="s">
        <v>46</v>
      </c>
      <c r="E912" s="51" t="s">
        <v>25</v>
      </c>
      <c r="F912" s="51" t="s">
        <v>25</v>
      </c>
      <c r="G912" s="51" t="s">
        <v>25</v>
      </c>
      <c r="H912" s="51" t="s">
        <v>35</v>
      </c>
      <c r="I912" s="59">
        <v>44531</v>
      </c>
      <c r="J912" s="60">
        <f>EFEITO!$J$912*EFEITO!$Y$912</f>
        <v>0</v>
      </c>
      <c r="K912" s="60">
        <f ca="1">EFEITO!$L$912*EFEITO!$Z$912</f>
        <v>32470.811063983205</v>
      </c>
      <c r="L912" s="60">
        <f>EFEITO!$N$912*EFEITO!$AA$912</f>
        <v>111459.89737745457</v>
      </c>
      <c r="M912" s="60">
        <f>$J$912-EFEITO!$K$912*EFEITO!$Y$912</f>
        <v>0</v>
      </c>
      <c r="N912" s="60">
        <f ca="1">$K$912-EFEITO!$M$912*EFEITO!$Z$912</f>
        <v>0</v>
      </c>
      <c r="O912" s="60">
        <f>$L$912-EFEITO!$O$912*EFEITO!$AA$912</f>
        <v>0</v>
      </c>
      <c r="P912" s="18"/>
      <c r="Q912" s="18"/>
      <c r="R912" s="18"/>
      <c r="S912" s="18"/>
      <c r="T912" s="18"/>
      <c r="U912" s="18"/>
      <c r="V912" s="18"/>
      <c r="W912" s="18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1.25" customHeight="1" x14ac:dyDescent="0.2">
      <c r="A913" s="51" t="s">
        <v>28</v>
      </c>
      <c r="B913" s="51" t="s">
        <v>41</v>
      </c>
      <c r="C913" s="51" t="s">
        <v>42</v>
      </c>
      <c r="D913" s="51" t="s">
        <v>46</v>
      </c>
      <c r="E913" s="51" t="s">
        <v>25</v>
      </c>
      <c r="F913" s="51" t="s">
        <v>25</v>
      </c>
      <c r="G913" s="51" t="s">
        <v>25</v>
      </c>
      <c r="H913" s="51" t="s">
        <v>35</v>
      </c>
      <c r="I913" s="59">
        <v>44531</v>
      </c>
      <c r="J913" s="60">
        <f>EFEITO!$J$913*EFEITO!$Y$913</f>
        <v>0</v>
      </c>
      <c r="K913" s="60">
        <f ca="1">EFEITO!$L$913*EFEITO!$Z$913</f>
        <v>-400.44564329929199</v>
      </c>
      <c r="L913" s="60">
        <f>EFEITO!$N$913*EFEITO!$AA$913</f>
        <v>-1374.5770076219537</v>
      </c>
      <c r="M913" s="60">
        <f>$J$913-EFEITO!$K$913*EFEITO!$Y$913</f>
        <v>0</v>
      </c>
      <c r="N913" s="60">
        <f ca="1">$K$913-EFEITO!$M$913*EFEITO!$Z$913</f>
        <v>0</v>
      </c>
      <c r="O913" s="60">
        <f>$L$913-EFEITO!$O$913*EFEITO!$AA$913</f>
        <v>0</v>
      </c>
      <c r="P913" s="18"/>
      <c r="Q913" s="18"/>
      <c r="R913" s="18"/>
      <c r="S913" s="18"/>
      <c r="T913" s="18"/>
      <c r="U913" s="18"/>
      <c r="V913" s="18"/>
      <c r="W913" s="18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1.25" customHeight="1" x14ac:dyDescent="0.2">
      <c r="A914" s="51" t="s">
        <v>21</v>
      </c>
      <c r="B914" s="51" t="s">
        <v>41</v>
      </c>
      <c r="C914" s="51" t="s">
        <v>42</v>
      </c>
      <c r="D914" s="51" t="s">
        <v>46</v>
      </c>
      <c r="E914" s="51" t="s">
        <v>25</v>
      </c>
      <c r="F914" s="51" t="s">
        <v>25</v>
      </c>
      <c r="G914" s="51" t="s">
        <v>25</v>
      </c>
      <c r="H914" s="51" t="s">
        <v>35</v>
      </c>
      <c r="I914" s="59">
        <v>44562</v>
      </c>
      <c r="J914" s="60">
        <f>EFEITO!$J$914*EFEITO!$Y$914</f>
        <v>0</v>
      </c>
      <c r="K914" s="60">
        <f ca="1">EFEITO!$L$914*EFEITO!$Z$914</f>
        <v>294111.33318056184</v>
      </c>
      <c r="L914" s="60">
        <f>EFEITO!$N$914*EFEITO!$AA$914</f>
        <v>1009571.9182762675</v>
      </c>
      <c r="M914" s="60">
        <f>$J$914-EFEITO!$K$914*EFEITO!$Y$914</f>
        <v>0</v>
      </c>
      <c r="N914" s="60">
        <f ca="1">$K$914-EFEITO!$M$914*EFEITO!$Z$914</f>
        <v>0</v>
      </c>
      <c r="O914" s="60">
        <f>$L$914-EFEITO!$O$914*EFEITO!$AA$914</f>
        <v>0</v>
      </c>
      <c r="P914" s="18"/>
      <c r="Q914" s="18"/>
      <c r="R914" s="18"/>
      <c r="S914" s="18"/>
      <c r="T914" s="18"/>
      <c r="U914" s="18"/>
      <c r="V914" s="18"/>
      <c r="W914" s="18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1.25" customHeight="1" x14ac:dyDescent="0.2">
      <c r="A915" s="51" t="s">
        <v>27</v>
      </c>
      <c r="B915" s="51" t="s">
        <v>41</v>
      </c>
      <c r="C915" s="51" t="s">
        <v>42</v>
      </c>
      <c r="D915" s="51" t="s">
        <v>46</v>
      </c>
      <c r="E915" s="51" t="s">
        <v>25</v>
      </c>
      <c r="F915" s="51" t="s">
        <v>25</v>
      </c>
      <c r="G915" s="51" t="s">
        <v>25</v>
      </c>
      <c r="H915" s="51" t="s">
        <v>35</v>
      </c>
      <c r="I915" s="59">
        <v>44562</v>
      </c>
      <c r="J915" s="60">
        <f>EFEITO!$J$915*EFEITO!$Y$915</f>
        <v>0</v>
      </c>
      <c r="K915" s="60">
        <f ca="1">EFEITO!$L$915*EFEITO!$Z$915</f>
        <v>24.117748971434629</v>
      </c>
      <c r="L915" s="60">
        <f>EFEITO!$N$915*EFEITO!$AA$915</f>
        <v>82.787024322685852</v>
      </c>
      <c r="M915" s="60">
        <f>$J$915-EFEITO!$K$915*EFEITO!$Y$915</f>
        <v>0</v>
      </c>
      <c r="N915" s="60">
        <f ca="1">$K$915-EFEITO!$M$915*EFEITO!$Z$915</f>
        <v>0</v>
      </c>
      <c r="O915" s="60">
        <f>$L$915-EFEITO!$O$915*EFEITO!$AA$915</f>
        <v>0</v>
      </c>
      <c r="P915" s="18"/>
      <c r="Q915" s="18"/>
      <c r="R915" s="18"/>
      <c r="S915" s="18"/>
      <c r="T915" s="18"/>
      <c r="U915" s="18"/>
      <c r="V915" s="18"/>
      <c r="W915" s="18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1.25" customHeight="1" x14ac:dyDescent="0.2">
      <c r="A916" s="51" t="s">
        <v>28</v>
      </c>
      <c r="B916" s="51" t="s">
        <v>41</v>
      </c>
      <c r="C916" s="51" t="s">
        <v>42</v>
      </c>
      <c r="D916" s="51" t="s">
        <v>46</v>
      </c>
      <c r="E916" s="51" t="s">
        <v>25</v>
      </c>
      <c r="F916" s="51" t="s">
        <v>25</v>
      </c>
      <c r="G916" s="51" t="s">
        <v>25</v>
      </c>
      <c r="H916" s="51" t="s">
        <v>35</v>
      </c>
      <c r="I916" s="59">
        <v>44562</v>
      </c>
      <c r="J916" s="60">
        <f>EFEITO!$J$916*EFEITO!$Y$916</f>
        <v>0</v>
      </c>
      <c r="K916" s="60">
        <f ca="1">EFEITO!$L$916*EFEITO!$Z$916</f>
        <v>31899.135903727689</v>
      </c>
      <c r="L916" s="60">
        <f>EFEITO!$N$916*EFEITO!$AA$916</f>
        <v>109497.55481170336</v>
      </c>
      <c r="M916" s="60">
        <f>$J$916-EFEITO!$K$916*EFEITO!$Y$916</f>
        <v>0</v>
      </c>
      <c r="N916" s="60">
        <f ca="1">$K$916-EFEITO!$M$916*EFEITO!$Z$916</f>
        <v>0</v>
      </c>
      <c r="O916" s="60">
        <f>$L$916-EFEITO!$O$916*EFEITO!$AA$916</f>
        <v>0</v>
      </c>
      <c r="P916" s="18"/>
      <c r="Q916" s="18"/>
      <c r="R916" s="18"/>
      <c r="S916" s="18"/>
      <c r="T916" s="18"/>
      <c r="U916" s="18"/>
      <c r="V916" s="18"/>
      <c r="W916" s="18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1.25" customHeight="1" x14ac:dyDescent="0.2">
      <c r="A917" s="51" t="s">
        <v>21</v>
      </c>
      <c r="B917" s="51" t="s">
        <v>41</v>
      </c>
      <c r="C917" s="51" t="s">
        <v>42</v>
      </c>
      <c r="D917" s="51" t="s">
        <v>46</v>
      </c>
      <c r="E917" s="51" t="s">
        <v>25</v>
      </c>
      <c r="F917" s="51" t="s">
        <v>25</v>
      </c>
      <c r="G917" s="51" t="s">
        <v>25</v>
      </c>
      <c r="H917" s="51" t="s">
        <v>35</v>
      </c>
      <c r="I917" s="59">
        <v>44593</v>
      </c>
      <c r="J917" s="60">
        <f>EFEITO!$J$917*EFEITO!$Y$917</f>
        <v>0</v>
      </c>
      <c r="K917" s="60">
        <f ca="1">EFEITO!$L$917*EFEITO!$Z$917</f>
        <v>270867.93386860372</v>
      </c>
      <c r="L917" s="60">
        <f>EFEITO!$N$917*EFEITO!$AA$917</f>
        <v>929786.20251730166</v>
      </c>
      <c r="M917" s="60">
        <f>$J$917-EFEITO!$K$917*EFEITO!$Y$917</f>
        <v>0</v>
      </c>
      <c r="N917" s="60">
        <f ca="1">$K$917-EFEITO!$M$917*EFEITO!$Z$917</f>
        <v>0</v>
      </c>
      <c r="O917" s="60">
        <f>$L$917-EFEITO!$O$917*EFEITO!$AA$917</f>
        <v>0</v>
      </c>
      <c r="P917" s="18"/>
      <c r="Q917" s="18"/>
      <c r="R917" s="18"/>
      <c r="S917" s="18"/>
      <c r="T917" s="18"/>
      <c r="U917" s="18"/>
      <c r="V917" s="18"/>
      <c r="W917" s="18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1.25" customHeight="1" x14ac:dyDescent="0.2">
      <c r="A918" s="51" t="s">
        <v>27</v>
      </c>
      <c r="B918" s="51" t="s">
        <v>41</v>
      </c>
      <c r="C918" s="51" t="s">
        <v>42</v>
      </c>
      <c r="D918" s="51" t="s">
        <v>46</v>
      </c>
      <c r="E918" s="51" t="s">
        <v>25</v>
      </c>
      <c r="F918" s="51" t="s">
        <v>25</v>
      </c>
      <c r="G918" s="51" t="s">
        <v>25</v>
      </c>
      <c r="H918" s="51" t="s">
        <v>35</v>
      </c>
      <c r="I918" s="59">
        <v>44593</v>
      </c>
      <c r="J918" s="60">
        <f>EFEITO!$J$918*EFEITO!$Y$918</f>
        <v>0</v>
      </c>
      <c r="K918" s="60">
        <f ca="1">EFEITO!$L$918*EFEITO!$Z$918</f>
        <v>-21461.871251143624</v>
      </c>
      <c r="L918" s="60">
        <f>EFEITO!$N$918*EFEITO!$AA$918</f>
        <v>-73670.41009437498</v>
      </c>
      <c r="M918" s="60">
        <f>$J$918-EFEITO!$K$918*EFEITO!$Y$918</f>
        <v>0</v>
      </c>
      <c r="N918" s="60">
        <f ca="1">$K$918-EFEITO!$M$918*EFEITO!$Z$918</f>
        <v>0</v>
      </c>
      <c r="O918" s="60">
        <f>$L$918-EFEITO!$O$918*EFEITO!$AA$918</f>
        <v>0</v>
      </c>
      <c r="P918" s="18"/>
      <c r="Q918" s="18"/>
      <c r="R918" s="18"/>
      <c r="S918" s="18"/>
      <c r="T918" s="18"/>
      <c r="U918" s="18"/>
      <c r="V918" s="18"/>
      <c r="W918" s="18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1.25" customHeight="1" x14ac:dyDescent="0.2">
      <c r="A919" s="51" t="s">
        <v>28</v>
      </c>
      <c r="B919" s="51" t="s">
        <v>41</v>
      </c>
      <c r="C919" s="51" t="s">
        <v>42</v>
      </c>
      <c r="D919" s="51" t="s">
        <v>46</v>
      </c>
      <c r="E919" s="51" t="s">
        <v>25</v>
      </c>
      <c r="F919" s="51" t="s">
        <v>25</v>
      </c>
      <c r="G919" s="51" t="s">
        <v>25</v>
      </c>
      <c r="H919" s="51" t="s">
        <v>35</v>
      </c>
      <c r="I919" s="59">
        <v>44593</v>
      </c>
      <c r="J919" s="60">
        <f>EFEITO!$J$919*EFEITO!$Y$919</f>
        <v>0</v>
      </c>
      <c r="K919" s="60">
        <f ca="1">EFEITO!$L$919*EFEITO!$Z$919</f>
        <v>31693.452459669417</v>
      </c>
      <c r="L919" s="60">
        <f>EFEITO!$N$919*EFEITO!$AA$919</f>
        <v>108791.52207597026</v>
      </c>
      <c r="M919" s="60">
        <f>$J$919-EFEITO!$K$919*EFEITO!$Y$919</f>
        <v>0</v>
      </c>
      <c r="N919" s="60">
        <f ca="1">$K$919-EFEITO!$M$919*EFEITO!$Z$919</f>
        <v>0</v>
      </c>
      <c r="O919" s="60">
        <f>$L$919-EFEITO!$O$919*EFEITO!$AA$919</f>
        <v>0</v>
      </c>
      <c r="P919" s="18"/>
      <c r="Q919" s="18"/>
      <c r="R919" s="18"/>
      <c r="S919" s="18"/>
      <c r="T919" s="18"/>
      <c r="U919" s="18"/>
      <c r="V919" s="18"/>
      <c r="W919" s="18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1.25" customHeight="1" x14ac:dyDescent="0.2">
      <c r="A920" s="51" t="s">
        <v>56</v>
      </c>
      <c r="B920" s="51" t="s">
        <v>41</v>
      </c>
      <c r="C920" s="51" t="s">
        <v>42</v>
      </c>
      <c r="D920" s="51" t="s">
        <v>46</v>
      </c>
      <c r="E920" s="51" t="s">
        <v>25</v>
      </c>
      <c r="F920" s="51" t="s">
        <v>25</v>
      </c>
      <c r="G920" s="51" t="s">
        <v>25</v>
      </c>
      <c r="H920" s="51" t="s">
        <v>35</v>
      </c>
      <c r="I920" s="59">
        <v>44621</v>
      </c>
      <c r="J920" s="60">
        <f>EFEITO!$J$920*EFEITO!$Y$920</f>
        <v>0</v>
      </c>
      <c r="K920" s="60">
        <f ca="1">EFEITO!$L$920*EFEITO!$Z$920</f>
        <v>270867.93386860372</v>
      </c>
      <c r="L920" s="60">
        <f>EFEITO!$N$920*EFEITO!$AA$920</f>
        <v>929786.20251730166</v>
      </c>
      <c r="M920" s="60">
        <f>$J$920-EFEITO!$K$920*EFEITO!$Y$920</f>
        <v>0</v>
      </c>
      <c r="N920" s="60">
        <f ca="1">$K$920-EFEITO!$M$920*EFEITO!$Z$920</f>
        <v>0</v>
      </c>
      <c r="O920" s="60">
        <f>$L$920-EFEITO!$O$920*EFEITO!$AA$920</f>
        <v>0</v>
      </c>
      <c r="P920" s="18"/>
      <c r="Q920" s="18"/>
      <c r="R920" s="18"/>
      <c r="S920" s="18"/>
      <c r="T920" s="18"/>
      <c r="U920" s="18"/>
      <c r="V920" s="18"/>
      <c r="W920" s="18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1.25" customHeight="1" x14ac:dyDescent="0.2">
      <c r="A921" s="51" t="s">
        <v>56</v>
      </c>
      <c r="B921" s="51" t="s">
        <v>41</v>
      </c>
      <c r="C921" s="51" t="s">
        <v>42</v>
      </c>
      <c r="D921" s="51" t="s">
        <v>46</v>
      </c>
      <c r="E921" s="51" t="s">
        <v>25</v>
      </c>
      <c r="F921" s="51" t="s">
        <v>25</v>
      </c>
      <c r="G921" s="51" t="s">
        <v>25</v>
      </c>
      <c r="H921" s="51" t="s">
        <v>35</v>
      </c>
      <c r="I921" s="59">
        <v>44621</v>
      </c>
      <c r="J921" s="60">
        <f>EFEITO!$J$921*EFEITO!$Y$921</f>
        <v>0</v>
      </c>
      <c r="K921" s="60">
        <f ca="1">EFEITO!$L$921*EFEITO!$Z$921</f>
        <v>-21461.871251143624</v>
      </c>
      <c r="L921" s="60">
        <f>EFEITO!$N$921*EFEITO!$AA$921</f>
        <v>-73670.41009437498</v>
      </c>
      <c r="M921" s="60">
        <f>$J$921-EFEITO!$K$921*EFEITO!$Y$921</f>
        <v>0</v>
      </c>
      <c r="N921" s="60">
        <f ca="1">$K$921-EFEITO!$M$921*EFEITO!$Z$921</f>
        <v>0</v>
      </c>
      <c r="O921" s="60">
        <f>$L$921-EFEITO!$O$921*EFEITO!$AA$921</f>
        <v>0</v>
      </c>
      <c r="P921" s="18"/>
      <c r="Q921" s="18"/>
      <c r="R921" s="18"/>
      <c r="S921" s="18"/>
      <c r="T921" s="18"/>
      <c r="U921" s="18"/>
      <c r="V921" s="18"/>
      <c r="W921" s="18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1.25" customHeight="1" x14ac:dyDescent="0.2">
      <c r="A922" s="51" t="s">
        <v>56</v>
      </c>
      <c r="B922" s="51" t="s">
        <v>41</v>
      </c>
      <c r="C922" s="51" t="s">
        <v>42</v>
      </c>
      <c r="D922" s="51" t="s">
        <v>46</v>
      </c>
      <c r="E922" s="51" t="s">
        <v>25</v>
      </c>
      <c r="F922" s="51" t="s">
        <v>25</v>
      </c>
      <c r="G922" s="51" t="s">
        <v>25</v>
      </c>
      <c r="H922" s="51" t="s">
        <v>35</v>
      </c>
      <c r="I922" s="59">
        <v>44621</v>
      </c>
      <c r="J922" s="60">
        <f>EFEITO!$J$922*EFEITO!$Y$922</f>
        <v>0</v>
      </c>
      <c r="K922" s="60">
        <f ca="1">EFEITO!$L$922*EFEITO!$Z$922</f>
        <v>31693.452459669417</v>
      </c>
      <c r="L922" s="60">
        <f>EFEITO!$N$922*EFEITO!$AA$922</f>
        <v>108791.52207597026</v>
      </c>
      <c r="M922" s="60">
        <f>$J$922-EFEITO!$K$922*EFEITO!$Y$922</f>
        <v>0</v>
      </c>
      <c r="N922" s="60">
        <f ca="1">$K$922-EFEITO!$M$922*EFEITO!$Z$922</f>
        <v>0</v>
      </c>
      <c r="O922" s="60">
        <f>$L$922-EFEITO!$O$922*EFEITO!$AA$922</f>
        <v>0</v>
      </c>
      <c r="P922" s="18"/>
      <c r="Q922" s="18"/>
      <c r="R922" s="18"/>
      <c r="S922" s="18"/>
      <c r="T922" s="18"/>
      <c r="U922" s="18"/>
      <c r="V922" s="18"/>
      <c r="W922" s="18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1.25" customHeight="1" x14ac:dyDescent="0.2">
      <c r="A923" s="51" t="s">
        <v>21</v>
      </c>
      <c r="B923" s="51" t="s">
        <v>41</v>
      </c>
      <c r="C923" s="51" t="s">
        <v>42</v>
      </c>
      <c r="D923" s="51" t="s">
        <v>46</v>
      </c>
      <c r="E923" s="51" t="s">
        <v>25</v>
      </c>
      <c r="F923" s="51" t="s">
        <v>25</v>
      </c>
      <c r="G923" s="51" t="s">
        <v>25</v>
      </c>
      <c r="H923" s="51" t="s">
        <v>25</v>
      </c>
      <c r="I923" s="59">
        <v>44287</v>
      </c>
      <c r="J923" s="60">
        <f ca="1">EFEITO!$J$923*EFEITO!$Y$923</f>
        <v>816667.28395045071</v>
      </c>
      <c r="K923" s="60">
        <f>EFEITO!$L$923*EFEITO!$Z$923</f>
        <v>0</v>
      </c>
      <c r="L923" s="60">
        <f>EFEITO!$N$923*EFEITO!$AA$923</f>
        <v>0</v>
      </c>
      <c r="M923" s="60">
        <f ca="1">$J$923-EFEITO!$K$923*EFEITO!$Y$923</f>
        <v>0</v>
      </c>
      <c r="N923" s="60">
        <f>$K$923-EFEITO!$M$923*EFEITO!$Z$923</f>
        <v>0</v>
      </c>
      <c r="O923" s="60">
        <f>$L$923-EFEITO!$O$923*EFEITO!$AA$923</f>
        <v>0</v>
      </c>
      <c r="P923" s="18"/>
      <c r="Q923" s="18"/>
      <c r="R923" s="18"/>
      <c r="S923" s="18"/>
      <c r="T923" s="18"/>
      <c r="U923" s="18"/>
      <c r="V923" s="18"/>
      <c r="W923" s="18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1.25" customHeight="1" x14ac:dyDescent="0.2">
      <c r="A924" s="51" t="s">
        <v>28</v>
      </c>
      <c r="B924" s="51" t="s">
        <v>41</v>
      </c>
      <c r="C924" s="51" t="s">
        <v>42</v>
      </c>
      <c r="D924" s="51" t="s">
        <v>46</v>
      </c>
      <c r="E924" s="51" t="s">
        <v>25</v>
      </c>
      <c r="F924" s="51" t="s">
        <v>25</v>
      </c>
      <c r="G924" s="51" t="s">
        <v>25</v>
      </c>
      <c r="H924" s="51" t="s">
        <v>25</v>
      </c>
      <c r="I924" s="59">
        <v>44287</v>
      </c>
      <c r="J924" s="60">
        <f ca="1">EFEITO!$J$924*EFEITO!$Y$924</f>
        <v>40163.092716427192</v>
      </c>
      <c r="K924" s="60">
        <f>EFEITO!$L$924*EFEITO!$Z$924</f>
        <v>0</v>
      </c>
      <c r="L924" s="60">
        <f>EFEITO!$N$924*EFEITO!$AA$924</f>
        <v>0</v>
      </c>
      <c r="M924" s="60">
        <f ca="1">$J$924-EFEITO!$K$924*EFEITO!$Y$924</f>
        <v>0</v>
      </c>
      <c r="N924" s="60">
        <f>$K$924-EFEITO!$M$924*EFEITO!$Z$924</f>
        <v>0</v>
      </c>
      <c r="O924" s="60">
        <f>$L$924-EFEITO!$O$924*EFEITO!$AA$924</f>
        <v>0</v>
      </c>
      <c r="P924" s="18"/>
      <c r="Q924" s="18"/>
      <c r="R924" s="18"/>
      <c r="S924" s="18"/>
      <c r="T924" s="18"/>
      <c r="U924" s="18"/>
      <c r="V924" s="18"/>
      <c r="W924" s="18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1.25" customHeight="1" x14ac:dyDescent="0.2">
      <c r="A925" s="51" t="s">
        <v>21</v>
      </c>
      <c r="B925" s="51" t="s">
        <v>41</v>
      </c>
      <c r="C925" s="51" t="s">
        <v>42</v>
      </c>
      <c r="D925" s="51" t="s">
        <v>46</v>
      </c>
      <c r="E925" s="51" t="s">
        <v>25</v>
      </c>
      <c r="F925" s="51" t="s">
        <v>25</v>
      </c>
      <c r="G925" s="51" t="s">
        <v>25</v>
      </c>
      <c r="H925" s="51" t="s">
        <v>25</v>
      </c>
      <c r="I925" s="59">
        <v>44317</v>
      </c>
      <c r="J925" s="60">
        <f ca="1">EFEITO!$J$925*EFEITO!$Y$925</f>
        <v>791133.13228967576</v>
      </c>
      <c r="K925" s="60">
        <f>EFEITO!$L$925*EFEITO!$Z$925</f>
        <v>0</v>
      </c>
      <c r="L925" s="60">
        <f>EFEITO!$N$925*EFEITO!$AA$925</f>
        <v>0</v>
      </c>
      <c r="M925" s="60">
        <f ca="1">$J$925-EFEITO!$K$925*EFEITO!$Y$925</f>
        <v>0</v>
      </c>
      <c r="N925" s="60">
        <f>$K$925-EFEITO!$M$925*EFEITO!$Z$925</f>
        <v>0</v>
      </c>
      <c r="O925" s="60">
        <f>$L$925-EFEITO!$O$925*EFEITO!$AA$925</f>
        <v>0</v>
      </c>
      <c r="P925" s="18"/>
      <c r="Q925" s="18"/>
      <c r="R925" s="18"/>
      <c r="S925" s="18"/>
      <c r="T925" s="18"/>
      <c r="U925" s="18"/>
      <c r="V925" s="18"/>
      <c r="W925" s="18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1.25" customHeight="1" x14ac:dyDescent="0.2">
      <c r="A926" s="51" t="s">
        <v>27</v>
      </c>
      <c r="B926" s="51" t="s">
        <v>41</v>
      </c>
      <c r="C926" s="51" t="s">
        <v>42</v>
      </c>
      <c r="D926" s="51" t="s">
        <v>46</v>
      </c>
      <c r="E926" s="51" t="s">
        <v>25</v>
      </c>
      <c r="F926" s="51" t="s">
        <v>25</v>
      </c>
      <c r="G926" s="51" t="s">
        <v>25</v>
      </c>
      <c r="H926" s="51" t="s">
        <v>25</v>
      </c>
      <c r="I926" s="59">
        <v>44317</v>
      </c>
      <c r="J926" s="60">
        <f ca="1">EFEITO!$J$926*EFEITO!$Y$926</f>
        <v>-1861.8652252648369</v>
      </c>
      <c r="K926" s="60">
        <f>EFEITO!$L$926*EFEITO!$Z$926</f>
        <v>0</v>
      </c>
      <c r="L926" s="60">
        <f>EFEITO!$N$926*EFEITO!$AA$926</f>
        <v>0</v>
      </c>
      <c r="M926" s="60">
        <f ca="1">$J$926-EFEITO!$K$926*EFEITO!$Y$926</f>
        <v>0</v>
      </c>
      <c r="N926" s="60">
        <f>$K$926-EFEITO!$M$926*EFEITO!$Z$926</f>
        <v>0</v>
      </c>
      <c r="O926" s="60">
        <f>$L$926-EFEITO!$O$926*EFEITO!$AA$926</f>
        <v>0</v>
      </c>
      <c r="P926" s="18"/>
      <c r="Q926" s="18"/>
      <c r="R926" s="18"/>
      <c r="S926" s="18"/>
      <c r="T926" s="18"/>
      <c r="U926" s="18"/>
      <c r="V926" s="18"/>
      <c r="W926" s="18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1.25" customHeight="1" x14ac:dyDescent="0.2">
      <c r="A927" s="51" t="s">
        <v>28</v>
      </c>
      <c r="B927" s="51" t="s">
        <v>41</v>
      </c>
      <c r="C927" s="51" t="s">
        <v>42</v>
      </c>
      <c r="D927" s="51" t="s">
        <v>46</v>
      </c>
      <c r="E927" s="51" t="s">
        <v>25</v>
      </c>
      <c r="F927" s="51" t="s">
        <v>25</v>
      </c>
      <c r="G927" s="51" t="s">
        <v>25</v>
      </c>
      <c r="H927" s="51" t="s">
        <v>25</v>
      </c>
      <c r="I927" s="59">
        <v>44317</v>
      </c>
      <c r="J927" s="60">
        <f ca="1">EFEITO!$J$927*EFEITO!$Y$927</f>
        <v>63569.398405470856</v>
      </c>
      <c r="K927" s="60">
        <f>EFEITO!$L$927*EFEITO!$Z$927</f>
        <v>0</v>
      </c>
      <c r="L927" s="60">
        <f>EFEITO!$N$927*EFEITO!$AA$927</f>
        <v>0</v>
      </c>
      <c r="M927" s="60">
        <f ca="1">$J$927-EFEITO!$K$927*EFEITO!$Y$927</f>
        <v>0</v>
      </c>
      <c r="N927" s="60">
        <f>$K$927-EFEITO!$M$927*EFEITO!$Z$927</f>
        <v>0</v>
      </c>
      <c r="O927" s="60">
        <f>$L$927-EFEITO!$O$927*EFEITO!$AA$927</f>
        <v>0</v>
      </c>
      <c r="P927" s="18"/>
      <c r="Q927" s="18"/>
      <c r="R927" s="18"/>
      <c r="S927" s="18"/>
      <c r="T927" s="18"/>
      <c r="U927" s="18"/>
      <c r="V927" s="18"/>
      <c r="W927" s="18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1.25" customHeight="1" x14ac:dyDescent="0.2">
      <c r="A928" s="51" t="s">
        <v>21</v>
      </c>
      <c r="B928" s="51" t="s">
        <v>41</v>
      </c>
      <c r="C928" s="51" t="s">
        <v>42</v>
      </c>
      <c r="D928" s="51" t="s">
        <v>46</v>
      </c>
      <c r="E928" s="51" t="s">
        <v>25</v>
      </c>
      <c r="F928" s="51" t="s">
        <v>25</v>
      </c>
      <c r="G928" s="51" t="s">
        <v>25</v>
      </c>
      <c r="H928" s="51" t="s">
        <v>25</v>
      </c>
      <c r="I928" s="59">
        <v>44348</v>
      </c>
      <c r="J928" s="60">
        <f ca="1">EFEITO!$J$928*EFEITO!$Y$928</f>
        <v>782169.58113375795</v>
      </c>
      <c r="K928" s="60">
        <f>EFEITO!$L$928*EFEITO!$Z$928</f>
        <v>0</v>
      </c>
      <c r="L928" s="60">
        <f>EFEITO!$N$928*EFEITO!$AA$928</f>
        <v>0</v>
      </c>
      <c r="M928" s="60">
        <f ca="1">$J$928-EFEITO!$K$928*EFEITO!$Y$928</f>
        <v>0</v>
      </c>
      <c r="N928" s="60">
        <f>$K$928-EFEITO!$M$928*EFEITO!$Z$928</f>
        <v>0</v>
      </c>
      <c r="O928" s="60">
        <f>$L$928-EFEITO!$O$928*EFEITO!$AA$928</f>
        <v>0</v>
      </c>
      <c r="P928" s="18"/>
      <c r="Q928" s="18"/>
      <c r="R928" s="18"/>
      <c r="S928" s="18"/>
      <c r="T928" s="18"/>
      <c r="U928" s="18"/>
      <c r="V928" s="18"/>
      <c r="W928" s="18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1.25" customHeight="1" x14ac:dyDescent="0.2">
      <c r="A929" s="51" t="s">
        <v>28</v>
      </c>
      <c r="B929" s="51" t="s">
        <v>41</v>
      </c>
      <c r="C929" s="51" t="s">
        <v>42</v>
      </c>
      <c r="D929" s="51" t="s">
        <v>46</v>
      </c>
      <c r="E929" s="51" t="s">
        <v>25</v>
      </c>
      <c r="F929" s="51" t="s">
        <v>25</v>
      </c>
      <c r="G929" s="51" t="s">
        <v>25</v>
      </c>
      <c r="H929" s="51" t="s">
        <v>25</v>
      </c>
      <c r="I929" s="59">
        <v>44348</v>
      </c>
      <c r="J929" s="60">
        <f ca="1">EFEITO!$J$929*EFEITO!$Y$929</f>
        <v>70218.917067130984</v>
      </c>
      <c r="K929" s="60">
        <f>EFEITO!$L$929*EFEITO!$Z$929</f>
        <v>0</v>
      </c>
      <c r="L929" s="60">
        <f>EFEITO!$N$929*EFEITO!$AA$929</f>
        <v>0</v>
      </c>
      <c r="M929" s="60">
        <f ca="1">$J$929-EFEITO!$K$929*EFEITO!$Y$929</f>
        <v>0</v>
      </c>
      <c r="N929" s="60">
        <f>$K$929-EFEITO!$M$929*EFEITO!$Z$929</f>
        <v>0</v>
      </c>
      <c r="O929" s="60">
        <f>$L$929-EFEITO!$O$929*EFEITO!$AA$929</f>
        <v>0</v>
      </c>
      <c r="P929" s="18"/>
      <c r="Q929" s="18"/>
      <c r="R929" s="18"/>
      <c r="S929" s="18"/>
      <c r="T929" s="18"/>
      <c r="U929" s="18"/>
      <c r="V929" s="18"/>
      <c r="W929" s="18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1.25" customHeight="1" x14ac:dyDescent="0.2">
      <c r="A930" s="51" t="s">
        <v>21</v>
      </c>
      <c r="B930" s="51" t="s">
        <v>41</v>
      </c>
      <c r="C930" s="51" t="s">
        <v>42</v>
      </c>
      <c r="D930" s="51" t="s">
        <v>46</v>
      </c>
      <c r="E930" s="51" t="s">
        <v>25</v>
      </c>
      <c r="F930" s="51" t="s">
        <v>25</v>
      </c>
      <c r="G930" s="51" t="s">
        <v>25</v>
      </c>
      <c r="H930" s="51" t="s">
        <v>25</v>
      </c>
      <c r="I930" s="59">
        <v>44378</v>
      </c>
      <c r="J930" s="60">
        <f ca="1">EFEITO!$J$930*EFEITO!$Y$930</f>
        <v>787276.41146591294</v>
      </c>
      <c r="K930" s="60">
        <f>EFEITO!$L$930*EFEITO!$Z$930</f>
        <v>0</v>
      </c>
      <c r="L930" s="60">
        <f>EFEITO!$N$930*EFEITO!$AA$930</f>
        <v>0</v>
      </c>
      <c r="M930" s="60">
        <f ca="1">$J$930-EFEITO!$K$930*EFEITO!$Y$930</f>
        <v>0</v>
      </c>
      <c r="N930" s="60">
        <f>$K$930-EFEITO!$M$930*EFEITO!$Z$930</f>
        <v>0</v>
      </c>
      <c r="O930" s="60">
        <f>$L$930-EFEITO!$O$930*EFEITO!$AA$930</f>
        <v>0</v>
      </c>
      <c r="P930" s="18"/>
      <c r="Q930" s="18"/>
      <c r="R930" s="18"/>
      <c r="S930" s="18"/>
      <c r="T930" s="18"/>
      <c r="U930" s="18"/>
      <c r="V930" s="18"/>
      <c r="W930" s="18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1.25" customHeight="1" x14ac:dyDescent="0.2">
      <c r="A931" s="51" t="s">
        <v>28</v>
      </c>
      <c r="B931" s="51" t="s">
        <v>41</v>
      </c>
      <c r="C931" s="51" t="s">
        <v>42</v>
      </c>
      <c r="D931" s="51" t="s">
        <v>46</v>
      </c>
      <c r="E931" s="51" t="s">
        <v>25</v>
      </c>
      <c r="F931" s="51" t="s">
        <v>25</v>
      </c>
      <c r="G931" s="51" t="s">
        <v>25</v>
      </c>
      <c r="H931" s="51" t="s">
        <v>25</v>
      </c>
      <c r="I931" s="59">
        <v>44378</v>
      </c>
      <c r="J931" s="60">
        <f ca="1">EFEITO!$J$931*EFEITO!$Y$931</f>
        <v>70218.917067130984</v>
      </c>
      <c r="K931" s="60">
        <f>EFEITO!$L$931*EFEITO!$Z$931</f>
        <v>0</v>
      </c>
      <c r="L931" s="60">
        <f>EFEITO!$N$931*EFEITO!$AA$931</f>
        <v>0</v>
      </c>
      <c r="M931" s="60">
        <f ca="1">$J$931-EFEITO!$K$931*EFEITO!$Y$931</f>
        <v>0</v>
      </c>
      <c r="N931" s="60">
        <f>$K$931-EFEITO!$M$931*EFEITO!$Z$931</f>
        <v>0</v>
      </c>
      <c r="O931" s="60">
        <f>$L$931-EFEITO!$O$931*EFEITO!$AA$931</f>
        <v>0</v>
      </c>
      <c r="P931" s="18"/>
      <c r="Q931" s="18"/>
      <c r="R931" s="18"/>
      <c r="S931" s="18"/>
      <c r="T931" s="18"/>
      <c r="U931" s="18"/>
      <c r="V931" s="18"/>
      <c r="W931" s="18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1.25" customHeight="1" x14ac:dyDescent="0.2">
      <c r="A932" s="51" t="s">
        <v>21</v>
      </c>
      <c r="B932" s="51" t="s">
        <v>41</v>
      </c>
      <c r="C932" s="51" t="s">
        <v>42</v>
      </c>
      <c r="D932" s="51" t="s">
        <v>46</v>
      </c>
      <c r="E932" s="51" t="s">
        <v>25</v>
      </c>
      <c r="F932" s="51" t="s">
        <v>25</v>
      </c>
      <c r="G932" s="51" t="s">
        <v>25</v>
      </c>
      <c r="H932" s="51" t="s">
        <v>25</v>
      </c>
      <c r="I932" s="59">
        <v>44409</v>
      </c>
      <c r="J932" s="60">
        <f ca="1">EFEITO!$J$932*EFEITO!$Y$932</f>
        <v>786611.45959974697</v>
      </c>
      <c r="K932" s="60">
        <f>EFEITO!$L$932*EFEITO!$Z$932</f>
        <v>0</v>
      </c>
      <c r="L932" s="60">
        <f>EFEITO!$N$932*EFEITO!$AA$932</f>
        <v>0</v>
      </c>
      <c r="M932" s="60">
        <f ca="1">$J$932-EFEITO!$K$932*EFEITO!$Y$932</f>
        <v>0</v>
      </c>
      <c r="N932" s="60">
        <f>$K$932-EFEITO!$M$932*EFEITO!$Z$932</f>
        <v>0</v>
      </c>
      <c r="O932" s="60">
        <f>$L$932-EFEITO!$O$932*EFEITO!$AA$932</f>
        <v>0</v>
      </c>
      <c r="P932" s="18"/>
      <c r="Q932" s="18"/>
      <c r="R932" s="18"/>
      <c r="S932" s="18"/>
      <c r="T932" s="18"/>
      <c r="U932" s="18"/>
      <c r="V932" s="18"/>
      <c r="W932" s="18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1.25" customHeight="1" x14ac:dyDescent="0.2">
      <c r="A933" s="51" t="s">
        <v>28</v>
      </c>
      <c r="B933" s="51" t="s">
        <v>41</v>
      </c>
      <c r="C933" s="51" t="s">
        <v>42</v>
      </c>
      <c r="D933" s="51" t="s">
        <v>46</v>
      </c>
      <c r="E933" s="51" t="s">
        <v>25</v>
      </c>
      <c r="F933" s="51" t="s">
        <v>25</v>
      </c>
      <c r="G933" s="51" t="s">
        <v>25</v>
      </c>
      <c r="H933" s="51" t="s">
        <v>25</v>
      </c>
      <c r="I933" s="59">
        <v>44409</v>
      </c>
      <c r="J933" s="60">
        <f ca="1">EFEITO!$J$933*EFEITO!$Y$933</f>
        <v>70218.917067130984</v>
      </c>
      <c r="K933" s="60">
        <f>EFEITO!$L$933*EFEITO!$Z$933</f>
        <v>0</v>
      </c>
      <c r="L933" s="60">
        <f>EFEITO!$N$933*EFEITO!$AA$933</f>
        <v>0</v>
      </c>
      <c r="M933" s="60">
        <f ca="1">$J$933-EFEITO!$K$933*EFEITO!$Y$933</f>
        <v>0</v>
      </c>
      <c r="N933" s="60">
        <f>$K$933-EFEITO!$M$933*EFEITO!$Z$933</f>
        <v>0</v>
      </c>
      <c r="O933" s="60">
        <f>$L$933-EFEITO!$O$933*EFEITO!$AA$933</f>
        <v>0</v>
      </c>
      <c r="P933" s="18"/>
      <c r="Q933" s="18"/>
      <c r="R933" s="18"/>
      <c r="S933" s="18"/>
      <c r="T933" s="18"/>
      <c r="U933" s="18"/>
      <c r="V933" s="18"/>
      <c r="W933" s="18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1.25" customHeight="1" x14ac:dyDescent="0.2">
      <c r="A934" s="51" t="s">
        <v>28</v>
      </c>
      <c r="B934" s="51" t="s">
        <v>41</v>
      </c>
      <c r="C934" s="51" t="s">
        <v>42</v>
      </c>
      <c r="D934" s="51" t="s">
        <v>46</v>
      </c>
      <c r="E934" s="51" t="s">
        <v>25</v>
      </c>
      <c r="F934" s="51" t="s">
        <v>25</v>
      </c>
      <c r="G934" s="51" t="s">
        <v>25</v>
      </c>
      <c r="H934" s="51" t="s">
        <v>25</v>
      </c>
      <c r="I934" s="59">
        <v>44409</v>
      </c>
      <c r="J934" s="60">
        <f ca="1">EFEITO!$J$934*EFEITO!$Y$934</f>
        <v>-10639.22985865621</v>
      </c>
      <c r="K934" s="60">
        <f>EFEITO!$L$934*EFEITO!$Z$934</f>
        <v>0</v>
      </c>
      <c r="L934" s="60">
        <f>EFEITO!$N$934*EFEITO!$AA$934</f>
        <v>0</v>
      </c>
      <c r="M934" s="60">
        <f ca="1">$J$934-EFEITO!$K$934*EFEITO!$Y$934</f>
        <v>0</v>
      </c>
      <c r="N934" s="60">
        <f>$K$934-EFEITO!$M$934*EFEITO!$Z$934</f>
        <v>0</v>
      </c>
      <c r="O934" s="60">
        <f>$L$934-EFEITO!$O$934*EFEITO!$AA$934</f>
        <v>0</v>
      </c>
      <c r="P934" s="18"/>
      <c r="Q934" s="18"/>
      <c r="R934" s="18"/>
      <c r="S934" s="18"/>
      <c r="T934" s="18"/>
      <c r="U934" s="18"/>
      <c r="V934" s="18"/>
      <c r="W934" s="18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1.25" customHeight="1" x14ac:dyDescent="0.2">
      <c r="A935" s="51" t="s">
        <v>21</v>
      </c>
      <c r="B935" s="51" t="s">
        <v>41</v>
      </c>
      <c r="C935" s="51" t="s">
        <v>42</v>
      </c>
      <c r="D935" s="51" t="s">
        <v>46</v>
      </c>
      <c r="E935" s="51" t="s">
        <v>25</v>
      </c>
      <c r="F935" s="51" t="s">
        <v>25</v>
      </c>
      <c r="G935" s="51" t="s">
        <v>25</v>
      </c>
      <c r="H935" s="51" t="s">
        <v>25</v>
      </c>
      <c r="I935" s="59">
        <v>44440</v>
      </c>
      <c r="J935" s="60">
        <f ca="1">EFEITO!$J$935*EFEITO!$Y$935</f>
        <v>788579.71712359833</v>
      </c>
      <c r="K935" s="60">
        <f>EFEITO!$L$935*EFEITO!$Z$935</f>
        <v>0</v>
      </c>
      <c r="L935" s="60">
        <f>EFEITO!$N$935*EFEITO!$AA$935</f>
        <v>0</v>
      </c>
      <c r="M935" s="60">
        <f ca="1">$J$935-EFEITO!$K$935*EFEITO!$Y$935</f>
        <v>0</v>
      </c>
      <c r="N935" s="60">
        <f>$K$935-EFEITO!$M$935*EFEITO!$Z$935</f>
        <v>0</v>
      </c>
      <c r="O935" s="60">
        <f>$L$935-EFEITO!$O$935*EFEITO!$AA$935</f>
        <v>0</v>
      </c>
      <c r="P935" s="18"/>
      <c r="Q935" s="18"/>
      <c r="R935" s="18"/>
      <c r="S935" s="18"/>
      <c r="T935" s="18"/>
      <c r="U935" s="18"/>
      <c r="V935" s="18"/>
      <c r="W935" s="18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1.25" customHeight="1" x14ac:dyDescent="0.2">
      <c r="A936" s="51" t="s">
        <v>28</v>
      </c>
      <c r="B936" s="51" t="s">
        <v>41</v>
      </c>
      <c r="C936" s="51" t="s">
        <v>42</v>
      </c>
      <c r="D936" s="51" t="s">
        <v>46</v>
      </c>
      <c r="E936" s="51" t="s">
        <v>25</v>
      </c>
      <c r="F936" s="51" t="s">
        <v>25</v>
      </c>
      <c r="G936" s="51" t="s">
        <v>25</v>
      </c>
      <c r="H936" s="51" t="s">
        <v>25</v>
      </c>
      <c r="I936" s="59">
        <v>44440</v>
      </c>
      <c r="J936" s="60">
        <f ca="1">EFEITO!$J$936*EFEITO!$Y$936</f>
        <v>70218.917067130984</v>
      </c>
      <c r="K936" s="60">
        <f>EFEITO!$L$936*EFEITO!$Z$936</f>
        <v>0</v>
      </c>
      <c r="L936" s="60">
        <f>EFEITO!$N$936*EFEITO!$AA$936</f>
        <v>0</v>
      </c>
      <c r="M936" s="60">
        <f ca="1">$J$936-EFEITO!$K$936*EFEITO!$Y$936</f>
        <v>0</v>
      </c>
      <c r="N936" s="60">
        <f>$K$936-EFEITO!$M$936*EFEITO!$Z$936</f>
        <v>0</v>
      </c>
      <c r="O936" s="60">
        <f>$L$936-EFEITO!$O$936*EFEITO!$AA$936</f>
        <v>0</v>
      </c>
      <c r="P936" s="18"/>
      <c r="Q936" s="18"/>
      <c r="R936" s="18"/>
      <c r="S936" s="18"/>
      <c r="T936" s="18"/>
      <c r="U936" s="18"/>
      <c r="V936" s="18"/>
      <c r="W936" s="18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1.25" customHeight="1" x14ac:dyDescent="0.2">
      <c r="A937" s="51" t="s">
        <v>21</v>
      </c>
      <c r="B937" s="51" t="s">
        <v>41</v>
      </c>
      <c r="C937" s="51" t="s">
        <v>42</v>
      </c>
      <c r="D937" s="51" t="s">
        <v>46</v>
      </c>
      <c r="E937" s="51" t="s">
        <v>25</v>
      </c>
      <c r="F937" s="51" t="s">
        <v>25</v>
      </c>
      <c r="G937" s="51" t="s">
        <v>25</v>
      </c>
      <c r="H937" s="51" t="s">
        <v>25</v>
      </c>
      <c r="I937" s="59">
        <v>44470</v>
      </c>
      <c r="J937" s="60">
        <f ca="1">EFEITO!$J$937*EFEITO!$Y$937</f>
        <v>792542.83024594781</v>
      </c>
      <c r="K937" s="60">
        <f>EFEITO!$L$937*EFEITO!$Z$937</f>
        <v>0</v>
      </c>
      <c r="L937" s="60">
        <f>EFEITO!$N$937*EFEITO!$AA$937</f>
        <v>0</v>
      </c>
      <c r="M937" s="60">
        <f ca="1">$J$937-EFEITO!$K$937*EFEITO!$Y$937</f>
        <v>0</v>
      </c>
      <c r="N937" s="60">
        <f>$K$937-EFEITO!$M$937*EFEITO!$Z$937</f>
        <v>0</v>
      </c>
      <c r="O937" s="60">
        <f>$L$937-EFEITO!$O$937*EFEITO!$AA$937</f>
        <v>0</v>
      </c>
      <c r="P937" s="18"/>
      <c r="Q937" s="18"/>
      <c r="R937" s="18"/>
      <c r="S937" s="18"/>
      <c r="T937" s="18"/>
      <c r="U937" s="18"/>
      <c r="V937" s="18"/>
      <c r="W937" s="18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1.25" customHeight="1" x14ac:dyDescent="0.2">
      <c r="A938" s="51" t="s">
        <v>28</v>
      </c>
      <c r="B938" s="51" t="s">
        <v>41</v>
      </c>
      <c r="C938" s="51" t="s">
        <v>42</v>
      </c>
      <c r="D938" s="51" t="s">
        <v>46</v>
      </c>
      <c r="E938" s="51" t="s">
        <v>25</v>
      </c>
      <c r="F938" s="51" t="s">
        <v>25</v>
      </c>
      <c r="G938" s="51" t="s">
        <v>25</v>
      </c>
      <c r="H938" s="51" t="s">
        <v>25</v>
      </c>
      <c r="I938" s="59">
        <v>44470</v>
      </c>
      <c r="J938" s="60">
        <f ca="1">EFEITO!$J$938*EFEITO!$Y$938</f>
        <v>67426.119229233736</v>
      </c>
      <c r="K938" s="60">
        <f>EFEITO!$L$938*EFEITO!$Z$938</f>
        <v>0</v>
      </c>
      <c r="L938" s="60">
        <f>EFEITO!$N$938*EFEITO!$AA$938</f>
        <v>0</v>
      </c>
      <c r="M938" s="60">
        <f ca="1">$J$938-EFEITO!$K$938*EFEITO!$Y$938</f>
        <v>0</v>
      </c>
      <c r="N938" s="60">
        <f>$K$938-EFEITO!$M$938*EFEITO!$Z$938</f>
        <v>0</v>
      </c>
      <c r="O938" s="60">
        <f>$L$938-EFEITO!$O$938*EFEITO!$AA$938</f>
        <v>0</v>
      </c>
      <c r="P938" s="18"/>
      <c r="Q938" s="18"/>
      <c r="R938" s="18"/>
      <c r="S938" s="18"/>
      <c r="T938" s="18"/>
      <c r="U938" s="18"/>
      <c r="V938" s="18"/>
      <c r="W938" s="18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1.25" customHeight="1" x14ac:dyDescent="0.2">
      <c r="A939" s="51" t="s">
        <v>21</v>
      </c>
      <c r="B939" s="51" t="s">
        <v>41</v>
      </c>
      <c r="C939" s="51" t="s">
        <v>42</v>
      </c>
      <c r="D939" s="51" t="s">
        <v>46</v>
      </c>
      <c r="E939" s="51" t="s">
        <v>25</v>
      </c>
      <c r="F939" s="51" t="s">
        <v>25</v>
      </c>
      <c r="G939" s="51" t="s">
        <v>25</v>
      </c>
      <c r="H939" s="51" t="s">
        <v>25</v>
      </c>
      <c r="I939" s="59">
        <v>44501</v>
      </c>
      <c r="J939" s="60">
        <f ca="1">EFEITO!$J$939*EFEITO!$Y$939</f>
        <v>795495.2165317249</v>
      </c>
      <c r="K939" s="60">
        <f>EFEITO!$L$939*EFEITO!$Z$939</f>
        <v>0</v>
      </c>
      <c r="L939" s="60">
        <f>EFEITO!$N$939*EFEITO!$AA$939</f>
        <v>0</v>
      </c>
      <c r="M939" s="60">
        <f ca="1">$J$939-EFEITO!$K$939*EFEITO!$Y$939</f>
        <v>0</v>
      </c>
      <c r="N939" s="60">
        <f>$K$939-EFEITO!$M$939*EFEITO!$Z$939</f>
        <v>0</v>
      </c>
      <c r="O939" s="60">
        <f>$L$939-EFEITO!$O$939*EFEITO!$AA$939</f>
        <v>0</v>
      </c>
      <c r="P939" s="18"/>
      <c r="Q939" s="18"/>
      <c r="R939" s="18"/>
      <c r="S939" s="18"/>
      <c r="T939" s="18"/>
      <c r="U939" s="18"/>
      <c r="V939" s="18"/>
      <c r="W939" s="18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1.25" customHeight="1" x14ac:dyDescent="0.2">
      <c r="A940" s="51" t="s">
        <v>28</v>
      </c>
      <c r="B940" s="51" t="s">
        <v>41</v>
      </c>
      <c r="C940" s="51" t="s">
        <v>42</v>
      </c>
      <c r="D940" s="51" t="s">
        <v>46</v>
      </c>
      <c r="E940" s="51" t="s">
        <v>25</v>
      </c>
      <c r="F940" s="51" t="s">
        <v>25</v>
      </c>
      <c r="G940" s="51" t="s">
        <v>25</v>
      </c>
      <c r="H940" s="51" t="s">
        <v>25</v>
      </c>
      <c r="I940" s="59">
        <v>44501</v>
      </c>
      <c r="J940" s="60">
        <f ca="1">EFEITO!$J$940*EFEITO!$Y$940</f>
        <v>69819.945947431377</v>
      </c>
      <c r="K940" s="60">
        <f>EFEITO!$L$940*EFEITO!$Z$940</f>
        <v>0</v>
      </c>
      <c r="L940" s="60">
        <f>EFEITO!$N$940*EFEITO!$AA$940</f>
        <v>0</v>
      </c>
      <c r="M940" s="60">
        <f ca="1">$J$940-EFEITO!$K$940*EFEITO!$Y$940</f>
        <v>0</v>
      </c>
      <c r="N940" s="60">
        <f>$K$940-EFEITO!$M$940*EFEITO!$Z$940</f>
        <v>0</v>
      </c>
      <c r="O940" s="60">
        <f>$L$940-EFEITO!$O$940*EFEITO!$AA$940</f>
        <v>0</v>
      </c>
      <c r="P940" s="18"/>
      <c r="Q940" s="18"/>
      <c r="R940" s="18"/>
      <c r="S940" s="18"/>
      <c r="T940" s="18"/>
      <c r="U940" s="18"/>
      <c r="V940" s="18"/>
      <c r="W940" s="18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1.25" customHeight="1" x14ac:dyDescent="0.2">
      <c r="A941" s="51" t="s">
        <v>21</v>
      </c>
      <c r="B941" s="51" t="s">
        <v>41</v>
      </c>
      <c r="C941" s="51" t="s">
        <v>42</v>
      </c>
      <c r="D941" s="51" t="s">
        <v>46</v>
      </c>
      <c r="E941" s="51" t="s">
        <v>25</v>
      </c>
      <c r="F941" s="51" t="s">
        <v>25</v>
      </c>
      <c r="G941" s="51" t="s">
        <v>25</v>
      </c>
      <c r="H941" s="51" t="s">
        <v>25</v>
      </c>
      <c r="I941" s="59">
        <v>44531</v>
      </c>
      <c r="J941" s="60">
        <f ca="1">EFEITO!$J$941*EFEITO!$Y$941</f>
        <v>794085.51857545297</v>
      </c>
      <c r="K941" s="60">
        <f>EFEITO!$L$941*EFEITO!$Z$941</f>
        <v>0</v>
      </c>
      <c r="L941" s="60">
        <f>EFEITO!$N$941*EFEITO!$AA$941</f>
        <v>0</v>
      </c>
      <c r="M941" s="60">
        <f ca="1">$J$941-EFEITO!$K$941*EFEITO!$Y$941</f>
        <v>0</v>
      </c>
      <c r="N941" s="60">
        <f>$K$941-EFEITO!$M$941*EFEITO!$Z$941</f>
        <v>0</v>
      </c>
      <c r="O941" s="60">
        <f>$L$941-EFEITO!$O$941*EFEITO!$AA$941</f>
        <v>0</v>
      </c>
      <c r="P941" s="18"/>
      <c r="Q941" s="18"/>
      <c r="R941" s="18"/>
      <c r="S941" s="18"/>
      <c r="T941" s="18"/>
      <c r="U941" s="18"/>
      <c r="V941" s="18"/>
      <c r="W941" s="18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1.25" customHeight="1" x14ac:dyDescent="0.2">
      <c r="A942" s="51" t="s">
        <v>28</v>
      </c>
      <c r="B942" s="51" t="s">
        <v>41</v>
      </c>
      <c r="C942" s="51" t="s">
        <v>42</v>
      </c>
      <c r="D942" s="51" t="s">
        <v>46</v>
      </c>
      <c r="E942" s="51" t="s">
        <v>25</v>
      </c>
      <c r="F942" s="51" t="s">
        <v>25</v>
      </c>
      <c r="G942" s="51" t="s">
        <v>25</v>
      </c>
      <c r="H942" s="51" t="s">
        <v>25</v>
      </c>
      <c r="I942" s="59">
        <v>44531</v>
      </c>
      <c r="J942" s="60">
        <f ca="1">EFEITO!$J$942*EFEITO!$Y$942</f>
        <v>73942.647517660662</v>
      </c>
      <c r="K942" s="60">
        <f>EFEITO!$L$942*EFEITO!$Z$942</f>
        <v>0</v>
      </c>
      <c r="L942" s="60">
        <f>EFEITO!$N$942*EFEITO!$AA$942</f>
        <v>0</v>
      </c>
      <c r="M942" s="60">
        <f ca="1">$J$942-EFEITO!$K$942*EFEITO!$Y$942</f>
        <v>0</v>
      </c>
      <c r="N942" s="60">
        <f>$K$942-EFEITO!$M$942*EFEITO!$Z$942</f>
        <v>0</v>
      </c>
      <c r="O942" s="60">
        <f>$L$942-EFEITO!$O$942*EFEITO!$AA$942</f>
        <v>0</v>
      </c>
      <c r="P942" s="18"/>
      <c r="Q942" s="18"/>
      <c r="R942" s="18"/>
      <c r="S942" s="18"/>
      <c r="T942" s="18"/>
      <c r="U942" s="18"/>
      <c r="V942" s="18"/>
      <c r="W942" s="18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1.25" customHeight="1" x14ac:dyDescent="0.2">
      <c r="A943" s="51" t="s">
        <v>21</v>
      </c>
      <c r="B943" s="51" t="s">
        <v>41</v>
      </c>
      <c r="C943" s="51" t="s">
        <v>42</v>
      </c>
      <c r="D943" s="51" t="s">
        <v>46</v>
      </c>
      <c r="E943" s="51" t="s">
        <v>25</v>
      </c>
      <c r="F943" s="51" t="s">
        <v>25</v>
      </c>
      <c r="G943" s="51" t="s">
        <v>25</v>
      </c>
      <c r="H943" s="51" t="s">
        <v>25</v>
      </c>
      <c r="I943" s="59">
        <v>44562</v>
      </c>
      <c r="J943" s="60">
        <f ca="1">EFEITO!$J$943*EFEITO!$Y$943</f>
        <v>837520.17447341688</v>
      </c>
      <c r="K943" s="60">
        <f>EFEITO!$L$943*EFEITO!$Z$943</f>
        <v>0</v>
      </c>
      <c r="L943" s="60">
        <f>EFEITO!$N$943*EFEITO!$AA$943</f>
        <v>0</v>
      </c>
      <c r="M943" s="60">
        <f ca="1">$J$943-EFEITO!$K$943*EFEITO!$Y$943</f>
        <v>0</v>
      </c>
      <c r="N943" s="60">
        <f>$K$943-EFEITO!$M$943*EFEITO!$Z$943</f>
        <v>0</v>
      </c>
      <c r="O943" s="60">
        <f>$L$943-EFEITO!$O$943*EFEITO!$AA$943</f>
        <v>0</v>
      </c>
      <c r="P943" s="18"/>
      <c r="Q943" s="18"/>
      <c r="R943" s="18"/>
      <c r="S943" s="18"/>
      <c r="T943" s="18"/>
      <c r="U943" s="18"/>
      <c r="V943" s="18"/>
      <c r="W943" s="18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1.25" customHeight="1" x14ac:dyDescent="0.2">
      <c r="A944" s="51" t="s">
        <v>27</v>
      </c>
      <c r="B944" s="51" t="s">
        <v>41</v>
      </c>
      <c r="C944" s="51" t="s">
        <v>42</v>
      </c>
      <c r="D944" s="51" t="s">
        <v>46</v>
      </c>
      <c r="E944" s="51" t="s">
        <v>25</v>
      </c>
      <c r="F944" s="51" t="s">
        <v>25</v>
      </c>
      <c r="G944" s="51" t="s">
        <v>25</v>
      </c>
      <c r="H944" s="51" t="s">
        <v>25</v>
      </c>
      <c r="I944" s="59">
        <v>44562</v>
      </c>
      <c r="J944" s="60">
        <f ca="1">EFEITO!$J$944*EFEITO!$Y$944</f>
        <v>-4787.6534363952951</v>
      </c>
      <c r="K944" s="60">
        <f>EFEITO!$L$944*EFEITO!$Z$944</f>
        <v>0</v>
      </c>
      <c r="L944" s="60">
        <f>EFEITO!$N$944*EFEITO!$AA$944</f>
        <v>0</v>
      </c>
      <c r="M944" s="60">
        <f ca="1">$J$944-EFEITO!$K$944*EFEITO!$Y$944</f>
        <v>0</v>
      </c>
      <c r="N944" s="60">
        <f>$K$944-EFEITO!$M$944*EFEITO!$Z$944</f>
        <v>0</v>
      </c>
      <c r="O944" s="60">
        <f>$L$944-EFEITO!$O$944*EFEITO!$AA$944</f>
        <v>0</v>
      </c>
      <c r="P944" s="18"/>
      <c r="Q944" s="18"/>
      <c r="R944" s="18"/>
      <c r="S944" s="18"/>
      <c r="T944" s="18"/>
      <c r="U944" s="18"/>
      <c r="V944" s="18"/>
      <c r="W944" s="18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1.25" customHeight="1" x14ac:dyDescent="0.2">
      <c r="A945" s="51" t="s">
        <v>28</v>
      </c>
      <c r="B945" s="51" t="s">
        <v>41</v>
      </c>
      <c r="C945" s="51" t="s">
        <v>42</v>
      </c>
      <c r="D945" s="51" t="s">
        <v>46</v>
      </c>
      <c r="E945" s="51" t="s">
        <v>25</v>
      </c>
      <c r="F945" s="51" t="s">
        <v>25</v>
      </c>
      <c r="G945" s="51" t="s">
        <v>25</v>
      </c>
      <c r="H945" s="51" t="s">
        <v>25</v>
      </c>
      <c r="I945" s="59">
        <v>44562</v>
      </c>
      <c r="J945" s="60">
        <f ca="1">EFEITO!$J$945*EFEITO!$Y$945</f>
        <v>75299.149324639337</v>
      </c>
      <c r="K945" s="60">
        <f>EFEITO!$L$945*EFEITO!$Z$945</f>
        <v>0</v>
      </c>
      <c r="L945" s="60">
        <f>EFEITO!$N$945*EFEITO!$AA$945</f>
        <v>0</v>
      </c>
      <c r="M945" s="60">
        <f ca="1">$J$945-EFEITO!$K$945*EFEITO!$Y$945</f>
        <v>0</v>
      </c>
      <c r="N945" s="60">
        <f>$K$945-EFEITO!$M$945*EFEITO!$Z$945</f>
        <v>0</v>
      </c>
      <c r="O945" s="60">
        <f>$L$945-EFEITO!$O$945*EFEITO!$AA$945</f>
        <v>0</v>
      </c>
      <c r="P945" s="18"/>
      <c r="Q945" s="18"/>
      <c r="R945" s="18"/>
      <c r="S945" s="18"/>
      <c r="T945" s="18"/>
      <c r="U945" s="18"/>
      <c r="V945" s="18"/>
      <c r="W945" s="18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1.25" customHeight="1" x14ac:dyDescent="0.2">
      <c r="A946" s="51" t="s">
        <v>21</v>
      </c>
      <c r="B946" s="51" t="s">
        <v>41</v>
      </c>
      <c r="C946" s="51" t="s">
        <v>42</v>
      </c>
      <c r="D946" s="51" t="s">
        <v>46</v>
      </c>
      <c r="E946" s="51" t="s">
        <v>25</v>
      </c>
      <c r="F946" s="51" t="s">
        <v>25</v>
      </c>
      <c r="G946" s="51" t="s">
        <v>25</v>
      </c>
      <c r="H946" s="51" t="s">
        <v>25</v>
      </c>
      <c r="I946" s="59">
        <v>44593</v>
      </c>
      <c r="J946" s="60">
        <f ca="1">EFEITO!$J$946*EFEITO!$Y$946</f>
        <v>796665.53181617707</v>
      </c>
      <c r="K946" s="60">
        <f>EFEITO!$L$946*EFEITO!$Z$946</f>
        <v>0</v>
      </c>
      <c r="L946" s="60">
        <f>EFEITO!$N$946*EFEITO!$AA$946</f>
        <v>0</v>
      </c>
      <c r="M946" s="60">
        <f ca="1">$J$946-EFEITO!$K$946*EFEITO!$Y$946</f>
        <v>0</v>
      </c>
      <c r="N946" s="60">
        <f>$K$946-EFEITO!$M$946*EFEITO!$Z$946</f>
        <v>0</v>
      </c>
      <c r="O946" s="60">
        <f>$L$946-EFEITO!$O$946*EFEITO!$AA$946</f>
        <v>0</v>
      </c>
      <c r="P946" s="18"/>
      <c r="Q946" s="18"/>
      <c r="R946" s="18"/>
      <c r="S946" s="18"/>
      <c r="T946" s="18"/>
      <c r="U946" s="18"/>
      <c r="V946" s="18"/>
      <c r="W946" s="18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1.25" customHeight="1" x14ac:dyDescent="0.2">
      <c r="A947" s="51" t="s">
        <v>27</v>
      </c>
      <c r="B947" s="51" t="s">
        <v>41</v>
      </c>
      <c r="C947" s="51" t="s">
        <v>42</v>
      </c>
      <c r="D947" s="51" t="s">
        <v>46</v>
      </c>
      <c r="E947" s="51" t="s">
        <v>25</v>
      </c>
      <c r="F947" s="51" t="s">
        <v>25</v>
      </c>
      <c r="G947" s="51" t="s">
        <v>25</v>
      </c>
      <c r="H947" s="51" t="s">
        <v>25</v>
      </c>
      <c r="I947" s="59">
        <v>44593</v>
      </c>
      <c r="J947" s="60">
        <f ca="1">EFEITO!$J$947*EFEITO!$Y$947</f>
        <v>-52930.168546814646</v>
      </c>
      <c r="K947" s="60">
        <f>EFEITO!$L$947*EFEITO!$Z$947</f>
        <v>0</v>
      </c>
      <c r="L947" s="60">
        <f>EFEITO!$N$947*EFEITO!$AA$947</f>
        <v>0</v>
      </c>
      <c r="M947" s="60">
        <f ca="1">$J$947-EFEITO!$K$947*EFEITO!$Y$947</f>
        <v>0</v>
      </c>
      <c r="N947" s="60">
        <f>$K$947-EFEITO!$M$947*EFEITO!$Z$947</f>
        <v>0</v>
      </c>
      <c r="O947" s="60">
        <f>$L$947-EFEITO!$O$947*EFEITO!$AA$947</f>
        <v>0</v>
      </c>
      <c r="P947" s="18"/>
      <c r="Q947" s="18"/>
      <c r="R947" s="18"/>
      <c r="S947" s="18"/>
      <c r="T947" s="18"/>
      <c r="U947" s="18"/>
      <c r="V947" s="18"/>
      <c r="W947" s="18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1.25" customHeight="1" x14ac:dyDescent="0.2">
      <c r="A948" s="51" t="s">
        <v>28</v>
      </c>
      <c r="B948" s="51" t="s">
        <v>41</v>
      </c>
      <c r="C948" s="51" t="s">
        <v>42</v>
      </c>
      <c r="D948" s="51" t="s">
        <v>46</v>
      </c>
      <c r="E948" s="51" t="s">
        <v>25</v>
      </c>
      <c r="F948" s="51" t="s">
        <v>25</v>
      </c>
      <c r="G948" s="51" t="s">
        <v>25</v>
      </c>
      <c r="H948" s="51" t="s">
        <v>25</v>
      </c>
      <c r="I948" s="59">
        <v>44593</v>
      </c>
      <c r="J948" s="60">
        <f ca="1">EFEITO!$J$948*EFEITO!$Y$948</f>
        <v>74740.589757059875</v>
      </c>
      <c r="K948" s="60">
        <f>EFEITO!$L$948*EFEITO!$Z$948</f>
        <v>0</v>
      </c>
      <c r="L948" s="60">
        <f>EFEITO!$N$948*EFEITO!$AA$948</f>
        <v>0</v>
      </c>
      <c r="M948" s="60">
        <f ca="1">$J$948-EFEITO!$K$948*EFEITO!$Y$948</f>
        <v>0</v>
      </c>
      <c r="N948" s="60">
        <f>$K$948-EFEITO!$M$948*EFEITO!$Z$948</f>
        <v>0</v>
      </c>
      <c r="O948" s="60">
        <f>$L$948-EFEITO!$O$948*EFEITO!$AA$948</f>
        <v>0</v>
      </c>
      <c r="P948" s="18"/>
      <c r="Q948" s="18"/>
      <c r="R948" s="18"/>
      <c r="S948" s="18"/>
      <c r="T948" s="18"/>
      <c r="U948" s="18"/>
      <c r="V948" s="18"/>
      <c r="W948" s="18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1.25" customHeight="1" x14ac:dyDescent="0.2">
      <c r="A949" s="51" t="s">
        <v>56</v>
      </c>
      <c r="B949" s="51" t="s">
        <v>41</v>
      </c>
      <c r="C949" s="51" t="s">
        <v>42</v>
      </c>
      <c r="D949" s="51" t="s">
        <v>46</v>
      </c>
      <c r="E949" s="51" t="s">
        <v>25</v>
      </c>
      <c r="F949" s="51" t="s">
        <v>25</v>
      </c>
      <c r="G949" s="51" t="s">
        <v>25</v>
      </c>
      <c r="H949" s="51" t="s">
        <v>25</v>
      </c>
      <c r="I949" s="59">
        <v>44621</v>
      </c>
      <c r="J949" s="60">
        <f ca="1">EFEITO!$J$949*EFEITO!$Y$949</f>
        <v>796665.53181617707</v>
      </c>
      <c r="K949" s="60">
        <f>EFEITO!$L$949*EFEITO!$Z$949</f>
        <v>0</v>
      </c>
      <c r="L949" s="60">
        <f>EFEITO!$N$949*EFEITO!$AA$949</f>
        <v>0</v>
      </c>
      <c r="M949" s="60">
        <f ca="1">$J$949-EFEITO!$K$949*EFEITO!$Y$949</f>
        <v>0</v>
      </c>
      <c r="N949" s="60">
        <f>$K$949-EFEITO!$M$949*EFEITO!$Z$949</f>
        <v>0</v>
      </c>
      <c r="O949" s="60">
        <f>$L$949-EFEITO!$O$949*EFEITO!$AA$949</f>
        <v>0</v>
      </c>
      <c r="P949" s="18"/>
      <c r="Q949" s="18"/>
      <c r="R949" s="18"/>
      <c r="S949" s="18"/>
      <c r="T949" s="18"/>
      <c r="U949" s="18"/>
      <c r="V949" s="18"/>
      <c r="W949" s="18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1.25" customHeight="1" x14ac:dyDescent="0.2">
      <c r="A950" s="51" t="s">
        <v>56</v>
      </c>
      <c r="B950" s="51" t="s">
        <v>41</v>
      </c>
      <c r="C950" s="51" t="s">
        <v>42</v>
      </c>
      <c r="D950" s="51" t="s">
        <v>46</v>
      </c>
      <c r="E950" s="51" t="s">
        <v>25</v>
      </c>
      <c r="F950" s="51" t="s">
        <v>25</v>
      </c>
      <c r="G950" s="51" t="s">
        <v>25</v>
      </c>
      <c r="H950" s="51" t="s">
        <v>25</v>
      </c>
      <c r="I950" s="59">
        <v>44621</v>
      </c>
      <c r="J950" s="60">
        <f ca="1">EFEITO!$J$950*EFEITO!$Y$950</f>
        <v>-52930.168546814646</v>
      </c>
      <c r="K950" s="60">
        <f>EFEITO!$L$950*EFEITO!$Z$950</f>
        <v>0</v>
      </c>
      <c r="L950" s="60">
        <f>EFEITO!$N$950*EFEITO!$AA$950</f>
        <v>0</v>
      </c>
      <c r="M950" s="60">
        <f ca="1">$J$950-EFEITO!$K$950*EFEITO!$Y$950</f>
        <v>0</v>
      </c>
      <c r="N950" s="60">
        <f>$K$950-EFEITO!$M$950*EFEITO!$Z$950</f>
        <v>0</v>
      </c>
      <c r="O950" s="60">
        <f>$L$950-EFEITO!$O$950*EFEITO!$AA$950</f>
        <v>0</v>
      </c>
      <c r="P950" s="18"/>
      <c r="Q950" s="18"/>
      <c r="R950" s="18"/>
      <c r="S950" s="18"/>
      <c r="T950" s="18"/>
      <c r="U950" s="18"/>
      <c r="V950" s="18"/>
      <c r="W950" s="18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1.25" customHeight="1" x14ac:dyDescent="0.2">
      <c r="A951" s="51" t="s">
        <v>56</v>
      </c>
      <c r="B951" s="51" t="s">
        <v>41</v>
      </c>
      <c r="C951" s="51" t="s">
        <v>42</v>
      </c>
      <c r="D951" s="51" t="s">
        <v>46</v>
      </c>
      <c r="E951" s="51" t="s">
        <v>25</v>
      </c>
      <c r="F951" s="51" t="s">
        <v>25</v>
      </c>
      <c r="G951" s="51" t="s">
        <v>25</v>
      </c>
      <c r="H951" s="51" t="s">
        <v>25</v>
      </c>
      <c r="I951" s="59">
        <v>44621</v>
      </c>
      <c r="J951" s="60">
        <f ca="1">EFEITO!$J$951*EFEITO!$Y$951</f>
        <v>74740.589757059875</v>
      </c>
      <c r="K951" s="60">
        <f>EFEITO!$L$951*EFEITO!$Z$951</f>
        <v>0</v>
      </c>
      <c r="L951" s="60">
        <f>EFEITO!$N$951*EFEITO!$AA$951</f>
        <v>0</v>
      </c>
      <c r="M951" s="60">
        <f ca="1">$J$951-EFEITO!$K$951*EFEITO!$Y$951</f>
        <v>0</v>
      </c>
      <c r="N951" s="60">
        <f>$K$951-EFEITO!$M$951*EFEITO!$Z$951</f>
        <v>0</v>
      </c>
      <c r="O951" s="60">
        <f>$L$951-EFEITO!$O$951*EFEITO!$AA$951</f>
        <v>0</v>
      </c>
      <c r="P951" s="18"/>
      <c r="Q951" s="18"/>
      <c r="R951" s="18"/>
      <c r="S951" s="18"/>
      <c r="T951" s="18"/>
      <c r="U951" s="18"/>
      <c r="V951" s="18"/>
      <c r="W951" s="18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1.25" customHeight="1" x14ac:dyDescent="0.2">
      <c r="A952" s="51" t="s">
        <v>21</v>
      </c>
      <c r="B952" s="51" t="s">
        <v>41</v>
      </c>
      <c r="C952" s="51" t="s">
        <v>42</v>
      </c>
      <c r="D952" s="51" t="s">
        <v>46</v>
      </c>
      <c r="E952" s="51" t="s">
        <v>25</v>
      </c>
      <c r="F952" s="51" t="s">
        <v>25</v>
      </c>
      <c r="G952" s="51" t="s">
        <v>25</v>
      </c>
      <c r="H952" s="51" t="s">
        <v>34</v>
      </c>
      <c r="I952" s="59">
        <v>44287</v>
      </c>
      <c r="J952" s="60">
        <f>EFEITO!$J$952*EFEITO!$Y$952</f>
        <v>0</v>
      </c>
      <c r="K952" s="60">
        <f ca="1">EFEITO!$L$952*EFEITO!$Z$952</f>
        <v>523589.02003648982</v>
      </c>
      <c r="L952" s="60">
        <f>EFEITO!$N$952*EFEITO!$AA$952</f>
        <v>103000.57152717591</v>
      </c>
      <c r="M952" s="60">
        <f>$J$952-EFEITO!$K$952*EFEITO!$Y$952</f>
        <v>0</v>
      </c>
      <c r="N952" s="60">
        <f ca="1">$K$952-EFEITO!$M$952*EFEITO!$Z$952</f>
        <v>0</v>
      </c>
      <c r="O952" s="60">
        <f>$L$952-EFEITO!$O$952*EFEITO!$AA$952</f>
        <v>0</v>
      </c>
      <c r="P952" s="18"/>
      <c r="Q952" s="18"/>
      <c r="R952" s="18"/>
      <c r="S952" s="18"/>
      <c r="T952" s="18"/>
      <c r="U952" s="18"/>
      <c r="V952" s="18"/>
      <c r="W952" s="18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1.25" customHeight="1" x14ac:dyDescent="0.2">
      <c r="A953" s="51" t="s">
        <v>28</v>
      </c>
      <c r="B953" s="51" t="s">
        <v>41</v>
      </c>
      <c r="C953" s="51" t="s">
        <v>42</v>
      </c>
      <c r="D953" s="51" t="s">
        <v>46</v>
      </c>
      <c r="E953" s="51" t="s">
        <v>25</v>
      </c>
      <c r="F953" s="51" t="s">
        <v>25</v>
      </c>
      <c r="G953" s="51" t="s">
        <v>25</v>
      </c>
      <c r="H953" s="51" t="s">
        <v>34</v>
      </c>
      <c r="I953" s="59">
        <v>44287</v>
      </c>
      <c r="J953" s="60">
        <f>EFEITO!$J$953*EFEITO!$Y$953</f>
        <v>0</v>
      </c>
      <c r="K953" s="60">
        <f ca="1">EFEITO!$L$953*EFEITO!$Z$953</f>
        <v>56329.478721658401</v>
      </c>
      <c r="L953" s="60">
        <f>EFEITO!$N$953*EFEITO!$AA$953</f>
        <v>11081.150062608953</v>
      </c>
      <c r="M953" s="60">
        <f>$J$953-EFEITO!$K$953*EFEITO!$Y$953</f>
        <v>0</v>
      </c>
      <c r="N953" s="60">
        <f ca="1">$K$953-EFEITO!$M$953*EFEITO!$Z$953</f>
        <v>0</v>
      </c>
      <c r="O953" s="60">
        <f>$L$953-EFEITO!$O$953*EFEITO!$AA$953</f>
        <v>0</v>
      </c>
      <c r="P953" s="18"/>
      <c r="Q953" s="18"/>
      <c r="R953" s="18"/>
      <c r="S953" s="18"/>
      <c r="T953" s="18"/>
      <c r="U953" s="18"/>
      <c r="V953" s="18"/>
      <c r="W953" s="18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1.25" customHeight="1" x14ac:dyDescent="0.2">
      <c r="A954" s="51" t="s">
        <v>21</v>
      </c>
      <c r="B954" s="51" t="s">
        <v>41</v>
      </c>
      <c r="C954" s="51" t="s">
        <v>42</v>
      </c>
      <c r="D954" s="51" t="s">
        <v>46</v>
      </c>
      <c r="E954" s="51" t="s">
        <v>25</v>
      </c>
      <c r="F954" s="51" t="s">
        <v>25</v>
      </c>
      <c r="G954" s="51" t="s">
        <v>25</v>
      </c>
      <c r="H954" s="51" t="s">
        <v>34</v>
      </c>
      <c r="I954" s="59">
        <v>44317</v>
      </c>
      <c r="J954" s="60">
        <f>EFEITO!$J$954*EFEITO!$Y$954</f>
        <v>0</v>
      </c>
      <c r="K954" s="60">
        <f ca="1">EFEITO!$L$954*EFEITO!$Z$954</f>
        <v>481821.14071160456</v>
      </c>
      <c r="L954" s="60">
        <f>EFEITO!$N$954*EFEITO!$AA$954</f>
        <v>94783.983177707705</v>
      </c>
      <c r="M954" s="60">
        <f>$J$954-EFEITO!$K$954*EFEITO!$Y$954</f>
        <v>0</v>
      </c>
      <c r="N954" s="60">
        <f ca="1">$K$954-EFEITO!$M$954*EFEITO!$Z$954</f>
        <v>0</v>
      </c>
      <c r="O954" s="60">
        <f>$L$954-EFEITO!$O$954*EFEITO!$AA$954</f>
        <v>0</v>
      </c>
      <c r="P954" s="18"/>
      <c r="Q954" s="18"/>
      <c r="R954" s="18"/>
      <c r="S954" s="18"/>
      <c r="T954" s="18"/>
      <c r="U954" s="18"/>
      <c r="V954" s="18"/>
      <c r="W954" s="18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1.25" customHeight="1" x14ac:dyDescent="0.2">
      <c r="A955" s="51" t="s">
        <v>28</v>
      </c>
      <c r="B955" s="51" t="s">
        <v>41</v>
      </c>
      <c r="C955" s="51" t="s">
        <v>42</v>
      </c>
      <c r="D955" s="51" t="s">
        <v>46</v>
      </c>
      <c r="E955" s="51" t="s">
        <v>25</v>
      </c>
      <c r="F955" s="51" t="s">
        <v>25</v>
      </c>
      <c r="G955" s="51" t="s">
        <v>25</v>
      </c>
      <c r="H955" s="51" t="s">
        <v>34</v>
      </c>
      <c r="I955" s="59">
        <v>44317</v>
      </c>
      <c r="J955" s="60">
        <f>EFEITO!$J$955*EFEITO!$Y$955</f>
        <v>0</v>
      </c>
      <c r="K955" s="60">
        <f ca="1">EFEITO!$L$955*EFEITO!$Z$955</f>
        <v>61334.052135442726</v>
      </c>
      <c r="L955" s="60">
        <f>EFEITO!$N$955*EFEITO!$AA$955</f>
        <v>12065.651077992299</v>
      </c>
      <c r="M955" s="60">
        <f>$J$955-EFEITO!$K$955*EFEITO!$Y$955</f>
        <v>0</v>
      </c>
      <c r="N955" s="60">
        <f ca="1">$K$955-EFEITO!$M$955*EFEITO!$Z$955</f>
        <v>0</v>
      </c>
      <c r="O955" s="60">
        <f>$L$955-EFEITO!$O$955*EFEITO!$AA$955</f>
        <v>0</v>
      </c>
      <c r="P955" s="18"/>
      <c r="Q955" s="18"/>
      <c r="R955" s="18"/>
      <c r="S955" s="18"/>
      <c r="T955" s="18"/>
      <c r="U955" s="18"/>
      <c r="V955" s="18"/>
      <c r="W955" s="18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1.25" customHeight="1" x14ac:dyDescent="0.2">
      <c r="A956" s="51" t="s">
        <v>21</v>
      </c>
      <c r="B956" s="51" t="s">
        <v>41</v>
      </c>
      <c r="C956" s="51" t="s">
        <v>42</v>
      </c>
      <c r="D956" s="51" t="s">
        <v>46</v>
      </c>
      <c r="E956" s="51" t="s">
        <v>25</v>
      </c>
      <c r="F956" s="51" t="s">
        <v>25</v>
      </c>
      <c r="G956" s="51" t="s">
        <v>25</v>
      </c>
      <c r="H956" s="51" t="s">
        <v>34</v>
      </c>
      <c r="I956" s="59">
        <v>44348</v>
      </c>
      <c r="J956" s="60">
        <f>EFEITO!$J$956*EFEITO!$Y$956</f>
        <v>0</v>
      </c>
      <c r="K956" s="60">
        <f ca="1">EFEITO!$L$956*EFEITO!$Z$956</f>
        <v>454658.97013418307</v>
      </c>
      <c r="L956" s="60">
        <f>EFEITO!$N$956*EFEITO!$AA$956</f>
        <v>89440.633744600651</v>
      </c>
      <c r="M956" s="60">
        <f>$J$956-EFEITO!$K$956*EFEITO!$Y$956</f>
        <v>0</v>
      </c>
      <c r="N956" s="60">
        <f ca="1">$K$956-EFEITO!$M$956*EFEITO!$Z$956</f>
        <v>0</v>
      </c>
      <c r="O956" s="60">
        <f>$L$956-EFEITO!$O$956*EFEITO!$AA$956</f>
        <v>0</v>
      </c>
      <c r="P956" s="18"/>
      <c r="Q956" s="18"/>
      <c r="R956" s="18"/>
      <c r="S956" s="18"/>
      <c r="T956" s="18"/>
      <c r="U956" s="18"/>
      <c r="V956" s="18"/>
      <c r="W956" s="18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1.25" customHeight="1" x14ac:dyDescent="0.2">
      <c r="A957" s="51" t="s">
        <v>28</v>
      </c>
      <c r="B957" s="51" t="s">
        <v>41</v>
      </c>
      <c r="C957" s="51" t="s">
        <v>42</v>
      </c>
      <c r="D957" s="51" t="s">
        <v>46</v>
      </c>
      <c r="E957" s="51" t="s">
        <v>25</v>
      </c>
      <c r="F957" s="51" t="s">
        <v>25</v>
      </c>
      <c r="G957" s="51" t="s">
        <v>25</v>
      </c>
      <c r="H957" s="51" t="s">
        <v>34</v>
      </c>
      <c r="I957" s="59">
        <v>44348</v>
      </c>
      <c r="J957" s="60">
        <f>EFEITO!$J$957*EFEITO!$Y$957</f>
        <v>0</v>
      </c>
      <c r="K957" s="60">
        <f ca="1">EFEITO!$L$957*EFEITO!$Z$957</f>
        <v>63658.982494765965</v>
      </c>
      <c r="L957" s="60">
        <f>EFEITO!$N$957*EFEITO!$AA$957</f>
        <v>12523.011997735204</v>
      </c>
      <c r="M957" s="60">
        <f>$J$957-EFEITO!$K$957*EFEITO!$Y$957</f>
        <v>0</v>
      </c>
      <c r="N957" s="60">
        <f ca="1">$K$957-EFEITO!$M$957*EFEITO!$Z$957</f>
        <v>0</v>
      </c>
      <c r="O957" s="60">
        <f>$L$957-EFEITO!$O$957*EFEITO!$AA$957</f>
        <v>0</v>
      </c>
      <c r="P957" s="18"/>
      <c r="Q957" s="18"/>
      <c r="R957" s="18"/>
      <c r="S957" s="18"/>
      <c r="T957" s="18"/>
      <c r="U957" s="18"/>
      <c r="V957" s="18"/>
      <c r="W957" s="18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1.25" customHeight="1" x14ac:dyDescent="0.2">
      <c r="A958" s="51" t="s">
        <v>21</v>
      </c>
      <c r="B958" s="51" t="s">
        <v>41</v>
      </c>
      <c r="C958" s="51" t="s">
        <v>42</v>
      </c>
      <c r="D958" s="51" t="s">
        <v>46</v>
      </c>
      <c r="E958" s="51" t="s">
        <v>25</v>
      </c>
      <c r="F958" s="51" t="s">
        <v>25</v>
      </c>
      <c r="G958" s="51" t="s">
        <v>25</v>
      </c>
      <c r="H958" s="51" t="s">
        <v>34</v>
      </c>
      <c r="I958" s="59">
        <v>44378</v>
      </c>
      <c r="J958" s="60">
        <f>EFEITO!$J$958*EFEITO!$Y$958</f>
        <v>0</v>
      </c>
      <c r="K958" s="60">
        <f ca="1">EFEITO!$L$958*EFEITO!$Z$958</f>
        <v>445173.62184606667</v>
      </c>
      <c r="L958" s="60">
        <f>EFEITO!$N$958*EFEITO!$AA$958</f>
        <v>87574.673502076432</v>
      </c>
      <c r="M958" s="60">
        <f>$J$958-EFEITO!$K$958*EFEITO!$Y$958</f>
        <v>0</v>
      </c>
      <c r="N958" s="60">
        <f ca="1">$K$958-EFEITO!$M$958*EFEITO!$Z$958</f>
        <v>0</v>
      </c>
      <c r="O958" s="60">
        <f>$L$958-EFEITO!$O$958*EFEITO!$AA$958</f>
        <v>0</v>
      </c>
      <c r="P958" s="18"/>
      <c r="Q958" s="18"/>
      <c r="R958" s="18"/>
      <c r="S958" s="18"/>
      <c r="T958" s="18"/>
      <c r="U958" s="18"/>
      <c r="V958" s="18"/>
      <c r="W958" s="18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1.25" customHeight="1" x14ac:dyDescent="0.2">
      <c r="A959" s="51" t="s">
        <v>28</v>
      </c>
      <c r="B959" s="51" t="s">
        <v>41</v>
      </c>
      <c r="C959" s="51" t="s">
        <v>42</v>
      </c>
      <c r="D959" s="51" t="s">
        <v>46</v>
      </c>
      <c r="E959" s="51" t="s">
        <v>25</v>
      </c>
      <c r="F959" s="51" t="s">
        <v>25</v>
      </c>
      <c r="G959" s="51" t="s">
        <v>25</v>
      </c>
      <c r="H959" s="51" t="s">
        <v>34</v>
      </c>
      <c r="I959" s="59">
        <v>44378</v>
      </c>
      <c r="J959" s="60">
        <f>EFEITO!$J$959*EFEITO!$Y$959</f>
        <v>0</v>
      </c>
      <c r="K959" s="60">
        <f ca="1">EFEITO!$L$959*EFEITO!$Z$959</f>
        <v>64248.945060254307</v>
      </c>
      <c r="L959" s="60">
        <f>EFEITO!$N$959*EFEITO!$AA$959</f>
        <v>12639.069590808305</v>
      </c>
      <c r="M959" s="60">
        <f>$J$959-EFEITO!$K$959*EFEITO!$Y$959</f>
        <v>0</v>
      </c>
      <c r="N959" s="60">
        <f ca="1">$K$959-EFEITO!$M$959*EFEITO!$Z$959</f>
        <v>0</v>
      </c>
      <c r="O959" s="60">
        <f>$L$959-EFEITO!$O$959*EFEITO!$AA$959</f>
        <v>0</v>
      </c>
      <c r="P959" s="18"/>
      <c r="Q959" s="18"/>
      <c r="R959" s="18"/>
      <c r="S959" s="18"/>
      <c r="T959" s="18"/>
      <c r="U959" s="18"/>
      <c r="V959" s="18"/>
      <c r="W959" s="18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1.25" customHeight="1" x14ac:dyDescent="0.2">
      <c r="A960" s="51" t="s">
        <v>21</v>
      </c>
      <c r="B960" s="51" t="s">
        <v>41</v>
      </c>
      <c r="C960" s="51" t="s">
        <v>42</v>
      </c>
      <c r="D960" s="51" t="s">
        <v>46</v>
      </c>
      <c r="E960" s="51" t="s">
        <v>25</v>
      </c>
      <c r="F960" s="51" t="s">
        <v>25</v>
      </c>
      <c r="G960" s="51" t="s">
        <v>25</v>
      </c>
      <c r="H960" s="51" t="s">
        <v>34</v>
      </c>
      <c r="I960" s="59">
        <v>44409</v>
      </c>
      <c r="J960" s="60">
        <f>EFEITO!$J$960*EFEITO!$Y$960</f>
        <v>0</v>
      </c>
      <c r="K960" s="60">
        <f ca="1">EFEITO!$L$960*EFEITO!$Z$960</f>
        <v>466526.2233595982</v>
      </c>
      <c r="L960" s="60">
        <f>EFEITO!$N$960*EFEITO!$AA$960</f>
        <v>91775.162961027483</v>
      </c>
      <c r="M960" s="60">
        <f>$J$960-EFEITO!$K$960*EFEITO!$Y$960</f>
        <v>0</v>
      </c>
      <c r="N960" s="60">
        <f ca="1">$K$960-EFEITO!$M$960*EFEITO!$Z$960</f>
        <v>0</v>
      </c>
      <c r="O960" s="60">
        <f>$L$960-EFEITO!$O$960*EFEITO!$AA$960</f>
        <v>0</v>
      </c>
      <c r="P960" s="18"/>
      <c r="Q960" s="18"/>
      <c r="R960" s="18"/>
      <c r="S960" s="18"/>
      <c r="T960" s="18"/>
      <c r="U960" s="18"/>
      <c r="V960" s="18"/>
      <c r="W960" s="18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1.25" customHeight="1" x14ac:dyDescent="0.2">
      <c r="A961" s="51" t="s">
        <v>28</v>
      </c>
      <c r="B961" s="51" t="s">
        <v>41</v>
      </c>
      <c r="C961" s="51" t="s">
        <v>42</v>
      </c>
      <c r="D961" s="51" t="s">
        <v>46</v>
      </c>
      <c r="E961" s="51" t="s">
        <v>25</v>
      </c>
      <c r="F961" s="51" t="s">
        <v>25</v>
      </c>
      <c r="G961" s="51" t="s">
        <v>25</v>
      </c>
      <c r="H961" s="51" t="s">
        <v>34</v>
      </c>
      <c r="I961" s="59">
        <v>44409</v>
      </c>
      <c r="J961" s="60">
        <f>EFEITO!$J$961*EFEITO!$Y$961</f>
        <v>0</v>
      </c>
      <c r="K961" s="60">
        <f ca="1">EFEITO!$L$961*EFEITO!$Z$961</f>
        <v>65140.321522129219</v>
      </c>
      <c r="L961" s="60">
        <f>EFEITO!$N$961*EFEITO!$AA$961</f>
        <v>12814.4214058876</v>
      </c>
      <c r="M961" s="60">
        <f>$J$961-EFEITO!$K$961*EFEITO!$Y$961</f>
        <v>0</v>
      </c>
      <c r="N961" s="60">
        <f ca="1">$K$961-EFEITO!$M$961*EFEITO!$Z$961</f>
        <v>0</v>
      </c>
      <c r="O961" s="60">
        <f>$L$961-EFEITO!$O$961*EFEITO!$AA$961</f>
        <v>0</v>
      </c>
      <c r="P961" s="18"/>
      <c r="Q961" s="18"/>
      <c r="R961" s="18"/>
      <c r="S961" s="18"/>
      <c r="T961" s="18"/>
      <c r="U961" s="18"/>
      <c r="V961" s="18"/>
      <c r="W961" s="18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1.25" customHeight="1" x14ac:dyDescent="0.2">
      <c r="A962" s="51" t="s">
        <v>21</v>
      </c>
      <c r="B962" s="51" t="s">
        <v>41</v>
      </c>
      <c r="C962" s="51" t="s">
        <v>42</v>
      </c>
      <c r="D962" s="51" t="s">
        <v>46</v>
      </c>
      <c r="E962" s="51" t="s">
        <v>25</v>
      </c>
      <c r="F962" s="51" t="s">
        <v>25</v>
      </c>
      <c r="G962" s="51" t="s">
        <v>25</v>
      </c>
      <c r="H962" s="51" t="s">
        <v>34</v>
      </c>
      <c r="I962" s="59">
        <v>44440</v>
      </c>
      <c r="J962" s="60">
        <f>EFEITO!$J$962*EFEITO!$Y$962</f>
        <v>0</v>
      </c>
      <c r="K962" s="60">
        <f ca="1">EFEITO!$L$962*EFEITO!$Z$962</f>
        <v>482337.58769260824</v>
      </c>
      <c r="L962" s="60">
        <f>EFEITO!$N$962*EFEITO!$AA$962</f>
        <v>94885.578765413418</v>
      </c>
      <c r="M962" s="60">
        <f>$J$962-EFEITO!$K$962*EFEITO!$Y$962</f>
        <v>0</v>
      </c>
      <c r="N962" s="60">
        <f ca="1">$K$962-EFEITO!$M$962*EFEITO!$Z$962</f>
        <v>0</v>
      </c>
      <c r="O962" s="60">
        <f>$L$962-EFEITO!$O$962*EFEITO!$AA$962</f>
        <v>0</v>
      </c>
      <c r="P962" s="18"/>
      <c r="Q962" s="18"/>
      <c r="R962" s="18"/>
      <c r="S962" s="18"/>
      <c r="T962" s="18"/>
      <c r="U962" s="18"/>
      <c r="V962" s="18"/>
      <c r="W962" s="18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1.25" customHeight="1" x14ac:dyDescent="0.2">
      <c r="A963" s="51" t="s">
        <v>28</v>
      </c>
      <c r="B963" s="51" t="s">
        <v>41</v>
      </c>
      <c r="C963" s="51" t="s">
        <v>42</v>
      </c>
      <c r="D963" s="51" t="s">
        <v>46</v>
      </c>
      <c r="E963" s="51" t="s">
        <v>25</v>
      </c>
      <c r="F963" s="51" t="s">
        <v>25</v>
      </c>
      <c r="G963" s="51" t="s">
        <v>25</v>
      </c>
      <c r="H963" s="51" t="s">
        <v>34</v>
      </c>
      <c r="I963" s="59">
        <v>44440</v>
      </c>
      <c r="J963" s="60">
        <f>EFEITO!$J$963*EFEITO!$Y$963</f>
        <v>0</v>
      </c>
      <c r="K963" s="60">
        <f ca="1">EFEITO!$L$963*EFEITO!$Z$963</f>
        <v>68983.348701057985</v>
      </c>
      <c r="L963" s="60">
        <f>EFEITO!$N$963*EFEITO!$AA$963</f>
        <v>13570.422736466588</v>
      </c>
      <c r="M963" s="60">
        <f>$J$963-EFEITO!$K$963*EFEITO!$Y$963</f>
        <v>0</v>
      </c>
      <c r="N963" s="60">
        <f ca="1">$K$963-EFEITO!$M$963*EFEITO!$Z$963</f>
        <v>0</v>
      </c>
      <c r="O963" s="60">
        <f>$L$963-EFEITO!$O$963*EFEITO!$AA$963</f>
        <v>0</v>
      </c>
      <c r="P963" s="18"/>
      <c r="Q963" s="18"/>
      <c r="R963" s="18"/>
      <c r="S963" s="18"/>
      <c r="T963" s="18"/>
      <c r="U963" s="18"/>
      <c r="V963" s="18"/>
      <c r="W963" s="18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1.25" customHeight="1" x14ac:dyDescent="0.2">
      <c r="A964" s="51" t="s">
        <v>21</v>
      </c>
      <c r="B964" s="51" t="s">
        <v>41</v>
      </c>
      <c r="C964" s="51" t="s">
        <v>42</v>
      </c>
      <c r="D964" s="51" t="s">
        <v>46</v>
      </c>
      <c r="E964" s="51" t="s">
        <v>25</v>
      </c>
      <c r="F964" s="51" t="s">
        <v>25</v>
      </c>
      <c r="G964" s="51" t="s">
        <v>25</v>
      </c>
      <c r="H964" s="51" t="s">
        <v>34</v>
      </c>
      <c r="I964" s="59">
        <v>44470</v>
      </c>
      <c r="J964" s="60">
        <f>EFEITO!$J$964*EFEITO!$Y$964</f>
        <v>0</v>
      </c>
      <c r="K964" s="60">
        <f ca="1">EFEITO!$L$964*EFEITO!$Z$964</f>
        <v>512021.34281784907</v>
      </c>
      <c r="L964" s="60">
        <f>EFEITO!$N$964*EFEITO!$AA$964</f>
        <v>100724.97498262108</v>
      </c>
      <c r="M964" s="60">
        <f>$J$964-EFEITO!$K$964*EFEITO!$Y$964</f>
        <v>0</v>
      </c>
      <c r="N964" s="60">
        <f ca="1">$K$964-EFEITO!$M$964*EFEITO!$Z$964</f>
        <v>0</v>
      </c>
      <c r="O964" s="60">
        <f>$L$964-EFEITO!$O$964*EFEITO!$AA$964</f>
        <v>0</v>
      </c>
      <c r="P964" s="18"/>
      <c r="Q964" s="18"/>
      <c r="R964" s="18"/>
      <c r="S964" s="18"/>
      <c r="T964" s="18"/>
      <c r="U964" s="18"/>
      <c r="V964" s="18"/>
      <c r="W964" s="18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1.25" customHeight="1" x14ac:dyDescent="0.2">
      <c r="A965" s="51" t="s">
        <v>28</v>
      </c>
      <c r="B965" s="51" t="s">
        <v>41</v>
      </c>
      <c r="C965" s="51" t="s">
        <v>42</v>
      </c>
      <c r="D965" s="51" t="s">
        <v>46</v>
      </c>
      <c r="E965" s="51" t="s">
        <v>25</v>
      </c>
      <c r="F965" s="51" t="s">
        <v>25</v>
      </c>
      <c r="G965" s="51" t="s">
        <v>25</v>
      </c>
      <c r="H965" s="51" t="s">
        <v>34</v>
      </c>
      <c r="I965" s="59">
        <v>44470</v>
      </c>
      <c r="J965" s="60">
        <f>EFEITO!$J$965*EFEITO!$Y$965</f>
        <v>0</v>
      </c>
      <c r="K965" s="60">
        <f ca="1">EFEITO!$L$965*EFEITO!$Z$965</f>
        <v>72796.969646192942</v>
      </c>
      <c r="L965" s="60">
        <f>EFEITO!$N$965*EFEITO!$AA$965</f>
        <v>14320.639264898628</v>
      </c>
      <c r="M965" s="60">
        <f>$J$965-EFEITO!$K$965*EFEITO!$Y$965</f>
        <v>0</v>
      </c>
      <c r="N965" s="60">
        <f ca="1">$K$965-EFEITO!$M$965*EFEITO!$Z$965</f>
        <v>0</v>
      </c>
      <c r="O965" s="60">
        <f>$L$965-EFEITO!$O$965*EFEITO!$AA$965</f>
        <v>0</v>
      </c>
      <c r="P965" s="18"/>
      <c r="Q965" s="18"/>
      <c r="R965" s="18"/>
      <c r="S965" s="18"/>
      <c r="T965" s="18"/>
      <c r="U965" s="18"/>
      <c r="V965" s="18"/>
      <c r="W965" s="18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1.25" customHeight="1" x14ac:dyDescent="0.2">
      <c r="A966" s="51" t="s">
        <v>21</v>
      </c>
      <c r="B966" s="51" t="s">
        <v>41</v>
      </c>
      <c r="C966" s="51" t="s">
        <v>42</v>
      </c>
      <c r="D966" s="51" t="s">
        <v>46</v>
      </c>
      <c r="E966" s="51" t="s">
        <v>25</v>
      </c>
      <c r="F966" s="51" t="s">
        <v>25</v>
      </c>
      <c r="G966" s="51" t="s">
        <v>25</v>
      </c>
      <c r="H966" s="51" t="s">
        <v>34</v>
      </c>
      <c r="I966" s="59">
        <v>44501</v>
      </c>
      <c r="J966" s="60">
        <f>EFEITO!$J$966*EFEITO!$Y$966</f>
        <v>0</v>
      </c>
      <c r="K966" s="60">
        <f ca="1">EFEITO!$L$966*EFEITO!$Z$966</f>
        <v>574255.96086322737</v>
      </c>
      <c r="L966" s="60">
        <f>EFEITO!$N$966*EFEITO!$AA$966</f>
        <v>112967.78562636359</v>
      </c>
      <c r="M966" s="60">
        <f>$J$966-EFEITO!$K$966*EFEITO!$Y$966</f>
        <v>0</v>
      </c>
      <c r="N966" s="60">
        <f ca="1">$K$966-EFEITO!$M$966*EFEITO!$Z$966</f>
        <v>0</v>
      </c>
      <c r="O966" s="60">
        <f>$L$966-EFEITO!$O$966*EFEITO!$AA$966</f>
        <v>0</v>
      </c>
      <c r="P966" s="18"/>
      <c r="Q966" s="18"/>
      <c r="R966" s="18"/>
      <c r="S966" s="18"/>
      <c r="T966" s="18"/>
      <c r="U966" s="18"/>
      <c r="V966" s="18"/>
      <c r="W966" s="18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1.25" customHeight="1" x14ac:dyDescent="0.2">
      <c r="A967" s="51" t="s">
        <v>28</v>
      </c>
      <c r="B967" s="51" t="s">
        <v>41</v>
      </c>
      <c r="C967" s="51" t="s">
        <v>42</v>
      </c>
      <c r="D967" s="51" t="s">
        <v>46</v>
      </c>
      <c r="E967" s="51" t="s">
        <v>25</v>
      </c>
      <c r="F967" s="51" t="s">
        <v>25</v>
      </c>
      <c r="G967" s="51" t="s">
        <v>25</v>
      </c>
      <c r="H967" s="51" t="s">
        <v>34</v>
      </c>
      <c r="I967" s="59">
        <v>44501</v>
      </c>
      <c r="J967" s="60">
        <f>EFEITO!$J$967*EFEITO!$Y$967</f>
        <v>0</v>
      </c>
      <c r="K967" s="60">
        <f ca="1">EFEITO!$L$967*EFEITO!$Z$967</f>
        <v>76092.305720711971</v>
      </c>
      <c r="L967" s="60">
        <f>EFEITO!$N$967*EFEITO!$AA$967</f>
        <v>14968.898655490746</v>
      </c>
      <c r="M967" s="60">
        <f>$J$967-EFEITO!$K$967*EFEITO!$Y$967</f>
        <v>0</v>
      </c>
      <c r="N967" s="60">
        <f ca="1">$K$967-EFEITO!$M$967*EFEITO!$Z$967</f>
        <v>0</v>
      </c>
      <c r="O967" s="60">
        <f>$L$967-EFEITO!$O$967*EFEITO!$AA$967</f>
        <v>0</v>
      </c>
      <c r="P967" s="18"/>
      <c r="Q967" s="18"/>
      <c r="R967" s="18"/>
      <c r="S967" s="18"/>
      <c r="T967" s="18"/>
      <c r="U967" s="18"/>
      <c r="V967" s="18"/>
      <c r="W967" s="18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1.25" customHeight="1" x14ac:dyDescent="0.2">
      <c r="A968" s="51" t="s">
        <v>21</v>
      </c>
      <c r="B968" s="51" t="s">
        <v>41</v>
      </c>
      <c r="C968" s="51" t="s">
        <v>42</v>
      </c>
      <c r="D968" s="51" t="s">
        <v>46</v>
      </c>
      <c r="E968" s="51" t="s">
        <v>25</v>
      </c>
      <c r="F968" s="51" t="s">
        <v>25</v>
      </c>
      <c r="G968" s="51" t="s">
        <v>25</v>
      </c>
      <c r="H968" s="51" t="s">
        <v>34</v>
      </c>
      <c r="I968" s="59">
        <v>44531</v>
      </c>
      <c r="J968" s="60">
        <f>EFEITO!$J$968*EFEITO!$Y$968</f>
        <v>0</v>
      </c>
      <c r="K968" s="60">
        <f ca="1">EFEITO!$L$968*EFEITO!$Z$968</f>
        <v>621846.27447928733</v>
      </c>
      <c r="L968" s="60">
        <f>EFEITO!$N$968*EFEITO!$AA$968</f>
        <v>122329.76480092708</v>
      </c>
      <c r="M968" s="60">
        <f>$J$968-EFEITO!$K$968*EFEITO!$Y$968</f>
        <v>0</v>
      </c>
      <c r="N968" s="60">
        <f ca="1">$K$968-EFEITO!$M$968*EFEITO!$Z$968</f>
        <v>0</v>
      </c>
      <c r="O968" s="60">
        <f>$L$968-EFEITO!$O$968*EFEITO!$AA$968</f>
        <v>0</v>
      </c>
      <c r="P968" s="18"/>
      <c r="Q968" s="18"/>
      <c r="R968" s="18"/>
      <c r="S968" s="18"/>
      <c r="T968" s="18"/>
      <c r="U968" s="18"/>
      <c r="V968" s="18"/>
      <c r="W968" s="18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1.25" customHeight="1" x14ac:dyDescent="0.2">
      <c r="A969" s="51" t="s">
        <v>28</v>
      </c>
      <c r="B969" s="51" t="s">
        <v>41</v>
      </c>
      <c r="C969" s="51" t="s">
        <v>42</v>
      </c>
      <c r="D969" s="51" t="s">
        <v>46</v>
      </c>
      <c r="E969" s="51" t="s">
        <v>25</v>
      </c>
      <c r="F969" s="51" t="s">
        <v>25</v>
      </c>
      <c r="G969" s="51" t="s">
        <v>25</v>
      </c>
      <c r="H969" s="51" t="s">
        <v>34</v>
      </c>
      <c r="I969" s="59">
        <v>44531</v>
      </c>
      <c r="J969" s="60">
        <f>EFEITO!$J$969*EFEITO!$Y$969</f>
        <v>0</v>
      </c>
      <c r="K969" s="60">
        <f ca="1">EFEITO!$L$969*EFEITO!$Z$969</f>
        <v>89172.566090121822</v>
      </c>
      <c r="L969" s="60">
        <f>EFEITO!$N$969*EFEITO!$AA$969</f>
        <v>17542.050960479093</v>
      </c>
      <c r="M969" s="60">
        <f>$J$969-EFEITO!$K$969*EFEITO!$Y$969</f>
        <v>0</v>
      </c>
      <c r="N969" s="60">
        <f ca="1">$K$969-EFEITO!$M$969*EFEITO!$Z$969</f>
        <v>0</v>
      </c>
      <c r="O969" s="60">
        <f>$L$969-EFEITO!$O$969*EFEITO!$AA$969</f>
        <v>0</v>
      </c>
      <c r="P969" s="18"/>
      <c r="Q969" s="18"/>
      <c r="R969" s="18"/>
      <c r="S969" s="18"/>
      <c r="T969" s="18"/>
      <c r="U969" s="18"/>
      <c r="V969" s="18"/>
      <c r="W969" s="18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1.25" customHeight="1" x14ac:dyDescent="0.2">
      <c r="A970" s="51" t="s">
        <v>21</v>
      </c>
      <c r="B970" s="51" t="s">
        <v>41</v>
      </c>
      <c r="C970" s="51" t="s">
        <v>42</v>
      </c>
      <c r="D970" s="51" t="s">
        <v>46</v>
      </c>
      <c r="E970" s="51" t="s">
        <v>25</v>
      </c>
      <c r="F970" s="51" t="s">
        <v>25</v>
      </c>
      <c r="G970" s="51" t="s">
        <v>25</v>
      </c>
      <c r="H970" s="51" t="s">
        <v>34</v>
      </c>
      <c r="I970" s="59">
        <v>44562</v>
      </c>
      <c r="J970" s="60">
        <f>EFEITO!$J$970*EFEITO!$Y$970</f>
        <v>0</v>
      </c>
      <c r="K970" s="60">
        <f ca="1">EFEITO!$L$970*EFEITO!$Z$970</f>
        <v>558023.71980904322</v>
      </c>
      <c r="L970" s="60">
        <f>EFEITO!$N$970*EFEITO!$AA$970</f>
        <v>109774.57484124949</v>
      </c>
      <c r="M970" s="60">
        <f>$J$970-EFEITO!$K$970*EFEITO!$Y$970</f>
        <v>0</v>
      </c>
      <c r="N970" s="60">
        <f ca="1">$K$970-EFEITO!$M$970*EFEITO!$Z$970</f>
        <v>0</v>
      </c>
      <c r="O970" s="60">
        <f>$L$970-EFEITO!$O$970*EFEITO!$AA$970</f>
        <v>0</v>
      </c>
      <c r="P970" s="18"/>
      <c r="Q970" s="18"/>
      <c r="R970" s="18"/>
      <c r="S970" s="18"/>
      <c r="T970" s="18"/>
      <c r="U970" s="18"/>
      <c r="V970" s="18"/>
      <c r="W970" s="18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1.25" customHeight="1" x14ac:dyDescent="0.2">
      <c r="A971" s="51" t="s">
        <v>27</v>
      </c>
      <c r="B971" s="51" t="s">
        <v>41</v>
      </c>
      <c r="C971" s="51" t="s">
        <v>42</v>
      </c>
      <c r="D971" s="51" t="s">
        <v>46</v>
      </c>
      <c r="E971" s="51" t="s">
        <v>25</v>
      </c>
      <c r="F971" s="51" t="s">
        <v>25</v>
      </c>
      <c r="G971" s="51" t="s">
        <v>25</v>
      </c>
      <c r="H971" s="51" t="s">
        <v>34</v>
      </c>
      <c r="I971" s="59">
        <v>44562</v>
      </c>
      <c r="J971" s="60">
        <f>EFEITO!$J$971*EFEITO!$Y$971</f>
        <v>0</v>
      </c>
      <c r="K971" s="60">
        <f ca="1">EFEITO!$L$971*EFEITO!$Z$971</f>
        <v>68.001915648189524</v>
      </c>
      <c r="L971" s="60">
        <f>EFEITO!$N$971*EFEITO!$AA$971</f>
        <v>13.37735496481227</v>
      </c>
      <c r="M971" s="60">
        <f>$J$971-EFEITO!$K$971*EFEITO!$Y$971</f>
        <v>0</v>
      </c>
      <c r="N971" s="60">
        <f ca="1">$K$971-EFEITO!$M$971*EFEITO!$Z$971</f>
        <v>0</v>
      </c>
      <c r="O971" s="60">
        <f>$L$971-EFEITO!$O$971*EFEITO!$AA$971</f>
        <v>0</v>
      </c>
      <c r="P971" s="18"/>
      <c r="Q971" s="18"/>
      <c r="R971" s="18"/>
      <c r="S971" s="18"/>
      <c r="T971" s="18"/>
      <c r="U971" s="18"/>
      <c r="V971" s="18"/>
      <c r="W971" s="18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1.25" customHeight="1" x14ac:dyDescent="0.2">
      <c r="A972" s="51" t="s">
        <v>28</v>
      </c>
      <c r="B972" s="51" t="s">
        <v>41</v>
      </c>
      <c r="C972" s="51" t="s">
        <v>42</v>
      </c>
      <c r="D972" s="51" t="s">
        <v>46</v>
      </c>
      <c r="E972" s="51" t="s">
        <v>25</v>
      </c>
      <c r="F972" s="51" t="s">
        <v>25</v>
      </c>
      <c r="G972" s="51" t="s">
        <v>25</v>
      </c>
      <c r="H972" s="51" t="s">
        <v>34</v>
      </c>
      <c r="I972" s="59">
        <v>44562</v>
      </c>
      <c r="J972" s="60">
        <f>EFEITO!$J$972*EFEITO!$Y$972</f>
        <v>0</v>
      </c>
      <c r="K972" s="60">
        <f ca="1">EFEITO!$L$972*EFEITO!$Z$972</f>
        <v>83622.139461539875</v>
      </c>
      <c r="L972" s="60">
        <f>EFEITO!$N$972*EFEITO!$AA$972</f>
        <v>16450.169555243068</v>
      </c>
      <c r="M972" s="60">
        <f>$J$972-EFEITO!$K$972*EFEITO!$Y$972</f>
        <v>0</v>
      </c>
      <c r="N972" s="60">
        <f ca="1">$K$972-EFEITO!$M$972*EFEITO!$Z$972</f>
        <v>0</v>
      </c>
      <c r="O972" s="60">
        <f>$L$972-EFEITO!$O$972*EFEITO!$AA$972</f>
        <v>0</v>
      </c>
      <c r="P972" s="18"/>
      <c r="Q972" s="18"/>
      <c r="R972" s="18"/>
      <c r="S972" s="18"/>
      <c r="T972" s="18"/>
      <c r="U972" s="18"/>
      <c r="V972" s="18"/>
      <c r="W972" s="18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1.25" customHeight="1" x14ac:dyDescent="0.2">
      <c r="A973" s="51" t="s">
        <v>21</v>
      </c>
      <c r="B973" s="51" t="s">
        <v>41</v>
      </c>
      <c r="C973" s="51" t="s">
        <v>42</v>
      </c>
      <c r="D973" s="51" t="s">
        <v>46</v>
      </c>
      <c r="E973" s="51" t="s">
        <v>25</v>
      </c>
      <c r="F973" s="51" t="s">
        <v>25</v>
      </c>
      <c r="G973" s="51" t="s">
        <v>25</v>
      </c>
      <c r="H973" s="51" t="s">
        <v>34</v>
      </c>
      <c r="I973" s="59">
        <v>44593</v>
      </c>
      <c r="J973" s="60">
        <f>EFEITO!$J$973*EFEITO!$Y$973</f>
        <v>0</v>
      </c>
      <c r="K973" s="60">
        <f ca="1">EFEITO!$L$973*EFEITO!$Z$973</f>
        <v>565654.63747853739</v>
      </c>
      <c r="L973" s="60">
        <f>EFEITO!$N$973*EFEITO!$AA$973</f>
        <v>111275.73099838193</v>
      </c>
      <c r="M973" s="60">
        <f>$J$973-EFEITO!$K$973*EFEITO!$Y$973</f>
        <v>0</v>
      </c>
      <c r="N973" s="60">
        <f ca="1">$K$973-EFEITO!$M$973*EFEITO!$Z$973</f>
        <v>0</v>
      </c>
      <c r="O973" s="60">
        <f>$L$973-EFEITO!$O$973*EFEITO!$AA$973</f>
        <v>0</v>
      </c>
      <c r="P973" s="18"/>
      <c r="Q973" s="18"/>
      <c r="R973" s="18"/>
      <c r="S973" s="18"/>
      <c r="T973" s="18"/>
      <c r="U973" s="18"/>
      <c r="V973" s="18"/>
      <c r="W973" s="18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1.25" customHeight="1" x14ac:dyDescent="0.2">
      <c r="A974" s="51" t="s">
        <v>27</v>
      </c>
      <c r="B974" s="51" t="s">
        <v>41</v>
      </c>
      <c r="C974" s="51" t="s">
        <v>42</v>
      </c>
      <c r="D974" s="51" t="s">
        <v>46</v>
      </c>
      <c r="E974" s="51" t="s">
        <v>25</v>
      </c>
      <c r="F974" s="51" t="s">
        <v>25</v>
      </c>
      <c r="G974" s="51" t="s">
        <v>25</v>
      </c>
      <c r="H974" s="51" t="s">
        <v>34</v>
      </c>
      <c r="I974" s="59">
        <v>44593</v>
      </c>
      <c r="J974" s="60">
        <f>EFEITO!$J$974*EFEITO!$Y$974</f>
        <v>0</v>
      </c>
      <c r="K974" s="60">
        <f ca="1">EFEITO!$L$974*EFEITO!$Z$974</f>
        <v>20654.203460928482</v>
      </c>
      <c r="L974" s="60">
        <f>EFEITO!$N$974*EFEITO!$AA$974</f>
        <v>4063.1004079610884</v>
      </c>
      <c r="M974" s="60">
        <f>$J$974-EFEITO!$K$974*EFEITO!$Y$974</f>
        <v>0</v>
      </c>
      <c r="N974" s="60">
        <f ca="1">$K$974-EFEITO!$M$974*EFEITO!$Z$974</f>
        <v>0</v>
      </c>
      <c r="O974" s="60">
        <f>$L$974-EFEITO!$O$974*EFEITO!$AA$974</f>
        <v>0</v>
      </c>
      <c r="P974" s="18"/>
      <c r="Q974" s="18"/>
      <c r="R974" s="18"/>
      <c r="S974" s="18"/>
      <c r="T974" s="18"/>
      <c r="U974" s="18"/>
      <c r="V974" s="18"/>
      <c r="W974" s="18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1.25" customHeight="1" x14ac:dyDescent="0.2">
      <c r="A975" s="51" t="s">
        <v>28</v>
      </c>
      <c r="B975" s="51" t="s">
        <v>41</v>
      </c>
      <c r="C975" s="51" t="s">
        <v>42</v>
      </c>
      <c r="D975" s="51" t="s">
        <v>46</v>
      </c>
      <c r="E975" s="51" t="s">
        <v>25</v>
      </c>
      <c r="F975" s="51" t="s">
        <v>25</v>
      </c>
      <c r="G975" s="51" t="s">
        <v>25</v>
      </c>
      <c r="H975" s="51" t="s">
        <v>34</v>
      </c>
      <c r="I975" s="59">
        <v>44593</v>
      </c>
      <c r="J975" s="60">
        <f>EFEITO!$J$975*EFEITO!$Y$975</f>
        <v>0</v>
      </c>
      <c r="K975" s="60">
        <f ca="1">EFEITO!$L$975*EFEITO!$Z$975</f>
        <v>83522.893422485751</v>
      </c>
      <c r="L975" s="60">
        <f>EFEITO!$N$975*EFEITO!$AA$975</f>
        <v>16430.645847997122</v>
      </c>
      <c r="M975" s="60">
        <f>$J$975-EFEITO!$K$975*EFEITO!$Y$975</f>
        <v>0</v>
      </c>
      <c r="N975" s="60">
        <f ca="1">$K$975-EFEITO!$M$975*EFEITO!$Z$975</f>
        <v>0</v>
      </c>
      <c r="O975" s="60">
        <f>$L$975-EFEITO!$O$975*EFEITO!$AA$975</f>
        <v>0</v>
      </c>
      <c r="P975" s="18"/>
      <c r="Q975" s="18"/>
      <c r="R975" s="18"/>
      <c r="S975" s="18"/>
      <c r="T975" s="18"/>
      <c r="U975" s="18"/>
      <c r="V975" s="18"/>
      <c r="W975" s="18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1.25" customHeight="1" x14ac:dyDescent="0.2">
      <c r="A976" s="51" t="s">
        <v>56</v>
      </c>
      <c r="B976" s="51" t="s">
        <v>41</v>
      </c>
      <c r="C976" s="51" t="s">
        <v>42</v>
      </c>
      <c r="D976" s="51" t="s">
        <v>46</v>
      </c>
      <c r="E976" s="51" t="s">
        <v>25</v>
      </c>
      <c r="F976" s="51" t="s">
        <v>25</v>
      </c>
      <c r="G976" s="51" t="s">
        <v>25</v>
      </c>
      <c r="H976" s="51" t="s">
        <v>34</v>
      </c>
      <c r="I976" s="59">
        <v>44621</v>
      </c>
      <c r="J976" s="60">
        <f>EFEITO!$J$976*EFEITO!$Y$976</f>
        <v>0</v>
      </c>
      <c r="K976" s="60">
        <f ca="1">EFEITO!$L$976*EFEITO!$Z$976</f>
        <v>565654.63747853739</v>
      </c>
      <c r="L976" s="60">
        <f>EFEITO!$N$976*EFEITO!$AA$976</f>
        <v>111275.73099838193</v>
      </c>
      <c r="M976" s="60">
        <f>$J$976-EFEITO!$K$976*EFEITO!$Y$976</f>
        <v>0</v>
      </c>
      <c r="N976" s="60">
        <f ca="1">$K$976-EFEITO!$M$976*EFEITO!$Z$976</f>
        <v>0</v>
      </c>
      <c r="O976" s="60">
        <f>$L$976-EFEITO!$O$976*EFEITO!$AA$976</f>
        <v>0</v>
      </c>
      <c r="P976" s="18"/>
      <c r="Q976" s="18"/>
      <c r="R976" s="18"/>
      <c r="S976" s="18"/>
      <c r="T976" s="18"/>
      <c r="U976" s="18"/>
      <c r="V976" s="18"/>
      <c r="W976" s="18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1.25" customHeight="1" x14ac:dyDescent="0.2">
      <c r="A977" s="51" t="s">
        <v>56</v>
      </c>
      <c r="B977" s="51" t="s">
        <v>41</v>
      </c>
      <c r="C977" s="51" t="s">
        <v>42</v>
      </c>
      <c r="D977" s="51" t="s">
        <v>46</v>
      </c>
      <c r="E977" s="51" t="s">
        <v>25</v>
      </c>
      <c r="F977" s="51" t="s">
        <v>25</v>
      </c>
      <c r="G977" s="51" t="s">
        <v>25</v>
      </c>
      <c r="H977" s="51" t="s">
        <v>34</v>
      </c>
      <c r="I977" s="59">
        <v>44621</v>
      </c>
      <c r="J977" s="60">
        <f>EFEITO!$J$977*EFEITO!$Y$977</f>
        <v>0</v>
      </c>
      <c r="K977" s="60">
        <f ca="1">EFEITO!$L$977*EFEITO!$Z$977</f>
        <v>20654.203460928482</v>
      </c>
      <c r="L977" s="60">
        <f>EFEITO!$N$977*EFEITO!$AA$977</f>
        <v>4063.1004079610884</v>
      </c>
      <c r="M977" s="60">
        <f>$J$977-EFEITO!$K$977*EFEITO!$Y$977</f>
        <v>0</v>
      </c>
      <c r="N977" s="60">
        <f ca="1">$K$977-EFEITO!$M$977*EFEITO!$Z$977</f>
        <v>0</v>
      </c>
      <c r="O977" s="60">
        <f>$L$977-EFEITO!$O$977*EFEITO!$AA$977</f>
        <v>0</v>
      </c>
      <c r="P977" s="18"/>
      <c r="Q977" s="18"/>
      <c r="R977" s="18"/>
      <c r="S977" s="18"/>
      <c r="T977" s="18"/>
      <c r="U977" s="18"/>
      <c r="V977" s="18"/>
      <c r="W977" s="18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1.25" customHeight="1" x14ac:dyDescent="0.2">
      <c r="A978" s="51" t="s">
        <v>56</v>
      </c>
      <c r="B978" s="51" t="s">
        <v>41</v>
      </c>
      <c r="C978" s="51" t="s">
        <v>42</v>
      </c>
      <c r="D978" s="51" t="s">
        <v>46</v>
      </c>
      <c r="E978" s="51" t="s">
        <v>25</v>
      </c>
      <c r="F978" s="51" t="s">
        <v>25</v>
      </c>
      <c r="G978" s="51" t="s">
        <v>25</v>
      </c>
      <c r="H978" s="51" t="s">
        <v>34</v>
      </c>
      <c r="I978" s="59">
        <v>44621</v>
      </c>
      <c r="J978" s="60">
        <f>EFEITO!$J$978*EFEITO!$Y$978</f>
        <v>0</v>
      </c>
      <c r="K978" s="60">
        <f ca="1">EFEITO!$L$978*EFEITO!$Z$978</f>
        <v>83522.893422485751</v>
      </c>
      <c r="L978" s="60">
        <f>EFEITO!$N$978*EFEITO!$AA$978</f>
        <v>16430.645847997122</v>
      </c>
      <c r="M978" s="60">
        <f>$J$978-EFEITO!$K$978*EFEITO!$Y$978</f>
        <v>0</v>
      </c>
      <c r="N978" s="60">
        <f ca="1">$K$978-EFEITO!$M$978*EFEITO!$Z$978</f>
        <v>0</v>
      </c>
      <c r="O978" s="60">
        <f>$L$978-EFEITO!$O$978*EFEITO!$AA$978</f>
        <v>0</v>
      </c>
      <c r="P978" s="18"/>
      <c r="Q978" s="18"/>
      <c r="R978" s="18"/>
      <c r="S978" s="18"/>
      <c r="T978" s="18"/>
      <c r="U978" s="18"/>
      <c r="V978" s="18"/>
      <c r="W978" s="18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1.25" customHeight="1" x14ac:dyDescent="0.2">
      <c r="A979" s="51" t="s">
        <v>21</v>
      </c>
      <c r="B979" s="51" t="s">
        <v>41</v>
      </c>
      <c r="C979" s="51" t="s">
        <v>42</v>
      </c>
      <c r="D979" s="51" t="s">
        <v>45</v>
      </c>
      <c r="E979" s="51" t="s">
        <v>53</v>
      </c>
      <c r="F979" s="51" t="s">
        <v>55</v>
      </c>
      <c r="G979" s="51" t="s">
        <v>25</v>
      </c>
      <c r="H979" s="51" t="s">
        <v>35</v>
      </c>
      <c r="I979" s="59">
        <v>44287</v>
      </c>
      <c r="J979" s="60">
        <f>EFEITO!$J$979*EFEITO!$Y$922</f>
        <v>0</v>
      </c>
      <c r="K979" s="60">
        <f ca="1">EFEITO!$L$979*EFEITO!$Z$922</f>
        <v>62588.808951354185</v>
      </c>
      <c r="L979" s="60">
        <f>EFEITO!$N$979*EFEITO!$AA$922</f>
        <v>214843.48539827581</v>
      </c>
      <c r="M979" s="60">
        <f>$J$979-EFEITO!$K$979*EFEITO!$Y$979</f>
        <v>0</v>
      </c>
      <c r="N979" s="60">
        <f ca="1">$K$979-EFEITO!$M$979*EFEITO!$Z$979</f>
        <v>56329.928056218763</v>
      </c>
      <c r="O979" s="60">
        <f>$L$979-EFEITO!$O$979*EFEITO!$AA$979</f>
        <v>193359.13685844821</v>
      </c>
      <c r="P979" s="18"/>
      <c r="Q979" s="18"/>
      <c r="R979" s="18"/>
      <c r="S979" s="18"/>
      <c r="T979" s="18"/>
      <c r="U979" s="18"/>
      <c r="V979" s="18"/>
      <c r="W979" s="18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1.25" customHeight="1" x14ac:dyDescent="0.2">
      <c r="A980" s="51" t="s">
        <v>21</v>
      </c>
      <c r="B980" s="51" t="s">
        <v>41</v>
      </c>
      <c r="C980" s="51" t="s">
        <v>42</v>
      </c>
      <c r="D980" s="51" t="s">
        <v>45</v>
      </c>
      <c r="E980" s="51" t="s">
        <v>53</v>
      </c>
      <c r="F980" s="51" t="s">
        <v>55</v>
      </c>
      <c r="G980" s="51" t="s">
        <v>25</v>
      </c>
      <c r="H980" s="51" t="s">
        <v>35</v>
      </c>
      <c r="I980" s="59">
        <v>44317</v>
      </c>
      <c r="J980" s="60">
        <f>EFEITO!$J$980*EFEITO!$Y$922</f>
        <v>0</v>
      </c>
      <c r="K980" s="60">
        <f ca="1">EFEITO!$L$980*EFEITO!$Z$922</f>
        <v>21710.00453368801</v>
      </c>
      <c r="L980" s="60">
        <f>EFEITO!$N$980*EFEITO!$AA$922</f>
        <v>74522.156918740729</v>
      </c>
      <c r="M980" s="60">
        <f>$J$980-EFEITO!$K$980*EFEITO!$Y$980</f>
        <v>0</v>
      </c>
      <c r="N980" s="60">
        <f ca="1">$K$980-EFEITO!$M$980*EFEITO!$Z$980</f>
        <v>19539.00408031921</v>
      </c>
      <c r="O980" s="60">
        <f>$L$980-EFEITO!$O$980*EFEITO!$AA$980</f>
        <v>67069.941226866649</v>
      </c>
      <c r="P980" s="18"/>
      <c r="Q980" s="18"/>
      <c r="R980" s="18"/>
      <c r="S980" s="18"/>
      <c r="T980" s="18"/>
      <c r="U980" s="18"/>
      <c r="V980" s="18"/>
      <c r="W980" s="18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1.25" customHeight="1" x14ac:dyDescent="0.2">
      <c r="A981" s="51" t="s">
        <v>28</v>
      </c>
      <c r="B981" s="51" t="s">
        <v>41</v>
      </c>
      <c r="C981" s="51" t="s">
        <v>42</v>
      </c>
      <c r="D981" s="51" t="s">
        <v>45</v>
      </c>
      <c r="E981" s="51" t="s">
        <v>53</v>
      </c>
      <c r="F981" s="51" t="s">
        <v>55</v>
      </c>
      <c r="G981" s="51" t="s">
        <v>25</v>
      </c>
      <c r="H981" s="51" t="s">
        <v>35</v>
      </c>
      <c r="I981" s="59">
        <v>44317</v>
      </c>
      <c r="J981" s="60">
        <f>EFEITO!$J$981*EFEITO!$Y$922</f>
        <v>0</v>
      </c>
      <c r="K981" s="60">
        <f ca="1">EFEITO!$L$981*EFEITO!$Z$922</f>
        <v>5.3306075893736917</v>
      </c>
      <c r="L981" s="60">
        <f>EFEITO!$N$981*EFEITO!$AA$922</f>
        <v>18.297940685876657</v>
      </c>
      <c r="M981" s="60">
        <f>$J$981-EFEITO!$K$981*EFEITO!$Y$981</f>
        <v>0</v>
      </c>
      <c r="N981" s="60">
        <f ca="1">$K$981-EFEITO!$M$981*EFEITO!$Z$981</f>
        <v>4.7975468304363229</v>
      </c>
      <c r="O981" s="60">
        <f>$L$981-EFEITO!$O$981*EFEITO!$AA$981</f>
        <v>16.468146617288991</v>
      </c>
      <c r="P981" s="18"/>
      <c r="Q981" s="18"/>
      <c r="R981" s="18"/>
      <c r="S981" s="18"/>
      <c r="T981" s="18"/>
      <c r="U981" s="18"/>
      <c r="V981" s="18"/>
      <c r="W981" s="18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1.25" customHeight="1" x14ac:dyDescent="0.2">
      <c r="A982" s="51" t="s">
        <v>21</v>
      </c>
      <c r="B982" s="51" t="s">
        <v>41</v>
      </c>
      <c r="C982" s="51" t="s">
        <v>42</v>
      </c>
      <c r="D982" s="51" t="s">
        <v>45</v>
      </c>
      <c r="E982" s="51" t="s">
        <v>53</v>
      </c>
      <c r="F982" s="51" t="s">
        <v>55</v>
      </c>
      <c r="G982" s="51" t="s">
        <v>25</v>
      </c>
      <c r="H982" s="51" t="s">
        <v>35</v>
      </c>
      <c r="I982" s="59">
        <v>44348</v>
      </c>
      <c r="J982" s="60">
        <f>EFEITO!$J$982*EFEITO!$Y$922</f>
        <v>0</v>
      </c>
      <c r="K982" s="60">
        <f ca="1">EFEITO!$L$982*EFEITO!$Z$922</f>
        <v>21123.247654399143</v>
      </c>
      <c r="L982" s="60">
        <f>EFEITO!$N$982*EFEITO!$AA$922</f>
        <v>72508.044569585574</v>
      </c>
      <c r="M982" s="60">
        <f>$J$982-EFEITO!$K$982*EFEITO!$Y$982</f>
        <v>0</v>
      </c>
      <c r="N982" s="60">
        <f ca="1">$K$982-EFEITO!$M$982*EFEITO!$Z$982</f>
        <v>19010.922888959227</v>
      </c>
      <c r="O982" s="60">
        <f>$L$982-EFEITO!$O$982*EFEITO!$AA$982</f>
        <v>65257.240112627012</v>
      </c>
      <c r="P982" s="18"/>
      <c r="Q982" s="18"/>
      <c r="R982" s="18"/>
      <c r="S982" s="18"/>
      <c r="T982" s="18"/>
      <c r="U982" s="18"/>
      <c r="V982" s="18"/>
      <c r="W982" s="18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1.25" customHeight="1" x14ac:dyDescent="0.2">
      <c r="A983" s="51" t="s">
        <v>28</v>
      </c>
      <c r="B983" s="51" t="s">
        <v>41</v>
      </c>
      <c r="C983" s="51" t="s">
        <v>42</v>
      </c>
      <c r="D983" s="51" t="s">
        <v>45</v>
      </c>
      <c r="E983" s="51" t="s">
        <v>53</v>
      </c>
      <c r="F983" s="51" t="s">
        <v>55</v>
      </c>
      <c r="G983" s="51" t="s">
        <v>25</v>
      </c>
      <c r="H983" s="51" t="s">
        <v>35</v>
      </c>
      <c r="I983" s="59">
        <v>44348</v>
      </c>
      <c r="J983" s="60">
        <f>EFEITO!$J$983*EFEITO!$Y$922</f>
        <v>0</v>
      </c>
      <c r="K983" s="60">
        <f ca="1">EFEITO!$L$983*EFEITO!$Z$922</f>
        <v>2.6653037946868459</v>
      </c>
      <c r="L983" s="60">
        <f>EFEITO!$N$983*EFEITO!$AA$922</f>
        <v>9.1489703429383287</v>
      </c>
      <c r="M983" s="60">
        <f>$J$983-EFEITO!$K$983*EFEITO!$Y$983</f>
        <v>0</v>
      </c>
      <c r="N983" s="60">
        <f ca="1">$K$983-EFEITO!$M$983*EFEITO!$Z$983</f>
        <v>2.3987734152181615</v>
      </c>
      <c r="O983" s="60">
        <f>$L$983-EFEITO!$O$983*EFEITO!$AA$983</f>
        <v>8.2340733086444953</v>
      </c>
      <c r="P983" s="18"/>
      <c r="Q983" s="18"/>
      <c r="R983" s="18"/>
      <c r="S983" s="18"/>
      <c r="T983" s="18"/>
      <c r="U983" s="18"/>
      <c r="V983" s="18"/>
      <c r="W983" s="18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1.25" customHeight="1" x14ac:dyDescent="0.2">
      <c r="A984" s="51" t="s">
        <v>21</v>
      </c>
      <c r="B984" s="51" t="s">
        <v>41</v>
      </c>
      <c r="C984" s="51" t="s">
        <v>42</v>
      </c>
      <c r="D984" s="51" t="s">
        <v>45</v>
      </c>
      <c r="E984" s="51" t="s">
        <v>53</v>
      </c>
      <c r="F984" s="51" t="s">
        <v>55</v>
      </c>
      <c r="G984" s="51" t="s">
        <v>25</v>
      </c>
      <c r="H984" s="51" t="s">
        <v>35</v>
      </c>
      <c r="I984" s="59">
        <v>44378</v>
      </c>
      <c r="J984" s="60">
        <f>EFEITO!$J$984*EFEITO!$Y$922</f>
        <v>0</v>
      </c>
      <c r="K984" s="60">
        <f ca="1">EFEITO!$L$984*EFEITO!$Z$922</f>
        <v>23044.606653320228</v>
      </c>
      <c r="L984" s="60">
        <f>EFEITO!$N$984*EFEITO!$AA$922</f>
        <v>79103.336458753518</v>
      </c>
      <c r="M984" s="60">
        <f>$J$984-EFEITO!$K$984*EFEITO!$Y$984</f>
        <v>0</v>
      </c>
      <c r="N984" s="60">
        <f ca="1">$K$984-EFEITO!$M$984*EFEITO!$Z$984</f>
        <v>20740.145987988206</v>
      </c>
      <c r="O984" s="60">
        <f>$L$984-EFEITO!$O$984*EFEITO!$AA$984</f>
        <v>71193.002812878171</v>
      </c>
      <c r="P984" s="18"/>
      <c r="Q984" s="18"/>
      <c r="R984" s="18"/>
      <c r="S984" s="18"/>
      <c r="T984" s="18"/>
      <c r="U984" s="18"/>
      <c r="V984" s="18"/>
      <c r="W984" s="18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1.25" customHeight="1" x14ac:dyDescent="0.2">
      <c r="A985" s="51" t="s">
        <v>28</v>
      </c>
      <c r="B985" s="51" t="s">
        <v>41</v>
      </c>
      <c r="C985" s="51" t="s">
        <v>42</v>
      </c>
      <c r="D985" s="51" t="s">
        <v>45</v>
      </c>
      <c r="E985" s="51" t="s">
        <v>53</v>
      </c>
      <c r="F985" s="51" t="s">
        <v>55</v>
      </c>
      <c r="G985" s="51" t="s">
        <v>25</v>
      </c>
      <c r="H985" s="51" t="s">
        <v>35</v>
      </c>
      <c r="I985" s="59">
        <v>44378</v>
      </c>
      <c r="J985" s="60">
        <f>EFEITO!$J$985*EFEITO!$Y$922</f>
        <v>0</v>
      </c>
      <c r="K985" s="60">
        <f ca="1">EFEITO!$L$985*EFEITO!$Z$922</f>
        <v>5.3306075893736917</v>
      </c>
      <c r="L985" s="60">
        <f>EFEITO!$N$985*EFEITO!$AA$922</f>
        <v>18.297940685876657</v>
      </c>
      <c r="M985" s="60">
        <f>$J$985-EFEITO!$K$985*EFEITO!$Y$985</f>
        <v>0</v>
      </c>
      <c r="N985" s="60">
        <f ca="1">$K$985-EFEITO!$M$985*EFEITO!$Z$985</f>
        <v>4.7975468304363229</v>
      </c>
      <c r="O985" s="60">
        <f>$L$985-EFEITO!$O$985*EFEITO!$AA$985</f>
        <v>16.468146617288991</v>
      </c>
      <c r="P985" s="18"/>
      <c r="Q985" s="18"/>
      <c r="R985" s="18"/>
      <c r="S985" s="18"/>
      <c r="T985" s="18"/>
      <c r="U985" s="18"/>
      <c r="V985" s="18"/>
      <c r="W985" s="18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1.25" customHeight="1" x14ac:dyDescent="0.2">
      <c r="A986" s="51" t="s">
        <v>21</v>
      </c>
      <c r="B986" s="51" t="s">
        <v>41</v>
      </c>
      <c r="C986" s="51" t="s">
        <v>42</v>
      </c>
      <c r="D986" s="51" t="s">
        <v>45</v>
      </c>
      <c r="E986" s="51" t="s">
        <v>53</v>
      </c>
      <c r="F986" s="51" t="s">
        <v>55</v>
      </c>
      <c r="G986" s="51" t="s">
        <v>25</v>
      </c>
      <c r="H986" s="51" t="s">
        <v>35</v>
      </c>
      <c r="I986" s="59">
        <v>44409</v>
      </c>
      <c r="J986" s="60">
        <f>EFEITO!$J$986*EFEITO!$Y$922</f>
        <v>0</v>
      </c>
      <c r="K986" s="60">
        <f ca="1">EFEITO!$L$986*EFEITO!$Z$922</f>
        <v>38956.08026314294</v>
      </c>
      <c r="L986" s="60">
        <f>EFEITO!$N$986*EFEITO!$AA$922</f>
        <v>133721.3505323866</v>
      </c>
      <c r="M986" s="60">
        <f>$J$986-EFEITO!$K$986*EFEITO!$Y$986</f>
        <v>0</v>
      </c>
      <c r="N986" s="60">
        <f ca="1">$K$986-EFEITO!$M$986*EFEITO!$Z$986</f>
        <v>35060.472236828646</v>
      </c>
      <c r="O986" s="60">
        <f>$L$986-EFEITO!$O$986*EFEITO!$AA$986</f>
        <v>120349.21547914794</v>
      </c>
      <c r="P986" s="18"/>
      <c r="Q986" s="18"/>
      <c r="R986" s="18"/>
      <c r="S986" s="18"/>
      <c r="T986" s="18"/>
      <c r="U986" s="18"/>
      <c r="V986" s="18"/>
      <c r="W986" s="18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1.25" customHeight="1" x14ac:dyDescent="0.2">
      <c r="A987" s="51" t="s">
        <v>28</v>
      </c>
      <c r="B987" s="51" t="s">
        <v>41</v>
      </c>
      <c r="C987" s="51" t="s">
        <v>42</v>
      </c>
      <c r="D987" s="51" t="s">
        <v>45</v>
      </c>
      <c r="E987" s="51" t="s">
        <v>53</v>
      </c>
      <c r="F987" s="51" t="s">
        <v>55</v>
      </c>
      <c r="G987" s="51" t="s">
        <v>25</v>
      </c>
      <c r="H987" s="51" t="s">
        <v>35</v>
      </c>
      <c r="I987" s="59">
        <v>44409</v>
      </c>
      <c r="J987" s="60">
        <f>EFEITO!$J$987*EFEITO!$Y$922</f>
        <v>0</v>
      </c>
      <c r="K987" s="60">
        <f ca="1">EFEITO!$L$987*EFEITO!$Z$922</f>
        <v>5.3306075893736917</v>
      </c>
      <c r="L987" s="60">
        <f>EFEITO!$N$987*EFEITO!$AA$922</f>
        <v>18.297940685876657</v>
      </c>
      <c r="M987" s="60">
        <f>$J$987-EFEITO!$K$987*EFEITO!$Y$987</f>
        <v>0</v>
      </c>
      <c r="N987" s="60">
        <f ca="1">$K$987-EFEITO!$M$987*EFEITO!$Z$987</f>
        <v>4.7975468304363229</v>
      </c>
      <c r="O987" s="60">
        <f>$L$987-EFEITO!$O$987*EFEITO!$AA$987</f>
        <v>16.468146617288991</v>
      </c>
      <c r="P987" s="18"/>
      <c r="Q987" s="18"/>
      <c r="R987" s="18"/>
      <c r="S987" s="18"/>
      <c r="T987" s="18"/>
      <c r="U987" s="18"/>
      <c r="V987" s="18"/>
      <c r="W987" s="18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1.25" customHeight="1" x14ac:dyDescent="0.2">
      <c r="A988" s="51" t="s">
        <v>21</v>
      </c>
      <c r="B988" s="51" t="s">
        <v>41</v>
      </c>
      <c r="C988" s="51" t="s">
        <v>42</v>
      </c>
      <c r="D988" s="51" t="s">
        <v>45</v>
      </c>
      <c r="E988" s="51" t="s">
        <v>53</v>
      </c>
      <c r="F988" s="51" t="s">
        <v>55</v>
      </c>
      <c r="G988" s="51" t="s">
        <v>25</v>
      </c>
      <c r="H988" s="51" t="s">
        <v>35</v>
      </c>
      <c r="I988" s="59">
        <v>44440</v>
      </c>
      <c r="J988" s="60">
        <f>EFEITO!$J$988*EFEITO!$Y$922</f>
        <v>0</v>
      </c>
      <c r="K988" s="60">
        <f ca="1">EFEITO!$L$988*EFEITO!$Z$922</f>
        <v>57933.303310951786</v>
      </c>
      <c r="L988" s="60">
        <f>EFEITO!$N$988*EFEITO!$AA$922</f>
        <v>198862.91195657998</v>
      </c>
      <c r="M988" s="60">
        <f>$J$988-EFEITO!$K$988*EFEITO!$Y$988</f>
        <v>0</v>
      </c>
      <c r="N988" s="60">
        <f ca="1">$K$988-EFEITO!$M$988*EFEITO!$Z$988</f>
        <v>52139.972979856611</v>
      </c>
      <c r="O988" s="60">
        <f>$L$988-EFEITO!$O$988*EFEITO!$AA$988</f>
        <v>178976.62076092197</v>
      </c>
      <c r="P988" s="18"/>
      <c r="Q988" s="18"/>
      <c r="R988" s="18"/>
      <c r="S988" s="18"/>
      <c r="T988" s="18"/>
      <c r="U988" s="18"/>
      <c r="V988" s="18"/>
      <c r="W988" s="18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1.25" customHeight="1" x14ac:dyDescent="0.2">
      <c r="A989" s="51" t="s">
        <v>28</v>
      </c>
      <c r="B989" s="51" t="s">
        <v>41</v>
      </c>
      <c r="C989" s="51" t="s">
        <v>42</v>
      </c>
      <c r="D989" s="51" t="s">
        <v>45</v>
      </c>
      <c r="E989" s="51" t="s">
        <v>53</v>
      </c>
      <c r="F989" s="51" t="s">
        <v>55</v>
      </c>
      <c r="G989" s="51" t="s">
        <v>25</v>
      </c>
      <c r="H989" s="51" t="s">
        <v>35</v>
      </c>
      <c r="I989" s="59">
        <v>44440</v>
      </c>
      <c r="J989" s="60">
        <f>EFEITO!$J$989*EFEITO!$Y$922</f>
        <v>0</v>
      </c>
      <c r="K989" s="60">
        <f ca="1">EFEITO!$L$989*EFEITO!$Z$922</f>
        <v>170.57944285995814</v>
      </c>
      <c r="L989" s="60">
        <f>EFEITO!$N$989*EFEITO!$AA$922</f>
        <v>585.53410194805303</v>
      </c>
      <c r="M989" s="60">
        <f>$J$989-EFEITO!$K$989*EFEITO!$Y$989</f>
        <v>0</v>
      </c>
      <c r="N989" s="60">
        <f ca="1">$K$989-EFEITO!$M$989*EFEITO!$Z$989</f>
        <v>153.52149857396233</v>
      </c>
      <c r="O989" s="60">
        <f>$L$989-EFEITO!$O$989*EFEITO!$AA$989</f>
        <v>526.9806917532477</v>
      </c>
      <c r="P989" s="18"/>
      <c r="Q989" s="18"/>
      <c r="R989" s="18"/>
      <c r="S989" s="18"/>
      <c r="T989" s="18"/>
      <c r="U989" s="18"/>
      <c r="V989" s="18"/>
      <c r="W989" s="18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1.25" customHeight="1" x14ac:dyDescent="0.2">
      <c r="A990" s="51" t="s">
        <v>21</v>
      </c>
      <c r="B990" s="51" t="s">
        <v>41</v>
      </c>
      <c r="C990" s="51" t="s">
        <v>42</v>
      </c>
      <c r="D990" s="51" t="s">
        <v>45</v>
      </c>
      <c r="E990" s="51" t="s">
        <v>53</v>
      </c>
      <c r="F990" s="51" t="s">
        <v>55</v>
      </c>
      <c r="G990" s="51" t="s">
        <v>25</v>
      </c>
      <c r="H990" s="51" t="s">
        <v>35</v>
      </c>
      <c r="I990" s="59">
        <v>44470</v>
      </c>
      <c r="J990" s="60">
        <f>EFEITO!$J$990*EFEITO!$Y$922</f>
        <v>0</v>
      </c>
      <c r="K990" s="60">
        <f ca="1">EFEITO!$L$990*EFEITO!$Z$922</f>
        <v>87883.192037028624</v>
      </c>
      <c r="L990" s="60">
        <f>EFEITO!$N$990*EFEITO!$AA$922</f>
        <v>301669.44540894177</v>
      </c>
      <c r="M990" s="60">
        <f>$J$990-EFEITO!$K$990*EFEITO!$Y$990</f>
        <v>0</v>
      </c>
      <c r="N990" s="60">
        <f ca="1">$K$990-EFEITO!$M$990*EFEITO!$Z$990</f>
        <v>79094.87283332576</v>
      </c>
      <c r="O990" s="60">
        <f>$L$990-EFEITO!$O$990*EFEITO!$AA$990</f>
        <v>271502.50086804759</v>
      </c>
      <c r="P990" s="18"/>
      <c r="Q990" s="18"/>
      <c r="R990" s="18"/>
      <c r="S990" s="18"/>
      <c r="T990" s="18"/>
      <c r="U990" s="18"/>
      <c r="V990" s="18"/>
      <c r="W990" s="18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1.25" customHeight="1" x14ac:dyDescent="0.2">
      <c r="A991" s="51" t="s">
        <v>28</v>
      </c>
      <c r="B991" s="51" t="s">
        <v>41</v>
      </c>
      <c r="C991" s="51" t="s">
        <v>42</v>
      </c>
      <c r="D991" s="51" t="s">
        <v>45</v>
      </c>
      <c r="E991" s="51" t="s">
        <v>53</v>
      </c>
      <c r="F991" s="51" t="s">
        <v>55</v>
      </c>
      <c r="G991" s="51" t="s">
        <v>25</v>
      </c>
      <c r="H991" s="51" t="s">
        <v>35</v>
      </c>
      <c r="I991" s="59">
        <v>44470</v>
      </c>
      <c r="J991" s="60">
        <f>EFEITO!$J$991*EFEITO!$Y$922</f>
        <v>0</v>
      </c>
      <c r="K991" s="60">
        <f ca="1">EFEITO!$L$991*EFEITO!$Z$922</f>
        <v>578.37092344704558</v>
      </c>
      <c r="L991" s="60">
        <f>EFEITO!$N$991*EFEITO!$AA$922</f>
        <v>1985.3265644176174</v>
      </c>
      <c r="M991" s="60">
        <f>$J$991-EFEITO!$K$991*EFEITO!$Y$991</f>
        <v>0</v>
      </c>
      <c r="N991" s="60">
        <f ca="1">$K$991-EFEITO!$M$991*EFEITO!$Z$991</f>
        <v>520.53383110234108</v>
      </c>
      <c r="O991" s="60">
        <f>$L$991-EFEITO!$O$991*EFEITO!$AA$991</f>
        <v>1786.7939079758557</v>
      </c>
      <c r="P991" s="18"/>
      <c r="Q991" s="18"/>
      <c r="R991" s="18"/>
      <c r="S991" s="18"/>
      <c r="T991" s="18"/>
      <c r="U991" s="18"/>
      <c r="V991" s="18"/>
      <c r="W991" s="18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1.25" customHeight="1" x14ac:dyDescent="0.2">
      <c r="A992" s="51" t="s">
        <v>21</v>
      </c>
      <c r="B992" s="51" t="s">
        <v>41</v>
      </c>
      <c r="C992" s="51" t="s">
        <v>42</v>
      </c>
      <c r="D992" s="51" t="s">
        <v>45</v>
      </c>
      <c r="E992" s="51" t="s">
        <v>53</v>
      </c>
      <c r="F992" s="51" t="s">
        <v>55</v>
      </c>
      <c r="G992" s="51" t="s">
        <v>25</v>
      </c>
      <c r="H992" s="51" t="s">
        <v>35</v>
      </c>
      <c r="I992" s="59">
        <v>44501</v>
      </c>
      <c r="J992" s="60">
        <f>EFEITO!$J$992*EFEITO!$Y$922</f>
        <v>0</v>
      </c>
      <c r="K992" s="60">
        <f ca="1">EFEITO!$L$992*EFEITO!$Z$922</f>
        <v>83884.976315359847</v>
      </c>
      <c r="L992" s="60">
        <f>EFEITO!$N$992*EFEITO!$AA$922</f>
        <v>287945.09731206181</v>
      </c>
      <c r="M992" s="60">
        <f>$J$992-EFEITO!$K$992*EFEITO!$Y$992</f>
        <v>0</v>
      </c>
      <c r="N992" s="60">
        <f ca="1">$K$992-EFEITO!$M$992*EFEITO!$Z$992</f>
        <v>75496.478683823865</v>
      </c>
      <c r="O992" s="60">
        <f>$L$992-EFEITO!$O$992*EFEITO!$AA$992</f>
        <v>259150.58758085564</v>
      </c>
      <c r="P992" s="18"/>
      <c r="Q992" s="18"/>
      <c r="R992" s="18"/>
      <c r="S992" s="18"/>
      <c r="T992" s="18"/>
      <c r="U992" s="18"/>
      <c r="V992" s="18"/>
      <c r="W992" s="18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1.25" customHeight="1" x14ac:dyDescent="0.2">
      <c r="A993" s="51" t="s">
        <v>28</v>
      </c>
      <c r="B993" s="51" t="s">
        <v>41</v>
      </c>
      <c r="C993" s="51" t="s">
        <v>42</v>
      </c>
      <c r="D993" s="51" t="s">
        <v>45</v>
      </c>
      <c r="E993" s="51" t="s">
        <v>53</v>
      </c>
      <c r="F993" s="51" t="s">
        <v>55</v>
      </c>
      <c r="G993" s="51" t="s">
        <v>25</v>
      </c>
      <c r="H993" s="51" t="s">
        <v>35</v>
      </c>
      <c r="I993" s="59">
        <v>44501</v>
      </c>
      <c r="J993" s="60">
        <f>EFEITO!$J$993*EFEITO!$Y$922</f>
        <v>0</v>
      </c>
      <c r="K993" s="60">
        <f ca="1">EFEITO!$L$993*EFEITO!$Z$922</f>
        <v>599.69335380454027</v>
      </c>
      <c r="L993" s="60">
        <f>EFEITO!$N$993*EFEITO!$AA$922</f>
        <v>2058.518327161124</v>
      </c>
      <c r="M993" s="60">
        <f>$J$993-EFEITO!$K$993*EFEITO!$Y$993</f>
        <v>0</v>
      </c>
      <c r="N993" s="60">
        <f ca="1">$K$993-EFEITO!$M$993*EFEITO!$Z$993</f>
        <v>539.72401842408624</v>
      </c>
      <c r="O993" s="60">
        <f>$L$993-EFEITO!$O$993*EFEITO!$AA$993</f>
        <v>1852.6664944450117</v>
      </c>
      <c r="P993" s="18"/>
      <c r="Q993" s="18"/>
      <c r="R993" s="18"/>
      <c r="S993" s="18"/>
      <c r="T993" s="18"/>
      <c r="U993" s="18"/>
      <c r="V993" s="18"/>
      <c r="W993" s="18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1.25" customHeight="1" x14ac:dyDescent="0.2">
      <c r="A994" s="51" t="s">
        <v>21</v>
      </c>
      <c r="B994" s="51" t="s">
        <v>41</v>
      </c>
      <c r="C994" s="51" t="s">
        <v>42</v>
      </c>
      <c r="D994" s="51" t="s">
        <v>45</v>
      </c>
      <c r="E994" s="51" t="s">
        <v>53</v>
      </c>
      <c r="F994" s="51" t="s">
        <v>55</v>
      </c>
      <c r="G994" s="51" t="s">
        <v>25</v>
      </c>
      <c r="H994" s="51" t="s">
        <v>35</v>
      </c>
      <c r="I994" s="59">
        <v>44531</v>
      </c>
      <c r="J994" s="60">
        <f>EFEITO!$J$994*EFEITO!$Y$922</f>
        <v>0</v>
      </c>
      <c r="K994" s="60">
        <f ca="1">EFEITO!$L$994*EFEITO!$Z$922</f>
        <v>59862.008147160668</v>
      </c>
      <c r="L994" s="60">
        <f>EFEITO!$N$994*EFEITO!$AA$922</f>
        <v>205483.41930059556</v>
      </c>
      <c r="M994" s="60">
        <f>$J$994-EFEITO!$K$994*EFEITO!$Y$994</f>
        <v>0</v>
      </c>
      <c r="N994" s="60">
        <f ca="1">$K$994-EFEITO!$M$994*EFEITO!$Z$994</f>
        <v>53875.807332444601</v>
      </c>
      <c r="O994" s="60">
        <f>$L$994-EFEITO!$O$994*EFEITO!$AA$994</f>
        <v>184935.07737053599</v>
      </c>
      <c r="P994" s="18"/>
      <c r="Q994" s="18"/>
      <c r="R994" s="18"/>
      <c r="S994" s="18"/>
      <c r="T994" s="18"/>
      <c r="U994" s="18"/>
      <c r="V994" s="18"/>
      <c r="W994" s="18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1.25" customHeight="1" x14ac:dyDescent="0.2">
      <c r="A995" s="51" t="s">
        <v>28</v>
      </c>
      <c r="B995" s="51" t="s">
        <v>41</v>
      </c>
      <c r="C995" s="51" t="s">
        <v>42</v>
      </c>
      <c r="D995" s="51" t="s">
        <v>45</v>
      </c>
      <c r="E995" s="51" t="s">
        <v>53</v>
      </c>
      <c r="F995" s="51" t="s">
        <v>55</v>
      </c>
      <c r="G995" s="51" t="s">
        <v>25</v>
      </c>
      <c r="H995" s="51" t="s">
        <v>35</v>
      </c>
      <c r="I995" s="59">
        <v>44531</v>
      </c>
      <c r="J995" s="60">
        <f>EFEITO!$J$995*EFEITO!$Y$922</f>
        <v>0</v>
      </c>
      <c r="K995" s="60">
        <f ca="1">EFEITO!$L$995*EFEITO!$Z$922</f>
        <v>599.69335380454027</v>
      </c>
      <c r="L995" s="60">
        <f>EFEITO!$N$995*EFEITO!$AA$922</f>
        <v>2058.518327161124</v>
      </c>
      <c r="M995" s="60">
        <f>$J$995-EFEITO!$K$995*EFEITO!$Y$995</f>
        <v>0</v>
      </c>
      <c r="N995" s="60">
        <f ca="1">$K$995-EFEITO!$M$995*EFEITO!$Z$995</f>
        <v>539.72401842408624</v>
      </c>
      <c r="O995" s="60">
        <f>$L$995-EFEITO!$O$995*EFEITO!$AA$995</f>
        <v>1852.6664944450117</v>
      </c>
      <c r="P995" s="18"/>
      <c r="Q995" s="18"/>
      <c r="R995" s="18"/>
      <c r="S995" s="18"/>
      <c r="T995" s="18"/>
      <c r="U995" s="18"/>
      <c r="V995" s="18"/>
      <c r="W995" s="18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1.25" customHeight="1" x14ac:dyDescent="0.2">
      <c r="A996" s="51" t="s">
        <v>21</v>
      </c>
      <c r="B996" s="51" t="s">
        <v>41</v>
      </c>
      <c r="C996" s="51" t="s">
        <v>42</v>
      </c>
      <c r="D996" s="51" t="s">
        <v>45</v>
      </c>
      <c r="E996" s="51" t="s">
        <v>53</v>
      </c>
      <c r="F996" s="51" t="s">
        <v>55</v>
      </c>
      <c r="G996" s="51" t="s">
        <v>25</v>
      </c>
      <c r="H996" s="51" t="s">
        <v>35</v>
      </c>
      <c r="I996" s="59">
        <v>44562</v>
      </c>
      <c r="J996" s="60">
        <f>EFEITO!$J$996*EFEITO!$Y$922</f>
        <v>0</v>
      </c>
      <c r="K996" s="60">
        <f ca="1">EFEITO!$L$996*EFEITO!$Z$922</f>
        <v>52380.0453436073</v>
      </c>
      <c r="L996" s="60">
        <f>EFEITO!$N$996*EFEITO!$AA$922</f>
        <v>179800.6975286408</v>
      </c>
      <c r="M996" s="60">
        <f>$J$996-EFEITO!$K$996*EFEITO!$Y$996</f>
        <v>0</v>
      </c>
      <c r="N996" s="60">
        <f ca="1">$K$996-EFEITO!$M$996*EFEITO!$Z$996</f>
        <v>47142.040809246566</v>
      </c>
      <c r="O996" s="60">
        <f>$L$996-EFEITO!$O$996*EFEITO!$AA$996</f>
        <v>161820.62777577672</v>
      </c>
      <c r="P996" s="18"/>
      <c r="Q996" s="18"/>
      <c r="R996" s="18"/>
      <c r="S996" s="18"/>
      <c r="T996" s="18"/>
      <c r="U996" s="18"/>
      <c r="V996" s="18"/>
      <c r="W996" s="18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1.25" customHeight="1" x14ac:dyDescent="0.2">
      <c r="A997" s="51" t="s">
        <v>27</v>
      </c>
      <c r="B997" s="51" t="s">
        <v>41</v>
      </c>
      <c r="C997" s="51" t="s">
        <v>42</v>
      </c>
      <c r="D997" s="51" t="s">
        <v>45</v>
      </c>
      <c r="E997" s="51" t="s">
        <v>53</v>
      </c>
      <c r="F997" s="51" t="s">
        <v>55</v>
      </c>
      <c r="G997" s="51" t="s">
        <v>25</v>
      </c>
      <c r="H997" s="51" t="s">
        <v>35</v>
      </c>
      <c r="I997" s="59">
        <v>44562</v>
      </c>
      <c r="J997" s="60">
        <f>EFEITO!$J$997*EFEITO!$Y$922</f>
        <v>0</v>
      </c>
      <c r="K997" s="60">
        <f ca="1">EFEITO!$L$997*EFEITO!$Z$922</f>
        <v>8849.8487169143518</v>
      </c>
      <c r="L997" s="60">
        <f>EFEITO!$N$997*EFEITO!$AA$922</f>
        <v>30378.151868445177</v>
      </c>
      <c r="M997" s="60">
        <f>$J$997-EFEITO!$K$997*EFEITO!$Y$997</f>
        <v>0</v>
      </c>
      <c r="N997" s="60">
        <f ca="1">$K$997-EFEITO!$M$997*EFEITO!$Z$997</f>
        <v>7964.863845222917</v>
      </c>
      <c r="O997" s="60">
        <f>$L$997-EFEITO!$O$997*EFEITO!$AA$997</f>
        <v>27340.33668160066</v>
      </c>
      <c r="P997" s="18"/>
      <c r="Q997" s="18"/>
      <c r="R997" s="18"/>
      <c r="S997" s="18"/>
      <c r="T997" s="18"/>
      <c r="U997" s="18"/>
      <c r="V997" s="18"/>
      <c r="W997" s="18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1.25" customHeight="1" x14ac:dyDescent="0.2">
      <c r="A998" s="51" t="s">
        <v>28</v>
      </c>
      <c r="B998" s="51" t="s">
        <v>41</v>
      </c>
      <c r="C998" s="51" t="s">
        <v>42</v>
      </c>
      <c r="D998" s="51" t="s">
        <v>45</v>
      </c>
      <c r="E998" s="51" t="s">
        <v>53</v>
      </c>
      <c r="F998" s="51" t="s">
        <v>55</v>
      </c>
      <c r="G998" s="51" t="s">
        <v>25</v>
      </c>
      <c r="H998" s="51" t="s">
        <v>35</v>
      </c>
      <c r="I998" s="59">
        <v>44562</v>
      </c>
      <c r="J998" s="60">
        <f>EFEITO!$J$998*EFEITO!$Y$922</f>
        <v>0</v>
      </c>
      <c r="K998" s="60">
        <f ca="1">EFEITO!$L$998*EFEITO!$Z$922</f>
        <v>745.50497359679866</v>
      </c>
      <c r="L998" s="60">
        <f>EFEITO!$N$998*EFEITO!$AA$922</f>
        <v>2559.0339486052867</v>
      </c>
      <c r="M998" s="60">
        <f>$J$998-EFEITO!$K$998*EFEITO!$Y$998</f>
        <v>0</v>
      </c>
      <c r="N998" s="60">
        <f ca="1">$K$998-EFEITO!$M$998*EFEITO!$Z$998</f>
        <v>670.9544762371188</v>
      </c>
      <c r="O998" s="60">
        <f>$L$998-EFEITO!$O$998*EFEITO!$AA$998</f>
        <v>2303.1305537447579</v>
      </c>
      <c r="P998" s="18"/>
      <c r="Q998" s="18"/>
      <c r="R998" s="18"/>
      <c r="S998" s="18"/>
      <c r="T998" s="18"/>
      <c r="U998" s="18"/>
      <c r="V998" s="18"/>
      <c r="W998" s="18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1.25" customHeight="1" x14ac:dyDescent="0.2">
      <c r="A999" s="51" t="s">
        <v>21</v>
      </c>
      <c r="B999" s="51" t="s">
        <v>41</v>
      </c>
      <c r="C999" s="51" t="s">
        <v>42</v>
      </c>
      <c r="D999" s="51" t="s">
        <v>45</v>
      </c>
      <c r="E999" s="51" t="s">
        <v>53</v>
      </c>
      <c r="F999" s="51" t="s">
        <v>55</v>
      </c>
      <c r="G999" s="51" t="s">
        <v>25</v>
      </c>
      <c r="H999" s="51" t="s">
        <v>35</v>
      </c>
      <c r="I999" s="59">
        <v>44593</v>
      </c>
      <c r="J999" s="60">
        <f>EFEITO!$J$999*EFEITO!$Y$922</f>
        <v>0</v>
      </c>
      <c r="K999" s="60">
        <f ca="1">EFEITO!$L$999*EFEITO!$Z$922</f>
        <v>116508.55479196533</v>
      </c>
      <c r="L999" s="60">
        <f>EFEITO!$N$999*EFEITO!$AA$922</f>
        <v>399929.3868920994</v>
      </c>
      <c r="M999" s="60">
        <f>$J$999-EFEITO!$K$999*EFEITO!$Y$999</f>
        <v>0</v>
      </c>
      <c r="N999" s="60">
        <f ca="1">$K$999-EFEITO!$M$999*EFEITO!$Z$999</f>
        <v>104857.6993127688</v>
      </c>
      <c r="O999" s="60">
        <f>$L$999-EFEITO!$O$999*EFEITO!$AA$999</f>
        <v>359936.44820288947</v>
      </c>
      <c r="P999" s="18"/>
      <c r="Q999" s="18"/>
      <c r="R999" s="18"/>
      <c r="S999" s="18"/>
      <c r="T999" s="18"/>
      <c r="U999" s="18"/>
      <c r="V999" s="18"/>
      <c r="W999" s="18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1.25" customHeight="1" x14ac:dyDescent="0.2">
      <c r="A1000" s="51" t="s">
        <v>28</v>
      </c>
      <c r="B1000" s="51" t="s">
        <v>41</v>
      </c>
      <c r="C1000" s="51" t="s">
        <v>42</v>
      </c>
      <c r="D1000" s="51" t="s">
        <v>45</v>
      </c>
      <c r="E1000" s="51" t="s">
        <v>53</v>
      </c>
      <c r="F1000" s="51" t="s">
        <v>55</v>
      </c>
      <c r="G1000" s="51" t="s">
        <v>25</v>
      </c>
      <c r="H1000" s="51" t="s">
        <v>35</v>
      </c>
      <c r="I1000" s="59">
        <v>44593</v>
      </c>
      <c r="J1000" s="60">
        <f>EFEITO!$J$1000*EFEITO!$Y$922</f>
        <v>0</v>
      </c>
      <c r="K1000" s="60">
        <f ca="1">EFEITO!$L$1000*EFEITO!$Z$922</f>
        <v>838.66059159158533</v>
      </c>
      <c r="L1000" s="60">
        <f>EFEITO!$N$1000*EFEITO!$AA$922</f>
        <v>2878.8016193718872</v>
      </c>
      <c r="M1000" s="60">
        <f>$J$1000-EFEITO!$K$1000*EFEITO!$Y$1000</f>
        <v>0</v>
      </c>
      <c r="N1000" s="60">
        <f ca="1">$K$1000-EFEITO!$M$1000*EFEITO!$Z$1000</f>
        <v>754.79453243242676</v>
      </c>
      <c r="O1000" s="60">
        <f>$L$1000-EFEITO!$O$1000*EFEITO!$AA$1000</f>
        <v>2590.9214574346984</v>
      </c>
      <c r="P1000" s="18"/>
      <c r="Q1000" s="18"/>
      <c r="R1000" s="18"/>
      <c r="S1000" s="18"/>
      <c r="T1000" s="18"/>
      <c r="U1000" s="18"/>
      <c r="V1000" s="18"/>
      <c r="W1000" s="18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1:36" ht="11.25" customHeight="1" x14ac:dyDescent="0.2">
      <c r="A1001" s="51" t="s">
        <v>56</v>
      </c>
      <c r="B1001" s="51" t="s">
        <v>41</v>
      </c>
      <c r="C1001" s="51" t="s">
        <v>42</v>
      </c>
      <c r="D1001" s="51" t="s">
        <v>45</v>
      </c>
      <c r="E1001" s="51" t="s">
        <v>53</v>
      </c>
      <c r="F1001" s="51" t="s">
        <v>55</v>
      </c>
      <c r="G1001" s="51" t="s">
        <v>25</v>
      </c>
      <c r="H1001" s="51" t="s">
        <v>35</v>
      </c>
      <c r="I1001" s="59">
        <v>44621</v>
      </c>
      <c r="J1001" s="60">
        <f>EFEITO!$J$1001*EFEITO!$Y$922</f>
        <v>0</v>
      </c>
      <c r="K1001" s="60">
        <f ca="1">EFEITO!$L$1001*EFEITO!$Z$922</f>
        <v>116508.55479196533</v>
      </c>
      <c r="L1001" s="60">
        <f>EFEITO!$N$1001*EFEITO!$AA$922</f>
        <v>399929.3868920994</v>
      </c>
      <c r="M1001" s="60">
        <f>$J$1001-EFEITO!$K$1001*EFEITO!$Y$1001</f>
        <v>0</v>
      </c>
      <c r="N1001" s="60">
        <f ca="1">$K$1001-EFEITO!$M$1001*EFEITO!$Z$1001</f>
        <v>104857.6993127688</v>
      </c>
      <c r="O1001" s="60">
        <f>$L$1001-EFEITO!$O$1001*EFEITO!$AA$1001</f>
        <v>359936.44820288947</v>
      </c>
      <c r="P1001" s="18"/>
      <c r="Q1001" s="18"/>
      <c r="R1001" s="18"/>
      <c r="S1001" s="18"/>
      <c r="T1001" s="18"/>
      <c r="U1001" s="18"/>
      <c r="V1001" s="18"/>
      <c r="W1001" s="18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1:36" ht="11.25" customHeight="1" x14ac:dyDescent="0.2">
      <c r="A1002" s="51" t="s">
        <v>56</v>
      </c>
      <c r="B1002" s="51" t="s">
        <v>41</v>
      </c>
      <c r="C1002" s="51" t="s">
        <v>42</v>
      </c>
      <c r="D1002" s="51" t="s">
        <v>45</v>
      </c>
      <c r="E1002" s="51" t="s">
        <v>53</v>
      </c>
      <c r="F1002" s="51" t="s">
        <v>55</v>
      </c>
      <c r="G1002" s="51" t="s">
        <v>25</v>
      </c>
      <c r="H1002" s="51" t="s">
        <v>35</v>
      </c>
      <c r="I1002" s="59">
        <v>44621</v>
      </c>
      <c r="J1002" s="60">
        <f>EFEITO!$J$1002*EFEITO!$Y$922</f>
        <v>0</v>
      </c>
      <c r="K1002" s="60">
        <f ca="1">EFEITO!$L$1002*EFEITO!$Z$922</f>
        <v>838.66059159158533</v>
      </c>
      <c r="L1002" s="60">
        <f>EFEITO!$N$1002*EFEITO!$AA$922</f>
        <v>2878.8016193718872</v>
      </c>
      <c r="M1002" s="60">
        <f>$J$1002-EFEITO!$K$1002*EFEITO!$Y$1002</f>
        <v>0</v>
      </c>
      <c r="N1002" s="60">
        <f ca="1">$K$1002-EFEITO!$M$1002*EFEITO!$Z$1002</f>
        <v>754.79453243242676</v>
      </c>
      <c r="O1002" s="60">
        <f>$L$1002-EFEITO!$O$1002*EFEITO!$AA$1002</f>
        <v>2590.9214574346984</v>
      </c>
      <c r="P1002" s="18"/>
      <c r="Q1002" s="18"/>
      <c r="R1002" s="18"/>
      <c r="S1002" s="18"/>
      <c r="T1002" s="18"/>
      <c r="U1002" s="18"/>
      <c r="V1002" s="18"/>
      <c r="W1002" s="18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1:36" ht="11.25" customHeight="1" x14ac:dyDescent="0.2">
      <c r="A1003" s="51" t="s">
        <v>21</v>
      </c>
      <c r="B1003" s="51" t="s">
        <v>41</v>
      </c>
      <c r="C1003" s="51" t="s">
        <v>42</v>
      </c>
      <c r="D1003" s="51" t="s">
        <v>45</v>
      </c>
      <c r="E1003" s="51" t="s">
        <v>53</v>
      </c>
      <c r="F1003" s="51" t="s">
        <v>25</v>
      </c>
      <c r="G1003" s="51" t="s">
        <v>25</v>
      </c>
      <c r="H1003" s="51" t="s">
        <v>35</v>
      </c>
      <c r="I1003" s="59">
        <v>44287</v>
      </c>
      <c r="J1003" s="60">
        <f>EFEITO!$J$1003*EFEITO!$Y$922</f>
        <v>0</v>
      </c>
      <c r="K1003" s="60">
        <f ca="1">EFEITO!$L$1003*EFEITO!$Z$922</f>
        <v>71250.396209990169</v>
      </c>
      <c r="L1003" s="60">
        <f>EFEITO!$N$1003*EFEITO!$AA$922</f>
        <v>244575.40755664418</v>
      </c>
      <c r="M1003" s="60">
        <f>$J$1003-EFEITO!$K$1003*EFEITO!$Y$1003</f>
        <v>0</v>
      </c>
      <c r="N1003" s="60">
        <f ca="1">$K$1003-EFEITO!$M$1003*EFEITO!$Z$1003</f>
        <v>1425.0079241998028</v>
      </c>
      <c r="O1003" s="60">
        <f>$L$1003-EFEITO!$O$1003*EFEITO!$AA$1003</f>
        <v>4891.5081511328754</v>
      </c>
      <c r="P1003" s="18"/>
      <c r="Q1003" s="18"/>
      <c r="R1003" s="18"/>
      <c r="S1003" s="18"/>
      <c r="T1003" s="18"/>
      <c r="U1003" s="18"/>
      <c r="V1003" s="18"/>
      <c r="W1003" s="18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1:36" ht="11.25" customHeight="1" x14ac:dyDescent="0.2">
      <c r="A1004" s="51" t="s">
        <v>21</v>
      </c>
      <c r="B1004" s="51" t="s">
        <v>41</v>
      </c>
      <c r="C1004" s="51" t="s">
        <v>42</v>
      </c>
      <c r="D1004" s="51" t="s">
        <v>45</v>
      </c>
      <c r="E1004" s="51" t="s">
        <v>53</v>
      </c>
      <c r="F1004" s="51" t="s">
        <v>25</v>
      </c>
      <c r="G1004" s="51" t="s">
        <v>25</v>
      </c>
      <c r="H1004" s="51" t="s">
        <v>35</v>
      </c>
      <c r="I1004" s="59">
        <v>44317</v>
      </c>
      <c r="J1004" s="60">
        <f>EFEITO!$J$1004*EFEITO!$Y$922</f>
        <v>0</v>
      </c>
      <c r="K1004" s="60">
        <f ca="1">EFEITO!$L$1004*EFEITO!$Z$922</f>
        <v>27764.014577385486</v>
      </c>
      <c r="L1004" s="60">
        <f>EFEITO!$N$1004*EFEITO!$AA$922</f>
        <v>95303.262043061724</v>
      </c>
      <c r="M1004" s="60">
        <f>$J$1004-EFEITO!$K$1004*EFEITO!$Y$1004</f>
        <v>0</v>
      </c>
      <c r="N1004" s="60">
        <f ca="1">$K$1004-EFEITO!$M$1004*EFEITO!$Z$1004</f>
        <v>555.28029154771139</v>
      </c>
      <c r="O1004" s="60">
        <f>$L$1004-EFEITO!$O$1004*EFEITO!$AA$1004</f>
        <v>1906.0652408612514</v>
      </c>
      <c r="P1004" s="18"/>
      <c r="Q1004" s="18"/>
      <c r="R1004" s="18"/>
      <c r="S1004" s="18"/>
      <c r="T1004" s="18"/>
      <c r="U1004" s="18"/>
      <c r="V1004" s="18"/>
      <c r="W1004" s="18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ht="11.25" customHeight="1" x14ac:dyDescent="0.2">
      <c r="A1005" s="51" t="s">
        <v>21</v>
      </c>
      <c r="B1005" s="51" t="s">
        <v>41</v>
      </c>
      <c r="C1005" s="51" t="s">
        <v>42</v>
      </c>
      <c r="D1005" s="51" t="s">
        <v>45</v>
      </c>
      <c r="E1005" s="51" t="s">
        <v>53</v>
      </c>
      <c r="F1005" s="51" t="s">
        <v>25</v>
      </c>
      <c r="G1005" s="51" t="s">
        <v>25</v>
      </c>
      <c r="H1005" s="51" t="s">
        <v>35</v>
      </c>
      <c r="I1005" s="59">
        <v>44348</v>
      </c>
      <c r="J1005" s="60">
        <f>EFEITO!$J$1005*EFEITO!$Y$922</f>
        <v>0</v>
      </c>
      <c r="K1005" s="60">
        <f ca="1">EFEITO!$L$1005*EFEITO!$Z$922</f>
        <v>29264.125561926794</v>
      </c>
      <c r="L1005" s="60">
        <f>EFEITO!$N$1005*EFEITO!$AA$922</f>
        <v>100452.57032680916</v>
      </c>
      <c r="M1005" s="60">
        <f>$J$1005-EFEITO!$K$1005*EFEITO!$Y$1005</f>
        <v>0</v>
      </c>
      <c r="N1005" s="60">
        <f ca="1">$K$1005-EFEITO!$M$1005*EFEITO!$Z$1005</f>
        <v>585.28251123853624</v>
      </c>
      <c r="O1005" s="60">
        <f>$L$1005-EFEITO!$O$1005*EFEITO!$AA$1005</f>
        <v>2009.0514065361931</v>
      </c>
      <c r="P1005" s="18"/>
      <c r="Q1005" s="18"/>
      <c r="R1005" s="18"/>
      <c r="S1005" s="18"/>
      <c r="T1005" s="18"/>
      <c r="U1005" s="18"/>
      <c r="V1005" s="18"/>
      <c r="W1005" s="18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1:36" ht="11.25" customHeight="1" x14ac:dyDescent="0.2">
      <c r="A1006" s="51" t="s">
        <v>21</v>
      </c>
      <c r="B1006" s="51" t="s">
        <v>41</v>
      </c>
      <c r="C1006" s="51" t="s">
        <v>42</v>
      </c>
      <c r="D1006" s="51" t="s">
        <v>45</v>
      </c>
      <c r="E1006" s="51" t="s">
        <v>53</v>
      </c>
      <c r="F1006" s="51" t="s">
        <v>25</v>
      </c>
      <c r="G1006" s="51" t="s">
        <v>25</v>
      </c>
      <c r="H1006" s="51" t="s">
        <v>35</v>
      </c>
      <c r="I1006" s="59">
        <v>44378</v>
      </c>
      <c r="J1006" s="60">
        <f>EFEITO!$J$1006*EFEITO!$Y$922</f>
        <v>0</v>
      </c>
      <c r="K1006" s="60">
        <f ca="1">EFEITO!$L$1006*EFEITO!$Z$922</f>
        <v>31975.714632267714</v>
      </c>
      <c r="L1006" s="60">
        <f>EFEITO!$N$1006*EFEITO!$AA$922</f>
        <v>109760.42034984924</v>
      </c>
      <c r="M1006" s="60">
        <f>$J$1006-EFEITO!$K$1006*EFEITO!$Y$1006</f>
        <v>0</v>
      </c>
      <c r="N1006" s="60">
        <f ca="1">$K$1006-EFEITO!$M$1006*EFEITO!$Z$1006</f>
        <v>639.51429264535545</v>
      </c>
      <c r="O1006" s="60">
        <f>$L$1006-EFEITO!$O$1006*EFEITO!$AA$1006</f>
        <v>2195.208406996986</v>
      </c>
      <c r="P1006" s="18"/>
      <c r="Q1006" s="18"/>
      <c r="R1006" s="18"/>
      <c r="S1006" s="18"/>
      <c r="T1006" s="18"/>
      <c r="U1006" s="18"/>
      <c r="V1006" s="18"/>
      <c r="W1006" s="18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1:36" ht="11.25" customHeight="1" x14ac:dyDescent="0.2">
      <c r="A1007" s="51" t="s">
        <v>21</v>
      </c>
      <c r="B1007" s="51" t="s">
        <v>41</v>
      </c>
      <c r="C1007" s="51" t="s">
        <v>42</v>
      </c>
      <c r="D1007" s="51" t="s">
        <v>45</v>
      </c>
      <c r="E1007" s="51" t="s">
        <v>53</v>
      </c>
      <c r="F1007" s="51" t="s">
        <v>25</v>
      </c>
      <c r="G1007" s="51" t="s">
        <v>25</v>
      </c>
      <c r="H1007" s="51" t="s">
        <v>35</v>
      </c>
      <c r="I1007" s="59">
        <v>44409</v>
      </c>
      <c r="J1007" s="60">
        <f>EFEITO!$J$1007*EFEITO!$Y$922</f>
        <v>0</v>
      </c>
      <c r="K1007" s="60">
        <f ca="1">EFEITO!$L$1007*EFEITO!$Z$922</f>
        <v>47316.358178160051</v>
      </c>
      <c r="L1007" s="60">
        <f>EFEITO!$N$1007*EFEITO!$AA$922</f>
        <v>162418.99275076669</v>
      </c>
      <c r="M1007" s="60">
        <f>$J$1007-EFEITO!$K$1007*EFEITO!$Y$1007</f>
        <v>0</v>
      </c>
      <c r="N1007" s="60">
        <f ca="1">$K$1007-EFEITO!$M$1007*EFEITO!$Z$1007</f>
        <v>946.32716356320452</v>
      </c>
      <c r="O1007" s="60">
        <f>$L$1007-EFEITO!$O$1007*EFEITO!$AA$1007</f>
        <v>3248.3798550153442</v>
      </c>
      <c r="P1007" s="18"/>
      <c r="Q1007" s="18"/>
      <c r="R1007" s="18"/>
      <c r="S1007" s="18"/>
      <c r="T1007" s="18"/>
      <c r="U1007" s="18"/>
      <c r="V1007" s="18"/>
      <c r="W1007" s="18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1:36" ht="11.25" customHeight="1" x14ac:dyDescent="0.2">
      <c r="A1008" s="51" t="s">
        <v>21</v>
      </c>
      <c r="B1008" s="51" t="s">
        <v>41</v>
      </c>
      <c r="C1008" s="51" t="s">
        <v>42</v>
      </c>
      <c r="D1008" s="51" t="s">
        <v>45</v>
      </c>
      <c r="E1008" s="51" t="s">
        <v>53</v>
      </c>
      <c r="F1008" s="51" t="s">
        <v>25</v>
      </c>
      <c r="G1008" s="51" t="s">
        <v>25</v>
      </c>
      <c r="H1008" s="51" t="s">
        <v>35</v>
      </c>
      <c r="I1008" s="59">
        <v>44440</v>
      </c>
      <c r="J1008" s="60">
        <f>EFEITO!$J$1008*EFEITO!$Y$922</f>
        <v>0</v>
      </c>
      <c r="K1008" s="60">
        <f ca="1">EFEITO!$L$1008*EFEITO!$Z$922</f>
        <v>66491.723810510492</v>
      </c>
      <c r="L1008" s="60">
        <f>EFEITO!$N$1008*EFEITO!$AA$922</f>
        <v>228240.7020189912</v>
      </c>
      <c r="M1008" s="60">
        <f>$J$1008-EFEITO!$K$1008*EFEITO!$Y$1008</f>
        <v>0</v>
      </c>
      <c r="N1008" s="60">
        <f ca="1">$K$1008-EFEITO!$M$1008*EFEITO!$Z$1008</f>
        <v>1329.834476210206</v>
      </c>
      <c r="O1008" s="60">
        <f>$L$1008-EFEITO!$O$1008*EFEITO!$AA$1008</f>
        <v>4564.8140403798316</v>
      </c>
      <c r="P1008" s="18"/>
      <c r="Q1008" s="18"/>
      <c r="R1008" s="18"/>
      <c r="S1008" s="18"/>
      <c r="T1008" s="18"/>
      <c r="U1008" s="18"/>
      <c r="V1008" s="18"/>
      <c r="W1008" s="18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1:36" ht="11.25" customHeight="1" x14ac:dyDescent="0.2">
      <c r="A1009" s="51" t="s">
        <v>21</v>
      </c>
      <c r="B1009" s="51" t="s">
        <v>41</v>
      </c>
      <c r="C1009" s="51" t="s">
        <v>42</v>
      </c>
      <c r="D1009" s="51" t="s">
        <v>45</v>
      </c>
      <c r="E1009" s="51" t="s">
        <v>53</v>
      </c>
      <c r="F1009" s="51" t="s">
        <v>25</v>
      </c>
      <c r="G1009" s="51" t="s">
        <v>25</v>
      </c>
      <c r="H1009" s="51" t="s">
        <v>35</v>
      </c>
      <c r="I1009" s="59">
        <v>44470</v>
      </c>
      <c r="J1009" s="60">
        <f>EFEITO!$J$1009*EFEITO!$Y$922</f>
        <v>0</v>
      </c>
      <c r="K1009" s="60">
        <f ca="1">EFEITO!$L$1009*EFEITO!$Z$922</f>
        <v>102167.33516167094</v>
      </c>
      <c r="L1009" s="60">
        <f>EFEITO!$N$1009*EFEITO!$AA$922</f>
        <v>350701.45522416569</v>
      </c>
      <c r="M1009" s="60">
        <f>$J$1009-EFEITO!$K$1009*EFEITO!$Y$1009</f>
        <v>0</v>
      </c>
      <c r="N1009" s="60">
        <f ca="1">$K$1009-EFEITO!$M$1009*EFEITO!$Z$1009</f>
        <v>2043.3467032334302</v>
      </c>
      <c r="O1009" s="60">
        <f>$L$1009-EFEITO!$O$1009*EFEITO!$AA$1009</f>
        <v>7014.0291044833139</v>
      </c>
      <c r="P1009" s="18"/>
      <c r="Q1009" s="18"/>
      <c r="R1009" s="18"/>
      <c r="S1009" s="18"/>
      <c r="T1009" s="18"/>
      <c r="U1009" s="18"/>
      <c r="V1009" s="18"/>
      <c r="W1009" s="18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</row>
    <row r="1010" spans="1:36" ht="11.25" customHeight="1" x14ac:dyDescent="0.2">
      <c r="A1010" s="51" t="s">
        <v>21</v>
      </c>
      <c r="B1010" s="51" t="s">
        <v>41</v>
      </c>
      <c r="C1010" s="51" t="s">
        <v>42</v>
      </c>
      <c r="D1010" s="51" t="s">
        <v>45</v>
      </c>
      <c r="E1010" s="51" t="s">
        <v>53</v>
      </c>
      <c r="F1010" s="51" t="s">
        <v>25</v>
      </c>
      <c r="G1010" s="51" t="s">
        <v>25</v>
      </c>
      <c r="H1010" s="51" t="s">
        <v>35</v>
      </c>
      <c r="I1010" s="59">
        <v>44501</v>
      </c>
      <c r="J1010" s="60">
        <f>EFEITO!$J$1010*EFEITO!$Y$922</f>
        <v>0</v>
      </c>
      <c r="K1010" s="60">
        <f ca="1">EFEITO!$L$1010*EFEITO!$Z$922</f>
        <v>104614.47408965122</v>
      </c>
      <c r="L1010" s="60">
        <f>EFEITO!$N$1010*EFEITO!$AA$922</f>
        <v>359101.54887269181</v>
      </c>
      <c r="M1010" s="60">
        <f>$J$1010-EFEITO!$K$1010*EFEITO!$Y$1010</f>
        <v>0</v>
      </c>
      <c r="N1010" s="60">
        <f ca="1">$K$1010-EFEITO!$M$1010*EFEITO!$Z$1010</f>
        <v>2092.2894817930355</v>
      </c>
      <c r="O1010" s="60">
        <f>$L$1010-EFEITO!$O$1010*EFEITO!$AA$1010</f>
        <v>7182.0309774538619</v>
      </c>
      <c r="P1010" s="18"/>
      <c r="Q1010" s="18"/>
      <c r="R1010" s="18"/>
      <c r="S1010" s="18"/>
      <c r="T1010" s="18"/>
      <c r="U1010" s="18"/>
      <c r="V1010" s="18"/>
      <c r="W1010" s="18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ht="11.25" customHeight="1" x14ac:dyDescent="0.2">
      <c r="A1011" s="51" t="s">
        <v>21</v>
      </c>
      <c r="B1011" s="51" t="s">
        <v>41</v>
      </c>
      <c r="C1011" s="51" t="s">
        <v>42</v>
      </c>
      <c r="D1011" s="51" t="s">
        <v>45</v>
      </c>
      <c r="E1011" s="51" t="s">
        <v>53</v>
      </c>
      <c r="F1011" s="51" t="s">
        <v>25</v>
      </c>
      <c r="G1011" s="51" t="s">
        <v>25</v>
      </c>
      <c r="H1011" s="51" t="s">
        <v>35</v>
      </c>
      <c r="I1011" s="59">
        <v>44531</v>
      </c>
      <c r="J1011" s="60">
        <f>EFEITO!$J$1011*EFEITO!$Y$922</f>
        <v>0</v>
      </c>
      <c r="K1011" s="60">
        <f ca="1">EFEITO!$L$1011*EFEITO!$Z$922</f>
        <v>78514.129139427343</v>
      </c>
      <c r="L1011" s="60">
        <f>EFEITO!$N$1011*EFEITO!$AA$922</f>
        <v>269509.02948856854</v>
      </c>
      <c r="M1011" s="60">
        <f>$J$1011-EFEITO!$K$1011*EFEITO!$Y$1011</f>
        <v>0</v>
      </c>
      <c r="N1011" s="60">
        <f ca="1">$K$1011-EFEITO!$M$1011*EFEITO!$Z$1011</f>
        <v>1570.2825827885536</v>
      </c>
      <c r="O1011" s="60">
        <f>$L$1011-EFEITO!$O$1011*EFEITO!$AA$1011</f>
        <v>5390.1805897713639</v>
      </c>
      <c r="P1011" s="18"/>
      <c r="Q1011" s="18"/>
      <c r="R1011" s="18"/>
      <c r="S1011" s="18"/>
      <c r="T1011" s="18"/>
      <c r="U1011" s="18"/>
      <c r="V1011" s="18"/>
      <c r="W1011" s="18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1:36" ht="11.25" customHeight="1" x14ac:dyDescent="0.2">
      <c r="A1012" s="51" t="s">
        <v>21</v>
      </c>
      <c r="B1012" s="51" t="s">
        <v>41</v>
      </c>
      <c r="C1012" s="51" t="s">
        <v>42</v>
      </c>
      <c r="D1012" s="51" t="s">
        <v>45</v>
      </c>
      <c r="E1012" s="51" t="s">
        <v>53</v>
      </c>
      <c r="F1012" s="51" t="s">
        <v>25</v>
      </c>
      <c r="G1012" s="51" t="s">
        <v>25</v>
      </c>
      <c r="H1012" s="51" t="s">
        <v>35</v>
      </c>
      <c r="I1012" s="59">
        <v>44562</v>
      </c>
      <c r="J1012" s="60">
        <f>EFEITO!$J$1012*EFEITO!$Y$922</f>
        <v>0</v>
      </c>
      <c r="K1012" s="60">
        <f ca="1">EFEITO!$L$1012*EFEITO!$Z$922</f>
        <v>68955.309613126286</v>
      </c>
      <c r="L1012" s="60">
        <f>EFEITO!$N$1012*EFEITO!$AA$922</f>
        <v>236697.2515089018</v>
      </c>
      <c r="M1012" s="60">
        <f>$J$1012-EFEITO!$K$1012*EFEITO!$Y$1012</f>
        <v>0</v>
      </c>
      <c r="N1012" s="60">
        <f ca="1">$K$1012-EFEITO!$M$1012*EFEITO!$Z$1012</f>
        <v>1379.1061922625231</v>
      </c>
      <c r="O1012" s="60">
        <f>$L$1012-EFEITO!$O$1012*EFEITO!$AA$1012</f>
        <v>4733.9450301780598</v>
      </c>
      <c r="P1012" s="18"/>
      <c r="Q1012" s="18"/>
      <c r="R1012" s="18"/>
      <c r="S1012" s="18"/>
      <c r="T1012" s="18"/>
      <c r="U1012" s="18"/>
      <c r="V1012" s="18"/>
      <c r="W1012" s="18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1:36" ht="11.25" customHeight="1" x14ac:dyDescent="0.2">
      <c r="A1013" s="51" t="s">
        <v>27</v>
      </c>
      <c r="B1013" s="51" t="s">
        <v>41</v>
      </c>
      <c r="C1013" s="51" t="s">
        <v>42</v>
      </c>
      <c r="D1013" s="51" t="s">
        <v>45</v>
      </c>
      <c r="E1013" s="51" t="s">
        <v>53</v>
      </c>
      <c r="F1013" s="51" t="s">
        <v>25</v>
      </c>
      <c r="G1013" s="51" t="s">
        <v>25</v>
      </c>
      <c r="H1013" s="51" t="s">
        <v>35</v>
      </c>
      <c r="I1013" s="59">
        <v>44562</v>
      </c>
      <c r="J1013" s="60">
        <f>EFEITO!$J$1013*EFEITO!$Y$922</f>
        <v>0</v>
      </c>
      <c r="K1013" s="60">
        <f ca="1">EFEITO!$L$1013*EFEITO!$Z$922</f>
        <v>5577.0506792677852</v>
      </c>
      <c r="L1013" s="60">
        <f>EFEITO!$N$1013*EFEITO!$AA$922</f>
        <v>19143.885724171272</v>
      </c>
      <c r="M1013" s="60">
        <f>$J$1013-EFEITO!$K$1013*EFEITO!$Y$1013</f>
        <v>0</v>
      </c>
      <c r="N1013" s="60">
        <f ca="1">$K$1013-EFEITO!$M$1013*EFEITO!$Z$1013</f>
        <v>111.54101358535627</v>
      </c>
      <c r="O1013" s="60">
        <f>$L$1013-EFEITO!$O$1013*EFEITO!$AA$1013</f>
        <v>382.87771448342755</v>
      </c>
      <c r="P1013" s="18"/>
      <c r="Q1013" s="18"/>
      <c r="R1013" s="18"/>
      <c r="S1013" s="18"/>
      <c r="T1013" s="18"/>
      <c r="U1013" s="18"/>
      <c r="V1013" s="18"/>
      <c r="W1013" s="18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1:36" ht="11.25" customHeight="1" x14ac:dyDescent="0.2">
      <c r="A1014" s="51" t="s">
        <v>28</v>
      </c>
      <c r="B1014" s="51" t="s">
        <v>41</v>
      </c>
      <c r="C1014" s="51" t="s">
        <v>42</v>
      </c>
      <c r="D1014" s="51" t="s">
        <v>45</v>
      </c>
      <c r="E1014" s="51" t="s">
        <v>53</v>
      </c>
      <c r="F1014" s="51" t="s">
        <v>25</v>
      </c>
      <c r="G1014" s="51" t="s">
        <v>25</v>
      </c>
      <c r="H1014" s="51" t="s">
        <v>35</v>
      </c>
      <c r="I1014" s="59">
        <v>44562</v>
      </c>
      <c r="J1014" s="60">
        <f>EFEITO!$J$1014*EFEITO!$Y$922</f>
        <v>0</v>
      </c>
      <c r="K1014" s="60">
        <f ca="1">EFEITO!$L$1014*EFEITO!$Z$922</f>
        <v>376.45790914711034</v>
      </c>
      <c r="L1014" s="60">
        <f>EFEITO!$N$1014*EFEITO!$AA$922</f>
        <v>1292.236274535509</v>
      </c>
      <c r="M1014" s="60">
        <f>$J$1014-EFEITO!$K$1014*EFEITO!$Y$1014</f>
        <v>0</v>
      </c>
      <c r="N1014" s="60">
        <f ca="1">$K$1014-EFEITO!$M$1014*EFEITO!$Z$1014</f>
        <v>7.5291581829422398</v>
      </c>
      <c r="O1014" s="60">
        <f>$L$1014-EFEITO!$O$1014*EFEITO!$AA$1014</f>
        <v>25.844725490710289</v>
      </c>
      <c r="P1014" s="18"/>
      <c r="Q1014" s="18"/>
      <c r="R1014" s="18"/>
      <c r="S1014" s="18"/>
      <c r="T1014" s="18"/>
      <c r="U1014" s="18"/>
      <c r="V1014" s="18"/>
      <c r="W1014" s="18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1:36" ht="11.25" customHeight="1" x14ac:dyDescent="0.2">
      <c r="A1015" s="51" t="s">
        <v>21</v>
      </c>
      <c r="B1015" s="51" t="s">
        <v>41</v>
      </c>
      <c r="C1015" s="51" t="s">
        <v>42</v>
      </c>
      <c r="D1015" s="51" t="s">
        <v>45</v>
      </c>
      <c r="E1015" s="51" t="s">
        <v>53</v>
      </c>
      <c r="F1015" s="51" t="s">
        <v>25</v>
      </c>
      <c r="G1015" s="51" t="s">
        <v>25</v>
      </c>
      <c r="H1015" s="51" t="s">
        <v>35</v>
      </c>
      <c r="I1015" s="59">
        <v>44593</v>
      </c>
      <c r="J1015" s="60">
        <f>EFEITO!$J$1015*EFEITO!$Y$922</f>
        <v>0</v>
      </c>
      <c r="K1015" s="60">
        <f ca="1">EFEITO!$L$1015*EFEITO!$Z$922</f>
        <v>107096.00193732393</v>
      </c>
      <c r="L1015" s="60">
        <f>EFEITO!$N$1015*EFEITO!$AA$922</f>
        <v>367619.68655320362</v>
      </c>
      <c r="M1015" s="60">
        <f>$J$1015-EFEITO!$K$1015*EFEITO!$Y$1015</f>
        <v>0</v>
      </c>
      <c r="N1015" s="60">
        <f ca="1">$K$1015-EFEITO!$M$1015*EFEITO!$Z$1015</f>
        <v>2141.9200387464807</v>
      </c>
      <c r="O1015" s="60">
        <f>$L$1015-EFEITO!$O$1015*EFEITO!$AA$1015</f>
        <v>7352.3937310641049</v>
      </c>
      <c r="P1015" s="18"/>
      <c r="Q1015" s="18"/>
      <c r="R1015" s="18"/>
      <c r="S1015" s="18"/>
      <c r="T1015" s="18"/>
      <c r="U1015" s="18"/>
      <c r="V1015" s="18"/>
      <c r="W1015" s="18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1:36" ht="11.25" customHeight="1" x14ac:dyDescent="0.2">
      <c r="A1016" s="51" t="s">
        <v>27</v>
      </c>
      <c r="B1016" s="51" t="s">
        <v>41</v>
      </c>
      <c r="C1016" s="51" t="s">
        <v>42</v>
      </c>
      <c r="D1016" s="51" t="s">
        <v>45</v>
      </c>
      <c r="E1016" s="51" t="s">
        <v>53</v>
      </c>
      <c r="F1016" s="51" t="s">
        <v>25</v>
      </c>
      <c r="G1016" s="51" t="s">
        <v>25</v>
      </c>
      <c r="H1016" s="51" t="s">
        <v>35</v>
      </c>
      <c r="I1016" s="59">
        <v>44593</v>
      </c>
      <c r="J1016" s="60">
        <f>EFEITO!$J$1016*EFEITO!$Y$922</f>
        <v>0</v>
      </c>
      <c r="K1016" s="60">
        <f ca="1">EFEITO!$L$1016*EFEITO!$Z$922</f>
        <v>5.3306075893736917</v>
      </c>
      <c r="L1016" s="60">
        <f>EFEITO!$N$1016*EFEITO!$AA$922</f>
        <v>18.297940685876657</v>
      </c>
      <c r="M1016" s="60">
        <f>$J$1016-EFEITO!$K$1016*EFEITO!$Y$1016</f>
        <v>0</v>
      </c>
      <c r="N1016" s="60">
        <f ca="1">$K$1016-EFEITO!$M$1016*EFEITO!$Z$1016</f>
        <v>0.1066121517874743</v>
      </c>
      <c r="O1016" s="60">
        <f>$L$1016-EFEITO!$O$1016*EFEITO!$AA$1016</f>
        <v>0.36595881371753336</v>
      </c>
      <c r="P1016" s="18"/>
      <c r="Q1016" s="18"/>
      <c r="R1016" s="18"/>
      <c r="S1016" s="18"/>
      <c r="T1016" s="18"/>
      <c r="U1016" s="18"/>
      <c r="V1016" s="18"/>
      <c r="W1016" s="18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1:36" ht="11.25" customHeight="1" x14ac:dyDescent="0.2">
      <c r="A1017" s="51" t="s">
        <v>28</v>
      </c>
      <c r="B1017" s="51" t="s">
        <v>41</v>
      </c>
      <c r="C1017" s="51" t="s">
        <v>42</v>
      </c>
      <c r="D1017" s="51" t="s">
        <v>45</v>
      </c>
      <c r="E1017" s="51" t="s">
        <v>53</v>
      </c>
      <c r="F1017" s="51" t="s">
        <v>25</v>
      </c>
      <c r="G1017" s="51" t="s">
        <v>25</v>
      </c>
      <c r="H1017" s="51" t="s">
        <v>35</v>
      </c>
      <c r="I1017" s="59">
        <v>44593</v>
      </c>
      <c r="J1017" s="60">
        <f>EFEITO!$J$1017*EFEITO!$Y$922</f>
        <v>0</v>
      </c>
      <c r="K1017" s="60">
        <f ca="1">EFEITO!$L$1017*EFEITO!$Z$922</f>
        <v>331.60279650481954</v>
      </c>
      <c r="L1017" s="60">
        <f>EFEITO!$N$1017*EFEITO!$AA$922</f>
        <v>1138.2657980324004</v>
      </c>
      <c r="M1017" s="60">
        <f>$J$1017-EFEITO!$K$1017*EFEITO!$Y$1017</f>
        <v>0</v>
      </c>
      <c r="N1017" s="60">
        <f ca="1">$K$1017-EFEITO!$M$1017*EFEITO!$Z$1017</f>
        <v>6.6320559300964419</v>
      </c>
      <c r="O1017" s="60">
        <f>$L$1017-EFEITO!$O$1017*EFEITO!$AA$1017</f>
        <v>22.765315960648195</v>
      </c>
      <c r="P1017" s="18"/>
      <c r="Q1017" s="18"/>
      <c r="R1017" s="18"/>
      <c r="S1017" s="18"/>
      <c r="T1017" s="18"/>
      <c r="U1017" s="18"/>
      <c r="V1017" s="18"/>
      <c r="W1017" s="18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1:36" ht="11.25" customHeight="1" x14ac:dyDescent="0.2">
      <c r="A1018" s="51" t="s">
        <v>56</v>
      </c>
      <c r="B1018" s="51" t="s">
        <v>41</v>
      </c>
      <c r="C1018" s="51" t="s">
        <v>42</v>
      </c>
      <c r="D1018" s="51" t="s">
        <v>45</v>
      </c>
      <c r="E1018" s="51" t="s">
        <v>53</v>
      </c>
      <c r="F1018" s="51" t="s">
        <v>25</v>
      </c>
      <c r="G1018" s="51" t="s">
        <v>25</v>
      </c>
      <c r="H1018" s="51" t="s">
        <v>35</v>
      </c>
      <c r="I1018" s="59">
        <v>44621</v>
      </c>
      <c r="J1018" s="60">
        <f>EFEITO!$J$1018*EFEITO!$Y$922</f>
        <v>0</v>
      </c>
      <c r="K1018" s="60">
        <f ca="1">EFEITO!$L$1018*EFEITO!$Z$922</f>
        <v>107096.00193732393</v>
      </c>
      <c r="L1018" s="60">
        <f>EFEITO!$N$1018*EFEITO!$AA$922</f>
        <v>367619.68655320362</v>
      </c>
      <c r="M1018" s="60">
        <f>$J$1018-EFEITO!$K$1018*EFEITO!$Y$1018</f>
        <v>0</v>
      </c>
      <c r="N1018" s="60">
        <f ca="1">$K$1018-EFEITO!$M$1018*EFEITO!$Z$1018</f>
        <v>2141.9200387464807</v>
      </c>
      <c r="O1018" s="60">
        <f>$L$1018-EFEITO!$O$1018*EFEITO!$AA$1018</f>
        <v>7352.3937310641049</v>
      </c>
      <c r="P1018" s="18"/>
      <c r="Q1018" s="18"/>
      <c r="R1018" s="18"/>
      <c r="S1018" s="18"/>
      <c r="T1018" s="18"/>
      <c r="U1018" s="18"/>
      <c r="V1018" s="18"/>
      <c r="W1018" s="18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1:36" ht="11.25" customHeight="1" x14ac:dyDescent="0.2">
      <c r="A1019" s="51" t="s">
        <v>56</v>
      </c>
      <c r="B1019" s="51" t="s">
        <v>41</v>
      </c>
      <c r="C1019" s="51" t="s">
        <v>42</v>
      </c>
      <c r="D1019" s="51" t="s">
        <v>45</v>
      </c>
      <c r="E1019" s="51" t="s">
        <v>53</v>
      </c>
      <c r="F1019" s="51" t="s">
        <v>25</v>
      </c>
      <c r="G1019" s="51" t="s">
        <v>25</v>
      </c>
      <c r="H1019" s="51" t="s">
        <v>35</v>
      </c>
      <c r="I1019" s="59">
        <v>44621</v>
      </c>
      <c r="J1019" s="60">
        <f>EFEITO!$J$1019*EFEITO!$Y$922</f>
        <v>0</v>
      </c>
      <c r="K1019" s="60">
        <f ca="1">EFEITO!$L$1019*EFEITO!$Z$922</f>
        <v>5.3306075893736917</v>
      </c>
      <c r="L1019" s="60">
        <f>EFEITO!$N$1019*EFEITO!$AA$922</f>
        <v>18.297940685876657</v>
      </c>
      <c r="M1019" s="60">
        <f>$J$1019-EFEITO!$K$1019*EFEITO!$Y$1019</f>
        <v>0</v>
      </c>
      <c r="N1019" s="60">
        <f ca="1">$K$1019-EFEITO!$M$1019*EFEITO!$Z$1019</f>
        <v>0.1066121517874743</v>
      </c>
      <c r="O1019" s="60">
        <f>$L$1019-EFEITO!$O$1019*EFEITO!$AA$1019</f>
        <v>0.36595881371753336</v>
      </c>
      <c r="P1019" s="18"/>
      <c r="Q1019" s="18"/>
      <c r="R1019" s="18"/>
      <c r="S1019" s="18"/>
      <c r="T1019" s="18"/>
      <c r="U1019" s="18"/>
      <c r="V1019" s="18"/>
      <c r="W1019" s="18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1:36" ht="11.25" customHeight="1" x14ac:dyDescent="0.2">
      <c r="A1020" s="51" t="s">
        <v>56</v>
      </c>
      <c r="B1020" s="51" t="s">
        <v>41</v>
      </c>
      <c r="C1020" s="51" t="s">
        <v>42</v>
      </c>
      <c r="D1020" s="51" t="s">
        <v>45</v>
      </c>
      <c r="E1020" s="51" t="s">
        <v>53</v>
      </c>
      <c r="F1020" s="51" t="s">
        <v>25</v>
      </c>
      <c r="G1020" s="51" t="s">
        <v>25</v>
      </c>
      <c r="H1020" s="51" t="s">
        <v>35</v>
      </c>
      <c r="I1020" s="59">
        <v>44621</v>
      </c>
      <c r="J1020" s="60">
        <f>EFEITO!$J$1020*EFEITO!$Y$922</f>
        <v>0</v>
      </c>
      <c r="K1020" s="60">
        <f ca="1">EFEITO!$L$1020*EFEITO!$Z$922</f>
        <v>331.60279650481954</v>
      </c>
      <c r="L1020" s="60">
        <f>EFEITO!$N$1020*EFEITO!$AA$922</f>
        <v>1138.2657980324004</v>
      </c>
      <c r="M1020" s="60">
        <f>$J$1020-EFEITO!$K$1020*EFEITO!$Y$1020</f>
        <v>0</v>
      </c>
      <c r="N1020" s="60">
        <f ca="1">$K$1020-EFEITO!$M$1020*EFEITO!$Z$1020</f>
        <v>6.6320559300964419</v>
      </c>
      <c r="O1020" s="60">
        <f>$L$1020-EFEITO!$O$1020*EFEITO!$AA$1020</f>
        <v>22.765315960648195</v>
      </c>
      <c r="P1020" s="18"/>
      <c r="Q1020" s="18"/>
      <c r="R1020" s="18"/>
      <c r="S1020" s="18"/>
      <c r="T1020" s="18"/>
      <c r="U1020" s="18"/>
      <c r="V1020" s="18"/>
      <c r="W1020" s="18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1:36" ht="11.25" customHeight="1" x14ac:dyDescent="0.2">
      <c r="A1021" s="51" t="s">
        <v>21</v>
      </c>
      <c r="B1021" s="51" t="s">
        <v>41</v>
      </c>
      <c r="C1021" s="51" t="s">
        <v>42</v>
      </c>
      <c r="D1021" s="51" t="s">
        <v>45</v>
      </c>
      <c r="E1021" s="51" t="s">
        <v>53</v>
      </c>
      <c r="F1021" s="51" t="s">
        <v>25</v>
      </c>
      <c r="G1021" s="51" t="s">
        <v>25</v>
      </c>
      <c r="H1021" s="51" t="s">
        <v>25</v>
      </c>
      <c r="I1021" s="59">
        <v>44287</v>
      </c>
      <c r="J1021" s="60">
        <f ca="1">EFEITO!$J$1021*EFEITO!$Y$951</f>
        <v>219540.50813337089</v>
      </c>
      <c r="K1021" s="60">
        <f>EFEITO!$L$1021*EFEITO!$Z$951</f>
        <v>0</v>
      </c>
      <c r="L1021" s="60">
        <f>EFEITO!$N$1021*EFEITO!$AA$951</f>
        <v>0</v>
      </c>
      <c r="M1021" s="60">
        <f ca="1">$J$1021-EFEITO!$K$1021*EFEITO!$Y$1021</f>
        <v>4390.8101626674179</v>
      </c>
      <c r="N1021" s="60">
        <f>$K$1021-EFEITO!$M$1021*EFEITO!$Z$1021</f>
        <v>0</v>
      </c>
      <c r="O1021" s="60">
        <f>$L$1021-EFEITO!$O$1021*EFEITO!$AA$1021</f>
        <v>0</v>
      </c>
      <c r="P1021" s="18"/>
      <c r="Q1021" s="18"/>
      <c r="R1021" s="18"/>
      <c r="S1021" s="18"/>
      <c r="T1021" s="18"/>
      <c r="U1021" s="18"/>
      <c r="V1021" s="18"/>
      <c r="W1021" s="18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1:36" ht="11.25" customHeight="1" x14ac:dyDescent="0.2">
      <c r="A1022" s="51" t="s">
        <v>21</v>
      </c>
      <c r="B1022" s="51" t="s">
        <v>41</v>
      </c>
      <c r="C1022" s="51" t="s">
        <v>42</v>
      </c>
      <c r="D1022" s="51" t="s">
        <v>45</v>
      </c>
      <c r="E1022" s="51" t="s">
        <v>53</v>
      </c>
      <c r="F1022" s="51" t="s">
        <v>25</v>
      </c>
      <c r="G1022" s="51" t="s">
        <v>25</v>
      </c>
      <c r="H1022" s="51" t="s">
        <v>25</v>
      </c>
      <c r="I1022" s="59">
        <v>44317</v>
      </c>
      <c r="J1022" s="60">
        <f ca="1">EFEITO!$J$1022*EFEITO!$Y$951</f>
        <v>169376.53934980687</v>
      </c>
      <c r="K1022" s="60">
        <f>EFEITO!$L$1022*EFEITO!$Z$951</f>
        <v>0</v>
      </c>
      <c r="L1022" s="60">
        <f>EFEITO!$N$1022*EFEITO!$AA$951</f>
        <v>0</v>
      </c>
      <c r="M1022" s="60">
        <f ca="1">$J$1022-EFEITO!$K$1022*EFEITO!$Y$1022</f>
        <v>3387.5307869961543</v>
      </c>
      <c r="N1022" s="60">
        <f>$K$1022-EFEITO!$M$1022*EFEITO!$Z$1022</f>
        <v>0</v>
      </c>
      <c r="O1022" s="60">
        <f>$L$1022-EFEITO!$O$1022*EFEITO!$AA$1022</f>
        <v>0</v>
      </c>
      <c r="P1022" s="18"/>
      <c r="Q1022" s="18"/>
      <c r="R1022" s="18"/>
      <c r="S1022" s="18"/>
      <c r="T1022" s="18"/>
      <c r="U1022" s="18"/>
      <c r="V1022" s="18"/>
      <c r="W1022" s="18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ht="11.25" customHeight="1" x14ac:dyDescent="0.2">
      <c r="A1023" s="51" t="s">
        <v>28</v>
      </c>
      <c r="B1023" s="51" t="s">
        <v>41</v>
      </c>
      <c r="C1023" s="51" t="s">
        <v>42</v>
      </c>
      <c r="D1023" s="51" t="s">
        <v>45</v>
      </c>
      <c r="E1023" s="51" t="s">
        <v>53</v>
      </c>
      <c r="F1023" s="51" t="s">
        <v>25</v>
      </c>
      <c r="G1023" s="51" t="s">
        <v>25</v>
      </c>
      <c r="H1023" s="51" t="s">
        <v>25</v>
      </c>
      <c r="I1023" s="59">
        <v>44317</v>
      </c>
      <c r="J1023" s="60">
        <f ca="1">EFEITO!$J$1023*EFEITO!$Y$951</f>
        <v>398.97111969960793</v>
      </c>
      <c r="K1023" s="60">
        <f>EFEITO!$L$1023*EFEITO!$Z$951</f>
        <v>0</v>
      </c>
      <c r="L1023" s="60">
        <f>EFEITO!$N$1023*EFEITO!$AA$951</f>
        <v>0</v>
      </c>
      <c r="M1023" s="60">
        <f ca="1">$J$1023-EFEITO!$K$1023*EFEITO!$Y$1023</f>
        <v>7.9794223939921949</v>
      </c>
      <c r="N1023" s="60">
        <f>$K$1023-EFEITO!$M$1023*EFEITO!$Z$1023</f>
        <v>0</v>
      </c>
      <c r="O1023" s="60">
        <f>$L$1023-EFEITO!$O$1023*EFEITO!$AA$1023</f>
        <v>0</v>
      </c>
      <c r="P1023" s="18"/>
      <c r="Q1023" s="18"/>
      <c r="R1023" s="18"/>
      <c r="S1023" s="18"/>
      <c r="T1023" s="18"/>
      <c r="U1023" s="18"/>
      <c r="V1023" s="18"/>
      <c r="W1023" s="18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1:36" ht="11.25" customHeight="1" x14ac:dyDescent="0.2">
      <c r="A1024" s="51" t="s">
        <v>21</v>
      </c>
      <c r="B1024" s="51" t="s">
        <v>41</v>
      </c>
      <c r="C1024" s="51" t="s">
        <v>42</v>
      </c>
      <c r="D1024" s="51" t="s">
        <v>45</v>
      </c>
      <c r="E1024" s="51" t="s">
        <v>53</v>
      </c>
      <c r="F1024" s="51" t="s">
        <v>25</v>
      </c>
      <c r="G1024" s="51" t="s">
        <v>25</v>
      </c>
      <c r="H1024" s="51" t="s">
        <v>25</v>
      </c>
      <c r="I1024" s="59">
        <v>44348</v>
      </c>
      <c r="J1024" s="60">
        <f ca="1">EFEITO!$J$1024*EFEITO!$Y$951</f>
        <v>161450.31310510798</v>
      </c>
      <c r="K1024" s="60">
        <f>EFEITO!$L$1024*EFEITO!$Z$951</f>
        <v>0</v>
      </c>
      <c r="L1024" s="60">
        <f>EFEITO!$N$1024*EFEITO!$AA$951</f>
        <v>0</v>
      </c>
      <c r="M1024" s="60">
        <f ca="1">$J$1024-EFEITO!$K$1024*EFEITO!$Y$1024</f>
        <v>3229.0062621021643</v>
      </c>
      <c r="N1024" s="60">
        <f>$K$1024-EFEITO!$M$1024*EFEITO!$Z$1024</f>
        <v>0</v>
      </c>
      <c r="O1024" s="60">
        <f>$L$1024-EFEITO!$O$1024*EFEITO!$AA$1024</f>
        <v>0</v>
      </c>
      <c r="P1024" s="18"/>
      <c r="Q1024" s="18"/>
      <c r="R1024" s="18"/>
      <c r="S1024" s="18"/>
      <c r="T1024" s="18"/>
      <c r="U1024" s="18"/>
      <c r="V1024" s="18"/>
      <c r="W1024" s="18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1:36" ht="11.25" customHeight="1" x14ac:dyDescent="0.2">
      <c r="A1025" s="51" t="s">
        <v>28</v>
      </c>
      <c r="B1025" s="51" t="s">
        <v>41</v>
      </c>
      <c r="C1025" s="51" t="s">
        <v>42</v>
      </c>
      <c r="D1025" s="51" t="s">
        <v>45</v>
      </c>
      <c r="E1025" s="51" t="s">
        <v>53</v>
      </c>
      <c r="F1025" s="51" t="s">
        <v>25</v>
      </c>
      <c r="G1025" s="51" t="s">
        <v>25</v>
      </c>
      <c r="H1025" s="51" t="s">
        <v>25</v>
      </c>
      <c r="I1025" s="59">
        <v>44348</v>
      </c>
      <c r="J1025" s="60">
        <f ca="1">EFEITO!$J$1025*EFEITO!$Y$951</f>
        <v>611.75571687273214</v>
      </c>
      <c r="K1025" s="60">
        <f>EFEITO!$L$1025*EFEITO!$Z$951</f>
        <v>0</v>
      </c>
      <c r="L1025" s="60">
        <f>EFEITO!$N$1025*EFEITO!$AA$951</f>
        <v>0</v>
      </c>
      <c r="M1025" s="60">
        <f ca="1">$J$1025-EFEITO!$K$1025*EFEITO!$Y$1025</f>
        <v>12.235114337454661</v>
      </c>
      <c r="N1025" s="60">
        <f>$K$1025-EFEITO!$M$1025*EFEITO!$Z$1025</f>
        <v>0</v>
      </c>
      <c r="O1025" s="60">
        <f>$L$1025-EFEITO!$O$1025*EFEITO!$AA$1025</f>
        <v>0</v>
      </c>
      <c r="P1025" s="18"/>
      <c r="Q1025" s="18"/>
      <c r="R1025" s="18"/>
      <c r="S1025" s="18"/>
      <c r="T1025" s="18"/>
      <c r="U1025" s="18"/>
      <c r="V1025" s="18"/>
      <c r="W1025" s="18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1:36" ht="11.25" customHeight="1" x14ac:dyDescent="0.2">
      <c r="A1026" s="51" t="s">
        <v>21</v>
      </c>
      <c r="B1026" s="51" t="s">
        <v>41</v>
      </c>
      <c r="C1026" s="51" t="s">
        <v>42</v>
      </c>
      <c r="D1026" s="51" t="s">
        <v>45</v>
      </c>
      <c r="E1026" s="51" t="s">
        <v>53</v>
      </c>
      <c r="F1026" s="51" t="s">
        <v>25</v>
      </c>
      <c r="G1026" s="51" t="s">
        <v>25</v>
      </c>
      <c r="H1026" s="51" t="s">
        <v>25</v>
      </c>
      <c r="I1026" s="59">
        <v>44378</v>
      </c>
      <c r="J1026" s="60">
        <f ca="1">EFEITO!$J$1026*EFEITO!$Y$951</f>
        <v>156343.48277295302</v>
      </c>
      <c r="K1026" s="60">
        <f>EFEITO!$L$1026*EFEITO!$Z$951</f>
        <v>0</v>
      </c>
      <c r="L1026" s="60">
        <f>EFEITO!$N$1026*EFEITO!$AA$951</f>
        <v>0</v>
      </c>
      <c r="M1026" s="60">
        <f ca="1">$J$1026-EFEITO!$K$1026*EFEITO!$Y$1026</f>
        <v>3126.8696554590715</v>
      </c>
      <c r="N1026" s="60">
        <f>$K$1026-EFEITO!$M$1026*EFEITO!$Z$1026</f>
        <v>0</v>
      </c>
      <c r="O1026" s="60">
        <f>$L$1026-EFEITO!$O$1026*EFEITO!$AA$1026</f>
        <v>0</v>
      </c>
      <c r="P1026" s="18"/>
      <c r="Q1026" s="18"/>
      <c r="R1026" s="18"/>
      <c r="S1026" s="18"/>
      <c r="T1026" s="18"/>
      <c r="U1026" s="18"/>
      <c r="V1026" s="18"/>
      <c r="W1026" s="18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1:36" ht="11.25" customHeight="1" x14ac:dyDescent="0.2">
      <c r="A1027" s="51" t="s">
        <v>28</v>
      </c>
      <c r="B1027" s="51" t="s">
        <v>41</v>
      </c>
      <c r="C1027" s="51" t="s">
        <v>42</v>
      </c>
      <c r="D1027" s="51" t="s">
        <v>45</v>
      </c>
      <c r="E1027" s="51" t="s">
        <v>53</v>
      </c>
      <c r="F1027" s="51" t="s">
        <v>25</v>
      </c>
      <c r="G1027" s="51" t="s">
        <v>25</v>
      </c>
      <c r="H1027" s="51" t="s">
        <v>25</v>
      </c>
      <c r="I1027" s="59">
        <v>44378</v>
      </c>
      <c r="J1027" s="60">
        <f ca="1">EFEITO!$J$1027*EFEITO!$Y$951</f>
        <v>452.16726899288892</v>
      </c>
      <c r="K1027" s="60">
        <f>EFEITO!$L$1027*EFEITO!$Z$951</f>
        <v>0</v>
      </c>
      <c r="L1027" s="60">
        <f>EFEITO!$N$1027*EFEITO!$AA$951</f>
        <v>0</v>
      </c>
      <c r="M1027" s="60">
        <f ca="1">$J$1027-EFEITO!$K$1027*EFEITO!$Y$1027</f>
        <v>9.043345379857783</v>
      </c>
      <c r="N1027" s="60">
        <f>$K$1027-EFEITO!$M$1027*EFEITO!$Z$1027</f>
        <v>0</v>
      </c>
      <c r="O1027" s="60">
        <f>$L$1027-EFEITO!$O$1027*EFEITO!$AA$1027</f>
        <v>0</v>
      </c>
      <c r="P1027" s="18"/>
      <c r="Q1027" s="18"/>
      <c r="R1027" s="18"/>
      <c r="S1027" s="18"/>
      <c r="T1027" s="18"/>
      <c r="U1027" s="18"/>
      <c r="V1027" s="18"/>
      <c r="W1027" s="18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1:36" ht="11.25" customHeight="1" x14ac:dyDescent="0.2">
      <c r="A1028" s="51" t="s">
        <v>21</v>
      </c>
      <c r="B1028" s="51" t="s">
        <v>41</v>
      </c>
      <c r="C1028" s="51" t="s">
        <v>42</v>
      </c>
      <c r="D1028" s="51" t="s">
        <v>45</v>
      </c>
      <c r="E1028" s="51" t="s">
        <v>53</v>
      </c>
      <c r="F1028" s="51" t="s">
        <v>25</v>
      </c>
      <c r="G1028" s="51" t="s">
        <v>25</v>
      </c>
      <c r="H1028" s="51" t="s">
        <v>25</v>
      </c>
      <c r="I1028" s="59">
        <v>44409</v>
      </c>
      <c r="J1028" s="60">
        <f ca="1">EFEITO!$J$1028*EFEITO!$Y$951</f>
        <v>152220.78120272374</v>
      </c>
      <c r="K1028" s="60">
        <f>EFEITO!$L$1028*EFEITO!$Z$951</f>
        <v>0</v>
      </c>
      <c r="L1028" s="60">
        <f>EFEITO!$N$1028*EFEITO!$AA$951</f>
        <v>0</v>
      </c>
      <c r="M1028" s="60">
        <f ca="1">$J$1028-EFEITO!$K$1028*EFEITO!$Y$1028</f>
        <v>3044.415624054498</v>
      </c>
      <c r="N1028" s="60">
        <f>$K$1028-EFEITO!$M$1028*EFEITO!$Z$1028</f>
        <v>0</v>
      </c>
      <c r="O1028" s="60">
        <f>$L$1028-EFEITO!$O$1028*EFEITO!$AA$1028</f>
        <v>0</v>
      </c>
      <c r="P1028" s="18"/>
      <c r="Q1028" s="18"/>
      <c r="R1028" s="18"/>
      <c r="S1028" s="18"/>
      <c r="T1028" s="18"/>
      <c r="U1028" s="18"/>
      <c r="V1028" s="18"/>
      <c r="W1028" s="18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1:36" ht="11.25" customHeight="1" x14ac:dyDescent="0.2">
      <c r="A1029" s="51" t="s">
        <v>28</v>
      </c>
      <c r="B1029" s="51" t="s">
        <v>41</v>
      </c>
      <c r="C1029" s="51" t="s">
        <v>42</v>
      </c>
      <c r="D1029" s="51" t="s">
        <v>45</v>
      </c>
      <c r="E1029" s="51" t="s">
        <v>53</v>
      </c>
      <c r="F1029" s="51" t="s">
        <v>25</v>
      </c>
      <c r="G1029" s="51" t="s">
        <v>25</v>
      </c>
      <c r="H1029" s="51" t="s">
        <v>25</v>
      </c>
      <c r="I1029" s="59">
        <v>44409</v>
      </c>
      <c r="J1029" s="60">
        <f ca="1">EFEITO!$J$1029*EFEITO!$Y$951</f>
        <v>558.55956757945103</v>
      </c>
      <c r="K1029" s="60">
        <f>EFEITO!$L$1029*EFEITO!$Z$951</f>
        <v>0</v>
      </c>
      <c r="L1029" s="60">
        <f>EFEITO!$N$1029*EFEITO!$AA$951</f>
        <v>0</v>
      </c>
      <c r="M1029" s="60">
        <f ca="1">$J$1029-EFEITO!$K$1029*EFEITO!$Y$1029</f>
        <v>11.171191351589073</v>
      </c>
      <c r="N1029" s="60">
        <f>$K$1029-EFEITO!$M$1029*EFEITO!$Z$1029</f>
        <v>0</v>
      </c>
      <c r="O1029" s="60">
        <f>$L$1029-EFEITO!$O$1029*EFEITO!$AA$1029</f>
        <v>0</v>
      </c>
      <c r="P1029" s="18"/>
      <c r="Q1029" s="18"/>
      <c r="R1029" s="18"/>
      <c r="S1029" s="18"/>
      <c r="T1029" s="18"/>
      <c r="U1029" s="18"/>
      <c r="V1029" s="18"/>
      <c r="W1029" s="18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1:36" ht="11.25" customHeight="1" x14ac:dyDescent="0.2">
      <c r="A1030" s="51" t="s">
        <v>21</v>
      </c>
      <c r="B1030" s="51" t="s">
        <v>41</v>
      </c>
      <c r="C1030" s="51" t="s">
        <v>42</v>
      </c>
      <c r="D1030" s="51" t="s">
        <v>45</v>
      </c>
      <c r="E1030" s="51" t="s">
        <v>53</v>
      </c>
      <c r="F1030" s="51" t="s">
        <v>25</v>
      </c>
      <c r="G1030" s="51" t="s">
        <v>25</v>
      </c>
      <c r="H1030" s="51" t="s">
        <v>25</v>
      </c>
      <c r="I1030" s="59">
        <v>44440</v>
      </c>
      <c r="J1030" s="60">
        <f ca="1">EFEITO!$J$1030*EFEITO!$Y$951</f>
        <v>188314.36849821493</v>
      </c>
      <c r="K1030" s="60">
        <f>EFEITO!$L$1030*EFEITO!$Z$951</f>
        <v>0</v>
      </c>
      <c r="L1030" s="60">
        <f>EFEITO!$N$1030*EFEITO!$AA$951</f>
        <v>0</v>
      </c>
      <c r="M1030" s="60">
        <f ca="1">$J$1030-EFEITO!$K$1030*EFEITO!$Y$1030</f>
        <v>3766.2873699642951</v>
      </c>
      <c r="N1030" s="60">
        <f>$K$1030-EFEITO!$M$1030*EFEITO!$Z$1030</f>
        <v>0</v>
      </c>
      <c r="O1030" s="60">
        <f>$L$1030-EFEITO!$O$1030*EFEITO!$AA$1030</f>
        <v>0</v>
      </c>
      <c r="P1030" s="18"/>
      <c r="Q1030" s="18"/>
      <c r="R1030" s="18"/>
      <c r="S1030" s="18"/>
      <c r="T1030" s="18"/>
      <c r="U1030" s="18"/>
      <c r="V1030" s="18"/>
      <c r="W1030" s="18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1:36" ht="11.25" customHeight="1" x14ac:dyDescent="0.2">
      <c r="A1031" s="51" t="s">
        <v>28</v>
      </c>
      <c r="B1031" s="51" t="s">
        <v>41</v>
      </c>
      <c r="C1031" s="51" t="s">
        <v>42</v>
      </c>
      <c r="D1031" s="51" t="s">
        <v>45</v>
      </c>
      <c r="E1031" s="51" t="s">
        <v>53</v>
      </c>
      <c r="F1031" s="51" t="s">
        <v>25</v>
      </c>
      <c r="G1031" s="51" t="s">
        <v>25</v>
      </c>
      <c r="H1031" s="51" t="s">
        <v>25</v>
      </c>
      <c r="I1031" s="59">
        <v>44440</v>
      </c>
      <c r="J1031" s="60">
        <f ca="1">EFEITO!$J$1031*EFEITO!$Y$951</f>
        <v>1170.3152844521833</v>
      </c>
      <c r="K1031" s="60">
        <f>EFEITO!$L$1031*EFEITO!$Z$951</f>
        <v>0</v>
      </c>
      <c r="L1031" s="60">
        <f>EFEITO!$N$1031*EFEITO!$AA$951</f>
        <v>0</v>
      </c>
      <c r="M1031" s="60">
        <f ca="1">$J$1031-EFEITO!$K$1031*EFEITO!$Y$1031</f>
        <v>23.406305689043847</v>
      </c>
      <c r="N1031" s="60">
        <f>$K$1031-EFEITO!$M$1031*EFEITO!$Z$1031</f>
        <v>0</v>
      </c>
      <c r="O1031" s="60">
        <f>$L$1031-EFEITO!$O$1031*EFEITO!$AA$1031</f>
        <v>0</v>
      </c>
      <c r="P1031" s="18"/>
      <c r="Q1031" s="18"/>
      <c r="R1031" s="18"/>
      <c r="S1031" s="18"/>
      <c r="T1031" s="18"/>
      <c r="U1031" s="18"/>
      <c r="V1031" s="18"/>
      <c r="W1031" s="18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1:36" ht="11.25" customHeight="1" x14ac:dyDescent="0.2">
      <c r="A1032" s="51" t="s">
        <v>21</v>
      </c>
      <c r="B1032" s="51" t="s">
        <v>41</v>
      </c>
      <c r="C1032" s="51" t="s">
        <v>42</v>
      </c>
      <c r="D1032" s="51" t="s">
        <v>45</v>
      </c>
      <c r="E1032" s="51" t="s">
        <v>53</v>
      </c>
      <c r="F1032" s="51" t="s">
        <v>25</v>
      </c>
      <c r="G1032" s="51" t="s">
        <v>25</v>
      </c>
      <c r="H1032" s="51" t="s">
        <v>25</v>
      </c>
      <c r="I1032" s="59">
        <v>44470</v>
      </c>
      <c r="J1032" s="60">
        <f ca="1">EFEITO!$J$1032*EFEITO!$Y$951</f>
        <v>216162.55265324755</v>
      </c>
      <c r="K1032" s="60">
        <f>EFEITO!$L$1032*EFEITO!$Z$951</f>
        <v>0</v>
      </c>
      <c r="L1032" s="60">
        <f>EFEITO!$N$1032*EFEITO!$AA$951</f>
        <v>0</v>
      </c>
      <c r="M1032" s="60">
        <f ca="1">$J$1032-EFEITO!$K$1032*EFEITO!$Y$1032</f>
        <v>4323.2510530649452</v>
      </c>
      <c r="N1032" s="60">
        <f>$K$1032-EFEITO!$M$1032*EFEITO!$Z$1032</f>
        <v>0</v>
      </c>
      <c r="O1032" s="60">
        <f>$L$1032-EFEITO!$O$1032*EFEITO!$AA$1032</f>
        <v>0</v>
      </c>
      <c r="P1032" s="18"/>
      <c r="Q1032" s="18"/>
      <c r="R1032" s="18"/>
      <c r="S1032" s="18"/>
      <c r="T1032" s="18"/>
      <c r="U1032" s="18"/>
      <c r="V1032" s="18"/>
      <c r="W1032" s="18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1:36" ht="11.25" customHeight="1" x14ac:dyDescent="0.2">
      <c r="A1033" s="51" t="s">
        <v>28</v>
      </c>
      <c r="B1033" s="51" t="s">
        <v>41</v>
      </c>
      <c r="C1033" s="51" t="s">
        <v>42</v>
      </c>
      <c r="D1033" s="51" t="s">
        <v>45</v>
      </c>
      <c r="E1033" s="51" t="s">
        <v>53</v>
      </c>
      <c r="F1033" s="51" t="s">
        <v>25</v>
      </c>
      <c r="G1033" s="51" t="s">
        <v>25</v>
      </c>
      <c r="H1033" s="51" t="s">
        <v>25</v>
      </c>
      <c r="I1033" s="59">
        <v>44470</v>
      </c>
      <c r="J1033" s="60">
        <f ca="1">EFEITO!$J$1033*EFEITO!$Y$951</f>
        <v>1250.1095083921048</v>
      </c>
      <c r="K1033" s="60">
        <f>EFEITO!$L$1033*EFEITO!$Z$951</f>
        <v>0</v>
      </c>
      <c r="L1033" s="60">
        <f>EFEITO!$N$1033*EFEITO!$AA$951</f>
        <v>0</v>
      </c>
      <c r="M1033" s="60">
        <f ca="1">$J$1033-EFEITO!$K$1033*EFEITO!$Y$1033</f>
        <v>25.002190167842173</v>
      </c>
      <c r="N1033" s="60">
        <f>$K$1033-EFEITO!$M$1033*EFEITO!$Z$1033</f>
        <v>0</v>
      </c>
      <c r="O1033" s="60">
        <f>$L$1033-EFEITO!$O$1033*EFEITO!$AA$1033</f>
        <v>0</v>
      </c>
      <c r="P1033" s="18"/>
      <c r="Q1033" s="18"/>
      <c r="R1033" s="18"/>
      <c r="S1033" s="18"/>
      <c r="T1033" s="18"/>
      <c r="U1033" s="18"/>
      <c r="V1033" s="18"/>
      <c r="W1033" s="18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1:36" ht="11.25" customHeight="1" x14ac:dyDescent="0.2">
      <c r="A1034" s="51" t="s">
        <v>21</v>
      </c>
      <c r="B1034" s="51" t="s">
        <v>41</v>
      </c>
      <c r="C1034" s="51" t="s">
        <v>42</v>
      </c>
      <c r="D1034" s="51" t="s">
        <v>45</v>
      </c>
      <c r="E1034" s="51" t="s">
        <v>53</v>
      </c>
      <c r="F1034" s="51" t="s">
        <v>25</v>
      </c>
      <c r="G1034" s="51" t="s">
        <v>25</v>
      </c>
      <c r="H1034" s="51" t="s">
        <v>25</v>
      </c>
      <c r="I1034" s="59">
        <v>44501</v>
      </c>
      <c r="J1034" s="60">
        <f ca="1">EFEITO!$J$1034*EFEITO!$Y$951</f>
        <v>218237.20247568551</v>
      </c>
      <c r="K1034" s="60">
        <f>EFEITO!$L$1034*EFEITO!$Z$951</f>
        <v>0</v>
      </c>
      <c r="L1034" s="60">
        <f>EFEITO!$N$1034*EFEITO!$AA$951</f>
        <v>0</v>
      </c>
      <c r="M1034" s="60">
        <f ca="1">$J$1034-EFEITO!$K$1034*EFEITO!$Y$1034</f>
        <v>4364.7440495137125</v>
      </c>
      <c r="N1034" s="60">
        <f>$K$1034-EFEITO!$M$1034*EFEITO!$Z$1034</f>
        <v>0</v>
      </c>
      <c r="O1034" s="60">
        <f>$L$1034-EFEITO!$O$1034*EFEITO!$AA$1034</f>
        <v>0</v>
      </c>
      <c r="P1034" s="18"/>
      <c r="Q1034" s="18"/>
      <c r="R1034" s="18"/>
      <c r="S1034" s="18"/>
      <c r="T1034" s="18"/>
      <c r="U1034" s="18"/>
      <c r="V1034" s="18"/>
      <c r="W1034" s="18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ht="11.25" customHeight="1" x14ac:dyDescent="0.2">
      <c r="A1035" s="51" t="s">
        <v>28</v>
      </c>
      <c r="B1035" s="51" t="s">
        <v>41</v>
      </c>
      <c r="C1035" s="51" t="s">
        <v>42</v>
      </c>
      <c r="D1035" s="51" t="s">
        <v>45</v>
      </c>
      <c r="E1035" s="51" t="s">
        <v>53</v>
      </c>
      <c r="F1035" s="51" t="s">
        <v>25</v>
      </c>
      <c r="G1035" s="51" t="s">
        <v>25</v>
      </c>
      <c r="H1035" s="51" t="s">
        <v>25</v>
      </c>
      <c r="I1035" s="59">
        <v>44501</v>
      </c>
      <c r="J1035" s="60">
        <f ca="1">EFEITO!$J$1035*EFEITO!$Y$951</f>
        <v>1675.6787027383532</v>
      </c>
      <c r="K1035" s="60">
        <f>EFEITO!$L$1035*EFEITO!$Z$951</f>
        <v>0</v>
      </c>
      <c r="L1035" s="60">
        <f>EFEITO!$N$1035*EFEITO!$AA$951</f>
        <v>0</v>
      </c>
      <c r="M1035" s="60">
        <f ca="1">$J$1035-EFEITO!$K$1035*EFEITO!$Y$1035</f>
        <v>33.513574054767105</v>
      </c>
      <c r="N1035" s="60">
        <f>$K$1035-EFEITO!$M$1035*EFEITO!$Z$1035</f>
        <v>0</v>
      </c>
      <c r="O1035" s="60">
        <f>$L$1035-EFEITO!$O$1035*EFEITO!$AA$1035</f>
        <v>0</v>
      </c>
      <c r="P1035" s="18"/>
      <c r="Q1035" s="18"/>
      <c r="R1035" s="18"/>
      <c r="S1035" s="18"/>
      <c r="T1035" s="18"/>
      <c r="U1035" s="18"/>
      <c r="V1035" s="18"/>
      <c r="W1035" s="18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1:36" ht="11.25" customHeight="1" x14ac:dyDescent="0.2">
      <c r="A1036" s="51" t="s">
        <v>21</v>
      </c>
      <c r="B1036" s="51" t="s">
        <v>41</v>
      </c>
      <c r="C1036" s="51" t="s">
        <v>42</v>
      </c>
      <c r="D1036" s="51" t="s">
        <v>45</v>
      </c>
      <c r="E1036" s="51" t="s">
        <v>53</v>
      </c>
      <c r="F1036" s="51" t="s">
        <v>25</v>
      </c>
      <c r="G1036" s="51" t="s">
        <v>25</v>
      </c>
      <c r="H1036" s="51" t="s">
        <v>25</v>
      </c>
      <c r="I1036" s="59">
        <v>44531</v>
      </c>
      <c r="J1036" s="60">
        <f ca="1">EFEITO!$J$1036*EFEITO!$Y$951</f>
        <v>215657.18923496138</v>
      </c>
      <c r="K1036" s="60">
        <f>EFEITO!$L$1036*EFEITO!$Z$951</f>
        <v>0</v>
      </c>
      <c r="L1036" s="60">
        <f>EFEITO!$N$1036*EFEITO!$AA$951</f>
        <v>0</v>
      </c>
      <c r="M1036" s="60">
        <f ca="1">$J$1036-EFEITO!$K$1036*EFEITO!$Y$1036</f>
        <v>4313.1437846992339</v>
      </c>
      <c r="N1036" s="60">
        <f>$K$1036-EFEITO!$M$1036*EFEITO!$Z$1036</f>
        <v>0</v>
      </c>
      <c r="O1036" s="60">
        <f>$L$1036-EFEITO!$O$1036*EFEITO!$AA$1036</f>
        <v>0</v>
      </c>
      <c r="P1036" s="18"/>
      <c r="Q1036" s="18"/>
      <c r="R1036" s="18"/>
      <c r="S1036" s="18"/>
      <c r="T1036" s="18"/>
      <c r="U1036" s="18"/>
      <c r="V1036" s="18"/>
      <c r="W1036" s="18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1:36" ht="11.25" customHeight="1" x14ac:dyDescent="0.2">
      <c r="A1037" s="51" t="s">
        <v>28</v>
      </c>
      <c r="B1037" s="51" t="s">
        <v>41</v>
      </c>
      <c r="C1037" s="51" t="s">
        <v>42</v>
      </c>
      <c r="D1037" s="51" t="s">
        <v>45</v>
      </c>
      <c r="E1037" s="51" t="s">
        <v>53</v>
      </c>
      <c r="F1037" s="51" t="s">
        <v>25</v>
      </c>
      <c r="G1037" s="51" t="s">
        <v>25</v>
      </c>
      <c r="H1037" s="51" t="s">
        <v>25</v>
      </c>
      <c r="I1037" s="59">
        <v>44531</v>
      </c>
      <c r="J1037" s="60">
        <f ca="1">EFEITO!$J$1037*EFEITO!$Y$951</f>
        <v>1622.4825534450722</v>
      </c>
      <c r="K1037" s="60">
        <f>EFEITO!$L$1037*EFEITO!$Z$951</f>
        <v>0</v>
      </c>
      <c r="L1037" s="60">
        <f>EFEITO!$N$1037*EFEITO!$AA$951</f>
        <v>0</v>
      </c>
      <c r="M1037" s="60">
        <f ca="1">$J$1037-EFEITO!$K$1037*EFEITO!$Y$1037</f>
        <v>32.44965106890163</v>
      </c>
      <c r="N1037" s="60">
        <f>$K$1037-EFEITO!$M$1037*EFEITO!$Z$1037</f>
        <v>0</v>
      </c>
      <c r="O1037" s="60">
        <f>$L$1037-EFEITO!$O$1037*EFEITO!$AA$1037</f>
        <v>0</v>
      </c>
      <c r="P1037" s="18"/>
      <c r="Q1037" s="18"/>
      <c r="R1037" s="18"/>
      <c r="S1037" s="18"/>
      <c r="T1037" s="18"/>
      <c r="U1037" s="18"/>
      <c r="V1037" s="18"/>
      <c r="W1037" s="18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1:36" ht="11.25" customHeight="1" x14ac:dyDescent="0.2">
      <c r="A1038" s="51" t="s">
        <v>21</v>
      </c>
      <c r="B1038" s="51" t="s">
        <v>41</v>
      </c>
      <c r="C1038" s="51" t="s">
        <v>42</v>
      </c>
      <c r="D1038" s="51" t="s">
        <v>45</v>
      </c>
      <c r="E1038" s="51" t="s">
        <v>53</v>
      </c>
      <c r="F1038" s="51" t="s">
        <v>25</v>
      </c>
      <c r="G1038" s="51" t="s">
        <v>25</v>
      </c>
      <c r="H1038" s="51" t="s">
        <v>25</v>
      </c>
      <c r="I1038" s="59">
        <v>44562</v>
      </c>
      <c r="J1038" s="60">
        <f ca="1">EFEITO!$J$1038*EFEITO!$Y$951</f>
        <v>161131.1362093483</v>
      </c>
      <c r="K1038" s="60">
        <f>EFEITO!$L$1038*EFEITO!$Z$951</f>
        <v>0</v>
      </c>
      <c r="L1038" s="60">
        <f>EFEITO!$N$1038*EFEITO!$AA$951</f>
        <v>0</v>
      </c>
      <c r="M1038" s="60">
        <f ca="1">$J$1038-EFEITO!$K$1038*EFEITO!$Y$1038</f>
        <v>3222.6227241869783</v>
      </c>
      <c r="N1038" s="60">
        <f>$K$1038-EFEITO!$M$1038*EFEITO!$Z$1038</f>
        <v>0</v>
      </c>
      <c r="O1038" s="60">
        <f>$L$1038-EFEITO!$O$1038*EFEITO!$AA$1038</f>
        <v>0</v>
      </c>
      <c r="P1038" s="18"/>
      <c r="Q1038" s="18"/>
      <c r="R1038" s="18"/>
      <c r="S1038" s="18"/>
      <c r="T1038" s="18"/>
      <c r="U1038" s="18"/>
      <c r="V1038" s="18"/>
      <c r="W1038" s="18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1:36" ht="11.25" customHeight="1" x14ac:dyDescent="0.2">
      <c r="A1039" s="51" t="s">
        <v>27</v>
      </c>
      <c r="B1039" s="51" t="s">
        <v>41</v>
      </c>
      <c r="C1039" s="51" t="s">
        <v>42</v>
      </c>
      <c r="D1039" s="51" t="s">
        <v>45</v>
      </c>
      <c r="E1039" s="51" t="s">
        <v>53</v>
      </c>
      <c r="F1039" s="51" t="s">
        <v>25</v>
      </c>
      <c r="G1039" s="51" t="s">
        <v>25</v>
      </c>
      <c r="H1039" s="51" t="s">
        <v>25</v>
      </c>
      <c r="I1039" s="59">
        <v>44562</v>
      </c>
      <c r="J1039" s="60">
        <f ca="1">EFEITO!$J$1039*EFEITO!$Y$951</f>
        <v>16251.423609097361</v>
      </c>
      <c r="K1039" s="60">
        <f>EFEITO!$L$1039*EFEITO!$Z$951</f>
        <v>0</v>
      </c>
      <c r="L1039" s="60">
        <f>EFEITO!$N$1039*EFEITO!$AA$951</f>
        <v>0</v>
      </c>
      <c r="M1039" s="60">
        <f ca="1">$J$1039-EFEITO!$K$1039*EFEITO!$Y$1039</f>
        <v>325.02847218194802</v>
      </c>
      <c r="N1039" s="60">
        <f>$K$1039-EFEITO!$M$1039*EFEITO!$Z$1039</f>
        <v>0</v>
      </c>
      <c r="O1039" s="60">
        <f>$L$1039-EFEITO!$O$1039*EFEITO!$AA$1039</f>
        <v>0</v>
      </c>
      <c r="P1039" s="18"/>
      <c r="Q1039" s="18"/>
      <c r="R1039" s="18"/>
      <c r="S1039" s="18"/>
      <c r="T1039" s="18"/>
      <c r="U1039" s="18"/>
      <c r="V1039" s="18"/>
      <c r="W1039" s="18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1:36" ht="11.25" customHeight="1" x14ac:dyDescent="0.2">
      <c r="A1040" s="51" t="s">
        <v>28</v>
      </c>
      <c r="B1040" s="51" t="s">
        <v>41</v>
      </c>
      <c r="C1040" s="51" t="s">
        <v>42</v>
      </c>
      <c r="D1040" s="51" t="s">
        <v>45</v>
      </c>
      <c r="E1040" s="51" t="s">
        <v>53</v>
      </c>
      <c r="F1040" s="51" t="s">
        <v>25</v>
      </c>
      <c r="G1040" s="51" t="s">
        <v>25</v>
      </c>
      <c r="H1040" s="51" t="s">
        <v>25</v>
      </c>
      <c r="I1040" s="59">
        <v>44562</v>
      </c>
      <c r="J1040" s="60">
        <f ca="1">EFEITO!$J$1040*EFEITO!$Y$951</f>
        <v>1622.4825534450722</v>
      </c>
      <c r="K1040" s="60">
        <f>EFEITO!$L$1040*EFEITO!$Z$951</f>
        <v>0</v>
      </c>
      <c r="L1040" s="60">
        <f>EFEITO!$N$1040*EFEITO!$AA$951</f>
        <v>0</v>
      </c>
      <c r="M1040" s="60">
        <f ca="1">$J$1040-EFEITO!$K$1040*EFEITO!$Y$1040</f>
        <v>32.44965106890163</v>
      </c>
      <c r="N1040" s="60">
        <f>$K$1040-EFEITO!$M$1040*EFEITO!$Z$1040</f>
        <v>0</v>
      </c>
      <c r="O1040" s="60">
        <f>$L$1040-EFEITO!$O$1040*EFEITO!$AA$1040</f>
        <v>0</v>
      </c>
      <c r="P1040" s="18"/>
      <c r="Q1040" s="18"/>
      <c r="R1040" s="18"/>
      <c r="S1040" s="18"/>
      <c r="T1040" s="18"/>
      <c r="U1040" s="18"/>
      <c r="V1040" s="18"/>
      <c r="W1040" s="18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ht="11.25" customHeight="1" x14ac:dyDescent="0.2">
      <c r="A1041" s="51" t="s">
        <v>21</v>
      </c>
      <c r="B1041" s="51" t="s">
        <v>41</v>
      </c>
      <c r="C1041" s="51" t="s">
        <v>42</v>
      </c>
      <c r="D1041" s="51" t="s">
        <v>45</v>
      </c>
      <c r="E1041" s="51" t="s">
        <v>53</v>
      </c>
      <c r="F1041" s="51" t="s">
        <v>25</v>
      </c>
      <c r="G1041" s="51" t="s">
        <v>25</v>
      </c>
      <c r="H1041" s="51" t="s">
        <v>25</v>
      </c>
      <c r="I1041" s="59">
        <v>44593</v>
      </c>
      <c r="J1041" s="60">
        <f ca="1">EFEITO!$J$1041*EFEITO!$Y$951</f>
        <v>237228.22777338687</v>
      </c>
      <c r="K1041" s="60">
        <f>EFEITO!$L$1041*EFEITO!$Z$951</f>
        <v>0</v>
      </c>
      <c r="L1041" s="60">
        <f>EFEITO!$N$1041*EFEITO!$AA$951</f>
        <v>0</v>
      </c>
      <c r="M1041" s="60">
        <f ca="1">$J$1041-EFEITO!$K$1041*EFEITO!$Y$1041</f>
        <v>4744.5645554677758</v>
      </c>
      <c r="N1041" s="60">
        <f>$K$1041-EFEITO!$M$1041*EFEITO!$Z$1041</f>
        <v>0</v>
      </c>
      <c r="O1041" s="60">
        <f>$L$1041-EFEITO!$O$1041*EFEITO!$AA$1041</f>
        <v>0</v>
      </c>
      <c r="P1041" s="18"/>
      <c r="Q1041" s="18"/>
      <c r="R1041" s="18"/>
      <c r="S1041" s="18"/>
      <c r="T1041" s="18"/>
      <c r="U1041" s="18"/>
      <c r="V1041" s="18"/>
      <c r="W1041" s="18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1:36" ht="11.25" customHeight="1" x14ac:dyDescent="0.2">
      <c r="A1042" s="51" t="s">
        <v>27</v>
      </c>
      <c r="B1042" s="51" t="s">
        <v>41</v>
      </c>
      <c r="C1042" s="51" t="s">
        <v>42</v>
      </c>
      <c r="D1042" s="51" t="s">
        <v>45</v>
      </c>
      <c r="E1042" s="51" t="s">
        <v>53</v>
      </c>
      <c r="F1042" s="51" t="s">
        <v>25</v>
      </c>
      <c r="G1042" s="51" t="s">
        <v>25</v>
      </c>
      <c r="H1042" s="51" t="s">
        <v>25</v>
      </c>
      <c r="I1042" s="59">
        <v>44593</v>
      </c>
      <c r="J1042" s="60">
        <f ca="1">EFEITO!$J$1042*EFEITO!$Y$951</f>
        <v>984.12876192569945</v>
      </c>
      <c r="K1042" s="60">
        <f>EFEITO!$L$1042*EFEITO!$Z$951</f>
        <v>0</v>
      </c>
      <c r="L1042" s="60">
        <f>EFEITO!$N$1042*EFEITO!$AA$951</f>
        <v>0</v>
      </c>
      <c r="M1042" s="60">
        <f ca="1">$J$1042-EFEITO!$K$1042*EFEITO!$Y$1042</f>
        <v>19.682575238514005</v>
      </c>
      <c r="N1042" s="60">
        <f>$K$1042-EFEITO!$M$1042*EFEITO!$Z$1042</f>
        <v>0</v>
      </c>
      <c r="O1042" s="60">
        <f>$L$1042-EFEITO!$O$1042*EFEITO!$AA$1042</f>
        <v>0</v>
      </c>
      <c r="P1042" s="18"/>
      <c r="Q1042" s="18"/>
      <c r="R1042" s="18"/>
      <c r="S1042" s="18"/>
      <c r="T1042" s="18"/>
      <c r="U1042" s="18"/>
      <c r="V1042" s="18"/>
      <c r="W1042" s="18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1:36" ht="11.25" customHeight="1" x14ac:dyDescent="0.2">
      <c r="A1043" s="51" t="s">
        <v>28</v>
      </c>
      <c r="B1043" s="51" t="s">
        <v>41</v>
      </c>
      <c r="C1043" s="51" t="s">
        <v>42</v>
      </c>
      <c r="D1043" s="51" t="s">
        <v>45</v>
      </c>
      <c r="E1043" s="51" t="s">
        <v>53</v>
      </c>
      <c r="F1043" s="51" t="s">
        <v>25</v>
      </c>
      <c r="G1043" s="51" t="s">
        <v>25</v>
      </c>
      <c r="H1043" s="51" t="s">
        <v>25</v>
      </c>
      <c r="I1043" s="59">
        <v>44593</v>
      </c>
      <c r="J1043" s="60">
        <f ca="1">EFEITO!$J$1043*EFEITO!$Y$951</f>
        <v>1569.286404151791</v>
      </c>
      <c r="K1043" s="60">
        <f>EFEITO!$L$1043*EFEITO!$Z$951</f>
        <v>0</v>
      </c>
      <c r="L1043" s="60">
        <f>EFEITO!$N$1043*EFEITO!$AA$951</f>
        <v>0</v>
      </c>
      <c r="M1043" s="60">
        <f ca="1">$J$1043-EFEITO!$K$1043*EFEITO!$Y$1043</f>
        <v>31.385728083035701</v>
      </c>
      <c r="N1043" s="60">
        <f>$K$1043-EFEITO!$M$1043*EFEITO!$Z$1043</f>
        <v>0</v>
      </c>
      <c r="O1043" s="60">
        <f>$L$1043-EFEITO!$O$1043*EFEITO!$AA$1043</f>
        <v>0</v>
      </c>
      <c r="P1043" s="18"/>
      <c r="Q1043" s="18"/>
      <c r="R1043" s="18"/>
      <c r="S1043" s="18"/>
      <c r="T1043" s="18"/>
      <c r="U1043" s="18"/>
      <c r="V1043" s="18"/>
      <c r="W1043" s="18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1:36" ht="11.25" customHeight="1" x14ac:dyDescent="0.2">
      <c r="A1044" s="51" t="s">
        <v>56</v>
      </c>
      <c r="B1044" s="51" t="s">
        <v>41</v>
      </c>
      <c r="C1044" s="51" t="s">
        <v>42</v>
      </c>
      <c r="D1044" s="51" t="s">
        <v>45</v>
      </c>
      <c r="E1044" s="51" t="s">
        <v>53</v>
      </c>
      <c r="F1044" s="51" t="s">
        <v>25</v>
      </c>
      <c r="G1044" s="51" t="s">
        <v>25</v>
      </c>
      <c r="H1044" s="51" t="s">
        <v>25</v>
      </c>
      <c r="I1044" s="59">
        <v>44621</v>
      </c>
      <c r="J1044" s="60">
        <f ca="1">EFEITO!$J$1044*EFEITO!$Y$951</f>
        <v>237228.22777338687</v>
      </c>
      <c r="K1044" s="60">
        <f>EFEITO!$L$1044*EFEITO!$Z$951</f>
        <v>0</v>
      </c>
      <c r="L1044" s="60">
        <f>EFEITO!$N$1044*EFEITO!$AA$951</f>
        <v>0</v>
      </c>
      <c r="M1044" s="60">
        <f ca="1">$J$1044-EFEITO!$K$1044*EFEITO!$Y$1044</f>
        <v>4744.5645554677758</v>
      </c>
      <c r="N1044" s="60">
        <f>$K$1044-EFEITO!$M$1044*EFEITO!$Z$1044</f>
        <v>0</v>
      </c>
      <c r="O1044" s="60">
        <f>$L$1044-EFEITO!$O$1044*EFEITO!$AA$1044</f>
        <v>0</v>
      </c>
      <c r="P1044" s="18"/>
      <c r="Q1044" s="18"/>
      <c r="R1044" s="18"/>
      <c r="S1044" s="18"/>
      <c r="T1044" s="18"/>
      <c r="U1044" s="18"/>
      <c r="V1044" s="18"/>
      <c r="W1044" s="18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1:36" ht="11.25" customHeight="1" x14ac:dyDescent="0.2">
      <c r="A1045" s="51" t="s">
        <v>56</v>
      </c>
      <c r="B1045" s="51" t="s">
        <v>41</v>
      </c>
      <c r="C1045" s="51" t="s">
        <v>42</v>
      </c>
      <c r="D1045" s="51" t="s">
        <v>45</v>
      </c>
      <c r="E1045" s="51" t="s">
        <v>53</v>
      </c>
      <c r="F1045" s="51" t="s">
        <v>25</v>
      </c>
      <c r="G1045" s="51" t="s">
        <v>25</v>
      </c>
      <c r="H1045" s="51" t="s">
        <v>25</v>
      </c>
      <c r="I1045" s="59">
        <v>44621</v>
      </c>
      <c r="J1045" s="60">
        <f ca="1">EFEITO!$J$1045*EFEITO!$Y$951</f>
        <v>984.12876192569945</v>
      </c>
      <c r="K1045" s="60">
        <f>EFEITO!$L$1045*EFEITO!$Z$951</f>
        <v>0</v>
      </c>
      <c r="L1045" s="60">
        <f>EFEITO!$N$1045*EFEITO!$AA$951</f>
        <v>0</v>
      </c>
      <c r="M1045" s="60">
        <f ca="1">$J$1045-EFEITO!$K$1045*EFEITO!$Y$1045</f>
        <v>19.682575238514005</v>
      </c>
      <c r="N1045" s="60">
        <f>$K$1045-EFEITO!$M$1045*EFEITO!$Z$1045</f>
        <v>0</v>
      </c>
      <c r="O1045" s="60">
        <f>$L$1045-EFEITO!$O$1045*EFEITO!$AA$1045</f>
        <v>0</v>
      </c>
      <c r="P1045" s="18"/>
      <c r="Q1045" s="18"/>
      <c r="R1045" s="18"/>
      <c r="S1045" s="18"/>
      <c r="T1045" s="18"/>
      <c r="U1045" s="18"/>
      <c r="V1045" s="18"/>
      <c r="W1045" s="18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1:36" ht="11.25" customHeight="1" x14ac:dyDescent="0.2">
      <c r="A1046" s="51" t="s">
        <v>56</v>
      </c>
      <c r="B1046" s="51" t="s">
        <v>41</v>
      </c>
      <c r="C1046" s="51" t="s">
        <v>42</v>
      </c>
      <c r="D1046" s="51" t="s">
        <v>45</v>
      </c>
      <c r="E1046" s="51" t="s">
        <v>53</v>
      </c>
      <c r="F1046" s="51" t="s">
        <v>25</v>
      </c>
      <c r="G1046" s="51" t="s">
        <v>25</v>
      </c>
      <c r="H1046" s="51" t="s">
        <v>25</v>
      </c>
      <c r="I1046" s="59">
        <v>44621</v>
      </c>
      <c r="J1046" s="60">
        <f ca="1">EFEITO!$J$1046*EFEITO!$Y$951</f>
        <v>1569.286404151791</v>
      </c>
      <c r="K1046" s="60">
        <f>EFEITO!$L$1046*EFEITO!$Z$951</f>
        <v>0</v>
      </c>
      <c r="L1046" s="60">
        <f>EFEITO!$N$1046*EFEITO!$AA$951</f>
        <v>0</v>
      </c>
      <c r="M1046" s="60">
        <f ca="1">$J$1046-EFEITO!$K$1046*EFEITO!$Y$1046</f>
        <v>31.385728083035701</v>
      </c>
      <c r="N1046" s="60">
        <f>$K$1046-EFEITO!$M$1046*EFEITO!$Z$1046</f>
        <v>0</v>
      </c>
      <c r="O1046" s="60">
        <f>$L$1046-EFEITO!$O$1046*EFEITO!$AA$1046</f>
        <v>0</v>
      </c>
      <c r="P1046" s="18"/>
      <c r="Q1046" s="18"/>
      <c r="R1046" s="18"/>
      <c r="S1046" s="18"/>
      <c r="T1046" s="18"/>
      <c r="U1046" s="18"/>
      <c r="V1046" s="18"/>
      <c r="W1046" s="18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ht="11.25" customHeight="1" x14ac:dyDescent="0.2">
      <c r="A1047" s="51" t="s">
        <v>21</v>
      </c>
      <c r="B1047" s="51" t="s">
        <v>41</v>
      </c>
      <c r="C1047" s="51" t="s">
        <v>42</v>
      </c>
      <c r="D1047" s="51" t="s">
        <v>45</v>
      </c>
      <c r="E1047" s="51" t="s">
        <v>53</v>
      </c>
      <c r="F1047" s="51" t="s">
        <v>25</v>
      </c>
      <c r="G1047" s="51" t="s">
        <v>25</v>
      </c>
      <c r="H1047" s="51" t="s">
        <v>34</v>
      </c>
      <c r="I1047" s="59">
        <v>44287</v>
      </c>
      <c r="J1047" s="60">
        <f>EFEITO!$J$1047*EFEITO!$Y$978</f>
        <v>0</v>
      </c>
      <c r="K1047" s="60">
        <f ca="1">EFEITO!$L$1047*EFEITO!$Z$978</f>
        <v>25859.106842433153</v>
      </c>
      <c r="L1047" s="60">
        <f>EFEITO!$N$1047*EFEITO!$AA$978</f>
        <v>5087.0103879705039</v>
      </c>
      <c r="M1047" s="60">
        <f>$J$1047-EFEITO!$K$1047*EFEITO!$Y$1047</f>
        <v>0</v>
      </c>
      <c r="N1047" s="60">
        <f ca="1">$K$1047-EFEITO!$M$1047*EFEITO!$Z$1047</f>
        <v>517.1821368486635</v>
      </c>
      <c r="O1047" s="60">
        <f>$L$1047-EFEITO!$O$1047*EFEITO!$AA$1047</f>
        <v>101.74020775941062</v>
      </c>
      <c r="P1047" s="18"/>
      <c r="Q1047" s="18"/>
      <c r="R1047" s="18"/>
      <c r="S1047" s="18"/>
      <c r="T1047" s="18"/>
      <c r="U1047" s="18"/>
      <c r="V1047" s="18"/>
      <c r="W1047" s="18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1:36" ht="11.25" customHeight="1" x14ac:dyDescent="0.2">
      <c r="A1048" s="51" t="s">
        <v>21</v>
      </c>
      <c r="B1048" s="51" t="s">
        <v>41</v>
      </c>
      <c r="C1048" s="51" t="s">
        <v>42</v>
      </c>
      <c r="D1048" s="51" t="s">
        <v>45</v>
      </c>
      <c r="E1048" s="51" t="s">
        <v>53</v>
      </c>
      <c r="F1048" s="51" t="s">
        <v>25</v>
      </c>
      <c r="G1048" s="51" t="s">
        <v>25</v>
      </c>
      <c r="H1048" s="51" t="s">
        <v>34</v>
      </c>
      <c r="I1048" s="59">
        <v>44317</v>
      </c>
      <c r="J1048" s="60">
        <f>EFEITO!$J$1048*EFEITO!$Y$978</f>
        <v>0</v>
      </c>
      <c r="K1048" s="60">
        <f ca="1">EFEITO!$L$1048*EFEITO!$Z$978</f>
        <v>17075.832386144026</v>
      </c>
      <c r="L1048" s="60">
        <f>EFEITO!$N$1048*EFEITO!$AA$978</f>
        <v>3359.1622967046164</v>
      </c>
      <c r="M1048" s="60">
        <f>$J$1048-EFEITO!$K$1048*EFEITO!$Y$1048</f>
        <v>0</v>
      </c>
      <c r="N1048" s="60">
        <f ca="1">$K$1048-EFEITO!$M$1048*EFEITO!$Z$1048</f>
        <v>341.51664772288132</v>
      </c>
      <c r="O1048" s="60">
        <f>$L$1048-EFEITO!$O$1048*EFEITO!$AA$1048</f>
        <v>67.183245934092611</v>
      </c>
      <c r="P1048" s="18"/>
      <c r="Q1048" s="18"/>
      <c r="R1048" s="18"/>
      <c r="S1048" s="18"/>
      <c r="T1048" s="18"/>
      <c r="U1048" s="18"/>
      <c r="V1048" s="18"/>
      <c r="W1048" s="18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1:36" ht="11.25" customHeight="1" x14ac:dyDescent="0.2">
      <c r="A1049" s="51" t="s">
        <v>21</v>
      </c>
      <c r="B1049" s="51" t="s">
        <v>41</v>
      </c>
      <c r="C1049" s="51" t="s">
        <v>42</v>
      </c>
      <c r="D1049" s="51" t="s">
        <v>45</v>
      </c>
      <c r="E1049" s="51" t="s">
        <v>53</v>
      </c>
      <c r="F1049" s="51" t="s">
        <v>25</v>
      </c>
      <c r="G1049" s="51" t="s">
        <v>25</v>
      </c>
      <c r="H1049" s="51" t="s">
        <v>34</v>
      </c>
      <c r="I1049" s="59">
        <v>44348</v>
      </c>
      <c r="J1049" s="60">
        <f>EFEITO!$J$1049*EFEITO!$Y$978</f>
        <v>0</v>
      </c>
      <c r="K1049" s="60">
        <f ca="1">EFEITO!$L$1049*EFEITO!$Z$978</f>
        <v>15756.227644646726</v>
      </c>
      <c r="L1049" s="60">
        <f>EFEITO!$N$1049*EFEITO!$AA$978</f>
        <v>3099.5693003604215</v>
      </c>
      <c r="M1049" s="60">
        <f>$J$1049-EFEITO!$K$1049*EFEITO!$Y$1049</f>
        <v>0</v>
      </c>
      <c r="N1049" s="60">
        <f ca="1">$K$1049-EFEITO!$M$1049*EFEITO!$Z$1049</f>
        <v>315.12455289293575</v>
      </c>
      <c r="O1049" s="60">
        <f>$L$1049-EFEITO!$O$1049*EFEITO!$AA$1049</f>
        <v>61.991386007208803</v>
      </c>
      <c r="P1049" s="18"/>
      <c r="Q1049" s="18"/>
      <c r="R1049" s="18"/>
      <c r="S1049" s="18"/>
      <c r="T1049" s="18"/>
      <c r="U1049" s="18"/>
      <c r="V1049" s="18"/>
      <c r="W1049" s="18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1:36" ht="11.25" customHeight="1" x14ac:dyDescent="0.2">
      <c r="A1050" s="51" t="s">
        <v>21</v>
      </c>
      <c r="B1050" s="51" t="s">
        <v>41</v>
      </c>
      <c r="C1050" s="51" t="s">
        <v>42</v>
      </c>
      <c r="D1050" s="51" t="s">
        <v>45</v>
      </c>
      <c r="E1050" s="51" t="s">
        <v>53</v>
      </c>
      <c r="F1050" s="51" t="s">
        <v>25</v>
      </c>
      <c r="G1050" s="51" t="s">
        <v>25</v>
      </c>
      <c r="H1050" s="51" t="s">
        <v>34</v>
      </c>
      <c r="I1050" s="59">
        <v>44378</v>
      </c>
      <c r="J1050" s="60">
        <f>EFEITO!$J$1050*EFEITO!$Y$978</f>
        <v>0</v>
      </c>
      <c r="K1050" s="60">
        <f ca="1">EFEITO!$L$1050*EFEITO!$Z$978</f>
        <v>13273.238778681751</v>
      </c>
      <c r="L1050" s="60">
        <f>EFEITO!$N$1050*EFEITO!$AA$978</f>
        <v>2611.1150690776817</v>
      </c>
      <c r="M1050" s="60">
        <f>$J$1050-EFEITO!$K$1050*EFEITO!$Y$1050</f>
        <v>0</v>
      </c>
      <c r="N1050" s="60">
        <f ca="1">$K$1050-EFEITO!$M$1050*EFEITO!$Z$1050</f>
        <v>265.46477557363505</v>
      </c>
      <c r="O1050" s="60">
        <f>$L$1050-EFEITO!$O$1050*EFEITO!$AA$1050</f>
        <v>52.222301381554189</v>
      </c>
      <c r="P1050" s="18"/>
      <c r="Q1050" s="18"/>
      <c r="R1050" s="18"/>
      <c r="S1050" s="18"/>
      <c r="T1050" s="18"/>
      <c r="U1050" s="18"/>
      <c r="V1050" s="18"/>
      <c r="W1050" s="18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1:36" ht="11.25" customHeight="1" x14ac:dyDescent="0.2">
      <c r="A1051" s="51" t="s">
        <v>21</v>
      </c>
      <c r="B1051" s="51" t="s">
        <v>41</v>
      </c>
      <c r="C1051" s="51" t="s">
        <v>42</v>
      </c>
      <c r="D1051" s="51" t="s">
        <v>45</v>
      </c>
      <c r="E1051" s="51" t="s">
        <v>53</v>
      </c>
      <c r="F1051" s="51" t="s">
        <v>25</v>
      </c>
      <c r="G1051" s="51" t="s">
        <v>25</v>
      </c>
      <c r="H1051" s="51" t="s">
        <v>34</v>
      </c>
      <c r="I1051" s="59">
        <v>44409</v>
      </c>
      <c r="J1051" s="60">
        <f>EFEITO!$J$1051*EFEITO!$Y$978</f>
        <v>0</v>
      </c>
      <c r="K1051" s="60">
        <f ca="1">EFEITO!$L$1051*EFEITO!$Z$978</f>
        <v>15390.487611836194</v>
      </c>
      <c r="L1051" s="60">
        <f>EFEITO!$N$1051*EFEITO!$AA$978</f>
        <v>3027.6208236577827</v>
      </c>
      <c r="M1051" s="60">
        <f>$J$1051-EFEITO!$K$1051*EFEITO!$Y$1051</f>
        <v>0</v>
      </c>
      <c r="N1051" s="60">
        <f ca="1">$K$1051-EFEITO!$M$1051*EFEITO!$Z$1051</f>
        <v>307.80975223672613</v>
      </c>
      <c r="O1051" s="60">
        <f>$L$1051-EFEITO!$O$1051*EFEITO!$AA$1051</f>
        <v>60.552416473155972</v>
      </c>
      <c r="P1051" s="18"/>
      <c r="Q1051" s="18"/>
      <c r="R1051" s="18"/>
      <c r="S1051" s="18"/>
      <c r="T1051" s="18"/>
      <c r="U1051" s="18"/>
      <c r="V1051" s="18"/>
      <c r="W1051" s="18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1:36" ht="11.25" customHeight="1" x14ac:dyDescent="0.2">
      <c r="A1052" s="51" t="s">
        <v>21</v>
      </c>
      <c r="B1052" s="51" t="s">
        <v>41</v>
      </c>
      <c r="C1052" s="51" t="s">
        <v>42</v>
      </c>
      <c r="D1052" s="51" t="s">
        <v>45</v>
      </c>
      <c r="E1052" s="51" t="s">
        <v>53</v>
      </c>
      <c r="F1052" s="51" t="s">
        <v>25</v>
      </c>
      <c r="G1052" s="51" t="s">
        <v>25</v>
      </c>
      <c r="H1052" s="51" t="s">
        <v>34</v>
      </c>
      <c r="I1052" s="59">
        <v>44440</v>
      </c>
      <c r="J1052" s="60">
        <f>EFEITO!$J$1052*EFEITO!$Y$978</f>
        <v>0</v>
      </c>
      <c r="K1052" s="60">
        <f ca="1">EFEITO!$L$1052*EFEITO!$Z$978</f>
        <v>25908.729861960208</v>
      </c>
      <c r="L1052" s="60">
        <f>EFEITO!$N$1052*EFEITO!$AA$978</f>
        <v>5096.772241593475</v>
      </c>
      <c r="M1052" s="60">
        <f>$J$1052-EFEITO!$K$1052*EFEITO!$Y$1052</f>
        <v>0</v>
      </c>
      <c r="N1052" s="60">
        <f ca="1">$K$1052-EFEITO!$M$1052*EFEITO!$Z$1052</f>
        <v>518.17459723920547</v>
      </c>
      <c r="O1052" s="60">
        <f>$L$1052-EFEITO!$O$1052*EFEITO!$AA$1052</f>
        <v>101.93544483186997</v>
      </c>
      <c r="P1052" s="18"/>
      <c r="Q1052" s="18"/>
      <c r="R1052" s="18"/>
      <c r="S1052" s="18"/>
      <c r="T1052" s="18"/>
      <c r="U1052" s="18"/>
      <c r="V1052" s="18"/>
      <c r="W1052" s="18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ht="11.25" customHeight="1" x14ac:dyDescent="0.2">
      <c r="A1053" s="51" t="s">
        <v>27</v>
      </c>
      <c r="B1053" s="51" t="s">
        <v>41</v>
      </c>
      <c r="C1053" s="51" t="s">
        <v>42</v>
      </c>
      <c r="D1053" s="51" t="s">
        <v>45</v>
      </c>
      <c r="E1053" s="51" t="s">
        <v>53</v>
      </c>
      <c r="F1053" s="51" t="s">
        <v>25</v>
      </c>
      <c r="G1053" s="51" t="s">
        <v>25</v>
      </c>
      <c r="H1053" s="51" t="s">
        <v>34</v>
      </c>
      <c r="I1053" s="59">
        <v>44440</v>
      </c>
      <c r="J1053" s="60">
        <f>EFEITO!$J$1053*EFEITO!$Y$978</f>
        <v>0</v>
      </c>
      <c r="K1053" s="60">
        <f ca="1">EFEITO!$L$1053*EFEITO!$Z$978</f>
        <v>1738.6435730591159</v>
      </c>
      <c r="L1053" s="60">
        <f>EFEITO!$N$1053*EFEITO!$AA$978</f>
        <v>342.02642693817313</v>
      </c>
      <c r="M1053" s="60">
        <f>$J$1053-EFEITO!$K$1053*EFEITO!$Y$1053</f>
        <v>0</v>
      </c>
      <c r="N1053" s="60">
        <f ca="1">$K$1053-EFEITO!$M$1053*EFEITO!$Z$1053</f>
        <v>34.772871461182376</v>
      </c>
      <c r="O1053" s="60">
        <f>$L$1053-EFEITO!$O$1053*EFEITO!$AA$1053</f>
        <v>6.8405285387634649</v>
      </c>
      <c r="P1053" s="18"/>
      <c r="Q1053" s="18"/>
      <c r="R1053" s="18"/>
      <c r="S1053" s="18"/>
      <c r="T1053" s="18"/>
      <c r="U1053" s="18"/>
      <c r="V1053" s="18"/>
      <c r="W1053" s="18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1:36" ht="11.25" customHeight="1" x14ac:dyDescent="0.2">
      <c r="A1054" s="51" t="s">
        <v>21</v>
      </c>
      <c r="B1054" s="51" t="s">
        <v>41</v>
      </c>
      <c r="C1054" s="51" t="s">
        <v>42</v>
      </c>
      <c r="D1054" s="51" t="s">
        <v>45</v>
      </c>
      <c r="E1054" s="51" t="s">
        <v>53</v>
      </c>
      <c r="F1054" s="51" t="s">
        <v>25</v>
      </c>
      <c r="G1054" s="51" t="s">
        <v>25</v>
      </c>
      <c r="H1054" s="51" t="s">
        <v>34</v>
      </c>
      <c r="I1054" s="59">
        <v>44470</v>
      </c>
      <c r="J1054" s="60">
        <f>EFEITO!$J$1054*EFEITO!$Y$978</f>
        <v>0</v>
      </c>
      <c r="K1054" s="60">
        <f ca="1">EFEITO!$L$1054*EFEITO!$Z$978</f>
        <v>27380.879441262907</v>
      </c>
      <c r="L1054" s="60">
        <f>EFEITO!$N$1054*EFEITO!$AA$978</f>
        <v>5386.3738990749507</v>
      </c>
      <c r="M1054" s="60">
        <f>$J$1054-EFEITO!$K$1054*EFEITO!$Y$1054</f>
        <v>0</v>
      </c>
      <c r="N1054" s="60">
        <f ca="1">$K$1054-EFEITO!$M$1054*EFEITO!$Z$1054</f>
        <v>547.61758882525828</v>
      </c>
      <c r="O1054" s="60">
        <f>$L$1054-EFEITO!$O$1054*EFEITO!$AA$1054</f>
        <v>107.72747798149885</v>
      </c>
      <c r="P1054" s="18"/>
      <c r="Q1054" s="18"/>
      <c r="R1054" s="18"/>
      <c r="S1054" s="18"/>
      <c r="T1054" s="18"/>
      <c r="U1054" s="18"/>
      <c r="V1054" s="18"/>
      <c r="W1054" s="18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1:36" ht="11.25" customHeight="1" x14ac:dyDescent="0.2">
      <c r="A1055" s="51" t="s">
        <v>21</v>
      </c>
      <c r="B1055" s="51" t="s">
        <v>41</v>
      </c>
      <c r="C1055" s="51" t="s">
        <v>42</v>
      </c>
      <c r="D1055" s="51" t="s">
        <v>45</v>
      </c>
      <c r="E1055" s="51" t="s">
        <v>53</v>
      </c>
      <c r="F1055" s="51" t="s">
        <v>25</v>
      </c>
      <c r="G1055" s="51" t="s">
        <v>25</v>
      </c>
      <c r="H1055" s="51" t="s">
        <v>34</v>
      </c>
      <c r="I1055" s="59">
        <v>44501</v>
      </c>
      <c r="J1055" s="60">
        <f>EFEITO!$J$1055*EFEITO!$Y$978</f>
        <v>0</v>
      </c>
      <c r="K1055" s="60">
        <f ca="1">EFEITO!$L$1055*EFEITO!$Z$978</f>
        <v>31449.967042481596</v>
      </c>
      <c r="L1055" s="60">
        <f>EFEITO!$N$1055*EFEITO!$AA$978</f>
        <v>6186.845896158582</v>
      </c>
      <c r="M1055" s="60">
        <f>$J$1055-EFEITO!$K$1055*EFEITO!$Y$1055</f>
        <v>0</v>
      </c>
      <c r="N1055" s="60">
        <f ca="1">$K$1055-EFEITO!$M$1055*EFEITO!$Z$1055</f>
        <v>628.99934084963388</v>
      </c>
      <c r="O1055" s="60">
        <f>$L$1055-EFEITO!$O$1055*EFEITO!$AA$1055</f>
        <v>123.73691792317186</v>
      </c>
      <c r="P1055" s="18"/>
      <c r="Q1055" s="18"/>
      <c r="R1055" s="18"/>
      <c r="S1055" s="18"/>
      <c r="T1055" s="18"/>
      <c r="U1055" s="18"/>
      <c r="V1055" s="18"/>
      <c r="W1055" s="18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1:36" ht="11.25" customHeight="1" x14ac:dyDescent="0.2">
      <c r="A1056" s="51" t="s">
        <v>21</v>
      </c>
      <c r="B1056" s="51" t="s">
        <v>41</v>
      </c>
      <c r="C1056" s="51" t="s">
        <v>42</v>
      </c>
      <c r="D1056" s="51" t="s">
        <v>45</v>
      </c>
      <c r="E1056" s="51" t="s">
        <v>53</v>
      </c>
      <c r="F1056" s="51" t="s">
        <v>25</v>
      </c>
      <c r="G1056" s="51" t="s">
        <v>25</v>
      </c>
      <c r="H1056" s="51" t="s">
        <v>34</v>
      </c>
      <c r="I1056" s="59">
        <v>44531</v>
      </c>
      <c r="J1056" s="60">
        <f>EFEITO!$J$1056*EFEITO!$Y$978</f>
        <v>0</v>
      </c>
      <c r="K1056" s="60">
        <f ca="1">EFEITO!$L$1056*EFEITO!$Z$978</f>
        <v>30121.172852923733</v>
      </c>
      <c r="L1056" s="60">
        <f>EFEITO!$N$1056*EFEITO!$AA$978</f>
        <v>5925.4451491434666</v>
      </c>
      <c r="M1056" s="60">
        <f>$J$1056-EFEITO!$K$1056*EFEITO!$Y$1056</f>
        <v>0</v>
      </c>
      <c r="N1056" s="60">
        <f ca="1">$K$1056-EFEITO!$M$1056*EFEITO!$Z$1056</f>
        <v>602.42345705847765</v>
      </c>
      <c r="O1056" s="60">
        <f>$L$1056-EFEITO!$O$1056*EFEITO!$AA$1056</f>
        <v>118.50890298286959</v>
      </c>
      <c r="P1056" s="18"/>
      <c r="Q1056" s="18"/>
      <c r="R1056" s="18"/>
      <c r="S1056" s="18"/>
      <c r="T1056" s="18"/>
      <c r="U1056" s="18"/>
      <c r="V1056" s="18"/>
      <c r="W1056" s="18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1:36" ht="11.25" customHeight="1" x14ac:dyDescent="0.2">
      <c r="A1057" s="51" t="s">
        <v>21</v>
      </c>
      <c r="B1057" s="51" t="s">
        <v>41</v>
      </c>
      <c r="C1057" s="51" t="s">
        <v>42</v>
      </c>
      <c r="D1057" s="51" t="s">
        <v>45</v>
      </c>
      <c r="E1057" s="51" t="s">
        <v>53</v>
      </c>
      <c r="F1057" s="51" t="s">
        <v>25</v>
      </c>
      <c r="G1057" s="51" t="s">
        <v>25</v>
      </c>
      <c r="H1057" s="51" t="s">
        <v>34</v>
      </c>
      <c r="I1057" s="59">
        <v>44562</v>
      </c>
      <c r="J1057" s="60">
        <f>EFEITO!$J$1057*EFEITO!$Y$978</f>
        <v>0</v>
      </c>
      <c r="K1057" s="60">
        <f ca="1">EFEITO!$L$1057*EFEITO!$Z$978</f>
        <v>33864.953992798379</v>
      </c>
      <c r="L1057" s="60">
        <f>EFEITO!$N$1057*EFEITO!$AA$978</f>
        <v>6661.9227724765096</v>
      </c>
      <c r="M1057" s="60">
        <f>$J$1057-EFEITO!$K$1057*EFEITO!$Y$1057</f>
        <v>0</v>
      </c>
      <c r="N1057" s="60">
        <f ca="1">$K$1057-EFEITO!$M$1057*EFEITO!$Z$1057</f>
        <v>677.29907985596947</v>
      </c>
      <c r="O1057" s="60">
        <f>$L$1057-EFEITO!$O$1057*EFEITO!$AA$1057</f>
        <v>133.2384554495311</v>
      </c>
      <c r="P1057" s="18"/>
      <c r="Q1057" s="18"/>
      <c r="R1057" s="18"/>
      <c r="S1057" s="18"/>
      <c r="T1057" s="18"/>
      <c r="U1057" s="18"/>
      <c r="V1057" s="18"/>
      <c r="W1057" s="18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1:36" ht="11.25" customHeight="1" x14ac:dyDescent="0.2">
      <c r="A1058" s="51" t="s">
        <v>27</v>
      </c>
      <c r="B1058" s="51" t="s">
        <v>41</v>
      </c>
      <c r="C1058" s="51" t="s">
        <v>42</v>
      </c>
      <c r="D1058" s="51" t="s">
        <v>45</v>
      </c>
      <c r="E1058" s="51" t="s">
        <v>53</v>
      </c>
      <c r="F1058" s="51" t="s">
        <v>25</v>
      </c>
      <c r="G1058" s="51" t="s">
        <v>25</v>
      </c>
      <c r="H1058" s="51" t="s">
        <v>34</v>
      </c>
      <c r="I1058" s="59">
        <v>44562</v>
      </c>
      <c r="J1058" s="60">
        <f>EFEITO!$J$1058*EFEITO!$Y$978</f>
        <v>0</v>
      </c>
      <c r="K1058" s="60">
        <f ca="1">EFEITO!$L$1058*EFEITO!$Z$978</f>
        <v>367.57792242264611</v>
      </c>
      <c r="L1058" s="60">
        <f>EFEITO!$N$1058*EFEITO!$AA$978</f>
        <v>72.310026836823084</v>
      </c>
      <c r="M1058" s="60">
        <f>$J$1058-EFEITO!$K$1058*EFEITO!$Y$1058</f>
        <v>0</v>
      </c>
      <c r="N1058" s="60">
        <f ca="1">$K$1058-EFEITO!$M$1058*EFEITO!$Z$1058</f>
        <v>7.3515584484529199</v>
      </c>
      <c r="O1058" s="60">
        <f>$L$1058-EFEITO!$O$1058*EFEITO!$AA$1058</f>
        <v>1.4462005367364696</v>
      </c>
      <c r="P1058" s="18"/>
      <c r="Q1058" s="18"/>
      <c r="R1058" s="18"/>
      <c r="S1058" s="18"/>
      <c r="T1058" s="18"/>
      <c r="U1058" s="18"/>
      <c r="V1058" s="18"/>
      <c r="W1058" s="18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ht="11.25" customHeight="1" x14ac:dyDescent="0.2">
      <c r="A1059" s="51" t="s">
        <v>28</v>
      </c>
      <c r="B1059" s="51" t="s">
        <v>41</v>
      </c>
      <c r="C1059" s="51" t="s">
        <v>42</v>
      </c>
      <c r="D1059" s="51" t="s">
        <v>45</v>
      </c>
      <c r="E1059" s="51" t="s">
        <v>53</v>
      </c>
      <c r="F1059" s="51" t="s">
        <v>25</v>
      </c>
      <c r="G1059" s="51" t="s">
        <v>25</v>
      </c>
      <c r="H1059" s="51" t="s">
        <v>34</v>
      </c>
      <c r="I1059" s="59">
        <v>44562</v>
      </c>
      <c r="J1059" s="60">
        <f>EFEITO!$J$1059*EFEITO!$Y$978</f>
        <v>0</v>
      </c>
      <c r="K1059" s="60">
        <f ca="1">EFEITO!$L$1059*EFEITO!$Z$978</f>
        <v>472.33763031310025</v>
      </c>
      <c r="L1059" s="60">
        <f>EFEITO!$N$1059*EFEITO!$AA$978</f>
        <v>92.918384485317659</v>
      </c>
      <c r="M1059" s="60">
        <f>$J$1059-EFEITO!$K$1059*EFEITO!$Y$1059</f>
        <v>0</v>
      </c>
      <c r="N1059" s="60">
        <f ca="1">$K$1059-EFEITO!$M$1059*EFEITO!$Z$1059</f>
        <v>9.4467526062620664</v>
      </c>
      <c r="O1059" s="60">
        <f>$L$1059-EFEITO!$O$1059*EFEITO!$AA$1059</f>
        <v>1.8583676897063555</v>
      </c>
      <c r="P1059" s="18"/>
      <c r="Q1059" s="18"/>
      <c r="R1059" s="18"/>
      <c r="S1059" s="18"/>
      <c r="T1059" s="18"/>
      <c r="U1059" s="18"/>
      <c r="V1059" s="18"/>
      <c r="W1059" s="18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1:36" ht="11.25" customHeight="1" x14ac:dyDescent="0.2">
      <c r="A1060" s="51" t="s">
        <v>21</v>
      </c>
      <c r="B1060" s="51" t="s">
        <v>41</v>
      </c>
      <c r="C1060" s="51" t="s">
        <v>42</v>
      </c>
      <c r="D1060" s="51" t="s">
        <v>45</v>
      </c>
      <c r="E1060" s="51" t="s">
        <v>53</v>
      </c>
      <c r="F1060" s="51" t="s">
        <v>25</v>
      </c>
      <c r="G1060" s="51" t="s">
        <v>25</v>
      </c>
      <c r="H1060" s="51" t="s">
        <v>34</v>
      </c>
      <c r="I1060" s="59">
        <v>44593</v>
      </c>
      <c r="J1060" s="60">
        <f>EFEITO!$J$1060*EFEITO!$Y$978</f>
        <v>0</v>
      </c>
      <c r="K1060" s="60">
        <f ca="1">EFEITO!$L$1060*EFEITO!$Z$978</f>
        <v>29658.024670671199</v>
      </c>
      <c r="L1060" s="60">
        <f>EFEITO!$N$1060*EFEITO!$AA$978</f>
        <v>5834.3345153290702</v>
      </c>
      <c r="M1060" s="60">
        <f>$J$1060-EFEITO!$K$1060*EFEITO!$Y$1060</f>
        <v>0</v>
      </c>
      <c r="N1060" s="60">
        <f ca="1">$K$1060-EFEITO!$M$1060*EFEITO!$Z$1060</f>
        <v>593.16049341342296</v>
      </c>
      <c r="O1060" s="60">
        <f>$L$1060-EFEITO!$O$1060*EFEITO!$AA$1060</f>
        <v>116.68669030658202</v>
      </c>
      <c r="P1060" s="18"/>
      <c r="Q1060" s="18"/>
      <c r="R1060" s="18"/>
      <c r="S1060" s="18"/>
      <c r="T1060" s="18"/>
      <c r="U1060" s="18"/>
      <c r="V1060" s="18"/>
      <c r="W1060" s="18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1:36" ht="11.25" customHeight="1" x14ac:dyDescent="0.2">
      <c r="A1061" s="51" t="s">
        <v>27</v>
      </c>
      <c r="B1061" s="51" t="s">
        <v>41</v>
      </c>
      <c r="C1061" s="51" t="s">
        <v>42</v>
      </c>
      <c r="D1061" s="51" t="s">
        <v>45</v>
      </c>
      <c r="E1061" s="51" t="s">
        <v>53</v>
      </c>
      <c r="F1061" s="51" t="s">
        <v>25</v>
      </c>
      <c r="G1061" s="51" t="s">
        <v>25</v>
      </c>
      <c r="H1061" s="51" t="s">
        <v>34</v>
      </c>
      <c r="I1061" s="59">
        <v>44593</v>
      </c>
      <c r="J1061" s="60">
        <f>EFEITO!$J$1061*EFEITO!$Y$978</f>
        <v>0</v>
      </c>
      <c r="K1061" s="60">
        <f ca="1">EFEITO!$L$1061*EFEITO!$Z$978</f>
        <v>150.70694819328492</v>
      </c>
      <c r="L1061" s="60">
        <f>EFEITO!$N$1061*EFEITO!$AA$978</f>
        <v>29.647111003097464</v>
      </c>
      <c r="M1061" s="60">
        <f>$J$1061-EFEITO!$K$1061*EFEITO!$Y$1061</f>
        <v>0</v>
      </c>
      <c r="N1061" s="60">
        <f ca="1">$K$1061-EFEITO!$M$1061*EFEITO!$Z$1061</f>
        <v>3.0141389638657188</v>
      </c>
      <c r="O1061" s="60">
        <f>$L$1061-EFEITO!$O$1061*EFEITO!$AA$1061</f>
        <v>0.59294222006195341</v>
      </c>
      <c r="P1061" s="18"/>
      <c r="Q1061" s="18"/>
      <c r="R1061" s="18"/>
      <c r="S1061" s="18"/>
      <c r="T1061" s="18"/>
      <c r="U1061" s="18"/>
      <c r="V1061" s="18"/>
      <c r="W1061" s="18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1:36" ht="11.25" customHeight="1" x14ac:dyDescent="0.2">
      <c r="A1062" s="51" t="s">
        <v>28</v>
      </c>
      <c r="B1062" s="51" t="s">
        <v>41</v>
      </c>
      <c r="C1062" s="51" t="s">
        <v>42</v>
      </c>
      <c r="D1062" s="51" t="s">
        <v>45</v>
      </c>
      <c r="E1062" s="51" t="s">
        <v>53</v>
      </c>
      <c r="F1062" s="51" t="s">
        <v>25</v>
      </c>
      <c r="G1062" s="51" t="s">
        <v>25</v>
      </c>
      <c r="H1062" s="51" t="s">
        <v>34</v>
      </c>
      <c r="I1062" s="59">
        <v>44593</v>
      </c>
      <c r="J1062" s="60">
        <f>EFEITO!$J$1062*EFEITO!$Y$978</f>
        <v>0</v>
      </c>
      <c r="K1062" s="60">
        <f ca="1">EFEITO!$L$1062*EFEITO!$Z$978</f>
        <v>698.39805260302762</v>
      </c>
      <c r="L1062" s="60">
        <f>EFEITO!$N$1062*EFEITO!$AA$978</f>
        <v>137.38905098996386</v>
      </c>
      <c r="M1062" s="60">
        <f>$J$1062-EFEITO!$K$1062*EFEITO!$Y$1062</f>
        <v>0</v>
      </c>
      <c r="N1062" s="60">
        <f ca="1">$K$1062-EFEITO!$M$1062*EFEITO!$Z$1062</f>
        <v>13.967961052060673</v>
      </c>
      <c r="O1062" s="60">
        <f>$L$1062-EFEITO!$O$1062*EFEITO!$AA$1062</f>
        <v>2.7477810197993051</v>
      </c>
      <c r="P1062" s="18"/>
      <c r="Q1062" s="18"/>
      <c r="R1062" s="18"/>
      <c r="S1062" s="18"/>
      <c r="T1062" s="18"/>
      <c r="U1062" s="18"/>
      <c r="V1062" s="18"/>
      <c r="W1062" s="18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1:36" ht="11.25" customHeight="1" x14ac:dyDescent="0.2">
      <c r="A1063" s="51" t="s">
        <v>56</v>
      </c>
      <c r="B1063" s="51" t="s">
        <v>41</v>
      </c>
      <c r="C1063" s="51" t="s">
        <v>42</v>
      </c>
      <c r="D1063" s="51" t="s">
        <v>45</v>
      </c>
      <c r="E1063" s="51" t="s">
        <v>53</v>
      </c>
      <c r="F1063" s="51" t="s">
        <v>25</v>
      </c>
      <c r="G1063" s="51" t="s">
        <v>25</v>
      </c>
      <c r="H1063" s="51" t="s">
        <v>34</v>
      </c>
      <c r="I1063" s="59">
        <v>44621</v>
      </c>
      <c r="J1063" s="60">
        <f>EFEITO!$J$1063*EFEITO!$Y$978</f>
        <v>0</v>
      </c>
      <c r="K1063" s="60">
        <f ca="1">EFEITO!$L$1063*EFEITO!$Z$978</f>
        <v>29658.024670671199</v>
      </c>
      <c r="L1063" s="60">
        <f>EFEITO!$N$1063*EFEITO!$AA$978</f>
        <v>5834.3345153290702</v>
      </c>
      <c r="M1063" s="60">
        <f>$J$1063-EFEITO!$K$1063*EFEITO!$Y$1063</f>
        <v>0</v>
      </c>
      <c r="N1063" s="60">
        <f ca="1">$K$1063-EFEITO!$M$1063*EFEITO!$Z$1063</f>
        <v>593.16049341342296</v>
      </c>
      <c r="O1063" s="60">
        <f>$L$1063-EFEITO!$O$1063*EFEITO!$AA$1063</f>
        <v>116.68669030658202</v>
      </c>
      <c r="P1063" s="18"/>
      <c r="Q1063" s="18"/>
      <c r="R1063" s="18"/>
      <c r="S1063" s="18"/>
      <c r="T1063" s="18"/>
      <c r="U1063" s="18"/>
      <c r="V1063" s="18"/>
      <c r="W1063" s="18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1:36" ht="11.25" customHeight="1" x14ac:dyDescent="0.2">
      <c r="A1064" s="51" t="s">
        <v>56</v>
      </c>
      <c r="B1064" s="51" t="s">
        <v>41</v>
      </c>
      <c r="C1064" s="51" t="s">
        <v>42</v>
      </c>
      <c r="D1064" s="51" t="s">
        <v>45</v>
      </c>
      <c r="E1064" s="51" t="s">
        <v>53</v>
      </c>
      <c r="F1064" s="51" t="s">
        <v>25</v>
      </c>
      <c r="G1064" s="51" t="s">
        <v>25</v>
      </c>
      <c r="H1064" s="51" t="s">
        <v>34</v>
      </c>
      <c r="I1064" s="59">
        <v>44621</v>
      </c>
      <c r="J1064" s="60">
        <f>EFEITO!$J$1064*EFEITO!$Y$978</f>
        <v>0</v>
      </c>
      <c r="K1064" s="60">
        <f ca="1">EFEITO!$L$1064*EFEITO!$Z$978</f>
        <v>150.70694819328492</v>
      </c>
      <c r="L1064" s="60">
        <f>EFEITO!$N$1064*EFEITO!$AA$978</f>
        <v>29.647111003097464</v>
      </c>
      <c r="M1064" s="60">
        <f>$J$1064-EFEITO!$K$1064*EFEITO!$Y$1064</f>
        <v>0</v>
      </c>
      <c r="N1064" s="60">
        <f ca="1">$K$1064-EFEITO!$M$1064*EFEITO!$Z$1064</f>
        <v>3.0141389638657188</v>
      </c>
      <c r="O1064" s="60">
        <f>$L$1064-EFEITO!$O$1064*EFEITO!$AA$1064</f>
        <v>0.59294222006195341</v>
      </c>
      <c r="P1064" s="18"/>
      <c r="Q1064" s="18"/>
      <c r="R1064" s="18"/>
      <c r="S1064" s="18"/>
      <c r="T1064" s="18"/>
      <c r="U1064" s="18"/>
      <c r="V1064" s="18"/>
      <c r="W1064" s="18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ht="11.25" customHeight="1" x14ac:dyDescent="0.2">
      <c r="A1065" s="51" t="s">
        <v>56</v>
      </c>
      <c r="B1065" s="51" t="s">
        <v>41</v>
      </c>
      <c r="C1065" s="51" t="s">
        <v>42</v>
      </c>
      <c r="D1065" s="51" t="s">
        <v>45</v>
      </c>
      <c r="E1065" s="51" t="s">
        <v>53</v>
      </c>
      <c r="F1065" s="51" t="s">
        <v>25</v>
      </c>
      <c r="G1065" s="51" t="s">
        <v>25</v>
      </c>
      <c r="H1065" s="51" t="s">
        <v>34</v>
      </c>
      <c r="I1065" s="59">
        <v>44621</v>
      </c>
      <c r="J1065" s="60">
        <f>EFEITO!$J$1065*EFEITO!$Y$978</f>
        <v>0</v>
      </c>
      <c r="K1065" s="60">
        <f ca="1">EFEITO!$L$1065*EFEITO!$Z$978</f>
        <v>698.39805260302762</v>
      </c>
      <c r="L1065" s="60">
        <f>EFEITO!$N$1065*EFEITO!$AA$978</f>
        <v>137.38905098996386</v>
      </c>
      <c r="M1065" s="60">
        <f>$J$1065-EFEITO!$K$1065*EFEITO!$Y$1065</f>
        <v>0</v>
      </c>
      <c r="N1065" s="60">
        <f ca="1">$K$1065-EFEITO!$M$1065*EFEITO!$Z$1065</f>
        <v>13.967961052060673</v>
      </c>
      <c r="O1065" s="60">
        <f>$L$1065-EFEITO!$O$1065*EFEITO!$AA$1065</f>
        <v>2.7477810197993051</v>
      </c>
      <c r="P1065" s="18"/>
      <c r="Q1065" s="18"/>
      <c r="R1065" s="18"/>
      <c r="S1065" s="18"/>
      <c r="T1065" s="18"/>
      <c r="U1065" s="18"/>
      <c r="V1065" s="18"/>
      <c r="W1065" s="18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1:36" ht="11.25" customHeight="1" x14ac:dyDescent="0.2">
      <c r="A1066" s="51" t="s">
        <v>21</v>
      </c>
      <c r="B1066" s="51" t="s">
        <v>41</v>
      </c>
      <c r="C1066" s="51" t="s">
        <v>42</v>
      </c>
      <c r="D1066" s="51" t="s">
        <v>45</v>
      </c>
      <c r="E1066" s="51" t="s">
        <v>25</v>
      </c>
      <c r="F1066" s="51" t="s">
        <v>25</v>
      </c>
      <c r="G1066" s="51" t="s">
        <v>25</v>
      </c>
      <c r="H1066" s="51" t="s">
        <v>35</v>
      </c>
      <c r="I1066" s="59">
        <v>44287</v>
      </c>
      <c r="J1066" s="60">
        <f>EFEITO!$J$1066*EFEITO!$Y$922</f>
        <v>0</v>
      </c>
      <c r="K1066" s="60">
        <f ca="1">EFEITO!$L$1066*EFEITO!$Z$922</f>
        <v>89345.598723986564</v>
      </c>
      <c r="L1066" s="60">
        <f>EFEITO!$N$1066*EFEITO!$AA$922</f>
        <v>306689.32923417934</v>
      </c>
      <c r="M1066" s="60">
        <f>$J$1066-EFEITO!$K$1066*EFEITO!$Y$1066</f>
        <v>0</v>
      </c>
      <c r="N1066" s="60">
        <f ca="1">$K$1066-EFEITO!$M$1066*EFEITO!$Z$1066</f>
        <v>1786.9119744797499</v>
      </c>
      <c r="O1066" s="60">
        <f>$L$1066-EFEITO!$O$1066*EFEITO!$AA$1066</f>
        <v>6133.7865846836357</v>
      </c>
      <c r="P1066" s="18"/>
      <c r="Q1066" s="18"/>
      <c r="R1066" s="18"/>
      <c r="S1066" s="18"/>
      <c r="T1066" s="18"/>
      <c r="U1066" s="18"/>
      <c r="V1066" s="18"/>
      <c r="W1066" s="18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1:36" ht="11.25" customHeight="1" x14ac:dyDescent="0.2">
      <c r="A1067" s="51" t="s">
        <v>21</v>
      </c>
      <c r="B1067" s="51" t="s">
        <v>41</v>
      </c>
      <c r="C1067" s="51" t="s">
        <v>42</v>
      </c>
      <c r="D1067" s="51" t="s">
        <v>45</v>
      </c>
      <c r="E1067" s="51" t="s">
        <v>25</v>
      </c>
      <c r="F1067" s="51" t="s">
        <v>25</v>
      </c>
      <c r="G1067" s="51" t="s">
        <v>25</v>
      </c>
      <c r="H1067" s="51" t="s">
        <v>35</v>
      </c>
      <c r="I1067" s="59">
        <v>44317</v>
      </c>
      <c r="J1067" s="60">
        <f>EFEITO!$J$1067*EFEITO!$Y$922</f>
        <v>0</v>
      </c>
      <c r="K1067" s="60">
        <f ca="1">EFEITO!$L$1067*EFEITO!$Z$922</f>
        <v>50886.8251444864</v>
      </c>
      <c r="L1067" s="60">
        <f>EFEITO!$N$1067*EFEITO!$AA$922</f>
        <v>174675.04268041413</v>
      </c>
      <c r="M1067" s="60">
        <f>$J$1067-EFEITO!$K$1067*EFEITO!$Y$1067</f>
        <v>0</v>
      </c>
      <c r="N1067" s="60">
        <f ca="1">$K$1067-EFEITO!$M$1067*EFEITO!$Z$1067</f>
        <v>1017.7365028897329</v>
      </c>
      <c r="O1067" s="60">
        <f>$L$1067-EFEITO!$O$1067*EFEITO!$AA$1067</f>
        <v>3493.5008536083042</v>
      </c>
      <c r="P1067" s="18"/>
      <c r="Q1067" s="18"/>
      <c r="R1067" s="18"/>
      <c r="S1067" s="18"/>
      <c r="T1067" s="18"/>
      <c r="U1067" s="18"/>
      <c r="V1067" s="18"/>
      <c r="W1067" s="18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1:36" ht="11.25" customHeight="1" x14ac:dyDescent="0.2">
      <c r="A1068" s="51" t="s">
        <v>27</v>
      </c>
      <c r="B1068" s="51" t="s">
        <v>41</v>
      </c>
      <c r="C1068" s="51" t="s">
        <v>42</v>
      </c>
      <c r="D1068" s="51" t="s">
        <v>45</v>
      </c>
      <c r="E1068" s="51" t="s">
        <v>25</v>
      </c>
      <c r="F1068" s="51" t="s">
        <v>25</v>
      </c>
      <c r="G1068" s="51" t="s">
        <v>25</v>
      </c>
      <c r="H1068" s="51" t="s">
        <v>35</v>
      </c>
      <c r="I1068" s="59">
        <v>44317</v>
      </c>
      <c r="J1068" s="60">
        <f>EFEITO!$J$1068*EFEITO!$Y$922</f>
        <v>0</v>
      </c>
      <c r="K1068" s="60">
        <f ca="1">EFEITO!$L$1068*EFEITO!$Z$922</f>
        <v>62.407113241448094</v>
      </c>
      <c r="L1068" s="60">
        <f>EFEITO!$N$1068*EFEITO!$AA$922</f>
        <v>214.21979339562915</v>
      </c>
      <c r="M1068" s="60">
        <f>$J$1068-EFEITO!$K$1068*EFEITO!$Y$1068</f>
        <v>0</v>
      </c>
      <c r="N1068" s="60">
        <f ca="1">$K$1068-EFEITO!$M$1068*EFEITO!$Z$1068</f>
        <v>1.2481422648289637</v>
      </c>
      <c r="O1068" s="60">
        <f>$L$1068-EFEITO!$O$1068*EFEITO!$AA$1068</f>
        <v>4.2843958679125933</v>
      </c>
      <c r="P1068" s="18"/>
      <c r="Q1068" s="18"/>
      <c r="R1068" s="18"/>
      <c r="S1068" s="18"/>
      <c r="T1068" s="18"/>
      <c r="U1068" s="18"/>
      <c r="V1068" s="18"/>
      <c r="W1068" s="18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1:36" ht="11.25" customHeight="1" x14ac:dyDescent="0.2">
      <c r="A1069" s="51" t="s">
        <v>28</v>
      </c>
      <c r="B1069" s="51" t="s">
        <v>41</v>
      </c>
      <c r="C1069" s="51" t="s">
        <v>42</v>
      </c>
      <c r="D1069" s="51" t="s">
        <v>45</v>
      </c>
      <c r="E1069" s="51" t="s">
        <v>25</v>
      </c>
      <c r="F1069" s="51" t="s">
        <v>25</v>
      </c>
      <c r="G1069" s="51" t="s">
        <v>25</v>
      </c>
      <c r="H1069" s="51" t="s">
        <v>35</v>
      </c>
      <c r="I1069" s="59">
        <v>44317</v>
      </c>
      <c r="J1069" s="60">
        <f>EFEITO!$J$1069*EFEITO!$Y$922</f>
        <v>0</v>
      </c>
      <c r="K1069" s="60">
        <f ca="1">EFEITO!$L$1069*EFEITO!$Z$922</f>
        <v>1291.5672144594694</v>
      </c>
      <c r="L1069" s="60">
        <f>EFEITO!$N$1069*EFEITO!$AA$922</f>
        <v>4433.4571408170414</v>
      </c>
      <c r="M1069" s="60">
        <f>$J$1069-EFEITO!$K$1069*EFEITO!$Y$1069</f>
        <v>0</v>
      </c>
      <c r="N1069" s="60">
        <f ca="1">$K$1069-EFEITO!$M$1069*EFEITO!$Z$1069</f>
        <v>25.831344289189474</v>
      </c>
      <c r="O1069" s="60">
        <f>$L$1069-EFEITO!$O$1069*EFEITO!$AA$1069</f>
        <v>88.669142816341264</v>
      </c>
      <c r="P1069" s="18"/>
      <c r="Q1069" s="18"/>
      <c r="R1069" s="18"/>
      <c r="S1069" s="18"/>
      <c r="T1069" s="18"/>
      <c r="U1069" s="18"/>
      <c r="V1069" s="18"/>
      <c r="W1069" s="18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1:36" ht="11.25" customHeight="1" x14ac:dyDescent="0.2">
      <c r="A1070" s="51" t="s">
        <v>21</v>
      </c>
      <c r="B1070" s="51" t="s">
        <v>41</v>
      </c>
      <c r="C1070" s="51" t="s">
        <v>42</v>
      </c>
      <c r="D1070" s="51" t="s">
        <v>45</v>
      </c>
      <c r="E1070" s="51" t="s">
        <v>25</v>
      </c>
      <c r="F1070" s="51" t="s">
        <v>25</v>
      </c>
      <c r="G1070" s="51" t="s">
        <v>25</v>
      </c>
      <c r="H1070" s="51" t="s">
        <v>35</v>
      </c>
      <c r="I1070" s="59">
        <v>44348</v>
      </c>
      <c r="J1070" s="60">
        <f>EFEITO!$J$1070*EFEITO!$Y$922</f>
        <v>0</v>
      </c>
      <c r="K1070" s="60">
        <f ca="1">EFEITO!$L$1070*EFEITO!$Z$922</f>
        <v>51866.746837196391</v>
      </c>
      <c r="L1070" s="60">
        <f>EFEITO!$N$1070*EFEITO!$AA$922</f>
        <v>178038.73972796177</v>
      </c>
      <c r="M1070" s="60">
        <f>$J$1070-EFEITO!$K$1070*EFEITO!$Y$1070</f>
        <v>0</v>
      </c>
      <c r="N1070" s="60">
        <f ca="1">$K$1070-EFEITO!$M$1070*EFEITO!$Z$1070</f>
        <v>1037.3349367439296</v>
      </c>
      <c r="O1070" s="60">
        <f>$L$1070-EFEITO!$O$1070*EFEITO!$AA$1070</f>
        <v>3560.7747945592564</v>
      </c>
      <c r="P1070" s="18"/>
      <c r="Q1070" s="18"/>
      <c r="R1070" s="18"/>
      <c r="S1070" s="18"/>
      <c r="T1070" s="18"/>
      <c r="U1070" s="18"/>
      <c r="V1070" s="18"/>
      <c r="W1070" s="18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1:36" ht="11.25" customHeight="1" x14ac:dyDescent="0.2">
      <c r="A1071" s="51" t="s">
        <v>28</v>
      </c>
      <c r="B1071" s="51" t="s">
        <v>41</v>
      </c>
      <c r="C1071" s="51" t="s">
        <v>42</v>
      </c>
      <c r="D1071" s="51" t="s">
        <v>45</v>
      </c>
      <c r="E1071" s="51" t="s">
        <v>25</v>
      </c>
      <c r="F1071" s="51" t="s">
        <v>25</v>
      </c>
      <c r="G1071" s="51" t="s">
        <v>25</v>
      </c>
      <c r="H1071" s="51" t="s">
        <v>35</v>
      </c>
      <c r="I1071" s="59">
        <v>44348</v>
      </c>
      <c r="J1071" s="60">
        <f>EFEITO!$J$1071*EFEITO!$Y$922</f>
        <v>0</v>
      </c>
      <c r="K1071" s="60">
        <f ca="1">EFEITO!$L$1071*EFEITO!$Z$922</f>
        <v>1191.0007517672611</v>
      </c>
      <c r="L1071" s="60">
        <f>EFEITO!$N$1071*EFEITO!$AA$922</f>
        <v>4088.2508695847105</v>
      </c>
      <c r="M1071" s="60">
        <f>$J$1071-EFEITO!$K$1071*EFEITO!$Y$1071</f>
        <v>0</v>
      </c>
      <c r="N1071" s="60">
        <f ca="1">$K$1071-EFEITO!$M$1071*EFEITO!$Z$1071</f>
        <v>23.82001503534525</v>
      </c>
      <c r="O1071" s="60">
        <f>$L$1071-EFEITO!$O$1071*EFEITO!$AA$1071</f>
        <v>81.765017391694528</v>
      </c>
      <c r="P1071" s="18"/>
      <c r="Q1071" s="18"/>
      <c r="R1071" s="18"/>
      <c r="S1071" s="18"/>
      <c r="T1071" s="18"/>
      <c r="U1071" s="18"/>
      <c r="V1071" s="18"/>
      <c r="W1071" s="18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1:36" ht="11.25" customHeight="1" x14ac:dyDescent="0.2">
      <c r="A1072" s="51" t="s">
        <v>21</v>
      </c>
      <c r="B1072" s="51" t="s">
        <v>41</v>
      </c>
      <c r="C1072" s="51" t="s">
        <v>42</v>
      </c>
      <c r="D1072" s="51" t="s">
        <v>45</v>
      </c>
      <c r="E1072" s="51" t="s">
        <v>25</v>
      </c>
      <c r="F1072" s="51" t="s">
        <v>25</v>
      </c>
      <c r="G1072" s="51" t="s">
        <v>25</v>
      </c>
      <c r="H1072" s="51" t="s">
        <v>35</v>
      </c>
      <c r="I1072" s="59">
        <v>44378</v>
      </c>
      <c r="J1072" s="60">
        <f>EFEITO!$J$1072*EFEITO!$Y$922</f>
        <v>0</v>
      </c>
      <c r="K1072" s="60">
        <f ca="1">EFEITO!$L$1072*EFEITO!$Z$922</f>
        <v>55851.896069530238</v>
      </c>
      <c r="L1072" s="60">
        <f>EFEITO!$N$1072*EFEITO!$AA$922</f>
        <v>191718.23555559953</v>
      </c>
      <c r="M1072" s="60">
        <f>$J$1072-EFEITO!$K$1072*EFEITO!$Y$1072</f>
        <v>0</v>
      </c>
      <c r="N1072" s="60">
        <f ca="1">$K$1072-EFEITO!$M$1072*EFEITO!$Z$1072</f>
        <v>1117.0379213906053</v>
      </c>
      <c r="O1072" s="60">
        <f>$L$1072-EFEITO!$O$1072*EFEITO!$AA$1072</f>
        <v>3834.3647111120226</v>
      </c>
      <c r="P1072" s="18"/>
      <c r="Q1072" s="18"/>
      <c r="R1072" s="18"/>
      <c r="S1072" s="18"/>
      <c r="T1072" s="18"/>
      <c r="U1072" s="18"/>
      <c r="V1072" s="18"/>
      <c r="W1072" s="18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  <row r="1073" spans="1:36" ht="11.25" customHeight="1" x14ac:dyDescent="0.2">
      <c r="A1073" s="51" t="s">
        <v>27</v>
      </c>
      <c r="B1073" s="51" t="s">
        <v>41</v>
      </c>
      <c r="C1073" s="51" t="s">
        <v>42</v>
      </c>
      <c r="D1073" s="51" t="s">
        <v>45</v>
      </c>
      <c r="E1073" s="51" t="s">
        <v>25</v>
      </c>
      <c r="F1073" s="51" t="s">
        <v>25</v>
      </c>
      <c r="G1073" s="51" t="s">
        <v>25</v>
      </c>
      <c r="H1073" s="51" t="s">
        <v>35</v>
      </c>
      <c r="I1073" s="59">
        <v>44378</v>
      </c>
      <c r="J1073" s="60">
        <f>EFEITO!$J$1073*EFEITO!$Y$922</f>
        <v>0</v>
      </c>
      <c r="K1073" s="60">
        <f ca="1">EFEITO!$L$1073*EFEITO!$Z$922</f>
        <v>-20.542341441976664</v>
      </c>
      <c r="L1073" s="60">
        <f>EFEITO!$N$1073*EFEITO!$AA$922</f>
        <v>-70.514015326061269</v>
      </c>
      <c r="M1073" s="60">
        <f>$J$1073-EFEITO!$K$1073*EFEITO!$Y$1073</f>
        <v>0</v>
      </c>
      <c r="N1073" s="60">
        <f ca="1">$K$1073-EFEITO!$M$1073*EFEITO!$Z$1073</f>
        <v>-0.4108468288395315</v>
      </c>
      <c r="O1073" s="60">
        <f>$L$1073-EFEITO!$O$1073*EFEITO!$AA$1073</f>
        <v>-1.4102803065212299</v>
      </c>
      <c r="P1073" s="18"/>
      <c r="Q1073" s="18"/>
      <c r="R1073" s="18"/>
      <c r="S1073" s="18"/>
      <c r="T1073" s="18"/>
      <c r="U1073" s="18"/>
      <c r="V1073" s="18"/>
      <c r="W1073" s="18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</row>
    <row r="1074" spans="1:36" ht="11.25" customHeight="1" x14ac:dyDescent="0.2">
      <c r="A1074" s="51" t="s">
        <v>28</v>
      </c>
      <c r="B1074" s="51" t="s">
        <v>41</v>
      </c>
      <c r="C1074" s="51" t="s">
        <v>42</v>
      </c>
      <c r="D1074" s="51" t="s">
        <v>45</v>
      </c>
      <c r="E1074" s="51" t="s">
        <v>25</v>
      </c>
      <c r="F1074" s="51" t="s">
        <v>25</v>
      </c>
      <c r="G1074" s="51" t="s">
        <v>25</v>
      </c>
      <c r="H1074" s="51" t="s">
        <v>35</v>
      </c>
      <c r="I1074" s="59">
        <v>44378</v>
      </c>
      <c r="J1074" s="60">
        <f>EFEITO!$J$1074*EFEITO!$Y$922</f>
        <v>0</v>
      </c>
      <c r="K1074" s="60">
        <f ca="1">EFEITO!$L$1074*EFEITO!$Z$922</f>
        <v>625.11125096850503</v>
      </c>
      <c r="L1074" s="60">
        <f>EFEITO!$N$1074*EFEITO!$AA$922</f>
        <v>2145.7682638462188</v>
      </c>
      <c r="M1074" s="60">
        <f>$J$1074-EFEITO!$K$1074*EFEITO!$Y$1074</f>
        <v>0</v>
      </c>
      <c r="N1074" s="60">
        <f ca="1">$K$1074-EFEITO!$M$1074*EFEITO!$Z$1074</f>
        <v>12.502225019370144</v>
      </c>
      <c r="O1074" s="60">
        <f>$L$1074-EFEITO!$O$1074*EFEITO!$AA$1074</f>
        <v>42.915365276924604</v>
      </c>
      <c r="P1074" s="18"/>
      <c r="Q1074" s="18"/>
      <c r="R1074" s="18"/>
      <c r="S1074" s="18"/>
      <c r="T1074" s="18"/>
      <c r="U1074" s="18"/>
      <c r="V1074" s="18"/>
      <c r="W1074" s="18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</row>
    <row r="1075" spans="1:36" ht="11.25" customHeight="1" x14ac:dyDescent="0.2">
      <c r="A1075" s="51" t="s">
        <v>21</v>
      </c>
      <c r="B1075" s="51" t="s">
        <v>41</v>
      </c>
      <c r="C1075" s="51" t="s">
        <v>42</v>
      </c>
      <c r="D1075" s="51" t="s">
        <v>45</v>
      </c>
      <c r="E1075" s="51" t="s">
        <v>25</v>
      </c>
      <c r="F1075" s="51" t="s">
        <v>25</v>
      </c>
      <c r="G1075" s="51" t="s">
        <v>25</v>
      </c>
      <c r="H1075" s="51" t="s">
        <v>35</v>
      </c>
      <c r="I1075" s="59">
        <v>44409</v>
      </c>
      <c r="J1075" s="60">
        <f>EFEITO!$J$1075*EFEITO!$Y$922</f>
        <v>0</v>
      </c>
      <c r="K1075" s="60">
        <f ca="1">EFEITO!$L$1075*EFEITO!$Z$922</f>
        <v>81648.591409388697</v>
      </c>
      <c r="L1075" s="60">
        <f>EFEITO!$N$1075*EFEITO!$AA$922</f>
        <v>280268.44175748219</v>
      </c>
      <c r="M1075" s="60">
        <f>$J$1075-EFEITO!$K$1075*EFEITO!$Y$1075</f>
        <v>0</v>
      </c>
      <c r="N1075" s="60">
        <f ca="1">$K$1075-EFEITO!$M$1075*EFEITO!$Z$1075</f>
        <v>1632.9718281877722</v>
      </c>
      <c r="O1075" s="60">
        <f>$L$1075-EFEITO!$O$1075*EFEITO!$AA$1075</f>
        <v>5605.3688351496821</v>
      </c>
      <c r="P1075" s="18"/>
      <c r="Q1075" s="18"/>
      <c r="R1075" s="18"/>
      <c r="S1075" s="18"/>
      <c r="T1075" s="18"/>
      <c r="U1075" s="18"/>
      <c r="V1075" s="18"/>
      <c r="W1075" s="18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</row>
    <row r="1076" spans="1:36" ht="11.25" customHeight="1" x14ac:dyDescent="0.2">
      <c r="A1076" s="51" t="s">
        <v>27</v>
      </c>
      <c r="B1076" s="51" t="s">
        <v>41</v>
      </c>
      <c r="C1076" s="51" t="s">
        <v>42</v>
      </c>
      <c r="D1076" s="51" t="s">
        <v>45</v>
      </c>
      <c r="E1076" s="51" t="s">
        <v>25</v>
      </c>
      <c r="F1076" s="51" t="s">
        <v>25</v>
      </c>
      <c r="G1076" s="51" t="s">
        <v>25</v>
      </c>
      <c r="H1076" s="51" t="s">
        <v>35</v>
      </c>
      <c r="I1076" s="59">
        <v>44409</v>
      </c>
      <c r="J1076" s="60">
        <f>EFEITO!$J$1076*EFEITO!$Y$922</f>
        <v>0</v>
      </c>
      <c r="K1076" s="60">
        <f ca="1">EFEITO!$L$1076*EFEITO!$Z$922</f>
        <v>-26.002963850603376</v>
      </c>
      <c r="L1076" s="60">
        <f>EFEITO!$N$1076*EFEITO!$AA$922</f>
        <v>-89.258247248178819</v>
      </c>
      <c r="M1076" s="60">
        <f>$J$1076-EFEITO!$K$1076*EFEITO!$Y$1076</f>
        <v>0</v>
      </c>
      <c r="N1076" s="60">
        <f ca="1">$K$1076-EFEITO!$M$1076*EFEITO!$Z$1076</f>
        <v>-0.52005927701207</v>
      </c>
      <c r="O1076" s="60">
        <f>$L$1076-EFEITO!$O$1076*EFEITO!$AA$1076</f>
        <v>-1.7851649449635829</v>
      </c>
      <c r="P1076" s="18"/>
      <c r="Q1076" s="18"/>
      <c r="R1076" s="18"/>
      <c r="S1076" s="18"/>
      <c r="T1076" s="18"/>
      <c r="U1076" s="18"/>
      <c r="V1076" s="18"/>
      <c r="W1076" s="18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</row>
    <row r="1077" spans="1:36" ht="11.25" customHeight="1" x14ac:dyDescent="0.2">
      <c r="A1077" s="51" t="s">
        <v>28</v>
      </c>
      <c r="B1077" s="51" t="s">
        <v>41</v>
      </c>
      <c r="C1077" s="51" t="s">
        <v>42</v>
      </c>
      <c r="D1077" s="51" t="s">
        <v>45</v>
      </c>
      <c r="E1077" s="51" t="s">
        <v>25</v>
      </c>
      <c r="F1077" s="51" t="s">
        <v>25</v>
      </c>
      <c r="G1077" s="51" t="s">
        <v>25</v>
      </c>
      <c r="H1077" s="51" t="s">
        <v>35</v>
      </c>
      <c r="I1077" s="59">
        <v>44409</v>
      </c>
      <c r="J1077" s="60">
        <f>EFEITO!$J$1077*EFEITO!$Y$922</f>
        <v>0</v>
      </c>
      <c r="K1077" s="60">
        <f ca="1">EFEITO!$L$1077*EFEITO!$Z$922</f>
        <v>901.39274188116588</v>
      </c>
      <c r="L1077" s="60">
        <f>EFEITO!$N$1077*EFEITO!$AA$922</f>
        <v>3094.1371408581185</v>
      </c>
      <c r="M1077" s="60">
        <f>$J$1077-EFEITO!$K$1077*EFEITO!$Y$1077</f>
        <v>0</v>
      </c>
      <c r="N1077" s="60">
        <f ca="1">$K$1077-EFEITO!$M$1077*EFEITO!$Z$1077</f>
        <v>18.027854837623295</v>
      </c>
      <c r="O1077" s="60">
        <f>$L$1077-EFEITO!$O$1077*EFEITO!$AA$1077</f>
        <v>61.88274281716258</v>
      </c>
      <c r="P1077" s="18"/>
      <c r="Q1077" s="18"/>
      <c r="R1077" s="18"/>
      <c r="S1077" s="18"/>
      <c r="T1077" s="18"/>
      <c r="U1077" s="18"/>
      <c r="V1077" s="18"/>
      <c r="W1077" s="18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</row>
    <row r="1078" spans="1:36" ht="11.25" customHeight="1" x14ac:dyDescent="0.2">
      <c r="A1078" s="51" t="s">
        <v>21</v>
      </c>
      <c r="B1078" s="51" t="s">
        <v>41</v>
      </c>
      <c r="C1078" s="51" t="s">
        <v>42</v>
      </c>
      <c r="D1078" s="51" t="s">
        <v>45</v>
      </c>
      <c r="E1078" s="51" t="s">
        <v>25</v>
      </c>
      <c r="F1078" s="51" t="s">
        <v>25</v>
      </c>
      <c r="G1078" s="51" t="s">
        <v>25</v>
      </c>
      <c r="H1078" s="51" t="s">
        <v>35</v>
      </c>
      <c r="I1078" s="59">
        <v>44440</v>
      </c>
      <c r="J1078" s="60">
        <f>EFEITO!$J$1078*EFEITO!$Y$922</f>
        <v>0</v>
      </c>
      <c r="K1078" s="60">
        <f ca="1">EFEITO!$L$1078*EFEITO!$Z$922</f>
        <v>118604.39367832396</v>
      </c>
      <c r="L1078" s="60">
        <f>EFEITO!$N$1078*EFEITO!$AA$922</f>
        <v>407123.60162030259</v>
      </c>
      <c r="M1078" s="60">
        <f>$J$1078-EFEITO!$K$1078*EFEITO!$Y$1078</f>
        <v>0</v>
      </c>
      <c r="N1078" s="60">
        <f ca="1">$K$1078-EFEITO!$M$1078*EFEITO!$Z$1078</f>
        <v>2372.0878735664883</v>
      </c>
      <c r="O1078" s="60">
        <f>$L$1078-EFEITO!$O$1078*EFEITO!$AA$1078</f>
        <v>8142.4720324060763</v>
      </c>
      <c r="P1078" s="18"/>
      <c r="Q1078" s="18"/>
      <c r="R1078" s="18"/>
      <c r="S1078" s="18"/>
      <c r="T1078" s="18"/>
      <c r="U1078" s="18"/>
      <c r="V1078" s="18"/>
      <c r="W1078" s="18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</row>
    <row r="1079" spans="1:36" ht="11.25" customHeight="1" x14ac:dyDescent="0.2">
      <c r="A1079" s="51" t="s">
        <v>28</v>
      </c>
      <c r="B1079" s="51" t="s">
        <v>41</v>
      </c>
      <c r="C1079" s="51" t="s">
        <v>42</v>
      </c>
      <c r="D1079" s="51" t="s">
        <v>45</v>
      </c>
      <c r="E1079" s="51" t="s">
        <v>25</v>
      </c>
      <c r="F1079" s="51" t="s">
        <v>25</v>
      </c>
      <c r="G1079" s="51" t="s">
        <v>25</v>
      </c>
      <c r="H1079" s="51" t="s">
        <v>35</v>
      </c>
      <c r="I1079" s="59">
        <v>44440</v>
      </c>
      <c r="J1079" s="60">
        <f>EFEITO!$J$1079*EFEITO!$Y$922</f>
        <v>0</v>
      </c>
      <c r="K1079" s="60">
        <f ca="1">EFEITO!$L$1079*EFEITO!$Z$922</f>
        <v>354.42039728372396</v>
      </c>
      <c r="L1079" s="60">
        <f>EFEITO!$N$1079*EFEITO!$AA$922</f>
        <v>1216.5899099926773</v>
      </c>
      <c r="M1079" s="60">
        <f>$J$1079-EFEITO!$K$1079*EFEITO!$Y$1079</f>
        <v>0</v>
      </c>
      <c r="N1079" s="60">
        <f ca="1">$K$1079-EFEITO!$M$1079*EFEITO!$Z$1079</f>
        <v>7.0884079456744757</v>
      </c>
      <c r="O1079" s="60">
        <f>$L$1079-EFEITO!$O$1079*EFEITO!$AA$1079</f>
        <v>24.331798199853665</v>
      </c>
      <c r="P1079" s="18"/>
      <c r="Q1079" s="18"/>
      <c r="R1079" s="18"/>
      <c r="S1079" s="18"/>
      <c r="T1079" s="18"/>
      <c r="U1079" s="18"/>
      <c r="V1079" s="18"/>
      <c r="W1079" s="18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</row>
    <row r="1080" spans="1:36" ht="11.25" customHeight="1" x14ac:dyDescent="0.2">
      <c r="A1080" s="51" t="s">
        <v>21</v>
      </c>
      <c r="B1080" s="51" t="s">
        <v>41</v>
      </c>
      <c r="C1080" s="51" t="s">
        <v>42</v>
      </c>
      <c r="D1080" s="51" t="s">
        <v>45</v>
      </c>
      <c r="E1080" s="51" t="s">
        <v>25</v>
      </c>
      <c r="F1080" s="51" t="s">
        <v>25</v>
      </c>
      <c r="G1080" s="51" t="s">
        <v>25</v>
      </c>
      <c r="H1080" s="51" t="s">
        <v>35</v>
      </c>
      <c r="I1080" s="59">
        <v>44470</v>
      </c>
      <c r="J1080" s="60">
        <f>EFEITO!$J$1080*EFEITO!$Y$922</f>
        <v>0</v>
      </c>
      <c r="K1080" s="60">
        <f ca="1">EFEITO!$L$1080*EFEITO!$Z$922</f>
        <v>159946.11585994053</v>
      </c>
      <c r="L1080" s="60">
        <f>EFEITO!$N$1080*EFEITO!$AA$922</f>
        <v>549033.95004647342</v>
      </c>
      <c r="M1080" s="60">
        <f>$J$1080-EFEITO!$K$1080*EFEITO!$Y$1080</f>
        <v>0</v>
      </c>
      <c r="N1080" s="60">
        <f ca="1">$K$1080-EFEITO!$M$1080*EFEITO!$Z$1080</f>
        <v>3198.9223171988269</v>
      </c>
      <c r="O1080" s="60">
        <f>$L$1080-EFEITO!$O$1080*EFEITO!$AA$1080</f>
        <v>10980.679000929464</v>
      </c>
      <c r="P1080" s="18"/>
      <c r="Q1080" s="18"/>
      <c r="R1080" s="18"/>
      <c r="S1080" s="18"/>
      <c r="T1080" s="18"/>
      <c r="U1080" s="18"/>
      <c r="V1080" s="18"/>
      <c r="W1080" s="18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</row>
    <row r="1081" spans="1:36" ht="11.25" customHeight="1" x14ac:dyDescent="0.2">
      <c r="A1081" s="51" t="s">
        <v>28</v>
      </c>
      <c r="B1081" s="51" t="s">
        <v>41</v>
      </c>
      <c r="C1081" s="51" t="s">
        <v>42</v>
      </c>
      <c r="D1081" s="51" t="s">
        <v>45</v>
      </c>
      <c r="E1081" s="51" t="s">
        <v>25</v>
      </c>
      <c r="F1081" s="51" t="s">
        <v>25</v>
      </c>
      <c r="G1081" s="51" t="s">
        <v>25</v>
      </c>
      <c r="H1081" s="51" t="s">
        <v>35</v>
      </c>
      <c r="I1081" s="59">
        <v>44470</v>
      </c>
      <c r="J1081" s="60">
        <f>EFEITO!$J$1081*EFEITO!$Y$922</f>
        <v>0</v>
      </c>
      <c r="K1081" s="60">
        <f ca="1">EFEITO!$L$1081*EFEITO!$Z$922</f>
        <v>1228.6400419410093</v>
      </c>
      <c r="L1081" s="60">
        <f>EFEITO!$N$1081*EFEITO!$AA$922</f>
        <v>4217.4521824764488</v>
      </c>
      <c r="M1081" s="60">
        <f>$J$1081-EFEITO!$K$1081*EFEITO!$Y$1081</f>
        <v>0</v>
      </c>
      <c r="N1081" s="60">
        <f ca="1">$K$1081-EFEITO!$M$1081*EFEITO!$Z$1081</f>
        <v>24.572800838820285</v>
      </c>
      <c r="O1081" s="60">
        <f>$L$1081-EFEITO!$O$1081*EFEITO!$AA$1081</f>
        <v>84.349043649529449</v>
      </c>
      <c r="P1081" s="18"/>
      <c r="Q1081" s="18"/>
      <c r="R1081" s="18"/>
      <c r="S1081" s="18"/>
      <c r="T1081" s="18"/>
      <c r="U1081" s="18"/>
      <c r="V1081" s="18"/>
      <c r="W1081" s="18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</row>
    <row r="1082" spans="1:36" ht="11.25" customHeight="1" x14ac:dyDescent="0.2">
      <c r="A1082" s="51" t="s">
        <v>28</v>
      </c>
      <c r="B1082" s="51" t="s">
        <v>41</v>
      </c>
      <c r="C1082" s="51" t="s">
        <v>42</v>
      </c>
      <c r="D1082" s="51" t="s">
        <v>45</v>
      </c>
      <c r="E1082" s="51" t="s">
        <v>25</v>
      </c>
      <c r="F1082" s="51" t="s">
        <v>25</v>
      </c>
      <c r="G1082" s="51" t="s">
        <v>25</v>
      </c>
      <c r="H1082" s="51" t="s">
        <v>35</v>
      </c>
      <c r="I1082" s="59">
        <v>44470</v>
      </c>
      <c r="J1082" s="60">
        <f>EFEITO!$J$1082*EFEITO!$Y$922</f>
        <v>0</v>
      </c>
      <c r="K1082" s="60">
        <f ca="1">EFEITO!$L$1082*EFEITO!$Z$922</f>
        <v>-1216.8086933889849</v>
      </c>
      <c r="L1082" s="60">
        <f>EFEITO!$N$1082*EFEITO!$AA$922</f>
        <v>-4176.8396799785278</v>
      </c>
      <c r="M1082" s="60">
        <f>$J$1082-EFEITO!$K$1082*EFEITO!$Y$1082</f>
        <v>0</v>
      </c>
      <c r="N1082" s="60">
        <f ca="1">$K$1082-EFEITO!$M$1082*EFEITO!$Z$1082</f>
        <v>-24.336173867779735</v>
      </c>
      <c r="O1082" s="60">
        <f>$L$1082-EFEITO!$O$1082*EFEITO!$AA$1082</f>
        <v>-83.536793599570956</v>
      </c>
      <c r="P1082" s="18"/>
      <c r="Q1082" s="18"/>
      <c r="R1082" s="18"/>
      <c r="S1082" s="18"/>
      <c r="T1082" s="18"/>
      <c r="U1082" s="18"/>
      <c r="V1082" s="18"/>
      <c r="W1082" s="18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1:36" ht="11.25" customHeight="1" x14ac:dyDescent="0.2">
      <c r="A1083" s="51" t="s">
        <v>21</v>
      </c>
      <c r="B1083" s="51" t="s">
        <v>41</v>
      </c>
      <c r="C1083" s="51" t="s">
        <v>42</v>
      </c>
      <c r="D1083" s="51" t="s">
        <v>45</v>
      </c>
      <c r="E1083" s="51" t="s">
        <v>25</v>
      </c>
      <c r="F1083" s="51" t="s">
        <v>25</v>
      </c>
      <c r="G1083" s="51" t="s">
        <v>25</v>
      </c>
      <c r="H1083" s="51" t="s">
        <v>35</v>
      </c>
      <c r="I1083" s="59">
        <v>44501</v>
      </c>
      <c r="J1083" s="60">
        <f>EFEITO!$J$1083*EFEITO!$Y$922</f>
        <v>0</v>
      </c>
      <c r="K1083" s="60">
        <f ca="1">EFEITO!$L$1083*EFEITO!$Z$922</f>
        <v>143829.47886533654</v>
      </c>
      <c r="L1083" s="60">
        <f>EFEITO!$N$1083*EFEITO!$AA$922</f>
        <v>493711.68840205215</v>
      </c>
      <c r="M1083" s="60">
        <f>$J$1083-EFEITO!$K$1083*EFEITO!$Y$1083</f>
        <v>0</v>
      </c>
      <c r="N1083" s="60">
        <f ca="1">$K$1083-EFEITO!$M$1083*EFEITO!$Z$1083</f>
        <v>2876.5895773067314</v>
      </c>
      <c r="O1083" s="60">
        <f>$L$1083-EFEITO!$O$1083*EFEITO!$AA$1083</f>
        <v>9874.233768041071</v>
      </c>
      <c r="P1083" s="18"/>
      <c r="Q1083" s="18"/>
      <c r="R1083" s="18"/>
      <c r="S1083" s="18"/>
      <c r="T1083" s="18"/>
      <c r="U1083" s="18"/>
      <c r="V1083" s="18"/>
      <c r="W1083" s="18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</row>
    <row r="1084" spans="1:36" ht="11.25" customHeight="1" x14ac:dyDescent="0.2">
      <c r="A1084" s="51" t="s">
        <v>28</v>
      </c>
      <c r="B1084" s="51" t="s">
        <v>41</v>
      </c>
      <c r="C1084" s="51" t="s">
        <v>42</v>
      </c>
      <c r="D1084" s="51" t="s">
        <v>45</v>
      </c>
      <c r="E1084" s="51" t="s">
        <v>25</v>
      </c>
      <c r="F1084" s="51" t="s">
        <v>25</v>
      </c>
      <c r="G1084" s="51" t="s">
        <v>25</v>
      </c>
      <c r="H1084" s="51" t="s">
        <v>35</v>
      </c>
      <c r="I1084" s="59">
        <v>44501</v>
      </c>
      <c r="J1084" s="60">
        <f>EFEITO!$J$1084*EFEITO!$Y$922</f>
        <v>0</v>
      </c>
      <c r="K1084" s="60">
        <f ca="1">EFEITO!$L$1084*EFEITO!$Z$922</f>
        <v>1038.4933687834723</v>
      </c>
      <c r="L1084" s="60">
        <f>EFEITO!$N$1084*EFEITO!$AA$922</f>
        <v>3564.7512494741413</v>
      </c>
      <c r="M1084" s="60">
        <f>$J$1084-EFEITO!$K$1084*EFEITO!$Y$1084</f>
        <v>0</v>
      </c>
      <c r="N1084" s="60">
        <f ca="1">$K$1084-EFEITO!$M$1084*EFEITO!$Z$1084</f>
        <v>20.769867375669605</v>
      </c>
      <c r="O1084" s="60">
        <f>$L$1084-EFEITO!$O$1084*EFEITO!$AA$1084</f>
        <v>71.295024989482954</v>
      </c>
      <c r="P1084" s="18"/>
      <c r="Q1084" s="18"/>
      <c r="R1084" s="18"/>
      <c r="S1084" s="18"/>
      <c r="T1084" s="18"/>
      <c r="U1084" s="18"/>
      <c r="V1084" s="18"/>
      <c r="W1084" s="18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</row>
    <row r="1085" spans="1:36" ht="11.25" customHeight="1" x14ac:dyDescent="0.2">
      <c r="A1085" s="51" t="s">
        <v>21</v>
      </c>
      <c r="B1085" s="51" t="s">
        <v>41</v>
      </c>
      <c r="C1085" s="51" t="s">
        <v>42</v>
      </c>
      <c r="D1085" s="51" t="s">
        <v>45</v>
      </c>
      <c r="E1085" s="51" t="s">
        <v>25</v>
      </c>
      <c r="F1085" s="51" t="s">
        <v>25</v>
      </c>
      <c r="G1085" s="51" t="s">
        <v>25</v>
      </c>
      <c r="H1085" s="51" t="s">
        <v>35</v>
      </c>
      <c r="I1085" s="59">
        <v>44531</v>
      </c>
      <c r="J1085" s="60">
        <f>EFEITO!$J$1085*EFEITO!$Y$922</f>
        <v>0</v>
      </c>
      <c r="K1085" s="60">
        <f ca="1">EFEITO!$L$1085*EFEITO!$Z$922</f>
        <v>120437.21258533376</v>
      </c>
      <c r="L1085" s="60">
        <f>EFEITO!$N$1085*EFEITO!$AA$922</f>
        <v>413414.96917759051</v>
      </c>
      <c r="M1085" s="60">
        <f>$J$1085-EFEITO!$K$1085*EFEITO!$Y$1085</f>
        <v>0</v>
      </c>
      <c r="N1085" s="60">
        <f ca="1">$K$1085-EFEITO!$M$1085*EFEITO!$Z$1085</f>
        <v>2408.7442517066811</v>
      </c>
      <c r="O1085" s="60">
        <f>$L$1085-EFEITO!$O$1085*EFEITO!$AA$1085</f>
        <v>8268.2993835518137</v>
      </c>
      <c r="P1085" s="18"/>
      <c r="Q1085" s="18"/>
      <c r="R1085" s="18"/>
      <c r="S1085" s="18"/>
      <c r="T1085" s="18"/>
      <c r="U1085" s="18"/>
      <c r="V1085" s="18"/>
      <c r="W1085" s="18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</row>
    <row r="1086" spans="1:36" ht="11.25" customHeight="1" x14ac:dyDescent="0.2">
      <c r="A1086" s="51" t="s">
        <v>27</v>
      </c>
      <c r="B1086" s="51" t="s">
        <v>41</v>
      </c>
      <c r="C1086" s="51" t="s">
        <v>42</v>
      </c>
      <c r="D1086" s="51" t="s">
        <v>45</v>
      </c>
      <c r="E1086" s="51" t="s">
        <v>25</v>
      </c>
      <c r="F1086" s="51" t="s">
        <v>25</v>
      </c>
      <c r="G1086" s="51" t="s">
        <v>25</v>
      </c>
      <c r="H1086" s="51" t="s">
        <v>35</v>
      </c>
      <c r="I1086" s="59">
        <v>44531</v>
      </c>
      <c r="J1086" s="60">
        <f>EFEITO!$J$1086*EFEITO!$Y$922</f>
        <v>0</v>
      </c>
      <c r="K1086" s="60">
        <f ca="1">EFEITO!$L$1086*EFEITO!$Z$922</f>
        <v>-15.601778310362024</v>
      </c>
      <c r="L1086" s="60">
        <f>EFEITO!$N$1086*EFEITO!$AA$922</f>
        <v>-53.554948348907288</v>
      </c>
      <c r="M1086" s="60">
        <f>$J$1086-EFEITO!$K$1086*EFEITO!$Y$1086</f>
        <v>0</v>
      </c>
      <c r="N1086" s="60">
        <f ca="1">$K$1086-EFEITO!$M$1086*EFEITO!$Z$1086</f>
        <v>-0.31203556620724093</v>
      </c>
      <c r="O1086" s="60">
        <f>$L$1086-EFEITO!$O$1086*EFEITO!$AA$1086</f>
        <v>-1.0710989669781483</v>
      </c>
      <c r="P1086" s="18"/>
      <c r="Q1086" s="18"/>
      <c r="R1086" s="18"/>
      <c r="S1086" s="18"/>
      <c r="T1086" s="18"/>
      <c r="U1086" s="18"/>
      <c r="V1086" s="18"/>
      <c r="W1086" s="18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</row>
    <row r="1087" spans="1:36" ht="11.25" customHeight="1" x14ac:dyDescent="0.2">
      <c r="A1087" s="51" t="s">
        <v>28</v>
      </c>
      <c r="B1087" s="51" t="s">
        <v>41</v>
      </c>
      <c r="C1087" s="51" t="s">
        <v>42</v>
      </c>
      <c r="D1087" s="51" t="s">
        <v>45</v>
      </c>
      <c r="E1087" s="51" t="s">
        <v>25</v>
      </c>
      <c r="F1087" s="51" t="s">
        <v>25</v>
      </c>
      <c r="G1087" s="51" t="s">
        <v>25</v>
      </c>
      <c r="H1087" s="51" t="s">
        <v>35</v>
      </c>
      <c r="I1087" s="59">
        <v>44531</v>
      </c>
      <c r="J1087" s="60">
        <f>EFEITO!$J$1087*EFEITO!$Y$922</f>
        <v>0</v>
      </c>
      <c r="K1087" s="60">
        <f ca="1">EFEITO!$L$1087*EFEITO!$Z$922</f>
        <v>144.31644937084874</v>
      </c>
      <c r="L1087" s="60">
        <f>EFEITO!$N$1087*EFEITO!$AA$922</f>
        <v>495.38327222739247</v>
      </c>
      <c r="M1087" s="60">
        <f>$J$1087-EFEITO!$K$1087*EFEITO!$Y$1087</f>
        <v>0</v>
      </c>
      <c r="N1087" s="60">
        <f ca="1">$K$1087-EFEITO!$M$1087*EFEITO!$Z$1087</f>
        <v>2.886328987416988</v>
      </c>
      <c r="O1087" s="60">
        <f>$L$1087-EFEITO!$O$1087*EFEITO!$AA$1087</f>
        <v>9.907665444547888</v>
      </c>
      <c r="P1087" s="18"/>
      <c r="Q1087" s="18"/>
      <c r="R1087" s="18"/>
      <c r="S1087" s="18"/>
      <c r="T1087" s="18"/>
      <c r="U1087" s="18"/>
      <c r="V1087" s="18"/>
      <c r="W1087" s="18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</row>
    <row r="1088" spans="1:36" ht="11.25" customHeight="1" x14ac:dyDescent="0.2">
      <c r="A1088" s="51" t="s">
        <v>21</v>
      </c>
      <c r="B1088" s="51" t="s">
        <v>41</v>
      </c>
      <c r="C1088" s="51" t="s">
        <v>42</v>
      </c>
      <c r="D1088" s="51" t="s">
        <v>45</v>
      </c>
      <c r="E1088" s="51" t="s">
        <v>25</v>
      </c>
      <c r="F1088" s="51" t="s">
        <v>25</v>
      </c>
      <c r="G1088" s="51" t="s">
        <v>25</v>
      </c>
      <c r="H1088" s="51" t="s">
        <v>35</v>
      </c>
      <c r="I1088" s="59">
        <v>44562</v>
      </c>
      <c r="J1088" s="60">
        <f>EFEITO!$J$1088*EFEITO!$Y$922</f>
        <v>0</v>
      </c>
      <c r="K1088" s="60">
        <f ca="1">EFEITO!$L$1088*EFEITO!$Z$922</f>
        <v>131362.61787680327</v>
      </c>
      <c r="L1088" s="60">
        <f>EFEITO!$N$1088*EFEITO!$AA$922</f>
        <v>450917.71434138529</v>
      </c>
      <c r="M1088" s="60">
        <f>$J$1088-EFEITO!$K$1088*EFEITO!$Y$1088</f>
        <v>0</v>
      </c>
      <c r="N1088" s="60">
        <f ca="1">$K$1088-EFEITO!$M$1088*EFEITO!$Z$1088</f>
        <v>2627.2523575360829</v>
      </c>
      <c r="O1088" s="60">
        <f>$L$1088-EFEITO!$O$1088*EFEITO!$AA$1088</f>
        <v>9018.3542868277291</v>
      </c>
      <c r="P1088" s="18"/>
      <c r="Q1088" s="18"/>
      <c r="R1088" s="18"/>
      <c r="S1088" s="18"/>
      <c r="T1088" s="18"/>
      <c r="U1088" s="18"/>
      <c r="V1088" s="18"/>
      <c r="W1088" s="18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1:36" ht="11.25" customHeight="1" x14ac:dyDescent="0.2">
      <c r="A1089" s="51" t="s">
        <v>27</v>
      </c>
      <c r="B1089" s="51" t="s">
        <v>41</v>
      </c>
      <c r="C1089" s="51" t="s">
        <v>42</v>
      </c>
      <c r="D1089" s="51" t="s">
        <v>45</v>
      </c>
      <c r="E1089" s="51" t="s">
        <v>25</v>
      </c>
      <c r="F1089" s="51" t="s">
        <v>25</v>
      </c>
      <c r="G1089" s="51" t="s">
        <v>25</v>
      </c>
      <c r="H1089" s="51" t="s">
        <v>35</v>
      </c>
      <c r="I1089" s="59">
        <v>44562</v>
      </c>
      <c r="J1089" s="60">
        <f>EFEITO!$J$1089*EFEITO!$Y$922</f>
        <v>0</v>
      </c>
      <c r="K1089" s="60">
        <f ca="1">EFEITO!$L$1089*EFEITO!$Z$922</f>
        <v>-10690.273490850432</v>
      </c>
      <c r="L1089" s="60">
        <f>EFEITO!$N$1089*EFEITO!$AA$922</f>
        <v>-36695.627463053155</v>
      </c>
      <c r="M1089" s="60">
        <f>$J$1089-EFEITO!$K$1089*EFEITO!$Y$1089</f>
        <v>0</v>
      </c>
      <c r="N1089" s="60">
        <f ca="1">$K$1089-EFEITO!$M$1089*EFEITO!$Z$1089</f>
        <v>-213.805469817009</v>
      </c>
      <c r="O1089" s="60">
        <f>$L$1089-EFEITO!$O$1089*EFEITO!$AA$1089</f>
        <v>-733.91254926106922</v>
      </c>
      <c r="P1089" s="18"/>
      <c r="Q1089" s="18"/>
      <c r="R1089" s="18"/>
      <c r="S1089" s="18"/>
      <c r="T1089" s="18"/>
      <c r="U1089" s="18"/>
      <c r="V1089" s="18"/>
      <c r="W1089" s="18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</row>
    <row r="1090" spans="1:36" ht="11.25" customHeight="1" x14ac:dyDescent="0.2">
      <c r="A1090" s="51" t="s">
        <v>28</v>
      </c>
      <c r="B1090" s="51" t="s">
        <v>41</v>
      </c>
      <c r="C1090" s="51" t="s">
        <v>42</v>
      </c>
      <c r="D1090" s="51" t="s">
        <v>45</v>
      </c>
      <c r="E1090" s="51" t="s">
        <v>25</v>
      </c>
      <c r="F1090" s="51" t="s">
        <v>25</v>
      </c>
      <c r="G1090" s="51" t="s">
        <v>25</v>
      </c>
      <c r="H1090" s="51" t="s">
        <v>35</v>
      </c>
      <c r="I1090" s="59">
        <v>44562</v>
      </c>
      <c r="J1090" s="60">
        <f>EFEITO!$J$1090*EFEITO!$Y$922</f>
        <v>0</v>
      </c>
      <c r="K1090" s="60">
        <f ca="1">EFEITO!$L$1090*EFEITO!$Z$922</f>
        <v>825.46408743740415</v>
      </c>
      <c r="L1090" s="60">
        <f>EFEITO!$N$1090*EFEITO!$AA$922</f>
        <v>2833.5030588934364</v>
      </c>
      <c r="M1090" s="60">
        <f>$J$1090-EFEITO!$K$1090*EFEITO!$Y$1090</f>
        <v>0</v>
      </c>
      <c r="N1090" s="60">
        <f ca="1">$K$1090-EFEITO!$M$1090*EFEITO!$Z$1090</f>
        <v>16.509281748748208</v>
      </c>
      <c r="O1090" s="60">
        <f>$L$1090-EFEITO!$O$1090*EFEITO!$AA$1090</f>
        <v>56.670061177868774</v>
      </c>
      <c r="P1090" s="18"/>
      <c r="Q1090" s="18"/>
      <c r="R1090" s="18"/>
      <c r="S1090" s="18"/>
      <c r="T1090" s="18"/>
      <c r="U1090" s="18"/>
      <c r="V1090" s="18"/>
      <c r="W1090" s="18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</row>
    <row r="1091" spans="1:36" ht="11.25" customHeight="1" x14ac:dyDescent="0.2">
      <c r="A1091" s="51" t="s">
        <v>21</v>
      </c>
      <c r="B1091" s="51" t="s">
        <v>41</v>
      </c>
      <c r="C1091" s="51" t="s">
        <v>42</v>
      </c>
      <c r="D1091" s="51" t="s">
        <v>45</v>
      </c>
      <c r="E1091" s="51" t="s">
        <v>25</v>
      </c>
      <c r="F1091" s="51" t="s">
        <v>25</v>
      </c>
      <c r="G1091" s="51" t="s">
        <v>25</v>
      </c>
      <c r="H1091" s="51" t="s">
        <v>35</v>
      </c>
      <c r="I1091" s="59">
        <v>44593</v>
      </c>
      <c r="J1091" s="60">
        <f>EFEITO!$J$1091*EFEITO!$Y$922</f>
        <v>0</v>
      </c>
      <c r="K1091" s="60">
        <f ca="1">EFEITO!$L$1091*EFEITO!$Z$922</f>
        <v>122601.30925180022</v>
      </c>
      <c r="L1091" s="60">
        <f>EFEITO!$N$1091*EFEITO!$AA$922</f>
        <v>420843.48680482019</v>
      </c>
      <c r="M1091" s="60">
        <f>$J$1091-EFEITO!$K$1091*EFEITO!$Y$1091</f>
        <v>0</v>
      </c>
      <c r="N1091" s="60">
        <f ca="1">$K$1091-EFEITO!$M$1091*EFEITO!$Z$1091</f>
        <v>2452.0261850360112</v>
      </c>
      <c r="O1091" s="60">
        <f>$L$1091-EFEITO!$O$1091*EFEITO!$AA$1091</f>
        <v>8416.8697360964143</v>
      </c>
      <c r="P1091" s="18"/>
      <c r="Q1091" s="18"/>
      <c r="R1091" s="18"/>
      <c r="S1091" s="18"/>
      <c r="T1091" s="18"/>
      <c r="U1091" s="18"/>
      <c r="V1091" s="18"/>
      <c r="W1091" s="18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</row>
    <row r="1092" spans="1:36" ht="11.25" customHeight="1" x14ac:dyDescent="0.2">
      <c r="A1092" s="51" t="s">
        <v>27</v>
      </c>
      <c r="B1092" s="51" t="s">
        <v>41</v>
      </c>
      <c r="C1092" s="51" t="s">
        <v>42</v>
      </c>
      <c r="D1092" s="51" t="s">
        <v>45</v>
      </c>
      <c r="E1092" s="51" t="s">
        <v>25</v>
      </c>
      <c r="F1092" s="51" t="s">
        <v>25</v>
      </c>
      <c r="G1092" s="51" t="s">
        <v>25</v>
      </c>
      <c r="H1092" s="51" t="s">
        <v>35</v>
      </c>
      <c r="I1092" s="59">
        <v>44593</v>
      </c>
      <c r="J1092" s="60">
        <f>EFEITO!$J$1092*EFEITO!$Y$922</f>
        <v>0</v>
      </c>
      <c r="K1092" s="60">
        <f ca="1">EFEITO!$L$1092*EFEITO!$Z$922</f>
        <v>28129.941286173103</v>
      </c>
      <c r="L1092" s="60">
        <f>EFEITO!$N$1092*EFEITO!$AA$922</f>
        <v>96559.348727461722</v>
      </c>
      <c r="M1092" s="60">
        <f>$J$1092-EFEITO!$K$1092*EFEITO!$Y$1092</f>
        <v>0</v>
      </c>
      <c r="N1092" s="60">
        <f ca="1">$K$1092-EFEITO!$M$1092*EFEITO!$Z$1092</f>
        <v>562.59882572346396</v>
      </c>
      <c r="O1092" s="60">
        <f>$L$1092-EFEITO!$O$1092*EFEITO!$AA$1092</f>
        <v>1931.186974549244</v>
      </c>
      <c r="P1092" s="18"/>
      <c r="Q1092" s="18"/>
      <c r="R1092" s="18"/>
      <c r="S1092" s="18"/>
      <c r="T1092" s="18"/>
      <c r="U1092" s="18"/>
      <c r="V1092" s="18"/>
      <c r="W1092" s="18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</row>
    <row r="1093" spans="1:36" ht="11.25" customHeight="1" x14ac:dyDescent="0.2">
      <c r="A1093" s="51" t="s">
        <v>28</v>
      </c>
      <c r="B1093" s="51" t="s">
        <v>41</v>
      </c>
      <c r="C1093" s="51" t="s">
        <v>42</v>
      </c>
      <c r="D1093" s="51" t="s">
        <v>45</v>
      </c>
      <c r="E1093" s="51" t="s">
        <v>25</v>
      </c>
      <c r="F1093" s="51" t="s">
        <v>25</v>
      </c>
      <c r="G1093" s="51" t="s">
        <v>25</v>
      </c>
      <c r="H1093" s="51" t="s">
        <v>35</v>
      </c>
      <c r="I1093" s="59">
        <v>44593</v>
      </c>
      <c r="J1093" s="60">
        <f>EFEITO!$J$1093*EFEITO!$Y$922</f>
        <v>0</v>
      </c>
      <c r="K1093" s="60">
        <f ca="1">EFEITO!$L$1093*EFEITO!$Z$922</f>
        <v>2621.488800598579</v>
      </c>
      <c r="L1093" s="60">
        <f>EFEITO!$N$1093*EFEITO!$AA$922</f>
        <v>8998.5701963251468</v>
      </c>
      <c r="M1093" s="60">
        <f>$J$1093-EFEITO!$K$1093*EFEITO!$Y$1093</f>
        <v>0</v>
      </c>
      <c r="N1093" s="60">
        <f ca="1">$K$1093-EFEITO!$M$1093*EFEITO!$Z$1093</f>
        <v>52.429776011971626</v>
      </c>
      <c r="O1093" s="60">
        <f>$L$1093-EFEITO!$O$1093*EFEITO!$AA$1093</f>
        <v>179.97140392650363</v>
      </c>
      <c r="P1093" s="18"/>
      <c r="Q1093" s="18"/>
      <c r="R1093" s="18"/>
      <c r="S1093" s="18"/>
      <c r="T1093" s="18"/>
      <c r="U1093" s="18"/>
      <c r="V1093" s="18"/>
      <c r="W1093" s="18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</row>
    <row r="1094" spans="1:36" ht="11.25" customHeight="1" x14ac:dyDescent="0.2">
      <c r="A1094" s="51" t="s">
        <v>56</v>
      </c>
      <c r="B1094" s="51" t="s">
        <v>41</v>
      </c>
      <c r="C1094" s="51" t="s">
        <v>42</v>
      </c>
      <c r="D1094" s="51" t="s">
        <v>45</v>
      </c>
      <c r="E1094" s="51" t="s">
        <v>25</v>
      </c>
      <c r="F1094" s="51" t="s">
        <v>25</v>
      </c>
      <c r="G1094" s="51" t="s">
        <v>25</v>
      </c>
      <c r="H1094" s="51" t="s">
        <v>35</v>
      </c>
      <c r="I1094" s="59">
        <v>44621</v>
      </c>
      <c r="J1094" s="60">
        <f>EFEITO!$J$1094*EFEITO!$Y$922</f>
        <v>0</v>
      </c>
      <c r="K1094" s="60">
        <f ca="1">EFEITO!$L$1094*EFEITO!$Z$922</f>
        <v>122601.30925180022</v>
      </c>
      <c r="L1094" s="60">
        <f>EFEITO!$N$1094*EFEITO!$AA$922</f>
        <v>420843.48680482019</v>
      </c>
      <c r="M1094" s="60">
        <f>$J$1094-EFEITO!$K$1094*EFEITO!$Y$1094</f>
        <v>0</v>
      </c>
      <c r="N1094" s="60">
        <f ca="1">$K$1094-EFEITO!$M$1094*EFEITO!$Z$1094</f>
        <v>2452.0261850360112</v>
      </c>
      <c r="O1094" s="60">
        <f>$L$1094-EFEITO!$O$1094*EFEITO!$AA$1094</f>
        <v>8416.8697360964143</v>
      </c>
      <c r="P1094" s="18"/>
      <c r="Q1094" s="18"/>
      <c r="R1094" s="18"/>
      <c r="S1094" s="18"/>
      <c r="T1094" s="18"/>
      <c r="U1094" s="18"/>
      <c r="V1094" s="18"/>
      <c r="W1094" s="18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1:36" ht="11.25" customHeight="1" x14ac:dyDescent="0.2">
      <c r="A1095" s="51" t="s">
        <v>56</v>
      </c>
      <c r="B1095" s="51" t="s">
        <v>41</v>
      </c>
      <c r="C1095" s="51" t="s">
        <v>42</v>
      </c>
      <c r="D1095" s="51" t="s">
        <v>45</v>
      </c>
      <c r="E1095" s="51" t="s">
        <v>25</v>
      </c>
      <c r="F1095" s="51" t="s">
        <v>25</v>
      </c>
      <c r="G1095" s="51" t="s">
        <v>25</v>
      </c>
      <c r="H1095" s="51" t="s">
        <v>35</v>
      </c>
      <c r="I1095" s="59">
        <v>44621</v>
      </c>
      <c r="J1095" s="60">
        <f>EFEITO!$J$1095*EFEITO!$Y$922</f>
        <v>0</v>
      </c>
      <c r="K1095" s="60">
        <f ca="1">EFEITO!$L$1095*EFEITO!$Z$922</f>
        <v>28129.941286173103</v>
      </c>
      <c r="L1095" s="60">
        <f>EFEITO!$N$1095*EFEITO!$AA$922</f>
        <v>96559.348727461722</v>
      </c>
      <c r="M1095" s="60">
        <f>$J$1095-EFEITO!$K$1095*EFEITO!$Y$1095</f>
        <v>0</v>
      </c>
      <c r="N1095" s="60">
        <f ca="1">$K$1095-EFEITO!$M$1095*EFEITO!$Z$1095</f>
        <v>562.59882572346396</v>
      </c>
      <c r="O1095" s="60">
        <f>$L$1095-EFEITO!$O$1095*EFEITO!$AA$1095</f>
        <v>1931.186974549244</v>
      </c>
      <c r="P1095" s="18"/>
      <c r="Q1095" s="18"/>
      <c r="R1095" s="18"/>
      <c r="S1095" s="18"/>
      <c r="T1095" s="18"/>
      <c r="U1095" s="18"/>
      <c r="V1095" s="18"/>
      <c r="W1095" s="18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</row>
    <row r="1096" spans="1:36" ht="11.25" customHeight="1" x14ac:dyDescent="0.2">
      <c r="A1096" s="51" t="s">
        <v>56</v>
      </c>
      <c r="B1096" s="51" t="s">
        <v>41</v>
      </c>
      <c r="C1096" s="51" t="s">
        <v>42</v>
      </c>
      <c r="D1096" s="51" t="s">
        <v>45</v>
      </c>
      <c r="E1096" s="51" t="s">
        <v>25</v>
      </c>
      <c r="F1096" s="51" t="s">
        <v>25</v>
      </c>
      <c r="G1096" s="51" t="s">
        <v>25</v>
      </c>
      <c r="H1096" s="51" t="s">
        <v>35</v>
      </c>
      <c r="I1096" s="59">
        <v>44621</v>
      </c>
      <c r="J1096" s="60">
        <f>EFEITO!$J$1096*EFEITO!$Y$922</f>
        <v>0</v>
      </c>
      <c r="K1096" s="60">
        <f ca="1">EFEITO!$L$1096*EFEITO!$Z$922</f>
        <v>2621.488800598579</v>
      </c>
      <c r="L1096" s="60">
        <f>EFEITO!$N$1096*EFEITO!$AA$922</f>
        <v>8998.5701963251468</v>
      </c>
      <c r="M1096" s="60">
        <f>$J$1096-EFEITO!$K$1096*EFEITO!$Y$1096</f>
        <v>0</v>
      </c>
      <c r="N1096" s="60">
        <f ca="1">$K$1096-EFEITO!$M$1096*EFEITO!$Z$1096</f>
        <v>52.429776011971626</v>
      </c>
      <c r="O1096" s="60">
        <f>$L$1096-EFEITO!$O$1096*EFEITO!$AA$1096</f>
        <v>179.97140392650363</v>
      </c>
      <c r="P1096" s="18"/>
      <c r="Q1096" s="18"/>
      <c r="R1096" s="18"/>
      <c r="S1096" s="18"/>
      <c r="T1096" s="18"/>
      <c r="U1096" s="18"/>
      <c r="V1096" s="18"/>
      <c r="W1096" s="18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</row>
    <row r="1097" spans="1:36" ht="11.25" customHeight="1" x14ac:dyDescent="0.2">
      <c r="A1097" s="51" t="s">
        <v>21</v>
      </c>
      <c r="B1097" s="51" t="s">
        <v>41</v>
      </c>
      <c r="C1097" s="51" t="s">
        <v>42</v>
      </c>
      <c r="D1097" s="51" t="s">
        <v>45</v>
      </c>
      <c r="E1097" s="51" t="s">
        <v>25</v>
      </c>
      <c r="F1097" s="51" t="s">
        <v>25</v>
      </c>
      <c r="G1097" s="51" t="s">
        <v>25</v>
      </c>
      <c r="H1097" s="51" t="s">
        <v>25</v>
      </c>
      <c r="I1097" s="59">
        <v>44287</v>
      </c>
      <c r="J1097" s="60">
        <f ca="1">EFEITO!$J$1097*EFEITO!$Y$951</f>
        <v>234249.24341296311</v>
      </c>
      <c r="K1097" s="60">
        <f>EFEITO!$L$1097*EFEITO!$Z$951</f>
        <v>0</v>
      </c>
      <c r="L1097" s="60">
        <f>EFEITO!$N$1097*EFEITO!$AA$951</f>
        <v>0</v>
      </c>
      <c r="M1097" s="60">
        <f ca="1">$J$1097-EFEITO!$K$1097*EFEITO!$Y$1097</f>
        <v>4684.9848682592856</v>
      </c>
      <c r="N1097" s="60">
        <f>$K$1097-EFEITO!$M$1097*EFEITO!$Z$1097</f>
        <v>0</v>
      </c>
      <c r="O1097" s="60">
        <f>$L$1097-EFEITO!$O$1097*EFEITO!$AA$1097</f>
        <v>0</v>
      </c>
      <c r="P1097" s="18"/>
      <c r="Q1097" s="18"/>
      <c r="R1097" s="18"/>
      <c r="S1097" s="18"/>
      <c r="T1097" s="18"/>
      <c r="U1097" s="18"/>
      <c r="V1097" s="18"/>
      <c r="W1097" s="18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</row>
    <row r="1098" spans="1:36" ht="11.25" customHeight="1" x14ac:dyDescent="0.2">
      <c r="A1098" s="51" t="s">
        <v>21</v>
      </c>
      <c r="B1098" s="51" t="s">
        <v>41</v>
      </c>
      <c r="C1098" s="51" t="s">
        <v>42</v>
      </c>
      <c r="D1098" s="51" t="s">
        <v>45</v>
      </c>
      <c r="E1098" s="51" t="s">
        <v>25</v>
      </c>
      <c r="F1098" s="51" t="s">
        <v>25</v>
      </c>
      <c r="G1098" s="51" t="s">
        <v>25</v>
      </c>
      <c r="H1098" s="51" t="s">
        <v>25</v>
      </c>
      <c r="I1098" s="59">
        <v>44317</v>
      </c>
      <c r="J1098" s="60">
        <f ca="1">EFEITO!$J$1098*EFEITO!$Y$951</f>
        <v>168578.59711040766</v>
      </c>
      <c r="K1098" s="60">
        <f>EFEITO!$L$1098*EFEITO!$Z$951</f>
        <v>0</v>
      </c>
      <c r="L1098" s="60">
        <f>EFEITO!$N$1098*EFEITO!$AA$951</f>
        <v>0</v>
      </c>
      <c r="M1098" s="60">
        <f ca="1">$J$1098-EFEITO!$K$1098*EFEITO!$Y$1098</f>
        <v>3371.5719422081602</v>
      </c>
      <c r="N1098" s="60">
        <f>$K$1098-EFEITO!$M$1098*EFEITO!$Z$1098</f>
        <v>0</v>
      </c>
      <c r="O1098" s="60">
        <f>$L$1098-EFEITO!$O$1098*EFEITO!$AA$1098</f>
        <v>0</v>
      </c>
      <c r="P1098" s="18"/>
      <c r="Q1098" s="18"/>
      <c r="R1098" s="18"/>
      <c r="S1098" s="18"/>
      <c r="T1098" s="18"/>
      <c r="U1098" s="18"/>
      <c r="V1098" s="18"/>
      <c r="W1098" s="18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</row>
    <row r="1099" spans="1:36" ht="11.25" customHeight="1" x14ac:dyDescent="0.2">
      <c r="A1099" s="51" t="s">
        <v>27</v>
      </c>
      <c r="B1099" s="51" t="s">
        <v>41</v>
      </c>
      <c r="C1099" s="51" t="s">
        <v>42</v>
      </c>
      <c r="D1099" s="51" t="s">
        <v>45</v>
      </c>
      <c r="E1099" s="51" t="s">
        <v>25</v>
      </c>
      <c r="F1099" s="51" t="s">
        <v>25</v>
      </c>
      <c r="G1099" s="51" t="s">
        <v>25</v>
      </c>
      <c r="H1099" s="51" t="s">
        <v>25</v>
      </c>
      <c r="I1099" s="59">
        <v>44317</v>
      </c>
      <c r="J1099" s="60">
        <f ca="1">EFEITO!$J$1099*EFEITO!$Y$951</f>
        <v>26.598074646640526</v>
      </c>
      <c r="K1099" s="60">
        <f>EFEITO!$L$1099*EFEITO!$Z$951</f>
        <v>0</v>
      </c>
      <c r="L1099" s="60">
        <f>EFEITO!$N$1099*EFEITO!$AA$951</f>
        <v>0</v>
      </c>
      <c r="M1099" s="60">
        <f ca="1">$J$1099-EFEITO!$K$1099*EFEITO!$Y$1099</f>
        <v>0.53196149293281181</v>
      </c>
      <c r="N1099" s="60">
        <f>$K$1099-EFEITO!$M$1099*EFEITO!$Z$1099</f>
        <v>0</v>
      </c>
      <c r="O1099" s="60">
        <f>$L$1099-EFEITO!$O$1099*EFEITO!$AA$1099</f>
        <v>0</v>
      </c>
      <c r="P1099" s="18"/>
      <c r="Q1099" s="18"/>
      <c r="R1099" s="18"/>
      <c r="S1099" s="18"/>
      <c r="T1099" s="18"/>
      <c r="U1099" s="18"/>
      <c r="V1099" s="18"/>
      <c r="W1099" s="18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</row>
    <row r="1100" spans="1:36" ht="11.25" customHeight="1" x14ac:dyDescent="0.2">
      <c r="A1100" s="51" t="s">
        <v>28</v>
      </c>
      <c r="B1100" s="51" t="s">
        <v>41</v>
      </c>
      <c r="C1100" s="51" t="s">
        <v>42</v>
      </c>
      <c r="D1100" s="51" t="s">
        <v>45</v>
      </c>
      <c r="E1100" s="51" t="s">
        <v>25</v>
      </c>
      <c r="F1100" s="51" t="s">
        <v>25</v>
      </c>
      <c r="G1100" s="51" t="s">
        <v>25</v>
      </c>
      <c r="H1100" s="51" t="s">
        <v>25</v>
      </c>
      <c r="I1100" s="59">
        <v>44317</v>
      </c>
      <c r="J1100" s="60">
        <f ca="1">EFEITO!$J$1100*EFEITO!$Y$951</f>
        <v>6144.1552433739616</v>
      </c>
      <c r="K1100" s="60">
        <f>EFEITO!$L$1100*EFEITO!$Z$951</f>
        <v>0</v>
      </c>
      <c r="L1100" s="60">
        <f>EFEITO!$N$1100*EFEITO!$AA$951</f>
        <v>0</v>
      </c>
      <c r="M1100" s="60">
        <f ca="1">$J$1100-EFEITO!$K$1100*EFEITO!$Y$1100</f>
        <v>122.88310486747923</v>
      </c>
      <c r="N1100" s="60">
        <f>$K$1100-EFEITO!$M$1100*EFEITO!$Z$1100</f>
        <v>0</v>
      </c>
      <c r="O1100" s="60">
        <f>$L$1100-EFEITO!$O$1100*EFEITO!$AA$1100</f>
        <v>0</v>
      </c>
      <c r="P1100" s="18"/>
      <c r="Q1100" s="18"/>
      <c r="R1100" s="18"/>
      <c r="S1100" s="18"/>
      <c r="T1100" s="18"/>
      <c r="U1100" s="18"/>
      <c r="V1100" s="18"/>
      <c r="W1100" s="18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1:36" ht="11.25" customHeight="1" x14ac:dyDescent="0.2">
      <c r="A1101" s="51" t="s">
        <v>21</v>
      </c>
      <c r="B1101" s="51" t="s">
        <v>41</v>
      </c>
      <c r="C1101" s="51" t="s">
        <v>42</v>
      </c>
      <c r="D1101" s="51" t="s">
        <v>45</v>
      </c>
      <c r="E1101" s="51" t="s">
        <v>25</v>
      </c>
      <c r="F1101" s="51" t="s">
        <v>25</v>
      </c>
      <c r="G1101" s="51" t="s">
        <v>25</v>
      </c>
      <c r="H1101" s="51" t="s">
        <v>25</v>
      </c>
      <c r="I1101" s="59">
        <v>44348</v>
      </c>
      <c r="J1101" s="60">
        <f ca="1">EFEITO!$J$1101*EFEITO!$Y$951</f>
        <v>184032.07848010579</v>
      </c>
      <c r="K1101" s="60">
        <f>EFEITO!$L$1101*EFEITO!$Z$951</f>
        <v>0</v>
      </c>
      <c r="L1101" s="60">
        <f>EFEITO!$N$1101*EFEITO!$AA$951</f>
        <v>0</v>
      </c>
      <c r="M1101" s="60">
        <f ca="1">$J$1101-EFEITO!$K$1101*EFEITO!$Y$1101</f>
        <v>3680.6415696020995</v>
      </c>
      <c r="N1101" s="60">
        <f>$K$1101-EFEITO!$M$1101*EFEITO!$Z$1101</f>
        <v>0</v>
      </c>
      <c r="O1101" s="60">
        <f>$L$1101-EFEITO!$O$1101*EFEITO!$AA$1101</f>
        <v>0</v>
      </c>
      <c r="P1101" s="18"/>
      <c r="Q1101" s="18"/>
      <c r="R1101" s="18"/>
      <c r="S1101" s="18"/>
      <c r="T1101" s="18"/>
      <c r="U1101" s="18"/>
      <c r="V1101" s="18"/>
      <c r="W1101" s="18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</row>
    <row r="1102" spans="1:36" ht="11.25" customHeight="1" x14ac:dyDescent="0.2">
      <c r="A1102" s="51" t="s">
        <v>28</v>
      </c>
      <c r="B1102" s="51" t="s">
        <v>41</v>
      </c>
      <c r="C1102" s="51" t="s">
        <v>42</v>
      </c>
      <c r="D1102" s="51" t="s">
        <v>45</v>
      </c>
      <c r="E1102" s="51" t="s">
        <v>25</v>
      </c>
      <c r="F1102" s="51" t="s">
        <v>25</v>
      </c>
      <c r="G1102" s="51" t="s">
        <v>25</v>
      </c>
      <c r="H1102" s="51" t="s">
        <v>25</v>
      </c>
      <c r="I1102" s="59">
        <v>44348</v>
      </c>
      <c r="J1102" s="60">
        <f ca="1">EFEITO!$J$1102*EFEITO!$Y$951</f>
        <v>6330.3417659004454</v>
      </c>
      <c r="K1102" s="60">
        <f>EFEITO!$L$1102*EFEITO!$Z$951</f>
        <v>0</v>
      </c>
      <c r="L1102" s="60">
        <f>EFEITO!$N$1102*EFEITO!$AA$951</f>
        <v>0</v>
      </c>
      <c r="M1102" s="60">
        <f ca="1">$J$1102-EFEITO!$K$1102*EFEITO!$Y$1102</f>
        <v>126.60683531800896</v>
      </c>
      <c r="N1102" s="60">
        <f>$K$1102-EFEITO!$M$1102*EFEITO!$Z$1102</f>
        <v>0</v>
      </c>
      <c r="O1102" s="60">
        <f>$L$1102-EFEITO!$O$1102*EFEITO!$AA$1102</f>
        <v>0</v>
      </c>
      <c r="P1102" s="18"/>
      <c r="Q1102" s="18"/>
      <c r="R1102" s="18"/>
      <c r="S1102" s="18"/>
      <c r="T1102" s="18"/>
      <c r="U1102" s="18"/>
      <c r="V1102" s="18"/>
      <c r="W1102" s="18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</row>
    <row r="1103" spans="1:36" ht="11.25" customHeight="1" x14ac:dyDescent="0.2">
      <c r="A1103" s="51" t="s">
        <v>21</v>
      </c>
      <c r="B1103" s="51" t="s">
        <v>41</v>
      </c>
      <c r="C1103" s="51" t="s">
        <v>42</v>
      </c>
      <c r="D1103" s="51" t="s">
        <v>45</v>
      </c>
      <c r="E1103" s="51" t="s">
        <v>25</v>
      </c>
      <c r="F1103" s="51" t="s">
        <v>25</v>
      </c>
      <c r="G1103" s="51" t="s">
        <v>25</v>
      </c>
      <c r="H1103" s="51" t="s">
        <v>25</v>
      </c>
      <c r="I1103" s="59">
        <v>44378</v>
      </c>
      <c r="J1103" s="60">
        <f ca="1">EFEITO!$J$1103*EFEITO!$Y$951</f>
        <v>156503.07122083285</v>
      </c>
      <c r="K1103" s="60">
        <f>EFEITO!$L$1103*EFEITO!$Z$951</f>
        <v>0</v>
      </c>
      <c r="L1103" s="60">
        <f>EFEITO!$N$1103*EFEITO!$AA$951</f>
        <v>0</v>
      </c>
      <c r="M1103" s="60">
        <f ca="1">$J$1103-EFEITO!$K$1103*EFEITO!$Y$1103</f>
        <v>3130.0614244166645</v>
      </c>
      <c r="N1103" s="60">
        <f>$K$1103-EFEITO!$M$1103*EFEITO!$Z$1103</f>
        <v>0</v>
      </c>
      <c r="O1103" s="60">
        <f>$L$1103-EFEITO!$O$1103*EFEITO!$AA$1103</f>
        <v>0</v>
      </c>
      <c r="P1103" s="18"/>
      <c r="Q1103" s="18"/>
      <c r="R1103" s="18"/>
      <c r="S1103" s="18"/>
      <c r="T1103" s="18"/>
      <c r="U1103" s="18"/>
      <c r="V1103" s="18"/>
      <c r="W1103" s="18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</row>
    <row r="1104" spans="1:36" ht="11.25" customHeight="1" x14ac:dyDescent="0.2">
      <c r="A1104" s="51" t="s">
        <v>27</v>
      </c>
      <c r="B1104" s="51" t="s">
        <v>41</v>
      </c>
      <c r="C1104" s="51" t="s">
        <v>42</v>
      </c>
      <c r="D1104" s="51" t="s">
        <v>45</v>
      </c>
      <c r="E1104" s="51" t="s">
        <v>25</v>
      </c>
      <c r="F1104" s="51" t="s">
        <v>25</v>
      </c>
      <c r="G1104" s="51" t="s">
        <v>25</v>
      </c>
      <c r="H1104" s="51" t="s">
        <v>25</v>
      </c>
      <c r="I1104" s="59">
        <v>44378</v>
      </c>
      <c r="J1104" s="60">
        <f ca="1">EFEITO!$J$1104*EFEITO!$Y$951</f>
        <v>79.794223939921579</v>
      </c>
      <c r="K1104" s="60">
        <f>EFEITO!$L$1104*EFEITO!$Z$951</f>
        <v>0</v>
      </c>
      <c r="L1104" s="60">
        <f>EFEITO!$N$1104*EFEITO!$AA$951</f>
        <v>0</v>
      </c>
      <c r="M1104" s="60">
        <f ca="1">$J$1104-EFEITO!$K$1104*EFEITO!$Y$1104</f>
        <v>1.595884478798439</v>
      </c>
      <c r="N1104" s="60">
        <f>$K$1104-EFEITO!$M$1104*EFEITO!$Z$1104</f>
        <v>0</v>
      </c>
      <c r="O1104" s="60">
        <f>$L$1104-EFEITO!$O$1104*EFEITO!$AA$1104</f>
        <v>0</v>
      </c>
      <c r="P1104" s="18"/>
      <c r="Q1104" s="18"/>
      <c r="R1104" s="18"/>
      <c r="S1104" s="18"/>
      <c r="T1104" s="18"/>
      <c r="U1104" s="18"/>
      <c r="V1104" s="18"/>
      <c r="W1104" s="18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</row>
    <row r="1105" spans="1:36" ht="11.25" customHeight="1" x14ac:dyDescent="0.2">
      <c r="A1105" s="51" t="s">
        <v>28</v>
      </c>
      <c r="B1105" s="51" t="s">
        <v>41</v>
      </c>
      <c r="C1105" s="51" t="s">
        <v>42</v>
      </c>
      <c r="D1105" s="51" t="s">
        <v>45</v>
      </c>
      <c r="E1105" s="51" t="s">
        <v>25</v>
      </c>
      <c r="F1105" s="51" t="s">
        <v>25</v>
      </c>
      <c r="G1105" s="51" t="s">
        <v>25</v>
      </c>
      <c r="H1105" s="51" t="s">
        <v>25</v>
      </c>
      <c r="I1105" s="59">
        <v>44378</v>
      </c>
      <c r="J1105" s="60">
        <f ca="1">EFEITO!$J$1105*EFEITO!$Y$951</f>
        <v>5479.2033772079485</v>
      </c>
      <c r="K1105" s="60">
        <f>EFEITO!$L$1105*EFEITO!$Z$951</f>
        <v>0</v>
      </c>
      <c r="L1105" s="60">
        <f>EFEITO!$N$1105*EFEITO!$AA$951</f>
        <v>0</v>
      </c>
      <c r="M1105" s="60">
        <f ca="1">$J$1105-EFEITO!$K$1105*EFEITO!$Y$1105</f>
        <v>109.58406754415955</v>
      </c>
      <c r="N1105" s="60">
        <f>$K$1105-EFEITO!$M$1105*EFEITO!$Z$1105</f>
        <v>0</v>
      </c>
      <c r="O1105" s="60">
        <f>$L$1105-EFEITO!$O$1105*EFEITO!$AA$1105</f>
        <v>0</v>
      </c>
      <c r="P1105" s="18"/>
      <c r="Q1105" s="18"/>
      <c r="R1105" s="18"/>
      <c r="S1105" s="18"/>
      <c r="T1105" s="18"/>
      <c r="U1105" s="18"/>
      <c r="V1105" s="18"/>
      <c r="W1105" s="18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</row>
    <row r="1106" spans="1:36" ht="11.25" customHeight="1" x14ac:dyDescent="0.2">
      <c r="A1106" s="51" t="s">
        <v>21</v>
      </c>
      <c r="B1106" s="51" t="s">
        <v>41</v>
      </c>
      <c r="C1106" s="51" t="s">
        <v>42</v>
      </c>
      <c r="D1106" s="51" t="s">
        <v>45</v>
      </c>
      <c r="E1106" s="51" t="s">
        <v>25</v>
      </c>
      <c r="F1106" s="51" t="s">
        <v>25</v>
      </c>
      <c r="G1106" s="51" t="s">
        <v>25</v>
      </c>
      <c r="H1106" s="51" t="s">
        <v>25</v>
      </c>
      <c r="I1106" s="59">
        <v>44409</v>
      </c>
      <c r="J1106" s="60">
        <f ca="1">EFEITO!$J$1106*EFEITO!$Y$951</f>
        <v>192011.50087409795</v>
      </c>
      <c r="K1106" s="60">
        <f>EFEITO!$L$1106*EFEITO!$Z$951</f>
        <v>0</v>
      </c>
      <c r="L1106" s="60">
        <f>EFEITO!$N$1106*EFEITO!$AA$951</f>
        <v>0</v>
      </c>
      <c r="M1106" s="60">
        <f ca="1">$J$1106-EFEITO!$K$1106*EFEITO!$Y$1106</f>
        <v>3840.2300174819538</v>
      </c>
      <c r="N1106" s="60">
        <f>$K$1106-EFEITO!$M$1106*EFEITO!$Z$1106</f>
        <v>0</v>
      </c>
      <c r="O1106" s="60">
        <f>$L$1106-EFEITO!$O$1106*EFEITO!$AA$1106</f>
        <v>0</v>
      </c>
      <c r="P1106" s="18"/>
      <c r="Q1106" s="18"/>
      <c r="R1106" s="18"/>
      <c r="S1106" s="18"/>
      <c r="T1106" s="18"/>
      <c r="U1106" s="18"/>
      <c r="V1106" s="18"/>
      <c r="W1106" s="18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1:36" ht="11.25" customHeight="1" x14ac:dyDescent="0.2">
      <c r="A1107" s="51" t="s">
        <v>27</v>
      </c>
      <c r="B1107" s="51" t="s">
        <v>41</v>
      </c>
      <c r="C1107" s="51" t="s">
        <v>42</v>
      </c>
      <c r="D1107" s="51" t="s">
        <v>45</v>
      </c>
      <c r="E1107" s="51" t="s">
        <v>25</v>
      </c>
      <c r="F1107" s="51" t="s">
        <v>25</v>
      </c>
      <c r="G1107" s="51" t="s">
        <v>25</v>
      </c>
      <c r="H1107" s="51" t="s">
        <v>25</v>
      </c>
      <c r="I1107" s="59">
        <v>44409</v>
      </c>
      <c r="J1107" s="60">
        <f ca="1">EFEITO!$J$1107*EFEITO!$Y$951</f>
        <v>53.196149293281053</v>
      </c>
      <c r="K1107" s="60">
        <f>EFEITO!$L$1107*EFEITO!$Z$951</f>
        <v>0</v>
      </c>
      <c r="L1107" s="60">
        <f>EFEITO!$N$1107*EFEITO!$AA$951</f>
        <v>0</v>
      </c>
      <c r="M1107" s="60">
        <f ca="1">$J$1107-EFEITO!$K$1107*EFEITO!$Y$1107</f>
        <v>1.0639229858656236</v>
      </c>
      <c r="N1107" s="60">
        <f>$K$1107-EFEITO!$M$1107*EFEITO!$Z$1107</f>
        <v>0</v>
      </c>
      <c r="O1107" s="60">
        <f>$L$1107-EFEITO!$O$1107*EFEITO!$AA$1107</f>
        <v>0</v>
      </c>
      <c r="P1107" s="18"/>
      <c r="Q1107" s="18"/>
      <c r="R1107" s="18"/>
      <c r="S1107" s="18"/>
      <c r="T1107" s="18"/>
      <c r="U1107" s="18"/>
      <c r="V1107" s="18"/>
      <c r="W1107" s="18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</row>
    <row r="1108" spans="1:36" ht="11.25" customHeight="1" x14ac:dyDescent="0.2">
      <c r="A1108" s="51" t="s">
        <v>28</v>
      </c>
      <c r="B1108" s="51" t="s">
        <v>41</v>
      </c>
      <c r="C1108" s="51" t="s">
        <v>42</v>
      </c>
      <c r="D1108" s="51" t="s">
        <v>45</v>
      </c>
      <c r="E1108" s="51" t="s">
        <v>25</v>
      </c>
      <c r="F1108" s="51" t="s">
        <v>25</v>
      </c>
      <c r="G1108" s="51" t="s">
        <v>25</v>
      </c>
      <c r="H1108" s="51" t="s">
        <v>25</v>
      </c>
      <c r="I1108" s="59">
        <v>44409</v>
      </c>
      <c r="J1108" s="60">
        <f ca="1">EFEITO!$J$1108*EFEITO!$Y$951</f>
        <v>5399.4091532680268</v>
      </c>
      <c r="K1108" s="60">
        <f>EFEITO!$L$1108*EFEITO!$Z$951</f>
        <v>0</v>
      </c>
      <c r="L1108" s="60">
        <f>EFEITO!$N$1108*EFEITO!$AA$951</f>
        <v>0</v>
      </c>
      <c r="M1108" s="60">
        <f ca="1">$J$1108-EFEITO!$K$1108*EFEITO!$Y$1108</f>
        <v>107.98818306536032</v>
      </c>
      <c r="N1108" s="60">
        <f>$K$1108-EFEITO!$M$1108*EFEITO!$Z$1108</f>
        <v>0</v>
      </c>
      <c r="O1108" s="60">
        <f>$L$1108-EFEITO!$O$1108*EFEITO!$AA$1108</f>
        <v>0</v>
      </c>
      <c r="P1108" s="18"/>
      <c r="Q1108" s="18"/>
      <c r="R1108" s="18"/>
      <c r="S1108" s="18"/>
      <c r="T1108" s="18"/>
      <c r="U1108" s="18"/>
      <c r="V1108" s="18"/>
      <c r="W1108" s="18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</row>
    <row r="1109" spans="1:36" ht="11.25" customHeight="1" x14ac:dyDescent="0.2">
      <c r="A1109" s="51" t="s">
        <v>21</v>
      </c>
      <c r="B1109" s="51" t="s">
        <v>41</v>
      </c>
      <c r="C1109" s="51" t="s">
        <v>42</v>
      </c>
      <c r="D1109" s="51" t="s">
        <v>45</v>
      </c>
      <c r="E1109" s="51" t="s">
        <v>25</v>
      </c>
      <c r="F1109" s="51" t="s">
        <v>25</v>
      </c>
      <c r="G1109" s="51" t="s">
        <v>25</v>
      </c>
      <c r="H1109" s="51" t="s">
        <v>25</v>
      </c>
      <c r="I1109" s="59">
        <v>44440</v>
      </c>
      <c r="J1109" s="60">
        <f ca="1">EFEITO!$J$1109*EFEITO!$Y$951</f>
        <v>232546.96663557811</v>
      </c>
      <c r="K1109" s="60">
        <f>EFEITO!$L$1109*EFEITO!$Z$951</f>
        <v>0</v>
      </c>
      <c r="L1109" s="60">
        <f>EFEITO!$N$1109*EFEITO!$AA$951</f>
        <v>0</v>
      </c>
      <c r="M1109" s="60">
        <f ca="1">$J$1109-EFEITO!$K$1109*EFEITO!$Y$1109</f>
        <v>4650.9393327115686</v>
      </c>
      <c r="N1109" s="60">
        <f>$K$1109-EFEITO!$M$1109*EFEITO!$Z$1109</f>
        <v>0</v>
      </c>
      <c r="O1109" s="60">
        <f>$L$1109-EFEITO!$O$1109*EFEITO!$AA$1109</f>
        <v>0</v>
      </c>
      <c r="P1109" s="18"/>
      <c r="Q1109" s="18"/>
      <c r="R1109" s="18"/>
      <c r="S1109" s="18"/>
      <c r="T1109" s="18"/>
      <c r="U1109" s="18"/>
      <c r="V1109" s="18"/>
      <c r="W1109" s="18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</row>
    <row r="1110" spans="1:36" ht="11.25" customHeight="1" x14ac:dyDescent="0.2">
      <c r="A1110" s="51" t="s">
        <v>28</v>
      </c>
      <c r="B1110" s="51" t="s">
        <v>41</v>
      </c>
      <c r="C1110" s="51" t="s">
        <v>42</v>
      </c>
      <c r="D1110" s="51" t="s">
        <v>45</v>
      </c>
      <c r="E1110" s="51" t="s">
        <v>25</v>
      </c>
      <c r="F1110" s="51" t="s">
        <v>25</v>
      </c>
      <c r="G1110" s="51" t="s">
        <v>25</v>
      </c>
      <c r="H1110" s="51" t="s">
        <v>25</v>
      </c>
      <c r="I1110" s="59">
        <v>44440</v>
      </c>
      <c r="J1110" s="60">
        <f ca="1">EFEITO!$J$1110*EFEITO!$Y$951</f>
        <v>4548.2707645755299</v>
      </c>
      <c r="K1110" s="60">
        <f>EFEITO!$L$1110*EFEITO!$Z$951</f>
        <v>0</v>
      </c>
      <c r="L1110" s="60">
        <f>EFEITO!$N$1110*EFEITO!$AA$951</f>
        <v>0</v>
      </c>
      <c r="M1110" s="60">
        <f ca="1">$J$1110-EFEITO!$K$1110*EFEITO!$Y$1110</f>
        <v>90.965415291510908</v>
      </c>
      <c r="N1110" s="60">
        <f>$K$1110-EFEITO!$M$1110*EFEITO!$Z$1110</f>
        <v>0</v>
      </c>
      <c r="O1110" s="60">
        <f>$L$1110-EFEITO!$O$1110*EFEITO!$AA$1110</f>
        <v>0</v>
      </c>
      <c r="P1110" s="18"/>
      <c r="Q1110" s="18"/>
      <c r="R1110" s="18"/>
      <c r="S1110" s="18"/>
      <c r="T1110" s="18"/>
      <c r="U1110" s="18"/>
      <c r="V1110" s="18"/>
      <c r="W1110" s="18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</row>
    <row r="1111" spans="1:36" ht="11.25" customHeight="1" x14ac:dyDescent="0.2">
      <c r="A1111" s="51" t="s">
        <v>21</v>
      </c>
      <c r="B1111" s="51" t="s">
        <v>41</v>
      </c>
      <c r="C1111" s="51" t="s">
        <v>42</v>
      </c>
      <c r="D1111" s="51" t="s">
        <v>45</v>
      </c>
      <c r="E1111" s="51" t="s">
        <v>25</v>
      </c>
      <c r="F1111" s="51" t="s">
        <v>25</v>
      </c>
      <c r="G1111" s="51" t="s">
        <v>25</v>
      </c>
      <c r="H1111" s="51" t="s">
        <v>25</v>
      </c>
      <c r="I1111" s="59">
        <v>44470</v>
      </c>
      <c r="J1111" s="60">
        <f ca="1">EFEITO!$J$1111*EFEITO!$Y$951</f>
        <v>253373.25908389766</v>
      </c>
      <c r="K1111" s="60">
        <f>EFEITO!$L$1111*EFEITO!$Z$951</f>
        <v>0</v>
      </c>
      <c r="L1111" s="60">
        <f>EFEITO!$N$1111*EFEITO!$AA$951</f>
        <v>0</v>
      </c>
      <c r="M1111" s="60">
        <f ca="1">$J$1111-EFEITO!$K$1111*EFEITO!$Y$1111</f>
        <v>5067.4651816779806</v>
      </c>
      <c r="N1111" s="60">
        <f>$K$1111-EFEITO!$M$1111*EFEITO!$Z$1111</f>
        <v>0</v>
      </c>
      <c r="O1111" s="60">
        <f>$L$1111-EFEITO!$O$1111*EFEITO!$AA$1111</f>
        <v>0</v>
      </c>
      <c r="P1111" s="18"/>
      <c r="Q1111" s="18"/>
      <c r="R1111" s="18"/>
      <c r="S1111" s="18"/>
      <c r="T1111" s="18"/>
      <c r="U1111" s="18"/>
      <c r="V1111" s="18"/>
      <c r="W1111" s="18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</row>
    <row r="1112" spans="1:36" ht="11.25" customHeight="1" x14ac:dyDescent="0.2">
      <c r="A1112" s="51" t="s">
        <v>28</v>
      </c>
      <c r="B1112" s="51" t="s">
        <v>41</v>
      </c>
      <c r="C1112" s="51" t="s">
        <v>42</v>
      </c>
      <c r="D1112" s="51" t="s">
        <v>45</v>
      </c>
      <c r="E1112" s="51" t="s">
        <v>25</v>
      </c>
      <c r="F1112" s="51" t="s">
        <v>25</v>
      </c>
      <c r="G1112" s="51" t="s">
        <v>25</v>
      </c>
      <c r="H1112" s="51" t="s">
        <v>25</v>
      </c>
      <c r="I1112" s="59">
        <v>44470</v>
      </c>
      <c r="J1112" s="60">
        <f ca="1">EFEITO!$J$1112*EFEITO!$Y$951</f>
        <v>6223.9494673138834</v>
      </c>
      <c r="K1112" s="60">
        <f>EFEITO!$L$1112*EFEITO!$Z$951</f>
        <v>0</v>
      </c>
      <c r="L1112" s="60">
        <f>EFEITO!$N$1112*EFEITO!$AA$951</f>
        <v>0</v>
      </c>
      <c r="M1112" s="60">
        <f ca="1">$J$1112-EFEITO!$K$1112*EFEITO!$Y$1112</f>
        <v>124.47898934627847</v>
      </c>
      <c r="N1112" s="60">
        <f>$K$1112-EFEITO!$M$1112*EFEITO!$Z$1112</f>
        <v>0</v>
      </c>
      <c r="O1112" s="60">
        <f>$L$1112-EFEITO!$O$1112*EFEITO!$AA$1112</f>
        <v>0</v>
      </c>
      <c r="P1112" s="18"/>
      <c r="Q1112" s="18"/>
      <c r="R1112" s="18"/>
      <c r="S1112" s="18"/>
      <c r="T1112" s="18"/>
      <c r="U1112" s="18"/>
      <c r="V1112" s="18"/>
      <c r="W1112" s="18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1:36" ht="11.25" customHeight="1" x14ac:dyDescent="0.2">
      <c r="A1113" s="51" t="s">
        <v>21</v>
      </c>
      <c r="B1113" s="51" t="s">
        <v>41</v>
      </c>
      <c r="C1113" s="51" t="s">
        <v>42</v>
      </c>
      <c r="D1113" s="51" t="s">
        <v>45</v>
      </c>
      <c r="E1113" s="51" t="s">
        <v>25</v>
      </c>
      <c r="F1113" s="51" t="s">
        <v>25</v>
      </c>
      <c r="G1113" s="51" t="s">
        <v>25</v>
      </c>
      <c r="H1113" s="51" t="s">
        <v>25</v>
      </c>
      <c r="I1113" s="59">
        <v>44501</v>
      </c>
      <c r="J1113" s="60">
        <f ca="1">EFEITO!$J$1113*EFEITO!$Y$951</f>
        <v>239409.26989441138</v>
      </c>
      <c r="K1113" s="60">
        <f>EFEITO!$L$1113*EFEITO!$Z$951</f>
        <v>0</v>
      </c>
      <c r="L1113" s="60">
        <f>EFEITO!$N$1113*EFEITO!$AA$951</f>
        <v>0</v>
      </c>
      <c r="M1113" s="60">
        <f ca="1">$J$1113-EFEITO!$K$1113*EFEITO!$Y$1113</f>
        <v>4788.1853978882427</v>
      </c>
      <c r="N1113" s="60">
        <f>$K$1113-EFEITO!$M$1113*EFEITO!$Z$1113</f>
        <v>0</v>
      </c>
      <c r="O1113" s="60">
        <f>$L$1113-EFEITO!$O$1113*EFEITO!$AA$1113</f>
        <v>0</v>
      </c>
      <c r="P1113" s="18"/>
      <c r="Q1113" s="18"/>
      <c r="R1113" s="18"/>
      <c r="S1113" s="18"/>
      <c r="T1113" s="18"/>
      <c r="U1113" s="18"/>
      <c r="V1113" s="18"/>
      <c r="W1113" s="18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</row>
    <row r="1114" spans="1:36" ht="11.25" customHeight="1" x14ac:dyDescent="0.2">
      <c r="A1114" s="51" t="s">
        <v>28</v>
      </c>
      <c r="B1114" s="51" t="s">
        <v>41</v>
      </c>
      <c r="C1114" s="51" t="s">
        <v>42</v>
      </c>
      <c r="D1114" s="51" t="s">
        <v>45</v>
      </c>
      <c r="E1114" s="51" t="s">
        <v>25</v>
      </c>
      <c r="F1114" s="51" t="s">
        <v>25</v>
      </c>
      <c r="G1114" s="51" t="s">
        <v>25</v>
      </c>
      <c r="H1114" s="51" t="s">
        <v>25</v>
      </c>
      <c r="I1114" s="59">
        <v>44501</v>
      </c>
      <c r="J1114" s="60">
        <f ca="1">EFEITO!$J$1114*EFEITO!$Y$951</f>
        <v>6037.7629447873996</v>
      </c>
      <c r="K1114" s="60">
        <f>EFEITO!$L$1114*EFEITO!$Z$951</f>
        <v>0</v>
      </c>
      <c r="L1114" s="60">
        <f>EFEITO!$N$1114*EFEITO!$AA$951</f>
        <v>0</v>
      </c>
      <c r="M1114" s="60">
        <f ca="1">$J$1114-EFEITO!$K$1114*EFEITO!$Y$1114</f>
        <v>120.75525889574874</v>
      </c>
      <c r="N1114" s="60">
        <f>$K$1114-EFEITO!$M$1114*EFEITO!$Z$1114</f>
        <v>0</v>
      </c>
      <c r="O1114" s="60">
        <f>$L$1114-EFEITO!$O$1114*EFEITO!$AA$1114</f>
        <v>0</v>
      </c>
      <c r="P1114" s="18"/>
      <c r="Q1114" s="18"/>
      <c r="R1114" s="18"/>
      <c r="S1114" s="18"/>
      <c r="T1114" s="18"/>
      <c r="U1114" s="18"/>
      <c r="V1114" s="18"/>
      <c r="W1114" s="18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</row>
    <row r="1115" spans="1:36" ht="11.25" customHeight="1" x14ac:dyDescent="0.2">
      <c r="A1115" s="51" t="s">
        <v>21</v>
      </c>
      <c r="B1115" s="51" t="s">
        <v>41</v>
      </c>
      <c r="C1115" s="51" t="s">
        <v>42</v>
      </c>
      <c r="D1115" s="51" t="s">
        <v>45</v>
      </c>
      <c r="E1115" s="51" t="s">
        <v>25</v>
      </c>
      <c r="F1115" s="51" t="s">
        <v>25</v>
      </c>
      <c r="G1115" s="51" t="s">
        <v>25</v>
      </c>
      <c r="H1115" s="51" t="s">
        <v>25</v>
      </c>
      <c r="I1115" s="59">
        <v>44531</v>
      </c>
      <c r="J1115" s="60">
        <f ca="1">EFEITO!$J$1115*EFEITO!$Y$951</f>
        <v>207438.38416914947</v>
      </c>
      <c r="K1115" s="60">
        <f>EFEITO!$L$1115*EFEITO!$Z$951</f>
        <v>0</v>
      </c>
      <c r="L1115" s="60">
        <f>EFEITO!$N$1115*EFEITO!$AA$951</f>
        <v>0</v>
      </c>
      <c r="M1115" s="60">
        <f ca="1">$J$1115-EFEITO!$K$1115*EFEITO!$Y$1115</f>
        <v>4148.7676833830192</v>
      </c>
      <c r="N1115" s="60">
        <f>$K$1115-EFEITO!$M$1115*EFEITO!$Z$1115</f>
        <v>0</v>
      </c>
      <c r="O1115" s="60">
        <f>$L$1115-EFEITO!$O$1115*EFEITO!$AA$1115</f>
        <v>0</v>
      </c>
      <c r="P1115" s="18"/>
      <c r="Q1115" s="18"/>
      <c r="R1115" s="18"/>
      <c r="S1115" s="18"/>
      <c r="T1115" s="18"/>
      <c r="U1115" s="18"/>
      <c r="V1115" s="18"/>
      <c r="W1115" s="18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</row>
    <row r="1116" spans="1:36" ht="11.25" customHeight="1" x14ac:dyDescent="0.2">
      <c r="A1116" s="51" t="s">
        <v>28</v>
      </c>
      <c r="B1116" s="51" t="s">
        <v>41</v>
      </c>
      <c r="C1116" s="51" t="s">
        <v>42</v>
      </c>
      <c r="D1116" s="51" t="s">
        <v>45</v>
      </c>
      <c r="E1116" s="51" t="s">
        <v>25</v>
      </c>
      <c r="F1116" s="51" t="s">
        <v>25</v>
      </c>
      <c r="G1116" s="51" t="s">
        <v>25</v>
      </c>
      <c r="H1116" s="51" t="s">
        <v>25</v>
      </c>
      <c r="I1116" s="59">
        <v>44531</v>
      </c>
      <c r="J1116" s="60">
        <f ca="1">EFEITO!$J$1116*EFEITO!$Y$951</f>
        <v>5479.2033772079485</v>
      </c>
      <c r="K1116" s="60">
        <f>EFEITO!$L$1116*EFEITO!$Z$951</f>
        <v>0</v>
      </c>
      <c r="L1116" s="60">
        <f>EFEITO!$N$1116*EFEITO!$AA$951</f>
        <v>0</v>
      </c>
      <c r="M1116" s="60">
        <f ca="1">$J$1116-EFEITO!$K$1116*EFEITO!$Y$1116</f>
        <v>109.58406754415955</v>
      </c>
      <c r="N1116" s="60">
        <f>$K$1116-EFEITO!$M$1116*EFEITO!$Z$1116</f>
        <v>0</v>
      </c>
      <c r="O1116" s="60">
        <f>$L$1116-EFEITO!$O$1116*EFEITO!$AA$1116</f>
        <v>0</v>
      </c>
      <c r="P1116" s="18"/>
      <c r="Q1116" s="18"/>
      <c r="R1116" s="18"/>
      <c r="S1116" s="18"/>
      <c r="T1116" s="18"/>
      <c r="U1116" s="18"/>
      <c r="V1116" s="18"/>
      <c r="W1116" s="18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</row>
    <row r="1117" spans="1:36" ht="11.25" customHeight="1" x14ac:dyDescent="0.2">
      <c r="A1117" s="51" t="s">
        <v>21</v>
      </c>
      <c r="B1117" s="51" t="s">
        <v>41</v>
      </c>
      <c r="C1117" s="51" t="s">
        <v>42</v>
      </c>
      <c r="D1117" s="51" t="s">
        <v>45</v>
      </c>
      <c r="E1117" s="51" t="s">
        <v>25</v>
      </c>
      <c r="F1117" s="51" t="s">
        <v>25</v>
      </c>
      <c r="G1117" s="51" t="s">
        <v>25</v>
      </c>
      <c r="H1117" s="51" t="s">
        <v>25</v>
      </c>
      <c r="I1117" s="59">
        <v>44562</v>
      </c>
      <c r="J1117" s="60">
        <f ca="1">EFEITO!$J$1117*EFEITO!$Y$951</f>
        <v>216508.32762365389</v>
      </c>
      <c r="K1117" s="60">
        <f>EFEITO!$L$1117*EFEITO!$Z$951</f>
        <v>0</v>
      </c>
      <c r="L1117" s="60">
        <f>EFEITO!$N$1117*EFEITO!$AA$951</f>
        <v>0</v>
      </c>
      <c r="M1117" s="60">
        <f ca="1">$J$1117-EFEITO!$K$1117*EFEITO!$Y$1117</f>
        <v>4330.1665524730925</v>
      </c>
      <c r="N1117" s="60">
        <f>$K$1117-EFEITO!$M$1117*EFEITO!$Z$1117</f>
        <v>0</v>
      </c>
      <c r="O1117" s="60">
        <f>$L$1117-EFEITO!$O$1117*EFEITO!$AA$1117</f>
        <v>0</v>
      </c>
      <c r="P1117" s="18"/>
      <c r="Q1117" s="18"/>
      <c r="R1117" s="18"/>
      <c r="S1117" s="18"/>
      <c r="T1117" s="18"/>
      <c r="U1117" s="18"/>
      <c r="V1117" s="18"/>
      <c r="W1117" s="18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</row>
    <row r="1118" spans="1:36" ht="11.25" customHeight="1" x14ac:dyDescent="0.2">
      <c r="A1118" s="51" t="s">
        <v>27</v>
      </c>
      <c r="B1118" s="51" t="s">
        <v>41</v>
      </c>
      <c r="C1118" s="51" t="s">
        <v>42</v>
      </c>
      <c r="D1118" s="51" t="s">
        <v>45</v>
      </c>
      <c r="E1118" s="51" t="s">
        <v>25</v>
      </c>
      <c r="F1118" s="51" t="s">
        <v>25</v>
      </c>
      <c r="G1118" s="51" t="s">
        <v>25</v>
      </c>
      <c r="H1118" s="51" t="s">
        <v>25</v>
      </c>
      <c r="I1118" s="59">
        <v>44562</v>
      </c>
      <c r="J1118" s="60">
        <f ca="1">EFEITO!$J$1118*EFEITO!$Y$951</f>
        <v>-11011.602903709178</v>
      </c>
      <c r="K1118" s="60">
        <f>EFEITO!$L$1118*EFEITO!$Z$951</f>
        <v>0</v>
      </c>
      <c r="L1118" s="60">
        <f>EFEITO!$N$1118*EFEITO!$AA$951</f>
        <v>0</v>
      </c>
      <c r="M1118" s="60">
        <f ca="1">$J$1118-EFEITO!$K$1118*EFEITO!$Y$1118</f>
        <v>-220.23205807418344</v>
      </c>
      <c r="N1118" s="60">
        <f>$K$1118-EFEITO!$M$1118*EFEITO!$Z$1118</f>
        <v>0</v>
      </c>
      <c r="O1118" s="60">
        <f>$L$1118-EFEITO!$O$1118*EFEITO!$AA$1118</f>
        <v>0</v>
      </c>
      <c r="P1118" s="18"/>
      <c r="Q1118" s="18"/>
      <c r="R1118" s="18"/>
      <c r="S1118" s="18"/>
      <c r="T1118" s="18"/>
      <c r="U1118" s="18"/>
      <c r="V1118" s="18"/>
      <c r="W1118" s="18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1:36" ht="11.25" customHeight="1" x14ac:dyDescent="0.2">
      <c r="A1119" s="51" t="s">
        <v>28</v>
      </c>
      <c r="B1119" s="51" t="s">
        <v>41</v>
      </c>
      <c r="C1119" s="51" t="s">
        <v>42</v>
      </c>
      <c r="D1119" s="51" t="s">
        <v>45</v>
      </c>
      <c r="E1119" s="51" t="s">
        <v>25</v>
      </c>
      <c r="F1119" s="51" t="s">
        <v>25</v>
      </c>
      <c r="G1119" s="51" t="s">
        <v>25</v>
      </c>
      <c r="H1119" s="51" t="s">
        <v>25</v>
      </c>
      <c r="I1119" s="59">
        <v>44562</v>
      </c>
      <c r="J1119" s="60">
        <f ca="1">EFEITO!$J$1119*EFEITO!$Y$951</f>
        <v>4761.0553617486539</v>
      </c>
      <c r="K1119" s="60">
        <f>EFEITO!$L$1119*EFEITO!$Z$951</f>
        <v>0</v>
      </c>
      <c r="L1119" s="60">
        <f>EFEITO!$N$1119*EFEITO!$AA$951</f>
        <v>0</v>
      </c>
      <c r="M1119" s="60">
        <f ca="1">$J$1119-EFEITO!$K$1119*EFEITO!$Y$1119</f>
        <v>95.221107234972806</v>
      </c>
      <c r="N1119" s="60">
        <f>$K$1119-EFEITO!$M$1119*EFEITO!$Z$1119</f>
        <v>0</v>
      </c>
      <c r="O1119" s="60">
        <f>$L$1119-EFEITO!$O$1119*EFEITO!$AA$1119</f>
        <v>0</v>
      </c>
      <c r="P1119" s="18"/>
      <c r="Q1119" s="18"/>
      <c r="R1119" s="18"/>
      <c r="S1119" s="18"/>
      <c r="T1119" s="18"/>
      <c r="U1119" s="18"/>
      <c r="V1119" s="18"/>
      <c r="W1119" s="18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</row>
    <row r="1120" spans="1:36" ht="11.25" customHeight="1" x14ac:dyDescent="0.2">
      <c r="A1120" s="51" t="s">
        <v>21</v>
      </c>
      <c r="B1120" s="51" t="s">
        <v>41</v>
      </c>
      <c r="C1120" s="51" t="s">
        <v>42</v>
      </c>
      <c r="D1120" s="51" t="s">
        <v>45</v>
      </c>
      <c r="E1120" s="51" t="s">
        <v>25</v>
      </c>
      <c r="F1120" s="51" t="s">
        <v>25</v>
      </c>
      <c r="G1120" s="51" t="s">
        <v>25</v>
      </c>
      <c r="H1120" s="51" t="s">
        <v>25</v>
      </c>
      <c r="I1120" s="59">
        <v>44593</v>
      </c>
      <c r="J1120" s="60">
        <f ca="1">EFEITO!$J$1120*EFEITO!$Y$951</f>
        <v>229754.16879768088</v>
      </c>
      <c r="K1120" s="60">
        <f>EFEITO!$L$1120*EFEITO!$Z$951</f>
        <v>0</v>
      </c>
      <c r="L1120" s="60">
        <f>EFEITO!$N$1120*EFEITO!$AA$951</f>
        <v>0</v>
      </c>
      <c r="M1120" s="60">
        <f ca="1">$J$1120-EFEITO!$K$1120*EFEITO!$Y$1120</f>
        <v>4595.0833759536326</v>
      </c>
      <c r="N1120" s="60">
        <f>$K$1120-EFEITO!$M$1120*EFEITO!$Z$1120</f>
        <v>0</v>
      </c>
      <c r="O1120" s="60">
        <f>$L$1120-EFEITO!$O$1120*EFEITO!$AA$1120</f>
        <v>0</v>
      </c>
      <c r="P1120" s="18"/>
      <c r="Q1120" s="18"/>
      <c r="R1120" s="18"/>
      <c r="S1120" s="18"/>
      <c r="T1120" s="18"/>
      <c r="U1120" s="18"/>
      <c r="V1120" s="18"/>
      <c r="W1120" s="18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</row>
    <row r="1121" spans="1:36" ht="11.25" customHeight="1" x14ac:dyDescent="0.2">
      <c r="A1121" s="51" t="s">
        <v>27</v>
      </c>
      <c r="B1121" s="51" t="s">
        <v>41</v>
      </c>
      <c r="C1121" s="51" t="s">
        <v>42</v>
      </c>
      <c r="D1121" s="51" t="s">
        <v>45</v>
      </c>
      <c r="E1121" s="51" t="s">
        <v>25</v>
      </c>
      <c r="F1121" s="51" t="s">
        <v>25</v>
      </c>
      <c r="G1121" s="51" t="s">
        <v>25</v>
      </c>
      <c r="H1121" s="51" t="s">
        <v>25</v>
      </c>
      <c r="I1121" s="59">
        <v>44593</v>
      </c>
      <c r="J1121" s="60">
        <f ca="1">EFEITO!$J$1121*EFEITO!$Y$951</f>
        <v>372.37304505296737</v>
      </c>
      <c r="K1121" s="60">
        <f>EFEITO!$L$1121*EFEITO!$Z$951</f>
        <v>0</v>
      </c>
      <c r="L1121" s="60">
        <f>EFEITO!$N$1121*EFEITO!$AA$951</f>
        <v>0</v>
      </c>
      <c r="M1121" s="60">
        <f ca="1">$J$1121-EFEITO!$K$1121*EFEITO!$Y$1121</f>
        <v>7.447460901059344</v>
      </c>
      <c r="N1121" s="60">
        <f>$K$1121-EFEITO!$M$1121*EFEITO!$Z$1121</f>
        <v>0</v>
      </c>
      <c r="O1121" s="60">
        <f>$L$1121-EFEITO!$O$1121*EFEITO!$AA$1121</f>
        <v>0</v>
      </c>
      <c r="P1121" s="18"/>
      <c r="Q1121" s="18"/>
      <c r="R1121" s="18"/>
      <c r="S1121" s="18"/>
      <c r="T1121" s="18"/>
      <c r="U1121" s="18"/>
      <c r="V1121" s="18"/>
      <c r="W1121" s="18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</row>
    <row r="1122" spans="1:36" ht="11.25" customHeight="1" x14ac:dyDescent="0.2">
      <c r="A1122" s="51" t="s">
        <v>28</v>
      </c>
      <c r="B1122" s="51" t="s">
        <v>41</v>
      </c>
      <c r="C1122" s="51" t="s">
        <v>42</v>
      </c>
      <c r="D1122" s="51" t="s">
        <v>45</v>
      </c>
      <c r="E1122" s="51" t="s">
        <v>25</v>
      </c>
      <c r="F1122" s="51" t="s">
        <v>25</v>
      </c>
      <c r="G1122" s="51" t="s">
        <v>25</v>
      </c>
      <c r="H1122" s="51" t="s">
        <v>25</v>
      </c>
      <c r="I1122" s="59">
        <v>44593</v>
      </c>
      <c r="J1122" s="60">
        <f ca="1">EFEITO!$J$1122*EFEITO!$Y$951</f>
        <v>7181.4801545929422</v>
      </c>
      <c r="K1122" s="60">
        <f>EFEITO!$L$1122*EFEITO!$Z$951</f>
        <v>0</v>
      </c>
      <c r="L1122" s="60">
        <f>EFEITO!$N$1122*EFEITO!$AA$951</f>
        <v>0</v>
      </c>
      <c r="M1122" s="60">
        <f ca="1">$J$1122-EFEITO!$K$1122*EFEITO!$Y$1122</f>
        <v>143.62960309185928</v>
      </c>
      <c r="N1122" s="60">
        <f>$K$1122-EFEITO!$M$1122*EFEITO!$Z$1122</f>
        <v>0</v>
      </c>
      <c r="O1122" s="60">
        <f>$L$1122-EFEITO!$O$1122*EFEITO!$AA$1122</f>
        <v>0</v>
      </c>
      <c r="P1122" s="18"/>
      <c r="Q1122" s="18"/>
      <c r="R1122" s="18"/>
      <c r="S1122" s="18"/>
      <c r="T1122" s="18"/>
      <c r="U1122" s="18"/>
      <c r="V1122" s="18"/>
      <c r="W1122" s="18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</row>
    <row r="1123" spans="1:36" ht="11.25" customHeight="1" x14ac:dyDescent="0.2">
      <c r="A1123" s="51" t="s">
        <v>56</v>
      </c>
      <c r="B1123" s="51" t="s">
        <v>41</v>
      </c>
      <c r="C1123" s="51" t="s">
        <v>42</v>
      </c>
      <c r="D1123" s="51" t="s">
        <v>45</v>
      </c>
      <c r="E1123" s="51" t="s">
        <v>25</v>
      </c>
      <c r="F1123" s="51" t="s">
        <v>25</v>
      </c>
      <c r="G1123" s="51" t="s">
        <v>25</v>
      </c>
      <c r="H1123" s="51" t="s">
        <v>25</v>
      </c>
      <c r="I1123" s="59">
        <v>44621</v>
      </c>
      <c r="J1123" s="60">
        <f ca="1">EFEITO!$J$1123*EFEITO!$Y$951</f>
        <v>229754.16879768088</v>
      </c>
      <c r="K1123" s="60">
        <f>EFEITO!$L$1123*EFEITO!$Z$951</f>
        <v>0</v>
      </c>
      <c r="L1123" s="60">
        <f>EFEITO!$N$1123*EFEITO!$AA$951</f>
        <v>0</v>
      </c>
      <c r="M1123" s="60">
        <f ca="1">$J$1123-EFEITO!$K$1123*EFEITO!$Y$1123</f>
        <v>4595.0833759536326</v>
      </c>
      <c r="N1123" s="60">
        <f>$K$1123-EFEITO!$M$1123*EFEITO!$Z$1123</f>
        <v>0</v>
      </c>
      <c r="O1123" s="60">
        <f>$L$1123-EFEITO!$O$1123*EFEITO!$AA$1123</f>
        <v>0</v>
      </c>
      <c r="P1123" s="18"/>
      <c r="Q1123" s="18"/>
      <c r="R1123" s="18"/>
      <c r="S1123" s="18"/>
      <c r="T1123" s="18"/>
      <c r="U1123" s="18"/>
      <c r="V1123" s="18"/>
      <c r="W1123" s="18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</row>
    <row r="1124" spans="1:36" ht="11.25" customHeight="1" x14ac:dyDescent="0.2">
      <c r="A1124" s="51" t="s">
        <v>56</v>
      </c>
      <c r="B1124" s="51" t="s">
        <v>41</v>
      </c>
      <c r="C1124" s="51" t="s">
        <v>42</v>
      </c>
      <c r="D1124" s="51" t="s">
        <v>45</v>
      </c>
      <c r="E1124" s="51" t="s">
        <v>25</v>
      </c>
      <c r="F1124" s="51" t="s">
        <v>25</v>
      </c>
      <c r="G1124" s="51" t="s">
        <v>25</v>
      </c>
      <c r="H1124" s="51" t="s">
        <v>25</v>
      </c>
      <c r="I1124" s="59">
        <v>44621</v>
      </c>
      <c r="J1124" s="60">
        <f ca="1">EFEITO!$J$1124*EFEITO!$Y$951</f>
        <v>372.37304505296737</v>
      </c>
      <c r="K1124" s="60">
        <f>EFEITO!$L$1124*EFEITO!$Z$951</f>
        <v>0</v>
      </c>
      <c r="L1124" s="60">
        <f>EFEITO!$N$1124*EFEITO!$AA$951</f>
        <v>0</v>
      </c>
      <c r="M1124" s="60">
        <f ca="1">$J$1124-EFEITO!$K$1124*EFEITO!$Y$1124</f>
        <v>7.447460901059344</v>
      </c>
      <c r="N1124" s="60">
        <f>$K$1124-EFEITO!$M$1124*EFEITO!$Z$1124</f>
        <v>0</v>
      </c>
      <c r="O1124" s="60">
        <f>$L$1124-EFEITO!$O$1124*EFEITO!$AA$1124</f>
        <v>0</v>
      </c>
      <c r="P1124" s="18"/>
      <c r="Q1124" s="18"/>
      <c r="R1124" s="18"/>
      <c r="S1124" s="18"/>
      <c r="T1124" s="18"/>
      <c r="U1124" s="18"/>
      <c r="V1124" s="18"/>
      <c r="W1124" s="18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1:36" ht="11.25" customHeight="1" x14ac:dyDescent="0.2">
      <c r="A1125" s="51" t="s">
        <v>56</v>
      </c>
      <c r="B1125" s="51" t="s">
        <v>41</v>
      </c>
      <c r="C1125" s="51" t="s">
        <v>42</v>
      </c>
      <c r="D1125" s="51" t="s">
        <v>45</v>
      </c>
      <c r="E1125" s="51" t="s">
        <v>25</v>
      </c>
      <c r="F1125" s="51" t="s">
        <v>25</v>
      </c>
      <c r="G1125" s="51" t="s">
        <v>25</v>
      </c>
      <c r="H1125" s="51" t="s">
        <v>25</v>
      </c>
      <c r="I1125" s="59">
        <v>44621</v>
      </c>
      <c r="J1125" s="60">
        <f ca="1">EFEITO!$J$1125*EFEITO!$Y$951</f>
        <v>7181.4801545929422</v>
      </c>
      <c r="K1125" s="60">
        <f>EFEITO!$L$1125*EFEITO!$Z$951</f>
        <v>0</v>
      </c>
      <c r="L1125" s="60">
        <f>EFEITO!$N$1125*EFEITO!$AA$951</f>
        <v>0</v>
      </c>
      <c r="M1125" s="60">
        <f ca="1">$J$1125-EFEITO!$K$1125*EFEITO!$Y$1125</f>
        <v>143.62960309185928</v>
      </c>
      <c r="N1125" s="60">
        <f>$K$1125-EFEITO!$M$1125*EFEITO!$Z$1125</f>
        <v>0</v>
      </c>
      <c r="O1125" s="60">
        <f>$L$1125-EFEITO!$O$1125*EFEITO!$AA$1125</f>
        <v>0</v>
      </c>
      <c r="P1125" s="18"/>
      <c r="Q1125" s="18"/>
      <c r="R1125" s="18"/>
      <c r="S1125" s="18"/>
      <c r="T1125" s="18"/>
      <c r="U1125" s="18"/>
      <c r="V1125" s="18"/>
      <c r="W1125" s="18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</row>
    <row r="1126" spans="1:36" ht="11.25" customHeight="1" x14ac:dyDescent="0.2">
      <c r="A1126" s="51" t="s">
        <v>21</v>
      </c>
      <c r="B1126" s="51" t="s">
        <v>41</v>
      </c>
      <c r="C1126" s="51" t="s">
        <v>42</v>
      </c>
      <c r="D1126" s="51" t="s">
        <v>45</v>
      </c>
      <c r="E1126" s="51" t="s">
        <v>25</v>
      </c>
      <c r="F1126" s="51" t="s">
        <v>25</v>
      </c>
      <c r="G1126" s="51" t="s">
        <v>25</v>
      </c>
      <c r="H1126" s="51" t="s">
        <v>34</v>
      </c>
      <c r="I1126" s="59">
        <v>44287</v>
      </c>
      <c r="J1126" s="60">
        <f>EFEITO!$J$1126*EFEITO!$Y$978</f>
        <v>0</v>
      </c>
      <c r="K1126" s="60">
        <f ca="1">EFEITO!$L$1126*EFEITO!$Z$978</f>
        <v>56507.75401403338</v>
      </c>
      <c r="L1126" s="60">
        <f>EFEITO!$N$1126*EFEITO!$AA$978</f>
        <v>11116.220425624811</v>
      </c>
      <c r="M1126" s="60">
        <f>$J$1126-EFEITO!$K$1126*EFEITO!$Y$1126</f>
        <v>0</v>
      </c>
      <c r="N1126" s="60">
        <f ca="1">$K$1126-EFEITO!$M$1126*EFEITO!$Z$1126</f>
        <v>1130.1550802806669</v>
      </c>
      <c r="O1126" s="60">
        <f>$L$1126-EFEITO!$O$1126*EFEITO!$AA$1126</f>
        <v>222.32440851249703</v>
      </c>
      <c r="P1126" s="18"/>
      <c r="Q1126" s="18"/>
      <c r="R1126" s="18"/>
      <c r="S1126" s="18"/>
      <c r="T1126" s="18"/>
      <c r="U1126" s="18"/>
      <c r="V1126" s="18"/>
      <c r="W1126" s="18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</row>
    <row r="1127" spans="1:36" ht="11.25" customHeight="1" x14ac:dyDescent="0.2">
      <c r="A1127" s="51" t="s">
        <v>21</v>
      </c>
      <c r="B1127" s="51" t="s">
        <v>41</v>
      </c>
      <c r="C1127" s="51" t="s">
        <v>42</v>
      </c>
      <c r="D1127" s="51" t="s">
        <v>45</v>
      </c>
      <c r="E1127" s="51" t="s">
        <v>25</v>
      </c>
      <c r="F1127" s="51" t="s">
        <v>25</v>
      </c>
      <c r="G1127" s="51" t="s">
        <v>25</v>
      </c>
      <c r="H1127" s="51" t="s">
        <v>34</v>
      </c>
      <c r="I1127" s="59">
        <v>44317</v>
      </c>
      <c r="J1127" s="60">
        <f>EFEITO!$J$1127*EFEITO!$Y$978</f>
        <v>0</v>
      </c>
      <c r="K1127" s="60">
        <f ca="1">EFEITO!$L$1127*EFEITO!$Z$978</f>
        <v>477998.33031840896</v>
      </c>
      <c r="L1127" s="60">
        <f>EFEITO!$N$1127*EFEITO!$AA$978</f>
        <v>94031.958898604731</v>
      </c>
      <c r="M1127" s="60">
        <f>$J$1127-EFEITO!$K$1127*EFEITO!$Y$1127</f>
        <v>0</v>
      </c>
      <c r="N1127" s="60">
        <f ca="1">$K$1127-EFEITO!$M$1127*EFEITO!$Z$1127</f>
        <v>9559.9666063681943</v>
      </c>
      <c r="O1127" s="60">
        <f>$L$1127-EFEITO!$O$1127*EFEITO!$AA$1127</f>
        <v>1880.6391779721016</v>
      </c>
      <c r="P1127" s="18"/>
      <c r="Q1127" s="18"/>
      <c r="R1127" s="18"/>
      <c r="S1127" s="18"/>
      <c r="T1127" s="18"/>
      <c r="U1127" s="18"/>
      <c r="V1127" s="18"/>
      <c r="W1127" s="18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</row>
    <row r="1128" spans="1:36" ht="11.25" customHeight="1" x14ac:dyDescent="0.2">
      <c r="A1128" s="51" t="s">
        <v>27</v>
      </c>
      <c r="B1128" s="51" t="s">
        <v>41</v>
      </c>
      <c r="C1128" s="51" t="s">
        <v>42</v>
      </c>
      <c r="D1128" s="51" t="s">
        <v>45</v>
      </c>
      <c r="E1128" s="51" t="s">
        <v>25</v>
      </c>
      <c r="F1128" s="51" t="s">
        <v>25</v>
      </c>
      <c r="G1128" s="51" t="s">
        <v>25</v>
      </c>
      <c r="H1128" s="51" t="s">
        <v>34</v>
      </c>
      <c r="I1128" s="59">
        <v>44317</v>
      </c>
      <c r="J1128" s="60">
        <f>EFEITO!$J$1128*EFEITO!$Y$978</f>
        <v>0</v>
      </c>
      <c r="K1128" s="60">
        <f ca="1">EFEITO!$L$1128*EFEITO!$Z$978</f>
        <v>147.03116896905843</v>
      </c>
      <c r="L1128" s="60">
        <f>EFEITO!$N$1128*EFEITO!$AA$978</f>
        <v>28.924010734729233</v>
      </c>
      <c r="M1128" s="60">
        <f>$J$1128-EFEITO!$K$1128*EFEITO!$Y$1128</f>
        <v>0</v>
      </c>
      <c r="N1128" s="60">
        <f ca="1">$K$1128-EFEITO!$M$1128*EFEITO!$Z$1128</f>
        <v>2.9406233793811793</v>
      </c>
      <c r="O1128" s="60">
        <f>$L$1128-EFEITO!$O$1128*EFEITO!$AA$1128</f>
        <v>0.57848021469458644</v>
      </c>
      <c r="P1128" s="18"/>
      <c r="Q1128" s="18"/>
      <c r="R1128" s="18"/>
      <c r="S1128" s="18"/>
      <c r="T1128" s="18"/>
      <c r="U1128" s="18"/>
      <c r="V1128" s="18"/>
      <c r="W1128" s="18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</row>
    <row r="1129" spans="1:36" ht="11.25" customHeight="1" x14ac:dyDescent="0.2">
      <c r="A1129" s="51" t="s">
        <v>21</v>
      </c>
      <c r="B1129" s="51" t="s">
        <v>41</v>
      </c>
      <c r="C1129" s="51" t="s">
        <v>42</v>
      </c>
      <c r="D1129" s="51" t="s">
        <v>45</v>
      </c>
      <c r="E1129" s="51" t="s">
        <v>25</v>
      </c>
      <c r="F1129" s="51" t="s">
        <v>25</v>
      </c>
      <c r="G1129" s="51" t="s">
        <v>25</v>
      </c>
      <c r="H1129" s="51" t="s">
        <v>34</v>
      </c>
      <c r="I1129" s="59">
        <v>44348</v>
      </c>
      <c r="J1129" s="60">
        <f>EFEITO!$J$1129*EFEITO!$Y$978</f>
        <v>0</v>
      </c>
      <c r="K1129" s="60">
        <f ca="1">EFEITO!$L$1129*EFEITO!$Z$978</f>
        <v>45057.701730567955</v>
      </c>
      <c r="L1129" s="60">
        <f>EFEITO!$N$1129*EFEITO!$AA$978</f>
        <v>8863.7630896577721</v>
      </c>
      <c r="M1129" s="60">
        <f>$J$1129-EFEITO!$K$1129*EFEITO!$Y$1129</f>
        <v>0</v>
      </c>
      <c r="N1129" s="60">
        <f ca="1">$K$1129-EFEITO!$M$1129*EFEITO!$Z$1129</f>
        <v>901.15403461136157</v>
      </c>
      <c r="O1129" s="60">
        <f>$L$1129-EFEITO!$O$1129*EFEITO!$AA$1129</f>
        <v>177.27526179315646</v>
      </c>
      <c r="P1129" s="18"/>
      <c r="Q1129" s="18"/>
      <c r="R1129" s="18"/>
      <c r="S1129" s="18"/>
      <c r="T1129" s="18"/>
      <c r="U1129" s="18"/>
      <c r="V1129" s="18"/>
      <c r="W1129" s="18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</row>
    <row r="1130" spans="1:36" ht="11.25" customHeight="1" x14ac:dyDescent="0.2">
      <c r="A1130" s="51" t="s">
        <v>21</v>
      </c>
      <c r="B1130" s="51" t="s">
        <v>41</v>
      </c>
      <c r="C1130" s="51" t="s">
        <v>42</v>
      </c>
      <c r="D1130" s="51" t="s">
        <v>45</v>
      </c>
      <c r="E1130" s="51" t="s">
        <v>25</v>
      </c>
      <c r="F1130" s="51" t="s">
        <v>25</v>
      </c>
      <c r="G1130" s="51" t="s">
        <v>25</v>
      </c>
      <c r="H1130" s="51" t="s">
        <v>34</v>
      </c>
      <c r="I1130" s="59">
        <v>44378</v>
      </c>
      <c r="J1130" s="60">
        <f>EFEITO!$J$1130*EFEITO!$Y$978</f>
        <v>0</v>
      </c>
      <c r="K1130" s="60">
        <f ca="1">EFEITO!$L$1130*EFEITO!$Z$978</f>
        <v>51438.85446382509</v>
      </c>
      <c r="L1130" s="60">
        <f>EFEITO!$N$1130*EFEITO!$AA$978</f>
        <v>10119.065155545022</v>
      </c>
      <c r="M1130" s="60">
        <f>$J$1130-EFEITO!$K$1130*EFEITO!$Y$1130</f>
        <v>0</v>
      </c>
      <c r="N1130" s="60">
        <f ca="1">$K$1130-EFEITO!$M$1130*EFEITO!$Z$1130</f>
        <v>1028.7770892765038</v>
      </c>
      <c r="O1130" s="60">
        <f>$L$1130-EFEITO!$O$1130*EFEITO!$AA$1130</f>
        <v>202.38130311090208</v>
      </c>
      <c r="P1130" s="18"/>
      <c r="Q1130" s="18"/>
      <c r="R1130" s="18"/>
      <c r="S1130" s="18"/>
      <c r="T1130" s="18"/>
      <c r="U1130" s="18"/>
      <c r="V1130" s="18"/>
      <c r="W1130" s="18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1:36" ht="11.25" customHeight="1" x14ac:dyDescent="0.2">
      <c r="A1131" s="51" t="s">
        <v>27</v>
      </c>
      <c r="B1131" s="51" t="s">
        <v>41</v>
      </c>
      <c r="C1131" s="51" t="s">
        <v>42</v>
      </c>
      <c r="D1131" s="51" t="s">
        <v>45</v>
      </c>
      <c r="E1131" s="51" t="s">
        <v>25</v>
      </c>
      <c r="F1131" s="51" t="s">
        <v>25</v>
      </c>
      <c r="G1131" s="51" t="s">
        <v>25</v>
      </c>
      <c r="H1131" s="51" t="s">
        <v>34</v>
      </c>
      <c r="I1131" s="59">
        <v>44378</v>
      </c>
      <c r="J1131" s="60">
        <f>EFEITO!$J$1131*EFEITO!$Y$978</f>
        <v>0</v>
      </c>
      <c r="K1131" s="60">
        <f ca="1">EFEITO!$L$1131*EFEITO!$Z$978</f>
        <v>150.70694819328492</v>
      </c>
      <c r="L1131" s="60">
        <f>EFEITO!$N$1131*EFEITO!$AA$978</f>
        <v>29.647111003097464</v>
      </c>
      <c r="M1131" s="60">
        <f>$J$1131-EFEITO!$K$1131*EFEITO!$Y$1131</f>
        <v>0</v>
      </c>
      <c r="N1131" s="60">
        <f ca="1">$K$1131-EFEITO!$M$1131*EFEITO!$Z$1131</f>
        <v>3.0141389638657188</v>
      </c>
      <c r="O1131" s="60">
        <f>$L$1131-EFEITO!$O$1131*EFEITO!$AA$1131</f>
        <v>0.59294222006195341</v>
      </c>
      <c r="P1131" s="18"/>
      <c r="Q1131" s="18"/>
      <c r="R1131" s="18"/>
      <c r="S1131" s="18"/>
      <c r="T1131" s="18"/>
      <c r="U1131" s="18"/>
      <c r="V1131" s="18"/>
      <c r="W1131" s="18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</row>
    <row r="1132" spans="1:36" ht="11.25" customHeight="1" x14ac:dyDescent="0.2">
      <c r="A1132" s="51" t="s">
        <v>28</v>
      </c>
      <c r="B1132" s="51" t="s">
        <v>41</v>
      </c>
      <c r="C1132" s="51" t="s">
        <v>42</v>
      </c>
      <c r="D1132" s="51" t="s">
        <v>45</v>
      </c>
      <c r="E1132" s="51" t="s">
        <v>25</v>
      </c>
      <c r="F1132" s="51" t="s">
        <v>25</v>
      </c>
      <c r="G1132" s="51" t="s">
        <v>25</v>
      </c>
      <c r="H1132" s="51" t="s">
        <v>34</v>
      </c>
      <c r="I1132" s="59">
        <v>44378</v>
      </c>
      <c r="J1132" s="60">
        <f>EFEITO!$J$1132*EFEITO!$Y$978</f>
        <v>0</v>
      </c>
      <c r="K1132" s="60">
        <f ca="1">EFEITO!$L$1132*EFEITO!$Z$978</f>
        <v>643.26136423963067</v>
      </c>
      <c r="L1132" s="60">
        <f>EFEITO!$N$1132*EFEITO!$AA$978</f>
        <v>126.54254696444038</v>
      </c>
      <c r="M1132" s="60">
        <f>$J$1132-EFEITO!$K$1132*EFEITO!$Y$1132</f>
        <v>0</v>
      </c>
      <c r="N1132" s="60">
        <f ca="1">$K$1132-EFEITO!$M$1132*EFEITO!$Z$1132</f>
        <v>12.865227284792695</v>
      </c>
      <c r="O1132" s="60">
        <f>$L$1132-EFEITO!$O$1132*EFEITO!$AA$1132</f>
        <v>2.5308509392888112</v>
      </c>
      <c r="P1132" s="18"/>
      <c r="Q1132" s="18"/>
      <c r="R1132" s="18"/>
      <c r="S1132" s="18"/>
      <c r="T1132" s="18"/>
      <c r="U1132" s="18"/>
      <c r="V1132" s="18"/>
      <c r="W1132" s="18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</row>
    <row r="1133" spans="1:36" ht="11.25" customHeight="1" x14ac:dyDescent="0.2">
      <c r="A1133" s="51" t="s">
        <v>21</v>
      </c>
      <c r="B1133" s="51" t="s">
        <v>41</v>
      </c>
      <c r="C1133" s="51" t="s">
        <v>42</v>
      </c>
      <c r="D1133" s="51" t="s">
        <v>45</v>
      </c>
      <c r="E1133" s="51" t="s">
        <v>25</v>
      </c>
      <c r="F1133" s="51" t="s">
        <v>25</v>
      </c>
      <c r="G1133" s="51" t="s">
        <v>25</v>
      </c>
      <c r="H1133" s="51" t="s">
        <v>34</v>
      </c>
      <c r="I1133" s="59">
        <v>44409</v>
      </c>
      <c r="J1133" s="60">
        <f>EFEITO!$J$1133*EFEITO!$Y$978</f>
        <v>0</v>
      </c>
      <c r="K1133" s="60">
        <f ca="1">EFEITO!$L$1133*EFEITO!$Z$978</f>
        <v>45315.006276263804</v>
      </c>
      <c r="L1133" s="60">
        <f>EFEITO!$N$1133*EFEITO!$AA$978</f>
        <v>8914.380108443549</v>
      </c>
      <c r="M1133" s="60">
        <f>$J$1133-EFEITO!$K$1133*EFEITO!$Y$1133</f>
        <v>0</v>
      </c>
      <c r="N1133" s="60">
        <f ca="1">$K$1133-EFEITO!$M$1133*EFEITO!$Z$1133</f>
        <v>906.30012552527478</v>
      </c>
      <c r="O1133" s="60">
        <f>$L$1133-EFEITO!$O$1133*EFEITO!$AA$1133</f>
        <v>178.28760216887167</v>
      </c>
      <c r="P1133" s="18"/>
      <c r="Q1133" s="18"/>
      <c r="R1133" s="18"/>
      <c r="S1133" s="18"/>
      <c r="T1133" s="18"/>
      <c r="U1133" s="18"/>
      <c r="V1133" s="18"/>
      <c r="W1133" s="18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</row>
    <row r="1134" spans="1:36" ht="11.25" customHeight="1" x14ac:dyDescent="0.2">
      <c r="A1134" s="51" t="s">
        <v>27</v>
      </c>
      <c r="B1134" s="51" t="s">
        <v>41</v>
      </c>
      <c r="C1134" s="51" t="s">
        <v>42</v>
      </c>
      <c r="D1134" s="51" t="s">
        <v>45</v>
      </c>
      <c r="E1134" s="51" t="s">
        <v>25</v>
      </c>
      <c r="F1134" s="51" t="s">
        <v>25</v>
      </c>
      <c r="G1134" s="51" t="s">
        <v>25</v>
      </c>
      <c r="H1134" s="51" t="s">
        <v>34</v>
      </c>
      <c r="I1134" s="59">
        <v>44409</v>
      </c>
      <c r="J1134" s="60">
        <f>EFEITO!$J$1134*EFEITO!$Y$978</f>
        <v>0</v>
      </c>
      <c r="K1134" s="60">
        <f ca="1">EFEITO!$L$1134*EFEITO!$Z$978</f>
        <v>-428412.06858359399</v>
      </c>
      <c r="L1134" s="60">
        <f>EFEITO!$N$1134*EFEITO!$AA$978</f>
        <v>-84277.336278317292</v>
      </c>
      <c r="M1134" s="60">
        <f>$J$1134-EFEITO!$K$1134*EFEITO!$Y$1134</f>
        <v>0</v>
      </c>
      <c r="N1134" s="60">
        <f ca="1">$K$1134-EFEITO!$M$1134*EFEITO!$Z$1134</f>
        <v>-8568.241371671902</v>
      </c>
      <c r="O1134" s="60">
        <f>$L$1134-EFEITO!$O$1134*EFEITO!$AA$1134</f>
        <v>-1685.5467255663534</v>
      </c>
      <c r="P1134" s="18"/>
      <c r="Q1134" s="18"/>
      <c r="R1134" s="18"/>
      <c r="S1134" s="18"/>
      <c r="T1134" s="18"/>
      <c r="U1134" s="18"/>
      <c r="V1134" s="18"/>
      <c r="W1134" s="18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</row>
    <row r="1135" spans="1:36" ht="11.25" customHeight="1" x14ac:dyDescent="0.2">
      <c r="A1135" s="51" t="s">
        <v>21</v>
      </c>
      <c r="B1135" s="51" t="s">
        <v>41</v>
      </c>
      <c r="C1135" s="51" t="s">
        <v>42</v>
      </c>
      <c r="D1135" s="51" t="s">
        <v>45</v>
      </c>
      <c r="E1135" s="51" t="s">
        <v>25</v>
      </c>
      <c r="F1135" s="51" t="s">
        <v>25</v>
      </c>
      <c r="G1135" s="51" t="s">
        <v>25</v>
      </c>
      <c r="H1135" s="51" t="s">
        <v>34</v>
      </c>
      <c r="I1135" s="59">
        <v>44440</v>
      </c>
      <c r="J1135" s="60">
        <f>EFEITO!$J$1135*EFEITO!$Y$978</f>
        <v>0</v>
      </c>
      <c r="K1135" s="60">
        <f ca="1">EFEITO!$L$1135*EFEITO!$Z$978</f>
        <v>53311.663978568475</v>
      </c>
      <c r="L1135" s="60">
        <f>EFEITO!$N$1135*EFEITO!$AA$978</f>
        <v>10487.484742278635</v>
      </c>
      <c r="M1135" s="60">
        <f>$J$1135-EFEITO!$K$1135*EFEITO!$Y$1135</f>
        <v>0</v>
      </c>
      <c r="N1135" s="60">
        <f ca="1">$K$1135-EFEITO!$M$1135*EFEITO!$Z$1135</f>
        <v>1066.2332795713664</v>
      </c>
      <c r="O1135" s="60">
        <f>$L$1135-EFEITO!$O$1135*EFEITO!$AA$1135</f>
        <v>209.74969484557369</v>
      </c>
      <c r="P1135" s="18"/>
      <c r="Q1135" s="18"/>
      <c r="R1135" s="18"/>
      <c r="S1135" s="18"/>
      <c r="T1135" s="18"/>
      <c r="U1135" s="18"/>
      <c r="V1135" s="18"/>
      <c r="W1135" s="18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</row>
    <row r="1136" spans="1:36" ht="11.25" customHeight="1" x14ac:dyDescent="0.2">
      <c r="A1136" s="51" t="s">
        <v>28</v>
      </c>
      <c r="B1136" s="51" t="s">
        <v>41</v>
      </c>
      <c r="C1136" s="51" t="s">
        <v>42</v>
      </c>
      <c r="D1136" s="51" t="s">
        <v>45</v>
      </c>
      <c r="E1136" s="51" t="s">
        <v>25</v>
      </c>
      <c r="F1136" s="51" t="s">
        <v>25</v>
      </c>
      <c r="G1136" s="51" t="s">
        <v>25</v>
      </c>
      <c r="H1136" s="51" t="s">
        <v>34</v>
      </c>
      <c r="I1136" s="59">
        <v>44440</v>
      </c>
      <c r="J1136" s="60">
        <f>EFEITO!$J$1136*EFEITO!$Y$978</f>
        <v>0</v>
      </c>
      <c r="K1136" s="60">
        <f ca="1">EFEITO!$L$1136*EFEITO!$Z$978</f>
        <v>643.26136423963067</v>
      </c>
      <c r="L1136" s="60">
        <f>EFEITO!$N$1136*EFEITO!$AA$978</f>
        <v>126.54254696444038</v>
      </c>
      <c r="M1136" s="60">
        <f>$J$1136-EFEITO!$K$1136*EFEITO!$Y$1136</f>
        <v>0</v>
      </c>
      <c r="N1136" s="60">
        <f ca="1">$K$1136-EFEITO!$M$1136*EFEITO!$Z$1136</f>
        <v>12.865227284792695</v>
      </c>
      <c r="O1136" s="60">
        <f>$L$1136-EFEITO!$O$1136*EFEITO!$AA$1136</f>
        <v>2.5308509392888112</v>
      </c>
      <c r="P1136" s="18"/>
      <c r="Q1136" s="18"/>
      <c r="R1136" s="18"/>
      <c r="S1136" s="18"/>
      <c r="T1136" s="18"/>
      <c r="U1136" s="18"/>
      <c r="V1136" s="18"/>
      <c r="W1136" s="18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1:36" ht="11.25" customHeight="1" x14ac:dyDescent="0.2">
      <c r="A1137" s="51" t="s">
        <v>21</v>
      </c>
      <c r="B1137" s="51" t="s">
        <v>41</v>
      </c>
      <c r="C1137" s="51" t="s">
        <v>42</v>
      </c>
      <c r="D1137" s="51" t="s">
        <v>45</v>
      </c>
      <c r="E1137" s="51" t="s">
        <v>25</v>
      </c>
      <c r="F1137" s="51" t="s">
        <v>25</v>
      </c>
      <c r="G1137" s="51" t="s">
        <v>25</v>
      </c>
      <c r="H1137" s="51" t="s">
        <v>34</v>
      </c>
      <c r="I1137" s="59">
        <v>44470</v>
      </c>
      <c r="J1137" s="60">
        <f>EFEITO!$J$1137*EFEITO!$Y$978</f>
        <v>0</v>
      </c>
      <c r="K1137" s="60">
        <f ca="1">EFEITO!$L$1137*EFEITO!$Z$978</f>
        <v>64910.585320615071</v>
      </c>
      <c r="L1137" s="60">
        <f>EFEITO!$N$1137*EFEITO!$AA$978</f>
        <v>12769.227639114586</v>
      </c>
      <c r="M1137" s="60">
        <f>$J$1137-EFEITO!$K$1137*EFEITO!$Y$1137</f>
        <v>0</v>
      </c>
      <c r="N1137" s="60">
        <f ca="1">$K$1137-EFEITO!$M$1137*EFEITO!$Z$1137</f>
        <v>1298.2117064123086</v>
      </c>
      <c r="O1137" s="60">
        <f>$L$1137-EFEITO!$O$1137*EFEITO!$AA$1137</f>
        <v>255.3845527822923</v>
      </c>
      <c r="P1137" s="18"/>
      <c r="Q1137" s="18"/>
      <c r="R1137" s="18"/>
      <c r="S1137" s="18"/>
      <c r="T1137" s="18"/>
      <c r="U1137" s="18"/>
      <c r="V1137" s="18"/>
      <c r="W1137" s="18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</row>
    <row r="1138" spans="1:36" ht="11.25" customHeight="1" x14ac:dyDescent="0.2">
      <c r="A1138" s="51" t="s">
        <v>21</v>
      </c>
      <c r="B1138" s="51" t="s">
        <v>41</v>
      </c>
      <c r="C1138" s="51" t="s">
        <v>42</v>
      </c>
      <c r="D1138" s="51" t="s">
        <v>45</v>
      </c>
      <c r="E1138" s="51" t="s">
        <v>25</v>
      </c>
      <c r="F1138" s="51" t="s">
        <v>25</v>
      </c>
      <c r="G1138" s="51" t="s">
        <v>25</v>
      </c>
      <c r="H1138" s="51" t="s">
        <v>34</v>
      </c>
      <c r="I1138" s="59">
        <v>44501</v>
      </c>
      <c r="J1138" s="60">
        <f>EFEITO!$J$1138*EFEITO!$Y$978</f>
        <v>0</v>
      </c>
      <c r="K1138" s="60">
        <f ca="1">EFEITO!$L$1138*EFEITO!$Z$978</f>
        <v>85450.839625592533</v>
      </c>
      <c r="L1138" s="60">
        <f>EFEITO!$N$1138*EFEITO!$AA$978</f>
        <v>16809.91193875626</v>
      </c>
      <c r="M1138" s="60">
        <f>$J$1138-EFEITO!$K$1138*EFEITO!$Y$1138</f>
        <v>0</v>
      </c>
      <c r="N1138" s="60">
        <f ca="1">$K$1138-EFEITO!$M$1138*EFEITO!$Z$1138</f>
        <v>1709.0167925118585</v>
      </c>
      <c r="O1138" s="60">
        <f>$L$1138-EFEITO!$O$1138*EFEITO!$AA$1138</f>
        <v>336.19823877512681</v>
      </c>
      <c r="P1138" s="18"/>
      <c r="Q1138" s="18"/>
      <c r="R1138" s="18"/>
      <c r="S1138" s="18"/>
      <c r="T1138" s="18"/>
      <c r="U1138" s="18"/>
      <c r="V1138" s="18"/>
      <c r="W1138" s="18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</row>
    <row r="1139" spans="1:36" ht="11.25" customHeight="1" x14ac:dyDescent="0.2">
      <c r="A1139" s="51" t="s">
        <v>21</v>
      </c>
      <c r="B1139" s="51" t="s">
        <v>41</v>
      </c>
      <c r="C1139" s="51" t="s">
        <v>42</v>
      </c>
      <c r="D1139" s="51" t="s">
        <v>45</v>
      </c>
      <c r="E1139" s="51" t="s">
        <v>25</v>
      </c>
      <c r="F1139" s="51" t="s">
        <v>25</v>
      </c>
      <c r="G1139" s="51" t="s">
        <v>25</v>
      </c>
      <c r="H1139" s="51" t="s">
        <v>34</v>
      </c>
      <c r="I1139" s="59">
        <v>44531</v>
      </c>
      <c r="J1139" s="60">
        <f>EFEITO!$J$1139*EFEITO!$Y$978</f>
        <v>0</v>
      </c>
      <c r="K1139" s="60">
        <f ca="1">EFEITO!$L$1139*EFEITO!$Z$978</f>
        <v>67130.75597204786</v>
      </c>
      <c r="L1139" s="60">
        <f>EFEITO!$N$1139*EFEITO!$AA$978</f>
        <v>13205.980201209</v>
      </c>
      <c r="M1139" s="60">
        <f>$J$1139-EFEITO!$K$1139*EFEITO!$Y$1139</f>
        <v>0</v>
      </c>
      <c r="N1139" s="60">
        <f ca="1">$K$1139-EFEITO!$M$1139*EFEITO!$Z$1139</f>
        <v>1342.6151194409613</v>
      </c>
      <c r="O1139" s="60">
        <f>$L$1139-EFEITO!$O$1139*EFEITO!$AA$1139</f>
        <v>264.11960402418117</v>
      </c>
      <c r="P1139" s="18"/>
      <c r="Q1139" s="18"/>
      <c r="R1139" s="18"/>
      <c r="S1139" s="18"/>
      <c r="T1139" s="18"/>
      <c r="U1139" s="18"/>
      <c r="V1139" s="18"/>
      <c r="W1139" s="18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</row>
    <row r="1140" spans="1:36" ht="11.25" customHeight="1" x14ac:dyDescent="0.2">
      <c r="A1140" s="51" t="s">
        <v>28</v>
      </c>
      <c r="B1140" s="51" t="s">
        <v>41</v>
      </c>
      <c r="C1140" s="51" t="s">
        <v>42</v>
      </c>
      <c r="D1140" s="51" t="s">
        <v>45</v>
      </c>
      <c r="E1140" s="51" t="s">
        <v>25</v>
      </c>
      <c r="F1140" s="51" t="s">
        <v>25</v>
      </c>
      <c r="G1140" s="51" t="s">
        <v>25</v>
      </c>
      <c r="H1140" s="51" t="s">
        <v>34</v>
      </c>
      <c r="I1140" s="59">
        <v>44531</v>
      </c>
      <c r="J1140" s="60">
        <f>EFEITO!$J$1140*EFEITO!$Y$978</f>
        <v>0</v>
      </c>
      <c r="K1140" s="60">
        <f ca="1">EFEITO!$L$1140*EFEITO!$Z$978</f>
        <v>643.26136423963067</v>
      </c>
      <c r="L1140" s="60">
        <f>EFEITO!$N$1140*EFEITO!$AA$978</f>
        <v>126.54254696444038</v>
      </c>
      <c r="M1140" s="60">
        <f>$J$1140-EFEITO!$K$1140*EFEITO!$Y$1140</f>
        <v>0</v>
      </c>
      <c r="N1140" s="60">
        <f ca="1">$K$1140-EFEITO!$M$1140*EFEITO!$Z$1140</f>
        <v>12.865227284792695</v>
      </c>
      <c r="O1140" s="60">
        <f>$L$1140-EFEITO!$O$1140*EFEITO!$AA$1140</f>
        <v>2.5308509392888112</v>
      </c>
      <c r="P1140" s="18"/>
      <c r="Q1140" s="18"/>
      <c r="R1140" s="18"/>
      <c r="S1140" s="18"/>
      <c r="T1140" s="18"/>
      <c r="U1140" s="18"/>
      <c r="V1140" s="18"/>
      <c r="W1140" s="18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</row>
    <row r="1141" spans="1:36" ht="11.25" customHeight="1" x14ac:dyDescent="0.2">
      <c r="A1141" s="51" t="s">
        <v>21</v>
      </c>
      <c r="B1141" s="51" t="s">
        <v>41</v>
      </c>
      <c r="C1141" s="51" t="s">
        <v>42</v>
      </c>
      <c r="D1141" s="51" t="s">
        <v>45</v>
      </c>
      <c r="E1141" s="51" t="s">
        <v>25</v>
      </c>
      <c r="F1141" s="51" t="s">
        <v>25</v>
      </c>
      <c r="G1141" s="51" t="s">
        <v>25</v>
      </c>
      <c r="H1141" s="51" t="s">
        <v>34</v>
      </c>
      <c r="I1141" s="59">
        <v>44562</v>
      </c>
      <c r="J1141" s="60">
        <f>EFEITO!$J$1141*EFEITO!$Y$978</f>
        <v>0</v>
      </c>
      <c r="K1141" s="60">
        <f ca="1">EFEITO!$L$1141*EFEITO!$Z$978</f>
        <v>55083.389564645629</v>
      </c>
      <c r="L1141" s="60">
        <f>EFEITO!$N$1141*EFEITO!$AA$978</f>
        <v>10836.019071632123</v>
      </c>
      <c r="M1141" s="60">
        <f>$J$1141-EFEITO!$K$1141*EFEITO!$Y$1141</f>
        <v>0</v>
      </c>
      <c r="N1141" s="60">
        <f ca="1">$K$1141-EFEITO!$M$1141*EFEITO!$Z$1141</f>
        <v>1101.6677912929154</v>
      </c>
      <c r="O1141" s="60">
        <f>$L$1141-EFEITO!$O$1141*EFEITO!$AA$1141</f>
        <v>216.72038143264399</v>
      </c>
      <c r="P1141" s="18"/>
      <c r="Q1141" s="18"/>
      <c r="R1141" s="18"/>
      <c r="S1141" s="18"/>
      <c r="T1141" s="18"/>
      <c r="U1141" s="18"/>
      <c r="V1141" s="18"/>
      <c r="W1141" s="18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</row>
    <row r="1142" spans="1:36" ht="11.25" customHeight="1" x14ac:dyDescent="0.2">
      <c r="A1142" s="51" t="s">
        <v>27</v>
      </c>
      <c r="B1142" s="51" t="s">
        <v>41</v>
      </c>
      <c r="C1142" s="51" t="s">
        <v>42</v>
      </c>
      <c r="D1142" s="51" t="s">
        <v>45</v>
      </c>
      <c r="E1142" s="51" t="s">
        <v>25</v>
      </c>
      <c r="F1142" s="51" t="s">
        <v>25</v>
      </c>
      <c r="G1142" s="51" t="s">
        <v>25</v>
      </c>
      <c r="H1142" s="51" t="s">
        <v>34</v>
      </c>
      <c r="I1142" s="59">
        <v>44562</v>
      </c>
      <c r="J1142" s="60">
        <f>EFEITO!$J$1142*EFEITO!$Y$978</f>
        <v>0</v>
      </c>
      <c r="K1142" s="60">
        <f ca="1">EFEITO!$L$1142*EFEITO!$Z$978</f>
        <v>-369.41581203475931</v>
      </c>
      <c r="L1142" s="60">
        <f>EFEITO!$N$1142*EFEITO!$AA$978</f>
        <v>-72.671576971007198</v>
      </c>
      <c r="M1142" s="60">
        <f>$J$1142-EFEITO!$K$1142*EFEITO!$Y$1142</f>
        <v>0</v>
      </c>
      <c r="N1142" s="60">
        <f ca="1">$K$1142-EFEITO!$M$1142*EFEITO!$Z$1142</f>
        <v>-7.3883162406951897</v>
      </c>
      <c r="O1142" s="60">
        <f>$L$1142-EFEITO!$O$1142*EFEITO!$AA$1142</f>
        <v>-1.4534315394201514</v>
      </c>
      <c r="P1142" s="18"/>
      <c r="Q1142" s="18"/>
      <c r="R1142" s="18"/>
      <c r="S1142" s="18"/>
      <c r="T1142" s="18"/>
      <c r="U1142" s="18"/>
      <c r="V1142" s="18"/>
      <c r="W1142" s="18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1:36" ht="11.25" customHeight="1" x14ac:dyDescent="0.2">
      <c r="A1143" s="51" t="s">
        <v>28</v>
      </c>
      <c r="B1143" s="51" t="s">
        <v>41</v>
      </c>
      <c r="C1143" s="51" t="s">
        <v>42</v>
      </c>
      <c r="D1143" s="51" t="s">
        <v>45</v>
      </c>
      <c r="E1143" s="51" t="s">
        <v>25</v>
      </c>
      <c r="F1143" s="51" t="s">
        <v>25</v>
      </c>
      <c r="G1143" s="51" t="s">
        <v>25</v>
      </c>
      <c r="H1143" s="51" t="s">
        <v>34</v>
      </c>
      <c r="I1143" s="59">
        <v>44562</v>
      </c>
      <c r="J1143" s="60">
        <f>EFEITO!$J$1143*EFEITO!$Y$978</f>
        <v>0</v>
      </c>
      <c r="K1143" s="60">
        <f ca="1">EFEITO!$L$1143*EFEITO!$Z$978</f>
        <v>82.705032545095364</v>
      </c>
      <c r="L1143" s="60">
        <f>EFEITO!$N$1143*EFEITO!$AA$978</f>
        <v>16.269756038285191</v>
      </c>
      <c r="M1143" s="60">
        <f>$J$1143-EFEITO!$K$1143*EFEITO!$Y$1143</f>
        <v>0</v>
      </c>
      <c r="N1143" s="60">
        <f ca="1">$K$1143-EFEITO!$M$1143*EFEITO!$Z$1143</f>
        <v>1.6541006509019098</v>
      </c>
      <c r="O1143" s="60">
        <f>$L$1143-EFEITO!$O$1143*EFEITO!$AA$1143</f>
        <v>0.32539512076570354</v>
      </c>
      <c r="P1143" s="18"/>
      <c r="Q1143" s="18"/>
      <c r="R1143" s="18"/>
      <c r="S1143" s="18"/>
      <c r="T1143" s="18"/>
      <c r="U1143" s="18"/>
      <c r="V1143" s="18"/>
      <c r="W1143" s="18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</row>
    <row r="1144" spans="1:36" ht="11.25" customHeight="1" x14ac:dyDescent="0.2">
      <c r="A1144" s="51" t="s">
        <v>21</v>
      </c>
      <c r="B1144" s="51" t="s">
        <v>41</v>
      </c>
      <c r="C1144" s="51" t="s">
        <v>42</v>
      </c>
      <c r="D1144" s="51" t="s">
        <v>45</v>
      </c>
      <c r="E1144" s="51" t="s">
        <v>25</v>
      </c>
      <c r="F1144" s="51" t="s">
        <v>25</v>
      </c>
      <c r="G1144" s="51" t="s">
        <v>25</v>
      </c>
      <c r="H1144" s="51" t="s">
        <v>34</v>
      </c>
      <c r="I1144" s="59">
        <v>44593</v>
      </c>
      <c r="J1144" s="60">
        <f>EFEITO!$J$1144*EFEITO!$Y$978</f>
        <v>0</v>
      </c>
      <c r="K1144" s="60">
        <f ca="1">EFEITO!$L$1144*EFEITO!$Z$978</f>
        <v>47373.442641830625</v>
      </c>
      <c r="L1144" s="60">
        <f>EFEITO!$N$1144*EFEITO!$AA$978</f>
        <v>9319.3162587297575</v>
      </c>
      <c r="M1144" s="60">
        <f>$J$1144-EFEITO!$K$1144*EFEITO!$Y$1144</f>
        <v>0</v>
      </c>
      <c r="N1144" s="60">
        <f ca="1">$K$1144-EFEITO!$M$1144*EFEITO!$Z$1144</f>
        <v>947.46885283660959</v>
      </c>
      <c r="O1144" s="60">
        <f>$L$1144-EFEITO!$O$1144*EFEITO!$AA$1144</f>
        <v>186.38632517459519</v>
      </c>
      <c r="P1144" s="18"/>
      <c r="Q1144" s="18"/>
      <c r="R1144" s="18"/>
      <c r="S1144" s="18"/>
      <c r="T1144" s="18"/>
      <c r="U1144" s="18"/>
      <c r="V1144" s="18"/>
      <c r="W1144" s="18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</row>
    <row r="1145" spans="1:36" ht="11.25" customHeight="1" x14ac:dyDescent="0.2">
      <c r="A1145" s="51" t="s">
        <v>27</v>
      </c>
      <c r="B1145" s="51" t="s">
        <v>41</v>
      </c>
      <c r="C1145" s="51" t="s">
        <v>42</v>
      </c>
      <c r="D1145" s="51" t="s">
        <v>45</v>
      </c>
      <c r="E1145" s="51" t="s">
        <v>25</v>
      </c>
      <c r="F1145" s="51" t="s">
        <v>25</v>
      </c>
      <c r="G1145" s="51" t="s">
        <v>25</v>
      </c>
      <c r="H1145" s="51" t="s">
        <v>34</v>
      </c>
      <c r="I1145" s="59">
        <v>44593</v>
      </c>
      <c r="J1145" s="60">
        <f>EFEITO!$J$1145*EFEITO!$Y$978</f>
        <v>0</v>
      </c>
      <c r="K1145" s="60">
        <f ca="1">EFEITO!$L$1145*EFEITO!$Z$978</f>
        <v>12.865227284792613</v>
      </c>
      <c r="L1145" s="60">
        <f>EFEITO!$N$1145*EFEITO!$AA$978</f>
        <v>2.5308509392888077</v>
      </c>
      <c r="M1145" s="60">
        <f>$J$1145-EFEITO!$K$1145*EFEITO!$Y$1145</f>
        <v>0</v>
      </c>
      <c r="N1145" s="60">
        <f ca="1">$K$1145-EFEITO!$M$1145*EFEITO!$Z$1145</f>
        <v>0.25730454569585248</v>
      </c>
      <c r="O1145" s="60">
        <f>$L$1145-EFEITO!$O$1145*EFEITO!$AA$1145</f>
        <v>5.0617018785776402E-2</v>
      </c>
      <c r="P1145" s="18"/>
      <c r="Q1145" s="18"/>
      <c r="R1145" s="18"/>
      <c r="S1145" s="18"/>
      <c r="T1145" s="18"/>
      <c r="U1145" s="18"/>
      <c r="V1145" s="18"/>
      <c r="W1145" s="18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</row>
    <row r="1146" spans="1:36" ht="11.25" customHeight="1" x14ac:dyDescent="0.2">
      <c r="A1146" s="51" t="s">
        <v>28</v>
      </c>
      <c r="B1146" s="51" t="s">
        <v>41</v>
      </c>
      <c r="C1146" s="51" t="s">
        <v>42</v>
      </c>
      <c r="D1146" s="51" t="s">
        <v>45</v>
      </c>
      <c r="E1146" s="51" t="s">
        <v>25</v>
      </c>
      <c r="F1146" s="51" t="s">
        <v>25</v>
      </c>
      <c r="G1146" s="51" t="s">
        <v>25</v>
      </c>
      <c r="H1146" s="51" t="s">
        <v>34</v>
      </c>
      <c r="I1146" s="59">
        <v>44593</v>
      </c>
      <c r="J1146" s="60">
        <f>EFEITO!$J$1146*EFEITO!$Y$978</f>
        <v>0</v>
      </c>
      <c r="K1146" s="60">
        <f ca="1">EFEITO!$L$1146*EFEITO!$Z$978</f>
        <v>8092.2279621345533</v>
      </c>
      <c r="L1146" s="60">
        <f>EFEITO!$N$1146*EFEITO!$AA$978</f>
        <v>1591.9052408126599</v>
      </c>
      <c r="M1146" s="60">
        <f>$J$1146-EFEITO!$K$1146*EFEITO!$Y$1146</f>
        <v>0</v>
      </c>
      <c r="N1146" s="60">
        <f ca="1">$K$1146-EFEITO!$M$1146*EFEITO!$Z$1146</f>
        <v>161.84455924269241</v>
      </c>
      <c r="O1146" s="60">
        <f>$L$1146-EFEITO!$O$1146*EFEITO!$AA$1146</f>
        <v>31.838104816253235</v>
      </c>
      <c r="P1146" s="18"/>
      <c r="Q1146" s="18"/>
      <c r="R1146" s="18"/>
      <c r="S1146" s="18"/>
      <c r="T1146" s="18"/>
      <c r="U1146" s="18"/>
      <c r="V1146" s="18"/>
      <c r="W1146" s="18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</row>
    <row r="1147" spans="1:36" ht="11.25" customHeight="1" x14ac:dyDescent="0.2">
      <c r="A1147" s="51" t="s">
        <v>56</v>
      </c>
      <c r="B1147" s="51" t="s">
        <v>41</v>
      </c>
      <c r="C1147" s="51" t="s">
        <v>42</v>
      </c>
      <c r="D1147" s="51" t="s">
        <v>45</v>
      </c>
      <c r="E1147" s="51" t="s">
        <v>25</v>
      </c>
      <c r="F1147" s="51" t="s">
        <v>25</v>
      </c>
      <c r="G1147" s="51" t="s">
        <v>25</v>
      </c>
      <c r="H1147" s="51" t="s">
        <v>34</v>
      </c>
      <c r="I1147" s="59">
        <v>44621</v>
      </c>
      <c r="J1147" s="60">
        <f>EFEITO!$J$1147*EFEITO!$Y$978</f>
        <v>0</v>
      </c>
      <c r="K1147" s="60">
        <f ca="1">EFEITO!$L$1147*EFEITO!$Z$978</f>
        <v>47373.442641830625</v>
      </c>
      <c r="L1147" s="60">
        <f>EFEITO!$N$1147*EFEITO!$AA$978</f>
        <v>9319.3162587297575</v>
      </c>
      <c r="M1147" s="60">
        <f>$J$1147-EFEITO!$K$1147*EFEITO!$Y$1147</f>
        <v>0</v>
      </c>
      <c r="N1147" s="60">
        <f ca="1">$K$1147-EFEITO!$M$1147*EFEITO!$Z$1147</f>
        <v>947.46885283660959</v>
      </c>
      <c r="O1147" s="60">
        <f>$L$1147-EFEITO!$O$1147*EFEITO!$AA$1147</f>
        <v>186.38632517459519</v>
      </c>
      <c r="P1147" s="18"/>
      <c r="Q1147" s="18"/>
      <c r="R1147" s="18"/>
      <c r="S1147" s="18"/>
      <c r="T1147" s="18"/>
      <c r="U1147" s="18"/>
      <c r="V1147" s="18"/>
      <c r="W1147" s="18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</row>
    <row r="1148" spans="1:36" ht="11.25" customHeight="1" x14ac:dyDescent="0.2">
      <c r="A1148" s="51" t="s">
        <v>56</v>
      </c>
      <c r="B1148" s="51" t="s">
        <v>41</v>
      </c>
      <c r="C1148" s="51" t="s">
        <v>42</v>
      </c>
      <c r="D1148" s="51" t="s">
        <v>45</v>
      </c>
      <c r="E1148" s="51" t="s">
        <v>25</v>
      </c>
      <c r="F1148" s="51" t="s">
        <v>25</v>
      </c>
      <c r="G1148" s="51" t="s">
        <v>25</v>
      </c>
      <c r="H1148" s="51" t="s">
        <v>34</v>
      </c>
      <c r="I1148" s="59">
        <v>44621</v>
      </c>
      <c r="J1148" s="60">
        <f>EFEITO!$J$1148*EFEITO!$Y$978</f>
        <v>0</v>
      </c>
      <c r="K1148" s="60">
        <f ca="1">EFEITO!$L$1148*EFEITO!$Z$978</f>
        <v>12.865227284792613</v>
      </c>
      <c r="L1148" s="60">
        <f>EFEITO!$N$1148*EFEITO!$AA$978</f>
        <v>2.5308509392888077</v>
      </c>
      <c r="M1148" s="60">
        <f>$J$1148-EFEITO!$K$1148*EFEITO!$Y$1148</f>
        <v>0</v>
      </c>
      <c r="N1148" s="60">
        <f ca="1">$K$1148-EFEITO!$M$1148*EFEITO!$Z$1148</f>
        <v>0.25730454569585248</v>
      </c>
      <c r="O1148" s="60">
        <f>$L$1148-EFEITO!$O$1148*EFEITO!$AA$1148</f>
        <v>5.0617018785776402E-2</v>
      </c>
      <c r="P1148" s="18"/>
      <c r="Q1148" s="18"/>
      <c r="R1148" s="18"/>
      <c r="S1148" s="18"/>
      <c r="T1148" s="18"/>
      <c r="U1148" s="18"/>
      <c r="V1148" s="18"/>
      <c r="W1148" s="18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</row>
    <row r="1149" spans="1:36" ht="11.25" customHeight="1" x14ac:dyDescent="0.2">
      <c r="A1149" s="51" t="s">
        <v>56</v>
      </c>
      <c r="B1149" s="51" t="s">
        <v>41</v>
      </c>
      <c r="C1149" s="51" t="s">
        <v>42</v>
      </c>
      <c r="D1149" s="51" t="s">
        <v>45</v>
      </c>
      <c r="E1149" s="51" t="s">
        <v>25</v>
      </c>
      <c r="F1149" s="51" t="s">
        <v>25</v>
      </c>
      <c r="G1149" s="51" t="s">
        <v>25</v>
      </c>
      <c r="H1149" s="51" t="s">
        <v>34</v>
      </c>
      <c r="I1149" s="59">
        <v>44621</v>
      </c>
      <c r="J1149" s="60">
        <f>EFEITO!$J$1149*EFEITO!$Y$978</f>
        <v>0</v>
      </c>
      <c r="K1149" s="60">
        <f ca="1">EFEITO!$L$1149*EFEITO!$Z$978</f>
        <v>8092.2279621345533</v>
      </c>
      <c r="L1149" s="60">
        <f>EFEITO!$N$1149*EFEITO!$AA$978</f>
        <v>1591.9052408126599</v>
      </c>
      <c r="M1149" s="60">
        <f>$J$1149-EFEITO!$K$1149*EFEITO!$Y$1149</f>
        <v>0</v>
      </c>
      <c r="N1149" s="60">
        <f ca="1">$K$1149-EFEITO!$M$1149*EFEITO!$Z$1149</f>
        <v>161.84455924269241</v>
      </c>
      <c r="O1149" s="60">
        <f>$L$1149-EFEITO!$O$1149*EFEITO!$AA$1149</f>
        <v>31.838104816253235</v>
      </c>
      <c r="P1149" s="18"/>
      <c r="Q1149" s="18"/>
      <c r="R1149" s="18"/>
      <c r="S1149" s="18"/>
      <c r="T1149" s="18"/>
      <c r="U1149" s="18"/>
      <c r="V1149" s="18"/>
      <c r="W1149" s="18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</row>
    <row r="1150" spans="1:36" ht="11.25" customHeight="1" x14ac:dyDescent="0.2">
      <c r="A1150" s="51" t="s">
        <v>21</v>
      </c>
      <c r="B1150" s="51" t="s">
        <v>41</v>
      </c>
      <c r="C1150" s="51" t="s">
        <v>42</v>
      </c>
      <c r="D1150" s="51" t="s">
        <v>50</v>
      </c>
      <c r="E1150" s="51" t="s">
        <v>51</v>
      </c>
      <c r="F1150" s="51" t="s">
        <v>25</v>
      </c>
      <c r="G1150" s="51" t="s">
        <v>25</v>
      </c>
      <c r="H1150" s="51" t="s">
        <v>35</v>
      </c>
      <c r="I1150" s="59">
        <v>44287</v>
      </c>
      <c r="J1150" s="60">
        <f>EFEITO!$J$1150*EFEITO!$Y$922</f>
        <v>0</v>
      </c>
      <c r="K1150" s="60">
        <f ca="1">EFEITO!$L$1150*EFEITO!$Z$922</f>
        <v>411130.13113068562</v>
      </c>
      <c r="L1150" s="60">
        <f>EFEITO!$N$1150*EFEITO!$AA$922</f>
        <v>1411252.7751249943</v>
      </c>
      <c r="M1150" s="60">
        <f>$J$1150-EFEITO!$K$1150*EFEITO!$Y$1150</f>
        <v>0</v>
      </c>
      <c r="N1150" s="60">
        <f ca="1">$K$1150-EFEITO!$M$1150*EFEITO!$Z$1150</f>
        <v>12333.903933920548</v>
      </c>
      <c r="O1150" s="60">
        <f>$L$1150-EFEITO!$O$1150*EFEITO!$AA$1150</f>
        <v>42337.583253749879</v>
      </c>
      <c r="P1150" s="18"/>
      <c r="Q1150" s="18"/>
      <c r="R1150" s="18"/>
      <c r="S1150" s="18"/>
      <c r="T1150" s="18"/>
      <c r="U1150" s="18"/>
      <c r="V1150" s="18"/>
      <c r="W1150" s="18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</row>
    <row r="1151" spans="1:36" ht="11.25" customHeight="1" x14ac:dyDescent="0.2">
      <c r="A1151" s="51" t="s">
        <v>21</v>
      </c>
      <c r="B1151" s="51" t="s">
        <v>41</v>
      </c>
      <c r="C1151" s="51" t="s">
        <v>42</v>
      </c>
      <c r="D1151" s="51" t="s">
        <v>50</v>
      </c>
      <c r="E1151" s="51" t="s">
        <v>51</v>
      </c>
      <c r="F1151" s="51" t="s">
        <v>25</v>
      </c>
      <c r="G1151" s="51" t="s">
        <v>25</v>
      </c>
      <c r="H1151" s="51" t="s">
        <v>35</v>
      </c>
      <c r="I1151" s="59">
        <v>44317</v>
      </c>
      <c r="J1151" s="60">
        <f>EFEITO!$J$1151*EFEITO!$Y$922</f>
        <v>0</v>
      </c>
      <c r="K1151" s="60">
        <f ca="1">EFEITO!$L$1151*EFEITO!$Z$922</f>
        <v>410135.64777821931</v>
      </c>
      <c r="L1151" s="60">
        <f>EFEITO!$N$1151*EFEITO!$AA$922</f>
        <v>1407839.0934589878</v>
      </c>
      <c r="M1151" s="60">
        <f>$J$1151-EFEITO!$K$1151*EFEITO!$Y$1151</f>
        <v>0</v>
      </c>
      <c r="N1151" s="60">
        <f ca="1">$K$1151-EFEITO!$M$1151*EFEITO!$Z$1151</f>
        <v>12304.069433346565</v>
      </c>
      <c r="O1151" s="60">
        <f>$L$1151-EFEITO!$O$1151*EFEITO!$AA$1151</f>
        <v>42235.172803769819</v>
      </c>
      <c r="P1151" s="18"/>
      <c r="Q1151" s="18"/>
      <c r="R1151" s="18"/>
      <c r="S1151" s="18"/>
      <c r="T1151" s="18"/>
      <c r="U1151" s="18"/>
      <c r="V1151" s="18"/>
      <c r="W1151" s="18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</row>
    <row r="1152" spans="1:36" ht="11.25" customHeight="1" x14ac:dyDescent="0.2">
      <c r="A1152" s="51" t="s">
        <v>21</v>
      </c>
      <c r="B1152" s="51" t="s">
        <v>41</v>
      </c>
      <c r="C1152" s="51" t="s">
        <v>42</v>
      </c>
      <c r="D1152" s="51" t="s">
        <v>50</v>
      </c>
      <c r="E1152" s="51" t="s">
        <v>51</v>
      </c>
      <c r="F1152" s="51" t="s">
        <v>25</v>
      </c>
      <c r="G1152" s="51" t="s">
        <v>25</v>
      </c>
      <c r="H1152" s="51" t="s">
        <v>35</v>
      </c>
      <c r="I1152" s="59">
        <v>44348</v>
      </c>
      <c r="J1152" s="60">
        <f>EFEITO!$J$1152*EFEITO!$Y$922</f>
        <v>0</v>
      </c>
      <c r="K1152" s="60">
        <f ca="1">EFEITO!$L$1152*EFEITO!$Z$922</f>
        <v>264996.33461631823</v>
      </c>
      <c r="L1152" s="60">
        <f>EFEITO!$N$1152*EFEITO!$AA$922</f>
        <v>909631.24399742659</v>
      </c>
      <c r="M1152" s="60">
        <f>$J$1152-EFEITO!$K$1152*EFEITO!$Y$1152</f>
        <v>0</v>
      </c>
      <c r="N1152" s="60">
        <f ca="1">$K$1152-EFEITO!$M$1152*EFEITO!$Z$1152</f>
        <v>7949.8900384895387</v>
      </c>
      <c r="O1152" s="60">
        <f>$L$1152-EFEITO!$O$1152*EFEITO!$AA$1152</f>
        <v>27288.937319922843</v>
      </c>
      <c r="P1152" s="18"/>
      <c r="Q1152" s="18"/>
      <c r="R1152" s="18"/>
      <c r="S1152" s="18"/>
      <c r="T1152" s="18"/>
      <c r="U1152" s="18"/>
      <c r="V1152" s="18"/>
      <c r="W1152" s="18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</row>
    <row r="1153" spans="1:36" ht="11.25" customHeight="1" x14ac:dyDescent="0.2">
      <c r="A1153" s="51" t="s">
        <v>21</v>
      </c>
      <c r="B1153" s="51" t="s">
        <v>41</v>
      </c>
      <c r="C1153" s="51" t="s">
        <v>42</v>
      </c>
      <c r="D1153" s="51" t="s">
        <v>50</v>
      </c>
      <c r="E1153" s="51" t="s">
        <v>51</v>
      </c>
      <c r="F1153" s="51" t="s">
        <v>25</v>
      </c>
      <c r="G1153" s="51" t="s">
        <v>25</v>
      </c>
      <c r="H1153" s="51" t="s">
        <v>35</v>
      </c>
      <c r="I1153" s="59">
        <v>44378</v>
      </c>
      <c r="J1153" s="60">
        <f>EFEITO!$J$1153*EFEITO!$Y$922</f>
        <v>0</v>
      </c>
      <c r="K1153" s="60">
        <f ca="1">EFEITO!$L$1153*EFEITO!$Z$922</f>
        <v>278779.98569424608</v>
      </c>
      <c r="L1153" s="60">
        <f>EFEITO!$N$1153*EFEITO!$AA$922</f>
        <v>956945.25569874118</v>
      </c>
      <c r="M1153" s="60">
        <f>$J$1153-EFEITO!$K$1153*EFEITO!$Y$1153</f>
        <v>0</v>
      </c>
      <c r="N1153" s="60">
        <f ca="1">$K$1153-EFEITO!$M$1153*EFEITO!$Z$1153</f>
        <v>8363.3995708273724</v>
      </c>
      <c r="O1153" s="60">
        <f>$L$1153-EFEITO!$O$1153*EFEITO!$AA$1153</f>
        <v>28708.357670962228</v>
      </c>
      <c r="P1153" s="18"/>
      <c r="Q1153" s="18"/>
      <c r="R1153" s="18"/>
      <c r="S1153" s="18"/>
      <c r="T1153" s="18"/>
      <c r="U1153" s="18"/>
      <c r="V1153" s="18"/>
      <c r="W1153" s="18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</row>
    <row r="1154" spans="1:36" ht="11.25" customHeight="1" x14ac:dyDescent="0.2">
      <c r="A1154" s="51" t="s">
        <v>27</v>
      </c>
      <c r="B1154" s="51" t="s">
        <v>41</v>
      </c>
      <c r="C1154" s="51" t="s">
        <v>42</v>
      </c>
      <c r="D1154" s="51" t="s">
        <v>50</v>
      </c>
      <c r="E1154" s="51" t="s">
        <v>51</v>
      </c>
      <c r="F1154" s="51" t="s">
        <v>25</v>
      </c>
      <c r="G1154" s="51" t="s">
        <v>25</v>
      </c>
      <c r="H1154" s="51" t="s">
        <v>35</v>
      </c>
      <c r="I1154" s="59">
        <v>44378</v>
      </c>
      <c r="J1154" s="60">
        <f>EFEITO!$J$1154*EFEITO!$Y$922</f>
        <v>0</v>
      </c>
      <c r="K1154" s="60">
        <f ca="1">EFEITO!$L$1154*EFEITO!$Z$922</f>
        <v>-376.84795360486936</v>
      </c>
      <c r="L1154" s="60">
        <f>EFEITO!$N$1154*EFEITO!$AA$922</f>
        <v>-1293.5751482442315</v>
      </c>
      <c r="M1154" s="60">
        <f>$J$1154-EFEITO!$K$1154*EFEITO!$Y$1154</f>
        <v>0</v>
      </c>
      <c r="N1154" s="60">
        <f ca="1">$K$1154-EFEITO!$M$1154*EFEITO!$Z$1154</f>
        <v>-11.305438608146062</v>
      </c>
      <c r="O1154" s="60">
        <f>$L$1154-EFEITO!$O$1154*EFEITO!$AA$1154</f>
        <v>-38.807254447327068</v>
      </c>
      <c r="P1154" s="18"/>
      <c r="Q1154" s="18"/>
      <c r="R1154" s="18"/>
      <c r="S1154" s="18"/>
      <c r="T1154" s="18"/>
      <c r="U1154" s="18"/>
      <c r="V1154" s="18"/>
      <c r="W1154" s="18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</row>
    <row r="1155" spans="1:36" ht="11.25" customHeight="1" x14ac:dyDescent="0.2">
      <c r="A1155" s="51" t="s">
        <v>21</v>
      </c>
      <c r="B1155" s="51" t="s">
        <v>41</v>
      </c>
      <c r="C1155" s="51" t="s">
        <v>42</v>
      </c>
      <c r="D1155" s="51" t="s">
        <v>50</v>
      </c>
      <c r="E1155" s="51" t="s">
        <v>51</v>
      </c>
      <c r="F1155" s="51" t="s">
        <v>25</v>
      </c>
      <c r="G1155" s="51" t="s">
        <v>25</v>
      </c>
      <c r="H1155" s="51" t="s">
        <v>35</v>
      </c>
      <c r="I1155" s="59">
        <v>44409</v>
      </c>
      <c r="J1155" s="60">
        <f>EFEITO!$J$1155*EFEITO!$Y$922</f>
        <v>0</v>
      </c>
      <c r="K1155" s="60">
        <f ca="1">EFEITO!$L$1155*EFEITO!$Z$922</f>
        <v>249288.39920603609</v>
      </c>
      <c r="L1155" s="60">
        <f>EFEITO!$N$1155*EFEITO!$AA$922</f>
        <v>855711.89885412855</v>
      </c>
      <c r="M1155" s="60">
        <f>$J$1155-EFEITO!$K$1155*EFEITO!$Y$1155</f>
        <v>0</v>
      </c>
      <c r="N1155" s="60">
        <f ca="1">$K$1155-EFEITO!$M$1155*EFEITO!$Z$1155</f>
        <v>7478.6519761810778</v>
      </c>
      <c r="O1155" s="60">
        <f>$L$1155-EFEITO!$O$1155*EFEITO!$AA$1155</f>
        <v>25671.356965623912</v>
      </c>
      <c r="P1155" s="18"/>
      <c r="Q1155" s="18"/>
      <c r="R1155" s="18"/>
      <c r="S1155" s="18"/>
      <c r="T1155" s="18"/>
      <c r="U1155" s="18"/>
      <c r="V1155" s="18"/>
      <c r="W1155" s="18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</row>
    <row r="1156" spans="1:36" ht="11.25" customHeight="1" x14ac:dyDescent="0.2">
      <c r="A1156" s="51" t="s">
        <v>21</v>
      </c>
      <c r="B1156" s="51" t="s">
        <v>41</v>
      </c>
      <c r="C1156" s="51" t="s">
        <v>42</v>
      </c>
      <c r="D1156" s="51" t="s">
        <v>50</v>
      </c>
      <c r="E1156" s="51" t="s">
        <v>51</v>
      </c>
      <c r="F1156" s="51" t="s">
        <v>25</v>
      </c>
      <c r="G1156" s="51" t="s">
        <v>25</v>
      </c>
      <c r="H1156" s="51" t="s">
        <v>35</v>
      </c>
      <c r="I1156" s="59">
        <v>44440</v>
      </c>
      <c r="J1156" s="60">
        <f>EFEITO!$J$1156*EFEITO!$Y$922</f>
        <v>0</v>
      </c>
      <c r="K1156" s="60">
        <f ca="1">EFEITO!$L$1156*EFEITO!$Z$922</f>
        <v>242593.80614787902</v>
      </c>
      <c r="L1156" s="60">
        <f>EFEITO!$N$1156*EFEITO!$AA$922</f>
        <v>832731.91680884862</v>
      </c>
      <c r="M1156" s="60">
        <f>$J$1156-EFEITO!$K$1156*EFEITO!$Y$1156</f>
        <v>0</v>
      </c>
      <c r="N1156" s="60">
        <f ca="1">$K$1156-EFEITO!$M$1156*EFEITO!$Z$1156</f>
        <v>7277.8141844363709</v>
      </c>
      <c r="O1156" s="60">
        <f>$L$1156-EFEITO!$O$1156*EFEITO!$AA$1156</f>
        <v>24981.957504265476</v>
      </c>
      <c r="P1156" s="18"/>
      <c r="Q1156" s="18"/>
      <c r="R1156" s="18"/>
      <c r="S1156" s="18"/>
      <c r="T1156" s="18"/>
      <c r="U1156" s="18"/>
      <c r="V1156" s="18"/>
      <c r="W1156" s="18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</row>
    <row r="1157" spans="1:36" ht="11.25" customHeight="1" x14ac:dyDescent="0.2">
      <c r="A1157" s="51" t="s">
        <v>21</v>
      </c>
      <c r="B1157" s="51" t="s">
        <v>41</v>
      </c>
      <c r="C1157" s="51" t="s">
        <v>42</v>
      </c>
      <c r="D1157" s="51" t="s">
        <v>50</v>
      </c>
      <c r="E1157" s="51" t="s">
        <v>51</v>
      </c>
      <c r="F1157" s="51" t="s">
        <v>25</v>
      </c>
      <c r="G1157" s="51" t="s">
        <v>25</v>
      </c>
      <c r="H1157" s="51" t="s">
        <v>35</v>
      </c>
      <c r="I1157" s="59">
        <v>44470</v>
      </c>
      <c r="J1157" s="60">
        <f>EFEITO!$J$1157*EFEITO!$Y$922</f>
        <v>0</v>
      </c>
      <c r="K1157" s="60">
        <f ca="1">EFEITO!$L$1157*EFEITO!$Z$922</f>
        <v>245155.22810198271</v>
      </c>
      <c r="L1157" s="60">
        <f>EFEITO!$N$1157*EFEITO!$AA$922</f>
        <v>841524.30045403051</v>
      </c>
      <c r="M1157" s="60">
        <f>$J$1157-EFEITO!$K$1157*EFEITO!$Y$1157</f>
        <v>0</v>
      </c>
      <c r="N1157" s="60">
        <f ca="1">$K$1157-EFEITO!$M$1157*EFEITO!$Z$1157</f>
        <v>7354.6568430594925</v>
      </c>
      <c r="O1157" s="60">
        <f>$L$1157-EFEITO!$O$1157*EFEITO!$AA$1157</f>
        <v>25245.729013620992</v>
      </c>
      <c r="P1157" s="18"/>
      <c r="Q1157" s="18"/>
      <c r="R1157" s="18"/>
      <c r="S1157" s="18"/>
      <c r="T1157" s="18"/>
      <c r="U1157" s="18"/>
      <c r="V1157" s="18"/>
      <c r="W1157" s="18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</row>
    <row r="1158" spans="1:36" ht="11.25" customHeight="1" x14ac:dyDescent="0.2">
      <c r="A1158" s="51" t="s">
        <v>21</v>
      </c>
      <c r="B1158" s="51" t="s">
        <v>41</v>
      </c>
      <c r="C1158" s="51" t="s">
        <v>42</v>
      </c>
      <c r="D1158" s="51" t="s">
        <v>50</v>
      </c>
      <c r="E1158" s="51" t="s">
        <v>51</v>
      </c>
      <c r="F1158" s="51" t="s">
        <v>25</v>
      </c>
      <c r="G1158" s="51" t="s">
        <v>25</v>
      </c>
      <c r="H1158" s="51" t="s">
        <v>35</v>
      </c>
      <c r="I1158" s="59">
        <v>44501</v>
      </c>
      <c r="J1158" s="60">
        <f>EFEITO!$J$1158*EFEITO!$Y$922</f>
        <v>0</v>
      </c>
      <c r="K1158" s="60">
        <f ca="1">EFEITO!$L$1158*EFEITO!$Z$922</f>
        <v>220302.31033508191</v>
      </c>
      <c r="L1158" s="60">
        <f>EFEITO!$N$1158*EFEITO!$AA$922</f>
        <v>756213.72233602055</v>
      </c>
      <c r="M1158" s="60">
        <f>$J$1158-EFEITO!$K$1158*EFEITO!$Y$1158</f>
        <v>0</v>
      </c>
      <c r="N1158" s="60">
        <f ca="1">$K$1158-EFEITO!$M$1158*EFEITO!$Z$1158</f>
        <v>6609.0693100524659</v>
      </c>
      <c r="O1158" s="60">
        <f>$L$1158-EFEITO!$O$1158*EFEITO!$AA$1158</f>
        <v>22686.411670080619</v>
      </c>
      <c r="P1158" s="18"/>
      <c r="Q1158" s="18"/>
      <c r="R1158" s="18"/>
      <c r="S1158" s="18"/>
      <c r="T1158" s="18"/>
      <c r="U1158" s="18"/>
      <c r="V1158" s="18"/>
      <c r="W1158" s="18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</row>
    <row r="1159" spans="1:36" ht="11.25" customHeight="1" x14ac:dyDescent="0.2">
      <c r="A1159" s="51" t="s">
        <v>21</v>
      </c>
      <c r="B1159" s="51" t="s">
        <v>41</v>
      </c>
      <c r="C1159" s="51" t="s">
        <v>42</v>
      </c>
      <c r="D1159" s="51" t="s">
        <v>50</v>
      </c>
      <c r="E1159" s="51" t="s">
        <v>51</v>
      </c>
      <c r="F1159" s="51" t="s">
        <v>25</v>
      </c>
      <c r="G1159" s="51" t="s">
        <v>25</v>
      </c>
      <c r="H1159" s="51" t="s">
        <v>35</v>
      </c>
      <c r="I1159" s="59">
        <v>44531</v>
      </c>
      <c r="J1159" s="60">
        <f>EFEITO!$J$1159*EFEITO!$Y$922</f>
        <v>0</v>
      </c>
      <c r="K1159" s="60">
        <f ca="1">EFEITO!$L$1159*EFEITO!$Z$922</f>
        <v>243121.01623995</v>
      </c>
      <c r="L1159" s="60">
        <f>EFEITO!$N$1159*EFEITO!$AA$922</f>
        <v>834541.62777180551</v>
      </c>
      <c r="M1159" s="60">
        <f>$J$1159-EFEITO!$K$1159*EFEITO!$Y$1159</f>
        <v>0</v>
      </c>
      <c r="N1159" s="60">
        <f ca="1">$K$1159-EFEITO!$M$1159*EFEITO!$Z$1159</f>
        <v>7293.6304871984757</v>
      </c>
      <c r="O1159" s="60">
        <f>$L$1159-EFEITO!$O$1159*EFEITO!$AA$1159</f>
        <v>25036.248833154212</v>
      </c>
      <c r="P1159" s="18"/>
      <c r="Q1159" s="18"/>
      <c r="R1159" s="18"/>
      <c r="S1159" s="18"/>
      <c r="T1159" s="18"/>
      <c r="U1159" s="18"/>
      <c r="V1159" s="18"/>
      <c r="W1159" s="18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</row>
    <row r="1160" spans="1:36" ht="11.25" customHeight="1" x14ac:dyDescent="0.2">
      <c r="A1160" s="51" t="s">
        <v>21</v>
      </c>
      <c r="B1160" s="51" t="s">
        <v>41</v>
      </c>
      <c r="C1160" s="51" t="s">
        <v>42</v>
      </c>
      <c r="D1160" s="51" t="s">
        <v>50</v>
      </c>
      <c r="E1160" s="51" t="s">
        <v>51</v>
      </c>
      <c r="F1160" s="51" t="s">
        <v>25</v>
      </c>
      <c r="G1160" s="51" t="s">
        <v>25</v>
      </c>
      <c r="H1160" s="51" t="s">
        <v>35</v>
      </c>
      <c r="I1160" s="59">
        <v>44562</v>
      </c>
      <c r="J1160" s="60">
        <f>EFEITO!$J$1160*EFEITO!$Y$922</f>
        <v>0</v>
      </c>
      <c r="K1160" s="60">
        <f ca="1">EFEITO!$L$1160*EFEITO!$Z$922</f>
        <v>255514.09381855722</v>
      </c>
      <c r="L1160" s="60">
        <f>EFEITO!$N$1160*EFEITO!$AA$922</f>
        <v>877082.33155590564</v>
      </c>
      <c r="M1160" s="60">
        <f>$J$1160-EFEITO!$K$1160*EFEITO!$Y$1160</f>
        <v>0</v>
      </c>
      <c r="N1160" s="60">
        <f ca="1">$K$1160-EFEITO!$M$1160*EFEITO!$Z$1160</f>
        <v>7665.4228145567176</v>
      </c>
      <c r="O1160" s="60">
        <f>$L$1160-EFEITO!$O$1160*EFEITO!$AA$1160</f>
        <v>26312.469946677214</v>
      </c>
      <c r="P1160" s="18"/>
      <c r="Q1160" s="18"/>
      <c r="R1160" s="18"/>
      <c r="S1160" s="18"/>
      <c r="T1160" s="18"/>
      <c r="U1160" s="18"/>
      <c r="V1160" s="18"/>
      <c r="W1160" s="18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</row>
    <row r="1161" spans="1:36" ht="11.25" customHeight="1" x14ac:dyDescent="0.2">
      <c r="A1161" s="51" t="s">
        <v>21</v>
      </c>
      <c r="B1161" s="51" t="s">
        <v>41</v>
      </c>
      <c r="C1161" s="51" t="s">
        <v>42</v>
      </c>
      <c r="D1161" s="51" t="s">
        <v>50</v>
      </c>
      <c r="E1161" s="51" t="s">
        <v>51</v>
      </c>
      <c r="F1161" s="51" t="s">
        <v>25</v>
      </c>
      <c r="G1161" s="51" t="s">
        <v>25</v>
      </c>
      <c r="H1161" s="51" t="s">
        <v>35</v>
      </c>
      <c r="I1161" s="59">
        <v>44593</v>
      </c>
      <c r="J1161" s="60">
        <f>EFEITO!$J$1161*EFEITO!$Y$922</f>
        <v>0</v>
      </c>
      <c r="K1161" s="60">
        <f ca="1">EFEITO!$L$1161*EFEITO!$Z$922</f>
        <v>231734.05834013229</v>
      </c>
      <c r="L1161" s="60">
        <f>EFEITO!$N$1161*EFEITO!$AA$922</f>
        <v>795454.5487193556</v>
      </c>
      <c r="M1161" s="60">
        <f>$J$1161-EFEITO!$K$1161*EFEITO!$Y$1161</f>
        <v>0</v>
      </c>
      <c r="N1161" s="60">
        <f ca="1">$K$1161-EFEITO!$M$1161*EFEITO!$Z$1161</f>
        <v>6952.0217502039741</v>
      </c>
      <c r="O1161" s="60">
        <f>$L$1161-EFEITO!$O$1161*EFEITO!$AA$1161</f>
        <v>23863.636461580754</v>
      </c>
      <c r="P1161" s="18"/>
      <c r="Q1161" s="18"/>
      <c r="R1161" s="18"/>
      <c r="S1161" s="18"/>
      <c r="T1161" s="18"/>
      <c r="U1161" s="18"/>
      <c r="V1161" s="18"/>
      <c r="W1161" s="18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</row>
    <row r="1162" spans="1:36" ht="11.25" customHeight="1" x14ac:dyDescent="0.2">
      <c r="A1162" s="51" t="s">
        <v>56</v>
      </c>
      <c r="B1162" s="51" t="s">
        <v>41</v>
      </c>
      <c r="C1162" s="51" t="s">
        <v>42</v>
      </c>
      <c r="D1162" s="51" t="s">
        <v>50</v>
      </c>
      <c r="E1162" s="51" t="s">
        <v>51</v>
      </c>
      <c r="F1162" s="51" t="s">
        <v>25</v>
      </c>
      <c r="G1162" s="51" t="s">
        <v>25</v>
      </c>
      <c r="H1162" s="51" t="s">
        <v>35</v>
      </c>
      <c r="I1162" s="59">
        <v>44621</v>
      </c>
      <c r="J1162" s="60">
        <f>EFEITO!$J$1162*EFEITO!$Y$922</f>
        <v>0</v>
      </c>
      <c r="K1162" s="60">
        <f ca="1">EFEITO!$L$1162*EFEITO!$Z$922</f>
        <v>231734.05834013229</v>
      </c>
      <c r="L1162" s="60">
        <f>EFEITO!$N$1162*EFEITO!$AA$922</f>
        <v>795454.5487193556</v>
      </c>
      <c r="M1162" s="60">
        <f>$J$1162-EFEITO!$K$1162*EFEITO!$Y$1162</f>
        <v>0</v>
      </c>
      <c r="N1162" s="60">
        <f ca="1">$K$1162-EFEITO!$M$1162*EFEITO!$Z$1162</f>
        <v>6952.0217502039741</v>
      </c>
      <c r="O1162" s="60">
        <f>$L$1162-EFEITO!$O$1162*EFEITO!$AA$1162</f>
        <v>23863.636461580754</v>
      </c>
      <c r="P1162" s="18"/>
      <c r="Q1162" s="18"/>
      <c r="R1162" s="18"/>
      <c r="S1162" s="18"/>
      <c r="T1162" s="18"/>
      <c r="U1162" s="18"/>
      <c r="V1162" s="18"/>
      <c r="W1162" s="18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</row>
    <row r="1163" spans="1:36" ht="11.25" customHeight="1" x14ac:dyDescent="0.2">
      <c r="A1163" s="51" t="s">
        <v>21</v>
      </c>
      <c r="B1163" s="51" t="s">
        <v>41</v>
      </c>
      <c r="C1163" s="51" t="s">
        <v>42</v>
      </c>
      <c r="D1163" s="51" t="s">
        <v>50</v>
      </c>
      <c r="E1163" s="51" t="s">
        <v>51</v>
      </c>
      <c r="F1163" s="51" t="s">
        <v>25</v>
      </c>
      <c r="G1163" s="51" t="s">
        <v>25</v>
      </c>
      <c r="H1163" s="51" t="s">
        <v>25</v>
      </c>
      <c r="I1163" s="59">
        <v>44287</v>
      </c>
      <c r="J1163" s="60">
        <f ca="1">EFEITO!$J$1163*EFEITO!$Y$951</f>
        <v>377559.66960906226</v>
      </c>
      <c r="K1163" s="60">
        <f>EFEITO!$L$1163*EFEITO!$Z$951</f>
        <v>0</v>
      </c>
      <c r="L1163" s="60">
        <f>EFEITO!$N$1163*EFEITO!$AA$951</f>
        <v>0</v>
      </c>
      <c r="M1163" s="60">
        <f ca="1">$J$1163-EFEITO!$K$1163*EFEITO!$Y$1163</f>
        <v>11326.790088271839</v>
      </c>
      <c r="N1163" s="60">
        <f>$K$1163-EFEITO!$M$1163*EFEITO!$Z$1163</f>
        <v>0</v>
      </c>
      <c r="O1163" s="60">
        <f>$L$1163-EFEITO!$O$1163*EFEITO!$AA$1163</f>
        <v>0</v>
      </c>
      <c r="P1163" s="18"/>
      <c r="Q1163" s="18"/>
      <c r="R1163" s="18"/>
      <c r="S1163" s="18"/>
      <c r="T1163" s="18"/>
      <c r="U1163" s="18"/>
      <c r="V1163" s="18"/>
      <c r="W1163" s="18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</row>
    <row r="1164" spans="1:36" ht="11.25" customHeight="1" x14ac:dyDescent="0.2">
      <c r="A1164" s="51" t="s">
        <v>21</v>
      </c>
      <c r="B1164" s="51" t="s">
        <v>41</v>
      </c>
      <c r="C1164" s="51" t="s">
        <v>42</v>
      </c>
      <c r="D1164" s="51" t="s">
        <v>50</v>
      </c>
      <c r="E1164" s="51" t="s">
        <v>51</v>
      </c>
      <c r="F1164" s="51" t="s">
        <v>25</v>
      </c>
      <c r="G1164" s="51" t="s">
        <v>25</v>
      </c>
      <c r="H1164" s="51" t="s">
        <v>25</v>
      </c>
      <c r="I1164" s="59">
        <v>44317</v>
      </c>
      <c r="J1164" s="60">
        <f ca="1">EFEITO!$J$1164*EFEITO!$Y$951</f>
        <v>379075.7598639208</v>
      </c>
      <c r="K1164" s="60">
        <f>EFEITO!$L$1164*EFEITO!$Z$951</f>
        <v>0</v>
      </c>
      <c r="L1164" s="60">
        <f>EFEITO!$N$1164*EFEITO!$AA$951</f>
        <v>0</v>
      </c>
      <c r="M1164" s="60">
        <f ca="1">$J$1164-EFEITO!$K$1164*EFEITO!$Y$1164</f>
        <v>11372.272795917641</v>
      </c>
      <c r="N1164" s="60">
        <f>$K$1164-EFEITO!$M$1164*EFEITO!$Z$1164</f>
        <v>0</v>
      </c>
      <c r="O1164" s="60">
        <f>$L$1164-EFEITO!$O$1164*EFEITO!$AA$1164</f>
        <v>0</v>
      </c>
      <c r="P1164" s="18"/>
      <c r="Q1164" s="18"/>
      <c r="R1164" s="18"/>
      <c r="S1164" s="18"/>
      <c r="T1164" s="18"/>
      <c r="U1164" s="18"/>
      <c r="V1164" s="18"/>
      <c r="W1164" s="18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</row>
    <row r="1165" spans="1:36" ht="11.25" customHeight="1" x14ac:dyDescent="0.2">
      <c r="A1165" s="51" t="s">
        <v>21</v>
      </c>
      <c r="B1165" s="51" t="s">
        <v>41</v>
      </c>
      <c r="C1165" s="51" t="s">
        <v>42</v>
      </c>
      <c r="D1165" s="51" t="s">
        <v>50</v>
      </c>
      <c r="E1165" s="51" t="s">
        <v>51</v>
      </c>
      <c r="F1165" s="51" t="s">
        <v>25</v>
      </c>
      <c r="G1165" s="51" t="s">
        <v>25</v>
      </c>
      <c r="H1165" s="51" t="s">
        <v>25</v>
      </c>
      <c r="I1165" s="59">
        <v>44348</v>
      </c>
      <c r="J1165" s="60">
        <f ca="1">EFEITO!$J$1165*EFEITO!$Y$951</f>
        <v>265528.57919741236</v>
      </c>
      <c r="K1165" s="60">
        <f>EFEITO!$L$1165*EFEITO!$Z$951</f>
        <v>0</v>
      </c>
      <c r="L1165" s="60">
        <f>EFEITO!$N$1165*EFEITO!$AA$951</f>
        <v>0</v>
      </c>
      <c r="M1165" s="60">
        <f ca="1">$J$1165-EFEITO!$K$1165*EFEITO!$Y$1165</f>
        <v>7965.8573759223509</v>
      </c>
      <c r="N1165" s="60">
        <f>$K$1165-EFEITO!$M$1165*EFEITO!$Z$1165</f>
        <v>0</v>
      </c>
      <c r="O1165" s="60">
        <f>$L$1165-EFEITO!$O$1165*EFEITO!$AA$1165</f>
        <v>0</v>
      </c>
      <c r="P1165" s="18"/>
      <c r="Q1165" s="18"/>
      <c r="R1165" s="18"/>
      <c r="S1165" s="18"/>
      <c r="T1165" s="18"/>
      <c r="U1165" s="18"/>
      <c r="V1165" s="18"/>
      <c r="W1165" s="18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</row>
    <row r="1166" spans="1:36" ht="11.25" customHeight="1" x14ac:dyDescent="0.2">
      <c r="A1166" s="51" t="s">
        <v>21</v>
      </c>
      <c r="B1166" s="51" t="s">
        <v>41</v>
      </c>
      <c r="C1166" s="51" t="s">
        <v>42</v>
      </c>
      <c r="D1166" s="51" t="s">
        <v>50</v>
      </c>
      <c r="E1166" s="51" t="s">
        <v>51</v>
      </c>
      <c r="F1166" s="51" t="s">
        <v>25</v>
      </c>
      <c r="G1166" s="51" t="s">
        <v>25</v>
      </c>
      <c r="H1166" s="51" t="s">
        <v>25</v>
      </c>
      <c r="I1166" s="59">
        <v>44378</v>
      </c>
      <c r="J1166" s="60">
        <f ca="1">EFEITO!$J$1166*EFEITO!$Y$951</f>
        <v>263081.55632992147</v>
      </c>
      <c r="K1166" s="60">
        <f>EFEITO!$L$1166*EFEITO!$Z$951</f>
        <v>0</v>
      </c>
      <c r="L1166" s="60">
        <f>EFEITO!$N$1166*EFEITO!$AA$951</f>
        <v>0</v>
      </c>
      <c r="M1166" s="60">
        <f ca="1">$J$1166-EFEITO!$K$1166*EFEITO!$Y$1166</f>
        <v>7892.4466898976534</v>
      </c>
      <c r="N1166" s="60">
        <f>$K$1166-EFEITO!$M$1166*EFEITO!$Z$1166</f>
        <v>0</v>
      </c>
      <c r="O1166" s="60">
        <f>$L$1166-EFEITO!$O$1166*EFEITO!$AA$1166</f>
        <v>0</v>
      </c>
      <c r="P1166" s="18"/>
      <c r="Q1166" s="18"/>
      <c r="R1166" s="18"/>
      <c r="S1166" s="18"/>
      <c r="T1166" s="18"/>
      <c r="U1166" s="18"/>
      <c r="V1166" s="18"/>
      <c r="W1166" s="18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</row>
    <row r="1167" spans="1:36" ht="11.25" customHeight="1" x14ac:dyDescent="0.2">
      <c r="A1167" s="51" t="s">
        <v>21</v>
      </c>
      <c r="B1167" s="51" t="s">
        <v>41</v>
      </c>
      <c r="C1167" s="51" t="s">
        <v>42</v>
      </c>
      <c r="D1167" s="51" t="s">
        <v>50</v>
      </c>
      <c r="E1167" s="51" t="s">
        <v>51</v>
      </c>
      <c r="F1167" s="51" t="s">
        <v>25</v>
      </c>
      <c r="G1167" s="51" t="s">
        <v>25</v>
      </c>
      <c r="H1167" s="51" t="s">
        <v>25</v>
      </c>
      <c r="I1167" s="59">
        <v>44409</v>
      </c>
      <c r="J1167" s="60">
        <f ca="1">EFEITO!$J$1167*EFEITO!$Y$951</f>
        <v>233797.07614397022</v>
      </c>
      <c r="K1167" s="60">
        <f>EFEITO!$L$1167*EFEITO!$Z$951</f>
        <v>0</v>
      </c>
      <c r="L1167" s="60">
        <f>EFEITO!$N$1167*EFEITO!$AA$951</f>
        <v>0</v>
      </c>
      <c r="M1167" s="60">
        <f ca="1">$J$1167-EFEITO!$K$1167*EFEITO!$Y$1167</f>
        <v>7013.9122843190853</v>
      </c>
      <c r="N1167" s="60">
        <f>$K$1167-EFEITO!$M$1167*EFEITO!$Z$1167</f>
        <v>0</v>
      </c>
      <c r="O1167" s="60">
        <f>$L$1167-EFEITO!$O$1167*EFEITO!$AA$1167</f>
        <v>0</v>
      </c>
      <c r="P1167" s="18"/>
      <c r="Q1167" s="18"/>
      <c r="R1167" s="18"/>
      <c r="S1167" s="18"/>
      <c r="T1167" s="18"/>
      <c r="U1167" s="18"/>
      <c r="V1167" s="18"/>
      <c r="W1167" s="18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</row>
    <row r="1168" spans="1:36" ht="11.25" customHeight="1" x14ac:dyDescent="0.2">
      <c r="A1168" s="51" t="s">
        <v>21</v>
      </c>
      <c r="B1168" s="51" t="s">
        <v>41</v>
      </c>
      <c r="C1168" s="51" t="s">
        <v>42</v>
      </c>
      <c r="D1168" s="51" t="s">
        <v>50</v>
      </c>
      <c r="E1168" s="51" t="s">
        <v>51</v>
      </c>
      <c r="F1168" s="51" t="s">
        <v>25</v>
      </c>
      <c r="G1168" s="51" t="s">
        <v>25</v>
      </c>
      <c r="H1168" s="51" t="s">
        <v>25</v>
      </c>
      <c r="I1168" s="59">
        <v>44440</v>
      </c>
      <c r="J1168" s="60">
        <f ca="1">EFEITO!$J$1168*EFEITO!$Y$951</f>
        <v>235047.18565236233</v>
      </c>
      <c r="K1168" s="60">
        <f>EFEITO!$L$1168*EFEITO!$Z$951</f>
        <v>0</v>
      </c>
      <c r="L1168" s="60">
        <f>EFEITO!$N$1168*EFEITO!$AA$951</f>
        <v>0</v>
      </c>
      <c r="M1168" s="60">
        <f ca="1">$J$1168-EFEITO!$K$1168*EFEITO!$Y$1168</f>
        <v>7051.415569570876</v>
      </c>
      <c r="N1168" s="60">
        <f>$K$1168-EFEITO!$M$1168*EFEITO!$Z$1168</f>
        <v>0</v>
      </c>
      <c r="O1168" s="60">
        <f>$L$1168-EFEITO!$O$1168*EFEITO!$AA$1168</f>
        <v>0</v>
      </c>
      <c r="P1168" s="18"/>
      <c r="Q1168" s="18"/>
      <c r="R1168" s="18"/>
      <c r="S1168" s="18"/>
      <c r="T1168" s="18"/>
      <c r="U1168" s="18"/>
      <c r="V1168" s="18"/>
      <c r="W1168" s="18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</row>
    <row r="1169" spans="1:36" ht="11.25" customHeight="1" x14ac:dyDescent="0.2">
      <c r="A1169" s="51" t="s">
        <v>21</v>
      </c>
      <c r="B1169" s="51" t="s">
        <v>41</v>
      </c>
      <c r="C1169" s="51" t="s">
        <v>42</v>
      </c>
      <c r="D1169" s="51" t="s">
        <v>50</v>
      </c>
      <c r="E1169" s="51" t="s">
        <v>51</v>
      </c>
      <c r="F1169" s="51" t="s">
        <v>25</v>
      </c>
      <c r="G1169" s="51" t="s">
        <v>25</v>
      </c>
      <c r="H1169" s="51" t="s">
        <v>25</v>
      </c>
      <c r="I1169" s="59">
        <v>44470</v>
      </c>
      <c r="J1169" s="60">
        <f ca="1">EFEITO!$J$1169*EFEITO!$Y$951</f>
        <v>231456.44557506585</v>
      </c>
      <c r="K1169" s="60">
        <f>EFEITO!$L$1169*EFEITO!$Z$951</f>
        <v>0</v>
      </c>
      <c r="L1169" s="60">
        <f>EFEITO!$N$1169*EFEITO!$AA$951</f>
        <v>0</v>
      </c>
      <c r="M1169" s="60">
        <f ca="1">$J$1169-EFEITO!$K$1169*EFEITO!$Y$1169</f>
        <v>6943.6933672519808</v>
      </c>
      <c r="N1169" s="60">
        <f>$K$1169-EFEITO!$M$1169*EFEITO!$Z$1169</f>
        <v>0</v>
      </c>
      <c r="O1169" s="60">
        <f>$L$1169-EFEITO!$O$1169*EFEITO!$AA$1169</f>
        <v>0</v>
      </c>
      <c r="P1169" s="18"/>
      <c r="Q1169" s="18"/>
      <c r="R1169" s="18"/>
      <c r="S1169" s="18"/>
      <c r="T1169" s="18"/>
      <c r="U1169" s="18"/>
      <c r="V1169" s="18"/>
      <c r="W1169" s="18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</row>
    <row r="1170" spans="1:36" ht="11.25" customHeight="1" x14ac:dyDescent="0.2">
      <c r="A1170" s="51" t="s">
        <v>21</v>
      </c>
      <c r="B1170" s="51" t="s">
        <v>41</v>
      </c>
      <c r="C1170" s="51" t="s">
        <v>42</v>
      </c>
      <c r="D1170" s="51" t="s">
        <v>50</v>
      </c>
      <c r="E1170" s="51" t="s">
        <v>51</v>
      </c>
      <c r="F1170" s="51" t="s">
        <v>25</v>
      </c>
      <c r="G1170" s="51" t="s">
        <v>25</v>
      </c>
      <c r="H1170" s="51" t="s">
        <v>25</v>
      </c>
      <c r="I1170" s="59">
        <v>44501</v>
      </c>
      <c r="J1170" s="60">
        <f ca="1">EFEITO!$J$1170*EFEITO!$Y$951</f>
        <v>234302.43956225639</v>
      </c>
      <c r="K1170" s="60">
        <f>EFEITO!$L$1170*EFEITO!$Z$951</f>
        <v>0</v>
      </c>
      <c r="L1170" s="60">
        <f>EFEITO!$N$1170*EFEITO!$AA$951</f>
        <v>0</v>
      </c>
      <c r="M1170" s="60">
        <f ca="1">$J$1170-EFEITO!$K$1170*EFEITO!$Y$1170</f>
        <v>7029.0731868676958</v>
      </c>
      <c r="N1170" s="60">
        <f>$K$1170-EFEITO!$M$1170*EFEITO!$Z$1170</f>
        <v>0</v>
      </c>
      <c r="O1170" s="60">
        <f>$L$1170-EFEITO!$O$1170*EFEITO!$AA$1170</f>
        <v>0</v>
      </c>
      <c r="P1170" s="18"/>
      <c r="Q1170" s="18"/>
      <c r="R1170" s="18"/>
      <c r="S1170" s="18"/>
      <c r="T1170" s="18"/>
      <c r="U1170" s="18"/>
      <c r="V1170" s="18"/>
      <c r="W1170" s="18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</row>
    <row r="1171" spans="1:36" ht="11.25" customHeight="1" x14ac:dyDescent="0.2">
      <c r="A1171" s="51" t="s">
        <v>21</v>
      </c>
      <c r="B1171" s="51" t="s">
        <v>41</v>
      </c>
      <c r="C1171" s="51" t="s">
        <v>42</v>
      </c>
      <c r="D1171" s="51" t="s">
        <v>50</v>
      </c>
      <c r="E1171" s="51" t="s">
        <v>51</v>
      </c>
      <c r="F1171" s="51" t="s">
        <v>25</v>
      </c>
      <c r="G1171" s="51" t="s">
        <v>25</v>
      </c>
      <c r="H1171" s="51" t="s">
        <v>25</v>
      </c>
      <c r="I1171" s="59">
        <v>44531</v>
      </c>
      <c r="J1171" s="60">
        <f ca="1">EFEITO!$J$1171*EFEITO!$Y$951</f>
        <v>232919.33968063109</v>
      </c>
      <c r="K1171" s="60">
        <f>EFEITO!$L$1171*EFEITO!$Z$951</f>
        <v>0</v>
      </c>
      <c r="L1171" s="60">
        <f>EFEITO!$N$1171*EFEITO!$AA$951</f>
        <v>0</v>
      </c>
      <c r="M1171" s="60">
        <f ca="1">$J$1171-EFEITO!$K$1171*EFEITO!$Y$1171</f>
        <v>6987.5801904189284</v>
      </c>
      <c r="N1171" s="60">
        <f>$K$1171-EFEITO!$M$1171*EFEITO!$Z$1171</f>
        <v>0</v>
      </c>
      <c r="O1171" s="60">
        <f>$L$1171-EFEITO!$O$1171*EFEITO!$AA$1171</f>
        <v>0</v>
      </c>
      <c r="P1171" s="18"/>
      <c r="Q1171" s="18"/>
      <c r="R1171" s="18"/>
      <c r="S1171" s="18"/>
      <c r="T1171" s="18"/>
      <c r="U1171" s="18"/>
      <c r="V1171" s="18"/>
      <c r="W1171" s="18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</row>
    <row r="1172" spans="1:36" ht="11.25" customHeight="1" x14ac:dyDescent="0.2">
      <c r="A1172" s="51" t="s">
        <v>21</v>
      </c>
      <c r="B1172" s="51" t="s">
        <v>41</v>
      </c>
      <c r="C1172" s="51" t="s">
        <v>42</v>
      </c>
      <c r="D1172" s="51" t="s">
        <v>50</v>
      </c>
      <c r="E1172" s="51" t="s">
        <v>51</v>
      </c>
      <c r="F1172" s="51" t="s">
        <v>25</v>
      </c>
      <c r="G1172" s="51" t="s">
        <v>25</v>
      </c>
      <c r="H1172" s="51" t="s">
        <v>25</v>
      </c>
      <c r="I1172" s="59">
        <v>44562</v>
      </c>
      <c r="J1172" s="60">
        <f ca="1">EFEITO!$J$1172*EFEITO!$Y$951</f>
        <v>235339.76447347537</v>
      </c>
      <c r="K1172" s="60">
        <f>EFEITO!$L$1172*EFEITO!$Z$951</f>
        <v>0</v>
      </c>
      <c r="L1172" s="60">
        <f>EFEITO!$N$1172*EFEITO!$AA$951</f>
        <v>0</v>
      </c>
      <c r="M1172" s="60">
        <f ca="1">$J$1172-EFEITO!$K$1172*EFEITO!$Y$1172</f>
        <v>7060.1929342042422</v>
      </c>
      <c r="N1172" s="60">
        <f>$K$1172-EFEITO!$M$1172*EFEITO!$Z$1172</f>
        <v>0</v>
      </c>
      <c r="O1172" s="60">
        <f>$L$1172-EFEITO!$O$1172*EFEITO!$AA$1172</f>
        <v>0</v>
      </c>
      <c r="P1172" s="18"/>
      <c r="Q1172" s="18"/>
      <c r="R1172" s="18"/>
      <c r="S1172" s="18"/>
      <c r="T1172" s="18"/>
      <c r="U1172" s="18"/>
      <c r="V1172" s="18"/>
      <c r="W1172" s="18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</row>
    <row r="1173" spans="1:36" ht="11.25" customHeight="1" x14ac:dyDescent="0.2">
      <c r="A1173" s="51" t="s">
        <v>21</v>
      </c>
      <c r="B1173" s="51" t="s">
        <v>41</v>
      </c>
      <c r="C1173" s="51" t="s">
        <v>42</v>
      </c>
      <c r="D1173" s="51" t="s">
        <v>50</v>
      </c>
      <c r="E1173" s="51" t="s">
        <v>51</v>
      </c>
      <c r="F1173" s="51" t="s">
        <v>25</v>
      </c>
      <c r="G1173" s="51" t="s">
        <v>25</v>
      </c>
      <c r="H1173" s="51" t="s">
        <v>25</v>
      </c>
      <c r="I1173" s="59">
        <v>44593</v>
      </c>
      <c r="J1173" s="60">
        <f ca="1">EFEITO!$J$1173*EFEITO!$Y$951</f>
        <v>236456.88360863429</v>
      </c>
      <c r="K1173" s="60">
        <f>EFEITO!$L$1173*EFEITO!$Z$951</f>
        <v>0</v>
      </c>
      <c r="L1173" s="60">
        <f>EFEITO!$N$1173*EFEITO!$AA$951</f>
        <v>0</v>
      </c>
      <c r="M1173" s="60">
        <f ca="1">$J$1173-EFEITO!$K$1173*EFEITO!$Y$1173</f>
        <v>7093.7065082590561</v>
      </c>
      <c r="N1173" s="60">
        <f>$K$1173-EFEITO!$M$1173*EFEITO!$Z$1173</f>
        <v>0</v>
      </c>
      <c r="O1173" s="60">
        <f>$L$1173-EFEITO!$O$1173*EFEITO!$AA$1173</f>
        <v>0</v>
      </c>
      <c r="P1173" s="18"/>
      <c r="Q1173" s="18"/>
      <c r="R1173" s="18"/>
      <c r="S1173" s="18"/>
      <c r="T1173" s="18"/>
      <c r="U1173" s="18"/>
      <c r="V1173" s="18"/>
      <c r="W1173" s="18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</row>
    <row r="1174" spans="1:36" ht="11.25" customHeight="1" x14ac:dyDescent="0.2">
      <c r="A1174" s="51" t="s">
        <v>27</v>
      </c>
      <c r="B1174" s="51" t="s">
        <v>41</v>
      </c>
      <c r="C1174" s="51" t="s">
        <v>42</v>
      </c>
      <c r="D1174" s="51" t="s">
        <v>50</v>
      </c>
      <c r="E1174" s="51" t="s">
        <v>51</v>
      </c>
      <c r="F1174" s="51" t="s">
        <v>25</v>
      </c>
      <c r="G1174" s="51" t="s">
        <v>25</v>
      </c>
      <c r="H1174" s="51" t="s">
        <v>25</v>
      </c>
      <c r="I1174" s="59">
        <v>44593</v>
      </c>
      <c r="J1174" s="60">
        <f ca="1">EFEITO!$J$1174*EFEITO!$Y$951</f>
        <v>797.94223939921585</v>
      </c>
      <c r="K1174" s="60">
        <f>EFEITO!$L$1174*EFEITO!$Z$951</f>
        <v>0</v>
      </c>
      <c r="L1174" s="60">
        <f>EFEITO!$N$1174*EFEITO!$AA$951</f>
        <v>0</v>
      </c>
      <c r="M1174" s="60">
        <f ca="1">$J$1174-EFEITO!$K$1174*EFEITO!$Y$1174</f>
        <v>23.938267181976585</v>
      </c>
      <c r="N1174" s="60">
        <f>$K$1174-EFEITO!$M$1174*EFEITO!$Z$1174</f>
        <v>0</v>
      </c>
      <c r="O1174" s="60">
        <f>$L$1174-EFEITO!$O$1174*EFEITO!$AA$1174</f>
        <v>0</v>
      </c>
      <c r="P1174" s="18"/>
      <c r="Q1174" s="18"/>
      <c r="R1174" s="18"/>
      <c r="S1174" s="18"/>
      <c r="T1174" s="18"/>
      <c r="U1174" s="18"/>
      <c r="V1174" s="18"/>
      <c r="W1174" s="18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</row>
    <row r="1175" spans="1:36" ht="11.25" customHeight="1" x14ac:dyDescent="0.2">
      <c r="A1175" s="51" t="s">
        <v>56</v>
      </c>
      <c r="B1175" s="51" t="s">
        <v>41</v>
      </c>
      <c r="C1175" s="51" t="s">
        <v>42</v>
      </c>
      <c r="D1175" s="51" t="s">
        <v>50</v>
      </c>
      <c r="E1175" s="51" t="s">
        <v>51</v>
      </c>
      <c r="F1175" s="51" t="s">
        <v>25</v>
      </c>
      <c r="G1175" s="51" t="s">
        <v>25</v>
      </c>
      <c r="H1175" s="51" t="s">
        <v>25</v>
      </c>
      <c r="I1175" s="59">
        <v>44621</v>
      </c>
      <c r="J1175" s="60">
        <f ca="1">EFEITO!$J$1175*EFEITO!$Y$951</f>
        <v>236456.88360863429</v>
      </c>
      <c r="K1175" s="60">
        <f>EFEITO!$L$1175*EFEITO!$Z$951</f>
        <v>0</v>
      </c>
      <c r="L1175" s="60">
        <f>EFEITO!$N$1175*EFEITO!$AA$951</f>
        <v>0</v>
      </c>
      <c r="M1175" s="60">
        <f ca="1">$J$1175-EFEITO!$K$1175*EFEITO!$Y$1175</f>
        <v>7093.7065082590561</v>
      </c>
      <c r="N1175" s="60">
        <f>$K$1175-EFEITO!$M$1175*EFEITO!$Z$1175</f>
        <v>0</v>
      </c>
      <c r="O1175" s="60">
        <f>$L$1175-EFEITO!$O$1175*EFEITO!$AA$1175</f>
        <v>0</v>
      </c>
      <c r="P1175" s="18"/>
      <c r="Q1175" s="18"/>
      <c r="R1175" s="18"/>
      <c r="S1175" s="18"/>
      <c r="T1175" s="18"/>
      <c r="U1175" s="18"/>
      <c r="V1175" s="18"/>
      <c r="W1175" s="18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</row>
    <row r="1176" spans="1:36" ht="11.25" customHeight="1" x14ac:dyDescent="0.2">
      <c r="A1176" s="51" t="s">
        <v>56</v>
      </c>
      <c r="B1176" s="51" t="s">
        <v>41</v>
      </c>
      <c r="C1176" s="51" t="s">
        <v>42</v>
      </c>
      <c r="D1176" s="51" t="s">
        <v>50</v>
      </c>
      <c r="E1176" s="51" t="s">
        <v>51</v>
      </c>
      <c r="F1176" s="51" t="s">
        <v>25</v>
      </c>
      <c r="G1176" s="51" t="s">
        <v>25</v>
      </c>
      <c r="H1176" s="51" t="s">
        <v>25</v>
      </c>
      <c r="I1176" s="59">
        <v>44621</v>
      </c>
      <c r="J1176" s="60">
        <f ca="1">EFEITO!$J$1176*EFEITO!$Y$951</f>
        <v>797.94223939921585</v>
      </c>
      <c r="K1176" s="60">
        <f>EFEITO!$L$1176*EFEITO!$Z$951</f>
        <v>0</v>
      </c>
      <c r="L1176" s="60">
        <f>EFEITO!$N$1176*EFEITO!$AA$951</f>
        <v>0</v>
      </c>
      <c r="M1176" s="60">
        <f ca="1">$J$1176-EFEITO!$K$1176*EFEITO!$Y$1176</f>
        <v>23.938267181976585</v>
      </c>
      <c r="N1176" s="60">
        <f>$K$1176-EFEITO!$M$1176*EFEITO!$Z$1176</f>
        <v>0</v>
      </c>
      <c r="O1176" s="60">
        <f>$L$1176-EFEITO!$O$1176*EFEITO!$AA$1176</f>
        <v>0</v>
      </c>
      <c r="P1176" s="18"/>
      <c r="Q1176" s="18"/>
      <c r="R1176" s="18"/>
      <c r="S1176" s="18"/>
      <c r="T1176" s="18"/>
      <c r="U1176" s="18"/>
      <c r="V1176" s="18"/>
      <c r="W1176" s="18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</row>
    <row r="1177" spans="1:36" ht="11.25" customHeight="1" x14ac:dyDescent="0.2">
      <c r="A1177" s="51" t="s">
        <v>21</v>
      </c>
      <c r="B1177" s="51" t="s">
        <v>41</v>
      </c>
      <c r="C1177" s="51" t="s">
        <v>42</v>
      </c>
      <c r="D1177" s="51" t="s">
        <v>50</v>
      </c>
      <c r="E1177" s="51" t="s">
        <v>51</v>
      </c>
      <c r="F1177" s="51" t="s">
        <v>25</v>
      </c>
      <c r="G1177" s="51" t="s">
        <v>25</v>
      </c>
      <c r="H1177" s="51" t="s">
        <v>34</v>
      </c>
      <c r="I1177" s="59">
        <v>44287</v>
      </c>
      <c r="J1177" s="60">
        <f>EFEITO!$J$1177*EFEITO!$Y$978</f>
        <v>0</v>
      </c>
      <c r="K1177" s="60">
        <f ca="1">EFEITO!$L$1177*EFEITO!$Z$978</f>
        <v>950188.9294625402</v>
      </c>
      <c r="L1177" s="60">
        <f>EFEITO!$N$1177*EFEITO!$AA$978</f>
        <v>186921.41937318764</v>
      </c>
      <c r="M1177" s="60">
        <f>$J$1177-EFEITO!$K$1177*EFEITO!$Y$1177</f>
        <v>0</v>
      </c>
      <c r="N1177" s="60">
        <f ca="1">$K$1177-EFEITO!$M$1177*EFEITO!$Z$1177</f>
        <v>28505.667883876362</v>
      </c>
      <c r="O1177" s="60">
        <f>$L$1177-EFEITO!$O$1177*EFEITO!$AA$1177</f>
        <v>5607.6425811956287</v>
      </c>
      <c r="P1177" s="18"/>
      <c r="Q1177" s="18"/>
      <c r="R1177" s="18"/>
      <c r="S1177" s="18"/>
      <c r="T1177" s="18"/>
      <c r="U1177" s="18"/>
      <c r="V1177" s="18"/>
      <c r="W1177" s="18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</row>
    <row r="1178" spans="1:36" ht="11.25" customHeight="1" x14ac:dyDescent="0.2">
      <c r="A1178" s="51" t="s">
        <v>21</v>
      </c>
      <c r="B1178" s="51" t="s">
        <v>41</v>
      </c>
      <c r="C1178" s="51" t="s">
        <v>42</v>
      </c>
      <c r="D1178" s="51" t="s">
        <v>50</v>
      </c>
      <c r="E1178" s="51" t="s">
        <v>51</v>
      </c>
      <c r="F1178" s="51" t="s">
        <v>25</v>
      </c>
      <c r="G1178" s="51" t="s">
        <v>25</v>
      </c>
      <c r="H1178" s="51" t="s">
        <v>34</v>
      </c>
      <c r="I1178" s="59">
        <v>44317</v>
      </c>
      <c r="J1178" s="60">
        <f>EFEITO!$J$1178*EFEITO!$Y$978</f>
        <v>0</v>
      </c>
      <c r="K1178" s="60">
        <f ca="1">EFEITO!$L$1178*EFEITO!$Z$978</f>
        <v>859990.82096885913</v>
      </c>
      <c r="L1178" s="60">
        <f>EFEITO!$N$1178*EFEITO!$AA$978</f>
        <v>169177.62343783383</v>
      </c>
      <c r="M1178" s="60">
        <f>$J$1178-EFEITO!$K$1178*EFEITO!$Y$1178</f>
        <v>0</v>
      </c>
      <c r="N1178" s="60">
        <f ca="1">$K$1178-EFEITO!$M$1178*EFEITO!$Z$1178</f>
        <v>25799.724629065837</v>
      </c>
      <c r="O1178" s="60">
        <f>$L$1178-EFEITO!$O$1178*EFEITO!$AA$1178</f>
        <v>5075.3287031350192</v>
      </c>
      <c r="P1178" s="18"/>
      <c r="Q1178" s="18"/>
      <c r="R1178" s="18"/>
      <c r="S1178" s="18"/>
      <c r="T1178" s="18"/>
      <c r="U1178" s="18"/>
      <c r="V1178" s="18"/>
      <c r="W1178" s="18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</row>
    <row r="1179" spans="1:36" ht="11.25" customHeight="1" x14ac:dyDescent="0.2">
      <c r="A1179" s="51" t="s">
        <v>21</v>
      </c>
      <c r="B1179" s="51" t="s">
        <v>41</v>
      </c>
      <c r="C1179" s="51" t="s">
        <v>42</v>
      </c>
      <c r="D1179" s="51" t="s">
        <v>50</v>
      </c>
      <c r="E1179" s="51" t="s">
        <v>51</v>
      </c>
      <c r="F1179" s="51" t="s">
        <v>25</v>
      </c>
      <c r="G1179" s="51" t="s">
        <v>25</v>
      </c>
      <c r="H1179" s="51" t="s">
        <v>34</v>
      </c>
      <c r="I1179" s="59">
        <v>44348</v>
      </c>
      <c r="J1179" s="60">
        <f>EFEITO!$J$1179*EFEITO!$Y$978</f>
        <v>0</v>
      </c>
      <c r="K1179" s="60">
        <f ca="1">EFEITO!$L$1179*EFEITO!$Z$978</f>
        <v>569589.55913807184</v>
      </c>
      <c r="L1179" s="60">
        <f>EFEITO!$N$1179*EFEITO!$AA$978</f>
        <v>112049.80983567012</v>
      </c>
      <c r="M1179" s="60">
        <f>$J$1179-EFEITO!$K$1179*EFEITO!$Y$1179</f>
        <v>0</v>
      </c>
      <c r="N1179" s="60">
        <f ca="1">$K$1179-EFEITO!$M$1179*EFEITO!$Z$1179</f>
        <v>17087.686774142203</v>
      </c>
      <c r="O1179" s="60">
        <f>$L$1179-EFEITO!$O$1179*EFEITO!$AA$1179</f>
        <v>3361.4942950701079</v>
      </c>
      <c r="P1179" s="18"/>
      <c r="Q1179" s="18"/>
      <c r="R1179" s="18"/>
      <c r="S1179" s="18"/>
      <c r="T1179" s="18"/>
      <c r="U1179" s="18"/>
      <c r="V1179" s="18"/>
      <c r="W1179" s="18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</row>
    <row r="1180" spans="1:36" ht="11.25" customHeight="1" x14ac:dyDescent="0.2">
      <c r="A1180" s="51" t="s">
        <v>21</v>
      </c>
      <c r="B1180" s="51" t="s">
        <v>41</v>
      </c>
      <c r="C1180" s="51" t="s">
        <v>42</v>
      </c>
      <c r="D1180" s="51" t="s">
        <v>50</v>
      </c>
      <c r="E1180" s="51" t="s">
        <v>51</v>
      </c>
      <c r="F1180" s="51" t="s">
        <v>25</v>
      </c>
      <c r="G1180" s="51" t="s">
        <v>25</v>
      </c>
      <c r="H1180" s="51" t="s">
        <v>34</v>
      </c>
      <c r="I1180" s="59">
        <v>44378</v>
      </c>
      <c r="J1180" s="60">
        <f>EFEITO!$J$1180*EFEITO!$Y$978</f>
        <v>0</v>
      </c>
      <c r="K1180" s="60">
        <f ca="1">EFEITO!$L$1180*EFEITO!$Z$978</f>
        <v>621940.00684950512</v>
      </c>
      <c r="L1180" s="60">
        <f>EFEITO!$N$1180*EFEITO!$AA$978</f>
        <v>122348.20385777047</v>
      </c>
      <c r="M1180" s="60">
        <f>$J$1180-EFEITO!$K$1180*EFEITO!$Y$1180</f>
        <v>0</v>
      </c>
      <c r="N1180" s="60">
        <f ca="1">$K$1180-EFEITO!$M$1180*EFEITO!$Z$1180</f>
        <v>18658.20020548522</v>
      </c>
      <c r="O1180" s="60">
        <f>$L$1180-EFEITO!$O$1180*EFEITO!$AA$1180</f>
        <v>3670.4461157331243</v>
      </c>
      <c r="P1180" s="18"/>
      <c r="Q1180" s="18"/>
      <c r="R1180" s="18"/>
      <c r="S1180" s="18"/>
      <c r="T1180" s="18"/>
      <c r="U1180" s="18"/>
      <c r="V1180" s="18"/>
      <c r="W1180" s="18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</row>
    <row r="1181" spans="1:36" ht="11.25" customHeight="1" x14ac:dyDescent="0.2">
      <c r="A1181" s="51" t="s">
        <v>27</v>
      </c>
      <c r="B1181" s="51" t="s">
        <v>41</v>
      </c>
      <c r="C1181" s="51" t="s">
        <v>42</v>
      </c>
      <c r="D1181" s="51" t="s">
        <v>50</v>
      </c>
      <c r="E1181" s="51" t="s">
        <v>51</v>
      </c>
      <c r="F1181" s="51" t="s">
        <v>25</v>
      </c>
      <c r="G1181" s="51" t="s">
        <v>25</v>
      </c>
      <c r="H1181" s="51" t="s">
        <v>34</v>
      </c>
      <c r="I1181" s="59">
        <v>44378</v>
      </c>
      <c r="J1181" s="60">
        <f>EFEITO!$J$1181*EFEITO!$Y$978</f>
        <v>0</v>
      </c>
      <c r="K1181" s="60">
        <f ca="1">EFEITO!$L$1181*EFEITO!$Z$978</f>
        <v>-3047.2209768837361</v>
      </c>
      <c r="L1181" s="60">
        <f>EFEITO!$N$1181*EFEITO!$AA$978</f>
        <v>-599.45012247726333</v>
      </c>
      <c r="M1181" s="60">
        <f>$J$1181-EFEITO!$K$1181*EFEITO!$Y$1181</f>
        <v>0</v>
      </c>
      <c r="N1181" s="60">
        <f ca="1">$K$1181-EFEITO!$M$1181*EFEITO!$Z$1181</f>
        <v>-91.416629306512277</v>
      </c>
      <c r="O1181" s="60">
        <f>$L$1181-EFEITO!$O$1181*EFEITO!$AA$1181</f>
        <v>-17.983503674317944</v>
      </c>
      <c r="P1181" s="18"/>
      <c r="Q1181" s="18"/>
      <c r="R1181" s="18"/>
      <c r="S1181" s="18"/>
      <c r="T1181" s="18"/>
      <c r="U1181" s="18"/>
      <c r="V1181" s="18"/>
      <c r="W1181" s="18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</row>
    <row r="1182" spans="1:36" ht="11.25" customHeight="1" x14ac:dyDescent="0.2">
      <c r="A1182" s="51" t="s">
        <v>21</v>
      </c>
      <c r="B1182" s="51" t="s">
        <v>41</v>
      </c>
      <c r="C1182" s="51" t="s">
        <v>42</v>
      </c>
      <c r="D1182" s="51" t="s">
        <v>50</v>
      </c>
      <c r="E1182" s="51" t="s">
        <v>51</v>
      </c>
      <c r="F1182" s="51" t="s">
        <v>25</v>
      </c>
      <c r="G1182" s="51" t="s">
        <v>25</v>
      </c>
      <c r="H1182" s="51" t="s">
        <v>34</v>
      </c>
      <c r="I1182" s="59">
        <v>44409</v>
      </c>
      <c r="J1182" s="60">
        <f>EFEITO!$J$1182*EFEITO!$Y$978</f>
        <v>0</v>
      </c>
      <c r="K1182" s="60">
        <f ca="1">EFEITO!$L$1182*EFEITO!$Z$978</f>
        <v>631024.69520218077</v>
      </c>
      <c r="L1182" s="60">
        <f>EFEITO!$N$1182*EFEITO!$AA$978</f>
        <v>124135.34617104255</v>
      </c>
      <c r="M1182" s="60">
        <f>$J$1182-EFEITO!$K$1182*EFEITO!$Y$1182</f>
        <v>0</v>
      </c>
      <c r="N1182" s="60">
        <f ca="1">$K$1182-EFEITO!$M$1182*EFEITO!$Z$1182</f>
        <v>18930.740856065531</v>
      </c>
      <c r="O1182" s="60">
        <f>$L$1182-EFEITO!$O$1182*EFEITO!$AA$1182</f>
        <v>3724.0603851312917</v>
      </c>
      <c r="P1182" s="18"/>
      <c r="Q1182" s="18"/>
      <c r="R1182" s="18"/>
      <c r="S1182" s="18"/>
      <c r="T1182" s="18"/>
      <c r="U1182" s="18"/>
      <c r="V1182" s="18"/>
      <c r="W1182" s="18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</row>
    <row r="1183" spans="1:36" ht="11.25" customHeight="1" x14ac:dyDescent="0.2">
      <c r="A1183" s="51" t="s">
        <v>21</v>
      </c>
      <c r="B1183" s="51" t="s">
        <v>41</v>
      </c>
      <c r="C1183" s="51" t="s">
        <v>42</v>
      </c>
      <c r="D1183" s="51" t="s">
        <v>50</v>
      </c>
      <c r="E1183" s="51" t="s">
        <v>51</v>
      </c>
      <c r="F1183" s="51" t="s">
        <v>25</v>
      </c>
      <c r="G1183" s="51" t="s">
        <v>25</v>
      </c>
      <c r="H1183" s="51" t="s">
        <v>34</v>
      </c>
      <c r="I1183" s="59">
        <v>44440</v>
      </c>
      <c r="J1183" s="60">
        <f>EFEITO!$J$1183*EFEITO!$Y$978</f>
        <v>0</v>
      </c>
      <c r="K1183" s="60">
        <f ca="1">EFEITO!$L$1183*EFEITO!$Z$978</f>
        <v>469825.23521334148</v>
      </c>
      <c r="L1183" s="60">
        <f>EFEITO!$N$1183*EFEITO!$AA$978</f>
        <v>92424.145451887976</v>
      </c>
      <c r="M1183" s="60">
        <f>$J$1183-EFEITO!$K$1183*EFEITO!$Y$1183</f>
        <v>0</v>
      </c>
      <c r="N1183" s="60">
        <f ca="1">$K$1183-EFEITO!$M$1183*EFEITO!$Z$1183</f>
        <v>14094.757056400296</v>
      </c>
      <c r="O1183" s="60">
        <f>$L$1183-EFEITO!$O$1183*EFEITO!$AA$1183</f>
        <v>2772.724363556641</v>
      </c>
      <c r="P1183" s="18"/>
      <c r="Q1183" s="18"/>
      <c r="R1183" s="18"/>
      <c r="S1183" s="18"/>
      <c r="T1183" s="18"/>
      <c r="U1183" s="18"/>
      <c r="V1183" s="18"/>
      <c r="W1183" s="18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</row>
    <row r="1184" spans="1:36" ht="11.25" customHeight="1" x14ac:dyDescent="0.2">
      <c r="A1184" s="51" t="s">
        <v>21</v>
      </c>
      <c r="B1184" s="51" t="s">
        <v>41</v>
      </c>
      <c r="C1184" s="51" t="s">
        <v>42</v>
      </c>
      <c r="D1184" s="51" t="s">
        <v>50</v>
      </c>
      <c r="E1184" s="51" t="s">
        <v>51</v>
      </c>
      <c r="F1184" s="51" t="s">
        <v>25</v>
      </c>
      <c r="G1184" s="51" t="s">
        <v>25</v>
      </c>
      <c r="H1184" s="51" t="s">
        <v>34</v>
      </c>
      <c r="I1184" s="59">
        <v>44470</v>
      </c>
      <c r="J1184" s="60">
        <f>EFEITO!$J$1184*EFEITO!$Y$978</f>
        <v>0</v>
      </c>
      <c r="K1184" s="60">
        <f ca="1">EFEITO!$L$1184*EFEITO!$Z$978</f>
        <v>468252.00170537247</v>
      </c>
      <c r="L1184" s="60">
        <f>EFEITO!$N$1184*EFEITO!$AA$978</f>
        <v>92114.658537026364</v>
      </c>
      <c r="M1184" s="60">
        <f>$J$1184-EFEITO!$K$1184*EFEITO!$Y$1184</f>
        <v>0</v>
      </c>
      <c r="N1184" s="60">
        <f ca="1">$K$1184-EFEITO!$M$1184*EFEITO!$Z$1184</f>
        <v>14047.560051161214</v>
      </c>
      <c r="O1184" s="60">
        <f>$L$1184-EFEITO!$O$1184*EFEITO!$AA$1184</f>
        <v>2763.4397561107908</v>
      </c>
      <c r="P1184" s="18"/>
      <c r="Q1184" s="18"/>
      <c r="R1184" s="18"/>
      <c r="S1184" s="18"/>
      <c r="T1184" s="18"/>
      <c r="U1184" s="18"/>
      <c r="V1184" s="18"/>
      <c r="W1184" s="18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</row>
    <row r="1185" spans="1:36" ht="11.25" customHeight="1" x14ac:dyDescent="0.2">
      <c r="A1185" s="51" t="s">
        <v>21</v>
      </c>
      <c r="B1185" s="51" t="s">
        <v>41</v>
      </c>
      <c r="C1185" s="51" t="s">
        <v>42</v>
      </c>
      <c r="D1185" s="51" t="s">
        <v>50</v>
      </c>
      <c r="E1185" s="51" t="s">
        <v>51</v>
      </c>
      <c r="F1185" s="51" t="s">
        <v>25</v>
      </c>
      <c r="G1185" s="51" t="s">
        <v>25</v>
      </c>
      <c r="H1185" s="51" t="s">
        <v>34</v>
      </c>
      <c r="I1185" s="59">
        <v>44501</v>
      </c>
      <c r="J1185" s="60">
        <f>EFEITO!$J$1185*EFEITO!$Y$978</f>
        <v>0</v>
      </c>
      <c r="K1185" s="60">
        <f ca="1">EFEITO!$L$1185*EFEITO!$Z$978</f>
        <v>483432.96990142774</v>
      </c>
      <c r="L1185" s="60">
        <f>EFEITO!$N$1185*EFEITO!$AA$978</f>
        <v>95101.062645387152</v>
      </c>
      <c r="M1185" s="60">
        <f>$J$1185-EFEITO!$K$1185*EFEITO!$Y$1185</f>
        <v>0</v>
      </c>
      <c r="N1185" s="60">
        <f ca="1">$K$1185-EFEITO!$M$1185*EFEITO!$Z$1185</f>
        <v>14502.989097042882</v>
      </c>
      <c r="O1185" s="60">
        <f>$L$1185-EFEITO!$O$1185*EFEITO!$AA$1185</f>
        <v>2853.031879361617</v>
      </c>
      <c r="P1185" s="18"/>
      <c r="Q1185" s="18"/>
      <c r="R1185" s="18"/>
      <c r="S1185" s="18"/>
      <c r="T1185" s="18"/>
      <c r="U1185" s="18"/>
      <c r="V1185" s="18"/>
      <c r="W1185" s="18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</row>
    <row r="1186" spans="1:36" ht="11.25" customHeight="1" x14ac:dyDescent="0.2">
      <c r="A1186" s="51" t="s">
        <v>21</v>
      </c>
      <c r="B1186" s="51" t="s">
        <v>41</v>
      </c>
      <c r="C1186" s="51" t="s">
        <v>42</v>
      </c>
      <c r="D1186" s="51" t="s">
        <v>50</v>
      </c>
      <c r="E1186" s="51" t="s">
        <v>51</v>
      </c>
      <c r="F1186" s="51" t="s">
        <v>25</v>
      </c>
      <c r="G1186" s="51" t="s">
        <v>25</v>
      </c>
      <c r="H1186" s="51" t="s">
        <v>34</v>
      </c>
      <c r="I1186" s="59">
        <v>44531</v>
      </c>
      <c r="J1186" s="60">
        <f>EFEITO!$J$1186*EFEITO!$Y$978</f>
        <v>0</v>
      </c>
      <c r="K1186" s="60">
        <f ca="1">EFEITO!$L$1186*EFEITO!$Z$978</f>
        <v>544215.65515323647</v>
      </c>
      <c r="L1186" s="60">
        <f>EFEITO!$N$1186*EFEITO!$AA$978</f>
        <v>107058.24868312421</v>
      </c>
      <c r="M1186" s="60">
        <f>$J$1186-EFEITO!$K$1186*EFEITO!$Y$1186</f>
        <v>0</v>
      </c>
      <c r="N1186" s="60">
        <f ca="1">$K$1186-EFEITO!$M$1186*EFEITO!$Z$1186</f>
        <v>16326.469654597109</v>
      </c>
      <c r="O1186" s="60">
        <f>$L$1186-EFEITO!$O$1186*EFEITO!$AA$1186</f>
        <v>3211.7474604937306</v>
      </c>
      <c r="P1186" s="18"/>
      <c r="Q1186" s="18"/>
      <c r="R1186" s="18"/>
      <c r="S1186" s="18"/>
      <c r="T1186" s="18"/>
      <c r="U1186" s="18"/>
      <c r="V1186" s="18"/>
      <c r="W1186" s="18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</row>
    <row r="1187" spans="1:36" ht="11.25" customHeight="1" x14ac:dyDescent="0.2">
      <c r="A1187" s="51" t="s">
        <v>21</v>
      </c>
      <c r="B1187" s="51" t="s">
        <v>41</v>
      </c>
      <c r="C1187" s="51" t="s">
        <v>42</v>
      </c>
      <c r="D1187" s="51" t="s">
        <v>50</v>
      </c>
      <c r="E1187" s="51" t="s">
        <v>51</v>
      </c>
      <c r="F1187" s="51" t="s">
        <v>25</v>
      </c>
      <c r="G1187" s="51" t="s">
        <v>25</v>
      </c>
      <c r="H1187" s="51" t="s">
        <v>34</v>
      </c>
      <c r="I1187" s="59">
        <v>44562</v>
      </c>
      <c r="J1187" s="60">
        <f>EFEITO!$J$1187*EFEITO!$Y$978</f>
        <v>0</v>
      </c>
      <c r="K1187" s="60">
        <f ca="1">EFEITO!$L$1187*EFEITO!$Z$978</f>
        <v>521148.30263160338</v>
      </c>
      <c r="L1187" s="60">
        <f>EFEITO!$N$1187*EFEITO!$AA$978</f>
        <v>102520.43294897939</v>
      </c>
      <c r="M1187" s="60">
        <f>$J$1187-EFEITO!$K$1187*EFEITO!$Y$1187</f>
        <v>0</v>
      </c>
      <c r="N1187" s="60">
        <f ca="1">$K$1187-EFEITO!$M$1187*EFEITO!$Z$1187</f>
        <v>15634.449078948121</v>
      </c>
      <c r="O1187" s="60">
        <f>$L$1187-EFEITO!$O$1187*EFEITO!$AA$1187</f>
        <v>3075.6129884693801</v>
      </c>
      <c r="P1187" s="18"/>
      <c r="Q1187" s="18"/>
      <c r="R1187" s="18"/>
      <c r="S1187" s="18"/>
      <c r="T1187" s="18"/>
      <c r="U1187" s="18"/>
      <c r="V1187" s="18"/>
      <c r="W1187" s="18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</row>
    <row r="1188" spans="1:36" ht="11.25" customHeight="1" x14ac:dyDescent="0.2">
      <c r="A1188" s="51" t="s">
        <v>21</v>
      </c>
      <c r="B1188" s="51" t="s">
        <v>41</v>
      </c>
      <c r="C1188" s="51" t="s">
        <v>42</v>
      </c>
      <c r="D1188" s="51" t="s">
        <v>50</v>
      </c>
      <c r="E1188" s="51" t="s">
        <v>51</v>
      </c>
      <c r="F1188" s="51" t="s">
        <v>25</v>
      </c>
      <c r="G1188" s="51" t="s">
        <v>25</v>
      </c>
      <c r="H1188" s="51" t="s">
        <v>34</v>
      </c>
      <c r="I1188" s="59">
        <v>44593</v>
      </c>
      <c r="J1188" s="60">
        <f>EFEITO!$J$1188*EFEITO!$Y$978</f>
        <v>0</v>
      </c>
      <c r="K1188" s="60">
        <f ca="1">EFEITO!$L$1188*EFEITO!$Z$978</f>
        <v>491185.1882853214</v>
      </c>
      <c r="L1188" s="60">
        <f>EFEITO!$N$1188*EFEITO!$AA$978</f>
        <v>96626.081111375752</v>
      </c>
      <c r="M1188" s="60">
        <f>$J$1188-EFEITO!$K$1188*EFEITO!$Y$1188</f>
        <v>0</v>
      </c>
      <c r="N1188" s="60">
        <f ca="1">$K$1188-EFEITO!$M$1188*EFEITO!$Z$1188</f>
        <v>14735.555648559704</v>
      </c>
      <c r="O1188" s="60">
        <f>$L$1188-EFEITO!$O$1188*EFEITO!$AA$1188</f>
        <v>2898.7824333412718</v>
      </c>
      <c r="P1188" s="18"/>
      <c r="Q1188" s="18"/>
      <c r="R1188" s="18"/>
      <c r="S1188" s="18"/>
      <c r="T1188" s="18"/>
      <c r="U1188" s="18"/>
      <c r="V1188" s="18"/>
      <c r="W1188" s="18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</row>
    <row r="1189" spans="1:36" ht="11.25" customHeight="1" x14ac:dyDescent="0.2">
      <c r="A1189" s="51" t="s">
        <v>56</v>
      </c>
      <c r="B1189" s="51" t="s">
        <v>41</v>
      </c>
      <c r="C1189" s="51" t="s">
        <v>42</v>
      </c>
      <c r="D1189" s="51" t="s">
        <v>50</v>
      </c>
      <c r="E1189" s="51" t="s">
        <v>51</v>
      </c>
      <c r="F1189" s="51" t="s">
        <v>25</v>
      </c>
      <c r="G1189" s="51" t="s">
        <v>25</v>
      </c>
      <c r="H1189" s="51" t="s">
        <v>34</v>
      </c>
      <c r="I1189" s="59">
        <v>44621</v>
      </c>
      <c r="J1189" s="60">
        <f>EFEITO!$J$1189*EFEITO!$Y$978</f>
        <v>0</v>
      </c>
      <c r="K1189" s="60">
        <f ca="1">EFEITO!$L$1189*EFEITO!$Z$978</f>
        <v>491185.1882853214</v>
      </c>
      <c r="L1189" s="60">
        <f>EFEITO!$N$1189*EFEITO!$AA$978</f>
        <v>96626.081111375752</v>
      </c>
      <c r="M1189" s="60">
        <f>$J$1189-EFEITO!$K$1189*EFEITO!$Y$1189</f>
        <v>0</v>
      </c>
      <c r="N1189" s="60">
        <f ca="1">$K$1189-EFEITO!$M$1189*EFEITO!$Z$1189</f>
        <v>14735.555648559704</v>
      </c>
      <c r="O1189" s="60">
        <f>$L$1189-EFEITO!$O$1189*EFEITO!$AA$1189</f>
        <v>2898.7824333412718</v>
      </c>
      <c r="P1189" s="18"/>
      <c r="Q1189" s="18"/>
      <c r="R1189" s="18"/>
      <c r="S1189" s="18"/>
      <c r="T1189" s="18"/>
      <c r="U1189" s="18"/>
      <c r="V1189" s="18"/>
      <c r="W1189" s="18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</row>
    <row r="1190" spans="1:36" ht="11.25" customHeight="1" x14ac:dyDescent="0.2">
      <c r="A1190" s="51" t="s">
        <v>21</v>
      </c>
      <c r="B1190" s="51" t="s">
        <v>22</v>
      </c>
      <c r="C1190" s="51" t="s">
        <v>33</v>
      </c>
      <c r="D1190" s="51" t="s">
        <v>24</v>
      </c>
      <c r="E1190" s="51" t="s">
        <v>24</v>
      </c>
      <c r="F1190" s="51" t="s">
        <v>25</v>
      </c>
      <c r="G1190" s="51" t="s">
        <v>25</v>
      </c>
      <c r="H1190" s="51" t="s">
        <v>35</v>
      </c>
      <c r="I1190" s="59">
        <v>44287</v>
      </c>
      <c r="J1190" s="60">
        <f>EFEITO!$J$1190*EFEITO!$Y$1190</f>
        <v>0</v>
      </c>
      <c r="K1190" s="60">
        <f ca="1">EFEITO!$L$1190*EFEITO!$Z$1190</f>
        <v>35679.23457188085</v>
      </c>
      <c r="L1190" s="60">
        <f>EFEITO!$N$1190*EFEITO!$AA$1190</f>
        <v>28186.415607266146</v>
      </c>
      <c r="M1190" s="60">
        <f>$J$1190-EFEITO!$K$1190*EFEITO!$Y$1190</f>
        <v>0</v>
      </c>
      <c r="N1190" s="60">
        <f ca="1">$K$1190-EFEITO!$M$1190*EFEITO!$Z$1190</f>
        <v>0</v>
      </c>
      <c r="O1190" s="60">
        <f>$L$1190-EFEITO!$O$1190*EFEITO!$AA$1190</f>
        <v>0</v>
      </c>
      <c r="P1190" s="18"/>
      <c r="Q1190" s="18"/>
      <c r="R1190" s="18"/>
      <c r="S1190" s="18"/>
      <c r="T1190" s="18"/>
      <c r="U1190" s="18"/>
      <c r="V1190" s="18"/>
      <c r="W1190" s="18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</row>
    <row r="1191" spans="1:36" ht="11.25" customHeight="1" x14ac:dyDescent="0.2">
      <c r="A1191" s="51" t="s">
        <v>28</v>
      </c>
      <c r="B1191" s="51" t="s">
        <v>22</v>
      </c>
      <c r="C1191" s="51" t="s">
        <v>33</v>
      </c>
      <c r="D1191" s="51" t="s">
        <v>24</v>
      </c>
      <c r="E1191" s="51" t="s">
        <v>24</v>
      </c>
      <c r="F1191" s="51" t="s">
        <v>25</v>
      </c>
      <c r="G1191" s="51" t="s">
        <v>25</v>
      </c>
      <c r="H1191" s="51" t="s">
        <v>35</v>
      </c>
      <c r="I1191" s="59">
        <v>44287</v>
      </c>
      <c r="J1191" s="60">
        <f>EFEITO!$J$1191*EFEITO!$Y$1191</f>
        <v>0</v>
      </c>
      <c r="K1191" s="60">
        <f ca="1">EFEITO!$L$1191*EFEITO!$Z$1191</f>
        <v>465.78413959681052</v>
      </c>
      <c r="L1191" s="60">
        <f>EFEITO!$N$1191*EFEITO!$AA$1191</f>
        <v>367.96712428061716</v>
      </c>
      <c r="M1191" s="60">
        <f>$J$1191-EFEITO!$K$1191*EFEITO!$Y$1191</f>
        <v>0</v>
      </c>
      <c r="N1191" s="60">
        <f ca="1">$K$1191-EFEITO!$M$1191*EFEITO!$Z$1191</f>
        <v>0</v>
      </c>
      <c r="O1191" s="60">
        <f>$L$1191-EFEITO!$O$1191*EFEITO!$AA$1191</f>
        <v>0</v>
      </c>
      <c r="P1191" s="18"/>
      <c r="Q1191" s="18"/>
      <c r="R1191" s="18"/>
      <c r="S1191" s="18"/>
      <c r="T1191" s="18"/>
      <c r="U1191" s="18"/>
      <c r="V1191" s="18"/>
      <c r="W1191" s="18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</row>
    <row r="1192" spans="1:36" ht="11.25" customHeight="1" x14ac:dyDescent="0.2">
      <c r="A1192" s="51" t="s">
        <v>21</v>
      </c>
      <c r="B1192" s="51" t="s">
        <v>22</v>
      </c>
      <c r="C1192" s="51" t="s">
        <v>33</v>
      </c>
      <c r="D1192" s="51" t="s">
        <v>24</v>
      </c>
      <c r="E1192" s="51" t="s">
        <v>24</v>
      </c>
      <c r="F1192" s="51" t="s">
        <v>25</v>
      </c>
      <c r="G1192" s="51" t="s">
        <v>25</v>
      </c>
      <c r="H1192" s="51" t="s">
        <v>35</v>
      </c>
      <c r="I1192" s="59">
        <v>44317</v>
      </c>
      <c r="J1192" s="60">
        <f>EFEITO!$J$1192*EFEITO!$Y$1192</f>
        <v>0</v>
      </c>
      <c r="K1192" s="60">
        <f ca="1">EFEITO!$L$1192*EFEITO!$Z$1192</f>
        <v>30781.580723203409</v>
      </c>
      <c r="L1192" s="60">
        <f>EFEITO!$N$1192*EFEITO!$AA$1192</f>
        <v>24317.293734675713</v>
      </c>
      <c r="M1192" s="60">
        <f>$J$1192-EFEITO!$K$1192*EFEITO!$Y$1192</f>
        <v>0</v>
      </c>
      <c r="N1192" s="60">
        <f ca="1">$K$1192-EFEITO!$M$1192*EFEITO!$Z$1192</f>
        <v>0</v>
      </c>
      <c r="O1192" s="60">
        <f>$L$1192-EFEITO!$O$1192*EFEITO!$AA$1192</f>
        <v>0</v>
      </c>
      <c r="P1192" s="18"/>
      <c r="Q1192" s="18"/>
      <c r="R1192" s="18"/>
      <c r="S1192" s="18"/>
      <c r="T1192" s="18"/>
      <c r="U1192" s="18"/>
      <c r="V1192" s="18"/>
      <c r="W1192" s="18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</row>
    <row r="1193" spans="1:36" ht="11.25" customHeight="1" x14ac:dyDescent="0.2">
      <c r="A1193" s="51" t="s">
        <v>28</v>
      </c>
      <c r="B1193" s="51" t="s">
        <v>22</v>
      </c>
      <c r="C1193" s="51" t="s">
        <v>33</v>
      </c>
      <c r="D1193" s="51" t="s">
        <v>24</v>
      </c>
      <c r="E1193" s="51" t="s">
        <v>24</v>
      </c>
      <c r="F1193" s="51" t="s">
        <v>25</v>
      </c>
      <c r="G1193" s="51" t="s">
        <v>25</v>
      </c>
      <c r="H1193" s="51" t="s">
        <v>35</v>
      </c>
      <c r="I1193" s="59">
        <v>44317</v>
      </c>
      <c r="J1193" s="60">
        <f>EFEITO!$J$1193*EFEITO!$Y$1193</f>
        <v>0</v>
      </c>
      <c r="K1193" s="60">
        <f ca="1">EFEITO!$L$1193*EFEITO!$Z$1193</f>
        <v>288.96129460736029</v>
      </c>
      <c r="L1193" s="60">
        <f>EFEITO!$N$1193*EFEITO!$AA$1193</f>
        <v>228.27796733721729</v>
      </c>
      <c r="M1193" s="60">
        <f>$J$1193-EFEITO!$K$1193*EFEITO!$Y$1193</f>
        <v>0</v>
      </c>
      <c r="N1193" s="60">
        <f ca="1">$K$1193-EFEITO!$M$1193*EFEITO!$Z$1193</f>
        <v>0</v>
      </c>
      <c r="O1193" s="60">
        <f>$L$1193-EFEITO!$O$1193*EFEITO!$AA$1193</f>
        <v>0</v>
      </c>
      <c r="P1193" s="18"/>
      <c r="Q1193" s="18"/>
      <c r="R1193" s="18"/>
      <c r="S1193" s="18"/>
      <c r="T1193" s="18"/>
      <c r="U1193" s="18"/>
      <c r="V1193" s="18"/>
      <c r="W1193" s="18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</row>
    <row r="1194" spans="1:36" ht="11.25" customHeight="1" x14ac:dyDescent="0.2">
      <c r="A1194" s="51" t="s">
        <v>21</v>
      </c>
      <c r="B1194" s="51" t="s">
        <v>22</v>
      </c>
      <c r="C1194" s="51" t="s">
        <v>33</v>
      </c>
      <c r="D1194" s="51" t="s">
        <v>24</v>
      </c>
      <c r="E1194" s="51" t="s">
        <v>24</v>
      </c>
      <c r="F1194" s="51" t="s">
        <v>25</v>
      </c>
      <c r="G1194" s="51" t="s">
        <v>25</v>
      </c>
      <c r="H1194" s="51" t="s">
        <v>35</v>
      </c>
      <c r="I1194" s="59">
        <v>44348</v>
      </c>
      <c r="J1194" s="60">
        <f>EFEITO!$J$1194*EFEITO!$Y$1194</f>
        <v>0</v>
      </c>
      <c r="K1194" s="60">
        <f ca="1">EFEITO!$L$1194*EFEITO!$Z$1194</f>
        <v>28870.707645961189</v>
      </c>
      <c r="L1194" s="60">
        <f>EFEITO!$N$1194*EFEITO!$AA$1194</f>
        <v>22807.713628090889</v>
      </c>
      <c r="M1194" s="60">
        <f>$J$1194-EFEITO!$K$1194*EFEITO!$Y$1194</f>
        <v>0</v>
      </c>
      <c r="N1194" s="60">
        <f ca="1">$K$1194-EFEITO!$M$1194*EFEITO!$Z$1194</f>
        <v>0</v>
      </c>
      <c r="O1194" s="60">
        <f>$L$1194-EFEITO!$O$1194*EFEITO!$AA$1194</f>
        <v>0</v>
      </c>
      <c r="P1194" s="18"/>
      <c r="Q1194" s="18"/>
      <c r="R1194" s="18"/>
      <c r="S1194" s="18"/>
      <c r="T1194" s="18"/>
      <c r="U1194" s="18"/>
      <c r="V1194" s="18"/>
      <c r="W1194" s="18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</row>
    <row r="1195" spans="1:36" ht="11.25" customHeight="1" x14ac:dyDescent="0.2">
      <c r="A1195" s="51" t="s">
        <v>28</v>
      </c>
      <c r="B1195" s="51" t="s">
        <v>22</v>
      </c>
      <c r="C1195" s="51" t="s">
        <v>33</v>
      </c>
      <c r="D1195" s="51" t="s">
        <v>24</v>
      </c>
      <c r="E1195" s="51" t="s">
        <v>24</v>
      </c>
      <c r="F1195" s="51" t="s">
        <v>25</v>
      </c>
      <c r="G1195" s="51" t="s">
        <v>25</v>
      </c>
      <c r="H1195" s="51" t="s">
        <v>35</v>
      </c>
      <c r="I1195" s="59">
        <v>44348</v>
      </c>
      <c r="J1195" s="60">
        <f>EFEITO!$J$1195*EFEITO!$Y$1195</f>
        <v>0</v>
      </c>
      <c r="K1195" s="60">
        <f ca="1">EFEITO!$L$1195*EFEITO!$Z$1195</f>
        <v>176.54038038084084</v>
      </c>
      <c r="L1195" s="60">
        <f>EFEITO!$N$1195*EFEITO!$AA$1195</f>
        <v>139.4660113252794</v>
      </c>
      <c r="M1195" s="60">
        <f>$J$1195-EFEITO!$K$1195*EFEITO!$Y$1195</f>
        <v>0</v>
      </c>
      <c r="N1195" s="60">
        <f ca="1">$K$1195-EFEITO!$M$1195*EFEITO!$Z$1195</f>
        <v>0</v>
      </c>
      <c r="O1195" s="60">
        <f>$L$1195-EFEITO!$O$1195*EFEITO!$AA$1195</f>
        <v>0</v>
      </c>
      <c r="P1195" s="18"/>
      <c r="Q1195" s="18"/>
      <c r="R1195" s="18"/>
      <c r="S1195" s="18"/>
      <c r="T1195" s="18"/>
      <c r="U1195" s="18"/>
      <c r="V1195" s="18"/>
      <c r="W1195" s="18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</row>
    <row r="1196" spans="1:36" ht="11.25" customHeight="1" x14ac:dyDescent="0.2">
      <c r="A1196" s="51" t="s">
        <v>21</v>
      </c>
      <c r="B1196" s="51" t="s">
        <v>22</v>
      </c>
      <c r="C1196" s="51" t="s">
        <v>33</v>
      </c>
      <c r="D1196" s="51" t="s">
        <v>24</v>
      </c>
      <c r="E1196" s="51" t="s">
        <v>24</v>
      </c>
      <c r="F1196" s="51" t="s">
        <v>25</v>
      </c>
      <c r="G1196" s="51" t="s">
        <v>25</v>
      </c>
      <c r="H1196" s="51" t="s">
        <v>35</v>
      </c>
      <c r="I1196" s="59">
        <v>44378</v>
      </c>
      <c r="J1196" s="60">
        <f>EFEITO!$J$1196*EFEITO!$Y$1196</f>
        <v>0</v>
      </c>
      <c r="K1196" s="60">
        <f ca="1">EFEITO!$L$1196*EFEITO!$Z$1196</f>
        <v>26428.236175316182</v>
      </c>
      <c r="L1196" s="60">
        <f>EFEITO!$N$1196*EFEITO!$AA$1196</f>
        <v>20878.173468203386</v>
      </c>
      <c r="M1196" s="60">
        <f>$J$1196-EFEITO!$K$1196*EFEITO!$Y$1196</f>
        <v>0</v>
      </c>
      <c r="N1196" s="60">
        <f ca="1">$K$1196-EFEITO!$M$1196*EFEITO!$Z$1196</f>
        <v>0</v>
      </c>
      <c r="O1196" s="60">
        <f>$L$1196-EFEITO!$O$1196*EFEITO!$AA$1196</f>
        <v>0</v>
      </c>
      <c r="P1196" s="18"/>
      <c r="Q1196" s="18"/>
      <c r="R1196" s="18"/>
      <c r="S1196" s="18"/>
      <c r="T1196" s="18"/>
      <c r="U1196" s="18"/>
      <c r="V1196" s="18"/>
      <c r="W1196" s="18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</row>
    <row r="1197" spans="1:36" ht="11.25" customHeight="1" x14ac:dyDescent="0.2">
      <c r="A1197" s="51" t="s">
        <v>28</v>
      </c>
      <c r="B1197" s="51" t="s">
        <v>22</v>
      </c>
      <c r="C1197" s="51" t="s">
        <v>33</v>
      </c>
      <c r="D1197" s="51" t="s">
        <v>24</v>
      </c>
      <c r="E1197" s="51" t="s">
        <v>24</v>
      </c>
      <c r="F1197" s="51" t="s">
        <v>25</v>
      </c>
      <c r="G1197" s="51" t="s">
        <v>25</v>
      </c>
      <c r="H1197" s="51" t="s">
        <v>35</v>
      </c>
      <c r="I1197" s="59">
        <v>44378</v>
      </c>
      <c r="J1197" s="60">
        <f>EFEITO!$J$1197*EFEITO!$Y$1197</f>
        <v>0</v>
      </c>
      <c r="K1197" s="60">
        <f ca="1">EFEITO!$L$1197*EFEITO!$Z$1197</f>
        <v>167.5015129053418</v>
      </c>
      <c r="L1197" s="60">
        <f>EFEITO!$N$1197*EFEITO!$AA$1197</f>
        <v>132.32535154542509</v>
      </c>
      <c r="M1197" s="60">
        <f>$J$1197-EFEITO!$K$1197*EFEITO!$Y$1197</f>
        <v>0</v>
      </c>
      <c r="N1197" s="60">
        <f ca="1">$K$1197-EFEITO!$M$1197*EFEITO!$Z$1197</f>
        <v>0</v>
      </c>
      <c r="O1197" s="60">
        <f>$L$1197-EFEITO!$O$1197*EFEITO!$AA$1197</f>
        <v>0</v>
      </c>
      <c r="P1197" s="18"/>
      <c r="Q1197" s="18"/>
      <c r="R1197" s="18"/>
      <c r="S1197" s="18"/>
      <c r="T1197" s="18"/>
      <c r="U1197" s="18"/>
      <c r="V1197" s="18"/>
      <c r="W1197" s="18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</row>
    <row r="1198" spans="1:36" ht="11.25" customHeight="1" x14ac:dyDescent="0.2">
      <c r="A1198" s="51" t="s">
        <v>21</v>
      </c>
      <c r="B1198" s="51" t="s">
        <v>22</v>
      </c>
      <c r="C1198" s="51" t="s">
        <v>33</v>
      </c>
      <c r="D1198" s="51" t="s">
        <v>24</v>
      </c>
      <c r="E1198" s="51" t="s">
        <v>24</v>
      </c>
      <c r="F1198" s="51" t="s">
        <v>25</v>
      </c>
      <c r="G1198" s="51" t="s">
        <v>25</v>
      </c>
      <c r="H1198" s="51" t="s">
        <v>35</v>
      </c>
      <c r="I1198" s="59">
        <v>44409</v>
      </c>
      <c r="J1198" s="60">
        <f>EFEITO!$J$1198*EFEITO!$Y$1198</f>
        <v>0</v>
      </c>
      <c r="K1198" s="60">
        <f ca="1">EFEITO!$L$1198*EFEITO!$Z$1198</f>
        <v>25910.761012343857</v>
      </c>
      <c r="L1198" s="60">
        <f>EFEITO!$N$1198*EFEITO!$AA$1198</f>
        <v>20469.370695806727</v>
      </c>
      <c r="M1198" s="60">
        <f>$J$1198-EFEITO!$K$1198*EFEITO!$Y$1198</f>
        <v>0</v>
      </c>
      <c r="N1198" s="60">
        <f ca="1">$K$1198-EFEITO!$M$1198*EFEITO!$Z$1198</f>
        <v>0</v>
      </c>
      <c r="O1198" s="60">
        <f>$L$1198-EFEITO!$O$1198*EFEITO!$AA$1198</f>
        <v>0</v>
      </c>
      <c r="P1198" s="18"/>
      <c r="Q1198" s="18"/>
      <c r="R1198" s="18"/>
      <c r="S1198" s="18"/>
      <c r="T1198" s="18"/>
      <c r="U1198" s="18"/>
      <c r="V1198" s="18"/>
      <c r="W1198" s="18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</row>
    <row r="1199" spans="1:36" ht="11.25" customHeight="1" x14ac:dyDescent="0.2">
      <c r="A1199" s="51" t="s">
        <v>28</v>
      </c>
      <c r="B1199" s="51" t="s">
        <v>22</v>
      </c>
      <c r="C1199" s="51" t="s">
        <v>33</v>
      </c>
      <c r="D1199" s="51" t="s">
        <v>24</v>
      </c>
      <c r="E1199" s="51" t="s">
        <v>24</v>
      </c>
      <c r="F1199" s="51" t="s">
        <v>25</v>
      </c>
      <c r="G1199" s="51" t="s">
        <v>25</v>
      </c>
      <c r="H1199" s="51" t="s">
        <v>35</v>
      </c>
      <c r="I1199" s="59">
        <v>44409</v>
      </c>
      <c r="J1199" s="60">
        <f>EFEITO!$J$1199*EFEITO!$Y$1199</f>
        <v>0</v>
      </c>
      <c r="K1199" s="60">
        <f ca="1">EFEITO!$L$1199*EFEITO!$Z$1199</f>
        <v>238.11766505767812</v>
      </c>
      <c r="L1199" s="60">
        <f>EFEITO!$N$1199*EFEITO!$AA$1199</f>
        <v>188.11175607553685</v>
      </c>
      <c r="M1199" s="60">
        <f>$J$1199-EFEITO!$K$1199*EFEITO!$Y$1199</f>
        <v>0</v>
      </c>
      <c r="N1199" s="60">
        <f ca="1">$K$1199-EFEITO!$M$1199*EFEITO!$Z$1199</f>
        <v>0</v>
      </c>
      <c r="O1199" s="60">
        <f>$L$1199-EFEITO!$O$1199*EFEITO!$AA$1199</f>
        <v>0</v>
      </c>
      <c r="P1199" s="18"/>
      <c r="Q1199" s="18"/>
      <c r="R1199" s="18"/>
      <c r="S1199" s="18"/>
      <c r="T1199" s="18"/>
      <c r="U1199" s="18"/>
      <c r="V1199" s="18"/>
      <c r="W1199" s="18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</row>
    <row r="1200" spans="1:36" ht="11.25" customHeight="1" x14ac:dyDescent="0.2">
      <c r="A1200" s="51" t="s">
        <v>21</v>
      </c>
      <c r="B1200" s="51" t="s">
        <v>22</v>
      </c>
      <c r="C1200" s="51" t="s">
        <v>33</v>
      </c>
      <c r="D1200" s="51" t="s">
        <v>24</v>
      </c>
      <c r="E1200" s="51" t="s">
        <v>24</v>
      </c>
      <c r="F1200" s="51" t="s">
        <v>25</v>
      </c>
      <c r="G1200" s="51" t="s">
        <v>25</v>
      </c>
      <c r="H1200" s="51" t="s">
        <v>35</v>
      </c>
      <c r="I1200" s="59">
        <v>44440</v>
      </c>
      <c r="J1200" s="60">
        <f>EFEITO!$J$1200*EFEITO!$Y$1200</f>
        <v>0</v>
      </c>
      <c r="K1200" s="60">
        <f ca="1">EFEITO!$L$1200*EFEITO!$Z$1200</f>
        <v>28896.976854561857</v>
      </c>
      <c r="L1200" s="60">
        <f>EFEITO!$N$1200*EFEITO!$AA$1200</f>
        <v>22828.466170576092</v>
      </c>
      <c r="M1200" s="60">
        <f>$J$1200-EFEITO!$K$1200*EFEITO!$Y$1200</f>
        <v>0</v>
      </c>
      <c r="N1200" s="60">
        <f ca="1">$K$1200-EFEITO!$M$1200*EFEITO!$Z$1200</f>
        <v>0</v>
      </c>
      <c r="O1200" s="60">
        <f>$L$1200-EFEITO!$O$1200*EFEITO!$AA$1200</f>
        <v>0</v>
      </c>
      <c r="P1200" s="18"/>
      <c r="Q1200" s="18"/>
      <c r="R1200" s="18"/>
      <c r="S1200" s="18"/>
      <c r="T1200" s="18"/>
      <c r="U1200" s="18"/>
      <c r="V1200" s="18"/>
      <c r="W1200" s="18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</row>
    <row r="1201" spans="1:36" ht="11.25" customHeight="1" x14ac:dyDescent="0.2">
      <c r="A1201" s="51" t="s">
        <v>27</v>
      </c>
      <c r="B1201" s="51" t="s">
        <v>22</v>
      </c>
      <c r="C1201" s="51" t="s">
        <v>33</v>
      </c>
      <c r="D1201" s="51" t="s">
        <v>24</v>
      </c>
      <c r="E1201" s="51" t="s">
        <v>24</v>
      </c>
      <c r="F1201" s="51" t="s">
        <v>25</v>
      </c>
      <c r="G1201" s="51" t="s">
        <v>25</v>
      </c>
      <c r="H1201" s="51" t="s">
        <v>35</v>
      </c>
      <c r="I1201" s="59">
        <v>44440</v>
      </c>
      <c r="J1201" s="60">
        <f>EFEITO!$J$1201*EFEITO!$Y$1201</f>
        <v>0</v>
      </c>
      <c r="K1201" s="60">
        <f ca="1">EFEITO!$L$1201*EFEITO!$Z$1201</f>
        <v>-93.495785449693315</v>
      </c>
      <c r="L1201" s="60">
        <f>EFEITO!$N$1201*EFEITO!$AA$1201</f>
        <v>-73.86119959786798</v>
      </c>
      <c r="M1201" s="60">
        <f>$J$1201-EFEITO!$K$1201*EFEITO!$Y$1201</f>
        <v>0</v>
      </c>
      <c r="N1201" s="60">
        <f ca="1">$K$1201-EFEITO!$M$1201*EFEITO!$Z$1201</f>
        <v>0</v>
      </c>
      <c r="O1201" s="60">
        <f>$L$1201-EFEITO!$O$1201*EFEITO!$AA$1201</f>
        <v>0</v>
      </c>
      <c r="P1201" s="18"/>
      <c r="Q1201" s="18"/>
      <c r="R1201" s="18"/>
      <c r="S1201" s="18"/>
      <c r="T1201" s="18"/>
      <c r="U1201" s="18"/>
      <c r="V1201" s="18"/>
      <c r="W1201" s="18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</row>
    <row r="1202" spans="1:36" ht="11.25" customHeight="1" x14ac:dyDescent="0.2">
      <c r="A1202" s="51" t="s">
        <v>28</v>
      </c>
      <c r="B1202" s="51" t="s">
        <v>22</v>
      </c>
      <c r="C1202" s="51" t="s">
        <v>33</v>
      </c>
      <c r="D1202" s="51" t="s">
        <v>24</v>
      </c>
      <c r="E1202" s="51" t="s">
        <v>24</v>
      </c>
      <c r="F1202" s="51" t="s">
        <v>25</v>
      </c>
      <c r="G1202" s="51" t="s">
        <v>25</v>
      </c>
      <c r="H1202" s="51" t="s">
        <v>35</v>
      </c>
      <c r="I1202" s="59">
        <v>44440</v>
      </c>
      <c r="J1202" s="60">
        <f>EFEITO!$J$1202*EFEITO!$Y$1202</f>
        <v>0</v>
      </c>
      <c r="K1202" s="60">
        <f ca="1">EFEITO!$L$1202*EFEITO!$Z$1202</f>
        <v>228.23140375635106</v>
      </c>
      <c r="L1202" s="60">
        <f>EFEITO!$N$1202*EFEITO!$AA$1202</f>
        <v>180.30165944132122</v>
      </c>
      <c r="M1202" s="60">
        <f>$J$1202-EFEITO!$K$1202*EFEITO!$Y$1202</f>
        <v>0</v>
      </c>
      <c r="N1202" s="60">
        <f ca="1">$K$1202-EFEITO!$M$1202*EFEITO!$Z$1202</f>
        <v>0</v>
      </c>
      <c r="O1202" s="60">
        <f>$L$1202-EFEITO!$O$1202*EFEITO!$AA$1202</f>
        <v>0</v>
      </c>
      <c r="P1202" s="18"/>
      <c r="Q1202" s="18"/>
      <c r="R1202" s="18"/>
      <c r="S1202" s="18"/>
      <c r="T1202" s="18"/>
      <c r="U1202" s="18"/>
      <c r="V1202" s="18"/>
      <c r="W1202" s="18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</row>
    <row r="1203" spans="1:36" ht="11.25" customHeight="1" x14ac:dyDescent="0.2">
      <c r="A1203" s="51" t="s">
        <v>21</v>
      </c>
      <c r="B1203" s="51" t="s">
        <v>22</v>
      </c>
      <c r="C1203" s="51" t="s">
        <v>33</v>
      </c>
      <c r="D1203" s="51" t="s">
        <v>24</v>
      </c>
      <c r="E1203" s="51" t="s">
        <v>24</v>
      </c>
      <c r="F1203" s="51" t="s">
        <v>25</v>
      </c>
      <c r="G1203" s="51" t="s">
        <v>25</v>
      </c>
      <c r="H1203" s="51" t="s">
        <v>35</v>
      </c>
      <c r="I1203" s="59">
        <v>44470</v>
      </c>
      <c r="J1203" s="60">
        <f>EFEITO!$J$1203*EFEITO!$Y$1203</f>
        <v>0</v>
      </c>
      <c r="K1203" s="60">
        <f ca="1">EFEITO!$L$1203*EFEITO!$Z$1203</f>
        <v>59468.403908959917</v>
      </c>
      <c r="L1203" s="60">
        <f>EFEITO!$N$1203*EFEITO!$AA$1203</f>
        <v>46979.739565370197</v>
      </c>
      <c r="M1203" s="60">
        <f>$J$1203-EFEITO!$K$1203*EFEITO!$Y$1203</f>
        <v>0</v>
      </c>
      <c r="N1203" s="60">
        <f ca="1">$K$1203-EFEITO!$M$1203*EFEITO!$Z$1203</f>
        <v>0</v>
      </c>
      <c r="O1203" s="60">
        <f>$L$1203-EFEITO!$O$1203*EFEITO!$AA$1203</f>
        <v>0</v>
      </c>
      <c r="P1203" s="18"/>
      <c r="Q1203" s="18"/>
      <c r="R1203" s="18"/>
      <c r="S1203" s="18"/>
      <c r="T1203" s="18"/>
      <c r="U1203" s="18"/>
      <c r="V1203" s="18"/>
      <c r="W1203" s="18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</row>
    <row r="1204" spans="1:36" ht="11.25" customHeight="1" x14ac:dyDescent="0.2">
      <c r="A1204" s="51" t="s">
        <v>28</v>
      </c>
      <c r="B1204" s="51" t="s">
        <v>22</v>
      </c>
      <c r="C1204" s="51" t="s">
        <v>33</v>
      </c>
      <c r="D1204" s="51" t="s">
        <v>24</v>
      </c>
      <c r="E1204" s="51" t="s">
        <v>24</v>
      </c>
      <c r="F1204" s="51" t="s">
        <v>25</v>
      </c>
      <c r="G1204" s="51" t="s">
        <v>25</v>
      </c>
      <c r="H1204" s="51" t="s">
        <v>35</v>
      </c>
      <c r="I1204" s="59">
        <v>44470</v>
      </c>
      <c r="J1204" s="60">
        <f>EFEITO!$J$1204*EFEITO!$Y$1204</f>
        <v>0</v>
      </c>
      <c r="K1204" s="60">
        <f ca="1">EFEITO!$L$1204*EFEITO!$Z$1204</f>
        <v>397.71016892195826</v>
      </c>
      <c r="L1204" s="60">
        <f>EFEITO!$N$1204*EFEITO!$AA$1204</f>
        <v>314.1890303135894</v>
      </c>
      <c r="M1204" s="60">
        <f>$J$1204-EFEITO!$K$1204*EFEITO!$Y$1204</f>
        <v>0</v>
      </c>
      <c r="N1204" s="60">
        <f ca="1">$K$1204-EFEITO!$M$1204*EFEITO!$Z$1204</f>
        <v>0</v>
      </c>
      <c r="O1204" s="60">
        <f>$L$1204-EFEITO!$O$1204*EFEITO!$AA$1204</f>
        <v>0</v>
      </c>
      <c r="P1204" s="18"/>
      <c r="Q1204" s="18"/>
      <c r="R1204" s="18"/>
      <c r="S1204" s="18"/>
      <c r="T1204" s="18"/>
      <c r="U1204" s="18"/>
      <c r="V1204" s="18"/>
      <c r="W1204" s="18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</row>
    <row r="1205" spans="1:36" ht="11.25" customHeight="1" x14ac:dyDescent="0.2">
      <c r="A1205" s="51" t="s">
        <v>21</v>
      </c>
      <c r="B1205" s="51" t="s">
        <v>22</v>
      </c>
      <c r="C1205" s="51" t="s">
        <v>33</v>
      </c>
      <c r="D1205" s="51" t="s">
        <v>24</v>
      </c>
      <c r="E1205" s="51" t="s">
        <v>24</v>
      </c>
      <c r="F1205" s="51" t="s">
        <v>25</v>
      </c>
      <c r="G1205" s="51" t="s">
        <v>25</v>
      </c>
      <c r="H1205" s="51" t="s">
        <v>35</v>
      </c>
      <c r="I1205" s="59">
        <v>44501</v>
      </c>
      <c r="J1205" s="60">
        <f>EFEITO!$J$1205*EFEITO!$Y$1205</f>
        <v>0</v>
      </c>
      <c r="K1205" s="60">
        <f ca="1">EFEITO!$L$1205*EFEITO!$Z$1205</f>
        <v>32013.691345957377</v>
      </c>
      <c r="L1205" s="60">
        <f>EFEITO!$N$1205*EFEITO!$AA$1205</f>
        <v>25290.654920917106</v>
      </c>
      <c r="M1205" s="60">
        <f>$J$1205-EFEITO!$K$1205*EFEITO!$Y$1205</f>
        <v>0</v>
      </c>
      <c r="N1205" s="60">
        <f ca="1">$K$1205-EFEITO!$M$1205*EFEITO!$Z$1205</f>
        <v>0</v>
      </c>
      <c r="O1205" s="60">
        <f>$L$1205-EFEITO!$O$1205*EFEITO!$AA$1205</f>
        <v>0</v>
      </c>
      <c r="P1205" s="18"/>
      <c r="Q1205" s="18"/>
      <c r="R1205" s="18"/>
      <c r="S1205" s="18"/>
      <c r="T1205" s="18"/>
      <c r="U1205" s="18"/>
      <c r="V1205" s="18"/>
      <c r="W1205" s="18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</row>
    <row r="1206" spans="1:36" ht="11.25" customHeight="1" x14ac:dyDescent="0.2">
      <c r="A1206" s="51" t="s">
        <v>27</v>
      </c>
      <c r="B1206" s="51" t="s">
        <v>22</v>
      </c>
      <c r="C1206" s="51" t="s">
        <v>33</v>
      </c>
      <c r="D1206" s="51" t="s">
        <v>24</v>
      </c>
      <c r="E1206" s="51" t="s">
        <v>24</v>
      </c>
      <c r="F1206" s="51" t="s">
        <v>25</v>
      </c>
      <c r="G1206" s="51" t="s">
        <v>25</v>
      </c>
      <c r="H1206" s="51" t="s">
        <v>35</v>
      </c>
      <c r="I1206" s="59">
        <v>44501</v>
      </c>
      <c r="J1206" s="60">
        <f>EFEITO!$J$1206*EFEITO!$Y$1206</f>
        <v>0</v>
      </c>
      <c r="K1206" s="60">
        <f ca="1">EFEITO!$L$1206*EFEITO!$Z$1206</f>
        <v>-27962.583929282144</v>
      </c>
      <c r="L1206" s="60">
        <f>EFEITO!$N$1206*EFEITO!$AA$1206</f>
        <v>-22090.300465833654</v>
      </c>
      <c r="M1206" s="60">
        <f>$J$1206-EFEITO!$K$1206*EFEITO!$Y$1206</f>
        <v>0</v>
      </c>
      <c r="N1206" s="60">
        <f ca="1">$K$1206-EFEITO!$M$1206*EFEITO!$Z$1206</f>
        <v>0</v>
      </c>
      <c r="O1206" s="60">
        <f>$L$1206-EFEITO!$O$1206*EFEITO!$AA$1206</f>
        <v>0</v>
      </c>
      <c r="P1206" s="18"/>
      <c r="Q1206" s="18"/>
      <c r="R1206" s="18"/>
      <c r="S1206" s="18"/>
      <c r="T1206" s="18"/>
      <c r="U1206" s="18"/>
      <c r="V1206" s="18"/>
      <c r="W1206" s="18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</row>
    <row r="1207" spans="1:36" ht="11.25" customHeight="1" x14ac:dyDescent="0.2">
      <c r="A1207" s="51" t="s">
        <v>28</v>
      </c>
      <c r="B1207" s="51" t="s">
        <v>22</v>
      </c>
      <c r="C1207" s="51" t="s">
        <v>33</v>
      </c>
      <c r="D1207" s="51" t="s">
        <v>24</v>
      </c>
      <c r="E1207" s="51" t="s">
        <v>24</v>
      </c>
      <c r="F1207" s="51" t="s">
        <v>25</v>
      </c>
      <c r="G1207" s="51" t="s">
        <v>25</v>
      </c>
      <c r="H1207" s="51" t="s">
        <v>35</v>
      </c>
      <c r="I1207" s="59">
        <v>44501</v>
      </c>
      <c r="J1207" s="60">
        <f>EFEITO!$J$1207*EFEITO!$Y$1207</f>
        <v>0</v>
      </c>
      <c r="K1207" s="60">
        <f ca="1">EFEITO!$L$1207*EFEITO!$Z$1207</f>
        <v>791.46583332338571</v>
      </c>
      <c r="L1207" s="60">
        <f>EFEITO!$N$1207*EFEITO!$AA$1207</f>
        <v>625.25402197349263</v>
      </c>
      <c r="M1207" s="60">
        <f>$J$1207-EFEITO!$K$1207*EFEITO!$Y$1207</f>
        <v>0</v>
      </c>
      <c r="N1207" s="60">
        <f ca="1">$K$1207-EFEITO!$M$1207*EFEITO!$Z$1207</f>
        <v>0</v>
      </c>
      <c r="O1207" s="60">
        <f>$L$1207-EFEITO!$O$1207*EFEITO!$AA$1207</f>
        <v>0</v>
      </c>
      <c r="P1207" s="18"/>
      <c r="Q1207" s="18"/>
      <c r="R1207" s="18"/>
      <c r="S1207" s="18"/>
      <c r="T1207" s="18"/>
      <c r="U1207" s="18"/>
      <c r="V1207" s="18"/>
      <c r="W1207" s="18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</row>
    <row r="1208" spans="1:36" ht="11.25" customHeight="1" x14ac:dyDescent="0.2">
      <c r="A1208" s="51" t="s">
        <v>21</v>
      </c>
      <c r="B1208" s="51" t="s">
        <v>22</v>
      </c>
      <c r="C1208" s="51" t="s">
        <v>33</v>
      </c>
      <c r="D1208" s="51" t="s">
        <v>24</v>
      </c>
      <c r="E1208" s="51" t="s">
        <v>24</v>
      </c>
      <c r="F1208" s="51" t="s">
        <v>25</v>
      </c>
      <c r="G1208" s="51" t="s">
        <v>25</v>
      </c>
      <c r="H1208" s="51" t="s">
        <v>35</v>
      </c>
      <c r="I1208" s="59">
        <v>44531</v>
      </c>
      <c r="J1208" s="60">
        <f>EFEITO!$J$1208*EFEITO!$Y$1208</f>
        <v>0</v>
      </c>
      <c r="K1208" s="60">
        <f ca="1">EFEITO!$L$1208*EFEITO!$Z$1208</f>
        <v>33477.140483162395</v>
      </c>
      <c r="L1208" s="60">
        <f>EFEITO!$N$1208*EFEITO!$AA$1208</f>
        <v>26446.772368399143</v>
      </c>
      <c r="M1208" s="60">
        <f>$J$1208-EFEITO!$K$1208*EFEITO!$Y$1208</f>
        <v>0</v>
      </c>
      <c r="N1208" s="60">
        <f ca="1">$K$1208-EFEITO!$M$1208*EFEITO!$Z$1208</f>
        <v>0</v>
      </c>
      <c r="O1208" s="60">
        <f>$L$1208-EFEITO!$O$1208*EFEITO!$AA$1208</f>
        <v>0</v>
      </c>
      <c r="P1208" s="18"/>
      <c r="Q1208" s="18"/>
      <c r="R1208" s="18"/>
      <c r="S1208" s="18"/>
      <c r="T1208" s="18"/>
      <c r="U1208" s="18"/>
      <c r="V1208" s="18"/>
      <c r="W1208" s="18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</row>
    <row r="1209" spans="1:36" ht="11.25" customHeight="1" x14ac:dyDescent="0.2">
      <c r="A1209" s="51" t="s">
        <v>27</v>
      </c>
      <c r="B1209" s="51" t="s">
        <v>22</v>
      </c>
      <c r="C1209" s="51" t="s">
        <v>33</v>
      </c>
      <c r="D1209" s="51" t="s">
        <v>24</v>
      </c>
      <c r="E1209" s="51" t="s">
        <v>24</v>
      </c>
      <c r="F1209" s="51" t="s">
        <v>25</v>
      </c>
      <c r="G1209" s="51" t="s">
        <v>25</v>
      </c>
      <c r="H1209" s="51" t="s">
        <v>35</v>
      </c>
      <c r="I1209" s="59">
        <v>44531</v>
      </c>
      <c r="J1209" s="60">
        <f>EFEITO!$J$1209*EFEITO!$Y$1209</f>
        <v>0</v>
      </c>
      <c r="K1209" s="60">
        <f ca="1">EFEITO!$L$1209*EFEITO!$Z$1209</f>
        <v>149.42377795434371</v>
      </c>
      <c r="L1209" s="60">
        <f>EFEITO!$N$1209*EFEITO!$AA$1209</f>
        <v>118.04403198571649</v>
      </c>
      <c r="M1209" s="60">
        <f>$J$1209-EFEITO!$K$1209*EFEITO!$Y$1209</f>
        <v>0</v>
      </c>
      <c r="N1209" s="60">
        <f ca="1">$K$1209-EFEITO!$M$1209*EFEITO!$Z$1209</f>
        <v>0</v>
      </c>
      <c r="O1209" s="60">
        <f>$L$1209-EFEITO!$O$1209*EFEITO!$AA$1209</f>
        <v>0</v>
      </c>
      <c r="P1209" s="18"/>
      <c r="Q1209" s="18"/>
      <c r="R1209" s="18"/>
      <c r="S1209" s="18"/>
      <c r="T1209" s="18"/>
      <c r="U1209" s="18"/>
      <c r="V1209" s="18"/>
      <c r="W1209" s="18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</row>
    <row r="1210" spans="1:36" ht="11.25" customHeight="1" x14ac:dyDescent="0.2">
      <c r="A1210" s="51" t="s">
        <v>28</v>
      </c>
      <c r="B1210" s="51" t="s">
        <v>22</v>
      </c>
      <c r="C1210" s="51" t="s">
        <v>33</v>
      </c>
      <c r="D1210" s="51" t="s">
        <v>24</v>
      </c>
      <c r="E1210" s="51" t="s">
        <v>24</v>
      </c>
      <c r="F1210" s="51" t="s">
        <v>25</v>
      </c>
      <c r="G1210" s="51" t="s">
        <v>25</v>
      </c>
      <c r="H1210" s="51" t="s">
        <v>35</v>
      </c>
      <c r="I1210" s="59">
        <v>44531</v>
      </c>
      <c r="J1210" s="60">
        <f>EFEITO!$J$1210*EFEITO!$Y$1210</f>
        <v>0</v>
      </c>
      <c r="K1210" s="60">
        <f ca="1">EFEITO!$L$1210*EFEITO!$Z$1210</f>
        <v>718.30749969356532</v>
      </c>
      <c r="L1210" s="60">
        <f>EFEITO!$N$1210*EFEITO!$AA$1210</f>
        <v>567.45930688029682</v>
      </c>
      <c r="M1210" s="60">
        <f>$J$1210-EFEITO!$K$1210*EFEITO!$Y$1210</f>
        <v>0</v>
      </c>
      <c r="N1210" s="60">
        <f ca="1">$K$1210-EFEITO!$M$1210*EFEITO!$Z$1210</f>
        <v>0</v>
      </c>
      <c r="O1210" s="60">
        <f>$L$1210-EFEITO!$O$1210*EFEITO!$AA$1210</f>
        <v>0</v>
      </c>
      <c r="P1210" s="18"/>
      <c r="Q1210" s="18"/>
      <c r="R1210" s="18"/>
      <c r="S1210" s="18"/>
      <c r="T1210" s="18"/>
      <c r="U1210" s="18"/>
      <c r="V1210" s="18"/>
      <c r="W1210" s="18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</row>
    <row r="1211" spans="1:36" ht="11.25" customHeight="1" x14ac:dyDescent="0.2">
      <c r="A1211" s="51" t="s">
        <v>21</v>
      </c>
      <c r="B1211" s="51" t="s">
        <v>22</v>
      </c>
      <c r="C1211" s="51" t="s">
        <v>33</v>
      </c>
      <c r="D1211" s="51" t="s">
        <v>24</v>
      </c>
      <c r="E1211" s="51" t="s">
        <v>24</v>
      </c>
      <c r="F1211" s="51" t="s">
        <v>25</v>
      </c>
      <c r="G1211" s="51" t="s">
        <v>25</v>
      </c>
      <c r="H1211" s="51" t="s">
        <v>35</v>
      </c>
      <c r="I1211" s="59">
        <v>44562</v>
      </c>
      <c r="J1211" s="60">
        <f>EFEITO!$J$1211*EFEITO!$Y$1211</f>
        <v>0</v>
      </c>
      <c r="K1211" s="60">
        <f ca="1">EFEITO!$L$1211*EFEITO!$Z$1211</f>
        <v>33982.752132573121</v>
      </c>
      <c r="L1211" s="60">
        <f>EFEITO!$N$1211*EFEITO!$AA$1211</f>
        <v>26846.203024834744</v>
      </c>
      <c r="M1211" s="60">
        <f>$J$1211-EFEITO!$K$1211*EFEITO!$Y$1211</f>
        <v>0</v>
      </c>
      <c r="N1211" s="60">
        <f ca="1">$K$1211-EFEITO!$M$1211*EFEITO!$Z$1211</f>
        <v>0</v>
      </c>
      <c r="O1211" s="60">
        <f>$L$1211-EFEITO!$O$1211*EFEITO!$AA$1211</f>
        <v>0</v>
      </c>
      <c r="P1211" s="18"/>
      <c r="Q1211" s="18"/>
      <c r="R1211" s="18"/>
      <c r="S1211" s="18"/>
      <c r="T1211" s="18"/>
      <c r="U1211" s="18"/>
      <c r="V1211" s="18"/>
      <c r="W1211" s="18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</row>
    <row r="1212" spans="1:36" ht="11.25" customHeight="1" x14ac:dyDescent="0.2">
      <c r="A1212" s="51" t="s">
        <v>28</v>
      </c>
      <c r="B1212" s="51" t="s">
        <v>22</v>
      </c>
      <c r="C1212" s="51" t="s">
        <v>33</v>
      </c>
      <c r="D1212" s="51" t="s">
        <v>24</v>
      </c>
      <c r="E1212" s="51" t="s">
        <v>24</v>
      </c>
      <c r="F1212" s="51" t="s">
        <v>25</v>
      </c>
      <c r="G1212" s="51" t="s">
        <v>25</v>
      </c>
      <c r="H1212" s="51" t="s">
        <v>35</v>
      </c>
      <c r="I1212" s="59">
        <v>44562</v>
      </c>
      <c r="J1212" s="60">
        <f>EFEITO!$J$1212*EFEITO!$Y$1212</f>
        <v>0</v>
      </c>
      <c r="K1212" s="60">
        <f ca="1">EFEITO!$L$1212*EFEITO!$Z$1212</f>
        <v>523.9718489703356</v>
      </c>
      <c r="L1212" s="60">
        <f>EFEITO!$N$1212*EFEITO!$AA$1212</f>
        <v>413.93512161342926</v>
      </c>
      <c r="M1212" s="60">
        <f>$J$1212-EFEITO!$K$1212*EFEITO!$Y$1212</f>
        <v>0</v>
      </c>
      <c r="N1212" s="60">
        <f ca="1">$K$1212-EFEITO!$M$1212*EFEITO!$Z$1212</f>
        <v>0</v>
      </c>
      <c r="O1212" s="60">
        <f>$L$1212-EFEITO!$O$1212*EFEITO!$AA$1212</f>
        <v>0</v>
      </c>
      <c r="P1212" s="18"/>
      <c r="Q1212" s="18"/>
      <c r="R1212" s="18"/>
      <c r="S1212" s="18"/>
      <c r="T1212" s="18"/>
      <c r="U1212" s="18"/>
      <c r="V1212" s="18"/>
      <c r="W1212" s="18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</row>
    <row r="1213" spans="1:36" ht="11.25" customHeight="1" x14ac:dyDescent="0.2">
      <c r="A1213" s="51" t="s">
        <v>21</v>
      </c>
      <c r="B1213" s="51" t="s">
        <v>22</v>
      </c>
      <c r="C1213" s="51" t="s">
        <v>33</v>
      </c>
      <c r="D1213" s="51" t="s">
        <v>24</v>
      </c>
      <c r="E1213" s="51" t="s">
        <v>24</v>
      </c>
      <c r="F1213" s="51" t="s">
        <v>25</v>
      </c>
      <c r="G1213" s="51" t="s">
        <v>25</v>
      </c>
      <c r="H1213" s="51" t="s">
        <v>35</v>
      </c>
      <c r="I1213" s="59">
        <v>44593</v>
      </c>
      <c r="J1213" s="60">
        <f>EFEITO!$J$1213*EFEITO!$Y$1213</f>
        <v>0</v>
      </c>
      <c r="K1213" s="60">
        <f ca="1">EFEITO!$L$1213*EFEITO!$Z$1213</f>
        <v>35577.829777390092</v>
      </c>
      <c r="L1213" s="60">
        <f>EFEITO!$N$1213*EFEITO!$AA$1213</f>
        <v>28106.306330360905</v>
      </c>
      <c r="M1213" s="60">
        <f>$J$1213-EFEITO!$K$1213*EFEITO!$Y$1213</f>
        <v>0</v>
      </c>
      <c r="N1213" s="60">
        <f ca="1">$K$1213-EFEITO!$M$1213*EFEITO!$Z$1213</f>
        <v>0</v>
      </c>
      <c r="O1213" s="60">
        <f>$L$1213-EFEITO!$O$1213*EFEITO!$AA$1213</f>
        <v>0</v>
      </c>
      <c r="P1213" s="18"/>
      <c r="Q1213" s="18"/>
      <c r="R1213" s="18"/>
      <c r="S1213" s="18"/>
      <c r="T1213" s="18"/>
      <c r="U1213" s="18"/>
      <c r="V1213" s="18"/>
      <c r="W1213" s="18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</row>
    <row r="1214" spans="1:36" ht="11.25" customHeight="1" x14ac:dyDescent="0.2">
      <c r="A1214" s="51" t="s">
        <v>28</v>
      </c>
      <c r="B1214" s="51" t="s">
        <v>22</v>
      </c>
      <c r="C1214" s="51" t="s">
        <v>33</v>
      </c>
      <c r="D1214" s="51" t="s">
        <v>24</v>
      </c>
      <c r="E1214" s="51" t="s">
        <v>24</v>
      </c>
      <c r="F1214" s="51" t="s">
        <v>25</v>
      </c>
      <c r="G1214" s="51" t="s">
        <v>25</v>
      </c>
      <c r="H1214" s="51" t="s">
        <v>35</v>
      </c>
      <c r="I1214" s="59">
        <v>44593</v>
      </c>
      <c r="J1214" s="60">
        <f>EFEITO!$J$1214*EFEITO!$Y$1214</f>
        <v>0</v>
      </c>
      <c r="K1214" s="60">
        <f ca="1">EFEITO!$L$1214*EFEITO!$Z$1214</f>
        <v>236.42287740602205</v>
      </c>
      <c r="L1214" s="60">
        <f>EFEITO!$N$1214*EFEITO!$AA$1214</f>
        <v>186.77288236681417</v>
      </c>
      <c r="M1214" s="60">
        <f>$J$1214-EFEITO!$K$1214*EFEITO!$Y$1214</f>
        <v>0</v>
      </c>
      <c r="N1214" s="60">
        <f ca="1">$K$1214-EFEITO!$M$1214*EFEITO!$Z$1214</f>
        <v>0</v>
      </c>
      <c r="O1214" s="60">
        <f>$L$1214-EFEITO!$O$1214*EFEITO!$AA$1214</f>
        <v>0</v>
      </c>
      <c r="P1214" s="18"/>
      <c r="Q1214" s="18"/>
      <c r="R1214" s="18"/>
      <c r="S1214" s="18"/>
      <c r="T1214" s="18"/>
      <c r="U1214" s="18"/>
      <c r="V1214" s="18"/>
      <c r="W1214" s="18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</row>
    <row r="1215" spans="1:36" ht="11.25" customHeight="1" x14ac:dyDescent="0.2">
      <c r="A1215" s="51" t="s">
        <v>28</v>
      </c>
      <c r="B1215" s="51" t="s">
        <v>22</v>
      </c>
      <c r="C1215" s="51" t="s">
        <v>33</v>
      </c>
      <c r="D1215" s="51" t="s">
        <v>24</v>
      </c>
      <c r="E1215" s="51" t="s">
        <v>24</v>
      </c>
      <c r="F1215" s="51" t="s">
        <v>25</v>
      </c>
      <c r="G1215" s="51" t="s">
        <v>25</v>
      </c>
      <c r="H1215" s="51" t="s">
        <v>35</v>
      </c>
      <c r="I1215" s="59">
        <v>44593</v>
      </c>
      <c r="J1215" s="60">
        <f>EFEITO!$J$1215*EFEITO!$Y$1215</f>
        <v>0</v>
      </c>
      <c r="K1215" s="60">
        <f ca="1">EFEITO!$L$1215*EFEITO!$Z$1215</f>
        <v>-425.39170056567411</v>
      </c>
      <c r="L1215" s="60">
        <f>EFEITO!$N$1215*EFEITO!$AA$1215</f>
        <v>-336.05730088939322</v>
      </c>
      <c r="M1215" s="60">
        <f>$J$1215-EFEITO!$K$1215*EFEITO!$Y$1215</f>
        <v>0</v>
      </c>
      <c r="N1215" s="60">
        <f ca="1">$K$1215-EFEITO!$M$1215*EFEITO!$Z$1215</f>
        <v>0</v>
      </c>
      <c r="O1215" s="60">
        <f>$L$1215-EFEITO!$O$1215*EFEITO!$AA$1215</f>
        <v>0</v>
      </c>
      <c r="P1215" s="18"/>
      <c r="Q1215" s="18"/>
      <c r="R1215" s="18"/>
      <c r="S1215" s="18"/>
      <c r="T1215" s="18"/>
      <c r="U1215" s="18"/>
      <c r="V1215" s="18"/>
      <c r="W1215" s="18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</row>
    <row r="1216" spans="1:36" ht="11.25" customHeight="1" x14ac:dyDescent="0.2">
      <c r="A1216" s="51" t="s">
        <v>56</v>
      </c>
      <c r="B1216" s="51" t="s">
        <v>22</v>
      </c>
      <c r="C1216" s="51" t="s">
        <v>33</v>
      </c>
      <c r="D1216" s="51" t="s">
        <v>24</v>
      </c>
      <c r="E1216" s="51" t="s">
        <v>24</v>
      </c>
      <c r="F1216" s="51" t="s">
        <v>25</v>
      </c>
      <c r="G1216" s="51" t="s">
        <v>25</v>
      </c>
      <c r="H1216" s="51" t="s">
        <v>35</v>
      </c>
      <c r="I1216" s="59">
        <v>44621</v>
      </c>
      <c r="J1216" s="60">
        <f>EFEITO!$J$1216*EFEITO!$Y$1216</f>
        <v>0</v>
      </c>
      <c r="K1216" s="60">
        <f ca="1">EFEITO!$L$1216*EFEITO!$Z$1216</f>
        <v>35577.829777390092</v>
      </c>
      <c r="L1216" s="60">
        <f>EFEITO!$N$1216*EFEITO!$AA$1216</f>
        <v>28106.306330360905</v>
      </c>
      <c r="M1216" s="60">
        <f>$J$1216-EFEITO!$K$1216*EFEITO!$Y$1216</f>
        <v>0</v>
      </c>
      <c r="N1216" s="60">
        <f ca="1">$K$1216-EFEITO!$M$1216*EFEITO!$Z$1216</f>
        <v>0</v>
      </c>
      <c r="O1216" s="60">
        <f>$L$1216-EFEITO!$O$1216*EFEITO!$AA$1216</f>
        <v>0</v>
      </c>
      <c r="P1216" s="18"/>
      <c r="Q1216" s="18"/>
      <c r="R1216" s="18"/>
      <c r="S1216" s="18"/>
      <c r="T1216" s="18"/>
      <c r="U1216" s="18"/>
      <c r="V1216" s="18"/>
      <c r="W1216" s="18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</row>
    <row r="1217" spans="1:36" ht="11.25" customHeight="1" x14ac:dyDescent="0.2">
      <c r="A1217" s="51" t="s">
        <v>56</v>
      </c>
      <c r="B1217" s="51" t="s">
        <v>22</v>
      </c>
      <c r="C1217" s="51" t="s">
        <v>33</v>
      </c>
      <c r="D1217" s="51" t="s">
        <v>24</v>
      </c>
      <c r="E1217" s="51" t="s">
        <v>24</v>
      </c>
      <c r="F1217" s="51" t="s">
        <v>25</v>
      </c>
      <c r="G1217" s="51" t="s">
        <v>25</v>
      </c>
      <c r="H1217" s="51" t="s">
        <v>35</v>
      </c>
      <c r="I1217" s="59">
        <v>44621</v>
      </c>
      <c r="J1217" s="60">
        <f>EFEITO!$J$1217*EFEITO!$Y$1217</f>
        <v>0</v>
      </c>
      <c r="K1217" s="60">
        <f ca="1">EFEITO!$L$1217*EFEITO!$Z$1217</f>
        <v>236.42287740602205</v>
      </c>
      <c r="L1217" s="60">
        <f>EFEITO!$N$1217*EFEITO!$AA$1217</f>
        <v>186.77288236681417</v>
      </c>
      <c r="M1217" s="60">
        <f>$J$1217-EFEITO!$K$1217*EFEITO!$Y$1217</f>
        <v>0</v>
      </c>
      <c r="N1217" s="60">
        <f ca="1">$K$1217-EFEITO!$M$1217*EFEITO!$Z$1217</f>
        <v>0</v>
      </c>
      <c r="O1217" s="60">
        <f>$L$1217-EFEITO!$O$1217*EFEITO!$AA$1217</f>
        <v>0</v>
      </c>
      <c r="P1217" s="18"/>
      <c r="Q1217" s="18"/>
      <c r="R1217" s="18"/>
      <c r="S1217" s="18"/>
      <c r="T1217" s="18"/>
      <c r="U1217" s="18"/>
      <c r="V1217" s="18"/>
      <c r="W1217" s="18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</row>
    <row r="1218" spans="1:36" ht="11.25" customHeight="1" x14ac:dyDescent="0.2">
      <c r="A1218" s="51" t="s">
        <v>56</v>
      </c>
      <c r="B1218" s="51" t="s">
        <v>22</v>
      </c>
      <c r="C1218" s="51" t="s">
        <v>33</v>
      </c>
      <c r="D1218" s="51" t="s">
        <v>24</v>
      </c>
      <c r="E1218" s="51" t="s">
        <v>24</v>
      </c>
      <c r="F1218" s="51" t="s">
        <v>25</v>
      </c>
      <c r="G1218" s="51" t="s">
        <v>25</v>
      </c>
      <c r="H1218" s="51" t="s">
        <v>35</v>
      </c>
      <c r="I1218" s="59">
        <v>44621</v>
      </c>
      <c r="J1218" s="60">
        <f>EFEITO!$J$1218*EFEITO!$Y$1218</f>
        <v>0</v>
      </c>
      <c r="K1218" s="60">
        <f ca="1">EFEITO!$L$1218*EFEITO!$Z$1218</f>
        <v>-425.39170056567411</v>
      </c>
      <c r="L1218" s="60">
        <f>EFEITO!$N$1218*EFEITO!$AA$1218</f>
        <v>-336.05730088939322</v>
      </c>
      <c r="M1218" s="60">
        <f>$J$1218-EFEITO!$K$1218*EFEITO!$Y$1218</f>
        <v>0</v>
      </c>
      <c r="N1218" s="60">
        <f ca="1">$K$1218-EFEITO!$M$1218*EFEITO!$Z$1218</f>
        <v>0</v>
      </c>
      <c r="O1218" s="60">
        <f>$L$1218-EFEITO!$O$1218*EFEITO!$AA$1218</f>
        <v>0</v>
      </c>
      <c r="P1218" s="18"/>
      <c r="Q1218" s="18"/>
      <c r="R1218" s="18"/>
      <c r="S1218" s="18"/>
      <c r="T1218" s="18"/>
      <c r="U1218" s="18"/>
      <c r="V1218" s="18"/>
      <c r="W1218" s="18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</row>
    <row r="1219" spans="1:36" ht="11.25" customHeight="1" x14ac:dyDescent="0.2">
      <c r="A1219" s="51" t="s">
        <v>21</v>
      </c>
      <c r="B1219" s="51" t="s">
        <v>22</v>
      </c>
      <c r="C1219" s="51" t="s">
        <v>33</v>
      </c>
      <c r="D1219" s="51" t="s">
        <v>24</v>
      </c>
      <c r="E1219" s="51" t="s">
        <v>24</v>
      </c>
      <c r="F1219" s="51" t="s">
        <v>25</v>
      </c>
      <c r="G1219" s="51" t="s">
        <v>25</v>
      </c>
      <c r="H1219" s="51" t="s">
        <v>36</v>
      </c>
      <c r="I1219" s="59">
        <v>44287</v>
      </c>
      <c r="J1219" s="60">
        <f>EFEITO!$J$1219*EFEITO!$Y$1219</f>
        <v>0</v>
      </c>
      <c r="K1219" s="60">
        <f ca="1">EFEITO!$L$1219*EFEITO!$Z$1219</f>
        <v>4486.9589532273803</v>
      </c>
      <c r="L1219" s="60">
        <f>EFEITO!$N$1219*EFEITO!$AA$1219</f>
        <v>1497.7533888244404</v>
      </c>
      <c r="M1219" s="60">
        <f>$J$1219-EFEITO!$K$1219*EFEITO!$Y$1219</f>
        <v>0</v>
      </c>
      <c r="N1219" s="60">
        <f ca="1">$K$1219-EFEITO!$M$1219*EFEITO!$Z$1219</f>
        <v>0</v>
      </c>
      <c r="O1219" s="60">
        <f>$L$1219-EFEITO!$O$1219*EFEITO!$AA$1219</f>
        <v>0</v>
      </c>
      <c r="P1219" s="18"/>
      <c r="Q1219" s="18"/>
      <c r="R1219" s="18"/>
      <c r="S1219" s="18"/>
      <c r="T1219" s="18"/>
      <c r="U1219" s="18"/>
      <c r="V1219" s="18"/>
      <c r="W1219" s="18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</row>
    <row r="1220" spans="1:36" ht="11.25" customHeight="1" x14ac:dyDescent="0.2">
      <c r="A1220" s="51" t="s">
        <v>28</v>
      </c>
      <c r="B1220" s="51" t="s">
        <v>22</v>
      </c>
      <c r="C1220" s="51" t="s">
        <v>33</v>
      </c>
      <c r="D1220" s="51" t="s">
        <v>24</v>
      </c>
      <c r="E1220" s="51" t="s">
        <v>24</v>
      </c>
      <c r="F1220" s="51" t="s">
        <v>25</v>
      </c>
      <c r="G1220" s="51" t="s">
        <v>25</v>
      </c>
      <c r="H1220" s="51" t="s">
        <v>36</v>
      </c>
      <c r="I1220" s="59">
        <v>44287</v>
      </c>
      <c r="J1220" s="60">
        <f>EFEITO!$J$1220*EFEITO!$Y$1220</f>
        <v>0</v>
      </c>
      <c r="K1220" s="60">
        <f ca="1">EFEITO!$L$1220*EFEITO!$Z$1220</f>
        <v>88.241743418655275</v>
      </c>
      <c r="L1220" s="60">
        <f>EFEITO!$N$1220*EFEITO!$AA$1220</f>
        <v>29.455221591899011</v>
      </c>
      <c r="M1220" s="60">
        <f>$J$1220-EFEITO!$K$1220*EFEITO!$Y$1220</f>
        <v>0</v>
      </c>
      <c r="N1220" s="60">
        <f ca="1">$K$1220-EFEITO!$M$1220*EFEITO!$Z$1220</f>
        <v>0</v>
      </c>
      <c r="O1220" s="60">
        <f>$L$1220-EFEITO!$O$1220*EFEITO!$AA$1220</f>
        <v>0</v>
      </c>
      <c r="P1220" s="18"/>
      <c r="Q1220" s="18"/>
      <c r="R1220" s="18"/>
      <c r="S1220" s="18"/>
      <c r="T1220" s="18"/>
      <c r="U1220" s="18"/>
      <c r="V1220" s="18"/>
      <c r="W1220" s="18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</row>
    <row r="1221" spans="1:36" ht="11.25" customHeight="1" x14ac:dyDescent="0.2">
      <c r="A1221" s="51" t="s">
        <v>21</v>
      </c>
      <c r="B1221" s="51" t="s">
        <v>22</v>
      </c>
      <c r="C1221" s="51" t="s">
        <v>33</v>
      </c>
      <c r="D1221" s="51" t="s">
        <v>24</v>
      </c>
      <c r="E1221" s="51" t="s">
        <v>24</v>
      </c>
      <c r="F1221" s="51" t="s">
        <v>25</v>
      </c>
      <c r="G1221" s="51" t="s">
        <v>25</v>
      </c>
      <c r="H1221" s="51" t="s">
        <v>36</v>
      </c>
      <c r="I1221" s="59">
        <v>44317</v>
      </c>
      <c r="J1221" s="60">
        <f>EFEITO!$J$1221*EFEITO!$Y$1221</f>
        <v>0</v>
      </c>
      <c r="K1221" s="60">
        <f ca="1">EFEITO!$L$1221*EFEITO!$Z$1221</f>
        <v>4161.4003998570379</v>
      </c>
      <c r="L1221" s="60">
        <f>EFEITO!$N$1221*EFEITO!$AA$1221</f>
        <v>1389.0814727997827</v>
      </c>
      <c r="M1221" s="60">
        <f>$J$1221-EFEITO!$K$1221*EFEITO!$Y$1221</f>
        <v>0</v>
      </c>
      <c r="N1221" s="60">
        <f ca="1">$K$1221-EFEITO!$M$1221*EFEITO!$Z$1221</f>
        <v>0</v>
      </c>
      <c r="O1221" s="60">
        <f>$L$1221-EFEITO!$O$1221*EFEITO!$AA$1221</f>
        <v>0</v>
      </c>
      <c r="P1221" s="18"/>
      <c r="Q1221" s="18"/>
      <c r="R1221" s="18"/>
      <c r="S1221" s="18"/>
      <c r="T1221" s="18"/>
      <c r="U1221" s="18"/>
      <c r="V1221" s="18"/>
      <c r="W1221" s="18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</row>
    <row r="1222" spans="1:36" ht="11.25" customHeight="1" x14ac:dyDescent="0.2">
      <c r="A1222" s="51" t="s">
        <v>28</v>
      </c>
      <c r="B1222" s="51" t="s">
        <v>22</v>
      </c>
      <c r="C1222" s="51" t="s">
        <v>33</v>
      </c>
      <c r="D1222" s="51" t="s">
        <v>24</v>
      </c>
      <c r="E1222" s="51" t="s">
        <v>24</v>
      </c>
      <c r="F1222" s="51" t="s">
        <v>25</v>
      </c>
      <c r="G1222" s="51" t="s">
        <v>25</v>
      </c>
      <c r="H1222" s="51" t="s">
        <v>36</v>
      </c>
      <c r="I1222" s="59">
        <v>44317</v>
      </c>
      <c r="J1222" s="60">
        <f>EFEITO!$J$1222*EFEITO!$Y$1222</f>
        <v>0</v>
      </c>
      <c r="K1222" s="60">
        <f ca="1">EFEITO!$L$1222*EFEITO!$Z$1222</f>
        <v>32.08790669769283</v>
      </c>
      <c r="L1222" s="60">
        <f>EFEITO!$N$1222*EFEITO!$AA$1222</f>
        <v>10.710989669781458</v>
      </c>
      <c r="M1222" s="60">
        <f>$J$1222-EFEITO!$K$1222*EFEITO!$Y$1222</f>
        <v>0</v>
      </c>
      <c r="N1222" s="60">
        <f ca="1">$K$1222-EFEITO!$M$1222*EFEITO!$Z$1222</f>
        <v>0</v>
      </c>
      <c r="O1222" s="60">
        <f>$L$1222-EFEITO!$O$1222*EFEITO!$AA$1222</f>
        <v>0</v>
      </c>
      <c r="P1222" s="18"/>
      <c r="Q1222" s="18"/>
      <c r="R1222" s="18"/>
      <c r="S1222" s="18"/>
      <c r="T1222" s="18"/>
      <c r="U1222" s="18"/>
      <c r="V1222" s="18"/>
      <c r="W1222" s="18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</row>
    <row r="1223" spans="1:36" ht="11.25" customHeight="1" x14ac:dyDescent="0.2">
      <c r="A1223" s="51" t="s">
        <v>21</v>
      </c>
      <c r="B1223" s="51" t="s">
        <v>22</v>
      </c>
      <c r="C1223" s="51" t="s">
        <v>33</v>
      </c>
      <c r="D1223" s="51" t="s">
        <v>24</v>
      </c>
      <c r="E1223" s="51" t="s">
        <v>24</v>
      </c>
      <c r="F1223" s="51" t="s">
        <v>25</v>
      </c>
      <c r="G1223" s="51" t="s">
        <v>25</v>
      </c>
      <c r="H1223" s="51" t="s">
        <v>36</v>
      </c>
      <c r="I1223" s="59">
        <v>44348</v>
      </c>
      <c r="J1223" s="60">
        <f>EFEITO!$J$1223*EFEITO!$Y$1223</f>
        <v>0</v>
      </c>
      <c r="K1223" s="60">
        <f ca="1">EFEITO!$L$1223*EFEITO!$Z$1223</f>
        <v>4373.3142836730512</v>
      </c>
      <c r="L1223" s="60">
        <f>EFEITO!$N$1223*EFEITO!$AA$1223</f>
        <v>1459.8186337439645</v>
      </c>
      <c r="M1223" s="60">
        <f>$J$1223-EFEITO!$K$1223*EFEITO!$Y$1223</f>
        <v>0</v>
      </c>
      <c r="N1223" s="60">
        <f ca="1">$K$1223-EFEITO!$M$1223*EFEITO!$Z$1223</f>
        <v>0</v>
      </c>
      <c r="O1223" s="60">
        <f>$L$1223-EFEITO!$O$1223*EFEITO!$AA$1223</f>
        <v>0</v>
      </c>
      <c r="P1223" s="18"/>
      <c r="Q1223" s="18"/>
      <c r="R1223" s="18"/>
      <c r="S1223" s="18"/>
      <c r="T1223" s="18"/>
      <c r="U1223" s="18"/>
      <c r="V1223" s="18"/>
      <c r="W1223" s="18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</row>
    <row r="1224" spans="1:36" ht="11.25" customHeight="1" x14ac:dyDescent="0.2">
      <c r="A1224" s="51" t="s">
        <v>28</v>
      </c>
      <c r="B1224" s="51" t="s">
        <v>22</v>
      </c>
      <c r="C1224" s="51" t="s">
        <v>33</v>
      </c>
      <c r="D1224" s="51" t="s">
        <v>24</v>
      </c>
      <c r="E1224" s="51" t="s">
        <v>24</v>
      </c>
      <c r="F1224" s="51" t="s">
        <v>25</v>
      </c>
      <c r="G1224" s="51" t="s">
        <v>25</v>
      </c>
      <c r="H1224" s="51" t="s">
        <v>36</v>
      </c>
      <c r="I1224" s="59">
        <v>44348</v>
      </c>
      <c r="J1224" s="60">
        <f>EFEITO!$J$1224*EFEITO!$Y$1224</f>
        <v>0</v>
      </c>
      <c r="K1224" s="60">
        <f ca="1">EFEITO!$L$1224*EFEITO!$Z$1224</f>
        <v>42.115377540721838</v>
      </c>
      <c r="L1224" s="60">
        <f>EFEITO!$N$1224*EFEITO!$AA$1224</f>
        <v>14.058173941588164</v>
      </c>
      <c r="M1224" s="60">
        <f>$J$1224-EFEITO!$K$1224*EFEITO!$Y$1224</f>
        <v>0</v>
      </c>
      <c r="N1224" s="60">
        <f ca="1">$K$1224-EFEITO!$M$1224*EFEITO!$Z$1224</f>
        <v>0</v>
      </c>
      <c r="O1224" s="60">
        <f>$L$1224-EFEITO!$O$1224*EFEITO!$AA$1224</f>
        <v>0</v>
      </c>
      <c r="P1224" s="18"/>
      <c r="Q1224" s="18"/>
      <c r="R1224" s="18"/>
      <c r="S1224" s="18"/>
      <c r="T1224" s="18"/>
      <c r="U1224" s="18"/>
      <c r="V1224" s="18"/>
      <c r="W1224" s="18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</row>
    <row r="1225" spans="1:36" ht="11.25" customHeight="1" x14ac:dyDescent="0.2">
      <c r="A1225" s="51" t="s">
        <v>21</v>
      </c>
      <c r="B1225" s="51" t="s">
        <v>22</v>
      </c>
      <c r="C1225" s="51" t="s">
        <v>33</v>
      </c>
      <c r="D1225" s="51" t="s">
        <v>24</v>
      </c>
      <c r="E1225" s="51" t="s">
        <v>24</v>
      </c>
      <c r="F1225" s="51" t="s">
        <v>25</v>
      </c>
      <c r="G1225" s="51" t="s">
        <v>25</v>
      </c>
      <c r="H1225" s="51" t="s">
        <v>36</v>
      </c>
      <c r="I1225" s="59">
        <v>44378</v>
      </c>
      <c r="J1225" s="60">
        <f>EFEITO!$J$1225*EFEITO!$Y$1225</f>
        <v>0</v>
      </c>
      <c r="K1225" s="60">
        <f ca="1">EFEITO!$L$1225*EFEITO!$Z$1225</f>
        <v>3940.1275432541984</v>
      </c>
      <c r="L1225" s="60">
        <f>EFEITO!$N$1225*EFEITO!$AA$1225</f>
        <v>1315.2202732019148</v>
      </c>
      <c r="M1225" s="60">
        <f>$J$1225-EFEITO!$K$1225*EFEITO!$Y$1225</f>
        <v>0</v>
      </c>
      <c r="N1225" s="60">
        <f ca="1">$K$1225-EFEITO!$M$1225*EFEITO!$Z$1225</f>
        <v>0</v>
      </c>
      <c r="O1225" s="60">
        <f>$L$1225-EFEITO!$O$1225*EFEITO!$AA$1225</f>
        <v>0</v>
      </c>
      <c r="P1225" s="18"/>
      <c r="Q1225" s="18"/>
      <c r="R1225" s="18"/>
      <c r="S1225" s="18"/>
      <c r="T1225" s="18"/>
      <c r="U1225" s="18"/>
      <c r="V1225" s="18"/>
      <c r="W1225" s="18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</row>
    <row r="1226" spans="1:36" ht="11.25" customHeight="1" x14ac:dyDescent="0.2">
      <c r="A1226" s="51" t="s">
        <v>28</v>
      </c>
      <c r="B1226" s="51" t="s">
        <v>22</v>
      </c>
      <c r="C1226" s="51" t="s">
        <v>33</v>
      </c>
      <c r="D1226" s="51" t="s">
        <v>24</v>
      </c>
      <c r="E1226" s="51" t="s">
        <v>24</v>
      </c>
      <c r="F1226" s="51" t="s">
        <v>25</v>
      </c>
      <c r="G1226" s="51" t="s">
        <v>25</v>
      </c>
      <c r="H1226" s="51" t="s">
        <v>36</v>
      </c>
      <c r="I1226" s="59">
        <v>44378</v>
      </c>
      <c r="J1226" s="60">
        <f>EFEITO!$J$1226*EFEITO!$Y$1226</f>
        <v>0</v>
      </c>
      <c r="K1226" s="60">
        <f ca="1">EFEITO!$L$1226*EFEITO!$Z$1226</f>
        <v>31.419408641490893</v>
      </c>
      <c r="L1226" s="60">
        <f>EFEITO!$N$1226*EFEITO!$AA$1226</f>
        <v>10.487844051661011</v>
      </c>
      <c r="M1226" s="60">
        <f>$J$1226-EFEITO!$K$1226*EFEITO!$Y$1226</f>
        <v>0</v>
      </c>
      <c r="N1226" s="60">
        <f ca="1">$K$1226-EFEITO!$M$1226*EFEITO!$Z$1226</f>
        <v>0</v>
      </c>
      <c r="O1226" s="60">
        <f>$L$1226-EFEITO!$O$1226*EFEITO!$AA$1226</f>
        <v>0</v>
      </c>
      <c r="P1226" s="18"/>
      <c r="Q1226" s="18"/>
      <c r="R1226" s="18"/>
      <c r="S1226" s="18"/>
      <c r="T1226" s="18"/>
      <c r="U1226" s="18"/>
      <c r="V1226" s="18"/>
      <c r="W1226" s="18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</row>
    <row r="1227" spans="1:36" ht="11.25" customHeight="1" x14ac:dyDescent="0.2">
      <c r="A1227" s="51" t="s">
        <v>21</v>
      </c>
      <c r="B1227" s="51" t="s">
        <v>22</v>
      </c>
      <c r="C1227" s="51" t="s">
        <v>33</v>
      </c>
      <c r="D1227" s="51" t="s">
        <v>24</v>
      </c>
      <c r="E1227" s="51" t="s">
        <v>24</v>
      </c>
      <c r="F1227" s="51" t="s">
        <v>25</v>
      </c>
      <c r="G1227" s="51" t="s">
        <v>25</v>
      </c>
      <c r="H1227" s="51" t="s">
        <v>36</v>
      </c>
      <c r="I1227" s="59">
        <v>44409</v>
      </c>
      <c r="J1227" s="60">
        <f>EFEITO!$J$1227*EFEITO!$Y$1227</f>
        <v>0</v>
      </c>
      <c r="K1227" s="60">
        <f ca="1">EFEITO!$L$1227*EFEITO!$Z$1227</f>
        <v>3920.0726015681403</v>
      </c>
      <c r="L1227" s="60">
        <f>EFEITO!$N$1227*EFEITO!$AA$1227</f>
        <v>1308.5259046583014</v>
      </c>
      <c r="M1227" s="60">
        <f>$J$1227-EFEITO!$K$1227*EFEITO!$Y$1227</f>
        <v>0</v>
      </c>
      <c r="N1227" s="60">
        <f ca="1">$K$1227-EFEITO!$M$1227*EFEITO!$Z$1227</f>
        <v>0</v>
      </c>
      <c r="O1227" s="60">
        <f>$L$1227-EFEITO!$O$1227*EFEITO!$AA$1227</f>
        <v>0</v>
      </c>
      <c r="P1227" s="18"/>
      <c r="Q1227" s="18"/>
      <c r="R1227" s="18"/>
      <c r="S1227" s="18"/>
      <c r="T1227" s="18"/>
      <c r="U1227" s="18"/>
      <c r="V1227" s="18"/>
      <c r="W1227" s="18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</row>
    <row r="1228" spans="1:36" ht="11.25" customHeight="1" x14ac:dyDescent="0.2">
      <c r="A1228" s="51" t="s">
        <v>28</v>
      </c>
      <c r="B1228" s="51" t="s">
        <v>22</v>
      </c>
      <c r="C1228" s="51" t="s">
        <v>33</v>
      </c>
      <c r="D1228" s="51" t="s">
        <v>24</v>
      </c>
      <c r="E1228" s="51" t="s">
        <v>24</v>
      </c>
      <c r="F1228" s="51" t="s">
        <v>25</v>
      </c>
      <c r="G1228" s="51" t="s">
        <v>25</v>
      </c>
      <c r="H1228" s="51" t="s">
        <v>36</v>
      </c>
      <c r="I1228" s="59">
        <v>44409</v>
      </c>
      <c r="J1228" s="60">
        <f>EFEITO!$J$1228*EFEITO!$Y$1228</f>
        <v>0</v>
      </c>
      <c r="K1228" s="60">
        <f ca="1">EFEITO!$L$1228*EFEITO!$Z$1228</f>
        <v>29.413914472885089</v>
      </c>
      <c r="L1228" s="60">
        <f>EFEITO!$N$1228*EFEITO!$AA$1228</f>
        <v>9.8184071972996687</v>
      </c>
      <c r="M1228" s="60">
        <f>$J$1228-EFEITO!$K$1228*EFEITO!$Y$1228</f>
        <v>0</v>
      </c>
      <c r="N1228" s="60">
        <f ca="1">$K$1228-EFEITO!$M$1228*EFEITO!$Z$1228</f>
        <v>0</v>
      </c>
      <c r="O1228" s="60">
        <f>$L$1228-EFEITO!$O$1228*EFEITO!$AA$1228</f>
        <v>0</v>
      </c>
      <c r="P1228" s="18"/>
      <c r="Q1228" s="18"/>
      <c r="R1228" s="18"/>
      <c r="S1228" s="18"/>
      <c r="T1228" s="18"/>
      <c r="U1228" s="18"/>
      <c r="V1228" s="18"/>
      <c r="W1228" s="18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</row>
    <row r="1229" spans="1:36" ht="11.25" customHeight="1" x14ac:dyDescent="0.2">
      <c r="A1229" s="51" t="s">
        <v>21</v>
      </c>
      <c r="B1229" s="51" t="s">
        <v>22</v>
      </c>
      <c r="C1229" s="51" t="s">
        <v>33</v>
      </c>
      <c r="D1229" s="51" t="s">
        <v>24</v>
      </c>
      <c r="E1229" s="51" t="s">
        <v>24</v>
      </c>
      <c r="F1229" s="51" t="s">
        <v>25</v>
      </c>
      <c r="G1229" s="51" t="s">
        <v>25</v>
      </c>
      <c r="H1229" s="51" t="s">
        <v>36</v>
      </c>
      <c r="I1229" s="59">
        <v>44440</v>
      </c>
      <c r="J1229" s="60">
        <f>EFEITO!$J$1229*EFEITO!$Y$1229</f>
        <v>0</v>
      </c>
      <c r="K1229" s="60">
        <f ca="1">EFEITO!$L$1229*EFEITO!$Z$1229</f>
        <v>3761.6385622482817</v>
      </c>
      <c r="L1229" s="60">
        <f>EFEITO!$N$1229*EFEITO!$AA$1229</f>
        <v>1255.6403931637553</v>
      </c>
      <c r="M1229" s="60">
        <f>$J$1229-EFEITO!$K$1229*EFEITO!$Y$1229</f>
        <v>0</v>
      </c>
      <c r="N1229" s="60">
        <f ca="1">$K$1229-EFEITO!$M$1229*EFEITO!$Z$1229</f>
        <v>0</v>
      </c>
      <c r="O1229" s="60">
        <f>$L$1229-EFEITO!$O$1229*EFEITO!$AA$1229</f>
        <v>0</v>
      </c>
      <c r="P1229" s="18"/>
      <c r="Q1229" s="18"/>
      <c r="R1229" s="18"/>
      <c r="S1229" s="18"/>
      <c r="T1229" s="18"/>
      <c r="U1229" s="18"/>
      <c r="V1229" s="18"/>
      <c r="W1229" s="18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</row>
    <row r="1230" spans="1:36" ht="11.25" customHeight="1" x14ac:dyDescent="0.2">
      <c r="A1230" s="51" t="s">
        <v>27</v>
      </c>
      <c r="B1230" s="51" t="s">
        <v>22</v>
      </c>
      <c r="C1230" s="51" t="s">
        <v>33</v>
      </c>
      <c r="D1230" s="51" t="s">
        <v>24</v>
      </c>
      <c r="E1230" s="51" t="s">
        <v>24</v>
      </c>
      <c r="F1230" s="51" t="s">
        <v>25</v>
      </c>
      <c r="G1230" s="51" t="s">
        <v>25</v>
      </c>
      <c r="H1230" s="51" t="s">
        <v>36</v>
      </c>
      <c r="I1230" s="59">
        <v>44440</v>
      </c>
      <c r="J1230" s="60">
        <f>EFEITO!$J$1230*EFEITO!$Y$1230</f>
        <v>0</v>
      </c>
      <c r="K1230" s="60">
        <f ca="1">EFEITO!$L$1230*EFEITO!$Z$1230</f>
        <v>-15.375455292644478</v>
      </c>
      <c r="L1230" s="60">
        <f>EFEITO!$N$1230*EFEITO!$AA$1230</f>
        <v>-5.1323492167702822</v>
      </c>
      <c r="M1230" s="60">
        <f>$J$1230-EFEITO!$K$1230*EFEITO!$Y$1230</f>
        <v>0</v>
      </c>
      <c r="N1230" s="60">
        <f ca="1">$K$1230-EFEITO!$M$1230*EFEITO!$Z$1230</f>
        <v>0</v>
      </c>
      <c r="O1230" s="60">
        <f>$L$1230-EFEITO!$O$1230*EFEITO!$AA$1230</f>
        <v>0</v>
      </c>
      <c r="P1230" s="18"/>
      <c r="Q1230" s="18"/>
      <c r="R1230" s="18"/>
      <c r="S1230" s="18"/>
      <c r="T1230" s="18"/>
      <c r="U1230" s="18"/>
      <c r="V1230" s="18"/>
      <c r="W1230" s="18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</row>
    <row r="1231" spans="1:36" ht="11.25" customHeight="1" x14ac:dyDescent="0.2">
      <c r="A1231" s="51" t="s">
        <v>28</v>
      </c>
      <c r="B1231" s="51" t="s">
        <v>22</v>
      </c>
      <c r="C1231" s="51" t="s">
        <v>33</v>
      </c>
      <c r="D1231" s="51" t="s">
        <v>24</v>
      </c>
      <c r="E1231" s="51" t="s">
        <v>24</v>
      </c>
      <c r="F1231" s="51" t="s">
        <v>25</v>
      </c>
      <c r="G1231" s="51" t="s">
        <v>25</v>
      </c>
      <c r="H1231" s="51" t="s">
        <v>36</v>
      </c>
      <c r="I1231" s="59">
        <v>44440</v>
      </c>
      <c r="J1231" s="60">
        <f>EFEITO!$J$1231*EFEITO!$Y$1231</f>
        <v>0</v>
      </c>
      <c r="K1231" s="60">
        <f ca="1">EFEITO!$L$1231*EFEITO!$Z$1231</f>
        <v>34.093400866298623</v>
      </c>
      <c r="L1231" s="60">
        <f>EFEITO!$N$1231*EFEITO!$AA$1231</f>
        <v>11.380426524142798</v>
      </c>
      <c r="M1231" s="60">
        <f>$J$1231-EFEITO!$K$1231*EFEITO!$Y$1231</f>
        <v>0</v>
      </c>
      <c r="N1231" s="60">
        <f ca="1">$K$1231-EFEITO!$M$1231*EFEITO!$Z$1231</f>
        <v>0</v>
      </c>
      <c r="O1231" s="60">
        <f>$L$1231-EFEITO!$O$1231*EFEITO!$AA$1231</f>
        <v>0</v>
      </c>
      <c r="P1231" s="18"/>
      <c r="Q1231" s="18"/>
      <c r="R1231" s="18"/>
      <c r="S1231" s="18"/>
      <c r="T1231" s="18"/>
      <c r="U1231" s="18"/>
      <c r="V1231" s="18"/>
      <c r="W1231" s="18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</row>
    <row r="1232" spans="1:36" ht="11.25" customHeight="1" x14ac:dyDescent="0.2">
      <c r="A1232" s="51" t="s">
        <v>21</v>
      </c>
      <c r="B1232" s="51" t="s">
        <v>22</v>
      </c>
      <c r="C1232" s="51" t="s">
        <v>33</v>
      </c>
      <c r="D1232" s="51" t="s">
        <v>24</v>
      </c>
      <c r="E1232" s="51" t="s">
        <v>24</v>
      </c>
      <c r="F1232" s="51" t="s">
        <v>25</v>
      </c>
      <c r="G1232" s="51" t="s">
        <v>25</v>
      </c>
      <c r="H1232" s="51" t="s">
        <v>36</v>
      </c>
      <c r="I1232" s="59">
        <v>44470</v>
      </c>
      <c r="J1232" s="60">
        <f>EFEITO!$J$1232*EFEITO!$Y$1232</f>
        <v>0</v>
      </c>
      <c r="K1232" s="60">
        <f ca="1">EFEITO!$L$1232*EFEITO!$Z$1232</f>
        <v>4182.7923376555</v>
      </c>
      <c r="L1232" s="60">
        <f>EFEITO!$N$1232*EFEITO!$AA$1232</f>
        <v>1396.222132579637</v>
      </c>
      <c r="M1232" s="60">
        <f>$J$1232-EFEITO!$K$1232*EFEITO!$Y$1232</f>
        <v>0</v>
      </c>
      <c r="N1232" s="60">
        <f ca="1">$K$1232-EFEITO!$M$1232*EFEITO!$Z$1232</f>
        <v>0</v>
      </c>
      <c r="O1232" s="60">
        <f>$L$1232-EFEITO!$O$1232*EFEITO!$AA$1232</f>
        <v>0</v>
      </c>
      <c r="P1232" s="18"/>
      <c r="Q1232" s="18"/>
      <c r="R1232" s="18"/>
      <c r="S1232" s="18"/>
      <c r="T1232" s="18"/>
      <c r="U1232" s="18"/>
      <c r="V1232" s="18"/>
      <c r="W1232" s="18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</row>
    <row r="1233" spans="1:36" ht="11.25" customHeight="1" x14ac:dyDescent="0.2">
      <c r="A1233" s="51" t="s">
        <v>28</v>
      </c>
      <c r="B1233" s="51" t="s">
        <v>22</v>
      </c>
      <c r="C1233" s="51" t="s">
        <v>33</v>
      </c>
      <c r="D1233" s="51" t="s">
        <v>24</v>
      </c>
      <c r="E1233" s="51" t="s">
        <v>24</v>
      </c>
      <c r="F1233" s="51" t="s">
        <v>25</v>
      </c>
      <c r="G1233" s="51" t="s">
        <v>25</v>
      </c>
      <c r="H1233" s="51" t="s">
        <v>36</v>
      </c>
      <c r="I1233" s="59">
        <v>44470</v>
      </c>
      <c r="J1233" s="60">
        <f>EFEITO!$J$1233*EFEITO!$Y$1233</f>
        <v>0</v>
      </c>
      <c r="K1233" s="60">
        <f ca="1">EFEITO!$L$1233*EFEITO!$Z$1233</f>
        <v>56.822334777164386</v>
      </c>
      <c r="L1233" s="60">
        <f>EFEITO!$N$1233*EFEITO!$AA$1233</f>
        <v>18.967377540238001</v>
      </c>
      <c r="M1233" s="60">
        <f>$J$1233-EFEITO!$K$1233*EFEITO!$Y$1233</f>
        <v>0</v>
      </c>
      <c r="N1233" s="60">
        <f ca="1">$K$1233-EFEITO!$M$1233*EFEITO!$Z$1233</f>
        <v>0</v>
      </c>
      <c r="O1233" s="60">
        <f>$L$1233-EFEITO!$O$1233*EFEITO!$AA$1233</f>
        <v>0</v>
      </c>
      <c r="P1233" s="18"/>
      <c r="Q1233" s="18"/>
      <c r="R1233" s="18"/>
      <c r="S1233" s="18"/>
      <c r="T1233" s="18"/>
      <c r="U1233" s="18"/>
      <c r="V1233" s="18"/>
      <c r="W1233" s="18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</row>
    <row r="1234" spans="1:36" ht="11.25" customHeight="1" x14ac:dyDescent="0.2">
      <c r="A1234" s="51" t="s">
        <v>21</v>
      </c>
      <c r="B1234" s="51" t="s">
        <v>22</v>
      </c>
      <c r="C1234" s="51" t="s">
        <v>33</v>
      </c>
      <c r="D1234" s="51" t="s">
        <v>24</v>
      </c>
      <c r="E1234" s="51" t="s">
        <v>24</v>
      </c>
      <c r="F1234" s="51" t="s">
        <v>25</v>
      </c>
      <c r="G1234" s="51" t="s">
        <v>25</v>
      </c>
      <c r="H1234" s="51" t="s">
        <v>36</v>
      </c>
      <c r="I1234" s="59">
        <v>44501</v>
      </c>
      <c r="J1234" s="60">
        <f>EFEITO!$J$1234*EFEITO!$Y$1234</f>
        <v>0</v>
      </c>
      <c r="K1234" s="60">
        <f ca="1">EFEITO!$L$1234*EFEITO!$Z$1234</f>
        <v>3840.5213328801101</v>
      </c>
      <c r="L1234" s="60">
        <f>EFEITO!$N$1234*EFEITO!$AA$1234</f>
        <v>1281.9715761019684</v>
      </c>
      <c r="M1234" s="60">
        <f>$J$1234-EFEITO!$K$1234*EFEITO!$Y$1234</f>
        <v>0</v>
      </c>
      <c r="N1234" s="60">
        <f ca="1">$K$1234-EFEITO!$M$1234*EFEITO!$Z$1234</f>
        <v>0</v>
      </c>
      <c r="O1234" s="60">
        <f>$L$1234-EFEITO!$O$1234*EFEITO!$AA$1234</f>
        <v>0</v>
      </c>
      <c r="P1234" s="18"/>
      <c r="Q1234" s="18"/>
      <c r="R1234" s="18"/>
      <c r="S1234" s="18"/>
      <c r="T1234" s="18"/>
      <c r="U1234" s="18"/>
      <c r="V1234" s="18"/>
      <c r="W1234" s="18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</row>
    <row r="1235" spans="1:36" ht="11.25" customHeight="1" x14ac:dyDescent="0.2">
      <c r="A1235" s="51" t="s">
        <v>28</v>
      </c>
      <c r="B1235" s="51" t="s">
        <v>22</v>
      </c>
      <c r="C1235" s="51" t="s">
        <v>33</v>
      </c>
      <c r="D1235" s="51" t="s">
        <v>24</v>
      </c>
      <c r="E1235" s="51" t="s">
        <v>24</v>
      </c>
      <c r="F1235" s="51" t="s">
        <v>25</v>
      </c>
      <c r="G1235" s="51" t="s">
        <v>25</v>
      </c>
      <c r="H1235" s="51" t="s">
        <v>36</v>
      </c>
      <c r="I1235" s="59">
        <v>44501</v>
      </c>
      <c r="J1235" s="60">
        <f>EFEITO!$J$1235*EFEITO!$Y$1235</f>
        <v>0</v>
      </c>
      <c r="K1235" s="60">
        <f ca="1">EFEITO!$L$1235*EFEITO!$Z$1235</f>
        <v>104.28569676750169</v>
      </c>
      <c r="L1235" s="60">
        <f>EFEITO!$N$1235*EFEITO!$AA$1235</f>
        <v>34.810716426789739</v>
      </c>
      <c r="M1235" s="60">
        <f>$J$1235-EFEITO!$K$1235*EFEITO!$Y$1235</f>
        <v>0</v>
      </c>
      <c r="N1235" s="60">
        <f ca="1">$K$1235-EFEITO!$M$1235*EFEITO!$Z$1235</f>
        <v>0</v>
      </c>
      <c r="O1235" s="60">
        <f>$L$1235-EFEITO!$O$1235*EFEITO!$AA$1235</f>
        <v>0</v>
      </c>
      <c r="P1235" s="18"/>
      <c r="Q1235" s="18"/>
      <c r="R1235" s="18"/>
      <c r="S1235" s="18"/>
      <c r="T1235" s="18"/>
      <c r="U1235" s="18"/>
      <c r="V1235" s="18"/>
      <c r="W1235" s="18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</row>
    <row r="1236" spans="1:36" ht="11.25" customHeight="1" x14ac:dyDescent="0.2">
      <c r="A1236" s="51" t="s">
        <v>21</v>
      </c>
      <c r="B1236" s="51" t="s">
        <v>22</v>
      </c>
      <c r="C1236" s="51" t="s">
        <v>33</v>
      </c>
      <c r="D1236" s="51" t="s">
        <v>24</v>
      </c>
      <c r="E1236" s="51" t="s">
        <v>24</v>
      </c>
      <c r="F1236" s="51" t="s">
        <v>25</v>
      </c>
      <c r="G1236" s="51" t="s">
        <v>25</v>
      </c>
      <c r="H1236" s="51" t="s">
        <v>36</v>
      </c>
      <c r="I1236" s="59">
        <v>44531</v>
      </c>
      <c r="J1236" s="60">
        <f>EFEITO!$J$1236*EFEITO!$Y$1236</f>
        <v>0</v>
      </c>
      <c r="K1236" s="60">
        <f ca="1">EFEITO!$L$1236*EFEITO!$Z$1236</f>
        <v>4202.8472793415585</v>
      </c>
      <c r="L1236" s="60">
        <f>EFEITO!$N$1236*EFEITO!$AA$1236</f>
        <v>1402.9165011232506</v>
      </c>
      <c r="M1236" s="60">
        <f>$J$1236-EFEITO!$K$1236*EFEITO!$Y$1236</f>
        <v>0</v>
      </c>
      <c r="N1236" s="60">
        <f ca="1">$K$1236-EFEITO!$M$1236*EFEITO!$Z$1236</f>
        <v>0</v>
      </c>
      <c r="O1236" s="60">
        <f>$L$1236-EFEITO!$O$1236*EFEITO!$AA$1236</f>
        <v>0</v>
      </c>
      <c r="P1236" s="18"/>
      <c r="Q1236" s="18"/>
      <c r="R1236" s="18"/>
      <c r="S1236" s="18"/>
      <c r="T1236" s="18"/>
      <c r="U1236" s="18"/>
      <c r="V1236" s="18"/>
      <c r="W1236" s="18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</row>
    <row r="1237" spans="1:36" ht="11.25" customHeight="1" x14ac:dyDescent="0.2">
      <c r="A1237" s="51" t="s">
        <v>27</v>
      </c>
      <c r="B1237" s="51" t="s">
        <v>22</v>
      </c>
      <c r="C1237" s="51" t="s">
        <v>33</v>
      </c>
      <c r="D1237" s="51" t="s">
        <v>24</v>
      </c>
      <c r="E1237" s="51" t="s">
        <v>24</v>
      </c>
      <c r="F1237" s="51" t="s">
        <v>25</v>
      </c>
      <c r="G1237" s="51" t="s">
        <v>25</v>
      </c>
      <c r="H1237" s="51" t="s">
        <v>36</v>
      </c>
      <c r="I1237" s="59">
        <v>44531</v>
      </c>
      <c r="J1237" s="60">
        <f>EFEITO!$J$1237*EFEITO!$Y$1237</f>
        <v>0</v>
      </c>
      <c r="K1237" s="60">
        <f ca="1">EFEITO!$L$1237*EFEITO!$Z$1237</f>
        <v>0.66849805620193392</v>
      </c>
      <c r="L1237" s="60">
        <f>EFEITO!$N$1237*EFEITO!$AA$1237</f>
        <v>0.22314561812044703</v>
      </c>
      <c r="M1237" s="60">
        <f>$J$1237-EFEITO!$K$1237*EFEITO!$Y$1237</f>
        <v>0</v>
      </c>
      <c r="N1237" s="60">
        <f ca="1">$K$1237-EFEITO!$M$1237*EFEITO!$Z$1237</f>
        <v>0</v>
      </c>
      <c r="O1237" s="60">
        <f>$L$1237-EFEITO!$O$1237*EFEITO!$AA$1237</f>
        <v>0</v>
      </c>
      <c r="P1237" s="18"/>
      <c r="Q1237" s="18"/>
      <c r="R1237" s="18"/>
      <c r="S1237" s="18"/>
      <c r="T1237" s="18"/>
      <c r="U1237" s="18"/>
      <c r="V1237" s="18"/>
      <c r="W1237" s="18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</row>
    <row r="1238" spans="1:36" ht="11.25" customHeight="1" x14ac:dyDescent="0.2">
      <c r="A1238" s="51" t="s">
        <v>28</v>
      </c>
      <c r="B1238" s="51" t="s">
        <v>22</v>
      </c>
      <c r="C1238" s="51" t="s">
        <v>33</v>
      </c>
      <c r="D1238" s="51" t="s">
        <v>24</v>
      </c>
      <c r="E1238" s="51" t="s">
        <v>24</v>
      </c>
      <c r="F1238" s="51" t="s">
        <v>25</v>
      </c>
      <c r="G1238" s="51" t="s">
        <v>25</v>
      </c>
      <c r="H1238" s="51" t="s">
        <v>36</v>
      </c>
      <c r="I1238" s="59">
        <v>44531</v>
      </c>
      <c r="J1238" s="60">
        <f>EFEITO!$J$1238*EFEITO!$Y$1238</f>
        <v>0</v>
      </c>
      <c r="K1238" s="60">
        <f ca="1">EFEITO!$L$1238*EFEITO!$Z$1238</f>
        <v>109.63368121711716</v>
      </c>
      <c r="L1238" s="60">
        <f>EFEITO!$N$1238*EFEITO!$AA$1238</f>
        <v>36.595881371753315</v>
      </c>
      <c r="M1238" s="60">
        <f>$J$1238-EFEITO!$K$1238*EFEITO!$Y$1238</f>
        <v>0</v>
      </c>
      <c r="N1238" s="60">
        <f ca="1">$K$1238-EFEITO!$M$1238*EFEITO!$Z$1238</f>
        <v>0</v>
      </c>
      <c r="O1238" s="60">
        <f>$L$1238-EFEITO!$O$1238*EFEITO!$AA$1238</f>
        <v>0</v>
      </c>
      <c r="P1238" s="18"/>
      <c r="Q1238" s="18"/>
      <c r="R1238" s="18"/>
      <c r="S1238" s="18"/>
      <c r="T1238" s="18"/>
      <c r="U1238" s="18"/>
      <c r="V1238" s="18"/>
      <c r="W1238" s="18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</row>
    <row r="1239" spans="1:36" ht="11.25" customHeight="1" x14ac:dyDescent="0.2">
      <c r="A1239" s="51" t="s">
        <v>21</v>
      </c>
      <c r="B1239" s="51" t="s">
        <v>22</v>
      </c>
      <c r="C1239" s="51" t="s">
        <v>33</v>
      </c>
      <c r="D1239" s="51" t="s">
        <v>24</v>
      </c>
      <c r="E1239" s="51" t="s">
        <v>24</v>
      </c>
      <c r="F1239" s="51" t="s">
        <v>25</v>
      </c>
      <c r="G1239" s="51" t="s">
        <v>25</v>
      </c>
      <c r="H1239" s="51" t="s">
        <v>36</v>
      </c>
      <c r="I1239" s="59">
        <v>44562</v>
      </c>
      <c r="J1239" s="60">
        <f>EFEITO!$J$1239*EFEITO!$Y$1239</f>
        <v>0</v>
      </c>
      <c r="K1239" s="60">
        <f ca="1">EFEITO!$L$1239*EFEITO!$Z$1239</f>
        <v>4458.2135368106965</v>
      </c>
      <c r="L1239" s="60">
        <f>EFEITO!$N$1239*EFEITO!$AA$1239</f>
        <v>1488.1581272452613</v>
      </c>
      <c r="M1239" s="60">
        <f>$J$1239-EFEITO!$K$1239*EFEITO!$Y$1239</f>
        <v>0</v>
      </c>
      <c r="N1239" s="60">
        <f ca="1">$K$1239-EFEITO!$M$1239*EFEITO!$Z$1239</f>
        <v>0</v>
      </c>
      <c r="O1239" s="60">
        <f>$L$1239-EFEITO!$O$1239*EFEITO!$AA$1239</f>
        <v>0</v>
      </c>
      <c r="P1239" s="18"/>
      <c r="Q1239" s="18"/>
      <c r="R1239" s="18"/>
      <c r="S1239" s="18"/>
      <c r="T1239" s="18"/>
      <c r="U1239" s="18"/>
      <c r="V1239" s="18"/>
      <c r="W1239" s="18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</row>
    <row r="1240" spans="1:36" ht="11.25" customHeight="1" x14ac:dyDescent="0.2">
      <c r="A1240" s="51" t="s">
        <v>28</v>
      </c>
      <c r="B1240" s="51" t="s">
        <v>22</v>
      </c>
      <c r="C1240" s="51" t="s">
        <v>33</v>
      </c>
      <c r="D1240" s="51" t="s">
        <v>24</v>
      </c>
      <c r="E1240" s="51" t="s">
        <v>24</v>
      </c>
      <c r="F1240" s="51" t="s">
        <v>25</v>
      </c>
      <c r="G1240" s="51" t="s">
        <v>25</v>
      </c>
      <c r="H1240" s="51" t="s">
        <v>36</v>
      </c>
      <c r="I1240" s="59">
        <v>44562</v>
      </c>
      <c r="J1240" s="60">
        <f>EFEITO!$J$1240*EFEITO!$Y$1240</f>
        <v>0</v>
      </c>
      <c r="K1240" s="60">
        <f ca="1">EFEITO!$L$1240*EFEITO!$Z$1240</f>
        <v>113.64466955432877</v>
      </c>
      <c r="L1240" s="60">
        <f>EFEITO!$N$1240*EFEITO!$AA$1240</f>
        <v>37.934755080476002</v>
      </c>
      <c r="M1240" s="60">
        <f>$J$1240-EFEITO!$K$1240*EFEITO!$Y$1240</f>
        <v>0</v>
      </c>
      <c r="N1240" s="60">
        <f ca="1">$K$1240-EFEITO!$M$1240*EFEITO!$Z$1240</f>
        <v>0</v>
      </c>
      <c r="O1240" s="60">
        <f>$L$1240-EFEITO!$O$1240*EFEITO!$AA$1240</f>
        <v>0</v>
      </c>
      <c r="P1240" s="18"/>
      <c r="Q1240" s="18"/>
      <c r="R1240" s="18"/>
      <c r="S1240" s="18"/>
      <c r="T1240" s="18"/>
      <c r="U1240" s="18"/>
      <c r="V1240" s="18"/>
      <c r="W1240" s="18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</row>
    <row r="1241" spans="1:36" ht="11.25" customHeight="1" x14ac:dyDescent="0.2">
      <c r="A1241" s="51" t="s">
        <v>21</v>
      </c>
      <c r="B1241" s="51" t="s">
        <v>22</v>
      </c>
      <c r="C1241" s="51" t="s">
        <v>33</v>
      </c>
      <c r="D1241" s="51" t="s">
        <v>24</v>
      </c>
      <c r="E1241" s="51" t="s">
        <v>24</v>
      </c>
      <c r="F1241" s="51" t="s">
        <v>25</v>
      </c>
      <c r="G1241" s="51" t="s">
        <v>25</v>
      </c>
      <c r="H1241" s="51" t="s">
        <v>36</v>
      </c>
      <c r="I1241" s="59">
        <v>44593</v>
      </c>
      <c r="J1241" s="60">
        <f>EFEITO!$J$1241*EFEITO!$Y$1241</f>
        <v>0</v>
      </c>
      <c r="K1241" s="60">
        <f ca="1">EFEITO!$L$1241*EFEITO!$Z$1241</f>
        <v>4570.521210252622</v>
      </c>
      <c r="L1241" s="60">
        <f>EFEITO!$N$1241*EFEITO!$AA$1241</f>
        <v>1525.6465910894963</v>
      </c>
      <c r="M1241" s="60">
        <f>$J$1241-EFEITO!$K$1241*EFEITO!$Y$1241</f>
        <v>0</v>
      </c>
      <c r="N1241" s="60">
        <f ca="1">$K$1241-EFEITO!$M$1241*EFEITO!$Z$1241</f>
        <v>0</v>
      </c>
      <c r="O1241" s="60">
        <f>$L$1241-EFEITO!$O$1241*EFEITO!$AA$1241</f>
        <v>0</v>
      </c>
      <c r="P1241" s="18"/>
      <c r="Q1241" s="18"/>
      <c r="R1241" s="18"/>
      <c r="S1241" s="18"/>
      <c r="T1241" s="18"/>
      <c r="U1241" s="18"/>
      <c r="V1241" s="18"/>
      <c r="W1241" s="18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</row>
    <row r="1242" spans="1:36" ht="11.25" customHeight="1" x14ac:dyDescent="0.2">
      <c r="A1242" s="51" t="s">
        <v>27</v>
      </c>
      <c r="B1242" s="51" t="s">
        <v>22</v>
      </c>
      <c r="C1242" s="51" t="s">
        <v>33</v>
      </c>
      <c r="D1242" s="51" t="s">
        <v>24</v>
      </c>
      <c r="E1242" s="51" t="s">
        <v>24</v>
      </c>
      <c r="F1242" s="51" t="s">
        <v>25</v>
      </c>
      <c r="G1242" s="51" t="s">
        <v>25</v>
      </c>
      <c r="H1242" s="51" t="s">
        <v>36</v>
      </c>
      <c r="I1242" s="59">
        <v>44593</v>
      </c>
      <c r="J1242" s="60">
        <f>EFEITO!$J$1242*EFEITO!$Y$1242</f>
        <v>0</v>
      </c>
      <c r="K1242" s="60">
        <f ca="1">EFEITO!$L$1242*EFEITO!$Z$1242</f>
        <v>-16.712451405048348</v>
      </c>
      <c r="L1242" s="60">
        <f>EFEITO!$N$1242*EFEITO!$AA$1242</f>
        <v>-5.5786404530111762</v>
      </c>
      <c r="M1242" s="60">
        <f>$J$1242-EFEITO!$K$1242*EFEITO!$Y$1242</f>
        <v>0</v>
      </c>
      <c r="N1242" s="60">
        <f ca="1">$K$1242-EFEITO!$M$1242*EFEITO!$Z$1242</f>
        <v>0</v>
      </c>
      <c r="O1242" s="60">
        <f>$L$1242-EFEITO!$O$1242*EFEITO!$AA$1242</f>
        <v>0</v>
      </c>
      <c r="P1242" s="18"/>
      <c r="Q1242" s="18"/>
      <c r="R1242" s="18"/>
      <c r="S1242" s="18"/>
      <c r="T1242" s="18"/>
      <c r="U1242" s="18"/>
      <c r="V1242" s="18"/>
      <c r="W1242" s="18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</row>
    <row r="1243" spans="1:36" ht="11.25" customHeight="1" x14ac:dyDescent="0.2">
      <c r="A1243" s="51" t="s">
        <v>28</v>
      </c>
      <c r="B1243" s="51" t="s">
        <v>22</v>
      </c>
      <c r="C1243" s="51" t="s">
        <v>33</v>
      </c>
      <c r="D1243" s="51" t="s">
        <v>24</v>
      </c>
      <c r="E1243" s="51" t="s">
        <v>24</v>
      </c>
      <c r="F1243" s="51" t="s">
        <v>25</v>
      </c>
      <c r="G1243" s="51" t="s">
        <v>25</v>
      </c>
      <c r="H1243" s="51" t="s">
        <v>36</v>
      </c>
      <c r="I1243" s="59">
        <v>44593</v>
      </c>
      <c r="J1243" s="60">
        <f>EFEITO!$J$1243*EFEITO!$Y$1243</f>
        <v>0</v>
      </c>
      <c r="K1243" s="60">
        <f ca="1">EFEITO!$L$1243*EFEITO!$Z$1243</f>
        <v>51.474350327548905</v>
      </c>
      <c r="L1243" s="60">
        <f>EFEITO!$N$1243*EFEITO!$AA$1243</f>
        <v>17.182212595274422</v>
      </c>
      <c r="M1243" s="60">
        <f>$J$1243-EFEITO!$K$1243*EFEITO!$Y$1243</f>
        <v>0</v>
      </c>
      <c r="N1243" s="60">
        <f ca="1">$K$1243-EFEITO!$M$1243*EFEITO!$Z$1243</f>
        <v>0</v>
      </c>
      <c r="O1243" s="60">
        <f>$L$1243-EFEITO!$O$1243*EFEITO!$AA$1243</f>
        <v>0</v>
      </c>
      <c r="P1243" s="18"/>
      <c r="Q1243" s="18"/>
      <c r="R1243" s="18"/>
      <c r="S1243" s="18"/>
      <c r="T1243" s="18"/>
      <c r="U1243" s="18"/>
      <c r="V1243" s="18"/>
      <c r="W1243" s="18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</row>
    <row r="1244" spans="1:36" ht="11.25" customHeight="1" x14ac:dyDescent="0.2">
      <c r="A1244" s="51" t="s">
        <v>28</v>
      </c>
      <c r="B1244" s="51" t="s">
        <v>22</v>
      </c>
      <c r="C1244" s="51" t="s">
        <v>33</v>
      </c>
      <c r="D1244" s="51" t="s">
        <v>24</v>
      </c>
      <c r="E1244" s="51" t="s">
        <v>24</v>
      </c>
      <c r="F1244" s="51" t="s">
        <v>25</v>
      </c>
      <c r="G1244" s="51" t="s">
        <v>25</v>
      </c>
      <c r="H1244" s="51" t="s">
        <v>36</v>
      </c>
      <c r="I1244" s="59">
        <v>44593</v>
      </c>
      <c r="J1244" s="60">
        <f>EFEITO!$J$1244*EFEITO!$Y$1244</f>
        <v>0</v>
      </c>
      <c r="K1244" s="60">
        <f ca="1">EFEITO!$L$1244*EFEITO!$Z$1244</f>
        <v>-64.17581339538566</v>
      </c>
      <c r="L1244" s="60">
        <f>EFEITO!$N$1244*EFEITO!$AA$1244</f>
        <v>-21.421979339562917</v>
      </c>
      <c r="M1244" s="60">
        <f>$J$1244-EFEITO!$K$1244*EFEITO!$Y$1244</f>
        <v>0</v>
      </c>
      <c r="N1244" s="60">
        <f ca="1">$K$1244-EFEITO!$M$1244*EFEITO!$Z$1244</f>
        <v>0</v>
      </c>
      <c r="O1244" s="60">
        <f>$L$1244-EFEITO!$O$1244*EFEITO!$AA$1244</f>
        <v>0</v>
      </c>
      <c r="P1244" s="18"/>
      <c r="Q1244" s="18"/>
      <c r="R1244" s="18"/>
      <c r="S1244" s="18"/>
      <c r="T1244" s="18"/>
      <c r="U1244" s="18"/>
      <c r="V1244" s="18"/>
      <c r="W1244" s="18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</row>
    <row r="1245" spans="1:36" ht="11.25" customHeight="1" x14ac:dyDescent="0.2">
      <c r="A1245" s="51" t="s">
        <v>56</v>
      </c>
      <c r="B1245" s="51" t="s">
        <v>22</v>
      </c>
      <c r="C1245" s="51" t="s">
        <v>33</v>
      </c>
      <c r="D1245" s="51" t="s">
        <v>24</v>
      </c>
      <c r="E1245" s="51" t="s">
        <v>24</v>
      </c>
      <c r="F1245" s="51" t="s">
        <v>25</v>
      </c>
      <c r="G1245" s="51" t="s">
        <v>25</v>
      </c>
      <c r="H1245" s="51" t="s">
        <v>36</v>
      </c>
      <c r="I1245" s="59">
        <v>44621</v>
      </c>
      <c r="J1245" s="60">
        <f>EFEITO!$J$1245*EFEITO!$Y$1245</f>
        <v>0</v>
      </c>
      <c r="K1245" s="60">
        <f ca="1">EFEITO!$L$1245*EFEITO!$Z$1245</f>
        <v>4570.521210252622</v>
      </c>
      <c r="L1245" s="60">
        <f>EFEITO!$N$1245*EFEITO!$AA$1245</f>
        <v>1525.6465910894963</v>
      </c>
      <c r="M1245" s="60">
        <f>$J$1245-EFEITO!$K$1245*EFEITO!$Y$1245</f>
        <v>0</v>
      </c>
      <c r="N1245" s="60">
        <f ca="1">$K$1245-EFEITO!$M$1245*EFEITO!$Z$1245</f>
        <v>0</v>
      </c>
      <c r="O1245" s="60">
        <f>$L$1245-EFEITO!$O$1245*EFEITO!$AA$1245</f>
        <v>0</v>
      </c>
      <c r="P1245" s="18"/>
      <c r="Q1245" s="18"/>
      <c r="R1245" s="18"/>
      <c r="S1245" s="18"/>
      <c r="T1245" s="18"/>
      <c r="U1245" s="18"/>
      <c r="V1245" s="18"/>
      <c r="W1245" s="18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</row>
    <row r="1246" spans="1:36" ht="11.25" customHeight="1" x14ac:dyDescent="0.2">
      <c r="A1246" s="51" t="s">
        <v>56</v>
      </c>
      <c r="B1246" s="51" t="s">
        <v>22</v>
      </c>
      <c r="C1246" s="51" t="s">
        <v>33</v>
      </c>
      <c r="D1246" s="51" t="s">
        <v>24</v>
      </c>
      <c r="E1246" s="51" t="s">
        <v>24</v>
      </c>
      <c r="F1246" s="51" t="s">
        <v>25</v>
      </c>
      <c r="G1246" s="51" t="s">
        <v>25</v>
      </c>
      <c r="H1246" s="51" t="s">
        <v>36</v>
      </c>
      <c r="I1246" s="59">
        <v>44621</v>
      </c>
      <c r="J1246" s="60">
        <f>EFEITO!$J$1246*EFEITO!$Y$1246</f>
        <v>0</v>
      </c>
      <c r="K1246" s="60">
        <f ca="1">EFEITO!$L$1246*EFEITO!$Z$1246</f>
        <v>-16.712451405048348</v>
      </c>
      <c r="L1246" s="60">
        <f>EFEITO!$N$1246*EFEITO!$AA$1246</f>
        <v>-5.5786404530111762</v>
      </c>
      <c r="M1246" s="60">
        <f>$J$1246-EFEITO!$K$1246*EFEITO!$Y$1246</f>
        <v>0</v>
      </c>
      <c r="N1246" s="60">
        <f ca="1">$K$1246-EFEITO!$M$1246*EFEITO!$Z$1246</f>
        <v>0</v>
      </c>
      <c r="O1246" s="60">
        <f>$L$1246-EFEITO!$O$1246*EFEITO!$AA$1246</f>
        <v>0</v>
      </c>
      <c r="P1246" s="18"/>
      <c r="Q1246" s="18"/>
      <c r="R1246" s="18"/>
      <c r="S1246" s="18"/>
      <c r="T1246" s="18"/>
      <c r="U1246" s="18"/>
      <c r="V1246" s="18"/>
      <c r="W1246" s="18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</row>
    <row r="1247" spans="1:36" ht="11.25" customHeight="1" x14ac:dyDescent="0.2">
      <c r="A1247" s="51" t="s">
        <v>56</v>
      </c>
      <c r="B1247" s="51" t="s">
        <v>22</v>
      </c>
      <c r="C1247" s="51" t="s">
        <v>33</v>
      </c>
      <c r="D1247" s="51" t="s">
        <v>24</v>
      </c>
      <c r="E1247" s="51" t="s">
        <v>24</v>
      </c>
      <c r="F1247" s="51" t="s">
        <v>25</v>
      </c>
      <c r="G1247" s="51" t="s">
        <v>25</v>
      </c>
      <c r="H1247" s="51" t="s">
        <v>36</v>
      </c>
      <c r="I1247" s="59">
        <v>44621</v>
      </c>
      <c r="J1247" s="60">
        <f>EFEITO!$J$1247*EFEITO!$Y$1247</f>
        <v>0</v>
      </c>
      <c r="K1247" s="60">
        <f ca="1">EFEITO!$L$1247*EFEITO!$Z$1247</f>
        <v>51.474350327548905</v>
      </c>
      <c r="L1247" s="60">
        <f>EFEITO!$N$1247*EFEITO!$AA$1247</f>
        <v>17.182212595274422</v>
      </c>
      <c r="M1247" s="60">
        <f>$J$1247-EFEITO!$K$1247*EFEITO!$Y$1247</f>
        <v>0</v>
      </c>
      <c r="N1247" s="60">
        <f ca="1">$K$1247-EFEITO!$M$1247*EFEITO!$Z$1247</f>
        <v>0</v>
      </c>
      <c r="O1247" s="60">
        <f>$L$1247-EFEITO!$O$1247*EFEITO!$AA$1247</f>
        <v>0</v>
      </c>
      <c r="P1247" s="18"/>
      <c r="Q1247" s="18"/>
      <c r="R1247" s="18"/>
      <c r="S1247" s="18"/>
      <c r="T1247" s="18"/>
      <c r="U1247" s="18"/>
      <c r="V1247" s="18"/>
      <c r="W1247" s="18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</row>
    <row r="1248" spans="1:36" ht="11.25" customHeight="1" x14ac:dyDescent="0.2">
      <c r="A1248" s="51" t="s">
        <v>56</v>
      </c>
      <c r="B1248" s="51" t="s">
        <v>22</v>
      </c>
      <c r="C1248" s="51" t="s">
        <v>33</v>
      </c>
      <c r="D1248" s="51" t="s">
        <v>24</v>
      </c>
      <c r="E1248" s="51" t="s">
        <v>24</v>
      </c>
      <c r="F1248" s="51" t="s">
        <v>25</v>
      </c>
      <c r="G1248" s="51" t="s">
        <v>25</v>
      </c>
      <c r="H1248" s="51" t="s">
        <v>36</v>
      </c>
      <c r="I1248" s="59">
        <v>44621</v>
      </c>
      <c r="J1248" s="60">
        <f>EFEITO!$J$1248*EFEITO!$Y$1248</f>
        <v>0</v>
      </c>
      <c r="K1248" s="60">
        <f ca="1">EFEITO!$L$1248*EFEITO!$Z$1248</f>
        <v>-64.17581339538566</v>
      </c>
      <c r="L1248" s="60">
        <f>EFEITO!$N$1248*EFEITO!$AA$1248</f>
        <v>-21.421979339562917</v>
      </c>
      <c r="M1248" s="60">
        <f>$J$1248-EFEITO!$K$1248*EFEITO!$Y$1248</f>
        <v>0</v>
      </c>
      <c r="N1248" s="60">
        <f ca="1">$K$1248-EFEITO!$M$1248*EFEITO!$Z$1248</f>
        <v>0</v>
      </c>
      <c r="O1248" s="60">
        <f>$L$1248-EFEITO!$O$1248*EFEITO!$AA$1248</f>
        <v>0</v>
      </c>
      <c r="P1248" s="18"/>
      <c r="Q1248" s="18"/>
      <c r="R1248" s="18"/>
      <c r="S1248" s="18"/>
      <c r="T1248" s="18"/>
      <c r="U1248" s="18"/>
      <c r="V1248" s="18"/>
      <c r="W1248" s="18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</row>
    <row r="1249" spans="1:36" ht="11.25" customHeight="1" x14ac:dyDescent="0.2">
      <c r="A1249" s="51" t="s">
        <v>21</v>
      </c>
      <c r="B1249" s="51" t="s">
        <v>22</v>
      </c>
      <c r="C1249" s="51" t="s">
        <v>33</v>
      </c>
      <c r="D1249" s="51" t="s">
        <v>24</v>
      </c>
      <c r="E1249" s="51" t="s">
        <v>24</v>
      </c>
      <c r="F1249" s="51" t="s">
        <v>25</v>
      </c>
      <c r="G1249" s="51" t="s">
        <v>25</v>
      </c>
      <c r="H1249" s="51" t="s">
        <v>34</v>
      </c>
      <c r="I1249" s="59">
        <v>44287</v>
      </c>
      <c r="J1249" s="60">
        <f>EFEITO!$J$1249*EFEITO!$Y$1249</f>
        <v>0</v>
      </c>
      <c r="K1249" s="60">
        <f ca="1">EFEITO!$L$1249*EFEITO!$Z$1249</f>
        <v>9640.5228845508609</v>
      </c>
      <c r="L1249" s="60">
        <f>EFEITO!$N$1249*EFEITO!$AA$1249</f>
        <v>3305.2913267111826</v>
      </c>
      <c r="M1249" s="60">
        <f>$J$1249-EFEITO!$K$1249*EFEITO!$Y$1249</f>
        <v>0</v>
      </c>
      <c r="N1249" s="60">
        <f ca="1">$K$1249-EFEITO!$M$1249*EFEITO!$Z$1249</f>
        <v>0</v>
      </c>
      <c r="O1249" s="60">
        <f>$L$1249-EFEITO!$O$1249*EFEITO!$AA$1249</f>
        <v>0</v>
      </c>
      <c r="P1249" s="18"/>
      <c r="Q1249" s="18"/>
      <c r="R1249" s="18"/>
      <c r="S1249" s="18"/>
      <c r="T1249" s="18"/>
      <c r="U1249" s="18"/>
      <c r="V1249" s="18"/>
      <c r="W1249" s="18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</row>
    <row r="1250" spans="1:36" ht="11.25" customHeight="1" x14ac:dyDescent="0.2">
      <c r="A1250" s="51" t="s">
        <v>28</v>
      </c>
      <c r="B1250" s="51" t="s">
        <v>22</v>
      </c>
      <c r="C1250" s="51" t="s">
        <v>33</v>
      </c>
      <c r="D1250" s="51" t="s">
        <v>24</v>
      </c>
      <c r="E1250" s="51" t="s">
        <v>24</v>
      </c>
      <c r="F1250" s="51" t="s">
        <v>25</v>
      </c>
      <c r="G1250" s="51" t="s">
        <v>25</v>
      </c>
      <c r="H1250" s="51" t="s">
        <v>34</v>
      </c>
      <c r="I1250" s="59">
        <v>44287</v>
      </c>
      <c r="J1250" s="60">
        <f>EFEITO!$J$1250*EFEITO!$Y$1250</f>
        <v>0</v>
      </c>
      <c r="K1250" s="60">
        <f ca="1">EFEITO!$L$1250*EFEITO!$Z$1250</f>
        <v>192.97918265946265</v>
      </c>
      <c r="L1250" s="60">
        <f>EFEITO!$N$1250*EFEITO!$AA$1250</f>
        <v>66.16367455569312</v>
      </c>
      <c r="M1250" s="60">
        <f>$J$1250-EFEITO!$K$1250*EFEITO!$Y$1250</f>
        <v>0</v>
      </c>
      <c r="N1250" s="60">
        <f ca="1">$K$1250-EFEITO!$M$1250*EFEITO!$Z$1250</f>
        <v>0</v>
      </c>
      <c r="O1250" s="60">
        <f>$L$1250-EFEITO!$O$1250*EFEITO!$AA$1250</f>
        <v>0</v>
      </c>
      <c r="P1250" s="18"/>
      <c r="Q1250" s="18"/>
      <c r="R1250" s="18"/>
      <c r="S1250" s="18"/>
      <c r="T1250" s="18"/>
      <c r="U1250" s="18"/>
      <c r="V1250" s="18"/>
      <c r="W1250" s="18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</row>
    <row r="1251" spans="1:36" ht="11.25" customHeight="1" x14ac:dyDescent="0.2">
      <c r="A1251" s="51" t="s">
        <v>21</v>
      </c>
      <c r="B1251" s="51" t="s">
        <v>22</v>
      </c>
      <c r="C1251" s="51" t="s">
        <v>33</v>
      </c>
      <c r="D1251" s="51" t="s">
        <v>24</v>
      </c>
      <c r="E1251" s="51" t="s">
        <v>24</v>
      </c>
      <c r="F1251" s="51" t="s">
        <v>25</v>
      </c>
      <c r="G1251" s="51" t="s">
        <v>25</v>
      </c>
      <c r="H1251" s="51" t="s">
        <v>34</v>
      </c>
      <c r="I1251" s="59">
        <v>44317</v>
      </c>
      <c r="J1251" s="60">
        <f>EFEITO!$J$1251*EFEITO!$Y$1251</f>
        <v>0</v>
      </c>
      <c r="K1251" s="60">
        <f ca="1">EFEITO!$L$1251*EFEITO!$Z$1251</f>
        <v>9274.6006092348307</v>
      </c>
      <c r="L1251" s="60">
        <f>EFEITO!$N$1251*EFEITO!$AA$1251</f>
        <v>3179.8334301492951</v>
      </c>
      <c r="M1251" s="60">
        <f>$J$1251-EFEITO!$K$1251*EFEITO!$Y$1251</f>
        <v>0</v>
      </c>
      <c r="N1251" s="60">
        <f ca="1">$K$1251-EFEITO!$M$1251*EFEITO!$Z$1251</f>
        <v>0</v>
      </c>
      <c r="O1251" s="60">
        <f>$L$1251-EFEITO!$O$1251*EFEITO!$AA$1251</f>
        <v>0</v>
      </c>
      <c r="P1251" s="18"/>
      <c r="Q1251" s="18"/>
      <c r="R1251" s="18"/>
      <c r="S1251" s="18"/>
      <c r="T1251" s="18"/>
      <c r="U1251" s="18"/>
      <c r="V1251" s="18"/>
      <c r="W1251" s="18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</row>
    <row r="1252" spans="1:36" ht="11.25" customHeight="1" x14ac:dyDescent="0.2">
      <c r="A1252" s="51" t="s">
        <v>28</v>
      </c>
      <c r="B1252" s="51" t="s">
        <v>22</v>
      </c>
      <c r="C1252" s="51" t="s">
        <v>33</v>
      </c>
      <c r="D1252" s="51" t="s">
        <v>24</v>
      </c>
      <c r="E1252" s="51" t="s">
        <v>24</v>
      </c>
      <c r="F1252" s="51" t="s">
        <v>25</v>
      </c>
      <c r="G1252" s="51" t="s">
        <v>25</v>
      </c>
      <c r="H1252" s="51" t="s">
        <v>34</v>
      </c>
      <c r="I1252" s="59">
        <v>44317</v>
      </c>
      <c r="J1252" s="60">
        <f>EFEITO!$J$1252*EFEITO!$Y$1252</f>
        <v>0</v>
      </c>
      <c r="K1252" s="60">
        <f ca="1">EFEITO!$L$1252*EFEITO!$Z$1252</f>
        <v>63.27186316703694</v>
      </c>
      <c r="L1252" s="60">
        <f>EFEITO!$N$1252*EFEITO!$AA$1252</f>
        <v>21.693008051046924</v>
      </c>
      <c r="M1252" s="60">
        <f>$J$1252-EFEITO!$K$1252*EFEITO!$Y$1252</f>
        <v>0</v>
      </c>
      <c r="N1252" s="60">
        <f ca="1">$K$1252-EFEITO!$M$1252*EFEITO!$Z$1252</f>
        <v>0</v>
      </c>
      <c r="O1252" s="60">
        <f>$L$1252-EFEITO!$O$1252*EFEITO!$AA$1252</f>
        <v>0</v>
      </c>
      <c r="P1252" s="18"/>
      <c r="Q1252" s="18"/>
      <c r="R1252" s="18"/>
      <c r="S1252" s="18"/>
      <c r="T1252" s="18"/>
      <c r="U1252" s="18"/>
      <c r="V1252" s="18"/>
      <c r="W1252" s="18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</row>
    <row r="1253" spans="1:36" ht="11.25" customHeight="1" x14ac:dyDescent="0.2">
      <c r="A1253" s="51" t="s">
        <v>21</v>
      </c>
      <c r="B1253" s="51" t="s">
        <v>22</v>
      </c>
      <c r="C1253" s="51" t="s">
        <v>33</v>
      </c>
      <c r="D1253" s="51" t="s">
        <v>24</v>
      </c>
      <c r="E1253" s="51" t="s">
        <v>24</v>
      </c>
      <c r="F1253" s="51" t="s">
        <v>25</v>
      </c>
      <c r="G1253" s="51" t="s">
        <v>25</v>
      </c>
      <c r="H1253" s="51" t="s">
        <v>34</v>
      </c>
      <c r="I1253" s="59">
        <v>44348</v>
      </c>
      <c r="J1253" s="60">
        <f>EFEITO!$J$1253*EFEITO!$Y$1253</f>
        <v>0</v>
      </c>
      <c r="K1253" s="60">
        <f ca="1">EFEITO!$L$1253*EFEITO!$Z$1253</f>
        <v>9670.0497540288125</v>
      </c>
      <c r="L1253" s="60">
        <f>EFEITO!$N$1253*EFEITO!$AA$1253</f>
        <v>3315.4147304683383</v>
      </c>
      <c r="M1253" s="60">
        <f>$J$1253-EFEITO!$K$1253*EFEITO!$Y$1253</f>
        <v>0</v>
      </c>
      <c r="N1253" s="60">
        <f ca="1">$K$1253-EFEITO!$M$1253*EFEITO!$Z$1253</f>
        <v>0</v>
      </c>
      <c r="O1253" s="60">
        <f>$L$1253-EFEITO!$O$1253*EFEITO!$AA$1253</f>
        <v>0</v>
      </c>
      <c r="P1253" s="18"/>
      <c r="Q1253" s="18"/>
      <c r="R1253" s="18"/>
      <c r="S1253" s="18"/>
      <c r="T1253" s="18"/>
      <c r="U1253" s="18"/>
      <c r="V1253" s="18"/>
      <c r="W1253" s="18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</row>
    <row r="1254" spans="1:36" ht="11.25" customHeight="1" x14ac:dyDescent="0.2">
      <c r="A1254" s="51" t="s">
        <v>28</v>
      </c>
      <c r="B1254" s="51" t="s">
        <v>22</v>
      </c>
      <c r="C1254" s="51" t="s">
        <v>33</v>
      </c>
      <c r="D1254" s="51" t="s">
        <v>24</v>
      </c>
      <c r="E1254" s="51" t="s">
        <v>24</v>
      </c>
      <c r="F1254" s="51" t="s">
        <v>25</v>
      </c>
      <c r="G1254" s="51" t="s">
        <v>25</v>
      </c>
      <c r="H1254" s="51" t="s">
        <v>34</v>
      </c>
      <c r="I1254" s="59">
        <v>44348</v>
      </c>
      <c r="J1254" s="60">
        <f>EFEITO!$J$1254*EFEITO!$Y$1254</f>
        <v>0</v>
      </c>
      <c r="K1254" s="60">
        <f ca="1">EFEITO!$L$1254*EFEITO!$Z$1254</f>
        <v>105.4531052783949</v>
      </c>
      <c r="L1254" s="60">
        <f>EFEITO!$N$1254*EFEITO!$AA$1254</f>
        <v>36.155013418411542</v>
      </c>
      <c r="M1254" s="60">
        <f>$J$1254-EFEITO!$K$1254*EFEITO!$Y$1254</f>
        <v>0</v>
      </c>
      <c r="N1254" s="60">
        <f ca="1">$K$1254-EFEITO!$M$1254*EFEITO!$Z$1254</f>
        <v>0</v>
      </c>
      <c r="O1254" s="60">
        <f>$L$1254-EFEITO!$O$1254*EFEITO!$AA$1254</f>
        <v>0</v>
      </c>
      <c r="P1254" s="18"/>
      <c r="Q1254" s="18"/>
      <c r="R1254" s="18"/>
      <c r="S1254" s="18"/>
      <c r="T1254" s="18"/>
      <c r="U1254" s="18"/>
      <c r="V1254" s="18"/>
      <c r="W1254" s="18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</row>
    <row r="1255" spans="1:36" ht="11.25" customHeight="1" x14ac:dyDescent="0.2">
      <c r="A1255" s="51" t="s">
        <v>21</v>
      </c>
      <c r="B1255" s="51" t="s">
        <v>22</v>
      </c>
      <c r="C1255" s="51" t="s">
        <v>33</v>
      </c>
      <c r="D1255" s="51" t="s">
        <v>24</v>
      </c>
      <c r="E1255" s="51" t="s">
        <v>24</v>
      </c>
      <c r="F1255" s="51" t="s">
        <v>25</v>
      </c>
      <c r="G1255" s="51" t="s">
        <v>25</v>
      </c>
      <c r="H1255" s="51" t="s">
        <v>34</v>
      </c>
      <c r="I1255" s="59">
        <v>44378</v>
      </c>
      <c r="J1255" s="60">
        <f>EFEITO!$J$1255*EFEITO!$Y$1255</f>
        <v>0</v>
      </c>
      <c r="K1255" s="60">
        <f ca="1">EFEITO!$L$1255*EFEITO!$Z$1255</f>
        <v>9362.1266866158985</v>
      </c>
      <c r="L1255" s="60">
        <f>EFEITO!$N$1255*EFEITO!$AA$1255</f>
        <v>3209.8420912865763</v>
      </c>
      <c r="M1255" s="60">
        <f>$J$1255-EFEITO!$K$1255*EFEITO!$Y$1255</f>
        <v>0</v>
      </c>
      <c r="N1255" s="60">
        <f ca="1">$K$1255-EFEITO!$M$1255*EFEITO!$Z$1255</f>
        <v>0</v>
      </c>
      <c r="O1255" s="60">
        <f>$L$1255-EFEITO!$O$1255*EFEITO!$AA$1255</f>
        <v>0</v>
      </c>
      <c r="P1255" s="18"/>
      <c r="Q1255" s="18"/>
      <c r="R1255" s="18"/>
      <c r="S1255" s="18"/>
      <c r="T1255" s="18"/>
      <c r="U1255" s="18"/>
      <c r="V1255" s="18"/>
      <c r="W1255" s="18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</row>
    <row r="1256" spans="1:36" ht="11.25" customHeight="1" x14ac:dyDescent="0.2">
      <c r="A1256" s="51" t="s">
        <v>28</v>
      </c>
      <c r="B1256" s="51" t="s">
        <v>22</v>
      </c>
      <c r="C1256" s="51" t="s">
        <v>33</v>
      </c>
      <c r="D1256" s="51" t="s">
        <v>24</v>
      </c>
      <c r="E1256" s="51" t="s">
        <v>24</v>
      </c>
      <c r="F1256" s="51" t="s">
        <v>25</v>
      </c>
      <c r="G1256" s="51" t="s">
        <v>25</v>
      </c>
      <c r="H1256" s="51" t="s">
        <v>34</v>
      </c>
      <c r="I1256" s="59">
        <v>44378</v>
      </c>
      <c r="J1256" s="60">
        <f>EFEITO!$J$1256*EFEITO!$Y$1256</f>
        <v>0</v>
      </c>
      <c r="K1256" s="60">
        <f ca="1">EFEITO!$L$1256*EFEITO!$Z$1256</f>
        <v>64.326394219820884</v>
      </c>
      <c r="L1256" s="60">
        <f>EFEITO!$N$1256*EFEITO!$AA$1256</f>
        <v>22.054558185231038</v>
      </c>
      <c r="M1256" s="60">
        <f>$J$1256-EFEITO!$K$1256*EFEITO!$Y$1256</f>
        <v>0</v>
      </c>
      <c r="N1256" s="60">
        <f ca="1">$K$1256-EFEITO!$M$1256*EFEITO!$Z$1256</f>
        <v>0</v>
      </c>
      <c r="O1256" s="60">
        <f>$L$1256-EFEITO!$O$1256*EFEITO!$AA$1256</f>
        <v>0</v>
      </c>
      <c r="P1256" s="18"/>
      <c r="Q1256" s="18"/>
      <c r="R1256" s="18"/>
      <c r="S1256" s="18"/>
      <c r="T1256" s="18"/>
      <c r="U1256" s="18"/>
      <c r="V1256" s="18"/>
      <c r="W1256" s="18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</row>
    <row r="1257" spans="1:36" ht="11.25" customHeight="1" x14ac:dyDescent="0.2">
      <c r="A1257" s="51" t="s">
        <v>21</v>
      </c>
      <c r="B1257" s="51" t="s">
        <v>22</v>
      </c>
      <c r="C1257" s="51" t="s">
        <v>33</v>
      </c>
      <c r="D1257" s="51" t="s">
        <v>24</v>
      </c>
      <c r="E1257" s="51" t="s">
        <v>24</v>
      </c>
      <c r="F1257" s="51" t="s">
        <v>25</v>
      </c>
      <c r="G1257" s="51" t="s">
        <v>25</v>
      </c>
      <c r="H1257" s="51" t="s">
        <v>34</v>
      </c>
      <c r="I1257" s="59">
        <v>44409</v>
      </c>
      <c r="J1257" s="60">
        <f>EFEITO!$J$1257*EFEITO!$Y$1257</f>
        <v>0</v>
      </c>
      <c r="K1257" s="60">
        <f ca="1">EFEITO!$L$1257*EFEITO!$Z$1257</f>
        <v>9052.0945570974181</v>
      </c>
      <c r="L1257" s="60">
        <f>EFEITO!$N$1257*EFEITO!$AA$1257</f>
        <v>3103.5463518364463</v>
      </c>
      <c r="M1257" s="60">
        <f>$J$1257-EFEITO!$K$1257*EFEITO!$Y$1257</f>
        <v>0</v>
      </c>
      <c r="N1257" s="60">
        <f ca="1">$K$1257-EFEITO!$M$1257*EFEITO!$Z$1257</f>
        <v>0</v>
      </c>
      <c r="O1257" s="60">
        <f>$L$1257-EFEITO!$O$1257*EFEITO!$AA$1257</f>
        <v>0</v>
      </c>
      <c r="P1257" s="18"/>
      <c r="Q1257" s="18"/>
      <c r="R1257" s="18"/>
      <c r="S1257" s="18"/>
      <c r="T1257" s="18"/>
      <c r="U1257" s="18"/>
      <c r="V1257" s="18"/>
      <c r="W1257" s="18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</row>
    <row r="1258" spans="1:36" ht="11.25" customHeight="1" x14ac:dyDescent="0.2">
      <c r="A1258" s="51" t="s">
        <v>28</v>
      </c>
      <c r="B1258" s="51" t="s">
        <v>22</v>
      </c>
      <c r="C1258" s="51" t="s">
        <v>33</v>
      </c>
      <c r="D1258" s="51" t="s">
        <v>24</v>
      </c>
      <c r="E1258" s="51" t="s">
        <v>24</v>
      </c>
      <c r="F1258" s="51" t="s">
        <v>25</v>
      </c>
      <c r="G1258" s="51" t="s">
        <v>25</v>
      </c>
      <c r="H1258" s="51" t="s">
        <v>34</v>
      </c>
      <c r="I1258" s="59">
        <v>44409</v>
      </c>
      <c r="J1258" s="60">
        <f>EFEITO!$J$1258*EFEITO!$Y$1258</f>
        <v>0</v>
      </c>
      <c r="K1258" s="60">
        <f ca="1">EFEITO!$L$1258*EFEITO!$Z$1258</f>
        <v>65.380925272604841</v>
      </c>
      <c r="L1258" s="60">
        <f>EFEITO!$N$1258*EFEITO!$AA$1258</f>
        <v>22.416108319415155</v>
      </c>
      <c r="M1258" s="60">
        <f>$J$1258-EFEITO!$K$1258*EFEITO!$Y$1258</f>
        <v>0</v>
      </c>
      <c r="N1258" s="60">
        <f ca="1">$K$1258-EFEITO!$M$1258*EFEITO!$Z$1258</f>
        <v>0</v>
      </c>
      <c r="O1258" s="60">
        <f>$L$1258-EFEITO!$O$1258*EFEITO!$AA$1258</f>
        <v>0</v>
      </c>
      <c r="P1258" s="18"/>
      <c r="Q1258" s="18"/>
      <c r="R1258" s="18"/>
      <c r="S1258" s="18"/>
      <c r="T1258" s="18"/>
      <c r="U1258" s="18"/>
      <c r="V1258" s="18"/>
      <c r="W1258" s="18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</row>
    <row r="1259" spans="1:36" ht="11.25" customHeight="1" x14ac:dyDescent="0.2">
      <c r="A1259" s="51" t="s">
        <v>21</v>
      </c>
      <c r="B1259" s="51" t="s">
        <v>22</v>
      </c>
      <c r="C1259" s="51" t="s">
        <v>33</v>
      </c>
      <c r="D1259" s="51" t="s">
        <v>24</v>
      </c>
      <c r="E1259" s="51" t="s">
        <v>24</v>
      </c>
      <c r="F1259" s="51" t="s">
        <v>25</v>
      </c>
      <c r="G1259" s="51" t="s">
        <v>25</v>
      </c>
      <c r="H1259" s="51" t="s">
        <v>34</v>
      </c>
      <c r="I1259" s="59">
        <v>44440</v>
      </c>
      <c r="J1259" s="60">
        <f>EFEITO!$J$1259*EFEITO!$Y$1259</f>
        <v>0</v>
      </c>
      <c r="K1259" s="60">
        <f ca="1">EFEITO!$L$1259*EFEITO!$Z$1259</f>
        <v>9107.984702894968</v>
      </c>
      <c r="L1259" s="60">
        <f>EFEITO!$N$1259*EFEITO!$AA$1259</f>
        <v>3122.7085089482048</v>
      </c>
      <c r="M1259" s="60">
        <f>$J$1259-EFEITO!$K$1259*EFEITO!$Y$1259</f>
        <v>0</v>
      </c>
      <c r="N1259" s="60">
        <f ca="1">$K$1259-EFEITO!$M$1259*EFEITO!$Z$1259</f>
        <v>0</v>
      </c>
      <c r="O1259" s="60">
        <f>$L$1259-EFEITO!$O$1259*EFEITO!$AA$1259</f>
        <v>0</v>
      </c>
      <c r="P1259" s="18"/>
      <c r="Q1259" s="18"/>
      <c r="R1259" s="18"/>
      <c r="S1259" s="18"/>
      <c r="T1259" s="18"/>
      <c r="U1259" s="18"/>
      <c r="V1259" s="18"/>
      <c r="W1259" s="18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</row>
    <row r="1260" spans="1:36" ht="11.25" customHeight="1" x14ac:dyDescent="0.2">
      <c r="A1260" s="51" t="s">
        <v>27</v>
      </c>
      <c r="B1260" s="51" t="s">
        <v>22</v>
      </c>
      <c r="C1260" s="51" t="s">
        <v>33</v>
      </c>
      <c r="D1260" s="51" t="s">
        <v>24</v>
      </c>
      <c r="E1260" s="51" t="s">
        <v>24</v>
      </c>
      <c r="F1260" s="51" t="s">
        <v>25</v>
      </c>
      <c r="G1260" s="51" t="s">
        <v>25</v>
      </c>
      <c r="H1260" s="51" t="s">
        <v>34</v>
      </c>
      <c r="I1260" s="59">
        <v>44440</v>
      </c>
      <c r="J1260" s="60">
        <f>EFEITO!$J$1260*EFEITO!$Y$1260</f>
        <v>0</v>
      </c>
      <c r="K1260" s="60">
        <f ca="1">EFEITO!$L$1260*EFEITO!$Z$1260</f>
        <v>-30.581400530734523</v>
      </c>
      <c r="L1260" s="60">
        <f>EFEITO!$N$1260*EFEITO!$AA$1260</f>
        <v>-10.484953891339346</v>
      </c>
      <c r="M1260" s="60">
        <f>$J$1260-EFEITO!$K$1260*EFEITO!$Y$1260</f>
        <v>0</v>
      </c>
      <c r="N1260" s="60">
        <f ca="1">$K$1260-EFEITO!$M$1260*EFEITO!$Z$1260</f>
        <v>0</v>
      </c>
      <c r="O1260" s="60">
        <f>$L$1260-EFEITO!$O$1260*EFEITO!$AA$1260</f>
        <v>0</v>
      </c>
      <c r="P1260" s="18"/>
      <c r="Q1260" s="18"/>
      <c r="R1260" s="18"/>
      <c r="S1260" s="18"/>
      <c r="T1260" s="18"/>
      <c r="U1260" s="18"/>
      <c r="V1260" s="18"/>
      <c r="W1260" s="18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</row>
    <row r="1261" spans="1:36" ht="11.25" customHeight="1" x14ac:dyDescent="0.2">
      <c r="A1261" s="51" t="s">
        <v>28</v>
      </c>
      <c r="B1261" s="51" t="s">
        <v>22</v>
      </c>
      <c r="C1261" s="51" t="s">
        <v>33</v>
      </c>
      <c r="D1261" s="51" t="s">
        <v>24</v>
      </c>
      <c r="E1261" s="51" t="s">
        <v>24</v>
      </c>
      <c r="F1261" s="51" t="s">
        <v>25</v>
      </c>
      <c r="G1261" s="51" t="s">
        <v>25</v>
      </c>
      <c r="H1261" s="51" t="s">
        <v>34</v>
      </c>
      <c r="I1261" s="59">
        <v>44440</v>
      </c>
      <c r="J1261" s="60">
        <f>EFEITO!$J$1261*EFEITO!$Y$1261</f>
        <v>0</v>
      </c>
      <c r="K1261" s="60">
        <f ca="1">EFEITO!$L$1261*EFEITO!$Z$1261</f>
        <v>69.599049483740643</v>
      </c>
      <c r="L1261" s="60">
        <f>EFEITO!$N$1261*EFEITO!$AA$1261</f>
        <v>23.862308856151618</v>
      </c>
      <c r="M1261" s="60">
        <f>$J$1261-EFEITO!$K$1261*EFEITO!$Y$1261</f>
        <v>0</v>
      </c>
      <c r="N1261" s="60">
        <f ca="1">$K$1261-EFEITO!$M$1261*EFEITO!$Z$1261</f>
        <v>0</v>
      </c>
      <c r="O1261" s="60">
        <f>$L$1261-EFEITO!$O$1261*EFEITO!$AA$1261</f>
        <v>0</v>
      </c>
      <c r="P1261" s="18"/>
      <c r="Q1261" s="18"/>
      <c r="R1261" s="18"/>
      <c r="S1261" s="18"/>
      <c r="T1261" s="18"/>
      <c r="U1261" s="18"/>
      <c r="V1261" s="18"/>
      <c r="W1261" s="18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</row>
    <row r="1262" spans="1:36" ht="11.25" customHeight="1" x14ac:dyDescent="0.2">
      <c r="A1262" s="51" t="s">
        <v>21</v>
      </c>
      <c r="B1262" s="51" t="s">
        <v>22</v>
      </c>
      <c r="C1262" s="51" t="s">
        <v>33</v>
      </c>
      <c r="D1262" s="51" t="s">
        <v>24</v>
      </c>
      <c r="E1262" s="51" t="s">
        <v>24</v>
      </c>
      <c r="F1262" s="51" t="s">
        <v>25</v>
      </c>
      <c r="G1262" s="51" t="s">
        <v>25</v>
      </c>
      <c r="H1262" s="51" t="s">
        <v>34</v>
      </c>
      <c r="I1262" s="59">
        <v>44470</v>
      </c>
      <c r="J1262" s="60">
        <f>EFEITO!$J$1262*EFEITO!$Y$1262</f>
        <v>0</v>
      </c>
      <c r="K1262" s="60">
        <f ca="1">EFEITO!$L$1262*EFEITO!$Z$1262</f>
        <v>8792.6799181125662</v>
      </c>
      <c r="L1262" s="60">
        <f>EFEITO!$N$1262*EFEITO!$AA$1262</f>
        <v>3014.6050188271538</v>
      </c>
      <c r="M1262" s="60">
        <f>$J$1262-EFEITO!$K$1262*EFEITO!$Y$1262</f>
        <v>0</v>
      </c>
      <c r="N1262" s="60">
        <f ca="1">$K$1262-EFEITO!$M$1262*EFEITO!$Z$1262</f>
        <v>0</v>
      </c>
      <c r="O1262" s="60">
        <f>$L$1262-EFEITO!$O$1262*EFEITO!$AA$1262</f>
        <v>0</v>
      </c>
      <c r="P1262" s="18"/>
      <c r="Q1262" s="18"/>
      <c r="R1262" s="18"/>
      <c r="S1262" s="18"/>
      <c r="T1262" s="18"/>
      <c r="U1262" s="18"/>
      <c r="V1262" s="18"/>
      <c r="W1262" s="18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</row>
    <row r="1263" spans="1:36" ht="11.25" customHeight="1" x14ac:dyDescent="0.2">
      <c r="A1263" s="51" t="s">
        <v>28</v>
      </c>
      <c r="B1263" s="51" t="s">
        <v>22</v>
      </c>
      <c r="C1263" s="51" t="s">
        <v>33</v>
      </c>
      <c r="D1263" s="51" t="s">
        <v>24</v>
      </c>
      <c r="E1263" s="51" t="s">
        <v>24</v>
      </c>
      <c r="F1263" s="51" t="s">
        <v>25</v>
      </c>
      <c r="G1263" s="51" t="s">
        <v>25</v>
      </c>
      <c r="H1263" s="51" t="s">
        <v>34</v>
      </c>
      <c r="I1263" s="59">
        <v>44470</v>
      </c>
      <c r="J1263" s="60">
        <f>EFEITO!$J$1263*EFEITO!$Y$1263</f>
        <v>0</v>
      </c>
      <c r="K1263" s="60">
        <f ca="1">EFEITO!$L$1263*EFEITO!$Z$1263</f>
        <v>127.59825738685782</v>
      </c>
      <c r="L1263" s="60">
        <f>EFEITO!$N$1263*EFEITO!$AA$1263</f>
        <v>43.747566236277962</v>
      </c>
      <c r="M1263" s="60">
        <f>$J$1263-EFEITO!$K$1263*EFEITO!$Y$1263</f>
        <v>0</v>
      </c>
      <c r="N1263" s="60">
        <f ca="1">$K$1263-EFEITO!$M$1263*EFEITO!$Z$1263</f>
        <v>0</v>
      </c>
      <c r="O1263" s="60">
        <f>$L$1263-EFEITO!$O$1263*EFEITO!$AA$1263</f>
        <v>0</v>
      </c>
      <c r="P1263" s="18"/>
      <c r="Q1263" s="18"/>
      <c r="R1263" s="18"/>
      <c r="S1263" s="18"/>
      <c r="T1263" s="18"/>
      <c r="U1263" s="18"/>
      <c r="V1263" s="18"/>
      <c r="W1263" s="18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</row>
    <row r="1264" spans="1:36" ht="11.25" customHeight="1" x14ac:dyDescent="0.2">
      <c r="A1264" s="51" t="s">
        <v>21</v>
      </c>
      <c r="B1264" s="51" t="s">
        <v>22</v>
      </c>
      <c r="C1264" s="51" t="s">
        <v>33</v>
      </c>
      <c r="D1264" s="51" t="s">
        <v>24</v>
      </c>
      <c r="E1264" s="51" t="s">
        <v>24</v>
      </c>
      <c r="F1264" s="51" t="s">
        <v>25</v>
      </c>
      <c r="G1264" s="51" t="s">
        <v>25</v>
      </c>
      <c r="H1264" s="51" t="s">
        <v>34</v>
      </c>
      <c r="I1264" s="59">
        <v>44501</v>
      </c>
      <c r="J1264" s="60">
        <f>EFEITO!$J$1264*EFEITO!$Y$1264</f>
        <v>0</v>
      </c>
      <c r="K1264" s="60">
        <f ca="1">EFEITO!$L$1264*EFEITO!$Z$1264</f>
        <v>8222.1786185564506</v>
      </c>
      <c r="L1264" s="60">
        <f>EFEITO!$N$1264*EFEITO!$AA$1264</f>
        <v>2819.0063962335475</v>
      </c>
      <c r="M1264" s="60">
        <f>$J$1264-EFEITO!$K$1264*EFEITO!$Y$1264</f>
        <v>0</v>
      </c>
      <c r="N1264" s="60">
        <f ca="1">$K$1264-EFEITO!$M$1264*EFEITO!$Z$1264</f>
        <v>0</v>
      </c>
      <c r="O1264" s="60">
        <f>$L$1264-EFEITO!$O$1264*EFEITO!$AA$1264</f>
        <v>0</v>
      </c>
      <c r="P1264" s="18"/>
      <c r="Q1264" s="18"/>
      <c r="R1264" s="18"/>
      <c r="S1264" s="18"/>
      <c r="T1264" s="18"/>
      <c r="U1264" s="18"/>
      <c r="V1264" s="18"/>
      <c r="W1264" s="18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</row>
    <row r="1265" spans="1:36" ht="11.25" customHeight="1" x14ac:dyDescent="0.2">
      <c r="A1265" s="51" t="s">
        <v>28</v>
      </c>
      <c r="B1265" s="51" t="s">
        <v>22</v>
      </c>
      <c r="C1265" s="51" t="s">
        <v>33</v>
      </c>
      <c r="D1265" s="51" t="s">
        <v>24</v>
      </c>
      <c r="E1265" s="51" t="s">
        <v>24</v>
      </c>
      <c r="F1265" s="51" t="s">
        <v>25</v>
      </c>
      <c r="G1265" s="51" t="s">
        <v>25</v>
      </c>
      <c r="H1265" s="51" t="s">
        <v>34</v>
      </c>
      <c r="I1265" s="59">
        <v>44501</v>
      </c>
      <c r="J1265" s="60">
        <f>EFEITO!$J$1265*EFEITO!$Y$1265</f>
        <v>0</v>
      </c>
      <c r="K1265" s="60">
        <f ca="1">EFEITO!$L$1265*EFEITO!$Z$1265</f>
        <v>240.43308003474039</v>
      </c>
      <c r="L1265" s="60">
        <f>EFEITO!$N$1265*EFEITO!$AA$1265</f>
        <v>82.433430593978315</v>
      </c>
      <c r="M1265" s="60">
        <f>$J$1265-EFEITO!$K$1265*EFEITO!$Y$1265</f>
        <v>0</v>
      </c>
      <c r="N1265" s="60">
        <f ca="1">$K$1265-EFEITO!$M$1265*EFEITO!$Z$1265</f>
        <v>0</v>
      </c>
      <c r="O1265" s="60">
        <f>$L$1265-EFEITO!$O$1265*EFEITO!$AA$1265</f>
        <v>0</v>
      </c>
      <c r="P1265" s="18"/>
      <c r="Q1265" s="18"/>
      <c r="R1265" s="18"/>
      <c r="S1265" s="18"/>
      <c r="T1265" s="18"/>
      <c r="U1265" s="18"/>
      <c r="V1265" s="18"/>
      <c r="W1265" s="18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</row>
    <row r="1266" spans="1:36" ht="11.25" customHeight="1" x14ac:dyDescent="0.2">
      <c r="A1266" s="51" t="s">
        <v>21</v>
      </c>
      <c r="B1266" s="51" t="s">
        <v>22</v>
      </c>
      <c r="C1266" s="51" t="s">
        <v>33</v>
      </c>
      <c r="D1266" s="51" t="s">
        <v>24</v>
      </c>
      <c r="E1266" s="51" t="s">
        <v>24</v>
      </c>
      <c r="F1266" s="51" t="s">
        <v>25</v>
      </c>
      <c r="G1266" s="51" t="s">
        <v>25</v>
      </c>
      <c r="H1266" s="51" t="s">
        <v>34</v>
      </c>
      <c r="I1266" s="59">
        <v>44531</v>
      </c>
      <c r="J1266" s="60">
        <f>EFEITO!$J$1266*EFEITO!$Y$1266</f>
        <v>0</v>
      </c>
      <c r="K1266" s="60">
        <f ca="1">EFEITO!$L$1266*EFEITO!$Z$1266</f>
        <v>11213.883215304513</v>
      </c>
      <c r="L1266" s="60">
        <f>EFEITO!$N$1266*EFEITO!$AA$1266</f>
        <v>3844.7241269138831</v>
      </c>
      <c r="M1266" s="60">
        <f>$J$1266-EFEITO!$K$1266*EFEITO!$Y$1266</f>
        <v>0</v>
      </c>
      <c r="N1266" s="60">
        <f ca="1">$K$1266-EFEITO!$M$1266*EFEITO!$Z$1266</f>
        <v>0</v>
      </c>
      <c r="O1266" s="60">
        <f>$L$1266-EFEITO!$O$1266*EFEITO!$AA$1266</f>
        <v>0</v>
      </c>
      <c r="P1266" s="18"/>
      <c r="Q1266" s="18"/>
      <c r="R1266" s="18"/>
      <c r="S1266" s="18"/>
      <c r="T1266" s="18"/>
      <c r="U1266" s="18"/>
      <c r="V1266" s="18"/>
      <c r="W1266" s="18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</row>
    <row r="1267" spans="1:36" ht="11.25" customHeight="1" x14ac:dyDescent="0.2">
      <c r="A1267" s="51" t="s">
        <v>27</v>
      </c>
      <c r="B1267" s="51" t="s">
        <v>22</v>
      </c>
      <c r="C1267" s="51" t="s">
        <v>33</v>
      </c>
      <c r="D1267" s="51" t="s">
        <v>24</v>
      </c>
      <c r="E1267" s="51" t="s">
        <v>24</v>
      </c>
      <c r="F1267" s="51" t="s">
        <v>25</v>
      </c>
      <c r="G1267" s="51" t="s">
        <v>25</v>
      </c>
      <c r="H1267" s="51" t="s">
        <v>34</v>
      </c>
      <c r="I1267" s="59">
        <v>44531</v>
      </c>
      <c r="J1267" s="60">
        <f>EFEITO!$J$1267*EFEITO!$Y$1267</f>
        <v>0</v>
      </c>
      <c r="K1267" s="60">
        <f ca="1">EFEITO!$L$1267*EFEITO!$Z$1267</f>
        <v>2.1090621055678982</v>
      </c>
      <c r="L1267" s="60">
        <f>EFEITO!$N$1267*EFEITO!$AA$1267</f>
        <v>0.72310026836823083</v>
      </c>
      <c r="M1267" s="60">
        <f>$J$1267-EFEITO!$K$1267*EFEITO!$Y$1267</f>
        <v>0</v>
      </c>
      <c r="N1267" s="60">
        <f ca="1">$K$1267-EFEITO!$M$1267*EFEITO!$Z$1267</f>
        <v>0</v>
      </c>
      <c r="O1267" s="60">
        <f>$L$1267-EFEITO!$O$1267*EFEITO!$AA$1267</f>
        <v>0</v>
      </c>
      <c r="P1267" s="18"/>
      <c r="Q1267" s="18"/>
      <c r="R1267" s="18"/>
      <c r="S1267" s="18"/>
      <c r="T1267" s="18"/>
      <c r="U1267" s="18"/>
      <c r="V1267" s="18"/>
      <c r="W1267" s="18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</row>
    <row r="1268" spans="1:36" ht="11.25" customHeight="1" x14ac:dyDescent="0.2">
      <c r="A1268" s="51" t="s">
        <v>28</v>
      </c>
      <c r="B1268" s="51" t="s">
        <v>22</v>
      </c>
      <c r="C1268" s="51" t="s">
        <v>33</v>
      </c>
      <c r="D1268" s="51" t="s">
        <v>24</v>
      </c>
      <c r="E1268" s="51" t="s">
        <v>24</v>
      </c>
      <c r="F1268" s="51" t="s">
        <v>25</v>
      </c>
      <c r="G1268" s="51" t="s">
        <v>25</v>
      </c>
      <c r="H1268" s="51" t="s">
        <v>34</v>
      </c>
      <c r="I1268" s="59">
        <v>44531</v>
      </c>
      <c r="J1268" s="60">
        <f>EFEITO!$J$1268*EFEITO!$Y$1268</f>
        <v>0</v>
      </c>
      <c r="K1268" s="60">
        <f ca="1">EFEITO!$L$1268*EFEITO!$Z$1268</f>
        <v>249.9238595097959</v>
      </c>
      <c r="L1268" s="60">
        <f>EFEITO!$N$1268*EFEITO!$AA$1268</f>
        <v>85.68738180163534</v>
      </c>
      <c r="M1268" s="60">
        <f>$J$1268-EFEITO!$K$1268*EFEITO!$Y$1268</f>
        <v>0</v>
      </c>
      <c r="N1268" s="60">
        <f ca="1">$K$1268-EFEITO!$M$1268*EFEITO!$Z$1268</f>
        <v>0</v>
      </c>
      <c r="O1268" s="60">
        <f>$L$1268-EFEITO!$O$1268*EFEITO!$AA$1268</f>
        <v>0</v>
      </c>
      <c r="P1268" s="18"/>
      <c r="Q1268" s="18"/>
      <c r="R1268" s="18"/>
      <c r="S1268" s="18"/>
      <c r="T1268" s="18"/>
      <c r="U1268" s="18"/>
      <c r="V1268" s="18"/>
      <c r="W1268" s="18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</row>
    <row r="1269" spans="1:36" ht="11.25" customHeight="1" x14ac:dyDescent="0.2">
      <c r="A1269" s="51" t="s">
        <v>21</v>
      </c>
      <c r="B1269" s="51" t="s">
        <v>22</v>
      </c>
      <c r="C1269" s="51" t="s">
        <v>33</v>
      </c>
      <c r="D1269" s="51" t="s">
        <v>24</v>
      </c>
      <c r="E1269" s="51" t="s">
        <v>24</v>
      </c>
      <c r="F1269" s="51" t="s">
        <v>25</v>
      </c>
      <c r="G1269" s="51" t="s">
        <v>25</v>
      </c>
      <c r="H1269" s="51" t="s">
        <v>34</v>
      </c>
      <c r="I1269" s="59">
        <v>44562</v>
      </c>
      <c r="J1269" s="60">
        <f>EFEITO!$J$1269*EFEITO!$Y$1269</f>
        <v>0</v>
      </c>
      <c r="K1269" s="60">
        <f ca="1">EFEITO!$L$1269*EFEITO!$Z$1269</f>
        <v>16152.252135491746</v>
      </c>
      <c r="L1269" s="60">
        <f>EFEITO!$N$1269*EFEITO!$AA$1269</f>
        <v>5537.8634052980951</v>
      </c>
      <c r="M1269" s="60">
        <f>$J$1269-EFEITO!$K$1269*EFEITO!$Y$1269</f>
        <v>0</v>
      </c>
      <c r="N1269" s="60">
        <f ca="1">$K$1269-EFEITO!$M$1269*EFEITO!$Z$1269</f>
        <v>0</v>
      </c>
      <c r="O1269" s="60">
        <f>$L$1269-EFEITO!$O$1269*EFEITO!$AA$1269</f>
        <v>0</v>
      </c>
      <c r="P1269" s="18"/>
      <c r="Q1269" s="18"/>
      <c r="R1269" s="18"/>
      <c r="S1269" s="18"/>
      <c r="T1269" s="18"/>
      <c r="U1269" s="18"/>
      <c r="V1269" s="18"/>
      <c r="W1269" s="18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</row>
    <row r="1270" spans="1:36" ht="11.25" customHeight="1" x14ac:dyDescent="0.2">
      <c r="A1270" s="51" t="s">
        <v>28</v>
      </c>
      <c r="B1270" s="51" t="s">
        <v>22</v>
      </c>
      <c r="C1270" s="51" t="s">
        <v>33</v>
      </c>
      <c r="D1270" s="51" t="s">
        <v>24</v>
      </c>
      <c r="E1270" s="51" t="s">
        <v>24</v>
      </c>
      <c r="F1270" s="51" t="s">
        <v>25</v>
      </c>
      <c r="G1270" s="51" t="s">
        <v>25</v>
      </c>
      <c r="H1270" s="51" t="s">
        <v>34</v>
      </c>
      <c r="I1270" s="59">
        <v>44562</v>
      </c>
      <c r="J1270" s="60">
        <f>EFEITO!$J$1270*EFEITO!$Y$1270</f>
        <v>0</v>
      </c>
      <c r="K1270" s="60">
        <f ca="1">EFEITO!$L$1270*EFEITO!$Z$1270</f>
        <v>228.83323845411692</v>
      </c>
      <c r="L1270" s="60">
        <f>EFEITO!$N$1270*EFEITO!$AA$1270</f>
        <v>78.456379117953034</v>
      </c>
      <c r="M1270" s="60">
        <f>$J$1270-EFEITO!$K$1270*EFEITO!$Y$1270</f>
        <v>0</v>
      </c>
      <c r="N1270" s="60">
        <f ca="1">$K$1270-EFEITO!$M$1270*EFEITO!$Z$1270</f>
        <v>0</v>
      </c>
      <c r="O1270" s="60">
        <f>$L$1270-EFEITO!$O$1270*EFEITO!$AA$1270</f>
        <v>0</v>
      </c>
      <c r="P1270" s="18"/>
      <c r="Q1270" s="18"/>
      <c r="R1270" s="18"/>
      <c r="S1270" s="18"/>
      <c r="T1270" s="18"/>
      <c r="U1270" s="18"/>
      <c r="V1270" s="18"/>
      <c r="W1270" s="18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</row>
    <row r="1271" spans="1:36" ht="11.25" customHeight="1" x14ac:dyDescent="0.2">
      <c r="A1271" s="51" t="s">
        <v>21</v>
      </c>
      <c r="B1271" s="51" t="s">
        <v>22</v>
      </c>
      <c r="C1271" s="51" t="s">
        <v>33</v>
      </c>
      <c r="D1271" s="51" t="s">
        <v>24</v>
      </c>
      <c r="E1271" s="51" t="s">
        <v>24</v>
      </c>
      <c r="F1271" s="51" t="s">
        <v>25</v>
      </c>
      <c r="G1271" s="51" t="s">
        <v>25</v>
      </c>
      <c r="H1271" s="51" t="s">
        <v>34</v>
      </c>
      <c r="I1271" s="59">
        <v>44593</v>
      </c>
      <c r="J1271" s="60">
        <f>EFEITO!$J$1271*EFEITO!$Y$1271</f>
        <v>0</v>
      </c>
      <c r="K1271" s="60">
        <f ca="1">EFEITO!$L$1271*EFEITO!$Z$1271</f>
        <v>13350.363128244795</v>
      </c>
      <c r="L1271" s="60">
        <f>EFEITO!$N$1271*EFEITO!$AA$1271</f>
        <v>4577.2246987709013</v>
      </c>
      <c r="M1271" s="60">
        <f>$J$1271-EFEITO!$K$1271*EFEITO!$Y$1271</f>
        <v>0</v>
      </c>
      <c r="N1271" s="60">
        <f ca="1">$K$1271-EFEITO!$M$1271*EFEITO!$Z$1271</f>
        <v>0</v>
      </c>
      <c r="O1271" s="60">
        <f>$L$1271-EFEITO!$O$1271*EFEITO!$AA$1271</f>
        <v>0</v>
      </c>
      <c r="P1271" s="18"/>
      <c r="Q1271" s="18"/>
      <c r="R1271" s="18"/>
      <c r="S1271" s="18"/>
      <c r="T1271" s="18"/>
      <c r="U1271" s="18"/>
      <c r="V1271" s="18"/>
      <c r="W1271" s="18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</row>
    <row r="1272" spans="1:36" ht="11.25" customHeight="1" x14ac:dyDescent="0.2">
      <c r="A1272" s="51" t="s">
        <v>27</v>
      </c>
      <c r="B1272" s="51" t="s">
        <v>22</v>
      </c>
      <c r="C1272" s="51" t="s">
        <v>33</v>
      </c>
      <c r="D1272" s="51" t="s">
        <v>24</v>
      </c>
      <c r="E1272" s="51" t="s">
        <v>24</v>
      </c>
      <c r="F1272" s="51" t="s">
        <v>25</v>
      </c>
      <c r="G1272" s="51" t="s">
        <v>25</v>
      </c>
      <c r="H1272" s="51" t="s">
        <v>34</v>
      </c>
      <c r="I1272" s="59">
        <v>44593</v>
      </c>
      <c r="J1272" s="60">
        <f>EFEITO!$J$1272*EFEITO!$Y$1272</f>
        <v>0</v>
      </c>
      <c r="K1272" s="60">
        <f ca="1">EFEITO!$L$1272*EFEITO!$Z$1272</f>
        <v>-1774.7757618353862</v>
      </c>
      <c r="L1272" s="60">
        <f>EFEITO!$N$1272*EFEITO!$AA$1272</f>
        <v>-608.48887583186627</v>
      </c>
      <c r="M1272" s="60">
        <f>$J$1272-EFEITO!$K$1272*EFEITO!$Y$1272</f>
        <v>0</v>
      </c>
      <c r="N1272" s="60">
        <f ca="1">$K$1272-EFEITO!$M$1272*EFEITO!$Z$1272</f>
        <v>0</v>
      </c>
      <c r="O1272" s="60">
        <f>$L$1272-EFEITO!$O$1272*EFEITO!$AA$1272</f>
        <v>0</v>
      </c>
      <c r="P1272" s="18"/>
      <c r="Q1272" s="18"/>
      <c r="R1272" s="18"/>
      <c r="S1272" s="18"/>
      <c r="T1272" s="18"/>
      <c r="U1272" s="18"/>
      <c r="V1272" s="18"/>
      <c r="W1272" s="18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</row>
    <row r="1273" spans="1:36" ht="11.25" customHeight="1" x14ac:dyDescent="0.2">
      <c r="A1273" s="51" t="s">
        <v>28</v>
      </c>
      <c r="B1273" s="51" t="s">
        <v>22</v>
      </c>
      <c r="C1273" s="51" t="s">
        <v>33</v>
      </c>
      <c r="D1273" s="51" t="s">
        <v>24</v>
      </c>
      <c r="E1273" s="51" t="s">
        <v>24</v>
      </c>
      <c r="F1273" s="51" t="s">
        <v>25</v>
      </c>
      <c r="G1273" s="51" t="s">
        <v>25</v>
      </c>
      <c r="H1273" s="51" t="s">
        <v>34</v>
      </c>
      <c r="I1273" s="59">
        <v>44593</v>
      </c>
      <c r="J1273" s="60">
        <f>EFEITO!$J$1273*EFEITO!$Y$1273</f>
        <v>0</v>
      </c>
      <c r="K1273" s="60">
        <f ca="1">EFEITO!$L$1273*EFEITO!$Z$1273</f>
        <v>73.817173694876431</v>
      </c>
      <c r="L1273" s="60">
        <f>EFEITO!$N$1273*EFEITO!$AA$1273</f>
        <v>25.30850939288808</v>
      </c>
      <c r="M1273" s="60">
        <f>$J$1273-EFEITO!$K$1273*EFEITO!$Y$1273</f>
        <v>0</v>
      </c>
      <c r="N1273" s="60">
        <f ca="1">$K$1273-EFEITO!$M$1273*EFEITO!$Z$1273</f>
        <v>0</v>
      </c>
      <c r="O1273" s="60">
        <f>$L$1273-EFEITO!$O$1273*EFEITO!$AA$1273</f>
        <v>0</v>
      </c>
      <c r="P1273" s="18"/>
      <c r="Q1273" s="18"/>
      <c r="R1273" s="18"/>
      <c r="S1273" s="18"/>
      <c r="T1273" s="18"/>
      <c r="U1273" s="18"/>
      <c r="V1273" s="18"/>
      <c r="W1273" s="18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</row>
    <row r="1274" spans="1:36" ht="11.25" customHeight="1" x14ac:dyDescent="0.2">
      <c r="A1274" s="51" t="s">
        <v>28</v>
      </c>
      <c r="B1274" s="51" t="s">
        <v>22</v>
      </c>
      <c r="C1274" s="51" t="s">
        <v>33</v>
      </c>
      <c r="D1274" s="51" t="s">
        <v>24</v>
      </c>
      <c r="E1274" s="51" t="s">
        <v>24</v>
      </c>
      <c r="F1274" s="51" t="s">
        <v>25</v>
      </c>
      <c r="G1274" s="51" t="s">
        <v>25</v>
      </c>
      <c r="H1274" s="51" t="s">
        <v>34</v>
      </c>
      <c r="I1274" s="59">
        <v>44593</v>
      </c>
      <c r="J1274" s="60">
        <f>EFEITO!$J$1274*EFEITO!$Y$1274</f>
        <v>0</v>
      </c>
      <c r="K1274" s="60">
        <f ca="1">EFEITO!$L$1274*EFEITO!$Z$1274</f>
        <v>-145.52528528418497</v>
      </c>
      <c r="L1274" s="60">
        <f>EFEITO!$N$1274*EFEITO!$AA$1274</f>
        <v>-49.893918517407926</v>
      </c>
      <c r="M1274" s="60">
        <f>$J$1274-EFEITO!$K$1274*EFEITO!$Y$1274</f>
        <v>0</v>
      </c>
      <c r="N1274" s="60">
        <f ca="1">$K$1274-EFEITO!$M$1274*EFEITO!$Z$1274</f>
        <v>0</v>
      </c>
      <c r="O1274" s="60">
        <f>$L$1274-EFEITO!$O$1274*EFEITO!$AA$1274</f>
        <v>0</v>
      </c>
      <c r="P1274" s="18"/>
      <c r="Q1274" s="18"/>
      <c r="R1274" s="18"/>
      <c r="S1274" s="18"/>
      <c r="T1274" s="18"/>
      <c r="U1274" s="18"/>
      <c r="V1274" s="18"/>
      <c r="W1274" s="18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</row>
    <row r="1275" spans="1:36" ht="11.25" customHeight="1" x14ac:dyDescent="0.2">
      <c r="A1275" s="51" t="s">
        <v>56</v>
      </c>
      <c r="B1275" s="51" t="s">
        <v>22</v>
      </c>
      <c r="C1275" s="51" t="s">
        <v>33</v>
      </c>
      <c r="D1275" s="51" t="s">
        <v>24</v>
      </c>
      <c r="E1275" s="51" t="s">
        <v>24</v>
      </c>
      <c r="F1275" s="51" t="s">
        <v>25</v>
      </c>
      <c r="G1275" s="51" t="s">
        <v>25</v>
      </c>
      <c r="H1275" s="51" t="s">
        <v>34</v>
      </c>
      <c r="I1275" s="59">
        <v>44621</v>
      </c>
      <c r="J1275" s="60">
        <f>EFEITO!$J$1275*EFEITO!$Y$1275</f>
        <v>0</v>
      </c>
      <c r="K1275" s="60">
        <f ca="1">EFEITO!$L$1275*EFEITO!$Z$1275</f>
        <v>13350.363128244795</v>
      </c>
      <c r="L1275" s="60">
        <f>EFEITO!$N$1275*EFEITO!$AA$1275</f>
        <v>4577.2246987709013</v>
      </c>
      <c r="M1275" s="60">
        <f>$J$1275-EFEITO!$K$1275*EFEITO!$Y$1275</f>
        <v>0</v>
      </c>
      <c r="N1275" s="60">
        <f ca="1">$K$1275-EFEITO!$M$1275*EFEITO!$Z$1275</f>
        <v>0</v>
      </c>
      <c r="O1275" s="60">
        <f>$L$1275-EFEITO!$O$1275*EFEITO!$AA$1275</f>
        <v>0</v>
      </c>
      <c r="P1275" s="18"/>
      <c r="Q1275" s="18"/>
      <c r="R1275" s="18"/>
      <c r="S1275" s="18"/>
      <c r="T1275" s="18"/>
      <c r="U1275" s="18"/>
      <c r="V1275" s="18"/>
      <c r="W1275" s="18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</row>
    <row r="1276" spans="1:36" ht="11.25" customHeight="1" x14ac:dyDescent="0.2">
      <c r="A1276" s="51" t="s">
        <v>56</v>
      </c>
      <c r="B1276" s="51" t="s">
        <v>22</v>
      </c>
      <c r="C1276" s="51" t="s">
        <v>33</v>
      </c>
      <c r="D1276" s="51" t="s">
        <v>24</v>
      </c>
      <c r="E1276" s="51" t="s">
        <v>24</v>
      </c>
      <c r="F1276" s="51" t="s">
        <v>25</v>
      </c>
      <c r="G1276" s="51" t="s">
        <v>25</v>
      </c>
      <c r="H1276" s="51" t="s">
        <v>34</v>
      </c>
      <c r="I1276" s="59">
        <v>44621</v>
      </c>
      <c r="J1276" s="60">
        <f>EFEITO!$J$1276*EFEITO!$Y$1276</f>
        <v>0</v>
      </c>
      <c r="K1276" s="60">
        <f ca="1">EFEITO!$L$1276*EFEITO!$Z$1276</f>
        <v>-1774.7757618353862</v>
      </c>
      <c r="L1276" s="60">
        <f>EFEITO!$N$1276*EFEITO!$AA$1276</f>
        <v>-608.48887583186627</v>
      </c>
      <c r="M1276" s="60">
        <f>$J$1276-EFEITO!$K$1276*EFEITO!$Y$1276</f>
        <v>0</v>
      </c>
      <c r="N1276" s="60">
        <f ca="1">$K$1276-EFEITO!$M$1276*EFEITO!$Z$1276</f>
        <v>0</v>
      </c>
      <c r="O1276" s="60">
        <f>$L$1276-EFEITO!$O$1276*EFEITO!$AA$1276</f>
        <v>0</v>
      </c>
      <c r="P1276" s="18"/>
      <c r="Q1276" s="18"/>
      <c r="R1276" s="18"/>
      <c r="S1276" s="18"/>
      <c r="T1276" s="18"/>
      <c r="U1276" s="18"/>
      <c r="V1276" s="18"/>
      <c r="W1276" s="18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</row>
    <row r="1277" spans="1:36" ht="11.25" customHeight="1" x14ac:dyDescent="0.2">
      <c r="A1277" s="51" t="s">
        <v>56</v>
      </c>
      <c r="B1277" s="51" t="s">
        <v>22</v>
      </c>
      <c r="C1277" s="51" t="s">
        <v>33</v>
      </c>
      <c r="D1277" s="51" t="s">
        <v>24</v>
      </c>
      <c r="E1277" s="51" t="s">
        <v>24</v>
      </c>
      <c r="F1277" s="51" t="s">
        <v>25</v>
      </c>
      <c r="G1277" s="51" t="s">
        <v>25</v>
      </c>
      <c r="H1277" s="51" t="s">
        <v>34</v>
      </c>
      <c r="I1277" s="59">
        <v>44621</v>
      </c>
      <c r="J1277" s="60">
        <f>EFEITO!$J$1277*EFEITO!$Y$1277</f>
        <v>0</v>
      </c>
      <c r="K1277" s="60">
        <f ca="1">EFEITO!$L$1277*EFEITO!$Z$1277</f>
        <v>73.817173694876431</v>
      </c>
      <c r="L1277" s="60">
        <f>EFEITO!$N$1277*EFEITO!$AA$1277</f>
        <v>25.30850939288808</v>
      </c>
      <c r="M1277" s="60">
        <f>$J$1277-EFEITO!$K$1277*EFEITO!$Y$1277</f>
        <v>0</v>
      </c>
      <c r="N1277" s="60">
        <f ca="1">$K$1277-EFEITO!$M$1277*EFEITO!$Z$1277</f>
        <v>0</v>
      </c>
      <c r="O1277" s="60">
        <f>$L$1277-EFEITO!$O$1277*EFEITO!$AA$1277</f>
        <v>0</v>
      </c>
      <c r="P1277" s="18"/>
      <c r="Q1277" s="18"/>
      <c r="R1277" s="18"/>
      <c r="S1277" s="18"/>
      <c r="T1277" s="18"/>
      <c r="U1277" s="18"/>
      <c r="V1277" s="18"/>
      <c r="W1277" s="18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</row>
    <row r="1278" spans="1:36" ht="11.25" customHeight="1" x14ac:dyDescent="0.2">
      <c r="A1278" s="51" t="s">
        <v>56</v>
      </c>
      <c r="B1278" s="51" t="s">
        <v>22</v>
      </c>
      <c r="C1278" s="51" t="s">
        <v>33</v>
      </c>
      <c r="D1278" s="51" t="s">
        <v>24</v>
      </c>
      <c r="E1278" s="51" t="s">
        <v>24</v>
      </c>
      <c r="F1278" s="51" t="s">
        <v>25</v>
      </c>
      <c r="G1278" s="51" t="s">
        <v>25</v>
      </c>
      <c r="H1278" s="51" t="s">
        <v>34</v>
      </c>
      <c r="I1278" s="59">
        <v>44621</v>
      </c>
      <c r="J1278" s="60">
        <f>EFEITO!$J$1278*EFEITO!$Y$1278</f>
        <v>0</v>
      </c>
      <c r="K1278" s="60">
        <f ca="1">EFEITO!$L$1278*EFEITO!$Z$1278</f>
        <v>-145.52528528418497</v>
      </c>
      <c r="L1278" s="60">
        <f>EFEITO!$N$1278*EFEITO!$AA$1278</f>
        <v>-49.893918517407926</v>
      </c>
      <c r="M1278" s="60">
        <f>$J$1278-EFEITO!$K$1278*EFEITO!$Y$1278</f>
        <v>0</v>
      </c>
      <c r="N1278" s="60">
        <f ca="1">$K$1278-EFEITO!$M$1278*EFEITO!$Z$1278</f>
        <v>0</v>
      </c>
      <c r="O1278" s="60">
        <f>$L$1278-EFEITO!$O$1278*EFEITO!$AA$1278</f>
        <v>0</v>
      </c>
      <c r="P1278" s="18"/>
      <c r="Q1278" s="18"/>
      <c r="R1278" s="18"/>
      <c r="S1278" s="18"/>
      <c r="T1278" s="18"/>
      <c r="U1278" s="18"/>
      <c r="V1278" s="18"/>
      <c r="W1278" s="18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</row>
    <row r="1279" spans="1:36" ht="11.25" customHeight="1" x14ac:dyDescent="0.2">
      <c r="A1279" s="51" t="s">
        <v>21</v>
      </c>
      <c r="B1279" s="51" t="s">
        <v>22</v>
      </c>
      <c r="C1279" s="51" t="s">
        <v>23</v>
      </c>
      <c r="D1279" s="51" t="s">
        <v>24</v>
      </c>
      <c r="E1279" s="51" t="s">
        <v>24</v>
      </c>
      <c r="F1279" s="51" t="s">
        <v>25</v>
      </c>
      <c r="G1279" s="51" t="s">
        <v>25</v>
      </c>
      <c r="H1279" s="51" t="s">
        <v>25</v>
      </c>
      <c r="I1279" s="59">
        <v>44287</v>
      </c>
      <c r="J1279" s="60">
        <f>EFEITO!$J$1279*EFEITO!$Y$1279</f>
        <v>0</v>
      </c>
      <c r="K1279" s="60">
        <f ca="1">EFEITO!$L$1279*EFEITO!$Z$1279</f>
        <v>34223720.87357194</v>
      </c>
      <c r="L1279" s="60">
        <f>EFEITO!$N$1279*EFEITO!$AA$1279</f>
        <v>19534834.206957325</v>
      </c>
      <c r="M1279" s="60">
        <f>$J$1279-EFEITO!$K$1279*EFEITO!$Y$1279</f>
        <v>0</v>
      </c>
      <c r="N1279" s="60">
        <f ca="1">$K$1279-EFEITO!$M$1279*EFEITO!$Z$1279</f>
        <v>0</v>
      </c>
      <c r="O1279" s="60">
        <f>$L$1279-EFEITO!$O$1279*EFEITO!$AA$1279</f>
        <v>0</v>
      </c>
      <c r="P1279" s="18"/>
      <c r="Q1279" s="18"/>
      <c r="R1279" s="18"/>
      <c r="S1279" s="18"/>
      <c r="T1279" s="18"/>
      <c r="U1279" s="18"/>
      <c r="V1279" s="18"/>
      <c r="W1279" s="18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</row>
    <row r="1280" spans="1:36" ht="11.25" customHeight="1" x14ac:dyDescent="0.2">
      <c r="A1280" s="51" t="s">
        <v>27</v>
      </c>
      <c r="B1280" s="51" t="s">
        <v>22</v>
      </c>
      <c r="C1280" s="51" t="s">
        <v>23</v>
      </c>
      <c r="D1280" s="51" t="s">
        <v>24</v>
      </c>
      <c r="E1280" s="51" t="s">
        <v>24</v>
      </c>
      <c r="F1280" s="51" t="s">
        <v>25</v>
      </c>
      <c r="G1280" s="51" t="s">
        <v>25</v>
      </c>
      <c r="H1280" s="51" t="s">
        <v>25</v>
      </c>
      <c r="I1280" s="59">
        <v>44287</v>
      </c>
      <c r="J1280" s="60">
        <f>EFEITO!$J$1280*EFEITO!$Y$1280</f>
        <v>0</v>
      </c>
      <c r="K1280" s="60">
        <f ca="1">EFEITO!$L$1280*EFEITO!$Z$1280</f>
        <v>-89856.829400023271</v>
      </c>
      <c r="L1280" s="60">
        <f>EFEITO!$N$1280*EFEITO!$AA$1280</f>
        <v>-51290.105806344422</v>
      </c>
      <c r="M1280" s="60">
        <f>$J$1280-EFEITO!$K$1280*EFEITO!$Y$1280</f>
        <v>0</v>
      </c>
      <c r="N1280" s="60">
        <f ca="1">$K$1280-EFEITO!$M$1280*EFEITO!$Z$1280</f>
        <v>0</v>
      </c>
      <c r="O1280" s="60">
        <f>$L$1280-EFEITO!$O$1280*EFEITO!$AA$1280</f>
        <v>0</v>
      </c>
      <c r="P1280" s="18"/>
      <c r="Q1280" s="18"/>
      <c r="R1280" s="18"/>
      <c r="S1280" s="18"/>
      <c r="T1280" s="18"/>
      <c r="U1280" s="18"/>
      <c r="V1280" s="18"/>
      <c r="W1280" s="18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</row>
    <row r="1281" spans="1:36" ht="11.25" customHeight="1" x14ac:dyDescent="0.2">
      <c r="A1281" s="51" t="s">
        <v>28</v>
      </c>
      <c r="B1281" s="51" t="s">
        <v>22</v>
      </c>
      <c r="C1281" s="51" t="s">
        <v>23</v>
      </c>
      <c r="D1281" s="51" t="s">
        <v>24</v>
      </c>
      <c r="E1281" s="51" t="s">
        <v>24</v>
      </c>
      <c r="F1281" s="51" t="s">
        <v>25</v>
      </c>
      <c r="G1281" s="51" t="s">
        <v>25</v>
      </c>
      <c r="H1281" s="51" t="s">
        <v>25</v>
      </c>
      <c r="I1281" s="59">
        <v>44287</v>
      </c>
      <c r="J1281" s="60">
        <f>EFEITO!$J$1281*EFEITO!$Y$1281</f>
        <v>0</v>
      </c>
      <c r="K1281" s="60">
        <f ca="1">EFEITO!$L$1281*EFEITO!$Z$1281</f>
        <v>300760.98871149472</v>
      </c>
      <c r="L1281" s="60">
        <f>EFEITO!$N$1281*EFEITO!$AA$1281</f>
        <v>171673.79526334957</v>
      </c>
      <c r="M1281" s="60">
        <f>$J$1281-EFEITO!$K$1281*EFEITO!$Y$1281</f>
        <v>0</v>
      </c>
      <c r="N1281" s="60">
        <f ca="1">$K$1281-EFEITO!$M$1281*EFEITO!$Z$1281</f>
        <v>0</v>
      </c>
      <c r="O1281" s="60">
        <f>$L$1281-EFEITO!$O$1281*EFEITO!$AA$1281</f>
        <v>0</v>
      </c>
      <c r="P1281" s="18"/>
      <c r="Q1281" s="18"/>
      <c r="R1281" s="18"/>
      <c r="S1281" s="18"/>
      <c r="T1281" s="18"/>
      <c r="U1281" s="18"/>
      <c r="V1281" s="18"/>
      <c r="W1281" s="18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</row>
    <row r="1282" spans="1:36" ht="11.25" customHeight="1" x14ac:dyDescent="0.2">
      <c r="A1282" s="51" t="s">
        <v>28</v>
      </c>
      <c r="B1282" s="51" t="s">
        <v>22</v>
      </c>
      <c r="C1282" s="51" t="s">
        <v>23</v>
      </c>
      <c r="D1282" s="51" t="s">
        <v>24</v>
      </c>
      <c r="E1282" s="51" t="s">
        <v>24</v>
      </c>
      <c r="F1282" s="51" t="s">
        <v>25</v>
      </c>
      <c r="G1282" s="51" t="s">
        <v>25</v>
      </c>
      <c r="H1282" s="51" t="s">
        <v>25</v>
      </c>
      <c r="I1282" s="59">
        <v>44287</v>
      </c>
      <c r="J1282" s="60">
        <f>EFEITO!$J$1282*EFEITO!$Y$1282</f>
        <v>0</v>
      </c>
      <c r="K1282" s="60">
        <f ca="1">EFEITO!$L$1282*EFEITO!$Z$1282</f>
        <v>-620.00283104054415</v>
      </c>
      <c r="L1282" s="60">
        <f>EFEITO!$N$1282*EFEITO!$AA$1282</f>
        <v>-353.89642631096842</v>
      </c>
      <c r="M1282" s="60">
        <f>$J$1282-EFEITO!$K$1282*EFEITO!$Y$1282</f>
        <v>0</v>
      </c>
      <c r="N1282" s="60">
        <f ca="1">$K$1282-EFEITO!$M$1282*EFEITO!$Z$1282</f>
        <v>0</v>
      </c>
      <c r="O1282" s="60">
        <f>$L$1282-EFEITO!$O$1282*EFEITO!$AA$1282</f>
        <v>0</v>
      </c>
      <c r="P1282" s="18"/>
      <c r="Q1282" s="18"/>
      <c r="R1282" s="18"/>
      <c r="S1282" s="18"/>
      <c r="T1282" s="18"/>
      <c r="U1282" s="18"/>
      <c r="V1282" s="18"/>
      <c r="W1282" s="18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</row>
    <row r="1283" spans="1:36" ht="11.25" customHeight="1" x14ac:dyDescent="0.2">
      <c r="A1283" s="51" t="s">
        <v>21</v>
      </c>
      <c r="B1283" s="51" t="s">
        <v>22</v>
      </c>
      <c r="C1283" s="51" t="s">
        <v>23</v>
      </c>
      <c r="D1283" s="51" t="s">
        <v>24</v>
      </c>
      <c r="E1283" s="51" t="s">
        <v>24</v>
      </c>
      <c r="F1283" s="51" t="s">
        <v>25</v>
      </c>
      <c r="G1283" s="51" t="s">
        <v>25</v>
      </c>
      <c r="H1283" s="51" t="s">
        <v>25</v>
      </c>
      <c r="I1283" s="59">
        <v>44317</v>
      </c>
      <c r="J1283" s="60">
        <f>EFEITO!$J$1283*EFEITO!$Y$1283</f>
        <v>0</v>
      </c>
      <c r="K1283" s="60">
        <f ca="1">EFEITO!$L$1283*EFEITO!$Z$1283</f>
        <v>30988958.888233133</v>
      </c>
      <c r="L1283" s="60">
        <f>EFEITO!$N$1283*EFEITO!$AA$1283</f>
        <v>17688438.272511795</v>
      </c>
      <c r="M1283" s="60">
        <f>$J$1283-EFEITO!$K$1283*EFEITO!$Y$1283</f>
        <v>0</v>
      </c>
      <c r="N1283" s="60">
        <f ca="1">$K$1283-EFEITO!$M$1283*EFEITO!$Z$1283</f>
        <v>0</v>
      </c>
      <c r="O1283" s="60">
        <f>$L$1283-EFEITO!$O$1283*EFEITO!$AA$1283</f>
        <v>0</v>
      </c>
      <c r="P1283" s="18"/>
      <c r="Q1283" s="18"/>
      <c r="R1283" s="18"/>
      <c r="S1283" s="18"/>
      <c r="T1283" s="18"/>
      <c r="U1283" s="18"/>
      <c r="V1283" s="18"/>
      <c r="W1283" s="18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</row>
    <row r="1284" spans="1:36" ht="11.25" customHeight="1" x14ac:dyDescent="0.2">
      <c r="A1284" s="51" t="s">
        <v>27</v>
      </c>
      <c r="B1284" s="51" t="s">
        <v>22</v>
      </c>
      <c r="C1284" s="51" t="s">
        <v>23</v>
      </c>
      <c r="D1284" s="51" t="s">
        <v>24</v>
      </c>
      <c r="E1284" s="51" t="s">
        <v>24</v>
      </c>
      <c r="F1284" s="51" t="s">
        <v>25</v>
      </c>
      <c r="G1284" s="51" t="s">
        <v>25</v>
      </c>
      <c r="H1284" s="51" t="s">
        <v>25</v>
      </c>
      <c r="I1284" s="59">
        <v>44317</v>
      </c>
      <c r="J1284" s="60">
        <f>EFEITO!$J$1284*EFEITO!$Y$1284</f>
        <v>0</v>
      </c>
      <c r="K1284" s="60">
        <f ca="1">EFEITO!$L$1284*EFEITO!$Z$1284</f>
        <v>-55197.51994596632</v>
      </c>
      <c r="L1284" s="60">
        <f>EFEITO!$N$1284*EFEITO!$AA$1284</f>
        <v>-31506.638473443469</v>
      </c>
      <c r="M1284" s="60">
        <f>$J$1284-EFEITO!$K$1284*EFEITO!$Y$1284</f>
        <v>0</v>
      </c>
      <c r="N1284" s="60">
        <f ca="1">$K$1284-EFEITO!$M$1284*EFEITO!$Z$1284</f>
        <v>0</v>
      </c>
      <c r="O1284" s="60">
        <f>$L$1284-EFEITO!$O$1284*EFEITO!$AA$1284</f>
        <v>0</v>
      </c>
      <c r="P1284" s="18"/>
      <c r="Q1284" s="18"/>
      <c r="R1284" s="18"/>
      <c r="S1284" s="18"/>
      <c r="T1284" s="18"/>
      <c r="U1284" s="18"/>
      <c r="V1284" s="18"/>
      <c r="W1284" s="18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</row>
    <row r="1285" spans="1:36" ht="11.25" customHeight="1" x14ac:dyDescent="0.2">
      <c r="A1285" s="51" t="s">
        <v>28</v>
      </c>
      <c r="B1285" s="51" t="s">
        <v>22</v>
      </c>
      <c r="C1285" s="51" t="s">
        <v>23</v>
      </c>
      <c r="D1285" s="51" t="s">
        <v>24</v>
      </c>
      <c r="E1285" s="51" t="s">
        <v>24</v>
      </c>
      <c r="F1285" s="51" t="s">
        <v>25</v>
      </c>
      <c r="G1285" s="51" t="s">
        <v>25</v>
      </c>
      <c r="H1285" s="51" t="s">
        <v>25</v>
      </c>
      <c r="I1285" s="59">
        <v>44317</v>
      </c>
      <c r="J1285" s="60">
        <f>EFEITO!$J$1285*EFEITO!$Y$1285</f>
        <v>0</v>
      </c>
      <c r="K1285" s="60">
        <f ca="1">EFEITO!$L$1285*EFEITO!$Z$1285</f>
        <v>309138.01635237742</v>
      </c>
      <c r="L1285" s="60">
        <f>EFEITO!$N$1285*EFEITO!$AA$1285</f>
        <v>176455.38656712012</v>
      </c>
      <c r="M1285" s="60">
        <f>$J$1285-EFEITO!$K$1285*EFEITO!$Y$1285</f>
        <v>0</v>
      </c>
      <c r="N1285" s="60">
        <f ca="1">$K$1285-EFEITO!$M$1285*EFEITO!$Z$1285</f>
        <v>0</v>
      </c>
      <c r="O1285" s="60">
        <f>$L$1285-EFEITO!$O$1285*EFEITO!$AA$1285</f>
        <v>0</v>
      </c>
      <c r="P1285" s="18"/>
      <c r="Q1285" s="18"/>
      <c r="R1285" s="18"/>
      <c r="S1285" s="18"/>
      <c r="T1285" s="18"/>
      <c r="U1285" s="18"/>
      <c r="V1285" s="18"/>
      <c r="W1285" s="18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</row>
    <row r="1286" spans="1:36" ht="11.25" customHeight="1" x14ac:dyDescent="0.2">
      <c r="A1286" s="51" t="s">
        <v>28</v>
      </c>
      <c r="B1286" s="51" t="s">
        <v>22</v>
      </c>
      <c r="C1286" s="51" t="s">
        <v>23</v>
      </c>
      <c r="D1286" s="51" t="s">
        <v>24</v>
      </c>
      <c r="E1286" s="51" t="s">
        <v>24</v>
      </c>
      <c r="F1286" s="51" t="s">
        <v>25</v>
      </c>
      <c r="G1286" s="51" t="s">
        <v>25</v>
      </c>
      <c r="H1286" s="51" t="s">
        <v>25</v>
      </c>
      <c r="I1286" s="59">
        <v>44317</v>
      </c>
      <c r="J1286" s="60">
        <f>EFEITO!$J$1286*EFEITO!$Y$1286</f>
        <v>0</v>
      </c>
      <c r="K1286" s="60">
        <f ca="1">EFEITO!$L$1286*EFEITO!$Z$1286</f>
        <v>-357.2827985240271</v>
      </c>
      <c r="L1286" s="60">
        <f>EFEITO!$N$1286*EFEITO!$AA$1286</f>
        <v>-203.93633585161243</v>
      </c>
      <c r="M1286" s="60">
        <f>$J$1286-EFEITO!$K$1286*EFEITO!$Y$1286</f>
        <v>0</v>
      </c>
      <c r="N1286" s="60">
        <f ca="1">$K$1286-EFEITO!$M$1286*EFEITO!$Z$1286</f>
        <v>0</v>
      </c>
      <c r="O1286" s="60">
        <f>$L$1286-EFEITO!$O$1286*EFEITO!$AA$1286</f>
        <v>0</v>
      </c>
      <c r="P1286" s="18"/>
      <c r="Q1286" s="18"/>
      <c r="R1286" s="18"/>
      <c r="S1286" s="18"/>
      <c r="T1286" s="18"/>
      <c r="U1286" s="18"/>
      <c r="V1286" s="18"/>
      <c r="W1286" s="18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</row>
    <row r="1287" spans="1:36" ht="11.25" customHeight="1" x14ac:dyDescent="0.2">
      <c r="A1287" s="51" t="s">
        <v>21</v>
      </c>
      <c r="B1287" s="51" t="s">
        <v>22</v>
      </c>
      <c r="C1287" s="51" t="s">
        <v>23</v>
      </c>
      <c r="D1287" s="51" t="s">
        <v>24</v>
      </c>
      <c r="E1287" s="51" t="s">
        <v>24</v>
      </c>
      <c r="F1287" s="51" t="s">
        <v>25</v>
      </c>
      <c r="G1287" s="51" t="s">
        <v>25</v>
      </c>
      <c r="H1287" s="51" t="s">
        <v>25</v>
      </c>
      <c r="I1287" s="59">
        <v>44348</v>
      </c>
      <c r="J1287" s="60">
        <f>EFEITO!$J$1287*EFEITO!$Y$1287</f>
        <v>0</v>
      </c>
      <c r="K1287" s="60">
        <f ca="1">EFEITO!$L$1287*EFEITO!$Z$1287</f>
        <v>30232613.816593118</v>
      </c>
      <c r="L1287" s="60">
        <f>EFEITO!$N$1287*EFEITO!$AA$1287</f>
        <v>17256717.95687696</v>
      </c>
      <c r="M1287" s="60">
        <f>$J$1287-EFEITO!$K$1287*EFEITO!$Y$1287</f>
        <v>0</v>
      </c>
      <c r="N1287" s="60">
        <f ca="1">$K$1287-EFEITO!$M$1287*EFEITO!$Z$1287</f>
        <v>0</v>
      </c>
      <c r="O1287" s="60">
        <f>$L$1287-EFEITO!$O$1287*EFEITO!$AA$1287</f>
        <v>0</v>
      </c>
      <c r="P1287" s="18"/>
      <c r="Q1287" s="18"/>
      <c r="R1287" s="18"/>
      <c r="S1287" s="18"/>
      <c r="T1287" s="18"/>
      <c r="U1287" s="18"/>
      <c r="V1287" s="18"/>
      <c r="W1287" s="18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</row>
    <row r="1288" spans="1:36" ht="11.25" customHeight="1" x14ac:dyDescent="0.2">
      <c r="A1288" s="51" t="s">
        <v>27</v>
      </c>
      <c r="B1288" s="51" t="s">
        <v>22</v>
      </c>
      <c r="C1288" s="51" t="s">
        <v>23</v>
      </c>
      <c r="D1288" s="51" t="s">
        <v>24</v>
      </c>
      <c r="E1288" s="51" t="s">
        <v>24</v>
      </c>
      <c r="F1288" s="51" t="s">
        <v>25</v>
      </c>
      <c r="G1288" s="51" t="s">
        <v>25</v>
      </c>
      <c r="H1288" s="51" t="s">
        <v>25</v>
      </c>
      <c r="I1288" s="59">
        <v>44348</v>
      </c>
      <c r="J1288" s="60">
        <f>EFEITO!$J$1288*EFEITO!$Y$1288</f>
        <v>0</v>
      </c>
      <c r="K1288" s="60">
        <f ca="1">EFEITO!$L$1288*EFEITO!$Z$1288</f>
        <v>-125661.99289261471</v>
      </c>
      <c r="L1288" s="60">
        <f>EFEITO!$N$1288*EFEITO!$AA$1288</f>
        <v>-71727.62442580286</v>
      </c>
      <c r="M1288" s="60">
        <f>$J$1288-EFEITO!$K$1288*EFEITO!$Y$1288</f>
        <v>0</v>
      </c>
      <c r="N1288" s="60">
        <f ca="1">$K$1288-EFEITO!$M$1288*EFEITO!$Z$1288</f>
        <v>0</v>
      </c>
      <c r="O1288" s="60">
        <f>$L$1288-EFEITO!$O$1288*EFEITO!$AA$1288</f>
        <v>0</v>
      </c>
      <c r="P1288" s="18"/>
      <c r="Q1288" s="18"/>
      <c r="R1288" s="18"/>
      <c r="S1288" s="18"/>
      <c r="T1288" s="18"/>
      <c r="U1288" s="18"/>
      <c r="V1288" s="18"/>
      <c r="W1288" s="18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</row>
    <row r="1289" spans="1:36" ht="11.25" customHeight="1" x14ac:dyDescent="0.2">
      <c r="A1289" s="51" t="s">
        <v>28</v>
      </c>
      <c r="B1289" s="51" t="s">
        <v>22</v>
      </c>
      <c r="C1289" s="51" t="s">
        <v>23</v>
      </c>
      <c r="D1289" s="51" t="s">
        <v>24</v>
      </c>
      <c r="E1289" s="51" t="s">
        <v>24</v>
      </c>
      <c r="F1289" s="51" t="s">
        <v>25</v>
      </c>
      <c r="G1289" s="51" t="s">
        <v>25</v>
      </c>
      <c r="H1289" s="51" t="s">
        <v>25</v>
      </c>
      <c r="I1289" s="59">
        <v>44348</v>
      </c>
      <c r="J1289" s="60">
        <f>EFEITO!$J$1289*EFEITO!$Y$1289</f>
        <v>0</v>
      </c>
      <c r="K1289" s="60">
        <f ca="1">EFEITO!$L$1289*EFEITO!$Z$1289</f>
        <v>302993.08113173285</v>
      </c>
      <c r="L1289" s="60">
        <f>EFEITO!$N$1289*EFEITO!$AA$1289</f>
        <v>172947.86933393462</v>
      </c>
      <c r="M1289" s="60">
        <f>$J$1289-EFEITO!$K$1289*EFEITO!$Y$1289</f>
        <v>0</v>
      </c>
      <c r="N1289" s="60">
        <f ca="1">$K$1289-EFEITO!$M$1289*EFEITO!$Z$1289</f>
        <v>0</v>
      </c>
      <c r="O1289" s="60">
        <f>$L$1289-EFEITO!$O$1289*EFEITO!$AA$1289</f>
        <v>0</v>
      </c>
      <c r="P1289" s="18"/>
      <c r="Q1289" s="18"/>
      <c r="R1289" s="18"/>
      <c r="S1289" s="18"/>
      <c r="T1289" s="18"/>
      <c r="U1289" s="18"/>
      <c r="V1289" s="18"/>
      <c r="W1289" s="18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</row>
    <row r="1290" spans="1:36" ht="11.25" customHeight="1" x14ac:dyDescent="0.2">
      <c r="A1290" s="51" t="s">
        <v>28</v>
      </c>
      <c r="B1290" s="51" t="s">
        <v>22</v>
      </c>
      <c r="C1290" s="51" t="s">
        <v>23</v>
      </c>
      <c r="D1290" s="51" t="s">
        <v>24</v>
      </c>
      <c r="E1290" s="51" t="s">
        <v>24</v>
      </c>
      <c r="F1290" s="51" t="s">
        <v>25</v>
      </c>
      <c r="G1290" s="51" t="s">
        <v>25</v>
      </c>
      <c r="H1290" s="51" t="s">
        <v>25</v>
      </c>
      <c r="I1290" s="59">
        <v>44348</v>
      </c>
      <c r="J1290" s="60">
        <f>EFEITO!$J$1290*EFEITO!$Y$1290</f>
        <v>0</v>
      </c>
      <c r="K1290" s="60">
        <f ca="1">EFEITO!$L$1290*EFEITO!$Z$1290</f>
        <v>38.64739132480846</v>
      </c>
      <c r="L1290" s="60">
        <f>EFEITO!$N$1290*EFEITO!$AA$1290</f>
        <v>22.059856812487421</v>
      </c>
      <c r="M1290" s="60">
        <f>$J$1290-EFEITO!$K$1290*EFEITO!$Y$1290</f>
        <v>0</v>
      </c>
      <c r="N1290" s="60">
        <f ca="1">$K$1290-EFEITO!$M$1290*EFEITO!$Z$1290</f>
        <v>0</v>
      </c>
      <c r="O1290" s="60">
        <f>$L$1290-EFEITO!$O$1290*EFEITO!$AA$1290</f>
        <v>0</v>
      </c>
      <c r="P1290" s="18"/>
      <c r="Q1290" s="18"/>
      <c r="R1290" s="18"/>
      <c r="S1290" s="18"/>
      <c r="T1290" s="18"/>
      <c r="U1290" s="18"/>
      <c r="V1290" s="18"/>
      <c r="W1290" s="18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</row>
    <row r="1291" spans="1:36" ht="11.25" customHeight="1" x14ac:dyDescent="0.2">
      <c r="A1291" s="51" t="s">
        <v>21</v>
      </c>
      <c r="B1291" s="51" t="s">
        <v>22</v>
      </c>
      <c r="C1291" s="51" t="s">
        <v>23</v>
      </c>
      <c r="D1291" s="51" t="s">
        <v>24</v>
      </c>
      <c r="E1291" s="51" t="s">
        <v>24</v>
      </c>
      <c r="F1291" s="51" t="s">
        <v>25</v>
      </c>
      <c r="G1291" s="51" t="s">
        <v>25</v>
      </c>
      <c r="H1291" s="51" t="s">
        <v>25</v>
      </c>
      <c r="I1291" s="59">
        <v>44378</v>
      </c>
      <c r="J1291" s="60">
        <f>EFEITO!$J$1291*EFEITO!$Y$1291</f>
        <v>0</v>
      </c>
      <c r="K1291" s="60">
        <f ca="1">EFEITO!$L$1291*EFEITO!$Z$1291</f>
        <v>29469458.170088254</v>
      </c>
      <c r="L1291" s="60">
        <f>EFEITO!$N$1291*EFEITO!$AA$1291</f>
        <v>16821110.178177245</v>
      </c>
      <c r="M1291" s="60">
        <f>$J$1291-EFEITO!$K$1291*EFEITO!$Y$1291</f>
        <v>0</v>
      </c>
      <c r="N1291" s="60">
        <f ca="1">$K$1291-EFEITO!$M$1291*EFEITO!$Z$1291</f>
        <v>0</v>
      </c>
      <c r="O1291" s="60">
        <f>$L$1291-EFEITO!$O$1291*EFEITO!$AA$1291</f>
        <v>0</v>
      </c>
      <c r="P1291" s="18"/>
      <c r="Q1291" s="18"/>
      <c r="R1291" s="18"/>
      <c r="S1291" s="18"/>
      <c r="T1291" s="18"/>
      <c r="U1291" s="18"/>
      <c r="V1291" s="18"/>
      <c r="W1291" s="18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</row>
    <row r="1292" spans="1:36" ht="11.25" customHeight="1" x14ac:dyDescent="0.2">
      <c r="A1292" s="51" t="s">
        <v>27</v>
      </c>
      <c r="B1292" s="51" t="s">
        <v>22</v>
      </c>
      <c r="C1292" s="51" t="s">
        <v>23</v>
      </c>
      <c r="D1292" s="51" t="s">
        <v>24</v>
      </c>
      <c r="E1292" s="51" t="s">
        <v>24</v>
      </c>
      <c r="F1292" s="51" t="s">
        <v>25</v>
      </c>
      <c r="G1292" s="51" t="s">
        <v>25</v>
      </c>
      <c r="H1292" s="51" t="s">
        <v>25</v>
      </c>
      <c r="I1292" s="59">
        <v>44378</v>
      </c>
      <c r="J1292" s="60">
        <f>EFEITO!$J$1292*EFEITO!$Y$1292</f>
        <v>0</v>
      </c>
      <c r="K1292" s="60">
        <f ca="1">EFEITO!$L$1292*EFEITO!$Z$1292</f>
        <v>-415156.03360554506</v>
      </c>
      <c r="L1292" s="60">
        <f>EFEITO!$N$1292*EFEITO!$AA$1292</f>
        <v>-236970.26739032895</v>
      </c>
      <c r="M1292" s="60">
        <f>$J$1292-EFEITO!$K$1292*EFEITO!$Y$1292</f>
        <v>0</v>
      </c>
      <c r="N1292" s="60">
        <f ca="1">$K$1292-EFEITO!$M$1292*EFEITO!$Z$1292</f>
        <v>0</v>
      </c>
      <c r="O1292" s="60">
        <f>$L$1292-EFEITO!$O$1292*EFEITO!$AA$1292</f>
        <v>0</v>
      </c>
      <c r="P1292" s="18"/>
      <c r="Q1292" s="18"/>
      <c r="R1292" s="18"/>
      <c r="S1292" s="18"/>
      <c r="T1292" s="18"/>
      <c r="U1292" s="18"/>
      <c r="V1292" s="18"/>
      <c r="W1292" s="18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</row>
    <row r="1293" spans="1:36" ht="11.25" customHeight="1" x14ac:dyDescent="0.2">
      <c r="A1293" s="51" t="s">
        <v>28</v>
      </c>
      <c r="B1293" s="51" t="s">
        <v>22</v>
      </c>
      <c r="C1293" s="51" t="s">
        <v>23</v>
      </c>
      <c r="D1293" s="51" t="s">
        <v>24</v>
      </c>
      <c r="E1293" s="51" t="s">
        <v>24</v>
      </c>
      <c r="F1293" s="51" t="s">
        <v>25</v>
      </c>
      <c r="G1293" s="51" t="s">
        <v>25</v>
      </c>
      <c r="H1293" s="51" t="s">
        <v>25</v>
      </c>
      <c r="I1293" s="59">
        <v>44378</v>
      </c>
      <c r="J1293" s="60">
        <f>EFEITO!$J$1293*EFEITO!$Y$1293</f>
        <v>0</v>
      </c>
      <c r="K1293" s="60">
        <f ca="1">EFEITO!$L$1293*EFEITO!$Z$1293</f>
        <v>294243.55842127278</v>
      </c>
      <c r="L1293" s="60">
        <f>EFEITO!$N$1293*EFEITO!$AA$1293</f>
        <v>167953.65855918414</v>
      </c>
      <c r="M1293" s="60">
        <f>$J$1293-EFEITO!$K$1293*EFEITO!$Y$1293</f>
        <v>0</v>
      </c>
      <c r="N1293" s="60">
        <f ca="1">$K$1293-EFEITO!$M$1293*EFEITO!$Z$1293</f>
        <v>0</v>
      </c>
      <c r="O1293" s="60">
        <f>$L$1293-EFEITO!$O$1293*EFEITO!$AA$1293</f>
        <v>0</v>
      </c>
      <c r="P1293" s="18"/>
      <c r="Q1293" s="18"/>
      <c r="R1293" s="18"/>
      <c r="S1293" s="18"/>
      <c r="T1293" s="18"/>
      <c r="U1293" s="18"/>
      <c r="V1293" s="18"/>
      <c r="W1293" s="18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</row>
    <row r="1294" spans="1:36" ht="11.25" customHeight="1" x14ac:dyDescent="0.2">
      <c r="A1294" s="51" t="s">
        <v>28</v>
      </c>
      <c r="B1294" s="51" t="s">
        <v>22</v>
      </c>
      <c r="C1294" s="51" t="s">
        <v>23</v>
      </c>
      <c r="D1294" s="51" t="s">
        <v>24</v>
      </c>
      <c r="E1294" s="51" t="s">
        <v>24</v>
      </c>
      <c r="F1294" s="51" t="s">
        <v>25</v>
      </c>
      <c r="G1294" s="51" t="s">
        <v>25</v>
      </c>
      <c r="H1294" s="51" t="s">
        <v>25</v>
      </c>
      <c r="I1294" s="59">
        <v>44378</v>
      </c>
      <c r="J1294" s="60">
        <f>EFEITO!$J$1294*EFEITO!$Y$1294</f>
        <v>0</v>
      </c>
      <c r="K1294" s="60">
        <f ca="1">EFEITO!$L$1294*EFEITO!$Z$1294</f>
        <v>-19.32369566240423</v>
      </c>
      <c r="L1294" s="60">
        <f>EFEITO!$N$1294*EFEITO!$AA$1294</f>
        <v>-11.029928406243711</v>
      </c>
      <c r="M1294" s="60">
        <f>$J$1294-EFEITO!$K$1294*EFEITO!$Y$1294</f>
        <v>0</v>
      </c>
      <c r="N1294" s="60">
        <f ca="1">$K$1294-EFEITO!$M$1294*EFEITO!$Z$1294</f>
        <v>0</v>
      </c>
      <c r="O1294" s="60">
        <f>$L$1294-EFEITO!$O$1294*EFEITO!$AA$1294</f>
        <v>0</v>
      </c>
      <c r="P1294" s="18"/>
      <c r="Q1294" s="18"/>
      <c r="R1294" s="18"/>
      <c r="S1294" s="18"/>
      <c r="T1294" s="18"/>
      <c r="U1294" s="18"/>
      <c r="V1294" s="18"/>
      <c r="W1294" s="18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</row>
    <row r="1295" spans="1:36" ht="11.25" customHeight="1" x14ac:dyDescent="0.2">
      <c r="A1295" s="51" t="s">
        <v>21</v>
      </c>
      <c r="B1295" s="51" t="s">
        <v>22</v>
      </c>
      <c r="C1295" s="51" t="s">
        <v>23</v>
      </c>
      <c r="D1295" s="51" t="s">
        <v>24</v>
      </c>
      <c r="E1295" s="51" t="s">
        <v>24</v>
      </c>
      <c r="F1295" s="51" t="s">
        <v>25</v>
      </c>
      <c r="G1295" s="51" t="s">
        <v>25</v>
      </c>
      <c r="H1295" s="51" t="s">
        <v>25</v>
      </c>
      <c r="I1295" s="59">
        <v>44409</v>
      </c>
      <c r="J1295" s="60">
        <f>EFEITO!$J$1295*EFEITO!$Y$1295</f>
        <v>0</v>
      </c>
      <c r="K1295" s="60">
        <f ca="1">EFEITO!$L$1295*EFEITO!$Z$1295</f>
        <v>28075179.933545284</v>
      </c>
      <c r="L1295" s="60">
        <f>EFEITO!$N$1295*EFEITO!$AA$1295</f>
        <v>16025258.836067082</v>
      </c>
      <c r="M1295" s="60">
        <f>$J$1295-EFEITO!$K$1295*EFEITO!$Y$1295</f>
        <v>0</v>
      </c>
      <c r="N1295" s="60">
        <f ca="1">$K$1295-EFEITO!$M$1295*EFEITO!$Z$1295</f>
        <v>0</v>
      </c>
      <c r="O1295" s="60">
        <f>$L$1295-EFEITO!$O$1295*EFEITO!$AA$1295</f>
        <v>0</v>
      </c>
      <c r="P1295" s="18"/>
      <c r="Q1295" s="18"/>
      <c r="R1295" s="18"/>
      <c r="S1295" s="18"/>
      <c r="T1295" s="18"/>
      <c r="U1295" s="18"/>
      <c r="V1295" s="18"/>
      <c r="W1295" s="18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</row>
    <row r="1296" spans="1:36" ht="11.25" customHeight="1" x14ac:dyDescent="0.2">
      <c r="A1296" s="51" t="s">
        <v>27</v>
      </c>
      <c r="B1296" s="51" t="s">
        <v>22</v>
      </c>
      <c r="C1296" s="51" t="s">
        <v>23</v>
      </c>
      <c r="D1296" s="51" t="s">
        <v>24</v>
      </c>
      <c r="E1296" s="51" t="s">
        <v>24</v>
      </c>
      <c r="F1296" s="51" t="s">
        <v>25</v>
      </c>
      <c r="G1296" s="51" t="s">
        <v>25</v>
      </c>
      <c r="H1296" s="51" t="s">
        <v>25</v>
      </c>
      <c r="I1296" s="59">
        <v>44409</v>
      </c>
      <c r="J1296" s="60">
        <f>EFEITO!$J$1296*EFEITO!$Y$1296</f>
        <v>0</v>
      </c>
      <c r="K1296" s="60">
        <f ca="1">EFEITO!$L$1296*EFEITO!$Z$1296</f>
        <v>-133153.00853025311</v>
      </c>
      <c r="L1296" s="60">
        <f>EFEITO!$N$1296*EFEITO!$AA$1296</f>
        <v>-76003.481778180721</v>
      </c>
      <c r="M1296" s="60">
        <f>$J$1296-EFEITO!$K$1296*EFEITO!$Y$1296</f>
        <v>0</v>
      </c>
      <c r="N1296" s="60">
        <f ca="1">$K$1296-EFEITO!$M$1296*EFEITO!$Z$1296</f>
        <v>0</v>
      </c>
      <c r="O1296" s="60">
        <f>$L$1296-EFEITO!$O$1296*EFEITO!$AA$1296</f>
        <v>0</v>
      </c>
      <c r="P1296" s="18"/>
      <c r="Q1296" s="18"/>
      <c r="R1296" s="18"/>
      <c r="S1296" s="18"/>
      <c r="T1296" s="18"/>
      <c r="U1296" s="18"/>
      <c r="V1296" s="18"/>
      <c r="W1296" s="18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</row>
    <row r="1297" spans="1:36" ht="11.25" customHeight="1" x14ac:dyDescent="0.2">
      <c r="A1297" s="51" t="s">
        <v>28</v>
      </c>
      <c r="B1297" s="51" t="s">
        <v>22</v>
      </c>
      <c r="C1297" s="51" t="s">
        <v>23</v>
      </c>
      <c r="D1297" s="51" t="s">
        <v>24</v>
      </c>
      <c r="E1297" s="51" t="s">
        <v>24</v>
      </c>
      <c r="F1297" s="51" t="s">
        <v>25</v>
      </c>
      <c r="G1297" s="51" t="s">
        <v>25</v>
      </c>
      <c r="H1297" s="51" t="s">
        <v>25</v>
      </c>
      <c r="I1297" s="59">
        <v>44409</v>
      </c>
      <c r="J1297" s="60">
        <f>EFEITO!$J$1297*EFEITO!$Y$1297</f>
        <v>0</v>
      </c>
      <c r="K1297" s="60">
        <f ca="1">EFEITO!$L$1297*EFEITO!$Z$1297</f>
        <v>264224.81392341916</v>
      </c>
      <c r="L1297" s="60">
        <f>EFEITO!$N$1297*EFEITO!$AA$1297</f>
        <v>150819.01679907623</v>
      </c>
      <c r="M1297" s="60">
        <f>$J$1297-EFEITO!$K$1297*EFEITO!$Y$1297</f>
        <v>0</v>
      </c>
      <c r="N1297" s="60">
        <f ca="1">$K$1297-EFEITO!$M$1297*EFEITO!$Z$1297</f>
        <v>0</v>
      </c>
      <c r="O1297" s="60">
        <f>$L$1297-EFEITO!$O$1297*EFEITO!$AA$1297</f>
        <v>0</v>
      </c>
      <c r="P1297" s="18"/>
      <c r="Q1297" s="18"/>
      <c r="R1297" s="18"/>
      <c r="S1297" s="18"/>
      <c r="T1297" s="18"/>
      <c r="U1297" s="18"/>
      <c r="V1297" s="18"/>
      <c r="W1297" s="18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</row>
    <row r="1298" spans="1:36" ht="11.25" customHeight="1" x14ac:dyDescent="0.2">
      <c r="A1298" s="51" t="s">
        <v>28</v>
      </c>
      <c r="B1298" s="51" t="s">
        <v>22</v>
      </c>
      <c r="C1298" s="51" t="s">
        <v>23</v>
      </c>
      <c r="D1298" s="51" t="s">
        <v>24</v>
      </c>
      <c r="E1298" s="51" t="s">
        <v>24</v>
      </c>
      <c r="F1298" s="51" t="s">
        <v>25</v>
      </c>
      <c r="G1298" s="51" t="s">
        <v>25</v>
      </c>
      <c r="H1298" s="51" t="s">
        <v>25</v>
      </c>
      <c r="I1298" s="59">
        <v>44409</v>
      </c>
      <c r="J1298" s="60">
        <f>EFEITO!$J$1298*EFEITO!$Y$1298</f>
        <v>0</v>
      </c>
      <c r="K1298" s="60">
        <f ca="1">EFEITO!$L$1298*EFEITO!$Z$1298</f>
        <v>-3386.5804504515668</v>
      </c>
      <c r="L1298" s="60">
        <f>EFEITO!$N$1298*EFEITO!$AA$1298</f>
        <v>-1933.0536230261584</v>
      </c>
      <c r="M1298" s="60">
        <f>$J$1298-EFEITO!$K$1298*EFEITO!$Y$1298</f>
        <v>0</v>
      </c>
      <c r="N1298" s="60">
        <f ca="1">$K$1298-EFEITO!$M$1298*EFEITO!$Z$1298</f>
        <v>0</v>
      </c>
      <c r="O1298" s="60">
        <f>$L$1298-EFEITO!$O$1298*EFEITO!$AA$1298</f>
        <v>0</v>
      </c>
      <c r="P1298" s="18"/>
      <c r="Q1298" s="18"/>
      <c r="R1298" s="18"/>
      <c r="S1298" s="18"/>
      <c r="T1298" s="18"/>
      <c r="U1298" s="18"/>
      <c r="V1298" s="18"/>
      <c r="W1298" s="18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</row>
    <row r="1299" spans="1:36" ht="11.25" customHeight="1" x14ac:dyDescent="0.2">
      <c r="A1299" s="51" t="s">
        <v>21</v>
      </c>
      <c r="B1299" s="51" t="s">
        <v>22</v>
      </c>
      <c r="C1299" s="51" t="s">
        <v>23</v>
      </c>
      <c r="D1299" s="51" t="s">
        <v>24</v>
      </c>
      <c r="E1299" s="51" t="s">
        <v>24</v>
      </c>
      <c r="F1299" s="51" t="s">
        <v>25</v>
      </c>
      <c r="G1299" s="51" t="s">
        <v>25</v>
      </c>
      <c r="H1299" s="51" t="s">
        <v>25</v>
      </c>
      <c r="I1299" s="59">
        <v>44440</v>
      </c>
      <c r="J1299" s="60">
        <f>EFEITO!$J$1299*EFEITO!$Y$1299</f>
        <v>0</v>
      </c>
      <c r="K1299" s="60">
        <f ca="1">EFEITO!$L$1299*EFEITO!$Z$1299</f>
        <v>28120048.321446009</v>
      </c>
      <c r="L1299" s="60">
        <f>EFEITO!$N$1299*EFEITO!$AA$1299</f>
        <v>16050869.6257884</v>
      </c>
      <c r="M1299" s="60">
        <f>$J$1299-EFEITO!$K$1299*EFEITO!$Y$1299</f>
        <v>0</v>
      </c>
      <c r="N1299" s="60">
        <f ca="1">$K$1299-EFEITO!$M$1299*EFEITO!$Z$1299</f>
        <v>0</v>
      </c>
      <c r="O1299" s="60">
        <f>$L$1299-EFEITO!$O$1299*EFEITO!$AA$1299</f>
        <v>0</v>
      </c>
      <c r="P1299" s="18"/>
      <c r="Q1299" s="18"/>
      <c r="R1299" s="18"/>
      <c r="S1299" s="18"/>
      <c r="T1299" s="18"/>
      <c r="U1299" s="18"/>
      <c r="V1299" s="18"/>
      <c r="W1299" s="18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</row>
    <row r="1300" spans="1:36" ht="11.25" customHeight="1" x14ac:dyDescent="0.2">
      <c r="A1300" s="51" t="s">
        <v>27</v>
      </c>
      <c r="B1300" s="51" t="s">
        <v>22</v>
      </c>
      <c r="C1300" s="51" t="s">
        <v>23</v>
      </c>
      <c r="D1300" s="51" t="s">
        <v>24</v>
      </c>
      <c r="E1300" s="51" t="s">
        <v>24</v>
      </c>
      <c r="F1300" s="51" t="s">
        <v>25</v>
      </c>
      <c r="G1300" s="51" t="s">
        <v>25</v>
      </c>
      <c r="H1300" s="51" t="s">
        <v>25</v>
      </c>
      <c r="I1300" s="59">
        <v>44440</v>
      </c>
      <c r="J1300" s="60">
        <f>EFEITO!$J$1300*EFEITO!$Y$1300</f>
        <v>0</v>
      </c>
      <c r="K1300" s="60">
        <f ca="1">EFEITO!$L$1300*EFEITO!$Z$1300</f>
        <v>-69377.001137562009</v>
      </c>
      <c r="L1300" s="60">
        <f>EFEITO!$N$1300*EFEITO!$AA$1300</f>
        <v>-39600.25913034843</v>
      </c>
      <c r="M1300" s="60">
        <f>$J$1300-EFEITO!$K$1300*EFEITO!$Y$1300</f>
        <v>0</v>
      </c>
      <c r="N1300" s="60">
        <f ca="1">$K$1300-EFEITO!$M$1300*EFEITO!$Z$1300</f>
        <v>0</v>
      </c>
      <c r="O1300" s="60">
        <f>$L$1300-EFEITO!$O$1300*EFEITO!$AA$1300</f>
        <v>0</v>
      </c>
      <c r="P1300" s="18"/>
      <c r="Q1300" s="18"/>
      <c r="R1300" s="18"/>
      <c r="S1300" s="18"/>
      <c r="T1300" s="18"/>
      <c r="U1300" s="18"/>
      <c r="V1300" s="18"/>
      <c r="W1300" s="18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</row>
    <row r="1301" spans="1:36" ht="11.25" customHeight="1" x14ac:dyDescent="0.2">
      <c r="A1301" s="51" t="s">
        <v>28</v>
      </c>
      <c r="B1301" s="51" t="s">
        <v>22</v>
      </c>
      <c r="C1301" s="51" t="s">
        <v>23</v>
      </c>
      <c r="D1301" s="51" t="s">
        <v>24</v>
      </c>
      <c r="E1301" s="51" t="s">
        <v>24</v>
      </c>
      <c r="F1301" s="51" t="s">
        <v>25</v>
      </c>
      <c r="G1301" s="51" t="s">
        <v>25</v>
      </c>
      <c r="H1301" s="51" t="s">
        <v>25</v>
      </c>
      <c r="I1301" s="59">
        <v>44440</v>
      </c>
      <c r="J1301" s="60">
        <f>EFEITO!$J$1301*EFEITO!$Y$1301</f>
        <v>0</v>
      </c>
      <c r="K1301" s="60">
        <f ca="1">EFEITO!$L$1301*EFEITO!$Z$1301</f>
        <v>270005.88806616527</v>
      </c>
      <c r="L1301" s="60">
        <f>EFEITO!$N$1301*EFEITO!$AA$1301</f>
        <v>154118.84282716544</v>
      </c>
      <c r="M1301" s="60">
        <f>$J$1301-EFEITO!$K$1301*EFEITO!$Y$1301</f>
        <v>0</v>
      </c>
      <c r="N1301" s="60">
        <f ca="1">$K$1301-EFEITO!$M$1301*EFEITO!$Z$1301</f>
        <v>0</v>
      </c>
      <c r="O1301" s="60">
        <f>$L$1301-EFEITO!$O$1301*EFEITO!$AA$1301</f>
        <v>0</v>
      </c>
      <c r="P1301" s="18"/>
      <c r="Q1301" s="18"/>
      <c r="R1301" s="18"/>
      <c r="S1301" s="18"/>
      <c r="T1301" s="18"/>
      <c r="U1301" s="18"/>
      <c r="V1301" s="18"/>
      <c r="W1301" s="18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</row>
    <row r="1302" spans="1:36" ht="11.25" customHeight="1" x14ac:dyDescent="0.2">
      <c r="A1302" s="51" t="s">
        <v>28</v>
      </c>
      <c r="B1302" s="51" t="s">
        <v>22</v>
      </c>
      <c r="C1302" s="51" t="s">
        <v>23</v>
      </c>
      <c r="D1302" s="51" t="s">
        <v>24</v>
      </c>
      <c r="E1302" s="51" t="s">
        <v>24</v>
      </c>
      <c r="F1302" s="51" t="s">
        <v>25</v>
      </c>
      <c r="G1302" s="51" t="s">
        <v>25</v>
      </c>
      <c r="H1302" s="51" t="s">
        <v>25</v>
      </c>
      <c r="I1302" s="59">
        <v>44440</v>
      </c>
      <c r="J1302" s="60">
        <f>EFEITO!$J$1302*EFEITO!$Y$1302</f>
        <v>0</v>
      </c>
      <c r="K1302" s="60">
        <f ca="1">EFEITO!$L$1302*EFEITO!$Z$1302</f>
        <v>-4377.4337812259109</v>
      </c>
      <c r="L1302" s="60">
        <f>EFEITO!$N$1302*EFEITO!$AA$1302</f>
        <v>-2498.630803005889</v>
      </c>
      <c r="M1302" s="60">
        <f>$J$1302-EFEITO!$K$1302*EFEITO!$Y$1302</f>
        <v>0</v>
      </c>
      <c r="N1302" s="60">
        <f ca="1">$K$1302-EFEITO!$M$1302*EFEITO!$Z$1302</f>
        <v>0</v>
      </c>
      <c r="O1302" s="60">
        <f>$L$1302-EFEITO!$O$1302*EFEITO!$AA$1302</f>
        <v>0</v>
      </c>
      <c r="P1302" s="18"/>
      <c r="Q1302" s="18"/>
      <c r="R1302" s="18"/>
      <c r="S1302" s="18"/>
      <c r="T1302" s="18"/>
      <c r="U1302" s="18"/>
      <c r="V1302" s="18"/>
      <c r="W1302" s="18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</row>
    <row r="1303" spans="1:36" ht="11.25" customHeight="1" x14ac:dyDescent="0.2">
      <c r="A1303" s="51" t="s">
        <v>21</v>
      </c>
      <c r="B1303" s="51" t="s">
        <v>22</v>
      </c>
      <c r="C1303" s="51" t="s">
        <v>23</v>
      </c>
      <c r="D1303" s="51" t="s">
        <v>24</v>
      </c>
      <c r="E1303" s="51" t="s">
        <v>24</v>
      </c>
      <c r="F1303" s="51" t="s">
        <v>25</v>
      </c>
      <c r="G1303" s="51" t="s">
        <v>25</v>
      </c>
      <c r="H1303" s="51" t="s">
        <v>25</v>
      </c>
      <c r="I1303" s="59">
        <v>44470</v>
      </c>
      <c r="J1303" s="60">
        <f>EFEITO!$J$1303*EFEITO!$Y$1303</f>
        <v>0</v>
      </c>
      <c r="K1303" s="60">
        <f ca="1">EFEITO!$L$1303*EFEITO!$Z$1303</f>
        <v>28965108.068729661</v>
      </c>
      <c r="L1303" s="60">
        <f>EFEITO!$N$1303*EFEITO!$AA$1303</f>
        <v>16533228.108056972</v>
      </c>
      <c r="M1303" s="60">
        <f>$J$1303-EFEITO!$K$1303*EFEITO!$Y$1303</f>
        <v>0</v>
      </c>
      <c r="N1303" s="60">
        <f ca="1">$K$1303-EFEITO!$M$1303*EFEITO!$Z$1303</f>
        <v>0</v>
      </c>
      <c r="O1303" s="60">
        <f>$L$1303-EFEITO!$O$1303*EFEITO!$AA$1303</f>
        <v>0</v>
      </c>
      <c r="P1303" s="18"/>
      <c r="Q1303" s="18"/>
      <c r="R1303" s="18"/>
      <c r="S1303" s="18"/>
      <c r="T1303" s="18"/>
      <c r="U1303" s="18"/>
      <c r="V1303" s="18"/>
      <c r="W1303" s="18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</row>
    <row r="1304" spans="1:36" ht="11.25" customHeight="1" x14ac:dyDescent="0.2">
      <c r="A1304" s="51" t="s">
        <v>27</v>
      </c>
      <c r="B1304" s="51" t="s">
        <v>22</v>
      </c>
      <c r="C1304" s="51" t="s">
        <v>23</v>
      </c>
      <c r="D1304" s="51" t="s">
        <v>24</v>
      </c>
      <c r="E1304" s="51" t="s">
        <v>24</v>
      </c>
      <c r="F1304" s="51" t="s">
        <v>25</v>
      </c>
      <c r="G1304" s="51" t="s">
        <v>25</v>
      </c>
      <c r="H1304" s="51" t="s">
        <v>25</v>
      </c>
      <c r="I1304" s="59">
        <v>44470</v>
      </c>
      <c r="J1304" s="60">
        <f>EFEITO!$J$1304*EFEITO!$Y$1304</f>
        <v>0</v>
      </c>
      <c r="K1304" s="60">
        <f ca="1">EFEITO!$L$1304*EFEITO!$Z$1304</f>
        <v>-55356.220935874575</v>
      </c>
      <c r="L1304" s="60">
        <f>EFEITO!$N$1304*EFEITO!$AA$1304</f>
        <v>-31597.22469397134</v>
      </c>
      <c r="M1304" s="60">
        <f>$J$1304-EFEITO!$K$1304*EFEITO!$Y$1304</f>
        <v>0</v>
      </c>
      <c r="N1304" s="60">
        <f ca="1">$K$1304-EFEITO!$M$1304*EFEITO!$Z$1304</f>
        <v>0</v>
      </c>
      <c r="O1304" s="60">
        <f>$L$1304-EFEITO!$O$1304*EFEITO!$AA$1304</f>
        <v>0</v>
      </c>
      <c r="P1304" s="18"/>
      <c r="Q1304" s="18"/>
      <c r="R1304" s="18"/>
      <c r="S1304" s="18"/>
      <c r="T1304" s="18"/>
      <c r="U1304" s="18"/>
      <c r="V1304" s="18"/>
      <c r="W1304" s="18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</row>
    <row r="1305" spans="1:36" ht="11.25" customHeight="1" x14ac:dyDescent="0.2">
      <c r="A1305" s="51" t="s">
        <v>28</v>
      </c>
      <c r="B1305" s="51" t="s">
        <v>22</v>
      </c>
      <c r="C1305" s="51" t="s">
        <v>23</v>
      </c>
      <c r="D1305" s="51" t="s">
        <v>24</v>
      </c>
      <c r="E1305" s="51" t="s">
        <v>24</v>
      </c>
      <c r="F1305" s="51" t="s">
        <v>25</v>
      </c>
      <c r="G1305" s="51" t="s">
        <v>25</v>
      </c>
      <c r="H1305" s="51" t="s">
        <v>25</v>
      </c>
      <c r="I1305" s="59">
        <v>44470</v>
      </c>
      <c r="J1305" s="60">
        <f>EFEITO!$J$1305*EFEITO!$Y$1305</f>
        <v>0</v>
      </c>
      <c r="K1305" s="60">
        <f ca="1">EFEITO!$L$1305*EFEITO!$Z$1305</f>
        <v>292619.95684316999</v>
      </c>
      <c r="L1305" s="60">
        <f>EFEITO!$N$1305*EFEITO!$AA$1305</f>
        <v>167026.90989373191</v>
      </c>
      <c r="M1305" s="60">
        <f>$J$1305-EFEITO!$K$1305*EFEITO!$Y$1305</f>
        <v>0</v>
      </c>
      <c r="N1305" s="60">
        <f ca="1">$K$1305-EFEITO!$M$1305*EFEITO!$Z$1305</f>
        <v>0</v>
      </c>
      <c r="O1305" s="60">
        <f>$L$1305-EFEITO!$O$1305*EFEITO!$AA$1305</f>
        <v>0</v>
      </c>
      <c r="P1305" s="18"/>
      <c r="Q1305" s="18"/>
      <c r="R1305" s="18"/>
      <c r="S1305" s="18"/>
      <c r="T1305" s="18"/>
      <c r="U1305" s="18"/>
      <c r="V1305" s="18"/>
      <c r="W1305" s="18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</row>
    <row r="1306" spans="1:36" ht="11.25" customHeight="1" x14ac:dyDescent="0.2">
      <c r="A1306" s="51" t="s">
        <v>28</v>
      </c>
      <c r="B1306" s="51" t="s">
        <v>22</v>
      </c>
      <c r="C1306" s="51" t="s">
        <v>23</v>
      </c>
      <c r="D1306" s="51" t="s">
        <v>24</v>
      </c>
      <c r="E1306" s="51" t="s">
        <v>24</v>
      </c>
      <c r="F1306" s="51" t="s">
        <v>25</v>
      </c>
      <c r="G1306" s="51" t="s">
        <v>25</v>
      </c>
      <c r="H1306" s="51" t="s">
        <v>25</v>
      </c>
      <c r="I1306" s="59">
        <v>44470</v>
      </c>
      <c r="J1306" s="60">
        <f>EFEITO!$J$1306*EFEITO!$Y$1306</f>
        <v>0</v>
      </c>
      <c r="K1306" s="60">
        <f ca="1">EFEITO!$L$1306*EFEITO!$Z$1306</f>
        <v>-33.713681793981849</v>
      </c>
      <c r="L1306" s="60">
        <f>EFEITO!$N$1306*EFEITO!$AA$1306</f>
        <v>-19.243704878978388</v>
      </c>
      <c r="M1306" s="60">
        <f>$J$1306-EFEITO!$K$1306*EFEITO!$Y$1306</f>
        <v>0</v>
      </c>
      <c r="N1306" s="60">
        <f ca="1">$K$1306-EFEITO!$M$1306*EFEITO!$Z$1306</f>
        <v>0</v>
      </c>
      <c r="O1306" s="60">
        <f>$L$1306-EFEITO!$O$1306*EFEITO!$AA$1306</f>
        <v>0</v>
      </c>
      <c r="P1306" s="18"/>
      <c r="Q1306" s="18"/>
      <c r="R1306" s="18"/>
      <c r="S1306" s="18"/>
      <c r="T1306" s="18"/>
      <c r="U1306" s="18"/>
      <c r="V1306" s="18"/>
      <c r="W1306" s="18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</row>
    <row r="1307" spans="1:36" ht="11.25" customHeight="1" x14ac:dyDescent="0.2">
      <c r="A1307" s="51" t="s">
        <v>21</v>
      </c>
      <c r="B1307" s="51" t="s">
        <v>22</v>
      </c>
      <c r="C1307" s="51" t="s">
        <v>23</v>
      </c>
      <c r="D1307" s="51" t="s">
        <v>24</v>
      </c>
      <c r="E1307" s="51" t="s">
        <v>24</v>
      </c>
      <c r="F1307" s="51" t="s">
        <v>25</v>
      </c>
      <c r="G1307" s="51" t="s">
        <v>25</v>
      </c>
      <c r="H1307" s="51" t="s">
        <v>25</v>
      </c>
      <c r="I1307" s="59">
        <v>44501</v>
      </c>
      <c r="J1307" s="60">
        <f>EFEITO!$J$1307*EFEITO!$Y$1307</f>
        <v>0</v>
      </c>
      <c r="K1307" s="60">
        <f ca="1">EFEITO!$L$1307*EFEITO!$Z$1307</f>
        <v>29544644.203055903</v>
      </c>
      <c r="L1307" s="60">
        <f>EFEITO!$N$1307*EFEITO!$AA$1307</f>
        <v>16864026.221529972</v>
      </c>
      <c r="M1307" s="60">
        <f>$J$1307-EFEITO!$K$1307*EFEITO!$Y$1307</f>
        <v>0</v>
      </c>
      <c r="N1307" s="60">
        <f ca="1">$K$1307-EFEITO!$M$1307*EFEITO!$Z$1307</f>
        <v>0</v>
      </c>
      <c r="O1307" s="60">
        <f>$L$1307-EFEITO!$O$1307*EFEITO!$AA$1307</f>
        <v>0</v>
      </c>
      <c r="P1307" s="18"/>
      <c r="Q1307" s="18"/>
      <c r="R1307" s="18"/>
      <c r="S1307" s="18"/>
      <c r="T1307" s="18"/>
      <c r="U1307" s="18"/>
      <c r="V1307" s="18"/>
      <c r="W1307" s="18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</row>
    <row r="1308" spans="1:36" ht="11.25" customHeight="1" x14ac:dyDescent="0.2">
      <c r="A1308" s="51" t="s">
        <v>27</v>
      </c>
      <c r="B1308" s="51" t="s">
        <v>22</v>
      </c>
      <c r="C1308" s="51" t="s">
        <v>23</v>
      </c>
      <c r="D1308" s="51" t="s">
        <v>24</v>
      </c>
      <c r="E1308" s="51" t="s">
        <v>24</v>
      </c>
      <c r="F1308" s="51" t="s">
        <v>25</v>
      </c>
      <c r="G1308" s="51" t="s">
        <v>25</v>
      </c>
      <c r="H1308" s="51" t="s">
        <v>25</v>
      </c>
      <c r="I1308" s="59">
        <v>44501</v>
      </c>
      <c r="J1308" s="60">
        <f>EFEITO!$J$1308*EFEITO!$Y$1308</f>
        <v>0</v>
      </c>
      <c r="K1308" s="60">
        <f ca="1">EFEITO!$L$1308*EFEITO!$Z$1308</f>
        <v>-74666.348897069038</v>
      </c>
      <c r="L1308" s="60">
        <f>EFEITO!$N$1308*EFEITO!$AA$1308</f>
        <v>-42619.408682397901</v>
      </c>
      <c r="M1308" s="60">
        <f>$J$1308-EFEITO!$K$1308*EFEITO!$Y$1308</f>
        <v>0</v>
      </c>
      <c r="N1308" s="60">
        <f ca="1">$K$1308-EFEITO!$M$1308*EFEITO!$Z$1308</f>
        <v>0</v>
      </c>
      <c r="O1308" s="60">
        <f>$L$1308-EFEITO!$O$1308*EFEITO!$AA$1308</f>
        <v>0</v>
      </c>
      <c r="P1308" s="18"/>
      <c r="Q1308" s="18"/>
      <c r="R1308" s="18"/>
      <c r="S1308" s="18"/>
      <c r="T1308" s="18"/>
      <c r="U1308" s="18"/>
      <c r="V1308" s="18"/>
      <c r="W1308" s="18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</row>
    <row r="1309" spans="1:36" ht="11.25" customHeight="1" x14ac:dyDescent="0.2">
      <c r="A1309" s="51" t="s">
        <v>28</v>
      </c>
      <c r="B1309" s="51" t="s">
        <v>22</v>
      </c>
      <c r="C1309" s="51" t="s">
        <v>23</v>
      </c>
      <c r="D1309" s="51" t="s">
        <v>24</v>
      </c>
      <c r="E1309" s="51" t="s">
        <v>24</v>
      </c>
      <c r="F1309" s="51" t="s">
        <v>25</v>
      </c>
      <c r="G1309" s="51" t="s">
        <v>25</v>
      </c>
      <c r="H1309" s="51" t="s">
        <v>25</v>
      </c>
      <c r="I1309" s="59">
        <v>44501</v>
      </c>
      <c r="J1309" s="60">
        <f>EFEITO!$J$1309*EFEITO!$Y$1309</f>
        <v>0</v>
      </c>
      <c r="K1309" s="60">
        <f ca="1">EFEITO!$L$1309*EFEITO!$Z$1309</f>
        <v>313864.51008290931</v>
      </c>
      <c r="L1309" s="60">
        <f>EFEITO!$N$1309*EFEITO!$AA$1309</f>
        <v>179153.26011942176</v>
      </c>
      <c r="M1309" s="60">
        <f>$J$1309-EFEITO!$K$1309*EFEITO!$Y$1309</f>
        <v>0</v>
      </c>
      <c r="N1309" s="60">
        <f ca="1">$K$1309-EFEITO!$M$1309*EFEITO!$Z$1309</f>
        <v>0</v>
      </c>
      <c r="O1309" s="60">
        <f>$L$1309-EFEITO!$O$1309*EFEITO!$AA$1309</f>
        <v>0</v>
      </c>
      <c r="P1309" s="18"/>
      <c r="Q1309" s="18"/>
      <c r="R1309" s="18"/>
      <c r="S1309" s="18"/>
      <c r="T1309" s="18"/>
      <c r="U1309" s="18"/>
      <c r="V1309" s="18"/>
      <c r="W1309" s="18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</row>
    <row r="1310" spans="1:36" ht="11.25" customHeight="1" x14ac:dyDescent="0.2">
      <c r="A1310" s="51" t="s">
        <v>28</v>
      </c>
      <c r="B1310" s="51" t="s">
        <v>22</v>
      </c>
      <c r="C1310" s="51" t="s">
        <v>23</v>
      </c>
      <c r="D1310" s="51" t="s">
        <v>24</v>
      </c>
      <c r="E1310" s="51" t="s">
        <v>24</v>
      </c>
      <c r="F1310" s="51" t="s">
        <v>25</v>
      </c>
      <c r="G1310" s="51" t="s">
        <v>25</v>
      </c>
      <c r="H1310" s="51" t="s">
        <v>25</v>
      </c>
      <c r="I1310" s="59">
        <v>44501</v>
      </c>
      <c r="J1310" s="60">
        <f>EFEITO!$J$1310*EFEITO!$Y$1310</f>
        <v>0</v>
      </c>
      <c r="K1310" s="60">
        <f ca="1">EFEITO!$L$1310*EFEITO!$Z$1310</f>
        <v>-878.61143894803911</v>
      </c>
      <c r="L1310" s="60">
        <f>EFEITO!$N$1310*EFEITO!$AA$1310</f>
        <v>-501.50972349240021</v>
      </c>
      <c r="M1310" s="60">
        <f>$J$1310-EFEITO!$K$1310*EFEITO!$Y$1310</f>
        <v>0</v>
      </c>
      <c r="N1310" s="60">
        <f ca="1">$K$1310-EFEITO!$M$1310*EFEITO!$Z$1310</f>
        <v>0</v>
      </c>
      <c r="O1310" s="60">
        <f>$L$1310-EFEITO!$O$1310*EFEITO!$AA$1310</f>
        <v>0</v>
      </c>
      <c r="P1310" s="18"/>
      <c r="Q1310" s="18"/>
      <c r="R1310" s="18"/>
      <c r="S1310" s="18"/>
      <c r="T1310" s="18"/>
      <c r="U1310" s="18"/>
      <c r="V1310" s="18"/>
      <c r="W1310" s="18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</row>
    <row r="1311" spans="1:36" ht="11.25" customHeight="1" x14ac:dyDescent="0.2">
      <c r="A1311" s="51" t="s">
        <v>21</v>
      </c>
      <c r="B1311" s="51" t="s">
        <v>22</v>
      </c>
      <c r="C1311" s="51" t="s">
        <v>23</v>
      </c>
      <c r="D1311" s="51" t="s">
        <v>24</v>
      </c>
      <c r="E1311" s="51" t="s">
        <v>24</v>
      </c>
      <c r="F1311" s="51" t="s">
        <v>25</v>
      </c>
      <c r="G1311" s="51" t="s">
        <v>25</v>
      </c>
      <c r="H1311" s="51" t="s">
        <v>25</v>
      </c>
      <c r="I1311" s="59">
        <v>44531</v>
      </c>
      <c r="J1311" s="60">
        <f>EFEITO!$J$1311*EFEITO!$Y$1311</f>
        <v>0</v>
      </c>
      <c r="K1311" s="60">
        <f ca="1">EFEITO!$L$1311*EFEITO!$Z$1311</f>
        <v>34943114.927680835</v>
      </c>
      <c r="L1311" s="60">
        <f>EFEITO!$N$1311*EFEITO!$AA$1311</f>
        <v>19945462.952686146</v>
      </c>
      <c r="M1311" s="60">
        <f>$J$1311-EFEITO!$K$1311*EFEITO!$Y$1311</f>
        <v>0</v>
      </c>
      <c r="N1311" s="60">
        <f ca="1">$K$1311-EFEITO!$M$1311*EFEITO!$Z$1311</f>
        <v>0</v>
      </c>
      <c r="O1311" s="60">
        <f>$L$1311-EFEITO!$O$1311*EFEITO!$AA$1311</f>
        <v>0</v>
      </c>
      <c r="P1311" s="18"/>
      <c r="Q1311" s="18"/>
      <c r="R1311" s="18"/>
      <c r="S1311" s="18"/>
      <c r="T1311" s="18"/>
      <c r="U1311" s="18"/>
      <c r="V1311" s="18"/>
      <c r="W1311" s="18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</row>
    <row r="1312" spans="1:36" ht="11.25" customHeight="1" x14ac:dyDescent="0.2">
      <c r="A1312" s="51" t="s">
        <v>27</v>
      </c>
      <c r="B1312" s="51" t="s">
        <v>22</v>
      </c>
      <c r="C1312" s="51" t="s">
        <v>23</v>
      </c>
      <c r="D1312" s="51" t="s">
        <v>24</v>
      </c>
      <c r="E1312" s="51" t="s">
        <v>24</v>
      </c>
      <c r="F1312" s="51" t="s">
        <v>25</v>
      </c>
      <c r="G1312" s="51" t="s">
        <v>25</v>
      </c>
      <c r="H1312" s="51" t="s">
        <v>25</v>
      </c>
      <c r="I1312" s="59">
        <v>44531</v>
      </c>
      <c r="J1312" s="60">
        <f>EFEITO!$J$1312*EFEITO!$Y$1312</f>
        <v>0</v>
      </c>
      <c r="K1312" s="60">
        <f ca="1">EFEITO!$L$1312*EFEITO!$Z$1312</f>
        <v>-2618982.8207991179</v>
      </c>
      <c r="L1312" s="60">
        <f>EFEITO!$N$1312*EFEITO!$AA$1312</f>
        <v>-1494910.3688689726</v>
      </c>
      <c r="M1312" s="60">
        <f>$J$1312-EFEITO!$K$1312*EFEITO!$Y$1312</f>
        <v>0</v>
      </c>
      <c r="N1312" s="60">
        <f ca="1">$K$1312-EFEITO!$M$1312*EFEITO!$Z$1312</f>
        <v>0</v>
      </c>
      <c r="O1312" s="60">
        <f>$L$1312-EFEITO!$O$1312*EFEITO!$AA$1312</f>
        <v>0</v>
      </c>
      <c r="P1312" s="18"/>
      <c r="Q1312" s="18"/>
      <c r="R1312" s="18"/>
      <c r="S1312" s="18"/>
      <c r="T1312" s="18"/>
      <c r="U1312" s="18"/>
      <c r="V1312" s="18"/>
      <c r="W1312" s="18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</row>
    <row r="1313" spans="1:36" ht="11.25" customHeight="1" x14ac:dyDescent="0.2">
      <c r="A1313" s="51" t="s">
        <v>28</v>
      </c>
      <c r="B1313" s="51" t="s">
        <v>22</v>
      </c>
      <c r="C1313" s="51" t="s">
        <v>23</v>
      </c>
      <c r="D1313" s="51" t="s">
        <v>24</v>
      </c>
      <c r="E1313" s="51" t="s">
        <v>24</v>
      </c>
      <c r="F1313" s="51" t="s">
        <v>25</v>
      </c>
      <c r="G1313" s="51" t="s">
        <v>25</v>
      </c>
      <c r="H1313" s="51" t="s">
        <v>25</v>
      </c>
      <c r="I1313" s="59">
        <v>44531</v>
      </c>
      <c r="J1313" s="60">
        <f>EFEITO!$J$1313*EFEITO!$Y$1313</f>
        <v>0</v>
      </c>
      <c r="K1313" s="60">
        <f ca="1">EFEITO!$L$1313*EFEITO!$Z$1313</f>
        <v>374408.93773290899</v>
      </c>
      <c r="L1313" s="60">
        <f>EFEITO!$N$1313*EFEITO!$AA$1313</f>
        <v>213711.90325080566</v>
      </c>
      <c r="M1313" s="60">
        <f>$J$1313-EFEITO!$K$1313*EFEITO!$Y$1313</f>
        <v>0</v>
      </c>
      <c r="N1313" s="60">
        <f ca="1">$K$1313-EFEITO!$M$1313*EFEITO!$Z$1313</f>
        <v>0</v>
      </c>
      <c r="O1313" s="60">
        <f>$L$1313-EFEITO!$O$1313*EFEITO!$AA$1313</f>
        <v>0</v>
      </c>
      <c r="P1313" s="18"/>
      <c r="Q1313" s="18"/>
      <c r="R1313" s="18"/>
      <c r="S1313" s="18"/>
      <c r="T1313" s="18"/>
      <c r="U1313" s="18"/>
      <c r="V1313" s="18"/>
      <c r="W1313" s="18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</row>
    <row r="1314" spans="1:36" ht="11.25" customHeight="1" x14ac:dyDescent="0.2">
      <c r="A1314" s="51" t="s">
        <v>28</v>
      </c>
      <c r="B1314" s="51" t="s">
        <v>22</v>
      </c>
      <c r="C1314" s="51" t="s">
        <v>23</v>
      </c>
      <c r="D1314" s="51" t="s">
        <v>24</v>
      </c>
      <c r="E1314" s="51" t="s">
        <v>24</v>
      </c>
      <c r="F1314" s="51" t="s">
        <v>25</v>
      </c>
      <c r="G1314" s="51" t="s">
        <v>25</v>
      </c>
      <c r="H1314" s="51" t="s">
        <v>25</v>
      </c>
      <c r="I1314" s="59">
        <v>44531</v>
      </c>
      <c r="J1314" s="60">
        <f>EFEITO!$J$1314*EFEITO!$Y$1314</f>
        <v>0</v>
      </c>
      <c r="K1314" s="60">
        <f ca="1">EFEITO!$L$1314*EFEITO!$Z$1314</f>
        <v>-379.8956338736491</v>
      </c>
      <c r="L1314" s="60">
        <f>EFEITO!$N$1314*EFEITO!$AA$1314</f>
        <v>-216.84369888019552</v>
      </c>
      <c r="M1314" s="60">
        <f>$J$1314-EFEITO!$K$1314*EFEITO!$Y$1314</f>
        <v>0</v>
      </c>
      <c r="N1314" s="60">
        <f ca="1">$K$1314-EFEITO!$M$1314*EFEITO!$Z$1314</f>
        <v>0</v>
      </c>
      <c r="O1314" s="60">
        <f>$L$1314-EFEITO!$O$1314*EFEITO!$AA$1314</f>
        <v>0</v>
      </c>
      <c r="P1314" s="18"/>
      <c r="Q1314" s="18"/>
      <c r="R1314" s="18"/>
      <c r="S1314" s="18"/>
      <c r="T1314" s="18"/>
      <c r="U1314" s="18"/>
      <c r="V1314" s="18"/>
      <c r="W1314" s="18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</row>
    <row r="1315" spans="1:36" ht="11.25" customHeight="1" x14ac:dyDescent="0.2">
      <c r="A1315" s="51" t="s">
        <v>21</v>
      </c>
      <c r="B1315" s="51" t="s">
        <v>22</v>
      </c>
      <c r="C1315" s="51" t="s">
        <v>23</v>
      </c>
      <c r="D1315" s="51" t="s">
        <v>24</v>
      </c>
      <c r="E1315" s="51" t="s">
        <v>24</v>
      </c>
      <c r="F1315" s="51" t="s">
        <v>25</v>
      </c>
      <c r="G1315" s="51" t="s">
        <v>25</v>
      </c>
      <c r="H1315" s="51" t="s">
        <v>25</v>
      </c>
      <c r="I1315" s="59">
        <v>44562</v>
      </c>
      <c r="J1315" s="60">
        <f>EFEITO!$J$1315*EFEITO!$Y$1315</f>
        <v>0</v>
      </c>
      <c r="K1315" s="60">
        <f ca="1">EFEITO!$L$1315*EFEITO!$Z$1315</f>
        <v>31824689.401936453</v>
      </c>
      <c r="L1315" s="60">
        <f>EFEITO!$N$1315*EFEITO!$AA$1315</f>
        <v>18165471.646153428</v>
      </c>
      <c r="M1315" s="60">
        <f>$J$1315-EFEITO!$K$1315*EFEITO!$Y$1315</f>
        <v>0</v>
      </c>
      <c r="N1315" s="60">
        <f ca="1">$K$1315-EFEITO!$M$1315*EFEITO!$Z$1315</f>
        <v>0</v>
      </c>
      <c r="O1315" s="60">
        <f>$L$1315-EFEITO!$O$1315*EFEITO!$AA$1315</f>
        <v>0</v>
      </c>
      <c r="P1315" s="18"/>
      <c r="Q1315" s="18"/>
      <c r="R1315" s="18"/>
      <c r="S1315" s="18"/>
      <c r="T1315" s="18"/>
      <c r="U1315" s="18"/>
      <c r="V1315" s="18"/>
      <c r="W1315" s="18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</row>
    <row r="1316" spans="1:36" ht="11.25" customHeight="1" x14ac:dyDescent="0.2">
      <c r="A1316" s="51" t="s">
        <v>27</v>
      </c>
      <c r="B1316" s="51" t="s">
        <v>22</v>
      </c>
      <c r="C1316" s="51" t="s">
        <v>23</v>
      </c>
      <c r="D1316" s="51" t="s">
        <v>24</v>
      </c>
      <c r="E1316" s="51" t="s">
        <v>24</v>
      </c>
      <c r="F1316" s="51" t="s">
        <v>25</v>
      </c>
      <c r="G1316" s="51" t="s">
        <v>25</v>
      </c>
      <c r="H1316" s="51" t="s">
        <v>25</v>
      </c>
      <c r="I1316" s="59">
        <v>44562</v>
      </c>
      <c r="J1316" s="60">
        <f>EFEITO!$J$1316*EFEITO!$Y$1316</f>
        <v>0</v>
      </c>
      <c r="K1316" s="60">
        <f ca="1">EFEITO!$L$1316*EFEITO!$Z$1316</f>
        <v>-57051.361302174431</v>
      </c>
      <c r="L1316" s="60">
        <f>EFEITO!$N$1316*EFEITO!$AA$1316</f>
        <v>-32564.807562459489</v>
      </c>
      <c r="M1316" s="60">
        <f>$J$1316-EFEITO!$K$1316*EFEITO!$Y$1316</f>
        <v>0</v>
      </c>
      <c r="N1316" s="60">
        <f ca="1">$K$1316-EFEITO!$M$1316*EFEITO!$Z$1316</f>
        <v>0</v>
      </c>
      <c r="O1316" s="60">
        <f>$L$1316-EFEITO!$O$1316*EFEITO!$AA$1316</f>
        <v>0</v>
      </c>
      <c r="P1316" s="18"/>
      <c r="Q1316" s="18"/>
      <c r="R1316" s="18"/>
      <c r="S1316" s="18"/>
      <c r="T1316" s="18"/>
      <c r="U1316" s="18"/>
      <c r="V1316" s="18"/>
      <c r="W1316" s="18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</row>
    <row r="1317" spans="1:36" ht="11.25" customHeight="1" x14ac:dyDescent="0.2">
      <c r="A1317" s="51" t="s">
        <v>28</v>
      </c>
      <c r="B1317" s="51" t="s">
        <v>22</v>
      </c>
      <c r="C1317" s="51" t="s">
        <v>23</v>
      </c>
      <c r="D1317" s="51" t="s">
        <v>24</v>
      </c>
      <c r="E1317" s="51" t="s">
        <v>24</v>
      </c>
      <c r="F1317" s="51" t="s">
        <v>25</v>
      </c>
      <c r="G1317" s="51" t="s">
        <v>25</v>
      </c>
      <c r="H1317" s="51" t="s">
        <v>25</v>
      </c>
      <c r="I1317" s="59">
        <v>44562</v>
      </c>
      <c r="J1317" s="60">
        <f>EFEITO!$J$1317*EFEITO!$Y$1317</f>
        <v>0</v>
      </c>
      <c r="K1317" s="60">
        <f ca="1">EFEITO!$L$1317*EFEITO!$Z$1317</f>
        <v>411578.68305323488</v>
      </c>
      <c r="L1317" s="60">
        <f>EFEITO!$N$1317*EFEITO!$AA$1317</f>
        <v>234928.32255920712</v>
      </c>
      <c r="M1317" s="60">
        <f>$J$1317-EFEITO!$K$1317*EFEITO!$Y$1317</f>
        <v>0</v>
      </c>
      <c r="N1317" s="60">
        <f ca="1">$K$1317-EFEITO!$M$1317*EFEITO!$Z$1317</f>
        <v>0</v>
      </c>
      <c r="O1317" s="60">
        <f>$L$1317-EFEITO!$O$1317*EFEITO!$AA$1317</f>
        <v>0</v>
      </c>
      <c r="P1317" s="18"/>
      <c r="Q1317" s="18"/>
      <c r="R1317" s="18"/>
      <c r="S1317" s="18"/>
      <c r="T1317" s="18"/>
      <c r="U1317" s="18"/>
      <c r="V1317" s="18"/>
      <c r="W1317" s="18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</row>
    <row r="1318" spans="1:36" ht="11.25" customHeight="1" x14ac:dyDescent="0.2">
      <c r="A1318" s="51" t="s">
        <v>28</v>
      </c>
      <c r="B1318" s="51" t="s">
        <v>22</v>
      </c>
      <c r="C1318" s="51" t="s">
        <v>23</v>
      </c>
      <c r="D1318" s="51" t="s">
        <v>24</v>
      </c>
      <c r="E1318" s="51" t="s">
        <v>24</v>
      </c>
      <c r="F1318" s="51" t="s">
        <v>25</v>
      </c>
      <c r="G1318" s="51" t="s">
        <v>25</v>
      </c>
      <c r="H1318" s="51" t="s">
        <v>25</v>
      </c>
      <c r="I1318" s="59">
        <v>44562</v>
      </c>
      <c r="J1318" s="60">
        <f>EFEITO!$J$1318*EFEITO!$Y$1318</f>
        <v>0</v>
      </c>
      <c r="K1318" s="60">
        <f ca="1">EFEITO!$L$1318*EFEITO!$Z$1318</f>
        <v>-947.68337237961168</v>
      </c>
      <c r="L1318" s="60">
        <f>EFEITO!$N$1318*EFEITO!$AA$1318</f>
        <v>-540.93585056152665</v>
      </c>
      <c r="M1318" s="60">
        <f>$J$1318-EFEITO!$K$1318*EFEITO!$Y$1318</f>
        <v>0</v>
      </c>
      <c r="N1318" s="60">
        <f ca="1">$K$1318-EFEITO!$M$1318*EFEITO!$Z$1318</f>
        <v>0</v>
      </c>
      <c r="O1318" s="60">
        <f>$L$1318-EFEITO!$O$1318*EFEITO!$AA$1318</f>
        <v>0</v>
      </c>
      <c r="P1318" s="18"/>
      <c r="Q1318" s="18"/>
      <c r="R1318" s="18"/>
      <c r="S1318" s="18"/>
      <c r="T1318" s="18"/>
      <c r="U1318" s="18"/>
      <c r="V1318" s="18"/>
      <c r="W1318" s="18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</row>
    <row r="1319" spans="1:36" ht="11.25" customHeight="1" x14ac:dyDescent="0.2">
      <c r="A1319" s="51" t="s">
        <v>21</v>
      </c>
      <c r="B1319" s="51" t="s">
        <v>22</v>
      </c>
      <c r="C1319" s="51" t="s">
        <v>23</v>
      </c>
      <c r="D1319" s="51" t="s">
        <v>24</v>
      </c>
      <c r="E1319" s="51" t="s">
        <v>24</v>
      </c>
      <c r="F1319" s="51" t="s">
        <v>25</v>
      </c>
      <c r="G1319" s="51" t="s">
        <v>25</v>
      </c>
      <c r="H1319" s="51" t="s">
        <v>25</v>
      </c>
      <c r="I1319" s="59">
        <v>44593</v>
      </c>
      <c r="J1319" s="60">
        <f>EFEITO!$J$1319*EFEITO!$Y$1319</f>
        <v>0</v>
      </c>
      <c r="K1319" s="60">
        <f ca="1">EFEITO!$L$1319*EFEITO!$Z$1319</f>
        <v>32258068.091694105</v>
      </c>
      <c r="L1319" s="60">
        <f>EFEITO!$N$1319*EFEITO!$AA$1319</f>
        <v>18412843.370710175</v>
      </c>
      <c r="M1319" s="60">
        <f>$J$1319-EFEITO!$K$1319*EFEITO!$Y$1319</f>
        <v>0</v>
      </c>
      <c r="N1319" s="60">
        <f ca="1">$K$1319-EFEITO!$M$1319*EFEITO!$Z$1319</f>
        <v>0</v>
      </c>
      <c r="O1319" s="60">
        <f>$L$1319-EFEITO!$O$1319*EFEITO!$AA$1319</f>
        <v>0</v>
      </c>
      <c r="P1319" s="18"/>
      <c r="Q1319" s="18"/>
      <c r="R1319" s="18"/>
      <c r="S1319" s="18"/>
      <c r="T1319" s="18"/>
      <c r="U1319" s="18"/>
      <c r="V1319" s="18"/>
      <c r="W1319" s="18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</row>
    <row r="1320" spans="1:36" ht="11.25" customHeight="1" x14ac:dyDescent="0.2">
      <c r="A1320" s="51" t="s">
        <v>27</v>
      </c>
      <c r="B1320" s="51" t="s">
        <v>22</v>
      </c>
      <c r="C1320" s="51" t="s">
        <v>23</v>
      </c>
      <c r="D1320" s="51" t="s">
        <v>24</v>
      </c>
      <c r="E1320" s="51" t="s">
        <v>24</v>
      </c>
      <c r="F1320" s="51" t="s">
        <v>25</v>
      </c>
      <c r="G1320" s="51" t="s">
        <v>25</v>
      </c>
      <c r="H1320" s="51" t="s">
        <v>25</v>
      </c>
      <c r="I1320" s="59">
        <v>44593</v>
      </c>
      <c r="J1320" s="60">
        <f>EFEITO!$J$1320*EFEITO!$Y$1320</f>
        <v>0</v>
      </c>
      <c r="K1320" s="60">
        <f ca="1">EFEITO!$L$1320*EFEITO!$Z$1320</f>
        <v>-87123.554319945339</v>
      </c>
      <c r="L1320" s="60">
        <f>EFEITO!$N$1320*EFEITO!$AA$1320</f>
        <v>-49729.957635180421</v>
      </c>
      <c r="M1320" s="60">
        <f>$J$1320-EFEITO!$K$1320*EFEITO!$Y$1320</f>
        <v>0</v>
      </c>
      <c r="N1320" s="60">
        <f ca="1">$K$1320-EFEITO!$M$1320*EFEITO!$Z$1320</f>
        <v>0</v>
      </c>
      <c r="O1320" s="60">
        <f>$L$1320-EFEITO!$O$1320*EFEITO!$AA$1320</f>
        <v>0</v>
      </c>
      <c r="P1320" s="18"/>
      <c r="Q1320" s="18"/>
      <c r="R1320" s="18"/>
      <c r="S1320" s="18"/>
      <c r="T1320" s="18"/>
      <c r="U1320" s="18"/>
      <c r="V1320" s="18"/>
      <c r="W1320" s="18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</row>
    <row r="1321" spans="1:36" ht="11.25" customHeight="1" x14ac:dyDescent="0.2">
      <c r="A1321" s="51" t="s">
        <v>28</v>
      </c>
      <c r="B1321" s="51" t="s">
        <v>22</v>
      </c>
      <c r="C1321" s="51" t="s">
        <v>23</v>
      </c>
      <c r="D1321" s="51" t="s">
        <v>24</v>
      </c>
      <c r="E1321" s="51" t="s">
        <v>24</v>
      </c>
      <c r="F1321" s="51" t="s">
        <v>25</v>
      </c>
      <c r="G1321" s="51" t="s">
        <v>25</v>
      </c>
      <c r="H1321" s="51" t="s">
        <v>25</v>
      </c>
      <c r="I1321" s="59">
        <v>44593</v>
      </c>
      <c r="J1321" s="60">
        <f>EFEITO!$J$1321*EFEITO!$Y$1321</f>
        <v>0</v>
      </c>
      <c r="K1321" s="60">
        <f ca="1">EFEITO!$L$1321*EFEITO!$Z$1321</f>
        <v>413180.90522337082</v>
      </c>
      <c r="L1321" s="60">
        <f>EFEITO!$N$1321*EFEITO!$AA$1321</f>
        <v>235842.86789961418</v>
      </c>
      <c r="M1321" s="60">
        <f>$J$1321-EFEITO!$K$1321*EFEITO!$Y$1321</f>
        <v>0</v>
      </c>
      <c r="N1321" s="60">
        <f ca="1">$K$1321-EFEITO!$M$1321*EFEITO!$Z$1321</f>
        <v>0</v>
      </c>
      <c r="O1321" s="60">
        <f>$L$1321-EFEITO!$O$1321*EFEITO!$AA$1321</f>
        <v>0</v>
      </c>
      <c r="P1321" s="18"/>
      <c r="Q1321" s="18"/>
      <c r="R1321" s="18"/>
      <c r="S1321" s="18"/>
      <c r="T1321" s="18"/>
      <c r="U1321" s="18"/>
      <c r="V1321" s="18"/>
      <c r="W1321" s="18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</row>
    <row r="1322" spans="1:36" ht="11.25" customHeight="1" x14ac:dyDescent="0.2">
      <c r="A1322" s="51" t="s">
        <v>28</v>
      </c>
      <c r="B1322" s="51" t="s">
        <v>22</v>
      </c>
      <c r="C1322" s="51" t="s">
        <v>23</v>
      </c>
      <c r="D1322" s="51" t="s">
        <v>24</v>
      </c>
      <c r="E1322" s="51" t="s">
        <v>24</v>
      </c>
      <c r="F1322" s="51" t="s">
        <v>25</v>
      </c>
      <c r="G1322" s="51" t="s">
        <v>25</v>
      </c>
      <c r="H1322" s="51" t="s">
        <v>25</v>
      </c>
      <c r="I1322" s="59">
        <v>44593</v>
      </c>
      <c r="J1322" s="60">
        <f>EFEITO!$J$1322*EFEITO!$Y$1322</f>
        <v>0</v>
      </c>
      <c r="K1322" s="60">
        <f ca="1">EFEITO!$L$1322*EFEITO!$Z$1322</f>
        <v>-4180.9076849146513</v>
      </c>
      <c r="L1322" s="60">
        <f>EFEITO!$N$1322*EFEITO!$AA$1322</f>
        <v>-2386.4540843211125</v>
      </c>
      <c r="M1322" s="60">
        <f>$J$1322-EFEITO!$K$1322*EFEITO!$Y$1322</f>
        <v>0</v>
      </c>
      <c r="N1322" s="60">
        <f ca="1">$K$1322-EFEITO!$M$1322*EFEITO!$Z$1322</f>
        <v>0</v>
      </c>
      <c r="O1322" s="60">
        <f>$L$1322-EFEITO!$O$1322*EFEITO!$AA$1322</f>
        <v>0</v>
      </c>
      <c r="P1322" s="18"/>
      <c r="Q1322" s="18"/>
      <c r="R1322" s="18"/>
      <c r="S1322" s="18"/>
      <c r="T1322" s="18"/>
      <c r="U1322" s="18"/>
      <c r="V1322" s="18"/>
      <c r="W1322" s="18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</row>
    <row r="1323" spans="1:36" ht="11.25" customHeight="1" x14ac:dyDescent="0.2">
      <c r="A1323" s="51" t="s">
        <v>56</v>
      </c>
      <c r="B1323" s="51" t="s">
        <v>22</v>
      </c>
      <c r="C1323" s="51" t="s">
        <v>23</v>
      </c>
      <c r="D1323" s="51" t="s">
        <v>24</v>
      </c>
      <c r="E1323" s="51" t="s">
        <v>24</v>
      </c>
      <c r="F1323" s="51" t="s">
        <v>25</v>
      </c>
      <c r="G1323" s="51" t="s">
        <v>25</v>
      </c>
      <c r="H1323" s="51" t="s">
        <v>25</v>
      </c>
      <c r="I1323" s="59">
        <v>44621</v>
      </c>
      <c r="J1323" s="60">
        <f>EFEITO!$J$1323*EFEITO!$Y$1323</f>
        <v>0</v>
      </c>
      <c r="K1323" s="60">
        <f ca="1">EFEITO!$L$1323*EFEITO!$Z$1323</f>
        <v>32258068.091694105</v>
      </c>
      <c r="L1323" s="60">
        <f>EFEITO!$N$1323*EFEITO!$AA$1323</f>
        <v>18412843.370710175</v>
      </c>
      <c r="M1323" s="60">
        <f>$J$1323-EFEITO!$K$1323*EFEITO!$Y$1323</f>
        <v>0</v>
      </c>
      <c r="N1323" s="60">
        <f ca="1">$K$1323-EFEITO!$M$1323*EFEITO!$Z$1323</f>
        <v>0</v>
      </c>
      <c r="O1323" s="60">
        <f>$L$1323-EFEITO!$O$1323*EFEITO!$AA$1323</f>
        <v>0</v>
      </c>
      <c r="P1323" s="18"/>
      <c r="Q1323" s="18"/>
      <c r="R1323" s="18"/>
      <c r="S1323" s="18"/>
      <c r="T1323" s="18"/>
      <c r="U1323" s="18"/>
      <c r="V1323" s="18"/>
      <c r="W1323" s="18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</row>
    <row r="1324" spans="1:36" ht="11.25" customHeight="1" x14ac:dyDescent="0.2">
      <c r="A1324" s="51" t="s">
        <v>56</v>
      </c>
      <c r="B1324" s="51" t="s">
        <v>22</v>
      </c>
      <c r="C1324" s="51" t="s">
        <v>23</v>
      </c>
      <c r="D1324" s="51" t="s">
        <v>24</v>
      </c>
      <c r="E1324" s="51" t="s">
        <v>24</v>
      </c>
      <c r="F1324" s="51" t="s">
        <v>25</v>
      </c>
      <c r="G1324" s="51" t="s">
        <v>25</v>
      </c>
      <c r="H1324" s="51" t="s">
        <v>25</v>
      </c>
      <c r="I1324" s="59">
        <v>44621</v>
      </c>
      <c r="J1324" s="60">
        <f>EFEITO!$J$1324*EFEITO!$Y$1324</f>
        <v>0</v>
      </c>
      <c r="K1324" s="60">
        <f ca="1">EFEITO!$L$1324*EFEITO!$Z$1324</f>
        <v>-87123.554319945339</v>
      </c>
      <c r="L1324" s="60">
        <f>EFEITO!$N$1324*EFEITO!$AA$1324</f>
        <v>-49729.957635180421</v>
      </c>
      <c r="M1324" s="60">
        <f>$J$1324-EFEITO!$K$1324*EFEITO!$Y$1324</f>
        <v>0</v>
      </c>
      <c r="N1324" s="60">
        <f ca="1">$K$1324-EFEITO!$M$1324*EFEITO!$Z$1324</f>
        <v>0</v>
      </c>
      <c r="O1324" s="60">
        <f>$L$1324-EFEITO!$O$1324*EFEITO!$AA$1324</f>
        <v>0</v>
      </c>
      <c r="P1324" s="18"/>
      <c r="Q1324" s="18"/>
      <c r="R1324" s="18"/>
      <c r="S1324" s="18"/>
      <c r="T1324" s="18"/>
      <c r="U1324" s="18"/>
      <c r="V1324" s="18"/>
      <c r="W1324" s="18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</row>
    <row r="1325" spans="1:36" ht="11.25" customHeight="1" x14ac:dyDescent="0.2">
      <c r="A1325" s="51" t="s">
        <v>56</v>
      </c>
      <c r="B1325" s="51" t="s">
        <v>22</v>
      </c>
      <c r="C1325" s="51" t="s">
        <v>23</v>
      </c>
      <c r="D1325" s="51" t="s">
        <v>24</v>
      </c>
      <c r="E1325" s="51" t="s">
        <v>24</v>
      </c>
      <c r="F1325" s="51" t="s">
        <v>25</v>
      </c>
      <c r="G1325" s="51" t="s">
        <v>25</v>
      </c>
      <c r="H1325" s="51" t="s">
        <v>25</v>
      </c>
      <c r="I1325" s="59">
        <v>44621</v>
      </c>
      <c r="J1325" s="60">
        <f>EFEITO!$J$1325*EFEITO!$Y$1325</f>
        <v>0</v>
      </c>
      <c r="K1325" s="60">
        <f ca="1">EFEITO!$L$1325*EFEITO!$Z$1325</f>
        <v>413180.90522337082</v>
      </c>
      <c r="L1325" s="60">
        <f>EFEITO!$N$1325*EFEITO!$AA$1325</f>
        <v>235842.86789961418</v>
      </c>
      <c r="M1325" s="60">
        <f>$J$1325-EFEITO!$K$1325*EFEITO!$Y$1325</f>
        <v>0</v>
      </c>
      <c r="N1325" s="60">
        <f ca="1">$K$1325-EFEITO!$M$1325*EFEITO!$Z$1325</f>
        <v>0</v>
      </c>
      <c r="O1325" s="60">
        <f>$L$1325-EFEITO!$O$1325*EFEITO!$AA$1325</f>
        <v>0</v>
      </c>
      <c r="P1325" s="18"/>
      <c r="Q1325" s="18"/>
      <c r="R1325" s="18"/>
      <c r="S1325" s="18"/>
      <c r="T1325" s="18"/>
      <c r="U1325" s="18"/>
      <c r="V1325" s="18"/>
      <c r="W1325" s="18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</row>
    <row r="1326" spans="1:36" ht="11.25" customHeight="1" x14ac:dyDescent="0.2">
      <c r="A1326" s="51" t="s">
        <v>56</v>
      </c>
      <c r="B1326" s="51" t="s">
        <v>22</v>
      </c>
      <c r="C1326" s="51" t="s">
        <v>23</v>
      </c>
      <c r="D1326" s="51" t="s">
        <v>24</v>
      </c>
      <c r="E1326" s="51" t="s">
        <v>24</v>
      </c>
      <c r="F1326" s="51" t="s">
        <v>25</v>
      </c>
      <c r="G1326" s="51" t="s">
        <v>25</v>
      </c>
      <c r="H1326" s="51" t="s">
        <v>25</v>
      </c>
      <c r="I1326" s="59">
        <v>44621</v>
      </c>
      <c r="J1326" s="60">
        <f>EFEITO!$J$1326*EFEITO!$Y$1326</f>
        <v>0</v>
      </c>
      <c r="K1326" s="60">
        <f ca="1">EFEITO!$L$1326*EFEITO!$Z$1326</f>
        <v>-4180.9076849146513</v>
      </c>
      <c r="L1326" s="60">
        <f>EFEITO!$N$1326*EFEITO!$AA$1326</f>
        <v>-2386.4540843211125</v>
      </c>
      <c r="M1326" s="60">
        <f>$J$1326-EFEITO!$K$1326*EFEITO!$Y$1326</f>
        <v>0</v>
      </c>
      <c r="N1326" s="60">
        <f ca="1">$K$1326-EFEITO!$M$1326*EFEITO!$Z$1326</f>
        <v>0</v>
      </c>
      <c r="O1326" s="60">
        <f>$L$1326-EFEITO!$O$1326*EFEITO!$AA$1326</f>
        <v>0</v>
      </c>
      <c r="P1326" s="18"/>
      <c r="Q1326" s="18"/>
      <c r="R1326" s="18"/>
      <c r="S1326" s="18"/>
      <c r="T1326" s="18"/>
      <c r="U1326" s="18"/>
      <c r="V1326" s="18"/>
      <c r="W1326" s="18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</row>
    <row r="1327" spans="1:36" ht="11.25" customHeight="1" x14ac:dyDescent="0.2">
      <c r="A1327" s="51" t="s">
        <v>21</v>
      </c>
      <c r="B1327" s="51" t="s">
        <v>22</v>
      </c>
      <c r="C1327" s="51" t="s">
        <v>23</v>
      </c>
      <c r="D1327" s="51" t="s">
        <v>24</v>
      </c>
      <c r="E1327" s="51" t="s">
        <v>29</v>
      </c>
      <c r="F1327" s="51" t="s">
        <v>25</v>
      </c>
      <c r="G1327" s="51" t="s">
        <v>25</v>
      </c>
      <c r="H1327" s="51" t="s">
        <v>25</v>
      </c>
      <c r="I1327" s="59">
        <v>44287</v>
      </c>
      <c r="J1327" s="60">
        <f>EFEITO!$J$1327*EFEITO!$Y$1279</f>
        <v>0</v>
      </c>
      <c r="K1327" s="60">
        <f ca="1">EFEITO!$L$1327*EFEITO!$Z$1435</f>
        <v>2443228.5870112339</v>
      </c>
      <c r="L1327" s="60">
        <f>EFEITO!$N$1327*EFEITO!$AA$1435</f>
        <v>1607638.3492947335</v>
      </c>
      <c r="M1327" s="60">
        <f>$J$1327-EFEITO!$K$1327*EFEITO!$Y$1327</f>
        <v>0</v>
      </c>
      <c r="N1327" s="60">
        <f ca="1">$K$1327-EFEITO!$M$1327*EFEITO!$Z$1327</f>
        <v>1588098.5815573023</v>
      </c>
      <c r="O1327" s="60">
        <f>$L$1327-EFEITO!$O$1327*EFEITO!$AA$1327</f>
        <v>1044964.9270415767</v>
      </c>
      <c r="P1327" s="18"/>
      <c r="Q1327" s="18"/>
      <c r="R1327" s="18"/>
      <c r="S1327" s="18"/>
      <c r="T1327" s="18"/>
      <c r="U1327" s="18"/>
      <c r="V1327" s="18"/>
      <c r="W1327" s="18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</row>
    <row r="1328" spans="1:36" ht="11.25" customHeight="1" x14ac:dyDescent="0.2">
      <c r="A1328" s="51" t="s">
        <v>27</v>
      </c>
      <c r="B1328" s="51" t="s">
        <v>22</v>
      </c>
      <c r="C1328" s="51" t="s">
        <v>23</v>
      </c>
      <c r="D1328" s="51" t="s">
        <v>24</v>
      </c>
      <c r="E1328" s="51" t="s">
        <v>29</v>
      </c>
      <c r="F1328" s="51" t="s">
        <v>25</v>
      </c>
      <c r="G1328" s="51" t="s">
        <v>25</v>
      </c>
      <c r="H1328" s="51" t="s">
        <v>25</v>
      </c>
      <c r="I1328" s="59">
        <v>44287</v>
      </c>
      <c r="J1328" s="60">
        <f>EFEITO!$J$1328*EFEITO!$Y$1279</f>
        <v>0</v>
      </c>
      <c r="K1328" s="60">
        <f ca="1">EFEITO!$L$1328*EFEITO!$Z$1435</f>
        <v>-597.40023713255107</v>
      </c>
      <c r="L1328" s="60">
        <f>EFEITO!$N$1328*EFEITO!$AA$1435</f>
        <v>-393.08787405230248</v>
      </c>
      <c r="M1328" s="60">
        <f>$J$1328-EFEITO!$K$1328*EFEITO!$Y$1328</f>
        <v>0</v>
      </c>
      <c r="N1328" s="60">
        <f ca="1">$K$1328-EFEITO!$M$1328*EFEITO!$Z$1328</f>
        <v>-388.31015413615819</v>
      </c>
      <c r="O1328" s="60">
        <f>$L$1328-EFEITO!$O$1328*EFEITO!$AA$1328</f>
        <v>-255.50711813399661</v>
      </c>
      <c r="P1328" s="18"/>
      <c r="Q1328" s="18"/>
      <c r="R1328" s="18"/>
      <c r="S1328" s="18"/>
      <c r="T1328" s="18"/>
      <c r="U1328" s="18"/>
      <c r="V1328" s="18"/>
      <c r="W1328" s="18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</row>
    <row r="1329" spans="1:36" ht="11.25" customHeight="1" x14ac:dyDescent="0.2">
      <c r="A1329" s="51" t="s">
        <v>28</v>
      </c>
      <c r="B1329" s="51" t="s">
        <v>22</v>
      </c>
      <c r="C1329" s="51" t="s">
        <v>23</v>
      </c>
      <c r="D1329" s="51" t="s">
        <v>24</v>
      </c>
      <c r="E1329" s="51" t="s">
        <v>29</v>
      </c>
      <c r="F1329" s="51" t="s">
        <v>25</v>
      </c>
      <c r="G1329" s="51" t="s">
        <v>25</v>
      </c>
      <c r="H1329" s="51" t="s">
        <v>25</v>
      </c>
      <c r="I1329" s="59">
        <v>44287</v>
      </c>
      <c r="J1329" s="60">
        <f>EFEITO!$J$1329*EFEITO!$Y$1279</f>
        <v>0</v>
      </c>
      <c r="K1329" s="60">
        <f ca="1">EFEITO!$L$1329*EFEITO!$Z$1435</f>
        <v>470.78705254624919</v>
      </c>
      <c r="L1329" s="60">
        <f>EFEITO!$N$1329*EFEITO!$AA$1435</f>
        <v>309.77671268599357</v>
      </c>
      <c r="M1329" s="60">
        <f>$J$1329-EFEITO!$K$1329*EFEITO!$Y$1329</f>
        <v>0</v>
      </c>
      <c r="N1329" s="60">
        <f ca="1">$K$1329-EFEITO!$M$1329*EFEITO!$Z$1329</f>
        <v>306.011584155062</v>
      </c>
      <c r="O1329" s="60">
        <f>$L$1329-EFEITO!$O$1329*EFEITO!$AA$1329</f>
        <v>201.35486324589584</v>
      </c>
      <c r="P1329" s="18"/>
      <c r="Q1329" s="18"/>
      <c r="R1329" s="18"/>
      <c r="S1329" s="18"/>
      <c r="T1329" s="18"/>
      <c r="U1329" s="18"/>
      <c r="V1329" s="18"/>
      <c r="W1329" s="18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</row>
    <row r="1330" spans="1:36" ht="11.25" customHeight="1" x14ac:dyDescent="0.2">
      <c r="A1330" s="51" t="s">
        <v>21</v>
      </c>
      <c r="B1330" s="51" t="s">
        <v>22</v>
      </c>
      <c r="C1330" s="51" t="s">
        <v>23</v>
      </c>
      <c r="D1330" s="51" t="s">
        <v>24</v>
      </c>
      <c r="E1330" s="51" t="s">
        <v>29</v>
      </c>
      <c r="F1330" s="51" t="s">
        <v>25</v>
      </c>
      <c r="G1330" s="51" t="s">
        <v>25</v>
      </c>
      <c r="H1330" s="51" t="s">
        <v>25</v>
      </c>
      <c r="I1330" s="59">
        <v>44317</v>
      </c>
      <c r="J1330" s="60">
        <f>EFEITO!$J$1330*EFEITO!$Y$1279</f>
        <v>0</v>
      </c>
      <c r="K1330" s="60">
        <f ca="1">EFEITO!$L$1330*EFEITO!$Z$1435</f>
        <v>2448471.0861668224</v>
      </c>
      <c r="L1330" s="60">
        <f>EFEITO!$N$1330*EFEITO!$AA$1435</f>
        <v>1611087.9007339543</v>
      </c>
      <c r="M1330" s="60">
        <f>$J$1330-EFEITO!$K$1330*EFEITO!$Y$1330</f>
        <v>0</v>
      </c>
      <c r="N1330" s="60">
        <f ca="1">$K$1330-EFEITO!$M$1330*EFEITO!$Z$1330</f>
        <v>1591506.2060084345</v>
      </c>
      <c r="O1330" s="60">
        <f>$L$1330-EFEITO!$O$1330*EFEITO!$AA$1330</f>
        <v>1047207.1354770703</v>
      </c>
      <c r="P1330" s="18"/>
      <c r="Q1330" s="18"/>
      <c r="R1330" s="18"/>
      <c r="S1330" s="18"/>
      <c r="T1330" s="18"/>
      <c r="U1330" s="18"/>
      <c r="V1330" s="18"/>
      <c r="W1330" s="18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</row>
    <row r="1331" spans="1:36" ht="11.25" customHeight="1" x14ac:dyDescent="0.2">
      <c r="A1331" s="51" t="s">
        <v>27</v>
      </c>
      <c r="B1331" s="51" t="s">
        <v>22</v>
      </c>
      <c r="C1331" s="51" t="s">
        <v>23</v>
      </c>
      <c r="D1331" s="51" t="s">
        <v>24</v>
      </c>
      <c r="E1331" s="51" t="s">
        <v>29</v>
      </c>
      <c r="F1331" s="51" t="s">
        <v>25</v>
      </c>
      <c r="G1331" s="51" t="s">
        <v>25</v>
      </c>
      <c r="H1331" s="51" t="s">
        <v>25</v>
      </c>
      <c r="I1331" s="59">
        <v>44317</v>
      </c>
      <c r="J1331" s="60">
        <f>EFEITO!$J$1331*EFEITO!$Y$1279</f>
        <v>0</v>
      </c>
      <c r="K1331" s="60">
        <f ca="1">EFEITO!$L$1331*EFEITO!$Z$1435</f>
        <v>-57.065097278333234</v>
      </c>
      <c r="L1331" s="60">
        <f>EFEITO!$N$1331*EFEITO!$AA$1435</f>
        <v>-37.548692446787101</v>
      </c>
      <c r="M1331" s="60">
        <f>$J$1331-EFEITO!$K$1331*EFEITO!$Y$1331</f>
        <v>0</v>
      </c>
      <c r="N1331" s="60">
        <f ca="1">$K$1331-EFEITO!$M$1331*EFEITO!$Z$1331</f>
        <v>-37.092313230916602</v>
      </c>
      <c r="O1331" s="60">
        <f>$L$1331-EFEITO!$O$1331*EFEITO!$AA$1331</f>
        <v>-24.406650090411617</v>
      </c>
      <c r="P1331" s="18"/>
      <c r="Q1331" s="18"/>
      <c r="R1331" s="18"/>
      <c r="S1331" s="18"/>
      <c r="T1331" s="18"/>
      <c r="U1331" s="18"/>
      <c r="V1331" s="18"/>
      <c r="W1331" s="18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</row>
    <row r="1332" spans="1:36" ht="11.25" customHeight="1" x14ac:dyDescent="0.2">
      <c r="A1332" s="51" t="s">
        <v>28</v>
      </c>
      <c r="B1332" s="51" t="s">
        <v>22</v>
      </c>
      <c r="C1332" s="51" t="s">
        <v>23</v>
      </c>
      <c r="D1332" s="51" t="s">
        <v>24</v>
      </c>
      <c r="E1332" s="51" t="s">
        <v>29</v>
      </c>
      <c r="F1332" s="51" t="s">
        <v>25</v>
      </c>
      <c r="G1332" s="51" t="s">
        <v>25</v>
      </c>
      <c r="H1332" s="51" t="s">
        <v>25</v>
      </c>
      <c r="I1332" s="59">
        <v>44317</v>
      </c>
      <c r="J1332" s="60">
        <f>EFEITO!$J$1332*EFEITO!$Y$1279</f>
        <v>0</v>
      </c>
      <c r="K1332" s="60">
        <f ca="1">EFEITO!$L$1332*EFEITO!$Z$1435</f>
        <v>524.28558124468657</v>
      </c>
      <c r="L1332" s="60">
        <f>EFEITO!$N$1332*EFEITO!$AA$1435</f>
        <v>344.97861185485647</v>
      </c>
      <c r="M1332" s="60">
        <f>$J$1332-EFEITO!$K$1332*EFEITO!$Y$1332</f>
        <v>0</v>
      </c>
      <c r="N1332" s="60">
        <f ca="1">$K$1332-EFEITO!$M$1332*EFEITO!$Z$1332</f>
        <v>340.78562780904628</v>
      </c>
      <c r="O1332" s="60">
        <f>$L$1332-EFEITO!$O$1332*EFEITO!$AA$1332</f>
        <v>224.2360977056567</v>
      </c>
      <c r="P1332" s="18"/>
      <c r="Q1332" s="18"/>
      <c r="R1332" s="18"/>
      <c r="S1332" s="18"/>
      <c r="T1332" s="18"/>
      <c r="U1332" s="18"/>
      <c r="V1332" s="18"/>
      <c r="W1332" s="18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</row>
    <row r="1333" spans="1:36" ht="11.25" customHeight="1" x14ac:dyDescent="0.2">
      <c r="A1333" s="51" t="s">
        <v>21</v>
      </c>
      <c r="B1333" s="51" t="s">
        <v>22</v>
      </c>
      <c r="C1333" s="51" t="s">
        <v>23</v>
      </c>
      <c r="D1333" s="51" t="s">
        <v>24</v>
      </c>
      <c r="E1333" s="51" t="s">
        <v>29</v>
      </c>
      <c r="F1333" s="51" t="s">
        <v>25</v>
      </c>
      <c r="G1333" s="51" t="s">
        <v>25</v>
      </c>
      <c r="H1333" s="51" t="s">
        <v>25</v>
      </c>
      <c r="I1333" s="59">
        <v>44348</v>
      </c>
      <c r="J1333" s="60">
        <f>EFEITO!$J$1333*EFEITO!$Y$1279</f>
        <v>0</v>
      </c>
      <c r="K1333" s="60">
        <f ca="1">EFEITO!$L$1333*EFEITO!$Z$1435</f>
        <v>2456142.4185253205</v>
      </c>
      <c r="L1333" s="60">
        <f>EFEITO!$N$1333*EFEITO!$AA$1435</f>
        <v>1616135.6183954414</v>
      </c>
      <c r="M1333" s="60">
        <f>$J$1333-EFEITO!$K$1333*EFEITO!$Y$1333</f>
        <v>0</v>
      </c>
      <c r="N1333" s="60">
        <f ca="1">$K$1333-EFEITO!$M$1333*EFEITO!$Z$1333</f>
        <v>1596492.5720414585</v>
      </c>
      <c r="O1333" s="60">
        <f>$L$1333-EFEITO!$O$1333*EFEITO!$AA$1333</f>
        <v>1050488.1519570369</v>
      </c>
      <c r="P1333" s="18"/>
      <c r="Q1333" s="18"/>
      <c r="R1333" s="18"/>
      <c r="S1333" s="18"/>
      <c r="T1333" s="18"/>
      <c r="U1333" s="18"/>
      <c r="V1333" s="18"/>
      <c r="W1333" s="18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</row>
    <row r="1334" spans="1:36" ht="11.25" customHeight="1" x14ac:dyDescent="0.2">
      <c r="A1334" s="51" t="s">
        <v>27</v>
      </c>
      <c r="B1334" s="51" t="s">
        <v>22</v>
      </c>
      <c r="C1334" s="51" t="s">
        <v>23</v>
      </c>
      <c r="D1334" s="51" t="s">
        <v>24</v>
      </c>
      <c r="E1334" s="51" t="s">
        <v>29</v>
      </c>
      <c r="F1334" s="51" t="s">
        <v>25</v>
      </c>
      <c r="G1334" s="51" t="s">
        <v>25</v>
      </c>
      <c r="H1334" s="51" t="s">
        <v>25</v>
      </c>
      <c r="I1334" s="59">
        <v>44348</v>
      </c>
      <c r="J1334" s="60">
        <f>EFEITO!$J$1334*EFEITO!$Y$1279</f>
        <v>0</v>
      </c>
      <c r="K1334" s="60">
        <f ca="1">EFEITO!$L$1334*EFEITO!$Z$1435</f>
        <v>-44.938764106687422</v>
      </c>
      <c r="L1334" s="60">
        <f>EFEITO!$N$1334*EFEITO!$AA$1435</f>
        <v>-29.569595301844842</v>
      </c>
      <c r="M1334" s="60">
        <f>$J$1334-EFEITO!$K$1334*EFEITO!$Y$1334</f>
        <v>0</v>
      </c>
      <c r="N1334" s="60">
        <f ca="1">$K$1334-EFEITO!$M$1334*EFEITO!$Z$1334</f>
        <v>-29.210196669346825</v>
      </c>
      <c r="O1334" s="60">
        <f>$L$1334-EFEITO!$O$1334*EFEITO!$AA$1334</f>
        <v>-19.220236946199147</v>
      </c>
      <c r="P1334" s="18"/>
      <c r="Q1334" s="18"/>
      <c r="R1334" s="18"/>
      <c r="S1334" s="18"/>
      <c r="T1334" s="18"/>
      <c r="U1334" s="18"/>
      <c r="V1334" s="18"/>
      <c r="W1334" s="18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</row>
    <row r="1335" spans="1:36" ht="11.25" customHeight="1" x14ac:dyDescent="0.2">
      <c r="A1335" s="51" t="s">
        <v>28</v>
      </c>
      <c r="B1335" s="51" t="s">
        <v>22</v>
      </c>
      <c r="C1335" s="51" t="s">
        <v>23</v>
      </c>
      <c r="D1335" s="51" t="s">
        <v>24</v>
      </c>
      <c r="E1335" s="51" t="s">
        <v>29</v>
      </c>
      <c r="F1335" s="51" t="s">
        <v>25</v>
      </c>
      <c r="G1335" s="51" t="s">
        <v>25</v>
      </c>
      <c r="H1335" s="51" t="s">
        <v>25</v>
      </c>
      <c r="I1335" s="59">
        <v>44348</v>
      </c>
      <c r="J1335" s="60">
        <f>EFEITO!$J$1335*EFEITO!$Y$1279</f>
        <v>0</v>
      </c>
      <c r="K1335" s="60">
        <f ca="1">EFEITO!$L$1335*EFEITO!$Z$1435</f>
        <v>545.68499272406154</v>
      </c>
      <c r="L1335" s="60">
        <f>EFEITO!$N$1335*EFEITO!$AA$1435</f>
        <v>359.05937152240165</v>
      </c>
      <c r="M1335" s="60">
        <f>$J$1335-EFEITO!$K$1335*EFEITO!$Y$1335</f>
        <v>0</v>
      </c>
      <c r="N1335" s="60">
        <f ca="1">$K$1335-EFEITO!$M$1335*EFEITO!$Z$1335</f>
        <v>354.69524527064004</v>
      </c>
      <c r="O1335" s="60">
        <f>$L$1335-EFEITO!$O$1335*EFEITO!$AA$1335</f>
        <v>233.38859148956107</v>
      </c>
      <c r="P1335" s="18"/>
      <c r="Q1335" s="18"/>
      <c r="R1335" s="18"/>
      <c r="S1335" s="18"/>
      <c r="T1335" s="18"/>
      <c r="U1335" s="18"/>
      <c r="V1335" s="18"/>
      <c r="W1335" s="18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</row>
    <row r="1336" spans="1:36" ht="11.25" customHeight="1" x14ac:dyDescent="0.2">
      <c r="A1336" s="51" t="s">
        <v>21</v>
      </c>
      <c r="B1336" s="51" t="s">
        <v>22</v>
      </c>
      <c r="C1336" s="51" t="s">
        <v>23</v>
      </c>
      <c r="D1336" s="51" t="s">
        <v>24</v>
      </c>
      <c r="E1336" s="51" t="s">
        <v>29</v>
      </c>
      <c r="F1336" s="51" t="s">
        <v>25</v>
      </c>
      <c r="G1336" s="51" t="s">
        <v>25</v>
      </c>
      <c r="H1336" s="51" t="s">
        <v>25</v>
      </c>
      <c r="I1336" s="59">
        <v>44378</v>
      </c>
      <c r="J1336" s="60">
        <f>EFEITO!$J$1336*EFEITO!$Y$1279</f>
        <v>0</v>
      </c>
      <c r="K1336" s="60">
        <f ca="1">EFEITO!$L$1336*EFEITO!$Z$1435</f>
        <v>2472321.4435743019</v>
      </c>
      <c r="L1336" s="60">
        <f>EFEITO!$N$1336*EFEITO!$AA$1435</f>
        <v>1626781.3767420889</v>
      </c>
      <c r="M1336" s="60">
        <f>$J$1336-EFEITO!$K$1336*EFEITO!$Y$1336</f>
        <v>0</v>
      </c>
      <c r="N1336" s="60">
        <f ca="1">$K$1336-EFEITO!$M$1336*EFEITO!$Z$1336</f>
        <v>1607008.9383232961</v>
      </c>
      <c r="O1336" s="60">
        <f>$L$1336-EFEITO!$O$1336*EFEITO!$AA$1336</f>
        <v>1057407.8948823577</v>
      </c>
      <c r="P1336" s="18"/>
      <c r="Q1336" s="18"/>
      <c r="R1336" s="18"/>
      <c r="S1336" s="18"/>
      <c r="T1336" s="18"/>
      <c r="U1336" s="18"/>
      <c r="V1336" s="18"/>
      <c r="W1336" s="18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</row>
    <row r="1337" spans="1:36" ht="11.25" customHeight="1" x14ac:dyDescent="0.2">
      <c r="A1337" s="51" t="s">
        <v>27</v>
      </c>
      <c r="B1337" s="51" t="s">
        <v>22</v>
      </c>
      <c r="C1337" s="51" t="s">
        <v>23</v>
      </c>
      <c r="D1337" s="51" t="s">
        <v>24</v>
      </c>
      <c r="E1337" s="51" t="s">
        <v>29</v>
      </c>
      <c r="F1337" s="51" t="s">
        <v>25</v>
      </c>
      <c r="G1337" s="51" t="s">
        <v>25</v>
      </c>
      <c r="H1337" s="51" t="s">
        <v>25</v>
      </c>
      <c r="I1337" s="59">
        <v>44378</v>
      </c>
      <c r="J1337" s="60">
        <f>EFEITO!$J$1337*EFEITO!$Y$1279</f>
        <v>0</v>
      </c>
      <c r="K1337" s="60">
        <f ca="1">EFEITO!$L$1337*EFEITO!$Z$1435</f>
        <v>541.76176728617611</v>
      </c>
      <c r="L1337" s="60">
        <f>EFEITO!$N$1337*EFEITO!$AA$1435</f>
        <v>356.47789891668498</v>
      </c>
      <c r="M1337" s="60">
        <f>$J$1337-EFEITO!$K$1337*EFEITO!$Y$1337</f>
        <v>0</v>
      </c>
      <c r="N1337" s="60">
        <f ca="1">$K$1337-EFEITO!$M$1337*EFEITO!$Z$1337</f>
        <v>352.14514873601445</v>
      </c>
      <c r="O1337" s="60">
        <f>$L$1337-EFEITO!$O$1337*EFEITO!$AA$1337</f>
        <v>231.71063429584524</v>
      </c>
      <c r="P1337" s="18"/>
      <c r="Q1337" s="18"/>
      <c r="R1337" s="18"/>
      <c r="S1337" s="18"/>
      <c r="T1337" s="18"/>
      <c r="U1337" s="18"/>
      <c r="V1337" s="18"/>
      <c r="W1337" s="18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</row>
    <row r="1338" spans="1:36" ht="11.25" customHeight="1" x14ac:dyDescent="0.2">
      <c r="A1338" s="51" t="s">
        <v>28</v>
      </c>
      <c r="B1338" s="51" t="s">
        <v>22</v>
      </c>
      <c r="C1338" s="51" t="s">
        <v>23</v>
      </c>
      <c r="D1338" s="51" t="s">
        <v>24</v>
      </c>
      <c r="E1338" s="51" t="s">
        <v>29</v>
      </c>
      <c r="F1338" s="51" t="s">
        <v>25</v>
      </c>
      <c r="G1338" s="51" t="s">
        <v>25</v>
      </c>
      <c r="H1338" s="51" t="s">
        <v>25</v>
      </c>
      <c r="I1338" s="59">
        <v>44378</v>
      </c>
      <c r="J1338" s="60">
        <f>EFEITO!$J$1338*EFEITO!$Y$1279</f>
        <v>0</v>
      </c>
      <c r="K1338" s="60">
        <f ca="1">EFEITO!$L$1338*EFEITO!$Z$1435</f>
        <v>609.88322716218636</v>
      </c>
      <c r="L1338" s="60">
        <f>EFEITO!$N$1338*EFEITO!$AA$1435</f>
        <v>401.30165052503713</v>
      </c>
      <c r="M1338" s="60">
        <f>$J$1338-EFEITO!$K$1338*EFEITO!$Y$1338</f>
        <v>0</v>
      </c>
      <c r="N1338" s="60">
        <f ca="1">$K$1338-EFEITO!$M$1338*EFEITO!$Z$1338</f>
        <v>396.42409765542112</v>
      </c>
      <c r="O1338" s="60">
        <f>$L$1338-EFEITO!$O$1338*EFEITO!$AA$1338</f>
        <v>260.84607284127412</v>
      </c>
      <c r="P1338" s="18"/>
      <c r="Q1338" s="18"/>
      <c r="R1338" s="18"/>
      <c r="S1338" s="18"/>
      <c r="T1338" s="18"/>
      <c r="U1338" s="18"/>
      <c r="V1338" s="18"/>
      <c r="W1338" s="18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</row>
    <row r="1339" spans="1:36" ht="11.25" customHeight="1" x14ac:dyDescent="0.2">
      <c r="A1339" s="51" t="s">
        <v>21</v>
      </c>
      <c r="B1339" s="51" t="s">
        <v>22</v>
      </c>
      <c r="C1339" s="51" t="s">
        <v>23</v>
      </c>
      <c r="D1339" s="51" t="s">
        <v>24</v>
      </c>
      <c r="E1339" s="51" t="s">
        <v>29</v>
      </c>
      <c r="F1339" s="51" t="s">
        <v>25</v>
      </c>
      <c r="G1339" s="51" t="s">
        <v>25</v>
      </c>
      <c r="H1339" s="51" t="s">
        <v>25</v>
      </c>
      <c r="I1339" s="59">
        <v>44409</v>
      </c>
      <c r="J1339" s="60">
        <f>EFEITO!$J$1339*EFEITO!$Y$1279</f>
        <v>0</v>
      </c>
      <c r="K1339" s="60">
        <f ca="1">EFEITO!$L$1339*EFEITO!$Z$1435</f>
        <v>2486456.1115132873</v>
      </c>
      <c r="L1339" s="60">
        <f>EFEITO!$N$1339*EFEITO!$AA$1435</f>
        <v>1636081.9531818305</v>
      </c>
      <c r="M1339" s="60">
        <f>$J$1339-EFEITO!$K$1339*EFEITO!$Y$1339</f>
        <v>0</v>
      </c>
      <c r="N1339" s="60">
        <f ca="1">$K$1339-EFEITO!$M$1339*EFEITO!$Z$1339</f>
        <v>1616196.4724836368</v>
      </c>
      <c r="O1339" s="60">
        <f>$L$1339-EFEITO!$O$1339*EFEITO!$AA$1339</f>
        <v>1063453.26956819</v>
      </c>
      <c r="P1339" s="18"/>
      <c r="Q1339" s="18"/>
      <c r="R1339" s="18"/>
      <c r="S1339" s="18"/>
      <c r="T1339" s="18"/>
      <c r="U1339" s="18"/>
      <c r="V1339" s="18"/>
      <c r="W1339" s="18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</row>
    <row r="1340" spans="1:36" ht="11.25" customHeight="1" x14ac:dyDescent="0.2">
      <c r="A1340" s="51" t="s">
        <v>27</v>
      </c>
      <c r="B1340" s="51" t="s">
        <v>22</v>
      </c>
      <c r="C1340" s="51" t="s">
        <v>23</v>
      </c>
      <c r="D1340" s="51" t="s">
        <v>24</v>
      </c>
      <c r="E1340" s="51" t="s">
        <v>29</v>
      </c>
      <c r="F1340" s="51" t="s">
        <v>25</v>
      </c>
      <c r="G1340" s="51" t="s">
        <v>25</v>
      </c>
      <c r="H1340" s="51" t="s">
        <v>25</v>
      </c>
      <c r="I1340" s="59">
        <v>44409</v>
      </c>
      <c r="J1340" s="60">
        <f>EFEITO!$J$1340*EFEITO!$Y$1279</f>
        <v>0</v>
      </c>
      <c r="K1340" s="60">
        <f ca="1">EFEITO!$L$1340*EFEITO!$Z$1435</f>
        <v>1096.7198383179668</v>
      </c>
      <c r="L1340" s="60">
        <f>EFEITO!$N$1340*EFEITO!$AA$1435</f>
        <v>721.63893296168965</v>
      </c>
      <c r="M1340" s="60">
        <f>$J$1340-EFEITO!$K$1340*EFEITO!$Y$1340</f>
        <v>0</v>
      </c>
      <c r="N1340" s="60">
        <f ca="1">$K$1340-EFEITO!$M$1340*EFEITO!$Z$1340</f>
        <v>712.86789490667843</v>
      </c>
      <c r="O1340" s="60">
        <f>$L$1340-EFEITO!$O$1340*EFEITO!$AA$1340</f>
        <v>469.0653064250983</v>
      </c>
      <c r="P1340" s="18"/>
      <c r="Q1340" s="18"/>
      <c r="R1340" s="18"/>
      <c r="S1340" s="18"/>
      <c r="T1340" s="18"/>
      <c r="U1340" s="18"/>
      <c r="V1340" s="18"/>
      <c r="W1340" s="18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</row>
    <row r="1341" spans="1:36" ht="11.25" customHeight="1" x14ac:dyDescent="0.2">
      <c r="A1341" s="51" t="s">
        <v>28</v>
      </c>
      <c r="B1341" s="51" t="s">
        <v>22</v>
      </c>
      <c r="C1341" s="51" t="s">
        <v>23</v>
      </c>
      <c r="D1341" s="51" t="s">
        <v>24</v>
      </c>
      <c r="E1341" s="51" t="s">
        <v>29</v>
      </c>
      <c r="F1341" s="51" t="s">
        <v>25</v>
      </c>
      <c r="G1341" s="51" t="s">
        <v>25</v>
      </c>
      <c r="H1341" s="51" t="s">
        <v>25</v>
      </c>
      <c r="I1341" s="59">
        <v>44409</v>
      </c>
      <c r="J1341" s="60">
        <f>EFEITO!$J$1341*EFEITO!$Y$1279</f>
        <v>0</v>
      </c>
      <c r="K1341" s="60">
        <f ca="1">EFEITO!$L$1341*EFEITO!$Z$1435</f>
        <v>641.98234438124894</v>
      </c>
      <c r="L1341" s="60">
        <f>EFEITO!$N$1341*EFEITO!$AA$1435</f>
        <v>422.4227900263549</v>
      </c>
      <c r="M1341" s="60">
        <f>$J$1341-EFEITO!$K$1341*EFEITO!$Y$1341</f>
        <v>0</v>
      </c>
      <c r="N1341" s="60">
        <f ca="1">$K$1341-EFEITO!$M$1341*EFEITO!$Z$1341</f>
        <v>417.2885238478118</v>
      </c>
      <c r="O1341" s="60">
        <f>$L$1341-EFEITO!$O$1341*EFEITO!$AA$1341</f>
        <v>274.57481351713068</v>
      </c>
      <c r="P1341" s="18"/>
      <c r="Q1341" s="18"/>
      <c r="R1341" s="18"/>
      <c r="S1341" s="18"/>
      <c r="T1341" s="18"/>
      <c r="U1341" s="18"/>
      <c r="V1341" s="18"/>
      <c r="W1341" s="18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</row>
    <row r="1342" spans="1:36" ht="11.25" customHeight="1" x14ac:dyDescent="0.2">
      <c r="A1342" s="51" t="s">
        <v>21</v>
      </c>
      <c r="B1342" s="51" t="s">
        <v>22</v>
      </c>
      <c r="C1342" s="51" t="s">
        <v>23</v>
      </c>
      <c r="D1342" s="51" t="s">
        <v>24</v>
      </c>
      <c r="E1342" s="51" t="s">
        <v>29</v>
      </c>
      <c r="F1342" s="51" t="s">
        <v>25</v>
      </c>
      <c r="G1342" s="51" t="s">
        <v>25</v>
      </c>
      <c r="H1342" s="51" t="s">
        <v>25</v>
      </c>
      <c r="I1342" s="59">
        <v>44440</v>
      </c>
      <c r="J1342" s="60">
        <f>EFEITO!$J$1342*EFEITO!$Y$1279</f>
        <v>0</v>
      </c>
      <c r="K1342" s="60">
        <f ca="1">EFEITO!$L$1342*EFEITO!$Z$1435</f>
        <v>2452202.0735582518</v>
      </c>
      <c r="L1342" s="60">
        <f>EFEITO!$N$1342*EFEITO!$AA$1435</f>
        <v>1613542.8811819907</v>
      </c>
      <c r="M1342" s="60">
        <f>$J$1342-EFEITO!$K$1342*EFEITO!$Y$1342</f>
        <v>0</v>
      </c>
      <c r="N1342" s="60">
        <f ca="1">$K$1342-EFEITO!$M$1342*EFEITO!$Z$1342</f>
        <v>1593931.3478128638</v>
      </c>
      <c r="O1342" s="60">
        <f>$L$1342-EFEITO!$O$1342*EFEITO!$AA$1342</f>
        <v>1048802.8727682941</v>
      </c>
      <c r="P1342" s="18"/>
      <c r="Q1342" s="18"/>
      <c r="R1342" s="18"/>
      <c r="S1342" s="18"/>
      <c r="T1342" s="18"/>
      <c r="U1342" s="18"/>
      <c r="V1342" s="18"/>
      <c r="W1342" s="18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</row>
    <row r="1343" spans="1:36" ht="11.25" customHeight="1" x14ac:dyDescent="0.2">
      <c r="A1343" s="51" t="s">
        <v>27</v>
      </c>
      <c r="B1343" s="51" t="s">
        <v>22</v>
      </c>
      <c r="C1343" s="51" t="s">
        <v>23</v>
      </c>
      <c r="D1343" s="51" t="s">
        <v>24</v>
      </c>
      <c r="E1343" s="51" t="s">
        <v>29</v>
      </c>
      <c r="F1343" s="51" t="s">
        <v>25</v>
      </c>
      <c r="G1343" s="51" t="s">
        <v>25</v>
      </c>
      <c r="H1343" s="51" t="s">
        <v>25</v>
      </c>
      <c r="I1343" s="59">
        <v>44440</v>
      </c>
      <c r="J1343" s="60">
        <f>EFEITO!$J$1343*EFEITO!$Y$1279</f>
        <v>0</v>
      </c>
      <c r="K1343" s="60">
        <f ca="1">EFEITO!$L$1343*EFEITO!$Z$1435</f>
        <v>2589.6854458623602</v>
      </c>
      <c r="L1343" s="60">
        <f>EFEITO!$N$1343*EFEITO!$AA$1435</f>
        <v>1704.0065991007571</v>
      </c>
      <c r="M1343" s="60">
        <f>$J$1343-EFEITO!$K$1343*EFEITO!$Y$1343</f>
        <v>0</v>
      </c>
      <c r="N1343" s="60">
        <f ca="1">$K$1343-EFEITO!$M$1343*EFEITO!$Z$1343</f>
        <v>1683.2955398105341</v>
      </c>
      <c r="O1343" s="60">
        <f>$L$1343-EFEITO!$O$1343*EFEITO!$AA$1343</f>
        <v>1107.6042894154921</v>
      </c>
      <c r="P1343" s="18"/>
      <c r="Q1343" s="18"/>
      <c r="R1343" s="18"/>
      <c r="S1343" s="18"/>
      <c r="T1343" s="18"/>
      <c r="U1343" s="18"/>
      <c r="V1343" s="18"/>
      <c r="W1343" s="18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</row>
    <row r="1344" spans="1:36" ht="11.25" customHeight="1" x14ac:dyDescent="0.2">
      <c r="A1344" s="51" t="s">
        <v>28</v>
      </c>
      <c r="B1344" s="51" t="s">
        <v>22</v>
      </c>
      <c r="C1344" s="51" t="s">
        <v>23</v>
      </c>
      <c r="D1344" s="51" t="s">
        <v>24</v>
      </c>
      <c r="E1344" s="51" t="s">
        <v>29</v>
      </c>
      <c r="F1344" s="51" t="s">
        <v>25</v>
      </c>
      <c r="G1344" s="51" t="s">
        <v>25</v>
      </c>
      <c r="H1344" s="51" t="s">
        <v>25</v>
      </c>
      <c r="I1344" s="59">
        <v>44440</v>
      </c>
      <c r="J1344" s="60">
        <f>EFEITO!$J$1344*EFEITO!$Y$1279</f>
        <v>0</v>
      </c>
      <c r="K1344" s="60">
        <f ca="1">EFEITO!$L$1344*EFEITO!$Z$1435</f>
        <v>663.38175586062391</v>
      </c>
      <c r="L1344" s="60">
        <f>EFEITO!$N$1344*EFEITO!$AA$1435</f>
        <v>436.50354969390003</v>
      </c>
      <c r="M1344" s="60">
        <f>$J$1344-EFEITO!$K$1344*EFEITO!$Y$1344</f>
        <v>0</v>
      </c>
      <c r="N1344" s="60">
        <f ca="1">$K$1344-EFEITO!$M$1344*EFEITO!$Z$1344</f>
        <v>431.19814130940557</v>
      </c>
      <c r="O1344" s="60">
        <f>$L$1344-EFEITO!$O$1344*EFEITO!$AA$1344</f>
        <v>283.72730730103501</v>
      </c>
      <c r="P1344" s="18"/>
      <c r="Q1344" s="18"/>
      <c r="R1344" s="18"/>
      <c r="S1344" s="18"/>
      <c r="T1344" s="18"/>
      <c r="U1344" s="18"/>
      <c r="V1344" s="18"/>
      <c r="W1344" s="18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</row>
    <row r="1345" spans="1:36" ht="11.25" customHeight="1" x14ac:dyDescent="0.2">
      <c r="A1345" s="51" t="s">
        <v>21</v>
      </c>
      <c r="B1345" s="51" t="s">
        <v>22</v>
      </c>
      <c r="C1345" s="51" t="s">
        <v>23</v>
      </c>
      <c r="D1345" s="51" t="s">
        <v>24</v>
      </c>
      <c r="E1345" s="51" t="s">
        <v>29</v>
      </c>
      <c r="F1345" s="51" t="s">
        <v>25</v>
      </c>
      <c r="G1345" s="51" t="s">
        <v>25</v>
      </c>
      <c r="H1345" s="51" t="s">
        <v>25</v>
      </c>
      <c r="I1345" s="59">
        <v>44470</v>
      </c>
      <c r="J1345" s="60">
        <f>EFEITO!$J$1345*EFEITO!$Y$1279</f>
        <v>0</v>
      </c>
      <c r="K1345" s="60">
        <f ca="1">EFEITO!$L$1345*EFEITO!$Z$1435</f>
        <v>2470691.5217332896</v>
      </c>
      <c r="L1345" s="60">
        <f>EFEITO!$N$1345*EFEITO!$AA$1435</f>
        <v>1625708.8922140778</v>
      </c>
      <c r="M1345" s="60">
        <f>$J$1345-EFEITO!$K$1345*EFEITO!$Y$1345</f>
        <v>0</v>
      </c>
      <c r="N1345" s="60">
        <f ca="1">$K$1345-EFEITO!$M$1345*EFEITO!$Z$1345</f>
        <v>1605949.4891266383</v>
      </c>
      <c r="O1345" s="60">
        <f>$L$1345-EFEITO!$O$1345*EFEITO!$AA$1345</f>
        <v>1056710.7799391504</v>
      </c>
      <c r="P1345" s="18"/>
      <c r="Q1345" s="18"/>
      <c r="R1345" s="18"/>
      <c r="S1345" s="18"/>
      <c r="T1345" s="18"/>
      <c r="U1345" s="18"/>
      <c r="V1345" s="18"/>
      <c r="W1345" s="18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</row>
    <row r="1346" spans="1:36" ht="11.25" customHeight="1" x14ac:dyDescent="0.2">
      <c r="A1346" s="51" t="s">
        <v>27</v>
      </c>
      <c r="B1346" s="51" t="s">
        <v>22</v>
      </c>
      <c r="C1346" s="51" t="s">
        <v>23</v>
      </c>
      <c r="D1346" s="51" t="s">
        <v>24</v>
      </c>
      <c r="E1346" s="51" t="s">
        <v>29</v>
      </c>
      <c r="F1346" s="51" t="s">
        <v>25</v>
      </c>
      <c r="G1346" s="51" t="s">
        <v>25</v>
      </c>
      <c r="H1346" s="51" t="s">
        <v>25</v>
      </c>
      <c r="I1346" s="59">
        <v>44470</v>
      </c>
      <c r="J1346" s="60">
        <f>EFEITO!$J$1346*EFEITO!$Y$1279</f>
        <v>0</v>
      </c>
      <c r="K1346" s="60">
        <f ca="1">EFEITO!$L$1346*EFEITO!$Z$1435</f>
        <v>436.90465103723886</v>
      </c>
      <c r="L1346" s="60">
        <f>EFEITO!$N$1346*EFEITO!$AA$1435</f>
        <v>287.48217654571374</v>
      </c>
      <c r="M1346" s="60">
        <f>$J$1346-EFEITO!$K$1346*EFEITO!$Y$1346</f>
        <v>0</v>
      </c>
      <c r="N1346" s="60">
        <f ca="1">$K$1346-EFEITO!$M$1346*EFEITO!$Z$1346</f>
        <v>283.9880231742053</v>
      </c>
      <c r="O1346" s="60">
        <f>$L$1346-EFEITO!$O$1346*EFEITO!$AA$1346</f>
        <v>186.86341475471392</v>
      </c>
      <c r="P1346" s="18"/>
      <c r="Q1346" s="18"/>
      <c r="R1346" s="18"/>
      <c r="S1346" s="18"/>
      <c r="T1346" s="18"/>
      <c r="U1346" s="18"/>
      <c r="V1346" s="18"/>
      <c r="W1346" s="18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</row>
    <row r="1347" spans="1:36" ht="11.25" customHeight="1" x14ac:dyDescent="0.2">
      <c r="A1347" s="51" t="s">
        <v>28</v>
      </c>
      <c r="B1347" s="51" t="s">
        <v>22</v>
      </c>
      <c r="C1347" s="51" t="s">
        <v>23</v>
      </c>
      <c r="D1347" s="51" t="s">
        <v>24</v>
      </c>
      <c r="E1347" s="51" t="s">
        <v>29</v>
      </c>
      <c r="F1347" s="51" t="s">
        <v>25</v>
      </c>
      <c r="G1347" s="51" t="s">
        <v>25</v>
      </c>
      <c r="H1347" s="51" t="s">
        <v>25</v>
      </c>
      <c r="I1347" s="59">
        <v>44470</v>
      </c>
      <c r="J1347" s="60">
        <f>EFEITO!$J$1347*EFEITO!$Y$1279</f>
        <v>0</v>
      </c>
      <c r="K1347" s="60">
        <f ca="1">EFEITO!$L$1347*EFEITO!$Z$1435</f>
        <v>695.48087307968626</v>
      </c>
      <c r="L1347" s="60">
        <f>EFEITO!$N$1347*EFEITO!$AA$1435</f>
        <v>457.62468919521774</v>
      </c>
      <c r="M1347" s="60">
        <f>$J$1347-EFEITO!$K$1347*EFEITO!$Y$1347</f>
        <v>0</v>
      </c>
      <c r="N1347" s="60">
        <f ca="1">$K$1347-EFEITO!$M$1347*EFEITO!$Z$1347</f>
        <v>452.06256750179608</v>
      </c>
      <c r="O1347" s="60">
        <f>$L$1347-EFEITO!$O$1347*EFEITO!$AA$1347</f>
        <v>297.45604797689157</v>
      </c>
      <c r="P1347" s="18"/>
      <c r="Q1347" s="18"/>
      <c r="R1347" s="18"/>
      <c r="S1347" s="18"/>
      <c r="T1347" s="18"/>
      <c r="U1347" s="18"/>
      <c r="V1347" s="18"/>
      <c r="W1347" s="18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</row>
    <row r="1348" spans="1:36" ht="11.25" customHeight="1" x14ac:dyDescent="0.2">
      <c r="A1348" s="51" t="s">
        <v>21</v>
      </c>
      <c r="B1348" s="51" t="s">
        <v>22</v>
      </c>
      <c r="C1348" s="51" t="s">
        <v>23</v>
      </c>
      <c r="D1348" s="51" t="s">
        <v>24</v>
      </c>
      <c r="E1348" s="51" t="s">
        <v>29</v>
      </c>
      <c r="F1348" s="51" t="s">
        <v>25</v>
      </c>
      <c r="G1348" s="51" t="s">
        <v>25</v>
      </c>
      <c r="H1348" s="51" t="s">
        <v>25</v>
      </c>
      <c r="I1348" s="59">
        <v>44501</v>
      </c>
      <c r="J1348" s="60">
        <f>EFEITO!$J$1348*EFEITO!$Y$1279</f>
        <v>0</v>
      </c>
      <c r="K1348" s="60">
        <f ca="1">EFEITO!$L$1348*EFEITO!$Z$1435</f>
        <v>2476907.6941111903</v>
      </c>
      <c r="L1348" s="60">
        <f>EFEITO!$N$1348*EFEITO!$AA$1435</f>
        <v>1629799.1182181719</v>
      </c>
      <c r="M1348" s="60">
        <f>$J$1348-EFEITO!$K$1348*EFEITO!$Y$1348</f>
        <v>0</v>
      </c>
      <c r="N1348" s="60">
        <f ca="1">$K$1348-EFEITO!$M$1348*EFEITO!$Z$1348</f>
        <v>1609990.0011722739</v>
      </c>
      <c r="O1348" s="60">
        <f>$L$1348-EFEITO!$O$1348*EFEITO!$AA$1348</f>
        <v>1059369.4268418117</v>
      </c>
      <c r="P1348" s="18"/>
      <c r="Q1348" s="18"/>
      <c r="R1348" s="18"/>
      <c r="S1348" s="18"/>
      <c r="T1348" s="18"/>
      <c r="U1348" s="18"/>
      <c r="V1348" s="18"/>
      <c r="W1348" s="18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</row>
    <row r="1349" spans="1:36" ht="11.25" customHeight="1" x14ac:dyDescent="0.2">
      <c r="A1349" s="51" t="s">
        <v>27</v>
      </c>
      <c r="B1349" s="51" t="s">
        <v>22</v>
      </c>
      <c r="C1349" s="51" t="s">
        <v>23</v>
      </c>
      <c r="D1349" s="51" t="s">
        <v>24</v>
      </c>
      <c r="E1349" s="51" t="s">
        <v>29</v>
      </c>
      <c r="F1349" s="51" t="s">
        <v>25</v>
      </c>
      <c r="G1349" s="51" t="s">
        <v>25</v>
      </c>
      <c r="H1349" s="51" t="s">
        <v>25</v>
      </c>
      <c r="I1349" s="59">
        <v>44501</v>
      </c>
      <c r="J1349" s="60">
        <f>EFEITO!$J$1349*EFEITO!$Y$1279</f>
        <v>0</v>
      </c>
      <c r="K1349" s="60">
        <f ca="1">EFEITO!$L$1349*EFEITO!$Z$1435</f>
        <v>502.52951290732204</v>
      </c>
      <c r="L1349" s="60">
        <f>EFEITO!$N$1349*EFEITO!$AA$1435</f>
        <v>330.66317285951891</v>
      </c>
      <c r="M1349" s="60">
        <f>$J$1349-EFEITO!$K$1349*EFEITO!$Y$1349</f>
        <v>0</v>
      </c>
      <c r="N1349" s="60">
        <f ca="1">$K$1349-EFEITO!$M$1349*EFEITO!$Z$1349</f>
        <v>326.64418338975935</v>
      </c>
      <c r="O1349" s="60">
        <f>$L$1349-EFEITO!$O$1349*EFEITO!$AA$1349</f>
        <v>214.93106235868731</v>
      </c>
      <c r="P1349" s="18"/>
      <c r="Q1349" s="18"/>
      <c r="R1349" s="18"/>
      <c r="S1349" s="18"/>
      <c r="T1349" s="18"/>
      <c r="U1349" s="18"/>
      <c r="V1349" s="18"/>
      <c r="W1349" s="18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</row>
    <row r="1350" spans="1:36" ht="11.25" customHeight="1" x14ac:dyDescent="0.2">
      <c r="A1350" s="51" t="s">
        <v>28</v>
      </c>
      <c r="B1350" s="51" t="s">
        <v>22</v>
      </c>
      <c r="C1350" s="51" t="s">
        <v>23</v>
      </c>
      <c r="D1350" s="51" t="s">
        <v>24</v>
      </c>
      <c r="E1350" s="51" t="s">
        <v>29</v>
      </c>
      <c r="F1350" s="51" t="s">
        <v>25</v>
      </c>
      <c r="G1350" s="51" t="s">
        <v>25</v>
      </c>
      <c r="H1350" s="51" t="s">
        <v>25</v>
      </c>
      <c r="I1350" s="59">
        <v>44501</v>
      </c>
      <c r="J1350" s="60">
        <f>EFEITO!$J$1350*EFEITO!$Y$1279</f>
        <v>0</v>
      </c>
      <c r="K1350" s="60">
        <f ca="1">EFEITO!$L$1350*EFEITO!$Z$1435</f>
        <v>716.88028455906112</v>
      </c>
      <c r="L1350" s="60">
        <f>EFEITO!$N$1350*EFEITO!$AA$1435</f>
        <v>471.70544886276286</v>
      </c>
      <c r="M1350" s="60">
        <f>$J$1350-EFEITO!$K$1350*EFEITO!$Y$1350</f>
        <v>0</v>
      </c>
      <c r="N1350" s="60">
        <f ca="1">$K$1350-EFEITO!$M$1350*EFEITO!$Z$1350</f>
        <v>465.97218496338974</v>
      </c>
      <c r="O1350" s="60">
        <f>$L$1350-EFEITO!$O$1350*EFEITO!$AA$1350</f>
        <v>306.6085417607959</v>
      </c>
      <c r="P1350" s="18"/>
      <c r="Q1350" s="18"/>
      <c r="R1350" s="18"/>
      <c r="S1350" s="18"/>
      <c r="T1350" s="18"/>
      <c r="U1350" s="18"/>
      <c r="V1350" s="18"/>
      <c r="W1350" s="18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</row>
    <row r="1351" spans="1:36" ht="11.25" customHeight="1" x14ac:dyDescent="0.2">
      <c r="A1351" s="51" t="s">
        <v>21</v>
      </c>
      <c r="B1351" s="51" t="s">
        <v>22</v>
      </c>
      <c r="C1351" s="51" t="s">
        <v>23</v>
      </c>
      <c r="D1351" s="51" t="s">
        <v>24</v>
      </c>
      <c r="E1351" s="51" t="s">
        <v>29</v>
      </c>
      <c r="F1351" s="51" t="s">
        <v>25</v>
      </c>
      <c r="G1351" s="51" t="s">
        <v>25</v>
      </c>
      <c r="H1351" s="51" t="s">
        <v>25</v>
      </c>
      <c r="I1351" s="59">
        <v>44531</v>
      </c>
      <c r="J1351" s="60">
        <f>EFEITO!$J$1351*EFEITO!$Y$1279</f>
        <v>0</v>
      </c>
      <c r="K1351" s="60">
        <f ca="1">EFEITO!$L$1351*EFEITO!$Z$1435</f>
        <v>2473469.8786570285</v>
      </c>
      <c r="L1351" s="60">
        <f>EFEITO!$N$1351*EFEITO!$AA$1435</f>
        <v>1627537.0441775806</v>
      </c>
      <c r="M1351" s="60">
        <f>$J$1351-EFEITO!$K$1351*EFEITO!$Y$1351</f>
        <v>0</v>
      </c>
      <c r="N1351" s="60">
        <f ca="1">$K$1351-EFEITO!$M$1351*EFEITO!$Z$1351</f>
        <v>1607755.4211270686</v>
      </c>
      <c r="O1351" s="60">
        <f>$L$1351-EFEITO!$O$1351*EFEITO!$AA$1351</f>
        <v>1057899.0787154273</v>
      </c>
      <c r="P1351" s="18"/>
      <c r="Q1351" s="18"/>
      <c r="R1351" s="18"/>
      <c r="S1351" s="18"/>
      <c r="T1351" s="18"/>
      <c r="U1351" s="18"/>
      <c r="V1351" s="18"/>
      <c r="W1351" s="18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</row>
    <row r="1352" spans="1:36" ht="11.25" customHeight="1" x14ac:dyDescent="0.2">
      <c r="A1352" s="51" t="s">
        <v>27</v>
      </c>
      <c r="B1352" s="51" t="s">
        <v>22</v>
      </c>
      <c r="C1352" s="51" t="s">
        <v>23</v>
      </c>
      <c r="D1352" s="51" t="s">
        <v>24</v>
      </c>
      <c r="E1352" s="51" t="s">
        <v>29</v>
      </c>
      <c r="F1352" s="51" t="s">
        <v>25</v>
      </c>
      <c r="G1352" s="51" t="s">
        <v>25</v>
      </c>
      <c r="H1352" s="51" t="s">
        <v>25</v>
      </c>
      <c r="I1352" s="59">
        <v>44531</v>
      </c>
      <c r="J1352" s="60">
        <f>EFEITO!$J$1352*EFEITO!$Y$1279</f>
        <v>0</v>
      </c>
      <c r="K1352" s="60">
        <f ca="1">EFEITO!$L$1352*EFEITO!$Z$1435</f>
        <v>1138.8053475607376</v>
      </c>
      <c r="L1352" s="60">
        <f>EFEITO!$N$1352*EFEITO!$AA$1435</f>
        <v>749.33109364119503</v>
      </c>
      <c r="M1352" s="60">
        <f>$J$1352-EFEITO!$K$1352*EFEITO!$Y$1352</f>
        <v>0</v>
      </c>
      <c r="N1352" s="60">
        <f ca="1">$K$1352-EFEITO!$M$1352*EFEITO!$Z$1352</f>
        <v>740.22347591447942</v>
      </c>
      <c r="O1352" s="60">
        <f>$L$1352-EFEITO!$O$1352*EFEITO!$AA$1352</f>
        <v>487.06521086677674</v>
      </c>
      <c r="P1352" s="18"/>
      <c r="Q1352" s="18"/>
      <c r="R1352" s="18"/>
      <c r="S1352" s="18"/>
      <c r="T1352" s="18"/>
      <c r="U1352" s="18"/>
      <c r="V1352" s="18"/>
      <c r="W1352" s="18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</row>
    <row r="1353" spans="1:36" ht="11.25" customHeight="1" x14ac:dyDescent="0.2">
      <c r="A1353" s="51" t="s">
        <v>28</v>
      </c>
      <c r="B1353" s="51" t="s">
        <v>22</v>
      </c>
      <c r="C1353" s="51" t="s">
        <v>23</v>
      </c>
      <c r="D1353" s="51" t="s">
        <v>24</v>
      </c>
      <c r="E1353" s="51" t="s">
        <v>29</v>
      </c>
      <c r="F1353" s="51" t="s">
        <v>25</v>
      </c>
      <c r="G1353" s="51" t="s">
        <v>25</v>
      </c>
      <c r="H1353" s="51" t="s">
        <v>25</v>
      </c>
      <c r="I1353" s="59">
        <v>44531</v>
      </c>
      <c r="J1353" s="60">
        <f>EFEITO!$J$1353*EFEITO!$Y$1279</f>
        <v>0</v>
      </c>
      <c r="K1353" s="60">
        <f ca="1">EFEITO!$L$1353*EFEITO!$Z$1435</f>
        <v>759.67910751781108</v>
      </c>
      <c r="L1353" s="60">
        <f>EFEITO!$N$1353*EFEITO!$AA$1435</f>
        <v>499.86696819785323</v>
      </c>
      <c r="M1353" s="60">
        <f>$J$1353-EFEITO!$K$1353*EFEITO!$Y$1353</f>
        <v>0</v>
      </c>
      <c r="N1353" s="60">
        <f ca="1">$K$1353-EFEITO!$M$1353*EFEITO!$Z$1353</f>
        <v>493.79141988657722</v>
      </c>
      <c r="O1353" s="60">
        <f>$L$1353-EFEITO!$O$1353*EFEITO!$AA$1353</f>
        <v>324.91352932860457</v>
      </c>
      <c r="P1353" s="18"/>
      <c r="Q1353" s="18"/>
      <c r="R1353" s="18"/>
      <c r="S1353" s="18"/>
      <c r="T1353" s="18"/>
      <c r="U1353" s="18"/>
      <c r="V1353" s="18"/>
      <c r="W1353" s="18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</row>
    <row r="1354" spans="1:36" ht="11.25" customHeight="1" x14ac:dyDescent="0.2">
      <c r="A1354" s="51" t="s">
        <v>21</v>
      </c>
      <c r="B1354" s="51" t="s">
        <v>22</v>
      </c>
      <c r="C1354" s="51" t="s">
        <v>23</v>
      </c>
      <c r="D1354" s="51" t="s">
        <v>24</v>
      </c>
      <c r="E1354" s="51" t="s">
        <v>29</v>
      </c>
      <c r="F1354" s="51" t="s">
        <v>25</v>
      </c>
      <c r="G1354" s="51" t="s">
        <v>25</v>
      </c>
      <c r="H1354" s="51" t="s">
        <v>25</v>
      </c>
      <c r="I1354" s="59">
        <v>44562</v>
      </c>
      <c r="J1354" s="60">
        <f>EFEITO!$J$1354*EFEITO!$Y$1279</f>
        <v>0</v>
      </c>
      <c r="K1354" s="60">
        <f ca="1">EFEITO!$L$1354*EFEITO!$Z$1435</f>
        <v>2480319.1169578605</v>
      </c>
      <c r="L1354" s="60">
        <f>EFEITO!$N$1354*EFEITO!$AA$1435</f>
        <v>1632043.8259885062</v>
      </c>
      <c r="M1354" s="60">
        <f>$J$1354-EFEITO!$K$1354*EFEITO!$Y$1354</f>
        <v>0</v>
      </c>
      <c r="N1354" s="60">
        <f ca="1">$K$1354-EFEITO!$M$1354*EFEITO!$Z$1354</f>
        <v>1612207.4260226095</v>
      </c>
      <c r="O1354" s="60">
        <f>$L$1354-EFEITO!$O$1354*EFEITO!$AA$1354</f>
        <v>1060828.4868925291</v>
      </c>
      <c r="P1354" s="18"/>
      <c r="Q1354" s="18"/>
      <c r="R1354" s="18"/>
      <c r="S1354" s="18"/>
      <c r="T1354" s="18"/>
      <c r="U1354" s="18"/>
      <c r="V1354" s="18"/>
      <c r="W1354" s="18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</row>
    <row r="1355" spans="1:36" ht="11.25" customHeight="1" x14ac:dyDescent="0.2">
      <c r="A1355" s="51" t="s">
        <v>27</v>
      </c>
      <c r="B1355" s="51" t="s">
        <v>22</v>
      </c>
      <c r="C1355" s="51" t="s">
        <v>23</v>
      </c>
      <c r="D1355" s="51" t="s">
        <v>24</v>
      </c>
      <c r="E1355" s="51" t="s">
        <v>29</v>
      </c>
      <c r="F1355" s="51" t="s">
        <v>25</v>
      </c>
      <c r="G1355" s="51" t="s">
        <v>25</v>
      </c>
      <c r="H1355" s="51" t="s">
        <v>25</v>
      </c>
      <c r="I1355" s="59">
        <v>44562</v>
      </c>
      <c r="J1355" s="60">
        <f>EFEITO!$J$1355*EFEITO!$Y$1279</f>
        <v>0</v>
      </c>
      <c r="K1355" s="60">
        <f ca="1">EFEITO!$L$1355*EFEITO!$Z$1435</f>
        <v>100.9338908110519</v>
      </c>
      <c r="L1355" s="60">
        <f>EFEITO!$N$1355*EFEITO!$AA$1435</f>
        <v>66.414249765254681</v>
      </c>
      <c r="M1355" s="60">
        <f>$J$1355-EFEITO!$K$1355*EFEITO!$Y$1355</f>
        <v>0</v>
      </c>
      <c r="N1355" s="60">
        <f ca="1">$K$1355-EFEITO!$M$1355*EFEITO!$Z$1355</f>
        <v>65.607029027183728</v>
      </c>
      <c r="O1355" s="60">
        <f>$L$1355-EFEITO!$O$1355*EFEITO!$AA$1355</f>
        <v>43.16926234741554</v>
      </c>
      <c r="P1355" s="18"/>
      <c r="Q1355" s="18"/>
      <c r="R1355" s="18"/>
      <c r="S1355" s="18"/>
      <c r="T1355" s="18"/>
      <c r="U1355" s="18"/>
      <c r="V1355" s="18"/>
      <c r="W1355" s="18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</row>
    <row r="1356" spans="1:36" ht="11.25" customHeight="1" x14ac:dyDescent="0.2">
      <c r="A1356" s="51" t="s">
        <v>28</v>
      </c>
      <c r="B1356" s="51" t="s">
        <v>22</v>
      </c>
      <c r="C1356" s="51" t="s">
        <v>23</v>
      </c>
      <c r="D1356" s="51" t="s">
        <v>24</v>
      </c>
      <c r="E1356" s="51" t="s">
        <v>29</v>
      </c>
      <c r="F1356" s="51" t="s">
        <v>25</v>
      </c>
      <c r="G1356" s="51" t="s">
        <v>25</v>
      </c>
      <c r="H1356" s="51" t="s">
        <v>25</v>
      </c>
      <c r="I1356" s="59">
        <v>44562</v>
      </c>
      <c r="J1356" s="60">
        <f>EFEITO!$J$1356*EFEITO!$Y$1279</f>
        <v>0</v>
      </c>
      <c r="K1356" s="60">
        <f ca="1">EFEITO!$L$1356*EFEITO!$Z$1435</f>
        <v>834.57704769562349</v>
      </c>
      <c r="L1356" s="60">
        <f>EFEITO!$N$1356*EFEITO!$AA$1435</f>
        <v>549.14962703426124</v>
      </c>
      <c r="M1356" s="60">
        <f>$J$1356-EFEITO!$K$1356*EFEITO!$Y$1356</f>
        <v>0</v>
      </c>
      <c r="N1356" s="60">
        <f ca="1">$K$1356-EFEITO!$M$1356*EFEITO!$Z$1356</f>
        <v>542.47508100215532</v>
      </c>
      <c r="O1356" s="60">
        <f>$L$1356-EFEITO!$O$1356*EFEITO!$AA$1356</f>
        <v>356.94725757226979</v>
      </c>
      <c r="P1356" s="18"/>
      <c r="Q1356" s="18"/>
      <c r="R1356" s="18"/>
      <c r="S1356" s="18"/>
      <c r="T1356" s="18"/>
      <c r="U1356" s="18"/>
      <c r="V1356" s="18"/>
      <c r="W1356" s="18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</row>
    <row r="1357" spans="1:36" ht="11.25" customHeight="1" x14ac:dyDescent="0.2">
      <c r="A1357" s="51" t="s">
        <v>21</v>
      </c>
      <c r="B1357" s="51" t="s">
        <v>22</v>
      </c>
      <c r="C1357" s="51" t="s">
        <v>23</v>
      </c>
      <c r="D1357" s="51" t="s">
        <v>24</v>
      </c>
      <c r="E1357" s="51" t="s">
        <v>29</v>
      </c>
      <c r="F1357" s="51" t="s">
        <v>25</v>
      </c>
      <c r="G1357" s="51" t="s">
        <v>25</v>
      </c>
      <c r="H1357" s="51" t="s">
        <v>25</v>
      </c>
      <c r="I1357" s="59">
        <v>44593</v>
      </c>
      <c r="J1357" s="60">
        <f>EFEITO!$J$1357*EFEITO!$Y$1279</f>
        <v>0</v>
      </c>
      <c r="K1357" s="60">
        <f ca="1">EFEITO!$L$1357*EFEITO!$Z$1435</f>
        <v>2584414.0575012742</v>
      </c>
      <c r="L1357" s="60">
        <f>EFEITO!$N$1357*EFEITO!$AA$1435</f>
        <v>1700538.0386359852</v>
      </c>
      <c r="M1357" s="60">
        <f>$J$1357-EFEITO!$K$1357*EFEITO!$Y$1357</f>
        <v>0</v>
      </c>
      <c r="N1357" s="60">
        <f ca="1">$K$1357-EFEITO!$M$1357*EFEITO!$Z$1357</f>
        <v>1679869.1373758283</v>
      </c>
      <c r="O1357" s="60">
        <f>$L$1357-EFEITO!$O$1357*EFEITO!$AA$1357</f>
        <v>1105349.7251133905</v>
      </c>
      <c r="P1357" s="18"/>
      <c r="Q1357" s="18"/>
      <c r="R1357" s="18"/>
      <c r="S1357" s="18"/>
      <c r="T1357" s="18"/>
      <c r="U1357" s="18"/>
      <c r="V1357" s="18"/>
      <c r="W1357" s="18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</row>
    <row r="1358" spans="1:36" ht="11.25" customHeight="1" x14ac:dyDescent="0.2">
      <c r="A1358" s="51" t="s">
        <v>27</v>
      </c>
      <c r="B1358" s="51" t="s">
        <v>22</v>
      </c>
      <c r="C1358" s="51" t="s">
        <v>23</v>
      </c>
      <c r="D1358" s="51" t="s">
        <v>24</v>
      </c>
      <c r="E1358" s="51" t="s">
        <v>29</v>
      </c>
      <c r="F1358" s="51" t="s">
        <v>25</v>
      </c>
      <c r="G1358" s="51" t="s">
        <v>25</v>
      </c>
      <c r="H1358" s="51" t="s">
        <v>25</v>
      </c>
      <c r="I1358" s="59">
        <v>44593</v>
      </c>
      <c r="J1358" s="60">
        <f>EFEITO!$J$1358*EFEITO!$Y$1279</f>
        <v>0</v>
      </c>
      <c r="K1358" s="60">
        <f ca="1">EFEITO!$L$1358*EFEITO!$Z$1435</f>
        <v>411.93867097796806</v>
      </c>
      <c r="L1358" s="60">
        <f>EFEITO!$N$1358*EFEITO!$AA$1435</f>
        <v>271.05462360024438</v>
      </c>
      <c r="M1358" s="60">
        <f>$J$1358-EFEITO!$K$1358*EFEITO!$Y$1358</f>
        <v>0</v>
      </c>
      <c r="N1358" s="60">
        <f ca="1">$K$1358-EFEITO!$M$1358*EFEITO!$Z$1358</f>
        <v>267.76013613567926</v>
      </c>
      <c r="O1358" s="60">
        <f>$L$1358-EFEITO!$O$1358*EFEITO!$AA$1358</f>
        <v>176.18550534015884</v>
      </c>
      <c r="P1358" s="18"/>
      <c r="Q1358" s="18"/>
      <c r="R1358" s="18"/>
      <c r="S1358" s="18"/>
      <c r="T1358" s="18"/>
      <c r="U1358" s="18"/>
      <c r="V1358" s="18"/>
      <c r="W1358" s="18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</row>
    <row r="1359" spans="1:36" ht="11.25" customHeight="1" x14ac:dyDescent="0.2">
      <c r="A1359" s="51" t="s">
        <v>28</v>
      </c>
      <c r="B1359" s="51" t="s">
        <v>22</v>
      </c>
      <c r="C1359" s="51" t="s">
        <v>23</v>
      </c>
      <c r="D1359" s="51" t="s">
        <v>24</v>
      </c>
      <c r="E1359" s="51" t="s">
        <v>29</v>
      </c>
      <c r="F1359" s="51" t="s">
        <v>25</v>
      </c>
      <c r="G1359" s="51" t="s">
        <v>25</v>
      </c>
      <c r="H1359" s="51" t="s">
        <v>25</v>
      </c>
      <c r="I1359" s="59">
        <v>44593</v>
      </c>
      <c r="J1359" s="60">
        <f>EFEITO!$J$1359*EFEITO!$Y$1279</f>
        <v>0</v>
      </c>
      <c r="K1359" s="60">
        <f ca="1">EFEITO!$L$1359*EFEITO!$Z$1435</f>
        <v>866.67616491468607</v>
      </c>
      <c r="L1359" s="60">
        <f>EFEITO!$N$1359*EFEITO!$AA$1435</f>
        <v>570.27076653557913</v>
      </c>
      <c r="M1359" s="60">
        <f>$J$1359-EFEITO!$K$1359*EFEITO!$Y$1359</f>
        <v>0</v>
      </c>
      <c r="N1359" s="60">
        <f ca="1">$K$1359-EFEITO!$M$1359*EFEITO!$Z$1359</f>
        <v>563.33950719454594</v>
      </c>
      <c r="O1359" s="60">
        <f>$L$1359-EFEITO!$O$1359*EFEITO!$AA$1359</f>
        <v>370.67599824812646</v>
      </c>
      <c r="P1359" s="18"/>
      <c r="Q1359" s="18"/>
      <c r="R1359" s="18"/>
      <c r="S1359" s="18"/>
      <c r="T1359" s="18"/>
      <c r="U1359" s="18"/>
      <c r="V1359" s="18"/>
      <c r="W1359" s="18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</row>
    <row r="1360" spans="1:36" ht="11.25" customHeight="1" x14ac:dyDescent="0.2">
      <c r="A1360" s="51" t="s">
        <v>56</v>
      </c>
      <c r="B1360" s="51" t="s">
        <v>22</v>
      </c>
      <c r="C1360" s="51" t="s">
        <v>23</v>
      </c>
      <c r="D1360" s="51" t="s">
        <v>24</v>
      </c>
      <c r="E1360" s="51" t="s">
        <v>29</v>
      </c>
      <c r="F1360" s="51" t="s">
        <v>25</v>
      </c>
      <c r="G1360" s="51" t="s">
        <v>25</v>
      </c>
      <c r="H1360" s="51" t="s">
        <v>25</v>
      </c>
      <c r="I1360" s="59">
        <v>44621</v>
      </c>
      <c r="J1360" s="60">
        <f>EFEITO!$J$1360*EFEITO!$Y$1279</f>
        <v>0</v>
      </c>
      <c r="K1360" s="60">
        <f ca="1">EFEITO!$L$1360*EFEITO!$Z$1435</f>
        <v>2584414.0575012742</v>
      </c>
      <c r="L1360" s="60">
        <f>EFEITO!$N$1360*EFEITO!$AA$1435</f>
        <v>1700538.0386359852</v>
      </c>
      <c r="M1360" s="60">
        <f>$J$1360-EFEITO!$K$1360*EFEITO!$Y$1360</f>
        <v>0</v>
      </c>
      <c r="N1360" s="60">
        <f ca="1">$K$1360-EFEITO!$M$1360*EFEITO!$Z$1360</f>
        <v>1679869.1373758283</v>
      </c>
      <c r="O1360" s="60">
        <f>$L$1360-EFEITO!$O$1360*EFEITO!$AA$1360</f>
        <v>1105349.7251133905</v>
      </c>
      <c r="P1360" s="18"/>
      <c r="Q1360" s="18"/>
      <c r="R1360" s="18"/>
      <c r="S1360" s="18"/>
      <c r="T1360" s="18"/>
      <c r="U1360" s="18"/>
      <c r="V1360" s="18"/>
      <c r="W1360" s="18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</row>
    <row r="1361" spans="1:36" ht="11.25" customHeight="1" x14ac:dyDescent="0.2">
      <c r="A1361" s="51" t="s">
        <v>56</v>
      </c>
      <c r="B1361" s="51" t="s">
        <v>22</v>
      </c>
      <c r="C1361" s="51" t="s">
        <v>23</v>
      </c>
      <c r="D1361" s="51" t="s">
        <v>24</v>
      </c>
      <c r="E1361" s="51" t="s">
        <v>29</v>
      </c>
      <c r="F1361" s="51" t="s">
        <v>25</v>
      </c>
      <c r="G1361" s="51" t="s">
        <v>25</v>
      </c>
      <c r="H1361" s="51" t="s">
        <v>25</v>
      </c>
      <c r="I1361" s="59">
        <v>44621</v>
      </c>
      <c r="J1361" s="60">
        <f>EFEITO!$J$1361*EFEITO!$Y$1279</f>
        <v>0</v>
      </c>
      <c r="K1361" s="60">
        <f ca="1">EFEITO!$L$1361*EFEITO!$Z$1435</f>
        <v>411.93867097796806</v>
      </c>
      <c r="L1361" s="60">
        <f>EFEITO!$N$1361*EFEITO!$AA$1435</f>
        <v>271.05462360024438</v>
      </c>
      <c r="M1361" s="60">
        <f>$J$1361-EFEITO!$K$1361*EFEITO!$Y$1361</f>
        <v>0</v>
      </c>
      <c r="N1361" s="60">
        <f ca="1">$K$1361-EFEITO!$M$1361*EFEITO!$Z$1361</f>
        <v>267.76013613567926</v>
      </c>
      <c r="O1361" s="60">
        <f>$L$1361-EFEITO!$O$1361*EFEITO!$AA$1361</f>
        <v>176.18550534015884</v>
      </c>
      <c r="P1361" s="18"/>
      <c r="Q1361" s="18"/>
      <c r="R1361" s="18"/>
      <c r="S1361" s="18"/>
      <c r="T1361" s="18"/>
      <c r="U1361" s="18"/>
      <c r="V1361" s="18"/>
      <c r="W1361" s="18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</row>
    <row r="1362" spans="1:36" ht="11.25" customHeight="1" x14ac:dyDescent="0.2">
      <c r="A1362" s="51" t="s">
        <v>56</v>
      </c>
      <c r="B1362" s="51" t="s">
        <v>22</v>
      </c>
      <c r="C1362" s="51" t="s">
        <v>23</v>
      </c>
      <c r="D1362" s="51" t="s">
        <v>24</v>
      </c>
      <c r="E1362" s="51" t="s">
        <v>29</v>
      </c>
      <c r="F1362" s="51" t="s">
        <v>25</v>
      </c>
      <c r="G1362" s="51" t="s">
        <v>25</v>
      </c>
      <c r="H1362" s="51" t="s">
        <v>25</v>
      </c>
      <c r="I1362" s="59">
        <v>44621</v>
      </c>
      <c r="J1362" s="60">
        <f>EFEITO!$J$1362*EFEITO!$Y$1279</f>
        <v>0</v>
      </c>
      <c r="K1362" s="60">
        <f ca="1">EFEITO!$L$1362*EFEITO!$Z$1435</f>
        <v>866.67616491468607</v>
      </c>
      <c r="L1362" s="60">
        <f>EFEITO!$N$1362*EFEITO!$AA$1435</f>
        <v>570.27076653557913</v>
      </c>
      <c r="M1362" s="60">
        <f>$J$1362-EFEITO!$K$1362*EFEITO!$Y$1362</f>
        <v>0</v>
      </c>
      <c r="N1362" s="60">
        <f ca="1">$K$1362-EFEITO!$M$1362*EFEITO!$Z$1362</f>
        <v>563.33950719454594</v>
      </c>
      <c r="O1362" s="60">
        <f>$L$1362-EFEITO!$O$1362*EFEITO!$AA$1362</f>
        <v>370.67599824812646</v>
      </c>
      <c r="P1362" s="18"/>
      <c r="Q1362" s="18"/>
      <c r="R1362" s="18"/>
      <c r="S1362" s="18"/>
      <c r="T1362" s="18"/>
      <c r="U1362" s="18"/>
      <c r="V1362" s="18"/>
      <c r="W1362" s="18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</row>
    <row r="1363" spans="1:36" ht="11.25" customHeight="1" x14ac:dyDescent="0.2">
      <c r="A1363" s="51" t="s">
        <v>21</v>
      </c>
      <c r="B1363" s="51" t="s">
        <v>22</v>
      </c>
      <c r="C1363" s="51" t="s">
        <v>23</v>
      </c>
      <c r="D1363" s="51" t="s">
        <v>24</v>
      </c>
      <c r="E1363" s="51" t="s">
        <v>30</v>
      </c>
      <c r="F1363" s="51" t="s">
        <v>25</v>
      </c>
      <c r="G1363" s="51" t="s">
        <v>25</v>
      </c>
      <c r="H1363" s="51" t="s">
        <v>25</v>
      </c>
      <c r="I1363" s="59">
        <v>44287</v>
      </c>
      <c r="J1363" s="60">
        <f>EFEITO!$J$1363*EFEITO!$Y$1279</f>
        <v>0</v>
      </c>
      <c r="K1363" s="60">
        <f ca="1">EFEITO!$L$1363*EFEITO!$Z$1435</f>
        <v>4203027.7361742491</v>
      </c>
      <c r="L1363" s="60">
        <f>EFEITO!$N$1363*EFEITO!$AA$1435</f>
        <v>2765581.8238803549</v>
      </c>
      <c r="M1363" s="60">
        <f>$J$1363-EFEITO!$K$1363*EFEITO!$Y$1363</f>
        <v>0</v>
      </c>
      <c r="N1363" s="60">
        <f ca="1">$K$1363-EFEITO!$M$1363*EFEITO!$Z$1363</f>
        <v>1681211.0944697</v>
      </c>
      <c r="O1363" s="60">
        <f>$L$1363-EFEITO!$O$1363*EFEITO!$AA$1363</f>
        <v>1106232.7295521421</v>
      </c>
      <c r="P1363" s="18"/>
      <c r="Q1363" s="18"/>
      <c r="R1363" s="18"/>
      <c r="S1363" s="18"/>
      <c r="T1363" s="18"/>
      <c r="U1363" s="18"/>
      <c r="V1363" s="18"/>
      <c r="W1363" s="18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</row>
    <row r="1364" spans="1:36" ht="11.25" customHeight="1" x14ac:dyDescent="0.2">
      <c r="A1364" s="51" t="s">
        <v>27</v>
      </c>
      <c r="B1364" s="51" t="s">
        <v>22</v>
      </c>
      <c r="C1364" s="51" t="s">
        <v>23</v>
      </c>
      <c r="D1364" s="51" t="s">
        <v>24</v>
      </c>
      <c r="E1364" s="51" t="s">
        <v>30</v>
      </c>
      <c r="F1364" s="51" t="s">
        <v>25</v>
      </c>
      <c r="G1364" s="51" t="s">
        <v>25</v>
      </c>
      <c r="H1364" s="51" t="s">
        <v>25</v>
      </c>
      <c r="I1364" s="59">
        <v>44287</v>
      </c>
      <c r="J1364" s="60">
        <f>EFEITO!$J$1364*EFEITO!$Y$1279</f>
        <v>0</v>
      </c>
      <c r="K1364" s="60">
        <f ca="1">EFEITO!$L$1364*EFEITO!$Z$1435</f>
        <v>-1030.3816627319043</v>
      </c>
      <c r="L1364" s="60">
        <f>EFEITO!$N$1364*EFEITO!$AA$1435</f>
        <v>-677.9885779922995</v>
      </c>
      <c r="M1364" s="60">
        <f>$J$1364-EFEITO!$K$1364*EFEITO!$Y$1364</f>
        <v>0</v>
      </c>
      <c r="N1364" s="60">
        <f ca="1">$K$1364-EFEITO!$M$1364*EFEITO!$Z$1364</f>
        <v>-412.15266509276171</v>
      </c>
      <c r="O1364" s="60">
        <f>$L$1364-EFEITO!$O$1364*EFEITO!$AA$1364</f>
        <v>-271.19543119691986</v>
      </c>
      <c r="P1364" s="18"/>
      <c r="Q1364" s="18"/>
      <c r="R1364" s="18"/>
      <c r="S1364" s="18"/>
      <c r="T1364" s="18"/>
      <c r="U1364" s="18"/>
      <c r="V1364" s="18"/>
      <c r="W1364" s="18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</row>
    <row r="1365" spans="1:36" ht="11.25" customHeight="1" x14ac:dyDescent="0.2">
      <c r="A1365" s="51" t="s">
        <v>28</v>
      </c>
      <c r="B1365" s="51" t="s">
        <v>22</v>
      </c>
      <c r="C1365" s="51" t="s">
        <v>23</v>
      </c>
      <c r="D1365" s="51" t="s">
        <v>24</v>
      </c>
      <c r="E1365" s="51" t="s">
        <v>30</v>
      </c>
      <c r="F1365" s="51" t="s">
        <v>25</v>
      </c>
      <c r="G1365" s="51" t="s">
        <v>25</v>
      </c>
      <c r="H1365" s="51" t="s">
        <v>25</v>
      </c>
      <c r="I1365" s="59">
        <v>44287</v>
      </c>
      <c r="J1365" s="60">
        <f>EFEITO!$J$1365*EFEITO!$Y$1279</f>
        <v>0</v>
      </c>
      <c r="K1365" s="60">
        <f ca="1">EFEITO!$L$1365*EFEITO!$Z$1435</f>
        <v>661.95512842866549</v>
      </c>
      <c r="L1365" s="60">
        <f>EFEITO!$N$1365*EFEITO!$AA$1435</f>
        <v>435.5648323827304</v>
      </c>
      <c r="M1365" s="60">
        <f>$J$1365-EFEITO!$K$1365*EFEITO!$Y$1365</f>
        <v>0</v>
      </c>
      <c r="N1365" s="60">
        <f ca="1">$K$1365-EFEITO!$M$1365*EFEITO!$Z$1365</f>
        <v>264.7820513714662</v>
      </c>
      <c r="O1365" s="60">
        <f>$L$1365-EFEITO!$O$1365*EFEITO!$AA$1365</f>
        <v>174.22593295309218</v>
      </c>
      <c r="P1365" s="18"/>
      <c r="Q1365" s="18"/>
      <c r="R1365" s="18"/>
      <c r="S1365" s="18"/>
      <c r="T1365" s="18"/>
      <c r="U1365" s="18"/>
      <c r="V1365" s="18"/>
      <c r="W1365" s="18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</row>
    <row r="1366" spans="1:36" ht="11.25" customHeight="1" x14ac:dyDescent="0.2">
      <c r="A1366" s="51" t="s">
        <v>21</v>
      </c>
      <c r="B1366" s="51" t="s">
        <v>22</v>
      </c>
      <c r="C1366" s="51" t="s">
        <v>23</v>
      </c>
      <c r="D1366" s="51" t="s">
        <v>24</v>
      </c>
      <c r="E1366" s="51" t="s">
        <v>30</v>
      </c>
      <c r="F1366" s="51" t="s">
        <v>25</v>
      </c>
      <c r="G1366" s="51" t="s">
        <v>25</v>
      </c>
      <c r="H1366" s="51" t="s">
        <v>25</v>
      </c>
      <c r="I1366" s="59">
        <v>44317</v>
      </c>
      <c r="J1366" s="60">
        <f>EFEITO!$J$1366*EFEITO!$Y$1279</f>
        <v>0</v>
      </c>
      <c r="K1366" s="60">
        <f ca="1">EFEITO!$L$1366*EFEITO!$Z$1435</f>
        <v>3919475.1910236496</v>
      </c>
      <c r="L1366" s="60">
        <f>EFEITO!$N$1366*EFEITO!$AA$1435</f>
        <v>2579004.9525848757</v>
      </c>
      <c r="M1366" s="60">
        <f>$J$1366-EFEITO!$K$1366*EFEITO!$Y$1366</f>
        <v>0</v>
      </c>
      <c r="N1366" s="60">
        <f ca="1">$K$1366-EFEITO!$M$1366*EFEITO!$Z$1366</f>
        <v>1567790.07640946</v>
      </c>
      <c r="O1366" s="60">
        <f>$L$1366-EFEITO!$O$1366*EFEITO!$AA$1366</f>
        <v>1031601.9810339503</v>
      </c>
      <c r="P1366" s="18"/>
      <c r="Q1366" s="18"/>
      <c r="R1366" s="18"/>
      <c r="S1366" s="18"/>
      <c r="T1366" s="18"/>
      <c r="U1366" s="18"/>
      <c r="V1366" s="18"/>
      <c r="W1366" s="18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</row>
    <row r="1367" spans="1:36" ht="11.25" customHeight="1" x14ac:dyDescent="0.2">
      <c r="A1367" s="51" t="s">
        <v>27</v>
      </c>
      <c r="B1367" s="51" t="s">
        <v>22</v>
      </c>
      <c r="C1367" s="51" t="s">
        <v>23</v>
      </c>
      <c r="D1367" s="51" t="s">
        <v>24</v>
      </c>
      <c r="E1367" s="51" t="s">
        <v>30</v>
      </c>
      <c r="F1367" s="51" t="s">
        <v>25</v>
      </c>
      <c r="G1367" s="51" t="s">
        <v>25</v>
      </c>
      <c r="H1367" s="51" t="s">
        <v>25</v>
      </c>
      <c r="I1367" s="59">
        <v>44317</v>
      </c>
      <c r="J1367" s="60">
        <f>EFEITO!$J$1367*EFEITO!$Y$1279</f>
        <v>0</v>
      </c>
      <c r="K1367" s="60">
        <f ca="1">EFEITO!$L$1367*EFEITO!$Z$1435</f>
        <v>-282.11557466975995</v>
      </c>
      <c r="L1367" s="60">
        <f>EFEITO!$N$1367*EFEITO!$AA$1435</f>
        <v>-185.63134828380373</v>
      </c>
      <c r="M1367" s="60">
        <f>$J$1367-EFEITO!$K$1367*EFEITO!$Y$1367</f>
        <v>0</v>
      </c>
      <c r="N1367" s="60">
        <f ca="1">$K$1367-EFEITO!$M$1367*EFEITO!$Z$1367</f>
        <v>-112.84622986790399</v>
      </c>
      <c r="O1367" s="60">
        <f>$L$1367-EFEITO!$O$1367*EFEITO!$AA$1367</f>
        <v>-74.25253931352151</v>
      </c>
      <c r="P1367" s="18"/>
      <c r="Q1367" s="18"/>
      <c r="R1367" s="18"/>
      <c r="S1367" s="18"/>
      <c r="T1367" s="18"/>
      <c r="U1367" s="18"/>
      <c r="V1367" s="18"/>
      <c r="W1367" s="18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</row>
    <row r="1368" spans="1:36" ht="11.25" customHeight="1" x14ac:dyDescent="0.2">
      <c r="A1368" s="51" t="s">
        <v>28</v>
      </c>
      <c r="B1368" s="51" t="s">
        <v>22</v>
      </c>
      <c r="C1368" s="51" t="s">
        <v>23</v>
      </c>
      <c r="D1368" s="51" t="s">
        <v>24</v>
      </c>
      <c r="E1368" s="51" t="s">
        <v>30</v>
      </c>
      <c r="F1368" s="51" t="s">
        <v>25</v>
      </c>
      <c r="G1368" s="51" t="s">
        <v>25</v>
      </c>
      <c r="H1368" s="51" t="s">
        <v>25</v>
      </c>
      <c r="I1368" s="59">
        <v>44317</v>
      </c>
      <c r="J1368" s="60">
        <f>EFEITO!$J$1368*EFEITO!$Y$1279</f>
        <v>0</v>
      </c>
      <c r="K1368" s="60">
        <f ca="1">EFEITO!$L$1368*EFEITO!$Z$1435</f>
        <v>792.49153845285275</v>
      </c>
      <c r="L1368" s="60">
        <f>EFEITO!$N$1368*EFEITO!$AA$1435</f>
        <v>521.45746635475587</v>
      </c>
      <c r="M1368" s="60">
        <f>$J$1368-EFEITO!$K$1368*EFEITO!$Y$1368</f>
        <v>0</v>
      </c>
      <c r="N1368" s="60">
        <f ca="1">$K$1368-EFEITO!$M$1368*EFEITO!$Z$1368</f>
        <v>316.99661538114111</v>
      </c>
      <c r="O1368" s="60">
        <f>$L$1368-EFEITO!$O$1368*EFEITO!$AA$1368</f>
        <v>208.58298654190241</v>
      </c>
      <c r="P1368" s="18"/>
      <c r="Q1368" s="18"/>
      <c r="R1368" s="18"/>
      <c r="S1368" s="18"/>
      <c r="T1368" s="18"/>
      <c r="U1368" s="18"/>
      <c r="V1368" s="18"/>
      <c r="W1368" s="18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</row>
    <row r="1369" spans="1:36" ht="11.25" customHeight="1" x14ac:dyDescent="0.2">
      <c r="A1369" s="51" t="s">
        <v>21</v>
      </c>
      <c r="B1369" s="51" t="s">
        <v>22</v>
      </c>
      <c r="C1369" s="51" t="s">
        <v>23</v>
      </c>
      <c r="D1369" s="51" t="s">
        <v>24</v>
      </c>
      <c r="E1369" s="51" t="s">
        <v>30</v>
      </c>
      <c r="F1369" s="51" t="s">
        <v>25</v>
      </c>
      <c r="G1369" s="51" t="s">
        <v>25</v>
      </c>
      <c r="H1369" s="51" t="s">
        <v>25</v>
      </c>
      <c r="I1369" s="59">
        <v>44348</v>
      </c>
      <c r="J1369" s="60">
        <f>EFEITO!$J$1369*EFEITO!$Y$1279</f>
        <v>0</v>
      </c>
      <c r="K1369" s="60">
        <f ca="1">EFEITO!$L$1369*EFEITO!$Z$1435</f>
        <v>3821223.3597846786</v>
      </c>
      <c r="L1369" s="60">
        <f>EFEITO!$N$1369*EFEITO!$AA$1435</f>
        <v>2514355.4913646197</v>
      </c>
      <c r="M1369" s="60">
        <f>$J$1369-EFEITO!$K$1369*EFEITO!$Y$1369</f>
        <v>0</v>
      </c>
      <c r="N1369" s="60">
        <f ca="1">$K$1369-EFEITO!$M$1369*EFEITO!$Z$1369</f>
        <v>1528489.3439138713</v>
      </c>
      <c r="O1369" s="60">
        <f>$L$1369-EFEITO!$O$1369*EFEITO!$AA$1369</f>
        <v>1005742.1965458479</v>
      </c>
      <c r="P1369" s="18"/>
      <c r="Q1369" s="18"/>
      <c r="R1369" s="18"/>
      <c r="S1369" s="18"/>
      <c r="T1369" s="18"/>
      <c r="U1369" s="18"/>
      <c r="V1369" s="18"/>
      <c r="W1369" s="18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</row>
    <row r="1370" spans="1:36" ht="11.25" customHeight="1" x14ac:dyDescent="0.2">
      <c r="A1370" s="51" t="s">
        <v>27</v>
      </c>
      <c r="B1370" s="51" t="s">
        <v>22</v>
      </c>
      <c r="C1370" s="51" t="s">
        <v>23</v>
      </c>
      <c r="D1370" s="51" t="s">
        <v>24</v>
      </c>
      <c r="E1370" s="51" t="s">
        <v>30</v>
      </c>
      <c r="F1370" s="51" t="s">
        <v>25</v>
      </c>
      <c r="G1370" s="51" t="s">
        <v>25</v>
      </c>
      <c r="H1370" s="51" t="s">
        <v>25</v>
      </c>
      <c r="I1370" s="59">
        <v>44348</v>
      </c>
      <c r="J1370" s="60">
        <f>EFEITO!$J$1370*EFEITO!$Y$1279</f>
        <v>0</v>
      </c>
      <c r="K1370" s="60">
        <f ca="1">EFEITO!$L$1370*EFEITO!$Z$1435</f>
        <v>-595.61695284260304</v>
      </c>
      <c r="L1370" s="60">
        <f>EFEITO!$N$1370*EFEITO!$AA$1435</f>
        <v>-391.91447741334031</v>
      </c>
      <c r="M1370" s="60">
        <f>$J$1370-EFEITO!$K$1370*EFEITO!$Y$1370</f>
        <v>0</v>
      </c>
      <c r="N1370" s="60">
        <f ca="1">$K$1370-EFEITO!$M$1370*EFEITO!$Z$1370</f>
        <v>-238.24678113704118</v>
      </c>
      <c r="O1370" s="60">
        <f>$L$1370-EFEITO!$O$1370*EFEITO!$AA$1370</f>
        <v>-156.76579096533612</v>
      </c>
      <c r="P1370" s="18"/>
      <c r="Q1370" s="18"/>
      <c r="R1370" s="18"/>
      <c r="S1370" s="18"/>
      <c r="T1370" s="18"/>
      <c r="U1370" s="18"/>
      <c r="V1370" s="18"/>
      <c r="W1370" s="18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</row>
    <row r="1371" spans="1:36" ht="11.25" customHeight="1" x14ac:dyDescent="0.2">
      <c r="A1371" s="51" t="s">
        <v>28</v>
      </c>
      <c r="B1371" s="51" t="s">
        <v>22</v>
      </c>
      <c r="C1371" s="51" t="s">
        <v>23</v>
      </c>
      <c r="D1371" s="51" t="s">
        <v>24</v>
      </c>
      <c r="E1371" s="51" t="s">
        <v>30</v>
      </c>
      <c r="F1371" s="51" t="s">
        <v>25</v>
      </c>
      <c r="G1371" s="51" t="s">
        <v>25</v>
      </c>
      <c r="H1371" s="51" t="s">
        <v>25</v>
      </c>
      <c r="I1371" s="59">
        <v>44348</v>
      </c>
      <c r="J1371" s="60">
        <f>EFEITO!$J$1371*EFEITO!$Y$1279</f>
        <v>0</v>
      </c>
      <c r="K1371" s="60">
        <f ca="1">EFEITO!$L$1371*EFEITO!$Z$1435</f>
        <v>799.62467561264441</v>
      </c>
      <c r="L1371" s="60">
        <f>EFEITO!$N$1371*EFEITO!$AA$1435</f>
        <v>526.15105291060422</v>
      </c>
      <c r="M1371" s="60">
        <f>$J$1371-EFEITO!$K$1371*EFEITO!$Y$1371</f>
        <v>0</v>
      </c>
      <c r="N1371" s="60">
        <f ca="1">$K$1371-EFEITO!$M$1371*EFEITO!$Z$1371</f>
        <v>319.84987024505779</v>
      </c>
      <c r="O1371" s="60">
        <f>$L$1371-EFEITO!$O$1371*EFEITO!$AA$1371</f>
        <v>210.46042116424172</v>
      </c>
      <c r="P1371" s="18"/>
      <c r="Q1371" s="18"/>
      <c r="R1371" s="18"/>
      <c r="S1371" s="18"/>
      <c r="T1371" s="18"/>
      <c r="U1371" s="18"/>
      <c r="V1371" s="18"/>
      <c r="W1371" s="18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</row>
    <row r="1372" spans="1:36" ht="11.25" customHeight="1" x14ac:dyDescent="0.2">
      <c r="A1372" s="51" t="s">
        <v>21</v>
      </c>
      <c r="B1372" s="51" t="s">
        <v>22</v>
      </c>
      <c r="C1372" s="51" t="s">
        <v>23</v>
      </c>
      <c r="D1372" s="51" t="s">
        <v>24</v>
      </c>
      <c r="E1372" s="51" t="s">
        <v>30</v>
      </c>
      <c r="F1372" s="51" t="s">
        <v>25</v>
      </c>
      <c r="G1372" s="51" t="s">
        <v>25</v>
      </c>
      <c r="H1372" s="51" t="s">
        <v>25</v>
      </c>
      <c r="I1372" s="59">
        <v>44378</v>
      </c>
      <c r="J1372" s="60">
        <f>EFEITO!$J$1372*EFEITO!$Y$1279</f>
        <v>0</v>
      </c>
      <c r="K1372" s="60">
        <f ca="1">EFEITO!$L$1372*EFEITO!$Z$1435</f>
        <v>3805586.8098166999</v>
      </c>
      <c r="L1372" s="60">
        <f>EFEITO!$N$1372*EFEITO!$AA$1435</f>
        <v>2504066.680275545</v>
      </c>
      <c r="M1372" s="60">
        <f>$J$1372-EFEITO!$K$1372*EFEITO!$Y$1372</f>
        <v>0</v>
      </c>
      <c r="N1372" s="60">
        <f ca="1">$K$1372-EFEITO!$M$1372*EFEITO!$Z$1372</f>
        <v>1522234.7239266802</v>
      </c>
      <c r="O1372" s="60">
        <f>$L$1372-EFEITO!$O$1372*EFEITO!$AA$1372</f>
        <v>1001626.6721102181</v>
      </c>
      <c r="P1372" s="18"/>
      <c r="Q1372" s="18"/>
      <c r="R1372" s="18"/>
      <c r="S1372" s="18"/>
      <c r="T1372" s="18"/>
      <c r="U1372" s="18"/>
      <c r="V1372" s="18"/>
      <c r="W1372" s="18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</row>
    <row r="1373" spans="1:36" ht="11.25" customHeight="1" x14ac:dyDescent="0.2">
      <c r="A1373" s="51" t="s">
        <v>27</v>
      </c>
      <c r="B1373" s="51" t="s">
        <v>22</v>
      </c>
      <c r="C1373" s="51" t="s">
        <v>23</v>
      </c>
      <c r="D1373" s="51" t="s">
        <v>24</v>
      </c>
      <c r="E1373" s="51" t="s">
        <v>30</v>
      </c>
      <c r="F1373" s="51" t="s">
        <v>25</v>
      </c>
      <c r="G1373" s="51" t="s">
        <v>25</v>
      </c>
      <c r="H1373" s="51" t="s">
        <v>25</v>
      </c>
      <c r="I1373" s="59">
        <v>44378</v>
      </c>
      <c r="J1373" s="60">
        <f>EFEITO!$J$1373*EFEITO!$Y$1279</f>
        <v>0</v>
      </c>
      <c r="K1373" s="60">
        <f ca="1">EFEITO!$L$1373*EFEITO!$Z$1435</f>
        <v>-682.64122619206125</v>
      </c>
      <c r="L1373" s="60">
        <f>EFEITO!$N$1373*EFEITO!$AA$1435</f>
        <v>-449.17623339469066</v>
      </c>
      <c r="M1373" s="60">
        <f>$J$1373-EFEITO!$K$1373*EFEITO!$Y$1373</f>
        <v>0</v>
      </c>
      <c r="N1373" s="60">
        <f ca="1">$K$1373-EFEITO!$M$1373*EFEITO!$Z$1373</f>
        <v>-273.05649047682448</v>
      </c>
      <c r="O1373" s="60">
        <f>$L$1373-EFEITO!$O$1373*EFEITO!$AA$1373</f>
        <v>-179.6704933578763</v>
      </c>
      <c r="P1373" s="18"/>
      <c r="Q1373" s="18"/>
      <c r="R1373" s="18"/>
      <c r="S1373" s="18"/>
      <c r="T1373" s="18"/>
      <c r="U1373" s="18"/>
      <c r="V1373" s="18"/>
      <c r="W1373" s="18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</row>
    <row r="1374" spans="1:36" ht="11.25" customHeight="1" x14ac:dyDescent="0.2">
      <c r="A1374" s="51" t="s">
        <v>28</v>
      </c>
      <c r="B1374" s="51" t="s">
        <v>22</v>
      </c>
      <c r="C1374" s="51" t="s">
        <v>23</v>
      </c>
      <c r="D1374" s="51" t="s">
        <v>24</v>
      </c>
      <c r="E1374" s="51" t="s">
        <v>30</v>
      </c>
      <c r="F1374" s="51" t="s">
        <v>25</v>
      </c>
      <c r="G1374" s="51" t="s">
        <v>25</v>
      </c>
      <c r="H1374" s="51" t="s">
        <v>25</v>
      </c>
      <c r="I1374" s="59">
        <v>44378</v>
      </c>
      <c r="J1374" s="60">
        <f>EFEITO!$J$1374*EFEITO!$Y$1279</f>
        <v>0</v>
      </c>
      <c r="K1374" s="60">
        <f ca="1">EFEITO!$L$1374*EFEITO!$Z$1435</f>
        <v>841.71018485541515</v>
      </c>
      <c r="L1374" s="60">
        <f>EFEITO!$N$1374*EFEITO!$AA$1435</f>
        <v>553.84321359010971</v>
      </c>
      <c r="M1374" s="60">
        <f>$J$1374-EFEITO!$K$1374*EFEITO!$Y$1374</f>
        <v>0</v>
      </c>
      <c r="N1374" s="60">
        <f ca="1">$K$1374-EFEITO!$M$1374*EFEITO!$Z$1374</f>
        <v>336.68407394216609</v>
      </c>
      <c r="O1374" s="60">
        <f>$L$1374-EFEITO!$O$1374*EFEITO!$AA$1374</f>
        <v>221.53728543604393</v>
      </c>
      <c r="P1374" s="18"/>
      <c r="Q1374" s="18"/>
      <c r="R1374" s="18"/>
      <c r="S1374" s="18"/>
      <c r="T1374" s="18"/>
      <c r="U1374" s="18"/>
      <c r="V1374" s="18"/>
      <c r="W1374" s="18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</row>
    <row r="1375" spans="1:36" ht="11.25" customHeight="1" x14ac:dyDescent="0.2">
      <c r="A1375" s="51" t="s">
        <v>21</v>
      </c>
      <c r="B1375" s="51" t="s">
        <v>22</v>
      </c>
      <c r="C1375" s="51" t="s">
        <v>23</v>
      </c>
      <c r="D1375" s="51" t="s">
        <v>24</v>
      </c>
      <c r="E1375" s="51" t="s">
        <v>30</v>
      </c>
      <c r="F1375" s="51" t="s">
        <v>25</v>
      </c>
      <c r="G1375" s="51" t="s">
        <v>25</v>
      </c>
      <c r="H1375" s="51" t="s">
        <v>25</v>
      </c>
      <c r="I1375" s="59">
        <v>44409</v>
      </c>
      <c r="J1375" s="60">
        <f>EFEITO!$J$1375*EFEITO!$Y$1279</f>
        <v>0</v>
      </c>
      <c r="K1375" s="60">
        <f ca="1">EFEITO!$L$1375*EFEITO!$Z$1435</f>
        <v>3657220.4101478974</v>
      </c>
      <c r="L1375" s="60">
        <f>EFEITO!$N$1375*EFEITO!$AA$1435</f>
        <v>2406441.9573485209</v>
      </c>
      <c r="M1375" s="60">
        <f>$J$1375-EFEITO!$K$1375*EFEITO!$Y$1375</f>
        <v>0</v>
      </c>
      <c r="N1375" s="60">
        <f ca="1">$K$1375-EFEITO!$M$1375*EFEITO!$Z$1375</f>
        <v>1462888.1640591589</v>
      </c>
      <c r="O1375" s="60">
        <f>$L$1375-EFEITO!$O$1375*EFEITO!$AA$1375</f>
        <v>962576.78293940867</v>
      </c>
      <c r="P1375" s="18"/>
      <c r="Q1375" s="18"/>
      <c r="R1375" s="18"/>
      <c r="S1375" s="18"/>
      <c r="T1375" s="18"/>
      <c r="U1375" s="18"/>
      <c r="V1375" s="18"/>
      <c r="W1375" s="18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</row>
    <row r="1376" spans="1:36" ht="11.25" customHeight="1" x14ac:dyDescent="0.2">
      <c r="A1376" s="51" t="s">
        <v>27</v>
      </c>
      <c r="B1376" s="51" t="s">
        <v>22</v>
      </c>
      <c r="C1376" s="51" t="s">
        <v>23</v>
      </c>
      <c r="D1376" s="51" t="s">
        <v>24</v>
      </c>
      <c r="E1376" s="51" t="s">
        <v>30</v>
      </c>
      <c r="F1376" s="51" t="s">
        <v>25</v>
      </c>
      <c r="G1376" s="51" t="s">
        <v>25</v>
      </c>
      <c r="H1376" s="51" t="s">
        <v>25</v>
      </c>
      <c r="I1376" s="59">
        <v>44409</v>
      </c>
      <c r="J1376" s="60">
        <f>EFEITO!$J$1376*EFEITO!$Y$1279</f>
        <v>0</v>
      </c>
      <c r="K1376" s="60">
        <f ca="1">EFEITO!$L$1376*EFEITO!$Z$1435</f>
        <v>-600.61014885445729</v>
      </c>
      <c r="L1376" s="60">
        <f>EFEITO!$N$1376*EFEITO!$AA$1435</f>
        <v>-395.19998800243422</v>
      </c>
      <c r="M1376" s="60">
        <f>$J$1376-EFEITO!$K$1376*EFEITO!$Y$1376</f>
        <v>0</v>
      </c>
      <c r="N1376" s="60">
        <f ca="1">$K$1376-EFEITO!$M$1376*EFEITO!$Z$1376</f>
        <v>-240.24405954178297</v>
      </c>
      <c r="O1376" s="60">
        <f>$L$1376-EFEITO!$O$1376*EFEITO!$AA$1376</f>
        <v>-158.07999520097374</v>
      </c>
      <c r="P1376" s="18"/>
      <c r="Q1376" s="18"/>
      <c r="R1376" s="18"/>
      <c r="S1376" s="18"/>
      <c r="T1376" s="18"/>
      <c r="U1376" s="18"/>
      <c r="V1376" s="18"/>
      <c r="W1376" s="18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</row>
    <row r="1377" spans="1:36" ht="11.25" customHeight="1" x14ac:dyDescent="0.2">
      <c r="A1377" s="51" t="s">
        <v>28</v>
      </c>
      <c r="B1377" s="51" t="s">
        <v>22</v>
      </c>
      <c r="C1377" s="51" t="s">
        <v>23</v>
      </c>
      <c r="D1377" s="51" t="s">
        <v>24</v>
      </c>
      <c r="E1377" s="51" t="s">
        <v>30</v>
      </c>
      <c r="F1377" s="51" t="s">
        <v>25</v>
      </c>
      <c r="G1377" s="51" t="s">
        <v>25</v>
      </c>
      <c r="H1377" s="51" t="s">
        <v>25</v>
      </c>
      <c r="I1377" s="59">
        <v>44409</v>
      </c>
      <c r="J1377" s="60">
        <f>EFEITO!$J$1377*EFEITO!$Y$1279</f>
        <v>0</v>
      </c>
      <c r="K1377" s="60">
        <f ca="1">EFEITO!$L$1377*EFEITO!$Z$1435</f>
        <v>808.18444020439438</v>
      </c>
      <c r="L1377" s="60">
        <f>EFEITO!$N$1377*EFEITO!$AA$1435</f>
        <v>531.78335677762232</v>
      </c>
      <c r="M1377" s="60">
        <f>$J$1377-EFEITO!$K$1377*EFEITO!$Y$1377</f>
        <v>0</v>
      </c>
      <c r="N1377" s="60">
        <f ca="1">$K$1377-EFEITO!$M$1377*EFEITO!$Z$1377</f>
        <v>323.27377608175772</v>
      </c>
      <c r="O1377" s="60">
        <f>$L$1377-EFEITO!$O$1377*EFEITO!$AA$1377</f>
        <v>212.71334271104899</v>
      </c>
      <c r="P1377" s="18"/>
      <c r="Q1377" s="18"/>
      <c r="R1377" s="18"/>
      <c r="S1377" s="18"/>
      <c r="T1377" s="18"/>
      <c r="U1377" s="18"/>
      <c r="V1377" s="18"/>
      <c r="W1377" s="18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</row>
    <row r="1378" spans="1:36" ht="11.25" customHeight="1" x14ac:dyDescent="0.2">
      <c r="A1378" s="51" t="s">
        <v>21</v>
      </c>
      <c r="B1378" s="51" t="s">
        <v>22</v>
      </c>
      <c r="C1378" s="51" t="s">
        <v>23</v>
      </c>
      <c r="D1378" s="51" t="s">
        <v>24</v>
      </c>
      <c r="E1378" s="51" t="s">
        <v>30</v>
      </c>
      <c r="F1378" s="51" t="s">
        <v>25</v>
      </c>
      <c r="G1378" s="51" t="s">
        <v>25</v>
      </c>
      <c r="H1378" s="51" t="s">
        <v>25</v>
      </c>
      <c r="I1378" s="59">
        <v>44440</v>
      </c>
      <c r="J1378" s="60">
        <f>EFEITO!$J$1378*EFEITO!$Y$1279</f>
        <v>0</v>
      </c>
      <c r="K1378" s="60">
        <f ca="1">EFEITO!$L$1378*EFEITO!$Z$1435</f>
        <v>3683069.8292444078</v>
      </c>
      <c r="L1378" s="60">
        <f>EFEITO!$N$1378*EFEITO!$AA$1435</f>
        <v>2423450.8109889319</v>
      </c>
      <c r="M1378" s="60">
        <f>$J$1378-EFEITO!$K$1378*EFEITO!$Y$1378</f>
        <v>0</v>
      </c>
      <c r="N1378" s="60">
        <f ca="1">$K$1378-EFEITO!$M$1378*EFEITO!$Z$1378</f>
        <v>1473227.931697763</v>
      </c>
      <c r="O1378" s="60">
        <f>$L$1378-EFEITO!$O$1378*EFEITO!$AA$1378</f>
        <v>969380.324395573</v>
      </c>
      <c r="P1378" s="18"/>
      <c r="Q1378" s="18"/>
      <c r="R1378" s="18"/>
      <c r="S1378" s="18"/>
      <c r="T1378" s="18"/>
      <c r="U1378" s="18"/>
      <c r="V1378" s="18"/>
      <c r="W1378" s="18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</row>
    <row r="1379" spans="1:36" ht="11.25" customHeight="1" x14ac:dyDescent="0.2">
      <c r="A1379" s="51" t="s">
        <v>27</v>
      </c>
      <c r="B1379" s="51" t="s">
        <v>22</v>
      </c>
      <c r="C1379" s="51" t="s">
        <v>23</v>
      </c>
      <c r="D1379" s="51" t="s">
        <v>24</v>
      </c>
      <c r="E1379" s="51" t="s">
        <v>30</v>
      </c>
      <c r="F1379" s="51" t="s">
        <v>25</v>
      </c>
      <c r="G1379" s="51" t="s">
        <v>25</v>
      </c>
      <c r="H1379" s="51" t="s">
        <v>25</v>
      </c>
      <c r="I1379" s="59">
        <v>44440</v>
      </c>
      <c r="J1379" s="60">
        <f>EFEITO!$J$1379*EFEITO!$Y$1279</f>
        <v>0</v>
      </c>
      <c r="K1379" s="60">
        <f ca="1">EFEITO!$L$1379*EFEITO!$Z$1435</f>
        <v>-747.90943120415488</v>
      </c>
      <c r="L1379" s="60">
        <f>EFEITO!$N$1379*EFEITO!$AA$1435</f>
        <v>-492.12255038070344</v>
      </c>
      <c r="M1379" s="60">
        <f>$J$1379-EFEITO!$K$1379*EFEITO!$Y$1379</f>
        <v>0</v>
      </c>
      <c r="N1379" s="60">
        <f ca="1">$K$1379-EFEITO!$M$1379*EFEITO!$Z$1379</f>
        <v>-299.16377248166197</v>
      </c>
      <c r="O1379" s="60">
        <f>$L$1379-EFEITO!$O$1379*EFEITO!$AA$1379</f>
        <v>-196.84902015228141</v>
      </c>
      <c r="P1379" s="18"/>
      <c r="Q1379" s="18"/>
      <c r="R1379" s="18"/>
      <c r="S1379" s="18"/>
      <c r="T1379" s="18"/>
      <c r="U1379" s="18"/>
      <c r="V1379" s="18"/>
      <c r="W1379" s="18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</row>
    <row r="1380" spans="1:36" ht="11.25" customHeight="1" x14ac:dyDescent="0.2">
      <c r="A1380" s="51" t="s">
        <v>28</v>
      </c>
      <c r="B1380" s="51" t="s">
        <v>22</v>
      </c>
      <c r="C1380" s="51" t="s">
        <v>23</v>
      </c>
      <c r="D1380" s="51" t="s">
        <v>24</v>
      </c>
      <c r="E1380" s="51" t="s">
        <v>30</v>
      </c>
      <c r="F1380" s="51" t="s">
        <v>25</v>
      </c>
      <c r="G1380" s="51" t="s">
        <v>25</v>
      </c>
      <c r="H1380" s="51" t="s">
        <v>25</v>
      </c>
      <c r="I1380" s="59">
        <v>44440</v>
      </c>
      <c r="J1380" s="60">
        <f>EFEITO!$J$1380*EFEITO!$Y$1279</f>
        <v>0</v>
      </c>
      <c r="K1380" s="60">
        <f ca="1">EFEITO!$L$1380*EFEITO!$Z$1435</f>
        <v>808.18444020439438</v>
      </c>
      <c r="L1380" s="60">
        <f>EFEITO!$N$1380*EFEITO!$AA$1435</f>
        <v>531.78335677762232</v>
      </c>
      <c r="M1380" s="60">
        <f>$J$1380-EFEITO!$K$1380*EFEITO!$Y$1380</f>
        <v>0</v>
      </c>
      <c r="N1380" s="60">
        <f ca="1">$K$1380-EFEITO!$M$1380*EFEITO!$Z$1380</f>
        <v>323.27377608175772</v>
      </c>
      <c r="O1380" s="60">
        <f>$L$1380-EFEITO!$O$1380*EFEITO!$AA$1380</f>
        <v>212.71334271104899</v>
      </c>
      <c r="P1380" s="18"/>
      <c r="Q1380" s="18"/>
      <c r="R1380" s="18"/>
      <c r="S1380" s="18"/>
      <c r="T1380" s="18"/>
      <c r="U1380" s="18"/>
      <c r="V1380" s="18"/>
      <c r="W1380" s="18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</row>
    <row r="1381" spans="1:36" ht="11.25" customHeight="1" x14ac:dyDescent="0.2">
      <c r="A1381" s="51" t="s">
        <v>21</v>
      </c>
      <c r="B1381" s="51" t="s">
        <v>22</v>
      </c>
      <c r="C1381" s="51" t="s">
        <v>23</v>
      </c>
      <c r="D1381" s="51" t="s">
        <v>24</v>
      </c>
      <c r="E1381" s="51" t="s">
        <v>30</v>
      </c>
      <c r="F1381" s="51" t="s">
        <v>25</v>
      </c>
      <c r="G1381" s="51" t="s">
        <v>25</v>
      </c>
      <c r="H1381" s="51" t="s">
        <v>25</v>
      </c>
      <c r="I1381" s="59">
        <v>44470</v>
      </c>
      <c r="J1381" s="60">
        <f>EFEITO!$J$1381*EFEITO!$Y$1279</f>
        <v>0</v>
      </c>
      <c r="K1381" s="60">
        <f ca="1">EFEITO!$L$1381*EFEITO!$Z$1435</f>
        <v>3912436.5679312251</v>
      </c>
      <c r="L1381" s="60">
        <f>EFEITO!$N$1381*EFEITO!$AA$1435</f>
        <v>2574373.5560508925</v>
      </c>
      <c r="M1381" s="60">
        <f>$J$1381-EFEITO!$K$1381*EFEITO!$Y$1381</f>
        <v>0</v>
      </c>
      <c r="N1381" s="60">
        <f ca="1">$K$1381-EFEITO!$M$1381*EFEITO!$Z$1381</f>
        <v>1564974.6271724901</v>
      </c>
      <c r="O1381" s="60">
        <f>$L$1381-EFEITO!$O$1381*EFEITO!$AA$1381</f>
        <v>1029749.4224203571</v>
      </c>
      <c r="P1381" s="18"/>
      <c r="Q1381" s="18"/>
      <c r="R1381" s="18"/>
      <c r="S1381" s="18"/>
      <c r="T1381" s="18"/>
      <c r="U1381" s="18"/>
      <c r="V1381" s="18"/>
      <c r="W1381" s="18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</row>
    <row r="1382" spans="1:36" ht="11.25" customHeight="1" x14ac:dyDescent="0.2">
      <c r="A1382" s="51" t="s">
        <v>27</v>
      </c>
      <c r="B1382" s="51" t="s">
        <v>22</v>
      </c>
      <c r="C1382" s="51" t="s">
        <v>23</v>
      </c>
      <c r="D1382" s="51" t="s">
        <v>24</v>
      </c>
      <c r="E1382" s="51" t="s">
        <v>30</v>
      </c>
      <c r="F1382" s="51" t="s">
        <v>25</v>
      </c>
      <c r="G1382" s="51" t="s">
        <v>25</v>
      </c>
      <c r="H1382" s="51" t="s">
        <v>25</v>
      </c>
      <c r="I1382" s="59">
        <v>44470</v>
      </c>
      <c r="J1382" s="60">
        <f>EFEITO!$J$1382*EFEITO!$Y$1279</f>
        <v>0</v>
      </c>
      <c r="K1382" s="60">
        <f ca="1">EFEITO!$L$1382*EFEITO!$Z$1435</f>
        <v>-879.15915494432136</v>
      </c>
      <c r="L1382" s="60">
        <f>EFEITO!$N$1382*EFEITO!$AA$1435</f>
        <v>-578.48454300831372</v>
      </c>
      <c r="M1382" s="60">
        <f>$J$1382-EFEITO!$K$1382*EFEITO!$Y$1382</f>
        <v>0</v>
      </c>
      <c r="N1382" s="60">
        <f ca="1">$K$1382-EFEITO!$M$1382*EFEITO!$Z$1382</f>
        <v>-351.66366197772857</v>
      </c>
      <c r="O1382" s="60">
        <f>$L$1382-EFEITO!$O$1382*EFEITO!$AA$1382</f>
        <v>-231.39381720332551</v>
      </c>
      <c r="P1382" s="18"/>
      <c r="Q1382" s="18"/>
      <c r="R1382" s="18"/>
      <c r="S1382" s="18"/>
      <c r="T1382" s="18"/>
      <c r="U1382" s="18"/>
      <c r="V1382" s="18"/>
      <c r="W1382" s="18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</row>
    <row r="1383" spans="1:36" ht="11.25" customHeight="1" x14ac:dyDescent="0.2">
      <c r="A1383" s="51" t="s">
        <v>28</v>
      </c>
      <c r="B1383" s="51" t="s">
        <v>22</v>
      </c>
      <c r="C1383" s="51" t="s">
        <v>23</v>
      </c>
      <c r="D1383" s="51" t="s">
        <v>24</v>
      </c>
      <c r="E1383" s="51" t="s">
        <v>30</v>
      </c>
      <c r="F1383" s="51" t="s">
        <v>25</v>
      </c>
      <c r="G1383" s="51" t="s">
        <v>25</v>
      </c>
      <c r="H1383" s="51" t="s">
        <v>25</v>
      </c>
      <c r="I1383" s="59">
        <v>44470</v>
      </c>
      <c r="J1383" s="60">
        <f>EFEITO!$J$1383*EFEITO!$Y$1279</f>
        <v>0</v>
      </c>
      <c r="K1383" s="60">
        <f ca="1">EFEITO!$L$1383*EFEITO!$Z$1435</f>
        <v>895.20871355385248</v>
      </c>
      <c r="L1383" s="60">
        <f>EFEITO!$N$1383*EFEITO!$AA$1435</f>
        <v>589.04511275897255</v>
      </c>
      <c r="M1383" s="60">
        <f>$J$1383-EFEITO!$K$1383*EFEITO!$Y$1383</f>
        <v>0</v>
      </c>
      <c r="N1383" s="60">
        <f ca="1">$K$1383-EFEITO!$M$1383*EFEITO!$Z$1383</f>
        <v>358.08348542154101</v>
      </c>
      <c r="O1383" s="60">
        <f>$L$1383-EFEITO!$O$1383*EFEITO!$AA$1383</f>
        <v>235.61804510358905</v>
      </c>
      <c r="P1383" s="18"/>
      <c r="Q1383" s="18"/>
      <c r="R1383" s="18"/>
      <c r="S1383" s="18"/>
      <c r="T1383" s="18"/>
      <c r="U1383" s="18"/>
      <c r="V1383" s="18"/>
      <c r="W1383" s="18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</row>
    <row r="1384" spans="1:36" ht="11.25" customHeight="1" x14ac:dyDescent="0.2">
      <c r="A1384" s="51" t="s">
        <v>21</v>
      </c>
      <c r="B1384" s="51" t="s">
        <v>22</v>
      </c>
      <c r="C1384" s="51" t="s">
        <v>23</v>
      </c>
      <c r="D1384" s="51" t="s">
        <v>24</v>
      </c>
      <c r="E1384" s="51" t="s">
        <v>30</v>
      </c>
      <c r="F1384" s="51" t="s">
        <v>25</v>
      </c>
      <c r="G1384" s="51" t="s">
        <v>25</v>
      </c>
      <c r="H1384" s="51" t="s">
        <v>25</v>
      </c>
      <c r="I1384" s="59">
        <v>44501</v>
      </c>
      <c r="J1384" s="60">
        <f>EFEITO!$J$1384*EFEITO!$Y$1279</f>
        <v>0</v>
      </c>
      <c r="K1384" s="60">
        <f ca="1">EFEITO!$L$1384*EFEITO!$Z$1435</f>
        <v>3989862.8485753252</v>
      </c>
      <c r="L1384" s="60">
        <f>EFEITO!$N$1384*EFEITO!$AA$1435</f>
        <v>2625319.8566420209</v>
      </c>
      <c r="M1384" s="60">
        <f>$J$1384-EFEITO!$K$1384*EFEITO!$Y$1384</f>
        <v>0</v>
      </c>
      <c r="N1384" s="60">
        <f ca="1">$K$1384-EFEITO!$M$1384*EFEITO!$Z$1384</f>
        <v>1595945.1394301299</v>
      </c>
      <c r="O1384" s="60">
        <f>$L$1384-EFEITO!$O$1384*EFEITO!$AA$1384</f>
        <v>1050127.9426568085</v>
      </c>
      <c r="P1384" s="18"/>
      <c r="Q1384" s="18"/>
      <c r="R1384" s="18"/>
      <c r="S1384" s="18"/>
      <c r="T1384" s="18"/>
      <c r="U1384" s="18"/>
      <c r="V1384" s="18"/>
      <c r="W1384" s="18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</row>
    <row r="1385" spans="1:36" ht="11.25" customHeight="1" x14ac:dyDescent="0.2">
      <c r="A1385" s="51" t="s">
        <v>27</v>
      </c>
      <c r="B1385" s="51" t="s">
        <v>22</v>
      </c>
      <c r="C1385" s="51" t="s">
        <v>23</v>
      </c>
      <c r="D1385" s="51" t="s">
        <v>24</v>
      </c>
      <c r="E1385" s="51" t="s">
        <v>30</v>
      </c>
      <c r="F1385" s="51" t="s">
        <v>25</v>
      </c>
      <c r="G1385" s="51" t="s">
        <v>25</v>
      </c>
      <c r="H1385" s="51" t="s">
        <v>25</v>
      </c>
      <c r="I1385" s="59">
        <v>44501</v>
      </c>
      <c r="J1385" s="60">
        <f>EFEITO!$J$1385*EFEITO!$Y$1279</f>
        <v>0</v>
      </c>
      <c r="K1385" s="60">
        <f ca="1">EFEITO!$L$1385*EFEITO!$Z$1435</f>
        <v>-831.36713597371727</v>
      </c>
      <c r="L1385" s="60">
        <f>EFEITO!$N$1385*EFEITO!$AA$1435</f>
        <v>-547.0375130841295</v>
      </c>
      <c r="M1385" s="60">
        <f>$J$1385-EFEITO!$K$1385*EFEITO!$Y$1385</f>
        <v>0</v>
      </c>
      <c r="N1385" s="60">
        <f ca="1">$K$1385-EFEITO!$M$1385*EFEITO!$Z$1385</f>
        <v>-332.5468543894869</v>
      </c>
      <c r="O1385" s="60">
        <f>$L$1385-EFEITO!$O$1385*EFEITO!$AA$1385</f>
        <v>-218.81500523365179</v>
      </c>
      <c r="P1385" s="18"/>
      <c r="Q1385" s="18"/>
      <c r="R1385" s="18"/>
      <c r="S1385" s="18"/>
      <c r="T1385" s="18"/>
      <c r="U1385" s="18"/>
      <c r="V1385" s="18"/>
      <c r="W1385" s="18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</row>
    <row r="1386" spans="1:36" ht="11.25" customHeight="1" x14ac:dyDescent="0.2">
      <c r="A1386" s="51" t="s">
        <v>28</v>
      </c>
      <c r="B1386" s="51" t="s">
        <v>22</v>
      </c>
      <c r="C1386" s="51" t="s">
        <v>23</v>
      </c>
      <c r="D1386" s="51" t="s">
        <v>24</v>
      </c>
      <c r="E1386" s="51" t="s">
        <v>30</v>
      </c>
      <c r="F1386" s="51" t="s">
        <v>25</v>
      </c>
      <c r="G1386" s="51" t="s">
        <v>25</v>
      </c>
      <c r="H1386" s="51" t="s">
        <v>25</v>
      </c>
      <c r="I1386" s="59">
        <v>44501</v>
      </c>
      <c r="J1386" s="60">
        <f>EFEITO!$J$1386*EFEITO!$Y$1279</f>
        <v>0</v>
      </c>
      <c r="K1386" s="60">
        <f ca="1">EFEITO!$L$1386*EFEITO!$Z$1435</f>
        <v>967.96671258372749</v>
      </c>
      <c r="L1386" s="60">
        <f>EFEITO!$N$1386*EFEITO!$AA$1435</f>
        <v>636.91969562862619</v>
      </c>
      <c r="M1386" s="60">
        <f>$J$1386-EFEITO!$K$1386*EFEITO!$Y$1386</f>
        <v>0</v>
      </c>
      <c r="N1386" s="60">
        <f ca="1">$K$1386-EFEITO!$M$1386*EFEITO!$Z$1386</f>
        <v>387.18668503349102</v>
      </c>
      <c r="O1386" s="60">
        <f>$L$1386-EFEITO!$O$1386*EFEITO!$AA$1386</f>
        <v>254.76787825145055</v>
      </c>
      <c r="P1386" s="18"/>
      <c r="Q1386" s="18"/>
      <c r="R1386" s="18"/>
      <c r="S1386" s="18"/>
      <c r="T1386" s="18"/>
      <c r="U1386" s="18"/>
      <c r="V1386" s="18"/>
      <c r="W1386" s="18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</row>
    <row r="1387" spans="1:36" ht="11.25" customHeight="1" x14ac:dyDescent="0.2">
      <c r="A1387" s="51" t="s">
        <v>21</v>
      </c>
      <c r="B1387" s="51" t="s">
        <v>22</v>
      </c>
      <c r="C1387" s="51" t="s">
        <v>23</v>
      </c>
      <c r="D1387" s="51" t="s">
        <v>24</v>
      </c>
      <c r="E1387" s="51" t="s">
        <v>30</v>
      </c>
      <c r="F1387" s="51" t="s">
        <v>25</v>
      </c>
      <c r="G1387" s="51" t="s">
        <v>25</v>
      </c>
      <c r="H1387" s="51" t="s">
        <v>25</v>
      </c>
      <c r="I1387" s="59">
        <v>44531</v>
      </c>
      <c r="J1387" s="60">
        <f>EFEITO!$J$1387*EFEITO!$Y$1279</f>
        <v>0</v>
      </c>
      <c r="K1387" s="60">
        <f ca="1">EFEITO!$L$1387*EFEITO!$Z$1435</f>
        <v>4081986.2450234606</v>
      </c>
      <c r="L1387" s="60">
        <f>EFEITO!$N$1387*EFEITO!$AA$1435</f>
        <v>2685936.8229728197</v>
      </c>
      <c r="M1387" s="60">
        <f>$J$1387-EFEITO!$K$1387*EFEITO!$Y$1387</f>
        <v>0</v>
      </c>
      <c r="N1387" s="60">
        <f ca="1">$K$1387-EFEITO!$M$1387*EFEITO!$Z$1387</f>
        <v>1632794.4980093841</v>
      </c>
      <c r="O1387" s="60">
        <f>$L$1387-EFEITO!$O$1387*EFEITO!$AA$1387</f>
        <v>1074374.7291891281</v>
      </c>
      <c r="P1387" s="18"/>
      <c r="Q1387" s="18"/>
      <c r="R1387" s="18"/>
      <c r="S1387" s="18"/>
      <c r="T1387" s="18"/>
      <c r="U1387" s="18"/>
      <c r="V1387" s="18"/>
      <c r="W1387" s="18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</row>
    <row r="1388" spans="1:36" ht="11.25" customHeight="1" x14ac:dyDescent="0.2">
      <c r="A1388" s="51" t="s">
        <v>27</v>
      </c>
      <c r="B1388" s="51" t="s">
        <v>22</v>
      </c>
      <c r="C1388" s="51" t="s">
        <v>23</v>
      </c>
      <c r="D1388" s="51" t="s">
        <v>24</v>
      </c>
      <c r="E1388" s="51" t="s">
        <v>30</v>
      </c>
      <c r="F1388" s="51" t="s">
        <v>25</v>
      </c>
      <c r="G1388" s="51" t="s">
        <v>25</v>
      </c>
      <c r="H1388" s="51" t="s">
        <v>25</v>
      </c>
      <c r="I1388" s="59">
        <v>44531</v>
      </c>
      <c r="J1388" s="60">
        <f>EFEITO!$J$1388*EFEITO!$Y$1279</f>
        <v>0</v>
      </c>
      <c r="K1388" s="60">
        <f ca="1">EFEITO!$L$1388*EFEITO!$Z$1435</f>
        <v>-724.3700785768425</v>
      </c>
      <c r="L1388" s="60">
        <f>EFEITO!$N$1388*EFEITO!$AA$1435</f>
        <v>-476.63371474640377</v>
      </c>
      <c r="M1388" s="60">
        <f>$J$1388-EFEITO!$K$1388*EFEITO!$Y$1388</f>
        <v>0</v>
      </c>
      <c r="N1388" s="60">
        <f ca="1">$K$1388-EFEITO!$M$1388*EFEITO!$Z$1388</f>
        <v>-289.748031430737</v>
      </c>
      <c r="O1388" s="60">
        <f>$L$1388-EFEITO!$O$1388*EFEITO!$AA$1388</f>
        <v>-190.65348589856154</v>
      </c>
      <c r="P1388" s="18"/>
      <c r="Q1388" s="18"/>
      <c r="R1388" s="18"/>
      <c r="S1388" s="18"/>
      <c r="T1388" s="18"/>
      <c r="U1388" s="18"/>
      <c r="V1388" s="18"/>
      <c r="W1388" s="18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</row>
    <row r="1389" spans="1:36" ht="11.25" customHeight="1" x14ac:dyDescent="0.2">
      <c r="A1389" s="51" t="s">
        <v>28</v>
      </c>
      <c r="B1389" s="51" t="s">
        <v>22</v>
      </c>
      <c r="C1389" s="51" t="s">
        <v>23</v>
      </c>
      <c r="D1389" s="51" t="s">
        <v>24</v>
      </c>
      <c r="E1389" s="51" t="s">
        <v>30</v>
      </c>
      <c r="F1389" s="51" t="s">
        <v>25</v>
      </c>
      <c r="G1389" s="51" t="s">
        <v>25</v>
      </c>
      <c r="H1389" s="51" t="s">
        <v>25</v>
      </c>
      <c r="I1389" s="59">
        <v>44531</v>
      </c>
      <c r="J1389" s="60">
        <f>EFEITO!$J$1389*EFEITO!$Y$1279</f>
        <v>0</v>
      </c>
      <c r="K1389" s="60">
        <f ca="1">EFEITO!$L$1389*EFEITO!$Z$1435</f>
        <v>1058.9142113710709</v>
      </c>
      <c r="L1389" s="60">
        <f>EFEITO!$N$1389*EFEITO!$AA$1435</f>
        <v>696.76292421569303</v>
      </c>
      <c r="M1389" s="60">
        <f>$J$1389-EFEITO!$K$1389*EFEITO!$Y$1389</f>
        <v>0</v>
      </c>
      <c r="N1389" s="60">
        <f ca="1">$K$1389-EFEITO!$M$1389*EFEITO!$Z$1389</f>
        <v>423.56568454842829</v>
      </c>
      <c r="O1389" s="60">
        <f>$L$1389-EFEITO!$O$1389*EFEITO!$AA$1389</f>
        <v>278.70516968627726</v>
      </c>
      <c r="P1389" s="18"/>
      <c r="Q1389" s="18"/>
      <c r="R1389" s="18"/>
      <c r="S1389" s="18"/>
      <c r="T1389" s="18"/>
      <c r="U1389" s="18"/>
      <c r="V1389" s="18"/>
      <c r="W1389" s="18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</row>
    <row r="1390" spans="1:36" ht="11.25" customHeight="1" x14ac:dyDescent="0.2">
      <c r="A1390" s="51" t="s">
        <v>21</v>
      </c>
      <c r="B1390" s="51" t="s">
        <v>22</v>
      </c>
      <c r="C1390" s="51" t="s">
        <v>23</v>
      </c>
      <c r="D1390" s="51" t="s">
        <v>24</v>
      </c>
      <c r="E1390" s="51" t="s">
        <v>30</v>
      </c>
      <c r="F1390" s="51" t="s">
        <v>25</v>
      </c>
      <c r="G1390" s="51" t="s">
        <v>25</v>
      </c>
      <c r="H1390" s="51" t="s">
        <v>25</v>
      </c>
      <c r="I1390" s="59">
        <v>44562</v>
      </c>
      <c r="J1390" s="60">
        <f>EFEITO!$J$1390*EFEITO!$Y$1279</f>
        <v>0</v>
      </c>
      <c r="K1390" s="60">
        <f ca="1">EFEITO!$L$1390*EFEITO!$Z$1435</f>
        <v>4220050.6113492344</v>
      </c>
      <c r="L1390" s="60">
        <f>EFEITO!$N$1390*EFEITO!$AA$1435</f>
        <v>2776782.8335165596</v>
      </c>
      <c r="M1390" s="60">
        <f>$J$1390-EFEITO!$K$1390*EFEITO!$Y$1390</f>
        <v>0</v>
      </c>
      <c r="N1390" s="60">
        <f ca="1">$K$1390-EFEITO!$M$1390*EFEITO!$Z$1390</f>
        <v>1688020.2445396939</v>
      </c>
      <c r="O1390" s="60">
        <f>$L$1390-EFEITO!$O$1390*EFEITO!$AA$1390</f>
        <v>1110713.133406624</v>
      </c>
      <c r="P1390" s="18"/>
      <c r="Q1390" s="18"/>
      <c r="R1390" s="18"/>
      <c r="S1390" s="18"/>
      <c r="T1390" s="18"/>
      <c r="U1390" s="18"/>
      <c r="V1390" s="18"/>
      <c r="W1390" s="18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</row>
    <row r="1391" spans="1:36" ht="11.25" customHeight="1" x14ac:dyDescent="0.2">
      <c r="A1391" s="51" t="s">
        <v>27</v>
      </c>
      <c r="B1391" s="51" t="s">
        <v>22</v>
      </c>
      <c r="C1391" s="51" t="s">
        <v>23</v>
      </c>
      <c r="D1391" s="51" t="s">
        <v>24</v>
      </c>
      <c r="E1391" s="51" t="s">
        <v>30</v>
      </c>
      <c r="F1391" s="51" t="s">
        <v>25</v>
      </c>
      <c r="G1391" s="51" t="s">
        <v>25</v>
      </c>
      <c r="H1391" s="51" t="s">
        <v>25</v>
      </c>
      <c r="I1391" s="59">
        <v>44562</v>
      </c>
      <c r="J1391" s="60">
        <f>EFEITO!$J$1391*EFEITO!$Y$1279</f>
        <v>0</v>
      </c>
      <c r="K1391" s="60">
        <f ca="1">EFEITO!$L$1391*EFEITO!$Z$1435</f>
        <v>-192.23804645638509</v>
      </c>
      <c r="L1391" s="60">
        <f>EFEITO!$N$1391*EFEITO!$AA$1435</f>
        <v>-126.49215768011405</v>
      </c>
      <c r="M1391" s="60">
        <f>$J$1391-EFEITO!$K$1391*EFEITO!$Y$1391</f>
        <v>0</v>
      </c>
      <c r="N1391" s="60">
        <f ca="1">$K$1391-EFEITO!$M$1391*EFEITO!$Z$1391</f>
        <v>-76.895218582554037</v>
      </c>
      <c r="O1391" s="60">
        <f>$L$1391-EFEITO!$O$1391*EFEITO!$AA$1391</f>
        <v>-50.596863072045622</v>
      </c>
      <c r="P1391" s="18"/>
      <c r="Q1391" s="18"/>
      <c r="R1391" s="18"/>
      <c r="S1391" s="18"/>
      <c r="T1391" s="18"/>
      <c r="U1391" s="18"/>
      <c r="V1391" s="18"/>
      <c r="W1391" s="18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</row>
    <row r="1392" spans="1:36" ht="11.25" customHeight="1" x14ac:dyDescent="0.2">
      <c r="A1392" s="51" t="s">
        <v>28</v>
      </c>
      <c r="B1392" s="51" t="s">
        <v>22</v>
      </c>
      <c r="C1392" s="51" t="s">
        <v>23</v>
      </c>
      <c r="D1392" s="51" t="s">
        <v>24</v>
      </c>
      <c r="E1392" s="51" t="s">
        <v>30</v>
      </c>
      <c r="F1392" s="51" t="s">
        <v>25</v>
      </c>
      <c r="G1392" s="51" t="s">
        <v>25</v>
      </c>
      <c r="H1392" s="51" t="s">
        <v>25</v>
      </c>
      <c r="I1392" s="59">
        <v>44562</v>
      </c>
      <c r="J1392" s="60">
        <f>EFEITO!$J$1392*EFEITO!$Y$1279</f>
        <v>0</v>
      </c>
      <c r="K1392" s="60">
        <f ca="1">EFEITO!$L$1392*EFEITO!$Z$1435</f>
        <v>1229.3961894900915</v>
      </c>
      <c r="L1392" s="60">
        <f>EFEITO!$N$1392*EFEITO!$AA$1435</f>
        <v>808.93964290046961</v>
      </c>
      <c r="M1392" s="60">
        <f>$J$1392-EFEITO!$K$1392*EFEITO!$Y$1392</f>
        <v>0</v>
      </c>
      <c r="N1392" s="60">
        <f ca="1">$K$1392-EFEITO!$M$1392*EFEITO!$Z$1392</f>
        <v>491.75847579603658</v>
      </c>
      <c r="O1392" s="60">
        <f>$L$1392-EFEITO!$O$1392*EFEITO!$AA$1392</f>
        <v>323.57585716018792</v>
      </c>
      <c r="P1392" s="18"/>
      <c r="Q1392" s="18"/>
      <c r="R1392" s="18"/>
      <c r="S1392" s="18"/>
      <c r="T1392" s="18"/>
      <c r="U1392" s="18"/>
      <c r="V1392" s="18"/>
      <c r="W1392" s="18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</row>
    <row r="1393" spans="1:36" ht="11.25" customHeight="1" x14ac:dyDescent="0.2">
      <c r="A1393" s="51" t="s">
        <v>21</v>
      </c>
      <c r="B1393" s="51" t="s">
        <v>22</v>
      </c>
      <c r="C1393" s="51" t="s">
        <v>23</v>
      </c>
      <c r="D1393" s="51" t="s">
        <v>24</v>
      </c>
      <c r="E1393" s="51" t="s">
        <v>30</v>
      </c>
      <c r="F1393" s="51" t="s">
        <v>25</v>
      </c>
      <c r="G1393" s="51" t="s">
        <v>25</v>
      </c>
      <c r="H1393" s="51" t="s">
        <v>25</v>
      </c>
      <c r="I1393" s="59">
        <v>44593</v>
      </c>
      <c r="J1393" s="60">
        <f>EFEITO!$J$1393*EFEITO!$Y$1279</f>
        <v>0</v>
      </c>
      <c r="K1393" s="60">
        <f ca="1">EFEITO!$L$1393*EFEITO!$Z$1435</f>
        <v>4329525.7205954203</v>
      </c>
      <c r="L1393" s="60">
        <f>EFEITO!$N$1393*EFEITO!$AA$1435</f>
        <v>2848817.1838237871</v>
      </c>
      <c r="M1393" s="60">
        <f>$J$1393-EFEITO!$K$1393*EFEITO!$Y$1393</f>
        <v>0</v>
      </c>
      <c r="N1393" s="60">
        <f ca="1">$K$1393-EFEITO!$M$1393*EFEITO!$Z$1393</f>
        <v>1731810.2882381678</v>
      </c>
      <c r="O1393" s="60">
        <f>$L$1393-EFEITO!$O$1393*EFEITO!$AA$1393</f>
        <v>1139526.873529515</v>
      </c>
      <c r="P1393" s="18"/>
      <c r="Q1393" s="18"/>
      <c r="R1393" s="18"/>
      <c r="S1393" s="18"/>
      <c r="T1393" s="18"/>
      <c r="U1393" s="18"/>
      <c r="V1393" s="18"/>
      <c r="W1393" s="18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</row>
    <row r="1394" spans="1:36" ht="11.25" customHeight="1" x14ac:dyDescent="0.2">
      <c r="A1394" s="51" t="s">
        <v>27</v>
      </c>
      <c r="B1394" s="51" t="s">
        <v>22</v>
      </c>
      <c r="C1394" s="51" t="s">
        <v>23</v>
      </c>
      <c r="D1394" s="51" t="s">
        <v>24</v>
      </c>
      <c r="E1394" s="51" t="s">
        <v>30</v>
      </c>
      <c r="F1394" s="51" t="s">
        <v>25</v>
      </c>
      <c r="G1394" s="51" t="s">
        <v>25</v>
      </c>
      <c r="H1394" s="51" t="s">
        <v>25</v>
      </c>
      <c r="I1394" s="59">
        <v>44593</v>
      </c>
      <c r="J1394" s="60">
        <f>EFEITO!$J$1394*EFEITO!$Y$1279</f>
        <v>0</v>
      </c>
      <c r="K1394" s="60">
        <f ca="1">EFEITO!$L$1394*EFEITO!$Z$1435</f>
        <v>-249.65980059270788</v>
      </c>
      <c r="L1394" s="60">
        <f>EFEITO!$N$1394*EFEITO!$AA$1435</f>
        <v>-164.27552945469355</v>
      </c>
      <c r="M1394" s="60">
        <f>$J$1394-EFEITO!$K$1394*EFEITO!$Y$1394</f>
        <v>0</v>
      </c>
      <c r="N1394" s="60">
        <f ca="1">$K$1394-EFEITO!$M$1394*EFEITO!$Z$1394</f>
        <v>-99.863920237083164</v>
      </c>
      <c r="O1394" s="60">
        <f>$L$1394-EFEITO!$O$1394*EFEITO!$AA$1394</f>
        <v>-65.710211781877433</v>
      </c>
      <c r="P1394" s="18"/>
      <c r="Q1394" s="18"/>
      <c r="R1394" s="18"/>
      <c r="S1394" s="18"/>
      <c r="T1394" s="18"/>
      <c r="U1394" s="18"/>
      <c r="V1394" s="18"/>
      <c r="W1394" s="18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</row>
    <row r="1395" spans="1:36" ht="11.25" customHeight="1" x14ac:dyDescent="0.2">
      <c r="A1395" s="51" t="s">
        <v>28</v>
      </c>
      <c r="B1395" s="51" t="s">
        <v>22</v>
      </c>
      <c r="C1395" s="51" t="s">
        <v>23</v>
      </c>
      <c r="D1395" s="51" t="s">
        <v>24</v>
      </c>
      <c r="E1395" s="51" t="s">
        <v>30</v>
      </c>
      <c r="F1395" s="51" t="s">
        <v>25</v>
      </c>
      <c r="G1395" s="51" t="s">
        <v>25</v>
      </c>
      <c r="H1395" s="51" t="s">
        <v>25</v>
      </c>
      <c r="I1395" s="59">
        <v>44593</v>
      </c>
      <c r="J1395" s="60">
        <f>EFEITO!$J$1395*EFEITO!$Y$1279</f>
        <v>0</v>
      </c>
      <c r="K1395" s="60">
        <f ca="1">EFEITO!$L$1395*EFEITO!$Z$1435</f>
        <v>1327.1201685792373</v>
      </c>
      <c r="L1395" s="60">
        <f>EFEITO!$N$1395*EFEITO!$AA$1435</f>
        <v>873.24177871559255</v>
      </c>
      <c r="M1395" s="60">
        <f>$J$1395-EFEITO!$K$1395*EFEITO!$Y$1395</f>
        <v>0</v>
      </c>
      <c r="N1395" s="60">
        <f ca="1">$K$1395-EFEITO!$M$1395*EFEITO!$Z$1395</f>
        <v>530.84806743169497</v>
      </c>
      <c r="O1395" s="60">
        <f>$L$1395-EFEITO!$O$1395*EFEITO!$AA$1395</f>
        <v>349.29671148623709</v>
      </c>
      <c r="P1395" s="18"/>
      <c r="Q1395" s="18"/>
      <c r="R1395" s="18"/>
      <c r="S1395" s="18"/>
      <c r="T1395" s="18"/>
      <c r="U1395" s="18"/>
      <c r="V1395" s="18"/>
      <c r="W1395" s="18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</row>
    <row r="1396" spans="1:36" ht="11.25" customHeight="1" x14ac:dyDescent="0.2">
      <c r="A1396" s="51" t="s">
        <v>56</v>
      </c>
      <c r="B1396" s="51" t="s">
        <v>22</v>
      </c>
      <c r="C1396" s="51" t="s">
        <v>23</v>
      </c>
      <c r="D1396" s="51" t="s">
        <v>24</v>
      </c>
      <c r="E1396" s="51" t="s">
        <v>30</v>
      </c>
      <c r="F1396" s="51" t="s">
        <v>25</v>
      </c>
      <c r="G1396" s="51" t="s">
        <v>25</v>
      </c>
      <c r="H1396" s="51" t="s">
        <v>25</v>
      </c>
      <c r="I1396" s="59">
        <v>44621</v>
      </c>
      <c r="J1396" s="60">
        <f>EFEITO!$J$1396*EFEITO!$Y$1279</f>
        <v>0</v>
      </c>
      <c r="K1396" s="60">
        <f ca="1">EFEITO!$L$1396*EFEITO!$Z$1435</f>
        <v>4329525.7205954203</v>
      </c>
      <c r="L1396" s="60">
        <f>EFEITO!$N$1396*EFEITO!$AA$1435</f>
        <v>2848817.1838237871</v>
      </c>
      <c r="M1396" s="60">
        <f>$J$1396-EFEITO!$K$1396*EFEITO!$Y$1396</f>
        <v>0</v>
      </c>
      <c r="N1396" s="60">
        <f ca="1">$K$1396-EFEITO!$M$1396*EFEITO!$Z$1396</f>
        <v>1731810.2882381678</v>
      </c>
      <c r="O1396" s="60">
        <f>$L$1396-EFEITO!$O$1396*EFEITO!$AA$1396</f>
        <v>1139526.873529515</v>
      </c>
      <c r="P1396" s="18"/>
      <c r="Q1396" s="18"/>
      <c r="R1396" s="18"/>
      <c r="S1396" s="18"/>
      <c r="T1396" s="18"/>
      <c r="U1396" s="18"/>
      <c r="V1396" s="18"/>
      <c r="W1396" s="18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</row>
    <row r="1397" spans="1:36" ht="11.25" customHeight="1" x14ac:dyDescent="0.2">
      <c r="A1397" s="51" t="s">
        <v>56</v>
      </c>
      <c r="B1397" s="51" t="s">
        <v>22</v>
      </c>
      <c r="C1397" s="51" t="s">
        <v>23</v>
      </c>
      <c r="D1397" s="51" t="s">
        <v>24</v>
      </c>
      <c r="E1397" s="51" t="s">
        <v>30</v>
      </c>
      <c r="F1397" s="51" t="s">
        <v>25</v>
      </c>
      <c r="G1397" s="51" t="s">
        <v>25</v>
      </c>
      <c r="H1397" s="51" t="s">
        <v>25</v>
      </c>
      <c r="I1397" s="59">
        <v>44621</v>
      </c>
      <c r="J1397" s="60">
        <f>EFEITO!$J$1397*EFEITO!$Y$1279</f>
        <v>0</v>
      </c>
      <c r="K1397" s="60">
        <f ca="1">EFEITO!$L$1397*EFEITO!$Z$1435</f>
        <v>-249.65980059270788</v>
      </c>
      <c r="L1397" s="60">
        <f>EFEITO!$N$1397*EFEITO!$AA$1435</f>
        <v>-164.27552945469355</v>
      </c>
      <c r="M1397" s="60">
        <f>$J$1397-EFEITO!$K$1397*EFEITO!$Y$1397</f>
        <v>0</v>
      </c>
      <c r="N1397" s="60">
        <f ca="1">$K$1397-EFEITO!$M$1397*EFEITO!$Z$1397</f>
        <v>-99.863920237083164</v>
      </c>
      <c r="O1397" s="60">
        <f>$L$1397-EFEITO!$O$1397*EFEITO!$AA$1397</f>
        <v>-65.710211781877433</v>
      </c>
      <c r="P1397" s="18"/>
      <c r="Q1397" s="18"/>
      <c r="R1397" s="18"/>
      <c r="S1397" s="18"/>
      <c r="T1397" s="18"/>
      <c r="U1397" s="18"/>
      <c r="V1397" s="18"/>
      <c r="W1397" s="18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</row>
    <row r="1398" spans="1:36" ht="11.25" customHeight="1" x14ac:dyDescent="0.2">
      <c r="A1398" s="51" t="s">
        <v>56</v>
      </c>
      <c r="B1398" s="51" t="s">
        <v>22</v>
      </c>
      <c r="C1398" s="51" t="s">
        <v>23</v>
      </c>
      <c r="D1398" s="51" t="s">
        <v>24</v>
      </c>
      <c r="E1398" s="51" t="s">
        <v>30</v>
      </c>
      <c r="F1398" s="51" t="s">
        <v>25</v>
      </c>
      <c r="G1398" s="51" t="s">
        <v>25</v>
      </c>
      <c r="H1398" s="51" t="s">
        <v>25</v>
      </c>
      <c r="I1398" s="59">
        <v>44621</v>
      </c>
      <c r="J1398" s="60">
        <f>EFEITO!$J$1398*EFEITO!$Y$1279</f>
        <v>0</v>
      </c>
      <c r="K1398" s="60">
        <f ca="1">EFEITO!$L$1398*EFEITO!$Z$1435</f>
        <v>1327.1201685792373</v>
      </c>
      <c r="L1398" s="60">
        <f>EFEITO!$N$1398*EFEITO!$AA$1435</f>
        <v>873.24177871559255</v>
      </c>
      <c r="M1398" s="60">
        <f>$J$1398-EFEITO!$K$1398*EFEITO!$Y$1398</f>
        <v>0</v>
      </c>
      <c r="N1398" s="60">
        <f ca="1">$K$1398-EFEITO!$M$1398*EFEITO!$Z$1398</f>
        <v>530.84806743169497</v>
      </c>
      <c r="O1398" s="60">
        <f>$L$1398-EFEITO!$O$1398*EFEITO!$AA$1398</f>
        <v>349.29671148623709</v>
      </c>
      <c r="P1398" s="18"/>
      <c r="Q1398" s="18"/>
      <c r="R1398" s="18"/>
      <c r="S1398" s="18"/>
      <c r="T1398" s="18"/>
      <c r="U1398" s="18"/>
      <c r="V1398" s="18"/>
      <c r="W1398" s="18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</row>
    <row r="1399" spans="1:36" ht="11.25" customHeight="1" x14ac:dyDescent="0.2">
      <c r="A1399" s="51" t="s">
        <v>21</v>
      </c>
      <c r="B1399" s="51" t="s">
        <v>22</v>
      </c>
      <c r="C1399" s="51" t="s">
        <v>23</v>
      </c>
      <c r="D1399" s="51" t="s">
        <v>24</v>
      </c>
      <c r="E1399" s="51" t="s">
        <v>31</v>
      </c>
      <c r="F1399" s="51" t="s">
        <v>25</v>
      </c>
      <c r="G1399" s="51" t="s">
        <v>25</v>
      </c>
      <c r="H1399" s="51" t="s">
        <v>25</v>
      </c>
      <c r="I1399" s="59">
        <v>44287</v>
      </c>
      <c r="J1399" s="60">
        <f>EFEITO!$J$1399*EFEITO!$Y$1279</f>
        <v>0</v>
      </c>
      <c r="K1399" s="60">
        <f ca="1">EFEITO!$L$1399*EFEITO!$Z$1435</f>
        <v>2184323.170688862</v>
      </c>
      <c r="L1399" s="60">
        <f>EFEITO!$N$1399*EFEITO!$AA$1435</f>
        <v>1437279.2276256771</v>
      </c>
      <c r="M1399" s="60">
        <f>$J$1399-EFEITO!$K$1399*EFEITO!$Y$1399</f>
        <v>0</v>
      </c>
      <c r="N1399" s="60">
        <f ca="1">$K$1399-EFEITO!$M$1399*EFEITO!$Z$1399</f>
        <v>218432.31706888601</v>
      </c>
      <c r="O1399" s="60">
        <f>$L$1399-EFEITO!$O$1399*EFEITO!$AA$1399</f>
        <v>143727.92276256764</v>
      </c>
      <c r="P1399" s="18"/>
      <c r="Q1399" s="18"/>
      <c r="R1399" s="18"/>
      <c r="S1399" s="18"/>
      <c r="T1399" s="18"/>
      <c r="U1399" s="18"/>
      <c r="V1399" s="18"/>
      <c r="W1399" s="18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</row>
    <row r="1400" spans="1:36" ht="11.25" customHeight="1" x14ac:dyDescent="0.2">
      <c r="A1400" s="51" t="s">
        <v>27</v>
      </c>
      <c r="B1400" s="51" t="s">
        <v>22</v>
      </c>
      <c r="C1400" s="51" t="s">
        <v>23</v>
      </c>
      <c r="D1400" s="51" t="s">
        <v>24</v>
      </c>
      <c r="E1400" s="51" t="s">
        <v>31</v>
      </c>
      <c r="F1400" s="51" t="s">
        <v>25</v>
      </c>
      <c r="G1400" s="51" t="s">
        <v>25</v>
      </c>
      <c r="H1400" s="51" t="s">
        <v>25</v>
      </c>
      <c r="I1400" s="59">
        <v>44287</v>
      </c>
      <c r="J1400" s="60">
        <f>EFEITO!$J$1400*EFEITO!$Y$1279</f>
        <v>0</v>
      </c>
      <c r="K1400" s="60">
        <f ca="1">EFEITO!$L$1400*EFEITO!$Z$1435</f>
        <v>-352.73363255169727</v>
      </c>
      <c r="L1400" s="60">
        <f>EFEITO!$N$1400*EFEITO!$AA$1435</f>
        <v>-232.09785518670276</v>
      </c>
      <c r="M1400" s="60">
        <f>$J$1400-EFEITO!$K$1400*EFEITO!$Y$1400</f>
        <v>0</v>
      </c>
      <c r="N1400" s="60">
        <f ca="1">$K$1400-EFEITO!$M$1400*EFEITO!$Z$1400</f>
        <v>-35.27336325516967</v>
      </c>
      <c r="O1400" s="60">
        <f>$L$1400-EFEITO!$O$1400*EFEITO!$AA$1400</f>
        <v>-23.209785518670259</v>
      </c>
      <c r="P1400" s="18"/>
      <c r="Q1400" s="18"/>
      <c r="R1400" s="18"/>
      <c r="S1400" s="18"/>
      <c r="T1400" s="18"/>
      <c r="U1400" s="18"/>
      <c r="V1400" s="18"/>
      <c r="W1400" s="18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</row>
    <row r="1401" spans="1:36" ht="11.25" customHeight="1" x14ac:dyDescent="0.2">
      <c r="A1401" s="51" t="s">
        <v>28</v>
      </c>
      <c r="B1401" s="51" t="s">
        <v>22</v>
      </c>
      <c r="C1401" s="51" t="s">
        <v>23</v>
      </c>
      <c r="D1401" s="51" t="s">
        <v>24</v>
      </c>
      <c r="E1401" s="51" t="s">
        <v>31</v>
      </c>
      <c r="F1401" s="51" t="s">
        <v>25</v>
      </c>
      <c r="G1401" s="51" t="s">
        <v>25</v>
      </c>
      <c r="H1401" s="51" t="s">
        <v>25</v>
      </c>
      <c r="I1401" s="59">
        <v>44287</v>
      </c>
      <c r="J1401" s="60">
        <f>EFEITO!$J$1401*EFEITO!$Y$1279</f>
        <v>0</v>
      </c>
      <c r="K1401" s="60">
        <f ca="1">EFEITO!$L$1401*EFEITO!$Z$1435</f>
        <v>318.85123104268695</v>
      </c>
      <c r="L1401" s="60">
        <f>EFEITO!$N$1401*EFEITO!$AA$1435</f>
        <v>209.80331904642293</v>
      </c>
      <c r="M1401" s="60">
        <f>$J$1401-EFEITO!$K$1401*EFEITO!$Y$1401</f>
        <v>0</v>
      </c>
      <c r="N1401" s="60">
        <f ca="1">$K$1401-EFEITO!$M$1401*EFEITO!$Z$1401</f>
        <v>31.885123104268644</v>
      </c>
      <c r="O1401" s="60">
        <f>$L$1401-EFEITO!$O$1401*EFEITO!$AA$1401</f>
        <v>20.98033190464227</v>
      </c>
      <c r="P1401" s="18"/>
      <c r="Q1401" s="18"/>
      <c r="R1401" s="18"/>
      <c r="S1401" s="18"/>
      <c r="T1401" s="18"/>
      <c r="U1401" s="18"/>
      <c r="V1401" s="18"/>
      <c r="W1401" s="18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</row>
    <row r="1402" spans="1:36" ht="11.25" customHeight="1" x14ac:dyDescent="0.2">
      <c r="A1402" s="51" t="s">
        <v>21</v>
      </c>
      <c r="B1402" s="51" t="s">
        <v>22</v>
      </c>
      <c r="C1402" s="51" t="s">
        <v>23</v>
      </c>
      <c r="D1402" s="51" t="s">
        <v>24</v>
      </c>
      <c r="E1402" s="51" t="s">
        <v>31</v>
      </c>
      <c r="F1402" s="51" t="s">
        <v>25</v>
      </c>
      <c r="G1402" s="51" t="s">
        <v>25</v>
      </c>
      <c r="H1402" s="51" t="s">
        <v>25</v>
      </c>
      <c r="I1402" s="59">
        <v>44317</v>
      </c>
      <c r="J1402" s="60">
        <f>EFEITO!$J$1402*EFEITO!$Y$1279</f>
        <v>0</v>
      </c>
      <c r="K1402" s="60">
        <f ca="1">EFEITO!$L$1402*EFEITO!$Z$1435</f>
        <v>1704281.585991499</v>
      </c>
      <c r="L1402" s="60">
        <f>EFEITO!$N$1402*EFEITO!$AA$1435</f>
        <v>1121413.0557421257</v>
      </c>
      <c r="M1402" s="60">
        <f>$J$1402-EFEITO!$K$1402*EFEITO!$Y$1402</f>
        <v>0</v>
      </c>
      <c r="N1402" s="60">
        <f ca="1">$K$1402-EFEITO!$M$1402*EFEITO!$Z$1402</f>
        <v>170428.15859914967</v>
      </c>
      <c r="O1402" s="60">
        <f>$L$1402-EFEITO!$O$1402*EFEITO!$AA$1402</f>
        <v>112141.30557421234</v>
      </c>
      <c r="P1402" s="18"/>
      <c r="Q1402" s="18"/>
      <c r="R1402" s="18"/>
      <c r="S1402" s="18"/>
      <c r="T1402" s="18"/>
      <c r="U1402" s="18"/>
      <c r="V1402" s="18"/>
      <c r="W1402" s="18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</row>
    <row r="1403" spans="1:36" ht="11.25" customHeight="1" x14ac:dyDescent="0.2">
      <c r="A1403" s="51" t="s">
        <v>27</v>
      </c>
      <c r="B1403" s="51" t="s">
        <v>22</v>
      </c>
      <c r="C1403" s="51" t="s">
        <v>23</v>
      </c>
      <c r="D1403" s="51" t="s">
        <v>24</v>
      </c>
      <c r="E1403" s="51" t="s">
        <v>31</v>
      </c>
      <c r="F1403" s="51" t="s">
        <v>25</v>
      </c>
      <c r="G1403" s="51" t="s">
        <v>25</v>
      </c>
      <c r="H1403" s="51" t="s">
        <v>25</v>
      </c>
      <c r="I1403" s="59">
        <v>44317</v>
      </c>
      <c r="J1403" s="60">
        <f>EFEITO!$J$1403*EFEITO!$Y$1279</f>
        <v>0</v>
      </c>
      <c r="K1403" s="60">
        <f ca="1">EFEITO!$L$1403*EFEITO!$Z$1435</f>
        <v>-177.6151152788122</v>
      </c>
      <c r="L1403" s="60">
        <f>EFEITO!$N$1403*EFEITO!$AA$1435</f>
        <v>-116.87030524062484</v>
      </c>
      <c r="M1403" s="60">
        <f>$J$1403-EFEITO!$K$1403*EFEITO!$Y$1403</f>
        <v>0</v>
      </c>
      <c r="N1403" s="60">
        <f ca="1">$K$1403-EFEITO!$M$1403*EFEITO!$Z$1403</f>
        <v>-17.761511527881225</v>
      </c>
      <c r="O1403" s="60">
        <f>$L$1403-EFEITO!$O$1403*EFEITO!$AA$1403</f>
        <v>-11.687030524062479</v>
      </c>
      <c r="P1403" s="18"/>
      <c r="Q1403" s="18"/>
      <c r="R1403" s="18"/>
      <c r="S1403" s="18"/>
      <c r="T1403" s="18"/>
      <c r="U1403" s="18"/>
      <c r="V1403" s="18"/>
      <c r="W1403" s="18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</row>
    <row r="1404" spans="1:36" ht="11.25" customHeight="1" x14ac:dyDescent="0.2">
      <c r="A1404" s="51" t="s">
        <v>28</v>
      </c>
      <c r="B1404" s="51" t="s">
        <v>22</v>
      </c>
      <c r="C1404" s="51" t="s">
        <v>23</v>
      </c>
      <c r="D1404" s="51" t="s">
        <v>24</v>
      </c>
      <c r="E1404" s="51" t="s">
        <v>31</v>
      </c>
      <c r="F1404" s="51" t="s">
        <v>25</v>
      </c>
      <c r="G1404" s="51" t="s">
        <v>25</v>
      </c>
      <c r="H1404" s="51" t="s">
        <v>25</v>
      </c>
      <c r="I1404" s="59">
        <v>44317</v>
      </c>
      <c r="J1404" s="60">
        <f>EFEITO!$J$1404*EFEITO!$Y$1279</f>
        <v>0</v>
      </c>
      <c r="K1404" s="60">
        <f ca="1">EFEITO!$L$1404*EFEITO!$Z$1435</f>
        <v>448.31767049290545</v>
      </c>
      <c r="L1404" s="60">
        <f>EFEITO!$N$1404*EFEITO!$AA$1435</f>
        <v>294.99191503507114</v>
      </c>
      <c r="M1404" s="60">
        <f>$J$1404-EFEITO!$K$1404*EFEITO!$Y$1404</f>
        <v>0</v>
      </c>
      <c r="N1404" s="60">
        <f ca="1">$K$1404-EFEITO!$M$1404*EFEITO!$Z$1404</f>
        <v>44.831767049290534</v>
      </c>
      <c r="O1404" s="60">
        <f>$L$1404-EFEITO!$O$1404*EFEITO!$AA$1404</f>
        <v>29.49919150350712</v>
      </c>
      <c r="P1404" s="18"/>
      <c r="Q1404" s="18"/>
      <c r="R1404" s="18"/>
      <c r="S1404" s="18"/>
      <c r="T1404" s="18"/>
      <c r="U1404" s="18"/>
      <c r="V1404" s="18"/>
      <c r="W1404" s="18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</row>
    <row r="1405" spans="1:36" ht="11.25" customHeight="1" x14ac:dyDescent="0.2">
      <c r="A1405" s="51" t="s">
        <v>21</v>
      </c>
      <c r="B1405" s="51" t="s">
        <v>22</v>
      </c>
      <c r="C1405" s="51" t="s">
        <v>23</v>
      </c>
      <c r="D1405" s="51" t="s">
        <v>24</v>
      </c>
      <c r="E1405" s="51" t="s">
        <v>31</v>
      </c>
      <c r="F1405" s="51" t="s">
        <v>25</v>
      </c>
      <c r="G1405" s="51" t="s">
        <v>25</v>
      </c>
      <c r="H1405" s="51" t="s">
        <v>25</v>
      </c>
      <c r="I1405" s="59">
        <v>44348</v>
      </c>
      <c r="J1405" s="60">
        <f>EFEITO!$J$1405*EFEITO!$Y$1279</f>
        <v>0</v>
      </c>
      <c r="K1405" s="60">
        <f ca="1">EFEITO!$L$1405*EFEITO!$Z$1435</f>
        <v>1546571.1333002276</v>
      </c>
      <c r="L1405" s="60">
        <f>EFEITO!$N$1405*EFEITO!$AA$1435</f>
        <v>1017639.9691062681</v>
      </c>
      <c r="M1405" s="60">
        <f>$J$1405-EFEITO!$K$1405*EFEITO!$Y$1405</f>
        <v>0</v>
      </c>
      <c r="N1405" s="60">
        <f ca="1">$K$1405-EFEITO!$M$1405*EFEITO!$Z$1405</f>
        <v>154657.11333002266</v>
      </c>
      <c r="O1405" s="60">
        <f>$L$1405-EFEITO!$O$1405*EFEITO!$AA$1405</f>
        <v>101763.99691062677</v>
      </c>
      <c r="P1405" s="18"/>
      <c r="Q1405" s="18"/>
      <c r="R1405" s="18"/>
      <c r="S1405" s="18"/>
      <c r="T1405" s="18"/>
      <c r="U1405" s="18"/>
      <c r="V1405" s="18"/>
      <c r="W1405" s="18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</row>
    <row r="1406" spans="1:36" ht="11.25" customHeight="1" x14ac:dyDescent="0.2">
      <c r="A1406" s="51" t="s">
        <v>27</v>
      </c>
      <c r="B1406" s="51" t="s">
        <v>22</v>
      </c>
      <c r="C1406" s="51" t="s">
        <v>23</v>
      </c>
      <c r="D1406" s="51" t="s">
        <v>24</v>
      </c>
      <c r="E1406" s="51" t="s">
        <v>31</v>
      </c>
      <c r="F1406" s="51" t="s">
        <v>25</v>
      </c>
      <c r="G1406" s="51" t="s">
        <v>25</v>
      </c>
      <c r="H1406" s="51" t="s">
        <v>25</v>
      </c>
      <c r="I1406" s="59">
        <v>44348</v>
      </c>
      <c r="J1406" s="60">
        <f>EFEITO!$J$1406*EFEITO!$Y$1279</f>
        <v>0</v>
      </c>
      <c r="K1406" s="60">
        <f ca="1">EFEITO!$L$1406*EFEITO!$Z$1435</f>
        <v>-4678.9813199653354</v>
      </c>
      <c r="L1406" s="60">
        <f>EFEITO!$N$1406*EFEITO!$AA$1435</f>
        <v>-3078.7581013087497</v>
      </c>
      <c r="M1406" s="60">
        <f>$J$1406-EFEITO!$K$1406*EFEITO!$Y$1406</f>
        <v>0</v>
      </c>
      <c r="N1406" s="60">
        <f ca="1">$K$1406-EFEITO!$M$1406*EFEITO!$Z$1406</f>
        <v>-467.89813199653327</v>
      </c>
      <c r="O1406" s="60">
        <f>$L$1406-EFEITO!$O$1406*EFEITO!$AA$1406</f>
        <v>-307.87581013087492</v>
      </c>
      <c r="P1406" s="18"/>
      <c r="Q1406" s="18"/>
      <c r="R1406" s="18"/>
      <c r="S1406" s="18"/>
      <c r="T1406" s="18"/>
      <c r="U1406" s="18"/>
      <c r="V1406" s="18"/>
      <c r="W1406" s="18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</row>
    <row r="1407" spans="1:36" ht="11.25" customHeight="1" x14ac:dyDescent="0.2">
      <c r="A1407" s="51" t="s">
        <v>28</v>
      </c>
      <c r="B1407" s="51" t="s">
        <v>22</v>
      </c>
      <c r="C1407" s="51" t="s">
        <v>23</v>
      </c>
      <c r="D1407" s="51" t="s">
        <v>24</v>
      </c>
      <c r="E1407" s="51" t="s">
        <v>31</v>
      </c>
      <c r="F1407" s="51" t="s">
        <v>25</v>
      </c>
      <c r="G1407" s="51" t="s">
        <v>25</v>
      </c>
      <c r="H1407" s="51" t="s">
        <v>25</v>
      </c>
      <c r="I1407" s="59">
        <v>44348</v>
      </c>
      <c r="J1407" s="60">
        <f>EFEITO!$J$1407*EFEITO!$Y$1279</f>
        <v>0</v>
      </c>
      <c r="K1407" s="60">
        <f ca="1">EFEITO!$L$1407*EFEITO!$Z$1435</f>
        <v>426.56160215554092</v>
      </c>
      <c r="L1407" s="60">
        <f>EFEITO!$N$1407*EFEITO!$AA$1435</f>
        <v>280.67647603973353</v>
      </c>
      <c r="M1407" s="60">
        <f>$J$1407-EFEITO!$K$1407*EFEITO!$Y$1407</f>
        <v>0</v>
      </c>
      <c r="N1407" s="60">
        <f ca="1">$K$1407-EFEITO!$M$1407*EFEITO!$Z$1407</f>
        <v>42.656160215554053</v>
      </c>
      <c r="O1407" s="60">
        <f>$L$1407-EFEITO!$O$1407*EFEITO!$AA$1407</f>
        <v>28.067647603973313</v>
      </c>
      <c r="P1407" s="18"/>
      <c r="Q1407" s="18"/>
      <c r="R1407" s="18"/>
      <c r="S1407" s="18"/>
      <c r="T1407" s="18"/>
      <c r="U1407" s="18"/>
      <c r="V1407" s="18"/>
      <c r="W1407" s="18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</row>
    <row r="1408" spans="1:36" ht="11.25" customHeight="1" x14ac:dyDescent="0.2">
      <c r="A1408" s="51" t="s">
        <v>21</v>
      </c>
      <c r="B1408" s="51" t="s">
        <v>22</v>
      </c>
      <c r="C1408" s="51" t="s">
        <v>23</v>
      </c>
      <c r="D1408" s="51" t="s">
        <v>24</v>
      </c>
      <c r="E1408" s="51" t="s">
        <v>31</v>
      </c>
      <c r="F1408" s="51" t="s">
        <v>25</v>
      </c>
      <c r="G1408" s="51" t="s">
        <v>25</v>
      </c>
      <c r="H1408" s="51" t="s">
        <v>25</v>
      </c>
      <c r="I1408" s="59">
        <v>44378</v>
      </c>
      <c r="J1408" s="60">
        <f>EFEITO!$J$1408*EFEITO!$Y$1279</f>
        <v>0</v>
      </c>
      <c r="K1408" s="60">
        <f ca="1">EFEITO!$L$1408*EFEITO!$Z$1435</f>
        <v>1483688.9626680841</v>
      </c>
      <c r="L1408" s="60">
        <f>EFEITO!$N$1408*EFEITO!$AA$1435</f>
        <v>976263.65682318655</v>
      </c>
      <c r="M1408" s="60">
        <f>$J$1408-EFEITO!$K$1408*EFEITO!$Y$1408</f>
        <v>0</v>
      </c>
      <c r="N1408" s="60">
        <f ca="1">$K$1408-EFEITO!$M$1408*EFEITO!$Z$1408</f>
        <v>148368.89626680827</v>
      </c>
      <c r="O1408" s="60">
        <f>$L$1408-EFEITO!$O$1408*EFEITO!$AA$1408</f>
        <v>97626.365682318574</v>
      </c>
      <c r="P1408" s="18"/>
      <c r="Q1408" s="18"/>
      <c r="R1408" s="18"/>
      <c r="S1408" s="18"/>
      <c r="T1408" s="18"/>
      <c r="U1408" s="18"/>
      <c r="V1408" s="18"/>
      <c r="W1408" s="18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</row>
    <row r="1409" spans="1:36" ht="11.25" customHeight="1" x14ac:dyDescent="0.2">
      <c r="A1409" s="51" t="s">
        <v>27</v>
      </c>
      <c r="B1409" s="51" t="s">
        <v>22</v>
      </c>
      <c r="C1409" s="51" t="s">
        <v>23</v>
      </c>
      <c r="D1409" s="51" t="s">
        <v>24</v>
      </c>
      <c r="E1409" s="51" t="s">
        <v>31</v>
      </c>
      <c r="F1409" s="51" t="s">
        <v>25</v>
      </c>
      <c r="G1409" s="51" t="s">
        <v>25</v>
      </c>
      <c r="H1409" s="51" t="s">
        <v>25</v>
      </c>
      <c r="I1409" s="59">
        <v>44378</v>
      </c>
      <c r="J1409" s="60">
        <f>EFEITO!$J$1409*EFEITO!$Y$1279</f>
        <v>0</v>
      </c>
      <c r="K1409" s="60">
        <f ca="1">EFEITO!$L$1409*EFEITO!$Z$1435</f>
        <v>-750.04937235209252</v>
      </c>
      <c r="L1409" s="60">
        <f>EFEITO!$N$1409*EFEITO!$AA$1435</f>
        <v>-493.530626347458</v>
      </c>
      <c r="M1409" s="60">
        <f>$J$1409-EFEITO!$K$1409*EFEITO!$Y$1409</f>
        <v>0</v>
      </c>
      <c r="N1409" s="60">
        <f ca="1">$K$1409-EFEITO!$M$1409*EFEITO!$Z$1409</f>
        <v>-75.00493723520924</v>
      </c>
      <c r="O1409" s="60">
        <f>$L$1409-EFEITO!$O$1409*EFEITO!$AA$1409</f>
        <v>-49.353062634745754</v>
      </c>
      <c r="P1409" s="18"/>
      <c r="Q1409" s="18"/>
      <c r="R1409" s="18"/>
      <c r="S1409" s="18"/>
      <c r="T1409" s="18"/>
      <c r="U1409" s="18"/>
      <c r="V1409" s="18"/>
      <c r="W1409" s="18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</row>
    <row r="1410" spans="1:36" ht="11.25" customHeight="1" x14ac:dyDescent="0.2">
      <c r="A1410" s="51" t="s">
        <v>28</v>
      </c>
      <c r="B1410" s="51" t="s">
        <v>22</v>
      </c>
      <c r="C1410" s="51" t="s">
        <v>23</v>
      </c>
      <c r="D1410" s="51" t="s">
        <v>24</v>
      </c>
      <c r="E1410" s="51" t="s">
        <v>31</v>
      </c>
      <c r="F1410" s="51" t="s">
        <v>25</v>
      </c>
      <c r="G1410" s="51" t="s">
        <v>25</v>
      </c>
      <c r="H1410" s="51" t="s">
        <v>25</v>
      </c>
      <c r="I1410" s="59">
        <v>44378</v>
      </c>
      <c r="J1410" s="60">
        <f>EFEITO!$J$1410*EFEITO!$Y$1279</f>
        <v>0</v>
      </c>
      <c r="K1410" s="60">
        <f ca="1">EFEITO!$L$1410*EFEITO!$Z$1435</f>
        <v>608.81325658821766</v>
      </c>
      <c r="L1410" s="60">
        <f>EFEITO!$N$1410*EFEITO!$AA$1435</f>
        <v>400.59761254165988</v>
      </c>
      <c r="M1410" s="60">
        <f>$J$1410-EFEITO!$K$1410*EFEITO!$Y$1410</f>
        <v>0</v>
      </c>
      <c r="N1410" s="60">
        <f ca="1">$K$1410-EFEITO!$M$1410*EFEITO!$Z$1410</f>
        <v>60.881325658821652</v>
      </c>
      <c r="O1410" s="60">
        <f>$L$1410-EFEITO!$O$1410*EFEITO!$AA$1410</f>
        <v>40.059761254165949</v>
      </c>
      <c r="P1410" s="18"/>
      <c r="Q1410" s="18"/>
      <c r="R1410" s="18"/>
      <c r="S1410" s="18"/>
      <c r="T1410" s="18"/>
      <c r="U1410" s="18"/>
      <c r="V1410" s="18"/>
      <c r="W1410" s="18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</row>
    <row r="1411" spans="1:36" ht="11.25" customHeight="1" x14ac:dyDescent="0.2">
      <c r="A1411" s="51" t="s">
        <v>21</v>
      </c>
      <c r="B1411" s="51" t="s">
        <v>22</v>
      </c>
      <c r="C1411" s="51" t="s">
        <v>23</v>
      </c>
      <c r="D1411" s="51" t="s">
        <v>24</v>
      </c>
      <c r="E1411" s="51" t="s">
        <v>31</v>
      </c>
      <c r="F1411" s="51" t="s">
        <v>25</v>
      </c>
      <c r="G1411" s="51" t="s">
        <v>25</v>
      </c>
      <c r="H1411" s="51" t="s">
        <v>25</v>
      </c>
      <c r="I1411" s="59">
        <v>44409</v>
      </c>
      <c r="J1411" s="60">
        <f>EFEITO!$J$1411*EFEITO!$Y$1279</f>
        <v>0</v>
      </c>
      <c r="K1411" s="60">
        <f ca="1">EFEITO!$L$1411*EFEITO!$Z$1435</f>
        <v>1287363.9852759964</v>
      </c>
      <c r="L1411" s="60">
        <f>EFEITO!$N$1411*EFEITO!$AA$1435</f>
        <v>847082.30872589932</v>
      </c>
      <c r="M1411" s="60">
        <f>$J$1411-EFEITO!$K$1411*EFEITO!$Y$1411</f>
        <v>0</v>
      </c>
      <c r="N1411" s="60">
        <f ca="1">$K$1411-EFEITO!$M$1411*EFEITO!$Z$1411</f>
        <v>128736.39852759941</v>
      </c>
      <c r="O1411" s="60">
        <f>$L$1411-EFEITO!$O$1411*EFEITO!$AA$1411</f>
        <v>84708.230872589862</v>
      </c>
      <c r="P1411" s="18"/>
      <c r="Q1411" s="18"/>
      <c r="R1411" s="18"/>
      <c r="S1411" s="18"/>
      <c r="T1411" s="18"/>
      <c r="U1411" s="18"/>
      <c r="V1411" s="18"/>
      <c r="W1411" s="18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</row>
    <row r="1412" spans="1:36" ht="11.25" customHeight="1" x14ac:dyDescent="0.2">
      <c r="A1412" s="51" t="s">
        <v>27</v>
      </c>
      <c r="B1412" s="51" t="s">
        <v>22</v>
      </c>
      <c r="C1412" s="51" t="s">
        <v>23</v>
      </c>
      <c r="D1412" s="51" t="s">
        <v>24</v>
      </c>
      <c r="E1412" s="51" t="s">
        <v>31</v>
      </c>
      <c r="F1412" s="51" t="s">
        <v>25</v>
      </c>
      <c r="G1412" s="51" t="s">
        <v>25</v>
      </c>
      <c r="H1412" s="51" t="s">
        <v>25</v>
      </c>
      <c r="I1412" s="59">
        <v>44409</v>
      </c>
      <c r="J1412" s="60">
        <f>EFEITO!$J$1412*EFEITO!$Y$1279</f>
        <v>0</v>
      </c>
      <c r="K1412" s="60">
        <f ca="1">EFEITO!$L$1412*EFEITO!$Z$1435</f>
        <v>-523.57226752870736</v>
      </c>
      <c r="L1412" s="60">
        <f>EFEITO!$N$1412*EFEITO!$AA$1435</f>
        <v>-344.50925319927165</v>
      </c>
      <c r="M1412" s="60">
        <f>$J$1412-EFEITO!$K$1412*EFEITO!$Y$1412</f>
        <v>0</v>
      </c>
      <c r="N1412" s="60">
        <f ca="1">$K$1412-EFEITO!$M$1412*EFEITO!$Z$1412</f>
        <v>-52.357226752870645</v>
      </c>
      <c r="O1412" s="60">
        <f>$L$1412-EFEITO!$O$1412*EFEITO!$AA$1412</f>
        <v>-34.450925319927137</v>
      </c>
      <c r="P1412" s="18"/>
      <c r="Q1412" s="18"/>
      <c r="R1412" s="18"/>
      <c r="S1412" s="18"/>
      <c r="T1412" s="18"/>
      <c r="U1412" s="18"/>
      <c r="V1412" s="18"/>
      <c r="W1412" s="18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</row>
    <row r="1413" spans="1:36" ht="11.25" customHeight="1" x14ac:dyDescent="0.2">
      <c r="A1413" s="51" t="s">
        <v>28</v>
      </c>
      <c r="B1413" s="51" t="s">
        <v>22</v>
      </c>
      <c r="C1413" s="51" t="s">
        <v>23</v>
      </c>
      <c r="D1413" s="51" t="s">
        <v>24</v>
      </c>
      <c r="E1413" s="51" t="s">
        <v>31</v>
      </c>
      <c r="F1413" s="51" t="s">
        <v>25</v>
      </c>
      <c r="G1413" s="51" t="s">
        <v>25</v>
      </c>
      <c r="H1413" s="51" t="s">
        <v>25</v>
      </c>
      <c r="I1413" s="59">
        <v>44409</v>
      </c>
      <c r="J1413" s="60">
        <f>EFEITO!$J$1413*EFEITO!$Y$1279</f>
        <v>0</v>
      </c>
      <c r="K1413" s="60">
        <f ca="1">EFEITO!$L$1413*EFEITO!$Z$1435</f>
        <v>556.38469846374903</v>
      </c>
      <c r="L1413" s="60">
        <f>EFEITO!$N$1413*EFEITO!$AA$1435</f>
        <v>366.09975135617424</v>
      </c>
      <c r="M1413" s="60">
        <f>$J$1413-EFEITO!$K$1413*EFEITO!$Y$1413</f>
        <v>0</v>
      </c>
      <c r="N1413" s="60">
        <f ca="1">$K$1413-EFEITO!$M$1413*EFEITO!$Z$1413</f>
        <v>55.638469846374846</v>
      </c>
      <c r="O1413" s="60">
        <f>$L$1413-EFEITO!$O$1413*EFEITO!$AA$1413</f>
        <v>36.60997513561739</v>
      </c>
      <c r="P1413" s="18"/>
      <c r="Q1413" s="18"/>
      <c r="R1413" s="18"/>
      <c r="S1413" s="18"/>
      <c r="T1413" s="18"/>
      <c r="U1413" s="18"/>
      <c r="V1413" s="18"/>
      <c r="W1413" s="18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</row>
    <row r="1414" spans="1:36" ht="11.25" customHeight="1" x14ac:dyDescent="0.2">
      <c r="A1414" s="51" t="s">
        <v>21</v>
      </c>
      <c r="B1414" s="51" t="s">
        <v>22</v>
      </c>
      <c r="C1414" s="51" t="s">
        <v>23</v>
      </c>
      <c r="D1414" s="51" t="s">
        <v>24</v>
      </c>
      <c r="E1414" s="51" t="s">
        <v>31</v>
      </c>
      <c r="F1414" s="51" t="s">
        <v>25</v>
      </c>
      <c r="G1414" s="51" t="s">
        <v>25</v>
      </c>
      <c r="H1414" s="51" t="s">
        <v>25</v>
      </c>
      <c r="I1414" s="59">
        <v>44440</v>
      </c>
      <c r="J1414" s="60">
        <f>EFEITO!$J$1414*EFEITO!$Y$1279</f>
        <v>0</v>
      </c>
      <c r="K1414" s="60">
        <f ca="1">EFEITO!$L$1414*EFEITO!$Z$1435</f>
        <v>1331561.9730886396</v>
      </c>
      <c r="L1414" s="60">
        <f>EFEITO!$N$1414*EFEITO!$AA$1435</f>
        <v>876164.47506391932</v>
      </c>
      <c r="M1414" s="60">
        <f>$J$1414-EFEITO!$K$1414*EFEITO!$Y$1414</f>
        <v>0</v>
      </c>
      <c r="N1414" s="60">
        <f ca="1">$K$1414-EFEITO!$M$1414*EFEITO!$Z$1414</f>
        <v>133156.19730886375</v>
      </c>
      <c r="O1414" s="60">
        <f>$L$1414-EFEITO!$O$1414*EFEITO!$AA$1414</f>
        <v>87616.447506391909</v>
      </c>
      <c r="P1414" s="18"/>
      <c r="Q1414" s="18"/>
      <c r="R1414" s="18"/>
      <c r="S1414" s="18"/>
      <c r="T1414" s="18"/>
      <c r="U1414" s="18"/>
      <c r="V1414" s="18"/>
      <c r="W1414" s="18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</row>
    <row r="1415" spans="1:36" ht="11.25" customHeight="1" x14ac:dyDescent="0.2">
      <c r="A1415" s="51" t="s">
        <v>27</v>
      </c>
      <c r="B1415" s="51" t="s">
        <v>22</v>
      </c>
      <c r="C1415" s="51" t="s">
        <v>23</v>
      </c>
      <c r="D1415" s="51" t="s">
        <v>24</v>
      </c>
      <c r="E1415" s="51" t="s">
        <v>31</v>
      </c>
      <c r="F1415" s="51" t="s">
        <v>25</v>
      </c>
      <c r="G1415" s="51" t="s">
        <v>25</v>
      </c>
      <c r="H1415" s="51" t="s">
        <v>25</v>
      </c>
      <c r="I1415" s="59">
        <v>44440</v>
      </c>
      <c r="J1415" s="60">
        <f>EFEITO!$J$1415*EFEITO!$Y$1279</f>
        <v>0</v>
      </c>
      <c r="K1415" s="60">
        <f ca="1">EFEITO!$L$1415*EFEITO!$Z$1435</f>
        <v>-755.04256836394654</v>
      </c>
      <c r="L1415" s="60">
        <f>EFEITO!$N$1415*EFEITO!$AA$1435</f>
        <v>-496.8161369365518</v>
      </c>
      <c r="M1415" s="60">
        <f>$J$1415-EFEITO!$K$1415*EFEITO!$Y$1415</f>
        <v>0</v>
      </c>
      <c r="N1415" s="60">
        <f ca="1">$K$1415-EFEITO!$M$1415*EFEITO!$Z$1415</f>
        <v>-75.504256836394575</v>
      </c>
      <c r="O1415" s="60">
        <f>$L$1415-EFEITO!$O$1415*EFEITO!$AA$1415</f>
        <v>-49.681613693655152</v>
      </c>
      <c r="P1415" s="18"/>
      <c r="Q1415" s="18"/>
      <c r="R1415" s="18"/>
      <c r="S1415" s="18"/>
      <c r="T1415" s="18"/>
      <c r="U1415" s="18"/>
      <c r="V1415" s="18"/>
      <c r="W1415" s="18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</row>
    <row r="1416" spans="1:36" ht="11.25" customHeight="1" x14ac:dyDescent="0.2">
      <c r="A1416" s="51" t="s">
        <v>28</v>
      </c>
      <c r="B1416" s="51" t="s">
        <v>22</v>
      </c>
      <c r="C1416" s="51" t="s">
        <v>23</v>
      </c>
      <c r="D1416" s="51" t="s">
        <v>24</v>
      </c>
      <c r="E1416" s="51" t="s">
        <v>31</v>
      </c>
      <c r="F1416" s="51" t="s">
        <v>25</v>
      </c>
      <c r="G1416" s="51" t="s">
        <v>25</v>
      </c>
      <c r="H1416" s="51" t="s">
        <v>25</v>
      </c>
      <c r="I1416" s="59">
        <v>44440</v>
      </c>
      <c r="J1416" s="60">
        <f>EFEITO!$J$1416*EFEITO!$Y$1279</f>
        <v>0</v>
      </c>
      <c r="K1416" s="60">
        <f ca="1">EFEITO!$L$1416*EFEITO!$Z$1435</f>
        <v>574.93085507920739</v>
      </c>
      <c r="L1416" s="60">
        <f>EFEITO!$N$1416*EFEITO!$AA$1435</f>
        <v>378.30307640138005</v>
      </c>
      <c r="M1416" s="60">
        <f>$J$1416-EFEITO!$K$1416*EFEITO!$Y$1416</f>
        <v>0</v>
      </c>
      <c r="N1416" s="60">
        <f ca="1">$K$1416-EFEITO!$M$1416*EFEITO!$Z$1416</f>
        <v>57.493085507920682</v>
      </c>
      <c r="O1416" s="60">
        <f>$L$1416-EFEITO!$O$1416*EFEITO!$AA$1416</f>
        <v>37.83030764013796</v>
      </c>
      <c r="P1416" s="18"/>
      <c r="Q1416" s="18"/>
      <c r="R1416" s="18"/>
      <c r="S1416" s="18"/>
      <c r="T1416" s="18"/>
      <c r="U1416" s="18"/>
      <c r="V1416" s="18"/>
      <c r="W1416" s="18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</row>
    <row r="1417" spans="1:36" ht="11.25" customHeight="1" x14ac:dyDescent="0.2">
      <c r="A1417" s="51" t="s">
        <v>21</v>
      </c>
      <c r="B1417" s="51" t="s">
        <v>22</v>
      </c>
      <c r="C1417" s="51" t="s">
        <v>23</v>
      </c>
      <c r="D1417" s="51" t="s">
        <v>24</v>
      </c>
      <c r="E1417" s="51" t="s">
        <v>31</v>
      </c>
      <c r="F1417" s="51" t="s">
        <v>25</v>
      </c>
      <c r="G1417" s="51" t="s">
        <v>25</v>
      </c>
      <c r="H1417" s="51" t="s">
        <v>25</v>
      </c>
      <c r="I1417" s="59">
        <v>44470</v>
      </c>
      <c r="J1417" s="60">
        <f>EFEITO!$J$1417*EFEITO!$Y$1279</f>
        <v>0</v>
      </c>
      <c r="K1417" s="60">
        <f ca="1">EFEITO!$L$1417*EFEITO!$Z$1435</f>
        <v>1577440.8543297998</v>
      </c>
      <c r="L1417" s="60">
        <f>EFEITO!$N$1417*EFEITO!$AA$1435</f>
        <v>1037952.1689646854</v>
      </c>
      <c r="M1417" s="60">
        <f>$J$1417-EFEITO!$K$1417*EFEITO!$Y$1417</f>
        <v>0</v>
      </c>
      <c r="N1417" s="60">
        <f ca="1">$K$1417-EFEITO!$M$1417*EFEITO!$Z$1417</f>
        <v>157744.08543297974</v>
      </c>
      <c r="O1417" s="60">
        <f>$L$1417-EFEITO!$O$1417*EFEITO!$AA$1417</f>
        <v>103795.21689646842</v>
      </c>
      <c r="P1417" s="18"/>
      <c r="Q1417" s="18"/>
      <c r="R1417" s="18"/>
      <c r="S1417" s="18"/>
      <c r="T1417" s="18"/>
      <c r="U1417" s="18"/>
      <c r="V1417" s="18"/>
      <c r="W1417" s="18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</row>
    <row r="1418" spans="1:36" ht="11.25" customHeight="1" x14ac:dyDescent="0.2">
      <c r="A1418" s="51" t="s">
        <v>27</v>
      </c>
      <c r="B1418" s="51" t="s">
        <v>22</v>
      </c>
      <c r="C1418" s="51" t="s">
        <v>23</v>
      </c>
      <c r="D1418" s="51" t="s">
        <v>24</v>
      </c>
      <c r="E1418" s="51" t="s">
        <v>31</v>
      </c>
      <c r="F1418" s="51" t="s">
        <v>25</v>
      </c>
      <c r="G1418" s="51" t="s">
        <v>25</v>
      </c>
      <c r="H1418" s="51" t="s">
        <v>25</v>
      </c>
      <c r="I1418" s="59">
        <v>44470</v>
      </c>
      <c r="J1418" s="60">
        <f>EFEITO!$J$1418*EFEITO!$Y$1279</f>
        <v>0</v>
      </c>
      <c r="K1418" s="60">
        <f ca="1">EFEITO!$L$1418*EFEITO!$Z$1435</f>
        <v>-640.19906009130091</v>
      </c>
      <c r="L1418" s="60">
        <f>EFEITO!$N$1418*EFEITO!$AA$1435</f>
        <v>-421.24939338739273</v>
      </c>
      <c r="M1418" s="60">
        <f>$J$1418-EFEITO!$K$1418*EFEITO!$Y$1418</f>
        <v>0</v>
      </c>
      <c r="N1418" s="60">
        <f ca="1">$K$1418-EFEITO!$M$1418*EFEITO!$Z$1418</f>
        <v>-64.019906009129954</v>
      </c>
      <c r="O1418" s="60">
        <f>$L$1418-EFEITO!$O$1418*EFEITO!$AA$1418</f>
        <v>-42.124939338739239</v>
      </c>
      <c r="P1418" s="18"/>
      <c r="Q1418" s="18"/>
      <c r="R1418" s="18"/>
      <c r="S1418" s="18"/>
      <c r="T1418" s="18"/>
      <c r="U1418" s="18"/>
      <c r="V1418" s="18"/>
      <c r="W1418" s="18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</row>
    <row r="1419" spans="1:36" ht="11.25" customHeight="1" x14ac:dyDescent="0.2">
      <c r="A1419" s="51" t="s">
        <v>28</v>
      </c>
      <c r="B1419" s="51" t="s">
        <v>22</v>
      </c>
      <c r="C1419" s="51" t="s">
        <v>23</v>
      </c>
      <c r="D1419" s="51" t="s">
        <v>24</v>
      </c>
      <c r="E1419" s="51" t="s">
        <v>31</v>
      </c>
      <c r="F1419" s="51" t="s">
        <v>25</v>
      </c>
      <c r="G1419" s="51" t="s">
        <v>25</v>
      </c>
      <c r="H1419" s="51" t="s">
        <v>25</v>
      </c>
      <c r="I1419" s="59">
        <v>44470</v>
      </c>
      <c r="J1419" s="60">
        <f>EFEITO!$J$1419*EFEITO!$Y$1279</f>
        <v>0</v>
      </c>
      <c r="K1419" s="60">
        <f ca="1">EFEITO!$L$1419*EFEITO!$Z$1435</f>
        <v>702.25735338148843</v>
      </c>
      <c r="L1419" s="60">
        <f>EFEITO!$N$1419*EFEITO!$AA$1435</f>
        <v>462.08359642327378</v>
      </c>
      <c r="M1419" s="60">
        <f>$J$1419-EFEITO!$K$1419*EFEITO!$Y$1419</f>
        <v>0</v>
      </c>
      <c r="N1419" s="60">
        <f ca="1">$K$1419-EFEITO!$M$1419*EFEITO!$Z$1419</f>
        <v>70.225735338148866</v>
      </c>
      <c r="O1419" s="60">
        <f>$L$1419-EFEITO!$O$1419*EFEITO!$AA$1419</f>
        <v>46.208359642327366</v>
      </c>
      <c r="P1419" s="18"/>
      <c r="Q1419" s="18"/>
      <c r="R1419" s="18"/>
      <c r="S1419" s="18"/>
      <c r="T1419" s="18"/>
      <c r="U1419" s="18"/>
      <c r="V1419" s="18"/>
      <c r="W1419" s="18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</row>
    <row r="1420" spans="1:36" ht="11.25" customHeight="1" x14ac:dyDescent="0.2">
      <c r="A1420" s="51" t="s">
        <v>21</v>
      </c>
      <c r="B1420" s="51" t="s">
        <v>22</v>
      </c>
      <c r="C1420" s="51" t="s">
        <v>23</v>
      </c>
      <c r="D1420" s="51" t="s">
        <v>24</v>
      </c>
      <c r="E1420" s="51" t="s">
        <v>31</v>
      </c>
      <c r="F1420" s="51" t="s">
        <v>25</v>
      </c>
      <c r="G1420" s="51" t="s">
        <v>25</v>
      </c>
      <c r="H1420" s="51" t="s">
        <v>25</v>
      </c>
      <c r="I1420" s="59">
        <v>44501</v>
      </c>
      <c r="J1420" s="60">
        <f>EFEITO!$J$1420*EFEITO!$Y$1279</f>
        <v>0</v>
      </c>
      <c r="K1420" s="60">
        <f ca="1">EFEITO!$L$1420*EFEITO!$Z$1435</f>
        <v>1681590.3633724856</v>
      </c>
      <c r="L1420" s="60">
        <f>EFEITO!$N$1420*EFEITO!$AA$1435</f>
        <v>1106482.2875493164</v>
      </c>
      <c r="M1420" s="60">
        <f>$J$1420-EFEITO!$K$1420*EFEITO!$Y$1420</f>
        <v>0</v>
      </c>
      <c r="N1420" s="60">
        <f ca="1">$K$1420-EFEITO!$M$1420*EFEITO!$Z$1420</f>
        <v>168159.03633724828</v>
      </c>
      <c r="O1420" s="60">
        <f>$L$1420-EFEITO!$O$1420*EFEITO!$AA$1420</f>
        <v>110648.22875493148</v>
      </c>
      <c r="P1420" s="18"/>
      <c r="Q1420" s="18"/>
      <c r="R1420" s="18"/>
      <c r="S1420" s="18"/>
      <c r="T1420" s="18"/>
      <c r="U1420" s="18"/>
      <c r="V1420" s="18"/>
      <c r="W1420" s="18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</row>
    <row r="1421" spans="1:36" ht="11.25" customHeight="1" x14ac:dyDescent="0.2">
      <c r="A1421" s="51" t="s">
        <v>27</v>
      </c>
      <c r="B1421" s="51" t="s">
        <v>22</v>
      </c>
      <c r="C1421" s="51" t="s">
        <v>23</v>
      </c>
      <c r="D1421" s="51" t="s">
        <v>24</v>
      </c>
      <c r="E1421" s="51" t="s">
        <v>31</v>
      </c>
      <c r="F1421" s="51" t="s">
        <v>25</v>
      </c>
      <c r="G1421" s="51" t="s">
        <v>25</v>
      </c>
      <c r="H1421" s="51" t="s">
        <v>25</v>
      </c>
      <c r="I1421" s="59">
        <v>44501</v>
      </c>
      <c r="J1421" s="60">
        <f>EFEITO!$J$1421*EFEITO!$Y$1279</f>
        <v>0</v>
      </c>
      <c r="K1421" s="60">
        <f ca="1">EFEITO!$L$1421*EFEITO!$Z$1435</f>
        <v>-801.40795990259232</v>
      </c>
      <c r="L1421" s="60">
        <f>EFEITO!$N$1421*EFEITO!$AA$1435</f>
        <v>-527.32444954956634</v>
      </c>
      <c r="M1421" s="60">
        <f>$J$1421-EFEITO!$K$1421*EFEITO!$Y$1421</f>
        <v>0</v>
      </c>
      <c r="N1421" s="60">
        <f ca="1">$K$1421-EFEITO!$M$1421*EFEITO!$Z$1421</f>
        <v>-80.140795990259221</v>
      </c>
      <c r="O1421" s="60">
        <f>$L$1421-EFEITO!$O$1421*EFEITO!$AA$1421</f>
        <v>-52.732444954956634</v>
      </c>
      <c r="P1421" s="18"/>
      <c r="Q1421" s="18"/>
      <c r="R1421" s="18"/>
      <c r="S1421" s="18"/>
      <c r="T1421" s="18"/>
      <c r="U1421" s="18"/>
      <c r="V1421" s="18"/>
      <c r="W1421" s="18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</row>
    <row r="1422" spans="1:36" ht="11.25" customHeight="1" x14ac:dyDescent="0.2">
      <c r="A1422" s="51" t="s">
        <v>28</v>
      </c>
      <c r="B1422" s="51" t="s">
        <v>22</v>
      </c>
      <c r="C1422" s="51" t="s">
        <v>23</v>
      </c>
      <c r="D1422" s="51" t="s">
        <v>24</v>
      </c>
      <c r="E1422" s="51" t="s">
        <v>31</v>
      </c>
      <c r="F1422" s="51" t="s">
        <v>25</v>
      </c>
      <c r="G1422" s="51" t="s">
        <v>25</v>
      </c>
      <c r="H1422" s="51" t="s">
        <v>25</v>
      </c>
      <c r="I1422" s="59">
        <v>44501</v>
      </c>
      <c r="J1422" s="60">
        <f>EFEITO!$J$1422*EFEITO!$Y$1279</f>
        <v>0</v>
      </c>
      <c r="K1422" s="60">
        <f ca="1">EFEITO!$L$1422*EFEITO!$Z$1435</f>
        <v>605.60334486631143</v>
      </c>
      <c r="L1422" s="60">
        <f>EFEITO!$N$1422*EFEITO!$AA$1435</f>
        <v>398.48549859152808</v>
      </c>
      <c r="M1422" s="60">
        <f>$J$1422-EFEITO!$K$1422*EFEITO!$Y$1422</f>
        <v>0</v>
      </c>
      <c r="N1422" s="60">
        <f ca="1">$K$1422-EFEITO!$M$1422*EFEITO!$Z$1422</f>
        <v>60.560334486631064</v>
      </c>
      <c r="O1422" s="60">
        <f>$L$1422-EFEITO!$O$1422*EFEITO!$AA$1422</f>
        <v>39.848549859152797</v>
      </c>
      <c r="P1422" s="18"/>
      <c r="Q1422" s="18"/>
      <c r="R1422" s="18"/>
      <c r="S1422" s="18"/>
      <c r="T1422" s="18"/>
      <c r="U1422" s="18"/>
      <c r="V1422" s="18"/>
      <c r="W1422" s="18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</row>
    <row r="1423" spans="1:36" ht="11.25" customHeight="1" x14ac:dyDescent="0.2">
      <c r="A1423" s="51" t="s">
        <v>21</v>
      </c>
      <c r="B1423" s="51" t="s">
        <v>22</v>
      </c>
      <c r="C1423" s="51" t="s">
        <v>23</v>
      </c>
      <c r="D1423" s="51" t="s">
        <v>24</v>
      </c>
      <c r="E1423" s="51" t="s">
        <v>31</v>
      </c>
      <c r="F1423" s="51" t="s">
        <v>25</v>
      </c>
      <c r="G1423" s="51" t="s">
        <v>25</v>
      </c>
      <c r="H1423" s="51" t="s">
        <v>25</v>
      </c>
      <c r="I1423" s="59">
        <v>44531</v>
      </c>
      <c r="J1423" s="60">
        <f>EFEITO!$J$1423*EFEITO!$Y$1279</f>
        <v>0</v>
      </c>
      <c r="K1423" s="60">
        <f ca="1">EFEITO!$L$1423*EFEITO!$Z$1435</f>
        <v>1814049.510518095</v>
      </c>
      <c r="L1423" s="60">
        <f>EFEITO!$N$1423*EFEITO!$AA$1435</f>
        <v>1193640.0777774709</v>
      </c>
      <c r="M1423" s="60">
        <f>$J$1423-EFEITO!$K$1423*EFEITO!$Y$1423</f>
        <v>0</v>
      </c>
      <c r="N1423" s="60">
        <f ca="1">$K$1423-EFEITO!$M$1423*EFEITO!$Z$1423</f>
        <v>181404.95105180936</v>
      </c>
      <c r="O1423" s="60">
        <f>$L$1423-EFEITO!$O$1423*EFEITO!$AA$1423</f>
        <v>119364.007777747</v>
      </c>
      <c r="P1423" s="18"/>
      <c r="Q1423" s="18"/>
      <c r="R1423" s="18"/>
      <c r="S1423" s="18"/>
      <c r="T1423" s="18"/>
      <c r="U1423" s="18"/>
      <c r="V1423" s="18"/>
      <c r="W1423" s="18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</row>
    <row r="1424" spans="1:36" ht="11.25" customHeight="1" x14ac:dyDescent="0.2">
      <c r="A1424" s="51" t="s">
        <v>27</v>
      </c>
      <c r="B1424" s="51" t="s">
        <v>22</v>
      </c>
      <c r="C1424" s="51" t="s">
        <v>23</v>
      </c>
      <c r="D1424" s="51" t="s">
        <v>24</v>
      </c>
      <c r="E1424" s="51" t="s">
        <v>31</v>
      </c>
      <c r="F1424" s="51" t="s">
        <v>25</v>
      </c>
      <c r="G1424" s="51" t="s">
        <v>25</v>
      </c>
      <c r="H1424" s="51" t="s">
        <v>25</v>
      </c>
      <c r="I1424" s="59">
        <v>44531</v>
      </c>
      <c r="J1424" s="60">
        <f>EFEITO!$J$1424*EFEITO!$Y$1279</f>
        <v>0</v>
      </c>
      <c r="K1424" s="60">
        <f ca="1">EFEITO!$L$1424*EFEITO!$Z$1435</f>
        <v>-260.71616319038498</v>
      </c>
      <c r="L1424" s="60">
        <f>EFEITO!$N$1424*EFEITO!$AA$1435</f>
        <v>-171.55058861625855</v>
      </c>
      <c r="M1424" s="60">
        <f>$J$1424-EFEITO!$K$1424*EFEITO!$Y$1424</f>
        <v>0</v>
      </c>
      <c r="N1424" s="60">
        <f ca="1">$K$1424-EFEITO!$M$1424*EFEITO!$Z$1424</f>
        <v>-26.071616319038498</v>
      </c>
      <c r="O1424" s="60">
        <f>$L$1424-EFEITO!$O$1424*EFEITO!$AA$1424</f>
        <v>-17.155058861625832</v>
      </c>
      <c r="P1424" s="18"/>
      <c r="Q1424" s="18"/>
      <c r="R1424" s="18"/>
      <c r="S1424" s="18"/>
      <c r="T1424" s="18"/>
      <c r="U1424" s="18"/>
      <c r="V1424" s="18"/>
      <c r="W1424" s="18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</row>
    <row r="1425" spans="1:36" ht="11.25" customHeight="1" x14ac:dyDescent="0.2">
      <c r="A1425" s="51" t="s">
        <v>28</v>
      </c>
      <c r="B1425" s="51" t="s">
        <v>22</v>
      </c>
      <c r="C1425" s="51" t="s">
        <v>23</v>
      </c>
      <c r="D1425" s="51" t="s">
        <v>24</v>
      </c>
      <c r="E1425" s="51" t="s">
        <v>31</v>
      </c>
      <c r="F1425" s="51" t="s">
        <v>25</v>
      </c>
      <c r="G1425" s="51" t="s">
        <v>25</v>
      </c>
      <c r="H1425" s="51" t="s">
        <v>25</v>
      </c>
      <c r="I1425" s="59">
        <v>44531</v>
      </c>
      <c r="J1425" s="60">
        <f>EFEITO!$J$1425*EFEITO!$Y$1279</f>
        <v>0</v>
      </c>
      <c r="K1425" s="60">
        <f ca="1">EFEITO!$L$1425*EFEITO!$Z$1435</f>
        <v>790.70825416290484</v>
      </c>
      <c r="L1425" s="60">
        <f>EFEITO!$N$1425*EFEITO!$AA$1435</f>
        <v>520.28406971579375</v>
      </c>
      <c r="M1425" s="60">
        <f>$J$1425-EFEITO!$K$1425*EFEITO!$Y$1425</f>
        <v>0</v>
      </c>
      <c r="N1425" s="60">
        <f ca="1">$K$1425-EFEITO!$M$1425*EFEITO!$Z$1425</f>
        <v>79.070825416290404</v>
      </c>
      <c r="O1425" s="60">
        <f>$L$1425-EFEITO!$O$1425*EFEITO!$AA$1425</f>
        <v>52.028406971579329</v>
      </c>
      <c r="P1425" s="18"/>
      <c r="Q1425" s="18"/>
      <c r="R1425" s="18"/>
      <c r="S1425" s="18"/>
      <c r="T1425" s="18"/>
      <c r="U1425" s="18"/>
      <c r="V1425" s="18"/>
      <c r="W1425" s="18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</row>
    <row r="1426" spans="1:36" ht="11.25" customHeight="1" x14ac:dyDescent="0.2">
      <c r="A1426" s="51" t="s">
        <v>21</v>
      </c>
      <c r="B1426" s="51" t="s">
        <v>22</v>
      </c>
      <c r="C1426" s="51" t="s">
        <v>23</v>
      </c>
      <c r="D1426" s="51" t="s">
        <v>24</v>
      </c>
      <c r="E1426" s="51" t="s">
        <v>31</v>
      </c>
      <c r="F1426" s="51" t="s">
        <v>25</v>
      </c>
      <c r="G1426" s="51" t="s">
        <v>25</v>
      </c>
      <c r="H1426" s="51" t="s">
        <v>25</v>
      </c>
      <c r="I1426" s="59">
        <v>44562</v>
      </c>
      <c r="J1426" s="60">
        <f>EFEITO!$J$1426*EFEITO!$Y$1279</f>
        <v>0</v>
      </c>
      <c r="K1426" s="60">
        <f ca="1">EFEITO!$L$1426*EFEITO!$Z$1435</f>
        <v>2069120.5089602207</v>
      </c>
      <c r="L1426" s="60">
        <f>EFEITO!$N$1426*EFEITO!$AA$1435</f>
        <v>1361476.1619934312</v>
      </c>
      <c r="M1426" s="60">
        <f>$J$1426-EFEITO!$K$1426*EFEITO!$Y$1426</f>
        <v>0</v>
      </c>
      <c r="N1426" s="60">
        <f ca="1">$K$1426-EFEITO!$M$1426*EFEITO!$Z$1426</f>
        <v>206912.050896022</v>
      </c>
      <c r="O1426" s="60">
        <f>$L$1426-EFEITO!$O$1426*EFEITO!$AA$1426</f>
        <v>136147.616199343</v>
      </c>
      <c r="P1426" s="18"/>
      <c r="Q1426" s="18"/>
      <c r="R1426" s="18"/>
      <c r="S1426" s="18"/>
      <c r="T1426" s="18"/>
      <c r="U1426" s="18"/>
      <c r="V1426" s="18"/>
      <c r="W1426" s="18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</row>
    <row r="1427" spans="1:36" ht="11.25" customHeight="1" x14ac:dyDescent="0.2">
      <c r="A1427" s="51" t="s">
        <v>27</v>
      </c>
      <c r="B1427" s="51" t="s">
        <v>22</v>
      </c>
      <c r="C1427" s="51" t="s">
        <v>23</v>
      </c>
      <c r="D1427" s="51" t="s">
        <v>24</v>
      </c>
      <c r="E1427" s="51" t="s">
        <v>31</v>
      </c>
      <c r="F1427" s="51" t="s">
        <v>25</v>
      </c>
      <c r="G1427" s="51" t="s">
        <v>25</v>
      </c>
      <c r="H1427" s="51" t="s">
        <v>25</v>
      </c>
      <c r="I1427" s="59">
        <v>44562</v>
      </c>
      <c r="J1427" s="60">
        <f>EFEITO!$J$1427*EFEITO!$Y$1279</f>
        <v>0</v>
      </c>
      <c r="K1427" s="60">
        <f ca="1">EFEITO!$L$1427*EFEITO!$Z$1435</f>
        <v>-172.97857612494761</v>
      </c>
      <c r="L1427" s="60">
        <f>EFEITO!$N$1427*EFEITO!$AA$1435</f>
        <v>-113.81947397932339</v>
      </c>
      <c r="M1427" s="60">
        <f>$J$1427-EFEITO!$K$1427*EFEITO!$Y$1427</f>
        <v>0</v>
      </c>
      <c r="N1427" s="60">
        <f ca="1">$K$1427-EFEITO!$M$1427*EFEITO!$Z$1427</f>
        <v>-17.297857612494738</v>
      </c>
      <c r="O1427" s="60">
        <f>$L$1427-EFEITO!$O$1427*EFEITO!$AA$1427</f>
        <v>-11.381947397932336</v>
      </c>
      <c r="P1427" s="18"/>
      <c r="Q1427" s="18"/>
      <c r="R1427" s="18"/>
      <c r="S1427" s="18"/>
      <c r="T1427" s="18"/>
      <c r="U1427" s="18"/>
      <c r="V1427" s="18"/>
      <c r="W1427" s="18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</row>
    <row r="1428" spans="1:36" ht="11.25" customHeight="1" x14ac:dyDescent="0.2">
      <c r="A1428" s="51" t="s">
        <v>28</v>
      </c>
      <c r="B1428" s="51" t="s">
        <v>22</v>
      </c>
      <c r="C1428" s="51" t="s">
        <v>23</v>
      </c>
      <c r="D1428" s="51" t="s">
        <v>24</v>
      </c>
      <c r="E1428" s="51" t="s">
        <v>31</v>
      </c>
      <c r="F1428" s="51" t="s">
        <v>25</v>
      </c>
      <c r="G1428" s="51" t="s">
        <v>25</v>
      </c>
      <c r="H1428" s="51" t="s">
        <v>25</v>
      </c>
      <c r="I1428" s="59">
        <v>44562</v>
      </c>
      <c r="J1428" s="60">
        <f>EFEITO!$J$1428*EFEITO!$Y$1279</f>
        <v>0</v>
      </c>
      <c r="K1428" s="60">
        <f ca="1">EFEITO!$L$1428*EFEITO!$Z$1435</f>
        <v>892.35545868993586</v>
      </c>
      <c r="L1428" s="60">
        <f>EFEITO!$N$1428*EFEITO!$AA$1435</f>
        <v>587.16767813663319</v>
      </c>
      <c r="M1428" s="60">
        <f>$J$1428-EFEITO!$K$1428*EFEITO!$Y$1428</f>
        <v>0</v>
      </c>
      <c r="N1428" s="60">
        <f ca="1">$K$1428-EFEITO!$M$1428*EFEITO!$Z$1428</f>
        <v>89.23554586899354</v>
      </c>
      <c r="O1428" s="60">
        <f>$L$1428-EFEITO!$O$1428*EFEITO!$AA$1428</f>
        <v>58.716767813663296</v>
      </c>
      <c r="P1428" s="18"/>
      <c r="Q1428" s="18"/>
      <c r="R1428" s="18"/>
      <c r="S1428" s="18"/>
      <c r="T1428" s="18"/>
      <c r="U1428" s="18"/>
      <c r="V1428" s="18"/>
      <c r="W1428" s="18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</row>
    <row r="1429" spans="1:36" ht="11.25" customHeight="1" x14ac:dyDescent="0.2">
      <c r="A1429" s="51" t="s">
        <v>21</v>
      </c>
      <c r="B1429" s="51" t="s">
        <v>22</v>
      </c>
      <c r="C1429" s="51" t="s">
        <v>23</v>
      </c>
      <c r="D1429" s="51" t="s">
        <v>24</v>
      </c>
      <c r="E1429" s="51" t="s">
        <v>31</v>
      </c>
      <c r="F1429" s="51" t="s">
        <v>25</v>
      </c>
      <c r="G1429" s="51" t="s">
        <v>25</v>
      </c>
      <c r="H1429" s="51" t="s">
        <v>25</v>
      </c>
      <c r="I1429" s="59">
        <v>44593</v>
      </c>
      <c r="J1429" s="60">
        <f>EFEITO!$J$1429*EFEITO!$Y$1279</f>
        <v>0</v>
      </c>
      <c r="K1429" s="60">
        <f ca="1">EFEITO!$L$1429*EFEITO!$Z$1435</f>
        <v>2027855.3104908261</v>
      </c>
      <c r="L1429" s="60">
        <f>EFEITO!$N$1429*EFEITO!$AA$1435</f>
        <v>1334323.7637678483</v>
      </c>
      <c r="M1429" s="60">
        <f>$J$1429-EFEITO!$K$1429*EFEITO!$Y$1429</f>
        <v>0</v>
      </c>
      <c r="N1429" s="60">
        <f ca="1">$K$1429-EFEITO!$M$1429*EFEITO!$Z$1429</f>
        <v>202785.53104908252</v>
      </c>
      <c r="O1429" s="60">
        <f>$L$1429-EFEITO!$O$1429*EFEITO!$AA$1429</f>
        <v>133432.37637678487</v>
      </c>
      <c r="P1429" s="18"/>
      <c r="Q1429" s="18"/>
      <c r="R1429" s="18"/>
      <c r="S1429" s="18"/>
      <c r="T1429" s="18"/>
      <c r="U1429" s="18"/>
      <c r="V1429" s="18"/>
      <c r="W1429" s="18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</row>
    <row r="1430" spans="1:36" ht="11.25" customHeight="1" x14ac:dyDescent="0.2">
      <c r="A1430" s="51" t="s">
        <v>27</v>
      </c>
      <c r="B1430" s="51" t="s">
        <v>22</v>
      </c>
      <c r="C1430" s="51" t="s">
        <v>23</v>
      </c>
      <c r="D1430" s="51" t="s">
        <v>24</v>
      </c>
      <c r="E1430" s="51" t="s">
        <v>31</v>
      </c>
      <c r="F1430" s="51" t="s">
        <v>25</v>
      </c>
      <c r="G1430" s="51" t="s">
        <v>25</v>
      </c>
      <c r="H1430" s="51" t="s">
        <v>25</v>
      </c>
      <c r="I1430" s="59">
        <v>44593</v>
      </c>
      <c r="J1430" s="60">
        <f>EFEITO!$J$1430*EFEITO!$Y$1279</f>
        <v>0</v>
      </c>
      <c r="K1430" s="60">
        <f ca="1">EFEITO!$L$1430*EFEITO!$Z$1435</f>
        <v>-337.04073080015564</v>
      </c>
      <c r="L1430" s="60">
        <f>EFEITO!$N$1430*EFEITO!$AA$1435</f>
        <v>-221.77196476383631</v>
      </c>
      <c r="M1430" s="60">
        <f>$J$1430-EFEITO!$K$1430*EFEITO!$Y$1430</f>
        <v>0</v>
      </c>
      <c r="N1430" s="60">
        <f ca="1">$K$1430-EFEITO!$M$1430*EFEITO!$Z$1430</f>
        <v>-33.704073080015519</v>
      </c>
      <c r="O1430" s="60">
        <f>$L$1430-EFEITO!$O$1430*EFEITO!$AA$1430</f>
        <v>-22.177196476383614</v>
      </c>
      <c r="P1430" s="18"/>
      <c r="Q1430" s="18"/>
      <c r="R1430" s="18"/>
      <c r="S1430" s="18"/>
      <c r="T1430" s="18"/>
      <c r="U1430" s="18"/>
      <c r="V1430" s="18"/>
      <c r="W1430" s="18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</row>
    <row r="1431" spans="1:36" ht="11.25" customHeight="1" x14ac:dyDescent="0.2">
      <c r="A1431" s="51" t="s">
        <v>28</v>
      </c>
      <c r="B1431" s="51" t="s">
        <v>22</v>
      </c>
      <c r="C1431" s="51" t="s">
        <v>23</v>
      </c>
      <c r="D1431" s="51" t="s">
        <v>24</v>
      </c>
      <c r="E1431" s="51" t="s">
        <v>31</v>
      </c>
      <c r="F1431" s="51" t="s">
        <v>25</v>
      </c>
      <c r="G1431" s="51" t="s">
        <v>25</v>
      </c>
      <c r="H1431" s="51" t="s">
        <v>25</v>
      </c>
      <c r="I1431" s="59">
        <v>44593</v>
      </c>
      <c r="J1431" s="60">
        <f>EFEITO!$J$1431*EFEITO!$Y$1279</f>
        <v>0</v>
      </c>
      <c r="K1431" s="60">
        <f ca="1">EFEITO!$L$1431*EFEITO!$Z$1435</f>
        <v>842.78015542938397</v>
      </c>
      <c r="L1431" s="60">
        <f>EFEITO!$N$1431*EFEITO!$AA$1435</f>
        <v>554.54725157348696</v>
      </c>
      <c r="M1431" s="60">
        <f>$J$1431-EFEITO!$K$1431*EFEITO!$Y$1431</f>
        <v>0</v>
      </c>
      <c r="N1431" s="60">
        <f ca="1">$K$1431-EFEITO!$M$1431*EFEITO!$Z$1431</f>
        <v>84.278015542938306</v>
      </c>
      <c r="O1431" s="60">
        <f>$L$1431-EFEITO!$O$1431*EFEITO!$AA$1431</f>
        <v>55.454725157348662</v>
      </c>
      <c r="P1431" s="18"/>
      <c r="Q1431" s="18"/>
      <c r="R1431" s="18"/>
      <c r="S1431" s="18"/>
      <c r="T1431" s="18"/>
      <c r="U1431" s="18"/>
      <c r="V1431" s="18"/>
      <c r="W1431" s="18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</row>
    <row r="1432" spans="1:36" ht="11.25" customHeight="1" x14ac:dyDescent="0.2">
      <c r="A1432" s="51" t="s">
        <v>56</v>
      </c>
      <c r="B1432" s="51" t="s">
        <v>22</v>
      </c>
      <c r="C1432" s="51" t="s">
        <v>23</v>
      </c>
      <c r="D1432" s="51" t="s">
        <v>24</v>
      </c>
      <c r="E1432" s="51" t="s">
        <v>31</v>
      </c>
      <c r="F1432" s="51" t="s">
        <v>25</v>
      </c>
      <c r="G1432" s="51" t="s">
        <v>25</v>
      </c>
      <c r="H1432" s="51" t="s">
        <v>25</v>
      </c>
      <c r="I1432" s="59">
        <v>44621</v>
      </c>
      <c r="J1432" s="60">
        <f>EFEITO!$J$1432*EFEITO!$Y$1279</f>
        <v>0</v>
      </c>
      <c r="K1432" s="60">
        <f ca="1">EFEITO!$L$1432*EFEITO!$Z$1435</f>
        <v>2027855.3104908261</v>
      </c>
      <c r="L1432" s="60">
        <f>EFEITO!$N$1432*EFEITO!$AA$1435</f>
        <v>1334323.7637678483</v>
      </c>
      <c r="M1432" s="60">
        <f>$J$1432-EFEITO!$K$1432*EFEITO!$Y$1432</f>
        <v>0</v>
      </c>
      <c r="N1432" s="60">
        <f ca="1">$K$1432-EFEITO!$M$1432*EFEITO!$Z$1432</f>
        <v>202785.53104908252</v>
      </c>
      <c r="O1432" s="60">
        <f>$L$1432-EFEITO!$O$1432*EFEITO!$AA$1432</f>
        <v>133432.37637678487</v>
      </c>
      <c r="P1432" s="18"/>
      <c r="Q1432" s="18"/>
      <c r="R1432" s="18"/>
      <c r="S1432" s="18"/>
      <c r="T1432" s="18"/>
      <c r="U1432" s="18"/>
      <c r="V1432" s="18"/>
      <c r="W1432" s="18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</row>
    <row r="1433" spans="1:36" ht="11.25" customHeight="1" x14ac:dyDescent="0.2">
      <c r="A1433" s="51" t="s">
        <v>56</v>
      </c>
      <c r="B1433" s="51" t="s">
        <v>22</v>
      </c>
      <c r="C1433" s="51" t="s">
        <v>23</v>
      </c>
      <c r="D1433" s="51" t="s">
        <v>24</v>
      </c>
      <c r="E1433" s="51" t="s">
        <v>31</v>
      </c>
      <c r="F1433" s="51" t="s">
        <v>25</v>
      </c>
      <c r="G1433" s="51" t="s">
        <v>25</v>
      </c>
      <c r="H1433" s="51" t="s">
        <v>25</v>
      </c>
      <c r="I1433" s="59">
        <v>44621</v>
      </c>
      <c r="J1433" s="60">
        <f>EFEITO!$J$1433*EFEITO!$Y$1279</f>
        <v>0</v>
      </c>
      <c r="K1433" s="60">
        <f ca="1">EFEITO!$L$1433*EFEITO!$Z$1435</f>
        <v>-337.04073080015564</v>
      </c>
      <c r="L1433" s="60">
        <f>EFEITO!$N$1433*EFEITO!$AA$1435</f>
        <v>-221.77196476383631</v>
      </c>
      <c r="M1433" s="60">
        <f>$J$1433-EFEITO!$K$1433*EFEITO!$Y$1433</f>
        <v>0</v>
      </c>
      <c r="N1433" s="60">
        <f ca="1">$K$1433-EFEITO!$M$1433*EFEITO!$Z$1433</f>
        <v>-33.704073080015519</v>
      </c>
      <c r="O1433" s="60">
        <f>$L$1433-EFEITO!$O$1433*EFEITO!$AA$1433</f>
        <v>-22.177196476383614</v>
      </c>
      <c r="P1433" s="18"/>
      <c r="Q1433" s="18"/>
      <c r="R1433" s="18"/>
      <c r="S1433" s="18"/>
      <c r="T1433" s="18"/>
      <c r="U1433" s="18"/>
      <c r="V1433" s="18"/>
      <c r="W1433" s="18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</row>
    <row r="1434" spans="1:36" ht="11.25" customHeight="1" x14ac:dyDescent="0.2">
      <c r="A1434" s="51" t="s">
        <v>56</v>
      </c>
      <c r="B1434" s="51" t="s">
        <v>22</v>
      </c>
      <c r="C1434" s="51" t="s">
        <v>23</v>
      </c>
      <c r="D1434" s="51" t="s">
        <v>24</v>
      </c>
      <c r="E1434" s="51" t="s">
        <v>31</v>
      </c>
      <c r="F1434" s="51" t="s">
        <v>25</v>
      </c>
      <c r="G1434" s="51" t="s">
        <v>25</v>
      </c>
      <c r="H1434" s="51" t="s">
        <v>25</v>
      </c>
      <c r="I1434" s="59">
        <v>44621</v>
      </c>
      <c r="J1434" s="60">
        <f>EFEITO!$J$1434*EFEITO!$Y$1279</f>
        <v>0</v>
      </c>
      <c r="K1434" s="60">
        <f ca="1">EFEITO!$L$1434*EFEITO!$Z$1435</f>
        <v>842.78015542938397</v>
      </c>
      <c r="L1434" s="60">
        <f>EFEITO!$N$1434*EFEITO!$AA$1435</f>
        <v>554.54725157348696</v>
      </c>
      <c r="M1434" s="60">
        <f>$J$1434-EFEITO!$K$1434*EFEITO!$Y$1434</f>
        <v>0</v>
      </c>
      <c r="N1434" s="60">
        <f ca="1">$K$1434-EFEITO!$M$1434*EFEITO!$Z$1434</f>
        <v>84.278015542938306</v>
      </c>
      <c r="O1434" s="60">
        <f>$L$1434-EFEITO!$O$1434*EFEITO!$AA$1434</f>
        <v>55.454725157348662</v>
      </c>
      <c r="P1434" s="18"/>
      <c r="Q1434" s="18"/>
      <c r="R1434" s="18"/>
      <c r="S1434" s="18"/>
      <c r="T1434" s="18"/>
      <c r="U1434" s="18"/>
      <c r="V1434" s="18"/>
      <c r="W1434" s="18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</row>
    <row r="1435" spans="1:36" ht="11.25" customHeight="1" x14ac:dyDescent="0.2">
      <c r="A1435" s="51" t="s">
        <v>21</v>
      </c>
      <c r="B1435" s="51" t="s">
        <v>22</v>
      </c>
      <c r="C1435" s="51" t="s">
        <v>23</v>
      </c>
      <c r="D1435" s="51" t="s">
        <v>24</v>
      </c>
      <c r="E1435" s="51" t="s">
        <v>32</v>
      </c>
      <c r="F1435" s="51" t="s">
        <v>25</v>
      </c>
      <c r="G1435" s="51" t="s">
        <v>25</v>
      </c>
      <c r="H1435" s="51" t="s">
        <v>25</v>
      </c>
      <c r="I1435" s="59">
        <v>44287</v>
      </c>
      <c r="J1435" s="60">
        <f>EFEITO!$J$1435*EFEITO!$Y$1279</f>
        <v>0</v>
      </c>
      <c r="K1435" s="60">
        <f ca="1">EFEITO!$L$1435*EFEITO!$Z$1435</f>
        <v>656457.2629627561</v>
      </c>
      <c r="L1435" s="60">
        <f>EFEITO!$N$1435*EFEITO!$AA$1435</f>
        <v>431947.2505448102</v>
      </c>
      <c r="M1435" s="60">
        <f>$J$1435-EFEITO!$K$1435*EFEITO!$Y$1435</f>
        <v>0</v>
      </c>
      <c r="N1435" s="60">
        <f ca="1">$K$1435-EFEITO!$M$1435*EFEITO!$Z$1435</f>
        <v>0</v>
      </c>
      <c r="O1435" s="60">
        <f>$L$1435-EFEITO!$O$1435*EFEITO!$AA$1435</f>
        <v>0</v>
      </c>
      <c r="P1435" s="18"/>
      <c r="Q1435" s="18"/>
      <c r="R1435" s="18"/>
      <c r="S1435" s="18"/>
      <c r="T1435" s="18"/>
      <c r="U1435" s="18"/>
      <c r="V1435" s="18"/>
      <c r="W1435" s="18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</row>
    <row r="1436" spans="1:36" ht="11.25" customHeight="1" x14ac:dyDescent="0.2">
      <c r="A1436" s="51" t="s">
        <v>27</v>
      </c>
      <c r="B1436" s="51" t="s">
        <v>22</v>
      </c>
      <c r="C1436" s="51" t="s">
        <v>23</v>
      </c>
      <c r="D1436" s="51" t="s">
        <v>24</v>
      </c>
      <c r="E1436" s="51" t="s">
        <v>32</v>
      </c>
      <c r="F1436" s="51" t="s">
        <v>25</v>
      </c>
      <c r="G1436" s="51" t="s">
        <v>25</v>
      </c>
      <c r="H1436" s="51" t="s">
        <v>25</v>
      </c>
      <c r="I1436" s="59">
        <v>44287</v>
      </c>
      <c r="J1436" s="60">
        <f>EFEITO!$J$1436*EFEITO!$Y$1279</f>
        <v>0</v>
      </c>
      <c r="K1436" s="60">
        <f ca="1">EFEITO!$L$1436*EFEITO!$Z$1435</f>
        <v>-2300.0800771748186</v>
      </c>
      <c r="L1436" s="60">
        <f>EFEITO!$N$1436*EFEITO!$AA$1435</f>
        <v>-1513.4469849333125</v>
      </c>
      <c r="M1436" s="60">
        <f>$J$1436-EFEITO!$K$1436*EFEITO!$Y$1436</f>
        <v>0</v>
      </c>
      <c r="N1436" s="60">
        <f ca="1">$K$1436-EFEITO!$M$1436*EFEITO!$Z$1436</f>
        <v>0</v>
      </c>
      <c r="O1436" s="60">
        <f>$L$1436-EFEITO!$O$1436*EFEITO!$AA$1436</f>
        <v>0</v>
      </c>
      <c r="P1436" s="18"/>
      <c r="Q1436" s="18"/>
      <c r="R1436" s="18"/>
      <c r="S1436" s="18"/>
      <c r="T1436" s="18"/>
      <c r="U1436" s="18"/>
      <c r="V1436" s="18"/>
      <c r="W1436" s="18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</row>
    <row r="1437" spans="1:36" ht="11.25" customHeight="1" x14ac:dyDescent="0.2">
      <c r="A1437" s="51" t="s">
        <v>28</v>
      </c>
      <c r="B1437" s="51" t="s">
        <v>22</v>
      </c>
      <c r="C1437" s="51" t="s">
        <v>23</v>
      </c>
      <c r="D1437" s="51" t="s">
        <v>24</v>
      </c>
      <c r="E1437" s="51" t="s">
        <v>32</v>
      </c>
      <c r="F1437" s="51" t="s">
        <v>25</v>
      </c>
      <c r="G1437" s="51" t="s">
        <v>25</v>
      </c>
      <c r="H1437" s="51" t="s">
        <v>25</v>
      </c>
      <c r="I1437" s="59">
        <v>44287</v>
      </c>
      <c r="J1437" s="60">
        <f>EFEITO!$J$1437*EFEITO!$Y$1279</f>
        <v>0</v>
      </c>
      <c r="K1437" s="60">
        <f ca="1">EFEITO!$L$1437*EFEITO!$Z$1435</f>
        <v>1067.8306328208107</v>
      </c>
      <c r="L1437" s="60">
        <f>EFEITO!$N$1437*EFEITO!$AA$1435</f>
        <v>702.62990741050362</v>
      </c>
      <c r="M1437" s="60">
        <f>$J$1437-EFEITO!$K$1437*EFEITO!$Y$1437</f>
        <v>0</v>
      </c>
      <c r="N1437" s="60">
        <f ca="1">$K$1437-EFEITO!$M$1437*EFEITO!$Z$1437</f>
        <v>0</v>
      </c>
      <c r="O1437" s="60">
        <f>$L$1437-EFEITO!$O$1437*EFEITO!$AA$1437</f>
        <v>0</v>
      </c>
      <c r="P1437" s="18"/>
      <c r="Q1437" s="18"/>
      <c r="R1437" s="18"/>
      <c r="S1437" s="18"/>
      <c r="T1437" s="18"/>
      <c r="U1437" s="18"/>
      <c r="V1437" s="18"/>
      <c r="W1437" s="18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</row>
    <row r="1438" spans="1:36" ht="11.25" customHeight="1" x14ac:dyDescent="0.2">
      <c r="A1438" s="51" t="s">
        <v>21</v>
      </c>
      <c r="B1438" s="51" t="s">
        <v>22</v>
      </c>
      <c r="C1438" s="51" t="s">
        <v>23</v>
      </c>
      <c r="D1438" s="51" t="s">
        <v>24</v>
      </c>
      <c r="E1438" s="51" t="s">
        <v>32</v>
      </c>
      <c r="F1438" s="51" t="s">
        <v>25</v>
      </c>
      <c r="G1438" s="51" t="s">
        <v>25</v>
      </c>
      <c r="H1438" s="51" t="s">
        <v>25</v>
      </c>
      <c r="I1438" s="59">
        <v>44317</v>
      </c>
      <c r="J1438" s="60">
        <f>EFEITO!$J$1438*EFEITO!$Y$1279</f>
        <v>0</v>
      </c>
      <c r="K1438" s="60">
        <f ca="1">EFEITO!$L$1438*EFEITO!$Z$1435</f>
        <v>453620.08800063655</v>
      </c>
      <c r="L1438" s="60">
        <f>EFEITO!$N$1438*EFEITO!$AA$1435</f>
        <v>298480.89260136103</v>
      </c>
      <c r="M1438" s="60">
        <f>$J$1438-EFEITO!$K$1438*EFEITO!$Y$1438</f>
        <v>0</v>
      </c>
      <c r="N1438" s="60">
        <f ca="1">$K$1438-EFEITO!$M$1438*EFEITO!$Z$1438</f>
        <v>0</v>
      </c>
      <c r="O1438" s="60">
        <f>$L$1438-EFEITO!$O$1438*EFEITO!$AA$1438</f>
        <v>0</v>
      </c>
      <c r="P1438" s="18"/>
      <c r="Q1438" s="18"/>
      <c r="R1438" s="18"/>
      <c r="S1438" s="18"/>
      <c r="T1438" s="18"/>
      <c r="U1438" s="18"/>
      <c r="V1438" s="18"/>
      <c r="W1438" s="18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</row>
    <row r="1439" spans="1:36" ht="11.25" customHeight="1" x14ac:dyDescent="0.2">
      <c r="A1439" s="51" t="s">
        <v>27</v>
      </c>
      <c r="B1439" s="51" t="s">
        <v>22</v>
      </c>
      <c r="C1439" s="51" t="s">
        <v>23</v>
      </c>
      <c r="D1439" s="51" t="s">
        <v>24</v>
      </c>
      <c r="E1439" s="51" t="s">
        <v>32</v>
      </c>
      <c r="F1439" s="51" t="s">
        <v>25</v>
      </c>
      <c r="G1439" s="51" t="s">
        <v>25</v>
      </c>
      <c r="H1439" s="51" t="s">
        <v>25</v>
      </c>
      <c r="I1439" s="59">
        <v>44317</v>
      </c>
      <c r="J1439" s="60">
        <f>EFEITO!$J$1439*EFEITO!$Y$1279</f>
        <v>0</v>
      </c>
      <c r="K1439" s="60">
        <f ca="1">EFEITO!$L$1439*EFEITO!$Z$1435</f>
        <v>-34.952372082979103</v>
      </c>
      <c r="L1439" s="60">
        <f>EFEITO!$N$1439*EFEITO!$AA$1435</f>
        <v>-22.9985741236571</v>
      </c>
      <c r="M1439" s="60">
        <f>$J$1439-EFEITO!$K$1439*EFEITO!$Y$1439</f>
        <v>0</v>
      </c>
      <c r="N1439" s="60">
        <f ca="1">$K$1439-EFEITO!$M$1439*EFEITO!$Z$1439</f>
        <v>0</v>
      </c>
      <c r="O1439" s="60">
        <f>$L$1439-EFEITO!$O$1439*EFEITO!$AA$1439</f>
        <v>0</v>
      </c>
      <c r="P1439" s="18"/>
      <c r="Q1439" s="18"/>
      <c r="R1439" s="18"/>
      <c r="S1439" s="18"/>
      <c r="T1439" s="18"/>
      <c r="U1439" s="18"/>
      <c r="V1439" s="18"/>
      <c r="W1439" s="18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</row>
    <row r="1440" spans="1:36" ht="11.25" customHeight="1" x14ac:dyDescent="0.2">
      <c r="A1440" s="51" t="s">
        <v>28</v>
      </c>
      <c r="B1440" s="51" t="s">
        <v>22</v>
      </c>
      <c r="C1440" s="51" t="s">
        <v>23</v>
      </c>
      <c r="D1440" s="51" t="s">
        <v>24</v>
      </c>
      <c r="E1440" s="51" t="s">
        <v>32</v>
      </c>
      <c r="F1440" s="51" t="s">
        <v>25</v>
      </c>
      <c r="G1440" s="51" t="s">
        <v>25</v>
      </c>
      <c r="H1440" s="51" t="s">
        <v>25</v>
      </c>
      <c r="I1440" s="59">
        <v>44317</v>
      </c>
      <c r="J1440" s="60">
        <f>EFEITO!$J$1440*EFEITO!$Y$1279</f>
        <v>0</v>
      </c>
      <c r="K1440" s="60">
        <f ca="1">EFEITO!$L$1440*EFEITO!$Z$1435</f>
        <v>918.74806618116509</v>
      </c>
      <c r="L1440" s="60">
        <f>EFEITO!$N$1440*EFEITO!$AA$1435</f>
        <v>604.53394839327234</v>
      </c>
      <c r="M1440" s="60">
        <f>$J$1440-EFEITO!$K$1440*EFEITO!$Y$1440</f>
        <v>0</v>
      </c>
      <c r="N1440" s="60">
        <f ca="1">$K$1440-EFEITO!$M$1440*EFEITO!$Z$1440</f>
        <v>0</v>
      </c>
      <c r="O1440" s="60">
        <f>$L$1440-EFEITO!$O$1440*EFEITO!$AA$1440</f>
        <v>0</v>
      </c>
      <c r="P1440" s="18"/>
      <c r="Q1440" s="18"/>
      <c r="R1440" s="18"/>
      <c r="S1440" s="18"/>
      <c r="T1440" s="18"/>
      <c r="U1440" s="18"/>
      <c r="V1440" s="18"/>
      <c r="W1440" s="18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</row>
    <row r="1441" spans="1:36" ht="11.25" customHeight="1" x14ac:dyDescent="0.2">
      <c r="A1441" s="51" t="s">
        <v>21</v>
      </c>
      <c r="B1441" s="51" t="s">
        <v>22</v>
      </c>
      <c r="C1441" s="51" t="s">
        <v>23</v>
      </c>
      <c r="D1441" s="51" t="s">
        <v>24</v>
      </c>
      <c r="E1441" s="51" t="s">
        <v>32</v>
      </c>
      <c r="F1441" s="51" t="s">
        <v>25</v>
      </c>
      <c r="G1441" s="51" t="s">
        <v>25</v>
      </c>
      <c r="H1441" s="51" t="s">
        <v>25</v>
      </c>
      <c r="I1441" s="59">
        <v>44348</v>
      </c>
      <c r="J1441" s="60">
        <f>EFEITO!$J$1441*EFEITO!$Y$1279</f>
        <v>0</v>
      </c>
      <c r="K1441" s="60">
        <f ca="1">EFEITO!$L$1441*EFEITO!$Z$1435</f>
        <v>401664.4568698621</v>
      </c>
      <c r="L1441" s="60">
        <f>EFEITO!$N$1441*EFEITO!$AA$1435</f>
        <v>264294.21620452817</v>
      </c>
      <c r="M1441" s="60">
        <f>$J$1441-EFEITO!$K$1441*EFEITO!$Y$1441</f>
        <v>0</v>
      </c>
      <c r="N1441" s="60">
        <f ca="1">$K$1441-EFEITO!$M$1441*EFEITO!$Z$1441</f>
        <v>0</v>
      </c>
      <c r="O1441" s="60">
        <f>$L$1441-EFEITO!$O$1441*EFEITO!$AA$1441</f>
        <v>0</v>
      </c>
      <c r="P1441" s="18"/>
      <c r="Q1441" s="18"/>
      <c r="R1441" s="18"/>
      <c r="S1441" s="18"/>
      <c r="T1441" s="18"/>
      <c r="U1441" s="18"/>
      <c r="V1441" s="18"/>
      <c r="W1441" s="18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</row>
    <row r="1442" spans="1:36" ht="11.25" customHeight="1" x14ac:dyDescent="0.2">
      <c r="A1442" s="51" t="s">
        <v>27</v>
      </c>
      <c r="B1442" s="51" t="s">
        <v>22</v>
      </c>
      <c r="C1442" s="51" t="s">
        <v>23</v>
      </c>
      <c r="D1442" s="51" t="s">
        <v>24</v>
      </c>
      <c r="E1442" s="51" t="s">
        <v>32</v>
      </c>
      <c r="F1442" s="51" t="s">
        <v>25</v>
      </c>
      <c r="G1442" s="51" t="s">
        <v>25</v>
      </c>
      <c r="H1442" s="51" t="s">
        <v>25</v>
      </c>
      <c r="I1442" s="59">
        <v>44348</v>
      </c>
      <c r="J1442" s="60">
        <f>EFEITO!$J$1442*EFEITO!$Y$1279</f>
        <v>0</v>
      </c>
      <c r="K1442" s="60">
        <f ca="1">EFEITO!$L$1442*EFEITO!$Z$1435</f>
        <v>-7.1331371597916542</v>
      </c>
      <c r="L1442" s="60">
        <f>EFEITO!$N$1442*EFEITO!$AA$1435</f>
        <v>-4.6935865558483876</v>
      </c>
      <c r="M1442" s="60">
        <f>$J$1442-EFEITO!$K$1442*EFEITO!$Y$1442</f>
        <v>0</v>
      </c>
      <c r="N1442" s="60">
        <f ca="1">$K$1442-EFEITO!$M$1442*EFEITO!$Z$1442</f>
        <v>0</v>
      </c>
      <c r="O1442" s="60">
        <f>$L$1442-EFEITO!$O$1442*EFEITO!$AA$1442</f>
        <v>0</v>
      </c>
      <c r="P1442" s="18"/>
      <c r="Q1442" s="18"/>
      <c r="R1442" s="18"/>
      <c r="S1442" s="18"/>
      <c r="T1442" s="18"/>
      <c r="U1442" s="18"/>
      <c r="V1442" s="18"/>
      <c r="W1442" s="18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</row>
    <row r="1443" spans="1:36" ht="11.25" customHeight="1" x14ac:dyDescent="0.2">
      <c r="A1443" s="51" t="s">
        <v>28</v>
      </c>
      <c r="B1443" s="51" t="s">
        <v>22</v>
      </c>
      <c r="C1443" s="51" t="s">
        <v>23</v>
      </c>
      <c r="D1443" s="51" t="s">
        <v>24</v>
      </c>
      <c r="E1443" s="51" t="s">
        <v>32</v>
      </c>
      <c r="F1443" s="51" t="s">
        <v>25</v>
      </c>
      <c r="G1443" s="51" t="s">
        <v>25</v>
      </c>
      <c r="H1443" s="51" t="s">
        <v>25</v>
      </c>
      <c r="I1443" s="59">
        <v>44348</v>
      </c>
      <c r="J1443" s="60">
        <f>EFEITO!$J$1443*EFEITO!$Y$1279</f>
        <v>0</v>
      </c>
      <c r="K1443" s="60">
        <f ca="1">EFEITO!$L$1443*EFEITO!$Z$1435</f>
        <v>568.86768849338443</v>
      </c>
      <c r="L1443" s="60">
        <f>EFEITO!$N$1443*EFEITO!$AA$1435</f>
        <v>374.31352782890889</v>
      </c>
      <c r="M1443" s="60">
        <f>$J$1443-EFEITO!$K$1443*EFEITO!$Y$1443</f>
        <v>0</v>
      </c>
      <c r="N1443" s="60">
        <f ca="1">$K$1443-EFEITO!$M$1443*EFEITO!$Z$1443</f>
        <v>0</v>
      </c>
      <c r="O1443" s="60">
        <f>$L$1443-EFEITO!$O$1443*EFEITO!$AA$1443</f>
        <v>0</v>
      </c>
      <c r="P1443" s="18"/>
      <c r="Q1443" s="18"/>
      <c r="R1443" s="18"/>
      <c r="S1443" s="18"/>
      <c r="T1443" s="18"/>
      <c r="U1443" s="18"/>
      <c r="V1443" s="18"/>
      <c r="W1443" s="18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</row>
    <row r="1444" spans="1:36" ht="11.25" customHeight="1" x14ac:dyDescent="0.2">
      <c r="A1444" s="51" t="s">
        <v>21</v>
      </c>
      <c r="B1444" s="51" t="s">
        <v>22</v>
      </c>
      <c r="C1444" s="51" t="s">
        <v>23</v>
      </c>
      <c r="D1444" s="51" t="s">
        <v>24</v>
      </c>
      <c r="E1444" s="51" t="s">
        <v>32</v>
      </c>
      <c r="F1444" s="51" t="s">
        <v>25</v>
      </c>
      <c r="G1444" s="51" t="s">
        <v>25</v>
      </c>
      <c r="H1444" s="51" t="s">
        <v>25</v>
      </c>
      <c r="I1444" s="59">
        <v>44378</v>
      </c>
      <c r="J1444" s="60">
        <f>EFEITO!$J$1444*EFEITO!$Y$1279</f>
        <v>0</v>
      </c>
      <c r="K1444" s="60">
        <f ca="1">EFEITO!$L$1444*EFEITO!$Z$1435</f>
        <v>375319.99805446155</v>
      </c>
      <c r="L1444" s="60">
        <f>EFEITO!$N$1444*EFEITO!$AA$1435</f>
        <v>246959.6276571411</v>
      </c>
      <c r="M1444" s="60">
        <f>$J$1444-EFEITO!$K$1444*EFEITO!$Y$1444</f>
        <v>0</v>
      </c>
      <c r="N1444" s="60">
        <f ca="1">$K$1444-EFEITO!$M$1444*EFEITO!$Z$1444</f>
        <v>0</v>
      </c>
      <c r="O1444" s="60">
        <f>$L$1444-EFEITO!$O$1444*EFEITO!$AA$1444</f>
        <v>0</v>
      </c>
      <c r="P1444" s="18"/>
      <c r="Q1444" s="18"/>
      <c r="R1444" s="18"/>
      <c r="S1444" s="18"/>
      <c r="T1444" s="18"/>
      <c r="U1444" s="18"/>
      <c r="V1444" s="18"/>
      <c r="W1444" s="18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</row>
    <row r="1445" spans="1:36" ht="11.25" customHeight="1" x14ac:dyDescent="0.2">
      <c r="A1445" s="51" t="s">
        <v>27</v>
      </c>
      <c r="B1445" s="51" t="s">
        <v>22</v>
      </c>
      <c r="C1445" s="51" t="s">
        <v>23</v>
      </c>
      <c r="D1445" s="51" t="s">
        <v>24</v>
      </c>
      <c r="E1445" s="51" t="s">
        <v>32</v>
      </c>
      <c r="F1445" s="51" t="s">
        <v>25</v>
      </c>
      <c r="G1445" s="51" t="s">
        <v>25</v>
      </c>
      <c r="H1445" s="51" t="s">
        <v>25</v>
      </c>
      <c r="I1445" s="59">
        <v>44378</v>
      </c>
      <c r="J1445" s="60">
        <f>EFEITO!$J$1445*EFEITO!$Y$1279</f>
        <v>0</v>
      </c>
      <c r="K1445" s="60">
        <f ca="1">EFEITO!$L$1445*EFEITO!$Z$1435</f>
        <v>-6096.6923304739275</v>
      </c>
      <c r="L1445" s="60">
        <f>EFEITO!$N$1445*EFEITO!$AA$1435</f>
        <v>-4011.6084292836172</v>
      </c>
      <c r="M1445" s="60">
        <f>$J$1445-EFEITO!$K$1445*EFEITO!$Y$1445</f>
        <v>0</v>
      </c>
      <c r="N1445" s="60">
        <f ca="1">$K$1445-EFEITO!$M$1445*EFEITO!$Z$1445</f>
        <v>0</v>
      </c>
      <c r="O1445" s="60">
        <f>$L$1445-EFEITO!$O$1445*EFEITO!$AA$1445</f>
        <v>0</v>
      </c>
      <c r="P1445" s="18"/>
      <c r="Q1445" s="18"/>
      <c r="R1445" s="18"/>
      <c r="S1445" s="18"/>
      <c r="T1445" s="18"/>
      <c r="U1445" s="18"/>
      <c r="V1445" s="18"/>
      <c r="W1445" s="18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</row>
    <row r="1446" spans="1:36" ht="11.25" customHeight="1" x14ac:dyDescent="0.2">
      <c r="A1446" s="51" t="s">
        <v>28</v>
      </c>
      <c r="B1446" s="51" t="s">
        <v>22</v>
      </c>
      <c r="C1446" s="51" t="s">
        <v>23</v>
      </c>
      <c r="D1446" s="51" t="s">
        <v>24</v>
      </c>
      <c r="E1446" s="51" t="s">
        <v>32</v>
      </c>
      <c r="F1446" s="51" t="s">
        <v>25</v>
      </c>
      <c r="G1446" s="51" t="s">
        <v>25</v>
      </c>
      <c r="H1446" s="51" t="s">
        <v>25</v>
      </c>
      <c r="I1446" s="59">
        <v>44378</v>
      </c>
      <c r="J1446" s="60">
        <f>EFEITO!$J$1446*EFEITO!$Y$1279</f>
        <v>0</v>
      </c>
      <c r="K1446" s="60">
        <f ca="1">EFEITO!$L$1446*EFEITO!$Z$1435</f>
        <v>480.77344456995752</v>
      </c>
      <c r="L1446" s="60">
        <f>EFEITO!$N$1446*EFEITO!$AA$1435</f>
        <v>316.34773386418135</v>
      </c>
      <c r="M1446" s="60">
        <f>$J$1446-EFEITO!$K$1446*EFEITO!$Y$1446</f>
        <v>0</v>
      </c>
      <c r="N1446" s="60">
        <f ca="1">$K$1446-EFEITO!$M$1446*EFEITO!$Z$1446</f>
        <v>0</v>
      </c>
      <c r="O1446" s="60">
        <f>$L$1446-EFEITO!$O$1446*EFEITO!$AA$1446</f>
        <v>0</v>
      </c>
      <c r="P1446" s="18"/>
      <c r="Q1446" s="18"/>
      <c r="R1446" s="18"/>
      <c r="S1446" s="18"/>
      <c r="T1446" s="18"/>
      <c r="U1446" s="18"/>
      <c r="V1446" s="18"/>
      <c r="W1446" s="18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</row>
    <row r="1447" spans="1:36" ht="11.25" customHeight="1" x14ac:dyDescent="0.2">
      <c r="A1447" s="51" t="s">
        <v>21</v>
      </c>
      <c r="B1447" s="51" t="s">
        <v>22</v>
      </c>
      <c r="C1447" s="51" t="s">
        <v>23</v>
      </c>
      <c r="D1447" s="51" t="s">
        <v>24</v>
      </c>
      <c r="E1447" s="51" t="s">
        <v>32</v>
      </c>
      <c r="F1447" s="51" t="s">
        <v>25</v>
      </c>
      <c r="G1447" s="51" t="s">
        <v>25</v>
      </c>
      <c r="H1447" s="51" t="s">
        <v>25</v>
      </c>
      <c r="I1447" s="59">
        <v>44409</v>
      </c>
      <c r="J1447" s="60">
        <f>EFEITO!$J$1447*EFEITO!$Y$1279</f>
        <v>0</v>
      </c>
      <c r="K1447" s="60">
        <f ca="1">EFEITO!$L$1447*EFEITO!$Z$1435</f>
        <v>326553.59254782996</v>
      </c>
      <c r="L1447" s="60">
        <f>EFEITO!$N$1447*EFEITO!$AA$1435</f>
        <v>214871.453809428</v>
      </c>
      <c r="M1447" s="60">
        <f>$J$1447-EFEITO!$K$1447*EFEITO!$Y$1447</f>
        <v>0</v>
      </c>
      <c r="N1447" s="60">
        <f ca="1">$K$1447-EFEITO!$M$1447*EFEITO!$Z$1447</f>
        <v>0</v>
      </c>
      <c r="O1447" s="60">
        <f>$L$1447-EFEITO!$O$1447*EFEITO!$AA$1447</f>
        <v>0</v>
      </c>
      <c r="P1447" s="18"/>
      <c r="Q1447" s="18"/>
      <c r="R1447" s="18"/>
      <c r="S1447" s="18"/>
      <c r="T1447" s="18"/>
      <c r="U1447" s="18"/>
      <c r="V1447" s="18"/>
      <c r="W1447" s="18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</row>
    <row r="1448" spans="1:36" ht="11.25" customHeight="1" x14ac:dyDescent="0.2">
      <c r="A1448" s="51" t="s">
        <v>27</v>
      </c>
      <c r="B1448" s="51" t="s">
        <v>22</v>
      </c>
      <c r="C1448" s="51" t="s">
        <v>23</v>
      </c>
      <c r="D1448" s="51" t="s">
        <v>24</v>
      </c>
      <c r="E1448" s="51" t="s">
        <v>32</v>
      </c>
      <c r="F1448" s="51" t="s">
        <v>25</v>
      </c>
      <c r="G1448" s="51" t="s">
        <v>25</v>
      </c>
      <c r="H1448" s="51" t="s">
        <v>25</v>
      </c>
      <c r="I1448" s="59">
        <v>44409</v>
      </c>
      <c r="J1448" s="60">
        <f>EFEITO!$J$1448*EFEITO!$Y$1279</f>
        <v>0</v>
      </c>
      <c r="K1448" s="60">
        <f ca="1">EFEITO!$L$1448*EFEITO!$Z$1435</f>
        <v>-3626.1302751800872</v>
      </c>
      <c r="L1448" s="60">
        <f>EFEITO!$N$1448*EFEITO!$AA$1435</f>
        <v>-2385.9847256655275</v>
      </c>
      <c r="M1448" s="60">
        <f>$J$1448-EFEITO!$K$1448*EFEITO!$Y$1448</f>
        <v>0</v>
      </c>
      <c r="N1448" s="60">
        <f ca="1">$K$1448-EFEITO!$M$1448*EFEITO!$Z$1448</f>
        <v>0</v>
      </c>
      <c r="O1448" s="60">
        <f>$L$1448-EFEITO!$O$1448*EFEITO!$AA$1448</f>
        <v>0</v>
      </c>
      <c r="P1448" s="18"/>
      <c r="Q1448" s="18"/>
      <c r="R1448" s="18"/>
      <c r="S1448" s="18"/>
      <c r="T1448" s="18"/>
      <c r="U1448" s="18"/>
      <c r="V1448" s="18"/>
      <c r="W1448" s="18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</row>
    <row r="1449" spans="1:36" ht="11.25" customHeight="1" x14ac:dyDescent="0.2">
      <c r="A1449" s="51" t="s">
        <v>28</v>
      </c>
      <c r="B1449" s="51" t="s">
        <v>22</v>
      </c>
      <c r="C1449" s="51" t="s">
        <v>23</v>
      </c>
      <c r="D1449" s="51" t="s">
        <v>24</v>
      </c>
      <c r="E1449" s="51" t="s">
        <v>32</v>
      </c>
      <c r="F1449" s="51" t="s">
        <v>25</v>
      </c>
      <c r="G1449" s="51" t="s">
        <v>25</v>
      </c>
      <c r="H1449" s="51" t="s">
        <v>25</v>
      </c>
      <c r="I1449" s="59">
        <v>44409</v>
      </c>
      <c r="J1449" s="60">
        <f>EFEITO!$J$1449*EFEITO!$Y$1279</f>
        <v>0</v>
      </c>
      <c r="K1449" s="60">
        <f ca="1">EFEITO!$L$1449*EFEITO!$Z$1435</f>
        <v>514.6558460789679</v>
      </c>
      <c r="L1449" s="60">
        <f>EFEITO!$N$1449*EFEITO!$AA$1435</f>
        <v>338.64227000446118</v>
      </c>
      <c r="M1449" s="60">
        <f>$J$1449-EFEITO!$K$1449*EFEITO!$Y$1449</f>
        <v>0</v>
      </c>
      <c r="N1449" s="60">
        <f ca="1">$K$1449-EFEITO!$M$1449*EFEITO!$Z$1449</f>
        <v>0</v>
      </c>
      <c r="O1449" s="60">
        <f>$L$1449-EFEITO!$O$1449*EFEITO!$AA$1449</f>
        <v>0</v>
      </c>
      <c r="P1449" s="18"/>
      <c r="Q1449" s="18"/>
      <c r="R1449" s="18"/>
      <c r="S1449" s="18"/>
      <c r="T1449" s="18"/>
      <c r="U1449" s="18"/>
      <c r="V1449" s="18"/>
      <c r="W1449" s="18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</row>
    <row r="1450" spans="1:36" ht="11.25" customHeight="1" x14ac:dyDescent="0.2">
      <c r="A1450" s="51" t="s">
        <v>21</v>
      </c>
      <c r="B1450" s="51" t="s">
        <v>22</v>
      </c>
      <c r="C1450" s="51" t="s">
        <v>23</v>
      </c>
      <c r="D1450" s="51" t="s">
        <v>24</v>
      </c>
      <c r="E1450" s="51" t="s">
        <v>32</v>
      </c>
      <c r="F1450" s="51" t="s">
        <v>25</v>
      </c>
      <c r="G1450" s="51" t="s">
        <v>25</v>
      </c>
      <c r="H1450" s="51" t="s">
        <v>25</v>
      </c>
      <c r="I1450" s="59">
        <v>44440</v>
      </c>
      <c r="J1450" s="60">
        <f>EFEITO!$J$1450*EFEITO!$Y$1279</f>
        <v>0</v>
      </c>
      <c r="K1450" s="60">
        <f ca="1">EFEITO!$L$1450*EFEITO!$Z$1435</f>
        <v>345365.45852249052</v>
      </c>
      <c r="L1450" s="60">
        <f>EFEITO!$N$1450*EFEITO!$AA$1435</f>
        <v>227249.61495383916</v>
      </c>
      <c r="M1450" s="60">
        <f>$J$1450-EFEITO!$K$1450*EFEITO!$Y$1450</f>
        <v>0</v>
      </c>
      <c r="N1450" s="60">
        <f ca="1">$K$1450-EFEITO!$M$1450*EFEITO!$Z$1450</f>
        <v>0</v>
      </c>
      <c r="O1450" s="60">
        <f>$L$1450-EFEITO!$O$1450*EFEITO!$AA$1450</f>
        <v>0</v>
      </c>
      <c r="P1450" s="18"/>
      <c r="Q1450" s="18"/>
      <c r="R1450" s="18"/>
      <c r="S1450" s="18"/>
      <c r="T1450" s="18"/>
      <c r="U1450" s="18"/>
      <c r="V1450" s="18"/>
      <c r="W1450" s="18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</row>
    <row r="1451" spans="1:36" ht="11.25" customHeight="1" x14ac:dyDescent="0.2">
      <c r="A1451" s="51" t="s">
        <v>27</v>
      </c>
      <c r="B1451" s="51" t="s">
        <v>22</v>
      </c>
      <c r="C1451" s="51" t="s">
        <v>23</v>
      </c>
      <c r="D1451" s="51" t="s">
        <v>24</v>
      </c>
      <c r="E1451" s="51" t="s">
        <v>32</v>
      </c>
      <c r="F1451" s="51" t="s">
        <v>25</v>
      </c>
      <c r="G1451" s="51" t="s">
        <v>25</v>
      </c>
      <c r="H1451" s="51" t="s">
        <v>25</v>
      </c>
      <c r="I1451" s="59">
        <v>44440</v>
      </c>
      <c r="J1451" s="60">
        <f>EFEITO!$J$1451*EFEITO!$Y$1279</f>
        <v>0</v>
      </c>
      <c r="K1451" s="60">
        <f ca="1">EFEITO!$L$1451*EFEITO!$Z$1435</f>
        <v>-1001.8491140927379</v>
      </c>
      <c r="L1451" s="60">
        <f>EFEITO!$N$1451*EFEITO!$AA$1435</f>
        <v>-659.21423176890607</v>
      </c>
      <c r="M1451" s="60">
        <f>$J$1451-EFEITO!$K$1451*EFEITO!$Y$1451</f>
        <v>0</v>
      </c>
      <c r="N1451" s="60">
        <f ca="1">$K$1451-EFEITO!$M$1451*EFEITO!$Z$1451</f>
        <v>0</v>
      </c>
      <c r="O1451" s="60">
        <f>$L$1451-EFEITO!$O$1451*EFEITO!$AA$1451</f>
        <v>0</v>
      </c>
      <c r="P1451" s="18"/>
      <c r="Q1451" s="18"/>
      <c r="R1451" s="18"/>
      <c r="S1451" s="18"/>
      <c r="T1451" s="18"/>
      <c r="U1451" s="18"/>
      <c r="V1451" s="18"/>
      <c r="W1451" s="18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</row>
    <row r="1452" spans="1:36" ht="11.25" customHeight="1" x14ac:dyDescent="0.2">
      <c r="A1452" s="51" t="s">
        <v>28</v>
      </c>
      <c r="B1452" s="51" t="s">
        <v>22</v>
      </c>
      <c r="C1452" s="51" t="s">
        <v>23</v>
      </c>
      <c r="D1452" s="51" t="s">
        <v>24</v>
      </c>
      <c r="E1452" s="51" t="s">
        <v>32</v>
      </c>
      <c r="F1452" s="51" t="s">
        <v>25</v>
      </c>
      <c r="G1452" s="51" t="s">
        <v>25</v>
      </c>
      <c r="H1452" s="51" t="s">
        <v>25</v>
      </c>
      <c r="I1452" s="59">
        <v>44440</v>
      </c>
      <c r="J1452" s="60">
        <f>EFEITO!$J$1452*EFEITO!$Y$1279</f>
        <v>0</v>
      </c>
      <c r="K1452" s="60">
        <f ca="1">EFEITO!$L$1452*EFEITO!$Z$1435</f>
        <v>785.7150581510507</v>
      </c>
      <c r="L1452" s="60">
        <f>EFEITO!$N$1452*EFEITO!$AA$1435</f>
        <v>516.99855912669989</v>
      </c>
      <c r="M1452" s="60">
        <f>$J$1452-EFEITO!$K$1452*EFEITO!$Y$1452</f>
        <v>0</v>
      </c>
      <c r="N1452" s="60">
        <f ca="1">$K$1452-EFEITO!$M$1452*EFEITO!$Z$1452</f>
        <v>0</v>
      </c>
      <c r="O1452" s="60">
        <f>$L$1452-EFEITO!$O$1452*EFEITO!$AA$1452</f>
        <v>0</v>
      </c>
      <c r="P1452" s="18"/>
      <c r="Q1452" s="18"/>
      <c r="R1452" s="18"/>
      <c r="S1452" s="18"/>
      <c r="T1452" s="18"/>
      <c r="U1452" s="18"/>
      <c r="V1452" s="18"/>
      <c r="W1452" s="18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</row>
    <row r="1453" spans="1:36" ht="11.25" customHeight="1" x14ac:dyDescent="0.2">
      <c r="A1453" s="51" t="s">
        <v>21</v>
      </c>
      <c r="B1453" s="51" t="s">
        <v>22</v>
      </c>
      <c r="C1453" s="51" t="s">
        <v>23</v>
      </c>
      <c r="D1453" s="51" t="s">
        <v>24</v>
      </c>
      <c r="E1453" s="51" t="s">
        <v>32</v>
      </c>
      <c r="F1453" s="51" t="s">
        <v>25</v>
      </c>
      <c r="G1453" s="51" t="s">
        <v>25</v>
      </c>
      <c r="H1453" s="51" t="s">
        <v>25</v>
      </c>
      <c r="I1453" s="59">
        <v>44470</v>
      </c>
      <c r="J1453" s="60">
        <f>EFEITO!$J$1453*EFEITO!$Y$1279</f>
        <v>0</v>
      </c>
      <c r="K1453" s="60">
        <f ca="1">EFEITO!$L$1453*EFEITO!$Z$1435</f>
        <v>427810.97112907842</v>
      </c>
      <c r="L1453" s="60">
        <f>EFEITO!$N$1453*EFEITO!$AA$1435</f>
        <v>281498.55772499042</v>
      </c>
      <c r="M1453" s="60">
        <f>$J$1453-EFEITO!$K$1453*EFEITO!$Y$1453</f>
        <v>0</v>
      </c>
      <c r="N1453" s="60">
        <f ca="1">$K$1453-EFEITO!$M$1453*EFEITO!$Z$1453</f>
        <v>0</v>
      </c>
      <c r="O1453" s="60">
        <f>$L$1453-EFEITO!$O$1453*EFEITO!$AA$1453</f>
        <v>0</v>
      </c>
      <c r="P1453" s="18"/>
      <c r="Q1453" s="18"/>
      <c r="R1453" s="18"/>
      <c r="S1453" s="18"/>
      <c r="T1453" s="18"/>
      <c r="U1453" s="18"/>
      <c r="V1453" s="18"/>
      <c r="W1453" s="18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</row>
    <row r="1454" spans="1:36" ht="11.25" customHeight="1" x14ac:dyDescent="0.2">
      <c r="A1454" s="51" t="s">
        <v>27</v>
      </c>
      <c r="B1454" s="51" t="s">
        <v>22</v>
      </c>
      <c r="C1454" s="51" t="s">
        <v>23</v>
      </c>
      <c r="D1454" s="51" t="s">
        <v>24</v>
      </c>
      <c r="E1454" s="51" t="s">
        <v>32</v>
      </c>
      <c r="F1454" s="51" t="s">
        <v>25</v>
      </c>
      <c r="G1454" s="51" t="s">
        <v>25</v>
      </c>
      <c r="H1454" s="51" t="s">
        <v>25</v>
      </c>
      <c r="I1454" s="59">
        <v>44470</v>
      </c>
      <c r="J1454" s="60">
        <f>EFEITO!$J$1454*EFEITO!$Y$1279</f>
        <v>0</v>
      </c>
      <c r="K1454" s="60">
        <f ca="1">EFEITO!$L$1454*EFEITO!$Z$1435</f>
        <v>-2493.3880942051724</v>
      </c>
      <c r="L1454" s="60">
        <f>EFEITO!$N$1454*EFEITO!$AA$1435</f>
        <v>-1640.6431805968039</v>
      </c>
      <c r="M1454" s="60">
        <f>$J$1454-EFEITO!$K$1454*EFEITO!$Y$1454</f>
        <v>0</v>
      </c>
      <c r="N1454" s="60">
        <f ca="1">$K$1454-EFEITO!$M$1454*EFEITO!$Z$1454</f>
        <v>0</v>
      </c>
      <c r="O1454" s="60">
        <f>$L$1454-EFEITO!$O$1454*EFEITO!$AA$1454</f>
        <v>0</v>
      </c>
      <c r="P1454" s="18"/>
      <c r="Q1454" s="18"/>
      <c r="R1454" s="18"/>
      <c r="S1454" s="18"/>
      <c r="T1454" s="18"/>
      <c r="U1454" s="18"/>
      <c r="V1454" s="18"/>
      <c r="W1454" s="18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</row>
    <row r="1455" spans="1:36" ht="11.25" customHeight="1" x14ac:dyDescent="0.2">
      <c r="A1455" s="51" t="s">
        <v>28</v>
      </c>
      <c r="B1455" s="51" t="s">
        <v>22</v>
      </c>
      <c r="C1455" s="51" t="s">
        <v>23</v>
      </c>
      <c r="D1455" s="51" t="s">
        <v>24</v>
      </c>
      <c r="E1455" s="51" t="s">
        <v>32</v>
      </c>
      <c r="F1455" s="51" t="s">
        <v>25</v>
      </c>
      <c r="G1455" s="51" t="s">
        <v>25</v>
      </c>
      <c r="H1455" s="51" t="s">
        <v>25</v>
      </c>
      <c r="I1455" s="59">
        <v>44470</v>
      </c>
      <c r="J1455" s="60">
        <f>EFEITO!$J$1455*EFEITO!$Y$1279</f>
        <v>0</v>
      </c>
      <c r="K1455" s="60">
        <f ca="1">EFEITO!$L$1455*EFEITO!$Z$1435</f>
        <v>924.45457590899844</v>
      </c>
      <c r="L1455" s="60">
        <f>EFEITO!$N$1455*EFEITO!$AA$1435</f>
        <v>608.28881763795107</v>
      </c>
      <c r="M1455" s="60">
        <f>$J$1455-EFEITO!$K$1455*EFEITO!$Y$1455</f>
        <v>0</v>
      </c>
      <c r="N1455" s="60">
        <f ca="1">$K$1455-EFEITO!$M$1455*EFEITO!$Z$1455</f>
        <v>0</v>
      </c>
      <c r="O1455" s="60">
        <f>$L$1455-EFEITO!$O$1455*EFEITO!$AA$1455</f>
        <v>0</v>
      </c>
      <c r="P1455" s="18"/>
      <c r="Q1455" s="18"/>
      <c r="R1455" s="18"/>
      <c r="S1455" s="18"/>
      <c r="T1455" s="18"/>
      <c r="U1455" s="18"/>
      <c r="V1455" s="18"/>
      <c r="W1455" s="18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</row>
    <row r="1456" spans="1:36" ht="11.25" customHeight="1" x14ac:dyDescent="0.2">
      <c r="A1456" s="51" t="s">
        <v>21</v>
      </c>
      <c r="B1456" s="51" t="s">
        <v>22</v>
      </c>
      <c r="C1456" s="51" t="s">
        <v>23</v>
      </c>
      <c r="D1456" s="51" t="s">
        <v>24</v>
      </c>
      <c r="E1456" s="51" t="s">
        <v>32</v>
      </c>
      <c r="F1456" s="51" t="s">
        <v>25</v>
      </c>
      <c r="G1456" s="51" t="s">
        <v>25</v>
      </c>
      <c r="H1456" s="51" t="s">
        <v>25</v>
      </c>
      <c r="I1456" s="59">
        <v>44501</v>
      </c>
      <c r="J1456" s="60">
        <f>EFEITO!$J$1456*EFEITO!$Y$1279</f>
        <v>0</v>
      </c>
      <c r="K1456" s="60">
        <f ca="1">EFEITO!$L$1456*EFEITO!$Z$1435</f>
        <v>463409.6054387347</v>
      </c>
      <c r="L1456" s="60">
        <f>EFEITO!$N$1456*EFEITO!$AA$1435</f>
        <v>304922.37079060741</v>
      </c>
      <c r="M1456" s="60">
        <f>$J$1456-EFEITO!$K$1456*EFEITO!$Y$1456</f>
        <v>0</v>
      </c>
      <c r="N1456" s="60">
        <f ca="1">$K$1456-EFEITO!$M$1456*EFEITO!$Z$1456</f>
        <v>0</v>
      </c>
      <c r="O1456" s="60">
        <f>$L$1456-EFEITO!$O$1456*EFEITO!$AA$1456</f>
        <v>0</v>
      </c>
      <c r="P1456" s="18"/>
      <c r="Q1456" s="18"/>
      <c r="R1456" s="18"/>
      <c r="S1456" s="18"/>
      <c r="T1456" s="18"/>
      <c r="U1456" s="18"/>
      <c r="V1456" s="18"/>
      <c r="W1456" s="18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</row>
    <row r="1457" spans="1:36" ht="11.25" customHeight="1" x14ac:dyDescent="0.2">
      <c r="A1457" s="51" t="s">
        <v>27</v>
      </c>
      <c r="B1457" s="51" t="s">
        <v>22</v>
      </c>
      <c r="C1457" s="51" t="s">
        <v>23</v>
      </c>
      <c r="D1457" s="51" t="s">
        <v>24</v>
      </c>
      <c r="E1457" s="51" t="s">
        <v>32</v>
      </c>
      <c r="F1457" s="51" t="s">
        <v>25</v>
      </c>
      <c r="G1457" s="51" t="s">
        <v>25</v>
      </c>
      <c r="H1457" s="51" t="s">
        <v>25</v>
      </c>
      <c r="I1457" s="59">
        <v>44501</v>
      </c>
      <c r="J1457" s="60">
        <f>EFEITO!$J$1457*EFEITO!$Y$1279</f>
        <v>0</v>
      </c>
      <c r="K1457" s="60">
        <f ca="1">EFEITO!$L$1457*EFEITO!$Z$1435</f>
        <v>-1318.5604039874872</v>
      </c>
      <c r="L1457" s="60">
        <f>EFEITO!$N$1457*EFEITO!$AA$1435</f>
        <v>-867.60947484857445</v>
      </c>
      <c r="M1457" s="60">
        <f>$J$1457-EFEITO!$K$1457*EFEITO!$Y$1457</f>
        <v>0</v>
      </c>
      <c r="N1457" s="60">
        <f ca="1">$K$1457-EFEITO!$M$1457*EFEITO!$Z$1457</f>
        <v>0</v>
      </c>
      <c r="O1457" s="60">
        <f>$L$1457-EFEITO!$O$1457*EFEITO!$AA$1457</f>
        <v>0</v>
      </c>
      <c r="P1457" s="18"/>
      <c r="Q1457" s="18"/>
      <c r="R1457" s="18"/>
      <c r="S1457" s="18"/>
      <c r="T1457" s="18"/>
      <c r="U1457" s="18"/>
      <c r="V1457" s="18"/>
      <c r="W1457" s="18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</row>
    <row r="1458" spans="1:36" ht="11.25" customHeight="1" x14ac:dyDescent="0.2">
      <c r="A1458" s="51" t="s">
        <v>28</v>
      </c>
      <c r="B1458" s="51" t="s">
        <v>22</v>
      </c>
      <c r="C1458" s="51" t="s">
        <v>23</v>
      </c>
      <c r="D1458" s="51" t="s">
        <v>24</v>
      </c>
      <c r="E1458" s="51" t="s">
        <v>32</v>
      </c>
      <c r="F1458" s="51" t="s">
        <v>25</v>
      </c>
      <c r="G1458" s="51" t="s">
        <v>25</v>
      </c>
      <c r="H1458" s="51" t="s">
        <v>25</v>
      </c>
      <c r="I1458" s="59">
        <v>44501</v>
      </c>
      <c r="J1458" s="60">
        <f>EFEITO!$J$1458*EFEITO!$Y$1279</f>
        <v>0</v>
      </c>
      <c r="K1458" s="60">
        <f ca="1">EFEITO!$L$1458*EFEITO!$Z$1435</f>
        <v>1101.7130343298209</v>
      </c>
      <c r="L1458" s="60">
        <f>EFEITO!$N$1458*EFEITO!$AA$1435</f>
        <v>724.92444355078339</v>
      </c>
      <c r="M1458" s="60">
        <f>$J$1458-EFEITO!$K$1458*EFEITO!$Y$1458</f>
        <v>0</v>
      </c>
      <c r="N1458" s="60">
        <f ca="1">$K$1458-EFEITO!$M$1458*EFEITO!$Z$1458</f>
        <v>0</v>
      </c>
      <c r="O1458" s="60">
        <f>$L$1458-EFEITO!$O$1458*EFEITO!$AA$1458</f>
        <v>0</v>
      </c>
      <c r="P1458" s="18"/>
      <c r="Q1458" s="18"/>
      <c r="R1458" s="18"/>
      <c r="S1458" s="18"/>
      <c r="T1458" s="18"/>
      <c r="U1458" s="18"/>
      <c r="V1458" s="18"/>
      <c r="W1458" s="18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</row>
    <row r="1459" spans="1:36" ht="11.25" customHeight="1" x14ac:dyDescent="0.2">
      <c r="A1459" s="51" t="s">
        <v>21</v>
      </c>
      <c r="B1459" s="51" t="s">
        <v>22</v>
      </c>
      <c r="C1459" s="51" t="s">
        <v>23</v>
      </c>
      <c r="D1459" s="51" t="s">
        <v>24</v>
      </c>
      <c r="E1459" s="51" t="s">
        <v>32</v>
      </c>
      <c r="F1459" s="51" t="s">
        <v>25</v>
      </c>
      <c r="G1459" s="51" t="s">
        <v>25</v>
      </c>
      <c r="H1459" s="51" t="s">
        <v>25</v>
      </c>
      <c r="I1459" s="59">
        <v>44531</v>
      </c>
      <c r="J1459" s="60">
        <f>EFEITO!$J$1459*EFEITO!$Y$1279</f>
        <v>0</v>
      </c>
      <c r="K1459" s="60">
        <f ca="1">EFEITO!$L$1459*EFEITO!$Z$1435</f>
        <v>517518.37402119226</v>
      </c>
      <c r="L1459" s="60">
        <f>EFEITO!$N$1459*EFEITO!$AA$1435</f>
        <v>340525.80628932314</v>
      </c>
      <c r="M1459" s="60">
        <f>$J$1459-EFEITO!$K$1459*EFEITO!$Y$1459</f>
        <v>0</v>
      </c>
      <c r="N1459" s="60">
        <f ca="1">$K$1459-EFEITO!$M$1459*EFEITO!$Z$1459</f>
        <v>0</v>
      </c>
      <c r="O1459" s="60">
        <f>$L$1459-EFEITO!$O$1459*EFEITO!$AA$1459</f>
        <v>0</v>
      </c>
      <c r="P1459" s="18"/>
      <c r="Q1459" s="18"/>
      <c r="R1459" s="18"/>
      <c r="S1459" s="18"/>
      <c r="T1459" s="18"/>
      <c r="U1459" s="18"/>
      <c r="V1459" s="18"/>
      <c r="W1459" s="18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</row>
    <row r="1460" spans="1:36" ht="11.25" customHeight="1" x14ac:dyDescent="0.2">
      <c r="A1460" s="51" t="s">
        <v>27</v>
      </c>
      <c r="B1460" s="51" t="s">
        <v>22</v>
      </c>
      <c r="C1460" s="51" t="s">
        <v>23</v>
      </c>
      <c r="D1460" s="51" t="s">
        <v>24</v>
      </c>
      <c r="E1460" s="51" t="s">
        <v>32</v>
      </c>
      <c r="F1460" s="51" t="s">
        <v>25</v>
      </c>
      <c r="G1460" s="51" t="s">
        <v>25</v>
      </c>
      <c r="H1460" s="51" t="s">
        <v>25</v>
      </c>
      <c r="I1460" s="59">
        <v>44531</v>
      </c>
      <c r="J1460" s="60">
        <f>EFEITO!$J$1460*EFEITO!$Y$1279</f>
        <v>0</v>
      </c>
      <c r="K1460" s="60">
        <f ca="1">EFEITO!$L$1460*EFEITO!$Z$1435</f>
        <v>-2546.5299660456203</v>
      </c>
      <c r="L1460" s="60">
        <f>EFEITO!$N$1460*EFEITO!$AA$1435</f>
        <v>-1675.6104004378742</v>
      </c>
      <c r="M1460" s="60">
        <f>$J$1460-EFEITO!$K$1460*EFEITO!$Y$1460</f>
        <v>0</v>
      </c>
      <c r="N1460" s="60">
        <f ca="1">$K$1460-EFEITO!$M$1460*EFEITO!$Z$1460</f>
        <v>0</v>
      </c>
      <c r="O1460" s="60">
        <f>$L$1460-EFEITO!$O$1460*EFEITO!$AA$1460</f>
        <v>0</v>
      </c>
      <c r="P1460" s="18"/>
      <c r="Q1460" s="18"/>
      <c r="R1460" s="18"/>
      <c r="S1460" s="18"/>
      <c r="T1460" s="18"/>
      <c r="U1460" s="18"/>
      <c r="V1460" s="18"/>
      <c r="W1460" s="18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</row>
    <row r="1461" spans="1:36" ht="11.25" customHeight="1" x14ac:dyDescent="0.2">
      <c r="A1461" s="51" t="s">
        <v>28</v>
      </c>
      <c r="B1461" s="51" t="s">
        <v>22</v>
      </c>
      <c r="C1461" s="51" t="s">
        <v>23</v>
      </c>
      <c r="D1461" s="51" t="s">
        <v>24</v>
      </c>
      <c r="E1461" s="51" t="s">
        <v>32</v>
      </c>
      <c r="F1461" s="51" t="s">
        <v>25</v>
      </c>
      <c r="G1461" s="51" t="s">
        <v>25</v>
      </c>
      <c r="H1461" s="51" t="s">
        <v>25</v>
      </c>
      <c r="I1461" s="59">
        <v>44531</v>
      </c>
      <c r="J1461" s="60">
        <f>EFEITO!$J$1461*EFEITO!$Y$1279</f>
        <v>0</v>
      </c>
      <c r="K1461" s="60">
        <f ca="1">EFEITO!$L$1461*EFEITO!$Z$1435</f>
        <v>1746.5486335749865</v>
      </c>
      <c r="L1461" s="60">
        <f>EFEITO!$N$1461*EFEITO!$AA$1435</f>
        <v>1149.2246681994777</v>
      </c>
      <c r="M1461" s="60">
        <f>$J$1461-EFEITO!$K$1461*EFEITO!$Y$1461</f>
        <v>0</v>
      </c>
      <c r="N1461" s="60">
        <f ca="1">$K$1461-EFEITO!$M$1461*EFEITO!$Z$1461</f>
        <v>0</v>
      </c>
      <c r="O1461" s="60">
        <f>$L$1461-EFEITO!$O$1461*EFEITO!$AA$1461</f>
        <v>0</v>
      </c>
      <c r="P1461" s="18"/>
      <c r="Q1461" s="18"/>
      <c r="R1461" s="18"/>
      <c r="S1461" s="18"/>
      <c r="T1461" s="18"/>
      <c r="U1461" s="18"/>
      <c r="V1461" s="18"/>
      <c r="W1461" s="18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</row>
    <row r="1462" spans="1:36" ht="11.25" customHeight="1" x14ac:dyDescent="0.2">
      <c r="A1462" s="51" t="s">
        <v>21</v>
      </c>
      <c r="B1462" s="51" t="s">
        <v>22</v>
      </c>
      <c r="C1462" s="51" t="s">
        <v>23</v>
      </c>
      <c r="D1462" s="51" t="s">
        <v>24</v>
      </c>
      <c r="E1462" s="51" t="s">
        <v>32</v>
      </c>
      <c r="F1462" s="51" t="s">
        <v>25</v>
      </c>
      <c r="G1462" s="51" t="s">
        <v>25</v>
      </c>
      <c r="H1462" s="51" t="s">
        <v>25</v>
      </c>
      <c r="I1462" s="59">
        <v>44562</v>
      </c>
      <c r="J1462" s="60">
        <f>EFEITO!$J$1462*EFEITO!$Y$1279</f>
        <v>0</v>
      </c>
      <c r="K1462" s="60">
        <f ca="1">EFEITO!$L$1462*EFEITO!$Z$1435</f>
        <v>593298.68326567078</v>
      </c>
      <c r="L1462" s="60">
        <f>EFEITO!$N$1462*EFEITO!$AA$1435</f>
        <v>390389.06178268965</v>
      </c>
      <c r="M1462" s="60">
        <f>$J$1462-EFEITO!$K$1462*EFEITO!$Y$1462</f>
        <v>0</v>
      </c>
      <c r="N1462" s="60">
        <f ca="1">$K$1462-EFEITO!$M$1462*EFEITO!$Z$1462</f>
        <v>0</v>
      </c>
      <c r="O1462" s="60">
        <f>$L$1462-EFEITO!$O$1462*EFEITO!$AA$1462</f>
        <v>0</v>
      </c>
      <c r="P1462" s="18"/>
      <c r="Q1462" s="18"/>
      <c r="R1462" s="18"/>
      <c r="S1462" s="18"/>
      <c r="T1462" s="18"/>
      <c r="U1462" s="18"/>
      <c r="V1462" s="18"/>
      <c r="W1462" s="18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</row>
    <row r="1463" spans="1:36" ht="11.25" customHeight="1" x14ac:dyDescent="0.2">
      <c r="A1463" s="51" t="s">
        <v>27</v>
      </c>
      <c r="B1463" s="51" t="s">
        <v>22</v>
      </c>
      <c r="C1463" s="51" t="s">
        <v>23</v>
      </c>
      <c r="D1463" s="51" t="s">
        <v>24</v>
      </c>
      <c r="E1463" s="51" t="s">
        <v>32</v>
      </c>
      <c r="F1463" s="51" t="s">
        <v>25</v>
      </c>
      <c r="G1463" s="51" t="s">
        <v>25</v>
      </c>
      <c r="H1463" s="51" t="s">
        <v>25</v>
      </c>
      <c r="I1463" s="59">
        <v>44562</v>
      </c>
      <c r="J1463" s="60">
        <f>EFEITO!$J$1463*EFEITO!$Y$1279</f>
        <v>0</v>
      </c>
      <c r="K1463" s="60">
        <f ca="1">EFEITO!$L$1463*EFEITO!$Z$1435</f>
        <v>-686.20779477195708</v>
      </c>
      <c r="L1463" s="60">
        <f>EFEITO!$N$1463*EFEITO!$AA$1435</f>
        <v>-451.52302667261483</v>
      </c>
      <c r="M1463" s="60">
        <f>$J$1463-EFEITO!$K$1463*EFEITO!$Y$1463</f>
        <v>0</v>
      </c>
      <c r="N1463" s="60">
        <f ca="1">$K$1463-EFEITO!$M$1463*EFEITO!$Z$1463</f>
        <v>0</v>
      </c>
      <c r="O1463" s="60">
        <f>$L$1463-EFEITO!$O$1463*EFEITO!$AA$1463</f>
        <v>0</v>
      </c>
      <c r="P1463" s="18"/>
      <c r="Q1463" s="18"/>
      <c r="R1463" s="18"/>
      <c r="S1463" s="18"/>
      <c r="T1463" s="18"/>
      <c r="U1463" s="18"/>
      <c r="V1463" s="18"/>
      <c r="W1463" s="18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</row>
    <row r="1464" spans="1:36" ht="11.25" customHeight="1" x14ac:dyDescent="0.2">
      <c r="A1464" s="51" t="s">
        <v>28</v>
      </c>
      <c r="B1464" s="51" t="s">
        <v>22</v>
      </c>
      <c r="C1464" s="51" t="s">
        <v>23</v>
      </c>
      <c r="D1464" s="51" t="s">
        <v>24</v>
      </c>
      <c r="E1464" s="51" t="s">
        <v>32</v>
      </c>
      <c r="F1464" s="51" t="s">
        <v>25</v>
      </c>
      <c r="G1464" s="51" t="s">
        <v>25</v>
      </c>
      <c r="H1464" s="51" t="s">
        <v>25</v>
      </c>
      <c r="I1464" s="59">
        <v>44562</v>
      </c>
      <c r="J1464" s="60">
        <f>EFEITO!$J$1464*EFEITO!$Y$1279</f>
        <v>0</v>
      </c>
      <c r="K1464" s="60">
        <f ca="1">EFEITO!$L$1464*EFEITO!$Z$1435</f>
        <v>2106.7720601444648</v>
      </c>
      <c r="L1464" s="60">
        <f>EFEITO!$N$1464*EFEITO!$AA$1435</f>
        <v>1386.2507892698213</v>
      </c>
      <c r="M1464" s="60">
        <f>$J$1464-EFEITO!$K$1464*EFEITO!$Y$1464</f>
        <v>0</v>
      </c>
      <c r="N1464" s="60">
        <f ca="1">$K$1464-EFEITO!$M$1464*EFEITO!$Z$1464</f>
        <v>0</v>
      </c>
      <c r="O1464" s="60">
        <f>$L$1464-EFEITO!$O$1464*EFEITO!$AA$1464</f>
        <v>0</v>
      </c>
      <c r="P1464" s="18"/>
      <c r="Q1464" s="18"/>
      <c r="R1464" s="18"/>
      <c r="S1464" s="18"/>
      <c r="T1464" s="18"/>
      <c r="U1464" s="18"/>
      <c r="V1464" s="18"/>
      <c r="W1464" s="18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</row>
    <row r="1465" spans="1:36" ht="11.25" customHeight="1" x14ac:dyDescent="0.2">
      <c r="A1465" s="51" t="s">
        <v>21</v>
      </c>
      <c r="B1465" s="51" t="s">
        <v>22</v>
      </c>
      <c r="C1465" s="51" t="s">
        <v>23</v>
      </c>
      <c r="D1465" s="51" t="s">
        <v>24</v>
      </c>
      <c r="E1465" s="51" t="s">
        <v>32</v>
      </c>
      <c r="F1465" s="51" t="s">
        <v>25</v>
      </c>
      <c r="G1465" s="51" t="s">
        <v>25</v>
      </c>
      <c r="H1465" s="51" t="s">
        <v>25</v>
      </c>
      <c r="I1465" s="59">
        <v>44593</v>
      </c>
      <c r="J1465" s="60">
        <f>EFEITO!$J$1465*EFEITO!$Y$1279</f>
        <v>0</v>
      </c>
      <c r="K1465" s="60">
        <f ca="1">EFEITO!$L$1465*EFEITO!$Z$1435</f>
        <v>587944.1938566732</v>
      </c>
      <c r="L1465" s="60">
        <f>EFEITO!$N$1465*EFEITO!$AA$1435</f>
        <v>386865.82103454205</v>
      </c>
      <c r="M1465" s="60">
        <f>$J$1465-EFEITO!$K$1465*EFEITO!$Y$1465</f>
        <v>0</v>
      </c>
      <c r="N1465" s="60">
        <f ca="1">$K$1465-EFEITO!$M$1465*EFEITO!$Z$1465</f>
        <v>0</v>
      </c>
      <c r="O1465" s="60">
        <f>$L$1465-EFEITO!$O$1465*EFEITO!$AA$1465</f>
        <v>0</v>
      </c>
      <c r="P1465" s="18"/>
      <c r="Q1465" s="18"/>
      <c r="R1465" s="18"/>
      <c r="S1465" s="18"/>
      <c r="T1465" s="18"/>
      <c r="U1465" s="18"/>
      <c r="V1465" s="18"/>
      <c r="W1465" s="18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</row>
    <row r="1466" spans="1:36" ht="11.25" customHeight="1" x14ac:dyDescent="0.2">
      <c r="A1466" s="51" t="s">
        <v>27</v>
      </c>
      <c r="B1466" s="51" t="s">
        <v>22</v>
      </c>
      <c r="C1466" s="51" t="s">
        <v>23</v>
      </c>
      <c r="D1466" s="51" t="s">
        <v>24</v>
      </c>
      <c r="E1466" s="51" t="s">
        <v>32</v>
      </c>
      <c r="F1466" s="51" t="s">
        <v>25</v>
      </c>
      <c r="G1466" s="51" t="s">
        <v>25</v>
      </c>
      <c r="H1466" s="51" t="s">
        <v>25</v>
      </c>
      <c r="I1466" s="59">
        <v>44593</v>
      </c>
      <c r="J1466" s="60">
        <f>EFEITO!$J$1466*EFEITO!$Y$1279</f>
        <v>0</v>
      </c>
      <c r="K1466" s="60">
        <f ca="1">EFEITO!$L$1466*EFEITO!$Z$1435</f>
        <v>-468.64711139831172</v>
      </c>
      <c r="L1466" s="60">
        <f>EFEITO!$N$1466*EFEITO!$AA$1435</f>
        <v>-308.36863671923908</v>
      </c>
      <c r="M1466" s="60">
        <f>$J$1466-EFEITO!$K$1466*EFEITO!$Y$1466</f>
        <v>0</v>
      </c>
      <c r="N1466" s="60">
        <f ca="1">$K$1466-EFEITO!$M$1466*EFEITO!$Z$1466</f>
        <v>0</v>
      </c>
      <c r="O1466" s="60">
        <f>$L$1466-EFEITO!$O$1466*EFEITO!$AA$1466</f>
        <v>0</v>
      </c>
      <c r="P1466" s="18"/>
      <c r="Q1466" s="18"/>
      <c r="R1466" s="18"/>
      <c r="S1466" s="18"/>
      <c r="T1466" s="18"/>
      <c r="U1466" s="18"/>
      <c r="V1466" s="18"/>
      <c r="W1466" s="18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</row>
    <row r="1467" spans="1:36" ht="11.25" customHeight="1" x14ac:dyDescent="0.2">
      <c r="A1467" s="51" t="s">
        <v>28</v>
      </c>
      <c r="B1467" s="51" t="s">
        <v>22</v>
      </c>
      <c r="C1467" s="51" t="s">
        <v>23</v>
      </c>
      <c r="D1467" s="51" t="s">
        <v>24</v>
      </c>
      <c r="E1467" s="51" t="s">
        <v>32</v>
      </c>
      <c r="F1467" s="51" t="s">
        <v>25</v>
      </c>
      <c r="G1467" s="51" t="s">
        <v>25</v>
      </c>
      <c r="H1467" s="51" t="s">
        <v>25</v>
      </c>
      <c r="I1467" s="59">
        <v>44593</v>
      </c>
      <c r="J1467" s="60">
        <f>EFEITO!$J$1467*EFEITO!$Y$1279</f>
        <v>0</v>
      </c>
      <c r="K1467" s="60">
        <f ca="1">EFEITO!$L$1467*EFEITO!$Z$1435</f>
        <v>1614.2289392608513</v>
      </c>
      <c r="L1467" s="60">
        <f>EFEITO!$N$1467*EFEITO!$AA$1435</f>
        <v>1062.1586375884901</v>
      </c>
      <c r="M1467" s="60">
        <f>$J$1467-EFEITO!$K$1467*EFEITO!$Y$1467</f>
        <v>0</v>
      </c>
      <c r="N1467" s="60">
        <f ca="1">$K$1467-EFEITO!$M$1467*EFEITO!$Z$1467</f>
        <v>0</v>
      </c>
      <c r="O1467" s="60">
        <f>$L$1467-EFEITO!$O$1467*EFEITO!$AA$1467</f>
        <v>0</v>
      </c>
      <c r="P1467" s="18"/>
      <c r="Q1467" s="18"/>
      <c r="R1467" s="18"/>
      <c r="S1467" s="18"/>
      <c r="T1467" s="18"/>
      <c r="U1467" s="18"/>
      <c r="V1467" s="18"/>
      <c r="W1467" s="18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</row>
    <row r="1468" spans="1:36" ht="11.25" customHeight="1" x14ac:dyDescent="0.2">
      <c r="A1468" s="51" t="s">
        <v>56</v>
      </c>
      <c r="B1468" s="51" t="s">
        <v>22</v>
      </c>
      <c r="C1468" s="51" t="s">
        <v>23</v>
      </c>
      <c r="D1468" s="51" t="s">
        <v>24</v>
      </c>
      <c r="E1468" s="51" t="s">
        <v>32</v>
      </c>
      <c r="F1468" s="51" t="s">
        <v>25</v>
      </c>
      <c r="G1468" s="51" t="s">
        <v>25</v>
      </c>
      <c r="H1468" s="51" t="s">
        <v>25</v>
      </c>
      <c r="I1468" s="59">
        <v>44621</v>
      </c>
      <c r="J1468" s="60">
        <f>EFEITO!$J$1468*EFEITO!$Y$1279</f>
        <v>0</v>
      </c>
      <c r="K1468" s="60">
        <f ca="1">EFEITO!$L$1468*EFEITO!$Z$1435</f>
        <v>587944.1938566732</v>
      </c>
      <c r="L1468" s="60">
        <f>EFEITO!$N$1468*EFEITO!$AA$1435</f>
        <v>386865.82103454205</v>
      </c>
      <c r="M1468" s="60">
        <f>$J$1468-EFEITO!$K$1468*EFEITO!$Y$1468</f>
        <v>0</v>
      </c>
      <c r="N1468" s="60">
        <f ca="1">$K$1468-EFEITO!$M$1468*EFEITO!$Z$1468</f>
        <v>0</v>
      </c>
      <c r="O1468" s="60">
        <f>$L$1468-EFEITO!$O$1468*EFEITO!$AA$1468</f>
        <v>0</v>
      </c>
      <c r="P1468" s="18"/>
      <c r="Q1468" s="18"/>
      <c r="R1468" s="18"/>
      <c r="S1468" s="18"/>
      <c r="T1468" s="18"/>
      <c r="U1468" s="18"/>
      <c r="V1468" s="18"/>
      <c r="W1468" s="18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</row>
    <row r="1469" spans="1:36" ht="11.25" customHeight="1" x14ac:dyDescent="0.2">
      <c r="A1469" s="51" t="s">
        <v>56</v>
      </c>
      <c r="B1469" s="51" t="s">
        <v>22</v>
      </c>
      <c r="C1469" s="51" t="s">
        <v>23</v>
      </c>
      <c r="D1469" s="51" t="s">
        <v>24</v>
      </c>
      <c r="E1469" s="51" t="s">
        <v>32</v>
      </c>
      <c r="F1469" s="51" t="s">
        <v>25</v>
      </c>
      <c r="G1469" s="51" t="s">
        <v>25</v>
      </c>
      <c r="H1469" s="51" t="s">
        <v>25</v>
      </c>
      <c r="I1469" s="59">
        <v>44621</v>
      </c>
      <c r="J1469" s="60">
        <f>EFEITO!$J$1469*EFEITO!$Y$1279</f>
        <v>0</v>
      </c>
      <c r="K1469" s="60">
        <f ca="1">EFEITO!$L$1469*EFEITO!$Z$1435</f>
        <v>-468.64711139831172</v>
      </c>
      <c r="L1469" s="60">
        <f>EFEITO!$N$1469*EFEITO!$AA$1435</f>
        <v>-308.36863671923908</v>
      </c>
      <c r="M1469" s="60">
        <f>$J$1469-EFEITO!$K$1469*EFEITO!$Y$1469</f>
        <v>0</v>
      </c>
      <c r="N1469" s="60">
        <f ca="1">$K$1469-EFEITO!$M$1469*EFEITO!$Z$1469</f>
        <v>0</v>
      </c>
      <c r="O1469" s="60">
        <f>$L$1469-EFEITO!$O$1469*EFEITO!$AA$1469</f>
        <v>0</v>
      </c>
      <c r="P1469" s="18"/>
      <c r="Q1469" s="18"/>
      <c r="R1469" s="18"/>
      <c r="S1469" s="18"/>
      <c r="T1469" s="18"/>
      <c r="U1469" s="18"/>
      <c r="V1469" s="18"/>
      <c r="W1469" s="18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</row>
    <row r="1470" spans="1:36" ht="11.25" customHeight="1" x14ac:dyDescent="0.2">
      <c r="A1470" s="51" t="s">
        <v>56</v>
      </c>
      <c r="B1470" s="51" t="s">
        <v>22</v>
      </c>
      <c r="C1470" s="51" t="s">
        <v>23</v>
      </c>
      <c r="D1470" s="51" t="s">
        <v>24</v>
      </c>
      <c r="E1470" s="51" t="s">
        <v>32</v>
      </c>
      <c r="F1470" s="51" t="s">
        <v>25</v>
      </c>
      <c r="G1470" s="51" t="s">
        <v>25</v>
      </c>
      <c r="H1470" s="51" t="s">
        <v>25</v>
      </c>
      <c r="I1470" s="59">
        <v>44621</v>
      </c>
      <c r="J1470" s="60">
        <f>EFEITO!$J$1470*EFEITO!$Y$1279</f>
        <v>0</v>
      </c>
      <c r="K1470" s="60">
        <f ca="1">EFEITO!$L$1470*EFEITO!$Z$1435</f>
        <v>1614.2289392608513</v>
      </c>
      <c r="L1470" s="60">
        <f>EFEITO!$N$1470*EFEITO!$AA$1435</f>
        <v>1062.1586375884901</v>
      </c>
      <c r="M1470" s="60">
        <f>$J$1470-EFEITO!$K$1470*EFEITO!$Y$1470</f>
        <v>0</v>
      </c>
      <c r="N1470" s="60">
        <f ca="1">$K$1470-EFEITO!$M$1470*EFEITO!$Z$1470</f>
        <v>0</v>
      </c>
      <c r="O1470" s="60">
        <f>$L$1470-EFEITO!$O$1470*EFEITO!$AA$1470</f>
        <v>0</v>
      </c>
      <c r="P1470" s="18"/>
      <c r="Q1470" s="18"/>
      <c r="R1470" s="18"/>
      <c r="S1470" s="18"/>
      <c r="T1470" s="18"/>
      <c r="U1470" s="18"/>
      <c r="V1470" s="18"/>
      <c r="W1470" s="18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</row>
    <row r="1471" spans="1:36" ht="11.25" customHeight="1" x14ac:dyDescent="0.2">
      <c r="A1471" s="51" t="s">
        <v>21</v>
      </c>
      <c r="B1471" s="51" t="s">
        <v>44</v>
      </c>
      <c r="C1471" s="51" t="s">
        <v>33</v>
      </c>
      <c r="D1471" s="51" t="s">
        <v>45</v>
      </c>
      <c r="E1471" s="51" t="s">
        <v>53</v>
      </c>
      <c r="F1471" s="51" t="s">
        <v>54</v>
      </c>
      <c r="G1471" s="51" t="s">
        <v>25</v>
      </c>
      <c r="H1471" s="51" t="s">
        <v>35</v>
      </c>
      <c r="I1471" s="59">
        <v>44470</v>
      </c>
      <c r="J1471" s="60">
        <f>EFEITO!$J$1471*EFEITO!$Y$1471/(1-CUSTOS!$M$38)</f>
        <v>0</v>
      </c>
      <c r="K1471" s="60">
        <f ca="1">EFEITO!$L$1471*EFEITO!$Z$1471/(1-CUSTOS!$M$38)</f>
        <v>1221.941896844028</v>
      </c>
      <c r="L1471" s="60">
        <f>EFEITO!$N$1471*EFEITO!$AA$1471/(1-CUSTOS!$M$38)</f>
        <v>965.32794398905378</v>
      </c>
      <c r="M1471" s="60">
        <f>$J$1471-EFEITO!$K$1471*EFEITO!$Y$1471</f>
        <v>0</v>
      </c>
      <c r="N1471" s="60">
        <f ca="1">$K$1471-EFEITO!$M$1471*EFEITO!$Z$1471</f>
        <v>73.316513810641709</v>
      </c>
      <c r="O1471" s="60">
        <f>$L$1471-EFEITO!$O$1471*EFEITO!$AA$1471</f>
        <v>57.919676639343265</v>
      </c>
      <c r="P1471" s="18"/>
      <c r="Q1471" s="18"/>
      <c r="R1471" s="18"/>
      <c r="S1471" s="18"/>
      <c r="T1471" s="18"/>
      <c r="U1471" s="18"/>
      <c r="V1471" s="18"/>
      <c r="W1471" s="18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</row>
    <row r="1472" spans="1:36" ht="11.25" customHeight="1" x14ac:dyDescent="0.2">
      <c r="A1472" s="51" t="s">
        <v>21</v>
      </c>
      <c r="B1472" s="51" t="s">
        <v>44</v>
      </c>
      <c r="C1472" s="51" t="s">
        <v>33</v>
      </c>
      <c r="D1472" s="51" t="s">
        <v>45</v>
      </c>
      <c r="E1472" s="51" t="s">
        <v>53</v>
      </c>
      <c r="F1472" s="51" t="s">
        <v>54</v>
      </c>
      <c r="G1472" s="51" t="s">
        <v>25</v>
      </c>
      <c r="H1472" s="51" t="s">
        <v>35</v>
      </c>
      <c r="I1472" s="59">
        <v>44501</v>
      </c>
      <c r="J1472" s="60">
        <f>EFEITO!$J$1472*EFEITO!$Y$1472/(1-CUSTOS!$M$38)</f>
        <v>0</v>
      </c>
      <c r="K1472" s="60">
        <f ca="1">EFEITO!$L$1472*EFEITO!$Z$1472/(1-CUSTOS!$M$38)</f>
        <v>1221.941896844028</v>
      </c>
      <c r="L1472" s="60">
        <f>EFEITO!$N$1472*EFEITO!$AA$1472/(1-CUSTOS!$M$38)</f>
        <v>965.32794398905378</v>
      </c>
      <c r="M1472" s="60">
        <f>$J$1472-EFEITO!$K$1472*EFEITO!$Y$1472</f>
        <v>0</v>
      </c>
      <c r="N1472" s="60">
        <f ca="1">$K$1472-EFEITO!$M$1472*EFEITO!$Z$1472</f>
        <v>73.316513810641709</v>
      </c>
      <c r="O1472" s="60">
        <f>$L$1472-EFEITO!$O$1472*EFEITO!$AA$1472</f>
        <v>57.919676639343265</v>
      </c>
      <c r="P1472" s="18"/>
      <c r="Q1472" s="18"/>
      <c r="R1472" s="18"/>
      <c r="S1472" s="18"/>
      <c r="T1472" s="18"/>
      <c r="U1472" s="18"/>
      <c r="V1472" s="18"/>
      <c r="W1472" s="18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</row>
    <row r="1473" spans="1:36" ht="11.25" customHeight="1" x14ac:dyDescent="0.2">
      <c r="A1473" s="51" t="s">
        <v>21</v>
      </c>
      <c r="B1473" s="51" t="s">
        <v>44</v>
      </c>
      <c r="C1473" s="51" t="s">
        <v>33</v>
      </c>
      <c r="D1473" s="51" t="s">
        <v>45</v>
      </c>
      <c r="E1473" s="51" t="s">
        <v>53</v>
      </c>
      <c r="F1473" s="51" t="s">
        <v>54</v>
      </c>
      <c r="G1473" s="51" t="s">
        <v>25</v>
      </c>
      <c r="H1473" s="51" t="s">
        <v>35</v>
      </c>
      <c r="I1473" s="59">
        <v>44531</v>
      </c>
      <c r="J1473" s="60">
        <f>EFEITO!$J$1473*EFEITO!$Y$1473/(1-CUSTOS!$M$38)</f>
        <v>0</v>
      </c>
      <c r="K1473" s="60">
        <f ca="1">EFEITO!$L$1473*EFEITO!$Z$1473/(1-CUSTOS!$M$38)</f>
        <v>11475.407189363266</v>
      </c>
      <c r="L1473" s="60">
        <f>EFEITO!$N$1473*EFEITO!$AA$1473/(1-CUSTOS!$M$38)</f>
        <v>9065.5138817612806</v>
      </c>
      <c r="M1473" s="60">
        <f>$J$1473-EFEITO!$K$1473*EFEITO!$Y$1473</f>
        <v>0</v>
      </c>
      <c r="N1473" s="60">
        <f ca="1">$K$1473-EFEITO!$M$1473*EFEITO!$Z$1473</f>
        <v>688.52443136179681</v>
      </c>
      <c r="O1473" s="60">
        <f>$L$1473-EFEITO!$O$1473*EFEITO!$AA$1473</f>
        <v>543.93083290567665</v>
      </c>
      <c r="P1473" s="18"/>
      <c r="Q1473" s="18"/>
      <c r="R1473" s="18"/>
      <c r="S1473" s="18"/>
      <c r="T1473" s="18"/>
      <c r="U1473" s="18"/>
      <c r="V1473" s="18"/>
      <c r="W1473" s="18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</row>
    <row r="1474" spans="1:36" ht="11.25" customHeight="1" x14ac:dyDescent="0.2">
      <c r="A1474" s="51" t="s">
        <v>21</v>
      </c>
      <c r="B1474" s="51" t="s">
        <v>44</v>
      </c>
      <c r="C1474" s="51" t="s">
        <v>33</v>
      </c>
      <c r="D1474" s="51" t="s">
        <v>45</v>
      </c>
      <c r="E1474" s="51" t="s">
        <v>53</v>
      </c>
      <c r="F1474" s="51" t="s">
        <v>54</v>
      </c>
      <c r="G1474" s="51" t="s">
        <v>25</v>
      </c>
      <c r="H1474" s="51" t="s">
        <v>35</v>
      </c>
      <c r="I1474" s="59">
        <v>44562</v>
      </c>
      <c r="J1474" s="60">
        <f>EFEITO!$J$1474*EFEITO!$Y$1474/(1-CUSTOS!$M$38)</f>
        <v>0</v>
      </c>
      <c r="K1474" s="60">
        <f ca="1">EFEITO!$L$1474*EFEITO!$Z$1474/(1-CUSTOS!$M$38)</f>
        <v>10270.413169035799</v>
      </c>
      <c r="L1474" s="60">
        <f>EFEITO!$N$1474*EFEITO!$AA$1474/(1-CUSTOS!$M$38)</f>
        <v>8113.5746748594538</v>
      </c>
      <c r="M1474" s="60">
        <f>$J$1474-EFEITO!$K$1474*EFEITO!$Y$1474</f>
        <v>0</v>
      </c>
      <c r="N1474" s="60">
        <f ca="1">$K$1474-EFEITO!$M$1474*EFEITO!$Z$1474</f>
        <v>616.22479014214878</v>
      </c>
      <c r="O1474" s="60">
        <f>$L$1474-EFEITO!$O$1474*EFEITO!$AA$1474</f>
        <v>486.81448049156734</v>
      </c>
      <c r="P1474" s="18"/>
      <c r="Q1474" s="18"/>
      <c r="R1474" s="18"/>
      <c r="S1474" s="18"/>
      <c r="T1474" s="18"/>
      <c r="U1474" s="18"/>
      <c r="V1474" s="18"/>
      <c r="W1474" s="18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</row>
    <row r="1475" spans="1:36" ht="11.25" customHeight="1" x14ac:dyDescent="0.2">
      <c r="A1475" s="51" t="s">
        <v>27</v>
      </c>
      <c r="B1475" s="51" t="s">
        <v>44</v>
      </c>
      <c r="C1475" s="51" t="s">
        <v>33</v>
      </c>
      <c r="D1475" s="51" t="s">
        <v>45</v>
      </c>
      <c r="E1475" s="51" t="s">
        <v>53</v>
      </c>
      <c r="F1475" s="51" t="s">
        <v>54</v>
      </c>
      <c r="G1475" s="51" t="s">
        <v>25</v>
      </c>
      <c r="H1475" s="51" t="s">
        <v>35</v>
      </c>
      <c r="I1475" s="59">
        <v>44593</v>
      </c>
      <c r="J1475" s="60">
        <f>EFEITO!$J$1475*EFEITO!$Y$1475/(1-CUSTOS!$M$38)</f>
        <v>0</v>
      </c>
      <c r="K1475" s="60">
        <f ca="1">EFEITO!$L$1475*EFEITO!$Z$1475/(1-CUSTOS!$M$38)</f>
        <v>-10349.503259446416</v>
      </c>
      <c r="L1475" s="60">
        <f>EFEITO!$N$1475*EFEITO!$AA$1475/(1-CUSTOS!$M$38)</f>
        <v>-8176.0554479331795</v>
      </c>
      <c r="M1475" s="60">
        <f>$J$1475-EFEITO!$K$1475*EFEITO!$Y$1475</f>
        <v>0</v>
      </c>
      <c r="N1475" s="60">
        <f ca="1">$K$1475-EFEITO!$M$1475*EFEITO!$Z$1475</f>
        <v>-620.97019556678606</v>
      </c>
      <c r="O1475" s="60">
        <f>$L$1475-EFEITO!$O$1475*EFEITO!$AA$1475</f>
        <v>-490.56332687599115</v>
      </c>
      <c r="P1475" s="18"/>
      <c r="Q1475" s="18"/>
      <c r="R1475" s="18"/>
      <c r="S1475" s="18"/>
      <c r="T1475" s="18"/>
      <c r="U1475" s="18"/>
      <c r="V1475" s="18"/>
      <c r="W1475" s="18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</row>
    <row r="1476" spans="1:36" ht="11.25" customHeight="1" x14ac:dyDescent="0.2">
      <c r="A1476" s="51" t="s">
        <v>56</v>
      </c>
      <c r="B1476" s="51" t="s">
        <v>44</v>
      </c>
      <c r="C1476" s="51" t="s">
        <v>33</v>
      </c>
      <c r="D1476" s="51" t="s">
        <v>45</v>
      </c>
      <c r="E1476" s="51" t="s">
        <v>53</v>
      </c>
      <c r="F1476" s="51" t="s">
        <v>54</v>
      </c>
      <c r="G1476" s="51" t="s">
        <v>25</v>
      </c>
      <c r="H1476" s="51" t="s">
        <v>35</v>
      </c>
      <c r="I1476" s="59">
        <v>44621</v>
      </c>
      <c r="J1476" s="60">
        <f>EFEITO!$J$1476*EFEITO!$Y$1476/(1-CUSTOS!$M$38)</f>
        <v>0</v>
      </c>
      <c r="K1476" s="60">
        <f ca="1">EFEITO!$L$1476*EFEITO!$Z$1476/(1-CUSTOS!$M$38)</f>
        <v>-10349.503259446416</v>
      </c>
      <c r="L1476" s="60">
        <f>EFEITO!$N$1476*EFEITO!$AA$1476/(1-CUSTOS!$M$38)</f>
        <v>-8176.0554479331795</v>
      </c>
      <c r="M1476" s="60">
        <f>$J$1476-EFEITO!$K$1476*EFEITO!$Y$1476</f>
        <v>0</v>
      </c>
      <c r="N1476" s="60">
        <f ca="1">$K$1476-EFEITO!$M$1476*EFEITO!$Z$1476</f>
        <v>-620.97019556678606</v>
      </c>
      <c r="O1476" s="60">
        <f>$L$1476-EFEITO!$O$1476*EFEITO!$AA$1476</f>
        <v>-490.56332687599115</v>
      </c>
      <c r="P1476" s="18"/>
      <c r="Q1476" s="18"/>
      <c r="R1476" s="18"/>
      <c r="S1476" s="18"/>
      <c r="T1476" s="18"/>
      <c r="U1476" s="18"/>
      <c r="V1476" s="18"/>
      <c r="W1476" s="18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</row>
    <row r="1477" spans="1:36" ht="11.25" customHeight="1" x14ac:dyDescent="0.2">
      <c r="A1477" s="51" t="s">
        <v>21</v>
      </c>
      <c r="B1477" s="51" t="s">
        <v>44</v>
      </c>
      <c r="C1477" s="51" t="s">
        <v>33</v>
      </c>
      <c r="D1477" s="51" t="s">
        <v>45</v>
      </c>
      <c r="E1477" s="51" t="s">
        <v>53</v>
      </c>
      <c r="F1477" s="51" t="s">
        <v>54</v>
      </c>
      <c r="G1477" s="51" t="s">
        <v>25</v>
      </c>
      <c r="H1477" s="51" t="s">
        <v>36</v>
      </c>
      <c r="I1477" s="59">
        <v>44470</v>
      </c>
      <c r="J1477" s="60">
        <f>EFEITO!$J$1477*EFEITO!$Y$1477/(1-CUSTOS!$M$38)</f>
        <v>0</v>
      </c>
      <c r="K1477" s="60">
        <f ca="1">EFEITO!$L$1477*EFEITO!$Z$1477/(1-CUSTOS!$M$38)</f>
        <v>50.137354215145038</v>
      </c>
      <c r="L1477" s="60">
        <f>EFEITO!$N$1477*EFEITO!$AA$1477/(1-CUSTOS!$M$38)</f>
        <v>16.735921359033526</v>
      </c>
      <c r="M1477" s="60">
        <f>$J$1477-EFEITO!$K$1477*EFEITO!$Y$1477</f>
        <v>0</v>
      </c>
      <c r="N1477" s="60">
        <f ca="1">$K$1477-EFEITO!$M$1477*EFEITO!$Z$1477</f>
        <v>3.0082412529087037</v>
      </c>
      <c r="O1477" s="60">
        <f>$L$1477-EFEITO!$O$1477*EFEITO!$AA$1477</f>
        <v>1.0041552815420118</v>
      </c>
      <c r="P1477" s="18"/>
      <c r="Q1477" s="18"/>
      <c r="R1477" s="18"/>
      <c r="S1477" s="18"/>
      <c r="T1477" s="18"/>
      <c r="U1477" s="18"/>
      <c r="V1477" s="18"/>
      <c r="W1477" s="18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</row>
    <row r="1478" spans="1:36" ht="11.25" customHeight="1" x14ac:dyDescent="0.2">
      <c r="A1478" s="51" t="s">
        <v>21</v>
      </c>
      <c r="B1478" s="51" t="s">
        <v>44</v>
      </c>
      <c r="C1478" s="51" t="s">
        <v>33</v>
      </c>
      <c r="D1478" s="51" t="s">
        <v>45</v>
      </c>
      <c r="E1478" s="51" t="s">
        <v>53</v>
      </c>
      <c r="F1478" s="51" t="s">
        <v>54</v>
      </c>
      <c r="G1478" s="51" t="s">
        <v>25</v>
      </c>
      <c r="H1478" s="51" t="s">
        <v>36</v>
      </c>
      <c r="I1478" s="59">
        <v>44501</v>
      </c>
      <c r="J1478" s="60">
        <f>EFEITO!$J$1478*EFEITO!$Y$1478/(1-CUSTOS!$M$38)</f>
        <v>0</v>
      </c>
      <c r="K1478" s="60">
        <f ca="1">EFEITO!$L$1478*EFEITO!$Z$1478/(1-CUSTOS!$M$38)</f>
        <v>50.137354215145038</v>
      </c>
      <c r="L1478" s="60">
        <f>EFEITO!$N$1478*EFEITO!$AA$1478/(1-CUSTOS!$M$38)</f>
        <v>16.735921359033526</v>
      </c>
      <c r="M1478" s="60">
        <f>$J$1478-EFEITO!$K$1478*EFEITO!$Y$1478</f>
        <v>0</v>
      </c>
      <c r="N1478" s="60">
        <f ca="1">$K$1478-EFEITO!$M$1478*EFEITO!$Z$1478</f>
        <v>3.0082412529087037</v>
      </c>
      <c r="O1478" s="60">
        <f>$L$1478-EFEITO!$O$1478*EFEITO!$AA$1478</f>
        <v>1.0041552815420118</v>
      </c>
      <c r="P1478" s="18"/>
      <c r="Q1478" s="18"/>
      <c r="R1478" s="18"/>
      <c r="S1478" s="18"/>
      <c r="T1478" s="18"/>
      <c r="U1478" s="18"/>
      <c r="V1478" s="18"/>
      <c r="W1478" s="18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</row>
    <row r="1479" spans="1:36" ht="11.25" customHeight="1" x14ac:dyDescent="0.2">
      <c r="A1479" s="51" t="s">
        <v>21</v>
      </c>
      <c r="B1479" s="51" t="s">
        <v>44</v>
      </c>
      <c r="C1479" s="51" t="s">
        <v>33</v>
      </c>
      <c r="D1479" s="51" t="s">
        <v>45</v>
      </c>
      <c r="E1479" s="51" t="s">
        <v>53</v>
      </c>
      <c r="F1479" s="51" t="s">
        <v>54</v>
      </c>
      <c r="G1479" s="51" t="s">
        <v>25</v>
      </c>
      <c r="H1479" s="51" t="s">
        <v>36</v>
      </c>
      <c r="I1479" s="59">
        <v>44531</v>
      </c>
      <c r="J1479" s="60">
        <f>EFEITO!$J$1479*EFEITO!$Y$1479/(1-CUSTOS!$M$38)</f>
        <v>0</v>
      </c>
      <c r="K1479" s="60">
        <f ca="1">EFEITO!$L$1479*EFEITO!$Z$1479/(1-CUSTOS!$M$38)</f>
        <v>116.98715983533843</v>
      </c>
      <c r="L1479" s="60">
        <f>EFEITO!$N$1479*EFEITO!$AA$1479/(1-CUSTOS!$M$38)</f>
        <v>39.050483171078234</v>
      </c>
      <c r="M1479" s="60">
        <f>$J$1479-EFEITO!$K$1479*EFEITO!$Y$1479</f>
        <v>0</v>
      </c>
      <c r="N1479" s="60">
        <f ca="1">$K$1479-EFEITO!$M$1479*EFEITO!$Z$1479</f>
        <v>7.0192295901203181</v>
      </c>
      <c r="O1479" s="60">
        <f>$L$1479-EFEITO!$O$1479*EFEITO!$AA$1479</f>
        <v>2.343028990264699</v>
      </c>
      <c r="P1479" s="18"/>
      <c r="Q1479" s="18"/>
      <c r="R1479" s="18"/>
      <c r="S1479" s="18"/>
      <c r="T1479" s="18"/>
      <c r="U1479" s="18"/>
      <c r="V1479" s="18"/>
      <c r="W1479" s="18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</row>
    <row r="1480" spans="1:36" ht="11.25" customHeight="1" x14ac:dyDescent="0.2">
      <c r="A1480" s="51" t="s">
        <v>21</v>
      </c>
      <c r="B1480" s="51" t="s">
        <v>44</v>
      </c>
      <c r="C1480" s="51" t="s">
        <v>33</v>
      </c>
      <c r="D1480" s="51" t="s">
        <v>45</v>
      </c>
      <c r="E1480" s="51" t="s">
        <v>53</v>
      </c>
      <c r="F1480" s="51" t="s">
        <v>54</v>
      </c>
      <c r="G1480" s="51" t="s">
        <v>25</v>
      </c>
      <c r="H1480" s="51" t="s">
        <v>36</v>
      </c>
      <c r="I1480" s="59">
        <v>44562</v>
      </c>
      <c r="J1480" s="60">
        <f>EFEITO!$J$1480*EFEITO!$Y$1480/(1-CUSTOS!$M$38)</f>
        <v>0</v>
      </c>
      <c r="K1480" s="60">
        <f ca="1">EFEITO!$L$1480*EFEITO!$Z$1480/(1-CUSTOS!$M$38)</f>
        <v>13.369961124038678</v>
      </c>
      <c r="L1480" s="60">
        <f>EFEITO!$N$1480*EFEITO!$AA$1480/(1-CUSTOS!$M$38)</f>
        <v>4.4629123624089413</v>
      </c>
      <c r="M1480" s="60">
        <f>$J$1480-EFEITO!$K$1480*EFEITO!$Y$1480</f>
        <v>0</v>
      </c>
      <c r="N1480" s="60">
        <f ca="1">$K$1480-EFEITO!$M$1480*EFEITO!$Z$1480</f>
        <v>0.80219766744232146</v>
      </c>
      <c r="O1480" s="60">
        <f>$L$1480-EFEITO!$O$1480*EFEITO!$AA$1480</f>
        <v>0.26777474174453708</v>
      </c>
      <c r="P1480" s="18"/>
      <c r="Q1480" s="18"/>
      <c r="R1480" s="18"/>
      <c r="S1480" s="18"/>
      <c r="T1480" s="18"/>
      <c r="U1480" s="18"/>
      <c r="V1480" s="18"/>
      <c r="W1480" s="18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</row>
    <row r="1481" spans="1:36" ht="11.25" customHeight="1" x14ac:dyDescent="0.2">
      <c r="A1481" s="51" t="s">
        <v>21</v>
      </c>
      <c r="B1481" s="51" t="s">
        <v>44</v>
      </c>
      <c r="C1481" s="51" t="s">
        <v>33</v>
      </c>
      <c r="D1481" s="51" t="s">
        <v>45</v>
      </c>
      <c r="E1481" s="51" t="s">
        <v>53</v>
      </c>
      <c r="F1481" s="51" t="s">
        <v>54</v>
      </c>
      <c r="G1481" s="51" t="s">
        <v>25</v>
      </c>
      <c r="H1481" s="51" t="s">
        <v>34</v>
      </c>
      <c r="I1481" s="59">
        <v>44531</v>
      </c>
      <c r="J1481" s="60">
        <f>EFEITO!$J$1481*EFEITO!$Y$1481/(1-CUSTOS!$M$38)</f>
        <v>0</v>
      </c>
      <c r="K1481" s="60">
        <f ca="1">EFEITO!$L$1481*EFEITO!$Z$1481/(1-CUSTOS!$M$38)</f>
        <v>42.18124211135796</v>
      </c>
      <c r="L1481" s="60">
        <f>EFEITO!$N$1481*EFEITO!$AA$1481/(1-CUSTOS!$M$38)</f>
        <v>14.462005367364617</v>
      </c>
      <c r="M1481" s="60">
        <f>$J$1481-EFEITO!$K$1481*EFEITO!$Y$1481</f>
        <v>0</v>
      </c>
      <c r="N1481" s="60">
        <f ca="1">$K$1481-EFEITO!$M$1481*EFEITO!$Z$1481</f>
        <v>2.5308745266814796</v>
      </c>
      <c r="O1481" s="60">
        <f>$L$1481-EFEITO!$O$1481*EFEITO!$AA$1481</f>
        <v>0.86772032204187788</v>
      </c>
      <c r="P1481" s="18"/>
      <c r="Q1481" s="18"/>
      <c r="R1481" s="18"/>
      <c r="S1481" s="18"/>
      <c r="T1481" s="18"/>
      <c r="U1481" s="18"/>
      <c r="V1481" s="18"/>
      <c r="W1481" s="18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</row>
    <row r="1482" spans="1:36" ht="11.25" customHeight="1" x14ac:dyDescent="0.2">
      <c r="A1482" s="51" t="s">
        <v>21</v>
      </c>
      <c r="B1482" s="51" t="s">
        <v>44</v>
      </c>
      <c r="C1482" s="51" t="s">
        <v>33</v>
      </c>
      <c r="D1482" s="51" t="s">
        <v>45</v>
      </c>
      <c r="E1482" s="51" t="s">
        <v>53</v>
      </c>
      <c r="F1482" s="51" t="s">
        <v>54</v>
      </c>
      <c r="G1482" s="51" t="s">
        <v>25</v>
      </c>
      <c r="H1482" s="51" t="s">
        <v>34</v>
      </c>
      <c r="I1482" s="59">
        <v>44562</v>
      </c>
      <c r="J1482" s="60">
        <f>EFEITO!$J$1482*EFEITO!$Y$1482/(1-CUSTOS!$M$38)</f>
        <v>0</v>
      </c>
      <c r="K1482" s="60">
        <f ca="1">EFEITO!$L$1482*EFEITO!$Z$1482/(1-CUSTOS!$M$38)</f>
        <v>42.18124211135796</v>
      </c>
      <c r="L1482" s="60">
        <f>EFEITO!$N$1482*EFEITO!$AA$1482/(1-CUSTOS!$M$38)</f>
        <v>14.462005367364617</v>
      </c>
      <c r="M1482" s="60">
        <f>$J$1482-EFEITO!$K$1482*EFEITO!$Y$1482</f>
        <v>0</v>
      </c>
      <c r="N1482" s="60">
        <f ca="1">$K$1482-EFEITO!$M$1482*EFEITO!$Z$1482</f>
        <v>2.5308745266814796</v>
      </c>
      <c r="O1482" s="60">
        <f>$L$1482-EFEITO!$O$1482*EFEITO!$AA$1482</f>
        <v>0.86772032204187788</v>
      </c>
      <c r="P1482" s="18"/>
      <c r="Q1482" s="18"/>
      <c r="R1482" s="18"/>
      <c r="S1482" s="18"/>
      <c r="T1482" s="18"/>
      <c r="U1482" s="18"/>
      <c r="V1482" s="18"/>
      <c r="W1482" s="18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</row>
    <row r="1483" spans="1:36" ht="11.25" customHeight="1" x14ac:dyDescent="0.2">
      <c r="A1483" s="51" t="s">
        <v>21</v>
      </c>
      <c r="B1483" s="51" t="s">
        <v>44</v>
      </c>
      <c r="C1483" s="51" t="s">
        <v>33</v>
      </c>
      <c r="D1483" s="51" t="s">
        <v>45</v>
      </c>
      <c r="E1483" s="51" t="s">
        <v>53</v>
      </c>
      <c r="F1483" s="51" t="s">
        <v>55</v>
      </c>
      <c r="G1483" s="51" t="s">
        <v>25</v>
      </c>
      <c r="H1483" s="51" t="s">
        <v>35</v>
      </c>
      <c r="I1483" s="59">
        <v>44593</v>
      </c>
      <c r="J1483" s="60">
        <f>EFEITO!$J$1483*EFEITO!$Y$1483/(1-CUSTOS!$M$38)</f>
        <v>0</v>
      </c>
      <c r="K1483" s="60">
        <f ca="1">EFEITO!$L$1483*EFEITO!$Z$1483/(1-CUSTOS!$M$38)</f>
        <v>11874.812145936881</v>
      </c>
      <c r="L1483" s="60">
        <f>EFEITO!$N$1483*EFEITO!$AA$1483/(1-CUSTOS!$M$38)</f>
        <v>9381.0417857835928</v>
      </c>
      <c r="M1483" s="60">
        <f>$J$1483-EFEITO!$K$1483*EFEITO!$Y$1483</f>
        <v>0</v>
      </c>
      <c r="N1483" s="60">
        <f ca="1">$K$1483-EFEITO!$M$1483*EFEITO!$Z$1483</f>
        <v>10758.579804218814</v>
      </c>
      <c r="O1483" s="60">
        <f>$L$1483-EFEITO!$O$1483*EFEITO!$AA$1483</f>
        <v>8499.2238579199347</v>
      </c>
      <c r="P1483" s="18"/>
      <c r="Q1483" s="18"/>
      <c r="R1483" s="18"/>
      <c r="S1483" s="18"/>
      <c r="T1483" s="18"/>
      <c r="U1483" s="18"/>
      <c r="V1483" s="18"/>
      <c r="W1483" s="18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</row>
    <row r="1484" spans="1:36" ht="11.25" customHeight="1" x14ac:dyDescent="0.2">
      <c r="A1484" s="51" t="s">
        <v>27</v>
      </c>
      <c r="B1484" s="51" t="s">
        <v>44</v>
      </c>
      <c r="C1484" s="51" t="s">
        <v>33</v>
      </c>
      <c r="D1484" s="51" t="s">
        <v>45</v>
      </c>
      <c r="E1484" s="51" t="s">
        <v>53</v>
      </c>
      <c r="F1484" s="51" t="s">
        <v>55</v>
      </c>
      <c r="G1484" s="51" t="s">
        <v>25</v>
      </c>
      <c r="H1484" s="51" t="s">
        <v>35</v>
      </c>
      <c r="I1484" s="59">
        <v>44593</v>
      </c>
      <c r="J1484" s="60">
        <f>EFEITO!$J$1484*EFEITO!$Y$1484/(1-CUSTOS!$M$38)</f>
        <v>0</v>
      </c>
      <c r="K1484" s="60">
        <f ca="1">EFEITO!$L$1484*EFEITO!$Z$1484/(1-CUSTOS!$M$38)</f>
        <v>10349.503259446416</v>
      </c>
      <c r="L1484" s="60">
        <f>EFEITO!$N$1484*EFEITO!$AA$1484/(1-CUSTOS!$M$38)</f>
        <v>8176.0554479331795</v>
      </c>
      <c r="M1484" s="60">
        <f>$J$1484-EFEITO!$K$1484*EFEITO!$Y$1484</f>
        <v>0</v>
      </c>
      <c r="N1484" s="60">
        <f ca="1">$K$1484-EFEITO!$M$1484*EFEITO!$Z$1484</f>
        <v>620.97019556678606</v>
      </c>
      <c r="O1484" s="60">
        <f>$L$1484-EFEITO!$O$1484*EFEITO!$AA$1484</f>
        <v>490.56332687599115</v>
      </c>
      <c r="P1484" s="18"/>
      <c r="Q1484" s="18"/>
      <c r="R1484" s="18"/>
      <c r="S1484" s="18"/>
      <c r="T1484" s="18"/>
      <c r="U1484" s="18"/>
      <c r="V1484" s="18"/>
      <c r="W1484" s="18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</row>
    <row r="1485" spans="1:36" ht="11.25" customHeight="1" x14ac:dyDescent="0.2">
      <c r="A1485" s="51" t="s">
        <v>56</v>
      </c>
      <c r="B1485" s="51" t="s">
        <v>44</v>
      </c>
      <c r="C1485" s="51" t="s">
        <v>33</v>
      </c>
      <c r="D1485" s="51" t="s">
        <v>45</v>
      </c>
      <c r="E1485" s="51" t="s">
        <v>53</v>
      </c>
      <c r="F1485" s="51" t="s">
        <v>55</v>
      </c>
      <c r="G1485" s="51" t="s">
        <v>25</v>
      </c>
      <c r="H1485" s="51" t="s">
        <v>35</v>
      </c>
      <c r="I1485" s="59">
        <v>44621</v>
      </c>
      <c r="J1485" s="60">
        <f>EFEITO!$J$1485*EFEITO!$Y$1485/(1-CUSTOS!$M$38)</f>
        <v>0</v>
      </c>
      <c r="K1485" s="60">
        <f ca="1">EFEITO!$L$1485*EFEITO!$Z$1485/(1-CUSTOS!$M$38)</f>
        <v>11874.812145936881</v>
      </c>
      <c r="L1485" s="60">
        <f>EFEITO!$N$1485*EFEITO!$AA$1485/(1-CUSTOS!$M$38)</f>
        <v>9381.0417857835928</v>
      </c>
      <c r="M1485" s="60">
        <f>$J$1485-EFEITO!$K$1485*EFEITO!$Y$1485</f>
        <v>0</v>
      </c>
      <c r="N1485" s="60">
        <f ca="1">$K$1485-EFEITO!$M$1485*EFEITO!$Z$1485</f>
        <v>10758.579804218814</v>
      </c>
      <c r="O1485" s="60">
        <f>$L$1485-EFEITO!$O$1485*EFEITO!$AA$1485</f>
        <v>8499.2238579199347</v>
      </c>
      <c r="P1485" s="18"/>
      <c r="Q1485" s="18"/>
      <c r="R1485" s="18"/>
      <c r="S1485" s="18"/>
      <c r="T1485" s="18"/>
      <c r="U1485" s="18"/>
      <c r="V1485" s="18"/>
      <c r="W1485" s="18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</row>
    <row r="1486" spans="1:36" ht="11.25" customHeight="1" x14ac:dyDescent="0.2">
      <c r="A1486" s="51" t="s">
        <v>56</v>
      </c>
      <c r="B1486" s="51" t="s">
        <v>44</v>
      </c>
      <c r="C1486" s="51" t="s">
        <v>33</v>
      </c>
      <c r="D1486" s="51" t="s">
        <v>45</v>
      </c>
      <c r="E1486" s="51" t="s">
        <v>53</v>
      </c>
      <c r="F1486" s="51" t="s">
        <v>55</v>
      </c>
      <c r="G1486" s="51" t="s">
        <v>25</v>
      </c>
      <c r="H1486" s="51" t="s">
        <v>35</v>
      </c>
      <c r="I1486" s="59">
        <v>44621</v>
      </c>
      <c r="J1486" s="60">
        <f>EFEITO!$J$1486*EFEITO!$Y$1486/(1-CUSTOS!$M$38)</f>
        <v>0</v>
      </c>
      <c r="K1486" s="60">
        <f ca="1">EFEITO!$L$1486*EFEITO!$Z$1486/(1-CUSTOS!$M$38)</f>
        <v>10349.503259446416</v>
      </c>
      <c r="L1486" s="60">
        <f>EFEITO!$N$1486*EFEITO!$AA$1486/(1-CUSTOS!$M$38)</f>
        <v>8176.0554479331795</v>
      </c>
      <c r="M1486" s="60">
        <f>$J$1486-EFEITO!$K$1486*EFEITO!$Y$1486</f>
        <v>0</v>
      </c>
      <c r="N1486" s="60">
        <f ca="1">$K$1486-EFEITO!$M$1486*EFEITO!$Z$1486</f>
        <v>620.97019556678606</v>
      </c>
      <c r="O1486" s="60">
        <f>$L$1486-EFEITO!$O$1486*EFEITO!$AA$1486</f>
        <v>490.56332687599115</v>
      </c>
      <c r="P1486" s="18"/>
      <c r="Q1486" s="18"/>
      <c r="R1486" s="18"/>
      <c r="S1486" s="18"/>
      <c r="T1486" s="18"/>
      <c r="U1486" s="18"/>
      <c r="V1486" s="18"/>
      <c r="W1486" s="18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</row>
    <row r="1487" spans="1:36" ht="11.25" customHeight="1" x14ac:dyDescent="0.2">
      <c r="A1487" s="51" t="s">
        <v>21</v>
      </c>
      <c r="B1487" s="51" t="s">
        <v>44</v>
      </c>
      <c r="C1487" s="51" t="s">
        <v>33</v>
      </c>
      <c r="D1487" s="51" t="s">
        <v>45</v>
      </c>
      <c r="E1487" s="51" t="s">
        <v>25</v>
      </c>
      <c r="F1487" s="51" t="s">
        <v>25</v>
      </c>
      <c r="G1487" s="51" t="s">
        <v>25</v>
      </c>
      <c r="H1487" s="51" t="s">
        <v>35</v>
      </c>
      <c r="I1487" s="59">
        <v>44287</v>
      </c>
      <c r="J1487" s="60">
        <f>EFEITO!$J$1487*EFEITO!$Y$1487/(1-CUSTOS!$M$38)</f>
        <v>0</v>
      </c>
      <c r="K1487" s="60">
        <f ca="1">EFEITO!$L$1487*EFEITO!$Z$1487/(1-CUSTOS!$M$38)</f>
        <v>514.08558766900865</v>
      </c>
      <c r="L1487" s="60">
        <f>EFEITO!$N$1487*EFEITO!$AA$1487/(1-CUSTOS!$M$38)</f>
        <v>406.12502497921361</v>
      </c>
      <c r="M1487" s="60">
        <f>$J$1487-EFEITO!$K$1487*EFEITO!$Y$1487</f>
        <v>0</v>
      </c>
      <c r="N1487" s="60">
        <f ca="1">$K$1487-EFEITO!$M$1487*EFEITO!$Z$1487</f>
        <v>30.84513526014058</v>
      </c>
      <c r="O1487" s="60">
        <f>$L$1487-EFEITO!$O$1487*EFEITO!$AA$1487</f>
        <v>24.367501498752858</v>
      </c>
      <c r="P1487" s="18"/>
      <c r="Q1487" s="18"/>
      <c r="R1487" s="18"/>
      <c r="S1487" s="18"/>
      <c r="T1487" s="18"/>
      <c r="U1487" s="18"/>
      <c r="V1487" s="18"/>
      <c r="W1487" s="18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</row>
    <row r="1488" spans="1:36" ht="11.25" customHeight="1" x14ac:dyDescent="0.2">
      <c r="A1488" s="51" t="s">
        <v>21</v>
      </c>
      <c r="B1488" s="51" t="s">
        <v>44</v>
      </c>
      <c r="C1488" s="51" t="s">
        <v>33</v>
      </c>
      <c r="D1488" s="51" t="s">
        <v>45</v>
      </c>
      <c r="E1488" s="51" t="s">
        <v>25</v>
      </c>
      <c r="F1488" s="51" t="s">
        <v>25</v>
      </c>
      <c r="G1488" s="51" t="s">
        <v>25</v>
      </c>
      <c r="H1488" s="51" t="s">
        <v>35</v>
      </c>
      <c r="I1488" s="59">
        <v>44317</v>
      </c>
      <c r="J1488" s="60">
        <f>EFEITO!$J$1488*EFEITO!$Y$1488/(1-CUSTOS!$M$38)</f>
        <v>0</v>
      </c>
      <c r="K1488" s="60">
        <f ca="1">EFEITO!$L$1488*EFEITO!$Z$1488/(1-CUSTOS!$M$38)</f>
        <v>226.81908071330437</v>
      </c>
      <c r="L1488" s="60">
        <f>EFEITO!$N$1488*EFEITO!$AA$1488/(1-CUSTOS!$M$38)</f>
        <v>179.18593135071899</v>
      </c>
      <c r="M1488" s="60">
        <f>$J$1488-EFEITO!$K$1488*EFEITO!$Y$1488</f>
        <v>0</v>
      </c>
      <c r="N1488" s="60">
        <f ca="1">$K$1488-EFEITO!$M$1488*EFEITO!$Z$1488</f>
        <v>13.609144842798287</v>
      </c>
      <c r="O1488" s="60">
        <f>$L$1488-EFEITO!$O$1488*EFEITO!$AA$1488</f>
        <v>10.751155881043161</v>
      </c>
      <c r="P1488" s="18"/>
      <c r="Q1488" s="18"/>
      <c r="R1488" s="18"/>
      <c r="S1488" s="18"/>
      <c r="T1488" s="18"/>
      <c r="U1488" s="18"/>
      <c r="V1488" s="18"/>
      <c r="W1488" s="18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</row>
    <row r="1489" spans="1:36" ht="11.25" customHeight="1" x14ac:dyDescent="0.2">
      <c r="A1489" s="51" t="s">
        <v>21</v>
      </c>
      <c r="B1489" s="51" t="s">
        <v>44</v>
      </c>
      <c r="C1489" s="51" t="s">
        <v>33</v>
      </c>
      <c r="D1489" s="51" t="s">
        <v>45</v>
      </c>
      <c r="E1489" s="51" t="s">
        <v>25</v>
      </c>
      <c r="F1489" s="51" t="s">
        <v>25</v>
      </c>
      <c r="G1489" s="51" t="s">
        <v>25</v>
      </c>
      <c r="H1489" s="51" t="s">
        <v>35</v>
      </c>
      <c r="I1489" s="59">
        <v>44348</v>
      </c>
      <c r="J1489" s="60">
        <f>EFEITO!$J$1489*EFEITO!$Y$1489/(1-CUSTOS!$M$38)</f>
        <v>0</v>
      </c>
      <c r="K1489" s="60">
        <f ca="1">EFEITO!$L$1489*EFEITO!$Z$1489/(1-CUSTOS!$M$38)</f>
        <v>262.12715678947251</v>
      </c>
      <c r="L1489" s="60">
        <f>EFEITO!$N$1489*EFEITO!$AA$1489/(1-CUSTOS!$M$38)</f>
        <v>207.07913361577485</v>
      </c>
      <c r="M1489" s="60">
        <f>$J$1489-EFEITO!$K$1489*EFEITO!$Y$1489</f>
        <v>0</v>
      </c>
      <c r="N1489" s="60">
        <f ca="1">$K$1489-EFEITO!$M$1489*EFEITO!$Z$1489</f>
        <v>15.72762940736834</v>
      </c>
      <c r="O1489" s="60">
        <f>$L$1489-EFEITO!$O$1489*EFEITO!$AA$1489</f>
        <v>12.424748016946495</v>
      </c>
      <c r="P1489" s="18"/>
      <c r="Q1489" s="18"/>
      <c r="R1489" s="18"/>
      <c r="S1489" s="18"/>
      <c r="T1489" s="18"/>
      <c r="U1489" s="18"/>
      <c r="V1489" s="18"/>
      <c r="W1489" s="18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</row>
    <row r="1490" spans="1:36" ht="11.25" customHeight="1" x14ac:dyDescent="0.2">
      <c r="A1490" s="51" t="s">
        <v>21</v>
      </c>
      <c r="B1490" s="51" t="s">
        <v>44</v>
      </c>
      <c r="C1490" s="51" t="s">
        <v>33</v>
      </c>
      <c r="D1490" s="51" t="s">
        <v>45</v>
      </c>
      <c r="E1490" s="51" t="s">
        <v>25</v>
      </c>
      <c r="F1490" s="51" t="s">
        <v>25</v>
      </c>
      <c r="G1490" s="51" t="s">
        <v>25</v>
      </c>
      <c r="H1490" s="51" t="s">
        <v>35</v>
      </c>
      <c r="I1490" s="59">
        <v>44378</v>
      </c>
      <c r="J1490" s="60">
        <f>EFEITO!$J$1490*EFEITO!$Y$1490/(1-CUSTOS!$M$38)</f>
        <v>0</v>
      </c>
      <c r="K1490" s="60">
        <f ca="1">EFEITO!$L$1490*EFEITO!$Z$1490/(1-CUSTOS!$M$38)</f>
        <v>157.05032238679607</v>
      </c>
      <c r="L1490" s="60">
        <f>EFEITO!$N$1490*EFEITO!$AA$1490/(1-CUSTOS!$M$38)</f>
        <v>124.06896367496856</v>
      </c>
      <c r="M1490" s="60">
        <f>$J$1490-EFEITO!$K$1490*EFEITO!$Y$1490</f>
        <v>0</v>
      </c>
      <c r="N1490" s="60">
        <f ca="1">$K$1490-EFEITO!$M$1490*EFEITO!$Z$1490</f>
        <v>9.423019343207784</v>
      </c>
      <c r="O1490" s="60">
        <f>$L$1490-EFEITO!$O$1490*EFEITO!$AA$1490</f>
        <v>7.4441378204981135</v>
      </c>
      <c r="P1490" s="18"/>
      <c r="Q1490" s="18"/>
      <c r="R1490" s="18"/>
      <c r="S1490" s="18"/>
      <c r="T1490" s="18"/>
      <c r="U1490" s="18"/>
      <c r="V1490" s="18"/>
      <c r="W1490" s="18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</row>
    <row r="1491" spans="1:36" ht="11.25" customHeight="1" x14ac:dyDescent="0.2">
      <c r="A1491" s="51" t="s">
        <v>21</v>
      </c>
      <c r="B1491" s="51" t="s">
        <v>44</v>
      </c>
      <c r="C1491" s="51" t="s">
        <v>33</v>
      </c>
      <c r="D1491" s="51" t="s">
        <v>45</v>
      </c>
      <c r="E1491" s="51" t="s">
        <v>25</v>
      </c>
      <c r="F1491" s="51" t="s">
        <v>25</v>
      </c>
      <c r="G1491" s="51" t="s">
        <v>25</v>
      </c>
      <c r="H1491" s="51" t="s">
        <v>35</v>
      </c>
      <c r="I1491" s="59">
        <v>44409</v>
      </c>
      <c r="J1491" s="60">
        <f>EFEITO!$J$1491*EFEITO!$Y$1491/(1-CUSTOS!$M$38)</f>
        <v>0</v>
      </c>
      <c r="K1491" s="60">
        <f ca="1">EFEITO!$L$1491*EFEITO!$Z$1491/(1-CUSTOS!$M$38)</f>
        <v>214.39063793449313</v>
      </c>
      <c r="L1491" s="60">
        <f>EFEITO!$N$1491*EFEITO!$AA$1491/(1-CUSTOS!$M$38)</f>
        <v>169.36752415341928</v>
      </c>
      <c r="M1491" s="60">
        <f>$J$1491-EFEITO!$K$1491*EFEITO!$Y$1491</f>
        <v>0</v>
      </c>
      <c r="N1491" s="60">
        <f ca="1">$K$1491-EFEITO!$M$1491*EFEITO!$Z$1491</f>
        <v>12.863438276069587</v>
      </c>
      <c r="O1491" s="60">
        <f>$L$1491-EFEITO!$O$1491*EFEITO!$AA$1491</f>
        <v>10.162051449205165</v>
      </c>
      <c r="P1491" s="18"/>
      <c r="Q1491" s="18"/>
      <c r="R1491" s="18"/>
      <c r="S1491" s="18"/>
      <c r="T1491" s="18"/>
      <c r="U1491" s="18"/>
      <c r="V1491" s="18"/>
      <c r="W1491" s="18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</row>
    <row r="1492" spans="1:36" ht="11.25" customHeight="1" x14ac:dyDescent="0.2">
      <c r="A1492" s="51" t="s">
        <v>21</v>
      </c>
      <c r="B1492" s="51" t="s">
        <v>44</v>
      </c>
      <c r="C1492" s="51" t="s">
        <v>33</v>
      </c>
      <c r="D1492" s="51" t="s">
        <v>45</v>
      </c>
      <c r="E1492" s="51" t="s">
        <v>25</v>
      </c>
      <c r="F1492" s="51" t="s">
        <v>25</v>
      </c>
      <c r="G1492" s="51" t="s">
        <v>25</v>
      </c>
      <c r="H1492" s="51" t="s">
        <v>35</v>
      </c>
      <c r="I1492" s="59">
        <v>44440</v>
      </c>
      <c r="J1492" s="60">
        <f>EFEITO!$J$1492*EFEITO!$Y$1492/(1-CUSTOS!$M$38)</f>
        <v>0</v>
      </c>
      <c r="K1492" s="60">
        <f ca="1">EFEITO!$L$1492*EFEITO!$Z$1492/(1-CUSTOS!$M$38)</f>
        <v>530.18607035974128</v>
      </c>
      <c r="L1492" s="60">
        <f>EFEITO!$N$1492*EFEITO!$AA$1492/(1-CUSTOS!$M$38)</f>
        <v>418.84432521207907</v>
      </c>
      <c r="M1492" s="60">
        <f>$J$1492-EFEITO!$K$1492*EFEITO!$Y$1492</f>
        <v>0</v>
      </c>
      <c r="N1492" s="60">
        <f ca="1">$K$1492-EFEITO!$M$1492*EFEITO!$Z$1492</f>
        <v>31.811164221584477</v>
      </c>
      <c r="O1492" s="60">
        <f>$L$1492-EFEITO!$O$1492*EFEITO!$AA$1492</f>
        <v>25.130659512724776</v>
      </c>
      <c r="P1492" s="18"/>
      <c r="Q1492" s="18"/>
      <c r="R1492" s="18"/>
      <c r="S1492" s="18"/>
      <c r="T1492" s="18"/>
      <c r="U1492" s="18"/>
      <c r="V1492" s="18"/>
      <c r="W1492" s="18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</row>
    <row r="1493" spans="1:36" ht="11.25" customHeight="1" x14ac:dyDescent="0.2">
      <c r="A1493" s="51" t="s">
        <v>21</v>
      </c>
      <c r="B1493" s="51" t="s">
        <v>44</v>
      </c>
      <c r="C1493" s="51" t="s">
        <v>33</v>
      </c>
      <c r="D1493" s="51" t="s">
        <v>45</v>
      </c>
      <c r="E1493" s="51" t="s">
        <v>25</v>
      </c>
      <c r="F1493" s="51" t="s">
        <v>25</v>
      </c>
      <c r="G1493" s="51" t="s">
        <v>25</v>
      </c>
      <c r="H1493" s="51" t="s">
        <v>35</v>
      </c>
      <c r="I1493" s="59">
        <v>44470</v>
      </c>
      <c r="J1493" s="60">
        <f>EFEITO!$J$1493*EFEITO!$Y$1493/(1-CUSTOS!$M$38)</f>
        <v>0</v>
      </c>
      <c r="K1493" s="60">
        <f ca="1">EFEITO!$L$1493*EFEITO!$Z$1493/(1-CUSTOS!$M$38)</f>
        <v>609.55862537896724</v>
      </c>
      <c r="L1493" s="60">
        <f>EFEITO!$N$1493*EFEITO!$AA$1493/(1-CUSTOS!$M$38)</f>
        <v>481.54824390392469</v>
      </c>
      <c r="M1493" s="60">
        <f>$J$1493-EFEITO!$K$1493*EFEITO!$Y$1493</f>
        <v>0</v>
      </c>
      <c r="N1493" s="60">
        <f ca="1">$K$1493-EFEITO!$M$1493*EFEITO!$Z$1493</f>
        <v>36.57351752273803</v>
      </c>
      <c r="O1493" s="60">
        <f>$L$1493-EFEITO!$O$1493*EFEITO!$AA$1493</f>
        <v>28.892894634235518</v>
      </c>
      <c r="P1493" s="18"/>
      <c r="Q1493" s="18"/>
      <c r="R1493" s="18"/>
      <c r="S1493" s="18"/>
      <c r="T1493" s="18"/>
      <c r="U1493" s="18"/>
      <c r="V1493" s="18"/>
      <c r="W1493" s="18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</row>
    <row r="1494" spans="1:36" ht="11.25" customHeight="1" x14ac:dyDescent="0.2">
      <c r="A1494" s="51" t="s">
        <v>21</v>
      </c>
      <c r="B1494" s="51" t="s">
        <v>44</v>
      </c>
      <c r="C1494" s="51" t="s">
        <v>33</v>
      </c>
      <c r="D1494" s="51" t="s">
        <v>45</v>
      </c>
      <c r="E1494" s="51" t="s">
        <v>25</v>
      </c>
      <c r="F1494" s="51" t="s">
        <v>25</v>
      </c>
      <c r="G1494" s="51" t="s">
        <v>25</v>
      </c>
      <c r="H1494" s="51" t="s">
        <v>35</v>
      </c>
      <c r="I1494" s="59">
        <v>44501</v>
      </c>
      <c r="J1494" s="60">
        <f>EFEITO!$J$1494*EFEITO!$Y$1494/(1-CUSTOS!$M$38)</f>
        <v>0</v>
      </c>
      <c r="K1494" s="60">
        <f ca="1">EFEITO!$L$1494*EFEITO!$Z$1494/(1-CUSTOS!$M$38)</f>
        <v>458.72252438157693</v>
      </c>
      <c r="L1494" s="60">
        <f>EFEITO!$N$1494*EFEITO!$AA$1494/(1-CUSTOS!$M$38)</f>
        <v>362.38848382760597</v>
      </c>
      <c r="M1494" s="60">
        <f>$J$1494-EFEITO!$K$1494*EFEITO!$Y$1494</f>
        <v>0</v>
      </c>
      <c r="N1494" s="60">
        <f ca="1">$K$1494-EFEITO!$M$1494*EFEITO!$Z$1494</f>
        <v>27.523351462894652</v>
      </c>
      <c r="O1494" s="60">
        <f>$L$1494-EFEITO!$O$1494*EFEITO!$AA$1494</f>
        <v>21.743309029656359</v>
      </c>
      <c r="P1494" s="18"/>
      <c r="Q1494" s="18"/>
      <c r="R1494" s="18"/>
      <c r="S1494" s="18"/>
      <c r="T1494" s="18"/>
      <c r="U1494" s="18"/>
      <c r="V1494" s="18"/>
      <c r="W1494" s="18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</row>
    <row r="1495" spans="1:36" ht="11.25" customHeight="1" x14ac:dyDescent="0.2">
      <c r="A1495" s="51" t="s">
        <v>21</v>
      </c>
      <c r="B1495" s="51" t="s">
        <v>44</v>
      </c>
      <c r="C1495" s="51" t="s">
        <v>33</v>
      </c>
      <c r="D1495" s="51" t="s">
        <v>45</v>
      </c>
      <c r="E1495" s="51" t="s">
        <v>25</v>
      </c>
      <c r="F1495" s="51" t="s">
        <v>25</v>
      </c>
      <c r="G1495" s="51" t="s">
        <v>25</v>
      </c>
      <c r="H1495" s="51" t="s">
        <v>35</v>
      </c>
      <c r="I1495" s="59">
        <v>44531</v>
      </c>
      <c r="J1495" s="60">
        <f>EFEITO!$J$1495*EFEITO!$Y$1495/(1-CUSTOS!$M$38)</f>
        <v>0</v>
      </c>
      <c r="K1495" s="60">
        <f ca="1">EFEITO!$L$1495*EFEITO!$Z$1495/(1-CUSTOS!$M$38)</f>
        <v>290.65608225901639</v>
      </c>
      <c r="L1495" s="60">
        <f>EFEITO!$N$1495*EFEITO!$AA$1495/(1-CUSTOS!$M$38)</f>
        <v>229.61684104593996</v>
      </c>
      <c r="M1495" s="60">
        <f>$J$1495-EFEITO!$K$1495*EFEITO!$Y$1495</f>
        <v>0</v>
      </c>
      <c r="N1495" s="60">
        <f ca="1">$K$1495-EFEITO!$M$1495*EFEITO!$Z$1495</f>
        <v>17.439364935540993</v>
      </c>
      <c r="O1495" s="60">
        <f>$L$1495-EFEITO!$O$1495*EFEITO!$AA$1495</f>
        <v>13.777010462756408</v>
      </c>
      <c r="P1495" s="18"/>
      <c r="Q1495" s="18"/>
      <c r="R1495" s="18"/>
      <c r="S1495" s="18"/>
      <c r="T1495" s="18"/>
      <c r="U1495" s="18"/>
      <c r="V1495" s="18"/>
      <c r="W1495" s="18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</row>
    <row r="1496" spans="1:36" ht="11.25" customHeight="1" x14ac:dyDescent="0.2">
      <c r="A1496" s="51" t="s">
        <v>21</v>
      </c>
      <c r="B1496" s="51" t="s">
        <v>44</v>
      </c>
      <c r="C1496" s="51" t="s">
        <v>33</v>
      </c>
      <c r="D1496" s="51" t="s">
        <v>45</v>
      </c>
      <c r="E1496" s="51" t="s">
        <v>25</v>
      </c>
      <c r="F1496" s="51" t="s">
        <v>25</v>
      </c>
      <c r="G1496" s="51" t="s">
        <v>25</v>
      </c>
      <c r="H1496" s="51" t="s">
        <v>35</v>
      </c>
      <c r="I1496" s="59">
        <v>44562</v>
      </c>
      <c r="J1496" s="60">
        <f>EFEITO!$J$1496*EFEITO!$Y$1496/(1-CUSTOS!$M$38)</f>
        <v>0</v>
      </c>
      <c r="K1496" s="60">
        <f ca="1">EFEITO!$L$1496*EFEITO!$Z$1496/(1-CUSTOS!$M$38)</f>
        <v>287.83143617292291</v>
      </c>
      <c r="L1496" s="60">
        <f>EFEITO!$N$1496*EFEITO!$AA$1496/(1-CUSTOS!$M$38)</f>
        <v>227.3853848647355</v>
      </c>
      <c r="M1496" s="60">
        <f>$J$1496-EFEITO!$K$1496*EFEITO!$Y$1496</f>
        <v>0</v>
      </c>
      <c r="N1496" s="60">
        <f ca="1">$K$1496-EFEITO!$M$1496*EFEITO!$Z$1496</f>
        <v>17.269886170375401</v>
      </c>
      <c r="O1496" s="60">
        <f>$L$1496-EFEITO!$O$1496*EFEITO!$AA$1496</f>
        <v>13.643123091884149</v>
      </c>
      <c r="P1496" s="18"/>
      <c r="Q1496" s="18"/>
      <c r="R1496" s="18"/>
      <c r="S1496" s="18"/>
      <c r="T1496" s="18"/>
      <c r="U1496" s="18"/>
      <c r="V1496" s="18"/>
      <c r="W1496" s="18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</row>
    <row r="1497" spans="1:36" ht="11.25" customHeight="1" x14ac:dyDescent="0.2">
      <c r="A1497" s="51" t="s">
        <v>21</v>
      </c>
      <c r="B1497" s="51" t="s">
        <v>44</v>
      </c>
      <c r="C1497" s="51" t="s">
        <v>33</v>
      </c>
      <c r="D1497" s="51" t="s">
        <v>45</v>
      </c>
      <c r="E1497" s="51" t="s">
        <v>25</v>
      </c>
      <c r="F1497" s="51" t="s">
        <v>25</v>
      </c>
      <c r="G1497" s="51" t="s">
        <v>25</v>
      </c>
      <c r="H1497" s="51" t="s">
        <v>35</v>
      </c>
      <c r="I1497" s="59">
        <v>44593</v>
      </c>
      <c r="J1497" s="60">
        <f>EFEITO!$J$1497*EFEITO!$Y$1497/(1-CUSTOS!$M$38)</f>
        <v>0</v>
      </c>
      <c r="K1497" s="60">
        <f ca="1">EFEITO!$L$1497*EFEITO!$Z$1497/(1-CUSTOS!$M$38)</f>
        <v>356.47033606499389</v>
      </c>
      <c r="L1497" s="60">
        <f>EFEITO!$N$1497*EFEITO!$AA$1497/(1-CUSTOS!$M$38)</f>
        <v>281.6097700680042</v>
      </c>
      <c r="M1497" s="60">
        <f>$J$1497-EFEITO!$K$1497*EFEITO!$Y$1497</f>
        <v>0</v>
      </c>
      <c r="N1497" s="60">
        <f ca="1">$K$1497-EFEITO!$M$1497*EFEITO!$Z$1497</f>
        <v>21.388220163899632</v>
      </c>
      <c r="O1497" s="60">
        <f>$L$1497-EFEITO!$O$1497*EFEITO!$AA$1497</f>
        <v>16.896586204080279</v>
      </c>
      <c r="P1497" s="18"/>
      <c r="Q1497" s="18"/>
      <c r="R1497" s="18"/>
      <c r="S1497" s="18"/>
      <c r="T1497" s="18"/>
      <c r="U1497" s="18"/>
      <c r="V1497" s="18"/>
      <c r="W1497" s="18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</row>
    <row r="1498" spans="1:36" ht="11.25" customHeight="1" x14ac:dyDescent="0.2">
      <c r="A1498" s="51" t="s">
        <v>56</v>
      </c>
      <c r="B1498" s="51" t="s">
        <v>44</v>
      </c>
      <c r="C1498" s="51" t="s">
        <v>33</v>
      </c>
      <c r="D1498" s="51" t="s">
        <v>45</v>
      </c>
      <c r="E1498" s="51" t="s">
        <v>25</v>
      </c>
      <c r="F1498" s="51" t="s">
        <v>25</v>
      </c>
      <c r="G1498" s="51" t="s">
        <v>25</v>
      </c>
      <c r="H1498" s="51" t="s">
        <v>35</v>
      </c>
      <c r="I1498" s="59">
        <v>44621</v>
      </c>
      <c r="J1498" s="60">
        <f>EFEITO!$J$1498*EFEITO!$Y$1498/(1-CUSTOS!$M$38)</f>
        <v>0</v>
      </c>
      <c r="K1498" s="60">
        <f ca="1">EFEITO!$L$1498*EFEITO!$Z$1498/(1-CUSTOS!$M$38)</f>
        <v>356.47033606499389</v>
      </c>
      <c r="L1498" s="60">
        <f>EFEITO!$N$1498*EFEITO!$AA$1498/(1-CUSTOS!$M$38)</f>
        <v>281.6097700680042</v>
      </c>
      <c r="M1498" s="60">
        <f>$J$1498-EFEITO!$K$1498*EFEITO!$Y$1498</f>
        <v>0</v>
      </c>
      <c r="N1498" s="60">
        <f ca="1">$K$1498-EFEITO!$M$1498*EFEITO!$Z$1498</f>
        <v>21.388220163899632</v>
      </c>
      <c r="O1498" s="60">
        <f>$L$1498-EFEITO!$O$1498*EFEITO!$AA$1498</f>
        <v>16.896586204080279</v>
      </c>
      <c r="P1498" s="18"/>
      <c r="Q1498" s="18"/>
      <c r="R1498" s="18"/>
      <c r="S1498" s="18"/>
      <c r="T1498" s="18"/>
      <c r="U1498" s="18"/>
      <c r="V1498" s="18"/>
      <c r="W1498" s="18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</row>
    <row r="1499" spans="1:36" ht="11.25" customHeight="1" x14ac:dyDescent="0.2">
      <c r="A1499" s="51" t="s">
        <v>21</v>
      </c>
      <c r="B1499" s="51" t="s">
        <v>44</v>
      </c>
      <c r="C1499" s="51" t="s">
        <v>33</v>
      </c>
      <c r="D1499" s="51" t="s">
        <v>45</v>
      </c>
      <c r="E1499" s="51" t="s">
        <v>25</v>
      </c>
      <c r="F1499" s="51" t="s">
        <v>25</v>
      </c>
      <c r="G1499" s="51" t="s">
        <v>25</v>
      </c>
      <c r="H1499" s="51" t="s">
        <v>36</v>
      </c>
      <c r="I1499" s="59">
        <v>44287</v>
      </c>
      <c r="J1499" s="60">
        <f>EFEITO!$J$1499*EFEITO!$Y$1499/(1-CUSTOS!$M$38)</f>
        <v>0</v>
      </c>
      <c r="K1499" s="60">
        <f ca="1">EFEITO!$L$1499*EFEITO!$Z$1499/(1-CUSTOS!$M$38)</f>
        <v>62.170319226779853</v>
      </c>
      <c r="L1499" s="60">
        <f>EFEITO!$N$1499*EFEITO!$AA$1499/(1-CUSTOS!$M$38)</f>
        <v>20.752542485201573</v>
      </c>
      <c r="M1499" s="60">
        <f>$J$1499-EFEITO!$K$1499*EFEITO!$Y$1499</f>
        <v>0</v>
      </c>
      <c r="N1499" s="60">
        <f ca="1">$K$1499-EFEITO!$M$1499*EFEITO!$Z$1499</f>
        <v>3.7302191536067966</v>
      </c>
      <c r="O1499" s="60">
        <f>$L$1499-EFEITO!$O$1499*EFEITO!$AA$1499</f>
        <v>1.2451525491120954</v>
      </c>
      <c r="P1499" s="18"/>
      <c r="Q1499" s="18"/>
      <c r="R1499" s="18"/>
      <c r="S1499" s="18"/>
      <c r="T1499" s="18"/>
      <c r="U1499" s="18"/>
      <c r="V1499" s="18"/>
      <c r="W1499" s="18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</row>
    <row r="1500" spans="1:36" ht="11.25" customHeight="1" x14ac:dyDescent="0.2">
      <c r="A1500" s="51" t="s">
        <v>21</v>
      </c>
      <c r="B1500" s="51" t="s">
        <v>44</v>
      </c>
      <c r="C1500" s="51" t="s">
        <v>33</v>
      </c>
      <c r="D1500" s="51" t="s">
        <v>45</v>
      </c>
      <c r="E1500" s="51" t="s">
        <v>25</v>
      </c>
      <c r="F1500" s="51" t="s">
        <v>25</v>
      </c>
      <c r="G1500" s="51" t="s">
        <v>25</v>
      </c>
      <c r="H1500" s="51" t="s">
        <v>36</v>
      </c>
      <c r="I1500" s="59">
        <v>44317</v>
      </c>
      <c r="J1500" s="60">
        <f>EFEITO!$J$1500*EFEITO!$Y$1500/(1-CUSTOS!$M$38)</f>
        <v>0</v>
      </c>
      <c r="K1500" s="60">
        <f ca="1">EFEITO!$L$1500*EFEITO!$Z$1500/(1-CUSTOS!$M$38)</f>
        <v>25.402926135673486</v>
      </c>
      <c r="L1500" s="60">
        <f>EFEITO!$N$1500*EFEITO!$AA$1500/(1-CUSTOS!$M$38)</f>
        <v>8.4795334885769869</v>
      </c>
      <c r="M1500" s="60">
        <f>$J$1500-EFEITO!$K$1500*EFEITO!$Y$1500</f>
        <v>0</v>
      </c>
      <c r="N1500" s="60">
        <f ca="1">$K$1500-EFEITO!$M$1500*EFEITO!$Z$1500</f>
        <v>1.5241755681404108</v>
      </c>
      <c r="O1500" s="60">
        <f>$L$1500-EFEITO!$O$1500*EFEITO!$AA$1500</f>
        <v>0.50877200931461974</v>
      </c>
      <c r="P1500" s="18"/>
      <c r="Q1500" s="18"/>
      <c r="R1500" s="18"/>
      <c r="S1500" s="18"/>
      <c r="T1500" s="18"/>
      <c r="U1500" s="18"/>
      <c r="V1500" s="18"/>
      <c r="W1500" s="18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</row>
    <row r="1501" spans="1:36" ht="11.25" customHeight="1" x14ac:dyDescent="0.2">
      <c r="A1501" s="51" t="s">
        <v>21</v>
      </c>
      <c r="B1501" s="51" t="s">
        <v>44</v>
      </c>
      <c r="C1501" s="51" t="s">
        <v>33</v>
      </c>
      <c r="D1501" s="51" t="s">
        <v>45</v>
      </c>
      <c r="E1501" s="51" t="s">
        <v>25</v>
      </c>
      <c r="F1501" s="51" t="s">
        <v>25</v>
      </c>
      <c r="G1501" s="51" t="s">
        <v>25</v>
      </c>
      <c r="H1501" s="51" t="s">
        <v>36</v>
      </c>
      <c r="I1501" s="59">
        <v>44348</v>
      </c>
      <c r="J1501" s="60">
        <f>EFEITO!$J$1501*EFEITO!$Y$1501/(1-CUSTOS!$M$38)</f>
        <v>0</v>
      </c>
      <c r="K1501" s="60">
        <f ca="1">EFEITO!$L$1501*EFEITO!$Z$1501/(1-CUSTOS!$M$38)</f>
        <v>20.723439742259949</v>
      </c>
      <c r="L1501" s="60">
        <f>EFEITO!$N$1501*EFEITO!$AA$1501/(1-CUSTOS!$M$38)</f>
        <v>6.9175141617338571</v>
      </c>
      <c r="M1501" s="60">
        <f>$J$1501-EFEITO!$K$1501*EFEITO!$Y$1501</f>
        <v>0</v>
      </c>
      <c r="N1501" s="60">
        <f ca="1">$K$1501-EFEITO!$M$1501*EFEITO!$Z$1501</f>
        <v>1.2434063845355965</v>
      </c>
      <c r="O1501" s="60">
        <f>$L$1501-EFEITO!$O$1501*EFEITO!$AA$1501</f>
        <v>0.4150508497040315</v>
      </c>
      <c r="P1501" s="18"/>
      <c r="Q1501" s="18"/>
      <c r="R1501" s="18"/>
      <c r="S1501" s="18"/>
      <c r="T1501" s="18"/>
      <c r="U1501" s="18"/>
      <c r="V1501" s="18"/>
      <c r="W1501" s="18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</row>
    <row r="1502" spans="1:36" ht="11.25" customHeight="1" x14ac:dyDescent="0.2">
      <c r="A1502" s="51" t="s">
        <v>21</v>
      </c>
      <c r="B1502" s="51" t="s">
        <v>44</v>
      </c>
      <c r="C1502" s="51" t="s">
        <v>33</v>
      </c>
      <c r="D1502" s="51" t="s">
        <v>45</v>
      </c>
      <c r="E1502" s="51" t="s">
        <v>25</v>
      </c>
      <c r="F1502" s="51" t="s">
        <v>25</v>
      </c>
      <c r="G1502" s="51" t="s">
        <v>25</v>
      </c>
      <c r="H1502" s="51" t="s">
        <v>36</v>
      </c>
      <c r="I1502" s="59">
        <v>44378</v>
      </c>
      <c r="J1502" s="60">
        <f>EFEITO!$J$1502*EFEITO!$Y$1502/(1-CUSTOS!$M$38)</f>
        <v>0</v>
      </c>
      <c r="K1502" s="60">
        <f ca="1">EFEITO!$L$1502*EFEITO!$Z$1502/(1-CUSTOS!$M$38)</f>
        <v>22.728933910865752</v>
      </c>
      <c r="L1502" s="60">
        <f>EFEITO!$N$1502*EFEITO!$AA$1502/(1-CUSTOS!$M$38)</f>
        <v>7.5869510160951998</v>
      </c>
      <c r="M1502" s="60">
        <f>$J$1502-EFEITO!$K$1502*EFEITO!$Y$1502</f>
        <v>0</v>
      </c>
      <c r="N1502" s="60">
        <f ca="1">$K$1502-EFEITO!$M$1502*EFEITO!$Z$1502</f>
        <v>1.3637360346519465</v>
      </c>
      <c r="O1502" s="60">
        <f>$L$1502-EFEITO!$O$1502*EFEITO!$AA$1502</f>
        <v>0.45521706096571268</v>
      </c>
      <c r="P1502" s="18"/>
      <c r="Q1502" s="18"/>
      <c r="R1502" s="18"/>
      <c r="S1502" s="18"/>
      <c r="T1502" s="18"/>
      <c r="U1502" s="18"/>
      <c r="V1502" s="18"/>
      <c r="W1502" s="18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</row>
    <row r="1503" spans="1:36" ht="11.25" customHeight="1" x14ac:dyDescent="0.2">
      <c r="A1503" s="51" t="s">
        <v>21</v>
      </c>
      <c r="B1503" s="51" t="s">
        <v>44</v>
      </c>
      <c r="C1503" s="51" t="s">
        <v>33</v>
      </c>
      <c r="D1503" s="51" t="s">
        <v>45</v>
      </c>
      <c r="E1503" s="51" t="s">
        <v>25</v>
      </c>
      <c r="F1503" s="51" t="s">
        <v>25</v>
      </c>
      <c r="G1503" s="51" t="s">
        <v>25</v>
      </c>
      <c r="H1503" s="51" t="s">
        <v>36</v>
      </c>
      <c r="I1503" s="59">
        <v>44409</v>
      </c>
      <c r="J1503" s="60">
        <f>EFEITO!$J$1503*EFEITO!$Y$1503/(1-CUSTOS!$M$38)</f>
        <v>0</v>
      </c>
      <c r="K1503" s="60">
        <f ca="1">EFEITO!$L$1503*EFEITO!$Z$1503/(1-CUSTOS!$M$38)</f>
        <v>21.391937798461885</v>
      </c>
      <c r="L1503" s="60">
        <f>EFEITO!$N$1503*EFEITO!$AA$1503/(1-CUSTOS!$M$38)</f>
        <v>7.140659779854305</v>
      </c>
      <c r="M1503" s="60">
        <f>$J$1503-EFEITO!$K$1503*EFEITO!$Y$1503</f>
        <v>0</v>
      </c>
      <c r="N1503" s="60">
        <f ca="1">$K$1503-EFEITO!$M$1503*EFEITO!$Z$1503</f>
        <v>1.2835162679077143</v>
      </c>
      <c r="O1503" s="60">
        <f>$L$1503-EFEITO!$O$1503*EFEITO!$AA$1503</f>
        <v>0.42843958679125826</v>
      </c>
      <c r="P1503" s="18"/>
      <c r="Q1503" s="18"/>
      <c r="R1503" s="18"/>
      <c r="S1503" s="18"/>
      <c r="T1503" s="18"/>
      <c r="U1503" s="18"/>
      <c r="V1503" s="18"/>
      <c r="W1503" s="18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</row>
    <row r="1504" spans="1:36" ht="11.25" customHeight="1" x14ac:dyDescent="0.2">
      <c r="A1504" s="51" t="s">
        <v>21</v>
      </c>
      <c r="B1504" s="51" t="s">
        <v>44</v>
      </c>
      <c r="C1504" s="51" t="s">
        <v>33</v>
      </c>
      <c r="D1504" s="51" t="s">
        <v>45</v>
      </c>
      <c r="E1504" s="51" t="s">
        <v>25</v>
      </c>
      <c r="F1504" s="51" t="s">
        <v>25</v>
      </c>
      <c r="G1504" s="51" t="s">
        <v>25</v>
      </c>
      <c r="H1504" s="51" t="s">
        <v>36</v>
      </c>
      <c r="I1504" s="59">
        <v>44440</v>
      </c>
      <c r="J1504" s="60">
        <f>EFEITO!$J$1504*EFEITO!$Y$1504/(1-CUSTOS!$M$38)</f>
        <v>0</v>
      </c>
      <c r="K1504" s="60">
        <f ca="1">EFEITO!$L$1504*EFEITO!$Z$1504/(1-CUSTOS!$M$38)</f>
        <v>26.739922248077356</v>
      </c>
      <c r="L1504" s="60">
        <f>EFEITO!$N$1504*EFEITO!$AA$1504/(1-CUSTOS!$M$38)</f>
        <v>8.9258247248178826</v>
      </c>
      <c r="M1504" s="60">
        <f>$J$1504-EFEITO!$K$1504*EFEITO!$Y$1504</f>
        <v>0</v>
      </c>
      <c r="N1504" s="60">
        <f ca="1">$K$1504-EFEITO!$M$1504*EFEITO!$Z$1504</f>
        <v>1.6043953348846429</v>
      </c>
      <c r="O1504" s="60">
        <f>$L$1504-EFEITO!$O$1504*EFEITO!$AA$1504</f>
        <v>0.53554948348907416</v>
      </c>
      <c r="P1504" s="18"/>
      <c r="Q1504" s="18"/>
      <c r="R1504" s="18"/>
      <c r="S1504" s="18"/>
      <c r="T1504" s="18"/>
      <c r="U1504" s="18"/>
      <c r="V1504" s="18"/>
      <c r="W1504" s="18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</row>
    <row r="1505" spans="1:36" ht="11.25" customHeight="1" x14ac:dyDescent="0.2">
      <c r="A1505" s="51" t="s">
        <v>21</v>
      </c>
      <c r="B1505" s="51" t="s">
        <v>44</v>
      </c>
      <c r="C1505" s="51" t="s">
        <v>33</v>
      </c>
      <c r="D1505" s="51" t="s">
        <v>45</v>
      </c>
      <c r="E1505" s="51" t="s">
        <v>25</v>
      </c>
      <c r="F1505" s="51" t="s">
        <v>25</v>
      </c>
      <c r="G1505" s="51" t="s">
        <v>25</v>
      </c>
      <c r="H1505" s="51" t="s">
        <v>36</v>
      </c>
      <c r="I1505" s="59">
        <v>44470</v>
      </c>
      <c r="J1505" s="60">
        <f>EFEITO!$J$1505*EFEITO!$Y$1505/(1-CUSTOS!$M$38)</f>
        <v>0</v>
      </c>
      <c r="K1505" s="60">
        <f ca="1">EFEITO!$L$1505*EFEITO!$Z$1505/(1-CUSTOS!$M$38)</f>
        <v>24.734428079471549</v>
      </c>
      <c r="L1505" s="60">
        <f>EFEITO!$N$1505*EFEITO!$AA$1505/(1-CUSTOS!$M$38)</f>
        <v>8.256387870456539</v>
      </c>
      <c r="M1505" s="60">
        <f>$J$1505-EFEITO!$K$1505*EFEITO!$Y$1505</f>
        <v>0</v>
      </c>
      <c r="N1505" s="60">
        <f ca="1">$K$1505-EFEITO!$M$1505*EFEITO!$Z$1505</f>
        <v>1.4840656847682929</v>
      </c>
      <c r="O1505" s="60">
        <f>$L$1505-EFEITO!$O$1505*EFEITO!$AA$1505</f>
        <v>0.49538327222739209</v>
      </c>
      <c r="P1505" s="18"/>
      <c r="Q1505" s="18"/>
      <c r="R1505" s="18"/>
      <c r="S1505" s="18"/>
      <c r="T1505" s="18"/>
      <c r="U1505" s="18"/>
      <c r="V1505" s="18"/>
      <c r="W1505" s="18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</row>
    <row r="1506" spans="1:36" ht="11.25" customHeight="1" x14ac:dyDescent="0.2">
      <c r="A1506" s="51" t="s">
        <v>21</v>
      </c>
      <c r="B1506" s="51" t="s">
        <v>44</v>
      </c>
      <c r="C1506" s="51" t="s">
        <v>33</v>
      </c>
      <c r="D1506" s="51" t="s">
        <v>45</v>
      </c>
      <c r="E1506" s="51" t="s">
        <v>25</v>
      </c>
      <c r="F1506" s="51" t="s">
        <v>25</v>
      </c>
      <c r="G1506" s="51" t="s">
        <v>25</v>
      </c>
      <c r="H1506" s="51" t="s">
        <v>36</v>
      </c>
      <c r="I1506" s="59">
        <v>44501</v>
      </c>
      <c r="J1506" s="60">
        <f>EFEITO!$J$1506*EFEITO!$Y$1506/(1-CUSTOS!$M$38)</f>
        <v>0</v>
      </c>
      <c r="K1506" s="60">
        <f ca="1">EFEITO!$L$1506*EFEITO!$Z$1506/(1-CUSTOS!$M$38)</f>
        <v>20.723439742259949</v>
      </c>
      <c r="L1506" s="60">
        <f>EFEITO!$N$1506*EFEITO!$AA$1506/(1-CUSTOS!$M$38)</f>
        <v>6.9175141617338571</v>
      </c>
      <c r="M1506" s="60">
        <f>$J$1506-EFEITO!$K$1506*EFEITO!$Y$1506</f>
        <v>0</v>
      </c>
      <c r="N1506" s="60">
        <f ca="1">$K$1506-EFEITO!$M$1506*EFEITO!$Z$1506</f>
        <v>1.2434063845355965</v>
      </c>
      <c r="O1506" s="60">
        <f>$L$1506-EFEITO!$O$1506*EFEITO!$AA$1506</f>
        <v>0.4150508497040315</v>
      </c>
      <c r="P1506" s="18"/>
      <c r="Q1506" s="18"/>
      <c r="R1506" s="18"/>
      <c r="S1506" s="18"/>
      <c r="T1506" s="18"/>
      <c r="U1506" s="18"/>
      <c r="V1506" s="18"/>
      <c r="W1506" s="18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</row>
    <row r="1507" spans="1:36" ht="11.25" customHeight="1" x14ac:dyDescent="0.2">
      <c r="A1507" s="51" t="s">
        <v>21</v>
      </c>
      <c r="B1507" s="51" t="s">
        <v>44</v>
      </c>
      <c r="C1507" s="51" t="s">
        <v>33</v>
      </c>
      <c r="D1507" s="51" t="s">
        <v>45</v>
      </c>
      <c r="E1507" s="51" t="s">
        <v>25</v>
      </c>
      <c r="F1507" s="51" t="s">
        <v>25</v>
      </c>
      <c r="G1507" s="51" t="s">
        <v>25</v>
      </c>
      <c r="H1507" s="51" t="s">
        <v>36</v>
      </c>
      <c r="I1507" s="59">
        <v>44531</v>
      </c>
      <c r="J1507" s="60">
        <f>EFEITO!$J$1507*EFEITO!$Y$1507/(1-CUSTOS!$M$38)</f>
        <v>0</v>
      </c>
      <c r="K1507" s="60">
        <f ca="1">EFEITO!$L$1507*EFEITO!$Z$1507/(1-CUSTOS!$M$38)</f>
        <v>20.054941686058015</v>
      </c>
      <c r="L1507" s="60">
        <f>EFEITO!$N$1507*EFEITO!$AA$1507/(1-CUSTOS!$M$38)</f>
        <v>6.6943685436134102</v>
      </c>
      <c r="M1507" s="60">
        <f>$J$1507-EFEITO!$K$1507*EFEITO!$Y$1507</f>
        <v>0</v>
      </c>
      <c r="N1507" s="60">
        <f ca="1">$K$1507-EFEITO!$M$1507*EFEITO!$Z$1507</f>
        <v>1.2032965011634822</v>
      </c>
      <c r="O1507" s="60">
        <f>$L$1507-EFEITO!$O$1507*EFEITO!$AA$1507</f>
        <v>0.40166211261680473</v>
      </c>
      <c r="P1507" s="18"/>
      <c r="Q1507" s="18"/>
      <c r="R1507" s="18"/>
      <c r="S1507" s="18"/>
      <c r="T1507" s="18"/>
      <c r="U1507" s="18"/>
      <c r="V1507" s="18"/>
      <c r="W1507" s="18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</row>
    <row r="1508" spans="1:36" ht="11.25" customHeight="1" x14ac:dyDescent="0.2">
      <c r="A1508" s="51" t="s">
        <v>21</v>
      </c>
      <c r="B1508" s="51" t="s">
        <v>44</v>
      </c>
      <c r="C1508" s="51" t="s">
        <v>33</v>
      </c>
      <c r="D1508" s="51" t="s">
        <v>45</v>
      </c>
      <c r="E1508" s="51" t="s">
        <v>25</v>
      </c>
      <c r="F1508" s="51" t="s">
        <v>25</v>
      </c>
      <c r="G1508" s="51" t="s">
        <v>25</v>
      </c>
      <c r="H1508" s="51" t="s">
        <v>36</v>
      </c>
      <c r="I1508" s="59">
        <v>44562</v>
      </c>
      <c r="J1508" s="60">
        <f>EFEITO!$J$1508*EFEITO!$Y$1508/(1-CUSTOS!$M$38)</f>
        <v>0</v>
      </c>
      <c r="K1508" s="60">
        <f ca="1">EFEITO!$L$1508*EFEITO!$Z$1508/(1-CUSTOS!$M$38)</f>
        <v>25.402926135673486</v>
      </c>
      <c r="L1508" s="60">
        <f>EFEITO!$N$1508*EFEITO!$AA$1508/(1-CUSTOS!$M$38)</f>
        <v>8.4795334885769869</v>
      </c>
      <c r="M1508" s="60">
        <f>$J$1508-EFEITO!$K$1508*EFEITO!$Y$1508</f>
        <v>0</v>
      </c>
      <c r="N1508" s="60">
        <f ca="1">$K$1508-EFEITO!$M$1508*EFEITO!$Z$1508</f>
        <v>1.5241755681404108</v>
      </c>
      <c r="O1508" s="60">
        <f>$L$1508-EFEITO!$O$1508*EFEITO!$AA$1508</f>
        <v>0.50877200931461974</v>
      </c>
      <c r="P1508" s="18"/>
      <c r="Q1508" s="18"/>
      <c r="R1508" s="18"/>
      <c r="S1508" s="18"/>
      <c r="T1508" s="18"/>
      <c r="U1508" s="18"/>
      <c r="V1508" s="18"/>
      <c r="W1508" s="18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</row>
    <row r="1509" spans="1:36" ht="11.25" customHeight="1" x14ac:dyDescent="0.2">
      <c r="A1509" s="51" t="s">
        <v>21</v>
      </c>
      <c r="B1509" s="51" t="s">
        <v>44</v>
      </c>
      <c r="C1509" s="51" t="s">
        <v>33</v>
      </c>
      <c r="D1509" s="51" t="s">
        <v>45</v>
      </c>
      <c r="E1509" s="51" t="s">
        <v>25</v>
      </c>
      <c r="F1509" s="51" t="s">
        <v>25</v>
      </c>
      <c r="G1509" s="51" t="s">
        <v>25</v>
      </c>
      <c r="H1509" s="51" t="s">
        <v>36</v>
      </c>
      <c r="I1509" s="59">
        <v>44593</v>
      </c>
      <c r="J1509" s="60">
        <f>EFEITO!$J$1509*EFEITO!$Y$1509/(1-CUSTOS!$M$38)</f>
        <v>0</v>
      </c>
      <c r="K1509" s="60">
        <f ca="1">EFEITO!$L$1509*EFEITO!$Z$1509/(1-CUSTOS!$M$38)</f>
        <v>20.723439742259949</v>
      </c>
      <c r="L1509" s="60">
        <f>EFEITO!$N$1509*EFEITO!$AA$1509/(1-CUSTOS!$M$38)</f>
        <v>6.9175141617338571</v>
      </c>
      <c r="M1509" s="60">
        <f>$J$1509-EFEITO!$K$1509*EFEITO!$Y$1509</f>
        <v>0</v>
      </c>
      <c r="N1509" s="60">
        <f ca="1">$K$1509-EFEITO!$M$1509*EFEITO!$Z$1509</f>
        <v>1.2434063845355965</v>
      </c>
      <c r="O1509" s="60">
        <f>$L$1509-EFEITO!$O$1509*EFEITO!$AA$1509</f>
        <v>0.4150508497040315</v>
      </c>
      <c r="P1509" s="18"/>
      <c r="Q1509" s="18"/>
      <c r="R1509" s="18"/>
      <c r="S1509" s="18"/>
      <c r="T1509" s="18"/>
      <c r="U1509" s="18"/>
      <c r="V1509" s="18"/>
      <c r="W1509" s="18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</row>
    <row r="1510" spans="1:36" ht="11.25" customHeight="1" x14ac:dyDescent="0.2">
      <c r="A1510" s="51" t="s">
        <v>56</v>
      </c>
      <c r="B1510" s="51" t="s">
        <v>44</v>
      </c>
      <c r="C1510" s="51" t="s">
        <v>33</v>
      </c>
      <c r="D1510" s="51" t="s">
        <v>45</v>
      </c>
      <c r="E1510" s="51" t="s">
        <v>25</v>
      </c>
      <c r="F1510" s="51" t="s">
        <v>25</v>
      </c>
      <c r="G1510" s="51" t="s">
        <v>25</v>
      </c>
      <c r="H1510" s="51" t="s">
        <v>36</v>
      </c>
      <c r="I1510" s="59">
        <v>44621</v>
      </c>
      <c r="J1510" s="60">
        <f>EFEITO!$J$1510*EFEITO!$Y$1510/(1-CUSTOS!$M$38)</f>
        <v>0</v>
      </c>
      <c r="K1510" s="60">
        <f ca="1">EFEITO!$L$1510*EFEITO!$Z$1510/(1-CUSTOS!$M$38)</f>
        <v>20.723439742259949</v>
      </c>
      <c r="L1510" s="60">
        <f>EFEITO!$N$1510*EFEITO!$AA$1510/(1-CUSTOS!$M$38)</f>
        <v>6.9175141617338571</v>
      </c>
      <c r="M1510" s="60">
        <f>$J$1510-EFEITO!$K$1510*EFEITO!$Y$1510</f>
        <v>0</v>
      </c>
      <c r="N1510" s="60">
        <f ca="1">$K$1510-EFEITO!$M$1510*EFEITO!$Z$1510</f>
        <v>1.2434063845355965</v>
      </c>
      <c r="O1510" s="60">
        <f>$L$1510-EFEITO!$O$1510*EFEITO!$AA$1510</f>
        <v>0.4150508497040315</v>
      </c>
      <c r="P1510" s="18"/>
      <c r="Q1510" s="18"/>
      <c r="R1510" s="18"/>
      <c r="S1510" s="18"/>
      <c r="T1510" s="18"/>
      <c r="U1510" s="18"/>
      <c r="V1510" s="18"/>
      <c r="W1510" s="18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</row>
    <row r="1511" spans="1:36" ht="11.25" customHeight="1" x14ac:dyDescent="0.2">
      <c r="A1511" s="51" t="s">
        <v>21</v>
      </c>
      <c r="B1511" s="51" t="s">
        <v>44</v>
      </c>
      <c r="C1511" s="51" t="s">
        <v>33</v>
      </c>
      <c r="D1511" s="51" t="s">
        <v>45</v>
      </c>
      <c r="E1511" s="51" t="s">
        <v>25</v>
      </c>
      <c r="F1511" s="51" t="s">
        <v>25</v>
      </c>
      <c r="G1511" s="51" t="s">
        <v>25</v>
      </c>
      <c r="H1511" s="51" t="s">
        <v>34</v>
      </c>
      <c r="I1511" s="59">
        <v>44287</v>
      </c>
      <c r="J1511" s="60">
        <f>EFEITO!$J$1511*EFEITO!$Y$1511/(1-CUSTOS!$M$38)</f>
        <v>0</v>
      </c>
      <c r="K1511" s="60">
        <f ca="1">EFEITO!$L$1511*EFEITO!$Z$1511/(1-CUSTOS!$M$38)</f>
        <v>64.326394219820898</v>
      </c>
      <c r="L1511" s="60">
        <f>EFEITO!$N$1511*EFEITO!$AA$1511/(1-CUSTOS!$M$38)</f>
        <v>22.054558185231038</v>
      </c>
      <c r="M1511" s="60">
        <f>$J$1511-EFEITO!$K$1511*EFEITO!$Y$1511</f>
        <v>0</v>
      </c>
      <c r="N1511" s="60">
        <f ca="1">$K$1511-EFEITO!$M$1511*EFEITO!$Z$1511</f>
        <v>3.8595836531892616</v>
      </c>
      <c r="O1511" s="60">
        <f>$L$1511-EFEITO!$O$1511*EFEITO!$AA$1511</f>
        <v>1.3232734911138628</v>
      </c>
      <c r="P1511" s="18"/>
      <c r="Q1511" s="18"/>
      <c r="R1511" s="18"/>
      <c r="S1511" s="18"/>
      <c r="T1511" s="18"/>
      <c r="U1511" s="18"/>
      <c r="V1511" s="18"/>
      <c r="W1511" s="18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</row>
    <row r="1512" spans="1:36" ht="11.25" customHeight="1" x14ac:dyDescent="0.2">
      <c r="A1512" s="51" t="s">
        <v>21</v>
      </c>
      <c r="B1512" s="51" t="s">
        <v>44</v>
      </c>
      <c r="C1512" s="51" t="s">
        <v>33</v>
      </c>
      <c r="D1512" s="51" t="s">
        <v>45</v>
      </c>
      <c r="E1512" s="51" t="s">
        <v>25</v>
      </c>
      <c r="F1512" s="51" t="s">
        <v>25</v>
      </c>
      <c r="G1512" s="51" t="s">
        <v>25</v>
      </c>
      <c r="H1512" s="51" t="s">
        <v>34</v>
      </c>
      <c r="I1512" s="59">
        <v>44317</v>
      </c>
      <c r="J1512" s="60">
        <f>EFEITO!$J$1512*EFEITO!$Y$1512/(1-CUSTOS!$M$38)</f>
        <v>0</v>
      </c>
      <c r="K1512" s="60">
        <f ca="1">EFEITO!$L$1512*EFEITO!$Z$1512/(1-CUSTOS!$M$38)</f>
        <v>61.162801061469047</v>
      </c>
      <c r="L1512" s="60">
        <f>EFEITO!$N$1512*EFEITO!$AA$1512/(1-CUSTOS!$M$38)</f>
        <v>20.969907782678696</v>
      </c>
      <c r="M1512" s="60">
        <f>$J$1512-EFEITO!$K$1512*EFEITO!$Y$1512</f>
        <v>0</v>
      </c>
      <c r="N1512" s="60">
        <f ca="1">$K$1512-EFEITO!$M$1512*EFEITO!$Z$1512</f>
        <v>3.6697680636881458</v>
      </c>
      <c r="O1512" s="60">
        <f>$L$1512-EFEITO!$O$1512*EFEITO!$AA$1512</f>
        <v>1.2581944669607239</v>
      </c>
      <c r="P1512" s="18"/>
      <c r="Q1512" s="18"/>
      <c r="R1512" s="18"/>
      <c r="S1512" s="18"/>
      <c r="T1512" s="18"/>
      <c r="U1512" s="18"/>
      <c r="V1512" s="18"/>
      <c r="W1512" s="18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</row>
    <row r="1513" spans="1:36" ht="11.25" customHeight="1" x14ac:dyDescent="0.2">
      <c r="A1513" s="51" t="s">
        <v>21</v>
      </c>
      <c r="B1513" s="51" t="s">
        <v>44</v>
      </c>
      <c r="C1513" s="51" t="s">
        <v>33</v>
      </c>
      <c r="D1513" s="51" t="s">
        <v>45</v>
      </c>
      <c r="E1513" s="51" t="s">
        <v>25</v>
      </c>
      <c r="F1513" s="51" t="s">
        <v>25</v>
      </c>
      <c r="G1513" s="51" t="s">
        <v>25</v>
      </c>
      <c r="H1513" s="51" t="s">
        <v>34</v>
      </c>
      <c r="I1513" s="59">
        <v>44348</v>
      </c>
      <c r="J1513" s="60">
        <f>EFEITO!$J$1513*EFEITO!$Y$1513/(1-CUSTOS!$M$38)</f>
        <v>0</v>
      </c>
      <c r="K1513" s="60">
        <f ca="1">EFEITO!$L$1513*EFEITO!$Z$1513/(1-CUSTOS!$M$38)</f>
        <v>56.944676850333252</v>
      </c>
      <c r="L1513" s="60">
        <f>EFEITO!$N$1513*EFEITO!$AA$1513/(1-CUSTOS!$M$38)</f>
        <v>19.523707245942234</v>
      </c>
      <c r="M1513" s="60">
        <f>$J$1513-EFEITO!$K$1513*EFEITO!$Y$1513</f>
        <v>0</v>
      </c>
      <c r="N1513" s="60">
        <f ca="1">$K$1513-EFEITO!$M$1513*EFEITO!$Z$1513</f>
        <v>3.4166806110199985</v>
      </c>
      <c r="O1513" s="60">
        <f>$L$1513-EFEITO!$O$1513*EFEITO!$AA$1513</f>
        <v>1.1714224347565363</v>
      </c>
      <c r="P1513" s="18"/>
      <c r="Q1513" s="18"/>
      <c r="R1513" s="18"/>
      <c r="S1513" s="18"/>
      <c r="T1513" s="18"/>
      <c r="U1513" s="18"/>
      <c r="V1513" s="18"/>
      <c r="W1513" s="18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</row>
    <row r="1514" spans="1:36" ht="11.25" customHeight="1" x14ac:dyDescent="0.2">
      <c r="A1514" s="51" t="s">
        <v>21</v>
      </c>
      <c r="B1514" s="51" t="s">
        <v>44</v>
      </c>
      <c r="C1514" s="51" t="s">
        <v>33</v>
      </c>
      <c r="D1514" s="51" t="s">
        <v>45</v>
      </c>
      <c r="E1514" s="51" t="s">
        <v>25</v>
      </c>
      <c r="F1514" s="51" t="s">
        <v>25</v>
      </c>
      <c r="G1514" s="51" t="s">
        <v>25</v>
      </c>
      <c r="H1514" s="51" t="s">
        <v>34</v>
      </c>
      <c r="I1514" s="59">
        <v>44378</v>
      </c>
      <c r="J1514" s="60">
        <f>EFEITO!$J$1514*EFEITO!$Y$1514/(1-CUSTOS!$M$38)</f>
        <v>0</v>
      </c>
      <c r="K1514" s="60">
        <f ca="1">EFEITO!$L$1514*EFEITO!$Z$1514/(1-CUSTOS!$M$38)</f>
        <v>66.435456325388785</v>
      </c>
      <c r="L1514" s="60">
        <f>EFEITO!$N$1514*EFEITO!$AA$1514/(1-CUSTOS!$M$38)</f>
        <v>22.777658453599269</v>
      </c>
      <c r="M1514" s="60">
        <f>$J$1514-EFEITO!$K$1514*EFEITO!$Y$1514</f>
        <v>0</v>
      </c>
      <c r="N1514" s="60">
        <f ca="1">$K$1514-EFEITO!$M$1514*EFEITO!$Z$1514</f>
        <v>3.9861273795233245</v>
      </c>
      <c r="O1514" s="60">
        <f>$L$1514-EFEITO!$O$1514*EFEITO!$AA$1514</f>
        <v>1.3666595072159566</v>
      </c>
      <c r="P1514" s="18"/>
      <c r="Q1514" s="18"/>
      <c r="R1514" s="18"/>
      <c r="S1514" s="18"/>
      <c r="T1514" s="18"/>
      <c r="U1514" s="18"/>
      <c r="V1514" s="18"/>
      <c r="W1514" s="18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</row>
    <row r="1515" spans="1:36" ht="11.25" customHeight="1" x14ac:dyDescent="0.2">
      <c r="A1515" s="51" t="s">
        <v>21</v>
      </c>
      <c r="B1515" s="51" t="s">
        <v>44</v>
      </c>
      <c r="C1515" s="51" t="s">
        <v>33</v>
      </c>
      <c r="D1515" s="51" t="s">
        <v>45</v>
      </c>
      <c r="E1515" s="51" t="s">
        <v>25</v>
      </c>
      <c r="F1515" s="51" t="s">
        <v>25</v>
      </c>
      <c r="G1515" s="51" t="s">
        <v>25</v>
      </c>
      <c r="H1515" s="51" t="s">
        <v>34</v>
      </c>
      <c r="I1515" s="59">
        <v>44409</v>
      </c>
      <c r="J1515" s="60">
        <f>EFEITO!$J$1515*EFEITO!$Y$1515/(1-CUSTOS!$M$38)</f>
        <v>0</v>
      </c>
      <c r="K1515" s="60">
        <f ca="1">EFEITO!$L$1515*EFEITO!$Z$1515/(1-CUSTOS!$M$38)</f>
        <v>61.162801061469047</v>
      </c>
      <c r="L1515" s="60">
        <f>EFEITO!$N$1515*EFEITO!$AA$1515/(1-CUSTOS!$M$38)</f>
        <v>20.969907782678696</v>
      </c>
      <c r="M1515" s="60">
        <f>$J$1515-EFEITO!$K$1515*EFEITO!$Y$1515</f>
        <v>0</v>
      </c>
      <c r="N1515" s="60">
        <f ca="1">$K$1515-EFEITO!$M$1515*EFEITO!$Z$1515</f>
        <v>3.6697680636881458</v>
      </c>
      <c r="O1515" s="60">
        <f>$L$1515-EFEITO!$O$1515*EFEITO!$AA$1515</f>
        <v>1.2581944669607239</v>
      </c>
      <c r="P1515" s="18"/>
      <c r="Q1515" s="18"/>
      <c r="R1515" s="18"/>
      <c r="S1515" s="18"/>
      <c r="T1515" s="18"/>
      <c r="U1515" s="18"/>
      <c r="V1515" s="18"/>
      <c r="W1515" s="18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</row>
    <row r="1516" spans="1:36" ht="11.25" customHeight="1" x14ac:dyDescent="0.2">
      <c r="A1516" s="51" t="s">
        <v>21</v>
      </c>
      <c r="B1516" s="51" t="s">
        <v>44</v>
      </c>
      <c r="C1516" s="51" t="s">
        <v>33</v>
      </c>
      <c r="D1516" s="51" t="s">
        <v>45</v>
      </c>
      <c r="E1516" s="51" t="s">
        <v>25</v>
      </c>
      <c r="F1516" s="51" t="s">
        <v>25</v>
      </c>
      <c r="G1516" s="51" t="s">
        <v>25</v>
      </c>
      <c r="H1516" s="51" t="s">
        <v>34</v>
      </c>
      <c r="I1516" s="59">
        <v>44440</v>
      </c>
      <c r="J1516" s="60">
        <f>EFEITO!$J$1516*EFEITO!$Y$1516/(1-CUSTOS!$M$38)</f>
        <v>0</v>
      </c>
      <c r="K1516" s="60">
        <f ca="1">EFEITO!$L$1516*EFEITO!$Z$1516/(1-CUSTOS!$M$38)</f>
        <v>61.162801061469047</v>
      </c>
      <c r="L1516" s="60">
        <f>EFEITO!$N$1516*EFEITO!$AA$1516/(1-CUSTOS!$M$38)</f>
        <v>20.969907782678696</v>
      </c>
      <c r="M1516" s="60">
        <f>$J$1516-EFEITO!$K$1516*EFEITO!$Y$1516</f>
        <v>0</v>
      </c>
      <c r="N1516" s="60">
        <f ca="1">$K$1516-EFEITO!$M$1516*EFEITO!$Z$1516</f>
        <v>3.6697680636881458</v>
      </c>
      <c r="O1516" s="60">
        <f>$L$1516-EFEITO!$O$1516*EFEITO!$AA$1516</f>
        <v>1.2581944669607239</v>
      </c>
      <c r="P1516" s="18"/>
      <c r="Q1516" s="18"/>
      <c r="R1516" s="18"/>
      <c r="S1516" s="18"/>
      <c r="T1516" s="18"/>
      <c r="U1516" s="18"/>
      <c r="V1516" s="18"/>
      <c r="W1516" s="18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</row>
    <row r="1517" spans="1:36" ht="11.25" customHeight="1" x14ac:dyDescent="0.2">
      <c r="A1517" s="51" t="s">
        <v>21</v>
      </c>
      <c r="B1517" s="51" t="s">
        <v>44</v>
      </c>
      <c r="C1517" s="51" t="s">
        <v>33</v>
      </c>
      <c r="D1517" s="51" t="s">
        <v>45</v>
      </c>
      <c r="E1517" s="51" t="s">
        <v>25</v>
      </c>
      <c r="F1517" s="51" t="s">
        <v>25</v>
      </c>
      <c r="G1517" s="51" t="s">
        <v>25</v>
      </c>
      <c r="H1517" s="51" t="s">
        <v>34</v>
      </c>
      <c r="I1517" s="59">
        <v>44470</v>
      </c>
      <c r="J1517" s="60">
        <f>EFEITO!$J$1517*EFEITO!$Y$1517/(1-CUSTOS!$M$38)</f>
        <v>0</v>
      </c>
      <c r="K1517" s="60">
        <f ca="1">EFEITO!$L$1517*EFEITO!$Z$1517/(1-CUSTOS!$M$38)</f>
        <v>54.835614744765344</v>
      </c>
      <c r="L1517" s="60">
        <f>EFEITO!$N$1517*EFEITO!$AA$1517/(1-CUSTOS!$M$38)</f>
        <v>18.800606977574002</v>
      </c>
      <c r="M1517" s="60">
        <f>$J$1517-EFEITO!$K$1517*EFEITO!$Y$1517</f>
        <v>0</v>
      </c>
      <c r="N1517" s="60">
        <f ca="1">$K$1517-EFEITO!$M$1517*EFEITO!$Z$1517</f>
        <v>3.2901368846859214</v>
      </c>
      <c r="O1517" s="60">
        <f>$L$1517-EFEITO!$O$1517*EFEITO!$AA$1517</f>
        <v>1.1280364186544425</v>
      </c>
      <c r="P1517" s="18"/>
      <c r="Q1517" s="18"/>
      <c r="R1517" s="18"/>
      <c r="S1517" s="18"/>
      <c r="T1517" s="18"/>
      <c r="U1517" s="18"/>
      <c r="V1517" s="18"/>
      <c r="W1517" s="18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</row>
    <row r="1518" spans="1:36" ht="11.25" customHeight="1" x14ac:dyDescent="0.2">
      <c r="A1518" s="51" t="s">
        <v>21</v>
      </c>
      <c r="B1518" s="51" t="s">
        <v>44</v>
      </c>
      <c r="C1518" s="51" t="s">
        <v>33</v>
      </c>
      <c r="D1518" s="51" t="s">
        <v>45</v>
      </c>
      <c r="E1518" s="51" t="s">
        <v>25</v>
      </c>
      <c r="F1518" s="51" t="s">
        <v>25</v>
      </c>
      <c r="G1518" s="51" t="s">
        <v>25</v>
      </c>
      <c r="H1518" s="51" t="s">
        <v>34</v>
      </c>
      <c r="I1518" s="59">
        <v>44501</v>
      </c>
      <c r="J1518" s="60">
        <f>EFEITO!$J$1518*EFEITO!$Y$1518/(1-CUSTOS!$M$38)</f>
        <v>0</v>
      </c>
      <c r="K1518" s="60">
        <f ca="1">EFEITO!$L$1518*EFEITO!$Z$1518/(1-CUSTOS!$M$38)</f>
        <v>49.562959480845613</v>
      </c>
      <c r="L1518" s="60">
        <f>EFEITO!$N$1518*EFEITO!$AA$1518/(1-CUSTOS!$M$38)</f>
        <v>16.992856306653426</v>
      </c>
      <c r="M1518" s="60">
        <f>$J$1518-EFEITO!$K$1518*EFEITO!$Y$1518</f>
        <v>0</v>
      </c>
      <c r="N1518" s="60">
        <f ca="1">$K$1518-EFEITO!$M$1518*EFEITO!$Z$1518</f>
        <v>2.9737775688507426</v>
      </c>
      <c r="O1518" s="60">
        <f>$L$1518-EFEITO!$O$1518*EFEITO!$AA$1518</f>
        <v>1.019571378399208</v>
      </c>
      <c r="P1518" s="18"/>
      <c r="Q1518" s="18"/>
      <c r="R1518" s="18"/>
      <c r="S1518" s="18"/>
      <c r="T1518" s="18"/>
      <c r="U1518" s="18"/>
      <c r="V1518" s="18"/>
      <c r="W1518" s="18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</row>
    <row r="1519" spans="1:36" ht="11.25" customHeight="1" x14ac:dyDescent="0.2">
      <c r="A1519" s="51" t="s">
        <v>21</v>
      </c>
      <c r="B1519" s="51" t="s">
        <v>44</v>
      </c>
      <c r="C1519" s="51" t="s">
        <v>33</v>
      </c>
      <c r="D1519" s="51" t="s">
        <v>45</v>
      </c>
      <c r="E1519" s="51" t="s">
        <v>25</v>
      </c>
      <c r="F1519" s="51" t="s">
        <v>25</v>
      </c>
      <c r="G1519" s="51" t="s">
        <v>25</v>
      </c>
      <c r="H1519" s="51" t="s">
        <v>34</v>
      </c>
      <c r="I1519" s="59">
        <v>44531</v>
      </c>
      <c r="J1519" s="60">
        <f>EFEITO!$J$1519*EFEITO!$Y$1519/(1-CUSTOS!$M$38)</f>
        <v>0</v>
      </c>
      <c r="K1519" s="60">
        <f ca="1">EFEITO!$L$1519*EFEITO!$Z$1519/(1-CUSTOS!$M$38)</f>
        <v>23.199683161246877</v>
      </c>
      <c r="L1519" s="60">
        <f>EFEITO!$N$1519*EFEITO!$AA$1519/(1-CUSTOS!$M$38)</f>
        <v>7.9541029520505377</v>
      </c>
      <c r="M1519" s="60">
        <f>$J$1519-EFEITO!$K$1519*EFEITO!$Y$1519</f>
        <v>0</v>
      </c>
      <c r="N1519" s="60">
        <f ca="1">$K$1519-EFEITO!$M$1519*EFEITO!$Z$1519</f>
        <v>1.3919809896748134</v>
      </c>
      <c r="O1519" s="60">
        <f>$L$1519-EFEITO!$O$1519*EFEITO!$AA$1519</f>
        <v>0.47724617712303274</v>
      </c>
      <c r="P1519" s="18"/>
      <c r="Q1519" s="18"/>
      <c r="R1519" s="18"/>
      <c r="S1519" s="18"/>
      <c r="T1519" s="18"/>
      <c r="U1519" s="18"/>
      <c r="V1519" s="18"/>
      <c r="W1519" s="18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</row>
    <row r="1520" spans="1:36" ht="11.25" customHeight="1" x14ac:dyDescent="0.2">
      <c r="A1520" s="51" t="s">
        <v>21</v>
      </c>
      <c r="B1520" s="51" t="s">
        <v>44</v>
      </c>
      <c r="C1520" s="51" t="s">
        <v>33</v>
      </c>
      <c r="D1520" s="51" t="s">
        <v>45</v>
      </c>
      <c r="E1520" s="51" t="s">
        <v>25</v>
      </c>
      <c r="F1520" s="51" t="s">
        <v>25</v>
      </c>
      <c r="G1520" s="51" t="s">
        <v>25</v>
      </c>
      <c r="H1520" s="51" t="s">
        <v>34</v>
      </c>
      <c r="I1520" s="59">
        <v>44562</v>
      </c>
      <c r="J1520" s="60">
        <f>EFEITO!$J$1520*EFEITO!$Y$1520/(1-CUSTOS!$M$38)</f>
        <v>0</v>
      </c>
      <c r="K1520" s="60">
        <f ca="1">EFEITO!$L$1520*EFEITO!$Z$1520/(1-CUSTOS!$M$38)</f>
        <v>23.199683161246877</v>
      </c>
      <c r="L1520" s="60">
        <f>EFEITO!$N$1520*EFEITO!$AA$1520/(1-CUSTOS!$M$38)</f>
        <v>7.9541029520505377</v>
      </c>
      <c r="M1520" s="60">
        <f>$J$1520-EFEITO!$K$1520*EFEITO!$Y$1520</f>
        <v>0</v>
      </c>
      <c r="N1520" s="60">
        <f ca="1">$K$1520-EFEITO!$M$1520*EFEITO!$Z$1520</f>
        <v>1.3919809896748134</v>
      </c>
      <c r="O1520" s="60">
        <f>$L$1520-EFEITO!$O$1520*EFEITO!$AA$1520</f>
        <v>0.47724617712303274</v>
      </c>
      <c r="P1520" s="18"/>
      <c r="Q1520" s="18"/>
      <c r="R1520" s="18"/>
      <c r="S1520" s="18"/>
      <c r="T1520" s="18"/>
      <c r="U1520" s="18"/>
      <c r="V1520" s="18"/>
      <c r="W1520" s="18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</row>
    <row r="1521" spans="1:36" ht="11.25" customHeight="1" x14ac:dyDescent="0.2">
      <c r="A1521" s="51" t="s">
        <v>21</v>
      </c>
      <c r="B1521" s="51" t="s">
        <v>44</v>
      </c>
      <c r="C1521" s="51" t="s">
        <v>33</v>
      </c>
      <c r="D1521" s="51" t="s">
        <v>45</v>
      </c>
      <c r="E1521" s="51" t="s">
        <v>25</v>
      </c>
      <c r="F1521" s="51" t="s">
        <v>25</v>
      </c>
      <c r="G1521" s="51" t="s">
        <v>25</v>
      </c>
      <c r="H1521" s="51" t="s">
        <v>34</v>
      </c>
      <c r="I1521" s="59">
        <v>44593</v>
      </c>
      <c r="J1521" s="60">
        <f>EFEITO!$J$1521*EFEITO!$Y$1521/(1-CUSTOS!$M$38)</f>
        <v>0</v>
      </c>
      <c r="K1521" s="60">
        <f ca="1">EFEITO!$L$1521*EFEITO!$Z$1521/(1-CUSTOS!$M$38)</f>
        <v>18.981558950111083</v>
      </c>
      <c r="L1521" s="60">
        <f>EFEITO!$N$1521*EFEITO!$AA$1521/(1-CUSTOS!$M$38)</f>
        <v>6.507902415314077</v>
      </c>
      <c r="M1521" s="60">
        <f>$J$1521-EFEITO!$K$1521*EFEITO!$Y$1521</f>
        <v>0</v>
      </c>
      <c r="N1521" s="60">
        <f ca="1">$K$1521-EFEITO!$M$1521*EFEITO!$Z$1521</f>
        <v>1.1388935370066662</v>
      </c>
      <c r="O1521" s="60">
        <f>$L$1521-EFEITO!$O$1521*EFEITO!$AA$1521</f>
        <v>0.39047414491884513</v>
      </c>
      <c r="P1521" s="18"/>
      <c r="Q1521" s="18"/>
      <c r="R1521" s="18"/>
      <c r="S1521" s="18"/>
      <c r="T1521" s="18"/>
      <c r="U1521" s="18"/>
      <c r="V1521" s="18"/>
      <c r="W1521" s="18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</row>
    <row r="1522" spans="1:36" ht="11.25" customHeight="1" x14ac:dyDescent="0.2">
      <c r="A1522" s="51" t="s">
        <v>56</v>
      </c>
      <c r="B1522" s="51" t="s">
        <v>44</v>
      </c>
      <c r="C1522" s="51" t="s">
        <v>33</v>
      </c>
      <c r="D1522" s="51" t="s">
        <v>45</v>
      </c>
      <c r="E1522" s="51" t="s">
        <v>25</v>
      </c>
      <c r="F1522" s="51" t="s">
        <v>25</v>
      </c>
      <c r="G1522" s="51" t="s">
        <v>25</v>
      </c>
      <c r="H1522" s="51" t="s">
        <v>34</v>
      </c>
      <c r="I1522" s="59">
        <v>44621</v>
      </c>
      <c r="J1522" s="60">
        <f>EFEITO!$J$1522*EFEITO!$Y$1522/(1-CUSTOS!$M$38)</f>
        <v>0</v>
      </c>
      <c r="K1522" s="60">
        <f ca="1">EFEITO!$L$1522*EFEITO!$Z$1522/(1-CUSTOS!$M$38)</f>
        <v>18.981558950111083</v>
      </c>
      <c r="L1522" s="60">
        <f>EFEITO!$N$1522*EFEITO!$AA$1522/(1-CUSTOS!$M$38)</f>
        <v>6.507902415314077</v>
      </c>
      <c r="M1522" s="60">
        <f>$J$1522-EFEITO!$K$1522*EFEITO!$Y$1522</f>
        <v>0</v>
      </c>
      <c r="N1522" s="60">
        <f ca="1">$K$1522-EFEITO!$M$1522*EFEITO!$Z$1522</f>
        <v>1.1388935370066662</v>
      </c>
      <c r="O1522" s="60">
        <f>$L$1522-EFEITO!$O$1522*EFEITO!$AA$1522</f>
        <v>0.39047414491884513</v>
      </c>
      <c r="P1522" s="18"/>
      <c r="Q1522" s="18"/>
      <c r="R1522" s="18"/>
      <c r="S1522" s="18"/>
      <c r="T1522" s="18"/>
      <c r="U1522" s="18"/>
      <c r="V1522" s="18"/>
      <c r="W1522" s="18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</row>
    <row r="1523" spans="1:36" ht="11.25" customHeight="1" x14ac:dyDescent="0.2">
      <c r="A1523" s="51" t="s">
        <v>21</v>
      </c>
      <c r="B1523" s="51" t="s">
        <v>44</v>
      </c>
      <c r="C1523" s="51" t="s">
        <v>23</v>
      </c>
      <c r="D1523" s="51" t="s">
        <v>45</v>
      </c>
      <c r="E1523" s="51" t="s">
        <v>53</v>
      </c>
      <c r="F1523" s="51" t="s">
        <v>54</v>
      </c>
      <c r="G1523" s="51" t="s">
        <v>25</v>
      </c>
      <c r="H1523" s="51" t="s">
        <v>25</v>
      </c>
      <c r="I1523" s="59">
        <v>44287</v>
      </c>
      <c r="J1523" s="60">
        <f>EFEITO!$J$1523*EFEITO!$Y$1279</f>
        <v>0</v>
      </c>
      <c r="K1523" s="60">
        <f ca="1">EFEITO!$L$1523*EFEITO!$Z$1279</f>
        <v>141861.41699462297</v>
      </c>
      <c r="L1523" s="60">
        <f>EFEITO!$N$1523*EFEITO!$AA$1279</f>
        <v>80974.224620151959</v>
      </c>
      <c r="M1523" s="60">
        <f>$J$1523-EFEITO!$K$1523*EFEITO!$Y$1523</f>
        <v>0</v>
      </c>
      <c r="N1523" s="60">
        <f ca="1">$K$1523-EFEITO!$M$1523*EFEITO!$Z$1523</f>
        <v>8511.6850196773885</v>
      </c>
      <c r="O1523" s="60">
        <f>$L$1523-EFEITO!$O$1523*EFEITO!$AA$1523</f>
        <v>4858.4534772091283</v>
      </c>
      <c r="P1523" s="18"/>
      <c r="Q1523" s="18"/>
      <c r="R1523" s="18"/>
      <c r="S1523" s="18"/>
      <c r="T1523" s="18"/>
      <c r="U1523" s="18"/>
      <c r="V1523" s="18"/>
      <c r="W1523" s="18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</row>
    <row r="1524" spans="1:36" ht="11.25" customHeight="1" x14ac:dyDescent="0.2">
      <c r="A1524" s="51" t="s">
        <v>27</v>
      </c>
      <c r="B1524" s="51" t="s">
        <v>44</v>
      </c>
      <c r="C1524" s="51" t="s">
        <v>23</v>
      </c>
      <c r="D1524" s="51" t="s">
        <v>45</v>
      </c>
      <c r="E1524" s="51" t="s">
        <v>53</v>
      </c>
      <c r="F1524" s="51" t="s">
        <v>54</v>
      </c>
      <c r="G1524" s="51" t="s">
        <v>25</v>
      </c>
      <c r="H1524" s="51" t="s">
        <v>25</v>
      </c>
      <c r="I1524" s="59">
        <v>44287</v>
      </c>
      <c r="J1524" s="60">
        <f>EFEITO!$J$1524*EFEITO!$Y$1279</f>
        <v>0</v>
      </c>
      <c r="K1524" s="60">
        <f ca="1">EFEITO!$L$1524*EFEITO!$Z$1279</f>
        <v>-2740.2645019132806</v>
      </c>
      <c r="L1524" s="60">
        <f>EFEITO!$N$1524*EFEITO!$AA$1279</f>
        <v>-1564.1377197364752</v>
      </c>
      <c r="M1524" s="60">
        <f>$J$1524-EFEITO!$K$1524*EFEITO!$Y$1524</f>
        <v>0</v>
      </c>
      <c r="N1524" s="60">
        <f ca="1">$K$1524-EFEITO!$M$1524*EFEITO!$Z$1524</f>
        <v>-164.41587011479714</v>
      </c>
      <c r="O1524" s="60">
        <f>$L$1524-EFEITO!$O$1524*EFEITO!$AA$1524</f>
        <v>-93.848263184188681</v>
      </c>
      <c r="P1524" s="18"/>
      <c r="Q1524" s="18"/>
      <c r="R1524" s="18"/>
      <c r="S1524" s="18"/>
      <c r="T1524" s="18"/>
      <c r="U1524" s="18"/>
      <c r="V1524" s="18"/>
      <c r="W1524" s="18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</row>
    <row r="1525" spans="1:36" ht="11.25" customHeight="1" x14ac:dyDescent="0.2">
      <c r="A1525" s="51" t="s">
        <v>28</v>
      </c>
      <c r="B1525" s="51" t="s">
        <v>44</v>
      </c>
      <c r="C1525" s="51" t="s">
        <v>23</v>
      </c>
      <c r="D1525" s="51" t="s">
        <v>45</v>
      </c>
      <c r="E1525" s="51" t="s">
        <v>53</v>
      </c>
      <c r="F1525" s="51" t="s">
        <v>54</v>
      </c>
      <c r="G1525" s="51" t="s">
        <v>25</v>
      </c>
      <c r="H1525" s="51" t="s">
        <v>25</v>
      </c>
      <c r="I1525" s="59">
        <v>44287</v>
      </c>
      <c r="J1525" s="60">
        <f>EFEITO!$J$1525*EFEITO!$Y$1279</f>
        <v>0</v>
      </c>
      <c r="K1525" s="60">
        <f ca="1">EFEITO!$L$1525*EFEITO!$Z$1279</f>
        <v>577.2440151067135</v>
      </c>
      <c r="L1525" s="60">
        <f>EFEITO!$N$1525*EFEITO!$AA$1279</f>
        <v>329.48977622055679</v>
      </c>
      <c r="M1525" s="60">
        <f>$J$1525-EFEITO!$K$1525*EFEITO!$Y$1525</f>
        <v>0</v>
      </c>
      <c r="N1525" s="60">
        <f ca="1">$K$1525-EFEITO!$M$1525*EFEITO!$Z$1525</f>
        <v>34.634640906402865</v>
      </c>
      <c r="O1525" s="60">
        <f>$L$1525-EFEITO!$O$1525*EFEITO!$AA$1525</f>
        <v>19.769386573233419</v>
      </c>
      <c r="P1525" s="18"/>
      <c r="Q1525" s="18"/>
      <c r="R1525" s="18"/>
      <c r="S1525" s="18"/>
      <c r="T1525" s="18"/>
      <c r="U1525" s="18"/>
      <c r="V1525" s="18"/>
      <c r="W1525" s="18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</row>
    <row r="1526" spans="1:36" ht="11.25" customHeight="1" x14ac:dyDescent="0.2">
      <c r="A1526" s="51" t="s">
        <v>21</v>
      </c>
      <c r="B1526" s="51" t="s">
        <v>44</v>
      </c>
      <c r="C1526" s="51" t="s">
        <v>23</v>
      </c>
      <c r="D1526" s="51" t="s">
        <v>45</v>
      </c>
      <c r="E1526" s="51" t="s">
        <v>53</v>
      </c>
      <c r="F1526" s="51" t="s">
        <v>54</v>
      </c>
      <c r="G1526" s="51" t="s">
        <v>25</v>
      </c>
      <c r="H1526" s="51" t="s">
        <v>25</v>
      </c>
      <c r="I1526" s="59">
        <v>44317</v>
      </c>
      <c r="J1526" s="60">
        <f>EFEITO!$J$1526*EFEITO!$Y$1279</f>
        <v>0</v>
      </c>
      <c r="K1526" s="60">
        <f ca="1">EFEITO!$L$1526*EFEITO!$Z$1279</f>
        <v>52816.59395488158</v>
      </c>
      <c r="L1526" s="60">
        <f>EFEITO!$N$1526*EFEITO!$AA$1279</f>
        <v>30147.610486197569</v>
      </c>
      <c r="M1526" s="60">
        <f>$J$1526-EFEITO!$K$1526*EFEITO!$Y$1526</f>
        <v>0</v>
      </c>
      <c r="N1526" s="60">
        <f ca="1">$K$1526-EFEITO!$M$1526*EFEITO!$Z$1526</f>
        <v>3168.9956372928937</v>
      </c>
      <c r="O1526" s="60">
        <f>$L$1526-EFEITO!$O$1526*EFEITO!$AA$1526</f>
        <v>1808.8566291718562</v>
      </c>
      <c r="P1526" s="18"/>
      <c r="Q1526" s="18"/>
      <c r="R1526" s="18"/>
      <c r="S1526" s="18"/>
      <c r="T1526" s="18"/>
      <c r="U1526" s="18"/>
      <c r="V1526" s="18"/>
      <c r="W1526" s="18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</row>
    <row r="1527" spans="1:36" ht="11.25" customHeight="1" x14ac:dyDescent="0.2">
      <c r="A1527" s="51" t="s">
        <v>27</v>
      </c>
      <c r="B1527" s="51" t="s">
        <v>44</v>
      </c>
      <c r="C1527" s="51" t="s">
        <v>23</v>
      </c>
      <c r="D1527" s="51" t="s">
        <v>45</v>
      </c>
      <c r="E1527" s="51" t="s">
        <v>53</v>
      </c>
      <c r="F1527" s="51" t="s">
        <v>54</v>
      </c>
      <c r="G1527" s="51" t="s">
        <v>25</v>
      </c>
      <c r="H1527" s="51" t="s">
        <v>25</v>
      </c>
      <c r="I1527" s="59">
        <v>44317</v>
      </c>
      <c r="J1527" s="60">
        <f>EFEITO!$J$1527*EFEITO!$Y$1279</f>
        <v>0</v>
      </c>
      <c r="K1527" s="60">
        <f ca="1">EFEITO!$L$1527*EFEITO!$Z$1279</f>
        <v>-96691.661670061745</v>
      </c>
      <c r="L1527" s="60">
        <f>EFEITO!$N$1527*EFEITO!$AA$1279</f>
        <v>-55191.414951565603</v>
      </c>
      <c r="M1527" s="60">
        <f>$J$1527-EFEITO!$K$1527*EFEITO!$Y$1527</f>
        <v>0</v>
      </c>
      <c r="N1527" s="60">
        <f ca="1">$K$1527-EFEITO!$M$1527*EFEITO!$Z$1527</f>
        <v>-5801.4997002037126</v>
      </c>
      <c r="O1527" s="60">
        <f>$L$1527-EFEITO!$O$1527*EFEITO!$AA$1527</f>
        <v>-3311.484897093942</v>
      </c>
      <c r="P1527" s="18"/>
      <c r="Q1527" s="18"/>
      <c r="R1527" s="18"/>
      <c r="S1527" s="18"/>
      <c r="T1527" s="18"/>
      <c r="U1527" s="18"/>
      <c r="V1527" s="18"/>
      <c r="W1527" s="18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</row>
    <row r="1528" spans="1:36" ht="11.25" customHeight="1" x14ac:dyDescent="0.2">
      <c r="A1528" s="51" t="s">
        <v>28</v>
      </c>
      <c r="B1528" s="51" t="s">
        <v>44</v>
      </c>
      <c r="C1528" s="51" t="s">
        <v>23</v>
      </c>
      <c r="D1528" s="51" t="s">
        <v>45</v>
      </c>
      <c r="E1528" s="51" t="s">
        <v>53</v>
      </c>
      <c r="F1528" s="51" t="s">
        <v>54</v>
      </c>
      <c r="G1528" s="51" t="s">
        <v>25</v>
      </c>
      <c r="H1528" s="51" t="s">
        <v>25</v>
      </c>
      <c r="I1528" s="59">
        <v>44317</v>
      </c>
      <c r="J1528" s="60">
        <f>EFEITO!$J$1528*EFEITO!$Y$1279</f>
        <v>0</v>
      </c>
      <c r="K1528" s="60">
        <f ca="1">EFEITO!$L$1528*EFEITO!$Z$1279</f>
        <v>381.54020371725801</v>
      </c>
      <c r="L1528" s="60">
        <f>EFEITO!$N$1528*EFEITO!$AA$1279</f>
        <v>217.7824161913652</v>
      </c>
      <c r="M1528" s="60">
        <f>$J$1528-EFEITO!$K$1528*EFEITO!$Y$1528</f>
        <v>0</v>
      </c>
      <c r="N1528" s="60">
        <f ca="1">$K$1528-EFEITO!$M$1528*EFEITO!$Z$1528</f>
        <v>22.892412223035535</v>
      </c>
      <c r="O1528" s="60">
        <f>$L$1528-EFEITO!$O$1528*EFEITO!$AA$1528</f>
        <v>13.066944971481945</v>
      </c>
      <c r="P1528" s="18"/>
      <c r="Q1528" s="18"/>
      <c r="R1528" s="18"/>
      <c r="S1528" s="18"/>
      <c r="T1528" s="18"/>
      <c r="U1528" s="18"/>
      <c r="V1528" s="18"/>
      <c r="W1528" s="18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</row>
    <row r="1529" spans="1:36" ht="11.25" customHeight="1" x14ac:dyDescent="0.2">
      <c r="A1529" s="51" t="s">
        <v>21</v>
      </c>
      <c r="B1529" s="51" t="s">
        <v>44</v>
      </c>
      <c r="C1529" s="51" t="s">
        <v>23</v>
      </c>
      <c r="D1529" s="51" t="s">
        <v>45</v>
      </c>
      <c r="E1529" s="51" t="s">
        <v>53</v>
      </c>
      <c r="F1529" s="51" t="s">
        <v>54</v>
      </c>
      <c r="G1529" s="51" t="s">
        <v>25</v>
      </c>
      <c r="H1529" s="51" t="s">
        <v>25</v>
      </c>
      <c r="I1529" s="59">
        <v>44348</v>
      </c>
      <c r="J1529" s="60">
        <f>EFEITO!$J$1529*EFEITO!$Y$1279</f>
        <v>0</v>
      </c>
      <c r="K1529" s="60">
        <f ca="1">EFEITO!$L$1529*EFEITO!$Z$1279</f>
        <v>52347.480406992152</v>
      </c>
      <c r="L1529" s="60">
        <f>EFEITO!$N$1529*EFEITO!$AA$1279</f>
        <v>29879.84137318642</v>
      </c>
      <c r="M1529" s="60">
        <f>$J$1529-EFEITO!$K$1529*EFEITO!$Y$1529</f>
        <v>0</v>
      </c>
      <c r="N1529" s="60">
        <f ca="1">$K$1529-EFEITO!$M$1529*EFEITO!$Z$1529</f>
        <v>3140.8488244195323</v>
      </c>
      <c r="O1529" s="60">
        <f>$L$1529-EFEITO!$O$1529*EFEITO!$AA$1529</f>
        <v>1792.7904823911886</v>
      </c>
      <c r="P1529" s="18"/>
      <c r="Q1529" s="18"/>
      <c r="R1529" s="18"/>
      <c r="S1529" s="18"/>
      <c r="T1529" s="18"/>
      <c r="U1529" s="18"/>
      <c r="V1529" s="18"/>
      <c r="W1529" s="18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</row>
    <row r="1530" spans="1:36" ht="11.25" customHeight="1" x14ac:dyDescent="0.2">
      <c r="A1530" s="51" t="s">
        <v>27</v>
      </c>
      <c r="B1530" s="51" t="s">
        <v>44</v>
      </c>
      <c r="C1530" s="51" t="s">
        <v>23</v>
      </c>
      <c r="D1530" s="51" t="s">
        <v>45</v>
      </c>
      <c r="E1530" s="51" t="s">
        <v>53</v>
      </c>
      <c r="F1530" s="51" t="s">
        <v>54</v>
      </c>
      <c r="G1530" s="51" t="s">
        <v>25</v>
      </c>
      <c r="H1530" s="51" t="s">
        <v>25</v>
      </c>
      <c r="I1530" s="59">
        <v>44348</v>
      </c>
      <c r="J1530" s="60">
        <f>EFEITO!$J$1530*EFEITO!$Y$1279</f>
        <v>0</v>
      </c>
      <c r="K1530" s="60">
        <f ca="1">EFEITO!$L$1530*EFEITO!$Z$1279</f>
        <v>260.25317775110375</v>
      </c>
      <c r="L1530" s="60">
        <f>EFEITO!$N$1530*EFEITO!$AA$1279</f>
        <v>148.55201449260147</v>
      </c>
      <c r="M1530" s="60">
        <f>$J$1530-EFEITO!$K$1530*EFEITO!$Y$1530</f>
        <v>0</v>
      </c>
      <c r="N1530" s="60">
        <f ca="1">$K$1530-EFEITO!$M$1530*EFEITO!$Z$1530</f>
        <v>15.615190665066223</v>
      </c>
      <c r="O1530" s="60">
        <f>$L$1530-EFEITO!$O$1530*EFEITO!$AA$1530</f>
        <v>8.9131208695561099</v>
      </c>
      <c r="P1530" s="18"/>
      <c r="Q1530" s="18"/>
      <c r="R1530" s="18"/>
      <c r="S1530" s="18"/>
      <c r="T1530" s="18"/>
      <c r="U1530" s="18"/>
      <c r="V1530" s="18"/>
      <c r="W1530" s="18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</row>
    <row r="1531" spans="1:36" ht="11.25" customHeight="1" x14ac:dyDescent="0.2">
      <c r="A1531" s="51" t="s">
        <v>28</v>
      </c>
      <c r="B1531" s="51" t="s">
        <v>44</v>
      </c>
      <c r="C1531" s="51" t="s">
        <v>23</v>
      </c>
      <c r="D1531" s="51" t="s">
        <v>45</v>
      </c>
      <c r="E1531" s="51" t="s">
        <v>53</v>
      </c>
      <c r="F1531" s="51" t="s">
        <v>54</v>
      </c>
      <c r="G1531" s="51" t="s">
        <v>25</v>
      </c>
      <c r="H1531" s="51" t="s">
        <v>25</v>
      </c>
      <c r="I1531" s="59">
        <v>44348</v>
      </c>
      <c r="J1531" s="60">
        <f>EFEITO!$J$1531*EFEITO!$Y$1279</f>
        <v>0</v>
      </c>
      <c r="K1531" s="60">
        <f ca="1">EFEITO!$L$1531*EFEITO!$Z$1279</f>
        <v>202.28209076389106</v>
      </c>
      <c r="L1531" s="60">
        <f>EFEITO!$N$1531*EFEITO!$AA$1279</f>
        <v>115.46222927387034</v>
      </c>
      <c r="M1531" s="60">
        <f>$J$1531-EFEITO!$K$1531*EFEITO!$Y$1531</f>
        <v>0</v>
      </c>
      <c r="N1531" s="60">
        <f ca="1">$K$1531-EFEITO!$M$1531*EFEITO!$Z$1531</f>
        <v>12.136925445833469</v>
      </c>
      <c r="O1531" s="60">
        <f>$L$1531-EFEITO!$O$1531*EFEITO!$AA$1531</f>
        <v>6.9277337564322323</v>
      </c>
      <c r="P1531" s="18"/>
      <c r="Q1531" s="18"/>
      <c r="R1531" s="18"/>
      <c r="S1531" s="18"/>
      <c r="T1531" s="18"/>
      <c r="U1531" s="18"/>
      <c r="V1531" s="18"/>
      <c r="W1531" s="18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</row>
    <row r="1532" spans="1:36" ht="11.25" customHeight="1" x14ac:dyDescent="0.2">
      <c r="A1532" s="51" t="s">
        <v>21</v>
      </c>
      <c r="B1532" s="51" t="s">
        <v>44</v>
      </c>
      <c r="C1532" s="51" t="s">
        <v>23</v>
      </c>
      <c r="D1532" s="51" t="s">
        <v>45</v>
      </c>
      <c r="E1532" s="51" t="s">
        <v>53</v>
      </c>
      <c r="F1532" s="51" t="s">
        <v>54</v>
      </c>
      <c r="G1532" s="51" t="s">
        <v>25</v>
      </c>
      <c r="H1532" s="51" t="s">
        <v>25</v>
      </c>
      <c r="I1532" s="59">
        <v>44378</v>
      </c>
      <c r="J1532" s="60">
        <f>EFEITO!$J$1532*EFEITO!$Y$1279</f>
        <v>0</v>
      </c>
      <c r="K1532" s="60">
        <f ca="1">EFEITO!$L$1532*EFEITO!$Z$1279</f>
        <v>44582.232747931972</v>
      </c>
      <c r="L1532" s="60">
        <f>EFEITO!$N$1532*EFEITO!$AA$1279</f>
        <v>25447.452909170996</v>
      </c>
      <c r="M1532" s="60">
        <f>$J$1532-EFEITO!$K$1532*EFEITO!$Y$1532</f>
        <v>0</v>
      </c>
      <c r="N1532" s="60">
        <f ca="1">$K$1532-EFEITO!$M$1532*EFEITO!$Z$1532</f>
        <v>2674.9339648759196</v>
      </c>
      <c r="O1532" s="60">
        <f>$L$1532-EFEITO!$O$1532*EFEITO!$AA$1532</f>
        <v>1526.8471745502611</v>
      </c>
      <c r="P1532" s="18"/>
      <c r="Q1532" s="18"/>
      <c r="R1532" s="18"/>
      <c r="S1532" s="18"/>
      <c r="T1532" s="18"/>
      <c r="U1532" s="18"/>
      <c r="V1532" s="18"/>
      <c r="W1532" s="18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</row>
    <row r="1533" spans="1:36" ht="11.25" customHeight="1" x14ac:dyDescent="0.2">
      <c r="A1533" s="51" t="s">
        <v>27</v>
      </c>
      <c r="B1533" s="51" t="s">
        <v>44</v>
      </c>
      <c r="C1533" s="51" t="s">
        <v>23</v>
      </c>
      <c r="D1533" s="51" t="s">
        <v>45</v>
      </c>
      <c r="E1533" s="51" t="s">
        <v>53</v>
      </c>
      <c r="F1533" s="51" t="s">
        <v>54</v>
      </c>
      <c r="G1533" s="51" t="s">
        <v>25</v>
      </c>
      <c r="H1533" s="51" t="s">
        <v>25</v>
      </c>
      <c r="I1533" s="59">
        <v>44378</v>
      </c>
      <c r="J1533" s="60">
        <f>EFEITO!$J$1533*EFEITO!$Y$1279</f>
        <v>0</v>
      </c>
      <c r="K1533" s="60">
        <f ca="1">EFEITO!$L$1533*EFEITO!$Z$1279</f>
        <v>-416.89845535484869</v>
      </c>
      <c r="L1533" s="60">
        <f>EFEITO!$N$1533*EFEITO!$AA$1279</f>
        <v>-237.96483838151323</v>
      </c>
      <c r="M1533" s="60">
        <f>$J$1533-EFEITO!$K$1533*EFEITO!$Y$1533</f>
        <v>0</v>
      </c>
      <c r="N1533" s="60">
        <f ca="1">$K$1533-EFEITO!$M$1533*EFEITO!$Z$1533</f>
        <v>-25.013907321290958</v>
      </c>
      <c r="O1533" s="60">
        <f>$L$1533-EFEITO!$O$1533*EFEITO!$AA$1533</f>
        <v>-14.277890302890796</v>
      </c>
      <c r="P1533" s="18"/>
      <c r="Q1533" s="18"/>
      <c r="R1533" s="18"/>
      <c r="S1533" s="18"/>
      <c r="T1533" s="18"/>
      <c r="U1533" s="18"/>
      <c r="V1533" s="18"/>
      <c r="W1533" s="18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</row>
    <row r="1534" spans="1:36" ht="11.25" customHeight="1" x14ac:dyDescent="0.2">
      <c r="A1534" s="51" t="s">
        <v>28</v>
      </c>
      <c r="B1534" s="51" t="s">
        <v>44</v>
      </c>
      <c r="C1534" s="51" t="s">
        <v>23</v>
      </c>
      <c r="D1534" s="51" t="s">
        <v>45</v>
      </c>
      <c r="E1534" s="51" t="s">
        <v>53</v>
      </c>
      <c r="F1534" s="51" t="s">
        <v>54</v>
      </c>
      <c r="G1534" s="51" t="s">
        <v>25</v>
      </c>
      <c r="H1534" s="51" t="s">
        <v>25</v>
      </c>
      <c r="I1534" s="59">
        <v>44378</v>
      </c>
      <c r="J1534" s="60">
        <f>EFEITO!$J$1534*EFEITO!$Y$1279</f>
        <v>0</v>
      </c>
      <c r="K1534" s="60">
        <f ca="1">EFEITO!$L$1534*EFEITO!$Z$1279</f>
        <v>256.96403806388605</v>
      </c>
      <c r="L1534" s="60">
        <f>EFEITO!$N$1534*EFEITO!$AA$1279</f>
        <v>146.67457987026211</v>
      </c>
      <c r="M1534" s="60">
        <f>$J$1534-EFEITO!$K$1534*EFEITO!$Y$1534</f>
        <v>0</v>
      </c>
      <c r="N1534" s="60">
        <f ca="1">$K$1534-EFEITO!$M$1534*EFEITO!$Z$1534</f>
        <v>15.41784228383321</v>
      </c>
      <c r="O1534" s="60">
        <f>$L$1534-EFEITO!$O$1534*EFEITO!$AA$1534</f>
        <v>8.8004747922157378</v>
      </c>
      <c r="P1534" s="18"/>
      <c r="Q1534" s="18"/>
      <c r="R1534" s="18"/>
      <c r="S1534" s="18"/>
      <c r="T1534" s="18"/>
      <c r="U1534" s="18"/>
      <c r="V1534" s="18"/>
      <c r="W1534" s="18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</row>
    <row r="1535" spans="1:36" ht="11.25" customHeight="1" x14ac:dyDescent="0.2">
      <c r="A1535" s="51" t="s">
        <v>21</v>
      </c>
      <c r="B1535" s="51" t="s">
        <v>44</v>
      </c>
      <c r="C1535" s="51" t="s">
        <v>23</v>
      </c>
      <c r="D1535" s="51" t="s">
        <v>45</v>
      </c>
      <c r="E1535" s="51" t="s">
        <v>53</v>
      </c>
      <c r="F1535" s="51" t="s">
        <v>54</v>
      </c>
      <c r="G1535" s="51" t="s">
        <v>25</v>
      </c>
      <c r="H1535" s="51" t="s">
        <v>25</v>
      </c>
      <c r="I1535" s="59">
        <v>44409</v>
      </c>
      <c r="J1535" s="60">
        <f>EFEITO!$J$1535*EFEITO!$Y$1279</f>
        <v>0</v>
      </c>
      <c r="K1535" s="60">
        <f ca="1">EFEITO!$L$1535*EFEITO!$Z$1279</f>
        <v>45093.282826833427</v>
      </c>
      <c r="L1535" s="60">
        <f>EFEITO!$N$1535*EFEITO!$AA$1279</f>
        <v>25739.159313616972</v>
      </c>
      <c r="M1535" s="60">
        <f>$J$1535-EFEITO!$K$1535*EFEITO!$Y$1535</f>
        <v>0</v>
      </c>
      <c r="N1535" s="60">
        <f ca="1">$K$1535-EFEITO!$M$1535*EFEITO!$Z$1535</f>
        <v>2705.5969696100074</v>
      </c>
      <c r="O1535" s="60">
        <f>$L$1535-EFEITO!$O$1535*EFEITO!$AA$1535</f>
        <v>1544.3495588170226</v>
      </c>
      <c r="P1535" s="18"/>
      <c r="Q1535" s="18"/>
      <c r="R1535" s="18"/>
      <c r="S1535" s="18"/>
      <c r="T1535" s="18"/>
      <c r="U1535" s="18"/>
      <c r="V1535" s="18"/>
      <c r="W1535" s="18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</row>
    <row r="1536" spans="1:36" ht="11.25" customHeight="1" x14ac:dyDescent="0.2">
      <c r="A1536" s="51" t="s">
        <v>27</v>
      </c>
      <c r="B1536" s="51" t="s">
        <v>44</v>
      </c>
      <c r="C1536" s="51" t="s">
        <v>23</v>
      </c>
      <c r="D1536" s="51" t="s">
        <v>45</v>
      </c>
      <c r="E1536" s="51" t="s">
        <v>53</v>
      </c>
      <c r="F1536" s="51" t="s">
        <v>54</v>
      </c>
      <c r="G1536" s="51" t="s">
        <v>25</v>
      </c>
      <c r="H1536" s="51" t="s">
        <v>25</v>
      </c>
      <c r="I1536" s="59">
        <v>44409</v>
      </c>
      <c r="J1536" s="60">
        <f>EFEITO!$J$1536*EFEITO!$Y$1279</f>
        <v>0</v>
      </c>
      <c r="K1536" s="60">
        <f ca="1">EFEITO!$L$1536*EFEITO!$Z$1279</f>
        <v>-2278.1403758591882</v>
      </c>
      <c r="L1536" s="60">
        <f>EFEITO!$N$1536*EFEITO!$AA$1279</f>
        <v>-1300.3581552977957</v>
      </c>
      <c r="M1536" s="60">
        <f>$J$1536-EFEITO!$K$1536*EFEITO!$Y$1536</f>
        <v>0</v>
      </c>
      <c r="N1536" s="60">
        <f ca="1">$K$1536-EFEITO!$M$1536*EFEITO!$Z$1536</f>
        <v>-136.68842255155141</v>
      </c>
      <c r="O1536" s="60">
        <f>$L$1536-EFEITO!$O$1536*EFEITO!$AA$1536</f>
        <v>-78.02148931786769</v>
      </c>
      <c r="P1536" s="18"/>
      <c r="Q1536" s="18"/>
      <c r="R1536" s="18"/>
      <c r="S1536" s="18"/>
      <c r="T1536" s="18"/>
      <c r="U1536" s="18"/>
      <c r="V1536" s="18"/>
      <c r="W1536" s="18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</row>
    <row r="1537" spans="1:36" ht="11.25" customHeight="1" x14ac:dyDescent="0.2">
      <c r="A1537" s="51" t="s">
        <v>28</v>
      </c>
      <c r="B1537" s="51" t="s">
        <v>44</v>
      </c>
      <c r="C1537" s="51" t="s">
        <v>23</v>
      </c>
      <c r="D1537" s="51" t="s">
        <v>45</v>
      </c>
      <c r="E1537" s="51" t="s">
        <v>53</v>
      </c>
      <c r="F1537" s="51" t="s">
        <v>54</v>
      </c>
      <c r="G1537" s="51" t="s">
        <v>25</v>
      </c>
      <c r="H1537" s="51" t="s">
        <v>25</v>
      </c>
      <c r="I1537" s="59">
        <v>44409</v>
      </c>
      <c r="J1537" s="60">
        <f>EFEITO!$J$1537*EFEITO!$Y$1279</f>
        <v>0</v>
      </c>
      <c r="K1537" s="60">
        <f ca="1">EFEITO!$L$1537*EFEITO!$Z$1279</f>
        <v>272.17630911726809</v>
      </c>
      <c r="L1537" s="60">
        <f>EFEITO!$N$1537*EFEITO!$AA$1279</f>
        <v>155.35771499858163</v>
      </c>
      <c r="M1537" s="60">
        <f>$J$1537-EFEITO!$K$1537*EFEITO!$Y$1537</f>
        <v>0</v>
      </c>
      <c r="N1537" s="60">
        <f ca="1">$K$1537-EFEITO!$M$1537*EFEITO!$Z$1537</f>
        <v>16.330578547036112</v>
      </c>
      <c r="O1537" s="60">
        <f>$L$1537-EFEITO!$O$1537*EFEITO!$AA$1537</f>
        <v>9.3214628999149056</v>
      </c>
      <c r="P1537" s="18"/>
      <c r="Q1537" s="18"/>
      <c r="R1537" s="18"/>
      <c r="S1537" s="18"/>
      <c r="T1537" s="18"/>
      <c r="U1537" s="18"/>
      <c r="V1537" s="18"/>
      <c r="W1537" s="18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</row>
    <row r="1538" spans="1:36" ht="11.25" customHeight="1" x14ac:dyDescent="0.2">
      <c r="A1538" s="51" t="s">
        <v>21</v>
      </c>
      <c r="B1538" s="51" t="s">
        <v>44</v>
      </c>
      <c r="C1538" s="51" t="s">
        <v>23</v>
      </c>
      <c r="D1538" s="51" t="s">
        <v>45</v>
      </c>
      <c r="E1538" s="51" t="s">
        <v>53</v>
      </c>
      <c r="F1538" s="51" t="s">
        <v>54</v>
      </c>
      <c r="G1538" s="51" t="s">
        <v>25</v>
      </c>
      <c r="H1538" s="51" t="s">
        <v>25</v>
      </c>
      <c r="I1538" s="59">
        <v>44440</v>
      </c>
      <c r="J1538" s="60">
        <f>EFEITO!$J$1538*EFEITO!$Y$1279</f>
        <v>0</v>
      </c>
      <c r="K1538" s="60">
        <f ca="1">EFEITO!$L$1538*EFEITO!$Z$1279</f>
        <v>80057.248844418908</v>
      </c>
      <c r="L1538" s="60">
        <f>EFEITO!$N$1538*EFEITO!$AA$1279</f>
        <v>45696.524028412103</v>
      </c>
      <c r="M1538" s="60">
        <f>$J$1538-EFEITO!$K$1538*EFEITO!$Y$1538</f>
        <v>0</v>
      </c>
      <c r="N1538" s="60">
        <f ca="1">$K$1538-EFEITO!$M$1538*EFEITO!$Z$1538</f>
        <v>4803.4349306651275</v>
      </c>
      <c r="O1538" s="60">
        <f>$L$1538-EFEITO!$O$1538*EFEITO!$AA$1538</f>
        <v>2741.7914417047286</v>
      </c>
      <c r="P1538" s="18"/>
      <c r="Q1538" s="18"/>
      <c r="R1538" s="18"/>
      <c r="S1538" s="18"/>
      <c r="T1538" s="18"/>
      <c r="U1538" s="18"/>
      <c r="V1538" s="18"/>
      <c r="W1538" s="18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</row>
    <row r="1539" spans="1:36" ht="11.25" customHeight="1" x14ac:dyDescent="0.2">
      <c r="A1539" s="51" t="s">
        <v>27</v>
      </c>
      <c r="B1539" s="51" t="s">
        <v>44</v>
      </c>
      <c r="C1539" s="51" t="s">
        <v>23</v>
      </c>
      <c r="D1539" s="51" t="s">
        <v>45</v>
      </c>
      <c r="E1539" s="51" t="s">
        <v>53</v>
      </c>
      <c r="F1539" s="51" t="s">
        <v>54</v>
      </c>
      <c r="G1539" s="51" t="s">
        <v>25</v>
      </c>
      <c r="H1539" s="51" t="s">
        <v>25</v>
      </c>
      <c r="I1539" s="59">
        <v>44440</v>
      </c>
      <c r="J1539" s="60">
        <f>EFEITO!$J$1539*EFEITO!$Y$1279</f>
        <v>0</v>
      </c>
      <c r="K1539" s="60">
        <f ca="1">EFEITO!$L$1539*EFEITO!$Z$1279</f>
        <v>-6858.267390309893</v>
      </c>
      <c r="L1539" s="60">
        <f>EFEITO!$N$1539*EFEITO!$AA$1279</f>
        <v>-3914.6858669053477</v>
      </c>
      <c r="M1539" s="60">
        <f>$J$1539-EFEITO!$K$1539*EFEITO!$Y$1539</f>
        <v>0</v>
      </c>
      <c r="N1539" s="60">
        <f ca="1">$K$1539-EFEITO!$M$1539*EFEITO!$Z$1539</f>
        <v>-411.49604341859413</v>
      </c>
      <c r="O1539" s="60">
        <f>$L$1539-EFEITO!$O$1539*EFEITO!$AA$1539</f>
        <v>-234.88115201432129</v>
      </c>
      <c r="P1539" s="18"/>
      <c r="Q1539" s="18"/>
      <c r="R1539" s="18"/>
      <c r="S1539" s="18"/>
      <c r="T1539" s="18"/>
      <c r="U1539" s="18"/>
      <c r="V1539" s="18"/>
      <c r="W1539" s="18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</row>
    <row r="1540" spans="1:36" ht="11.25" customHeight="1" x14ac:dyDescent="0.2">
      <c r="A1540" s="51" t="s">
        <v>28</v>
      </c>
      <c r="B1540" s="51" t="s">
        <v>44</v>
      </c>
      <c r="C1540" s="51" t="s">
        <v>23</v>
      </c>
      <c r="D1540" s="51" t="s">
        <v>45</v>
      </c>
      <c r="E1540" s="51" t="s">
        <v>53</v>
      </c>
      <c r="F1540" s="51" t="s">
        <v>54</v>
      </c>
      <c r="G1540" s="51" t="s">
        <v>25</v>
      </c>
      <c r="H1540" s="51" t="s">
        <v>25</v>
      </c>
      <c r="I1540" s="59">
        <v>44440</v>
      </c>
      <c r="J1540" s="60">
        <f>EFEITO!$J$1540*EFEITO!$Y$1279</f>
        <v>0</v>
      </c>
      <c r="K1540" s="60">
        <f ca="1">EFEITO!$L$1540*EFEITO!$Z$1279</f>
        <v>478.5698244901813</v>
      </c>
      <c r="L1540" s="60">
        <f>EFEITO!$N$1540*EFEITO!$AA$1279</f>
        <v>273.16673755037613</v>
      </c>
      <c r="M1540" s="60">
        <f>$J$1540-EFEITO!$K$1540*EFEITO!$Y$1540</f>
        <v>0</v>
      </c>
      <c r="N1540" s="60">
        <f ca="1">$K$1540-EFEITO!$M$1540*EFEITO!$Z$1540</f>
        <v>28.714189469410883</v>
      </c>
      <c r="O1540" s="60">
        <f>$L$1540-EFEITO!$O$1540*EFEITO!$AA$1540</f>
        <v>16.390004253022596</v>
      </c>
      <c r="P1540" s="18"/>
      <c r="Q1540" s="18"/>
      <c r="R1540" s="18"/>
      <c r="S1540" s="18"/>
      <c r="T1540" s="18"/>
      <c r="U1540" s="18"/>
      <c r="V1540" s="18"/>
      <c r="W1540" s="18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</row>
    <row r="1541" spans="1:36" ht="11.25" customHeight="1" x14ac:dyDescent="0.2">
      <c r="A1541" s="51" t="s">
        <v>21</v>
      </c>
      <c r="B1541" s="51" t="s">
        <v>44</v>
      </c>
      <c r="C1541" s="51" t="s">
        <v>23</v>
      </c>
      <c r="D1541" s="51" t="s">
        <v>45</v>
      </c>
      <c r="E1541" s="51" t="s">
        <v>53</v>
      </c>
      <c r="F1541" s="51" t="s">
        <v>54</v>
      </c>
      <c r="G1541" s="51" t="s">
        <v>25</v>
      </c>
      <c r="H1541" s="51" t="s">
        <v>25</v>
      </c>
      <c r="I1541" s="59">
        <v>44470</v>
      </c>
      <c r="J1541" s="60">
        <f>EFEITO!$J$1541*EFEITO!$Y$1279</f>
        <v>0</v>
      </c>
      <c r="K1541" s="60">
        <f ca="1">EFEITO!$L$1541*EFEITO!$Z$1279</f>
        <v>134915.57626014092</v>
      </c>
      <c r="L1541" s="60">
        <f>EFEITO!$N$1541*EFEITO!$AA$1279</f>
        <v>77009.552056426837</v>
      </c>
      <c r="M1541" s="60">
        <f>$J$1541-EFEITO!$K$1541*EFEITO!$Y$1541</f>
        <v>0</v>
      </c>
      <c r="N1541" s="60">
        <f ca="1">$K$1541-EFEITO!$M$1541*EFEITO!$Z$1541</f>
        <v>8094.9345756084658</v>
      </c>
      <c r="O1541" s="60">
        <f>$L$1541-EFEITO!$O$1541*EFEITO!$AA$1541</f>
        <v>4620.5731233856204</v>
      </c>
      <c r="P1541" s="18"/>
      <c r="Q1541" s="18"/>
      <c r="R1541" s="18"/>
      <c r="S1541" s="18"/>
      <c r="T1541" s="18"/>
      <c r="U1541" s="18"/>
      <c r="V1541" s="18"/>
      <c r="W1541" s="18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</row>
    <row r="1542" spans="1:36" ht="11.25" customHeight="1" x14ac:dyDescent="0.2">
      <c r="A1542" s="51" t="s">
        <v>27</v>
      </c>
      <c r="B1542" s="51" t="s">
        <v>44</v>
      </c>
      <c r="C1542" s="51" t="s">
        <v>23</v>
      </c>
      <c r="D1542" s="51" t="s">
        <v>45</v>
      </c>
      <c r="E1542" s="51" t="s">
        <v>53</v>
      </c>
      <c r="F1542" s="51" t="s">
        <v>54</v>
      </c>
      <c r="G1542" s="51" t="s">
        <v>25</v>
      </c>
      <c r="H1542" s="51" t="s">
        <v>25</v>
      </c>
      <c r="I1542" s="59">
        <v>44470</v>
      </c>
      <c r="J1542" s="60">
        <f>EFEITO!$J$1542*EFEITO!$Y$1279</f>
        <v>0</v>
      </c>
      <c r="K1542" s="60">
        <f ca="1">EFEITO!$L$1542*EFEITO!$Z$1279</f>
        <v>-713.74331212624986</v>
      </c>
      <c r="L1542" s="60">
        <f>EFEITO!$N$1542*EFEITO!$AA$1279</f>
        <v>-407.40331304764004</v>
      </c>
      <c r="M1542" s="60">
        <f>$J$1542-EFEITO!$K$1542*EFEITO!$Y$1542</f>
        <v>0</v>
      </c>
      <c r="N1542" s="60">
        <f ca="1">$K$1542-EFEITO!$M$1542*EFEITO!$Z$1542</f>
        <v>-42.824598727575108</v>
      </c>
      <c r="O1542" s="60">
        <f>$L$1542-EFEITO!$O$1542*EFEITO!$AA$1542</f>
        <v>-24.44419878285845</v>
      </c>
      <c r="P1542" s="18"/>
      <c r="Q1542" s="18"/>
      <c r="R1542" s="18"/>
      <c r="S1542" s="18"/>
      <c r="T1542" s="18"/>
      <c r="U1542" s="18"/>
      <c r="V1542" s="18"/>
      <c r="W1542" s="18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</row>
    <row r="1543" spans="1:36" ht="11.25" customHeight="1" x14ac:dyDescent="0.2">
      <c r="A1543" s="51" t="s">
        <v>28</v>
      </c>
      <c r="B1543" s="51" t="s">
        <v>44</v>
      </c>
      <c r="C1543" s="51" t="s">
        <v>23</v>
      </c>
      <c r="D1543" s="51" t="s">
        <v>45</v>
      </c>
      <c r="E1543" s="51" t="s">
        <v>53</v>
      </c>
      <c r="F1543" s="51" t="s">
        <v>54</v>
      </c>
      <c r="G1543" s="51" t="s">
        <v>25</v>
      </c>
      <c r="H1543" s="51" t="s">
        <v>25</v>
      </c>
      <c r="I1543" s="59">
        <v>44470</v>
      </c>
      <c r="J1543" s="60">
        <f>EFEITO!$J$1543*EFEITO!$Y$1279</f>
        <v>0</v>
      </c>
      <c r="K1543" s="60">
        <f ca="1">EFEITO!$L$1543*EFEITO!$Z$1279</f>
        <v>909.03598105480319</v>
      </c>
      <c r="L1543" s="60">
        <f>EFEITO!$N$1543*EFEITO!$AA$1279</f>
        <v>518.87599374903925</v>
      </c>
      <c r="M1543" s="60">
        <f>$J$1543-EFEITO!$K$1543*EFEITO!$Y$1543</f>
        <v>0</v>
      </c>
      <c r="N1543" s="60">
        <f ca="1">$K$1543-EFEITO!$M$1543*EFEITO!$Z$1543</f>
        <v>54.54215886328825</v>
      </c>
      <c r="O1543" s="60">
        <f>$L$1543-EFEITO!$O$1543*EFEITO!$AA$1543</f>
        <v>31.132559624942473</v>
      </c>
      <c r="P1543" s="18"/>
      <c r="Q1543" s="18"/>
      <c r="R1543" s="18"/>
      <c r="S1543" s="18"/>
      <c r="T1543" s="18"/>
      <c r="U1543" s="18"/>
      <c r="V1543" s="18"/>
      <c r="W1543" s="18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</row>
    <row r="1544" spans="1:36" ht="11.25" customHeight="1" x14ac:dyDescent="0.2">
      <c r="A1544" s="51" t="s">
        <v>21</v>
      </c>
      <c r="B1544" s="51" t="s">
        <v>44</v>
      </c>
      <c r="C1544" s="51" t="s">
        <v>23</v>
      </c>
      <c r="D1544" s="51" t="s">
        <v>45</v>
      </c>
      <c r="E1544" s="51" t="s">
        <v>53</v>
      </c>
      <c r="F1544" s="51" t="s">
        <v>54</v>
      </c>
      <c r="G1544" s="51" t="s">
        <v>25</v>
      </c>
      <c r="H1544" s="51" t="s">
        <v>25</v>
      </c>
      <c r="I1544" s="59">
        <v>44501</v>
      </c>
      <c r="J1544" s="60">
        <f>EFEITO!$J$1544*EFEITO!$Y$1279</f>
        <v>0</v>
      </c>
      <c r="K1544" s="60">
        <f ca="1">EFEITO!$L$1544*EFEITO!$Z$1279</f>
        <v>125880.72068181468</v>
      </c>
      <c r="L1544" s="60">
        <f>EFEITO!$N$1544*EFEITO!$AA$1279</f>
        <v>71852.47382818842</v>
      </c>
      <c r="M1544" s="60">
        <f>$J$1544-EFEITO!$K$1544*EFEITO!$Y$1544</f>
        <v>0</v>
      </c>
      <c r="N1544" s="60">
        <f ca="1">$K$1544-EFEITO!$M$1544*EFEITO!$Z$1544</f>
        <v>7552.8432409088855</v>
      </c>
      <c r="O1544" s="60">
        <f>$L$1544-EFEITO!$O$1544*EFEITO!$AA$1544</f>
        <v>4311.1484296913113</v>
      </c>
      <c r="P1544" s="18"/>
      <c r="Q1544" s="18"/>
      <c r="R1544" s="18"/>
      <c r="S1544" s="18"/>
      <c r="T1544" s="18"/>
      <c r="U1544" s="18"/>
      <c r="V1544" s="18"/>
      <c r="W1544" s="18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</row>
    <row r="1545" spans="1:36" ht="11.25" customHeight="1" x14ac:dyDescent="0.2">
      <c r="A1545" s="51" t="s">
        <v>27</v>
      </c>
      <c r="B1545" s="51" t="s">
        <v>44</v>
      </c>
      <c r="C1545" s="51" t="s">
        <v>23</v>
      </c>
      <c r="D1545" s="51" t="s">
        <v>45</v>
      </c>
      <c r="E1545" s="51" t="s">
        <v>53</v>
      </c>
      <c r="F1545" s="51" t="s">
        <v>54</v>
      </c>
      <c r="G1545" s="51" t="s">
        <v>25</v>
      </c>
      <c r="H1545" s="51" t="s">
        <v>25</v>
      </c>
      <c r="I1545" s="59">
        <v>44501</v>
      </c>
      <c r="J1545" s="60">
        <f>EFEITO!$J$1545*EFEITO!$Y$1279</f>
        <v>0</v>
      </c>
      <c r="K1545" s="60">
        <f ca="1">EFEITO!$L$1545*EFEITO!$Z$1279</f>
        <v>-5782.7187125896908</v>
      </c>
      <c r="L1545" s="60">
        <f>EFEITO!$N$1545*EFEITO!$AA$1279</f>
        <v>-3300.7647454003782</v>
      </c>
      <c r="M1545" s="60">
        <f>$J$1545-EFEITO!$K$1545*EFEITO!$Y$1545</f>
        <v>0</v>
      </c>
      <c r="N1545" s="60">
        <f ca="1">$K$1545-EFEITO!$M$1545*EFEITO!$Z$1545</f>
        <v>-346.96312275538185</v>
      </c>
      <c r="O1545" s="60">
        <f>$L$1545-EFEITO!$O$1545*EFEITO!$AA$1545</f>
        <v>-198.04588472402293</v>
      </c>
      <c r="P1545" s="18"/>
      <c r="Q1545" s="18"/>
      <c r="R1545" s="18"/>
      <c r="S1545" s="18"/>
      <c r="T1545" s="18"/>
      <c r="U1545" s="18"/>
      <c r="V1545" s="18"/>
      <c r="W1545" s="18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</row>
    <row r="1546" spans="1:36" ht="11.25" customHeight="1" x14ac:dyDescent="0.2">
      <c r="A1546" s="51" t="s">
        <v>28</v>
      </c>
      <c r="B1546" s="51" t="s">
        <v>44</v>
      </c>
      <c r="C1546" s="51" t="s">
        <v>23</v>
      </c>
      <c r="D1546" s="51" t="s">
        <v>45</v>
      </c>
      <c r="E1546" s="51" t="s">
        <v>53</v>
      </c>
      <c r="F1546" s="51" t="s">
        <v>54</v>
      </c>
      <c r="G1546" s="51" t="s">
        <v>25</v>
      </c>
      <c r="H1546" s="51" t="s">
        <v>25</v>
      </c>
      <c r="I1546" s="59">
        <v>44501</v>
      </c>
      <c r="J1546" s="60">
        <f>EFEITO!$J$1546*EFEITO!$Y$1279</f>
        <v>0</v>
      </c>
      <c r="K1546" s="60">
        <f ca="1">EFEITO!$L$1546*EFEITO!$Z$1279</f>
        <v>959.1953612848738</v>
      </c>
      <c r="L1546" s="60">
        <f>EFEITO!$N$1546*EFEITO!$AA$1279</f>
        <v>547.50687173971448</v>
      </c>
      <c r="M1546" s="60">
        <f>$J$1546-EFEITO!$K$1546*EFEITO!$Y$1546</f>
        <v>0</v>
      </c>
      <c r="N1546" s="60">
        <f ca="1">$K$1546-EFEITO!$M$1546*EFEITO!$Z$1546</f>
        <v>57.551721677092473</v>
      </c>
      <c r="O1546" s="60">
        <f>$L$1546-EFEITO!$O$1546*EFEITO!$AA$1546</f>
        <v>32.850412304382985</v>
      </c>
      <c r="P1546" s="18"/>
      <c r="Q1546" s="18"/>
      <c r="R1546" s="18"/>
      <c r="S1546" s="18"/>
      <c r="T1546" s="18"/>
      <c r="U1546" s="18"/>
      <c r="V1546" s="18"/>
      <c r="W1546" s="18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</row>
    <row r="1547" spans="1:36" ht="11.25" customHeight="1" x14ac:dyDescent="0.2">
      <c r="A1547" s="51" t="s">
        <v>21</v>
      </c>
      <c r="B1547" s="51" t="s">
        <v>44</v>
      </c>
      <c r="C1547" s="51" t="s">
        <v>23</v>
      </c>
      <c r="D1547" s="51" t="s">
        <v>45</v>
      </c>
      <c r="E1547" s="51" t="s">
        <v>53</v>
      </c>
      <c r="F1547" s="51" t="s">
        <v>54</v>
      </c>
      <c r="G1547" s="51" t="s">
        <v>25</v>
      </c>
      <c r="H1547" s="51" t="s">
        <v>25</v>
      </c>
      <c r="I1547" s="59">
        <v>44531</v>
      </c>
      <c r="J1547" s="60">
        <f>EFEITO!$J$1547*EFEITO!$Y$1279</f>
        <v>0</v>
      </c>
      <c r="K1547" s="60">
        <f ca="1">EFEITO!$L$1547*EFEITO!$Z$1279</f>
        <v>110513.8600631334</v>
      </c>
      <c r="L1547" s="60">
        <f>EFEITO!$N$1547*EFEITO!$AA$1279</f>
        <v>63081.099272618958</v>
      </c>
      <c r="M1547" s="60">
        <f>$J$1547-EFEITO!$K$1547*EFEITO!$Y$1547</f>
        <v>0</v>
      </c>
      <c r="N1547" s="60">
        <f ca="1">$K$1547-EFEITO!$M$1547*EFEITO!$Z$1547</f>
        <v>6630.8316037879995</v>
      </c>
      <c r="O1547" s="60">
        <f>$L$1547-EFEITO!$O$1547*EFEITO!$AA$1547</f>
        <v>3784.8659563571418</v>
      </c>
      <c r="P1547" s="18"/>
      <c r="Q1547" s="18"/>
      <c r="R1547" s="18"/>
      <c r="S1547" s="18"/>
      <c r="T1547" s="18"/>
      <c r="U1547" s="18"/>
      <c r="V1547" s="18"/>
      <c r="W1547" s="18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</row>
    <row r="1548" spans="1:36" ht="11.25" customHeight="1" x14ac:dyDescent="0.2">
      <c r="A1548" s="51" t="s">
        <v>27</v>
      </c>
      <c r="B1548" s="51" t="s">
        <v>44</v>
      </c>
      <c r="C1548" s="51" t="s">
        <v>23</v>
      </c>
      <c r="D1548" s="51" t="s">
        <v>45</v>
      </c>
      <c r="E1548" s="51" t="s">
        <v>53</v>
      </c>
      <c r="F1548" s="51" t="s">
        <v>54</v>
      </c>
      <c r="G1548" s="51" t="s">
        <v>25</v>
      </c>
      <c r="H1548" s="51" t="s">
        <v>25</v>
      </c>
      <c r="I1548" s="59">
        <v>44531</v>
      </c>
      <c r="J1548" s="60">
        <f>EFEITO!$J$1548*EFEITO!$Y$1279</f>
        <v>0</v>
      </c>
      <c r="K1548" s="60">
        <f ca="1">EFEITO!$L$1548*EFEITO!$Z$1279</f>
        <v>-6466.0374826091765</v>
      </c>
      <c r="L1548" s="60">
        <f>EFEITO!$N$1548*EFEITO!$AA$1279</f>
        <v>-3690.8017881913797</v>
      </c>
      <c r="M1548" s="60">
        <f>$J$1548-EFEITO!$K$1548*EFEITO!$Y$1548</f>
        <v>0</v>
      </c>
      <c r="N1548" s="60">
        <f ca="1">$K$1548-EFEITO!$M$1548*EFEITO!$Z$1548</f>
        <v>-387.96224895655087</v>
      </c>
      <c r="O1548" s="60">
        <f>$L$1548-EFEITO!$O$1548*EFEITO!$AA$1548</f>
        <v>-221.44810729148321</v>
      </c>
      <c r="P1548" s="18"/>
      <c r="Q1548" s="18"/>
      <c r="R1548" s="18"/>
      <c r="S1548" s="18"/>
      <c r="T1548" s="18"/>
      <c r="U1548" s="18"/>
      <c r="V1548" s="18"/>
      <c r="W1548" s="18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</row>
    <row r="1549" spans="1:36" ht="11.25" customHeight="1" x14ac:dyDescent="0.2">
      <c r="A1549" s="51" t="s">
        <v>28</v>
      </c>
      <c r="B1549" s="51" t="s">
        <v>44</v>
      </c>
      <c r="C1549" s="51" t="s">
        <v>23</v>
      </c>
      <c r="D1549" s="51" t="s">
        <v>45</v>
      </c>
      <c r="E1549" s="51" t="s">
        <v>53</v>
      </c>
      <c r="F1549" s="51" t="s">
        <v>54</v>
      </c>
      <c r="G1549" s="51" t="s">
        <v>25</v>
      </c>
      <c r="H1549" s="51" t="s">
        <v>25</v>
      </c>
      <c r="I1549" s="59">
        <v>44531</v>
      </c>
      <c r="J1549" s="60">
        <f>EFEITO!$J$1549*EFEITO!$Y$1279</f>
        <v>0</v>
      </c>
      <c r="K1549" s="60">
        <f ca="1">EFEITO!$L$1549*EFEITO!$Z$1279</f>
        <v>916.43654535104315</v>
      </c>
      <c r="L1549" s="60">
        <f>EFEITO!$N$1549*EFEITO!$AA$1279</f>
        <v>523.10022164930285</v>
      </c>
      <c r="M1549" s="60">
        <f>$J$1549-EFEITO!$K$1549*EFEITO!$Y$1549</f>
        <v>0</v>
      </c>
      <c r="N1549" s="60">
        <f ca="1">$K$1549-EFEITO!$M$1549*EFEITO!$Z$1549</f>
        <v>54.986192721062594</v>
      </c>
      <c r="O1549" s="60">
        <f>$L$1549-EFEITO!$O$1549*EFEITO!$AA$1549</f>
        <v>31.386013298958233</v>
      </c>
      <c r="P1549" s="18"/>
      <c r="Q1549" s="18"/>
      <c r="R1549" s="18"/>
      <c r="S1549" s="18"/>
      <c r="T1549" s="18"/>
      <c r="U1549" s="18"/>
      <c r="V1549" s="18"/>
      <c r="W1549" s="18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</row>
    <row r="1550" spans="1:36" ht="11.25" customHeight="1" x14ac:dyDescent="0.2">
      <c r="A1550" s="51" t="s">
        <v>21</v>
      </c>
      <c r="B1550" s="51" t="s">
        <v>44</v>
      </c>
      <c r="C1550" s="51" t="s">
        <v>23</v>
      </c>
      <c r="D1550" s="51" t="s">
        <v>45</v>
      </c>
      <c r="E1550" s="51" t="s">
        <v>53</v>
      </c>
      <c r="F1550" s="51" t="s">
        <v>54</v>
      </c>
      <c r="G1550" s="51" t="s">
        <v>25</v>
      </c>
      <c r="H1550" s="51" t="s">
        <v>25</v>
      </c>
      <c r="I1550" s="59">
        <v>44562</v>
      </c>
      <c r="J1550" s="60">
        <f>EFEITO!$J$1550*EFEITO!$Y$1279</f>
        <v>0</v>
      </c>
      <c r="K1550" s="60">
        <f ca="1">EFEITO!$L$1550*EFEITO!$Z$1279</f>
        <v>101562.87754683122</v>
      </c>
      <c r="L1550" s="60">
        <f>EFEITO!$N$1550*EFEITO!$AA$1279</f>
        <v>57971.895627250189</v>
      </c>
      <c r="M1550" s="60">
        <f>$J$1550-EFEITO!$K$1550*EFEITO!$Y$1550</f>
        <v>0</v>
      </c>
      <c r="N1550" s="60">
        <f ca="1">$K$1550-EFEITO!$M$1550*EFEITO!$Z$1550</f>
        <v>6093.7726528098865</v>
      </c>
      <c r="O1550" s="60">
        <f>$L$1550-EFEITO!$O$1550*EFEITO!$AA$1550</f>
        <v>3478.3137376350132</v>
      </c>
      <c r="P1550" s="18"/>
      <c r="Q1550" s="18"/>
      <c r="R1550" s="18"/>
      <c r="S1550" s="18"/>
      <c r="T1550" s="18"/>
      <c r="U1550" s="18"/>
      <c r="V1550" s="18"/>
      <c r="W1550" s="18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</row>
    <row r="1551" spans="1:36" ht="11.25" customHeight="1" x14ac:dyDescent="0.2">
      <c r="A1551" s="51" t="s">
        <v>28</v>
      </c>
      <c r="B1551" s="51" t="s">
        <v>44</v>
      </c>
      <c r="C1551" s="51" t="s">
        <v>23</v>
      </c>
      <c r="D1551" s="51" t="s">
        <v>45</v>
      </c>
      <c r="E1551" s="51" t="s">
        <v>53</v>
      </c>
      <c r="F1551" s="51" t="s">
        <v>54</v>
      </c>
      <c r="G1551" s="51" t="s">
        <v>25</v>
      </c>
      <c r="H1551" s="51" t="s">
        <v>25</v>
      </c>
      <c r="I1551" s="59">
        <v>44562</v>
      </c>
      <c r="J1551" s="60">
        <f>EFEITO!$J$1551*EFEITO!$Y$1279</f>
        <v>0</v>
      </c>
      <c r="K1551" s="60">
        <f ca="1">EFEITO!$L$1551*EFEITO!$Z$1279</f>
        <v>786.10438524504013</v>
      </c>
      <c r="L1551" s="60">
        <f>EFEITO!$N$1551*EFEITO!$AA$1279</f>
        <v>448.70687473910584</v>
      </c>
      <c r="M1551" s="60">
        <f>$J$1551-EFEITO!$K$1551*EFEITO!$Y$1551</f>
        <v>0</v>
      </c>
      <c r="N1551" s="60">
        <f ca="1">$K$1551-EFEITO!$M$1551*EFEITO!$Z$1551</f>
        <v>47.166263114702474</v>
      </c>
      <c r="O1551" s="60">
        <f>$L$1551-EFEITO!$O$1551*EFEITO!$AA$1551</f>
        <v>26.92241248434641</v>
      </c>
      <c r="P1551" s="18"/>
      <c r="Q1551" s="18"/>
      <c r="R1551" s="18"/>
      <c r="S1551" s="18"/>
      <c r="T1551" s="18"/>
      <c r="U1551" s="18"/>
      <c r="V1551" s="18"/>
      <c r="W1551" s="18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</row>
    <row r="1552" spans="1:36" ht="11.25" customHeight="1" x14ac:dyDescent="0.2">
      <c r="A1552" s="51" t="s">
        <v>21</v>
      </c>
      <c r="B1552" s="51" t="s">
        <v>44</v>
      </c>
      <c r="C1552" s="51" t="s">
        <v>23</v>
      </c>
      <c r="D1552" s="51" t="s">
        <v>45</v>
      </c>
      <c r="E1552" s="51" t="s">
        <v>53</v>
      </c>
      <c r="F1552" s="51" t="s">
        <v>54</v>
      </c>
      <c r="G1552" s="51" t="s">
        <v>25</v>
      </c>
      <c r="H1552" s="51" t="s">
        <v>25</v>
      </c>
      <c r="I1552" s="59">
        <v>44593</v>
      </c>
      <c r="J1552" s="60">
        <f>EFEITO!$J$1552*EFEITO!$Y$1279</f>
        <v>0</v>
      </c>
      <c r="K1552" s="60">
        <f ca="1">EFEITO!$L$1552*EFEITO!$Z$1279</f>
        <v>104446.63076759936</v>
      </c>
      <c r="L1552" s="60">
        <f>EFEITO!$N$1552*EFEITO!$AA$1279</f>
        <v>59617.936432386217</v>
      </c>
      <c r="M1552" s="60">
        <f>$J$1552-EFEITO!$K$1552*EFEITO!$Y$1552</f>
        <v>0</v>
      </c>
      <c r="N1552" s="60">
        <f ca="1">$K$1552-EFEITO!$M$1552*EFEITO!$Z$1552</f>
        <v>6266.797846055968</v>
      </c>
      <c r="O1552" s="60">
        <f>$L$1552-EFEITO!$O$1552*EFEITO!$AA$1552</f>
        <v>3577.0761859431805</v>
      </c>
      <c r="P1552" s="18"/>
      <c r="Q1552" s="18"/>
      <c r="R1552" s="18"/>
      <c r="S1552" s="18"/>
      <c r="T1552" s="18"/>
      <c r="U1552" s="18"/>
      <c r="V1552" s="18"/>
      <c r="W1552" s="18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</row>
    <row r="1553" spans="1:36" ht="11.25" customHeight="1" x14ac:dyDescent="0.2">
      <c r="A1553" s="51" t="s">
        <v>28</v>
      </c>
      <c r="B1553" s="51" t="s">
        <v>44</v>
      </c>
      <c r="C1553" s="51" t="s">
        <v>23</v>
      </c>
      <c r="D1553" s="51" t="s">
        <v>45</v>
      </c>
      <c r="E1553" s="51" t="s">
        <v>53</v>
      </c>
      <c r="F1553" s="51" t="s">
        <v>54</v>
      </c>
      <c r="G1553" s="51" t="s">
        <v>25</v>
      </c>
      <c r="H1553" s="51" t="s">
        <v>25</v>
      </c>
      <c r="I1553" s="59">
        <v>44593</v>
      </c>
      <c r="J1553" s="60">
        <f>EFEITO!$J$1553*EFEITO!$Y$1279</f>
        <v>0</v>
      </c>
      <c r="K1553" s="60">
        <f ca="1">EFEITO!$L$1553*EFEITO!$Z$1279</f>
        <v>844.07547223225276</v>
      </c>
      <c r="L1553" s="60">
        <f>EFEITO!$N$1553*EFEITO!$AA$1279</f>
        <v>481.79665995783694</v>
      </c>
      <c r="M1553" s="60">
        <f>$J$1553-EFEITO!$K$1553*EFEITO!$Y$1553</f>
        <v>0</v>
      </c>
      <c r="N1553" s="60">
        <f ca="1">$K$1553-EFEITO!$M$1553*EFEITO!$Z$1553</f>
        <v>50.644528333935227</v>
      </c>
      <c r="O1553" s="60">
        <f>$L$1553-EFEITO!$O$1553*EFEITO!$AA$1553</f>
        <v>28.907799597470216</v>
      </c>
      <c r="P1553" s="18"/>
      <c r="Q1553" s="18"/>
      <c r="R1553" s="18"/>
      <c r="S1553" s="18"/>
      <c r="T1553" s="18"/>
      <c r="U1553" s="18"/>
      <c r="V1553" s="18"/>
      <c r="W1553" s="18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</row>
    <row r="1554" spans="1:36" ht="11.25" customHeight="1" x14ac:dyDescent="0.2">
      <c r="A1554" s="51" t="s">
        <v>56</v>
      </c>
      <c r="B1554" s="51" t="s">
        <v>44</v>
      </c>
      <c r="C1554" s="51" t="s">
        <v>23</v>
      </c>
      <c r="D1554" s="51" t="s">
        <v>45</v>
      </c>
      <c r="E1554" s="51" t="s">
        <v>53</v>
      </c>
      <c r="F1554" s="51" t="s">
        <v>54</v>
      </c>
      <c r="G1554" s="51" t="s">
        <v>25</v>
      </c>
      <c r="H1554" s="51" t="s">
        <v>25</v>
      </c>
      <c r="I1554" s="59">
        <v>44621</v>
      </c>
      <c r="J1554" s="60">
        <f>EFEITO!$J$1554*EFEITO!$Y$1279</f>
        <v>0</v>
      </c>
      <c r="K1554" s="60">
        <f ca="1">EFEITO!$L$1554*EFEITO!$Z$1279</f>
        <v>104446.63076759936</v>
      </c>
      <c r="L1554" s="60">
        <f>EFEITO!$N$1554*EFEITO!$AA$1279</f>
        <v>59617.936432386217</v>
      </c>
      <c r="M1554" s="60">
        <f>$J$1554-EFEITO!$K$1554*EFEITO!$Y$1554</f>
        <v>0</v>
      </c>
      <c r="N1554" s="60">
        <f ca="1">$K$1554-EFEITO!$M$1554*EFEITO!$Z$1554</f>
        <v>6266.797846055968</v>
      </c>
      <c r="O1554" s="60">
        <f>$L$1554-EFEITO!$O$1554*EFEITO!$AA$1554</f>
        <v>3577.0761859431805</v>
      </c>
      <c r="P1554" s="18"/>
      <c r="Q1554" s="18"/>
      <c r="R1554" s="18"/>
      <c r="S1554" s="18"/>
      <c r="T1554" s="18"/>
      <c r="U1554" s="18"/>
      <c r="V1554" s="18"/>
      <c r="W1554" s="18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</row>
    <row r="1555" spans="1:36" ht="11.25" customHeight="1" x14ac:dyDescent="0.2">
      <c r="A1555" s="51" t="s">
        <v>56</v>
      </c>
      <c r="B1555" s="51" t="s">
        <v>44</v>
      </c>
      <c r="C1555" s="51" t="s">
        <v>23</v>
      </c>
      <c r="D1555" s="51" t="s">
        <v>45</v>
      </c>
      <c r="E1555" s="51" t="s">
        <v>53</v>
      </c>
      <c r="F1555" s="51" t="s">
        <v>54</v>
      </c>
      <c r="G1555" s="51" t="s">
        <v>25</v>
      </c>
      <c r="H1555" s="51" t="s">
        <v>25</v>
      </c>
      <c r="I1555" s="59">
        <v>44621</v>
      </c>
      <c r="J1555" s="60">
        <f>EFEITO!$J$1555*EFEITO!$Y$1279</f>
        <v>0</v>
      </c>
      <c r="K1555" s="60">
        <f ca="1">EFEITO!$L$1555*EFEITO!$Z$1279</f>
        <v>844.07547223225276</v>
      </c>
      <c r="L1555" s="60">
        <f>EFEITO!$N$1555*EFEITO!$AA$1279</f>
        <v>481.79665995783694</v>
      </c>
      <c r="M1555" s="60">
        <f>$J$1555-EFEITO!$K$1555*EFEITO!$Y$1555</f>
        <v>0</v>
      </c>
      <c r="N1555" s="60">
        <f ca="1">$K$1555-EFEITO!$M$1555*EFEITO!$Z$1555</f>
        <v>50.644528333935227</v>
      </c>
      <c r="O1555" s="60">
        <f>$L$1555-EFEITO!$O$1555*EFEITO!$AA$1555</f>
        <v>28.907799597470216</v>
      </c>
      <c r="P1555" s="18"/>
      <c r="Q1555" s="18"/>
      <c r="R1555" s="18"/>
      <c r="S1555" s="18"/>
      <c r="T1555" s="18"/>
      <c r="U1555" s="18"/>
      <c r="V1555" s="18"/>
      <c r="W1555" s="18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</row>
    <row r="1556" spans="1:36" ht="11.25" customHeight="1" x14ac:dyDescent="0.2">
      <c r="A1556" s="51" t="s">
        <v>21</v>
      </c>
      <c r="B1556" s="51" t="s">
        <v>44</v>
      </c>
      <c r="C1556" s="51" t="s">
        <v>23</v>
      </c>
      <c r="D1556" s="51" t="s">
        <v>45</v>
      </c>
      <c r="E1556" s="51" t="s">
        <v>53</v>
      </c>
      <c r="F1556" s="51" t="s">
        <v>55</v>
      </c>
      <c r="G1556" s="51" t="s">
        <v>25</v>
      </c>
      <c r="H1556" s="51" t="s">
        <v>25</v>
      </c>
      <c r="I1556" s="59">
        <v>44287</v>
      </c>
      <c r="J1556" s="60">
        <f>EFEITO!$J$1556*EFEITO!$Y$1279</f>
        <v>0</v>
      </c>
      <c r="K1556" s="60">
        <f ca="1">EFEITO!$L$1556*EFEITO!$Z$1279</f>
        <v>135195.56427601533</v>
      </c>
      <c r="L1556" s="60">
        <f>EFEITO!$N$1556*EFEITO!$AA$1279</f>
        <v>77169.368678653467</v>
      </c>
      <c r="M1556" s="60">
        <f>$J$1556-EFEITO!$K$1556*EFEITO!$Y$1556</f>
        <v>0</v>
      </c>
      <c r="N1556" s="60">
        <f ca="1">$K$1556-EFEITO!$M$1556*EFEITO!$Z$1556</f>
        <v>100882.93006276264</v>
      </c>
      <c r="O1556" s="60">
        <f>$L$1556-EFEITO!$O$1556*EFEITO!$AA$1556</f>
        <v>57583.782908011221</v>
      </c>
      <c r="P1556" s="18"/>
      <c r="Q1556" s="18"/>
      <c r="R1556" s="18"/>
      <c r="S1556" s="18"/>
      <c r="T1556" s="18"/>
      <c r="U1556" s="18"/>
      <c r="V1556" s="18"/>
      <c r="W1556" s="18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</row>
    <row r="1557" spans="1:36" ht="11.25" customHeight="1" x14ac:dyDescent="0.2">
      <c r="A1557" s="51" t="s">
        <v>27</v>
      </c>
      <c r="B1557" s="51" t="s">
        <v>44</v>
      </c>
      <c r="C1557" s="51" t="s">
        <v>23</v>
      </c>
      <c r="D1557" s="51" t="s">
        <v>45</v>
      </c>
      <c r="E1557" s="51" t="s">
        <v>53</v>
      </c>
      <c r="F1557" s="51" t="s">
        <v>55</v>
      </c>
      <c r="G1557" s="51" t="s">
        <v>25</v>
      </c>
      <c r="H1557" s="51" t="s">
        <v>25</v>
      </c>
      <c r="I1557" s="59">
        <v>44287</v>
      </c>
      <c r="J1557" s="60">
        <f>EFEITO!$J$1557*EFEITO!$Y$1279</f>
        <v>0</v>
      </c>
      <c r="K1557" s="60">
        <f ca="1">EFEITO!$L$1557*EFEITO!$Z$1279</f>
        <v>-2698.327970901254</v>
      </c>
      <c r="L1557" s="60">
        <f>EFEITO!$N$1557*EFEITO!$AA$1279</f>
        <v>-1540.2004283016483</v>
      </c>
      <c r="M1557" s="60">
        <f>$J$1557-EFEITO!$K$1557*EFEITO!$Y$1557</f>
        <v>0</v>
      </c>
      <c r="N1557" s="60">
        <f ca="1">$K$1557-EFEITO!$M$1557*EFEITO!$Z$1557</f>
        <v>-2013.4923318865158</v>
      </c>
      <c r="O1557" s="60">
        <f>$L$1557-EFEITO!$O$1557*EFEITO!$AA$1557</f>
        <v>-1149.29755959869</v>
      </c>
      <c r="P1557" s="18"/>
      <c r="Q1557" s="18"/>
      <c r="R1557" s="18"/>
      <c r="S1557" s="18"/>
      <c r="T1557" s="18"/>
      <c r="U1557" s="18"/>
      <c r="V1557" s="18"/>
      <c r="W1557" s="18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</row>
    <row r="1558" spans="1:36" ht="11.25" customHeight="1" x14ac:dyDescent="0.2">
      <c r="A1558" s="51" t="s">
        <v>28</v>
      </c>
      <c r="B1558" s="51" t="s">
        <v>44</v>
      </c>
      <c r="C1558" s="51" t="s">
        <v>23</v>
      </c>
      <c r="D1558" s="51" t="s">
        <v>45</v>
      </c>
      <c r="E1558" s="51" t="s">
        <v>53</v>
      </c>
      <c r="F1558" s="51" t="s">
        <v>55</v>
      </c>
      <c r="G1558" s="51" t="s">
        <v>25</v>
      </c>
      <c r="H1558" s="51" t="s">
        <v>25</v>
      </c>
      <c r="I1558" s="59">
        <v>44287</v>
      </c>
      <c r="J1558" s="60">
        <f>EFEITO!$J$1558*EFEITO!$Y$1279</f>
        <v>0</v>
      </c>
      <c r="K1558" s="60">
        <f ca="1">EFEITO!$L$1558*EFEITO!$Z$1279</f>
        <v>585.46686432475792</v>
      </c>
      <c r="L1558" s="60">
        <f>EFEITO!$N$1558*EFEITO!$AA$1279</f>
        <v>334.18336277640515</v>
      </c>
      <c r="M1558" s="60">
        <f>$J$1558-EFEITO!$K$1558*EFEITO!$Y$1558</f>
        <v>0</v>
      </c>
      <c r="N1558" s="60">
        <f ca="1">$K$1558-EFEITO!$M$1558*EFEITO!$Z$1558</f>
        <v>436.87537415913437</v>
      </c>
      <c r="O1558" s="60">
        <f>$L$1558-EFEITO!$O$1558*EFEITO!$AA$1558</f>
        <v>249.36762530375353</v>
      </c>
      <c r="P1558" s="18"/>
      <c r="Q1558" s="18"/>
      <c r="R1558" s="18"/>
      <c r="S1558" s="18"/>
      <c r="T1558" s="18"/>
      <c r="U1558" s="18"/>
      <c r="V1558" s="18"/>
      <c r="W1558" s="18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</row>
    <row r="1559" spans="1:36" ht="11.25" customHeight="1" x14ac:dyDescent="0.2">
      <c r="A1559" s="51" t="s">
        <v>21</v>
      </c>
      <c r="B1559" s="51" t="s">
        <v>44</v>
      </c>
      <c r="C1559" s="51" t="s">
        <v>23</v>
      </c>
      <c r="D1559" s="51" t="s">
        <v>45</v>
      </c>
      <c r="E1559" s="51" t="s">
        <v>53</v>
      </c>
      <c r="F1559" s="51" t="s">
        <v>55</v>
      </c>
      <c r="G1559" s="51" t="s">
        <v>25</v>
      </c>
      <c r="H1559" s="51" t="s">
        <v>25</v>
      </c>
      <c r="I1559" s="59">
        <v>44317</v>
      </c>
      <c r="J1559" s="60">
        <f>EFEITO!$J$1559*EFEITO!$Y$1279</f>
        <v>0</v>
      </c>
      <c r="K1559" s="60">
        <f ca="1">EFEITO!$L$1559*EFEITO!$Z$1279</f>
        <v>49699.722958781873</v>
      </c>
      <c r="L1559" s="60">
        <f>EFEITO!$N$1559*EFEITO!$AA$1279</f>
        <v>28368.50650220324</v>
      </c>
      <c r="M1559" s="60">
        <f>$J$1559-EFEITO!$K$1559*EFEITO!$Y$1559</f>
        <v>0</v>
      </c>
      <c r="N1559" s="60">
        <f ca="1">$K$1559-EFEITO!$M$1559*EFEITO!$Z$1559</f>
        <v>37085.933271843038</v>
      </c>
      <c r="O1559" s="60">
        <f>$L$1559-EFEITO!$O$1559*EFEITO!$AA$1559</f>
        <v>21168.579551944058</v>
      </c>
      <c r="P1559" s="18"/>
      <c r="Q1559" s="18"/>
      <c r="R1559" s="18"/>
      <c r="S1559" s="18"/>
      <c r="T1559" s="18"/>
      <c r="U1559" s="18"/>
      <c r="V1559" s="18"/>
      <c r="W1559" s="18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</row>
    <row r="1560" spans="1:36" ht="11.25" customHeight="1" x14ac:dyDescent="0.2">
      <c r="A1560" s="51" t="s">
        <v>27</v>
      </c>
      <c r="B1560" s="51" t="s">
        <v>44</v>
      </c>
      <c r="C1560" s="51" t="s">
        <v>23</v>
      </c>
      <c r="D1560" s="51" t="s">
        <v>45</v>
      </c>
      <c r="E1560" s="51" t="s">
        <v>53</v>
      </c>
      <c r="F1560" s="51" t="s">
        <v>55</v>
      </c>
      <c r="G1560" s="51" t="s">
        <v>25</v>
      </c>
      <c r="H1560" s="51" t="s">
        <v>25</v>
      </c>
      <c r="I1560" s="59">
        <v>44317</v>
      </c>
      <c r="J1560" s="60">
        <f>EFEITO!$J$1560*EFEITO!$Y$1279</f>
        <v>0</v>
      </c>
      <c r="K1560" s="60">
        <f ca="1">EFEITO!$L$1560*EFEITO!$Z$1279</f>
        <v>-740.05642962399179</v>
      </c>
      <c r="L1560" s="60">
        <f>EFEITO!$N$1560*EFEITO!$AA$1279</f>
        <v>-422.4227900263549</v>
      </c>
      <c r="M1560" s="60">
        <f>$J$1560-EFEITO!$K$1560*EFEITO!$Y$1560</f>
        <v>0</v>
      </c>
      <c r="N1560" s="60">
        <f ca="1">$K$1560-EFEITO!$M$1560*EFEITO!$Z$1560</f>
        <v>-552.23010778542266</v>
      </c>
      <c r="O1560" s="60">
        <f>$L$1560-EFEITO!$O$1560*EFEITO!$AA$1560</f>
        <v>-315.21188591766605</v>
      </c>
      <c r="P1560" s="18"/>
      <c r="Q1560" s="18"/>
      <c r="R1560" s="18"/>
      <c r="S1560" s="18"/>
      <c r="T1560" s="18"/>
      <c r="U1560" s="18"/>
      <c r="V1560" s="18"/>
      <c r="W1560" s="18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</row>
    <row r="1561" spans="1:36" ht="11.25" customHeight="1" x14ac:dyDescent="0.2">
      <c r="A1561" s="51" t="s">
        <v>28</v>
      </c>
      <c r="B1561" s="51" t="s">
        <v>44</v>
      </c>
      <c r="C1561" s="51" t="s">
        <v>23</v>
      </c>
      <c r="D1561" s="51" t="s">
        <v>45</v>
      </c>
      <c r="E1561" s="51" t="s">
        <v>53</v>
      </c>
      <c r="F1561" s="51" t="s">
        <v>55</v>
      </c>
      <c r="G1561" s="51" t="s">
        <v>25</v>
      </c>
      <c r="H1561" s="51" t="s">
        <v>25</v>
      </c>
      <c r="I1561" s="59">
        <v>44317</v>
      </c>
      <c r="J1561" s="60">
        <f>EFEITO!$J$1561*EFEITO!$Y$1279</f>
        <v>0</v>
      </c>
      <c r="K1561" s="60">
        <f ca="1">EFEITO!$L$1561*EFEITO!$Z$1279</f>
        <v>158.28984744735379</v>
      </c>
      <c r="L1561" s="60">
        <f>EFEITO!$N$1561*EFEITO!$AA$1279</f>
        <v>90.351541200081456</v>
      </c>
      <c r="M1561" s="60">
        <f>$J$1561-EFEITO!$K$1561*EFEITO!$Y$1561</f>
        <v>0</v>
      </c>
      <c r="N1561" s="60">
        <f ca="1">$K$1561-EFEITO!$M$1561*EFEITO!$Z$1561</f>
        <v>118.11588416521541</v>
      </c>
      <c r="O1561" s="60">
        <f>$L$1561-EFEITO!$O$1561*EFEITO!$AA$1561</f>
        <v>67.42032004350078</v>
      </c>
      <c r="P1561" s="18"/>
      <c r="Q1561" s="18"/>
      <c r="R1561" s="18"/>
      <c r="S1561" s="18"/>
      <c r="T1561" s="18"/>
      <c r="U1561" s="18"/>
      <c r="V1561" s="18"/>
      <c r="W1561" s="18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</row>
    <row r="1562" spans="1:36" ht="11.25" customHeight="1" x14ac:dyDescent="0.2">
      <c r="A1562" s="51" t="s">
        <v>21</v>
      </c>
      <c r="B1562" s="51" t="s">
        <v>44</v>
      </c>
      <c r="C1562" s="51" t="s">
        <v>23</v>
      </c>
      <c r="D1562" s="51" t="s">
        <v>45</v>
      </c>
      <c r="E1562" s="51" t="s">
        <v>53</v>
      </c>
      <c r="F1562" s="51" t="s">
        <v>55</v>
      </c>
      <c r="G1562" s="51" t="s">
        <v>25</v>
      </c>
      <c r="H1562" s="51" t="s">
        <v>25</v>
      </c>
      <c r="I1562" s="59">
        <v>44348</v>
      </c>
      <c r="J1562" s="60">
        <f>EFEITO!$J$1562*EFEITO!$Y$1279</f>
        <v>0</v>
      </c>
      <c r="K1562" s="60">
        <f ca="1">EFEITO!$L$1562*EFEITO!$Z$1279</f>
        <v>44916.08042618457</v>
      </c>
      <c r="L1562" s="60">
        <f>EFEITO!$N$1562*EFEITO!$AA$1279</f>
        <v>25638.012523338439</v>
      </c>
      <c r="M1562" s="60">
        <f>$J$1562-EFEITO!$K$1562*EFEITO!$Y$1562</f>
        <v>0</v>
      </c>
      <c r="N1562" s="60">
        <f ca="1">$K$1562-EFEITO!$M$1562*EFEITO!$Z$1562</f>
        <v>33516.379214018925</v>
      </c>
      <c r="O1562" s="60">
        <f>$L$1562-EFEITO!$O$1562*EFEITO!$AA$1562</f>
        <v>19131.084944915143</v>
      </c>
      <c r="P1562" s="18"/>
      <c r="Q1562" s="18"/>
      <c r="R1562" s="18"/>
      <c r="S1562" s="18"/>
      <c r="T1562" s="18"/>
      <c r="U1562" s="18"/>
      <c r="V1562" s="18"/>
      <c r="W1562" s="18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</row>
    <row r="1563" spans="1:36" ht="11.25" customHeight="1" x14ac:dyDescent="0.2">
      <c r="A1563" s="51" t="s">
        <v>27</v>
      </c>
      <c r="B1563" s="51" t="s">
        <v>44</v>
      </c>
      <c r="C1563" s="51" t="s">
        <v>23</v>
      </c>
      <c r="D1563" s="51" t="s">
        <v>45</v>
      </c>
      <c r="E1563" s="51" t="s">
        <v>53</v>
      </c>
      <c r="F1563" s="51" t="s">
        <v>55</v>
      </c>
      <c r="G1563" s="51" t="s">
        <v>25</v>
      </c>
      <c r="H1563" s="51" t="s">
        <v>25</v>
      </c>
      <c r="I1563" s="59">
        <v>44348</v>
      </c>
      <c r="J1563" s="60">
        <f>EFEITO!$J$1563*EFEITO!$Y$1279</f>
        <v>0</v>
      </c>
      <c r="K1563" s="60">
        <f ca="1">EFEITO!$L$1563*EFEITO!$Z$1279</f>
        <v>-147.60014346389613</v>
      </c>
      <c r="L1563" s="60">
        <f>EFEITO!$N$1563*EFEITO!$AA$1279</f>
        <v>-84.249878677478549</v>
      </c>
      <c r="M1563" s="60">
        <f>$J$1563-EFEITO!$K$1563*EFEITO!$Y$1563</f>
        <v>0</v>
      </c>
      <c r="N1563" s="60">
        <f ca="1">$K$1563-EFEITO!$M$1563*EFEITO!$Z$1563</f>
        <v>-110.1392270527593</v>
      </c>
      <c r="O1563" s="60">
        <f>$L$1563-EFEITO!$O$1563*EFEITO!$AA$1563</f>
        <v>-62.867259469134495</v>
      </c>
      <c r="P1563" s="18"/>
      <c r="Q1563" s="18"/>
      <c r="R1563" s="18"/>
      <c r="S1563" s="18"/>
      <c r="T1563" s="18"/>
      <c r="U1563" s="18"/>
      <c r="V1563" s="18"/>
      <c r="W1563" s="18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</row>
    <row r="1564" spans="1:36" ht="11.25" customHeight="1" x14ac:dyDescent="0.2">
      <c r="A1564" s="51" t="s">
        <v>28</v>
      </c>
      <c r="B1564" s="51" t="s">
        <v>44</v>
      </c>
      <c r="C1564" s="51" t="s">
        <v>23</v>
      </c>
      <c r="D1564" s="51" t="s">
        <v>45</v>
      </c>
      <c r="E1564" s="51" t="s">
        <v>53</v>
      </c>
      <c r="F1564" s="51" t="s">
        <v>55</v>
      </c>
      <c r="G1564" s="51" t="s">
        <v>25</v>
      </c>
      <c r="H1564" s="51" t="s">
        <v>25</v>
      </c>
      <c r="I1564" s="59">
        <v>44348</v>
      </c>
      <c r="J1564" s="60">
        <f>EFEITO!$J$1564*EFEITO!$Y$1279</f>
        <v>0</v>
      </c>
      <c r="K1564" s="60">
        <f ca="1">EFEITO!$L$1564*EFEITO!$Z$1279</f>
        <v>38.64739132480846</v>
      </c>
      <c r="L1564" s="60">
        <f>EFEITO!$N$1564*EFEITO!$AA$1279</f>
        <v>22.059856812487421</v>
      </c>
      <c r="M1564" s="60">
        <f>$J$1564-EFEITO!$K$1564*EFEITO!$Y$1564</f>
        <v>0</v>
      </c>
      <c r="N1564" s="60">
        <f ca="1">$K$1564-EFEITO!$M$1564*EFEITO!$Z$1564</f>
        <v>28.838683406572073</v>
      </c>
      <c r="O1564" s="60">
        <f>$L$1564-EFEITO!$O$1564*EFEITO!$AA$1564</f>
        <v>16.461065153478113</v>
      </c>
      <c r="P1564" s="18"/>
      <c r="Q1564" s="18"/>
      <c r="R1564" s="18"/>
      <c r="S1564" s="18"/>
      <c r="T1564" s="18"/>
      <c r="U1564" s="18"/>
      <c r="V1564" s="18"/>
      <c r="W1564" s="18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</row>
    <row r="1565" spans="1:36" ht="11.25" customHeight="1" x14ac:dyDescent="0.2">
      <c r="A1565" s="51" t="s">
        <v>21</v>
      </c>
      <c r="B1565" s="51" t="s">
        <v>44</v>
      </c>
      <c r="C1565" s="51" t="s">
        <v>23</v>
      </c>
      <c r="D1565" s="51" t="s">
        <v>45</v>
      </c>
      <c r="E1565" s="51" t="s">
        <v>53</v>
      </c>
      <c r="F1565" s="51" t="s">
        <v>55</v>
      </c>
      <c r="G1565" s="51" t="s">
        <v>25</v>
      </c>
      <c r="H1565" s="51" t="s">
        <v>25</v>
      </c>
      <c r="I1565" s="59">
        <v>44378</v>
      </c>
      <c r="J1565" s="60">
        <f>EFEITO!$J$1565*EFEITO!$Y$1279</f>
        <v>0</v>
      </c>
      <c r="K1565" s="60">
        <f ca="1">EFEITO!$L$1565*EFEITO!$Z$1279</f>
        <v>37302.544335197301</v>
      </c>
      <c r="L1565" s="60">
        <f>EFEITO!$N$1565*EFEITO!$AA$1279</f>
        <v>21292.220731278416</v>
      </c>
      <c r="M1565" s="60">
        <f>$J$1565-EFEITO!$K$1565*EFEITO!$Y$1565</f>
        <v>0</v>
      </c>
      <c r="N1565" s="60">
        <f ca="1">$K$1565-EFEITO!$M$1565*EFEITO!$Z$1565</f>
        <v>27835.158582924225</v>
      </c>
      <c r="O1565" s="60">
        <f>$L$1565-EFEITO!$O$1565*EFEITO!$AA$1565</f>
        <v>15888.255109679954</v>
      </c>
      <c r="P1565" s="18"/>
      <c r="Q1565" s="18"/>
      <c r="R1565" s="18"/>
      <c r="S1565" s="18"/>
      <c r="T1565" s="18"/>
      <c r="U1565" s="18"/>
      <c r="V1565" s="18"/>
      <c r="W1565" s="18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</row>
    <row r="1566" spans="1:36" ht="11.25" customHeight="1" x14ac:dyDescent="0.2">
      <c r="A1566" s="51" t="s">
        <v>27</v>
      </c>
      <c r="B1566" s="51" t="s">
        <v>44</v>
      </c>
      <c r="C1566" s="51" t="s">
        <v>23</v>
      </c>
      <c r="D1566" s="51" t="s">
        <v>45</v>
      </c>
      <c r="E1566" s="51" t="s">
        <v>53</v>
      </c>
      <c r="F1566" s="51" t="s">
        <v>55</v>
      </c>
      <c r="G1566" s="51" t="s">
        <v>25</v>
      </c>
      <c r="H1566" s="51" t="s">
        <v>25</v>
      </c>
      <c r="I1566" s="59">
        <v>44378</v>
      </c>
      <c r="J1566" s="60">
        <f>EFEITO!$J$1566*EFEITO!$Y$1279</f>
        <v>0</v>
      </c>
      <c r="K1566" s="60">
        <f ca="1">EFEITO!$L$1566*EFEITO!$Z$1279</f>
        <v>-132.38787241051409</v>
      </c>
      <c r="L1566" s="60">
        <f>EFEITO!$N$1566*EFEITO!$AA$1279</f>
        <v>-75.566743549159042</v>
      </c>
      <c r="M1566" s="60">
        <f>$J$1566-EFEITO!$K$1566*EFEITO!$Y$1566</f>
        <v>0</v>
      </c>
      <c r="N1566" s="60">
        <f ca="1">$K$1566-EFEITO!$M$1566*EFEITO!$Z$1566</f>
        <v>-98.787830392725624</v>
      </c>
      <c r="O1566" s="60">
        <f>$L$1566-EFEITO!$O$1566*EFEITO!$AA$1566</f>
        <v>-56.38790403638248</v>
      </c>
      <c r="P1566" s="18"/>
      <c r="Q1566" s="18"/>
      <c r="R1566" s="18"/>
      <c r="S1566" s="18"/>
      <c r="T1566" s="18"/>
      <c r="U1566" s="18"/>
      <c r="V1566" s="18"/>
      <c r="W1566" s="18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</row>
    <row r="1567" spans="1:36" ht="11.25" customHeight="1" x14ac:dyDescent="0.2">
      <c r="A1567" s="51" t="s">
        <v>28</v>
      </c>
      <c r="B1567" s="51" t="s">
        <v>44</v>
      </c>
      <c r="C1567" s="51" t="s">
        <v>23</v>
      </c>
      <c r="D1567" s="51" t="s">
        <v>45</v>
      </c>
      <c r="E1567" s="51" t="s">
        <v>53</v>
      </c>
      <c r="F1567" s="51" t="s">
        <v>55</v>
      </c>
      <c r="G1567" s="51" t="s">
        <v>25</v>
      </c>
      <c r="H1567" s="51" t="s">
        <v>25</v>
      </c>
      <c r="I1567" s="59">
        <v>44378</v>
      </c>
      <c r="J1567" s="60">
        <f>EFEITO!$J$1567*EFEITO!$Y$1279</f>
        <v>0</v>
      </c>
      <c r="K1567" s="60">
        <f ca="1">EFEITO!$L$1567*EFEITO!$Z$1279</f>
        <v>159.93441729096267</v>
      </c>
      <c r="L1567" s="60">
        <f>EFEITO!$N$1567*EFEITO!$AA$1279</f>
        <v>91.290258511251139</v>
      </c>
      <c r="M1567" s="60">
        <f>$J$1567-EFEITO!$K$1567*EFEITO!$Y$1567</f>
        <v>0</v>
      </c>
      <c r="N1567" s="60">
        <f ca="1">$K$1567-EFEITO!$M$1567*EFEITO!$Z$1567</f>
        <v>119.34306218251635</v>
      </c>
      <c r="O1567" s="60">
        <f>$L$1567-EFEITO!$O$1567*EFEITO!$AA$1567</f>
        <v>68.120790901095603</v>
      </c>
      <c r="P1567" s="18"/>
      <c r="Q1567" s="18"/>
      <c r="R1567" s="18"/>
      <c r="S1567" s="18"/>
      <c r="T1567" s="18"/>
      <c r="U1567" s="18"/>
      <c r="V1567" s="18"/>
      <c r="W1567" s="18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</row>
    <row r="1568" spans="1:36" ht="11.25" customHeight="1" x14ac:dyDescent="0.2">
      <c r="A1568" s="51" t="s">
        <v>21</v>
      </c>
      <c r="B1568" s="51" t="s">
        <v>44</v>
      </c>
      <c r="C1568" s="51" t="s">
        <v>23</v>
      </c>
      <c r="D1568" s="51" t="s">
        <v>45</v>
      </c>
      <c r="E1568" s="51" t="s">
        <v>53</v>
      </c>
      <c r="F1568" s="51" t="s">
        <v>55</v>
      </c>
      <c r="G1568" s="51" t="s">
        <v>25</v>
      </c>
      <c r="H1568" s="51" t="s">
        <v>25</v>
      </c>
      <c r="I1568" s="59">
        <v>44409</v>
      </c>
      <c r="J1568" s="60">
        <f>EFEITO!$J$1568*EFEITO!$Y$1279</f>
        <v>0</v>
      </c>
      <c r="K1568" s="60">
        <f ca="1">EFEITO!$L$1568*EFEITO!$Z$1279</f>
        <v>39789.545081194818</v>
      </c>
      <c r="L1568" s="60">
        <f>EFEITO!$N$1568*EFEITO!$AA$1279</f>
        <v>22711.795985094763</v>
      </c>
      <c r="M1568" s="60">
        <f>$J$1568-EFEITO!$K$1568*EFEITO!$Y$1568</f>
        <v>0</v>
      </c>
      <c r="N1568" s="60">
        <f ca="1">$K$1568-EFEITO!$M$1568*EFEITO!$Z$1568</f>
        <v>29690.958539587573</v>
      </c>
      <c r="O1568" s="60">
        <f>$L$1568-EFEITO!$O$1568*EFEITO!$AA$1568</f>
        <v>16947.542164077713</v>
      </c>
      <c r="P1568" s="18"/>
      <c r="Q1568" s="18"/>
      <c r="R1568" s="18"/>
      <c r="S1568" s="18"/>
      <c r="T1568" s="18"/>
      <c r="U1568" s="18"/>
      <c r="V1568" s="18"/>
      <c r="W1568" s="18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</row>
    <row r="1569" spans="1:36" ht="11.25" customHeight="1" x14ac:dyDescent="0.2">
      <c r="A1569" s="51" t="s">
        <v>27</v>
      </c>
      <c r="B1569" s="51" t="s">
        <v>44</v>
      </c>
      <c r="C1569" s="51" t="s">
        <v>23</v>
      </c>
      <c r="D1569" s="51" t="s">
        <v>45</v>
      </c>
      <c r="E1569" s="51" t="s">
        <v>53</v>
      </c>
      <c r="F1569" s="51" t="s">
        <v>55</v>
      </c>
      <c r="G1569" s="51" t="s">
        <v>25</v>
      </c>
      <c r="H1569" s="51" t="s">
        <v>25</v>
      </c>
      <c r="I1569" s="59">
        <v>44409</v>
      </c>
      <c r="J1569" s="60">
        <f>EFEITO!$J$1569*EFEITO!$Y$1279</f>
        <v>0</v>
      </c>
      <c r="K1569" s="60">
        <f ca="1">EFEITO!$L$1569*EFEITO!$Z$1279</f>
        <v>-212.56065228644653</v>
      </c>
      <c r="L1569" s="60">
        <f>EFEITO!$N$1569*EFEITO!$AA$1279</f>
        <v>-121.32921246868082</v>
      </c>
      <c r="M1569" s="60">
        <f>$J$1569-EFEITO!$K$1569*EFEITO!$Y$1569</f>
        <v>0</v>
      </c>
      <c r="N1569" s="60">
        <f ca="1">$K$1569-EFEITO!$M$1569*EFEITO!$Z$1569</f>
        <v>-158.61275873614642</v>
      </c>
      <c r="O1569" s="60">
        <f>$L$1569-EFEITO!$O$1569*EFEITO!$AA$1569</f>
        <v>-90.535858344129636</v>
      </c>
      <c r="P1569" s="18"/>
      <c r="Q1569" s="18"/>
      <c r="R1569" s="18"/>
      <c r="S1569" s="18"/>
      <c r="T1569" s="18"/>
      <c r="U1569" s="18"/>
      <c r="V1569" s="18"/>
      <c r="W1569" s="18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</row>
    <row r="1570" spans="1:36" ht="11.25" customHeight="1" x14ac:dyDescent="0.2">
      <c r="A1570" s="51" t="s">
        <v>28</v>
      </c>
      <c r="B1570" s="51" t="s">
        <v>44</v>
      </c>
      <c r="C1570" s="51" t="s">
        <v>23</v>
      </c>
      <c r="D1570" s="51" t="s">
        <v>45</v>
      </c>
      <c r="E1570" s="51" t="s">
        <v>53</v>
      </c>
      <c r="F1570" s="51" t="s">
        <v>55</v>
      </c>
      <c r="G1570" s="51" t="s">
        <v>25</v>
      </c>
      <c r="H1570" s="51" t="s">
        <v>25</v>
      </c>
      <c r="I1570" s="59">
        <v>44409</v>
      </c>
      <c r="J1570" s="60">
        <f>EFEITO!$J$1570*EFEITO!$Y$1279</f>
        <v>0</v>
      </c>
      <c r="K1570" s="60">
        <f ca="1">EFEITO!$L$1570*EFEITO!$Z$1279</f>
        <v>76.061355266910255</v>
      </c>
      <c r="L1570" s="60">
        <f>EFEITO!$N$1570*EFEITO!$AA$1279</f>
        <v>43.415675641597581</v>
      </c>
      <c r="M1570" s="60">
        <f>$J$1570-EFEITO!$K$1570*EFEITO!$Y$1570</f>
        <v>0</v>
      </c>
      <c r="N1570" s="60">
        <f ca="1">$K$1570-EFEITO!$M$1570*EFEITO!$Z$1570</f>
        <v>56.756983300168429</v>
      </c>
      <c r="O1570" s="60">
        <f>$L$1570-EFEITO!$O$1570*EFEITO!$AA$1570</f>
        <v>32.396777163760113</v>
      </c>
      <c r="P1570" s="18"/>
      <c r="Q1570" s="18"/>
      <c r="R1570" s="18"/>
      <c r="S1570" s="18"/>
      <c r="T1570" s="18"/>
      <c r="U1570" s="18"/>
      <c r="V1570" s="18"/>
      <c r="W1570" s="18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</row>
    <row r="1571" spans="1:36" ht="11.25" customHeight="1" x14ac:dyDescent="0.2">
      <c r="A1571" s="51" t="s">
        <v>21</v>
      </c>
      <c r="B1571" s="51" t="s">
        <v>44</v>
      </c>
      <c r="C1571" s="51" t="s">
        <v>23</v>
      </c>
      <c r="D1571" s="51" t="s">
        <v>45</v>
      </c>
      <c r="E1571" s="51" t="s">
        <v>53</v>
      </c>
      <c r="F1571" s="51" t="s">
        <v>55</v>
      </c>
      <c r="G1571" s="51" t="s">
        <v>25</v>
      </c>
      <c r="H1571" s="51" t="s">
        <v>25</v>
      </c>
      <c r="I1571" s="59">
        <v>44440</v>
      </c>
      <c r="J1571" s="60">
        <f>EFEITO!$J$1571*EFEITO!$Y$1279</f>
        <v>0</v>
      </c>
      <c r="K1571" s="60">
        <f ca="1">EFEITO!$L$1571*EFEITO!$Z$1279</f>
        <v>93620.427487122171</v>
      </c>
      <c r="L1571" s="60">
        <f>EFEITO!$N$1571*EFEITO!$AA$1279</f>
        <v>53438.360372956231</v>
      </c>
      <c r="M1571" s="60">
        <f>$J$1571-EFEITO!$K$1571*EFEITO!$Y$1571</f>
        <v>0</v>
      </c>
      <c r="N1571" s="60">
        <f ca="1">$K$1571-EFEITO!$M$1571*EFEITO!$Z$1571</f>
        <v>69859.562990890568</v>
      </c>
      <c r="O1571" s="60">
        <f>$L$1571-EFEITO!$O$1571*EFEITO!$AA$1571</f>
        <v>39875.70451029994</v>
      </c>
      <c r="P1571" s="18"/>
      <c r="Q1571" s="18"/>
      <c r="R1571" s="18"/>
      <c r="S1571" s="18"/>
      <c r="T1571" s="18"/>
      <c r="U1571" s="18"/>
      <c r="V1571" s="18"/>
      <c r="W1571" s="18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</row>
    <row r="1572" spans="1:36" ht="11.25" customHeight="1" x14ac:dyDescent="0.2">
      <c r="A1572" s="51" t="s">
        <v>27</v>
      </c>
      <c r="B1572" s="51" t="s">
        <v>44</v>
      </c>
      <c r="C1572" s="51" t="s">
        <v>23</v>
      </c>
      <c r="D1572" s="51" t="s">
        <v>45</v>
      </c>
      <c r="E1572" s="51" t="s">
        <v>53</v>
      </c>
      <c r="F1572" s="51" t="s">
        <v>55</v>
      </c>
      <c r="G1572" s="51" t="s">
        <v>25</v>
      </c>
      <c r="H1572" s="51" t="s">
        <v>25</v>
      </c>
      <c r="I1572" s="59">
        <v>44440</v>
      </c>
      <c r="J1572" s="60">
        <f>EFEITO!$J$1572*EFEITO!$Y$1279</f>
        <v>0</v>
      </c>
      <c r="K1572" s="60">
        <f ca="1">EFEITO!$L$1572*EFEITO!$Z$1279</f>
        <v>-2091.8928410704834</v>
      </c>
      <c r="L1572" s="60">
        <f>EFEITO!$N$1572*EFEITO!$AA$1279</f>
        <v>-1194.0484198078298</v>
      </c>
      <c r="M1572" s="60">
        <f>$J$1572-EFEITO!$K$1572*EFEITO!$Y$1572</f>
        <v>0</v>
      </c>
      <c r="N1572" s="60">
        <f ca="1">$K$1572-EFEITO!$M$1572*EFEITO!$Z$1572</f>
        <v>-1560.9704380067947</v>
      </c>
      <c r="O1572" s="60">
        <f>$L$1572-EFEITO!$O$1572*EFEITO!$AA$1572</f>
        <v>-890.99893086060251</v>
      </c>
      <c r="P1572" s="18"/>
      <c r="Q1572" s="18"/>
      <c r="R1572" s="18"/>
      <c r="S1572" s="18"/>
      <c r="T1572" s="18"/>
      <c r="U1572" s="18"/>
      <c r="V1572" s="18"/>
      <c r="W1572" s="18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</row>
    <row r="1573" spans="1:36" ht="11.25" customHeight="1" x14ac:dyDescent="0.2">
      <c r="A1573" s="51" t="s">
        <v>28</v>
      </c>
      <c r="B1573" s="51" t="s">
        <v>44</v>
      </c>
      <c r="C1573" s="51" t="s">
        <v>23</v>
      </c>
      <c r="D1573" s="51" t="s">
        <v>45</v>
      </c>
      <c r="E1573" s="51" t="s">
        <v>53</v>
      </c>
      <c r="F1573" s="51" t="s">
        <v>55</v>
      </c>
      <c r="G1573" s="51" t="s">
        <v>25</v>
      </c>
      <c r="H1573" s="51" t="s">
        <v>25</v>
      </c>
      <c r="I1573" s="59">
        <v>44440</v>
      </c>
      <c r="J1573" s="60">
        <f>EFEITO!$J$1573*EFEITO!$Y$1279</f>
        <v>0</v>
      </c>
      <c r="K1573" s="60">
        <f ca="1">EFEITO!$L$1573*EFEITO!$Z$1279</f>
        <v>167.74612404810478</v>
      </c>
      <c r="L1573" s="60">
        <f>EFEITO!$N$1573*EFEITO!$AA$1279</f>
        <v>95.749165739307102</v>
      </c>
      <c r="M1573" s="60">
        <f>$J$1573-EFEITO!$K$1573*EFEITO!$Y$1573</f>
        <v>0</v>
      </c>
      <c r="N1573" s="60">
        <f ca="1">$K$1573-EFEITO!$M$1573*EFEITO!$Z$1573</f>
        <v>125.17215776469578</v>
      </c>
      <c r="O1573" s="60">
        <f>$L$1573-EFEITO!$O$1573*EFEITO!$AA$1573</f>
        <v>71.448027474670965</v>
      </c>
      <c r="P1573" s="18"/>
      <c r="Q1573" s="18"/>
      <c r="R1573" s="18"/>
      <c r="S1573" s="18"/>
      <c r="T1573" s="18"/>
      <c r="U1573" s="18"/>
      <c r="V1573" s="18"/>
      <c r="W1573" s="18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</row>
    <row r="1574" spans="1:36" ht="11.25" customHeight="1" x14ac:dyDescent="0.2">
      <c r="A1574" s="51" t="s">
        <v>21</v>
      </c>
      <c r="B1574" s="51" t="s">
        <v>44</v>
      </c>
      <c r="C1574" s="51" t="s">
        <v>23</v>
      </c>
      <c r="D1574" s="51" t="s">
        <v>45</v>
      </c>
      <c r="E1574" s="51" t="s">
        <v>53</v>
      </c>
      <c r="F1574" s="51" t="s">
        <v>55</v>
      </c>
      <c r="G1574" s="51" t="s">
        <v>25</v>
      </c>
      <c r="H1574" s="51" t="s">
        <v>25</v>
      </c>
      <c r="I1574" s="59">
        <v>44470</v>
      </c>
      <c r="J1574" s="60">
        <f>EFEITO!$J$1574*EFEITO!$Y$1279</f>
        <v>0</v>
      </c>
      <c r="K1574" s="60">
        <f ca="1">EFEITO!$L$1574*EFEITO!$Z$1279</f>
        <v>159522.04140267774</v>
      </c>
      <c r="L1574" s="60">
        <f>EFEITO!$N$1574*EFEITO!$AA$1279</f>
        <v>91054.875145475336</v>
      </c>
      <c r="M1574" s="60">
        <f>$J$1574-EFEITO!$K$1574*EFEITO!$Y$1574</f>
        <v>0</v>
      </c>
      <c r="N1574" s="60">
        <f ca="1">$K$1574-EFEITO!$M$1574*EFEITO!$Z$1574</f>
        <v>119035.34729467813</v>
      </c>
      <c r="O1574" s="60">
        <f>$L$1574-EFEITO!$O$1574*EFEITO!$AA$1574</f>
        <v>67945.147833553696</v>
      </c>
      <c r="P1574" s="18"/>
      <c r="Q1574" s="18"/>
      <c r="R1574" s="18"/>
      <c r="S1574" s="18"/>
      <c r="T1574" s="18"/>
      <c r="U1574" s="18"/>
      <c r="V1574" s="18"/>
      <c r="W1574" s="18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</row>
    <row r="1575" spans="1:36" ht="11.25" customHeight="1" x14ac:dyDescent="0.2">
      <c r="A1575" s="51" t="s">
        <v>27</v>
      </c>
      <c r="B1575" s="51" t="s">
        <v>44</v>
      </c>
      <c r="C1575" s="51" t="s">
        <v>23</v>
      </c>
      <c r="D1575" s="51" t="s">
        <v>45</v>
      </c>
      <c r="E1575" s="51" t="s">
        <v>53</v>
      </c>
      <c r="F1575" s="51" t="s">
        <v>55</v>
      </c>
      <c r="G1575" s="51" t="s">
        <v>25</v>
      </c>
      <c r="H1575" s="51" t="s">
        <v>25</v>
      </c>
      <c r="I1575" s="59">
        <v>44470</v>
      </c>
      <c r="J1575" s="60">
        <f>EFEITO!$J$1575*EFEITO!$Y$1279</f>
        <v>0</v>
      </c>
      <c r="K1575" s="60">
        <f ca="1">EFEITO!$L$1575*EFEITO!$Z$1279</f>
        <v>1048.8244177615572</v>
      </c>
      <c r="L1575" s="60">
        <f>EFEITO!$N$1575*EFEITO!$AA$1279</f>
        <v>598.66696519846187</v>
      </c>
      <c r="M1575" s="60">
        <f>$J$1575-EFEITO!$K$1575*EFEITO!$Y$1575</f>
        <v>0</v>
      </c>
      <c r="N1575" s="60">
        <f ca="1">$K$1575-EFEITO!$M$1575*EFEITO!$Z$1575</f>
        <v>782.63278053367412</v>
      </c>
      <c r="O1575" s="60">
        <f>$L$1575-EFEITO!$O$1575*EFEITO!$AA$1575</f>
        <v>446.72528943109228</v>
      </c>
      <c r="P1575" s="18"/>
      <c r="Q1575" s="18"/>
      <c r="R1575" s="18"/>
      <c r="S1575" s="18"/>
      <c r="T1575" s="18"/>
      <c r="U1575" s="18"/>
      <c r="V1575" s="18"/>
      <c r="W1575" s="18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</row>
    <row r="1576" spans="1:36" ht="11.25" customHeight="1" x14ac:dyDescent="0.2">
      <c r="A1576" s="51" t="s">
        <v>28</v>
      </c>
      <c r="B1576" s="51" t="s">
        <v>44</v>
      </c>
      <c r="C1576" s="51" t="s">
        <v>23</v>
      </c>
      <c r="D1576" s="51" t="s">
        <v>45</v>
      </c>
      <c r="E1576" s="51" t="s">
        <v>53</v>
      </c>
      <c r="F1576" s="51" t="s">
        <v>55</v>
      </c>
      <c r="G1576" s="51" t="s">
        <v>25</v>
      </c>
      <c r="H1576" s="51" t="s">
        <v>25</v>
      </c>
      <c r="I1576" s="59">
        <v>44470</v>
      </c>
      <c r="J1576" s="60">
        <f>EFEITO!$J$1576*EFEITO!$Y$1279</f>
        <v>0</v>
      </c>
      <c r="K1576" s="60">
        <f ca="1">EFEITO!$L$1576*EFEITO!$Z$1279</f>
        <v>632.74824732851289</v>
      </c>
      <c r="L1576" s="60">
        <f>EFEITO!$N$1576*EFEITO!$AA$1279</f>
        <v>361.17148547253339</v>
      </c>
      <c r="M1576" s="60">
        <f>$J$1576-EFEITO!$K$1576*EFEITO!$Y$1576</f>
        <v>0</v>
      </c>
      <c r="N1576" s="60">
        <f ca="1">$K$1576-EFEITO!$M$1576*EFEITO!$Z$1576</f>
        <v>472.15674215653632</v>
      </c>
      <c r="O1576" s="60">
        <f>$L$1576-EFEITO!$O$1576*EFEITO!$AA$1576</f>
        <v>269.50616245960441</v>
      </c>
      <c r="P1576" s="18"/>
      <c r="Q1576" s="18"/>
      <c r="R1576" s="18"/>
      <c r="S1576" s="18"/>
      <c r="T1576" s="18"/>
      <c r="U1576" s="18"/>
      <c r="V1576" s="18"/>
      <c r="W1576" s="18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</row>
    <row r="1577" spans="1:36" ht="11.25" customHeight="1" x14ac:dyDescent="0.2">
      <c r="A1577" s="51" t="s">
        <v>21</v>
      </c>
      <c r="B1577" s="51" t="s">
        <v>44</v>
      </c>
      <c r="C1577" s="51" t="s">
        <v>23</v>
      </c>
      <c r="D1577" s="51" t="s">
        <v>45</v>
      </c>
      <c r="E1577" s="51" t="s">
        <v>53</v>
      </c>
      <c r="F1577" s="51" t="s">
        <v>55</v>
      </c>
      <c r="G1577" s="51" t="s">
        <v>25</v>
      </c>
      <c r="H1577" s="51" t="s">
        <v>25</v>
      </c>
      <c r="I1577" s="59">
        <v>44501</v>
      </c>
      <c r="J1577" s="60">
        <f>EFEITO!$J$1577*EFEITO!$Y$1279</f>
        <v>0</v>
      </c>
      <c r="K1577" s="60">
        <f ca="1">EFEITO!$L$1577*EFEITO!$Z$1279</f>
        <v>159738.30233711231</v>
      </c>
      <c r="L1577" s="60">
        <f>EFEITO!$N$1577*EFEITO!$AA$1279</f>
        <v>91178.316471894155</v>
      </c>
      <c r="M1577" s="60">
        <f>$J$1577-EFEITO!$K$1577*EFEITO!$Y$1577</f>
        <v>0</v>
      </c>
      <c r="N1577" s="60">
        <f ca="1">$K$1577-EFEITO!$M$1577*EFEITO!$Z$1577</f>
        <v>119196.7212039532</v>
      </c>
      <c r="O1577" s="60">
        <f>$L$1577-EFEITO!$O$1577*EFEITO!$AA$1577</f>
        <v>68037.259751327423</v>
      </c>
      <c r="P1577" s="18"/>
      <c r="Q1577" s="18"/>
      <c r="R1577" s="18"/>
      <c r="S1577" s="18"/>
      <c r="T1577" s="18"/>
      <c r="U1577" s="18"/>
      <c r="V1577" s="18"/>
      <c r="W1577" s="18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</row>
    <row r="1578" spans="1:36" ht="11.25" customHeight="1" x14ac:dyDescent="0.2">
      <c r="A1578" s="51" t="s">
        <v>27</v>
      </c>
      <c r="B1578" s="51" t="s">
        <v>44</v>
      </c>
      <c r="C1578" s="51" t="s">
        <v>23</v>
      </c>
      <c r="D1578" s="51" t="s">
        <v>45</v>
      </c>
      <c r="E1578" s="51" t="s">
        <v>53</v>
      </c>
      <c r="F1578" s="51" t="s">
        <v>55</v>
      </c>
      <c r="G1578" s="51" t="s">
        <v>25</v>
      </c>
      <c r="H1578" s="51" t="s">
        <v>25</v>
      </c>
      <c r="I1578" s="59">
        <v>44501</v>
      </c>
      <c r="J1578" s="60">
        <f>EFEITO!$J$1578*EFEITO!$Y$1279</f>
        <v>0</v>
      </c>
      <c r="K1578" s="60">
        <f ca="1">EFEITO!$L$1578*EFEITO!$Z$1279</f>
        <v>-3330.2539333079626</v>
      </c>
      <c r="L1578" s="60">
        <f>EFEITO!$N$1578*EFEITO!$AA$1279</f>
        <v>-1900.9025551185969</v>
      </c>
      <c r="M1578" s="60">
        <f>$J$1578-EFEITO!$K$1578*EFEITO!$Y$1578</f>
        <v>0</v>
      </c>
      <c r="N1578" s="60">
        <f ca="1">$K$1578-EFEITO!$M$1578*EFEITO!$Z$1578</f>
        <v>-2485.035485034402</v>
      </c>
      <c r="O1578" s="60">
        <f>$L$1578-EFEITO!$O$1578*EFEITO!$AA$1578</f>
        <v>-1418.4534866294971</v>
      </c>
      <c r="P1578" s="18"/>
      <c r="Q1578" s="18"/>
      <c r="R1578" s="18"/>
      <c r="S1578" s="18"/>
      <c r="T1578" s="18"/>
      <c r="U1578" s="18"/>
      <c r="V1578" s="18"/>
      <c r="W1578" s="18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</row>
    <row r="1579" spans="1:36" ht="11.25" customHeight="1" x14ac:dyDescent="0.2">
      <c r="A1579" s="51" t="s">
        <v>28</v>
      </c>
      <c r="B1579" s="51" t="s">
        <v>44</v>
      </c>
      <c r="C1579" s="51" t="s">
        <v>23</v>
      </c>
      <c r="D1579" s="51" t="s">
        <v>45</v>
      </c>
      <c r="E1579" s="51" t="s">
        <v>53</v>
      </c>
      <c r="F1579" s="51" t="s">
        <v>55</v>
      </c>
      <c r="G1579" s="51" t="s">
        <v>25</v>
      </c>
      <c r="H1579" s="51" t="s">
        <v>25</v>
      </c>
      <c r="I1579" s="59">
        <v>44501</v>
      </c>
      <c r="J1579" s="60">
        <f>EFEITO!$J$1579*EFEITO!$Y$1279</f>
        <v>0</v>
      </c>
      <c r="K1579" s="60">
        <f ca="1">EFEITO!$L$1579*EFEITO!$Z$1279</f>
        <v>424.2990196510886</v>
      </c>
      <c r="L1579" s="60">
        <f>EFEITO!$N$1579*EFEITO!$AA$1279</f>
        <v>242.1890662817768</v>
      </c>
      <c r="M1579" s="60">
        <f>$J$1579-EFEITO!$K$1579*EFEITO!$Y$1579</f>
        <v>0</v>
      </c>
      <c r="N1579" s="60">
        <f ca="1">$K$1579-EFEITO!$M$1579*EFEITO!$Z$1579</f>
        <v>316.6119284636423</v>
      </c>
      <c r="O1579" s="60">
        <f>$L$1579-EFEITO!$O$1579*EFEITO!$AA$1579</f>
        <v>180.72148125946185</v>
      </c>
      <c r="P1579" s="18"/>
      <c r="Q1579" s="18"/>
      <c r="R1579" s="18"/>
      <c r="S1579" s="18"/>
      <c r="T1579" s="18"/>
      <c r="U1579" s="18"/>
      <c r="V1579" s="18"/>
      <c r="W1579" s="18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</row>
    <row r="1580" spans="1:36" ht="11.25" customHeight="1" x14ac:dyDescent="0.2">
      <c r="A1580" s="51" t="s">
        <v>21</v>
      </c>
      <c r="B1580" s="51" t="s">
        <v>44</v>
      </c>
      <c r="C1580" s="51" t="s">
        <v>23</v>
      </c>
      <c r="D1580" s="51" t="s">
        <v>45</v>
      </c>
      <c r="E1580" s="51" t="s">
        <v>53</v>
      </c>
      <c r="F1580" s="51" t="s">
        <v>55</v>
      </c>
      <c r="G1580" s="51" t="s">
        <v>25</v>
      </c>
      <c r="H1580" s="51" t="s">
        <v>25</v>
      </c>
      <c r="I1580" s="59">
        <v>44531</v>
      </c>
      <c r="J1580" s="60">
        <f>EFEITO!$J$1580*EFEITO!$Y$1279</f>
        <v>0</v>
      </c>
      <c r="K1580" s="60">
        <f ca="1">EFEITO!$L$1580*EFEITO!$Z$1279</f>
        <v>148385.83670668027</v>
      </c>
      <c r="L1580" s="60">
        <f>EFEITO!$N$1580*EFEITO!$AA$1279</f>
        <v>84698.350872889874</v>
      </c>
      <c r="M1580" s="60">
        <f>$J$1580-EFEITO!$K$1580*EFEITO!$Y$1580</f>
        <v>0</v>
      </c>
      <c r="N1580" s="60">
        <f ca="1">$K$1580-EFEITO!$M$1580*EFEITO!$Z$1580</f>
        <v>110725.51135052482</v>
      </c>
      <c r="O1580" s="60">
        <f>$L$1580-EFEITO!$O$1580*EFEITO!$AA$1580</f>
        <v>63201.909421350429</v>
      </c>
      <c r="P1580" s="18"/>
      <c r="Q1580" s="18"/>
      <c r="R1580" s="18"/>
      <c r="S1580" s="18"/>
      <c r="T1580" s="18"/>
      <c r="U1580" s="18"/>
      <c r="V1580" s="18"/>
      <c r="W1580" s="18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</row>
    <row r="1581" spans="1:36" ht="11.25" customHeight="1" x14ac:dyDescent="0.2">
      <c r="A1581" s="51" t="s">
        <v>27</v>
      </c>
      <c r="B1581" s="51" t="s">
        <v>44</v>
      </c>
      <c r="C1581" s="51" t="s">
        <v>23</v>
      </c>
      <c r="D1581" s="51" t="s">
        <v>45</v>
      </c>
      <c r="E1581" s="51" t="s">
        <v>53</v>
      </c>
      <c r="F1581" s="51" t="s">
        <v>55</v>
      </c>
      <c r="G1581" s="51" t="s">
        <v>25</v>
      </c>
      <c r="H1581" s="51" t="s">
        <v>25</v>
      </c>
      <c r="I1581" s="59">
        <v>44531</v>
      </c>
      <c r="J1581" s="60">
        <f>EFEITO!$J$1581*EFEITO!$Y$1279</f>
        <v>0</v>
      </c>
      <c r="K1581" s="60">
        <f ca="1">EFEITO!$L$1581*EFEITO!$Z$1279</f>
        <v>-2743.5536416004984</v>
      </c>
      <c r="L1581" s="60">
        <f>EFEITO!$N$1581*EFEITO!$AA$1279</f>
        <v>-1566.0151543588145</v>
      </c>
      <c r="M1581" s="60">
        <f>$J$1581-EFEITO!$K$1581*EFEITO!$Y$1581</f>
        <v>0</v>
      </c>
      <c r="N1581" s="60">
        <f ca="1">$K$1581-EFEITO!$M$1581*EFEITO!$Z$1581</f>
        <v>-2047.2397273622919</v>
      </c>
      <c r="O1581" s="60">
        <f>$L$1581-EFEITO!$O$1581*EFEITO!$AA$1581</f>
        <v>-1168.5605081825474</v>
      </c>
      <c r="P1581" s="18"/>
      <c r="Q1581" s="18"/>
      <c r="R1581" s="18"/>
      <c r="S1581" s="18"/>
      <c r="T1581" s="18"/>
      <c r="U1581" s="18"/>
      <c r="V1581" s="18"/>
      <c r="W1581" s="18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</row>
    <row r="1582" spans="1:36" ht="11.25" customHeight="1" x14ac:dyDescent="0.2">
      <c r="A1582" s="51" t="s">
        <v>28</v>
      </c>
      <c r="B1582" s="51" t="s">
        <v>44</v>
      </c>
      <c r="C1582" s="51" t="s">
        <v>23</v>
      </c>
      <c r="D1582" s="51" t="s">
        <v>45</v>
      </c>
      <c r="E1582" s="51" t="s">
        <v>53</v>
      </c>
      <c r="F1582" s="51" t="s">
        <v>55</v>
      </c>
      <c r="G1582" s="51" t="s">
        <v>25</v>
      </c>
      <c r="H1582" s="51" t="s">
        <v>25</v>
      </c>
      <c r="I1582" s="59">
        <v>44531</v>
      </c>
      <c r="J1582" s="60">
        <f>EFEITO!$J$1582*EFEITO!$Y$1279</f>
        <v>0</v>
      </c>
      <c r="K1582" s="60">
        <f ca="1">EFEITO!$L$1582*EFEITO!$Z$1279</f>
        <v>399.21932953605329</v>
      </c>
      <c r="L1582" s="60">
        <f>EFEITO!$N$1582*EFEITO!$AA$1279</f>
        <v>227.87362728643922</v>
      </c>
      <c r="M1582" s="60">
        <f>$J$1582-EFEITO!$K$1582*EFEITO!$Y$1582</f>
        <v>0</v>
      </c>
      <c r="N1582" s="60">
        <f ca="1">$K$1582-EFEITO!$M$1582*EFEITO!$Z$1582</f>
        <v>297.89746369980298</v>
      </c>
      <c r="O1582" s="60">
        <f>$L$1582-EFEITO!$O$1582*EFEITO!$AA$1582</f>
        <v>170.03930068114096</v>
      </c>
      <c r="P1582" s="18"/>
      <c r="Q1582" s="18"/>
      <c r="R1582" s="18"/>
      <c r="S1582" s="18"/>
      <c r="T1582" s="18"/>
      <c r="U1582" s="18"/>
      <c r="V1582" s="18"/>
      <c r="W1582" s="18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</row>
    <row r="1583" spans="1:36" ht="11.25" customHeight="1" x14ac:dyDescent="0.2">
      <c r="A1583" s="51" t="s">
        <v>21</v>
      </c>
      <c r="B1583" s="51" t="s">
        <v>44</v>
      </c>
      <c r="C1583" s="51" t="s">
        <v>23</v>
      </c>
      <c r="D1583" s="51" t="s">
        <v>45</v>
      </c>
      <c r="E1583" s="51" t="s">
        <v>53</v>
      </c>
      <c r="F1583" s="51" t="s">
        <v>55</v>
      </c>
      <c r="G1583" s="51" t="s">
        <v>25</v>
      </c>
      <c r="H1583" s="51" t="s">
        <v>25</v>
      </c>
      <c r="I1583" s="59">
        <v>44562</v>
      </c>
      <c r="J1583" s="60">
        <f>EFEITO!$J$1583*EFEITO!$Y$1279</f>
        <v>0</v>
      </c>
      <c r="K1583" s="60">
        <f ca="1">EFEITO!$L$1583*EFEITO!$Z$1279</f>
        <v>132098.42811803892</v>
      </c>
      <c r="L1583" s="60">
        <f>EFEITO!$N$1583*EFEITO!$AA$1279</f>
        <v>75401.529302393174</v>
      </c>
      <c r="M1583" s="60">
        <f>$J$1583-EFEITO!$K$1583*EFEITO!$Y$1583</f>
        <v>0</v>
      </c>
      <c r="N1583" s="60">
        <f ca="1">$K$1583-EFEITO!$M$1583*EFEITO!$Z$1583</f>
        <v>98571.847061680644</v>
      </c>
      <c r="O1583" s="60">
        <f>$L$1583-EFEITO!$O$1583*EFEITO!$AA$1583</f>
        <v>56264.621165445787</v>
      </c>
      <c r="P1583" s="18"/>
      <c r="Q1583" s="18"/>
      <c r="R1583" s="18"/>
      <c r="S1583" s="18"/>
      <c r="T1583" s="18"/>
      <c r="U1583" s="18"/>
      <c r="V1583" s="18"/>
      <c r="W1583" s="18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</row>
    <row r="1584" spans="1:36" ht="11.25" customHeight="1" x14ac:dyDescent="0.2">
      <c r="A1584" s="51" t="s">
        <v>28</v>
      </c>
      <c r="B1584" s="51" t="s">
        <v>44</v>
      </c>
      <c r="C1584" s="51" t="s">
        <v>23</v>
      </c>
      <c r="D1584" s="51" t="s">
        <v>45</v>
      </c>
      <c r="E1584" s="51" t="s">
        <v>53</v>
      </c>
      <c r="F1584" s="51" t="s">
        <v>55</v>
      </c>
      <c r="G1584" s="51" t="s">
        <v>25</v>
      </c>
      <c r="H1584" s="51" t="s">
        <v>25</v>
      </c>
      <c r="I1584" s="59">
        <v>44562</v>
      </c>
      <c r="J1584" s="60">
        <f>EFEITO!$J$1584*EFEITO!$Y$1279</f>
        <v>0</v>
      </c>
      <c r="K1584" s="60">
        <f ca="1">EFEITO!$L$1584*EFEITO!$Z$1279</f>
        <v>434.98872363454626</v>
      </c>
      <c r="L1584" s="60">
        <f>EFEITO!$N$1584*EFEITO!$AA$1279</f>
        <v>248.29072880437971</v>
      </c>
      <c r="M1584" s="60">
        <f>$J$1584-EFEITO!$K$1584*EFEITO!$Y$1584</f>
        <v>0</v>
      </c>
      <c r="N1584" s="60">
        <f ca="1">$K$1584-EFEITO!$M$1584*EFEITO!$Z$1584</f>
        <v>324.58858557609841</v>
      </c>
      <c r="O1584" s="60">
        <f>$L$1584-EFEITO!$O$1584*EFEITO!$AA$1584</f>
        <v>185.27454183382815</v>
      </c>
      <c r="P1584" s="18"/>
      <c r="Q1584" s="18"/>
      <c r="R1584" s="18"/>
      <c r="S1584" s="18"/>
      <c r="T1584" s="18"/>
      <c r="U1584" s="18"/>
      <c r="V1584" s="18"/>
      <c r="W1584" s="18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</row>
    <row r="1585" spans="1:36" ht="11.25" customHeight="1" x14ac:dyDescent="0.2">
      <c r="A1585" s="51" t="s">
        <v>21</v>
      </c>
      <c r="B1585" s="51" t="s">
        <v>44</v>
      </c>
      <c r="C1585" s="51" t="s">
        <v>23</v>
      </c>
      <c r="D1585" s="51" t="s">
        <v>45</v>
      </c>
      <c r="E1585" s="51" t="s">
        <v>53</v>
      </c>
      <c r="F1585" s="51" t="s">
        <v>55</v>
      </c>
      <c r="G1585" s="51" t="s">
        <v>25</v>
      </c>
      <c r="H1585" s="51" t="s">
        <v>25</v>
      </c>
      <c r="I1585" s="59">
        <v>44593</v>
      </c>
      <c r="J1585" s="60">
        <f>EFEITO!$J$1585*EFEITO!$Y$1279</f>
        <v>0</v>
      </c>
      <c r="K1585" s="60">
        <f ca="1">EFEITO!$L$1585*EFEITO!$Z$1279</f>
        <v>195621.99403973605</v>
      </c>
      <c r="L1585" s="60">
        <f>EFEITO!$N$1585*EFEITO!$AA$1279</f>
        <v>111660.65884296093</v>
      </c>
      <c r="M1585" s="60">
        <f>$J$1585-EFEITO!$K$1585*EFEITO!$Y$1585</f>
        <v>0</v>
      </c>
      <c r="N1585" s="60">
        <f ca="1">$K$1585-EFEITO!$M$1585*EFEITO!$Z$1585</f>
        <v>145973.13195245105</v>
      </c>
      <c r="O1585" s="60">
        <f>$L$1585-EFEITO!$O$1585*EFEITO!$AA$1585</f>
        <v>83321.183628617437</v>
      </c>
      <c r="P1585" s="18"/>
      <c r="Q1585" s="18"/>
      <c r="R1585" s="18"/>
      <c r="S1585" s="18"/>
      <c r="T1585" s="18"/>
      <c r="U1585" s="18"/>
      <c r="V1585" s="18"/>
      <c r="W1585" s="18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</row>
    <row r="1586" spans="1:36" ht="11.25" customHeight="1" x14ac:dyDescent="0.2">
      <c r="A1586" s="51" t="s">
        <v>28</v>
      </c>
      <c r="B1586" s="51" t="s">
        <v>44</v>
      </c>
      <c r="C1586" s="51" t="s">
        <v>23</v>
      </c>
      <c r="D1586" s="51" t="s">
        <v>45</v>
      </c>
      <c r="E1586" s="51" t="s">
        <v>53</v>
      </c>
      <c r="F1586" s="51" t="s">
        <v>55</v>
      </c>
      <c r="G1586" s="51" t="s">
        <v>25</v>
      </c>
      <c r="H1586" s="51" t="s">
        <v>25</v>
      </c>
      <c r="I1586" s="59">
        <v>44593</v>
      </c>
      <c r="J1586" s="60">
        <f>EFEITO!$J$1586*EFEITO!$Y$1279</f>
        <v>0</v>
      </c>
      <c r="K1586" s="60">
        <f ca="1">EFEITO!$L$1586*EFEITO!$Z$1279</f>
        <v>455.13470421875491</v>
      </c>
      <c r="L1586" s="60">
        <f>EFEITO!$N$1586*EFEITO!$AA$1279</f>
        <v>259.79001586620825</v>
      </c>
      <c r="M1586" s="60">
        <f>$J$1586-EFEITO!$K$1586*EFEITO!$Y$1586</f>
        <v>0</v>
      </c>
      <c r="N1586" s="60">
        <f ca="1">$K$1586-EFEITO!$M$1586*EFEITO!$Z$1586</f>
        <v>339.62151628803491</v>
      </c>
      <c r="O1586" s="60">
        <f>$L$1586-EFEITO!$O$1586*EFEITO!$AA$1586</f>
        <v>193.85530983936462</v>
      </c>
      <c r="P1586" s="18"/>
      <c r="Q1586" s="18"/>
      <c r="R1586" s="18"/>
      <c r="S1586" s="18"/>
      <c r="T1586" s="18"/>
      <c r="U1586" s="18"/>
      <c r="V1586" s="18"/>
      <c r="W1586" s="18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</row>
    <row r="1587" spans="1:36" ht="11.25" customHeight="1" x14ac:dyDescent="0.2">
      <c r="A1587" s="51" t="s">
        <v>56</v>
      </c>
      <c r="B1587" s="51" t="s">
        <v>44</v>
      </c>
      <c r="C1587" s="51" t="s">
        <v>23</v>
      </c>
      <c r="D1587" s="51" t="s">
        <v>45</v>
      </c>
      <c r="E1587" s="51" t="s">
        <v>53</v>
      </c>
      <c r="F1587" s="51" t="s">
        <v>55</v>
      </c>
      <c r="G1587" s="51" t="s">
        <v>25</v>
      </c>
      <c r="H1587" s="51" t="s">
        <v>25</v>
      </c>
      <c r="I1587" s="59">
        <v>44621</v>
      </c>
      <c r="J1587" s="60">
        <f>EFEITO!$J$1587*EFEITO!$Y$1279</f>
        <v>0</v>
      </c>
      <c r="K1587" s="60">
        <f ca="1">EFEITO!$L$1587*EFEITO!$Z$1279</f>
        <v>195621.99403973605</v>
      </c>
      <c r="L1587" s="60">
        <f>EFEITO!$N$1587*EFEITO!$AA$1279</f>
        <v>111660.65884296093</v>
      </c>
      <c r="M1587" s="60">
        <f>$J$1587-EFEITO!$K$1587*EFEITO!$Y$1587</f>
        <v>0</v>
      </c>
      <c r="N1587" s="60">
        <f ca="1">$K$1587-EFEITO!$M$1587*EFEITO!$Z$1587</f>
        <v>145973.13195245105</v>
      </c>
      <c r="O1587" s="60">
        <f>$L$1587-EFEITO!$O$1587*EFEITO!$AA$1587</f>
        <v>83321.183628617437</v>
      </c>
      <c r="P1587" s="18"/>
      <c r="Q1587" s="18"/>
      <c r="R1587" s="18"/>
      <c r="S1587" s="18"/>
      <c r="T1587" s="18"/>
      <c r="U1587" s="18"/>
      <c r="V1587" s="18"/>
      <c r="W1587" s="18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</row>
    <row r="1588" spans="1:36" ht="11.25" customHeight="1" x14ac:dyDescent="0.2">
      <c r="A1588" s="51" t="s">
        <v>56</v>
      </c>
      <c r="B1588" s="51" t="s">
        <v>44</v>
      </c>
      <c r="C1588" s="51" t="s">
        <v>23</v>
      </c>
      <c r="D1588" s="51" t="s">
        <v>45</v>
      </c>
      <c r="E1588" s="51" t="s">
        <v>53</v>
      </c>
      <c r="F1588" s="51" t="s">
        <v>55</v>
      </c>
      <c r="G1588" s="51" t="s">
        <v>25</v>
      </c>
      <c r="H1588" s="51" t="s">
        <v>25</v>
      </c>
      <c r="I1588" s="59">
        <v>44621</v>
      </c>
      <c r="J1588" s="60">
        <f>EFEITO!$J$1588*EFEITO!$Y$1279</f>
        <v>0</v>
      </c>
      <c r="K1588" s="60">
        <f ca="1">EFEITO!$L$1588*EFEITO!$Z$1279</f>
        <v>455.13470421875491</v>
      </c>
      <c r="L1588" s="60">
        <f>EFEITO!$N$1588*EFEITO!$AA$1279</f>
        <v>259.79001586620825</v>
      </c>
      <c r="M1588" s="60">
        <f>$J$1588-EFEITO!$K$1588*EFEITO!$Y$1588</f>
        <v>0</v>
      </c>
      <c r="N1588" s="60">
        <f ca="1">$K$1588-EFEITO!$M$1588*EFEITO!$Z$1588</f>
        <v>339.62151628803491</v>
      </c>
      <c r="O1588" s="60">
        <f>$L$1588-EFEITO!$O$1588*EFEITO!$AA$1588</f>
        <v>193.85530983936462</v>
      </c>
      <c r="P1588" s="18"/>
      <c r="Q1588" s="18"/>
      <c r="R1588" s="18"/>
      <c r="S1588" s="18"/>
      <c r="T1588" s="18"/>
      <c r="U1588" s="18"/>
      <c r="V1588" s="18"/>
      <c r="W1588" s="18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</row>
    <row r="1589" spans="1:36" ht="11.25" customHeight="1" x14ac:dyDescent="0.2">
      <c r="A1589" s="51" t="s">
        <v>21</v>
      </c>
      <c r="B1589" s="51" t="s">
        <v>44</v>
      </c>
      <c r="C1589" s="51" t="s">
        <v>23</v>
      </c>
      <c r="D1589" s="51" t="s">
        <v>45</v>
      </c>
      <c r="E1589" s="51" t="s">
        <v>25</v>
      </c>
      <c r="F1589" s="51" t="s">
        <v>25</v>
      </c>
      <c r="G1589" s="51" t="s">
        <v>25</v>
      </c>
      <c r="H1589" s="51" t="s">
        <v>25</v>
      </c>
      <c r="I1589" s="59">
        <v>44287</v>
      </c>
      <c r="J1589" s="60">
        <f>EFEITO!$J$1589*EFEITO!$Y$1279</f>
        <v>0</v>
      </c>
      <c r="K1589" s="60">
        <f ca="1">EFEITO!$L$1589*EFEITO!$Z$1279</f>
        <v>2209083.243556208</v>
      </c>
      <c r="L1589" s="60">
        <f>EFEITO!$N$1589*EFEITO!$AA$1279</f>
        <v>1260940.4766844697</v>
      </c>
      <c r="M1589" s="60">
        <f>$J$1589-EFEITO!$K$1589*EFEITO!$Y$1589</f>
        <v>0</v>
      </c>
      <c r="N1589" s="60">
        <f ca="1">$K$1589-EFEITO!$M$1589*EFEITO!$Z$1589</f>
        <v>132544.99461337272</v>
      </c>
      <c r="O1589" s="60">
        <f>$L$1589-EFEITO!$O$1589*EFEITO!$AA$1589</f>
        <v>75656.428601068212</v>
      </c>
      <c r="P1589" s="18"/>
      <c r="Q1589" s="18"/>
      <c r="R1589" s="18"/>
      <c r="S1589" s="18"/>
      <c r="T1589" s="18"/>
      <c r="U1589" s="18"/>
      <c r="V1589" s="18"/>
      <c r="W1589" s="18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</row>
    <row r="1590" spans="1:36" ht="11.25" customHeight="1" x14ac:dyDescent="0.2">
      <c r="A1590" s="51" t="s">
        <v>27</v>
      </c>
      <c r="B1590" s="51" t="s">
        <v>44</v>
      </c>
      <c r="C1590" s="51" t="s">
        <v>23</v>
      </c>
      <c r="D1590" s="51" t="s">
        <v>45</v>
      </c>
      <c r="E1590" s="51" t="s">
        <v>25</v>
      </c>
      <c r="F1590" s="51" t="s">
        <v>25</v>
      </c>
      <c r="G1590" s="51" t="s">
        <v>25</v>
      </c>
      <c r="H1590" s="51" t="s">
        <v>25</v>
      </c>
      <c r="I1590" s="59">
        <v>44287</v>
      </c>
      <c r="J1590" s="60">
        <f>EFEITO!$J$1590*EFEITO!$Y$1279</f>
        <v>0</v>
      </c>
      <c r="K1590" s="60">
        <f ca="1">EFEITO!$L$1590*EFEITO!$Z$1279</f>
        <v>-106.89703983457659</v>
      </c>
      <c r="L1590" s="60">
        <f>EFEITO!$N$1590*EFEITO!$AA$1279</f>
        <v>-61.016625226029042</v>
      </c>
      <c r="M1590" s="60">
        <f>$J$1590-EFEITO!$K$1590*EFEITO!$Y$1590</f>
        <v>0</v>
      </c>
      <c r="N1590" s="60">
        <f ca="1">$K$1590-EFEITO!$M$1590*EFEITO!$Z$1590</f>
        <v>-6.4138223900745999</v>
      </c>
      <c r="O1590" s="60">
        <f>$L$1590-EFEITO!$O$1590*EFEITO!$AA$1590</f>
        <v>-3.6609975135617532</v>
      </c>
      <c r="P1590" s="18"/>
      <c r="Q1590" s="18"/>
      <c r="R1590" s="18"/>
      <c r="S1590" s="18"/>
      <c r="T1590" s="18"/>
      <c r="U1590" s="18"/>
      <c r="V1590" s="18"/>
      <c r="W1590" s="18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</row>
    <row r="1591" spans="1:36" ht="11.25" customHeight="1" x14ac:dyDescent="0.2">
      <c r="A1591" s="51" t="s">
        <v>28</v>
      </c>
      <c r="B1591" s="51" t="s">
        <v>44</v>
      </c>
      <c r="C1591" s="51" t="s">
        <v>23</v>
      </c>
      <c r="D1591" s="51" t="s">
        <v>45</v>
      </c>
      <c r="E1591" s="51" t="s">
        <v>25</v>
      </c>
      <c r="F1591" s="51" t="s">
        <v>25</v>
      </c>
      <c r="G1591" s="51" t="s">
        <v>25</v>
      </c>
      <c r="H1591" s="51" t="s">
        <v>25</v>
      </c>
      <c r="I1591" s="59">
        <v>44287</v>
      </c>
      <c r="J1591" s="60">
        <f>EFEITO!$J$1591*EFEITO!$Y$1279</f>
        <v>0</v>
      </c>
      <c r="K1591" s="60">
        <f ca="1">EFEITO!$L$1591*EFEITO!$Z$1279</f>
        <v>34357.119745293814</v>
      </c>
      <c r="L1591" s="60">
        <f>EFEITO!$N$1591*EFEITO!$AA$1279</f>
        <v>19610.978026973524</v>
      </c>
      <c r="M1591" s="60">
        <f>$J$1591-EFEITO!$K$1591*EFEITO!$Y$1591</f>
        <v>0</v>
      </c>
      <c r="N1591" s="60">
        <f ca="1">$K$1591-EFEITO!$M$1591*EFEITO!$Z$1591</f>
        <v>2061.4271847176278</v>
      </c>
      <c r="O1591" s="60">
        <f>$L$1591-EFEITO!$O$1591*EFEITO!$AA$1591</f>
        <v>1176.6586816184135</v>
      </c>
      <c r="P1591" s="18"/>
      <c r="Q1591" s="18"/>
      <c r="R1591" s="18"/>
      <c r="S1591" s="18"/>
      <c r="T1591" s="18"/>
      <c r="U1591" s="18"/>
      <c r="V1591" s="18"/>
      <c r="W1591" s="18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</row>
    <row r="1592" spans="1:36" ht="11.25" customHeight="1" x14ac:dyDescent="0.2">
      <c r="A1592" s="51" t="s">
        <v>21</v>
      </c>
      <c r="B1592" s="51" t="s">
        <v>44</v>
      </c>
      <c r="C1592" s="51" t="s">
        <v>23</v>
      </c>
      <c r="D1592" s="51" t="s">
        <v>45</v>
      </c>
      <c r="E1592" s="51" t="s">
        <v>25</v>
      </c>
      <c r="F1592" s="51" t="s">
        <v>25</v>
      </c>
      <c r="G1592" s="51" t="s">
        <v>25</v>
      </c>
      <c r="H1592" s="51" t="s">
        <v>25</v>
      </c>
      <c r="I1592" s="59">
        <v>44317</v>
      </c>
      <c r="J1592" s="60">
        <f>EFEITO!$J$1592*EFEITO!$Y$1279</f>
        <v>0</v>
      </c>
      <c r="K1592" s="60">
        <f ca="1">EFEITO!$L$1592*EFEITO!$Z$1279</f>
        <v>1777745.8761169342</v>
      </c>
      <c r="L1592" s="60">
        <f>EFEITO!$N$1592*EFEITO!$AA$1279</f>
        <v>1014733.9349902146</v>
      </c>
      <c r="M1592" s="60">
        <f>$J$1592-EFEITO!$K$1592*EFEITO!$Y$1592</f>
        <v>0</v>
      </c>
      <c r="N1592" s="60">
        <f ca="1">$K$1592-EFEITO!$M$1592*EFEITO!$Z$1592</f>
        <v>106664.75256701605</v>
      </c>
      <c r="O1592" s="60">
        <f>$L$1592-EFEITO!$O$1592*EFEITO!$AA$1592</f>
        <v>60884.036099412944</v>
      </c>
      <c r="P1592" s="18"/>
      <c r="Q1592" s="18"/>
      <c r="R1592" s="18"/>
      <c r="S1592" s="18"/>
      <c r="T1592" s="18"/>
      <c r="U1592" s="18"/>
      <c r="V1592" s="18"/>
      <c r="W1592" s="18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</row>
    <row r="1593" spans="1:36" ht="11.25" customHeight="1" x14ac:dyDescent="0.2">
      <c r="A1593" s="51" t="s">
        <v>27</v>
      </c>
      <c r="B1593" s="51" t="s">
        <v>44</v>
      </c>
      <c r="C1593" s="51" t="s">
        <v>23</v>
      </c>
      <c r="D1593" s="51" t="s">
        <v>45</v>
      </c>
      <c r="E1593" s="51" t="s">
        <v>25</v>
      </c>
      <c r="F1593" s="51" t="s">
        <v>25</v>
      </c>
      <c r="G1593" s="51" t="s">
        <v>25</v>
      </c>
      <c r="H1593" s="51" t="s">
        <v>25</v>
      </c>
      <c r="I1593" s="59">
        <v>44317</v>
      </c>
      <c r="J1593" s="60">
        <f>EFEITO!$J$1593*EFEITO!$Y$1279</f>
        <v>0</v>
      </c>
      <c r="K1593" s="60">
        <f ca="1">EFEITO!$L$1593*EFEITO!$Z$1279</f>
        <v>-2944.1911625207804</v>
      </c>
      <c r="L1593" s="60">
        <f>EFEITO!$N$1593*EFEITO!$AA$1279</f>
        <v>-1680.5386663215149</v>
      </c>
      <c r="M1593" s="60">
        <f>$J$1593-EFEITO!$K$1593*EFEITO!$Y$1593</f>
        <v>0</v>
      </c>
      <c r="N1593" s="60">
        <f ca="1">$K$1593-EFEITO!$M$1593*EFEITO!$Z$1593</f>
        <v>-176.65146975124708</v>
      </c>
      <c r="O1593" s="60">
        <f>$L$1593-EFEITO!$O$1593*EFEITO!$AA$1593</f>
        <v>-100.83231997929101</v>
      </c>
      <c r="P1593" s="18"/>
      <c r="Q1593" s="18"/>
      <c r="R1593" s="18"/>
      <c r="S1593" s="18"/>
      <c r="T1593" s="18"/>
      <c r="U1593" s="18"/>
      <c r="V1593" s="18"/>
      <c r="W1593" s="18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</row>
    <row r="1594" spans="1:36" ht="11.25" customHeight="1" x14ac:dyDescent="0.2">
      <c r="A1594" s="51" t="s">
        <v>28</v>
      </c>
      <c r="B1594" s="51" t="s">
        <v>44</v>
      </c>
      <c r="C1594" s="51" t="s">
        <v>23</v>
      </c>
      <c r="D1594" s="51" t="s">
        <v>45</v>
      </c>
      <c r="E1594" s="51" t="s">
        <v>25</v>
      </c>
      <c r="F1594" s="51" t="s">
        <v>25</v>
      </c>
      <c r="G1594" s="51" t="s">
        <v>25</v>
      </c>
      <c r="H1594" s="51" t="s">
        <v>25</v>
      </c>
      <c r="I1594" s="59">
        <v>44317</v>
      </c>
      <c r="J1594" s="60">
        <f>EFEITO!$J$1594*EFEITO!$Y$1279</f>
        <v>0</v>
      </c>
      <c r="K1594" s="60">
        <f ca="1">EFEITO!$L$1594*EFEITO!$Z$1279</f>
        <v>24785.723255490189</v>
      </c>
      <c r="L1594" s="60">
        <f>EFEITO!$N$1594*EFEITO!$AA$1279</f>
        <v>14147.643275966</v>
      </c>
      <c r="M1594" s="60">
        <f>$J$1594-EFEITO!$K$1594*EFEITO!$Y$1594</f>
        <v>0</v>
      </c>
      <c r="N1594" s="60">
        <f ca="1">$K$1594-EFEITO!$M$1594*EFEITO!$Z$1594</f>
        <v>1487.1433953294145</v>
      </c>
      <c r="O1594" s="60">
        <f>$L$1594-EFEITO!$O$1594*EFEITO!$AA$1594</f>
        <v>848.85859655796048</v>
      </c>
      <c r="P1594" s="18"/>
      <c r="Q1594" s="18"/>
      <c r="R1594" s="18"/>
      <c r="S1594" s="18"/>
      <c r="T1594" s="18"/>
      <c r="U1594" s="18"/>
      <c r="V1594" s="18"/>
      <c r="W1594" s="18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</row>
    <row r="1595" spans="1:36" ht="11.25" customHeight="1" x14ac:dyDescent="0.2">
      <c r="A1595" s="51" t="s">
        <v>21</v>
      </c>
      <c r="B1595" s="51" t="s">
        <v>44</v>
      </c>
      <c r="C1595" s="51" t="s">
        <v>23</v>
      </c>
      <c r="D1595" s="51" t="s">
        <v>45</v>
      </c>
      <c r="E1595" s="51" t="s">
        <v>25</v>
      </c>
      <c r="F1595" s="51" t="s">
        <v>25</v>
      </c>
      <c r="G1595" s="51" t="s">
        <v>25</v>
      </c>
      <c r="H1595" s="51" t="s">
        <v>25</v>
      </c>
      <c r="I1595" s="59">
        <v>44348</v>
      </c>
      <c r="J1595" s="60">
        <f>EFEITO!$J$1595*EFEITO!$Y$1279</f>
        <v>0</v>
      </c>
      <c r="K1595" s="60">
        <f ca="1">EFEITO!$L$1595*EFEITO!$Z$1279</f>
        <v>1595288.2525328263</v>
      </c>
      <c r="L1595" s="60">
        <f>EFEITO!$N$1595*EFEITO!$AA$1279</f>
        <v>910587.47354383918</v>
      </c>
      <c r="M1595" s="60">
        <f>$J$1595-EFEITO!$K$1595*EFEITO!$Y$1595</f>
        <v>0</v>
      </c>
      <c r="N1595" s="60">
        <f ca="1">$K$1595-EFEITO!$M$1595*EFEITO!$Z$1595</f>
        <v>95717.295151969651</v>
      </c>
      <c r="O1595" s="60">
        <f>$L$1595-EFEITO!$O$1595*EFEITO!$AA$1595</f>
        <v>54635.248412630404</v>
      </c>
      <c r="P1595" s="18"/>
      <c r="Q1595" s="18"/>
      <c r="R1595" s="18"/>
      <c r="S1595" s="18"/>
      <c r="T1595" s="18"/>
      <c r="U1595" s="18"/>
      <c r="V1595" s="18"/>
      <c r="W1595" s="18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</row>
    <row r="1596" spans="1:36" ht="11.25" customHeight="1" x14ac:dyDescent="0.2">
      <c r="A1596" s="51" t="s">
        <v>27</v>
      </c>
      <c r="B1596" s="51" t="s">
        <v>44</v>
      </c>
      <c r="C1596" s="51" t="s">
        <v>23</v>
      </c>
      <c r="D1596" s="51" t="s">
        <v>45</v>
      </c>
      <c r="E1596" s="51" t="s">
        <v>25</v>
      </c>
      <c r="F1596" s="51" t="s">
        <v>25</v>
      </c>
      <c r="G1596" s="51" t="s">
        <v>25</v>
      </c>
      <c r="H1596" s="51" t="s">
        <v>25</v>
      </c>
      <c r="I1596" s="59">
        <v>44348</v>
      </c>
      <c r="J1596" s="60">
        <f>EFEITO!$J$1596*EFEITO!$Y$1279</f>
        <v>0</v>
      </c>
      <c r="K1596" s="60">
        <f ca="1">EFEITO!$L$1596*EFEITO!$Z$1279</f>
        <v>-29869.910927007011</v>
      </c>
      <c r="L1596" s="60">
        <f>EFEITO!$N$1596*EFEITO!$AA$1279</f>
        <v>-17049.68784344706</v>
      </c>
      <c r="M1596" s="60">
        <f>$J$1596-EFEITO!$K$1596*EFEITO!$Y$1596</f>
        <v>0</v>
      </c>
      <c r="N1596" s="60">
        <f ca="1">$K$1596-EFEITO!$M$1596*EFEITO!$Z$1596</f>
        <v>-1792.1946556204202</v>
      </c>
      <c r="O1596" s="60">
        <f>$L$1596-EFEITO!$O$1596*EFEITO!$AA$1596</f>
        <v>-1022.981270606826</v>
      </c>
      <c r="P1596" s="18"/>
      <c r="Q1596" s="18"/>
      <c r="R1596" s="18"/>
      <c r="S1596" s="18"/>
      <c r="T1596" s="18"/>
      <c r="U1596" s="18"/>
      <c r="V1596" s="18"/>
      <c r="W1596" s="18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</row>
    <row r="1597" spans="1:36" ht="11.25" customHeight="1" x14ac:dyDescent="0.2">
      <c r="A1597" s="51" t="s">
        <v>28</v>
      </c>
      <c r="B1597" s="51" t="s">
        <v>44</v>
      </c>
      <c r="C1597" s="51" t="s">
        <v>23</v>
      </c>
      <c r="D1597" s="51" t="s">
        <v>45</v>
      </c>
      <c r="E1597" s="51" t="s">
        <v>25</v>
      </c>
      <c r="F1597" s="51" t="s">
        <v>25</v>
      </c>
      <c r="G1597" s="51" t="s">
        <v>25</v>
      </c>
      <c r="H1597" s="51" t="s">
        <v>25</v>
      </c>
      <c r="I1597" s="59">
        <v>44348</v>
      </c>
      <c r="J1597" s="60">
        <f>EFEITO!$J$1597*EFEITO!$Y$1279</f>
        <v>0</v>
      </c>
      <c r="K1597" s="60">
        <f ca="1">EFEITO!$L$1597*EFEITO!$Z$1279</f>
        <v>34284.758672175027</v>
      </c>
      <c r="L1597" s="60">
        <f>EFEITO!$N$1597*EFEITO!$AA$1279</f>
        <v>19569.674465282056</v>
      </c>
      <c r="M1597" s="60">
        <f>$J$1597-EFEITO!$K$1597*EFEITO!$Y$1597</f>
        <v>0</v>
      </c>
      <c r="N1597" s="60">
        <f ca="1">$K$1597-EFEITO!$M$1597*EFEITO!$Z$1597</f>
        <v>2057.0855203305036</v>
      </c>
      <c r="O1597" s="60">
        <f>$L$1597-EFEITO!$O$1597*EFEITO!$AA$1597</f>
        <v>1174.1804679169218</v>
      </c>
      <c r="P1597" s="18"/>
      <c r="Q1597" s="18"/>
      <c r="R1597" s="18"/>
      <c r="S1597" s="18"/>
      <c r="T1597" s="18"/>
      <c r="U1597" s="18"/>
      <c r="V1597" s="18"/>
      <c r="W1597" s="18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</row>
    <row r="1598" spans="1:36" ht="11.25" customHeight="1" x14ac:dyDescent="0.2">
      <c r="A1598" s="51" t="s">
        <v>28</v>
      </c>
      <c r="B1598" s="51" t="s">
        <v>44</v>
      </c>
      <c r="C1598" s="51" t="s">
        <v>23</v>
      </c>
      <c r="D1598" s="51" t="s">
        <v>45</v>
      </c>
      <c r="E1598" s="51" t="s">
        <v>25</v>
      </c>
      <c r="F1598" s="51" t="s">
        <v>25</v>
      </c>
      <c r="G1598" s="51" t="s">
        <v>25</v>
      </c>
      <c r="H1598" s="51" t="s">
        <v>25</v>
      </c>
      <c r="I1598" s="59">
        <v>44348</v>
      </c>
      <c r="J1598" s="60">
        <f>EFEITO!$J$1598*EFEITO!$Y$1279</f>
        <v>0</v>
      </c>
      <c r="K1598" s="60">
        <f ca="1">EFEITO!$L$1598*EFEITO!$Z$1279</f>
        <v>-238.4626273232862</v>
      </c>
      <c r="L1598" s="60">
        <f>EFEITO!$N$1598*EFEITO!$AA$1279</f>
        <v>-136.11401011960322</v>
      </c>
      <c r="M1598" s="60">
        <f>$J$1598-EFEITO!$K$1598*EFEITO!$Y$1598</f>
        <v>0</v>
      </c>
      <c r="N1598" s="60">
        <f ca="1">$K$1598-EFEITO!$M$1598*EFEITO!$Z$1598</f>
        <v>-14.307757639397181</v>
      </c>
      <c r="O1598" s="60">
        <f>$L$1598-EFEITO!$O$1598*EFEITO!$AA$1598</f>
        <v>-8.1668406071761979</v>
      </c>
      <c r="P1598" s="18"/>
      <c r="Q1598" s="18"/>
      <c r="R1598" s="18"/>
      <c r="S1598" s="18"/>
      <c r="T1598" s="18"/>
      <c r="U1598" s="18"/>
      <c r="V1598" s="18"/>
      <c r="W1598" s="18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</row>
    <row r="1599" spans="1:36" ht="11.25" customHeight="1" x14ac:dyDescent="0.2">
      <c r="A1599" s="51" t="s">
        <v>21</v>
      </c>
      <c r="B1599" s="51" t="s">
        <v>44</v>
      </c>
      <c r="C1599" s="51" t="s">
        <v>23</v>
      </c>
      <c r="D1599" s="51" t="s">
        <v>45</v>
      </c>
      <c r="E1599" s="51" t="s">
        <v>25</v>
      </c>
      <c r="F1599" s="51" t="s">
        <v>25</v>
      </c>
      <c r="G1599" s="51" t="s">
        <v>25</v>
      </c>
      <c r="H1599" s="51" t="s">
        <v>25</v>
      </c>
      <c r="I1599" s="59">
        <v>44378</v>
      </c>
      <c r="J1599" s="60">
        <f>EFEITO!$J$1599*EFEITO!$Y$1279</f>
        <v>0</v>
      </c>
      <c r="K1599" s="60">
        <f ca="1">EFEITO!$L$1599*EFEITO!$Z$1279</f>
        <v>1597362.4662480778</v>
      </c>
      <c r="L1599" s="60">
        <f>EFEITO!$N$1599*EFEITO!$AA$1279</f>
        <v>911771.43075255188</v>
      </c>
      <c r="M1599" s="60">
        <f>$J$1599-EFEITO!$K$1599*EFEITO!$Y$1599</f>
        <v>0</v>
      </c>
      <c r="N1599" s="60">
        <f ca="1">$K$1599-EFEITO!$M$1599*EFEITO!$Z$1599</f>
        <v>95841.747974884696</v>
      </c>
      <c r="O1599" s="60">
        <f>$L$1599-EFEITO!$O$1599*EFEITO!$AA$1599</f>
        <v>54706.28584515315</v>
      </c>
      <c r="P1599" s="18"/>
      <c r="Q1599" s="18"/>
      <c r="R1599" s="18"/>
      <c r="S1599" s="18"/>
      <c r="T1599" s="18"/>
      <c r="U1599" s="18"/>
      <c r="V1599" s="18"/>
      <c r="W1599" s="18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</row>
    <row r="1600" spans="1:36" ht="11.25" customHeight="1" x14ac:dyDescent="0.2">
      <c r="A1600" s="51" t="s">
        <v>27</v>
      </c>
      <c r="B1600" s="51" t="s">
        <v>44</v>
      </c>
      <c r="C1600" s="51" t="s">
        <v>23</v>
      </c>
      <c r="D1600" s="51" t="s">
        <v>45</v>
      </c>
      <c r="E1600" s="51" t="s">
        <v>25</v>
      </c>
      <c r="F1600" s="51" t="s">
        <v>25</v>
      </c>
      <c r="G1600" s="51" t="s">
        <v>25</v>
      </c>
      <c r="H1600" s="51" t="s">
        <v>25</v>
      </c>
      <c r="I1600" s="59">
        <v>44378</v>
      </c>
      <c r="J1600" s="60">
        <f>EFEITO!$J$1600*EFEITO!$Y$1279</f>
        <v>0</v>
      </c>
      <c r="K1600" s="60">
        <f ca="1">EFEITO!$L$1600*EFEITO!$Z$1279</f>
        <v>-14782.216039278333</v>
      </c>
      <c r="L1600" s="60">
        <f>EFEITO!$N$1600*EFEITO!$AA$1279</f>
        <v>-8437.6605514486455</v>
      </c>
      <c r="M1600" s="60">
        <f>$J$1600-EFEITO!$K$1600*EFEITO!$Y$1600</f>
        <v>0</v>
      </c>
      <c r="N1600" s="60">
        <f ca="1">$K$1600-EFEITO!$M$1600*EFEITO!$Z$1600</f>
        <v>-886.93296235670095</v>
      </c>
      <c r="O1600" s="60">
        <f>$L$1600-EFEITO!$O$1600*EFEITO!$AA$1600</f>
        <v>-506.25963308691826</v>
      </c>
      <c r="P1600" s="18"/>
      <c r="Q1600" s="18"/>
      <c r="R1600" s="18"/>
      <c r="S1600" s="18"/>
      <c r="T1600" s="18"/>
      <c r="U1600" s="18"/>
      <c r="V1600" s="18"/>
      <c r="W1600" s="18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</row>
    <row r="1601" spans="1:36" ht="11.25" customHeight="1" x14ac:dyDescent="0.2">
      <c r="A1601" s="51" t="s">
        <v>28</v>
      </c>
      <c r="B1601" s="51" t="s">
        <v>44</v>
      </c>
      <c r="C1601" s="51" t="s">
        <v>23</v>
      </c>
      <c r="D1601" s="51" t="s">
        <v>45</v>
      </c>
      <c r="E1601" s="51" t="s">
        <v>25</v>
      </c>
      <c r="F1601" s="51" t="s">
        <v>25</v>
      </c>
      <c r="G1601" s="51" t="s">
        <v>25</v>
      </c>
      <c r="H1601" s="51" t="s">
        <v>25</v>
      </c>
      <c r="I1601" s="59">
        <v>44378</v>
      </c>
      <c r="J1601" s="60">
        <f>EFEITO!$J$1601*EFEITO!$Y$1279</f>
        <v>0</v>
      </c>
      <c r="K1601" s="60">
        <f ca="1">EFEITO!$L$1601*EFEITO!$Z$1279</f>
        <v>42842.688995854682</v>
      </c>
      <c r="L1601" s="60">
        <f>EFEITO!$N$1601*EFEITO!$AA$1279</f>
        <v>24454.524673281267</v>
      </c>
      <c r="M1601" s="60">
        <f>$J$1601-EFEITO!$K$1601*EFEITO!$Y$1601</f>
        <v>0</v>
      </c>
      <c r="N1601" s="60">
        <f ca="1">$K$1601-EFEITO!$M$1601*EFEITO!$Z$1601</f>
        <v>2570.5613397512789</v>
      </c>
      <c r="O1601" s="60">
        <f>$L$1601-EFEITO!$O$1601*EFEITO!$AA$1601</f>
        <v>1467.2714803968775</v>
      </c>
      <c r="P1601" s="18"/>
      <c r="Q1601" s="18"/>
      <c r="R1601" s="18"/>
      <c r="S1601" s="18"/>
      <c r="T1601" s="18"/>
      <c r="U1601" s="18"/>
      <c r="V1601" s="18"/>
      <c r="W1601" s="18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</row>
    <row r="1602" spans="1:36" ht="11.25" customHeight="1" x14ac:dyDescent="0.2">
      <c r="A1602" s="51" t="s">
        <v>21</v>
      </c>
      <c r="B1602" s="51" t="s">
        <v>44</v>
      </c>
      <c r="C1602" s="51" t="s">
        <v>23</v>
      </c>
      <c r="D1602" s="51" t="s">
        <v>45</v>
      </c>
      <c r="E1602" s="51" t="s">
        <v>25</v>
      </c>
      <c r="F1602" s="51" t="s">
        <v>25</v>
      </c>
      <c r="G1602" s="51" t="s">
        <v>25</v>
      </c>
      <c r="H1602" s="51" t="s">
        <v>25</v>
      </c>
      <c r="I1602" s="59">
        <v>44409</v>
      </c>
      <c r="J1602" s="60">
        <f>EFEITO!$J$1602*EFEITO!$Y$1279</f>
        <v>0</v>
      </c>
      <c r="K1602" s="60">
        <f ca="1">EFEITO!$L$1602*EFEITO!$Z$1279</f>
        <v>1548709.100852292</v>
      </c>
      <c r="L1602" s="60">
        <f>EFEITO!$N$1602*EFEITO!$AA$1279</f>
        <v>884000.1831395803</v>
      </c>
      <c r="M1602" s="60">
        <f>$J$1602-EFEITO!$K$1602*EFEITO!$Y$1602</f>
        <v>0</v>
      </c>
      <c r="N1602" s="60">
        <f ca="1">$K$1602-EFEITO!$M$1602*EFEITO!$Z$1602</f>
        <v>92922.546051137615</v>
      </c>
      <c r="O1602" s="60">
        <f>$L$1602-EFEITO!$O$1602*EFEITO!$AA$1602</f>
        <v>53040.010988374823</v>
      </c>
      <c r="P1602" s="18"/>
      <c r="Q1602" s="18"/>
      <c r="R1602" s="18"/>
      <c r="S1602" s="18"/>
      <c r="T1602" s="18"/>
      <c r="U1602" s="18"/>
      <c r="V1602" s="18"/>
      <c r="W1602" s="18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</row>
    <row r="1603" spans="1:36" ht="11.25" customHeight="1" x14ac:dyDescent="0.2">
      <c r="A1603" s="51" t="s">
        <v>27</v>
      </c>
      <c r="B1603" s="51" t="s">
        <v>44</v>
      </c>
      <c r="C1603" s="51" t="s">
        <v>23</v>
      </c>
      <c r="D1603" s="51" t="s">
        <v>45</v>
      </c>
      <c r="E1603" s="51" t="s">
        <v>25</v>
      </c>
      <c r="F1603" s="51" t="s">
        <v>25</v>
      </c>
      <c r="G1603" s="51" t="s">
        <v>25</v>
      </c>
      <c r="H1603" s="51" t="s">
        <v>25</v>
      </c>
      <c r="I1603" s="59">
        <v>44409</v>
      </c>
      <c r="J1603" s="60">
        <f>EFEITO!$J$1603*EFEITO!$Y$1279</f>
        <v>0</v>
      </c>
      <c r="K1603" s="60">
        <f ca="1">EFEITO!$L$1603*EFEITO!$Z$1279</f>
        <v>-9106.3943665232182</v>
      </c>
      <c r="L1603" s="60">
        <f>EFEITO!$N$1603*EFEITO!$AA$1279</f>
        <v>-5197.912431274297</v>
      </c>
      <c r="M1603" s="60">
        <f>$J$1603-EFEITO!$K$1603*EFEITO!$Y$1603</f>
        <v>0</v>
      </c>
      <c r="N1603" s="60">
        <f ca="1">$K$1603-EFEITO!$M$1603*EFEITO!$Z$1603</f>
        <v>-546.38366199139273</v>
      </c>
      <c r="O1603" s="60">
        <f>$L$1603-EFEITO!$O$1603*EFEITO!$AA$1603</f>
        <v>-311.87474587645829</v>
      </c>
      <c r="P1603" s="18"/>
      <c r="Q1603" s="18"/>
      <c r="R1603" s="18"/>
      <c r="S1603" s="18"/>
      <c r="T1603" s="18"/>
      <c r="U1603" s="18"/>
      <c r="V1603" s="18"/>
      <c r="W1603" s="18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</row>
    <row r="1604" spans="1:36" ht="11.25" customHeight="1" x14ac:dyDescent="0.2">
      <c r="A1604" s="51" t="s">
        <v>28</v>
      </c>
      <c r="B1604" s="51" t="s">
        <v>44</v>
      </c>
      <c r="C1604" s="51" t="s">
        <v>23</v>
      </c>
      <c r="D1604" s="51" t="s">
        <v>45</v>
      </c>
      <c r="E1604" s="51" t="s">
        <v>25</v>
      </c>
      <c r="F1604" s="51" t="s">
        <v>25</v>
      </c>
      <c r="G1604" s="51" t="s">
        <v>25</v>
      </c>
      <c r="H1604" s="51" t="s">
        <v>25</v>
      </c>
      <c r="I1604" s="59">
        <v>44409</v>
      </c>
      <c r="J1604" s="60">
        <f>EFEITO!$J$1604*EFEITO!$Y$1279</f>
        <v>0</v>
      </c>
      <c r="K1604" s="60">
        <f ca="1">EFEITO!$L$1604*EFEITO!$Z$1279</f>
        <v>38974.249581225718</v>
      </c>
      <c r="L1604" s="60">
        <f>EFEITO!$N$1604*EFEITO!$AA$1279</f>
        <v>22246.426878082395</v>
      </c>
      <c r="M1604" s="60">
        <f>$J$1604-EFEITO!$K$1604*EFEITO!$Y$1604</f>
        <v>0</v>
      </c>
      <c r="N1604" s="60">
        <f ca="1">$K$1604-EFEITO!$M$1604*EFEITO!$Z$1604</f>
        <v>2338.4549748735444</v>
      </c>
      <c r="O1604" s="60">
        <f>$L$1604-EFEITO!$O$1604*EFEITO!$AA$1604</f>
        <v>1334.7856126849474</v>
      </c>
      <c r="P1604" s="18"/>
      <c r="Q1604" s="18"/>
      <c r="R1604" s="18"/>
      <c r="S1604" s="18"/>
      <c r="T1604" s="18"/>
      <c r="U1604" s="18"/>
      <c r="V1604" s="18"/>
      <c r="W1604" s="18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</row>
    <row r="1605" spans="1:36" ht="11.25" customHeight="1" x14ac:dyDescent="0.2">
      <c r="A1605" s="51" t="s">
        <v>28</v>
      </c>
      <c r="B1605" s="51" t="s">
        <v>44</v>
      </c>
      <c r="C1605" s="51" t="s">
        <v>23</v>
      </c>
      <c r="D1605" s="51" t="s">
        <v>45</v>
      </c>
      <c r="E1605" s="51" t="s">
        <v>25</v>
      </c>
      <c r="F1605" s="51" t="s">
        <v>25</v>
      </c>
      <c r="G1605" s="51" t="s">
        <v>25</v>
      </c>
      <c r="H1605" s="51" t="s">
        <v>25</v>
      </c>
      <c r="I1605" s="59">
        <v>44409</v>
      </c>
      <c r="J1605" s="60">
        <f>EFEITO!$J$1605*EFEITO!$Y$1279</f>
        <v>0</v>
      </c>
      <c r="K1605" s="60">
        <f ca="1">EFEITO!$L$1605*EFEITO!$Z$1279</f>
        <v>-402.09732676236882</v>
      </c>
      <c r="L1605" s="60">
        <f>EFEITO!$N$1605*EFEITO!$AA$1279</f>
        <v>-229.51638258098615</v>
      </c>
      <c r="M1605" s="60">
        <f>$J$1605-EFEITO!$K$1605*EFEITO!$Y$1605</f>
        <v>0</v>
      </c>
      <c r="N1605" s="60">
        <f ca="1">$K$1605-EFEITO!$M$1605*EFEITO!$Z$1605</f>
        <v>-24.125839605742158</v>
      </c>
      <c r="O1605" s="60">
        <f>$L$1605-EFEITO!$O$1605*EFEITO!$AA$1605</f>
        <v>-13.770982954859193</v>
      </c>
      <c r="P1605" s="18"/>
      <c r="Q1605" s="18"/>
      <c r="R1605" s="18"/>
      <c r="S1605" s="18"/>
      <c r="T1605" s="18"/>
      <c r="U1605" s="18"/>
      <c r="V1605" s="18"/>
      <c r="W1605" s="18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</row>
    <row r="1606" spans="1:36" ht="11.25" customHeight="1" x14ac:dyDescent="0.2">
      <c r="A1606" s="51" t="s">
        <v>21</v>
      </c>
      <c r="B1606" s="51" t="s">
        <v>44</v>
      </c>
      <c r="C1606" s="51" t="s">
        <v>23</v>
      </c>
      <c r="D1606" s="51" t="s">
        <v>45</v>
      </c>
      <c r="E1606" s="51" t="s">
        <v>25</v>
      </c>
      <c r="F1606" s="51" t="s">
        <v>25</v>
      </c>
      <c r="G1606" s="51" t="s">
        <v>25</v>
      </c>
      <c r="H1606" s="51" t="s">
        <v>25</v>
      </c>
      <c r="I1606" s="59">
        <v>44440</v>
      </c>
      <c r="J1606" s="60">
        <f>EFEITO!$J$1606*EFEITO!$Y$1279</f>
        <v>0</v>
      </c>
      <c r="K1606" s="60">
        <f ca="1">EFEITO!$L$1606*EFEITO!$Z$1279</f>
        <v>1677840.3138299999</v>
      </c>
      <c r="L1606" s="60">
        <f>EFEITO!$N$1606*EFEITO!$AA$1279</f>
        <v>957708.03173329565</v>
      </c>
      <c r="M1606" s="60">
        <f>$J$1606-EFEITO!$K$1606*EFEITO!$Y$1606</f>
        <v>0</v>
      </c>
      <c r="N1606" s="60">
        <f ca="1">$K$1606-EFEITO!$M$1606*EFEITO!$Z$1606</f>
        <v>100670.4188298001</v>
      </c>
      <c r="O1606" s="60">
        <f>$L$1606-EFEITO!$O$1606*EFEITO!$AA$1606</f>
        <v>57462.481903997832</v>
      </c>
      <c r="P1606" s="18"/>
      <c r="Q1606" s="18"/>
      <c r="R1606" s="18"/>
      <c r="S1606" s="18"/>
      <c r="T1606" s="18"/>
      <c r="U1606" s="18"/>
      <c r="V1606" s="18"/>
      <c r="W1606" s="18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</row>
    <row r="1607" spans="1:36" ht="11.25" customHeight="1" x14ac:dyDescent="0.2">
      <c r="A1607" s="51" t="s">
        <v>27</v>
      </c>
      <c r="B1607" s="51" t="s">
        <v>44</v>
      </c>
      <c r="C1607" s="51" t="s">
        <v>23</v>
      </c>
      <c r="D1607" s="51" t="s">
        <v>45</v>
      </c>
      <c r="E1607" s="51" t="s">
        <v>25</v>
      </c>
      <c r="F1607" s="51" t="s">
        <v>25</v>
      </c>
      <c r="G1607" s="51" t="s">
        <v>25</v>
      </c>
      <c r="H1607" s="51" t="s">
        <v>25</v>
      </c>
      <c r="I1607" s="59">
        <v>44440</v>
      </c>
      <c r="J1607" s="60">
        <f>EFEITO!$J$1607*EFEITO!$Y$1279</f>
        <v>0</v>
      </c>
      <c r="K1607" s="60">
        <f ca="1">EFEITO!$L$1607*EFEITO!$Z$1279</f>
        <v>251.61918607215719</v>
      </c>
      <c r="L1607" s="60">
        <f>EFEITO!$N$1607*EFEITO!$AA$1279</f>
        <v>143.62374860896065</v>
      </c>
      <c r="M1607" s="60">
        <f>$J$1607-EFEITO!$K$1607*EFEITO!$Y$1607</f>
        <v>0</v>
      </c>
      <c r="N1607" s="60">
        <f ca="1">$K$1607-EFEITO!$M$1607*EFEITO!$Z$1607</f>
        <v>15.09715116432946</v>
      </c>
      <c r="O1607" s="60">
        <f>$L$1607-EFEITO!$O$1607*EFEITO!$AA$1607</f>
        <v>8.617424916537658</v>
      </c>
      <c r="P1607" s="18"/>
      <c r="Q1607" s="18"/>
      <c r="R1607" s="18"/>
      <c r="S1607" s="18"/>
      <c r="T1607" s="18"/>
      <c r="U1607" s="18"/>
      <c r="V1607" s="18"/>
      <c r="W1607" s="18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</row>
    <row r="1608" spans="1:36" ht="11.25" customHeight="1" x14ac:dyDescent="0.2">
      <c r="A1608" s="51" t="s">
        <v>28</v>
      </c>
      <c r="B1608" s="51" t="s">
        <v>44</v>
      </c>
      <c r="C1608" s="51" t="s">
        <v>23</v>
      </c>
      <c r="D1608" s="51" t="s">
        <v>45</v>
      </c>
      <c r="E1608" s="51" t="s">
        <v>25</v>
      </c>
      <c r="F1608" s="51" t="s">
        <v>25</v>
      </c>
      <c r="G1608" s="51" t="s">
        <v>25</v>
      </c>
      <c r="H1608" s="51" t="s">
        <v>25</v>
      </c>
      <c r="I1608" s="59">
        <v>44440</v>
      </c>
      <c r="J1608" s="60">
        <f>EFEITO!$J$1608*EFEITO!$Y$1279</f>
        <v>0</v>
      </c>
      <c r="K1608" s="60">
        <f ca="1">EFEITO!$L$1608*EFEITO!$Z$1279</f>
        <v>34684.800286632882</v>
      </c>
      <c r="L1608" s="60">
        <f>EFEITO!$N$1608*EFEITO!$AA$1279</f>
        <v>19798.017451224081</v>
      </c>
      <c r="M1608" s="60">
        <f>$J$1608-EFEITO!$K$1608*EFEITO!$Y$1608</f>
        <v>0</v>
      </c>
      <c r="N1608" s="60">
        <f ca="1">$K$1608-EFEITO!$M$1608*EFEITO!$Z$1608</f>
        <v>2081.0880171979734</v>
      </c>
      <c r="O1608" s="60">
        <f>$L$1608-EFEITO!$O$1608*EFEITO!$AA$1608</f>
        <v>1187.8810470734461</v>
      </c>
      <c r="P1608" s="18"/>
      <c r="Q1608" s="18"/>
      <c r="R1608" s="18"/>
      <c r="S1608" s="18"/>
      <c r="T1608" s="18"/>
      <c r="U1608" s="18"/>
      <c r="V1608" s="18"/>
      <c r="W1608" s="18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</row>
    <row r="1609" spans="1:36" ht="11.25" customHeight="1" x14ac:dyDescent="0.2">
      <c r="A1609" s="51" t="s">
        <v>21</v>
      </c>
      <c r="B1609" s="51" t="s">
        <v>44</v>
      </c>
      <c r="C1609" s="51" t="s">
        <v>23</v>
      </c>
      <c r="D1609" s="51" t="s">
        <v>45</v>
      </c>
      <c r="E1609" s="51" t="s">
        <v>25</v>
      </c>
      <c r="F1609" s="51" t="s">
        <v>25</v>
      </c>
      <c r="G1609" s="51" t="s">
        <v>25</v>
      </c>
      <c r="H1609" s="51" t="s">
        <v>25</v>
      </c>
      <c r="I1609" s="59">
        <v>44470</v>
      </c>
      <c r="J1609" s="60">
        <f>EFEITO!$J$1609*EFEITO!$Y$1279</f>
        <v>0</v>
      </c>
      <c r="K1609" s="60">
        <f ca="1">EFEITO!$L$1609*EFEITO!$Z$1279</f>
        <v>1944834.9945125175</v>
      </c>
      <c r="L1609" s="60">
        <f>EFEITO!$N$1609*EFEITO!$AA$1279</f>
        <v>1110108.0831637096</v>
      </c>
      <c r="M1609" s="60">
        <f>$J$1609-EFEITO!$K$1609*EFEITO!$Y$1609</f>
        <v>0</v>
      </c>
      <c r="N1609" s="60">
        <f ca="1">$K$1609-EFEITO!$M$1609*EFEITO!$Z$1609</f>
        <v>116690.09967075125</v>
      </c>
      <c r="O1609" s="60">
        <f>$L$1609-EFEITO!$O$1609*EFEITO!$AA$1609</f>
        <v>66606.484989822726</v>
      </c>
      <c r="P1609" s="18"/>
      <c r="Q1609" s="18"/>
      <c r="R1609" s="18"/>
      <c r="S1609" s="18"/>
      <c r="T1609" s="18"/>
      <c r="U1609" s="18"/>
      <c r="V1609" s="18"/>
      <c r="W1609" s="18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</row>
    <row r="1610" spans="1:36" ht="11.25" customHeight="1" x14ac:dyDescent="0.2">
      <c r="A1610" s="51" t="s">
        <v>27</v>
      </c>
      <c r="B1610" s="51" t="s">
        <v>44</v>
      </c>
      <c r="C1610" s="51" t="s">
        <v>23</v>
      </c>
      <c r="D1610" s="51" t="s">
        <v>45</v>
      </c>
      <c r="E1610" s="51" t="s">
        <v>25</v>
      </c>
      <c r="F1610" s="51" t="s">
        <v>25</v>
      </c>
      <c r="G1610" s="51" t="s">
        <v>25</v>
      </c>
      <c r="H1610" s="51" t="s">
        <v>25</v>
      </c>
      <c r="I1610" s="59">
        <v>44470</v>
      </c>
      <c r="J1610" s="60">
        <f>EFEITO!$J$1610*EFEITO!$Y$1279</f>
        <v>0</v>
      </c>
      <c r="K1610" s="60">
        <f ca="1">EFEITO!$L$1610*EFEITO!$Z$1279</f>
        <v>-29470.691597470963</v>
      </c>
      <c r="L1610" s="60">
        <f>EFEITO!$N$1610*EFEITO!$AA$1279</f>
        <v>-16821.814216160623</v>
      </c>
      <c r="M1610" s="60">
        <f>$J$1610-EFEITO!$K$1610*EFEITO!$Y$1610</f>
        <v>0</v>
      </c>
      <c r="N1610" s="60">
        <f ca="1">$K$1610-EFEITO!$M$1610*EFEITO!$Z$1610</f>
        <v>-1768.2414958482586</v>
      </c>
      <c r="O1610" s="60">
        <f>$L$1610-EFEITO!$O$1610*EFEITO!$AA$1610</f>
        <v>-1009.3088529696397</v>
      </c>
      <c r="P1610" s="18"/>
      <c r="Q1610" s="18"/>
      <c r="R1610" s="18"/>
      <c r="S1610" s="18"/>
      <c r="T1610" s="18"/>
      <c r="U1610" s="18"/>
      <c r="V1610" s="18"/>
      <c r="W1610" s="18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</row>
    <row r="1611" spans="1:36" ht="11.25" customHeight="1" x14ac:dyDescent="0.2">
      <c r="A1611" s="51" t="s">
        <v>28</v>
      </c>
      <c r="B1611" s="51" t="s">
        <v>44</v>
      </c>
      <c r="C1611" s="51" t="s">
        <v>23</v>
      </c>
      <c r="D1611" s="51" t="s">
        <v>45</v>
      </c>
      <c r="E1611" s="51" t="s">
        <v>25</v>
      </c>
      <c r="F1611" s="51" t="s">
        <v>25</v>
      </c>
      <c r="G1611" s="51" t="s">
        <v>25</v>
      </c>
      <c r="H1611" s="51" t="s">
        <v>25</v>
      </c>
      <c r="I1611" s="59">
        <v>44470</v>
      </c>
      <c r="J1611" s="60">
        <f>EFEITO!$J$1611*EFEITO!$Y$1279</f>
        <v>0</v>
      </c>
      <c r="K1611" s="60">
        <f ca="1">EFEITO!$L$1611*EFEITO!$Z$1279</f>
        <v>26569.259250884013</v>
      </c>
      <c r="L1611" s="60">
        <f>EFEITO!$N$1611*EFEITO!$AA$1279</f>
        <v>15165.682199929519</v>
      </c>
      <c r="M1611" s="60">
        <f>$J$1611-EFEITO!$K$1611*EFEITO!$Y$1611</f>
        <v>0</v>
      </c>
      <c r="N1611" s="60">
        <f ca="1">$K$1611-EFEITO!$M$1611*EFEITO!$Z$1611</f>
        <v>1594.1555550530429</v>
      </c>
      <c r="O1611" s="60">
        <f>$L$1611-EFEITO!$O$1611*EFEITO!$AA$1611</f>
        <v>909.94093199577219</v>
      </c>
      <c r="P1611" s="18"/>
      <c r="Q1611" s="18"/>
      <c r="R1611" s="18"/>
      <c r="S1611" s="18"/>
      <c r="T1611" s="18"/>
      <c r="U1611" s="18"/>
      <c r="V1611" s="18"/>
      <c r="W1611" s="18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</row>
    <row r="1612" spans="1:36" ht="11.25" customHeight="1" x14ac:dyDescent="0.2">
      <c r="A1612" s="51" t="s">
        <v>21</v>
      </c>
      <c r="B1612" s="51" t="s">
        <v>44</v>
      </c>
      <c r="C1612" s="51" t="s">
        <v>23</v>
      </c>
      <c r="D1612" s="51" t="s">
        <v>45</v>
      </c>
      <c r="E1612" s="51" t="s">
        <v>25</v>
      </c>
      <c r="F1612" s="51" t="s">
        <v>25</v>
      </c>
      <c r="G1612" s="51" t="s">
        <v>25</v>
      </c>
      <c r="H1612" s="51" t="s">
        <v>25</v>
      </c>
      <c r="I1612" s="59">
        <v>44501</v>
      </c>
      <c r="J1612" s="60">
        <f>EFEITO!$J$1612*EFEITO!$Y$1279</f>
        <v>0</v>
      </c>
      <c r="K1612" s="60">
        <f ca="1">EFEITO!$L$1612*EFEITO!$Z$1279</f>
        <v>1971410.0097578538</v>
      </c>
      <c r="L1612" s="60">
        <f>EFEITO!$N$1612*EFEITO!$AA$1279</f>
        <v>1125277.0508742281</v>
      </c>
      <c r="M1612" s="60">
        <f>$J$1612-EFEITO!$K$1612*EFEITO!$Y$1612</f>
        <v>0</v>
      </c>
      <c r="N1612" s="60">
        <f ca="1">$K$1612-EFEITO!$M$1612*EFEITO!$Z$1612</f>
        <v>118284.60058547114</v>
      </c>
      <c r="O1612" s="60">
        <f>$L$1612-EFEITO!$O$1612*EFEITO!$AA$1612</f>
        <v>67516.623052453855</v>
      </c>
      <c r="P1612" s="18"/>
      <c r="Q1612" s="18"/>
      <c r="R1612" s="18"/>
      <c r="S1612" s="18"/>
      <c r="T1612" s="18"/>
      <c r="U1612" s="18"/>
      <c r="V1612" s="18"/>
      <c r="W1612" s="18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</row>
    <row r="1613" spans="1:36" ht="11.25" customHeight="1" x14ac:dyDescent="0.2">
      <c r="A1613" s="51" t="s">
        <v>27</v>
      </c>
      <c r="B1613" s="51" t="s">
        <v>44</v>
      </c>
      <c r="C1613" s="51" t="s">
        <v>23</v>
      </c>
      <c r="D1613" s="51" t="s">
        <v>45</v>
      </c>
      <c r="E1613" s="51" t="s">
        <v>25</v>
      </c>
      <c r="F1613" s="51" t="s">
        <v>25</v>
      </c>
      <c r="G1613" s="51" t="s">
        <v>25</v>
      </c>
      <c r="H1613" s="51" t="s">
        <v>25</v>
      </c>
      <c r="I1613" s="59">
        <v>44501</v>
      </c>
      <c r="J1613" s="60">
        <f>EFEITO!$J$1613*EFEITO!$Y$1279</f>
        <v>0</v>
      </c>
      <c r="K1613" s="60">
        <f ca="1">EFEITO!$L$1613*EFEITO!$Z$1279</f>
        <v>-16041.134254560922</v>
      </c>
      <c r="L1613" s="60">
        <f>EFEITO!$N$1613*EFEITO!$AA$1279</f>
        <v>-9156.248653149034</v>
      </c>
      <c r="M1613" s="60">
        <f>$J$1613-EFEITO!$K$1613*EFEITO!$Y$1613</f>
        <v>0</v>
      </c>
      <c r="N1613" s="60">
        <f ca="1">$K$1613-EFEITO!$M$1613*EFEITO!$Z$1613</f>
        <v>-962.46805527365541</v>
      </c>
      <c r="O1613" s="60">
        <f>$L$1613-EFEITO!$O$1613*EFEITO!$AA$1613</f>
        <v>-549.37491918894375</v>
      </c>
      <c r="P1613" s="18"/>
      <c r="Q1613" s="18"/>
      <c r="R1613" s="18"/>
      <c r="S1613" s="18"/>
      <c r="T1613" s="18"/>
      <c r="U1613" s="18"/>
      <c r="V1613" s="18"/>
      <c r="W1613" s="18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</row>
    <row r="1614" spans="1:36" ht="11.25" customHeight="1" x14ac:dyDescent="0.2">
      <c r="A1614" s="51" t="s">
        <v>28</v>
      </c>
      <c r="B1614" s="51" t="s">
        <v>44</v>
      </c>
      <c r="C1614" s="51" t="s">
        <v>23</v>
      </c>
      <c r="D1614" s="51" t="s">
        <v>45</v>
      </c>
      <c r="E1614" s="51" t="s">
        <v>25</v>
      </c>
      <c r="F1614" s="51" t="s">
        <v>25</v>
      </c>
      <c r="G1614" s="51" t="s">
        <v>25</v>
      </c>
      <c r="H1614" s="51" t="s">
        <v>25</v>
      </c>
      <c r="I1614" s="59">
        <v>44501</v>
      </c>
      <c r="J1614" s="60">
        <f>EFEITO!$J$1614*EFEITO!$Y$1279</f>
        <v>0</v>
      </c>
      <c r="K1614" s="60">
        <f ca="1">EFEITO!$L$1614*EFEITO!$Z$1279</f>
        <v>62491.187202371664</v>
      </c>
      <c r="L1614" s="60">
        <f>EFEITO!$N$1614*EFEITO!$AA$1279</f>
        <v>35669.849748480992</v>
      </c>
      <c r="M1614" s="60">
        <f>$J$1614-EFEITO!$K$1614*EFEITO!$Y$1614</f>
        <v>0</v>
      </c>
      <c r="N1614" s="60">
        <f ca="1">$K$1614-EFEITO!$M$1614*EFEITO!$Z$1614</f>
        <v>3749.4712321422994</v>
      </c>
      <c r="O1614" s="60">
        <f>$L$1614-EFEITO!$O$1614*EFEITO!$AA$1614</f>
        <v>2140.1909849088624</v>
      </c>
      <c r="P1614" s="18"/>
      <c r="Q1614" s="18"/>
      <c r="R1614" s="18"/>
      <c r="S1614" s="18"/>
      <c r="T1614" s="18"/>
      <c r="U1614" s="18"/>
      <c r="V1614" s="18"/>
      <c r="W1614" s="18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</row>
    <row r="1615" spans="1:36" ht="11.25" customHeight="1" x14ac:dyDescent="0.2">
      <c r="A1615" s="51" t="s">
        <v>21</v>
      </c>
      <c r="B1615" s="51" t="s">
        <v>44</v>
      </c>
      <c r="C1615" s="51" t="s">
        <v>23</v>
      </c>
      <c r="D1615" s="51" t="s">
        <v>45</v>
      </c>
      <c r="E1615" s="51" t="s">
        <v>25</v>
      </c>
      <c r="F1615" s="51" t="s">
        <v>25</v>
      </c>
      <c r="G1615" s="51" t="s">
        <v>25</v>
      </c>
      <c r="H1615" s="51" t="s">
        <v>25</v>
      </c>
      <c r="I1615" s="59">
        <v>44531</v>
      </c>
      <c r="J1615" s="60">
        <f>EFEITO!$J$1615*EFEITO!$Y$1279</f>
        <v>0</v>
      </c>
      <c r="K1615" s="60">
        <f ca="1">EFEITO!$L$1615*EFEITO!$Z$1279</f>
        <v>2082436.1533272713</v>
      </c>
      <c r="L1615" s="60">
        <f>EFEITO!$N$1615*EFEITO!$AA$1279</f>
        <v>1188650.5605892763</v>
      </c>
      <c r="M1615" s="60">
        <f>$J$1615-EFEITO!$K$1615*EFEITO!$Y$1615</f>
        <v>0</v>
      </c>
      <c r="N1615" s="60">
        <f ca="1">$K$1615-EFEITO!$M$1615*EFEITO!$Z$1615</f>
        <v>124946.16919963644</v>
      </c>
      <c r="O1615" s="60">
        <f>$L$1615-EFEITO!$O$1615*EFEITO!$AA$1615</f>
        <v>71319.033635356696</v>
      </c>
      <c r="P1615" s="18"/>
      <c r="Q1615" s="18"/>
      <c r="R1615" s="18"/>
      <c r="S1615" s="18"/>
      <c r="T1615" s="18"/>
      <c r="U1615" s="18"/>
      <c r="V1615" s="18"/>
      <c r="W1615" s="18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</row>
    <row r="1616" spans="1:36" ht="11.25" customHeight="1" x14ac:dyDescent="0.2">
      <c r="A1616" s="51" t="s">
        <v>27</v>
      </c>
      <c r="B1616" s="51" t="s">
        <v>44</v>
      </c>
      <c r="C1616" s="51" t="s">
        <v>23</v>
      </c>
      <c r="D1616" s="51" t="s">
        <v>45</v>
      </c>
      <c r="E1616" s="51" t="s">
        <v>25</v>
      </c>
      <c r="F1616" s="51" t="s">
        <v>25</v>
      </c>
      <c r="G1616" s="51" t="s">
        <v>25</v>
      </c>
      <c r="H1616" s="51" t="s">
        <v>25</v>
      </c>
      <c r="I1616" s="59">
        <v>44531</v>
      </c>
      <c r="J1616" s="60">
        <f>EFEITO!$J$1616*EFEITO!$Y$1279</f>
        <v>0</v>
      </c>
      <c r="K1616" s="60">
        <f ca="1">EFEITO!$L$1616*EFEITO!$Z$1279</f>
        <v>-129275.11283902338</v>
      </c>
      <c r="L1616" s="60">
        <f>EFEITO!$N$1616*EFEITO!$AA$1279</f>
        <v>-73789.98635844262</v>
      </c>
      <c r="M1616" s="60">
        <f>$J$1616-EFEITO!$K$1616*EFEITO!$Y$1616</f>
        <v>0</v>
      </c>
      <c r="N1616" s="60">
        <f ca="1">$K$1616-EFEITO!$M$1616*EFEITO!$Z$1616</f>
        <v>-7756.5067703414097</v>
      </c>
      <c r="O1616" s="60">
        <f>$L$1616-EFEITO!$O$1616*EFEITO!$AA$1616</f>
        <v>-4427.3991815065528</v>
      </c>
      <c r="P1616" s="18"/>
      <c r="Q1616" s="18"/>
      <c r="R1616" s="18"/>
      <c r="S1616" s="18"/>
      <c r="T1616" s="18"/>
      <c r="U1616" s="18"/>
      <c r="V1616" s="18"/>
      <c r="W1616" s="18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</row>
    <row r="1617" spans="1:36" ht="11.25" customHeight="1" x14ac:dyDescent="0.2">
      <c r="A1617" s="51" t="s">
        <v>28</v>
      </c>
      <c r="B1617" s="51" t="s">
        <v>44</v>
      </c>
      <c r="C1617" s="51" t="s">
        <v>23</v>
      </c>
      <c r="D1617" s="51" t="s">
        <v>45</v>
      </c>
      <c r="E1617" s="51" t="s">
        <v>25</v>
      </c>
      <c r="F1617" s="51" t="s">
        <v>25</v>
      </c>
      <c r="G1617" s="51" t="s">
        <v>25</v>
      </c>
      <c r="H1617" s="51" t="s">
        <v>25</v>
      </c>
      <c r="I1617" s="59">
        <v>44531</v>
      </c>
      <c r="J1617" s="60">
        <f>EFEITO!$J$1617*EFEITO!$Y$1279</f>
        <v>0</v>
      </c>
      <c r="K1617" s="60">
        <f ca="1">EFEITO!$L$1617*EFEITO!$Z$1279</f>
        <v>63065.142077791155</v>
      </c>
      <c r="L1617" s="60">
        <f>EFEITO!$N$1617*EFEITO!$AA$1279</f>
        <v>35997.462090079207</v>
      </c>
      <c r="M1617" s="60">
        <f>$J$1617-EFEITO!$K$1617*EFEITO!$Y$1617</f>
        <v>0</v>
      </c>
      <c r="N1617" s="60">
        <f ca="1">$K$1617-EFEITO!$M$1617*EFEITO!$Z$1617</f>
        <v>3783.9085246674731</v>
      </c>
      <c r="O1617" s="60">
        <f>$L$1617-EFEITO!$O$1617*EFEITO!$AA$1617</f>
        <v>2159.8477254047611</v>
      </c>
      <c r="P1617" s="18"/>
      <c r="Q1617" s="18"/>
      <c r="R1617" s="18"/>
      <c r="S1617" s="18"/>
      <c r="T1617" s="18"/>
      <c r="U1617" s="18"/>
      <c r="V1617" s="18"/>
      <c r="W1617" s="18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</row>
    <row r="1618" spans="1:36" ht="11.25" customHeight="1" x14ac:dyDescent="0.2">
      <c r="A1618" s="51" t="s">
        <v>21</v>
      </c>
      <c r="B1618" s="51" t="s">
        <v>44</v>
      </c>
      <c r="C1618" s="51" t="s">
        <v>23</v>
      </c>
      <c r="D1618" s="51" t="s">
        <v>45</v>
      </c>
      <c r="E1618" s="51" t="s">
        <v>25</v>
      </c>
      <c r="F1618" s="51" t="s">
        <v>25</v>
      </c>
      <c r="G1618" s="51" t="s">
        <v>25</v>
      </c>
      <c r="H1618" s="51" t="s">
        <v>25</v>
      </c>
      <c r="I1618" s="59">
        <v>44562</v>
      </c>
      <c r="J1618" s="60">
        <f>EFEITO!$J$1618*EFEITO!$Y$1279</f>
        <v>0</v>
      </c>
      <c r="K1618" s="60">
        <f ca="1">EFEITO!$L$1618*EFEITO!$Z$1279</f>
        <v>1959932.5568193076</v>
      </c>
      <c r="L1618" s="60">
        <f>EFEITO!$N$1618*EFEITO!$AA$1279</f>
        <v>1118725.7427595749</v>
      </c>
      <c r="M1618" s="60">
        <f>$J$1618-EFEITO!$K$1618*EFEITO!$Y$1618</f>
        <v>0</v>
      </c>
      <c r="N1618" s="60">
        <f ca="1">$K$1618-EFEITO!$M$1618*EFEITO!$Z$1618</f>
        <v>117595.95340915862</v>
      </c>
      <c r="O1618" s="60">
        <f>$L$1618-EFEITO!$O$1618*EFEITO!$AA$1618</f>
        <v>67123.544565574732</v>
      </c>
      <c r="P1618" s="18"/>
      <c r="Q1618" s="18"/>
      <c r="R1618" s="18"/>
      <c r="S1618" s="18"/>
      <c r="T1618" s="18"/>
      <c r="U1618" s="18"/>
      <c r="V1618" s="18"/>
      <c r="W1618" s="18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</row>
    <row r="1619" spans="1:36" ht="11.25" customHeight="1" x14ac:dyDescent="0.2">
      <c r="A1619" s="51" t="s">
        <v>27</v>
      </c>
      <c r="B1619" s="51" t="s">
        <v>44</v>
      </c>
      <c r="C1619" s="51" t="s">
        <v>23</v>
      </c>
      <c r="D1619" s="51" t="s">
        <v>45</v>
      </c>
      <c r="E1619" s="51" t="s">
        <v>25</v>
      </c>
      <c r="F1619" s="51" t="s">
        <v>25</v>
      </c>
      <c r="G1619" s="51" t="s">
        <v>25</v>
      </c>
      <c r="H1619" s="51" t="s">
        <v>25</v>
      </c>
      <c r="I1619" s="59">
        <v>44562</v>
      </c>
      <c r="J1619" s="60">
        <f>EFEITO!$J$1619*EFEITO!$Y$1279</f>
        <v>0</v>
      </c>
      <c r="K1619" s="60">
        <f ca="1">EFEITO!$L$1619*EFEITO!$Z$1279</f>
        <v>-16998.685046002189</v>
      </c>
      <c r="L1619" s="60">
        <f>EFEITO!$N$1619*EFEITO!$AA$1279</f>
        <v>-9702.8168075775793</v>
      </c>
      <c r="M1619" s="60">
        <f>$J$1619-EFEITO!$K$1619*EFEITO!$Y$1619</f>
        <v>0</v>
      </c>
      <c r="N1619" s="60">
        <f ca="1">$K$1619-EFEITO!$M$1619*EFEITO!$Z$1619</f>
        <v>-1019.9211027601341</v>
      </c>
      <c r="O1619" s="60">
        <f>$L$1619-EFEITO!$O$1619*EFEITO!$AA$1619</f>
        <v>-582.16900845465534</v>
      </c>
      <c r="P1619" s="18"/>
      <c r="Q1619" s="18"/>
      <c r="R1619" s="18"/>
      <c r="S1619" s="18"/>
      <c r="T1619" s="18"/>
      <c r="U1619" s="18"/>
      <c r="V1619" s="18"/>
      <c r="W1619" s="18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</row>
    <row r="1620" spans="1:36" ht="11.25" customHeight="1" x14ac:dyDescent="0.2">
      <c r="A1620" s="51" t="s">
        <v>28</v>
      </c>
      <c r="B1620" s="51" t="s">
        <v>44</v>
      </c>
      <c r="C1620" s="51" t="s">
        <v>23</v>
      </c>
      <c r="D1620" s="51" t="s">
        <v>45</v>
      </c>
      <c r="E1620" s="51" t="s">
        <v>25</v>
      </c>
      <c r="F1620" s="51" t="s">
        <v>25</v>
      </c>
      <c r="G1620" s="51" t="s">
        <v>25</v>
      </c>
      <c r="H1620" s="51" t="s">
        <v>25</v>
      </c>
      <c r="I1620" s="59">
        <v>44562</v>
      </c>
      <c r="J1620" s="60">
        <f>EFEITO!$J$1620*EFEITO!$Y$1279</f>
        <v>0</v>
      </c>
      <c r="K1620" s="60">
        <f ca="1">EFEITO!$L$1620*EFEITO!$Z$1279</f>
        <v>60110.261211286925</v>
      </c>
      <c r="L1620" s="60">
        <f>EFEITO!$N$1620*EFEITO!$AA$1279</f>
        <v>34310.821761235093</v>
      </c>
      <c r="M1620" s="60">
        <f>$J$1620-EFEITO!$K$1620*EFEITO!$Y$1620</f>
        <v>0</v>
      </c>
      <c r="N1620" s="60">
        <f ca="1">$K$1620-EFEITO!$M$1620*EFEITO!$Z$1620</f>
        <v>3606.6156726772169</v>
      </c>
      <c r="O1620" s="60">
        <f>$L$1620-EFEITO!$O$1620*EFEITO!$AA$1620</f>
        <v>2058.6493056741092</v>
      </c>
      <c r="P1620" s="18"/>
      <c r="Q1620" s="18"/>
      <c r="R1620" s="18"/>
      <c r="S1620" s="18"/>
      <c r="T1620" s="18"/>
      <c r="U1620" s="18"/>
      <c r="V1620" s="18"/>
      <c r="W1620" s="18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</row>
    <row r="1621" spans="1:36" ht="11.25" customHeight="1" x14ac:dyDescent="0.2">
      <c r="A1621" s="51" t="s">
        <v>21</v>
      </c>
      <c r="B1621" s="51" t="s">
        <v>44</v>
      </c>
      <c r="C1621" s="51" t="s">
        <v>23</v>
      </c>
      <c r="D1621" s="51" t="s">
        <v>45</v>
      </c>
      <c r="E1621" s="51" t="s">
        <v>25</v>
      </c>
      <c r="F1621" s="51" t="s">
        <v>25</v>
      </c>
      <c r="G1621" s="51" t="s">
        <v>25</v>
      </c>
      <c r="H1621" s="51" t="s">
        <v>25</v>
      </c>
      <c r="I1621" s="59">
        <v>44593</v>
      </c>
      <c r="J1621" s="60">
        <f>EFEITO!$J$1621*EFEITO!$Y$1279</f>
        <v>0</v>
      </c>
      <c r="K1621" s="60">
        <f ca="1">EFEITO!$L$1621*EFEITO!$Z$1279</f>
        <v>2014533.5090545048</v>
      </c>
      <c r="L1621" s="60">
        <f>EFEITO!$N$1621*EFEITO!$AA$1279</f>
        <v>1149891.8615283915</v>
      </c>
      <c r="M1621" s="60">
        <f>$J$1621-EFEITO!$K$1621*EFEITO!$Y$1621</f>
        <v>0</v>
      </c>
      <c r="N1621" s="60">
        <f ca="1">$K$1621-EFEITO!$M$1621*EFEITO!$Z$1621</f>
        <v>120872.0105432705</v>
      </c>
      <c r="O1621" s="60">
        <f>$L$1621-EFEITO!$O$1621*EFEITO!$AA$1621</f>
        <v>68993.511691703694</v>
      </c>
      <c r="P1621" s="18"/>
      <c r="Q1621" s="18"/>
      <c r="R1621" s="18"/>
      <c r="S1621" s="18"/>
      <c r="T1621" s="18"/>
      <c r="U1621" s="18"/>
      <c r="V1621" s="18"/>
      <c r="W1621" s="18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</row>
    <row r="1622" spans="1:36" ht="11.25" customHeight="1" x14ac:dyDescent="0.2">
      <c r="A1622" s="51" t="s">
        <v>27</v>
      </c>
      <c r="B1622" s="51" t="s">
        <v>44</v>
      </c>
      <c r="C1622" s="51" t="s">
        <v>23</v>
      </c>
      <c r="D1622" s="51" t="s">
        <v>45</v>
      </c>
      <c r="E1622" s="51" t="s">
        <v>25</v>
      </c>
      <c r="F1622" s="51" t="s">
        <v>25</v>
      </c>
      <c r="G1622" s="51" t="s">
        <v>25</v>
      </c>
      <c r="H1622" s="51" t="s">
        <v>25</v>
      </c>
      <c r="I1622" s="59">
        <v>44593</v>
      </c>
      <c r="J1622" s="60">
        <f>EFEITO!$J$1622*EFEITO!$Y$1279</f>
        <v>0</v>
      </c>
      <c r="K1622" s="60">
        <f ca="1">EFEITO!$L$1622*EFEITO!$Z$1279</f>
        <v>-1765.8568695750248</v>
      </c>
      <c r="L1622" s="60">
        <f>EFEITO!$N$1622*EFEITO!$AA$1279</f>
        <v>-1007.9477128684412</v>
      </c>
      <c r="M1622" s="60">
        <f>$J$1622-EFEITO!$K$1622*EFEITO!$Y$1622</f>
        <v>0</v>
      </c>
      <c r="N1622" s="60">
        <f ca="1">$K$1622-EFEITO!$M$1622*EFEITO!$Z$1622</f>
        <v>-105.95141217450168</v>
      </c>
      <c r="O1622" s="60">
        <f>$L$1622-EFEITO!$O$1622*EFEITO!$AA$1622</f>
        <v>-60.476862772106529</v>
      </c>
      <c r="P1622" s="18"/>
      <c r="Q1622" s="18"/>
      <c r="R1622" s="18"/>
      <c r="S1622" s="18"/>
      <c r="T1622" s="18"/>
      <c r="U1622" s="18"/>
      <c r="V1622" s="18"/>
      <c r="W1622" s="18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</row>
    <row r="1623" spans="1:36" ht="11.25" customHeight="1" x14ac:dyDescent="0.2">
      <c r="A1623" s="51" t="s">
        <v>28</v>
      </c>
      <c r="B1623" s="51" t="s">
        <v>44</v>
      </c>
      <c r="C1623" s="51" t="s">
        <v>23</v>
      </c>
      <c r="D1623" s="51" t="s">
        <v>45</v>
      </c>
      <c r="E1623" s="51" t="s">
        <v>25</v>
      </c>
      <c r="F1623" s="51" t="s">
        <v>25</v>
      </c>
      <c r="G1623" s="51" t="s">
        <v>25</v>
      </c>
      <c r="H1623" s="51" t="s">
        <v>25</v>
      </c>
      <c r="I1623" s="59">
        <v>44593</v>
      </c>
      <c r="J1623" s="60">
        <f>EFEITO!$J$1623*EFEITO!$Y$1279</f>
        <v>0</v>
      </c>
      <c r="K1623" s="60">
        <f ca="1">EFEITO!$L$1623*EFEITO!$Z$1279</f>
        <v>64772.616717918077</v>
      </c>
      <c r="L1623" s="60">
        <f>EFEITO!$N$1623*EFEITO!$AA$1279</f>
        <v>36972.085338401128</v>
      </c>
      <c r="M1623" s="60">
        <f>$J$1623-EFEITO!$K$1623*EFEITO!$Y$1623</f>
        <v>0</v>
      </c>
      <c r="N1623" s="60">
        <f ca="1">$K$1623-EFEITO!$M$1623*EFEITO!$Z$1623</f>
        <v>3886.3570030750925</v>
      </c>
      <c r="O1623" s="60">
        <f>$L$1623-EFEITO!$O$1623*EFEITO!$AA$1623</f>
        <v>2218.3251203040709</v>
      </c>
      <c r="P1623" s="18"/>
      <c r="Q1623" s="18"/>
      <c r="R1623" s="18"/>
      <c r="S1623" s="18"/>
      <c r="T1623" s="18"/>
      <c r="U1623" s="18"/>
      <c r="V1623" s="18"/>
      <c r="W1623" s="18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</row>
    <row r="1624" spans="1:36" ht="11.25" customHeight="1" x14ac:dyDescent="0.2">
      <c r="A1624" s="51" t="s">
        <v>56</v>
      </c>
      <c r="B1624" s="51" t="s">
        <v>44</v>
      </c>
      <c r="C1624" s="51" t="s">
        <v>23</v>
      </c>
      <c r="D1624" s="51" t="s">
        <v>45</v>
      </c>
      <c r="E1624" s="51" t="s">
        <v>25</v>
      </c>
      <c r="F1624" s="51" t="s">
        <v>25</v>
      </c>
      <c r="G1624" s="51" t="s">
        <v>25</v>
      </c>
      <c r="H1624" s="51" t="s">
        <v>25</v>
      </c>
      <c r="I1624" s="59">
        <v>44621</v>
      </c>
      <c r="J1624" s="60">
        <f>EFEITO!$J$1624*EFEITO!$Y$1279</f>
        <v>0</v>
      </c>
      <c r="K1624" s="60">
        <f ca="1">EFEITO!$L$1624*EFEITO!$Z$1279</f>
        <v>2014533.5090545048</v>
      </c>
      <c r="L1624" s="60">
        <f>EFEITO!$N$1624*EFEITO!$AA$1279</f>
        <v>1149891.8615283915</v>
      </c>
      <c r="M1624" s="60">
        <f>$J$1624-EFEITO!$K$1624*EFEITO!$Y$1624</f>
        <v>0</v>
      </c>
      <c r="N1624" s="60">
        <f ca="1">$K$1624-EFEITO!$M$1624*EFEITO!$Z$1624</f>
        <v>120872.0105432705</v>
      </c>
      <c r="O1624" s="60">
        <f>$L$1624-EFEITO!$O$1624*EFEITO!$AA$1624</f>
        <v>68993.511691703694</v>
      </c>
      <c r="P1624" s="18"/>
      <c r="Q1624" s="18"/>
      <c r="R1624" s="18"/>
      <c r="S1624" s="18"/>
      <c r="T1624" s="18"/>
      <c r="U1624" s="18"/>
      <c r="V1624" s="18"/>
      <c r="W1624" s="18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</row>
    <row r="1625" spans="1:36" ht="11.25" customHeight="1" x14ac:dyDescent="0.2">
      <c r="A1625" s="51" t="s">
        <v>56</v>
      </c>
      <c r="B1625" s="51" t="s">
        <v>44</v>
      </c>
      <c r="C1625" s="51" t="s">
        <v>23</v>
      </c>
      <c r="D1625" s="51" t="s">
        <v>45</v>
      </c>
      <c r="E1625" s="51" t="s">
        <v>25</v>
      </c>
      <c r="F1625" s="51" t="s">
        <v>25</v>
      </c>
      <c r="G1625" s="51" t="s">
        <v>25</v>
      </c>
      <c r="H1625" s="51" t="s">
        <v>25</v>
      </c>
      <c r="I1625" s="59">
        <v>44621</v>
      </c>
      <c r="J1625" s="60">
        <f>EFEITO!$J$1625*EFEITO!$Y$1279</f>
        <v>0</v>
      </c>
      <c r="K1625" s="60">
        <f ca="1">EFEITO!$L$1625*EFEITO!$Z$1279</f>
        <v>-1765.8568695750248</v>
      </c>
      <c r="L1625" s="60">
        <f>EFEITO!$N$1625*EFEITO!$AA$1279</f>
        <v>-1007.9477128684412</v>
      </c>
      <c r="M1625" s="60">
        <f>$J$1625-EFEITO!$K$1625*EFEITO!$Y$1625</f>
        <v>0</v>
      </c>
      <c r="N1625" s="60">
        <f ca="1">$K$1625-EFEITO!$M$1625*EFEITO!$Z$1625</f>
        <v>-105.95141217450168</v>
      </c>
      <c r="O1625" s="60">
        <f>$L$1625-EFEITO!$O$1625*EFEITO!$AA$1625</f>
        <v>-60.476862772106529</v>
      </c>
      <c r="P1625" s="18"/>
      <c r="Q1625" s="18"/>
      <c r="R1625" s="18"/>
      <c r="S1625" s="18"/>
      <c r="T1625" s="18"/>
      <c r="U1625" s="18"/>
      <c r="V1625" s="18"/>
      <c r="W1625" s="18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</row>
    <row r="1626" spans="1:36" ht="11.25" customHeight="1" x14ac:dyDescent="0.2">
      <c r="A1626" s="51" t="s">
        <v>56</v>
      </c>
      <c r="B1626" s="51" t="s">
        <v>44</v>
      </c>
      <c r="C1626" s="51" t="s">
        <v>23</v>
      </c>
      <c r="D1626" s="51" t="s">
        <v>45</v>
      </c>
      <c r="E1626" s="51" t="s">
        <v>25</v>
      </c>
      <c r="F1626" s="51" t="s">
        <v>25</v>
      </c>
      <c r="G1626" s="51" t="s">
        <v>25</v>
      </c>
      <c r="H1626" s="51" t="s">
        <v>25</v>
      </c>
      <c r="I1626" s="59">
        <v>44621</v>
      </c>
      <c r="J1626" s="60">
        <f>EFEITO!$J$1626*EFEITO!$Y$1279</f>
        <v>0</v>
      </c>
      <c r="K1626" s="60">
        <f ca="1">EFEITO!$L$1626*EFEITO!$Z$1279</f>
        <v>64772.616717918077</v>
      </c>
      <c r="L1626" s="60">
        <f>EFEITO!$N$1626*EFEITO!$AA$1279</f>
        <v>36972.085338401128</v>
      </c>
      <c r="M1626" s="60">
        <f>$J$1626-EFEITO!$K$1626*EFEITO!$Y$1626</f>
        <v>0</v>
      </c>
      <c r="N1626" s="60">
        <f ca="1">$K$1626-EFEITO!$M$1626*EFEITO!$Z$1626</f>
        <v>3886.3570030750925</v>
      </c>
      <c r="O1626" s="60">
        <f>$L$1626-EFEITO!$O$1626*EFEITO!$AA$1626</f>
        <v>2218.3251203040709</v>
      </c>
      <c r="P1626" s="18"/>
      <c r="Q1626" s="18"/>
      <c r="R1626" s="18"/>
      <c r="S1626" s="18"/>
      <c r="T1626" s="18"/>
      <c r="U1626" s="18"/>
      <c r="V1626" s="18"/>
      <c r="W1626" s="18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</row>
    <row r="1627" spans="1:36" ht="11.25" customHeight="1" x14ac:dyDescent="0.2">
      <c r="A1627" s="51" t="s">
        <v>21</v>
      </c>
      <c r="B1627" s="51" t="s">
        <v>37</v>
      </c>
      <c r="C1627" s="51" t="s">
        <v>33</v>
      </c>
      <c r="D1627" s="51" t="s">
        <v>43</v>
      </c>
      <c r="E1627" s="51" t="s">
        <v>25</v>
      </c>
      <c r="F1627" s="51" t="s">
        <v>25</v>
      </c>
      <c r="G1627" s="51" t="s">
        <v>25</v>
      </c>
      <c r="H1627" s="51" t="s">
        <v>35</v>
      </c>
      <c r="I1627" s="59">
        <v>44287</v>
      </c>
      <c r="J1627" s="60">
        <f>EFEITO!$J$1627*EFEITO!$Y$1627</f>
        <v>0</v>
      </c>
      <c r="K1627" s="60">
        <f ca="1">EFEITO!$L$1627*EFEITO!$Z$1627</f>
        <v>29137.521716758998</v>
      </c>
      <c r="L1627" s="60">
        <f>EFEITO!$N$1627*EFEITO!$AA$1627</f>
        <v>21778.342891701268</v>
      </c>
      <c r="M1627" s="60">
        <f>$J$1627-EFEITO!$K$1627*EFEITO!$Y$1627</f>
        <v>0</v>
      </c>
      <c r="N1627" s="60">
        <f ca="1">$K$1627-EFEITO!$M$1627*EFEITO!$Z$1627</f>
        <v>0</v>
      </c>
      <c r="O1627" s="60">
        <f>$L$1627-EFEITO!$O$1627*EFEITO!$AA$1627</f>
        <v>0</v>
      </c>
      <c r="P1627" s="18"/>
      <c r="Q1627" s="18"/>
      <c r="R1627" s="18"/>
      <c r="S1627" s="18"/>
      <c r="T1627" s="18"/>
      <c r="U1627" s="18"/>
      <c r="V1627" s="18"/>
      <c r="W1627" s="18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</row>
    <row r="1628" spans="1:36" ht="11.25" customHeight="1" x14ac:dyDescent="0.2">
      <c r="A1628" s="51" t="s">
        <v>21</v>
      </c>
      <c r="B1628" s="51" t="s">
        <v>37</v>
      </c>
      <c r="C1628" s="51" t="s">
        <v>33</v>
      </c>
      <c r="D1628" s="51" t="s">
        <v>43</v>
      </c>
      <c r="E1628" s="51" t="s">
        <v>25</v>
      </c>
      <c r="F1628" s="51" t="s">
        <v>25</v>
      </c>
      <c r="G1628" s="51" t="s">
        <v>25</v>
      </c>
      <c r="H1628" s="51" t="s">
        <v>35</v>
      </c>
      <c r="I1628" s="59">
        <v>44317</v>
      </c>
      <c r="J1628" s="60">
        <f>EFEITO!$J$1628*EFEITO!$Y$1628</f>
        <v>0</v>
      </c>
      <c r="K1628" s="60">
        <f ca="1">EFEITO!$L$1628*EFEITO!$Z$1628</f>
        <v>28556.246116253558</v>
      </c>
      <c r="L1628" s="60">
        <f>EFEITO!$N$1628*EFEITO!$AA$1628</f>
        <v>21343.878373220759</v>
      </c>
      <c r="M1628" s="60">
        <f>$J$1628-EFEITO!$K$1628*EFEITO!$Y$1628</f>
        <v>0</v>
      </c>
      <c r="N1628" s="60">
        <f ca="1">$K$1628-EFEITO!$M$1628*EFEITO!$Z$1628</f>
        <v>0</v>
      </c>
      <c r="O1628" s="60">
        <f>$L$1628-EFEITO!$O$1628*EFEITO!$AA$1628</f>
        <v>0</v>
      </c>
      <c r="P1628" s="18"/>
      <c r="Q1628" s="18"/>
      <c r="R1628" s="18"/>
      <c r="S1628" s="18"/>
      <c r="T1628" s="18"/>
      <c r="U1628" s="18"/>
      <c r="V1628" s="18"/>
      <c r="W1628" s="18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</row>
    <row r="1629" spans="1:36" ht="11.25" customHeight="1" x14ac:dyDescent="0.2">
      <c r="A1629" s="51" t="s">
        <v>21</v>
      </c>
      <c r="B1629" s="51" t="s">
        <v>37</v>
      </c>
      <c r="C1629" s="51" t="s">
        <v>33</v>
      </c>
      <c r="D1629" s="51" t="s">
        <v>43</v>
      </c>
      <c r="E1629" s="51" t="s">
        <v>25</v>
      </c>
      <c r="F1629" s="51" t="s">
        <v>25</v>
      </c>
      <c r="G1629" s="51" t="s">
        <v>25</v>
      </c>
      <c r="H1629" s="51" t="s">
        <v>35</v>
      </c>
      <c r="I1629" s="59">
        <v>44348</v>
      </c>
      <c r="J1629" s="60">
        <f>EFEITO!$J$1629*EFEITO!$Y$1629</f>
        <v>0</v>
      </c>
      <c r="K1629" s="60">
        <f ca="1">EFEITO!$L$1629*EFEITO!$Z$1629</f>
        <v>27749.864299630441</v>
      </c>
      <c r="L1629" s="60">
        <f>EFEITO!$N$1629*EFEITO!$AA$1629</f>
        <v>20741.16205867743</v>
      </c>
      <c r="M1629" s="60">
        <f>$J$1629-EFEITO!$K$1629*EFEITO!$Y$1629</f>
        <v>0</v>
      </c>
      <c r="N1629" s="60">
        <f ca="1">$K$1629-EFEITO!$M$1629*EFEITO!$Z$1629</f>
        <v>0</v>
      </c>
      <c r="O1629" s="60">
        <f>$L$1629-EFEITO!$O$1629*EFEITO!$AA$1629</f>
        <v>0</v>
      </c>
      <c r="P1629" s="18"/>
      <c r="Q1629" s="18"/>
      <c r="R1629" s="18"/>
      <c r="S1629" s="18"/>
      <c r="T1629" s="18"/>
      <c r="U1629" s="18"/>
      <c r="V1629" s="18"/>
      <c r="W1629" s="18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</row>
    <row r="1630" spans="1:36" ht="11.25" customHeight="1" x14ac:dyDescent="0.2">
      <c r="A1630" s="51" t="s">
        <v>21</v>
      </c>
      <c r="B1630" s="51" t="s">
        <v>37</v>
      </c>
      <c r="C1630" s="51" t="s">
        <v>33</v>
      </c>
      <c r="D1630" s="51" t="s">
        <v>43</v>
      </c>
      <c r="E1630" s="51" t="s">
        <v>25</v>
      </c>
      <c r="F1630" s="51" t="s">
        <v>25</v>
      </c>
      <c r="G1630" s="51" t="s">
        <v>25</v>
      </c>
      <c r="H1630" s="51" t="s">
        <v>35</v>
      </c>
      <c r="I1630" s="59">
        <v>44378</v>
      </c>
      <c r="J1630" s="60">
        <f>EFEITO!$J$1630*EFEITO!$Y$1630</f>
        <v>0</v>
      </c>
      <c r="K1630" s="60">
        <f ca="1">EFEITO!$L$1630*EFEITO!$Z$1630</f>
        <v>28634.76459747232</v>
      </c>
      <c r="L1630" s="60">
        <f>EFEITO!$N$1630*EFEITO!$AA$1630</f>
        <v>21402.565670786436</v>
      </c>
      <c r="M1630" s="60">
        <f>$J$1630-EFEITO!$K$1630*EFEITO!$Y$1630</f>
        <v>0</v>
      </c>
      <c r="N1630" s="60">
        <f ca="1">$K$1630-EFEITO!$M$1630*EFEITO!$Z$1630</f>
        <v>0</v>
      </c>
      <c r="O1630" s="60">
        <f>$L$1630-EFEITO!$O$1630*EFEITO!$AA$1630</f>
        <v>0</v>
      </c>
      <c r="P1630" s="18"/>
      <c r="Q1630" s="18"/>
      <c r="R1630" s="18"/>
      <c r="S1630" s="18"/>
      <c r="T1630" s="18"/>
      <c r="U1630" s="18"/>
      <c r="V1630" s="18"/>
      <c r="W1630" s="18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</row>
    <row r="1631" spans="1:36" ht="11.25" customHeight="1" x14ac:dyDescent="0.2">
      <c r="A1631" s="51" t="s">
        <v>21</v>
      </c>
      <c r="B1631" s="51" t="s">
        <v>37</v>
      </c>
      <c r="C1631" s="51" t="s">
        <v>33</v>
      </c>
      <c r="D1631" s="51" t="s">
        <v>43</v>
      </c>
      <c r="E1631" s="51" t="s">
        <v>25</v>
      </c>
      <c r="F1631" s="51" t="s">
        <v>25</v>
      </c>
      <c r="G1631" s="51" t="s">
        <v>25</v>
      </c>
      <c r="H1631" s="51" t="s">
        <v>35</v>
      </c>
      <c r="I1631" s="59">
        <v>44409</v>
      </c>
      <c r="J1631" s="60">
        <f>EFEITO!$J$1631*EFEITO!$Y$1631</f>
        <v>0</v>
      </c>
      <c r="K1631" s="60">
        <f ca="1">EFEITO!$L$1631*EFEITO!$Z$1631</f>
        <v>28829.418779048872</v>
      </c>
      <c r="L1631" s="60">
        <f>EFEITO!$N$1631*EFEITO!$AA$1631</f>
        <v>21548.056613800967</v>
      </c>
      <c r="M1631" s="60">
        <f>$J$1631-EFEITO!$K$1631*EFEITO!$Y$1631</f>
        <v>0</v>
      </c>
      <c r="N1631" s="60">
        <f ca="1">$K$1631-EFEITO!$M$1631*EFEITO!$Z$1631</f>
        <v>0</v>
      </c>
      <c r="O1631" s="60">
        <f>$L$1631-EFEITO!$O$1631*EFEITO!$AA$1631</f>
        <v>0</v>
      </c>
      <c r="P1631" s="18"/>
      <c r="Q1631" s="18"/>
      <c r="R1631" s="18"/>
      <c r="S1631" s="18"/>
      <c r="T1631" s="18"/>
      <c r="U1631" s="18"/>
      <c r="V1631" s="18"/>
      <c r="W1631" s="18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</row>
    <row r="1632" spans="1:36" ht="11.25" customHeight="1" x14ac:dyDescent="0.2">
      <c r="A1632" s="51" t="s">
        <v>21</v>
      </c>
      <c r="B1632" s="51" t="s">
        <v>37</v>
      </c>
      <c r="C1632" s="51" t="s">
        <v>33</v>
      </c>
      <c r="D1632" s="51" t="s">
        <v>43</v>
      </c>
      <c r="E1632" s="51" t="s">
        <v>25</v>
      </c>
      <c r="F1632" s="51" t="s">
        <v>25</v>
      </c>
      <c r="G1632" s="51" t="s">
        <v>25</v>
      </c>
      <c r="H1632" s="51" t="s">
        <v>35</v>
      </c>
      <c r="I1632" s="59">
        <v>44440</v>
      </c>
      <c r="J1632" s="60">
        <f>EFEITO!$J$1632*EFEITO!$Y$1632</f>
        <v>0</v>
      </c>
      <c r="K1632" s="60">
        <f ca="1">EFEITO!$L$1632*EFEITO!$Z$1632</f>
        <v>30416.507167485925</v>
      </c>
      <c r="L1632" s="60">
        <f>EFEITO!$N$1632*EFEITO!$AA$1632</f>
        <v>22734.298719729264</v>
      </c>
      <c r="M1632" s="60">
        <f>$J$1632-EFEITO!$K$1632*EFEITO!$Y$1632</f>
        <v>0</v>
      </c>
      <c r="N1632" s="60">
        <f ca="1">$K$1632-EFEITO!$M$1632*EFEITO!$Z$1632</f>
        <v>0</v>
      </c>
      <c r="O1632" s="60">
        <f>$L$1632-EFEITO!$O$1632*EFEITO!$AA$1632</f>
        <v>0</v>
      </c>
      <c r="P1632" s="18"/>
      <c r="Q1632" s="18"/>
      <c r="R1632" s="18"/>
      <c r="S1632" s="18"/>
      <c r="T1632" s="18"/>
      <c r="U1632" s="18"/>
      <c r="V1632" s="18"/>
      <c r="W1632" s="18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</row>
    <row r="1633" spans="1:36" ht="11.25" customHeight="1" x14ac:dyDescent="0.2">
      <c r="A1633" s="51" t="s">
        <v>21</v>
      </c>
      <c r="B1633" s="51" t="s">
        <v>37</v>
      </c>
      <c r="C1633" s="51" t="s">
        <v>33</v>
      </c>
      <c r="D1633" s="51" t="s">
        <v>43</v>
      </c>
      <c r="E1633" s="51" t="s">
        <v>25</v>
      </c>
      <c r="F1633" s="51" t="s">
        <v>25</v>
      </c>
      <c r="G1633" s="51" t="s">
        <v>25</v>
      </c>
      <c r="H1633" s="51" t="s">
        <v>35</v>
      </c>
      <c r="I1633" s="59">
        <v>44470</v>
      </c>
      <c r="J1633" s="60">
        <f>EFEITO!$J$1633*EFEITO!$Y$1633</f>
        <v>0</v>
      </c>
      <c r="K1633" s="60">
        <f ca="1">EFEITO!$L$1633*EFEITO!$Z$1633</f>
        <v>34995.060125550372</v>
      </c>
      <c r="L1633" s="60">
        <f>EFEITO!$N$1633*EFEITO!$AA$1633</f>
        <v>26156.459919224439</v>
      </c>
      <c r="M1633" s="60">
        <f>$J$1633-EFEITO!$K$1633*EFEITO!$Y$1633</f>
        <v>0</v>
      </c>
      <c r="N1633" s="60">
        <f ca="1">$K$1633-EFEITO!$M$1633*EFEITO!$Z$1633</f>
        <v>0</v>
      </c>
      <c r="O1633" s="60">
        <f>$L$1633-EFEITO!$O$1633*EFEITO!$AA$1633</f>
        <v>0</v>
      </c>
      <c r="P1633" s="18"/>
      <c r="Q1633" s="18"/>
      <c r="R1633" s="18"/>
      <c r="S1633" s="18"/>
      <c r="T1633" s="18"/>
      <c r="U1633" s="18"/>
      <c r="V1633" s="18"/>
      <c r="W1633" s="18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</row>
    <row r="1634" spans="1:36" ht="11.25" customHeight="1" x14ac:dyDescent="0.2">
      <c r="A1634" s="51" t="s">
        <v>28</v>
      </c>
      <c r="B1634" s="51" t="s">
        <v>37</v>
      </c>
      <c r="C1634" s="51" t="s">
        <v>33</v>
      </c>
      <c r="D1634" s="51" t="s">
        <v>43</v>
      </c>
      <c r="E1634" s="51" t="s">
        <v>25</v>
      </c>
      <c r="F1634" s="51" t="s">
        <v>25</v>
      </c>
      <c r="G1634" s="51" t="s">
        <v>25</v>
      </c>
      <c r="H1634" s="51" t="s">
        <v>35</v>
      </c>
      <c r="I1634" s="59">
        <v>44470</v>
      </c>
      <c r="J1634" s="60">
        <f>EFEITO!$J$1634*EFEITO!$Y$1634</f>
        <v>0</v>
      </c>
      <c r="K1634" s="60">
        <f ca="1">EFEITO!$L$1634*EFEITO!$Z$1634</f>
        <v>233.76414750681167</v>
      </c>
      <c r="L1634" s="60">
        <f>EFEITO!$N$1634*EFEITO!$AA$1634</f>
        <v>174.72301898831003</v>
      </c>
      <c r="M1634" s="60">
        <f>$J$1634-EFEITO!$K$1634*EFEITO!$Y$1634</f>
        <v>0</v>
      </c>
      <c r="N1634" s="60">
        <f ca="1">$K$1634-EFEITO!$M$1634*EFEITO!$Z$1634</f>
        <v>0</v>
      </c>
      <c r="O1634" s="60">
        <f>$L$1634-EFEITO!$O$1634*EFEITO!$AA$1634</f>
        <v>0</v>
      </c>
      <c r="P1634" s="18"/>
      <c r="Q1634" s="18"/>
      <c r="R1634" s="18"/>
      <c r="S1634" s="18"/>
      <c r="T1634" s="18"/>
      <c r="U1634" s="18"/>
      <c r="V1634" s="18"/>
      <c r="W1634" s="18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</row>
    <row r="1635" spans="1:36" ht="11.25" customHeight="1" x14ac:dyDescent="0.2">
      <c r="A1635" s="51" t="s">
        <v>21</v>
      </c>
      <c r="B1635" s="51" t="s">
        <v>37</v>
      </c>
      <c r="C1635" s="51" t="s">
        <v>33</v>
      </c>
      <c r="D1635" s="51" t="s">
        <v>43</v>
      </c>
      <c r="E1635" s="51" t="s">
        <v>25</v>
      </c>
      <c r="F1635" s="51" t="s">
        <v>25</v>
      </c>
      <c r="G1635" s="51" t="s">
        <v>25</v>
      </c>
      <c r="H1635" s="51" t="s">
        <v>35</v>
      </c>
      <c r="I1635" s="59">
        <v>44501</v>
      </c>
      <c r="J1635" s="60">
        <f>EFEITO!$J$1635*EFEITO!$Y$1635</f>
        <v>0</v>
      </c>
      <c r="K1635" s="60">
        <f ca="1">EFEITO!$L$1635*EFEITO!$Z$1635</f>
        <v>35281.070410750275</v>
      </c>
      <c r="L1635" s="60">
        <f>EFEITO!$N$1635*EFEITO!$AA$1635</f>
        <v>26370.233421383829</v>
      </c>
      <c r="M1635" s="60">
        <f>$J$1635-EFEITO!$K$1635*EFEITO!$Y$1635</f>
        <v>0</v>
      </c>
      <c r="N1635" s="60">
        <f ca="1">$K$1635-EFEITO!$M$1635*EFEITO!$Z$1635</f>
        <v>0</v>
      </c>
      <c r="O1635" s="60">
        <f>$L$1635-EFEITO!$O$1635*EFEITO!$AA$1635</f>
        <v>0</v>
      </c>
      <c r="P1635" s="18"/>
      <c r="Q1635" s="18"/>
      <c r="R1635" s="18"/>
      <c r="S1635" s="18"/>
      <c r="T1635" s="18"/>
      <c r="U1635" s="18"/>
      <c r="V1635" s="18"/>
      <c r="W1635" s="18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</row>
    <row r="1636" spans="1:36" ht="11.25" customHeight="1" x14ac:dyDescent="0.2">
      <c r="A1636" s="51" t="s">
        <v>21</v>
      </c>
      <c r="B1636" s="51" t="s">
        <v>37</v>
      </c>
      <c r="C1636" s="51" t="s">
        <v>33</v>
      </c>
      <c r="D1636" s="51" t="s">
        <v>43</v>
      </c>
      <c r="E1636" s="51" t="s">
        <v>25</v>
      </c>
      <c r="F1636" s="51" t="s">
        <v>25</v>
      </c>
      <c r="G1636" s="51" t="s">
        <v>25</v>
      </c>
      <c r="H1636" s="51" t="s">
        <v>35</v>
      </c>
      <c r="I1636" s="59">
        <v>44531</v>
      </c>
      <c r="J1636" s="60">
        <f>EFEITO!$J$1636*EFEITO!$Y$1636</f>
        <v>0</v>
      </c>
      <c r="K1636" s="60">
        <f ca="1">EFEITO!$L$1636*EFEITO!$Z$1636</f>
        <v>37923.232231229566</v>
      </c>
      <c r="L1636" s="60">
        <f>EFEITO!$N$1636*EFEITO!$AA$1636</f>
        <v>28345.072141749788</v>
      </c>
      <c r="M1636" s="60">
        <f>$J$1636-EFEITO!$K$1636*EFEITO!$Y$1636</f>
        <v>0</v>
      </c>
      <c r="N1636" s="60">
        <f ca="1">$K$1636-EFEITO!$M$1636*EFEITO!$Z$1636</f>
        <v>0</v>
      </c>
      <c r="O1636" s="60">
        <f>$L$1636-EFEITO!$O$1636*EFEITO!$AA$1636</f>
        <v>0</v>
      </c>
      <c r="P1636" s="18"/>
      <c r="Q1636" s="18"/>
      <c r="R1636" s="18"/>
      <c r="S1636" s="18"/>
      <c r="T1636" s="18"/>
      <c r="U1636" s="18"/>
      <c r="V1636" s="18"/>
      <c r="W1636" s="18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</row>
    <row r="1637" spans="1:36" ht="11.25" customHeight="1" x14ac:dyDescent="0.2">
      <c r="A1637" s="51" t="s">
        <v>21</v>
      </c>
      <c r="B1637" s="51" t="s">
        <v>37</v>
      </c>
      <c r="C1637" s="51" t="s">
        <v>33</v>
      </c>
      <c r="D1637" s="51" t="s">
        <v>43</v>
      </c>
      <c r="E1637" s="51" t="s">
        <v>25</v>
      </c>
      <c r="F1637" s="51" t="s">
        <v>25</v>
      </c>
      <c r="G1637" s="51" t="s">
        <v>25</v>
      </c>
      <c r="H1637" s="51" t="s">
        <v>35</v>
      </c>
      <c r="I1637" s="59">
        <v>44562</v>
      </c>
      <c r="J1637" s="60">
        <f>EFEITO!$J$1637*EFEITO!$Y$1637</f>
        <v>0</v>
      </c>
      <c r="K1637" s="60">
        <f ca="1">EFEITO!$L$1637*EFEITO!$Z$1637</f>
        <v>36990.564036068288</v>
      </c>
      <c r="L1637" s="60">
        <f>EFEITO!$N$1637*EFEITO!$AA$1637</f>
        <v>27647.965230741509</v>
      </c>
      <c r="M1637" s="60">
        <f>$J$1637-EFEITO!$K$1637*EFEITO!$Y$1637</f>
        <v>0</v>
      </c>
      <c r="N1637" s="60">
        <f ca="1">$K$1637-EFEITO!$M$1637*EFEITO!$Z$1637</f>
        <v>0</v>
      </c>
      <c r="O1637" s="60">
        <f>$L$1637-EFEITO!$O$1637*EFEITO!$AA$1637</f>
        <v>0</v>
      </c>
      <c r="P1637" s="18"/>
      <c r="Q1637" s="18"/>
      <c r="R1637" s="18"/>
      <c r="S1637" s="18"/>
      <c r="T1637" s="18"/>
      <c r="U1637" s="18"/>
      <c r="V1637" s="18"/>
      <c r="W1637" s="18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</row>
    <row r="1638" spans="1:36" ht="11.25" customHeight="1" x14ac:dyDescent="0.2">
      <c r="A1638" s="51" t="s">
        <v>28</v>
      </c>
      <c r="B1638" s="51" t="s">
        <v>37</v>
      </c>
      <c r="C1638" s="51" t="s">
        <v>33</v>
      </c>
      <c r="D1638" s="51" t="s">
        <v>43</v>
      </c>
      <c r="E1638" s="51" t="s">
        <v>25</v>
      </c>
      <c r="F1638" s="51" t="s">
        <v>25</v>
      </c>
      <c r="G1638" s="51" t="s">
        <v>25</v>
      </c>
      <c r="H1638" s="51" t="s">
        <v>35</v>
      </c>
      <c r="I1638" s="59">
        <v>44562</v>
      </c>
      <c r="J1638" s="60">
        <f>EFEITO!$J$1638*EFEITO!$Y$1638</f>
        <v>0</v>
      </c>
      <c r="K1638" s="60">
        <f ca="1">EFEITO!$L$1638*EFEITO!$Z$1638</f>
        <v>342.13756455019939</v>
      </c>
      <c r="L1638" s="60">
        <f>EFEITO!$N$1638*EFEITO!$AA$1638</f>
        <v>255.7248783660323</v>
      </c>
      <c r="M1638" s="60">
        <f>$J$1638-EFEITO!$K$1638*EFEITO!$Y$1638</f>
        <v>0</v>
      </c>
      <c r="N1638" s="60">
        <f ca="1">$K$1638-EFEITO!$M$1638*EFEITO!$Z$1638</f>
        <v>0</v>
      </c>
      <c r="O1638" s="60">
        <f>$L$1638-EFEITO!$O$1638*EFEITO!$AA$1638</f>
        <v>0</v>
      </c>
      <c r="P1638" s="18"/>
      <c r="Q1638" s="18"/>
      <c r="R1638" s="18"/>
      <c r="S1638" s="18"/>
      <c r="T1638" s="18"/>
      <c r="U1638" s="18"/>
      <c r="V1638" s="18"/>
      <c r="W1638" s="18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</row>
    <row r="1639" spans="1:36" ht="11.25" customHeight="1" x14ac:dyDescent="0.2">
      <c r="A1639" s="51" t="s">
        <v>21</v>
      </c>
      <c r="B1639" s="51" t="s">
        <v>37</v>
      </c>
      <c r="C1639" s="51" t="s">
        <v>33</v>
      </c>
      <c r="D1639" s="51" t="s">
        <v>43</v>
      </c>
      <c r="E1639" s="51" t="s">
        <v>25</v>
      </c>
      <c r="F1639" s="51" t="s">
        <v>25</v>
      </c>
      <c r="G1639" s="51" t="s">
        <v>25</v>
      </c>
      <c r="H1639" s="51" t="s">
        <v>35</v>
      </c>
      <c r="I1639" s="59">
        <v>44593</v>
      </c>
      <c r="J1639" s="60">
        <f>EFEITO!$J$1639*EFEITO!$Y$1639</f>
        <v>0</v>
      </c>
      <c r="K1639" s="60">
        <f ca="1">EFEITO!$L$1639*EFEITO!$Z$1639</f>
        <v>34788.165420285724</v>
      </c>
      <c r="L1639" s="60">
        <f>EFEITO!$N$1639*EFEITO!$AA$1639</f>
        <v>26001.820005866972</v>
      </c>
      <c r="M1639" s="60">
        <f>$J$1639-EFEITO!$K$1639*EFEITO!$Y$1639</f>
        <v>0</v>
      </c>
      <c r="N1639" s="60">
        <f ca="1">$K$1639-EFEITO!$M$1639*EFEITO!$Z$1639</f>
        <v>0</v>
      </c>
      <c r="O1639" s="60">
        <f>$L$1639-EFEITO!$O$1639*EFEITO!$AA$1639</f>
        <v>0</v>
      </c>
      <c r="P1639" s="18"/>
      <c r="Q1639" s="18"/>
      <c r="R1639" s="18"/>
      <c r="S1639" s="18"/>
      <c r="T1639" s="18"/>
      <c r="U1639" s="18"/>
      <c r="V1639" s="18"/>
      <c r="W1639" s="18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</row>
    <row r="1640" spans="1:36" ht="11.25" customHeight="1" x14ac:dyDescent="0.2">
      <c r="A1640" s="51" t="s">
        <v>56</v>
      </c>
      <c r="B1640" s="51" t="s">
        <v>37</v>
      </c>
      <c r="C1640" s="51" t="s">
        <v>33</v>
      </c>
      <c r="D1640" s="51" t="s">
        <v>43</v>
      </c>
      <c r="E1640" s="51" t="s">
        <v>25</v>
      </c>
      <c r="F1640" s="51" t="s">
        <v>25</v>
      </c>
      <c r="G1640" s="51" t="s">
        <v>25</v>
      </c>
      <c r="H1640" s="51" t="s">
        <v>35</v>
      </c>
      <c r="I1640" s="59">
        <v>44621</v>
      </c>
      <c r="J1640" s="60">
        <f>EFEITO!$J$1640*EFEITO!$Y$1640</f>
        <v>0</v>
      </c>
      <c r="K1640" s="60">
        <f ca="1">EFEITO!$L$1640*EFEITO!$Z$1640</f>
        <v>34788.165420285724</v>
      </c>
      <c r="L1640" s="60">
        <f>EFEITO!$N$1640*EFEITO!$AA$1640</f>
        <v>26001.820005866972</v>
      </c>
      <c r="M1640" s="60">
        <f>$J$1640-EFEITO!$K$1640*EFEITO!$Y$1640</f>
        <v>0</v>
      </c>
      <c r="N1640" s="60">
        <f ca="1">$K$1640-EFEITO!$M$1640*EFEITO!$Z$1640</f>
        <v>0</v>
      </c>
      <c r="O1640" s="60">
        <f>$L$1640-EFEITO!$O$1640*EFEITO!$AA$1640</f>
        <v>0</v>
      </c>
      <c r="P1640" s="18"/>
      <c r="Q1640" s="18"/>
      <c r="R1640" s="18"/>
      <c r="S1640" s="18"/>
      <c r="T1640" s="18"/>
      <c r="U1640" s="18"/>
      <c r="V1640" s="18"/>
      <c r="W1640" s="18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</row>
    <row r="1641" spans="1:36" ht="11.25" customHeight="1" x14ac:dyDescent="0.2">
      <c r="A1641" s="51" t="s">
        <v>21</v>
      </c>
      <c r="B1641" s="51" t="s">
        <v>37</v>
      </c>
      <c r="C1641" s="51" t="s">
        <v>33</v>
      </c>
      <c r="D1641" s="51" t="s">
        <v>43</v>
      </c>
      <c r="E1641" s="51" t="s">
        <v>25</v>
      </c>
      <c r="F1641" s="51" t="s">
        <v>25</v>
      </c>
      <c r="G1641" s="51" t="s">
        <v>25</v>
      </c>
      <c r="H1641" s="51" t="s">
        <v>36</v>
      </c>
      <c r="I1641" s="59">
        <v>44287</v>
      </c>
      <c r="J1641" s="60">
        <f>EFEITO!$J$1641*EFEITO!$Y$1641</f>
        <v>0</v>
      </c>
      <c r="K1641" s="60">
        <f ca="1">EFEITO!$L$1641*EFEITO!$Z$1641</f>
        <v>3648.2682221274213</v>
      </c>
      <c r="L1641" s="60">
        <f>EFEITO!$N$1641*EFEITO!$AA$1641</f>
        <v>1135.8111962330754</v>
      </c>
      <c r="M1641" s="60">
        <f>$J$1641-EFEITO!$K$1641*EFEITO!$Y$1641</f>
        <v>0</v>
      </c>
      <c r="N1641" s="60">
        <f ca="1">$K$1641-EFEITO!$M$1641*EFEITO!$Z$1641</f>
        <v>0</v>
      </c>
      <c r="O1641" s="60">
        <f>$L$1641-EFEITO!$O$1641*EFEITO!$AA$1641</f>
        <v>0</v>
      </c>
      <c r="P1641" s="18"/>
      <c r="Q1641" s="18"/>
      <c r="R1641" s="18"/>
      <c r="S1641" s="18"/>
      <c r="T1641" s="18"/>
      <c r="U1641" s="18"/>
      <c r="V1641" s="18"/>
      <c r="W1641" s="18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</row>
    <row r="1642" spans="1:36" ht="11.25" customHeight="1" x14ac:dyDescent="0.2">
      <c r="A1642" s="51" t="s">
        <v>21</v>
      </c>
      <c r="B1642" s="51" t="s">
        <v>37</v>
      </c>
      <c r="C1642" s="51" t="s">
        <v>33</v>
      </c>
      <c r="D1642" s="51" t="s">
        <v>43</v>
      </c>
      <c r="E1642" s="51" t="s">
        <v>25</v>
      </c>
      <c r="F1642" s="51" t="s">
        <v>25</v>
      </c>
      <c r="G1642" s="51" t="s">
        <v>25</v>
      </c>
      <c r="H1642" s="51" t="s">
        <v>36</v>
      </c>
      <c r="I1642" s="59">
        <v>44317</v>
      </c>
      <c r="J1642" s="60">
        <f>EFEITO!$J$1642*EFEITO!$Y$1642</f>
        <v>0</v>
      </c>
      <c r="K1642" s="60">
        <f ca="1">EFEITO!$L$1642*EFEITO!$Z$1642</f>
        <v>3545.7726708967293</v>
      </c>
      <c r="L1642" s="60">
        <f>EFEITO!$N$1642*EFEITO!$AA$1642</f>
        <v>1103.9013728418515</v>
      </c>
      <c r="M1642" s="60">
        <f>$J$1642-EFEITO!$K$1642*EFEITO!$Y$1642</f>
        <v>0</v>
      </c>
      <c r="N1642" s="60">
        <f ca="1">$K$1642-EFEITO!$M$1642*EFEITO!$Z$1642</f>
        <v>0</v>
      </c>
      <c r="O1642" s="60">
        <f>$L$1642-EFEITO!$O$1642*EFEITO!$AA$1642</f>
        <v>0</v>
      </c>
      <c r="P1642" s="18"/>
      <c r="Q1642" s="18"/>
      <c r="R1642" s="18"/>
      <c r="S1642" s="18"/>
      <c r="T1642" s="18"/>
      <c r="U1642" s="18"/>
      <c r="V1642" s="18"/>
      <c r="W1642" s="18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</row>
    <row r="1643" spans="1:36" ht="11.25" customHeight="1" x14ac:dyDescent="0.2">
      <c r="A1643" s="51" t="s">
        <v>21</v>
      </c>
      <c r="B1643" s="51" t="s">
        <v>37</v>
      </c>
      <c r="C1643" s="51" t="s">
        <v>33</v>
      </c>
      <c r="D1643" s="51" t="s">
        <v>43</v>
      </c>
      <c r="E1643" s="51" t="s">
        <v>25</v>
      </c>
      <c r="F1643" s="51" t="s">
        <v>25</v>
      </c>
      <c r="G1643" s="51" t="s">
        <v>25</v>
      </c>
      <c r="H1643" s="51" t="s">
        <v>36</v>
      </c>
      <c r="I1643" s="59">
        <v>44348</v>
      </c>
      <c r="J1643" s="60">
        <f>EFEITO!$J$1643*EFEITO!$Y$1643</f>
        <v>0</v>
      </c>
      <c r="K1643" s="60">
        <f ca="1">EFEITO!$L$1643*EFEITO!$Z$1643</f>
        <v>3370.1684048021875</v>
      </c>
      <c r="L1643" s="60">
        <f>EFEITO!$N$1643*EFEITO!$AA$1643</f>
        <v>1049.2306964023419</v>
      </c>
      <c r="M1643" s="60">
        <f>$J$1643-EFEITO!$K$1643*EFEITO!$Y$1643</f>
        <v>0</v>
      </c>
      <c r="N1643" s="60">
        <f ca="1">$K$1643-EFEITO!$M$1643*EFEITO!$Z$1643</f>
        <v>0</v>
      </c>
      <c r="O1643" s="60">
        <f>$L$1643-EFEITO!$O$1643*EFEITO!$AA$1643</f>
        <v>0</v>
      </c>
      <c r="P1643" s="18"/>
      <c r="Q1643" s="18"/>
      <c r="R1643" s="18"/>
      <c r="S1643" s="18"/>
      <c r="T1643" s="18"/>
      <c r="U1643" s="18"/>
      <c r="V1643" s="18"/>
      <c r="W1643" s="18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</row>
    <row r="1644" spans="1:36" ht="11.25" customHeight="1" x14ac:dyDescent="0.2">
      <c r="A1644" s="51" t="s">
        <v>21</v>
      </c>
      <c r="B1644" s="51" t="s">
        <v>37</v>
      </c>
      <c r="C1644" s="51" t="s">
        <v>33</v>
      </c>
      <c r="D1644" s="51" t="s">
        <v>43</v>
      </c>
      <c r="E1644" s="51" t="s">
        <v>25</v>
      </c>
      <c r="F1644" s="51" t="s">
        <v>25</v>
      </c>
      <c r="G1644" s="51" t="s">
        <v>25</v>
      </c>
      <c r="H1644" s="51" t="s">
        <v>36</v>
      </c>
      <c r="I1644" s="59">
        <v>44378</v>
      </c>
      <c r="J1644" s="60">
        <f>EFEITO!$J$1644*EFEITO!$Y$1644</f>
        <v>0</v>
      </c>
      <c r="K1644" s="60">
        <f ca="1">EFEITO!$L$1644*EFEITO!$Z$1644</f>
        <v>3659.0195037250464</v>
      </c>
      <c r="L1644" s="60">
        <f>EFEITO!$N$1644*EFEITO!$AA$1644</f>
        <v>1139.1583805048822</v>
      </c>
      <c r="M1644" s="60">
        <f>$J$1644-EFEITO!$K$1644*EFEITO!$Y$1644</f>
        <v>0</v>
      </c>
      <c r="N1644" s="60">
        <f ca="1">$K$1644-EFEITO!$M$1644*EFEITO!$Z$1644</f>
        <v>0</v>
      </c>
      <c r="O1644" s="60">
        <f>$L$1644-EFEITO!$O$1644*EFEITO!$AA$1644</f>
        <v>0</v>
      </c>
      <c r="P1644" s="18"/>
      <c r="Q1644" s="18"/>
      <c r="R1644" s="18"/>
      <c r="S1644" s="18"/>
      <c r="T1644" s="18"/>
      <c r="U1644" s="18"/>
      <c r="V1644" s="18"/>
      <c r="W1644" s="18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</row>
    <row r="1645" spans="1:36" ht="11.25" customHeight="1" x14ac:dyDescent="0.2">
      <c r="A1645" s="51" t="s">
        <v>21</v>
      </c>
      <c r="B1645" s="51" t="s">
        <v>37</v>
      </c>
      <c r="C1645" s="51" t="s">
        <v>33</v>
      </c>
      <c r="D1645" s="51" t="s">
        <v>43</v>
      </c>
      <c r="E1645" s="51" t="s">
        <v>25</v>
      </c>
      <c r="F1645" s="51" t="s">
        <v>25</v>
      </c>
      <c r="G1645" s="51" t="s">
        <v>25</v>
      </c>
      <c r="H1645" s="51" t="s">
        <v>36</v>
      </c>
      <c r="I1645" s="59">
        <v>44409</v>
      </c>
      <c r="J1645" s="60">
        <f>EFEITO!$J$1645*EFEITO!$Y$1645</f>
        <v>0</v>
      </c>
      <c r="K1645" s="60">
        <f ca="1">EFEITO!$L$1645*EFEITO!$Z$1645</f>
        <v>3818.8552234764052</v>
      </c>
      <c r="L1645" s="60">
        <f>EFEITO!$N$1645*EFEITO!$AA$1645</f>
        <v>1188.9198533457418</v>
      </c>
      <c r="M1645" s="60">
        <f>$J$1645-EFEITO!$K$1645*EFEITO!$Y$1645</f>
        <v>0</v>
      </c>
      <c r="N1645" s="60">
        <f ca="1">$K$1645-EFEITO!$M$1645*EFEITO!$Z$1645</f>
        <v>0</v>
      </c>
      <c r="O1645" s="60">
        <f>$L$1645-EFEITO!$O$1645*EFEITO!$AA$1645</f>
        <v>0</v>
      </c>
      <c r="P1645" s="18"/>
      <c r="Q1645" s="18"/>
      <c r="R1645" s="18"/>
      <c r="S1645" s="18"/>
      <c r="T1645" s="18"/>
      <c r="U1645" s="18"/>
      <c r="V1645" s="18"/>
      <c r="W1645" s="18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</row>
    <row r="1646" spans="1:36" ht="11.25" customHeight="1" x14ac:dyDescent="0.2">
      <c r="A1646" s="51" t="s">
        <v>21</v>
      </c>
      <c r="B1646" s="51" t="s">
        <v>37</v>
      </c>
      <c r="C1646" s="51" t="s">
        <v>33</v>
      </c>
      <c r="D1646" s="51" t="s">
        <v>43</v>
      </c>
      <c r="E1646" s="51" t="s">
        <v>25</v>
      </c>
      <c r="F1646" s="51" t="s">
        <v>25</v>
      </c>
      <c r="G1646" s="51" t="s">
        <v>25</v>
      </c>
      <c r="H1646" s="51" t="s">
        <v>36</v>
      </c>
      <c r="I1646" s="59">
        <v>44440</v>
      </c>
      <c r="J1646" s="60">
        <f>EFEITO!$J$1646*EFEITO!$Y$1646</f>
        <v>0</v>
      </c>
      <c r="K1646" s="60">
        <f ca="1">EFEITO!$L$1646*EFEITO!$Z$1646</f>
        <v>3858.2765893343631</v>
      </c>
      <c r="L1646" s="60">
        <f>EFEITO!$N$1646*EFEITO!$AA$1646</f>
        <v>1201.1928623423664</v>
      </c>
      <c r="M1646" s="60">
        <f>$J$1646-EFEITO!$K$1646*EFEITO!$Y$1646</f>
        <v>0</v>
      </c>
      <c r="N1646" s="60">
        <f ca="1">$K$1646-EFEITO!$M$1646*EFEITO!$Z$1646</f>
        <v>0</v>
      </c>
      <c r="O1646" s="60">
        <f>$L$1646-EFEITO!$O$1646*EFEITO!$AA$1646</f>
        <v>0</v>
      </c>
      <c r="P1646" s="18"/>
      <c r="Q1646" s="18"/>
      <c r="R1646" s="18"/>
      <c r="S1646" s="18"/>
      <c r="T1646" s="18"/>
      <c r="U1646" s="18"/>
      <c r="V1646" s="18"/>
      <c r="W1646" s="18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</row>
    <row r="1647" spans="1:36" ht="11.25" customHeight="1" x14ac:dyDescent="0.2">
      <c r="A1647" s="51" t="s">
        <v>21</v>
      </c>
      <c r="B1647" s="51" t="s">
        <v>37</v>
      </c>
      <c r="C1647" s="51" t="s">
        <v>33</v>
      </c>
      <c r="D1647" s="51" t="s">
        <v>43</v>
      </c>
      <c r="E1647" s="51" t="s">
        <v>25</v>
      </c>
      <c r="F1647" s="51" t="s">
        <v>25</v>
      </c>
      <c r="G1647" s="51" t="s">
        <v>25</v>
      </c>
      <c r="H1647" s="51" t="s">
        <v>36</v>
      </c>
      <c r="I1647" s="59">
        <v>44470</v>
      </c>
      <c r="J1647" s="60">
        <f>EFEITO!$J$1647*EFEITO!$Y$1647</f>
        <v>0</v>
      </c>
      <c r="K1647" s="60">
        <f ca="1">EFEITO!$L$1647*EFEITO!$Z$1647</f>
        <v>4477.5504093575637</v>
      </c>
      <c r="L1647" s="60">
        <f>EFEITO!$N$1647*EFEITO!$AA$1647</f>
        <v>1393.9906763984327</v>
      </c>
      <c r="M1647" s="60">
        <f>$J$1647-EFEITO!$K$1647*EFEITO!$Y$1647</f>
        <v>0</v>
      </c>
      <c r="N1647" s="60">
        <f ca="1">$K$1647-EFEITO!$M$1647*EFEITO!$Z$1647</f>
        <v>0</v>
      </c>
      <c r="O1647" s="60">
        <f>$L$1647-EFEITO!$O$1647*EFEITO!$AA$1647</f>
        <v>0</v>
      </c>
      <c r="P1647" s="18"/>
      <c r="Q1647" s="18"/>
      <c r="R1647" s="18"/>
      <c r="S1647" s="18"/>
      <c r="T1647" s="18"/>
      <c r="U1647" s="18"/>
      <c r="V1647" s="18"/>
      <c r="W1647" s="18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</row>
    <row r="1648" spans="1:36" ht="11.25" customHeight="1" x14ac:dyDescent="0.2">
      <c r="A1648" s="51" t="s">
        <v>28</v>
      </c>
      <c r="B1648" s="51" t="s">
        <v>37</v>
      </c>
      <c r="C1648" s="51" t="s">
        <v>33</v>
      </c>
      <c r="D1648" s="51" t="s">
        <v>43</v>
      </c>
      <c r="E1648" s="51" t="s">
        <v>25</v>
      </c>
      <c r="F1648" s="51" t="s">
        <v>25</v>
      </c>
      <c r="G1648" s="51" t="s">
        <v>25</v>
      </c>
      <c r="H1648" s="51" t="s">
        <v>36</v>
      </c>
      <c r="I1648" s="59">
        <v>44470</v>
      </c>
      <c r="J1648" s="60">
        <f>EFEITO!$J$1648*EFEITO!$Y$1648</f>
        <v>0</v>
      </c>
      <c r="K1648" s="60">
        <f ca="1">EFEITO!$L$1648*EFEITO!$Z$1648</f>
        <v>20.069058982233358</v>
      </c>
      <c r="L1648" s="60">
        <f>EFEITO!$N$1648*EFEITO!$AA$1648</f>
        <v>6.2480773073725171</v>
      </c>
      <c r="M1648" s="60">
        <f>$J$1648-EFEITO!$K$1648*EFEITO!$Y$1648</f>
        <v>0</v>
      </c>
      <c r="N1648" s="60">
        <f ca="1">$K$1648-EFEITO!$M$1648*EFEITO!$Z$1648</f>
        <v>0</v>
      </c>
      <c r="O1648" s="60">
        <f>$L$1648-EFEITO!$O$1648*EFEITO!$AA$1648</f>
        <v>0</v>
      </c>
      <c r="P1648" s="18"/>
      <c r="Q1648" s="18"/>
      <c r="R1648" s="18"/>
      <c r="S1648" s="18"/>
      <c r="T1648" s="18"/>
      <c r="U1648" s="18"/>
      <c r="V1648" s="18"/>
      <c r="W1648" s="18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</row>
    <row r="1649" spans="1:36" ht="11.25" customHeight="1" x14ac:dyDescent="0.2">
      <c r="A1649" s="51" t="s">
        <v>21</v>
      </c>
      <c r="B1649" s="51" t="s">
        <v>37</v>
      </c>
      <c r="C1649" s="51" t="s">
        <v>33</v>
      </c>
      <c r="D1649" s="51" t="s">
        <v>43</v>
      </c>
      <c r="E1649" s="51" t="s">
        <v>25</v>
      </c>
      <c r="F1649" s="51" t="s">
        <v>25</v>
      </c>
      <c r="G1649" s="51" t="s">
        <v>25</v>
      </c>
      <c r="H1649" s="51" t="s">
        <v>36</v>
      </c>
      <c r="I1649" s="59">
        <v>44501</v>
      </c>
      <c r="J1649" s="60">
        <f>EFEITO!$J$1649*EFEITO!$Y$1649</f>
        <v>0</v>
      </c>
      <c r="K1649" s="60">
        <f ca="1">EFEITO!$L$1649*EFEITO!$Z$1649</f>
        <v>4243.8892226358475</v>
      </c>
      <c r="L1649" s="60">
        <f>EFEITO!$N$1649*EFEITO!$AA$1649</f>
        <v>1321.2452048911671</v>
      </c>
      <c r="M1649" s="60">
        <f>$J$1649-EFEITO!$K$1649*EFEITO!$Y$1649</f>
        <v>0</v>
      </c>
      <c r="N1649" s="60">
        <f ca="1">$K$1649-EFEITO!$M$1649*EFEITO!$Z$1649</f>
        <v>0</v>
      </c>
      <c r="O1649" s="60">
        <f>$L$1649-EFEITO!$O$1649*EFEITO!$AA$1649</f>
        <v>0</v>
      </c>
      <c r="P1649" s="18"/>
      <c r="Q1649" s="18"/>
      <c r="R1649" s="18"/>
      <c r="S1649" s="18"/>
      <c r="T1649" s="18"/>
      <c r="U1649" s="18"/>
      <c r="V1649" s="18"/>
      <c r="W1649" s="18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</row>
    <row r="1650" spans="1:36" ht="11.25" customHeight="1" x14ac:dyDescent="0.2">
      <c r="A1650" s="51" t="s">
        <v>21</v>
      </c>
      <c r="B1650" s="51" t="s">
        <v>37</v>
      </c>
      <c r="C1650" s="51" t="s">
        <v>33</v>
      </c>
      <c r="D1650" s="51" t="s">
        <v>43</v>
      </c>
      <c r="E1650" s="51" t="s">
        <v>25</v>
      </c>
      <c r="F1650" s="51" t="s">
        <v>25</v>
      </c>
      <c r="G1650" s="51" t="s">
        <v>25</v>
      </c>
      <c r="H1650" s="51" t="s">
        <v>36</v>
      </c>
      <c r="I1650" s="59">
        <v>44531</v>
      </c>
      <c r="J1650" s="60">
        <f>EFEITO!$J$1650*EFEITO!$Y$1650</f>
        <v>0</v>
      </c>
      <c r="K1650" s="60">
        <f ca="1">EFEITO!$L$1650*EFEITO!$Z$1650</f>
        <v>4692.5760413100643</v>
      </c>
      <c r="L1650" s="60">
        <f>EFEITO!$N$1650*EFEITO!$AA$1650</f>
        <v>1460.9343618345667</v>
      </c>
      <c r="M1650" s="60">
        <f>$J$1650-EFEITO!$K$1650*EFEITO!$Y$1650</f>
        <v>0</v>
      </c>
      <c r="N1650" s="60">
        <f ca="1">$K$1650-EFEITO!$M$1650*EFEITO!$Z$1650</f>
        <v>0</v>
      </c>
      <c r="O1650" s="60">
        <f>$L$1650-EFEITO!$O$1650*EFEITO!$AA$1650</f>
        <v>0</v>
      </c>
      <c r="P1650" s="18"/>
      <c r="Q1650" s="18"/>
      <c r="R1650" s="18"/>
      <c r="S1650" s="18"/>
      <c r="T1650" s="18"/>
      <c r="U1650" s="18"/>
      <c r="V1650" s="18"/>
      <c r="W1650" s="18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</row>
    <row r="1651" spans="1:36" ht="11.25" customHeight="1" x14ac:dyDescent="0.2">
      <c r="A1651" s="51" t="s">
        <v>21</v>
      </c>
      <c r="B1651" s="51" t="s">
        <v>37</v>
      </c>
      <c r="C1651" s="51" t="s">
        <v>33</v>
      </c>
      <c r="D1651" s="51" t="s">
        <v>43</v>
      </c>
      <c r="E1651" s="51" t="s">
        <v>25</v>
      </c>
      <c r="F1651" s="51" t="s">
        <v>25</v>
      </c>
      <c r="G1651" s="51" t="s">
        <v>25</v>
      </c>
      <c r="H1651" s="51" t="s">
        <v>36</v>
      </c>
      <c r="I1651" s="59">
        <v>44562</v>
      </c>
      <c r="J1651" s="60">
        <f>EFEITO!$J$1651*EFEITO!$Y$1651</f>
        <v>0</v>
      </c>
      <c r="K1651" s="60">
        <f ca="1">EFEITO!$L$1651*EFEITO!$Z$1651</f>
        <v>4420.2102408368974</v>
      </c>
      <c r="L1651" s="60">
        <f>EFEITO!$N$1651*EFEITO!$AA$1651</f>
        <v>1376.1390269487968</v>
      </c>
      <c r="M1651" s="60">
        <f>$J$1651-EFEITO!$K$1651*EFEITO!$Y$1651</f>
        <v>0</v>
      </c>
      <c r="N1651" s="60">
        <f ca="1">$K$1651-EFEITO!$M$1651*EFEITO!$Z$1651</f>
        <v>0</v>
      </c>
      <c r="O1651" s="60">
        <f>$L$1651-EFEITO!$O$1651*EFEITO!$AA$1651</f>
        <v>0</v>
      </c>
      <c r="P1651" s="18"/>
      <c r="Q1651" s="18"/>
      <c r="R1651" s="18"/>
      <c r="S1651" s="18"/>
      <c r="T1651" s="18"/>
      <c r="U1651" s="18"/>
      <c r="V1651" s="18"/>
      <c r="W1651" s="18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</row>
    <row r="1652" spans="1:36" ht="11.25" customHeight="1" x14ac:dyDescent="0.2">
      <c r="A1652" s="51" t="s">
        <v>28</v>
      </c>
      <c r="B1652" s="51" t="s">
        <v>37</v>
      </c>
      <c r="C1652" s="51" t="s">
        <v>33</v>
      </c>
      <c r="D1652" s="51" t="s">
        <v>43</v>
      </c>
      <c r="E1652" s="51" t="s">
        <v>25</v>
      </c>
      <c r="F1652" s="51" t="s">
        <v>25</v>
      </c>
      <c r="G1652" s="51" t="s">
        <v>25</v>
      </c>
      <c r="H1652" s="51" t="s">
        <v>36</v>
      </c>
      <c r="I1652" s="59">
        <v>44562</v>
      </c>
      <c r="J1652" s="60">
        <f>EFEITO!$J$1652*EFEITO!$Y$1652</f>
        <v>0</v>
      </c>
      <c r="K1652" s="60">
        <f ca="1">EFEITO!$L$1652*EFEITO!$Z$1652</f>
        <v>51.606151668600063</v>
      </c>
      <c r="L1652" s="60">
        <f>EFEITO!$N$1652*EFEITO!$AA$1652</f>
        <v>16.066484504672186</v>
      </c>
      <c r="M1652" s="60">
        <f>$J$1652-EFEITO!$K$1652*EFEITO!$Y$1652</f>
        <v>0</v>
      </c>
      <c r="N1652" s="60">
        <f ca="1">$K$1652-EFEITO!$M$1652*EFEITO!$Z$1652</f>
        <v>0</v>
      </c>
      <c r="O1652" s="60">
        <f>$L$1652-EFEITO!$O$1652*EFEITO!$AA$1652</f>
        <v>0</v>
      </c>
      <c r="P1652" s="18"/>
      <c r="Q1652" s="18"/>
      <c r="R1652" s="18"/>
      <c r="S1652" s="18"/>
      <c r="T1652" s="18"/>
      <c r="U1652" s="18"/>
      <c r="V1652" s="18"/>
      <c r="W1652" s="18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</row>
    <row r="1653" spans="1:36" ht="11.25" customHeight="1" x14ac:dyDescent="0.2">
      <c r="A1653" s="51" t="s">
        <v>21</v>
      </c>
      <c r="B1653" s="51" t="s">
        <v>37</v>
      </c>
      <c r="C1653" s="51" t="s">
        <v>33</v>
      </c>
      <c r="D1653" s="51" t="s">
        <v>43</v>
      </c>
      <c r="E1653" s="51" t="s">
        <v>25</v>
      </c>
      <c r="F1653" s="51" t="s">
        <v>25</v>
      </c>
      <c r="G1653" s="51" t="s">
        <v>25</v>
      </c>
      <c r="H1653" s="51" t="s">
        <v>36</v>
      </c>
      <c r="I1653" s="59">
        <v>44593</v>
      </c>
      <c r="J1653" s="60">
        <f>EFEITO!$J$1653*EFEITO!$Y$1653</f>
        <v>0</v>
      </c>
      <c r="K1653" s="60">
        <f ca="1">EFEITO!$L$1653*EFEITO!$Z$1653</f>
        <v>4565.7109184580895</v>
      </c>
      <c r="L1653" s="60">
        <f>EFEITO!$N$1653*EFEITO!$AA$1653</f>
        <v>1421.4375874272478</v>
      </c>
      <c r="M1653" s="60">
        <f>$J$1653-EFEITO!$K$1653*EFEITO!$Y$1653</f>
        <v>0</v>
      </c>
      <c r="N1653" s="60">
        <f ca="1">$K$1653-EFEITO!$M$1653*EFEITO!$Z$1653</f>
        <v>0</v>
      </c>
      <c r="O1653" s="60">
        <f>$L$1653-EFEITO!$O$1653*EFEITO!$AA$1653</f>
        <v>0</v>
      </c>
      <c r="P1653" s="18"/>
      <c r="Q1653" s="18"/>
      <c r="R1653" s="18"/>
      <c r="S1653" s="18"/>
      <c r="T1653" s="18"/>
      <c r="U1653" s="18"/>
      <c r="V1653" s="18"/>
      <c r="W1653" s="18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</row>
    <row r="1654" spans="1:36" ht="11.25" customHeight="1" x14ac:dyDescent="0.2">
      <c r="A1654" s="51" t="s">
        <v>56</v>
      </c>
      <c r="B1654" s="51" t="s">
        <v>37</v>
      </c>
      <c r="C1654" s="51" t="s">
        <v>33</v>
      </c>
      <c r="D1654" s="51" t="s">
        <v>43</v>
      </c>
      <c r="E1654" s="51" t="s">
        <v>25</v>
      </c>
      <c r="F1654" s="51" t="s">
        <v>25</v>
      </c>
      <c r="G1654" s="51" t="s">
        <v>25</v>
      </c>
      <c r="H1654" s="51" t="s">
        <v>36</v>
      </c>
      <c r="I1654" s="59">
        <v>44621</v>
      </c>
      <c r="J1654" s="60">
        <f>EFEITO!$J$1654*EFEITO!$Y$1654</f>
        <v>0</v>
      </c>
      <c r="K1654" s="60">
        <f ca="1">EFEITO!$L$1654*EFEITO!$Z$1654</f>
        <v>4565.7109184580895</v>
      </c>
      <c r="L1654" s="60">
        <f>EFEITO!$N$1654*EFEITO!$AA$1654</f>
        <v>1421.4375874272478</v>
      </c>
      <c r="M1654" s="60">
        <f>$J$1654-EFEITO!$K$1654*EFEITO!$Y$1654</f>
        <v>0</v>
      </c>
      <c r="N1654" s="60">
        <f ca="1">$K$1654-EFEITO!$M$1654*EFEITO!$Z$1654</f>
        <v>0</v>
      </c>
      <c r="O1654" s="60">
        <f>$L$1654-EFEITO!$O$1654*EFEITO!$AA$1654</f>
        <v>0</v>
      </c>
      <c r="P1654" s="18"/>
      <c r="Q1654" s="18"/>
      <c r="R1654" s="18"/>
      <c r="S1654" s="18"/>
      <c r="T1654" s="18"/>
      <c r="U1654" s="18"/>
      <c r="V1654" s="18"/>
      <c r="W1654" s="18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</row>
    <row r="1655" spans="1:36" ht="11.25" customHeight="1" x14ac:dyDescent="0.2">
      <c r="A1655" s="51" t="s">
        <v>21</v>
      </c>
      <c r="B1655" s="51" t="s">
        <v>37</v>
      </c>
      <c r="C1655" s="51" t="s">
        <v>33</v>
      </c>
      <c r="D1655" s="51" t="s">
        <v>43</v>
      </c>
      <c r="E1655" s="51" t="s">
        <v>25</v>
      </c>
      <c r="F1655" s="51" t="s">
        <v>25</v>
      </c>
      <c r="G1655" s="51" t="s">
        <v>25</v>
      </c>
      <c r="H1655" s="51" t="s">
        <v>34</v>
      </c>
      <c r="I1655" s="59">
        <v>44287</v>
      </c>
      <c r="J1655" s="60">
        <f>EFEITO!$J$1655*EFEITO!$Y$1655</f>
        <v>0</v>
      </c>
      <c r="K1655" s="60">
        <f ca="1">EFEITO!$L$1655*EFEITO!$Z$1655</f>
        <v>8087.6882950940217</v>
      </c>
      <c r="L1655" s="60">
        <f>EFEITO!$N$1655*EFEITO!$AA$1655</f>
        <v>2576.4062561960063</v>
      </c>
      <c r="M1655" s="60">
        <f>$J$1655-EFEITO!$K$1655*EFEITO!$Y$1655</f>
        <v>0</v>
      </c>
      <c r="N1655" s="60">
        <f ca="1">$K$1655-EFEITO!$M$1655*EFEITO!$Z$1655</f>
        <v>0</v>
      </c>
      <c r="O1655" s="60">
        <f>$L$1655-EFEITO!$O$1655*EFEITO!$AA$1655</f>
        <v>0</v>
      </c>
      <c r="P1655" s="18"/>
      <c r="Q1655" s="18"/>
      <c r="R1655" s="18"/>
      <c r="S1655" s="18"/>
      <c r="T1655" s="18"/>
      <c r="U1655" s="18"/>
      <c r="V1655" s="18"/>
      <c r="W1655" s="18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</row>
    <row r="1656" spans="1:36" ht="11.25" customHeight="1" x14ac:dyDescent="0.2">
      <c r="A1656" s="51" t="s">
        <v>21</v>
      </c>
      <c r="B1656" s="51" t="s">
        <v>37</v>
      </c>
      <c r="C1656" s="51" t="s">
        <v>33</v>
      </c>
      <c r="D1656" s="51" t="s">
        <v>43</v>
      </c>
      <c r="E1656" s="51" t="s">
        <v>25</v>
      </c>
      <c r="F1656" s="51" t="s">
        <v>25</v>
      </c>
      <c r="G1656" s="51" t="s">
        <v>25</v>
      </c>
      <c r="H1656" s="51" t="s">
        <v>34</v>
      </c>
      <c r="I1656" s="59">
        <v>44317</v>
      </c>
      <c r="J1656" s="60">
        <f>EFEITO!$J$1656*EFEITO!$Y$1656</f>
        <v>0</v>
      </c>
      <c r="K1656" s="60">
        <f ca="1">EFEITO!$L$1656*EFEITO!$Z$1656</f>
        <v>7856.1575047208553</v>
      </c>
      <c r="L1656" s="60">
        <f>EFEITO!$N$1656*EFEITO!$AA$1656</f>
        <v>2502.6500288224465</v>
      </c>
      <c r="M1656" s="60">
        <f>$J$1656-EFEITO!$K$1656*EFEITO!$Y$1656</f>
        <v>0</v>
      </c>
      <c r="N1656" s="60">
        <f ca="1">$K$1656-EFEITO!$M$1656*EFEITO!$Z$1656</f>
        <v>0</v>
      </c>
      <c r="O1656" s="60">
        <f>$L$1656-EFEITO!$O$1656*EFEITO!$AA$1656</f>
        <v>0</v>
      </c>
      <c r="P1656" s="18"/>
      <c r="Q1656" s="18"/>
      <c r="R1656" s="18"/>
      <c r="S1656" s="18"/>
      <c r="T1656" s="18"/>
      <c r="U1656" s="18"/>
      <c r="V1656" s="18"/>
      <c r="W1656" s="18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</row>
    <row r="1657" spans="1:36" ht="11.25" customHeight="1" x14ac:dyDescent="0.2">
      <c r="A1657" s="51" t="s">
        <v>21</v>
      </c>
      <c r="B1657" s="51" t="s">
        <v>37</v>
      </c>
      <c r="C1657" s="51" t="s">
        <v>33</v>
      </c>
      <c r="D1657" s="51" t="s">
        <v>43</v>
      </c>
      <c r="E1657" s="51" t="s">
        <v>25</v>
      </c>
      <c r="F1657" s="51" t="s">
        <v>25</v>
      </c>
      <c r="G1657" s="51" t="s">
        <v>25</v>
      </c>
      <c r="H1657" s="51" t="s">
        <v>34</v>
      </c>
      <c r="I1657" s="59">
        <v>44348</v>
      </c>
      <c r="J1657" s="60">
        <f>EFEITO!$J$1657*EFEITO!$Y$1657</f>
        <v>0</v>
      </c>
      <c r="K1657" s="60">
        <f ca="1">EFEITO!$L$1657*EFEITO!$Z$1657</f>
        <v>8155.785586380247</v>
      </c>
      <c r="L1657" s="60">
        <f>EFEITO!$N$1657*EFEITO!$AA$1657</f>
        <v>2598.0992642470533</v>
      </c>
      <c r="M1657" s="60">
        <f>$J$1657-EFEITO!$K$1657*EFEITO!$Y$1657</f>
        <v>0</v>
      </c>
      <c r="N1657" s="60">
        <f ca="1">$K$1657-EFEITO!$M$1657*EFEITO!$Z$1657</f>
        <v>0</v>
      </c>
      <c r="O1657" s="60">
        <f>$L$1657-EFEITO!$O$1657*EFEITO!$AA$1657</f>
        <v>0</v>
      </c>
      <c r="P1657" s="18"/>
      <c r="Q1657" s="18"/>
      <c r="R1657" s="18"/>
      <c r="S1657" s="18"/>
      <c r="T1657" s="18"/>
      <c r="U1657" s="18"/>
      <c r="V1657" s="18"/>
      <c r="W1657" s="18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</row>
    <row r="1658" spans="1:36" ht="11.25" customHeight="1" x14ac:dyDescent="0.2">
      <c r="A1658" s="51" t="s">
        <v>21</v>
      </c>
      <c r="B1658" s="51" t="s">
        <v>37</v>
      </c>
      <c r="C1658" s="51" t="s">
        <v>33</v>
      </c>
      <c r="D1658" s="51" t="s">
        <v>43</v>
      </c>
      <c r="E1658" s="51" t="s">
        <v>25</v>
      </c>
      <c r="F1658" s="51" t="s">
        <v>25</v>
      </c>
      <c r="G1658" s="51" t="s">
        <v>25</v>
      </c>
      <c r="H1658" s="51" t="s">
        <v>34</v>
      </c>
      <c r="I1658" s="59">
        <v>44378</v>
      </c>
      <c r="J1658" s="60">
        <f>EFEITO!$J$1658*EFEITO!$Y$1658</f>
        <v>0</v>
      </c>
      <c r="K1658" s="60">
        <f ca="1">EFEITO!$L$1658*EFEITO!$Z$1658</f>
        <v>8890.1013774167095</v>
      </c>
      <c r="L1658" s="60">
        <f>EFEITO!$N$1658*EFEITO!$AA$1658</f>
        <v>2832.022201064176</v>
      </c>
      <c r="M1658" s="60">
        <f>$J$1658-EFEITO!$K$1658*EFEITO!$Y$1658</f>
        <v>0</v>
      </c>
      <c r="N1658" s="60">
        <f ca="1">$K$1658-EFEITO!$M$1658*EFEITO!$Z$1658</f>
        <v>0</v>
      </c>
      <c r="O1658" s="60">
        <f>$L$1658-EFEITO!$O$1658*EFEITO!$AA$1658</f>
        <v>0</v>
      </c>
      <c r="P1658" s="18"/>
      <c r="Q1658" s="18"/>
      <c r="R1658" s="18"/>
      <c r="S1658" s="18"/>
      <c r="T1658" s="18"/>
      <c r="U1658" s="18"/>
      <c r="V1658" s="18"/>
      <c r="W1658" s="18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</row>
    <row r="1659" spans="1:36" ht="11.25" customHeight="1" x14ac:dyDescent="0.2">
      <c r="A1659" s="51" t="s">
        <v>21</v>
      </c>
      <c r="B1659" s="51" t="s">
        <v>37</v>
      </c>
      <c r="C1659" s="51" t="s">
        <v>33</v>
      </c>
      <c r="D1659" s="51" t="s">
        <v>43</v>
      </c>
      <c r="E1659" s="51" t="s">
        <v>25</v>
      </c>
      <c r="F1659" s="51" t="s">
        <v>25</v>
      </c>
      <c r="G1659" s="51" t="s">
        <v>25</v>
      </c>
      <c r="H1659" s="51" t="s">
        <v>34</v>
      </c>
      <c r="I1659" s="59">
        <v>44409</v>
      </c>
      <c r="J1659" s="60">
        <f>EFEITO!$J$1659*EFEITO!$Y$1659</f>
        <v>0</v>
      </c>
      <c r="K1659" s="60">
        <f ca="1">EFEITO!$L$1659*EFEITO!$Z$1659</f>
        <v>9686.8396854655457</v>
      </c>
      <c r="L1659" s="60">
        <f>EFEITO!$N$1659*EFEITO!$AA$1659</f>
        <v>3085.8303952614251</v>
      </c>
      <c r="M1659" s="60">
        <f>$J$1659-EFEITO!$K$1659*EFEITO!$Y$1659</f>
        <v>0</v>
      </c>
      <c r="N1659" s="60">
        <f ca="1">$K$1659-EFEITO!$M$1659*EFEITO!$Z$1659</f>
        <v>0</v>
      </c>
      <c r="O1659" s="60">
        <f>$L$1659-EFEITO!$O$1659*EFEITO!$AA$1659</f>
        <v>0</v>
      </c>
      <c r="P1659" s="18"/>
      <c r="Q1659" s="18"/>
      <c r="R1659" s="18"/>
      <c r="S1659" s="18"/>
      <c r="T1659" s="18"/>
      <c r="U1659" s="18"/>
      <c r="V1659" s="18"/>
      <c r="W1659" s="18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</row>
    <row r="1660" spans="1:36" ht="11.25" customHeight="1" x14ac:dyDescent="0.2">
      <c r="A1660" s="51" t="s">
        <v>21</v>
      </c>
      <c r="B1660" s="51" t="s">
        <v>37</v>
      </c>
      <c r="C1660" s="51" t="s">
        <v>33</v>
      </c>
      <c r="D1660" s="51" t="s">
        <v>43</v>
      </c>
      <c r="E1660" s="51" t="s">
        <v>25</v>
      </c>
      <c r="F1660" s="51" t="s">
        <v>25</v>
      </c>
      <c r="G1660" s="51" t="s">
        <v>25</v>
      </c>
      <c r="H1660" s="51" t="s">
        <v>34</v>
      </c>
      <c r="I1660" s="59">
        <v>44440</v>
      </c>
      <c r="J1660" s="60">
        <f>EFEITO!$J$1660*EFEITO!$Y$1660</f>
        <v>0</v>
      </c>
      <c r="K1660" s="60">
        <f ca="1">EFEITO!$L$1660*EFEITO!$Z$1660</f>
        <v>10113.582710859222</v>
      </c>
      <c r="L1660" s="60">
        <f>EFEITO!$N$1660*EFEITO!$AA$1660</f>
        <v>3221.7732457146521</v>
      </c>
      <c r="M1660" s="60">
        <f>$J$1660-EFEITO!$K$1660*EFEITO!$Y$1660</f>
        <v>0</v>
      </c>
      <c r="N1660" s="60">
        <f ca="1">$K$1660-EFEITO!$M$1660*EFEITO!$Z$1660</f>
        <v>0</v>
      </c>
      <c r="O1660" s="60">
        <f>$L$1660-EFEITO!$O$1660*EFEITO!$AA$1660</f>
        <v>0</v>
      </c>
      <c r="P1660" s="18"/>
      <c r="Q1660" s="18"/>
      <c r="R1660" s="18"/>
      <c r="S1660" s="18"/>
      <c r="T1660" s="18"/>
      <c r="U1660" s="18"/>
      <c r="V1660" s="18"/>
      <c r="W1660" s="18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</row>
    <row r="1661" spans="1:36" ht="11.25" customHeight="1" x14ac:dyDescent="0.2">
      <c r="A1661" s="51" t="s">
        <v>21</v>
      </c>
      <c r="B1661" s="51" t="s">
        <v>37</v>
      </c>
      <c r="C1661" s="51" t="s">
        <v>33</v>
      </c>
      <c r="D1661" s="51" t="s">
        <v>43</v>
      </c>
      <c r="E1661" s="51" t="s">
        <v>25</v>
      </c>
      <c r="F1661" s="51" t="s">
        <v>25</v>
      </c>
      <c r="G1661" s="51" t="s">
        <v>25</v>
      </c>
      <c r="H1661" s="51" t="s">
        <v>34</v>
      </c>
      <c r="I1661" s="59">
        <v>44470</v>
      </c>
      <c r="J1661" s="60">
        <f>EFEITO!$J$1661*EFEITO!$Y$1661</f>
        <v>0</v>
      </c>
      <c r="K1661" s="60">
        <f ca="1">EFEITO!$L$1661*EFEITO!$Z$1661</f>
        <v>11077.15938255931</v>
      </c>
      <c r="L1661" s="60">
        <f>EFEITO!$N$1661*EFEITO!$AA$1661</f>
        <v>3528.7293096369663</v>
      </c>
      <c r="M1661" s="60">
        <f>$J$1661-EFEITO!$K$1661*EFEITO!$Y$1661</f>
        <v>0</v>
      </c>
      <c r="N1661" s="60">
        <f ca="1">$K$1661-EFEITO!$M$1661*EFEITO!$Z$1661</f>
        <v>0</v>
      </c>
      <c r="O1661" s="60">
        <f>$L$1661-EFEITO!$O$1661*EFEITO!$AA$1661</f>
        <v>0</v>
      </c>
      <c r="P1661" s="18"/>
      <c r="Q1661" s="18"/>
      <c r="R1661" s="18"/>
      <c r="S1661" s="18"/>
      <c r="T1661" s="18"/>
      <c r="U1661" s="18"/>
      <c r="V1661" s="18"/>
      <c r="W1661" s="18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</row>
    <row r="1662" spans="1:36" ht="11.25" customHeight="1" x14ac:dyDescent="0.2">
      <c r="A1662" s="51" t="s">
        <v>28</v>
      </c>
      <c r="B1662" s="51" t="s">
        <v>37</v>
      </c>
      <c r="C1662" s="51" t="s">
        <v>33</v>
      </c>
      <c r="D1662" s="51" t="s">
        <v>43</v>
      </c>
      <c r="E1662" s="51" t="s">
        <v>25</v>
      </c>
      <c r="F1662" s="51" t="s">
        <v>25</v>
      </c>
      <c r="G1662" s="51" t="s">
        <v>25</v>
      </c>
      <c r="H1662" s="51" t="s">
        <v>34</v>
      </c>
      <c r="I1662" s="59">
        <v>44470</v>
      </c>
      <c r="J1662" s="60">
        <f>EFEITO!$J$1662*EFEITO!$Y$1662</f>
        <v>0</v>
      </c>
      <c r="K1662" s="60">
        <f ca="1">EFEITO!$L$1662*EFEITO!$Z$1662</f>
        <v>29.508826224030951</v>
      </c>
      <c r="L1662" s="60">
        <f>EFEITO!$N$1662*EFEITO!$AA$1662</f>
        <v>9.4003034887869994</v>
      </c>
      <c r="M1662" s="60">
        <f>$J$1662-EFEITO!$K$1662*EFEITO!$Y$1662</f>
        <v>0</v>
      </c>
      <c r="N1662" s="60">
        <f ca="1">$K$1662-EFEITO!$M$1662*EFEITO!$Z$1662</f>
        <v>0</v>
      </c>
      <c r="O1662" s="60">
        <f>$L$1662-EFEITO!$O$1662*EFEITO!$AA$1662</f>
        <v>0</v>
      </c>
      <c r="P1662" s="18"/>
      <c r="Q1662" s="18"/>
      <c r="R1662" s="18"/>
      <c r="S1662" s="18"/>
      <c r="T1662" s="18"/>
      <c r="U1662" s="18"/>
      <c r="V1662" s="18"/>
      <c r="W1662" s="18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</row>
    <row r="1663" spans="1:36" ht="11.25" customHeight="1" x14ac:dyDescent="0.2">
      <c r="A1663" s="51" t="s">
        <v>21</v>
      </c>
      <c r="B1663" s="51" t="s">
        <v>37</v>
      </c>
      <c r="C1663" s="51" t="s">
        <v>33</v>
      </c>
      <c r="D1663" s="51" t="s">
        <v>43</v>
      </c>
      <c r="E1663" s="51" t="s">
        <v>25</v>
      </c>
      <c r="F1663" s="51" t="s">
        <v>25</v>
      </c>
      <c r="G1663" s="51" t="s">
        <v>25</v>
      </c>
      <c r="H1663" s="51" t="s">
        <v>34</v>
      </c>
      <c r="I1663" s="59">
        <v>44501</v>
      </c>
      <c r="J1663" s="60">
        <f>EFEITO!$J$1663*EFEITO!$Y$1663</f>
        <v>0</v>
      </c>
      <c r="K1663" s="60">
        <f ca="1">EFEITO!$L$1663*EFEITO!$Z$1663</f>
        <v>9355.4328678725815</v>
      </c>
      <c r="L1663" s="60">
        <f>EFEITO!$N$1663*EFEITO!$AA$1663</f>
        <v>2980.2577560796635</v>
      </c>
      <c r="M1663" s="60">
        <f>$J$1663-EFEITO!$K$1663*EFEITO!$Y$1663</f>
        <v>0</v>
      </c>
      <c r="N1663" s="60">
        <f ca="1">$K$1663-EFEITO!$M$1663*EFEITO!$Z$1663</f>
        <v>0</v>
      </c>
      <c r="O1663" s="60">
        <f>$L$1663-EFEITO!$O$1663*EFEITO!$AA$1663</f>
        <v>0</v>
      </c>
      <c r="P1663" s="18"/>
      <c r="Q1663" s="18"/>
      <c r="R1663" s="18"/>
      <c r="S1663" s="18"/>
      <c r="T1663" s="18"/>
      <c r="U1663" s="18"/>
      <c r="V1663" s="18"/>
      <c r="W1663" s="18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</row>
    <row r="1664" spans="1:36" ht="11.25" customHeight="1" x14ac:dyDescent="0.2">
      <c r="A1664" s="51" t="s">
        <v>21</v>
      </c>
      <c r="B1664" s="51" t="s">
        <v>37</v>
      </c>
      <c r="C1664" s="51" t="s">
        <v>33</v>
      </c>
      <c r="D1664" s="51" t="s">
        <v>43</v>
      </c>
      <c r="E1664" s="51" t="s">
        <v>25</v>
      </c>
      <c r="F1664" s="51" t="s">
        <v>25</v>
      </c>
      <c r="G1664" s="51" t="s">
        <v>25</v>
      </c>
      <c r="H1664" s="51" t="s">
        <v>34</v>
      </c>
      <c r="I1664" s="59">
        <v>44531</v>
      </c>
      <c r="J1664" s="60">
        <f>EFEITO!$J$1664*EFEITO!$Y$1664</f>
        <v>0</v>
      </c>
      <c r="K1664" s="60">
        <f ca="1">EFEITO!$L$1664*EFEITO!$Z$1664</f>
        <v>10315.604675008359</v>
      </c>
      <c r="L1664" s="60">
        <f>EFEITO!$N$1664*EFEITO!$AA$1664</f>
        <v>3286.129169599425</v>
      </c>
      <c r="M1664" s="60">
        <f>$J$1664-EFEITO!$K$1664*EFEITO!$Y$1664</f>
        <v>0</v>
      </c>
      <c r="N1664" s="60">
        <f ca="1">$K$1664-EFEITO!$M$1664*EFEITO!$Z$1664</f>
        <v>0</v>
      </c>
      <c r="O1664" s="60">
        <f>$L$1664-EFEITO!$O$1664*EFEITO!$AA$1664</f>
        <v>0</v>
      </c>
      <c r="P1664" s="18"/>
      <c r="Q1664" s="18"/>
      <c r="R1664" s="18"/>
      <c r="S1664" s="18"/>
      <c r="T1664" s="18"/>
      <c r="U1664" s="18"/>
      <c r="V1664" s="18"/>
      <c r="W1664" s="18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</row>
    <row r="1665" spans="1:36" ht="11.25" customHeight="1" x14ac:dyDescent="0.2">
      <c r="A1665" s="51" t="s">
        <v>21</v>
      </c>
      <c r="B1665" s="51" t="s">
        <v>37</v>
      </c>
      <c r="C1665" s="51" t="s">
        <v>33</v>
      </c>
      <c r="D1665" s="51" t="s">
        <v>43</v>
      </c>
      <c r="E1665" s="51" t="s">
        <v>25</v>
      </c>
      <c r="F1665" s="51" t="s">
        <v>25</v>
      </c>
      <c r="G1665" s="51" t="s">
        <v>25</v>
      </c>
      <c r="H1665" s="51" t="s">
        <v>34</v>
      </c>
      <c r="I1665" s="59">
        <v>44562</v>
      </c>
      <c r="J1665" s="60">
        <f>EFEITO!$J$1665*EFEITO!$Y$1665</f>
        <v>0</v>
      </c>
      <c r="K1665" s="60">
        <f ca="1">EFEITO!$L$1665*EFEITO!$Z$1665</f>
        <v>10833.144088783671</v>
      </c>
      <c r="L1665" s="60">
        <f>EFEITO!$N$1665*EFEITO!$AA$1665</f>
        <v>3450.9960307873812</v>
      </c>
      <c r="M1665" s="60">
        <f>$J$1665-EFEITO!$K$1665*EFEITO!$Y$1665</f>
        <v>0</v>
      </c>
      <c r="N1665" s="60">
        <f ca="1">$K$1665-EFEITO!$M$1665*EFEITO!$Z$1665</f>
        <v>0</v>
      </c>
      <c r="O1665" s="60">
        <f>$L$1665-EFEITO!$O$1665*EFEITO!$AA$1665</f>
        <v>0</v>
      </c>
      <c r="P1665" s="18"/>
      <c r="Q1665" s="18"/>
      <c r="R1665" s="18"/>
      <c r="S1665" s="18"/>
      <c r="T1665" s="18"/>
      <c r="U1665" s="18"/>
      <c r="V1665" s="18"/>
      <c r="W1665" s="18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</row>
    <row r="1666" spans="1:36" ht="11.25" customHeight="1" x14ac:dyDescent="0.2">
      <c r="A1666" s="51" t="s">
        <v>28</v>
      </c>
      <c r="B1666" s="51" t="s">
        <v>37</v>
      </c>
      <c r="C1666" s="51" t="s">
        <v>33</v>
      </c>
      <c r="D1666" s="51" t="s">
        <v>43</v>
      </c>
      <c r="E1666" s="51" t="s">
        <v>25</v>
      </c>
      <c r="F1666" s="51" t="s">
        <v>25</v>
      </c>
      <c r="G1666" s="51" t="s">
        <v>25</v>
      </c>
      <c r="H1666" s="51" t="s">
        <v>34</v>
      </c>
      <c r="I1666" s="59">
        <v>44562</v>
      </c>
      <c r="J1666" s="60">
        <f>EFEITO!$J$1666*EFEITO!$Y$1666</f>
        <v>0</v>
      </c>
      <c r="K1666" s="60">
        <f ca="1">EFEITO!$L$1666*EFEITO!$Z$1666</f>
        <v>81.716749543470314</v>
      </c>
      <c r="L1666" s="60">
        <f>EFEITO!$N$1666*EFEITO!$AA$1666</f>
        <v>26.031609661256308</v>
      </c>
      <c r="M1666" s="60">
        <f>$J$1666-EFEITO!$K$1666*EFEITO!$Y$1666</f>
        <v>0</v>
      </c>
      <c r="N1666" s="60">
        <f ca="1">$K$1666-EFEITO!$M$1666*EFEITO!$Z$1666</f>
        <v>0</v>
      </c>
      <c r="O1666" s="60">
        <f>$L$1666-EFEITO!$O$1666*EFEITO!$AA$1666</f>
        <v>0</v>
      </c>
      <c r="P1666" s="18"/>
      <c r="Q1666" s="18"/>
      <c r="R1666" s="18"/>
      <c r="S1666" s="18"/>
      <c r="T1666" s="18"/>
      <c r="U1666" s="18"/>
      <c r="V1666" s="18"/>
      <c r="W1666" s="18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</row>
    <row r="1667" spans="1:36" ht="11.25" customHeight="1" x14ac:dyDescent="0.2">
      <c r="A1667" s="51" t="s">
        <v>21</v>
      </c>
      <c r="B1667" s="51" t="s">
        <v>37</v>
      </c>
      <c r="C1667" s="51" t="s">
        <v>33</v>
      </c>
      <c r="D1667" s="51" t="s">
        <v>43</v>
      </c>
      <c r="E1667" s="51" t="s">
        <v>25</v>
      </c>
      <c r="F1667" s="51" t="s">
        <v>25</v>
      </c>
      <c r="G1667" s="51" t="s">
        <v>25</v>
      </c>
      <c r="H1667" s="51" t="s">
        <v>34</v>
      </c>
      <c r="I1667" s="59">
        <v>44593</v>
      </c>
      <c r="J1667" s="60">
        <f>EFEITO!$J$1667*EFEITO!$Y$1667</f>
        <v>0</v>
      </c>
      <c r="K1667" s="60">
        <f ca="1">EFEITO!$L$1667*EFEITO!$Z$1667</f>
        <v>9936.5297535150385</v>
      </c>
      <c r="L1667" s="60">
        <f>EFEITO!$N$1667*EFEITO!$AA$1667</f>
        <v>3165.3714247819307</v>
      </c>
      <c r="M1667" s="60">
        <f>$J$1667-EFEITO!$K$1667*EFEITO!$Y$1667</f>
        <v>0</v>
      </c>
      <c r="N1667" s="60">
        <f ca="1">$K$1667-EFEITO!$M$1667*EFEITO!$Z$1667</f>
        <v>0</v>
      </c>
      <c r="O1667" s="60">
        <f>$L$1667-EFEITO!$O$1667*EFEITO!$AA$1667</f>
        <v>0</v>
      </c>
      <c r="P1667" s="18"/>
      <c r="Q1667" s="18"/>
      <c r="R1667" s="18"/>
      <c r="S1667" s="18"/>
      <c r="T1667" s="18"/>
      <c r="U1667" s="18"/>
      <c r="V1667" s="18"/>
      <c r="W1667" s="18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</row>
    <row r="1668" spans="1:36" ht="11.25" customHeight="1" x14ac:dyDescent="0.2">
      <c r="A1668" s="51" t="s">
        <v>56</v>
      </c>
      <c r="B1668" s="51" t="s">
        <v>37</v>
      </c>
      <c r="C1668" s="51" t="s">
        <v>33</v>
      </c>
      <c r="D1668" s="51" t="s">
        <v>43</v>
      </c>
      <c r="E1668" s="51" t="s">
        <v>25</v>
      </c>
      <c r="F1668" s="51" t="s">
        <v>25</v>
      </c>
      <c r="G1668" s="51" t="s">
        <v>25</v>
      </c>
      <c r="H1668" s="51" t="s">
        <v>34</v>
      </c>
      <c r="I1668" s="59">
        <v>44621</v>
      </c>
      <c r="J1668" s="60">
        <f>EFEITO!$J$1668*EFEITO!$Y$1668</f>
        <v>0</v>
      </c>
      <c r="K1668" s="60">
        <f ca="1">EFEITO!$L$1668*EFEITO!$Z$1668</f>
        <v>9936.5297535150385</v>
      </c>
      <c r="L1668" s="60">
        <f>EFEITO!$N$1668*EFEITO!$AA$1668</f>
        <v>3165.3714247819307</v>
      </c>
      <c r="M1668" s="60">
        <f>$J$1668-EFEITO!$K$1668*EFEITO!$Y$1668</f>
        <v>0</v>
      </c>
      <c r="N1668" s="60">
        <f ca="1">$K$1668-EFEITO!$M$1668*EFEITO!$Z$1668</f>
        <v>0</v>
      </c>
      <c r="O1668" s="60">
        <f>$L$1668-EFEITO!$O$1668*EFEITO!$AA$1668</f>
        <v>0</v>
      </c>
      <c r="P1668" s="18"/>
      <c r="Q1668" s="18"/>
      <c r="R1668" s="18"/>
      <c r="S1668" s="18"/>
      <c r="T1668" s="18"/>
      <c r="U1668" s="18"/>
      <c r="V1668" s="18"/>
      <c r="W1668" s="18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</row>
    <row r="1669" spans="1:36" ht="11.25" customHeight="1" x14ac:dyDescent="0.2">
      <c r="A1669" s="51" t="s">
        <v>21</v>
      </c>
      <c r="B1669" s="51" t="s">
        <v>37</v>
      </c>
      <c r="C1669" s="51" t="s">
        <v>33</v>
      </c>
      <c r="D1669" s="51" t="s">
        <v>38</v>
      </c>
      <c r="E1669" s="51" t="s">
        <v>25</v>
      </c>
      <c r="F1669" s="51" t="s">
        <v>25</v>
      </c>
      <c r="G1669" s="51" t="s">
        <v>25</v>
      </c>
      <c r="H1669" s="51" t="s">
        <v>35</v>
      </c>
      <c r="I1669" s="59">
        <v>44287</v>
      </c>
      <c r="J1669" s="60">
        <f>EFEITO!$J$1669*EFEITO!$Y$1669</f>
        <v>0</v>
      </c>
      <c r="K1669" s="60">
        <f ca="1">EFEITO!$L$1669*EFEITO!$Z$1669</f>
        <v>2827.2624225919621</v>
      </c>
      <c r="L1669" s="60">
        <f>EFEITO!$N$1669*EFEITO!$AA$1669</f>
        <v>2113.1890036006334</v>
      </c>
      <c r="M1669" s="60">
        <f>$J$1669-EFEITO!$K$1669*EFEITO!$Y$1669</f>
        <v>0</v>
      </c>
      <c r="N1669" s="60">
        <f ca="1">$K$1669-EFEITO!$M$1669*EFEITO!$Z$1669</f>
        <v>0</v>
      </c>
      <c r="O1669" s="60">
        <f>$L$1669-EFEITO!$O$1669*EFEITO!$AA$1669</f>
        <v>0</v>
      </c>
      <c r="P1669" s="18"/>
      <c r="Q1669" s="18"/>
      <c r="R1669" s="18"/>
      <c r="S1669" s="18"/>
      <c r="T1669" s="18"/>
      <c r="U1669" s="18"/>
      <c r="V1669" s="18"/>
      <c r="W1669" s="18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</row>
    <row r="1670" spans="1:36" ht="11.25" customHeight="1" x14ac:dyDescent="0.2">
      <c r="A1670" s="51" t="s">
        <v>21</v>
      </c>
      <c r="B1670" s="51" t="s">
        <v>37</v>
      </c>
      <c r="C1670" s="51" t="s">
        <v>33</v>
      </c>
      <c r="D1670" s="51" t="s">
        <v>38</v>
      </c>
      <c r="E1670" s="51" t="s">
        <v>25</v>
      </c>
      <c r="F1670" s="51" t="s">
        <v>25</v>
      </c>
      <c r="G1670" s="51" t="s">
        <v>25</v>
      </c>
      <c r="H1670" s="51" t="s">
        <v>35</v>
      </c>
      <c r="I1670" s="59">
        <v>44317</v>
      </c>
      <c r="J1670" s="60">
        <f>EFEITO!$J$1670*EFEITO!$Y$1670</f>
        <v>0</v>
      </c>
      <c r="K1670" s="60">
        <f ca="1">EFEITO!$L$1670*EFEITO!$Z$1670</f>
        <v>2784.2713150045029</v>
      </c>
      <c r="L1670" s="60">
        <f>EFEITO!$N$1670*EFEITO!$AA$1670</f>
        <v>2081.0560345912891</v>
      </c>
      <c r="M1670" s="60">
        <f>$J$1670-EFEITO!$K$1670*EFEITO!$Y$1670</f>
        <v>0</v>
      </c>
      <c r="N1670" s="60">
        <f ca="1">$K$1670-EFEITO!$M$1670*EFEITO!$Z$1670</f>
        <v>0</v>
      </c>
      <c r="O1670" s="60">
        <f>$L$1670-EFEITO!$O$1670*EFEITO!$AA$1670</f>
        <v>0</v>
      </c>
      <c r="P1670" s="18"/>
      <c r="Q1670" s="18"/>
      <c r="R1670" s="18"/>
      <c r="S1670" s="18"/>
      <c r="T1670" s="18"/>
      <c r="U1670" s="18"/>
      <c r="V1670" s="18"/>
      <c r="W1670" s="18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</row>
    <row r="1671" spans="1:36" ht="11.25" customHeight="1" x14ac:dyDescent="0.2">
      <c r="A1671" s="51" t="s">
        <v>21</v>
      </c>
      <c r="B1671" s="51" t="s">
        <v>37</v>
      </c>
      <c r="C1671" s="51" t="s">
        <v>33</v>
      </c>
      <c r="D1671" s="51" t="s">
        <v>38</v>
      </c>
      <c r="E1671" s="51" t="s">
        <v>25</v>
      </c>
      <c r="F1671" s="51" t="s">
        <v>25</v>
      </c>
      <c r="G1671" s="51" t="s">
        <v>25</v>
      </c>
      <c r="H1671" s="51" t="s">
        <v>35</v>
      </c>
      <c r="I1671" s="59">
        <v>44348</v>
      </c>
      <c r="J1671" s="60">
        <f>EFEITO!$J$1671*EFEITO!$Y$1671</f>
        <v>0</v>
      </c>
      <c r="K1671" s="60">
        <f ca="1">EFEITO!$L$1671*EFEITO!$Z$1671</f>
        <v>2783.67421628801</v>
      </c>
      <c r="L1671" s="60">
        <f>EFEITO!$N$1671*EFEITO!$AA$1671</f>
        <v>2080.6097433550481</v>
      </c>
      <c r="M1671" s="60">
        <f>$J$1671-EFEITO!$K$1671*EFEITO!$Y$1671</f>
        <v>0</v>
      </c>
      <c r="N1671" s="60">
        <f ca="1">$K$1671-EFEITO!$M$1671*EFEITO!$Z$1671</f>
        <v>0</v>
      </c>
      <c r="O1671" s="60">
        <f>$L$1671-EFEITO!$O$1671*EFEITO!$AA$1671</f>
        <v>0</v>
      </c>
      <c r="P1671" s="18"/>
      <c r="Q1671" s="18"/>
      <c r="R1671" s="18"/>
      <c r="S1671" s="18"/>
      <c r="T1671" s="18"/>
      <c r="U1671" s="18"/>
      <c r="V1671" s="18"/>
      <c r="W1671" s="18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</row>
    <row r="1672" spans="1:36" ht="11.25" customHeight="1" x14ac:dyDescent="0.2">
      <c r="A1672" s="51" t="s">
        <v>21</v>
      </c>
      <c r="B1672" s="51" t="s">
        <v>37</v>
      </c>
      <c r="C1672" s="51" t="s">
        <v>33</v>
      </c>
      <c r="D1672" s="51" t="s">
        <v>38</v>
      </c>
      <c r="E1672" s="51" t="s">
        <v>25</v>
      </c>
      <c r="F1672" s="51" t="s">
        <v>25</v>
      </c>
      <c r="G1672" s="51" t="s">
        <v>25</v>
      </c>
      <c r="H1672" s="51" t="s">
        <v>35</v>
      </c>
      <c r="I1672" s="59">
        <v>44378</v>
      </c>
      <c r="J1672" s="60">
        <f>EFEITO!$J$1672*EFEITO!$Y$1672</f>
        <v>0</v>
      </c>
      <c r="K1672" s="60">
        <f ca="1">EFEITO!$L$1672*EFEITO!$Z$1672</f>
        <v>212.26859371308183</v>
      </c>
      <c r="L1672" s="60">
        <f>EFEITO!$N$1672*EFEITO!$AA$1672</f>
        <v>158.65653448363784</v>
      </c>
      <c r="M1672" s="60">
        <f>$J$1672-EFEITO!$K$1672*EFEITO!$Y$1672</f>
        <v>0</v>
      </c>
      <c r="N1672" s="60">
        <f ca="1">$K$1672-EFEITO!$M$1672*EFEITO!$Z$1672</f>
        <v>0</v>
      </c>
      <c r="O1672" s="60">
        <f>$L$1672-EFEITO!$O$1672*EFEITO!$AA$1672</f>
        <v>0</v>
      </c>
      <c r="P1672" s="18"/>
      <c r="Q1672" s="18"/>
      <c r="R1672" s="18"/>
      <c r="S1672" s="18"/>
      <c r="T1672" s="18"/>
      <c r="U1672" s="18"/>
      <c r="V1672" s="18"/>
      <c r="W1672" s="18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</row>
    <row r="1673" spans="1:36" ht="11.25" customHeight="1" x14ac:dyDescent="0.2">
      <c r="A1673" s="51" t="s">
        <v>21</v>
      </c>
      <c r="B1673" s="51" t="s">
        <v>37</v>
      </c>
      <c r="C1673" s="51" t="s">
        <v>33</v>
      </c>
      <c r="D1673" s="51" t="s">
        <v>38</v>
      </c>
      <c r="E1673" s="51" t="s">
        <v>25</v>
      </c>
      <c r="F1673" s="51" t="s">
        <v>25</v>
      </c>
      <c r="G1673" s="51" t="s">
        <v>25</v>
      </c>
      <c r="H1673" s="51" t="s">
        <v>35</v>
      </c>
      <c r="I1673" s="59">
        <v>44409</v>
      </c>
      <c r="J1673" s="60">
        <f>EFEITO!$J$1673*EFEITO!$Y$1673</f>
        <v>0</v>
      </c>
      <c r="K1673" s="60">
        <f ca="1">EFEITO!$L$1673*EFEITO!$Z$1673</f>
        <v>200.62516874147821</v>
      </c>
      <c r="L1673" s="60">
        <f>EFEITO!$N$1673*EFEITO!$AA$1673</f>
        <v>149.95385537694042</v>
      </c>
      <c r="M1673" s="60">
        <f>$J$1673-EFEITO!$K$1673*EFEITO!$Y$1673</f>
        <v>0</v>
      </c>
      <c r="N1673" s="60">
        <f ca="1">$K$1673-EFEITO!$M$1673*EFEITO!$Z$1673</f>
        <v>0</v>
      </c>
      <c r="O1673" s="60">
        <f>$L$1673-EFEITO!$O$1673*EFEITO!$AA$1673</f>
        <v>0</v>
      </c>
      <c r="P1673" s="18"/>
      <c r="Q1673" s="18"/>
      <c r="R1673" s="18"/>
      <c r="S1673" s="18"/>
      <c r="T1673" s="18"/>
      <c r="U1673" s="18"/>
      <c r="V1673" s="18"/>
      <c r="W1673" s="18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</row>
    <row r="1674" spans="1:36" ht="11.25" customHeight="1" x14ac:dyDescent="0.2">
      <c r="A1674" s="51" t="s">
        <v>21</v>
      </c>
      <c r="B1674" s="51" t="s">
        <v>37</v>
      </c>
      <c r="C1674" s="51" t="s">
        <v>33</v>
      </c>
      <c r="D1674" s="51" t="s">
        <v>38</v>
      </c>
      <c r="E1674" s="51" t="s">
        <v>25</v>
      </c>
      <c r="F1674" s="51" t="s">
        <v>25</v>
      </c>
      <c r="G1674" s="51" t="s">
        <v>25</v>
      </c>
      <c r="H1674" s="51" t="s">
        <v>35</v>
      </c>
      <c r="I1674" s="59">
        <v>44440</v>
      </c>
      <c r="J1674" s="60">
        <f>EFEITO!$J$1674*EFEITO!$Y$1674</f>
        <v>0</v>
      </c>
      <c r="K1674" s="60">
        <f ca="1">EFEITO!$L$1674*EFEITO!$Z$1674</f>
        <v>2291.067775181702</v>
      </c>
      <c r="L1674" s="60">
        <f>EFEITO!$N$1674*EFEITO!$AA$1674</f>
        <v>1712.4194734563107</v>
      </c>
      <c r="M1674" s="60">
        <f>$J$1674-EFEITO!$K$1674*EFEITO!$Y$1674</f>
        <v>0</v>
      </c>
      <c r="N1674" s="60">
        <f ca="1">$K$1674-EFEITO!$M$1674*EFEITO!$Z$1674</f>
        <v>0</v>
      </c>
      <c r="O1674" s="60">
        <f>$L$1674-EFEITO!$O$1674*EFEITO!$AA$1674</f>
        <v>0</v>
      </c>
      <c r="P1674" s="18"/>
      <c r="Q1674" s="18"/>
      <c r="R1674" s="18"/>
      <c r="S1674" s="18"/>
      <c r="T1674" s="18"/>
      <c r="U1674" s="18"/>
      <c r="V1674" s="18"/>
      <c r="W1674" s="18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</row>
    <row r="1675" spans="1:36" ht="11.25" customHeight="1" x14ac:dyDescent="0.2">
      <c r="A1675" s="51" t="s">
        <v>21</v>
      </c>
      <c r="B1675" s="51" t="s">
        <v>37</v>
      </c>
      <c r="C1675" s="51" t="s">
        <v>33</v>
      </c>
      <c r="D1675" s="51" t="s">
        <v>38</v>
      </c>
      <c r="E1675" s="51" t="s">
        <v>25</v>
      </c>
      <c r="F1675" s="51" t="s">
        <v>25</v>
      </c>
      <c r="G1675" s="51" t="s">
        <v>25</v>
      </c>
      <c r="H1675" s="51" t="s">
        <v>35</v>
      </c>
      <c r="I1675" s="59">
        <v>44470</v>
      </c>
      <c r="J1675" s="60">
        <f>EFEITO!$J$1675*EFEITO!$Y$1675</f>
        <v>0</v>
      </c>
      <c r="K1675" s="60">
        <f ca="1">EFEITO!$L$1675*EFEITO!$Z$1675</f>
        <v>1441.3963016128821</v>
      </c>
      <c r="L1675" s="60">
        <f>EFEITO!$N$1675*EFEITO!$AA$1675</f>
        <v>1077.3470442855185</v>
      </c>
      <c r="M1675" s="60">
        <f>$J$1675-EFEITO!$K$1675*EFEITO!$Y$1675</f>
        <v>0</v>
      </c>
      <c r="N1675" s="60">
        <f ca="1">$K$1675-EFEITO!$M$1675*EFEITO!$Z$1675</f>
        <v>0</v>
      </c>
      <c r="O1675" s="60">
        <f>$L$1675-EFEITO!$O$1675*EFEITO!$AA$1675</f>
        <v>0</v>
      </c>
      <c r="P1675" s="18"/>
      <c r="Q1675" s="18"/>
      <c r="R1675" s="18"/>
      <c r="S1675" s="18"/>
      <c r="T1675" s="18"/>
      <c r="U1675" s="18"/>
      <c r="V1675" s="18"/>
      <c r="W1675" s="18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</row>
    <row r="1676" spans="1:36" ht="11.25" customHeight="1" x14ac:dyDescent="0.2">
      <c r="A1676" s="51" t="s">
        <v>21</v>
      </c>
      <c r="B1676" s="51" t="s">
        <v>37</v>
      </c>
      <c r="C1676" s="51" t="s">
        <v>33</v>
      </c>
      <c r="D1676" s="51" t="s">
        <v>38</v>
      </c>
      <c r="E1676" s="51" t="s">
        <v>25</v>
      </c>
      <c r="F1676" s="51" t="s">
        <v>25</v>
      </c>
      <c r="G1676" s="51" t="s">
        <v>25</v>
      </c>
      <c r="H1676" s="51" t="s">
        <v>35</v>
      </c>
      <c r="I1676" s="59">
        <v>44501</v>
      </c>
      <c r="J1676" s="60">
        <f>EFEITO!$J$1676*EFEITO!$Y$1676</f>
        <v>0</v>
      </c>
      <c r="K1676" s="60">
        <f ca="1">EFEITO!$L$1676*EFEITO!$Z$1676</f>
        <v>3219.2577299692848</v>
      </c>
      <c r="L1676" s="60">
        <f>EFEITO!$N$1676*EFEITO!$AA$1676</f>
        <v>2406.1792001927802</v>
      </c>
      <c r="M1676" s="60">
        <f>$J$1676-EFEITO!$K$1676*EFEITO!$Y$1676</f>
        <v>0</v>
      </c>
      <c r="N1676" s="60">
        <f ca="1">$K$1676-EFEITO!$M$1676*EFEITO!$Z$1676</f>
        <v>0</v>
      </c>
      <c r="O1676" s="60">
        <f>$L$1676-EFEITO!$O$1676*EFEITO!$AA$1676</f>
        <v>0</v>
      </c>
      <c r="P1676" s="18"/>
      <c r="Q1676" s="18"/>
      <c r="R1676" s="18"/>
      <c r="S1676" s="18"/>
      <c r="T1676" s="18"/>
      <c r="U1676" s="18"/>
      <c r="V1676" s="18"/>
      <c r="W1676" s="18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</row>
    <row r="1677" spans="1:36" ht="11.25" customHeight="1" x14ac:dyDescent="0.2">
      <c r="A1677" s="51" t="s">
        <v>21</v>
      </c>
      <c r="B1677" s="51" t="s">
        <v>37</v>
      </c>
      <c r="C1677" s="51" t="s">
        <v>33</v>
      </c>
      <c r="D1677" s="51" t="s">
        <v>38</v>
      </c>
      <c r="E1677" s="51" t="s">
        <v>25</v>
      </c>
      <c r="F1677" s="51" t="s">
        <v>25</v>
      </c>
      <c r="G1677" s="51" t="s">
        <v>25</v>
      </c>
      <c r="H1677" s="51" t="s">
        <v>35</v>
      </c>
      <c r="I1677" s="59">
        <v>44531</v>
      </c>
      <c r="J1677" s="60">
        <f>EFEITO!$J$1677*EFEITO!$Y$1677</f>
        <v>0</v>
      </c>
      <c r="K1677" s="60">
        <f ca="1">EFEITO!$L$1677*EFEITO!$Z$1677</f>
        <v>3487.0565043161687</v>
      </c>
      <c r="L1677" s="60">
        <f>EFEITO!$N$1677*EFEITO!$AA$1677</f>
        <v>2606.3408196468213</v>
      </c>
      <c r="M1677" s="60">
        <f>$J$1677-EFEITO!$K$1677*EFEITO!$Y$1677</f>
        <v>0</v>
      </c>
      <c r="N1677" s="60">
        <f ca="1">$K$1677-EFEITO!$M$1677*EFEITO!$Z$1677</f>
        <v>0</v>
      </c>
      <c r="O1677" s="60">
        <f>$L$1677-EFEITO!$O$1677*EFEITO!$AA$1677</f>
        <v>0</v>
      </c>
      <c r="P1677" s="18"/>
      <c r="Q1677" s="18"/>
      <c r="R1677" s="18"/>
      <c r="S1677" s="18"/>
      <c r="T1677" s="18"/>
      <c r="U1677" s="18"/>
      <c r="V1677" s="18"/>
      <c r="W1677" s="18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</row>
    <row r="1678" spans="1:36" ht="11.25" customHeight="1" x14ac:dyDescent="0.2">
      <c r="A1678" s="51" t="s">
        <v>21</v>
      </c>
      <c r="B1678" s="51" t="s">
        <v>37</v>
      </c>
      <c r="C1678" s="51" t="s">
        <v>33</v>
      </c>
      <c r="D1678" s="51" t="s">
        <v>38</v>
      </c>
      <c r="E1678" s="51" t="s">
        <v>25</v>
      </c>
      <c r="F1678" s="51" t="s">
        <v>25</v>
      </c>
      <c r="G1678" s="51" t="s">
        <v>25</v>
      </c>
      <c r="H1678" s="51" t="s">
        <v>35</v>
      </c>
      <c r="I1678" s="59">
        <v>44562</v>
      </c>
      <c r="J1678" s="60">
        <f>EFEITO!$J$1678*EFEITO!$Y$1678</f>
        <v>0</v>
      </c>
      <c r="K1678" s="60">
        <f ca="1">EFEITO!$L$1678*EFEITO!$Z$1678</f>
        <v>3302.5530009199879</v>
      </c>
      <c r="L1678" s="60">
        <f>EFEITO!$N$1678*EFEITO!$AA$1678</f>
        <v>2468.4368276483851</v>
      </c>
      <c r="M1678" s="60">
        <f>$J$1678-EFEITO!$K$1678*EFEITO!$Y$1678</f>
        <v>0</v>
      </c>
      <c r="N1678" s="60">
        <f ca="1">$K$1678-EFEITO!$M$1678*EFEITO!$Z$1678</f>
        <v>0</v>
      </c>
      <c r="O1678" s="60">
        <f>$L$1678-EFEITO!$O$1678*EFEITO!$AA$1678</f>
        <v>0</v>
      </c>
      <c r="P1678" s="18"/>
      <c r="Q1678" s="18"/>
      <c r="R1678" s="18"/>
      <c r="S1678" s="18"/>
      <c r="T1678" s="18"/>
      <c r="U1678" s="18"/>
      <c r="V1678" s="18"/>
      <c r="W1678" s="18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</row>
    <row r="1679" spans="1:36" ht="11.25" customHeight="1" x14ac:dyDescent="0.2">
      <c r="A1679" s="51" t="s">
        <v>21</v>
      </c>
      <c r="B1679" s="51" t="s">
        <v>37</v>
      </c>
      <c r="C1679" s="51" t="s">
        <v>33</v>
      </c>
      <c r="D1679" s="51" t="s">
        <v>38</v>
      </c>
      <c r="E1679" s="51" t="s">
        <v>25</v>
      </c>
      <c r="F1679" s="51" t="s">
        <v>25</v>
      </c>
      <c r="G1679" s="51" t="s">
        <v>25</v>
      </c>
      <c r="H1679" s="51" t="s">
        <v>35</v>
      </c>
      <c r="I1679" s="59">
        <v>44593</v>
      </c>
      <c r="J1679" s="60">
        <f>EFEITO!$J$1679*EFEITO!$Y$1679</f>
        <v>0</v>
      </c>
      <c r="K1679" s="60">
        <f ca="1">EFEITO!$L$1679*EFEITO!$Z$1679</f>
        <v>3605.2820501816827</v>
      </c>
      <c r="L1679" s="60">
        <f>EFEITO!$N$1679*EFEITO!$AA$1679</f>
        <v>2694.7064844225188</v>
      </c>
      <c r="M1679" s="60">
        <f>$J$1679-EFEITO!$K$1679*EFEITO!$Y$1679</f>
        <v>0</v>
      </c>
      <c r="N1679" s="60">
        <f ca="1">$K$1679-EFEITO!$M$1679*EFEITO!$Z$1679</f>
        <v>0</v>
      </c>
      <c r="O1679" s="60">
        <f>$L$1679-EFEITO!$O$1679*EFEITO!$AA$1679</f>
        <v>0</v>
      </c>
      <c r="P1679" s="18"/>
      <c r="Q1679" s="18"/>
      <c r="R1679" s="18"/>
      <c r="S1679" s="18"/>
      <c r="T1679" s="18"/>
      <c r="U1679" s="18"/>
      <c r="V1679" s="18"/>
      <c r="W1679" s="18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</row>
    <row r="1680" spans="1:36" ht="11.25" customHeight="1" x14ac:dyDescent="0.2">
      <c r="A1680" s="51" t="s">
        <v>56</v>
      </c>
      <c r="B1680" s="51" t="s">
        <v>37</v>
      </c>
      <c r="C1680" s="51" t="s">
        <v>33</v>
      </c>
      <c r="D1680" s="51" t="s">
        <v>38</v>
      </c>
      <c r="E1680" s="51" t="s">
        <v>25</v>
      </c>
      <c r="F1680" s="51" t="s">
        <v>25</v>
      </c>
      <c r="G1680" s="51" t="s">
        <v>25</v>
      </c>
      <c r="H1680" s="51" t="s">
        <v>35</v>
      </c>
      <c r="I1680" s="59">
        <v>44621</v>
      </c>
      <c r="J1680" s="60">
        <f>EFEITO!$J$1680*EFEITO!$Y$1680</f>
        <v>0</v>
      </c>
      <c r="K1680" s="60">
        <f ca="1">EFEITO!$L$1680*EFEITO!$Z$1680</f>
        <v>3605.2820501816827</v>
      </c>
      <c r="L1680" s="60">
        <f>EFEITO!$N$1680*EFEITO!$AA$1680</f>
        <v>2694.7064844225188</v>
      </c>
      <c r="M1680" s="60">
        <f>$J$1680-EFEITO!$K$1680*EFEITO!$Y$1680</f>
        <v>0</v>
      </c>
      <c r="N1680" s="60">
        <f ca="1">$K$1680-EFEITO!$M$1680*EFEITO!$Z$1680</f>
        <v>0</v>
      </c>
      <c r="O1680" s="60">
        <f>$L$1680-EFEITO!$O$1680*EFEITO!$AA$1680</f>
        <v>0</v>
      </c>
      <c r="P1680" s="18"/>
      <c r="Q1680" s="18"/>
      <c r="R1680" s="18"/>
      <c r="S1680" s="18"/>
      <c r="T1680" s="18"/>
      <c r="U1680" s="18"/>
      <c r="V1680" s="18"/>
      <c r="W1680" s="18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</row>
    <row r="1681" spans="1:36" ht="11.25" customHeight="1" x14ac:dyDescent="0.2">
      <c r="A1681" s="51" t="s">
        <v>21</v>
      </c>
      <c r="B1681" s="51" t="s">
        <v>37</v>
      </c>
      <c r="C1681" s="51" t="s">
        <v>33</v>
      </c>
      <c r="D1681" s="51" t="s">
        <v>38</v>
      </c>
      <c r="E1681" s="51" t="s">
        <v>25</v>
      </c>
      <c r="F1681" s="51" t="s">
        <v>25</v>
      </c>
      <c r="G1681" s="51" t="s">
        <v>25</v>
      </c>
      <c r="H1681" s="51" t="s">
        <v>36</v>
      </c>
      <c r="I1681" s="59">
        <v>44287</v>
      </c>
      <c r="J1681" s="60">
        <f>EFEITO!$J$1681*EFEITO!$Y$1681</f>
        <v>0</v>
      </c>
      <c r="K1681" s="60">
        <f ca="1">EFEITO!$L$1681*EFEITO!$Z$1681</f>
        <v>317.52118318319208</v>
      </c>
      <c r="L1681" s="60">
        <f>EFEITO!$N$1681*EFEITO!$AA$1681</f>
        <v>98.853508827358041</v>
      </c>
      <c r="M1681" s="60">
        <f>$J$1681-EFEITO!$K$1681*EFEITO!$Y$1681</f>
        <v>0</v>
      </c>
      <c r="N1681" s="60">
        <f ca="1">$K$1681-EFEITO!$M$1681*EFEITO!$Z$1681</f>
        <v>0</v>
      </c>
      <c r="O1681" s="60">
        <f>$L$1681-EFEITO!$O$1681*EFEITO!$AA$1681</f>
        <v>0</v>
      </c>
      <c r="P1681" s="18"/>
      <c r="Q1681" s="18"/>
      <c r="R1681" s="18"/>
      <c r="S1681" s="18"/>
      <c r="T1681" s="18"/>
      <c r="U1681" s="18"/>
      <c r="V1681" s="18"/>
      <c r="W1681" s="18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</row>
    <row r="1682" spans="1:36" ht="11.25" customHeight="1" x14ac:dyDescent="0.2">
      <c r="A1682" s="51" t="s">
        <v>21</v>
      </c>
      <c r="B1682" s="51" t="s">
        <v>37</v>
      </c>
      <c r="C1682" s="51" t="s">
        <v>33</v>
      </c>
      <c r="D1682" s="51" t="s">
        <v>38</v>
      </c>
      <c r="E1682" s="51" t="s">
        <v>25</v>
      </c>
      <c r="F1682" s="51" t="s">
        <v>25</v>
      </c>
      <c r="G1682" s="51" t="s">
        <v>25</v>
      </c>
      <c r="H1682" s="51" t="s">
        <v>36</v>
      </c>
      <c r="I1682" s="59">
        <v>44317</v>
      </c>
      <c r="J1682" s="60">
        <f>EFEITO!$J$1682*EFEITO!$Y$1682</f>
        <v>0</v>
      </c>
      <c r="K1682" s="60">
        <f ca="1">EFEITO!$L$1682*EFEITO!$Z$1682</f>
        <v>306.76990158556703</v>
      </c>
      <c r="L1682" s="60">
        <f>EFEITO!$N$1682*EFEITO!$AA$1682</f>
        <v>95.50632455555133</v>
      </c>
      <c r="M1682" s="60">
        <f>$J$1682-EFEITO!$K$1682*EFEITO!$Y$1682</f>
        <v>0</v>
      </c>
      <c r="N1682" s="60">
        <f ca="1">$K$1682-EFEITO!$M$1682*EFEITO!$Z$1682</f>
        <v>0</v>
      </c>
      <c r="O1682" s="60">
        <f>$L$1682-EFEITO!$O$1682*EFEITO!$AA$1682</f>
        <v>0</v>
      </c>
      <c r="P1682" s="18"/>
      <c r="Q1682" s="18"/>
      <c r="R1682" s="18"/>
      <c r="S1682" s="18"/>
      <c r="T1682" s="18"/>
      <c r="U1682" s="18"/>
      <c r="V1682" s="18"/>
      <c r="W1682" s="18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</row>
    <row r="1683" spans="1:36" ht="11.25" customHeight="1" x14ac:dyDescent="0.2">
      <c r="A1683" s="51" t="s">
        <v>21</v>
      </c>
      <c r="B1683" s="51" t="s">
        <v>37</v>
      </c>
      <c r="C1683" s="51" t="s">
        <v>33</v>
      </c>
      <c r="D1683" s="51" t="s">
        <v>38</v>
      </c>
      <c r="E1683" s="51" t="s">
        <v>25</v>
      </c>
      <c r="F1683" s="51" t="s">
        <v>25</v>
      </c>
      <c r="G1683" s="51" t="s">
        <v>25</v>
      </c>
      <c r="H1683" s="51" t="s">
        <v>36</v>
      </c>
      <c r="I1683" s="59">
        <v>44348</v>
      </c>
      <c r="J1683" s="60">
        <f>EFEITO!$J$1683*EFEITO!$Y$1683</f>
        <v>0</v>
      </c>
      <c r="K1683" s="60">
        <f ca="1">EFEITO!$L$1683*EFEITO!$Z$1683</f>
        <v>307.48665369207538</v>
      </c>
      <c r="L1683" s="60">
        <f>EFEITO!$N$1683*EFEITO!$AA$1683</f>
        <v>95.729470173671771</v>
      </c>
      <c r="M1683" s="60">
        <f>$J$1683-EFEITO!$K$1683*EFEITO!$Y$1683</f>
        <v>0</v>
      </c>
      <c r="N1683" s="60">
        <f ca="1">$K$1683-EFEITO!$M$1683*EFEITO!$Z$1683</f>
        <v>0</v>
      </c>
      <c r="O1683" s="60">
        <f>$L$1683-EFEITO!$O$1683*EFEITO!$AA$1683</f>
        <v>0</v>
      </c>
      <c r="P1683" s="18"/>
      <c r="Q1683" s="18"/>
      <c r="R1683" s="18"/>
      <c r="S1683" s="18"/>
      <c r="T1683" s="18"/>
      <c r="U1683" s="18"/>
      <c r="V1683" s="18"/>
      <c r="W1683" s="18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</row>
    <row r="1684" spans="1:36" ht="11.25" customHeight="1" x14ac:dyDescent="0.2">
      <c r="A1684" s="51" t="s">
        <v>21</v>
      </c>
      <c r="B1684" s="51" t="s">
        <v>37</v>
      </c>
      <c r="C1684" s="51" t="s">
        <v>33</v>
      </c>
      <c r="D1684" s="51" t="s">
        <v>38</v>
      </c>
      <c r="E1684" s="51" t="s">
        <v>25</v>
      </c>
      <c r="F1684" s="51" t="s">
        <v>25</v>
      </c>
      <c r="G1684" s="51" t="s">
        <v>25</v>
      </c>
      <c r="H1684" s="51" t="s">
        <v>36</v>
      </c>
      <c r="I1684" s="59">
        <v>44378</v>
      </c>
      <c r="J1684" s="60">
        <f>EFEITO!$J$1684*EFEITO!$Y$1684</f>
        <v>0</v>
      </c>
      <c r="K1684" s="60">
        <f ca="1">EFEITO!$L$1684*EFEITO!$Z$1684</f>
        <v>55.189912201141738</v>
      </c>
      <c r="L1684" s="60">
        <f>EFEITO!$N$1684*EFEITO!$AA$1684</f>
        <v>17.182212595274422</v>
      </c>
      <c r="M1684" s="60">
        <f>$J$1684-EFEITO!$K$1684*EFEITO!$Y$1684</f>
        <v>0</v>
      </c>
      <c r="N1684" s="60">
        <f ca="1">$K$1684-EFEITO!$M$1684*EFEITO!$Z$1684</f>
        <v>0</v>
      </c>
      <c r="O1684" s="60">
        <f>$L$1684-EFEITO!$O$1684*EFEITO!$AA$1684</f>
        <v>0</v>
      </c>
      <c r="P1684" s="18"/>
      <c r="Q1684" s="18"/>
      <c r="R1684" s="18"/>
      <c r="S1684" s="18"/>
      <c r="T1684" s="18"/>
      <c r="U1684" s="18"/>
      <c r="V1684" s="18"/>
      <c r="W1684" s="18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</row>
    <row r="1685" spans="1:36" ht="11.25" customHeight="1" x14ac:dyDescent="0.2">
      <c r="A1685" s="51" t="s">
        <v>21</v>
      </c>
      <c r="B1685" s="51" t="s">
        <v>37</v>
      </c>
      <c r="C1685" s="51" t="s">
        <v>33</v>
      </c>
      <c r="D1685" s="51" t="s">
        <v>38</v>
      </c>
      <c r="E1685" s="51" t="s">
        <v>25</v>
      </c>
      <c r="F1685" s="51" t="s">
        <v>25</v>
      </c>
      <c r="G1685" s="51" t="s">
        <v>25</v>
      </c>
      <c r="H1685" s="51" t="s">
        <v>36</v>
      </c>
      <c r="I1685" s="59">
        <v>44409</v>
      </c>
      <c r="J1685" s="60">
        <f>EFEITO!$J$1685*EFEITO!$Y$1685</f>
        <v>0</v>
      </c>
      <c r="K1685" s="60">
        <f ca="1">EFEITO!$L$1685*EFEITO!$Z$1685</f>
        <v>57.340168520666737</v>
      </c>
      <c r="L1685" s="60">
        <f>EFEITO!$N$1685*EFEITO!$AA$1685</f>
        <v>17.851649449635765</v>
      </c>
      <c r="M1685" s="60">
        <f>$J$1685-EFEITO!$K$1685*EFEITO!$Y$1685</f>
        <v>0</v>
      </c>
      <c r="N1685" s="60">
        <f ca="1">$K$1685-EFEITO!$M$1685*EFEITO!$Z$1685</f>
        <v>0</v>
      </c>
      <c r="O1685" s="60">
        <f>$L$1685-EFEITO!$O$1685*EFEITO!$AA$1685</f>
        <v>0</v>
      </c>
      <c r="P1685" s="18"/>
      <c r="Q1685" s="18"/>
      <c r="R1685" s="18"/>
      <c r="S1685" s="18"/>
      <c r="T1685" s="18"/>
      <c r="U1685" s="18"/>
      <c r="V1685" s="18"/>
      <c r="W1685" s="18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</row>
    <row r="1686" spans="1:36" ht="11.25" customHeight="1" x14ac:dyDescent="0.2">
      <c r="A1686" s="51" t="s">
        <v>21</v>
      </c>
      <c r="B1686" s="51" t="s">
        <v>37</v>
      </c>
      <c r="C1686" s="51" t="s">
        <v>33</v>
      </c>
      <c r="D1686" s="51" t="s">
        <v>38</v>
      </c>
      <c r="E1686" s="51" t="s">
        <v>25</v>
      </c>
      <c r="F1686" s="51" t="s">
        <v>25</v>
      </c>
      <c r="G1686" s="51" t="s">
        <v>25</v>
      </c>
      <c r="H1686" s="51" t="s">
        <v>36</v>
      </c>
      <c r="I1686" s="59">
        <v>44440</v>
      </c>
      <c r="J1686" s="60">
        <f>EFEITO!$J$1686*EFEITO!$Y$1686</f>
        <v>0</v>
      </c>
      <c r="K1686" s="60">
        <f ca="1">EFEITO!$L$1686*EFEITO!$Z$1686</f>
        <v>254.44699781045864</v>
      </c>
      <c r="L1686" s="60">
        <f>EFEITO!$N$1686*EFEITO!$AA$1686</f>
        <v>79.2166944327587</v>
      </c>
      <c r="M1686" s="60">
        <f>$J$1686-EFEITO!$K$1686*EFEITO!$Y$1686</f>
        <v>0</v>
      </c>
      <c r="N1686" s="60">
        <f ca="1">$K$1686-EFEITO!$M$1686*EFEITO!$Z$1686</f>
        <v>0</v>
      </c>
      <c r="O1686" s="60">
        <f>$L$1686-EFEITO!$O$1686*EFEITO!$AA$1686</f>
        <v>0</v>
      </c>
      <c r="P1686" s="18"/>
      <c r="Q1686" s="18"/>
      <c r="R1686" s="18"/>
      <c r="S1686" s="18"/>
      <c r="T1686" s="18"/>
      <c r="U1686" s="18"/>
      <c r="V1686" s="18"/>
      <c r="W1686" s="18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</row>
    <row r="1687" spans="1:36" ht="11.25" customHeight="1" x14ac:dyDescent="0.2">
      <c r="A1687" s="51" t="s">
        <v>21</v>
      </c>
      <c r="B1687" s="51" t="s">
        <v>37</v>
      </c>
      <c r="C1687" s="51" t="s">
        <v>33</v>
      </c>
      <c r="D1687" s="51" t="s">
        <v>38</v>
      </c>
      <c r="E1687" s="51" t="s">
        <v>25</v>
      </c>
      <c r="F1687" s="51" t="s">
        <v>25</v>
      </c>
      <c r="G1687" s="51" t="s">
        <v>25</v>
      </c>
      <c r="H1687" s="51" t="s">
        <v>36</v>
      </c>
      <c r="I1687" s="59">
        <v>44470</v>
      </c>
      <c r="J1687" s="60">
        <f>EFEITO!$J$1687*EFEITO!$Y$1687</f>
        <v>0</v>
      </c>
      <c r="K1687" s="60">
        <f ca="1">EFEITO!$L$1687*EFEITO!$Z$1687</f>
        <v>169.87024924247521</v>
      </c>
      <c r="L1687" s="60">
        <f>EFEITO!$N$1687*EFEITO!$AA$1687</f>
        <v>52.885511494545945</v>
      </c>
      <c r="M1687" s="60">
        <f>$J$1687-EFEITO!$K$1687*EFEITO!$Y$1687</f>
        <v>0</v>
      </c>
      <c r="N1687" s="60">
        <f ca="1">$K$1687-EFEITO!$M$1687*EFEITO!$Z$1687</f>
        <v>0</v>
      </c>
      <c r="O1687" s="60">
        <f>$L$1687-EFEITO!$O$1687*EFEITO!$AA$1687</f>
        <v>0</v>
      </c>
      <c r="P1687" s="18"/>
      <c r="Q1687" s="18"/>
      <c r="R1687" s="18"/>
      <c r="S1687" s="18"/>
      <c r="T1687" s="18"/>
      <c r="U1687" s="18"/>
      <c r="V1687" s="18"/>
      <c r="W1687" s="18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</row>
    <row r="1688" spans="1:36" ht="11.25" customHeight="1" x14ac:dyDescent="0.2">
      <c r="A1688" s="51" t="s">
        <v>21</v>
      </c>
      <c r="B1688" s="51" t="s">
        <v>37</v>
      </c>
      <c r="C1688" s="51" t="s">
        <v>33</v>
      </c>
      <c r="D1688" s="51" t="s">
        <v>38</v>
      </c>
      <c r="E1688" s="51" t="s">
        <v>25</v>
      </c>
      <c r="F1688" s="51" t="s">
        <v>25</v>
      </c>
      <c r="G1688" s="51" t="s">
        <v>25</v>
      </c>
      <c r="H1688" s="51" t="s">
        <v>36</v>
      </c>
      <c r="I1688" s="59">
        <v>44501</v>
      </c>
      <c r="J1688" s="60">
        <f>EFEITO!$J$1688*EFEITO!$Y$1688</f>
        <v>0</v>
      </c>
      <c r="K1688" s="60">
        <f ca="1">EFEITO!$L$1688*EFEITO!$Z$1688</f>
        <v>315.37092686366708</v>
      </c>
      <c r="L1688" s="60">
        <f>EFEITO!$N$1688*EFEITO!$AA$1688</f>
        <v>98.184071972996705</v>
      </c>
      <c r="M1688" s="60">
        <f>$J$1688-EFEITO!$K$1688*EFEITO!$Y$1688</f>
        <v>0</v>
      </c>
      <c r="N1688" s="60">
        <f ca="1">$K$1688-EFEITO!$M$1688*EFEITO!$Z$1688</f>
        <v>0</v>
      </c>
      <c r="O1688" s="60">
        <f>$L$1688-EFEITO!$O$1688*EFEITO!$AA$1688</f>
        <v>0</v>
      </c>
      <c r="P1688" s="18"/>
      <c r="Q1688" s="18"/>
      <c r="R1688" s="18"/>
      <c r="S1688" s="18"/>
      <c r="T1688" s="18"/>
      <c r="U1688" s="18"/>
      <c r="V1688" s="18"/>
      <c r="W1688" s="18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</row>
    <row r="1689" spans="1:36" ht="11.25" customHeight="1" x14ac:dyDescent="0.2">
      <c r="A1689" s="51" t="s">
        <v>21</v>
      </c>
      <c r="B1689" s="51" t="s">
        <v>37</v>
      </c>
      <c r="C1689" s="51" t="s">
        <v>33</v>
      </c>
      <c r="D1689" s="51" t="s">
        <v>38</v>
      </c>
      <c r="E1689" s="51" t="s">
        <v>25</v>
      </c>
      <c r="F1689" s="51" t="s">
        <v>25</v>
      </c>
      <c r="G1689" s="51" t="s">
        <v>25</v>
      </c>
      <c r="H1689" s="51" t="s">
        <v>36</v>
      </c>
      <c r="I1689" s="59">
        <v>44531</v>
      </c>
      <c r="J1689" s="60">
        <f>EFEITO!$J$1689*EFEITO!$Y$1689</f>
        <v>0</v>
      </c>
      <c r="K1689" s="60">
        <f ca="1">EFEITO!$L$1689*EFEITO!$Z$1689</f>
        <v>300.31913262699203</v>
      </c>
      <c r="L1689" s="60">
        <f>EFEITO!$N$1689*EFEITO!$AA$1689</f>
        <v>93.498013992467307</v>
      </c>
      <c r="M1689" s="60">
        <f>$J$1689-EFEITO!$K$1689*EFEITO!$Y$1689</f>
        <v>0</v>
      </c>
      <c r="N1689" s="60">
        <f ca="1">$K$1689-EFEITO!$M$1689*EFEITO!$Z$1689</f>
        <v>0</v>
      </c>
      <c r="O1689" s="60">
        <f>$L$1689-EFEITO!$O$1689*EFEITO!$AA$1689</f>
        <v>0</v>
      </c>
      <c r="P1689" s="18"/>
      <c r="Q1689" s="18"/>
      <c r="R1689" s="18"/>
      <c r="S1689" s="18"/>
      <c r="T1689" s="18"/>
      <c r="U1689" s="18"/>
      <c r="V1689" s="18"/>
      <c r="W1689" s="18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</row>
    <row r="1690" spans="1:36" ht="11.25" customHeight="1" x14ac:dyDescent="0.2">
      <c r="A1690" s="51" t="s">
        <v>21</v>
      </c>
      <c r="B1690" s="51" t="s">
        <v>37</v>
      </c>
      <c r="C1690" s="51" t="s">
        <v>33</v>
      </c>
      <c r="D1690" s="51" t="s">
        <v>38</v>
      </c>
      <c r="E1690" s="51" t="s">
        <v>25</v>
      </c>
      <c r="F1690" s="51" t="s">
        <v>25</v>
      </c>
      <c r="G1690" s="51" t="s">
        <v>25</v>
      </c>
      <c r="H1690" s="51" t="s">
        <v>36</v>
      </c>
      <c r="I1690" s="59">
        <v>44562</v>
      </c>
      <c r="J1690" s="60">
        <f>EFEITO!$J$1690*EFEITO!$Y$1690</f>
        <v>0</v>
      </c>
      <c r="K1690" s="60">
        <f ca="1">EFEITO!$L$1690*EFEITO!$Z$1690</f>
        <v>316.80443107668373</v>
      </c>
      <c r="L1690" s="60">
        <f>EFEITO!$N$1690*EFEITO!$AA$1690</f>
        <v>98.630363209237586</v>
      </c>
      <c r="M1690" s="60">
        <f>$J$1690-EFEITO!$K$1690*EFEITO!$Y$1690</f>
        <v>0</v>
      </c>
      <c r="N1690" s="60">
        <f ca="1">$K$1690-EFEITO!$M$1690*EFEITO!$Z$1690</f>
        <v>0</v>
      </c>
      <c r="O1690" s="60">
        <f>$L$1690-EFEITO!$O$1690*EFEITO!$AA$1690</f>
        <v>0</v>
      </c>
      <c r="P1690" s="18"/>
      <c r="Q1690" s="18"/>
      <c r="R1690" s="18"/>
      <c r="S1690" s="18"/>
      <c r="T1690" s="18"/>
      <c r="U1690" s="18"/>
      <c r="V1690" s="18"/>
      <c r="W1690" s="18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</row>
    <row r="1691" spans="1:36" ht="11.25" customHeight="1" x14ac:dyDescent="0.2">
      <c r="A1691" s="51" t="s">
        <v>21</v>
      </c>
      <c r="B1691" s="51" t="s">
        <v>37</v>
      </c>
      <c r="C1691" s="51" t="s">
        <v>33</v>
      </c>
      <c r="D1691" s="51" t="s">
        <v>38</v>
      </c>
      <c r="E1691" s="51" t="s">
        <v>25</v>
      </c>
      <c r="F1691" s="51" t="s">
        <v>25</v>
      </c>
      <c r="G1691" s="51" t="s">
        <v>25</v>
      </c>
      <c r="H1691" s="51" t="s">
        <v>36</v>
      </c>
      <c r="I1691" s="59">
        <v>44593</v>
      </c>
      <c r="J1691" s="60">
        <f>EFEITO!$J$1691*EFEITO!$Y$1691</f>
        <v>0</v>
      </c>
      <c r="K1691" s="60">
        <f ca="1">EFEITO!$L$1691*EFEITO!$Z$1691</f>
        <v>345.47451533701707</v>
      </c>
      <c r="L1691" s="60">
        <f>EFEITO!$N$1691*EFEITO!$AA$1691</f>
        <v>107.55618793405547</v>
      </c>
      <c r="M1691" s="60">
        <f>$J$1691-EFEITO!$K$1691*EFEITO!$Y$1691</f>
        <v>0</v>
      </c>
      <c r="N1691" s="60">
        <f ca="1">$K$1691-EFEITO!$M$1691*EFEITO!$Z$1691</f>
        <v>0</v>
      </c>
      <c r="O1691" s="60">
        <f>$L$1691-EFEITO!$O$1691*EFEITO!$AA$1691</f>
        <v>0</v>
      </c>
      <c r="P1691" s="18"/>
      <c r="Q1691" s="18"/>
      <c r="R1691" s="18"/>
      <c r="S1691" s="18"/>
      <c r="T1691" s="18"/>
      <c r="U1691" s="18"/>
      <c r="V1691" s="18"/>
      <c r="W1691" s="18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</row>
    <row r="1692" spans="1:36" ht="11.25" customHeight="1" x14ac:dyDescent="0.2">
      <c r="A1692" s="51" t="s">
        <v>56</v>
      </c>
      <c r="B1692" s="51" t="s">
        <v>37</v>
      </c>
      <c r="C1692" s="51" t="s">
        <v>33</v>
      </c>
      <c r="D1692" s="51" t="s">
        <v>38</v>
      </c>
      <c r="E1692" s="51" t="s">
        <v>25</v>
      </c>
      <c r="F1692" s="51" t="s">
        <v>25</v>
      </c>
      <c r="G1692" s="51" t="s">
        <v>25</v>
      </c>
      <c r="H1692" s="51" t="s">
        <v>36</v>
      </c>
      <c r="I1692" s="59">
        <v>44621</v>
      </c>
      <c r="J1692" s="60">
        <f>EFEITO!$J$1692*EFEITO!$Y$1692</f>
        <v>0</v>
      </c>
      <c r="K1692" s="60">
        <f ca="1">EFEITO!$L$1692*EFEITO!$Z$1692</f>
        <v>345.47451533701707</v>
      </c>
      <c r="L1692" s="60">
        <f>EFEITO!$N$1692*EFEITO!$AA$1692</f>
        <v>107.55618793405547</v>
      </c>
      <c r="M1692" s="60">
        <f>$J$1692-EFEITO!$K$1692*EFEITO!$Y$1692</f>
        <v>0</v>
      </c>
      <c r="N1692" s="60">
        <f ca="1">$K$1692-EFEITO!$M$1692*EFEITO!$Z$1692</f>
        <v>0</v>
      </c>
      <c r="O1692" s="60">
        <f>$L$1692-EFEITO!$O$1692*EFEITO!$AA$1692</f>
        <v>0</v>
      </c>
      <c r="P1692" s="18"/>
      <c r="Q1692" s="18"/>
      <c r="R1692" s="18"/>
      <c r="S1692" s="18"/>
      <c r="T1692" s="18"/>
      <c r="U1692" s="18"/>
      <c r="V1692" s="18"/>
      <c r="W1692" s="18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</row>
    <row r="1693" spans="1:36" ht="11.25" customHeight="1" x14ac:dyDescent="0.2">
      <c r="A1693" s="51" t="s">
        <v>21</v>
      </c>
      <c r="B1693" s="51" t="s">
        <v>37</v>
      </c>
      <c r="C1693" s="51" t="s">
        <v>33</v>
      </c>
      <c r="D1693" s="51" t="s">
        <v>38</v>
      </c>
      <c r="E1693" s="51" t="s">
        <v>25</v>
      </c>
      <c r="F1693" s="51" t="s">
        <v>25</v>
      </c>
      <c r="G1693" s="51" t="s">
        <v>25</v>
      </c>
      <c r="H1693" s="51" t="s">
        <v>34</v>
      </c>
      <c r="I1693" s="59">
        <v>44287</v>
      </c>
      <c r="J1693" s="60">
        <f>EFEITO!$J$1693*EFEITO!$Y$1693</f>
        <v>0</v>
      </c>
      <c r="K1693" s="60">
        <f ca="1">EFEITO!$L$1693*EFEITO!$Z$1693</f>
        <v>124.84503402474634</v>
      </c>
      <c r="L1693" s="60">
        <f>EFEITO!$N$1693*EFEITO!$AA$1693</f>
        <v>39.770514760252695</v>
      </c>
      <c r="M1693" s="60">
        <f>$J$1693-EFEITO!$K$1693*EFEITO!$Y$1693</f>
        <v>0</v>
      </c>
      <c r="N1693" s="60">
        <f ca="1">$K$1693-EFEITO!$M$1693*EFEITO!$Z$1693</f>
        <v>0</v>
      </c>
      <c r="O1693" s="60">
        <f>$L$1693-EFEITO!$O$1693*EFEITO!$AA$1693</f>
        <v>0</v>
      </c>
      <c r="P1693" s="18"/>
      <c r="Q1693" s="18"/>
      <c r="R1693" s="18"/>
      <c r="S1693" s="18"/>
      <c r="T1693" s="18"/>
      <c r="U1693" s="18"/>
      <c r="V1693" s="18"/>
      <c r="W1693" s="18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</row>
    <row r="1694" spans="1:36" ht="11.25" customHeight="1" x14ac:dyDescent="0.2">
      <c r="A1694" s="51" t="s">
        <v>21</v>
      </c>
      <c r="B1694" s="51" t="s">
        <v>37</v>
      </c>
      <c r="C1694" s="51" t="s">
        <v>33</v>
      </c>
      <c r="D1694" s="51" t="s">
        <v>38</v>
      </c>
      <c r="E1694" s="51" t="s">
        <v>25</v>
      </c>
      <c r="F1694" s="51" t="s">
        <v>25</v>
      </c>
      <c r="G1694" s="51" t="s">
        <v>25</v>
      </c>
      <c r="H1694" s="51" t="s">
        <v>34</v>
      </c>
      <c r="I1694" s="59">
        <v>44317</v>
      </c>
      <c r="J1694" s="60">
        <f>EFEITO!$J$1694*EFEITO!$Y$1694</f>
        <v>0</v>
      </c>
      <c r="K1694" s="60">
        <f ca="1">EFEITO!$L$1694*EFEITO!$Z$1694</f>
        <v>115.76539518658295</v>
      </c>
      <c r="L1694" s="60">
        <f>EFEITO!$N$1694*EFEITO!$AA$1694</f>
        <v>36.87811368677977</v>
      </c>
      <c r="M1694" s="60">
        <f>$J$1694-EFEITO!$K$1694*EFEITO!$Y$1694</f>
        <v>0</v>
      </c>
      <c r="N1694" s="60">
        <f ca="1">$K$1694-EFEITO!$M$1694*EFEITO!$Z$1694</f>
        <v>0</v>
      </c>
      <c r="O1694" s="60">
        <f>$L$1694-EFEITO!$O$1694*EFEITO!$AA$1694</f>
        <v>0</v>
      </c>
      <c r="P1694" s="18"/>
      <c r="Q1694" s="18"/>
      <c r="R1694" s="18"/>
      <c r="S1694" s="18"/>
      <c r="T1694" s="18"/>
      <c r="U1694" s="18"/>
      <c r="V1694" s="18"/>
      <c r="W1694" s="18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</row>
    <row r="1695" spans="1:36" ht="11.25" customHeight="1" x14ac:dyDescent="0.2">
      <c r="A1695" s="51" t="s">
        <v>21</v>
      </c>
      <c r="B1695" s="51" t="s">
        <v>37</v>
      </c>
      <c r="C1695" s="51" t="s">
        <v>33</v>
      </c>
      <c r="D1695" s="51" t="s">
        <v>38</v>
      </c>
      <c r="E1695" s="51" t="s">
        <v>25</v>
      </c>
      <c r="F1695" s="51" t="s">
        <v>25</v>
      </c>
      <c r="G1695" s="51" t="s">
        <v>25</v>
      </c>
      <c r="H1695" s="51" t="s">
        <v>34</v>
      </c>
      <c r="I1695" s="59">
        <v>44348</v>
      </c>
      <c r="J1695" s="60">
        <f>EFEITO!$J$1695*EFEITO!$Y$1695</f>
        <v>0</v>
      </c>
      <c r="K1695" s="60">
        <f ca="1">EFEITO!$L$1695*EFEITO!$Z$1695</f>
        <v>107.82071120319002</v>
      </c>
      <c r="L1695" s="60">
        <f>EFEITO!$N$1695*EFEITO!$AA$1695</f>
        <v>34.347262747490966</v>
      </c>
      <c r="M1695" s="60">
        <f>$J$1695-EFEITO!$K$1695*EFEITO!$Y$1695</f>
        <v>0</v>
      </c>
      <c r="N1695" s="60">
        <f ca="1">$K$1695-EFEITO!$M$1695*EFEITO!$Z$1695</f>
        <v>0</v>
      </c>
      <c r="O1695" s="60">
        <f>$L$1695-EFEITO!$O$1695*EFEITO!$AA$1695</f>
        <v>0</v>
      </c>
      <c r="P1695" s="18"/>
      <c r="Q1695" s="18"/>
      <c r="R1695" s="18"/>
      <c r="S1695" s="18"/>
      <c r="T1695" s="18"/>
      <c r="U1695" s="18"/>
      <c r="V1695" s="18"/>
      <c r="W1695" s="18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</row>
    <row r="1696" spans="1:36" ht="11.25" customHeight="1" x14ac:dyDescent="0.2">
      <c r="A1696" s="51" t="s">
        <v>21</v>
      </c>
      <c r="B1696" s="51" t="s">
        <v>37</v>
      </c>
      <c r="C1696" s="51" t="s">
        <v>33</v>
      </c>
      <c r="D1696" s="51" t="s">
        <v>38</v>
      </c>
      <c r="E1696" s="51" t="s">
        <v>25</v>
      </c>
      <c r="F1696" s="51" t="s">
        <v>25</v>
      </c>
      <c r="G1696" s="51" t="s">
        <v>25</v>
      </c>
      <c r="H1696" s="51" t="s">
        <v>34</v>
      </c>
      <c r="I1696" s="59">
        <v>44378</v>
      </c>
      <c r="J1696" s="60">
        <f>EFEITO!$J$1696*EFEITO!$Y$1696</f>
        <v>0</v>
      </c>
      <c r="K1696" s="60">
        <f ca="1">EFEITO!$L$1696*EFEITO!$Z$1696</f>
        <v>98.741072365026639</v>
      </c>
      <c r="L1696" s="60">
        <f>EFEITO!$N$1696*EFEITO!$AA$1696</f>
        <v>31.454861674018037</v>
      </c>
      <c r="M1696" s="60">
        <f>$J$1696-EFEITO!$K$1696*EFEITO!$Y$1696</f>
        <v>0</v>
      </c>
      <c r="N1696" s="60">
        <f ca="1">$K$1696-EFEITO!$M$1696*EFEITO!$Z$1696</f>
        <v>0</v>
      </c>
      <c r="O1696" s="60">
        <f>$L$1696-EFEITO!$O$1696*EFEITO!$AA$1696</f>
        <v>0</v>
      </c>
      <c r="P1696" s="18"/>
      <c r="Q1696" s="18"/>
      <c r="R1696" s="18"/>
      <c r="S1696" s="18"/>
      <c r="T1696" s="18"/>
      <c r="U1696" s="18"/>
      <c r="V1696" s="18"/>
      <c r="W1696" s="18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</row>
    <row r="1697" spans="1:36" ht="11.25" customHeight="1" x14ac:dyDescent="0.2">
      <c r="A1697" s="51" t="s">
        <v>21</v>
      </c>
      <c r="B1697" s="51" t="s">
        <v>37</v>
      </c>
      <c r="C1697" s="51" t="s">
        <v>33</v>
      </c>
      <c r="D1697" s="51" t="s">
        <v>38</v>
      </c>
      <c r="E1697" s="51" t="s">
        <v>25</v>
      </c>
      <c r="F1697" s="51" t="s">
        <v>25</v>
      </c>
      <c r="G1697" s="51" t="s">
        <v>25</v>
      </c>
      <c r="H1697" s="51" t="s">
        <v>34</v>
      </c>
      <c r="I1697" s="59">
        <v>44409</v>
      </c>
      <c r="J1697" s="60">
        <f>EFEITO!$J$1697*EFEITO!$Y$1697</f>
        <v>0</v>
      </c>
      <c r="K1697" s="60">
        <f ca="1">EFEITO!$L$1697*EFEITO!$Z$1697</f>
        <v>108.95566605796044</v>
      </c>
      <c r="L1697" s="60">
        <f>EFEITO!$N$1697*EFEITO!$AA$1697</f>
        <v>34.70881288167508</v>
      </c>
      <c r="M1697" s="60">
        <f>$J$1697-EFEITO!$K$1697*EFEITO!$Y$1697</f>
        <v>0</v>
      </c>
      <c r="N1697" s="60">
        <f ca="1">$K$1697-EFEITO!$M$1697*EFEITO!$Z$1697</f>
        <v>0</v>
      </c>
      <c r="O1697" s="60">
        <f>$L$1697-EFEITO!$O$1697*EFEITO!$AA$1697</f>
        <v>0</v>
      </c>
      <c r="P1697" s="18"/>
      <c r="Q1697" s="18"/>
      <c r="R1697" s="18"/>
      <c r="S1697" s="18"/>
      <c r="T1697" s="18"/>
      <c r="U1697" s="18"/>
      <c r="V1697" s="18"/>
      <c r="W1697" s="18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</row>
    <row r="1698" spans="1:36" ht="11.25" customHeight="1" x14ac:dyDescent="0.2">
      <c r="A1698" s="51" t="s">
        <v>21</v>
      </c>
      <c r="B1698" s="51" t="s">
        <v>37</v>
      </c>
      <c r="C1698" s="51" t="s">
        <v>33</v>
      </c>
      <c r="D1698" s="51" t="s">
        <v>38</v>
      </c>
      <c r="E1698" s="51" t="s">
        <v>25</v>
      </c>
      <c r="F1698" s="51" t="s">
        <v>25</v>
      </c>
      <c r="G1698" s="51" t="s">
        <v>25</v>
      </c>
      <c r="H1698" s="51" t="s">
        <v>34</v>
      </c>
      <c r="I1698" s="59">
        <v>44440</v>
      </c>
      <c r="J1698" s="60">
        <f>EFEITO!$J$1698*EFEITO!$Y$1698</f>
        <v>0</v>
      </c>
      <c r="K1698" s="60">
        <f ca="1">EFEITO!$L$1698*EFEITO!$Z$1698</f>
        <v>103.28089178410832</v>
      </c>
      <c r="L1698" s="60">
        <f>EFEITO!$N$1698*EFEITO!$AA$1698</f>
        <v>32.901062210754503</v>
      </c>
      <c r="M1698" s="60">
        <f>$J$1698-EFEITO!$K$1698*EFEITO!$Y$1698</f>
        <v>0</v>
      </c>
      <c r="N1698" s="60">
        <f ca="1">$K$1698-EFEITO!$M$1698*EFEITO!$Z$1698</f>
        <v>0</v>
      </c>
      <c r="O1698" s="60">
        <f>$L$1698-EFEITO!$O$1698*EFEITO!$AA$1698</f>
        <v>0</v>
      </c>
      <c r="P1698" s="18"/>
      <c r="Q1698" s="18"/>
      <c r="R1698" s="18"/>
      <c r="S1698" s="18"/>
      <c r="T1698" s="18"/>
      <c r="U1698" s="18"/>
      <c r="V1698" s="18"/>
      <c r="W1698" s="18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</row>
    <row r="1699" spans="1:36" ht="11.25" customHeight="1" x14ac:dyDescent="0.2">
      <c r="A1699" s="51" t="s">
        <v>21</v>
      </c>
      <c r="B1699" s="51" t="s">
        <v>37</v>
      </c>
      <c r="C1699" s="51" t="s">
        <v>33</v>
      </c>
      <c r="D1699" s="51" t="s">
        <v>38</v>
      </c>
      <c r="E1699" s="51" t="s">
        <v>25</v>
      </c>
      <c r="F1699" s="51" t="s">
        <v>25</v>
      </c>
      <c r="G1699" s="51" t="s">
        <v>25</v>
      </c>
      <c r="H1699" s="51" t="s">
        <v>34</v>
      </c>
      <c r="I1699" s="59">
        <v>44470</v>
      </c>
      <c r="J1699" s="60">
        <f>EFEITO!$J$1699*EFEITO!$Y$1699</f>
        <v>0</v>
      </c>
      <c r="K1699" s="60">
        <f ca="1">EFEITO!$L$1699*EFEITO!$Z$1699</f>
        <v>119.17025975089422</v>
      </c>
      <c r="L1699" s="60">
        <f>EFEITO!$N$1699*EFEITO!$AA$1699</f>
        <v>37.962764089332111</v>
      </c>
      <c r="M1699" s="60">
        <f>$J$1699-EFEITO!$K$1699*EFEITO!$Y$1699</f>
        <v>0</v>
      </c>
      <c r="N1699" s="60">
        <f ca="1">$K$1699-EFEITO!$M$1699*EFEITO!$Z$1699</f>
        <v>0</v>
      </c>
      <c r="O1699" s="60">
        <f>$L$1699-EFEITO!$O$1699*EFEITO!$AA$1699</f>
        <v>0</v>
      </c>
      <c r="P1699" s="18"/>
      <c r="Q1699" s="18"/>
      <c r="R1699" s="18"/>
      <c r="S1699" s="18"/>
      <c r="T1699" s="18"/>
      <c r="U1699" s="18"/>
      <c r="V1699" s="18"/>
      <c r="W1699" s="18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</row>
    <row r="1700" spans="1:36" ht="11.25" customHeight="1" x14ac:dyDescent="0.2">
      <c r="A1700" s="51" t="s">
        <v>21</v>
      </c>
      <c r="B1700" s="51" t="s">
        <v>37</v>
      </c>
      <c r="C1700" s="51" t="s">
        <v>33</v>
      </c>
      <c r="D1700" s="51" t="s">
        <v>38</v>
      </c>
      <c r="E1700" s="51" t="s">
        <v>25</v>
      </c>
      <c r="F1700" s="51" t="s">
        <v>25</v>
      </c>
      <c r="G1700" s="51" t="s">
        <v>25</v>
      </c>
      <c r="H1700" s="51" t="s">
        <v>34</v>
      </c>
      <c r="I1700" s="59">
        <v>44501</v>
      </c>
      <c r="J1700" s="60">
        <f>EFEITO!$J$1700*EFEITO!$Y$1700</f>
        <v>0</v>
      </c>
      <c r="K1700" s="60">
        <f ca="1">EFEITO!$L$1700*EFEITO!$Z$1700</f>
        <v>116.90035004135338</v>
      </c>
      <c r="L1700" s="60">
        <f>EFEITO!$N$1700*EFEITO!$AA$1700</f>
        <v>37.239663820963884</v>
      </c>
      <c r="M1700" s="60">
        <f>$J$1700-EFEITO!$K$1700*EFEITO!$Y$1700</f>
        <v>0</v>
      </c>
      <c r="N1700" s="60">
        <f ca="1">$K$1700-EFEITO!$M$1700*EFEITO!$Z$1700</f>
        <v>0</v>
      </c>
      <c r="O1700" s="60">
        <f>$L$1700-EFEITO!$O$1700*EFEITO!$AA$1700</f>
        <v>0</v>
      </c>
      <c r="P1700" s="18"/>
      <c r="Q1700" s="18"/>
      <c r="R1700" s="18"/>
      <c r="S1700" s="18"/>
      <c r="T1700" s="18"/>
      <c r="U1700" s="18"/>
      <c r="V1700" s="18"/>
      <c r="W1700" s="18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</row>
    <row r="1701" spans="1:36" ht="11.25" customHeight="1" x14ac:dyDescent="0.2">
      <c r="A1701" s="51" t="s">
        <v>21</v>
      </c>
      <c r="B1701" s="51" t="s">
        <v>37</v>
      </c>
      <c r="C1701" s="51" t="s">
        <v>33</v>
      </c>
      <c r="D1701" s="51" t="s">
        <v>38</v>
      </c>
      <c r="E1701" s="51" t="s">
        <v>25</v>
      </c>
      <c r="F1701" s="51" t="s">
        <v>25</v>
      </c>
      <c r="G1701" s="51" t="s">
        <v>25</v>
      </c>
      <c r="H1701" s="51" t="s">
        <v>34</v>
      </c>
      <c r="I1701" s="59">
        <v>44531</v>
      </c>
      <c r="J1701" s="60">
        <f>EFEITO!$J$1701*EFEITO!$Y$1701</f>
        <v>0</v>
      </c>
      <c r="K1701" s="60">
        <f ca="1">EFEITO!$L$1701*EFEITO!$Z$1701</f>
        <v>124.84503402474634</v>
      </c>
      <c r="L1701" s="60">
        <f>EFEITO!$N$1701*EFEITO!$AA$1701</f>
        <v>39.770514760252695</v>
      </c>
      <c r="M1701" s="60">
        <f>$J$1701-EFEITO!$K$1701*EFEITO!$Y$1701</f>
        <v>0</v>
      </c>
      <c r="N1701" s="60">
        <f ca="1">$K$1701-EFEITO!$M$1701*EFEITO!$Z$1701</f>
        <v>0</v>
      </c>
      <c r="O1701" s="60">
        <f>$L$1701-EFEITO!$O$1701*EFEITO!$AA$1701</f>
        <v>0</v>
      </c>
      <c r="P1701" s="18"/>
      <c r="Q1701" s="18"/>
      <c r="R1701" s="18"/>
      <c r="S1701" s="18"/>
      <c r="T1701" s="18"/>
      <c r="U1701" s="18"/>
      <c r="V1701" s="18"/>
      <c r="W1701" s="18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</row>
    <row r="1702" spans="1:36" ht="11.25" customHeight="1" x14ac:dyDescent="0.2">
      <c r="A1702" s="51" t="s">
        <v>21</v>
      </c>
      <c r="B1702" s="51" t="s">
        <v>37</v>
      </c>
      <c r="C1702" s="51" t="s">
        <v>33</v>
      </c>
      <c r="D1702" s="51" t="s">
        <v>38</v>
      </c>
      <c r="E1702" s="51" t="s">
        <v>25</v>
      </c>
      <c r="F1702" s="51" t="s">
        <v>25</v>
      </c>
      <c r="G1702" s="51" t="s">
        <v>25</v>
      </c>
      <c r="H1702" s="51" t="s">
        <v>34</v>
      </c>
      <c r="I1702" s="59">
        <v>44562</v>
      </c>
      <c r="J1702" s="60">
        <f>EFEITO!$J$1702*EFEITO!$Y$1702</f>
        <v>0</v>
      </c>
      <c r="K1702" s="60">
        <f ca="1">EFEITO!$L$1702*EFEITO!$Z$1702</f>
        <v>121.44016946043507</v>
      </c>
      <c r="L1702" s="60">
        <f>EFEITO!$N$1702*EFEITO!$AA$1702</f>
        <v>38.685864357700346</v>
      </c>
      <c r="M1702" s="60">
        <f>$J$1702-EFEITO!$K$1702*EFEITO!$Y$1702</f>
        <v>0</v>
      </c>
      <c r="N1702" s="60">
        <f ca="1">$K$1702-EFEITO!$M$1702*EFEITO!$Z$1702</f>
        <v>0</v>
      </c>
      <c r="O1702" s="60">
        <f>$L$1702-EFEITO!$O$1702*EFEITO!$AA$1702</f>
        <v>0</v>
      </c>
      <c r="P1702" s="18"/>
      <c r="Q1702" s="18"/>
      <c r="R1702" s="18"/>
      <c r="S1702" s="18"/>
      <c r="T1702" s="18"/>
      <c r="U1702" s="18"/>
      <c r="V1702" s="18"/>
      <c r="W1702" s="18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</row>
    <row r="1703" spans="1:36" ht="11.25" customHeight="1" x14ac:dyDescent="0.2">
      <c r="A1703" s="51" t="s">
        <v>21</v>
      </c>
      <c r="B1703" s="51" t="s">
        <v>37</v>
      </c>
      <c r="C1703" s="51" t="s">
        <v>33</v>
      </c>
      <c r="D1703" s="51" t="s">
        <v>38</v>
      </c>
      <c r="E1703" s="51" t="s">
        <v>25</v>
      </c>
      <c r="F1703" s="51" t="s">
        <v>25</v>
      </c>
      <c r="G1703" s="51" t="s">
        <v>25</v>
      </c>
      <c r="H1703" s="51" t="s">
        <v>34</v>
      </c>
      <c r="I1703" s="59">
        <v>44593</v>
      </c>
      <c r="J1703" s="60">
        <f>EFEITO!$J$1703*EFEITO!$Y$1703</f>
        <v>0</v>
      </c>
      <c r="K1703" s="60">
        <f ca="1">EFEITO!$L$1703*EFEITO!$Z$1703</f>
        <v>152.08395053923644</v>
      </c>
      <c r="L1703" s="60">
        <f>EFEITO!$N$1703*EFEITO!$AA$1703</f>
        <v>48.447717980671463</v>
      </c>
      <c r="M1703" s="60">
        <f>$J$1703-EFEITO!$K$1703*EFEITO!$Y$1703</f>
        <v>0</v>
      </c>
      <c r="N1703" s="60">
        <f ca="1">$K$1703-EFEITO!$M$1703*EFEITO!$Z$1703</f>
        <v>0</v>
      </c>
      <c r="O1703" s="60">
        <f>$L$1703-EFEITO!$O$1703*EFEITO!$AA$1703</f>
        <v>0</v>
      </c>
      <c r="P1703" s="18"/>
      <c r="Q1703" s="18"/>
      <c r="R1703" s="18"/>
      <c r="S1703" s="18"/>
      <c r="T1703" s="18"/>
      <c r="U1703" s="18"/>
      <c r="V1703" s="18"/>
      <c r="W1703" s="18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</row>
    <row r="1704" spans="1:36" ht="11.25" customHeight="1" x14ac:dyDescent="0.2">
      <c r="A1704" s="51" t="s">
        <v>56</v>
      </c>
      <c r="B1704" s="51" t="s">
        <v>37</v>
      </c>
      <c r="C1704" s="51" t="s">
        <v>33</v>
      </c>
      <c r="D1704" s="51" t="s">
        <v>38</v>
      </c>
      <c r="E1704" s="51" t="s">
        <v>25</v>
      </c>
      <c r="F1704" s="51" t="s">
        <v>25</v>
      </c>
      <c r="G1704" s="51" t="s">
        <v>25</v>
      </c>
      <c r="H1704" s="51" t="s">
        <v>34</v>
      </c>
      <c r="I1704" s="59">
        <v>44621</v>
      </c>
      <c r="J1704" s="60">
        <f>EFEITO!$J$1704*EFEITO!$Y$1704</f>
        <v>0</v>
      </c>
      <c r="K1704" s="60">
        <f ca="1">EFEITO!$L$1704*EFEITO!$Z$1704</f>
        <v>152.08395053923644</v>
      </c>
      <c r="L1704" s="60">
        <f>EFEITO!$N$1704*EFEITO!$AA$1704</f>
        <v>48.447717980671463</v>
      </c>
      <c r="M1704" s="60">
        <f>$J$1704-EFEITO!$K$1704*EFEITO!$Y$1704</f>
        <v>0</v>
      </c>
      <c r="N1704" s="60">
        <f ca="1">$K$1704-EFEITO!$M$1704*EFEITO!$Z$1704</f>
        <v>0</v>
      </c>
      <c r="O1704" s="60">
        <f>$L$1704-EFEITO!$O$1704*EFEITO!$AA$1704</f>
        <v>0</v>
      </c>
      <c r="P1704" s="18"/>
      <c r="Q1704" s="18"/>
      <c r="R1704" s="18"/>
      <c r="S1704" s="18"/>
      <c r="T1704" s="18"/>
      <c r="U1704" s="18"/>
      <c r="V1704" s="18"/>
      <c r="W1704" s="18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</row>
    <row r="1705" spans="1:36" ht="11.25" customHeight="1" x14ac:dyDescent="0.2">
      <c r="A1705" s="51" t="s">
        <v>21</v>
      </c>
      <c r="B1705" s="51" t="s">
        <v>37</v>
      </c>
      <c r="C1705" s="51" t="s">
        <v>23</v>
      </c>
      <c r="D1705" s="51" t="s">
        <v>43</v>
      </c>
      <c r="E1705" s="51" t="s">
        <v>25</v>
      </c>
      <c r="F1705" s="51" t="s">
        <v>25</v>
      </c>
      <c r="G1705" s="51" t="s">
        <v>25</v>
      </c>
      <c r="H1705" s="51" t="s">
        <v>25</v>
      </c>
      <c r="I1705" s="59">
        <v>44287</v>
      </c>
      <c r="J1705" s="60">
        <f>EFEITO!$J$1705*EFEITO!$Y$1705</f>
        <v>0</v>
      </c>
      <c r="K1705" s="60">
        <f ca="1">EFEITO!$L$1705*EFEITO!$Z$1705</f>
        <v>8813732.062006576</v>
      </c>
      <c r="L1705" s="60">
        <f>EFEITO!$N$1705*EFEITO!$AA$1705</f>
        <v>5030861.3494098019</v>
      </c>
      <c r="M1705" s="60">
        <f>$J$1705-EFEITO!$K$1705*EFEITO!$Y$1705</f>
        <v>0</v>
      </c>
      <c r="N1705" s="60">
        <f ca="1">$K$1705-EFEITO!$M$1705*EFEITO!$Z$1705</f>
        <v>0</v>
      </c>
      <c r="O1705" s="60">
        <f>$L$1705-EFEITO!$O$1705*EFEITO!$AA$1705</f>
        <v>0</v>
      </c>
      <c r="P1705" s="18"/>
      <c r="Q1705" s="18"/>
      <c r="R1705" s="18"/>
      <c r="S1705" s="18"/>
      <c r="T1705" s="18"/>
      <c r="U1705" s="18"/>
      <c r="V1705" s="18"/>
      <c r="W1705" s="18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</row>
    <row r="1706" spans="1:36" ht="11.25" customHeight="1" x14ac:dyDescent="0.2">
      <c r="A1706" s="51" t="s">
        <v>27</v>
      </c>
      <c r="B1706" s="51" t="s">
        <v>37</v>
      </c>
      <c r="C1706" s="51" t="s">
        <v>23</v>
      </c>
      <c r="D1706" s="51" t="s">
        <v>43</v>
      </c>
      <c r="E1706" s="51" t="s">
        <v>25</v>
      </c>
      <c r="F1706" s="51" t="s">
        <v>25</v>
      </c>
      <c r="G1706" s="51" t="s">
        <v>25</v>
      </c>
      <c r="H1706" s="51" t="s">
        <v>25</v>
      </c>
      <c r="I1706" s="59">
        <v>44287</v>
      </c>
      <c r="J1706" s="60">
        <f>EFEITO!$J$1706*EFEITO!$Y$1706</f>
        <v>0</v>
      </c>
      <c r="K1706" s="60">
        <f ca="1">EFEITO!$L$1706*EFEITO!$Z$1706</f>
        <v>-44437.099459233483</v>
      </c>
      <c r="L1706" s="60">
        <f>EFEITO!$N$1706*EFEITO!$AA$1706</f>
        <v>-25364.61110646027</v>
      </c>
      <c r="M1706" s="60">
        <f>$J$1706-EFEITO!$K$1706*EFEITO!$Y$1706</f>
        <v>0</v>
      </c>
      <c r="N1706" s="60">
        <f ca="1">$K$1706-EFEITO!$M$1706*EFEITO!$Z$1706</f>
        <v>0</v>
      </c>
      <c r="O1706" s="60">
        <f>$L$1706-EFEITO!$O$1706*EFEITO!$AA$1706</f>
        <v>0</v>
      </c>
      <c r="P1706" s="18"/>
      <c r="Q1706" s="18"/>
      <c r="R1706" s="18"/>
      <c r="S1706" s="18"/>
      <c r="T1706" s="18"/>
      <c r="U1706" s="18"/>
      <c r="V1706" s="18"/>
      <c r="W1706" s="18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</row>
    <row r="1707" spans="1:36" ht="11.25" customHeight="1" x14ac:dyDescent="0.2">
      <c r="A1707" s="51" t="s">
        <v>28</v>
      </c>
      <c r="B1707" s="51" t="s">
        <v>37</v>
      </c>
      <c r="C1707" s="51" t="s">
        <v>23</v>
      </c>
      <c r="D1707" s="51" t="s">
        <v>43</v>
      </c>
      <c r="E1707" s="51" t="s">
        <v>25</v>
      </c>
      <c r="F1707" s="51" t="s">
        <v>25</v>
      </c>
      <c r="G1707" s="51" t="s">
        <v>25</v>
      </c>
      <c r="H1707" s="51" t="s">
        <v>25</v>
      </c>
      <c r="I1707" s="59">
        <v>44287</v>
      </c>
      <c r="J1707" s="60">
        <f>EFEITO!$J$1707*EFEITO!$Y$1707</f>
        <v>0</v>
      </c>
      <c r="K1707" s="60">
        <f ca="1">EFEITO!$L$1707*EFEITO!$Z$1707</f>
        <v>536477.59553841513</v>
      </c>
      <c r="L1707" s="60">
        <f>EFEITO!$N$1707*EFEITO!$AA$1707</f>
        <v>306220.38215262722</v>
      </c>
      <c r="M1707" s="60">
        <f>$J$1707-EFEITO!$K$1707*EFEITO!$Y$1707</f>
        <v>0</v>
      </c>
      <c r="N1707" s="60">
        <f ca="1">$K$1707-EFEITO!$M$1707*EFEITO!$Z$1707</f>
        <v>0</v>
      </c>
      <c r="O1707" s="60">
        <f>$L$1707-EFEITO!$O$1707*EFEITO!$AA$1707</f>
        <v>0</v>
      </c>
      <c r="P1707" s="18"/>
      <c r="Q1707" s="18"/>
      <c r="R1707" s="18"/>
      <c r="S1707" s="18"/>
      <c r="T1707" s="18"/>
      <c r="U1707" s="18"/>
      <c r="V1707" s="18"/>
      <c r="W1707" s="18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</row>
    <row r="1708" spans="1:36" ht="11.25" customHeight="1" x14ac:dyDescent="0.2">
      <c r="A1708" s="51" t="s">
        <v>28</v>
      </c>
      <c r="B1708" s="51" t="s">
        <v>37</v>
      </c>
      <c r="C1708" s="51" t="s">
        <v>23</v>
      </c>
      <c r="D1708" s="51" t="s">
        <v>43</v>
      </c>
      <c r="E1708" s="51" t="s">
        <v>25</v>
      </c>
      <c r="F1708" s="51" t="s">
        <v>25</v>
      </c>
      <c r="G1708" s="51" t="s">
        <v>25</v>
      </c>
      <c r="H1708" s="51" t="s">
        <v>25</v>
      </c>
      <c r="I1708" s="59">
        <v>44287</v>
      </c>
      <c r="J1708" s="60">
        <f>EFEITO!$J$1708*EFEITO!$Y$1708</f>
        <v>0</v>
      </c>
      <c r="K1708" s="60">
        <f ca="1">EFEITO!$L$1708*EFEITO!$Z$1708</f>
        <v>-444.44500023529724</v>
      </c>
      <c r="L1708" s="60">
        <f>EFEITO!$N$1708*EFEITO!$AA$1708</f>
        <v>-253.68835334360534</v>
      </c>
      <c r="M1708" s="60">
        <f>$J$1708-EFEITO!$K$1708*EFEITO!$Y$1708</f>
        <v>0</v>
      </c>
      <c r="N1708" s="60">
        <f ca="1">$K$1708-EFEITO!$M$1708*EFEITO!$Z$1708</f>
        <v>0</v>
      </c>
      <c r="O1708" s="60">
        <f>$L$1708-EFEITO!$O$1708*EFEITO!$AA$1708</f>
        <v>0</v>
      </c>
      <c r="P1708" s="18"/>
      <c r="Q1708" s="18"/>
      <c r="R1708" s="18"/>
      <c r="S1708" s="18"/>
      <c r="T1708" s="18"/>
      <c r="U1708" s="18"/>
      <c r="V1708" s="18"/>
      <c r="W1708" s="18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</row>
    <row r="1709" spans="1:36" ht="11.25" customHeight="1" x14ac:dyDescent="0.2">
      <c r="A1709" s="51" t="s">
        <v>21</v>
      </c>
      <c r="B1709" s="51" t="s">
        <v>37</v>
      </c>
      <c r="C1709" s="51" t="s">
        <v>23</v>
      </c>
      <c r="D1709" s="51" t="s">
        <v>43</v>
      </c>
      <c r="E1709" s="51" t="s">
        <v>25</v>
      </c>
      <c r="F1709" s="51" t="s">
        <v>25</v>
      </c>
      <c r="G1709" s="51" t="s">
        <v>25</v>
      </c>
      <c r="H1709" s="51" t="s">
        <v>25</v>
      </c>
      <c r="I1709" s="59">
        <v>44317</v>
      </c>
      <c r="J1709" s="60">
        <f>EFEITO!$J$1709*EFEITO!$Y$1709</f>
        <v>0</v>
      </c>
      <c r="K1709" s="60">
        <f ca="1">EFEITO!$L$1709*EFEITO!$Z$1709</f>
        <v>8178318.789246494</v>
      </c>
      <c r="L1709" s="60">
        <f>EFEITO!$N$1709*EFEITO!$AA$1709</f>
        <v>4668168.6725345179</v>
      </c>
      <c r="M1709" s="60">
        <f>$J$1709-EFEITO!$K$1709*EFEITO!$Y$1709</f>
        <v>0</v>
      </c>
      <c r="N1709" s="60">
        <f ca="1">$K$1709-EFEITO!$M$1709*EFEITO!$Z$1709</f>
        <v>0</v>
      </c>
      <c r="O1709" s="60">
        <f>$L$1709-EFEITO!$O$1709*EFEITO!$AA$1709</f>
        <v>0</v>
      </c>
      <c r="P1709" s="18"/>
      <c r="Q1709" s="18"/>
      <c r="R1709" s="18"/>
      <c r="S1709" s="18"/>
      <c r="T1709" s="18"/>
      <c r="U1709" s="18"/>
      <c r="V1709" s="18"/>
      <c r="W1709" s="18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</row>
    <row r="1710" spans="1:36" ht="11.25" customHeight="1" x14ac:dyDescent="0.2">
      <c r="A1710" s="51" t="s">
        <v>27</v>
      </c>
      <c r="B1710" s="51" t="s">
        <v>37</v>
      </c>
      <c r="C1710" s="51" t="s">
        <v>23</v>
      </c>
      <c r="D1710" s="51" t="s">
        <v>43</v>
      </c>
      <c r="E1710" s="51" t="s">
        <v>25</v>
      </c>
      <c r="F1710" s="51" t="s">
        <v>25</v>
      </c>
      <c r="G1710" s="51" t="s">
        <v>25</v>
      </c>
      <c r="H1710" s="51" t="s">
        <v>25</v>
      </c>
      <c r="I1710" s="59">
        <v>44317</v>
      </c>
      <c r="J1710" s="60">
        <f>EFEITO!$J$1710*EFEITO!$Y$1710</f>
        <v>0</v>
      </c>
      <c r="K1710" s="60">
        <f ca="1">EFEITO!$L$1710*EFEITO!$Z$1710</f>
        <v>-55797.787938883564</v>
      </c>
      <c r="L1710" s="60">
        <f>EFEITO!$N$1710*EFEITO!$AA$1710</f>
        <v>-31849.270292020403</v>
      </c>
      <c r="M1710" s="60">
        <f>$J$1710-EFEITO!$K$1710*EFEITO!$Y$1710</f>
        <v>0</v>
      </c>
      <c r="N1710" s="60">
        <f ca="1">$K$1710-EFEITO!$M$1710*EFEITO!$Z$1710</f>
        <v>0</v>
      </c>
      <c r="O1710" s="60">
        <f>$L$1710-EFEITO!$O$1710*EFEITO!$AA$1710</f>
        <v>0</v>
      </c>
      <c r="P1710" s="18"/>
      <c r="Q1710" s="18"/>
      <c r="R1710" s="18"/>
      <c r="S1710" s="18"/>
      <c r="T1710" s="18"/>
      <c r="U1710" s="18"/>
      <c r="V1710" s="18"/>
      <c r="W1710" s="18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</row>
    <row r="1711" spans="1:36" ht="11.25" customHeight="1" x14ac:dyDescent="0.2">
      <c r="A1711" s="51" t="s">
        <v>28</v>
      </c>
      <c r="B1711" s="51" t="s">
        <v>37</v>
      </c>
      <c r="C1711" s="51" t="s">
        <v>23</v>
      </c>
      <c r="D1711" s="51" t="s">
        <v>43</v>
      </c>
      <c r="E1711" s="51" t="s">
        <v>25</v>
      </c>
      <c r="F1711" s="51" t="s">
        <v>25</v>
      </c>
      <c r="G1711" s="51" t="s">
        <v>25</v>
      </c>
      <c r="H1711" s="51" t="s">
        <v>25</v>
      </c>
      <c r="I1711" s="59">
        <v>44317</v>
      </c>
      <c r="J1711" s="60">
        <f>EFEITO!$J$1711*EFEITO!$Y$1711</f>
        <v>0</v>
      </c>
      <c r="K1711" s="60">
        <f ca="1">EFEITO!$L$1711*EFEITO!$Z$1711</f>
        <v>489512.79222955473</v>
      </c>
      <c r="L1711" s="60">
        <f>EFEITO!$N$1711*EFEITO!$AA$1711</f>
        <v>279412.96253889916</v>
      </c>
      <c r="M1711" s="60">
        <f>$J$1711-EFEITO!$K$1711*EFEITO!$Y$1711</f>
        <v>0</v>
      </c>
      <c r="N1711" s="60">
        <f ca="1">$K$1711-EFEITO!$M$1711*EFEITO!$Z$1711</f>
        <v>0</v>
      </c>
      <c r="O1711" s="60">
        <f>$L$1711-EFEITO!$O$1711*EFEITO!$AA$1711</f>
        <v>0</v>
      </c>
      <c r="P1711" s="18"/>
      <c r="Q1711" s="18"/>
      <c r="R1711" s="18"/>
      <c r="S1711" s="18"/>
      <c r="T1711" s="18"/>
      <c r="U1711" s="18"/>
      <c r="V1711" s="18"/>
      <c r="W1711" s="18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</row>
    <row r="1712" spans="1:36" ht="11.25" customHeight="1" x14ac:dyDescent="0.2">
      <c r="A1712" s="51" t="s">
        <v>21</v>
      </c>
      <c r="B1712" s="51" t="s">
        <v>37</v>
      </c>
      <c r="C1712" s="51" t="s">
        <v>23</v>
      </c>
      <c r="D1712" s="51" t="s">
        <v>43</v>
      </c>
      <c r="E1712" s="51" t="s">
        <v>25</v>
      </c>
      <c r="F1712" s="51" t="s">
        <v>25</v>
      </c>
      <c r="G1712" s="51" t="s">
        <v>25</v>
      </c>
      <c r="H1712" s="51" t="s">
        <v>25</v>
      </c>
      <c r="I1712" s="59">
        <v>44348</v>
      </c>
      <c r="J1712" s="60">
        <f>EFEITO!$J$1712*EFEITO!$Y$1712</f>
        <v>0</v>
      </c>
      <c r="K1712" s="60">
        <f ca="1">EFEITO!$L$1712*EFEITO!$Z$1712</f>
        <v>8092950.8132346021</v>
      </c>
      <c r="L1712" s="60">
        <f>EFEITO!$N$1712*EFEITO!$AA$1712</f>
        <v>4619440.7956290115</v>
      </c>
      <c r="M1712" s="60">
        <f>$J$1712-EFEITO!$K$1712*EFEITO!$Y$1712</f>
        <v>0</v>
      </c>
      <c r="N1712" s="60">
        <f ca="1">$K$1712-EFEITO!$M$1712*EFEITO!$Z$1712</f>
        <v>0</v>
      </c>
      <c r="O1712" s="60">
        <f>$L$1712-EFEITO!$O$1712*EFEITO!$AA$1712</f>
        <v>0</v>
      </c>
      <c r="P1712" s="18"/>
      <c r="Q1712" s="18"/>
      <c r="R1712" s="18"/>
      <c r="S1712" s="18"/>
      <c r="T1712" s="18"/>
      <c r="U1712" s="18"/>
      <c r="V1712" s="18"/>
      <c r="W1712" s="18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</row>
    <row r="1713" spans="1:36" ht="11.25" customHeight="1" x14ac:dyDescent="0.2">
      <c r="A1713" s="51" t="s">
        <v>27</v>
      </c>
      <c r="B1713" s="51" t="s">
        <v>37</v>
      </c>
      <c r="C1713" s="51" t="s">
        <v>23</v>
      </c>
      <c r="D1713" s="51" t="s">
        <v>43</v>
      </c>
      <c r="E1713" s="51" t="s">
        <v>25</v>
      </c>
      <c r="F1713" s="51" t="s">
        <v>25</v>
      </c>
      <c r="G1713" s="51" t="s">
        <v>25</v>
      </c>
      <c r="H1713" s="51" t="s">
        <v>25</v>
      </c>
      <c r="I1713" s="59">
        <v>44348</v>
      </c>
      <c r="J1713" s="60">
        <f>EFEITO!$J$1713*EFEITO!$Y$1713</f>
        <v>0</v>
      </c>
      <c r="K1713" s="60">
        <f ca="1">EFEITO!$L$1713*EFEITO!$Z$1713</f>
        <v>-51486.959236323812</v>
      </c>
      <c r="L1713" s="60">
        <f>EFEITO!$N$1713*EFEITO!$AA$1713</f>
        <v>-29388.657540116885</v>
      </c>
      <c r="M1713" s="60">
        <f>$J$1713-EFEITO!$K$1713*EFEITO!$Y$1713</f>
        <v>0</v>
      </c>
      <c r="N1713" s="60">
        <f ca="1">$K$1713-EFEITO!$M$1713*EFEITO!$Z$1713</f>
        <v>0</v>
      </c>
      <c r="O1713" s="60">
        <f>$L$1713-EFEITO!$O$1713*EFEITO!$AA$1713</f>
        <v>0</v>
      </c>
      <c r="P1713" s="18"/>
      <c r="Q1713" s="18"/>
      <c r="R1713" s="18"/>
      <c r="S1713" s="18"/>
      <c r="T1713" s="18"/>
      <c r="U1713" s="18"/>
      <c r="V1713" s="18"/>
      <c r="W1713" s="18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</row>
    <row r="1714" spans="1:36" ht="11.25" customHeight="1" x14ac:dyDescent="0.2">
      <c r="A1714" s="51" t="s">
        <v>28</v>
      </c>
      <c r="B1714" s="51" t="s">
        <v>37</v>
      </c>
      <c r="C1714" s="51" t="s">
        <v>23</v>
      </c>
      <c r="D1714" s="51" t="s">
        <v>43</v>
      </c>
      <c r="E1714" s="51" t="s">
        <v>25</v>
      </c>
      <c r="F1714" s="51" t="s">
        <v>25</v>
      </c>
      <c r="G1714" s="51" t="s">
        <v>25</v>
      </c>
      <c r="H1714" s="51" t="s">
        <v>25</v>
      </c>
      <c r="I1714" s="59">
        <v>44348</v>
      </c>
      <c r="J1714" s="60">
        <f>EFEITO!$J$1714*EFEITO!$Y$1714</f>
        <v>0</v>
      </c>
      <c r="K1714" s="60">
        <f ca="1">EFEITO!$L$1714*EFEITO!$Z$1714</f>
        <v>476551.52614961227</v>
      </c>
      <c r="L1714" s="60">
        <f>EFEITO!$N$1714*EFEITO!$AA$1714</f>
        <v>272014.69673024316</v>
      </c>
      <c r="M1714" s="60">
        <f>$J$1714-EFEITO!$K$1714*EFEITO!$Y$1714</f>
        <v>0</v>
      </c>
      <c r="N1714" s="60">
        <f ca="1">$K$1714-EFEITO!$M$1714*EFEITO!$Z$1714</f>
        <v>0</v>
      </c>
      <c r="O1714" s="60">
        <f>$L$1714-EFEITO!$O$1714*EFEITO!$AA$1714</f>
        <v>0</v>
      </c>
      <c r="P1714" s="18"/>
      <c r="Q1714" s="18"/>
      <c r="R1714" s="18"/>
      <c r="S1714" s="18"/>
      <c r="T1714" s="18"/>
      <c r="U1714" s="18"/>
      <c r="V1714" s="18"/>
      <c r="W1714" s="18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</row>
    <row r="1715" spans="1:36" ht="11.25" customHeight="1" x14ac:dyDescent="0.2">
      <c r="A1715" s="51" t="s">
        <v>28</v>
      </c>
      <c r="B1715" s="51" t="s">
        <v>37</v>
      </c>
      <c r="C1715" s="51" t="s">
        <v>23</v>
      </c>
      <c r="D1715" s="51" t="s">
        <v>43</v>
      </c>
      <c r="E1715" s="51" t="s">
        <v>25</v>
      </c>
      <c r="F1715" s="51" t="s">
        <v>25</v>
      </c>
      <c r="G1715" s="51" t="s">
        <v>25</v>
      </c>
      <c r="H1715" s="51" t="s">
        <v>25</v>
      </c>
      <c r="I1715" s="59">
        <v>44348</v>
      </c>
      <c r="J1715" s="60">
        <f>EFEITO!$J$1715*EFEITO!$Y$1715</f>
        <v>0</v>
      </c>
      <c r="K1715" s="60">
        <f ca="1">EFEITO!$L$1715*EFEITO!$Z$1715</f>
        <v>-549.69747022626495</v>
      </c>
      <c r="L1715" s="60">
        <f>EFEITO!$N$1715*EFEITO!$AA$1715</f>
        <v>-313.76626125846468</v>
      </c>
      <c r="M1715" s="60">
        <f>$J$1715-EFEITO!$K$1715*EFEITO!$Y$1715</f>
        <v>0</v>
      </c>
      <c r="N1715" s="60">
        <f ca="1">$K$1715-EFEITO!$M$1715*EFEITO!$Z$1715</f>
        <v>0</v>
      </c>
      <c r="O1715" s="60">
        <f>$L$1715-EFEITO!$O$1715*EFEITO!$AA$1715</f>
        <v>0</v>
      </c>
      <c r="P1715" s="18"/>
      <c r="Q1715" s="18"/>
      <c r="R1715" s="18"/>
      <c r="S1715" s="18"/>
      <c r="T1715" s="18"/>
      <c r="U1715" s="18"/>
      <c r="V1715" s="18"/>
      <c r="W1715" s="18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</row>
    <row r="1716" spans="1:36" ht="11.25" customHeight="1" x14ac:dyDescent="0.2">
      <c r="A1716" s="51" t="s">
        <v>21</v>
      </c>
      <c r="B1716" s="51" t="s">
        <v>37</v>
      </c>
      <c r="C1716" s="51" t="s">
        <v>23</v>
      </c>
      <c r="D1716" s="51" t="s">
        <v>43</v>
      </c>
      <c r="E1716" s="51" t="s">
        <v>25</v>
      </c>
      <c r="F1716" s="51" t="s">
        <v>25</v>
      </c>
      <c r="G1716" s="51" t="s">
        <v>25</v>
      </c>
      <c r="H1716" s="51" t="s">
        <v>25</v>
      </c>
      <c r="I1716" s="59">
        <v>44378</v>
      </c>
      <c r="J1716" s="60">
        <f>EFEITO!$J$1716*EFEITO!$Y$1716</f>
        <v>0</v>
      </c>
      <c r="K1716" s="60">
        <f ca="1">EFEITO!$L$1716*EFEITO!$Z$1716</f>
        <v>7947494.7777043106</v>
      </c>
      <c r="L1716" s="60">
        <f>EFEITO!$N$1716*EFEITO!$AA$1716</f>
        <v>4536414.7696459703</v>
      </c>
      <c r="M1716" s="60">
        <f>$J$1716-EFEITO!$K$1716*EFEITO!$Y$1716</f>
        <v>0</v>
      </c>
      <c r="N1716" s="60">
        <f ca="1">$K$1716-EFEITO!$M$1716*EFEITO!$Z$1716</f>
        <v>0</v>
      </c>
      <c r="O1716" s="60">
        <f>$L$1716-EFEITO!$O$1716*EFEITO!$AA$1716</f>
        <v>0</v>
      </c>
      <c r="P1716" s="18"/>
      <c r="Q1716" s="18"/>
      <c r="R1716" s="18"/>
      <c r="S1716" s="18"/>
      <c r="T1716" s="18"/>
      <c r="U1716" s="18"/>
      <c r="V1716" s="18"/>
      <c r="W1716" s="18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</row>
    <row r="1717" spans="1:36" ht="11.25" customHeight="1" x14ac:dyDescent="0.2">
      <c r="A1717" s="51" t="s">
        <v>27</v>
      </c>
      <c r="B1717" s="51" t="s">
        <v>37</v>
      </c>
      <c r="C1717" s="51" t="s">
        <v>23</v>
      </c>
      <c r="D1717" s="51" t="s">
        <v>43</v>
      </c>
      <c r="E1717" s="51" t="s">
        <v>25</v>
      </c>
      <c r="F1717" s="51" t="s">
        <v>25</v>
      </c>
      <c r="G1717" s="51" t="s">
        <v>25</v>
      </c>
      <c r="H1717" s="51" t="s">
        <v>25</v>
      </c>
      <c r="I1717" s="59">
        <v>44378</v>
      </c>
      <c r="J1717" s="60">
        <f>EFEITO!$J$1717*EFEITO!$Y$1717</f>
        <v>0</v>
      </c>
      <c r="K1717" s="60">
        <f ca="1">EFEITO!$L$1717*EFEITO!$Z$1717</f>
        <v>-2696.6834010576454</v>
      </c>
      <c r="L1717" s="60">
        <f>EFEITO!$N$1717*EFEITO!$AA$1717</f>
        <v>-1539.2617109904786</v>
      </c>
      <c r="M1717" s="60">
        <f>$J$1717-EFEITO!$K$1717*EFEITO!$Y$1717</f>
        <v>0</v>
      </c>
      <c r="N1717" s="60">
        <f ca="1">$K$1717-EFEITO!$M$1717*EFEITO!$Z$1717</f>
        <v>0</v>
      </c>
      <c r="O1717" s="60">
        <f>$L$1717-EFEITO!$O$1717*EFEITO!$AA$1717</f>
        <v>0</v>
      </c>
      <c r="P1717" s="18"/>
      <c r="Q1717" s="18"/>
      <c r="R1717" s="18"/>
      <c r="S1717" s="18"/>
      <c r="T1717" s="18"/>
      <c r="U1717" s="18"/>
      <c r="V1717" s="18"/>
      <c r="W1717" s="18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</row>
    <row r="1718" spans="1:36" ht="11.25" customHeight="1" x14ac:dyDescent="0.2">
      <c r="A1718" s="51" t="s">
        <v>28</v>
      </c>
      <c r="B1718" s="51" t="s">
        <v>37</v>
      </c>
      <c r="C1718" s="51" t="s">
        <v>23</v>
      </c>
      <c r="D1718" s="51" t="s">
        <v>43</v>
      </c>
      <c r="E1718" s="51" t="s">
        <v>25</v>
      </c>
      <c r="F1718" s="51" t="s">
        <v>25</v>
      </c>
      <c r="G1718" s="51" t="s">
        <v>25</v>
      </c>
      <c r="H1718" s="51" t="s">
        <v>25</v>
      </c>
      <c r="I1718" s="59">
        <v>44378</v>
      </c>
      <c r="J1718" s="60">
        <f>EFEITO!$J$1718*EFEITO!$Y$1718</f>
        <v>0</v>
      </c>
      <c r="K1718" s="60">
        <f ca="1">EFEITO!$L$1718*EFEITO!$Z$1718</f>
        <v>491727.61666643497</v>
      </c>
      <c r="L1718" s="60">
        <f>EFEITO!$N$1718*EFEITO!$AA$1718</f>
        <v>280677.18007771694</v>
      </c>
      <c r="M1718" s="60">
        <f>$J$1718-EFEITO!$K$1718*EFEITO!$Y$1718</f>
        <v>0</v>
      </c>
      <c r="N1718" s="60">
        <f ca="1">$K$1718-EFEITO!$M$1718*EFEITO!$Z$1718</f>
        <v>0</v>
      </c>
      <c r="O1718" s="60">
        <f>$L$1718-EFEITO!$O$1718*EFEITO!$AA$1718</f>
        <v>0</v>
      </c>
      <c r="P1718" s="18"/>
      <c r="Q1718" s="18"/>
      <c r="R1718" s="18"/>
      <c r="S1718" s="18"/>
      <c r="T1718" s="18"/>
      <c r="U1718" s="18"/>
      <c r="V1718" s="18"/>
      <c r="W1718" s="18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</row>
    <row r="1719" spans="1:36" ht="11.25" customHeight="1" x14ac:dyDescent="0.2">
      <c r="A1719" s="51" t="s">
        <v>28</v>
      </c>
      <c r="B1719" s="51" t="s">
        <v>37</v>
      </c>
      <c r="C1719" s="51" t="s">
        <v>23</v>
      </c>
      <c r="D1719" s="51" t="s">
        <v>43</v>
      </c>
      <c r="E1719" s="51" t="s">
        <v>25</v>
      </c>
      <c r="F1719" s="51" t="s">
        <v>25</v>
      </c>
      <c r="G1719" s="51" t="s">
        <v>25</v>
      </c>
      <c r="H1719" s="51" t="s">
        <v>25</v>
      </c>
      <c r="I1719" s="59">
        <v>44378</v>
      </c>
      <c r="J1719" s="60">
        <f>EFEITO!$J$1719*EFEITO!$Y$1719</f>
        <v>0</v>
      </c>
      <c r="K1719" s="60">
        <f ca="1">EFEITO!$L$1719*EFEITO!$Z$1719</f>
        <v>-8756.9232747563328</v>
      </c>
      <c r="L1719" s="60">
        <f>EFEITO!$N$1719*EFEITO!$AA$1719</f>
        <v>-4998.43500265074</v>
      </c>
      <c r="M1719" s="60">
        <f>$J$1719-EFEITO!$K$1719*EFEITO!$Y$1719</f>
        <v>0</v>
      </c>
      <c r="N1719" s="60">
        <f ca="1">$K$1719-EFEITO!$M$1719*EFEITO!$Z$1719</f>
        <v>0</v>
      </c>
      <c r="O1719" s="60">
        <f>$L$1719-EFEITO!$O$1719*EFEITO!$AA$1719</f>
        <v>0</v>
      </c>
      <c r="P1719" s="18"/>
      <c r="Q1719" s="18"/>
      <c r="R1719" s="18"/>
      <c r="S1719" s="18"/>
      <c r="T1719" s="18"/>
      <c r="U1719" s="18"/>
      <c r="V1719" s="18"/>
      <c r="W1719" s="18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</row>
    <row r="1720" spans="1:36" ht="11.25" customHeight="1" x14ac:dyDescent="0.2">
      <c r="A1720" s="51" t="s">
        <v>21</v>
      </c>
      <c r="B1720" s="51" t="s">
        <v>37</v>
      </c>
      <c r="C1720" s="51" t="s">
        <v>23</v>
      </c>
      <c r="D1720" s="51" t="s">
        <v>43</v>
      </c>
      <c r="E1720" s="51" t="s">
        <v>25</v>
      </c>
      <c r="F1720" s="51" t="s">
        <v>25</v>
      </c>
      <c r="G1720" s="51" t="s">
        <v>25</v>
      </c>
      <c r="H1720" s="51" t="s">
        <v>25</v>
      </c>
      <c r="I1720" s="59">
        <v>44409</v>
      </c>
      <c r="J1720" s="60">
        <f>EFEITO!$J$1720*EFEITO!$Y$1720</f>
        <v>0</v>
      </c>
      <c r="K1720" s="60">
        <f ca="1">EFEITO!$L$1720*EFEITO!$Z$1720</f>
        <v>7876679.6002385123</v>
      </c>
      <c r="L1720" s="60">
        <f>EFEITO!$N$1720*EFEITO!$AA$1720</f>
        <v>4495993.6022270042</v>
      </c>
      <c r="M1720" s="60">
        <f>$J$1720-EFEITO!$K$1720*EFEITO!$Y$1720</f>
        <v>0</v>
      </c>
      <c r="N1720" s="60">
        <f ca="1">$K$1720-EFEITO!$M$1720*EFEITO!$Z$1720</f>
        <v>0</v>
      </c>
      <c r="O1720" s="60">
        <f>$L$1720-EFEITO!$O$1720*EFEITO!$AA$1720</f>
        <v>0</v>
      </c>
      <c r="P1720" s="18"/>
      <c r="Q1720" s="18"/>
      <c r="R1720" s="18"/>
      <c r="S1720" s="18"/>
      <c r="T1720" s="18"/>
      <c r="U1720" s="18"/>
      <c r="V1720" s="18"/>
      <c r="W1720" s="18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</row>
    <row r="1721" spans="1:36" ht="11.25" customHeight="1" x14ac:dyDescent="0.2">
      <c r="A1721" s="51" t="s">
        <v>27</v>
      </c>
      <c r="B1721" s="51" t="s">
        <v>37</v>
      </c>
      <c r="C1721" s="51" t="s">
        <v>23</v>
      </c>
      <c r="D1721" s="51" t="s">
        <v>43</v>
      </c>
      <c r="E1721" s="51" t="s">
        <v>25</v>
      </c>
      <c r="F1721" s="51" t="s">
        <v>25</v>
      </c>
      <c r="G1721" s="51" t="s">
        <v>25</v>
      </c>
      <c r="H1721" s="51" t="s">
        <v>25</v>
      </c>
      <c r="I1721" s="59">
        <v>44409</v>
      </c>
      <c r="J1721" s="60">
        <f>EFEITO!$J$1721*EFEITO!$Y$1721</f>
        <v>0</v>
      </c>
      <c r="K1721" s="60">
        <f ca="1">EFEITO!$L$1721*EFEITO!$Z$1721</f>
        <v>-79474.659977320465</v>
      </c>
      <c r="L1721" s="60">
        <f>EFEITO!$N$1721*EFEITO!$AA$1721</f>
        <v>-45363.98342093025</v>
      </c>
      <c r="M1721" s="60">
        <f>$J$1721-EFEITO!$K$1721*EFEITO!$Y$1721</f>
        <v>0</v>
      </c>
      <c r="N1721" s="60">
        <f ca="1">$K$1721-EFEITO!$M$1721*EFEITO!$Z$1721</f>
        <v>0</v>
      </c>
      <c r="O1721" s="60">
        <f>$L$1721-EFEITO!$O$1721*EFEITO!$AA$1721</f>
        <v>0</v>
      </c>
      <c r="P1721" s="18"/>
      <c r="Q1721" s="18"/>
      <c r="R1721" s="18"/>
      <c r="S1721" s="18"/>
      <c r="T1721" s="18"/>
      <c r="U1721" s="18"/>
      <c r="V1721" s="18"/>
      <c r="W1721" s="18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</row>
    <row r="1722" spans="1:36" ht="11.25" customHeight="1" x14ac:dyDescent="0.2">
      <c r="A1722" s="51" t="s">
        <v>28</v>
      </c>
      <c r="B1722" s="51" t="s">
        <v>37</v>
      </c>
      <c r="C1722" s="51" t="s">
        <v>23</v>
      </c>
      <c r="D1722" s="51" t="s">
        <v>43</v>
      </c>
      <c r="E1722" s="51" t="s">
        <v>25</v>
      </c>
      <c r="F1722" s="51" t="s">
        <v>25</v>
      </c>
      <c r="G1722" s="51" t="s">
        <v>25</v>
      </c>
      <c r="H1722" s="51" t="s">
        <v>25</v>
      </c>
      <c r="I1722" s="59">
        <v>44409</v>
      </c>
      <c r="J1722" s="60">
        <f>EFEITO!$J$1722*EFEITO!$Y$1722</f>
        <v>0</v>
      </c>
      <c r="K1722" s="60">
        <f ca="1">EFEITO!$L$1722*EFEITO!$Z$1722</f>
        <v>451722.22179326654</v>
      </c>
      <c r="L1722" s="60">
        <f>EFEITO!$N$1722*EFEITO!$AA$1722</f>
        <v>257842.17744553118</v>
      </c>
      <c r="M1722" s="60">
        <f>$J$1722-EFEITO!$K$1722*EFEITO!$Y$1722</f>
        <v>0</v>
      </c>
      <c r="N1722" s="60">
        <f ca="1">$K$1722-EFEITO!$M$1722*EFEITO!$Z$1722</f>
        <v>0</v>
      </c>
      <c r="O1722" s="60">
        <f>$L$1722-EFEITO!$O$1722*EFEITO!$AA$1722</f>
        <v>0</v>
      </c>
      <c r="P1722" s="18"/>
      <c r="Q1722" s="18"/>
      <c r="R1722" s="18"/>
      <c r="S1722" s="18"/>
      <c r="T1722" s="18"/>
      <c r="U1722" s="18"/>
      <c r="V1722" s="18"/>
      <c r="W1722" s="18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</row>
    <row r="1723" spans="1:36" ht="11.25" customHeight="1" x14ac:dyDescent="0.2">
      <c r="A1723" s="51" t="s">
        <v>28</v>
      </c>
      <c r="B1723" s="51" t="s">
        <v>37</v>
      </c>
      <c r="C1723" s="51" t="s">
        <v>23</v>
      </c>
      <c r="D1723" s="51" t="s">
        <v>43</v>
      </c>
      <c r="E1723" s="51" t="s">
        <v>25</v>
      </c>
      <c r="F1723" s="51" t="s">
        <v>25</v>
      </c>
      <c r="G1723" s="51" t="s">
        <v>25</v>
      </c>
      <c r="H1723" s="51" t="s">
        <v>25</v>
      </c>
      <c r="I1723" s="59">
        <v>44409</v>
      </c>
      <c r="J1723" s="60">
        <f>EFEITO!$J$1723*EFEITO!$Y$1723</f>
        <v>0</v>
      </c>
      <c r="K1723" s="60">
        <f ca="1">EFEITO!$L$1723*EFEITO!$Z$1723</f>
        <v>-3433.8618334553216</v>
      </c>
      <c r="L1723" s="60">
        <f>EFEITO!$N$1723*EFEITO!$AA$1723</f>
        <v>-1960.0417457222866</v>
      </c>
      <c r="M1723" s="60">
        <f>$J$1723-EFEITO!$K$1723*EFEITO!$Y$1723</f>
        <v>0</v>
      </c>
      <c r="N1723" s="60">
        <f ca="1">$K$1723-EFEITO!$M$1723*EFEITO!$Z$1723</f>
        <v>0</v>
      </c>
      <c r="O1723" s="60">
        <f>$L$1723-EFEITO!$O$1723*EFEITO!$AA$1723</f>
        <v>0</v>
      </c>
      <c r="P1723" s="18"/>
      <c r="Q1723" s="18"/>
      <c r="R1723" s="18"/>
      <c r="S1723" s="18"/>
      <c r="T1723" s="18"/>
      <c r="U1723" s="18"/>
      <c r="V1723" s="18"/>
      <c r="W1723" s="18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</row>
    <row r="1724" spans="1:36" ht="11.25" customHeight="1" x14ac:dyDescent="0.2">
      <c r="A1724" s="51" t="s">
        <v>21</v>
      </c>
      <c r="B1724" s="51" t="s">
        <v>37</v>
      </c>
      <c r="C1724" s="51" t="s">
        <v>23</v>
      </c>
      <c r="D1724" s="51" t="s">
        <v>43</v>
      </c>
      <c r="E1724" s="51" t="s">
        <v>25</v>
      </c>
      <c r="F1724" s="51" t="s">
        <v>25</v>
      </c>
      <c r="G1724" s="51" t="s">
        <v>25</v>
      </c>
      <c r="H1724" s="51" t="s">
        <v>25</v>
      </c>
      <c r="I1724" s="59">
        <v>44440</v>
      </c>
      <c r="J1724" s="60">
        <f>EFEITO!$J$1724*EFEITO!$Y$1724</f>
        <v>0</v>
      </c>
      <c r="K1724" s="60">
        <f ca="1">EFEITO!$L$1724*EFEITO!$Z$1724</f>
        <v>8153722.6026654793</v>
      </c>
      <c r="L1724" s="60">
        <f>EFEITO!$N$1724*EFEITO!$AA$1724</f>
        <v>4654129.2164286645</v>
      </c>
      <c r="M1724" s="60">
        <f>$J$1724-EFEITO!$K$1724*EFEITO!$Y$1724</f>
        <v>0</v>
      </c>
      <c r="N1724" s="60">
        <f ca="1">$K$1724-EFEITO!$M$1724*EFEITO!$Z$1724</f>
        <v>0</v>
      </c>
      <c r="O1724" s="60">
        <f>$L$1724-EFEITO!$O$1724*EFEITO!$AA$1724</f>
        <v>0</v>
      </c>
      <c r="P1724" s="18"/>
      <c r="Q1724" s="18"/>
      <c r="R1724" s="18"/>
      <c r="S1724" s="18"/>
      <c r="T1724" s="18"/>
      <c r="U1724" s="18"/>
      <c r="V1724" s="18"/>
      <c r="W1724" s="18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</row>
    <row r="1725" spans="1:36" ht="11.25" customHeight="1" x14ac:dyDescent="0.2">
      <c r="A1725" s="51" t="s">
        <v>27</v>
      </c>
      <c r="B1725" s="51" t="s">
        <v>37</v>
      </c>
      <c r="C1725" s="51" t="s">
        <v>23</v>
      </c>
      <c r="D1725" s="51" t="s">
        <v>43</v>
      </c>
      <c r="E1725" s="51" t="s">
        <v>25</v>
      </c>
      <c r="F1725" s="51" t="s">
        <v>25</v>
      </c>
      <c r="G1725" s="51" t="s">
        <v>25</v>
      </c>
      <c r="H1725" s="51" t="s">
        <v>25</v>
      </c>
      <c r="I1725" s="59">
        <v>44440</v>
      </c>
      <c r="J1725" s="60">
        <f>EFEITO!$J$1725*EFEITO!$Y$1725</f>
        <v>0</v>
      </c>
      <c r="K1725" s="60">
        <f ca="1">EFEITO!$L$1725*EFEITO!$Z$1725</f>
        <v>-58765.825364136668</v>
      </c>
      <c r="L1725" s="60">
        <f>EFEITO!$N$1725*EFEITO!$AA$1725</f>
        <v>-33543.420359353877</v>
      </c>
      <c r="M1725" s="60">
        <f>$J$1725-EFEITO!$K$1725*EFEITO!$Y$1725</f>
        <v>0</v>
      </c>
      <c r="N1725" s="60">
        <f ca="1">$K$1725-EFEITO!$M$1725*EFEITO!$Z$1725</f>
        <v>0</v>
      </c>
      <c r="O1725" s="60">
        <f>$L$1725-EFEITO!$O$1725*EFEITO!$AA$1725</f>
        <v>0</v>
      </c>
      <c r="P1725" s="18"/>
      <c r="Q1725" s="18"/>
      <c r="R1725" s="18"/>
      <c r="S1725" s="18"/>
      <c r="T1725" s="18"/>
      <c r="U1725" s="18"/>
      <c r="V1725" s="18"/>
      <c r="W1725" s="18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</row>
    <row r="1726" spans="1:36" ht="11.25" customHeight="1" x14ac:dyDescent="0.2">
      <c r="A1726" s="51" t="s">
        <v>28</v>
      </c>
      <c r="B1726" s="51" t="s">
        <v>37</v>
      </c>
      <c r="C1726" s="51" t="s">
        <v>23</v>
      </c>
      <c r="D1726" s="51" t="s">
        <v>43</v>
      </c>
      <c r="E1726" s="51" t="s">
        <v>25</v>
      </c>
      <c r="F1726" s="51" t="s">
        <v>25</v>
      </c>
      <c r="G1726" s="51" t="s">
        <v>25</v>
      </c>
      <c r="H1726" s="51" t="s">
        <v>25</v>
      </c>
      <c r="I1726" s="59">
        <v>44440</v>
      </c>
      <c r="J1726" s="60">
        <f>EFEITO!$J$1726*EFEITO!$Y$1726</f>
        <v>0</v>
      </c>
      <c r="K1726" s="60">
        <f ca="1">EFEITO!$L$1726*EFEITO!$Z$1726</f>
        <v>552837.36520017521</v>
      </c>
      <c r="L1726" s="60">
        <f>EFEITO!$N$1726*EFEITO!$AA$1726</f>
        <v>315558.50728481536</v>
      </c>
      <c r="M1726" s="60">
        <f>$J$1726-EFEITO!$K$1726*EFEITO!$Y$1726</f>
        <v>0</v>
      </c>
      <c r="N1726" s="60">
        <f ca="1">$K$1726-EFEITO!$M$1726*EFEITO!$Z$1726</f>
        <v>0</v>
      </c>
      <c r="O1726" s="60">
        <f>$L$1726-EFEITO!$O$1726*EFEITO!$AA$1726</f>
        <v>0</v>
      </c>
      <c r="P1726" s="18"/>
      <c r="Q1726" s="18"/>
      <c r="R1726" s="18"/>
      <c r="S1726" s="18"/>
      <c r="T1726" s="18"/>
      <c r="U1726" s="18"/>
      <c r="V1726" s="18"/>
      <c r="W1726" s="18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</row>
    <row r="1727" spans="1:36" ht="11.25" customHeight="1" x14ac:dyDescent="0.2">
      <c r="A1727" s="51" t="s">
        <v>28</v>
      </c>
      <c r="B1727" s="51" t="s">
        <v>37</v>
      </c>
      <c r="C1727" s="51" t="s">
        <v>23</v>
      </c>
      <c r="D1727" s="51" t="s">
        <v>43</v>
      </c>
      <c r="E1727" s="51" t="s">
        <v>25</v>
      </c>
      <c r="F1727" s="51" t="s">
        <v>25</v>
      </c>
      <c r="G1727" s="51" t="s">
        <v>25</v>
      </c>
      <c r="H1727" s="51" t="s">
        <v>25</v>
      </c>
      <c r="I1727" s="59">
        <v>44440</v>
      </c>
      <c r="J1727" s="60">
        <f>EFEITO!$J$1727*EFEITO!$Y$1727</f>
        <v>0</v>
      </c>
      <c r="K1727" s="60">
        <f ca="1">EFEITO!$L$1727*EFEITO!$Z$1727</f>
        <v>-4106.4908994913494</v>
      </c>
      <c r="L1727" s="60">
        <f>EFEITO!$N$1727*EFEITO!$AA$1727</f>
        <v>-2343.9771259906847</v>
      </c>
      <c r="M1727" s="60">
        <f>$J$1727-EFEITO!$K$1727*EFEITO!$Y$1727</f>
        <v>0</v>
      </c>
      <c r="N1727" s="60">
        <f ca="1">$K$1727-EFEITO!$M$1727*EFEITO!$Z$1727</f>
        <v>0</v>
      </c>
      <c r="O1727" s="60">
        <f>$L$1727-EFEITO!$O$1727*EFEITO!$AA$1727</f>
        <v>0</v>
      </c>
      <c r="P1727" s="18"/>
      <c r="Q1727" s="18"/>
      <c r="R1727" s="18"/>
      <c r="S1727" s="18"/>
      <c r="T1727" s="18"/>
      <c r="U1727" s="18"/>
      <c r="V1727" s="18"/>
      <c r="W1727" s="18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</row>
    <row r="1728" spans="1:36" ht="11.25" customHeight="1" x14ac:dyDescent="0.2">
      <c r="A1728" s="51" t="s">
        <v>21</v>
      </c>
      <c r="B1728" s="51" t="s">
        <v>37</v>
      </c>
      <c r="C1728" s="51" t="s">
        <v>23</v>
      </c>
      <c r="D1728" s="51" t="s">
        <v>43</v>
      </c>
      <c r="E1728" s="51" t="s">
        <v>25</v>
      </c>
      <c r="F1728" s="51" t="s">
        <v>25</v>
      </c>
      <c r="G1728" s="51" t="s">
        <v>25</v>
      </c>
      <c r="H1728" s="51" t="s">
        <v>25</v>
      </c>
      <c r="I1728" s="59">
        <v>44470</v>
      </c>
      <c r="J1728" s="60">
        <f>EFEITO!$J$1728*EFEITO!$Y$1728</f>
        <v>0</v>
      </c>
      <c r="K1728" s="60">
        <f ca="1">EFEITO!$L$1728*EFEITO!$Z$1728</f>
        <v>8614229.2942783833</v>
      </c>
      <c r="L1728" s="60">
        <f>EFEITO!$N$1728*EFEITO!$AA$1728</f>
        <v>4916985.5523918085</v>
      </c>
      <c r="M1728" s="60">
        <f>$J$1728-EFEITO!$K$1728*EFEITO!$Y$1728</f>
        <v>0</v>
      </c>
      <c r="N1728" s="60">
        <f ca="1">$K$1728-EFEITO!$M$1728*EFEITO!$Z$1728</f>
        <v>0</v>
      </c>
      <c r="O1728" s="60">
        <f>$L$1728-EFEITO!$O$1728*EFEITO!$AA$1728</f>
        <v>0</v>
      </c>
      <c r="P1728" s="18"/>
      <c r="Q1728" s="18"/>
      <c r="R1728" s="18"/>
      <c r="S1728" s="18"/>
      <c r="T1728" s="18"/>
      <c r="U1728" s="18"/>
      <c r="V1728" s="18"/>
      <c r="W1728" s="18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</row>
    <row r="1729" spans="1:36" ht="11.25" customHeight="1" x14ac:dyDescent="0.2">
      <c r="A1729" s="51" t="s">
        <v>27</v>
      </c>
      <c r="B1729" s="51" t="s">
        <v>37</v>
      </c>
      <c r="C1729" s="51" t="s">
        <v>23</v>
      </c>
      <c r="D1729" s="51" t="s">
        <v>43</v>
      </c>
      <c r="E1729" s="51" t="s">
        <v>25</v>
      </c>
      <c r="F1729" s="51" t="s">
        <v>25</v>
      </c>
      <c r="G1729" s="51" t="s">
        <v>25</v>
      </c>
      <c r="H1729" s="51" t="s">
        <v>25</v>
      </c>
      <c r="I1729" s="59">
        <v>44470</v>
      </c>
      <c r="J1729" s="60">
        <f>EFEITO!$J$1729*EFEITO!$Y$1729</f>
        <v>0</v>
      </c>
      <c r="K1729" s="60">
        <f ca="1">EFEITO!$L$1729*EFEITO!$Z$1729</f>
        <v>-39613.576107928668</v>
      </c>
      <c r="L1729" s="60">
        <f>EFEITO!$N$1729*EFEITO!$AA$1729</f>
        <v>-22611.353232799604</v>
      </c>
      <c r="M1729" s="60">
        <f>$J$1729-EFEITO!$K$1729*EFEITO!$Y$1729</f>
        <v>0</v>
      </c>
      <c r="N1729" s="60">
        <f ca="1">$K$1729-EFEITO!$M$1729*EFEITO!$Z$1729</f>
        <v>0</v>
      </c>
      <c r="O1729" s="60">
        <f>$L$1729-EFEITO!$O$1729*EFEITO!$AA$1729</f>
        <v>0</v>
      </c>
      <c r="P1729" s="18"/>
      <c r="Q1729" s="18"/>
      <c r="R1729" s="18"/>
      <c r="S1729" s="18"/>
      <c r="T1729" s="18"/>
      <c r="U1729" s="18"/>
      <c r="V1729" s="18"/>
      <c r="W1729" s="18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</row>
    <row r="1730" spans="1:36" ht="11.25" customHeight="1" x14ac:dyDescent="0.2">
      <c r="A1730" s="51" t="s">
        <v>28</v>
      </c>
      <c r="B1730" s="51" t="s">
        <v>37</v>
      </c>
      <c r="C1730" s="51" t="s">
        <v>23</v>
      </c>
      <c r="D1730" s="51" t="s">
        <v>43</v>
      </c>
      <c r="E1730" s="51" t="s">
        <v>25</v>
      </c>
      <c r="F1730" s="51" t="s">
        <v>25</v>
      </c>
      <c r="G1730" s="51" t="s">
        <v>25</v>
      </c>
      <c r="H1730" s="51" t="s">
        <v>25</v>
      </c>
      <c r="I1730" s="59">
        <v>44470</v>
      </c>
      <c r="J1730" s="60">
        <f>EFEITO!$J$1730*EFEITO!$Y$1730</f>
        <v>0</v>
      </c>
      <c r="K1730" s="60">
        <f ca="1">EFEITO!$L$1730*EFEITO!$Z$1730</f>
        <v>665714.06098611362</v>
      </c>
      <c r="L1730" s="60">
        <f>EFEITO!$N$1730*EFEITO!$AA$1730</f>
        <v>379988.30865425739</v>
      </c>
      <c r="M1730" s="60">
        <f>$J$1730-EFEITO!$K$1730*EFEITO!$Y$1730</f>
        <v>0</v>
      </c>
      <c r="N1730" s="60">
        <f ca="1">$K$1730-EFEITO!$M$1730*EFEITO!$Z$1730</f>
        <v>0</v>
      </c>
      <c r="O1730" s="60">
        <f>$L$1730-EFEITO!$O$1730*EFEITO!$AA$1730</f>
        <v>0</v>
      </c>
      <c r="P1730" s="18"/>
      <c r="Q1730" s="18"/>
      <c r="R1730" s="18"/>
      <c r="S1730" s="18"/>
      <c r="T1730" s="18"/>
      <c r="U1730" s="18"/>
      <c r="V1730" s="18"/>
      <c r="W1730" s="18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</row>
    <row r="1731" spans="1:36" ht="11.25" customHeight="1" x14ac:dyDescent="0.2">
      <c r="A1731" s="51" t="s">
        <v>28</v>
      </c>
      <c r="B1731" s="51" t="s">
        <v>37</v>
      </c>
      <c r="C1731" s="51" t="s">
        <v>23</v>
      </c>
      <c r="D1731" s="51" t="s">
        <v>43</v>
      </c>
      <c r="E1731" s="51" t="s">
        <v>25</v>
      </c>
      <c r="F1731" s="51" t="s">
        <v>25</v>
      </c>
      <c r="G1731" s="51" t="s">
        <v>25</v>
      </c>
      <c r="H1731" s="51" t="s">
        <v>25</v>
      </c>
      <c r="I1731" s="59">
        <v>44470</v>
      </c>
      <c r="J1731" s="60">
        <f>EFEITO!$J$1731*EFEITO!$Y$1731</f>
        <v>0</v>
      </c>
      <c r="K1731" s="60">
        <f ca="1">EFEITO!$L$1731*EFEITO!$Z$1731</f>
        <v>-6860.3231026144031</v>
      </c>
      <c r="L1731" s="60">
        <f>EFEITO!$N$1731*EFEITO!$AA$1731</f>
        <v>-3915.8592635443097</v>
      </c>
      <c r="M1731" s="60">
        <f>$J$1731-EFEITO!$K$1731*EFEITO!$Y$1731</f>
        <v>0</v>
      </c>
      <c r="N1731" s="60">
        <f ca="1">$K$1731-EFEITO!$M$1731*EFEITO!$Z$1731</f>
        <v>0</v>
      </c>
      <c r="O1731" s="60">
        <f>$L$1731-EFEITO!$O$1731*EFEITO!$AA$1731</f>
        <v>0</v>
      </c>
      <c r="P1731" s="18"/>
      <c r="Q1731" s="18"/>
      <c r="R1731" s="18"/>
      <c r="S1731" s="18"/>
      <c r="T1731" s="18"/>
      <c r="U1731" s="18"/>
      <c r="V1731" s="18"/>
      <c r="W1731" s="18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</row>
    <row r="1732" spans="1:36" ht="11.25" customHeight="1" x14ac:dyDescent="0.2">
      <c r="A1732" s="51" t="s">
        <v>21</v>
      </c>
      <c r="B1732" s="51" t="s">
        <v>37</v>
      </c>
      <c r="C1732" s="51" t="s">
        <v>23</v>
      </c>
      <c r="D1732" s="51" t="s">
        <v>43</v>
      </c>
      <c r="E1732" s="51" t="s">
        <v>25</v>
      </c>
      <c r="F1732" s="51" t="s">
        <v>25</v>
      </c>
      <c r="G1732" s="51" t="s">
        <v>25</v>
      </c>
      <c r="H1732" s="51" t="s">
        <v>25</v>
      </c>
      <c r="I1732" s="59">
        <v>44501</v>
      </c>
      <c r="J1732" s="60">
        <f>EFEITO!$J$1732*EFEITO!$Y$1732</f>
        <v>0</v>
      </c>
      <c r="K1732" s="60">
        <f ca="1">EFEITO!$L$1732*EFEITO!$Z$1732</f>
        <v>8701221.2830108404</v>
      </c>
      <c r="L1732" s="60">
        <f>EFEITO!$N$1732*EFEITO!$AA$1732</f>
        <v>4966640.4126420952</v>
      </c>
      <c r="M1732" s="60">
        <f>$J$1732-EFEITO!$K$1732*EFEITO!$Y$1732</f>
        <v>0</v>
      </c>
      <c r="N1732" s="60">
        <f ca="1">$K$1732-EFEITO!$M$1732*EFEITO!$Z$1732</f>
        <v>0</v>
      </c>
      <c r="O1732" s="60">
        <f>$L$1732-EFEITO!$O$1732*EFEITO!$AA$1732</f>
        <v>0</v>
      </c>
      <c r="P1732" s="18"/>
      <c r="Q1732" s="18"/>
      <c r="R1732" s="18"/>
      <c r="S1732" s="18"/>
      <c r="T1732" s="18"/>
      <c r="U1732" s="18"/>
      <c r="V1732" s="18"/>
      <c r="W1732" s="18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</row>
    <row r="1733" spans="1:36" ht="11.25" customHeight="1" x14ac:dyDescent="0.2">
      <c r="A1733" s="51" t="s">
        <v>27</v>
      </c>
      <c r="B1733" s="51" t="s">
        <v>37</v>
      </c>
      <c r="C1733" s="51" t="s">
        <v>23</v>
      </c>
      <c r="D1733" s="51" t="s">
        <v>43</v>
      </c>
      <c r="E1733" s="51" t="s">
        <v>25</v>
      </c>
      <c r="F1733" s="51" t="s">
        <v>25</v>
      </c>
      <c r="G1733" s="51" t="s">
        <v>25</v>
      </c>
      <c r="H1733" s="51" t="s">
        <v>25</v>
      </c>
      <c r="I1733" s="59">
        <v>44501</v>
      </c>
      <c r="J1733" s="60">
        <f>EFEITO!$J$1733*EFEITO!$Y$1733</f>
        <v>0</v>
      </c>
      <c r="K1733" s="60">
        <f ca="1">EFEITO!$L$1733*EFEITO!$Z$1733</f>
        <v>-4738.8280043589602</v>
      </c>
      <c r="L1733" s="60">
        <f>EFEITO!$N$1733*EFEITO!$AA$1733</f>
        <v>-2704.9139321354255</v>
      </c>
      <c r="M1733" s="60">
        <f>$J$1733-EFEITO!$K$1733*EFEITO!$Y$1733</f>
        <v>0</v>
      </c>
      <c r="N1733" s="60">
        <f ca="1">$K$1733-EFEITO!$M$1733*EFEITO!$Z$1733</f>
        <v>0</v>
      </c>
      <c r="O1733" s="60">
        <f>$L$1733-EFEITO!$O$1733*EFEITO!$AA$1733</f>
        <v>0</v>
      </c>
      <c r="P1733" s="18"/>
      <c r="Q1733" s="18"/>
      <c r="R1733" s="18"/>
      <c r="S1733" s="18"/>
      <c r="T1733" s="18"/>
      <c r="U1733" s="18"/>
      <c r="V1733" s="18"/>
      <c r="W1733" s="18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</row>
    <row r="1734" spans="1:36" ht="11.25" customHeight="1" x14ac:dyDescent="0.2">
      <c r="A1734" s="51" t="s">
        <v>28</v>
      </c>
      <c r="B1734" s="51" t="s">
        <v>37</v>
      </c>
      <c r="C1734" s="51" t="s">
        <v>23</v>
      </c>
      <c r="D1734" s="51" t="s">
        <v>43</v>
      </c>
      <c r="E1734" s="51" t="s">
        <v>25</v>
      </c>
      <c r="F1734" s="51" t="s">
        <v>25</v>
      </c>
      <c r="G1734" s="51" t="s">
        <v>25</v>
      </c>
      <c r="H1734" s="51" t="s">
        <v>25</v>
      </c>
      <c r="I1734" s="59">
        <v>44501</v>
      </c>
      <c r="J1734" s="60">
        <f>EFEITO!$J$1734*EFEITO!$Y$1734</f>
        <v>0</v>
      </c>
      <c r="K1734" s="60">
        <f ca="1">EFEITO!$L$1734*EFEITO!$Z$1734</f>
        <v>682641.20724391891</v>
      </c>
      <c r="L1734" s="60">
        <f>EFEITO!$N$1734*EFEITO!$AA$1734</f>
        <v>389650.29125879909</v>
      </c>
      <c r="M1734" s="60">
        <f>$J$1734-EFEITO!$K$1734*EFEITO!$Y$1734</f>
        <v>0</v>
      </c>
      <c r="N1734" s="60">
        <f ca="1">$K$1734-EFEITO!$M$1734*EFEITO!$Z$1734</f>
        <v>0</v>
      </c>
      <c r="O1734" s="60">
        <f>$L$1734-EFEITO!$O$1734*EFEITO!$AA$1734</f>
        <v>0</v>
      </c>
      <c r="P1734" s="18"/>
      <c r="Q1734" s="18"/>
      <c r="R1734" s="18"/>
      <c r="S1734" s="18"/>
      <c r="T1734" s="18"/>
      <c r="U1734" s="18"/>
      <c r="V1734" s="18"/>
      <c r="W1734" s="18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</row>
    <row r="1735" spans="1:36" ht="11.25" customHeight="1" x14ac:dyDescent="0.2">
      <c r="A1735" s="51" t="s">
        <v>28</v>
      </c>
      <c r="B1735" s="51" t="s">
        <v>37</v>
      </c>
      <c r="C1735" s="51" t="s">
        <v>23</v>
      </c>
      <c r="D1735" s="51" t="s">
        <v>43</v>
      </c>
      <c r="E1735" s="51" t="s">
        <v>25</v>
      </c>
      <c r="F1735" s="51" t="s">
        <v>25</v>
      </c>
      <c r="G1735" s="51" t="s">
        <v>25</v>
      </c>
      <c r="H1735" s="51" t="s">
        <v>25</v>
      </c>
      <c r="I1735" s="59">
        <v>44501</v>
      </c>
      <c r="J1735" s="60">
        <f>EFEITO!$J$1735*EFEITO!$Y$1735</f>
        <v>0</v>
      </c>
      <c r="K1735" s="60">
        <f ca="1">EFEITO!$L$1735*EFEITO!$Z$1735</f>
        <v>-2589.786361223069</v>
      </c>
      <c r="L1735" s="60">
        <f>EFEITO!$N$1735*EFEITO!$AA$1735</f>
        <v>-1478.2450857644496</v>
      </c>
      <c r="M1735" s="60">
        <f>$J$1735-EFEITO!$K$1735*EFEITO!$Y$1735</f>
        <v>0</v>
      </c>
      <c r="N1735" s="60">
        <f ca="1">$K$1735-EFEITO!$M$1735*EFEITO!$Z$1735</f>
        <v>0</v>
      </c>
      <c r="O1735" s="60">
        <f>$L$1735-EFEITO!$O$1735*EFEITO!$AA$1735</f>
        <v>0</v>
      </c>
      <c r="P1735" s="18"/>
      <c r="Q1735" s="18"/>
      <c r="R1735" s="18"/>
      <c r="S1735" s="18"/>
      <c r="T1735" s="18"/>
      <c r="U1735" s="18"/>
      <c r="V1735" s="18"/>
      <c r="W1735" s="18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</row>
    <row r="1736" spans="1:36" ht="11.25" customHeight="1" x14ac:dyDescent="0.2">
      <c r="A1736" s="51" t="s">
        <v>21</v>
      </c>
      <c r="B1736" s="51" t="s">
        <v>37</v>
      </c>
      <c r="C1736" s="51" t="s">
        <v>23</v>
      </c>
      <c r="D1736" s="51" t="s">
        <v>43</v>
      </c>
      <c r="E1736" s="51" t="s">
        <v>25</v>
      </c>
      <c r="F1736" s="51" t="s">
        <v>25</v>
      </c>
      <c r="G1736" s="51" t="s">
        <v>25</v>
      </c>
      <c r="H1736" s="51" t="s">
        <v>25</v>
      </c>
      <c r="I1736" s="59">
        <v>44531</v>
      </c>
      <c r="J1736" s="60">
        <f>EFEITO!$J$1736*EFEITO!$Y$1736</f>
        <v>0</v>
      </c>
      <c r="K1736" s="60">
        <f ca="1">EFEITO!$L$1736*EFEITO!$Z$1736</f>
        <v>9252902.5156109594</v>
      </c>
      <c r="L1736" s="60">
        <f>EFEITO!$N$1736*EFEITO!$AA$1736</f>
        <v>5281539.0016571591</v>
      </c>
      <c r="M1736" s="60">
        <f>$J$1736-EFEITO!$K$1736*EFEITO!$Y$1736</f>
        <v>0</v>
      </c>
      <c r="N1736" s="60">
        <f ca="1">$K$1736-EFEITO!$M$1736*EFEITO!$Z$1736</f>
        <v>0</v>
      </c>
      <c r="O1736" s="60">
        <f>$L$1736-EFEITO!$O$1736*EFEITO!$AA$1736</f>
        <v>0</v>
      </c>
      <c r="P1736" s="18"/>
      <c r="Q1736" s="18"/>
      <c r="R1736" s="18"/>
      <c r="S1736" s="18"/>
      <c r="T1736" s="18"/>
      <c r="U1736" s="18"/>
      <c r="V1736" s="18"/>
      <c r="W1736" s="18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</row>
    <row r="1737" spans="1:36" ht="11.25" customHeight="1" x14ac:dyDescent="0.2">
      <c r="A1737" s="51" t="s">
        <v>27</v>
      </c>
      <c r="B1737" s="51" t="s">
        <v>37</v>
      </c>
      <c r="C1737" s="51" t="s">
        <v>23</v>
      </c>
      <c r="D1737" s="51" t="s">
        <v>43</v>
      </c>
      <c r="E1737" s="51" t="s">
        <v>25</v>
      </c>
      <c r="F1737" s="51" t="s">
        <v>25</v>
      </c>
      <c r="G1737" s="51" t="s">
        <v>25</v>
      </c>
      <c r="H1737" s="51" t="s">
        <v>25</v>
      </c>
      <c r="I1737" s="59">
        <v>44531</v>
      </c>
      <c r="J1737" s="60">
        <f>EFEITO!$J$1737*EFEITO!$Y$1737</f>
        <v>0</v>
      </c>
      <c r="K1737" s="60">
        <f ca="1">EFEITO!$L$1737*EFEITO!$Z$1737</f>
        <v>-169863.09657929032</v>
      </c>
      <c r="L1737" s="60">
        <f>EFEITO!$N$1737*EFEITO!$AA$1737</f>
        <v>-96957.529598110268</v>
      </c>
      <c r="M1737" s="60">
        <f>$J$1737-EFEITO!$K$1737*EFEITO!$Y$1737</f>
        <v>0</v>
      </c>
      <c r="N1737" s="60">
        <f ca="1">$K$1737-EFEITO!$M$1737*EFEITO!$Z$1737</f>
        <v>0</v>
      </c>
      <c r="O1737" s="60">
        <f>$L$1737-EFEITO!$O$1737*EFEITO!$AA$1737</f>
        <v>0</v>
      </c>
      <c r="P1737" s="18"/>
      <c r="Q1737" s="18"/>
      <c r="R1737" s="18"/>
      <c r="S1737" s="18"/>
      <c r="T1737" s="18"/>
      <c r="U1737" s="18"/>
      <c r="V1737" s="18"/>
      <c r="W1737" s="18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</row>
    <row r="1738" spans="1:36" ht="11.25" customHeight="1" x14ac:dyDescent="0.2">
      <c r="A1738" s="51" t="s">
        <v>28</v>
      </c>
      <c r="B1738" s="51" t="s">
        <v>37</v>
      </c>
      <c r="C1738" s="51" t="s">
        <v>23</v>
      </c>
      <c r="D1738" s="51" t="s">
        <v>43</v>
      </c>
      <c r="E1738" s="51" t="s">
        <v>25</v>
      </c>
      <c r="F1738" s="51" t="s">
        <v>25</v>
      </c>
      <c r="G1738" s="51" t="s">
        <v>25</v>
      </c>
      <c r="H1738" s="51" t="s">
        <v>25</v>
      </c>
      <c r="I1738" s="59">
        <v>44531</v>
      </c>
      <c r="J1738" s="60">
        <f>EFEITO!$J$1738*EFEITO!$Y$1738</f>
        <v>0</v>
      </c>
      <c r="K1738" s="60">
        <f ca="1">EFEITO!$L$1738*EFEITO!$Z$1738</f>
        <v>770909.38217501587</v>
      </c>
      <c r="L1738" s="60">
        <f>EFEITO!$N$1738*EFEITO!$AA$1738</f>
        <v>440033.59614255361</v>
      </c>
      <c r="M1738" s="60">
        <f>$J$1738-EFEITO!$K$1738*EFEITO!$Y$1738</f>
        <v>0</v>
      </c>
      <c r="N1738" s="60">
        <f ca="1">$K$1738-EFEITO!$M$1738*EFEITO!$Z$1738</f>
        <v>0</v>
      </c>
      <c r="O1738" s="60">
        <f>$L$1738-EFEITO!$O$1738*EFEITO!$AA$1738</f>
        <v>0</v>
      </c>
      <c r="P1738" s="18"/>
      <c r="Q1738" s="18"/>
      <c r="R1738" s="18"/>
      <c r="S1738" s="18"/>
      <c r="T1738" s="18"/>
      <c r="U1738" s="18"/>
      <c r="V1738" s="18"/>
      <c r="W1738" s="18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</row>
    <row r="1739" spans="1:36" ht="11.25" customHeight="1" x14ac:dyDescent="0.2">
      <c r="A1739" s="51" t="s">
        <v>28</v>
      </c>
      <c r="B1739" s="51" t="s">
        <v>37</v>
      </c>
      <c r="C1739" s="51" t="s">
        <v>23</v>
      </c>
      <c r="D1739" s="51" t="s">
        <v>43</v>
      </c>
      <c r="E1739" s="51" t="s">
        <v>25</v>
      </c>
      <c r="F1739" s="51" t="s">
        <v>25</v>
      </c>
      <c r="G1739" s="51" t="s">
        <v>25</v>
      </c>
      <c r="H1739" s="51" t="s">
        <v>25</v>
      </c>
      <c r="I1739" s="59">
        <v>44531</v>
      </c>
      <c r="J1739" s="60">
        <f>EFEITO!$J$1739*EFEITO!$Y$1739</f>
        <v>0</v>
      </c>
      <c r="K1739" s="60">
        <f ca="1">EFEITO!$L$1739*EFEITO!$Z$1739</f>
        <v>-1844.7962220682505</v>
      </c>
      <c r="L1739" s="60">
        <f>EFEITO!$N$1739*EFEITO!$AA$1739</f>
        <v>-1053.0061438045857</v>
      </c>
      <c r="M1739" s="60">
        <f>$J$1739-EFEITO!$K$1739*EFEITO!$Y$1739</f>
        <v>0</v>
      </c>
      <c r="N1739" s="60">
        <f ca="1">$K$1739-EFEITO!$M$1739*EFEITO!$Z$1739</f>
        <v>0</v>
      </c>
      <c r="O1739" s="60">
        <f>$L$1739-EFEITO!$O$1739*EFEITO!$AA$1739</f>
        <v>0</v>
      </c>
      <c r="P1739" s="18"/>
      <c r="Q1739" s="18"/>
      <c r="R1739" s="18"/>
      <c r="S1739" s="18"/>
      <c r="T1739" s="18"/>
      <c r="U1739" s="18"/>
      <c r="V1739" s="18"/>
      <c r="W1739" s="18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</row>
    <row r="1740" spans="1:36" ht="11.25" customHeight="1" x14ac:dyDescent="0.2">
      <c r="A1740" s="51" t="s">
        <v>21</v>
      </c>
      <c r="B1740" s="51" t="s">
        <v>37</v>
      </c>
      <c r="C1740" s="51" t="s">
        <v>23</v>
      </c>
      <c r="D1740" s="51" t="s">
        <v>43</v>
      </c>
      <c r="E1740" s="51" t="s">
        <v>25</v>
      </c>
      <c r="F1740" s="51" t="s">
        <v>25</v>
      </c>
      <c r="G1740" s="51" t="s">
        <v>25</v>
      </c>
      <c r="H1740" s="51" t="s">
        <v>25</v>
      </c>
      <c r="I1740" s="59">
        <v>44562</v>
      </c>
      <c r="J1740" s="60">
        <f>EFEITO!$J$1740*EFEITO!$Y$1740</f>
        <v>0</v>
      </c>
      <c r="K1740" s="60">
        <f ca="1">EFEITO!$L$1740*EFEITO!$Z$1740</f>
        <v>8902679.0331406221</v>
      </c>
      <c r="L1740" s="60">
        <f>EFEITO!$N$1740*EFEITO!$AA$1740</f>
        <v>5081632.1098637413</v>
      </c>
      <c r="M1740" s="60">
        <f>$J$1740-EFEITO!$K$1740*EFEITO!$Y$1740</f>
        <v>0</v>
      </c>
      <c r="N1740" s="60">
        <f ca="1">$K$1740-EFEITO!$M$1740*EFEITO!$Z$1740</f>
        <v>0</v>
      </c>
      <c r="O1740" s="60">
        <f>$L$1740-EFEITO!$O$1740*EFEITO!$AA$1740</f>
        <v>0</v>
      </c>
      <c r="P1740" s="18"/>
      <c r="Q1740" s="18"/>
      <c r="R1740" s="18"/>
      <c r="S1740" s="18"/>
      <c r="T1740" s="18"/>
      <c r="U1740" s="18"/>
      <c r="V1740" s="18"/>
      <c r="W1740" s="18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</row>
    <row r="1741" spans="1:36" ht="11.25" customHeight="1" x14ac:dyDescent="0.2">
      <c r="A1741" s="51" t="s">
        <v>27</v>
      </c>
      <c r="B1741" s="51" t="s">
        <v>37</v>
      </c>
      <c r="C1741" s="51" t="s">
        <v>23</v>
      </c>
      <c r="D1741" s="51" t="s">
        <v>43</v>
      </c>
      <c r="E1741" s="51" t="s">
        <v>25</v>
      </c>
      <c r="F1741" s="51" t="s">
        <v>25</v>
      </c>
      <c r="G1741" s="51" t="s">
        <v>25</v>
      </c>
      <c r="H1741" s="51" t="s">
        <v>25</v>
      </c>
      <c r="I1741" s="59">
        <v>44562</v>
      </c>
      <c r="J1741" s="60">
        <f>EFEITO!$J$1741*EFEITO!$Y$1741</f>
        <v>0</v>
      </c>
      <c r="K1741" s="60">
        <f ca="1">EFEITO!$L$1741*EFEITO!$Z$1741</f>
        <v>-19017.394529032077</v>
      </c>
      <c r="L1741" s="60">
        <f>EFEITO!$N$1741*EFEITO!$AA$1741</f>
        <v>-10855.092307038358</v>
      </c>
      <c r="M1741" s="60">
        <f>$J$1741-EFEITO!$K$1741*EFEITO!$Y$1741</f>
        <v>0</v>
      </c>
      <c r="N1741" s="60">
        <f ca="1">$K$1741-EFEITO!$M$1741*EFEITO!$Z$1741</f>
        <v>0</v>
      </c>
      <c r="O1741" s="60">
        <f>$L$1741-EFEITO!$O$1741*EFEITO!$AA$1741</f>
        <v>0</v>
      </c>
      <c r="P1741" s="18"/>
      <c r="Q1741" s="18"/>
      <c r="R1741" s="18"/>
      <c r="S1741" s="18"/>
      <c r="T1741" s="18"/>
      <c r="U1741" s="18"/>
      <c r="V1741" s="18"/>
      <c r="W1741" s="18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</row>
    <row r="1742" spans="1:36" ht="11.25" customHeight="1" x14ac:dyDescent="0.2">
      <c r="A1742" s="51" t="s">
        <v>28</v>
      </c>
      <c r="B1742" s="51" t="s">
        <v>37</v>
      </c>
      <c r="C1742" s="51" t="s">
        <v>23</v>
      </c>
      <c r="D1742" s="51" t="s">
        <v>43</v>
      </c>
      <c r="E1742" s="51" t="s">
        <v>25</v>
      </c>
      <c r="F1742" s="51" t="s">
        <v>25</v>
      </c>
      <c r="G1742" s="51" t="s">
        <v>25</v>
      </c>
      <c r="H1742" s="51" t="s">
        <v>25</v>
      </c>
      <c r="I1742" s="59">
        <v>44562</v>
      </c>
      <c r="J1742" s="60">
        <f>EFEITO!$J$1742*EFEITO!$Y$1742</f>
        <v>0</v>
      </c>
      <c r="K1742" s="60">
        <f ca="1">EFEITO!$L$1742*EFEITO!$Z$1742</f>
        <v>822644.26031526388</v>
      </c>
      <c r="L1742" s="60">
        <f>EFEITO!$N$1742*EFEITO!$AA$1742</f>
        <v>469563.76531732932</v>
      </c>
      <c r="M1742" s="60">
        <f>$J$1742-EFEITO!$K$1742*EFEITO!$Y$1742</f>
        <v>0</v>
      </c>
      <c r="N1742" s="60">
        <f ca="1">$K$1742-EFEITO!$M$1742*EFEITO!$Z$1742</f>
        <v>0</v>
      </c>
      <c r="O1742" s="60">
        <f>$L$1742-EFEITO!$O$1742*EFEITO!$AA$1742</f>
        <v>0</v>
      </c>
      <c r="P1742" s="18"/>
      <c r="Q1742" s="18"/>
      <c r="R1742" s="18"/>
      <c r="S1742" s="18"/>
      <c r="T1742" s="18"/>
      <c r="U1742" s="18"/>
      <c r="V1742" s="18"/>
      <c r="W1742" s="18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</row>
    <row r="1743" spans="1:36" ht="11.25" customHeight="1" x14ac:dyDescent="0.2">
      <c r="A1743" s="51" t="s">
        <v>28</v>
      </c>
      <c r="B1743" s="51" t="s">
        <v>37</v>
      </c>
      <c r="C1743" s="51" t="s">
        <v>23</v>
      </c>
      <c r="D1743" s="51" t="s">
        <v>43</v>
      </c>
      <c r="E1743" s="51" t="s">
        <v>25</v>
      </c>
      <c r="F1743" s="51" t="s">
        <v>25</v>
      </c>
      <c r="G1743" s="51" t="s">
        <v>25</v>
      </c>
      <c r="H1743" s="51" t="s">
        <v>25</v>
      </c>
      <c r="I1743" s="59">
        <v>44562</v>
      </c>
      <c r="J1743" s="60">
        <f>EFEITO!$J$1743*EFEITO!$Y$1743</f>
        <v>0</v>
      </c>
      <c r="K1743" s="60">
        <f ca="1">EFEITO!$L$1743*EFEITO!$Z$1743</f>
        <v>-1434.8871885487397</v>
      </c>
      <c r="L1743" s="60">
        <f>EFEITO!$N$1743*EFEITO!$AA$1743</f>
        <v>-819.03085399554368</v>
      </c>
      <c r="M1743" s="60">
        <f>$J$1743-EFEITO!$K$1743*EFEITO!$Y$1743</f>
        <v>0</v>
      </c>
      <c r="N1743" s="60">
        <f ca="1">$K$1743-EFEITO!$M$1743*EFEITO!$Z$1743</f>
        <v>0</v>
      </c>
      <c r="O1743" s="60">
        <f>$L$1743-EFEITO!$O$1743*EFEITO!$AA$1743</f>
        <v>0</v>
      </c>
      <c r="P1743" s="18"/>
      <c r="Q1743" s="18"/>
      <c r="R1743" s="18"/>
      <c r="S1743" s="18"/>
      <c r="T1743" s="18"/>
      <c r="U1743" s="18"/>
      <c r="V1743" s="18"/>
      <c r="W1743" s="18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</row>
    <row r="1744" spans="1:36" ht="11.25" customHeight="1" x14ac:dyDescent="0.2">
      <c r="A1744" s="51" t="s">
        <v>21</v>
      </c>
      <c r="B1744" s="51" t="s">
        <v>37</v>
      </c>
      <c r="C1744" s="51" t="s">
        <v>23</v>
      </c>
      <c r="D1744" s="51" t="s">
        <v>43</v>
      </c>
      <c r="E1744" s="51" t="s">
        <v>25</v>
      </c>
      <c r="F1744" s="51" t="s">
        <v>25</v>
      </c>
      <c r="G1744" s="51" t="s">
        <v>25</v>
      </c>
      <c r="H1744" s="51" t="s">
        <v>25</v>
      </c>
      <c r="I1744" s="59">
        <v>44593</v>
      </c>
      <c r="J1744" s="60">
        <f>EFEITO!$J$1744*EFEITO!$Y$1744</f>
        <v>0</v>
      </c>
      <c r="K1744" s="60">
        <f ca="1">EFEITO!$L$1744*EFEITO!$Z$1744</f>
        <v>8975146.5921567865</v>
      </c>
      <c r="L1744" s="60">
        <f>EFEITO!$N$1744*EFEITO!$AA$1744</f>
        <v>5122996.4535011062</v>
      </c>
      <c r="M1744" s="60">
        <f>$J$1744-EFEITO!$K$1744*EFEITO!$Y$1744</f>
        <v>0</v>
      </c>
      <c r="N1744" s="60">
        <f ca="1">$K$1744-EFEITO!$M$1744*EFEITO!$Z$1744</f>
        <v>0</v>
      </c>
      <c r="O1744" s="60">
        <f>$L$1744-EFEITO!$O$1744*EFEITO!$AA$1744</f>
        <v>0</v>
      </c>
      <c r="P1744" s="18"/>
      <c r="Q1744" s="18"/>
      <c r="R1744" s="18"/>
      <c r="S1744" s="18"/>
      <c r="T1744" s="18"/>
      <c r="U1744" s="18"/>
      <c r="V1744" s="18"/>
      <c r="W1744" s="18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</row>
    <row r="1745" spans="1:36" ht="11.25" customHeight="1" x14ac:dyDescent="0.2">
      <c r="A1745" s="51" t="s">
        <v>27</v>
      </c>
      <c r="B1745" s="51" t="s">
        <v>37</v>
      </c>
      <c r="C1745" s="51" t="s">
        <v>23</v>
      </c>
      <c r="D1745" s="51" t="s">
        <v>43</v>
      </c>
      <c r="E1745" s="51" t="s">
        <v>25</v>
      </c>
      <c r="F1745" s="51" t="s">
        <v>25</v>
      </c>
      <c r="G1745" s="51" t="s">
        <v>25</v>
      </c>
      <c r="H1745" s="51" t="s">
        <v>25</v>
      </c>
      <c r="I1745" s="59">
        <v>44593</v>
      </c>
      <c r="J1745" s="60">
        <f>EFEITO!$J$1745*EFEITO!$Y$1745</f>
        <v>0</v>
      </c>
      <c r="K1745" s="60">
        <f ca="1">EFEITO!$L$1745*EFEITO!$Z$1745</f>
        <v>-812.00636028187989</v>
      </c>
      <c r="L1745" s="60">
        <f>EFEITO!$N$1745*EFEITO!$AA$1745</f>
        <v>-463.49167239002827</v>
      </c>
      <c r="M1745" s="60">
        <f>$J$1745-EFEITO!$K$1745*EFEITO!$Y$1745</f>
        <v>0</v>
      </c>
      <c r="N1745" s="60">
        <f ca="1">$K$1745-EFEITO!$M$1745*EFEITO!$Z$1745</f>
        <v>0</v>
      </c>
      <c r="O1745" s="60">
        <f>$L$1745-EFEITO!$O$1745*EFEITO!$AA$1745</f>
        <v>0</v>
      </c>
      <c r="P1745" s="18"/>
      <c r="Q1745" s="18"/>
      <c r="R1745" s="18"/>
      <c r="S1745" s="18"/>
      <c r="T1745" s="18"/>
      <c r="U1745" s="18"/>
      <c r="V1745" s="18"/>
      <c r="W1745" s="18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</row>
    <row r="1746" spans="1:36" ht="11.25" customHeight="1" x14ac:dyDescent="0.2">
      <c r="A1746" s="51" t="s">
        <v>28</v>
      </c>
      <c r="B1746" s="51" t="s">
        <v>37</v>
      </c>
      <c r="C1746" s="51" t="s">
        <v>23</v>
      </c>
      <c r="D1746" s="51" t="s">
        <v>43</v>
      </c>
      <c r="E1746" s="51" t="s">
        <v>25</v>
      </c>
      <c r="F1746" s="51" t="s">
        <v>25</v>
      </c>
      <c r="G1746" s="51" t="s">
        <v>25</v>
      </c>
      <c r="H1746" s="51" t="s">
        <v>25</v>
      </c>
      <c r="I1746" s="59">
        <v>44593</v>
      </c>
      <c r="J1746" s="60">
        <f>EFEITO!$J$1746*EFEITO!$Y$1746</f>
        <v>0</v>
      </c>
      <c r="K1746" s="60">
        <f ca="1">EFEITO!$L$1746*EFEITO!$Z$1746</f>
        <v>798418.92423398339</v>
      </c>
      <c r="L1746" s="60">
        <f>EFEITO!$N$1746*EFEITO!$AA$1746</f>
        <v>455735.98996514437</v>
      </c>
      <c r="M1746" s="60">
        <f>$J$1746-EFEITO!$K$1746*EFEITO!$Y$1746</f>
        <v>0</v>
      </c>
      <c r="N1746" s="60">
        <f ca="1">$K$1746-EFEITO!$M$1746*EFEITO!$Z$1746</f>
        <v>0</v>
      </c>
      <c r="O1746" s="60">
        <f>$L$1746-EFEITO!$O$1746*EFEITO!$AA$1746</f>
        <v>0</v>
      </c>
      <c r="P1746" s="18"/>
      <c r="Q1746" s="18"/>
      <c r="R1746" s="18"/>
      <c r="S1746" s="18"/>
      <c r="T1746" s="18"/>
      <c r="U1746" s="18"/>
      <c r="V1746" s="18"/>
      <c r="W1746" s="18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</row>
    <row r="1747" spans="1:36" ht="11.25" customHeight="1" x14ac:dyDescent="0.2">
      <c r="A1747" s="51" t="s">
        <v>28</v>
      </c>
      <c r="B1747" s="51" t="s">
        <v>37</v>
      </c>
      <c r="C1747" s="51" t="s">
        <v>23</v>
      </c>
      <c r="D1747" s="51" t="s">
        <v>43</v>
      </c>
      <c r="E1747" s="51" t="s">
        <v>25</v>
      </c>
      <c r="F1747" s="51" t="s">
        <v>25</v>
      </c>
      <c r="G1747" s="51" t="s">
        <v>25</v>
      </c>
      <c r="H1747" s="51" t="s">
        <v>25</v>
      </c>
      <c r="I1747" s="59">
        <v>44593</v>
      </c>
      <c r="J1747" s="60">
        <f>EFEITO!$J$1747*EFEITO!$Y$1747</f>
        <v>0</v>
      </c>
      <c r="K1747" s="60">
        <f ca="1">EFEITO!$L$1747*EFEITO!$Z$1747</f>
        <v>-239.28491224509065</v>
      </c>
      <c r="L1747" s="60">
        <f>EFEITO!$N$1747*EFEITO!$AA$1747</f>
        <v>-136.58336877518806</v>
      </c>
      <c r="M1747" s="60">
        <f>$J$1747-EFEITO!$K$1747*EFEITO!$Y$1747</f>
        <v>0</v>
      </c>
      <c r="N1747" s="60">
        <f ca="1">$K$1747-EFEITO!$M$1747*EFEITO!$Z$1747</f>
        <v>0</v>
      </c>
      <c r="O1747" s="60">
        <f>$L$1747-EFEITO!$O$1747*EFEITO!$AA$1747</f>
        <v>0</v>
      </c>
      <c r="P1747" s="18"/>
      <c r="Q1747" s="18"/>
      <c r="R1747" s="18"/>
      <c r="S1747" s="18"/>
      <c r="T1747" s="18"/>
      <c r="U1747" s="18"/>
      <c r="V1747" s="18"/>
      <c r="W1747" s="18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</row>
    <row r="1748" spans="1:36" ht="11.25" customHeight="1" x14ac:dyDescent="0.2">
      <c r="A1748" s="51" t="s">
        <v>56</v>
      </c>
      <c r="B1748" s="51" t="s">
        <v>37</v>
      </c>
      <c r="C1748" s="51" t="s">
        <v>23</v>
      </c>
      <c r="D1748" s="51" t="s">
        <v>43</v>
      </c>
      <c r="E1748" s="51" t="s">
        <v>25</v>
      </c>
      <c r="F1748" s="51" t="s">
        <v>25</v>
      </c>
      <c r="G1748" s="51" t="s">
        <v>25</v>
      </c>
      <c r="H1748" s="51" t="s">
        <v>25</v>
      </c>
      <c r="I1748" s="59">
        <v>44621</v>
      </c>
      <c r="J1748" s="60">
        <f>EFEITO!$J$1748*EFEITO!$Y$1748</f>
        <v>0</v>
      </c>
      <c r="K1748" s="60">
        <f ca="1">EFEITO!$L$1748*EFEITO!$Z$1748</f>
        <v>8975146.5921567865</v>
      </c>
      <c r="L1748" s="60">
        <f>EFEITO!$N$1748*EFEITO!$AA$1748</f>
        <v>5122996.4535011062</v>
      </c>
      <c r="M1748" s="60">
        <f>$J$1748-EFEITO!$K$1748*EFEITO!$Y$1748</f>
        <v>0</v>
      </c>
      <c r="N1748" s="60">
        <f ca="1">$K$1748-EFEITO!$M$1748*EFEITO!$Z$1748</f>
        <v>0</v>
      </c>
      <c r="O1748" s="60">
        <f>$L$1748-EFEITO!$O$1748*EFEITO!$AA$1748</f>
        <v>0</v>
      </c>
      <c r="P1748" s="18"/>
      <c r="Q1748" s="18"/>
      <c r="R1748" s="18"/>
      <c r="S1748" s="18"/>
      <c r="T1748" s="18"/>
      <c r="U1748" s="18"/>
      <c r="V1748" s="18"/>
      <c r="W1748" s="18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</row>
    <row r="1749" spans="1:36" ht="11.25" customHeight="1" x14ac:dyDescent="0.2">
      <c r="A1749" s="51" t="s">
        <v>56</v>
      </c>
      <c r="B1749" s="51" t="s">
        <v>37</v>
      </c>
      <c r="C1749" s="51" t="s">
        <v>23</v>
      </c>
      <c r="D1749" s="51" t="s">
        <v>43</v>
      </c>
      <c r="E1749" s="51" t="s">
        <v>25</v>
      </c>
      <c r="F1749" s="51" t="s">
        <v>25</v>
      </c>
      <c r="G1749" s="51" t="s">
        <v>25</v>
      </c>
      <c r="H1749" s="51" t="s">
        <v>25</v>
      </c>
      <c r="I1749" s="59">
        <v>44621</v>
      </c>
      <c r="J1749" s="60">
        <f>EFEITO!$J$1749*EFEITO!$Y$1749</f>
        <v>0</v>
      </c>
      <c r="K1749" s="60">
        <f ca="1">EFEITO!$L$1749*EFEITO!$Z$1749</f>
        <v>-812.00636028187989</v>
      </c>
      <c r="L1749" s="60">
        <f>EFEITO!$N$1749*EFEITO!$AA$1749</f>
        <v>-463.49167239002827</v>
      </c>
      <c r="M1749" s="60">
        <f>$J$1749-EFEITO!$K$1749*EFEITO!$Y$1749</f>
        <v>0</v>
      </c>
      <c r="N1749" s="60">
        <f ca="1">$K$1749-EFEITO!$M$1749*EFEITO!$Z$1749</f>
        <v>0</v>
      </c>
      <c r="O1749" s="60">
        <f>$L$1749-EFEITO!$O$1749*EFEITO!$AA$1749</f>
        <v>0</v>
      </c>
      <c r="P1749" s="18"/>
      <c r="Q1749" s="18"/>
      <c r="R1749" s="18"/>
      <c r="S1749" s="18"/>
      <c r="T1749" s="18"/>
      <c r="U1749" s="18"/>
      <c r="V1749" s="18"/>
      <c r="W1749" s="18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</row>
    <row r="1750" spans="1:36" ht="11.25" customHeight="1" x14ac:dyDescent="0.2">
      <c r="A1750" s="51" t="s">
        <v>56</v>
      </c>
      <c r="B1750" s="51" t="s">
        <v>37</v>
      </c>
      <c r="C1750" s="51" t="s">
        <v>23</v>
      </c>
      <c r="D1750" s="51" t="s">
        <v>43</v>
      </c>
      <c r="E1750" s="51" t="s">
        <v>25</v>
      </c>
      <c r="F1750" s="51" t="s">
        <v>25</v>
      </c>
      <c r="G1750" s="51" t="s">
        <v>25</v>
      </c>
      <c r="H1750" s="51" t="s">
        <v>25</v>
      </c>
      <c r="I1750" s="59">
        <v>44621</v>
      </c>
      <c r="J1750" s="60">
        <f>EFEITO!$J$1750*EFEITO!$Y$1750</f>
        <v>0</v>
      </c>
      <c r="K1750" s="60">
        <f ca="1">EFEITO!$L$1750*EFEITO!$Z$1750</f>
        <v>798418.92423398339</v>
      </c>
      <c r="L1750" s="60">
        <f>EFEITO!$N$1750*EFEITO!$AA$1750</f>
        <v>455735.98996514437</v>
      </c>
      <c r="M1750" s="60">
        <f>$J$1750-EFEITO!$K$1750*EFEITO!$Y$1750</f>
        <v>0</v>
      </c>
      <c r="N1750" s="60">
        <f ca="1">$K$1750-EFEITO!$M$1750*EFEITO!$Z$1750</f>
        <v>0</v>
      </c>
      <c r="O1750" s="60">
        <f>$L$1750-EFEITO!$O$1750*EFEITO!$AA$1750</f>
        <v>0</v>
      </c>
      <c r="P1750" s="18"/>
      <c r="Q1750" s="18"/>
      <c r="R1750" s="18"/>
      <c r="S1750" s="18"/>
      <c r="T1750" s="18"/>
      <c r="U1750" s="18"/>
      <c r="V1750" s="18"/>
      <c r="W1750" s="18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</row>
    <row r="1751" spans="1:36" ht="11.25" customHeight="1" x14ac:dyDescent="0.2">
      <c r="A1751" s="51" t="s">
        <v>56</v>
      </c>
      <c r="B1751" s="51" t="s">
        <v>37</v>
      </c>
      <c r="C1751" s="51" t="s">
        <v>23</v>
      </c>
      <c r="D1751" s="51" t="s">
        <v>43</v>
      </c>
      <c r="E1751" s="51" t="s">
        <v>25</v>
      </c>
      <c r="F1751" s="51" t="s">
        <v>25</v>
      </c>
      <c r="G1751" s="51" t="s">
        <v>25</v>
      </c>
      <c r="H1751" s="51" t="s">
        <v>25</v>
      </c>
      <c r="I1751" s="59">
        <v>44621</v>
      </c>
      <c r="J1751" s="60">
        <f>EFEITO!$J$1751*EFEITO!$Y$1751</f>
        <v>0</v>
      </c>
      <c r="K1751" s="60">
        <f ca="1">EFEITO!$L$1751*EFEITO!$Z$1751</f>
        <v>-239.28491224509065</v>
      </c>
      <c r="L1751" s="60">
        <f>EFEITO!$N$1751*EFEITO!$AA$1751</f>
        <v>-136.58336877518806</v>
      </c>
      <c r="M1751" s="60">
        <f>$J$1751-EFEITO!$K$1751*EFEITO!$Y$1751</f>
        <v>0</v>
      </c>
      <c r="N1751" s="60">
        <f ca="1">$K$1751-EFEITO!$M$1751*EFEITO!$Z$1751</f>
        <v>0</v>
      </c>
      <c r="O1751" s="60">
        <f>$L$1751-EFEITO!$O$1751*EFEITO!$AA$1751</f>
        <v>0</v>
      </c>
      <c r="P1751" s="18"/>
      <c r="Q1751" s="18"/>
      <c r="R1751" s="18"/>
      <c r="S1751" s="18"/>
      <c r="T1751" s="18"/>
      <c r="U1751" s="18"/>
      <c r="V1751" s="18"/>
      <c r="W1751" s="18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</row>
    <row r="1752" spans="1:36" ht="11.25" customHeight="1" x14ac:dyDescent="0.2">
      <c r="A1752" s="51" t="s">
        <v>21</v>
      </c>
      <c r="B1752" s="51" t="s">
        <v>37</v>
      </c>
      <c r="C1752" s="51" t="s">
        <v>23</v>
      </c>
      <c r="D1752" s="51" t="s">
        <v>52</v>
      </c>
      <c r="E1752" s="51" t="s">
        <v>25</v>
      </c>
      <c r="F1752" s="51" t="s">
        <v>25</v>
      </c>
      <c r="G1752" s="51" t="s">
        <v>25</v>
      </c>
      <c r="H1752" s="51" t="s">
        <v>25</v>
      </c>
      <c r="I1752" s="59">
        <v>44287</v>
      </c>
      <c r="J1752" s="60">
        <f>EFEITO!$J$1752*EFEITO!$Y$1752</f>
        <v>0</v>
      </c>
      <c r="K1752" s="60">
        <f ca="1">EFEITO!$L$1752*EFEITO!$Z$1752</f>
        <v>55893.172989812876</v>
      </c>
      <c r="L1752" s="60">
        <f>EFEITO!$N$1752*EFEITO!$AA$1752</f>
        <v>31903.715896068243</v>
      </c>
      <c r="M1752" s="60">
        <f>$J$1752-EFEITO!$K$1752*EFEITO!$Y$1752</f>
        <v>0</v>
      </c>
      <c r="N1752" s="60">
        <f ca="1">$K$1752-EFEITO!$M$1752*EFEITO!$Z$1752</f>
        <v>0</v>
      </c>
      <c r="O1752" s="60">
        <f>$L$1752-EFEITO!$O$1752*EFEITO!$AA$1752</f>
        <v>0</v>
      </c>
      <c r="P1752" s="18"/>
      <c r="Q1752" s="18"/>
      <c r="R1752" s="18"/>
      <c r="S1752" s="18"/>
      <c r="T1752" s="18"/>
      <c r="U1752" s="18"/>
      <c r="V1752" s="18"/>
      <c r="W1752" s="18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</row>
    <row r="1753" spans="1:36" ht="11.25" customHeight="1" x14ac:dyDescent="0.2">
      <c r="A1753" s="51" t="s">
        <v>21</v>
      </c>
      <c r="B1753" s="51" t="s">
        <v>37</v>
      </c>
      <c r="C1753" s="51" t="s">
        <v>23</v>
      </c>
      <c r="D1753" s="51" t="s">
        <v>52</v>
      </c>
      <c r="E1753" s="51" t="s">
        <v>25</v>
      </c>
      <c r="F1753" s="51" t="s">
        <v>25</v>
      </c>
      <c r="G1753" s="51" t="s">
        <v>25</v>
      </c>
      <c r="H1753" s="51" t="s">
        <v>25</v>
      </c>
      <c r="I1753" s="59">
        <v>44317</v>
      </c>
      <c r="J1753" s="60">
        <f>EFEITO!$J$1753*EFEITO!$Y$1753</f>
        <v>0</v>
      </c>
      <c r="K1753" s="60">
        <f ca="1">EFEITO!$L$1753*EFEITO!$Z$1753</f>
        <v>48043.229983806836</v>
      </c>
      <c r="L1753" s="60">
        <f>EFEITO!$N$1753*EFEITO!$AA$1753</f>
        <v>27422.983490527578</v>
      </c>
      <c r="M1753" s="60">
        <f>$J$1753-EFEITO!$K$1753*EFEITO!$Y$1753</f>
        <v>0</v>
      </c>
      <c r="N1753" s="60">
        <f ca="1">$K$1753-EFEITO!$M$1753*EFEITO!$Z$1753</f>
        <v>0</v>
      </c>
      <c r="O1753" s="60">
        <f>$L$1753-EFEITO!$O$1753*EFEITO!$AA$1753</f>
        <v>0</v>
      </c>
      <c r="P1753" s="18"/>
      <c r="Q1753" s="18"/>
      <c r="R1753" s="18"/>
      <c r="S1753" s="18"/>
      <c r="T1753" s="18"/>
      <c r="U1753" s="18"/>
      <c r="V1753" s="18"/>
      <c r="W1753" s="18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</row>
    <row r="1754" spans="1:36" ht="11.25" customHeight="1" x14ac:dyDescent="0.2">
      <c r="A1754" s="51" t="s">
        <v>21</v>
      </c>
      <c r="B1754" s="51" t="s">
        <v>37</v>
      </c>
      <c r="C1754" s="51" t="s">
        <v>23</v>
      </c>
      <c r="D1754" s="51" t="s">
        <v>52</v>
      </c>
      <c r="E1754" s="51" t="s">
        <v>25</v>
      </c>
      <c r="F1754" s="51" t="s">
        <v>25</v>
      </c>
      <c r="G1754" s="51" t="s">
        <v>25</v>
      </c>
      <c r="H1754" s="51" t="s">
        <v>25</v>
      </c>
      <c r="I1754" s="59">
        <v>44348</v>
      </c>
      <c r="J1754" s="60">
        <f>EFEITO!$J$1754*EFEITO!$Y$1754</f>
        <v>0</v>
      </c>
      <c r="K1754" s="60">
        <f ca="1">EFEITO!$L$1754*EFEITO!$Z$1754</f>
        <v>45578.019788237143</v>
      </c>
      <c r="L1754" s="60">
        <f>EFEITO!$N$1754*EFEITO!$AA$1754</f>
        <v>26015.846241084233</v>
      </c>
      <c r="M1754" s="60">
        <f>$J$1754-EFEITO!$K$1754*EFEITO!$Y$1754</f>
        <v>0</v>
      </c>
      <c r="N1754" s="60">
        <f ca="1">$K$1754-EFEITO!$M$1754*EFEITO!$Z$1754</f>
        <v>0</v>
      </c>
      <c r="O1754" s="60">
        <f>$L$1754-EFEITO!$O$1754*EFEITO!$AA$1754</f>
        <v>0</v>
      </c>
      <c r="P1754" s="18"/>
      <c r="Q1754" s="18"/>
      <c r="R1754" s="18"/>
      <c r="S1754" s="18"/>
      <c r="T1754" s="18"/>
      <c r="U1754" s="18"/>
      <c r="V1754" s="18"/>
      <c r="W1754" s="18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</row>
    <row r="1755" spans="1:36" ht="11.25" customHeight="1" x14ac:dyDescent="0.2">
      <c r="A1755" s="51" t="s">
        <v>27</v>
      </c>
      <c r="B1755" s="51" t="s">
        <v>37</v>
      </c>
      <c r="C1755" s="51" t="s">
        <v>23</v>
      </c>
      <c r="D1755" s="51" t="s">
        <v>52</v>
      </c>
      <c r="E1755" s="51" t="s">
        <v>25</v>
      </c>
      <c r="F1755" s="51" t="s">
        <v>25</v>
      </c>
      <c r="G1755" s="51" t="s">
        <v>25</v>
      </c>
      <c r="H1755" s="51" t="s">
        <v>25</v>
      </c>
      <c r="I1755" s="59">
        <v>44348</v>
      </c>
      <c r="J1755" s="60">
        <f>EFEITO!$J$1755*EFEITO!$Y$1755</f>
        <v>0</v>
      </c>
      <c r="K1755" s="60">
        <f ca="1">EFEITO!$L$1755*EFEITO!$Z$1755</f>
        <v>41.114246090221769</v>
      </c>
      <c r="L1755" s="60">
        <f>EFEITO!$N$1755*EFEITO!$AA$1755</f>
        <v>23.467932779241938</v>
      </c>
      <c r="M1755" s="60">
        <f>$J$1755-EFEITO!$K$1755*EFEITO!$Y$1755</f>
        <v>0</v>
      </c>
      <c r="N1755" s="60">
        <f ca="1">$K$1755-EFEITO!$M$1755*EFEITO!$Z$1755</f>
        <v>0</v>
      </c>
      <c r="O1755" s="60">
        <f>$L$1755-EFEITO!$O$1755*EFEITO!$AA$1755</f>
        <v>0</v>
      </c>
      <c r="P1755" s="18"/>
      <c r="Q1755" s="18"/>
      <c r="R1755" s="18"/>
      <c r="S1755" s="18"/>
      <c r="T1755" s="18"/>
      <c r="U1755" s="18"/>
      <c r="V1755" s="18"/>
      <c r="W1755" s="18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</row>
    <row r="1756" spans="1:36" ht="11.25" customHeight="1" x14ac:dyDescent="0.2">
      <c r="A1756" s="51" t="s">
        <v>21</v>
      </c>
      <c r="B1756" s="51" t="s">
        <v>37</v>
      </c>
      <c r="C1756" s="51" t="s">
        <v>23</v>
      </c>
      <c r="D1756" s="51" t="s">
        <v>52</v>
      </c>
      <c r="E1756" s="51" t="s">
        <v>25</v>
      </c>
      <c r="F1756" s="51" t="s">
        <v>25</v>
      </c>
      <c r="G1756" s="51" t="s">
        <v>25</v>
      </c>
      <c r="H1756" s="51" t="s">
        <v>25</v>
      </c>
      <c r="I1756" s="59">
        <v>44378</v>
      </c>
      <c r="J1756" s="60">
        <f>EFEITO!$J$1756*EFEITO!$Y$1756</f>
        <v>0</v>
      </c>
      <c r="K1756" s="60">
        <f ca="1">EFEITO!$L$1756*EFEITO!$Z$1756</f>
        <v>45263.08466318604</v>
      </c>
      <c r="L1756" s="60">
        <f>EFEITO!$N$1756*EFEITO!$AA$1756</f>
        <v>25836.081875995238</v>
      </c>
      <c r="M1756" s="60">
        <f>$J$1756-EFEITO!$K$1756*EFEITO!$Y$1756</f>
        <v>0</v>
      </c>
      <c r="N1756" s="60">
        <f ca="1">$K$1756-EFEITO!$M$1756*EFEITO!$Z$1756</f>
        <v>0</v>
      </c>
      <c r="O1756" s="60">
        <f>$L$1756-EFEITO!$O$1756*EFEITO!$AA$1756</f>
        <v>0</v>
      </c>
      <c r="P1756" s="18"/>
      <c r="Q1756" s="18"/>
      <c r="R1756" s="18"/>
      <c r="S1756" s="18"/>
      <c r="T1756" s="18"/>
      <c r="U1756" s="18"/>
      <c r="V1756" s="18"/>
      <c r="W1756" s="18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</row>
    <row r="1757" spans="1:36" ht="11.25" customHeight="1" x14ac:dyDescent="0.2">
      <c r="A1757" s="51" t="s">
        <v>21</v>
      </c>
      <c r="B1757" s="51" t="s">
        <v>37</v>
      </c>
      <c r="C1757" s="51" t="s">
        <v>23</v>
      </c>
      <c r="D1757" s="51" t="s">
        <v>52</v>
      </c>
      <c r="E1757" s="51" t="s">
        <v>25</v>
      </c>
      <c r="F1757" s="51" t="s">
        <v>25</v>
      </c>
      <c r="G1757" s="51" t="s">
        <v>25</v>
      </c>
      <c r="H1757" s="51" t="s">
        <v>25</v>
      </c>
      <c r="I1757" s="59">
        <v>44409</v>
      </c>
      <c r="J1757" s="60">
        <f>EFEITO!$J$1757*EFEITO!$Y$1757</f>
        <v>0</v>
      </c>
      <c r="K1757" s="60">
        <f ca="1">EFEITO!$L$1757*EFEITO!$Z$1757</f>
        <v>44024.312428487661</v>
      </c>
      <c r="L1757" s="60">
        <f>EFEITO!$N$1757*EFEITO!$AA$1757</f>
        <v>25128.993061356683</v>
      </c>
      <c r="M1757" s="60">
        <f>$J$1757-EFEITO!$K$1757*EFEITO!$Y$1757</f>
        <v>0</v>
      </c>
      <c r="N1757" s="60">
        <f ca="1">$K$1757-EFEITO!$M$1757*EFEITO!$Z$1757</f>
        <v>0</v>
      </c>
      <c r="O1757" s="60">
        <f>$L$1757-EFEITO!$O$1757*EFEITO!$AA$1757</f>
        <v>0</v>
      </c>
      <c r="P1757" s="18"/>
      <c r="Q1757" s="18"/>
      <c r="R1757" s="18"/>
      <c r="S1757" s="18"/>
      <c r="T1757" s="18"/>
      <c r="U1757" s="18"/>
      <c r="V1757" s="18"/>
      <c r="W1757" s="18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</row>
    <row r="1758" spans="1:36" ht="11.25" customHeight="1" x14ac:dyDescent="0.2">
      <c r="A1758" s="51" t="s">
        <v>21</v>
      </c>
      <c r="B1758" s="51" t="s">
        <v>37</v>
      </c>
      <c r="C1758" s="51" t="s">
        <v>23</v>
      </c>
      <c r="D1758" s="51" t="s">
        <v>52</v>
      </c>
      <c r="E1758" s="51" t="s">
        <v>25</v>
      </c>
      <c r="F1758" s="51" t="s">
        <v>25</v>
      </c>
      <c r="G1758" s="51" t="s">
        <v>25</v>
      </c>
      <c r="H1758" s="51" t="s">
        <v>25</v>
      </c>
      <c r="I1758" s="59">
        <v>44440</v>
      </c>
      <c r="J1758" s="60">
        <f>EFEITO!$J$1758*EFEITO!$Y$1758</f>
        <v>0</v>
      </c>
      <c r="K1758" s="60">
        <f ca="1">EFEITO!$L$1758*EFEITO!$Z$1758</f>
        <v>46055.767327805523</v>
      </c>
      <c r="L1758" s="60">
        <f>EFEITO!$N$1758*EFEITO!$AA$1758</f>
        <v>26288.543619979027</v>
      </c>
      <c r="M1758" s="60">
        <f>$J$1758-EFEITO!$K$1758*EFEITO!$Y$1758</f>
        <v>0</v>
      </c>
      <c r="N1758" s="60">
        <f ca="1">$K$1758-EFEITO!$M$1758*EFEITO!$Z$1758</f>
        <v>0</v>
      </c>
      <c r="O1758" s="60">
        <f>$L$1758-EFEITO!$O$1758*EFEITO!$AA$1758</f>
        <v>0</v>
      </c>
      <c r="P1758" s="18"/>
      <c r="Q1758" s="18"/>
      <c r="R1758" s="18"/>
      <c r="S1758" s="18"/>
      <c r="T1758" s="18"/>
      <c r="U1758" s="18"/>
      <c r="V1758" s="18"/>
      <c r="W1758" s="18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</row>
    <row r="1759" spans="1:36" ht="11.25" customHeight="1" x14ac:dyDescent="0.2">
      <c r="A1759" s="51" t="s">
        <v>21</v>
      </c>
      <c r="B1759" s="51" t="s">
        <v>37</v>
      </c>
      <c r="C1759" s="51" t="s">
        <v>23</v>
      </c>
      <c r="D1759" s="51" t="s">
        <v>52</v>
      </c>
      <c r="E1759" s="51" t="s">
        <v>25</v>
      </c>
      <c r="F1759" s="51" t="s">
        <v>25</v>
      </c>
      <c r="G1759" s="51" t="s">
        <v>25</v>
      </c>
      <c r="H1759" s="51" t="s">
        <v>25</v>
      </c>
      <c r="I1759" s="59">
        <v>44470</v>
      </c>
      <c r="J1759" s="60">
        <f>EFEITO!$J$1759*EFEITO!$Y$1759</f>
        <v>0</v>
      </c>
      <c r="K1759" s="60">
        <f ca="1">EFEITO!$L$1759*EFEITO!$Z$1759</f>
        <v>51692.119324314015</v>
      </c>
      <c r="L1759" s="60">
        <f>EFEITO!$N$1759*EFEITO!$AA$1759</f>
        <v>29505.762524685302</v>
      </c>
      <c r="M1759" s="60">
        <f>$J$1759-EFEITO!$K$1759*EFEITO!$Y$1759</f>
        <v>0</v>
      </c>
      <c r="N1759" s="60">
        <f ca="1">$K$1759-EFEITO!$M$1759*EFEITO!$Z$1759</f>
        <v>0</v>
      </c>
      <c r="O1759" s="60">
        <f>$L$1759-EFEITO!$O$1759*EFEITO!$AA$1759</f>
        <v>0</v>
      </c>
      <c r="P1759" s="18"/>
      <c r="Q1759" s="18"/>
      <c r="R1759" s="18"/>
      <c r="S1759" s="18"/>
      <c r="T1759" s="18"/>
      <c r="U1759" s="18"/>
      <c r="V1759" s="18"/>
      <c r="W1759" s="18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</row>
    <row r="1760" spans="1:36" ht="11.25" customHeight="1" x14ac:dyDescent="0.2">
      <c r="A1760" s="51" t="s">
        <v>21</v>
      </c>
      <c r="B1760" s="51" t="s">
        <v>37</v>
      </c>
      <c r="C1760" s="51" t="s">
        <v>23</v>
      </c>
      <c r="D1760" s="51" t="s">
        <v>52</v>
      </c>
      <c r="E1760" s="51" t="s">
        <v>25</v>
      </c>
      <c r="F1760" s="51" t="s">
        <v>25</v>
      </c>
      <c r="G1760" s="51" t="s">
        <v>25</v>
      </c>
      <c r="H1760" s="51" t="s">
        <v>25</v>
      </c>
      <c r="I1760" s="59">
        <v>44501</v>
      </c>
      <c r="J1760" s="60">
        <f>EFEITO!$J$1760*EFEITO!$Y$1760</f>
        <v>0</v>
      </c>
      <c r="K1760" s="60">
        <f ca="1">EFEITO!$L$1760*EFEITO!$Z$1760</f>
        <v>54096.891578131086</v>
      </c>
      <c r="L1760" s="60">
        <f>EFEITO!$N$1760*EFEITO!$AA$1760</f>
        <v>30878.401912943162</v>
      </c>
      <c r="M1760" s="60">
        <f>$J$1760-EFEITO!$K$1760*EFEITO!$Y$1760</f>
        <v>0</v>
      </c>
      <c r="N1760" s="60">
        <f ca="1">$K$1760-EFEITO!$M$1760*EFEITO!$Z$1760</f>
        <v>0</v>
      </c>
      <c r="O1760" s="60">
        <f>$L$1760-EFEITO!$O$1760*EFEITO!$AA$1760</f>
        <v>0</v>
      </c>
      <c r="P1760" s="18"/>
      <c r="Q1760" s="18"/>
      <c r="R1760" s="18"/>
      <c r="S1760" s="18"/>
      <c r="T1760" s="18"/>
      <c r="U1760" s="18"/>
      <c r="V1760" s="18"/>
      <c r="W1760" s="18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</row>
    <row r="1761" spans="1:36" ht="11.25" customHeight="1" x14ac:dyDescent="0.2">
      <c r="A1761" s="51" t="s">
        <v>21</v>
      </c>
      <c r="B1761" s="51" t="s">
        <v>37</v>
      </c>
      <c r="C1761" s="51" t="s">
        <v>23</v>
      </c>
      <c r="D1761" s="51" t="s">
        <v>52</v>
      </c>
      <c r="E1761" s="51" t="s">
        <v>25</v>
      </c>
      <c r="F1761" s="51" t="s">
        <v>25</v>
      </c>
      <c r="G1761" s="51" t="s">
        <v>25</v>
      </c>
      <c r="H1761" s="51" t="s">
        <v>25</v>
      </c>
      <c r="I1761" s="59">
        <v>44531</v>
      </c>
      <c r="J1761" s="60">
        <f>EFEITO!$J$1761*EFEITO!$Y$1761</f>
        <v>0</v>
      </c>
      <c r="K1761" s="60">
        <f ca="1">EFEITO!$L$1761*EFEITO!$Z$1761</f>
        <v>59263.307741828357</v>
      </c>
      <c r="L1761" s="60">
        <f>EFEITO!$N$1761*EFEITO!$AA$1761</f>
        <v>33827.382345982704</v>
      </c>
      <c r="M1761" s="60">
        <f>$J$1761-EFEITO!$K$1761*EFEITO!$Y$1761</f>
        <v>0</v>
      </c>
      <c r="N1761" s="60">
        <f ca="1">$K$1761-EFEITO!$M$1761*EFEITO!$Z$1761</f>
        <v>0</v>
      </c>
      <c r="O1761" s="60">
        <f>$L$1761-EFEITO!$O$1761*EFEITO!$AA$1761</f>
        <v>0</v>
      </c>
      <c r="P1761" s="18"/>
      <c r="Q1761" s="18"/>
      <c r="R1761" s="18"/>
      <c r="S1761" s="18"/>
      <c r="T1761" s="18"/>
      <c r="U1761" s="18"/>
      <c r="V1761" s="18"/>
      <c r="W1761" s="18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</row>
    <row r="1762" spans="1:36" ht="11.25" customHeight="1" x14ac:dyDescent="0.2">
      <c r="A1762" s="51" t="s">
        <v>21</v>
      </c>
      <c r="B1762" s="51" t="s">
        <v>37</v>
      </c>
      <c r="C1762" s="51" t="s">
        <v>23</v>
      </c>
      <c r="D1762" s="51" t="s">
        <v>52</v>
      </c>
      <c r="E1762" s="51" t="s">
        <v>25</v>
      </c>
      <c r="F1762" s="51" t="s">
        <v>25</v>
      </c>
      <c r="G1762" s="51" t="s">
        <v>25</v>
      </c>
      <c r="H1762" s="51" t="s">
        <v>25</v>
      </c>
      <c r="I1762" s="59">
        <v>44562</v>
      </c>
      <c r="J1762" s="60">
        <f>EFEITO!$J$1762*EFEITO!$Y$1762</f>
        <v>0</v>
      </c>
      <c r="K1762" s="60">
        <f ca="1">EFEITO!$L$1762*EFEITO!$Z$1762</f>
        <v>56997.912782257139</v>
      </c>
      <c r="L1762" s="60">
        <f>EFEITO!$N$1762*EFEITO!$AA$1762</f>
        <v>32534.299249846477</v>
      </c>
      <c r="M1762" s="60">
        <f>$J$1762-EFEITO!$K$1762*EFEITO!$Y$1762</f>
        <v>0</v>
      </c>
      <c r="N1762" s="60">
        <f ca="1">$K$1762-EFEITO!$M$1762*EFEITO!$Z$1762</f>
        <v>0</v>
      </c>
      <c r="O1762" s="60">
        <f>$L$1762-EFEITO!$O$1762*EFEITO!$AA$1762</f>
        <v>0</v>
      </c>
      <c r="P1762" s="18"/>
      <c r="Q1762" s="18"/>
      <c r="R1762" s="18"/>
      <c r="S1762" s="18"/>
      <c r="T1762" s="18"/>
      <c r="U1762" s="18"/>
      <c r="V1762" s="18"/>
      <c r="W1762" s="18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</row>
    <row r="1763" spans="1:36" ht="11.25" customHeight="1" x14ac:dyDescent="0.2">
      <c r="A1763" s="51" t="s">
        <v>21</v>
      </c>
      <c r="B1763" s="51" t="s">
        <v>37</v>
      </c>
      <c r="C1763" s="51" t="s">
        <v>23</v>
      </c>
      <c r="D1763" s="51" t="s">
        <v>52</v>
      </c>
      <c r="E1763" s="51" t="s">
        <v>25</v>
      </c>
      <c r="F1763" s="51" t="s">
        <v>25</v>
      </c>
      <c r="G1763" s="51" t="s">
        <v>25</v>
      </c>
      <c r="H1763" s="51" t="s">
        <v>25</v>
      </c>
      <c r="I1763" s="59">
        <v>44593</v>
      </c>
      <c r="J1763" s="60">
        <f>EFEITO!$J$1763*EFEITO!$Y$1763</f>
        <v>0</v>
      </c>
      <c r="K1763" s="60">
        <f ca="1">EFEITO!$L$1763*EFEITO!$Z$1763</f>
        <v>57326.415608518008</v>
      </c>
      <c r="L1763" s="60">
        <f>EFEITO!$N$1763*EFEITO!$AA$1763</f>
        <v>32721.808032752615</v>
      </c>
      <c r="M1763" s="60">
        <f>$J$1763-EFEITO!$K$1763*EFEITO!$Y$1763</f>
        <v>0</v>
      </c>
      <c r="N1763" s="60">
        <f ca="1">$K$1763-EFEITO!$M$1763*EFEITO!$Z$1763</f>
        <v>0</v>
      </c>
      <c r="O1763" s="60">
        <f>$L$1763-EFEITO!$O$1763*EFEITO!$AA$1763</f>
        <v>0</v>
      </c>
      <c r="P1763" s="18"/>
      <c r="Q1763" s="18"/>
      <c r="R1763" s="18"/>
      <c r="S1763" s="18"/>
      <c r="T1763" s="18"/>
      <c r="U1763" s="18"/>
      <c r="V1763" s="18"/>
      <c r="W1763" s="18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</row>
    <row r="1764" spans="1:36" ht="11.25" customHeight="1" x14ac:dyDescent="0.2">
      <c r="A1764" s="51" t="s">
        <v>56</v>
      </c>
      <c r="B1764" s="51" t="s">
        <v>37</v>
      </c>
      <c r="C1764" s="51" t="s">
        <v>23</v>
      </c>
      <c r="D1764" s="51" t="s">
        <v>52</v>
      </c>
      <c r="E1764" s="51" t="s">
        <v>25</v>
      </c>
      <c r="F1764" s="51" t="s">
        <v>25</v>
      </c>
      <c r="G1764" s="51" t="s">
        <v>25</v>
      </c>
      <c r="H1764" s="51" t="s">
        <v>25</v>
      </c>
      <c r="I1764" s="59">
        <v>44621</v>
      </c>
      <c r="J1764" s="60">
        <f>EFEITO!$J$1764*EFEITO!$Y$1764</f>
        <v>0</v>
      </c>
      <c r="K1764" s="60">
        <f ca="1">EFEITO!$L$1764*EFEITO!$Z$1764</f>
        <v>57326.415608518008</v>
      </c>
      <c r="L1764" s="60">
        <f>EFEITO!$N$1764*EFEITO!$AA$1764</f>
        <v>32721.808032752615</v>
      </c>
      <c r="M1764" s="60">
        <f>$J$1764-EFEITO!$K$1764*EFEITO!$Y$1764</f>
        <v>0</v>
      </c>
      <c r="N1764" s="60">
        <f ca="1">$K$1764-EFEITO!$M$1764*EFEITO!$Z$1764</f>
        <v>0</v>
      </c>
      <c r="O1764" s="60">
        <f>$L$1764-EFEITO!$O$1764*EFEITO!$AA$1764</f>
        <v>0</v>
      </c>
      <c r="P1764" s="18"/>
      <c r="Q1764" s="18"/>
      <c r="R1764" s="18"/>
      <c r="S1764" s="18"/>
      <c r="T1764" s="18"/>
      <c r="U1764" s="18"/>
      <c r="V1764" s="18"/>
      <c r="W1764" s="18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</row>
    <row r="1765" spans="1:36" ht="11.25" customHeight="1" x14ac:dyDescent="0.2">
      <c r="A1765" s="51" t="s">
        <v>21</v>
      </c>
      <c r="B1765" s="51" t="s">
        <v>37</v>
      </c>
      <c r="C1765" s="51" t="s">
        <v>23</v>
      </c>
      <c r="D1765" s="51" t="s">
        <v>38</v>
      </c>
      <c r="E1765" s="51" t="s">
        <v>25</v>
      </c>
      <c r="F1765" s="51" t="s">
        <v>25</v>
      </c>
      <c r="G1765" s="51" t="s">
        <v>25</v>
      </c>
      <c r="H1765" s="51" t="s">
        <v>25</v>
      </c>
      <c r="I1765" s="59">
        <v>44287</v>
      </c>
      <c r="J1765" s="60">
        <f>EFEITO!$J$1765*EFEITO!$Y$1765</f>
        <v>0</v>
      </c>
      <c r="K1765" s="60">
        <f ca="1">EFEITO!$L$1765*EFEITO!$Z$1765</f>
        <v>531832.50801514182</v>
      </c>
      <c r="L1765" s="60">
        <f>EFEITO!$N$1765*EFEITO!$AA$1765</f>
        <v>303568.9751072285</v>
      </c>
      <c r="M1765" s="60">
        <f>$J$1765-EFEITO!$K$1765*EFEITO!$Y$1765</f>
        <v>0</v>
      </c>
      <c r="N1765" s="60">
        <f ca="1">$K$1765-EFEITO!$M$1765*EFEITO!$Z$1765</f>
        <v>0</v>
      </c>
      <c r="O1765" s="60">
        <f>$L$1765-EFEITO!$O$1765*EFEITO!$AA$1765</f>
        <v>0</v>
      </c>
      <c r="P1765" s="18"/>
      <c r="Q1765" s="18"/>
      <c r="R1765" s="18"/>
      <c r="S1765" s="18"/>
      <c r="T1765" s="18"/>
      <c r="U1765" s="18"/>
      <c r="V1765" s="18"/>
      <c r="W1765" s="18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</row>
    <row r="1766" spans="1:36" ht="11.25" customHeight="1" x14ac:dyDescent="0.2">
      <c r="A1766" s="51" t="s">
        <v>27</v>
      </c>
      <c r="B1766" s="51" t="s">
        <v>37</v>
      </c>
      <c r="C1766" s="51" t="s">
        <v>23</v>
      </c>
      <c r="D1766" s="51" t="s">
        <v>38</v>
      </c>
      <c r="E1766" s="51" t="s">
        <v>25</v>
      </c>
      <c r="F1766" s="51" t="s">
        <v>25</v>
      </c>
      <c r="G1766" s="51" t="s">
        <v>25</v>
      </c>
      <c r="H1766" s="51" t="s">
        <v>25</v>
      </c>
      <c r="I1766" s="59">
        <v>44287</v>
      </c>
      <c r="J1766" s="60">
        <f>EFEITO!$J$1766*EFEITO!$Y$1766</f>
        <v>0</v>
      </c>
      <c r="K1766" s="60">
        <f ca="1">EFEITO!$L$1766*EFEITO!$Z$1766</f>
        <v>-76.472497727812481</v>
      </c>
      <c r="L1766" s="60">
        <f>EFEITO!$N$1766*EFEITO!$AA$1766</f>
        <v>-43.650354969390001</v>
      </c>
      <c r="M1766" s="60">
        <f>$J$1766-EFEITO!$K$1766*EFEITO!$Y$1766</f>
        <v>0</v>
      </c>
      <c r="N1766" s="60">
        <f ca="1">$K$1766-EFEITO!$M$1766*EFEITO!$Z$1766</f>
        <v>0</v>
      </c>
      <c r="O1766" s="60">
        <f>$L$1766-EFEITO!$O$1766*EFEITO!$AA$1766</f>
        <v>0</v>
      </c>
      <c r="P1766" s="18"/>
      <c r="Q1766" s="18"/>
      <c r="R1766" s="18"/>
      <c r="S1766" s="18"/>
      <c r="T1766" s="18"/>
      <c r="U1766" s="18"/>
      <c r="V1766" s="18"/>
      <c r="W1766" s="18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</row>
    <row r="1767" spans="1:36" ht="11.25" customHeight="1" x14ac:dyDescent="0.2">
      <c r="A1767" s="51" t="s">
        <v>28</v>
      </c>
      <c r="B1767" s="51" t="s">
        <v>37</v>
      </c>
      <c r="C1767" s="51" t="s">
        <v>23</v>
      </c>
      <c r="D1767" s="51" t="s">
        <v>38</v>
      </c>
      <c r="E1767" s="51" t="s">
        <v>25</v>
      </c>
      <c r="F1767" s="51" t="s">
        <v>25</v>
      </c>
      <c r="G1767" s="51" t="s">
        <v>25</v>
      </c>
      <c r="H1767" s="51" t="s">
        <v>25</v>
      </c>
      <c r="I1767" s="59">
        <v>44287</v>
      </c>
      <c r="J1767" s="60">
        <f>EFEITO!$J$1767*EFEITO!$Y$1767</f>
        <v>0</v>
      </c>
      <c r="K1767" s="60">
        <f ca="1">EFEITO!$L$1767*EFEITO!$Z$1767</f>
        <v>17360.079269135236</v>
      </c>
      <c r="L1767" s="60">
        <f>EFEITO!$N$1767*EFEITO!$AA$1767</f>
        <v>9909.0999367071145</v>
      </c>
      <c r="M1767" s="60">
        <f>$J$1767-EFEITO!$K$1767*EFEITO!$Y$1767</f>
        <v>0</v>
      </c>
      <c r="N1767" s="60">
        <f ca="1">$K$1767-EFEITO!$M$1767*EFEITO!$Z$1767</f>
        <v>0</v>
      </c>
      <c r="O1767" s="60">
        <f>$L$1767-EFEITO!$O$1767*EFEITO!$AA$1767</f>
        <v>0</v>
      </c>
      <c r="P1767" s="18"/>
      <c r="Q1767" s="18"/>
      <c r="R1767" s="18"/>
      <c r="S1767" s="18"/>
      <c r="T1767" s="18"/>
      <c r="U1767" s="18"/>
      <c r="V1767" s="18"/>
      <c r="W1767" s="18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</row>
    <row r="1768" spans="1:36" ht="11.25" customHeight="1" x14ac:dyDescent="0.2">
      <c r="A1768" s="51" t="s">
        <v>21</v>
      </c>
      <c r="B1768" s="51" t="s">
        <v>37</v>
      </c>
      <c r="C1768" s="51" t="s">
        <v>23</v>
      </c>
      <c r="D1768" s="51" t="s">
        <v>38</v>
      </c>
      <c r="E1768" s="51" t="s">
        <v>25</v>
      </c>
      <c r="F1768" s="51" t="s">
        <v>25</v>
      </c>
      <c r="G1768" s="51" t="s">
        <v>25</v>
      </c>
      <c r="H1768" s="51" t="s">
        <v>25</v>
      </c>
      <c r="I1768" s="59">
        <v>44317</v>
      </c>
      <c r="J1768" s="60">
        <f>EFEITO!$J$1768*EFEITO!$Y$1768</f>
        <v>0</v>
      </c>
      <c r="K1768" s="60">
        <f ca="1">EFEITO!$L$1768*EFEITO!$Z$1768</f>
        <v>487566.4438196437</v>
      </c>
      <c r="L1768" s="60">
        <f>EFEITO!$N$1768*EFEITO!$AA$1768</f>
        <v>278301.99060112989</v>
      </c>
      <c r="M1768" s="60">
        <f>$J$1768-EFEITO!$K$1768*EFEITO!$Y$1768</f>
        <v>0</v>
      </c>
      <c r="N1768" s="60">
        <f ca="1">$K$1768-EFEITO!$M$1768*EFEITO!$Z$1768</f>
        <v>0</v>
      </c>
      <c r="O1768" s="60">
        <f>$L$1768-EFEITO!$O$1768*EFEITO!$AA$1768</f>
        <v>0</v>
      </c>
      <c r="P1768" s="18"/>
      <c r="Q1768" s="18"/>
      <c r="R1768" s="18"/>
      <c r="S1768" s="18"/>
      <c r="T1768" s="18"/>
      <c r="U1768" s="18"/>
      <c r="V1768" s="18"/>
      <c r="W1768" s="18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</row>
    <row r="1769" spans="1:36" ht="11.25" customHeight="1" x14ac:dyDescent="0.2">
      <c r="A1769" s="51" t="s">
        <v>27</v>
      </c>
      <c r="B1769" s="51" t="s">
        <v>37</v>
      </c>
      <c r="C1769" s="51" t="s">
        <v>23</v>
      </c>
      <c r="D1769" s="51" t="s">
        <v>38</v>
      </c>
      <c r="E1769" s="51" t="s">
        <v>25</v>
      </c>
      <c r="F1769" s="51" t="s">
        <v>25</v>
      </c>
      <c r="G1769" s="51" t="s">
        <v>25</v>
      </c>
      <c r="H1769" s="51" t="s">
        <v>25</v>
      </c>
      <c r="I1769" s="59">
        <v>44317</v>
      </c>
      <c r="J1769" s="60">
        <f>EFEITO!$J$1769*EFEITO!$Y$1769</f>
        <v>0</v>
      </c>
      <c r="K1769" s="60">
        <f ca="1">EFEITO!$L$1769*EFEITO!$Z$1769</f>
        <v>-567.3765960450603</v>
      </c>
      <c r="L1769" s="60">
        <f>EFEITO!$N$1769*EFEITO!$AA$1769</f>
        <v>-323.8574723535387</v>
      </c>
      <c r="M1769" s="60">
        <f>$J$1769-EFEITO!$K$1769*EFEITO!$Y$1769</f>
        <v>0</v>
      </c>
      <c r="N1769" s="60">
        <f ca="1">$K$1769-EFEITO!$M$1769*EFEITO!$Z$1769</f>
        <v>0</v>
      </c>
      <c r="O1769" s="60">
        <f>$L$1769-EFEITO!$O$1769*EFEITO!$AA$1769</f>
        <v>0</v>
      </c>
      <c r="P1769" s="18"/>
      <c r="Q1769" s="18"/>
      <c r="R1769" s="18"/>
      <c r="S1769" s="18"/>
      <c r="T1769" s="18"/>
      <c r="U1769" s="18"/>
      <c r="V1769" s="18"/>
      <c r="W1769" s="18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</row>
    <row r="1770" spans="1:36" ht="11.25" customHeight="1" x14ac:dyDescent="0.2">
      <c r="A1770" s="51" t="s">
        <v>28</v>
      </c>
      <c r="B1770" s="51" t="s">
        <v>37</v>
      </c>
      <c r="C1770" s="51" t="s">
        <v>23</v>
      </c>
      <c r="D1770" s="51" t="s">
        <v>38</v>
      </c>
      <c r="E1770" s="51" t="s">
        <v>25</v>
      </c>
      <c r="F1770" s="51" t="s">
        <v>25</v>
      </c>
      <c r="G1770" s="51" t="s">
        <v>25</v>
      </c>
      <c r="H1770" s="51" t="s">
        <v>25</v>
      </c>
      <c r="I1770" s="59">
        <v>44317</v>
      </c>
      <c r="J1770" s="60">
        <f>EFEITO!$J$1770*EFEITO!$Y$1770</f>
        <v>0</v>
      </c>
      <c r="K1770" s="60">
        <f ca="1">EFEITO!$L$1770*EFEITO!$Z$1770</f>
        <v>20488.46225414021</v>
      </c>
      <c r="L1770" s="60">
        <f>EFEITO!$N$1770*EFEITO!$AA$1770</f>
        <v>11694.774941879634</v>
      </c>
      <c r="M1770" s="60">
        <f>$J$1770-EFEITO!$K$1770*EFEITO!$Y$1770</f>
        <v>0</v>
      </c>
      <c r="N1770" s="60">
        <f ca="1">$K$1770-EFEITO!$M$1770*EFEITO!$Z$1770</f>
        <v>0</v>
      </c>
      <c r="O1770" s="60">
        <f>$L$1770-EFEITO!$O$1770*EFEITO!$AA$1770</f>
        <v>0</v>
      </c>
      <c r="P1770" s="18"/>
      <c r="Q1770" s="18"/>
      <c r="R1770" s="18"/>
      <c r="S1770" s="18"/>
      <c r="T1770" s="18"/>
      <c r="U1770" s="18"/>
      <c r="V1770" s="18"/>
      <c r="W1770" s="18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</row>
    <row r="1771" spans="1:36" ht="11.25" customHeight="1" x14ac:dyDescent="0.2">
      <c r="A1771" s="51" t="s">
        <v>21</v>
      </c>
      <c r="B1771" s="51" t="s">
        <v>37</v>
      </c>
      <c r="C1771" s="51" t="s">
        <v>23</v>
      </c>
      <c r="D1771" s="51" t="s">
        <v>38</v>
      </c>
      <c r="E1771" s="51" t="s">
        <v>25</v>
      </c>
      <c r="F1771" s="51" t="s">
        <v>25</v>
      </c>
      <c r="G1771" s="51" t="s">
        <v>25</v>
      </c>
      <c r="H1771" s="51" t="s">
        <v>25</v>
      </c>
      <c r="I1771" s="59">
        <v>44348</v>
      </c>
      <c r="J1771" s="60">
        <f>EFEITO!$J$1771*EFEITO!$Y$1771</f>
        <v>0</v>
      </c>
      <c r="K1771" s="60">
        <f ca="1">EFEITO!$L$1771*EFEITO!$Z$1771</f>
        <v>506491.33129497274</v>
      </c>
      <c r="L1771" s="60">
        <f>EFEITO!$N$1771*EFEITO!$AA$1771</f>
        <v>289104.28005941492</v>
      </c>
      <c r="M1771" s="60">
        <f>$J$1771-EFEITO!$K$1771*EFEITO!$Y$1771</f>
        <v>0</v>
      </c>
      <c r="N1771" s="60">
        <f ca="1">$K$1771-EFEITO!$M$1771*EFEITO!$Z$1771</f>
        <v>0</v>
      </c>
      <c r="O1771" s="60">
        <f>$L$1771-EFEITO!$O$1771*EFEITO!$AA$1771</f>
        <v>0</v>
      </c>
      <c r="P1771" s="18"/>
      <c r="Q1771" s="18"/>
      <c r="R1771" s="18"/>
      <c r="S1771" s="18"/>
      <c r="T1771" s="18"/>
      <c r="U1771" s="18"/>
      <c r="V1771" s="18"/>
      <c r="W1771" s="18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</row>
    <row r="1772" spans="1:36" ht="11.25" customHeight="1" x14ac:dyDescent="0.2">
      <c r="A1772" s="51" t="s">
        <v>27</v>
      </c>
      <c r="B1772" s="51" t="s">
        <v>37</v>
      </c>
      <c r="C1772" s="51" t="s">
        <v>23</v>
      </c>
      <c r="D1772" s="51" t="s">
        <v>38</v>
      </c>
      <c r="E1772" s="51" t="s">
        <v>25</v>
      </c>
      <c r="F1772" s="51" t="s">
        <v>25</v>
      </c>
      <c r="G1772" s="51" t="s">
        <v>25</v>
      </c>
      <c r="H1772" s="51" t="s">
        <v>25</v>
      </c>
      <c r="I1772" s="59">
        <v>44348</v>
      </c>
      <c r="J1772" s="60">
        <f>EFEITO!$J$1772*EFEITO!$Y$1772</f>
        <v>0</v>
      </c>
      <c r="K1772" s="60">
        <f ca="1">EFEITO!$L$1772*EFEITO!$Z$1772</f>
        <v>-24.257405193230838</v>
      </c>
      <c r="L1772" s="60">
        <f>EFEITO!$N$1772*EFEITO!$AA$1772</f>
        <v>-13.846080339752742</v>
      </c>
      <c r="M1772" s="60">
        <f>$J$1772-EFEITO!$K$1772*EFEITO!$Y$1772</f>
        <v>0</v>
      </c>
      <c r="N1772" s="60">
        <f ca="1">$K$1772-EFEITO!$M$1772*EFEITO!$Z$1772</f>
        <v>0</v>
      </c>
      <c r="O1772" s="60">
        <f>$L$1772-EFEITO!$O$1772*EFEITO!$AA$1772</f>
        <v>0</v>
      </c>
      <c r="P1772" s="18"/>
      <c r="Q1772" s="18"/>
      <c r="R1772" s="18"/>
      <c r="S1772" s="18"/>
      <c r="T1772" s="18"/>
      <c r="U1772" s="18"/>
      <c r="V1772" s="18"/>
      <c r="W1772" s="18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</row>
    <row r="1773" spans="1:36" ht="11.25" customHeight="1" x14ac:dyDescent="0.2">
      <c r="A1773" s="51" t="s">
        <v>28</v>
      </c>
      <c r="B1773" s="51" t="s">
        <v>37</v>
      </c>
      <c r="C1773" s="51" t="s">
        <v>23</v>
      </c>
      <c r="D1773" s="51" t="s">
        <v>38</v>
      </c>
      <c r="E1773" s="51" t="s">
        <v>25</v>
      </c>
      <c r="F1773" s="51" t="s">
        <v>25</v>
      </c>
      <c r="G1773" s="51" t="s">
        <v>25</v>
      </c>
      <c r="H1773" s="51" t="s">
        <v>25</v>
      </c>
      <c r="I1773" s="59">
        <v>44348</v>
      </c>
      <c r="J1773" s="60">
        <f>EFEITO!$J$1773*EFEITO!$Y$1773</f>
        <v>0</v>
      </c>
      <c r="K1773" s="60">
        <f ca="1">EFEITO!$L$1773*EFEITO!$Z$1773</f>
        <v>22657.649877860313</v>
      </c>
      <c r="L1773" s="60">
        <f>EFEITO!$N$1773*EFEITO!$AA$1773</f>
        <v>12932.94307531244</v>
      </c>
      <c r="M1773" s="60">
        <f>$J$1773-EFEITO!$K$1773*EFEITO!$Y$1773</f>
        <v>0</v>
      </c>
      <c r="N1773" s="60">
        <f ca="1">$K$1773-EFEITO!$M$1773*EFEITO!$Z$1773</f>
        <v>0</v>
      </c>
      <c r="O1773" s="60">
        <f>$L$1773-EFEITO!$O$1773*EFEITO!$AA$1773</f>
        <v>0</v>
      </c>
      <c r="P1773" s="18"/>
      <c r="Q1773" s="18"/>
      <c r="R1773" s="18"/>
      <c r="S1773" s="18"/>
      <c r="T1773" s="18"/>
      <c r="U1773" s="18"/>
      <c r="V1773" s="18"/>
      <c r="W1773" s="18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</row>
    <row r="1774" spans="1:36" ht="11.25" customHeight="1" x14ac:dyDescent="0.2">
      <c r="A1774" s="51" t="s">
        <v>21</v>
      </c>
      <c r="B1774" s="51" t="s">
        <v>37</v>
      </c>
      <c r="C1774" s="51" t="s">
        <v>23</v>
      </c>
      <c r="D1774" s="51" t="s">
        <v>38</v>
      </c>
      <c r="E1774" s="51" t="s">
        <v>25</v>
      </c>
      <c r="F1774" s="51" t="s">
        <v>25</v>
      </c>
      <c r="G1774" s="51" t="s">
        <v>25</v>
      </c>
      <c r="H1774" s="51" t="s">
        <v>25</v>
      </c>
      <c r="I1774" s="59">
        <v>44378</v>
      </c>
      <c r="J1774" s="60">
        <f>EFEITO!$J$1774*EFEITO!$Y$1774</f>
        <v>0</v>
      </c>
      <c r="K1774" s="60">
        <f ca="1">EFEITO!$L$1774*EFEITO!$Z$1774</f>
        <v>484258.80272168532</v>
      </c>
      <c r="L1774" s="60">
        <f>EFEITO!$N$1774*EFEITO!$AA$1774</f>
        <v>276413.99540903984</v>
      </c>
      <c r="M1774" s="60">
        <f>$J$1774-EFEITO!$K$1774*EFEITO!$Y$1774</f>
        <v>0</v>
      </c>
      <c r="N1774" s="60">
        <f ca="1">$K$1774-EFEITO!$M$1774*EFEITO!$Z$1774</f>
        <v>0</v>
      </c>
      <c r="O1774" s="60">
        <f>$L$1774-EFEITO!$O$1774*EFEITO!$AA$1774</f>
        <v>0</v>
      </c>
      <c r="P1774" s="18"/>
      <c r="Q1774" s="18"/>
      <c r="R1774" s="18"/>
      <c r="S1774" s="18"/>
      <c r="T1774" s="18"/>
      <c r="U1774" s="18"/>
      <c r="V1774" s="18"/>
      <c r="W1774" s="18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</row>
    <row r="1775" spans="1:36" ht="11.25" customHeight="1" x14ac:dyDescent="0.2">
      <c r="A1775" s="51" t="s">
        <v>28</v>
      </c>
      <c r="B1775" s="51" t="s">
        <v>37</v>
      </c>
      <c r="C1775" s="51" t="s">
        <v>23</v>
      </c>
      <c r="D1775" s="51" t="s">
        <v>38</v>
      </c>
      <c r="E1775" s="51" t="s">
        <v>25</v>
      </c>
      <c r="F1775" s="51" t="s">
        <v>25</v>
      </c>
      <c r="G1775" s="51" t="s">
        <v>25</v>
      </c>
      <c r="H1775" s="51" t="s">
        <v>25</v>
      </c>
      <c r="I1775" s="59">
        <v>44378</v>
      </c>
      <c r="J1775" s="60">
        <f>EFEITO!$J$1775*EFEITO!$Y$1775</f>
        <v>0</v>
      </c>
      <c r="K1775" s="60">
        <f ca="1">EFEITO!$L$1775*EFEITO!$Z$1775</f>
        <v>26775.652766256924</v>
      </c>
      <c r="L1775" s="60">
        <f>EFEITO!$N$1775*EFEITO!$AA$1775</f>
        <v>15283.491222481312</v>
      </c>
      <c r="M1775" s="60">
        <f>$J$1775-EFEITO!$K$1775*EFEITO!$Y$1775</f>
        <v>0</v>
      </c>
      <c r="N1775" s="60">
        <f ca="1">$K$1775-EFEITO!$M$1775*EFEITO!$Z$1775</f>
        <v>0</v>
      </c>
      <c r="O1775" s="60">
        <f>$L$1775-EFEITO!$O$1775*EFEITO!$AA$1775</f>
        <v>0</v>
      </c>
      <c r="P1775" s="18"/>
      <c r="Q1775" s="18"/>
      <c r="R1775" s="18"/>
      <c r="S1775" s="18"/>
      <c r="T1775" s="18"/>
      <c r="U1775" s="18"/>
      <c r="V1775" s="18"/>
      <c r="W1775" s="18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</row>
    <row r="1776" spans="1:36" ht="11.25" customHeight="1" x14ac:dyDescent="0.2">
      <c r="A1776" s="51" t="s">
        <v>21</v>
      </c>
      <c r="B1776" s="51" t="s">
        <v>37</v>
      </c>
      <c r="C1776" s="51" t="s">
        <v>23</v>
      </c>
      <c r="D1776" s="51" t="s">
        <v>38</v>
      </c>
      <c r="E1776" s="51" t="s">
        <v>25</v>
      </c>
      <c r="F1776" s="51" t="s">
        <v>25</v>
      </c>
      <c r="G1776" s="51" t="s">
        <v>25</v>
      </c>
      <c r="H1776" s="51" t="s">
        <v>25</v>
      </c>
      <c r="I1776" s="59">
        <v>44409</v>
      </c>
      <c r="J1776" s="60">
        <f>EFEITO!$J$1776*EFEITO!$Y$1776</f>
        <v>0</v>
      </c>
      <c r="K1776" s="60">
        <f ca="1">EFEITO!$L$1776*EFEITO!$Z$1776</f>
        <v>511376.11487295193</v>
      </c>
      <c r="L1776" s="60">
        <f>EFEITO!$N$1776*EFEITO!$AA$1776</f>
        <v>291892.50515291665</v>
      </c>
      <c r="M1776" s="60">
        <f>$J$1776-EFEITO!$K$1776*EFEITO!$Y$1776</f>
        <v>0</v>
      </c>
      <c r="N1776" s="60">
        <f ca="1">$K$1776-EFEITO!$M$1776*EFEITO!$Z$1776</f>
        <v>0</v>
      </c>
      <c r="O1776" s="60">
        <f>$L$1776-EFEITO!$O$1776*EFEITO!$AA$1776</f>
        <v>0</v>
      </c>
      <c r="P1776" s="18"/>
      <c r="Q1776" s="18"/>
      <c r="R1776" s="18"/>
      <c r="S1776" s="18"/>
      <c r="T1776" s="18"/>
      <c r="U1776" s="18"/>
      <c r="V1776" s="18"/>
      <c r="W1776" s="18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</row>
    <row r="1777" spans="1:36" ht="11.25" customHeight="1" x14ac:dyDescent="0.2">
      <c r="A1777" s="51" t="s">
        <v>28</v>
      </c>
      <c r="B1777" s="51" t="s">
        <v>37</v>
      </c>
      <c r="C1777" s="51" t="s">
        <v>23</v>
      </c>
      <c r="D1777" s="51" t="s">
        <v>38</v>
      </c>
      <c r="E1777" s="51" t="s">
        <v>25</v>
      </c>
      <c r="F1777" s="51" t="s">
        <v>25</v>
      </c>
      <c r="G1777" s="51" t="s">
        <v>25</v>
      </c>
      <c r="H1777" s="51" t="s">
        <v>25</v>
      </c>
      <c r="I1777" s="59">
        <v>44409</v>
      </c>
      <c r="J1777" s="60">
        <f>EFEITO!$J$1777*EFEITO!$Y$1777</f>
        <v>0</v>
      </c>
      <c r="K1777" s="60">
        <f ca="1">EFEITO!$L$1777*EFEITO!$Z$1777</f>
        <v>23174.044808753497</v>
      </c>
      <c r="L1777" s="60">
        <f>EFEITO!$N$1777*EFEITO!$AA$1777</f>
        <v>13227.700311019718</v>
      </c>
      <c r="M1777" s="60">
        <f>$J$1777-EFEITO!$K$1777*EFEITO!$Y$1777</f>
        <v>0</v>
      </c>
      <c r="N1777" s="60">
        <f ca="1">$K$1777-EFEITO!$M$1777*EFEITO!$Z$1777</f>
        <v>0</v>
      </c>
      <c r="O1777" s="60">
        <f>$L$1777-EFEITO!$O$1777*EFEITO!$AA$1777</f>
        <v>0</v>
      </c>
      <c r="P1777" s="18"/>
      <c r="Q1777" s="18"/>
      <c r="R1777" s="18"/>
      <c r="S1777" s="18"/>
      <c r="T1777" s="18"/>
      <c r="U1777" s="18"/>
      <c r="V1777" s="18"/>
      <c r="W1777" s="18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</row>
    <row r="1778" spans="1:36" ht="11.25" customHeight="1" x14ac:dyDescent="0.2">
      <c r="A1778" s="51" t="s">
        <v>21</v>
      </c>
      <c r="B1778" s="51" t="s">
        <v>37</v>
      </c>
      <c r="C1778" s="51" t="s">
        <v>23</v>
      </c>
      <c r="D1778" s="51" t="s">
        <v>38</v>
      </c>
      <c r="E1778" s="51" t="s">
        <v>25</v>
      </c>
      <c r="F1778" s="51" t="s">
        <v>25</v>
      </c>
      <c r="G1778" s="51" t="s">
        <v>25</v>
      </c>
      <c r="H1778" s="51" t="s">
        <v>25</v>
      </c>
      <c r="I1778" s="59">
        <v>44440</v>
      </c>
      <c r="J1778" s="60">
        <f>EFEITO!$J$1778*EFEITO!$Y$1778</f>
        <v>0</v>
      </c>
      <c r="K1778" s="60">
        <f ca="1">EFEITO!$L$1778*EFEITO!$Z$1778</f>
        <v>509552.28691638971</v>
      </c>
      <c r="L1778" s="60">
        <f>EFEITO!$N$1778*EFEITO!$AA$1778</f>
        <v>290851.4676548295</v>
      </c>
      <c r="M1778" s="60">
        <f>$J$1778-EFEITO!$K$1778*EFEITO!$Y$1778</f>
        <v>0</v>
      </c>
      <c r="N1778" s="60">
        <f ca="1">$K$1778-EFEITO!$M$1778*EFEITO!$Z$1778</f>
        <v>0</v>
      </c>
      <c r="O1778" s="60">
        <f>$L$1778-EFEITO!$O$1778*EFEITO!$AA$1778</f>
        <v>0</v>
      </c>
      <c r="P1778" s="18"/>
      <c r="Q1778" s="18"/>
      <c r="R1778" s="18"/>
      <c r="S1778" s="18"/>
      <c r="T1778" s="18"/>
      <c r="U1778" s="18"/>
      <c r="V1778" s="18"/>
      <c r="W1778" s="18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</row>
    <row r="1779" spans="1:36" ht="11.25" customHeight="1" x14ac:dyDescent="0.2">
      <c r="A1779" s="51" t="s">
        <v>28</v>
      </c>
      <c r="B1779" s="51" t="s">
        <v>37</v>
      </c>
      <c r="C1779" s="51" t="s">
        <v>23</v>
      </c>
      <c r="D1779" s="51" t="s">
        <v>38</v>
      </c>
      <c r="E1779" s="51" t="s">
        <v>25</v>
      </c>
      <c r="F1779" s="51" t="s">
        <v>25</v>
      </c>
      <c r="G1779" s="51" t="s">
        <v>25</v>
      </c>
      <c r="H1779" s="51" t="s">
        <v>25</v>
      </c>
      <c r="I1779" s="59">
        <v>44440</v>
      </c>
      <c r="J1779" s="60">
        <f>EFEITO!$J$1779*EFEITO!$Y$1779</f>
        <v>0</v>
      </c>
      <c r="K1779" s="60">
        <f ca="1">EFEITO!$L$1779*EFEITO!$Z$1779</f>
        <v>22354.637884175376</v>
      </c>
      <c r="L1779" s="60">
        <f>EFEITO!$N$1779*EFEITO!$AA$1779</f>
        <v>12759.984410729427</v>
      </c>
      <c r="M1779" s="60">
        <f>$J$1779-EFEITO!$K$1779*EFEITO!$Y$1779</f>
        <v>0</v>
      </c>
      <c r="N1779" s="60">
        <f ca="1">$K$1779-EFEITO!$M$1779*EFEITO!$Z$1779</f>
        <v>0</v>
      </c>
      <c r="O1779" s="60">
        <f>$L$1779-EFEITO!$O$1779*EFEITO!$AA$1779</f>
        <v>0</v>
      </c>
      <c r="P1779" s="18"/>
      <c r="Q1779" s="18"/>
      <c r="R1779" s="18"/>
      <c r="S1779" s="18"/>
      <c r="T1779" s="18"/>
      <c r="U1779" s="18"/>
      <c r="V1779" s="18"/>
      <c r="W1779" s="18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</row>
    <row r="1780" spans="1:36" ht="11.25" customHeight="1" x14ac:dyDescent="0.2">
      <c r="A1780" s="51" t="s">
        <v>21</v>
      </c>
      <c r="B1780" s="51" t="s">
        <v>37</v>
      </c>
      <c r="C1780" s="51" t="s">
        <v>23</v>
      </c>
      <c r="D1780" s="51" t="s">
        <v>38</v>
      </c>
      <c r="E1780" s="51" t="s">
        <v>25</v>
      </c>
      <c r="F1780" s="51" t="s">
        <v>25</v>
      </c>
      <c r="G1780" s="51" t="s">
        <v>25</v>
      </c>
      <c r="H1780" s="51" t="s">
        <v>25</v>
      </c>
      <c r="I1780" s="59">
        <v>44470</v>
      </c>
      <c r="J1780" s="60">
        <f>EFEITO!$J$1780*EFEITO!$Y$1780</f>
        <v>0</v>
      </c>
      <c r="K1780" s="60">
        <f ca="1">EFEITO!$L$1780*EFEITO!$Z$1780</f>
        <v>514271.38008262543</v>
      </c>
      <c r="L1780" s="60">
        <f>EFEITO!$N$1780*EFEITO!$AA$1780</f>
        <v>293545.11697923089</v>
      </c>
      <c r="M1780" s="60">
        <f>$J$1780-EFEITO!$K$1780*EFEITO!$Y$1780</f>
        <v>0</v>
      </c>
      <c r="N1780" s="60">
        <f ca="1">$K$1780-EFEITO!$M$1780*EFEITO!$Z$1780</f>
        <v>0</v>
      </c>
      <c r="O1780" s="60">
        <f>$L$1780-EFEITO!$O$1780*EFEITO!$AA$1780</f>
        <v>0</v>
      </c>
      <c r="P1780" s="18"/>
      <c r="Q1780" s="18"/>
      <c r="R1780" s="18"/>
      <c r="S1780" s="18"/>
      <c r="T1780" s="18"/>
      <c r="U1780" s="18"/>
      <c r="V1780" s="18"/>
      <c r="W1780" s="18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</row>
    <row r="1781" spans="1:36" ht="11.25" customHeight="1" x14ac:dyDescent="0.2">
      <c r="A1781" s="51" t="s">
        <v>27</v>
      </c>
      <c r="B1781" s="51" t="s">
        <v>37</v>
      </c>
      <c r="C1781" s="51" t="s">
        <v>23</v>
      </c>
      <c r="D1781" s="51" t="s">
        <v>38</v>
      </c>
      <c r="E1781" s="51" t="s">
        <v>25</v>
      </c>
      <c r="F1781" s="51" t="s">
        <v>25</v>
      </c>
      <c r="G1781" s="51" t="s">
        <v>25</v>
      </c>
      <c r="H1781" s="51" t="s">
        <v>25</v>
      </c>
      <c r="I1781" s="59">
        <v>44470</v>
      </c>
      <c r="J1781" s="60">
        <f>EFEITO!$J$1781*EFEITO!$Y$1781</f>
        <v>0</v>
      </c>
      <c r="K1781" s="60">
        <f ca="1">EFEITO!$L$1781*EFEITO!$Z$1781</f>
        <v>-462.94641097589704</v>
      </c>
      <c r="L1781" s="60">
        <f>EFEITO!$N$1781*EFEITO!$AA$1781</f>
        <v>-264.24892309426417</v>
      </c>
      <c r="M1781" s="60">
        <f>$J$1781-EFEITO!$K$1781*EFEITO!$Y$1781</f>
        <v>0</v>
      </c>
      <c r="N1781" s="60">
        <f ca="1">$K$1781-EFEITO!$M$1781*EFEITO!$Z$1781</f>
        <v>0</v>
      </c>
      <c r="O1781" s="60">
        <f>$L$1781-EFEITO!$O$1781*EFEITO!$AA$1781</f>
        <v>0</v>
      </c>
      <c r="P1781" s="18"/>
      <c r="Q1781" s="18"/>
      <c r="R1781" s="18"/>
      <c r="S1781" s="18"/>
      <c r="T1781" s="18"/>
      <c r="U1781" s="18"/>
      <c r="V1781" s="18"/>
      <c r="W1781" s="18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</row>
    <row r="1782" spans="1:36" ht="11.25" customHeight="1" x14ac:dyDescent="0.2">
      <c r="A1782" s="51" t="s">
        <v>28</v>
      </c>
      <c r="B1782" s="51" t="s">
        <v>37</v>
      </c>
      <c r="C1782" s="51" t="s">
        <v>23</v>
      </c>
      <c r="D1782" s="51" t="s">
        <v>38</v>
      </c>
      <c r="E1782" s="51" t="s">
        <v>25</v>
      </c>
      <c r="F1782" s="51" t="s">
        <v>25</v>
      </c>
      <c r="G1782" s="51" t="s">
        <v>25</v>
      </c>
      <c r="H1782" s="51" t="s">
        <v>25</v>
      </c>
      <c r="I1782" s="59">
        <v>44470</v>
      </c>
      <c r="J1782" s="60">
        <f>EFEITO!$J$1782*EFEITO!$Y$1782</f>
        <v>0</v>
      </c>
      <c r="K1782" s="60">
        <f ca="1">EFEITO!$L$1782*EFEITO!$Z$1782</f>
        <v>21938.972856203232</v>
      </c>
      <c r="L1782" s="60">
        <f>EFEITO!$N$1782*EFEITO!$AA$1782</f>
        <v>12522.72361033129</v>
      </c>
      <c r="M1782" s="60">
        <f>$J$1782-EFEITO!$K$1782*EFEITO!$Y$1782</f>
        <v>0</v>
      </c>
      <c r="N1782" s="60">
        <f ca="1">$K$1782-EFEITO!$M$1782*EFEITO!$Z$1782</f>
        <v>0</v>
      </c>
      <c r="O1782" s="60">
        <f>$L$1782-EFEITO!$O$1782*EFEITO!$AA$1782</f>
        <v>0</v>
      </c>
      <c r="P1782" s="18"/>
      <c r="Q1782" s="18"/>
      <c r="R1782" s="18"/>
      <c r="S1782" s="18"/>
      <c r="T1782" s="18"/>
      <c r="U1782" s="18"/>
      <c r="V1782" s="18"/>
      <c r="W1782" s="18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</row>
    <row r="1783" spans="1:36" ht="11.25" customHeight="1" x14ac:dyDescent="0.2">
      <c r="A1783" s="51" t="s">
        <v>21</v>
      </c>
      <c r="B1783" s="51" t="s">
        <v>37</v>
      </c>
      <c r="C1783" s="51" t="s">
        <v>23</v>
      </c>
      <c r="D1783" s="51" t="s">
        <v>38</v>
      </c>
      <c r="E1783" s="51" t="s">
        <v>25</v>
      </c>
      <c r="F1783" s="51" t="s">
        <v>25</v>
      </c>
      <c r="G1783" s="51" t="s">
        <v>25</v>
      </c>
      <c r="H1783" s="51" t="s">
        <v>25</v>
      </c>
      <c r="I1783" s="59">
        <v>44501</v>
      </c>
      <c r="J1783" s="60">
        <f>EFEITO!$J$1783*EFEITO!$Y$1783</f>
        <v>0</v>
      </c>
      <c r="K1783" s="60">
        <f ca="1">EFEITO!$L$1783*EFEITO!$Z$1783</f>
        <v>511706.26226905646</v>
      </c>
      <c r="L1783" s="60">
        <f>EFEITO!$N$1783*EFEITO!$AA$1783</f>
        <v>292080.95265313401</v>
      </c>
      <c r="M1783" s="60">
        <f>$J$1783-EFEITO!$K$1783*EFEITO!$Y$1783</f>
        <v>0</v>
      </c>
      <c r="N1783" s="60">
        <f ca="1">$K$1783-EFEITO!$M$1783*EFEITO!$Z$1783</f>
        <v>0</v>
      </c>
      <c r="O1783" s="60">
        <f>$L$1783-EFEITO!$O$1783*EFEITO!$AA$1783</f>
        <v>0</v>
      </c>
      <c r="P1783" s="18"/>
      <c r="Q1783" s="18"/>
      <c r="R1783" s="18"/>
      <c r="S1783" s="18"/>
      <c r="T1783" s="18"/>
      <c r="U1783" s="18"/>
      <c r="V1783" s="18"/>
      <c r="W1783" s="18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</row>
    <row r="1784" spans="1:36" ht="11.25" customHeight="1" x14ac:dyDescent="0.2">
      <c r="A1784" s="51" t="s">
        <v>28</v>
      </c>
      <c r="B1784" s="51" t="s">
        <v>37</v>
      </c>
      <c r="C1784" s="51" t="s">
        <v>23</v>
      </c>
      <c r="D1784" s="51" t="s">
        <v>38</v>
      </c>
      <c r="E1784" s="51" t="s">
        <v>25</v>
      </c>
      <c r="F1784" s="51" t="s">
        <v>25</v>
      </c>
      <c r="G1784" s="51" t="s">
        <v>25</v>
      </c>
      <c r="H1784" s="51" t="s">
        <v>25</v>
      </c>
      <c r="I1784" s="59">
        <v>44501</v>
      </c>
      <c r="J1784" s="60">
        <f>EFEITO!$J$1784*EFEITO!$Y$1784</f>
        <v>0</v>
      </c>
      <c r="K1784" s="60">
        <f ca="1">EFEITO!$L$1784*EFEITO!$Z$1784</f>
        <v>22260.486260628768</v>
      </c>
      <c r="L1784" s="60">
        <f>EFEITO!$N$1784*EFEITO!$AA$1784</f>
        <v>12706.242844664963</v>
      </c>
      <c r="M1784" s="60">
        <f>$J$1784-EFEITO!$K$1784*EFEITO!$Y$1784</f>
        <v>0</v>
      </c>
      <c r="N1784" s="60">
        <f ca="1">$K$1784-EFEITO!$M$1784*EFEITO!$Z$1784</f>
        <v>0</v>
      </c>
      <c r="O1784" s="60">
        <f>$L$1784-EFEITO!$O$1784*EFEITO!$AA$1784</f>
        <v>0</v>
      </c>
      <c r="P1784" s="18"/>
      <c r="Q1784" s="18"/>
      <c r="R1784" s="18"/>
      <c r="S1784" s="18"/>
      <c r="T1784" s="18"/>
      <c r="U1784" s="18"/>
      <c r="V1784" s="18"/>
      <c r="W1784" s="18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</row>
    <row r="1785" spans="1:36" ht="11.25" customHeight="1" x14ac:dyDescent="0.2">
      <c r="A1785" s="51" t="s">
        <v>21</v>
      </c>
      <c r="B1785" s="51" t="s">
        <v>37</v>
      </c>
      <c r="C1785" s="51" t="s">
        <v>23</v>
      </c>
      <c r="D1785" s="51" t="s">
        <v>38</v>
      </c>
      <c r="E1785" s="51" t="s">
        <v>25</v>
      </c>
      <c r="F1785" s="51" t="s">
        <v>25</v>
      </c>
      <c r="G1785" s="51" t="s">
        <v>25</v>
      </c>
      <c r="H1785" s="51" t="s">
        <v>25</v>
      </c>
      <c r="I1785" s="59">
        <v>44531</v>
      </c>
      <c r="J1785" s="60">
        <f>EFEITO!$J$1785*EFEITO!$Y$1785</f>
        <v>0</v>
      </c>
      <c r="K1785" s="60">
        <f ca="1">EFEITO!$L$1785*EFEITO!$Z$1785</f>
        <v>551444.82568509935</v>
      </c>
      <c r="L1785" s="60">
        <f>EFEITO!$N$1785*EFEITO!$AA$1785</f>
        <v>314763.6484015825</v>
      </c>
      <c r="M1785" s="60">
        <f>$J$1785-EFEITO!$K$1785*EFEITO!$Y$1785</f>
        <v>0</v>
      </c>
      <c r="N1785" s="60">
        <f ca="1">$K$1785-EFEITO!$M$1785*EFEITO!$Z$1785</f>
        <v>0</v>
      </c>
      <c r="O1785" s="60">
        <f>$L$1785-EFEITO!$O$1785*EFEITO!$AA$1785</f>
        <v>0</v>
      </c>
      <c r="P1785" s="18"/>
      <c r="Q1785" s="18"/>
      <c r="R1785" s="18"/>
      <c r="S1785" s="18"/>
      <c r="T1785" s="18"/>
      <c r="U1785" s="18"/>
      <c r="V1785" s="18"/>
      <c r="W1785" s="18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</row>
    <row r="1786" spans="1:36" ht="11.25" customHeight="1" x14ac:dyDescent="0.2">
      <c r="A1786" s="51" t="s">
        <v>27</v>
      </c>
      <c r="B1786" s="51" t="s">
        <v>37</v>
      </c>
      <c r="C1786" s="51" t="s">
        <v>23</v>
      </c>
      <c r="D1786" s="51" t="s">
        <v>38</v>
      </c>
      <c r="E1786" s="51" t="s">
        <v>25</v>
      </c>
      <c r="F1786" s="51" t="s">
        <v>25</v>
      </c>
      <c r="G1786" s="51" t="s">
        <v>25</v>
      </c>
      <c r="H1786" s="51" t="s">
        <v>25</v>
      </c>
      <c r="I1786" s="59">
        <v>44531</v>
      </c>
      <c r="J1786" s="60">
        <f>EFEITO!$J$1786*EFEITO!$Y$1786</f>
        <v>0</v>
      </c>
      <c r="K1786" s="60">
        <f ca="1">EFEITO!$L$1786*EFEITO!$Z$1786</f>
        <v>-1233.4273827066529</v>
      </c>
      <c r="L1786" s="60">
        <f>EFEITO!$N$1786*EFEITO!$AA$1786</f>
        <v>-704.03798337725812</v>
      </c>
      <c r="M1786" s="60">
        <f>$J$1786-EFEITO!$K$1786*EFEITO!$Y$1786</f>
        <v>0</v>
      </c>
      <c r="N1786" s="60">
        <f ca="1">$K$1786-EFEITO!$M$1786*EFEITO!$Z$1786</f>
        <v>0</v>
      </c>
      <c r="O1786" s="60">
        <f>$L$1786-EFEITO!$O$1786*EFEITO!$AA$1786</f>
        <v>0</v>
      </c>
      <c r="P1786" s="18"/>
      <c r="Q1786" s="18"/>
      <c r="R1786" s="18"/>
      <c r="S1786" s="18"/>
      <c r="T1786" s="18"/>
      <c r="U1786" s="18"/>
      <c r="V1786" s="18"/>
      <c r="W1786" s="18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</row>
    <row r="1787" spans="1:36" ht="11.25" customHeight="1" x14ac:dyDescent="0.2">
      <c r="A1787" s="51" t="s">
        <v>28</v>
      </c>
      <c r="B1787" s="51" t="s">
        <v>37</v>
      </c>
      <c r="C1787" s="51" t="s">
        <v>23</v>
      </c>
      <c r="D1787" s="51" t="s">
        <v>38</v>
      </c>
      <c r="E1787" s="51" t="s">
        <v>25</v>
      </c>
      <c r="F1787" s="51" t="s">
        <v>25</v>
      </c>
      <c r="G1787" s="51" t="s">
        <v>25</v>
      </c>
      <c r="H1787" s="51" t="s">
        <v>25</v>
      </c>
      <c r="I1787" s="59">
        <v>44531</v>
      </c>
      <c r="J1787" s="60">
        <f>EFEITO!$J$1787*EFEITO!$Y$1787</f>
        <v>0</v>
      </c>
      <c r="K1787" s="60">
        <f ca="1">EFEITO!$L$1787*EFEITO!$Z$1787</f>
        <v>29148.355908123624</v>
      </c>
      <c r="L1787" s="60">
        <f>EFEITO!$N$1787*EFEITO!$AA$1787</f>
        <v>16637.825623171364</v>
      </c>
      <c r="M1787" s="60">
        <f>$J$1787-EFEITO!$K$1787*EFEITO!$Y$1787</f>
        <v>0</v>
      </c>
      <c r="N1787" s="60">
        <f ca="1">$K$1787-EFEITO!$M$1787*EFEITO!$Z$1787</f>
        <v>0</v>
      </c>
      <c r="O1787" s="60">
        <f>$L$1787-EFEITO!$O$1787*EFEITO!$AA$1787</f>
        <v>0</v>
      </c>
      <c r="P1787" s="18"/>
      <c r="Q1787" s="18"/>
      <c r="R1787" s="18"/>
      <c r="S1787" s="18"/>
      <c r="T1787" s="18"/>
      <c r="U1787" s="18"/>
      <c r="V1787" s="18"/>
      <c r="W1787" s="18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</row>
    <row r="1788" spans="1:36" ht="11.25" customHeight="1" x14ac:dyDescent="0.2">
      <c r="A1788" s="51" t="s">
        <v>21</v>
      </c>
      <c r="B1788" s="51" t="s">
        <v>37</v>
      </c>
      <c r="C1788" s="51" t="s">
        <v>23</v>
      </c>
      <c r="D1788" s="51" t="s">
        <v>38</v>
      </c>
      <c r="E1788" s="51" t="s">
        <v>25</v>
      </c>
      <c r="F1788" s="51" t="s">
        <v>25</v>
      </c>
      <c r="G1788" s="51" t="s">
        <v>25</v>
      </c>
      <c r="H1788" s="51" t="s">
        <v>25</v>
      </c>
      <c r="I1788" s="59">
        <v>44562</v>
      </c>
      <c r="J1788" s="60">
        <f>EFEITO!$J$1788*EFEITO!$Y$1788</f>
        <v>0</v>
      </c>
      <c r="K1788" s="60">
        <f ca="1">EFEITO!$L$1788*EFEITO!$Z$1788</f>
        <v>542766.01947791455</v>
      </c>
      <c r="L1788" s="60">
        <f>EFEITO!$N$1788*EFEITO!$AA$1788</f>
        <v>309809.80247121234</v>
      </c>
      <c r="M1788" s="60">
        <f>$J$1788-EFEITO!$K$1788*EFEITO!$Y$1788</f>
        <v>0</v>
      </c>
      <c r="N1788" s="60">
        <f ca="1">$K$1788-EFEITO!$M$1788*EFEITO!$Z$1788</f>
        <v>0</v>
      </c>
      <c r="O1788" s="60">
        <f>$L$1788-EFEITO!$O$1788*EFEITO!$AA$1788</f>
        <v>0</v>
      </c>
      <c r="P1788" s="18"/>
      <c r="Q1788" s="18"/>
      <c r="R1788" s="18"/>
      <c r="S1788" s="18"/>
      <c r="T1788" s="18"/>
      <c r="U1788" s="18"/>
      <c r="V1788" s="18"/>
      <c r="W1788" s="18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</row>
    <row r="1789" spans="1:36" ht="11.25" customHeight="1" x14ac:dyDescent="0.2">
      <c r="A1789" s="51" t="s">
        <v>28</v>
      </c>
      <c r="B1789" s="51" t="s">
        <v>37</v>
      </c>
      <c r="C1789" s="51" t="s">
        <v>23</v>
      </c>
      <c r="D1789" s="51" t="s">
        <v>38</v>
      </c>
      <c r="E1789" s="51" t="s">
        <v>25</v>
      </c>
      <c r="F1789" s="51" t="s">
        <v>25</v>
      </c>
      <c r="G1789" s="51" t="s">
        <v>25</v>
      </c>
      <c r="H1789" s="51" t="s">
        <v>25</v>
      </c>
      <c r="I1789" s="59">
        <v>44562</v>
      </c>
      <c r="J1789" s="60">
        <f>EFEITO!$J$1789*EFEITO!$Y$1789</f>
        <v>0</v>
      </c>
      <c r="K1789" s="60">
        <f ca="1">EFEITO!$L$1789*EFEITO!$Z$1789</f>
        <v>29596.501190507039</v>
      </c>
      <c r="L1789" s="60">
        <f>EFEITO!$N$1789*EFEITO!$AA$1789</f>
        <v>16893.626090465103</v>
      </c>
      <c r="M1789" s="60">
        <f>$J$1789-EFEITO!$K$1789*EFEITO!$Y$1789</f>
        <v>0</v>
      </c>
      <c r="N1789" s="60">
        <f ca="1">$K$1789-EFEITO!$M$1789*EFEITO!$Z$1789</f>
        <v>0</v>
      </c>
      <c r="O1789" s="60">
        <f>$L$1789-EFEITO!$O$1789*EFEITO!$AA$1789</f>
        <v>0</v>
      </c>
      <c r="P1789" s="18"/>
      <c r="Q1789" s="18"/>
      <c r="R1789" s="18"/>
      <c r="S1789" s="18"/>
      <c r="T1789" s="18"/>
      <c r="U1789" s="18"/>
      <c r="V1789" s="18"/>
      <c r="W1789" s="18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</row>
    <row r="1790" spans="1:36" ht="11.25" customHeight="1" x14ac:dyDescent="0.2">
      <c r="A1790" s="51" t="s">
        <v>28</v>
      </c>
      <c r="B1790" s="51" t="s">
        <v>37</v>
      </c>
      <c r="C1790" s="51" t="s">
        <v>23</v>
      </c>
      <c r="D1790" s="51" t="s">
        <v>38</v>
      </c>
      <c r="E1790" s="51" t="s">
        <v>25</v>
      </c>
      <c r="F1790" s="51" t="s">
        <v>25</v>
      </c>
      <c r="G1790" s="51" t="s">
        <v>25</v>
      </c>
      <c r="H1790" s="51" t="s">
        <v>25</v>
      </c>
      <c r="I1790" s="59">
        <v>44562</v>
      </c>
      <c r="J1790" s="60">
        <f>EFEITO!$J$1790*EFEITO!$Y$1790</f>
        <v>0</v>
      </c>
      <c r="K1790" s="60">
        <f ca="1">EFEITO!$L$1790*EFEITO!$Z$1790</f>
        <v>42.347673472928413</v>
      </c>
      <c r="L1790" s="60">
        <f>EFEITO!$N$1790*EFEITO!$AA$1790</f>
        <v>24.171970762619193</v>
      </c>
      <c r="M1790" s="60">
        <f>$J$1790-EFEITO!$K$1790*EFEITO!$Y$1790</f>
        <v>0</v>
      </c>
      <c r="N1790" s="60">
        <f ca="1">$K$1790-EFEITO!$M$1790*EFEITO!$Z$1790</f>
        <v>0</v>
      </c>
      <c r="O1790" s="60">
        <f>$L$1790-EFEITO!$O$1790*EFEITO!$AA$1790</f>
        <v>0</v>
      </c>
      <c r="P1790" s="18"/>
      <c r="Q1790" s="18"/>
      <c r="R1790" s="18"/>
      <c r="S1790" s="18"/>
      <c r="T1790" s="18"/>
      <c r="U1790" s="18"/>
      <c r="V1790" s="18"/>
      <c r="W1790" s="18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</row>
    <row r="1791" spans="1:36" ht="11.25" customHeight="1" x14ac:dyDescent="0.2">
      <c r="A1791" s="51" t="s">
        <v>21</v>
      </c>
      <c r="B1791" s="51" t="s">
        <v>37</v>
      </c>
      <c r="C1791" s="51" t="s">
        <v>23</v>
      </c>
      <c r="D1791" s="51" t="s">
        <v>38</v>
      </c>
      <c r="E1791" s="51" t="s">
        <v>25</v>
      </c>
      <c r="F1791" s="51" t="s">
        <v>25</v>
      </c>
      <c r="G1791" s="51" t="s">
        <v>25</v>
      </c>
      <c r="H1791" s="51" t="s">
        <v>25</v>
      </c>
      <c r="I1791" s="59">
        <v>44593</v>
      </c>
      <c r="J1791" s="60">
        <f>EFEITO!$J$1791*EFEITO!$Y$1791</f>
        <v>0</v>
      </c>
      <c r="K1791" s="60">
        <f ca="1">EFEITO!$L$1791*EFEITO!$Z$1791</f>
        <v>492257.16815607704</v>
      </c>
      <c r="L1791" s="60">
        <f>EFEITO!$N$1791*EFEITO!$AA$1791</f>
        <v>280979.44705191359</v>
      </c>
      <c r="M1791" s="60">
        <f>$J$1791-EFEITO!$K$1791*EFEITO!$Y$1791</f>
        <v>0</v>
      </c>
      <c r="N1791" s="60">
        <f ca="1">$K$1791-EFEITO!$M$1791*EFEITO!$Z$1791</f>
        <v>0</v>
      </c>
      <c r="O1791" s="60">
        <f>$L$1791-EFEITO!$O$1791*EFEITO!$AA$1791</f>
        <v>0</v>
      </c>
      <c r="P1791" s="18"/>
      <c r="Q1791" s="18"/>
      <c r="R1791" s="18"/>
      <c r="S1791" s="18"/>
      <c r="T1791" s="18"/>
      <c r="U1791" s="18"/>
      <c r="V1791" s="18"/>
      <c r="W1791" s="18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</row>
    <row r="1792" spans="1:36" ht="11.25" customHeight="1" x14ac:dyDescent="0.2">
      <c r="A1792" s="51" t="s">
        <v>27</v>
      </c>
      <c r="B1792" s="51" t="s">
        <v>37</v>
      </c>
      <c r="C1792" s="51" t="s">
        <v>23</v>
      </c>
      <c r="D1792" s="51" t="s">
        <v>38</v>
      </c>
      <c r="E1792" s="51" t="s">
        <v>25</v>
      </c>
      <c r="F1792" s="51" t="s">
        <v>25</v>
      </c>
      <c r="G1792" s="51" t="s">
        <v>25</v>
      </c>
      <c r="H1792" s="51" t="s">
        <v>25</v>
      </c>
      <c r="I1792" s="59">
        <v>44593</v>
      </c>
      <c r="J1792" s="60">
        <f>EFEITO!$J$1792*EFEITO!$Y$1792</f>
        <v>0</v>
      </c>
      <c r="K1792" s="60">
        <f ca="1">EFEITO!$L$1792*EFEITO!$Z$1792</f>
        <v>-429.2327291819152</v>
      </c>
      <c r="L1792" s="60">
        <f>EFEITO!$N$1792*EFEITO!$AA$1792</f>
        <v>-245.00521821528582</v>
      </c>
      <c r="M1792" s="60">
        <f>$J$1792-EFEITO!$K$1792*EFEITO!$Y$1792</f>
        <v>0</v>
      </c>
      <c r="N1792" s="60">
        <f ca="1">$K$1792-EFEITO!$M$1792*EFEITO!$Z$1792</f>
        <v>0</v>
      </c>
      <c r="O1792" s="60">
        <f>$L$1792-EFEITO!$O$1792*EFEITO!$AA$1792</f>
        <v>0</v>
      </c>
      <c r="P1792" s="18"/>
      <c r="Q1792" s="18"/>
      <c r="R1792" s="18"/>
      <c r="S1792" s="18"/>
      <c r="T1792" s="18"/>
      <c r="U1792" s="18"/>
      <c r="V1792" s="18"/>
      <c r="W1792" s="18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</row>
    <row r="1793" spans="1:36" ht="11.25" customHeight="1" x14ac:dyDescent="0.2">
      <c r="A1793" s="51" t="s">
        <v>28</v>
      </c>
      <c r="B1793" s="51" t="s">
        <v>37</v>
      </c>
      <c r="C1793" s="51" t="s">
        <v>23</v>
      </c>
      <c r="D1793" s="51" t="s">
        <v>38</v>
      </c>
      <c r="E1793" s="51" t="s">
        <v>25</v>
      </c>
      <c r="F1793" s="51" t="s">
        <v>25</v>
      </c>
      <c r="G1793" s="51" t="s">
        <v>25</v>
      </c>
      <c r="H1793" s="51" t="s">
        <v>25</v>
      </c>
      <c r="I1793" s="59">
        <v>44593</v>
      </c>
      <c r="J1793" s="60">
        <f>EFEITO!$J$1793*EFEITO!$Y$1793</f>
        <v>0</v>
      </c>
      <c r="K1793" s="60">
        <f ca="1">EFEITO!$L$1793*EFEITO!$Z$1793</f>
        <v>33403.269236000677</v>
      </c>
      <c r="L1793" s="60">
        <f>EFEITO!$N$1793*EFEITO!$AA$1793</f>
        <v>19066.521986495114</v>
      </c>
      <c r="M1793" s="60">
        <f>$J$1793-EFEITO!$K$1793*EFEITO!$Y$1793</f>
        <v>0</v>
      </c>
      <c r="N1793" s="60">
        <f ca="1">$K$1793-EFEITO!$M$1793*EFEITO!$Z$1793</f>
        <v>0</v>
      </c>
      <c r="O1793" s="60">
        <f>$L$1793-EFEITO!$O$1793*EFEITO!$AA$1793</f>
        <v>0</v>
      </c>
      <c r="P1793" s="18"/>
      <c r="Q1793" s="18"/>
      <c r="R1793" s="18"/>
      <c r="S1793" s="18"/>
      <c r="T1793" s="18"/>
      <c r="U1793" s="18"/>
      <c r="V1793" s="18"/>
      <c r="W1793" s="18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</row>
    <row r="1794" spans="1:36" ht="11.25" customHeight="1" x14ac:dyDescent="0.2">
      <c r="A1794" s="51" t="s">
        <v>28</v>
      </c>
      <c r="B1794" s="51" t="s">
        <v>37</v>
      </c>
      <c r="C1794" s="51" t="s">
        <v>23</v>
      </c>
      <c r="D1794" s="51" t="s">
        <v>38</v>
      </c>
      <c r="E1794" s="51" t="s">
        <v>25</v>
      </c>
      <c r="F1794" s="51" t="s">
        <v>25</v>
      </c>
      <c r="G1794" s="51" t="s">
        <v>25</v>
      </c>
      <c r="H1794" s="51" t="s">
        <v>25</v>
      </c>
      <c r="I1794" s="59">
        <v>44593</v>
      </c>
      <c r="J1794" s="60">
        <f>EFEITO!$J$1794*EFEITO!$Y$1794</f>
        <v>0</v>
      </c>
      <c r="K1794" s="60">
        <f ca="1">EFEITO!$L$1794*EFEITO!$Z$1794</f>
        <v>-41.114246090221769</v>
      </c>
      <c r="L1794" s="60">
        <f>EFEITO!$N$1794*EFEITO!$AA$1794</f>
        <v>-23.467932779241938</v>
      </c>
      <c r="M1794" s="60">
        <f>$J$1794-EFEITO!$K$1794*EFEITO!$Y$1794</f>
        <v>0</v>
      </c>
      <c r="N1794" s="60">
        <f ca="1">$K$1794-EFEITO!$M$1794*EFEITO!$Z$1794</f>
        <v>0</v>
      </c>
      <c r="O1794" s="60">
        <f>$L$1794-EFEITO!$O$1794*EFEITO!$AA$1794</f>
        <v>0</v>
      </c>
      <c r="P1794" s="18"/>
      <c r="Q1794" s="18"/>
      <c r="R1794" s="18"/>
      <c r="S1794" s="18"/>
      <c r="T1794" s="18"/>
      <c r="U1794" s="18"/>
      <c r="V1794" s="18"/>
      <c r="W1794" s="18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</row>
    <row r="1795" spans="1:36" ht="11.25" customHeight="1" x14ac:dyDescent="0.2">
      <c r="A1795" s="51" t="s">
        <v>56</v>
      </c>
      <c r="B1795" s="51" t="s">
        <v>37</v>
      </c>
      <c r="C1795" s="51" t="s">
        <v>23</v>
      </c>
      <c r="D1795" s="51" t="s">
        <v>38</v>
      </c>
      <c r="E1795" s="51" t="s">
        <v>25</v>
      </c>
      <c r="F1795" s="51" t="s">
        <v>25</v>
      </c>
      <c r="G1795" s="51" t="s">
        <v>25</v>
      </c>
      <c r="H1795" s="51" t="s">
        <v>25</v>
      </c>
      <c r="I1795" s="59">
        <v>44621</v>
      </c>
      <c r="J1795" s="60">
        <f>EFEITO!$J$1795*EFEITO!$Y$1795</f>
        <v>0</v>
      </c>
      <c r="K1795" s="60">
        <f ca="1">EFEITO!$L$1795*EFEITO!$Z$1795</f>
        <v>492257.16815607704</v>
      </c>
      <c r="L1795" s="60">
        <f>EFEITO!$N$1795*EFEITO!$AA$1795</f>
        <v>280979.44705191359</v>
      </c>
      <c r="M1795" s="60">
        <f>$J$1795-EFEITO!$K$1795*EFEITO!$Y$1795</f>
        <v>0</v>
      </c>
      <c r="N1795" s="60">
        <f ca="1">$K$1795-EFEITO!$M$1795*EFEITO!$Z$1795</f>
        <v>0</v>
      </c>
      <c r="O1795" s="60">
        <f>$L$1795-EFEITO!$O$1795*EFEITO!$AA$1795</f>
        <v>0</v>
      </c>
      <c r="P1795" s="18"/>
      <c r="Q1795" s="18"/>
      <c r="R1795" s="18"/>
      <c r="S1795" s="18"/>
      <c r="T1795" s="18"/>
      <c r="U1795" s="18"/>
      <c r="V1795" s="18"/>
      <c r="W1795" s="18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</row>
    <row r="1796" spans="1:36" ht="11.25" customHeight="1" x14ac:dyDescent="0.2">
      <c r="A1796" s="51" t="s">
        <v>56</v>
      </c>
      <c r="B1796" s="51" t="s">
        <v>37</v>
      </c>
      <c r="C1796" s="51" t="s">
        <v>23</v>
      </c>
      <c r="D1796" s="51" t="s">
        <v>38</v>
      </c>
      <c r="E1796" s="51" t="s">
        <v>25</v>
      </c>
      <c r="F1796" s="51" t="s">
        <v>25</v>
      </c>
      <c r="G1796" s="51" t="s">
        <v>25</v>
      </c>
      <c r="H1796" s="51" t="s">
        <v>25</v>
      </c>
      <c r="I1796" s="59">
        <v>44621</v>
      </c>
      <c r="J1796" s="60">
        <f>EFEITO!$J$1796*EFEITO!$Y$1796</f>
        <v>0</v>
      </c>
      <c r="K1796" s="60">
        <f ca="1">EFEITO!$L$1796*EFEITO!$Z$1796</f>
        <v>-429.2327291819152</v>
      </c>
      <c r="L1796" s="60">
        <f>EFEITO!$N$1796*EFEITO!$AA$1796</f>
        <v>-245.00521821528582</v>
      </c>
      <c r="M1796" s="60">
        <f>$J$1796-EFEITO!$K$1796*EFEITO!$Y$1796</f>
        <v>0</v>
      </c>
      <c r="N1796" s="60">
        <f ca="1">$K$1796-EFEITO!$M$1796*EFEITO!$Z$1796</f>
        <v>0</v>
      </c>
      <c r="O1796" s="60">
        <f>$L$1796-EFEITO!$O$1796*EFEITO!$AA$1796</f>
        <v>0</v>
      </c>
      <c r="P1796" s="18"/>
      <c r="Q1796" s="18"/>
      <c r="R1796" s="18"/>
      <c r="S1796" s="18"/>
      <c r="T1796" s="18"/>
      <c r="U1796" s="18"/>
      <c r="V1796" s="18"/>
      <c r="W1796" s="18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</row>
    <row r="1797" spans="1:36" ht="11.25" customHeight="1" x14ac:dyDescent="0.2">
      <c r="A1797" s="51" t="s">
        <v>56</v>
      </c>
      <c r="B1797" s="51" t="s">
        <v>37</v>
      </c>
      <c r="C1797" s="51" t="s">
        <v>23</v>
      </c>
      <c r="D1797" s="51" t="s">
        <v>38</v>
      </c>
      <c r="E1797" s="51" t="s">
        <v>25</v>
      </c>
      <c r="F1797" s="51" t="s">
        <v>25</v>
      </c>
      <c r="G1797" s="51" t="s">
        <v>25</v>
      </c>
      <c r="H1797" s="51" t="s">
        <v>25</v>
      </c>
      <c r="I1797" s="59">
        <v>44621</v>
      </c>
      <c r="J1797" s="60">
        <f>EFEITO!$J$1797*EFEITO!$Y$1797</f>
        <v>0</v>
      </c>
      <c r="K1797" s="60">
        <f ca="1">EFEITO!$L$1797*EFEITO!$Z$1797</f>
        <v>33403.269236000677</v>
      </c>
      <c r="L1797" s="60">
        <f>EFEITO!$N$1797*EFEITO!$AA$1797</f>
        <v>19066.521986495114</v>
      </c>
      <c r="M1797" s="60">
        <f>$J$1797-EFEITO!$K$1797*EFEITO!$Y$1797</f>
        <v>0</v>
      </c>
      <c r="N1797" s="60">
        <f ca="1">$K$1797-EFEITO!$M$1797*EFEITO!$Z$1797</f>
        <v>0</v>
      </c>
      <c r="O1797" s="60">
        <f>$L$1797-EFEITO!$O$1797*EFEITO!$AA$1797</f>
        <v>0</v>
      </c>
      <c r="P1797" s="18"/>
      <c r="Q1797" s="18"/>
      <c r="R1797" s="18"/>
      <c r="S1797" s="18"/>
      <c r="T1797" s="18"/>
      <c r="U1797" s="18"/>
      <c r="V1797" s="18"/>
      <c r="W1797" s="18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</row>
    <row r="1798" spans="1:36" ht="11.25" customHeight="1" x14ac:dyDescent="0.2">
      <c r="A1798" s="51" t="s">
        <v>56</v>
      </c>
      <c r="B1798" s="51" t="s">
        <v>37</v>
      </c>
      <c r="C1798" s="51" t="s">
        <v>23</v>
      </c>
      <c r="D1798" s="51" t="s">
        <v>38</v>
      </c>
      <c r="E1798" s="51" t="s">
        <v>25</v>
      </c>
      <c r="F1798" s="51" t="s">
        <v>25</v>
      </c>
      <c r="G1798" s="51" t="s">
        <v>25</v>
      </c>
      <c r="H1798" s="51" t="s">
        <v>25</v>
      </c>
      <c r="I1798" s="59">
        <v>44621</v>
      </c>
      <c r="J1798" s="60">
        <f>EFEITO!$J$1798*EFEITO!$Y$1798</f>
        <v>0</v>
      </c>
      <c r="K1798" s="60">
        <f ca="1">EFEITO!$L$1798*EFEITO!$Z$1798</f>
        <v>-41.114246090221769</v>
      </c>
      <c r="L1798" s="60">
        <f>EFEITO!$N$1798*EFEITO!$AA$1798</f>
        <v>-23.467932779241938</v>
      </c>
      <c r="M1798" s="60">
        <f>$J$1798-EFEITO!$K$1798*EFEITO!$Y$1798</f>
        <v>0</v>
      </c>
      <c r="N1798" s="60">
        <f ca="1">$K$1798-EFEITO!$M$1798*EFEITO!$Z$1798</f>
        <v>0</v>
      </c>
      <c r="O1798" s="60">
        <f>$L$1798-EFEITO!$O$1798*EFEITO!$AA$1798</f>
        <v>0</v>
      </c>
      <c r="P1798" s="18"/>
      <c r="Q1798" s="18"/>
      <c r="R1798" s="18"/>
      <c r="S1798" s="18"/>
      <c r="T1798" s="18"/>
      <c r="U1798" s="18"/>
      <c r="V1798" s="18"/>
      <c r="W1798" s="18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</row>
    <row r="1799" spans="1:36" ht="11.25" customHeight="1" x14ac:dyDescent="0.2">
      <c r="A1799" s="51" t="s">
        <v>21</v>
      </c>
      <c r="B1799" s="51" t="s">
        <v>37</v>
      </c>
      <c r="C1799" s="51" t="s">
        <v>23</v>
      </c>
      <c r="D1799" s="51" t="s">
        <v>46</v>
      </c>
      <c r="E1799" s="51" t="s">
        <v>25</v>
      </c>
      <c r="F1799" s="51" t="s">
        <v>25</v>
      </c>
      <c r="G1799" s="51" t="s">
        <v>25</v>
      </c>
      <c r="H1799" s="51" t="s">
        <v>25</v>
      </c>
      <c r="I1799" s="59">
        <v>44287</v>
      </c>
      <c r="J1799" s="60">
        <f>EFEITO!$J$1799*EFEITO!$Y$1799</f>
        <v>0</v>
      </c>
      <c r="K1799" s="60">
        <f ca="1">EFEITO!$L$1799*EFEITO!$Z$1799</f>
        <v>1568540.9685963716</v>
      </c>
      <c r="L1799" s="60">
        <f>EFEITO!$N$1799*EFEITO!$AA$1799</f>
        <v>895320.17519497557</v>
      </c>
      <c r="M1799" s="60">
        <f>$J$1799-EFEITO!$K$1799*EFEITO!$Y$1799</f>
        <v>0</v>
      </c>
      <c r="N1799" s="60">
        <f ca="1">$K$1799-EFEITO!$M$1799*EFEITO!$Z$1799</f>
        <v>0</v>
      </c>
      <c r="O1799" s="60">
        <f>$L$1799-EFEITO!$O$1799*EFEITO!$AA$1799</f>
        <v>0</v>
      </c>
      <c r="P1799" s="18"/>
      <c r="Q1799" s="18"/>
      <c r="R1799" s="18"/>
      <c r="S1799" s="18"/>
      <c r="T1799" s="18"/>
      <c r="U1799" s="18"/>
      <c r="V1799" s="18"/>
      <c r="W1799" s="18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</row>
    <row r="1800" spans="1:36" ht="11.25" customHeight="1" x14ac:dyDescent="0.2">
      <c r="A1800" s="51" t="s">
        <v>27</v>
      </c>
      <c r="B1800" s="51" t="s">
        <v>37</v>
      </c>
      <c r="C1800" s="51" t="s">
        <v>23</v>
      </c>
      <c r="D1800" s="51" t="s">
        <v>46</v>
      </c>
      <c r="E1800" s="51" t="s">
        <v>25</v>
      </c>
      <c r="F1800" s="51" t="s">
        <v>25</v>
      </c>
      <c r="G1800" s="51" t="s">
        <v>25</v>
      </c>
      <c r="H1800" s="51" t="s">
        <v>25</v>
      </c>
      <c r="I1800" s="59">
        <v>44287</v>
      </c>
      <c r="J1800" s="60">
        <f>EFEITO!$J$1800*EFEITO!$Y$1800</f>
        <v>0</v>
      </c>
      <c r="K1800" s="60">
        <f ca="1">EFEITO!$L$1800*EFEITO!$Z$1800</f>
        <v>-1880.1544737058414</v>
      </c>
      <c r="L1800" s="60">
        <f>EFEITO!$N$1800*EFEITO!$AA$1800</f>
        <v>-1073.1885659947338</v>
      </c>
      <c r="M1800" s="60">
        <f>$J$1800-EFEITO!$K$1800*EFEITO!$Y$1800</f>
        <v>0</v>
      </c>
      <c r="N1800" s="60">
        <f ca="1">$K$1800-EFEITO!$M$1800*EFEITO!$Z$1800</f>
        <v>0</v>
      </c>
      <c r="O1800" s="60">
        <f>$L$1800-EFEITO!$O$1800*EFEITO!$AA$1800</f>
        <v>0</v>
      </c>
      <c r="P1800" s="18"/>
      <c r="Q1800" s="18"/>
      <c r="R1800" s="18"/>
      <c r="S1800" s="18"/>
      <c r="T1800" s="18"/>
      <c r="U1800" s="18"/>
      <c r="V1800" s="18"/>
      <c r="W1800" s="18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</row>
    <row r="1801" spans="1:36" ht="11.25" customHeight="1" x14ac:dyDescent="0.2">
      <c r="A1801" s="51" t="s">
        <v>28</v>
      </c>
      <c r="B1801" s="51" t="s">
        <v>37</v>
      </c>
      <c r="C1801" s="51" t="s">
        <v>23</v>
      </c>
      <c r="D1801" s="51" t="s">
        <v>46</v>
      </c>
      <c r="E1801" s="51" t="s">
        <v>25</v>
      </c>
      <c r="F1801" s="51" t="s">
        <v>25</v>
      </c>
      <c r="G1801" s="51" t="s">
        <v>25</v>
      </c>
      <c r="H1801" s="51" t="s">
        <v>25</v>
      </c>
      <c r="I1801" s="59">
        <v>44287</v>
      </c>
      <c r="J1801" s="60">
        <f>EFEITO!$J$1801*EFEITO!$Y$1801</f>
        <v>0</v>
      </c>
      <c r="K1801" s="60">
        <f ca="1">EFEITO!$L$1801*EFEITO!$Z$1801</f>
        <v>1811.4936827351708</v>
      </c>
      <c r="L1801" s="60">
        <f>EFEITO!$N$1801*EFEITO!$AA$1801</f>
        <v>1033.9971182533998</v>
      </c>
      <c r="M1801" s="60">
        <f>$J$1801-EFEITO!$K$1801*EFEITO!$Y$1801</f>
        <v>0</v>
      </c>
      <c r="N1801" s="60">
        <f ca="1">$K$1801-EFEITO!$M$1801*EFEITO!$Z$1801</f>
        <v>0</v>
      </c>
      <c r="O1801" s="60">
        <f>$L$1801-EFEITO!$O$1801*EFEITO!$AA$1801</f>
        <v>0</v>
      </c>
      <c r="P1801" s="18"/>
      <c r="Q1801" s="18"/>
      <c r="R1801" s="18"/>
      <c r="S1801" s="18"/>
      <c r="T1801" s="18"/>
      <c r="U1801" s="18"/>
      <c r="V1801" s="18"/>
      <c r="W1801" s="18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</row>
    <row r="1802" spans="1:36" ht="11.25" customHeight="1" x14ac:dyDescent="0.2">
      <c r="A1802" s="51" t="s">
        <v>21</v>
      </c>
      <c r="B1802" s="51" t="s">
        <v>37</v>
      </c>
      <c r="C1802" s="51" t="s">
        <v>23</v>
      </c>
      <c r="D1802" s="51" t="s">
        <v>46</v>
      </c>
      <c r="E1802" s="51" t="s">
        <v>25</v>
      </c>
      <c r="F1802" s="51" t="s">
        <v>25</v>
      </c>
      <c r="G1802" s="51" t="s">
        <v>25</v>
      </c>
      <c r="H1802" s="51" t="s">
        <v>25</v>
      </c>
      <c r="I1802" s="59">
        <v>44317</v>
      </c>
      <c r="J1802" s="60">
        <f>EFEITO!$J$1802*EFEITO!$Y$1802</f>
        <v>0</v>
      </c>
      <c r="K1802" s="60">
        <f ca="1">EFEITO!$L$1802*EFEITO!$Z$1802</f>
        <v>1409791.8750201899</v>
      </c>
      <c r="L1802" s="60">
        <f>EFEITO!$N$1802*EFEITO!$AA$1802</f>
        <v>804706.49718574993</v>
      </c>
      <c r="M1802" s="60">
        <f>$J$1802-EFEITO!$K$1802*EFEITO!$Y$1802</f>
        <v>0</v>
      </c>
      <c r="N1802" s="60">
        <f ca="1">$K$1802-EFEITO!$M$1802*EFEITO!$Z$1802</f>
        <v>0</v>
      </c>
      <c r="O1802" s="60">
        <f>$L$1802-EFEITO!$O$1802*EFEITO!$AA$1802</f>
        <v>0</v>
      </c>
      <c r="P1802" s="18"/>
      <c r="Q1802" s="18"/>
      <c r="R1802" s="18"/>
      <c r="S1802" s="18"/>
      <c r="T1802" s="18"/>
      <c r="U1802" s="18"/>
      <c r="V1802" s="18"/>
      <c r="W1802" s="18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</row>
    <row r="1803" spans="1:36" ht="11.25" customHeight="1" x14ac:dyDescent="0.2">
      <c r="A1803" s="51" t="s">
        <v>27</v>
      </c>
      <c r="B1803" s="51" t="s">
        <v>37</v>
      </c>
      <c r="C1803" s="51" t="s">
        <v>23</v>
      </c>
      <c r="D1803" s="51" t="s">
        <v>46</v>
      </c>
      <c r="E1803" s="51" t="s">
        <v>25</v>
      </c>
      <c r="F1803" s="51" t="s">
        <v>25</v>
      </c>
      <c r="G1803" s="51" t="s">
        <v>25</v>
      </c>
      <c r="H1803" s="51" t="s">
        <v>25</v>
      </c>
      <c r="I1803" s="59">
        <v>44317</v>
      </c>
      <c r="J1803" s="60">
        <f>EFEITO!$J$1803*EFEITO!$Y$1803</f>
        <v>0</v>
      </c>
      <c r="K1803" s="60">
        <f ca="1">EFEITO!$L$1803*EFEITO!$Z$1803</f>
        <v>41.114246090221769</v>
      </c>
      <c r="L1803" s="60">
        <f>EFEITO!$N$1803*EFEITO!$AA$1803</f>
        <v>23.467932779241938</v>
      </c>
      <c r="M1803" s="60">
        <f>$J$1803-EFEITO!$K$1803*EFEITO!$Y$1803</f>
        <v>0</v>
      </c>
      <c r="N1803" s="60">
        <f ca="1">$K$1803-EFEITO!$M$1803*EFEITO!$Z$1803</f>
        <v>0</v>
      </c>
      <c r="O1803" s="60">
        <f>$L$1803-EFEITO!$O$1803*EFEITO!$AA$1803</f>
        <v>0</v>
      </c>
      <c r="P1803" s="18"/>
      <c r="Q1803" s="18"/>
      <c r="R1803" s="18"/>
      <c r="S1803" s="18"/>
      <c r="T1803" s="18"/>
      <c r="U1803" s="18"/>
      <c r="V1803" s="18"/>
      <c r="W1803" s="18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</row>
    <row r="1804" spans="1:36" ht="11.25" customHeight="1" x14ac:dyDescent="0.2">
      <c r="A1804" s="51" t="s">
        <v>28</v>
      </c>
      <c r="B1804" s="51" t="s">
        <v>37</v>
      </c>
      <c r="C1804" s="51" t="s">
        <v>23</v>
      </c>
      <c r="D1804" s="51" t="s">
        <v>46</v>
      </c>
      <c r="E1804" s="51" t="s">
        <v>25</v>
      </c>
      <c r="F1804" s="51" t="s">
        <v>25</v>
      </c>
      <c r="G1804" s="51" t="s">
        <v>25</v>
      </c>
      <c r="H1804" s="51" t="s">
        <v>25</v>
      </c>
      <c r="I1804" s="59">
        <v>44317</v>
      </c>
      <c r="J1804" s="60">
        <f>EFEITO!$J$1804*EFEITO!$Y$1804</f>
        <v>0</v>
      </c>
      <c r="K1804" s="60">
        <f ca="1">EFEITO!$L$1804*EFEITO!$Z$1804</f>
        <v>1866.9979149569704</v>
      </c>
      <c r="L1804" s="60">
        <f>EFEITO!$N$1804*EFEITO!$AA$1804</f>
        <v>1065.6788275053764</v>
      </c>
      <c r="M1804" s="60">
        <f>$J$1804-EFEITO!$K$1804*EFEITO!$Y$1804</f>
        <v>0</v>
      </c>
      <c r="N1804" s="60">
        <f ca="1">$K$1804-EFEITO!$M$1804*EFEITO!$Z$1804</f>
        <v>0</v>
      </c>
      <c r="O1804" s="60">
        <f>$L$1804-EFEITO!$O$1804*EFEITO!$AA$1804</f>
        <v>0</v>
      </c>
      <c r="P1804" s="18"/>
      <c r="Q1804" s="18"/>
      <c r="R1804" s="18"/>
      <c r="S1804" s="18"/>
      <c r="T1804" s="18"/>
      <c r="U1804" s="18"/>
      <c r="V1804" s="18"/>
      <c r="W1804" s="18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</row>
    <row r="1805" spans="1:36" ht="11.25" customHeight="1" x14ac:dyDescent="0.2">
      <c r="A1805" s="51" t="s">
        <v>21</v>
      </c>
      <c r="B1805" s="51" t="s">
        <v>37</v>
      </c>
      <c r="C1805" s="51" t="s">
        <v>23</v>
      </c>
      <c r="D1805" s="51" t="s">
        <v>46</v>
      </c>
      <c r="E1805" s="51" t="s">
        <v>25</v>
      </c>
      <c r="F1805" s="51" t="s">
        <v>25</v>
      </c>
      <c r="G1805" s="51" t="s">
        <v>25</v>
      </c>
      <c r="H1805" s="51" t="s">
        <v>25</v>
      </c>
      <c r="I1805" s="59">
        <v>44348</v>
      </c>
      <c r="J1805" s="60">
        <f>EFEITO!$J$1805*EFEITO!$Y$1805</f>
        <v>0</v>
      </c>
      <c r="K1805" s="60">
        <f ca="1">EFEITO!$L$1805*EFEITO!$Z$1805</f>
        <v>1349070.2449695414</v>
      </c>
      <c r="L1805" s="60">
        <f>EFEITO!$N$1805*EFEITO!$AA$1805</f>
        <v>770046.70726408751</v>
      </c>
      <c r="M1805" s="60">
        <f>$J$1805-EFEITO!$K$1805*EFEITO!$Y$1805</f>
        <v>0</v>
      </c>
      <c r="N1805" s="60">
        <f ca="1">$K$1805-EFEITO!$M$1805*EFEITO!$Z$1805</f>
        <v>0</v>
      </c>
      <c r="O1805" s="60">
        <f>$L$1805-EFEITO!$O$1805*EFEITO!$AA$1805</f>
        <v>0</v>
      </c>
      <c r="P1805" s="18"/>
      <c r="Q1805" s="18"/>
      <c r="R1805" s="18"/>
      <c r="S1805" s="18"/>
      <c r="T1805" s="18"/>
      <c r="U1805" s="18"/>
      <c r="V1805" s="18"/>
      <c r="W1805" s="18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</row>
    <row r="1806" spans="1:36" ht="11.25" customHeight="1" x14ac:dyDescent="0.2">
      <c r="A1806" s="51" t="s">
        <v>27</v>
      </c>
      <c r="B1806" s="51" t="s">
        <v>37</v>
      </c>
      <c r="C1806" s="51" t="s">
        <v>23</v>
      </c>
      <c r="D1806" s="51" t="s">
        <v>46</v>
      </c>
      <c r="E1806" s="51" t="s">
        <v>25</v>
      </c>
      <c r="F1806" s="51" t="s">
        <v>25</v>
      </c>
      <c r="G1806" s="51" t="s">
        <v>25</v>
      </c>
      <c r="H1806" s="51" t="s">
        <v>25</v>
      </c>
      <c r="I1806" s="59">
        <v>44348</v>
      </c>
      <c r="J1806" s="60">
        <f>EFEITO!$J$1806*EFEITO!$Y$1806</f>
        <v>0</v>
      </c>
      <c r="K1806" s="60">
        <f ca="1">EFEITO!$L$1806*EFEITO!$Z$1806</f>
        <v>-106142.18227636011</v>
      </c>
      <c r="L1806" s="60">
        <f>EFEITO!$N$1806*EFEITO!$AA$1806</f>
        <v>-60585.753980202149</v>
      </c>
      <c r="M1806" s="60">
        <f>$J$1806-EFEITO!$K$1806*EFEITO!$Y$1806</f>
        <v>0</v>
      </c>
      <c r="N1806" s="60">
        <f ca="1">$K$1806-EFEITO!$M$1806*EFEITO!$Z$1806</f>
        <v>0</v>
      </c>
      <c r="O1806" s="60">
        <f>$L$1806-EFEITO!$O$1806*EFEITO!$AA$1806</f>
        <v>0</v>
      </c>
      <c r="P1806" s="18"/>
      <c r="Q1806" s="18"/>
      <c r="R1806" s="18"/>
      <c r="S1806" s="18"/>
      <c r="T1806" s="18"/>
      <c r="U1806" s="18"/>
      <c r="V1806" s="18"/>
      <c r="W1806" s="18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</row>
    <row r="1807" spans="1:36" ht="11.25" customHeight="1" x14ac:dyDescent="0.2">
      <c r="A1807" s="51" t="s">
        <v>28</v>
      </c>
      <c r="B1807" s="51" t="s">
        <v>37</v>
      </c>
      <c r="C1807" s="51" t="s">
        <v>23</v>
      </c>
      <c r="D1807" s="51" t="s">
        <v>46</v>
      </c>
      <c r="E1807" s="51" t="s">
        <v>25</v>
      </c>
      <c r="F1807" s="51" t="s">
        <v>25</v>
      </c>
      <c r="G1807" s="51" t="s">
        <v>25</v>
      </c>
      <c r="H1807" s="51" t="s">
        <v>25</v>
      </c>
      <c r="I1807" s="59">
        <v>44348</v>
      </c>
      <c r="J1807" s="60">
        <f>EFEITO!$J$1807*EFEITO!$Y$1807</f>
        <v>0</v>
      </c>
      <c r="K1807" s="60">
        <f ca="1">EFEITO!$L$1807*EFEITO!$Z$1807</f>
        <v>1860.419635582535</v>
      </c>
      <c r="L1807" s="60">
        <f>EFEITO!$N$1807*EFEITO!$AA$1807</f>
        <v>1061.9239582606976</v>
      </c>
      <c r="M1807" s="60">
        <f>$J$1807-EFEITO!$K$1807*EFEITO!$Y$1807</f>
        <v>0</v>
      </c>
      <c r="N1807" s="60">
        <f ca="1">$K$1807-EFEITO!$M$1807*EFEITO!$Z$1807</f>
        <v>0</v>
      </c>
      <c r="O1807" s="60">
        <f>$L$1807-EFEITO!$O$1807*EFEITO!$AA$1807</f>
        <v>0</v>
      </c>
      <c r="P1807" s="18"/>
      <c r="Q1807" s="18"/>
      <c r="R1807" s="18"/>
      <c r="S1807" s="18"/>
      <c r="T1807" s="18"/>
      <c r="U1807" s="18"/>
      <c r="V1807" s="18"/>
      <c r="W1807" s="18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</row>
    <row r="1808" spans="1:36" ht="11.25" customHeight="1" x14ac:dyDescent="0.2">
      <c r="A1808" s="51" t="s">
        <v>21</v>
      </c>
      <c r="B1808" s="51" t="s">
        <v>37</v>
      </c>
      <c r="C1808" s="51" t="s">
        <v>23</v>
      </c>
      <c r="D1808" s="51" t="s">
        <v>46</v>
      </c>
      <c r="E1808" s="51" t="s">
        <v>25</v>
      </c>
      <c r="F1808" s="51" t="s">
        <v>25</v>
      </c>
      <c r="G1808" s="51" t="s">
        <v>25</v>
      </c>
      <c r="H1808" s="51" t="s">
        <v>25</v>
      </c>
      <c r="I1808" s="59">
        <v>44378</v>
      </c>
      <c r="J1808" s="60">
        <f>EFEITO!$J$1808*EFEITO!$Y$1808</f>
        <v>0</v>
      </c>
      <c r="K1808" s="60">
        <f ca="1">EFEITO!$L$1808*EFEITO!$Z$1808</f>
        <v>1270252.5906447428</v>
      </c>
      <c r="L1808" s="60">
        <f>EFEITO!$N$1808*EFEITO!$AA$1808</f>
        <v>725057.74140896962</v>
      </c>
      <c r="M1808" s="60">
        <f>$J$1808-EFEITO!$K$1808*EFEITO!$Y$1808</f>
        <v>0</v>
      </c>
      <c r="N1808" s="60">
        <f ca="1">$K$1808-EFEITO!$M$1808*EFEITO!$Z$1808</f>
        <v>0</v>
      </c>
      <c r="O1808" s="60">
        <f>$L$1808-EFEITO!$O$1808*EFEITO!$AA$1808</f>
        <v>0</v>
      </c>
      <c r="P1808" s="18"/>
      <c r="Q1808" s="18"/>
      <c r="R1808" s="18"/>
      <c r="S1808" s="18"/>
      <c r="T1808" s="18"/>
      <c r="U1808" s="18"/>
      <c r="V1808" s="18"/>
      <c r="W1808" s="18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</row>
    <row r="1809" spans="1:36" ht="11.25" customHeight="1" x14ac:dyDescent="0.2">
      <c r="A1809" s="51" t="s">
        <v>27</v>
      </c>
      <c r="B1809" s="51" t="s">
        <v>37</v>
      </c>
      <c r="C1809" s="51" t="s">
        <v>23</v>
      </c>
      <c r="D1809" s="51" t="s">
        <v>46</v>
      </c>
      <c r="E1809" s="51" t="s">
        <v>25</v>
      </c>
      <c r="F1809" s="51" t="s">
        <v>25</v>
      </c>
      <c r="G1809" s="51" t="s">
        <v>25</v>
      </c>
      <c r="H1809" s="51" t="s">
        <v>25</v>
      </c>
      <c r="I1809" s="59">
        <v>44378</v>
      </c>
      <c r="J1809" s="60">
        <f>EFEITO!$J$1809*EFEITO!$Y$1809</f>
        <v>0</v>
      </c>
      <c r="K1809" s="60">
        <f ca="1">EFEITO!$L$1809*EFEITO!$Z$1809</f>
        <v>-47072.933776077603</v>
      </c>
      <c r="L1809" s="60">
        <f>EFEITO!$N$1809*EFEITO!$AA$1809</f>
        <v>-26869.140276937469</v>
      </c>
      <c r="M1809" s="60">
        <f>$J$1809-EFEITO!$K$1809*EFEITO!$Y$1809</f>
        <v>0</v>
      </c>
      <c r="N1809" s="60">
        <f ca="1">$K$1809-EFEITO!$M$1809*EFEITO!$Z$1809</f>
        <v>0</v>
      </c>
      <c r="O1809" s="60">
        <f>$L$1809-EFEITO!$O$1809*EFEITO!$AA$1809</f>
        <v>0</v>
      </c>
      <c r="P1809" s="18"/>
      <c r="Q1809" s="18"/>
      <c r="R1809" s="18"/>
      <c r="S1809" s="18"/>
      <c r="T1809" s="18"/>
      <c r="U1809" s="18"/>
      <c r="V1809" s="18"/>
      <c r="W1809" s="18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</row>
    <row r="1810" spans="1:36" ht="11.25" customHeight="1" x14ac:dyDescent="0.2">
      <c r="A1810" s="51" t="s">
        <v>28</v>
      </c>
      <c r="B1810" s="51" t="s">
        <v>37</v>
      </c>
      <c r="C1810" s="51" t="s">
        <v>23</v>
      </c>
      <c r="D1810" s="51" t="s">
        <v>46</v>
      </c>
      <c r="E1810" s="51" t="s">
        <v>25</v>
      </c>
      <c r="F1810" s="51" t="s">
        <v>25</v>
      </c>
      <c r="G1810" s="51" t="s">
        <v>25</v>
      </c>
      <c r="H1810" s="51" t="s">
        <v>25</v>
      </c>
      <c r="I1810" s="59">
        <v>44378</v>
      </c>
      <c r="J1810" s="60">
        <f>EFEITO!$J$1810*EFEITO!$Y$1810</f>
        <v>0</v>
      </c>
      <c r="K1810" s="60">
        <f ca="1">EFEITO!$L$1810*EFEITO!$Z$1810</f>
        <v>1255.2179331344705</v>
      </c>
      <c r="L1810" s="60">
        <f>EFEITO!$N$1810*EFEITO!$AA$1810</f>
        <v>716.47598775025631</v>
      </c>
      <c r="M1810" s="60">
        <f>$J$1810-EFEITO!$K$1810*EFEITO!$Y$1810</f>
        <v>0</v>
      </c>
      <c r="N1810" s="60">
        <f ca="1">$K$1810-EFEITO!$M$1810*EFEITO!$Z$1810</f>
        <v>0</v>
      </c>
      <c r="O1810" s="60">
        <f>$L$1810-EFEITO!$O$1810*EFEITO!$AA$1810</f>
        <v>0</v>
      </c>
      <c r="P1810" s="18"/>
      <c r="Q1810" s="18"/>
      <c r="R1810" s="18"/>
      <c r="S1810" s="18"/>
      <c r="T1810" s="18"/>
      <c r="U1810" s="18"/>
      <c r="V1810" s="18"/>
      <c r="W1810" s="18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</row>
    <row r="1811" spans="1:36" ht="11.25" customHeight="1" x14ac:dyDescent="0.2">
      <c r="A1811" s="51" t="s">
        <v>21</v>
      </c>
      <c r="B1811" s="51" t="s">
        <v>37</v>
      </c>
      <c r="C1811" s="51" t="s">
        <v>23</v>
      </c>
      <c r="D1811" s="51" t="s">
        <v>46</v>
      </c>
      <c r="E1811" s="51" t="s">
        <v>25</v>
      </c>
      <c r="F1811" s="51" t="s">
        <v>25</v>
      </c>
      <c r="G1811" s="51" t="s">
        <v>25</v>
      </c>
      <c r="H1811" s="51" t="s">
        <v>25</v>
      </c>
      <c r="I1811" s="59">
        <v>44409</v>
      </c>
      <c r="J1811" s="60">
        <f>EFEITO!$J$1811*EFEITO!$Y$1811</f>
        <v>0</v>
      </c>
      <c r="K1811" s="60">
        <f ca="1">EFEITO!$L$1811*EFEITO!$Z$1811</f>
        <v>1321854.6697701192</v>
      </c>
      <c r="L1811" s="60">
        <f>EFEITO!$N$1811*EFEITO!$AA$1811</f>
        <v>754512.10916086833</v>
      </c>
      <c r="M1811" s="60">
        <f>$J$1811-EFEITO!$K$1811*EFEITO!$Y$1811</f>
        <v>0</v>
      </c>
      <c r="N1811" s="60">
        <f ca="1">$K$1811-EFEITO!$M$1811*EFEITO!$Z$1811</f>
        <v>0</v>
      </c>
      <c r="O1811" s="60">
        <f>$L$1811-EFEITO!$O$1811*EFEITO!$AA$1811</f>
        <v>0</v>
      </c>
      <c r="P1811" s="18"/>
      <c r="Q1811" s="18"/>
      <c r="R1811" s="18"/>
      <c r="S1811" s="18"/>
      <c r="T1811" s="18"/>
      <c r="U1811" s="18"/>
      <c r="V1811" s="18"/>
      <c r="W1811" s="18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</row>
    <row r="1812" spans="1:36" ht="11.25" customHeight="1" x14ac:dyDescent="0.2">
      <c r="A1812" s="51" t="s">
        <v>27</v>
      </c>
      <c r="B1812" s="51" t="s">
        <v>37</v>
      </c>
      <c r="C1812" s="51" t="s">
        <v>23</v>
      </c>
      <c r="D1812" s="51" t="s">
        <v>46</v>
      </c>
      <c r="E1812" s="51" t="s">
        <v>25</v>
      </c>
      <c r="F1812" s="51" t="s">
        <v>25</v>
      </c>
      <c r="G1812" s="51" t="s">
        <v>25</v>
      </c>
      <c r="H1812" s="51" t="s">
        <v>25</v>
      </c>
      <c r="I1812" s="59">
        <v>44409</v>
      </c>
      <c r="J1812" s="60">
        <f>EFEITO!$J$1812*EFEITO!$Y$1812</f>
        <v>0</v>
      </c>
      <c r="K1812" s="60">
        <f ca="1">EFEITO!$L$1812*EFEITO!$Z$1812</f>
        <v>-64793.584983424087</v>
      </c>
      <c r="L1812" s="60">
        <f>EFEITO!$N$1812*EFEITO!$AA$1812</f>
        <v>-36984.053984118538</v>
      </c>
      <c r="M1812" s="60">
        <f>$J$1812-EFEITO!$K$1812*EFEITO!$Y$1812</f>
        <v>0</v>
      </c>
      <c r="N1812" s="60">
        <f ca="1">$K$1812-EFEITO!$M$1812*EFEITO!$Z$1812</f>
        <v>0</v>
      </c>
      <c r="O1812" s="60">
        <f>$L$1812-EFEITO!$O$1812*EFEITO!$AA$1812</f>
        <v>0</v>
      </c>
      <c r="P1812" s="18"/>
      <c r="Q1812" s="18"/>
      <c r="R1812" s="18"/>
      <c r="S1812" s="18"/>
      <c r="T1812" s="18"/>
      <c r="U1812" s="18"/>
      <c r="V1812" s="18"/>
      <c r="W1812" s="18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</row>
    <row r="1813" spans="1:36" ht="11.25" customHeight="1" x14ac:dyDescent="0.2">
      <c r="A1813" s="51" t="s">
        <v>28</v>
      </c>
      <c r="B1813" s="51" t="s">
        <v>37</v>
      </c>
      <c r="C1813" s="51" t="s">
        <v>23</v>
      </c>
      <c r="D1813" s="51" t="s">
        <v>46</v>
      </c>
      <c r="E1813" s="51" t="s">
        <v>25</v>
      </c>
      <c r="F1813" s="51" t="s">
        <v>25</v>
      </c>
      <c r="G1813" s="51" t="s">
        <v>25</v>
      </c>
      <c r="H1813" s="51" t="s">
        <v>25</v>
      </c>
      <c r="I1813" s="59">
        <v>44409</v>
      </c>
      <c r="J1813" s="60">
        <f>EFEITO!$J$1813*EFEITO!$Y$1813</f>
        <v>0</v>
      </c>
      <c r="K1813" s="60">
        <f ca="1">EFEITO!$L$1813*EFEITO!$Z$1813</f>
        <v>1870.6981971050902</v>
      </c>
      <c r="L1813" s="60">
        <f>EFEITO!$N$1813*EFEITO!$AA$1813</f>
        <v>1067.7909414555081</v>
      </c>
      <c r="M1813" s="60">
        <f>$J$1813-EFEITO!$K$1813*EFEITO!$Y$1813</f>
        <v>0</v>
      </c>
      <c r="N1813" s="60">
        <f ca="1">$K$1813-EFEITO!$M$1813*EFEITO!$Z$1813</f>
        <v>0</v>
      </c>
      <c r="O1813" s="60">
        <f>$L$1813-EFEITO!$O$1813*EFEITO!$AA$1813</f>
        <v>0</v>
      </c>
      <c r="P1813" s="18"/>
      <c r="Q1813" s="18"/>
      <c r="R1813" s="18"/>
      <c r="S1813" s="18"/>
      <c r="T1813" s="18"/>
      <c r="U1813" s="18"/>
      <c r="V1813" s="18"/>
      <c r="W1813" s="18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</row>
    <row r="1814" spans="1:36" ht="11.25" customHeight="1" x14ac:dyDescent="0.2">
      <c r="A1814" s="51" t="s">
        <v>21</v>
      </c>
      <c r="B1814" s="51" t="s">
        <v>37</v>
      </c>
      <c r="C1814" s="51" t="s">
        <v>23</v>
      </c>
      <c r="D1814" s="51" t="s">
        <v>46</v>
      </c>
      <c r="E1814" s="51" t="s">
        <v>25</v>
      </c>
      <c r="F1814" s="51" t="s">
        <v>25</v>
      </c>
      <c r="G1814" s="51" t="s">
        <v>25</v>
      </c>
      <c r="H1814" s="51" t="s">
        <v>25</v>
      </c>
      <c r="I1814" s="59">
        <v>44440</v>
      </c>
      <c r="J1814" s="60">
        <f>EFEITO!$J$1814*EFEITO!$Y$1814</f>
        <v>0</v>
      </c>
      <c r="K1814" s="60">
        <f ca="1">EFEITO!$L$1814*EFEITO!$Z$1814</f>
        <v>1379454.4951151372</v>
      </c>
      <c r="L1814" s="60">
        <f>EFEITO!$N$1814*EFEITO!$AA$1814</f>
        <v>787389.9789466029</v>
      </c>
      <c r="M1814" s="60">
        <f>$J$1814-EFEITO!$K$1814*EFEITO!$Y$1814</f>
        <v>0</v>
      </c>
      <c r="N1814" s="60">
        <f ca="1">$K$1814-EFEITO!$M$1814*EFEITO!$Z$1814</f>
        <v>0</v>
      </c>
      <c r="O1814" s="60">
        <f>$L$1814-EFEITO!$O$1814*EFEITO!$AA$1814</f>
        <v>0</v>
      </c>
      <c r="P1814" s="18"/>
      <c r="Q1814" s="18"/>
      <c r="R1814" s="18"/>
      <c r="S1814" s="18"/>
      <c r="T1814" s="18"/>
      <c r="U1814" s="18"/>
      <c r="V1814" s="18"/>
      <c r="W1814" s="18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</row>
    <row r="1815" spans="1:36" ht="11.25" customHeight="1" x14ac:dyDescent="0.2">
      <c r="A1815" s="51" t="s">
        <v>28</v>
      </c>
      <c r="B1815" s="51" t="s">
        <v>37</v>
      </c>
      <c r="C1815" s="51" t="s">
        <v>23</v>
      </c>
      <c r="D1815" s="51" t="s">
        <v>46</v>
      </c>
      <c r="E1815" s="51" t="s">
        <v>25</v>
      </c>
      <c r="F1815" s="51" t="s">
        <v>25</v>
      </c>
      <c r="G1815" s="51" t="s">
        <v>25</v>
      </c>
      <c r="H1815" s="51" t="s">
        <v>25</v>
      </c>
      <c r="I1815" s="59">
        <v>44440</v>
      </c>
      <c r="J1815" s="60">
        <f>EFEITO!$J$1815*EFEITO!$Y$1815</f>
        <v>0</v>
      </c>
      <c r="K1815" s="60">
        <f ca="1">EFEITO!$L$1815*EFEITO!$Z$1815</f>
        <v>1913.8681554998232</v>
      </c>
      <c r="L1815" s="60">
        <f>EFEITO!$N$1815*EFEITO!$AA$1815</f>
        <v>1092.4322708737122</v>
      </c>
      <c r="M1815" s="60">
        <f>$J$1815-EFEITO!$K$1815*EFEITO!$Y$1815</f>
        <v>0</v>
      </c>
      <c r="N1815" s="60">
        <f ca="1">$K$1815-EFEITO!$M$1815*EFEITO!$Z$1815</f>
        <v>0</v>
      </c>
      <c r="O1815" s="60">
        <f>$L$1815-EFEITO!$O$1815*EFEITO!$AA$1815</f>
        <v>0</v>
      </c>
      <c r="P1815" s="18"/>
      <c r="Q1815" s="18"/>
      <c r="R1815" s="18"/>
      <c r="S1815" s="18"/>
      <c r="T1815" s="18"/>
      <c r="U1815" s="18"/>
      <c r="V1815" s="18"/>
      <c r="W1815" s="18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</row>
    <row r="1816" spans="1:36" ht="11.25" customHeight="1" x14ac:dyDescent="0.2">
      <c r="A1816" s="51" t="s">
        <v>21</v>
      </c>
      <c r="B1816" s="51" t="s">
        <v>37</v>
      </c>
      <c r="C1816" s="51" t="s">
        <v>23</v>
      </c>
      <c r="D1816" s="51" t="s">
        <v>46</v>
      </c>
      <c r="E1816" s="51" t="s">
        <v>25</v>
      </c>
      <c r="F1816" s="51" t="s">
        <v>25</v>
      </c>
      <c r="G1816" s="51" t="s">
        <v>25</v>
      </c>
      <c r="H1816" s="51" t="s">
        <v>25</v>
      </c>
      <c r="I1816" s="59">
        <v>44470</v>
      </c>
      <c r="J1816" s="60">
        <f>EFEITO!$J$1816*EFEITO!$Y$1816</f>
        <v>0</v>
      </c>
      <c r="K1816" s="60">
        <f ca="1">EFEITO!$L$1816*EFEITO!$Z$1816</f>
        <v>1575828.4687158633</v>
      </c>
      <c r="L1816" s="60">
        <f>EFEITO!$N$1816*EFEITO!$AA$1816</f>
        <v>899479.86628009612</v>
      </c>
      <c r="M1816" s="60">
        <f>$J$1816-EFEITO!$K$1816*EFEITO!$Y$1816</f>
        <v>0</v>
      </c>
      <c r="N1816" s="60">
        <f ca="1">$K$1816-EFEITO!$M$1816*EFEITO!$Z$1816</f>
        <v>0</v>
      </c>
      <c r="O1816" s="60">
        <f>$L$1816-EFEITO!$O$1816*EFEITO!$AA$1816</f>
        <v>0</v>
      </c>
      <c r="P1816" s="18"/>
      <c r="Q1816" s="18"/>
      <c r="R1816" s="18"/>
      <c r="S1816" s="18"/>
      <c r="T1816" s="18"/>
      <c r="U1816" s="18"/>
      <c r="V1816" s="18"/>
      <c r="W1816" s="18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</row>
    <row r="1817" spans="1:36" ht="11.25" customHeight="1" x14ac:dyDescent="0.2">
      <c r="A1817" s="51" t="s">
        <v>28</v>
      </c>
      <c r="B1817" s="51" t="s">
        <v>37</v>
      </c>
      <c r="C1817" s="51" t="s">
        <v>23</v>
      </c>
      <c r="D1817" s="51" t="s">
        <v>46</v>
      </c>
      <c r="E1817" s="51" t="s">
        <v>25</v>
      </c>
      <c r="F1817" s="51" t="s">
        <v>25</v>
      </c>
      <c r="G1817" s="51" t="s">
        <v>25</v>
      </c>
      <c r="H1817" s="51" t="s">
        <v>25</v>
      </c>
      <c r="I1817" s="59">
        <v>44470</v>
      </c>
      <c r="J1817" s="60">
        <f>EFEITO!$J$1817*EFEITO!$Y$1817</f>
        <v>0</v>
      </c>
      <c r="K1817" s="60">
        <f ca="1">EFEITO!$L$1817*EFEITO!$Z$1817</f>
        <v>2003.4972119765066</v>
      </c>
      <c r="L1817" s="60">
        <f>EFEITO!$N$1817*EFEITO!$AA$1817</f>
        <v>1143.5923643324597</v>
      </c>
      <c r="M1817" s="60">
        <f>$J$1817-EFEITO!$K$1817*EFEITO!$Y$1817</f>
        <v>0</v>
      </c>
      <c r="N1817" s="60">
        <f ca="1">$K$1817-EFEITO!$M$1817*EFEITO!$Z$1817</f>
        <v>0</v>
      </c>
      <c r="O1817" s="60">
        <f>$L$1817-EFEITO!$O$1817*EFEITO!$AA$1817</f>
        <v>0</v>
      </c>
      <c r="P1817" s="18"/>
      <c r="Q1817" s="18"/>
      <c r="R1817" s="18"/>
      <c r="S1817" s="18"/>
      <c r="T1817" s="18"/>
      <c r="U1817" s="18"/>
      <c r="V1817" s="18"/>
      <c r="W1817" s="18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</row>
    <row r="1818" spans="1:36" ht="11.25" customHeight="1" x14ac:dyDescent="0.2">
      <c r="A1818" s="51" t="s">
        <v>21</v>
      </c>
      <c r="B1818" s="51" t="s">
        <v>37</v>
      </c>
      <c r="C1818" s="51" t="s">
        <v>23</v>
      </c>
      <c r="D1818" s="51" t="s">
        <v>46</v>
      </c>
      <c r="E1818" s="51" t="s">
        <v>25</v>
      </c>
      <c r="F1818" s="51" t="s">
        <v>25</v>
      </c>
      <c r="G1818" s="51" t="s">
        <v>25</v>
      </c>
      <c r="H1818" s="51" t="s">
        <v>25</v>
      </c>
      <c r="I1818" s="59">
        <v>44501</v>
      </c>
      <c r="J1818" s="60">
        <f>EFEITO!$J$1818*EFEITO!$Y$1818</f>
        <v>0</v>
      </c>
      <c r="K1818" s="60">
        <f ca="1">EFEITO!$L$1818*EFEITO!$Z$1818</f>
        <v>1632645.4788153234</v>
      </c>
      <c r="L1818" s="60">
        <f>EFEITO!$N$1818*EFEITO!$AA$1818</f>
        <v>931910.90662571392</v>
      </c>
      <c r="M1818" s="60">
        <f>$J$1818-EFEITO!$K$1818*EFEITO!$Y$1818</f>
        <v>0</v>
      </c>
      <c r="N1818" s="60">
        <f ca="1">$K$1818-EFEITO!$M$1818*EFEITO!$Z$1818</f>
        <v>0</v>
      </c>
      <c r="O1818" s="60">
        <f>$L$1818-EFEITO!$O$1818*EFEITO!$AA$1818</f>
        <v>0</v>
      </c>
      <c r="P1818" s="18"/>
      <c r="Q1818" s="18"/>
      <c r="R1818" s="18"/>
      <c r="S1818" s="18"/>
      <c r="T1818" s="18"/>
      <c r="U1818" s="18"/>
      <c r="V1818" s="18"/>
      <c r="W1818" s="18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</row>
    <row r="1819" spans="1:36" ht="11.25" customHeight="1" x14ac:dyDescent="0.2">
      <c r="A1819" s="51" t="s">
        <v>28</v>
      </c>
      <c r="B1819" s="51" t="s">
        <v>37</v>
      </c>
      <c r="C1819" s="51" t="s">
        <v>23</v>
      </c>
      <c r="D1819" s="51" t="s">
        <v>46</v>
      </c>
      <c r="E1819" s="51" t="s">
        <v>25</v>
      </c>
      <c r="F1819" s="51" t="s">
        <v>25</v>
      </c>
      <c r="G1819" s="51" t="s">
        <v>25</v>
      </c>
      <c r="H1819" s="51" t="s">
        <v>25</v>
      </c>
      <c r="I1819" s="59">
        <v>44501</v>
      </c>
      <c r="J1819" s="60">
        <f>EFEITO!$J$1819*EFEITO!$Y$1819</f>
        <v>0</v>
      </c>
      <c r="K1819" s="60">
        <f ca="1">EFEITO!$L$1819*EFEITO!$Z$1819</f>
        <v>2322.1326191757253</v>
      </c>
      <c r="L1819" s="60">
        <f>EFEITO!$N$1819*EFEITO!$AA$1819</f>
        <v>1325.4688433715846</v>
      </c>
      <c r="M1819" s="60">
        <f>$J$1819-EFEITO!$K$1819*EFEITO!$Y$1819</f>
        <v>0</v>
      </c>
      <c r="N1819" s="60">
        <f ca="1">$K$1819-EFEITO!$M$1819*EFEITO!$Z$1819</f>
        <v>0</v>
      </c>
      <c r="O1819" s="60">
        <f>$L$1819-EFEITO!$O$1819*EFEITO!$AA$1819</f>
        <v>0</v>
      </c>
      <c r="P1819" s="18"/>
      <c r="Q1819" s="18"/>
      <c r="R1819" s="18"/>
      <c r="S1819" s="18"/>
      <c r="T1819" s="18"/>
      <c r="U1819" s="18"/>
      <c r="V1819" s="18"/>
      <c r="W1819" s="18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</row>
    <row r="1820" spans="1:36" ht="11.25" customHeight="1" x14ac:dyDescent="0.2">
      <c r="A1820" s="51" t="s">
        <v>21</v>
      </c>
      <c r="B1820" s="51" t="s">
        <v>37</v>
      </c>
      <c r="C1820" s="51" t="s">
        <v>23</v>
      </c>
      <c r="D1820" s="51" t="s">
        <v>46</v>
      </c>
      <c r="E1820" s="51" t="s">
        <v>25</v>
      </c>
      <c r="F1820" s="51" t="s">
        <v>25</v>
      </c>
      <c r="G1820" s="51" t="s">
        <v>25</v>
      </c>
      <c r="H1820" s="51" t="s">
        <v>25</v>
      </c>
      <c r="I1820" s="59">
        <v>44531</v>
      </c>
      <c r="J1820" s="60">
        <f>EFEITO!$J$1820*EFEITO!$Y$1820</f>
        <v>0</v>
      </c>
      <c r="K1820" s="60">
        <f ca="1">EFEITO!$L$1820*EFEITO!$Z$1820</f>
        <v>1787455.00533114</v>
      </c>
      <c r="L1820" s="60">
        <f>EFEITO!$N$1820*EFEITO!$AA$1820</f>
        <v>1020275.8873160327</v>
      </c>
      <c r="M1820" s="60">
        <f>$J$1820-EFEITO!$K$1820*EFEITO!$Y$1820</f>
        <v>0</v>
      </c>
      <c r="N1820" s="60">
        <f ca="1">$K$1820-EFEITO!$M$1820*EFEITO!$Z$1820</f>
        <v>0</v>
      </c>
      <c r="O1820" s="60">
        <f>$L$1820-EFEITO!$O$1820*EFEITO!$AA$1820</f>
        <v>0</v>
      </c>
      <c r="P1820" s="18"/>
      <c r="Q1820" s="18"/>
      <c r="R1820" s="18"/>
      <c r="S1820" s="18"/>
      <c r="T1820" s="18"/>
      <c r="U1820" s="18"/>
      <c r="V1820" s="18"/>
      <c r="W1820" s="18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</row>
    <row r="1821" spans="1:36" ht="11.25" customHeight="1" x14ac:dyDescent="0.2">
      <c r="A1821" s="51" t="s">
        <v>27</v>
      </c>
      <c r="B1821" s="51" t="s">
        <v>37</v>
      </c>
      <c r="C1821" s="51" t="s">
        <v>23</v>
      </c>
      <c r="D1821" s="51" t="s">
        <v>46</v>
      </c>
      <c r="E1821" s="51" t="s">
        <v>25</v>
      </c>
      <c r="F1821" s="51" t="s">
        <v>25</v>
      </c>
      <c r="G1821" s="51" t="s">
        <v>25</v>
      </c>
      <c r="H1821" s="51" t="s">
        <v>25</v>
      </c>
      <c r="I1821" s="59">
        <v>44531</v>
      </c>
      <c r="J1821" s="60">
        <f>EFEITO!$J$1821*EFEITO!$Y$1821</f>
        <v>0</v>
      </c>
      <c r="K1821" s="60">
        <f ca="1">EFEITO!$L$1821*EFEITO!$Z$1821</f>
        <v>-26401.101984375004</v>
      </c>
      <c r="L1821" s="60">
        <f>EFEITO!$N$1821*EFEITO!$AA$1821</f>
        <v>-15069.698354862418</v>
      </c>
      <c r="M1821" s="60">
        <f>$J$1821-EFEITO!$K$1821*EFEITO!$Y$1821</f>
        <v>0</v>
      </c>
      <c r="N1821" s="60">
        <f ca="1">$K$1821-EFEITO!$M$1821*EFEITO!$Z$1821</f>
        <v>0</v>
      </c>
      <c r="O1821" s="60">
        <f>$L$1821-EFEITO!$O$1821*EFEITO!$AA$1821</f>
        <v>0</v>
      </c>
      <c r="P1821" s="18"/>
      <c r="Q1821" s="18"/>
      <c r="R1821" s="18"/>
      <c r="S1821" s="18"/>
      <c r="T1821" s="18"/>
      <c r="U1821" s="18"/>
      <c r="V1821" s="18"/>
      <c r="W1821" s="18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</row>
    <row r="1822" spans="1:36" ht="11.25" customHeight="1" x14ac:dyDescent="0.2">
      <c r="A1822" s="51" t="s">
        <v>28</v>
      </c>
      <c r="B1822" s="51" t="s">
        <v>37</v>
      </c>
      <c r="C1822" s="51" t="s">
        <v>23</v>
      </c>
      <c r="D1822" s="51" t="s">
        <v>46</v>
      </c>
      <c r="E1822" s="51" t="s">
        <v>25</v>
      </c>
      <c r="F1822" s="51" t="s">
        <v>25</v>
      </c>
      <c r="G1822" s="51" t="s">
        <v>25</v>
      </c>
      <c r="H1822" s="51" t="s">
        <v>25</v>
      </c>
      <c r="I1822" s="59">
        <v>44531</v>
      </c>
      <c r="J1822" s="60">
        <f>EFEITO!$J$1822*EFEITO!$Y$1822</f>
        <v>0</v>
      </c>
      <c r="K1822" s="60">
        <f ca="1">EFEITO!$L$1822*EFEITO!$Z$1822</f>
        <v>2455.3427765080437</v>
      </c>
      <c r="L1822" s="60">
        <f>EFEITO!$N$1822*EFEITO!$AA$1822</f>
        <v>1401.5049455763285</v>
      </c>
      <c r="M1822" s="60">
        <f>$J$1822-EFEITO!$K$1822*EFEITO!$Y$1822</f>
        <v>0</v>
      </c>
      <c r="N1822" s="60">
        <f ca="1">$K$1822-EFEITO!$M$1822*EFEITO!$Z$1822</f>
        <v>0</v>
      </c>
      <c r="O1822" s="60">
        <f>$L$1822-EFEITO!$O$1822*EFEITO!$AA$1822</f>
        <v>0</v>
      </c>
      <c r="P1822" s="18"/>
      <c r="Q1822" s="18"/>
      <c r="R1822" s="18"/>
      <c r="S1822" s="18"/>
      <c r="T1822" s="18"/>
      <c r="U1822" s="18"/>
      <c r="V1822" s="18"/>
      <c r="W1822" s="18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</row>
    <row r="1823" spans="1:36" ht="11.25" customHeight="1" x14ac:dyDescent="0.2">
      <c r="A1823" s="51" t="s">
        <v>21</v>
      </c>
      <c r="B1823" s="51" t="s">
        <v>37</v>
      </c>
      <c r="C1823" s="51" t="s">
        <v>23</v>
      </c>
      <c r="D1823" s="51" t="s">
        <v>46</v>
      </c>
      <c r="E1823" s="51" t="s">
        <v>25</v>
      </c>
      <c r="F1823" s="51" t="s">
        <v>25</v>
      </c>
      <c r="G1823" s="51" t="s">
        <v>25</v>
      </c>
      <c r="H1823" s="51" t="s">
        <v>25</v>
      </c>
      <c r="I1823" s="59">
        <v>44562</v>
      </c>
      <c r="J1823" s="60">
        <f>EFEITO!$J$1823*EFEITO!$Y$1823</f>
        <v>0</v>
      </c>
      <c r="K1823" s="60">
        <f ca="1">EFEITO!$L$1823*EFEITO!$Z$1823</f>
        <v>1555471.9831916727</v>
      </c>
      <c r="L1823" s="60">
        <f>EFEITO!$N$1823*EFEITO!$AA$1823</f>
        <v>887860.42340243782</v>
      </c>
      <c r="M1823" s="60">
        <f>$J$1823-EFEITO!$K$1823*EFEITO!$Y$1823</f>
        <v>0</v>
      </c>
      <c r="N1823" s="60">
        <f ca="1">$K$1823-EFEITO!$M$1823*EFEITO!$Z$1823</f>
        <v>0</v>
      </c>
      <c r="O1823" s="60">
        <f>$L$1823-EFEITO!$O$1823*EFEITO!$AA$1823</f>
        <v>0</v>
      </c>
      <c r="P1823" s="18"/>
      <c r="Q1823" s="18"/>
      <c r="R1823" s="18"/>
      <c r="S1823" s="18"/>
      <c r="T1823" s="18"/>
      <c r="U1823" s="18"/>
      <c r="V1823" s="18"/>
      <c r="W1823" s="18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</row>
    <row r="1824" spans="1:36" ht="11.25" customHeight="1" x14ac:dyDescent="0.2">
      <c r="A1824" s="51" t="s">
        <v>27</v>
      </c>
      <c r="B1824" s="51" t="s">
        <v>37</v>
      </c>
      <c r="C1824" s="51" t="s">
        <v>23</v>
      </c>
      <c r="D1824" s="51" t="s">
        <v>46</v>
      </c>
      <c r="E1824" s="51" t="s">
        <v>25</v>
      </c>
      <c r="F1824" s="51" t="s">
        <v>25</v>
      </c>
      <c r="G1824" s="51" t="s">
        <v>25</v>
      </c>
      <c r="H1824" s="51" t="s">
        <v>25</v>
      </c>
      <c r="I1824" s="59">
        <v>44562</v>
      </c>
      <c r="J1824" s="60">
        <f>EFEITO!$J$1824*EFEITO!$Y$1824</f>
        <v>0</v>
      </c>
      <c r="K1824" s="60">
        <f ca="1">EFEITO!$L$1824*EFEITO!$Z$1824</f>
        <v>-3737.2849696011581</v>
      </c>
      <c r="L1824" s="60">
        <f>EFEITO!$N$1824*EFEITO!$AA$1824</f>
        <v>-2133.2350896330922</v>
      </c>
      <c r="M1824" s="60">
        <f>$J$1824-EFEITO!$K$1824*EFEITO!$Y$1824</f>
        <v>0</v>
      </c>
      <c r="N1824" s="60">
        <f ca="1">$K$1824-EFEITO!$M$1824*EFEITO!$Z$1824</f>
        <v>0</v>
      </c>
      <c r="O1824" s="60">
        <f>$L$1824-EFEITO!$O$1824*EFEITO!$AA$1824</f>
        <v>0</v>
      </c>
      <c r="P1824" s="18"/>
      <c r="Q1824" s="18"/>
      <c r="R1824" s="18"/>
      <c r="S1824" s="18"/>
      <c r="T1824" s="18"/>
      <c r="U1824" s="18"/>
      <c r="V1824" s="18"/>
      <c r="W1824" s="18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</row>
    <row r="1825" spans="1:36" ht="11.25" customHeight="1" x14ac:dyDescent="0.2">
      <c r="A1825" s="51" t="s">
        <v>28</v>
      </c>
      <c r="B1825" s="51" t="s">
        <v>37</v>
      </c>
      <c r="C1825" s="51" t="s">
        <v>23</v>
      </c>
      <c r="D1825" s="51" t="s">
        <v>46</v>
      </c>
      <c r="E1825" s="51" t="s">
        <v>25</v>
      </c>
      <c r="F1825" s="51" t="s">
        <v>25</v>
      </c>
      <c r="G1825" s="51" t="s">
        <v>25</v>
      </c>
      <c r="H1825" s="51" t="s">
        <v>25</v>
      </c>
      <c r="I1825" s="59">
        <v>44562</v>
      </c>
      <c r="J1825" s="60">
        <f>EFEITO!$J$1825*EFEITO!$Y$1825</f>
        <v>0</v>
      </c>
      <c r="K1825" s="60">
        <f ca="1">EFEITO!$L$1825*EFEITO!$Z$1825</f>
        <v>2076.6805700171012</v>
      </c>
      <c r="L1825" s="60">
        <f>EFEITO!$N$1825*EFEITO!$AA$1825</f>
        <v>1185.3652846795103</v>
      </c>
      <c r="M1825" s="60">
        <f>$J$1825-EFEITO!$K$1825*EFEITO!$Y$1825</f>
        <v>0</v>
      </c>
      <c r="N1825" s="60">
        <f ca="1">$K$1825-EFEITO!$M$1825*EFEITO!$Z$1825</f>
        <v>0</v>
      </c>
      <c r="O1825" s="60">
        <f>$L$1825-EFEITO!$O$1825*EFEITO!$AA$1825</f>
        <v>0</v>
      </c>
      <c r="P1825" s="18"/>
      <c r="Q1825" s="18"/>
      <c r="R1825" s="18"/>
      <c r="S1825" s="18"/>
      <c r="T1825" s="18"/>
      <c r="U1825" s="18"/>
      <c r="V1825" s="18"/>
      <c r="W1825" s="18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</row>
    <row r="1826" spans="1:36" ht="11.25" customHeight="1" x14ac:dyDescent="0.2">
      <c r="A1826" s="51" t="s">
        <v>21</v>
      </c>
      <c r="B1826" s="51" t="s">
        <v>37</v>
      </c>
      <c r="C1826" s="51" t="s">
        <v>23</v>
      </c>
      <c r="D1826" s="51" t="s">
        <v>46</v>
      </c>
      <c r="E1826" s="51" t="s">
        <v>25</v>
      </c>
      <c r="F1826" s="51" t="s">
        <v>25</v>
      </c>
      <c r="G1826" s="51" t="s">
        <v>25</v>
      </c>
      <c r="H1826" s="51" t="s">
        <v>25</v>
      </c>
      <c r="I1826" s="59">
        <v>44593</v>
      </c>
      <c r="J1826" s="60">
        <f>EFEITO!$J$1826*EFEITO!$Y$1826</f>
        <v>0</v>
      </c>
      <c r="K1826" s="60">
        <f ca="1">EFEITO!$L$1826*EFEITO!$Z$1826</f>
        <v>1577958.5978057978</v>
      </c>
      <c r="L1826" s="60">
        <f>EFEITO!$N$1826*EFEITO!$AA$1826</f>
        <v>900695.7398773887</v>
      </c>
      <c r="M1826" s="60">
        <f>$J$1826-EFEITO!$K$1826*EFEITO!$Y$1826</f>
        <v>0</v>
      </c>
      <c r="N1826" s="60">
        <f ca="1">$K$1826-EFEITO!$M$1826*EFEITO!$Z$1826</f>
        <v>0</v>
      </c>
      <c r="O1826" s="60">
        <f>$L$1826-EFEITO!$O$1826*EFEITO!$AA$1826</f>
        <v>0</v>
      </c>
      <c r="P1826" s="18"/>
      <c r="Q1826" s="18"/>
      <c r="R1826" s="18"/>
      <c r="S1826" s="18"/>
      <c r="T1826" s="18"/>
      <c r="U1826" s="18"/>
      <c r="V1826" s="18"/>
      <c r="W1826" s="18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</row>
    <row r="1827" spans="1:36" ht="11.25" customHeight="1" x14ac:dyDescent="0.2">
      <c r="A1827" s="51" t="s">
        <v>28</v>
      </c>
      <c r="B1827" s="51" t="s">
        <v>37</v>
      </c>
      <c r="C1827" s="51" t="s">
        <v>23</v>
      </c>
      <c r="D1827" s="51" t="s">
        <v>46</v>
      </c>
      <c r="E1827" s="51" t="s">
        <v>25</v>
      </c>
      <c r="F1827" s="51" t="s">
        <v>25</v>
      </c>
      <c r="G1827" s="51" t="s">
        <v>25</v>
      </c>
      <c r="H1827" s="51" t="s">
        <v>25</v>
      </c>
      <c r="I1827" s="59">
        <v>44593</v>
      </c>
      <c r="J1827" s="60">
        <f>EFEITO!$J$1827*EFEITO!$Y$1827</f>
        <v>0</v>
      </c>
      <c r="K1827" s="60">
        <f ca="1">EFEITO!$L$1827*EFEITO!$Z$1827</f>
        <v>2704.4951078147878</v>
      </c>
      <c r="L1827" s="60">
        <f>EFEITO!$N$1827*EFEITO!$AA$1827</f>
        <v>1543.7206182185346</v>
      </c>
      <c r="M1827" s="60">
        <f>$J$1827-EFEITO!$K$1827*EFEITO!$Y$1827</f>
        <v>0</v>
      </c>
      <c r="N1827" s="60">
        <f ca="1">$K$1827-EFEITO!$M$1827*EFEITO!$Z$1827</f>
        <v>0</v>
      </c>
      <c r="O1827" s="60">
        <f>$L$1827-EFEITO!$O$1827*EFEITO!$AA$1827</f>
        <v>0</v>
      </c>
      <c r="P1827" s="18"/>
      <c r="Q1827" s="18"/>
      <c r="R1827" s="18"/>
      <c r="S1827" s="18"/>
      <c r="T1827" s="18"/>
      <c r="U1827" s="18"/>
      <c r="V1827" s="18"/>
      <c r="W1827" s="18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</row>
    <row r="1828" spans="1:36" ht="11.25" customHeight="1" x14ac:dyDescent="0.2">
      <c r="A1828" s="51" t="s">
        <v>56</v>
      </c>
      <c r="B1828" s="51" t="s">
        <v>37</v>
      </c>
      <c r="C1828" s="51" t="s">
        <v>23</v>
      </c>
      <c r="D1828" s="51" t="s">
        <v>46</v>
      </c>
      <c r="E1828" s="51" t="s">
        <v>25</v>
      </c>
      <c r="F1828" s="51" t="s">
        <v>25</v>
      </c>
      <c r="G1828" s="51" t="s">
        <v>25</v>
      </c>
      <c r="H1828" s="51" t="s">
        <v>25</v>
      </c>
      <c r="I1828" s="59">
        <v>44621</v>
      </c>
      <c r="J1828" s="60">
        <f>EFEITO!$J$1828*EFEITO!$Y$1828</f>
        <v>0</v>
      </c>
      <c r="K1828" s="60">
        <f ca="1">EFEITO!$L$1828*EFEITO!$Z$1828</f>
        <v>1577958.5978057978</v>
      </c>
      <c r="L1828" s="60">
        <f>EFEITO!$N$1828*EFEITO!$AA$1828</f>
        <v>900695.7398773887</v>
      </c>
      <c r="M1828" s="60">
        <f>$J$1828-EFEITO!$K$1828*EFEITO!$Y$1828</f>
        <v>0</v>
      </c>
      <c r="N1828" s="60">
        <f ca="1">$K$1828-EFEITO!$M$1828*EFEITO!$Z$1828</f>
        <v>0</v>
      </c>
      <c r="O1828" s="60">
        <f>$L$1828-EFEITO!$O$1828*EFEITO!$AA$1828</f>
        <v>0</v>
      </c>
      <c r="P1828" s="18"/>
      <c r="Q1828" s="18"/>
      <c r="R1828" s="18"/>
      <c r="S1828" s="18"/>
      <c r="T1828" s="18"/>
      <c r="U1828" s="18"/>
      <c r="V1828" s="18"/>
      <c r="W1828" s="18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</row>
    <row r="1829" spans="1:36" ht="11.25" customHeight="1" x14ac:dyDescent="0.2">
      <c r="A1829" s="51" t="s">
        <v>56</v>
      </c>
      <c r="B1829" s="51" t="s">
        <v>37</v>
      </c>
      <c r="C1829" s="51" t="s">
        <v>23</v>
      </c>
      <c r="D1829" s="51" t="s">
        <v>46</v>
      </c>
      <c r="E1829" s="51" t="s">
        <v>25</v>
      </c>
      <c r="F1829" s="51" t="s">
        <v>25</v>
      </c>
      <c r="G1829" s="51" t="s">
        <v>25</v>
      </c>
      <c r="H1829" s="51" t="s">
        <v>25</v>
      </c>
      <c r="I1829" s="59">
        <v>44621</v>
      </c>
      <c r="J1829" s="60">
        <f>EFEITO!$J$1829*EFEITO!$Y$1829</f>
        <v>0</v>
      </c>
      <c r="K1829" s="60">
        <f ca="1">EFEITO!$L$1829*EFEITO!$Z$1829</f>
        <v>2704.4951078147878</v>
      </c>
      <c r="L1829" s="60">
        <f>EFEITO!$N$1829*EFEITO!$AA$1829</f>
        <v>1543.7206182185346</v>
      </c>
      <c r="M1829" s="60">
        <f>$J$1829-EFEITO!$K$1829*EFEITO!$Y$1829</f>
        <v>0</v>
      </c>
      <c r="N1829" s="60">
        <f ca="1">$K$1829-EFEITO!$M$1829*EFEITO!$Z$1829</f>
        <v>0</v>
      </c>
      <c r="O1829" s="60">
        <f>$L$1829-EFEITO!$O$1829*EFEITO!$AA$1829</f>
        <v>0</v>
      </c>
      <c r="P1829" s="18"/>
      <c r="Q1829" s="18"/>
      <c r="R1829" s="18"/>
      <c r="S1829" s="18"/>
      <c r="T1829" s="18"/>
      <c r="U1829" s="18"/>
      <c r="V1829" s="18"/>
      <c r="W1829" s="18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</row>
    <row r="1830" spans="1:36" ht="11.25" customHeight="1" x14ac:dyDescent="0.2">
      <c r="A1830" s="51" t="s">
        <v>21</v>
      </c>
      <c r="B1830" s="51" t="s">
        <v>37</v>
      </c>
      <c r="C1830" s="51" t="s">
        <v>23</v>
      </c>
      <c r="D1830" s="51" t="s">
        <v>50</v>
      </c>
      <c r="E1830" s="51" t="s">
        <v>51</v>
      </c>
      <c r="F1830" s="51" t="s">
        <v>25</v>
      </c>
      <c r="G1830" s="51" t="s">
        <v>25</v>
      </c>
      <c r="H1830" s="51" t="s">
        <v>25</v>
      </c>
      <c r="I1830" s="59">
        <v>44287</v>
      </c>
      <c r="J1830" s="60">
        <f>EFEITO!$J$1830*EFEITO!$Y$1829</f>
        <v>0</v>
      </c>
      <c r="K1830" s="60">
        <f ca="1">EFEITO!$L$1830*EFEITO!$Z$1829</f>
        <v>913830.72443384479</v>
      </c>
      <c r="L1830" s="60">
        <f>EFEITO!$N$1830*EFEITO!$AA$1829</f>
        <v>521612.8240697544</v>
      </c>
      <c r="M1830" s="60">
        <f>$J$1830-EFEITO!$K$1830*EFEITO!$Y$1830</f>
        <v>0</v>
      </c>
      <c r="N1830" s="60">
        <f ca="1">$K$1830-EFEITO!$M$1830*EFEITO!$Z$1830</f>
        <v>27414.92173301545</v>
      </c>
      <c r="O1830" s="60">
        <f>$L$1830-EFEITO!$O$1830*EFEITO!$AA$1830</f>
        <v>15648.384722092655</v>
      </c>
      <c r="P1830" s="18"/>
      <c r="Q1830" s="18"/>
      <c r="R1830" s="18"/>
      <c r="S1830" s="18"/>
      <c r="T1830" s="18"/>
      <c r="U1830" s="18"/>
      <c r="V1830" s="18"/>
      <c r="W1830" s="18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</row>
    <row r="1831" spans="1:36" ht="11.25" customHeight="1" x14ac:dyDescent="0.2">
      <c r="A1831" s="51" t="s">
        <v>21</v>
      </c>
      <c r="B1831" s="51" t="s">
        <v>37</v>
      </c>
      <c r="C1831" s="51" t="s">
        <v>23</v>
      </c>
      <c r="D1831" s="51" t="s">
        <v>50</v>
      </c>
      <c r="E1831" s="51" t="s">
        <v>51</v>
      </c>
      <c r="F1831" s="51" t="s">
        <v>25</v>
      </c>
      <c r="G1831" s="51" t="s">
        <v>25</v>
      </c>
      <c r="H1831" s="51" t="s">
        <v>25</v>
      </c>
      <c r="I1831" s="59">
        <v>44317</v>
      </c>
      <c r="J1831" s="60">
        <f>EFEITO!$J$1831*EFEITO!$Y$1829</f>
        <v>0</v>
      </c>
      <c r="K1831" s="60">
        <f ca="1">EFEITO!$L$1831*EFEITO!$Z$1829</f>
        <v>851634.737518401</v>
      </c>
      <c r="L1831" s="60">
        <f>EFEITO!$N$1831*EFEITO!$AA$1829</f>
        <v>486111.47407862841</v>
      </c>
      <c r="M1831" s="60">
        <f>$J$1831-EFEITO!$K$1831*EFEITO!$Y$1831</f>
        <v>0</v>
      </c>
      <c r="N1831" s="60">
        <f ca="1">$K$1831-EFEITO!$M$1831*EFEITO!$Z$1831</f>
        <v>25549.042125552194</v>
      </c>
      <c r="O1831" s="60">
        <f>$L$1831-EFEITO!$O$1831*EFEITO!$AA$1831</f>
        <v>14583.344222358894</v>
      </c>
      <c r="P1831" s="18"/>
      <c r="Q1831" s="18"/>
      <c r="R1831" s="18"/>
      <c r="S1831" s="18"/>
      <c r="T1831" s="18"/>
      <c r="U1831" s="18"/>
      <c r="V1831" s="18"/>
      <c r="W1831" s="18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</row>
    <row r="1832" spans="1:36" ht="11.25" customHeight="1" x14ac:dyDescent="0.2">
      <c r="A1832" s="51" t="s">
        <v>21</v>
      </c>
      <c r="B1832" s="51" t="s">
        <v>37</v>
      </c>
      <c r="C1832" s="51" t="s">
        <v>23</v>
      </c>
      <c r="D1832" s="51" t="s">
        <v>50</v>
      </c>
      <c r="E1832" s="51" t="s">
        <v>51</v>
      </c>
      <c r="F1832" s="51" t="s">
        <v>25</v>
      </c>
      <c r="G1832" s="51" t="s">
        <v>25</v>
      </c>
      <c r="H1832" s="51" t="s">
        <v>25</v>
      </c>
      <c r="I1832" s="59">
        <v>44348</v>
      </c>
      <c r="J1832" s="60">
        <f>EFEITO!$J$1832*EFEITO!$Y$1829</f>
        <v>0</v>
      </c>
      <c r="K1832" s="60">
        <f ca="1">EFEITO!$L$1832*EFEITO!$Z$1829</f>
        <v>868335.34428024897</v>
      </c>
      <c r="L1832" s="60">
        <f>EFEITO!$N$1832*EFEITO!$AA$1829</f>
        <v>495644.14837355644</v>
      </c>
      <c r="M1832" s="60">
        <f>$J$1832-EFEITO!$K$1832*EFEITO!$Y$1832</f>
        <v>0</v>
      </c>
      <c r="N1832" s="60">
        <f ca="1">$K$1832-EFEITO!$M$1832*EFEITO!$Z$1832</f>
        <v>26050.060328407562</v>
      </c>
      <c r="O1832" s="60">
        <f>$L$1832-EFEITO!$O$1832*EFEITO!$AA$1832</f>
        <v>14869.324451206718</v>
      </c>
      <c r="P1832" s="18"/>
      <c r="Q1832" s="18"/>
      <c r="R1832" s="18"/>
      <c r="S1832" s="18"/>
      <c r="T1832" s="18"/>
      <c r="U1832" s="18"/>
      <c r="V1832" s="18"/>
      <c r="W1832" s="18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</row>
    <row r="1833" spans="1:36" ht="11.25" customHeight="1" x14ac:dyDescent="0.2">
      <c r="A1833" s="51" t="s">
        <v>21</v>
      </c>
      <c r="B1833" s="51" t="s">
        <v>37</v>
      </c>
      <c r="C1833" s="51" t="s">
        <v>23</v>
      </c>
      <c r="D1833" s="51" t="s">
        <v>50</v>
      </c>
      <c r="E1833" s="51" t="s">
        <v>51</v>
      </c>
      <c r="F1833" s="51" t="s">
        <v>25</v>
      </c>
      <c r="G1833" s="51" t="s">
        <v>25</v>
      </c>
      <c r="H1833" s="51" t="s">
        <v>25</v>
      </c>
      <c r="I1833" s="59">
        <v>44378</v>
      </c>
      <c r="J1833" s="60">
        <f>EFEITO!$J$1833*EFEITO!$Y$1829</f>
        <v>0</v>
      </c>
      <c r="K1833" s="60">
        <f ca="1">EFEITO!$L$1833*EFEITO!$Z$1829</f>
        <v>887978.08649231342</v>
      </c>
      <c r="L1833" s="60">
        <f>EFEITO!$N$1833*EFEITO!$AA$1829</f>
        <v>506856.18793816713</v>
      </c>
      <c r="M1833" s="60">
        <f>$J$1833-EFEITO!$K$1833*EFEITO!$Y$1833</f>
        <v>0</v>
      </c>
      <c r="N1833" s="60">
        <f ca="1">$K$1833-EFEITO!$M$1833*EFEITO!$Z$1833</f>
        <v>26639.342594769434</v>
      </c>
      <c r="O1833" s="60">
        <f>$L$1833-EFEITO!$O$1833*EFEITO!$AA$1833</f>
        <v>15205.68563814502</v>
      </c>
      <c r="P1833" s="18"/>
      <c r="Q1833" s="18"/>
      <c r="R1833" s="18"/>
      <c r="S1833" s="18"/>
      <c r="T1833" s="18"/>
      <c r="U1833" s="18"/>
      <c r="V1833" s="18"/>
      <c r="W1833" s="18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</row>
    <row r="1834" spans="1:36" ht="11.25" customHeight="1" x14ac:dyDescent="0.2">
      <c r="A1834" s="51" t="s">
        <v>21</v>
      </c>
      <c r="B1834" s="51" t="s">
        <v>37</v>
      </c>
      <c r="C1834" s="51" t="s">
        <v>23</v>
      </c>
      <c r="D1834" s="51" t="s">
        <v>50</v>
      </c>
      <c r="E1834" s="51" t="s">
        <v>51</v>
      </c>
      <c r="F1834" s="51" t="s">
        <v>25</v>
      </c>
      <c r="G1834" s="51" t="s">
        <v>25</v>
      </c>
      <c r="H1834" s="51" t="s">
        <v>25</v>
      </c>
      <c r="I1834" s="59">
        <v>44409</v>
      </c>
      <c r="J1834" s="60">
        <f>EFEITO!$J$1834*EFEITO!$Y$1829</f>
        <v>0</v>
      </c>
      <c r="K1834" s="60">
        <f ca="1">EFEITO!$L$1834*EFEITO!$Z$1829</f>
        <v>856483.75170228165</v>
      </c>
      <c r="L1834" s="60">
        <f>EFEITO!$N$1834*EFEITO!$AA$1829</f>
        <v>488879.28207061213</v>
      </c>
      <c r="M1834" s="60">
        <f>$J$1834-EFEITO!$K$1834*EFEITO!$Y$1834</f>
        <v>0</v>
      </c>
      <c r="N1834" s="60">
        <f ca="1">$K$1834-EFEITO!$M$1834*EFEITO!$Z$1834</f>
        <v>25694.512551068561</v>
      </c>
      <c r="O1834" s="60">
        <f>$L$1834-EFEITO!$O$1834*EFEITO!$AA$1834</f>
        <v>14666.378462118388</v>
      </c>
      <c r="P1834" s="18"/>
      <c r="Q1834" s="18"/>
      <c r="R1834" s="18"/>
      <c r="S1834" s="18"/>
      <c r="T1834" s="18"/>
      <c r="U1834" s="18"/>
      <c r="V1834" s="18"/>
      <c r="W1834" s="18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</row>
    <row r="1835" spans="1:36" ht="11.25" customHeight="1" x14ac:dyDescent="0.2">
      <c r="A1835" s="51" t="s">
        <v>27</v>
      </c>
      <c r="B1835" s="51" t="s">
        <v>37</v>
      </c>
      <c r="C1835" s="51" t="s">
        <v>23</v>
      </c>
      <c r="D1835" s="51" t="s">
        <v>50</v>
      </c>
      <c r="E1835" s="51" t="s">
        <v>51</v>
      </c>
      <c r="F1835" s="51" t="s">
        <v>25</v>
      </c>
      <c r="G1835" s="51" t="s">
        <v>25</v>
      </c>
      <c r="H1835" s="51" t="s">
        <v>25</v>
      </c>
      <c r="I1835" s="59">
        <v>44409</v>
      </c>
      <c r="J1835" s="60">
        <f>EFEITO!$J$1835*EFEITO!$Y$1829</f>
        <v>0</v>
      </c>
      <c r="K1835" s="60">
        <f ca="1">EFEITO!$L$1835*EFEITO!$Z$1829</f>
        <v>390.99648031800893</v>
      </c>
      <c r="L1835" s="60">
        <f>EFEITO!$N$1835*EFEITO!$AA$1829</f>
        <v>223.1800407305908</v>
      </c>
      <c r="M1835" s="60">
        <f>$J$1835-EFEITO!$K$1835*EFEITO!$Y$1835</f>
        <v>0</v>
      </c>
      <c r="N1835" s="60">
        <f ca="1">$K$1835-EFEITO!$M$1835*EFEITO!$Z$1835</f>
        <v>11.729894409540293</v>
      </c>
      <c r="O1835" s="60">
        <f>$L$1835-EFEITO!$O$1835*EFEITO!$AA$1835</f>
        <v>6.6954012219177343</v>
      </c>
      <c r="P1835" s="18"/>
      <c r="Q1835" s="18"/>
      <c r="R1835" s="18"/>
      <c r="S1835" s="18"/>
      <c r="T1835" s="18"/>
      <c r="U1835" s="18"/>
      <c r="V1835" s="18"/>
      <c r="W1835" s="18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</row>
    <row r="1836" spans="1:36" ht="11.25" customHeight="1" x14ac:dyDescent="0.2">
      <c r="A1836" s="51" t="s">
        <v>21</v>
      </c>
      <c r="B1836" s="51" t="s">
        <v>37</v>
      </c>
      <c r="C1836" s="51" t="s">
        <v>23</v>
      </c>
      <c r="D1836" s="51" t="s">
        <v>50</v>
      </c>
      <c r="E1836" s="51" t="s">
        <v>51</v>
      </c>
      <c r="F1836" s="51" t="s">
        <v>25</v>
      </c>
      <c r="G1836" s="51" t="s">
        <v>25</v>
      </c>
      <c r="H1836" s="51" t="s">
        <v>25</v>
      </c>
      <c r="I1836" s="59">
        <v>44440</v>
      </c>
      <c r="J1836" s="60">
        <f>EFEITO!$J$1836*EFEITO!$Y$1829</f>
        <v>0</v>
      </c>
      <c r="K1836" s="60">
        <f ca="1">EFEITO!$L$1836*EFEITO!$Z$1829</f>
        <v>867247.8724711627</v>
      </c>
      <c r="L1836" s="60">
        <f>EFEITO!$N$1836*EFEITO!$AA$1829</f>
        <v>495023.4215515455</v>
      </c>
      <c r="M1836" s="60">
        <f>$J$1836-EFEITO!$K$1836*EFEITO!$Y$1836</f>
        <v>0</v>
      </c>
      <c r="N1836" s="60">
        <f ca="1">$K$1836-EFEITO!$M$1836*EFEITO!$Z$1836</f>
        <v>26017.436174135073</v>
      </c>
      <c r="O1836" s="60">
        <f>$L$1836-EFEITO!$O$1836*EFEITO!$AA$1836</f>
        <v>14850.702646546415</v>
      </c>
      <c r="P1836" s="18"/>
      <c r="Q1836" s="18"/>
      <c r="R1836" s="18"/>
      <c r="S1836" s="18"/>
      <c r="T1836" s="18"/>
      <c r="U1836" s="18"/>
      <c r="V1836" s="18"/>
      <c r="W1836" s="18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</row>
    <row r="1837" spans="1:36" ht="11.25" customHeight="1" x14ac:dyDescent="0.2">
      <c r="A1837" s="51" t="s">
        <v>21</v>
      </c>
      <c r="B1837" s="51" t="s">
        <v>37</v>
      </c>
      <c r="C1837" s="51" t="s">
        <v>23</v>
      </c>
      <c r="D1837" s="51" t="s">
        <v>50</v>
      </c>
      <c r="E1837" s="51" t="s">
        <v>51</v>
      </c>
      <c r="F1837" s="51" t="s">
        <v>25</v>
      </c>
      <c r="G1837" s="51" t="s">
        <v>25</v>
      </c>
      <c r="H1837" s="51" t="s">
        <v>25</v>
      </c>
      <c r="I1837" s="59">
        <v>44470</v>
      </c>
      <c r="J1837" s="60">
        <f>EFEITO!$J$1837*EFEITO!$Y$1829</f>
        <v>0</v>
      </c>
      <c r="K1837" s="60">
        <f ca="1">EFEITO!$L$1837*EFEITO!$Z$1829</f>
        <v>896631.4018669225</v>
      </c>
      <c r="L1837" s="60">
        <f>EFEITO!$N$1837*EFEITO!$AA$1829</f>
        <v>511795.48375021416</v>
      </c>
      <c r="M1837" s="60">
        <f>$J$1837-EFEITO!$K$1837*EFEITO!$Y$1837</f>
        <v>0</v>
      </c>
      <c r="N1837" s="60">
        <f ca="1">$K$1837-EFEITO!$M$1837*EFEITO!$Z$1837</f>
        <v>26898.9420560078</v>
      </c>
      <c r="O1837" s="60">
        <f>$L$1837-EFEITO!$O$1837*EFEITO!$AA$1837</f>
        <v>15353.864512506407</v>
      </c>
      <c r="P1837" s="18"/>
      <c r="Q1837" s="18"/>
      <c r="R1837" s="18"/>
      <c r="S1837" s="18"/>
      <c r="T1837" s="18"/>
      <c r="U1837" s="18"/>
      <c r="V1837" s="18"/>
      <c r="W1837" s="18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</row>
    <row r="1838" spans="1:36" ht="11.25" customHeight="1" x14ac:dyDescent="0.2">
      <c r="A1838" s="51" t="s">
        <v>27</v>
      </c>
      <c r="B1838" s="51" t="s">
        <v>37</v>
      </c>
      <c r="C1838" s="51" t="s">
        <v>23</v>
      </c>
      <c r="D1838" s="51" t="s">
        <v>50</v>
      </c>
      <c r="E1838" s="51" t="s">
        <v>51</v>
      </c>
      <c r="F1838" s="51" t="s">
        <v>25</v>
      </c>
      <c r="G1838" s="51" t="s">
        <v>25</v>
      </c>
      <c r="H1838" s="51" t="s">
        <v>25</v>
      </c>
      <c r="I1838" s="59">
        <v>44470</v>
      </c>
      <c r="J1838" s="60">
        <f>EFEITO!$J$1838*EFEITO!$Y$1829</f>
        <v>0</v>
      </c>
      <c r="K1838" s="60">
        <f ca="1">EFEITO!$L$1838*EFEITO!$Z$1829</f>
        <v>82.228492180443538</v>
      </c>
      <c r="L1838" s="60">
        <f>EFEITO!$N$1838*EFEITO!$AA$1829</f>
        <v>46.935865558483876</v>
      </c>
      <c r="M1838" s="60">
        <f>$J$1838-EFEITO!$K$1838*EFEITO!$Y$1838</f>
        <v>0</v>
      </c>
      <c r="N1838" s="60">
        <f ca="1">$K$1838-EFEITO!$M$1838*EFEITO!$Z$1838</f>
        <v>2.4668547654133164</v>
      </c>
      <c r="O1838" s="60">
        <f>$L$1838-EFEITO!$O$1838*EFEITO!$AA$1838</f>
        <v>1.4080759667545166</v>
      </c>
      <c r="P1838" s="18"/>
      <c r="Q1838" s="18"/>
      <c r="R1838" s="18"/>
      <c r="S1838" s="18"/>
      <c r="T1838" s="18"/>
      <c r="U1838" s="18"/>
      <c r="V1838" s="18"/>
      <c r="W1838" s="18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</row>
    <row r="1839" spans="1:36" ht="11.25" customHeight="1" x14ac:dyDescent="0.2">
      <c r="A1839" s="51" t="s">
        <v>21</v>
      </c>
      <c r="B1839" s="51" t="s">
        <v>37</v>
      </c>
      <c r="C1839" s="51" t="s">
        <v>23</v>
      </c>
      <c r="D1839" s="51" t="s">
        <v>50</v>
      </c>
      <c r="E1839" s="51" t="s">
        <v>51</v>
      </c>
      <c r="F1839" s="51" t="s">
        <v>25</v>
      </c>
      <c r="G1839" s="51" t="s">
        <v>25</v>
      </c>
      <c r="H1839" s="51" t="s">
        <v>25</v>
      </c>
      <c r="I1839" s="59">
        <v>44501</v>
      </c>
      <c r="J1839" s="60">
        <f>EFEITO!$J$1839*EFEITO!$Y$1829</f>
        <v>0</v>
      </c>
      <c r="K1839" s="60">
        <f ca="1">EFEITO!$L$1839*EFEITO!$Z$1829</f>
        <v>883604.76413569646</v>
      </c>
      <c r="L1839" s="60">
        <f>EFEITO!$N$1839*EFEITO!$AA$1829</f>
        <v>504359.90392843913</v>
      </c>
      <c r="M1839" s="60">
        <f>$J$1839-EFEITO!$K$1839*EFEITO!$Y$1839</f>
        <v>0</v>
      </c>
      <c r="N1839" s="60">
        <f ca="1">$K$1839-EFEITO!$M$1839*EFEITO!$Z$1839</f>
        <v>26508.14292407094</v>
      </c>
      <c r="O1839" s="60">
        <f>$L$1839-EFEITO!$O$1839*EFEITO!$AA$1839</f>
        <v>15130.797117853188</v>
      </c>
      <c r="P1839" s="18"/>
      <c r="Q1839" s="18"/>
      <c r="R1839" s="18"/>
      <c r="S1839" s="18"/>
      <c r="T1839" s="18"/>
      <c r="U1839" s="18"/>
      <c r="V1839" s="18"/>
      <c r="W1839" s="18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</row>
    <row r="1840" spans="1:36" ht="11.25" customHeight="1" x14ac:dyDescent="0.2">
      <c r="A1840" s="51" t="s">
        <v>27</v>
      </c>
      <c r="B1840" s="51" t="s">
        <v>37</v>
      </c>
      <c r="C1840" s="51" t="s">
        <v>23</v>
      </c>
      <c r="D1840" s="51" t="s">
        <v>50</v>
      </c>
      <c r="E1840" s="51" t="s">
        <v>51</v>
      </c>
      <c r="F1840" s="51" t="s">
        <v>25</v>
      </c>
      <c r="G1840" s="51" t="s">
        <v>25</v>
      </c>
      <c r="H1840" s="51" t="s">
        <v>25</v>
      </c>
      <c r="I1840" s="59">
        <v>44501</v>
      </c>
      <c r="J1840" s="60">
        <f>EFEITO!$J$1840*EFEITO!$Y$1829</f>
        <v>0</v>
      </c>
      <c r="K1840" s="60">
        <f ca="1">EFEITO!$L$1840*EFEITO!$Z$1829</f>
        <v>-15.62341351428427</v>
      </c>
      <c r="L1840" s="60">
        <f>EFEITO!$N$1840*EFEITO!$AA$1829</f>
        <v>-8.9178144561119357</v>
      </c>
      <c r="M1840" s="60">
        <f>$J$1840-EFEITO!$K$1840*EFEITO!$Y$1840</f>
        <v>0</v>
      </c>
      <c r="N1840" s="60">
        <f ca="1">$K$1840-EFEITO!$M$1840*EFEITO!$Z$1840</f>
        <v>-0.46870240542853026</v>
      </c>
      <c r="O1840" s="60">
        <f>$L$1840-EFEITO!$O$1840*EFEITO!$AA$1840</f>
        <v>-0.26753443368335894</v>
      </c>
      <c r="P1840" s="18"/>
      <c r="Q1840" s="18"/>
      <c r="R1840" s="18"/>
      <c r="S1840" s="18"/>
      <c r="T1840" s="18"/>
      <c r="U1840" s="18"/>
      <c r="V1840" s="18"/>
      <c r="W1840" s="18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</row>
    <row r="1841" spans="1:36" ht="11.25" customHeight="1" x14ac:dyDescent="0.2">
      <c r="A1841" s="51" t="s">
        <v>21</v>
      </c>
      <c r="B1841" s="51" t="s">
        <v>37</v>
      </c>
      <c r="C1841" s="51" t="s">
        <v>23</v>
      </c>
      <c r="D1841" s="51" t="s">
        <v>50</v>
      </c>
      <c r="E1841" s="51" t="s">
        <v>51</v>
      </c>
      <c r="F1841" s="51" t="s">
        <v>25</v>
      </c>
      <c r="G1841" s="51" t="s">
        <v>25</v>
      </c>
      <c r="H1841" s="51" t="s">
        <v>25</v>
      </c>
      <c r="I1841" s="59">
        <v>44531</v>
      </c>
      <c r="J1841" s="60">
        <f>EFEITO!$J$1841*EFEITO!$Y$1829</f>
        <v>0</v>
      </c>
      <c r="K1841" s="60">
        <f ca="1">EFEITO!$L$1841*EFEITO!$Z$1829</f>
        <v>890593.77482857322</v>
      </c>
      <c r="L1841" s="60">
        <f>EFEITO!$N$1841*EFEITO!$AA$1829</f>
        <v>508349.2178215824</v>
      </c>
      <c r="M1841" s="60">
        <f>$J$1841-EFEITO!$K$1841*EFEITO!$Y$1841</f>
        <v>0</v>
      </c>
      <c r="N1841" s="60">
        <f ca="1">$K$1841-EFEITO!$M$1841*EFEITO!$Z$1841</f>
        <v>26717.813244857243</v>
      </c>
      <c r="O1841" s="60">
        <f>$L$1841-EFEITO!$O$1841*EFEITO!$AA$1841</f>
        <v>15250.47653464746</v>
      </c>
      <c r="P1841" s="18"/>
      <c r="Q1841" s="18"/>
      <c r="R1841" s="18"/>
      <c r="S1841" s="18"/>
      <c r="T1841" s="18"/>
      <c r="U1841" s="18"/>
      <c r="V1841" s="18"/>
      <c r="W1841" s="18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</row>
    <row r="1842" spans="1:36" ht="11.25" customHeight="1" x14ac:dyDescent="0.2">
      <c r="A1842" s="51" t="s">
        <v>21</v>
      </c>
      <c r="B1842" s="51" t="s">
        <v>37</v>
      </c>
      <c r="C1842" s="51" t="s">
        <v>23</v>
      </c>
      <c r="D1842" s="51" t="s">
        <v>50</v>
      </c>
      <c r="E1842" s="51" t="s">
        <v>51</v>
      </c>
      <c r="F1842" s="51" t="s">
        <v>25</v>
      </c>
      <c r="G1842" s="51" t="s">
        <v>25</v>
      </c>
      <c r="H1842" s="51" t="s">
        <v>25</v>
      </c>
      <c r="I1842" s="59">
        <v>44562</v>
      </c>
      <c r="J1842" s="60">
        <f>EFEITO!$J$1842*EFEITO!$Y$1829</f>
        <v>0</v>
      </c>
      <c r="K1842" s="60">
        <f ca="1">EFEITO!$L$1842*EFEITO!$Z$1829</f>
        <v>911220.38094957673</v>
      </c>
      <c r="L1842" s="60">
        <f>EFEITO!$N$1842*EFEITO!$AA$1829</f>
        <v>520122.8450176004</v>
      </c>
      <c r="M1842" s="60">
        <f>$J$1842-EFEITO!$K$1842*EFEITO!$Y$1842</f>
        <v>0</v>
      </c>
      <c r="N1842" s="60">
        <f ca="1">$K$1842-EFEITO!$M$1842*EFEITO!$Z$1842</f>
        <v>27336.611428487347</v>
      </c>
      <c r="O1842" s="60">
        <f>$L$1842-EFEITO!$O$1842*EFEITO!$AA$1842</f>
        <v>15603.685350528045</v>
      </c>
      <c r="P1842" s="18"/>
      <c r="Q1842" s="18"/>
      <c r="R1842" s="18"/>
      <c r="S1842" s="18"/>
      <c r="T1842" s="18"/>
      <c r="U1842" s="18"/>
      <c r="V1842" s="18"/>
      <c r="W1842" s="18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</row>
    <row r="1843" spans="1:36" ht="11.25" customHeight="1" x14ac:dyDescent="0.2">
      <c r="A1843" s="51" t="s">
        <v>21</v>
      </c>
      <c r="B1843" s="51" t="s">
        <v>37</v>
      </c>
      <c r="C1843" s="51" t="s">
        <v>23</v>
      </c>
      <c r="D1843" s="51" t="s">
        <v>50</v>
      </c>
      <c r="E1843" s="51" t="s">
        <v>51</v>
      </c>
      <c r="F1843" s="51" t="s">
        <v>25</v>
      </c>
      <c r="G1843" s="51" t="s">
        <v>25</v>
      </c>
      <c r="H1843" s="51" t="s">
        <v>25</v>
      </c>
      <c r="I1843" s="59">
        <v>44593</v>
      </c>
      <c r="J1843" s="60">
        <f>EFEITO!$J$1843*EFEITO!$Y$1829</f>
        <v>0</v>
      </c>
      <c r="K1843" s="60">
        <f ca="1">EFEITO!$L$1843*EFEITO!$Z$1829</f>
        <v>880482.54828760505</v>
      </c>
      <c r="L1843" s="60">
        <f>EFEITO!$N$1843*EFEITO!$AA$1829</f>
        <v>502577.74911318347</v>
      </c>
      <c r="M1843" s="60">
        <f>$J$1843-EFEITO!$K$1843*EFEITO!$Y$1843</f>
        <v>0</v>
      </c>
      <c r="N1843" s="60">
        <f ca="1">$K$1843-EFEITO!$M$1843*EFEITO!$Z$1843</f>
        <v>26414.476448628237</v>
      </c>
      <c r="O1843" s="60">
        <f>$L$1843-EFEITO!$O$1843*EFEITO!$AA$1843</f>
        <v>15077.332473395509</v>
      </c>
      <c r="P1843" s="18"/>
      <c r="Q1843" s="18"/>
      <c r="R1843" s="18"/>
      <c r="S1843" s="18"/>
      <c r="T1843" s="18"/>
      <c r="U1843" s="18"/>
      <c r="V1843" s="18"/>
      <c r="W1843" s="18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</row>
    <row r="1844" spans="1:36" ht="11.25" customHeight="1" x14ac:dyDescent="0.2">
      <c r="A1844" s="51" t="s">
        <v>56</v>
      </c>
      <c r="B1844" s="51" t="s">
        <v>37</v>
      </c>
      <c r="C1844" s="51" t="s">
        <v>23</v>
      </c>
      <c r="D1844" s="51" t="s">
        <v>50</v>
      </c>
      <c r="E1844" s="51" t="s">
        <v>51</v>
      </c>
      <c r="F1844" s="51" t="s">
        <v>25</v>
      </c>
      <c r="G1844" s="51" t="s">
        <v>25</v>
      </c>
      <c r="H1844" s="51" t="s">
        <v>25</v>
      </c>
      <c r="I1844" s="59">
        <v>44621</v>
      </c>
      <c r="J1844" s="60">
        <f>EFEITO!$J$1844*EFEITO!$Y$1829</f>
        <v>0</v>
      </c>
      <c r="K1844" s="60">
        <f ca="1">EFEITO!$L$1844*EFEITO!$Z$1829</f>
        <v>880482.54828760505</v>
      </c>
      <c r="L1844" s="60">
        <f>EFEITO!$N$1844*EFEITO!$AA$1829</f>
        <v>502577.74911318347</v>
      </c>
      <c r="M1844" s="60">
        <f>$J$1844-EFEITO!$K$1844*EFEITO!$Y$1844</f>
        <v>0</v>
      </c>
      <c r="N1844" s="60">
        <f ca="1">$K$1844-EFEITO!$M$1844*EFEITO!$Z$1844</f>
        <v>26414.476448628237</v>
      </c>
      <c r="O1844" s="60">
        <f>$L$1844-EFEITO!$O$1844*EFEITO!$AA$1844</f>
        <v>15077.332473395509</v>
      </c>
      <c r="P1844" s="18"/>
      <c r="Q1844" s="18"/>
      <c r="R1844" s="18"/>
      <c r="S1844" s="18"/>
      <c r="T1844" s="18"/>
      <c r="U1844" s="18"/>
      <c r="V1844" s="18"/>
      <c r="W1844" s="18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</row>
    <row r="1845" spans="1:36" ht="11.25" customHeight="1" x14ac:dyDescent="0.2">
      <c r="A1845" s="51" t="s">
        <v>21</v>
      </c>
      <c r="B1845" s="51" t="s">
        <v>47</v>
      </c>
      <c r="C1845" s="51" t="s">
        <v>23</v>
      </c>
      <c r="D1845" s="51" t="s">
        <v>48</v>
      </c>
      <c r="E1845" s="51" t="s">
        <v>49</v>
      </c>
      <c r="F1845" s="51" t="s">
        <v>25</v>
      </c>
      <c r="G1845" s="51" t="s">
        <v>25</v>
      </c>
      <c r="H1845" s="51" t="s">
        <v>25</v>
      </c>
      <c r="I1845" s="59">
        <v>44287</v>
      </c>
      <c r="J1845" s="60">
        <f>EFEITO!$J$1845*EFEITO!$Y$1845</f>
        <v>0</v>
      </c>
      <c r="K1845" s="60">
        <f ca="1">EFEITO!$L$1845*EFEITO!$Z$1845</f>
        <v>3798593.4027291304</v>
      </c>
      <c r="L1845" s="60">
        <f>EFEITO!$N$1845*EFEITO!$AA$1845</f>
        <v>2168229.8256253465</v>
      </c>
      <c r="M1845" s="60">
        <f>$J$1845-EFEITO!$K$1845*EFEITO!$Y$1845</f>
        <v>0</v>
      </c>
      <c r="N1845" s="60">
        <f ca="1">$K$1845-EFEITO!$M$1845*EFEITO!$Z$1845</f>
        <v>0</v>
      </c>
      <c r="O1845" s="60">
        <f>$L$1845-EFEITO!$O$1845*EFEITO!$AA$1845</f>
        <v>0</v>
      </c>
      <c r="P1845" s="18"/>
      <c r="Q1845" s="18"/>
      <c r="R1845" s="18"/>
      <c r="S1845" s="18"/>
      <c r="T1845" s="18"/>
      <c r="U1845" s="18"/>
      <c r="V1845" s="18"/>
      <c r="W1845" s="18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</row>
    <row r="1846" spans="1:36" ht="11.25" customHeight="1" x14ac:dyDescent="0.2">
      <c r="A1846" s="51" t="s">
        <v>27</v>
      </c>
      <c r="B1846" s="51" t="s">
        <v>47</v>
      </c>
      <c r="C1846" s="51" t="s">
        <v>23</v>
      </c>
      <c r="D1846" s="51" t="s">
        <v>48</v>
      </c>
      <c r="E1846" s="51" t="s">
        <v>49</v>
      </c>
      <c r="F1846" s="51" t="s">
        <v>25</v>
      </c>
      <c r="G1846" s="51" t="s">
        <v>25</v>
      </c>
      <c r="H1846" s="51" t="s">
        <v>25</v>
      </c>
      <c r="I1846" s="59">
        <v>44287</v>
      </c>
      <c r="J1846" s="60">
        <f>EFEITO!$J$1846*EFEITO!$Y$1846</f>
        <v>0</v>
      </c>
      <c r="K1846" s="60">
        <f ca="1">EFEITO!$L$1846*EFEITO!$Z$1846</f>
        <v>7960.3964281274248</v>
      </c>
      <c r="L1846" s="60">
        <f>EFEITO!$N$1846*EFEITO!$AA$1846</f>
        <v>4543.779006952097</v>
      </c>
      <c r="M1846" s="60">
        <f>$J$1846-EFEITO!$K$1846*EFEITO!$Y$1846</f>
        <v>0</v>
      </c>
      <c r="N1846" s="60">
        <f ca="1">$K$1846-EFEITO!$M$1846*EFEITO!$Z$1846</f>
        <v>0</v>
      </c>
      <c r="O1846" s="60">
        <f>$L$1846-EFEITO!$O$1846*EFEITO!$AA$1846</f>
        <v>0</v>
      </c>
      <c r="P1846" s="18"/>
      <c r="Q1846" s="18"/>
      <c r="R1846" s="18"/>
      <c r="S1846" s="18"/>
      <c r="T1846" s="18"/>
      <c r="U1846" s="18"/>
      <c r="V1846" s="18"/>
      <c r="W1846" s="18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</row>
    <row r="1847" spans="1:36" ht="11.25" customHeight="1" x14ac:dyDescent="0.2">
      <c r="A1847" s="51" t="s">
        <v>21</v>
      </c>
      <c r="B1847" s="51" t="s">
        <v>47</v>
      </c>
      <c r="C1847" s="51" t="s">
        <v>23</v>
      </c>
      <c r="D1847" s="51" t="s">
        <v>48</v>
      </c>
      <c r="E1847" s="51" t="s">
        <v>49</v>
      </c>
      <c r="F1847" s="51" t="s">
        <v>25</v>
      </c>
      <c r="G1847" s="51" t="s">
        <v>25</v>
      </c>
      <c r="H1847" s="51" t="s">
        <v>25</v>
      </c>
      <c r="I1847" s="59">
        <v>44317</v>
      </c>
      <c r="J1847" s="60">
        <f>EFEITO!$J$1847*EFEITO!$Y$1847</f>
        <v>0</v>
      </c>
      <c r="K1847" s="60">
        <f ca="1">EFEITO!$L$1847*EFEITO!$Z$1847</f>
        <v>3868773.241750096</v>
      </c>
      <c r="L1847" s="60">
        <f>EFEITO!$N$1847*EFEITO!$AA$1847</f>
        <v>2208288.3430790752</v>
      </c>
      <c r="M1847" s="60">
        <f>$J$1847-EFEITO!$K$1847*EFEITO!$Y$1847</f>
        <v>0</v>
      </c>
      <c r="N1847" s="60">
        <f ca="1">$K$1847-EFEITO!$M$1847*EFEITO!$Z$1847</f>
        <v>0</v>
      </c>
      <c r="O1847" s="60">
        <f>$L$1847-EFEITO!$O$1847*EFEITO!$AA$1847</f>
        <v>0</v>
      </c>
      <c r="P1847" s="18"/>
      <c r="Q1847" s="18"/>
      <c r="R1847" s="18"/>
      <c r="S1847" s="18"/>
      <c r="T1847" s="18"/>
      <c r="U1847" s="18"/>
      <c r="V1847" s="18"/>
      <c r="W1847" s="18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</row>
    <row r="1848" spans="1:36" ht="11.25" customHeight="1" x14ac:dyDescent="0.2">
      <c r="A1848" s="51" t="s">
        <v>27</v>
      </c>
      <c r="B1848" s="51" t="s">
        <v>47</v>
      </c>
      <c r="C1848" s="51" t="s">
        <v>23</v>
      </c>
      <c r="D1848" s="51" t="s">
        <v>48</v>
      </c>
      <c r="E1848" s="51" t="s">
        <v>49</v>
      </c>
      <c r="F1848" s="51" t="s">
        <v>25</v>
      </c>
      <c r="G1848" s="51" t="s">
        <v>25</v>
      </c>
      <c r="H1848" s="51" t="s">
        <v>25</v>
      </c>
      <c r="I1848" s="59">
        <v>44317</v>
      </c>
      <c r="J1848" s="60">
        <f>EFEITO!$J$1848*EFEITO!$Y$1848</f>
        <v>0</v>
      </c>
      <c r="K1848" s="60">
        <f ca="1">EFEITO!$L$1848*EFEITO!$Z$1848</f>
        <v>-14565.831762105499</v>
      </c>
      <c r="L1848" s="60">
        <f>EFEITO!$N$1848*EFEITO!$AA$1848</f>
        <v>-8314.1488212314962</v>
      </c>
      <c r="M1848" s="60">
        <f>$J$1848-EFEITO!$K$1848*EFEITO!$Y$1848</f>
        <v>0</v>
      </c>
      <c r="N1848" s="60">
        <f ca="1">$K$1848-EFEITO!$M$1848*EFEITO!$Z$1848</f>
        <v>0</v>
      </c>
      <c r="O1848" s="60">
        <f>$L$1848-EFEITO!$O$1848*EFEITO!$AA$1848</f>
        <v>0</v>
      </c>
      <c r="P1848" s="18"/>
      <c r="Q1848" s="18"/>
      <c r="R1848" s="18"/>
      <c r="S1848" s="18"/>
      <c r="T1848" s="18"/>
      <c r="U1848" s="18"/>
      <c r="V1848" s="18"/>
      <c r="W1848" s="18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</row>
    <row r="1849" spans="1:36" ht="11.25" customHeight="1" x14ac:dyDescent="0.2">
      <c r="A1849" s="51" t="s">
        <v>21</v>
      </c>
      <c r="B1849" s="51" t="s">
        <v>47</v>
      </c>
      <c r="C1849" s="51" t="s">
        <v>23</v>
      </c>
      <c r="D1849" s="51" t="s">
        <v>48</v>
      </c>
      <c r="E1849" s="51" t="s">
        <v>49</v>
      </c>
      <c r="F1849" s="51" t="s">
        <v>25</v>
      </c>
      <c r="G1849" s="51" t="s">
        <v>25</v>
      </c>
      <c r="H1849" s="51" t="s">
        <v>25</v>
      </c>
      <c r="I1849" s="59">
        <v>44348</v>
      </c>
      <c r="J1849" s="60">
        <f>EFEITO!$J$1849*EFEITO!$Y$1849</f>
        <v>0</v>
      </c>
      <c r="K1849" s="60">
        <f ca="1">EFEITO!$L$1849*EFEITO!$Z$1849</f>
        <v>3696415.0449183285</v>
      </c>
      <c r="L1849" s="60">
        <f>EFEITO!$N$1849*EFEITO!$AA$1849</f>
        <v>2109906.6150443908</v>
      </c>
      <c r="M1849" s="60">
        <f>$J$1849-EFEITO!$K$1849*EFEITO!$Y$1849</f>
        <v>0</v>
      </c>
      <c r="N1849" s="60">
        <f ca="1">$K$1849-EFEITO!$M$1849*EFEITO!$Z$1849</f>
        <v>0</v>
      </c>
      <c r="O1849" s="60">
        <f>$L$1849-EFEITO!$O$1849*EFEITO!$AA$1849</f>
        <v>0</v>
      </c>
      <c r="P1849" s="18"/>
      <c r="Q1849" s="18"/>
      <c r="R1849" s="18"/>
      <c r="S1849" s="18"/>
      <c r="T1849" s="18"/>
      <c r="U1849" s="18"/>
      <c r="V1849" s="18"/>
      <c r="W1849" s="18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</row>
    <row r="1850" spans="1:36" ht="11.25" customHeight="1" x14ac:dyDescent="0.2">
      <c r="A1850" s="51" t="s">
        <v>27</v>
      </c>
      <c r="B1850" s="51" t="s">
        <v>47</v>
      </c>
      <c r="C1850" s="51" t="s">
        <v>23</v>
      </c>
      <c r="D1850" s="51" t="s">
        <v>48</v>
      </c>
      <c r="E1850" s="51" t="s">
        <v>49</v>
      </c>
      <c r="F1850" s="51" t="s">
        <v>25</v>
      </c>
      <c r="G1850" s="51" t="s">
        <v>25</v>
      </c>
      <c r="H1850" s="51" t="s">
        <v>25</v>
      </c>
      <c r="I1850" s="59">
        <v>44348</v>
      </c>
      <c r="J1850" s="60">
        <f>EFEITO!$J$1850*EFEITO!$Y$1850</f>
        <v>0</v>
      </c>
      <c r="K1850" s="60">
        <f ca="1">EFEITO!$L$1850*EFEITO!$Z$1850</f>
        <v>12451.305528562349</v>
      </c>
      <c r="L1850" s="60">
        <f>EFEITO!$N$1850*EFEITO!$AA$1850</f>
        <v>7107.1813044286937</v>
      </c>
      <c r="M1850" s="60">
        <f>$J$1850-EFEITO!$K$1850*EFEITO!$Y$1850</f>
        <v>0</v>
      </c>
      <c r="N1850" s="60">
        <f ca="1">$K$1850-EFEITO!$M$1850*EFEITO!$Z$1850</f>
        <v>0</v>
      </c>
      <c r="O1850" s="60">
        <f>$L$1850-EFEITO!$O$1850*EFEITO!$AA$1850</f>
        <v>0</v>
      </c>
      <c r="P1850" s="18"/>
      <c r="Q1850" s="18"/>
      <c r="R1850" s="18"/>
      <c r="S1850" s="18"/>
      <c r="T1850" s="18"/>
      <c r="U1850" s="18"/>
      <c r="V1850" s="18"/>
      <c r="W1850" s="18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</row>
    <row r="1851" spans="1:36" ht="11.25" customHeight="1" x14ac:dyDescent="0.2">
      <c r="A1851" s="51" t="s">
        <v>21</v>
      </c>
      <c r="B1851" s="51" t="s">
        <v>47</v>
      </c>
      <c r="C1851" s="51" t="s">
        <v>23</v>
      </c>
      <c r="D1851" s="51" t="s">
        <v>48</v>
      </c>
      <c r="E1851" s="51" t="s">
        <v>49</v>
      </c>
      <c r="F1851" s="51" t="s">
        <v>25</v>
      </c>
      <c r="G1851" s="51" t="s">
        <v>25</v>
      </c>
      <c r="H1851" s="51" t="s">
        <v>25</v>
      </c>
      <c r="I1851" s="59">
        <v>44378</v>
      </c>
      <c r="J1851" s="60">
        <f>EFEITO!$J$1851*EFEITO!$Y$1851</f>
        <v>0</v>
      </c>
      <c r="K1851" s="60">
        <f ca="1">EFEITO!$L$1851*EFEITO!$Z$1851</f>
        <v>3801385.8617664548</v>
      </c>
      <c r="L1851" s="60">
        <f>EFEITO!$N$1851*EFEITO!$AA$1851</f>
        <v>2169823.7558857459</v>
      </c>
      <c r="M1851" s="60">
        <f>$J$1851-EFEITO!$K$1851*EFEITO!$Y$1851</f>
        <v>0</v>
      </c>
      <c r="N1851" s="60">
        <f ca="1">$K$1851-EFEITO!$M$1851*EFEITO!$Z$1851</f>
        <v>0</v>
      </c>
      <c r="O1851" s="60">
        <f>$L$1851-EFEITO!$O$1851*EFEITO!$AA$1851</f>
        <v>0</v>
      </c>
      <c r="P1851" s="18"/>
      <c r="Q1851" s="18"/>
      <c r="R1851" s="18"/>
      <c r="S1851" s="18"/>
      <c r="T1851" s="18"/>
      <c r="U1851" s="18"/>
      <c r="V1851" s="18"/>
      <c r="W1851" s="18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</row>
    <row r="1852" spans="1:36" ht="11.25" customHeight="1" x14ac:dyDescent="0.2">
      <c r="A1852" s="51" t="s">
        <v>27</v>
      </c>
      <c r="B1852" s="51" t="s">
        <v>47</v>
      </c>
      <c r="C1852" s="51" t="s">
        <v>23</v>
      </c>
      <c r="D1852" s="51" t="s">
        <v>48</v>
      </c>
      <c r="E1852" s="51" t="s">
        <v>49</v>
      </c>
      <c r="F1852" s="51" t="s">
        <v>25</v>
      </c>
      <c r="G1852" s="51" t="s">
        <v>25</v>
      </c>
      <c r="H1852" s="51" t="s">
        <v>25</v>
      </c>
      <c r="I1852" s="59">
        <v>44378</v>
      </c>
      <c r="J1852" s="60">
        <f>EFEITO!$J$1852*EFEITO!$Y$1852</f>
        <v>0</v>
      </c>
      <c r="K1852" s="60">
        <f ca="1">EFEITO!$L$1852*EFEITO!$Z$1852</f>
        <v>6836.0862545442196</v>
      </c>
      <c r="L1852" s="60">
        <f>EFEITO!$N$1852*EFEITO!$AA$1852</f>
        <v>3902.024917170947</v>
      </c>
      <c r="M1852" s="60">
        <f>$J$1852-EFEITO!$K$1852*EFEITO!$Y$1852</f>
        <v>0</v>
      </c>
      <c r="N1852" s="60">
        <f ca="1">$K$1852-EFEITO!$M$1852*EFEITO!$Z$1852</f>
        <v>0</v>
      </c>
      <c r="O1852" s="60">
        <f>$L$1852-EFEITO!$O$1852*EFEITO!$AA$1852</f>
        <v>0</v>
      </c>
      <c r="P1852" s="18"/>
      <c r="Q1852" s="18"/>
      <c r="R1852" s="18"/>
      <c r="S1852" s="18"/>
      <c r="T1852" s="18"/>
      <c r="U1852" s="18"/>
      <c r="V1852" s="18"/>
      <c r="W1852" s="18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</row>
    <row r="1853" spans="1:36" ht="11.25" customHeight="1" x14ac:dyDescent="0.2">
      <c r="A1853" s="51" t="s">
        <v>21</v>
      </c>
      <c r="B1853" s="51" t="s">
        <v>47</v>
      </c>
      <c r="C1853" s="51" t="s">
        <v>23</v>
      </c>
      <c r="D1853" s="51" t="s">
        <v>48</v>
      </c>
      <c r="E1853" s="51" t="s">
        <v>49</v>
      </c>
      <c r="F1853" s="51" t="s">
        <v>25</v>
      </c>
      <c r="G1853" s="51" t="s">
        <v>25</v>
      </c>
      <c r="H1853" s="51" t="s">
        <v>25</v>
      </c>
      <c r="I1853" s="59">
        <v>44409</v>
      </c>
      <c r="J1853" s="60">
        <f>EFEITO!$J$1853*EFEITO!$Y$1853</f>
        <v>0</v>
      </c>
      <c r="K1853" s="60">
        <f ca="1">EFEITO!$L$1853*EFEITO!$Z$1853</f>
        <v>3846885.8261584896</v>
      </c>
      <c r="L1853" s="60">
        <f>EFEITO!$N$1853*EFEITO!$AA$1853</f>
        <v>2195795.0482564489</v>
      </c>
      <c r="M1853" s="60">
        <f>$J$1853-EFEITO!$K$1853*EFEITO!$Y$1853</f>
        <v>0</v>
      </c>
      <c r="N1853" s="60">
        <f ca="1">$K$1853-EFEITO!$M$1853*EFEITO!$Z$1853</f>
        <v>0</v>
      </c>
      <c r="O1853" s="60">
        <f>$L$1853-EFEITO!$O$1853*EFEITO!$AA$1853</f>
        <v>0</v>
      </c>
      <c r="P1853" s="18"/>
      <c r="Q1853" s="18"/>
      <c r="R1853" s="18"/>
      <c r="S1853" s="18"/>
      <c r="T1853" s="18"/>
      <c r="U1853" s="18"/>
      <c r="V1853" s="18"/>
      <c r="W1853" s="18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</row>
    <row r="1854" spans="1:36" ht="11.25" customHeight="1" x14ac:dyDescent="0.2">
      <c r="A1854" s="51" t="s">
        <v>27</v>
      </c>
      <c r="B1854" s="51" t="s">
        <v>47</v>
      </c>
      <c r="C1854" s="51" t="s">
        <v>23</v>
      </c>
      <c r="D1854" s="51" t="s">
        <v>48</v>
      </c>
      <c r="E1854" s="51" t="s">
        <v>49</v>
      </c>
      <c r="F1854" s="51" t="s">
        <v>25</v>
      </c>
      <c r="G1854" s="51" t="s">
        <v>25</v>
      </c>
      <c r="H1854" s="51" t="s">
        <v>25</v>
      </c>
      <c r="I1854" s="59">
        <v>44409</v>
      </c>
      <c r="J1854" s="60">
        <f>EFEITO!$J$1854*EFEITO!$Y$1854</f>
        <v>0</v>
      </c>
      <c r="K1854" s="60">
        <f ca="1">EFEITO!$L$1854*EFEITO!$Z$1854</f>
        <v>8179.0625459582689</v>
      </c>
      <c r="L1854" s="60">
        <f>EFEITO!$N$1854*EFEITO!$AA$1854</f>
        <v>4668.5932074384955</v>
      </c>
      <c r="M1854" s="60">
        <f>$J$1854-EFEITO!$K$1854*EFEITO!$Y$1854</f>
        <v>0</v>
      </c>
      <c r="N1854" s="60">
        <f ca="1">$K$1854-EFEITO!$M$1854*EFEITO!$Z$1854</f>
        <v>0</v>
      </c>
      <c r="O1854" s="60">
        <f>$L$1854-EFEITO!$O$1854*EFEITO!$AA$1854</f>
        <v>0</v>
      </c>
      <c r="P1854" s="18"/>
      <c r="Q1854" s="18"/>
      <c r="R1854" s="18"/>
      <c r="S1854" s="18"/>
      <c r="T1854" s="18"/>
      <c r="U1854" s="18"/>
      <c r="V1854" s="18"/>
      <c r="W1854" s="18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</row>
    <row r="1855" spans="1:36" ht="11.25" customHeight="1" x14ac:dyDescent="0.2">
      <c r="A1855" s="51" t="s">
        <v>21</v>
      </c>
      <c r="B1855" s="51" t="s">
        <v>47</v>
      </c>
      <c r="C1855" s="51" t="s">
        <v>23</v>
      </c>
      <c r="D1855" s="51" t="s">
        <v>48</v>
      </c>
      <c r="E1855" s="51" t="s">
        <v>49</v>
      </c>
      <c r="F1855" s="51" t="s">
        <v>25</v>
      </c>
      <c r="G1855" s="51" t="s">
        <v>25</v>
      </c>
      <c r="H1855" s="51" t="s">
        <v>25</v>
      </c>
      <c r="I1855" s="59">
        <v>44440</v>
      </c>
      <c r="J1855" s="60">
        <f>EFEITO!$J$1855*EFEITO!$Y$1855</f>
        <v>0</v>
      </c>
      <c r="K1855" s="60">
        <f ca="1">EFEITO!$L$1855*EFEITO!$Z$1855</f>
        <v>3902694.529929711</v>
      </c>
      <c r="L1855" s="60">
        <f>EFEITO!$N$1855*EFEITO!$AA$1855</f>
        <v>2227650.5492846225</v>
      </c>
      <c r="M1855" s="60">
        <f>$J$1855-EFEITO!$K$1855*EFEITO!$Y$1855</f>
        <v>0</v>
      </c>
      <c r="N1855" s="60">
        <f ca="1">$K$1855-EFEITO!$M$1855*EFEITO!$Z$1855</f>
        <v>0</v>
      </c>
      <c r="O1855" s="60">
        <f>$L$1855-EFEITO!$O$1855*EFEITO!$AA$1855</f>
        <v>0</v>
      </c>
      <c r="P1855" s="18"/>
      <c r="Q1855" s="18"/>
      <c r="R1855" s="18"/>
      <c r="S1855" s="18"/>
      <c r="T1855" s="18"/>
      <c r="U1855" s="18"/>
      <c r="V1855" s="18"/>
      <c r="W1855" s="18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</row>
    <row r="1856" spans="1:36" ht="11.25" customHeight="1" x14ac:dyDescent="0.2">
      <c r="A1856" s="51" t="s">
        <v>27</v>
      </c>
      <c r="B1856" s="51" t="s">
        <v>47</v>
      </c>
      <c r="C1856" s="51" t="s">
        <v>23</v>
      </c>
      <c r="D1856" s="51" t="s">
        <v>48</v>
      </c>
      <c r="E1856" s="51" t="s">
        <v>49</v>
      </c>
      <c r="F1856" s="51" t="s">
        <v>25</v>
      </c>
      <c r="G1856" s="51" t="s">
        <v>25</v>
      </c>
      <c r="H1856" s="51" t="s">
        <v>25</v>
      </c>
      <c r="I1856" s="59">
        <v>44440</v>
      </c>
      <c r="J1856" s="60">
        <f>EFEITO!$J$1856*EFEITO!$Y$1856</f>
        <v>0</v>
      </c>
      <c r="K1856" s="60">
        <f ca="1">EFEITO!$L$1856*EFEITO!$Z$1856</f>
        <v>1294.3586954123618</v>
      </c>
      <c r="L1856" s="60">
        <f>EFEITO!$N$1856*EFEITO!$AA$1856</f>
        <v>738.81745975609476</v>
      </c>
      <c r="M1856" s="60">
        <f>$J$1856-EFEITO!$K$1856*EFEITO!$Y$1856</f>
        <v>0</v>
      </c>
      <c r="N1856" s="60">
        <f ca="1">$K$1856-EFEITO!$M$1856*EFEITO!$Z$1856</f>
        <v>0</v>
      </c>
      <c r="O1856" s="60">
        <f>$L$1856-EFEITO!$O$1856*EFEITO!$AA$1856</f>
        <v>0</v>
      </c>
      <c r="P1856" s="18"/>
      <c r="Q1856" s="18"/>
      <c r="R1856" s="18"/>
      <c r="S1856" s="18"/>
      <c r="T1856" s="18"/>
      <c r="U1856" s="18"/>
      <c r="V1856" s="18"/>
      <c r="W1856" s="18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</row>
    <row r="1857" spans="1:36" ht="11.25" customHeight="1" x14ac:dyDescent="0.2">
      <c r="A1857" s="51" t="s">
        <v>21</v>
      </c>
      <c r="B1857" s="51" t="s">
        <v>47</v>
      </c>
      <c r="C1857" s="51" t="s">
        <v>23</v>
      </c>
      <c r="D1857" s="51" t="s">
        <v>48</v>
      </c>
      <c r="E1857" s="51" t="s">
        <v>49</v>
      </c>
      <c r="F1857" s="51" t="s">
        <v>25</v>
      </c>
      <c r="G1857" s="51" t="s">
        <v>25</v>
      </c>
      <c r="H1857" s="51" t="s">
        <v>25</v>
      </c>
      <c r="I1857" s="59">
        <v>44470</v>
      </c>
      <c r="J1857" s="60">
        <f>EFEITO!$J$1857*EFEITO!$Y$1857</f>
        <v>0</v>
      </c>
      <c r="K1857" s="60">
        <f ca="1">EFEITO!$L$1857*EFEITO!$Z$1857</f>
        <v>3835948.6760849385</v>
      </c>
      <c r="L1857" s="60">
        <f>EFEITO!$N$1857*EFEITO!$AA$1857</f>
        <v>2189552.1439804141</v>
      </c>
      <c r="M1857" s="60">
        <f>$J$1857-EFEITO!$K$1857*EFEITO!$Y$1857</f>
        <v>0</v>
      </c>
      <c r="N1857" s="60">
        <f ca="1">$K$1857-EFEITO!$M$1857*EFEITO!$Z$1857</f>
        <v>0</v>
      </c>
      <c r="O1857" s="60">
        <f>$L$1857-EFEITO!$O$1857*EFEITO!$AA$1857</f>
        <v>0</v>
      </c>
      <c r="P1857" s="18"/>
      <c r="Q1857" s="18"/>
      <c r="R1857" s="18"/>
      <c r="S1857" s="18"/>
      <c r="T1857" s="18"/>
      <c r="U1857" s="18"/>
      <c r="V1857" s="18"/>
      <c r="W1857" s="18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</row>
    <row r="1858" spans="1:36" ht="11.25" customHeight="1" x14ac:dyDescent="0.2">
      <c r="A1858" s="51" t="s">
        <v>27</v>
      </c>
      <c r="B1858" s="51" t="s">
        <v>47</v>
      </c>
      <c r="C1858" s="51" t="s">
        <v>23</v>
      </c>
      <c r="D1858" s="51" t="s">
        <v>48</v>
      </c>
      <c r="E1858" s="51" t="s">
        <v>49</v>
      </c>
      <c r="F1858" s="51" t="s">
        <v>25</v>
      </c>
      <c r="G1858" s="51" t="s">
        <v>25</v>
      </c>
      <c r="H1858" s="51" t="s">
        <v>25</v>
      </c>
      <c r="I1858" s="59">
        <v>44470</v>
      </c>
      <c r="J1858" s="60">
        <f>EFEITO!$J$1858*EFEITO!$Y$1858</f>
        <v>0</v>
      </c>
      <c r="K1858" s="60">
        <f ca="1">EFEITO!$L$1858*EFEITO!$Z$1858</f>
        <v>-20941.520688931414</v>
      </c>
      <c r="L1858" s="60">
        <f>EFEITO!$N$1858*EFEITO!$AA$1858</f>
        <v>-11953.37982714049</v>
      </c>
      <c r="M1858" s="60">
        <f>$J$1858-EFEITO!$K$1858*EFEITO!$Y$1858</f>
        <v>0</v>
      </c>
      <c r="N1858" s="60">
        <f ca="1">$K$1858-EFEITO!$M$1858*EFEITO!$Z$1858</f>
        <v>0</v>
      </c>
      <c r="O1858" s="60">
        <f>$L$1858-EFEITO!$O$1858*EFEITO!$AA$1858</f>
        <v>0</v>
      </c>
      <c r="P1858" s="18"/>
      <c r="Q1858" s="18"/>
      <c r="R1858" s="18"/>
      <c r="S1858" s="18"/>
      <c r="T1858" s="18"/>
      <c r="U1858" s="18"/>
      <c r="V1858" s="18"/>
      <c r="W1858" s="18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</row>
    <row r="1859" spans="1:36" ht="11.25" customHeight="1" x14ac:dyDescent="0.2">
      <c r="A1859" s="51" t="s">
        <v>21</v>
      </c>
      <c r="B1859" s="51" t="s">
        <v>47</v>
      </c>
      <c r="C1859" s="51" t="s">
        <v>23</v>
      </c>
      <c r="D1859" s="51" t="s">
        <v>48</v>
      </c>
      <c r="E1859" s="51" t="s">
        <v>49</v>
      </c>
      <c r="F1859" s="51" t="s">
        <v>25</v>
      </c>
      <c r="G1859" s="51" t="s">
        <v>25</v>
      </c>
      <c r="H1859" s="51" t="s">
        <v>25</v>
      </c>
      <c r="I1859" s="59">
        <v>44501</v>
      </c>
      <c r="J1859" s="60">
        <f>EFEITO!$J$1859*EFEITO!$Y$1859</f>
        <v>0</v>
      </c>
      <c r="K1859" s="60">
        <f ca="1">EFEITO!$L$1859*EFEITO!$Z$1859</f>
        <v>3647739.5600581462</v>
      </c>
      <c r="L1859" s="60">
        <f>EFEITO!$N$1859*EFEITO!$AA$1859</f>
        <v>2082122.7416835842</v>
      </c>
      <c r="M1859" s="60">
        <f>$J$1859-EFEITO!$K$1859*EFEITO!$Y$1859</f>
        <v>0</v>
      </c>
      <c r="N1859" s="60">
        <f ca="1">$K$1859-EFEITO!$M$1859*EFEITO!$Z$1859</f>
        <v>0</v>
      </c>
      <c r="O1859" s="60">
        <f>$L$1859-EFEITO!$O$1859*EFEITO!$AA$1859</f>
        <v>0</v>
      </c>
      <c r="P1859" s="18"/>
      <c r="Q1859" s="18"/>
      <c r="R1859" s="18"/>
      <c r="S1859" s="18"/>
      <c r="T1859" s="18"/>
      <c r="U1859" s="18"/>
      <c r="V1859" s="18"/>
      <c r="W1859" s="18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</row>
    <row r="1860" spans="1:36" ht="11.25" customHeight="1" x14ac:dyDescent="0.2">
      <c r="A1860" s="51" t="s">
        <v>27</v>
      </c>
      <c r="B1860" s="51" t="s">
        <v>47</v>
      </c>
      <c r="C1860" s="51" t="s">
        <v>23</v>
      </c>
      <c r="D1860" s="51" t="s">
        <v>48</v>
      </c>
      <c r="E1860" s="51" t="s">
        <v>49</v>
      </c>
      <c r="F1860" s="51" t="s">
        <v>25</v>
      </c>
      <c r="G1860" s="51" t="s">
        <v>25</v>
      </c>
      <c r="H1860" s="51" t="s">
        <v>25</v>
      </c>
      <c r="I1860" s="59">
        <v>44501</v>
      </c>
      <c r="J1860" s="60">
        <f>EFEITO!$J$1860*EFEITO!$Y$1860</f>
        <v>0</v>
      </c>
      <c r="K1860" s="60">
        <f ca="1">EFEITO!$L$1860*EFEITO!$Z$1860</f>
        <v>-31652.994665693848</v>
      </c>
      <c r="L1860" s="60">
        <f>EFEITO!$N$1860*EFEITO!$AA$1860</f>
        <v>-18067.468620150004</v>
      </c>
      <c r="M1860" s="60">
        <f>$J$1860-EFEITO!$K$1860*EFEITO!$Y$1860</f>
        <v>0</v>
      </c>
      <c r="N1860" s="60">
        <f ca="1">$K$1860-EFEITO!$M$1860*EFEITO!$Z$1860</f>
        <v>0</v>
      </c>
      <c r="O1860" s="60">
        <f>$L$1860-EFEITO!$O$1860*EFEITO!$AA$1860</f>
        <v>0</v>
      </c>
      <c r="P1860" s="18"/>
      <c r="Q1860" s="18"/>
      <c r="R1860" s="18"/>
      <c r="S1860" s="18"/>
      <c r="T1860" s="18"/>
      <c r="U1860" s="18"/>
      <c r="V1860" s="18"/>
      <c r="W1860" s="18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</row>
    <row r="1861" spans="1:36" ht="11.25" customHeight="1" x14ac:dyDescent="0.2">
      <c r="A1861" s="51" t="s">
        <v>21</v>
      </c>
      <c r="B1861" s="51" t="s">
        <v>47</v>
      </c>
      <c r="C1861" s="51" t="s">
        <v>23</v>
      </c>
      <c r="D1861" s="51" t="s">
        <v>48</v>
      </c>
      <c r="E1861" s="51" t="s">
        <v>49</v>
      </c>
      <c r="F1861" s="51" t="s">
        <v>25</v>
      </c>
      <c r="G1861" s="51" t="s">
        <v>25</v>
      </c>
      <c r="H1861" s="51" t="s">
        <v>25</v>
      </c>
      <c r="I1861" s="59">
        <v>44531</v>
      </c>
      <c r="J1861" s="60">
        <f>EFEITO!$J$1861*EFEITO!$Y$1861</f>
        <v>0</v>
      </c>
      <c r="K1861" s="60">
        <f ca="1">EFEITO!$L$1861*EFEITO!$Z$1861</f>
        <v>3774235.7610039315</v>
      </c>
      <c r="L1861" s="60">
        <f>EFEITO!$N$1861*EFEITO!$AA$1861</f>
        <v>2154326.5304654776</v>
      </c>
      <c r="M1861" s="60">
        <f>$J$1861-EFEITO!$K$1861*EFEITO!$Y$1861</f>
        <v>0</v>
      </c>
      <c r="N1861" s="60">
        <f ca="1">$K$1861-EFEITO!$M$1861*EFEITO!$Z$1861</f>
        <v>0</v>
      </c>
      <c r="O1861" s="60">
        <f>$L$1861-EFEITO!$O$1861*EFEITO!$AA$1861</f>
        <v>0</v>
      </c>
      <c r="P1861" s="18"/>
      <c r="Q1861" s="18"/>
      <c r="R1861" s="18"/>
      <c r="S1861" s="18"/>
      <c r="T1861" s="18"/>
      <c r="U1861" s="18"/>
      <c r="V1861" s="18"/>
      <c r="W1861" s="18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</row>
    <row r="1862" spans="1:36" ht="11.25" customHeight="1" x14ac:dyDescent="0.2">
      <c r="A1862" s="51" t="s">
        <v>27</v>
      </c>
      <c r="B1862" s="51" t="s">
        <v>47</v>
      </c>
      <c r="C1862" s="51" t="s">
        <v>23</v>
      </c>
      <c r="D1862" s="51" t="s">
        <v>48</v>
      </c>
      <c r="E1862" s="51" t="s">
        <v>49</v>
      </c>
      <c r="F1862" s="51" t="s">
        <v>25</v>
      </c>
      <c r="G1862" s="51" t="s">
        <v>25</v>
      </c>
      <c r="H1862" s="51" t="s">
        <v>25</v>
      </c>
      <c r="I1862" s="59">
        <v>44531</v>
      </c>
      <c r="J1862" s="60">
        <f>EFEITO!$J$1862*EFEITO!$Y$1862</f>
        <v>0</v>
      </c>
      <c r="K1862" s="60">
        <f ca="1">EFEITO!$L$1862*EFEITO!$Z$1862</f>
        <v>-9942.4114465217899</v>
      </c>
      <c r="L1862" s="60">
        <f>EFEITO!$N$1862*EFEITO!$AA$1862</f>
        <v>-5675.109376407403</v>
      </c>
      <c r="M1862" s="60">
        <f>$J$1862-EFEITO!$K$1862*EFEITO!$Y$1862</f>
        <v>0</v>
      </c>
      <c r="N1862" s="60">
        <f ca="1">$K$1862-EFEITO!$M$1862*EFEITO!$Z$1862</f>
        <v>0</v>
      </c>
      <c r="O1862" s="60">
        <f>$L$1862-EFEITO!$O$1862*EFEITO!$AA$1862</f>
        <v>0</v>
      </c>
      <c r="P1862" s="18"/>
      <c r="Q1862" s="18"/>
      <c r="R1862" s="18"/>
      <c r="S1862" s="18"/>
      <c r="T1862" s="18"/>
      <c r="U1862" s="18"/>
      <c r="V1862" s="18"/>
      <c r="W1862" s="18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</row>
    <row r="1863" spans="1:36" ht="11.25" customHeight="1" x14ac:dyDescent="0.2">
      <c r="A1863" s="51" t="s">
        <v>21</v>
      </c>
      <c r="B1863" s="51" t="s">
        <v>47</v>
      </c>
      <c r="C1863" s="51" t="s">
        <v>23</v>
      </c>
      <c r="D1863" s="51" t="s">
        <v>48</v>
      </c>
      <c r="E1863" s="51" t="s">
        <v>49</v>
      </c>
      <c r="F1863" s="51" t="s">
        <v>25</v>
      </c>
      <c r="G1863" s="51" t="s">
        <v>25</v>
      </c>
      <c r="H1863" s="51" t="s">
        <v>25</v>
      </c>
      <c r="I1863" s="59">
        <v>44562</v>
      </c>
      <c r="J1863" s="60">
        <f>EFEITO!$J$1863*EFEITO!$Y$1863</f>
        <v>0</v>
      </c>
      <c r="K1863" s="60">
        <f ca="1">EFEITO!$L$1863*EFEITO!$Z$1863</f>
        <v>3743218.1870115618</v>
      </c>
      <c r="L1863" s="60">
        <f>EFEITO!$N$1863*EFEITO!$AA$1863</f>
        <v>2136621.7587464307</v>
      </c>
      <c r="M1863" s="60">
        <f>$J$1863-EFEITO!$K$1863*EFEITO!$Y$1863</f>
        <v>0</v>
      </c>
      <c r="N1863" s="60">
        <f ca="1">$K$1863-EFEITO!$M$1863*EFEITO!$Z$1863</f>
        <v>0</v>
      </c>
      <c r="O1863" s="60">
        <f>$L$1863-EFEITO!$O$1863*EFEITO!$AA$1863</f>
        <v>0</v>
      </c>
      <c r="P1863" s="18"/>
      <c r="Q1863" s="18"/>
      <c r="R1863" s="18"/>
      <c r="S1863" s="18"/>
      <c r="T1863" s="18"/>
      <c r="U1863" s="18"/>
      <c r="V1863" s="18"/>
      <c r="W1863" s="18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</row>
    <row r="1864" spans="1:36" ht="11.25" customHeight="1" x14ac:dyDescent="0.2">
      <c r="A1864" s="51" t="s">
        <v>27</v>
      </c>
      <c r="B1864" s="51" t="s">
        <v>47</v>
      </c>
      <c r="C1864" s="51" t="s">
        <v>23</v>
      </c>
      <c r="D1864" s="51" t="s">
        <v>48</v>
      </c>
      <c r="E1864" s="51" t="s">
        <v>49</v>
      </c>
      <c r="F1864" s="51" t="s">
        <v>25</v>
      </c>
      <c r="G1864" s="51" t="s">
        <v>25</v>
      </c>
      <c r="H1864" s="51" t="s">
        <v>25</v>
      </c>
      <c r="I1864" s="59">
        <v>44562</v>
      </c>
      <c r="J1864" s="60">
        <f>EFEITO!$J$1864*EFEITO!$Y$1864</f>
        <v>0</v>
      </c>
      <c r="K1864" s="60">
        <f ca="1">EFEITO!$L$1864*EFEITO!$Z$1864</f>
        <v>2055.5067332806375</v>
      </c>
      <c r="L1864" s="60">
        <f>EFEITO!$N$1864*EFEITO!$AA$1864</f>
        <v>1173.2792992982006</v>
      </c>
      <c r="M1864" s="60">
        <f>$J$1864-EFEITO!$K$1864*EFEITO!$Y$1864</f>
        <v>0</v>
      </c>
      <c r="N1864" s="60">
        <f ca="1">$K$1864-EFEITO!$M$1864*EFEITO!$Z$1864</f>
        <v>0</v>
      </c>
      <c r="O1864" s="60">
        <f>$L$1864-EFEITO!$O$1864*EFEITO!$AA$1864</f>
        <v>0</v>
      </c>
      <c r="P1864" s="18"/>
      <c r="Q1864" s="18"/>
      <c r="R1864" s="18"/>
      <c r="S1864" s="18"/>
      <c r="T1864" s="18"/>
      <c r="U1864" s="18"/>
      <c r="V1864" s="18"/>
      <c r="W1864" s="18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</row>
    <row r="1865" spans="1:36" ht="11.25" customHeight="1" x14ac:dyDescent="0.2">
      <c r="A1865" s="51" t="s">
        <v>21</v>
      </c>
      <c r="B1865" s="51" t="s">
        <v>47</v>
      </c>
      <c r="C1865" s="51" t="s">
        <v>23</v>
      </c>
      <c r="D1865" s="51" t="s">
        <v>48</v>
      </c>
      <c r="E1865" s="51" t="s">
        <v>49</v>
      </c>
      <c r="F1865" s="51" t="s">
        <v>25</v>
      </c>
      <c r="G1865" s="51" t="s">
        <v>25</v>
      </c>
      <c r="H1865" s="51" t="s">
        <v>25</v>
      </c>
      <c r="I1865" s="59">
        <v>44593</v>
      </c>
      <c r="J1865" s="60">
        <f>EFEITO!$J$1865*EFEITO!$Y$1865</f>
        <v>0</v>
      </c>
      <c r="K1865" s="60">
        <f ca="1">EFEITO!$L$1865*EFEITO!$Z$1865</f>
        <v>3395433.0054627298</v>
      </c>
      <c r="L1865" s="60">
        <f>EFEITO!$N$1865*EFEITO!$AA$1865</f>
        <v>1938106.6444404537</v>
      </c>
      <c r="M1865" s="60">
        <f>$J$1865-EFEITO!$K$1865*EFEITO!$Y$1865</f>
        <v>0</v>
      </c>
      <c r="N1865" s="60">
        <f ca="1">$K$1865-EFEITO!$M$1865*EFEITO!$Z$1865</f>
        <v>0</v>
      </c>
      <c r="O1865" s="60">
        <f>$L$1865-EFEITO!$O$1865*EFEITO!$AA$1865</f>
        <v>0</v>
      </c>
      <c r="P1865" s="18"/>
      <c r="Q1865" s="18"/>
      <c r="R1865" s="18"/>
      <c r="S1865" s="18"/>
      <c r="T1865" s="18"/>
      <c r="U1865" s="18"/>
      <c r="V1865" s="18"/>
      <c r="W1865" s="18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</row>
    <row r="1866" spans="1:36" ht="11.25" customHeight="1" x14ac:dyDescent="0.2">
      <c r="A1866" s="51" t="s">
        <v>56</v>
      </c>
      <c r="B1866" s="51" t="s">
        <v>47</v>
      </c>
      <c r="C1866" s="51" t="s">
        <v>23</v>
      </c>
      <c r="D1866" s="51" t="s">
        <v>48</v>
      </c>
      <c r="E1866" s="51" t="s">
        <v>49</v>
      </c>
      <c r="F1866" s="51" t="s">
        <v>25</v>
      </c>
      <c r="G1866" s="51" t="s">
        <v>25</v>
      </c>
      <c r="H1866" s="51" t="s">
        <v>25</v>
      </c>
      <c r="I1866" s="59">
        <v>44621</v>
      </c>
      <c r="J1866" s="60">
        <f>EFEITO!$J$1866*EFEITO!$Y$1866</f>
        <v>0</v>
      </c>
      <c r="K1866" s="60">
        <f ca="1">EFEITO!$L$1866*EFEITO!$Z$1866</f>
        <v>3395433.0054627298</v>
      </c>
      <c r="L1866" s="60">
        <f>EFEITO!$N$1866*EFEITO!$AA$1866</f>
        <v>1938106.6444404537</v>
      </c>
      <c r="M1866" s="60">
        <f>$J$1866-EFEITO!$K$1866*EFEITO!$Y$1866</f>
        <v>0</v>
      </c>
      <c r="N1866" s="60">
        <f ca="1">$K$1866-EFEITO!$M$1866*EFEITO!$Z$1866</f>
        <v>0</v>
      </c>
      <c r="O1866" s="60">
        <f>$L$1866-EFEITO!$O$1866*EFEITO!$AA$1866</f>
        <v>0</v>
      </c>
      <c r="P1866" s="18"/>
      <c r="Q1866" s="18"/>
      <c r="R1866" s="18"/>
      <c r="S1866" s="18"/>
      <c r="T1866" s="18"/>
      <c r="U1866" s="18"/>
      <c r="V1866" s="18"/>
      <c r="W1866" s="18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DD42-9B7B-4692-B6B6-1814C867914A}">
  <dimension ref="A1:BD143"/>
  <sheetViews>
    <sheetView showGridLines="0" topLeftCell="D52" workbookViewId="0">
      <selection activeCell="L73" sqref="L73:BD14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7.8554687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11.42578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7" width="10" style="9" bestFit="1" customWidth="1"/>
    <col min="38" max="38" width="7.85546875" style="9" bestFit="1" customWidth="1"/>
    <col min="39" max="39" width="4.42578125" style="9" bestFit="1" customWidth="1"/>
    <col min="40" max="41" width="10.85546875" style="9" bestFit="1" customWidth="1"/>
    <col min="42" max="42" width="8.7109375" style="9" bestFit="1" customWidth="1"/>
    <col min="43" max="43" width="10.85546875" style="9" bestFit="1" customWidth="1"/>
    <col min="44" max="45" width="10" style="9" bestFit="1" customWidth="1"/>
    <col min="46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11.42578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04" t="s">
        <v>83</v>
      </c>
      <c r="B1" s="104" t="s">
        <v>84</v>
      </c>
      <c r="C1" s="104" t="s">
        <v>85</v>
      </c>
      <c r="D1" s="104" t="s">
        <v>86</v>
      </c>
      <c r="E1" s="104" t="s">
        <v>87</v>
      </c>
      <c r="F1" s="104" t="s">
        <v>15</v>
      </c>
      <c r="G1" s="104" t="s">
        <v>89</v>
      </c>
      <c r="H1" s="104" t="s">
        <v>90</v>
      </c>
      <c r="I1" s="104" t="s">
        <v>947</v>
      </c>
      <c r="J1" s="102"/>
      <c r="L1" s="105" t="s">
        <v>1126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I1" s="105" t="s">
        <v>1127</v>
      </c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</row>
    <row r="2" spans="1:56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2"/>
      <c r="L2" s="105" t="s">
        <v>858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I2" s="105" t="s">
        <v>858</v>
      </c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</row>
    <row r="3" spans="1:56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2"/>
      <c r="L3" s="105" t="s">
        <v>859</v>
      </c>
      <c r="M3" s="105"/>
      <c r="N3" s="105"/>
      <c r="O3" s="105"/>
      <c r="P3" s="105"/>
      <c r="Q3" s="105"/>
      <c r="R3" s="105"/>
      <c r="S3" s="105"/>
      <c r="T3" s="105" t="s">
        <v>868</v>
      </c>
      <c r="U3" s="105"/>
      <c r="V3" s="105"/>
      <c r="W3" s="105"/>
      <c r="X3" s="105"/>
      <c r="Y3" s="105"/>
      <c r="Z3" s="105"/>
      <c r="AA3" s="32" t="s">
        <v>876</v>
      </c>
      <c r="AB3" s="105" t="s">
        <v>878</v>
      </c>
      <c r="AC3" s="105"/>
      <c r="AD3" s="105" t="s">
        <v>881</v>
      </c>
      <c r="AE3" s="105"/>
      <c r="AF3" s="105"/>
      <c r="AG3" s="105"/>
      <c r="AI3" s="105" t="s">
        <v>859</v>
      </c>
      <c r="AJ3" s="105"/>
      <c r="AK3" s="105"/>
      <c r="AL3" s="105"/>
      <c r="AM3" s="105"/>
      <c r="AN3" s="105"/>
      <c r="AO3" s="105"/>
      <c r="AP3" s="105"/>
      <c r="AQ3" s="105" t="s">
        <v>868</v>
      </c>
      <c r="AR3" s="105"/>
      <c r="AS3" s="105"/>
      <c r="AT3" s="105"/>
      <c r="AU3" s="105"/>
      <c r="AV3" s="105"/>
      <c r="AW3" s="105"/>
      <c r="AX3" s="32" t="s">
        <v>876</v>
      </c>
      <c r="AY3" s="105" t="s">
        <v>878</v>
      </c>
      <c r="AZ3" s="105"/>
      <c r="BA3" s="105" t="s">
        <v>881</v>
      </c>
      <c r="BB3" s="105"/>
      <c r="BC3" s="105"/>
      <c r="BD3" s="105"/>
    </row>
    <row r="4" spans="1:56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102"/>
      <c r="L4" s="32" t="s">
        <v>943</v>
      </c>
      <c r="M4" s="32" t="s">
        <v>860</v>
      </c>
      <c r="N4" s="32" t="s">
        <v>861</v>
      </c>
      <c r="O4" s="32" t="s">
        <v>862</v>
      </c>
      <c r="P4" s="32" t="s">
        <v>863</v>
      </c>
      <c r="Q4" s="32" t="s">
        <v>864</v>
      </c>
      <c r="R4" s="32" t="s">
        <v>865</v>
      </c>
      <c r="S4" s="32" t="s">
        <v>866</v>
      </c>
      <c r="T4" s="32" t="s">
        <v>869</v>
      </c>
      <c r="U4" s="32" t="s">
        <v>870</v>
      </c>
      <c r="V4" s="32" t="s">
        <v>871</v>
      </c>
      <c r="W4" s="32" t="s">
        <v>872</v>
      </c>
      <c r="X4" s="32" t="s">
        <v>873</v>
      </c>
      <c r="Y4" s="32" t="s">
        <v>874</v>
      </c>
      <c r="Z4" s="32" t="s">
        <v>875</v>
      </c>
      <c r="AA4" s="32" t="s">
        <v>877</v>
      </c>
      <c r="AB4" s="32" t="s">
        <v>879</v>
      </c>
      <c r="AC4" s="32" t="s">
        <v>880</v>
      </c>
      <c r="AD4" s="32" t="s">
        <v>882</v>
      </c>
      <c r="AE4" s="32" t="s">
        <v>883</v>
      </c>
      <c r="AF4" s="32" t="s">
        <v>884</v>
      </c>
      <c r="AG4" s="32" t="s">
        <v>885</v>
      </c>
      <c r="AI4" s="32" t="s">
        <v>943</v>
      </c>
      <c r="AJ4" s="32" t="s">
        <v>860</v>
      </c>
      <c r="AK4" s="32" t="s">
        <v>861</v>
      </c>
      <c r="AL4" s="32" t="s">
        <v>862</v>
      </c>
      <c r="AM4" s="32" t="s">
        <v>863</v>
      </c>
      <c r="AN4" s="32" t="s">
        <v>864</v>
      </c>
      <c r="AO4" s="32" t="s">
        <v>865</v>
      </c>
      <c r="AP4" s="32" t="s">
        <v>866</v>
      </c>
      <c r="AQ4" s="32" t="s">
        <v>869</v>
      </c>
      <c r="AR4" s="32" t="s">
        <v>870</v>
      </c>
      <c r="AS4" s="32" t="s">
        <v>871</v>
      </c>
      <c r="AT4" s="32" t="s">
        <v>872</v>
      </c>
      <c r="AU4" s="32" t="s">
        <v>873</v>
      </c>
      <c r="AV4" s="32" t="s">
        <v>874</v>
      </c>
      <c r="AW4" s="32" t="s">
        <v>875</v>
      </c>
      <c r="AX4" s="32" t="s">
        <v>877</v>
      </c>
      <c r="AY4" s="32" t="s">
        <v>879</v>
      </c>
      <c r="AZ4" s="32" t="s">
        <v>880</v>
      </c>
      <c r="BA4" s="32" t="s">
        <v>882</v>
      </c>
      <c r="BB4" s="32" t="s">
        <v>883</v>
      </c>
      <c r="BC4" s="32" t="s">
        <v>884</v>
      </c>
      <c r="BD4" s="32" t="s">
        <v>885</v>
      </c>
    </row>
    <row r="5" spans="1:56" ht="11.25" customHeight="1" x14ac:dyDescent="0.25">
      <c r="A5" s="108" t="s">
        <v>39</v>
      </c>
      <c r="B5" s="108" t="s">
        <v>40</v>
      </c>
      <c r="C5" s="108" t="s">
        <v>25</v>
      </c>
      <c r="D5" s="108" t="s">
        <v>25</v>
      </c>
      <c r="E5" s="108" t="s">
        <v>25</v>
      </c>
      <c r="F5" s="108" t="s">
        <v>25</v>
      </c>
      <c r="G5" s="33" t="s">
        <v>100</v>
      </c>
      <c r="H5" s="33" t="s">
        <v>99</v>
      </c>
      <c r="I5" s="33">
        <f>'MERCADO TUSD'!$U$2</f>
        <v>534026</v>
      </c>
      <c r="J5" s="15"/>
      <c r="L5" s="30">
        <f>('TUSD BE'!$L$5+'TUSD BF'!$L$5+'TUSD CVA'!$L$5)*1</f>
        <v>0</v>
      </c>
      <c r="M5" s="30">
        <f>('TUSD BE'!$M$5+'TUSD BF'!$M$5+'TUSD CVA'!$M$5)*1</f>
        <v>0</v>
      </c>
      <c r="N5" s="30">
        <f ca="1">('TUSD BE'!$N$5+'TUSD BF'!$N$5+'TUSD CVA'!$N$5)*1</f>
        <v>0</v>
      </c>
      <c r="O5" s="30">
        <f>('TUSD BE'!$O$5+'TUSD BF'!$O$5+'TUSD CVA'!$O$5)*1</f>
        <v>0</v>
      </c>
      <c r="P5" s="30">
        <f>('TUSD BE'!$P$5+'TUSD BF'!$P$5+'TUSD CVA'!$P$5)*1</f>
        <v>0</v>
      </c>
      <c r="Q5" s="30">
        <f>('TUSD BE'!$Q$5+'TUSD BF'!$Q$5+'TUSD CVA'!$Q$5)*1</f>
        <v>0</v>
      </c>
      <c r="R5" s="30">
        <f>('TUSD BE'!$R$5+'TUSD BF'!$R$5+'TUSD CVA'!$R$5)*1</f>
        <v>0</v>
      </c>
      <c r="S5" s="30">
        <f>('TUSD BE'!$S$5+'TUSD BF'!$S$5+'TUSD CVA'!$S$5)*1</f>
        <v>0</v>
      </c>
      <c r="T5" s="30">
        <f>('TUSD BE'!$U$5+'TUSD BF'!$U$5+'TUSD CVA'!$U$5)*1</f>
        <v>7.1758311457495072</v>
      </c>
      <c r="U5" s="30">
        <f>('TUSD BE'!$V$5+'TUSD BF'!$V$5+'TUSD CVA'!$V$5)*1</f>
        <v>1.1697596146738309</v>
      </c>
      <c r="V5" s="30">
        <f>('TUSD BE'!$W$5+'TUSD BF'!$W$5+'TUSD CVA'!$W$5)*1</f>
        <v>0.98567549352798178</v>
      </c>
      <c r="W5" s="30">
        <f>('TUSD BE'!$X$5+'TUSD BF'!$X$5+'TUSD CVA'!$X$5)*1</f>
        <v>0</v>
      </c>
      <c r="X5" s="30">
        <f>('TUSD BE'!$Y$5+'TUSD BF'!$Y$5+'TUSD CVA'!$Y$5)*1</f>
        <v>0</v>
      </c>
      <c r="Y5" s="30">
        <f>('TUSD BE'!$Z$5+'TUSD BF'!$Z$5+'TUSD CVA'!$Z$5)*1</f>
        <v>0</v>
      </c>
      <c r="Z5" s="30">
        <f>('TUSD BE'!$AA$5+'TUSD BF'!$AA$5+'TUSD CVA'!$AA$5)*1</f>
        <v>0</v>
      </c>
      <c r="AA5" s="30">
        <f>('TUSD BE'!$AC$5+'TUSD BF'!$AC$5+'TUSD CVA'!$AC$5)*1</f>
        <v>24.590053520853818</v>
      </c>
      <c r="AB5" s="30">
        <f ca="1">('TUSD BE'!$AE$5+'TUSD BF'!$AE$5+'TUSD CVA'!$AE$5)*1</f>
        <v>-2.5894357270358461</v>
      </c>
      <c r="AC5" s="30">
        <f ca="1">('TUSD BE'!$AF$5+'TUSD BF'!$AF$5+'TUSD CVA'!$AF$5)*1</f>
        <v>0</v>
      </c>
      <c r="AD5" s="30">
        <f>('TUSD BE'!$AH$5+'TUSD BF'!$AH$5+'TUSD CVA'!$AH$5)*1</f>
        <v>0</v>
      </c>
      <c r="AE5" s="30">
        <f>('TUSD BE'!$AI$5+'TUSD BF'!$AI$5+'TUSD CVA'!$AI$5)*1</f>
        <v>0</v>
      </c>
      <c r="AF5" s="30">
        <f ca="1">('TUSD BE'!$AJ$5+'TUSD BF'!$AJ$5+'TUSD CVA'!$AJ$5)*1</f>
        <v>0</v>
      </c>
      <c r="AG5" s="30">
        <f ca="1">('TUSD BE'!$AK$5+'TUSD BF'!$AK$5+'TUSD CVA'!$AK$5)*1</f>
        <v>0</v>
      </c>
      <c r="AI5" s="30">
        <v>0</v>
      </c>
      <c r="AJ5" s="30">
        <v>0</v>
      </c>
      <c r="AK5" s="30">
        <v>0</v>
      </c>
      <c r="AL5" s="30">
        <v>0</v>
      </c>
      <c r="AM5" s="30">
        <v>0</v>
      </c>
      <c r="AN5" s="30">
        <v>0</v>
      </c>
      <c r="AO5" s="30">
        <v>0</v>
      </c>
      <c r="AP5" s="30">
        <v>0</v>
      </c>
      <c r="AQ5" s="30">
        <v>7.3731847102499604</v>
      </c>
      <c r="AR5" s="30">
        <v>1.7969450979216099</v>
      </c>
      <c r="AS5" s="30">
        <v>0.66951549945030697</v>
      </c>
      <c r="AT5" s="30">
        <v>0</v>
      </c>
      <c r="AU5" s="30">
        <v>0</v>
      </c>
      <c r="AV5" s="30">
        <v>0</v>
      </c>
      <c r="AW5" s="30">
        <v>0</v>
      </c>
      <c r="AX5" s="30">
        <v>18.5132425950152</v>
      </c>
      <c r="AY5" s="30">
        <v>-1.6493001876992399E-2</v>
      </c>
      <c r="AZ5" s="30">
        <v>0</v>
      </c>
      <c r="BA5" s="30">
        <v>0</v>
      </c>
      <c r="BB5" s="30">
        <v>0</v>
      </c>
      <c r="BC5" s="30">
        <v>0</v>
      </c>
      <c r="BD5" s="30">
        <v>0</v>
      </c>
    </row>
    <row r="6" spans="1:56" ht="11.25" customHeight="1" x14ac:dyDescent="0.25">
      <c r="A6" s="108"/>
      <c r="B6" s="108"/>
      <c r="C6" s="108"/>
      <c r="D6" s="108"/>
      <c r="E6" s="108"/>
      <c r="F6" s="108"/>
      <c r="G6" s="33" t="s">
        <v>101</v>
      </c>
      <c r="H6" s="33" t="s">
        <v>99</v>
      </c>
      <c r="I6" s="33">
        <f>'MERCADO TUSD'!$U$3</f>
        <v>732328</v>
      </c>
      <c r="J6" s="15"/>
      <c r="L6" s="30">
        <f>('TUSD BE'!$L$6+'TUSD BF'!$L$6+'TUSD CVA'!$L$6)*1</f>
        <v>0</v>
      </c>
      <c r="M6" s="30">
        <f>('TUSD BE'!$M$6+'TUSD BF'!$M$6+'TUSD CVA'!$M$6)*1</f>
        <v>0</v>
      </c>
      <c r="N6" s="30">
        <f ca="1">('TUSD BE'!$N$6+'TUSD BF'!$N$6+'TUSD CVA'!$N$6)*1</f>
        <v>0</v>
      </c>
      <c r="O6" s="30">
        <f>('TUSD BE'!$O$6+'TUSD BF'!$O$6+'TUSD CVA'!$O$6)*1</f>
        <v>0</v>
      </c>
      <c r="P6" s="30">
        <f>('TUSD BE'!$P$6+'TUSD BF'!$P$6+'TUSD CVA'!$P$6)*1</f>
        <v>0</v>
      </c>
      <c r="Q6" s="30">
        <f>('TUSD BE'!$Q$6+'TUSD BF'!$Q$6+'TUSD CVA'!$Q$6)*1</f>
        <v>0</v>
      </c>
      <c r="R6" s="30">
        <f>('TUSD BE'!$R$6+'TUSD BF'!$R$6+'TUSD CVA'!$R$6)*1</f>
        <v>0</v>
      </c>
      <c r="S6" s="30">
        <f>('TUSD BE'!$S$6+'TUSD BF'!$S$6+'TUSD CVA'!$S$6)*1</f>
        <v>0</v>
      </c>
      <c r="T6" s="30">
        <f>('TUSD BE'!$U$6+'TUSD BF'!$U$6+'TUSD CVA'!$U$6)*1</f>
        <v>6.8608169591027153</v>
      </c>
      <c r="U6" s="30">
        <f>('TUSD BE'!$V$6+'TUSD BF'!$V$6+'TUSD CVA'!$V$6)*1</f>
        <v>1.1417547516159281</v>
      </c>
      <c r="V6" s="30">
        <f>('TUSD BE'!$W$6+'TUSD BF'!$W$6+'TUSD CVA'!$W$6)*1</f>
        <v>0.79040164795466739</v>
      </c>
      <c r="W6" s="30">
        <f>('TUSD BE'!$X$6+'TUSD BF'!$X$6+'TUSD CVA'!$X$6)*1</f>
        <v>0</v>
      </c>
      <c r="X6" s="30">
        <f>('TUSD BE'!$Y$6+'TUSD BF'!$Y$6+'TUSD CVA'!$Y$6)*1</f>
        <v>0</v>
      </c>
      <c r="Y6" s="30">
        <f>('TUSD BE'!$Z$6+'TUSD BF'!$Z$6+'TUSD CVA'!$Z$6)*1</f>
        <v>0</v>
      </c>
      <c r="Z6" s="30">
        <f>('TUSD BE'!$AA$6+'TUSD BF'!$AA$6+'TUSD CVA'!$AA$6)*1</f>
        <v>0</v>
      </c>
      <c r="AA6" s="30">
        <f>('TUSD BE'!$AC$6+'TUSD BF'!$AC$6+'TUSD CVA'!$AC$6)*1</f>
        <v>2.9949479843013611</v>
      </c>
      <c r="AB6" s="30">
        <f ca="1">('TUSD BE'!$AE$6+'TUSD BF'!$AE$6+'TUSD CVA'!$AE$6)*1</f>
        <v>-0.8461978893438431</v>
      </c>
      <c r="AC6" s="30">
        <f ca="1">('TUSD BE'!$AF$6+'TUSD BF'!$AF$6+'TUSD CVA'!$AF$6)*1</f>
        <v>0</v>
      </c>
      <c r="AD6" s="30">
        <f>('TUSD BE'!$AH$6+'TUSD BF'!$AH$6+'TUSD CVA'!$AH$6)*1</f>
        <v>0</v>
      </c>
      <c r="AE6" s="30">
        <f>('TUSD BE'!$AI$6+'TUSD BF'!$AI$6+'TUSD CVA'!$AI$6)*1</f>
        <v>0</v>
      </c>
      <c r="AF6" s="30">
        <f ca="1">('TUSD BE'!$AJ$6+'TUSD BF'!$AJ$6+'TUSD CVA'!$AJ$6)*1</f>
        <v>0</v>
      </c>
      <c r="AG6" s="30">
        <f ca="1">('TUSD BE'!$AK$6+'TUSD BF'!$AK$6+'TUSD CVA'!$AK$6)*1</f>
        <v>0</v>
      </c>
      <c r="AI6" s="30">
        <v>0</v>
      </c>
      <c r="AJ6" s="30">
        <v>0</v>
      </c>
      <c r="AK6" s="30">
        <v>0</v>
      </c>
      <c r="AL6" s="30">
        <v>0</v>
      </c>
      <c r="AM6" s="30">
        <v>0</v>
      </c>
      <c r="AN6" s="30">
        <v>0</v>
      </c>
      <c r="AO6" s="30">
        <v>0</v>
      </c>
      <c r="AP6" s="30">
        <v>0</v>
      </c>
      <c r="AQ6" s="30">
        <v>7.0495068341516998</v>
      </c>
      <c r="AR6" s="30">
        <v>1.7539249758738</v>
      </c>
      <c r="AS6" s="30">
        <v>0.53687664710281502</v>
      </c>
      <c r="AT6" s="30">
        <v>0</v>
      </c>
      <c r="AU6" s="30">
        <v>0</v>
      </c>
      <c r="AV6" s="30">
        <v>0</v>
      </c>
      <c r="AW6" s="30">
        <v>0</v>
      </c>
      <c r="AX6" s="30">
        <v>2.2548222006024199</v>
      </c>
      <c r="AY6" s="30">
        <v>-6.1655492080797004E-3</v>
      </c>
      <c r="AZ6" s="30">
        <v>0</v>
      </c>
      <c r="BA6" s="30">
        <v>0</v>
      </c>
      <c r="BB6" s="30">
        <v>0</v>
      </c>
      <c r="BC6" s="30">
        <v>0</v>
      </c>
      <c r="BD6" s="30">
        <v>0</v>
      </c>
    </row>
    <row r="7" spans="1:56" ht="11.25" customHeight="1" x14ac:dyDescent="0.25">
      <c r="A7" s="108"/>
      <c r="B7" s="108"/>
      <c r="C7" s="108"/>
      <c r="D7" s="108"/>
      <c r="E7" s="108"/>
      <c r="F7" s="108"/>
      <c r="G7" s="33" t="s">
        <v>98</v>
      </c>
      <c r="H7" s="33" t="s">
        <v>93</v>
      </c>
      <c r="I7" s="33">
        <f>'MERCADO TUSD'!$U$4</f>
        <v>223811.28899999999</v>
      </c>
      <c r="J7" s="15"/>
      <c r="L7" s="30">
        <f>('TUSD BE'!$L$7+'TUSD BF'!$L$7+'TUSD CVA'!$L$7)*1</f>
        <v>2.4940606569238253</v>
      </c>
      <c r="M7" s="30">
        <f>('TUSD BE'!$M$7+'TUSD BF'!$M$7+'TUSD CVA'!$M$7)*1</f>
        <v>0.16792402085370564</v>
      </c>
      <c r="N7" s="30">
        <f ca="1">('TUSD BE'!$N$7+'TUSD BF'!$N$7+'TUSD CVA'!$N$7)*1</f>
        <v>0.20366313878108333</v>
      </c>
      <c r="O7" s="30">
        <f>('TUSD BE'!$O$7+'TUSD BF'!$O$7+'TUSD CVA'!$O$7)*1</f>
        <v>2.3178841689617181E-2</v>
      </c>
      <c r="P7" s="30">
        <f>('TUSD BE'!$P$7+'TUSD BF'!$P$7+'TUSD CVA'!$P$7)*1</f>
        <v>0</v>
      </c>
      <c r="Q7" s="30">
        <f>('TUSD BE'!$Q$7+'TUSD BF'!$Q$7+'TUSD CVA'!$Q$7)*1</f>
        <v>24.268855047649094</v>
      </c>
      <c r="R7" s="30">
        <f>('TUSD BE'!$R$7+'TUSD BF'!$R$7+'TUSD CVA'!$R$7)*1</f>
        <v>15.944062081967184</v>
      </c>
      <c r="S7" s="30">
        <f>('TUSD BE'!$S$7+'TUSD BF'!$S$7+'TUSD CVA'!$S$7)*1</f>
        <v>0</v>
      </c>
      <c r="T7" s="30">
        <f>('TUSD BE'!$U$7+'TUSD BF'!$U$7+'TUSD CVA'!$U$7)*1</f>
        <v>0</v>
      </c>
      <c r="U7" s="30">
        <f>('TUSD BE'!$V$7+'TUSD BF'!$V$7+'TUSD CVA'!$V$7)*1</f>
        <v>0</v>
      </c>
      <c r="V7" s="30">
        <f>('TUSD BE'!$W$7+'TUSD BF'!$W$7+'TUSD CVA'!$W$7)*1</f>
        <v>0</v>
      </c>
      <c r="W7" s="30">
        <f>('TUSD BE'!$X$7+'TUSD BF'!$X$7+'TUSD CVA'!$X$7)*1</f>
        <v>0</v>
      </c>
      <c r="X7" s="30">
        <f>('TUSD BE'!$Y$7+'TUSD BF'!$Y$7+'TUSD CVA'!$Y$7)*1</f>
        <v>0</v>
      </c>
      <c r="Y7" s="30">
        <f>('TUSD BE'!$Z$7+'TUSD BF'!$Z$7+'TUSD CVA'!$Z$7)*1</f>
        <v>0</v>
      </c>
      <c r="Z7" s="30">
        <f>('TUSD BE'!$AA$7+'TUSD BF'!$AA$7+'TUSD CVA'!$AA$7)*1</f>
        <v>0</v>
      </c>
      <c r="AA7" s="30">
        <f>('TUSD BE'!$AC$7+'TUSD BF'!$AC$7+'TUSD CVA'!$AC$7)*1</f>
        <v>0</v>
      </c>
      <c r="AB7" s="30">
        <f ca="1">('TUSD BE'!$AE$7+'TUSD BF'!$AE$7+'TUSD CVA'!$AE$7)*1</f>
        <v>-3.9403901540183699</v>
      </c>
      <c r="AC7" s="30">
        <f ca="1">('TUSD BE'!$AF$7+'TUSD BF'!$AF$7+'TUSD CVA'!$AF$7)*1</f>
        <v>0</v>
      </c>
      <c r="AD7" s="30">
        <f>('TUSD BE'!$AH$7+'TUSD BF'!$AH$7+'TUSD CVA'!$AH$7)*1</f>
        <v>4.4644171228536207</v>
      </c>
      <c r="AE7" s="30">
        <f>('TUSD BE'!$AI$7+'TUSD BF'!$AI$7+'TUSD CVA'!$AI$7)*1</f>
        <v>0.15894951357463408</v>
      </c>
      <c r="AF7" s="30">
        <f ca="1">('TUSD BE'!$AJ$7+'TUSD BF'!$AJ$7+'TUSD CVA'!$AJ$7)*1</f>
        <v>2.1613281807558309</v>
      </c>
      <c r="AG7" s="30">
        <f ca="1">('TUSD BE'!$AK$7+'TUSD BF'!$AK$7+'TUSD CVA'!$AK$7)*1</f>
        <v>0</v>
      </c>
      <c r="AI7" s="30">
        <v>0</v>
      </c>
      <c r="AJ7" s="30">
        <v>0.16754488374363399</v>
      </c>
      <c r="AK7" s="30">
        <v>0.20262152281548201</v>
      </c>
      <c r="AL7" s="30">
        <v>2.6042479560220402E-2</v>
      </c>
      <c r="AM7" s="30">
        <v>0</v>
      </c>
      <c r="AN7" s="30">
        <v>15.4281789425299</v>
      </c>
      <c r="AO7" s="30">
        <v>10.9728039525681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-1.8748326826998601E-2</v>
      </c>
      <c r="AZ7" s="30">
        <v>0</v>
      </c>
      <c r="BA7" s="30">
        <v>3.8703856881860101</v>
      </c>
      <c r="BB7" s="30">
        <v>0.13149867098409901</v>
      </c>
      <c r="BC7" s="30">
        <v>2.1537321648115002</v>
      </c>
      <c r="BD7" s="30">
        <v>0</v>
      </c>
    </row>
    <row r="8" spans="1:56" ht="11.25" customHeight="1" x14ac:dyDescent="0.25">
      <c r="A8" s="108"/>
      <c r="B8" s="108"/>
      <c r="C8" s="108"/>
      <c r="D8" s="108"/>
      <c r="E8" s="34" t="s">
        <v>58</v>
      </c>
      <c r="F8" s="34" t="s">
        <v>25</v>
      </c>
      <c r="G8" s="33" t="s">
        <v>98</v>
      </c>
      <c r="H8" s="33" t="s">
        <v>93</v>
      </c>
      <c r="I8" s="33">
        <f>'MERCADO TUSD'!$U$5</f>
        <v>113715.95400000001</v>
      </c>
      <c r="J8" s="15"/>
      <c r="L8" s="30">
        <f>('TUSD BE'!$L$8+'TUSD BF'!$L$8+'TUSD CVA'!$L$8)*1</f>
        <v>0</v>
      </c>
      <c r="M8" s="30">
        <f>('TUSD BE'!$M$8+'TUSD BF'!$M$8+'TUSD CVA'!$M$8)*1</f>
        <v>0.16792402085370564</v>
      </c>
      <c r="N8" s="30">
        <f ca="1">('TUSD BE'!$N$8+'TUSD BF'!$N$8+'TUSD CVA'!$N$8)*1</f>
        <v>0.18881323134621908</v>
      </c>
      <c r="O8" s="30">
        <f>('TUSD BE'!$O$8+'TUSD BF'!$O$8+'TUSD CVA'!$O$8)*1</f>
        <v>2.3178841689617181E-2</v>
      </c>
      <c r="P8" s="30">
        <f>('TUSD BE'!$P$8+'TUSD BF'!$P$8+'TUSD CVA'!$P$8)*1</f>
        <v>0</v>
      </c>
      <c r="Q8" s="30">
        <f>('TUSD BE'!$Q$8+'TUSD BF'!$Q$8+'TUSD CVA'!$Q$8)*1</f>
        <v>0</v>
      </c>
      <c r="R8" s="30">
        <f>('TUSD BE'!$R$8+'TUSD BF'!$R$8+'TUSD CVA'!$R$8)*1</f>
        <v>0</v>
      </c>
      <c r="S8" s="30">
        <f>('TUSD BE'!$S$8+'TUSD BF'!$S$8+'TUSD CVA'!$S$8)*1</f>
        <v>0</v>
      </c>
      <c r="T8" s="30">
        <f>('TUSD BE'!$U$8+'TUSD BF'!$U$8+'TUSD CVA'!$U$8)*1</f>
        <v>0</v>
      </c>
      <c r="U8" s="30">
        <f>('TUSD BE'!$V$8+'TUSD BF'!$V$8+'TUSD CVA'!$V$8)*1</f>
        <v>0</v>
      </c>
      <c r="V8" s="30">
        <f>('TUSD BE'!$W$8+'TUSD BF'!$W$8+'TUSD CVA'!$W$8)*1</f>
        <v>0</v>
      </c>
      <c r="W8" s="30">
        <f>('TUSD BE'!$X$8+'TUSD BF'!$X$8+'TUSD CVA'!$X$8)*1</f>
        <v>0</v>
      </c>
      <c r="X8" s="30">
        <f>('TUSD BE'!$Y$8+'TUSD BF'!$Y$8+'TUSD CVA'!$Y$8)*1</f>
        <v>0</v>
      </c>
      <c r="Y8" s="30">
        <f>('TUSD BE'!$Z$8+'TUSD BF'!$Z$8+'TUSD CVA'!$Z$8)*1</f>
        <v>0</v>
      </c>
      <c r="Z8" s="30">
        <f>('TUSD BE'!$AA$8+'TUSD BF'!$AA$8+'TUSD CVA'!$AA$8)*1</f>
        <v>0</v>
      </c>
      <c r="AA8" s="30">
        <f>('TUSD BE'!$AC$8+'TUSD BF'!$AC$8+'TUSD CVA'!$AC$8)*1</f>
        <v>0</v>
      </c>
      <c r="AB8" s="30">
        <f ca="1">('TUSD BE'!$AE$8+'TUSD BF'!$AE$8+'TUSD CVA'!$AE$8)*1</f>
        <v>-0.59888466635274606</v>
      </c>
      <c r="AC8" s="30">
        <f ca="1">('TUSD BE'!$AF$8+'TUSD BF'!$AF$8+'TUSD CVA'!$AF$8)*1</f>
        <v>0</v>
      </c>
      <c r="AD8" s="30">
        <f>('TUSD BE'!$AH$8+'TUSD BF'!$AH$8+'TUSD CVA'!$AH$8)*1</f>
        <v>4.4644171228536207</v>
      </c>
      <c r="AE8" s="30">
        <f>('TUSD BE'!$AI$8+'TUSD BF'!$AI$8+'TUSD CVA'!$AI$8)*1</f>
        <v>0.15894951357463408</v>
      </c>
      <c r="AF8" s="30">
        <f ca="1">('TUSD BE'!$AJ$8+'TUSD BF'!$AJ$8+'TUSD CVA'!$AJ$8)*1</f>
        <v>2.1613281807558309</v>
      </c>
      <c r="AG8" s="30">
        <f ca="1">('TUSD BE'!$AK$8+'TUSD BF'!$AK$8+'TUSD CVA'!$AK$8)*1</f>
        <v>0</v>
      </c>
      <c r="AI8" s="30">
        <v>0</v>
      </c>
      <c r="AJ8" s="30">
        <v>0.16754488374363399</v>
      </c>
      <c r="AK8" s="30">
        <v>0.18780372616777</v>
      </c>
      <c r="AL8" s="30">
        <v>2.6042479560220402E-2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-3.5721963135038701E-3</v>
      </c>
      <c r="AZ8" s="30">
        <v>0</v>
      </c>
      <c r="BA8" s="30">
        <v>3.8703856881860101</v>
      </c>
      <c r="BB8" s="30">
        <v>0.13149867098409901</v>
      </c>
      <c r="BC8" s="30">
        <v>2.1537321648115002</v>
      </c>
      <c r="BD8" s="30">
        <v>0</v>
      </c>
    </row>
    <row r="9" spans="1:56" ht="11.25" customHeight="1" x14ac:dyDescent="0.25">
      <c r="A9" s="108"/>
      <c r="B9" s="108" t="s">
        <v>61</v>
      </c>
      <c r="C9" s="108" t="s">
        <v>25</v>
      </c>
      <c r="D9" s="108" t="s">
        <v>25</v>
      </c>
      <c r="E9" s="108" t="s">
        <v>25</v>
      </c>
      <c r="F9" s="108" t="s">
        <v>65</v>
      </c>
      <c r="G9" s="33" t="s">
        <v>100</v>
      </c>
      <c r="H9" s="33" t="s">
        <v>99</v>
      </c>
      <c r="I9" s="33">
        <f>'MERCADO TUSD'!$U$6</f>
        <v>0</v>
      </c>
      <c r="J9" s="15"/>
      <c r="L9" s="30">
        <f>('TUSD BE'!$L$9+'TUSD BF'!$L$9+'TUSD CVA'!$L$9)*1</f>
        <v>0</v>
      </c>
      <c r="M9" s="30">
        <f>('TUSD BE'!$M$9+'TUSD BF'!$M$9+'TUSD CVA'!$M$9)*1</f>
        <v>0</v>
      </c>
      <c r="N9" s="30">
        <f ca="1">('TUSD BE'!$N$9+'TUSD BF'!$N$9+'TUSD CVA'!$N$9)*1</f>
        <v>0</v>
      </c>
      <c r="O9" s="30">
        <f>('TUSD BE'!$O$9+'TUSD BF'!$O$9+'TUSD CVA'!$O$9)*1</f>
        <v>0</v>
      </c>
      <c r="P9" s="30">
        <f>('TUSD BE'!$P$9+'TUSD BF'!$P$9+'TUSD CVA'!$P$9)*1</f>
        <v>0</v>
      </c>
      <c r="Q9" s="30">
        <f>('TUSD BE'!$Q$9+'TUSD BF'!$Q$9+'TUSD CVA'!$Q$9)*1</f>
        <v>0</v>
      </c>
      <c r="R9" s="30">
        <f>('TUSD BE'!$R$9+'TUSD BF'!$R$9+'TUSD CVA'!$R$9)*1</f>
        <v>0</v>
      </c>
      <c r="S9" s="30">
        <f>('TUSD BE'!$S$9+'TUSD BF'!$S$9+'TUSD CVA'!$S$9)*1</f>
        <v>0</v>
      </c>
      <c r="T9" s="30">
        <f>('TUSD BE'!$U$9+'TUSD BF'!$U$9+'TUSD CVA'!$U$9)*1</f>
        <v>7.1758311457495072</v>
      </c>
      <c r="U9" s="30">
        <f>('TUSD BE'!$V$9+'TUSD BF'!$V$9+'TUSD CVA'!$V$9)*1</f>
        <v>1.1697596146738309</v>
      </c>
      <c r="V9" s="30">
        <f>('TUSD BE'!$W$9+'TUSD BF'!$W$9+'TUSD CVA'!$W$9)*1</f>
        <v>0.98567549352798178</v>
      </c>
      <c r="W9" s="30">
        <f>('TUSD BE'!$X$9+'TUSD BF'!$X$9+'TUSD CVA'!$X$9)*1</f>
        <v>0</v>
      </c>
      <c r="X9" s="30">
        <f>('TUSD BE'!$Y$9+'TUSD BF'!$Y$9+'TUSD CVA'!$Y$9)*1</f>
        <v>0</v>
      </c>
      <c r="Y9" s="30">
        <f>('TUSD BE'!$Z$9+'TUSD BF'!$Z$9+'TUSD CVA'!$Z$9)*1</f>
        <v>0</v>
      </c>
      <c r="Z9" s="30">
        <f>('TUSD BE'!$AA$9+'TUSD BF'!$AA$9+'TUSD CVA'!$AA$9)*1</f>
        <v>0</v>
      </c>
      <c r="AA9" s="30">
        <f>('TUSD BE'!$AC$9+'TUSD BF'!$AC$9+'TUSD CVA'!$AC$9)*1</f>
        <v>24.590053520853818</v>
      </c>
      <c r="AB9" s="30">
        <f>('TUSD BE'!$AE$9+'TUSD BF'!$AE$9+'TUSD CVA'!$AE$9)*1</f>
        <v>0</v>
      </c>
      <c r="AC9" s="30">
        <f ca="1">('TUSD BE'!$AF$9+'TUSD BF'!$AF$9+'TUSD CVA'!$AF$9)*1</f>
        <v>0</v>
      </c>
      <c r="AD9" s="30">
        <f>('TUSD BE'!$AH$9+'TUSD BF'!$AH$9+'TUSD CVA'!$AH$9)*1</f>
        <v>0</v>
      </c>
      <c r="AE9" s="30">
        <f>('TUSD BE'!$AI$9+'TUSD BF'!$AI$9+'TUSD CVA'!$AI$9)*1</f>
        <v>0</v>
      </c>
      <c r="AF9" s="30">
        <f ca="1">('TUSD BE'!$AJ$9+'TUSD BF'!$AJ$9+'TUSD CVA'!$AJ$9)*1</f>
        <v>0</v>
      </c>
      <c r="AG9" s="30">
        <f ca="1">('TUSD BE'!$AK$9+'TUSD BF'!$AK$9+'TUSD CVA'!$AK$9)*1</f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0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0</v>
      </c>
    </row>
    <row r="10" spans="1:56" ht="11.25" customHeight="1" x14ac:dyDescent="0.25">
      <c r="A10" s="108"/>
      <c r="B10" s="108"/>
      <c r="C10" s="108"/>
      <c r="D10" s="108"/>
      <c r="E10" s="108"/>
      <c r="F10" s="108"/>
      <c r="G10" s="33" t="s">
        <v>101</v>
      </c>
      <c r="H10" s="33" t="s">
        <v>99</v>
      </c>
      <c r="I10" s="33">
        <f>'MERCADO TUSD'!$U$7</f>
        <v>0</v>
      </c>
      <c r="J10" s="15"/>
      <c r="L10" s="30">
        <f>('TUSD BE'!$L$10+'TUSD BF'!$L$10+'TUSD CVA'!$L$10)*1</f>
        <v>0</v>
      </c>
      <c r="M10" s="30">
        <f>('TUSD BE'!$M$10+'TUSD BF'!$M$10+'TUSD CVA'!$M$10)*1</f>
        <v>0</v>
      </c>
      <c r="N10" s="30">
        <f ca="1">('TUSD BE'!$N$10+'TUSD BF'!$N$10+'TUSD CVA'!$N$10)*1</f>
        <v>0</v>
      </c>
      <c r="O10" s="30">
        <f>('TUSD BE'!$O$10+'TUSD BF'!$O$10+'TUSD CVA'!$O$10)*1</f>
        <v>0</v>
      </c>
      <c r="P10" s="30">
        <f>('TUSD BE'!$P$10+'TUSD BF'!$P$10+'TUSD CVA'!$P$10)*1</f>
        <v>0</v>
      </c>
      <c r="Q10" s="30">
        <f>('TUSD BE'!$Q$10+'TUSD BF'!$Q$10+'TUSD CVA'!$Q$10)*1</f>
        <v>0</v>
      </c>
      <c r="R10" s="30">
        <f>('TUSD BE'!$R$10+'TUSD BF'!$R$10+'TUSD CVA'!$R$10)*1</f>
        <v>0</v>
      </c>
      <c r="S10" s="30">
        <f>('TUSD BE'!$S$10+'TUSD BF'!$S$10+'TUSD CVA'!$S$10)*1</f>
        <v>0</v>
      </c>
      <c r="T10" s="30">
        <f>('TUSD BE'!$U$10+'TUSD BF'!$U$10+'TUSD CVA'!$U$10)*1</f>
        <v>6.8608169591027153</v>
      </c>
      <c r="U10" s="30">
        <f>('TUSD BE'!$V$10+'TUSD BF'!$V$10+'TUSD CVA'!$V$10)*1</f>
        <v>1.1417547516159281</v>
      </c>
      <c r="V10" s="30">
        <f>('TUSD BE'!$W$10+'TUSD BF'!$W$10+'TUSD CVA'!$W$10)*1</f>
        <v>0.79040164795466739</v>
      </c>
      <c r="W10" s="30">
        <f>('TUSD BE'!$X$10+'TUSD BF'!$X$10+'TUSD CVA'!$X$10)*1</f>
        <v>0</v>
      </c>
      <c r="X10" s="30">
        <f>('TUSD BE'!$Y$10+'TUSD BF'!$Y$10+'TUSD CVA'!$Y$10)*1</f>
        <v>0</v>
      </c>
      <c r="Y10" s="30">
        <f>('TUSD BE'!$Z$10+'TUSD BF'!$Z$10+'TUSD CVA'!$Z$10)*1</f>
        <v>0</v>
      </c>
      <c r="Z10" s="30">
        <f>('TUSD BE'!$AA$10+'TUSD BF'!$AA$10+'TUSD CVA'!$AA$10)*1</f>
        <v>0</v>
      </c>
      <c r="AA10" s="30">
        <f>('TUSD BE'!$AC$10+'TUSD BF'!$AC$10+'TUSD CVA'!$AC$10)*1</f>
        <v>2.9949479843013611</v>
      </c>
      <c r="AB10" s="30">
        <f>('TUSD BE'!$AE$10+'TUSD BF'!$AE$10+'TUSD CVA'!$AE$10)*1</f>
        <v>0</v>
      </c>
      <c r="AC10" s="30">
        <f ca="1">('TUSD BE'!$AF$10+'TUSD BF'!$AF$10+'TUSD CVA'!$AF$10)*1</f>
        <v>0</v>
      </c>
      <c r="AD10" s="30">
        <f>('TUSD BE'!$AH$10+'TUSD BF'!$AH$10+'TUSD CVA'!$AH$10)*1</f>
        <v>0</v>
      </c>
      <c r="AE10" s="30">
        <f>('TUSD BE'!$AI$10+'TUSD BF'!$AI$10+'TUSD CVA'!$AI$10)*1</f>
        <v>0</v>
      </c>
      <c r="AF10" s="30">
        <f ca="1">('TUSD BE'!$AJ$10+'TUSD BF'!$AJ$10+'TUSD CVA'!$AJ$10)*1</f>
        <v>0</v>
      </c>
      <c r="AG10" s="30">
        <f ca="1">('TUSD BE'!$AK$10+'TUSD BF'!$AK$10+'TUSD CVA'!$AK$10)*1</f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</row>
    <row r="11" spans="1:56" ht="11.25" customHeight="1" x14ac:dyDescent="0.25">
      <c r="A11" s="108"/>
      <c r="B11" s="108"/>
      <c r="C11" s="108"/>
      <c r="D11" s="108"/>
      <c r="E11" s="108"/>
      <c r="F11" s="108"/>
      <c r="G11" s="33" t="s">
        <v>98</v>
      </c>
      <c r="H11" s="33" t="s">
        <v>93</v>
      </c>
      <c r="I11" s="33">
        <f>'MERCADO TUSD'!$U$8</f>
        <v>0</v>
      </c>
      <c r="J11" s="15"/>
      <c r="L11" s="30">
        <f>('TUSD BE'!$L$11+'TUSD BF'!$L$11+'TUSD CVA'!$L$11)*1</f>
        <v>0</v>
      </c>
      <c r="M11" s="30">
        <f>('TUSD BE'!$M$11+'TUSD BF'!$M$11+'TUSD CVA'!$M$11)*1</f>
        <v>0</v>
      </c>
      <c r="N11" s="30">
        <f ca="1">('TUSD BE'!$N$11+'TUSD BF'!$N$11+'TUSD CVA'!$N$11)*1</f>
        <v>0</v>
      </c>
      <c r="O11" s="30">
        <f>('TUSD BE'!$O$11+'TUSD BF'!$O$11+'TUSD CVA'!$O$11)*1</f>
        <v>0</v>
      </c>
      <c r="P11" s="30">
        <f>('TUSD BE'!$P$11+'TUSD BF'!$P$11+'TUSD CVA'!$P$11)*1</f>
        <v>0</v>
      </c>
      <c r="Q11" s="30">
        <f>('TUSD BE'!$Q$11+'TUSD BF'!$Q$11+'TUSD CVA'!$Q$11)*1</f>
        <v>0</v>
      </c>
      <c r="R11" s="30">
        <f>('TUSD BE'!$R$11+'TUSD BF'!$R$11+'TUSD CVA'!$R$11)*1</f>
        <v>0</v>
      </c>
      <c r="S11" s="30">
        <f>('TUSD BE'!$S$11+'TUSD BF'!$S$11+'TUSD CVA'!$S$11)*1</f>
        <v>0</v>
      </c>
      <c r="T11" s="30">
        <f>('TUSD BE'!$U$11+'TUSD BF'!$U$11+'TUSD CVA'!$U$11)*1</f>
        <v>0</v>
      </c>
      <c r="U11" s="30">
        <f>('TUSD BE'!$V$11+'TUSD BF'!$V$11+'TUSD CVA'!$V$11)*1</f>
        <v>0</v>
      </c>
      <c r="V11" s="30">
        <f>('TUSD BE'!$W$11+'TUSD BF'!$W$11+'TUSD CVA'!$W$11)*1</f>
        <v>0</v>
      </c>
      <c r="W11" s="30">
        <f>('TUSD BE'!$X$11+'TUSD BF'!$X$11+'TUSD CVA'!$X$11)*1</f>
        <v>0</v>
      </c>
      <c r="X11" s="30">
        <f>('TUSD BE'!$Y$11+'TUSD BF'!$Y$11+'TUSD CVA'!$Y$11)*1</f>
        <v>0</v>
      </c>
      <c r="Y11" s="30">
        <f>('TUSD BE'!$Z$11+'TUSD BF'!$Z$11+'TUSD CVA'!$Z$11)*1</f>
        <v>0</v>
      </c>
      <c r="Z11" s="30">
        <f>('TUSD BE'!$AA$11+'TUSD BF'!$AA$11+'TUSD CVA'!$AA$11)*1</f>
        <v>0</v>
      </c>
      <c r="AA11" s="30">
        <f>('TUSD BE'!$AC$11+'TUSD BF'!$AC$11+'TUSD CVA'!$AC$11)*1</f>
        <v>0</v>
      </c>
      <c r="AB11" s="30">
        <f>('TUSD BE'!$AE$11+'TUSD BF'!$AE$11+'TUSD CVA'!$AE$11)*1</f>
        <v>0</v>
      </c>
      <c r="AC11" s="30">
        <f ca="1">('TUSD BE'!$AF$11+'TUSD BF'!$AF$11+'TUSD CVA'!$AF$11)*1</f>
        <v>0</v>
      </c>
      <c r="AD11" s="30">
        <f>('TUSD BE'!$AH$11+'TUSD BF'!$AH$11+'TUSD CVA'!$AH$11)*1</f>
        <v>4.4644171228536207</v>
      </c>
      <c r="AE11" s="30">
        <f>('TUSD BE'!$AI$11+'TUSD BF'!$AI$11+'TUSD CVA'!$AI$11)*1</f>
        <v>0.15894951357463408</v>
      </c>
      <c r="AF11" s="30">
        <f ca="1">('TUSD BE'!$AJ$11+'TUSD BF'!$AJ$11+'TUSD CVA'!$AJ$11)*1</f>
        <v>0</v>
      </c>
      <c r="AG11" s="30">
        <f ca="1">('TUSD BE'!$AK$11+'TUSD BF'!$AK$11+'TUSD CVA'!$AK$11)*1</f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</row>
    <row r="12" spans="1:56" ht="11.25" customHeight="1" x14ac:dyDescent="0.25">
      <c r="A12" s="108"/>
      <c r="B12" s="34" t="s">
        <v>69</v>
      </c>
      <c r="C12" s="34" t="s">
        <v>25</v>
      </c>
      <c r="D12" s="34" t="s">
        <v>25</v>
      </c>
      <c r="E12" s="34" t="s">
        <v>25</v>
      </c>
      <c r="F12" s="34" t="s">
        <v>25</v>
      </c>
      <c r="G12" s="33" t="s">
        <v>9</v>
      </c>
      <c r="H12" s="33" t="s">
        <v>99</v>
      </c>
      <c r="I12" s="33">
        <f>'MERCADO TUSD'!$U$9</f>
        <v>669852</v>
      </c>
      <c r="J12" s="15"/>
      <c r="L12" s="30">
        <f>('TUSD BE'!$L$12+'TUSD BF'!$L$12+'TUSD CVA'!$L$12)*1</f>
        <v>0</v>
      </c>
      <c r="M12" s="30">
        <f>('TUSD BE'!$M$12+'TUSD BF'!$M$12+'TUSD CVA'!$M$12)*1</f>
        <v>0.17095245172609122</v>
      </c>
      <c r="N12" s="30">
        <f ca="1">('TUSD BE'!$N$12+'TUSD BF'!$N$12+'TUSD CVA'!$N$12)*1</f>
        <v>6.6774647798054268E-2</v>
      </c>
      <c r="O12" s="30">
        <f>('TUSD BE'!$O$12+'TUSD BF'!$O$12+'TUSD CVA'!$O$12)*1</f>
        <v>7.3636069817959301E-3</v>
      </c>
      <c r="P12" s="30">
        <f>('TUSD BE'!$P$12+'TUSD BF'!$P$12+'TUSD CVA'!$P$12)*1</f>
        <v>0</v>
      </c>
      <c r="Q12" s="30">
        <f>('TUSD BE'!$Q$12+'TUSD BF'!$Q$12+'TUSD CVA'!$Q$12)*1</f>
        <v>0</v>
      </c>
      <c r="R12" s="30">
        <f>('TUSD BE'!$R$12+'TUSD BF'!$R$12+'TUSD CVA'!$R$12)*1</f>
        <v>0</v>
      </c>
      <c r="S12" s="30">
        <f>('TUSD BE'!$S$12+'TUSD BF'!$S$12+'TUSD CVA'!$S$12)*1</f>
        <v>0</v>
      </c>
      <c r="T12" s="30">
        <f>('TUSD BE'!$U$12+'TUSD BF'!$U$12+'TUSD CVA'!$U$12)*1</f>
        <v>0</v>
      </c>
      <c r="U12" s="30">
        <f>('TUSD BE'!$V$12+'TUSD BF'!$V$12+'TUSD CVA'!$V$12)*1</f>
        <v>0</v>
      </c>
      <c r="V12" s="30">
        <f>('TUSD BE'!$W$12+'TUSD BF'!$W$12+'TUSD CVA'!$W$12)*1</f>
        <v>0.4429655266881109</v>
      </c>
      <c r="W12" s="30">
        <f>('TUSD BE'!$X$12+'TUSD BF'!$X$12+'TUSD CVA'!$X$12)*1</f>
        <v>0</v>
      </c>
      <c r="X12" s="30">
        <f>('TUSD BE'!$Y$12+'TUSD BF'!$Y$12+'TUSD CVA'!$Y$12)*1</f>
        <v>0</v>
      </c>
      <c r="Y12" s="30">
        <f>('TUSD BE'!$Z$12+'TUSD BF'!$Z$12+'TUSD CVA'!$Z$12)*1</f>
        <v>0</v>
      </c>
      <c r="Z12" s="30">
        <f>('TUSD BE'!$AA$12+'TUSD BF'!$AA$12+'TUSD CVA'!$AA$12)*1</f>
        <v>0</v>
      </c>
      <c r="AA12" s="30">
        <f>('TUSD BE'!$AC$12+'TUSD BF'!$AC$12+'TUSD CVA'!$AC$12)*1</f>
        <v>12.016446317133292</v>
      </c>
      <c r="AB12" s="30">
        <f ca="1">('TUSD BE'!$AE$12+'TUSD BF'!$AE$12+'TUSD CVA'!$AE$12)*1</f>
        <v>-1.1206524409606076</v>
      </c>
      <c r="AC12" s="30">
        <f ca="1">('TUSD BE'!$AF$12+'TUSD BF'!$AF$12+'TUSD CVA'!$AF$12)*1</f>
        <v>0</v>
      </c>
      <c r="AD12" s="30">
        <f>('TUSD BE'!$AH$12+'TUSD BF'!$AH$12+'TUSD CVA'!$AH$12)*1</f>
        <v>1.127793774904349</v>
      </c>
      <c r="AE12" s="30">
        <f>('TUSD BE'!$AI$12+'TUSD BF'!$AI$12+'TUSD CVA'!$AI$12)*1</f>
        <v>0.24430662213709678</v>
      </c>
      <c r="AF12" s="30">
        <f ca="1">('TUSD BE'!$AJ$12+'TUSD BF'!$AJ$12+'TUSD CVA'!$AJ$12)*1</f>
        <v>0</v>
      </c>
      <c r="AG12" s="30">
        <f ca="1">('TUSD BE'!$AK$12+'TUSD BF'!$AK$12+'TUSD CVA'!$AK$12)*1</f>
        <v>0</v>
      </c>
      <c r="AI12" s="30">
        <v>0</v>
      </c>
      <c r="AJ12" s="30">
        <v>0.15724096556375</v>
      </c>
      <c r="AK12" s="30">
        <v>5.8209228965833797E-2</v>
      </c>
      <c r="AL12" s="30">
        <v>6.8689484415873298E-3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0.385957578409307</v>
      </c>
      <c r="AT12" s="30">
        <v>0</v>
      </c>
      <c r="AU12" s="30">
        <v>0</v>
      </c>
      <c r="AV12" s="30">
        <v>0</v>
      </c>
      <c r="AW12" s="30">
        <v>0</v>
      </c>
      <c r="AX12" s="30">
        <v>8.75322183709741</v>
      </c>
      <c r="AY12" s="30">
        <v>-6.40530375137919E-3</v>
      </c>
      <c r="AZ12" s="30">
        <v>0</v>
      </c>
      <c r="BA12" s="30">
        <v>0.984587374550149</v>
      </c>
      <c r="BB12" s="30">
        <v>0.21328475207764</v>
      </c>
      <c r="BC12" s="30">
        <v>0</v>
      </c>
      <c r="BD12" s="30">
        <v>0</v>
      </c>
    </row>
    <row r="13" spans="1:56" ht="11.25" customHeight="1" x14ac:dyDescent="0.25">
      <c r="A13" s="108" t="s">
        <v>41</v>
      </c>
      <c r="B13" s="108" t="s">
        <v>40</v>
      </c>
      <c r="C13" s="108" t="s">
        <v>25</v>
      </c>
      <c r="D13" s="108" t="s">
        <v>25</v>
      </c>
      <c r="E13" s="108" t="s">
        <v>25</v>
      </c>
      <c r="F13" s="108" t="s">
        <v>25</v>
      </c>
      <c r="G13" s="33" t="s">
        <v>100</v>
      </c>
      <c r="H13" s="33" t="s">
        <v>99</v>
      </c>
      <c r="I13" s="33">
        <f>'MERCADO TUSD'!$U$10</f>
        <v>581354</v>
      </c>
      <c r="J13" s="15"/>
      <c r="L13" s="30">
        <f>('TUSD BE'!$L$13+'TUSD BF'!$L$13+'TUSD CVA'!$L$13)*1</f>
        <v>0</v>
      </c>
      <c r="M13" s="30">
        <f>('TUSD BE'!$M$13+'TUSD BF'!$M$13+'TUSD CVA'!$M$13)*1</f>
        <v>0</v>
      </c>
      <c r="N13" s="30">
        <f ca="1">('TUSD BE'!$N$13+'TUSD BF'!$N$13+'TUSD CVA'!$N$13)*1</f>
        <v>0</v>
      </c>
      <c r="O13" s="30">
        <f>('TUSD BE'!$O$13+'TUSD BF'!$O$13+'TUSD CVA'!$O$13)*1</f>
        <v>0</v>
      </c>
      <c r="P13" s="30">
        <f>('TUSD BE'!$P$13+'TUSD BF'!$P$13+'TUSD CVA'!$P$13)*1</f>
        <v>0</v>
      </c>
      <c r="Q13" s="30">
        <f>('TUSD BE'!$Q$13+'TUSD BF'!$Q$13+'TUSD CVA'!$Q$13)*1</f>
        <v>0</v>
      </c>
      <c r="R13" s="30">
        <f>('TUSD BE'!$R$13+'TUSD BF'!$R$13+'TUSD CVA'!$R$13)*1</f>
        <v>0</v>
      </c>
      <c r="S13" s="30">
        <f>('TUSD BE'!$S$13+'TUSD BF'!$S$13+'TUSD CVA'!$S$13)*1</f>
        <v>0</v>
      </c>
      <c r="T13" s="30">
        <f>('TUSD BE'!$U$13+'TUSD BF'!$U$13+'TUSD CVA'!$U$13)*1</f>
        <v>6.5330010348273149</v>
      </c>
      <c r="U13" s="30">
        <f>('TUSD BE'!$V$13+'TUSD BF'!$V$13+'TUSD CVA'!$V$13)*1</f>
        <v>1.1446841305968802</v>
      </c>
      <c r="V13" s="30">
        <f>('TUSD BE'!$W$13+'TUSD BF'!$W$13+'TUSD CVA'!$W$13)*1</f>
        <v>1.233159066794969</v>
      </c>
      <c r="W13" s="30">
        <f>('TUSD BE'!$X$13+'TUSD BF'!$X$13+'TUSD CVA'!$X$13)*1</f>
        <v>0</v>
      </c>
      <c r="X13" s="30">
        <f>('TUSD BE'!$Y$13+'TUSD BF'!$Y$13+'TUSD CVA'!$Y$13)*1</f>
        <v>0</v>
      </c>
      <c r="Y13" s="30">
        <f>('TUSD BE'!$Z$13+'TUSD BF'!$Z$13+'TUSD CVA'!$Z$13)*1</f>
        <v>0</v>
      </c>
      <c r="Z13" s="30">
        <f>('TUSD BE'!$AA$13+'TUSD BF'!$AA$13+'TUSD CVA'!$AA$13)*1</f>
        <v>0</v>
      </c>
      <c r="AA13" s="30">
        <f>('TUSD BE'!$AC$13+'TUSD BF'!$AC$13+'TUSD CVA'!$AC$13)*1</f>
        <v>70.348008152632332</v>
      </c>
      <c r="AB13" s="30">
        <f ca="1">('TUSD BE'!$AE$13+'TUSD BF'!$AE$13+'TUSD CVA'!$AE$13)*1</f>
        <v>-6.1759820587548768</v>
      </c>
      <c r="AC13" s="30">
        <f ca="1">('TUSD BE'!$AF$13+'TUSD BF'!$AF$13+'TUSD CVA'!$AF$13)*1</f>
        <v>0</v>
      </c>
      <c r="AD13" s="30">
        <f>('TUSD BE'!$AH$13+'TUSD BF'!$AH$13+'TUSD CVA'!$AH$13)*1</f>
        <v>0</v>
      </c>
      <c r="AE13" s="30">
        <f>('TUSD BE'!$AI$13+'TUSD BF'!$AI$13+'TUSD CVA'!$AI$13)*1</f>
        <v>0</v>
      </c>
      <c r="AF13" s="30">
        <f ca="1">('TUSD BE'!$AJ$13+'TUSD BF'!$AJ$13+'TUSD CVA'!$AJ$13)*1</f>
        <v>0</v>
      </c>
      <c r="AG13" s="30">
        <f ca="1">('TUSD BE'!$AK$13+'TUSD BF'!$AK$13+'TUSD CVA'!$AK$13)*1</f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  <c r="AQ13" s="30">
        <v>6.7126751401568496</v>
      </c>
      <c r="AR13" s="30">
        <v>1.75842498864031</v>
      </c>
      <c r="AS13" s="30">
        <v>0.83761756676308297</v>
      </c>
      <c r="AT13" s="30">
        <v>0</v>
      </c>
      <c r="AU13" s="30">
        <v>0</v>
      </c>
      <c r="AV13" s="30">
        <v>0</v>
      </c>
      <c r="AW13" s="30">
        <v>0</v>
      </c>
      <c r="AX13" s="30">
        <v>52.963273947382902</v>
      </c>
      <c r="AY13" s="30">
        <v>-3.7548762866427901E-2</v>
      </c>
      <c r="AZ13" s="30">
        <v>0</v>
      </c>
      <c r="BA13" s="30">
        <v>0</v>
      </c>
      <c r="BB13" s="30">
        <v>0</v>
      </c>
      <c r="BC13" s="30">
        <v>0</v>
      </c>
      <c r="BD13" s="30">
        <v>0</v>
      </c>
    </row>
    <row r="14" spans="1:56" ht="11.25" customHeight="1" x14ac:dyDescent="0.25">
      <c r="A14" s="108"/>
      <c r="B14" s="108"/>
      <c r="C14" s="108"/>
      <c r="D14" s="108"/>
      <c r="E14" s="108"/>
      <c r="F14" s="108"/>
      <c r="G14" s="33" t="s">
        <v>101</v>
      </c>
      <c r="H14" s="33" t="s">
        <v>99</v>
      </c>
      <c r="I14" s="33">
        <f>'MERCADO TUSD'!$U$11</f>
        <v>707974</v>
      </c>
      <c r="J14" s="15"/>
      <c r="L14" s="30">
        <f>('TUSD BE'!$L$14+'TUSD BF'!$L$14+'TUSD CVA'!$L$14)*1</f>
        <v>0</v>
      </c>
      <c r="M14" s="30">
        <f>('TUSD BE'!$M$14+'TUSD BF'!$M$14+'TUSD CVA'!$M$14)*1</f>
        <v>0</v>
      </c>
      <c r="N14" s="30">
        <f ca="1">('TUSD BE'!$N$14+'TUSD BF'!$N$14+'TUSD CVA'!$N$14)*1</f>
        <v>0</v>
      </c>
      <c r="O14" s="30">
        <f>('TUSD BE'!$O$14+'TUSD BF'!$O$14+'TUSD CVA'!$O$14)*1</f>
        <v>0</v>
      </c>
      <c r="P14" s="30">
        <f>('TUSD BE'!$P$14+'TUSD BF'!$P$14+'TUSD CVA'!$P$14)*1</f>
        <v>0</v>
      </c>
      <c r="Q14" s="30">
        <f>('TUSD BE'!$Q$14+'TUSD BF'!$Q$14+'TUSD CVA'!$Q$14)*1</f>
        <v>0</v>
      </c>
      <c r="R14" s="30">
        <f>('TUSD BE'!$R$14+'TUSD BF'!$R$14+'TUSD CVA'!$R$14)*1</f>
        <v>0</v>
      </c>
      <c r="S14" s="30">
        <f>('TUSD BE'!$S$14+'TUSD BF'!$S$14+'TUSD CVA'!$S$14)*1</f>
        <v>0</v>
      </c>
      <c r="T14" s="30">
        <f>('TUSD BE'!$U$14+'TUSD BF'!$U$14+'TUSD CVA'!$U$14)*1</f>
        <v>6.5768927066968237</v>
      </c>
      <c r="U14" s="30">
        <f>('TUSD BE'!$V$14+'TUSD BF'!$V$14+'TUSD CVA'!$V$14)*1</f>
        <v>1.166947410852117</v>
      </c>
      <c r="V14" s="30">
        <f>('TUSD BE'!$W$14+'TUSD BF'!$W$14+'TUSD CVA'!$W$14)*1</f>
        <v>0.91311816803224288</v>
      </c>
      <c r="W14" s="30">
        <f>('TUSD BE'!$X$14+'TUSD BF'!$X$14+'TUSD CVA'!$X$14)*1</f>
        <v>0</v>
      </c>
      <c r="X14" s="30">
        <f>('TUSD BE'!$Y$14+'TUSD BF'!$Y$14+'TUSD CVA'!$Y$14)*1</f>
        <v>0</v>
      </c>
      <c r="Y14" s="30">
        <f>('TUSD BE'!$Z$14+'TUSD BF'!$Z$14+'TUSD CVA'!$Z$14)*1</f>
        <v>0</v>
      </c>
      <c r="Z14" s="30">
        <f>('TUSD BE'!$AA$14+'TUSD BF'!$AA$14+'TUSD CVA'!$AA$14)*1</f>
        <v>0</v>
      </c>
      <c r="AA14" s="30">
        <f>('TUSD BE'!$AC$14+'TUSD BF'!$AC$14+'TUSD CVA'!$AC$14)*1</f>
        <v>20.132985794346975</v>
      </c>
      <c r="AB14" s="30">
        <f ca="1">('TUSD BE'!$AE$14+'TUSD BF'!$AE$14+'TUSD CVA'!$AE$14)*1</f>
        <v>-2.1918694332876352</v>
      </c>
      <c r="AC14" s="30">
        <f ca="1">('TUSD BE'!$AF$14+'TUSD BF'!$AF$14+'TUSD CVA'!$AF$14)*1</f>
        <v>0</v>
      </c>
      <c r="AD14" s="30">
        <f>('TUSD BE'!$AH$14+'TUSD BF'!$AH$14+'TUSD CVA'!$AH$14)*1</f>
        <v>0</v>
      </c>
      <c r="AE14" s="30">
        <f>('TUSD BE'!$AI$14+'TUSD BF'!$AI$14+'TUSD CVA'!$AI$14)*1</f>
        <v>0</v>
      </c>
      <c r="AF14" s="30">
        <f ca="1">('TUSD BE'!$AJ$14+'TUSD BF'!$AJ$14+'TUSD CVA'!$AJ$14)*1</f>
        <v>0</v>
      </c>
      <c r="AG14" s="30">
        <f ca="1">('TUSD BE'!$AK$14+'TUSD BF'!$AK$14+'TUSD CVA'!$AK$14)*1</f>
        <v>0</v>
      </c>
      <c r="AI14" s="30">
        <v>0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6.7577739443737297</v>
      </c>
      <c r="AR14" s="30">
        <v>1.79262508566576</v>
      </c>
      <c r="AS14" s="30">
        <v>0.62023127321456695</v>
      </c>
      <c r="AT14" s="30">
        <v>0</v>
      </c>
      <c r="AU14" s="30">
        <v>0</v>
      </c>
      <c r="AV14" s="30">
        <v>0</v>
      </c>
      <c r="AW14" s="30">
        <v>0</v>
      </c>
      <c r="AX14" s="30">
        <v>15.157626633738101</v>
      </c>
      <c r="AY14" s="30">
        <v>-1.40626695208254E-2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</row>
    <row r="15" spans="1:56" ht="11.25" customHeight="1" x14ac:dyDescent="0.25">
      <c r="A15" s="108"/>
      <c r="B15" s="108"/>
      <c r="C15" s="108"/>
      <c r="D15" s="108"/>
      <c r="E15" s="108"/>
      <c r="F15" s="108"/>
      <c r="G15" s="33" t="s">
        <v>98</v>
      </c>
      <c r="H15" s="33" t="s">
        <v>93</v>
      </c>
      <c r="I15" s="33">
        <f>'MERCADO TUSD'!$U$12</f>
        <v>288844.44</v>
      </c>
      <c r="J15" s="15"/>
      <c r="L15" s="30">
        <f>('TUSD BE'!$L$15+'TUSD BF'!$L$15+'TUSD CVA'!$L$15)*1</f>
        <v>3.3790499222838921</v>
      </c>
      <c r="M15" s="30">
        <f>('TUSD BE'!$M$15+'TUSD BF'!$M$15+'TUSD CVA'!$M$15)*1</f>
        <v>0.74976696047971558</v>
      </c>
      <c r="N15" s="30">
        <f ca="1">('TUSD BE'!$N$15+'TUSD BF'!$N$15+'TUSD CVA'!$N$15)*1</f>
        <v>0.47822580772545698</v>
      </c>
      <c r="O15" s="30">
        <f>('TUSD BE'!$O$15+'TUSD BF'!$O$15+'TUSD CVA'!$O$15)*1</f>
        <v>2.3178841689617181E-2</v>
      </c>
      <c r="P15" s="30">
        <f>('TUSD BE'!$P$15+'TUSD BF'!$P$15+'TUSD CVA'!$P$15)*1</f>
        <v>0</v>
      </c>
      <c r="Q15" s="30">
        <f>('TUSD BE'!$Q$15+'TUSD BF'!$Q$15+'TUSD CVA'!$Q$15)*1</f>
        <v>32.880384258105224</v>
      </c>
      <c r="R15" s="30">
        <f>('TUSD BE'!$R$15+'TUSD BF'!$R$15+'TUSD CVA'!$R$15)*1</f>
        <v>15.944062081967184</v>
      </c>
      <c r="S15" s="30">
        <f>('TUSD BE'!$S$15+'TUSD BF'!$S$15+'TUSD CVA'!$S$15)*1</f>
        <v>0</v>
      </c>
      <c r="T15" s="30">
        <f>('TUSD BE'!$U$15+'TUSD BF'!$U$15+'TUSD CVA'!$U$15)*1</f>
        <v>0</v>
      </c>
      <c r="U15" s="30">
        <f>('TUSD BE'!$V$15+'TUSD BF'!$V$15+'TUSD CVA'!$V$15)*1</f>
        <v>0</v>
      </c>
      <c r="V15" s="30">
        <f>('TUSD BE'!$W$15+'TUSD BF'!$W$15+'TUSD CVA'!$W$15)*1</f>
        <v>0</v>
      </c>
      <c r="W15" s="30">
        <f>('TUSD BE'!$X$15+'TUSD BF'!$X$15+'TUSD CVA'!$X$15)*1</f>
        <v>0</v>
      </c>
      <c r="X15" s="30">
        <f>('TUSD BE'!$Y$15+'TUSD BF'!$Y$15+'TUSD CVA'!$Y$15)*1</f>
        <v>0</v>
      </c>
      <c r="Y15" s="30">
        <f>('TUSD BE'!$Z$15+'TUSD BF'!$Z$15+'TUSD CVA'!$Z$15)*1</f>
        <v>0</v>
      </c>
      <c r="Z15" s="30">
        <f>('TUSD BE'!$AA$15+'TUSD BF'!$AA$15+'TUSD CVA'!$AA$15)*1</f>
        <v>0</v>
      </c>
      <c r="AA15" s="30">
        <f>('TUSD BE'!$AC$15+'TUSD BF'!$AC$15+'TUSD CVA'!$AC$15)*1</f>
        <v>0</v>
      </c>
      <c r="AB15" s="30">
        <f ca="1">('TUSD BE'!$AE$15+'TUSD BF'!$AE$15+'TUSD CVA'!$AE$15)*1</f>
        <v>-5.6337033693360432</v>
      </c>
      <c r="AC15" s="30">
        <f ca="1">('TUSD BE'!$AF$15+'TUSD BF'!$AF$15+'TUSD CVA'!$AF$15)*1</f>
        <v>0</v>
      </c>
      <c r="AD15" s="30">
        <f>('TUSD BE'!$AH$15+'TUSD BF'!$AH$15+'TUSD CVA'!$AH$15)*1</f>
        <v>10.767580057039785</v>
      </c>
      <c r="AE15" s="30">
        <f>('TUSD BE'!$AI$15+'TUSD BF'!$AI$15+'TUSD CVA'!$AI$15)*1</f>
        <v>0.38336507663702041</v>
      </c>
      <c r="AF15" s="30">
        <f ca="1">('TUSD BE'!$AJ$15+'TUSD BF'!$AJ$15+'TUSD CVA'!$AJ$15)*1</f>
        <v>6.0354999899165938</v>
      </c>
      <c r="AG15" s="30">
        <f ca="1">('TUSD BE'!$AK$15+'TUSD BF'!$AK$15+'TUSD CVA'!$AK$15)*1</f>
        <v>0</v>
      </c>
      <c r="AI15" s="30">
        <v>0</v>
      </c>
      <c r="AJ15" s="30">
        <v>0.70008158010713795</v>
      </c>
      <c r="AK15" s="30">
        <v>0.46428390659497198</v>
      </c>
      <c r="AL15" s="30">
        <v>2.6042479560220402E-2</v>
      </c>
      <c r="AM15" s="30">
        <v>0</v>
      </c>
      <c r="AN15" s="30">
        <v>20.033605492538801</v>
      </c>
      <c r="AO15" s="30">
        <v>10.9728039525681</v>
      </c>
      <c r="AP15" s="30">
        <v>0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-2.7098272841422601E-2</v>
      </c>
      <c r="AZ15" s="30">
        <v>0</v>
      </c>
      <c r="BA15" s="30">
        <v>9.3348552795007897</v>
      </c>
      <c r="BB15" s="30">
        <v>0.31715729696659201</v>
      </c>
      <c r="BC15" s="30">
        <v>5.6535235491578204</v>
      </c>
      <c r="BD15" s="30">
        <v>0</v>
      </c>
    </row>
    <row r="16" spans="1:56" ht="11.25" customHeight="1" x14ac:dyDescent="0.25">
      <c r="A16" s="108"/>
      <c r="B16" s="108"/>
      <c r="C16" s="108"/>
      <c r="D16" s="108"/>
      <c r="E16" s="34" t="s">
        <v>58</v>
      </c>
      <c r="F16" s="34" t="s">
        <v>25</v>
      </c>
      <c r="G16" s="33" t="s">
        <v>98</v>
      </c>
      <c r="H16" s="33" t="s">
        <v>93</v>
      </c>
      <c r="I16" s="33">
        <f>'MERCADO TUSD'!$U$13</f>
        <v>0</v>
      </c>
      <c r="J16" s="15"/>
      <c r="L16" s="30">
        <f>('TUSD BE'!$L$16+'TUSD BF'!$L$16+'TUSD CVA'!$L$16)*1</f>
        <v>0</v>
      </c>
      <c r="M16" s="30">
        <f>('TUSD BE'!$M$16+'TUSD BF'!$M$16+'TUSD CVA'!$M$16)*1</f>
        <v>0.74976696047971558</v>
      </c>
      <c r="N16" s="30">
        <f ca="1">('TUSD BE'!$N$16+'TUSD BF'!$N$16+'TUSD CVA'!$N$16)*1</f>
        <v>0.46337590029059272</v>
      </c>
      <c r="O16" s="30">
        <f>('TUSD BE'!$O$16+'TUSD BF'!$O$16+'TUSD CVA'!$O$16)*1</f>
        <v>2.3178841689617181E-2</v>
      </c>
      <c r="P16" s="30">
        <f>('TUSD BE'!$P$16+'TUSD BF'!$P$16+'TUSD CVA'!$P$16)*1</f>
        <v>0</v>
      </c>
      <c r="Q16" s="30">
        <f>('TUSD BE'!$Q$16+'TUSD BF'!$Q$16+'TUSD CVA'!$Q$16)*1</f>
        <v>0</v>
      </c>
      <c r="R16" s="30">
        <f>('TUSD BE'!$R$16+'TUSD BF'!$R$16+'TUSD CVA'!$R$16)*1</f>
        <v>0</v>
      </c>
      <c r="S16" s="30">
        <f>('TUSD BE'!$S$16+'TUSD BF'!$S$16+'TUSD CVA'!$S$16)*1</f>
        <v>0</v>
      </c>
      <c r="T16" s="30">
        <f>('TUSD BE'!$U$16+'TUSD BF'!$U$16+'TUSD CVA'!$U$16)*1</f>
        <v>0</v>
      </c>
      <c r="U16" s="30">
        <f>('TUSD BE'!$V$16+'TUSD BF'!$V$16+'TUSD CVA'!$V$16)*1</f>
        <v>0</v>
      </c>
      <c r="V16" s="30">
        <f>('TUSD BE'!$W$16+'TUSD BF'!$W$16+'TUSD CVA'!$W$16)*1</f>
        <v>0</v>
      </c>
      <c r="W16" s="30">
        <f>('TUSD BE'!$X$16+'TUSD BF'!$X$16+'TUSD CVA'!$X$16)*1</f>
        <v>0</v>
      </c>
      <c r="X16" s="30">
        <f>('TUSD BE'!$Y$16+'TUSD BF'!$Y$16+'TUSD CVA'!$Y$16)*1</f>
        <v>0</v>
      </c>
      <c r="Y16" s="30">
        <f>('TUSD BE'!$Z$16+'TUSD BF'!$Z$16+'TUSD CVA'!$Z$16)*1</f>
        <v>0</v>
      </c>
      <c r="Z16" s="30">
        <f>('TUSD BE'!$AA$16+'TUSD BF'!$AA$16+'TUSD CVA'!$AA$16)*1</f>
        <v>0</v>
      </c>
      <c r="AA16" s="30">
        <f>('TUSD BE'!$AC$16+'TUSD BF'!$AC$16+'TUSD CVA'!$AC$16)*1</f>
        <v>0</v>
      </c>
      <c r="AB16" s="30">
        <f ca="1">('TUSD BE'!$AE$16+'TUSD BF'!$AE$16+'TUSD CVA'!$AE$16)*1</f>
        <v>-1.5408419200427508</v>
      </c>
      <c r="AC16" s="30">
        <f ca="1">('TUSD BE'!$AF$16+'TUSD BF'!$AF$16+'TUSD CVA'!$AF$16)*1</f>
        <v>0</v>
      </c>
      <c r="AD16" s="30">
        <f>('TUSD BE'!$AH$16+'TUSD BF'!$AH$16+'TUSD CVA'!$AH$16)*1</f>
        <v>10.767580057039785</v>
      </c>
      <c r="AE16" s="30">
        <f>('TUSD BE'!$AI$16+'TUSD BF'!$AI$16+'TUSD CVA'!$AI$16)*1</f>
        <v>0.38336507663702041</v>
      </c>
      <c r="AF16" s="30">
        <f ca="1">('TUSD BE'!$AJ$16+'TUSD BF'!$AJ$16+'TUSD CVA'!$AJ$16)*1</f>
        <v>6.0354999899165938</v>
      </c>
      <c r="AG16" s="30">
        <f ca="1">('TUSD BE'!$AK$16+'TUSD BF'!$AK$16+'TUSD CVA'!$AK$16)*1</f>
        <v>0</v>
      </c>
      <c r="AI16" s="30">
        <v>0</v>
      </c>
      <c r="AJ16" s="30">
        <v>0.70008158010713795</v>
      </c>
      <c r="AK16" s="30">
        <v>0.44946610994726</v>
      </c>
      <c r="AL16" s="30">
        <v>2.6042479560220402E-2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-9.0046304424104308E-3</v>
      </c>
      <c r="AZ16" s="30">
        <v>0</v>
      </c>
      <c r="BA16" s="30">
        <v>9.3348552795007897</v>
      </c>
      <c r="BB16" s="30">
        <v>0.31715729696659201</v>
      </c>
      <c r="BC16" s="30">
        <v>5.6535235491578204</v>
      </c>
      <c r="BD16" s="30">
        <v>0</v>
      </c>
    </row>
    <row r="17" spans="1:56" ht="11.25" customHeight="1" x14ac:dyDescent="0.25">
      <c r="A17" s="108"/>
      <c r="B17" s="108" t="s">
        <v>61</v>
      </c>
      <c r="C17" s="108" t="s">
        <v>25</v>
      </c>
      <c r="D17" s="108" t="s">
        <v>25</v>
      </c>
      <c r="E17" s="108" t="s">
        <v>25</v>
      </c>
      <c r="F17" s="108" t="s">
        <v>68</v>
      </c>
      <c r="G17" s="33" t="s">
        <v>100</v>
      </c>
      <c r="H17" s="33" t="s">
        <v>99</v>
      </c>
      <c r="I17" s="33">
        <f>'MERCADO TUSD'!$U$14</f>
        <v>24755</v>
      </c>
      <c r="J17" s="15"/>
      <c r="L17" s="30">
        <f>('TUSD BE'!$L$17+'TUSD BF'!$L$17+'TUSD CVA'!$L$17)*1</f>
        <v>0</v>
      </c>
      <c r="M17" s="30">
        <f>('TUSD BE'!$M$17+'TUSD BF'!$M$17+'TUSD CVA'!$M$17)*1</f>
        <v>0</v>
      </c>
      <c r="N17" s="30">
        <f ca="1">('TUSD BE'!$N$17+'TUSD BF'!$N$17+'TUSD CVA'!$N$17)*1</f>
        <v>0</v>
      </c>
      <c r="O17" s="30">
        <f>('TUSD BE'!$O$17+'TUSD BF'!$O$17+'TUSD CVA'!$O$17)*1</f>
        <v>0</v>
      </c>
      <c r="P17" s="30">
        <f>('TUSD BE'!$P$17+'TUSD BF'!$P$17+'TUSD CVA'!$P$17)*1</f>
        <v>0</v>
      </c>
      <c r="Q17" s="30">
        <f>('TUSD BE'!$Q$17+'TUSD BF'!$Q$17+'TUSD CVA'!$Q$17)*1</f>
        <v>0</v>
      </c>
      <c r="R17" s="30">
        <f>('TUSD BE'!$R$17+'TUSD BF'!$R$17+'TUSD CVA'!$R$17)*1</f>
        <v>0</v>
      </c>
      <c r="S17" s="30">
        <f>('TUSD BE'!$S$17+'TUSD BF'!$S$17+'TUSD CVA'!$S$17)*1</f>
        <v>0</v>
      </c>
      <c r="T17" s="30">
        <f>('TUSD BE'!$U$17+'TUSD BF'!$U$17+'TUSD CVA'!$U$17)*1</f>
        <v>6.5330010348273149</v>
      </c>
      <c r="U17" s="30">
        <f>('TUSD BE'!$V$17+'TUSD BF'!$V$17+'TUSD CVA'!$V$17)*1</f>
        <v>1.1446841305968802</v>
      </c>
      <c r="V17" s="30">
        <f>('TUSD BE'!$W$17+'TUSD BF'!$W$17+'TUSD CVA'!$W$17)*1</f>
        <v>1.233159066794969</v>
      </c>
      <c r="W17" s="30">
        <f>('TUSD BE'!$X$17+'TUSD BF'!$X$17+'TUSD CVA'!$X$17)*1</f>
        <v>0</v>
      </c>
      <c r="X17" s="30">
        <f>('TUSD BE'!$Y$17+'TUSD BF'!$Y$17+'TUSD CVA'!$Y$17)*1</f>
        <v>0</v>
      </c>
      <c r="Y17" s="30">
        <f>('TUSD BE'!$Z$17+'TUSD BF'!$Z$17+'TUSD CVA'!$Z$17)*1</f>
        <v>0</v>
      </c>
      <c r="Z17" s="30">
        <f>('TUSD BE'!$AA$17+'TUSD BF'!$AA$17+'TUSD CVA'!$AA$17)*1</f>
        <v>0</v>
      </c>
      <c r="AA17" s="30">
        <f>('TUSD BE'!$AC$17+'TUSD BF'!$AC$17+'TUSD CVA'!$AC$17)*1</f>
        <v>27.341604433050872</v>
      </c>
      <c r="AB17" s="30">
        <f>('TUSD BE'!$AE$17+'TUSD BF'!$AE$17+'TUSD CVA'!$AE$17)*1</f>
        <v>0</v>
      </c>
      <c r="AC17" s="30">
        <f ca="1">('TUSD BE'!$AF$17+'TUSD BF'!$AF$17+'TUSD CVA'!$AF$17)*1</f>
        <v>0</v>
      </c>
      <c r="AD17" s="30">
        <f>('TUSD BE'!$AH$17+'TUSD BF'!$AH$17+'TUSD CVA'!$AH$17)*1</f>
        <v>0</v>
      </c>
      <c r="AE17" s="30">
        <f>('TUSD BE'!$AI$17+'TUSD BF'!$AI$17+'TUSD CVA'!$AI$17)*1</f>
        <v>0</v>
      </c>
      <c r="AF17" s="30">
        <f ca="1">('TUSD BE'!$AJ$17+'TUSD BF'!$AJ$17+'TUSD CVA'!$AJ$17)*1</f>
        <v>0</v>
      </c>
      <c r="AG17" s="30">
        <f ca="1">('TUSD BE'!$AK$17+'TUSD BF'!$AK$17+'TUSD CVA'!$AK$17)*1</f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  <c r="AQ17" s="30">
        <v>6.7126751401568496</v>
      </c>
      <c r="AR17" s="30">
        <v>1.75842498864031</v>
      </c>
      <c r="AS17" s="30">
        <v>0.83761756676308297</v>
      </c>
      <c r="AT17" s="30">
        <v>0</v>
      </c>
      <c r="AU17" s="30">
        <v>0</v>
      </c>
      <c r="AV17" s="30">
        <v>0</v>
      </c>
      <c r="AW17" s="30">
        <v>0</v>
      </c>
      <c r="AX17" s="30">
        <v>20.584817165067999</v>
      </c>
      <c r="AY17" s="30">
        <v>0</v>
      </c>
      <c r="AZ17" s="30">
        <v>0</v>
      </c>
      <c r="BA17" s="30">
        <v>0</v>
      </c>
      <c r="BB17" s="30">
        <v>0</v>
      </c>
      <c r="BC17" s="30">
        <v>0</v>
      </c>
      <c r="BD17" s="30">
        <v>0</v>
      </c>
    </row>
    <row r="18" spans="1:56" ht="11.25" customHeight="1" x14ac:dyDescent="0.25">
      <c r="A18" s="108"/>
      <c r="B18" s="108"/>
      <c r="C18" s="108"/>
      <c r="D18" s="108"/>
      <c r="E18" s="108"/>
      <c r="F18" s="108"/>
      <c r="G18" s="33" t="s">
        <v>101</v>
      </c>
      <c r="H18" s="33" t="s">
        <v>99</v>
      </c>
      <c r="I18" s="33">
        <f>'MERCADO TUSD'!$U$15</f>
        <v>24046</v>
      </c>
      <c r="J18" s="15"/>
      <c r="L18" s="30">
        <f>('TUSD BE'!$L$18+'TUSD BF'!$L$18+'TUSD CVA'!$L$18)*1</f>
        <v>0</v>
      </c>
      <c r="M18" s="30">
        <f>('TUSD BE'!$M$18+'TUSD BF'!$M$18+'TUSD CVA'!$M$18)*1</f>
        <v>0</v>
      </c>
      <c r="N18" s="30">
        <f ca="1">('TUSD BE'!$N$18+'TUSD BF'!$N$18+'TUSD CVA'!$N$18)*1</f>
        <v>0</v>
      </c>
      <c r="O18" s="30">
        <f>('TUSD BE'!$O$18+'TUSD BF'!$O$18+'TUSD CVA'!$O$18)*1</f>
        <v>0</v>
      </c>
      <c r="P18" s="30">
        <f>('TUSD BE'!$P$18+'TUSD BF'!$P$18+'TUSD CVA'!$P$18)*1</f>
        <v>0</v>
      </c>
      <c r="Q18" s="30">
        <f>('TUSD BE'!$Q$18+'TUSD BF'!$Q$18+'TUSD CVA'!$Q$18)*1</f>
        <v>0</v>
      </c>
      <c r="R18" s="30">
        <f>('TUSD BE'!$R$18+'TUSD BF'!$R$18+'TUSD CVA'!$R$18)*1</f>
        <v>0</v>
      </c>
      <c r="S18" s="30">
        <f>('TUSD BE'!$S$18+'TUSD BF'!$S$18+'TUSD CVA'!$S$18)*1</f>
        <v>0</v>
      </c>
      <c r="T18" s="30">
        <f>('TUSD BE'!$U$18+'TUSD BF'!$U$18+'TUSD CVA'!$U$18)*1</f>
        <v>6.5768927066968237</v>
      </c>
      <c r="U18" s="30">
        <f>('TUSD BE'!$V$18+'TUSD BF'!$V$18+'TUSD CVA'!$V$18)*1</f>
        <v>1.166947410852117</v>
      </c>
      <c r="V18" s="30">
        <f>('TUSD BE'!$W$18+'TUSD BF'!$W$18+'TUSD CVA'!$W$18)*1</f>
        <v>0.91311816803224288</v>
      </c>
      <c r="W18" s="30">
        <f>('TUSD BE'!$X$18+'TUSD BF'!$X$18+'TUSD CVA'!$X$18)*1</f>
        <v>0</v>
      </c>
      <c r="X18" s="30">
        <f>('TUSD BE'!$Y$18+'TUSD BF'!$Y$18+'TUSD CVA'!$Y$18)*1</f>
        <v>0</v>
      </c>
      <c r="Y18" s="30">
        <f>('TUSD BE'!$Z$18+'TUSD BF'!$Z$18+'TUSD CVA'!$Z$18)*1</f>
        <v>0</v>
      </c>
      <c r="Z18" s="30">
        <f>('TUSD BE'!$AA$18+'TUSD BF'!$AA$18+'TUSD CVA'!$AA$18)*1</f>
        <v>0</v>
      </c>
      <c r="AA18" s="30">
        <f>('TUSD BE'!$AC$18+'TUSD BF'!$AC$18+'TUSD CVA'!$AC$18)*1</f>
        <v>7.8248423465939618</v>
      </c>
      <c r="AB18" s="30">
        <f>('TUSD BE'!$AE$18+'TUSD BF'!$AE$18+'TUSD CVA'!$AE$18)*1</f>
        <v>0</v>
      </c>
      <c r="AC18" s="30">
        <f ca="1">('TUSD BE'!$AF$18+'TUSD BF'!$AF$18+'TUSD CVA'!$AF$18)*1</f>
        <v>0</v>
      </c>
      <c r="AD18" s="30">
        <f>('TUSD BE'!$AH$18+'TUSD BF'!$AH$18+'TUSD CVA'!$AH$18)*1</f>
        <v>0</v>
      </c>
      <c r="AE18" s="30">
        <f>('TUSD BE'!$AI$18+'TUSD BF'!$AI$18+'TUSD CVA'!$AI$18)*1</f>
        <v>0</v>
      </c>
      <c r="AF18" s="30">
        <f ca="1">('TUSD BE'!$AJ$18+'TUSD BF'!$AJ$18+'TUSD CVA'!$AJ$18)*1</f>
        <v>0</v>
      </c>
      <c r="AG18" s="30">
        <f ca="1">('TUSD BE'!$AK$18+'TUSD BF'!$AK$18+'TUSD CVA'!$AK$18)*1</f>
        <v>0</v>
      </c>
      <c r="AI18" s="30">
        <v>0</v>
      </c>
      <c r="AJ18" s="30">
        <v>0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6.7577739443737297</v>
      </c>
      <c r="AR18" s="30">
        <v>1.79262508566576</v>
      </c>
      <c r="AS18" s="30">
        <v>0.62023127321456695</v>
      </c>
      <c r="AT18" s="30">
        <v>0</v>
      </c>
      <c r="AU18" s="30">
        <v>0</v>
      </c>
      <c r="AV18" s="30">
        <v>0</v>
      </c>
      <c r="AW18" s="30">
        <v>0</v>
      </c>
      <c r="AX18" s="30">
        <v>5.8911301070324802</v>
      </c>
      <c r="AY18" s="30">
        <v>0</v>
      </c>
      <c r="AZ18" s="30">
        <v>0</v>
      </c>
      <c r="BA18" s="30">
        <v>0</v>
      </c>
      <c r="BB18" s="30">
        <v>0</v>
      </c>
      <c r="BC18" s="30">
        <v>0</v>
      </c>
      <c r="BD18" s="30">
        <v>0</v>
      </c>
    </row>
    <row r="19" spans="1:56" ht="11.25" customHeight="1" x14ac:dyDescent="0.25">
      <c r="A19" s="108"/>
      <c r="B19" s="108"/>
      <c r="C19" s="108"/>
      <c r="D19" s="108"/>
      <c r="E19" s="108"/>
      <c r="F19" s="108"/>
      <c r="G19" s="33" t="s">
        <v>98</v>
      </c>
      <c r="H19" s="33" t="s">
        <v>93</v>
      </c>
      <c r="I19" s="33">
        <f>'MERCADO TUSD'!$U$16</f>
        <v>12765.468999999999</v>
      </c>
      <c r="J19" s="15"/>
      <c r="L19" s="30">
        <f>('TUSD BE'!$L$19+'TUSD BF'!$L$19+'TUSD CVA'!$L$19)*1</f>
        <v>0</v>
      </c>
      <c r="M19" s="30">
        <f>('TUSD BE'!$M$19+'TUSD BF'!$M$19+'TUSD CVA'!$M$19)*1</f>
        <v>0</v>
      </c>
      <c r="N19" s="30">
        <f ca="1">('TUSD BE'!$N$19+'TUSD BF'!$N$19+'TUSD CVA'!$N$19)*1</f>
        <v>0</v>
      </c>
      <c r="O19" s="30">
        <f>('TUSD BE'!$O$19+'TUSD BF'!$O$19+'TUSD CVA'!$O$19)*1</f>
        <v>0</v>
      </c>
      <c r="P19" s="30">
        <f>('TUSD BE'!$P$19+'TUSD BF'!$P$19+'TUSD CVA'!$P$19)*1</f>
        <v>0</v>
      </c>
      <c r="Q19" s="30">
        <f>('TUSD BE'!$Q$19+'TUSD BF'!$Q$19+'TUSD CVA'!$Q$19)*1</f>
        <v>0</v>
      </c>
      <c r="R19" s="30">
        <f>('TUSD BE'!$R$19+'TUSD BF'!$R$19+'TUSD CVA'!$R$19)*1</f>
        <v>0</v>
      </c>
      <c r="S19" s="30">
        <f>('TUSD BE'!$S$19+'TUSD BF'!$S$19+'TUSD CVA'!$S$19)*1</f>
        <v>0</v>
      </c>
      <c r="T19" s="30">
        <f>('TUSD BE'!$U$19+'TUSD BF'!$U$19+'TUSD CVA'!$U$19)*1</f>
        <v>0</v>
      </c>
      <c r="U19" s="30">
        <f>('TUSD BE'!$V$19+'TUSD BF'!$V$19+'TUSD CVA'!$V$19)*1</f>
        <v>0</v>
      </c>
      <c r="V19" s="30">
        <f>('TUSD BE'!$W$19+'TUSD BF'!$W$19+'TUSD CVA'!$W$19)*1</f>
        <v>0</v>
      </c>
      <c r="W19" s="30">
        <f>('TUSD BE'!$X$19+'TUSD BF'!$X$19+'TUSD CVA'!$X$19)*1</f>
        <v>0</v>
      </c>
      <c r="X19" s="30">
        <f>('TUSD BE'!$Y$19+'TUSD BF'!$Y$19+'TUSD CVA'!$Y$19)*1</f>
        <v>0</v>
      </c>
      <c r="Y19" s="30">
        <f>('TUSD BE'!$Z$19+'TUSD BF'!$Z$19+'TUSD CVA'!$Z$19)*1</f>
        <v>0</v>
      </c>
      <c r="Z19" s="30">
        <f>('TUSD BE'!$AA$19+'TUSD BF'!$AA$19+'TUSD CVA'!$AA$19)*1</f>
        <v>0</v>
      </c>
      <c r="AA19" s="30">
        <f>('TUSD BE'!$AC$19+'TUSD BF'!$AC$19+'TUSD CVA'!$AC$19)*1</f>
        <v>0</v>
      </c>
      <c r="AB19" s="30">
        <f>('TUSD BE'!$AE$19+'TUSD BF'!$AE$19+'TUSD CVA'!$AE$19)*1</f>
        <v>0</v>
      </c>
      <c r="AC19" s="30">
        <f ca="1">('TUSD BE'!$AF$19+'TUSD BF'!$AF$19+'TUSD CVA'!$AF$19)*1</f>
        <v>0</v>
      </c>
      <c r="AD19" s="30">
        <f>('TUSD BE'!$AH$19+'TUSD BF'!$AH$19+'TUSD CVA'!$AH$19)*1</f>
        <v>10.767580057039785</v>
      </c>
      <c r="AE19" s="30">
        <f>('TUSD BE'!$AI$19+'TUSD BF'!$AI$19+'TUSD CVA'!$AI$19)*1</f>
        <v>0.38336507663702041</v>
      </c>
      <c r="AF19" s="30">
        <f ca="1">('TUSD BE'!$AJ$19+'TUSD BF'!$AJ$19+'TUSD CVA'!$AJ$19)*1</f>
        <v>0</v>
      </c>
      <c r="AG19" s="30">
        <f ca="1">('TUSD BE'!$AK$19+'TUSD BF'!$AK$19+'TUSD CVA'!$AK$19)*1</f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9.3348552795007897</v>
      </c>
      <c r="BB19" s="30">
        <v>0.31715729696659201</v>
      </c>
      <c r="BC19" s="30">
        <v>0</v>
      </c>
      <c r="BD19" s="30">
        <v>0</v>
      </c>
    </row>
    <row r="20" spans="1:56" ht="11.25" customHeight="1" x14ac:dyDescent="0.25">
      <c r="A20" s="108"/>
      <c r="B20" s="108"/>
      <c r="C20" s="108"/>
      <c r="D20" s="108"/>
      <c r="E20" s="108"/>
      <c r="F20" s="108" t="s">
        <v>65</v>
      </c>
      <c r="G20" s="33" t="s">
        <v>100</v>
      </c>
      <c r="H20" s="33" t="s">
        <v>99</v>
      </c>
      <c r="I20" s="33">
        <f>'MERCADO TUSD'!$U$17</f>
        <v>0</v>
      </c>
      <c r="J20" s="15"/>
      <c r="L20" s="30">
        <f>('TUSD BE'!$L$20+'TUSD BF'!$L$20+'TUSD CVA'!$L$20)*1</f>
        <v>0</v>
      </c>
      <c r="M20" s="30">
        <f>('TUSD BE'!$M$20+'TUSD BF'!$M$20+'TUSD CVA'!$M$20)*1</f>
        <v>0</v>
      </c>
      <c r="N20" s="30">
        <f ca="1">('TUSD BE'!$N$20+'TUSD BF'!$N$20+'TUSD CVA'!$N$20)*1</f>
        <v>0</v>
      </c>
      <c r="O20" s="30">
        <f>('TUSD BE'!$O$20+'TUSD BF'!$O$20+'TUSD CVA'!$O$20)*1</f>
        <v>0</v>
      </c>
      <c r="P20" s="30">
        <f>('TUSD BE'!$P$20+'TUSD BF'!$P$20+'TUSD CVA'!$P$20)*1</f>
        <v>0</v>
      </c>
      <c r="Q20" s="30">
        <f>('TUSD BE'!$Q$20+'TUSD BF'!$Q$20+'TUSD CVA'!$Q$20)*1</f>
        <v>0</v>
      </c>
      <c r="R20" s="30">
        <f>('TUSD BE'!$R$20+'TUSD BF'!$R$20+'TUSD CVA'!$R$20)*1</f>
        <v>0</v>
      </c>
      <c r="S20" s="30">
        <f>('TUSD BE'!$S$20+'TUSD BF'!$S$20+'TUSD CVA'!$S$20)*1</f>
        <v>0</v>
      </c>
      <c r="T20" s="30">
        <f>('TUSD BE'!$U$20+'TUSD BF'!$U$20+'TUSD CVA'!$U$20)*1</f>
        <v>6.5330010348273149</v>
      </c>
      <c r="U20" s="30">
        <f>('TUSD BE'!$V$20+'TUSD BF'!$V$20+'TUSD CVA'!$V$20)*1</f>
        <v>1.1446841305968802</v>
      </c>
      <c r="V20" s="30">
        <f>('TUSD BE'!$W$20+'TUSD BF'!$W$20+'TUSD CVA'!$W$20)*1</f>
        <v>1.233159066794969</v>
      </c>
      <c r="W20" s="30">
        <f>('TUSD BE'!$X$20+'TUSD BF'!$X$20+'TUSD CVA'!$X$20)*1</f>
        <v>0</v>
      </c>
      <c r="X20" s="30">
        <f>('TUSD BE'!$Y$20+'TUSD BF'!$Y$20+'TUSD CVA'!$Y$20)*1</f>
        <v>0</v>
      </c>
      <c r="Y20" s="30">
        <f>('TUSD BE'!$Z$20+'TUSD BF'!$Z$20+'TUSD CVA'!$Z$20)*1</f>
        <v>0</v>
      </c>
      <c r="Z20" s="30">
        <f>('TUSD BE'!$AA$20+'TUSD BF'!$AA$20+'TUSD CVA'!$AA$20)*1</f>
        <v>0</v>
      </c>
      <c r="AA20" s="30">
        <f>('TUSD BE'!$AC$20+'TUSD BF'!$AC$20+'TUSD CVA'!$AC$20)*1</f>
        <v>27.341604433050872</v>
      </c>
      <c r="AB20" s="30">
        <f>('TUSD BE'!$AE$20+'TUSD BF'!$AE$20+'TUSD CVA'!$AE$20)*1</f>
        <v>0</v>
      </c>
      <c r="AC20" s="30">
        <f ca="1">('TUSD BE'!$AF$20+'TUSD BF'!$AF$20+'TUSD CVA'!$AF$20)*1</f>
        <v>0</v>
      </c>
      <c r="AD20" s="30">
        <f>('TUSD BE'!$AH$20+'TUSD BF'!$AH$20+'TUSD CVA'!$AH$20)*1</f>
        <v>0</v>
      </c>
      <c r="AE20" s="30">
        <f>('TUSD BE'!$AI$20+'TUSD BF'!$AI$20+'TUSD CVA'!$AI$20)*1</f>
        <v>0</v>
      </c>
      <c r="AF20" s="30">
        <f ca="1">('TUSD BE'!$AJ$20+'TUSD BF'!$AJ$20+'TUSD CVA'!$AJ$20)*1</f>
        <v>0</v>
      </c>
      <c r="AG20" s="30">
        <f ca="1">('TUSD BE'!$AK$20+'TUSD BF'!$AK$20+'TUSD CVA'!$AK$20)*1</f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</row>
    <row r="21" spans="1:56" ht="11.25" customHeight="1" x14ac:dyDescent="0.25">
      <c r="A21" s="108"/>
      <c r="B21" s="108"/>
      <c r="C21" s="108"/>
      <c r="D21" s="108"/>
      <c r="E21" s="108"/>
      <c r="F21" s="108"/>
      <c r="G21" s="33" t="s">
        <v>101</v>
      </c>
      <c r="H21" s="33" t="s">
        <v>99</v>
      </c>
      <c r="I21" s="33">
        <f>'MERCADO TUSD'!$U$18</f>
        <v>0</v>
      </c>
      <c r="J21" s="15"/>
      <c r="L21" s="30">
        <f>('TUSD BE'!$L$21+'TUSD BF'!$L$21+'TUSD CVA'!$L$21)*1</f>
        <v>0</v>
      </c>
      <c r="M21" s="30">
        <f>('TUSD BE'!$M$21+'TUSD BF'!$M$21+'TUSD CVA'!$M$21)*1</f>
        <v>0</v>
      </c>
      <c r="N21" s="30">
        <f ca="1">('TUSD BE'!$N$21+'TUSD BF'!$N$21+'TUSD CVA'!$N$21)*1</f>
        <v>0</v>
      </c>
      <c r="O21" s="30">
        <f>('TUSD BE'!$O$21+'TUSD BF'!$O$21+'TUSD CVA'!$O$21)*1</f>
        <v>0</v>
      </c>
      <c r="P21" s="30">
        <f>('TUSD BE'!$P$21+'TUSD BF'!$P$21+'TUSD CVA'!$P$21)*1</f>
        <v>0</v>
      </c>
      <c r="Q21" s="30">
        <f>('TUSD BE'!$Q$21+'TUSD BF'!$Q$21+'TUSD CVA'!$Q$21)*1</f>
        <v>0</v>
      </c>
      <c r="R21" s="30">
        <f>('TUSD BE'!$R$21+'TUSD BF'!$R$21+'TUSD CVA'!$R$21)*1</f>
        <v>0</v>
      </c>
      <c r="S21" s="30">
        <f>('TUSD BE'!$S$21+'TUSD BF'!$S$21+'TUSD CVA'!$S$21)*1</f>
        <v>0</v>
      </c>
      <c r="T21" s="30">
        <f>('TUSD BE'!$U$21+'TUSD BF'!$U$21+'TUSD CVA'!$U$21)*1</f>
        <v>6.5768927066968237</v>
      </c>
      <c r="U21" s="30">
        <f>('TUSD BE'!$V$21+'TUSD BF'!$V$21+'TUSD CVA'!$V$21)*1</f>
        <v>1.166947410852117</v>
      </c>
      <c r="V21" s="30">
        <f>('TUSD BE'!$W$21+'TUSD BF'!$W$21+'TUSD CVA'!$W$21)*1</f>
        <v>0.91311816803224288</v>
      </c>
      <c r="W21" s="30">
        <f>('TUSD BE'!$X$21+'TUSD BF'!$X$21+'TUSD CVA'!$X$21)*1</f>
        <v>0</v>
      </c>
      <c r="X21" s="30">
        <f>('TUSD BE'!$Y$21+'TUSD BF'!$Y$21+'TUSD CVA'!$Y$21)*1</f>
        <v>0</v>
      </c>
      <c r="Y21" s="30">
        <f>('TUSD BE'!$Z$21+'TUSD BF'!$Z$21+'TUSD CVA'!$Z$21)*1</f>
        <v>0</v>
      </c>
      <c r="Z21" s="30">
        <f>('TUSD BE'!$AA$21+'TUSD BF'!$AA$21+'TUSD CVA'!$AA$21)*1</f>
        <v>0</v>
      </c>
      <c r="AA21" s="30">
        <f>('TUSD BE'!$AC$21+'TUSD BF'!$AC$21+'TUSD CVA'!$AC$21)*1</f>
        <v>7.8248423465939618</v>
      </c>
      <c r="AB21" s="30">
        <f>('TUSD BE'!$AE$21+'TUSD BF'!$AE$21+'TUSD CVA'!$AE$21)*1</f>
        <v>0</v>
      </c>
      <c r="AC21" s="30">
        <f ca="1">('TUSD BE'!$AF$21+'TUSD BF'!$AF$21+'TUSD CVA'!$AF$21)*1</f>
        <v>0</v>
      </c>
      <c r="AD21" s="30">
        <f>('TUSD BE'!$AH$21+'TUSD BF'!$AH$21+'TUSD CVA'!$AH$21)*1</f>
        <v>0</v>
      </c>
      <c r="AE21" s="30">
        <f>('TUSD BE'!$AI$21+'TUSD BF'!$AI$21+'TUSD CVA'!$AI$21)*1</f>
        <v>0</v>
      </c>
      <c r="AF21" s="30">
        <f ca="1">('TUSD BE'!$AJ$21+'TUSD BF'!$AJ$21+'TUSD CVA'!$AJ$21)*1</f>
        <v>0</v>
      </c>
      <c r="AG21" s="30">
        <f ca="1">('TUSD BE'!$AK$21+'TUSD BF'!$AK$21+'TUSD CVA'!$AK$21)*1</f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0</v>
      </c>
    </row>
    <row r="22" spans="1:56" ht="11.25" customHeight="1" x14ac:dyDescent="0.25">
      <c r="A22" s="108"/>
      <c r="B22" s="108"/>
      <c r="C22" s="108"/>
      <c r="D22" s="108"/>
      <c r="E22" s="108"/>
      <c r="F22" s="108"/>
      <c r="G22" s="33" t="s">
        <v>98</v>
      </c>
      <c r="H22" s="33" t="s">
        <v>93</v>
      </c>
      <c r="I22" s="33">
        <f>'MERCADO TUSD'!$U$19</f>
        <v>0</v>
      </c>
      <c r="J22" s="15"/>
      <c r="L22" s="30">
        <f>('TUSD BE'!$L$22+'TUSD BF'!$L$22+'TUSD CVA'!$L$22)*1</f>
        <v>0</v>
      </c>
      <c r="M22" s="30">
        <f>('TUSD BE'!$M$22+'TUSD BF'!$M$22+'TUSD CVA'!$M$22)*1</f>
        <v>0</v>
      </c>
      <c r="N22" s="30">
        <f ca="1">('TUSD BE'!$N$22+'TUSD BF'!$N$22+'TUSD CVA'!$N$22)*1</f>
        <v>0</v>
      </c>
      <c r="O22" s="30">
        <f>('TUSD BE'!$O$22+'TUSD BF'!$O$22+'TUSD CVA'!$O$22)*1</f>
        <v>0</v>
      </c>
      <c r="P22" s="30">
        <f>('TUSD BE'!$P$22+'TUSD BF'!$P$22+'TUSD CVA'!$P$22)*1</f>
        <v>0</v>
      </c>
      <c r="Q22" s="30">
        <f>('TUSD BE'!$Q$22+'TUSD BF'!$Q$22+'TUSD CVA'!$Q$22)*1</f>
        <v>0</v>
      </c>
      <c r="R22" s="30">
        <f>('TUSD BE'!$R$22+'TUSD BF'!$R$22+'TUSD CVA'!$R$22)*1</f>
        <v>0</v>
      </c>
      <c r="S22" s="30">
        <f>('TUSD BE'!$S$22+'TUSD BF'!$S$22+'TUSD CVA'!$S$22)*1</f>
        <v>0</v>
      </c>
      <c r="T22" s="30">
        <f>('TUSD BE'!$U$22+'TUSD BF'!$U$22+'TUSD CVA'!$U$22)*1</f>
        <v>0</v>
      </c>
      <c r="U22" s="30">
        <f>('TUSD BE'!$V$22+'TUSD BF'!$V$22+'TUSD CVA'!$V$22)*1</f>
        <v>0</v>
      </c>
      <c r="V22" s="30">
        <f>('TUSD BE'!$W$22+'TUSD BF'!$W$22+'TUSD CVA'!$W$22)*1</f>
        <v>0</v>
      </c>
      <c r="W22" s="30">
        <f>('TUSD BE'!$X$22+'TUSD BF'!$X$22+'TUSD CVA'!$X$22)*1</f>
        <v>0</v>
      </c>
      <c r="X22" s="30">
        <f>('TUSD BE'!$Y$22+'TUSD BF'!$Y$22+'TUSD CVA'!$Y$22)*1</f>
        <v>0</v>
      </c>
      <c r="Y22" s="30">
        <f>('TUSD BE'!$Z$22+'TUSD BF'!$Z$22+'TUSD CVA'!$Z$22)*1</f>
        <v>0</v>
      </c>
      <c r="Z22" s="30">
        <f>('TUSD BE'!$AA$22+'TUSD BF'!$AA$22+'TUSD CVA'!$AA$22)*1</f>
        <v>0</v>
      </c>
      <c r="AA22" s="30">
        <f>('TUSD BE'!$AC$22+'TUSD BF'!$AC$22+'TUSD CVA'!$AC$22)*1</f>
        <v>0</v>
      </c>
      <c r="AB22" s="30">
        <f>('TUSD BE'!$AE$22+'TUSD BF'!$AE$22+'TUSD CVA'!$AE$22)*1</f>
        <v>0</v>
      </c>
      <c r="AC22" s="30">
        <f ca="1">('TUSD BE'!$AF$22+'TUSD BF'!$AF$22+'TUSD CVA'!$AF$22)*1</f>
        <v>0</v>
      </c>
      <c r="AD22" s="30">
        <f>('TUSD BE'!$AH$22+'TUSD BF'!$AH$22+'TUSD CVA'!$AH$22)*1</f>
        <v>10.767580057039785</v>
      </c>
      <c r="AE22" s="30">
        <f>('TUSD BE'!$AI$22+'TUSD BF'!$AI$22+'TUSD CVA'!$AI$22)*1</f>
        <v>0.38336507663702041</v>
      </c>
      <c r="AF22" s="30">
        <f ca="1">('TUSD BE'!$AJ$22+'TUSD BF'!$AJ$22+'TUSD CVA'!$AJ$22)*1</f>
        <v>0</v>
      </c>
      <c r="AG22" s="30">
        <f ca="1">('TUSD BE'!$AK$22+'TUSD BF'!$AK$22+'TUSD CVA'!$AK$22)*1</f>
        <v>0</v>
      </c>
      <c r="AI22" s="30">
        <v>0</v>
      </c>
      <c r="AJ22" s="30">
        <v>0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0</v>
      </c>
      <c r="AW22" s="30">
        <v>0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0</v>
      </c>
    </row>
    <row r="23" spans="1:56" ht="11.25" customHeight="1" x14ac:dyDescent="0.25">
      <c r="A23" s="108"/>
      <c r="B23" s="108"/>
      <c r="C23" s="108"/>
      <c r="D23" s="108"/>
      <c r="E23" s="108"/>
      <c r="F23" s="108" t="s">
        <v>62</v>
      </c>
      <c r="G23" s="33" t="s">
        <v>100</v>
      </c>
      <c r="H23" s="33" t="s">
        <v>99</v>
      </c>
      <c r="I23" s="33">
        <f>'MERCADO TUSD'!$U$20</f>
        <v>53628</v>
      </c>
      <c r="J23" s="15"/>
      <c r="L23" s="30">
        <f>('TUSD BE'!$L$23+'TUSD BF'!$L$23+'TUSD CVA'!$L$23)*1</f>
        <v>0</v>
      </c>
      <c r="M23" s="30">
        <f>('TUSD BE'!$M$23+'TUSD BF'!$M$23+'TUSD CVA'!$M$23)*1</f>
        <v>0</v>
      </c>
      <c r="N23" s="30">
        <f ca="1">('TUSD BE'!$N$23+'TUSD BF'!$N$23+'TUSD CVA'!$N$23)*1</f>
        <v>0</v>
      </c>
      <c r="O23" s="30">
        <f>('TUSD BE'!$O$23+'TUSD BF'!$O$23+'TUSD CVA'!$O$23)*1</f>
        <v>0</v>
      </c>
      <c r="P23" s="30">
        <f>('TUSD BE'!$P$23+'TUSD BF'!$P$23+'TUSD CVA'!$P$23)*1</f>
        <v>0</v>
      </c>
      <c r="Q23" s="30">
        <f>('TUSD BE'!$Q$23+'TUSD BF'!$Q$23+'TUSD CVA'!$Q$23)*1</f>
        <v>0</v>
      </c>
      <c r="R23" s="30">
        <f>('TUSD BE'!$R$23+'TUSD BF'!$R$23+'TUSD CVA'!$R$23)*1</f>
        <v>0</v>
      </c>
      <c r="S23" s="30">
        <f>('TUSD BE'!$S$23+'TUSD BF'!$S$23+'TUSD CVA'!$S$23)*1</f>
        <v>0</v>
      </c>
      <c r="T23" s="30">
        <f>('TUSD BE'!$U$23+'TUSD BF'!$U$23+'TUSD CVA'!$U$23)*1</f>
        <v>6.5330010348273149</v>
      </c>
      <c r="U23" s="30">
        <f>('TUSD BE'!$V$23+'TUSD BF'!$V$23+'TUSD CVA'!$V$23)*1</f>
        <v>1.1446841305968802</v>
      </c>
      <c r="V23" s="30">
        <f>('TUSD BE'!$W$23+'TUSD BF'!$W$23+'TUSD CVA'!$W$23)*1</f>
        <v>1.233159066794969</v>
      </c>
      <c r="W23" s="30">
        <f>('TUSD BE'!$X$23+'TUSD BF'!$X$23+'TUSD CVA'!$X$23)*1</f>
        <v>0</v>
      </c>
      <c r="X23" s="30">
        <f>('TUSD BE'!$Y$23+'TUSD BF'!$Y$23+'TUSD CVA'!$Y$23)*1</f>
        <v>0</v>
      </c>
      <c r="Y23" s="30">
        <f>('TUSD BE'!$Z$23+'TUSD BF'!$Z$23+'TUSD CVA'!$Z$23)*1</f>
        <v>0</v>
      </c>
      <c r="Z23" s="30">
        <f>('TUSD BE'!$AA$23+'TUSD BF'!$AA$23+'TUSD CVA'!$AA$23)*1</f>
        <v>0</v>
      </c>
      <c r="AA23" s="30">
        <f>('TUSD BE'!$AC$23+'TUSD BF'!$AC$23+'TUSD CVA'!$AC$23)*1</f>
        <v>27.341604433050872</v>
      </c>
      <c r="AB23" s="30">
        <f>('TUSD BE'!$AE$23+'TUSD BF'!$AE$23+'TUSD CVA'!$AE$23)*1</f>
        <v>0</v>
      </c>
      <c r="AC23" s="30">
        <f ca="1">('TUSD BE'!$AF$23+'TUSD BF'!$AF$23+'TUSD CVA'!$AF$23)*1</f>
        <v>0</v>
      </c>
      <c r="AD23" s="30">
        <f>('TUSD BE'!$AH$23+'TUSD BF'!$AH$23+'TUSD CVA'!$AH$23)*1</f>
        <v>0</v>
      </c>
      <c r="AE23" s="30">
        <f>('TUSD BE'!$AI$23+'TUSD BF'!$AI$23+'TUSD CVA'!$AI$23)*1</f>
        <v>0</v>
      </c>
      <c r="AF23" s="30">
        <f ca="1">('TUSD BE'!$AJ$23+'TUSD BF'!$AJ$23+'TUSD CVA'!$AJ$23)*1</f>
        <v>0</v>
      </c>
      <c r="AG23" s="30">
        <f ca="1">('TUSD BE'!$AK$23+'TUSD BF'!$AK$23+'TUSD CVA'!$AK$23)*1</f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6.7126751401568496</v>
      </c>
      <c r="AR23" s="30">
        <v>1.75842498864031</v>
      </c>
      <c r="AS23" s="30">
        <v>0.83761756676308297</v>
      </c>
      <c r="AT23" s="30">
        <v>0</v>
      </c>
      <c r="AU23" s="30">
        <v>0</v>
      </c>
      <c r="AV23" s="30">
        <v>0</v>
      </c>
      <c r="AW23" s="30">
        <v>0</v>
      </c>
      <c r="AX23" s="30">
        <v>20.584817165067999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0</v>
      </c>
    </row>
    <row r="24" spans="1:56" ht="11.25" customHeight="1" x14ac:dyDescent="0.25">
      <c r="A24" s="108"/>
      <c r="B24" s="108"/>
      <c r="C24" s="108"/>
      <c r="D24" s="108"/>
      <c r="E24" s="108"/>
      <c r="F24" s="108"/>
      <c r="G24" s="33" t="s">
        <v>101</v>
      </c>
      <c r="H24" s="33" t="s">
        <v>99</v>
      </c>
      <c r="I24" s="33">
        <f>'MERCADO TUSD'!$U$21</f>
        <v>66924</v>
      </c>
      <c r="J24" s="15"/>
      <c r="L24" s="30">
        <f>('TUSD BE'!$L$24+'TUSD BF'!$L$24+'TUSD CVA'!$L$24)*1</f>
        <v>0</v>
      </c>
      <c r="M24" s="30">
        <f>('TUSD BE'!$M$24+'TUSD BF'!$M$24+'TUSD CVA'!$M$24)*1</f>
        <v>0</v>
      </c>
      <c r="N24" s="30">
        <f ca="1">('TUSD BE'!$N$24+'TUSD BF'!$N$24+'TUSD CVA'!$N$24)*1</f>
        <v>0</v>
      </c>
      <c r="O24" s="30">
        <f>('TUSD BE'!$O$24+'TUSD BF'!$O$24+'TUSD CVA'!$O$24)*1</f>
        <v>0</v>
      </c>
      <c r="P24" s="30">
        <f>('TUSD BE'!$P$24+'TUSD BF'!$P$24+'TUSD CVA'!$P$24)*1</f>
        <v>0</v>
      </c>
      <c r="Q24" s="30">
        <f>('TUSD BE'!$Q$24+'TUSD BF'!$Q$24+'TUSD CVA'!$Q$24)*1</f>
        <v>0</v>
      </c>
      <c r="R24" s="30">
        <f>('TUSD BE'!$R$24+'TUSD BF'!$R$24+'TUSD CVA'!$R$24)*1</f>
        <v>0</v>
      </c>
      <c r="S24" s="30">
        <f>('TUSD BE'!$S$24+'TUSD BF'!$S$24+'TUSD CVA'!$S$24)*1</f>
        <v>0</v>
      </c>
      <c r="T24" s="30">
        <f>('TUSD BE'!$U$24+'TUSD BF'!$U$24+'TUSD CVA'!$U$24)*1</f>
        <v>6.5768927066968237</v>
      </c>
      <c r="U24" s="30">
        <f>('TUSD BE'!$V$24+'TUSD BF'!$V$24+'TUSD CVA'!$V$24)*1</f>
        <v>1.166947410852117</v>
      </c>
      <c r="V24" s="30">
        <f>('TUSD BE'!$W$24+'TUSD BF'!$W$24+'TUSD CVA'!$W$24)*1</f>
        <v>0.91311816803224288</v>
      </c>
      <c r="W24" s="30">
        <f>('TUSD BE'!$X$24+'TUSD BF'!$X$24+'TUSD CVA'!$X$24)*1</f>
        <v>0</v>
      </c>
      <c r="X24" s="30">
        <f>('TUSD BE'!$Y$24+'TUSD BF'!$Y$24+'TUSD CVA'!$Y$24)*1</f>
        <v>0</v>
      </c>
      <c r="Y24" s="30">
        <f>('TUSD BE'!$Z$24+'TUSD BF'!$Z$24+'TUSD CVA'!$Z$24)*1</f>
        <v>0</v>
      </c>
      <c r="Z24" s="30">
        <f>('TUSD BE'!$AA$24+'TUSD BF'!$AA$24+'TUSD CVA'!$AA$24)*1</f>
        <v>0</v>
      </c>
      <c r="AA24" s="30">
        <f>('TUSD BE'!$AC$24+'TUSD BF'!$AC$24+'TUSD CVA'!$AC$24)*1</f>
        <v>7.8248423465939618</v>
      </c>
      <c r="AB24" s="30">
        <f>('TUSD BE'!$AE$24+'TUSD BF'!$AE$24+'TUSD CVA'!$AE$24)*1</f>
        <v>0</v>
      </c>
      <c r="AC24" s="30">
        <f ca="1">('TUSD BE'!$AF$24+'TUSD BF'!$AF$24+'TUSD CVA'!$AF$24)*1</f>
        <v>0</v>
      </c>
      <c r="AD24" s="30">
        <f>('TUSD BE'!$AH$24+'TUSD BF'!$AH$24+'TUSD CVA'!$AH$24)*1</f>
        <v>0</v>
      </c>
      <c r="AE24" s="30">
        <f>('TUSD BE'!$AI$24+'TUSD BF'!$AI$24+'TUSD CVA'!$AI$24)*1</f>
        <v>0</v>
      </c>
      <c r="AF24" s="30">
        <f ca="1">('TUSD BE'!$AJ$24+'TUSD BF'!$AJ$24+'TUSD CVA'!$AJ$24)*1</f>
        <v>0</v>
      </c>
      <c r="AG24" s="30">
        <f ca="1">('TUSD BE'!$AK$24+'TUSD BF'!$AK$24+'TUSD CVA'!$AK$24)*1</f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6.7577739443737297</v>
      </c>
      <c r="AR24" s="30">
        <v>1.79262508566576</v>
      </c>
      <c r="AS24" s="30">
        <v>0.62023127321456695</v>
      </c>
      <c r="AT24" s="30">
        <v>0</v>
      </c>
      <c r="AU24" s="30">
        <v>0</v>
      </c>
      <c r="AV24" s="30">
        <v>0</v>
      </c>
      <c r="AW24" s="30">
        <v>0</v>
      </c>
      <c r="AX24" s="30">
        <v>5.8911301070324802</v>
      </c>
      <c r="AY24" s="30">
        <v>0</v>
      </c>
      <c r="AZ24" s="30">
        <v>0</v>
      </c>
      <c r="BA24" s="30">
        <v>0</v>
      </c>
      <c r="BB24" s="30">
        <v>0</v>
      </c>
      <c r="BC24" s="30">
        <v>0</v>
      </c>
      <c r="BD24" s="30">
        <v>0</v>
      </c>
    </row>
    <row r="25" spans="1:56" ht="11.25" customHeight="1" x14ac:dyDescent="0.25">
      <c r="A25" s="108"/>
      <c r="B25" s="108"/>
      <c r="C25" s="108"/>
      <c r="D25" s="108"/>
      <c r="E25" s="108"/>
      <c r="F25" s="108"/>
      <c r="G25" s="33" t="s">
        <v>98</v>
      </c>
      <c r="H25" s="33" t="s">
        <v>93</v>
      </c>
      <c r="I25" s="33">
        <f>'MERCADO TUSD'!$U$22</f>
        <v>22761.96</v>
      </c>
      <c r="J25" s="15"/>
      <c r="L25" s="30">
        <f>('TUSD BE'!$L$25+'TUSD BF'!$L$25+'TUSD CVA'!$L$25)*1</f>
        <v>0</v>
      </c>
      <c r="M25" s="30">
        <f>('TUSD BE'!$M$25+'TUSD BF'!$M$25+'TUSD CVA'!$M$25)*1</f>
        <v>0</v>
      </c>
      <c r="N25" s="30">
        <f ca="1">('TUSD BE'!$N$25+'TUSD BF'!$N$25+'TUSD CVA'!$N$25)*1</f>
        <v>0</v>
      </c>
      <c r="O25" s="30">
        <f>('TUSD BE'!$O$25+'TUSD BF'!$O$25+'TUSD CVA'!$O$25)*1</f>
        <v>0</v>
      </c>
      <c r="P25" s="30">
        <f>('TUSD BE'!$P$25+'TUSD BF'!$P$25+'TUSD CVA'!$P$25)*1</f>
        <v>0</v>
      </c>
      <c r="Q25" s="30">
        <f>('TUSD BE'!$Q$25+'TUSD BF'!$Q$25+'TUSD CVA'!$Q$25)*1</f>
        <v>0</v>
      </c>
      <c r="R25" s="30">
        <f>('TUSD BE'!$R$25+'TUSD BF'!$R$25+'TUSD CVA'!$R$25)*1</f>
        <v>0</v>
      </c>
      <c r="S25" s="30">
        <f>('TUSD BE'!$S$25+'TUSD BF'!$S$25+'TUSD CVA'!$S$25)*1</f>
        <v>0</v>
      </c>
      <c r="T25" s="30">
        <f>('TUSD BE'!$U$25+'TUSD BF'!$U$25+'TUSD CVA'!$U$25)*1</f>
        <v>0</v>
      </c>
      <c r="U25" s="30">
        <f>('TUSD BE'!$V$25+'TUSD BF'!$V$25+'TUSD CVA'!$V$25)*1</f>
        <v>0</v>
      </c>
      <c r="V25" s="30">
        <f>('TUSD BE'!$W$25+'TUSD BF'!$W$25+'TUSD CVA'!$W$25)*1</f>
        <v>0</v>
      </c>
      <c r="W25" s="30">
        <f>('TUSD BE'!$X$25+'TUSD BF'!$X$25+'TUSD CVA'!$X$25)*1</f>
        <v>0</v>
      </c>
      <c r="X25" s="30">
        <f>('TUSD BE'!$Y$25+'TUSD BF'!$Y$25+'TUSD CVA'!$Y$25)*1</f>
        <v>0</v>
      </c>
      <c r="Y25" s="30">
        <f>('TUSD BE'!$Z$25+'TUSD BF'!$Z$25+'TUSD CVA'!$Z$25)*1</f>
        <v>0</v>
      </c>
      <c r="Z25" s="30">
        <f>('TUSD BE'!$AA$25+'TUSD BF'!$AA$25+'TUSD CVA'!$AA$25)*1</f>
        <v>0</v>
      </c>
      <c r="AA25" s="30">
        <f>('TUSD BE'!$AC$25+'TUSD BF'!$AC$25+'TUSD CVA'!$AC$25)*1</f>
        <v>0</v>
      </c>
      <c r="AB25" s="30">
        <f>('TUSD BE'!$AE$25+'TUSD BF'!$AE$25+'TUSD CVA'!$AE$25)*1</f>
        <v>0</v>
      </c>
      <c r="AC25" s="30">
        <f ca="1">('TUSD BE'!$AF$25+'TUSD BF'!$AF$25+'TUSD CVA'!$AF$25)*1</f>
        <v>0</v>
      </c>
      <c r="AD25" s="30">
        <f>('TUSD BE'!$AH$25+'TUSD BF'!$AH$25+'TUSD CVA'!$AH$25)*1</f>
        <v>10.767580057039785</v>
      </c>
      <c r="AE25" s="30">
        <f>('TUSD BE'!$AI$25+'TUSD BF'!$AI$25+'TUSD CVA'!$AI$25)*1</f>
        <v>0.38336507663702041</v>
      </c>
      <c r="AF25" s="30">
        <f ca="1">('TUSD BE'!$AJ$25+'TUSD BF'!$AJ$25+'TUSD CVA'!$AJ$25)*1</f>
        <v>0</v>
      </c>
      <c r="AG25" s="30">
        <f ca="1">('TUSD BE'!$AK$25+'TUSD BF'!$AK$25+'TUSD CVA'!$AK$25)*1</f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  <c r="AQ25" s="30">
        <v>0</v>
      </c>
      <c r="AR25" s="30">
        <v>0</v>
      </c>
      <c r="AS25" s="30">
        <v>0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9.3348552795007897</v>
      </c>
      <c r="BB25" s="30">
        <v>0.31715729696659201</v>
      </c>
      <c r="BC25" s="30">
        <v>0</v>
      </c>
      <c r="BD25" s="30">
        <v>0</v>
      </c>
    </row>
    <row r="26" spans="1:56" ht="11.25" customHeight="1" x14ac:dyDescent="0.25">
      <c r="A26" s="108"/>
      <c r="B26" s="108"/>
      <c r="C26" s="108"/>
      <c r="D26" s="108"/>
      <c r="E26" s="108"/>
      <c r="F26" s="108" t="s">
        <v>67</v>
      </c>
      <c r="G26" s="33" t="s">
        <v>100</v>
      </c>
      <c r="H26" s="33" t="s">
        <v>99</v>
      </c>
      <c r="I26" s="33">
        <f>'MERCADO TUSD'!$U$23</f>
        <v>77473</v>
      </c>
      <c r="J26" s="15"/>
      <c r="L26" s="30">
        <f>('TUSD BE'!$L$26+'TUSD BF'!$L$26+'TUSD CVA'!$L$26)*1</f>
        <v>0</v>
      </c>
      <c r="M26" s="30">
        <f>('TUSD BE'!$M$26+'TUSD BF'!$M$26+'TUSD CVA'!$M$26)*1</f>
        <v>0</v>
      </c>
      <c r="N26" s="30">
        <f ca="1">('TUSD BE'!$N$26+'TUSD BF'!$N$26+'TUSD CVA'!$N$26)*1</f>
        <v>0</v>
      </c>
      <c r="O26" s="30">
        <f>('TUSD BE'!$O$26+'TUSD BF'!$O$26+'TUSD CVA'!$O$26)*1</f>
        <v>0</v>
      </c>
      <c r="P26" s="30">
        <f>('TUSD BE'!$P$26+'TUSD BF'!$P$26+'TUSD CVA'!$P$26)*1</f>
        <v>0</v>
      </c>
      <c r="Q26" s="30">
        <f>('TUSD BE'!$Q$26+'TUSD BF'!$Q$26+'TUSD CVA'!$Q$26)*1</f>
        <v>0</v>
      </c>
      <c r="R26" s="30">
        <f>('TUSD BE'!$R$26+'TUSD BF'!$R$26+'TUSD CVA'!$R$26)*1</f>
        <v>0</v>
      </c>
      <c r="S26" s="30">
        <f>('TUSD BE'!$S$26+'TUSD BF'!$S$26+'TUSD CVA'!$S$26)*1</f>
        <v>0</v>
      </c>
      <c r="T26" s="30">
        <f>('TUSD BE'!$U$26+'TUSD BF'!$U$26+'TUSD CVA'!$U$26)*1</f>
        <v>6.5330010348273149</v>
      </c>
      <c r="U26" s="30">
        <f>('TUSD BE'!$V$26+'TUSD BF'!$V$26+'TUSD CVA'!$V$26)*1</f>
        <v>1.1446841305968802</v>
      </c>
      <c r="V26" s="30">
        <f>('TUSD BE'!$W$26+'TUSD BF'!$W$26+'TUSD CVA'!$W$26)*1</f>
        <v>1.233159066794969</v>
      </c>
      <c r="W26" s="30">
        <f>('TUSD BE'!$X$26+'TUSD BF'!$X$26+'TUSD CVA'!$X$26)*1</f>
        <v>0</v>
      </c>
      <c r="X26" s="30">
        <f>('TUSD BE'!$Y$26+'TUSD BF'!$Y$26+'TUSD CVA'!$Y$26)*1</f>
        <v>0</v>
      </c>
      <c r="Y26" s="30">
        <f>('TUSD BE'!$Z$26+'TUSD BF'!$Z$26+'TUSD CVA'!$Z$26)*1</f>
        <v>0</v>
      </c>
      <c r="Z26" s="30">
        <f>('TUSD BE'!$AA$26+'TUSD BF'!$AA$26+'TUSD CVA'!$AA$26)*1</f>
        <v>0</v>
      </c>
      <c r="AA26" s="30">
        <f>('TUSD BE'!$AC$26+'TUSD BF'!$AC$26+'TUSD CVA'!$AC$26)*1</f>
        <v>27.341604433050872</v>
      </c>
      <c r="AB26" s="30">
        <f>('TUSD BE'!$AE$26+'TUSD BF'!$AE$26+'TUSD CVA'!$AE$26)*1</f>
        <v>0</v>
      </c>
      <c r="AC26" s="30">
        <f ca="1">('TUSD BE'!$AF$26+'TUSD BF'!$AF$26+'TUSD CVA'!$AF$26)*1</f>
        <v>0</v>
      </c>
      <c r="AD26" s="30">
        <f>('TUSD BE'!$AH$26+'TUSD BF'!$AH$26+'TUSD CVA'!$AH$26)*1</f>
        <v>0</v>
      </c>
      <c r="AE26" s="30">
        <f>('TUSD BE'!$AI$26+'TUSD BF'!$AI$26+'TUSD CVA'!$AI$26)*1</f>
        <v>0</v>
      </c>
      <c r="AF26" s="30">
        <f ca="1">('TUSD BE'!$AJ$26+'TUSD BF'!$AJ$26+'TUSD CVA'!$AJ$26)*1</f>
        <v>0</v>
      </c>
      <c r="AG26" s="30">
        <f ca="1">('TUSD BE'!$AK$26+'TUSD BF'!$AK$26+'TUSD CVA'!$AK$26)*1</f>
        <v>0</v>
      </c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6.7126751401568496</v>
      </c>
      <c r="AR26" s="30">
        <v>1.75842498864031</v>
      </c>
      <c r="AS26" s="30">
        <v>0.83761756676308297</v>
      </c>
      <c r="AT26" s="30">
        <v>0</v>
      </c>
      <c r="AU26" s="30">
        <v>0</v>
      </c>
      <c r="AV26" s="30">
        <v>0</v>
      </c>
      <c r="AW26" s="30">
        <v>0</v>
      </c>
      <c r="AX26" s="30">
        <v>20.584817165067999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</row>
    <row r="27" spans="1:56" ht="11.25" customHeight="1" x14ac:dyDescent="0.25">
      <c r="A27" s="108"/>
      <c r="B27" s="108"/>
      <c r="C27" s="108"/>
      <c r="D27" s="108"/>
      <c r="E27" s="108"/>
      <c r="F27" s="108"/>
      <c r="G27" s="33" t="s">
        <v>101</v>
      </c>
      <c r="H27" s="33" t="s">
        <v>99</v>
      </c>
      <c r="I27" s="33">
        <f>'MERCADO TUSD'!$U$24</f>
        <v>76119</v>
      </c>
      <c r="J27" s="15"/>
      <c r="L27" s="30">
        <f>('TUSD BE'!$L$27+'TUSD BF'!$L$27+'TUSD CVA'!$L$27)*1</f>
        <v>0</v>
      </c>
      <c r="M27" s="30">
        <f>('TUSD BE'!$M$27+'TUSD BF'!$M$27+'TUSD CVA'!$M$27)*1</f>
        <v>0</v>
      </c>
      <c r="N27" s="30">
        <f ca="1">('TUSD BE'!$N$27+'TUSD BF'!$N$27+'TUSD CVA'!$N$27)*1</f>
        <v>0</v>
      </c>
      <c r="O27" s="30">
        <f>('TUSD BE'!$O$27+'TUSD BF'!$O$27+'TUSD CVA'!$O$27)*1</f>
        <v>0</v>
      </c>
      <c r="P27" s="30">
        <f>('TUSD BE'!$P$27+'TUSD BF'!$P$27+'TUSD CVA'!$P$27)*1</f>
        <v>0</v>
      </c>
      <c r="Q27" s="30">
        <f>('TUSD BE'!$Q$27+'TUSD BF'!$Q$27+'TUSD CVA'!$Q$27)*1</f>
        <v>0</v>
      </c>
      <c r="R27" s="30">
        <f>('TUSD BE'!$R$27+'TUSD BF'!$R$27+'TUSD CVA'!$R$27)*1</f>
        <v>0</v>
      </c>
      <c r="S27" s="30">
        <f>('TUSD BE'!$S$27+'TUSD BF'!$S$27+'TUSD CVA'!$S$27)*1</f>
        <v>0</v>
      </c>
      <c r="T27" s="30">
        <f>('TUSD BE'!$U$27+'TUSD BF'!$U$27+'TUSD CVA'!$U$27)*1</f>
        <v>6.5768927066968237</v>
      </c>
      <c r="U27" s="30">
        <f>('TUSD BE'!$V$27+'TUSD BF'!$V$27+'TUSD CVA'!$V$27)*1</f>
        <v>1.166947410852117</v>
      </c>
      <c r="V27" s="30">
        <f>('TUSD BE'!$W$27+'TUSD BF'!$W$27+'TUSD CVA'!$W$27)*1</f>
        <v>0.91311816803224288</v>
      </c>
      <c r="W27" s="30">
        <f>('TUSD BE'!$X$27+'TUSD BF'!$X$27+'TUSD CVA'!$X$27)*1</f>
        <v>0</v>
      </c>
      <c r="X27" s="30">
        <f>('TUSD BE'!$Y$27+'TUSD BF'!$Y$27+'TUSD CVA'!$Y$27)*1</f>
        <v>0</v>
      </c>
      <c r="Y27" s="30">
        <f>('TUSD BE'!$Z$27+'TUSD BF'!$Z$27+'TUSD CVA'!$Z$27)*1</f>
        <v>0</v>
      </c>
      <c r="Z27" s="30">
        <f>('TUSD BE'!$AA$27+'TUSD BF'!$AA$27+'TUSD CVA'!$AA$27)*1</f>
        <v>0</v>
      </c>
      <c r="AA27" s="30">
        <f>('TUSD BE'!$AC$27+'TUSD BF'!$AC$27+'TUSD CVA'!$AC$27)*1</f>
        <v>7.8248423465939618</v>
      </c>
      <c r="AB27" s="30">
        <f>('TUSD BE'!$AE$27+'TUSD BF'!$AE$27+'TUSD CVA'!$AE$27)*1</f>
        <v>0</v>
      </c>
      <c r="AC27" s="30">
        <f ca="1">('TUSD BE'!$AF$27+'TUSD BF'!$AF$27+'TUSD CVA'!$AF$27)*1</f>
        <v>0</v>
      </c>
      <c r="AD27" s="30">
        <f>('TUSD BE'!$AH$27+'TUSD BF'!$AH$27+'TUSD CVA'!$AH$27)*1</f>
        <v>0</v>
      </c>
      <c r="AE27" s="30">
        <f>('TUSD BE'!$AI$27+'TUSD BF'!$AI$27+'TUSD CVA'!$AI$27)*1</f>
        <v>0</v>
      </c>
      <c r="AF27" s="30">
        <f ca="1">('TUSD BE'!$AJ$27+'TUSD BF'!$AJ$27+'TUSD CVA'!$AJ$27)*1</f>
        <v>0</v>
      </c>
      <c r="AG27" s="30">
        <f ca="1">('TUSD BE'!$AK$27+'TUSD BF'!$AK$27+'TUSD CVA'!$AK$27)*1</f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6.7577739443737297</v>
      </c>
      <c r="AR27" s="30">
        <v>1.79262508566576</v>
      </c>
      <c r="AS27" s="30">
        <v>0.62023127321456695</v>
      </c>
      <c r="AT27" s="30">
        <v>0</v>
      </c>
      <c r="AU27" s="30">
        <v>0</v>
      </c>
      <c r="AV27" s="30">
        <v>0</v>
      </c>
      <c r="AW27" s="30">
        <v>0</v>
      </c>
      <c r="AX27" s="30">
        <v>5.8911301070324802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</row>
    <row r="28" spans="1:56" ht="11.25" customHeight="1" x14ac:dyDescent="0.25">
      <c r="A28" s="108"/>
      <c r="B28" s="108"/>
      <c r="C28" s="108"/>
      <c r="D28" s="108"/>
      <c r="E28" s="108"/>
      <c r="F28" s="108"/>
      <c r="G28" s="33" t="s">
        <v>98</v>
      </c>
      <c r="H28" s="33" t="s">
        <v>93</v>
      </c>
      <c r="I28" s="33">
        <f>'MERCADO TUSD'!$U$25</f>
        <v>23909.611000000004</v>
      </c>
      <c r="J28" s="15"/>
      <c r="L28" s="30">
        <f>('TUSD BE'!$L$28+'TUSD BF'!$L$28+'TUSD CVA'!$L$28)*1</f>
        <v>0</v>
      </c>
      <c r="M28" s="30">
        <f>('TUSD BE'!$M$28+'TUSD BF'!$M$28+'TUSD CVA'!$M$28)*1</f>
        <v>0</v>
      </c>
      <c r="N28" s="30">
        <f ca="1">('TUSD BE'!$N$28+'TUSD BF'!$N$28+'TUSD CVA'!$N$28)*1</f>
        <v>0</v>
      </c>
      <c r="O28" s="30">
        <f>('TUSD BE'!$O$28+'TUSD BF'!$O$28+'TUSD CVA'!$O$28)*1</f>
        <v>0</v>
      </c>
      <c r="P28" s="30">
        <f>('TUSD BE'!$P$28+'TUSD BF'!$P$28+'TUSD CVA'!$P$28)*1</f>
        <v>0</v>
      </c>
      <c r="Q28" s="30">
        <f>('TUSD BE'!$Q$28+'TUSD BF'!$Q$28+'TUSD CVA'!$Q$28)*1</f>
        <v>0</v>
      </c>
      <c r="R28" s="30">
        <f>('TUSD BE'!$R$28+'TUSD BF'!$R$28+'TUSD CVA'!$R$28)*1</f>
        <v>0</v>
      </c>
      <c r="S28" s="30">
        <f>('TUSD BE'!$S$28+'TUSD BF'!$S$28+'TUSD CVA'!$S$28)*1</f>
        <v>0</v>
      </c>
      <c r="T28" s="30">
        <f>('TUSD BE'!$U$28+'TUSD BF'!$U$28+'TUSD CVA'!$U$28)*1</f>
        <v>0</v>
      </c>
      <c r="U28" s="30">
        <f>('TUSD BE'!$V$28+'TUSD BF'!$V$28+'TUSD CVA'!$V$28)*1</f>
        <v>0</v>
      </c>
      <c r="V28" s="30">
        <f>('TUSD BE'!$W$28+'TUSD BF'!$W$28+'TUSD CVA'!$W$28)*1</f>
        <v>0</v>
      </c>
      <c r="W28" s="30">
        <f>('TUSD BE'!$X$28+'TUSD BF'!$X$28+'TUSD CVA'!$X$28)*1</f>
        <v>0</v>
      </c>
      <c r="X28" s="30">
        <f>('TUSD BE'!$Y$28+'TUSD BF'!$Y$28+'TUSD CVA'!$Y$28)*1</f>
        <v>0</v>
      </c>
      <c r="Y28" s="30">
        <f>('TUSD BE'!$Z$28+'TUSD BF'!$Z$28+'TUSD CVA'!$Z$28)*1</f>
        <v>0</v>
      </c>
      <c r="Z28" s="30">
        <f>('TUSD BE'!$AA$28+'TUSD BF'!$AA$28+'TUSD CVA'!$AA$28)*1</f>
        <v>0</v>
      </c>
      <c r="AA28" s="30">
        <f>('TUSD BE'!$AC$28+'TUSD BF'!$AC$28+'TUSD CVA'!$AC$28)*1</f>
        <v>0</v>
      </c>
      <c r="AB28" s="30">
        <f>('TUSD BE'!$AE$28+'TUSD BF'!$AE$28+'TUSD CVA'!$AE$28)*1</f>
        <v>0</v>
      </c>
      <c r="AC28" s="30">
        <f ca="1">('TUSD BE'!$AF$28+'TUSD BF'!$AF$28+'TUSD CVA'!$AF$28)*1</f>
        <v>0</v>
      </c>
      <c r="AD28" s="30">
        <f>('TUSD BE'!$AH$28+'TUSD BF'!$AH$28+'TUSD CVA'!$AH$28)*1</f>
        <v>10.767580057039785</v>
      </c>
      <c r="AE28" s="30">
        <f>('TUSD BE'!$AI$28+'TUSD BF'!$AI$28+'TUSD CVA'!$AI$28)*1</f>
        <v>0.38336507663702041</v>
      </c>
      <c r="AF28" s="30">
        <f ca="1">('TUSD BE'!$AJ$28+'TUSD BF'!$AJ$28+'TUSD CVA'!$AJ$28)*1</f>
        <v>0</v>
      </c>
      <c r="AG28" s="30">
        <f ca="1">('TUSD BE'!$AK$28+'TUSD BF'!$AK$28+'TUSD CVA'!$AK$28)*1</f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9.3348552795007897</v>
      </c>
      <c r="BB28" s="30">
        <v>0.31715729696659201</v>
      </c>
      <c r="BC28" s="30">
        <v>0</v>
      </c>
      <c r="BD28" s="30">
        <v>0</v>
      </c>
    </row>
    <row r="29" spans="1:56" ht="11.25" customHeight="1" x14ac:dyDescent="0.25">
      <c r="A29" s="108"/>
      <c r="B29" s="34" t="s">
        <v>69</v>
      </c>
      <c r="C29" s="34" t="s">
        <v>25</v>
      </c>
      <c r="D29" s="34" t="s">
        <v>25</v>
      </c>
      <c r="E29" s="34" t="s">
        <v>25</v>
      </c>
      <c r="F29" s="34" t="s">
        <v>25</v>
      </c>
      <c r="G29" s="33" t="s">
        <v>9</v>
      </c>
      <c r="H29" s="33" t="s">
        <v>99</v>
      </c>
      <c r="I29" s="33">
        <f>'MERCADO TUSD'!$U$26</f>
        <v>7140</v>
      </c>
      <c r="J29" s="15"/>
      <c r="L29" s="30">
        <f>('TUSD BE'!$L$29+'TUSD BF'!$L$29+'TUSD CVA'!$L$29)*1</f>
        <v>0</v>
      </c>
      <c r="M29" s="30">
        <f>('TUSD BE'!$M$29+'TUSD BF'!$M$29+'TUSD CVA'!$M$29)*1</f>
        <v>3.3834942920400353E-2</v>
      </c>
      <c r="N29" s="30">
        <f ca="1">('TUSD BE'!$N$29+'TUSD BF'!$N$29+'TUSD CVA'!$N$29)*1</f>
        <v>0.13201567709594306</v>
      </c>
      <c r="O29" s="30">
        <f>('TUSD BE'!$O$29+'TUSD BF'!$O$29+'TUSD CVA'!$O$29)*1</f>
        <v>0</v>
      </c>
      <c r="P29" s="30">
        <f>('TUSD BE'!$P$29+'TUSD BF'!$P$29+'TUSD CVA'!$P$29)*1</f>
        <v>0</v>
      </c>
      <c r="Q29" s="30">
        <f>('TUSD BE'!$Q$29+'TUSD BF'!$Q$29+'TUSD CVA'!$Q$29)*1</f>
        <v>0</v>
      </c>
      <c r="R29" s="30">
        <f>('TUSD BE'!$R$29+'TUSD BF'!$R$29+'TUSD CVA'!$R$29)*1</f>
        <v>0</v>
      </c>
      <c r="S29" s="30">
        <f>('TUSD BE'!$S$29+'TUSD BF'!$S$29+'TUSD CVA'!$S$29)*1</f>
        <v>0</v>
      </c>
      <c r="T29" s="30">
        <f>('TUSD BE'!$U$29+'TUSD BF'!$U$29+'TUSD CVA'!$U$29)*1</f>
        <v>0</v>
      </c>
      <c r="U29" s="30">
        <f>('TUSD BE'!$V$29+'TUSD BF'!$V$29+'TUSD CVA'!$V$29)*1</f>
        <v>0</v>
      </c>
      <c r="V29" s="30">
        <f>('TUSD BE'!$W$29+'TUSD BF'!$W$29+'TUSD CVA'!$W$29)*1</f>
        <v>0</v>
      </c>
      <c r="W29" s="30">
        <f>('TUSD BE'!$X$29+'TUSD BF'!$X$29+'TUSD CVA'!$X$29)*1</f>
        <v>0</v>
      </c>
      <c r="X29" s="30">
        <f>('TUSD BE'!$Y$29+'TUSD BF'!$Y$29+'TUSD CVA'!$Y$29)*1</f>
        <v>0</v>
      </c>
      <c r="Y29" s="30">
        <f>('TUSD BE'!$Z$29+'TUSD BF'!$Z$29+'TUSD CVA'!$Z$29)*1</f>
        <v>0</v>
      </c>
      <c r="Z29" s="30">
        <f>('TUSD BE'!$AA$29+'TUSD BF'!$AA$29+'TUSD CVA'!$AA$29)*1</f>
        <v>0</v>
      </c>
      <c r="AA29" s="30">
        <f>('TUSD BE'!$AC$29+'TUSD BF'!$AC$29+'TUSD CVA'!$AC$29)*1</f>
        <v>15.378143205893823</v>
      </c>
      <c r="AB29" s="30">
        <f ca="1">('TUSD BE'!$AE$29+'TUSD BF'!$AE$29+'TUSD CVA'!$AE$29)*1</f>
        <v>-1.2273164475032865</v>
      </c>
      <c r="AC29" s="30">
        <f ca="1">('TUSD BE'!$AF$29+'TUSD BF'!$AF$29+'TUSD CVA'!$AF$29)*1</f>
        <v>0</v>
      </c>
      <c r="AD29" s="30">
        <f>('TUSD BE'!$AH$29+'TUSD BF'!$AH$29+'TUSD CVA'!$AH$29)*1</f>
        <v>0</v>
      </c>
      <c r="AE29" s="30">
        <f>('TUSD BE'!$AI$29+'TUSD BF'!$AI$29+'TUSD CVA'!$AI$29)*1</f>
        <v>0</v>
      </c>
      <c r="AF29" s="30">
        <f ca="1">('TUSD BE'!$AJ$29+'TUSD BF'!$AJ$29+'TUSD CVA'!$AJ$29)*1</f>
        <v>0</v>
      </c>
      <c r="AG29" s="30">
        <f ca="1">('TUSD BE'!$AK$29+'TUSD BF'!$AK$29+'TUSD CVA'!$AK$29)*1</f>
        <v>0</v>
      </c>
      <c r="AI29" s="30">
        <v>0</v>
      </c>
      <c r="AJ29" s="30">
        <v>3.5732988358554298E-2</v>
      </c>
      <c r="AK29" s="30">
        <v>0.131730212198161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11.5778233500043</v>
      </c>
      <c r="AY29" s="30">
        <v>-7.2592218514335501E-3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</row>
    <row r="30" spans="1:56" ht="11.25" customHeight="1" x14ac:dyDescent="0.25">
      <c r="A30" s="108"/>
      <c r="B30" s="108" t="s">
        <v>42</v>
      </c>
      <c r="C30" s="108" t="s">
        <v>25</v>
      </c>
      <c r="D30" s="108" t="s">
        <v>25</v>
      </c>
      <c r="E30" s="108" t="s">
        <v>25</v>
      </c>
      <c r="F30" s="108" t="s">
        <v>25</v>
      </c>
      <c r="G30" s="33" t="s">
        <v>9</v>
      </c>
      <c r="H30" s="33" t="s">
        <v>99</v>
      </c>
      <c r="I30" s="33">
        <f>'MERCADO TUSD'!$U$27</f>
        <v>2117358</v>
      </c>
      <c r="J30" s="15"/>
      <c r="L30" s="30">
        <f>('TUSD BE'!$L$30+'TUSD BF'!$L$30+'TUSD CVA'!$L$30)*1</f>
        <v>0</v>
      </c>
      <c r="M30" s="30">
        <f>('TUSD BE'!$M$30+'TUSD BF'!$M$30+'TUSD CVA'!$M$30)*1</f>
        <v>0</v>
      </c>
      <c r="N30" s="30">
        <f ca="1">('TUSD BE'!$N$30+'TUSD BF'!$N$30+'TUSD CVA'!$N$30)*1</f>
        <v>0</v>
      </c>
      <c r="O30" s="30">
        <f>('TUSD BE'!$O$30+'TUSD BF'!$O$30+'TUSD CVA'!$O$30)*1</f>
        <v>0</v>
      </c>
      <c r="P30" s="30">
        <f>('TUSD BE'!$P$30+'TUSD BF'!$P$30+'TUSD CVA'!$P$30)*1</f>
        <v>0</v>
      </c>
      <c r="Q30" s="30">
        <f>('TUSD BE'!$Q$30+'TUSD BF'!$Q$30+'TUSD CVA'!$Q$30)*1</f>
        <v>0</v>
      </c>
      <c r="R30" s="30">
        <f>('TUSD BE'!$R$30+'TUSD BF'!$R$30+'TUSD CVA'!$R$30)*1</f>
        <v>0</v>
      </c>
      <c r="S30" s="30">
        <f>('TUSD BE'!$S$30+'TUSD BF'!$S$30+'TUSD CVA'!$S$30)*1</f>
        <v>0</v>
      </c>
      <c r="T30" s="30">
        <f>('TUSD BE'!$U$30+'TUSD BF'!$U$30+'TUSD CVA'!$U$30)*1</f>
        <v>6.5768927066968237</v>
      </c>
      <c r="U30" s="30">
        <f>('TUSD BE'!$V$30+'TUSD BF'!$V$30+'TUSD CVA'!$V$30)*1</f>
        <v>1.166947410852117</v>
      </c>
      <c r="V30" s="30">
        <f>('TUSD BE'!$W$30+'TUSD BF'!$W$30+'TUSD CVA'!$W$30)*1</f>
        <v>0.91311816803224288</v>
      </c>
      <c r="W30" s="30">
        <f>('TUSD BE'!$X$30+'TUSD BF'!$X$30+'TUSD CVA'!$X$30)*1</f>
        <v>0</v>
      </c>
      <c r="X30" s="30">
        <f>('TUSD BE'!$Y$30+'TUSD BF'!$Y$30+'TUSD CVA'!$Y$30)*1</f>
        <v>0</v>
      </c>
      <c r="Y30" s="30">
        <f>('TUSD BE'!$Z$30+'TUSD BF'!$Z$30+'TUSD CVA'!$Z$30)*1</f>
        <v>0</v>
      </c>
      <c r="Z30" s="30">
        <f>('TUSD BE'!$AA$30+'TUSD BF'!$AA$30+'TUSD CVA'!$AA$30)*1</f>
        <v>0</v>
      </c>
      <c r="AA30" s="30">
        <f>('TUSD BE'!$AC$30+'TUSD BF'!$AC$30+'TUSD CVA'!$AC$30)*1</f>
        <v>20.132985794346975</v>
      </c>
      <c r="AB30" s="30">
        <f ca="1">('TUSD BE'!$AE$30+'TUSD BF'!$AE$30+'TUSD CVA'!$AE$30)*1</f>
        <v>-2.1918694332876352</v>
      </c>
      <c r="AC30" s="30">
        <f ca="1">('TUSD BE'!$AF$30+'TUSD BF'!$AF$30+'TUSD CVA'!$AF$30)*1</f>
        <v>0</v>
      </c>
      <c r="AD30" s="30">
        <f>('TUSD BE'!$AH$30+'TUSD BF'!$AH$30+'TUSD CVA'!$AH$30)*1</f>
        <v>0</v>
      </c>
      <c r="AE30" s="30">
        <f>('TUSD BE'!$AI$30+'TUSD BF'!$AI$30+'TUSD CVA'!$AI$30)*1</f>
        <v>0</v>
      </c>
      <c r="AF30" s="30">
        <f ca="1">('TUSD BE'!$AJ$30+'TUSD BF'!$AJ$30+'TUSD CVA'!$AJ$30)*1</f>
        <v>0</v>
      </c>
      <c r="AG30" s="30">
        <f ca="1">('TUSD BE'!$AK$30+'TUSD BF'!$AK$30+'TUSD CVA'!$AK$30)*1</f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6.7577739443737297</v>
      </c>
      <c r="AR30" s="30">
        <v>1.79262508566576</v>
      </c>
      <c r="AS30" s="30">
        <v>0.62023127321456695</v>
      </c>
      <c r="AT30" s="30">
        <v>0</v>
      </c>
      <c r="AU30" s="30">
        <v>0</v>
      </c>
      <c r="AV30" s="30">
        <v>0</v>
      </c>
      <c r="AW30" s="30">
        <v>0</v>
      </c>
      <c r="AX30" s="30">
        <v>15.157626633738101</v>
      </c>
      <c r="AY30" s="30">
        <v>-1.40626695208254E-2</v>
      </c>
      <c r="AZ30" s="30">
        <v>0</v>
      </c>
      <c r="BA30" s="30">
        <v>0</v>
      </c>
      <c r="BB30" s="30">
        <v>0</v>
      </c>
      <c r="BC30" s="30">
        <v>0</v>
      </c>
      <c r="BD30" s="30">
        <v>0</v>
      </c>
    </row>
    <row r="31" spans="1:56" ht="11.25" customHeight="1" x14ac:dyDescent="0.25">
      <c r="A31" s="108"/>
      <c r="B31" s="108"/>
      <c r="C31" s="108"/>
      <c r="D31" s="108"/>
      <c r="E31" s="108"/>
      <c r="F31" s="108"/>
      <c r="G31" s="33" t="s">
        <v>94</v>
      </c>
      <c r="H31" s="33" t="s">
        <v>93</v>
      </c>
      <c r="I31" s="33">
        <f>'MERCADO TUSD'!$U$28</f>
        <v>29188.286</v>
      </c>
      <c r="J31" s="15"/>
      <c r="L31" s="30">
        <f>('TUSD BE'!$L$31+'TUSD BF'!$L$31+'TUSD CVA'!$L$31)*1</f>
        <v>3.3790499222838921</v>
      </c>
      <c r="M31" s="30">
        <f>('TUSD BE'!$M$31+'TUSD BF'!$M$31+'TUSD CVA'!$M$31)*1</f>
        <v>0.74976696047971558</v>
      </c>
      <c r="N31" s="30">
        <f ca="1">('TUSD BE'!$N$31+'TUSD BF'!$N$31+'TUSD CVA'!$N$31)*1</f>
        <v>17.098827295178438</v>
      </c>
      <c r="O31" s="30">
        <f>('TUSD BE'!$O$31+'TUSD BF'!$O$31+'TUSD CVA'!$O$31)*1</f>
        <v>2.3178841689617181E-2</v>
      </c>
      <c r="P31" s="30">
        <f>('TUSD BE'!$P$31+'TUSD BF'!$P$31+'TUSD CVA'!$P$31)*1</f>
        <v>0</v>
      </c>
      <c r="Q31" s="30">
        <f>('TUSD BE'!$Q$31+'TUSD BF'!$Q$31+'TUSD CVA'!$Q$31)*1</f>
        <v>32.880384258105224</v>
      </c>
      <c r="R31" s="30">
        <f>('TUSD BE'!$R$31+'TUSD BF'!$R$31+'TUSD CVA'!$R$31)*1</f>
        <v>15.944062081967184</v>
      </c>
      <c r="S31" s="30">
        <f>('TUSD BE'!$S$31+'TUSD BF'!$S$31+'TUSD CVA'!$S$31)*1</f>
        <v>0</v>
      </c>
      <c r="T31" s="30">
        <f>('TUSD BE'!$U$31+'TUSD BF'!$U$31+'TUSD CVA'!$U$31)*1</f>
        <v>157.12060276832312</v>
      </c>
      <c r="U31" s="30">
        <f>('TUSD BE'!$V$31+'TUSD BF'!$V$31+'TUSD CVA'!$V$31)*1</f>
        <v>27.528428860440936</v>
      </c>
      <c r="V31" s="30">
        <f>('TUSD BE'!$W$31+'TUSD BF'!$W$31+'TUSD CVA'!$W$31)*1</f>
        <v>29.659384129546176</v>
      </c>
      <c r="W31" s="30">
        <f>('TUSD BE'!$X$31+'TUSD BF'!$X$31+'TUSD CVA'!$X$31)*1</f>
        <v>0</v>
      </c>
      <c r="X31" s="30">
        <f>('TUSD BE'!$Y$31+'TUSD BF'!$Y$31+'TUSD CVA'!$Y$31)*1</f>
        <v>0</v>
      </c>
      <c r="Y31" s="30">
        <f>('TUSD BE'!$Z$31+'TUSD BF'!$Z$31+'TUSD CVA'!$Z$31)*1</f>
        <v>0</v>
      </c>
      <c r="Z31" s="30">
        <f>('TUSD BE'!$AA$31+'TUSD BF'!$AA$31+'TUSD CVA'!$AA$31)*1</f>
        <v>0</v>
      </c>
      <c r="AA31" s="30">
        <f>('TUSD BE'!$AC$31+'TUSD BF'!$AC$31+'TUSD CVA'!$AC$31)*1</f>
        <v>1691.8721586024376</v>
      </c>
      <c r="AB31" s="30">
        <f ca="1">('TUSD BE'!$AE$31+'TUSD BF'!$AE$31+'TUSD CVA'!$AE$31)*1</f>
        <v>-155.55267673081494</v>
      </c>
      <c r="AC31" s="30">
        <f ca="1">('TUSD BE'!$AF$31+'TUSD BF'!$AF$31+'TUSD CVA'!$AF$31)*1</f>
        <v>0</v>
      </c>
      <c r="AD31" s="30">
        <f>('TUSD BE'!$AH$31+'TUSD BF'!$AH$31+'TUSD CVA'!$AH$31)*1</f>
        <v>10.767580057039785</v>
      </c>
      <c r="AE31" s="30">
        <f>('TUSD BE'!$AI$31+'TUSD BF'!$AI$31+'TUSD CVA'!$AI$31)*1</f>
        <v>0.38336507663702041</v>
      </c>
      <c r="AF31" s="30">
        <f ca="1">('TUSD BE'!$AJ$31+'TUSD BF'!$AJ$31+'TUSD CVA'!$AJ$31)*1</f>
        <v>6.0354999899165938</v>
      </c>
      <c r="AG31" s="30">
        <f ca="1">('TUSD BE'!$AK$31+'TUSD BF'!$AK$31+'TUSD CVA'!$AK$31)*1</f>
        <v>0</v>
      </c>
      <c r="AI31" s="30">
        <v>0</v>
      </c>
      <c r="AJ31" s="30">
        <v>0.70008158010713795</v>
      </c>
      <c r="AK31" s="30">
        <v>17.048945735902301</v>
      </c>
      <c r="AL31" s="30">
        <v>2.6042479560220402E-2</v>
      </c>
      <c r="AM31" s="30">
        <v>0</v>
      </c>
      <c r="AN31" s="30">
        <v>20.033605492538801</v>
      </c>
      <c r="AO31" s="30">
        <v>10.9728039525681</v>
      </c>
      <c r="AP31" s="30">
        <v>0</v>
      </c>
      <c r="AQ31" s="30">
        <v>161.44181802310999</v>
      </c>
      <c r="AR31" s="30">
        <v>42.288239971463</v>
      </c>
      <c r="AS31" s="30">
        <v>20.145998870081399</v>
      </c>
      <c r="AT31" s="30">
        <v>0</v>
      </c>
      <c r="AU31" s="30">
        <v>0</v>
      </c>
      <c r="AV31" s="30">
        <v>0</v>
      </c>
      <c r="AW31" s="30">
        <v>0</v>
      </c>
      <c r="AX31" s="30">
        <v>1273.76866770119</v>
      </c>
      <c r="AY31" s="30">
        <v>-0.93921754074437402</v>
      </c>
      <c r="AZ31" s="30">
        <v>0</v>
      </c>
      <c r="BA31" s="30">
        <v>9.3348552795007897</v>
      </c>
      <c r="BB31" s="30">
        <v>0.31715729696659201</v>
      </c>
      <c r="BC31" s="30">
        <v>5.6535235491578204</v>
      </c>
      <c r="BD31" s="30">
        <v>0</v>
      </c>
    </row>
    <row r="32" spans="1:56" ht="11.25" customHeight="1" x14ac:dyDescent="0.25">
      <c r="A32" s="108"/>
      <c r="B32" s="108"/>
      <c r="C32" s="108"/>
      <c r="D32" s="108"/>
      <c r="E32" s="108"/>
      <c r="F32" s="108"/>
      <c r="G32" s="33" t="s">
        <v>95</v>
      </c>
      <c r="H32" s="33" t="s">
        <v>93</v>
      </c>
      <c r="I32" s="33">
        <f>'MERCADO TUSD'!$U$29</f>
        <v>435361.07400000002</v>
      </c>
      <c r="J32" s="15"/>
      <c r="L32" s="30">
        <f>('TUSD BE'!$L$32+'TUSD BF'!$L$32+'TUSD CVA'!$L$32)*1</f>
        <v>3.3790499222838921</v>
      </c>
      <c r="M32" s="30">
        <f>('TUSD BE'!$M$32+'TUSD BF'!$M$32+'TUSD CVA'!$M$32)*1</f>
        <v>0.74976696047971558</v>
      </c>
      <c r="N32" s="30">
        <f ca="1">('TUSD BE'!$N$32+'TUSD BF'!$N$32+'TUSD CVA'!$N$32)*1</f>
        <v>0.47822580772545698</v>
      </c>
      <c r="O32" s="30">
        <f>('TUSD BE'!$O$32+'TUSD BF'!$O$32+'TUSD CVA'!$O$32)*1</f>
        <v>2.3178841689617181E-2</v>
      </c>
      <c r="P32" s="30">
        <f>('TUSD BE'!$P$32+'TUSD BF'!$P$32+'TUSD CVA'!$P$32)*1</f>
        <v>0</v>
      </c>
      <c r="Q32" s="30">
        <f>('TUSD BE'!$Q$32+'TUSD BF'!$Q$32+'TUSD CVA'!$Q$32)*1</f>
        <v>32.880384258105224</v>
      </c>
      <c r="R32" s="30">
        <f>('TUSD BE'!$R$32+'TUSD BF'!$R$32+'TUSD CVA'!$R$32)*1</f>
        <v>15.944062081967184</v>
      </c>
      <c r="S32" s="30">
        <f>('TUSD BE'!$S$32+'TUSD BF'!$S$32+'TUSD CVA'!$S$32)*1</f>
        <v>0</v>
      </c>
      <c r="T32" s="30">
        <f>('TUSD BE'!$U$32+'TUSD BF'!$U$32+'TUSD CVA'!$U$32)*1</f>
        <v>0</v>
      </c>
      <c r="U32" s="30">
        <f>('TUSD BE'!$V$32+'TUSD BF'!$V$32+'TUSD CVA'!$V$32)*1</f>
        <v>0</v>
      </c>
      <c r="V32" s="30">
        <f>('TUSD BE'!$W$32+'TUSD BF'!$W$32+'TUSD CVA'!$W$32)*1</f>
        <v>0</v>
      </c>
      <c r="W32" s="30">
        <f>('TUSD BE'!$X$32+'TUSD BF'!$X$32+'TUSD CVA'!$X$32)*1</f>
        <v>0</v>
      </c>
      <c r="X32" s="30">
        <f>('TUSD BE'!$Y$32+'TUSD BF'!$Y$32+'TUSD CVA'!$Y$32)*1</f>
        <v>0</v>
      </c>
      <c r="Y32" s="30">
        <f>('TUSD BE'!$Z$32+'TUSD BF'!$Z$32+'TUSD CVA'!$Z$32)*1</f>
        <v>0</v>
      </c>
      <c r="Z32" s="30">
        <f>('TUSD BE'!$AA$32+'TUSD BF'!$AA$32+'TUSD CVA'!$AA$32)*1</f>
        <v>0</v>
      </c>
      <c r="AA32" s="30">
        <f>('TUSD BE'!$AC$32+'TUSD BF'!$AC$32+'TUSD CVA'!$AC$32)*1</f>
        <v>0</v>
      </c>
      <c r="AB32" s="30">
        <f ca="1">('TUSD BE'!$AE$32+'TUSD BF'!$AE$32+'TUSD CVA'!$AE$32)*1</f>
        <v>-5.6337033693360432</v>
      </c>
      <c r="AC32" s="30">
        <f ca="1">('TUSD BE'!$AF$32+'TUSD BF'!$AF$32+'TUSD CVA'!$AF$32)*1</f>
        <v>0</v>
      </c>
      <c r="AD32" s="30">
        <f>('TUSD BE'!$AH$32+'TUSD BF'!$AH$32+'TUSD CVA'!$AH$32)*1</f>
        <v>10.767580057039785</v>
      </c>
      <c r="AE32" s="30">
        <f>('TUSD BE'!$AI$32+'TUSD BF'!$AI$32+'TUSD CVA'!$AI$32)*1</f>
        <v>0.38336507663702041</v>
      </c>
      <c r="AF32" s="30">
        <f ca="1">('TUSD BE'!$AJ$32+'TUSD BF'!$AJ$32+'TUSD CVA'!$AJ$32)*1</f>
        <v>6.0354999899165938</v>
      </c>
      <c r="AG32" s="30">
        <f ca="1">('TUSD BE'!$AK$32+'TUSD BF'!$AK$32+'TUSD CVA'!$AK$32)*1</f>
        <v>0</v>
      </c>
      <c r="AI32" s="30">
        <v>0</v>
      </c>
      <c r="AJ32" s="30">
        <v>0.70008158010713795</v>
      </c>
      <c r="AK32" s="30">
        <v>0.46428390659497198</v>
      </c>
      <c r="AL32" s="30">
        <v>2.6042479560220402E-2</v>
      </c>
      <c r="AM32" s="30">
        <v>0</v>
      </c>
      <c r="AN32" s="30">
        <v>20.033605492538801</v>
      </c>
      <c r="AO32" s="30">
        <v>10.9728039525681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-2.7098272841422601E-2</v>
      </c>
      <c r="AZ32" s="30">
        <v>0</v>
      </c>
      <c r="BA32" s="30">
        <v>9.3348552795007897</v>
      </c>
      <c r="BB32" s="30">
        <v>0.31715729696659201</v>
      </c>
      <c r="BC32" s="30">
        <v>5.6535235491578204</v>
      </c>
      <c r="BD32" s="30">
        <v>0</v>
      </c>
    </row>
    <row r="33" spans="1:56" ht="11.25" customHeight="1" x14ac:dyDescent="0.25">
      <c r="A33" s="108"/>
      <c r="B33" s="108"/>
      <c r="C33" s="108"/>
      <c r="D33" s="108"/>
      <c r="E33" s="108" t="s">
        <v>58</v>
      </c>
      <c r="F33" s="108" t="s">
        <v>25</v>
      </c>
      <c r="G33" s="33" t="s">
        <v>94</v>
      </c>
      <c r="H33" s="33" t="s">
        <v>93</v>
      </c>
      <c r="I33" s="33">
        <f>'MERCADO TUSD'!$U$30</f>
        <v>0</v>
      </c>
      <c r="J33" s="15"/>
      <c r="L33" s="30">
        <f>('TUSD BE'!$L$33+'TUSD BF'!$L$33+'TUSD CVA'!$L$33)*1</f>
        <v>0</v>
      </c>
      <c r="M33" s="30">
        <f>('TUSD BE'!$M$33+'TUSD BF'!$M$33+'TUSD CVA'!$M$33)*1</f>
        <v>0.74976696047971558</v>
      </c>
      <c r="N33" s="30">
        <f ca="1">('TUSD BE'!$N$33+'TUSD BF'!$N$33+'TUSD CVA'!$N$33)*1</f>
        <v>17.083977387743573</v>
      </c>
      <c r="O33" s="30">
        <f>('TUSD BE'!$O$33+'TUSD BF'!$O$33+'TUSD CVA'!$O$33)*1</f>
        <v>2.3178841689617181E-2</v>
      </c>
      <c r="P33" s="30">
        <f>('TUSD BE'!$P$33+'TUSD BF'!$P$33+'TUSD CVA'!$P$33)*1</f>
        <v>0</v>
      </c>
      <c r="Q33" s="30">
        <f>('TUSD BE'!$Q$33+'TUSD BF'!$Q$33+'TUSD CVA'!$Q$33)*1</f>
        <v>0</v>
      </c>
      <c r="R33" s="30">
        <f>('TUSD BE'!$R$33+'TUSD BF'!$R$33+'TUSD CVA'!$R$33)*1</f>
        <v>0</v>
      </c>
      <c r="S33" s="30">
        <f>('TUSD BE'!$S$33+'TUSD BF'!$S$33+'TUSD CVA'!$S$33)*1</f>
        <v>0</v>
      </c>
      <c r="T33" s="30">
        <f>('TUSD BE'!$U$33+'TUSD BF'!$U$33+'TUSD CVA'!$U$33)*1</f>
        <v>157.12060276832312</v>
      </c>
      <c r="U33" s="30">
        <f>('TUSD BE'!$V$33+'TUSD BF'!$V$33+'TUSD CVA'!$V$33)*1</f>
        <v>27.528428860440936</v>
      </c>
      <c r="V33" s="30">
        <f>('TUSD BE'!$W$33+'TUSD BF'!$W$33+'TUSD CVA'!$W$33)*1</f>
        <v>29.659384129546176</v>
      </c>
      <c r="W33" s="30">
        <f>('TUSD BE'!$X$33+'TUSD BF'!$X$33+'TUSD CVA'!$X$33)*1</f>
        <v>0</v>
      </c>
      <c r="X33" s="30">
        <f>('TUSD BE'!$Y$33+'TUSD BF'!$Y$33+'TUSD CVA'!$Y$33)*1</f>
        <v>0</v>
      </c>
      <c r="Y33" s="30">
        <f>('TUSD BE'!$Z$33+'TUSD BF'!$Z$33+'TUSD CVA'!$Z$33)*1</f>
        <v>0</v>
      </c>
      <c r="Z33" s="30">
        <f>('TUSD BE'!$AA$33+'TUSD BF'!$AA$33+'TUSD CVA'!$AA$33)*1</f>
        <v>0</v>
      </c>
      <c r="AA33" s="30">
        <f>('TUSD BE'!$AC$33+'TUSD BF'!$AC$33+'TUSD CVA'!$AC$33)*1</f>
        <v>1691.8721586024376</v>
      </c>
      <c r="AB33" s="30">
        <f ca="1">('TUSD BE'!$AE$33+'TUSD BF'!$AE$33+'TUSD CVA'!$AE$33)*1</f>
        <v>-151.45981528152166</v>
      </c>
      <c r="AC33" s="30">
        <f ca="1">('TUSD BE'!$AF$33+'TUSD BF'!$AF$33+'TUSD CVA'!$AF$33)*1</f>
        <v>0</v>
      </c>
      <c r="AD33" s="30">
        <f>('TUSD BE'!$AH$33+'TUSD BF'!$AH$33+'TUSD CVA'!$AH$33)*1</f>
        <v>10.767580057039785</v>
      </c>
      <c r="AE33" s="30">
        <f>('TUSD BE'!$AI$33+'TUSD BF'!$AI$33+'TUSD CVA'!$AI$33)*1</f>
        <v>0.38336507663702041</v>
      </c>
      <c r="AF33" s="30">
        <f ca="1">('TUSD BE'!$AJ$33+'TUSD BF'!$AJ$33+'TUSD CVA'!$AJ$33)*1</f>
        <v>6.0354999899165938</v>
      </c>
      <c r="AG33" s="30">
        <f ca="1">('TUSD BE'!$AK$33+'TUSD BF'!$AK$33+'TUSD CVA'!$AK$33)*1</f>
        <v>0</v>
      </c>
      <c r="AI33" s="30">
        <v>0</v>
      </c>
      <c r="AJ33" s="30">
        <v>0.70008158010713795</v>
      </c>
      <c r="AK33" s="30">
        <v>17.034127939254599</v>
      </c>
      <c r="AL33" s="30">
        <v>2.6042479560220402E-2</v>
      </c>
      <c r="AM33" s="30">
        <v>0</v>
      </c>
      <c r="AN33" s="30">
        <v>0</v>
      </c>
      <c r="AO33" s="30">
        <v>0</v>
      </c>
      <c r="AP33" s="30">
        <v>0</v>
      </c>
      <c r="AQ33" s="30">
        <v>161.44181802310999</v>
      </c>
      <c r="AR33" s="30">
        <v>42.288239971463</v>
      </c>
      <c r="AS33" s="30">
        <v>20.145998870081399</v>
      </c>
      <c r="AT33" s="30">
        <v>0</v>
      </c>
      <c r="AU33" s="30">
        <v>0</v>
      </c>
      <c r="AV33" s="30">
        <v>0</v>
      </c>
      <c r="AW33" s="30">
        <v>0</v>
      </c>
      <c r="AX33" s="30">
        <v>1273.76866770119</v>
      </c>
      <c r="AY33" s="30">
        <v>-0.92112389834536201</v>
      </c>
      <c r="AZ33" s="30">
        <v>0</v>
      </c>
      <c r="BA33" s="30">
        <v>9.3348552795007897</v>
      </c>
      <c r="BB33" s="30">
        <v>0.31715729696659201</v>
      </c>
      <c r="BC33" s="30">
        <v>5.6535235491578204</v>
      </c>
      <c r="BD33" s="30">
        <v>0</v>
      </c>
    </row>
    <row r="34" spans="1:56" ht="11.25" customHeight="1" x14ac:dyDescent="0.25">
      <c r="A34" s="108"/>
      <c r="B34" s="108"/>
      <c r="C34" s="108"/>
      <c r="D34" s="108"/>
      <c r="E34" s="108"/>
      <c r="F34" s="108"/>
      <c r="G34" s="33" t="s">
        <v>95</v>
      </c>
      <c r="H34" s="33" t="s">
        <v>93</v>
      </c>
      <c r="I34" s="33">
        <f>'MERCADO TUSD'!$U$31</f>
        <v>0</v>
      </c>
      <c r="J34" s="15"/>
      <c r="L34" s="30">
        <f>('TUSD BE'!$L$34+'TUSD BF'!$L$34+'TUSD CVA'!$L$34)*1</f>
        <v>0</v>
      </c>
      <c r="M34" s="30">
        <f>('TUSD BE'!$M$34+'TUSD BF'!$M$34+'TUSD CVA'!$M$34)*1</f>
        <v>0.74976696047971558</v>
      </c>
      <c r="N34" s="30">
        <f ca="1">('TUSD BE'!$N$34+'TUSD BF'!$N$34+'TUSD CVA'!$N$34)*1</f>
        <v>0.46337590029059272</v>
      </c>
      <c r="O34" s="30">
        <f>('TUSD BE'!$O$34+'TUSD BF'!$O$34+'TUSD CVA'!$O$34)*1</f>
        <v>2.3178841689617181E-2</v>
      </c>
      <c r="P34" s="30">
        <f>('TUSD BE'!$P$34+'TUSD BF'!$P$34+'TUSD CVA'!$P$34)*1</f>
        <v>0</v>
      </c>
      <c r="Q34" s="30">
        <f>('TUSD BE'!$Q$34+'TUSD BF'!$Q$34+'TUSD CVA'!$Q$34)*1</f>
        <v>0</v>
      </c>
      <c r="R34" s="30">
        <f>('TUSD BE'!$R$34+'TUSD BF'!$R$34+'TUSD CVA'!$R$34)*1</f>
        <v>0</v>
      </c>
      <c r="S34" s="30">
        <f>('TUSD BE'!$S$34+'TUSD BF'!$S$34+'TUSD CVA'!$S$34)*1</f>
        <v>0</v>
      </c>
      <c r="T34" s="30">
        <f>('TUSD BE'!$U$34+'TUSD BF'!$U$34+'TUSD CVA'!$U$34)*1</f>
        <v>0</v>
      </c>
      <c r="U34" s="30">
        <f>('TUSD BE'!$V$34+'TUSD BF'!$V$34+'TUSD CVA'!$V$34)*1</f>
        <v>0</v>
      </c>
      <c r="V34" s="30">
        <f>('TUSD BE'!$W$34+'TUSD BF'!$W$34+'TUSD CVA'!$W$34)*1</f>
        <v>0</v>
      </c>
      <c r="W34" s="30">
        <f>('TUSD BE'!$X$34+'TUSD BF'!$X$34+'TUSD CVA'!$X$34)*1</f>
        <v>0</v>
      </c>
      <c r="X34" s="30">
        <f>('TUSD BE'!$Y$34+'TUSD BF'!$Y$34+'TUSD CVA'!$Y$34)*1</f>
        <v>0</v>
      </c>
      <c r="Y34" s="30">
        <f>('TUSD BE'!$Z$34+'TUSD BF'!$Z$34+'TUSD CVA'!$Z$34)*1</f>
        <v>0</v>
      </c>
      <c r="Z34" s="30">
        <f>('TUSD BE'!$AA$34+'TUSD BF'!$AA$34+'TUSD CVA'!$AA$34)*1</f>
        <v>0</v>
      </c>
      <c r="AA34" s="30">
        <f>('TUSD BE'!$AC$34+'TUSD BF'!$AC$34+'TUSD CVA'!$AC$34)*1</f>
        <v>0</v>
      </c>
      <c r="AB34" s="30">
        <f ca="1">('TUSD BE'!$AE$34+'TUSD BF'!$AE$34+'TUSD CVA'!$AE$34)*1</f>
        <v>-1.5408419200427508</v>
      </c>
      <c r="AC34" s="30">
        <f ca="1">('TUSD BE'!$AF$34+'TUSD BF'!$AF$34+'TUSD CVA'!$AF$34)*1</f>
        <v>0</v>
      </c>
      <c r="AD34" s="30">
        <f>('TUSD BE'!$AH$34+'TUSD BF'!$AH$34+'TUSD CVA'!$AH$34)*1</f>
        <v>10.767580057039785</v>
      </c>
      <c r="AE34" s="30">
        <f>('TUSD BE'!$AI$34+'TUSD BF'!$AI$34+'TUSD CVA'!$AI$34)*1</f>
        <v>0.38336507663702041</v>
      </c>
      <c r="AF34" s="30">
        <f ca="1">('TUSD BE'!$AJ$34+'TUSD BF'!$AJ$34+'TUSD CVA'!$AJ$34)*1</f>
        <v>6.0354999899165938</v>
      </c>
      <c r="AG34" s="30">
        <f ca="1">('TUSD BE'!$AK$34+'TUSD BF'!$AK$34+'TUSD CVA'!$AK$34)*1</f>
        <v>0</v>
      </c>
      <c r="AI34" s="30">
        <v>0</v>
      </c>
      <c r="AJ34" s="30">
        <v>0.70008158010713795</v>
      </c>
      <c r="AK34" s="30">
        <v>0.44946610994726</v>
      </c>
      <c r="AL34" s="30">
        <v>2.6042479560220402E-2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30">
        <v>0</v>
      </c>
      <c r="AY34" s="30">
        <v>-9.0046304424104308E-3</v>
      </c>
      <c r="AZ34" s="30">
        <v>0</v>
      </c>
      <c r="BA34" s="30">
        <v>9.3348552795007897</v>
      </c>
      <c r="BB34" s="30">
        <v>0.31715729696659201</v>
      </c>
      <c r="BC34" s="30">
        <v>5.6535235491578204</v>
      </c>
      <c r="BD34" s="30">
        <v>0</v>
      </c>
    </row>
    <row r="35" spans="1:56" ht="11.25" customHeight="1" x14ac:dyDescent="0.25">
      <c r="A35" s="108" t="s">
        <v>104</v>
      </c>
      <c r="B35" s="108" t="s">
        <v>69</v>
      </c>
      <c r="C35" s="108" t="s">
        <v>25</v>
      </c>
      <c r="D35" s="108" t="s">
        <v>25</v>
      </c>
      <c r="E35" s="34" t="s">
        <v>105</v>
      </c>
      <c r="F35" s="34" t="s">
        <v>25</v>
      </c>
      <c r="G35" s="33" t="s">
        <v>9</v>
      </c>
      <c r="H35" s="33" t="s">
        <v>99</v>
      </c>
      <c r="I35" s="33">
        <f>'MERCADO TUSD'!$U$32+0.00000001</f>
        <v>1E-8</v>
      </c>
      <c r="J35" s="15"/>
      <c r="L35" s="30">
        <f>('TUSD BE'!$L$35+'TUSD BF'!$L$35+'TUSD CVA'!$L$35)*1</f>
        <v>0</v>
      </c>
      <c r="M35" s="30">
        <f>('TUSD BE'!$M$35+'TUSD BF'!$M$35+'TUSD CVA'!$M$35)*1</f>
        <v>1.653515572098661E-2</v>
      </c>
      <c r="N35" s="30">
        <f ca="1">('TUSD BE'!$N$35+'TUSD BF'!$N$35+'TUSD CVA'!$N$35)*1</f>
        <v>6.4597097341659429E-2</v>
      </c>
      <c r="O35" s="30">
        <f>('TUSD BE'!$O$35+'TUSD BF'!$O$35+'TUSD CVA'!$O$35)*1</f>
        <v>0</v>
      </c>
      <c r="P35" s="30">
        <f>('TUSD BE'!$P$35+'TUSD BF'!$P$35+'TUSD CVA'!$P$35)*1</f>
        <v>0</v>
      </c>
      <c r="Q35" s="30">
        <f>('TUSD BE'!$Q$35+'TUSD BF'!$Q$35+'TUSD CVA'!$Q$35)*1</f>
        <v>0</v>
      </c>
      <c r="R35" s="30">
        <f>('TUSD BE'!$R$35+'TUSD BF'!$R$35+'TUSD CVA'!$R$35)*1</f>
        <v>0</v>
      </c>
      <c r="S35" s="30">
        <f>('TUSD BE'!$S$35+'TUSD BF'!$S$35+'TUSD CVA'!$S$35)*1</f>
        <v>0</v>
      </c>
      <c r="T35" s="30">
        <f>('TUSD BE'!$U$35+'TUSD BF'!$U$35+'TUSD CVA'!$U$35)*1</f>
        <v>0</v>
      </c>
      <c r="U35" s="30">
        <f>('TUSD BE'!$V$35+'TUSD BF'!$V$35+'TUSD CVA'!$V$35)*1</f>
        <v>0</v>
      </c>
      <c r="V35" s="30">
        <f>('TUSD BE'!$W$35+'TUSD BF'!$W$35+'TUSD CVA'!$W$35)*1</f>
        <v>0</v>
      </c>
      <c r="W35" s="30">
        <f>('TUSD BE'!$X$35+'TUSD BF'!$X$35+'TUSD CVA'!$X$35)*1</f>
        <v>0</v>
      </c>
      <c r="X35" s="30">
        <f>('TUSD BE'!$Y$35+'TUSD BF'!$Y$35+'TUSD CVA'!$Y$35)*1</f>
        <v>0</v>
      </c>
      <c r="Y35" s="30">
        <f>('TUSD BE'!$Z$35+'TUSD BF'!$Z$35+'TUSD CVA'!$Z$35)*1</f>
        <v>0</v>
      </c>
      <c r="Z35" s="30">
        <f>('TUSD BE'!$AA$35+'TUSD BF'!$AA$35+'TUSD CVA'!$AA$35)*1</f>
        <v>0</v>
      </c>
      <c r="AA35" s="30">
        <f>('TUSD BE'!$AC$35+'TUSD BF'!$AC$35+'TUSD CVA'!$AC$35)*1</f>
        <v>7.5354065706298066</v>
      </c>
      <c r="AB35" s="30">
        <f ca="1">('TUSD BE'!$AE$35+'TUSD BF'!$AE$35+'TUSD CVA'!$AE$35)*1</f>
        <v>-0.60138287994332928</v>
      </c>
      <c r="AC35" s="30">
        <f ca="1">('TUSD BE'!$AF$35+'TUSD BF'!$AF$35+'TUSD CVA'!$AF$35)*1</f>
        <v>0</v>
      </c>
      <c r="AD35" s="30">
        <f>('TUSD BE'!$AH$35+'TUSD BF'!$AH$35+'TUSD CVA'!$AH$35)*1</f>
        <v>0</v>
      </c>
      <c r="AE35" s="30">
        <f>('TUSD BE'!$AI$35+'TUSD BF'!$AI$35+'TUSD CVA'!$AI$35)*1</f>
        <v>0</v>
      </c>
      <c r="AF35" s="30">
        <f ca="1">('TUSD BE'!$AJ$35+'TUSD BF'!$AJ$35+'TUSD CVA'!$AJ$35)*1</f>
        <v>0</v>
      </c>
      <c r="AG35" s="30">
        <f ca="1">('TUSD BE'!$AK$35+'TUSD BF'!$AK$35+'TUSD CVA'!$AK$35)*1</f>
        <v>0</v>
      </c>
      <c r="AI35" s="30">
        <v>0</v>
      </c>
      <c r="AJ35" s="30">
        <v>1.7462731598954499E-2</v>
      </c>
      <c r="AK35" s="30">
        <v>6.4457415417547598E-2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0</v>
      </c>
      <c r="AX35" s="30">
        <v>5.6732210759863904</v>
      </c>
      <c r="AY35" s="30">
        <v>-3.5569985389938101E-3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</row>
    <row r="36" spans="1:56" ht="11.25" customHeight="1" x14ac:dyDescent="0.25">
      <c r="A36" s="108"/>
      <c r="B36" s="108"/>
      <c r="C36" s="108"/>
      <c r="D36" s="108"/>
      <c r="E36" s="34" t="s">
        <v>106</v>
      </c>
      <c r="F36" s="34" t="s">
        <v>25</v>
      </c>
      <c r="G36" s="33" t="s">
        <v>9</v>
      </c>
      <c r="H36" s="33" t="s">
        <v>99</v>
      </c>
      <c r="I36" s="33">
        <f>'MERCADO TUSD'!$U$33+0.00000001</f>
        <v>1E-8</v>
      </c>
      <c r="J36" s="15"/>
      <c r="L36" s="30">
        <f>('TUSD BE'!$L$36+'TUSD BF'!$L$36+'TUSD CVA'!$L$36)*1</f>
        <v>0</v>
      </c>
      <c r="M36" s="30">
        <f>('TUSD BE'!$M$36+'TUSD BF'!$M$36+'TUSD CVA'!$M$36)*1</f>
        <v>1.653515572098661E-2</v>
      </c>
      <c r="N36" s="30">
        <f ca="1">('TUSD BE'!$N$36+'TUSD BF'!$N$36+'TUSD CVA'!$N$36)*1</f>
        <v>6.4597097341659429E-2</v>
      </c>
      <c r="O36" s="30">
        <f>('TUSD BE'!$O$36+'TUSD BF'!$O$36+'TUSD CVA'!$O$36)*1</f>
        <v>0</v>
      </c>
      <c r="P36" s="30">
        <f>('TUSD BE'!$P$36+'TUSD BF'!$P$36+'TUSD CVA'!$P$36)*1</f>
        <v>0</v>
      </c>
      <c r="Q36" s="30">
        <f>('TUSD BE'!$Q$36+'TUSD BF'!$Q$36+'TUSD CVA'!$Q$36)*1</f>
        <v>0</v>
      </c>
      <c r="R36" s="30">
        <f>('TUSD BE'!$R$36+'TUSD BF'!$R$36+'TUSD CVA'!$R$36)*1</f>
        <v>0</v>
      </c>
      <c r="S36" s="30">
        <f>('TUSD BE'!$S$36+'TUSD BF'!$S$36+'TUSD CVA'!$S$36)*1</f>
        <v>0</v>
      </c>
      <c r="T36" s="30">
        <f>('TUSD BE'!$U$36+'TUSD BF'!$U$36+'TUSD CVA'!$U$36)*1</f>
        <v>0</v>
      </c>
      <c r="U36" s="30">
        <f>('TUSD BE'!$V$36+'TUSD BF'!$V$36+'TUSD CVA'!$V$36)*1</f>
        <v>0</v>
      </c>
      <c r="V36" s="30">
        <f>('TUSD BE'!$W$36+'TUSD BF'!$W$36+'TUSD CVA'!$W$36)*1</f>
        <v>0</v>
      </c>
      <c r="W36" s="30">
        <f>('TUSD BE'!$X$36+'TUSD BF'!$X$36+'TUSD CVA'!$X$36)*1</f>
        <v>0</v>
      </c>
      <c r="X36" s="30">
        <f>('TUSD BE'!$Y$36+'TUSD BF'!$Y$36+'TUSD CVA'!$Y$36)*1</f>
        <v>0</v>
      </c>
      <c r="Y36" s="30">
        <f>('TUSD BE'!$Z$36+'TUSD BF'!$Z$36+'TUSD CVA'!$Z$36)*1</f>
        <v>0</v>
      </c>
      <c r="Z36" s="30">
        <f>('TUSD BE'!$AA$36+'TUSD BF'!$AA$36+'TUSD CVA'!$AA$36)*1</f>
        <v>0</v>
      </c>
      <c r="AA36" s="30">
        <f>('TUSD BE'!$AC$36+'TUSD BF'!$AC$36+'TUSD CVA'!$AC$36)*1</f>
        <v>22.755454604778503</v>
      </c>
      <c r="AB36" s="30">
        <f ca="1">('TUSD BE'!$AE$36+'TUSD BF'!$AE$36+'TUSD CVA'!$AE$36)*1</f>
        <v>-1.8022837574946735</v>
      </c>
      <c r="AC36" s="30">
        <f ca="1">('TUSD BE'!$AF$36+'TUSD BF'!$AF$36+'TUSD CVA'!$AF$36)*1</f>
        <v>0</v>
      </c>
      <c r="AD36" s="30">
        <f>('TUSD BE'!$AH$36+'TUSD BF'!$AH$36+'TUSD CVA'!$AH$36)*1</f>
        <v>0</v>
      </c>
      <c r="AE36" s="30">
        <f>('TUSD BE'!$AI$36+'TUSD BF'!$AI$36+'TUSD CVA'!$AI$36)*1</f>
        <v>0</v>
      </c>
      <c r="AF36" s="30">
        <f ca="1">('TUSD BE'!$AJ$36+'TUSD BF'!$AJ$36+'TUSD CVA'!$AJ$36)*1</f>
        <v>0</v>
      </c>
      <c r="AG36" s="30">
        <f ca="1">('TUSD BE'!$AK$36+'TUSD BF'!$AK$36+'TUSD CVA'!$AK$36)*1</f>
        <v>0</v>
      </c>
      <c r="AI36" s="30">
        <v>0</v>
      </c>
      <c r="AJ36" s="30">
        <v>1.7462731598954499E-2</v>
      </c>
      <c r="AK36" s="30">
        <v>6.4457415417547598E-2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30">
        <v>17.132018484663</v>
      </c>
      <c r="AY36" s="30">
        <v>-1.06512582599622E-2</v>
      </c>
      <c r="AZ36" s="30">
        <v>0</v>
      </c>
      <c r="BA36" s="30">
        <v>0</v>
      </c>
      <c r="BB36" s="30">
        <v>0</v>
      </c>
      <c r="BC36" s="30">
        <v>0</v>
      </c>
      <c r="BD36" s="30">
        <v>0</v>
      </c>
    </row>
    <row r="37" spans="1:56" ht="11.25" customHeight="1" x14ac:dyDescent="0.25">
      <c r="A37" s="108" t="s">
        <v>22</v>
      </c>
      <c r="B37" s="108" t="s">
        <v>33</v>
      </c>
      <c r="C37" s="108" t="s">
        <v>24</v>
      </c>
      <c r="D37" s="108" t="s">
        <v>24</v>
      </c>
      <c r="E37" s="108" t="s">
        <v>25</v>
      </c>
      <c r="F37" s="108" t="s">
        <v>25</v>
      </c>
      <c r="G37" s="33" t="s">
        <v>94</v>
      </c>
      <c r="H37" s="33" t="s">
        <v>93</v>
      </c>
      <c r="I37" s="33">
        <f>'MERCADO TUSD'!$U$34</f>
        <v>118.41800000000002</v>
      </c>
      <c r="J37" s="15"/>
      <c r="L37" s="30">
        <f>('TUSD BE'!$L$37+'TUSD BF'!$L$37+'TUSD CVA'!$L$37)*1</f>
        <v>4.0226784789093948</v>
      </c>
      <c r="M37" s="30">
        <f>('TUSD BE'!$M$37+'TUSD BF'!$M$37+'TUSD CVA'!$M$37)*1</f>
        <v>1.1461631868940088</v>
      </c>
      <c r="N37" s="30">
        <f ca="1">('TUSD BE'!$N$37+'TUSD BF'!$N$37+'TUSD CVA'!$N$37)*1</f>
        <v>9.9773499923023401</v>
      </c>
      <c r="O37" s="30">
        <f>('TUSD BE'!$O$37+'TUSD BF'!$O$37+'TUSD CVA'!$O$37)*1</f>
        <v>2.3178841689617181E-2</v>
      </c>
      <c r="P37" s="30">
        <f>('TUSD BE'!$P$37+'TUSD BF'!$P$37+'TUSD CVA'!$P$37)*1</f>
        <v>0</v>
      </c>
      <c r="Q37" s="30">
        <f>('TUSD BE'!$Q$37+'TUSD BF'!$Q$37+'TUSD CVA'!$Q$37)*1</f>
        <v>39.143314592982414</v>
      </c>
      <c r="R37" s="30">
        <f>('TUSD BE'!$R$37+'TUSD BF'!$R$37+'TUSD CVA'!$R$37)*1</f>
        <v>15.944062081967184</v>
      </c>
      <c r="S37" s="30">
        <f>('TUSD BE'!$S$37+'TUSD BF'!$S$37+'TUSD CVA'!$S$37)*1</f>
        <v>0</v>
      </c>
      <c r="T37" s="30">
        <f>('TUSD BE'!$U$37+'TUSD BF'!$U$37+'TUSD CVA'!$U$37)*1</f>
        <v>79.694017172485459</v>
      </c>
      <c r="U37" s="30">
        <f>('TUSD BE'!$V$37+'TUSD BF'!$V$37+'TUSD CVA'!$V$37)*1</f>
        <v>14.31552355443567</v>
      </c>
      <c r="V37" s="30">
        <f>('TUSD BE'!$W$37+'TUSD BF'!$W$37+'TUSD CVA'!$W$37)*1</f>
        <v>13.746300781800301</v>
      </c>
      <c r="W37" s="30">
        <f>('TUSD BE'!$X$37+'TUSD BF'!$X$37+'TUSD CVA'!$X$37)*1</f>
        <v>0</v>
      </c>
      <c r="X37" s="30">
        <f>('TUSD BE'!$Y$37+'TUSD BF'!$Y$37+'TUSD CVA'!$Y$37)*1</f>
        <v>0</v>
      </c>
      <c r="Y37" s="30">
        <f>('TUSD BE'!$Z$37+'TUSD BF'!$Z$37+'TUSD CVA'!$Z$37)*1</f>
        <v>0</v>
      </c>
      <c r="Z37" s="30">
        <f>('TUSD BE'!$AA$37+'TUSD BF'!$AA$37+'TUSD CVA'!$AA$37)*1</f>
        <v>0</v>
      </c>
      <c r="AA37" s="30">
        <f>('TUSD BE'!$AC$37+'TUSD BF'!$AC$37+'TUSD CVA'!$AC$37)*1</f>
        <v>929.9694830708454</v>
      </c>
      <c r="AB37" s="30">
        <f ca="1">('TUSD BE'!$AE$37+'TUSD BF'!$AE$37+'TUSD CVA'!$AE$37)*1</f>
        <v>-89.507637321414492</v>
      </c>
      <c r="AC37" s="30">
        <f ca="1">('TUSD BE'!$AF$37+'TUSD BF'!$AF$37+'TUSD CVA'!$AF$37)*1</f>
        <v>0</v>
      </c>
      <c r="AD37" s="30">
        <f>('TUSD BE'!$AH$37+'TUSD BF'!$AH$37+'TUSD CVA'!$AH$37)*1</f>
        <v>27.03721324927546</v>
      </c>
      <c r="AE37" s="30">
        <f>('TUSD BE'!$AI$37+'TUSD BF'!$AI$37+'TUSD CVA'!$AI$37)*1</f>
        <v>0.9626232890261438</v>
      </c>
      <c r="AF37" s="30">
        <f ca="1">('TUSD BE'!$AJ$37+'TUSD BF'!$AJ$37+'TUSD CVA'!$AJ$37)*1</f>
        <v>8.0567818127502235</v>
      </c>
      <c r="AG37" s="30">
        <f ca="1">('TUSD BE'!$AK$37+'TUSD BF'!$AK$37+'TUSD CVA'!$AK$37)*1</f>
        <v>0</v>
      </c>
      <c r="AI37" s="30">
        <v>0</v>
      </c>
      <c r="AJ37" s="30">
        <v>1.09717886329523</v>
      </c>
      <c r="AK37" s="30">
        <v>9.9409369642849192</v>
      </c>
      <c r="AL37" s="30">
        <v>2.6042479560220402E-2</v>
      </c>
      <c r="AM37" s="30">
        <v>0</v>
      </c>
      <c r="AN37" s="30">
        <v>23.027132750044601</v>
      </c>
      <c r="AO37" s="30">
        <v>10.9728039525681</v>
      </c>
      <c r="AP37" s="30">
        <v>0</v>
      </c>
      <c r="AQ37" s="30">
        <v>81.885804860754405</v>
      </c>
      <c r="AR37" s="30">
        <v>21.9910223883881</v>
      </c>
      <c r="AS37" s="30">
        <v>9.3371109396055108</v>
      </c>
      <c r="AT37" s="30">
        <v>0</v>
      </c>
      <c r="AU37" s="30">
        <v>0</v>
      </c>
      <c r="AV37" s="30">
        <v>0</v>
      </c>
      <c r="AW37" s="30">
        <v>0</v>
      </c>
      <c r="AX37" s="30">
        <v>700.15100339048104</v>
      </c>
      <c r="AY37" s="30">
        <v>-0.534717028122494</v>
      </c>
      <c r="AZ37" s="30">
        <v>0</v>
      </c>
      <c r="BA37" s="30">
        <v>23.439665319969201</v>
      </c>
      <c r="BB37" s="30">
        <v>0.796376662743568</v>
      </c>
      <c r="BC37" s="30">
        <v>7.6260688718203502</v>
      </c>
      <c r="BD37" s="30">
        <v>0</v>
      </c>
    </row>
    <row r="38" spans="1:56" ht="11.25" customHeight="1" x14ac:dyDescent="0.25">
      <c r="A38" s="108"/>
      <c r="B38" s="108"/>
      <c r="C38" s="108"/>
      <c r="D38" s="108"/>
      <c r="E38" s="108"/>
      <c r="F38" s="108"/>
      <c r="G38" s="33" t="s">
        <v>107</v>
      </c>
      <c r="H38" s="33" t="s">
        <v>93</v>
      </c>
      <c r="I38" s="33">
        <f>'MERCADO TUSD'!$U$35</f>
        <v>76.346000000000004</v>
      </c>
      <c r="J38" s="15"/>
      <c r="L38" s="30">
        <f>('TUSD BE'!$L$38+'TUSD BF'!$L$38+'TUSD CVA'!$L$38)*1</f>
        <v>4.0226784789093948</v>
      </c>
      <c r="M38" s="30">
        <f>('TUSD BE'!$M$38+'TUSD BF'!$M$38+'TUSD CVA'!$M$38)*1</f>
        <v>1.1461631868940088</v>
      </c>
      <c r="N38" s="30">
        <f ca="1">('TUSD BE'!$N$38+'TUSD BF'!$N$38+'TUSD CVA'!$N$38)*1</f>
        <v>6.3627830282765707</v>
      </c>
      <c r="O38" s="30">
        <f>('TUSD BE'!$O$38+'TUSD BF'!$O$38+'TUSD CVA'!$O$38)*1</f>
        <v>2.3178841689617181E-2</v>
      </c>
      <c r="P38" s="30">
        <f>('TUSD BE'!$P$38+'TUSD BF'!$P$38+'TUSD CVA'!$P$38)*1</f>
        <v>0</v>
      </c>
      <c r="Q38" s="30">
        <f>('TUSD BE'!$Q$38+'TUSD BF'!$Q$38+'TUSD CVA'!$Q$38)*1</f>
        <v>39.143314592982414</v>
      </c>
      <c r="R38" s="30">
        <f>('TUSD BE'!$R$38+'TUSD BF'!$R$38+'TUSD CVA'!$R$38)*1</f>
        <v>15.944062081967184</v>
      </c>
      <c r="S38" s="30">
        <f>('TUSD BE'!$S$38+'TUSD BF'!$S$38+'TUSD CVA'!$S$38)*1</f>
        <v>0</v>
      </c>
      <c r="T38" s="30">
        <f>('TUSD BE'!$U$38+'TUSD BF'!$U$38+'TUSD CVA'!$U$38)*1</f>
        <v>47.816471264146649</v>
      </c>
      <c r="U38" s="30">
        <f>('TUSD BE'!$V$38+'TUSD BF'!$V$38+'TUSD CVA'!$V$38)*1</f>
        <v>8.5892906976295542</v>
      </c>
      <c r="V38" s="30">
        <f>('TUSD BE'!$W$38+'TUSD BF'!$W$38+'TUSD CVA'!$W$38)*1</f>
        <v>8.2478751090699571</v>
      </c>
      <c r="W38" s="30">
        <f>('TUSD BE'!$X$38+'TUSD BF'!$X$38+'TUSD CVA'!$X$38)*1</f>
        <v>0</v>
      </c>
      <c r="X38" s="30">
        <f>('TUSD BE'!$Y$38+'TUSD BF'!$Y$38+'TUSD CVA'!$Y$38)*1</f>
        <v>0</v>
      </c>
      <c r="Y38" s="30">
        <f>('TUSD BE'!$Z$38+'TUSD BF'!$Z$38+'TUSD CVA'!$Z$38)*1</f>
        <v>0</v>
      </c>
      <c r="Z38" s="30">
        <f>('TUSD BE'!$AA$38+'TUSD BF'!$AA$38+'TUSD CVA'!$AA$38)*1</f>
        <v>0</v>
      </c>
      <c r="AA38" s="30">
        <f>('TUSD BE'!$AC$38+'TUSD BF'!$AC$38+'TUSD CVA'!$AC$38)*1</f>
        <v>557.98179408108194</v>
      </c>
      <c r="AB38" s="30">
        <f ca="1">('TUSD BE'!$AE$38+'TUSD BF'!$AE$38+'TUSD CVA'!$AE$38)*1</f>
        <v>-56.836173511765189</v>
      </c>
      <c r="AC38" s="30">
        <f ca="1">('TUSD BE'!$AF$38+'TUSD BF'!$AF$38+'TUSD CVA'!$AF$38)*1</f>
        <v>0</v>
      </c>
      <c r="AD38" s="30">
        <f>('TUSD BE'!$AH$38+'TUSD BF'!$AH$38+'TUSD CVA'!$AH$38)*1</f>
        <v>27.03721324927546</v>
      </c>
      <c r="AE38" s="30">
        <f>('TUSD BE'!$AI$38+'TUSD BF'!$AI$38+'TUSD CVA'!$AI$38)*1</f>
        <v>0.9626232890261438</v>
      </c>
      <c r="AF38" s="30">
        <f ca="1">('TUSD BE'!$AJ$38+'TUSD BF'!$AJ$38+'TUSD CVA'!$AJ$38)*1</f>
        <v>8.0567818127502235</v>
      </c>
      <c r="AG38" s="30">
        <f ca="1">('TUSD BE'!$AK$38+'TUSD BF'!$AK$38+'TUSD CVA'!$AK$38)*1</f>
        <v>0</v>
      </c>
      <c r="AI38" s="30">
        <v>0</v>
      </c>
      <c r="AJ38" s="30">
        <v>1.09717886329523</v>
      </c>
      <c r="AK38" s="30">
        <v>6.33418598099425</v>
      </c>
      <c r="AL38" s="30">
        <v>2.6042479560220402E-2</v>
      </c>
      <c r="AM38" s="30">
        <v>0</v>
      </c>
      <c r="AN38" s="30">
        <v>23.027132750044601</v>
      </c>
      <c r="AO38" s="30">
        <v>10.9728039525681</v>
      </c>
      <c r="AP38" s="30">
        <v>0</v>
      </c>
      <c r="AQ38" s="30">
        <v>49.131545553680702</v>
      </c>
      <c r="AR38" s="30">
        <v>13.1945774329307</v>
      </c>
      <c r="AS38" s="30">
        <v>5.6023308475366598</v>
      </c>
      <c r="AT38" s="30">
        <v>0</v>
      </c>
      <c r="AU38" s="30">
        <v>0</v>
      </c>
      <c r="AV38" s="30">
        <v>0</v>
      </c>
      <c r="AW38" s="30">
        <v>0</v>
      </c>
      <c r="AX38" s="30">
        <v>420.09068051293099</v>
      </c>
      <c r="AY38" s="30">
        <v>-0.336235151399987</v>
      </c>
      <c r="AZ38" s="30">
        <v>0</v>
      </c>
      <c r="BA38" s="30">
        <v>23.439665319969201</v>
      </c>
      <c r="BB38" s="30">
        <v>0.796376662743568</v>
      </c>
      <c r="BC38" s="30">
        <v>7.6260688718203502</v>
      </c>
      <c r="BD38" s="30">
        <v>0</v>
      </c>
    </row>
    <row r="39" spans="1:56" ht="11.25" customHeight="1" x14ac:dyDescent="0.25">
      <c r="A39" s="108"/>
      <c r="B39" s="108"/>
      <c r="C39" s="108"/>
      <c r="D39" s="108"/>
      <c r="E39" s="108"/>
      <c r="F39" s="108"/>
      <c r="G39" s="33" t="s">
        <v>95</v>
      </c>
      <c r="H39" s="33" t="s">
        <v>93</v>
      </c>
      <c r="I39" s="33">
        <f>'MERCADO TUSD'!$U$36</f>
        <v>1353.7170000000001</v>
      </c>
      <c r="J39" s="15"/>
      <c r="L39" s="30">
        <f>('TUSD BE'!$L$39+'TUSD BF'!$L$39+'TUSD CVA'!$L$39)*1</f>
        <v>4.0226784789093948</v>
      </c>
      <c r="M39" s="30">
        <f>('TUSD BE'!$M$39+'TUSD BF'!$M$39+'TUSD CVA'!$M$39)*1</f>
        <v>1.1461631868940088</v>
      </c>
      <c r="N39" s="30">
        <f ca="1">('TUSD BE'!$N$39+'TUSD BF'!$N$39+'TUSD CVA'!$N$39)*1</f>
        <v>2.7482116092785724</v>
      </c>
      <c r="O39" s="30">
        <f>('TUSD BE'!$O$39+'TUSD BF'!$O$39+'TUSD CVA'!$O$39)*1</f>
        <v>2.3178841689617181E-2</v>
      </c>
      <c r="P39" s="30">
        <f>('TUSD BE'!$P$39+'TUSD BF'!$P$39+'TUSD CVA'!$P$39)*1</f>
        <v>0</v>
      </c>
      <c r="Q39" s="30">
        <f>('TUSD BE'!$Q$39+'TUSD BF'!$Q$39+'TUSD CVA'!$Q$39)*1</f>
        <v>39.143314592982414</v>
      </c>
      <c r="R39" s="30">
        <f>('TUSD BE'!$R$39+'TUSD BF'!$R$39+'TUSD CVA'!$R$39)*1</f>
        <v>15.944062081967184</v>
      </c>
      <c r="S39" s="30">
        <f>('TUSD BE'!$S$39+'TUSD BF'!$S$39+'TUSD CVA'!$S$39)*1</f>
        <v>0</v>
      </c>
      <c r="T39" s="30">
        <f>('TUSD BE'!$U$39+'TUSD BF'!$U$39+'TUSD CVA'!$U$39)*1</f>
        <v>15.938772954169403</v>
      </c>
      <c r="U39" s="30">
        <f>('TUSD BE'!$V$39+'TUSD BF'!$V$39+'TUSD CVA'!$V$39)*1</f>
        <v>2.8630578408234388</v>
      </c>
      <c r="V39" s="30">
        <f>('TUSD BE'!$W$39+'TUSD BF'!$W$39+'TUSD CVA'!$W$39)*1</f>
        <v>2.7492917030233195</v>
      </c>
      <c r="W39" s="30">
        <f>('TUSD BE'!$X$39+'TUSD BF'!$X$39+'TUSD CVA'!$X$39)*1</f>
        <v>0</v>
      </c>
      <c r="X39" s="30">
        <f>('TUSD BE'!$Y$39+'TUSD BF'!$Y$39+'TUSD CVA'!$Y$39)*1</f>
        <v>0</v>
      </c>
      <c r="Y39" s="30">
        <f>('TUSD BE'!$Z$39+'TUSD BF'!$Z$39+'TUSD CVA'!$Z$39)*1</f>
        <v>0</v>
      </c>
      <c r="Z39" s="30">
        <f>('TUSD BE'!$AA$39+'TUSD BF'!$AA$39+'TUSD CVA'!$AA$39)*1</f>
        <v>0</v>
      </c>
      <c r="AA39" s="30">
        <f>('TUSD BE'!$AC$39+'TUSD BF'!$AC$39+'TUSD CVA'!$AC$39)*1</f>
        <v>185.99393136036065</v>
      </c>
      <c r="AB39" s="30">
        <f ca="1">('TUSD BE'!$AE$39+'TUSD BF'!$AE$39+'TUSD CVA'!$AE$39)*1</f>
        <v>-24.164672391804515</v>
      </c>
      <c r="AC39" s="30">
        <f ca="1">('TUSD BE'!$AF$39+'TUSD BF'!$AF$39+'TUSD CVA'!$AF$39)*1</f>
        <v>0</v>
      </c>
      <c r="AD39" s="30">
        <f>('TUSD BE'!$AH$39+'TUSD BF'!$AH$39+'TUSD CVA'!$AH$39)*1</f>
        <v>27.03721324927546</v>
      </c>
      <c r="AE39" s="30">
        <f>('TUSD BE'!$AI$39+'TUSD BF'!$AI$39+'TUSD CVA'!$AI$39)*1</f>
        <v>0.9626232890261438</v>
      </c>
      <c r="AF39" s="30">
        <f ca="1">('TUSD BE'!$AJ$39+'TUSD BF'!$AJ$39+'TUSD CVA'!$AJ$39)*1</f>
        <v>8.0567818127502235</v>
      </c>
      <c r="AG39" s="30">
        <f ca="1">('TUSD BE'!$AK$39+'TUSD BF'!$AK$39+'TUSD CVA'!$AK$39)*1</f>
        <v>0</v>
      </c>
      <c r="AI39" s="30">
        <v>0</v>
      </c>
      <c r="AJ39" s="30">
        <v>1.09717886329523</v>
      </c>
      <c r="AK39" s="30">
        <v>2.7274305523645999</v>
      </c>
      <c r="AL39" s="30">
        <v>2.6042479560220402E-2</v>
      </c>
      <c r="AM39" s="30">
        <v>0</v>
      </c>
      <c r="AN39" s="30">
        <v>23.027132750044601</v>
      </c>
      <c r="AO39" s="30">
        <v>10.9728039525681</v>
      </c>
      <c r="AP39" s="30">
        <v>0</v>
      </c>
      <c r="AQ39" s="30">
        <v>16.377129653536802</v>
      </c>
      <c r="AR39" s="30">
        <v>4.3981324774733599</v>
      </c>
      <c r="AS39" s="30">
        <v>1.8674436158455501</v>
      </c>
      <c r="AT39" s="30">
        <v>0</v>
      </c>
      <c r="AU39" s="30">
        <v>0</v>
      </c>
      <c r="AV39" s="30">
        <v>0</v>
      </c>
      <c r="AW39" s="30">
        <v>0</v>
      </c>
      <c r="AX39" s="30">
        <v>140.03022683764399</v>
      </c>
      <c r="AY39" s="30">
        <v>-0.13775305023540499</v>
      </c>
      <c r="AZ39" s="30">
        <v>0</v>
      </c>
      <c r="BA39" s="30">
        <v>23.439665319969201</v>
      </c>
      <c r="BB39" s="30">
        <v>0.796376662743568</v>
      </c>
      <c r="BC39" s="30">
        <v>7.6260688718203502</v>
      </c>
      <c r="BD39" s="30">
        <v>0</v>
      </c>
    </row>
    <row r="40" spans="1:56" ht="11.25" customHeight="1" x14ac:dyDescent="0.25">
      <c r="A40" s="108"/>
      <c r="B40" s="108" t="s">
        <v>23</v>
      </c>
      <c r="C40" s="108" t="s">
        <v>24</v>
      </c>
      <c r="D40" s="34" t="s">
        <v>24</v>
      </c>
      <c r="E40" s="34" t="s">
        <v>25</v>
      </c>
      <c r="F40" s="34" t="s">
        <v>25</v>
      </c>
      <c r="G40" s="33" t="s">
        <v>98</v>
      </c>
      <c r="H40" s="33" t="s">
        <v>93</v>
      </c>
      <c r="I40" s="33">
        <f>'MERCADO TUSD'!$U$37</f>
        <v>902304.86599999992</v>
      </c>
      <c r="J40" s="15"/>
      <c r="L40" s="30">
        <f>('TUSD BE'!$L$40+'TUSD BF'!$L$40+'TUSD CVA'!$L$40)*1</f>
        <v>4.0226784789093948</v>
      </c>
      <c r="M40" s="30">
        <f>('TUSD BE'!$M$40+'TUSD BF'!$M$40+'TUSD CVA'!$M$40)*1</f>
        <v>1.1461631868940088</v>
      </c>
      <c r="N40" s="30">
        <f ca="1">('TUSD BE'!$N$40+'TUSD BF'!$N$40+'TUSD CVA'!$N$40)*1</f>
        <v>3.9530692439414867</v>
      </c>
      <c r="O40" s="30">
        <f>('TUSD BE'!$O$40+'TUSD BF'!$O$40+'TUSD CVA'!$O$40)*1</f>
        <v>2.3178841689617181E-2</v>
      </c>
      <c r="P40" s="30">
        <f>('TUSD BE'!$P$40+'TUSD BF'!$P$40+'TUSD CVA'!$P$40)*1</f>
        <v>0</v>
      </c>
      <c r="Q40" s="30">
        <f>('TUSD BE'!$Q$40+'TUSD BF'!$Q$40+'TUSD CVA'!$Q$40)*1</f>
        <v>39.143314592982414</v>
      </c>
      <c r="R40" s="30">
        <f>('TUSD BE'!$R$40+'TUSD BF'!$R$40+'TUSD CVA'!$R$40)*1</f>
        <v>15.944062081967184</v>
      </c>
      <c r="S40" s="30">
        <f>('TUSD BE'!$S$40+'TUSD BF'!$S$40+'TUSD CVA'!$S$40)*1</f>
        <v>0</v>
      </c>
      <c r="T40" s="30">
        <f>('TUSD BE'!$U$40+'TUSD BF'!$U$40+'TUSD CVA'!$U$40)*1</f>
        <v>26.564672390828491</v>
      </c>
      <c r="U40" s="30">
        <f>('TUSD BE'!$V$40+'TUSD BF'!$V$40+'TUSD CVA'!$V$40)*1</f>
        <v>4.7718411848118905</v>
      </c>
      <c r="V40" s="30">
        <f>('TUSD BE'!$W$40+'TUSD BF'!$W$40+'TUSD CVA'!$W$40)*1</f>
        <v>4.5821528383721981</v>
      </c>
      <c r="W40" s="30">
        <f>('TUSD BE'!$X$40+'TUSD BF'!$X$40+'TUSD CVA'!$X$40)*1</f>
        <v>0</v>
      </c>
      <c r="X40" s="30">
        <f>('TUSD BE'!$Y$40+'TUSD BF'!$Y$40+'TUSD CVA'!$Y$40)*1</f>
        <v>0</v>
      </c>
      <c r="Y40" s="30">
        <f>('TUSD BE'!$Z$40+'TUSD BF'!$Z$40+'TUSD CVA'!$Z$40)*1</f>
        <v>0</v>
      </c>
      <c r="Z40" s="30">
        <f>('TUSD BE'!$AA$40+'TUSD BF'!$AA$40+'TUSD CVA'!$AA$40)*1</f>
        <v>0</v>
      </c>
      <c r="AA40" s="30">
        <f>('TUSD BE'!$AC$40+'TUSD BF'!$AC$40+'TUSD CVA'!$AC$40)*1</f>
        <v>309.98988560060116</v>
      </c>
      <c r="AB40" s="30">
        <f ca="1">('TUSD BE'!$AE$40+'TUSD BF'!$AE$40+'TUSD CVA'!$AE$40)*1</f>
        <v>-35.055175889831986</v>
      </c>
      <c r="AC40" s="30">
        <f ca="1">('TUSD BE'!$AF$40+'TUSD BF'!$AF$40+'TUSD CVA'!$AF$40)*1</f>
        <v>0</v>
      </c>
      <c r="AD40" s="30">
        <f>('TUSD BE'!$AH$40+'TUSD BF'!$AH$40+'TUSD CVA'!$AH$40)*1</f>
        <v>27.03721324927546</v>
      </c>
      <c r="AE40" s="30">
        <f>('TUSD BE'!$AI$40+'TUSD BF'!$AI$40+'TUSD CVA'!$AI$40)*1</f>
        <v>0.9626232890261438</v>
      </c>
      <c r="AF40" s="30">
        <f ca="1">('TUSD BE'!$AJ$40+'TUSD BF'!$AJ$40+'TUSD CVA'!$AJ$40)*1</f>
        <v>8.0567818127502235</v>
      </c>
      <c r="AG40" s="30">
        <f ca="1">('TUSD BE'!$AK$40+'TUSD BF'!$AK$40+'TUSD CVA'!$AK$40)*1</f>
        <v>0</v>
      </c>
      <c r="AI40" s="30">
        <v>0</v>
      </c>
      <c r="AJ40" s="30">
        <v>1.09717886329523</v>
      </c>
      <c r="AK40" s="30">
        <v>3.9296828558343702</v>
      </c>
      <c r="AL40" s="30">
        <v>2.6042479560220402E-2</v>
      </c>
      <c r="AM40" s="30">
        <v>0</v>
      </c>
      <c r="AN40" s="30">
        <v>23.027132750044601</v>
      </c>
      <c r="AO40" s="30">
        <v>10.9728039525681</v>
      </c>
      <c r="AP40" s="30">
        <v>0</v>
      </c>
      <c r="AQ40" s="30">
        <v>27.295268286918098</v>
      </c>
      <c r="AR40" s="30">
        <v>7.3303407961293701</v>
      </c>
      <c r="AS40" s="30">
        <v>3.1124060264092499</v>
      </c>
      <c r="AT40" s="30">
        <v>0</v>
      </c>
      <c r="AU40" s="30">
        <v>0</v>
      </c>
      <c r="AV40" s="30">
        <v>0</v>
      </c>
      <c r="AW40" s="30">
        <v>0</v>
      </c>
      <c r="AX40" s="30">
        <v>233.38371139607301</v>
      </c>
      <c r="AY40" s="30">
        <v>-0.203913777048182</v>
      </c>
      <c r="AZ40" s="30">
        <v>0</v>
      </c>
      <c r="BA40" s="30">
        <v>23.439665319969201</v>
      </c>
      <c r="BB40" s="30">
        <v>0.796376662743568</v>
      </c>
      <c r="BC40" s="30">
        <v>7.6260688718203502</v>
      </c>
      <c r="BD40" s="30">
        <v>0</v>
      </c>
    </row>
    <row r="41" spans="1:56" ht="11.25" customHeight="1" x14ac:dyDescent="0.25">
      <c r="A41" s="108"/>
      <c r="B41" s="108"/>
      <c r="C41" s="108"/>
      <c r="D41" s="34" t="s">
        <v>29</v>
      </c>
      <c r="E41" s="34" t="s">
        <v>25</v>
      </c>
      <c r="F41" s="34" t="s">
        <v>25</v>
      </c>
      <c r="G41" s="33" t="s">
        <v>98</v>
      </c>
      <c r="H41" s="33" t="s">
        <v>93</v>
      </c>
      <c r="I41" s="33">
        <f>'MERCADO TUSD'!$U$38</f>
        <v>83676.410999999993</v>
      </c>
      <c r="J41" s="15"/>
      <c r="L41" s="30">
        <f>('TUSD BE'!$L$41+'TUSD BF'!$L$41+'TUSD CVA'!$L$41)*(1 - 0.65)</f>
        <v>0</v>
      </c>
      <c r="M41" s="30">
        <f>('TUSD BE'!$M$41+'TUSD BF'!$M$41+'TUSD CVA'!$M$41)*(1 - 0.65)</f>
        <v>0.40115711541290305</v>
      </c>
      <c r="N41" s="30">
        <f ca="1">('TUSD BE'!$N$41+'TUSD BF'!$N$41+'TUSD CVA'!$N$41)*(1 - 0.65)</f>
        <v>1.3783767677773178</v>
      </c>
      <c r="O41" s="30">
        <f>('TUSD BE'!$O$41+'TUSD BF'!$O$41+'TUSD CVA'!$O$41)*(1 - 0.65)</f>
        <v>8.1125945913660125E-3</v>
      </c>
      <c r="P41" s="30">
        <v>0</v>
      </c>
      <c r="Q41" s="30">
        <f>('TUSD BE'!$Q$41+'TUSD BF'!$Q$41+'TUSD CVA'!$Q$41)*(1 - 0.65)</f>
        <v>0</v>
      </c>
      <c r="R41" s="30">
        <v>0</v>
      </c>
      <c r="S41" s="30">
        <f>('TUSD BE'!$S$41+'TUSD BF'!$S$41+'TUSD CVA'!$S$41)*(1 - 0.65)</f>
        <v>0</v>
      </c>
      <c r="T41" s="30">
        <f>('TUSD BE'!$U$41+'TUSD BF'!$U$41+'TUSD CVA'!$U$41)*(1 - 0.65)</f>
        <v>9.2976353367899716</v>
      </c>
      <c r="U41" s="30">
        <f>('TUSD BE'!$V$41+'TUSD BF'!$V$41+'TUSD CVA'!$V$41)*(1 - 0.65)</f>
        <v>1.6701444146841615</v>
      </c>
      <c r="V41" s="30">
        <f>('TUSD BE'!$W$41+'TUSD BF'!$W$41+'TUSD CVA'!$W$41)*(1 - 0.65)</f>
        <v>1.6037534934302693</v>
      </c>
      <c r="W41" s="30">
        <f>('TUSD BE'!$X$41+'TUSD BF'!$X$41+'TUSD CVA'!$X$41)*(1 - 0.65)</f>
        <v>0</v>
      </c>
      <c r="X41" s="30">
        <f>('TUSD BE'!$Y$41+'TUSD BF'!$Y$41+'TUSD CVA'!$Y$41)*(1 - 0.65)</f>
        <v>0</v>
      </c>
      <c r="Y41" s="30">
        <f>('TUSD BE'!$Z$41+'TUSD BF'!$Z$41+'TUSD CVA'!$Z$41)*(1 - 0.65)</f>
        <v>0</v>
      </c>
      <c r="Z41" s="30">
        <f>('TUSD BE'!$AA$41+'TUSD BF'!$AA$41+'TUSD CVA'!$AA$41)*(1 - 0.65)</f>
        <v>0</v>
      </c>
      <c r="AA41" s="30">
        <f>('TUSD BE'!$AC$41+'TUSD BF'!$AC$41+'TUSD CVA'!$AC$41)*(1 - 0.65)</f>
        <v>108.4964599602104</v>
      </c>
      <c r="AB41" s="30">
        <f ca="1">('TUSD BE'!$AE$41+'TUSD BF'!$AE$41+'TUSD CVA'!$AE$41)*(1 - 0.65)</f>
        <v>-10.645555809410592</v>
      </c>
      <c r="AC41" s="30">
        <f ca="1">('TUSD BE'!$AF$41+'TUSD BF'!$AF$41+'TUSD CVA'!$AF$41)*(1 - 0.65)</f>
        <v>0</v>
      </c>
      <c r="AD41" s="30">
        <f>('TUSD BE'!$AH$41+'TUSD BF'!$AH$41+'TUSD CVA'!$AH$41)*(1 - 0.65)</f>
        <v>9.4630246372464111</v>
      </c>
      <c r="AE41" s="30">
        <f>('TUSD BE'!$AI$41+'TUSD BF'!$AI$41+'TUSD CVA'!$AI$41)*(1 - 0.65)</f>
        <v>0.3369181511591503</v>
      </c>
      <c r="AF41" s="30">
        <f ca="1">('TUSD BE'!$AJ$41+'TUSD BF'!$AJ$41+'TUSD CVA'!$AJ$41)*(1 - 0.65)</f>
        <v>2.8198736344625779</v>
      </c>
      <c r="AG41" s="30">
        <f ca="1">('TUSD BE'!$AK$41+'TUSD BF'!$AK$41+'TUSD CVA'!$AK$41)*(1 - 0.65)</f>
        <v>0</v>
      </c>
      <c r="AI41" s="30">
        <v>0</v>
      </c>
      <c r="AJ41" s="30">
        <v>0.384012602153331</v>
      </c>
      <c r="AK41" s="30">
        <v>1.3702027707153299</v>
      </c>
      <c r="AL41" s="30">
        <v>9.1148678460771394E-3</v>
      </c>
      <c r="AM41" s="30">
        <v>0</v>
      </c>
      <c r="AN41" s="30">
        <v>0</v>
      </c>
      <c r="AO41" s="30">
        <v>0</v>
      </c>
      <c r="AP41" s="30">
        <v>0</v>
      </c>
      <c r="AQ41" s="30">
        <v>9.5533439004213498</v>
      </c>
      <c r="AR41" s="30">
        <v>2.5656192786452801</v>
      </c>
      <c r="AS41" s="30">
        <v>1.08934210924324</v>
      </c>
      <c r="AT41" s="30">
        <v>0</v>
      </c>
      <c r="AU41" s="30">
        <v>0</v>
      </c>
      <c r="AV41" s="30">
        <v>0</v>
      </c>
      <c r="AW41" s="30">
        <v>0</v>
      </c>
      <c r="AX41" s="30">
        <v>81.6842989886255</v>
      </c>
      <c r="AY41" s="30">
        <v>-6.4373313173254398E-2</v>
      </c>
      <c r="AZ41" s="30">
        <v>0</v>
      </c>
      <c r="BA41" s="30">
        <v>8.2038828619892303</v>
      </c>
      <c r="BB41" s="30">
        <v>0.27873183196024898</v>
      </c>
      <c r="BC41" s="30">
        <v>2.66912410513712</v>
      </c>
      <c r="BD41" s="30">
        <v>0</v>
      </c>
    </row>
    <row r="42" spans="1:56" ht="11.25" customHeight="1" x14ac:dyDescent="0.25">
      <c r="A42" s="108"/>
      <c r="B42" s="108"/>
      <c r="C42" s="108"/>
      <c r="D42" s="34" t="s">
        <v>30</v>
      </c>
      <c r="E42" s="34" t="s">
        <v>25</v>
      </c>
      <c r="F42" s="34" t="s">
        <v>25</v>
      </c>
      <c r="G42" s="33" t="s">
        <v>98</v>
      </c>
      <c r="H42" s="33" t="s">
        <v>93</v>
      </c>
      <c r="I42" s="33">
        <f>'MERCADO TUSD'!$U$39</f>
        <v>134463.81899999996</v>
      </c>
      <c r="J42" s="15"/>
      <c r="L42" s="30">
        <f>('TUSD BE'!$L$42+'TUSD BF'!$L$42+'TUSD CVA'!$L$42)*(1 - 0.4)</f>
        <v>0</v>
      </c>
      <c r="M42" s="30">
        <f>('TUSD BE'!$M$42+'TUSD BF'!$M$42+'TUSD CVA'!$M$42)*(1 - 0.4)</f>
        <v>0.68769791213640519</v>
      </c>
      <c r="N42" s="30">
        <f ca="1">('TUSD BE'!$N$42+'TUSD BF'!$N$42+'TUSD CVA'!$N$42)*(1 - 0.4)</f>
        <v>2.3629316019039734</v>
      </c>
      <c r="O42" s="30">
        <f>('TUSD BE'!$O$42+'TUSD BF'!$O$42+'TUSD CVA'!$O$42)*(1 - 0.4)</f>
        <v>1.3907305013770308E-2</v>
      </c>
      <c r="P42" s="30">
        <v>0</v>
      </c>
      <c r="Q42" s="30">
        <f>('TUSD BE'!$Q$42+'TUSD BF'!$Q$42+'TUSD CVA'!$Q$42)*(1 - 0.4)</f>
        <v>0</v>
      </c>
      <c r="R42" s="30">
        <v>0</v>
      </c>
      <c r="S42" s="30">
        <f>('TUSD BE'!$S$42+'TUSD BF'!$S$42+'TUSD CVA'!$S$42)*(1 - 0.4)</f>
        <v>0</v>
      </c>
      <c r="T42" s="30">
        <f>('TUSD BE'!$U$42+'TUSD BF'!$U$42+'TUSD CVA'!$U$42)*(1 - 0.4)</f>
        <v>15.938803434497094</v>
      </c>
      <c r="U42" s="30">
        <f>('TUSD BE'!$V$42+'TUSD BF'!$V$42+'TUSD CVA'!$V$42)*(1 - 0.4)</f>
        <v>2.8631047108871344</v>
      </c>
      <c r="V42" s="30">
        <f>('TUSD BE'!$W$42+'TUSD BF'!$W$42+'TUSD CVA'!$W$42)*(1 - 0.4)</f>
        <v>2.7492917030233186</v>
      </c>
      <c r="W42" s="30">
        <f>('TUSD BE'!$X$42+'TUSD BF'!$X$42+'TUSD CVA'!$X$42)*(1 - 0.4)</f>
        <v>0</v>
      </c>
      <c r="X42" s="30">
        <f>('TUSD BE'!$Y$42+'TUSD BF'!$Y$42+'TUSD CVA'!$Y$42)*(1 - 0.4)</f>
        <v>0</v>
      </c>
      <c r="Y42" s="30">
        <f>('TUSD BE'!$Z$42+'TUSD BF'!$Z$42+'TUSD CVA'!$Z$42)*(1 - 0.4)</f>
        <v>0</v>
      </c>
      <c r="Z42" s="30">
        <f>('TUSD BE'!$AA$42+'TUSD BF'!$AA$42+'TUSD CVA'!$AA$42)*(1 - 0.4)</f>
        <v>0</v>
      </c>
      <c r="AA42" s="30">
        <f>('TUSD BE'!$AC$42+'TUSD BF'!$AC$42+'TUSD CVA'!$AC$42)*(1 - 0.4)</f>
        <v>185.99393136036068</v>
      </c>
      <c r="AB42" s="30">
        <f ca="1">('TUSD BE'!$AE$42+'TUSD BF'!$AE$42+'TUSD CVA'!$AE$42)*(1 - 0.4)</f>
        <v>-18.249524244703871</v>
      </c>
      <c r="AC42" s="30">
        <f ca="1">('TUSD BE'!$AF$42+'TUSD BF'!$AF$42+'TUSD CVA'!$AF$42)*(1 - 0.4)</f>
        <v>0</v>
      </c>
      <c r="AD42" s="30">
        <f>('TUSD BE'!$AH$42+'TUSD BF'!$AH$42+'TUSD CVA'!$AH$42)*(1 - 0.4)</f>
        <v>16.222327949565276</v>
      </c>
      <c r="AE42" s="30">
        <f>('TUSD BE'!$AI$42+'TUSD BF'!$AI$42+'TUSD CVA'!$AI$42)*(1 - 0.4)</f>
        <v>0.57757397341568628</v>
      </c>
      <c r="AF42" s="30">
        <f ca="1">('TUSD BE'!$AJ$42+'TUSD BF'!$AJ$42+'TUSD CVA'!$AJ$42)*(1 - 0.4)</f>
        <v>4.8340690876501338</v>
      </c>
      <c r="AG42" s="30">
        <f ca="1">('TUSD BE'!$AK$42+'TUSD BF'!$AK$42+'TUSD CVA'!$AK$42)*(1 - 0.4)</f>
        <v>0</v>
      </c>
      <c r="AI42" s="30">
        <v>0</v>
      </c>
      <c r="AJ42" s="30">
        <v>0.65830731797713904</v>
      </c>
      <c r="AK42" s="30">
        <v>2.348919035512</v>
      </c>
      <c r="AL42" s="30">
        <v>1.5625487736132201E-2</v>
      </c>
      <c r="AM42" s="30">
        <v>0</v>
      </c>
      <c r="AN42" s="30">
        <v>0</v>
      </c>
      <c r="AO42" s="30">
        <v>0</v>
      </c>
      <c r="AP42" s="30">
        <v>0</v>
      </c>
      <c r="AQ42" s="30">
        <v>16.3771609721509</v>
      </c>
      <c r="AR42" s="30">
        <v>4.3982044776776199</v>
      </c>
      <c r="AS42" s="30">
        <v>1.8674436158455501</v>
      </c>
      <c r="AT42" s="30">
        <v>0</v>
      </c>
      <c r="AU42" s="30">
        <v>0</v>
      </c>
      <c r="AV42" s="30">
        <v>0</v>
      </c>
      <c r="AW42" s="30">
        <v>0</v>
      </c>
      <c r="AX42" s="30">
        <v>140.03022683764399</v>
      </c>
      <c r="AY42" s="30">
        <v>-0.11035425115415</v>
      </c>
      <c r="AZ42" s="30">
        <v>0</v>
      </c>
      <c r="BA42" s="30">
        <v>14.0637991919815</v>
      </c>
      <c r="BB42" s="30">
        <v>0.47782599764614098</v>
      </c>
      <c r="BC42" s="30">
        <v>4.5756413230922099</v>
      </c>
      <c r="BD42" s="30">
        <v>0</v>
      </c>
    </row>
    <row r="43" spans="1:56" ht="11.25" customHeight="1" x14ac:dyDescent="0.25">
      <c r="A43" s="108"/>
      <c r="B43" s="108"/>
      <c r="C43" s="108"/>
      <c r="D43" s="34" t="s">
        <v>31</v>
      </c>
      <c r="E43" s="34" t="s">
        <v>25</v>
      </c>
      <c r="F43" s="34" t="s">
        <v>25</v>
      </c>
      <c r="G43" s="33" t="s">
        <v>98</v>
      </c>
      <c r="H43" s="33" t="s">
        <v>93</v>
      </c>
      <c r="I43" s="33">
        <f>'MERCADO TUSD'!$U$40</f>
        <v>58132.979000000007</v>
      </c>
      <c r="J43" s="15"/>
      <c r="L43" s="30">
        <f>('TUSD BE'!$L$43+'TUSD BF'!$L$43+'TUSD CVA'!$L$43)*(1 - 0.1)</f>
        <v>0</v>
      </c>
      <c r="M43" s="30">
        <f>('TUSD BE'!$M$43+'TUSD BF'!$M$43+'TUSD CVA'!$M$43)*(1 - 0.1)</f>
        <v>1.0315468682046078</v>
      </c>
      <c r="N43" s="30">
        <f ca="1">('TUSD BE'!$N$43+'TUSD BF'!$N$43+'TUSD CVA'!$N$43)*(1 - 0.1)</f>
        <v>3.5443974028559602</v>
      </c>
      <c r="O43" s="30">
        <f>('TUSD BE'!$O$43+'TUSD BF'!$O$43+'TUSD CVA'!$O$43)*(1 - 0.1)</f>
        <v>2.0860957520655463E-2</v>
      </c>
      <c r="P43" s="30">
        <v>0</v>
      </c>
      <c r="Q43" s="30">
        <f>('TUSD BE'!$Q$43+'TUSD BF'!$Q$43+'TUSD CVA'!$Q$43)*(1 - 0.1)</f>
        <v>0</v>
      </c>
      <c r="R43" s="30">
        <v>0</v>
      </c>
      <c r="S43" s="30">
        <f>('TUSD BE'!$S$43+'TUSD BF'!$S$43+'TUSD CVA'!$S$43)*(1 - 0.1)</f>
        <v>0</v>
      </c>
      <c r="T43" s="30">
        <f>('TUSD BE'!$U$43+'TUSD BF'!$U$43+'TUSD CVA'!$U$43)*(1 - 0.1)</f>
        <v>23.908205151745644</v>
      </c>
      <c r="U43" s="30">
        <f>('TUSD BE'!$V$43+'TUSD BF'!$V$43+'TUSD CVA'!$V$43)*(1 - 0.1)</f>
        <v>4.2946570663307018</v>
      </c>
      <c r="V43" s="30">
        <f>('TUSD BE'!$W$43+'TUSD BF'!$W$43+'TUSD CVA'!$W$43)*(1 - 0.1)</f>
        <v>4.1239375545349786</v>
      </c>
      <c r="W43" s="30">
        <f>('TUSD BE'!$X$43+'TUSD BF'!$X$43+'TUSD CVA'!$X$43)*(1 - 0.1)</f>
        <v>0</v>
      </c>
      <c r="X43" s="30">
        <f>('TUSD BE'!$Y$43+'TUSD BF'!$Y$43+'TUSD CVA'!$Y$43)*(1 - 0.1)</f>
        <v>0</v>
      </c>
      <c r="Y43" s="30">
        <f>('TUSD BE'!$Z$43+'TUSD BF'!$Z$43+'TUSD CVA'!$Z$43)*(1 - 0.1)</f>
        <v>0</v>
      </c>
      <c r="Z43" s="30">
        <f>('TUSD BE'!$AA$43+'TUSD BF'!$AA$43+'TUSD CVA'!$AA$43)*(1 - 0.1)</f>
        <v>0</v>
      </c>
      <c r="AA43" s="30">
        <f>('TUSD BE'!$AC$43+'TUSD BF'!$AC$43+'TUSD CVA'!$AC$43)*(1 - 0.1)</f>
        <v>278.99089704054103</v>
      </c>
      <c r="AB43" s="30">
        <f ca="1">('TUSD BE'!$AE$43+'TUSD BF'!$AE$43+'TUSD CVA'!$AE$43)*(1 - 0.1)</f>
        <v>-27.374286367055806</v>
      </c>
      <c r="AC43" s="30">
        <f ca="1">('TUSD BE'!$AF$43+'TUSD BF'!$AF$43+'TUSD CVA'!$AF$43)*(1 - 0.1)</f>
        <v>0</v>
      </c>
      <c r="AD43" s="30">
        <f>('TUSD BE'!$AH$43+'TUSD BF'!$AH$43+'TUSD CVA'!$AH$43)*(1 - 0.1)</f>
        <v>24.333491924347914</v>
      </c>
      <c r="AE43" s="30">
        <f>('TUSD BE'!$AI$43+'TUSD BF'!$AI$43+'TUSD CVA'!$AI$43)*(1 - 0.1)</f>
        <v>0.86636096012352948</v>
      </c>
      <c r="AF43" s="30">
        <f ca="1">('TUSD BE'!$AJ$43+'TUSD BF'!$AJ$43+'TUSD CVA'!$AJ$43)*(1 - 0.1)</f>
        <v>7.2511036314752015</v>
      </c>
      <c r="AG43" s="30">
        <f ca="1">('TUSD BE'!$AK$43+'TUSD BF'!$AK$43+'TUSD CVA'!$AK$43)*(1 - 0.1)</f>
        <v>0</v>
      </c>
      <c r="AI43" s="30">
        <v>0</v>
      </c>
      <c r="AJ43" s="30">
        <v>0.987460976965708</v>
      </c>
      <c r="AK43" s="30">
        <v>3.5233785532679902</v>
      </c>
      <c r="AL43" s="30">
        <v>2.34382316041984E-2</v>
      </c>
      <c r="AM43" s="30">
        <v>0</v>
      </c>
      <c r="AN43" s="30">
        <v>0</v>
      </c>
      <c r="AO43" s="30">
        <v>0</v>
      </c>
      <c r="AP43" s="30">
        <v>0</v>
      </c>
      <c r="AQ43" s="30">
        <v>24.565741458226299</v>
      </c>
      <c r="AR43" s="30">
        <v>6.5973067165164396</v>
      </c>
      <c r="AS43" s="30">
        <v>2.8011654237683299</v>
      </c>
      <c r="AT43" s="30">
        <v>0</v>
      </c>
      <c r="AU43" s="30">
        <v>0</v>
      </c>
      <c r="AV43" s="30">
        <v>0</v>
      </c>
      <c r="AW43" s="30">
        <v>0</v>
      </c>
      <c r="AX43" s="30">
        <v>210.04534025646601</v>
      </c>
      <c r="AY43" s="30">
        <v>-0.165531376731226</v>
      </c>
      <c r="AZ43" s="30">
        <v>0</v>
      </c>
      <c r="BA43" s="30">
        <v>21.095698787972299</v>
      </c>
      <c r="BB43" s="30">
        <v>0.71673899646921102</v>
      </c>
      <c r="BC43" s="30">
        <v>6.8634619846383202</v>
      </c>
      <c r="BD43" s="30">
        <v>0</v>
      </c>
    </row>
    <row r="44" spans="1:56" ht="11.25" customHeight="1" x14ac:dyDescent="0.25">
      <c r="A44" s="108"/>
      <c r="B44" s="108"/>
      <c r="C44" s="108"/>
      <c r="D44" s="34" t="s">
        <v>32</v>
      </c>
      <c r="E44" s="34" t="s">
        <v>25</v>
      </c>
      <c r="F44" s="34" t="s">
        <v>25</v>
      </c>
      <c r="G44" s="33" t="s">
        <v>98</v>
      </c>
      <c r="H44" s="33" t="s">
        <v>93</v>
      </c>
      <c r="I44" s="33">
        <f>'MERCADO TUSD'!$U$41</f>
        <v>16063.907000000001</v>
      </c>
      <c r="J44" s="15"/>
      <c r="L44" s="30">
        <f>('TUSD BE'!$L$44+'TUSD BF'!$L$44+'TUSD CVA'!$L$44)*1</f>
        <v>0</v>
      </c>
      <c r="M44" s="30">
        <f>('TUSD BE'!$M$44+'TUSD BF'!$M$44+'TUSD CVA'!$M$44)*1</f>
        <v>1.1461631868940088</v>
      </c>
      <c r="N44" s="30">
        <f ca="1">('TUSD BE'!$N$44+'TUSD BF'!$N$44+'TUSD CVA'!$N$44)*1</f>
        <v>3.9382193365066223</v>
      </c>
      <c r="O44" s="30">
        <f>('TUSD BE'!$O$44+'TUSD BF'!$O$44+'TUSD CVA'!$O$44)*1</f>
        <v>2.3178841689617181E-2</v>
      </c>
      <c r="P44" s="30">
        <v>0</v>
      </c>
      <c r="Q44" s="30">
        <f>('TUSD BE'!$Q$44+'TUSD BF'!$Q$44+'TUSD CVA'!$Q$44)*1</f>
        <v>0</v>
      </c>
      <c r="R44" s="30">
        <v>0</v>
      </c>
      <c r="S44" s="30">
        <f>('TUSD BE'!$S$44+'TUSD BF'!$S$44+'TUSD CVA'!$S$44)*1</f>
        <v>0</v>
      </c>
      <c r="T44" s="30">
        <f>('TUSD BE'!$U$44+'TUSD BF'!$U$44+'TUSD CVA'!$U$44)*1</f>
        <v>26.564672390828491</v>
      </c>
      <c r="U44" s="30">
        <f>('TUSD BE'!$V$44+'TUSD BF'!$V$44+'TUSD CVA'!$V$44)*1</f>
        <v>4.7718411848118905</v>
      </c>
      <c r="V44" s="30">
        <f>('TUSD BE'!$W$44+'TUSD BF'!$W$44+'TUSD CVA'!$W$44)*1</f>
        <v>4.5821528383721981</v>
      </c>
      <c r="W44" s="30">
        <f>('TUSD BE'!$X$44+'TUSD BF'!$X$44+'TUSD CVA'!$X$44)*1</f>
        <v>0</v>
      </c>
      <c r="X44" s="30">
        <f>('TUSD BE'!$Y$44+'TUSD BF'!$Y$44+'TUSD CVA'!$Y$44)*1</f>
        <v>0</v>
      </c>
      <c r="Y44" s="30">
        <f>('TUSD BE'!$Z$44+'TUSD BF'!$Z$44+'TUSD CVA'!$Z$44)*1</f>
        <v>0</v>
      </c>
      <c r="Z44" s="30">
        <f>('TUSD BE'!$AA$44+'TUSD BF'!$AA$44+'TUSD CVA'!$AA$44)*1</f>
        <v>0</v>
      </c>
      <c r="AA44" s="30">
        <f>('TUSD BE'!$AC$44+'TUSD BF'!$AC$44+'TUSD CVA'!$AC$44)*1</f>
        <v>309.98988560060116</v>
      </c>
      <c r="AB44" s="30">
        <f ca="1">('TUSD BE'!$AE$44+'TUSD BF'!$AE$44+'TUSD CVA'!$AE$44)*1</f>
        <v>-30.415873741173119</v>
      </c>
      <c r="AC44" s="30">
        <f ca="1">('TUSD BE'!$AF$44+'TUSD BF'!$AF$44+'TUSD CVA'!$AF$44)*1</f>
        <v>0</v>
      </c>
      <c r="AD44" s="30">
        <f>('TUSD BE'!$AH$44+'TUSD BF'!$AH$44+'TUSD CVA'!$AH$44)*1</f>
        <v>27.03721324927546</v>
      </c>
      <c r="AE44" s="30">
        <f>('TUSD BE'!$AI$44+'TUSD BF'!$AI$44+'TUSD CVA'!$AI$44)*1</f>
        <v>0.9626232890261438</v>
      </c>
      <c r="AF44" s="30">
        <f ca="1">('TUSD BE'!$AJ$44+'TUSD BF'!$AJ$44+'TUSD CVA'!$AJ$44)*1</f>
        <v>8.0567818127502235</v>
      </c>
      <c r="AG44" s="30">
        <f ca="1">('TUSD BE'!$AK$44+'TUSD BF'!$AK$44+'TUSD CVA'!$AK$44)*1</f>
        <v>0</v>
      </c>
      <c r="AI44" s="30">
        <v>0</v>
      </c>
      <c r="AJ44" s="30">
        <v>1.09717886329523</v>
      </c>
      <c r="AK44" s="30">
        <v>3.9148650591866598</v>
      </c>
      <c r="AL44" s="30">
        <v>2.6042479560220402E-2</v>
      </c>
      <c r="AM44" s="30">
        <v>0</v>
      </c>
      <c r="AN44" s="30">
        <v>0</v>
      </c>
      <c r="AO44" s="30">
        <v>0</v>
      </c>
      <c r="AP44" s="30">
        <v>0</v>
      </c>
      <c r="AQ44" s="30">
        <v>27.295268286918098</v>
      </c>
      <c r="AR44" s="30">
        <v>7.3303407961293701</v>
      </c>
      <c r="AS44" s="30">
        <v>3.1124060264092499</v>
      </c>
      <c r="AT44" s="30">
        <v>0</v>
      </c>
      <c r="AU44" s="30">
        <v>0</v>
      </c>
      <c r="AV44" s="30">
        <v>0</v>
      </c>
      <c r="AW44" s="30">
        <v>0</v>
      </c>
      <c r="AX44" s="30">
        <v>233.38371139607301</v>
      </c>
      <c r="AY44" s="30">
        <v>-0.18392375192358401</v>
      </c>
      <c r="AZ44" s="30">
        <v>0</v>
      </c>
      <c r="BA44" s="30">
        <v>23.439665319969201</v>
      </c>
      <c r="BB44" s="30">
        <v>0.796376662743568</v>
      </c>
      <c r="BC44" s="30">
        <v>7.6260688718203502</v>
      </c>
      <c r="BD44" s="30">
        <v>0</v>
      </c>
    </row>
    <row r="45" spans="1:56" ht="11.25" customHeight="1" x14ac:dyDescent="0.25">
      <c r="A45" s="108"/>
      <c r="B45" s="108" t="s">
        <v>109</v>
      </c>
      <c r="C45" s="108" t="s">
        <v>24</v>
      </c>
      <c r="D45" s="34" t="s">
        <v>24</v>
      </c>
      <c r="E45" s="34" t="s">
        <v>25</v>
      </c>
      <c r="F45" s="34" t="s">
        <v>25</v>
      </c>
      <c r="G45" s="33" t="s">
        <v>98</v>
      </c>
      <c r="H45" s="33" t="s">
        <v>93</v>
      </c>
      <c r="I45" s="33">
        <f>'MERCADO TUSD'!$U$42</f>
        <v>0</v>
      </c>
      <c r="J45" s="15"/>
      <c r="L45" s="30">
        <f>('TUSD BE'!$L$45+'TUSD BF'!$L$45+'TUSD CVA'!$L$45)*1</f>
        <v>4.0226784789093948</v>
      </c>
      <c r="M45" s="30">
        <f>('TUSD BE'!$M$45+'TUSD BF'!$M$45+'TUSD CVA'!$M$45)*1</f>
        <v>1.1461631868940088</v>
      </c>
      <c r="N45" s="30">
        <f ca="1">('TUSD BE'!$N$45+'TUSD BF'!$N$45+'TUSD CVA'!$N$45)*1</f>
        <v>3.9530692439414867</v>
      </c>
      <c r="O45" s="30">
        <f>('TUSD BE'!$O$45+'TUSD BF'!$O$45+'TUSD CVA'!$O$45)*1</f>
        <v>2.3178841689617181E-2</v>
      </c>
      <c r="P45" s="30">
        <f>('TUSD BE'!$P$45+'TUSD BF'!$P$45+'TUSD CVA'!$P$45)*1</f>
        <v>0</v>
      </c>
      <c r="Q45" s="30">
        <f>('TUSD BE'!$Q$45+'TUSD BF'!$Q$45+'TUSD CVA'!$Q$45)*1</f>
        <v>39.143314592982414</v>
      </c>
      <c r="R45" s="30">
        <f>('TUSD BE'!$R$45+'TUSD BF'!$R$45+'TUSD CVA'!$R$45)*1</f>
        <v>15.944062081967184</v>
      </c>
      <c r="S45" s="30">
        <f>('TUSD BE'!$S$45+'TUSD BF'!$S$45+'TUSD CVA'!$S$45)*1</f>
        <v>0</v>
      </c>
      <c r="T45" s="30">
        <f>('TUSD BE'!$U$45+'TUSD BF'!$U$45+'TUSD CVA'!$U$45)*1</f>
        <v>26.564672390828491</v>
      </c>
      <c r="U45" s="30">
        <f>('TUSD BE'!$V$45+'TUSD BF'!$V$45+'TUSD CVA'!$V$45)*1</f>
        <v>4.7718411848118905</v>
      </c>
      <c r="V45" s="30">
        <f>('TUSD BE'!$W$45+'TUSD BF'!$W$45+'TUSD CVA'!$W$45)*1</f>
        <v>4.5821528383721981</v>
      </c>
      <c r="W45" s="30">
        <f>('TUSD BE'!$X$45+'TUSD BF'!$X$45+'TUSD CVA'!$X$45)*1</f>
        <v>0</v>
      </c>
      <c r="X45" s="30">
        <f>('TUSD BE'!$Y$45+'TUSD BF'!$Y$45+'TUSD CVA'!$Y$45)*1</f>
        <v>0</v>
      </c>
      <c r="Y45" s="30">
        <f>('TUSD BE'!$Z$45+'TUSD BF'!$Z$45+'TUSD CVA'!$Z$45)*1</f>
        <v>0</v>
      </c>
      <c r="Z45" s="30">
        <f>('TUSD BE'!$AA$45+'TUSD BF'!$AA$45+'TUSD CVA'!$AA$45)*1</f>
        <v>0</v>
      </c>
      <c r="AA45" s="30">
        <f>('TUSD BE'!$AC$45+'TUSD BF'!$AC$45+'TUSD CVA'!$AC$45)*1</f>
        <v>309.98988560060116</v>
      </c>
      <c r="AB45" s="30">
        <f ca="1">('TUSD BE'!$AE$45+'TUSD BF'!$AE$45+'TUSD CVA'!$AE$45)*1</f>
        <v>-35.055175889831986</v>
      </c>
      <c r="AC45" s="30">
        <f ca="1">('TUSD BE'!$AF$45+'TUSD BF'!$AF$45+'TUSD CVA'!$AF$45)*1</f>
        <v>0</v>
      </c>
      <c r="AD45" s="30">
        <f>('TUSD BE'!$AH$45+'TUSD BF'!$AH$45+'TUSD CVA'!$AH$45)*1</f>
        <v>27.03721324927546</v>
      </c>
      <c r="AE45" s="30">
        <f>('TUSD BE'!$AI$45+'TUSD BF'!$AI$45+'TUSD CVA'!$AI$45)*1</f>
        <v>0.9626232890261438</v>
      </c>
      <c r="AF45" s="30">
        <f ca="1">('TUSD BE'!$AJ$45+'TUSD BF'!$AJ$45+'TUSD CVA'!$AJ$45)*1</f>
        <v>8.0567818127502235</v>
      </c>
      <c r="AG45" s="30">
        <f ca="1">('TUSD BE'!$AK$45+'TUSD BF'!$AK$45+'TUSD CVA'!$AK$45)*1</f>
        <v>0</v>
      </c>
      <c r="AI45" s="30">
        <v>0</v>
      </c>
      <c r="AJ45" s="30">
        <v>1.09717886329523</v>
      </c>
      <c r="AK45" s="30">
        <v>3.9296828558343702</v>
      </c>
      <c r="AL45" s="30">
        <v>2.6042479560220402E-2</v>
      </c>
      <c r="AM45" s="30">
        <v>0</v>
      </c>
      <c r="AN45" s="30">
        <v>23.027132750044601</v>
      </c>
      <c r="AO45" s="30">
        <v>10.9728039525681</v>
      </c>
      <c r="AP45" s="30">
        <v>0</v>
      </c>
      <c r="AQ45" s="30">
        <v>27.295268286918098</v>
      </c>
      <c r="AR45" s="30">
        <v>7.3303407961293701</v>
      </c>
      <c r="AS45" s="30">
        <v>3.1124060264092499</v>
      </c>
      <c r="AT45" s="30">
        <v>0</v>
      </c>
      <c r="AU45" s="30">
        <v>0</v>
      </c>
      <c r="AV45" s="30">
        <v>0</v>
      </c>
      <c r="AW45" s="30">
        <v>0</v>
      </c>
      <c r="AX45" s="30">
        <v>233.38371139607301</v>
      </c>
      <c r="AY45" s="30">
        <v>-0.203913777048182</v>
      </c>
      <c r="AZ45" s="30">
        <v>0</v>
      </c>
      <c r="BA45" s="30">
        <v>23.439665319969201</v>
      </c>
      <c r="BB45" s="30">
        <v>0.796376662743568</v>
      </c>
      <c r="BC45" s="30">
        <v>7.6260688718203502</v>
      </c>
      <c r="BD45" s="30">
        <v>0</v>
      </c>
    </row>
    <row r="46" spans="1:56" ht="11.25" customHeight="1" x14ac:dyDescent="0.25">
      <c r="A46" s="108"/>
      <c r="B46" s="108"/>
      <c r="C46" s="108"/>
      <c r="D46" s="34" t="s">
        <v>29</v>
      </c>
      <c r="E46" s="34" t="s">
        <v>25</v>
      </c>
      <c r="F46" s="34" t="s">
        <v>25</v>
      </c>
      <c r="G46" s="33" t="s">
        <v>98</v>
      </c>
      <c r="H46" s="33" t="s">
        <v>93</v>
      </c>
      <c r="I46" s="33">
        <f>'MERCADO TUSD'!$U$43</f>
        <v>0</v>
      </c>
      <c r="J46" s="15"/>
      <c r="L46" s="30">
        <f>('TUSD BE'!$L$46+'TUSD BF'!$L$46+'TUSD CVA'!$L$46)*(1 - 0.65)</f>
        <v>0</v>
      </c>
      <c r="M46" s="30">
        <f>('TUSD BE'!$M$46+'TUSD BF'!$M$46+'TUSD CVA'!$M$46)*(1 - 0.65)</f>
        <v>0.40115711541290305</v>
      </c>
      <c r="N46" s="30">
        <f ca="1">('TUSD BE'!$N$46+'TUSD BF'!$N$46+'TUSD CVA'!$N$46)*(1 - 0.65)</f>
        <v>1.3783767677773178</v>
      </c>
      <c r="O46" s="30">
        <f>('TUSD BE'!$O$46+'TUSD BF'!$O$46+'TUSD CVA'!$O$46)*(1 - 0.65)</f>
        <v>8.1125945913660125E-3</v>
      </c>
      <c r="P46" s="30">
        <v>0</v>
      </c>
      <c r="Q46" s="30">
        <f>('TUSD BE'!$Q$46+'TUSD BF'!$Q$46+'TUSD CVA'!$Q$46)*(1 - 0.65)</f>
        <v>0</v>
      </c>
      <c r="R46" s="30">
        <v>0</v>
      </c>
      <c r="S46" s="30">
        <f>('TUSD BE'!$S$46+'TUSD BF'!$S$46+'TUSD CVA'!$S$46)*(1 - 0.65)</f>
        <v>0</v>
      </c>
      <c r="T46" s="30">
        <f>('TUSD BE'!$U$46+'TUSD BF'!$U$46+'TUSD CVA'!$U$46)*(1 - 0.65)</f>
        <v>9.2976353367899716</v>
      </c>
      <c r="U46" s="30">
        <f>('TUSD BE'!$V$46+'TUSD BF'!$V$46+'TUSD CVA'!$V$46)*(1 - 0.65)</f>
        <v>1.6701444146841615</v>
      </c>
      <c r="V46" s="30">
        <f>('TUSD BE'!$W$46+'TUSD BF'!$W$46+'TUSD CVA'!$W$46)*(1 - 0.65)</f>
        <v>1.6037534934302693</v>
      </c>
      <c r="W46" s="30">
        <f>('TUSD BE'!$X$46+'TUSD BF'!$X$46+'TUSD CVA'!$X$46)*(1 - 0.65)</f>
        <v>0</v>
      </c>
      <c r="X46" s="30">
        <f>('TUSD BE'!$Y$46+'TUSD BF'!$Y$46+'TUSD CVA'!$Y$46)*(1 - 0.65)</f>
        <v>0</v>
      </c>
      <c r="Y46" s="30">
        <f>('TUSD BE'!$Z$46+'TUSD BF'!$Z$46+'TUSD CVA'!$Z$46)*(1 - 0.65)</f>
        <v>0</v>
      </c>
      <c r="Z46" s="30">
        <f>('TUSD BE'!$AA$46+'TUSD BF'!$AA$46+'TUSD CVA'!$AA$46)*(1 - 0.65)</f>
        <v>0</v>
      </c>
      <c r="AA46" s="30">
        <f>('TUSD BE'!$AC$46+'TUSD BF'!$AC$46+'TUSD CVA'!$AC$46)*(1 - 0.65)</f>
        <v>108.4964599602104</v>
      </c>
      <c r="AB46" s="30">
        <f ca="1">('TUSD BE'!$AE$46+'TUSD BF'!$AE$46+'TUSD CVA'!$AE$46)*(1 - 0.65)</f>
        <v>-10.645555809410592</v>
      </c>
      <c r="AC46" s="30">
        <f ca="1">('TUSD BE'!$AF$46+'TUSD BF'!$AF$46+'TUSD CVA'!$AF$46)*(1 - 0.65)</f>
        <v>0</v>
      </c>
      <c r="AD46" s="30">
        <f>('TUSD BE'!$AH$46+'TUSD BF'!$AH$46+'TUSD CVA'!$AH$46)*(1 - 0.65)</f>
        <v>9.4630246372464111</v>
      </c>
      <c r="AE46" s="30">
        <f>('TUSD BE'!$AI$46+'TUSD BF'!$AI$46+'TUSD CVA'!$AI$46)*(1 - 0.65)</f>
        <v>0.3369181511591503</v>
      </c>
      <c r="AF46" s="30">
        <f ca="1">('TUSD BE'!$AJ$46+'TUSD BF'!$AJ$46+'TUSD CVA'!$AJ$46)*(1 - 0.65)</f>
        <v>2.8198736344625779</v>
      </c>
      <c r="AG46" s="30">
        <f ca="1">('TUSD BE'!$AK$46+'TUSD BF'!$AK$46+'TUSD CVA'!$AK$46)*(1 - 0.65)</f>
        <v>0</v>
      </c>
      <c r="AI46" s="30">
        <v>0</v>
      </c>
      <c r="AJ46" s="30">
        <v>0.384012602153331</v>
      </c>
      <c r="AK46" s="30">
        <v>1.3702027707153299</v>
      </c>
      <c r="AL46" s="30">
        <v>9.1148678460771394E-3</v>
      </c>
      <c r="AM46" s="30">
        <v>0</v>
      </c>
      <c r="AN46" s="30">
        <v>0</v>
      </c>
      <c r="AO46" s="30">
        <v>0</v>
      </c>
      <c r="AP46" s="30">
        <v>0</v>
      </c>
      <c r="AQ46" s="30">
        <v>9.5533439004213498</v>
      </c>
      <c r="AR46" s="30">
        <v>2.5656192786452801</v>
      </c>
      <c r="AS46" s="30">
        <v>1.08934210924324</v>
      </c>
      <c r="AT46" s="30">
        <v>0</v>
      </c>
      <c r="AU46" s="30">
        <v>0</v>
      </c>
      <c r="AV46" s="30">
        <v>0</v>
      </c>
      <c r="AW46" s="30">
        <v>0</v>
      </c>
      <c r="AX46" s="30">
        <v>81.6842989886255</v>
      </c>
      <c r="AY46" s="30">
        <v>-6.4373313173254398E-2</v>
      </c>
      <c r="AZ46" s="30">
        <v>0</v>
      </c>
      <c r="BA46" s="30">
        <v>8.2038828619892303</v>
      </c>
      <c r="BB46" s="30">
        <v>0.27873183196024898</v>
      </c>
      <c r="BC46" s="30">
        <v>2.66912410513712</v>
      </c>
      <c r="BD46" s="30">
        <v>0</v>
      </c>
    </row>
    <row r="47" spans="1:56" ht="11.25" customHeight="1" x14ac:dyDescent="0.25">
      <c r="A47" s="108"/>
      <c r="B47" s="108"/>
      <c r="C47" s="108"/>
      <c r="D47" s="34" t="s">
        <v>30</v>
      </c>
      <c r="E47" s="34" t="s">
        <v>25</v>
      </c>
      <c r="F47" s="34" t="s">
        <v>25</v>
      </c>
      <c r="G47" s="33" t="s">
        <v>98</v>
      </c>
      <c r="H47" s="33" t="s">
        <v>93</v>
      </c>
      <c r="I47" s="33">
        <f>'MERCADO TUSD'!$U$44</f>
        <v>0</v>
      </c>
      <c r="J47" s="15"/>
      <c r="L47" s="30">
        <f>('TUSD BE'!$L$47+'TUSD BF'!$L$47+'TUSD CVA'!$L$47)*(1 - 0.4)</f>
        <v>0</v>
      </c>
      <c r="M47" s="30">
        <f>('TUSD BE'!$M$47+'TUSD BF'!$M$47+'TUSD CVA'!$M$47)*(1 - 0.4)</f>
        <v>0.68769791213640519</v>
      </c>
      <c r="N47" s="30">
        <f ca="1">('TUSD BE'!$N$47+'TUSD BF'!$N$47+'TUSD CVA'!$N$47)*(1 - 0.4)</f>
        <v>2.3629316019039734</v>
      </c>
      <c r="O47" s="30">
        <f>('TUSD BE'!$O$47+'TUSD BF'!$O$47+'TUSD CVA'!$O$47)*(1 - 0.4)</f>
        <v>1.3907305013770308E-2</v>
      </c>
      <c r="P47" s="30">
        <v>0</v>
      </c>
      <c r="Q47" s="30">
        <f>('TUSD BE'!$Q$47+'TUSD BF'!$Q$47+'TUSD CVA'!$Q$47)*(1 - 0.4)</f>
        <v>0</v>
      </c>
      <c r="R47" s="30">
        <v>0</v>
      </c>
      <c r="S47" s="30">
        <f>('TUSD BE'!$S$47+'TUSD BF'!$S$47+'TUSD CVA'!$S$47)*(1 - 0.4)</f>
        <v>0</v>
      </c>
      <c r="T47" s="30">
        <f>('TUSD BE'!$U$47+'TUSD BF'!$U$47+'TUSD CVA'!$U$47)*(1 - 0.4)</f>
        <v>15.938803434497094</v>
      </c>
      <c r="U47" s="30">
        <f>('TUSD BE'!$V$47+'TUSD BF'!$V$47+'TUSD CVA'!$V$47)*(1 - 0.4)</f>
        <v>2.8631047108871344</v>
      </c>
      <c r="V47" s="30">
        <f>('TUSD BE'!$W$47+'TUSD BF'!$W$47+'TUSD CVA'!$W$47)*(1 - 0.4)</f>
        <v>2.7492917030233186</v>
      </c>
      <c r="W47" s="30">
        <f>('TUSD BE'!$X$47+'TUSD BF'!$X$47+'TUSD CVA'!$X$47)*(1 - 0.4)</f>
        <v>0</v>
      </c>
      <c r="X47" s="30">
        <f>('TUSD BE'!$Y$47+'TUSD BF'!$Y$47+'TUSD CVA'!$Y$47)*(1 - 0.4)</f>
        <v>0</v>
      </c>
      <c r="Y47" s="30">
        <f>('TUSD BE'!$Z$47+'TUSD BF'!$Z$47+'TUSD CVA'!$Z$47)*(1 - 0.4)</f>
        <v>0</v>
      </c>
      <c r="Z47" s="30">
        <f>('TUSD BE'!$AA$47+'TUSD BF'!$AA$47+'TUSD CVA'!$AA$47)*(1 - 0.4)</f>
        <v>0</v>
      </c>
      <c r="AA47" s="30">
        <f>('TUSD BE'!$AC$47+'TUSD BF'!$AC$47+'TUSD CVA'!$AC$47)*(1 - 0.4)</f>
        <v>185.99393136036068</v>
      </c>
      <c r="AB47" s="30">
        <f ca="1">('TUSD BE'!$AE$47+'TUSD BF'!$AE$47+'TUSD CVA'!$AE$47)*(1 - 0.4)</f>
        <v>-18.249524244703871</v>
      </c>
      <c r="AC47" s="30">
        <f ca="1">('TUSD BE'!$AF$47+'TUSD BF'!$AF$47+'TUSD CVA'!$AF$47)*(1 - 0.4)</f>
        <v>0</v>
      </c>
      <c r="AD47" s="30">
        <f>('TUSD BE'!$AH$47+'TUSD BF'!$AH$47+'TUSD CVA'!$AH$47)*(1 - 0.4)</f>
        <v>16.222327949565276</v>
      </c>
      <c r="AE47" s="30">
        <f>('TUSD BE'!$AI$47+'TUSD BF'!$AI$47+'TUSD CVA'!$AI$47)*(1 - 0.4)</f>
        <v>0.57757397341568628</v>
      </c>
      <c r="AF47" s="30">
        <f ca="1">('TUSD BE'!$AJ$47+'TUSD BF'!$AJ$47+'TUSD CVA'!$AJ$47)*(1 - 0.4)</f>
        <v>4.8340690876501338</v>
      </c>
      <c r="AG47" s="30">
        <f ca="1">('TUSD BE'!$AK$47+'TUSD BF'!$AK$47+'TUSD CVA'!$AK$47)*(1 - 0.4)</f>
        <v>0</v>
      </c>
      <c r="AI47" s="30">
        <v>0</v>
      </c>
      <c r="AJ47" s="30">
        <v>0.65830731797713904</v>
      </c>
      <c r="AK47" s="30">
        <v>2.348919035512</v>
      </c>
      <c r="AL47" s="30">
        <v>1.5625487736132201E-2</v>
      </c>
      <c r="AM47" s="30">
        <v>0</v>
      </c>
      <c r="AN47" s="30">
        <v>0</v>
      </c>
      <c r="AO47" s="30">
        <v>0</v>
      </c>
      <c r="AP47" s="30">
        <v>0</v>
      </c>
      <c r="AQ47" s="30">
        <v>16.3771609721509</v>
      </c>
      <c r="AR47" s="30">
        <v>4.3982044776776199</v>
      </c>
      <c r="AS47" s="30">
        <v>1.8674436158455501</v>
      </c>
      <c r="AT47" s="30">
        <v>0</v>
      </c>
      <c r="AU47" s="30">
        <v>0</v>
      </c>
      <c r="AV47" s="30">
        <v>0</v>
      </c>
      <c r="AW47" s="30">
        <v>0</v>
      </c>
      <c r="AX47" s="30">
        <v>140.03022683764399</v>
      </c>
      <c r="AY47" s="30">
        <v>-0.11035425115415</v>
      </c>
      <c r="AZ47" s="30">
        <v>0</v>
      </c>
      <c r="BA47" s="30">
        <v>14.0637991919815</v>
      </c>
      <c r="BB47" s="30">
        <v>0.47782599764614098</v>
      </c>
      <c r="BC47" s="30">
        <v>4.5756413230922099</v>
      </c>
      <c r="BD47" s="30">
        <v>0</v>
      </c>
    </row>
    <row r="48" spans="1:56" ht="11.25" customHeight="1" x14ac:dyDescent="0.25">
      <c r="A48" s="108"/>
      <c r="B48" s="108"/>
      <c r="C48" s="108"/>
      <c r="D48" s="34" t="s">
        <v>31</v>
      </c>
      <c r="E48" s="34" t="s">
        <v>25</v>
      </c>
      <c r="F48" s="34" t="s">
        <v>25</v>
      </c>
      <c r="G48" s="33" t="s">
        <v>98</v>
      </c>
      <c r="H48" s="33" t="s">
        <v>93</v>
      </c>
      <c r="I48" s="33">
        <f>'MERCADO TUSD'!$U$45</f>
        <v>0</v>
      </c>
      <c r="J48" s="15"/>
      <c r="L48" s="30">
        <f>('TUSD BE'!$L$48+'TUSD BF'!$L$48+'TUSD CVA'!$L$48)*(1 - 0.1)</f>
        <v>0</v>
      </c>
      <c r="M48" s="30">
        <f>('TUSD BE'!$M$48+'TUSD BF'!$M$48+'TUSD CVA'!$M$48)*(1 - 0.1)</f>
        <v>1.0315468682046078</v>
      </c>
      <c r="N48" s="30">
        <f ca="1">('TUSD BE'!$N$48+'TUSD BF'!$N$48+'TUSD CVA'!$N$48)*(1 - 0.1)</f>
        <v>3.5443974028559602</v>
      </c>
      <c r="O48" s="30">
        <f>('TUSD BE'!$O$48+'TUSD BF'!$O$48+'TUSD CVA'!$O$48)*(1 - 0.1)</f>
        <v>2.0860957520655463E-2</v>
      </c>
      <c r="P48" s="30">
        <v>0</v>
      </c>
      <c r="Q48" s="30">
        <f>('TUSD BE'!$Q$48+'TUSD BF'!$Q$48+'TUSD CVA'!$Q$48)*(1 - 0.1)</f>
        <v>0</v>
      </c>
      <c r="R48" s="30">
        <v>0</v>
      </c>
      <c r="S48" s="30">
        <f>('TUSD BE'!$S$48+'TUSD BF'!$S$48+'TUSD CVA'!$S$48)*(1 - 0.1)</f>
        <v>0</v>
      </c>
      <c r="T48" s="30">
        <f>('TUSD BE'!$U$48+'TUSD BF'!$U$48+'TUSD CVA'!$U$48)*(1 - 0.1)</f>
        <v>23.908205151745644</v>
      </c>
      <c r="U48" s="30">
        <f>('TUSD BE'!$V$48+'TUSD BF'!$V$48+'TUSD CVA'!$V$48)*(1 - 0.1)</f>
        <v>4.2946570663307018</v>
      </c>
      <c r="V48" s="30">
        <f>('TUSD BE'!$W$48+'TUSD BF'!$W$48+'TUSD CVA'!$W$48)*(1 - 0.1)</f>
        <v>4.1239375545349786</v>
      </c>
      <c r="W48" s="30">
        <f>('TUSD BE'!$X$48+'TUSD BF'!$X$48+'TUSD CVA'!$X$48)*(1 - 0.1)</f>
        <v>0</v>
      </c>
      <c r="X48" s="30">
        <f>('TUSD BE'!$Y$48+'TUSD BF'!$Y$48+'TUSD CVA'!$Y$48)*(1 - 0.1)</f>
        <v>0</v>
      </c>
      <c r="Y48" s="30">
        <f>('TUSD BE'!$Z$48+'TUSD BF'!$Z$48+'TUSD CVA'!$Z$48)*(1 - 0.1)</f>
        <v>0</v>
      </c>
      <c r="Z48" s="30">
        <f>('TUSD BE'!$AA$48+'TUSD BF'!$AA$48+'TUSD CVA'!$AA$48)*(1 - 0.1)</f>
        <v>0</v>
      </c>
      <c r="AA48" s="30">
        <f>('TUSD BE'!$AC$48+'TUSD BF'!$AC$48+'TUSD CVA'!$AC$48)*(1 - 0.1)</f>
        <v>278.99089704054103</v>
      </c>
      <c r="AB48" s="30">
        <f ca="1">('TUSD BE'!$AE$48+'TUSD BF'!$AE$48+'TUSD CVA'!$AE$48)*(1 - 0.1)</f>
        <v>-27.374286367055806</v>
      </c>
      <c r="AC48" s="30">
        <f ca="1">('TUSD BE'!$AF$48+'TUSD BF'!$AF$48+'TUSD CVA'!$AF$48)*(1 - 0.1)</f>
        <v>0</v>
      </c>
      <c r="AD48" s="30">
        <f>('TUSD BE'!$AH$48+'TUSD BF'!$AH$48+'TUSD CVA'!$AH$48)*(1 - 0.1)</f>
        <v>24.333491924347914</v>
      </c>
      <c r="AE48" s="30">
        <f>('TUSD BE'!$AI$48+'TUSD BF'!$AI$48+'TUSD CVA'!$AI$48)*(1 - 0.1)</f>
        <v>0.86636096012352948</v>
      </c>
      <c r="AF48" s="30">
        <f ca="1">('TUSD BE'!$AJ$48+'TUSD BF'!$AJ$48+'TUSD CVA'!$AJ$48)*(1 - 0.1)</f>
        <v>7.2511036314752015</v>
      </c>
      <c r="AG48" s="30">
        <f ca="1">('TUSD BE'!$AK$48+'TUSD BF'!$AK$48+'TUSD CVA'!$AK$48)*(1 - 0.1)</f>
        <v>0</v>
      </c>
      <c r="AI48" s="30">
        <v>0</v>
      </c>
      <c r="AJ48" s="30">
        <v>0.987460976965708</v>
      </c>
      <c r="AK48" s="30">
        <v>3.5233785532679902</v>
      </c>
      <c r="AL48" s="30">
        <v>2.34382316041984E-2</v>
      </c>
      <c r="AM48" s="30">
        <v>0</v>
      </c>
      <c r="AN48" s="30">
        <v>0</v>
      </c>
      <c r="AO48" s="30">
        <v>0</v>
      </c>
      <c r="AP48" s="30">
        <v>0</v>
      </c>
      <c r="AQ48" s="30">
        <v>24.565741458226299</v>
      </c>
      <c r="AR48" s="30">
        <v>6.5973067165164396</v>
      </c>
      <c r="AS48" s="30">
        <v>2.8011654237683299</v>
      </c>
      <c r="AT48" s="30">
        <v>0</v>
      </c>
      <c r="AU48" s="30">
        <v>0</v>
      </c>
      <c r="AV48" s="30">
        <v>0</v>
      </c>
      <c r="AW48" s="30">
        <v>0</v>
      </c>
      <c r="AX48" s="30">
        <v>210.04534025646601</v>
      </c>
      <c r="AY48" s="30">
        <v>-0.165531376731226</v>
      </c>
      <c r="AZ48" s="30">
        <v>0</v>
      </c>
      <c r="BA48" s="30">
        <v>21.095698787972299</v>
      </c>
      <c r="BB48" s="30">
        <v>0.71673899646921102</v>
      </c>
      <c r="BC48" s="30">
        <v>6.8634619846383202</v>
      </c>
      <c r="BD48" s="30">
        <v>0</v>
      </c>
    </row>
    <row r="49" spans="1:56" ht="11.25" customHeight="1" x14ac:dyDescent="0.25">
      <c r="A49" s="108"/>
      <c r="B49" s="108"/>
      <c r="C49" s="108"/>
      <c r="D49" s="34" t="s">
        <v>32</v>
      </c>
      <c r="E49" s="34" t="s">
        <v>25</v>
      </c>
      <c r="F49" s="34" t="s">
        <v>25</v>
      </c>
      <c r="G49" s="33" t="s">
        <v>98</v>
      </c>
      <c r="H49" s="33" t="s">
        <v>93</v>
      </c>
      <c r="I49" s="33">
        <f>'MERCADO TUSD'!$U$46</f>
        <v>0</v>
      </c>
      <c r="J49" s="15"/>
      <c r="L49" s="30">
        <f>('TUSD BE'!$L$49+'TUSD BF'!$L$49+'TUSD CVA'!$L$49)*1</f>
        <v>0</v>
      </c>
      <c r="M49" s="30">
        <f>('TUSD BE'!$M$49+'TUSD BF'!$M$49+'TUSD CVA'!$M$49)*1</f>
        <v>1.1461631868940088</v>
      </c>
      <c r="N49" s="30">
        <f ca="1">('TUSD BE'!$N$49+'TUSD BF'!$N$49+'TUSD CVA'!$N$49)*1</f>
        <v>3.9382193365066223</v>
      </c>
      <c r="O49" s="30">
        <f>('TUSD BE'!$O$49+'TUSD BF'!$O$49+'TUSD CVA'!$O$49)*1</f>
        <v>2.3178841689617181E-2</v>
      </c>
      <c r="P49" s="30">
        <v>0</v>
      </c>
      <c r="Q49" s="30">
        <f>('TUSD BE'!$Q$49+'TUSD BF'!$Q$49+'TUSD CVA'!$Q$49)*1</f>
        <v>0</v>
      </c>
      <c r="R49" s="30">
        <v>0</v>
      </c>
      <c r="S49" s="30">
        <f>('TUSD BE'!$S$49+'TUSD BF'!$S$49+'TUSD CVA'!$S$49)*1</f>
        <v>0</v>
      </c>
      <c r="T49" s="30">
        <f>('TUSD BE'!$U$49+'TUSD BF'!$U$49+'TUSD CVA'!$U$49)*1</f>
        <v>26.564672390828491</v>
      </c>
      <c r="U49" s="30">
        <f>('TUSD BE'!$V$49+'TUSD BF'!$V$49+'TUSD CVA'!$V$49)*1</f>
        <v>4.7718411848118905</v>
      </c>
      <c r="V49" s="30">
        <f>('TUSD BE'!$W$49+'TUSD BF'!$W$49+'TUSD CVA'!$W$49)*1</f>
        <v>4.5821528383721981</v>
      </c>
      <c r="W49" s="30">
        <f>('TUSD BE'!$X$49+'TUSD BF'!$X$49+'TUSD CVA'!$X$49)*1</f>
        <v>0</v>
      </c>
      <c r="X49" s="30">
        <f>('TUSD BE'!$Y$49+'TUSD BF'!$Y$49+'TUSD CVA'!$Y$49)*1</f>
        <v>0</v>
      </c>
      <c r="Y49" s="30">
        <f>('TUSD BE'!$Z$49+'TUSD BF'!$Z$49+'TUSD CVA'!$Z$49)*1</f>
        <v>0</v>
      </c>
      <c r="Z49" s="30">
        <f>('TUSD BE'!$AA$49+'TUSD BF'!$AA$49+'TUSD CVA'!$AA$49)*1</f>
        <v>0</v>
      </c>
      <c r="AA49" s="30">
        <f>('TUSD BE'!$AC$49+'TUSD BF'!$AC$49+'TUSD CVA'!$AC$49)*1</f>
        <v>309.98988560060116</v>
      </c>
      <c r="AB49" s="30">
        <f ca="1">('TUSD BE'!$AE$49+'TUSD BF'!$AE$49+'TUSD CVA'!$AE$49)*1</f>
        <v>-30.415873741173119</v>
      </c>
      <c r="AC49" s="30">
        <f ca="1">('TUSD BE'!$AF$49+'TUSD BF'!$AF$49+'TUSD CVA'!$AF$49)*1</f>
        <v>0</v>
      </c>
      <c r="AD49" s="30">
        <f>('TUSD BE'!$AH$49+'TUSD BF'!$AH$49+'TUSD CVA'!$AH$49)*1</f>
        <v>27.03721324927546</v>
      </c>
      <c r="AE49" s="30">
        <f>('TUSD BE'!$AI$49+'TUSD BF'!$AI$49+'TUSD CVA'!$AI$49)*1</f>
        <v>0.9626232890261438</v>
      </c>
      <c r="AF49" s="30">
        <f ca="1">('TUSD BE'!$AJ$49+'TUSD BF'!$AJ$49+'TUSD CVA'!$AJ$49)*1</f>
        <v>8.0567818127502235</v>
      </c>
      <c r="AG49" s="30">
        <f ca="1">('TUSD BE'!$AK$49+'TUSD BF'!$AK$49+'TUSD CVA'!$AK$49)*1</f>
        <v>0</v>
      </c>
      <c r="AI49" s="30">
        <v>0</v>
      </c>
      <c r="AJ49" s="30">
        <v>1.09717886329523</v>
      </c>
      <c r="AK49" s="30">
        <v>3.9148650591866598</v>
      </c>
      <c r="AL49" s="30">
        <v>2.6042479560220402E-2</v>
      </c>
      <c r="AM49" s="30">
        <v>0</v>
      </c>
      <c r="AN49" s="30">
        <v>0</v>
      </c>
      <c r="AO49" s="30">
        <v>0</v>
      </c>
      <c r="AP49" s="30">
        <v>0</v>
      </c>
      <c r="AQ49" s="30">
        <v>27.295268286918098</v>
      </c>
      <c r="AR49" s="30">
        <v>7.3303407961293701</v>
      </c>
      <c r="AS49" s="30">
        <v>3.1124060264092499</v>
      </c>
      <c r="AT49" s="30">
        <v>0</v>
      </c>
      <c r="AU49" s="30">
        <v>0</v>
      </c>
      <c r="AV49" s="30">
        <v>0</v>
      </c>
      <c r="AW49" s="30">
        <v>0</v>
      </c>
      <c r="AX49" s="30">
        <v>233.38371139607301</v>
      </c>
      <c r="AY49" s="30">
        <v>-0.18392375192358401</v>
      </c>
      <c r="AZ49" s="30">
        <v>0</v>
      </c>
      <c r="BA49" s="30">
        <v>23.439665319969201</v>
      </c>
      <c r="BB49" s="30">
        <v>0.796376662743568</v>
      </c>
      <c r="BC49" s="30">
        <v>7.6260688718203502</v>
      </c>
      <c r="BD49" s="30">
        <v>0</v>
      </c>
    </row>
    <row r="50" spans="1:56" ht="11.25" customHeight="1" x14ac:dyDescent="0.25">
      <c r="A50" s="108" t="s">
        <v>44</v>
      </c>
      <c r="B50" s="108" t="s">
        <v>33</v>
      </c>
      <c r="C50" s="108" t="s">
        <v>45</v>
      </c>
      <c r="D50" s="108" t="s">
        <v>25</v>
      </c>
      <c r="E50" s="108" t="s">
        <v>25</v>
      </c>
      <c r="F50" s="108" t="s">
        <v>25</v>
      </c>
      <c r="G50" s="33" t="s">
        <v>94</v>
      </c>
      <c r="H50" s="33" t="s">
        <v>93</v>
      </c>
      <c r="I50" s="33">
        <f>'MERCADO TUSD'!$U$47</f>
        <v>0.61099999999999999</v>
      </c>
      <c r="J50" s="15"/>
      <c r="L50" s="30">
        <f>('TUSD BE'!$L$50+'TUSD BF'!$L$50+'TUSD CVA'!$L$50)*(1 - CUSTOS!$M$38)</f>
        <v>3.7813177701748311</v>
      </c>
      <c r="M50" s="30">
        <f>('TUSD BE'!$M$50+'TUSD BF'!$M$50+'TUSD CVA'!$M$50)*(1 - CUSTOS!$M$38)</f>
        <v>1.0773933956803681</v>
      </c>
      <c r="N50" s="30">
        <f ca="1">('TUSD BE'!$N$50+'TUSD BF'!$N$50+'TUSD CVA'!$N$50)*(1 - CUSTOS!$M$38)</f>
        <v>9.3787089927641993</v>
      </c>
      <c r="O50" s="30">
        <f>('TUSD BE'!$O$50+'TUSD BF'!$O$50+'TUSD CVA'!$O$50)*(1 - CUSTOS!$M$38)</f>
        <v>2.1788111188240148E-2</v>
      </c>
      <c r="P50" s="30">
        <f>('TUSD BE'!$P$50+'TUSD BF'!$P$50+'TUSD CVA'!$P$50)*(1 - CUSTOS!$M$38)</f>
        <v>0</v>
      </c>
      <c r="Q50" s="30">
        <f>('TUSD BE'!$Q$50+'TUSD BF'!$Q$50+'TUSD CVA'!$Q$50)*(1 - CUSTOS!$M$38)</f>
        <v>36.79471571740347</v>
      </c>
      <c r="R50" s="30">
        <f>('TUSD BE'!$R$50+'TUSD BF'!$R$50+'TUSD CVA'!$R$50)*(1 - CUSTOS!$M$38)</f>
        <v>14.987418357049153</v>
      </c>
      <c r="S50" s="30">
        <f>('TUSD BE'!$S$50+'TUSD BF'!$S$50+'TUSD CVA'!$S$50)*(1 - CUSTOS!$M$38)</f>
        <v>0</v>
      </c>
      <c r="T50" s="30">
        <f>('TUSD BE'!$U$50+'TUSD BF'!$U$50+'TUSD CVA'!$U$50)*(1 - CUSTOS!$M$38)</f>
        <v>74.912376142136324</v>
      </c>
      <c r="U50" s="30">
        <f>('TUSD BE'!$V$50+'TUSD BF'!$V$50+'TUSD CVA'!$V$50)*(1 - CUSTOS!$M$38)</f>
        <v>13.456592141169528</v>
      </c>
      <c r="V50" s="30">
        <f>('TUSD BE'!$W$50+'TUSD BF'!$W$50+'TUSD CVA'!$W$50)*(1 - CUSTOS!$M$38)</f>
        <v>12.921522734892282</v>
      </c>
      <c r="W50" s="30">
        <f>('TUSD BE'!$X$50+'TUSD BF'!$X$50+'TUSD CVA'!$X$50)*(1 - CUSTOS!$M$38)</f>
        <v>0</v>
      </c>
      <c r="X50" s="30">
        <f>('TUSD BE'!$Y$50+'TUSD BF'!$Y$50+'TUSD CVA'!$Y$50)*(1 - CUSTOS!$M$38)</f>
        <v>0</v>
      </c>
      <c r="Y50" s="30">
        <f>('TUSD BE'!$Z$50+'TUSD BF'!$Z$50+'TUSD CVA'!$Z$50)*(1 - CUSTOS!$M$38)</f>
        <v>0</v>
      </c>
      <c r="Z50" s="30">
        <f>('TUSD BE'!$AA$50+'TUSD BF'!$AA$50+'TUSD CVA'!$AA$50)*(1 - CUSTOS!$M$38)</f>
        <v>0</v>
      </c>
      <c r="AA50" s="30">
        <f>('TUSD BE'!$AC$50+'TUSD BF'!$AC$50+'TUSD CVA'!$AC$50)*(1 - CUSTOS!$M$38)</f>
        <v>874.17131408659463</v>
      </c>
      <c r="AB50" s="30">
        <f ca="1">('TUSD BE'!$AE$50+'TUSD BF'!$AE$50+'TUSD CVA'!$AE$50)*(1 - CUSTOS!$M$38)</f>
        <v>-84.13717908212962</v>
      </c>
      <c r="AC50" s="30">
        <f ca="1">('TUSD BE'!$AF$50+'TUSD BF'!$AF$50+'TUSD CVA'!$AF$50)*(1 - CUSTOS!$M$38)</f>
        <v>0</v>
      </c>
      <c r="AD50" s="30">
        <f>('TUSD BE'!$AH$50+'TUSD BF'!$AH$50+'TUSD CVA'!$AH$50)*(1 - CUSTOS!$M$38)</f>
        <v>25.414980454318933</v>
      </c>
      <c r="AE50" s="30">
        <f>('TUSD BE'!$AI$50+'TUSD BF'!$AI$50+'TUSD CVA'!$AI$50)*(1 - CUSTOS!$M$38)</f>
        <v>0.9048658916845751</v>
      </c>
      <c r="AF50" s="30">
        <f ca="1">('TUSD BE'!$AJ$50+'TUSD BF'!$AJ$50+'TUSD CVA'!$AJ$50)*(1 - CUSTOS!$M$38)</f>
        <v>7.5733749039852096</v>
      </c>
      <c r="AG50" s="30">
        <f ca="1">('TUSD BE'!$AK$50+'TUSD BF'!$AK$50+'TUSD CVA'!$AK$50)*(1 - CUSTOS!$M$38)</f>
        <v>0</v>
      </c>
      <c r="AI50" s="30">
        <v>0</v>
      </c>
      <c r="AJ50" s="30">
        <v>0.96551739969980399</v>
      </c>
      <c r="AK50" s="30">
        <v>8.7480245285707294</v>
      </c>
      <c r="AL50" s="30">
        <v>2.2917382012993998E-2</v>
      </c>
      <c r="AM50" s="30">
        <v>0</v>
      </c>
      <c r="AN50" s="30">
        <v>20.263876820039201</v>
      </c>
      <c r="AO50" s="30">
        <v>9.6560674782599296</v>
      </c>
      <c r="AP50" s="30">
        <v>0</v>
      </c>
      <c r="AQ50" s="30">
        <v>72.059508277463905</v>
      </c>
      <c r="AR50" s="30">
        <v>19.352099701781501</v>
      </c>
      <c r="AS50" s="30">
        <v>8.2166576268528502</v>
      </c>
      <c r="AT50" s="30">
        <v>0</v>
      </c>
      <c r="AU50" s="30">
        <v>0</v>
      </c>
      <c r="AV50" s="30">
        <v>0</v>
      </c>
      <c r="AW50" s="30">
        <v>0</v>
      </c>
      <c r="AX50" s="30">
        <v>616.13288298362295</v>
      </c>
      <c r="AY50" s="30">
        <v>-0.470550984747795</v>
      </c>
      <c r="AZ50" s="30">
        <v>0</v>
      </c>
      <c r="BA50" s="30">
        <v>20.626905481572901</v>
      </c>
      <c r="BB50" s="30">
        <v>0.70081146321433996</v>
      </c>
      <c r="BC50" s="30">
        <v>6.71094060720191</v>
      </c>
      <c r="BD50" s="30">
        <v>0</v>
      </c>
    </row>
    <row r="51" spans="1:56" ht="11.25" customHeight="1" x14ac:dyDescent="0.25">
      <c r="A51" s="108"/>
      <c r="B51" s="108"/>
      <c r="C51" s="108"/>
      <c r="D51" s="108"/>
      <c r="E51" s="108"/>
      <c r="F51" s="108"/>
      <c r="G51" s="33" t="s">
        <v>107</v>
      </c>
      <c r="H51" s="33" t="s">
        <v>93</v>
      </c>
      <c r="I51" s="33">
        <f>'MERCADO TUSD'!$U$48</f>
        <v>0.81099999999999994</v>
      </c>
      <c r="J51" s="15"/>
      <c r="L51" s="30">
        <f>('TUSD BE'!$L$51+'TUSD BF'!$L$51+'TUSD CVA'!$L$51)*(1 - CUSTOS!$M$38)</f>
        <v>3.7813177701748311</v>
      </c>
      <c r="M51" s="30">
        <f>('TUSD BE'!$M$51+'TUSD BF'!$M$51+'TUSD CVA'!$M$51)*(1 - CUSTOS!$M$38)</f>
        <v>1.0773933956803681</v>
      </c>
      <c r="N51" s="30">
        <f ca="1">('TUSD BE'!$N$51+'TUSD BF'!$N$51+'TUSD CVA'!$N$51)*(1 - CUSTOS!$M$38)</f>
        <v>5.9810160465799758</v>
      </c>
      <c r="O51" s="30">
        <f>('TUSD BE'!$O$51+'TUSD BF'!$O$51+'TUSD CVA'!$O$51)*(1 - CUSTOS!$M$38)</f>
        <v>2.1788111188240148E-2</v>
      </c>
      <c r="P51" s="30">
        <f>('TUSD BE'!$P$51+'TUSD BF'!$P$51+'TUSD CVA'!$P$51)*(1 - CUSTOS!$M$38)</f>
        <v>0</v>
      </c>
      <c r="Q51" s="30">
        <f>('TUSD BE'!$Q$51+'TUSD BF'!$Q$51+'TUSD CVA'!$Q$51)*(1 - CUSTOS!$M$38)</f>
        <v>36.79471571740347</v>
      </c>
      <c r="R51" s="30">
        <f>('TUSD BE'!$R$51+'TUSD BF'!$R$51+'TUSD CVA'!$R$51)*(1 - CUSTOS!$M$38)</f>
        <v>14.987418357049153</v>
      </c>
      <c r="S51" s="30">
        <f>('TUSD BE'!$S$51+'TUSD BF'!$S$51+'TUSD CVA'!$S$51)*(1 - CUSTOS!$M$38)</f>
        <v>0</v>
      </c>
      <c r="T51" s="30">
        <f>('TUSD BE'!$U$51+'TUSD BF'!$U$51+'TUSD CVA'!$U$51)*(1 - CUSTOS!$M$38)</f>
        <v>44.94748298829785</v>
      </c>
      <c r="U51" s="30">
        <f>('TUSD BE'!$V$51+'TUSD BF'!$V$51+'TUSD CVA'!$V$51)*(1 - CUSTOS!$M$38)</f>
        <v>8.0739332557717809</v>
      </c>
      <c r="V51" s="30">
        <f>('TUSD BE'!$W$51+'TUSD BF'!$W$51+'TUSD CVA'!$W$51)*(1 - CUSTOS!$M$38)</f>
        <v>7.7530026025257595</v>
      </c>
      <c r="W51" s="30">
        <f>('TUSD BE'!$X$51+'TUSD BF'!$X$51+'TUSD CVA'!$X$51)*(1 - CUSTOS!$M$38)</f>
        <v>0</v>
      </c>
      <c r="X51" s="30">
        <f>('TUSD BE'!$Y$51+'TUSD BF'!$Y$51+'TUSD CVA'!$Y$51)*(1 - CUSTOS!$M$38)</f>
        <v>0</v>
      </c>
      <c r="Y51" s="30">
        <f>('TUSD BE'!$Z$51+'TUSD BF'!$Z$51+'TUSD CVA'!$Z$51)*(1 - CUSTOS!$M$38)</f>
        <v>0</v>
      </c>
      <c r="Z51" s="30">
        <f>('TUSD BE'!$AA$51+'TUSD BF'!$AA$51+'TUSD CVA'!$AA$51)*(1 - CUSTOS!$M$38)</f>
        <v>0</v>
      </c>
      <c r="AA51" s="30">
        <f>('TUSD BE'!$AC$51+'TUSD BF'!$AC$51+'TUSD CVA'!$AC$51)*(1 - CUSTOS!$M$38)</f>
        <v>524.50288643621695</v>
      </c>
      <c r="AB51" s="30">
        <f ca="1">('TUSD BE'!$AE$51+'TUSD BF'!$AE$51+'TUSD CVA'!$AE$51)*(1 - CUSTOS!$M$38)</f>
        <v>-53.426003101059273</v>
      </c>
      <c r="AC51" s="30">
        <f ca="1">('TUSD BE'!$AF$51+'TUSD BF'!$AF$51+'TUSD CVA'!$AF$51)*(1 - CUSTOS!$M$38)</f>
        <v>0</v>
      </c>
      <c r="AD51" s="30">
        <f>('TUSD BE'!$AH$51+'TUSD BF'!$AH$51+'TUSD CVA'!$AH$51)*(1 - CUSTOS!$M$38)</f>
        <v>25.414980454318933</v>
      </c>
      <c r="AE51" s="30">
        <f>('TUSD BE'!$AI$51+'TUSD BF'!$AI$51+'TUSD CVA'!$AI$51)*(1 - CUSTOS!$M$38)</f>
        <v>0.9048658916845751</v>
      </c>
      <c r="AF51" s="30">
        <f ca="1">('TUSD BE'!$AJ$51+'TUSD BF'!$AJ$51+'TUSD CVA'!$AJ$51)*(1 - CUSTOS!$M$38)</f>
        <v>7.5733749039852096</v>
      </c>
      <c r="AG51" s="30">
        <f ca="1">('TUSD BE'!$AK$51+'TUSD BF'!$AK$51+'TUSD CVA'!$AK$51)*(1 - CUSTOS!$M$38)</f>
        <v>0</v>
      </c>
      <c r="AI51" s="30">
        <v>0</v>
      </c>
      <c r="AJ51" s="30">
        <v>0.96551739969980399</v>
      </c>
      <c r="AK51" s="30">
        <v>5.5740836632749398</v>
      </c>
      <c r="AL51" s="30">
        <v>2.2917382012993998E-2</v>
      </c>
      <c r="AM51" s="30">
        <v>0</v>
      </c>
      <c r="AN51" s="30">
        <v>20.263876820039201</v>
      </c>
      <c r="AO51" s="30">
        <v>9.6560674782599296</v>
      </c>
      <c r="AP51" s="30">
        <v>0</v>
      </c>
      <c r="AQ51" s="30">
        <v>43.235760087239001</v>
      </c>
      <c r="AR51" s="30">
        <v>11.611228140979099</v>
      </c>
      <c r="AS51" s="30">
        <v>4.9300511458322598</v>
      </c>
      <c r="AT51" s="30">
        <v>0</v>
      </c>
      <c r="AU51" s="30">
        <v>0</v>
      </c>
      <c r="AV51" s="30">
        <v>0</v>
      </c>
      <c r="AW51" s="30">
        <v>0</v>
      </c>
      <c r="AX51" s="30">
        <v>369.67979885137902</v>
      </c>
      <c r="AY51" s="30">
        <v>-0.295886933231988</v>
      </c>
      <c r="AZ51" s="30">
        <v>0</v>
      </c>
      <c r="BA51" s="30">
        <v>20.626905481572901</v>
      </c>
      <c r="BB51" s="30">
        <v>0.70081146321433996</v>
      </c>
      <c r="BC51" s="30">
        <v>6.71094060720191</v>
      </c>
      <c r="BD51" s="30">
        <v>0</v>
      </c>
    </row>
    <row r="52" spans="1:56" ht="11.25" customHeight="1" x14ac:dyDescent="0.25">
      <c r="A52" s="108"/>
      <c r="B52" s="108"/>
      <c r="C52" s="108"/>
      <c r="D52" s="108"/>
      <c r="E52" s="108"/>
      <c r="F52" s="108"/>
      <c r="G52" s="33" t="s">
        <v>95</v>
      </c>
      <c r="H52" s="33" t="s">
        <v>93</v>
      </c>
      <c r="I52" s="33">
        <f>'MERCADO TUSD'!$U$49</f>
        <v>184.815</v>
      </c>
      <c r="J52" s="15"/>
      <c r="L52" s="30">
        <f>('TUSD BE'!$L$52+'TUSD BF'!$L$52+'TUSD CVA'!$L$52)*(1 - CUSTOS!$M$38)</f>
        <v>3.7813177701748311</v>
      </c>
      <c r="M52" s="30">
        <f>('TUSD BE'!$M$52+'TUSD BF'!$M$52+'TUSD CVA'!$M$52)*(1 - CUSTOS!$M$38)</f>
        <v>1.0773933956803681</v>
      </c>
      <c r="N52" s="30">
        <f ca="1">('TUSD BE'!$N$52+'TUSD BF'!$N$52+'TUSD CVA'!$N$52)*(1 - CUSTOS!$M$38)</f>
        <v>2.5833189127218579</v>
      </c>
      <c r="O52" s="30">
        <f>('TUSD BE'!$O$52+'TUSD BF'!$O$52+'TUSD CVA'!$O$52)*(1 - CUSTOS!$M$38)</f>
        <v>2.1788111188240148E-2</v>
      </c>
      <c r="P52" s="30">
        <f>('TUSD BE'!$P$52+'TUSD BF'!$P$52+'TUSD CVA'!$P$52)*(1 - CUSTOS!$M$38)</f>
        <v>0</v>
      </c>
      <c r="Q52" s="30">
        <f>('TUSD BE'!$Q$52+'TUSD BF'!$Q$52+'TUSD CVA'!$Q$52)*(1 - CUSTOS!$M$38)</f>
        <v>36.79471571740347</v>
      </c>
      <c r="R52" s="30">
        <f>('TUSD BE'!$R$52+'TUSD BF'!$R$52+'TUSD CVA'!$R$52)*(1 - CUSTOS!$M$38)</f>
        <v>14.987418357049153</v>
      </c>
      <c r="S52" s="30">
        <f>('TUSD BE'!$S$52+'TUSD BF'!$S$52+'TUSD CVA'!$S$52)*(1 - CUSTOS!$M$38)</f>
        <v>0</v>
      </c>
      <c r="T52" s="30">
        <f>('TUSD BE'!$U$52+'TUSD BF'!$U$52+'TUSD CVA'!$U$52)*(1 - CUSTOS!$M$38)</f>
        <v>14.982446576919239</v>
      </c>
      <c r="U52" s="30">
        <f>('TUSD BE'!$V$52+'TUSD BF'!$V$52+'TUSD CVA'!$V$52)*(1 - CUSTOS!$M$38)</f>
        <v>2.6912743703740323</v>
      </c>
      <c r="V52" s="30">
        <f>('TUSD BE'!$W$52+'TUSD BF'!$W$52+'TUSD CVA'!$W$52)*(1 - CUSTOS!$M$38)</f>
        <v>2.5843342008419201</v>
      </c>
      <c r="W52" s="30">
        <f>('TUSD BE'!$X$52+'TUSD BF'!$X$52+'TUSD CVA'!$X$52)*(1 - CUSTOS!$M$38)</f>
        <v>0</v>
      </c>
      <c r="X52" s="30">
        <f>('TUSD BE'!$Y$52+'TUSD BF'!$Y$52+'TUSD CVA'!$Y$52)*(1 - CUSTOS!$M$38)</f>
        <v>0</v>
      </c>
      <c r="Y52" s="30">
        <f>('TUSD BE'!$Z$52+'TUSD BF'!$Z$52+'TUSD CVA'!$Z$52)*(1 - CUSTOS!$M$38)</f>
        <v>0</v>
      </c>
      <c r="Z52" s="30">
        <f>('TUSD BE'!$AA$52+'TUSD BF'!$AA$52+'TUSD CVA'!$AA$52)*(1 - CUSTOS!$M$38)</f>
        <v>0</v>
      </c>
      <c r="AA52" s="30">
        <f>('TUSD BE'!$AC$52+'TUSD BF'!$AC$52+'TUSD CVA'!$AC$52)*(1 - CUSTOS!$M$38)</f>
        <v>174.83429547873899</v>
      </c>
      <c r="AB52" s="30">
        <f ca="1">('TUSD BE'!$AE$52+'TUSD BF'!$AE$52+'TUSD CVA'!$AE$52)*(1 - CUSTOS!$M$38)</f>
        <v>-22.714792048296243</v>
      </c>
      <c r="AC52" s="30">
        <f ca="1">('TUSD BE'!$AF$52+'TUSD BF'!$AF$52+'TUSD CVA'!$AF$52)*(1 - CUSTOS!$M$38)</f>
        <v>0</v>
      </c>
      <c r="AD52" s="30">
        <f>('TUSD BE'!$AH$52+'TUSD BF'!$AH$52+'TUSD CVA'!$AH$52)*(1 - CUSTOS!$M$38)</f>
        <v>25.414980454318933</v>
      </c>
      <c r="AE52" s="30">
        <f>('TUSD BE'!$AI$52+'TUSD BF'!$AI$52+'TUSD CVA'!$AI$52)*(1 - CUSTOS!$M$38)</f>
        <v>0.9048658916845751</v>
      </c>
      <c r="AF52" s="30">
        <f ca="1">('TUSD BE'!$AJ$52+'TUSD BF'!$AJ$52+'TUSD CVA'!$AJ$52)*(1 - CUSTOS!$M$38)</f>
        <v>7.5733749039852096</v>
      </c>
      <c r="AG52" s="30">
        <f ca="1">('TUSD BE'!$AK$52+'TUSD BF'!$AK$52+'TUSD CVA'!$AK$52)*(1 - CUSTOS!$M$38)</f>
        <v>0</v>
      </c>
      <c r="AI52" s="30">
        <v>0</v>
      </c>
      <c r="AJ52" s="30">
        <v>0.96551739969980399</v>
      </c>
      <c r="AK52" s="30">
        <v>2.4001388860808399</v>
      </c>
      <c r="AL52" s="30">
        <v>2.2917382012993998E-2</v>
      </c>
      <c r="AM52" s="30">
        <v>0</v>
      </c>
      <c r="AN52" s="30">
        <v>20.263876820039201</v>
      </c>
      <c r="AO52" s="30">
        <v>9.6560674782599296</v>
      </c>
      <c r="AP52" s="30">
        <v>0</v>
      </c>
      <c r="AQ52" s="30">
        <v>14.411874095112401</v>
      </c>
      <c r="AR52" s="30">
        <v>3.8703565801765598</v>
      </c>
      <c r="AS52" s="30">
        <v>1.64335038194409</v>
      </c>
      <c r="AT52" s="30">
        <v>0</v>
      </c>
      <c r="AU52" s="30">
        <v>0</v>
      </c>
      <c r="AV52" s="30">
        <v>0</v>
      </c>
      <c r="AW52" s="30">
        <v>0</v>
      </c>
      <c r="AX52" s="30">
        <v>123.226599617126</v>
      </c>
      <c r="AY52" s="30">
        <v>-0.121222684207156</v>
      </c>
      <c r="AZ52" s="30">
        <v>0</v>
      </c>
      <c r="BA52" s="30">
        <v>20.626905481572901</v>
      </c>
      <c r="BB52" s="30">
        <v>0.70081146321433996</v>
      </c>
      <c r="BC52" s="30">
        <v>6.71094060720191</v>
      </c>
      <c r="BD52" s="30">
        <v>0</v>
      </c>
    </row>
    <row r="53" spans="1:56" ht="11.25" customHeight="1" x14ac:dyDescent="0.25">
      <c r="A53" s="108"/>
      <c r="B53" s="34" t="s">
        <v>23</v>
      </c>
      <c r="C53" s="34" t="s">
        <v>45</v>
      </c>
      <c r="D53" s="34" t="s">
        <v>25</v>
      </c>
      <c r="E53" s="34" t="s">
        <v>25</v>
      </c>
      <c r="F53" s="34" t="s">
        <v>25</v>
      </c>
      <c r="G53" s="33" t="s">
        <v>98</v>
      </c>
      <c r="H53" s="33" t="s">
        <v>93</v>
      </c>
      <c r="I53" s="33">
        <f>'MERCADO TUSD'!$U$50</f>
        <v>60956.053</v>
      </c>
      <c r="J53" s="15"/>
      <c r="L53" s="30">
        <f>('TUSD BE'!$L$53+'TUSD BF'!$L$53+'TUSD CVA'!$L$53)*(1 - CUSTOS!$M$38)</f>
        <v>3.7813177701748311</v>
      </c>
      <c r="M53" s="30">
        <f>('TUSD BE'!$M$53+'TUSD BF'!$M$53+'TUSD CVA'!$M$53)*(1 - CUSTOS!$M$38)</f>
        <v>1.0773933956803681</v>
      </c>
      <c r="N53" s="30">
        <f ca="1">('TUSD BE'!$N$53+'TUSD BF'!$N$53+'TUSD CVA'!$N$53)*(1 - CUSTOS!$M$38)</f>
        <v>3.7158850893049973</v>
      </c>
      <c r="O53" s="30">
        <f>('TUSD BE'!$O$53+'TUSD BF'!$O$53+'TUSD CVA'!$O$53)*(1 - CUSTOS!$M$38)</f>
        <v>2.1788111188240148E-2</v>
      </c>
      <c r="P53" s="30">
        <f>('TUSD BE'!$P$53+'TUSD BF'!$P$53+'TUSD CVA'!$P$53)*(1 - CUSTOS!$M$38)</f>
        <v>0</v>
      </c>
      <c r="Q53" s="30">
        <f>('TUSD BE'!$Q$53+'TUSD BF'!$Q$53+'TUSD CVA'!$Q$53)*(1 - CUSTOS!$M$38)</f>
        <v>36.79471571740347</v>
      </c>
      <c r="R53" s="30">
        <f>('TUSD BE'!$R$53+'TUSD BF'!$R$53+'TUSD CVA'!$R$53)*(1 - CUSTOS!$M$38)</f>
        <v>14.987418357049153</v>
      </c>
      <c r="S53" s="30">
        <f>('TUSD BE'!$S$53+'TUSD BF'!$S$53+'TUSD CVA'!$S$53)*(1 - CUSTOS!$M$38)</f>
        <v>0</v>
      </c>
      <c r="T53" s="30">
        <f>('TUSD BE'!$U$53+'TUSD BF'!$U$53+'TUSD CVA'!$U$53)*(1 - CUSTOS!$M$38)</f>
        <v>24.970792047378779</v>
      </c>
      <c r="U53" s="30">
        <f>('TUSD BE'!$V$53+'TUSD BF'!$V$53+'TUSD CVA'!$V$53)*(1 - CUSTOS!$M$38)</f>
        <v>4.4855307137231764</v>
      </c>
      <c r="V53" s="30">
        <f>('TUSD BE'!$W$53+'TUSD BF'!$W$53+'TUSD CVA'!$W$53)*(1 - CUSTOS!$M$38)</f>
        <v>4.3072236680698657</v>
      </c>
      <c r="W53" s="30">
        <f>('TUSD BE'!$X$53+'TUSD BF'!$X$53+'TUSD CVA'!$X$53)*(1 - CUSTOS!$M$38)</f>
        <v>0</v>
      </c>
      <c r="X53" s="30">
        <f>('TUSD BE'!$Y$53+'TUSD BF'!$Y$53+'TUSD CVA'!$Y$53)*(1 - CUSTOS!$M$38)</f>
        <v>0</v>
      </c>
      <c r="Y53" s="30">
        <f>('TUSD BE'!$Z$53+'TUSD BF'!$Z$53+'TUSD CVA'!$Z$53)*(1 - CUSTOS!$M$38)</f>
        <v>0</v>
      </c>
      <c r="Z53" s="30">
        <f>('TUSD BE'!$AA$53+'TUSD BF'!$AA$53+'TUSD CVA'!$AA$53)*(1 - CUSTOS!$M$38)</f>
        <v>0</v>
      </c>
      <c r="AA53" s="30">
        <f>('TUSD BE'!$AC$53+'TUSD BF'!$AC$53+'TUSD CVA'!$AC$53)*(1 - CUSTOS!$M$38)</f>
        <v>291.39049246456506</v>
      </c>
      <c r="AB53" s="30">
        <f ca="1">('TUSD BE'!$AE$53+'TUSD BF'!$AE$53+'TUSD CVA'!$AE$53)*(1 - CUSTOS!$M$38)</f>
        <v>-32.951865336442062</v>
      </c>
      <c r="AC53" s="30">
        <f ca="1">('TUSD BE'!$AF$53+'TUSD BF'!$AF$53+'TUSD CVA'!$AF$53)*(1 - CUSTOS!$M$38)</f>
        <v>0</v>
      </c>
      <c r="AD53" s="30">
        <f>('TUSD BE'!$AH$53+'TUSD BF'!$AH$53+'TUSD CVA'!$AH$53)*(1 - CUSTOS!$M$38)</f>
        <v>25.414980454318933</v>
      </c>
      <c r="AE53" s="30">
        <f>('TUSD BE'!$AI$53+'TUSD BF'!$AI$53+'TUSD CVA'!$AI$53)*(1 - CUSTOS!$M$38)</f>
        <v>0.9048658916845751</v>
      </c>
      <c r="AF53" s="30">
        <f ca="1">('TUSD BE'!$AJ$53+'TUSD BF'!$AJ$53+'TUSD CVA'!$AJ$53)*(1 - CUSTOS!$M$38)</f>
        <v>7.5733749039852096</v>
      </c>
      <c r="AG53" s="30">
        <f ca="1">('TUSD BE'!$AK$53+'TUSD BF'!$AK$53+'TUSD CVA'!$AK$53)*(1 - CUSTOS!$M$38)</f>
        <v>0</v>
      </c>
      <c r="AI53" s="30">
        <v>0</v>
      </c>
      <c r="AJ53" s="30">
        <v>0.96551739969980399</v>
      </c>
      <c r="AK53" s="30">
        <v>3.4581209131342501</v>
      </c>
      <c r="AL53" s="30">
        <v>2.2917382012993998E-2</v>
      </c>
      <c r="AM53" s="30">
        <v>0</v>
      </c>
      <c r="AN53" s="30">
        <v>20.263876820039201</v>
      </c>
      <c r="AO53" s="30">
        <v>9.6560674782599296</v>
      </c>
      <c r="AP53" s="30">
        <v>0</v>
      </c>
      <c r="AQ53" s="30">
        <v>24.019836092487999</v>
      </c>
      <c r="AR53" s="30">
        <v>6.4506999005938503</v>
      </c>
      <c r="AS53" s="30">
        <v>2.7389173032401399</v>
      </c>
      <c r="AT53" s="30">
        <v>0</v>
      </c>
      <c r="AU53" s="30">
        <v>0</v>
      </c>
      <c r="AV53" s="30">
        <v>0</v>
      </c>
      <c r="AW53" s="30">
        <v>0</v>
      </c>
      <c r="AX53" s="30">
        <v>205.37766602854401</v>
      </c>
      <c r="AY53" s="30">
        <v>-0.17944412380240099</v>
      </c>
      <c r="AZ53" s="30">
        <v>0</v>
      </c>
      <c r="BA53" s="30">
        <v>20.626905481572901</v>
      </c>
      <c r="BB53" s="30">
        <v>0.70081146321433996</v>
      </c>
      <c r="BC53" s="30">
        <v>6.71094060720191</v>
      </c>
      <c r="BD53" s="30">
        <v>0</v>
      </c>
    </row>
    <row r="54" spans="1:56" ht="11.25" customHeight="1" x14ac:dyDescent="0.25">
      <c r="A54" s="108"/>
      <c r="B54" s="108" t="s">
        <v>33</v>
      </c>
      <c r="C54" s="108" t="s">
        <v>45</v>
      </c>
      <c r="D54" s="108" t="s">
        <v>110</v>
      </c>
      <c r="E54" s="108" t="s">
        <v>25</v>
      </c>
      <c r="F54" s="108" t="s">
        <v>25</v>
      </c>
      <c r="G54" s="33" t="s">
        <v>94</v>
      </c>
      <c r="H54" s="33" t="s">
        <v>93</v>
      </c>
      <c r="I54" s="33">
        <f>'MERCADO TUSD'!$U$51</f>
        <v>0</v>
      </c>
      <c r="J54" s="15"/>
      <c r="L54" s="30">
        <f>('TUSD BE'!$L$54+'TUSD BF'!$L$54+'TUSD CVA'!$L$54)*(1 - CUSTOS!$M$39)</f>
        <v>3.7813177701748311</v>
      </c>
      <c r="M54" s="30">
        <f>('TUSD BE'!$M$54+'TUSD BF'!$M$54+'TUSD CVA'!$M$54)*(1 - CUSTOS!$M$39)</f>
        <v>1.0773933956803681</v>
      </c>
      <c r="N54" s="30">
        <f ca="1">('TUSD BE'!$N$54+'TUSD BF'!$N$54+'TUSD CVA'!$N$54)*(1 - CUSTOS!$M$39)</f>
        <v>9.3787089927641993</v>
      </c>
      <c r="O54" s="30">
        <f>('TUSD BE'!$O$54+'TUSD BF'!$O$54+'TUSD CVA'!$O$54)*(1 - CUSTOS!$M$39)</f>
        <v>2.1788111188240148E-2</v>
      </c>
      <c r="P54" s="30">
        <f>('TUSD BE'!$P$54+'TUSD BF'!$P$54+'TUSD CVA'!$P$54)*(1 - CUSTOS!$M$39)</f>
        <v>0</v>
      </c>
      <c r="Q54" s="30">
        <f>('TUSD BE'!$Q$54+'TUSD BF'!$Q$54+'TUSD CVA'!$Q$54)*(1 - CUSTOS!$M$39)</f>
        <v>36.79471571740347</v>
      </c>
      <c r="R54" s="30">
        <f>('TUSD BE'!$R$54+'TUSD BF'!$R$54+'TUSD CVA'!$R$54)*(1 - CUSTOS!$M$39)</f>
        <v>14.987418357049153</v>
      </c>
      <c r="S54" s="30">
        <f>('TUSD BE'!$S$54+'TUSD BF'!$S$54+'TUSD CVA'!$S$54)*(1 - CUSTOS!$M$39)</f>
        <v>0</v>
      </c>
      <c r="T54" s="30">
        <f>('TUSD BE'!$U$54+'TUSD BF'!$U$54+'TUSD CVA'!$U$54)*(1 - CUSTOS!$M$39)</f>
        <v>74.912376142136324</v>
      </c>
      <c r="U54" s="30">
        <f>('TUSD BE'!$V$54+'TUSD BF'!$V$54+'TUSD CVA'!$V$54)*(1 - CUSTOS!$M$39)</f>
        <v>13.456592141169528</v>
      </c>
      <c r="V54" s="30">
        <f>('TUSD BE'!$W$54+'TUSD BF'!$W$54+'TUSD CVA'!$W$54)*(1 - CUSTOS!$M$39)</f>
        <v>12.921522734892282</v>
      </c>
      <c r="W54" s="30">
        <f>('TUSD BE'!$X$54+'TUSD BF'!$X$54+'TUSD CVA'!$X$54)*(1 - CUSTOS!$M$39)</f>
        <v>0</v>
      </c>
      <c r="X54" s="30">
        <f>('TUSD BE'!$Y$54+'TUSD BF'!$Y$54+'TUSD CVA'!$Y$54)*(1 - CUSTOS!$M$39)</f>
        <v>0</v>
      </c>
      <c r="Y54" s="30">
        <f>('TUSD BE'!$Z$54+'TUSD BF'!$Z$54+'TUSD CVA'!$Z$54)*(1 - CUSTOS!$M$39)</f>
        <v>0</v>
      </c>
      <c r="Z54" s="30">
        <f>('TUSD BE'!$AA$54+'TUSD BF'!$AA$54+'TUSD CVA'!$AA$54)*(1 - CUSTOS!$M$39)</f>
        <v>0</v>
      </c>
      <c r="AA54" s="30">
        <f>('TUSD BE'!$AC$54+'TUSD BF'!$AC$54+'TUSD CVA'!$AC$54)*(1 - CUSTOS!$M$39)</f>
        <v>874.17131408659463</v>
      </c>
      <c r="AB54" s="30">
        <f ca="1">('TUSD BE'!$AE$54+'TUSD BF'!$AE$54+'TUSD CVA'!$AE$54)*(1 - CUSTOS!$M$39)</f>
        <v>-84.13717908212962</v>
      </c>
      <c r="AC54" s="30">
        <f ca="1">('TUSD BE'!$AF$54+'TUSD BF'!$AF$54+'TUSD CVA'!$AF$54)*(1 - CUSTOS!$M$39)</f>
        <v>0</v>
      </c>
      <c r="AD54" s="30">
        <f>('TUSD BE'!$AH$54+'TUSD BF'!$AH$54+'TUSD CVA'!$AH$54)*(1 - CUSTOS!$M$39)</f>
        <v>25.414980454318933</v>
      </c>
      <c r="AE54" s="30">
        <f>('TUSD BE'!$AI$54+'TUSD BF'!$AI$54+'TUSD CVA'!$AI$54)*(1 - CUSTOS!$M$39)</f>
        <v>0.9048658916845751</v>
      </c>
      <c r="AF54" s="30">
        <f ca="1">('TUSD BE'!$AJ$54+'TUSD BF'!$AJ$54+'TUSD CVA'!$AJ$54)*(1 - CUSTOS!$M$39)</f>
        <v>7.5733749039852096</v>
      </c>
      <c r="AG54" s="30">
        <f ca="1">('TUSD BE'!$AK$54+'TUSD BF'!$AK$54+'TUSD CVA'!$AK$54)*(1 - CUSTOS!$M$39)</f>
        <v>0</v>
      </c>
      <c r="AI54" s="30">
        <v>0</v>
      </c>
      <c r="AJ54" s="30">
        <v>0.96551739969980399</v>
      </c>
      <c r="AK54" s="30">
        <v>8.7480245285707294</v>
      </c>
      <c r="AL54" s="30">
        <v>2.2917382012993998E-2</v>
      </c>
      <c r="AM54" s="30">
        <v>0</v>
      </c>
      <c r="AN54" s="30">
        <v>20.263876820039201</v>
      </c>
      <c r="AO54" s="30">
        <v>9.6560674782599296</v>
      </c>
      <c r="AP54" s="30">
        <v>0</v>
      </c>
      <c r="AQ54" s="30">
        <v>72.059508277463905</v>
      </c>
      <c r="AR54" s="30">
        <v>19.352099701781501</v>
      </c>
      <c r="AS54" s="30">
        <v>8.2166576268528502</v>
      </c>
      <c r="AT54" s="30">
        <v>0</v>
      </c>
      <c r="AU54" s="30">
        <v>0</v>
      </c>
      <c r="AV54" s="30">
        <v>0</v>
      </c>
      <c r="AW54" s="30">
        <v>0</v>
      </c>
      <c r="AX54" s="30">
        <v>616.13288298362295</v>
      </c>
      <c r="AY54" s="30">
        <v>-0.470550984747795</v>
      </c>
      <c r="AZ54" s="30">
        <v>0</v>
      </c>
      <c r="BA54" s="30">
        <v>20.626905481572901</v>
      </c>
      <c r="BB54" s="30">
        <v>0.70081146321433996</v>
      </c>
      <c r="BC54" s="30">
        <v>6.71094060720191</v>
      </c>
      <c r="BD54" s="30">
        <v>0</v>
      </c>
    </row>
    <row r="55" spans="1:56" ht="11.25" customHeight="1" x14ac:dyDescent="0.25">
      <c r="A55" s="108"/>
      <c r="B55" s="108"/>
      <c r="C55" s="108"/>
      <c r="D55" s="108"/>
      <c r="E55" s="108"/>
      <c r="F55" s="108"/>
      <c r="G55" s="33" t="s">
        <v>107</v>
      </c>
      <c r="H55" s="33" t="s">
        <v>93</v>
      </c>
      <c r="I55" s="33">
        <f>'MERCADO TUSD'!$U$52</f>
        <v>0</v>
      </c>
      <c r="J55" s="15"/>
      <c r="L55" s="30">
        <f>('TUSD BE'!$L$55+'TUSD BF'!$L$55+'TUSD CVA'!$L$55)*(1 - CUSTOS!$M$39)</f>
        <v>3.7813177701748311</v>
      </c>
      <c r="M55" s="30">
        <f>('TUSD BE'!$M$55+'TUSD BF'!$M$55+'TUSD CVA'!$M$55)*(1 - CUSTOS!$M$39)</f>
        <v>1.0773933956803681</v>
      </c>
      <c r="N55" s="30">
        <f ca="1">('TUSD BE'!$N$55+'TUSD BF'!$N$55+'TUSD CVA'!$N$55)*(1 - CUSTOS!$M$39)</f>
        <v>5.9810160465799758</v>
      </c>
      <c r="O55" s="30">
        <f>('TUSD BE'!$O$55+'TUSD BF'!$O$55+'TUSD CVA'!$O$55)*(1 - CUSTOS!$M$39)</f>
        <v>2.1788111188240148E-2</v>
      </c>
      <c r="P55" s="30">
        <f>('TUSD BE'!$P$55+'TUSD BF'!$P$55+'TUSD CVA'!$P$55)*(1 - CUSTOS!$M$39)</f>
        <v>0</v>
      </c>
      <c r="Q55" s="30">
        <f>('TUSD BE'!$Q$55+'TUSD BF'!$Q$55+'TUSD CVA'!$Q$55)*(1 - CUSTOS!$M$39)</f>
        <v>36.79471571740347</v>
      </c>
      <c r="R55" s="30">
        <f>('TUSD BE'!$R$55+'TUSD BF'!$R$55+'TUSD CVA'!$R$55)*(1 - CUSTOS!$M$39)</f>
        <v>14.987418357049153</v>
      </c>
      <c r="S55" s="30">
        <f>('TUSD BE'!$S$55+'TUSD BF'!$S$55+'TUSD CVA'!$S$55)*(1 - CUSTOS!$M$39)</f>
        <v>0</v>
      </c>
      <c r="T55" s="30">
        <f>('TUSD BE'!$U$55+'TUSD BF'!$U$55+'TUSD CVA'!$U$55)*(1 - CUSTOS!$M$39)</f>
        <v>44.94748298829785</v>
      </c>
      <c r="U55" s="30">
        <f>('TUSD BE'!$V$55+'TUSD BF'!$V$55+'TUSD CVA'!$V$55)*(1 - CUSTOS!$M$39)</f>
        <v>8.0739332557717809</v>
      </c>
      <c r="V55" s="30">
        <f>('TUSD BE'!$W$55+'TUSD BF'!$W$55+'TUSD CVA'!$W$55)*(1 - CUSTOS!$M$39)</f>
        <v>7.7530026025257595</v>
      </c>
      <c r="W55" s="30">
        <f>('TUSD BE'!$X$55+'TUSD BF'!$X$55+'TUSD CVA'!$X$55)*(1 - CUSTOS!$M$39)</f>
        <v>0</v>
      </c>
      <c r="X55" s="30">
        <f>('TUSD BE'!$Y$55+'TUSD BF'!$Y$55+'TUSD CVA'!$Y$55)*(1 - CUSTOS!$M$39)</f>
        <v>0</v>
      </c>
      <c r="Y55" s="30">
        <f>('TUSD BE'!$Z$55+'TUSD BF'!$Z$55+'TUSD CVA'!$Z$55)*(1 - CUSTOS!$M$39)</f>
        <v>0</v>
      </c>
      <c r="Z55" s="30">
        <f>('TUSD BE'!$AA$55+'TUSD BF'!$AA$55+'TUSD CVA'!$AA$55)*(1 - CUSTOS!$M$39)</f>
        <v>0</v>
      </c>
      <c r="AA55" s="30">
        <f>('TUSD BE'!$AC$55+'TUSD BF'!$AC$55+'TUSD CVA'!$AC$55)*(1 - CUSTOS!$M$39)</f>
        <v>524.50288643621695</v>
      </c>
      <c r="AB55" s="30">
        <f ca="1">('TUSD BE'!$AE$55+'TUSD BF'!$AE$55+'TUSD CVA'!$AE$55)*(1 - CUSTOS!$M$39)</f>
        <v>-53.426003101059273</v>
      </c>
      <c r="AC55" s="30">
        <f ca="1">('TUSD BE'!$AF$55+'TUSD BF'!$AF$55+'TUSD CVA'!$AF$55)*(1 - CUSTOS!$M$39)</f>
        <v>0</v>
      </c>
      <c r="AD55" s="30">
        <f>('TUSD BE'!$AH$55+'TUSD BF'!$AH$55+'TUSD CVA'!$AH$55)*(1 - CUSTOS!$M$39)</f>
        <v>25.414980454318933</v>
      </c>
      <c r="AE55" s="30">
        <f>('TUSD BE'!$AI$55+'TUSD BF'!$AI$55+'TUSD CVA'!$AI$55)*(1 - CUSTOS!$M$39)</f>
        <v>0.9048658916845751</v>
      </c>
      <c r="AF55" s="30">
        <f ca="1">('TUSD BE'!$AJ$55+'TUSD BF'!$AJ$55+'TUSD CVA'!$AJ$55)*(1 - CUSTOS!$M$39)</f>
        <v>7.5733749039852096</v>
      </c>
      <c r="AG55" s="30">
        <f ca="1">('TUSD BE'!$AK$55+'TUSD BF'!$AK$55+'TUSD CVA'!$AK$55)*(1 - CUSTOS!$M$39)</f>
        <v>0</v>
      </c>
      <c r="AI55" s="30">
        <v>0</v>
      </c>
      <c r="AJ55" s="30">
        <v>0.96551739969980399</v>
      </c>
      <c r="AK55" s="30">
        <v>5.5740836632749398</v>
      </c>
      <c r="AL55" s="30">
        <v>2.2917382012993998E-2</v>
      </c>
      <c r="AM55" s="30">
        <v>0</v>
      </c>
      <c r="AN55" s="30">
        <v>20.263876820039201</v>
      </c>
      <c r="AO55" s="30">
        <v>9.6560674782599296</v>
      </c>
      <c r="AP55" s="30">
        <v>0</v>
      </c>
      <c r="AQ55" s="30">
        <v>43.235760087239001</v>
      </c>
      <c r="AR55" s="30">
        <v>11.611228140979099</v>
      </c>
      <c r="AS55" s="30">
        <v>4.9300511458322598</v>
      </c>
      <c r="AT55" s="30">
        <v>0</v>
      </c>
      <c r="AU55" s="30">
        <v>0</v>
      </c>
      <c r="AV55" s="30">
        <v>0</v>
      </c>
      <c r="AW55" s="30">
        <v>0</v>
      </c>
      <c r="AX55" s="30">
        <v>369.67979885137902</v>
      </c>
      <c r="AY55" s="30">
        <v>-0.295886933231988</v>
      </c>
      <c r="AZ55" s="30">
        <v>0</v>
      </c>
      <c r="BA55" s="30">
        <v>20.626905481572901</v>
      </c>
      <c r="BB55" s="30">
        <v>0.70081146321433996</v>
      </c>
      <c r="BC55" s="30">
        <v>6.71094060720191</v>
      </c>
      <c r="BD55" s="30">
        <v>0</v>
      </c>
    </row>
    <row r="56" spans="1:56" ht="11.25" customHeight="1" x14ac:dyDescent="0.25">
      <c r="A56" s="108"/>
      <c r="B56" s="108"/>
      <c r="C56" s="108"/>
      <c r="D56" s="108"/>
      <c r="E56" s="108"/>
      <c r="F56" s="108"/>
      <c r="G56" s="33" t="s">
        <v>95</v>
      </c>
      <c r="H56" s="33" t="s">
        <v>93</v>
      </c>
      <c r="I56" s="33">
        <f>'MERCADO TUSD'!$U$53</f>
        <v>0</v>
      </c>
      <c r="J56" s="15"/>
      <c r="L56" s="30">
        <f>('TUSD BE'!$L$56+'TUSD BF'!$L$56+'TUSD CVA'!$L$56)*(1 - CUSTOS!$M$39)</f>
        <v>3.7813177701748311</v>
      </c>
      <c r="M56" s="30">
        <f>('TUSD BE'!$M$56+'TUSD BF'!$M$56+'TUSD CVA'!$M$56)*(1 - CUSTOS!$M$39)</f>
        <v>1.0773933956803681</v>
      </c>
      <c r="N56" s="30">
        <f ca="1">('TUSD BE'!$N$56+'TUSD BF'!$N$56+'TUSD CVA'!$N$56)*(1 - CUSTOS!$M$39)</f>
        <v>2.5833189127218579</v>
      </c>
      <c r="O56" s="30">
        <f>('TUSD BE'!$O$56+'TUSD BF'!$O$56+'TUSD CVA'!$O$56)*(1 - CUSTOS!$M$39)</f>
        <v>2.1788111188240148E-2</v>
      </c>
      <c r="P56" s="30">
        <f>('TUSD BE'!$P$56+'TUSD BF'!$P$56+'TUSD CVA'!$P$56)*(1 - CUSTOS!$M$39)</f>
        <v>0</v>
      </c>
      <c r="Q56" s="30">
        <f>('TUSD BE'!$Q$56+'TUSD BF'!$Q$56+'TUSD CVA'!$Q$56)*(1 - CUSTOS!$M$39)</f>
        <v>36.79471571740347</v>
      </c>
      <c r="R56" s="30">
        <f>('TUSD BE'!$R$56+'TUSD BF'!$R$56+'TUSD CVA'!$R$56)*(1 - CUSTOS!$M$39)</f>
        <v>14.987418357049153</v>
      </c>
      <c r="S56" s="30">
        <f>('TUSD BE'!$S$56+'TUSD BF'!$S$56+'TUSD CVA'!$S$56)*(1 - CUSTOS!$M$39)</f>
        <v>0</v>
      </c>
      <c r="T56" s="30">
        <f>('TUSD BE'!$U$56+'TUSD BF'!$U$56+'TUSD CVA'!$U$56)*(1 - CUSTOS!$M$39)</f>
        <v>14.982446576919239</v>
      </c>
      <c r="U56" s="30">
        <f>('TUSD BE'!$V$56+'TUSD BF'!$V$56+'TUSD CVA'!$V$56)*(1 - CUSTOS!$M$39)</f>
        <v>2.6912743703740323</v>
      </c>
      <c r="V56" s="30">
        <f>('TUSD BE'!$W$56+'TUSD BF'!$W$56+'TUSD CVA'!$W$56)*(1 - CUSTOS!$M$39)</f>
        <v>2.5843342008419201</v>
      </c>
      <c r="W56" s="30">
        <f>('TUSD BE'!$X$56+'TUSD BF'!$X$56+'TUSD CVA'!$X$56)*(1 - CUSTOS!$M$39)</f>
        <v>0</v>
      </c>
      <c r="X56" s="30">
        <f>('TUSD BE'!$Y$56+'TUSD BF'!$Y$56+'TUSD CVA'!$Y$56)*(1 - CUSTOS!$M$39)</f>
        <v>0</v>
      </c>
      <c r="Y56" s="30">
        <f>('TUSD BE'!$Z$56+'TUSD BF'!$Z$56+'TUSD CVA'!$Z$56)*(1 - CUSTOS!$M$39)</f>
        <v>0</v>
      </c>
      <c r="Z56" s="30">
        <f>('TUSD BE'!$AA$56+'TUSD BF'!$AA$56+'TUSD CVA'!$AA$56)*(1 - CUSTOS!$M$39)</f>
        <v>0</v>
      </c>
      <c r="AA56" s="30">
        <f>('TUSD BE'!$AC$56+'TUSD BF'!$AC$56+'TUSD CVA'!$AC$56)*(1 - CUSTOS!$M$39)</f>
        <v>174.83429547873899</v>
      </c>
      <c r="AB56" s="30">
        <f ca="1">('TUSD BE'!$AE$56+'TUSD BF'!$AE$56+'TUSD CVA'!$AE$56)*(1 - CUSTOS!$M$39)</f>
        <v>-22.714792048296243</v>
      </c>
      <c r="AC56" s="30">
        <f ca="1">('TUSD BE'!$AF$56+'TUSD BF'!$AF$56+'TUSD CVA'!$AF$56)*(1 - CUSTOS!$M$39)</f>
        <v>0</v>
      </c>
      <c r="AD56" s="30">
        <f>('TUSD BE'!$AH$56+'TUSD BF'!$AH$56+'TUSD CVA'!$AH$56)*(1 - CUSTOS!$M$39)</f>
        <v>25.414980454318933</v>
      </c>
      <c r="AE56" s="30">
        <f>('TUSD BE'!$AI$56+'TUSD BF'!$AI$56+'TUSD CVA'!$AI$56)*(1 - CUSTOS!$M$39)</f>
        <v>0.9048658916845751</v>
      </c>
      <c r="AF56" s="30">
        <f ca="1">('TUSD BE'!$AJ$56+'TUSD BF'!$AJ$56+'TUSD CVA'!$AJ$56)*(1 - CUSTOS!$M$39)</f>
        <v>7.5733749039852096</v>
      </c>
      <c r="AG56" s="30">
        <f ca="1">('TUSD BE'!$AK$56+'TUSD BF'!$AK$56+'TUSD CVA'!$AK$56)*(1 - CUSTOS!$M$39)</f>
        <v>0</v>
      </c>
      <c r="AI56" s="30">
        <v>0</v>
      </c>
      <c r="AJ56" s="30">
        <v>0.96551739969980399</v>
      </c>
      <c r="AK56" s="30">
        <v>2.4001388860808399</v>
      </c>
      <c r="AL56" s="30">
        <v>2.2917382012993998E-2</v>
      </c>
      <c r="AM56" s="30">
        <v>0</v>
      </c>
      <c r="AN56" s="30">
        <v>20.263876820039201</v>
      </c>
      <c r="AO56" s="30">
        <v>9.6560674782599296</v>
      </c>
      <c r="AP56" s="30">
        <v>0</v>
      </c>
      <c r="AQ56" s="30">
        <v>14.411874095112401</v>
      </c>
      <c r="AR56" s="30">
        <v>3.8703565801765598</v>
      </c>
      <c r="AS56" s="30">
        <v>1.64335038194409</v>
      </c>
      <c r="AT56" s="30">
        <v>0</v>
      </c>
      <c r="AU56" s="30">
        <v>0</v>
      </c>
      <c r="AV56" s="30">
        <v>0</v>
      </c>
      <c r="AW56" s="30">
        <v>0</v>
      </c>
      <c r="AX56" s="30">
        <v>123.226599617126</v>
      </c>
      <c r="AY56" s="30">
        <v>-0.121222684207156</v>
      </c>
      <c r="AZ56" s="30">
        <v>0</v>
      </c>
      <c r="BA56" s="30">
        <v>20.626905481572901</v>
      </c>
      <c r="BB56" s="30">
        <v>0.70081146321433996</v>
      </c>
      <c r="BC56" s="30">
        <v>6.71094060720191</v>
      </c>
      <c r="BD56" s="30">
        <v>0</v>
      </c>
    </row>
    <row r="57" spans="1:56" ht="11.25" customHeight="1" x14ac:dyDescent="0.25">
      <c r="A57" s="108"/>
      <c r="B57" s="34" t="s">
        <v>23</v>
      </c>
      <c r="C57" s="34" t="s">
        <v>45</v>
      </c>
      <c r="D57" s="34" t="s">
        <v>110</v>
      </c>
      <c r="E57" s="34" t="s">
        <v>25</v>
      </c>
      <c r="F57" s="34" t="s">
        <v>25</v>
      </c>
      <c r="G57" s="33" t="s">
        <v>98</v>
      </c>
      <c r="H57" s="33" t="s">
        <v>93</v>
      </c>
      <c r="I57" s="33">
        <f>'MERCADO TUSD'!$U$54</f>
        <v>0</v>
      </c>
      <c r="J57" s="15"/>
      <c r="L57" s="30">
        <f>('TUSD BE'!$L$57+'TUSD BF'!$L$57+'TUSD CVA'!$L$57)*(1 - CUSTOS!$M$39)</f>
        <v>3.7813177701748311</v>
      </c>
      <c r="M57" s="30">
        <f>('TUSD BE'!$M$57+'TUSD BF'!$M$57+'TUSD CVA'!$M$57)*(1 - CUSTOS!$M$39)</f>
        <v>1.0773933956803681</v>
      </c>
      <c r="N57" s="30">
        <f ca="1">('TUSD BE'!$N$57+'TUSD BF'!$N$57+'TUSD CVA'!$N$57)*(1 - CUSTOS!$M$39)</f>
        <v>3.7158850893049973</v>
      </c>
      <c r="O57" s="30">
        <f>('TUSD BE'!$O$57+'TUSD BF'!$O$57+'TUSD CVA'!$O$57)*(1 - CUSTOS!$M$39)</f>
        <v>2.1788111188240148E-2</v>
      </c>
      <c r="P57" s="30">
        <f>('TUSD BE'!$P$57+'TUSD BF'!$P$57+'TUSD CVA'!$P$57)*(1 - CUSTOS!$M$39)</f>
        <v>0</v>
      </c>
      <c r="Q57" s="30">
        <f>('TUSD BE'!$Q$57+'TUSD BF'!$Q$57+'TUSD CVA'!$Q$57)*(1 - CUSTOS!$M$39)</f>
        <v>36.79471571740347</v>
      </c>
      <c r="R57" s="30">
        <f>('TUSD BE'!$R$57+'TUSD BF'!$R$57+'TUSD CVA'!$R$57)*(1 - CUSTOS!$M$39)</f>
        <v>14.987418357049153</v>
      </c>
      <c r="S57" s="30">
        <f>('TUSD BE'!$S$57+'TUSD BF'!$S$57+'TUSD CVA'!$S$57)*(1 - CUSTOS!$M$39)</f>
        <v>0</v>
      </c>
      <c r="T57" s="30">
        <f>('TUSD BE'!$U$57+'TUSD BF'!$U$57+'TUSD CVA'!$U$57)*(1 - CUSTOS!$M$39)</f>
        <v>24.970792047378779</v>
      </c>
      <c r="U57" s="30">
        <f>('TUSD BE'!$V$57+'TUSD BF'!$V$57+'TUSD CVA'!$V$57)*(1 - CUSTOS!$M$39)</f>
        <v>4.4855307137231764</v>
      </c>
      <c r="V57" s="30">
        <f>('TUSD BE'!$W$57+'TUSD BF'!$W$57+'TUSD CVA'!$W$57)*(1 - CUSTOS!$M$39)</f>
        <v>4.3072236680698657</v>
      </c>
      <c r="W57" s="30">
        <f>('TUSD BE'!$X$57+'TUSD BF'!$X$57+'TUSD CVA'!$X$57)*(1 - CUSTOS!$M$39)</f>
        <v>0</v>
      </c>
      <c r="X57" s="30">
        <f>('TUSD BE'!$Y$57+'TUSD BF'!$Y$57+'TUSD CVA'!$Y$57)*(1 - CUSTOS!$M$39)</f>
        <v>0</v>
      </c>
      <c r="Y57" s="30">
        <f>('TUSD BE'!$Z$57+'TUSD BF'!$Z$57+'TUSD CVA'!$Z$57)*(1 - CUSTOS!$M$39)</f>
        <v>0</v>
      </c>
      <c r="Z57" s="30">
        <f>('TUSD BE'!$AA$57+'TUSD BF'!$AA$57+'TUSD CVA'!$AA$57)*(1 - CUSTOS!$M$39)</f>
        <v>0</v>
      </c>
      <c r="AA57" s="30">
        <f>('TUSD BE'!$AC$57+'TUSD BF'!$AC$57+'TUSD CVA'!$AC$57)*(1 - CUSTOS!$M$39)</f>
        <v>291.39049246456506</v>
      </c>
      <c r="AB57" s="30">
        <f ca="1">('TUSD BE'!$AE$57+'TUSD BF'!$AE$57+'TUSD CVA'!$AE$57)*(1 - CUSTOS!$M$39)</f>
        <v>-32.951865336442062</v>
      </c>
      <c r="AC57" s="30">
        <f ca="1">('TUSD BE'!$AF$57+'TUSD BF'!$AF$57+'TUSD CVA'!$AF$57)*(1 - CUSTOS!$M$39)</f>
        <v>0</v>
      </c>
      <c r="AD57" s="30">
        <f>('TUSD BE'!$AH$57+'TUSD BF'!$AH$57+'TUSD CVA'!$AH$57)*(1 - CUSTOS!$M$39)</f>
        <v>25.414980454318933</v>
      </c>
      <c r="AE57" s="30">
        <f>('TUSD BE'!$AI$57+'TUSD BF'!$AI$57+'TUSD CVA'!$AI$57)*(1 - CUSTOS!$M$39)</f>
        <v>0.9048658916845751</v>
      </c>
      <c r="AF57" s="30">
        <f ca="1">('TUSD BE'!$AJ$57+'TUSD BF'!$AJ$57+'TUSD CVA'!$AJ$57)*(1 - CUSTOS!$M$39)</f>
        <v>7.5733749039852096</v>
      </c>
      <c r="AG57" s="30">
        <f ca="1">('TUSD BE'!$AK$57+'TUSD BF'!$AK$57+'TUSD CVA'!$AK$57)*(1 - CUSTOS!$M$39)</f>
        <v>0</v>
      </c>
      <c r="AI57" s="30">
        <v>0</v>
      </c>
      <c r="AJ57" s="30">
        <v>0.96551739969980399</v>
      </c>
      <c r="AK57" s="30">
        <v>3.4581209131342501</v>
      </c>
      <c r="AL57" s="30">
        <v>2.2917382012993998E-2</v>
      </c>
      <c r="AM57" s="30">
        <v>0</v>
      </c>
      <c r="AN57" s="30">
        <v>20.263876820039201</v>
      </c>
      <c r="AO57" s="30">
        <v>9.6560674782599296</v>
      </c>
      <c r="AP57" s="30">
        <v>0</v>
      </c>
      <c r="AQ57" s="30">
        <v>24.019836092487999</v>
      </c>
      <c r="AR57" s="30">
        <v>6.4506999005938503</v>
      </c>
      <c r="AS57" s="30">
        <v>2.7389173032401399</v>
      </c>
      <c r="AT57" s="30">
        <v>0</v>
      </c>
      <c r="AU57" s="30">
        <v>0</v>
      </c>
      <c r="AV57" s="30">
        <v>0</v>
      </c>
      <c r="AW57" s="30">
        <v>0</v>
      </c>
      <c r="AX57" s="30">
        <v>205.37766602854401</v>
      </c>
      <c r="AY57" s="30">
        <v>-0.17944412380240099</v>
      </c>
      <c r="AZ57" s="30">
        <v>0</v>
      </c>
      <c r="BA57" s="30">
        <v>20.626905481572901</v>
      </c>
      <c r="BB57" s="30">
        <v>0.70081146321433996</v>
      </c>
      <c r="BC57" s="30">
        <v>6.71094060720191</v>
      </c>
      <c r="BD57" s="30">
        <v>0</v>
      </c>
    </row>
    <row r="58" spans="1:56" ht="11.25" customHeight="1" x14ac:dyDescent="0.25">
      <c r="A58" s="108"/>
      <c r="B58" s="108" t="s">
        <v>33</v>
      </c>
      <c r="C58" s="108" t="s">
        <v>45</v>
      </c>
      <c r="D58" s="108" t="s">
        <v>111</v>
      </c>
      <c r="E58" s="108" t="s">
        <v>25</v>
      </c>
      <c r="F58" s="108" t="s">
        <v>25</v>
      </c>
      <c r="G58" s="33" t="s">
        <v>94</v>
      </c>
      <c r="H58" s="33" t="s">
        <v>93</v>
      </c>
      <c r="I58" s="33">
        <f>'MERCADO TUSD'!$U$55</f>
        <v>0</v>
      </c>
      <c r="J58" s="15"/>
      <c r="L58" s="30">
        <f>('TUSD BE'!$L$58+'TUSD BF'!$L$58+'TUSD CVA'!$L$58)*(1 - CUSTOS!$M$40)</f>
        <v>3.7008642005966434</v>
      </c>
      <c r="M58" s="30">
        <f>('TUSD BE'!$M$58+'TUSD BF'!$M$58+'TUSD CVA'!$M$58)*(1 - CUSTOS!$M$40)</f>
        <v>1.0544701319424881</v>
      </c>
      <c r="N58" s="30">
        <f ca="1">('TUSD BE'!$N$58+'TUSD BF'!$N$58+'TUSD CVA'!$N$58)*(1 - CUSTOS!$M$40)</f>
        <v>9.1791619929181536</v>
      </c>
      <c r="O58" s="30">
        <f>('TUSD BE'!$O$58+'TUSD BF'!$O$58+'TUSD CVA'!$O$58)*(1 - CUSTOS!$M$40)</f>
        <v>2.1324534354447807E-2</v>
      </c>
      <c r="P58" s="30">
        <f>('TUSD BE'!$P$58+'TUSD BF'!$P$58+'TUSD CVA'!$P$58)*(1 - CUSTOS!$M$40)</f>
        <v>0</v>
      </c>
      <c r="Q58" s="30">
        <f>('TUSD BE'!$Q$58+'TUSD BF'!$Q$58+'TUSD CVA'!$Q$58)*(1 - CUSTOS!$M$40)</f>
        <v>36.011849425543822</v>
      </c>
      <c r="R58" s="30">
        <f>('TUSD BE'!$R$58+'TUSD BF'!$R$58+'TUSD CVA'!$R$58)*(1 - CUSTOS!$M$40)</f>
        <v>14.66853711540981</v>
      </c>
      <c r="S58" s="30">
        <f>('TUSD BE'!$S$58+'TUSD BF'!$S$58+'TUSD CVA'!$S$58)*(1 - CUSTOS!$M$40)</f>
        <v>0</v>
      </c>
      <c r="T58" s="30">
        <f>('TUSD BE'!$U$58+'TUSD BF'!$U$58+'TUSD CVA'!$U$58)*(1 - CUSTOS!$M$40)</f>
        <v>73.318495798686627</v>
      </c>
      <c r="U58" s="30">
        <f>('TUSD BE'!$V$58+'TUSD BF'!$V$58+'TUSD CVA'!$V$58)*(1 - CUSTOS!$M$40)</f>
        <v>13.170281670080817</v>
      </c>
      <c r="V58" s="30">
        <f>('TUSD BE'!$W$58+'TUSD BF'!$W$58+'TUSD CVA'!$W$58)*(1 - CUSTOS!$M$40)</f>
        <v>12.646596719256276</v>
      </c>
      <c r="W58" s="30">
        <f>('TUSD BE'!$X$58+'TUSD BF'!$X$58+'TUSD CVA'!$X$58)*(1 - CUSTOS!$M$40)</f>
        <v>0</v>
      </c>
      <c r="X58" s="30">
        <f>('TUSD BE'!$Y$58+'TUSD BF'!$Y$58+'TUSD CVA'!$Y$58)*(1 - CUSTOS!$M$40)</f>
        <v>0</v>
      </c>
      <c r="Y58" s="30">
        <f>('TUSD BE'!$Z$58+'TUSD BF'!$Z$58+'TUSD CVA'!$Z$58)*(1 - CUSTOS!$M$40)</f>
        <v>0</v>
      </c>
      <c r="Z58" s="30">
        <f>('TUSD BE'!$AA$58+'TUSD BF'!$AA$58+'TUSD CVA'!$AA$58)*(1 - CUSTOS!$M$40)</f>
        <v>0</v>
      </c>
      <c r="AA58" s="30">
        <f>('TUSD BE'!$AC$58+'TUSD BF'!$AC$58+'TUSD CVA'!$AC$58)*(1 - CUSTOS!$M$40)</f>
        <v>855.57192442517783</v>
      </c>
      <c r="AB58" s="30">
        <f ca="1">('TUSD BE'!$AE$58+'TUSD BF'!$AE$58+'TUSD CVA'!$AE$58)*(1 - CUSTOS!$M$40)</f>
        <v>-82.347026335701329</v>
      </c>
      <c r="AC58" s="30">
        <f ca="1">('TUSD BE'!$AF$58+'TUSD BF'!$AF$58+'TUSD CVA'!$AF$58)*(1 - CUSTOS!$M$40)</f>
        <v>0</v>
      </c>
      <c r="AD58" s="30">
        <f>('TUSD BE'!$AH$58+'TUSD BF'!$AH$58+'TUSD CVA'!$AH$58)*(1 - CUSTOS!$M$40)</f>
        <v>24.874236189333423</v>
      </c>
      <c r="AE58" s="30">
        <f>('TUSD BE'!$AI$58+'TUSD BF'!$AI$58+'TUSD CVA'!$AI$58)*(1 - CUSTOS!$M$40)</f>
        <v>0.88561342590405234</v>
      </c>
      <c r="AF58" s="30">
        <f ca="1">('TUSD BE'!$AJ$58+'TUSD BF'!$AJ$58+'TUSD CVA'!$AJ$58)*(1 - CUSTOS!$M$40)</f>
        <v>7.4122392677302056</v>
      </c>
      <c r="AG58" s="30">
        <f ca="1">('TUSD BE'!$AK$58+'TUSD BF'!$AK$58+'TUSD CVA'!$AK$58)*(1 - CUSTOS!$M$40)</f>
        <v>0</v>
      </c>
      <c r="AI58" s="30">
        <v>0</v>
      </c>
      <c r="AJ58" s="30">
        <v>0.92163024516799397</v>
      </c>
      <c r="AK58" s="30">
        <v>8.3503870499993305</v>
      </c>
      <c r="AL58" s="30">
        <v>2.1875682830585101E-2</v>
      </c>
      <c r="AM58" s="30">
        <v>0</v>
      </c>
      <c r="AN58" s="30">
        <v>19.3427915100375</v>
      </c>
      <c r="AO58" s="30">
        <v>9.2171553201572092</v>
      </c>
      <c r="AP58" s="30">
        <v>0</v>
      </c>
      <c r="AQ58" s="30">
        <v>68.784076083033696</v>
      </c>
      <c r="AR58" s="30">
        <v>18.472458806245999</v>
      </c>
      <c r="AS58" s="30">
        <v>7.8431731892686303</v>
      </c>
      <c r="AT58" s="30">
        <v>0</v>
      </c>
      <c r="AU58" s="30">
        <v>0</v>
      </c>
      <c r="AV58" s="30">
        <v>0</v>
      </c>
      <c r="AW58" s="30">
        <v>0</v>
      </c>
      <c r="AX58" s="30">
        <v>588.126842848004</v>
      </c>
      <c r="AY58" s="30">
        <v>-0.449162303622895</v>
      </c>
      <c r="AZ58" s="30">
        <v>0</v>
      </c>
      <c r="BA58" s="30">
        <v>19.689318868774201</v>
      </c>
      <c r="BB58" s="30">
        <v>0.66895639670459695</v>
      </c>
      <c r="BC58" s="30">
        <v>6.4058978523290904</v>
      </c>
      <c r="BD58" s="30">
        <v>0</v>
      </c>
    </row>
    <row r="59" spans="1:56" ht="11.25" customHeight="1" x14ac:dyDescent="0.25">
      <c r="A59" s="108"/>
      <c r="B59" s="108"/>
      <c r="C59" s="108"/>
      <c r="D59" s="108"/>
      <c r="E59" s="108"/>
      <c r="F59" s="108"/>
      <c r="G59" s="33" t="s">
        <v>107</v>
      </c>
      <c r="H59" s="33" t="s">
        <v>93</v>
      </c>
      <c r="I59" s="33">
        <f>'MERCADO TUSD'!$U$56</f>
        <v>0</v>
      </c>
      <c r="J59" s="15"/>
      <c r="L59" s="30">
        <f>('TUSD BE'!$L$59+'TUSD BF'!$L$59+'TUSD CVA'!$L$59)*(1 - CUSTOS!$M$40)</f>
        <v>3.7008642005966434</v>
      </c>
      <c r="M59" s="30">
        <f>('TUSD BE'!$M$59+'TUSD BF'!$M$59+'TUSD CVA'!$M$59)*(1 - CUSTOS!$M$40)</f>
        <v>1.0544701319424881</v>
      </c>
      <c r="N59" s="30">
        <f ca="1">('TUSD BE'!$N$59+'TUSD BF'!$N$59+'TUSD CVA'!$N$59)*(1 - CUSTOS!$M$40)</f>
        <v>5.8537603860144456</v>
      </c>
      <c r="O59" s="30">
        <f>('TUSD BE'!$O$59+'TUSD BF'!$O$59+'TUSD CVA'!$O$59)*(1 - CUSTOS!$M$40)</f>
        <v>2.1324534354447807E-2</v>
      </c>
      <c r="P59" s="30">
        <f>('TUSD BE'!$P$59+'TUSD BF'!$P$59+'TUSD CVA'!$P$59)*(1 - CUSTOS!$M$40)</f>
        <v>0</v>
      </c>
      <c r="Q59" s="30">
        <f>('TUSD BE'!$Q$59+'TUSD BF'!$Q$59+'TUSD CVA'!$Q$59)*(1 - CUSTOS!$M$40)</f>
        <v>36.011849425543822</v>
      </c>
      <c r="R59" s="30">
        <f>('TUSD BE'!$R$59+'TUSD BF'!$R$59+'TUSD CVA'!$R$59)*(1 - CUSTOS!$M$40)</f>
        <v>14.66853711540981</v>
      </c>
      <c r="S59" s="30">
        <f>('TUSD BE'!$S$59+'TUSD BF'!$S$59+'TUSD CVA'!$S$59)*(1 - CUSTOS!$M$40)</f>
        <v>0</v>
      </c>
      <c r="T59" s="30">
        <f>('TUSD BE'!$U$59+'TUSD BF'!$U$59+'TUSD CVA'!$U$59)*(1 - CUSTOS!$M$40)</f>
        <v>43.991153563014919</v>
      </c>
      <c r="U59" s="30">
        <f>('TUSD BE'!$V$59+'TUSD BF'!$V$59+'TUSD CVA'!$V$59)*(1 - CUSTOS!$M$40)</f>
        <v>7.9021474418191904</v>
      </c>
      <c r="V59" s="30">
        <f>('TUSD BE'!$W$59+'TUSD BF'!$W$59+'TUSD CVA'!$W$59)*(1 - CUSTOS!$M$40)</f>
        <v>7.5880451003443605</v>
      </c>
      <c r="W59" s="30">
        <f>('TUSD BE'!$X$59+'TUSD BF'!$X$59+'TUSD CVA'!$X$59)*(1 - CUSTOS!$M$40)</f>
        <v>0</v>
      </c>
      <c r="X59" s="30">
        <f>('TUSD BE'!$Y$59+'TUSD BF'!$Y$59+'TUSD CVA'!$Y$59)*(1 - CUSTOS!$M$40)</f>
        <v>0</v>
      </c>
      <c r="Y59" s="30">
        <f>('TUSD BE'!$Z$59+'TUSD BF'!$Z$59+'TUSD CVA'!$Z$59)*(1 - CUSTOS!$M$40)</f>
        <v>0</v>
      </c>
      <c r="Z59" s="30">
        <f>('TUSD BE'!$AA$59+'TUSD BF'!$AA$59+'TUSD CVA'!$AA$59)*(1 - CUSTOS!$M$40)</f>
        <v>0</v>
      </c>
      <c r="AA59" s="30">
        <f>('TUSD BE'!$AC$59+'TUSD BF'!$AC$59+'TUSD CVA'!$AC$59)*(1 - CUSTOS!$M$40)</f>
        <v>513.34325055459544</v>
      </c>
      <c r="AB59" s="30">
        <f ca="1">('TUSD BE'!$AE$59+'TUSD BF'!$AE$59+'TUSD CVA'!$AE$59)*(1 - CUSTOS!$M$40)</f>
        <v>-52.289279630823977</v>
      </c>
      <c r="AC59" s="30">
        <f ca="1">('TUSD BE'!$AF$59+'TUSD BF'!$AF$59+'TUSD CVA'!$AF$59)*(1 - CUSTOS!$M$40)</f>
        <v>0</v>
      </c>
      <c r="AD59" s="30">
        <f>('TUSD BE'!$AH$59+'TUSD BF'!$AH$59+'TUSD CVA'!$AH$59)*(1 - CUSTOS!$M$40)</f>
        <v>24.874236189333423</v>
      </c>
      <c r="AE59" s="30">
        <f>('TUSD BE'!$AI$59+'TUSD BF'!$AI$59+'TUSD CVA'!$AI$59)*(1 - CUSTOS!$M$40)</f>
        <v>0.88561342590405234</v>
      </c>
      <c r="AF59" s="30">
        <f ca="1">('TUSD BE'!$AJ$59+'TUSD BF'!$AJ$59+'TUSD CVA'!$AJ$59)*(1 - CUSTOS!$M$40)</f>
        <v>7.4122392677302056</v>
      </c>
      <c r="AG59" s="30">
        <f ca="1">('TUSD BE'!$AK$59+'TUSD BF'!$AK$59+'TUSD CVA'!$AK$59)*(1 - CUSTOS!$M$40)</f>
        <v>0</v>
      </c>
      <c r="AI59" s="30">
        <v>0</v>
      </c>
      <c r="AJ59" s="30">
        <v>0.92163024516799397</v>
      </c>
      <c r="AK59" s="30">
        <v>5.32071622403517</v>
      </c>
      <c r="AL59" s="30">
        <v>2.1875682830585101E-2</v>
      </c>
      <c r="AM59" s="30">
        <v>0</v>
      </c>
      <c r="AN59" s="30">
        <v>19.3427915100375</v>
      </c>
      <c r="AO59" s="30">
        <v>9.2171553201572092</v>
      </c>
      <c r="AP59" s="30">
        <v>0</v>
      </c>
      <c r="AQ59" s="30">
        <v>41.270498265091803</v>
      </c>
      <c r="AR59" s="30">
        <v>11.083445043661801</v>
      </c>
      <c r="AS59" s="30">
        <v>4.7059579119307902</v>
      </c>
      <c r="AT59" s="30">
        <v>0</v>
      </c>
      <c r="AU59" s="30">
        <v>0</v>
      </c>
      <c r="AV59" s="30">
        <v>0</v>
      </c>
      <c r="AW59" s="30">
        <v>0</v>
      </c>
      <c r="AX59" s="30">
        <v>352.87617163086202</v>
      </c>
      <c r="AY59" s="30">
        <v>-0.28243752717598902</v>
      </c>
      <c r="AZ59" s="30">
        <v>0</v>
      </c>
      <c r="BA59" s="30">
        <v>19.689318868774201</v>
      </c>
      <c r="BB59" s="30">
        <v>0.66895639670459695</v>
      </c>
      <c r="BC59" s="30">
        <v>6.4058978523290904</v>
      </c>
      <c r="BD59" s="30">
        <v>0</v>
      </c>
    </row>
    <row r="60" spans="1:56" ht="11.25" customHeight="1" x14ac:dyDescent="0.25">
      <c r="A60" s="108"/>
      <c r="B60" s="108"/>
      <c r="C60" s="108"/>
      <c r="D60" s="108"/>
      <c r="E60" s="108"/>
      <c r="F60" s="108"/>
      <c r="G60" s="33" t="s">
        <v>95</v>
      </c>
      <c r="H60" s="33" t="s">
        <v>93</v>
      </c>
      <c r="I60" s="33">
        <f>'MERCADO TUSD'!$U$57</f>
        <v>0</v>
      </c>
      <c r="J60" s="15"/>
      <c r="L60" s="30">
        <f>('TUSD BE'!$L$60+'TUSD BF'!$L$60+'TUSD CVA'!$L$60)*(1 - CUSTOS!$M$40)</f>
        <v>3.7008642005966434</v>
      </c>
      <c r="M60" s="30">
        <f>('TUSD BE'!$M$60+'TUSD BF'!$M$60+'TUSD CVA'!$M$60)*(1 - CUSTOS!$M$40)</f>
        <v>1.0544701319424881</v>
      </c>
      <c r="N60" s="30">
        <f ca="1">('TUSD BE'!$N$60+'TUSD BF'!$N$60+'TUSD CVA'!$N$60)*(1 - CUSTOS!$M$40)</f>
        <v>2.5283546805362866</v>
      </c>
      <c r="O60" s="30">
        <f>('TUSD BE'!$O$60+'TUSD BF'!$O$60+'TUSD CVA'!$O$60)*(1 - CUSTOS!$M$40)</f>
        <v>2.1324534354447807E-2</v>
      </c>
      <c r="P60" s="30">
        <f>('TUSD BE'!$P$60+'TUSD BF'!$P$60+'TUSD CVA'!$P$60)*(1 - CUSTOS!$M$40)</f>
        <v>0</v>
      </c>
      <c r="Q60" s="30">
        <f>('TUSD BE'!$Q$60+'TUSD BF'!$Q$60+'TUSD CVA'!$Q$60)*(1 - CUSTOS!$M$40)</f>
        <v>36.011849425543822</v>
      </c>
      <c r="R60" s="30">
        <f>('TUSD BE'!$R$60+'TUSD BF'!$R$60+'TUSD CVA'!$R$60)*(1 - CUSTOS!$M$40)</f>
        <v>14.66853711540981</v>
      </c>
      <c r="S60" s="30">
        <f>('TUSD BE'!$S$60+'TUSD BF'!$S$60+'TUSD CVA'!$S$60)*(1 - CUSTOS!$M$40)</f>
        <v>0</v>
      </c>
      <c r="T60" s="30">
        <f>('TUSD BE'!$U$60+'TUSD BF'!$U$60+'TUSD CVA'!$U$60)*(1 - CUSTOS!$M$40)</f>
        <v>14.663671117835852</v>
      </c>
      <c r="U60" s="30">
        <f>('TUSD BE'!$V$60+'TUSD BF'!$V$60+'TUSD CVA'!$V$60)*(1 - CUSTOS!$M$40)</f>
        <v>2.634013213557564</v>
      </c>
      <c r="V60" s="30">
        <f>('TUSD BE'!$W$60+'TUSD BF'!$W$60+'TUSD CVA'!$W$60)*(1 - CUSTOS!$M$40)</f>
        <v>2.5293483667814542</v>
      </c>
      <c r="W60" s="30">
        <f>('TUSD BE'!$X$60+'TUSD BF'!$X$60+'TUSD CVA'!$X$60)*(1 - CUSTOS!$M$40)</f>
        <v>0</v>
      </c>
      <c r="X60" s="30">
        <f>('TUSD BE'!$Y$60+'TUSD BF'!$Y$60+'TUSD CVA'!$Y$60)*(1 - CUSTOS!$M$40)</f>
        <v>0</v>
      </c>
      <c r="Y60" s="30">
        <f>('TUSD BE'!$Z$60+'TUSD BF'!$Z$60+'TUSD CVA'!$Z$60)*(1 - CUSTOS!$M$40)</f>
        <v>0</v>
      </c>
      <c r="Z60" s="30">
        <f>('TUSD BE'!$AA$60+'TUSD BF'!$AA$60+'TUSD CVA'!$AA$60)*(1 - CUSTOS!$M$40)</f>
        <v>0</v>
      </c>
      <c r="AA60" s="30">
        <f>('TUSD BE'!$AC$60+'TUSD BF'!$AC$60+'TUSD CVA'!$AC$60)*(1 - CUSTOS!$M$40)</f>
        <v>171.11441685153181</v>
      </c>
      <c r="AB60" s="30">
        <f ca="1">('TUSD BE'!$AE$60+'TUSD BF'!$AE$60+'TUSD CVA'!$AE$60)*(1 - CUSTOS!$M$40)</f>
        <v>-22.231498600460156</v>
      </c>
      <c r="AC60" s="30">
        <f ca="1">('TUSD BE'!$AF$60+'TUSD BF'!$AF$60+'TUSD CVA'!$AF$60)*(1 - CUSTOS!$M$40)</f>
        <v>0</v>
      </c>
      <c r="AD60" s="30">
        <f>('TUSD BE'!$AH$60+'TUSD BF'!$AH$60+'TUSD CVA'!$AH$60)*(1 - CUSTOS!$M$40)</f>
        <v>24.874236189333423</v>
      </c>
      <c r="AE60" s="30">
        <f>('TUSD BE'!$AI$60+'TUSD BF'!$AI$60+'TUSD CVA'!$AI$60)*(1 - CUSTOS!$M$40)</f>
        <v>0.88561342590405234</v>
      </c>
      <c r="AF60" s="30">
        <f ca="1">('TUSD BE'!$AJ$60+'TUSD BF'!$AJ$60+'TUSD CVA'!$AJ$60)*(1 - CUSTOS!$M$40)</f>
        <v>7.4122392677302056</v>
      </c>
      <c r="AG60" s="30">
        <f ca="1">('TUSD BE'!$AK$60+'TUSD BF'!$AK$60+'TUSD CVA'!$AK$60)*(1 - CUSTOS!$M$40)</f>
        <v>0</v>
      </c>
      <c r="AI60" s="30">
        <v>0</v>
      </c>
      <c r="AJ60" s="30">
        <v>0.92163024516799397</v>
      </c>
      <c r="AK60" s="30">
        <v>2.2910416639862601</v>
      </c>
      <c r="AL60" s="30">
        <v>2.1875682830585101E-2</v>
      </c>
      <c r="AM60" s="30">
        <v>0</v>
      </c>
      <c r="AN60" s="30">
        <v>19.3427915100375</v>
      </c>
      <c r="AO60" s="30">
        <v>9.2171553201572092</v>
      </c>
      <c r="AP60" s="30">
        <v>0</v>
      </c>
      <c r="AQ60" s="30">
        <v>13.756788908970901</v>
      </c>
      <c r="AR60" s="30">
        <v>3.6944312810776201</v>
      </c>
      <c r="AS60" s="30">
        <v>1.5686526373102601</v>
      </c>
      <c r="AT60" s="30">
        <v>0</v>
      </c>
      <c r="AU60" s="30">
        <v>0</v>
      </c>
      <c r="AV60" s="30">
        <v>0</v>
      </c>
      <c r="AW60" s="30">
        <v>0</v>
      </c>
      <c r="AX60" s="30">
        <v>117.62539054362099</v>
      </c>
      <c r="AY60" s="30">
        <v>-0.11571256219774</v>
      </c>
      <c r="AZ60" s="30">
        <v>0</v>
      </c>
      <c r="BA60" s="30">
        <v>19.689318868774201</v>
      </c>
      <c r="BB60" s="30">
        <v>0.66895639670459695</v>
      </c>
      <c r="BC60" s="30">
        <v>6.4058978523290904</v>
      </c>
      <c r="BD60" s="30">
        <v>0</v>
      </c>
    </row>
    <row r="61" spans="1:56" ht="11.25" customHeight="1" x14ac:dyDescent="0.25">
      <c r="A61" s="108"/>
      <c r="B61" s="34" t="s">
        <v>23</v>
      </c>
      <c r="C61" s="34" t="s">
        <v>45</v>
      </c>
      <c r="D61" s="34" t="s">
        <v>111</v>
      </c>
      <c r="E61" s="34" t="s">
        <v>25</v>
      </c>
      <c r="F61" s="34" t="s">
        <v>25</v>
      </c>
      <c r="G61" s="33" t="s">
        <v>98</v>
      </c>
      <c r="H61" s="33" t="s">
        <v>93</v>
      </c>
      <c r="I61" s="33">
        <f>'MERCADO TUSD'!$U$58</f>
        <v>0</v>
      </c>
      <c r="J61" s="15"/>
      <c r="L61" s="30">
        <f>('TUSD BE'!$L$61+'TUSD BF'!$L$61+'TUSD CVA'!$L$61)*(1 - CUSTOS!$M$40)</f>
        <v>3.7008642005966434</v>
      </c>
      <c r="M61" s="30">
        <f>('TUSD BE'!$M$61+'TUSD BF'!$M$61+'TUSD CVA'!$M$61)*(1 - CUSTOS!$M$40)</f>
        <v>1.0544701319424881</v>
      </c>
      <c r="N61" s="30">
        <f ca="1">('TUSD BE'!$N$61+'TUSD BF'!$N$61+'TUSD CVA'!$N$61)*(1 - CUSTOS!$M$40)</f>
        <v>3.6368237044261678</v>
      </c>
      <c r="O61" s="30">
        <f>('TUSD BE'!$O$61+'TUSD BF'!$O$61+'TUSD CVA'!$O$61)*(1 - CUSTOS!$M$40)</f>
        <v>2.1324534354447807E-2</v>
      </c>
      <c r="P61" s="30">
        <f>('TUSD BE'!$P$61+'TUSD BF'!$P$61+'TUSD CVA'!$P$61)*(1 - CUSTOS!$M$40)</f>
        <v>0</v>
      </c>
      <c r="Q61" s="30">
        <f>('TUSD BE'!$Q$61+'TUSD BF'!$Q$61+'TUSD CVA'!$Q$61)*(1 - CUSTOS!$M$40)</f>
        <v>36.011849425543822</v>
      </c>
      <c r="R61" s="30">
        <f>('TUSD BE'!$R$61+'TUSD BF'!$R$61+'TUSD CVA'!$R$61)*(1 - CUSTOS!$M$40)</f>
        <v>14.66853711540981</v>
      </c>
      <c r="S61" s="30">
        <f>('TUSD BE'!$S$61+'TUSD BF'!$S$61+'TUSD CVA'!$S$61)*(1 - CUSTOS!$M$40)</f>
        <v>0</v>
      </c>
      <c r="T61" s="30">
        <f>('TUSD BE'!$U$61+'TUSD BF'!$U$61+'TUSD CVA'!$U$61)*(1 - CUSTOS!$M$40)</f>
        <v>24.439498599562214</v>
      </c>
      <c r="U61" s="30">
        <f>('TUSD BE'!$V$61+'TUSD BF'!$V$61+'TUSD CVA'!$V$61)*(1 - CUSTOS!$M$40)</f>
        <v>4.3900938900269395</v>
      </c>
      <c r="V61" s="30">
        <f>('TUSD BE'!$W$61+'TUSD BF'!$W$61+'TUSD CVA'!$W$61)*(1 - CUSTOS!$M$40)</f>
        <v>4.2155806113024221</v>
      </c>
      <c r="W61" s="30">
        <f>('TUSD BE'!$X$61+'TUSD BF'!$X$61+'TUSD CVA'!$X$61)*(1 - CUSTOS!$M$40)</f>
        <v>0</v>
      </c>
      <c r="X61" s="30">
        <f>('TUSD BE'!$Y$61+'TUSD BF'!$Y$61+'TUSD CVA'!$Y$61)*(1 - CUSTOS!$M$40)</f>
        <v>0</v>
      </c>
      <c r="Y61" s="30">
        <f>('TUSD BE'!$Z$61+'TUSD BF'!$Z$61+'TUSD CVA'!$Z$61)*(1 - CUSTOS!$M$40)</f>
        <v>0</v>
      </c>
      <c r="Z61" s="30">
        <f>('TUSD BE'!$AA$61+'TUSD BF'!$AA$61+'TUSD CVA'!$AA$61)*(1 - CUSTOS!$M$40)</f>
        <v>0</v>
      </c>
      <c r="AA61" s="30">
        <f>('TUSD BE'!$AC$61+'TUSD BF'!$AC$61+'TUSD CVA'!$AC$61)*(1 - CUSTOS!$M$40)</f>
        <v>285.1906947525531</v>
      </c>
      <c r="AB61" s="30">
        <f ca="1">('TUSD BE'!$AE$61+'TUSD BF'!$AE$61+'TUSD CVA'!$AE$61)*(1 - CUSTOS!$M$40)</f>
        <v>-32.250761818645429</v>
      </c>
      <c r="AC61" s="30">
        <f ca="1">('TUSD BE'!$AF$61+'TUSD BF'!$AF$61+'TUSD CVA'!$AF$61)*(1 - CUSTOS!$M$40)</f>
        <v>0</v>
      </c>
      <c r="AD61" s="30">
        <f>('TUSD BE'!$AH$61+'TUSD BF'!$AH$61+'TUSD CVA'!$AH$61)*(1 - CUSTOS!$M$40)</f>
        <v>24.874236189333423</v>
      </c>
      <c r="AE61" s="30">
        <f>('TUSD BE'!$AI$61+'TUSD BF'!$AI$61+'TUSD CVA'!$AI$61)*(1 - CUSTOS!$M$40)</f>
        <v>0.88561342590405234</v>
      </c>
      <c r="AF61" s="30">
        <f ca="1">('TUSD BE'!$AJ$61+'TUSD BF'!$AJ$61+'TUSD CVA'!$AJ$61)*(1 - CUSTOS!$M$40)</f>
        <v>7.4122392677302056</v>
      </c>
      <c r="AG61" s="30">
        <f ca="1">('TUSD BE'!$AK$61+'TUSD BF'!$AK$61+'TUSD CVA'!$AK$61)*(1 - CUSTOS!$M$40)</f>
        <v>0</v>
      </c>
      <c r="AI61" s="30">
        <v>0</v>
      </c>
      <c r="AJ61" s="30">
        <v>0.92163024516799397</v>
      </c>
      <c r="AK61" s="30">
        <v>3.3009335989008699</v>
      </c>
      <c r="AL61" s="30">
        <v>2.1875682830585101E-2</v>
      </c>
      <c r="AM61" s="30">
        <v>0</v>
      </c>
      <c r="AN61" s="30">
        <v>19.3427915100375</v>
      </c>
      <c r="AO61" s="30">
        <v>9.2171553201572092</v>
      </c>
      <c r="AP61" s="30">
        <v>0</v>
      </c>
      <c r="AQ61" s="30">
        <v>22.928025361011201</v>
      </c>
      <c r="AR61" s="30">
        <v>6.15748626874867</v>
      </c>
      <c r="AS61" s="30">
        <v>2.6144210621837698</v>
      </c>
      <c r="AT61" s="30">
        <v>0</v>
      </c>
      <c r="AU61" s="30">
        <v>0</v>
      </c>
      <c r="AV61" s="30">
        <v>0</v>
      </c>
      <c r="AW61" s="30">
        <v>0</v>
      </c>
      <c r="AX61" s="30">
        <v>196.04231757270099</v>
      </c>
      <c r="AY61" s="30">
        <v>-0.17128757272047301</v>
      </c>
      <c r="AZ61" s="30">
        <v>0</v>
      </c>
      <c r="BA61" s="30">
        <v>19.689318868774201</v>
      </c>
      <c r="BB61" s="30">
        <v>0.66895639670459695</v>
      </c>
      <c r="BC61" s="30">
        <v>6.4058978523290904</v>
      </c>
      <c r="BD61" s="30">
        <v>0</v>
      </c>
    </row>
    <row r="62" spans="1:56" ht="11.25" customHeight="1" x14ac:dyDescent="0.25">
      <c r="A62" s="108"/>
      <c r="B62" s="108" t="s">
        <v>109</v>
      </c>
      <c r="C62" s="108" t="s">
        <v>45</v>
      </c>
      <c r="D62" s="34" t="s">
        <v>25</v>
      </c>
      <c r="E62" s="34" t="s">
        <v>25</v>
      </c>
      <c r="F62" s="34" t="s">
        <v>25</v>
      </c>
      <c r="G62" s="33" t="s">
        <v>98</v>
      </c>
      <c r="H62" s="33" t="s">
        <v>93</v>
      </c>
      <c r="I62" s="33">
        <f>'MERCADO TUSD'!$U$59</f>
        <v>0</v>
      </c>
      <c r="J62" s="15"/>
      <c r="L62" s="30">
        <f>('TUSD BE'!$L$62+'TUSD BF'!$L$62+'TUSD CVA'!$L$62)*(1 - CUSTOS!$M$38)</f>
        <v>3.7813177701748311</v>
      </c>
      <c r="M62" s="30">
        <f>('TUSD BE'!$M$62+'TUSD BF'!$M$62+'TUSD CVA'!$M$62)*(1 - CUSTOS!$M$38)</f>
        <v>1.0773933956803681</v>
      </c>
      <c r="N62" s="30">
        <f ca="1">('TUSD BE'!$N$62+'TUSD BF'!$N$62+'TUSD CVA'!$N$62)*(1 - CUSTOS!$M$38)</f>
        <v>3.7158850893049973</v>
      </c>
      <c r="O62" s="30">
        <f>('TUSD BE'!$O$62+'TUSD BF'!$O$62+'TUSD CVA'!$O$62)*(1 - CUSTOS!$M$38)</f>
        <v>2.1788111188240148E-2</v>
      </c>
      <c r="P62" s="30">
        <f>('TUSD BE'!$P$62+'TUSD BF'!$P$62+'TUSD CVA'!$P$62)*(1 - CUSTOS!$M$38)</f>
        <v>0</v>
      </c>
      <c r="Q62" s="30">
        <f>('TUSD BE'!$Q$62+'TUSD BF'!$Q$62+'TUSD CVA'!$Q$62)*(1 - CUSTOS!$M$38)</f>
        <v>36.79471571740347</v>
      </c>
      <c r="R62" s="30">
        <f>('TUSD BE'!$R$62+'TUSD BF'!$R$62+'TUSD CVA'!$R$62)*(1 - CUSTOS!$M$38)</f>
        <v>14.987418357049153</v>
      </c>
      <c r="S62" s="30">
        <f>('TUSD BE'!$S$62+'TUSD BF'!$S$62+'TUSD CVA'!$S$62)*(1 - CUSTOS!$M$38)</f>
        <v>0</v>
      </c>
      <c r="T62" s="30">
        <f>('TUSD BE'!$U$62+'TUSD BF'!$U$62+'TUSD CVA'!$U$62)*(1 - CUSTOS!$M$38)</f>
        <v>24.970792047378779</v>
      </c>
      <c r="U62" s="30">
        <f>('TUSD BE'!$V$62+'TUSD BF'!$V$62+'TUSD CVA'!$V$62)*(1 - CUSTOS!$M$38)</f>
        <v>4.4855307137231764</v>
      </c>
      <c r="V62" s="30">
        <f>('TUSD BE'!$W$62+'TUSD BF'!$W$62+'TUSD CVA'!$W$62)*(1 - CUSTOS!$M$38)</f>
        <v>4.3072236680698657</v>
      </c>
      <c r="W62" s="30">
        <f>('TUSD BE'!$X$62+'TUSD BF'!$X$62+'TUSD CVA'!$X$62)*(1 - CUSTOS!$M$38)</f>
        <v>0</v>
      </c>
      <c r="X62" s="30">
        <f>('TUSD BE'!$Y$62+'TUSD BF'!$Y$62+'TUSD CVA'!$Y$62)*(1 - CUSTOS!$M$38)</f>
        <v>0</v>
      </c>
      <c r="Y62" s="30">
        <f>('TUSD BE'!$Z$62+'TUSD BF'!$Z$62+'TUSD CVA'!$Z$62)*(1 - CUSTOS!$M$38)</f>
        <v>0</v>
      </c>
      <c r="Z62" s="30">
        <f>('TUSD BE'!$AA$62+'TUSD BF'!$AA$62+'TUSD CVA'!$AA$62)*(1 - CUSTOS!$M$38)</f>
        <v>0</v>
      </c>
      <c r="AA62" s="30">
        <f>('TUSD BE'!$AC$62+'TUSD BF'!$AC$62+'TUSD CVA'!$AC$62)*(1 - CUSTOS!$M$38)</f>
        <v>291.39049246456506</v>
      </c>
      <c r="AB62" s="30">
        <f ca="1">('TUSD BE'!$AE$62+'TUSD BF'!$AE$62+'TUSD CVA'!$AE$62)*(1 - CUSTOS!$M$38)</f>
        <v>-32.951865336442062</v>
      </c>
      <c r="AC62" s="30">
        <f ca="1">('TUSD BE'!$AF$62+'TUSD BF'!$AF$62+'TUSD CVA'!$AF$62)*(1 - CUSTOS!$M$38)</f>
        <v>0</v>
      </c>
      <c r="AD62" s="30">
        <f>('TUSD BE'!$AH$62+'TUSD BF'!$AH$62+'TUSD CVA'!$AH$62)*(1 - CUSTOS!$M$38)</f>
        <v>25.414980454318933</v>
      </c>
      <c r="AE62" s="30">
        <f>('TUSD BE'!$AI$62+'TUSD BF'!$AI$62+'TUSD CVA'!$AI$62)*(1 - CUSTOS!$M$38)</f>
        <v>0.9048658916845751</v>
      </c>
      <c r="AF62" s="30">
        <f ca="1">('TUSD BE'!$AJ$62+'TUSD BF'!$AJ$62+'TUSD CVA'!$AJ$62)*(1 - CUSTOS!$M$38)</f>
        <v>7.5733749039852096</v>
      </c>
      <c r="AG62" s="30">
        <f ca="1">('TUSD BE'!$AK$62+'TUSD BF'!$AK$62+'TUSD CVA'!$AK$62)*(1 - CUSTOS!$M$38)</f>
        <v>0</v>
      </c>
      <c r="AI62" s="30">
        <v>0</v>
      </c>
      <c r="AJ62" s="30">
        <v>0.96551739969980399</v>
      </c>
      <c r="AK62" s="30">
        <v>3.4581209131342501</v>
      </c>
      <c r="AL62" s="30">
        <v>2.2917382012993998E-2</v>
      </c>
      <c r="AM62" s="30">
        <v>0</v>
      </c>
      <c r="AN62" s="30">
        <v>20.263876820039201</v>
      </c>
      <c r="AO62" s="30">
        <v>9.6560674782599296</v>
      </c>
      <c r="AP62" s="30">
        <v>0</v>
      </c>
      <c r="AQ62" s="30">
        <v>24.019836092487999</v>
      </c>
      <c r="AR62" s="30">
        <v>6.4506999005938503</v>
      </c>
      <c r="AS62" s="30">
        <v>2.7389173032401399</v>
      </c>
      <c r="AT62" s="30">
        <v>0</v>
      </c>
      <c r="AU62" s="30">
        <v>0</v>
      </c>
      <c r="AV62" s="30">
        <v>0</v>
      </c>
      <c r="AW62" s="30">
        <v>0</v>
      </c>
      <c r="AX62" s="30">
        <v>205.37766602854401</v>
      </c>
      <c r="AY62" s="30">
        <v>-0.17944412380240099</v>
      </c>
      <c r="AZ62" s="30">
        <v>0</v>
      </c>
      <c r="BA62" s="30">
        <v>20.626905481572901</v>
      </c>
      <c r="BB62" s="30">
        <v>0.70081146321433996</v>
      </c>
      <c r="BC62" s="30">
        <v>6.71094060720191</v>
      </c>
      <c r="BD62" s="30">
        <v>0</v>
      </c>
    </row>
    <row r="63" spans="1:56" ht="11.25" customHeight="1" x14ac:dyDescent="0.25">
      <c r="A63" s="108"/>
      <c r="B63" s="108"/>
      <c r="C63" s="108"/>
      <c r="D63" s="34" t="s">
        <v>110</v>
      </c>
      <c r="E63" s="34" t="s">
        <v>25</v>
      </c>
      <c r="F63" s="34" t="s">
        <v>25</v>
      </c>
      <c r="G63" s="33" t="s">
        <v>98</v>
      </c>
      <c r="H63" s="33" t="s">
        <v>93</v>
      </c>
      <c r="I63" s="33">
        <f>'MERCADO TUSD'!$U$60</f>
        <v>0</v>
      </c>
      <c r="J63" s="15"/>
      <c r="L63" s="30">
        <f>('TUSD BE'!$L$63+'TUSD BF'!$L$63+'TUSD CVA'!$L$63)*(1 - CUSTOS!$M$39)</f>
        <v>3.7813177701748311</v>
      </c>
      <c r="M63" s="30">
        <f>('TUSD BE'!$M$63+'TUSD BF'!$M$63+'TUSD CVA'!$M$63)*(1 - CUSTOS!$M$39)</f>
        <v>1.0773933956803681</v>
      </c>
      <c r="N63" s="30">
        <f ca="1">('TUSD BE'!$N$63+'TUSD BF'!$N$63+'TUSD CVA'!$N$63)*(1 - CUSTOS!$M$39)</f>
        <v>3.7158850893049973</v>
      </c>
      <c r="O63" s="30">
        <f>('TUSD BE'!$O$63+'TUSD BF'!$O$63+'TUSD CVA'!$O$63)*(1 - CUSTOS!$M$39)</f>
        <v>2.1788111188240148E-2</v>
      </c>
      <c r="P63" s="30">
        <f>('TUSD BE'!$P$63+'TUSD BF'!$P$63+'TUSD CVA'!$P$63)*(1 - CUSTOS!$M$39)</f>
        <v>0</v>
      </c>
      <c r="Q63" s="30">
        <f>('TUSD BE'!$Q$63+'TUSD BF'!$Q$63+'TUSD CVA'!$Q$63)*(1 - CUSTOS!$M$39)</f>
        <v>36.79471571740347</v>
      </c>
      <c r="R63" s="30">
        <f>('TUSD BE'!$R$63+'TUSD BF'!$R$63+'TUSD CVA'!$R$63)*(1 - CUSTOS!$M$39)</f>
        <v>14.987418357049153</v>
      </c>
      <c r="S63" s="30">
        <f>('TUSD BE'!$S$63+'TUSD BF'!$S$63+'TUSD CVA'!$S$63)*(1 - CUSTOS!$M$39)</f>
        <v>0</v>
      </c>
      <c r="T63" s="30">
        <f>('TUSD BE'!$U$63+'TUSD BF'!$U$63+'TUSD CVA'!$U$63)*(1 - CUSTOS!$M$39)</f>
        <v>24.970792047378779</v>
      </c>
      <c r="U63" s="30">
        <f>('TUSD BE'!$V$63+'TUSD BF'!$V$63+'TUSD CVA'!$V$63)*(1 - CUSTOS!$M$39)</f>
        <v>4.4855307137231764</v>
      </c>
      <c r="V63" s="30">
        <f>('TUSD BE'!$W$63+'TUSD BF'!$W$63+'TUSD CVA'!$W$63)*(1 - CUSTOS!$M$39)</f>
        <v>4.3072236680698657</v>
      </c>
      <c r="W63" s="30">
        <f>('TUSD BE'!$X$63+'TUSD BF'!$X$63+'TUSD CVA'!$X$63)*(1 - CUSTOS!$M$39)</f>
        <v>0</v>
      </c>
      <c r="X63" s="30">
        <f>('TUSD BE'!$Y$63+'TUSD BF'!$Y$63+'TUSD CVA'!$Y$63)*(1 - CUSTOS!$M$39)</f>
        <v>0</v>
      </c>
      <c r="Y63" s="30">
        <f>('TUSD BE'!$Z$63+'TUSD BF'!$Z$63+'TUSD CVA'!$Z$63)*(1 - CUSTOS!$M$39)</f>
        <v>0</v>
      </c>
      <c r="Z63" s="30">
        <f>('TUSD BE'!$AA$63+'TUSD BF'!$AA$63+'TUSD CVA'!$AA$63)*(1 - CUSTOS!$M$39)</f>
        <v>0</v>
      </c>
      <c r="AA63" s="30">
        <f>('TUSD BE'!$AC$63+'TUSD BF'!$AC$63+'TUSD CVA'!$AC$63)*(1 - CUSTOS!$M$39)</f>
        <v>291.39049246456506</v>
      </c>
      <c r="AB63" s="30">
        <f ca="1">('TUSD BE'!$AE$63+'TUSD BF'!$AE$63+'TUSD CVA'!$AE$63)*(1 - CUSTOS!$M$39)</f>
        <v>-32.951865336442062</v>
      </c>
      <c r="AC63" s="30">
        <f ca="1">('TUSD BE'!$AF$63+'TUSD BF'!$AF$63+'TUSD CVA'!$AF$63)*(1 - CUSTOS!$M$39)</f>
        <v>0</v>
      </c>
      <c r="AD63" s="30">
        <f>('TUSD BE'!$AH$63+'TUSD BF'!$AH$63+'TUSD CVA'!$AH$63)*(1 - CUSTOS!$M$39)</f>
        <v>25.414980454318933</v>
      </c>
      <c r="AE63" s="30">
        <f>('TUSD BE'!$AI$63+'TUSD BF'!$AI$63+'TUSD CVA'!$AI$63)*(1 - CUSTOS!$M$39)</f>
        <v>0.9048658916845751</v>
      </c>
      <c r="AF63" s="30">
        <f ca="1">('TUSD BE'!$AJ$63+'TUSD BF'!$AJ$63+'TUSD CVA'!$AJ$63)*(1 - CUSTOS!$M$39)</f>
        <v>7.5733749039852096</v>
      </c>
      <c r="AG63" s="30">
        <f ca="1">('TUSD BE'!$AK$63+'TUSD BF'!$AK$63+'TUSD CVA'!$AK$63)*(1 - CUSTOS!$M$39)</f>
        <v>0</v>
      </c>
      <c r="AI63" s="30">
        <v>0</v>
      </c>
      <c r="AJ63" s="30">
        <v>0.96551739969980399</v>
      </c>
      <c r="AK63" s="30">
        <v>3.4581209131342501</v>
      </c>
      <c r="AL63" s="30">
        <v>2.2917382012993998E-2</v>
      </c>
      <c r="AM63" s="30">
        <v>0</v>
      </c>
      <c r="AN63" s="30">
        <v>20.263876820039201</v>
      </c>
      <c r="AO63" s="30">
        <v>9.6560674782599296</v>
      </c>
      <c r="AP63" s="30">
        <v>0</v>
      </c>
      <c r="AQ63" s="30">
        <v>24.019836092487999</v>
      </c>
      <c r="AR63" s="30">
        <v>6.4506999005938503</v>
      </c>
      <c r="AS63" s="30">
        <v>2.7389173032401399</v>
      </c>
      <c r="AT63" s="30">
        <v>0</v>
      </c>
      <c r="AU63" s="30">
        <v>0</v>
      </c>
      <c r="AV63" s="30">
        <v>0</v>
      </c>
      <c r="AW63" s="30">
        <v>0</v>
      </c>
      <c r="AX63" s="30">
        <v>205.37766602854401</v>
      </c>
      <c r="AY63" s="30">
        <v>-0.17944412380240099</v>
      </c>
      <c r="AZ63" s="30">
        <v>0</v>
      </c>
      <c r="BA63" s="30">
        <v>20.626905481572901</v>
      </c>
      <c r="BB63" s="30">
        <v>0.70081146321433996</v>
      </c>
      <c r="BC63" s="30">
        <v>6.71094060720191</v>
      </c>
      <c r="BD63" s="30">
        <v>0</v>
      </c>
    </row>
    <row r="64" spans="1:56" ht="11.25" customHeight="1" x14ac:dyDescent="0.25">
      <c r="A64" s="108"/>
      <c r="B64" s="108"/>
      <c r="C64" s="108"/>
      <c r="D64" s="34" t="s">
        <v>111</v>
      </c>
      <c r="E64" s="34" t="s">
        <v>25</v>
      </c>
      <c r="F64" s="34" t="s">
        <v>25</v>
      </c>
      <c r="G64" s="33" t="s">
        <v>98</v>
      </c>
      <c r="H64" s="33" t="s">
        <v>93</v>
      </c>
      <c r="I64" s="33">
        <f>'MERCADO TUSD'!$U$61</f>
        <v>0</v>
      </c>
      <c r="J64" s="15"/>
      <c r="L64" s="30">
        <f>('TUSD BE'!$L$64+'TUSD BF'!$L$64+'TUSD CVA'!$L$64)*(1 - CUSTOS!$M$40)</f>
        <v>3.7008642005966434</v>
      </c>
      <c r="M64" s="30">
        <f>('TUSD BE'!$M$64+'TUSD BF'!$M$64+'TUSD CVA'!$M$64)*(1 - CUSTOS!$M$40)</f>
        <v>1.0544701319424881</v>
      </c>
      <c r="N64" s="30">
        <f ca="1">('TUSD BE'!$N$64+'TUSD BF'!$N$64+'TUSD CVA'!$N$64)*(1 - CUSTOS!$M$40)</f>
        <v>3.6368237044261678</v>
      </c>
      <c r="O64" s="30">
        <f>('TUSD BE'!$O$64+'TUSD BF'!$O$64+'TUSD CVA'!$O$64)*(1 - CUSTOS!$M$40)</f>
        <v>2.1324534354447807E-2</v>
      </c>
      <c r="P64" s="30">
        <f>('TUSD BE'!$P$64+'TUSD BF'!$P$64+'TUSD CVA'!$P$64)*(1 - CUSTOS!$M$40)</f>
        <v>0</v>
      </c>
      <c r="Q64" s="30">
        <f>('TUSD BE'!$Q$64+'TUSD BF'!$Q$64+'TUSD CVA'!$Q$64)*(1 - CUSTOS!$M$40)</f>
        <v>36.011849425543822</v>
      </c>
      <c r="R64" s="30">
        <f>('TUSD BE'!$R$64+'TUSD BF'!$R$64+'TUSD CVA'!$R$64)*(1 - CUSTOS!$M$40)</f>
        <v>14.66853711540981</v>
      </c>
      <c r="S64" s="30">
        <f>('TUSD BE'!$S$64+'TUSD BF'!$S$64+'TUSD CVA'!$S$64)*(1 - CUSTOS!$M$40)</f>
        <v>0</v>
      </c>
      <c r="T64" s="30">
        <f>('TUSD BE'!$U$64+'TUSD BF'!$U$64+'TUSD CVA'!$U$64)*(1 - CUSTOS!$M$40)</f>
        <v>24.439498599562214</v>
      </c>
      <c r="U64" s="30">
        <f>('TUSD BE'!$V$64+'TUSD BF'!$V$64+'TUSD CVA'!$V$64)*(1 - CUSTOS!$M$40)</f>
        <v>4.3900938900269395</v>
      </c>
      <c r="V64" s="30">
        <f>('TUSD BE'!$W$64+'TUSD BF'!$W$64+'TUSD CVA'!$W$64)*(1 - CUSTOS!$M$40)</f>
        <v>4.2155806113024221</v>
      </c>
      <c r="W64" s="30">
        <f>('TUSD BE'!$X$64+'TUSD BF'!$X$64+'TUSD CVA'!$X$64)*(1 - CUSTOS!$M$40)</f>
        <v>0</v>
      </c>
      <c r="X64" s="30">
        <f>('TUSD BE'!$Y$64+'TUSD BF'!$Y$64+'TUSD CVA'!$Y$64)*(1 - CUSTOS!$M$40)</f>
        <v>0</v>
      </c>
      <c r="Y64" s="30">
        <f>('TUSD BE'!$Z$64+'TUSD BF'!$Z$64+'TUSD CVA'!$Z$64)*(1 - CUSTOS!$M$40)</f>
        <v>0</v>
      </c>
      <c r="Z64" s="30">
        <f>('TUSD BE'!$AA$64+'TUSD BF'!$AA$64+'TUSD CVA'!$AA$64)*(1 - CUSTOS!$M$40)</f>
        <v>0</v>
      </c>
      <c r="AA64" s="30">
        <f>('TUSD BE'!$AC$64+'TUSD BF'!$AC$64+'TUSD CVA'!$AC$64)*(1 - CUSTOS!$M$40)</f>
        <v>285.1906947525531</v>
      </c>
      <c r="AB64" s="30">
        <f ca="1">('TUSD BE'!$AE$64+'TUSD BF'!$AE$64+'TUSD CVA'!$AE$64)*(1 - CUSTOS!$M$40)</f>
        <v>-32.250761818645429</v>
      </c>
      <c r="AC64" s="30">
        <f ca="1">('TUSD BE'!$AF$64+'TUSD BF'!$AF$64+'TUSD CVA'!$AF$64)*(1 - CUSTOS!$M$40)</f>
        <v>0</v>
      </c>
      <c r="AD64" s="30">
        <f>('TUSD BE'!$AH$64+'TUSD BF'!$AH$64+'TUSD CVA'!$AH$64)*(1 - CUSTOS!$M$40)</f>
        <v>24.874236189333423</v>
      </c>
      <c r="AE64" s="30">
        <f>('TUSD BE'!$AI$64+'TUSD BF'!$AI$64+'TUSD CVA'!$AI$64)*(1 - CUSTOS!$M$40)</f>
        <v>0.88561342590405234</v>
      </c>
      <c r="AF64" s="30">
        <f ca="1">('TUSD BE'!$AJ$64+'TUSD BF'!$AJ$64+'TUSD CVA'!$AJ$64)*(1 - CUSTOS!$M$40)</f>
        <v>7.4122392677302056</v>
      </c>
      <c r="AG64" s="30">
        <f ca="1">('TUSD BE'!$AK$64+'TUSD BF'!$AK$64+'TUSD CVA'!$AK$64)*(1 - CUSTOS!$M$40)</f>
        <v>0</v>
      </c>
      <c r="AI64" s="30">
        <v>0</v>
      </c>
      <c r="AJ64" s="30">
        <v>0.92163024516799397</v>
      </c>
      <c r="AK64" s="30">
        <v>3.3009335989008699</v>
      </c>
      <c r="AL64" s="30">
        <v>2.1875682830585101E-2</v>
      </c>
      <c r="AM64" s="30">
        <v>0</v>
      </c>
      <c r="AN64" s="30">
        <v>19.3427915100375</v>
      </c>
      <c r="AO64" s="30">
        <v>9.2171553201572092</v>
      </c>
      <c r="AP64" s="30">
        <v>0</v>
      </c>
      <c r="AQ64" s="30">
        <v>22.928025361011201</v>
      </c>
      <c r="AR64" s="30">
        <v>6.15748626874867</v>
      </c>
      <c r="AS64" s="30">
        <v>2.6144210621837698</v>
      </c>
      <c r="AT64" s="30">
        <v>0</v>
      </c>
      <c r="AU64" s="30">
        <v>0</v>
      </c>
      <c r="AV64" s="30">
        <v>0</v>
      </c>
      <c r="AW64" s="30">
        <v>0</v>
      </c>
      <c r="AX64" s="30">
        <v>196.04231757270099</v>
      </c>
      <c r="AY64" s="30">
        <v>-0.17128757272047301</v>
      </c>
      <c r="AZ64" s="30">
        <v>0</v>
      </c>
      <c r="BA64" s="30">
        <v>19.689318868774201</v>
      </c>
      <c r="BB64" s="30">
        <v>0.66895639670459695</v>
      </c>
      <c r="BC64" s="30">
        <v>6.4058978523290904</v>
      </c>
      <c r="BD64" s="30">
        <v>0</v>
      </c>
    </row>
    <row r="65" spans="1:56" ht="11.25" customHeight="1" x14ac:dyDescent="0.25">
      <c r="A65" s="108" t="s">
        <v>37</v>
      </c>
      <c r="B65" s="108" t="s">
        <v>33</v>
      </c>
      <c r="C65" s="108" t="s">
        <v>25</v>
      </c>
      <c r="D65" s="108" t="s">
        <v>25</v>
      </c>
      <c r="E65" s="108" t="s">
        <v>25</v>
      </c>
      <c r="F65" s="108" t="s">
        <v>25</v>
      </c>
      <c r="G65" s="33" t="s">
        <v>94</v>
      </c>
      <c r="H65" s="33" t="s">
        <v>93</v>
      </c>
      <c r="I65" s="33">
        <f>'MERCADO TUSD'!$U$62</f>
        <v>102.03199999999998</v>
      </c>
      <c r="J65" s="15"/>
      <c r="L65" s="30">
        <f>('TUSD BE'!$L$65+'TUSD BF'!$L$65+'TUSD CVA'!$L$65)*1</f>
        <v>4.0226784789093948</v>
      </c>
      <c r="M65" s="30">
        <f>('TUSD BE'!$M$65+'TUSD BF'!$M$65+'TUSD CVA'!$M$65)*1</f>
        <v>1.1461631868940088</v>
      </c>
      <c r="N65" s="30">
        <f ca="1">('TUSD BE'!$N$65+'TUSD BF'!$N$65+'TUSD CVA'!$N$65)*1</f>
        <v>10.730387313333562</v>
      </c>
      <c r="O65" s="30">
        <f>('TUSD BE'!$O$65+'TUSD BF'!$O$65+'TUSD CVA'!$O$65)*1</f>
        <v>2.3178841689617181E-2</v>
      </c>
      <c r="P65" s="30">
        <f>('TUSD BE'!$P$65+'TUSD BF'!$P$65+'TUSD CVA'!$P$65)*1</f>
        <v>0</v>
      </c>
      <c r="Q65" s="30">
        <f>('TUSD BE'!$Q$65+'TUSD BF'!$Q$65+'TUSD CVA'!$Q$65)*1</f>
        <v>39.143314592982414</v>
      </c>
      <c r="R65" s="30">
        <f>('TUSD BE'!$R$65+'TUSD BF'!$R$65+'TUSD CVA'!$R$65)*1</f>
        <v>15.944062081967184</v>
      </c>
      <c r="S65" s="30">
        <f>('TUSD BE'!$S$65+'TUSD BF'!$S$65+'TUSD CVA'!$S$65)*1</f>
        <v>0</v>
      </c>
      <c r="T65" s="30">
        <f>('TUSD BE'!$U$65+'TUSD BF'!$U$65+'TUSD CVA'!$U$65)*1</f>
        <v>86.335223370602179</v>
      </c>
      <c r="U65" s="30">
        <f>('TUSD BE'!$V$65+'TUSD BF'!$V$65+'TUSD CVA'!$V$65)*1</f>
        <v>15.508483850638642</v>
      </c>
      <c r="V65" s="30">
        <f>('TUSD BE'!$W$65+'TUSD BF'!$W$65+'TUSD CVA'!$W$65)*1</f>
        <v>14.891917858051498</v>
      </c>
      <c r="W65" s="30">
        <f>('TUSD BE'!$X$65+'TUSD BF'!$X$65+'TUSD CVA'!$X$65)*1</f>
        <v>0</v>
      </c>
      <c r="X65" s="30">
        <f>('TUSD BE'!$Y$65+'TUSD BF'!$Y$65+'TUSD CVA'!$Y$65)*1</f>
        <v>0</v>
      </c>
      <c r="Y65" s="30">
        <f>('TUSD BE'!$Z$65+'TUSD BF'!$Z$65+'TUSD CVA'!$Z$65)*1</f>
        <v>0</v>
      </c>
      <c r="Z65" s="30">
        <f>('TUSD BE'!$AA$65+'TUSD BF'!$AA$65+'TUSD CVA'!$AA$65)*1</f>
        <v>0</v>
      </c>
      <c r="AA65" s="30">
        <f>('TUSD BE'!$AC$65+'TUSD BF'!$AC$65+'TUSD CVA'!$AC$65)*1</f>
        <v>1007.4670413364747</v>
      </c>
      <c r="AB65" s="30">
        <f ca="1">('TUSD BE'!$AE$65+'TUSD BF'!$AE$65+'TUSD CVA'!$AE$65)*1</f>
        <v>-96.314214492173861</v>
      </c>
      <c r="AC65" s="30">
        <f ca="1">('TUSD BE'!$AF$65+'TUSD BF'!$AF$65+'TUSD CVA'!$AF$65)*1</f>
        <v>0</v>
      </c>
      <c r="AD65" s="30">
        <f>('TUSD BE'!$AH$65+'TUSD BF'!$AH$65+'TUSD CVA'!$AH$65)*1</f>
        <v>27.03721324927546</v>
      </c>
      <c r="AE65" s="30">
        <f>('TUSD BE'!$AI$65+'TUSD BF'!$AI$65+'TUSD CVA'!$AI$65)*1</f>
        <v>0.9626232890261438</v>
      </c>
      <c r="AF65" s="30">
        <f ca="1">('TUSD BE'!$AJ$65+'TUSD BF'!$AJ$65+'TUSD CVA'!$AJ$65)*1</f>
        <v>8.0567818127502235</v>
      </c>
      <c r="AG65" s="30">
        <f ca="1">('TUSD BE'!$AK$65+'TUSD BF'!$AK$65+'TUSD CVA'!$AK$65)*1</f>
        <v>0</v>
      </c>
      <c r="AI65" s="30">
        <v>0</v>
      </c>
      <c r="AJ65" s="30">
        <v>1.09717886329523</v>
      </c>
      <c r="AK65" s="30">
        <v>10.692345950510701</v>
      </c>
      <c r="AL65" s="30">
        <v>2.6042479560220402E-2</v>
      </c>
      <c r="AM65" s="30">
        <v>0</v>
      </c>
      <c r="AN65" s="30">
        <v>23.027132750044601</v>
      </c>
      <c r="AO65" s="30">
        <v>10.9728039525681</v>
      </c>
      <c r="AP65" s="30">
        <v>0</v>
      </c>
      <c r="AQ65" s="30">
        <v>88.709661080751502</v>
      </c>
      <c r="AR65" s="30">
        <v>23.823607587420501</v>
      </c>
      <c r="AS65" s="30">
        <v>10.1152660160189</v>
      </c>
      <c r="AT65" s="30">
        <v>0</v>
      </c>
      <c r="AU65" s="30">
        <v>0</v>
      </c>
      <c r="AV65" s="30">
        <v>0</v>
      </c>
      <c r="AW65" s="30">
        <v>0</v>
      </c>
      <c r="AX65" s="30">
        <v>758.49699663836805</v>
      </c>
      <c r="AY65" s="30">
        <v>-0.57606754356304002</v>
      </c>
      <c r="AZ65" s="30">
        <v>0</v>
      </c>
      <c r="BA65" s="30">
        <v>23.439665319969201</v>
      </c>
      <c r="BB65" s="30">
        <v>0.796376662743568</v>
      </c>
      <c r="BC65" s="30">
        <v>7.6260688718203502</v>
      </c>
      <c r="BD65" s="30">
        <v>0</v>
      </c>
    </row>
    <row r="66" spans="1:56" ht="11.25" customHeight="1" x14ac:dyDescent="0.25">
      <c r="A66" s="108"/>
      <c r="B66" s="108"/>
      <c r="C66" s="108"/>
      <c r="D66" s="108"/>
      <c r="E66" s="108"/>
      <c r="F66" s="108"/>
      <c r="G66" s="33" t="s">
        <v>107</v>
      </c>
      <c r="H66" s="33" t="s">
        <v>93</v>
      </c>
      <c r="I66" s="33">
        <f>'MERCADO TUSD'!$U$63</f>
        <v>72.591000000000008</v>
      </c>
      <c r="J66" s="15"/>
      <c r="L66" s="30">
        <f>('TUSD BE'!$L$66+'TUSD BF'!$L$66+'TUSD CVA'!$L$66)*1</f>
        <v>4.0226784789093948</v>
      </c>
      <c r="M66" s="30">
        <f>('TUSD BE'!$M$66+'TUSD BF'!$M$66+'TUSD CVA'!$M$66)*1</f>
        <v>1.1461631868940088</v>
      </c>
      <c r="N66" s="30">
        <f ca="1">('TUSD BE'!$N$66+'TUSD BF'!$N$66+'TUSD CVA'!$N$66)*1</f>
        <v>6.8146033419082643</v>
      </c>
      <c r="O66" s="30">
        <f>('TUSD BE'!$O$66+'TUSD BF'!$O$66+'TUSD CVA'!$O$66)*1</f>
        <v>2.3178841689617181E-2</v>
      </c>
      <c r="P66" s="30">
        <f>('TUSD BE'!$P$66+'TUSD BF'!$P$66+'TUSD CVA'!$P$66)*1</f>
        <v>0</v>
      </c>
      <c r="Q66" s="30">
        <f>('TUSD BE'!$Q$66+'TUSD BF'!$Q$66+'TUSD CVA'!$Q$66)*1</f>
        <v>39.143314592982414</v>
      </c>
      <c r="R66" s="30">
        <f>('TUSD BE'!$R$66+'TUSD BF'!$R$66+'TUSD CVA'!$R$66)*1</f>
        <v>15.944062081967184</v>
      </c>
      <c r="S66" s="30">
        <f>('TUSD BE'!$S$66+'TUSD BF'!$S$66+'TUSD CVA'!$S$66)*1</f>
        <v>0</v>
      </c>
      <c r="T66" s="30">
        <f>('TUSD BE'!$U$66+'TUSD BF'!$U$66+'TUSD CVA'!$U$66)*1</f>
        <v>51.801164502688998</v>
      </c>
      <c r="U66" s="30">
        <f>('TUSD BE'!$V$66+'TUSD BF'!$V$66+'TUSD CVA'!$V$66)*1</f>
        <v>9.3051137454150332</v>
      </c>
      <c r="V66" s="30">
        <f>('TUSD BE'!$W$66+'TUSD BF'!$W$66+'TUSD CVA'!$W$66)*1</f>
        <v>8.9351191681676401</v>
      </c>
      <c r="W66" s="30">
        <f>('TUSD BE'!$X$66+'TUSD BF'!$X$66+'TUSD CVA'!$X$66)*1</f>
        <v>0</v>
      </c>
      <c r="X66" s="30">
        <f>('TUSD BE'!$Y$66+'TUSD BF'!$Y$66+'TUSD CVA'!$Y$66)*1</f>
        <v>0</v>
      </c>
      <c r="Y66" s="30">
        <f>('TUSD BE'!$Z$66+'TUSD BF'!$Z$66+'TUSD CVA'!$Z$66)*1</f>
        <v>0</v>
      </c>
      <c r="Z66" s="30">
        <f>('TUSD BE'!$AA$66+'TUSD BF'!$AA$66+'TUSD CVA'!$AA$66)*1</f>
        <v>0</v>
      </c>
      <c r="AA66" s="30">
        <f>('TUSD BE'!$AC$66+'TUSD BF'!$AC$66+'TUSD CVA'!$AC$66)*1</f>
        <v>604.48019005569324</v>
      </c>
      <c r="AB66" s="30">
        <f ca="1">('TUSD BE'!$AE$66+'TUSD BF'!$AE$66+'TUSD CVA'!$AE$66)*1</f>
        <v>-60.92009983903332</v>
      </c>
      <c r="AC66" s="30">
        <f ca="1">('TUSD BE'!$AF$66+'TUSD BF'!$AF$66+'TUSD CVA'!$AF$66)*1</f>
        <v>0</v>
      </c>
      <c r="AD66" s="30">
        <f>('TUSD BE'!$AH$66+'TUSD BF'!$AH$66+'TUSD CVA'!$AH$66)*1</f>
        <v>27.03721324927546</v>
      </c>
      <c r="AE66" s="30">
        <f>('TUSD BE'!$AI$66+'TUSD BF'!$AI$66+'TUSD CVA'!$AI$66)*1</f>
        <v>0.9626232890261438</v>
      </c>
      <c r="AF66" s="30">
        <f ca="1">('TUSD BE'!$AJ$66+'TUSD BF'!$AJ$66+'TUSD CVA'!$AJ$66)*1</f>
        <v>8.0567818127502235</v>
      </c>
      <c r="AG66" s="30">
        <f ca="1">('TUSD BE'!$AK$66+'TUSD BF'!$AK$66+'TUSD CVA'!$AK$66)*1</f>
        <v>0</v>
      </c>
      <c r="AI66" s="30">
        <v>0</v>
      </c>
      <c r="AJ66" s="30">
        <v>1.09717886329523</v>
      </c>
      <c r="AK66" s="30">
        <v>6.7850292982382099</v>
      </c>
      <c r="AL66" s="30">
        <v>2.6042479560220402E-2</v>
      </c>
      <c r="AM66" s="30">
        <v>0</v>
      </c>
      <c r="AN66" s="30">
        <v>23.027132750044601</v>
      </c>
      <c r="AO66" s="30">
        <v>10.9728039525681</v>
      </c>
      <c r="AP66" s="30">
        <v>0</v>
      </c>
      <c r="AQ66" s="30">
        <v>53.225827967064902</v>
      </c>
      <c r="AR66" s="30">
        <v>14.2942005525544</v>
      </c>
      <c r="AS66" s="30">
        <v>6.0691381816869203</v>
      </c>
      <c r="AT66" s="30">
        <v>0</v>
      </c>
      <c r="AU66" s="30">
        <v>0</v>
      </c>
      <c r="AV66" s="30">
        <v>0</v>
      </c>
      <c r="AW66" s="30">
        <v>0</v>
      </c>
      <c r="AX66" s="30">
        <v>455.09817182347302</v>
      </c>
      <c r="AY66" s="30">
        <v>-0.36104536277221899</v>
      </c>
      <c r="AZ66" s="30">
        <v>0</v>
      </c>
      <c r="BA66" s="30">
        <v>23.439665319969201</v>
      </c>
      <c r="BB66" s="30">
        <v>0.796376662743568</v>
      </c>
      <c r="BC66" s="30">
        <v>7.6260688718203502</v>
      </c>
      <c r="BD66" s="30">
        <v>0</v>
      </c>
    </row>
    <row r="67" spans="1:56" ht="11.25" customHeight="1" x14ac:dyDescent="0.25">
      <c r="A67" s="108"/>
      <c r="B67" s="108"/>
      <c r="C67" s="108"/>
      <c r="D67" s="108"/>
      <c r="E67" s="108"/>
      <c r="F67" s="108"/>
      <c r="G67" s="33" t="s">
        <v>95</v>
      </c>
      <c r="H67" s="33" t="s">
        <v>93</v>
      </c>
      <c r="I67" s="33">
        <f>'MERCADO TUSD'!$U$64</f>
        <v>1401.5319999999997</v>
      </c>
      <c r="J67" s="15"/>
      <c r="L67" s="30">
        <f>('TUSD BE'!$L$67+'TUSD BF'!$L$67+'TUSD CVA'!$L$67)*1</f>
        <v>4.0226784789093948</v>
      </c>
      <c r="M67" s="30">
        <f>('TUSD BE'!$M$67+'TUSD BF'!$M$67+'TUSD CVA'!$M$67)*1</f>
        <v>1.1461631868940088</v>
      </c>
      <c r="N67" s="30">
        <f ca="1">('TUSD BE'!$N$67+'TUSD BF'!$N$67+'TUSD CVA'!$N$67)*1</f>
        <v>2.8988193704829666</v>
      </c>
      <c r="O67" s="30">
        <f>('TUSD BE'!$O$67+'TUSD BF'!$O$67+'TUSD CVA'!$O$67)*1</f>
        <v>2.3178841689617181E-2</v>
      </c>
      <c r="P67" s="30">
        <f>('TUSD BE'!$P$67+'TUSD BF'!$P$67+'TUSD CVA'!$P$67)*1</f>
        <v>0</v>
      </c>
      <c r="Q67" s="30">
        <f>('TUSD BE'!$Q$67+'TUSD BF'!$Q$67+'TUSD CVA'!$Q$67)*1</f>
        <v>39.143314592982414</v>
      </c>
      <c r="R67" s="30">
        <f>('TUSD BE'!$R$67+'TUSD BF'!$R$67+'TUSD CVA'!$R$67)*1</f>
        <v>15.944062081967184</v>
      </c>
      <c r="S67" s="30">
        <f>('TUSD BE'!$S$67+'TUSD BF'!$S$67+'TUSD CVA'!$S$67)*1</f>
        <v>0</v>
      </c>
      <c r="T67" s="30">
        <f>('TUSD BE'!$U$67+'TUSD BF'!$U$67+'TUSD CVA'!$U$67)*1</f>
        <v>17.267105634775813</v>
      </c>
      <c r="U67" s="30">
        <f>('TUSD BE'!$V$67+'TUSD BF'!$V$67+'TUSD CVA'!$V$67)*1</f>
        <v>3.1017436401914233</v>
      </c>
      <c r="V67" s="30">
        <f>('TUSD BE'!$W$67+'TUSD BF'!$W$67+'TUSD CVA'!$W$67)*1</f>
        <v>2.9783204782837815</v>
      </c>
      <c r="W67" s="30">
        <f>('TUSD BE'!$X$67+'TUSD BF'!$X$67+'TUSD CVA'!$X$67)*1</f>
        <v>0</v>
      </c>
      <c r="X67" s="30">
        <f>('TUSD BE'!$Y$67+'TUSD BF'!$Y$67+'TUSD CVA'!$Y$67)*1</f>
        <v>0</v>
      </c>
      <c r="Y67" s="30">
        <f>('TUSD BE'!$Z$67+'TUSD BF'!$Z$67+'TUSD CVA'!$Z$67)*1</f>
        <v>0</v>
      </c>
      <c r="Z67" s="30">
        <f>('TUSD BE'!$AA$67+'TUSD BF'!$AA$67+'TUSD CVA'!$AA$67)*1</f>
        <v>0</v>
      </c>
      <c r="AA67" s="30">
        <f>('TUSD BE'!$AC$67+'TUSD BF'!$AC$67+'TUSD CVA'!$AC$67)*1</f>
        <v>201.49333877491173</v>
      </c>
      <c r="AB67" s="30">
        <f ca="1">('TUSD BE'!$AE$67+'TUSD BF'!$AE$67+'TUSD CVA'!$AE$67)*1</f>
        <v>-25.52598518589279</v>
      </c>
      <c r="AC67" s="30">
        <f ca="1">('TUSD BE'!$AF$67+'TUSD BF'!$AF$67+'TUSD CVA'!$AF$67)*1</f>
        <v>0</v>
      </c>
      <c r="AD67" s="30">
        <f>('TUSD BE'!$AH$67+'TUSD BF'!$AH$67+'TUSD CVA'!$AH$67)*1</f>
        <v>27.03721324927546</v>
      </c>
      <c r="AE67" s="30">
        <f>('TUSD BE'!$AI$67+'TUSD BF'!$AI$67+'TUSD CVA'!$AI$67)*1</f>
        <v>0.9626232890261438</v>
      </c>
      <c r="AF67" s="30">
        <f ca="1">('TUSD BE'!$AJ$67+'TUSD BF'!$AJ$67+'TUSD CVA'!$AJ$67)*1</f>
        <v>8.0567818127502235</v>
      </c>
      <c r="AG67" s="30">
        <f ca="1">('TUSD BE'!$AK$67+'TUSD BF'!$AK$67+'TUSD CVA'!$AK$67)*1</f>
        <v>0</v>
      </c>
      <c r="AI67" s="30">
        <v>0</v>
      </c>
      <c r="AJ67" s="30">
        <v>1.09717886329523</v>
      </c>
      <c r="AK67" s="30">
        <v>2.8777126459656901</v>
      </c>
      <c r="AL67" s="30">
        <v>2.6042479560220402E-2</v>
      </c>
      <c r="AM67" s="30">
        <v>0</v>
      </c>
      <c r="AN67" s="30">
        <v>23.027132750044601</v>
      </c>
      <c r="AO67" s="30">
        <v>10.9728039525681</v>
      </c>
      <c r="AP67" s="30">
        <v>0</v>
      </c>
      <c r="AQ67" s="30">
        <v>17.741994853378401</v>
      </c>
      <c r="AR67" s="30">
        <v>4.7647935176883598</v>
      </c>
      <c r="AS67" s="30">
        <v>2.0230103473548899</v>
      </c>
      <c r="AT67" s="30">
        <v>0</v>
      </c>
      <c r="AU67" s="30">
        <v>0</v>
      </c>
      <c r="AV67" s="30">
        <v>0</v>
      </c>
      <c r="AW67" s="30">
        <v>0</v>
      </c>
      <c r="AX67" s="30">
        <v>151.699347008579</v>
      </c>
      <c r="AY67" s="30">
        <v>-0.14602318198139799</v>
      </c>
      <c r="AZ67" s="30">
        <v>0</v>
      </c>
      <c r="BA67" s="30">
        <v>23.439665319969201</v>
      </c>
      <c r="BB67" s="30">
        <v>0.796376662743568</v>
      </c>
      <c r="BC67" s="30">
        <v>7.6260688718203502</v>
      </c>
      <c r="BD67" s="30">
        <v>0</v>
      </c>
    </row>
    <row r="68" spans="1:56" ht="11.25" customHeight="1" x14ac:dyDescent="0.25">
      <c r="A68" s="108"/>
      <c r="B68" s="34" t="s">
        <v>23</v>
      </c>
      <c r="C68" s="34" t="s">
        <v>25</v>
      </c>
      <c r="D68" s="34" t="s">
        <v>25</v>
      </c>
      <c r="E68" s="34" t="s">
        <v>25</v>
      </c>
      <c r="F68" s="34" t="s">
        <v>25</v>
      </c>
      <c r="G68" s="33" t="s">
        <v>98</v>
      </c>
      <c r="H68" s="33" t="s">
        <v>93</v>
      </c>
      <c r="I68" s="33">
        <f>'MERCADO TUSD'!$U$65</f>
        <v>352409.69800000003</v>
      </c>
      <c r="J68" s="15"/>
      <c r="L68" s="30">
        <f>('TUSD BE'!$L$68+'TUSD BF'!$L$68+'TUSD CVA'!$L$68)*1</f>
        <v>4.0226784789093948</v>
      </c>
      <c r="M68" s="30">
        <f>('TUSD BE'!$M$68+'TUSD BF'!$M$68+'TUSD CVA'!$M$68)*1</f>
        <v>1.1461631868940088</v>
      </c>
      <c r="N68" s="30">
        <f ca="1">('TUSD BE'!$N$68+'TUSD BF'!$N$68+'TUSD CVA'!$N$68)*1</f>
        <v>3.9530692439414867</v>
      </c>
      <c r="O68" s="30">
        <f>('TUSD BE'!$O$68+'TUSD BF'!$O$68+'TUSD CVA'!$O$68)*1</f>
        <v>2.3178841689617181E-2</v>
      </c>
      <c r="P68" s="30">
        <f>('TUSD BE'!$P$68+'TUSD BF'!$P$68+'TUSD CVA'!$P$68)*1</f>
        <v>0</v>
      </c>
      <c r="Q68" s="30">
        <f>('TUSD BE'!$Q$68+'TUSD BF'!$Q$68+'TUSD CVA'!$Q$68)*1</f>
        <v>39.143314592982414</v>
      </c>
      <c r="R68" s="30">
        <f>('TUSD BE'!$R$68+'TUSD BF'!$R$68+'TUSD CVA'!$R$68)*1</f>
        <v>15.944062081967184</v>
      </c>
      <c r="S68" s="30">
        <f>('TUSD BE'!$S$68+'TUSD BF'!$S$68+'TUSD CVA'!$S$68)*1</f>
        <v>0</v>
      </c>
      <c r="T68" s="30">
        <f>('TUSD BE'!$U$68+'TUSD BF'!$U$68+'TUSD CVA'!$U$68)*1</f>
        <v>26.564672390828491</v>
      </c>
      <c r="U68" s="30">
        <f>('TUSD BE'!$V$68+'TUSD BF'!$V$68+'TUSD CVA'!$V$68)*1</f>
        <v>4.7718411848118905</v>
      </c>
      <c r="V68" s="30">
        <f>('TUSD BE'!$W$68+'TUSD BF'!$W$68+'TUSD CVA'!$W$68)*1</f>
        <v>4.5821528383721981</v>
      </c>
      <c r="W68" s="30">
        <f>('TUSD BE'!$X$68+'TUSD BF'!$X$68+'TUSD CVA'!$X$68)*1</f>
        <v>0</v>
      </c>
      <c r="X68" s="30">
        <f>('TUSD BE'!$Y$68+'TUSD BF'!$Y$68+'TUSD CVA'!$Y$68)*1</f>
        <v>0</v>
      </c>
      <c r="Y68" s="30">
        <f>('TUSD BE'!$Z$68+'TUSD BF'!$Z$68+'TUSD CVA'!$Z$68)*1</f>
        <v>0</v>
      </c>
      <c r="Z68" s="30">
        <f>('TUSD BE'!$AA$68+'TUSD BF'!$AA$68+'TUSD CVA'!$AA$68)*1</f>
        <v>0</v>
      </c>
      <c r="AA68" s="30">
        <f>('TUSD BE'!$AC$68+'TUSD BF'!$AC$68+'TUSD CVA'!$AC$68)*1</f>
        <v>309.98988560060116</v>
      </c>
      <c r="AB68" s="30">
        <f ca="1">('TUSD BE'!$AE$68+'TUSD BF'!$AE$68+'TUSD CVA'!$AE$68)*1</f>
        <v>-35.055175889831986</v>
      </c>
      <c r="AC68" s="30">
        <f ca="1">('TUSD BE'!$AF$68+'TUSD BF'!$AF$68+'TUSD CVA'!$AF$68)*1</f>
        <v>0</v>
      </c>
      <c r="AD68" s="30">
        <f>('TUSD BE'!$AH$68+'TUSD BF'!$AH$68+'TUSD CVA'!$AH$68)*1</f>
        <v>27.03721324927546</v>
      </c>
      <c r="AE68" s="30">
        <f>('TUSD BE'!$AI$68+'TUSD BF'!$AI$68+'TUSD CVA'!$AI$68)*1</f>
        <v>0.9626232890261438</v>
      </c>
      <c r="AF68" s="30">
        <f ca="1">('TUSD BE'!$AJ$68+'TUSD BF'!$AJ$68+'TUSD CVA'!$AJ$68)*1</f>
        <v>8.0567818127502235</v>
      </c>
      <c r="AG68" s="30">
        <f ca="1">('TUSD BE'!$AK$68+'TUSD BF'!$AK$68+'TUSD CVA'!$AK$68)*1</f>
        <v>0</v>
      </c>
      <c r="AI68" s="30">
        <v>0</v>
      </c>
      <c r="AJ68" s="30">
        <v>1.09717886329523</v>
      </c>
      <c r="AK68" s="30">
        <v>3.9296828558343702</v>
      </c>
      <c r="AL68" s="30">
        <v>2.6042479560220402E-2</v>
      </c>
      <c r="AM68" s="30">
        <v>0</v>
      </c>
      <c r="AN68" s="30">
        <v>23.027132750044601</v>
      </c>
      <c r="AO68" s="30">
        <v>10.9728039525681</v>
      </c>
      <c r="AP68" s="30">
        <v>0</v>
      </c>
      <c r="AQ68" s="30">
        <v>27.295268286918098</v>
      </c>
      <c r="AR68" s="30">
        <v>7.3303407961293701</v>
      </c>
      <c r="AS68" s="30">
        <v>3.1124060264092499</v>
      </c>
      <c r="AT68" s="30">
        <v>0</v>
      </c>
      <c r="AU68" s="30">
        <v>0</v>
      </c>
      <c r="AV68" s="30">
        <v>0</v>
      </c>
      <c r="AW68" s="30">
        <v>0</v>
      </c>
      <c r="AX68" s="30">
        <v>233.38371139607301</v>
      </c>
      <c r="AY68" s="30">
        <v>-0.203913777048182</v>
      </c>
      <c r="AZ68" s="30">
        <v>0</v>
      </c>
      <c r="BA68" s="30">
        <v>23.439665319969201</v>
      </c>
      <c r="BB68" s="30">
        <v>0.796376662743568</v>
      </c>
      <c r="BC68" s="30">
        <v>7.6260688718203502</v>
      </c>
      <c r="BD68" s="30">
        <v>0</v>
      </c>
    </row>
    <row r="69" spans="1:56" ht="11.25" customHeight="1" x14ac:dyDescent="0.25">
      <c r="A69" s="108"/>
      <c r="B69" s="34" t="s">
        <v>109</v>
      </c>
      <c r="C69" s="34" t="s">
        <v>25</v>
      </c>
      <c r="D69" s="34" t="s">
        <v>25</v>
      </c>
      <c r="E69" s="34" t="s">
        <v>25</v>
      </c>
      <c r="F69" s="34" t="s">
        <v>25</v>
      </c>
      <c r="G69" s="33" t="s">
        <v>98</v>
      </c>
      <c r="H69" s="33" t="s">
        <v>93</v>
      </c>
      <c r="I69" s="33">
        <f>'MERCADO TUSD'!$U$66</f>
        <v>0</v>
      </c>
      <c r="J69" s="15"/>
      <c r="L69" s="30">
        <f>('TUSD BE'!$L$69+'TUSD BF'!$L$69+'TUSD CVA'!$L$69)*1</f>
        <v>4.0226784789093948</v>
      </c>
      <c r="M69" s="30">
        <f>('TUSD BE'!$M$69+'TUSD BF'!$M$69+'TUSD CVA'!$M$69)*1</f>
        <v>1.1461631868940088</v>
      </c>
      <c r="N69" s="30">
        <f ca="1">('TUSD BE'!$N$69+'TUSD BF'!$N$69+'TUSD CVA'!$N$69)*1</f>
        <v>3.9530692439414867</v>
      </c>
      <c r="O69" s="30">
        <f>('TUSD BE'!$O$69+'TUSD BF'!$O$69+'TUSD CVA'!$O$69)*1</f>
        <v>2.3178841689617181E-2</v>
      </c>
      <c r="P69" s="30">
        <f>('TUSD BE'!$P$69+'TUSD BF'!$P$69+'TUSD CVA'!$P$69)*1</f>
        <v>0</v>
      </c>
      <c r="Q69" s="30">
        <f>('TUSD BE'!$Q$69+'TUSD BF'!$Q$69+'TUSD CVA'!$Q$69)*1</f>
        <v>39.143314592982414</v>
      </c>
      <c r="R69" s="30">
        <f>('TUSD BE'!$R$69+'TUSD BF'!$R$69+'TUSD CVA'!$R$69)*1</f>
        <v>15.944062081967184</v>
      </c>
      <c r="S69" s="30">
        <f>('TUSD BE'!$S$69+'TUSD BF'!$S$69+'TUSD CVA'!$S$69)*1</f>
        <v>0</v>
      </c>
      <c r="T69" s="30">
        <f>('TUSD BE'!$U$69+'TUSD BF'!$U$69+'TUSD CVA'!$U$69)*1</f>
        <v>26.564672390828491</v>
      </c>
      <c r="U69" s="30">
        <f>('TUSD BE'!$V$69+'TUSD BF'!$V$69+'TUSD CVA'!$V$69)*1</f>
        <v>4.7718411848118905</v>
      </c>
      <c r="V69" s="30">
        <f>('TUSD BE'!$W$69+'TUSD BF'!$W$69+'TUSD CVA'!$W$69)*1</f>
        <v>4.5821528383721981</v>
      </c>
      <c r="W69" s="30">
        <f>('TUSD BE'!$X$69+'TUSD BF'!$X$69+'TUSD CVA'!$X$69)*1</f>
        <v>0</v>
      </c>
      <c r="X69" s="30">
        <f>('TUSD BE'!$Y$69+'TUSD BF'!$Y$69+'TUSD CVA'!$Y$69)*1</f>
        <v>0</v>
      </c>
      <c r="Y69" s="30">
        <f>('TUSD BE'!$Z$69+'TUSD BF'!$Z$69+'TUSD CVA'!$Z$69)*1</f>
        <v>0</v>
      </c>
      <c r="Z69" s="30">
        <f>('TUSD BE'!$AA$69+'TUSD BF'!$AA$69+'TUSD CVA'!$AA$69)*1</f>
        <v>0</v>
      </c>
      <c r="AA69" s="30">
        <f>('TUSD BE'!$AC$69+'TUSD BF'!$AC$69+'TUSD CVA'!$AC$69)*1</f>
        <v>309.98988560060116</v>
      </c>
      <c r="AB69" s="30">
        <f ca="1">('TUSD BE'!$AE$69+'TUSD BF'!$AE$69+'TUSD CVA'!$AE$69)*1</f>
        <v>-35.055175889831986</v>
      </c>
      <c r="AC69" s="30">
        <f ca="1">('TUSD BE'!$AF$69+'TUSD BF'!$AF$69+'TUSD CVA'!$AF$69)*1</f>
        <v>0</v>
      </c>
      <c r="AD69" s="30">
        <f>('TUSD BE'!$AH$69+'TUSD BF'!$AH$69+'TUSD CVA'!$AH$69)*1</f>
        <v>27.03721324927546</v>
      </c>
      <c r="AE69" s="30">
        <f>('TUSD BE'!$AI$69+'TUSD BF'!$AI$69+'TUSD CVA'!$AI$69)*1</f>
        <v>0.9626232890261438</v>
      </c>
      <c r="AF69" s="30">
        <f ca="1">('TUSD BE'!$AJ$69+'TUSD BF'!$AJ$69+'TUSD CVA'!$AJ$69)*1</f>
        <v>8.0567818127502235</v>
      </c>
      <c r="AG69" s="30">
        <f ca="1">('TUSD BE'!$AK$69+'TUSD BF'!$AK$69+'TUSD CVA'!$AK$69)*1</f>
        <v>0</v>
      </c>
      <c r="AI69" s="30">
        <v>0</v>
      </c>
      <c r="AJ69" s="30">
        <v>1.09717886329523</v>
      </c>
      <c r="AK69" s="30">
        <v>3.9296828558343702</v>
      </c>
      <c r="AL69" s="30">
        <v>2.6042479560220402E-2</v>
      </c>
      <c r="AM69" s="30">
        <v>0</v>
      </c>
      <c r="AN69" s="30">
        <v>23.027132750044601</v>
      </c>
      <c r="AO69" s="30">
        <v>10.9728039525681</v>
      </c>
      <c r="AP69" s="30">
        <v>0</v>
      </c>
      <c r="AQ69" s="30">
        <v>27.295268286918098</v>
      </c>
      <c r="AR69" s="30">
        <v>7.3303407961293701</v>
      </c>
      <c r="AS69" s="30">
        <v>3.1124060264092499</v>
      </c>
      <c r="AT69" s="30">
        <v>0</v>
      </c>
      <c r="AU69" s="30">
        <v>0</v>
      </c>
      <c r="AV69" s="30">
        <v>0</v>
      </c>
      <c r="AW69" s="30">
        <v>0</v>
      </c>
      <c r="AX69" s="30">
        <v>233.38371139607301</v>
      </c>
      <c r="AY69" s="30">
        <v>-0.203913777048182</v>
      </c>
      <c r="AZ69" s="30">
        <v>0</v>
      </c>
      <c r="BA69" s="30">
        <v>23.439665319969201</v>
      </c>
      <c r="BB69" s="30">
        <v>0.796376662743568</v>
      </c>
      <c r="BC69" s="30">
        <v>7.6260688718203502</v>
      </c>
      <c r="BD69" s="30">
        <v>0</v>
      </c>
    </row>
    <row r="70" spans="1:56" ht="11.25" customHeight="1" x14ac:dyDescent="0.25">
      <c r="A70" s="108" t="s">
        <v>47</v>
      </c>
      <c r="B70" s="108" t="s">
        <v>23</v>
      </c>
      <c r="C70" s="108" t="s">
        <v>48</v>
      </c>
      <c r="D70" s="34" t="s">
        <v>49</v>
      </c>
      <c r="E70" s="34" t="s">
        <v>25</v>
      </c>
      <c r="F70" s="34" t="s">
        <v>25</v>
      </c>
      <c r="G70" s="33" t="s">
        <v>98</v>
      </c>
      <c r="H70" s="33" t="s">
        <v>93</v>
      </c>
      <c r="I70" s="33">
        <f>'MERCADO TUSD'!$U$67</f>
        <v>197535.73299999998</v>
      </c>
      <c r="J70" s="15"/>
      <c r="L70" s="30">
        <f>('TUSD BE'!$L$70+'TUSD BF'!$L$70+'TUSD CVA'!$L$70)*1</f>
        <v>2.2124731634001673</v>
      </c>
      <c r="M70" s="30">
        <f>('TUSD BE'!$M$70+'TUSD BF'!$M$70+'TUSD CVA'!$M$70)*1</f>
        <v>0.63038975279170473</v>
      </c>
      <c r="N70" s="30">
        <f ca="1">('TUSD BE'!$N$70+'TUSD BF'!$N$70+'TUSD CVA'!$N$70)*1</f>
        <v>2.1741880841678176</v>
      </c>
      <c r="O70" s="30">
        <f>('TUSD BE'!$O$70+'TUSD BF'!$O$70+'TUSD CVA'!$O$70)*1</f>
        <v>1.274836292928945E-2</v>
      </c>
      <c r="P70" s="30">
        <f>('TUSD BE'!$P$70+'TUSD BF'!$P$70+'TUSD CVA'!$P$70)*1</f>
        <v>0</v>
      </c>
      <c r="Q70" s="30">
        <f>('TUSD BE'!$Q$70+'TUSD BF'!$Q$70+'TUSD CVA'!$Q$70)*1</f>
        <v>21.528823026140326</v>
      </c>
      <c r="R70" s="30">
        <f>('TUSD BE'!$R$70+'TUSD BF'!$R$70+'TUSD CVA'!$R$70)*1</f>
        <v>8.7692341450819509</v>
      </c>
      <c r="S70" s="30">
        <f>('TUSD BE'!$S$70+'TUSD BF'!$S$70+'TUSD CVA'!$S$70)*1</f>
        <v>0</v>
      </c>
      <c r="T70" s="30">
        <f>('TUSD BE'!$U$70+'TUSD BF'!$U$70+'TUSD CVA'!$U$70)*1</f>
        <v>14.610569814955671</v>
      </c>
      <c r="U70" s="30">
        <f>('TUSD BE'!$V$70+'TUSD BF'!$V$70+'TUSD CVA'!$V$70)*1</f>
        <v>2.6245126516465396</v>
      </c>
      <c r="V70" s="30">
        <f>('TUSD BE'!$W$70+'TUSD BF'!$W$70+'TUSD CVA'!$W$70)*1</f>
        <v>2.5201840611047093</v>
      </c>
      <c r="W70" s="30">
        <f>('TUSD BE'!$X$70+'TUSD BF'!$X$70+'TUSD CVA'!$X$70)*1</f>
        <v>0</v>
      </c>
      <c r="X70" s="30">
        <f>('TUSD BE'!$Y$70+'TUSD BF'!$Y$70+'TUSD CVA'!$Y$70)*1</f>
        <v>0</v>
      </c>
      <c r="Y70" s="30">
        <f>('TUSD BE'!$Z$70+'TUSD BF'!$Z$70+'TUSD CVA'!$Z$70)*1</f>
        <v>0</v>
      </c>
      <c r="Z70" s="30">
        <f>('TUSD BE'!$AA$70+'TUSD BF'!$AA$70+'TUSD CVA'!$AA$70)*1</f>
        <v>0</v>
      </c>
      <c r="AA70" s="30">
        <f>('TUSD BE'!$AC$70+'TUSD BF'!$AC$70+'TUSD CVA'!$AC$70)*1</f>
        <v>170.49443708033061</v>
      </c>
      <c r="AB70" s="30">
        <f ca="1">('TUSD BE'!$AE$70+'TUSD BF'!$AE$70+'TUSD CVA'!$AE$70)*1</f>
        <v>-19.280346739407594</v>
      </c>
      <c r="AC70" s="30">
        <f ca="1">('TUSD BE'!$AF$70+'TUSD BF'!$AF$70+'TUSD CVA'!$AF$70)*1</f>
        <v>0</v>
      </c>
      <c r="AD70" s="30">
        <f>('TUSD BE'!$AH$70+'TUSD BF'!$AH$70+'TUSD CVA'!$AH$70)*1</f>
        <v>14.870467287101505</v>
      </c>
      <c r="AE70" s="30">
        <f>('TUSD BE'!$AI$70+'TUSD BF'!$AI$70+'TUSD CVA'!$AI$70)*1</f>
        <v>0.52944280896437901</v>
      </c>
      <c r="AF70" s="30">
        <f ca="1">('TUSD BE'!$AJ$70+'TUSD BF'!$AJ$70+'TUSD CVA'!$AJ$70)*1</f>
        <v>4.4312299970126228</v>
      </c>
      <c r="AG70" s="30">
        <f ca="1">('TUSD BE'!$AK$70+'TUSD BF'!$AK$70+'TUSD CVA'!$AK$70)*1</f>
        <v>0</v>
      </c>
      <c r="AI70" s="30">
        <v>0</v>
      </c>
      <c r="AJ70" s="30">
        <v>0.60344837481237701</v>
      </c>
      <c r="AK70" s="30">
        <v>2.1613255707088999</v>
      </c>
      <c r="AL70" s="30">
        <v>1.43233637581212E-2</v>
      </c>
      <c r="AM70" s="30">
        <v>0</v>
      </c>
      <c r="AN70" s="30">
        <v>12.6649230125245</v>
      </c>
      <c r="AO70" s="30">
        <v>6.0350421739124602</v>
      </c>
      <c r="AP70" s="30">
        <v>0</v>
      </c>
      <c r="AQ70" s="30">
        <v>15.012397557805</v>
      </c>
      <c r="AR70" s="30">
        <v>4.0316874378711596</v>
      </c>
      <c r="AS70" s="30">
        <v>1.7118233145250901</v>
      </c>
      <c r="AT70" s="30">
        <v>0</v>
      </c>
      <c r="AU70" s="30">
        <v>0</v>
      </c>
      <c r="AV70" s="30">
        <v>0</v>
      </c>
      <c r="AW70" s="30">
        <v>0</v>
      </c>
      <c r="AX70" s="30">
        <v>128.36104126783999</v>
      </c>
      <c r="AY70" s="30">
        <v>-0.1121525773765</v>
      </c>
      <c r="AZ70" s="30">
        <v>0</v>
      </c>
      <c r="BA70" s="30">
        <v>12.891815925983099</v>
      </c>
      <c r="BB70" s="30">
        <v>0.43800716450896199</v>
      </c>
      <c r="BC70" s="30">
        <v>4.1943378795011901</v>
      </c>
      <c r="BD70" s="30">
        <v>0</v>
      </c>
    </row>
    <row r="71" spans="1:56" ht="11.25" customHeight="1" x14ac:dyDescent="0.25">
      <c r="A71" s="108"/>
      <c r="B71" s="108"/>
      <c r="C71" s="108"/>
      <c r="D71" s="33" t="s">
        <v>112</v>
      </c>
      <c r="E71" s="33" t="s">
        <v>25</v>
      </c>
      <c r="F71" s="33" t="s">
        <v>25</v>
      </c>
      <c r="G71" s="33" t="s">
        <v>98</v>
      </c>
      <c r="H71" s="33" t="s">
        <v>93</v>
      </c>
      <c r="I71" s="33">
        <f>'MERCADO TUSD'!$U$68</f>
        <v>0</v>
      </c>
      <c r="J71" s="15"/>
      <c r="L71" s="30">
        <f>('TUSD BE'!$L$71+'TUSD BF'!$L$71+'TUSD CVA'!$L$71)*1</f>
        <v>2.4136070873456372</v>
      </c>
      <c r="M71" s="30">
        <f>('TUSD BE'!$M$71+'TUSD BF'!$M$71+'TUSD CVA'!$M$71)*1</f>
        <v>0.68769791213640519</v>
      </c>
      <c r="N71" s="30">
        <f ca="1">('TUSD BE'!$N$71+'TUSD BF'!$N$71+'TUSD CVA'!$N$71)*1</f>
        <v>2.3718415463648919</v>
      </c>
      <c r="O71" s="30">
        <f>('TUSD BE'!$O$71+'TUSD BF'!$O$71+'TUSD CVA'!$O$71)*1</f>
        <v>1.390730501377031E-2</v>
      </c>
      <c r="P71" s="30">
        <f>('TUSD BE'!$P$71+'TUSD BF'!$P$71+'TUSD CVA'!$P$71)*1</f>
        <v>0</v>
      </c>
      <c r="Q71" s="30">
        <f>('TUSD BE'!$Q$71+'TUSD BF'!$Q$71+'TUSD CVA'!$Q$71)*1</f>
        <v>23.485988755789446</v>
      </c>
      <c r="R71" s="30">
        <f>('TUSD BE'!$R$71+'TUSD BF'!$R$71+'TUSD CVA'!$R$71)*1</f>
        <v>9.5664372491803107</v>
      </c>
      <c r="S71" s="30">
        <f>('TUSD BE'!$S$71+'TUSD BF'!$S$71+'TUSD CVA'!$S$71)*1</f>
        <v>0</v>
      </c>
      <c r="T71" s="30">
        <f>('TUSD BE'!$U$71+'TUSD BF'!$U$71+'TUSD CVA'!$U$71)*1</f>
        <v>15.938803434497093</v>
      </c>
      <c r="U71" s="30">
        <f>('TUSD BE'!$V$71+'TUSD BF'!$V$71+'TUSD CVA'!$V$71)*1</f>
        <v>2.8631047108871339</v>
      </c>
      <c r="V71" s="30">
        <f>('TUSD BE'!$W$71+'TUSD BF'!$W$71+'TUSD CVA'!$W$71)*1</f>
        <v>2.749291703023319</v>
      </c>
      <c r="W71" s="30">
        <f>('TUSD BE'!$X$71+'TUSD BF'!$X$71+'TUSD CVA'!$X$71)*1</f>
        <v>0</v>
      </c>
      <c r="X71" s="30">
        <f>('TUSD BE'!$Y$71+'TUSD BF'!$Y$71+'TUSD CVA'!$Y$71)*1</f>
        <v>0</v>
      </c>
      <c r="Y71" s="30">
        <f>('TUSD BE'!$Z$71+'TUSD BF'!$Z$71+'TUSD CVA'!$Z$71)*1</f>
        <v>0</v>
      </c>
      <c r="Z71" s="30">
        <f>('TUSD BE'!$AA$71+'TUSD BF'!$AA$71+'TUSD CVA'!$AA$71)*1</f>
        <v>0</v>
      </c>
      <c r="AA71" s="30">
        <f>('TUSD BE'!$AC$71+'TUSD BF'!$AC$71+'TUSD CVA'!$AC$71)*1</f>
        <v>185.99393136036065</v>
      </c>
      <c r="AB71" s="30">
        <f ca="1">('TUSD BE'!$AE$71+'TUSD BF'!$AE$71+'TUSD CVA'!$AE$71)*1</f>
        <v>-21.033105533899192</v>
      </c>
      <c r="AC71" s="30">
        <f ca="1">('TUSD BE'!$AF$71+'TUSD BF'!$AF$71+'TUSD CVA'!$AF$71)*1</f>
        <v>0</v>
      </c>
      <c r="AD71" s="30">
        <f>('TUSD BE'!$AH$71+'TUSD BF'!$AH$71+'TUSD CVA'!$AH$71)*1</f>
        <v>16.222327949565276</v>
      </c>
      <c r="AE71" s="30">
        <f>('TUSD BE'!$AI$71+'TUSD BF'!$AI$71+'TUSD CVA'!$AI$71)*1</f>
        <v>0.57757397341568617</v>
      </c>
      <c r="AF71" s="30">
        <f ca="1">('TUSD BE'!$AJ$71+'TUSD BF'!$AJ$71+'TUSD CVA'!$AJ$71)*1</f>
        <v>4.8340690876501338</v>
      </c>
      <c r="AG71" s="30">
        <f ca="1">('TUSD BE'!$AK$71+'TUSD BF'!$AK$71+'TUSD CVA'!$AK$71)*1</f>
        <v>0</v>
      </c>
      <c r="AI71" s="30">
        <v>0</v>
      </c>
      <c r="AJ71" s="30">
        <v>0.65830731797713904</v>
      </c>
      <c r="AK71" s="30">
        <v>2.35780971350062</v>
      </c>
      <c r="AL71" s="30">
        <v>1.5625487736132201E-2</v>
      </c>
      <c r="AM71" s="30">
        <v>0</v>
      </c>
      <c r="AN71" s="30">
        <v>13.8162796500268</v>
      </c>
      <c r="AO71" s="30">
        <v>6.5836823715408697</v>
      </c>
      <c r="AP71" s="30">
        <v>0</v>
      </c>
      <c r="AQ71" s="30">
        <v>16.3771609721509</v>
      </c>
      <c r="AR71" s="30">
        <v>4.3982044776776199</v>
      </c>
      <c r="AS71" s="30">
        <v>1.8674436158455501</v>
      </c>
      <c r="AT71" s="30">
        <v>0</v>
      </c>
      <c r="AU71" s="30">
        <v>0</v>
      </c>
      <c r="AV71" s="30">
        <v>0</v>
      </c>
      <c r="AW71" s="30">
        <v>0</v>
      </c>
      <c r="AX71" s="30">
        <v>140.03022683764399</v>
      </c>
      <c r="AY71" s="30">
        <v>-0.122348266228909</v>
      </c>
      <c r="AZ71" s="30">
        <v>0</v>
      </c>
      <c r="BA71" s="30">
        <v>14.0637991919815</v>
      </c>
      <c r="BB71" s="30">
        <v>0.47782599764614098</v>
      </c>
      <c r="BC71" s="30">
        <v>4.5756413230922099</v>
      </c>
      <c r="BD71" s="30">
        <v>0</v>
      </c>
    </row>
    <row r="73" spans="1:56" ht="11.25" customHeight="1" x14ac:dyDescent="0.25">
      <c r="L73" s="105" t="s">
        <v>1126</v>
      </c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I73" s="105" t="s">
        <v>1127</v>
      </c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  <c r="BA73" s="105"/>
      <c r="BB73" s="105"/>
      <c r="BC73" s="105"/>
      <c r="BD73" s="105"/>
    </row>
    <row r="74" spans="1:56" ht="11.25" customHeight="1" x14ac:dyDescent="0.25">
      <c r="L74" s="105" t="s">
        <v>858</v>
      </c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I74" s="105" t="s">
        <v>858</v>
      </c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  <c r="BA74" s="105"/>
      <c r="BB74" s="105"/>
      <c r="BC74" s="105"/>
      <c r="BD74" s="105"/>
    </row>
    <row r="75" spans="1:56" ht="11.25" customHeight="1" x14ac:dyDescent="0.25">
      <c r="L75" s="105" t="s">
        <v>859</v>
      </c>
      <c r="M75" s="105"/>
      <c r="N75" s="105"/>
      <c r="O75" s="105"/>
      <c r="P75" s="105"/>
      <c r="Q75" s="105"/>
      <c r="R75" s="105"/>
      <c r="S75" s="105"/>
      <c r="T75" s="105" t="s">
        <v>868</v>
      </c>
      <c r="U75" s="105"/>
      <c r="V75" s="105"/>
      <c r="W75" s="105"/>
      <c r="X75" s="105"/>
      <c r="Y75" s="105"/>
      <c r="Z75" s="105"/>
      <c r="AA75" s="32" t="s">
        <v>876</v>
      </c>
      <c r="AB75" s="105" t="s">
        <v>878</v>
      </c>
      <c r="AC75" s="105"/>
      <c r="AD75" s="105" t="s">
        <v>881</v>
      </c>
      <c r="AE75" s="105"/>
      <c r="AF75" s="105"/>
      <c r="AG75" s="105"/>
      <c r="AI75" s="105" t="s">
        <v>859</v>
      </c>
      <c r="AJ75" s="105"/>
      <c r="AK75" s="105"/>
      <c r="AL75" s="105"/>
      <c r="AM75" s="105"/>
      <c r="AN75" s="105"/>
      <c r="AO75" s="105"/>
      <c r="AP75" s="105"/>
      <c r="AQ75" s="105" t="s">
        <v>868</v>
      </c>
      <c r="AR75" s="105"/>
      <c r="AS75" s="105"/>
      <c r="AT75" s="105"/>
      <c r="AU75" s="105"/>
      <c r="AV75" s="105"/>
      <c r="AW75" s="105"/>
      <c r="AX75" s="32" t="s">
        <v>876</v>
      </c>
      <c r="AY75" s="105" t="s">
        <v>878</v>
      </c>
      <c r="AZ75" s="105"/>
      <c r="BA75" s="105" t="s">
        <v>881</v>
      </c>
      <c r="BB75" s="105"/>
      <c r="BC75" s="105"/>
      <c r="BD75" s="105"/>
    </row>
    <row r="76" spans="1:56" ht="11.25" customHeight="1" x14ac:dyDescent="0.25">
      <c r="L76" s="32" t="s">
        <v>943</v>
      </c>
      <c r="M76" s="32" t="s">
        <v>860</v>
      </c>
      <c r="N76" s="32" t="s">
        <v>861</v>
      </c>
      <c r="O76" s="32" t="s">
        <v>862</v>
      </c>
      <c r="P76" s="32" t="s">
        <v>863</v>
      </c>
      <c r="Q76" s="32" t="s">
        <v>864</v>
      </c>
      <c r="R76" s="32" t="s">
        <v>865</v>
      </c>
      <c r="S76" s="32" t="s">
        <v>866</v>
      </c>
      <c r="T76" s="32" t="s">
        <v>869</v>
      </c>
      <c r="U76" s="32" t="s">
        <v>870</v>
      </c>
      <c r="V76" s="32" t="s">
        <v>871</v>
      </c>
      <c r="W76" s="32" t="s">
        <v>872</v>
      </c>
      <c r="X76" s="32" t="s">
        <v>873</v>
      </c>
      <c r="Y76" s="32" t="s">
        <v>874</v>
      </c>
      <c r="Z76" s="32" t="s">
        <v>875</v>
      </c>
      <c r="AA76" s="32" t="s">
        <v>877</v>
      </c>
      <c r="AB76" s="32" t="s">
        <v>879</v>
      </c>
      <c r="AC76" s="32" t="s">
        <v>880</v>
      </c>
      <c r="AD76" s="32" t="s">
        <v>882</v>
      </c>
      <c r="AE76" s="32" t="s">
        <v>883</v>
      </c>
      <c r="AF76" s="32" t="s">
        <v>884</v>
      </c>
      <c r="AG76" s="32" t="s">
        <v>885</v>
      </c>
      <c r="AI76" s="32" t="s">
        <v>943</v>
      </c>
      <c r="AJ76" s="32" t="s">
        <v>860</v>
      </c>
      <c r="AK76" s="32" t="s">
        <v>861</v>
      </c>
      <c r="AL76" s="32" t="s">
        <v>862</v>
      </c>
      <c r="AM76" s="32" t="s">
        <v>863</v>
      </c>
      <c r="AN76" s="32" t="s">
        <v>864</v>
      </c>
      <c r="AO76" s="32" t="s">
        <v>865</v>
      </c>
      <c r="AP76" s="32" t="s">
        <v>866</v>
      </c>
      <c r="AQ76" s="32" t="s">
        <v>869</v>
      </c>
      <c r="AR76" s="32" t="s">
        <v>870</v>
      </c>
      <c r="AS76" s="32" t="s">
        <v>871</v>
      </c>
      <c r="AT76" s="32" t="s">
        <v>872</v>
      </c>
      <c r="AU76" s="32" t="s">
        <v>873</v>
      </c>
      <c r="AV76" s="32" t="s">
        <v>874</v>
      </c>
      <c r="AW76" s="32" t="s">
        <v>875</v>
      </c>
      <c r="AX76" s="32" t="s">
        <v>877</v>
      </c>
      <c r="AY76" s="32" t="s">
        <v>879</v>
      </c>
      <c r="AZ76" s="32" t="s">
        <v>880</v>
      </c>
      <c r="BA76" s="32" t="s">
        <v>882</v>
      </c>
      <c r="BB76" s="32" t="s">
        <v>883</v>
      </c>
      <c r="BC76" s="32" t="s">
        <v>884</v>
      </c>
      <c r="BD76" s="32" t="s">
        <v>885</v>
      </c>
    </row>
    <row r="77" spans="1:56" ht="11.25" customHeight="1" x14ac:dyDescent="0.25">
      <c r="A77" s="9" t="s">
        <v>39</v>
      </c>
      <c r="B77" s="9" t="s">
        <v>1128</v>
      </c>
      <c r="C77" s="9" t="s">
        <v>1129</v>
      </c>
      <c r="D77" s="9" t="s">
        <v>1130</v>
      </c>
      <c r="E77" s="9" t="s">
        <v>1131</v>
      </c>
      <c r="F77" s="9" t="s">
        <v>1132</v>
      </c>
      <c r="G77" s="9" t="s">
        <v>1133</v>
      </c>
      <c r="L77" s="30">
        <f>$I$5*$L$5</f>
        <v>0</v>
      </c>
      <c r="M77" s="30">
        <f>$I$5*$M$5</f>
        <v>0</v>
      </c>
      <c r="N77" s="30">
        <f ca="1">$I$5*$N$5</f>
        <v>0</v>
      </c>
      <c r="O77" s="30">
        <f>$I$5*$O$5</f>
        <v>0</v>
      </c>
      <c r="P77" s="30">
        <f>$I$5*$P$5</f>
        <v>0</v>
      </c>
      <c r="Q77" s="30">
        <f>$I$5*$Q$5</f>
        <v>0</v>
      </c>
      <c r="R77" s="30">
        <f>$I$5*$R$5</f>
        <v>0</v>
      </c>
      <c r="S77" s="30">
        <f>$I$5*$S$5</f>
        <v>0</v>
      </c>
      <c r="T77" s="30">
        <f>$I$5*$T$5</f>
        <v>3832080.4034400261</v>
      </c>
      <c r="U77" s="30">
        <f>$I$5*$U$5</f>
        <v>624682.04798580729</v>
      </c>
      <c r="V77" s="30">
        <f>$I$5*$V$5</f>
        <v>526376.34110677405</v>
      </c>
      <c r="W77" s="30">
        <f>$I$5*$W$5</f>
        <v>0</v>
      </c>
      <c r="X77" s="30">
        <f>$I$5*$X$5</f>
        <v>0</v>
      </c>
      <c r="Y77" s="30">
        <f>$I$5*$Y$5</f>
        <v>0</v>
      </c>
      <c r="Z77" s="30">
        <f>$I$5*$Z$5</f>
        <v>0</v>
      </c>
      <c r="AA77" s="30">
        <f>$I$5*$AA$5</f>
        <v>13131727.921527481</v>
      </c>
      <c r="AB77" s="30">
        <f ca="1">$I$5*$AB$5</f>
        <v>-1382826.0035660448</v>
      </c>
      <c r="AC77" s="30">
        <f ca="1">$I$5*$AC$5</f>
        <v>0</v>
      </c>
      <c r="AD77" s="30">
        <f>$I$5*$AD$5</f>
        <v>0</v>
      </c>
      <c r="AE77" s="30">
        <f>$I$5*$AE$5</f>
        <v>0</v>
      </c>
      <c r="AF77" s="30">
        <f ca="1">$I$5*$AF$5</f>
        <v>0</v>
      </c>
      <c r="AG77" s="30">
        <f ca="1">$I$5*$AG$5</f>
        <v>0</v>
      </c>
      <c r="AI77" s="30">
        <f>$I$5*$AI$5</f>
        <v>0</v>
      </c>
      <c r="AJ77" s="30">
        <f>$I$5*$AJ$5</f>
        <v>0</v>
      </c>
      <c r="AK77" s="30">
        <f>$I$5*$AK$5</f>
        <v>0</v>
      </c>
      <c r="AL77" s="30">
        <f>$I$5*$AL$5</f>
        <v>0</v>
      </c>
      <c r="AM77" s="30">
        <f>$I$5*$AM$5</f>
        <v>0</v>
      </c>
      <c r="AN77" s="30">
        <f>$I$5*$AN$5</f>
        <v>0</v>
      </c>
      <c r="AO77" s="30">
        <f>$I$5*$AO$5</f>
        <v>0</v>
      </c>
      <c r="AP77" s="30">
        <f>$I$5*$AP$5</f>
        <v>0</v>
      </c>
      <c r="AQ77" s="30">
        <f>$I$5*$AQ$5</f>
        <v>3937472.3380759452</v>
      </c>
      <c r="AR77" s="30">
        <f>$I$5*$AR$5</f>
        <v>959615.40286268562</v>
      </c>
      <c r="AS77" s="30">
        <f>$I$5*$AS$5</f>
        <v>357538.68410944962</v>
      </c>
      <c r="AT77" s="30">
        <f>$I$5*$AT$5</f>
        <v>0</v>
      </c>
      <c r="AU77" s="30">
        <f>$I$5*$AU$5</f>
        <v>0</v>
      </c>
      <c r="AV77" s="30">
        <f>$I$5*$AV$5</f>
        <v>0</v>
      </c>
      <c r="AW77" s="30">
        <f>$I$5*$AW$5</f>
        <v>0</v>
      </c>
      <c r="AX77" s="30">
        <f>$I$5*$AX$5</f>
        <v>9886552.890045587</v>
      </c>
      <c r="AY77" s="30">
        <f>$I$5*$AY$5</f>
        <v>-8807.6918203627429</v>
      </c>
      <c r="AZ77" s="30">
        <f>$I$5*$AZ$5</f>
        <v>0</v>
      </c>
      <c r="BA77" s="30">
        <f>$I$5*$BA$5</f>
        <v>0</v>
      </c>
      <c r="BB77" s="30">
        <f>$I$5*$BB$5</f>
        <v>0</v>
      </c>
      <c r="BC77" s="30">
        <f>$I$5*$BC$5</f>
        <v>0</v>
      </c>
      <c r="BD77" s="30">
        <f>$I$5*$BD$5</f>
        <v>0</v>
      </c>
    </row>
    <row r="78" spans="1:56" ht="11.25" customHeight="1" x14ac:dyDescent="0.25">
      <c r="A78" s="9" t="s">
        <v>39</v>
      </c>
      <c r="B78" s="9" t="s">
        <v>1128</v>
      </c>
      <c r="C78" s="9" t="s">
        <v>1129</v>
      </c>
      <c r="D78" s="9" t="s">
        <v>1130</v>
      </c>
      <c r="E78" s="9" t="s">
        <v>1131</v>
      </c>
      <c r="F78" s="9" t="s">
        <v>1132</v>
      </c>
      <c r="G78" s="9" t="s">
        <v>1134</v>
      </c>
      <c r="L78" s="30">
        <f>$I$6*$L$6</f>
        <v>0</v>
      </c>
      <c r="M78" s="30">
        <f>$I$6*$M$6</f>
        <v>0</v>
      </c>
      <c r="N78" s="30">
        <f ca="1">$I$6*$N$6</f>
        <v>0</v>
      </c>
      <c r="O78" s="30">
        <f>$I$6*$O$6</f>
        <v>0</v>
      </c>
      <c r="P78" s="30">
        <f>$I$6*$P$6</f>
        <v>0</v>
      </c>
      <c r="Q78" s="30">
        <f>$I$6*$Q$6</f>
        <v>0</v>
      </c>
      <c r="R78" s="30">
        <f>$I$6*$R$6</f>
        <v>0</v>
      </c>
      <c r="S78" s="30">
        <f>$I$6*$S$6</f>
        <v>0</v>
      </c>
      <c r="T78" s="30">
        <f>$I$6*$T$6</f>
        <v>5024368.3620257732</v>
      </c>
      <c r="U78" s="30">
        <f>$I$6*$U$6</f>
        <v>836138.97374138935</v>
      </c>
      <c r="V78" s="30">
        <f>$I$6*$V$6</f>
        <v>578833.25804334565</v>
      </c>
      <c r="W78" s="30">
        <f>$I$6*$W$6</f>
        <v>0</v>
      </c>
      <c r="X78" s="30">
        <f>$I$6*$X$6</f>
        <v>0</v>
      </c>
      <c r="Y78" s="30">
        <f>$I$6*$Y$6</f>
        <v>0</v>
      </c>
      <c r="Z78" s="30">
        <f>$I$6*$Z$6</f>
        <v>0</v>
      </c>
      <c r="AA78" s="30">
        <f>$I$6*$AA$6</f>
        <v>2193284.2674474474</v>
      </c>
      <c r="AB78" s="30">
        <f ca="1">$I$6*$AB$6</f>
        <v>-619694.40790739795</v>
      </c>
      <c r="AC78" s="30">
        <f ca="1">$I$6*$AC$6</f>
        <v>0</v>
      </c>
      <c r="AD78" s="30">
        <f>$I$6*$AD$6</f>
        <v>0</v>
      </c>
      <c r="AE78" s="30">
        <f>$I$6*$AE$6</f>
        <v>0</v>
      </c>
      <c r="AF78" s="30">
        <f ca="1">$I$6*$AF$6</f>
        <v>0</v>
      </c>
      <c r="AG78" s="30">
        <f ca="1">$I$6*$AG$6</f>
        <v>0</v>
      </c>
      <c r="AI78" s="30">
        <f>$I$6*$AI$6</f>
        <v>0</v>
      </c>
      <c r="AJ78" s="30">
        <f>$I$6*$AJ$6</f>
        <v>0</v>
      </c>
      <c r="AK78" s="30">
        <f>$I$6*$AK$6</f>
        <v>0</v>
      </c>
      <c r="AL78" s="30">
        <f>$I$6*$AL$6</f>
        <v>0</v>
      </c>
      <c r="AM78" s="30">
        <f>$I$6*$AM$6</f>
        <v>0</v>
      </c>
      <c r="AN78" s="30">
        <f>$I$6*$AN$6</f>
        <v>0</v>
      </c>
      <c r="AO78" s="30">
        <f>$I$6*$AO$6</f>
        <v>0</v>
      </c>
      <c r="AP78" s="30">
        <f>$I$6*$AP$6</f>
        <v>0</v>
      </c>
      <c r="AQ78" s="30">
        <f>$I$6*$AQ$6</f>
        <v>5162551.2408406464</v>
      </c>
      <c r="AR78" s="30">
        <f>$I$6*$AR$6</f>
        <v>1284448.3697317082</v>
      </c>
      <c r="AS78" s="30">
        <f>$I$6*$AS$6</f>
        <v>393169.80121951032</v>
      </c>
      <c r="AT78" s="30">
        <f>$I$6*$AT$6</f>
        <v>0</v>
      </c>
      <c r="AU78" s="30">
        <f>$I$6*$AU$6</f>
        <v>0</v>
      </c>
      <c r="AV78" s="30">
        <f>$I$6*$AV$6</f>
        <v>0</v>
      </c>
      <c r="AW78" s="30">
        <f>$I$6*$AW$6</f>
        <v>0</v>
      </c>
      <c r="AX78" s="30">
        <f>$I$6*$AX$6</f>
        <v>1651269.4325227689</v>
      </c>
      <c r="AY78" s="30">
        <f>$I$6*$AY$6</f>
        <v>-4515.2043204545907</v>
      </c>
      <c r="AZ78" s="30">
        <f>$I$6*$AZ$6</f>
        <v>0</v>
      </c>
      <c r="BA78" s="30">
        <f>$I$6*$BA$6</f>
        <v>0</v>
      </c>
      <c r="BB78" s="30">
        <f>$I$6*$BB$6</f>
        <v>0</v>
      </c>
      <c r="BC78" s="30">
        <f>$I$6*$BC$6</f>
        <v>0</v>
      </c>
      <c r="BD78" s="30">
        <f>$I$6*$BD$6</f>
        <v>0</v>
      </c>
    </row>
    <row r="79" spans="1:56" ht="11.25" customHeight="1" x14ac:dyDescent="0.25">
      <c r="A79" s="9" t="s">
        <v>39</v>
      </c>
      <c r="B79" s="9" t="s">
        <v>1128</v>
      </c>
      <c r="C79" s="9" t="s">
        <v>1129</v>
      </c>
      <c r="D79" s="9" t="s">
        <v>1130</v>
      </c>
      <c r="E79" s="9" t="s">
        <v>1131</v>
      </c>
      <c r="F79" s="9" t="s">
        <v>1132</v>
      </c>
      <c r="G79" s="9" t="s">
        <v>1135</v>
      </c>
      <c r="L79" s="30">
        <f>$I$7*$L$7</f>
        <v>558198.93047030806</v>
      </c>
      <c r="M79" s="30">
        <f>$I$7*$M$7</f>
        <v>37583.291561330741</v>
      </c>
      <c r="N79" s="30">
        <f ca="1">$I$7*$N$7</f>
        <v>45582.109612380147</v>
      </c>
      <c r="O79" s="30">
        <f>$I$7*$O$7</f>
        <v>5187.6864360801592</v>
      </c>
      <c r="P79" s="30">
        <f>$I$7*$P$7</f>
        <v>0</v>
      </c>
      <c r="Q79" s="30">
        <f>$I$7*$Q$7</f>
        <v>5431643.7307684999</v>
      </c>
      <c r="R79" s="30">
        <f>$I$7*$R$7</f>
        <v>3568461.0864610989</v>
      </c>
      <c r="S79" s="30">
        <f>$I$7*$S$7</f>
        <v>0</v>
      </c>
      <c r="T79" s="30">
        <f>$I$7*$T$7</f>
        <v>0</v>
      </c>
      <c r="U79" s="30">
        <f>$I$7*$U$7</f>
        <v>0</v>
      </c>
      <c r="V79" s="30">
        <f>$I$7*$V$7</f>
        <v>0</v>
      </c>
      <c r="W79" s="30">
        <f>$I$7*$W$7</f>
        <v>0</v>
      </c>
      <c r="X79" s="30">
        <f>$I$7*$X$7</f>
        <v>0</v>
      </c>
      <c r="Y79" s="30">
        <f>$I$7*$Y$7</f>
        <v>0</v>
      </c>
      <c r="Z79" s="30">
        <f>$I$7*$Z$7</f>
        <v>0</v>
      </c>
      <c r="AA79" s="30">
        <f>$I$7*$AA$7</f>
        <v>0</v>
      </c>
      <c r="AB79" s="30">
        <f ca="1">$I$7*$AB$7</f>
        <v>-881903.79953375983</v>
      </c>
      <c r="AC79" s="30">
        <f ca="1">$I$7*$AC$7</f>
        <v>0</v>
      </c>
      <c r="AD79" s="30">
        <f>$I$7*$AD$7</f>
        <v>999186.95089954021</v>
      </c>
      <c r="AE79" s="30">
        <f>$I$7*$AE$7</f>
        <v>35574.695519061846</v>
      </c>
      <c r="AF79" s="30">
        <f ca="1">$I$7*$AF$7</f>
        <v>483729.64608698746</v>
      </c>
      <c r="AG79" s="30">
        <f ca="1">$I$7*$AG$7</f>
        <v>0</v>
      </c>
      <c r="AI79" s="30">
        <f>$I$7*$AI$7</f>
        <v>0</v>
      </c>
      <c r="AJ79" s="30">
        <f>$I$7*$AJ$7</f>
        <v>37498.436396017867</v>
      </c>
      <c r="AK79" s="30">
        <f>$I$7*$AK$7</f>
        <v>45348.984200475934</v>
      </c>
      <c r="AL79" s="30">
        <f>$I$7*$AL$7</f>
        <v>5828.6009191290814</v>
      </c>
      <c r="AM79" s="30">
        <f>$I$7*$AM$7</f>
        <v>0</v>
      </c>
      <c r="AN79" s="30">
        <f>$I$7*$AN$7</f>
        <v>3453000.6160502736</v>
      </c>
      <c r="AO79" s="30">
        <f>$I$7*$AO$7</f>
        <v>2455837.396568561</v>
      </c>
      <c r="AP79" s="30">
        <f>$I$7*$AP$7</f>
        <v>0</v>
      </c>
      <c r="AQ79" s="30">
        <f>$I$7*$AQ$7</f>
        <v>0</v>
      </c>
      <c r="AR79" s="30">
        <f>$I$7*$AR$7</f>
        <v>0</v>
      </c>
      <c r="AS79" s="30">
        <f>$I$7*$AS$7</f>
        <v>0</v>
      </c>
      <c r="AT79" s="30">
        <f>$I$7*$AT$7</f>
        <v>0</v>
      </c>
      <c r="AU79" s="30">
        <f>$I$7*$AU$7</f>
        <v>0</v>
      </c>
      <c r="AV79" s="30">
        <f>$I$7*$AV$7</f>
        <v>0</v>
      </c>
      <c r="AW79" s="30">
        <f>$I$7*$AW$7</f>
        <v>0</v>
      </c>
      <c r="AX79" s="30">
        <f>$I$7*$AX$7</f>
        <v>0</v>
      </c>
      <c r="AY79" s="30">
        <f>$I$7*$AY$7</f>
        <v>-4196.0871937438369</v>
      </c>
      <c r="AZ79" s="30">
        <f>$I$7*$AZ$7</f>
        <v>0</v>
      </c>
      <c r="BA79" s="30">
        <f>$I$7*$BA$7</f>
        <v>866236.00980006298</v>
      </c>
      <c r="BB79" s="30">
        <f>$I$7*$BB$7</f>
        <v>29430.887054738098</v>
      </c>
      <c r="BC79" s="30">
        <f>$I$7*$BC$7</f>
        <v>482029.57196722226</v>
      </c>
      <c r="BD79" s="30">
        <f>$I$7*$BD$7</f>
        <v>0</v>
      </c>
    </row>
    <row r="80" spans="1:56" ht="11.25" customHeight="1" x14ac:dyDescent="0.25">
      <c r="A80" s="9" t="s">
        <v>39</v>
      </c>
      <c r="B80" s="9" t="s">
        <v>1128</v>
      </c>
      <c r="C80" s="9" t="s">
        <v>1129</v>
      </c>
      <c r="D80" s="9" t="s">
        <v>1130</v>
      </c>
      <c r="E80" s="9" t="s">
        <v>1136</v>
      </c>
      <c r="F80" s="9" t="s">
        <v>1137</v>
      </c>
      <c r="G80" s="9" t="s">
        <v>1138</v>
      </c>
      <c r="L80" s="30">
        <f>$I$8*$L$8</f>
        <v>0</v>
      </c>
      <c r="M80" s="30">
        <f>$I$8*$M$8</f>
        <v>19095.640230895035</v>
      </c>
      <c r="N80" s="30">
        <f ca="1">$I$8*$N$8</f>
        <v>21471.076730358011</v>
      </c>
      <c r="O80" s="30">
        <f>$I$8*$O$8</f>
        <v>2635.8040953497898</v>
      </c>
      <c r="P80" s="30">
        <f>$I$8*$P$8</f>
        <v>0</v>
      </c>
      <c r="Q80" s="30">
        <f>$I$8*$Q$8</f>
        <v>0</v>
      </c>
      <c r="R80" s="30">
        <f>$I$8*$R$8</f>
        <v>0</v>
      </c>
      <c r="S80" s="30">
        <f>$I$8*$S$8</f>
        <v>0</v>
      </c>
      <c r="T80" s="30">
        <f>$I$8*$T$8</f>
        <v>0</v>
      </c>
      <c r="U80" s="30">
        <f>$I$8*$U$8</f>
        <v>0</v>
      </c>
      <c r="V80" s="30">
        <f>$I$8*$V$8</f>
        <v>0</v>
      </c>
      <c r="W80" s="30">
        <f>$I$8*$W$8</f>
        <v>0</v>
      </c>
      <c r="X80" s="30">
        <f>$I$8*$X$8</f>
        <v>0</v>
      </c>
      <c r="Y80" s="30">
        <f>$I$8*$Y$8</f>
        <v>0</v>
      </c>
      <c r="Z80" s="30">
        <f>$I$8*$Z$8</f>
        <v>0</v>
      </c>
      <c r="AA80" s="30">
        <f>$I$8*$AA$8</f>
        <v>0</v>
      </c>
      <c r="AB80" s="30">
        <f ca="1">$I$8*$AB$8</f>
        <v>-68102.741170274225</v>
      </c>
      <c r="AC80" s="30">
        <f ca="1">$I$8*$AC$8</f>
        <v>0</v>
      </c>
      <c r="AD80" s="30">
        <f>$I$8*$AD$8</f>
        <v>507675.45217923471</v>
      </c>
      <c r="AE80" s="30">
        <f>$I$8*$AE$8</f>
        <v>18075.095573975465</v>
      </c>
      <c r="AF80" s="30">
        <f ca="1">$I$8*$AF$8</f>
        <v>245777.49598173378</v>
      </c>
      <c r="AG80" s="30">
        <f ca="1">$I$8*$AG$8</f>
        <v>0</v>
      </c>
      <c r="AI80" s="30">
        <f>$I$8*$AI$8</f>
        <v>0</v>
      </c>
      <c r="AJ80" s="30">
        <f>$I$8*$AJ$8</f>
        <v>19052.526292726434</v>
      </c>
      <c r="AK80" s="30">
        <f>$I$8*$AK$8</f>
        <v>21356.279885922733</v>
      </c>
      <c r="AL80" s="30">
        <f>$I$8*$AL$8</f>
        <v>2961.4454077159639</v>
      </c>
      <c r="AM80" s="30">
        <f>$I$8*$AM$8</f>
        <v>0</v>
      </c>
      <c r="AN80" s="30">
        <f>$I$8*$AN$8</f>
        <v>0</v>
      </c>
      <c r="AO80" s="30">
        <f>$I$8*$AO$8</f>
        <v>0</v>
      </c>
      <c r="AP80" s="30">
        <f>$I$8*$AP$8</f>
        <v>0</v>
      </c>
      <c r="AQ80" s="30">
        <f>$I$8*$AQ$8</f>
        <v>0</v>
      </c>
      <c r="AR80" s="30">
        <f>$I$8*$AR$8</f>
        <v>0</v>
      </c>
      <c r="AS80" s="30">
        <f>$I$8*$AS$8</f>
        <v>0</v>
      </c>
      <c r="AT80" s="30">
        <f>$I$8*$AT$8</f>
        <v>0</v>
      </c>
      <c r="AU80" s="30">
        <f>$I$8*$AU$8</f>
        <v>0</v>
      </c>
      <c r="AV80" s="30">
        <f>$I$8*$AV$8</f>
        <v>0</v>
      </c>
      <c r="AW80" s="30">
        <f>$I$8*$AW$8</f>
        <v>0</v>
      </c>
      <c r="AX80" s="30">
        <f>$I$8*$AX$8</f>
        <v>0</v>
      </c>
      <c r="AY80" s="30">
        <f>$I$8*$AY$8</f>
        <v>-406.21571166537569</v>
      </c>
      <c r="AZ80" s="30">
        <f>$I$8*$AZ$8</f>
        <v>0</v>
      </c>
      <c r="BA80" s="30">
        <f>$I$8*$BA$8</f>
        <v>440124.60088001873</v>
      </c>
      <c r="BB80" s="30">
        <f>$I$8*$BB$8</f>
        <v>14953.496820688939</v>
      </c>
      <c r="BC80" s="30">
        <f>$I$8*$BC$8</f>
        <v>244913.70778202501</v>
      </c>
      <c r="BD80" s="30">
        <f>$I$8*$BD$8</f>
        <v>0</v>
      </c>
    </row>
    <row r="81" spans="1:56" ht="11.25" customHeight="1" x14ac:dyDescent="0.25">
      <c r="A81" s="9" t="s">
        <v>39</v>
      </c>
      <c r="B81" s="9" t="s">
        <v>1139</v>
      </c>
      <c r="C81" s="9" t="s">
        <v>1140</v>
      </c>
      <c r="D81" s="9" t="s">
        <v>1141</v>
      </c>
      <c r="E81" s="9" t="s">
        <v>1142</v>
      </c>
      <c r="F81" s="9" t="s">
        <v>1143</v>
      </c>
      <c r="G81" s="9" t="s">
        <v>1144</v>
      </c>
      <c r="L81" s="30">
        <f>$I$9*$L$9</f>
        <v>0</v>
      </c>
      <c r="M81" s="30">
        <f>$I$9*$M$9</f>
        <v>0</v>
      </c>
      <c r="N81" s="30">
        <f ca="1">$I$9*$N$9</f>
        <v>0</v>
      </c>
      <c r="O81" s="30">
        <f>$I$9*$O$9</f>
        <v>0</v>
      </c>
      <c r="P81" s="30">
        <f>$I$9*$P$9</f>
        <v>0</v>
      </c>
      <c r="Q81" s="30">
        <f>$I$9*$Q$9</f>
        <v>0</v>
      </c>
      <c r="R81" s="30">
        <f>$I$9*$R$9</f>
        <v>0</v>
      </c>
      <c r="S81" s="30">
        <f>$I$9*$S$9</f>
        <v>0</v>
      </c>
      <c r="T81" s="30">
        <f>$I$9*$T$9</f>
        <v>0</v>
      </c>
      <c r="U81" s="30">
        <f>$I$9*$U$9</f>
        <v>0</v>
      </c>
      <c r="V81" s="30">
        <f>$I$9*$V$9</f>
        <v>0</v>
      </c>
      <c r="W81" s="30">
        <f>$I$9*$W$9</f>
        <v>0</v>
      </c>
      <c r="X81" s="30">
        <f>$I$9*$X$9</f>
        <v>0</v>
      </c>
      <c r="Y81" s="30">
        <f>$I$9*$Y$9</f>
        <v>0</v>
      </c>
      <c r="Z81" s="30">
        <f>$I$9*$Z$9</f>
        <v>0</v>
      </c>
      <c r="AA81" s="30">
        <f>$I$9*$AA$9</f>
        <v>0</v>
      </c>
      <c r="AB81" s="30">
        <f>$I$9*$AB$9</f>
        <v>0</v>
      </c>
      <c r="AC81" s="30">
        <f ca="1">$I$9*$AC$9</f>
        <v>0</v>
      </c>
      <c r="AD81" s="30">
        <f>$I$9*$AD$9</f>
        <v>0</v>
      </c>
      <c r="AE81" s="30">
        <f>$I$9*$AE$9</f>
        <v>0</v>
      </c>
      <c r="AF81" s="30">
        <f ca="1">$I$9*$AF$9</f>
        <v>0</v>
      </c>
      <c r="AG81" s="30">
        <f ca="1">$I$9*$AG$9</f>
        <v>0</v>
      </c>
      <c r="AI81" s="30">
        <f>$I$9*$AI$9</f>
        <v>0</v>
      </c>
      <c r="AJ81" s="30">
        <f>$I$9*$AJ$9</f>
        <v>0</v>
      </c>
      <c r="AK81" s="30">
        <f>$I$9*$AK$9</f>
        <v>0</v>
      </c>
      <c r="AL81" s="30">
        <f>$I$9*$AL$9</f>
        <v>0</v>
      </c>
      <c r="AM81" s="30">
        <f>$I$9*$AM$9</f>
        <v>0</v>
      </c>
      <c r="AN81" s="30">
        <f>$I$9*$AN$9</f>
        <v>0</v>
      </c>
      <c r="AO81" s="30">
        <f>$I$9*$AO$9</f>
        <v>0</v>
      </c>
      <c r="AP81" s="30">
        <f>$I$9*$AP$9</f>
        <v>0</v>
      </c>
      <c r="AQ81" s="30">
        <f>$I$9*$AQ$9</f>
        <v>0</v>
      </c>
      <c r="AR81" s="30">
        <f>$I$9*$AR$9</f>
        <v>0</v>
      </c>
      <c r="AS81" s="30">
        <f>$I$9*$AS$9</f>
        <v>0</v>
      </c>
      <c r="AT81" s="30">
        <f>$I$9*$AT$9</f>
        <v>0</v>
      </c>
      <c r="AU81" s="30">
        <f>$I$9*$AU$9</f>
        <v>0</v>
      </c>
      <c r="AV81" s="30">
        <f>$I$9*$AV$9</f>
        <v>0</v>
      </c>
      <c r="AW81" s="30">
        <f>$I$9*$AW$9</f>
        <v>0</v>
      </c>
      <c r="AX81" s="30">
        <f>$I$9*$AX$9</f>
        <v>0</v>
      </c>
      <c r="AY81" s="30">
        <f>$I$9*$AY$9</f>
        <v>0</v>
      </c>
      <c r="AZ81" s="30">
        <f>$I$9*$AZ$9</f>
        <v>0</v>
      </c>
      <c r="BA81" s="30">
        <f>$I$9*$BA$9</f>
        <v>0</v>
      </c>
      <c r="BB81" s="30">
        <f>$I$9*$BB$9</f>
        <v>0</v>
      </c>
      <c r="BC81" s="30">
        <f>$I$9*$BC$9</f>
        <v>0</v>
      </c>
      <c r="BD81" s="30">
        <f>$I$9*$BD$9</f>
        <v>0</v>
      </c>
    </row>
    <row r="82" spans="1:56" ht="11.25" customHeight="1" x14ac:dyDescent="0.25">
      <c r="A82" s="9" t="s">
        <v>39</v>
      </c>
      <c r="B82" s="9" t="s">
        <v>1139</v>
      </c>
      <c r="C82" s="9" t="s">
        <v>1140</v>
      </c>
      <c r="D82" s="9" t="s">
        <v>1141</v>
      </c>
      <c r="E82" s="9" t="s">
        <v>1142</v>
      </c>
      <c r="F82" s="9" t="s">
        <v>1143</v>
      </c>
      <c r="G82" s="9" t="s">
        <v>1145</v>
      </c>
      <c r="L82" s="30">
        <f>$I$10*$L$10</f>
        <v>0</v>
      </c>
      <c r="M82" s="30">
        <f>$I$10*$M$10</f>
        <v>0</v>
      </c>
      <c r="N82" s="30">
        <f ca="1">$I$10*$N$10</f>
        <v>0</v>
      </c>
      <c r="O82" s="30">
        <f>$I$10*$O$10</f>
        <v>0</v>
      </c>
      <c r="P82" s="30">
        <f>$I$10*$P$10</f>
        <v>0</v>
      </c>
      <c r="Q82" s="30">
        <f>$I$10*$Q$10</f>
        <v>0</v>
      </c>
      <c r="R82" s="30">
        <f>$I$10*$R$10</f>
        <v>0</v>
      </c>
      <c r="S82" s="30">
        <f>$I$10*$S$10</f>
        <v>0</v>
      </c>
      <c r="T82" s="30">
        <f>$I$10*$T$10</f>
        <v>0</v>
      </c>
      <c r="U82" s="30">
        <f>$I$10*$U$10</f>
        <v>0</v>
      </c>
      <c r="V82" s="30">
        <f>$I$10*$V$10</f>
        <v>0</v>
      </c>
      <c r="W82" s="30">
        <f>$I$10*$W$10</f>
        <v>0</v>
      </c>
      <c r="X82" s="30">
        <f>$I$10*$X$10</f>
        <v>0</v>
      </c>
      <c r="Y82" s="30">
        <f>$I$10*$Y$10</f>
        <v>0</v>
      </c>
      <c r="Z82" s="30">
        <f>$I$10*$Z$10</f>
        <v>0</v>
      </c>
      <c r="AA82" s="30">
        <f>$I$10*$AA$10</f>
        <v>0</v>
      </c>
      <c r="AB82" s="30">
        <f>$I$10*$AB$10</f>
        <v>0</v>
      </c>
      <c r="AC82" s="30">
        <f ca="1">$I$10*$AC$10</f>
        <v>0</v>
      </c>
      <c r="AD82" s="30">
        <f>$I$10*$AD$10</f>
        <v>0</v>
      </c>
      <c r="AE82" s="30">
        <f>$I$10*$AE$10</f>
        <v>0</v>
      </c>
      <c r="AF82" s="30">
        <f ca="1">$I$10*$AF$10</f>
        <v>0</v>
      </c>
      <c r="AG82" s="30">
        <f ca="1">$I$10*$AG$10</f>
        <v>0</v>
      </c>
      <c r="AI82" s="30">
        <f>$I$10*$AI$10</f>
        <v>0</v>
      </c>
      <c r="AJ82" s="30">
        <f>$I$10*$AJ$10</f>
        <v>0</v>
      </c>
      <c r="AK82" s="30">
        <f>$I$10*$AK$10</f>
        <v>0</v>
      </c>
      <c r="AL82" s="30">
        <f>$I$10*$AL$10</f>
        <v>0</v>
      </c>
      <c r="AM82" s="30">
        <f>$I$10*$AM$10</f>
        <v>0</v>
      </c>
      <c r="AN82" s="30">
        <f>$I$10*$AN$10</f>
        <v>0</v>
      </c>
      <c r="AO82" s="30">
        <f>$I$10*$AO$10</f>
        <v>0</v>
      </c>
      <c r="AP82" s="30">
        <f>$I$10*$AP$10</f>
        <v>0</v>
      </c>
      <c r="AQ82" s="30">
        <f>$I$10*$AQ$10</f>
        <v>0</v>
      </c>
      <c r="AR82" s="30">
        <f>$I$10*$AR$10</f>
        <v>0</v>
      </c>
      <c r="AS82" s="30">
        <f>$I$10*$AS$10</f>
        <v>0</v>
      </c>
      <c r="AT82" s="30">
        <f>$I$10*$AT$10</f>
        <v>0</v>
      </c>
      <c r="AU82" s="30">
        <f>$I$10*$AU$10</f>
        <v>0</v>
      </c>
      <c r="AV82" s="30">
        <f>$I$10*$AV$10</f>
        <v>0</v>
      </c>
      <c r="AW82" s="30">
        <f>$I$10*$AW$10</f>
        <v>0</v>
      </c>
      <c r="AX82" s="30">
        <f>$I$10*$AX$10</f>
        <v>0</v>
      </c>
      <c r="AY82" s="30">
        <f>$I$10*$AY$10</f>
        <v>0</v>
      </c>
      <c r="AZ82" s="30">
        <f>$I$10*$AZ$10</f>
        <v>0</v>
      </c>
      <c r="BA82" s="30">
        <f>$I$10*$BA$10</f>
        <v>0</v>
      </c>
      <c r="BB82" s="30">
        <f>$I$10*$BB$10</f>
        <v>0</v>
      </c>
      <c r="BC82" s="30">
        <f>$I$10*$BC$10</f>
        <v>0</v>
      </c>
      <c r="BD82" s="30">
        <f>$I$10*$BD$10</f>
        <v>0</v>
      </c>
    </row>
    <row r="83" spans="1:56" ht="11.25" customHeight="1" x14ac:dyDescent="0.25">
      <c r="A83" s="9" t="s">
        <v>39</v>
      </c>
      <c r="B83" s="9" t="s">
        <v>1139</v>
      </c>
      <c r="C83" s="9" t="s">
        <v>1140</v>
      </c>
      <c r="D83" s="9" t="s">
        <v>1141</v>
      </c>
      <c r="E83" s="9" t="s">
        <v>1142</v>
      </c>
      <c r="F83" s="9" t="s">
        <v>1143</v>
      </c>
      <c r="G83" s="9" t="s">
        <v>1146</v>
      </c>
      <c r="L83" s="30">
        <f>$I$11*$L$11</f>
        <v>0</v>
      </c>
      <c r="M83" s="30">
        <f>$I$11*$M$11</f>
        <v>0</v>
      </c>
      <c r="N83" s="30">
        <f ca="1">$I$11*$N$11</f>
        <v>0</v>
      </c>
      <c r="O83" s="30">
        <f>$I$11*$O$11</f>
        <v>0</v>
      </c>
      <c r="P83" s="30">
        <f>$I$11*$P$11</f>
        <v>0</v>
      </c>
      <c r="Q83" s="30">
        <f>$I$11*$Q$11</f>
        <v>0</v>
      </c>
      <c r="R83" s="30">
        <f>$I$11*$R$11</f>
        <v>0</v>
      </c>
      <c r="S83" s="30">
        <f>$I$11*$S$11</f>
        <v>0</v>
      </c>
      <c r="T83" s="30">
        <f>$I$11*$T$11</f>
        <v>0</v>
      </c>
      <c r="U83" s="30">
        <f>$I$11*$U$11</f>
        <v>0</v>
      </c>
      <c r="V83" s="30">
        <f>$I$11*$V$11</f>
        <v>0</v>
      </c>
      <c r="W83" s="30">
        <f>$I$11*$W$11</f>
        <v>0</v>
      </c>
      <c r="X83" s="30">
        <f>$I$11*$X$11</f>
        <v>0</v>
      </c>
      <c r="Y83" s="30">
        <f>$I$11*$Y$11</f>
        <v>0</v>
      </c>
      <c r="Z83" s="30">
        <f>$I$11*$Z$11</f>
        <v>0</v>
      </c>
      <c r="AA83" s="30">
        <f>$I$11*$AA$11</f>
        <v>0</v>
      </c>
      <c r="AB83" s="30">
        <f>$I$11*$AB$11</f>
        <v>0</v>
      </c>
      <c r="AC83" s="30">
        <f ca="1">$I$11*$AC$11</f>
        <v>0</v>
      </c>
      <c r="AD83" s="30">
        <f>$I$11*$AD$11</f>
        <v>0</v>
      </c>
      <c r="AE83" s="30">
        <f>$I$11*$AE$11</f>
        <v>0</v>
      </c>
      <c r="AF83" s="30">
        <f ca="1">$I$11*$AF$11</f>
        <v>0</v>
      </c>
      <c r="AG83" s="30">
        <f ca="1">$I$11*$AG$11</f>
        <v>0</v>
      </c>
      <c r="AI83" s="30">
        <f>$I$11*$AI$11</f>
        <v>0</v>
      </c>
      <c r="AJ83" s="30">
        <f>$I$11*$AJ$11</f>
        <v>0</v>
      </c>
      <c r="AK83" s="30">
        <f>$I$11*$AK$11</f>
        <v>0</v>
      </c>
      <c r="AL83" s="30">
        <f>$I$11*$AL$11</f>
        <v>0</v>
      </c>
      <c r="AM83" s="30">
        <f>$I$11*$AM$11</f>
        <v>0</v>
      </c>
      <c r="AN83" s="30">
        <f>$I$11*$AN$11</f>
        <v>0</v>
      </c>
      <c r="AO83" s="30">
        <f>$I$11*$AO$11</f>
        <v>0</v>
      </c>
      <c r="AP83" s="30">
        <f>$I$11*$AP$11</f>
        <v>0</v>
      </c>
      <c r="AQ83" s="30">
        <f>$I$11*$AQ$11</f>
        <v>0</v>
      </c>
      <c r="AR83" s="30">
        <f>$I$11*$AR$11</f>
        <v>0</v>
      </c>
      <c r="AS83" s="30">
        <f>$I$11*$AS$11</f>
        <v>0</v>
      </c>
      <c r="AT83" s="30">
        <f>$I$11*$AT$11</f>
        <v>0</v>
      </c>
      <c r="AU83" s="30">
        <f>$I$11*$AU$11</f>
        <v>0</v>
      </c>
      <c r="AV83" s="30">
        <f>$I$11*$AV$11</f>
        <v>0</v>
      </c>
      <c r="AW83" s="30">
        <f>$I$11*$AW$11</f>
        <v>0</v>
      </c>
      <c r="AX83" s="30">
        <f>$I$11*$AX$11</f>
        <v>0</v>
      </c>
      <c r="AY83" s="30">
        <f>$I$11*$AY$11</f>
        <v>0</v>
      </c>
      <c r="AZ83" s="30">
        <f>$I$11*$AZ$11</f>
        <v>0</v>
      </c>
      <c r="BA83" s="30">
        <f>$I$11*$BA$11</f>
        <v>0</v>
      </c>
      <c r="BB83" s="30">
        <f>$I$11*$BB$11</f>
        <v>0</v>
      </c>
      <c r="BC83" s="30">
        <f>$I$11*$BC$11</f>
        <v>0</v>
      </c>
      <c r="BD83" s="30">
        <f>$I$11*$BD$11</f>
        <v>0</v>
      </c>
    </row>
    <row r="84" spans="1:56" ht="11.25" customHeight="1" x14ac:dyDescent="0.25">
      <c r="A84" s="9" t="s">
        <v>39</v>
      </c>
      <c r="B84" s="9" t="s">
        <v>1147</v>
      </c>
      <c r="C84" s="9" t="s">
        <v>1148</v>
      </c>
      <c r="D84" s="9" t="s">
        <v>1149</v>
      </c>
      <c r="E84" s="9" t="s">
        <v>1150</v>
      </c>
      <c r="F84" s="9" t="s">
        <v>1151</v>
      </c>
      <c r="G84" s="9" t="s">
        <v>1152</v>
      </c>
      <c r="L84" s="30">
        <f>$I$12*$L$12</f>
        <v>0</v>
      </c>
      <c r="M84" s="30">
        <f>$I$12*$M$12</f>
        <v>114512.84169362565</v>
      </c>
      <c r="N84" s="30">
        <f ca="1">$I$12*$N$12</f>
        <v>44729.131376822246</v>
      </c>
      <c r="O84" s="30">
        <f>$I$12*$O$12</f>
        <v>4932.5268639699671</v>
      </c>
      <c r="P84" s="30">
        <f>$I$12*$P$12</f>
        <v>0</v>
      </c>
      <c r="Q84" s="30">
        <f>$I$12*$Q$12</f>
        <v>0</v>
      </c>
      <c r="R84" s="30">
        <f>$I$12*$R$12</f>
        <v>0</v>
      </c>
      <c r="S84" s="30">
        <f>$I$12*$S$12</f>
        <v>0</v>
      </c>
      <c r="T84" s="30">
        <f>$I$12*$T$12</f>
        <v>0</v>
      </c>
      <c r="U84" s="30">
        <f>$I$12*$U$12</f>
        <v>0</v>
      </c>
      <c r="V84" s="30">
        <f>$I$12*$V$12</f>
        <v>296721.34398308449</v>
      </c>
      <c r="W84" s="30">
        <f>$I$12*$W$12</f>
        <v>0</v>
      </c>
      <c r="X84" s="30">
        <f>$I$12*$X$12</f>
        <v>0</v>
      </c>
      <c r="Y84" s="30">
        <f>$I$12*$Y$12</f>
        <v>0</v>
      </c>
      <c r="Z84" s="30">
        <f>$I$12*$Z$12</f>
        <v>0</v>
      </c>
      <c r="AA84" s="30">
        <f>$I$12*$AA$12</f>
        <v>8049240.5984243704</v>
      </c>
      <c r="AB84" s="30">
        <f ca="1">$I$12*$AB$12</f>
        <v>-750671.27888234495</v>
      </c>
      <c r="AC84" s="30">
        <f ca="1">$I$12*$AC$12</f>
        <v>0</v>
      </c>
      <c r="AD84" s="30">
        <f>$I$12*$AD$12</f>
        <v>755454.91570722801</v>
      </c>
      <c r="AE84" s="30">
        <f>$I$12*$AE$12</f>
        <v>163649.27945177857</v>
      </c>
      <c r="AF84" s="30">
        <f ca="1">$I$12*$AF$12</f>
        <v>0</v>
      </c>
      <c r="AG84" s="30">
        <f ca="1">$I$12*$AG$12</f>
        <v>0</v>
      </c>
      <c r="AI84" s="30">
        <f>$I$12*$AI$12</f>
        <v>0</v>
      </c>
      <c r="AJ84" s="30">
        <f>$I$12*$AJ$12</f>
        <v>105328.17526480906</v>
      </c>
      <c r="AK84" s="30">
        <f>$I$12*$AK$12</f>
        <v>38991.568441221702</v>
      </c>
      <c r="AL84" s="30">
        <f>$I$12*$AL$12</f>
        <v>4601.1788514941563</v>
      </c>
      <c r="AM84" s="30">
        <f>$I$12*$AM$12</f>
        <v>0</v>
      </c>
      <c r="AN84" s="30">
        <f>$I$12*$AN$12</f>
        <v>0</v>
      </c>
      <c r="AO84" s="30">
        <f>$I$12*$AO$12</f>
        <v>0</v>
      </c>
      <c r="AP84" s="30">
        <f>$I$12*$AP$12</f>
        <v>0</v>
      </c>
      <c r="AQ84" s="30">
        <f>$I$12*$AQ$12</f>
        <v>0</v>
      </c>
      <c r="AR84" s="30">
        <f>$I$12*$AR$12</f>
        <v>0</v>
      </c>
      <c r="AS84" s="30">
        <f>$I$12*$AS$12</f>
        <v>258534.45581263112</v>
      </c>
      <c r="AT84" s="30">
        <f>$I$12*$AT$12</f>
        <v>0</v>
      </c>
      <c r="AU84" s="30">
        <f>$I$12*$AU$12</f>
        <v>0</v>
      </c>
      <c r="AV84" s="30">
        <f>$I$12*$AV$12</f>
        <v>0</v>
      </c>
      <c r="AW84" s="30">
        <f>$I$12*$AW$12</f>
        <v>0</v>
      </c>
      <c r="AX84" s="30">
        <f>$I$12*$AX$12</f>
        <v>5863363.1540233744</v>
      </c>
      <c r="AY84" s="30">
        <f>$I$12*$AY$12</f>
        <v>-4290.6055284688528</v>
      </c>
      <c r="AZ84" s="30">
        <f>$I$12*$AZ$12</f>
        <v>0</v>
      </c>
      <c r="BA84" s="30">
        <f>$I$12*$BA$12</f>
        <v>659527.82201716641</v>
      </c>
      <c r="BB84" s="30">
        <f>$I$12*$BB$12</f>
        <v>142869.21774871132</v>
      </c>
      <c r="BC84" s="30">
        <f>$I$12*$BC$12</f>
        <v>0</v>
      </c>
      <c r="BD84" s="30">
        <f>$I$12*$BD$12</f>
        <v>0</v>
      </c>
    </row>
    <row r="85" spans="1:56" ht="11.25" customHeight="1" x14ac:dyDescent="0.25">
      <c r="A85" s="9" t="s">
        <v>41</v>
      </c>
      <c r="B85" s="9" t="s">
        <v>1153</v>
      </c>
      <c r="C85" s="9" t="s">
        <v>1154</v>
      </c>
      <c r="D85" s="9" t="s">
        <v>1155</v>
      </c>
      <c r="E85" s="9" t="s">
        <v>1156</v>
      </c>
      <c r="F85" s="9" t="s">
        <v>1157</v>
      </c>
      <c r="G85" s="9" t="s">
        <v>1158</v>
      </c>
      <c r="L85" s="30">
        <f>$I$13*$L$13</f>
        <v>0</v>
      </c>
      <c r="M85" s="30">
        <f>$I$13*$M$13</f>
        <v>0</v>
      </c>
      <c r="N85" s="30">
        <f ca="1">$I$13*$N$13</f>
        <v>0</v>
      </c>
      <c r="O85" s="30">
        <f>$I$13*$O$13</f>
        <v>0</v>
      </c>
      <c r="P85" s="30">
        <f>$I$13*$P$13</f>
        <v>0</v>
      </c>
      <c r="Q85" s="30">
        <f>$I$13*$Q$13</f>
        <v>0</v>
      </c>
      <c r="R85" s="30">
        <f>$I$13*$R$13</f>
        <v>0</v>
      </c>
      <c r="S85" s="30">
        <f>$I$13*$S$13</f>
        <v>0</v>
      </c>
      <c r="T85" s="30">
        <f>$I$13*$T$13</f>
        <v>3797986.2836009986</v>
      </c>
      <c r="U85" s="30">
        <f>$I$13*$U$13</f>
        <v>665466.6980590187</v>
      </c>
      <c r="V85" s="30">
        <f>$I$13*$V$13</f>
        <v>716901.95611752244</v>
      </c>
      <c r="W85" s="30">
        <f>$I$13*$W$13</f>
        <v>0</v>
      </c>
      <c r="X85" s="30">
        <f>$I$13*$X$13</f>
        <v>0</v>
      </c>
      <c r="Y85" s="30">
        <f>$I$13*$Y$13</f>
        <v>0</v>
      </c>
      <c r="Z85" s="30">
        <f>$I$13*$Z$13</f>
        <v>0</v>
      </c>
      <c r="AA85" s="30">
        <f>$I$13*$AA$13</f>
        <v>40897095.931565419</v>
      </c>
      <c r="AB85" s="30">
        <f ca="1">$I$13*$AB$13</f>
        <v>-3590431.8737853826</v>
      </c>
      <c r="AC85" s="30">
        <f ca="1">$I$13*$AC$13</f>
        <v>0</v>
      </c>
      <c r="AD85" s="30">
        <f>$I$13*$AD$13</f>
        <v>0</v>
      </c>
      <c r="AE85" s="30">
        <f>$I$13*$AE$13</f>
        <v>0</v>
      </c>
      <c r="AF85" s="30">
        <f ca="1">$I$13*$AF$13</f>
        <v>0</v>
      </c>
      <c r="AG85" s="30">
        <f ca="1">$I$13*$AG$13</f>
        <v>0</v>
      </c>
      <c r="AI85" s="30">
        <f>$I$13*$AI$13</f>
        <v>0</v>
      </c>
      <c r="AJ85" s="30">
        <f>$I$13*$AJ$13</f>
        <v>0</v>
      </c>
      <c r="AK85" s="30">
        <f>$I$13*$AK$13</f>
        <v>0</v>
      </c>
      <c r="AL85" s="30">
        <f>$I$13*$AL$13</f>
        <v>0</v>
      </c>
      <c r="AM85" s="30">
        <f>$I$13*$AM$13</f>
        <v>0</v>
      </c>
      <c r="AN85" s="30">
        <f>$I$13*$AN$13</f>
        <v>0</v>
      </c>
      <c r="AO85" s="30">
        <f>$I$13*$AO$13</f>
        <v>0</v>
      </c>
      <c r="AP85" s="30">
        <f>$I$13*$AP$13</f>
        <v>0</v>
      </c>
      <c r="AQ85" s="30">
        <f>$I$13*$AQ$13</f>
        <v>3902440.5434307451</v>
      </c>
      <c r="AR85" s="30">
        <f>$I$13*$AR$13</f>
        <v>1022267.4008459988</v>
      </c>
      <c r="AS85" s="30">
        <f>$I$13*$AS$13</f>
        <v>486952.32290798536</v>
      </c>
      <c r="AT85" s="30">
        <f>$I$13*$AT$13</f>
        <v>0</v>
      </c>
      <c r="AU85" s="30">
        <f>$I$13*$AU$13</f>
        <v>0</v>
      </c>
      <c r="AV85" s="30">
        <f>$I$13*$AV$13</f>
        <v>0</v>
      </c>
      <c r="AW85" s="30">
        <f>$I$13*$AW$13</f>
        <v>0</v>
      </c>
      <c r="AX85" s="30">
        <f>$I$13*$AX$13</f>
        <v>30790411.162406839</v>
      </c>
      <c r="AY85" s="30">
        <f>$I$13*$AY$13</f>
        <v>-21829.123487449328</v>
      </c>
      <c r="AZ85" s="30">
        <f>$I$13*$AZ$13</f>
        <v>0</v>
      </c>
      <c r="BA85" s="30">
        <f>$I$13*$BA$13</f>
        <v>0</v>
      </c>
      <c r="BB85" s="30">
        <f>$I$13*$BB$13</f>
        <v>0</v>
      </c>
      <c r="BC85" s="30">
        <f>$I$13*$BC$13</f>
        <v>0</v>
      </c>
      <c r="BD85" s="30">
        <f>$I$13*$BD$13</f>
        <v>0</v>
      </c>
    </row>
    <row r="86" spans="1:56" ht="11.25" customHeight="1" x14ac:dyDescent="0.25">
      <c r="A86" s="9" t="s">
        <v>41</v>
      </c>
      <c r="B86" s="9" t="s">
        <v>1153</v>
      </c>
      <c r="C86" s="9" t="s">
        <v>1154</v>
      </c>
      <c r="D86" s="9" t="s">
        <v>1155</v>
      </c>
      <c r="E86" s="9" t="s">
        <v>1156</v>
      </c>
      <c r="F86" s="9" t="s">
        <v>1157</v>
      </c>
      <c r="G86" s="9" t="s">
        <v>1159</v>
      </c>
      <c r="L86" s="30">
        <f>$I$14*$L$14</f>
        <v>0</v>
      </c>
      <c r="M86" s="30">
        <f>$I$14*$M$14</f>
        <v>0</v>
      </c>
      <c r="N86" s="30">
        <f ca="1">$I$14*$N$14</f>
        <v>0</v>
      </c>
      <c r="O86" s="30">
        <f>$I$14*$O$14</f>
        <v>0</v>
      </c>
      <c r="P86" s="30">
        <f>$I$14*$P$14</f>
        <v>0</v>
      </c>
      <c r="Q86" s="30">
        <f>$I$14*$Q$14</f>
        <v>0</v>
      </c>
      <c r="R86" s="30">
        <f>$I$14*$R$14</f>
        <v>0</v>
      </c>
      <c r="S86" s="30">
        <f>$I$14*$S$14</f>
        <v>0</v>
      </c>
      <c r="T86" s="30">
        <f>$I$14*$T$14</f>
        <v>4656269.037130977</v>
      </c>
      <c r="U86" s="30">
        <f>$I$14*$U$14</f>
        <v>826168.42625061667</v>
      </c>
      <c r="V86" s="30">
        <f>$I$14*$V$14</f>
        <v>646463.92189445917</v>
      </c>
      <c r="W86" s="30">
        <f>$I$14*$W$14</f>
        <v>0</v>
      </c>
      <c r="X86" s="30">
        <f>$I$14*$X$14</f>
        <v>0</v>
      </c>
      <c r="Y86" s="30">
        <f>$I$14*$Y$14</f>
        <v>0</v>
      </c>
      <c r="Z86" s="30">
        <f>$I$14*$Z$14</f>
        <v>0</v>
      </c>
      <c r="AA86" s="30">
        <f>$I$14*$AA$14</f>
        <v>14253630.484767005</v>
      </c>
      <c r="AB86" s="30">
        <f ca="1">$I$14*$AB$14</f>
        <v>-1551786.5701623801</v>
      </c>
      <c r="AC86" s="30">
        <f ca="1">$I$14*$AC$14</f>
        <v>0</v>
      </c>
      <c r="AD86" s="30">
        <f>$I$14*$AD$14</f>
        <v>0</v>
      </c>
      <c r="AE86" s="30">
        <f>$I$14*$AE$14</f>
        <v>0</v>
      </c>
      <c r="AF86" s="30">
        <f ca="1">$I$14*$AF$14</f>
        <v>0</v>
      </c>
      <c r="AG86" s="30">
        <f ca="1">$I$14*$AG$14</f>
        <v>0</v>
      </c>
      <c r="AI86" s="30">
        <f>$I$14*$AI$14</f>
        <v>0</v>
      </c>
      <c r="AJ86" s="30">
        <f>$I$14*$AJ$14</f>
        <v>0</v>
      </c>
      <c r="AK86" s="30">
        <f>$I$14*$AK$14</f>
        <v>0</v>
      </c>
      <c r="AL86" s="30">
        <f>$I$14*$AL$14</f>
        <v>0</v>
      </c>
      <c r="AM86" s="30">
        <f>$I$14*$AM$14</f>
        <v>0</v>
      </c>
      <c r="AN86" s="30">
        <f>$I$14*$AN$14</f>
        <v>0</v>
      </c>
      <c r="AO86" s="30">
        <f>$I$14*$AO$14</f>
        <v>0</v>
      </c>
      <c r="AP86" s="30">
        <f>$I$14*$AP$14</f>
        <v>0</v>
      </c>
      <c r="AQ86" s="30">
        <f>$I$14*$AQ$14</f>
        <v>4784328.2504940471</v>
      </c>
      <c r="AR86" s="30">
        <f>$I$14*$AR$14</f>
        <v>1269131.9523991307</v>
      </c>
      <c r="AS86" s="30">
        <f>$I$14*$AS$14</f>
        <v>439107.61542280985</v>
      </c>
      <c r="AT86" s="30">
        <f>$I$14*$AT$14</f>
        <v>0</v>
      </c>
      <c r="AU86" s="30">
        <f>$I$14*$AU$14</f>
        <v>0</v>
      </c>
      <c r="AV86" s="30">
        <f>$I$14*$AV$14</f>
        <v>0</v>
      </c>
      <c r="AW86" s="30">
        <f>$I$14*$AW$14</f>
        <v>0</v>
      </c>
      <c r="AX86" s="30">
        <f>$I$14*$AX$14</f>
        <v>10731205.558394099</v>
      </c>
      <c r="AY86" s="30">
        <f>$I$14*$AY$14</f>
        <v>-9956.0043913368409</v>
      </c>
      <c r="AZ86" s="30">
        <f>$I$14*$AZ$14</f>
        <v>0</v>
      </c>
      <c r="BA86" s="30">
        <f>$I$14*$BA$14</f>
        <v>0</v>
      </c>
      <c r="BB86" s="30">
        <f>$I$14*$BB$14</f>
        <v>0</v>
      </c>
      <c r="BC86" s="30">
        <f>$I$14*$BC$14</f>
        <v>0</v>
      </c>
      <c r="BD86" s="30">
        <f>$I$14*$BD$14</f>
        <v>0</v>
      </c>
    </row>
    <row r="87" spans="1:56" ht="11.25" customHeight="1" x14ac:dyDescent="0.25">
      <c r="A87" s="9" t="s">
        <v>41</v>
      </c>
      <c r="B87" s="9" t="s">
        <v>1153</v>
      </c>
      <c r="C87" s="9" t="s">
        <v>1154</v>
      </c>
      <c r="D87" s="9" t="s">
        <v>1155</v>
      </c>
      <c r="E87" s="9" t="s">
        <v>1156</v>
      </c>
      <c r="F87" s="9" t="s">
        <v>1157</v>
      </c>
      <c r="G87" s="9" t="s">
        <v>1160</v>
      </c>
      <c r="L87" s="30">
        <f>$I$15*$L$15</f>
        <v>976019.78253413434</v>
      </c>
      <c r="M87" s="30">
        <f>$I$15*$M$15</f>
        <v>216566.01783026557</v>
      </c>
      <c r="N87" s="30">
        <f ca="1">$I$15*$N$15</f>
        <v>138132.86562600729</v>
      </c>
      <c r="O87" s="30">
        <f>$I$15*$O$15</f>
        <v>6695.0795476861285</v>
      </c>
      <c r="P87" s="30">
        <f>$I$15*$P$15</f>
        <v>0</v>
      </c>
      <c r="Q87" s="30">
        <f>$I$15*$Q$15</f>
        <v>9497316.1780172195</v>
      </c>
      <c r="R87" s="30">
        <f>$I$15*$R$15</f>
        <v>4605353.6833910458</v>
      </c>
      <c r="S87" s="30">
        <f>$I$15*$S$15</f>
        <v>0</v>
      </c>
      <c r="T87" s="30">
        <f>$I$15*$T$15</f>
        <v>0</v>
      </c>
      <c r="U87" s="30">
        <f>$I$15*$U$15</f>
        <v>0</v>
      </c>
      <c r="V87" s="30">
        <f>$I$15*$V$15</f>
        <v>0</v>
      </c>
      <c r="W87" s="30">
        <f>$I$15*$W$15</f>
        <v>0</v>
      </c>
      <c r="X87" s="30">
        <f>$I$15*$X$15</f>
        <v>0</v>
      </c>
      <c r="Y87" s="30">
        <f>$I$15*$Y$15</f>
        <v>0</v>
      </c>
      <c r="Z87" s="30">
        <f>$I$15*$Z$15</f>
        <v>0</v>
      </c>
      <c r="AA87" s="30">
        <f>$I$15*$AA$15</f>
        <v>0</v>
      </c>
      <c r="AB87" s="30">
        <f ca="1">$I$15*$AB$15</f>
        <v>-1627263.8948419825</v>
      </c>
      <c r="AC87" s="30">
        <f ca="1">$I$15*$AC$15</f>
        <v>0</v>
      </c>
      <c r="AD87" s="30">
        <f>$I$15*$AD$15</f>
        <v>3110155.6317308247</v>
      </c>
      <c r="AE87" s="30">
        <f>$I$15*$AE$15</f>
        <v>110732.87087677725</v>
      </c>
      <c r="AF87" s="30">
        <f ca="1">$I$15*$AF$15</f>
        <v>1743320.6147074641</v>
      </c>
      <c r="AG87" s="30">
        <f ca="1">$I$15*$AG$15</f>
        <v>0</v>
      </c>
      <c r="AI87" s="30">
        <f>$I$15*$AI$15</f>
        <v>0</v>
      </c>
      <c r="AJ87" s="30">
        <f>$I$15*$AJ$15</f>
        <v>202214.67196036139</v>
      </c>
      <c r="AK87" s="30">
        <f>$I$15*$AK$15</f>
        <v>134105.82500143698</v>
      </c>
      <c r="AL87" s="30">
        <f>$I$15*$AL$15</f>
        <v>7522.225424783308</v>
      </c>
      <c r="AM87" s="30">
        <f>$I$15*$AM$15</f>
        <v>0</v>
      </c>
      <c r="AN87" s="30">
        <f>$I$15*$AN$15</f>
        <v>5786595.5596732944</v>
      </c>
      <c r="AO87" s="30">
        <f>$I$15*$AO$15</f>
        <v>3169433.4129093192</v>
      </c>
      <c r="AP87" s="30">
        <f>$I$15*$AP$15</f>
        <v>0</v>
      </c>
      <c r="AQ87" s="30">
        <f>$I$15*$AQ$15</f>
        <v>0</v>
      </c>
      <c r="AR87" s="30">
        <f>$I$15*$AR$15</f>
        <v>0</v>
      </c>
      <c r="AS87" s="30">
        <f>$I$15*$AS$15</f>
        <v>0</v>
      </c>
      <c r="AT87" s="30">
        <f>$I$15*$AT$15</f>
        <v>0</v>
      </c>
      <c r="AU87" s="30">
        <f>$I$15*$AU$15</f>
        <v>0</v>
      </c>
      <c r="AV87" s="30">
        <f>$I$15*$AV$15</f>
        <v>0</v>
      </c>
      <c r="AW87" s="30">
        <f>$I$15*$AW$15</f>
        <v>0</v>
      </c>
      <c r="AX87" s="30">
        <f>$I$15*$AX$15</f>
        <v>0</v>
      </c>
      <c r="AY87" s="30">
        <f>$I$15*$AY$15</f>
        <v>-7827.1854438479204</v>
      </c>
      <c r="AZ87" s="30">
        <f>$I$15*$AZ$15</f>
        <v>0</v>
      </c>
      <c r="BA87" s="30">
        <f>$I$15*$BA$15</f>
        <v>2696321.0456884489</v>
      </c>
      <c r="BB87" s="30">
        <f>$I$15*$BB$15</f>
        <v>91609.121834228965</v>
      </c>
      <c r="BC87" s="30">
        <f>$I$15*$BC$15</f>
        <v>1632988.843583303</v>
      </c>
      <c r="BD87" s="30">
        <f>$I$15*$BD$15</f>
        <v>0</v>
      </c>
    </row>
    <row r="88" spans="1:56" ht="11.25" customHeight="1" x14ac:dyDescent="0.25">
      <c r="A88" s="9" t="s">
        <v>41</v>
      </c>
      <c r="B88" s="9" t="s">
        <v>1153</v>
      </c>
      <c r="C88" s="9" t="s">
        <v>1154</v>
      </c>
      <c r="D88" s="9" t="s">
        <v>1155</v>
      </c>
      <c r="E88" s="9" t="s">
        <v>1161</v>
      </c>
      <c r="F88" s="9" t="s">
        <v>1162</v>
      </c>
      <c r="G88" s="9" t="s">
        <v>1163</v>
      </c>
      <c r="L88" s="30">
        <f>$I$16*$L$16</f>
        <v>0</v>
      </c>
      <c r="M88" s="30">
        <f>$I$16*$M$16</f>
        <v>0</v>
      </c>
      <c r="N88" s="30">
        <f ca="1">$I$16*$N$16</f>
        <v>0</v>
      </c>
      <c r="O88" s="30">
        <f>$I$16*$O$16</f>
        <v>0</v>
      </c>
      <c r="P88" s="30">
        <f>$I$16*$P$16</f>
        <v>0</v>
      </c>
      <c r="Q88" s="30">
        <f>$I$16*$Q$16</f>
        <v>0</v>
      </c>
      <c r="R88" s="30">
        <f>$I$16*$R$16</f>
        <v>0</v>
      </c>
      <c r="S88" s="30">
        <f>$I$16*$S$16</f>
        <v>0</v>
      </c>
      <c r="T88" s="30">
        <f>$I$16*$T$16</f>
        <v>0</v>
      </c>
      <c r="U88" s="30">
        <f>$I$16*$U$16</f>
        <v>0</v>
      </c>
      <c r="V88" s="30">
        <f>$I$16*$V$16</f>
        <v>0</v>
      </c>
      <c r="W88" s="30">
        <f>$I$16*$W$16</f>
        <v>0</v>
      </c>
      <c r="X88" s="30">
        <f>$I$16*$X$16</f>
        <v>0</v>
      </c>
      <c r="Y88" s="30">
        <f>$I$16*$Y$16</f>
        <v>0</v>
      </c>
      <c r="Z88" s="30">
        <f>$I$16*$Z$16</f>
        <v>0</v>
      </c>
      <c r="AA88" s="30">
        <f>$I$16*$AA$16</f>
        <v>0</v>
      </c>
      <c r="AB88" s="30">
        <f ca="1">$I$16*$AB$16</f>
        <v>0</v>
      </c>
      <c r="AC88" s="30">
        <f ca="1">$I$16*$AC$16</f>
        <v>0</v>
      </c>
      <c r="AD88" s="30">
        <f>$I$16*$AD$16</f>
        <v>0</v>
      </c>
      <c r="AE88" s="30">
        <f>$I$16*$AE$16</f>
        <v>0</v>
      </c>
      <c r="AF88" s="30">
        <f ca="1">$I$16*$AF$16</f>
        <v>0</v>
      </c>
      <c r="AG88" s="30">
        <f ca="1">$I$16*$AG$16</f>
        <v>0</v>
      </c>
      <c r="AI88" s="30">
        <f>$I$16*$AI$16</f>
        <v>0</v>
      </c>
      <c r="AJ88" s="30">
        <f>$I$16*$AJ$16</f>
        <v>0</v>
      </c>
      <c r="AK88" s="30">
        <f>$I$16*$AK$16</f>
        <v>0</v>
      </c>
      <c r="AL88" s="30">
        <f>$I$16*$AL$16</f>
        <v>0</v>
      </c>
      <c r="AM88" s="30">
        <f>$I$16*$AM$16</f>
        <v>0</v>
      </c>
      <c r="AN88" s="30">
        <f>$I$16*$AN$16</f>
        <v>0</v>
      </c>
      <c r="AO88" s="30">
        <f>$I$16*$AO$16</f>
        <v>0</v>
      </c>
      <c r="AP88" s="30">
        <f>$I$16*$AP$16</f>
        <v>0</v>
      </c>
      <c r="AQ88" s="30">
        <f>$I$16*$AQ$16</f>
        <v>0</v>
      </c>
      <c r="AR88" s="30">
        <f>$I$16*$AR$16</f>
        <v>0</v>
      </c>
      <c r="AS88" s="30">
        <f>$I$16*$AS$16</f>
        <v>0</v>
      </c>
      <c r="AT88" s="30">
        <f>$I$16*$AT$16</f>
        <v>0</v>
      </c>
      <c r="AU88" s="30">
        <f>$I$16*$AU$16</f>
        <v>0</v>
      </c>
      <c r="AV88" s="30">
        <f>$I$16*$AV$16</f>
        <v>0</v>
      </c>
      <c r="AW88" s="30">
        <f>$I$16*$AW$16</f>
        <v>0</v>
      </c>
      <c r="AX88" s="30">
        <f>$I$16*$AX$16</f>
        <v>0</v>
      </c>
      <c r="AY88" s="30">
        <f>$I$16*$AY$16</f>
        <v>0</v>
      </c>
      <c r="AZ88" s="30">
        <f>$I$16*$AZ$16</f>
        <v>0</v>
      </c>
      <c r="BA88" s="30">
        <f>$I$16*$BA$16</f>
        <v>0</v>
      </c>
      <c r="BB88" s="30">
        <f>$I$16*$BB$16</f>
        <v>0</v>
      </c>
      <c r="BC88" s="30">
        <f>$I$16*$BC$16</f>
        <v>0</v>
      </c>
      <c r="BD88" s="30">
        <f>$I$16*$BD$16</f>
        <v>0</v>
      </c>
    </row>
    <row r="89" spans="1:56" ht="11.25" customHeight="1" x14ac:dyDescent="0.25">
      <c r="A89" s="9" t="s">
        <v>41</v>
      </c>
      <c r="B89" s="9" t="s">
        <v>1164</v>
      </c>
      <c r="C89" s="9" t="s">
        <v>1165</v>
      </c>
      <c r="D89" s="9" t="s">
        <v>1166</v>
      </c>
      <c r="E89" s="9" t="s">
        <v>1167</v>
      </c>
      <c r="F89" s="9" t="s">
        <v>1168</v>
      </c>
      <c r="G89" s="9" t="s">
        <v>1169</v>
      </c>
      <c r="L89" s="30">
        <f>$I$17*$L$17</f>
        <v>0</v>
      </c>
      <c r="M89" s="30">
        <f>$I$17*$M$17</f>
        <v>0</v>
      </c>
      <c r="N89" s="30">
        <f ca="1">$I$17*$N$17</f>
        <v>0</v>
      </c>
      <c r="O89" s="30">
        <f>$I$17*$O$17</f>
        <v>0</v>
      </c>
      <c r="P89" s="30">
        <f>$I$17*$P$17</f>
        <v>0</v>
      </c>
      <c r="Q89" s="30">
        <f>$I$17*$Q$17</f>
        <v>0</v>
      </c>
      <c r="R89" s="30">
        <f>$I$17*$R$17</f>
        <v>0</v>
      </c>
      <c r="S89" s="30">
        <f>$I$17*$S$17</f>
        <v>0</v>
      </c>
      <c r="T89" s="30">
        <f>$I$17*$T$17</f>
        <v>161724.44061715019</v>
      </c>
      <c r="U89" s="30">
        <f>$I$17*$U$17</f>
        <v>28336.655652925769</v>
      </c>
      <c r="V89" s="30">
        <f>$I$17*$V$17</f>
        <v>30526.852698509458</v>
      </c>
      <c r="W89" s="30">
        <f>$I$17*$W$17</f>
        <v>0</v>
      </c>
      <c r="X89" s="30">
        <f>$I$17*$X$17</f>
        <v>0</v>
      </c>
      <c r="Y89" s="30">
        <f>$I$17*$Y$17</f>
        <v>0</v>
      </c>
      <c r="Z89" s="30">
        <f>$I$17*$Z$17</f>
        <v>0</v>
      </c>
      <c r="AA89" s="30">
        <f>$I$17*$AA$17</f>
        <v>676841.41774017434</v>
      </c>
      <c r="AB89" s="30">
        <f>$I$17*$AB$17</f>
        <v>0</v>
      </c>
      <c r="AC89" s="30">
        <f ca="1">$I$17*$AC$17</f>
        <v>0</v>
      </c>
      <c r="AD89" s="30">
        <f>$I$17*$AD$17</f>
        <v>0</v>
      </c>
      <c r="AE89" s="30">
        <f>$I$17*$AE$17</f>
        <v>0</v>
      </c>
      <c r="AF89" s="30">
        <f ca="1">$I$17*$AF$17</f>
        <v>0</v>
      </c>
      <c r="AG89" s="30">
        <f ca="1">$I$17*$AG$17</f>
        <v>0</v>
      </c>
      <c r="AI89" s="30">
        <f>$I$17*$AI$17</f>
        <v>0</v>
      </c>
      <c r="AJ89" s="30">
        <f>$I$17*$AJ$17</f>
        <v>0</v>
      </c>
      <c r="AK89" s="30">
        <f>$I$17*$AK$17</f>
        <v>0</v>
      </c>
      <c r="AL89" s="30">
        <f>$I$17*$AL$17</f>
        <v>0</v>
      </c>
      <c r="AM89" s="30">
        <f>$I$17*$AM$17</f>
        <v>0</v>
      </c>
      <c r="AN89" s="30">
        <f>$I$17*$AN$17</f>
        <v>0</v>
      </c>
      <c r="AO89" s="30">
        <f>$I$17*$AO$17</f>
        <v>0</v>
      </c>
      <c r="AP89" s="30">
        <f>$I$17*$AP$17</f>
        <v>0</v>
      </c>
      <c r="AQ89" s="30">
        <f>$I$17*$AQ$17</f>
        <v>166172.27309458281</v>
      </c>
      <c r="AR89" s="30">
        <f>$I$17*$AR$17</f>
        <v>43529.810593790877</v>
      </c>
      <c r="AS89" s="30">
        <f>$I$17*$AS$17</f>
        <v>20735.222865220119</v>
      </c>
      <c r="AT89" s="30">
        <f>$I$17*$AT$17</f>
        <v>0</v>
      </c>
      <c r="AU89" s="30">
        <f>$I$17*$AU$17</f>
        <v>0</v>
      </c>
      <c r="AV89" s="30">
        <f>$I$17*$AV$17</f>
        <v>0</v>
      </c>
      <c r="AW89" s="30">
        <f>$I$17*$AW$17</f>
        <v>0</v>
      </c>
      <c r="AX89" s="30">
        <f>$I$17*$AX$17</f>
        <v>509577.14892125834</v>
      </c>
      <c r="AY89" s="30">
        <f>$I$17*$AY$17</f>
        <v>0</v>
      </c>
      <c r="AZ89" s="30">
        <f>$I$17*$AZ$17</f>
        <v>0</v>
      </c>
      <c r="BA89" s="30">
        <f>$I$17*$BA$17</f>
        <v>0</v>
      </c>
      <c r="BB89" s="30">
        <f>$I$17*$BB$17</f>
        <v>0</v>
      </c>
      <c r="BC89" s="30">
        <f>$I$17*$BC$17</f>
        <v>0</v>
      </c>
      <c r="BD89" s="30">
        <f>$I$17*$BD$17</f>
        <v>0</v>
      </c>
    </row>
    <row r="90" spans="1:56" ht="11.25" customHeight="1" x14ac:dyDescent="0.25">
      <c r="A90" s="9" t="s">
        <v>41</v>
      </c>
      <c r="B90" s="9" t="s">
        <v>1164</v>
      </c>
      <c r="C90" s="9" t="s">
        <v>1165</v>
      </c>
      <c r="D90" s="9" t="s">
        <v>1166</v>
      </c>
      <c r="E90" s="9" t="s">
        <v>1167</v>
      </c>
      <c r="F90" s="9" t="s">
        <v>1168</v>
      </c>
      <c r="G90" s="9" t="s">
        <v>1170</v>
      </c>
      <c r="L90" s="30">
        <f>$I$18*$L$18</f>
        <v>0</v>
      </c>
      <c r="M90" s="30">
        <f>$I$18*$M$18</f>
        <v>0</v>
      </c>
      <c r="N90" s="30">
        <f ca="1">$I$18*$N$18</f>
        <v>0</v>
      </c>
      <c r="O90" s="30">
        <f>$I$18*$O$18</f>
        <v>0</v>
      </c>
      <c r="P90" s="30">
        <f>$I$18*$P$18</f>
        <v>0</v>
      </c>
      <c r="Q90" s="30">
        <f>$I$18*$Q$18</f>
        <v>0</v>
      </c>
      <c r="R90" s="30">
        <f>$I$18*$R$18</f>
        <v>0</v>
      </c>
      <c r="S90" s="30">
        <f>$I$18*$S$18</f>
        <v>0</v>
      </c>
      <c r="T90" s="30">
        <f>$I$18*$T$18</f>
        <v>158147.96202523183</v>
      </c>
      <c r="U90" s="30">
        <f>$I$18*$U$18</f>
        <v>28060.417441350004</v>
      </c>
      <c r="V90" s="30">
        <f>$I$18*$V$18</f>
        <v>21956.839468503313</v>
      </c>
      <c r="W90" s="30">
        <f>$I$18*$W$18</f>
        <v>0</v>
      </c>
      <c r="X90" s="30">
        <f>$I$18*$X$18</f>
        <v>0</v>
      </c>
      <c r="Y90" s="30">
        <f>$I$18*$Y$18</f>
        <v>0</v>
      </c>
      <c r="Z90" s="30">
        <f>$I$18*$Z$18</f>
        <v>0</v>
      </c>
      <c r="AA90" s="30">
        <f>$I$18*$AA$18</f>
        <v>188156.15906619839</v>
      </c>
      <c r="AB90" s="30">
        <f>$I$18*$AB$18</f>
        <v>0</v>
      </c>
      <c r="AC90" s="30">
        <f ca="1">$I$18*$AC$18</f>
        <v>0</v>
      </c>
      <c r="AD90" s="30">
        <f>$I$18*$AD$18</f>
        <v>0</v>
      </c>
      <c r="AE90" s="30">
        <f>$I$18*$AE$18</f>
        <v>0</v>
      </c>
      <c r="AF90" s="30">
        <f ca="1">$I$18*$AF$18</f>
        <v>0</v>
      </c>
      <c r="AG90" s="30">
        <f ca="1">$I$18*$AG$18</f>
        <v>0</v>
      </c>
      <c r="AI90" s="30">
        <f>$I$18*$AI$18</f>
        <v>0</v>
      </c>
      <c r="AJ90" s="30">
        <f>$I$18*$AJ$18</f>
        <v>0</v>
      </c>
      <c r="AK90" s="30">
        <f>$I$18*$AK$18</f>
        <v>0</v>
      </c>
      <c r="AL90" s="30">
        <f>$I$18*$AL$18</f>
        <v>0</v>
      </c>
      <c r="AM90" s="30">
        <f>$I$18*$AM$18</f>
        <v>0</v>
      </c>
      <c r="AN90" s="30">
        <f>$I$18*$AN$18</f>
        <v>0</v>
      </c>
      <c r="AO90" s="30">
        <f>$I$18*$AO$18</f>
        <v>0</v>
      </c>
      <c r="AP90" s="30">
        <f>$I$18*$AP$18</f>
        <v>0</v>
      </c>
      <c r="AQ90" s="30">
        <f>$I$18*$AQ$18</f>
        <v>162497.4322664107</v>
      </c>
      <c r="AR90" s="30">
        <f>$I$18*$AR$18</f>
        <v>43105.462809918863</v>
      </c>
      <c r="AS90" s="30">
        <f>$I$18*$AS$18</f>
        <v>14914.081195717477</v>
      </c>
      <c r="AT90" s="30">
        <f>$I$18*$AT$18</f>
        <v>0</v>
      </c>
      <c r="AU90" s="30">
        <f>$I$18*$AU$18</f>
        <v>0</v>
      </c>
      <c r="AV90" s="30">
        <f>$I$18*$AV$18</f>
        <v>0</v>
      </c>
      <c r="AW90" s="30">
        <f>$I$18*$AW$18</f>
        <v>0</v>
      </c>
      <c r="AX90" s="30">
        <f>$I$18*$AX$18</f>
        <v>141658.11455370302</v>
      </c>
      <c r="AY90" s="30">
        <f>$I$18*$AY$18</f>
        <v>0</v>
      </c>
      <c r="AZ90" s="30">
        <f>$I$18*$AZ$18</f>
        <v>0</v>
      </c>
      <c r="BA90" s="30">
        <f>$I$18*$BA$18</f>
        <v>0</v>
      </c>
      <c r="BB90" s="30">
        <f>$I$18*$BB$18</f>
        <v>0</v>
      </c>
      <c r="BC90" s="30">
        <f>$I$18*$BC$18</f>
        <v>0</v>
      </c>
      <c r="BD90" s="30">
        <f>$I$18*$BD$18</f>
        <v>0</v>
      </c>
    </row>
    <row r="91" spans="1:56" ht="11.25" customHeight="1" x14ac:dyDescent="0.25">
      <c r="A91" s="9" t="s">
        <v>41</v>
      </c>
      <c r="B91" s="9" t="s">
        <v>1164</v>
      </c>
      <c r="C91" s="9" t="s">
        <v>1165</v>
      </c>
      <c r="D91" s="9" t="s">
        <v>1166</v>
      </c>
      <c r="E91" s="9" t="s">
        <v>1167</v>
      </c>
      <c r="F91" s="9" t="s">
        <v>1168</v>
      </c>
      <c r="G91" s="9" t="s">
        <v>1171</v>
      </c>
      <c r="L91" s="30">
        <f>$I$19*$L$19</f>
        <v>0</v>
      </c>
      <c r="M91" s="30">
        <f>$I$19*$M$19</f>
        <v>0</v>
      </c>
      <c r="N91" s="30">
        <f ca="1">$I$19*$N$19</f>
        <v>0</v>
      </c>
      <c r="O91" s="30">
        <f>$I$19*$O$19</f>
        <v>0</v>
      </c>
      <c r="P91" s="30">
        <f>$I$19*$P$19</f>
        <v>0</v>
      </c>
      <c r="Q91" s="30">
        <f>$I$19*$Q$19</f>
        <v>0</v>
      </c>
      <c r="R91" s="30">
        <f>$I$19*$R$19</f>
        <v>0</v>
      </c>
      <c r="S91" s="30">
        <f>$I$19*$S$19</f>
        <v>0</v>
      </c>
      <c r="T91" s="30">
        <f>$I$19*$T$19</f>
        <v>0</v>
      </c>
      <c r="U91" s="30">
        <f>$I$19*$U$19</f>
        <v>0</v>
      </c>
      <c r="V91" s="30">
        <f>$I$19*$V$19</f>
        <v>0</v>
      </c>
      <c r="W91" s="30">
        <f>$I$19*$W$19</f>
        <v>0</v>
      </c>
      <c r="X91" s="30">
        <f>$I$19*$X$19</f>
        <v>0</v>
      </c>
      <c r="Y91" s="30">
        <f>$I$19*$Y$19</f>
        <v>0</v>
      </c>
      <c r="Z91" s="30">
        <f>$I$19*$Z$19</f>
        <v>0</v>
      </c>
      <c r="AA91" s="30">
        <f>$I$19*$AA$19</f>
        <v>0</v>
      </c>
      <c r="AB91" s="30">
        <f>$I$19*$AB$19</f>
        <v>0</v>
      </c>
      <c r="AC91" s="30">
        <f ca="1">$I$19*$AC$19</f>
        <v>0</v>
      </c>
      <c r="AD91" s="30">
        <f>$I$19*$AD$19</f>
        <v>137453.2094231596</v>
      </c>
      <c r="AE91" s="30">
        <f>$I$19*$AE$19</f>
        <v>4893.8350014925081</v>
      </c>
      <c r="AF91" s="30">
        <f ca="1">$I$19*$AF$19</f>
        <v>0</v>
      </c>
      <c r="AG91" s="30">
        <f ca="1">$I$19*$AG$19</f>
        <v>0</v>
      </c>
      <c r="AI91" s="30">
        <f>$I$19*$AI$19</f>
        <v>0</v>
      </c>
      <c r="AJ91" s="30">
        <f>$I$19*$AJ$19</f>
        <v>0</v>
      </c>
      <c r="AK91" s="30">
        <f>$I$19*$AK$19</f>
        <v>0</v>
      </c>
      <c r="AL91" s="30">
        <f>$I$19*$AL$19</f>
        <v>0</v>
      </c>
      <c r="AM91" s="30">
        <f>$I$19*$AM$19</f>
        <v>0</v>
      </c>
      <c r="AN91" s="30">
        <f>$I$19*$AN$19</f>
        <v>0</v>
      </c>
      <c r="AO91" s="30">
        <f>$I$19*$AO$19</f>
        <v>0</v>
      </c>
      <c r="AP91" s="30">
        <f>$I$19*$AP$19</f>
        <v>0</v>
      </c>
      <c r="AQ91" s="30">
        <f>$I$19*$AQ$19</f>
        <v>0</v>
      </c>
      <c r="AR91" s="30">
        <f>$I$19*$AR$19</f>
        <v>0</v>
      </c>
      <c r="AS91" s="30">
        <f>$I$19*$AS$19</f>
        <v>0</v>
      </c>
      <c r="AT91" s="30">
        <f>$I$19*$AT$19</f>
        <v>0</v>
      </c>
      <c r="AU91" s="30">
        <f>$I$19*$AU$19</f>
        <v>0</v>
      </c>
      <c r="AV91" s="30">
        <f>$I$19*$AV$19</f>
        <v>0</v>
      </c>
      <c r="AW91" s="30">
        <f>$I$19*$AW$19</f>
        <v>0</v>
      </c>
      <c r="AX91" s="30">
        <f>$I$19*$AX$19</f>
        <v>0</v>
      </c>
      <c r="AY91" s="30">
        <f>$I$19*$AY$19</f>
        <v>0</v>
      </c>
      <c r="AZ91" s="30">
        <f>$I$19*$AZ$19</f>
        <v>0</v>
      </c>
      <c r="BA91" s="30">
        <f>$I$19*$BA$19</f>
        <v>119163.80568995366</v>
      </c>
      <c r="BB91" s="30">
        <f>$I$19*$BB$19</f>
        <v>4048.6616425508241</v>
      </c>
      <c r="BC91" s="30">
        <f>$I$19*$BC$19</f>
        <v>0</v>
      </c>
      <c r="BD91" s="30">
        <f>$I$19*$BD$19</f>
        <v>0</v>
      </c>
    </row>
    <row r="92" spans="1:56" ht="11.25" customHeight="1" x14ac:dyDescent="0.25">
      <c r="A92" s="9" t="s">
        <v>41</v>
      </c>
      <c r="B92" s="9" t="s">
        <v>1164</v>
      </c>
      <c r="C92" s="9" t="s">
        <v>1165</v>
      </c>
      <c r="D92" s="9" t="s">
        <v>1166</v>
      </c>
      <c r="E92" s="9" t="s">
        <v>1167</v>
      </c>
      <c r="F92" s="9" t="s">
        <v>1172</v>
      </c>
      <c r="G92" s="9" t="s">
        <v>1173</v>
      </c>
      <c r="L92" s="30">
        <f>$I$20*$L$20</f>
        <v>0</v>
      </c>
      <c r="M92" s="30">
        <f>$I$20*$M$20</f>
        <v>0</v>
      </c>
      <c r="N92" s="30">
        <f ca="1">$I$20*$N$20</f>
        <v>0</v>
      </c>
      <c r="O92" s="30">
        <f>$I$20*$O$20</f>
        <v>0</v>
      </c>
      <c r="P92" s="30">
        <f>$I$20*$P$20</f>
        <v>0</v>
      </c>
      <c r="Q92" s="30">
        <f>$I$20*$Q$20</f>
        <v>0</v>
      </c>
      <c r="R92" s="30">
        <f>$I$20*$R$20</f>
        <v>0</v>
      </c>
      <c r="S92" s="30">
        <f>$I$20*$S$20</f>
        <v>0</v>
      </c>
      <c r="T92" s="30">
        <f>$I$20*$T$20</f>
        <v>0</v>
      </c>
      <c r="U92" s="30">
        <f>$I$20*$U$20</f>
        <v>0</v>
      </c>
      <c r="V92" s="30">
        <f>$I$20*$V$20</f>
        <v>0</v>
      </c>
      <c r="W92" s="30">
        <f>$I$20*$W$20</f>
        <v>0</v>
      </c>
      <c r="X92" s="30">
        <f>$I$20*$X$20</f>
        <v>0</v>
      </c>
      <c r="Y92" s="30">
        <f>$I$20*$Y$20</f>
        <v>0</v>
      </c>
      <c r="Z92" s="30">
        <f>$I$20*$Z$20</f>
        <v>0</v>
      </c>
      <c r="AA92" s="30">
        <f>$I$20*$AA$20</f>
        <v>0</v>
      </c>
      <c r="AB92" s="30">
        <f>$I$20*$AB$20</f>
        <v>0</v>
      </c>
      <c r="AC92" s="30">
        <f ca="1">$I$20*$AC$20</f>
        <v>0</v>
      </c>
      <c r="AD92" s="30">
        <f>$I$20*$AD$20</f>
        <v>0</v>
      </c>
      <c r="AE92" s="30">
        <f>$I$20*$AE$20</f>
        <v>0</v>
      </c>
      <c r="AF92" s="30">
        <f ca="1">$I$20*$AF$20</f>
        <v>0</v>
      </c>
      <c r="AG92" s="30">
        <f ca="1">$I$20*$AG$20</f>
        <v>0</v>
      </c>
      <c r="AI92" s="30">
        <f>$I$20*$AI$20</f>
        <v>0</v>
      </c>
      <c r="AJ92" s="30">
        <f>$I$20*$AJ$20</f>
        <v>0</v>
      </c>
      <c r="AK92" s="30">
        <f>$I$20*$AK$20</f>
        <v>0</v>
      </c>
      <c r="AL92" s="30">
        <f>$I$20*$AL$20</f>
        <v>0</v>
      </c>
      <c r="AM92" s="30">
        <f>$I$20*$AM$20</f>
        <v>0</v>
      </c>
      <c r="AN92" s="30">
        <f>$I$20*$AN$20</f>
        <v>0</v>
      </c>
      <c r="AO92" s="30">
        <f>$I$20*$AO$20</f>
        <v>0</v>
      </c>
      <c r="AP92" s="30">
        <f>$I$20*$AP$20</f>
        <v>0</v>
      </c>
      <c r="AQ92" s="30">
        <f>$I$20*$AQ$20</f>
        <v>0</v>
      </c>
      <c r="AR92" s="30">
        <f>$I$20*$AR$20</f>
        <v>0</v>
      </c>
      <c r="AS92" s="30">
        <f>$I$20*$AS$20</f>
        <v>0</v>
      </c>
      <c r="AT92" s="30">
        <f>$I$20*$AT$20</f>
        <v>0</v>
      </c>
      <c r="AU92" s="30">
        <f>$I$20*$AU$20</f>
        <v>0</v>
      </c>
      <c r="AV92" s="30">
        <f>$I$20*$AV$20</f>
        <v>0</v>
      </c>
      <c r="AW92" s="30">
        <f>$I$20*$AW$20</f>
        <v>0</v>
      </c>
      <c r="AX92" s="30">
        <f>$I$20*$AX$20</f>
        <v>0</v>
      </c>
      <c r="AY92" s="30">
        <f>$I$20*$AY$20</f>
        <v>0</v>
      </c>
      <c r="AZ92" s="30">
        <f>$I$20*$AZ$20</f>
        <v>0</v>
      </c>
      <c r="BA92" s="30">
        <f>$I$20*$BA$20</f>
        <v>0</v>
      </c>
      <c r="BB92" s="30">
        <f>$I$20*$BB$20</f>
        <v>0</v>
      </c>
      <c r="BC92" s="30">
        <f>$I$20*$BC$20</f>
        <v>0</v>
      </c>
      <c r="BD92" s="30">
        <f>$I$20*$BD$20</f>
        <v>0</v>
      </c>
    </row>
    <row r="93" spans="1:56" ht="11.25" customHeight="1" x14ac:dyDescent="0.25">
      <c r="A93" s="9" t="s">
        <v>41</v>
      </c>
      <c r="B93" s="9" t="s">
        <v>1164</v>
      </c>
      <c r="C93" s="9" t="s">
        <v>1165</v>
      </c>
      <c r="D93" s="9" t="s">
        <v>1166</v>
      </c>
      <c r="E93" s="9" t="s">
        <v>1167</v>
      </c>
      <c r="F93" s="9" t="s">
        <v>1172</v>
      </c>
      <c r="G93" s="9" t="s">
        <v>1174</v>
      </c>
      <c r="L93" s="30">
        <f>$I$21*$L$21</f>
        <v>0</v>
      </c>
      <c r="M93" s="30">
        <f>$I$21*$M$21</f>
        <v>0</v>
      </c>
      <c r="N93" s="30">
        <f ca="1">$I$21*$N$21</f>
        <v>0</v>
      </c>
      <c r="O93" s="30">
        <f>$I$21*$O$21</f>
        <v>0</v>
      </c>
      <c r="P93" s="30">
        <f>$I$21*$P$21</f>
        <v>0</v>
      </c>
      <c r="Q93" s="30">
        <f>$I$21*$Q$21</f>
        <v>0</v>
      </c>
      <c r="R93" s="30">
        <f>$I$21*$R$21</f>
        <v>0</v>
      </c>
      <c r="S93" s="30">
        <f>$I$21*$S$21</f>
        <v>0</v>
      </c>
      <c r="T93" s="30">
        <f>$I$21*$T$21</f>
        <v>0</v>
      </c>
      <c r="U93" s="30">
        <f>$I$21*$U$21</f>
        <v>0</v>
      </c>
      <c r="V93" s="30">
        <f>$I$21*$V$21</f>
        <v>0</v>
      </c>
      <c r="W93" s="30">
        <f>$I$21*$W$21</f>
        <v>0</v>
      </c>
      <c r="X93" s="30">
        <f>$I$21*$X$21</f>
        <v>0</v>
      </c>
      <c r="Y93" s="30">
        <f>$I$21*$Y$21</f>
        <v>0</v>
      </c>
      <c r="Z93" s="30">
        <f>$I$21*$Z$21</f>
        <v>0</v>
      </c>
      <c r="AA93" s="30">
        <f>$I$21*$AA$21</f>
        <v>0</v>
      </c>
      <c r="AB93" s="30">
        <f>$I$21*$AB$21</f>
        <v>0</v>
      </c>
      <c r="AC93" s="30">
        <f ca="1">$I$21*$AC$21</f>
        <v>0</v>
      </c>
      <c r="AD93" s="30">
        <f>$I$21*$AD$21</f>
        <v>0</v>
      </c>
      <c r="AE93" s="30">
        <f>$I$21*$AE$21</f>
        <v>0</v>
      </c>
      <c r="AF93" s="30">
        <f ca="1">$I$21*$AF$21</f>
        <v>0</v>
      </c>
      <c r="AG93" s="30">
        <f ca="1">$I$21*$AG$21</f>
        <v>0</v>
      </c>
      <c r="AI93" s="30">
        <f>$I$21*$AI$21</f>
        <v>0</v>
      </c>
      <c r="AJ93" s="30">
        <f>$I$21*$AJ$21</f>
        <v>0</v>
      </c>
      <c r="AK93" s="30">
        <f>$I$21*$AK$21</f>
        <v>0</v>
      </c>
      <c r="AL93" s="30">
        <f>$I$21*$AL$21</f>
        <v>0</v>
      </c>
      <c r="AM93" s="30">
        <f>$I$21*$AM$21</f>
        <v>0</v>
      </c>
      <c r="AN93" s="30">
        <f>$I$21*$AN$21</f>
        <v>0</v>
      </c>
      <c r="AO93" s="30">
        <f>$I$21*$AO$21</f>
        <v>0</v>
      </c>
      <c r="AP93" s="30">
        <f>$I$21*$AP$21</f>
        <v>0</v>
      </c>
      <c r="AQ93" s="30">
        <f>$I$21*$AQ$21</f>
        <v>0</v>
      </c>
      <c r="AR93" s="30">
        <f>$I$21*$AR$21</f>
        <v>0</v>
      </c>
      <c r="AS93" s="30">
        <f>$I$21*$AS$21</f>
        <v>0</v>
      </c>
      <c r="AT93" s="30">
        <f>$I$21*$AT$21</f>
        <v>0</v>
      </c>
      <c r="AU93" s="30">
        <f>$I$21*$AU$21</f>
        <v>0</v>
      </c>
      <c r="AV93" s="30">
        <f>$I$21*$AV$21</f>
        <v>0</v>
      </c>
      <c r="AW93" s="30">
        <f>$I$21*$AW$21</f>
        <v>0</v>
      </c>
      <c r="AX93" s="30">
        <f>$I$21*$AX$21</f>
        <v>0</v>
      </c>
      <c r="AY93" s="30">
        <f>$I$21*$AY$21</f>
        <v>0</v>
      </c>
      <c r="AZ93" s="30">
        <f>$I$21*$AZ$21</f>
        <v>0</v>
      </c>
      <c r="BA93" s="30">
        <f>$I$21*$BA$21</f>
        <v>0</v>
      </c>
      <c r="BB93" s="30">
        <f>$I$21*$BB$21</f>
        <v>0</v>
      </c>
      <c r="BC93" s="30">
        <f>$I$21*$BC$21</f>
        <v>0</v>
      </c>
      <c r="BD93" s="30">
        <f>$I$21*$BD$21</f>
        <v>0</v>
      </c>
    </row>
    <row r="94" spans="1:56" ht="11.25" customHeight="1" x14ac:dyDescent="0.25">
      <c r="A94" s="9" t="s">
        <v>41</v>
      </c>
      <c r="B94" s="9" t="s">
        <v>1164</v>
      </c>
      <c r="C94" s="9" t="s">
        <v>1165</v>
      </c>
      <c r="D94" s="9" t="s">
        <v>1166</v>
      </c>
      <c r="E94" s="9" t="s">
        <v>1167</v>
      </c>
      <c r="F94" s="9" t="s">
        <v>1172</v>
      </c>
      <c r="G94" s="9" t="s">
        <v>1175</v>
      </c>
      <c r="L94" s="30">
        <f>$I$22*$L$22</f>
        <v>0</v>
      </c>
      <c r="M94" s="30">
        <f>$I$22*$M$22</f>
        <v>0</v>
      </c>
      <c r="N94" s="30">
        <f ca="1">$I$22*$N$22</f>
        <v>0</v>
      </c>
      <c r="O94" s="30">
        <f>$I$22*$O$22</f>
        <v>0</v>
      </c>
      <c r="P94" s="30">
        <f>$I$22*$P$22</f>
        <v>0</v>
      </c>
      <c r="Q94" s="30">
        <f>$I$22*$Q$22</f>
        <v>0</v>
      </c>
      <c r="R94" s="30">
        <f>$I$22*$R$22</f>
        <v>0</v>
      </c>
      <c r="S94" s="30">
        <f>$I$22*$S$22</f>
        <v>0</v>
      </c>
      <c r="T94" s="30">
        <f>$I$22*$T$22</f>
        <v>0</v>
      </c>
      <c r="U94" s="30">
        <f>$I$22*$U$22</f>
        <v>0</v>
      </c>
      <c r="V94" s="30">
        <f>$I$22*$V$22</f>
        <v>0</v>
      </c>
      <c r="W94" s="30">
        <f>$I$22*$W$22</f>
        <v>0</v>
      </c>
      <c r="X94" s="30">
        <f>$I$22*$X$22</f>
        <v>0</v>
      </c>
      <c r="Y94" s="30">
        <f>$I$22*$Y$22</f>
        <v>0</v>
      </c>
      <c r="Z94" s="30">
        <f>$I$22*$Z$22</f>
        <v>0</v>
      </c>
      <c r="AA94" s="30">
        <f>$I$22*$AA$22</f>
        <v>0</v>
      </c>
      <c r="AB94" s="30">
        <f>$I$22*$AB$22</f>
        <v>0</v>
      </c>
      <c r="AC94" s="30">
        <f ca="1">$I$22*$AC$22</f>
        <v>0</v>
      </c>
      <c r="AD94" s="30">
        <f>$I$22*$AD$22</f>
        <v>0</v>
      </c>
      <c r="AE94" s="30">
        <f>$I$22*$AE$22</f>
        <v>0</v>
      </c>
      <c r="AF94" s="30">
        <f ca="1">$I$22*$AF$22</f>
        <v>0</v>
      </c>
      <c r="AG94" s="30">
        <f ca="1">$I$22*$AG$22</f>
        <v>0</v>
      </c>
      <c r="AI94" s="30">
        <f>$I$22*$AI$22</f>
        <v>0</v>
      </c>
      <c r="AJ94" s="30">
        <f>$I$22*$AJ$22</f>
        <v>0</v>
      </c>
      <c r="AK94" s="30">
        <f>$I$22*$AK$22</f>
        <v>0</v>
      </c>
      <c r="AL94" s="30">
        <f>$I$22*$AL$22</f>
        <v>0</v>
      </c>
      <c r="AM94" s="30">
        <f>$I$22*$AM$22</f>
        <v>0</v>
      </c>
      <c r="AN94" s="30">
        <f>$I$22*$AN$22</f>
        <v>0</v>
      </c>
      <c r="AO94" s="30">
        <f>$I$22*$AO$22</f>
        <v>0</v>
      </c>
      <c r="AP94" s="30">
        <f>$I$22*$AP$22</f>
        <v>0</v>
      </c>
      <c r="AQ94" s="30">
        <f>$I$22*$AQ$22</f>
        <v>0</v>
      </c>
      <c r="AR94" s="30">
        <f>$I$22*$AR$22</f>
        <v>0</v>
      </c>
      <c r="AS94" s="30">
        <f>$I$22*$AS$22</f>
        <v>0</v>
      </c>
      <c r="AT94" s="30">
        <f>$I$22*$AT$22</f>
        <v>0</v>
      </c>
      <c r="AU94" s="30">
        <f>$I$22*$AU$22</f>
        <v>0</v>
      </c>
      <c r="AV94" s="30">
        <f>$I$22*$AV$22</f>
        <v>0</v>
      </c>
      <c r="AW94" s="30">
        <f>$I$22*$AW$22</f>
        <v>0</v>
      </c>
      <c r="AX94" s="30">
        <f>$I$22*$AX$22</f>
        <v>0</v>
      </c>
      <c r="AY94" s="30">
        <f>$I$22*$AY$22</f>
        <v>0</v>
      </c>
      <c r="AZ94" s="30">
        <f>$I$22*$AZ$22</f>
        <v>0</v>
      </c>
      <c r="BA94" s="30">
        <f>$I$22*$BA$22</f>
        <v>0</v>
      </c>
      <c r="BB94" s="30">
        <f>$I$22*$BB$22</f>
        <v>0</v>
      </c>
      <c r="BC94" s="30">
        <f>$I$22*$BC$22</f>
        <v>0</v>
      </c>
      <c r="BD94" s="30">
        <f>$I$22*$BD$22</f>
        <v>0</v>
      </c>
    </row>
    <row r="95" spans="1:56" ht="11.25" customHeight="1" x14ac:dyDescent="0.25">
      <c r="A95" s="9" t="s">
        <v>41</v>
      </c>
      <c r="B95" s="9" t="s">
        <v>1164</v>
      </c>
      <c r="C95" s="9" t="s">
        <v>1165</v>
      </c>
      <c r="D95" s="9" t="s">
        <v>1166</v>
      </c>
      <c r="E95" s="9" t="s">
        <v>1167</v>
      </c>
      <c r="F95" s="9" t="s">
        <v>1176</v>
      </c>
      <c r="G95" s="9" t="s">
        <v>1177</v>
      </c>
      <c r="L95" s="30">
        <f>$I$23*$L$23</f>
        <v>0</v>
      </c>
      <c r="M95" s="30">
        <f>$I$23*$M$23</f>
        <v>0</v>
      </c>
      <c r="N95" s="30">
        <f ca="1">$I$23*$N$23</f>
        <v>0</v>
      </c>
      <c r="O95" s="30">
        <f>$I$23*$O$23</f>
        <v>0</v>
      </c>
      <c r="P95" s="30">
        <f>$I$23*$P$23</f>
        <v>0</v>
      </c>
      <c r="Q95" s="30">
        <f>$I$23*$Q$23</f>
        <v>0</v>
      </c>
      <c r="R95" s="30">
        <f>$I$23*$R$23</f>
        <v>0</v>
      </c>
      <c r="S95" s="30">
        <f>$I$23*$S$23</f>
        <v>0</v>
      </c>
      <c r="T95" s="30">
        <f>$I$23*$T$23</f>
        <v>350351.77949571924</v>
      </c>
      <c r="U95" s="30">
        <f>$I$23*$U$23</f>
        <v>61387.12055564949</v>
      </c>
      <c r="V95" s="30">
        <f>$I$23*$V$23</f>
        <v>66131.854434080597</v>
      </c>
      <c r="W95" s="30">
        <f>$I$23*$W$23</f>
        <v>0</v>
      </c>
      <c r="X95" s="30">
        <f>$I$23*$X$23</f>
        <v>0</v>
      </c>
      <c r="Y95" s="30">
        <f>$I$23*$Y$23</f>
        <v>0</v>
      </c>
      <c r="Z95" s="30">
        <f>$I$23*$Z$23</f>
        <v>0</v>
      </c>
      <c r="AA95" s="30">
        <f>$I$23*$AA$23</f>
        <v>1466275.5625356522</v>
      </c>
      <c r="AB95" s="30">
        <f>$I$23*$AB$23</f>
        <v>0</v>
      </c>
      <c r="AC95" s="30">
        <f ca="1">$I$23*$AC$23</f>
        <v>0</v>
      </c>
      <c r="AD95" s="30">
        <f>$I$23*$AD$23</f>
        <v>0</v>
      </c>
      <c r="AE95" s="30">
        <f>$I$23*$AE$23</f>
        <v>0</v>
      </c>
      <c r="AF95" s="30">
        <f ca="1">$I$23*$AF$23</f>
        <v>0</v>
      </c>
      <c r="AG95" s="30">
        <f ca="1">$I$23*$AG$23</f>
        <v>0</v>
      </c>
      <c r="AI95" s="30">
        <f>$I$23*$AI$23</f>
        <v>0</v>
      </c>
      <c r="AJ95" s="30">
        <f>$I$23*$AJ$23</f>
        <v>0</v>
      </c>
      <c r="AK95" s="30">
        <f>$I$23*$AK$23</f>
        <v>0</v>
      </c>
      <c r="AL95" s="30">
        <f>$I$23*$AL$23</f>
        <v>0</v>
      </c>
      <c r="AM95" s="30">
        <f>$I$23*$AM$23</f>
        <v>0</v>
      </c>
      <c r="AN95" s="30">
        <f>$I$23*$AN$23</f>
        <v>0</v>
      </c>
      <c r="AO95" s="30">
        <f>$I$23*$AO$23</f>
        <v>0</v>
      </c>
      <c r="AP95" s="30">
        <f>$I$23*$AP$23</f>
        <v>0</v>
      </c>
      <c r="AQ95" s="30">
        <f>$I$23*$AQ$23</f>
        <v>359987.34241633152</v>
      </c>
      <c r="AR95" s="30">
        <f>$I$23*$AR$23</f>
        <v>94300.815290802551</v>
      </c>
      <c r="AS95" s="30">
        <f>$I$23*$AS$23</f>
        <v>44919.754870370612</v>
      </c>
      <c r="AT95" s="30">
        <f>$I$23*$AT$23</f>
        <v>0</v>
      </c>
      <c r="AU95" s="30">
        <f>$I$23*$AU$23</f>
        <v>0</v>
      </c>
      <c r="AV95" s="30">
        <f>$I$23*$AV$23</f>
        <v>0</v>
      </c>
      <c r="AW95" s="30">
        <f>$I$23*$AW$23</f>
        <v>0</v>
      </c>
      <c r="AX95" s="30">
        <f>$I$23*$AX$23</f>
        <v>1103922.5749282667</v>
      </c>
      <c r="AY95" s="30">
        <f>$I$23*$AY$23</f>
        <v>0</v>
      </c>
      <c r="AZ95" s="30">
        <f>$I$23*$AZ$23</f>
        <v>0</v>
      </c>
      <c r="BA95" s="30">
        <f>$I$23*$BA$23</f>
        <v>0</v>
      </c>
      <c r="BB95" s="30">
        <f>$I$23*$BB$23</f>
        <v>0</v>
      </c>
      <c r="BC95" s="30">
        <f>$I$23*$BC$23</f>
        <v>0</v>
      </c>
      <c r="BD95" s="30">
        <f>$I$23*$BD$23</f>
        <v>0</v>
      </c>
    </row>
    <row r="96" spans="1:56" ht="11.25" customHeight="1" x14ac:dyDescent="0.25">
      <c r="A96" s="9" t="s">
        <v>41</v>
      </c>
      <c r="B96" s="9" t="s">
        <v>1164</v>
      </c>
      <c r="C96" s="9" t="s">
        <v>1165</v>
      </c>
      <c r="D96" s="9" t="s">
        <v>1166</v>
      </c>
      <c r="E96" s="9" t="s">
        <v>1167</v>
      </c>
      <c r="F96" s="9" t="s">
        <v>1176</v>
      </c>
      <c r="G96" s="9" t="s">
        <v>1178</v>
      </c>
      <c r="L96" s="30">
        <f>$I$24*$L$24</f>
        <v>0</v>
      </c>
      <c r="M96" s="30">
        <f>$I$24*$M$24</f>
        <v>0</v>
      </c>
      <c r="N96" s="30">
        <f ca="1">$I$24*$N$24</f>
        <v>0</v>
      </c>
      <c r="O96" s="30">
        <f>$I$24*$O$24</f>
        <v>0</v>
      </c>
      <c r="P96" s="30">
        <f>$I$24*$P$24</f>
        <v>0</v>
      </c>
      <c r="Q96" s="30">
        <f>$I$24*$Q$24</f>
        <v>0</v>
      </c>
      <c r="R96" s="30">
        <f>$I$24*$R$24</f>
        <v>0</v>
      </c>
      <c r="S96" s="30">
        <f>$I$24*$S$24</f>
        <v>0</v>
      </c>
      <c r="T96" s="30">
        <f>$I$24*$T$24</f>
        <v>440151.96750297822</v>
      </c>
      <c r="U96" s="30">
        <f>$I$24*$U$24</f>
        <v>78096.788523867071</v>
      </c>
      <c r="V96" s="30">
        <f>$I$24*$V$24</f>
        <v>61109.52027738982</v>
      </c>
      <c r="W96" s="30">
        <f>$I$24*$W$24</f>
        <v>0</v>
      </c>
      <c r="X96" s="30">
        <f>$I$24*$X$24</f>
        <v>0</v>
      </c>
      <c r="Y96" s="30">
        <f>$I$24*$Y$24</f>
        <v>0</v>
      </c>
      <c r="Z96" s="30">
        <f>$I$24*$Z$24</f>
        <v>0</v>
      </c>
      <c r="AA96" s="30">
        <f>$I$24*$AA$24</f>
        <v>523669.7492034543</v>
      </c>
      <c r="AB96" s="30">
        <f>$I$24*$AB$24</f>
        <v>0</v>
      </c>
      <c r="AC96" s="30">
        <f ca="1">$I$24*$AC$24</f>
        <v>0</v>
      </c>
      <c r="AD96" s="30">
        <f>$I$24*$AD$24</f>
        <v>0</v>
      </c>
      <c r="AE96" s="30">
        <f>$I$24*$AE$24</f>
        <v>0</v>
      </c>
      <c r="AF96" s="30">
        <f ca="1">$I$24*$AF$24</f>
        <v>0</v>
      </c>
      <c r="AG96" s="30">
        <f ca="1">$I$24*$AG$24</f>
        <v>0</v>
      </c>
      <c r="AI96" s="30">
        <f>$I$24*$AI$24</f>
        <v>0</v>
      </c>
      <c r="AJ96" s="30">
        <f>$I$24*$AJ$24</f>
        <v>0</v>
      </c>
      <c r="AK96" s="30">
        <f>$I$24*$AK$24</f>
        <v>0</v>
      </c>
      <c r="AL96" s="30">
        <f>$I$24*$AL$24</f>
        <v>0</v>
      </c>
      <c r="AM96" s="30">
        <f>$I$24*$AM$24</f>
        <v>0</v>
      </c>
      <c r="AN96" s="30">
        <f>$I$24*$AN$24</f>
        <v>0</v>
      </c>
      <c r="AO96" s="30">
        <f>$I$24*$AO$24</f>
        <v>0</v>
      </c>
      <c r="AP96" s="30">
        <f>$I$24*$AP$24</f>
        <v>0</v>
      </c>
      <c r="AQ96" s="30">
        <f>$I$24*$AQ$24</f>
        <v>452257.26345326751</v>
      </c>
      <c r="AR96" s="30">
        <f>$I$24*$AR$24</f>
        <v>119969.64123309532</v>
      </c>
      <c r="AS96" s="30">
        <f>$I$24*$AS$24</f>
        <v>41508.357728611678</v>
      </c>
      <c r="AT96" s="30">
        <f>$I$24*$AT$24</f>
        <v>0</v>
      </c>
      <c r="AU96" s="30">
        <f>$I$24*$AU$24</f>
        <v>0</v>
      </c>
      <c r="AV96" s="30">
        <f>$I$24*$AV$24</f>
        <v>0</v>
      </c>
      <c r="AW96" s="30">
        <f>$I$24*$AW$24</f>
        <v>0</v>
      </c>
      <c r="AX96" s="30">
        <f>$I$24*$AX$24</f>
        <v>394257.99128304172</v>
      </c>
      <c r="AY96" s="30">
        <f>$I$24*$AY$24</f>
        <v>0</v>
      </c>
      <c r="AZ96" s="30">
        <f>$I$24*$AZ$24</f>
        <v>0</v>
      </c>
      <c r="BA96" s="30">
        <f>$I$24*$BA$24</f>
        <v>0</v>
      </c>
      <c r="BB96" s="30">
        <f>$I$24*$BB$24</f>
        <v>0</v>
      </c>
      <c r="BC96" s="30">
        <f>$I$24*$BC$24</f>
        <v>0</v>
      </c>
      <c r="BD96" s="30">
        <f>$I$24*$BD$24</f>
        <v>0</v>
      </c>
    </row>
    <row r="97" spans="1:56" ht="11.25" customHeight="1" x14ac:dyDescent="0.25">
      <c r="A97" s="9" t="s">
        <v>41</v>
      </c>
      <c r="B97" s="9" t="s">
        <v>1164</v>
      </c>
      <c r="C97" s="9" t="s">
        <v>1165</v>
      </c>
      <c r="D97" s="9" t="s">
        <v>1166</v>
      </c>
      <c r="E97" s="9" t="s">
        <v>1167</v>
      </c>
      <c r="F97" s="9" t="s">
        <v>1176</v>
      </c>
      <c r="G97" s="9" t="s">
        <v>1179</v>
      </c>
      <c r="L97" s="30">
        <f>$I$25*$L$25</f>
        <v>0</v>
      </c>
      <c r="M97" s="30">
        <f>$I$25*$M$25</f>
        <v>0</v>
      </c>
      <c r="N97" s="30">
        <f ca="1">$I$25*$N$25</f>
        <v>0</v>
      </c>
      <c r="O97" s="30">
        <f>$I$25*$O$25</f>
        <v>0</v>
      </c>
      <c r="P97" s="30">
        <f>$I$25*$P$25</f>
        <v>0</v>
      </c>
      <c r="Q97" s="30">
        <f>$I$25*$Q$25</f>
        <v>0</v>
      </c>
      <c r="R97" s="30">
        <f>$I$25*$R$25</f>
        <v>0</v>
      </c>
      <c r="S97" s="30">
        <f>$I$25*$S$25</f>
        <v>0</v>
      </c>
      <c r="T97" s="30">
        <f>$I$25*$T$25</f>
        <v>0</v>
      </c>
      <c r="U97" s="30">
        <f>$I$25*$U$25</f>
        <v>0</v>
      </c>
      <c r="V97" s="30">
        <f>$I$25*$V$25</f>
        <v>0</v>
      </c>
      <c r="W97" s="30">
        <f>$I$25*$W$25</f>
        <v>0</v>
      </c>
      <c r="X97" s="30">
        <f>$I$25*$X$25</f>
        <v>0</v>
      </c>
      <c r="Y97" s="30">
        <f>$I$25*$Y$25</f>
        <v>0</v>
      </c>
      <c r="Z97" s="30">
        <f>$I$25*$Z$25</f>
        <v>0</v>
      </c>
      <c r="AA97" s="30">
        <f>$I$25*$AA$25</f>
        <v>0</v>
      </c>
      <c r="AB97" s="30">
        <f>$I$25*$AB$25</f>
        <v>0</v>
      </c>
      <c r="AC97" s="30">
        <f ca="1">$I$25*$AC$25</f>
        <v>0</v>
      </c>
      <c r="AD97" s="30">
        <f>$I$25*$AD$25</f>
        <v>245091.22655513728</v>
      </c>
      <c r="AE97" s="30">
        <f>$I$25*$AE$25</f>
        <v>8726.1405398087918</v>
      </c>
      <c r="AF97" s="30">
        <f ca="1">$I$25*$AF$25</f>
        <v>0</v>
      </c>
      <c r="AG97" s="30">
        <f ca="1">$I$25*$AG$25</f>
        <v>0</v>
      </c>
      <c r="AI97" s="30">
        <f>$I$25*$AI$25</f>
        <v>0</v>
      </c>
      <c r="AJ97" s="30">
        <f>$I$25*$AJ$25</f>
        <v>0</v>
      </c>
      <c r="AK97" s="30">
        <f>$I$25*$AK$25</f>
        <v>0</v>
      </c>
      <c r="AL97" s="30">
        <f>$I$25*$AL$25</f>
        <v>0</v>
      </c>
      <c r="AM97" s="30">
        <f>$I$25*$AM$25</f>
        <v>0</v>
      </c>
      <c r="AN97" s="30">
        <f>$I$25*$AN$25</f>
        <v>0</v>
      </c>
      <c r="AO97" s="30">
        <f>$I$25*$AO$25</f>
        <v>0</v>
      </c>
      <c r="AP97" s="30">
        <f>$I$25*$AP$25</f>
        <v>0</v>
      </c>
      <c r="AQ97" s="30">
        <f>$I$25*$AQ$25</f>
        <v>0</v>
      </c>
      <c r="AR97" s="30">
        <f>$I$25*$AR$25</f>
        <v>0</v>
      </c>
      <c r="AS97" s="30">
        <f>$I$25*$AS$25</f>
        <v>0</v>
      </c>
      <c r="AT97" s="30">
        <f>$I$25*$AT$25</f>
        <v>0</v>
      </c>
      <c r="AU97" s="30">
        <f>$I$25*$AU$25</f>
        <v>0</v>
      </c>
      <c r="AV97" s="30">
        <f>$I$25*$AV$25</f>
        <v>0</v>
      </c>
      <c r="AW97" s="30">
        <f>$I$25*$AW$25</f>
        <v>0</v>
      </c>
      <c r="AX97" s="30">
        <f>$I$25*$AX$25</f>
        <v>0</v>
      </c>
      <c r="AY97" s="30">
        <f>$I$25*$AY$25</f>
        <v>0</v>
      </c>
      <c r="AZ97" s="30">
        <f>$I$25*$AZ$25</f>
        <v>0</v>
      </c>
      <c r="BA97" s="30">
        <f>$I$25*$BA$25</f>
        <v>212479.60247778578</v>
      </c>
      <c r="BB97" s="30">
        <f>$I$25*$BB$25</f>
        <v>7219.1217072616882</v>
      </c>
      <c r="BC97" s="30">
        <f>$I$25*$BC$25</f>
        <v>0</v>
      </c>
      <c r="BD97" s="30">
        <f>$I$25*$BD$25</f>
        <v>0</v>
      </c>
    </row>
    <row r="98" spans="1:56" ht="11.25" customHeight="1" x14ac:dyDescent="0.25">
      <c r="A98" s="9" t="s">
        <v>41</v>
      </c>
      <c r="B98" s="9" t="s">
        <v>1164</v>
      </c>
      <c r="C98" s="9" t="s">
        <v>1165</v>
      </c>
      <c r="D98" s="9" t="s">
        <v>1166</v>
      </c>
      <c r="E98" s="9" t="s">
        <v>1167</v>
      </c>
      <c r="F98" s="9" t="s">
        <v>1180</v>
      </c>
      <c r="G98" s="9" t="s">
        <v>1181</v>
      </c>
      <c r="L98" s="30">
        <f>$I$26*$L$26</f>
        <v>0</v>
      </c>
      <c r="M98" s="30">
        <f>$I$26*$M$26</f>
        <v>0</v>
      </c>
      <c r="N98" s="30">
        <f ca="1">$I$26*$N$26</f>
        <v>0</v>
      </c>
      <c r="O98" s="30">
        <f>$I$26*$O$26</f>
        <v>0</v>
      </c>
      <c r="P98" s="30">
        <f>$I$26*$P$26</f>
        <v>0</v>
      </c>
      <c r="Q98" s="30">
        <f>$I$26*$Q$26</f>
        <v>0</v>
      </c>
      <c r="R98" s="30">
        <f>$I$26*$R$26</f>
        <v>0</v>
      </c>
      <c r="S98" s="30">
        <f>$I$26*$S$26</f>
        <v>0</v>
      </c>
      <c r="T98" s="30">
        <f>$I$26*$T$26</f>
        <v>506131.18917117658</v>
      </c>
      <c r="U98" s="30">
        <f>$I$26*$U$26</f>
        <v>88682.113649732099</v>
      </c>
      <c r="V98" s="30">
        <f>$I$26*$V$26</f>
        <v>95536.532381806639</v>
      </c>
      <c r="W98" s="30">
        <f>$I$26*$W$26</f>
        <v>0</v>
      </c>
      <c r="X98" s="30">
        <f>$I$26*$X$26</f>
        <v>0</v>
      </c>
      <c r="Y98" s="30">
        <f>$I$26*$Y$26</f>
        <v>0</v>
      </c>
      <c r="Z98" s="30">
        <f>$I$26*$Z$26</f>
        <v>0</v>
      </c>
      <c r="AA98" s="30">
        <f>$I$26*$AA$26</f>
        <v>2118236.12024175</v>
      </c>
      <c r="AB98" s="30">
        <f>$I$26*$AB$26</f>
        <v>0</v>
      </c>
      <c r="AC98" s="30">
        <f ca="1">$I$26*$AC$26</f>
        <v>0</v>
      </c>
      <c r="AD98" s="30">
        <f>$I$26*$AD$26</f>
        <v>0</v>
      </c>
      <c r="AE98" s="30">
        <f>$I$26*$AE$26</f>
        <v>0</v>
      </c>
      <c r="AF98" s="30">
        <f ca="1">$I$26*$AF$26</f>
        <v>0</v>
      </c>
      <c r="AG98" s="30">
        <f ca="1">$I$26*$AG$26</f>
        <v>0</v>
      </c>
      <c r="AI98" s="30">
        <f>$I$26*$AI$26</f>
        <v>0</v>
      </c>
      <c r="AJ98" s="30">
        <f>$I$26*$AJ$26</f>
        <v>0</v>
      </c>
      <c r="AK98" s="30">
        <f>$I$26*$AK$26</f>
        <v>0</v>
      </c>
      <c r="AL98" s="30">
        <f>$I$26*$AL$26</f>
        <v>0</v>
      </c>
      <c r="AM98" s="30">
        <f>$I$26*$AM$26</f>
        <v>0</v>
      </c>
      <c r="AN98" s="30">
        <f>$I$26*$AN$26</f>
        <v>0</v>
      </c>
      <c r="AO98" s="30">
        <f>$I$26*$AO$26</f>
        <v>0</v>
      </c>
      <c r="AP98" s="30">
        <f>$I$26*$AP$26</f>
        <v>0</v>
      </c>
      <c r="AQ98" s="30">
        <f>$I$26*$AQ$26</f>
        <v>520051.08113337163</v>
      </c>
      <c r="AR98" s="30">
        <f>$I$26*$AR$26</f>
        <v>136230.45914493073</v>
      </c>
      <c r="AS98" s="30">
        <f>$I$26*$AS$26</f>
        <v>64892.745749836329</v>
      </c>
      <c r="AT98" s="30">
        <f>$I$26*$AT$26</f>
        <v>0</v>
      </c>
      <c r="AU98" s="30">
        <f>$I$26*$AU$26</f>
        <v>0</v>
      </c>
      <c r="AV98" s="30">
        <f>$I$26*$AV$26</f>
        <v>0</v>
      </c>
      <c r="AW98" s="30">
        <f>$I$26*$AW$26</f>
        <v>0</v>
      </c>
      <c r="AX98" s="30">
        <f>$I$26*$AX$26</f>
        <v>1594767.5402293131</v>
      </c>
      <c r="AY98" s="30">
        <f>$I$26*$AY$26</f>
        <v>0</v>
      </c>
      <c r="AZ98" s="30">
        <f>$I$26*$AZ$26</f>
        <v>0</v>
      </c>
      <c r="BA98" s="30">
        <f>$I$26*$BA$26</f>
        <v>0</v>
      </c>
      <c r="BB98" s="30">
        <f>$I$26*$BB$26</f>
        <v>0</v>
      </c>
      <c r="BC98" s="30">
        <f>$I$26*$BC$26</f>
        <v>0</v>
      </c>
      <c r="BD98" s="30">
        <f>$I$26*$BD$26</f>
        <v>0</v>
      </c>
    </row>
    <row r="99" spans="1:56" ht="11.25" customHeight="1" x14ac:dyDescent="0.25">
      <c r="A99" s="9" t="s">
        <v>41</v>
      </c>
      <c r="B99" s="9" t="s">
        <v>1164</v>
      </c>
      <c r="C99" s="9" t="s">
        <v>1165</v>
      </c>
      <c r="D99" s="9" t="s">
        <v>1166</v>
      </c>
      <c r="E99" s="9" t="s">
        <v>1167</v>
      </c>
      <c r="F99" s="9" t="s">
        <v>1180</v>
      </c>
      <c r="G99" s="9" t="s">
        <v>1182</v>
      </c>
      <c r="L99" s="30">
        <f>$I$27*$L$27</f>
        <v>0</v>
      </c>
      <c r="M99" s="30">
        <f>$I$27*$M$27</f>
        <v>0</v>
      </c>
      <c r="N99" s="30">
        <f ca="1">$I$27*$N$27</f>
        <v>0</v>
      </c>
      <c r="O99" s="30">
        <f>$I$27*$O$27</f>
        <v>0</v>
      </c>
      <c r="P99" s="30">
        <f>$I$27*$P$27</f>
        <v>0</v>
      </c>
      <c r="Q99" s="30">
        <f>$I$27*$Q$27</f>
        <v>0</v>
      </c>
      <c r="R99" s="30">
        <f>$I$27*$R$27</f>
        <v>0</v>
      </c>
      <c r="S99" s="30">
        <f>$I$27*$S$27</f>
        <v>0</v>
      </c>
      <c r="T99" s="30">
        <f>$I$27*$T$27</f>
        <v>500626.49594105553</v>
      </c>
      <c r="U99" s="30">
        <f>$I$27*$U$27</f>
        <v>88826.869966652288</v>
      </c>
      <c r="V99" s="30">
        <f>$I$27*$V$27</f>
        <v>69505.641832446301</v>
      </c>
      <c r="W99" s="30">
        <f>$I$27*$W$27</f>
        <v>0</v>
      </c>
      <c r="X99" s="30">
        <f>$I$27*$X$27</f>
        <v>0</v>
      </c>
      <c r="Y99" s="30">
        <f>$I$27*$Y$27</f>
        <v>0</v>
      </c>
      <c r="Z99" s="30">
        <f>$I$27*$Z$27</f>
        <v>0</v>
      </c>
      <c r="AA99" s="30">
        <f>$I$27*$AA$27</f>
        <v>595619.17458038579</v>
      </c>
      <c r="AB99" s="30">
        <f>$I$27*$AB$27</f>
        <v>0</v>
      </c>
      <c r="AC99" s="30">
        <f ca="1">$I$27*$AC$27</f>
        <v>0</v>
      </c>
      <c r="AD99" s="30">
        <f>$I$27*$AD$27</f>
        <v>0</v>
      </c>
      <c r="AE99" s="30">
        <f>$I$27*$AE$27</f>
        <v>0</v>
      </c>
      <c r="AF99" s="30">
        <f ca="1">$I$27*$AF$27</f>
        <v>0</v>
      </c>
      <c r="AG99" s="30">
        <f ca="1">$I$27*$AG$27</f>
        <v>0</v>
      </c>
      <c r="AI99" s="30">
        <f>$I$27*$AI$27</f>
        <v>0</v>
      </c>
      <c r="AJ99" s="30">
        <f>$I$27*$AJ$27</f>
        <v>0</v>
      </c>
      <c r="AK99" s="30">
        <f>$I$27*$AK$27</f>
        <v>0</v>
      </c>
      <c r="AL99" s="30">
        <f>$I$27*$AL$27</f>
        <v>0</v>
      </c>
      <c r="AM99" s="30">
        <f>$I$27*$AM$27</f>
        <v>0</v>
      </c>
      <c r="AN99" s="30">
        <f>$I$27*$AN$27</f>
        <v>0</v>
      </c>
      <c r="AO99" s="30">
        <f>$I$27*$AO$27</f>
        <v>0</v>
      </c>
      <c r="AP99" s="30">
        <f>$I$27*$AP$27</f>
        <v>0</v>
      </c>
      <c r="AQ99" s="30">
        <f>$I$27*$AQ$27</f>
        <v>514394.99487178394</v>
      </c>
      <c r="AR99" s="30">
        <f>$I$27*$AR$27</f>
        <v>136452.82889579199</v>
      </c>
      <c r="AS99" s="30">
        <f>$I$27*$AS$27</f>
        <v>47211.384285819622</v>
      </c>
      <c r="AT99" s="30">
        <f>$I$27*$AT$27</f>
        <v>0</v>
      </c>
      <c r="AU99" s="30">
        <f>$I$27*$AU$27</f>
        <v>0</v>
      </c>
      <c r="AV99" s="30">
        <f>$I$27*$AV$27</f>
        <v>0</v>
      </c>
      <c r="AW99" s="30">
        <f>$I$27*$AW$27</f>
        <v>0</v>
      </c>
      <c r="AX99" s="30">
        <f>$I$27*$AX$27</f>
        <v>448426.93261720537</v>
      </c>
      <c r="AY99" s="30">
        <f>$I$27*$AY$27</f>
        <v>0</v>
      </c>
      <c r="AZ99" s="30">
        <f>$I$27*$AZ$27</f>
        <v>0</v>
      </c>
      <c r="BA99" s="30">
        <f>$I$27*$BA$27</f>
        <v>0</v>
      </c>
      <c r="BB99" s="30">
        <f>$I$27*$BB$27</f>
        <v>0</v>
      </c>
      <c r="BC99" s="30">
        <f>$I$27*$BC$27</f>
        <v>0</v>
      </c>
      <c r="BD99" s="30">
        <f>$I$27*$BD$27</f>
        <v>0</v>
      </c>
    </row>
    <row r="100" spans="1:56" ht="11.25" customHeight="1" x14ac:dyDescent="0.25">
      <c r="A100" s="9" t="s">
        <v>41</v>
      </c>
      <c r="B100" s="9" t="s">
        <v>1164</v>
      </c>
      <c r="C100" s="9" t="s">
        <v>1165</v>
      </c>
      <c r="D100" s="9" t="s">
        <v>1166</v>
      </c>
      <c r="E100" s="9" t="s">
        <v>1167</v>
      </c>
      <c r="F100" s="9" t="s">
        <v>1180</v>
      </c>
      <c r="G100" s="9" t="s">
        <v>1183</v>
      </c>
      <c r="L100" s="30">
        <f>$I$28*$L$28</f>
        <v>0</v>
      </c>
      <c r="M100" s="30">
        <f>$I$28*$M$28</f>
        <v>0</v>
      </c>
      <c r="N100" s="30">
        <f ca="1">$I$28*$N$28</f>
        <v>0</v>
      </c>
      <c r="O100" s="30">
        <f>$I$28*$O$28</f>
        <v>0</v>
      </c>
      <c r="P100" s="30">
        <f>$I$28*$P$28</f>
        <v>0</v>
      </c>
      <c r="Q100" s="30">
        <f>$I$28*$Q$28</f>
        <v>0</v>
      </c>
      <c r="R100" s="30">
        <f>$I$28*$R$28</f>
        <v>0</v>
      </c>
      <c r="S100" s="30">
        <f>$I$28*$S$28</f>
        <v>0</v>
      </c>
      <c r="T100" s="30">
        <f>$I$28*$T$28</f>
        <v>0</v>
      </c>
      <c r="U100" s="30">
        <f>$I$28*$U$28</f>
        <v>0</v>
      </c>
      <c r="V100" s="30">
        <f>$I$28*$V$28</f>
        <v>0</v>
      </c>
      <c r="W100" s="30">
        <f>$I$28*$W$28</f>
        <v>0</v>
      </c>
      <c r="X100" s="30">
        <f>$I$28*$X$28</f>
        <v>0</v>
      </c>
      <c r="Y100" s="30">
        <f>$I$28*$Y$28</f>
        <v>0</v>
      </c>
      <c r="Z100" s="30">
        <f>$I$28*$Z$28</f>
        <v>0</v>
      </c>
      <c r="AA100" s="30">
        <f>$I$28*$AA$28</f>
        <v>0</v>
      </c>
      <c r="AB100" s="30">
        <f>$I$28*$AB$28</f>
        <v>0</v>
      </c>
      <c r="AC100" s="30">
        <f ca="1">$I$28*$AC$28</f>
        <v>0</v>
      </c>
      <c r="AD100" s="30">
        <f>$I$28*$AD$28</f>
        <v>257448.65057517911</v>
      </c>
      <c r="AE100" s="30">
        <f>$I$28*$AE$28</f>
        <v>9166.109853376347</v>
      </c>
      <c r="AF100" s="30">
        <f ca="1">$I$28*$AF$28</f>
        <v>0</v>
      </c>
      <c r="AG100" s="30">
        <f ca="1">$I$28*$AG$28</f>
        <v>0</v>
      </c>
      <c r="AI100" s="30">
        <f>$I$28*$AI$28</f>
        <v>0</v>
      </c>
      <c r="AJ100" s="30">
        <f>$I$28*$AJ$28</f>
        <v>0</v>
      </c>
      <c r="AK100" s="30">
        <f>$I$28*$AK$28</f>
        <v>0</v>
      </c>
      <c r="AL100" s="30">
        <f>$I$28*$AL$28</f>
        <v>0</v>
      </c>
      <c r="AM100" s="30">
        <f>$I$28*$AM$28</f>
        <v>0</v>
      </c>
      <c r="AN100" s="30">
        <f>$I$28*$AN$28</f>
        <v>0</v>
      </c>
      <c r="AO100" s="30">
        <f>$I$28*$AO$28</f>
        <v>0</v>
      </c>
      <c r="AP100" s="30">
        <f>$I$28*$AP$28</f>
        <v>0</v>
      </c>
      <c r="AQ100" s="30">
        <f>$I$28*$AQ$28</f>
        <v>0</v>
      </c>
      <c r="AR100" s="30">
        <f>$I$28*$AR$28</f>
        <v>0</v>
      </c>
      <c r="AS100" s="30">
        <f>$I$28*$AS$28</f>
        <v>0</v>
      </c>
      <c r="AT100" s="30">
        <f>$I$28*$AT$28</f>
        <v>0</v>
      </c>
      <c r="AU100" s="30">
        <f>$I$28*$AU$28</f>
        <v>0</v>
      </c>
      <c r="AV100" s="30">
        <f>$I$28*$AV$28</f>
        <v>0</v>
      </c>
      <c r="AW100" s="30">
        <f>$I$28*$AW$28</f>
        <v>0</v>
      </c>
      <c r="AX100" s="30">
        <f>$I$28*$AX$28</f>
        <v>0</v>
      </c>
      <c r="AY100" s="30">
        <f>$I$28*$AY$28</f>
        <v>0</v>
      </c>
      <c r="AZ100" s="30">
        <f>$I$28*$AZ$28</f>
        <v>0</v>
      </c>
      <c r="BA100" s="30">
        <f>$I$28*$BA$28</f>
        <v>223192.75847416019</v>
      </c>
      <c r="BB100" s="30">
        <f>$I$28*$BB$28</f>
        <v>7583.1075962826962</v>
      </c>
      <c r="BC100" s="30">
        <f>$I$28*$BC$28</f>
        <v>0</v>
      </c>
      <c r="BD100" s="30">
        <f>$I$28*$BD$28</f>
        <v>0</v>
      </c>
    </row>
    <row r="101" spans="1:56" ht="11.25" customHeight="1" x14ac:dyDescent="0.25">
      <c r="A101" s="9" t="s">
        <v>41</v>
      </c>
      <c r="B101" s="9" t="s">
        <v>1184</v>
      </c>
      <c r="C101" s="9" t="s">
        <v>1185</v>
      </c>
      <c r="D101" s="9" t="s">
        <v>1186</v>
      </c>
      <c r="E101" s="9" t="s">
        <v>1187</v>
      </c>
      <c r="F101" s="9" t="s">
        <v>1188</v>
      </c>
      <c r="G101" s="9" t="s">
        <v>1189</v>
      </c>
      <c r="L101" s="30">
        <f>$I$29*$L$29</f>
        <v>0</v>
      </c>
      <c r="M101" s="30">
        <f>$I$29*$M$29</f>
        <v>241.58149245165853</v>
      </c>
      <c r="N101" s="30">
        <f ca="1">$I$29*$N$29</f>
        <v>942.59193446503343</v>
      </c>
      <c r="O101" s="30">
        <f>$I$29*$O$29</f>
        <v>0</v>
      </c>
      <c r="P101" s="30">
        <f>$I$29*$P$29</f>
        <v>0</v>
      </c>
      <c r="Q101" s="30">
        <f>$I$29*$Q$29</f>
        <v>0</v>
      </c>
      <c r="R101" s="30">
        <f>$I$29*$R$29</f>
        <v>0</v>
      </c>
      <c r="S101" s="30">
        <f>$I$29*$S$29</f>
        <v>0</v>
      </c>
      <c r="T101" s="30">
        <f>$I$29*$T$29</f>
        <v>0</v>
      </c>
      <c r="U101" s="30">
        <f>$I$29*$U$29</f>
        <v>0</v>
      </c>
      <c r="V101" s="30">
        <f>$I$29*$V$29</f>
        <v>0</v>
      </c>
      <c r="W101" s="30">
        <f>$I$29*$W$29</f>
        <v>0</v>
      </c>
      <c r="X101" s="30">
        <f>$I$29*$X$29</f>
        <v>0</v>
      </c>
      <c r="Y101" s="30">
        <f>$I$29*$Y$29</f>
        <v>0</v>
      </c>
      <c r="Z101" s="30">
        <f>$I$29*$Z$29</f>
        <v>0</v>
      </c>
      <c r="AA101" s="30">
        <f>$I$29*$AA$29</f>
        <v>109799.9424900819</v>
      </c>
      <c r="AB101" s="30">
        <f ca="1">$I$29*$AB$29</f>
        <v>-8763.0394351734649</v>
      </c>
      <c r="AC101" s="30">
        <f ca="1">$I$29*$AC$29</f>
        <v>0</v>
      </c>
      <c r="AD101" s="30">
        <f>$I$29*$AD$29</f>
        <v>0</v>
      </c>
      <c r="AE101" s="30">
        <f>$I$29*$AE$29</f>
        <v>0</v>
      </c>
      <c r="AF101" s="30">
        <f ca="1">$I$29*$AF$29</f>
        <v>0</v>
      </c>
      <c r="AG101" s="30">
        <f ca="1">$I$29*$AG$29</f>
        <v>0</v>
      </c>
      <c r="AI101" s="30">
        <f>$I$29*$AI$29</f>
        <v>0</v>
      </c>
      <c r="AJ101" s="30">
        <f>$I$29*$AJ$29</f>
        <v>255.13353688007768</v>
      </c>
      <c r="AK101" s="30">
        <f>$I$29*$AK$29</f>
        <v>940.55371509486952</v>
      </c>
      <c r="AL101" s="30">
        <f>$I$29*$AL$29</f>
        <v>0</v>
      </c>
      <c r="AM101" s="30">
        <f>$I$29*$AM$29</f>
        <v>0</v>
      </c>
      <c r="AN101" s="30">
        <f>$I$29*$AN$29</f>
        <v>0</v>
      </c>
      <c r="AO101" s="30">
        <f>$I$29*$AO$29</f>
        <v>0</v>
      </c>
      <c r="AP101" s="30">
        <f>$I$29*$AP$29</f>
        <v>0</v>
      </c>
      <c r="AQ101" s="30">
        <f>$I$29*$AQ$29</f>
        <v>0</v>
      </c>
      <c r="AR101" s="30">
        <f>$I$29*$AR$29</f>
        <v>0</v>
      </c>
      <c r="AS101" s="30">
        <f>$I$29*$AS$29</f>
        <v>0</v>
      </c>
      <c r="AT101" s="30">
        <f>$I$29*$AT$29</f>
        <v>0</v>
      </c>
      <c r="AU101" s="30">
        <f>$I$29*$AU$29</f>
        <v>0</v>
      </c>
      <c r="AV101" s="30">
        <f>$I$29*$AV$29</f>
        <v>0</v>
      </c>
      <c r="AW101" s="30">
        <f>$I$29*$AW$29</f>
        <v>0</v>
      </c>
      <c r="AX101" s="30">
        <f>$I$29*$AX$29</f>
        <v>82665.658719030704</v>
      </c>
      <c r="AY101" s="30">
        <f>$I$29*$AY$29</f>
        <v>-51.830844019235549</v>
      </c>
      <c r="AZ101" s="30">
        <f>$I$29*$AZ$29</f>
        <v>0</v>
      </c>
      <c r="BA101" s="30">
        <f>$I$29*$BA$29</f>
        <v>0</v>
      </c>
      <c r="BB101" s="30">
        <f>$I$29*$BB$29</f>
        <v>0</v>
      </c>
      <c r="BC101" s="30">
        <f>$I$29*$BC$29</f>
        <v>0</v>
      </c>
      <c r="BD101" s="30">
        <f>$I$29*$BD$29</f>
        <v>0</v>
      </c>
    </row>
    <row r="102" spans="1:56" ht="11.25" customHeight="1" x14ac:dyDescent="0.25">
      <c r="A102" s="9" t="s">
        <v>41</v>
      </c>
      <c r="B102" s="9" t="s">
        <v>1190</v>
      </c>
      <c r="C102" s="9" t="s">
        <v>1191</v>
      </c>
      <c r="D102" s="9" t="s">
        <v>1192</v>
      </c>
      <c r="E102" s="9" t="s">
        <v>1193</v>
      </c>
      <c r="F102" s="9" t="s">
        <v>1194</v>
      </c>
      <c r="G102" s="9" t="s">
        <v>1195</v>
      </c>
      <c r="L102" s="30">
        <f>$I$30*$L$30</f>
        <v>0</v>
      </c>
      <c r="M102" s="30">
        <f>$I$30*$M$30</f>
        <v>0</v>
      </c>
      <c r="N102" s="30">
        <f ca="1">$I$30*$N$30</f>
        <v>0</v>
      </c>
      <c r="O102" s="30">
        <f>$I$30*$O$30</f>
        <v>0</v>
      </c>
      <c r="P102" s="30">
        <f>$I$30*$P$30</f>
        <v>0</v>
      </c>
      <c r="Q102" s="30">
        <f>$I$30*$Q$30</f>
        <v>0</v>
      </c>
      <c r="R102" s="30">
        <f>$I$30*$R$30</f>
        <v>0</v>
      </c>
      <c r="S102" s="30">
        <f>$I$30*$S$30</f>
        <v>0</v>
      </c>
      <c r="T102" s="30">
        <f>$I$30*$T$30</f>
        <v>13925636.387666173</v>
      </c>
      <c r="U102" s="30">
        <f>$I$30*$U$30</f>
        <v>2470845.4359470168</v>
      </c>
      <c r="V102" s="30">
        <f>$I$30*$V$30</f>
        <v>1933398.0580284137</v>
      </c>
      <c r="W102" s="30">
        <f>$I$30*$W$30</f>
        <v>0</v>
      </c>
      <c r="X102" s="30">
        <f>$I$30*$X$30</f>
        <v>0</v>
      </c>
      <c r="Y102" s="30">
        <f>$I$30*$Y$30</f>
        <v>0</v>
      </c>
      <c r="Z102" s="30">
        <f>$I$30*$Z$30</f>
        <v>0</v>
      </c>
      <c r="AA102" s="30">
        <f>$I$30*$AA$30</f>
        <v>42628738.535546921</v>
      </c>
      <c r="AB102" s="30">
        <f ca="1">$I$30*$AB$30</f>
        <v>-4640972.2795270402</v>
      </c>
      <c r="AC102" s="30">
        <f ca="1">$I$30*$AC$30</f>
        <v>0</v>
      </c>
      <c r="AD102" s="30">
        <f>$I$30*$AD$30</f>
        <v>0</v>
      </c>
      <c r="AE102" s="30">
        <f>$I$30*$AE$30</f>
        <v>0</v>
      </c>
      <c r="AF102" s="30">
        <f ca="1">$I$30*$AF$30</f>
        <v>0</v>
      </c>
      <c r="AG102" s="30">
        <f ca="1">$I$30*$AG$30</f>
        <v>0</v>
      </c>
      <c r="AI102" s="30">
        <f>$I$30*$AI$30</f>
        <v>0</v>
      </c>
      <c r="AJ102" s="30">
        <f>$I$30*$AJ$30</f>
        <v>0</v>
      </c>
      <c r="AK102" s="30">
        <f>$I$30*$AK$30</f>
        <v>0</v>
      </c>
      <c r="AL102" s="30">
        <f>$I$30*$AL$30</f>
        <v>0</v>
      </c>
      <c r="AM102" s="30">
        <f>$I$30*$AM$30</f>
        <v>0</v>
      </c>
      <c r="AN102" s="30">
        <f>$I$30*$AN$30</f>
        <v>0</v>
      </c>
      <c r="AO102" s="30">
        <f>$I$30*$AO$30</f>
        <v>0</v>
      </c>
      <c r="AP102" s="30">
        <f>$I$30*$AP$30</f>
        <v>0</v>
      </c>
      <c r="AQ102" s="30">
        <f>$I$30*$AQ$30</f>
        <v>14308626.723311272</v>
      </c>
      <c r="AR102" s="30">
        <f>$I$30*$AR$30</f>
        <v>3795629.0661350824</v>
      </c>
      <c r="AS102" s="30">
        <f>$I$30*$AS$30</f>
        <v>1313251.648191049</v>
      </c>
      <c r="AT102" s="30">
        <f>$I$30*$AT$30</f>
        <v>0</v>
      </c>
      <c r="AU102" s="30">
        <f>$I$30*$AU$30</f>
        <v>0</v>
      </c>
      <c r="AV102" s="30">
        <f>$I$30*$AV$30</f>
        <v>0</v>
      </c>
      <c r="AW102" s="30">
        <f>$I$30*$AW$30</f>
        <v>0</v>
      </c>
      <c r="AX102" s="30">
        <f>$I$30*$AX$30</f>
        <v>32094122.013958439</v>
      </c>
      <c r="AY102" s="30">
        <f>$I$30*$AY$30</f>
        <v>-29775.705811275828</v>
      </c>
      <c r="AZ102" s="30">
        <f>$I$30*$AZ$30</f>
        <v>0</v>
      </c>
      <c r="BA102" s="30">
        <f>$I$30*$BA$30</f>
        <v>0</v>
      </c>
      <c r="BB102" s="30">
        <f>$I$30*$BB$30</f>
        <v>0</v>
      </c>
      <c r="BC102" s="30">
        <f>$I$30*$BC$30</f>
        <v>0</v>
      </c>
      <c r="BD102" s="30">
        <f>$I$30*$BD$30</f>
        <v>0</v>
      </c>
    </row>
    <row r="103" spans="1:56" ht="11.25" customHeight="1" x14ac:dyDescent="0.25">
      <c r="A103" s="9" t="s">
        <v>41</v>
      </c>
      <c r="B103" s="9" t="s">
        <v>1190</v>
      </c>
      <c r="C103" s="9" t="s">
        <v>1191</v>
      </c>
      <c r="D103" s="9" t="s">
        <v>1192</v>
      </c>
      <c r="E103" s="9" t="s">
        <v>1193</v>
      </c>
      <c r="F103" s="9" t="s">
        <v>1194</v>
      </c>
      <c r="G103" s="9" t="s">
        <v>1196</v>
      </c>
      <c r="L103" s="30">
        <f>$I$31*$L$31</f>
        <v>98628.67553990001</v>
      </c>
      <c r="M103" s="30">
        <f>$I$31*$M$31</f>
        <v>21884.412475832636</v>
      </c>
      <c r="N103" s="30">
        <f ca="1">$I$31*$N$31</f>
        <v>499085.46135627467</v>
      </c>
      <c r="O103" s="30">
        <f>$I$31*$O$31</f>
        <v>676.55066038526957</v>
      </c>
      <c r="P103" s="30">
        <f>$I$31*$P$31</f>
        <v>0</v>
      </c>
      <c r="Q103" s="30">
        <f>$I$31*$Q$31</f>
        <v>959722.05951547308</v>
      </c>
      <c r="R103" s="30">
        <f>$I$31*$R$31</f>
        <v>465379.84405021358</v>
      </c>
      <c r="S103" s="30">
        <f>$I$31*$S$31</f>
        <v>0</v>
      </c>
      <c r="T103" s="30">
        <f>$I$31*$T$31</f>
        <v>4586081.0900942069</v>
      </c>
      <c r="U103" s="30">
        <f>$I$31*$U$31</f>
        <v>803507.6547092041</v>
      </c>
      <c r="V103" s="30">
        <f>$I$31*$V$31</f>
        <v>865706.58655705478</v>
      </c>
      <c r="W103" s="30">
        <f>$I$31*$W$31</f>
        <v>0</v>
      </c>
      <c r="X103" s="30">
        <f>$I$31*$X$31</f>
        <v>0</v>
      </c>
      <c r="Y103" s="30">
        <f>$I$31*$Y$31</f>
        <v>0</v>
      </c>
      <c r="Z103" s="30">
        <f>$I$31*$Z$31</f>
        <v>0</v>
      </c>
      <c r="AA103" s="30">
        <f>$I$31*$AA$31</f>
        <v>49382848.440725312</v>
      </c>
      <c r="AB103" s="30">
        <f ca="1">$I$31*$AB$31</f>
        <v>-4540316.0164845716</v>
      </c>
      <c r="AC103" s="30">
        <f ca="1">$I$31*$AC$31</f>
        <v>0</v>
      </c>
      <c r="AD103" s="30">
        <f>$I$31*$AD$31</f>
        <v>314287.20623277355</v>
      </c>
      <c r="AE103" s="30">
        <f>$I$31*$AE$31</f>
        <v>11189.76949929327</v>
      </c>
      <c r="AF103" s="30">
        <f ca="1">$I$31*$AF$31</f>
        <v>176165.89985868265</v>
      </c>
      <c r="AG103" s="30">
        <f ca="1">$I$31*$AG$31</f>
        <v>0</v>
      </c>
      <c r="AI103" s="30">
        <f>$I$31*$AI$31</f>
        <v>0</v>
      </c>
      <c r="AJ103" s="30">
        <f>$I$31*$AJ$31</f>
        <v>20434.181383499053</v>
      </c>
      <c r="AK103" s="30">
        <f>$I$31*$AK$31</f>
        <v>497629.50413799682</v>
      </c>
      <c r="AL103" s="30">
        <f>$I$31*$AL$31</f>
        <v>760.13534155286732</v>
      </c>
      <c r="AM103" s="30">
        <f>$I$31*$AM$31</f>
        <v>0</v>
      </c>
      <c r="AN103" s="30">
        <f>$I$31*$AN$31</f>
        <v>584746.60672739334</v>
      </c>
      <c r="AO103" s="30">
        <f>$I$31*$AO$31</f>
        <v>320277.33998948813</v>
      </c>
      <c r="AP103" s="30">
        <f>$I$31*$AP$31</f>
        <v>0</v>
      </c>
      <c r="AQ103" s="30">
        <f>$I$31*$AQ$31</f>
        <v>4712209.9568184894</v>
      </c>
      <c r="AR103" s="30">
        <f>$I$31*$AR$31</f>
        <v>1234321.2427236938</v>
      </c>
      <c r="AS103" s="30">
        <f>$I$31*$AS$31</f>
        <v>588027.17677561275</v>
      </c>
      <c r="AT103" s="30">
        <f>$I$31*$AT$31</f>
        <v>0</v>
      </c>
      <c r="AU103" s="30">
        <f>$I$31*$AU$31</f>
        <v>0</v>
      </c>
      <c r="AV103" s="30">
        <f>$I$31*$AV$31</f>
        <v>0</v>
      </c>
      <c r="AW103" s="30">
        <f>$I$31*$AW$31</f>
        <v>0</v>
      </c>
      <c r="AX103" s="30">
        <f>$I$31*$AX$31</f>
        <v>37179124.170701295</v>
      </c>
      <c r="AY103" s="30">
        <f>$I$31*$AY$31</f>
        <v>-27414.15019546344</v>
      </c>
      <c r="AZ103" s="30">
        <f>$I$31*$AZ$31</f>
        <v>0</v>
      </c>
      <c r="BA103" s="30">
        <f>$I$31*$BA$31</f>
        <v>272468.42566667899</v>
      </c>
      <c r="BB103" s="30">
        <f>$I$31*$BB$31</f>
        <v>9257.2778908478194</v>
      </c>
      <c r="BC103" s="30">
        <f>$I$31*$BC$31</f>
        <v>165016.66226055351</v>
      </c>
      <c r="BD103" s="30">
        <f>$I$31*$BD$31</f>
        <v>0</v>
      </c>
    </row>
    <row r="104" spans="1:56" ht="11.25" customHeight="1" x14ac:dyDescent="0.25">
      <c r="A104" s="9" t="s">
        <v>41</v>
      </c>
      <c r="B104" s="9" t="s">
        <v>1190</v>
      </c>
      <c r="C104" s="9" t="s">
        <v>1191</v>
      </c>
      <c r="D104" s="9" t="s">
        <v>1192</v>
      </c>
      <c r="E104" s="9" t="s">
        <v>1193</v>
      </c>
      <c r="F104" s="9" t="s">
        <v>1194</v>
      </c>
      <c r="G104" s="9" t="s">
        <v>1197</v>
      </c>
      <c r="L104" s="30">
        <f>$I$32*$L$32</f>
        <v>1471106.8032651318</v>
      </c>
      <c r="M104" s="30">
        <f>$I$32*$M$32</f>
        <v>326419.34916416457</v>
      </c>
      <c r="N104" s="30">
        <f ca="1">$I$32*$N$32</f>
        <v>208200.90126587247</v>
      </c>
      <c r="O104" s="30">
        <f>$I$32*$O$32</f>
        <v>10091.165412067712</v>
      </c>
      <c r="P104" s="30">
        <f>$I$32*$P$32</f>
        <v>0</v>
      </c>
      <c r="Q104" s="30">
        <f>$I$32*$Q$32</f>
        <v>14314839.404141383</v>
      </c>
      <c r="R104" s="30">
        <f>$I$32*$R$32</f>
        <v>6941423.9919279097</v>
      </c>
      <c r="S104" s="30">
        <f>$I$32*$S$32</f>
        <v>0</v>
      </c>
      <c r="T104" s="30">
        <f>$I$32*$T$32</f>
        <v>0</v>
      </c>
      <c r="U104" s="30">
        <f>$I$32*$U$32</f>
        <v>0</v>
      </c>
      <c r="V104" s="30">
        <f>$I$32*$V$32</f>
        <v>0</v>
      </c>
      <c r="W104" s="30">
        <f>$I$32*$W$32</f>
        <v>0</v>
      </c>
      <c r="X104" s="30">
        <f>$I$32*$X$32</f>
        <v>0</v>
      </c>
      <c r="Y104" s="30">
        <f>$I$32*$Y$32</f>
        <v>0</v>
      </c>
      <c r="Z104" s="30">
        <f>$I$32*$Z$32</f>
        <v>0</v>
      </c>
      <c r="AA104" s="30">
        <f>$I$32*$AA$32</f>
        <v>0</v>
      </c>
      <c r="AB104" s="30">
        <f ca="1">$I$32*$AB$32</f>
        <v>-2452695.1494715586</v>
      </c>
      <c r="AC104" s="30">
        <f ca="1">$I$32*$AC$32</f>
        <v>0</v>
      </c>
      <c r="AD104" s="30">
        <f>$I$32*$AD$32</f>
        <v>4687785.2180138221</v>
      </c>
      <c r="AE104" s="30">
        <f>$I$32*$AE$32</f>
        <v>166902.23149878552</v>
      </c>
      <c r="AF104" s="30">
        <f ca="1">$I$32*$AF$32</f>
        <v>2627621.7577370778</v>
      </c>
      <c r="AG104" s="30">
        <f ca="1">$I$32*$AG$32</f>
        <v>0</v>
      </c>
      <c r="AI104" s="30">
        <f>$I$32*$AI$32</f>
        <v>0</v>
      </c>
      <c r="AJ104" s="30">
        <f>$I$32*$AJ$32</f>
        <v>304788.26860306063</v>
      </c>
      <c r="AK104" s="30">
        <f>$I$32*$AK$32</f>
        <v>202131.14021610271</v>
      </c>
      <c r="AL104" s="30">
        <f>$I$32*$AL$32</f>
        <v>11337.881870960602</v>
      </c>
      <c r="AM104" s="30">
        <f>$I$32*$AM$32</f>
        <v>0</v>
      </c>
      <c r="AN104" s="30">
        <f>$I$32*$AN$32</f>
        <v>8721852.0033239909</v>
      </c>
      <c r="AO104" s="30">
        <f>$I$32*$AO$32</f>
        <v>4777131.7135814931</v>
      </c>
      <c r="AP104" s="30">
        <f>$I$32*$AP$32</f>
        <v>0</v>
      </c>
      <c r="AQ104" s="30">
        <f>$I$32*$AQ$32</f>
        <v>0</v>
      </c>
      <c r="AR104" s="30">
        <f>$I$32*$AR$32</f>
        <v>0</v>
      </c>
      <c r="AS104" s="30">
        <f>$I$32*$AS$32</f>
        <v>0</v>
      </c>
      <c r="AT104" s="30">
        <f>$I$32*$AT$32</f>
        <v>0</v>
      </c>
      <c r="AU104" s="30">
        <f>$I$32*$AU$32</f>
        <v>0</v>
      </c>
      <c r="AV104" s="30">
        <f>$I$32*$AV$32</f>
        <v>0</v>
      </c>
      <c r="AW104" s="30">
        <f>$I$32*$AW$32</f>
        <v>0</v>
      </c>
      <c r="AX104" s="30">
        <f>$I$32*$AX$32</f>
        <v>0</v>
      </c>
      <c r="AY104" s="30">
        <f>$I$32*$AY$32</f>
        <v>-11797.533167786776</v>
      </c>
      <c r="AZ104" s="30">
        <f>$I$32*$AZ$32</f>
        <v>0</v>
      </c>
      <c r="BA104" s="30">
        <f>$I$32*$BA$32</f>
        <v>4064032.6201180341</v>
      </c>
      <c r="BB104" s="30">
        <f>$I$32*$BB$32</f>
        <v>138077.94143431244</v>
      </c>
      <c r="BC104" s="30">
        <f>$I$32*$BC$32</f>
        <v>2461324.0842456408</v>
      </c>
      <c r="BD104" s="30">
        <f>$I$32*$BD$32</f>
        <v>0</v>
      </c>
    </row>
    <row r="105" spans="1:56" ht="11.25" customHeight="1" x14ac:dyDescent="0.25">
      <c r="A105" s="9" t="s">
        <v>41</v>
      </c>
      <c r="B105" s="9" t="s">
        <v>1190</v>
      </c>
      <c r="C105" s="9" t="s">
        <v>1191</v>
      </c>
      <c r="D105" s="9" t="s">
        <v>1192</v>
      </c>
      <c r="E105" s="9" t="s">
        <v>1198</v>
      </c>
      <c r="F105" s="9" t="s">
        <v>1199</v>
      </c>
      <c r="G105" s="9" t="s">
        <v>1200</v>
      </c>
      <c r="L105" s="30">
        <f>$I$33*$L$33</f>
        <v>0</v>
      </c>
      <c r="M105" s="30">
        <f>$I$33*$M$33</f>
        <v>0</v>
      </c>
      <c r="N105" s="30">
        <f ca="1">$I$33*$N$33</f>
        <v>0</v>
      </c>
      <c r="O105" s="30">
        <f>$I$33*$O$33</f>
        <v>0</v>
      </c>
      <c r="P105" s="30">
        <f>$I$33*$P$33</f>
        <v>0</v>
      </c>
      <c r="Q105" s="30">
        <f>$I$33*$Q$33</f>
        <v>0</v>
      </c>
      <c r="R105" s="30">
        <f>$I$33*$R$33</f>
        <v>0</v>
      </c>
      <c r="S105" s="30">
        <f>$I$33*$S$33</f>
        <v>0</v>
      </c>
      <c r="T105" s="30">
        <f>$I$33*$T$33</f>
        <v>0</v>
      </c>
      <c r="U105" s="30">
        <f>$I$33*$U$33</f>
        <v>0</v>
      </c>
      <c r="V105" s="30">
        <f>$I$33*$V$33</f>
        <v>0</v>
      </c>
      <c r="W105" s="30">
        <f>$I$33*$W$33</f>
        <v>0</v>
      </c>
      <c r="X105" s="30">
        <f>$I$33*$X$33</f>
        <v>0</v>
      </c>
      <c r="Y105" s="30">
        <f>$I$33*$Y$33</f>
        <v>0</v>
      </c>
      <c r="Z105" s="30">
        <f>$I$33*$Z$33</f>
        <v>0</v>
      </c>
      <c r="AA105" s="30">
        <f>$I$33*$AA$33</f>
        <v>0</v>
      </c>
      <c r="AB105" s="30">
        <f ca="1">$I$33*$AB$33</f>
        <v>0</v>
      </c>
      <c r="AC105" s="30">
        <f ca="1">$I$33*$AC$33</f>
        <v>0</v>
      </c>
      <c r="AD105" s="30">
        <f>$I$33*$AD$33</f>
        <v>0</v>
      </c>
      <c r="AE105" s="30">
        <f>$I$33*$AE$33</f>
        <v>0</v>
      </c>
      <c r="AF105" s="30">
        <f ca="1">$I$33*$AF$33</f>
        <v>0</v>
      </c>
      <c r="AG105" s="30">
        <f ca="1">$I$33*$AG$33</f>
        <v>0</v>
      </c>
      <c r="AI105" s="30">
        <f>$I$33*$AI$33</f>
        <v>0</v>
      </c>
      <c r="AJ105" s="30">
        <f>$I$33*$AJ$33</f>
        <v>0</v>
      </c>
      <c r="AK105" s="30">
        <f>$I$33*$AK$33</f>
        <v>0</v>
      </c>
      <c r="AL105" s="30">
        <f>$I$33*$AL$33</f>
        <v>0</v>
      </c>
      <c r="AM105" s="30">
        <f>$I$33*$AM$33</f>
        <v>0</v>
      </c>
      <c r="AN105" s="30">
        <f>$I$33*$AN$33</f>
        <v>0</v>
      </c>
      <c r="AO105" s="30">
        <f>$I$33*$AO$33</f>
        <v>0</v>
      </c>
      <c r="AP105" s="30">
        <f>$I$33*$AP$33</f>
        <v>0</v>
      </c>
      <c r="AQ105" s="30">
        <f>$I$33*$AQ$33</f>
        <v>0</v>
      </c>
      <c r="AR105" s="30">
        <f>$I$33*$AR$33</f>
        <v>0</v>
      </c>
      <c r="AS105" s="30">
        <f>$I$33*$AS$33</f>
        <v>0</v>
      </c>
      <c r="AT105" s="30">
        <f>$I$33*$AT$33</f>
        <v>0</v>
      </c>
      <c r="AU105" s="30">
        <f>$I$33*$AU$33</f>
        <v>0</v>
      </c>
      <c r="AV105" s="30">
        <f>$I$33*$AV$33</f>
        <v>0</v>
      </c>
      <c r="AW105" s="30">
        <f>$I$33*$AW$33</f>
        <v>0</v>
      </c>
      <c r="AX105" s="30">
        <f>$I$33*$AX$33</f>
        <v>0</v>
      </c>
      <c r="AY105" s="30">
        <f>$I$33*$AY$33</f>
        <v>0</v>
      </c>
      <c r="AZ105" s="30">
        <f>$I$33*$AZ$33</f>
        <v>0</v>
      </c>
      <c r="BA105" s="30">
        <f>$I$33*$BA$33</f>
        <v>0</v>
      </c>
      <c r="BB105" s="30">
        <f>$I$33*$BB$33</f>
        <v>0</v>
      </c>
      <c r="BC105" s="30">
        <f>$I$33*$BC$33</f>
        <v>0</v>
      </c>
      <c r="BD105" s="30">
        <f>$I$33*$BD$33</f>
        <v>0</v>
      </c>
    </row>
    <row r="106" spans="1:56" ht="11.25" customHeight="1" x14ac:dyDescent="0.25">
      <c r="A106" s="9" t="s">
        <v>41</v>
      </c>
      <c r="B106" s="9" t="s">
        <v>1190</v>
      </c>
      <c r="C106" s="9" t="s">
        <v>1191</v>
      </c>
      <c r="D106" s="9" t="s">
        <v>1192</v>
      </c>
      <c r="E106" s="9" t="s">
        <v>1198</v>
      </c>
      <c r="F106" s="9" t="s">
        <v>1199</v>
      </c>
      <c r="G106" s="9" t="s">
        <v>1201</v>
      </c>
      <c r="L106" s="30">
        <f>$I$34*$L$34</f>
        <v>0</v>
      </c>
      <c r="M106" s="30">
        <f>$I$34*$M$34</f>
        <v>0</v>
      </c>
      <c r="N106" s="30">
        <f ca="1">$I$34*$N$34</f>
        <v>0</v>
      </c>
      <c r="O106" s="30">
        <f>$I$34*$O$34</f>
        <v>0</v>
      </c>
      <c r="P106" s="30">
        <f>$I$34*$P$34</f>
        <v>0</v>
      </c>
      <c r="Q106" s="30">
        <f>$I$34*$Q$34</f>
        <v>0</v>
      </c>
      <c r="R106" s="30">
        <f>$I$34*$R$34</f>
        <v>0</v>
      </c>
      <c r="S106" s="30">
        <f>$I$34*$S$34</f>
        <v>0</v>
      </c>
      <c r="T106" s="30">
        <f>$I$34*$T$34</f>
        <v>0</v>
      </c>
      <c r="U106" s="30">
        <f>$I$34*$U$34</f>
        <v>0</v>
      </c>
      <c r="V106" s="30">
        <f>$I$34*$V$34</f>
        <v>0</v>
      </c>
      <c r="W106" s="30">
        <f>$I$34*$W$34</f>
        <v>0</v>
      </c>
      <c r="X106" s="30">
        <f>$I$34*$X$34</f>
        <v>0</v>
      </c>
      <c r="Y106" s="30">
        <f>$I$34*$Y$34</f>
        <v>0</v>
      </c>
      <c r="Z106" s="30">
        <f>$I$34*$Z$34</f>
        <v>0</v>
      </c>
      <c r="AA106" s="30">
        <f>$I$34*$AA$34</f>
        <v>0</v>
      </c>
      <c r="AB106" s="30">
        <f ca="1">$I$34*$AB$34</f>
        <v>0</v>
      </c>
      <c r="AC106" s="30">
        <f ca="1">$I$34*$AC$34</f>
        <v>0</v>
      </c>
      <c r="AD106" s="30">
        <f>$I$34*$AD$34</f>
        <v>0</v>
      </c>
      <c r="AE106" s="30">
        <f>$I$34*$AE$34</f>
        <v>0</v>
      </c>
      <c r="AF106" s="30">
        <f ca="1">$I$34*$AF$34</f>
        <v>0</v>
      </c>
      <c r="AG106" s="30">
        <f ca="1">$I$34*$AG$34</f>
        <v>0</v>
      </c>
      <c r="AI106" s="30">
        <f>$I$34*$AI$34</f>
        <v>0</v>
      </c>
      <c r="AJ106" s="30">
        <f>$I$34*$AJ$34</f>
        <v>0</v>
      </c>
      <c r="AK106" s="30">
        <f>$I$34*$AK$34</f>
        <v>0</v>
      </c>
      <c r="AL106" s="30">
        <f>$I$34*$AL$34</f>
        <v>0</v>
      </c>
      <c r="AM106" s="30">
        <f>$I$34*$AM$34</f>
        <v>0</v>
      </c>
      <c r="AN106" s="30">
        <f>$I$34*$AN$34</f>
        <v>0</v>
      </c>
      <c r="AO106" s="30">
        <f>$I$34*$AO$34</f>
        <v>0</v>
      </c>
      <c r="AP106" s="30">
        <f>$I$34*$AP$34</f>
        <v>0</v>
      </c>
      <c r="AQ106" s="30">
        <f>$I$34*$AQ$34</f>
        <v>0</v>
      </c>
      <c r="AR106" s="30">
        <f>$I$34*$AR$34</f>
        <v>0</v>
      </c>
      <c r="AS106" s="30">
        <f>$I$34*$AS$34</f>
        <v>0</v>
      </c>
      <c r="AT106" s="30">
        <f>$I$34*$AT$34</f>
        <v>0</v>
      </c>
      <c r="AU106" s="30">
        <f>$I$34*$AU$34</f>
        <v>0</v>
      </c>
      <c r="AV106" s="30">
        <f>$I$34*$AV$34</f>
        <v>0</v>
      </c>
      <c r="AW106" s="30">
        <f>$I$34*$AW$34</f>
        <v>0</v>
      </c>
      <c r="AX106" s="30">
        <f>$I$34*$AX$34</f>
        <v>0</v>
      </c>
      <c r="AY106" s="30">
        <f>$I$34*$AY$34</f>
        <v>0</v>
      </c>
      <c r="AZ106" s="30">
        <f>$I$34*$AZ$34</f>
        <v>0</v>
      </c>
      <c r="BA106" s="30">
        <f>$I$34*$BA$34</f>
        <v>0</v>
      </c>
      <c r="BB106" s="30">
        <f>$I$34*$BB$34</f>
        <v>0</v>
      </c>
      <c r="BC106" s="30">
        <f>$I$34*$BC$34</f>
        <v>0</v>
      </c>
      <c r="BD106" s="30">
        <f>$I$34*$BD$34</f>
        <v>0</v>
      </c>
    </row>
    <row r="107" spans="1:56" ht="11.25" customHeight="1" x14ac:dyDescent="0.25">
      <c r="A107" s="9" t="s">
        <v>104</v>
      </c>
      <c r="B107" s="9" t="s">
        <v>1202</v>
      </c>
      <c r="C107" s="9" t="s">
        <v>1203</v>
      </c>
      <c r="D107" s="9" t="s">
        <v>1204</v>
      </c>
      <c r="E107" s="9" t="s">
        <v>1205</v>
      </c>
      <c r="F107" s="9" t="s">
        <v>1206</v>
      </c>
      <c r="G107" s="9" t="s">
        <v>1207</v>
      </c>
      <c r="L107" s="30">
        <f>$I$35*$L$35</f>
        <v>0</v>
      </c>
      <c r="M107" s="30">
        <f>$I$35*$M$35</f>
        <v>1.653515572098661E-10</v>
      </c>
      <c r="N107" s="30">
        <f ca="1">$I$35*$N$35</f>
        <v>6.4597097341659432E-10</v>
      </c>
      <c r="O107" s="30">
        <f>$I$35*$O$35</f>
        <v>0</v>
      </c>
      <c r="P107" s="30">
        <f>$I$35*$P$35</f>
        <v>0</v>
      </c>
      <c r="Q107" s="30">
        <f>$I$35*$Q$35</f>
        <v>0</v>
      </c>
      <c r="R107" s="30">
        <f>$I$35*$R$35</f>
        <v>0</v>
      </c>
      <c r="S107" s="30">
        <f>$I$35*$S$35</f>
        <v>0</v>
      </c>
      <c r="T107" s="30">
        <f>$I$35*$T$35</f>
        <v>0</v>
      </c>
      <c r="U107" s="30">
        <f>$I$35*$U$35</f>
        <v>0</v>
      </c>
      <c r="V107" s="30">
        <f>$I$35*$V$35</f>
        <v>0</v>
      </c>
      <c r="W107" s="30">
        <f>$I$35*$W$35</f>
        <v>0</v>
      </c>
      <c r="X107" s="30">
        <f>$I$35*$X$35</f>
        <v>0</v>
      </c>
      <c r="Y107" s="30">
        <f>$I$35*$Y$35</f>
        <v>0</v>
      </c>
      <c r="Z107" s="30">
        <f>$I$35*$Z$35</f>
        <v>0</v>
      </c>
      <c r="AA107" s="30">
        <f>$I$35*$AA$35</f>
        <v>7.5354065706298064E-8</v>
      </c>
      <c r="AB107" s="30">
        <f ca="1">$I$35*$AB$35</f>
        <v>-6.0138287994332929E-9</v>
      </c>
      <c r="AC107" s="30">
        <f ca="1">$I$35*$AC$35</f>
        <v>0</v>
      </c>
      <c r="AD107" s="30">
        <f>$I$35*$AD$35</f>
        <v>0</v>
      </c>
      <c r="AE107" s="30">
        <f>$I$35*$AE$35</f>
        <v>0</v>
      </c>
      <c r="AF107" s="30">
        <f ca="1">$I$35*$AF$35</f>
        <v>0</v>
      </c>
      <c r="AG107" s="30">
        <f ca="1">$I$35*$AG$35</f>
        <v>0</v>
      </c>
      <c r="AI107" s="30">
        <f>$I$35*$AI$35</f>
        <v>0</v>
      </c>
      <c r="AJ107" s="30">
        <f>$I$35*$AJ$35</f>
        <v>1.74627315989545E-10</v>
      </c>
      <c r="AK107" s="30">
        <f>$I$35*$AK$35</f>
        <v>6.4457415417547596E-10</v>
      </c>
      <c r="AL107" s="30">
        <f>$I$35*$AL$35</f>
        <v>0</v>
      </c>
      <c r="AM107" s="30">
        <f>$I$35*$AM$35</f>
        <v>0</v>
      </c>
      <c r="AN107" s="30">
        <f>$I$35*$AN$35</f>
        <v>0</v>
      </c>
      <c r="AO107" s="30">
        <f>$I$35*$AO$35</f>
        <v>0</v>
      </c>
      <c r="AP107" s="30">
        <f>$I$35*$AP$35</f>
        <v>0</v>
      </c>
      <c r="AQ107" s="30">
        <f>$I$35*$AQ$35</f>
        <v>0</v>
      </c>
      <c r="AR107" s="30">
        <f>$I$35*$AR$35</f>
        <v>0</v>
      </c>
      <c r="AS107" s="30">
        <f>$I$35*$AS$35</f>
        <v>0</v>
      </c>
      <c r="AT107" s="30">
        <f>$I$35*$AT$35</f>
        <v>0</v>
      </c>
      <c r="AU107" s="30">
        <f>$I$35*$AU$35</f>
        <v>0</v>
      </c>
      <c r="AV107" s="30">
        <f>$I$35*$AV$35</f>
        <v>0</v>
      </c>
      <c r="AW107" s="30">
        <f>$I$35*$AW$35</f>
        <v>0</v>
      </c>
      <c r="AX107" s="30">
        <f>$I$35*$AX$35</f>
        <v>5.6732210759863902E-8</v>
      </c>
      <c r="AY107" s="30">
        <f>$I$35*$AY$35</f>
        <v>-3.5569985389938102E-11</v>
      </c>
      <c r="AZ107" s="30">
        <f>$I$35*$AZ$35</f>
        <v>0</v>
      </c>
      <c r="BA107" s="30">
        <f>$I$35*$BA$35</f>
        <v>0</v>
      </c>
      <c r="BB107" s="30">
        <f>$I$35*$BB$35</f>
        <v>0</v>
      </c>
      <c r="BC107" s="30">
        <f>$I$35*$BC$35</f>
        <v>0</v>
      </c>
      <c r="BD107" s="30">
        <f>$I$35*$BD$35</f>
        <v>0</v>
      </c>
    </row>
    <row r="108" spans="1:56" ht="11.25" customHeight="1" x14ac:dyDescent="0.25">
      <c r="A108" s="9" t="s">
        <v>104</v>
      </c>
      <c r="B108" s="9" t="s">
        <v>1202</v>
      </c>
      <c r="C108" s="9" t="s">
        <v>1203</v>
      </c>
      <c r="D108" s="9" t="s">
        <v>1204</v>
      </c>
      <c r="E108" s="9" t="s">
        <v>1208</v>
      </c>
      <c r="F108" s="9" t="s">
        <v>1209</v>
      </c>
      <c r="G108" s="9" t="s">
        <v>1210</v>
      </c>
      <c r="L108" s="30">
        <f>$I$36*$L$36</f>
        <v>0</v>
      </c>
      <c r="M108" s="30">
        <f>$I$36*$M$36</f>
        <v>1.653515572098661E-10</v>
      </c>
      <c r="N108" s="30">
        <f ca="1">$I$36*$N$36</f>
        <v>6.4597097341659432E-10</v>
      </c>
      <c r="O108" s="30">
        <f>$I$36*$O$36</f>
        <v>0</v>
      </c>
      <c r="P108" s="30">
        <f>$I$36*$P$36</f>
        <v>0</v>
      </c>
      <c r="Q108" s="30">
        <f>$I$36*$Q$36</f>
        <v>0</v>
      </c>
      <c r="R108" s="30">
        <f>$I$36*$R$36</f>
        <v>0</v>
      </c>
      <c r="S108" s="30">
        <f>$I$36*$S$36</f>
        <v>0</v>
      </c>
      <c r="T108" s="30">
        <f>$I$36*$T$36</f>
        <v>0</v>
      </c>
      <c r="U108" s="30">
        <f>$I$36*$U$36</f>
        <v>0</v>
      </c>
      <c r="V108" s="30">
        <f>$I$36*$V$36</f>
        <v>0</v>
      </c>
      <c r="W108" s="30">
        <f>$I$36*$W$36</f>
        <v>0</v>
      </c>
      <c r="X108" s="30">
        <f>$I$36*$X$36</f>
        <v>0</v>
      </c>
      <c r="Y108" s="30">
        <f>$I$36*$Y$36</f>
        <v>0</v>
      </c>
      <c r="Z108" s="30">
        <f>$I$36*$Z$36</f>
        <v>0</v>
      </c>
      <c r="AA108" s="30">
        <f>$I$36*$AA$36</f>
        <v>2.2755454604778504E-7</v>
      </c>
      <c r="AB108" s="30">
        <f ca="1">$I$36*$AB$36</f>
        <v>-1.8022837574946734E-8</v>
      </c>
      <c r="AC108" s="30">
        <f ca="1">$I$36*$AC$36</f>
        <v>0</v>
      </c>
      <c r="AD108" s="30">
        <f>$I$36*$AD$36</f>
        <v>0</v>
      </c>
      <c r="AE108" s="30">
        <f>$I$36*$AE$36</f>
        <v>0</v>
      </c>
      <c r="AF108" s="30">
        <f ca="1">$I$36*$AF$36</f>
        <v>0</v>
      </c>
      <c r="AG108" s="30">
        <f ca="1">$I$36*$AG$36</f>
        <v>0</v>
      </c>
      <c r="AI108" s="30">
        <f>$I$36*$AI$36</f>
        <v>0</v>
      </c>
      <c r="AJ108" s="30">
        <f>$I$36*$AJ$36</f>
        <v>1.74627315989545E-10</v>
      </c>
      <c r="AK108" s="30">
        <f>$I$36*$AK$36</f>
        <v>6.4457415417547596E-10</v>
      </c>
      <c r="AL108" s="30">
        <f>$I$36*$AL$36</f>
        <v>0</v>
      </c>
      <c r="AM108" s="30">
        <f>$I$36*$AM$36</f>
        <v>0</v>
      </c>
      <c r="AN108" s="30">
        <f>$I$36*$AN$36</f>
        <v>0</v>
      </c>
      <c r="AO108" s="30">
        <f>$I$36*$AO$36</f>
        <v>0</v>
      </c>
      <c r="AP108" s="30">
        <f>$I$36*$AP$36</f>
        <v>0</v>
      </c>
      <c r="AQ108" s="30">
        <f>$I$36*$AQ$36</f>
        <v>0</v>
      </c>
      <c r="AR108" s="30">
        <f>$I$36*$AR$36</f>
        <v>0</v>
      </c>
      <c r="AS108" s="30">
        <f>$I$36*$AS$36</f>
        <v>0</v>
      </c>
      <c r="AT108" s="30">
        <f>$I$36*$AT$36</f>
        <v>0</v>
      </c>
      <c r="AU108" s="30">
        <f>$I$36*$AU$36</f>
        <v>0</v>
      </c>
      <c r="AV108" s="30">
        <f>$I$36*$AV$36</f>
        <v>0</v>
      </c>
      <c r="AW108" s="30">
        <f>$I$36*$AW$36</f>
        <v>0</v>
      </c>
      <c r="AX108" s="30">
        <f>$I$36*$AX$36</f>
        <v>1.7132018484663E-7</v>
      </c>
      <c r="AY108" s="30">
        <f>$I$36*$AY$36</f>
        <v>-1.0651258259962199E-10</v>
      </c>
      <c r="AZ108" s="30">
        <f>$I$36*$AZ$36</f>
        <v>0</v>
      </c>
      <c r="BA108" s="30">
        <f>$I$36*$BA$36</f>
        <v>0</v>
      </c>
      <c r="BB108" s="30">
        <f>$I$36*$BB$36</f>
        <v>0</v>
      </c>
      <c r="BC108" s="30">
        <f>$I$36*$BC$36</f>
        <v>0</v>
      </c>
      <c r="BD108" s="30">
        <f>$I$36*$BD$36</f>
        <v>0</v>
      </c>
    </row>
    <row r="109" spans="1:56" ht="11.25" customHeight="1" x14ac:dyDescent="0.25">
      <c r="A109" s="9" t="s">
        <v>22</v>
      </c>
      <c r="B109" s="9" t="s">
        <v>1211</v>
      </c>
      <c r="C109" s="9" t="s">
        <v>1212</v>
      </c>
      <c r="D109" s="9" t="s">
        <v>1213</v>
      </c>
      <c r="E109" s="9" t="s">
        <v>1214</v>
      </c>
      <c r="F109" s="9" t="s">
        <v>1215</v>
      </c>
      <c r="G109" s="9" t="s">
        <v>1216</v>
      </c>
      <c r="L109" s="30">
        <f>$I$37*$L$37</f>
        <v>476.35754011549278</v>
      </c>
      <c r="M109" s="30">
        <f>$I$37*$M$37</f>
        <v>135.72635226561476</v>
      </c>
      <c r="N109" s="30">
        <f ca="1">$I$37*$N$37</f>
        <v>1181.4978313884587</v>
      </c>
      <c r="O109" s="30">
        <f>$I$37*$O$37</f>
        <v>2.7447920752010879</v>
      </c>
      <c r="P109" s="30">
        <f>$I$37*$P$37</f>
        <v>0</v>
      </c>
      <c r="Q109" s="30">
        <f>$I$37*$Q$37</f>
        <v>4635.2730274717924</v>
      </c>
      <c r="R109" s="30">
        <f>$I$37*$R$37</f>
        <v>1888.0639436223903</v>
      </c>
      <c r="S109" s="30">
        <f>$I$37*$S$37</f>
        <v>0</v>
      </c>
      <c r="T109" s="30">
        <f>$I$37*$T$37</f>
        <v>9437.2061255313856</v>
      </c>
      <c r="U109" s="30">
        <f>$I$37*$U$37</f>
        <v>1695.2156682691634</v>
      </c>
      <c r="V109" s="30">
        <f>$I$37*$V$37</f>
        <v>1627.8094459792283</v>
      </c>
      <c r="W109" s="30">
        <f>$I$37*$W$37</f>
        <v>0</v>
      </c>
      <c r="X109" s="30">
        <f>$I$37*$X$37</f>
        <v>0</v>
      </c>
      <c r="Y109" s="30">
        <f>$I$37*$Y$37</f>
        <v>0</v>
      </c>
      <c r="Z109" s="30">
        <f>$I$37*$Z$37</f>
        <v>0</v>
      </c>
      <c r="AA109" s="30">
        <f>$I$37*$AA$37</f>
        <v>110125.12624628338</v>
      </c>
      <c r="AB109" s="30">
        <f ca="1">$I$37*$AB$37</f>
        <v>-10599.315396327263</v>
      </c>
      <c r="AC109" s="30">
        <f ca="1">$I$37*$AC$37</f>
        <v>0</v>
      </c>
      <c r="AD109" s="30">
        <f>$I$37*$AD$37</f>
        <v>3201.692718552702</v>
      </c>
      <c r="AE109" s="30">
        <f>$I$37*$AE$37</f>
        <v>113.99192463989792</v>
      </c>
      <c r="AF109" s="30">
        <f ca="1">$I$37*$AF$37</f>
        <v>954.06798870225612</v>
      </c>
      <c r="AG109" s="30">
        <f ca="1">$I$37*$AG$37</f>
        <v>0</v>
      </c>
      <c r="AI109" s="30">
        <f>$I$37*$AI$37</f>
        <v>0</v>
      </c>
      <c r="AJ109" s="30">
        <f>$I$37*$AJ$37</f>
        <v>129.92572663369455</v>
      </c>
      <c r="AK109" s="30">
        <f>$I$37*$AK$37</f>
        <v>1177.1858734366917</v>
      </c>
      <c r="AL109" s="30">
        <f>$I$37*$AL$37</f>
        <v>3.0838983445621801</v>
      </c>
      <c r="AM109" s="30">
        <f>$I$37*$AM$37</f>
        <v>0</v>
      </c>
      <c r="AN109" s="30">
        <f>$I$37*$AN$37</f>
        <v>2726.8270059947822</v>
      </c>
      <c r="AO109" s="30">
        <f>$I$37*$AO$37</f>
        <v>1299.3774984552094</v>
      </c>
      <c r="AP109" s="30">
        <f>$I$37*$AP$37</f>
        <v>0</v>
      </c>
      <c r="AQ109" s="30">
        <f>$I$37*$AQ$37</f>
        <v>9696.7532400008167</v>
      </c>
      <c r="AR109" s="30">
        <f>$I$37*$AR$37</f>
        <v>2604.1328891881426</v>
      </c>
      <c r="AS109" s="30">
        <f>$I$37*$AS$37</f>
        <v>1105.6820032462056</v>
      </c>
      <c r="AT109" s="30">
        <f>$I$37*$AT$37</f>
        <v>0</v>
      </c>
      <c r="AU109" s="30">
        <f>$I$37*$AU$37</f>
        <v>0</v>
      </c>
      <c r="AV109" s="30">
        <f>$I$37*$AV$37</f>
        <v>0</v>
      </c>
      <c r="AW109" s="30">
        <f>$I$37*$AW$37</f>
        <v>0</v>
      </c>
      <c r="AX109" s="30">
        <f>$I$37*$AX$37</f>
        <v>82910.481519494002</v>
      </c>
      <c r="AY109" s="30">
        <f>$I$37*$AY$37</f>
        <v>-63.320121036209507</v>
      </c>
      <c r="AZ109" s="30">
        <f>$I$37*$AZ$37</f>
        <v>0</v>
      </c>
      <c r="BA109" s="30">
        <f>$I$37*$BA$37</f>
        <v>2775.6782878601134</v>
      </c>
      <c r="BB109" s="30">
        <f>$I$37*$BB$37</f>
        <v>94.305331648767847</v>
      </c>
      <c r="BC109" s="30">
        <f>$I$37*$BC$37</f>
        <v>903.06382366322237</v>
      </c>
      <c r="BD109" s="30">
        <f>$I$37*$BD$37</f>
        <v>0</v>
      </c>
    </row>
    <row r="110" spans="1:56" ht="11.25" customHeight="1" x14ac:dyDescent="0.25">
      <c r="A110" s="9" t="s">
        <v>22</v>
      </c>
      <c r="B110" s="9" t="s">
        <v>1211</v>
      </c>
      <c r="C110" s="9" t="s">
        <v>1212</v>
      </c>
      <c r="D110" s="9" t="s">
        <v>1213</v>
      </c>
      <c r="E110" s="9" t="s">
        <v>1214</v>
      </c>
      <c r="F110" s="9" t="s">
        <v>1215</v>
      </c>
      <c r="G110" s="9" t="s">
        <v>1217</v>
      </c>
      <c r="L110" s="30">
        <f>$I$38*$L$38</f>
        <v>307.11541115081667</v>
      </c>
      <c r="M110" s="30">
        <f>$I$38*$M$38</f>
        <v>87.504974666609996</v>
      </c>
      <c r="N110" s="30">
        <f ca="1">$I$38*$N$38</f>
        <v>485.77303307680307</v>
      </c>
      <c r="O110" s="30">
        <f>$I$38*$O$38</f>
        <v>1.7696118476355134</v>
      </c>
      <c r="P110" s="30">
        <f>$I$38*$P$38</f>
        <v>0</v>
      </c>
      <c r="Q110" s="30">
        <f>$I$38*$Q$38</f>
        <v>2988.4354959158354</v>
      </c>
      <c r="R110" s="30">
        <f>$I$38*$R$38</f>
        <v>1217.2653637098667</v>
      </c>
      <c r="S110" s="30">
        <f>$I$38*$S$38</f>
        <v>0</v>
      </c>
      <c r="T110" s="30">
        <f>$I$38*$T$38</f>
        <v>3650.5963151325404</v>
      </c>
      <c r="U110" s="30">
        <f>$I$38*$U$38</f>
        <v>655.75798760122598</v>
      </c>
      <c r="V110" s="30">
        <f>$I$38*$V$38</f>
        <v>629.69227307705501</v>
      </c>
      <c r="W110" s="30">
        <f>$I$38*$W$38</f>
        <v>0</v>
      </c>
      <c r="X110" s="30">
        <f>$I$38*$X$38</f>
        <v>0</v>
      </c>
      <c r="Y110" s="30">
        <f>$I$38*$Y$38</f>
        <v>0</v>
      </c>
      <c r="Z110" s="30">
        <f>$I$38*$Z$38</f>
        <v>0</v>
      </c>
      <c r="AA110" s="30">
        <f>$I$38*$AA$38</f>
        <v>42599.678050914285</v>
      </c>
      <c r="AB110" s="30">
        <f ca="1">$I$38*$AB$38</f>
        <v>-4339.2145029292251</v>
      </c>
      <c r="AC110" s="30">
        <f ca="1">$I$38*$AC$38</f>
        <v>0</v>
      </c>
      <c r="AD110" s="30">
        <f>$I$38*$AD$38</f>
        <v>2064.1830827291842</v>
      </c>
      <c r="AE110" s="30">
        <f>$I$38*$AE$38</f>
        <v>73.492437623989971</v>
      </c>
      <c r="AF110" s="30">
        <f ca="1">$I$38*$AF$38</f>
        <v>615.10306427622857</v>
      </c>
      <c r="AG110" s="30">
        <f ca="1">$I$38*$AG$38</f>
        <v>0</v>
      </c>
      <c r="AI110" s="30">
        <f>$I$38*$AI$38</f>
        <v>0</v>
      </c>
      <c r="AJ110" s="30">
        <f>$I$38*$AJ$38</f>
        <v>83.765217497137627</v>
      </c>
      <c r="AK110" s="30">
        <f>$I$38*$AK$38</f>
        <v>483.58976290498703</v>
      </c>
      <c r="AL110" s="30">
        <f>$I$38*$AL$38</f>
        <v>1.9882391445045868</v>
      </c>
      <c r="AM110" s="30">
        <f>$I$38*$AM$38</f>
        <v>0</v>
      </c>
      <c r="AN110" s="30">
        <f>$I$38*$AN$38</f>
        <v>1758.0294769349052</v>
      </c>
      <c r="AO110" s="30">
        <f>$I$38*$AO$38</f>
        <v>837.72969056276418</v>
      </c>
      <c r="AP110" s="30">
        <f>$I$38*$AP$38</f>
        <v>0</v>
      </c>
      <c r="AQ110" s="30">
        <f>$I$38*$AQ$38</f>
        <v>3750.9969768413071</v>
      </c>
      <c r="AR110" s="30">
        <f>$I$38*$AR$38</f>
        <v>1007.3532086945272</v>
      </c>
      <c r="AS110" s="30">
        <f>$I$38*$AS$38</f>
        <v>427.71555088603384</v>
      </c>
      <c r="AT110" s="30">
        <f>$I$38*$AT$38</f>
        <v>0</v>
      </c>
      <c r="AU110" s="30">
        <f>$I$38*$AU$38</f>
        <v>0</v>
      </c>
      <c r="AV110" s="30">
        <f>$I$38*$AV$38</f>
        <v>0</v>
      </c>
      <c r="AW110" s="30">
        <f>$I$38*$AW$38</f>
        <v>0</v>
      </c>
      <c r="AX110" s="30">
        <f>$I$38*$AX$38</f>
        <v>32072.243094440229</v>
      </c>
      <c r="AY110" s="30">
        <f>$I$38*$AY$38</f>
        <v>-25.670208868783408</v>
      </c>
      <c r="AZ110" s="30">
        <f>$I$38*$AZ$38</f>
        <v>0</v>
      </c>
      <c r="BA110" s="30">
        <f>$I$38*$BA$38</f>
        <v>1789.5246885183687</v>
      </c>
      <c r="BB110" s="30">
        <f>$I$38*$BB$38</f>
        <v>60.800172693820443</v>
      </c>
      <c r="BC110" s="30">
        <f>$I$38*$BC$38</f>
        <v>582.21985408799651</v>
      </c>
      <c r="BD110" s="30">
        <f>$I$38*$BD$38</f>
        <v>0</v>
      </c>
    </row>
    <row r="111" spans="1:56" ht="11.25" customHeight="1" x14ac:dyDescent="0.25">
      <c r="A111" s="9" t="s">
        <v>22</v>
      </c>
      <c r="B111" s="9" t="s">
        <v>1211</v>
      </c>
      <c r="C111" s="9" t="s">
        <v>1212</v>
      </c>
      <c r="D111" s="9" t="s">
        <v>1213</v>
      </c>
      <c r="E111" s="9" t="s">
        <v>1214</v>
      </c>
      <c r="F111" s="9" t="s">
        <v>1215</v>
      </c>
      <c r="G111" s="9" t="s">
        <v>1218</v>
      </c>
      <c r="L111" s="30">
        <f>$I$39*$L$39</f>
        <v>5445.5682424337892</v>
      </c>
      <c r="M111" s="30">
        <f>$I$39*$M$39</f>
        <v>1551.580590872597</v>
      </c>
      <c r="N111" s="30">
        <f ca="1">$I$39*$N$39</f>
        <v>3720.3007750777615</v>
      </c>
      <c r="O111" s="30">
        <f>$I$39*$O$39</f>
        <v>31.377592035543504</v>
      </c>
      <c r="P111" s="30">
        <f>$I$39*$P$39</f>
        <v>0</v>
      </c>
      <c r="Q111" s="30">
        <f>$I$39*$Q$39</f>
        <v>52988.970400868377</v>
      </c>
      <c r="R111" s="30">
        <f>$I$39*$R$39</f>
        <v>21583.747889414371</v>
      </c>
      <c r="S111" s="30">
        <f>$I$39*$S$39</f>
        <v>0</v>
      </c>
      <c r="T111" s="30">
        <f>$I$39*$T$39</f>
        <v>21576.587907199344</v>
      </c>
      <c r="U111" s="30">
        <f>$I$39*$U$39</f>
        <v>3875.7700711059833</v>
      </c>
      <c r="V111" s="30">
        <f>$I$39*$V$39</f>
        <v>3721.7629163416191</v>
      </c>
      <c r="W111" s="30">
        <f>$I$39*$W$39</f>
        <v>0</v>
      </c>
      <c r="X111" s="30">
        <f>$I$39*$X$39</f>
        <v>0</v>
      </c>
      <c r="Y111" s="30">
        <f>$I$39*$Y$39</f>
        <v>0</v>
      </c>
      <c r="Z111" s="30">
        <f>$I$39*$Z$39</f>
        <v>0</v>
      </c>
      <c r="AA111" s="30">
        <f>$I$39*$AA$39</f>
        <v>251783.14677935335</v>
      </c>
      <c r="AB111" s="30">
        <f ca="1">$I$39*$AB$39</f>
        <v>-32712.127816216434</v>
      </c>
      <c r="AC111" s="30">
        <f ca="1">$I$39*$AC$39</f>
        <v>0</v>
      </c>
      <c r="AD111" s="30">
        <f>$I$39*$AD$39</f>
        <v>36600.735208169433</v>
      </c>
      <c r="AE111" s="30">
        <f>$I$39*$AE$39</f>
        <v>1303.1195109506043</v>
      </c>
      <c r="AF111" s="30">
        <f ca="1">$I$39*$AF$39</f>
        <v>10906.602505210794</v>
      </c>
      <c r="AG111" s="30">
        <f ca="1">$I$39*$AG$39</f>
        <v>0</v>
      </c>
      <c r="AI111" s="30">
        <f>$I$39*$AI$39</f>
        <v>0</v>
      </c>
      <c r="AJ111" s="30">
        <f>$I$39*$AJ$39</f>
        <v>1485.269679283429</v>
      </c>
      <c r="AK111" s="30">
        <f>$I$39*$AK$39</f>
        <v>3692.1691050553495</v>
      </c>
      <c r="AL111" s="30">
        <f>$I$39*$AL$39</f>
        <v>35.254147302822886</v>
      </c>
      <c r="AM111" s="30">
        <f>$I$39*$AM$39</f>
        <v>0</v>
      </c>
      <c r="AN111" s="30">
        <f>$I$39*$AN$39</f>
        <v>31172.221064992129</v>
      </c>
      <c r="AO111" s="30">
        <f>$I$39*$AO$39</f>
        <v>14854.071248258631</v>
      </c>
      <c r="AP111" s="30">
        <f>$I$39*$AP$39</f>
        <v>0</v>
      </c>
      <c r="AQ111" s="30">
        <f>$I$39*$AQ$39</f>
        <v>22169.998823196882</v>
      </c>
      <c r="AR111" s="30">
        <f>$I$39*$AR$39</f>
        <v>5953.826703007805</v>
      </c>
      <c r="AS111" s="30">
        <f>$I$39*$AS$39</f>
        <v>2527.9901693115908</v>
      </c>
      <c r="AT111" s="30">
        <f>$I$39*$AT$39</f>
        <v>0</v>
      </c>
      <c r="AU111" s="30">
        <f>$I$39*$AU$39</f>
        <v>0</v>
      </c>
      <c r="AV111" s="30">
        <f>$I$39*$AV$39</f>
        <v>0</v>
      </c>
      <c r="AW111" s="30">
        <f>$I$39*$AW$39</f>
        <v>0</v>
      </c>
      <c r="AX111" s="30">
        <f>$I$39*$AX$39</f>
        <v>189561.29858397492</v>
      </c>
      <c r="AY111" s="30">
        <f>$I$39*$AY$39</f>
        <v>-186.47864590552174</v>
      </c>
      <c r="AZ111" s="30">
        <f>$I$39*$AZ$39</f>
        <v>0</v>
      </c>
      <c r="BA111" s="30">
        <f>$I$39*$BA$39</f>
        <v>31730.673417952748</v>
      </c>
      <c r="BB111" s="30">
        <f>$I$39*$BB$39</f>
        <v>1078.0686267592348</v>
      </c>
      <c r="BC111" s="30">
        <f>$I$39*$BC$39</f>
        <v>10323.539074954029</v>
      </c>
      <c r="BD111" s="30">
        <f>$I$39*$BD$39</f>
        <v>0</v>
      </c>
    </row>
    <row r="112" spans="1:56" ht="11.25" customHeight="1" x14ac:dyDescent="0.25">
      <c r="A112" s="9" t="s">
        <v>22</v>
      </c>
      <c r="B112" s="9" t="s">
        <v>1219</v>
      </c>
      <c r="C112" s="9" t="s">
        <v>1220</v>
      </c>
      <c r="D112" s="9" t="s">
        <v>1221</v>
      </c>
      <c r="E112" s="9" t="s">
        <v>1222</v>
      </c>
      <c r="F112" s="9" t="s">
        <v>1223</v>
      </c>
      <c r="G112" s="9" t="s">
        <v>1224</v>
      </c>
      <c r="L112" s="30">
        <f>$I$40*$L$40</f>
        <v>3629682.3658734248</v>
      </c>
      <c r="M112" s="30">
        <f>$I$40*$M$40</f>
        <v>1034188.6207645314</v>
      </c>
      <c r="N112" s="30">
        <f ca="1">$I$40*$N$40</f>
        <v>3566873.6144433441</v>
      </c>
      <c r="O112" s="30">
        <f>$I$40*$O$40</f>
        <v>20914.381644785244</v>
      </c>
      <c r="P112" s="30">
        <f>$I$40*$P$40</f>
        <v>0</v>
      </c>
      <c r="Q112" s="30">
        <f>$I$40*$Q$40</f>
        <v>35319203.228616841</v>
      </c>
      <c r="R112" s="30">
        <f>$I$40*$R$40</f>
        <v>14386404.800365079</v>
      </c>
      <c r="S112" s="30">
        <f>$I$40*$S$40</f>
        <v>0</v>
      </c>
      <c r="T112" s="30">
        <f>$I$40*$T$40</f>
        <v>23969433.1619404</v>
      </c>
      <c r="U112" s="30">
        <f>$I$40*$U$40</f>
        <v>4305655.520834974</v>
      </c>
      <c r="V112" s="30">
        <f>$I$40*$V$40</f>
        <v>4134498.8028189456</v>
      </c>
      <c r="W112" s="30">
        <f>$I$40*$W$40</f>
        <v>0</v>
      </c>
      <c r="X112" s="30">
        <f>$I$40*$X$40</f>
        <v>0</v>
      </c>
      <c r="Y112" s="30">
        <f>$I$40*$Y$40</f>
        <v>0</v>
      </c>
      <c r="Z112" s="30">
        <f>$I$40*$Z$40</f>
        <v>0</v>
      </c>
      <c r="AA112" s="30">
        <f>$I$40*$AA$40</f>
        <v>279705382.18820572</v>
      </c>
      <c r="AB112" s="30">
        <f ca="1">$I$40*$AB$40</f>
        <v>-31630455.783881277</v>
      </c>
      <c r="AC112" s="30">
        <f ca="1">$I$40*$AC$40</f>
        <v>0</v>
      </c>
      <c r="AD112" s="30">
        <f>$I$40*$AD$40</f>
        <v>24395809.077900916</v>
      </c>
      <c r="AE112" s="30">
        <f>$I$40*$AE$40</f>
        <v>868579.6778132139</v>
      </c>
      <c r="AF112" s="30">
        <f ca="1">$I$40*$AF$40</f>
        <v>7269673.4339448269</v>
      </c>
      <c r="AG112" s="30">
        <f ca="1">$I$40*$AG$40</f>
        <v>0</v>
      </c>
      <c r="AI112" s="30">
        <f>$I$40*$AI$40</f>
        <v>0</v>
      </c>
      <c r="AJ112" s="30">
        <f>$I$40*$AJ$40</f>
        <v>989989.8272236347</v>
      </c>
      <c r="AK112" s="30">
        <f>$I$40*$AK$40</f>
        <v>3545771.9626561282</v>
      </c>
      <c r="AL112" s="30">
        <f>$I$40*$AL$40</f>
        <v>23498.256029892407</v>
      </c>
      <c r="AM112" s="30">
        <f>$I$40*$AM$40</f>
        <v>0</v>
      </c>
      <c r="AN112" s="30">
        <f>$I$40*$AN$40</f>
        <v>20777493.930393204</v>
      </c>
      <c r="AO112" s="30">
        <f>$I$40*$AO$40</f>
        <v>9900814.4000662286</v>
      </c>
      <c r="AP112" s="30">
        <f>$I$40*$AP$40</f>
        <v>0</v>
      </c>
      <c r="AQ112" s="30">
        <f>$I$40*$AQ$40</f>
        <v>24628653.394061681</v>
      </c>
      <c r="AR112" s="30">
        <f>$I$40*$AR$40</f>
        <v>6614202.1697858442</v>
      </c>
      <c r="AS112" s="30">
        <f>$I$40*$AS$40</f>
        <v>2808339.1025967905</v>
      </c>
      <c r="AT112" s="30">
        <f>$I$40*$AT$40</f>
        <v>0</v>
      </c>
      <c r="AU112" s="30">
        <f>$I$40*$AU$40</f>
        <v>0</v>
      </c>
      <c r="AV112" s="30">
        <f>$I$40*$AV$40</f>
        <v>0</v>
      </c>
      <c r="AW112" s="30">
        <f>$I$40*$AW$40</f>
        <v>0</v>
      </c>
      <c r="AX112" s="30">
        <f>$I$40*$AX$40</f>
        <v>210583258.43781632</v>
      </c>
      <c r="AY112" s="30">
        <f>$I$40*$AY$40</f>
        <v>-183992.39327501372</v>
      </c>
      <c r="AZ112" s="30">
        <f>$I$40*$AZ$40</f>
        <v>0</v>
      </c>
      <c r="BA112" s="30">
        <f>$I$40*$BA$40</f>
        <v>21149724.075619657</v>
      </c>
      <c r="BB112" s="30">
        <f>$I$40*$BB$40</f>
        <v>718574.53796236229</v>
      </c>
      <c r="BC112" s="30">
        <f>$I$40*$BC$40</f>
        <v>6881039.0514946319</v>
      </c>
      <c r="BD112" s="30">
        <f>$I$40*$BD$40</f>
        <v>0</v>
      </c>
    </row>
    <row r="113" spans="1:56" ht="11.25" customHeight="1" x14ac:dyDescent="0.25">
      <c r="A113" s="9" t="s">
        <v>22</v>
      </c>
      <c r="B113" s="9" t="s">
        <v>1219</v>
      </c>
      <c r="C113" s="9" t="s">
        <v>1220</v>
      </c>
      <c r="D113" s="9" t="s">
        <v>1225</v>
      </c>
      <c r="E113" s="9" t="s">
        <v>1226</v>
      </c>
      <c r="F113" s="9" t="s">
        <v>1227</v>
      </c>
      <c r="G113" s="9" t="s">
        <v>1228</v>
      </c>
      <c r="L113" s="30">
        <f>$I$41*$L$41</f>
        <v>0</v>
      </c>
      <c r="M113" s="30">
        <f>$I$41*$M$41</f>
        <v>33567.387664864509</v>
      </c>
      <c r="N113" s="30">
        <f ca="1">$I$41*$N$41</f>
        <v>115337.6209333864</v>
      </c>
      <c r="O113" s="30">
        <f>$I$41*$O$41</f>
        <v>678.83279930351944</v>
      </c>
      <c r="P113" s="30">
        <f>$I$41*$P$41</f>
        <v>0</v>
      </c>
      <c r="Q113" s="30">
        <f>$I$41*$Q$41</f>
        <v>0</v>
      </c>
      <c r="R113" s="30">
        <f>$I$41*$R$41</f>
        <v>0</v>
      </c>
      <c r="S113" s="30">
        <f>$I$41*$S$41</f>
        <v>0</v>
      </c>
      <c r="T113" s="30">
        <f>$I$41*$T$41</f>
        <v>777992.75576936104</v>
      </c>
      <c r="U113" s="30">
        <f>$I$41*$U$41</f>
        <v>139751.69047246632</v>
      </c>
      <c r="V113" s="30">
        <f>$I$41*$V$41</f>
        <v>134196.336458957</v>
      </c>
      <c r="W113" s="30">
        <f>$I$41*$W$41</f>
        <v>0</v>
      </c>
      <c r="X113" s="30">
        <f>$I$41*$X$41</f>
        <v>0</v>
      </c>
      <c r="Y113" s="30">
        <f>$I$41*$Y$41</f>
        <v>0</v>
      </c>
      <c r="Z113" s="30">
        <f>$I$41*$Z$41</f>
        <v>0</v>
      </c>
      <c r="AA113" s="30">
        <f>$I$41*$AA$41</f>
        <v>9078594.3756756093</v>
      </c>
      <c r="AB113" s="30">
        <f ca="1">$I$41*$AB$41</f>
        <v>-890781.9032316783</v>
      </c>
      <c r="AC113" s="30">
        <f ca="1">$I$41*$AC$41</f>
        <v>0</v>
      </c>
      <c r="AD113" s="30">
        <f>$I$41*$AD$41</f>
        <v>791831.93884935649</v>
      </c>
      <c r="AE113" s="30">
        <f>$I$41*$AE$41</f>
        <v>28192.101689753184</v>
      </c>
      <c r="AF113" s="30">
        <f ca="1">$I$41*$AF$41</f>
        <v>235956.90520535441</v>
      </c>
      <c r="AG113" s="30">
        <f ca="1">$I$41*$AG$41</f>
        <v>0</v>
      </c>
      <c r="AI113" s="30">
        <f>$I$41*$AI$41</f>
        <v>0</v>
      </c>
      <c r="AJ113" s="30">
        <f>$I$41*$AJ$41</f>
        <v>32132.796326961605</v>
      </c>
      <c r="AK113" s="30">
        <f>$I$41*$AK$41</f>
        <v>114653.6501957147</v>
      </c>
      <c r="AL113" s="30">
        <f>$I$41*$AL$41</f>
        <v>762.69942809903534</v>
      </c>
      <c r="AM113" s="30">
        <f>$I$41*$AM$41</f>
        <v>0</v>
      </c>
      <c r="AN113" s="30">
        <f>$I$41*$AN$41</f>
        <v>0</v>
      </c>
      <c r="AO113" s="30">
        <f>$I$41*$AO$41</f>
        <v>0</v>
      </c>
      <c r="AP113" s="30">
        <f>$I$41*$AP$41</f>
        <v>0</v>
      </c>
      <c r="AQ113" s="30">
        <f>$I$41*$AQ$41</f>
        <v>799389.53063599986</v>
      </c>
      <c r="AR113" s="30">
        <f>$I$41*$AR$41</f>
        <v>214681.81322944595</v>
      </c>
      <c r="AS113" s="30">
        <f>$I$41*$AS$41</f>
        <v>91152.238052644243</v>
      </c>
      <c r="AT113" s="30">
        <f>$I$41*$AT$41</f>
        <v>0</v>
      </c>
      <c r="AU113" s="30">
        <f>$I$41*$AU$41</f>
        <v>0</v>
      </c>
      <c r="AV113" s="30">
        <f>$I$41*$AV$41</f>
        <v>0</v>
      </c>
      <c r="AW113" s="30">
        <f>$I$41*$AW$41</f>
        <v>0</v>
      </c>
      <c r="AX113" s="30">
        <f>$I$41*$AX$41</f>
        <v>6835048.9744191114</v>
      </c>
      <c r="AY113" s="30">
        <f>$I$41*$AY$41</f>
        <v>-5386.5278105169491</v>
      </c>
      <c r="AZ113" s="30">
        <f>$I$41*$AZ$41</f>
        <v>0</v>
      </c>
      <c r="BA113" s="30">
        <f>$I$41*$BA$41</f>
        <v>686471.47415566701</v>
      </c>
      <c r="BB113" s="30">
        <f>$I$41*$BB$41</f>
        <v>23323.279329888726</v>
      </c>
      <c r="BC113" s="30">
        <f>$I$41*$BC$41</f>
        <v>223342.72563146084</v>
      </c>
      <c r="BD113" s="30">
        <f>$I$41*$BD$41</f>
        <v>0</v>
      </c>
    </row>
    <row r="114" spans="1:56" ht="11.25" customHeight="1" x14ac:dyDescent="0.25">
      <c r="A114" s="9" t="s">
        <v>22</v>
      </c>
      <c r="B114" s="9" t="s">
        <v>1219</v>
      </c>
      <c r="C114" s="9" t="s">
        <v>1220</v>
      </c>
      <c r="D114" s="9" t="s">
        <v>1229</v>
      </c>
      <c r="E114" s="9" t="s">
        <v>1230</v>
      </c>
      <c r="F114" s="9" t="s">
        <v>1231</v>
      </c>
      <c r="G114" s="9" t="s">
        <v>1232</v>
      </c>
      <c r="L114" s="30">
        <f>$I$42*$L$42</f>
        <v>0</v>
      </c>
      <c r="M114" s="30">
        <f>$I$42*$M$42</f>
        <v>92470.48758418746</v>
      </c>
      <c r="N114" s="30">
        <f ca="1">$I$42*$N$42</f>
        <v>317728.80722779583</v>
      </c>
      <c r="O114" s="30">
        <f>$I$42*$O$42</f>
        <v>1870.0293441494025</v>
      </c>
      <c r="P114" s="30">
        <f>$I$42*$P$42</f>
        <v>0</v>
      </c>
      <c r="Q114" s="30">
        <f>$I$42*$Q$42</f>
        <v>0</v>
      </c>
      <c r="R114" s="30">
        <f>$I$42*$R$42</f>
        <v>0</v>
      </c>
      <c r="S114" s="30">
        <f>$I$42*$S$42</f>
        <v>0</v>
      </c>
      <c r="T114" s="30">
        <f>$I$42*$T$42</f>
        <v>2143192.380092795</v>
      </c>
      <c r="U114" s="30">
        <f>$I$42*$U$42</f>
        <v>384983.99362277484</v>
      </c>
      <c r="V114" s="30">
        <f>$I$42*$V$42</f>
        <v>369680.26193352917</v>
      </c>
      <c r="W114" s="30">
        <f>$I$42*$W$42</f>
        <v>0</v>
      </c>
      <c r="X114" s="30">
        <f>$I$42*$X$42</f>
        <v>0</v>
      </c>
      <c r="Y114" s="30">
        <f>$I$42*$Y$42</f>
        <v>0</v>
      </c>
      <c r="Z114" s="30">
        <f>$I$42*$Z$42</f>
        <v>0</v>
      </c>
      <c r="AA114" s="30">
        <f>$I$42*$AA$42</f>
        <v>25009454.321537953</v>
      </c>
      <c r="AB114" s="30">
        <f ca="1">$I$42*$AB$42</f>
        <v>-2453900.7248759721</v>
      </c>
      <c r="AC114" s="30">
        <f ca="1">$I$42*$AC$42</f>
        <v>0</v>
      </c>
      <c r="AD114" s="30">
        <f>$I$42*$AD$42</f>
        <v>2181316.1691689859</v>
      </c>
      <c r="AE114" s="30">
        <f>$I$42*$AE$42</f>
        <v>77662.802220477635</v>
      </c>
      <c r="AF114" s="30">
        <f ca="1">$I$42*$AF$42</f>
        <v>650007.39083528251</v>
      </c>
      <c r="AG114" s="30">
        <f ca="1">$I$42*$AG$42</f>
        <v>0</v>
      </c>
      <c r="AI114" s="30">
        <f>$I$42*$AI$42</f>
        <v>0</v>
      </c>
      <c r="AJ114" s="30">
        <f>$I$42*$AJ$42</f>
        <v>88518.516050853446</v>
      </c>
      <c r="AK114" s="30">
        <f>$I$42*$AK$42</f>
        <v>315844.62403674005</v>
      </c>
      <c r="AL114" s="30">
        <f>$I$42*$AL$42</f>
        <v>2101.0627547379995</v>
      </c>
      <c r="AM114" s="30">
        <f>$I$42*$AM$42</f>
        <v>0</v>
      </c>
      <c r="AN114" s="30">
        <f>$I$42*$AN$42</f>
        <v>0</v>
      </c>
      <c r="AO114" s="30">
        <f>$I$42*$AO$42</f>
        <v>0</v>
      </c>
      <c r="AP114" s="30">
        <f>$I$42*$AP$42</f>
        <v>0</v>
      </c>
      <c r="AQ114" s="30">
        <f>$I$42*$AQ$42</f>
        <v>2202135.608693162</v>
      </c>
      <c r="AR114" s="30">
        <f>$I$42*$AR$42</f>
        <v>591399.37081143283</v>
      </c>
      <c r="AS114" s="30">
        <f>$I$42*$AS$42</f>
        <v>251103.60035376149</v>
      </c>
      <c r="AT114" s="30">
        <f>$I$42*$AT$42</f>
        <v>0</v>
      </c>
      <c r="AU114" s="30">
        <f>$I$42*$AU$42</f>
        <v>0</v>
      </c>
      <c r="AV114" s="30">
        <f>$I$42*$AV$42</f>
        <v>0</v>
      </c>
      <c r="AW114" s="30">
        <f>$I$42*$AW$42</f>
        <v>0</v>
      </c>
      <c r="AX114" s="30">
        <f>$I$42*$AX$42</f>
        <v>18828999.076025899</v>
      </c>
      <c r="AY114" s="30">
        <f>$I$42*$AY$42</f>
        <v>-14838.654053072161</v>
      </c>
      <c r="AZ114" s="30">
        <f>$I$42*$AZ$42</f>
        <v>0</v>
      </c>
      <c r="BA114" s="30">
        <f>$I$42*$BA$42</f>
        <v>1891072.1490029462</v>
      </c>
      <c r="BB114" s="30">
        <f>$I$42*$BB$42</f>
        <v>64250.308460985107</v>
      </c>
      <c r="BC114" s="30">
        <f>$I$42*$BC$42</f>
        <v>615258.20667719131</v>
      </c>
      <c r="BD114" s="30">
        <f>$I$42*$BD$42</f>
        <v>0</v>
      </c>
    </row>
    <row r="115" spans="1:56" ht="11.25" customHeight="1" x14ac:dyDescent="0.25">
      <c r="A115" s="9" t="s">
        <v>22</v>
      </c>
      <c r="B115" s="9" t="s">
        <v>1219</v>
      </c>
      <c r="C115" s="9" t="s">
        <v>1220</v>
      </c>
      <c r="D115" s="9" t="s">
        <v>1233</v>
      </c>
      <c r="E115" s="9" t="s">
        <v>1234</v>
      </c>
      <c r="F115" s="9" t="s">
        <v>1235</v>
      </c>
      <c r="G115" s="9" t="s">
        <v>1236</v>
      </c>
      <c r="L115" s="30">
        <f>$I$43*$L$43</f>
        <v>0</v>
      </c>
      <c r="M115" s="30">
        <f>$I$43*$M$43</f>
        <v>59966.89242685424</v>
      </c>
      <c r="N115" s="30">
        <f ca="1">$I$43*$N$43</f>
        <v>206046.37978788008</v>
      </c>
      <c r="O115" s="30">
        <f>$I$43*$O$43</f>
        <v>1212.7096054681563</v>
      </c>
      <c r="P115" s="30">
        <f>$I$43*$P$43</f>
        <v>0</v>
      </c>
      <c r="Q115" s="30">
        <f>$I$43*$Q$43</f>
        <v>0</v>
      </c>
      <c r="R115" s="30">
        <f>$I$43*$R$43</f>
        <v>0</v>
      </c>
      <c r="S115" s="30">
        <f>$I$43*$S$43</f>
        <v>0</v>
      </c>
      <c r="T115" s="30">
        <f>$I$43*$T$43</f>
        <v>1389855.1880141215</v>
      </c>
      <c r="U115" s="30">
        <f>$I$43*$U$43</f>
        <v>249661.20904920434</v>
      </c>
      <c r="V115" s="30">
        <f>$I$43*$V$43</f>
        <v>239736.77525509329</v>
      </c>
      <c r="W115" s="30">
        <f>$I$43*$W$43</f>
        <v>0</v>
      </c>
      <c r="X115" s="30">
        <f>$I$43*$X$43</f>
        <v>0</v>
      </c>
      <c r="Y115" s="30">
        <f>$I$43*$Y$43</f>
        <v>0</v>
      </c>
      <c r="Z115" s="30">
        <f>$I$43*$Z$43</f>
        <v>0</v>
      </c>
      <c r="AA115" s="30">
        <f>$I$43*$AA$43</f>
        <v>16218571.958848936</v>
      </c>
      <c r="AB115" s="30">
        <f ca="1">$I$43*$AB$43</f>
        <v>-1591348.8145160417</v>
      </c>
      <c r="AC115" s="30">
        <f ca="1">$I$43*$AC$43</f>
        <v>0</v>
      </c>
      <c r="AD115" s="30">
        <f>$I$43*$AD$43</f>
        <v>1414578.375034787</v>
      </c>
      <c r="AE115" s="30">
        <f>$I$43*$AE$43</f>
        <v>50364.143501280982</v>
      </c>
      <c r="AF115" s="30">
        <f ca="1">$I$43*$AF$43</f>
        <v>421528.2551353717</v>
      </c>
      <c r="AG115" s="30">
        <f ca="1">$I$43*$AG$43</f>
        <v>0</v>
      </c>
      <c r="AI115" s="30">
        <f>$I$43*$AI$43</f>
        <v>0</v>
      </c>
      <c r="AJ115" s="30">
        <f>$I$43*$AJ$43</f>
        <v>57404.048237266994</v>
      </c>
      <c r="AK115" s="30">
        <f>$I$43*$AK$43</f>
        <v>204824.49144617849</v>
      </c>
      <c r="AL115" s="30">
        <f>$I$43*$AL$43</f>
        <v>1362.5342256440022</v>
      </c>
      <c r="AM115" s="30">
        <f>$I$43*$AM$43</f>
        <v>0</v>
      </c>
      <c r="AN115" s="30">
        <f>$I$43*$AN$43</f>
        <v>0</v>
      </c>
      <c r="AO115" s="30">
        <f>$I$43*$AO$43</f>
        <v>0</v>
      </c>
      <c r="AP115" s="30">
        <f>$I$43*$AP$43</f>
        <v>0</v>
      </c>
      <c r="AQ115" s="30">
        <f>$I$43*$AQ$43</f>
        <v>1428079.7323104991</v>
      </c>
      <c r="AR115" s="30">
        <f>$I$43*$AR$43</f>
        <v>383521.09280780918</v>
      </c>
      <c r="AS115" s="30">
        <f>$I$43*$AS$43</f>
        <v>162840.09075545045</v>
      </c>
      <c r="AT115" s="30">
        <f>$I$43*$AT$43</f>
        <v>0</v>
      </c>
      <c r="AU115" s="30">
        <f>$I$43*$AU$43</f>
        <v>0</v>
      </c>
      <c r="AV115" s="30">
        <f>$I$43*$AV$43</f>
        <v>0</v>
      </c>
      <c r="AW115" s="30">
        <f>$I$43*$AW$43</f>
        <v>0</v>
      </c>
      <c r="AX115" s="30">
        <f>$I$43*$AX$43</f>
        <v>12210561.354176994</v>
      </c>
      <c r="AY115" s="30">
        <f>$I$43*$AY$43</f>
        <v>-9622.8320473574513</v>
      </c>
      <c r="AZ115" s="30">
        <f>$I$43*$AZ$43</f>
        <v>0</v>
      </c>
      <c r="BA115" s="30">
        <f>$I$43*$BA$43</f>
        <v>1226355.8146315194</v>
      </c>
      <c r="BB115" s="30">
        <f>$I$43*$BB$43</f>
        <v>41666.17303022572</v>
      </c>
      <c r="BC115" s="30">
        <f>$I$43*$BC$43</f>
        <v>398993.49142027786</v>
      </c>
      <c r="BD115" s="30">
        <f>$I$43*$BD$43</f>
        <v>0</v>
      </c>
    </row>
    <row r="116" spans="1:56" ht="11.25" customHeight="1" x14ac:dyDescent="0.25">
      <c r="A116" s="9" t="s">
        <v>22</v>
      </c>
      <c r="B116" s="9" t="s">
        <v>1219</v>
      </c>
      <c r="C116" s="9" t="s">
        <v>1220</v>
      </c>
      <c r="D116" s="9" t="s">
        <v>1237</v>
      </c>
      <c r="E116" s="9" t="s">
        <v>1238</v>
      </c>
      <c r="F116" s="9" t="s">
        <v>1239</v>
      </c>
      <c r="G116" s="9" t="s">
        <v>1240</v>
      </c>
      <c r="L116" s="30">
        <f>$I$44*$L$44</f>
        <v>0</v>
      </c>
      <c r="M116" s="30">
        <f>$I$44*$M$44</f>
        <v>18411.858841088975</v>
      </c>
      <c r="N116" s="30">
        <f ca="1">$I$44*$N$44</f>
        <v>63263.189167244091</v>
      </c>
      <c r="O116" s="30">
        <f>$I$44*$O$44</f>
        <v>372.34275726973328</v>
      </c>
      <c r="P116" s="30">
        <f>$I$44*$P$44</f>
        <v>0</v>
      </c>
      <c r="Q116" s="30">
        <f>$I$44*$Q$44</f>
        <v>0</v>
      </c>
      <c r="R116" s="30">
        <f>$I$44*$R$44</f>
        <v>0</v>
      </c>
      <c r="S116" s="30">
        <f>$I$44*$S$44</f>
        <v>0</v>
      </c>
      <c r="T116" s="30">
        <f>$I$44*$T$44</f>
        <v>426732.42677173659</v>
      </c>
      <c r="U116" s="30">
        <f>$I$44*$U$44</f>
        <v>76654.413011588025</v>
      </c>
      <c r="V116" s="30">
        <f>$I$44*$V$44</f>
        <v>73607.277055397033</v>
      </c>
      <c r="W116" s="30">
        <f>$I$44*$W$44</f>
        <v>0</v>
      </c>
      <c r="X116" s="30">
        <f>$I$44*$X$44</f>
        <v>0</v>
      </c>
      <c r="Y116" s="30">
        <f>$I$44*$Y$44</f>
        <v>0</v>
      </c>
      <c r="Z116" s="30">
        <f>$I$44*$Z$44</f>
        <v>0</v>
      </c>
      <c r="AA116" s="30">
        <f>$I$44*$AA$44</f>
        <v>4979648.6932286965</v>
      </c>
      <c r="AB116" s="30">
        <f ca="1">$I$44*$AB$44</f>
        <v>-488597.7671019471</v>
      </c>
      <c r="AC116" s="30">
        <f ca="1">$I$44*$AC$44</f>
        <v>0</v>
      </c>
      <c r="AD116" s="30">
        <f>$I$44*$AD$44</f>
        <v>434323.27917552885</v>
      </c>
      <c r="AE116" s="30">
        <f>$I$44*$AE$44</f>
        <v>15463.490990950095</v>
      </c>
      <c r="AF116" s="30">
        <f ca="1">$I$44*$AF$44</f>
        <v>129423.39375931102</v>
      </c>
      <c r="AG116" s="30">
        <f ca="1">$I$44*$AG$44</f>
        <v>0</v>
      </c>
      <c r="AI116" s="30">
        <f>$I$44*$AI$44</f>
        <v>0</v>
      </c>
      <c r="AJ116" s="30">
        <f>$I$44*$AJ$44</f>
        <v>17624.979222340287</v>
      </c>
      <c r="AK116" s="30">
        <f>$I$44*$AK$44</f>
        <v>62888.028228324001</v>
      </c>
      <c r="AL116" s="30">
        <f>$I$44*$AL$44</f>
        <v>418.34396970478144</v>
      </c>
      <c r="AM116" s="30">
        <f>$I$44*$AM$44</f>
        <v>0</v>
      </c>
      <c r="AN116" s="30">
        <f>$I$44*$AN$44</f>
        <v>0</v>
      </c>
      <c r="AO116" s="30">
        <f>$I$44*$AO$44</f>
        <v>0</v>
      </c>
      <c r="AP116" s="30">
        <f>$I$44*$AP$44</f>
        <v>0</v>
      </c>
      <c r="AQ116" s="30">
        <f>$I$44*$AQ$44</f>
        <v>438468.65130110167</v>
      </c>
      <c r="AR116" s="30">
        <f>$I$44*$AR$44</f>
        <v>117753.91282732817</v>
      </c>
      <c r="AS116" s="30">
        <f>$I$44*$AS$44</f>
        <v>49997.400954477736</v>
      </c>
      <c r="AT116" s="30">
        <f>$I$44*$AT$44</f>
        <v>0</v>
      </c>
      <c r="AU116" s="30">
        <f>$I$44*$AU$44</f>
        <v>0</v>
      </c>
      <c r="AV116" s="30">
        <f>$I$44*$AV$44</f>
        <v>0</v>
      </c>
      <c r="AW116" s="30">
        <f>$I$44*$AW$44</f>
        <v>0</v>
      </c>
      <c r="AX116" s="30">
        <f>$I$44*$AX$44</f>
        <v>3749054.2351813572</v>
      </c>
      <c r="AY116" s="30">
        <f>$I$44*$AY$44</f>
        <v>-2954.5340459915246</v>
      </c>
      <c r="AZ116" s="30">
        <f>$I$44*$AZ$44</f>
        <v>0</v>
      </c>
      <c r="BA116" s="30">
        <f>$I$44*$BA$44</f>
        <v>376532.60381111049</v>
      </c>
      <c r="BB116" s="30">
        <f>$I$44*$BB$44</f>
        <v>12792.920647283043</v>
      </c>
      <c r="BC116" s="30">
        <f>$I$44*$BC$44</f>
        <v>122504.46113251704</v>
      </c>
      <c r="BD116" s="30">
        <f>$I$44*$BD$44</f>
        <v>0</v>
      </c>
    </row>
    <row r="117" spans="1:56" ht="11.25" customHeight="1" x14ac:dyDescent="0.25">
      <c r="A117" s="9" t="s">
        <v>22</v>
      </c>
      <c r="B117" s="9" t="s">
        <v>1241</v>
      </c>
      <c r="C117" s="9" t="s">
        <v>1242</v>
      </c>
      <c r="D117" s="9" t="s">
        <v>1243</v>
      </c>
      <c r="E117" s="9" t="s">
        <v>1244</v>
      </c>
      <c r="F117" s="9" t="s">
        <v>1245</v>
      </c>
      <c r="G117" s="9" t="s">
        <v>1246</v>
      </c>
      <c r="L117" s="30">
        <f>$I$45*$L$45</f>
        <v>0</v>
      </c>
      <c r="M117" s="30">
        <f>$I$45*$M$45</f>
        <v>0</v>
      </c>
      <c r="N117" s="30">
        <f ca="1">$I$45*$N$45</f>
        <v>0</v>
      </c>
      <c r="O117" s="30">
        <f>$I$45*$O$45</f>
        <v>0</v>
      </c>
      <c r="P117" s="30">
        <f>$I$45*$P$45</f>
        <v>0</v>
      </c>
      <c r="Q117" s="30">
        <f>$I$45*$Q$45</f>
        <v>0</v>
      </c>
      <c r="R117" s="30">
        <f>$I$45*$R$45</f>
        <v>0</v>
      </c>
      <c r="S117" s="30">
        <f>$I$45*$S$45</f>
        <v>0</v>
      </c>
      <c r="T117" s="30">
        <f>$I$45*$T$45</f>
        <v>0</v>
      </c>
      <c r="U117" s="30">
        <f>$I$45*$U$45</f>
        <v>0</v>
      </c>
      <c r="V117" s="30">
        <f>$I$45*$V$45</f>
        <v>0</v>
      </c>
      <c r="W117" s="30">
        <f>$I$45*$W$45</f>
        <v>0</v>
      </c>
      <c r="X117" s="30">
        <f>$I$45*$X$45</f>
        <v>0</v>
      </c>
      <c r="Y117" s="30">
        <f>$I$45*$Y$45</f>
        <v>0</v>
      </c>
      <c r="Z117" s="30">
        <f>$I$45*$Z$45</f>
        <v>0</v>
      </c>
      <c r="AA117" s="30">
        <f>$I$45*$AA$45</f>
        <v>0</v>
      </c>
      <c r="AB117" s="30">
        <f ca="1">$I$45*$AB$45</f>
        <v>0</v>
      </c>
      <c r="AC117" s="30">
        <f ca="1">$I$45*$AC$45</f>
        <v>0</v>
      </c>
      <c r="AD117" s="30">
        <f>$I$45*$AD$45</f>
        <v>0</v>
      </c>
      <c r="AE117" s="30">
        <f>$I$45*$AE$45</f>
        <v>0</v>
      </c>
      <c r="AF117" s="30">
        <f ca="1">$I$45*$AF$45</f>
        <v>0</v>
      </c>
      <c r="AG117" s="30">
        <f ca="1">$I$45*$AG$45</f>
        <v>0</v>
      </c>
      <c r="AI117" s="30">
        <f>$I$45*$AI$45</f>
        <v>0</v>
      </c>
      <c r="AJ117" s="30">
        <f>$I$45*$AJ$45</f>
        <v>0</v>
      </c>
      <c r="AK117" s="30">
        <f>$I$45*$AK$45</f>
        <v>0</v>
      </c>
      <c r="AL117" s="30">
        <f>$I$45*$AL$45</f>
        <v>0</v>
      </c>
      <c r="AM117" s="30">
        <f>$I$45*$AM$45</f>
        <v>0</v>
      </c>
      <c r="AN117" s="30">
        <f>$I$45*$AN$45</f>
        <v>0</v>
      </c>
      <c r="AO117" s="30">
        <f>$I$45*$AO$45</f>
        <v>0</v>
      </c>
      <c r="AP117" s="30">
        <f>$I$45*$AP$45</f>
        <v>0</v>
      </c>
      <c r="AQ117" s="30">
        <f>$I$45*$AQ$45</f>
        <v>0</v>
      </c>
      <c r="AR117" s="30">
        <f>$I$45*$AR$45</f>
        <v>0</v>
      </c>
      <c r="AS117" s="30">
        <f>$I$45*$AS$45</f>
        <v>0</v>
      </c>
      <c r="AT117" s="30">
        <f>$I$45*$AT$45</f>
        <v>0</v>
      </c>
      <c r="AU117" s="30">
        <f>$I$45*$AU$45</f>
        <v>0</v>
      </c>
      <c r="AV117" s="30">
        <f>$I$45*$AV$45</f>
        <v>0</v>
      </c>
      <c r="AW117" s="30">
        <f>$I$45*$AW$45</f>
        <v>0</v>
      </c>
      <c r="AX117" s="30">
        <f>$I$45*$AX$45</f>
        <v>0</v>
      </c>
      <c r="AY117" s="30">
        <f>$I$45*$AY$45</f>
        <v>0</v>
      </c>
      <c r="AZ117" s="30">
        <f>$I$45*$AZ$45</f>
        <v>0</v>
      </c>
      <c r="BA117" s="30">
        <f>$I$45*$BA$45</f>
        <v>0</v>
      </c>
      <c r="BB117" s="30">
        <f>$I$45*$BB$45</f>
        <v>0</v>
      </c>
      <c r="BC117" s="30">
        <f>$I$45*$BC$45</f>
        <v>0</v>
      </c>
      <c r="BD117" s="30">
        <f>$I$45*$BD$45</f>
        <v>0</v>
      </c>
    </row>
    <row r="118" spans="1:56" ht="11.25" customHeight="1" x14ac:dyDescent="0.25">
      <c r="A118" s="9" t="s">
        <v>22</v>
      </c>
      <c r="B118" s="9" t="s">
        <v>1241</v>
      </c>
      <c r="C118" s="9" t="s">
        <v>1242</v>
      </c>
      <c r="D118" s="9" t="s">
        <v>1247</v>
      </c>
      <c r="E118" s="9" t="s">
        <v>1248</v>
      </c>
      <c r="F118" s="9" t="s">
        <v>1249</v>
      </c>
      <c r="G118" s="9" t="s">
        <v>1250</v>
      </c>
      <c r="L118" s="30">
        <f>$I$46*$L$46</f>
        <v>0</v>
      </c>
      <c r="M118" s="30">
        <f>$I$46*$M$46</f>
        <v>0</v>
      </c>
      <c r="N118" s="30">
        <f ca="1">$I$46*$N$46</f>
        <v>0</v>
      </c>
      <c r="O118" s="30">
        <f>$I$46*$O$46</f>
        <v>0</v>
      </c>
      <c r="P118" s="30">
        <f>$I$46*$P$46</f>
        <v>0</v>
      </c>
      <c r="Q118" s="30">
        <f>$I$46*$Q$46</f>
        <v>0</v>
      </c>
      <c r="R118" s="30">
        <f>$I$46*$R$46</f>
        <v>0</v>
      </c>
      <c r="S118" s="30">
        <f>$I$46*$S$46</f>
        <v>0</v>
      </c>
      <c r="T118" s="30">
        <f>$I$46*$T$46</f>
        <v>0</v>
      </c>
      <c r="U118" s="30">
        <f>$I$46*$U$46</f>
        <v>0</v>
      </c>
      <c r="V118" s="30">
        <f>$I$46*$V$46</f>
        <v>0</v>
      </c>
      <c r="W118" s="30">
        <f>$I$46*$W$46</f>
        <v>0</v>
      </c>
      <c r="X118" s="30">
        <f>$I$46*$X$46</f>
        <v>0</v>
      </c>
      <c r="Y118" s="30">
        <f>$I$46*$Y$46</f>
        <v>0</v>
      </c>
      <c r="Z118" s="30">
        <f>$I$46*$Z$46</f>
        <v>0</v>
      </c>
      <c r="AA118" s="30">
        <f>$I$46*$AA$46</f>
        <v>0</v>
      </c>
      <c r="AB118" s="30">
        <f ca="1">$I$46*$AB$46</f>
        <v>0</v>
      </c>
      <c r="AC118" s="30">
        <f ca="1">$I$46*$AC$46</f>
        <v>0</v>
      </c>
      <c r="AD118" s="30">
        <f>$I$46*$AD$46</f>
        <v>0</v>
      </c>
      <c r="AE118" s="30">
        <f>$I$46*$AE$46</f>
        <v>0</v>
      </c>
      <c r="AF118" s="30">
        <f ca="1">$I$46*$AF$46</f>
        <v>0</v>
      </c>
      <c r="AG118" s="30">
        <f ca="1">$I$46*$AG$46</f>
        <v>0</v>
      </c>
      <c r="AI118" s="30">
        <f>$I$46*$AI$46</f>
        <v>0</v>
      </c>
      <c r="AJ118" s="30">
        <f>$I$46*$AJ$46</f>
        <v>0</v>
      </c>
      <c r="AK118" s="30">
        <f>$I$46*$AK$46</f>
        <v>0</v>
      </c>
      <c r="AL118" s="30">
        <f>$I$46*$AL$46</f>
        <v>0</v>
      </c>
      <c r="AM118" s="30">
        <f>$I$46*$AM$46</f>
        <v>0</v>
      </c>
      <c r="AN118" s="30">
        <f>$I$46*$AN$46</f>
        <v>0</v>
      </c>
      <c r="AO118" s="30">
        <f>$I$46*$AO$46</f>
        <v>0</v>
      </c>
      <c r="AP118" s="30">
        <f>$I$46*$AP$46</f>
        <v>0</v>
      </c>
      <c r="AQ118" s="30">
        <f>$I$46*$AQ$46</f>
        <v>0</v>
      </c>
      <c r="AR118" s="30">
        <f>$I$46*$AR$46</f>
        <v>0</v>
      </c>
      <c r="AS118" s="30">
        <f>$I$46*$AS$46</f>
        <v>0</v>
      </c>
      <c r="AT118" s="30">
        <f>$I$46*$AT$46</f>
        <v>0</v>
      </c>
      <c r="AU118" s="30">
        <f>$I$46*$AU$46</f>
        <v>0</v>
      </c>
      <c r="AV118" s="30">
        <f>$I$46*$AV$46</f>
        <v>0</v>
      </c>
      <c r="AW118" s="30">
        <f>$I$46*$AW$46</f>
        <v>0</v>
      </c>
      <c r="AX118" s="30">
        <f>$I$46*$AX$46</f>
        <v>0</v>
      </c>
      <c r="AY118" s="30">
        <f>$I$46*$AY$46</f>
        <v>0</v>
      </c>
      <c r="AZ118" s="30">
        <f>$I$46*$AZ$46</f>
        <v>0</v>
      </c>
      <c r="BA118" s="30">
        <f>$I$46*$BA$46</f>
        <v>0</v>
      </c>
      <c r="BB118" s="30">
        <f>$I$46*$BB$46</f>
        <v>0</v>
      </c>
      <c r="BC118" s="30">
        <f>$I$46*$BC$46</f>
        <v>0</v>
      </c>
      <c r="BD118" s="30">
        <f>$I$46*$BD$46</f>
        <v>0</v>
      </c>
    </row>
    <row r="119" spans="1:56" ht="11.25" customHeight="1" x14ac:dyDescent="0.25">
      <c r="A119" s="9" t="s">
        <v>22</v>
      </c>
      <c r="B119" s="9" t="s">
        <v>1241</v>
      </c>
      <c r="C119" s="9" t="s">
        <v>1242</v>
      </c>
      <c r="D119" s="9" t="s">
        <v>1251</v>
      </c>
      <c r="E119" s="9" t="s">
        <v>1252</v>
      </c>
      <c r="F119" s="9" t="s">
        <v>1253</v>
      </c>
      <c r="G119" s="9" t="s">
        <v>1254</v>
      </c>
      <c r="L119" s="30">
        <f>$I$47*$L$47</f>
        <v>0</v>
      </c>
      <c r="M119" s="30">
        <f>$I$47*$M$47</f>
        <v>0</v>
      </c>
      <c r="N119" s="30">
        <f ca="1">$I$47*$N$47</f>
        <v>0</v>
      </c>
      <c r="O119" s="30">
        <f>$I$47*$O$47</f>
        <v>0</v>
      </c>
      <c r="P119" s="30">
        <f>$I$47*$P$47</f>
        <v>0</v>
      </c>
      <c r="Q119" s="30">
        <f>$I$47*$Q$47</f>
        <v>0</v>
      </c>
      <c r="R119" s="30">
        <f>$I$47*$R$47</f>
        <v>0</v>
      </c>
      <c r="S119" s="30">
        <f>$I$47*$S$47</f>
        <v>0</v>
      </c>
      <c r="T119" s="30">
        <f>$I$47*$T$47</f>
        <v>0</v>
      </c>
      <c r="U119" s="30">
        <f>$I$47*$U$47</f>
        <v>0</v>
      </c>
      <c r="V119" s="30">
        <f>$I$47*$V$47</f>
        <v>0</v>
      </c>
      <c r="W119" s="30">
        <f>$I$47*$W$47</f>
        <v>0</v>
      </c>
      <c r="X119" s="30">
        <f>$I$47*$X$47</f>
        <v>0</v>
      </c>
      <c r="Y119" s="30">
        <f>$I$47*$Y$47</f>
        <v>0</v>
      </c>
      <c r="Z119" s="30">
        <f>$I$47*$Z$47</f>
        <v>0</v>
      </c>
      <c r="AA119" s="30">
        <f>$I$47*$AA$47</f>
        <v>0</v>
      </c>
      <c r="AB119" s="30">
        <f ca="1">$I$47*$AB$47</f>
        <v>0</v>
      </c>
      <c r="AC119" s="30">
        <f ca="1">$I$47*$AC$47</f>
        <v>0</v>
      </c>
      <c r="AD119" s="30">
        <f>$I$47*$AD$47</f>
        <v>0</v>
      </c>
      <c r="AE119" s="30">
        <f>$I$47*$AE$47</f>
        <v>0</v>
      </c>
      <c r="AF119" s="30">
        <f ca="1">$I$47*$AF$47</f>
        <v>0</v>
      </c>
      <c r="AG119" s="30">
        <f ca="1">$I$47*$AG$47</f>
        <v>0</v>
      </c>
      <c r="AI119" s="30">
        <f>$I$47*$AI$47</f>
        <v>0</v>
      </c>
      <c r="AJ119" s="30">
        <f>$I$47*$AJ$47</f>
        <v>0</v>
      </c>
      <c r="AK119" s="30">
        <f>$I$47*$AK$47</f>
        <v>0</v>
      </c>
      <c r="AL119" s="30">
        <f>$I$47*$AL$47</f>
        <v>0</v>
      </c>
      <c r="AM119" s="30">
        <f>$I$47*$AM$47</f>
        <v>0</v>
      </c>
      <c r="AN119" s="30">
        <f>$I$47*$AN$47</f>
        <v>0</v>
      </c>
      <c r="AO119" s="30">
        <f>$I$47*$AO$47</f>
        <v>0</v>
      </c>
      <c r="AP119" s="30">
        <f>$I$47*$AP$47</f>
        <v>0</v>
      </c>
      <c r="AQ119" s="30">
        <f>$I$47*$AQ$47</f>
        <v>0</v>
      </c>
      <c r="AR119" s="30">
        <f>$I$47*$AR$47</f>
        <v>0</v>
      </c>
      <c r="AS119" s="30">
        <f>$I$47*$AS$47</f>
        <v>0</v>
      </c>
      <c r="AT119" s="30">
        <f>$I$47*$AT$47</f>
        <v>0</v>
      </c>
      <c r="AU119" s="30">
        <f>$I$47*$AU$47</f>
        <v>0</v>
      </c>
      <c r="AV119" s="30">
        <f>$I$47*$AV$47</f>
        <v>0</v>
      </c>
      <c r="AW119" s="30">
        <f>$I$47*$AW$47</f>
        <v>0</v>
      </c>
      <c r="AX119" s="30">
        <f>$I$47*$AX$47</f>
        <v>0</v>
      </c>
      <c r="AY119" s="30">
        <f>$I$47*$AY$47</f>
        <v>0</v>
      </c>
      <c r="AZ119" s="30">
        <f>$I$47*$AZ$47</f>
        <v>0</v>
      </c>
      <c r="BA119" s="30">
        <f>$I$47*$BA$47</f>
        <v>0</v>
      </c>
      <c r="BB119" s="30">
        <f>$I$47*$BB$47</f>
        <v>0</v>
      </c>
      <c r="BC119" s="30">
        <f>$I$47*$BC$47</f>
        <v>0</v>
      </c>
      <c r="BD119" s="30">
        <f>$I$47*$BD$47</f>
        <v>0</v>
      </c>
    </row>
    <row r="120" spans="1:56" ht="11.25" customHeight="1" x14ac:dyDescent="0.25">
      <c r="A120" s="9" t="s">
        <v>22</v>
      </c>
      <c r="B120" s="9" t="s">
        <v>1241</v>
      </c>
      <c r="C120" s="9" t="s">
        <v>1242</v>
      </c>
      <c r="D120" s="9" t="s">
        <v>1255</v>
      </c>
      <c r="E120" s="9" t="s">
        <v>1256</v>
      </c>
      <c r="F120" s="9" t="s">
        <v>1257</v>
      </c>
      <c r="G120" s="9" t="s">
        <v>1258</v>
      </c>
      <c r="L120" s="30">
        <f>$I$48*$L$48</f>
        <v>0</v>
      </c>
      <c r="M120" s="30">
        <f>$I$48*$M$48</f>
        <v>0</v>
      </c>
      <c r="N120" s="30">
        <f ca="1">$I$48*$N$48</f>
        <v>0</v>
      </c>
      <c r="O120" s="30">
        <f>$I$48*$O$48</f>
        <v>0</v>
      </c>
      <c r="P120" s="30">
        <f>$I$48*$P$48</f>
        <v>0</v>
      </c>
      <c r="Q120" s="30">
        <f>$I$48*$Q$48</f>
        <v>0</v>
      </c>
      <c r="R120" s="30">
        <f>$I$48*$R$48</f>
        <v>0</v>
      </c>
      <c r="S120" s="30">
        <f>$I$48*$S$48</f>
        <v>0</v>
      </c>
      <c r="T120" s="30">
        <f>$I$48*$T$48</f>
        <v>0</v>
      </c>
      <c r="U120" s="30">
        <f>$I$48*$U$48</f>
        <v>0</v>
      </c>
      <c r="V120" s="30">
        <f>$I$48*$V$48</f>
        <v>0</v>
      </c>
      <c r="W120" s="30">
        <f>$I$48*$W$48</f>
        <v>0</v>
      </c>
      <c r="X120" s="30">
        <f>$I$48*$X$48</f>
        <v>0</v>
      </c>
      <c r="Y120" s="30">
        <f>$I$48*$Y$48</f>
        <v>0</v>
      </c>
      <c r="Z120" s="30">
        <f>$I$48*$Z$48</f>
        <v>0</v>
      </c>
      <c r="AA120" s="30">
        <f>$I$48*$AA$48</f>
        <v>0</v>
      </c>
      <c r="AB120" s="30">
        <f ca="1">$I$48*$AB$48</f>
        <v>0</v>
      </c>
      <c r="AC120" s="30">
        <f ca="1">$I$48*$AC$48</f>
        <v>0</v>
      </c>
      <c r="AD120" s="30">
        <f>$I$48*$AD$48</f>
        <v>0</v>
      </c>
      <c r="AE120" s="30">
        <f>$I$48*$AE$48</f>
        <v>0</v>
      </c>
      <c r="AF120" s="30">
        <f ca="1">$I$48*$AF$48</f>
        <v>0</v>
      </c>
      <c r="AG120" s="30">
        <f ca="1">$I$48*$AG$48</f>
        <v>0</v>
      </c>
      <c r="AI120" s="30">
        <f>$I$48*$AI$48</f>
        <v>0</v>
      </c>
      <c r="AJ120" s="30">
        <f>$I$48*$AJ$48</f>
        <v>0</v>
      </c>
      <c r="AK120" s="30">
        <f>$I$48*$AK$48</f>
        <v>0</v>
      </c>
      <c r="AL120" s="30">
        <f>$I$48*$AL$48</f>
        <v>0</v>
      </c>
      <c r="AM120" s="30">
        <f>$I$48*$AM$48</f>
        <v>0</v>
      </c>
      <c r="AN120" s="30">
        <f>$I$48*$AN$48</f>
        <v>0</v>
      </c>
      <c r="AO120" s="30">
        <f>$I$48*$AO$48</f>
        <v>0</v>
      </c>
      <c r="AP120" s="30">
        <f>$I$48*$AP$48</f>
        <v>0</v>
      </c>
      <c r="AQ120" s="30">
        <f>$I$48*$AQ$48</f>
        <v>0</v>
      </c>
      <c r="AR120" s="30">
        <f>$I$48*$AR$48</f>
        <v>0</v>
      </c>
      <c r="AS120" s="30">
        <f>$I$48*$AS$48</f>
        <v>0</v>
      </c>
      <c r="AT120" s="30">
        <f>$I$48*$AT$48</f>
        <v>0</v>
      </c>
      <c r="AU120" s="30">
        <f>$I$48*$AU$48</f>
        <v>0</v>
      </c>
      <c r="AV120" s="30">
        <f>$I$48*$AV$48</f>
        <v>0</v>
      </c>
      <c r="AW120" s="30">
        <f>$I$48*$AW$48</f>
        <v>0</v>
      </c>
      <c r="AX120" s="30">
        <f>$I$48*$AX$48</f>
        <v>0</v>
      </c>
      <c r="AY120" s="30">
        <f>$I$48*$AY$48</f>
        <v>0</v>
      </c>
      <c r="AZ120" s="30">
        <f>$I$48*$AZ$48</f>
        <v>0</v>
      </c>
      <c r="BA120" s="30">
        <f>$I$48*$BA$48</f>
        <v>0</v>
      </c>
      <c r="BB120" s="30">
        <f>$I$48*$BB$48</f>
        <v>0</v>
      </c>
      <c r="BC120" s="30">
        <f>$I$48*$BC$48</f>
        <v>0</v>
      </c>
      <c r="BD120" s="30">
        <f>$I$48*$BD$48</f>
        <v>0</v>
      </c>
    </row>
    <row r="121" spans="1:56" ht="11.25" customHeight="1" x14ac:dyDescent="0.25">
      <c r="A121" s="9" t="s">
        <v>22</v>
      </c>
      <c r="B121" s="9" t="s">
        <v>1241</v>
      </c>
      <c r="C121" s="9" t="s">
        <v>1242</v>
      </c>
      <c r="D121" s="9" t="s">
        <v>1259</v>
      </c>
      <c r="E121" s="9" t="s">
        <v>1260</v>
      </c>
      <c r="F121" s="9" t="s">
        <v>1261</v>
      </c>
      <c r="G121" s="9" t="s">
        <v>1262</v>
      </c>
      <c r="L121" s="30">
        <f>$I$49*$L$49</f>
        <v>0</v>
      </c>
      <c r="M121" s="30">
        <f>$I$49*$M$49</f>
        <v>0</v>
      </c>
      <c r="N121" s="30">
        <f ca="1">$I$49*$N$49</f>
        <v>0</v>
      </c>
      <c r="O121" s="30">
        <f>$I$49*$O$49</f>
        <v>0</v>
      </c>
      <c r="P121" s="30">
        <f>$I$49*$P$49</f>
        <v>0</v>
      </c>
      <c r="Q121" s="30">
        <f>$I$49*$Q$49</f>
        <v>0</v>
      </c>
      <c r="R121" s="30">
        <f>$I$49*$R$49</f>
        <v>0</v>
      </c>
      <c r="S121" s="30">
        <f>$I$49*$S$49</f>
        <v>0</v>
      </c>
      <c r="T121" s="30">
        <f>$I$49*$T$49</f>
        <v>0</v>
      </c>
      <c r="U121" s="30">
        <f>$I$49*$U$49</f>
        <v>0</v>
      </c>
      <c r="V121" s="30">
        <f>$I$49*$V$49</f>
        <v>0</v>
      </c>
      <c r="W121" s="30">
        <f>$I$49*$W$49</f>
        <v>0</v>
      </c>
      <c r="X121" s="30">
        <f>$I$49*$X$49</f>
        <v>0</v>
      </c>
      <c r="Y121" s="30">
        <f>$I$49*$Y$49</f>
        <v>0</v>
      </c>
      <c r="Z121" s="30">
        <f>$I$49*$Z$49</f>
        <v>0</v>
      </c>
      <c r="AA121" s="30">
        <f>$I$49*$AA$49</f>
        <v>0</v>
      </c>
      <c r="AB121" s="30">
        <f ca="1">$I$49*$AB$49</f>
        <v>0</v>
      </c>
      <c r="AC121" s="30">
        <f ca="1">$I$49*$AC$49</f>
        <v>0</v>
      </c>
      <c r="AD121" s="30">
        <f>$I$49*$AD$49</f>
        <v>0</v>
      </c>
      <c r="AE121" s="30">
        <f>$I$49*$AE$49</f>
        <v>0</v>
      </c>
      <c r="AF121" s="30">
        <f ca="1">$I$49*$AF$49</f>
        <v>0</v>
      </c>
      <c r="AG121" s="30">
        <f ca="1">$I$49*$AG$49</f>
        <v>0</v>
      </c>
      <c r="AI121" s="30">
        <f>$I$49*$AI$49</f>
        <v>0</v>
      </c>
      <c r="AJ121" s="30">
        <f>$I$49*$AJ$49</f>
        <v>0</v>
      </c>
      <c r="AK121" s="30">
        <f>$I$49*$AK$49</f>
        <v>0</v>
      </c>
      <c r="AL121" s="30">
        <f>$I$49*$AL$49</f>
        <v>0</v>
      </c>
      <c r="AM121" s="30">
        <f>$I$49*$AM$49</f>
        <v>0</v>
      </c>
      <c r="AN121" s="30">
        <f>$I$49*$AN$49</f>
        <v>0</v>
      </c>
      <c r="AO121" s="30">
        <f>$I$49*$AO$49</f>
        <v>0</v>
      </c>
      <c r="AP121" s="30">
        <f>$I$49*$AP$49</f>
        <v>0</v>
      </c>
      <c r="AQ121" s="30">
        <f>$I$49*$AQ$49</f>
        <v>0</v>
      </c>
      <c r="AR121" s="30">
        <f>$I$49*$AR$49</f>
        <v>0</v>
      </c>
      <c r="AS121" s="30">
        <f>$I$49*$AS$49</f>
        <v>0</v>
      </c>
      <c r="AT121" s="30">
        <f>$I$49*$AT$49</f>
        <v>0</v>
      </c>
      <c r="AU121" s="30">
        <f>$I$49*$AU$49</f>
        <v>0</v>
      </c>
      <c r="AV121" s="30">
        <f>$I$49*$AV$49</f>
        <v>0</v>
      </c>
      <c r="AW121" s="30">
        <f>$I$49*$AW$49</f>
        <v>0</v>
      </c>
      <c r="AX121" s="30">
        <f>$I$49*$AX$49</f>
        <v>0</v>
      </c>
      <c r="AY121" s="30">
        <f>$I$49*$AY$49</f>
        <v>0</v>
      </c>
      <c r="AZ121" s="30">
        <f>$I$49*$AZ$49</f>
        <v>0</v>
      </c>
      <c r="BA121" s="30">
        <f>$I$49*$BA$49</f>
        <v>0</v>
      </c>
      <c r="BB121" s="30">
        <f>$I$49*$BB$49</f>
        <v>0</v>
      </c>
      <c r="BC121" s="30">
        <f>$I$49*$BC$49</f>
        <v>0</v>
      </c>
      <c r="BD121" s="30">
        <f>$I$49*$BD$49</f>
        <v>0</v>
      </c>
    </row>
    <row r="122" spans="1:56" ht="11.25" customHeight="1" x14ac:dyDescent="0.25">
      <c r="A122" s="9" t="s">
        <v>44</v>
      </c>
      <c r="B122" s="9" t="s">
        <v>1263</v>
      </c>
      <c r="C122" s="9" t="s">
        <v>1264</v>
      </c>
      <c r="D122" s="9" t="s">
        <v>1265</v>
      </c>
      <c r="E122" s="9" t="s">
        <v>1266</v>
      </c>
      <c r="F122" s="9" t="s">
        <v>1267</v>
      </c>
      <c r="G122" s="9" t="s">
        <v>1268</v>
      </c>
      <c r="L122" s="30">
        <f>$I$50*$L$50</f>
        <v>2.3103851575768219</v>
      </c>
      <c r="M122" s="30">
        <f>$I$50*$M$50</f>
        <v>0.65828736476070493</v>
      </c>
      <c r="N122" s="30">
        <f ca="1">$I$50*$N$50</f>
        <v>5.7303911945789254</v>
      </c>
      <c r="O122" s="30">
        <f>$I$50*$O$50</f>
        <v>1.331253593601473E-2</v>
      </c>
      <c r="P122" s="30">
        <f>$I$50*$P$50</f>
        <v>0</v>
      </c>
      <c r="Q122" s="30">
        <f>$I$50*$Q$50</f>
        <v>22.481571303333521</v>
      </c>
      <c r="R122" s="30">
        <f>$I$50*$R$50</f>
        <v>9.1573126161570322</v>
      </c>
      <c r="S122" s="30">
        <f>$I$50*$S$50</f>
        <v>0</v>
      </c>
      <c r="T122" s="30">
        <f>$I$50*$T$50</f>
        <v>45.771461822845296</v>
      </c>
      <c r="U122" s="30">
        <f>$I$50*$U$50</f>
        <v>8.2219777982545814</v>
      </c>
      <c r="V122" s="30">
        <f>$I$50*$V$50</f>
        <v>7.8950503910191836</v>
      </c>
      <c r="W122" s="30">
        <f>$I$50*$W$50</f>
        <v>0</v>
      </c>
      <c r="X122" s="30">
        <f>$I$50*$X$50</f>
        <v>0</v>
      </c>
      <c r="Y122" s="30">
        <f>$I$50*$Y$50</f>
        <v>0</v>
      </c>
      <c r="Z122" s="30">
        <f>$I$50*$Z$50</f>
        <v>0</v>
      </c>
      <c r="AA122" s="30">
        <f>$I$50*$AA$50</f>
        <v>534.1186729069093</v>
      </c>
      <c r="AB122" s="30">
        <f ca="1">$I$50*$AB$50</f>
        <v>-51.407816419181195</v>
      </c>
      <c r="AC122" s="30">
        <f ca="1">$I$50*$AC$50</f>
        <v>0</v>
      </c>
      <c r="AD122" s="30">
        <f>$I$50*$AD$50</f>
        <v>15.528553057588868</v>
      </c>
      <c r="AE122" s="30">
        <f>$I$50*$AE$50</f>
        <v>0.55287305981927537</v>
      </c>
      <c r="AF122" s="30">
        <f ca="1">$I$50*$AF$50</f>
        <v>4.6273320663349633</v>
      </c>
      <c r="AG122" s="30">
        <f ca="1">$I$50*$AG$50</f>
        <v>0</v>
      </c>
      <c r="AI122" s="30">
        <f>$I$50*$AI$50</f>
        <v>0</v>
      </c>
      <c r="AJ122" s="30">
        <f>$I$50*$AJ$50</f>
        <v>0.58993113121658025</v>
      </c>
      <c r="AK122" s="30">
        <f>$I$50*$AK$50</f>
        <v>5.3450429869567158</v>
      </c>
      <c r="AL122" s="30">
        <f>$I$50*$AL$50</f>
        <v>1.4002520409939333E-2</v>
      </c>
      <c r="AM122" s="30">
        <f>$I$50*$AM$50</f>
        <v>0</v>
      </c>
      <c r="AN122" s="30">
        <f>$I$50*$AN$50</f>
        <v>12.381228737043951</v>
      </c>
      <c r="AO122" s="30">
        <f>$I$50*$AO$50</f>
        <v>5.899857229216817</v>
      </c>
      <c r="AP122" s="30">
        <f>$I$50*$AP$50</f>
        <v>0</v>
      </c>
      <c r="AQ122" s="30">
        <f>$I$50*$AQ$50</f>
        <v>44.028359557530443</v>
      </c>
      <c r="AR122" s="30">
        <f>$I$50*$AR$50</f>
        <v>11.824132917788496</v>
      </c>
      <c r="AS122" s="30">
        <f>$I$50*$AS$50</f>
        <v>5.0203778100070915</v>
      </c>
      <c r="AT122" s="30">
        <f>$I$50*$AT$50</f>
        <v>0</v>
      </c>
      <c r="AU122" s="30">
        <f>$I$50*$AU$50</f>
        <v>0</v>
      </c>
      <c r="AV122" s="30">
        <f>$I$50*$AV$50</f>
        <v>0</v>
      </c>
      <c r="AW122" s="30">
        <f>$I$50*$AW$50</f>
        <v>0</v>
      </c>
      <c r="AX122" s="30">
        <f>$I$50*$AX$50</f>
        <v>376.45719150299362</v>
      </c>
      <c r="AY122" s="30">
        <f>$I$50*$AY$50</f>
        <v>-0.28750665168090273</v>
      </c>
      <c r="AZ122" s="30">
        <f>$I$50*$AZ$50</f>
        <v>0</v>
      </c>
      <c r="BA122" s="30">
        <f>$I$50*$BA$50</f>
        <v>12.603039249241043</v>
      </c>
      <c r="BB122" s="30">
        <f>$I$50*$BB$50</f>
        <v>0.42819580402396168</v>
      </c>
      <c r="BC122" s="30">
        <f>$I$50*$BC$50</f>
        <v>4.1003847110003671</v>
      </c>
      <c r="BD122" s="30">
        <f>$I$50*$BD$50</f>
        <v>0</v>
      </c>
    </row>
    <row r="123" spans="1:56" ht="11.25" customHeight="1" x14ac:dyDescent="0.25">
      <c r="A123" s="9" t="s">
        <v>44</v>
      </c>
      <c r="B123" s="9" t="s">
        <v>1263</v>
      </c>
      <c r="C123" s="9" t="s">
        <v>1264</v>
      </c>
      <c r="D123" s="9" t="s">
        <v>1265</v>
      </c>
      <c r="E123" s="9" t="s">
        <v>1266</v>
      </c>
      <c r="F123" s="9" t="s">
        <v>1267</v>
      </c>
      <c r="G123" s="9" t="s">
        <v>1269</v>
      </c>
      <c r="L123" s="30">
        <f>$I$51*$L$51</f>
        <v>3.066648711611788</v>
      </c>
      <c r="M123" s="30">
        <f>$I$51*$M$51</f>
        <v>0.87376604389677848</v>
      </c>
      <c r="N123" s="30">
        <f ca="1">$I$51*$N$51</f>
        <v>4.8506040137763602</v>
      </c>
      <c r="O123" s="30">
        <f>$I$51*$O$51</f>
        <v>1.767015817366276E-2</v>
      </c>
      <c r="P123" s="30">
        <f>$I$51*$P$51</f>
        <v>0</v>
      </c>
      <c r="Q123" s="30">
        <f>$I$51*$Q$51</f>
        <v>29.840514446814211</v>
      </c>
      <c r="R123" s="30">
        <f>$I$51*$R$51</f>
        <v>12.154796287566862</v>
      </c>
      <c r="S123" s="30">
        <f>$I$51*$S$51</f>
        <v>0</v>
      </c>
      <c r="T123" s="30">
        <f>$I$51*$T$51</f>
        <v>36.452408703509555</v>
      </c>
      <c r="U123" s="30">
        <f>$I$51*$U$51</f>
        <v>6.5479598704309137</v>
      </c>
      <c r="V123" s="30">
        <f>$I$51*$V$51</f>
        <v>6.2876851106483906</v>
      </c>
      <c r="W123" s="30">
        <f>$I$51*$W$51</f>
        <v>0</v>
      </c>
      <c r="X123" s="30">
        <f>$I$51*$X$51</f>
        <v>0</v>
      </c>
      <c r="Y123" s="30">
        <f>$I$51*$Y$51</f>
        <v>0</v>
      </c>
      <c r="Z123" s="30">
        <f>$I$51*$Z$51</f>
        <v>0</v>
      </c>
      <c r="AA123" s="30">
        <f>$I$51*$AA$51</f>
        <v>425.37184089977194</v>
      </c>
      <c r="AB123" s="30">
        <f ca="1">$I$51*$AB$51</f>
        <v>-43.328488514959069</v>
      </c>
      <c r="AC123" s="30">
        <f ca="1">$I$51*$AC$51</f>
        <v>0</v>
      </c>
      <c r="AD123" s="30">
        <f>$I$51*$AD$51</f>
        <v>20.611549148452653</v>
      </c>
      <c r="AE123" s="30">
        <f>$I$51*$AE$51</f>
        <v>0.73384623815619032</v>
      </c>
      <c r="AF123" s="30">
        <f ca="1">$I$51*$AF$51</f>
        <v>6.1420070471320045</v>
      </c>
      <c r="AG123" s="30">
        <f ca="1">$I$51*$AG$51</f>
        <v>0</v>
      </c>
      <c r="AI123" s="30">
        <f>$I$51*$AI$51</f>
        <v>0</v>
      </c>
      <c r="AJ123" s="30">
        <f>$I$51*$AJ$51</f>
        <v>0.78303461115654094</v>
      </c>
      <c r="AK123" s="30">
        <f>$I$51*$AK$51</f>
        <v>4.5205818509159759</v>
      </c>
      <c r="AL123" s="30">
        <f>$I$51*$AL$51</f>
        <v>1.8585996812538131E-2</v>
      </c>
      <c r="AM123" s="30">
        <f>$I$51*$AM$51</f>
        <v>0</v>
      </c>
      <c r="AN123" s="30">
        <f>$I$51*$AN$51</f>
        <v>16.434004101051791</v>
      </c>
      <c r="AO123" s="30">
        <f>$I$51*$AO$51</f>
        <v>7.8310707248688027</v>
      </c>
      <c r="AP123" s="30">
        <f>$I$51*$AP$51</f>
        <v>0</v>
      </c>
      <c r="AQ123" s="30">
        <f>$I$51*$AQ$51</f>
        <v>35.064201430750828</v>
      </c>
      <c r="AR123" s="30">
        <f>$I$51*$AR$51</f>
        <v>9.4167060223340489</v>
      </c>
      <c r="AS123" s="30">
        <f>$I$51*$AS$51</f>
        <v>3.9982714792699623</v>
      </c>
      <c r="AT123" s="30">
        <f>$I$51*$AT$51</f>
        <v>0</v>
      </c>
      <c r="AU123" s="30">
        <f>$I$51*$AU$51</f>
        <v>0</v>
      </c>
      <c r="AV123" s="30">
        <f>$I$51*$AV$51</f>
        <v>0</v>
      </c>
      <c r="AW123" s="30">
        <f>$I$51*$AW$51</f>
        <v>0</v>
      </c>
      <c r="AX123" s="30">
        <f>$I$51*$AX$51</f>
        <v>299.81031686846836</v>
      </c>
      <c r="AY123" s="30">
        <f>$I$51*$AY$51</f>
        <v>-0.23996430285114226</v>
      </c>
      <c r="AZ123" s="30">
        <f>$I$51*$AZ$51</f>
        <v>0</v>
      </c>
      <c r="BA123" s="30">
        <f>$I$51*$BA$51</f>
        <v>16.728420345555623</v>
      </c>
      <c r="BB123" s="30">
        <f>$I$51*$BB$51</f>
        <v>0.56835809666682968</v>
      </c>
      <c r="BC123" s="30">
        <f>$I$51*$BC$51</f>
        <v>5.4425728324407485</v>
      </c>
      <c r="BD123" s="30">
        <f>$I$51*$BD$51</f>
        <v>0</v>
      </c>
    </row>
    <row r="124" spans="1:56" ht="11.25" customHeight="1" x14ac:dyDescent="0.25">
      <c r="A124" s="9" t="s">
        <v>44</v>
      </c>
      <c r="B124" s="9" t="s">
        <v>1263</v>
      </c>
      <c r="C124" s="9" t="s">
        <v>1264</v>
      </c>
      <c r="D124" s="9" t="s">
        <v>1265</v>
      </c>
      <c r="E124" s="9" t="s">
        <v>1266</v>
      </c>
      <c r="F124" s="9" t="s">
        <v>1267</v>
      </c>
      <c r="G124" s="9" t="s">
        <v>1270</v>
      </c>
      <c r="L124" s="30">
        <f>$I$52*$L$52</f>
        <v>698.84424369486135</v>
      </c>
      <c r="M124" s="30">
        <f>$I$52*$M$52</f>
        <v>199.11846042266723</v>
      </c>
      <c r="N124" s="30">
        <f ca="1">$I$52*$N$52</f>
        <v>477.43608485469014</v>
      </c>
      <c r="O124" s="30">
        <f>$I$52*$O$52</f>
        <v>4.0267697692546029</v>
      </c>
      <c r="P124" s="30">
        <f>$I$52*$P$52</f>
        <v>0</v>
      </c>
      <c r="Q124" s="30">
        <f>$I$52*$Q$52</f>
        <v>6800.2153853119225</v>
      </c>
      <c r="R124" s="30">
        <f>$I$52*$R$52</f>
        <v>2769.899723658039</v>
      </c>
      <c r="S124" s="30">
        <f>$I$52*$S$52</f>
        <v>0</v>
      </c>
      <c r="T124" s="30">
        <f>$I$52*$T$52</f>
        <v>2768.9808641133291</v>
      </c>
      <c r="U124" s="30">
        <f>$I$52*$U$52</f>
        <v>497.38787276067677</v>
      </c>
      <c r="V124" s="30">
        <f>$I$52*$V$52</f>
        <v>477.62372532859945</v>
      </c>
      <c r="W124" s="30">
        <f>$I$52*$W$52</f>
        <v>0</v>
      </c>
      <c r="X124" s="30">
        <f>$I$52*$X$52</f>
        <v>0</v>
      </c>
      <c r="Y124" s="30">
        <f>$I$52*$Y$52</f>
        <v>0</v>
      </c>
      <c r="Z124" s="30">
        <f>$I$52*$Z$52</f>
        <v>0</v>
      </c>
      <c r="AA124" s="30">
        <f>$I$52*$AA$52</f>
        <v>32312.000318903149</v>
      </c>
      <c r="AB124" s="30">
        <f ca="1">$I$52*$AB$52</f>
        <v>-4198.0342924058705</v>
      </c>
      <c r="AC124" s="30">
        <f ca="1">$I$52*$AC$52</f>
        <v>0</v>
      </c>
      <c r="AD124" s="30">
        <f>$I$52*$AD$52</f>
        <v>4697.0696126649536</v>
      </c>
      <c r="AE124" s="30">
        <f>$I$52*$AE$52</f>
        <v>167.23278977168474</v>
      </c>
      <c r="AF124" s="30">
        <f ca="1">$I$52*$AF$52</f>
        <v>1399.6732828800266</v>
      </c>
      <c r="AG124" s="30">
        <f ca="1">$I$52*$AG$52</f>
        <v>0</v>
      </c>
      <c r="AI124" s="30">
        <f>$I$52*$AI$52</f>
        <v>0</v>
      </c>
      <c r="AJ124" s="30">
        <f>$I$52*$AJ$52</f>
        <v>178.44209822551926</v>
      </c>
      <c r="AK124" s="30">
        <f>$I$52*$AK$52</f>
        <v>443.58166823103045</v>
      </c>
      <c r="AL124" s="30">
        <f>$I$52*$AL$52</f>
        <v>4.2354759567314861</v>
      </c>
      <c r="AM124" s="30">
        <f>$I$52*$AM$52</f>
        <v>0</v>
      </c>
      <c r="AN124" s="30">
        <f>$I$52*$AN$52</f>
        <v>3745.0683944955449</v>
      </c>
      <c r="AO124" s="30">
        <f>$I$52*$AO$52</f>
        <v>1784.5861109946088</v>
      </c>
      <c r="AP124" s="30">
        <f>$I$52*$AP$52</f>
        <v>0</v>
      </c>
      <c r="AQ124" s="30">
        <f>$I$52*$AQ$52</f>
        <v>2663.5305108881985</v>
      </c>
      <c r="AR124" s="30">
        <f>$I$52*$AR$52</f>
        <v>715.29995136533091</v>
      </c>
      <c r="AS124" s="30">
        <f>$I$52*$AS$52</f>
        <v>303.71580083899698</v>
      </c>
      <c r="AT124" s="30">
        <f>$I$52*$AT$52</f>
        <v>0</v>
      </c>
      <c r="AU124" s="30">
        <f>$I$52*$AU$52</f>
        <v>0</v>
      </c>
      <c r="AV124" s="30">
        <f>$I$52*$AV$52</f>
        <v>0</v>
      </c>
      <c r="AW124" s="30">
        <f>$I$52*$AW$52</f>
        <v>0</v>
      </c>
      <c r="AX124" s="30">
        <f>$I$52*$AX$52</f>
        <v>22774.124008239141</v>
      </c>
      <c r="AY124" s="30">
        <f>$I$52*$AY$52</f>
        <v>-22.403770381745534</v>
      </c>
      <c r="AZ124" s="30">
        <f>$I$52*$AZ$52</f>
        <v>0</v>
      </c>
      <c r="BA124" s="30">
        <f>$I$52*$BA$52</f>
        <v>3812.1615365768957</v>
      </c>
      <c r="BB124" s="30">
        <f>$I$52*$BB$52</f>
        <v>129.52047057395825</v>
      </c>
      <c r="BC124" s="30">
        <f>$I$52*$BC$52</f>
        <v>1240.282488320021</v>
      </c>
      <c r="BD124" s="30">
        <f>$I$52*$BD$52</f>
        <v>0</v>
      </c>
    </row>
    <row r="125" spans="1:56" ht="11.25" customHeight="1" x14ac:dyDescent="0.25">
      <c r="A125" s="9" t="s">
        <v>44</v>
      </c>
      <c r="B125" s="9" t="s">
        <v>1271</v>
      </c>
      <c r="C125" s="9" t="s">
        <v>1272</v>
      </c>
      <c r="D125" s="9" t="s">
        <v>1273</v>
      </c>
      <c r="E125" s="9" t="s">
        <v>1274</v>
      </c>
      <c r="F125" s="9" t="s">
        <v>1275</v>
      </c>
      <c r="G125" s="9" t="s">
        <v>1276</v>
      </c>
      <c r="L125" s="30">
        <f>$I$53*$L$53</f>
        <v>230494.20640861883</v>
      </c>
      <c r="M125" s="30">
        <f>$I$53*$M$53</f>
        <v>65673.648928942494</v>
      </c>
      <c r="N125" s="30">
        <f ca="1">$I$53*$N$53</f>
        <v>226505.68844558514</v>
      </c>
      <c r="O125" s="30">
        <f>$I$53*$O$53</f>
        <v>1328.1172603602595</v>
      </c>
      <c r="P125" s="30">
        <f>$I$53*$P$53</f>
        <v>0</v>
      </c>
      <c r="Q125" s="30">
        <f>$I$53*$Q$53</f>
        <v>2242860.641389979</v>
      </c>
      <c r="R125" s="30">
        <f>$I$53*$R$53</f>
        <v>913573.8677054611</v>
      </c>
      <c r="S125" s="30">
        <f>$I$53*$S$53</f>
        <v>0</v>
      </c>
      <c r="T125" s="30">
        <f>$I$53*$T$53</f>
        <v>1522120.9234919993</v>
      </c>
      <c r="U125" s="30">
        <f>$I$53*$U$53</f>
        <v>273420.24791883776</v>
      </c>
      <c r="V125" s="30">
        <f>$I$53*$V$53</f>
        <v>262551.35419372114</v>
      </c>
      <c r="W125" s="30">
        <f>$I$53*$W$53</f>
        <v>0</v>
      </c>
      <c r="X125" s="30">
        <f>$I$53*$X$53</f>
        <v>0</v>
      </c>
      <c r="Y125" s="30">
        <f>$I$53*$Y$53</f>
        <v>0</v>
      </c>
      <c r="Z125" s="30">
        <f>$I$53*$Z$53</f>
        <v>0</v>
      </c>
      <c r="AA125" s="30">
        <f>$I$53*$AA$53</f>
        <v>17762014.302366126</v>
      </c>
      <c r="AB125" s="30">
        <f ca="1">$I$53*$AB$53</f>
        <v>-2008615.6498970252</v>
      </c>
      <c r="AC125" s="30">
        <f ca="1">$I$53*$AC$53</f>
        <v>0</v>
      </c>
      <c r="AD125" s="30">
        <f>$I$53*$AD$53</f>
        <v>1549196.895567429</v>
      </c>
      <c r="AE125" s="30">
        <f>$I$53*$AE$53</f>
        <v>55157.053251417216</v>
      </c>
      <c r="AF125" s="30">
        <f ca="1">$I$53*$AF$53</f>
        <v>461643.04203619238</v>
      </c>
      <c r="AG125" s="30">
        <f ca="1">$I$53*$AG$53</f>
        <v>0</v>
      </c>
      <c r="AI125" s="30">
        <f>$I$53*$AI$53</f>
        <v>0</v>
      </c>
      <c r="AJ125" s="30">
        <f>$I$53*$AJ$53</f>
        <v>58854.129788523438</v>
      </c>
      <c r="AK125" s="30">
        <f>$I$53*$AK$53</f>
        <v>210793.40166141975</v>
      </c>
      <c r="AL125" s="30">
        <f>$I$53*$AL$53</f>
        <v>1396.9531526053088</v>
      </c>
      <c r="AM125" s="30">
        <f>$I$53*$AM$53</f>
        <v>0</v>
      </c>
      <c r="AN125" s="30">
        <f>$I$53*$AN$53</f>
        <v>1235205.9494277809</v>
      </c>
      <c r="AO125" s="30">
        <f>$I$53*$AO$53</f>
        <v>588595.76097638858</v>
      </c>
      <c r="AP125" s="30">
        <f>$I$53*$AP$53</f>
        <v>0</v>
      </c>
      <c r="AQ125" s="30">
        <f>$I$53*$AQ$53</f>
        <v>1464154.4019050114</v>
      </c>
      <c r="AR125" s="30">
        <f>$I$53*$AR$53</f>
        <v>393209.20502769348</v>
      </c>
      <c r="AS125" s="30">
        <f>$I$53*$AS$53</f>
        <v>166953.58829892304</v>
      </c>
      <c r="AT125" s="30">
        <f>$I$53*$AT$53</f>
        <v>0</v>
      </c>
      <c r="AU125" s="30">
        <f>$I$53*$AU$53</f>
        <v>0</v>
      </c>
      <c r="AV125" s="30">
        <f>$I$53*$AV$53</f>
        <v>0</v>
      </c>
      <c r="AW125" s="30">
        <f>$I$53*$AW$53</f>
        <v>0</v>
      </c>
      <c r="AX125" s="30">
        <f>$I$53*$AX$53</f>
        <v>12519011.895452227</v>
      </c>
      <c r="AY125" s="30">
        <f>$I$53*$AY$53</f>
        <v>-10938.205521037717</v>
      </c>
      <c r="AZ125" s="30">
        <f>$I$53*$AZ$53</f>
        <v>0</v>
      </c>
      <c r="BA125" s="30">
        <f>$I$53*$BA$53</f>
        <v>1257334.7437607483</v>
      </c>
      <c r="BB125" s="30">
        <f>$I$53*$BB$53</f>
        <v>42718.700694700856</v>
      </c>
      <c r="BC125" s="30">
        <f>$I$53*$BC$53</f>
        <v>409072.45133245183</v>
      </c>
      <c r="BD125" s="30">
        <f>$I$53*$BD$53</f>
        <v>0</v>
      </c>
    </row>
    <row r="126" spans="1:56" ht="11.25" customHeight="1" x14ac:dyDescent="0.25">
      <c r="A126" s="9" t="s">
        <v>44</v>
      </c>
      <c r="B126" s="9" t="s">
        <v>1263</v>
      </c>
      <c r="C126" s="9" t="s">
        <v>1264</v>
      </c>
      <c r="D126" s="9" t="s">
        <v>1277</v>
      </c>
      <c r="E126" s="9" t="s">
        <v>1278</v>
      </c>
      <c r="F126" s="9" t="s">
        <v>1279</v>
      </c>
      <c r="G126" s="9" t="s">
        <v>1280</v>
      </c>
      <c r="L126" s="30">
        <f>$I$54*$L$54</f>
        <v>0</v>
      </c>
      <c r="M126" s="30">
        <f>$I$54*$M$54</f>
        <v>0</v>
      </c>
      <c r="N126" s="30">
        <f ca="1">$I$54*$N$54</f>
        <v>0</v>
      </c>
      <c r="O126" s="30">
        <f>$I$54*$O$54</f>
        <v>0</v>
      </c>
      <c r="P126" s="30">
        <f>$I$54*$P$54</f>
        <v>0</v>
      </c>
      <c r="Q126" s="30">
        <f>$I$54*$Q$54</f>
        <v>0</v>
      </c>
      <c r="R126" s="30">
        <f>$I$54*$R$54</f>
        <v>0</v>
      </c>
      <c r="S126" s="30">
        <f>$I$54*$S$54</f>
        <v>0</v>
      </c>
      <c r="T126" s="30">
        <f>$I$54*$T$54</f>
        <v>0</v>
      </c>
      <c r="U126" s="30">
        <f>$I$54*$U$54</f>
        <v>0</v>
      </c>
      <c r="V126" s="30">
        <f>$I$54*$V$54</f>
        <v>0</v>
      </c>
      <c r="W126" s="30">
        <f>$I$54*$W$54</f>
        <v>0</v>
      </c>
      <c r="X126" s="30">
        <f>$I$54*$X$54</f>
        <v>0</v>
      </c>
      <c r="Y126" s="30">
        <f>$I$54*$Y$54</f>
        <v>0</v>
      </c>
      <c r="Z126" s="30">
        <f>$I$54*$Z$54</f>
        <v>0</v>
      </c>
      <c r="AA126" s="30">
        <f>$I$54*$AA$54</f>
        <v>0</v>
      </c>
      <c r="AB126" s="30">
        <f ca="1">$I$54*$AB$54</f>
        <v>0</v>
      </c>
      <c r="AC126" s="30">
        <f ca="1">$I$54*$AC$54</f>
        <v>0</v>
      </c>
      <c r="AD126" s="30">
        <f>$I$54*$AD$54</f>
        <v>0</v>
      </c>
      <c r="AE126" s="30">
        <f>$I$54*$AE$54</f>
        <v>0</v>
      </c>
      <c r="AF126" s="30">
        <f ca="1">$I$54*$AF$54</f>
        <v>0</v>
      </c>
      <c r="AG126" s="30">
        <f ca="1">$I$54*$AG$54</f>
        <v>0</v>
      </c>
      <c r="AI126" s="30">
        <f>$I$54*$AI$54</f>
        <v>0</v>
      </c>
      <c r="AJ126" s="30">
        <f>$I$54*$AJ$54</f>
        <v>0</v>
      </c>
      <c r="AK126" s="30">
        <f>$I$54*$AK$54</f>
        <v>0</v>
      </c>
      <c r="AL126" s="30">
        <f>$I$54*$AL$54</f>
        <v>0</v>
      </c>
      <c r="AM126" s="30">
        <f>$I$54*$AM$54</f>
        <v>0</v>
      </c>
      <c r="AN126" s="30">
        <f>$I$54*$AN$54</f>
        <v>0</v>
      </c>
      <c r="AO126" s="30">
        <f>$I$54*$AO$54</f>
        <v>0</v>
      </c>
      <c r="AP126" s="30">
        <f>$I$54*$AP$54</f>
        <v>0</v>
      </c>
      <c r="AQ126" s="30">
        <f>$I$54*$AQ$54</f>
        <v>0</v>
      </c>
      <c r="AR126" s="30">
        <f>$I$54*$AR$54</f>
        <v>0</v>
      </c>
      <c r="AS126" s="30">
        <f>$I$54*$AS$54</f>
        <v>0</v>
      </c>
      <c r="AT126" s="30">
        <f>$I$54*$AT$54</f>
        <v>0</v>
      </c>
      <c r="AU126" s="30">
        <f>$I$54*$AU$54</f>
        <v>0</v>
      </c>
      <c r="AV126" s="30">
        <f>$I$54*$AV$54</f>
        <v>0</v>
      </c>
      <c r="AW126" s="30">
        <f>$I$54*$AW$54</f>
        <v>0</v>
      </c>
      <c r="AX126" s="30">
        <f>$I$54*$AX$54</f>
        <v>0</v>
      </c>
      <c r="AY126" s="30">
        <f>$I$54*$AY$54</f>
        <v>0</v>
      </c>
      <c r="AZ126" s="30">
        <f>$I$54*$AZ$54</f>
        <v>0</v>
      </c>
      <c r="BA126" s="30">
        <f>$I$54*$BA$54</f>
        <v>0</v>
      </c>
      <c r="BB126" s="30">
        <f>$I$54*$BB$54</f>
        <v>0</v>
      </c>
      <c r="BC126" s="30">
        <f>$I$54*$BC$54</f>
        <v>0</v>
      </c>
      <c r="BD126" s="30">
        <f>$I$54*$BD$54</f>
        <v>0</v>
      </c>
    </row>
    <row r="127" spans="1:56" ht="11.25" customHeight="1" x14ac:dyDescent="0.25">
      <c r="A127" s="9" t="s">
        <v>44</v>
      </c>
      <c r="B127" s="9" t="s">
        <v>1263</v>
      </c>
      <c r="C127" s="9" t="s">
        <v>1264</v>
      </c>
      <c r="D127" s="9" t="s">
        <v>1277</v>
      </c>
      <c r="E127" s="9" t="s">
        <v>1278</v>
      </c>
      <c r="F127" s="9" t="s">
        <v>1279</v>
      </c>
      <c r="G127" s="9" t="s">
        <v>1281</v>
      </c>
      <c r="L127" s="30">
        <f>$I$55*$L$55</f>
        <v>0</v>
      </c>
      <c r="M127" s="30">
        <f>$I$55*$M$55</f>
        <v>0</v>
      </c>
      <c r="N127" s="30">
        <f ca="1">$I$55*$N$55</f>
        <v>0</v>
      </c>
      <c r="O127" s="30">
        <f>$I$55*$O$55</f>
        <v>0</v>
      </c>
      <c r="P127" s="30">
        <f>$I$55*$P$55</f>
        <v>0</v>
      </c>
      <c r="Q127" s="30">
        <f>$I$55*$Q$55</f>
        <v>0</v>
      </c>
      <c r="R127" s="30">
        <f>$I$55*$R$55</f>
        <v>0</v>
      </c>
      <c r="S127" s="30">
        <f>$I$55*$S$55</f>
        <v>0</v>
      </c>
      <c r="T127" s="30">
        <f>$I$55*$T$55</f>
        <v>0</v>
      </c>
      <c r="U127" s="30">
        <f>$I$55*$U$55</f>
        <v>0</v>
      </c>
      <c r="V127" s="30">
        <f>$I$55*$V$55</f>
        <v>0</v>
      </c>
      <c r="W127" s="30">
        <f>$I$55*$W$55</f>
        <v>0</v>
      </c>
      <c r="X127" s="30">
        <f>$I$55*$X$55</f>
        <v>0</v>
      </c>
      <c r="Y127" s="30">
        <f>$I$55*$Y$55</f>
        <v>0</v>
      </c>
      <c r="Z127" s="30">
        <f>$I$55*$Z$55</f>
        <v>0</v>
      </c>
      <c r="AA127" s="30">
        <f>$I$55*$AA$55</f>
        <v>0</v>
      </c>
      <c r="AB127" s="30">
        <f ca="1">$I$55*$AB$55</f>
        <v>0</v>
      </c>
      <c r="AC127" s="30">
        <f ca="1">$I$55*$AC$55</f>
        <v>0</v>
      </c>
      <c r="AD127" s="30">
        <f>$I$55*$AD$55</f>
        <v>0</v>
      </c>
      <c r="AE127" s="30">
        <f>$I$55*$AE$55</f>
        <v>0</v>
      </c>
      <c r="AF127" s="30">
        <f ca="1">$I$55*$AF$55</f>
        <v>0</v>
      </c>
      <c r="AG127" s="30">
        <f ca="1">$I$55*$AG$55</f>
        <v>0</v>
      </c>
      <c r="AI127" s="30">
        <f>$I$55*$AI$55</f>
        <v>0</v>
      </c>
      <c r="AJ127" s="30">
        <f>$I$55*$AJ$55</f>
        <v>0</v>
      </c>
      <c r="AK127" s="30">
        <f>$I$55*$AK$55</f>
        <v>0</v>
      </c>
      <c r="AL127" s="30">
        <f>$I$55*$AL$55</f>
        <v>0</v>
      </c>
      <c r="AM127" s="30">
        <f>$I$55*$AM$55</f>
        <v>0</v>
      </c>
      <c r="AN127" s="30">
        <f>$I$55*$AN$55</f>
        <v>0</v>
      </c>
      <c r="AO127" s="30">
        <f>$I$55*$AO$55</f>
        <v>0</v>
      </c>
      <c r="AP127" s="30">
        <f>$I$55*$AP$55</f>
        <v>0</v>
      </c>
      <c r="AQ127" s="30">
        <f>$I$55*$AQ$55</f>
        <v>0</v>
      </c>
      <c r="AR127" s="30">
        <f>$I$55*$AR$55</f>
        <v>0</v>
      </c>
      <c r="AS127" s="30">
        <f>$I$55*$AS$55</f>
        <v>0</v>
      </c>
      <c r="AT127" s="30">
        <f>$I$55*$AT$55</f>
        <v>0</v>
      </c>
      <c r="AU127" s="30">
        <f>$I$55*$AU$55</f>
        <v>0</v>
      </c>
      <c r="AV127" s="30">
        <f>$I$55*$AV$55</f>
        <v>0</v>
      </c>
      <c r="AW127" s="30">
        <f>$I$55*$AW$55</f>
        <v>0</v>
      </c>
      <c r="AX127" s="30">
        <f>$I$55*$AX$55</f>
        <v>0</v>
      </c>
      <c r="AY127" s="30">
        <f>$I$55*$AY$55</f>
        <v>0</v>
      </c>
      <c r="AZ127" s="30">
        <f>$I$55*$AZ$55</f>
        <v>0</v>
      </c>
      <c r="BA127" s="30">
        <f>$I$55*$BA$55</f>
        <v>0</v>
      </c>
      <c r="BB127" s="30">
        <f>$I$55*$BB$55</f>
        <v>0</v>
      </c>
      <c r="BC127" s="30">
        <f>$I$55*$BC$55</f>
        <v>0</v>
      </c>
      <c r="BD127" s="30">
        <f>$I$55*$BD$55</f>
        <v>0</v>
      </c>
    </row>
    <row r="128" spans="1:56" ht="11.25" customHeight="1" x14ac:dyDescent="0.25">
      <c r="A128" s="9" t="s">
        <v>44</v>
      </c>
      <c r="B128" s="9" t="s">
        <v>1263</v>
      </c>
      <c r="C128" s="9" t="s">
        <v>1264</v>
      </c>
      <c r="D128" s="9" t="s">
        <v>1277</v>
      </c>
      <c r="E128" s="9" t="s">
        <v>1278</v>
      </c>
      <c r="F128" s="9" t="s">
        <v>1279</v>
      </c>
      <c r="G128" s="9" t="s">
        <v>1282</v>
      </c>
      <c r="L128" s="30">
        <f>$I$56*$L$56</f>
        <v>0</v>
      </c>
      <c r="M128" s="30">
        <f>$I$56*$M$56</f>
        <v>0</v>
      </c>
      <c r="N128" s="30">
        <f ca="1">$I$56*$N$56</f>
        <v>0</v>
      </c>
      <c r="O128" s="30">
        <f>$I$56*$O$56</f>
        <v>0</v>
      </c>
      <c r="P128" s="30">
        <f>$I$56*$P$56</f>
        <v>0</v>
      </c>
      <c r="Q128" s="30">
        <f>$I$56*$Q$56</f>
        <v>0</v>
      </c>
      <c r="R128" s="30">
        <f>$I$56*$R$56</f>
        <v>0</v>
      </c>
      <c r="S128" s="30">
        <f>$I$56*$S$56</f>
        <v>0</v>
      </c>
      <c r="T128" s="30">
        <f>$I$56*$T$56</f>
        <v>0</v>
      </c>
      <c r="U128" s="30">
        <f>$I$56*$U$56</f>
        <v>0</v>
      </c>
      <c r="V128" s="30">
        <f>$I$56*$V$56</f>
        <v>0</v>
      </c>
      <c r="W128" s="30">
        <f>$I$56*$W$56</f>
        <v>0</v>
      </c>
      <c r="X128" s="30">
        <f>$I$56*$X$56</f>
        <v>0</v>
      </c>
      <c r="Y128" s="30">
        <f>$I$56*$Y$56</f>
        <v>0</v>
      </c>
      <c r="Z128" s="30">
        <f>$I$56*$Z$56</f>
        <v>0</v>
      </c>
      <c r="AA128" s="30">
        <f>$I$56*$AA$56</f>
        <v>0</v>
      </c>
      <c r="AB128" s="30">
        <f ca="1">$I$56*$AB$56</f>
        <v>0</v>
      </c>
      <c r="AC128" s="30">
        <f ca="1">$I$56*$AC$56</f>
        <v>0</v>
      </c>
      <c r="AD128" s="30">
        <f>$I$56*$AD$56</f>
        <v>0</v>
      </c>
      <c r="AE128" s="30">
        <f>$I$56*$AE$56</f>
        <v>0</v>
      </c>
      <c r="AF128" s="30">
        <f ca="1">$I$56*$AF$56</f>
        <v>0</v>
      </c>
      <c r="AG128" s="30">
        <f ca="1">$I$56*$AG$56</f>
        <v>0</v>
      </c>
      <c r="AI128" s="30">
        <f>$I$56*$AI$56</f>
        <v>0</v>
      </c>
      <c r="AJ128" s="30">
        <f>$I$56*$AJ$56</f>
        <v>0</v>
      </c>
      <c r="AK128" s="30">
        <f>$I$56*$AK$56</f>
        <v>0</v>
      </c>
      <c r="AL128" s="30">
        <f>$I$56*$AL$56</f>
        <v>0</v>
      </c>
      <c r="AM128" s="30">
        <f>$I$56*$AM$56</f>
        <v>0</v>
      </c>
      <c r="AN128" s="30">
        <f>$I$56*$AN$56</f>
        <v>0</v>
      </c>
      <c r="AO128" s="30">
        <f>$I$56*$AO$56</f>
        <v>0</v>
      </c>
      <c r="AP128" s="30">
        <f>$I$56*$AP$56</f>
        <v>0</v>
      </c>
      <c r="AQ128" s="30">
        <f>$I$56*$AQ$56</f>
        <v>0</v>
      </c>
      <c r="AR128" s="30">
        <f>$I$56*$AR$56</f>
        <v>0</v>
      </c>
      <c r="AS128" s="30">
        <f>$I$56*$AS$56</f>
        <v>0</v>
      </c>
      <c r="AT128" s="30">
        <f>$I$56*$AT$56</f>
        <v>0</v>
      </c>
      <c r="AU128" s="30">
        <f>$I$56*$AU$56</f>
        <v>0</v>
      </c>
      <c r="AV128" s="30">
        <f>$I$56*$AV$56</f>
        <v>0</v>
      </c>
      <c r="AW128" s="30">
        <f>$I$56*$AW$56</f>
        <v>0</v>
      </c>
      <c r="AX128" s="30">
        <f>$I$56*$AX$56</f>
        <v>0</v>
      </c>
      <c r="AY128" s="30">
        <f>$I$56*$AY$56</f>
        <v>0</v>
      </c>
      <c r="AZ128" s="30">
        <f>$I$56*$AZ$56</f>
        <v>0</v>
      </c>
      <c r="BA128" s="30">
        <f>$I$56*$BA$56</f>
        <v>0</v>
      </c>
      <c r="BB128" s="30">
        <f>$I$56*$BB$56</f>
        <v>0</v>
      </c>
      <c r="BC128" s="30">
        <f>$I$56*$BC$56</f>
        <v>0</v>
      </c>
      <c r="BD128" s="30">
        <f>$I$56*$BD$56</f>
        <v>0</v>
      </c>
    </row>
    <row r="129" spans="1:56" ht="11.25" customHeight="1" x14ac:dyDescent="0.25">
      <c r="A129" s="9" t="s">
        <v>44</v>
      </c>
      <c r="B129" s="9" t="s">
        <v>1271</v>
      </c>
      <c r="C129" s="9" t="s">
        <v>1272</v>
      </c>
      <c r="D129" s="9" t="s">
        <v>1283</v>
      </c>
      <c r="E129" s="9" t="s">
        <v>1284</v>
      </c>
      <c r="F129" s="9" t="s">
        <v>1285</v>
      </c>
      <c r="G129" s="9" t="s">
        <v>1286</v>
      </c>
      <c r="L129" s="30">
        <f>$I$57*$L$57</f>
        <v>0</v>
      </c>
      <c r="M129" s="30">
        <f>$I$57*$M$57</f>
        <v>0</v>
      </c>
      <c r="N129" s="30">
        <f ca="1">$I$57*$N$57</f>
        <v>0</v>
      </c>
      <c r="O129" s="30">
        <f>$I$57*$O$57</f>
        <v>0</v>
      </c>
      <c r="P129" s="30">
        <f>$I$57*$P$57</f>
        <v>0</v>
      </c>
      <c r="Q129" s="30">
        <f>$I$57*$Q$57</f>
        <v>0</v>
      </c>
      <c r="R129" s="30">
        <f>$I$57*$R$57</f>
        <v>0</v>
      </c>
      <c r="S129" s="30">
        <f>$I$57*$S$57</f>
        <v>0</v>
      </c>
      <c r="T129" s="30">
        <f>$I$57*$T$57</f>
        <v>0</v>
      </c>
      <c r="U129" s="30">
        <f>$I$57*$U$57</f>
        <v>0</v>
      </c>
      <c r="V129" s="30">
        <f>$I$57*$V$57</f>
        <v>0</v>
      </c>
      <c r="W129" s="30">
        <f>$I$57*$W$57</f>
        <v>0</v>
      </c>
      <c r="X129" s="30">
        <f>$I$57*$X$57</f>
        <v>0</v>
      </c>
      <c r="Y129" s="30">
        <f>$I$57*$Y$57</f>
        <v>0</v>
      </c>
      <c r="Z129" s="30">
        <f>$I$57*$Z$57</f>
        <v>0</v>
      </c>
      <c r="AA129" s="30">
        <f>$I$57*$AA$57</f>
        <v>0</v>
      </c>
      <c r="AB129" s="30">
        <f ca="1">$I$57*$AB$57</f>
        <v>0</v>
      </c>
      <c r="AC129" s="30">
        <f ca="1">$I$57*$AC$57</f>
        <v>0</v>
      </c>
      <c r="AD129" s="30">
        <f>$I$57*$AD$57</f>
        <v>0</v>
      </c>
      <c r="AE129" s="30">
        <f>$I$57*$AE$57</f>
        <v>0</v>
      </c>
      <c r="AF129" s="30">
        <f ca="1">$I$57*$AF$57</f>
        <v>0</v>
      </c>
      <c r="AG129" s="30">
        <f ca="1">$I$57*$AG$57</f>
        <v>0</v>
      </c>
      <c r="AI129" s="30">
        <f>$I$57*$AI$57</f>
        <v>0</v>
      </c>
      <c r="AJ129" s="30">
        <f>$I$57*$AJ$57</f>
        <v>0</v>
      </c>
      <c r="AK129" s="30">
        <f>$I$57*$AK$57</f>
        <v>0</v>
      </c>
      <c r="AL129" s="30">
        <f>$I$57*$AL$57</f>
        <v>0</v>
      </c>
      <c r="AM129" s="30">
        <f>$I$57*$AM$57</f>
        <v>0</v>
      </c>
      <c r="AN129" s="30">
        <f>$I$57*$AN$57</f>
        <v>0</v>
      </c>
      <c r="AO129" s="30">
        <f>$I$57*$AO$57</f>
        <v>0</v>
      </c>
      <c r="AP129" s="30">
        <f>$I$57*$AP$57</f>
        <v>0</v>
      </c>
      <c r="AQ129" s="30">
        <f>$I$57*$AQ$57</f>
        <v>0</v>
      </c>
      <c r="AR129" s="30">
        <f>$I$57*$AR$57</f>
        <v>0</v>
      </c>
      <c r="AS129" s="30">
        <f>$I$57*$AS$57</f>
        <v>0</v>
      </c>
      <c r="AT129" s="30">
        <f>$I$57*$AT$57</f>
        <v>0</v>
      </c>
      <c r="AU129" s="30">
        <f>$I$57*$AU$57</f>
        <v>0</v>
      </c>
      <c r="AV129" s="30">
        <f>$I$57*$AV$57</f>
        <v>0</v>
      </c>
      <c r="AW129" s="30">
        <f>$I$57*$AW$57</f>
        <v>0</v>
      </c>
      <c r="AX129" s="30">
        <f>$I$57*$AX$57</f>
        <v>0</v>
      </c>
      <c r="AY129" s="30">
        <f>$I$57*$AY$57</f>
        <v>0</v>
      </c>
      <c r="AZ129" s="30">
        <f>$I$57*$AZ$57</f>
        <v>0</v>
      </c>
      <c r="BA129" s="30">
        <f>$I$57*$BA$57</f>
        <v>0</v>
      </c>
      <c r="BB129" s="30">
        <f>$I$57*$BB$57</f>
        <v>0</v>
      </c>
      <c r="BC129" s="30">
        <f>$I$57*$BC$57</f>
        <v>0</v>
      </c>
      <c r="BD129" s="30">
        <f>$I$57*$BD$57</f>
        <v>0</v>
      </c>
    </row>
    <row r="130" spans="1:56" ht="11.25" customHeight="1" x14ac:dyDescent="0.25">
      <c r="A130" s="9" t="s">
        <v>44</v>
      </c>
      <c r="B130" s="9" t="s">
        <v>1263</v>
      </c>
      <c r="C130" s="9" t="s">
        <v>1264</v>
      </c>
      <c r="D130" s="9" t="s">
        <v>1287</v>
      </c>
      <c r="E130" s="9" t="s">
        <v>1288</v>
      </c>
      <c r="F130" s="9" t="s">
        <v>1289</v>
      </c>
      <c r="G130" s="9" t="s">
        <v>1290</v>
      </c>
      <c r="L130" s="30">
        <f>$I$58*$L$58</f>
        <v>0</v>
      </c>
      <c r="M130" s="30">
        <f>$I$58*$M$58</f>
        <v>0</v>
      </c>
      <c r="N130" s="30">
        <f ca="1">$I$58*$N$58</f>
        <v>0</v>
      </c>
      <c r="O130" s="30">
        <f>$I$58*$O$58</f>
        <v>0</v>
      </c>
      <c r="P130" s="30">
        <f>$I$58*$P$58</f>
        <v>0</v>
      </c>
      <c r="Q130" s="30">
        <f>$I$58*$Q$58</f>
        <v>0</v>
      </c>
      <c r="R130" s="30">
        <f>$I$58*$R$58</f>
        <v>0</v>
      </c>
      <c r="S130" s="30">
        <f>$I$58*$S$58</f>
        <v>0</v>
      </c>
      <c r="T130" s="30">
        <f>$I$58*$T$58</f>
        <v>0</v>
      </c>
      <c r="U130" s="30">
        <f>$I$58*$U$58</f>
        <v>0</v>
      </c>
      <c r="V130" s="30">
        <f>$I$58*$V$58</f>
        <v>0</v>
      </c>
      <c r="W130" s="30">
        <f>$I$58*$W$58</f>
        <v>0</v>
      </c>
      <c r="X130" s="30">
        <f>$I$58*$X$58</f>
        <v>0</v>
      </c>
      <c r="Y130" s="30">
        <f>$I$58*$Y$58</f>
        <v>0</v>
      </c>
      <c r="Z130" s="30">
        <f>$I$58*$Z$58</f>
        <v>0</v>
      </c>
      <c r="AA130" s="30">
        <f>$I$58*$AA$58</f>
        <v>0</v>
      </c>
      <c r="AB130" s="30">
        <f ca="1">$I$58*$AB$58</f>
        <v>0</v>
      </c>
      <c r="AC130" s="30">
        <f ca="1">$I$58*$AC$58</f>
        <v>0</v>
      </c>
      <c r="AD130" s="30">
        <f>$I$58*$AD$58</f>
        <v>0</v>
      </c>
      <c r="AE130" s="30">
        <f>$I$58*$AE$58</f>
        <v>0</v>
      </c>
      <c r="AF130" s="30">
        <f ca="1">$I$58*$AF$58</f>
        <v>0</v>
      </c>
      <c r="AG130" s="30">
        <f ca="1">$I$58*$AG$58</f>
        <v>0</v>
      </c>
      <c r="AI130" s="30">
        <f>$I$58*$AI$58</f>
        <v>0</v>
      </c>
      <c r="AJ130" s="30">
        <f>$I$58*$AJ$58</f>
        <v>0</v>
      </c>
      <c r="AK130" s="30">
        <f>$I$58*$AK$58</f>
        <v>0</v>
      </c>
      <c r="AL130" s="30">
        <f>$I$58*$AL$58</f>
        <v>0</v>
      </c>
      <c r="AM130" s="30">
        <f>$I$58*$AM$58</f>
        <v>0</v>
      </c>
      <c r="AN130" s="30">
        <f>$I$58*$AN$58</f>
        <v>0</v>
      </c>
      <c r="AO130" s="30">
        <f>$I$58*$AO$58</f>
        <v>0</v>
      </c>
      <c r="AP130" s="30">
        <f>$I$58*$AP$58</f>
        <v>0</v>
      </c>
      <c r="AQ130" s="30">
        <f>$I$58*$AQ$58</f>
        <v>0</v>
      </c>
      <c r="AR130" s="30">
        <f>$I$58*$AR$58</f>
        <v>0</v>
      </c>
      <c r="AS130" s="30">
        <f>$I$58*$AS$58</f>
        <v>0</v>
      </c>
      <c r="AT130" s="30">
        <f>$I$58*$AT$58</f>
        <v>0</v>
      </c>
      <c r="AU130" s="30">
        <f>$I$58*$AU$58</f>
        <v>0</v>
      </c>
      <c r="AV130" s="30">
        <f>$I$58*$AV$58</f>
        <v>0</v>
      </c>
      <c r="AW130" s="30">
        <f>$I$58*$AW$58</f>
        <v>0</v>
      </c>
      <c r="AX130" s="30">
        <f>$I$58*$AX$58</f>
        <v>0</v>
      </c>
      <c r="AY130" s="30">
        <f>$I$58*$AY$58</f>
        <v>0</v>
      </c>
      <c r="AZ130" s="30">
        <f>$I$58*$AZ$58</f>
        <v>0</v>
      </c>
      <c r="BA130" s="30">
        <f>$I$58*$BA$58</f>
        <v>0</v>
      </c>
      <c r="BB130" s="30">
        <f>$I$58*$BB$58</f>
        <v>0</v>
      </c>
      <c r="BC130" s="30">
        <f>$I$58*$BC$58</f>
        <v>0</v>
      </c>
      <c r="BD130" s="30">
        <f>$I$58*$BD$58</f>
        <v>0</v>
      </c>
    </row>
    <row r="131" spans="1:56" ht="11.25" customHeight="1" x14ac:dyDescent="0.25">
      <c r="A131" s="9" t="s">
        <v>44</v>
      </c>
      <c r="B131" s="9" t="s">
        <v>1263</v>
      </c>
      <c r="C131" s="9" t="s">
        <v>1264</v>
      </c>
      <c r="D131" s="9" t="s">
        <v>1287</v>
      </c>
      <c r="E131" s="9" t="s">
        <v>1288</v>
      </c>
      <c r="F131" s="9" t="s">
        <v>1289</v>
      </c>
      <c r="G131" s="9" t="s">
        <v>1291</v>
      </c>
      <c r="L131" s="30">
        <f>$I$59*$L$59</f>
        <v>0</v>
      </c>
      <c r="M131" s="30">
        <f>$I$59*$M$59</f>
        <v>0</v>
      </c>
      <c r="N131" s="30">
        <f ca="1">$I$59*$N$59</f>
        <v>0</v>
      </c>
      <c r="O131" s="30">
        <f>$I$59*$O$59</f>
        <v>0</v>
      </c>
      <c r="P131" s="30">
        <f>$I$59*$P$59</f>
        <v>0</v>
      </c>
      <c r="Q131" s="30">
        <f>$I$59*$Q$59</f>
        <v>0</v>
      </c>
      <c r="R131" s="30">
        <f>$I$59*$R$59</f>
        <v>0</v>
      </c>
      <c r="S131" s="30">
        <f>$I$59*$S$59</f>
        <v>0</v>
      </c>
      <c r="T131" s="30">
        <f>$I$59*$T$59</f>
        <v>0</v>
      </c>
      <c r="U131" s="30">
        <f>$I$59*$U$59</f>
        <v>0</v>
      </c>
      <c r="V131" s="30">
        <f>$I$59*$V$59</f>
        <v>0</v>
      </c>
      <c r="W131" s="30">
        <f>$I$59*$W$59</f>
        <v>0</v>
      </c>
      <c r="X131" s="30">
        <f>$I$59*$X$59</f>
        <v>0</v>
      </c>
      <c r="Y131" s="30">
        <f>$I$59*$Y$59</f>
        <v>0</v>
      </c>
      <c r="Z131" s="30">
        <f>$I$59*$Z$59</f>
        <v>0</v>
      </c>
      <c r="AA131" s="30">
        <f>$I$59*$AA$59</f>
        <v>0</v>
      </c>
      <c r="AB131" s="30">
        <f ca="1">$I$59*$AB$59</f>
        <v>0</v>
      </c>
      <c r="AC131" s="30">
        <f ca="1">$I$59*$AC$59</f>
        <v>0</v>
      </c>
      <c r="AD131" s="30">
        <f>$I$59*$AD$59</f>
        <v>0</v>
      </c>
      <c r="AE131" s="30">
        <f>$I$59*$AE$59</f>
        <v>0</v>
      </c>
      <c r="AF131" s="30">
        <f ca="1">$I$59*$AF$59</f>
        <v>0</v>
      </c>
      <c r="AG131" s="30">
        <f ca="1">$I$59*$AG$59</f>
        <v>0</v>
      </c>
      <c r="AI131" s="30">
        <f>$I$59*$AI$59</f>
        <v>0</v>
      </c>
      <c r="AJ131" s="30">
        <f>$I$59*$AJ$59</f>
        <v>0</v>
      </c>
      <c r="AK131" s="30">
        <f>$I$59*$AK$59</f>
        <v>0</v>
      </c>
      <c r="AL131" s="30">
        <f>$I$59*$AL$59</f>
        <v>0</v>
      </c>
      <c r="AM131" s="30">
        <f>$I$59*$AM$59</f>
        <v>0</v>
      </c>
      <c r="AN131" s="30">
        <f>$I$59*$AN$59</f>
        <v>0</v>
      </c>
      <c r="AO131" s="30">
        <f>$I$59*$AO$59</f>
        <v>0</v>
      </c>
      <c r="AP131" s="30">
        <f>$I$59*$AP$59</f>
        <v>0</v>
      </c>
      <c r="AQ131" s="30">
        <f>$I$59*$AQ$59</f>
        <v>0</v>
      </c>
      <c r="AR131" s="30">
        <f>$I$59*$AR$59</f>
        <v>0</v>
      </c>
      <c r="AS131" s="30">
        <f>$I$59*$AS$59</f>
        <v>0</v>
      </c>
      <c r="AT131" s="30">
        <f>$I$59*$AT$59</f>
        <v>0</v>
      </c>
      <c r="AU131" s="30">
        <f>$I$59*$AU$59</f>
        <v>0</v>
      </c>
      <c r="AV131" s="30">
        <f>$I$59*$AV$59</f>
        <v>0</v>
      </c>
      <c r="AW131" s="30">
        <f>$I$59*$AW$59</f>
        <v>0</v>
      </c>
      <c r="AX131" s="30">
        <f>$I$59*$AX$59</f>
        <v>0</v>
      </c>
      <c r="AY131" s="30">
        <f>$I$59*$AY$59</f>
        <v>0</v>
      </c>
      <c r="AZ131" s="30">
        <f>$I$59*$AZ$59</f>
        <v>0</v>
      </c>
      <c r="BA131" s="30">
        <f>$I$59*$BA$59</f>
        <v>0</v>
      </c>
      <c r="BB131" s="30">
        <f>$I$59*$BB$59</f>
        <v>0</v>
      </c>
      <c r="BC131" s="30">
        <f>$I$59*$BC$59</f>
        <v>0</v>
      </c>
      <c r="BD131" s="30">
        <f>$I$59*$BD$59</f>
        <v>0</v>
      </c>
    </row>
    <row r="132" spans="1:56" ht="11.25" customHeight="1" x14ac:dyDescent="0.25">
      <c r="A132" s="9" t="s">
        <v>44</v>
      </c>
      <c r="B132" s="9" t="s">
        <v>1263</v>
      </c>
      <c r="C132" s="9" t="s">
        <v>1264</v>
      </c>
      <c r="D132" s="9" t="s">
        <v>1287</v>
      </c>
      <c r="E132" s="9" t="s">
        <v>1288</v>
      </c>
      <c r="F132" s="9" t="s">
        <v>1289</v>
      </c>
      <c r="G132" s="9" t="s">
        <v>1292</v>
      </c>
      <c r="L132" s="30">
        <f>$I$60*$L$60</f>
        <v>0</v>
      </c>
      <c r="M132" s="30">
        <f>$I$60*$M$60</f>
        <v>0</v>
      </c>
      <c r="N132" s="30">
        <f ca="1">$I$60*$N$60</f>
        <v>0</v>
      </c>
      <c r="O132" s="30">
        <f>$I$60*$O$60</f>
        <v>0</v>
      </c>
      <c r="P132" s="30">
        <f>$I$60*$P$60</f>
        <v>0</v>
      </c>
      <c r="Q132" s="30">
        <f>$I$60*$Q$60</f>
        <v>0</v>
      </c>
      <c r="R132" s="30">
        <f>$I$60*$R$60</f>
        <v>0</v>
      </c>
      <c r="S132" s="30">
        <f>$I$60*$S$60</f>
        <v>0</v>
      </c>
      <c r="T132" s="30">
        <f>$I$60*$T$60</f>
        <v>0</v>
      </c>
      <c r="U132" s="30">
        <f>$I$60*$U$60</f>
        <v>0</v>
      </c>
      <c r="V132" s="30">
        <f>$I$60*$V$60</f>
        <v>0</v>
      </c>
      <c r="W132" s="30">
        <f>$I$60*$W$60</f>
        <v>0</v>
      </c>
      <c r="X132" s="30">
        <f>$I$60*$X$60</f>
        <v>0</v>
      </c>
      <c r="Y132" s="30">
        <f>$I$60*$Y$60</f>
        <v>0</v>
      </c>
      <c r="Z132" s="30">
        <f>$I$60*$Z$60</f>
        <v>0</v>
      </c>
      <c r="AA132" s="30">
        <f>$I$60*$AA$60</f>
        <v>0</v>
      </c>
      <c r="AB132" s="30">
        <f ca="1">$I$60*$AB$60</f>
        <v>0</v>
      </c>
      <c r="AC132" s="30">
        <f ca="1">$I$60*$AC$60</f>
        <v>0</v>
      </c>
      <c r="AD132" s="30">
        <f>$I$60*$AD$60</f>
        <v>0</v>
      </c>
      <c r="AE132" s="30">
        <f>$I$60*$AE$60</f>
        <v>0</v>
      </c>
      <c r="AF132" s="30">
        <f ca="1">$I$60*$AF$60</f>
        <v>0</v>
      </c>
      <c r="AG132" s="30">
        <f ca="1">$I$60*$AG$60</f>
        <v>0</v>
      </c>
      <c r="AI132" s="30">
        <f>$I$60*$AI$60</f>
        <v>0</v>
      </c>
      <c r="AJ132" s="30">
        <f>$I$60*$AJ$60</f>
        <v>0</v>
      </c>
      <c r="AK132" s="30">
        <f>$I$60*$AK$60</f>
        <v>0</v>
      </c>
      <c r="AL132" s="30">
        <f>$I$60*$AL$60</f>
        <v>0</v>
      </c>
      <c r="AM132" s="30">
        <f>$I$60*$AM$60</f>
        <v>0</v>
      </c>
      <c r="AN132" s="30">
        <f>$I$60*$AN$60</f>
        <v>0</v>
      </c>
      <c r="AO132" s="30">
        <f>$I$60*$AO$60</f>
        <v>0</v>
      </c>
      <c r="AP132" s="30">
        <f>$I$60*$AP$60</f>
        <v>0</v>
      </c>
      <c r="AQ132" s="30">
        <f>$I$60*$AQ$60</f>
        <v>0</v>
      </c>
      <c r="AR132" s="30">
        <f>$I$60*$AR$60</f>
        <v>0</v>
      </c>
      <c r="AS132" s="30">
        <f>$I$60*$AS$60</f>
        <v>0</v>
      </c>
      <c r="AT132" s="30">
        <f>$I$60*$AT$60</f>
        <v>0</v>
      </c>
      <c r="AU132" s="30">
        <f>$I$60*$AU$60</f>
        <v>0</v>
      </c>
      <c r="AV132" s="30">
        <f>$I$60*$AV$60</f>
        <v>0</v>
      </c>
      <c r="AW132" s="30">
        <f>$I$60*$AW$60</f>
        <v>0</v>
      </c>
      <c r="AX132" s="30">
        <f>$I$60*$AX$60</f>
        <v>0</v>
      </c>
      <c r="AY132" s="30">
        <f>$I$60*$AY$60</f>
        <v>0</v>
      </c>
      <c r="AZ132" s="30">
        <f>$I$60*$AZ$60</f>
        <v>0</v>
      </c>
      <c r="BA132" s="30">
        <f>$I$60*$BA$60</f>
        <v>0</v>
      </c>
      <c r="BB132" s="30">
        <f>$I$60*$BB$60</f>
        <v>0</v>
      </c>
      <c r="BC132" s="30">
        <f>$I$60*$BC$60</f>
        <v>0</v>
      </c>
      <c r="BD132" s="30">
        <f>$I$60*$BD$60</f>
        <v>0</v>
      </c>
    </row>
    <row r="133" spans="1:56" ht="11.25" customHeight="1" x14ac:dyDescent="0.25">
      <c r="A133" s="9" t="s">
        <v>44</v>
      </c>
      <c r="B133" s="9" t="s">
        <v>1271</v>
      </c>
      <c r="C133" s="9" t="s">
        <v>1272</v>
      </c>
      <c r="D133" s="9" t="s">
        <v>1293</v>
      </c>
      <c r="E133" s="9" t="s">
        <v>1294</v>
      </c>
      <c r="F133" s="9" t="s">
        <v>1295</v>
      </c>
      <c r="G133" s="9" t="s">
        <v>1296</v>
      </c>
      <c r="L133" s="30">
        <f>$I$61*$L$61</f>
        <v>0</v>
      </c>
      <c r="M133" s="30">
        <f>$I$61*$M$61</f>
        <v>0</v>
      </c>
      <c r="N133" s="30">
        <f ca="1">$I$61*$N$61</f>
        <v>0</v>
      </c>
      <c r="O133" s="30">
        <f>$I$61*$O$61</f>
        <v>0</v>
      </c>
      <c r="P133" s="30">
        <f>$I$61*$P$61</f>
        <v>0</v>
      </c>
      <c r="Q133" s="30">
        <f>$I$61*$Q$61</f>
        <v>0</v>
      </c>
      <c r="R133" s="30">
        <f>$I$61*$R$61</f>
        <v>0</v>
      </c>
      <c r="S133" s="30">
        <f>$I$61*$S$61</f>
        <v>0</v>
      </c>
      <c r="T133" s="30">
        <f>$I$61*$T$61</f>
        <v>0</v>
      </c>
      <c r="U133" s="30">
        <f>$I$61*$U$61</f>
        <v>0</v>
      </c>
      <c r="V133" s="30">
        <f>$I$61*$V$61</f>
        <v>0</v>
      </c>
      <c r="W133" s="30">
        <f>$I$61*$W$61</f>
        <v>0</v>
      </c>
      <c r="X133" s="30">
        <f>$I$61*$X$61</f>
        <v>0</v>
      </c>
      <c r="Y133" s="30">
        <f>$I$61*$Y$61</f>
        <v>0</v>
      </c>
      <c r="Z133" s="30">
        <f>$I$61*$Z$61</f>
        <v>0</v>
      </c>
      <c r="AA133" s="30">
        <f>$I$61*$AA$61</f>
        <v>0</v>
      </c>
      <c r="AB133" s="30">
        <f ca="1">$I$61*$AB$61</f>
        <v>0</v>
      </c>
      <c r="AC133" s="30">
        <f ca="1">$I$61*$AC$61</f>
        <v>0</v>
      </c>
      <c r="AD133" s="30">
        <f>$I$61*$AD$61</f>
        <v>0</v>
      </c>
      <c r="AE133" s="30">
        <f>$I$61*$AE$61</f>
        <v>0</v>
      </c>
      <c r="AF133" s="30">
        <f ca="1">$I$61*$AF$61</f>
        <v>0</v>
      </c>
      <c r="AG133" s="30">
        <f ca="1">$I$61*$AG$61</f>
        <v>0</v>
      </c>
      <c r="AI133" s="30">
        <f>$I$61*$AI$61</f>
        <v>0</v>
      </c>
      <c r="AJ133" s="30">
        <f>$I$61*$AJ$61</f>
        <v>0</v>
      </c>
      <c r="AK133" s="30">
        <f>$I$61*$AK$61</f>
        <v>0</v>
      </c>
      <c r="AL133" s="30">
        <f>$I$61*$AL$61</f>
        <v>0</v>
      </c>
      <c r="AM133" s="30">
        <f>$I$61*$AM$61</f>
        <v>0</v>
      </c>
      <c r="AN133" s="30">
        <f>$I$61*$AN$61</f>
        <v>0</v>
      </c>
      <c r="AO133" s="30">
        <f>$I$61*$AO$61</f>
        <v>0</v>
      </c>
      <c r="AP133" s="30">
        <f>$I$61*$AP$61</f>
        <v>0</v>
      </c>
      <c r="AQ133" s="30">
        <f>$I$61*$AQ$61</f>
        <v>0</v>
      </c>
      <c r="AR133" s="30">
        <f>$I$61*$AR$61</f>
        <v>0</v>
      </c>
      <c r="AS133" s="30">
        <f>$I$61*$AS$61</f>
        <v>0</v>
      </c>
      <c r="AT133" s="30">
        <f>$I$61*$AT$61</f>
        <v>0</v>
      </c>
      <c r="AU133" s="30">
        <f>$I$61*$AU$61</f>
        <v>0</v>
      </c>
      <c r="AV133" s="30">
        <f>$I$61*$AV$61</f>
        <v>0</v>
      </c>
      <c r="AW133" s="30">
        <f>$I$61*$AW$61</f>
        <v>0</v>
      </c>
      <c r="AX133" s="30">
        <f>$I$61*$AX$61</f>
        <v>0</v>
      </c>
      <c r="AY133" s="30">
        <f>$I$61*$AY$61</f>
        <v>0</v>
      </c>
      <c r="AZ133" s="30">
        <f>$I$61*$AZ$61</f>
        <v>0</v>
      </c>
      <c r="BA133" s="30">
        <f>$I$61*$BA$61</f>
        <v>0</v>
      </c>
      <c r="BB133" s="30">
        <f>$I$61*$BB$61</f>
        <v>0</v>
      </c>
      <c r="BC133" s="30">
        <f>$I$61*$BC$61</f>
        <v>0</v>
      </c>
      <c r="BD133" s="30">
        <f>$I$61*$BD$61</f>
        <v>0</v>
      </c>
    </row>
    <row r="134" spans="1:56" ht="11.25" customHeight="1" x14ac:dyDescent="0.25">
      <c r="A134" s="9" t="s">
        <v>44</v>
      </c>
      <c r="B134" s="9" t="s">
        <v>1297</v>
      </c>
      <c r="C134" s="9" t="s">
        <v>1298</v>
      </c>
      <c r="D134" s="9" t="s">
        <v>1299</v>
      </c>
      <c r="E134" s="9" t="s">
        <v>1300</v>
      </c>
      <c r="F134" s="9" t="s">
        <v>1301</v>
      </c>
      <c r="G134" s="9" t="s">
        <v>1302</v>
      </c>
      <c r="L134" s="30">
        <f>$I$62*$L$62</f>
        <v>0</v>
      </c>
      <c r="M134" s="30">
        <f>$I$62*$M$62</f>
        <v>0</v>
      </c>
      <c r="N134" s="30">
        <f ca="1">$I$62*$N$62</f>
        <v>0</v>
      </c>
      <c r="O134" s="30">
        <f>$I$62*$O$62</f>
        <v>0</v>
      </c>
      <c r="P134" s="30">
        <f>$I$62*$P$62</f>
        <v>0</v>
      </c>
      <c r="Q134" s="30">
        <f>$I$62*$Q$62</f>
        <v>0</v>
      </c>
      <c r="R134" s="30">
        <f>$I$62*$R$62</f>
        <v>0</v>
      </c>
      <c r="S134" s="30">
        <f>$I$62*$S$62</f>
        <v>0</v>
      </c>
      <c r="T134" s="30">
        <f>$I$62*$T$62</f>
        <v>0</v>
      </c>
      <c r="U134" s="30">
        <f>$I$62*$U$62</f>
        <v>0</v>
      </c>
      <c r="V134" s="30">
        <f>$I$62*$V$62</f>
        <v>0</v>
      </c>
      <c r="W134" s="30">
        <f>$I$62*$W$62</f>
        <v>0</v>
      </c>
      <c r="X134" s="30">
        <f>$I$62*$X$62</f>
        <v>0</v>
      </c>
      <c r="Y134" s="30">
        <f>$I$62*$Y$62</f>
        <v>0</v>
      </c>
      <c r="Z134" s="30">
        <f>$I$62*$Z$62</f>
        <v>0</v>
      </c>
      <c r="AA134" s="30">
        <f>$I$62*$AA$62</f>
        <v>0</v>
      </c>
      <c r="AB134" s="30">
        <f ca="1">$I$62*$AB$62</f>
        <v>0</v>
      </c>
      <c r="AC134" s="30">
        <f ca="1">$I$62*$AC$62</f>
        <v>0</v>
      </c>
      <c r="AD134" s="30">
        <f>$I$62*$AD$62</f>
        <v>0</v>
      </c>
      <c r="AE134" s="30">
        <f>$I$62*$AE$62</f>
        <v>0</v>
      </c>
      <c r="AF134" s="30">
        <f ca="1">$I$62*$AF$62</f>
        <v>0</v>
      </c>
      <c r="AG134" s="30">
        <f ca="1">$I$62*$AG$62</f>
        <v>0</v>
      </c>
      <c r="AI134" s="30">
        <f>$I$62*$AI$62</f>
        <v>0</v>
      </c>
      <c r="AJ134" s="30">
        <f>$I$62*$AJ$62</f>
        <v>0</v>
      </c>
      <c r="AK134" s="30">
        <f>$I$62*$AK$62</f>
        <v>0</v>
      </c>
      <c r="AL134" s="30">
        <f>$I$62*$AL$62</f>
        <v>0</v>
      </c>
      <c r="AM134" s="30">
        <f>$I$62*$AM$62</f>
        <v>0</v>
      </c>
      <c r="AN134" s="30">
        <f>$I$62*$AN$62</f>
        <v>0</v>
      </c>
      <c r="AO134" s="30">
        <f>$I$62*$AO$62</f>
        <v>0</v>
      </c>
      <c r="AP134" s="30">
        <f>$I$62*$AP$62</f>
        <v>0</v>
      </c>
      <c r="AQ134" s="30">
        <f>$I$62*$AQ$62</f>
        <v>0</v>
      </c>
      <c r="AR134" s="30">
        <f>$I$62*$AR$62</f>
        <v>0</v>
      </c>
      <c r="AS134" s="30">
        <f>$I$62*$AS$62</f>
        <v>0</v>
      </c>
      <c r="AT134" s="30">
        <f>$I$62*$AT$62</f>
        <v>0</v>
      </c>
      <c r="AU134" s="30">
        <f>$I$62*$AU$62</f>
        <v>0</v>
      </c>
      <c r="AV134" s="30">
        <f>$I$62*$AV$62</f>
        <v>0</v>
      </c>
      <c r="AW134" s="30">
        <f>$I$62*$AW$62</f>
        <v>0</v>
      </c>
      <c r="AX134" s="30">
        <f>$I$62*$AX$62</f>
        <v>0</v>
      </c>
      <c r="AY134" s="30">
        <f>$I$62*$AY$62</f>
        <v>0</v>
      </c>
      <c r="AZ134" s="30">
        <f>$I$62*$AZ$62</f>
        <v>0</v>
      </c>
      <c r="BA134" s="30">
        <f>$I$62*$BA$62</f>
        <v>0</v>
      </c>
      <c r="BB134" s="30">
        <f>$I$62*$BB$62</f>
        <v>0</v>
      </c>
      <c r="BC134" s="30">
        <f>$I$62*$BC$62</f>
        <v>0</v>
      </c>
      <c r="BD134" s="30">
        <f>$I$62*$BD$62</f>
        <v>0</v>
      </c>
    </row>
    <row r="135" spans="1:56" ht="11.25" customHeight="1" x14ac:dyDescent="0.25">
      <c r="A135" s="9" t="s">
        <v>44</v>
      </c>
      <c r="B135" s="9" t="s">
        <v>1297</v>
      </c>
      <c r="C135" s="9" t="s">
        <v>1298</v>
      </c>
      <c r="D135" s="9" t="s">
        <v>1303</v>
      </c>
      <c r="E135" s="9" t="s">
        <v>1304</v>
      </c>
      <c r="F135" s="9" t="s">
        <v>1305</v>
      </c>
      <c r="G135" s="9" t="s">
        <v>1306</v>
      </c>
      <c r="L135" s="30">
        <f>$I$63*$L$63</f>
        <v>0</v>
      </c>
      <c r="M135" s="30">
        <f>$I$63*$M$63</f>
        <v>0</v>
      </c>
      <c r="N135" s="30">
        <f ca="1">$I$63*$N$63</f>
        <v>0</v>
      </c>
      <c r="O135" s="30">
        <f>$I$63*$O$63</f>
        <v>0</v>
      </c>
      <c r="P135" s="30">
        <f>$I$63*$P$63</f>
        <v>0</v>
      </c>
      <c r="Q135" s="30">
        <f>$I$63*$Q$63</f>
        <v>0</v>
      </c>
      <c r="R135" s="30">
        <f>$I$63*$R$63</f>
        <v>0</v>
      </c>
      <c r="S135" s="30">
        <f>$I$63*$S$63</f>
        <v>0</v>
      </c>
      <c r="T135" s="30">
        <f>$I$63*$T$63</f>
        <v>0</v>
      </c>
      <c r="U135" s="30">
        <f>$I$63*$U$63</f>
        <v>0</v>
      </c>
      <c r="V135" s="30">
        <f>$I$63*$V$63</f>
        <v>0</v>
      </c>
      <c r="W135" s="30">
        <f>$I$63*$W$63</f>
        <v>0</v>
      </c>
      <c r="X135" s="30">
        <f>$I$63*$X$63</f>
        <v>0</v>
      </c>
      <c r="Y135" s="30">
        <f>$I$63*$Y$63</f>
        <v>0</v>
      </c>
      <c r="Z135" s="30">
        <f>$I$63*$Z$63</f>
        <v>0</v>
      </c>
      <c r="AA135" s="30">
        <f>$I$63*$AA$63</f>
        <v>0</v>
      </c>
      <c r="AB135" s="30">
        <f ca="1">$I$63*$AB$63</f>
        <v>0</v>
      </c>
      <c r="AC135" s="30">
        <f ca="1">$I$63*$AC$63</f>
        <v>0</v>
      </c>
      <c r="AD135" s="30">
        <f>$I$63*$AD$63</f>
        <v>0</v>
      </c>
      <c r="AE135" s="30">
        <f>$I$63*$AE$63</f>
        <v>0</v>
      </c>
      <c r="AF135" s="30">
        <f ca="1">$I$63*$AF$63</f>
        <v>0</v>
      </c>
      <c r="AG135" s="30">
        <f ca="1">$I$63*$AG$63</f>
        <v>0</v>
      </c>
      <c r="AI135" s="30">
        <f>$I$63*$AI$63</f>
        <v>0</v>
      </c>
      <c r="AJ135" s="30">
        <f>$I$63*$AJ$63</f>
        <v>0</v>
      </c>
      <c r="AK135" s="30">
        <f>$I$63*$AK$63</f>
        <v>0</v>
      </c>
      <c r="AL135" s="30">
        <f>$I$63*$AL$63</f>
        <v>0</v>
      </c>
      <c r="AM135" s="30">
        <f>$I$63*$AM$63</f>
        <v>0</v>
      </c>
      <c r="AN135" s="30">
        <f>$I$63*$AN$63</f>
        <v>0</v>
      </c>
      <c r="AO135" s="30">
        <f>$I$63*$AO$63</f>
        <v>0</v>
      </c>
      <c r="AP135" s="30">
        <f>$I$63*$AP$63</f>
        <v>0</v>
      </c>
      <c r="AQ135" s="30">
        <f>$I$63*$AQ$63</f>
        <v>0</v>
      </c>
      <c r="AR135" s="30">
        <f>$I$63*$AR$63</f>
        <v>0</v>
      </c>
      <c r="AS135" s="30">
        <f>$I$63*$AS$63</f>
        <v>0</v>
      </c>
      <c r="AT135" s="30">
        <f>$I$63*$AT$63</f>
        <v>0</v>
      </c>
      <c r="AU135" s="30">
        <f>$I$63*$AU$63</f>
        <v>0</v>
      </c>
      <c r="AV135" s="30">
        <f>$I$63*$AV$63</f>
        <v>0</v>
      </c>
      <c r="AW135" s="30">
        <f>$I$63*$AW$63</f>
        <v>0</v>
      </c>
      <c r="AX135" s="30">
        <f>$I$63*$AX$63</f>
        <v>0</v>
      </c>
      <c r="AY135" s="30">
        <f>$I$63*$AY$63</f>
        <v>0</v>
      </c>
      <c r="AZ135" s="30">
        <f>$I$63*$AZ$63</f>
        <v>0</v>
      </c>
      <c r="BA135" s="30">
        <f>$I$63*$BA$63</f>
        <v>0</v>
      </c>
      <c r="BB135" s="30">
        <f>$I$63*$BB$63</f>
        <v>0</v>
      </c>
      <c r="BC135" s="30">
        <f>$I$63*$BC$63</f>
        <v>0</v>
      </c>
      <c r="BD135" s="30">
        <f>$I$63*$BD$63</f>
        <v>0</v>
      </c>
    </row>
    <row r="136" spans="1:56" ht="11.25" customHeight="1" x14ac:dyDescent="0.25">
      <c r="A136" s="9" t="s">
        <v>44</v>
      </c>
      <c r="B136" s="9" t="s">
        <v>1297</v>
      </c>
      <c r="C136" s="9" t="s">
        <v>1298</v>
      </c>
      <c r="D136" s="9" t="s">
        <v>1307</v>
      </c>
      <c r="E136" s="9" t="s">
        <v>1308</v>
      </c>
      <c r="F136" s="9" t="s">
        <v>1309</v>
      </c>
      <c r="G136" s="9" t="s">
        <v>1310</v>
      </c>
      <c r="L136" s="30">
        <f>$I$64*$L$64</f>
        <v>0</v>
      </c>
      <c r="M136" s="30">
        <f>$I$64*$M$64</f>
        <v>0</v>
      </c>
      <c r="N136" s="30">
        <f ca="1">$I$64*$N$64</f>
        <v>0</v>
      </c>
      <c r="O136" s="30">
        <f>$I$64*$O$64</f>
        <v>0</v>
      </c>
      <c r="P136" s="30">
        <f>$I$64*$P$64</f>
        <v>0</v>
      </c>
      <c r="Q136" s="30">
        <f>$I$64*$Q$64</f>
        <v>0</v>
      </c>
      <c r="R136" s="30">
        <f>$I$64*$R$64</f>
        <v>0</v>
      </c>
      <c r="S136" s="30">
        <f>$I$64*$S$64</f>
        <v>0</v>
      </c>
      <c r="T136" s="30">
        <f>$I$64*$T$64</f>
        <v>0</v>
      </c>
      <c r="U136" s="30">
        <f>$I$64*$U$64</f>
        <v>0</v>
      </c>
      <c r="V136" s="30">
        <f>$I$64*$V$64</f>
        <v>0</v>
      </c>
      <c r="W136" s="30">
        <f>$I$64*$W$64</f>
        <v>0</v>
      </c>
      <c r="X136" s="30">
        <f>$I$64*$X$64</f>
        <v>0</v>
      </c>
      <c r="Y136" s="30">
        <f>$I$64*$Y$64</f>
        <v>0</v>
      </c>
      <c r="Z136" s="30">
        <f>$I$64*$Z$64</f>
        <v>0</v>
      </c>
      <c r="AA136" s="30">
        <f>$I$64*$AA$64</f>
        <v>0</v>
      </c>
      <c r="AB136" s="30">
        <f ca="1">$I$64*$AB$64</f>
        <v>0</v>
      </c>
      <c r="AC136" s="30">
        <f ca="1">$I$64*$AC$64</f>
        <v>0</v>
      </c>
      <c r="AD136" s="30">
        <f>$I$64*$AD$64</f>
        <v>0</v>
      </c>
      <c r="AE136" s="30">
        <f>$I$64*$AE$64</f>
        <v>0</v>
      </c>
      <c r="AF136" s="30">
        <f ca="1">$I$64*$AF$64</f>
        <v>0</v>
      </c>
      <c r="AG136" s="30">
        <f ca="1">$I$64*$AG$64</f>
        <v>0</v>
      </c>
      <c r="AI136" s="30">
        <f>$I$64*$AI$64</f>
        <v>0</v>
      </c>
      <c r="AJ136" s="30">
        <f>$I$64*$AJ$64</f>
        <v>0</v>
      </c>
      <c r="AK136" s="30">
        <f>$I$64*$AK$64</f>
        <v>0</v>
      </c>
      <c r="AL136" s="30">
        <f>$I$64*$AL$64</f>
        <v>0</v>
      </c>
      <c r="AM136" s="30">
        <f>$I$64*$AM$64</f>
        <v>0</v>
      </c>
      <c r="AN136" s="30">
        <f>$I$64*$AN$64</f>
        <v>0</v>
      </c>
      <c r="AO136" s="30">
        <f>$I$64*$AO$64</f>
        <v>0</v>
      </c>
      <c r="AP136" s="30">
        <f>$I$64*$AP$64</f>
        <v>0</v>
      </c>
      <c r="AQ136" s="30">
        <f>$I$64*$AQ$64</f>
        <v>0</v>
      </c>
      <c r="AR136" s="30">
        <f>$I$64*$AR$64</f>
        <v>0</v>
      </c>
      <c r="AS136" s="30">
        <f>$I$64*$AS$64</f>
        <v>0</v>
      </c>
      <c r="AT136" s="30">
        <f>$I$64*$AT$64</f>
        <v>0</v>
      </c>
      <c r="AU136" s="30">
        <f>$I$64*$AU$64</f>
        <v>0</v>
      </c>
      <c r="AV136" s="30">
        <f>$I$64*$AV$64</f>
        <v>0</v>
      </c>
      <c r="AW136" s="30">
        <f>$I$64*$AW$64</f>
        <v>0</v>
      </c>
      <c r="AX136" s="30">
        <f>$I$64*$AX$64</f>
        <v>0</v>
      </c>
      <c r="AY136" s="30">
        <f>$I$64*$AY$64</f>
        <v>0</v>
      </c>
      <c r="AZ136" s="30">
        <f>$I$64*$AZ$64</f>
        <v>0</v>
      </c>
      <c r="BA136" s="30">
        <f>$I$64*$BA$64</f>
        <v>0</v>
      </c>
      <c r="BB136" s="30">
        <f>$I$64*$BB$64</f>
        <v>0</v>
      </c>
      <c r="BC136" s="30">
        <f>$I$64*$BC$64</f>
        <v>0</v>
      </c>
      <c r="BD136" s="30">
        <f>$I$64*$BD$64</f>
        <v>0</v>
      </c>
    </row>
    <row r="137" spans="1:56" ht="11.25" customHeight="1" x14ac:dyDescent="0.25">
      <c r="A137" s="9" t="s">
        <v>37</v>
      </c>
      <c r="B137" s="9" t="s">
        <v>1311</v>
      </c>
      <c r="C137" s="9" t="s">
        <v>1312</v>
      </c>
      <c r="D137" s="9" t="s">
        <v>1313</v>
      </c>
      <c r="E137" s="9" t="s">
        <v>1314</v>
      </c>
      <c r="F137" s="9" t="s">
        <v>1315</v>
      </c>
      <c r="G137" s="9" t="s">
        <v>1316</v>
      </c>
      <c r="L137" s="30">
        <f>$I$65*$L$65</f>
        <v>410.44193056008328</v>
      </c>
      <c r="M137" s="30">
        <f>$I$65*$M$65</f>
        <v>116.94532228516948</v>
      </c>
      <c r="N137" s="30">
        <f ca="1">$I$65*$N$65</f>
        <v>1094.8428783540498</v>
      </c>
      <c r="O137" s="30">
        <f>$I$65*$O$65</f>
        <v>2.3649835752750197</v>
      </c>
      <c r="P137" s="30">
        <f>$I$65*$P$65</f>
        <v>0</v>
      </c>
      <c r="Q137" s="30">
        <f>$I$65*$Q$65</f>
        <v>3993.8706745511809</v>
      </c>
      <c r="R137" s="30">
        <f>$I$65*$R$65</f>
        <v>1626.8045423472754</v>
      </c>
      <c r="S137" s="30">
        <f>$I$65*$S$65</f>
        <v>0</v>
      </c>
      <c r="T137" s="30">
        <f>$I$65*$T$65</f>
        <v>8808.9555109492794</v>
      </c>
      <c r="U137" s="30">
        <f>$I$65*$U$65</f>
        <v>1582.3616242483617</v>
      </c>
      <c r="V137" s="30">
        <f>$I$65*$V$65</f>
        <v>1519.4521628927102</v>
      </c>
      <c r="W137" s="30">
        <f>$I$65*$W$65</f>
        <v>0</v>
      </c>
      <c r="X137" s="30">
        <f>$I$65*$X$65</f>
        <v>0</v>
      </c>
      <c r="Y137" s="30">
        <f>$I$65*$Y$65</f>
        <v>0</v>
      </c>
      <c r="Z137" s="30">
        <f>$I$65*$Z$65</f>
        <v>0</v>
      </c>
      <c r="AA137" s="30">
        <f>$I$65*$AA$65</f>
        <v>102793.87716164318</v>
      </c>
      <c r="AB137" s="30">
        <f ca="1">$I$65*$AB$65</f>
        <v>-9827.1319330654824</v>
      </c>
      <c r="AC137" s="30">
        <f ca="1">$I$65*$AC$65</f>
        <v>0</v>
      </c>
      <c r="AD137" s="30">
        <f>$I$65*$AD$65</f>
        <v>2758.6609422500733</v>
      </c>
      <c r="AE137" s="30">
        <f>$I$65*$AE$65</f>
        <v>98.218379425915487</v>
      </c>
      <c r="AF137" s="30">
        <f ca="1">$I$65*$AF$65</f>
        <v>822.04956191853069</v>
      </c>
      <c r="AG137" s="30">
        <f ca="1">$I$65*$AG$65</f>
        <v>0</v>
      </c>
      <c r="AI137" s="30">
        <f>$I$65*$AI$65</f>
        <v>0</v>
      </c>
      <c r="AJ137" s="30">
        <f>$I$65*$AJ$65</f>
        <v>111.94735377973889</v>
      </c>
      <c r="AK137" s="30">
        <f>$I$65*$AK$65</f>
        <v>1090.9614420225075</v>
      </c>
      <c r="AL137" s="30">
        <f>$I$65*$AL$65</f>
        <v>2.6571662744884077</v>
      </c>
      <c r="AM137" s="30">
        <f>$I$65*$AM$65</f>
        <v>0</v>
      </c>
      <c r="AN137" s="30">
        <f>$I$65*$AN$65</f>
        <v>2349.5044087525503</v>
      </c>
      <c r="AO137" s="30">
        <f>$I$65*$AO$65</f>
        <v>1119.5771328884282</v>
      </c>
      <c r="AP137" s="30">
        <f>$I$65*$AP$65</f>
        <v>0</v>
      </c>
      <c r="AQ137" s="30">
        <f>$I$65*$AQ$65</f>
        <v>9051.2241393912354</v>
      </c>
      <c r="AR137" s="30">
        <f>$I$65*$AR$65</f>
        <v>2430.7703293596883</v>
      </c>
      <c r="AS137" s="30">
        <f>$I$65*$AS$65</f>
        <v>1032.0808221464401</v>
      </c>
      <c r="AT137" s="30">
        <f>$I$65*$AT$65</f>
        <v>0</v>
      </c>
      <c r="AU137" s="30">
        <f>$I$65*$AU$65</f>
        <v>0</v>
      </c>
      <c r="AV137" s="30">
        <f>$I$65*$AV$65</f>
        <v>0</v>
      </c>
      <c r="AW137" s="30">
        <f>$I$65*$AW$65</f>
        <v>0</v>
      </c>
      <c r="AX137" s="30">
        <f>$I$65*$AX$65</f>
        <v>77390.965561005956</v>
      </c>
      <c r="AY137" s="30">
        <f>$I$65*$AY$65</f>
        <v>-58.77732360482409</v>
      </c>
      <c r="AZ137" s="30">
        <f>$I$65*$AZ$65</f>
        <v>0</v>
      </c>
      <c r="BA137" s="30">
        <f>$I$65*$BA$65</f>
        <v>2391.5959319270969</v>
      </c>
      <c r="BB137" s="30">
        <f>$I$65*$BB$65</f>
        <v>81.255903653051718</v>
      </c>
      <c r="BC137" s="30">
        <f>$I$65*$BC$65</f>
        <v>778.10305912957381</v>
      </c>
      <c r="BD137" s="30">
        <f>$I$65*$BD$65</f>
        <v>0</v>
      </c>
    </row>
    <row r="138" spans="1:56" ht="11.25" customHeight="1" x14ac:dyDescent="0.25">
      <c r="A138" s="9" t="s">
        <v>37</v>
      </c>
      <c r="B138" s="9" t="s">
        <v>1311</v>
      </c>
      <c r="C138" s="9" t="s">
        <v>1312</v>
      </c>
      <c r="D138" s="9" t="s">
        <v>1313</v>
      </c>
      <c r="E138" s="9" t="s">
        <v>1314</v>
      </c>
      <c r="F138" s="9" t="s">
        <v>1315</v>
      </c>
      <c r="G138" s="9" t="s">
        <v>1317</v>
      </c>
      <c r="L138" s="30">
        <f>$I$66*$L$66</f>
        <v>292.01025346251191</v>
      </c>
      <c r="M138" s="30">
        <f>$I$66*$M$66</f>
        <v>83.201131899822997</v>
      </c>
      <c r="N138" s="30">
        <f ca="1">$I$66*$N$66</f>
        <v>494.67887119246285</v>
      </c>
      <c r="O138" s="30">
        <f>$I$66*$O$66</f>
        <v>1.6825752970910011</v>
      </c>
      <c r="P138" s="30">
        <f>$I$66*$P$66</f>
        <v>0</v>
      </c>
      <c r="Q138" s="30">
        <f>$I$66*$Q$66</f>
        <v>2841.4523496191869</v>
      </c>
      <c r="R138" s="30">
        <f>$I$66*$R$66</f>
        <v>1157.39541059208</v>
      </c>
      <c r="S138" s="30">
        <f>$I$66*$S$66</f>
        <v>0</v>
      </c>
      <c r="T138" s="30">
        <f>$I$66*$T$66</f>
        <v>3760.2983324146976</v>
      </c>
      <c r="U138" s="30">
        <f>$I$66*$U$66</f>
        <v>675.46751189342274</v>
      </c>
      <c r="V138" s="30">
        <f>$I$66*$V$66</f>
        <v>648.60923553645728</v>
      </c>
      <c r="W138" s="30">
        <f>$I$66*$W$66</f>
        <v>0</v>
      </c>
      <c r="X138" s="30">
        <f>$I$66*$X$66</f>
        <v>0</v>
      </c>
      <c r="Y138" s="30">
        <f>$I$66*$Y$66</f>
        <v>0</v>
      </c>
      <c r="Z138" s="30">
        <f>$I$66*$Z$66</f>
        <v>0</v>
      </c>
      <c r="AA138" s="30">
        <f>$I$66*$AA$66</f>
        <v>43879.821476332836</v>
      </c>
      <c r="AB138" s="30">
        <f ca="1">$I$66*$AB$66</f>
        <v>-4422.250967415268</v>
      </c>
      <c r="AC138" s="30">
        <f ca="1">$I$66*$AC$66</f>
        <v>0</v>
      </c>
      <c r="AD138" s="30">
        <f>$I$66*$AD$66</f>
        <v>1962.6583469781551</v>
      </c>
      <c r="AE138" s="30">
        <f>$I$66*$AE$66</f>
        <v>69.877787173696817</v>
      </c>
      <c r="AF138" s="30">
        <f ca="1">$I$66*$AF$66</f>
        <v>584.84984856935159</v>
      </c>
      <c r="AG138" s="30">
        <f ca="1">$I$66*$AG$66</f>
        <v>0</v>
      </c>
      <c r="AI138" s="30">
        <f>$I$66*$AI$66</f>
        <v>0</v>
      </c>
      <c r="AJ138" s="30">
        <f>$I$66*$AJ$66</f>
        <v>79.64531086546404</v>
      </c>
      <c r="AK138" s="30">
        <f>$I$66*$AK$66</f>
        <v>492.53206178840998</v>
      </c>
      <c r="AL138" s="30">
        <f>$I$66*$AL$66</f>
        <v>1.8904496337559593</v>
      </c>
      <c r="AM138" s="30">
        <f>$I$66*$AM$66</f>
        <v>0</v>
      </c>
      <c r="AN138" s="30">
        <f>$I$66*$AN$66</f>
        <v>1671.5625934584878</v>
      </c>
      <c r="AO138" s="30">
        <f>$I$66*$AO$66</f>
        <v>796.52681172087102</v>
      </c>
      <c r="AP138" s="30">
        <f>$I$66*$AP$66</f>
        <v>0</v>
      </c>
      <c r="AQ138" s="30">
        <f>$I$66*$AQ$66</f>
        <v>3863.7160779572087</v>
      </c>
      <c r="AR138" s="30">
        <f>$I$66*$AR$66</f>
        <v>1037.6303123104767</v>
      </c>
      <c r="AS138" s="30">
        <f>$I$66*$AS$66</f>
        <v>440.56480974683529</v>
      </c>
      <c r="AT138" s="30">
        <f>$I$66*$AT$66</f>
        <v>0</v>
      </c>
      <c r="AU138" s="30">
        <f>$I$66*$AU$66</f>
        <v>0</v>
      </c>
      <c r="AV138" s="30">
        <f>$I$66*$AV$66</f>
        <v>0</v>
      </c>
      <c r="AW138" s="30">
        <f>$I$66*$AW$66</f>
        <v>0</v>
      </c>
      <c r="AX138" s="30">
        <f>$I$66*$AX$66</f>
        <v>33036.031390837736</v>
      </c>
      <c r="AY138" s="30">
        <f>$I$66*$AY$66</f>
        <v>-26.208643928998153</v>
      </c>
      <c r="AZ138" s="30">
        <f>$I$66*$AZ$66</f>
        <v>0</v>
      </c>
      <c r="BA138" s="30">
        <f>$I$66*$BA$66</f>
        <v>1701.5087452418845</v>
      </c>
      <c r="BB138" s="30">
        <f>$I$66*$BB$66</f>
        <v>57.809778325218353</v>
      </c>
      <c r="BC138" s="30">
        <f>$I$66*$BC$66</f>
        <v>553.58396547431107</v>
      </c>
      <c r="BD138" s="30">
        <f>$I$66*$BD$66</f>
        <v>0</v>
      </c>
    </row>
    <row r="139" spans="1:56" ht="11.25" customHeight="1" x14ac:dyDescent="0.25">
      <c r="A139" s="9" t="s">
        <v>37</v>
      </c>
      <c r="B139" s="9" t="s">
        <v>1311</v>
      </c>
      <c r="C139" s="9" t="s">
        <v>1312</v>
      </c>
      <c r="D139" s="9" t="s">
        <v>1313</v>
      </c>
      <c r="E139" s="9" t="s">
        <v>1314</v>
      </c>
      <c r="F139" s="9" t="s">
        <v>1315</v>
      </c>
      <c r="G139" s="9" t="s">
        <v>1318</v>
      </c>
      <c r="L139" s="30">
        <f>$I$67*$L$67</f>
        <v>5637.9126139028403</v>
      </c>
      <c r="M139" s="30">
        <f>$I$67*$M$67</f>
        <v>1606.3843836539336</v>
      </c>
      <c r="N139" s="30">
        <f ca="1">$I$67*$N$67</f>
        <v>4062.7881099517322</v>
      </c>
      <c r="O139" s="30">
        <f>$I$67*$O$67</f>
        <v>32.485888350932541</v>
      </c>
      <c r="P139" s="30">
        <f>$I$67*$P$67</f>
        <v>0</v>
      </c>
      <c r="Q139" s="30">
        <f>$I$67*$Q$67</f>
        <v>54860.607988131815</v>
      </c>
      <c r="R139" s="30">
        <f>$I$67*$R$67</f>
        <v>22346.113217863625</v>
      </c>
      <c r="S139" s="30">
        <f>$I$67*$S$67</f>
        <v>0</v>
      </c>
      <c r="T139" s="30">
        <f>$I$67*$T$67</f>
        <v>24200.401094518609</v>
      </c>
      <c r="U139" s="30">
        <f>$I$67*$U$67</f>
        <v>4347.1929675247648</v>
      </c>
      <c r="V139" s="30">
        <f>$I$67*$V$67</f>
        <v>4174.211456570024</v>
      </c>
      <c r="W139" s="30">
        <f>$I$67*$W$67</f>
        <v>0</v>
      </c>
      <c r="X139" s="30">
        <f>$I$67*$X$67</f>
        <v>0</v>
      </c>
      <c r="Y139" s="30">
        <f>$I$67*$Y$67</f>
        <v>0</v>
      </c>
      <c r="Z139" s="30">
        <f>$I$67*$Z$67</f>
        <v>0</v>
      </c>
      <c r="AA139" s="30">
        <f>$I$67*$AA$67</f>
        <v>282399.36207987956</v>
      </c>
      <c r="AB139" s="30">
        <f ca="1">$I$67*$AB$67</f>
        <v>-35775.485069554685</v>
      </c>
      <c r="AC139" s="30">
        <f ca="1">$I$67*$AC$67</f>
        <v>0</v>
      </c>
      <c r="AD139" s="30">
        <f>$I$67*$AD$67</f>
        <v>37893.519559683526</v>
      </c>
      <c r="AE139" s="30">
        <f>$I$67*$AE$67</f>
        <v>1349.1473435153891</v>
      </c>
      <c r="AF139" s="30">
        <f ca="1">$I$67*$AF$67</f>
        <v>11291.837527587444</v>
      </c>
      <c r="AG139" s="30">
        <f ca="1">$I$67*$AG$67</f>
        <v>0</v>
      </c>
      <c r="AI139" s="30">
        <f>$I$67*$AI$67</f>
        <v>0</v>
      </c>
      <c r="AJ139" s="30">
        <f>$I$67*$AJ$67</f>
        <v>1537.7312866318898</v>
      </c>
      <c r="AK139" s="30">
        <f>$I$67*$AK$67</f>
        <v>4033.2063601255845</v>
      </c>
      <c r="AL139" s="30">
        <f>$I$67*$AL$67</f>
        <v>36.499368462994809</v>
      </c>
      <c r="AM139" s="30">
        <f>$I$67*$AM$67</f>
        <v>0</v>
      </c>
      <c r="AN139" s="30">
        <f>$I$67*$AN$67</f>
        <v>32273.263417435501</v>
      </c>
      <c r="AO139" s="30">
        <f>$I$67*$AO$67</f>
        <v>15378.735869250671</v>
      </c>
      <c r="AP139" s="30">
        <f>$I$67*$AP$67</f>
        <v>0</v>
      </c>
      <c r="AQ139" s="30">
        <f>$I$67*$AQ$67</f>
        <v>24865.973530845131</v>
      </c>
      <c r="AR139" s="30">
        <f>$I$67*$AR$67</f>
        <v>6678.0105884328004</v>
      </c>
      <c r="AS139" s="30">
        <f>$I$67*$AS$67</f>
        <v>2835.3137381489928</v>
      </c>
      <c r="AT139" s="30">
        <f>$I$67*$AT$67</f>
        <v>0</v>
      </c>
      <c r="AU139" s="30">
        <f>$I$67*$AU$67</f>
        <v>0</v>
      </c>
      <c r="AV139" s="30">
        <f>$I$67*$AV$67</f>
        <v>0</v>
      </c>
      <c r="AW139" s="30">
        <f>$I$67*$AW$67</f>
        <v>0</v>
      </c>
      <c r="AX139" s="30">
        <f>$I$67*$AX$67</f>
        <v>212611.48921162769</v>
      </c>
      <c r="AY139" s="30">
        <f>$I$67*$AY$67</f>
        <v>-204.65616228875265</v>
      </c>
      <c r="AZ139" s="30">
        <f>$I$67*$AZ$67</f>
        <v>0</v>
      </c>
      <c r="BA139" s="30">
        <f>$I$67*$BA$67</f>
        <v>32851.441015227065</v>
      </c>
      <c r="BB139" s="30">
        <f>$I$67*$BB$67</f>
        <v>1116.1473768883181</v>
      </c>
      <c r="BC139" s="30">
        <f>$I$67*$BC$67</f>
        <v>10688.179558060117</v>
      </c>
      <c r="BD139" s="30">
        <f>$I$67*$BD$67</f>
        <v>0</v>
      </c>
    </row>
    <row r="140" spans="1:56" ht="11.25" customHeight="1" x14ac:dyDescent="0.25">
      <c r="A140" s="9" t="s">
        <v>37</v>
      </c>
      <c r="B140" s="9" t="s">
        <v>1319</v>
      </c>
      <c r="C140" s="9" t="s">
        <v>1320</v>
      </c>
      <c r="D140" s="9" t="s">
        <v>1321</v>
      </c>
      <c r="E140" s="9" t="s">
        <v>1322</v>
      </c>
      <c r="F140" s="9" t="s">
        <v>1323</v>
      </c>
      <c r="G140" s="9" t="s">
        <v>1324</v>
      </c>
      <c r="L140" s="30">
        <f>$I$68*$L$68</f>
        <v>1417630.9079035593</v>
      </c>
      <c r="M140" s="30">
        <f>$I$68*$M$68</f>
        <v>403919.02255203523</v>
      </c>
      <c r="N140" s="30">
        <f ca="1">$I$68*$N$68</f>
        <v>1393099.9384305079</v>
      </c>
      <c r="O140" s="30">
        <f>$I$68*$O$68</f>
        <v>8168.4485998278014</v>
      </c>
      <c r="P140" s="30">
        <f>$I$68*$P$68</f>
        <v>0</v>
      </c>
      <c r="Q140" s="30">
        <f>$I$68*$Q$68</f>
        <v>13794483.674431928</v>
      </c>
      <c r="R140" s="30">
        <f>$I$68*$R$68</f>
        <v>5618842.1031993069</v>
      </c>
      <c r="S140" s="30">
        <f>$I$68*$S$68</f>
        <v>0</v>
      </c>
      <c r="T140" s="30">
        <f>$I$68*$T$68</f>
        <v>9361648.174720807</v>
      </c>
      <c r="U140" s="30">
        <f>$I$68*$U$68</f>
        <v>1681643.1108435206</v>
      </c>
      <c r="V140" s="30">
        <f>$I$68*$V$68</f>
        <v>1614795.0979605892</v>
      </c>
      <c r="W140" s="30">
        <f>$I$68*$W$68</f>
        <v>0</v>
      </c>
      <c r="X140" s="30">
        <f>$I$68*$X$68</f>
        <v>0</v>
      </c>
      <c r="Y140" s="30">
        <f>$I$68*$Y$68</f>
        <v>0</v>
      </c>
      <c r="Z140" s="30">
        <f>$I$68*$Z$68</f>
        <v>0</v>
      </c>
      <c r="AA140" s="30">
        <f>$I$68*$AA$68</f>
        <v>109243441.96756241</v>
      </c>
      <c r="AB140" s="30">
        <f ca="1">$I$68*$AB$68</f>
        <v>-12353783.948672572</v>
      </c>
      <c r="AC140" s="30">
        <f ca="1">$I$68*$AC$68</f>
        <v>0</v>
      </c>
      <c r="AD140" s="30">
        <f>$I$68*$AD$68</f>
        <v>9528176.155938765</v>
      </c>
      <c r="AE140" s="30">
        <f>$I$68*$AE$68</f>
        <v>339237.78257347009</v>
      </c>
      <c r="AF140" s="30">
        <f ca="1">$I$68*$AF$68</f>
        <v>2839288.0454831989</v>
      </c>
      <c r="AG140" s="30">
        <f ca="1">$I$68*$AG$68</f>
        <v>0</v>
      </c>
      <c r="AI140" s="30">
        <f>$I$68*$AI$68</f>
        <v>0</v>
      </c>
      <c r="AJ140" s="30">
        <f>$I$68*$AJ$68</f>
        <v>386656.47186585533</v>
      </c>
      <c r="AK140" s="30">
        <f>$I$68*$AK$68</f>
        <v>1384858.3484603681</v>
      </c>
      <c r="AL140" s="30">
        <f>$I$68*$AL$68</f>
        <v>9177.622356988446</v>
      </c>
      <c r="AM140" s="30">
        <f>$I$68*$AM$68</f>
        <v>0</v>
      </c>
      <c r="AN140" s="30">
        <f>$I$68*$AN$68</f>
        <v>8114984.8982491279</v>
      </c>
      <c r="AO140" s="30">
        <f>$I$68*$AO$68</f>
        <v>3866922.5271377307</v>
      </c>
      <c r="AP140" s="30">
        <f>$I$68*$AP$68</f>
        <v>0</v>
      </c>
      <c r="AQ140" s="30">
        <f>$I$68*$AQ$68</f>
        <v>9619117.2538217846</v>
      </c>
      <c r="AR140" s="30">
        <f>$I$68*$AR$68</f>
        <v>2583283.1862010313</v>
      </c>
      <c r="AS140" s="30">
        <f>$I$68*$AS$68</f>
        <v>1096842.0678202638</v>
      </c>
      <c r="AT140" s="30">
        <f>$I$68*$AT$68</f>
        <v>0</v>
      </c>
      <c r="AU140" s="30">
        <f>$I$68*$AU$68</f>
        <v>0</v>
      </c>
      <c r="AV140" s="30">
        <f>$I$68*$AV$68</f>
        <v>0</v>
      </c>
      <c r="AW140" s="30">
        <f>$I$68*$AW$68</f>
        <v>0</v>
      </c>
      <c r="AX140" s="30">
        <f>$I$68*$AX$68</f>
        <v>82246683.251209259</v>
      </c>
      <c r="AY140" s="30">
        <f>$I$68*$AY$68</f>
        <v>-71861.192587589161</v>
      </c>
      <c r="AZ140" s="30">
        <f>$I$68*$AZ$68</f>
        <v>0</v>
      </c>
      <c r="BA140" s="30">
        <f>$I$68*$BA$68</f>
        <v>8260365.3766314201</v>
      </c>
      <c r="BB140" s="30">
        <f>$I$68*$BB$68</f>
        <v>280650.85921170865</v>
      </c>
      <c r="BC140" s="30">
        <f>$I$68*$BC$68</f>
        <v>2687500.6280454104</v>
      </c>
      <c r="BD140" s="30">
        <f>$I$68*$BD$68</f>
        <v>0</v>
      </c>
    </row>
    <row r="141" spans="1:56" ht="11.25" customHeight="1" x14ac:dyDescent="0.25">
      <c r="A141" s="9" t="s">
        <v>37</v>
      </c>
      <c r="B141" s="9" t="s">
        <v>1325</v>
      </c>
      <c r="C141" s="9" t="s">
        <v>1326</v>
      </c>
      <c r="D141" s="9" t="s">
        <v>1327</v>
      </c>
      <c r="E141" s="9" t="s">
        <v>1328</v>
      </c>
      <c r="F141" s="9" t="s">
        <v>1329</v>
      </c>
      <c r="G141" s="9" t="s">
        <v>1330</v>
      </c>
      <c r="L141" s="30">
        <f>$I$69*$L$69</f>
        <v>0</v>
      </c>
      <c r="M141" s="30">
        <f>$I$69*$M$69</f>
        <v>0</v>
      </c>
      <c r="N141" s="30">
        <f ca="1">$I$69*$N$69</f>
        <v>0</v>
      </c>
      <c r="O141" s="30">
        <f>$I$69*$O$69</f>
        <v>0</v>
      </c>
      <c r="P141" s="30">
        <f>$I$69*$P$69</f>
        <v>0</v>
      </c>
      <c r="Q141" s="30">
        <f>$I$69*$Q$69</f>
        <v>0</v>
      </c>
      <c r="R141" s="30">
        <f>$I$69*$R$69</f>
        <v>0</v>
      </c>
      <c r="S141" s="30">
        <f>$I$69*$S$69</f>
        <v>0</v>
      </c>
      <c r="T141" s="30">
        <f>$I$69*$T$69</f>
        <v>0</v>
      </c>
      <c r="U141" s="30">
        <f>$I$69*$U$69</f>
        <v>0</v>
      </c>
      <c r="V141" s="30">
        <f>$I$69*$V$69</f>
        <v>0</v>
      </c>
      <c r="W141" s="30">
        <f>$I$69*$W$69</f>
        <v>0</v>
      </c>
      <c r="X141" s="30">
        <f>$I$69*$X$69</f>
        <v>0</v>
      </c>
      <c r="Y141" s="30">
        <f>$I$69*$Y$69</f>
        <v>0</v>
      </c>
      <c r="Z141" s="30">
        <f>$I$69*$Z$69</f>
        <v>0</v>
      </c>
      <c r="AA141" s="30">
        <f>$I$69*$AA$69</f>
        <v>0</v>
      </c>
      <c r="AB141" s="30">
        <f ca="1">$I$69*$AB$69</f>
        <v>0</v>
      </c>
      <c r="AC141" s="30">
        <f ca="1">$I$69*$AC$69</f>
        <v>0</v>
      </c>
      <c r="AD141" s="30">
        <f>$I$69*$AD$69</f>
        <v>0</v>
      </c>
      <c r="AE141" s="30">
        <f>$I$69*$AE$69</f>
        <v>0</v>
      </c>
      <c r="AF141" s="30">
        <f ca="1">$I$69*$AF$69</f>
        <v>0</v>
      </c>
      <c r="AG141" s="30">
        <f ca="1">$I$69*$AG$69</f>
        <v>0</v>
      </c>
      <c r="AI141" s="30">
        <f>$I$69*$AI$69</f>
        <v>0</v>
      </c>
      <c r="AJ141" s="30">
        <f>$I$69*$AJ$69</f>
        <v>0</v>
      </c>
      <c r="AK141" s="30">
        <f>$I$69*$AK$69</f>
        <v>0</v>
      </c>
      <c r="AL141" s="30">
        <f>$I$69*$AL$69</f>
        <v>0</v>
      </c>
      <c r="AM141" s="30">
        <f>$I$69*$AM$69</f>
        <v>0</v>
      </c>
      <c r="AN141" s="30">
        <f>$I$69*$AN$69</f>
        <v>0</v>
      </c>
      <c r="AO141" s="30">
        <f>$I$69*$AO$69</f>
        <v>0</v>
      </c>
      <c r="AP141" s="30">
        <f>$I$69*$AP$69</f>
        <v>0</v>
      </c>
      <c r="AQ141" s="30">
        <f>$I$69*$AQ$69</f>
        <v>0</v>
      </c>
      <c r="AR141" s="30">
        <f>$I$69*$AR$69</f>
        <v>0</v>
      </c>
      <c r="AS141" s="30">
        <f>$I$69*$AS$69</f>
        <v>0</v>
      </c>
      <c r="AT141" s="30">
        <f>$I$69*$AT$69</f>
        <v>0</v>
      </c>
      <c r="AU141" s="30">
        <f>$I$69*$AU$69</f>
        <v>0</v>
      </c>
      <c r="AV141" s="30">
        <f>$I$69*$AV$69</f>
        <v>0</v>
      </c>
      <c r="AW141" s="30">
        <f>$I$69*$AW$69</f>
        <v>0</v>
      </c>
      <c r="AX141" s="30">
        <f>$I$69*$AX$69</f>
        <v>0</v>
      </c>
      <c r="AY141" s="30">
        <f>$I$69*$AY$69</f>
        <v>0</v>
      </c>
      <c r="AZ141" s="30">
        <f>$I$69*$AZ$69</f>
        <v>0</v>
      </c>
      <c r="BA141" s="30">
        <f>$I$69*$BA$69</f>
        <v>0</v>
      </c>
      <c r="BB141" s="30">
        <f>$I$69*$BB$69</f>
        <v>0</v>
      </c>
      <c r="BC141" s="30">
        <f>$I$69*$BC$69</f>
        <v>0</v>
      </c>
      <c r="BD141" s="30">
        <f>$I$69*$BD$69</f>
        <v>0</v>
      </c>
    </row>
    <row r="142" spans="1:56" ht="11.25" customHeight="1" x14ac:dyDescent="0.25">
      <c r="A142" s="9" t="s">
        <v>47</v>
      </c>
      <c r="B142" s="9" t="s">
        <v>1331</v>
      </c>
      <c r="C142" s="9" t="s">
        <v>1332</v>
      </c>
      <c r="D142" s="9" t="s">
        <v>1333</v>
      </c>
      <c r="E142" s="9" t="s">
        <v>1334</v>
      </c>
      <c r="F142" s="9" t="s">
        <v>1335</v>
      </c>
      <c r="G142" s="9" t="s">
        <v>1336</v>
      </c>
      <c r="L142" s="30">
        <f>$I$70*$L$70</f>
        <v>437042.50807508075</v>
      </c>
      <c r="M142" s="30">
        <f>$I$70*$M$70</f>
        <v>124524.50189339818</v>
      </c>
      <c r="N142" s="30">
        <f ca="1">$I$70*$N$70</f>
        <v>429479.83688595548</v>
      </c>
      <c r="O142" s="30">
        <f>$I$70*$O$70</f>
        <v>2518.2572157872182</v>
      </c>
      <c r="P142" s="30">
        <f>$I$70*$P$70</f>
        <v>0</v>
      </c>
      <c r="Q142" s="30">
        <f>$I$70*$Q$70</f>
        <v>4252711.837095907</v>
      </c>
      <c r="R142" s="30">
        <f>$I$70*$R$70</f>
        <v>1732237.0946973914</v>
      </c>
      <c r="S142" s="30">
        <f>$I$70*$S$70</f>
        <v>0</v>
      </c>
      <c r="T142" s="30">
        <f>$I$70*$T$70</f>
        <v>2886109.6179449423</v>
      </c>
      <c r="U142" s="30">
        <f>$I$70*$U$70</f>
        <v>518435.03041077277</v>
      </c>
      <c r="V142" s="30">
        <f>$I$70*$V$70</f>
        <v>497826.4058052355</v>
      </c>
      <c r="W142" s="30">
        <f>$I$70*$W$70</f>
        <v>0</v>
      </c>
      <c r="X142" s="30">
        <f>$I$70*$X$70</f>
        <v>0</v>
      </c>
      <c r="Y142" s="30">
        <f>$I$70*$Y$70</f>
        <v>0</v>
      </c>
      <c r="Z142" s="30">
        <f>$I$70*$Z$70</f>
        <v>0</v>
      </c>
      <c r="AA142" s="30">
        <f>$I$70*$AA$70</f>
        <v>33678743.601085484</v>
      </c>
      <c r="AB142" s="30">
        <f ca="1">$I$70*$AB$70</f>
        <v>-3808557.4256630386</v>
      </c>
      <c r="AC142" s="30">
        <f ca="1">$I$70*$AC$70</f>
        <v>0</v>
      </c>
      <c r="AD142" s="30">
        <f>$I$70*$AD$70</f>
        <v>2937448.6556101167</v>
      </c>
      <c r="AE142" s="30">
        <f>$I$70*$AE$70</f>
        <v>104583.87335035756</v>
      </c>
      <c r="AF142" s="30">
        <f ca="1">$I$70*$AF$70</f>
        <v>875326.26555147616</v>
      </c>
      <c r="AG142" s="30">
        <f ca="1">$I$70*$AG$70</f>
        <v>0</v>
      </c>
      <c r="AI142" s="30">
        <f>$I$70*$AI$70</f>
        <v>0</v>
      </c>
      <c r="AJ142" s="30">
        <f>$I$70*$AJ$70</f>
        <v>119202.61704622161</v>
      </c>
      <c r="AK142" s="30">
        <f>$I$70*$AK$70</f>
        <v>426939.0308616258</v>
      </c>
      <c r="AL142" s="30">
        <f>$I$70*$AL$70</f>
        <v>2829.3761589861056</v>
      </c>
      <c r="AM142" s="30">
        <f>$I$70*$AM$70</f>
        <v>0</v>
      </c>
      <c r="AN142" s="30">
        <f>$I$70*$AN$70</f>
        <v>2501774.8506675949</v>
      </c>
      <c r="AO142" s="30">
        <f>$I$70*$AO$70</f>
        <v>1192136.4795097113</v>
      </c>
      <c r="AP142" s="30">
        <f>$I$70*$AP$70</f>
        <v>0</v>
      </c>
      <c r="AQ142" s="30">
        <f>$I$70*$AQ$70</f>
        <v>2965484.9556684205</v>
      </c>
      <c r="AR142" s="30">
        <f>$I$70*$AR$70</f>
        <v>796402.3332667714</v>
      </c>
      <c r="AS142" s="30">
        <f>$I$70*$AS$70</f>
        <v>338146.27320120315</v>
      </c>
      <c r="AT142" s="30">
        <f>$I$70*$AT$70</f>
        <v>0</v>
      </c>
      <c r="AU142" s="30">
        <f>$I$70*$AU$70</f>
        <v>0</v>
      </c>
      <c r="AV142" s="30">
        <f>$I$70*$AV$70</f>
        <v>0</v>
      </c>
      <c r="AW142" s="30">
        <f>$I$70*$AW$70</f>
        <v>0</v>
      </c>
      <c r="AX142" s="30">
        <f>$I$70*$AX$70</f>
        <v>25355892.37548602</v>
      </c>
      <c r="AY142" s="30">
        <f>$I$70*$AY$70</f>
        <v>-22154.141579906143</v>
      </c>
      <c r="AZ142" s="30">
        <f>$I$70*$AZ$70</f>
        <v>0</v>
      </c>
      <c r="BA142" s="30">
        <f>$I$70*$BA$70</f>
        <v>2546594.3086401448</v>
      </c>
      <c r="BB142" s="30">
        <f>$I$70*$BB$70</f>
        <v>86522.066300529375</v>
      </c>
      <c r="BC142" s="30">
        <f>$I$70*$BC$70</f>
        <v>828531.60747693316</v>
      </c>
      <c r="BD142" s="30">
        <f>$I$70*$BD$70</f>
        <v>0</v>
      </c>
    </row>
    <row r="143" spans="1:56" ht="11.25" customHeight="1" x14ac:dyDescent="0.25">
      <c r="A143" s="9" t="s">
        <v>47</v>
      </c>
      <c r="B143" s="9" t="s">
        <v>1331</v>
      </c>
      <c r="C143" s="9" t="s">
        <v>1332</v>
      </c>
      <c r="D143" s="9" t="s">
        <v>1337</v>
      </c>
      <c r="E143" s="9" t="s">
        <v>1338</v>
      </c>
      <c r="F143" s="9" t="s">
        <v>1339</v>
      </c>
      <c r="G143" s="9" t="s">
        <v>1340</v>
      </c>
      <c r="L143" s="30">
        <f>$I$71*$L$71</f>
        <v>0</v>
      </c>
      <c r="M143" s="30">
        <f>$I$71*$M$71</f>
        <v>0</v>
      </c>
      <c r="N143" s="30">
        <f ca="1">$I$71*$N$71</f>
        <v>0</v>
      </c>
      <c r="O143" s="30">
        <f>$I$71*$O$71</f>
        <v>0</v>
      </c>
      <c r="P143" s="30">
        <f>$I$71*$P$71</f>
        <v>0</v>
      </c>
      <c r="Q143" s="30">
        <f>$I$71*$Q$71</f>
        <v>0</v>
      </c>
      <c r="R143" s="30">
        <f>$I$71*$R$71</f>
        <v>0</v>
      </c>
      <c r="S143" s="30">
        <f>$I$71*$S$71</f>
        <v>0</v>
      </c>
      <c r="T143" s="30">
        <f>$I$71*$T$71</f>
        <v>0</v>
      </c>
      <c r="U143" s="30">
        <f>$I$71*$U$71</f>
        <v>0</v>
      </c>
      <c r="V143" s="30">
        <f>$I$71*$V$71</f>
        <v>0</v>
      </c>
      <c r="W143" s="30">
        <f>$I$71*$W$71</f>
        <v>0</v>
      </c>
      <c r="X143" s="30">
        <f>$I$71*$X$71</f>
        <v>0</v>
      </c>
      <c r="Y143" s="30">
        <f>$I$71*$Y$71</f>
        <v>0</v>
      </c>
      <c r="Z143" s="30">
        <f>$I$71*$Z$71</f>
        <v>0</v>
      </c>
      <c r="AA143" s="30">
        <f>$I$71*$AA$71</f>
        <v>0</v>
      </c>
      <c r="AB143" s="30">
        <f ca="1">$I$71*$AB$71</f>
        <v>0</v>
      </c>
      <c r="AC143" s="30">
        <f ca="1">$I$71*$AC$71</f>
        <v>0</v>
      </c>
      <c r="AD143" s="30">
        <f>$I$71*$AD$71</f>
        <v>0</v>
      </c>
      <c r="AE143" s="30">
        <f>$I$71*$AE$71</f>
        <v>0</v>
      </c>
      <c r="AF143" s="30">
        <f ca="1">$I$71*$AF$71</f>
        <v>0</v>
      </c>
      <c r="AG143" s="30">
        <f ca="1">$I$71*$AG$71</f>
        <v>0</v>
      </c>
      <c r="AI143" s="30">
        <f>$I$71*$AI$71</f>
        <v>0</v>
      </c>
      <c r="AJ143" s="30">
        <f>$I$71*$AJ$71</f>
        <v>0</v>
      </c>
      <c r="AK143" s="30">
        <f>$I$71*$AK$71</f>
        <v>0</v>
      </c>
      <c r="AL143" s="30">
        <f>$I$71*$AL$71</f>
        <v>0</v>
      </c>
      <c r="AM143" s="30">
        <f>$I$71*$AM$71</f>
        <v>0</v>
      </c>
      <c r="AN143" s="30">
        <f>$I$71*$AN$71</f>
        <v>0</v>
      </c>
      <c r="AO143" s="30">
        <f>$I$71*$AO$71</f>
        <v>0</v>
      </c>
      <c r="AP143" s="30">
        <f>$I$71*$AP$71</f>
        <v>0</v>
      </c>
      <c r="AQ143" s="30">
        <f>$I$71*$AQ$71</f>
        <v>0</v>
      </c>
      <c r="AR143" s="30">
        <f>$I$71*$AR$71</f>
        <v>0</v>
      </c>
      <c r="AS143" s="30">
        <f>$I$71*$AS$71</f>
        <v>0</v>
      </c>
      <c r="AT143" s="30">
        <f>$I$71*$AT$71</f>
        <v>0</v>
      </c>
      <c r="AU143" s="30">
        <f>$I$71*$AU$71</f>
        <v>0</v>
      </c>
      <c r="AV143" s="30">
        <f>$I$71*$AV$71</f>
        <v>0</v>
      </c>
      <c r="AW143" s="30">
        <f>$I$71*$AW$71</f>
        <v>0</v>
      </c>
      <c r="AX143" s="30">
        <f>$I$71*$AX$71</f>
        <v>0</v>
      </c>
      <c r="AY143" s="30">
        <f>$I$71*$AY$71</f>
        <v>0</v>
      </c>
      <c r="AZ143" s="30">
        <f>$I$71*$AZ$71</f>
        <v>0</v>
      </c>
      <c r="BA143" s="30">
        <f>$I$71*$BA$71</f>
        <v>0</v>
      </c>
      <c r="BB143" s="30">
        <f>$I$71*$BB$71</f>
        <v>0</v>
      </c>
      <c r="BC143" s="30">
        <f>$I$71*$BC$71</f>
        <v>0</v>
      </c>
      <c r="BD143" s="30">
        <f>$I$71*$BD$71</f>
        <v>0</v>
      </c>
    </row>
  </sheetData>
  <mergeCells count="107"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C9:C11"/>
    <mergeCell ref="D9:D11"/>
    <mergeCell ref="E9:E11"/>
    <mergeCell ref="F9:F11"/>
    <mergeCell ref="A13:A34"/>
    <mergeCell ref="B13:B16"/>
    <mergeCell ref="C13:C16"/>
    <mergeCell ref="D13:D16"/>
    <mergeCell ref="E13:E15"/>
    <mergeCell ref="F13:F15"/>
    <mergeCell ref="A5:A12"/>
    <mergeCell ref="B5:B8"/>
    <mergeCell ref="C5:C8"/>
    <mergeCell ref="D5:D8"/>
    <mergeCell ref="E5:E7"/>
    <mergeCell ref="F5:F7"/>
    <mergeCell ref="B9:B11"/>
    <mergeCell ref="E30:E32"/>
    <mergeCell ref="F30:F32"/>
    <mergeCell ref="E33:E34"/>
    <mergeCell ref="F33:F34"/>
    <mergeCell ref="B17:B28"/>
    <mergeCell ref="C17:C28"/>
    <mergeCell ref="D17:D28"/>
    <mergeCell ref="E17:E28"/>
    <mergeCell ref="F17:F19"/>
    <mergeCell ref="F20:F22"/>
    <mergeCell ref="F23:F25"/>
    <mergeCell ref="F26:F28"/>
    <mergeCell ref="A35:A36"/>
    <mergeCell ref="B35:B36"/>
    <mergeCell ref="C35:C36"/>
    <mergeCell ref="D35:D36"/>
    <mergeCell ref="A37:A49"/>
    <mergeCell ref="B37:B39"/>
    <mergeCell ref="C37:C39"/>
    <mergeCell ref="D37:D39"/>
    <mergeCell ref="B30:B34"/>
    <mergeCell ref="C30:C34"/>
    <mergeCell ref="D30:D34"/>
    <mergeCell ref="C50:C52"/>
    <mergeCell ref="D50:D52"/>
    <mergeCell ref="E50:E52"/>
    <mergeCell ref="F50:F52"/>
    <mergeCell ref="B54:B56"/>
    <mergeCell ref="C54:C56"/>
    <mergeCell ref="D54:D56"/>
    <mergeCell ref="E54:E56"/>
    <mergeCell ref="E37:E39"/>
    <mergeCell ref="F37:F39"/>
    <mergeCell ref="B40:B44"/>
    <mergeCell ref="C40:C44"/>
    <mergeCell ref="B45:B49"/>
    <mergeCell ref="C45:C49"/>
    <mergeCell ref="E65:E67"/>
    <mergeCell ref="F65:F67"/>
    <mergeCell ref="A70:A71"/>
    <mergeCell ref="B70:B71"/>
    <mergeCell ref="C70:C71"/>
    <mergeCell ref="AI1:BD1"/>
    <mergeCell ref="AI2:BD2"/>
    <mergeCell ref="AI3:AP3"/>
    <mergeCell ref="AQ3:AW3"/>
    <mergeCell ref="AY3:AZ3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B50:B52"/>
    <mergeCell ref="AQ75:AW75"/>
    <mergeCell ref="AY75:AZ75"/>
    <mergeCell ref="BA75:BD75"/>
    <mergeCell ref="BA3:BD3"/>
    <mergeCell ref="L73:AG73"/>
    <mergeCell ref="AI73:BD73"/>
    <mergeCell ref="L74:AG74"/>
    <mergeCell ref="AI74:BD74"/>
    <mergeCell ref="L75:S75"/>
    <mergeCell ref="T75:Z75"/>
    <mergeCell ref="AB75:AC75"/>
    <mergeCell ref="AD75:AG75"/>
    <mergeCell ref="AI75:AP7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729E-B3C4-434C-86C6-7037DD6E3A74}">
  <dimension ref="A1:AF101"/>
  <sheetViews>
    <sheetView showGridLines="0" topLeftCell="L24" workbookViewId="0">
      <selection activeCell="V51" sqref="V51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10" style="9" bestFit="1" customWidth="1"/>
    <col min="24" max="24" width="10.8554687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13" t="s">
        <v>83</v>
      </c>
      <c r="B1" s="113" t="s">
        <v>84</v>
      </c>
      <c r="C1" s="113" t="s">
        <v>85</v>
      </c>
      <c r="D1" s="113" t="s">
        <v>86</v>
      </c>
      <c r="E1" s="113" t="s">
        <v>87</v>
      </c>
      <c r="F1" s="113" t="s">
        <v>15</v>
      </c>
      <c r="G1" s="113" t="s">
        <v>89</v>
      </c>
      <c r="H1" s="113" t="s">
        <v>90</v>
      </c>
      <c r="I1" s="113" t="s">
        <v>947</v>
      </c>
      <c r="J1" s="102"/>
      <c r="L1" s="114" t="s">
        <v>1341</v>
      </c>
      <c r="M1" s="114"/>
      <c r="N1" s="114"/>
      <c r="O1" s="114"/>
      <c r="P1" s="114"/>
      <c r="Q1" s="114"/>
      <c r="R1" s="114"/>
      <c r="S1" s="114"/>
      <c r="T1" s="114"/>
      <c r="U1" s="114"/>
      <c r="W1" s="114" t="s">
        <v>1342</v>
      </c>
      <c r="X1" s="114"/>
      <c r="Y1" s="114"/>
      <c r="Z1" s="114"/>
      <c r="AA1" s="114"/>
      <c r="AB1" s="114"/>
      <c r="AC1" s="114"/>
      <c r="AD1" s="114"/>
      <c r="AE1" s="114"/>
      <c r="AF1" s="114"/>
    </row>
    <row r="2" spans="1:32" ht="11.25" customHeigh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02"/>
      <c r="L2" s="114" t="s">
        <v>886</v>
      </c>
      <c r="M2" s="114"/>
      <c r="N2" s="114"/>
      <c r="O2" s="114"/>
      <c r="P2" s="114"/>
      <c r="Q2" s="114"/>
      <c r="R2" s="114"/>
      <c r="S2" s="114"/>
      <c r="T2" s="114"/>
      <c r="U2" s="114"/>
      <c r="W2" s="114" t="s">
        <v>886</v>
      </c>
      <c r="X2" s="114"/>
      <c r="Y2" s="114"/>
      <c r="Z2" s="114"/>
      <c r="AA2" s="114"/>
      <c r="AB2" s="114"/>
      <c r="AC2" s="114"/>
      <c r="AD2" s="114"/>
      <c r="AE2" s="114"/>
      <c r="AF2" s="114"/>
    </row>
    <row r="3" spans="1:32" ht="11.25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02"/>
      <c r="L3" s="114" t="s">
        <v>859</v>
      </c>
      <c r="M3" s="114"/>
      <c r="N3" s="114"/>
      <c r="O3" s="114"/>
      <c r="P3" s="40" t="s">
        <v>889</v>
      </c>
      <c r="Q3" s="114" t="s">
        <v>868</v>
      </c>
      <c r="R3" s="114"/>
      <c r="S3" s="114"/>
      <c r="T3" s="40" t="s">
        <v>878</v>
      </c>
      <c r="U3" s="40" t="s">
        <v>881</v>
      </c>
      <c r="W3" s="114" t="s">
        <v>859</v>
      </c>
      <c r="X3" s="114"/>
      <c r="Y3" s="114"/>
      <c r="Z3" s="114"/>
      <c r="AA3" s="40" t="s">
        <v>889</v>
      </c>
      <c r="AB3" s="114" t="s">
        <v>868</v>
      </c>
      <c r="AC3" s="114"/>
      <c r="AD3" s="114"/>
      <c r="AE3" s="40" t="s">
        <v>878</v>
      </c>
      <c r="AF3" s="40" t="s">
        <v>881</v>
      </c>
    </row>
    <row r="4" spans="1:32" ht="11.25" customHeight="1" x14ac:dyDescent="0.25">
      <c r="A4" s="113"/>
      <c r="B4" s="113"/>
      <c r="C4" s="113"/>
      <c r="D4" s="113"/>
      <c r="E4" s="113"/>
      <c r="F4" s="113"/>
      <c r="G4" s="113"/>
      <c r="H4" s="113"/>
      <c r="I4" s="113"/>
      <c r="J4" s="102"/>
      <c r="L4" s="40" t="s">
        <v>861</v>
      </c>
      <c r="M4" s="40" t="s">
        <v>887</v>
      </c>
      <c r="N4" s="40" t="s">
        <v>888</v>
      </c>
      <c r="O4" s="40" t="s">
        <v>946</v>
      </c>
      <c r="P4" s="40" t="s">
        <v>890</v>
      </c>
      <c r="Q4" s="40" t="s">
        <v>891</v>
      </c>
      <c r="R4" s="40" t="s">
        <v>892</v>
      </c>
      <c r="S4" s="40" t="s">
        <v>893</v>
      </c>
      <c r="T4" s="40" t="s">
        <v>879</v>
      </c>
      <c r="U4" s="40" t="s">
        <v>894</v>
      </c>
      <c r="W4" s="40" t="s">
        <v>861</v>
      </c>
      <c r="X4" s="40" t="s">
        <v>887</v>
      </c>
      <c r="Y4" s="40" t="s">
        <v>888</v>
      </c>
      <c r="Z4" s="40" t="s">
        <v>946</v>
      </c>
      <c r="AA4" s="40" t="s">
        <v>890</v>
      </c>
      <c r="AB4" s="40" t="s">
        <v>891</v>
      </c>
      <c r="AC4" s="40" t="s">
        <v>892</v>
      </c>
      <c r="AD4" s="40" t="s">
        <v>893</v>
      </c>
      <c r="AE4" s="40" t="s">
        <v>879</v>
      </c>
      <c r="AF4" s="40" t="s">
        <v>894</v>
      </c>
    </row>
    <row r="5" spans="1:32" ht="11.25" customHeight="1" x14ac:dyDescent="0.25">
      <c r="A5" s="112" t="s">
        <v>39</v>
      </c>
      <c r="B5" s="112" t="s">
        <v>92</v>
      </c>
      <c r="C5" s="112" t="s">
        <v>25</v>
      </c>
      <c r="D5" s="112" t="s">
        <v>25</v>
      </c>
      <c r="E5" s="112" t="s">
        <v>25</v>
      </c>
      <c r="F5" s="112" t="s">
        <v>25</v>
      </c>
      <c r="G5" s="38" t="s">
        <v>94</v>
      </c>
      <c r="H5" s="38" t="s">
        <v>93</v>
      </c>
      <c r="I5" s="38">
        <f>'MERCADO TE'!$U$2</f>
        <v>4826.8779999999997</v>
      </c>
      <c r="J5" s="15"/>
      <c r="L5" s="36">
        <f>('TE BE'!$L$5+'TE BF'!$L$5+'TE CVA'!$L$5)*1</f>
        <v>2.6213057905810007</v>
      </c>
      <c r="M5" s="36">
        <f>('TE BE'!$M$5+'TE BF'!$M$5+'TE CVA'!$M$5)*1</f>
        <v>21.535740967520635</v>
      </c>
      <c r="N5" s="36">
        <f>('TE BE'!$N$5+'TE BF'!$N$5+'TE CVA'!$N$5)*1</f>
        <v>0</v>
      </c>
      <c r="O5" s="36">
        <f>('TE BE'!$O$5+'TE BF'!$O$5+'TE CVA'!$O$5)*1</f>
        <v>3.7821930841515847</v>
      </c>
      <c r="P5" s="36">
        <f>('TE BE'!$Q$5+'TE BF'!$Q$5+'TE CVA'!$Q$5)*1</f>
        <v>364.64139260470222</v>
      </c>
      <c r="Q5" s="36">
        <f>('TE BE'!$S$5+'TE BF'!$S$5+'TE CVA'!$S$5)*1</f>
        <v>0</v>
      </c>
      <c r="R5" s="36">
        <f>('TE BE'!$T$5+'TE BF'!$T$5+'TE CVA'!$T$5)*1</f>
        <v>0</v>
      </c>
      <c r="S5" s="36">
        <f>('TE BE'!$U$5+'TE BF'!$U$5+'TE CVA'!$U$5)*1</f>
        <v>3.8680550024625049E-13</v>
      </c>
      <c r="T5" s="36">
        <f>('TE BE'!$W$5+'TE BF'!$W$5+'TE CVA'!$W$5)*1</f>
        <v>-36.720930315477496</v>
      </c>
      <c r="U5" s="36">
        <f>('TE BE'!$Y$5+'TE BF'!$Y$5+'TE CVA'!$Y$5)*1</f>
        <v>5.6904320526370293</v>
      </c>
      <c r="W5" s="36">
        <v>2.1945525390022902</v>
      </c>
      <c r="X5" s="36">
        <v>14.09841205265</v>
      </c>
      <c r="Y5" s="36">
        <v>0</v>
      </c>
      <c r="Z5" s="36">
        <v>0</v>
      </c>
      <c r="AA5" s="36">
        <v>342.28581598193199</v>
      </c>
      <c r="AB5" s="36">
        <v>0</v>
      </c>
      <c r="AC5" s="36">
        <v>0</v>
      </c>
      <c r="AD5" s="36">
        <v>3.7407022019034598E-13</v>
      </c>
      <c r="AE5" s="36">
        <v>-0.23588810734718599</v>
      </c>
      <c r="AF5" s="36">
        <v>4.9399700466945902</v>
      </c>
    </row>
    <row r="6" spans="1:32" ht="11.25" customHeight="1" x14ac:dyDescent="0.25">
      <c r="A6" s="112"/>
      <c r="B6" s="112"/>
      <c r="C6" s="112"/>
      <c r="D6" s="112"/>
      <c r="E6" s="112"/>
      <c r="F6" s="112"/>
      <c r="G6" s="38" t="s">
        <v>95</v>
      </c>
      <c r="H6" s="38" t="s">
        <v>93</v>
      </c>
      <c r="I6" s="38">
        <f>'MERCADO TE'!$U$3</f>
        <v>85647.175000000017</v>
      </c>
      <c r="J6" s="15"/>
      <c r="L6" s="36">
        <f>('TE BE'!$L$6+'TE BF'!$L$6+'TE CVA'!$L$6)*1</f>
        <v>2.6213057905810007</v>
      </c>
      <c r="M6" s="36">
        <f>('TE BE'!$M$6+'TE BF'!$M$6+'TE CVA'!$M$6)*1</f>
        <v>21.535740967520635</v>
      </c>
      <c r="N6" s="36">
        <f>('TE BE'!$N$6+'TE BF'!$N$6+'TE CVA'!$N$6)*1</f>
        <v>0</v>
      </c>
      <c r="O6" s="36">
        <f>('TE BE'!$O$6+'TE BF'!$O$6+'TE CVA'!$O$6)*1</f>
        <v>3.7821930841515847</v>
      </c>
      <c r="P6" s="36">
        <f>('TE BE'!$Q$6+'TE BF'!$Q$6+'TE CVA'!$Q$6)*1</f>
        <v>212.00080965389665</v>
      </c>
      <c r="Q6" s="36">
        <f>('TE BE'!$S$6+'TE BF'!$S$6+'TE CVA'!$S$6)*1</f>
        <v>0</v>
      </c>
      <c r="R6" s="36">
        <f>('TE BE'!$T$6+'TE BF'!$T$6+'TE CVA'!$T$6)*1</f>
        <v>0</v>
      </c>
      <c r="S6" s="36">
        <f>('TE BE'!$U$6+'TE BF'!$U$6+'TE CVA'!$U$6)*1</f>
        <v>3.8680550024625049E-13</v>
      </c>
      <c r="T6" s="36">
        <f>('TE BE'!$W$6+'TE BF'!$W$6+'TE CVA'!$W$6)*1</f>
        <v>-22.484863428340269</v>
      </c>
      <c r="U6" s="36">
        <f>('TE BE'!$Y$6+'TE BF'!$Y$6+'TE CVA'!$Y$6)*1</f>
        <v>5.6904320526370293</v>
      </c>
      <c r="W6" s="36">
        <v>2.1945525390022902</v>
      </c>
      <c r="X6" s="36">
        <v>14.09841205265</v>
      </c>
      <c r="Y6" s="36">
        <v>0</v>
      </c>
      <c r="Z6" s="36">
        <v>0</v>
      </c>
      <c r="AA6" s="36">
        <v>199.003381384844</v>
      </c>
      <c r="AB6" s="36">
        <v>0</v>
      </c>
      <c r="AC6" s="36">
        <v>0</v>
      </c>
      <c r="AD6" s="36">
        <v>3.7407022019034598E-13</v>
      </c>
      <c r="AE6" s="36">
        <v>-0.14279883848672101</v>
      </c>
      <c r="AF6" s="36">
        <v>4.9399700466945902</v>
      </c>
    </row>
    <row r="7" spans="1:32" ht="11.25" customHeight="1" x14ac:dyDescent="0.25">
      <c r="A7" s="112"/>
      <c r="B7" s="39" t="s">
        <v>96</v>
      </c>
      <c r="C7" s="39" t="s">
        <v>25</v>
      </c>
      <c r="D7" s="39" t="s">
        <v>25</v>
      </c>
      <c r="E7" s="39" t="s">
        <v>97</v>
      </c>
      <c r="F7" s="39" t="s">
        <v>25</v>
      </c>
      <c r="G7" s="38" t="s">
        <v>98</v>
      </c>
      <c r="H7" s="38" t="s">
        <v>93</v>
      </c>
      <c r="I7" s="38">
        <f>'MERCADO TE'!$U$4</f>
        <v>285935.57</v>
      </c>
      <c r="J7" s="15"/>
      <c r="L7" s="36">
        <f>('TE BE'!$L$7+'TE BF'!$L$7+'TE CVA'!$L$7)*1</f>
        <v>2.6213057905810007</v>
      </c>
      <c r="M7" s="36">
        <f>('TE BE'!$M$7+'TE BF'!$M$7+'TE CVA'!$M$7)*1</f>
        <v>21.535740967520635</v>
      </c>
      <c r="N7" s="36">
        <f>('TE BE'!$N$7+'TE BF'!$N$7+'TE CVA'!$N$7)*1</f>
        <v>0</v>
      </c>
      <c r="O7" s="36">
        <f>('TE BE'!$O$7+'TE BF'!$O$7+'TE CVA'!$O$7)*1</f>
        <v>3.7821930841515847</v>
      </c>
      <c r="P7" s="36">
        <f>('TE BE'!$Q$7+'TE BF'!$Q$7+'TE CVA'!$Q$7)*1</f>
        <v>219.94807910829678</v>
      </c>
      <c r="Q7" s="36">
        <f>('TE BE'!$S$7+'TE BF'!$S$7+'TE CVA'!$S$7)*1</f>
        <v>0</v>
      </c>
      <c r="R7" s="36">
        <f>('TE BE'!$T$7+'TE BF'!$T$7+'TE CVA'!$T$7)*1</f>
        <v>0</v>
      </c>
      <c r="S7" s="36">
        <f>('TE BE'!$U$7+'TE BF'!$U$7+'TE CVA'!$U$7)*1</f>
        <v>3.8680550024625049E-13</v>
      </c>
      <c r="T7" s="36">
        <f>('TE BE'!$W$7+'TE BF'!$W$7+'TE CVA'!$W$7)*1</f>
        <v>0</v>
      </c>
      <c r="U7" s="36">
        <f>('TE BE'!$Y$7+'TE BF'!$Y$7+'TE CVA'!$Y$7)*1</f>
        <v>5.6904320526370293</v>
      </c>
      <c r="W7" s="36">
        <v>2.1945525390022902</v>
      </c>
      <c r="X7" s="36">
        <v>14.09841205265</v>
      </c>
      <c r="Y7" s="36">
        <v>0</v>
      </c>
      <c r="Z7" s="36">
        <v>0</v>
      </c>
      <c r="AA7" s="36">
        <v>206.64872200260001</v>
      </c>
      <c r="AB7" s="36">
        <v>0</v>
      </c>
      <c r="AC7" s="36">
        <v>0</v>
      </c>
      <c r="AD7" s="36">
        <v>3.7407022019034598E-13</v>
      </c>
      <c r="AE7" s="36">
        <v>0</v>
      </c>
      <c r="AF7" s="36">
        <v>4.9399700466945902</v>
      </c>
    </row>
    <row r="8" spans="1:32" ht="11.25" customHeight="1" x14ac:dyDescent="0.25">
      <c r="A8" s="112"/>
      <c r="B8" s="39" t="s">
        <v>102</v>
      </c>
      <c r="C8" s="39" t="s">
        <v>25</v>
      </c>
      <c r="D8" s="39" t="s">
        <v>25</v>
      </c>
      <c r="E8" s="39" t="s">
        <v>97</v>
      </c>
      <c r="F8" s="39" t="s">
        <v>25</v>
      </c>
      <c r="G8" s="38" t="s">
        <v>98</v>
      </c>
      <c r="H8" s="38" t="s">
        <v>93</v>
      </c>
      <c r="I8" s="38">
        <f>'MERCADO TE'!$U$5</f>
        <v>0</v>
      </c>
      <c r="J8" s="15"/>
      <c r="L8" s="36">
        <f>('TE BE'!$L$8+'TE BF'!$L$8+'TE CVA'!$L$8)*1</f>
        <v>2.6213057905810007</v>
      </c>
      <c r="M8" s="36">
        <f>('TE BE'!$M$8+'TE BF'!$M$8+'TE CVA'!$M$8)*1</f>
        <v>21.535740967520635</v>
      </c>
      <c r="N8" s="36">
        <f>('TE BE'!$N$8+'TE BF'!$N$8+'TE CVA'!$N$8)*1</f>
        <v>0</v>
      </c>
      <c r="O8" s="36">
        <f>('TE BE'!$O$8+'TE BF'!$O$8+'TE CVA'!$O$8)*1</f>
        <v>3.7821930841515847</v>
      </c>
      <c r="P8" s="36">
        <f>('TE BE'!$Q$8+'TE BF'!$Q$8+'TE CVA'!$Q$8)*1</f>
        <v>219.94807910829678</v>
      </c>
      <c r="Q8" s="36">
        <f>('TE BE'!$S$8+'TE BF'!$S$8+'TE CVA'!$S$8)*1</f>
        <v>0</v>
      </c>
      <c r="R8" s="36">
        <f>('TE BE'!$T$8+'TE BF'!$T$8+'TE CVA'!$T$8)*1</f>
        <v>0</v>
      </c>
      <c r="S8" s="36">
        <f>('TE BE'!$U$8+'TE BF'!$U$8+'TE CVA'!$U$8)*1</f>
        <v>3.8680550024625049E-13</v>
      </c>
      <c r="T8" s="36">
        <f>('TE BE'!$W$8+'TE BF'!$W$8+'TE CVA'!$W$8)*1</f>
        <v>0</v>
      </c>
      <c r="U8" s="36">
        <f>('TE BE'!$Y$8+'TE BF'!$Y$8+'TE CVA'!$Y$8)*1</f>
        <v>5.6904320526370293</v>
      </c>
      <c r="W8" s="36">
        <v>2.1945525390022902</v>
      </c>
      <c r="X8" s="36">
        <v>14.09841205265</v>
      </c>
      <c r="Y8" s="36">
        <v>0</v>
      </c>
      <c r="Z8" s="36">
        <v>0</v>
      </c>
      <c r="AA8" s="36">
        <v>206.64872200260001</v>
      </c>
      <c r="AB8" s="36">
        <v>0</v>
      </c>
      <c r="AC8" s="36">
        <v>0</v>
      </c>
      <c r="AD8" s="36">
        <v>3.7407022019034598E-13</v>
      </c>
      <c r="AE8" s="36">
        <v>0</v>
      </c>
      <c r="AF8" s="36">
        <v>4.9399700466945902</v>
      </c>
    </row>
    <row r="9" spans="1:32" ht="11.25" customHeight="1" x14ac:dyDescent="0.25">
      <c r="A9" s="112"/>
      <c r="B9" s="39" t="s">
        <v>96</v>
      </c>
      <c r="C9" s="39" t="s">
        <v>25</v>
      </c>
      <c r="D9" s="39" t="s">
        <v>25</v>
      </c>
      <c r="E9" s="39" t="s">
        <v>25</v>
      </c>
      <c r="F9" s="39" t="s">
        <v>25</v>
      </c>
      <c r="G9" s="38" t="s">
        <v>98</v>
      </c>
      <c r="H9" s="38" t="s">
        <v>93</v>
      </c>
      <c r="I9" s="38">
        <f>'MERCADO TE'!$U$6</f>
        <v>0</v>
      </c>
      <c r="J9" s="15"/>
      <c r="L9" s="36">
        <f>('TE BE'!$L$9+'TE BF'!$L$9+'TE CVA'!$L$9)*1</f>
        <v>2.6213057905810007</v>
      </c>
      <c r="M9" s="36">
        <f>('TE BE'!$M$9+'TE BF'!$M$9+'TE CVA'!$M$9)*1</f>
        <v>0</v>
      </c>
      <c r="N9" s="36">
        <f>('TE BE'!$N$9+'TE BF'!$N$9+'TE CVA'!$N$9)*1</f>
        <v>0</v>
      </c>
      <c r="O9" s="36">
        <f>('TE BE'!$O$9+'TE BF'!$O$9+'TE CVA'!$O$9)*1</f>
        <v>3.7821930841515847</v>
      </c>
      <c r="P9" s="36">
        <f>('TE BE'!$Q$9+'TE BF'!$Q$9+'TE CVA'!$Q$9)*1</f>
        <v>219.94807910829678</v>
      </c>
      <c r="Q9" s="36">
        <f>('TE BE'!$S$9+'TE BF'!$S$9+'TE CVA'!$S$9)*1</f>
        <v>0</v>
      </c>
      <c r="R9" s="36">
        <f>('TE BE'!$T$9+'TE BF'!$T$9+'TE CVA'!$T$9)*1</f>
        <v>0</v>
      </c>
      <c r="S9" s="36">
        <f>('TE BE'!$U$9+'TE BF'!$U$9+'TE CVA'!$U$9)*1</f>
        <v>3.8680550024625049E-13</v>
      </c>
      <c r="T9" s="36">
        <f>('TE BE'!$W$9+'TE BF'!$W$9+'TE CVA'!$W$9)*1</f>
        <v>0</v>
      </c>
      <c r="U9" s="36">
        <f>('TE BE'!$Y$9+'TE BF'!$Y$9+'TE CVA'!$Y$9)*1</f>
        <v>0</v>
      </c>
      <c r="W9" s="36">
        <v>2.1945525390022902</v>
      </c>
      <c r="X9" s="36">
        <v>14.09841205265</v>
      </c>
      <c r="Y9" s="36">
        <v>0</v>
      </c>
      <c r="Z9" s="36">
        <v>0</v>
      </c>
      <c r="AA9" s="36">
        <v>206.64872200260001</v>
      </c>
      <c r="AB9" s="36">
        <v>0</v>
      </c>
      <c r="AC9" s="36">
        <v>0</v>
      </c>
      <c r="AD9" s="36">
        <v>3.7407022019034598E-13</v>
      </c>
      <c r="AE9" s="36">
        <v>0</v>
      </c>
      <c r="AF9" s="36">
        <v>4.9399700466945902</v>
      </c>
    </row>
    <row r="10" spans="1:32" ht="11.25" customHeight="1" x14ac:dyDescent="0.25">
      <c r="A10" s="112" t="s">
        <v>41</v>
      </c>
      <c r="B10" s="112" t="s">
        <v>92</v>
      </c>
      <c r="C10" s="112" t="s">
        <v>25</v>
      </c>
      <c r="D10" s="112" t="s">
        <v>25</v>
      </c>
      <c r="E10" s="112" t="s">
        <v>25</v>
      </c>
      <c r="F10" s="112" t="s">
        <v>25</v>
      </c>
      <c r="G10" s="38" t="s">
        <v>94</v>
      </c>
      <c r="H10" s="38" t="s">
        <v>93</v>
      </c>
      <c r="I10" s="38">
        <f>'MERCADO TE'!$U$7</f>
        <v>30551.196</v>
      </c>
      <c r="J10" s="15"/>
      <c r="L10" s="36">
        <f>('TE BE'!$L$10+'TE BF'!$L$10+'TE CVA'!$L$10)*1</f>
        <v>2.6213057905810007</v>
      </c>
      <c r="M10" s="36">
        <f>('TE BE'!$M$10+'TE BF'!$M$10+'TE CVA'!$M$10)*1</f>
        <v>21.535740967520635</v>
      </c>
      <c r="N10" s="36">
        <f>('TE BE'!$N$10+'TE BF'!$N$10+'TE CVA'!$N$10)*1</f>
        <v>0</v>
      </c>
      <c r="O10" s="36">
        <f>('TE BE'!$O$10+'TE BF'!$O$10+'TE CVA'!$O$10)*1</f>
        <v>3.7821930841515847</v>
      </c>
      <c r="P10" s="36">
        <f>('TE BE'!$Q$10+'TE BF'!$Q$10+'TE CVA'!$Q$10)*1</f>
        <v>364.64139260470222</v>
      </c>
      <c r="Q10" s="36">
        <f>('TE BE'!$S$10+'TE BF'!$S$10+'TE CVA'!$S$10)*1</f>
        <v>0</v>
      </c>
      <c r="R10" s="36">
        <f>('TE BE'!$T$10+'TE BF'!$T$10+'TE CVA'!$T$10)*1</f>
        <v>0</v>
      </c>
      <c r="S10" s="36">
        <f>('TE BE'!$U$10+'TE BF'!$U$10+'TE CVA'!$U$10)*1</f>
        <v>3.8680550024625049E-13</v>
      </c>
      <c r="T10" s="36">
        <f>('TE BE'!$W$10+'TE BF'!$W$10+'TE CVA'!$W$10)*1</f>
        <v>-36.720930315477496</v>
      </c>
      <c r="U10" s="36">
        <f>('TE BE'!$Y$10+'TE BF'!$Y$10+'TE CVA'!$Y$10)*1</f>
        <v>5.6904320526370293</v>
      </c>
      <c r="W10" s="36">
        <v>2.1945525390022902</v>
      </c>
      <c r="X10" s="36">
        <v>14.09841205265</v>
      </c>
      <c r="Y10" s="36">
        <v>0</v>
      </c>
      <c r="Z10" s="36">
        <v>0</v>
      </c>
      <c r="AA10" s="36">
        <v>342.28581598193199</v>
      </c>
      <c r="AB10" s="36">
        <v>0</v>
      </c>
      <c r="AC10" s="36">
        <v>0</v>
      </c>
      <c r="AD10" s="36">
        <v>3.7407022019034598E-13</v>
      </c>
      <c r="AE10" s="36">
        <v>-0.23588810734718599</v>
      </c>
      <c r="AF10" s="36">
        <v>4.9399700466945902</v>
      </c>
    </row>
    <row r="11" spans="1:32" ht="11.25" customHeight="1" x14ac:dyDescent="0.25">
      <c r="A11" s="112"/>
      <c r="B11" s="112"/>
      <c r="C11" s="112"/>
      <c r="D11" s="112"/>
      <c r="E11" s="112"/>
      <c r="F11" s="112"/>
      <c r="G11" s="38" t="s">
        <v>95</v>
      </c>
      <c r="H11" s="38" t="s">
        <v>93</v>
      </c>
      <c r="I11" s="38">
        <f>'MERCADO TE'!$U$8</f>
        <v>446699.41099999991</v>
      </c>
      <c r="J11" s="15"/>
      <c r="L11" s="36">
        <f>('TE BE'!$L$11+'TE BF'!$L$11+'TE CVA'!$L$11)*1</f>
        <v>2.6213057905810007</v>
      </c>
      <c r="M11" s="36">
        <f>('TE BE'!$M$11+'TE BF'!$M$11+'TE CVA'!$M$11)*1</f>
        <v>21.535740967520635</v>
      </c>
      <c r="N11" s="36">
        <f>('TE BE'!$N$11+'TE BF'!$N$11+'TE CVA'!$N$11)*1</f>
        <v>0</v>
      </c>
      <c r="O11" s="36">
        <f>('TE BE'!$O$11+'TE BF'!$O$11+'TE CVA'!$O$11)*1</f>
        <v>3.7821930841515847</v>
      </c>
      <c r="P11" s="36">
        <f>('TE BE'!$Q$11+'TE BF'!$Q$11+'TE CVA'!$Q$11)*1</f>
        <v>212.00080965389665</v>
      </c>
      <c r="Q11" s="36">
        <f>('TE BE'!$S$11+'TE BF'!$S$11+'TE CVA'!$S$11)*1</f>
        <v>0</v>
      </c>
      <c r="R11" s="36">
        <f>('TE BE'!$T$11+'TE BF'!$T$11+'TE CVA'!$T$11)*1</f>
        <v>0</v>
      </c>
      <c r="S11" s="36">
        <f>('TE BE'!$U$11+'TE BF'!$U$11+'TE CVA'!$U$11)*1</f>
        <v>3.8680550024625049E-13</v>
      </c>
      <c r="T11" s="36">
        <f>('TE BE'!$W$11+'TE BF'!$W$11+'TE CVA'!$W$11)*1</f>
        <v>-22.484863428340269</v>
      </c>
      <c r="U11" s="36">
        <f>('TE BE'!$Y$11+'TE BF'!$Y$11+'TE CVA'!$Y$11)*1</f>
        <v>5.6904320526370293</v>
      </c>
      <c r="W11" s="36">
        <v>2.1945525390022902</v>
      </c>
      <c r="X11" s="36">
        <v>14.09841205265</v>
      </c>
      <c r="Y11" s="36">
        <v>0</v>
      </c>
      <c r="Z11" s="36">
        <v>0</v>
      </c>
      <c r="AA11" s="36">
        <v>199.003381384844</v>
      </c>
      <c r="AB11" s="36">
        <v>0</v>
      </c>
      <c r="AC11" s="36">
        <v>0</v>
      </c>
      <c r="AD11" s="36">
        <v>3.7407022019034598E-13</v>
      </c>
      <c r="AE11" s="36">
        <v>-0.14279883848672101</v>
      </c>
      <c r="AF11" s="36">
        <v>4.9399700466945902</v>
      </c>
    </row>
    <row r="12" spans="1:32" ht="11.25" customHeight="1" x14ac:dyDescent="0.25">
      <c r="A12" s="112"/>
      <c r="B12" s="39" t="s">
        <v>96</v>
      </c>
      <c r="C12" s="39" t="s">
        <v>25</v>
      </c>
      <c r="D12" s="39" t="s">
        <v>25</v>
      </c>
      <c r="E12" s="39" t="s">
        <v>97</v>
      </c>
      <c r="F12" s="39" t="s">
        <v>25</v>
      </c>
      <c r="G12" s="38" t="s">
        <v>98</v>
      </c>
      <c r="H12" s="38" t="s">
        <v>93</v>
      </c>
      <c r="I12" s="38">
        <f>'MERCADO TE'!$U$9</f>
        <v>-942.74</v>
      </c>
      <c r="J12" s="15"/>
      <c r="L12" s="36">
        <f>('TE BE'!$L$12+'TE BF'!$L$12+'TE CVA'!$L$12)*1</f>
        <v>2.6213057905810007</v>
      </c>
      <c r="M12" s="36">
        <f>('TE BE'!$M$12+'TE BF'!$M$12+'TE CVA'!$M$12)*1</f>
        <v>21.535740967520635</v>
      </c>
      <c r="N12" s="36">
        <f>('TE BE'!$N$12+'TE BF'!$N$12+'TE CVA'!$N$12)*1</f>
        <v>0</v>
      </c>
      <c r="O12" s="36">
        <f>('TE BE'!$O$12+'TE BF'!$O$12+'TE CVA'!$O$12)*1</f>
        <v>3.7821930841515847</v>
      </c>
      <c r="P12" s="36">
        <f>('TE BE'!$Q$12+'TE BF'!$Q$12+'TE CVA'!$Q$12)*1</f>
        <v>219.94807910829678</v>
      </c>
      <c r="Q12" s="36">
        <f>('TE BE'!$S$12+'TE BF'!$S$12+'TE CVA'!$S$12)*1</f>
        <v>0</v>
      </c>
      <c r="R12" s="36">
        <f>('TE BE'!$T$12+'TE BF'!$T$12+'TE CVA'!$T$12)*1</f>
        <v>0</v>
      </c>
      <c r="S12" s="36">
        <f>('TE BE'!$U$12+'TE BF'!$U$12+'TE CVA'!$U$12)*1</f>
        <v>3.8680550024625049E-13</v>
      </c>
      <c r="T12" s="36">
        <f>('TE BE'!$W$12+'TE BF'!$W$12+'TE CVA'!$W$12)*1</f>
        <v>0</v>
      </c>
      <c r="U12" s="36">
        <f>('TE BE'!$Y$12+'TE BF'!$Y$12+'TE CVA'!$Y$12)*1</f>
        <v>5.6904320526370293</v>
      </c>
      <c r="W12" s="36">
        <v>2.1945525390022902</v>
      </c>
      <c r="X12" s="36">
        <v>14.09841205265</v>
      </c>
      <c r="Y12" s="36">
        <v>0</v>
      </c>
      <c r="Z12" s="36">
        <v>0</v>
      </c>
      <c r="AA12" s="36">
        <v>206.64872200260001</v>
      </c>
      <c r="AB12" s="36">
        <v>0</v>
      </c>
      <c r="AC12" s="36">
        <v>0</v>
      </c>
      <c r="AD12" s="36">
        <v>3.7407022019034598E-13</v>
      </c>
      <c r="AE12" s="36">
        <v>0</v>
      </c>
      <c r="AF12" s="36">
        <v>4.9399700466945902</v>
      </c>
    </row>
    <row r="13" spans="1:32" ht="11.25" customHeight="1" x14ac:dyDescent="0.25">
      <c r="A13" s="112"/>
      <c r="B13" s="39" t="s">
        <v>103</v>
      </c>
      <c r="C13" s="39" t="s">
        <v>25</v>
      </c>
      <c r="D13" s="39" t="s">
        <v>25</v>
      </c>
      <c r="E13" s="39" t="s">
        <v>25</v>
      </c>
      <c r="F13" s="39" t="s">
        <v>25</v>
      </c>
      <c r="G13" s="38" t="s">
        <v>98</v>
      </c>
      <c r="H13" s="38" t="s">
        <v>93</v>
      </c>
      <c r="I13" s="38">
        <f>'MERCADO TE'!$U$10</f>
        <v>0</v>
      </c>
      <c r="J13" s="15"/>
      <c r="L13" s="36">
        <f>('TE BE'!$L$13+'TE BF'!$L$13+'TE CVA'!$L$13)*1</f>
        <v>2.6213057905810007</v>
      </c>
      <c r="M13" s="36">
        <f>('TE BE'!$M$13+'TE BF'!$M$13+'TE CVA'!$M$13)*1</f>
        <v>21.535740967520635</v>
      </c>
      <c r="N13" s="36">
        <f>('TE BE'!$N$13+'TE BF'!$N$13+'TE CVA'!$N$13)*1</f>
        <v>0</v>
      </c>
      <c r="O13" s="36">
        <f>('TE BE'!$O$13+'TE BF'!$O$13+'TE CVA'!$O$13)*1</f>
        <v>3.7821930841515847</v>
      </c>
      <c r="P13" s="36">
        <f>('TE BE'!$Q$13+'TE BF'!$Q$13+'TE CVA'!$Q$13)*1</f>
        <v>224.72085823313046</v>
      </c>
      <c r="Q13" s="36">
        <f>('TE BE'!$S$13+'TE BF'!$S$13+'TE CVA'!$S$13)*1</f>
        <v>0</v>
      </c>
      <c r="R13" s="36">
        <f>('TE BE'!$T$13+'TE BF'!$T$13+'TE CVA'!$T$13)*1</f>
        <v>0</v>
      </c>
      <c r="S13" s="36">
        <f>('TE BE'!$U$13+'TE BF'!$U$13+'TE CVA'!$U$13)*1</f>
        <v>3.8680550024625049E-13</v>
      </c>
      <c r="T13" s="36">
        <f>('TE BE'!$W$13+'TE BF'!$W$13+'TE CVA'!$W$13)*1</f>
        <v>-23.671202335601706</v>
      </c>
      <c r="U13" s="36">
        <f>('TE BE'!$Y$13+'TE BF'!$Y$13+'TE CVA'!$Y$13)*1</f>
        <v>5.6904320526370293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</row>
    <row r="14" spans="1:32" ht="11.25" customHeight="1" x14ac:dyDescent="0.25">
      <c r="A14" s="112"/>
      <c r="B14" s="39" t="s">
        <v>102</v>
      </c>
      <c r="C14" s="39" t="s">
        <v>25</v>
      </c>
      <c r="D14" s="39" t="s">
        <v>25</v>
      </c>
      <c r="E14" s="39" t="s">
        <v>97</v>
      </c>
      <c r="F14" s="39" t="s">
        <v>25</v>
      </c>
      <c r="G14" s="38" t="s">
        <v>98</v>
      </c>
      <c r="H14" s="38" t="s">
        <v>93</v>
      </c>
      <c r="I14" s="38">
        <f>'MERCADO TE'!$U$11</f>
        <v>12597.896999999997</v>
      </c>
      <c r="J14" s="15"/>
      <c r="L14" s="36">
        <f>('TE BE'!$L$14+'TE BF'!$L$14+'TE CVA'!$L$14)*1</f>
        <v>2.6213057905810007</v>
      </c>
      <c r="M14" s="36">
        <f>('TE BE'!$M$14+'TE BF'!$M$14+'TE CVA'!$M$14)*1</f>
        <v>21.535740967520635</v>
      </c>
      <c r="N14" s="36">
        <f>('TE BE'!$N$14+'TE BF'!$N$14+'TE CVA'!$N$14)*1</f>
        <v>0</v>
      </c>
      <c r="O14" s="36">
        <f>('TE BE'!$O$14+'TE BF'!$O$14+'TE CVA'!$O$14)*1</f>
        <v>3.7821930841515847</v>
      </c>
      <c r="P14" s="36">
        <f>('TE BE'!$Q$14+'TE BF'!$Q$14+'TE CVA'!$Q$14)*1</f>
        <v>219.94807910829678</v>
      </c>
      <c r="Q14" s="36">
        <f>('TE BE'!$S$14+'TE BF'!$S$14+'TE CVA'!$S$14)*1</f>
        <v>0</v>
      </c>
      <c r="R14" s="36">
        <f>('TE BE'!$T$14+'TE BF'!$T$14+'TE CVA'!$T$14)*1</f>
        <v>0</v>
      </c>
      <c r="S14" s="36">
        <f>('TE BE'!$U$14+'TE BF'!$U$14+'TE CVA'!$U$14)*1</f>
        <v>3.8680550024625049E-13</v>
      </c>
      <c r="T14" s="36">
        <f>('TE BE'!$W$14+'TE BF'!$W$14+'TE CVA'!$W$14)*1</f>
        <v>0</v>
      </c>
      <c r="U14" s="36">
        <f>('TE BE'!$Y$14+'TE BF'!$Y$14+'TE CVA'!$Y$14)*1</f>
        <v>5.6904320526370293</v>
      </c>
      <c r="W14" s="36">
        <v>2.1945525390022902</v>
      </c>
      <c r="X14" s="36">
        <v>14.09841205265</v>
      </c>
      <c r="Y14" s="36">
        <v>0</v>
      </c>
      <c r="Z14" s="36">
        <v>0</v>
      </c>
      <c r="AA14" s="36">
        <v>206.64872200260001</v>
      </c>
      <c r="AB14" s="36">
        <v>0</v>
      </c>
      <c r="AC14" s="36">
        <v>0</v>
      </c>
      <c r="AD14" s="36">
        <v>3.7407022019034598E-13</v>
      </c>
      <c r="AE14" s="36">
        <v>0</v>
      </c>
      <c r="AF14" s="36">
        <v>4.9399700466945902</v>
      </c>
    </row>
    <row r="15" spans="1:32" ht="11.25" customHeight="1" x14ac:dyDescent="0.25">
      <c r="A15" s="112"/>
      <c r="B15" s="39" t="s">
        <v>96</v>
      </c>
      <c r="C15" s="39" t="s">
        <v>25</v>
      </c>
      <c r="D15" s="39" t="s">
        <v>25</v>
      </c>
      <c r="E15" s="39" t="s">
        <v>25</v>
      </c>
      <c r="F15" s="39" t="s">
        <v>25</v>
      </c>
      <c r="G15" s="38" t="s">
        <v>98</v>
      </c>
      <c r="H15" s="38" t="s">
        <v>93</v>
      </c>
      <c r="I15" s="38">
        <f>'MERCADO TE'!$U$12</f>
        <v>0</v>
      </c>
      <c r="J15" s="15"/>
      <c r="L15" s="36">
        <f>('TE BE'!$L$15+'TE BF'!$L$15+'TE CVA'!$L$15)*1</f>
        <v>2.6213057905810007</v>
      </c>
      <c r="M15" s="36">
        <f>('TE BE'!$M$15+'TE BF'!$M$15+'TE CVA'!$M$15)*1</f>
        <v>0</v>
      </c>
      <c r="N15" s="36">
        <f>('TE BE'!$N$15+'TE BF'!$N$15+'TE CVA'!$N$15)*1</f>
        <v>0</v>
      </c>
      <c r="O15" s="36">
        <f>('TE BE'!$O$15+'TE BF'!$O$15+'TE CVA'!$O$15)*1</f>
        <v>3.7821930841515847</v>
      </c>
      <c r="P15" s="36">
        <f>('TE BE'!$Q$15+'TE BF'!$Q$15+'TE CVA'!$Q$15)*1</f>
        <v>219.94807910829678</v>
      </c>
      <c r="Q15" s="36">
        <f>('TE BE'!$S$15+'TE BF'!$S$15+'TE CVA'!$S$15)*1</f>
        <v>0</v>
      </c>
      <c r="R15" s="36">
        <f>('TE BE'!$T$15+'TE BF'!$T$15+'TE CVA'!$T$15)*1</f>
        <v>0</v>
      </c>
      <c r="S15" s="36">
        <f>('TE BE'!$U$15+'TE BF'!$U$15+'TE CVA'!$U$15)*1</f>
        <v>3.8680550024625049E-13</v>
      </c>
      <c r="T15" s="36">
        <f>('TE BE'!$W$15+'TE BF'!$W$15+'TE CVA'!$W$15)*1</f>
        <v>0</v>
      </c>
      <c r="U15" s="36">
        <f>('TE BE'!$Y$15+'TE BF'!$Y$15+'TE CVA'!$Y$15)*1</f>
        <v>0</v>
      </c>
      <c r="W15" s="36">
        <v>2.1945525390022902</v>
      </c>
      <c r="X15" s="36">
        <v>14.09841205265</v>
      </c>
      <c r="Y15" s="36">
        <v>0</v>
      </c>
      <c r="Z15" s="36">
        <v>0</v>
      </c>
      <c r="AA15" s="36">
        <v>206.64872200260001</v>
      </c>
      <c r="AB15" s="36">
        <v>0</v>
      </c>
      <c r="AC15" s="36">
        <v>0</v>
      </c>
      <c r="AD15" s="36">
        <v>3.7407022019034598E-13</v>
      </c>
      <c r="AE15" s="36">
        <v>0</v>
      </c>
      <c r="AF15" s="36">
        <v>4.9399700466945902</v>
      </c>
    </row>
    <row r="16" spans="1:32" ht="11.25" customHeight="1" x14ac:dyDescent="0.25">
      <c r="A16" s="112" t="s">
        <v>22</v>
      </c>
      <c r="B16" s="112" t="s">
        <v>92</v>
      </c>
      <c r="C16" s="112" t="s">
        <v>24</v>
      </c>
      <c r="D16" s="112" t="s">
        <v>24</v>
      </c>
      <c r="E16" s="112" t="s">
        <v>25</v>
      </c>
      <c r="F16" s="112" t="s">
        <v>25</v>
      </c>
      <c r="G16" s="38" t="s">
        <v>94</v>
      </c>
      <c r="H16" s="38" t="s">
        <v>93</v>
      </c>
      <c r="I16" s="38">
        <f>'MERCADO TE'!$U$13</f>
        <v>118.41800000000002</v>
      </c>
      <c r="J16" s="15"/>
      <c r="L16" s="36">
        <f>('TE BE'!$L$16+'TE BF'!$L$16+'TE CVA'!$L$16)*1</f>
        <v>2.6213057905810007</v>
      </c>
      <c r="M16" s="36">
        <f>('TE BE'!$M$16+'TE BF'!$M$16+'TE CVA'!$M$16)*1</f>
        <v>21.535740967520635</v>
      </c>
      <c r="N16" s="36">
        <f>('TE BE'!$N$16+'TE BF'!$N$16+'TE CVA'!$N$16)*1</f>
        <v>0</v>
      </c>
      <c r="O16" s="36">
        <f>('TE BE'!$O$16+'TE BF'!$O$16+'TE CVA'!$O$16)*1</f>
        <v>3.7821930841515847</v>
      </c>
      <c r="P16" s="36">
        <f>('TE BE'!$Q$16+'TE BF'!$Q$16+'TE CVA'!$Q$16)*1</f>
        <v>364.64139260470222</v>
      </c>
      <c r="Q16" s="36">
        <f>('TE BE'!$S$16+'TE BF'!$S$16+'TE CVA'!$S$16)*1</f>
        <v>0</v>
      </c>
      <c r="R16" s="36">
        <f>('TE BE'!$T$16+'TE BF'!$T$16+'TE CVA'!$T$16)*1</f>
        <v>0</v>
      </c>
      <c r="S16" s="36">
        <f>('TE BE'!$U$16+'TE BF'!$U$16+'TE CVA'!$U$16)*1</f>
        <v>3.8680550024625049E-13</v>
      </c>
      <c r="T16" s="36">
        <f>('TE BE'!$W$16+'TE BF'!$W$16+'TE CVA'!$W$16)*1</f>
        <v>-36.720930315477496</v>
      </c>
      <c r="U16" s="36">
        <f>('TE BE'!$Y$16+'TE BF'!$Y$16+'TE CVA'!$Y$16)*1</f>
        <v>5.6904320526370293</v>
      </c>
      <c r="W16" s="36">
        <v>2.1945525390022902</v>
      </c>
      <c r="X16" s="36">
        <v>14.09841205265</v>
      </c>
      <c r="Y16" s="36">
        <v>0</v>
      </c>
      <c r="Z16" s="36">
        <v>0</v>
      </c>
      <c r="AA16" s="36">
        <v>342.28581598193199</v>
      </c>
      <c r="AB16" s="36">
        <v>0</v>
      </c>
      <c r="AC16" s="36">
        <v>0</v>
      </c>
      <c r="AD16" s="36">
        <v>3.7407022019034598E-13</v>
      </c>
      <c r="AE16" s="36">
        <v>-0.23588810734718599</v>
      </c>
      <c r="AF16" s="36">
        <v>4.9399700466945902</v>
      </c>
    </row>
    <row r="17" spans="1:32" ht="11.25" customHeight="1" x14ac:dyDescent="0.25">
      <c r="A17" s="112"/>
      <c r="B17" s="112"/>
      <c r="C17" s="112"/>
      <c r="D17" s="112"/>
      <c r="E17" s="112"/>
      <c r="F17" s="112"/>
      <c r="G17" s="38" t="s">
        <v>107</v>
      </c>
      <c r="H17" s="38" t="s">
        <v>93</v>
      </c>
      <c r="I17" s="38">
        <f>'MERCADO TE'!$U$14</f>
        <v>76.346000000000004</v>
      </c>
      <c r="J17" s="15"/>
      <c r="L17" s="36">
        <f>('TE BE'!$L$17+'TE BF'!$L$17+'TE CVA'!$L$17)*1</f>
        <v>2.6213057905810007</v>
      </c>
      <c r="M17" s="36">
        <f>('TE BE'!$M$17+'TE BF'!$M$17+'TE CVA'!$M$17)*1</f>
        <v>21.535740967520635</v>
      </c>
      <c r="N17" s="36">
        <f>('TE BE'!$N$17+'TE BF'!$N$17+'TE CVA'!$N$17)*1</f>
        <v>0</v>
      </c>
      <c r="O17" s="36">
        <f>('TE BE'!$O$17+'TE BF'!$O$17+'TE CVA'!$O$17)*1</f>
        <v>3.7821930841515847</v>
      </c>
      <c r="P17" s="36">
        <f>('TE BE'!$Q$17+'TE BF'!$Q$17+'TE CVA'!$Q$17)*1</f>
        <v>212.00080965389665</v>
      </c>
      <c r="Q17" s="36">
        <f>('TE BE'!$S$17+'TE BF'!$S$17+'TE CVA'!$S$17)*1</f>
        <v>0</v>
      </c>
      <c r="R17" s="36">
        <f>('TE BE'!$T$17+'TE BF'!$T$17+'TE CVA'!$T$17)*1</f>
        <v>0</v>
      </c>
      <c r="S17" s="36">
        <f>('TE BE'!$U$17+'TE BF'!$U$17+'TE CVA'!$U$17)*1</f>
        <v>3.8680550024625049E-13</v>
      </c>
      <c r="T17" s="36">
        <f>('TE BE'!$W$17+'TE BF'!$W$17+'TE CVA'!$W$17)*1</f>
        <v>-22.484863428340269</v>
      </c>
      <c r="U17" s="36">
        <f>('TE BE'!$Y$17+'TE BF'!$Y$17+'TE CVA'!$Y$17)*1</f>
        <v>5.6904320526370293</v>
      </c>
      <c r="W17" s="36">
        <v>2.1945525390022902</v>
      </c>
      <c r="X17" s="36">
        <v>14.09841205265</v>
      </c>
      <c r="Y17" s="36">
        <v>0</v>
      </c>
      <c r="Z17" s="36">
        <v>0</v>
      </c>
      <c r="AA17" s="36">
        <v>199.003381384844</v>
      </c>
      <c r="AB17" s="36">
        <v>0</v>
      </c>
      <c r="AC17" s="36">
        <v>0</v>
      </c>
      <c r="AD17" s="36">
        <v>3.7407022019034598E-13</v>
      </c>
      <c r="AE17" s="36">
        <v>-0.14279883848672101</v>
      </c>
      <c r="AF17" s="36">
        <v>4.9399700466945902</v>
      </c>
    </row>
    <row r="18" spans="1:32" ht="11.25" customHeight="1" x14ac:dyDescent="0.25">
      <c r="A18" s="112"/>
      <c r="B18" s="112"/>
      <c r="C18" s="112"/>
      <c r="D18" s="112"/>
      <c r="E18" s="112"/>
      <c r="F18" s="112"/>
      <c r="G18" s="38" t="s">
        <v>95</v>
      </c>
      <c r="H18" s="38" t="s">
        <v>93</v>
      </c>
      <c r="I18" s="38">
        <f>'MERCADO TE'!$U$15</f>
        <v>1353.7170000000001</v>
      </c>
      <c r="J18" s="15"/>
      <c r="L18" s="36">
        <f>('TE BE'!$L$18+'TE BF'!$L$18+'TE CVA'!$L$18)*1</f>
        <v>2.6213057905810007</v>
      </c>
      <c r="M18" s="36">
        <f>('TE BE'!$M$18+'TE BF'!$M$18+'TE CVA'!$M$18)*1</f>
        <v>21.535740967520635</v>
      </c>
      <c r="N18" s="36">
        <f>('TE BE'!$N$18+'TE BF'!$N$18+'TE CVA'!$N$18)*1</f>
        <v>0</v>
      </c>
      <c r="O18" s="36">
        <f>('TE BE'!$O$18+'TE BF'!$O$18+'TE CVA'!$O$18)*1</f>
        <v>3.7821930841515847</v>
      </c>
      <c r="P18" s="36">
        <f>('TE BE'!$Q$18+'TE BF'!$Q$18+'TE CVA'!$Q$18)*1</f>
        <v>212.00080965389665</v>
      </c>
      <c r="Q18" s="36">
        <f>('TE BE'!$S$18+'TE BF'!$S$18+'TE CVA'!$S$18)*1</f>
        <v>0</v>
      </c>
      <c r="R18" s="36">
        <f>('TE BE'!$T$18+'TE BF'!$T$18+'TE CVA'!$T$18)*1</f>
        <v>0</v>
      </c>
      <c r="S18" s="36">
        <f>('TE BE'!$U$18+'TE BF'!$U$18+'TE CVA'!$U$18)*1</f>
        <v>3.8680550024625049E-13</v>
      </c>
      <c r="T18" s="36">
        <f>('TE BE'!$W$18+'TE BF'!$W$18+'TE CVA'!$W$18)*1</f>
        <v>-22.484863428340269</v>
      </c>
      <c r="U18" s="36">
        <f>('TE BE'!$Y$18+'TE BF'!$Y$18+'TE CVA'!$Y$18)*1</f>
        <v>5.6904320526370293</v>
      </c>
      <c r="W18" s="36">
        <v>2.1945525390022902</v>
      </c>
      <c r="X18" s="36">
        <v>14.09841205265</v>
      </c>
      <c r="Y18" s="36">
        <v>0</v>
      </c>
      <c r="Z18" s="36">
        <v>0</v>
      </c>
      <c r="AA18" s="36">
        <v>199.003381384844</v>
      </c>
      <c r="AB18" s="36">
        <v>0</v>
      </c>
      <c r="AC18" s="36">
        <v>0</v>
      </c>
      <c r="AD18" s="36">
        <v>3.7407022019034598E-13</v>
      </c>
      <c r="AE18" s="36">
        <v>-0.14279883848672101</v>
      </c>
      <c r="AF18" s="36">
        <v>4.9399700466945902</v>
      </c>
    </row>
    <row r="19" spans="1:32" ht="11.25" customHeight="1" x14ac:dyDescent="0.25">
      <c r="A19" s="112"/>
      <c r="B19" s="112" t="s">
        <v>103</v>
      </c>
      <c r="C19" s="112" t="s">
        <v>24</v>
      </c>
      <c r="D19" s="39" t="s">
        <v>24</v>
      </c>
      <c r="E19" s="39" t="s">
        <v>25</v>
      </c>
      <c r="F19" s="39" t="s">
        <v>25</v>
      </c>
      <c r="G19" s="38" t="s">
        <v>98</v>
      </c>
      <c r="H19" s="38" t="s">
        <v>93</v>
      </c>
      <c r="I19" s="38">
        <f>'MERCADO TE'!$U$16</f>
        <v>902304.86599999992</v>
      </c>
      <c r="J19" s="15"/>
      <c r="L19" s="36">
        <f>('TE BE'!$L$19+'TE BF'!$L$19+'TE CVA'!$L$19)*1</f>
        <v>2.6213057905810007</v>
      </c>
      <c r="M19" s="36">
        <f>('TE BE'!$M$19+'TE BF'!$M$19+'TE CVA'!$M$19)*1</f>
        <v>21.535740967520635</v>
      </c>
      <c r="N19" s="36">
        <f>('TE BE'!$N$19+'TE BF'!$N$19+'TE CVA'!$N$19)*1</f>
        <v>0</v>
      </c>
      <c r="O19" s="36">
        <f>('TE BE'!$O$19+'TE BF'!$O$19+'TE CVA'!$O$19)*1</f>
        <v>3.7821930841515847</v>
      </c>
      <c r="P19" s="36">
        <f>('TE BE'!$Q$19+'TE BF'!$Q$19+'TE CVA'!$Q$19)*1</f>
        <v>224.72085823313046</v>
      </c>
      <c r="Q19" s="36">
        <f>('TE BE'!$S$19+'TE BF'!$S$19+'TE CVA'!$S$19)*1</f>
        <v>0</v>
      </c>
      <c r="R19" s="36">
        <f>('TE BE'!$T$19+'TE BF'!$T$19+'TE CVA'!$T$19)*1</f>
        <v>0</v>
      </c>
      <c r="S19" s="36">
        <f>('TE BE'!$U$19+'TE BF'!$U$19+'TE CVA'!$U$19)*1</f>
        <v>3.8680550024625049E-13</v>
      </c>
      <c r="T19" s="36">
        <f>('TE BE'!$W$19+'TE BF'!$W$19+'TE CVA'!$W$19)*1</f>
        <v>-23.671202335601706</v>
      </c>
      <c r="U19" s="36">
        <f>('TE BE'!$Y$19+'TE BF'!$Y$19+'TE CVA'!$Y$19)*1</f>
        <v>5.6904320526370293</v>
      </c>
      <c r="W19" s="36">
        <v>2.1945525390022902</v>
      </c>
      <c r="X19" s="36">
        <v>14.09841205265</v>
      </c>
      <c r="Y19" s="36">
        <v>0</v>
      </c>
      <c r="Z19" s="36">
        <v>0</v>
      </c>
      <c r="AA19" s="36">
        <v>210.94358426793499</v>
      </c>
      <c r="AB19" s="36">
        <v>0</v>
      </c>
      <c r="AC19" s="36">
        <v>0</v>
      </c>
      <c r="AD19" s="36">
        <v>3.7407022019034598E-13</v>
      </c>
      <c r="AE19" s="36">
        <v>-0.15055627755842599</v>
      </c>
      <c r="AF19" s="36">
        <v>4.9399700466945902</v>
      </c>
    </row>
    <row r="20" spans="1:32" ht="11.25" customHeight="1" x14ac:dyDescent="0.25">
      <c r="A20" s="112"/>
      <c r="B20" s="112"/>
      <c r="C20" s="112"/>
      <c r="D20" s="39" t="s">
        <v>29</v>
      </c>
      <c r="E20" s="39" t="s">
        <v>25</v>
      </c>
      <c r="F20" s="39" t="s">
        <v>25</v>
      </c>
      <c r="G20" s="38" t="s">
        <v>98</v>
      </c>
      <c r="H20" s="38" t="s">
        <v>93</v>
      </c>
      <c r="I20" s="38">
        <f>'MERCADO TE'!$U$17</f>
        <v>83676.410999999993</v>
      </c>
      <c r="J20" s="15"/>
      <c r="L20" s="36">
        <f>('TE BE'!$L$20+'TE BF'!$L$20+'TE CVA'!$L$20)*(1 - 0.65)</f>
        <v>0.91745702670335016</v>
      </c>
      <c r="M20" s="36">
        <f>('TE BE'!$M$20+'TE BF'!$M$20+'TE CVA'!$M$20)*(1 - 0.65)</f>
        <v>7.5375093386322218</v>
      </c>
      <c r="N20" s="36">
        <f>('TE BE'!$N$20+'TE BF'!$N$20+'TE CVA'!$N$20)*(1 - 0.65)</f>
        <v>0</v>
      </c>
      <c r="O20" s="36">
        <f>('TE BE'!$O$20+'TE BF'!$O$20+'TE CVA'!$O$20)*(1 - 0.65)</f>
        <v>1.3237675794530546</v>
      </c>
      <c r="P20" s="36">
        <f>('TE BE'!$Q$20+'TE BF'!$Q$20+'TE CVA'!$Q$20)*(1 - 0.65)</f>
        <v>78.652300381595651</v>
      </c>
      <c r="Q20" s="36">
        <f>('TE BE'!$S$20+'TE BF'!$S$20+'TE CVA'!$S$20)*(1 - 0.65)</f>
        <v>0</v>
      </c>
      <c r="R20" s="36">
        <f>('TE BE'!$T$20+'TE BF'!$T$20+'TE CVA'!$T$20)*(1 - 0.65)</f>
        <v>0</v>
      </c>
      <c r="S20" s="36">
        <f>('TE BE'!$U$20+'TE BF'!$U$20+'TE CVA'!$U$20)*(1 - 0.65)</f>
        <v>1.3538192508618766E-13</v>
      </c>
      <c r="T20" s="36">
        <f>('TE BE'!$W$20+'TE BF'!$W$20+'TE CVA'!$W$20)*(1 - 0.65)</f>
        <v>-8.2849208174605966</v>
      </c>
      <c r="U20" s="36">
        <f>('TE BE'!$Y$20+'TE BF'!$Y$20+'TE CVA'!$Y$20)*(1 - 0.65)</f>
        <v>1.9916512184229602</v>
      </c>
      <c r="W20" s="36">
        <v>0.76809338865080001</v>
      </c>
      <c r="X20" s="36">
        <v>4.9344442184275099</v>
      </c>
      <c r="Y20" s="36">
        <v>0</v>
      </c>
      <c r="Z20" s="36">
        <v>0</v>
      </c>
      <c r="AA20" s="36">
        <v>73.830254493777105</v>
      </c>
      <c r="AB20" s="36">
        <v>0</v>
      </c>
      <c r="AC20" s="36">
        <v>0</v>
      </c>
      <c r="AD20" s="36">
        <v>1.30924577066621E-13</v>
      </c>
      <c r="AE20" s="36">
        <v>-5.26946971454492E-2</v>
      </c>
      <c r="AF20" s="36">
        <v>1.7289895163431099</v>
      </c>
    </row>
    <row r="21" spans="1:32" ht="11.25" customHeight="1" x14ac:dyDescent="0.25">
      <c r="A21" s="112"/>
      <c r="B21" s="112"/>
      <c r="C21" s="112"/>
      <c r="D21" s="39" t="s">
        <v>30</v>
      </c>
      <c r="E21" s="39" t="s">
        <v>25</v>
      </c>
      <c r="F21" s="39" t="s">
        <v>25</v>
      </c>
      <c r="G21" s="38" t="s">
        <v>98</v>
      </c>
      <c r="H21" s="38" t="s">
        <v>93</v>
      </c>
      <c r="I21" s="38">
        <f>'MERCADO TE'!$U$18</f>
        <v>134463.81899999996</v>
      </c>
      <c r="J21" s="15"/>
      <c r="L21" s="36">
        <f>('TE BE'!$L$21+'TE BF'!$L$21+'TE CVA'!$L$21)*(1 - 0.4)</f>
        <v>1.5727834743486004</v>
      </c>
      <c r="M21" s="36">
        <f>('TE BE'!$M$21+'TE BF'!$M$21+'TE CVA'!$M$21)*(1 - 0.4)</f>
        <v>12.921444580512381</v>
      </c>
      <c r="N21" s="36">
        <f>('TE BE'!$N$21+'TE BF'!$N$21+'TE CVA'!$N$21)*(1 - 0.4)</f>
        <v>0</v>
      </c>
      <c r="O21" s="36">
        <f>('TE BE'!$O$21+'TE BF'!$O$21+'TE CVA'!$O$21)*(1 - 0.4)</f>
        <v>2.2693158504909507</v>
      </c>
      <c r="P21" s="36">
        <f>('TE BE'!$Q$21+'TE BF'!$Q$21+'TE CVA'!$Q$21)*(1 - 0.4)</f>
        <v>134.83251493987828</v>
      </c>
      <c r="Q21" s="36">
        <f>('TE BE'!$S$21+'TE BF'!$S$21+'TE CVA'!$S$21)*(1 - 0.4)</f>
        <v>0</v>
      </c>
      <c r="R21" s="36">
        <f>('TE BE'!$T$21+'TE BF'!$T$21+'TE CVA'!$T$21)*(1 - 0.4)</f>
        <v>0</v>
      </c>
      <c r="S21" s="36">
        <f>('TE BE'!$U$21+'TE BF'!$U$21+'TE CVA'!$U$21)*(1 - 0.4)</f>
        <v>2.3208330014775028E-13</v>
      </c>
      <c r="T21" s="36">
        <f>('TE BE'!$W$21+'TE BF'!$W$21+'TE CVA'!$W$21)*(1 - 0.4)</f>
        <v>-14.202721401361023</v>
      </c>
      <c r="U21" s="36">
        <f>('TE BE'!$Y$21+'TE BF'!$Y$21+'TE CVA'!$Y$21)*(1 - 0.4)</f>
        <v>3.4142592315822173</v>
      </c>
      <c r="W21" s="36">
        <v>1.3167315234013699</v>
      </c>
      <c r="X21" s="36">
        <v>8.4590472315900094</v>
      </c>
      <c r="Y21" s="36">
        <v>0</v>
      </c>
      <c r="Z21" s="36">
        <v>0</v>
      </c>
      <c r="AA21" s="36">
        <v>126.566150560761</v>
      </c>
      <c r="AB21" s="36">
        <v>0</v>
      </c>
      <c r="AC21" s="36">
        <v>0</v>
      </c>
      <c r="AD21" s="36">
        <v>2.24442132114208E-13</v>
      </c>
      <c r="AE21" s="36">
        <v>-9.0333766535055801E-2</v>
      </c>
      <c r="AF21" s="36">
        <v>2.9639820280167499</v>
      </c>
    </row>
    <row r="22" spans="1:32" ht="11.25" customHeight="1" x14ac:dyDescent="0.25">
      <c r="A22" s="112"/>
      <c r="B22" s="112"/>
      <c r="C22" s="112"/>
      <c r="D22" s="39" t="s">
        <v>31</v>
      </c>
      <c r="E22" s="39" t="s">
        <v>25</v>
      </c>
      <c r="F22" s="39" t="s">
        <v>25</v>
      </c>
      <c r="G22" s="38" t="s">
        <v>98</v>
      </c>
      <c r="H22" s="38" t="s">
        <v>93</v>
      </c>
      <c r="I22" s="38">
        <f>'MERCADO TE'!$U$19</f>
        <v>58132.979000000007</v>
      </c>
      <c r="J22" s="15"/>
      <c r="L22" s="36">
        <f>('TE BE'!$L$22+'TE BF'!$L$22+'TE CVA'!$L$22)*(1 - 0.1)</f>
        <v>2.3591752115229006</v>
      </c>
      <c r="M22" s="36">
        <f>('TE BE'!$M$22+'TE BF'!$M$22+'TE CVA'!$M$22)*(1 - 0.1)</f>
        <v>19.382166870768572</v>
      </c>
      <c r="N22" s="36">
        <f>('TE BE'!$N$22+'TE BF'!$N$22+'TE CVA'!$N$22)*(1 - 0.1)</f>
        <v>0</v>
      </c>
      <c r="O22" s="36">
        <f>('TE BE'!$O$22+'TE BF'!$O$22+'TE CVA'!$O$22)*(1 - 0.1)</f>
        <v>3.4039737757364263</v>
      </c>
      <c r="P22" s="36">
        <f>('TE BE'!$Q$22+'TE BF'!$Q$22+'TE CVA'!$Q$22)*(1 - 0.1)</f>
        <v>202.24877240981741</v>
      </c>
      <c r="Q22" s="36">
        <f>('TE BE'!$S$22+'TE BF'!$S$22+'TE CVA'!$S$22)*(1 - 0.1)</f>
        <v>0</v>
      </c>
      <c r="R22" s="36">
        <f>('TE BE'!$T$22+'TE BF'!$T$22+'TE CVA'!$T$22)*(1 - 0.1)</f>
        <v>0</v>
      </c>
      <c r="S22" s="36">
        <f>('TE BE'!$U$22+'TE BF'!$U$22+'TE CVA'!$U$22)*(1 - 0.1)</f>
        <v>3.4812495022162545E-13</v>
      </c>
      <c r="T22" s="36">
        <f>('TE BE'!$W$22+'TE BF'!$W$22+'TE CVA'!$W$22)*(1 - 0.1)</f>
        <v>-21.304082102041537</v>
      </c>
      <c r="U22" s="36">
        <f>('TE BE'!$Y$22+'TE BF'!$Y$22+'TE CVA'!$Y$22)*(1 - 0.1)</f>
        <v>5.1213888473733267</v>
      </c>
      <c r="W22" s="36">
        <v>1.9750972851020601</v>
      </c>
      <c r="X22" s="36">
        <v>12.688570847385</v>
      </c>
      <c r="Y22" s="36">
        <v>0</v>
      </c>
      <c r="Z22" s="36">
        <v>0</v>
      </c>
      <c r="AA22" s="36">
        <v>189.84922584114099</v>
      </c>
      <c r="AB22" s="36">
        <v>0</v>
      </c>
      <c r="AC22" s="36">
        <v>0</v>
      </c>
      <c r="AD22" s="36">
        <v>3.3666319817131201E-13</v>
      </c>
      <c r="AE22" s="36">
        <v>-0.135500649802584</v>
      </c>
      <c r="AF22" s="36">
        <v>4.4459730420251304</v>
      </c>
    </row>
    <row r="23" spans="1:32" ht="11.25" customHeight="1" x14ac:dyDescent="0.25">
      <c r="A23" s="112"/>
      <c r="B23" s="112"/>
      <c r="C23" s="112"/>
      <c r="D23" s="39" t="s">
        <v>32</v>
      </c>
      <c r="E23" s="39" t="s">
        <v>25</v>
      </c>
      <c r="F23" s="39" t="s">
        <v>25</v>
      </c>
      <c r="G23" s="38" t="s">
        <v>98</v>
      </c>
      <c r="H23" s="38" t="s">
        <v>93</v>
      </c>
      <c r="I23" s="38">
        <f>'MERCADO TE'!$U$20</f>
        <v>16063.907000000001</v>
      </c>
      <c r="J23" s="15"/>
      <c r="L23" s="36">
        <f>('TE BE'!$L$23+'TE BF'!$L$23+'TE CVA'!$L$23)*1</f>
        <v>2.6213057905810007</v>
      </c>
      <c r="M23" s="36">
        <f>('TE BE'!$M$23+'TE BF'!$M$23+'TE CVA'!$M$23)*1</f>
        <v>21.535740967520635</v>
      </c>
      <c r="N23" s="36">
        <f>('TE BE'!$N$23+'TE BF'!$N$23+'TE CVA'!$N$23)*1</f>
        <v>0</v>
      </c>
      <c r="O23" s="36">
        <f>('TE BE'!$O$23+'TE BF'!$O$23+'TE CVA'!$O$23)*1</f>
        <v>3.7821930841515847</v>
      </c>
      <c r="P23" s="36">
        <f>('TE BE'!$Q$23+'TE BF'!$Q$23+'TE CVA'!$Q$23)*1</f>
        <v>224.72085823313046</v>
      </c>
      <c r="Q23" s="36">
        <f>('TE BE'!$S$23+'TE BF'!$S$23+'TE CVA'!$S$23)*1</f>
        <v>0</v>
      </c>
      <c r="R23" s="36">
        <f>('TE BE'!$T$23+'TE BF'!$T$23+'TE CVA'!$T$23)*1</f>
        <v>0</v>
      </c>
      <c r="S23" s="36">
        <f>('TE BE'!$U$23+'TE BF'!$U$23+'TE CVA'!$U$23)*1</f>
        <v>3.8680550024625049E-13</v>
      </c>
      <c r="T23" s="36">
        <f>('TE BE'!$W$23+'TE BF'!$W$23+'TE CVA'!$W$23)*1</f>
        <v>-23.671202335601706</v>
      </c>
      <c r="U23" s="36">
        <f>('TE BE'!$Y$23+'TE BF'!$Y$23+'TE CVA'!$Y$23)*1</f>
        <v>5.6904320526370293</v>
      </c>
      <c r="W23" s="36">
        <v>2.1945525390022902</v>
      </c>
      <c r="X23" s="36">
        <v>14.09841205265</v>
      </c>
      <c r="Y23" s="36">
        <v>0</v>
      </c>
      <c r="Z23" s="36">
        <v>0</v>
      </c>
      <c r="AA23" s="36">
        <v>210.94358426793499</v>
      </c>
      <c r="AB23" s="36">
        <v>0</v>
      </c>
      <c r="AC23" s="36">
        <v>0</v>
      </c>
      <c r="AD23" s="36">
        <v>3.7407022019034598E-13</v>
      </c>
      <c r="AE23" s="36">
        <v>-0.15055627755842599</v>
      </c>
      <c r="AF23" s="36">
        <v>4.9399700466945902</v>
      </c>
    </row>
    <row r="24" spans="1:32" ht="11.25" customHeight="1" x14ac:dyDescent="0.25">
      <c r="A24" s="112"/>
      <c r="B24" s="112" t="s">
        <v>108</v>
      </c>
      <c r="C24" s="112" t="s">
        <v>24</v>
      </c>
      <c r="D24" s="39" t="s">
        <v>24</v>
      </c>
      <c r="E24" s="39" t="s">
        <v>25</v>
      </c>
      <c r="F24" s="39" t="s">
        <v>25</v>
      </c>
      <c r="G24" s="38" t="s">
        <v>98</v>
      </c>
      <c r="H24" s="38" t="s">
        <v>93</v>
      </c>
      <c r="I24" s="38">
        <f>'MERCADO TE'!$U$21</f>
        <v>0</v>
      </c>
      <c r="J24" s="15"/>
      <c r="L24" s="36">
        <f>('TE BE'!$L$24+'TE BF'!$L$24+'TE CVA'!$L$24)*1</f>
        <v>2.6213057905810007</v>
      </c>
      <c r="M24" s="36">
        <f>('TE BE'!$M$24+'TE BF'!$M$24+'TE CVA'!$M$24)*1</f>
        <v>21.535740967520635</v>
      </c>
      <c r="N24" s="36">
        <f>('TE BE'!$N$24+'TE BF'!$N$24+'TE CVA'!$N$24)*1</f>
        <v>0</v>
      </c>
      <c r="O24" s="36">
        <f>('TE BE'!$O$24+'TE BF'!$O$24+'TE CVA'!$O$24)*1</f>
        <v>3.7821930841515847</v>
      </c>
      <c r="P24" s="36">
        <f>('TE BE'!$Q$24+'TE BF'!$Q$24+'TE CVA'!$Q$24)*1</f>
        <v>224.72085823313046</v>
      </c>
      <c r="Q24" s="36">
        <f>('TE BE'!$S$24+'TE BF'!$S$24+'TE CVA'!$S$24)*1</f>
        <v>0</v>
      </c>
      <c r="R24" s="36">
        <f>('TE BE'!$T$24+'TE BF'!$T$24+'TE CVA'!$T$24)*1</f>
        <v>0</v>
      </c>
      <c r="S24" s="36">
        <f>('TE BE'!$U$24+'TE BF'!$U$24+'TE CVA'!$U$24)*1</f>
        <v>3.8680550024625049E-13</v>
      </c>
      <c r="T24" s="36">
        <f>('TE BE'!$W$24+'TE BF'!$W$24+'TE CVA'!$W$24)*1</f>
        <v>-23.671202335601706</v>
      </c>
      <c r="U24" s="36">
        <f>('TE BE'!$Y$24+'TE BF'!$Y$24+'TE CVA'!$Y$24)*1</f>
        <v>5.6904320526370293</v>
      </c>
      <c r="W24" s="36">
        <v>2.1945525390022902</v>
      </c>
      <c r="X24" s="36">
        <v>14.09841205265</v>
      </c>
      <c r="Y24" s="36">
        <v>0</v>
      </c>
      <c r="Z24" s="36">
        <v>0</v>
      </c>
      <c r="AA24" s="36">
        <v>210.94358426793499</v>
      </c>
      <c r="AB24" s="36">
        <v>0</v>
      </c>
      <c r="AC24" s="36">
        <v>0</v>
      </c>
      <c r="AD24" s="36">
        <v>3.7407022019034598E-13</v>
      </c>
      <c r="AE24" s="36">
        <v>-0.15055627755842599</v>
      </c>
      <c r="AF24" s="36">
        <v>4.9399700466945902</v>
      </c>
    </row>
    <row r="25" spans="1:32" ht="11.25" customHeight="1" x14ac:dyDescent="0.25">
      <c r="A25" s="112"/>
      <c r="B25" s="112"/>
      <c r="C25" s="112"/>
      <c r="D25" s="39" t="s">
        <v>29</v>
      </c>
      <c r="E25" s="39" t="s">
        <v>25</v>
      </c>
      <c r="F25" s="39" t="s">
        <v>25</v>
      </c>
      <c r="G25" s="38" t="s">
        <v>98</v>
      </c>
      <c r="H25" s="38" t="s">
        <v>93</v>
      </c>
      <c r="I25" s="38">
        <f>'MERCADO TE'!$U$22</f>
        <v>0</v>
      </c>
      <c r="J25" s="15"/>
      <c r="L25" s="36">
        <f>('TE BE'!$L$25+'TE BF'!$L$25+'TE CVA'!$L$25)*(1 - 0.65)</f>
        <v>0.91745702670335016</v>
      </c>
      <c r="M25" s="36">
        <f>('TE BE'!$M$25+'TE BF'!$M$25+'TE CVA'!$M$25)*(1 - 0.65)</f>
        <v>7.5375093386322218</v>
      </c>
      <c r="N25" s="36">
        <f>('TE BE'!$N$25+'TE BF'!$N$25+'TE CVA'!$N$25)*(1 - 0.65)</f>
        <v>0</v>
      </c>
      <c r="O25" s="36">
        <f>('TE BE'!$O$25+'TE BF'!$O$25+'TE CVA'!$O$25)*(1 - 0.65)</f>
        <v>1.3237675794530546</v>
      </c>
      <c r="P25" s="36">
        <f>('TE BE'!$Q$25+'TE BF'!$Q$25+'TE CVA'!$Q$25)*(1 - 0.65)</f>
        <v>78.652300381595651</v>
      </c>
      <c r="Q25" s="36">
        <f>('TE BE'!$S$25+'TE BF'!$S$25+'TE CVA'!$S$25)*(1 - 0.65)</f>
        <v>0</v>
      </c>
      <c r="R25" s="36">
        <f>('TE BE'!$T$25+'TE BF'!$T$25+'TE CVA'!$T$25)*(1 - 0.65)</f>
        <v>0</v>
      </c>
      <c r="S25" s="36">
        <f>('TE BE'!$U$25+'TE BF'!$U$25+'TE CVA'!$U$25)*(1 - 0.65)</f>
        <v>1.3538192508618766E-13</v>
      </c>
      <c r="T25" s="36">
        <f>('TE BE'!$W$25+'TE BF'!$W$25+'TE CVA'!$W$25)*(1 - 0.65)</f>
        <v>-8.2849208174605966</v>
      </c>
      <c r="U25" s="36">
        <f>('TE BE'!$Y$25+'TE BF'!$Y$25+'TE CVA'!$Y$25)*(1 - 0.65)</f>
        <v>1.9916512184229602</v>
      </c>
      <c r="W25" s="36">
        <v>0.76809338865080001</v>
      </c>
      <c r="X25" s="36">
        <v>4.9344442184275099</v>
      </c>
      <c r="Y25" s="36">
        <v>0</v>
      </c>
      <c r="Z25" s="36">
        <v>0</v>
      </c>
      <c r="AA25" s="36">
        <v>73.830254493777105</v>
      </c>
      <c r="AB25" s="36">
        <v>0</v>
      </c>
      <c r="AC25" s="36">
        <v>0</v>
      </c>
      <c r="AD25" s="36">
        <v>1.30924577066621E-13</v>
      </c>
      <c r="AE25" s="36">
        <v>-5.26946971454492E-2</v>
      </c>
      <c r="AF25" s="36">
        <v>1.7289895163431099</v>
      </c>
    </row>
    <row r="26" spans="1:32" ht="11.25" customHeight="1" x14ac:dyDescent="0.25">
      <c r="A26" s="112"/>
      <c r="B26" s="112"/>
      <c r="C26" s="112"/>
      <c r="D26" s="39" t="s">
        <v>30</v>
      </c>
      <c r="E26" s="39" t="s">
        <v>25</v>
      </c>
      <c r="F26" s="39" t="s">
        <v>25</v>
      </c>
      <c r="G26" s="38" t="s">
        <v>98</v>
      </c>
      <c r="H26" s="38" t="s">
        <v>93</v>
      </c>
      <c r="I26" s="38">
        <f>'MERCADO TE'!$U$23</f>
        <v>0</v>
      </c>
      <c r="J26" s="15"/>
      <c r="L26" s="36">
        <f>('TE BE'!$L$26+'TE BF'!$L$26+'TE CVA'!$L$26)*(1 - 0.4)</f>
        <v>1.5727834743486004</v>
      </c>
      <c r="M26" s="36">
        <f>('TE BE'!$M$26+'TE BF'!$M$26+'TE CVA'!$M$26)*(1 - 0.4)</f>
        <v>12.921444580512381</v>
      </c>
      <c r="N26" s="36">
        <f>('TE BE'!$N$26+'TE BF'!$N$26+'TE CVA'!$N$26)*(1 - 0.4)</f>
        <v>0</v>
      </c>
      <c r="O26" s="36">
        <f>('TE BE'!$O$26+'TE BF'!$O$26+'TE CVA'!$O$26)*(1 - 0.4)</f>
        <v>2.2693158504909507</v>
      </c>
      <c r="P26" s="36">
        <f>('TE BE'!$Q$26+'TE BF'!$Q$26+'TE CVA'!$Q$26)*(1 - 0.4)</f>
        <v>134.83251493987828</v>
      </c>
      <c r="Q26" s="36">
        <f>('TE BE'!$S$26+'TE BF'!$S$26+'TE CVA'!$S$26)*(1 - 0.4)</f>
        <v>0</v>
      </c>
      <c r="R26" s="36">
        <f>('TE BE'!$T$26+'TE BF'!$T$26+'TE CVA'!$T$26)*(1 - 0.4)</f>
        <v>0</v>
      </c>
      <c r="S26" s="36">
        <f>('TE BE'!$U$26+'TE BF'!$U$26+'TE CVA'!$U$26)*(1 - 0.4)</f>
        <v>2.3208330014775028E-13</v>
      </c>
      <c r="T26" s="36">
        <f>('TE BE'!$W$26+'TE BF'!$W$26+'TE CVA'!$W$26)*(1 - 0.4)</f>
        <v>-14.202721401361023</v>
      </c>
      <c r="U26" s="36">
        <f>('TE BE'!$Y$26+'TE BF'!$Y$26+'TE CVA'!$Y$26)*(1 - 0.4)</f>
        <v>3.4142592315822173</v>
      </c>
      <c r="W26" s="36">
        <v>1.3167315234013699</v>
      </c>
      <c r="X26" s="36">
        <v>8.4590472315900094</v>
      </c>
      <c r="Y26" s="36">
        <v>0</v>
      </c>
      <c r="Z26" s="36">
        <v>0</v>
      </c>
      <c r="AA26" s="36">
        <v>126.566150560761</v>
      </c>
      <c r="AB26" s="36">
        <v>0</v>
      </c>
      <c r="AC26" s="36">
        <v>0</v>
      </c>
      <c r="AD26" s="36">
        <v>2.24442132114208E-13</v>
      </c>
      <c r="AE26" s="36">
        <v>-9.0333766535055801E-2</v>
      </c>
      <c r="AF26" s="36">
        <v>2.9639820280167499</v>
      </c>
    </row>
    <row r="27" spans="1:32" ht="11.25" customHeight="1" x14ac:dyDescent="0.25">
      <c r="A27" s="112"/>
      <c r="B27" s="112"/>
      <c r="C27" s="112"/>
      <c r="D27" s="39" t="s">
        <v>31</v>
      </c>
      <c r="E27" s="39" t="s">
        <v>25</v>
      </c>
      <c r="F27" s="39" t="s">
        <v>25</v>
      </c>
      <c r="G27" s="38" t="s">
        <v>98</v>
      </c>
      <c r="H27" s="38" t="s">
        <v>93</v>
      </c>
      <c r="I27" s="38">
        <f>'MERCADO TE'!$U$24</f>
        <v>0</v>
      </c>
      <c r="J27" s="15"/>
      <c r="L27" s="36">
        <f>('TE BE'!$L$27+'TE BF'!$L$27+'TE CVA'!$L$27)*(1 - 0.1)</f>
        <v>2.3591752115229006</v>
      </c>
      <c r="M27" s="36">
        <f>('TE BE'!$M$27+'TE BF'!$M$27+'TE CVA'!$M$27)*(1 - 0.1)</f>
        <v>19.382166870768572</v>
      </c>
      <c r="N27" s="36">
        <f>('TE BE'!$N$27+'TE BF'!$N$27+'TE CVA'!$N$27)*(1 - 0.1)</f>
        <v>0</v>
      </c>
      <c r="O27" s="36">
        <f>('TE BE'!$O$27+'TE BF'!$O$27+'TE CVA'!$O$27)*(1 - 0.1)</f>
        <v>3.4039737757364263</v>
      </c>
      <c r="P27" s="36">
        <f>('TE BE'!$Q$27+'TE BF'!$Q$27+'TE CVA'!$Q$27)*(1 - 0.1)</f>
        <v>202.24877240981741</v>
      </c>
      <c r="Q27" s="36">
        <f>('TE BE'!$S$27+'TE BF'!$S$27+'TE CVA'!$S$27)*(1 - 0.1)</f>
        <v>0</v>
      </c>
      <c r="R27" s="36">
        <f>('TE BE'!$T$27+'TE BF'!$T$27+'TE CVA'!$T$27)*(1 - 0.1)</f>
        <v>0</v>
      </c>
      <c r="S27" s="36">
        <f>('TE BE'!$U$27+'TE BF'!$U$27+'TE CVA'!$U$27)*(1 - 0.1)</f>
        <v>3.4812495022162545E-13</v>
      </c>
      <c r="T27" s="36">
        <f>('TE BE'!$W$27+'TE BF'!$W$27+'TE CVA'!$W$27)*(1 - 0.1)</f>
        <v>-21.304082102041537</v>
      </c>
      <c r="U27" s="36">
        <f>('TE BE'!$Y$27+'TE BF'!$Y$27+'TE CVA'!$Y$27)*(1 - 0.1)</f>
        <v>5.1213888473733267</v>
      </c>
      <c r="W27" s="36">
        <v>1.9750972851020601</v>
      </c>
      <c r="X27" s="36">
        <v>12.688570847385</v>
      </c>
      <c r="Y27" s="36">
        <v>0</v>
      </c>
      <c r="Z27" s="36">
        <v>0</v>
      </c>
      <c r="AA27" s="36">
        <v>189.84922584114099</v>
      </c>
      <c r="AB27" s="36">
        <v>0</v>
      </c>
      <c r="AC27" s="36">
        <v>0</v>
      </c>
      <c r="AD27" s="36">
        <v>3.3666319817131201E-13</v>
      </c>
      <c r="AE27" s="36">
        <v>-0.135500649802584</v>
      </c>
      <c r="AF27" s="36">
        <v>4.4459730420251304</v>
      </c>
    </row>
    <row r="28" spans="1:32" ht="11.25" customHeight="1" x14ac:dyDescent="0.25">
      <c r="A28" s="112"/>
      <c r="B28" s="112"/>
      <c r="C28" s="112"/>
      <c r="D28" s="39" t="s">
        <v>32</v>
      </c>
      <c r="E28" s="39" t="s">
        <v>25</v>
      </c>
      <c r="F28" s="39" t="s">
        <v>25</v>
      </c>
      <c r="G28" s="38" t="s">
        <v>98</v>
      </c>
      <c r="H28" s="38" t="s">
        <v>93</v>
      </c>
      <c r="I28" s="38">
        <f>'MERCADO TE'!$U$25</f>
        <v>0</v>
      </c>
      <c r="J28" s="15"/>
      <c r="L28" s="36">
        <f>('TE BE'!$L$28+'TE BF'!$L$28+'TE CVA'!$L$28)*1</f>
        <v>2.6213057905810007</v>
      </c>
      <c r="M28" s="36">
        <f>('TE BE'!$M$28+'TE BF'!$M$28+'TE CVA'!$M$28)*1</f>
        <v>21.535740967520635</v>
      </c>
      <c r="N28" s="36">
        <f>('TE BE'!$N$28+'TE BF'!$N$28+'TE CVA'!$N$28)*1</f>
        <v>0</v>
      </c>
      <c r="O28" s="36">
        <f>('TE BE'!$O$28+'TE BF'!$O$28+'TE CVA'!$O$28)*1</f>
        <v>3.7821930841515847</v>
      </c>
      <c r="P28" s="36">
        <f>('TE BE'!$Q$28+'TE BF'!$Q$28+'TE CVA'!$Q$28)*1</f>
        <v>224.72085823313046</v>
      </c>
      <c r="Q28" s="36">
        <f>('TE BE'!$S$28+'TE BF'!$S$28+'TE CVA'!$S$28)*1</f>
        <v>0</v>
      </c>
      <c r="R28" s="36">
        <f>('TE BE'!$T$28+'TE BF'!$T$28+'TE CVA'!$T$28)*1</f>
        <v>0</v>
      </c>
      <c r="S28" s="36">
        <f>('TE BE'!$U$28+'TE BF'!$U$28+'TE CVA'!$U$28)*1</f>
        <v>3.8680550024625049E-13</v>
      </c>
      <c r="T28" s="36">
        <f>('TE BE'!$W$28+'TE BF'!$W$28+'TE CVA'!$W$28)*1</f>
        <v>-23.671202335601706</v>
      </c>
      <c r="U28" s="36">
        <f>('TE BE'!$Y$28+'TE BF'!$Y$28+'TE CVA'!$Y$28)*1</f>
        <v>5.6904320526370293</v>
      </c>
      <c r="W28" s="36">
        <v>2.1945525390022902</v>
      </c>
      <c r="X28" s="36">
        <v>14.09841205265</v>
      </c>
      <c r="Y28" s="36">
        <v>0</v>
      </c>
      <c r="Z28" s="36">
        <v>0</v>
      </c>
      <c r="AA28" s="36">
        <v>210.94358426793499</v>
      </c>
      <c r="AB28" s="36">
        <v>0</v>
      </c>
      <c r="AC28" s="36">
        <v>0</v>
      </c>
      <c r="AD28" s="36">
        <v>3.7407022019034598E-13</v>
      </c>
      <c r="AE28" s="36">
        <v>-0.15055627755842599</v>
      </c>
      <c r="AF28" s="36">
        <v>4.9399700466945902</v>
      </c>
    </row>
    <row r="29" spans="1:32" ht="11.25" customHeight="1" x14ac:dyDescent="0.25">
      <c r="A29" s="112" t="s">
        <v>44</v>
      </c>
      <c r="B29" s="112" t="s">
        <v>92</v>
      </c>
      <c r="C29" s="112" t="s">
        <v>45</v>
      </c>
      <c r="D29" s="112" t="s">
        <v>25</v>
      </c>
      <c r="E29" s="112" t="s">
        <v>25</v>
      </c>
      <c r="F29" s="112" t="s">
        <v>25</v>
      </c>
      <c r="G29" s="38" t="s">
        <v>94</v>
      </c>
      <c r="H29" s="38" t="s">
        <v>93</v>
      </c>
      <c r="I29" s="38">
        <f>'MERCADO TE'!$U$26</f>
        <v>0.61099999999999999</v>
      </c>
      <c r="J29" s="15"/>
      <c r="L29" s="36">
        <f>('TE BE'!$L$29+'TE BF'!$L$29+'TE CVA'!$L$29)*(1 - CUSTOS!$M$38)</f>
        <v>2.4640274431461404</v>
      </c>
      <c r="M29" s="36">
        <f>('TE BE'!$M$29+'TE BF'!$M$29+'TE CVA'!$M$29)*(1 - CUSTOS!$M$38)</f>
        <v>20.243596509469395</v>
      </c>
      <c r="N29" s="36">
        <f>('TE BE'!$N$29+'TE BF'!$N$29+'TE CVA'!$N$29)*(1 - CUSTOS!$M$38)</f>
        <v>0</v>
      </c>
      <c r="O29" s="36">
        <f>('TE BE'!$O$29+'TE BF'!$O$29+'TE CVA'!$O$29)*(1 - CUSTOS!$M$38)</f>
        <v>3.5552614991024893</v>
      </c>
      <c r="P29" s="36">
        <f>('TE BE'!$Q$29+'TE BF'!$Q$29+'TE CVA'!$Q$29)*(1 - CUSTOS!$M$38)</f>
        <v>342.76290904842006</v>
      </c>
      <c r="Q29" s="36">
        <f>('TE BE'!$S$29+'TE BF'!$S$29+'TE CVA'!$S$29)*(1 - CUSTOS!$M$38)</f>
        <v>0</v>
      </c>
      <c r="R29" s="36">
        <f>('TE BE'!$T$29+'TE BF'!$T$29+'TE CVA'!$T$29)*(1 - CUSTOS!$M$38)</f>
        <v>0</v>
      </c>
      <c r="S29" s="36">
        <f>('TE BE'!$U$29+'TE BF'!$U$29+'TE CVA'!$U$29)*(1 - CUSTOS!$M$38)</f>
        <v>3.6359717023147545E-13</v>
      </c>
      <c r="T29" s="36">
        <f>('TE BE'!$W$29+'TE BF'!$W$29+'TE CVA'!$W$29)*(1 - CUSTOS!$M$38)</f>
        <v>-34.517674496548842</v>
      </c>
      <c r="U29" s="36">
        <f>('TE BE'!$Y$29+'TE BF'!$Y$29+'TE CVA'!$Y$29)*(1 - CUSTOS!$M$38)</f>
        <v>5.3490061294788074</v>
      </c>
      <c r="W29" s="36">
        <v>1.93120623432201</v>
      </c>
      <c r="X29" s="36">
        <v>12.406602606331999</v>
      </c>
      <c r="Y29" s="36">
        <v>0</v>
      </c>
      <c r="Z29" s="36">
        <v>0</v>
      </c>
      <c r="AA29" s="36">
        <v>301.21151806410001</v>
      </c>
      <c r="AB29" s="36">
        <v>0</v>
      </c>
      <c r="AC29" s="36">
        <v>0</v>
      </c>
      <c r="AD29" s="36">
        <v>3.2918179376750498E-13</v>
      </c>
      <c r="AE29" s="36">
        <v>-0.20758153446552299</v>
      </c>
      <c r="AF29" s="36">
        <v>4.3471736410912403</v>
      </c>
    </row>
    <row r="30" spans="1:32" ht="11.25" customHeight="1" x14ac:dyDescent="0.25">
      <c r="A30" s="112"/>
      <c r="B30" s="112"/>
      <c r="C30" s="112"/>
      <c r="D30" s="112"/>
      <c r="E30" s="112"/>
      <c r="F30" s="112"/>
      <c r="G30" s="38" t="s">
        <v>107</v>
      </c>
      <c r="H30" s="38" t="s">
        <v>93</v>
      </c>
      <c r="I30" s="38">
        <f>'MERCADO TE'!$U$27</f>
        <v>0.81099999999999994</v>
      </c>
      <c r="J30" s="15"/>
      <c r="L30" s="36">
        <f>('TE BE'!$L$30+'TE BF'!$L$30+'TE CVA'!$L$30)*(1 - CUSTOS!$M$38)</f>
        <v>2.4640274431461404</v>
      </c>
      <c r="M30" s="36">
        <f>('TE BE'!$M$30+'TE BF'!$M$30+'TE CVA'!$M$30)*(1 - CUSTOS!$M$38)</f>
        <v>20.243596509469395</v>
      </c>
      <c r="N30" s="36">
        <f>('TE BE'!$N$30+'TE BF'!$N$30+'TE CVA'!$N$30)*(1 - CUSTOS!$M$38)</f>
        <v>0</v>
      </c>
      <c r="O30" s="36">
        <f>('TE BE'!$O$30+'TE BF'!$O$30+'TE CVA'!$O$30)*(1 - CUSTOS!$M$38)</f>
        <v>3.5552614991024893</v>
      </c>
      <c r="P30" s="36">
        <f>('TE BE'!$Q$30+'TE BF'!$Q$30+'TE CVA'!$Q$30)*(1 - CUSTOS!$M$38)</f>
        <v>199.28076107466285</v>
      </c>
      <c r="Q30" s="36">
        <f>('TE BE'!$S$30+'TE BF'!$S$30+'TE CVA'!$S$30)*(1 - CUSTOS!$M$38)</f>
        <v>0</v>
      </c>
      <c r="R30" s="36">
        <f>('TE BE'!$T$30+'TE BF'!$T$30+'TE CVA'!$T$30)*(1 - CUSTOS!$M$38)</f>
        <v>0</v>
      </c>
      <c r="S30" s="36">
        <f>('TE BE'!$U$30+'TE BF'!$U$30+'TE CVA'!$U$30)*(1 - CUSTOS!$M$38)</f>
        <v>3.6359717023147545E-13</v>
      </c>
      <c r="T30" s="36">
        <f>('TE BE'!$W$30+'TE BF'!$W$30+'TE CVA'!$W$30)*(1 - CUSTOS!$M$38)</f>
        <v>-21.135771622639851</v>
      </c>
      <c r="U30" s="36">
        <f>('TE BE'!$Y$30+'TE BF'!$Y$30+'TE CVA'!$Y$30)*(1 - CUSTOS!$M$38)</f>
        <v>5.3490061294788074</v>
      </c>
      <c r="W30" s="36">
        <v>1.93120623432201</v>
      </c>
      <c r="X30" s="36">
        <v>12.406602606331999</v>
      </c>
      <c r="Y30" s="36">
        <v>0</v>
      </c>
      <c r="Z30" s="36">
        <v>0</v>
      </c>
      <c r="AA30" s="36">
        <v>175.12297561866299</v>
      </c>
      <c r="AB30" s="36">
        <v>0</v>
      </c>
      <c r="AC30" s="36">
        <v>0</v>
      </c>
      <c r="AD30" s="36">
        <v>3.2918179376750498E-13</v>
      </c>
      <c r="AE30" s="36">
        <v>-0.12566297786831401</v>
      </c>
      <c r="AF30" s="36">
        <v>4.3471736410912403</v>
      </c>
    </row>
    <row r="31" spans="1:32" ht="11.25" customHeight="1" x14ac:dyDescent="0.25">
      <c r="A31" s="112"/>
      <c r="B31" s="112"/>
      <c r="C31" s="112"/>
      <c r="D31" s="112"/>
      <c r="E31" s="112"/>
      <c r="F31" s="112"/>
      <c r="G31" s="38" t="s">
        <v>95</v>
      </c>
      <c r="H31" s="38" t="s">
        <v>93</v>
      </c>
      <c r="I31" s="38">
        <f>'MERCADO TE'!$U$28</f>
        <v>184.815</v>
      </c>
      <c r="J31" s="15"/>
      <c r="L31" s="36">
        <f>('TE BE'!$L$31+'TE BF'!$L$31+'TE CVA'!$L$31)*(1 - CUSTOS!$M$38)</f>
        <v>2.4640274431461404</v>
      </c>
      <c r="M31" s="36">
        <f>('TE BE'!$M$31+'TE BF'!$M$31+'TE CVA'!$M$31)*(1 - CUSTOS!$M$38)</f>
        <v>20.243596509469395</v>
      </c>
      <c r="N31" s="36">
        <f>('TE BE'!$N$31+'TE BF'!$N$31+'TE CVA'!$N$31)*(1 - CUSTOS!$M$38)</f>
        <v>0</v>
      </c>
      <c r="O31" s="36">
        <f>('TE BE'!$O$31+'TE BF'!$O$31+'TE CVA'!$O$31)*(1 - CUSTOS!$M$38)</f>
        <v>3.5552614991024893</v>
      </c>
      <c r="P31" s="36">
        <f>('TE BE'!$Q$31+'TE BF'!$Q$31+'TE CVA'!$Q$31)*(1 - CUSTOS!$M$38)</f>
        <v>199.28076107466285</v>
      </c>
      <c r="Q31" s="36">
        <f>('TE BE'!$S$31+'TE BF'!$S$31+'TE CVA'!$S$31)*(1 - CUSTOS!$M$38)</f>
        <v>0</v>
      </c>
      <c r="R31" s="36">
        <f>('TE BE'!$T$31+'TE BF'!$T$31+'TE CVA'!$T$31)*(1 - CUSTOS!$M$38)</f>
        <v>0</v>
      </c>
      <c r="S31" s="36">
        <f>('TE BE'!$U$31+'TE BF'!$U$31+'TE CVA'!$U$31)*(1 - CUSTOS!$M$38)</f>
        <v>3.6359717023147545E-13</v>
      </c>
      <c r="T31" s="36">
        <f>('TE BE'!$W$31+'TE BF'!$W$31+'TE CVA'!$W$31)*(1 - CUSTOS!$M$38)</f>
        <v>-21.135771622639851</v>
      </c>
      <c r="U31" s="36">
        <f>('TE BE'!$Y$31+'TE BF'!$Y$31+'TE CVA'!$Y$31)*(1 - CUSTOS!$M$38)</f>
        <v>5.3490061294788074</v>
      </c>
      <c r="W31" s="36">
        <v>1.93120623432201</v>
      </c>
      <c r="X31" s="36">
        <v>12.406602606331999</v>
      </c>
      <c r="Y31" s="36">
        <v>0</v>
      </c>
      <c r="Z31" s="36">
        <v>0</v>
      </c>
      <c r="AA31" s="36">
        <v>175.12297561866299</v>
      </c>
      <c r="AB31" s="36">
        <v>0</v>
      </c>
      <c r="AC31" s="36">
        <v>0</v>
      </c>
      <c r="AD31" s="36">
        <v>3.2918179376750498E-13</v>
      </c>
      <c r="AE31" s="36">
        <v>-0.12566297786831401</v>
      </c>
      <c r="AF31" s="36">
        <v>4.3471736410912403</v>
      </c>
    </row>
    <row r="32" spans="1:32" ht="11.25" customHeight="1" x14ac:dyDescent="0.25">
      <c r="A32" s="112"/>
      <c r="B32" s="39" t="s">
        <v>103</v>
      </c>
      <c r="C32" s="39" t="s">
        <v>45</v>
      </c>
      <c r="D32" s="39" t="s">
        <v>25</v>
      </c>
      <c r="E32" s="39" t="s">
        <v>25</v>
      </c>
      <c r="F32" s="39" t="s">
        <v>25</v>
      </c>
      <c r="G32" s="38" t="s">
        <v>98</v>
      </c>
      <c r="H32" s="38" t="s">
        <v>93</v>
      </c>
      <c r="I32" s="38">
        <f>'MERCADO TE'!$U$29</f>
        <v>60956.053</v>
      </c>
      <c r="J32" s="15"/>
      <c r="L32" s="36">
        <f>('TE BE'!$L$32+'TE BF'!$L$32+'TE CVA'!$L$32)*(1 - CUSTOS!$M$38)</f>
        <v>2.4640274431461404</v>
      </c>
      <c r="M32" s="36">
        <f>('TE BE'!$M$32+'TE BF'!$M$32+'TE CVA'!$M$32)*(1 - CUSTOS!$M$38)</f>
        <v>20.243596509469395</v>
      </c>
      <c r="N32" s="36">
        <f>('TE BE'!$N$32+'TE BF'!$N$32+'TE CVA'!$N$32)*(1 - CUSTOS!$M$38)</f>
        <v>0</v>
      </c>
      <c r="O32" s="36">
        <f>('TE BE'!$O$32+'TE BF'!$O$32+'TE CVA'!$O$32)*(1 - CUSTOS!$M$38)</f>
        <v>3.5552614991024893</v>
      </c>
      <c r="P32" s="36">
        <f>('TE BE'!$Q$32+'TE BF'!$Q$32+'TE CVA'!$Q$32)*(1 - CUSTOS!$M$38)</f>
        <v>211.23760673914262</v>
      </c>
      <c r="Q32" s="36">
        <f>('TE BE'!$S$32+'TE BF'!$S$32+'TE CVA'!$S$32)*(1 - CUSTOS!$M$38)</f>
        <v>0</v>
      </c>
      <c r="R32" s="36">
        <f>('TE BE'!$T$32+'TE BF'!$T$32+'TE CVA'!$T$32)*(1 - CUSTOS!$M$38)</f>
        <v>0</v>
      </c>
      <c r="S32" s="36">
        <f>('TE BE'!$U$32+'TE BF'!$U$32+'TE CVA'!$U$32)*(1 - CUSTOS!$M$38)</f>
        <v>3.6359717023147545E-13</v>
      </c>
      <c r="T32" s="36">
        <f>('TE BE'!$W$32+'TE BF'!$W$32+'TE CVA'!$W$32)*(1 - CUSTOS!$M$38)</f>
        <v>-22.250930195465603</v>
      </c>
      <c r="U32" s="36">
        <f>('TE BE'!$Y$32+'TE BF'!$Y$32+'TE CVA'!$Y$32)*(1 - CUSTOS!$M$38)</f>
        <v>5.3490061294788074</v>
      </c>
      <c r="W32" s="36">
        <v>1.93120623432201</v>
      </c>
      <c r="X32" s="36">
        <v>12.406602606331999</v>
      </c>
      <c r="Y32" s="36">
        <v>0</v>
      </c>
      <c r="Z32" s="36">
        <v>0</v>
      </c>
      <c r="AA32" s="36">
        <v>185.63035415578301</v>
      </c>
      <c r="AB32" s="36">
        <v>0</v>
      </c>
      <c r="AC32" s="36">
        <v>0</v>
      </c>
      <c r="AD32" s="36">
        <v>3.2918179376750498E-13</v>
      </c>
      <c r="AE32" s="36">
        <v>-0.132489524251415</v>
      </c>
      <c r="AF32" s="36">
        <v>4.3471736410912403</v>
      </c>
    </row>
    <row r="33" spans="1:32" ht="11.25" customHeight="1" x14ac:dyDescent="0.25">
      <c r="A33" s="112"/>
      <c r="B33" s="112" t="s">
        <v>92</v>
      </c>
      <c r="C33" s="112" t="s">
        <v>45</v>
      </c>
      <c r="D33" s="112" t="s">
        <v>110</v>
      </c>
      <c r="E33" s="112" t="s">
        <v>25</v>
      </c>
      <c r="F33" s="112" t="s">
        <v>25</v>
      </c>
      <c r="G33" s="38" t="s">
        <v>94</v>
      </c>
      <c r="H33" s="38" t="s">
        <v>93</v>
      </c>
      <c r="I33" s="38">
        <f>'MERCADO TE'!$U$30</f>
        <v>0</v>
      </c>
      <c r="J33" s="15"/>
      <c r="L33" s="36">
        <f>('TE BE'!$L$33+'TE BF'!$L$33+'TE CVA'!$L$33)*(1 - CUSTOS!$M$39)</f>
        <v>2.4640274431461404</v>
      </c>
      <c r="M33" s="36">
        <f>('TE BE'!$M$33+'TE BF'!$M$33+'TE CVA'!$M$33)*(1 - CUSTOS!$M$39)</f>
        <v>20.243596509469395</v>
      </c>
      <c r="N33" s="36">
        <f>('TE BE'!$N$33+'TE BF'!$N$33+'TE CVA'!$N$33)*(1 - CUSTOS!$M$39)</f>
        <v>0</v>
      </c>
      <c r="O33" s="36">
        <f>('TE BE'!$O$33+'TE BF'!$O$33+'TE CVA'!$O$33)*(1 - CUSTOS!$M$39)</f>
        <v>3.5552614991024893</v>
      </c>
      <c r="P33" s="36">
        <f>('TE BE'!$Q$33+'TE BF'!$Q$33+'TE CVA'!$Q$33)*(1 - CUSTOS!$M$39)</f>
        <v>342.76290904842006</v>
      </c>
      <c r="Q33" s="36">
        <f>('TE BE'!$S$33+'TE BF'!$S$33+'TE CVA'!$S$33)*(1 - CUSTOS!$M$39)</f>
        <v>0</v>
      </c>
      <c r="R33" s="36">
        <f>('TE BE'!$T$33+'TE BF'!$T$33+'TE CVA'!$T$33)*(1 - CUSTOS!$M$39)</f>
        <v>0</v>
      </c>
      <c r="S33" s="36">
        <f>('TE BE'!$U$33+'TE BF'!$U$33+'TE CVA'!$U$33)*(1 - CUSTOS!$M$39)</f>
        <v>3.6359717023147545E-13</v>
      </c>
      <c r="T33" s="36">
        <f>('TE BE'!$W$33+'TE BF'!$W$33+'TE CVA'!$W$33)*(1 - CUSTOS!$M$39)</f>
        <v>-34.517674496548842</v>
      </c>
      <c r="U33" s="36">
        <f>('TE BE'!$Y$33+'TE BF'!$Y$33+'TE CVA'!$Y$33)*(1 - CUSTOS!$M$39)</f>
        <v>5.3490061294788074</v>
      </c>
      <c r="W33" s="36">
        <v>1.93120623432201</v>
      </c>
      <c r="X33" s="36">
        <v>12.406602606331999</v>
      </c>
      <c r="Y33" s="36">
        <v>0</v>
      </c>
      <c r="Z33" s="36">
        <v>0</v>
      </c>
      <c r="AA33" s="36">
        <v>301.21151806410001</v>
      </c>
      <c r="AB33" s="36">
        <v>0</v>
      </c>
      <c r="AC33" s="36">
        <v>0</v>
      </c>
      <c r="AD33" s="36">
        <v>3.2918179376750498E-13</v>
      </c>
      <c r="AE33" s="36">
        <v>-0.20758153446552299</v>
      </c>
      <c r="AF33" s="36">
        <v>4.3471736410912403</v>
      </c>
    </row>
    <row r="34" spans="1:32" ht="11.25" customHeight="1" x14ac:dyDescent="0.25">
      <c r="A34" s="112"/>
      <c r="B34" s="112"/>
      <c r="C34" s="112"/>
      <c r="D34" s="112"/>
      <c r="E34" s="112"/>
      <c r="F34" s="112"/>
      <c r="G34" s="38" t="s">
        <v>107</v>
      </c>
      <c r="H34" s="38" t="s">
        <v>93</v>
      </c>
      <c r="I34" s="38">
        <f>'MERCADO TE'!$U$31</f>
        <v>0</v>
      </c>
      <c r="J34" s="15"/>
      <c r="L34" s="36">
        <f>('TE BE'!$L$34+'TE BF'!$L$34+'TE CVA'!$L$34)*(1 - CUSTOS!$M$39)</f>
        <v>2.4640274431461404</v>
      </c>
      <c r="M34" s="36">
        <f>('TE BE'!$M$34+'TE BF'!$M$34+'TE CVA'!$M$34)*(1 - CUSTOS!$M$39)</f>
        <v>20.243596509469395</v>
      </c>
      <c r="N34" s="36">
        <f>('TE BE'!$N$34+'TE BF'!$N$34+'TE CVA'!$N$34)*(1 - CUSTOS!$M$39)</f>
        <v>0</v>
      </c>
      <c r="O34" s="36">
        <f>('TE BE'!$O$34+'TE BF'!$O$34+'TE CVA'!$O$34)*(1 - CUSTOS!$M$39)</f>
        <v>3.5552614991024893</v>
      </c>
      <c r="P34" s="36">
        <f>('TE BE'!$Q$34+'TE BF'!$Q$34+'TE CVA'!$Q$34)*(1 - CUSTOS!$M$39)</f>
        <v>199.28076107466285</v>
      </c>
      <c r="Q34" s="36">
        <f>('TE BE'!$S$34+'TE BF'!$S$34+'TE CVA'!$S$34)*(1 - CUSTOS!$M$39)</f>
        <v>0</v>
      </c>
      <c r="R34" s="36">
        <f>('TE BE'!$T$34+'TE BF'!$T$34+'TE CVA'!$T$34)*(1 - CUSTOS!$M$39)</f>
        <v>0</v>
      </c>
      <c r="S34" s="36">
        <f>('TE BE'!$U$34+'TE BF'!$U$34+'TE CVA'!$U$34)*(1 - CUSTOS!$M$39)</f>
        <v>3.6359717023147545E-13</v>
      </c>
      <c r="T34" s="36">
        <f>('TE BE'!$W$34+'TE BF'!$W$34+'TE CVA'!$W$34)*(1 - CUSTOS!$M$39)</f>
        <v>-21.135771622639851</v>
      </c>
      <c r="U34" s="36">
        <f>('TE BE'!$Y$34+'TE BF'!$Y$34+'TE CVA'!$Y$34)*(1 - CUSTOS!$M$39)</f>
        <v>5.3490061294788074</v>
      </c>
      <c r="W34" s="36">
        <v>1.93120623432201</v>
      </c>
      <c r="X34" s="36">
        <v>12.406602606331999</v>
      </c>
      <c r="Y34" s="36">
        <v>0</v>
      </c>
      <c r="Z34" s="36">
        <v>0</v>
      </c>
      <c r="AA34" s="36">
        <v>175.12297561866299</v>
      </c>
      <c r="AB34" s="36">
        <v>0</v>
      </c>
      <c r="AC34" s="36">
        <v>0</v>
      </c>
      <c r="AD34" s="36">
        <v>3.2918179376750498E-13</v>
      </c>
      <c r="AE34" s="36">
        <v>-0.12566297786831401</v>
      </c>
      <c r="AF34" s="36">
        <v>4.3471736410912403</v>
      </c>
    </row>
    <row r="35" spans="1:32" ht="11.25" customHeight="1" x14ac:dyDescent="0.25">
      <c r="A35" s="112"/>
      <c r="B35" s="112"/>
      <c r="C35" s="112"/>
      <c r="D35" s="112"/>
      <c r="E35" s="112"/>
      <c r="F35" s="112"/>
      <c r="G35" s="38" t="s">
        <v>95</v>
      </c>
      <c r="H35" s="38" t="s">
        <v>93</v>
      </c>
      <c r="I35" s="38">
        <f>'MERCADO TE'!$U$32</f>
        <v>0</v>
      </c>
      <c r="J35" s="15"/>
      <c r="L35" s="36">
        <f>('TE BE'!$L$35+'TE BF'!$L$35+'TE CVA'!$L$35)*(1 - CUSTOS!$M$39)</f>
        <v>2.4640274431461404</v>
      </c>
      <c r="M35" s="36">
        <f>('TE BE'!$M$35+'TE BF'!$M$35+'TE CVA'!$M$35)*(1 - CUSTOS!$M$39)</f>
        <v>20.243596509469395</v>
      </c>
      <c r="N35" s="36">
        <f>('TE BE'!$N$35+'TE BF'!$N$35+'TE CVA'!$N$35)*(1 - CUSTOS!$M$39)</f>
        <v>0</v>
      </c>
      <c r="O35" s="36">
        <f>('TE BE'!$O$35+'TE BF'!$O$35+'TE CVA'!$O$35)*(1 - CUSTOS!$M$39)</f>
        <v>3.5552614991024893</v>
      </c>
      <c r="P35" s="36">
        <f>('TE BE'!$Q$35+'TE BF'!$Q$35+'TE CVA'!$Q$35)*(1 - CUSTOS!$M$39)</f>
        <v>199.28076107466285</v>
      </c>
      <c r="Q35" s="36">
        <f>('TE BE'!$S$35+'TE BF'!$S$35+'TE CVA'!$S$35)*(1 - CUSTOS!$M$39)</f>
        <v>0</v>
      </c>
      <c r="R35" s="36">
        <f>('TE BE'!$T$35+'TE BF'!$T$35+'TE CVA'!$T$35)*(1 - CUSTOS!$M$39)</f>
        <v>0</v>
      </c>
      <c r="S35" s="36">
        <f>('TE BE'!$U$35+'TE BF'!$U$35+'TE CVA'!$U$35)*(1 - CUSTOS!$M$39)</f>
        <v>3.6359717023147545E-13</v>
      </c>
      <c r="T35" s="36">
        <f>('TE BE'!$W$35+'TE BF'!$W$35+'TE CVA'!$W$35)*(1 - CUSTOS!$M$39)</f>
        <v>-21.135771622639851</v>
      </c>
      <c r="U35" s="36">
        <f>('TE BE'!$Y$35+'TE BF'!$Y$35+'TE CVA'!$Y$35)*(1 - CUSTOS!$M$39)</f>
        <v>5.3490061294788074</v>
      </c>
      <c r="W35" s="36">
        <v>1.93120623432201</v>
      </c>
      <c r="X35" s="36">
        <v>12.406602606331999</v>
      </c>
      <c r="Y35" s="36">
        <v>0</v>
      </c>
      <c r="Z35" s="36">
        <v>0</v>
      </c>
      <c r="AA35" s="36">
        <v>175.12297561866299</v>
      </c>
      <c r="AB35" s="36">
        <v>0</v>
      </c>
      <c r="AC35" s="36">
        <v>0</v>
      </c>
      <c r="AD35" s="36">
        <v>3.2918179376750498E-13</v>
      </c>
      <c r="AE35" s="36">
        <v>-0.12566297786831401</v>
      </c>
      <c r="AF35" s="36">
        <v>4.3471736410912403</v>
      </c>
    </row>
    <row r="36" spans="1:32" ht="11.25" customHeight="1" x14ac:dyDescent="0.25">
      <c r="A36" s="112"/>
      <c r="B36" s="39" t="s">
        <v>103</v>
      </c>
      <c r="C36" s="39" t="s">
        <v>45</v>
      </c>
      <c r="D36" s="39" t="s">
        <v>110</v>
      </c>
      <c r="E36" s="39" t="s">
        <v>25</v>
      </c>
      <c r="F36" s="39" t="s">
        <v>25</v>
      </c>
      <c r="G36" s="38" t="s">
        <v>98</v>
      </c>
      <c r="H36" s="38" t="s">
        <v>93</v>
      </c>
      <c r="I36" s="38">
        <f>'MERCADO TE'!$U$33</f>
        <v>0</v>
      </c>
      <c r="J36" s="15"/>
      <c r="L36" s="36">
        <f>('TE BE'!$L$36+'TE BF'!$L$36+'TE CVA'!$L$36)*(1 - CUSTOS!$M$39)</f>
        <v>2.4640274431461404</v>
      </c>
      <c r="M36" s="36">
        <f>('TE BE'!$M$36+'TE BF'!$M$36+'TE CVA'!$M$36)*(1 - CUSTOS!$M$39)</f>
        <v>20.243596509469395</v>
      </c>
      <c r="N36" s="36">
        <f>('TE BE'!$N$36+'TE BF'!$N$36+'TE CVA'!$N$36)*(1 - CUSTOS!$M$39)</f>
        <v>0</v>
      </c>
      <c r="O36" s="36">
        <f>('TE BE'!$O$36+'TE BF'!$O$36+'TE CVA'!$O$36)*(1 - CUSTOS!$M$39)</f>
        <v>3.5552614991024893</v>
      </c>
      <c r="P36" s="36">
        <f>('TE BE'!$Q$36+'TE BF'!$Q$36+'TE CVA'!$Q$36)*(1 - CUSTOS!$M$39)</f>
        <v>211.23760673914262</v>
      </c>
      <c r="Q36" s="36">
        <f>('TE BE'!$S$36+'TE BF'!$S$36+'TE CVA'!$S$36)*(1 - CUSTOS!$M$39)</f>
        <v>0</v>
      </c>
      <c r="R36" s="36">
        <f>('TE BE'!$T$36+'TE BF'!$T$36+'TE CVA'!$T$36)*(1 - CUSTOS!$M$39)</f>
        <v>0</v>
      </c>
      <c r="S36" s="36">
        <f>('TE BE'!$U$36+'TE BF'!$U$36+'TE CVA'!$U$36)*(1 - CUSTOS!$M$39)</f>
        <v>3.6359717023147545E-13</v>
      </c>
      <c r="T36" s="36">
        <f>('TE BE'!$W$36+'TE BF'!$W$36+'TE CVA'!$W$36)*(1 - CUSTOS!$M$39)</f>
        <v>-22.250930195465603</v>
      </c>
      <c r="U36" s="36">
        <f>('TE BE'!$Y$36+'TE BF'!$Y$36+'TE CVA'!$Y$36)*(1 - CUSTOS!$M$39)</f>
        <v>5.3490061294788074</v>
      </c>
      <c r="W36" s="36">
        <v>1.93120623432201</v>
      </c>
      <c r="X36" s="36">
        <v>12.406602606331999</v>
      </c>
      <c r="Y36" s="36">
        <v>0</v>
      </c>
      <c r="Z36" s="36">
        <v>0</v>
      </c>
      <c r="AA36" s="36">
        <v>185.63035415578301</v>
      </c>
      <c r="AB36" s="36">
        <v>0</v>
      </c>
      <c r="AC36" s="36">
        <v>0</v>
      </c>
      <c r="AD36" s="36">
        <v>3.2918179376750498E-13</v>
      </c>
      <c r="AE36" s="36">
        <v>-0.132489524251415</v>
      </c>
      <c r="AF36" s="36">
        <v>4.3471736410912403</v>
      </c>
    </row>
    <row r="37" spans="1:32" ht="11.25" customHeight="1" x14ac:dyDescent="0.25">
      <c r="A37" s="112"/>
      <c r="B37" s="112" t="s">
        <v>92</v>
      </c>
      <c r="C37" s="112" t="s">
        <v>45</v>
      </c>
      <c r="D37" s="112" t="s">
        <v>111</v>
      </c>
      <c r="E37" s="112" t="s">
        <v>25</v>
      </c>
      <c r="F37" s="112" t="s">
        <v>25</v>
      </c>
      <c r="G37" s="38" t="s">
        <v>94</v>
      </c>
      <c r="H37" s="38" t="s">
        <v>93</v>
      </c>
      <c r="I37" s="38">
        <f>'MERCADO TE'!$U$34</f>
        <v>0</v>
      </c>
      <c r="J37" s="15"/>
      <c r="L37" s="36">
        <f>('TE BE'!$L$37+'TE BF'!$L$37+'TE CVA'!$L$37)*(1 - CUSTOS!$M$40)</f>
        <v>2.4116013273345209</v>
      </c>
      <c r="M37" s="36">
        <f>('TE BE'!$M$37+'TE BF'!$M$37+'TE CVA'!$M$37)*(1 - CUSTOS!$M$40)</f>
        <v>19.812881690118985</v>
      </c>
      <c r="N37" s="36">
        <f>('TE BE'!$N$37+'TE BF'!$N$37+'TE CVA'!$N$37)*(1 - CUSTOS!$M$40)</f>
        <v>0</v>
      </c>
      <c r="O37" s="36">
        <f>('TE BE'!$O$37+'TE BF'!$O$37+'TE CVA'!$O$37)*(1 - CUSTOS!$M$40)</f>
        <v>3.4796176374194583</v>
      </c>
      <c r="P37" s="36">
        <f>('TE BE'!$Q$37+'TE BF'!$Q$37+'TE CVA'!$Q$37)*(1 - CUSTOS!$M$40)</f>
        <v>335.47008119632608</v>
      </c>
      <c r="Q37" s="36">
        <f>('TE BE'!$S$37+'TE BF'!$S$37+'TE CVA'!$S$37)*(1 - CUSTOS!$M$40)</f>
        <v>0</v>
      </c>
      <c r="R37" s="36">
        <f>('TE BE'!$T$37+'TE BF'!$T$37+'TE CVA'!$T$37)*(1 - CUSTOS!$M$40)</f>
        <v>0</v>
      </c>
      <c r="S37" s="36">
        <f>('TE BE'!$U$37+'TE BF'!$U$37+'TE CVA'!$U$37)*(1 - CUSTOS!$M$40)</f>
        <v>3.5586106022655045E-13</v>
      </c>
      <c r="T37" s="36">
        <f>('TE BE'!$W$37+'TE BF'!$W$37+'TE CVA'!$W$37)*(1 - CUSTOS!$M$40)</f>
        <v>-33.783255890239296</v>
      </c>
      <c r="U37" s="36">
        <f>('TE BE'!$Y$37+'TE BF'!$Y$37+'TE CVA'!$Y$37)*(1 - CUSTOS!$M$40)</f>
        <v>5.235197488426067</v>
      </c>
      <c r="W37" s="36">
        <v>1.8434241327619201</v>
      </c>
      <c r="X37" s="36">
        <v>11.842666124226</v>
      </c>
      <c r="Y37" s="36">
        <v>0</v>
      </c>
      <c r="Z37" s="36">
        <v>0</v>
      </c>
      <c r="AA37" s="36">
        <v>287.52008542482298</v>
      </c>
      <c r="AB37" s="36">
        <v>0</v>
      </c>
      <c r="AC37" s="36">
        <v>0</v>
      </c>
      <c r="AD37" s="36">
        <v>3.1421898495989098E-13</v>
      </c>
      <c r="AE37" s="36">
        <v>-0.19814601017163599</v>
      </c>
      <c r="AF37" s="36">
        <v>4.1495748392234599</v>
      </c>
    </row>
    <row r="38" spans="1:32" ht="11.25" customHeight="1" x14ac:dyDescent="0.25">
      <c r="A38" s="112"/>
      <c r="B38" s="112"/>
      <c r="C38" s="112"/>
      <c r="D38" s="112"/>
      <c r="E38" s="112"/>
      <c r="F38" s="112"/>
      <c r="G38" s="38" t="s">
        <v>107</v>
      </c>
      <c r="H38" s="38" t="s">
        <v>93</v>
      </c>
      <c r="I38" s="38">
        <f>'MERCADO TE'!$U$35</f>
        <v>0</v>
      </c>
      <c r="J38" s="15"/>
      <c r="L38" s="36">
        <f>('TE BE'!$L$38+'TE BF'!$L$38+'TE CVA'!$L$38)*(1 - CUSTOS!$M$40)</f>
        <v>2.4116013273345209</v>
      </c>
      <c r="M38" s="36">
        <f>('TE BE'!$M$38+'TE BF'!$M$38+'TE CVA'!$M$38)*(1 - CUSTOS!$M$40)</f>
        <v>19.812881690118985</v>
      </c>
      <c r="N38" s="36">
        <f>('TE BE'!$N$38+'TE BF'!$N$38+'TE CVA'!$N$38)*(1 - CUSTOS!$M$40)</f>
        <v>0</v>
      </c>
      <c r="O38" s="36">
        <f>('TE BE'!$O$38+'TE BF'!$O$38+'TE CVA'!$O$38)*(1 - CUSTOS!$M$40)</f>
        <v>3.4796176374194583</v>
      </c>
      <c r="P38" s="36">
        <f>('TE BE'!$Q$38+'TE BF'!$Q$38+'TE CVA'!$Q$38)*(1 - CUSTOS!$M$40)</f>
        <v>195.04074488158494</v>
      </c>
      <c r="Q38" s="36">
        <f>('TE BE'!$S$38+'TE BF'!$S$38+'TE CVA'!$S$38)*(1 - CUSTOS!$M$40)</f>
        <v>0</v>
      </c>
      <c r="R38" s="36">
        <f>('TE BE'!$T$38+'TE BF'!$T$38+'TE CVA'!$T$38)*(1 - CUSTOS!$M$40)</f>
        <v>0</v>
      </c>
      <c r="S38" s="36">
        <f>('TE BE'!$U$38+'TE BF'!$U$38+'TE CVA'!$U$38)*(1 - CUSTOS!$M$40)</f>
        <v>3.5586106022655045E-13</v>
      </c>
      <c r="T38" s="36">
        <f>('TE BE'!$W$38+'TE BF'!$W$38+'TE CVA'!$W$38)*(1 - CUSTOS!$M$40)</f>
        <v>-20.68607435407305</v>
      </c>
      <c r="U38" s="36">
        <f>('TE BE'!$Y$38+'TE BF'!$Y$38+'TE CVA'!$Y$38)*(1 - CUSTOS!$M$40)</f>
        <v>5.235197488426067</v>
      </c>
      <c r="W38" s="36">
        <v>1.8434241327619201</v>
      </c>
      <c r="X38" s="36">
        <v>11.842666124226</v>
      </c>
      <c r="Y38" s="36">
        <v>0</v>
      </c>
      <c r="Z38" s="36">
        <v>0</v>
      </c>
      <c r="AA38" s="36">
        <v>167.162840363269</v>
      </c>
      <c r="AB38" s="36">
        <v>0</v>
      </c>
      <c r="AC38" s="36">
        <v>0</v>
      </c>
      <c r="AD38" s="36">
        <v>3.1421898495989098E-13</v>
      </c>
      <c r="AE38" s="36">
        <v>-0.119951024328846</v>
      </c>
      <c r="AF38" s="36">
        <v>4.1495748392234599</v>
      </c>
    </row>
    <row r="39" spans="1:32" ht="11.25" customHeight="1" x14ac:dyDescent="0.25">
      <c r="A39" s="112"/>
      <c r="B39" s="112"/>
      <c r="C39" s="112"/>
      <c r="D39" s="112"/>
      <c r="E39" s="112"/>
      <c r="F39" s="112"/>
      <c r="G39" s="38" t="s">
        <v>95</v>
      </c>
      <c r="H39" s="38" t="s">
        <v>93</v>
      </c>
      <c r="I39" s="38">
        <f>'MERCADO TE'!$U$36</f>
        <v>0</v>
      </c>
      <c r="J39" s="15"/>
      <c r="L39" s="36">
        <f>('TE BE'!$L$39+'TE BF'!$L$39+'TE CVA'!$L$39)*(1 - CUSTOS!$M$40)</f>
        <v>2.4116013273345209</v>
      </c>
      <c r="M39" s="36">
        <f>('TE BE'!$M$39+'TE BF'!$M$39+'TE CVA'!$M$39)*(1 - CUSTOS!$M$40)</f>
        <v>19.812881690118985</v>
      </c>
      <c r="N39" s="36">
        <f>('TE BE'!$N$39+'TE BF'!$N$39+'TE CVA'!$N$39)*(1 - CUSTOS!$M$40)</f>
        <v>0</v>
      </c>
      <c r="O39" s="36">
        <f>('TE BE'!$O$39+'TE BF'!$O$39+'TE CVA'!$O$39)*(1 - CUSTOS!$M$40)</f>
        <v>3.4796176374194583</v>
      </c>
      <c r="P39" s="36">
        <f>('TE BE'!$Q$39+'TE BF'!$Q$39+'TE CVA'!$Q$39)*(1 - CUSTOS!$M$40)</f>
        <v>195.04074488158494</v>
      </c>
      <c r="Q39" s="36">
        <f>('TE BE'!$S$39+'TE BF'!$S$39+'TE CVA'!$S$39)*(1 - CUSTOS!$M$40)</f>
        <v>0</v>
      </c>
      <c r="R39" s="36">
        <f>('TE BE'!$T$39+'TE BF'!$T$39+'TE CVA'!$T$39)*(1 - CUSTOS!$M$40)</f>
        <v>0</v>
      </c>
      <c r="S39" s="36">
        <f>('TE BE'!$U$39+'TE BF'!$U$39+'TE CVA'!$U$39)*(1 - CUSTOS!$M$40)</f>
        <v>3.5586106022655045E-13</v>
      </c>
      <c r="T39" s="36">
        <f>('TE BE'!$W$39+'TE BF'!$W$39+'TE CVA'!$W$39)*(1 - CUSTOS!$M$40)</f>
        <v>-20.68607435407305</v>
      </c>
      <c r="U39" s="36">
        <f>('TE BE'!$Y$39+'TE BF'!$Y$39+'TE CVA'!$Y$39)*(1 - CUSTOS!$M$40)</f>
        <v>5.235197488426067</v>
      </c>
      <c r="W39" s="36">
        <v>1.8434241327619201</v>
      </c>
      <c r="X39" s="36">
        <v>11.842666124226</v>
      </c>
      <c r="Y39" s="36">
        <v>0</v>
      </c>
      <c r="Z39" s="36">
        <v>0</v>
      </c>
      <c r="AA39" s="36">
        <v>167.162840363269</v>
      </c>
      <c r="AB39" s="36">
        <v>0</v>
      </c>
      <c r="AC39" s="36">
        <v>0</v>
      </c>
      <c r="AD39" s="36">
        <v>3.1421898495989098E-13</v>
      </c>
      <c r="AE39" s="36">
        <v>-0.119951024328846</v>
      </c>
      <c r="AF39" s="36">
        <v>4.1495748392234599</v>
      </c>
    </row>
    <row r="40" spans="1:32" ht="11.25" customHeight="1" x14ac:dyDescent="0.25">
      <c r="A40" s="112"/>
      <c r="B40" s="39" t="s">
        <v>103</v>
      </c>
      <c r="C40" s="39" t="s">
        <v>45</v>
      </c>
      <c r="D40" s="39" t="s">
        <v>111</v>
      </c>
      <c r="E40" s="39" t="s">
        <v>25</v>
      </c>
      <c r="F40" s="39" t="s">
        <v>25</v>
      </c>
      <c r="G40" s="38" t="s">
        <v>98</v>
      </c>
      <c r="H40" s="38" t="s">
        <v>93</v>
      </c>
      <c r="I40" s="38">
        <f>'MERCADO TE'!$U$37</f>
        <v>0</v>
      </c>
      <c r="J40" s="15"/>
      <c r="L40" s="36">
        <f>('TE BE'!$L$40+'TE BF'!$L$40+'TE CVA'!$L$40)*(1 - CUSTOS!$M$40)</f>
        <v>2.4116013273345209</v>
      </c>
      <c r="M40" s="36">
        <f>('TE BE'!$M$40+'TE BF'!$M$40+'TE CVA'!$M$40)*(1 - CUSTOS!$M$40)</f>
        <v>19.812881690118985</v>
      </c>
      <c r="N40" s="36">
        <f>('TE BE'!$N$40+'TE BF'!$N$40+'TE CVA'!$N$40)*(1 - CUSTOS!$M$40)</f>
        <v>0</v>
      </c>
      <c r="O40" s="36">
        <f>('TE BE'!$O$40+'TE BF'!$O$40+'TE CVA'!$O$40)*(1 - CUSTOS!$M$40)</f>
        <v>3.4796176374194583</v>
      </c>
      <c r="P40" s="36">
        <f>('TE BE'!$Q$40+'TE BF'!$Q$40+'TE CVA'!$Q$40)*(1 - CUSTOS!$M$40)</f>
        <v>206.74318957448003</v>
      </c>
      <c r="Q40" s="36">
        <f>('TE BE'!$S$40+'TE BF'!$S$40+'TE CVA'!$S$40)*(1 - CUSTOS!$M$40)</f>
        <v>0</v>
      </c>
      <c r="R40" s="36">
        <f>('TE BE'!$T$40+'TE BF'!$T$40+'TE CVA'!$T$40)*(1 - CUSTOS!$M$40)</f>
        <v>0</v>
      </c>
      <c r="S40" s="36">
        <f>('TE BE'!$U$40+'TE BF'!$U$40+'TE CVA'!$U$40)*(1 - CUSTOS!$M$40)</f>
        <v>3.5586106022655045E-13</v>
      </c>
      <c r="T40" s="36">
        <f>('TE BE'!$W$40+'TE BF'!$W$40+'TE CVA'!$W$40)*(1 - CUSTOS!$M$40)</f>
        <v>-21.77750614875357</v>
      </c>
      <c r="U40" s="36">
        <f>('TE BE'!$Y$40+'TE BF'!$Y$40+'TE CVA'!$Y$40)*(1 - CUSTOS!$M$40)</f>
        <v>5.235197488426067</v>
      </c>
      <c r="W40" s="36">
        <v>1.8434241327619201</v>
      </c>
      <c r="X40" s="36">
        <v>11.842666124226</v>
      </c>
      <c r="Y40" s="36">
        <v>0</v>
      </c>
      <c r="Z40" s="36">
        <v>0</v>
      </c>
      <c r="AA40" s="36">
        <v>177.192610785065</v>
      </c>
      <c r="AB40" s="36">
        <v>0</v>
      </c>
      <c r="AC40" s="36">
        <v>0</v>
      </c>
      <c r="AD40" s="36">
        <v>3.1421898495989098E-13</v>
      </c>
      <c r="AE40" s="36">
        <v>-0.12646727314907799</v>
      </c>
      <c r="AF40" s="36">
        <v>4.1495748392234599</v>
      </c>
    </row>
    <row r="41" spans="1:32" ht="11.25" customHeight="1" x14ac:dyDescent="0.25">
      <c r="A41" s="112"/>
      <c r="B41" s="112" t="s">
        <v>108</v>
      </c>
      <c r="C41" s="112" t="s">
        <v>45</v>
      </c>
      <c r="D41" s="39" t="s">
        <v>25</v>
      </c>
      <c r="E41" s="39" t="s">
        <v>25</v>
      </c>
      <c r="F41" s="39" t="s">
        <v>25</v>
      </c>
      <c r="G41" s="38" t="s">
        <v>98</v>
      </c>
      <c r="H41" s="38" t="s">
        <v>93</v>
      </c>
      <c r="I41" s="38">
        <f>'MERCADO TE'!$U$38</f>
        <v>0</v>
      </c>
      <c r="J41" s="15"/>
      <c r="L41" s="36">
        <f>('TE BE'!$L$41+'TE BF'!$L$41+'TE CVA'!$L$41)*(1 - CUSTOS!$M$38)</f>
        <v>2.4640274431461404</v>
      </c>
      <c r="M41" s="36">
        <f>('TE BE'!$M$41+'TE BF'!$M$41+'TE CVA'!$M$41)*(1 - CUSTOS!$M$38)</f>
        <v>20.243596509469395</v>
      </c>
      <c r="N41" s="36">
        <f>('TE BE'!$N$41+'TE BF'!$N$41+'TE CVA'!$N$41)*(1 - CUSTOS!$M$38)</f>
        <v>0</v>
      </c>
      <c r="O41" s="36">
        <f>('TE BE'!$O$41+'TE BF'!$O$41+'TE CVA'!$O$41)*(1 - CUSTOS!$M$38)</f>
        <v>3.5552614991024893</v>
      </c>
      <c r="P41" s="36">
        <f>('TE BE'!$Q$41+'TE BF'!$Q$41+'TE CVA'!$Q$41)*(1 - CUSTOS!$M$38)</f>
        <v>211.23760673914262</v>
      </c>
      <c r="Q41" s="36">
        <f>('TE BE'!$S$41+'TE BF'!$S$41+'TE CVA'!$S$41)*(1 - CUSTOS!$M$38)</f>
        <v>0</v>
      </c>
      <c r="R41" s="36">
        <f>('TE BE'!$T$41+'TE BF'!$T$41+'TE CVA'!$T$41)*(1 - CUSTOS!$M$38)</f>
        <v>0</v>
      </c>
      <c r="S41" s="36">
        <f>('TE BE'!$U$41+'TE BF'!$U$41+'TE CVA'!$U$41)*(1 - CUSTOS!$M$38)</f>
        <v>3.6359717023147545E-13</v>
      </c>
      <c r="T41" s="36">
        <f>('TE BE'!$W$41+'TE BF'!$W$41+'TE CVA'!$W$41)*(1 - CUSTOS!$M$38)</f>
        <v>-22.250930195465603</v>
      </c>
      <c r="U41" s="36">
        <f>('TE BE'!$Y$41+'TE BF'!$Y$41+'TE CVA'!$Y$41)*(1 - CUSTOS!$M$38)</f>
        <v>5.3490061294788074</v>
      </c>
      <c r="W41" s="36">
        <v>1.93120623432201</v>
      </c>
      <c r="X41" s="36">
        <v>12.406602606331999</v>
      </c>
      <c r="Y41" s="36">
        <v>0</v>
      </c>
      <c r="Z41" s="36">
        <v>0</v>
      </c>
      <c r="AA41" s="36">
        <v>185.63035415578301</v>
      </c>
      <c r="AB41" s="36">
        <v>0</v>
      </c>
      <c r="AC41" s="36">
        <v>0</v>
      </c>
      <c r="AD41" s="36">
        <v>3.2918179376750498E-13</v>
      </c>
      <c r="AE41" s="36">
        <v>-0.132489524251415</v>
      </c>
      <c r="AF41" s="36">
        <v>4.3471736410912403</v>
      </c>
    </row>
    <row r="42" spans="1:32" ht="11.25" customHeight="1" x14ac:dyDescent="0.25">
      <c r="A42" s="112"/>
      <c r="B42" s="112"/>
      <c r="C42" s="112"/>
      <c r="D42" s="39" t="s">
        <v>110</v>
      </c>
      <c r="E42" s="39" t="s">
        <v>25</v>
      </c>
      <c r="F42" s="39" t="s">
        <v>25</v>
      </c>
      <c r="G42" s="38" t="s">
        <v>98</v>
      </c>
      <c r="H42" s="38" t="s">
        <v>93</v>
      </c>
      <c r="I42" s="38">
        <f>'MERCADO TE'!$U$39</f>
        <v>0</v>
      </c>
      <c r="J42" s="15"/>
      <c r="L42" s="36">
        <f>('TE BE'!$L$42+'TE BF'!$L$42+'TE CVA'!$L$42)*(1 - CUSTOS!$M$39)</f>
        <v>2.4640274431461404</v>
      </c>
      <c r="M42" s="36">
        <f>('TE BE'!$M$42+'TE BF'!$M$42+'TE CVA'!$M$42)*(1 - CUSTOS!$M$39)</f>
        <v>20.243596509469395</v>
      </c>
      <c r="N42" s="36">
        <f>('TE BE'!$N$42+'TE BF'!$N$42+'TE CVA'!$N$42)*(1 - CUSTOS!$M$39)</f>
        <v>0</v>
      </c>
      <c r="O42" s="36">
        <f>('TE BE'!$O$42+'TE BF'!$O$42+'TE CVA'!$O$42)*(1 - CUSTOS!$M$39)</f>
        <v>3.5552614991024893</v>
      </c>
      <c r="P42" s="36">
        <f>('TE BE'!$Q$42+'TE BF'!$Q$42+'TE CVA'!$Q$42)*(1 - CUSTOS!$M$39)</f>
        <v>211.23760673914262</v>
      </c>
      <c r="Q42" s="36">
        <f>('TE BE'!$S$42+'TE BF'!$S$42+'TE CVA'!$S$42)*(1 - CUSTOS!$M$39)</f>
        <v>0</v>
      </c>
      <c r="R42" s="36">
        <f>('TE BE'!$T$42+'TE BF'!$T$42+'TE CVA'!$T$42)*(1 - CUSTOS!$M$39)</f>
        <v>0</v>
      </c>
      <c r="S42" s="36">
        <f>('TE BE'!$U$42+'TE BF'!$U$42+'TE CVA'!$U$42)*(1 - CUSTOS!$M$39)</f>
        <v>3.6359717023147545E-13</v>
      </c>
      <c r="T42" s="36">
        <f>('TE BE'!$W$42+'TE BF'!$W$42+'TE CVA'!$W$42)*(1 - CUSTOS!$M$39)</f>
        <v>-22.250930195465603</v>
      </c>
      <c r="U42" s="36">
        <f>('TE BE'!$Y$42+'TE BF'!$Y$42+'TE CVA'!$Y$42)*(1 - CUSTOS!$M$39)</f>
        <v>5.3490061294788074</v>
      </c>
      <c r="W42" s="36">
        <v>1.93120623432201</v>
      </c>
      <c r="X42" s="36">
        <v>12.406602606331999</v>
      </c>
      <c r="Y42" s="36">
        <v>0</v>
      </c>
      <c r="Z42" s="36">
        <v>0</v>
      </c>
      <c r="AA42" s="36">
        <v>185.63035415578301</v>
      </c>
      <c r="AB42" s="36">
        <v>0</v>
      </c>
      <c r="AC42" s="36">
        <v>0</v>
      </c>
      <c r="AD42" s="36">
        <v>3.2918179376750498E-13</v>
      </c>
      <c r="AE42" s="36">
        <v>-0.132489524251415</v>
      </c>
      <c r="AF42" s="36">
        <v>4.3471736410912403</v>
      </c>
    </row>
    <row r="43" spans="1:32" ht="11.25" customHeight="1" x14ac:dyDescent="0.25">
      <c r="A43" s="112"/>
      <c r="B43" s="112"/>
      <c r="C43" s="112"/>
      <c r="D43" s="39" t="s">
        <v>111</v>
      </c>
      <c r="E43" s="39" t="s">
        <v>25</v>
      </c>
      <c r="F43" s="39" t="s">
        <v>25</v>
      </c>
      <c r="G43" s="38" t="s">
        <v>98</v>
      </c>
      <c r="H43" s="38" t="s">
        <v>93</v>
      </c>
      <c r="I43" s="38">
        <f>'MERCADO TE'!$U$40</f>
        <v>0</v>
      </c>
      <c r="J43" s="15"/>
      <c r="L43" s="36">
        <f>('TE BE'!$L$43+'TE BF'!$L$43+'TE CVA'!$L$43)*(1 - CUSTOS!$M$40)</f>
        <v>2.4116013273345209</v>
      </c>
      <c r="M43" s="36">
        <f>('TE BE'!$M$43+'TE BF'!$M$43+'TE CVA'!$M$43)*(1 - CUSTOS!$M$40)</f>
        <v>19.812881690118985</v>
      </c>
      <c r="N43" s="36">
        <f>('TE BE'!$N$43+'TE BF'!$N$43+'TE CVA'!$N$43)*(1 - CUSTOS!$M$40)</f>
        <v>0</v>
      </c>
      <c r="O43" s="36">
        <f>('TE BE'!$O$43+'TE BF'!$O$43+'TE CVA'!$O$43)*(1 - CUSTOS!$M$40)</f>
        <v>3.4796176374194583</v>
      </c>
      <c r="P43" s="36">
        <f>('TE BE'!$Q$43+'TE BF'!$Q$43+'TE CVA'!$Q$43)*(1 - CUSTOS!$M$40)</f>
        <v>206.74318957448003</v>
      </c>
      <c r="Q43" s="36">
        <f>('TE BE'!$S$43+'TE BF'!$S$43+'TE CVA'!$S$43)*(1 - CUSTOS!$M$40)</f>
        <v>0</v>
      </c>
      <c r="R43" s="36">
        <f>('TE BE'!$T$43+'TE BF'!$T$43+'TE CVA'!$T$43)*(1 - CUSTOS!$M$40)</f>
        <v>0</v>
      </c>
      <c r="S43" s="36">
        <f>('TE BE'!$U$43+'TE BF'!$U$43+'TE CVA'!$U$43)*(1 - CUSTOS!$M$40)</f>
        <v>3.5586106022655045E-13</v>
      </c>
      <c r="T43" s="36">
        <f>('TE BE'!$W$43+'TE BF'!$W$43+'TE CVA'!$W$43)*(1 - CUSTOS!$M$40)</f>
        <v>-21.77750614875357</v>
      </c>
      <c r="U43" s="36">
        <f>('TE BE'!$Y$43+'TE BF'!$Y$43+'TE CVA'!$Y$43)*(1 - CUSTOS!$M$40)</f>
        <v>5.235197488426067</v>
      </c>
      <c r="W43" s="36">
        <v>1.8434241327619201</v>
      </c>
      <c r="X43" s="36">
        <v>11.842666124226</v>
      </c>
      <c r="Y43" s="36">
        <v>0</v>
      </c>
      <c r="Z43" s="36">
        <v>0</v>
      </c>
      <c r="AA43" s="36">
        <v>177.192610785065</v>
      </c>
      <c r="AB43" s="36">
        <v>0</v>
      </c>
      <c r="AC43" s="36">
        <v>0</v>
      </c>
      <c r="AD43" s="36">
        <v>3.1421898495989098E-13</v>
      </c>
      <c r="AE43" s="36">
        <v>-0.12646727314907799</v>
      </c>
      <c r="AF43" s="36">
        <v>4.1495748392234599</v>
      </c>
    </row>
    <row r="44" spans="1:32" ht="11.25" customHeight="1" x14ac:dyDescent="0.25">
      <c r="A44" s="112" t="s">
        <v>37</v>
      </c>
      <c r="B44" s="112" t="s">
        <v>92</v>
      </c>
      <c r="C44" s="112" t="s">
        <v>25</v>
      </c>
      <c r="D44" s="112" t="s">
        <v>25</v>
      </c>
      <c r="E44" s="112" t="s">
        <v>25</v>
      </c>
      <c r="F44" s="112" t="s">
        <v>25</v>
      </c>
      <c r="G44" s="38" t="s">
        <v>94</v>
      </c>
      <c r="H44" s="38" t="s">
        <v>93</v>
      </c>
      <c r="I44" s="38">
        <f>'MERCADO TE'!$U$41</f>
        <v>102.03199999999998</v>
      </c>
      <c r="J44" s="15"/>
      <c r="L44" s="36">
        <f>('TE BE'!$L$44+'TE BF'!$L$44+'TE CVA'!$L$44)*1</f>
        <v>2.6213057905810007</v>
      </c>
      <c r="M44" s="36">
        <f>('TE BE'!$M$44+'TE BF'!$M$44+'TE CVA'!$M$44)*1</f>
        <v>21.535740967520635</v>
      </c>
      <c r="N44" s="36">
        <f>('TE BE'!$N$44+'TE BF'!$N$44+'TE CVA'!$N$44)*1</f>
        <v>0</v>
      </c>
      <c r="O44" s="36">
        <f>('TE BE'!$O$44+'TE BF'!$O$44+'TE CVA'!$O$44)*1</f>
        <v>3.7821930841515847</v>
      </c>
      <c r="P44" s="36">
        <f>('TE BE'!$Q$44+'TE BF'!$Q$44+'TE CVA'!$Q$44)*1</f>
        <v>364.64139260470222</v>
      </c>
      <c r="Q44" s="36">
        <f>('TE BE'!$S$44+'TE BF'!$S$44+'TE CVA'!$S$44)*1</f>
        <v>0</v>
      </c>
      <c r="R44" s="36">
        <f>('TE BE'!$T$44+'TE BF'!$T$44+'TE CVA'!$T$44)*1</f>
        <v>0</v>
      </c>
      <c r="S44" s="36">
        <f>('TE BE'!$U$44+'TE BF'!$U$44+'TE CVA'!$U$44)*1</f>
        <v>3.8680550024625049E-13</v>
      </c>
      <c r="T44" s="36">
        <f>('TE BE'!$W$44+'TE BF'!$W$44+'TE CVA'!$W$44)*1</f>
        <v>-36.720930315477496</v>
      </c>
      <c r="U44" s="36">
        <f>('TE BE'!$Y$44+'TE BF'!$Y$44+'TE CVA'!$Y$44)*1</f>
        <v>5.6904320526370293</v>
      </c>
      <c r="W44" s="36">
        <v>2.1945525390022902</v>
      </c>
      <c r="X44" s="36">
        <v>14.09841205265</v>
      </c>
      <c r="Y44" s="36">
        <v>0</v>
      </c>
      <c r="Z44" s="36">
        <v>0</v>
      </c>
      <c r="AA44" s="36">
        <v>342.28581598193199</v>
      </c>
      <c r="AB44" s="36">
        <v>0</v>
      </c>
      <c r="AC44" s="36">
        <v>0</v>
      </c>
      <c r="AD44" s="36">
        <v>3.7407022019034598E-13</v>
      </c>
      <c r="AE44" s="36">
        <v>-0.23588810734718599</v>
      </c>
      <c r="AF44" s="36">
        <v>4.9399700466945902</v>
      </c>
    </row>
    <row r="45" spans="1:32" ht="11.25" customHeight="1" x14ac:dyDescent="0.25">
      <c r="A45" s="112"/>
      <c r="B45" s="112"/>
      <c r="C45" s="112"/>
      <c r="D45" s="112"/>
      <c r="E45" s="112"/>
      <c r="F45" s="112"/>
      <c r="G45" s="38" t="s">
        <v>107</v>
      </c>
      <c r="H45" s="38" t="s">
        <v>93</v>
      </c>
      <c r="I45" s="38">
        <f>'MERCADO TE'!$U$42</f>
        <v>72.591000000000008</v>
      </c>
      <c r="J45" s="15"/>
      <c r="L45" s="36">
        <f>('TE BE'!$L$45+'TE BF'!$L$45+'TE CVA'!$L$45)*1</f>
        <v>2.6213057905810007</v>
      </c>
      <c r="M45" s="36">
        <f>('TE BE'!$M$45+'TE BF'!$M$45+'TE CVA'!$M$45)*1</f>
        <v>21.535740967520635</v>
      </c>
      <c r="N45" s="36">
        <f>('TE BE'!$N$45+'TE BF'!$N$45+'TE CVA'!$N$45)*1</f>
        <v>0</v>
      </c>
      <c r="O45" s="36">
        <f>('TE BE'!$O$45+'TE BF'!$O$45+'TE CVA'!$O$45)*1</f>
        <v>3.7821930841515847</v>
      </c>
      <c r="P45" s="36">
        <f>('TE BE'!$Q$45+'TE BF'!$Q$45+'TE CVA'!$Q$45)*1</f>
        <v>212.00080965389665</v>
      </c>
      <c r="Q45" s="36">
        <f>('TE BE'!$S$45+'TE BF'!$S$45+'TE CVA'!$S$45)*1</f>
        <v>0</v>
      </c>
      <c r="R45" s="36">
        <f>('TE BE'!$T$45+'TE BF'!$T$45+'TE CVA'!$T$45)*1</f>
        <v>0</v>
      </c>
      <c r="S45" s="36">
        <f>('TE BE'!$U$45+'TE BF'!$U$45+'TE CVA'!$U$45)*1</f>
        <v>3.8680550024625049E-13</v>
      </c>
      <c r="T45" s="36">
        <f>('TE BE'!$W$45+'TE BF'!$W$45+'TE CVA'!$W$45)*1</f>
        <v>-22.484863428340269</v>
      </c>
      <c r="U45" s="36">
        <f>('TE BE'!$Y$45+'TE BF'!$Y$45+'TE CVA'!$Y$45)*1</f>
        <v>5.6904320526370293</v>
      </c>
      <c r="W45" s="36">
        <v>2.1945525390022902</v>
      </c>
      <c r="X45" s="36">
        <v>14.09841205265</v>
      </c>
      <c r="Y45" s="36">
        <v>0</v>
      </c>
      <c r="Z45" s="36">
        <v>0</v>
      </c>
      <c r="AA45" s="36">
        <v>199.003381384844</v>
      </c>
      <c r="AB45" s="36">
        <v>0</v>
      </c>
      <c r="AC45" s="36">
        <v>0</v>
      </c>
      <c r="AD45" s="36">
        <v>3.7407022019034598E-13</v>
      </c>
      <c r="AE45" s="36">
        <v>-0.14279883848672101</v>
      </c>
      <c r="AF45" s="36">
        <v>4.9399700466945902</v>
      </c>
    </row>
    <row r="46" spans="1:32" ht="11.25" customHeight="1" x14ac:dyDescent="0.25">
      <c r="A46" s="112"/>
      <c r="B46" s="112"/>
      <c r="C46" s="112"/>
      <c r="D46" s="112"/>
      <c r="E46" s="112"/>
      <c r="F46" s="112"/>
      <c r="G46" s="38" t="s">
        <v>95</v>
      </c>
      <c r="H46" s="38" t="s">
        <v>93</v>
      </c>
      <c r="I46" s="38">
        <f>'MERCADO TE'!$U$43</f>
        <v>1401.5319999999997</v>
      </c>
      <c r="J46" s="15"/>
      <c r="L46" s="36">
        <f>('TE BE'!$L$46+'TE BF'!$L$46+'TE CVA'!$L$46)*1</f>
        <v>2.6213057905810007</v>
      </c>
      <c r="M46" s="36">
        <f>('TE BE'!$M$46+'TE BF'!$M$46+'TE CVA'!$M$46)*1</f>
        <v>21.535740967520635</v>
      </c>
      <c r="N46" s="36">
        <f>('TE BE'!$N$46+'TE BF'!$N$46+'TE CVA'!$N$46)*1</f>
        <v>0</v>
      </c>
      <c r="O46" s="36">
        <f>('TE BE'!$O$46+'TE BF'!$O$46+'TE CVA'!$O$46)*1</f>
        <v>3.7821930841515847</v>
      </c>
      <c r="P46" s="36">
        <f>('TE BE'!$Q$46+'TE BF'!$Q$46+'TE CVA'!$Q$46)*1</f>
        <v>212.00080965389665</v>
      </c>
      <c r="Q46" s="36">
        <f>('TE BE'!$S$46+'TE BF'!$S$46+'TE CVA'!$S$46)*1</f>
        <v>0</v>
      </c>
      <c r="R46" s="36">
        <f>('TE BE'!$T$46+'TE BF'!$T$46+'TE CVA'!$T$46)*1</f>
        <v>0</v>
      </c>
      <c r="S46" s="36">
        <f>('TE BE'!$U$46+'TE BF'!$U$46+'TE CVA'!$U$46)*1</f>
        <v>3.8680550024625049E-13</v>
      </c>
      <c r="T46" s="36">
        <f>('TE BE'!$W$46+'TE BF'!$W$46+'TE CVA'!$W$46)*1</f>
        <v>-22.484863428340269</v>
      </c>
      <c r="U46" s="36">
        <f>('TE BE'!$Y$46+'TE BF'!$Y$46+'TE CVA'!$Y$46)*1</f>
        <v>5.6904320526370293</v>
      </c>
      <c r="W46" s="36">
        <v>2.1945525390022902</v>
      </c>
      <c r="X46" s="36">
        <v>14.09841205265</v>
      </c>
      <c r="Y46" s="36">
        <v>0</v>
      </c>
      <c r="Z46" s="36">
        <v>0</v>
      </c>
      <c r="AA46" s="36">
        <v>199.003381384844</v>
      </c>
      <c r="AB46" s="36">
        <v>0</v>
      </c>
      <c r="AC46" s="36">
        <v>0</v>
      </c>
      <c r="AD46" s="36">
        <v>3.7407022019034598E-13</v>
      </c>
      <c r="AE46" s="36">
        <v>-0.14279883848672101</v>
      </c>
      <c r="AF46" s="36">
        <v>4.9399700466945902</v>
      </c>
    </row>
    <row r="47" spans="1:32" ht="11.25" customHeight="1" x14ac:dyDescent="0.25">
      <c r="A47" s="112"/>
      <c r="B47" s="39" t="s">
        <v>103</v>
      </c>
      <c r="C47" s="39" t="s">
        <v>25</v>
      </c>
      <c r="D47" s="39" t="s">
        <v>25</v>
      </c>
      <c r="E47" s="39" t="s">
        <v>25</v>
      </c>
      <c r="F47" s="39" t="s">
        <v>25</v>
      </c>
      <c r="G47" s="38" t="s">
        <v>98</v>
      </c>
      <c r="H47" s="38" t="s">
        <v>93</v>
      </c>
      <c r="I47" s="38">
        <f>'MERCADO TE'!$U$44</f>
        <v>352409.69800000003</v>
      </c>
      <c r="J47" s="15"/>
      <c r="L47" s="36">
        <f>('TE BE'!$L$47+'TE BF'!$L$47+'TE CVA'!$L$47)*1</f>
        <v>2.6213057905810007</v>
      </c>
      <c r="M47" s="36">
        <f>('TE BE'!$M$47+'TE BF'!$M$47+'TE CVA'!$M$47)*1</f>
        <v>21.535740967520635</v>
      </c>
      <c r="N47" s="36">
        <f>('TE BE'!$N$47+'TE BF'!$N$47+'TE CVA'!$N$47)*1</f>
        <v>0</v>
      </c>
      <c r="O47" s="36">
        <f>('TE BE'!$O$47+'TE BF'!$O$47+'TE CVA'!$O$47)*1</f>
        <v>3.7821930841515847</v>
      </c>
      <c r="P47" s="36">
        <f>('TE BE'!$Q$47+'TE BF'!$Q$47+'TE CVA'!$Q$47)*1</f>
        <v>224.72085823313046</v>
      </c>
      <c r="Q47" s="36">
        <f>('TE BE'!$S$47+'TE BF'!$S$47+'TE CVA'!$S$47)*1</f>
        <v>0</v>
      </c>
      <c r="R47" s="36">
        <f>('TE BE'!$T$47+'TE BF'!$T$47+'TE CVA'!$T$47)*1</f>
        <v>0</v>
      </c>
      <c r="S47" s="36">
        <f>('TE BE'!$U$47+'TE BF'!$U$47+'TE CVA'!$U$47)*1</f>
        <v>3.8680550024625049E-13</v>
      </c>
      <c r="T47" s="36">
        <f>('TE BE'!$W$47+'TE BF'!$W$47+'TE CVA'!$W$47)*1</f>
        <v>-23.671202335601706</v>
      </c>
      <c r="U47" s="36">
        <f>('TE BE'!$Y$47+'TE BF'!$Y$47+'TE CVA'!$Y$47)*1</f>
        <v>5.6904320526370293</v>
      </c>
      <c r="W47" s="36">
        <v>2.1945525390022902</v>
      </c>
      <c r="X47" s="36">
        <v>14.09841205265</v>
      </c>
      <c r="Y47" s="36">
        <v>0</v>
      </c>
      <c r="Z47" s="36">
        <v>0</v>
      </c>
      <c r="AA47" s="36">
        <v>210.94358426793499</v>
      </c>
      <c r="AB47" s="36">
        <v>0</v>
      </c>
      <c r="AC47" s="36">
        <v>0</v>
      </c>
      <c r="AD47" s="36">
        <v>3.7407022019034598E-13</v>
      </c>
      <c r="AE47" s="36">
        <v>-0.15055627755842599</v>
      </c>
      <c r="AF47" s="36">
        <v>4.9399700466945902</v>
      </c>
    </row>
    <row r="48" spans="1:32" ht="11.25" customHeight="1" x14ac:dyDescent="0.25">
      <c r="A48" s="112"/>
      <c r="B48" s="39" t="s">
        <v>108</v>
      </c>
      <c r="C48" s="39" t="s">
        <v>25</v>
      </c>
      <c r="D48" s="39" t="s">
        <v>25</v>
      </c>
      <c r="E48" s="39" t="s">
        <v>25</v>
      </c>
      <c r="F48" s="39" t="s">
        <v>25</v>
      </c>
      <c r="G48" s="38" t="s">
        <v>98</v>
      </c>
      <c r="H48" s="38" t="s">
        <v>93</v>
      </c>
      <c r="I48" s="38">
        <f>'MERCADO TE'!$U$45</f>
        <v>0</v>
      </c>
      <c r="J48" s="15"/>
      <c r="L48" s="36">
        <f>('TE BE'!$L$48+'TE BF'!$L$48+'TE CVA'!$L$48)*1</f>
        <v>2.6213057905810007</v>
      </c>
      <c r="M48" s="36">
        <f>('TE BE'!$M$48+'TE BF'!$M$48+'TE CVA'!$M$48)*1</f>
        <v>21.535740967520635</v>
      </c>
      <c r="N48" s="36">
        <f>('TE BE'!$N$48+'TE BF'!$N$48+'TE CVA'!$N$48)*1</f>
        <v>0</v>
      </c>
      <c r="O48" s="36">
        <f>('TE BE'!$O$48+'TE BF'!$O$48+'TE CVA'!$O$48)*1</f>
        <v>3.7821930841515847</v>
      </c>
      <c r="P48" s="36">
        <f>('TE BE'!$Q$48+'TE BF'!$Q$48+'TE CVA'!$Q$48)*1</f>
        <v>224.72085823313046</v>
      </c>
      <c r="Q48" s="36">
        <f>('TE BE'!$S$48+'TE BF'!$S$48+'TE CVA'!$S$48)*1</f>
        <v>0</v>
      </c>
      <c r="R48" s="36">
        <f>('TE BE'!$T$48+'TE BF'!$T$48+'TE CVA'!$T$48)*1</f>
        <v>0</v>
      </c>
      <c r="S48" s="36">
        <f>('TE BE'!$U$48+'TE BF'!$U$48+'TE CVA'!$U$48)*1</f>
        <v>3.8680550024625049E-13</v>
      </c>
      <c r="T48" s="36">
        <f>('TE BE'!$W$48+'TE BF'!$W$48+'TE CVA'!$W$48)*1</f>
        <v>-23.671202335601706</v>
      </c>
      <c r="U48" s="36">
        <f>('TE BE'!$Y$48+'TE BF'!$Y$48+'TE CVA'!$Y$48)*1</f>
        <v>5.6904320526370293</v>
      </c>
      <c r="W48" s="36">
        <v>2.1945525390022902</v>
      </c>
      <c r="X48" s="36">
        <v>14.09841205265</v>
      </c>
      <c r="Y48" s="36">
        <v>0</v>
      </c>
      <c r="Z48" s="36">
        <v>0</v>
      </c>
      <c r="AA48" s="36">
        <v>210.94358426793499</v>
      </c>
      <c r="AB48" s="36">
        <v>0</v>
      </c>
      <c r="AC48" s="36">
        <v>0</v>
      </c>
      <c r="AD48" s="36">
        <v>3.7407022019034598E-13</v>
      </c>
      <c r="AE48" s="36">
        <v>-0.15055627755842599</v>
      </c>
      <c r="AF48" s="36">
        <v>4.9399700466945902</v>
      </c>
    </row>
    <row r="49" spans="1:32" ht="11.25" customHeight="1" x14ac:dyDescent="0.25">
      <c r="A49" s="112" t="s">
        <v>47</v>
      </c>
      <c r="B49" s="112" t="s">
        <v>103</v>
      </c>
      <c r="C49" s="112" t="s">
        <v>48</v>
      </c>
      <c r="D49" s="39" t="s">
        <v>49</v>
      </c>
      <c r="E49" s="39" t="s">
        <v>25</v>
      </c>
      <c r="F49" s="39" t="s">
        <v>25</v>
      </c>
      <c r="G49" s="38" t="s">
        <v>98</v>
      </c>
      <c r="H49" s="38" t="s">
        <v>93</v>
      </c>
      <c r="I49" s="38">
        <f>'MERCADO TE'!$U$46</f>
        <v>197535.73299999998</v>
      </c>
      <c r="J49" s="15"/>
      <c r="L49" s="36">
        <f>('TE BE'!$L$49+'TE BF'!$L$49+'TE CVA'!$L$49)*1</f>
        <v>1.4417181848195506</v>
      </c>
      <c r="M49" s="36">
        <f>('TE BE'!$M$49+'TE BF'!$M$49+'TE CVA'!$M$49)*1</f>
        <v>11.844657532136353</v>
      </c>
      <c r="N49" s="36">
        <f>('TE BE'!$N$49+'TE BF'!$N$49+'TE CVA'!$N$49)*1</f>
        <v>0</v>
      </c>
      <c r="O49" s="36">
        <f>('TE BE'!$O$49+'TE BF'!$O$49+'TE CVA'!$O$49)*1</f>
        <v>2.0802061962833722</v>
      </c>
      <c r="P49" s="36">
        <f>('TE BE'!$Q$49+'TE BF'!$Q$49+'TE CVA'!$Q$49)*1</f>
        <v>123.59647202822177</v>
      </c>
      <c r="Q49" s="36">
        <f>('TE BE'!$S$49+'TE BF'!$S$49+'TE CVA'!$S$49)*1</f>
        <v>0</v>
      </c>
      <c r="R49" s="36">
        <f>('TE BE'!$T$49+'TE BF'!$T$49+'TE CVA'!$T$49)*1</f>
        <v>0</v>
      </c>
      <c r="S49" s="36">
        <f>('TE BE'!$U$49+'TE BF'!$U$49+'TE CVA'!$U$49)*1</f>
        <v>2.1274302513543779E-13</v>
      </c>
      <c r="T49" s="36">
        <f>('TE BE'!$W$49+'TE BF'!$W$49+'TE CVA'!$W$49)*1</f>
        <v>-13.019161284580939</v>
      </c>
      <c r="U49" s="36">
        <f>('TE BE'!$Y$49+'TE BF'!$Y$49+'TE CVA'!$Y$49)*1</f>
        <v>3.1297376289503664</v>
      </c>
      <c r="W49" s="36">
        <v>1.2070038964512599</v>
      </c>
      <c r="X49" s="36">
        <v>7.7541266289575104</v>
      </c>
      <c r="Y49" s="36">
        <v>0</v>
      </c>
      <c r="Z49" s="36">
        <v>0</v>
      </c>
      <c r="AA49" s="36">
        <v>116.018971347364</v>
      </c>
      <c r="AB49" s="36">
        <v>0</v>
      </c>
      <c r="AC49" s="36">
        <v>0</v>
      </c>
      <c r="AD49" s="36">
        <v>2.0573862110469E-13</v>
      </c>
      <c r="AE49" s="36">
        <v>-8.2805952657134502E-2</v>
      </c>
      <c r="AF49" s="36">
        <v>2.7169835256820298</v>
      </c>
    </row>
    <row r="50" spans="1:32" ht="11.25" customHeight="1" x14ac:dyDescent="0.25">
      <c r="A50" s="112"/>
      <c r="B50" s="112"/>
      <c r="C50" s="112"/>
      <c r="D50" s="38" t="s">
        <v>112</v>
      </c>
      <c r="E50" s="38" t="s">
        <v>25</v>
      </c>
      <c r="F50" s="38" t="s">
        <v>25</v>
      </c>
      <c r="G50" s="38" t="s">
        <v>98</v>
      </c>
      <c r="H50" s="38" t="s">
        <v>93</v>
      </c>
      <c r="I50" s="38">
        <f>'MERCADO TE'!$U$47</f>
        <v>0</v>
      </c>
      <c r="J50" s="15"/>
      <c r="L50" s="36">
        <f>('TE BE'!$L$50+'TE BF'!$L$50+'TE CVA'!$L$50)*1</f>
        <v>1.5727834743486004</v>
      </c>
      <c r="M50" s="36">
        <f>('TE BE'!$M$50+'TE BF'!$M$50+'TE CVA'!$M$50)*1</f>
        <v>12.921444580512381</v>
      </c>
      <c r="N50" s="36">
        <f>('TE BE'!$N$50+'TE BF'!$N$50+'TE CVA'!$N$50)*1</f>
        <v>0</v>
      </c>
      <c r="O50" s="36">
        <f>('TE BE'!$O$50+'TE BF'!$O$50+'TE CVA'!$O$50)*1</f>
        <v>2.2693158504909507</v>
      </c>
      <c r="P50" s="36">
        <f>('TE BE'!$Q$50+'TE BF'!$Q$50+'TE CVA'!$Q$50)*1</f>
        <v>134.83251493987828</v>
      </c>
      <c r="Q50" s="36">
        <f>('TE BE'!$S$50+'TE BF'!$S$50+'TE CVA'!$S$50)*1</f>
        <v>0</v>
      </c>
      <c r="R50" s="36">
        <f>('TE BE'!$T$50+'TE BF'!$T$50+'TE CVA'!$T$50)*1</f>
        <v>0</v>
      </c>
      <c r="S50" s="36">
        <f>('TE BE'!$U$50+'TE BF'!$U$50+'TE CVA'!$U$50)*1</f>
        <v>2.3208330014775028E-13</v>
      </c>
      <c r="T50" s="36">
        <f>('TE BE'!$W$50+'TE BF'!$W$50+'TE CVA'!$W$50)*1</f>
        <v>-14.202721401361023</v>
      </c>
      <c r="U50" s="36">
        <f>('TE BE'!$Y$50+'TE BF'!$Y$50+'TE CVA'!$Y$50)*1</f>
        <v>3.4142592315822178</v>
      </c>
      <c r="W50" s="36">
        <v>1.3167315234013699</v>
      </c>
      <c r="X50" s="36">
        <v>8.4590472315900094</v>
      </c>
      <c r="Y50" s="36">
        <v>0</v>
      </c>
      <c r="Z50" s="36">
        <v>0</v>
      </c>
      <c r="AA50" s="36">
        <v>126.566150560761</v>
      </c>
      <c r="AB50" s="36">
        <v>0</v>
      </c>
      <c r="AC50" s="36">
        <v>0</v>
      </c>
      <c r="AD50" s="36">
        <v>2.24442132114208E-13</v>
      </c>
      <c r="AE50" s="36">
        <v>-9.0333766535055801E-2</v>
      </c>
      <c r="AF50" s="36">
        <v>2.9639820280167499</v>
      </c>
    </row>
    <row r="52" spans="1:32" ht="11.25" customHeight="1" x14ac:dyDescent="0.25">
      <c r="L52" s="114" t="s">
        <v>1341</v>
      </c>
      <c r="M52" s="114"/>
      <c r="N52" s="114"/>
      <c r="O52" s="114"/>
      <c r="P52" s="114"/>
      <c r="Q52" s="114"/>
      <c r="R52" s="114"/>
      <c r="S52" s="114"/>
      <c r="T52" s="114"/>
      <c r="U52" s="114"/>
      <c r="W52" s="114" t="s">
        <v>1342</v>
      </c>
      <c r="X52" s="114"/>
      <c r="Y52" s="114"/>
      <c r="Z52" s="114"/>
      <c r="AA52" s="114"/>
      <c r="AB52" s="114"/>
      <c r="AC52" s="114"/>
      <c r="AD52" s="114"/>
      <c r="AE52" s="114"/>
      <c r="AF52" s="114"/>
    </row>
    <row r="53" spans="1:32" ht="11.25" customHeight="1" x14ac:dyDescent="0.25">
      <c r="L53" s="114" t="s">
        <v>886</v>
      </c>
      <c r="M53" s="114"/>
      <c r="N53" s="114"/>
      <c r="O53" s="114"/>
      <c r="P53" s="114"/>
      <c r="Q53" s="114"/>
      <c r="R53" s="114"/>
      <c r="S53" s="114"/>
      <c r="T53" s="114"/>
      <c r="U53" s="114"/>
      <c r="W53" s="114" t="s">
        <v>886</v>
      </c>
      <c r="X53" s="114"/>
      <c r="Y53" s="114"/>
      <c r="Z53" s="114"/>
      <c r="AA53" s="114"/>
      <c r="AB53" s="114"/>
      <c r="AC53" s="114"/>
      <c r="AD53" s="114"/>
      <c r="AE53" s="114"/>
      <c r="AF53" s="114"/>
    </row>
    <row r="54" spans="1:32" ht="11.25" customHeight="1" x14ac:dyDescent="0.25">
      <c r="L54" s="114" t="s">
        <v>859</v>
      </c>
      <c r="M54" s="114"/>
      <c r="N54" s="114"/>
      <c r="O54" s="114"/>
      <c r="P54" s="40" t="s">
        <v>889</v>
      </c>
      <c r="Q54" s="114" t="s">
        <v>868</v>
      </c>
      <c r="R54" s="114"/>
      <c r="S54" s="114"/>
      <c r="T54" s="40" t="s">
        <v>878</v>
      </c>
      <c r="U54" s="40" t="s">
        <v>881</v>
      </c>
      <c r="W54" s="114" t="s">
        <v>859</v>
      </c>
      <c r="X54" s="114"/>
      <c r="Y54" s="114"/>
      <c r="Z54" s="114"/>
      <c r="AA54" s="40" t="s">
        <v>889</v>
      </c>
      <c r="AB54" s="114" t="s">
        <v>868</v>
      </c>
      <c r="AC54" s="114"/>
      <c r="AD54" s="114"/>
      <c r="AE54" s="40" t="s">
        <v>878</v>
      </c>
      <c r="AF54" s="40" t="s">
        <v>881</v>
      </c>
    </row>
    <row r="55" spans="1:32" ht="11.25" customHeight="1" x14ac:dyDescent="0.25">
      <c r="L55" s="40" t="s">
        <v>861</v>
      </c>
      <c r="M55" s="40" t="s">
        <v>887</v>
      </c>
      <c r="N55" s="40" t="s">
        <v>888</v>
      </c>
      <c r="O55" s="40" t="s">
        <v>946</v>
      </c>
      <c r="P55" s="40" t="s">
        <v>890</v>
      </c>
      <c r="Q55" s="40" t="s">
        <v>891</v>
      </c>
      <c r="R55" s="40" t="s">
        <v>892</v>
      </c>
      <c r="S55" s="40" t="s">
        <v>893</v>
      </c>
      <c r="T55" s="40" t="s">
        <v>879</v>
      </c>
      <c r="U55" s="40" t="s">
        <v>894</v>
      </c>
      <c r="W55" s="40" t="s">
        <v>861</v>
      </c>
      <c r="X55" s="40" t="s">
        <v>887</v>
      </c>
      <c r="Y55" s="40" t="s">
        <v>888</v>
      </c>
      <c r="Z55" s="40" t="s">
        <v>946</v>
      </c>
      <c r="AA55" s="40" t="s">
        <v>890</v>
      </c>
      <c r="AB55" s="40" t="s">
        <v>891</v>
      </c>
      <c r="AC55" s="40" t="s">
        <v>892</v>
      </c>
      <c r="AD55" s="40" t="s">
        <v>893</v>
      </c>
      <c r="AE55" s="40" t="s">
        <v>879</v>
      </c>
      <c r="AF55" s="40" t="s">
        <v>894</v>
      </c>
    </row>
    <row r="56" spans="1:32" ht="11.25" customHeight="1" x14ac:dyDescent="0.25">
      <c r="A56" s="9" t="s">
        <v>39</v>
      </c>
      <c r="B56" s="9" t="s">
        <v>1343</v>
      </c>
      <c r="C56" s="9" t="s">
        <v>1344</v>
      </c>
      <c r="D56" s="9" t="s">
        <v>1345</v>
      </c>
      <c r="E56" s="9" t="s">
        <v>1346</v>
      </c>
      <c r="F56" s="9" t="s">
        <v>1347</v>
      </c>
      <c r="G56" s="9" t="s">
        <v>1348</v>
      </c>
      <c r="L56" s="36">
        <f>$I$5*$L$5</f>
        <v>12652.723251828038</v>
      </c>
      <c r="M56" s="36">
        <f>$I$5*$M$5</f>
        <v>103950.39428982406</v>
      </c>
      <c r="N56" s="36">
        <f>$I$5*$N$5</f>
        <v>0</v>
      </c>
      <c r="O56" s="36">
        <f>$I$5*$O$5</f>
        <v>18256.184589643432</v>
      </c>
      <c r="P56" s="36">
        <f>$I$5*$P$5</f>
        <v>1760079.5158529996</v>
      </c>
      <c r="Q56" s="36">
        <f>$I$5*$Q$5</f>
        <v>0</v>
      </c>
      <c r="R56" s="36">
        <f>$I$5*$R$5</f>
        <v>0</v>
      </c>
      <c r="S56" s="36">
        <f>$I$5*$S$5</f>
        <v>1.8670629594176209E-9</v>
      </c>
      <c r="T56" s="36">
        <f>$I$5*$T$5</f>
        <v>-177247.45067931138</v>
      </c>
      <c r="U56" s="36">
        <f>$I$5*$U$5</f>
        <v>27467.021285368519</v>
      </c>
      <c r="W56" s="36">
        <f>$I$5*$W$5</f>
        <v>10592.837370354297</v>
      </c>
      <c r="X56" s="36">
        <f>$I$5*$X$5</f>
        <v>68051.314971871121</v>
      </c>
      <c r="Y56" s="36">
        <f>$I$5*$Y$5</f>
        <v>0</v>
      </c>
      <c r="Z56" s="36">
        <f>$I$5*$Z$5</f>
        <v>0</v>
      </c>
      <c r="AA56" s="36">
        <f>$I$5*$AA$5</f>
        <v>1652171.8748752358</v>
      </c>
      <c r="AB56" s="36">
        <f>$I$5*$AB$5</f>
        <v>0</v>
      </c>
      <c r="AC56" s="36">
        <f>$I$5*$AC$5</f>
        <v>0</v>
      </c>
      <c r="AD56" s="36">
        <f>$I$5*$AD$5</f>
        <v>1.8055913162919367E-9</v>
      </c>
      <c r="AE56" s="36">
        <f>$I$5*$AE$5</f>
        <v>-1138.6031158157703</v>
      </c>
      <c r="AF56" s="36">
        <f>$I$5*$AF$5</f>
        <v>23844.632739049088</v>
      </c>
    </row>
    <row r="57" spans="1:32" ht="11.25" customHeight="1" x14ac:dyDescent="0.25">
      <c r="A57" s="9" t="s">
        <v>39</v>
      </c>
      <c r="B57" s="9" t="s">
        <v>1343</v>
      </c>
      <c r="C57" s="9" t="s">
        <v>1344</v>
      </c>
      <c r="D57" s="9" t="s">
        <v>1345</v>
      </c>
      <c r="E57" s="9" t="s">
        <v>1346</v>
      </c>
      <c r="F57" s="9" t="s">
        <v>1347</v>
      </c>
      <c r="G57" s="9" t="s">
        <v>1349</v>
      </c>
      <c r="L57" s="36">
        <f>$I$6*$L$6</f>
        <v>224507.43577440435</v>
      </c>
      <c r="M57" s="36">
        <f>$I$6*$M$6</f>
        <v>1844475.3753999094</v>
      </c>
      <c r="N57" s="36">
        <f>$I$6*$N$6</f>
        <v>0</v>
      </c>
      <c r="O57" s="36">
        <f>$I$6*$O$6</f>
        <v>323934.15296212054</v>
      </c>
      <c r="P57" s="36">
        <f>$I$6*$P$6</f>
        <v>18157270.44456898</v>
      </c>
      <c r="Q57" s="36">
        <f>$I$6*$Q$6</f>
        <v>0</v>
      </c>
      <c r="R57" s="36">
        <f>$I$6*$R$6</f>
        <v>0</v>
      </c>
      <c r="S57" s="36">
        <f>$I$6*$S$6</f>
        <v>3.3128798370553165E-8</v>
      </c>
      <c r="T57" s="36">
        <f>$I$6*$T$6</f>
        <v>-1925765.0328981595</v>
      </c>
      <c r="U57" s="36">
        <f>$I$6*$U$6</f>
        <v>487369.42983781296</v>
      </c>
      <c r="W57" s="36">
        <f>$I$6*$W$6</f>
        <v>187957.22535462352</v>
      </c>
      <c r="X57" s="36">
        <f>$I$6*$X$6</f>
        <v>1207489.164295424</v>
      </c>
      <c r="Y57" s="36">
        <f>$I$6*$Y$6</f>
        <v>0</v>
      </c>
      <c r="Z57" s="36">
        <f>$I$6*$Z$6</f>
        <v>0</v>
      </c>
      <c r="AA57" s="36">
        <f>$I$6*$AA$6</f>
        <v>17044077.43105948</v>
      </c>
      <c r="AB57" s="36">
        <f>$I$6*$AB$6</f>
        <v>0</v>
      </c>
      <c r="AC57" s="36">
        <f>$I$6*$AC$6</f>
        <v>0</v>
      </c>
      <c r="AD57" s="36">
        <f>$I$6*$AD$6</f>
        <v>3.2038057610931103E-8</v>
      </c>
      <c r="AE57" s="36">
        <f>$I$6*$AE$6</f>
        <v>-12230.317109668931</v>
      </c>
      <c r="AF57" s="36">
        <f>$I$6*$AF$6</f>
        <v>423094.47908400983</v>
      </c>
    </row>
    <row r="58" spans="1:32" ht="11.25" customHeight="1" x14ac:dyDescent="0.25">
      <c r="A58" s="9" t="s">
        <v>39</v>
      </c>
      <c r="B58" s="9" t="s">
        <v>1350</v>
      </c>
      <c r="C58" s="9" t="s">
        <v>1351</v>
      </c>
      <c r="D58" s="9" t="s">
        <v>1352</v>
      </c>
      <c r="E58" s="9" t="s">
        <v>1353</v>
      </c>
      <c r="F58" s="9" t="s">
        <v>1354</v>
      </c>
      <c r="G58" s="9" t="s">
        <v>1355</v>
      </c>
      <c r="L58" s="36">
        <f>$I$7*$L$7</f>
        <v>749524.56537407904</v>
      </c>
      <c r="M58" s="36">
        <f>$I$7*$M$7</f>
        <v>6157834.3689203644</v>
      </c>
      <c r="N58" s="36">
        <f>$I$7*$N$7</f>
        <v>0</v>
      </c>
      <c r="O58" s="36">
        <f>$I$7*$O$7</f>
        <v>1081463.5353669415</v>
      </c>
      <c r="P58" s="36">
        <f>$I$7*$P$7</f>
        <v>62890979.370235935</v>
      </c>
      <c r="Q58" s="36">
        <f>$I$7*$Q$7</f>
        <v>0</v>
      </c>
      <c r="R58" s="36">
        <f>$I$7*$R$7</f>
        <v>0</v>
      </c>
      <c r="S58" s="36">
        <f>$I$7*$S$7</f>
        <v>1.1060145119204678E-7</v>
      </c>
      <c r="T58" s="36">
        <f>$I$7*$T$7</f>
        <v>0</v>
      </c>
      <c r="U58" s="36">
        <f>$I$7*$U$7</f>
        <v>1627096.9325170391</v>
      </c>
      <c r="W58" s="36">
        <f>$I$7*$W$7</f>
        <v>627500.63113456708</v>
      </c>
      <c r="X58" s="36">
        <f>$I$7*$X$7</f>
        <v>4031237.4863693477</v>
      </c>
      <c r="Y58" s="36">
        <f>$I$7*$Y$7</f>
        <v>0</v>
      </c>
      <c r="Z58" s="36">
        <f>$I$7*$Z$7</f>
        <v>0</v>
      </c>
      <c r="AA58" s="36">
        <f>$I$7*$AA$7</f>
        <v>59088220.115584977</v>
      </c>
      <c r="AB58" s="36">
        <f>$I$7*$AB$7</f>
        <v>0</v>
      </c>
      <c r="AC58" s="36">
        <f>$I$7*$AC$7</f>
        <v>0</v>
      </c>
      <c r="AD58" s="36">
        <f>$I$7*$AD$7</f>
        <v>1.0695998163015209E-7</v>
      </c>
      <c r="AE58" s="36">
        <f>$I$7*$AE$7</f>
        <v>0</v>
      </c>
      <c r="AF58" s="36">
        <f>$I$7*$AF$7</f>
        <v>1412513.1510845444</v>
      </c>
    </row>
    <row r="59" spans="1:32" ht="11.25" customHeight="1" x14ac:dyDescent="0.25">
      <c r="A59" s="9" t="s">
        <v>39</v>
      </c>
      <c r="B59" s="9" t="s">
        <v>1356</v>
      </c>
      <c r="C59" s="9" t="s">
        <v>1357</v>
      </c>
      <c r="D59" s="9" t="s">
        <v>1358</v>
      </c>
      <c r="E59" s="9" t="s">
        <v>1359</v>
      </c>
      <c r="F59" s="9" t="s">
        <v>1360</v>
      </c>
      <c r="G59" s="9" t="s">
        <v>1361</v>
      </c>
      <c r="L59" s="36">
        <f>$I$8*$L$8</f>
        <v>0</v>
      </c>
      <c r="M59" s="36">
        <f>$I$8*$M$8</f>
        <v>0</v>
      </c>
      <c r="N59" s="36">
        <f>$I$8*$N$8</f>
        <v>0</v>
      </c>
      <c r="O59" s="36">
        <f>$I$8*$O$8</f>
        <v>0</v>
      </c>
      <c r="P59" s="36">
        <f>$I$8*$P$8</f>
        <v>0</v>
      </c>
      <c r="Q59" s="36">
        <f>$I$8*$Q$8</f>
        <v>0</v>
      </c>
      <c r="R59" s="36">
        <f>$I$8*$R$8</f>
        <v>0</v>
      </c>
      <c r="S59" s="36">
        <f>$I$8*$S$8</f>
        <v>0</v>
      </c>
      <c r="T59" s="36">
        <f>$I$8*$T$8</f>
        <v>0</v>
      </c>
      <c r="U59" s="36">
        <f>$I$8*$U$8</f>
        <v>0</v>
      </c>
      <c r="W59" s="36">
        <f>$I$8*$W$8</f>
        <v>0</v>
      </c>
      <c r="X59" s="36">
        <f>$I$8*$X$8</f>
        <v>0</v>
      </c>
      <c r="Y59" s="36">
        <f>$I$8*$Y$8</f>
        <v>0</v>
      </c>
      <c r="Z59" s="36">
        <f>$I$8*$Z$8</f>
        <v>0</v>
      </c>
      <c r="AA59" s="36">
        <f>$I$8*$AA$8</f>
        <v>0</v>
      </c>
      <c r="AB59" s="36">
        <f>$I$8*$AB$8</f>
        <v>0</v>
      </c>
      <c r="AC59" s="36">
        <f>$I$8*$AC$8</f>
        <v>0</v>
      </c>
      <c r="AD59" s="36">
        <f>$I$8*$AD$8</f>
        <v>0</v>
      </c>
      <c r="AE59" s="36">
        <f>$I$8*$AE$8</f>
        <v>0</v>
      </c>
      <c r="AF59" s="36">
        <f>$I$8*$AF$8</f>
        <v>0</v>
      </c>
    </row>
    <row r="60" spans="1:32" ht="11.25" customHeight="1" x14ac:dyDescent="0.25">
      <c r="A60" s="9" t="s">
        <v>39</v>
      </c>
      <c r="B60" s="9" t="s">
        <v>1350</v>
      </c>
      <c r="C60" s="9" t="s">
        <v>1351</v>
      </c>
      <c r="D60" s="9" t="s">
        <v>1352</v>
      </c>
      <c r="E60" s="9" t="s">
        <v>1362</v>
      </c>
      <c r="F60" s="9" t="s">
        <v>1363</v>
      </c>
      <c r="G60" s="9" t="s">
        <v>1364</v>
      </c>
      <c r="L60" s="36">
        <f>$I$9*$L$9</f>
        <v>0</v>
      </c>
      <c r="M60" s="36">
        <f>$I$9*$M$9</f>
        <v>0</v>
      </c>
      <c r="N60" s="36">
        <f>$I$9*$N$9</f>
        <v>0</v>
      </c>
      <c r="O60" s="36">
        <f>$I$9*$O$9</f>
        <v>0</v>
      </c>
      <c r="P60" s="36">
        <f>$I$9*$P$9</f>
        <v>0</v>
      </c>
      <c r="Q60" s="36">
        <f>$I$9*$Q$9</f>
        <v>0</v>
      </c>
      <c r="R60" s="36">
        <f>$I$9*$R$9</f>
        <v>0</v>
      </c>
      <c r="S60" s="36">
        <f>$I$9*$S$9</f>
        <v>0</v>
      </c>
      <c r="T60" s="36">
        <f>$I$9*$T$9</f>
        <v>0</v>
      </c>
      <c r="U60" s="36">
        <f>$I$9*$U$9</f>
        <v>0</v>
      </c>
      <c r="W60" s="36">
        <f>$I$9*$W$9</f>
        <v>0</v>
      </c>
      <c r="X60" s="36">
        <f>$I$9*$X$9</f>
        <v>0</v>
      </c>
      <c r="Y60" s="36">
        <f>$I$9*$Y$9</f>
        <v>0</v>
      </c>
      <c r="Z60" s="36">
        <f>$I$9*$Z$9</f>
        <v>0</v>
      </c>
      <c r="AA60" s="36">
        <f>$I$9*$AA$9</f>
        <v>0</v>
      </c>
      <c r="AB60" s="36">
        <f>$I$9*$AB$9</f>
        <v>0</v>
      </c>
      <c r="AC60" s="36">
        <f>$I$9*$AC$9</f>
        <v>0</v>
      </c>
      <c r="AD60" s="36">
        <f>$I$9*$AD$9</f>
        <v>0</v>
      </c>
      <c r="AE60" s="36">
        <f>$I$9*$AE$9</f>
        <v>0</v>
      </c>
      <c r="AF60" s="36">
        <f>$I$9*$AF$9</f>
        <v>0</v>
      </c>
    </row>
    <row r="61" spans="1:32" ht="11.25" customHeight="1" x14ac:dyDescent="0.25">
      <c r="A61" s="9" t="s">
        <v>41</v>
      </c>
      <c r="B61" s="9" t="s">
        <v>1365</v>
      </c>
      <c r="C61" s="9" t="s">
        <v>1366</v>
      </c>
      <c r="D61" s="9" t="s">
        <v>1367</v>
      </c>
      <c r="E61" s="9" t="s">
        <v>1368</v>
      </c>
      <c r="F61" s="9" t="s">
        <v>1369</v>
      </c>
      <c r="G61" s="9" t="s">
        <v>1370</v>
      </c>
      <c r="L61" s="36">
        <f>$I$10*$L$10</f>
        <v>80084.026983975098</v>
      </c>
      <c r="M61" s="36">
        <f>$I$10*$M$10</f>
        <v>657942.64330395253</v>
      </c>
      <c r="N61" s="36">
        <f>$I$10*$N$10</f>
        <v>0</v>
      </c>
      <c r="O61" s="36">
        <f>$I$10*$O$10</f>
        <v>115550.52222375956</v>
      </c>
      <c r="P61" s="36">
        <f>$I$10*$P$10</f>
        <v>11140230.655179208</v>
      </c>
      <c r="Q61" s="36">
        <f>$I$10*$Q$10</f>
        <v>0</v>
      </c>
      <c r="R61" s="36">
        <f>$I$10*$R$10</f>
        <v>0</v>
      </c>
      <c r="S61" s="36">
        <f>$I$10*$S$10</f>
        <v>1.1817370651901247E-8</v>
      </c>
      <c r="T61" s="36">
        <f>$I$10*$T$10</f>
        <v>-1121868.3393704947</v>
      </c>
      <c r="U61" s="36">
        <f>$I$10*$U$10</f>
        <v>173849.50496479619</v>
      </c>
      <c r="W61" s="36">
        <f>$I$10*$W$10</f>
        <v>67046.204751356607</v>
      </c>
      <c r="X61" s="36">
        <f>$I$10*$X$10</f>
        <v>430723.34990927245</v>
      </c>
      <c r="Y61" s="36">
        <f>$I$10*$Y$10</f>
        <v>0</v>
      </c>
      <c r="Z61" s="36">
        <f>$I$10*$Z$10</f>
        <v>0</v>
      </c>
      <c r="AA61" s="36">
        <f>$I$10*$AA$10</f>
        <v>10457241.052083937</v>
      </c>
      <c r="AB61" s="36">
        <f>$I$10*$AB$10</f>
        <v>0</v>
      </c>
      <c r="AC61" s="36">
        <f>$I$10*$AC$10</f>
        <v>0</v>
      </c>
      <c r="AD61" s="36">
        <f>$I$10*$AD$10</f>
        <v>1.1428292614798417E-8</v>
      </c>
      <c r="AE61" s="36">
        <f>$I$10*$AE$10</f>
        <v>-7206.6638016329189</v>
      </c>
      <c r="AF61" s="36">
        <f>$I$10*$AF$10</f>
        <v>150921.99313069557</v>
      </c>
    </row>
    <row r="62" spans="1:32" ht="11.25" customHeight="1" x14ac:dyDescent="0.25">
      <c r="A62" s="9" t="s">
        <v>41</v>
      </c>
      <c r="B62" s="9" t="s">
        <v>1365</v>
      </c>
      <c r="C62" s="9" t="s">
        <v>1366</v>
      </c>
      <c r="D62" s="9" t="s">
        <v>1367</v>
      </c>
      <c r="E62" s="9" t="s">
        <v>1368</v>
      </c>
      <c r="F62" s="9" t="s">
        <v>1369</v>
      </c>
      <c r="G62" s="9" t="s">
        <v>1371</v>
      </c>
      <c r="L62" s="36">
        <f>$I$11*$L$11</f>
        <v>1170935.752703422</v>
      </c>
      <c r="M62" s="36">
        <f>$I$11*$M$11</f>
        <v>9620002.8056400362</v>
      </c>
      <c r="N62" s="36">
        <f>$I$11*$N$11</f>
        <v>0</v>
      </c>
      <c r="O62" s="36">
        <f>$I$11*$O$11</f>
        <v>1689503.4229787861</v>
      </c>
      <c r="P62" s="36">
        <f>$I$11*$P$11</f>
        <v>94700636.803918734</v>
      </c>
      <c r="Q62" s="36">
        <f>$I$11*$Q$11</f>
        <v>0</v>
      </c>
      <c r="R62" s="36">
        <f>$I$11*$R$11</f>
        <v>0</v>
      </c>
      <c r="S62" s="36">
        <f>$I$11*$S$11</f>
        <v>1.7278578913156041E-7</v>
      </c>
      <c r="T62" s="36">
        <f>$I$11*$T$11</f>
        <v>-10043975.249855036</v>
      </c>
      <c r="U62" s="36">
        <f>$I$11*$U$11</f>
        <v>2541912.6462484812</v>
      </c>
      <c r="W62" s="36">
        <f>$I$11*$W$11</f>
        <v>980305.3265808773</v>
      </c>
      <c r="X62" s="36">
        <f>$I$11*$X$11</f>
        <v>6297752.3599540545</v>
      </c>
      <c r="Y62" s="36">
        <f>$I$11*$Y$11</f>
        <v>0</v>
      </c>
      <c r="Z62" s="36">
        <f>$I$11*$Z$11</f>
        <v>0</v>
      </c>
      <c r="AA62" s="36">
        <f>$I$11*$AA$11</f>
        <v>88894693.251618162</v>
      </c>
      <c r="AB62" s="36">
        <f>$I$11*$AB$11</f>
        <v>0</v>
      </c>
      <c r="AC62" s="36">
        <f>$I$11*$AC$11</f>
        <v>0</v>
      </c>
      <c r="AD62" s="36">
        <f>$I$11*$AD$11</f>
        <v>1.6709694703166783E-7</v>
      </c>
      <c r="AE62" s="36">
        <f>$I$11*$AE$11</f>
        <v>-63788.15704350239</v>
      </c>
      <c r="AF62" s="36">
        <f>$I$11*$AF$11</f>
        <v>2206681.7102161152</v>
      </c>
    </row>
    <row r="63" spans="1:32" ht="11.25" customHeight="1" x14ac:dyDescent="0.25">
      <c r="A63" s="9" t="s">
        <v>41</v>
      </c>
      <c r="B63" s="9" t="s">
        <v>1372</v>
      </c>
      <c r="C63" s="9" t="s">
        <v>1373</v>
      </c>
      <c r="D63" s="9" t="s">
        <v>1374</v>
      </c>
      <c r="E63" s="9" t="s">
        <v>1375</v>
      </c>
      <c r="F63" s="9" t="s">
        <v>1376</v>
      </c>
      <c r="G63" s="9" t="s">
        <v>1377</v>
      </c>
      <c r="L63" s="36">
        <f>$I$12*$L$12</f>
        <v>-2471.2098210123327</v>
      </c>
      <c r="M63" s="36">
        <f>$I$12*$M$12</f>
        <v>-20302.604439720402</v>
      </c>
      <c r="N63" s="36">
        <f>$I$12*$N$12</f>
        <v>0</v>
      </c>
      <c r="O63" s="36">
        <f>$I$12*$O$12</f>
        <v>-3565.6247081530651</v>
      </c>
      <c r="P63" s="36">
        <f>$I$12*$P$12</f>
        <v>-207353.85209855571</v>
      </c>
      <c r="Q63" s="36">
        <f>$I$12*$Q$12</f>
        <v>0</v>
      </c>
      <c r="R63" s="36">
        <f>$I$12*$R$12</f>
        <v>0</v>
      </c>
      <c r="S63" s="36">
        <f>$I$12*$S$12</f>
        <v>-3.646570173021502E-10</v>
      </c>
      <c r="T63" s="36">
        <f>$I$12*$T$12</f>
        <v>0</v>
      </c>
      <c r="U63" s="36">
        <f>$I$12*$U$12</f>
        <v>-5364.5979133030332</v>
      </c>
      <c r="W63" s="36">
        <f>$I$12*$W$12</f>
        <v>-2068.8924606190189</v>
      </c>
      <c r="X63" s="36">
        <f>$I$12*$X$12</f>
        <v>-13291.13697851526</v>
      </c>
      <c r="Y63" s="36">
        <f>$I$12*$Y$12</f>
        <v>0</v>
      </c>
      <c r="Z63" s="36">
        <f>$I$12*$Z$12</f>
        <v>0</v>
      </c>
      <c r="AA63" s="36">
        <f>$I$12*$AA$12</f>
        <v>-194816.01618073112</v>
      </c>
      <c r="AB63" s="36">
        <f>$I$12*$AB$12</f>
        <v>0</v>
      </c>
      <c r="AC63" s="36">
        <f>$I$12*$AC$12</f>
        <v>0</v>
      </c>
      <c r="AD63" s="36">
        <f>$I$12*$AD$12</f>
        <v>-3.5265095938224679E-10</v>
      </c>
      <c r="AE63" s="36">
        <f>$I$12*$AE$12</f>
        <v>0</v>
      </c>
      <c r="AF63" s="36">
        <f>$I$12*$AF$12</f>
        <v>-4657.1073618208584</v>
      </c>
    </row>
    <row r="64" spans="1:32" ht="11.25" customHeight="1" x14ac:dyDescent="0.25">
      <c r="A64" s="9" t="s">
        <v>41</v>
      </c>
      <c r="B64" s="9" t="s">
        <v>1378</v>
      </c>
      <c r="C64" s="9" t="s">
        <v>1379</v>
      </c>
      <c r="D64" s="9" t="s">
        <v>1380</v>
      </c>
      <c r="E64" s="9" t="s">
        <v>1381</v>
      </c>
      <c r="F64" s="9" t="s">
        <v>1382</v>
      </c>
      <c r="G64" s="9" t="s">
        <v>1383</v>
      </c>
      <c r="L64" s="36">
        <f>$I$13*$L$13</f>
        <v>0</v>
      </c>
      <c r="M64" s="36">
        <f>$I$13*$M$13</f>
        <v>0</v>
      </c>
      <c r="N64" s="36">
        <f>$I$13*$N$13</f>
        <v>0</v>
      </c>
      <c r="O64" s="36">
        <f>$I$13*$O$13</f>
        <v>0</v>
      </c>
      <c r="P64" s="36">
        <f>$I$13*$P$13</f>
        <v>0</v>
      </c>
      <c r="Q64" s="36">
        <f>$I$13*$Q$13</f>
        <v>0</v>
      </c>
      <c r="R64" s="36">
        <f>$I$13*$R$13</f>
        <v>0</v>
      </c>
      <c r="S64" s="36">
        <f>$I$13*$S$13</f>
        <v>0</v>
      </c>
      <c r="T64" s="36">
        <f>$I$13*$T$13</f>
        <v>0</v>
      </c>
      <c r="U64" s="36">
        <f>$I$13*$U$13</f>
        <v>0</v>
      </c>
      <c r="W64" s="36">
        <f>$I$13*$W$13</f>
        <v>0</v>
      </c>
      <c r="X64" s="36">
        <f>$I$13*$X$13</f>
        <v>0</v>
      </c>
      <c r="Y64" s="36">
        <f>$I$13*$Y$13</f>
        <v>0</v>
      </c>
      <c r="Z64" s="36">
        <f>$I$13*$Z$13</f>
        <v>0</v>
      </c>
      <c r="AA64" s="36">
        <f>$I$13*$AA$13</f>
        <v>0</v>
      </c>
      <c r="AB64" s="36">
        <f>$I$13*$AB$13</f>
        <v>0</v>
      </c>
      <c r="AC64" s="36">
        <f>$I$13*$AC$13</f>
        <v>0</v>
      </c>
      <c r="AD64" s="36">
        <f>$I$13*$AD$13</f>
        <v>0</v>
      </c>
      <c r="AE64" s="36">
        <f>$I$13*$AE$13</f>
        <v>0</v>
      </c>
      <c r="AF64" s="36">
        <f>$I$13*$AF$13</f>
        <v>0</v>
      </c>
    </row>
    <row r="65" spans="1:32" ht="11.25" customHeight="1" x14ac:dyDescent="0.25">
      <c r="A65" s="9" t="s">
        <v>41</v>
      </c>
      <c r="B65" s="9" t="s">
        <v>1384</v>
      </c>
      <c r="C65" s="9" t="s">
        <v>1385</v>
      </c>
      <c r="D65" s="9" t="s">
        <v>1386</v>
      </c>
      <c r="E65" s="9" t="s">
        <v>1387</v>
      </c>
      <c r="F65" s="9" t="s">
        <v>1388</v>
      </c>
      <c r="G65" s="9" t="s">
        <v>1389</v>
      </c>
      <c r="L65" s="36">
        <f>$I$14*$L$14</f>
        <v>33022.940355243009</v>
      </c>
      <c r="M65" s="36">
        <f>$I$14*$M$14</f>
        <v>271305.04652750527</v>
      </c>
      <c r="N65" s="36">
        <f>$I$14*$N$14</f>
        <v>0</v>
      </c>
      <c r="O65" s="36">
        <f>$I$14*$O$14</f>
        <v>47647.678908253984</v>
      </c>
      <c r="P65" s="36">
        <f>$I$14*$P$14</f>
        <v>2770883.2459541741</v>
      </c>
      <c r="Q65" s="36">
        <f>$I$14*$Q$14</f>
        <v>0</v>
      </c>
      <c r="R65" s="36">
        <f>$I$14*$R$14</f>
        <v>0</v>
      </c>
      <c r="S65" s="36">
        <f>$I$14*$S$14</f>
        <v>4.8729358511357374E-9</v>
      </c>
      <c r="T65" s="36">
        <f>$I$14*$T$14</f>
        <v>0</v>
      </c>
      <c r="U65" s="36">
        <f>$I$14*$U$14</f>
        <v>71687.476884619857</v>
      </c>
      <c r="W65" s="36">
        <f>$I$14*$W$14</f>
        <v>27646.746847439328</v>
      </c>
      <c r="X65" s="36">
        <f>$I$14*$X$14</f>
        <v>177610.34290284323</v>
      </c>
      <c r="Y65" s="36">
        <f>$I$14*$Y$14</f>
        <v>0</v>
      </c>
      <c r="Z65" s="36">
        <f>$I$14*$Z$14</f>
        <v>0</v>
      </c>
      <c r="AA65" s="36">
        <f>$I$14*$AA$14</f>
        <v>2603339.3149703881</v>
      </c>
      <c r="AB65" s="36">
        <f>$I$14*$AB$14</f>
        <v>0</v>
      </c>
      <c r="AC65" s="36">
        <f>$I$14*$AC$14</f>
        <v>0</v>
      </c>
      <c r="AD65" s="36">
        <f>$I$14*$AD$14</f>
        <v>4.7124981047252976E-9</v>
      </c>
      <c r="AE65" s="36">
        <f>$I$14*$AE$14</f>
        <v>0</v>
      </c>
      <c r="AF65" s="36">
        <f>$I$14*$AF$14</f>
        <v>62233.233831343627</v>
      </c>
    </row>
    <row r="66" spans="1:32" ht="11.25" customHeight="1" x14ac:dyDescent="0.25">
      <c r="A66" s="9" t="s">
        <v>41</v>
      </c>
      <c r="B66" s="9" t="s">
        <v>1372</v>
      </c>
      <c r="C66" s="9" t="s">
        <v>1373</v>
      </c>
      <c r="D66" s="9" t="s">
        <v>1374</v>
      </c>
      <c r="E66" s="9" t="s">
        <v>1390</v>
      </c>
      <c r="F66" s="9" t="s">
        <v>1391</v>
      </c>
      <c r="G66" s="9" t="s">
        <v>1392</v>
      </c>
      <c r="L66" s="36">
        <f>$I$15*$L$15</f>
        <v>0</v>
      </c>
      <c r="M66" s="36">
        <f>$I$15*$M$15</f>
        <v>0</v>
      </c>
      <c r="N66" s="36">
        <f>$I$15*$N$15</f>
        <v>0</v>
      </c>
      <c r="O66" s="36">
        <f>$I$15*$O$15</f>
        <v>0</v>
      </c>
      <c r="P66" s="36">
        <f>$I$15*$P$15</f>
        <v>0</v>
      </c>
      <c r="Q66" s="36">
        <f>$I$15*$Q$15</f>
        <v>0</v>
      </c>
      <c r="R66" s="36">
        <f>$I$15*$R$15</f>
        <v>0</v>
      </c>
      <c r="S66" s="36">
        <f>$I$15*$S$15</f>
        <v>0</v>
      </c>
      <c r="T66" s="36">
        <f>$I$15*$T$15</f>
        <v>0</v>
      </c>
      <c r="U66" s="36">
        <f>$I$15*$U$15</f>
        <v>0</v>
      </c>
      <c r="W66" s="36">
        <f>$I$15*$W$15</f>
        <v>0</v>
      </c>
      <c r="X66" s="36">
        <f>$I$15*$X$15</f>
        <v>0</v>
      </c>
      <c r="Y66" s="36">
        <f>$I$15*$Y$15</f>
        <v>0</v>
      </c>
      <c r="Z66" s="36">
        <f>$I$15*$Z$15</f>
        <v>0</v>
      </c>
      <c r="AA66" s="36">
        <f>$I$15*$AA$15</f>
        <v>0</v>
      </c>
      <c r="AB66" s="36">
        <f>$I$15*$AB$15</f>
        <v>0</v>
      </c>
      <c r="AC66" s="36">
        <f>$I$15*$AC$15</f>
        <v>0</v>
      </c>
      <c r="AD66" s="36">
        <f>$I$15*$AD$15</f>
        <v>0</v>
      </c>
      <c r="AE66" s="36">
        <f>$I$15*$AE$15</f>
        <v>0</v>
      </c>
      <c r="AF66" s="36">
        <f>$I$15*$AF$15</f>
        <v>0</v>
      </c>
    </row>
    <row r="67" spans="1:32" ht="11.25" customHeight="1" x14ac:dyDescent="0.25">
      <c r="A67" s="9" t="s">
        <v>22</v>
      </c>
      <c r="B67" s="9" t="s">
        <v>1393</v>
      </c>
      <c r="C67" s="9" t="s">
        <v>1394</v>
      </c>
      <c r="D67" s="9" t="s">
        <v>1395</v>
      </c>
      <c r="E67" s="9" t="s">
        <v>1396</v>
      </c>
      <c r="F67" s="9" t="s">
        <v>1397</v>
      </c>
      <c r="G67" s="9" t="s">
        <v>1398</v>
      </c>
      <c r="L67" s="36">
        <f>$I$16*$L$16</f>
        <v>310.40978910902101</v>
      </c>
      <c r="M67" s="36">
        <f>$I$16*$M$16</f>
        <v>2550.219373891859</v>
      </c>
      <c r="N67" s="36">
        <f>$I$16*$N$16</f>
        <v>0</v>
      </c>
      <c r="O67" s="36">
        <f>$I$16*$O$16</f>
        <v>447.87974063906245</v>
      </c>
      <c r="P67" s="36">
        <f>$I$16*$P$16</f>
        <v>43180.104429463638</v>
      </c>
      <c r="Q67" s="36">
        <f>$I$16*$Q$16</f>
        <v>0</v>
      </c>
      <c r="R67" s="36">
        <f>$I$16*$R$16</f>
        <v>0</v>
      </c>
      <c r="S67" s="36">
        <f>$I$16*$S$16</f>
        <v>4.58047337281605E-11</v>
      </c>
      <c r="T67" s="36">
        <f>$I$16*$T$16</f>
        <v>-4348.4191260982152</v>
      </c>
      <c r="U67" s="36">
        <f>$I$16*$U$16</f>
        <v>673.84958280917181</v>
      </c>
      <c r="W67" s="36">
        <f>$I$16*$W$16</f>
        <v>259.87452256357324</v>
      </c>
      <c r="X67" s="36">
        <f>$I$16*$X$16</f>
        <v>1669.5057584507078</v>
      </c>
      <c r="Y67" s="36">
        <f>$I$16*$Y$16</f>
        <v>0</v>
      </c>
      <c r="Z67" s="36">
        <f>$I$16*$Z$16</f>
        <v>0</v>
      </c>
      <c r="AA67" s="36">
        <f>$I$16*$AA$16</f>
        <v>40532.801756948429</v>
      </c>
      <c r="AB67" s="36">
        <f>$I$16*$AB$16</f>
        <v>0</v>
      </c>
      <c r="AC67" s="36">
        <f>$I$16*$AC$16</f>
        <v>0</v>
      </c>
      <c r="AD67" s="36">
        <f>$I$16*$AD$16</f>
        <v>4.4296647334500396E-11</v>
      </c>
      <c r="AE67" s="36">
        <f>$I$16*$AE$16</f>
        <v>-27.933397895839075</v>
      </c>
      <c r="AF67" s="36">
        <f>$I$16*$AF$16</f>
        <v>584.98137298948006</v>
      </c>
    </row>
    <row r="68" spans="1:32" ht="11.25" customHeight="1" x14ac:dyDescent="0.25">
      <c r="A68" s="9" t="s">
        <v>22</v>
      </c>
      <c r="B68" s="9" t="s">
        <v>1393</v>
      </c>
      <c r="C68" s="9" t="s">
        <v>1394</v>
      </c>
      <c r="D68" s="9" t="s">
        <v>1395</v>
      </c>
      <c r="E68" s="9" t="s">
        <v>1396</v>
      </c>
      <c r="F68" s="9" t="s">
        <v>1397</v>
      </c>
      <c r="G68" s="9" t="s">
        <v>1399</v>
      </c>
      <c r="L68" s="36">
        <f>$I$17*$L$17</f>
        <v>200.12621188769708</v>
      </c>
      <c r="M68" s="36">
        <f>$I$17*$M$17</f>
        <v>1644.1676799063305</v>
      </c>
      <c r="N68" s="36">
        <f>$I$17*$N$17</f>
        <v>0</v>
      </c>
      <c r="O68" s="36">
        <f>$I$17*$O$17</f>
        <v>288.7553132026369</v>
      </c>
      <c r="P68" s="36">
        <f>$I$17*$P$17</f>
        <v>16185.413813836394</v>
      </c>
      <c r="Q68" s="36">
        <f>$I$17*$Q$17</f>
        <v>0</v>
      </c>
      <c r="R68" s="36">
        <f>$I$17*$R$17</f>
        <v>0</v>
      </c>
      <c r="S68" s="36">
        <f>$I$17*$S$17</f>
        <v>2.9531052721800239E-11</v>
      </c>
      <c r="T68" s="36">
        <f>$I$17*$T$17</f>
        <v>-1716.6293833000661</v>
      </c>
      <c r="U68" s="36">
        <f>$I$17*$U$17</f>
        <v>434.44172549062665</v>
      </c>
      <c r="W68" s="36">
        <f>$I$17*$W$17</f>
        <v>167.54530814266886</v>
      </c>
      <c r="X68" s="36">
        <f>$I$17*$X$17</f>
        <v>1076.3573665716169</v>
      </c>
      <c r="Y68" s="36">
        <f>$I$17*$Y$17</f>
        <v>0</v>
      </c>
      <c r="Z68" s="36">
        <f>$I$17*$Z$17</f>
        <v>0</v>
      </c>
      <c r="AA68" s="36">
        <f>$I$17*$AA$17</f>
        <v>15193.112155207302</v>
      </c>
      <c r="AB68" s="36">
        <f>$I$17*$AB$17</f>
        <v>0</v>
      </c>
      <c r="AC68" s="36">
        <f>$I$17*$AC$17</f>
        <v>0</v>
      </c>
      <c r="AD68" s="36">
        <f>$I$17*$AD$17</f>
        <v>2.8558765030652154E-11</v>
      </c>
      <c r="AE68" s="36">
        <f>$I$17*$AE$17</f>
        <v>-10.902120123107203</v>
      </c>
      <c r="AF68" s="36">
        <f>$I$17*$AF$17</f>
        <v>377.14695318494518</v>
      </c>
    </row>
    <row r="69" spans="1:32" ht="11.25" customHeight="1" x14ac:dyDescent="0.25">
      <c r="A69" s="9" t="s">
        <v>22</v>
      </c>
      <c r="B69" s="9" t="s">
        <v>1393</v>
      </c>
      <c r="C69" s="9" t="s">
        <v>1394</v>
      </c>
      <c r="D69" s="9" t="s">
        <v>1395</v>
      </c>
      <c r="E69" s="9" t="s">
        <v>1396</v>
      </c>
      <c r="F69" s="9" t="s">
        <v>1397</v>
      </c>
      <c r="G69" s="9" t="s">
        <v>1400</v>
      </c>
      <c r="L69" s="36">
        <f>$I$18*$L$18</f>
        <v>3548.5062109079408</v>
      </c>
      <c r="M69" s="36">
        <f>$I$18*$M$18</f>
        <v>29153.298655329134</v>
      </c>
      <c r="N69" s="36">
        <f>$I$18*$N$18</f>
        <v>0</v>
      </c>
      <c r="O69" s="36">
        <f>$I$18*$O$18</f>
        <v>5120.0190752984308</v>
      </c>
      <c r="P69" s="36">
        <f>$I$18*$P$18</f>
        <v>286989.10004224401</v>
      </c>
      <c r="Q69" s="36">
        <f>$I$18*$Q$18</f>
        <v>0</v>
      </c>
      <c r="R69" s="36">
        <f>$I$18*$R$18</f>
        <v>0</v>
      </c>
      <c r="S69" s="36">
        <f>$I$18*$S$18</f>
        <v>5.2362518137685352E-10</v>
      </c>
      <c r="T69" s="36">
        <f>$I$18*$T$18</f>
        <v>-30438.141865622507</v>
      </c>
      <c r="U69" s="36">
        <f>$I$18*$U$18</f>
        <v>7703.234606999642</v>
      </c>
      <c r="W69" s="36">
        <f>$I$18*$W$18</f>
        <v>2970.8030794405636</v>
      </c>
      <c r="X69" s="36">
        <f>$I$18*$X$18</f>
        <v>19085.260068677202</v>
      </c>
      <c r="Y69" s="36">
        <f>$I$18*$Y$18</f>
        <v>0</v>
      </c>
      <c r="Z69" s="36">
        <f>$I$18*$Z$18</f>
        <v>0</v>
      </c>
      <c r="AA69" s="36">
        <f>$I$18*$AA$18</f>
        <v>269394.26043814688</v>
      </c>
      <c r="AB69" s="36">
        <f>$I$18*$AB$18</f>
        <v>0</v>
      </c>
      <c r="AC69" s="36">
        <f>$I$18*$AC$18</f>
        <v>0</v>
      </c>
      <c r="AD69" s="36">
        <f>$I$18*$AD$18</f>
        <v>5.0638521626541463E-10</v>
      </c>
      <c r="AE69" s="36">
        <f>$I$18*$AE$18</f>
        <v>-193.30921523972853</v>
      </c>
      <c r="AF69" s="36">
        <f>$I$18*$AF$18</f>
        <v>6687.3214317012607</v>
      </c>
    </row>
    <row r="70" spans="1:32" ht="11.25" customHeight="1" x14ac:dyDescent="0.25">
      <c r="A70" s="9" t="s">
        <v>22</v>
      </c>
      <c r="B70" s="9" t="s">
        <v>1401</v>
      </c>
      <c r="C70" s="9" t="s">
        <v>1402</v>
      </c>
      <c r="D70" s="9" t="s">
        <v>1403</v>
      </c>
      <c r="E70" s="9" t="s">
        <v>1404</v>
      </c>
      <c r="F70" s="9" t="s">
        <v>1405</v>
      </c>
      <c r="G70" s="9" t="s">
        <v>1406</v>
      </c>
      <c r="L70" s="36">
        <f>$I$19*$L$19</f>
        <v>2365216.9701152137</v>
      </c>
      <c r="M70" s="36">
        <f>$I$19*$M$19</f>
        <v>19431803.867909417</v>
      </c>
      <c r="N70" s="36">
        <f>$I$19*$N$19</f>
        <v>0</v>
      </c>
      <c r="O70" s="36">
        <f>$I$19*$O$19</f>
        <v>3412691.223981522</v>
      </c>
      <c r="P70" s="36">
        <f>$I$19*$P$19</f>
        <v>202766723.87544975</v>
      </c>
      <c r="Q70" s="36">
        <f>$I$19*$Q$19</f>
        <v>0</v>
      </c>
      <c r="R70" s="36">
        <f>$I$19*$R$19</f>
        <v>0</v>
      </c>
      <c r="S70" s="36">
        <f>$I$19*$S$19</f>
        <v>3.4901648506775596E-7</v>
      </c>
      <c r="T70" s="36">
        <f>$I$19*$T$19</f>
        <v>-21358641.051483981</v>
      </c>
      <c r="U70" s="36">
        <f>$I$19*$U$19</f>
        <v>5134504.5307367593</v>
      </c>
      <c r="W70" s="36">
        <f>$I$19*$W$19</f>
        <v>1980155.434634421</v>
      </c>
      <c r="X70" s="36">
        <f>$I$19*$X$19</f>
        <v>12721065.797979143</v>
      </c>
      <c r="Y70" s="36">
        <f>$I$19*$Y$19</f>
        <v>0</v>
      </c>
      <c r="Z70" s="36">
        <f>$I$19*$Z$19</f>
        <v>0</v>
      </c>
      <c r="AA70" s="36">
        <f>$I$19*$AA$19</f>
        <v>190335422.53643876</v>
      </c>
      <c r="AB70" s="36">
        <f>$I$19*$AB$19</f>
        <v>0</v>
      </c>
      <c r="AC70" s="36">
        <f>$I$19*$AC$19</f>
        <v>0</v>
      </c>
      <c r="AD70" s="36">
        <f>$I$19*$AD$19</f>
        <v>3.3752537990344058E-7</v>
      </c>
      <c r="AE70" s="36">
        <f>$I$19*$AE$19</f>
        <v>-135847.66184781436</v>
      </c>
      <c r="AF70" s="36">
        <f>$I$19*$AF$19</f>
        <v>4457359.0110267755</v>
      </c>
    </row>
    <row r="71" spans="1:32" ht="11.25" customHeight="1" x14ac:dyDescent="0.25">
      <c r="A71" s="9" t="s">
        <v>22</v>
      </c>
      <c r="B71" s="9" t="s">
        <v>1401</v>
      </c>
      <c r="C71" s="9" t="s">
        <v>1402</v>
      </c>
      <c r="D71" s="9" t="s">
        <v>1407</v>
      </c>
      <c r="E71" s="9" t="s">
        <v>1408</v>
      </c>
      <c r="F71" s="9" t="s">
        <v>1409</v>
      </c>
      <c r="G71" s="9" t="s">
        <v>1410</v>
      </c>
      <c r="L71" s="36">
        <f>$I$20*$L$20</f>
        <v>76769.511241267493</v>
      </c>
      <c r="M71" s="36">
        <f>$I$20*$M$20</f>
        <v>630711.72933572787</v>
      </c>
      <c r="N71" s="36">
        <f>$I$20*$N$20</f>
        <v>0</v>
      </c>
      <c r="O71" s="36">
        <f>$I$20*$O$20</f>
        <v>110768.12004678894</v>
      </c>
      <c r="P71" s="36">
        <f>$I$20*$P$20</f>
        <v>6581342.2128258543</v>
      </c>
      <c r="Q71" s="36">
        <f>$I$20*$Q$20</f>
        <v>0</v>
      </c>
      <c r="R71" s="36">
        <f>$I$20*$R$20</f>
        <v>0</v>
      </c>
      <c r="S71" s="36">
        <f>$I$20*$S$20</f>
        <v>1.1328273605483048E-8</v>
      </c>
      <c r="T71" s="36">
        <f>$I$20*$T$20</f>
        <v>-693252.43942428881</v>
      </c>
      <c r="U71" s="36">
        <f>$I$20*$U$20</f>
        <v>166654.22592141037</v>
      </c>
      <c r="W71" s="36">
        <f>$I$20*$W$20</f>
        <v>64271.298075127073</v>
      </c>
      <c r="X71" s="36">
        <f>$I$20*$X$20</f>
        <v>412896.58247771405</v>
      </c>
      <c r="Y71" s="36">
        <f>$I$20*$Y$20</f>
        <v>0</v>
      </c>
      <c r="Z71" s="36">
        <f>$I$20*$Z$20</f>
        <v>0</v>
      </c>
      <c r="AA71" s="36">
        <f>$I$20*$AA$20</f>
        <v>6177850.7192558898</v>
      </c>
      <c r="AB71" s="36">
        <f>$I$20*$AB$20</f>
        <v>0</v>
      </c>
      <c r="AC71" s="36">
        <f>$I$20*$AC$20</f>
        <v>0</v>
      </c>
      <c r="AD71" s="36">
        <f>$I$20*$AD$20</f>
        <v>1.0955298720627752E-8</v>
      </c>
      <c r="AE71" s="36">
        <f>$I$20*$AE$20</f>
        <v>-4409.3031358631333</v>
      </c>
      <c r="AF71" s="36">
        <f>$I$20*$AF$20</f>
        <v>144675.63738421726</v>
      </c>
    </row>
    <row r="72" spans="1:32" ht="11.25" customHeight="1" x14ac:dyDescent="0.25">
      <c r="A72" s="9" t="s">
        <v>22</v>
      </c>
      <c r="B72" s="9" t="s">
        <v>1401</v>
      </c>
      <c r="C72" s="9" t="s">
        <v>1402</v>
      </c>
      <c r="D72" s="9" t="s">
        <v>1411</v>
      </c>
      <c r="E72" s="9" t="s">
        <v>1412</v>
      </c>
      <c r="F72" s="9" t="s">
        <v>1413</v>
      </c>
      <c r="G72" s="9" t="s">
        <v>1414</v>
      </c>
      <c r="L72" s="36">
        <f>$I$21*$L$21</f>
        <v>211482.47242100129</v>
      </c>
      <c r="M72" s="36">
        <f>$I$21*$M$21</f>
        <v>1737466.7852925472</v>
      </c>
      <c r="N72" s="36">
        <f>$I$21*$N$21</f>
        <v>0</v>
      </c>
      <c r="O72" s="36">
        <f>$I$21*$O$21</f>
        <v>305140.87577424617</v>
      </c>
      <c r="P72" s="36">
        <f>$I$21*$P$21</f>
        <v>18130094.884190582</v>
      </c>
      <c r="Q72" s="36">
        <f>$I$21*$Q$21</f>
        <v>0</v>
      </c>
      <c r="R72" s="36">
        <f>$I$21*$R$21</f>
        <v>0</v>
      </c>
      <c r="S72" s="36">
        <f>$I$21*$S$21</f>
        <v>3.120680686398976E-8</v>
      </c>
      <c r="T72" s="36">
        <f>$I$21*$T$21</f>
        <v>-1909752.1598200344</v>
      </c>
      <c r="U72" s="36">
        <f>$I$21*$U$21</f>
        <v>459094.33533455024</v>
      </c>
      <c r="W72" s="36">
        <f>$I$21*$W$21</f>
        <v>177052.74923423602</v>
      </c>
      <c r="X72" s="36">
        <f>$I$21*$X$21</f>
        <v>1137435.7958609697</v>
      </c>
      <c r="Y72" s="36">
        <f>$I$21*$Y$21</f>
        <v>0</v>
      </c>
      <c r="Z72" s="36">
        <f>$I$21*$Z$21</f>
        <v>0</v>
      </c>
      <c r="AA72" s="36">
        <f>$I$21*$AA$21</f>
        <v>17018567.96052891</v>
      </c>
      <c r="AB72" s="36">
        <f>$I$21*$AB$21</f>
        <v>0</v>
      </c>
      <c r="AC72" s="36">
        <f>$I$21*$AC$21</f>
        <v>0</v>
      </c>
      <c r="AD72" s="36">
        <f>$I$21*$AD$21</f>
        <v>3.0179346228578941E-8</v>
      </c>
      <c r="AE72" s="36">
        <f>$I$21*$AE$21</f>
        <v>-12146.623232957996</v>
      </c>
      <c r="AF72" s="36">
        <f>$I$21*$AF$21</f>
        <v>398548.34293449705</v>
      </c>
    </row>
    <row r="73" spans="1:32" ht="11.25" customHeight="1" x14ac:dyDescent="0.25">
      <c r="A73" s="9" t="s">
        <v>22</v>
      </c>
      <c r="B73" s="9" t="s">
        <v>1401</v>
      </c>
      <c r="C73" s="9" t="s">
        <v>1402</v>
      </c>
      <c r="D73" s="9" t="s">
        <v>1415</v>
      </c>
      <c r="E73" s="9" t="s">
        <v>1416</v>
      </c>
      <c r="F73" s="9" t="s">
        <v>1417</v>
      </c>
      <c r="G73" s="9" t="s">
        <v>1418</v>
      </c>
      <c r="L73" s="36">
        <f>$I$22*$L$22</f>
        <v>137145.88302878136</v>
      </c>
      <c r="M73" s="36">
        <f>$I$22*$M$22</f>
        <v>1126743.0996728851</v>
      </c>
      <c r="N73" s="36">
        <f>$I$22*$N$22</f>
        <v>0</v>
      </c>
      <c r="O73" s="36">
        <f>$I$22*$O$22</f>
        <v>197883.1360214364</v>
      </c>
      <c r="P73" s="36">
        <f>$I$22*$P$22</f>
        <v>11757323.639275696</v>
      </c>
      <c r="Q73" s="36">
        <f>$I$22*$Q$22</f>
        <v>0</v>
      </c>
      <c r="R73" s="36">
        <f>$I$22*$R$22</f>
        <v>0</v>
      </c>
      <c r="S73" s="36">
        <f>$I$22*$S$22</f>
        <v>2.0237540420609799E-8</v>
      </c>
      <c r="T73" s="36">
        <f>$I$22*$T$22</f>
        <v>-1238469.7574522567</v>
      </c>
      <c r="U73" s="36">
        <f>$I$22*$U$22</f>
        <v>297721.59031518782</v>
      </c>
      <c r="W73" s="36">
        <f>$I$22*$W$22</f>
        <v>114818.28899779508</v>
      </c>
      <c r="X73" s="36">
        <f>$I$22*$X$22</f>
        <v>737624.42261104449</v>
      </c>
      <c r="Y73" s="36">
        <f>$I$22*$Y$22</f>
        <v>0</v>
      </c>
      <c r="Z73" s="36">
        <f>$I$22*$Z$22</f>
        <v>0</v>
      </c>
      <c r="AA73" s="36">
        <f>$I$22*$AA$22</f>
        <v>11036501.058989309</v>
      </c>
      <c r="AB73" s="36">
        <f>$I$22*$AB$22</f>
        <v>0</v>
      </c>
      <c r="AC73" s="36">
        <f>$I$22*$AC$22</f>
        <v>0</v>
      </c>
      <c r="AD73" s="36">
        <f>$I$22*$AD$22</f>
        <v>1.9571234629365721E-8</v>
      </c>
      <c r="AE73" s="36">
        <f>$I$22*$AE$22</f>
        <v>-7877.0564294599708</v>
      </c>
      <c r="AF73" s="36">
        <f>$I$22*$AF$22</f>
        <v>258457.65748661305</v>
      </c>
    </row>
    <row r="74" spans="1:32" ht="11.25" customHeight="1" x14ac:dyDescent="0.25">
      <c r="A74" s="9" t="s">
        <v>22</v>
      </c>
      <c r="B74" s="9" t="s">
        <v>1401</v>
      </c>
      <c r="C74" s="9" t="s">
        <v>1402</v>
      </c>
      <c r="D74" s="9" t="s">
        <v>1419</v>
      </c>
      <c r="E74" s="9" t="s">
        <v>1420</v>
      </c>
      <c r="F74" s="9" t="s">
        <v>1421</v>
      </c>
      <c r="G74" s="9" t="s">
        <v>1422</v>
      </c>
      <c r="L74" s="36">
        <f>$I$23*$L$23</f>
        <v>42108.412438454674</v>
      </c>
      <c r="M74" s="36">
        <f>$I$23*$M$23</f>
        <v>345948.14007834153</v>
      </c>
      <c r="N74" s="36">
        <f>$I$23*$N$23</f>
        <v>0</v>
      </c>
      <c r="O74" s="36">
        <f>$I$23*$O$23</f>
        <v>60756.797959854237</v>
      </c>
      <c r="P74" s="36">
        <f>$I$23*$P$23</f>
        <v>3609894.9676171923</v>
      </c>
      <c r="Q74" s="36">
        <f>$I$23*$Q$23</f>
        <v>0</v>
      </c>
      <c r="R74" s="36">
        <f>$I$23*$R$23</f>
        <v>0</v>
      </c>
      <c r="S74" s="36">
        <f>$I$23*$S$23</f>
        <v>6.2136075830442451E-9</v>
      </c>
      <c r="T74" s="36">
        <f>$I$23*$T$23</f>
        <v>-380251.99289728864</v>
      </c>
      <c r="U74" s="36">
        <f>$I$23*$U$23</f>
        <v>91410.571283380355</v>
      </c>
      <c r="W74" s="36">
        <f>$I$23*$W$23</f>
        <v>35253.087893146665</v>
      </c>
      <c r="X74" s="36">
        <f>$I$23*$X$23</f>
        <v>226475.58006144871</v>
      </c>
      <c r="Y74" s="36">
        <f>$I$23*$Y$23</f>
        <v>0</v>
      </c>
      <c r="Z74" s="36">
        <f>$I$23*$Z$23</f>
        <v>0</v>
      </c>
      <c r="AA74" s="36">
        <f>$I$23*$AA$23</f>
        <v>3388578.1199267711</v>
      </c>
      <c r="AB74" s="36">
        <f>$I$23*$AB$23</f>
        <v>0</v>
      </c>
      <c r="AC74" s="36">
        <f>$I$23*$AC$23</f>
        <v>0</v>
      </c>
      <c r="AD74" s="36">
        <f>$I$23*$AD$23</f>
        <v>6.0090292286072404E-9</v>
      </c>
      <c r="AE74" s="36">
        <f>$I$23*$AE$23</f>
        <v>-2418.5220409647422</v>
      </c>
      <c r="AF74" s="36">
        <f>$I$23*$AF$23</f>
        <v>79355.219412887556</v>
      </c>
    </row>
    <row r="75" spans="1:32" ht="11.25" customHeight="1" x14ac:dyDescent="0.25">
      <c r="A75" s="9" t="s">
        <v>22</v>
      </c>
      <c r="B75" s="9" t="s">
        <v>1423</v>
      </c>
      <c r="C75" s="9" t="s">
        <v>1424</v>
      </c>
      <c r="D75" s="9" t="s">
        <v>1425</v>
      </c>
      <c r="E75" s="9" t="s">
        <v>1426</v>
      </c>
      <c r="F75" s="9" t="s">
        <v>1427</v>
      </c>
      <c r="G75" s="9" t="s">
        <v>1428</v>
      </c>
      <c r="L75" s="36">
        <f>$I$24*$L$24</f>
        <v>0</v>
      </c>
      <c r="M75" s="36">
        <f>$I$24*$M$24</f>
        <v>0</v>
      </c>
      <c r="N75" s="36">
        <f>$I$24*$N$24</f>
        <v>0</v>
      </c>
      <c r="O75" s="36">
        <f>$I$24*$O$24</f>
        <v>0</v>
      </c>
      <c r="P75" s="36">
        <f>$I$24*$P$24</f>
        <v>0</v>
      </c>
      <c r="Q75" s="36">
        <f>$I$24*$Q$24</f>
        <v>0</v>
      </c>
      <c r="R75" s="36">
        <f>$I$24*$R$24</f>
        <v>0</v>
      </c>
      <c r="S75" s="36">
        <f>$I$24*$S$24</f>
        <v>0</v>
      </c>
      <c r="T75" s="36">
        <f>$I$24*$T$24</f>
        <v>0</v>
      </c>
      <c r="U75" s="36">
        <f>$I$24*$U$24</f>
        <v>0</v>
      </c>
      <c r="W75" s="36">
        <f>$I$24*$W$24</f>
        <v>0</v>
      </c>
      <c r="X75" s="36">
        <f>$I$24*$X$24</f>
        <v>0</v>
      </c>
      <c r="Y75" s="36">
        <f>$I$24*$Y$24</f>
        <v>0</v>
      </c>
      <c r="Z75" s="36">
        <f>$I$24*$Z$24</f>
        <v>0</v>
      </c>
      <c r="AA75" s="36">
        <f>$I$24*$AA$24</f>
        <v>0</v>
      </c>
      <c r="AB75" s="36">
        <f>$I$24*$AB$24</f>
        <v>0</v>
      </c>
      <c r="AC75" s="36">
        <f>$I$24*$AC$24</f>
        <v>0</v>
      </c>
      <c r="AD75" s="36">
        <f>$I$24*$AD$24</f>
        <v>0</v>
      </c>
      <c r="AE75" s="36">
        <f>$I$24*$AE$24</f>
        <v>0</v>
      </c>
      <c r="AF75" s="36">
        <f>$I$24*$AF$24</f>
        <v>0</v>
      </c>
    </row>
    <row r="76" spans="1:32" ht="11.25" customHeight="1" x14ac:dyDescent="0.25">
      <c r="A76" s="9" t="s">
        <v>22</v>
      </c>
      <c r="B76" s="9" t="s">
        <v>1423</v>
      </c>
      <c r="C76" s="9" t="s">
        <v>1424</v>
      </c>
      <c r="D76" s="9" t="s">
        <v>1429</v>
      </c>
      <c r="E76" s="9" t="s">
        <v>1430</v>
      </c>
      <c r="F76" s="9" t="s">
        <v>1431</v>
      </c>
      <c r="G76" s="9" t="s">
        <v>1432</v>
      </c>
      <c r="L76" s="36">
        <f>$I$25*$L$25</f>
        <v>0</v>
      </c>
      <c r="M76" s="36">
        <f>$I$25*$M$25</f>
        <v>0</v>
      </c>
      <c r="N76" s="36">
        <f>$I$25*$N$25</f>
        <v>0</v>
      </c>
      <c r="O76" s="36">
        <f>$I$25*$O$25</f>
        <v>0</v>
      </c>
      <c r="P76" s="36">
        <f>$I$25*$P$25</f>
        <v>0</v>
      </c>
      <c r="Q76" s="36">
        <f>$I$25*$Q$25</f>
        <v>0</v>
      </c>
      <c r="R76" s="36">
        <f>$I$25*$R$25</f>
        <v>0</v>
      </c>
      <c r="S76" s="36">
        <f>$I$25*$S$25</f>
        <v>0</v>
      </c>
      <c r="T76" s="36">
        <f>$I$25*$T$25</f>
        <v>0</v>
      </c>
      <c r="U76" s="36">
        <f>$I$25*$U$25</f>
        <v>0</v>
      </c>
      <c r="W76" s="36">
        <f>$I$25*$W$25</f>
        <v>0</v>
      </c>
      <c r="X76" s="36">
        <f>$I$25*$X$25</f>
        <v>0</v>
      </c>
      <c r="Y76" s="36">
        <f>$I$25*$Y$25</f>
        <v>0</v>
      </c>
      <c r="Z76" s="36">
        <f>$I$25*$Z$25</f>
        <v>0</v>
      </c>
      <c r="AA76" s="36">
        <f>$I$25*$AA$25</f>
        <v>0</v>
      </c>
      <c r="AB76" s="36">
        <f>$I$25*$AB$25</f>
        <v>0</v>
      </c>
      <c r="AC76" s="36">
        <f>$I$25*$AC$25</f>
        <v>0</v>
      </c>
      <c r="AD76" s="36">
        <f>$I$25*$AD$25</f>
        <v>0</v>
      </c>
      <c r="AE76" s="36">
        <f>$I$25*$AE$25</f>
        <v>0</v>
      </c>
      <c r="AF76" s="36">
        <f>$I$25*$AF$25</f>
        <v>0</v>
      </c>
    </row>
    <row r="77" spans="1:32" ht="11.25" customHeight="1" x14ac:dyDescent="0.25">
      <c r="A77" s="9" t="s">
        <v>22</v>
      </c>
      <c r="B77" s="9" t="s">
        <v>1423</v>
      </c>
      <c r="C77" s="9" t="s">
        <v>1424</v>
      </c>
      <c r="D77" s="9" t="s">
        <v>1433</v>
      </c>
      <c r="E77" s="9" t="s">
        <v>1434</v>
      </c>
      <c r="F77" s="9" t="s">
        <v>1435</v>
      </c>
      <c r="G77" s="9" t="s">
        <v>1436</v>
      </c>
      <c r="L77" s="36">
        <f>$I$26*$L$26</f>
        <v>0</v>
      </c>
      <c r="M77" s="36">
        <f>$I$26*$M$26</f>
        <v>0</v>
      </c>
      <c r="N77" s="36">
        <f>$I$26*$N$26</f>
        <v>0</v>
      </c>
      <c r="O77" s="36">
        <f>$I$26*$O$26</f>
        <v>0</v>
      </c>
      <c r="P77" s="36">
        <f>$I$26*$P$26</f>
        <v>0</v>
      </c>
      <c r="Q77" s="36">
        <f>$I$26*$Q$26</f>
        <v>0</v>
      </c>
      <c r="R77" s="36">
        <f>$I$26*$R$26</f>
        <v>0</v>
      </c>
      <c r="S77" s="36">
        <f>$I$26*$S$26</f>
        <v>0</v>
      </c>
      <c r="T77" s="36">
        <f>$I$26*$T$26</f>
        <v>0</v>
      </c>
      <c r="U77" s="36">
        <f>$I$26*$U$26</f>
        <v>0</v>
      </c>
      <c r="W77" s="36">
        <f>$I$26*$W$26</f>
        <v>0</v>
      </c>
      <c r="X77" s="36">
        <f>$I$26*$X$26</f>
        <v>0</v>
      </c>
      <c r="Y77" s="36">
        <f>$I$26*$Y$26</f>
        <v>0</v>
      </c>
      <c r="Z77" s="36">
        <f>$I$26*$Z$26</f>
        <v>0</v>
      </c>
      <c r="AA77" s="36">
        <f>$I$26*$AA$26</f>
        <v>0</v>
      </c>
      <c r="AB77" s="36">
        <f>$I$26*$AB$26</f>
        <v>0</v>
      </c>
      <c r="AC77" s="36">
        <f>$I$26*$AC$26</f>
        <v>0</v>
      </c>
      <c r="AD77" s="36">
        <f>$I$26*$AD$26</f>
        <v>0</v>
      </c>
      <c r="AE77" s="36">
        <f>$I$26*$AE$26</f>
        <v>0</v>
      </c>
      <c r="AF77" s="36">
        <f>$I$26*$AF$26</f>
        <v>0</v>
      </c>
    </row>
    <row r="78" spans="1:32" ht="11.25" customHeight="1" x14ac:dyDescent="0.25">
      <c r="A78" s="9" t="s">
        <v>22</v>
      </c>
      <c r="B78" s="9" t="s">
        <v>1423</v>
      </c>
      <c r="C78" s="9" t="s">
        <v>1424</v>
      </c>
      <c r="D78" s="9" t="s">
        <v>1437</v>
      </c>
      <c r="E78" s="9" t="s">
        <v>1438</v>
      </c>
      <c r="F78" s="9" t="s">
        <v>1439</v>
      </c>
      <c r="G78" s="9" t="s">
        <v>1440</v>
      </c>
      <c r="L78" s="36">
        <f>$I$27*$L$27</f>
        <v>0</v>
      </c>
      <c r="M78" s="36">
        <f>$I$27*$M$27</f>
        <v>0</v>
      </c>
      <c r="N78" s="36">
        <f>$I$27*$N$27</f>
        <v>0</v>
      </c>
      <c r="O78" s="36">
        <f>$I$27*$O$27</f>
        <v>0</v>
      </c>
      <c r="P78" s="36">
        <f>$I$27*$P$27</f>
        <v>0</v>
      </c>
      <c r="Q78" s="36">
        <f>$I$27*$Q$27</f>
        <v>0</v>
      </c>
      <c r="R78" s="36">
        <f>$I$27*$R$27</f>
        <v>0</v>
      </c>
      <c r="S78" s="36">
        <f>$I$27*$S$27</f>
        <v>0</v>
      </c>
      <c r="T78" s="36">
        <f>$I$27*$T$27</f>
        <v>0</v>
      </c>
      <c r="U78" s="36">
        <f>$I$27*$U$27</f>
        <v>0</v>
      </c>
      <c r="W78" s="36">
        <f>$I$27*$W$27</f>
        <v>0</v>
      </c>
      <c r="X78" s="36">
        <f>$I$27*$X$27</f>
        <v>0</v>
      </c>
      <c r="Y78" s="36">
        <f>$I$27*$Y$27</f>
        <v>0</v>
      </c>
      <c r="Z78" s="36">
        <f>$I$27*$Z$27</f>
        <v>0</v>
      </c>
      <c r="AA78" s="36">
        <f>$I$27*$AA$27</f>
        <v>0</v>
      </c>
      <c r="AB78" s="36">
        <f>$I$27*$AB$27</f>
        <v>0</v>
      </c>
      <c r="AC78" s="36">
        <f>$I$27*$AC$27</f>
        <v>0</v>
      </c>
      <c r="AD78" s="36">
        <f>$I$27*$AD$27</f>
        <v>0</v>
      </c>
      <c r="AE78" s="36">
        <f>$I$27*$AE$27</f>
        <v>0</v>
      </c>
      <c r="AF78" s="36">
        <f>$I$27*$AF$27</f>
        <v>0</v>
      </c>
    </row>
    <row r="79" spans="1:32" ht="11.25" customHeight="1" x14ac:dyDescent="0.25">
      <c r="A79" s="9" t="s">
        <v>22</v>
      </c>
      <c r="B79" s="9" t="s">
        <v>1423</v>
      </c>
      <c r="C79" s="9" t="s">
        <v>1424</v>
      </c>
      <c r="D79" s="9" t="s">
        <v>1441</v>
      </c>
      <c r="E79" s="9" t="s">
        <v>1442</v>
      </c>
      <c r="F79" s="9" t="s">
        <v>1443</v>
      </c>
      <c r="G79" s="9" t="s">
        <v>1444</v>
      </c>
      <c r="L79" s="36">
        <f>$I$28*$L$28</f>
        <v>0</v>
      </c>
      <c r="M79" s="36">
        <f>$I$28*$M$28</f>
        <v>0</v>
      </c>
      <c r="N79" s="36">
        <f>$I$28*$N$28</f>
        <v>0</v>
      </c>
      <c r="O79" s="36">
        <f>$I$28*$O$28</f>
        <v>0</v>
      </c>
      <c r="P79" s="36">
        <f>$I$28*$P$28</f>
        <v>0</v>
      </c>
      <c r="Q79" s="36">
        <f>$I$28*$Q$28</f>
        <v>0</v>
      </c>
      <c r="R79" s="36">
        <f>$I$28*$R$28</f>
        <v>0</v>
      </c>
      <c r="S79" s="36">
        <f>$I$28*$S$28</f>
        <v>0</v>
      </c>
      <c r="T79" s="36">
        <f>$I$28*$T$28</f>
        <v>0</v>
      </c>
      <c r="U79" s="36">
        <f>$I$28*$U$28</f>
        <v>0</v>
      </c>
      <c r="W79" s="36">
        <f>$I$28*$W$28</f>
        <v>0</v>
      </c>
      <c r="X79" s="36">
        <f>$I$28*$X$28</f>
        <v>0</v>
      </c>
      <c r="Y79" s="36">
        <f>$I$28*$Y$28</f>
        <v>0</v>
      </c>
      <c r="Z79" s="36">
        <f>$I$28*$Z$28</f>
        <v>0</v>
      </c>
      <c r="AA79" s="36">
        <f>$I$28*$AA$28</f>
        <v>0</v>
      </c>
      <c r="AB79" s="36">
        <f>$I$28*$AB$28</f>
        <v>0</v>
      </c>
      <c r="AC79" s="36">
        <f>$I$28*$AC$28</f>
        <v>0</v>
      </c>
      <c r="AD79" s="36">
        <f>$I$28*$AD$28</f>
        <v>0</v>
      </c>
      <c r="AE79" s="36">
        <f>$I$28*$AE$28</f>
        <v>0</v>
      </c>
      <c r="AF79" s="36">
        <f>$I$28*$AF$28</f>
        <v>0</v>
      </c>
    </row>
    <row r="80" spans="1:32" ht="11.25" customHeight="1" x14ac:dyDescent="0.25">
      <c r="A80" s="9" t="s">
        <v>44</v>
      </c>
      <c r="B80" s="9" t="s">
        <v>1445</v>
      </c>
      <c r="C80" s="9" t="s">
        <v>1446</v>
      </c>
      <c r="D80" s="9" t="s">
        <v>1447</v>
      </c>
      <c r="E80" s="9" t="s">
        <v>1448</v>
      </c>
      <c r="F80" s="9" t="s">
        <v>1449</v>
      </c>
      <c r="G80" s="9" t="s">
        <v>1450</v>
      </c>
      <c r="L80" s="36">
        <f>$I$29*$L$29</f>
        <v>1.5055207677622917</v>
      </c>
      <c r="M80" s="36">
        <f>$I$29*$M$29</f>
        <v>12.3688374672858</v>
      </c>
      <c r="N80" s="36">
        <f>$I$29*$N$29</f>
        <v>0</v>
      </c>
      <c r="O80" s="36">
        <f>$I$29*$O$29</f>
        <v>2.1722647759516209</v>
      </c>
      <c r="P80" s="36">
        <f>$I$29*$P$29</f>
        <v>209.42813742858465</v>
      </c>
      <c r="Q80" s="36">
        <f>$I$29*$Q$29</f>
        <v>0</v>
      </c>
      <c r="R80" s="36">
        <f>$I$29*$R$29</f>
        <v>0</v>
      </c>
      <c r="S80" s="36">
        <f>$I$29*$S$29</f>
        <v>2.2215787101143149E-13</v>
      </c>
      <c r="T80" s="36">
        <f>$I$29*$T$29</f>
        <v>-21.090299117391343</v>
      </c>
      <c r="U80" s="36">
        <f>$I$29*$U$29</f>
        <v>3.2682427451115514</v>
      </c>
      <c r="W80" s="36">
        <f>$I$29*$W$29</f>
        <v>1.1799670091707481</v>
      </c>
      <c r="X80" s="36">
        <f>$I$29*$X$29</f>
        <v>7.580434192468851</v>
      </c>
      <c r="Y80" s="36">
        <f>$I$29*$Y$29</f>
        <v>0</v>
      </c>
      <c r="Z80" s="36">
        <f>$I$29*$Z$29</f>
        <v>0</v>
      </c>
      <c r="AA80" s="36">
        <f>$I$29*$AA$29</f>
        <v>184.0402375371651</v>
      </c>
      <c r="AB80" s="36">
        <f>$I$29*$AB$29</f>
        <v>0</v>
      </c>
      <c r="AC80" s="36">
        <f>$I$29*$AC$29</f>
        <v>0</v>
      </c>
      <c r="AD80" s="36">
        <f>$I$29*$AD$29</f>
        <v>2.0113007599194555E-13</v>
      </c>
      <c r="AE80" s="36">
        <f>$I$29*$AE$29</f>
        <v>-0.12683231755843455</v>
      </c>
      <c r="AF80" s="36">
        <f>$I$29*$AF$29</f>
        <v>2.6561230947067478</v>
      </c>
    </row>
    <row r="81" spans="1:32" ht="11.25" customHeight="1" x14ac:dyDescent="0.25">
      <c r="A81" s="9" t="s">
        <v>44</v>
      </c>
      <c r="B81" s="9" t="s">
        <v>1445</v>
      </c>
      <c r="C81" s="9" t="s">
        <v>1446</v>
      </c>
      <c r="D81" s="9" t="s">
        <v>1447</v>
      </c>
      <c r="E81" s="9" t="s">
        <v>1448</v>
      </c>
      <c r="F81" s="9" t="s">
        <v>1449</v>
      </c>
      <c r="G81" s="9" t="s">
        <v>1451</v>
      </c>
      <c r="L81" s="36">
        <f>$I$30*$L$30</f>
        <v>1.9983262563915198</v>
      </c>
      <c r="M81" s="36">
        <f>$I$30*$M$30</f>
        <v>16.417556769179679</v>
      </c>
      <c r="N81" s="36">
        <f>$I$30*$N$30</f>
        <v>0</v>
      </c>
      <c r="O81" s="36">
        <f>$I$30*$O$30</f>
        <v>2.8833170757721187</v>
      </c>
      <c r="P81" s="36">
        <f>$I$30*$P$30</f>
        <v>161.61669723155157</v>
      </c>
      <c r="Q81" s="36">
        <f>$I$30*$Q$30</f>
        <v>0</v>
      </c>
      <c r="R81" s="36">
        <f>$I$30*$R$30</f>
        <v>0</v>
      </c>
      <c r="S81" s="36">
        <f>$I$30*$S$30</f>
        <v>2.9487730505772654E-13</v>
      </c>
      <c r="T81" s="36">
        <f>$I$30*$T$30</f>
        <v>-17.141110785960919</v>
      </c>
      <c r="U81" s="36">
        <f>$I$30*$U$30</f>
        <v>4.3380439710073126</v>
      </c>
      <c r="W81" s="36">
        <f>$I$30*$W$30</f>
        <v>1.56620825603515</v>
      </c>
      <c r="X81" s="36">
        <f>$I$30*$X$30</f>
        <v>10.061754713735251</v>
      </c>
      <c r="Y81" s="36">
        <f>$I$30*$Y$30</f>
        <v>0</v>
      </c>
      <c r="Z81" s="36">
        <f>$I$30*$Z$30</f>
        <v>0</v>
      </c>
      <c r="AA81" s="36">
        <f>$I$30*$AA$30</f>
        <v>142.02473322673566</v>
      </c>
      <c r="AB81" s="36">
        <f>$I$30*$AB$30</f>
        <v>0</v>
      </c>
      <c r="AC81" s="36">
        <f>$I$30*$AC$30</f>
        <v>0</v>
      </c>
      <c r="AD81" s="36">
        <f>$I$30*$AD$30</f>
        <v>2.6696643474544654E-13</v>
      </c>
      <c r="AE81" s="36">
        <f>$I$30*$AE$30</f>
        <v>-0.10191267505120266</v>
      </c>
      <c r="AF81" s="36">
        <f>$I$30*$AF$30</f>
        <v>3.5255578229249958</v>
      </c>
    </row>
    <row r="82" spans="1:32" ht="11.25" customHeight="1" x14ac:dyDescent="0.25">
      <c r="A82" s="9" t="s">
        <v>44</v>
      </c>
      <c r="B82" s="9" t="s">
        <v>1445</v>
      </c>
      <c r="C82" s="9" t="s">
        <v>1446</v>
      </c>
      <c r="D82" s="9" t="s">
        <v>1447</v>
      </c>
      <c r="E82" s="9" t="s">
        <v>1448</v>
      </c>
      <c r="F82" s="9" t="s">
        <v>1449</v>
      </c>
      <c r="G82" s="9" t="s">
        <v>1452</v>
      </c>
      <c r="L82" s="36">
        <f>$I$31*$L$31</f>
        <v>455.38923190505392</v>
      </c>
      <c r="M82" s="36">
        <f>$I$31*$M$31</f>
        <v>3741.3202888975861</v>
      </c>
      <c r="N82" s="36">
        <f>$I$31*$N$31</f>
        <v>0</v>
      </c>
      <c r="O82" s="36">
        <f>$I$31*$O$31</f>
        <v>657.06565395662653</v>
      </c>
      <c r="P82" s="36">
        <f>$I$31*$P$31</f>
        <v>36830.073858013813</v>
      </c>
      <c r="Q82" s="36">
        <f>$I$31*$Q$31</f>
        <v>0</v>
      </c>
      <c r="R82" s="36">
        <f>$I$31*$R$31</f>
        <v>0</v>
      </c>
      <c r="S82" s="36">
        <f>$I$31*$S$31</f>
        <v>6.7198211016330128E-11</v>
      </c>
      <c r="T82" s="36">
        <f>$I$31*$T$31</f>
        <v>-3906.2076324381842</v>
      </c>
      <c r="U82" s="36">
        <f>$I$31*$U$31</f>
        <v>988.57656781962578</v>
      </c>
      <c r="W82" s="36">
        <f>$I$31*$W$31</f>
        <v>356.91588019622225</v>
      </c>
      <c r="X82" s="36">
        <f>$I$31*$X$31</f>
        <v>2292.9262606892485</v>
      </c>
      <c r="Y82" s="36">
        <f>$I$31*$Y$31</f>
        <v>0</v>
      </c>
      <c r="Z82" s="36">
        <f>$I$31*$Z$31</f>
        <v>0</v>
      </c>
      <c r="AA82" s="36">
        <f>$I$31*$AA$31</f>
        <v>32365.3527389632</v>
      </c>
      <c r="AB82" s="36">
        <f>$I$31*$AB$31</f>
        <v>0</v>
      </c>
      <c r="AC82" s="36">
        <f>$I$31*$AC$31</f>
        <v>0</v>
      </c>
      <c r="AD82" s="36">
        <f>$I$31*$AD$31</f>
        <v>6.0837733215141428E-11</v>
      </c>
      <c r="AE82" s="36">
        <f>$I$31*$AE$31</f>
        <v>-23.224403254732454</v>
      </c>
      <c r="AF82" s="36">
        <f>$I$31*$AF$31</f>
        <v>803.42289647827761</v>
      </c>
    </row>
    <row r="83" spans="1:32" ht="11.25" customHeight="1" x14ac:dyDescent="0.25">
      <c r="A83" s="9" t="s">
        <v>44</v>
      </c>
      <c r="B83" s="9" t="s">
        <v>1453</v>
      </c>
      <c r="C83" s="9" t="s">
        <v>1454</v>
      </c>
      <c r="D83" s="9" t="s">
        <v>1455</v>
      </c>
      <c r="E83" s="9" t="s">
        <v>1456</v>
      </c>
      <c r="F83" s="9" t="s">
        <v>1457</v>
      </c>
      <c r="G83" s="9" t="s">
        <v>1458</v>
      </c>
      <c r="L83" s="36">
        <f>$I$32*$L$32</f>
        <v>150197.38741787063</v>
      </c>
      <c r="M83" s="36">
        <f>$I$32*$M$32</f>
        <v>1233969.7417418314</v>
      </c>
      <c r="N83" s="36">
        <f>$I$32*$N$32</f>
        <v>0</v>
      </c>
      <c r="O83" s="36">
        <f>$I$32*$O$32</f>
        <v>216714.70836815078</v>
      </c>
      <c r="P83" s="36">
        <f>$I$32*$P$32</f>
        <v>12876210.751984335</v>
      </c>
      <c r="Q83" s="36">
        <f>$I$32*$Q$32</f>
        <v>0</v>
      </c>
      <c r="R83" s="36">
        <f>$I$32*$R$32</f>
        <v>0</v>
      </c>
      <c r="S83" s="36">
        <f>$I$32*$S$32</f>
        <v>2.2163448379279839E-8</v>
      </c>
      <c r="T83" s="36">
        <f>$I$32*$T$32</f>
        <v>-1356328.8802941015</v>
      </c>
      <c r="U83" s="36">
        <f>$I$32*$U$32</f>
        <v>326054.30112583505</v>
      </c>
      <c r="W83" s="36">
        <f>$I$32*$W$32</f>
        <v>117718.70957326287</v>
      </c>
      <c r="X83" s="36">
        <f>$I$32*$X$32</f>
        <v>756257.52602151153</v>
      </c>
      <c r="Y83" s="36">
        <f>$I$32*$Y$32</f>
        <v>0</v>
      </c>
      <c r="Z83" s="36">
        <f>$I$32*$Z$32</f>
        <v>0</v>
      </c>
      <c r="AA83" s="36">
        <f>$I$32*$AA$32</f>
        <v>11315293.706328679</v>
      </c>
      <c r="AB83" s="36">
        <f>$I$32*$AB$32</f>
        <v>0</v>
      </c>
      <c r="AC83" s="36">
        <f>$I$32*$AC$32</f>
        <v>0</v>
      </c>
      <c r="AD83" s="36">
        <f>$I$32*$AD$32</f>
        <v>2.0065622867527102E-8</v>
      </c>
      <c r="AE83" s="36">
        <f>$I$32*$AE$32</f>
        <v>-8076.0384622140382</v>
      </c>
      <c r="AF83" s="36">
        <f>$I$32*$AF$32</f>
        <v>264986.54686656065</v>
      </c>
    </row>
    <row r="84" spans="1:32" ht="11.25" customHeight="1" x14ac:dyDescent="0.25">
      <c r="A84" s="9" t="s">
        <v>44</v>
      </c>
      <c r="B84" s="9" t="s">
        <v>1445</v>
      </c>
      <c r="C84" s="9" t="s">
        <v>1446</v>
      </c>
      <c r="D84" s="9" t="s">
        <v>1459</v>
      </c>
      <c r="E84" s="9" t="s">
        <v>1460</v>
      </c>
      <c r="F84" s="9" t="s">
        <v>1461</v>
      </c>
      <c r="G84" s="9" t="s">
        <v>1462</v>
      </c>
      <c r="L84" s="36">
        <f>$I$33*$L$33</f>
        <v>0</v>
      </c>
      <c r="M84" s="36">
        <f>$I$33*$M$33</f>
        <v>0</v>
      </c>
      <c r="N84" s="36">
        <f>$I$33*$N$33</f>
        <v>0</v>
      </c>
      <c r="O84" s="36">
        <f>$I$33*$O$33</f>
        <v>0</v>
      </c>
      <c r="P84" s="36">
        <f>$I$33*$P$33</f>
        <v>0</v>
      </c>
      <c r="Q84" s="36">
        <f>$I$33*$Q$33</f>
        <v>0</v>
      </c>
      <c r="R84" s="36">
        <f>$I$33*$R$33</f>
        <v>0</v>
      </c>
      <c r="S84" s="36">
        <f>$I$33*$S$33</f>
        <v>0</v>
      </c>
      <c r="T84" s="36">
        <f>$I$33*$T$33</f>
        <v>0</v>
      </c>
      <c r="U84" s="36">
        <f>$I$33*$U$33</f>
        <v>0</v>
      </c>
      <c r="W84" s="36">
        <f>$I$33*$W$33</f>
        <v>0</v>
      </c>
      <c r="X84" s="36">
        <f>$I$33*$X$33</f>
        <v>0</v>
      </c>
      <c r="Y84" s="36">
        <f>$I$33*$Y$33</f>
        <v>0</v>
      </c>
      <c r="Z84" s="36">
        <f>$I$33*$Z$33</f>
        <v>0</v>
      </c>
      <c r="AA84" s="36">
        <f>$I$33*$AA$33</f>
        <v>0</v>
      </c>
      <c r="AB84" s="36">
        <f>$I$33*$AB$33</f>
        <v>0</v>
      </c>
      <c r="AC84" s="36">
        <f>$I$33*$AC$33</f>
        <v>0</v>
      </c>
      <c r="AD84" s="36">
        <f>$I$33*$AD$33</f>
        <v>0</v>
      </c>
      <c r="AE84" s="36">
        <f>$I$33*$AE$33</f>
        <v>0</v>
      </c>
      <c r="AF84" s="36">
        <f>$I$33*$AF$33</f>
        <v>0</v>
      </c>
    </row>
    <row r="85" spans="1:32" ht="11.25" customHeight="1" x14ac:dyDescent="0.25">
      <c r="A85" s="9" t="s">
        <v>44</v>
      </c>
      <c r="B85" s="9" t="s">
        <v>1445</v>
      </c>
      <c r="C85" s="9" t="s">
        <v>1446</v>
      </c>
      <c r="D85" s="9" t="s">
        <v>1459</v>
      </c>
      <c r="E85" s="9" t="s">
        <v>1460</v>
      </c>
      <c r="F85" s="9" t="s">
        <v>1461</v>
      </c>
      <c r="G85" s="9" t="s">
        <v>1463</v>
      </c>
      <c r="L85" s="36">
        <f>$I$34*$L$34</f>
        <v>0</v>
      </c>
      <c r="M85" s="36">
        <f>$I$34*$M$34</f>
        <v>0</v>
      </c>
      <c r="N85" s="36">
        <f>$I$34*$N$34</f>
        <v>0</v>
      </c>
      <c r="O85" s="36">
        <f>$I$34*$O$34</f>
        <v>0</v>
      </c>
      <c r="P85" s="36">
        <f>$I$34*$P$34</f>
        <v>0</v>
      </c>
      <c r="Q85" s="36">
        <f>$I$34*$Q$34</f>
        <v>0</v>
      </c>
      <c r="R85" s="36">
        <f>$I$34*$R$34</f>
        <v>0</v>
      </c>
      <c r="S85" s="36">
        <f>$I$34*$S$34</f>
        <v>0</v>
      </c>
      <c r="T85" s="36">
        <f>$I$34*$T$34</f>
        <v>0</v>
      </c>
      <c r="U85" s="36">
        <f>$I$34*$U$34</f>
        <v>0</v>
      </c>
      <c r="W85" s="36">
        <f>$I$34*$W$34</f>
        <v>0</v>
      </c>
      <c r="X85" s="36">
        <f>$I$34*$X$34</f>
        <v>0</v>
      </c>
      <c r="Y85" s="36">
        <f>$I$34*$Y$34</f>
        <v>0</v>
      </c>
      <c r="Z85" s="36">
        <f>$I$34*$Z$34</f>
        <v>0</v>
      </c>
      <c r="AA85" s="36">
        <f>$I$34*$AA$34</f>
        <v>0</v>
      </c>
      <c r="AB85" s="36">
        <f>$I$34*$AB$34</f>
        <v>0</v>
      </c>
      <c r="AC85" s="36">
        <f>$I$34*$AC$34</f>
        <v>0</v>
      </c>
      <c r="AD85" s="36">
        <f>$I$34*$AD$34</f>
        <v>0</v>
      </c>
      <c r="AE85" s="36">
        <f>$I$34*$AE$34</f>
        <v>0</v>
      </c>
      <c r="AF85" s="36">
        <f>$I$34*$AF$34</f>
        <v>0</v>
      </c>
    </row>
    <row r="86" spans="1:32" ht="11.25" customHeight="1" x14ac:dyDescent="0.25">
      <c r="A86" s="9" t="s">
        <v>44</v>
      </c>
      <c r="B86" s="9" t="s">
        <v>1445</v>
      </c>
      <c r="C86" s="9" t="s">
        <v>1446</v>
      </c>
      <c r="D86" s="9" t="s">
        <v>1459</v>
      </c>
      <c r="E86" s="9" t="s">
        <v>1460</v>
      </c>
      <c r="F86" s="9" t="s">
        <v>1461</v>
      </c>
      <c r="G86" s="9" t="s">
        <v>1464</v>
      </c>
      <c r="L86" s="36">
        <f>$I$35*$L$35</f>
        <v>0</v>
      </c>
      <c r="M86" s="36">
        <f>$I$35*$M$35</f>
        <v>0</v>
      </c>
      <c r="N86" s="36">
        <f>$I$35*$N$35</f>
        <v>0</v>
      </c>
      <c r="O86" s="36">
        <f>$I$35*$O$35</f>
        <v>0</v>
      </c>
      <c r="P86" s="36">
        <f>$I$35*$P$35</f>
        <v>0</v>
      </c>
      <c r="Q86" s="36">
        <f>$I$35*$Q$35</f>
        <v>0</v>
      </c>
      <c r="R86" s="36">
        <f>$I$35*$R$35</f>
        <v>0</v>
      </c>
      <c r="S86" s="36">
        <f>$I$35*$S$35</f>
        <v>0</v>
      </c>
      <c r="T86" s="36">
        <f>$I$35*$T$35</f>
        <v>0</v>
      </c>
      <c r="U86" s="36">
        <f>$I$35*$U$35</f>
        <v>0</v>
      </c>
      <c r="W86" s="36">
        <f>$I$35*$W$35</f>
        <v>0</v>
      </c>
      <c r="X86" s="36">
        <f>$I$35*$X$35</f>
        <v>0</v>
      </c>
      <c r="Y86" s="36">
        <f>$I$35*$Y$35</f>
        <v>0</v>
      </c>
      <c r="Z86" s="36">
        <f>$I$35*$Z$35</f>
        <v>0</v>
      </c>
      <c r="AA86" s="36">
        <f>$I$35*$AA$35</f>
        <v>0</v>
      </c>
      <c r="AB86" s="36">
        <f>$I$35*$AB$35</f>
        <v>0</v>
      </c>
      <c r="AC86" s="36">
        <f>$I$35*$AC$35</f>
        <v>0</v>
      </c>
      <c r="AD86" s="36">
        <f>$I$35*$AD$35</f>
        <v>0</v>
      </c>
      <c r="AE86" s="36">
        <f>$I$35*$AE$35</f>
        <v>0</v>
      </c>
      <c r="AF86" s="36">
        <f>$I$35*$AF$35</f>
        <v>0</v>
      </c>
    </row>
    <row r="87" spans="1:32" ht="11.25" customHeight="1" x14ac:dyDescent="0.25">
      <c r="A87" s="9" t="s">
        <v>44</v>
      </c>
      <c r="B87" s="9" t="s">
        <v>1453</v>
      </c>
      <c r="C87" s="9" t="s">
        <v>1454</v>
      </c>
      <c r="D87" s="9" t="s">
        <v>1465</v>
      </c>
      <c r="E87" s="9" t="s">
        <v>1466</v>
      </c>
      <c r="F87" s="9" t="s">
        <v>1467</v>
      </c>
      <c r="G87" s="9" t="s">
        <v>1468</v>
      </c>
      <c r="L87" s="36">
        <f>$I$36*$L$36</f>
        <v>0</v>
      </c>
      <c r="M87" s="36">
        <f>$I$36*$M$36</f>
        <v>0</v>
      </c>
      <c r="N87" s="36">
        <f>$I$36*$N$36</f>
        <v>0</v>
      </c>
      <c r="O87" s="36">
        <f>$I$36*$O$36</f>
        <v>0</v>
      </c>
      <c r="P87" s="36">
        <f>$I$36*$P$36</f>
        <v>0</v>
      </c>
      <c r="Q87" s="36">
        <f>$I$36*$Q$36</f>
        <v>0</v>
      </c>
      <c r="R87" s="36">
        <f>$I$36*$R$36</f>
        <v>0</v>
      </c>
      <c r="S87" s="36">
        <f>$I$36*$S$36</f>
        <v>0</v>
      </c>
      <c r="T87" s="36">
        <f>$I$36*$T$36</f>
        <v>0</v>
      </c>
      <c r="U87" s="36">
        <f>$I$36*$U$36</f>
        <v>0</v>
      </c>
      <c r="W87" s="36">
        <f>$I$36*$W$36</f>
        <v>0</v>
      </c>
      <c r="X87" s="36">
        <f>$I$36*$X$36</f>
        <v>0</v>
      </c>
      <c r="Y87" s="36">
        <f>$I$36*$Y$36</f>
        <v>0</v>
      </c>
      <c r="Z87" s="36">
        <f>$I$36*$Z$36</f>
        <v>0</v>
      </c>
      <c r="AA87" s="36">
        <f>$I$36*$AA$36</f>
        <v>0</v>
      </c>
      <c r="AB87" s="36">
        <f>$I$36*$AB$36</f>
        <v>0</v>
      </c>
      <c r="AC87" s="36">
        <f>$I$36*$AC$36</f>
        <v>0</v>
      </c>
      <c r="AD87" s="36">
        <f>$I$36*$AD$36</f>
        <v>0</v>
      </c>
      <c r="AE87" s="36">
        <f>$I$36*$AE$36</f>
        <v>0</v>
      </c>
      <c r="AF87" s="36">
        <f>$I$36*$AF$36</f>
        <v>0</v>
      </c>
    </row>
    <row r="88" spans="1:32" ht="11.25" customHeight="1" x14ac:dyDescent="0.25">
      <c r="A88" s="9" t="s">
        <v>44</v>
      </c>
      <c r="B88" s="9" t="s">
        <v>1445</v>
      </c>
      <c r="C88" s="9" t="s">
        <v>1446</v>
      </c>
      <c r="D88" s="9" t="s">
        <v>1469</v>
      </c>
      <c r="E88" s="9" t="s">
        <v>1470</v>
      </c>
      <c r="F88" s="9" t="s">
        <v>1471</v>
      </c>
      <c r="G88" s="9" t="s">
        <v>1472</v>
      </c>
      <c r="L88" s="36">
        <f>$I$37*$L$37</f>
        <v>0</v>
      </c>
      <c r="M88" s="36">
        <f>$I$37*$M$37</f>
        <v>0</v>
      </c>
      <c r="N88" s="36">
        <f>$I$37*$N$37</f>
        <v>0</v>
      </c>
      <c r="O88" s="36">
        <f>$I$37*$O$37</f>
        <v>0</v>
      </c>
      <c r="P88" s="36">
        <f>$I$37*$P$37</f>
        <v>0</v>
      </c>
      <c r="Q88" s="36">
        <f>$I$37*$Q$37</f>
        <v>0</v>
      </c>
      <c r="R88" s="36">
        <f>$I$37*$R$37</f>
        <v>0</v>
      </c>
      <c r="S88" s="36">
        <f>$I$37*$S$37</f>
        <v>0</v>
      </c>
      <c r="T88" s="36">
        <f>$I$37*$T$37</f>
        <v>0</v>
      </c>
      <c r="U88" s="36">
        <f>$I$37*$U$37</f>
        <v>0</v>
      </c>
      <c r="W88" s="36">
        <f>$I$37*$W$37</f>
        <v>0</v>
      </c>
      <c r="X88" s="36">
        <f>$I$37*$X$37</f>
        <v>0</v>
      </c>
      <c r="Y88" s="36">
        <f>$I$37*$Y$37</f>
        <v>0</v>
      </c>
      <c r="Z88" s="36">
        <f>$I$37*$Z$37</f>
        <v>0</v>
      </c>
      <c r="AA88" s="36">
        <f>$I$37*$AA$37</f>
        <v>0</v>
      </c>
      <c r="AB88" s="36">
        <f>$I$37*$AB$37</f>
        <v>0</v>
      </c>
      <c r="AC88" s="36">
        <f>$I$37*$AC$37</f>
        <v>0</v>
      </c>
      <c r="AD88" s="36">
        <f>$I$37*$AD$37</f>
        <v>0</v>
      </c>
      <c r="AE88" s="36">
        <f>$I$37*$AE$37</f>
        <v>0</v>
      </c>
      <c r="AF88" s="36">
        <f>$I$37*$AF$37</f>
        <v>0</v>
      </c>
    </row>
    <row r="89" spans="1:32" ht="11.25" customHeight="1" x14ac:dyDescent="0.25">
      <c r="A89" s="9" t="s">
        <v>44</v>
      </c>
      <c r="B89" s="9" t="s">
        <v>1445</v>
      </c>
      <c r="C89" s="9" t="s">
        <v>1446</v>
      </c>
      <c r="D89" s="9" t="s">
        <v>1469</v>
      </c>
      <c r="E89" s="9" t="s">
        <v>1470</v>
      </c>
      <c r="F89" s="9" t="s">
        <v>1471</v>
      </c>
      <c r="G89" s="9" t="s">
        <v>1473</v>
      </c>
      <c r="L89" s="36">
        <f>$I$38*$L$38</f>
        <v>0</v>
      </c>
      <c r="M89" s="36">
        <f>$I$38*$M$38</f>
        <v>0</v>
      </c>
      <c r="N89" s="36">
        <f>$I$38*$N$38</f>
        <v>0</v>
      </c>
      <c r="O89" s="36">
        <f>$I$38*$O$38</f>
        <v>0</v>
      </c>
      <c r="P89" s="36">
        <f>$I$38*$P$38</f>
        <v>0</v>
      </c>
      <c r="Q89" s="36">
        <f>$I$38*$Q$38</f>
        <v>0</v>
      </c>
      <c r="R89" s="36">
        <f>$I$38*$R$38</f>
        <v>0</v>
      </c>
      <c r="S89" s="36">
        <f>$I$38*$S$38</f>
        <v>0</v>
      </c>
      <c r="T89" s="36">
        <f>$I$38*$T$38</f>
        <v>0</v>
      </c>
      <c r="U89" s="36">
        <f>$I$38*$U$38</f>
        <v>0</v>
      </c>
      <c r="W89" s="36">
        <f>$I$38*$W$38</f>
        <v>0</v>
      </c>
      <c r="X89" s="36">
        <f>$I$38*$X$38</f>
        <v>0</v>
      </c>
      <c r="Y89" s="36">
        <f>$I$38*$Y$38</f>
        <v>0</v>
      </c>
      <c r="Z89" s="36">
        <f>$I$38*$Z$38</f>
        <v>0</v>
      </c>
      <c r="AA89" s="36">
        <f>$I$38*$AA$38</f>
        <v>0</v>
      </c>
      <c r="AB89" s="36">
        <f>$I$38*$AB$38</f>
        <v>0</v>
      </c>
      <c r="AC89" s="36">
        <f>$I$38*$AC$38</f>
        <v>0</v>
      </c>
      <c r="AD89" s="36">
        <f>$I$38*$AD$38</f>
        <v>0</v>
      </c>
      <c r="AE89" s="36">
        <f>$I$38*$AE$38</f>
        <v>0</v>
      </c>
      <c r="AF89" s="36">
        <f>$I$38*$AF$38</f>
        <v>0</v>
      </c>
    </row>
    <row r="90" spans="1:32" ht="11.25" customHeight="1" x14ac:dyDescent="0.25">
      <c r="A90" s="9" t="s">
        <v>44</v>
      </c>
      <c r="B90" s="9" t="s">
        <v>1445</v>
      </c>
      <c r="C90" s="9" t="s">
        <v>1446</v>
      </c>
      <c r="D90" s="9" t="s">
        <v>1469</v>
      </c>
      <c r="E90" s="9" t="s">
        <v>1470</v>
      </c>
      <c r="F90" s="9" t="s">
        <v>1471</v>
      </c>
      <c r="G90" s="9" t="s">
        <v>1474</v>
      </c>
      <c r="L90" s="36">
        <f>$I$39*$L$39</f>
        <v>0</v>
      </c>
      <c r="M90" s="36">
        <f>$I$39*$M$39</f>
        <v>0</v>
      </c>
      <c r="N90" s="36">
        <f>$I$39*$N$39</f>
        <v>0</v>
      </c>
      <c r="O90" s="36">
        <f>$I$39*$O$39</f>
        <v>0</v>
      </c>
      <c r="P90" s="36">
        <f>$I$39*$P$39</f>
        <v>0</v>
      </c>
      <c r="Q90" s="36">
        <f>$I$39*$Q$39</f>
        <v>0</v>
      </c>
      <c r="R90" s="36">
        <f>$I$39*$R$39</f>
        <v>0</v>
      </c>
      <c r="S90" s="36">
        <f>$I$39*$S$39</f>
        <v>0</v>
      </c>
      <c r="T90" s="36">
        <f>$I$39*$T$39</f>
        <v>0</v>
      </c>
      <c r="U90" s="36">
        <f>$I$39*$U$39</f>
        <v>0</v>
      </c>
      <c r="W90" s="36">
        <f>$I$39*$W$39</f>
        <v>0</v>
      </c>
      <c r="X90" s="36">
        <f>$I$39*$X$39</f>
        <v>0</v>
      </c>
      <c r="Y90" s="36">
        <f>$I$39*$Y$39</f>
        <v>0</v>
      </c>
      <c r="Z90" s="36">
        <f>$I$39*$Z$39</f>
        <v>0</v>
      </c>
      <c r="AA90" s="36">
        <f>$I$39*$AA$39</f>
        <v>0</v>
      </c>
      <c r="AB90" s="36">
        <f>$I$39*$AB$39</f>
        <v>0</v>
      </c>
      <c r="AC90" s="36">
        <f>$I$39*$AC$39</f>
        <v>0</v>
      </c>
      <c r="AD90" s="36">
        <f>$I$39*$AD$39</f>
        <v>0</v>
      </c>
      <c r="AE90" s="36">
        <f>$I$39*$AE$39</f>
        <v>0</v>
      </c>
      <c r="AF90" s="36">
        <f>$I$39*$AF$39</f>
        <v>0</v>
      </c>
    </row>
    <row r="91" spans="1:32" ht="11.25" customHeight="1" x14ac:dyDescent="0.25">
      <c r="A91" s="9" t="s">
        <v>44</v>
      </c>
      <c r="B91" s="9" t="s">
        <v>1453</v>
      </c>
      <c r="C91" s="9" t="s">
        <v>1454</v>
      </c>
      <c r="D91" s="9" t="s">
        <v>1475</v>
      </c>
      <c r="E91" s="9" t="s">
        <v>1476</v>
      </c>
      <c r="F91" s="9" t="s">
        <v>1477</v>
      </c>
      <c r="G91" s="9" t="s">
        <v>1478</v>
      </c>
      <c r="L91" s="36">
        <f>$I$40*$L$40</f>
        <v>0</v>
      </c>
      <c r="M91" s="36">
        <f>$I$40*$M$40</f>
        <v>0</v>
      </c>
      <c r="N91" s="36">
        <f>$I$40*$N$40</f>
        <v>0</v>
      </c>
      <c r="O91" s="36">
        <f>$I$40*$O$40</f>
        <v>0</v>
      </c>
      <c r="P91" s="36">
        <f>$I$40*$P$40</f>
        <v>0</v>
      </c>
      <c r="Q91" s="36">
        <f>$I$40*$Q$40</f>
        <v>0</v>
      </c>
      <c r="R91" s="36">
        <f>$I$40*$R$40</f>
        <v>0</v>
      </c>
      <c r="S91" s="36">
        <f>$I$40*$S$40</f>
        <v>0</v>
      </c>
      <c r="T91" s="36">
        <f>$I$40*$T$40</f>
        <v>0</v>
      </c>
      <c r="U91" s="36">
        <f>$I$40*$U$40</f>
        <v>0</v>
      </c>
      <c r="W91" s="36">
        <f>$I$40*$W$40</f>
        <v>0</v>
      </c>
      <c r="X91" s="36">
        <f>$I$40*$X$40</f>
        <v>0</v>
      </c>
      <c r="Y91" s="36">
        <f>$I$40*$Y$40</f>
        <v>0</v>
      </c>
      <c r="Z91" s="36">
        <f>$I$40*$Z$40</f>
        <v>0</v>
      </c>
      <c r="AA91" s="36">
        <f>$I$40*$AA$40</f>
        <v>0</v>
      </c>
      <c r="AB91" s="36">
        <f>$I$40*$AB$40</f>
        <v>0</v>
      </c>
      <c r="AC91" s="36">
        <f>$I$40*$AC$40</f>
        <v>0</v>
      </c>
      <c r="AD91" s="36">
        <f>$I$40*$AD$40</f>
        <v>0</v>
      </c>
      <c r="AE91" s="36">
        <f>$I$40*$AE$40</f>
        <v>0</v>
      </c>
      <c r="AF91" s="36">
        <f>$I$40*$AF$40</f>
        <v>0</v>
      </c>
    </row>
    <row r="92" spans="1:32" ht="11.25" customHeight="1" x14ac:dyDescent="0.25">
      <c r="A92" s="9" t="s">
        <v>44</v>
      </c>
      <c r="B92" s="9" t="s">
        <v>1479</v>
      </c>
      <c r="C92" s="9" t="s">
        <v>1480</v>
      </c>
      <c r="D92" s="9" t="s">
        <v>1481</v>
      </c>
      <c r="E92" s="9" t="s">
        <v>1482</v>
      </c>
      <c r="F92" s="9" t="s">
        <v>1483</v>
      </c>
      <c r="G92" s="9" t="s">
        <v>1484</v>
      </c>
      <c r="L92" s="36">
        <f>$I$41*$L$41</f>
        <v>0</v>
      </c>
      <c r="M92" s="36">
        <f>$I$41*$M$41</f>
        <v>0</v>
      </c>
      <c r="N92" s="36">
        <f>$I$41*$N$41</f>
        <v>0</v>
      </c>
      <c r="O92" s="36">
        <f>$I$41*$O$41</f>
        <v>0</v>
      </c>
      <c r="P92" s="36">
        <f>$I$41*$P$41</f>
        <v>0</v>
      </c>
      <c r="Q92" s="36">
        <f>$I$41*$Q$41</f>
        <v>0</v>
      </c>
      <c r="R92" s="36">
        <f>$I$41*$R$41</f>
        <v>0</v>
      </c>
      <c r="S92" s="36">
        <f>$I$41*$S$41</f>
        <v>0</v>
      </c>
      <c r="T92" s="36">
        <f>$I$41*$T$41</f>
        <v>0</v>
      </c>
      <c r="U92" s="36">
        <f>$I$41*$U$41</f>
        <v>0</v>
      </c>
      <c r="W92" s="36">
        <f>$I$41*$W$41</f>
        <v>0</v>
      </c>
      <c r="X92" s="36">
        <f>$I$41*$X$41</f>
        <v>0</v>
      </c>
      <c r="Y92" s="36">
        <f>$I$41*$Y$41</f>
        <v>0</v>
      </c>
      <c r="Z92" s="36">
        <f>$I$41*$Z$41</f>
        <v>0</v>
      </c>
      <c r="AA92" s="36">
        <f>$I$41*$AA$41</f>
        <v>0</v>
      </c>
      <c r="AB92" s="36">
        <f>$I$41*$AB$41</f>
        <v>0</v>
      </c>
      <c r="AC92" s="36">
        <f>$I$41*$AC$41</f>
        <v>0</v>
      </c>
      <c r="AD92" s="36">
        <f>$I$41*$AD$41</f>
        <v>0</v>
      </c>
      <c r="AE92" s="36">
        <f>$I$41*$AE$41</f>
        <v>0</v>
      </c>
      <c r="AF92" s="36">
        <f>$I$41*$AF$41</f>
        <v>0</v>
      </c>
    </row>
    <row r="93" spans="1:32" ht="11.25" customHeight="1" x14ac:dyDescent="0.25">
      <c r="A93" s="9" t="s">
        <v>44</v>
      </c>
      <c r="B93" s="9" t="s">
        <v>1479</v>
      </c>
      <c r="C93" s="9" t="s">
        <v>1480</v>
      </c>
      <c r="D93" s="9" t="s">
        <v>1485</v>
      </c>
      <c r="E93" s="9" t="s">
        <v>1486</v>
      </c>
      <c r="F93" s="9" t="s">
        <v>1487</v>
      </c>
      <c r="G93" s="9" t="s">
        <v>1488</v>
      </c>
      <c r="L93" s="36">
        <f>$I$42*$L$42</f>
        <v>0</v>
      </c>
      <c r="M93" s="36">
        <f>$I$42*$M$42</f>
        <v>0</v>
      </c>
      <c r="N93" s="36">
        <f>$I$42*$N$42</f>
        <v>0</v>
      </c>
      <c r="O93" s="36">
        <f>$I$42*$O$42</f>
        <v>0</v>
      </c>
      <c r="P93" s="36">
        <f>$I$42*$P$42</f>
        <v>0</v>
      </c>
      <c r="Q93" s="36">
        <f>$I$42*$Q$42</f>
        <v>0</v>
      </c>
      <c r="R93" s="36">
        <f>$I$42*$R$42</f>
        <v>0</v>
      </c>
      <c r="S93" s="36">
        <f>$I$42*$S$42</f>
        <v>0</v>
      </c>
      <c r="T93" s="36">
        <f>$I$42*$T$42</f>
        <v>0</v>
      </c>
      <c r="U93" s="36">
        <f>$I$42*$U$42</f>
        <v>0</v>
      </c>
      <c r="W93" s="36">
        <f>$I$42*$W$42</f>
        <v>0</v>
      </c>
      <c r="X93" s="36">
        <f>$I$42*$X$42</f>
        <v>0</v>
      </c>
      <c r="Y93" s="36">
        <f>$I$42*$Y$42</f>
        <v>0</v>
      </c>
      <c r="Z93" s="36">
        <f>$I$42*$Z$42</f>
        <v>0</v>
      </c>
      <c r="AA93" s="36">
        <f>$I$42*$AA$42</f>
        <v>0</v>
      </c>
      <c r="AB93" s="36">
        <f>$I$42*$AB$42</f>
        <v>0</v>
      </c>
      <c r="AC93" s="36">
        <f>$I$42*$AC$42</f>
        <v>0</v>
      </c>
      <c r="AD93" s="36">
        <f>$I$42*$AD$42</f>
        <v>0</v>
      </c>
      <c r="AE93" s="36">
        <f>$I$42*$AE$42</f>
        <v>0</v>
      </c>
      <c r="AF93" s="36">
        <f>$I$42*$AF$42</f>
        <v>0</v>
      </c>
    </row>
    <row r="94" spans="1:32" ht="11.25" customHeight="1" x14ac:dyDescent="0.25">
      <c r="A94" s="9" t="s">
        <v>44</v>
      </c>
      <c r="B94" s="9" t="s">
        <v>1479</v>
      </c>
      <c r="C94" s="9" t="s">
        <v>1480</v>
      </c>
      <c r="D94" s="9" t="s">
        <v>1489</v>
      </c>
      <c r="E94" s="9" t="s">
        <v>1490</v>
      </c>
      <c r="F94" s="9" t="s">
        <v>1491</v>
      </c>
      <c r="G94" s="9" t="s">
        <v>1492</v>
      </c>
      <c r="L94" s="36">
        <f>$I$43*$L$43</f>
        <v>0</v>
      </c>
      <c r="M94" s="36">
        <f>$I$43*$M$43</f>
        <v>0</v>
      </c>
      <c r="N94" s="36">
        <f>$I$43*$N$43</f>
        <v>0</v>
      </c>
      <c r="O94" s="36">
        <f>$I$43*$O$43</f>
        <v>0</v>
      </c>
      <c r="P94" s="36">
        <f>$I$43*$P$43</f>
        <v>0</v>
      </c>
      <c r="Q94" s="36">
        <f>$I$43*$Q$43</f>
        <v>0</v>
      </c>
      <c r="R94" s="36">
        <f>$I$43*$R$43</f>
        <v>0</v>
      </c>
      <c r="S94" s="36">
        <f>$I$43*$S$43</f>
        <v>0</v>
      </c>
      <c r="T94" s="36">
        <f>$I$43*$T$43</f>
        <v>0</v>
      </c>
      <c r="U94" s="36">
        <f>$I$43*$U$43</f>
        <v>0</v>
      </c>
      <c r="W94" s="36">
        <f>$I$43*$W$43</f>
        <v>0</v>
      </c>
      <c r="X94" s="36">
        <f>$I$43*$X$43</f>
        <v>0</v>
      </c>
      <c r="Y94" s="36">
        <f>$I$43*$Y$43</f>
        <v>0</v>
      </c>
      <c r="Z94" s="36">
        <f>$I$43*$Z$43</f>
        <v>0</v>
      </c>
      <c r="AA94" s="36">
        <f>$I$43*$AA$43</f>
        <v>0</v>
      </c>
      <c r="AB94" s="36">
        <f>$I$43*$AB$43</f>
        <v>0</v>
      </c>
      <c r="AC94" s="36">
        <f>$I$43*$AC$43</f>
        <v>0</v>
      </c>
      <c r="AD94" s="36">
        <f>$I$43*$AD$43</f>
        <v>0</v>
      </c>
      <c r="AE94" s="36">
        <f>$I$43*$AE$43</f>
        <v>0</v>
      </c>
      <c r="AF94" s="36">
        <f>$I$43*$AF$43</f>
        <v>0</v>
      </c>
    </row>
    <row r="95" spans="1:32" ht="11.25" customHeight="1" x14ac:dyDescent="0.25">
      <c r="A95" s="9" t="s">
        <v>37</v>
      </c>
      <c r="B95" s="9" t="s">
        <v>1493</v>
      </c>
      <c r="C95" s="9" t="s">
        <v>1494</v>
      </c>
      <c r="D95" s="9" t="s">
        <v>1495</v>
      </c>
      <c r="E95" s="9" t="s">
        <v>1496</v>
      </c>
      <c r="F95" s="9" t="s">
        <v>1497</v>
      </c>
      <c r="G95" s="9" t="s">
        <v>1498</v>
      </c>
      <c r="L95" s="36">
        <f>$I$44*$L$44</f>
        <v>267.45707242456064</v>
      </c>
      <c r="M95" s="36">
        <f>$I$44*$M$44</f>
        <v>2197.334722398065</v>
      </c>
      <c r="N95" s="36">
        <f>$I$44*$N$44</f>
        <v>0</v>
      </c>
      <c r="O95" s="36">
        <f>$I$44*$O$44</f>
        <v>385.90472476215444</v>
      </c>
      <c r="P95" s="36">
        <f>$I$44*$P$44</f>
        <v>37205.090570242974</v>
      </c>
      <c r="Q95" s="36">
        <f>$I$44*$Q$44</f>
        <v>0</v>
      </c>
      <c r="R95" s="36">
        <f>$I$44*$R$44</f>
        <v>0</v>
      </c>
      <c r="S95" s="36">
        <f>$I$44*$S$44</f>
        <v>3.9466538801125424E-11</v>
      </c>
      <c r="T95" s="36">
        <f>$I$44*$T$44</f>
        <v>-3746.709961948799</v>
      </c>
      <c r="U95" s="36">
        <f>$I$44*$U$44</f>
        <v>580.60616319466124</v>
      </c>
      <c r="W95" s="36">
        <f>$I$44*$W$44</f>
        <v>223.91458465948165</v>
      </c>
      <c r="X95" s="36">
        <f>$I$44*$X$44</f>
        <v>1438.4891785559846</v>
      </c>
      <c r="Y95" s="36">
        <f>$I$44*$Y$44</f>
        <v>0</v>
      </c>
      <c r="Z95" s="36">
        <f>$I$44*$Z$44</f>
        <v>0</v>
      </c>
      <c r="AA95" s="36">
        <f>$I$44*$AA$44</f>
        <v>34924.106376268479</v>
      </c>
      <c r="AB95" s="36">
        <f>$I$44*$AB$44</f>
        <v>0</v>
      </c>
      <c r="AC95" s="36">
        <f>$I$44*$AC$44</f>
        <v>0</v>
      </c>
      <c r="AD95" s="36">
        <f>$I$44*$AD$44</f>
        <v>3.8167132706461371E-11</v>
      </c>
      <c r="AE95" s="36">
        <f>$I$44*$AE$44</f>
        <v>-24.068135368848075</v>
      </c>
      <c r="AF95" s="36">
        <f>$I$44*$AF$44</f>
        <v>504.03502380434236</v>
      </c>
    </row>
    <row r="96" spans="1:32" ht="11.25" customHeight="1" x14ac:dyDescent="0.25">
      <c r="A96" s="9" t="s">
        <v>37</v>
      </c>
      <c r="B96" s="9" t="s">
        <v>1493</v>
      </c>
      <c r="C96" s="9" t="s">
        <v>1494</v>
      </c>
      <c r="D96" s="9" t="s">
        <v>1495</v>
      </c>
      <c r="E96" s="9" t="s">
        <v>1496</v>
      </c>
      <c r="F96" s="9" t="s">
        <v>1497</v>
      </c>
      <c r="G96" s="9" t="s">
        <v>1499</v>
      </c>
      <c r="L96" s="36">
        <f>$I$45*$L$45</f>
        <v>190.28320864406544</v>
      </c>
      <c r="M96" s="36">
        <f>$I$45*$M$45</f>
        <v>1563.3009725732907</v>
      </c>
      <c r="N96" s="36">
        <f>$I$45*$N$45</f>
        <v>0</v>
      </c>
      <c r="O96" s="36">
        <f>$I$45*$O$45</f>
        <v>274.55317817164774</v>
      </c>
      <c r="P96" s="36">
        <f>$I$45*$P$45</f>
        <v>15389.350773586013</v>
      </c>
      <c r="Q96" s="36">
        <f>$I$45*$Q$45</f>
        <v>0</v>
      </c>
      <c r="R96" s="36">
        <f>$I$45*$R$45</f>
        <v>0</v>
      </c>
      <c r="S96" s="36">
        <f>$I$45*$S$45</f>
        <v>2.8078598068375573E-11</v>
      </c>
      <c r="T96" s="36">
        <f>$I$45*$T$45</f>
        <v>-1632.1987211266487</v>
      </c>
      <c r="U96" s="36">
        <f>$I$45*$U$45</f>
        <v>413.07415313297463</v>
      </c>
      <c r="W96" s="36">
        <f>$I$45*$W$45</f>
        <v>159.30476335871526</v>
      </c>
      <c r="X96" s="36">
        <f>$I$45*$X$45</f>
        <v>1023.4178293139163</v>
      </c>
      <c r="Y96" s="36">
        <f>$I$45*$Y$45</f>
        <v>0</v>
      </c>
      <c r="Z96" s="36">
        <f>$I$45*$Z$45</f>
        <v>0</v>
      </c>
      <c r="AA96" s="36">
        <f>$I$45*$AA$45</f>
        <v>14445.854458107213</v>
      </c>
      <c r="AB96" s="36">
        <f>$I$45*$AB$45</f>
        <v>0</v>
      </c>
      <c r="AC96" s="36">
        <f>$I$45*$AC$45</f>
        <v>0</v>
      </c>
      <c r="AD96" s="36">
        <f>$I$45*$AD$45</f>
        <v>2.7154131353837407E-11</v>
      </c>
      <c r="AE96" s="36">
        <f>$I$45*$AE$45</f>
        <v>-10.365910484589566</v>
      </c>
      <c r="AF96" s="36">
        <f>$I$45*$AF$45</f>
        <v>358.59736565960702</v>
      </c>
    </row>
    <row r="97" spans="1:32" ht="11.25" customHeight="1" x14ac:dyDescent="0.25">
      <c r="A97" s="9" t="s">
        <v>37</v>
      </c>
      <c r="B97" s="9" t="s">
        <v>1493</v>
      </c>
      <c r="C97" s="9" t="s">
        <v>1494</v>
      </c>
      <c r="D97" s="9" t="s">
        <v>1495</v>
      </c>
      <c r="E97" s="9" t="s">
        <v>1496</v>
      </c>
      <c r="F97" s="9" t="s">
        <v>1497</v>
      </c>
      <c r="G97" s="9" t="s">
        <v>1500</v>
      </c>
      <c r="L97" s="36">
        <f>$I$46*$L$46</f>
        <v>3673.8439472845703</v>
      </c>
      <c r="M97" s="36">
        <f>$I$46*$M$46</f>
        <v>30183.030109691124</v>
      </c>
      <c r="N97" s="36">
        <f>$I$46*$N$46</f>
        <v>0</v>
      </c>
      <c r="O97" s="36">
        <f>$I$46*$O$46</f>
        <v>5300.8646376171373</v>
      </c>
      <c r="P97" s="36">
        <f>$I$46*$P$46</f>
        <v>297125.91875584499</v>
      </c>
      <c r="Q97" s="36">
        <f>$I$46*$Q$46</f>
        <v>0</v>
      </c>
      <c r="R97" s="36">
        <f>$I$46*$R$46</f>
        <v>0</v>
      </c>
      <c r="S97" s="36">
        <f>$I$46*$S$46</f>
        <v>5.4212028637112777E-10</v>
      </c>
      <c r="T97" s="36">
        <f>$I$46*$T$46</f>
        <v>-31513.255610448588</v>
      </c>
      <c r="U97" s="36">
        <f>$I$46*$U$46</f>
        <v>7975.3226155964794</v>
      </c>
      <c r="W97" s="36">
        <f>$I$46*$W$46</f>
        <v>3075.735609092957</v>
      </c>
      <c r="X97" s="36">
        <f>$I$46*$X$46</f>
        <v>19759.375640974657</v>
      </c>
      <c r="Y97" s="36">
        <f>$I$46*$Y$46</f>
        <v>0</v>
      </c>
      <c r="Z97" s="36">
        <f>$I$46*$Z$46</f>
        <v>0</v>
      </c>
      <c r="AA97" s="36">
        <f>$I$46*$AA$46</f>
        <v>278909.60711906315</v>
      </c>
      <c r="AB97" s="36">
        <f>$I$46*$AB$46</f>
        <v>0</v>
      </c>
      <c r="AC97" s="36">
        <f>$I$46*$AC$46</f>
        <v>0</v>
      </c>
      <c r="AD97" s="36">
        <f>$I$46*$AD$46</f>
        <v>5.2427138384381591E-10</v>
      </c>
      <c r="AE97" s="36">
        <f>$I$46*$AE$46</f>
        <v>-200.13714170197102</v>
      </c>
      <c r="AF97" s="36">
        <f>$I$46*$AF$46</f>
        <v>6923.5260994839609</v>
      </c>
    </row>
    <row r="98" spans="1:32" ht="11.25" customHeight="1" x14ac:dyDescent="0.25">
      <c r="A98" s="9" t="s">
        <v>37</v>
      </c>
      <c r="B98" s="9" t="s">
        <v>1501</v>
      </c>
      <c r="C98" s="9" t="s">
        <v>1502</v>
      </c>
      <c r="D98" s="9" t="s">
        <v>1503</v>
      </c>
      <c r="E98" s="9" t="s">
        <v>1504</v>
      </c>
      <c r="F98" s="9" t="s">
        <v>1505</v>
      </c>
      <c r="G98" s="9" t="s">
        <v>1506</v>
      </c>
      <c r="L98" s="36">
        <f>$I$47*$L$47</f>
        <v>923773.58202430175</v>
      </c>
      <c r="M98" s="36">
        <f>$I$47*$M$47</f>
        <v>7589403.970570175</v>
      </c>
      <c r="N98" s="36">
        <f>$I$47*$N$47</f>
        <v>0</v>
      </c>
      <c r="O98" s="36">
        <f>$I$47*$O$47</f>
        <v>1332881.5225635488</v>
      </c>
      <c r="P98" s="36">
        <f>$I$47*$P$47</f>
        <v>79193809.784238324</v>
      </c>
      <c r="Q98" s="36">
        <f>$I$47*$Q$47</f>
        <v>0</v>
      </c>
      <c r="R98" s="36">
        <f>$I$47*$R$47</f>
        <v>0</v>
      </c>
      <c r="S98" s="36">
        <f>$I$47*$S$47</f>
        <v>1.3631400952652007E-7</v>
      </c>
      <c r="T98" s="36">
        <f>$I$47*$T$47</f>
        <v>-8341961.2663862929</v>
      </c>
      <c r="U98" s="36">
        <f>$I$47*$U$47</f>
        <v>2005363.4411593359</v>
      </c>
      <c r="W98" s="36">
        <f>$I$47*$W$47</f>
        <v>773381.59751493041</v>
      </c>
      <c r="X98" s="36">
        <f>$I$47*$X$47</f>
        <v>4968417.133753947</v>
      </c>
      <c r="Y98" s="36">
        <f>$I$47*$Y$47</f>
        <v>0</v>
      </c>
      <c r="Z98" s="36">
        <f>$I$47*$Z$47</f>
        <v>0</v>
      </c>
      <c r="AA98" s="36">
        <f>$I$47*$AA$47</f>
        <v>74338564.826900527</v>
      </c>
      <c r="AB98" s="36">
        <f>$I$47*$AB$47</f>
        <v>0</v>
      </c>
      <c r="AC98" s="36">
        <f>$I$47*$AC$47</f>
        <v>0</v>
      </c>
      <c r="AD98" s="36">
        <f>$I$47*$AD$47</f>
        <v>1.3182597332807334E-7</v>
      </c>
      <c r="AE98" s="36">
        <f>$I$47*$AE$47</f>
        <v>-53057.492306369088</v>
      </c>
      <c r="AF98" s="36">
        <f>$I$47*$AF$47</f>
        <v>1740893.3522846866</v>
      </c>
    </row>
    <row r="99" spans="1:32" ht="11.25" customHeight="1" x14ac:dyDescent="0.25">
      <c r="A99" s="9" t="s">
        <v>37</v>
      </c>
      <c r="B99" s="9" t="s">
        <v>1507</v>
      </c>
      <c r="C99" s="9" t="s">
        <v>1508</v>
      </c>
      <c r="D99" s="9" t="s">
        <v>1509</v>
      </c>
      <c r="E99" s="9" t="s">
        <v>1510</v>
      </c>
      <c r="F99" s="9" t="s">
        <v>1511</v>
      </c>
      <c r="G99" s="9" t="s">
        <v>1512</v>
      </c>
      <c r="L99" s="36">
        <f>$I$48*$L$48</f>
        <v>0</v>
      </c>
      <c r="M99" s="36">
        <f>$I$48*$M$48</f>
        <v>0</v>
      </c>
      <c r="N99" s="36">
        <f>$I$48*$N$48</f>
        <v>0</v>
      </c>
      <c r="O99" s="36">
        <f>$I$48*$O$48</f>
        <v>0</v>
      </c>
      <c r="P99" s="36">
        <f>$I$48*$P$48</f>
        <v>0</v>
      </c>
      <c r="Q99" s="36">
        <f>$I$48*$Q$48</f>
        <v>0</v>
      </c>
      <c r="R99" s="36">
        <f>$I$48*$R$48</f>
        <v>0</v>
      </c>
      <c r="S99" s="36">
        <f>$I$48*$S$48</f>
        <v>0</v>
      </c>
      <c r="T99" s="36">
        <f>$I$48*$T$48</f>
        <v>0</v>
      </c>
      <c r="U99" s="36">
        <f>$I$48*$U$48</f>
        <v>0</v>
      </c>
      <c r="W99" s="36">
        <f>$I$48*$W$48</f>
        <v>0</v>
      </c>
      <c r="X99" s="36">
        <f>$I$48*$X$48</f>
        <v>0</v>
      </c>
      <c r="Y99" s="36">
        <f>$I$48*$Y$48</f>
        <v>0</v>
      </c>
      <c r="Z99" s="36">
        <f>$I$48*$Z$48</f>
        <v>0</v>
      </c>
      <c r="AA99" s="36">
        <f>$I$48*$AA$48</f>
        <v>0</v>
      </c>
      <c r="AB99" s="36">
        <f>$I$48*$AB$48</f>
        <v>0</v>
      </c>
      <c r="AC99" s="36">
        <f>$I$48*$AC$48</f>
        <v>0</v>
      </c>
      <c r="AD99" s="36">
        <f>$I$48*$AD$48</f>
        <v>0</v>
      </c>
      <c r="AE99" s="36">
        <f>$I$48*$AE$48</f>
        <v>0</v>
      </c>
      <c r="AF99" s="36">
        <f>$I$48*$AF$48</f>
        <v>0</v>
      </c>
    </row>
    <row r="100" spans="1:32" ht="11.25" customHeight="1" x14ac:dyDescent="0.25">
      <c r="A100" s="9" t="s">
        <v>47</v>
      </c>
      <c r="B100" s="9" t="s">
        <v>1513</v>
      </c>
      <c r="C100" s="9" t="s">
        <v>1514</v>
      </c>
      <c r="D100" s="9" t="s">
        <v>1515</v>
      </c>
      <c r="E100" s="9" t="s">
        <v>1516</v>
      </c>
      <c r="F100" s="9" t="s">
        <v>1517</v>
      </c>
      <c r="G100" s="9" t="s">
        <v>1518</v>
      </c>
      <c r="L100" s="36">
        <f>$I$49*$L$49</f>
        <v>284790.85841775936</v>
      </c>
      <c r="M100" s="36">
        <f>$I$49*$M$49</f>
        <v>2339743.1077445252</v>
      </c>
      <c r="N100" s="36">
        <f>$I$49*$N$49</f>
        <v>0</v>
      </c>
      <c r="O100" s="36">
        <f>$I$49*$O$49</f>
        <v>410915.05577397777</v>
      </c>
      <c r="P100" s="36">
        <f>$I$49*$P$49</f>
        <v>24414719.698308781</v>
      </c>
      <c r="Q100" s="36">
        <f>$I$49*$Q$49</f>
        <v>0</v>
      </c>
      <c r="R100" s="36">
        <f>$I$49*$R$49</f>
        <v>0</v>
      </c>
      <c r="S100" s="36">
        <f>$I$49*$S$49</f>
        <v>4.2024349410766121E-8</v>
      </c>
      <c r="T100" s="36">
        <f>$I$49*$T$49</f>
        <v>-2571749.5673949169</v>
      </c>
      <c r="U100" s="36">
        <f>$I$49*$U$49</f>
        <v>618235.01663239254</v>
      </c>
      <c r="W100" s="36">
        <f>$I$49*$W$49</f>
        <v>238426.3994193557</v>
      </c>
      <c r="X100" s="36">
        <f>$I$49*$X$49</f>
        <v>1531717.0874259407</v>
      </c>
      <c r="Y100" s="36">
        <f>$I$49*$Y$49</f>
        <v>0</v>
      </c>
      <c r="Z100" s="36">
        <f>$I$49*$Z$49</f>
        <v>0</v>
      </c>
      <c r="AA100" s="36">
        <f>$I$49*$AA$49</f>
        <v>22917892.547007542</v>
      </c>
      <c r="AB100" s="36">
        <f>$I$49*$AB$49</f>
        <v>0</v>
      </c>
      <c r="AC100" s="36">
        <f>$I$49*$AC$49</f>
        <v>0</v>
      </c>
      <c r="AD100" s="36">
        <f>$I$49*$AD$49</f>
        <v>4.0640729326324204E-8</v>
      </c>
      <c r="AE100" s="36">
        <f>$I$49*$AE$49</f>
        <v>-16357.134554890359</v>
      </c>
      <c r="AF100" s="36">
        <f>$I$49*$AF$49</f>
        <v>536701.33229452407</v>
      </c>
    </row>
    <row r="101" spans="1:32" ht="11.25" customHeight="1" x14ac:dyDescent="0.25">
      <c r="A101" s="9" t="s">
        <v>47</v>
      </c>
      <c r="B101" s="9" t="s">
        <v>1513</v>
      </c>
      <c r="C101" s="9" t="s">
        <v>1514</v>
      </c>
      <c r="D101" s="9" t="s">
        <v>1519</v>
      </c>
      <c r="E101" s="9" t="s">
        <v>1520</v>
      </c>
      <c r="F101" s="9" t="s">
        <v>1521</v>
      </c>
      <c r="G101" s="9" t="s">
        <v>1522</v>
      </c>
      <c r="L101" s="36">
        <f>$I$50*$L$50</f>
        <v>0</v>
      </c>
      <c r="M101" s="36">
        <f>$I$50*$M$50</f>
        <v>0</v>
      </c>
      <c r="N101" s="36">
        <f>$I$50*$N$50</f>
        <v>0</v>
      </c>
      <c r="O101" s="36">
        <f>$I$50*$O$50</f>
        <v>0</v>
      </c>
      <c r="P101" s="36">
        <f>$I$50*$P$50</f>
        <v>0</v>
      </c>
      <c r="Q101" s="36">
        <f>$I$50*$Q$50</f>
        <v>0</v>
      </c>
      <c r="R101" s="36">
        <f>$I$50*$R$50</f>
        <v>0</v>
      </c>
      <c r="S101" s="36">
        <f>$I$50*$S$50</f>
        <v>0</v>
      </c>
      <c r="T101" s="36">
        <f>$I$50*$T$50</f>
        <v>0</v>
      </c>
      <c r="U101" s="36">
        <f>$I$50*$U$50</f>
        <v>0</v>
      </c>
      <c r="W101" s="36">
        <f>$I$50*$W$50</f>
        <v>0</v>
      </c>
      <c r="X101" s="36">
        <f>$I$50*$X$50</f>
        <v>0</v>
      </c>
      <c r="Y101" s="36">
        <f>$I$50*$Y$50</f>
        <v>0</v>
      </c>
      <c r="Z101" s="36">
        <f>$I$50*$Z$50</f>
        <v>0</v>
      </c>
      <c r="AA101" s="36">
        <f>$I$50*$AA$50</f>
        <v>0</v>
      </c>
      <c r="AB101" s="36">
        <f>$I$50*$AB$50</f>
        <v>0</v>
      </c>
      <c r="AC101" s="36">
        <f>$I$50*$AC$50</f>
        <v>0</v>
      </c>
      <c r="AD101" s="36">
        <f>$I$50*$AD$50</f>
        <v>0</v>
      </c>
      <c r="AE101" s="36">
        <f>$I$50*$AE$50</f>
        <v>0</v>
      </c>
      <c r="AF101" s="36">
        <f>$I$50*$AF$50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U1"/>
    <mergeCell ref="L2:U2"/>
    <mergeCell ref="L3:O3"/>
    <mergeCell ref="Q3:S3"/>
    <mergeCell ref="A5:A9"/>
    <mergeCell ref="B5:B6"/>
    <mergeCell ref="C5:C6"/>
    <mergeCell ref="D5:D6"/>
    <mergeCell ref="E5:E6"/>
    <mergeCell ref="A10:A15"/>
    <mergeCell ref="B10:B11"/>
    <mergeCell ref="C10:C11"/>
    <mergeCell ref="D10:D11"/>
    <mergeCell ref="E10:E11"/>
    <mergeCell ref="A16:A28"/>
    <mergeCell ref="B16:B18"/>
    <mergeCell ref="C16:C18"/>
    <mergeCell ref="D16:D18"/>
    <mergeCell ref="E16:E18"/>
    <mergeCell ref="B19:B23"/>
    <mergeCell ref="C19:C23"/>
    <mergeCell ref="B24:B28"/>
    <mergeCell ref="C24:C28"/>
    <mergeCell ref="A29:A43"/>
    <mergeCell ref="B29:B31"/>
    <mergeCell ref="C29:C31"/>
    <mergeCell ref="D29:D31"/>
    <mergeCell ref="E29:E31"/>
    <mergeCell ref="B33:B35"/>
    <mergeCell ref="C33:C35"/>
    <mergeCell ref="D33:D35"/>
    <mergeCell ref="E33:E35"/>
    <mergeCell ref="W1:AF1"/>
    <mergeCell ref="W2:AF2"/>
    <mergeCell ref="W3:Z3"/>
    <mergeCell ref="AB3:AD3"/>
    <mergeCell ref="B41:B43"/>
    <mergeCell ref="C41:C43"/>
    <mergeCell ref="F33:F35"/>
    <mergeCell ref="B37:B39"/>
    <mergeCell ref="C37:C39"/>
    <mergeCell ref="D37:D39"/>
    <mergeCell ref="E37:E39"/>
    <mergeCell ref="F37:F39"/>
    <mergeCell ref="F29:F31"/>
    <mergeCell ref="F16:F18"/>
    <mergeCell ref="F10:F11"/>
    <mergeCell ref="F5:F6"/>
    <mergeCell ref="E44:E46"/>
    <mergeCell ref="F44:F46"/>
    <mergeCell ref="A49:A50"/>
    <mergeCell ref="B49:B50"/>
    <mergeCell ref="C49:C50"/>
    <mergeCell ref="A44:A48"/>
    <mergeCell ref="B44:B46"/>
    <mergeCell ref="C44:C46"/>
    <mergeCell ref="D44:D46"/>
    <mergeCell ref="L52:U52"/>
    <mergeCell ref="W52:AF52"/>
    <mergeCell ref="L53:U53"/>
    <mergeCell ref="W53:AF53"/>
    <mergeCell ref="L54:O54"/>
    <mergeCell ref="Q54:S54"/>
    <mergeCell ref="W54:Z54"/>
    <mergeCell ref="AB54:AD5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EC32-B0EF-4D76-AA78-A27C8E6E0BDC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8" width="10.85546875" style="14" bestFit="1" customWidth="1"/>
    <col min="9" max="9" width="8" style="14" bestFit="1" customWidth="1"/>
    <col min="10" max="12" width="10.85546875" style="14" bestFit="1" customWidth="1"/>
    <col min="13" max="13" width="9.7109375" style="14" bestFit="1" customWidth="1"/>
    <col min="14" max="14" width="6" style="14" bestFit="1" customWidth="1"/>
    <col min="15" max="15" width="7.42578125" style="14" bestFit="1" customWidth="1"/>
    <col min="16" max="16" width="9.7109375" style="14" bestFit="1" customWidth="1"/>
    <col min="17" max="17" width="11.7109375" style="14" bestFit="1" customWidth="1"/>
    <col min="18" max="18" width="11.4257812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1.71093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83</v>
      </c>
      <c r="B1" s="14" t="s">
        <v>84</v>
      </c>
      <c r="C1" s="14" t="s">
        <v>85</v>
      </c>
      <c r="D1" s="14" t="s">
        <v>86</v>
      </c>
      <c r="E1" s="14" t="s">
        <v>87</v>
      </c>
      <c r="F1" s="14" t="s">
        <v>15</v>
      </c>
      <c r="G1" s="14" t="s">
        <v>89</v>
      </c>
      <c r="I1" s="14" t="s">
        <v>1530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41</v>
      </c>
      <c r="AB2" s="14" t="s">
        <v>40</v>
      </c>
      <c r="AC2" s="14" t="s">
        <v>24</v>
      </c>
      <c r="AD2" s="14" t="s">
        <v>24</v>
      </c>
      <c r="AE2" s="14" t="s">
        <v>58</v>
      </c>
      <c r="AF2" s="14" t="s">
        <v>65</v>
      </c>
      <c r="AG2" s="14" t="s">
        <v>100</v>
      </c>
    </row>
    <row r="3" spans="1:33" x14ac:dyDescent="0.2">
      <c r="AA3" s="14" t="s">
        <v>104</v>
      </c>
      <c r="AB3" s="14" t="s">
        <v>61</v>
      </c>
      <c r="AC3" s="14" t="s">
        <v>45</v>
      </c>
      <c r="AD3" s="14" t="s">
        <v>29</v>
      </c>
      <c r="AE3" s="14" t="s">
        <v>105</v>
      </c>
      <c r="AF3" s="14" t="s">
        <v>68</v>
      </c>
      <c r="AG3" s="14" t="s">
        <v>101</v>
      </c>
    </row>
    <row r="4" spans="1:33" x14ac:dyDescent="0.2">
      <c r="AA4" s="14" t="s">
        <v>22</v>
      </c>
      <c r="AB4" s="14" t="s">
        <v>69</v>
      </c>
      <c r="AC4" s="14" t="s">
        <v>48</v>
      </c>
      <c r="AD4" s="14" t="s">
        <v>30</v>
      </c>
      <c r="AE4" s="14" t="s">
        <v>106</v>
      </c>
      <c r="AF4" s="14" t="s">
        <v>62</v>
      </c>
      <c r="AG4" s="14" t="s">
        <v>98</v>
      </c>
    </row>
    <row r="5" spans="1:33" x14ac:dyDescent="0.2">
      <c r="A5" s="14" t="s">
        <v>1523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895</v>
      </c>
      <c r="AA5" s="14" t="s">
        <v>44</v>
      </c>
      <c r="AB5" s="14" t="s">
        <v>42</v>
      </c>
      <c r="AD5" s="14" t="s">
        <v>31</v>
      </c>
      <c r="AF5" s="14" t="s">
        <v>67</v>
      </c>
      <c r="AG5" s="14" t="s">
        <v>9</v>
      </c>
    </row>
    <row r="6" spans="1:33" x14ac:dyDescent="0.2">
      <c r="A6" s="14" t="s">
        <v>1524</v>
      </c>
      <c r="B6" s="18">
        <f>SUM(TUSD!$AI$77:'TUSD'!$AI$143)</f>
        <v>0</v>
      </c>
      <c r="C6" s="18">
        <f>SUM(TUSD!$AJ$77:'TUSD'!$AJ$143)</f>
        <v>2443562.8788376716</v>
      </c>
      <c r="D6" s="18">
        <f>SUM(TUSD!$AK$77:'TUSD'!$AK$143)</f>
        <v>7218500.4850431541</v>
      </c>
      <c r="E6" s="18">
        <f>SUM(TUSD!$AL$77:'TUSD'!$AL$143)</f>
        <v>74643.957225931154</v>
      </c>
      <c r="F6" s="18">
        <f>SUM(TUSD!$AM$77:'TUSD'!$AM$143)</f>
        <v>0</v>
      </c>
      <c r="G6" s="18">
        <f>SUM(TUSD!$AN$77:'TUSD'!$AN$143)</f>
        <v>51251379.706107564</v>
      </c>
      <c r="H6" s="18">
        <f>SUM(TUSD!$AO$77:'TUSD'!$AO$143)</f>
        <v>26307233.366029013</v>
      </c>
      <c r="I6" s="18">
        <f>SUM(TUSD!$AP$77:'TUSD'!$AP$143)</f>
        <v>0</v>
      </c>
      <c r="J6" s="18">
        <f>SUM(TUSD!$AQ$77:'TUSD'!$AQ$143)</f>
        <v>82604614.254464671</v>
      </c>
      <c r="K6" s="18">
        <f>SUM(TUSD!$AR$77:'TUSD'!$AR$143)</f>
        <v>21853903.80144529</v>
      </c>
      <c r="L6" s="18">
        <f>SUM(TUSD!$AS$77:'TUSD'!$AS$143)</f>
        <v>9044819.6947117522</v>
      </c>
      <c r="M6" s="18">
        <f>SUM(TUSD!$AT$77:'TUSD'!$AT$143)</f>
        <v>0</v>
      </c>
      <c r="N6" s="18">
        <f>SUM(TUSD!$AU$77:'TUSD'!$AU$143)</f>
        <v>0</v>
      </c>
      <c r="O6" s="18">
        <f>SUM(TUSD!$AV$77:'TUSD'!$AV$143)</f>
        <v>0</v>
      </c>
      <c r="P6" s="18">
        <f>SUM(TUSD!$AW$77:'TUSD'!$AW$143)</f>
        <v>0</v>
      </c>
      <c r="Q6" s="18">
        <f>SUM(TUSD!$AX$77:'TUSD'!$AX$143)</f>
        <v>505450866.84394962</v>
      </c>
      <c r="R6" s="18">
        <f>SUM(TUSD!$AY$77:'TUSD'!$AY$143)</f>
        <v>-453203.86118332914</v>
      </c>
      <c r="S6" s="18">
        <f>SUM(TUSD!$AZ$77:'TUSD'!$AZ$143)</f>
        <v>0</v>
      </c>
      <c r="T6" s="18">
        <f>SUM(TUSD!$BA$77:'TUSD'!$BA$143)</f>
        <v>47025079.152148418</v>
      </c>
      <c r="U6" s="18">
        <f>SUM(TUSD!$BB$77:'TUSD'!$BB$143)</f>
        <v>1718166.5835817503</v>
      </c>
      <c r="V6" s="18">
        <f>SUM(TUSD!$BC$77:'TUSD'!$BC$143)</f>
        <v>17177594.007830851</v>
      </c>
      <c r="W6" s="18">
        <f>SUM(TUSD!$BD$77:'TUSD'!$BD$143)</f>
        <v>0</v>
      </c>
      <c r="X6" s="18">
        <f t="shared" ref="X6:X11" si="0">SUM(B6:W6)</f>
        <v>771717160.87019241</v>
      </c>
      <c r="AA6" s="14" t="s">
        <v>37</v>
      </c>
      <c r="AB6" s="14" t="s">
        <v>33</v>
      </c>
      <c r="AD6" s="14" t="s">
        <v>32</v>
      </c>
      <c r="AG6" s="14" t="s">
        <v>94</v>
      </c>
    </row>
    <row r="7" spans="1:33" x14ac:dyDescent="0.2">
      <c r="A7" s="14" t="s">
        <v>1525</v>
      </c>
      <c r="B7" s="18">
        <f>SUM(TUSD!$L$77:'TUSD'!$L$143)</f>
        <v>8832077.8073393479</v>
      </c>
      <c r="C7" s="18">
        <f>SUM(TUSD!$M$77:'TUSD'!$M$143)</f>
        <v>2572807.5483739437</v>
      </c>
      <c r="D7" s="18">
        <f ca="1">SUM(TUSD!$N$77:'TUSD'!$N$143)</f>
        <v>7288007.1118029831</v>
      </c>
      <c r="E7" s="18">
        <f>SUM(TUSD!$O$77:'TUSD'!$O$143)</f>
        <v>67358.415438135387</v>
      </c>
      <c r="F7" s="18">
        <f>SUM(TUSD!$P$77:'TUSD'!$P$143)</f>
        <v>0</v>
      </c>
      <c r="G7" s="18">
        <f>SUM(TUSD!$Q$77:'TUSD'!$Q$143)</f>
        <v>85941941.901384845</v>
      </c>
      <c r="H7" s="18">
        <f>SUM(TUSD!$R$77:'TUSD'!$R$143)</f>
        <v>38284287.073997624</v>
      </c>
      <c r="I7" s="18">
        <f>SUM(TUSD!$S$77:'TUSD'!$S$143)</f>
        <v>0</v>
      </c>
      <c r="J7" s="18">
        <f>SUM(TUSD!$T$77:'TUSD'!$T$143)</f>
        <v>80490925.277478009</v>
      </c>
      <c r="K7" s="18">
        <f>SUM(TUSD!$U$77:'TUSD'!$U$143)</f>
        <v>14243748.342288442</v>
      </c>
      <c r="L7" s="18">
        <f>SUM(TUSD!$V$77:'TUSD'!$V$143)</f>
        <v>13248874.362256087</v>
      </c>
      <c r="M7" s="18">
        <f>SUM(TUSD!$W$77:'TUSD'!$W$143)</f>
        <v>0</v>
      </c>
      <c r="N7" s="18">
        <f>SUM(TUSD!$X$77:'TUSD'!$X$143)</f>
        <v>0</v>
      </c>
      <c r="O7" s="18">
        <f>SUM(TUSD!$Y$77:'TUSD'!$Y$143)</f>
        <v>0</v>
      </c>
      <c r="P7" s="18">
        <f>SUM(TUSD!$Z$77:'TUSD'!$Z$143)</f>
        <v>0</v>
      </c>
      <c r="Q7" s="18">
        <f>SUM(TUSD!$AA$77:'TUSD'!$AA$143)</f>
        <v>672757868.21700001</v>
      </c>
      <c r="R7" s="18">
        <f ca="1">SUM(TUSD!$AB$77:'TUSD'!$AB$143)</f>
        <v>-77443437.36889033</v>
      </c>
      <c r="S7" s="18">
        <f ca="1">SUM(TUSD!$AC$77:'TUSD'!$AC$143)</f>
        <v>0</v>
      </c>
      <c r="T7" s="18">
        <f>SUM(TUSD!$AD$77:'TUSD'!$AD$143)</f>
        <v>54336433.668136023</v>
      </c>
      <c r="U7" s="18">
        <f>SUM(TUSD!$AE$77:'TUSD'!$AE$143)</f>
        <v>2071327.3200976695</v>
      </c>
      <c r="V7" s="18">
        <f ca="1">SUM(TUSD!$AF$77:'TUSD'!$AF$143)</f>
        <v>18186047.099441219</v>
      </c>
      <c r="W7" s="18">
        <f ca="1">SUM(TUSD!$AG$77:'TUSD'!$AG$143)</f>
        <v>0</v>
      </c>
      <c r="X7" s="18">
        <f t="shared" ca="1" si="0"/>
        <v>920878266.77614403</v>
      </c>
      <c r="AA7" s="14" t="s">
        <v>47</v>
      </c>
      <c r="AB7" s="14" t="s">
        <v>23</v>
      </c>
      <c r="AD7" s="14" t="s">
        <v>110</v>
      </c>
      <c r="AG7" s="14" t="s">
        <v>95</v>
      </c>
    </row>
    <row r="8" spans="1:33" x14ac:dyDescent="0.2">
      <c r="A8" s="14" t="s">
        <v>1528</v>
      </c>
      <c r="B8" s="18">
        <f>IF($G$2&lt;&gt;"Não se aplica",SUMIF(TUSD!$G$77:'TUSD'!$G$143,$I$2,TUSD!$AI$77:'TUSD'!$AI$143),IF($F$2&lt;&gt;"Não se aplica",SUMIF(TUSD!$F$77:'TUSD'!$F$143,$I$2,TUSD!$AI$77:'TUSD'!$AI$143),IF($E$2&lt;&gt;"Não se aplica",SUMIF(TUSD!$E$77:'TUSD'!$E$143,$I$2,TUSD!$AI$77:'TUSD'!$AI$143),IF($D$2&lt;&gt;"Não se aplica",SUMIF(TUSD!$D$77:'TUSD'!$D$143,$I$2,TUSD!$AI$77:'TUSD'!$AI$143),IF($C$2&lt;&gt;"Não se aplica",SUMIF(TUSD!$C$77:'TUSD'!$C$143,$I$2,TUSD!$AI$77:'TUSD'!$AI$143),IF($B$2&lt;&gt;"Não se aplica",SUMIF(TUSD!$B$77:'TUSD'!$B$143,$I$2,TUSD!$AI$77:'TUSD'!$AI$143),SUMIF(TUSD!$A$77:'TUSD'!$A$143,$I$2,TUSD!$AI$77:'TUSD'!$AI$143)))))))</f>
        <v>0</v>
      </c>
      <c r="C8" s="18">
        <f>IF($G$2&lt;&gt;"Não se aplica",SUMIF(TUSD!$G$77:'TUSD'!$G$143,$I$2,TUSD!$AJ$77:'TUSD'!$AJ$143),IF($F$2&lt;&gt;"Não se aplica",SUMIF(TUSD!$F$77:'TUSD'!$F$143,$I$2,TUSD!$AJ$77:'TUSD'!$AJ$143),IF($E$2&lt;&gt;"Não se aplica",SUMIF(TUSD!$E$77:'TUSD'!$E$143,$I$2,TUSD!$AJ$77:'TUSD'!$AJ$143),IF($D$2&lt;&gt;"Não se aplica",SUMIF(TUSD!$D$77:'TUSD'!$D$143,$I$2,TUSD!$AJ$77:'TUSD'!$AJ$143),IF($C$2&lt;&gt;"Não se aplica",SUMIF(TUSD!$C$77:'TUSD'!$C$143,$I$2,TUSD!$AJ$77:'TUSD'!$AJ$143),IF($B$2&lt;&gt;"Não se aplica",SUMIF(TUSD!$B$77:'TUSD'!$B$143,$I$2,TUSD!$AJ$77:'TUSD'!$AJ$143),SUMIF(TUSD!$A$77:'TUSD'!$A$143,$I$2,TUSD!$AJ$77:'TUSD'!$AJ$143)))))))</f>
        <v>161879.13795355335</v>
      </c>
      <c r="D8" s="18">
        <f>IF($G$2&lt;&gt;"Não se aplica",SUMIF(TUSD!$G$77:'TUSD'!$G$143,$I$2,TUSD!$AK$77:'TUSD'!$AK$143),IF($F$2&lt;&gt;"Não se aplica",SUMIF(TUSD!$F$77:'TUSD'!$F$143,$I$2,TUSD!$AK$77:'TUSD'!$AK$143),IF($E$2&lt;&gt;"Não se aplica",SUMIF(TUSD!$E$77:'TUSD'!$E$143,$I$2,TUSD!$AK$77:'TUSD'!$AK$143),IF($D$2&lt;&gt;"Não se aplica",SUMIF(TUSD!$D$77:'TUSD'!$D$143,$I$2,TUSD!$AK$77:'TUSD'!$AK$143),IF($C$2&lt;&gt;"Não se aplica",SUMIF(TUSD!$C$77:'TUSD'!$C$143,$I$2,TUSD!$AK$77:'TUSD'!$AK$143),IF($B$2&lt;&gt;"Não se aplica",SUMIF(TUSD!$B$77:'TUSD'!$B$143,$I$2,TUSD!$AK$77:'TUSD'!$AK$143),SUMIF(TUSD!$A$77:'TUSD'!$A$143,$I$2,TUSD!$AK$77:'TUSD'!$AK$143)))))))</f>
        <v>105696.83252762037</v>
      </c>
      <c r="E8" s="18">
        <f>IF($G$2&lt;&gt;"Não se aplica",SUMIF(TUSD!$G$77:'TUSD'!$G$143,$I$2,TUSD!$AL$77:'TUSD'!$AL$143),IF($F$2&lt;&gt;"Não se aplica",SUMIF(TUSD!$F$77:'TUSD'!$F$143,$I$2,TUSD!$AL$77:'TUSD'!$AL$143),IF($E$2&lt;&gt;"Não se aplica",SUMIF(TUSD!$E$77:'TUSD'!$E$143,$I$2,TUSD!$AL$77:'TUSD'!$AL$143),IF($D$2&lt;&gt;"Não se aplica",SUMIF(TUSD!$D$77:'TUSD'!$D$143,$I$2,TUSD!$AL$77:'TUSD'!$AL$143),IF($C$2&lt;&gt;"Não se aplica",SUMIF(TUSD!$C$77:'TUSD'!$C$143,$I$2,TUSD!$AL$77:'TUSD'!$AL$143),IF($B$2&lt;&gt;"Não se aplica",SUMIF(TUSD!$B$77:'TUSD'!$B$143,$I$2,TUSD!$AL$77:'TUSD'!$AL$143),SUMIF(TUSD!$A$77:'TUSD'!$A$143,$I$2,TUSD!$AL$77:'TUSD'!$AL$143)))))))</f>
        <v>13391.225178339202</v>
      </c>
      <c r="F8" s="18">
        <f>IF($G$2&lt;&gt;"Não se aplica",SUMIF(TUSD!$G$77:'TUSD'!$G$143,$I$2,TUSD!$AM$77:'TUSD'!$AM$143),IF($F$2&lt;&gt;"Não se aplica",SUMIF(TUSD!$F$77:'TUSD'!$F$143,$I$2,TUSD!$AM$77:'TUSD'!$AM$143),IF($E$2&lt;&gt;"Não se aplica",SUMIF(TUSD!$E$77:'TUSD'!$E$143,$I$2,TUSD!$AM$77:'TUSD'!$AM$143),IF($D$2&lt;&gt;"Não se aplica",SUMIF(TUSD!$D$77:'TUSD'!$D$143,$I$2,TUSD!$AM$77:'TUSD'!$AM$143),IF($C$2&lt;&gt;"Não se aplica",SUMIF(TUSD!$C$77:'TUSD'!$C$143,$I$2,TUSD!$AM$77:'TUSD'!$AM$143),IF($B$2&lt;&gt;"Não se aplica",SUMIF(TUSD!$B$77:'TUSD'!$B$143,$I$2,TUSD!$AM$77:'TUSD'!$AM$143),SUMIF(TUSD!$A$77:'TUSD'!$A$143,$I$2,TUSD!$AM$77:'TUSD'!$AM$143)))))))</f>
        <v>0</v>
      </c>
      <c r="G8" s="18">
        <f>IF($G$2&lt;&gt;"Não se aplica",SUMIF(TUSD!$G$77:'TUSD'!$G$143,$I$2,TUSD!$AN$77:'TUSD'!$AN$143),IF($F$2&lt;&gt;"Não se aplica",SUMIF(TUSD!$F$77:'TUSD'!$F$143,$I$2,TUSD!$AN$77:'TUSD'!$AN$143),IF($E$2&lt;&gt;"Não se aplica",SUMIF(TUSD!$E$77:'TUSD'!$E$143,$I$2,TUSD!$AN$77:'TUSD'!$AN$143),IF($D$2&lt;&gt;"Não se aplica",SUMIF(TUSD!$D$77:'TUSD'!$D$143,$I$2,TUSD!$AN$77:'TUSD'!$AN$143),IF($C$2&lt;&gt;"Não se aplica",SUMIF(TUSD!$C$77:'TUSD'!$C$143,$I$2,TUSD!$AN$77:'TUSD'!$AN$143),IF($B$2&lt;&gt;"Não se aplica",SUMIF(TUSD!$B$77:'TUSD'!$B$143,$I$2,TUSD!$AN$77:'TUSD'!$AN$143),SUMIF(TUSD!$A$77:'TUSD'!$A$143,$I$2,TUSD!$AN$77:'TUSD'!$AN$143)))))))</f>
        <v>3453000.6160502736</v>
      </c>
      <c r="H8" s="18">
        <f>IF($G$2&lt;&gt;"Não se aplica",SUMIF(TUSD!$G$77:'TUSD'!$G$143,$I$2,TUSD!$AO$77:'TUSD'!$AO$143),IF($F$2&lt;&gt;"Não se aplica",SUMIF(TUSD!$F$77:'TUSD'!$F$143,$I$2,TUSD!$AO$77:'TUSD'!$AO$143),IF($E$2&lt;&gt;"Não se aplica",SUMIF(TUSD!$E$77:'TUSD'!$E$143,$I$2,TUSD!$AO$77:'TUSD'!$AO$143),IF($D$2&lt;&gt;"Não se aplica",SUMIF(TUSD!$D$77:'TUSD'!$D$143,$I$2,TUSD!$AO$77:'TUSD'!$AO$143),IF($C$2&lt;&gt;"Não se aplica",SUMIF(TUSD!$C$77:'TUSD'!$C$143,$I$2,TUSD!$AO$77:'TUSD'!$AO$143),IF($B$2&lt;&gt;"Não se aplica",SUMIF(TUSD!$B$77:'TUSD'!$B$143,$I$2,TUSD!$AO$77:'TUSD'!$AO$143),SUMIF(TUSD!$A$77:'TUSD'!$A$143,$I$2,TUSD!$AO$77:'TUSD'!$AO$143)))))))</f>
        <v>2455837.396568561</v>
      </c>
      <c r="I8" s="18">
        <f>IF($G$2&lt;&gt;"Não se aplica",SUMIF(TUSD!$G$77:'TUSD'!$G$143,$I$2,TUSD!$AP$77:'TUSD'!$AP$143),IF($F$2&lt;&gt;"Não se aplica",SUMIF(TUSD!$F$77:'TUSD'!$F$143,$I$2,TUSD!$AP$77:'TUSD'!$AP$143),IF($E$2&lt;&gt;"Não se aplica",SUMIF(TUSD!$E$77:'TUSD'!$E$143,$I$2,TUSD!$AP$77:'TUSD'!$AP$143),IF($D$2&lt;&gt;"Não se aplica",SUMIF(TUSD!$D$77:'TUSD'!$D$143,$I$2,TUSD!$AP$77:'TUSD'!$AP$143),IF($C$2&lt;&gt;"Não se aplica",SUMIF(TUSD!$C$77:'TUSD'!$C$143,$I$2,TUSD!$AP$77:'TUSD'!$AP$143),IF($B$2&lt;&gt;"Não se aplica",SUMIF(TUSD!$B$77:'TUSD'!$B$143,$I$2,TUSD!$AP$77:'TUSD'!$AP$143),SUMIF(TUSD!$A$77:'TUSD'!$A$143,$I$2,TUSD!$AP$77:'TUSD'!$AP$143)))))))</f>
        <v>0</v>
      </c>
      <c r="J8" s="18">
        <f>IF($G$2&lt;&gt;"Não se aplica",SUMIF(TUSD!$G$77:'TUSD'!$G$143,$I$2,TUSD!$AQ$77:'TUSD'!$AQ$143),IF($F$2&lt;&gt;"Não se aplica",SUMIF(TUSD!$F$77:'TUSD'!$F$143,$I$2,TUSD!$AQ$77:'TUSD'!$AQ$143),IF($E$2&lt;&gt;"Não se aplica",SUMIF(TUSD!$E$77:'TUSD'!$E$143,$I$2,TUSD!$AQ$77:'TUSD'!$AQ$143),IF($D$2&lt;&gt;"Não se aplica",SUMIF(TUSD!$D$77:'TUSD'!$D$143,$I$2,TUSD!$AQ$77:'TUSD'!$AQ$143),IF($C$2&lt;&gt;"Não se aplica",SUMIF(TUSD!$C$77:'TUSD'!$C$143,$I$2,TUSD!$AQ$77:'TUSD'!$AQ$143),IF($B$2&lt;&gt;"Não se aplica",SUMIF(TUSD!$B$77:'TUSD'!$B$143,$I$2,TUSD!$AQ$77:'TUSD'!$AQ$143),SUMIF(TUSD!$A$77:'TUSD'!$A$143,$I$2,TUSD!$AQ$77:'TUSD'!$AQ$143)))))))</f>
        <v>9100023.5789165907</v>
      </c>
      <c r="K8" s="18">
        <f>IF($G$2&lt;&gt;"Não se aplica",SUMIF(TUSD!$G$77:'TUSD'!$G$143,$I$2,TUSD!$AR$77:'TUSD'!$AR$143),IF($F$2&lt;&gt;"Não se aplica",SUMIF(TUSD!$F$77:'TUSD'!$F$143,$I$2,TUSD!$AR$77:'TUSD'!$AR$143),IF($E$2&lt;&gt;"Não se aplica",SUMIF(TUSD!$E$77:'TUSD'!$E$143,$I$2,TUSD!$AR$77:'TUSD'!$AR$143),IF($D$2&lt;&gt;"Não se aplica",SUMIF(TUSD!$D$77:'TUSD'!$D$143,$I$2,TUSD!$AR$77:'TUSD'!$AR$143),IF($C$2&lt;&gt;"Não se aplica",SUMIF(TUSD!$C$77:'TUSD'!$C$143,$I$2,TUSD!$AR$77:'TUSD'!$AR$143),IF($B$2&lt;&gt;"Não se aplica",SUMIF(TUSD!$B$77:'TUSD'!$B$143,$I$2,TUSD!$AR$77:'TUSD'!$AR$143),SUMIF(TUSD!$A$77:'TUSD'!$A$143,$I$2,TUSD!$AR$77:'TUSD'!$AR$143)))))))</f>
        <v>2244063.7725943937</v>
      </c>
      <c r="L8" s="18">
        <f>IF($G$2&lt;&gt;"Não se aplica",SUMIF(TUSD!$G$77:'TUSD'!$G$143,$I$2,TUSD!$AS$77:'TUSD'!$AS$143),IF($F$2&lt;&gt;"Não se aplica",SUMIF(TUSD!$F$77:'TUSD'!$F$143,$I$2,TUSD!$AS$77:'TUSD'!$AS$143),IF($E$2&lt;&gt;"Não se aplica",SUMIF(TUSD!$E$77:'TUSD'!$E$143,$I$2,TUSD!$AS$77:'TUSD'!$AS$143),IF($D$2&lt;&gt;"Não se aplica",SUMIF(TUSD!$D$77:'TUSD'!$D$143,$I$2,TUSD!$AS$77:'TUSD'!$AS$143),IF($C$2&lt;&gt;"Não se aplica",SUMIF(TUSD!$C$77:'TUSD'!$C$143,$I$2,TUSD!$AS$77:'TUSD'!$AS$143),IF($B$2&lt;&gt;"Não se aplica",SUMIF(TUSD!$B$77:'TUSD'!$B$143,$I$2,TUSD!$AS$77:'TUSD'!$AS$143),SUMIF(TUSD!$A$77:'TUSD'!$A$143,$I$2,TUSD!$AS$77:'TUSD'!$AS$143)))))))</f>
        <v>1009242.9411415912</v>
      </c>
      <c r="M8" s="18">
        <f>IF($G$2&lt;&gt;"Não se aplica",SUMIF(TUSD!$G$77:'TUSD'!$G$143,$I$2,TUSD!$AT$77:'TUSD'!$AT$143),IF($F$2&lt;&gt;"Não se aplica",SUMIF(TUSD!$F$77:'TUSD'!$F$143,$I$2,TUSD!$AT$77:'TUSD'!$AT$143),IF($E$2&lt;&gt;"Não se aplica",SUMIF(TUSD!$E$77:'TUSD'!$E$143,$I$2,TUSD!$AT$77:'TUSD'!$AT$143),IF($D$2&lt;&gt;"Não se aplica",SUMIF(TUSD!$D$77:'TUSD'!$D$143,$I$2,TUSD!$AT$77:'TUSD'!$AT$143),IF($C$2&lt;&gt;"Não se aplica",SUMIF(TUSD!$C$77:'TUSD'!$C$143,$I$2,TUSD!$AT$77:'TUSD'!$AT$143),IF($B$2&lt;&gt;"Não se aplica",SUMIF(TUSD!$B$77:'TUSD'!$B$143,$I$2,TUSD!$AT$77:'TUSD'!$AT$143),SUMIF(TUSD!$A$77:'TUSD'!$A$143,$I$2,TUSD!$AT$77:'TUSD'!$AT$143)))))))</f>
        <v>0</v>
      </c>
      <c r="N8" s="18">
        <f>IF($G$2&lt;&gt;"Não se aplica",SUMIF(TUSD!$G$77:'TUSD'!$G$143,$I$2,TUSD!$AU$77:'TUSD'!$AU$143),IF($F$2&lt;&gt;"Não se aplica",SUMIF(TUSD!$F$77:'TUSD'!$F$143,$I$2,TUSD!$AU$77:'TUSD'!$AU$143),IF($E$2&lt;&gt;"Não se aplica",SUMIF(TUSD!$E$77:'TUSD'!$E$143,$I$2,TUSD!$AU$77:'TUSD'!$AU$143),IF($D$2&lt;&gt;"Não se aplica",SUMIF(TUSD!$D$77:'TUSD'!$D$143,$I$2,TUSD!$AU$77:'TUSD'!$AU$143),IF($C$2&lt;&gt;"Não se aplica",SUMIF(TUSD!$C$77:'TUSD'!$C$143,$I$2,TUSD!$AU$77:'TUSD'!$AU$143),IF($B$2&lt;&gt;"Não se aplica",SUMIF(TUSD!$B$77:'TUSD'!$B$143,$I$2,TUSD!$AU$77:'TUSD'!$AU$143),SUMIF(TUSD!$A$77:'TUSD'!$A$143,$I$2,TUSD!$AU$77:'TUSD'!$AU$143)))))))</f>
        <v>0</v>
      </c>
      <c r="O8" s="18">
        <f>IF($G$2&lt;&gt;"Não se aplica",SUMIF(TUSD!$G$77:'TUSD'!$G$143,$I$2,TUSD!$AV$77:'TUSD'!$AV$143),IF($F$2&lt;&gt;"Não se aplica",SUMIF(TUSD!$F$77:'TUSD'!$F$143,$I$2,TUSD!$AV$77:'TUSD'!$AV$143),IF($E$2&lt;&gt;"Não se aplica",SUMIF(TUSD!$E$77:'TUSD'!$E$143,$I$2,TUSD!$AV$77:'TUSD'!$AV$143),IF($D$2&lt;&gt;"Não se aplica",SUMIF(TUSD!$D$77:'TUSD'!$D$143,$I$2,TUSD!$AV$77:'TUSD'!$AV$143),IF($C$2&lt;&gt;"Não se aplica",SUMIF(TUSD!$C$77:'TUSD'!$C$143,$I$2,TUSD!$AV$77:'TUSD'!$AV$143),IF($B$2&lt;&gt;"Não se aplica",SUMIF(TUSD!$B$77:'TUSD'!$B$143,$I$2,TUSD!$AV$77:'TUSD'!$AV$143),SUMIF(TUSD!$A$77:'TUSD'!$A$143,$I$2,TUSD!$AV$77:'TUSD'!$AV$143)))))))</f>
        <v>0</v>
      </c>
      <c r="P8" s="18">
        <f>IF($G$2&lt;&gt;"Não se aplica",SUMIF(TUSD!$G$77:'TUSD'!$G$143,$I$2,TUSD!$AW$77:'TUSD'!$AW$143),IF($F$2&lt;&gt;"Não se aplica",SUMIF(TUSD!$F$77:'TUSD'!$F$143,$I$2,TUSD!$AW$77:'TUSD'!$AW$143),IF($E$2&lt;&gt;"Não se aplica",SUMIF(TUSD!$E$77:'TUSD'!$E$143,$I$2,TUSD!$AW$77:'TUSD'!$AW$143),IF($D$2&lt;&gt;"Não se aplica",SUMIF(TUSD!$D$77:'TUSD'!$D$143,$I$2,TUSD!$AW$77:'TUSD'!$AW$143),IF($C$2&lt;&gt;"Não se aplica",SUMIF(TUSD!$C$77:'TUSD'!$C$143,$I$2,TUSD!$AW$77:'TUSD'!$AW$143),IF($B$2&lt;&gt;"Não se aplica",SUMIF(TUSD!$B$77:'TUSD'!$B$143,$I$2,TUSD!$AW$77:'TUSD'!$AW$143),SUMIF(TUSD!$A$77:'TUSD'!$A$143,$I$2,TUSD!$AW$77:'TUSD'!$AW$143)))))))</f>
        <v>0</v>
      </c>
      <c r="Q8" s="18">
        <f>IF($G$2&lt;&gt;"Não se aplica",SUMIF(TUSD!$G$77:'TUSD'!$G$143,$I$2,TUSD!$AX$77:'TUSD'!$AX$143),IF($F$2&lt;&gt;"Não se aplica",SUMIF(TUSD!$F$77:'TUSD'!$F$143,$I$2,TUSD!$AX$77:'TUSD'!$AX$143),IF($E$2&lt;&gt;"Não se aplica",SUMIF(TUSD!$E$77:'TUSD'!$E$143,$I$2,TUSD!$AX$77:'TUSD'!$AX$143),IF($D$2&lt;&gt;"Não se aplica",SUMIF(TUSD!$D$77:'TUSD'!$D$143,$I$2,TUSD!$AX$77:'TUSD'!$AX$143),IF($C$2&lt;&gt;"Não se aplica",SUMIF(TUSD!$C$77:'TUSD'!$C$143,$I$2,TUSD!$AX$77:'TUSD'!$AX$143),IF($B$2&lt;&gt;"Não se aplica",SUMIF(TUSD!$B$77:'TUSD'!$B$143,$I$2,TUSD!$AX$77:'TUSD'!$AX$143),SUMIF(TUSD!$A$77:'TUSD'!$A$143,$I$2,TUSD!$AX$77:'TUSD'!$AX$143)))))))</f>
        <v>17401185.476591729</v>
      </c>
      <c r="R8" s="18">
        <f>IF($G$2&lt;&gt;"Não se aplica",SUMIF(TUSD!$G$77:'TUSD'!$G$143,$I$2,TUSD!$AY$77:'TUSD'!$AY$143),IF($F$2&lt;&gt;"Não se aplica",SUMIF(TUSD!$F$77:'TUSD'!$F$143,$I$2,TUSD!$AY$77:'TUSD'!$AY$143),IF($E$2&lt;&gt;"Não se aplica",SUMIF(TUSD!$E$77:'TUSD'!$E$143,$I$2,TUSD!$AY$77:'TUSD'!$AY$143),IF($D$2&lt;&gt;"Não se aplica",SUMIF(TUSD!$D$77:'TUSD'!$D$143,$I$2,TUSD!$AY$77:'TUSD'!$AY$143),IF($C$2&lt;&gt;"Não se aplica",SUMIF(TUSD!$C$77:'TUSD'!$C$143,$I$2,TUSD!$AY$77:'TUSD'!$AY$143),IF($B$2&lt;&gt;"Não se aplica",SUMIF(TUSD!$B$77:'TUSD'!$B$143,$I$2,TUSD!$AY$77:'TUSD'!$AY$143),SUMIF(TUSD!$A$77:'TUSD'!$A$143,$I$2,TUSD!$AY$77:'TUSD'!$AY$143)))))))</f>
        <v>-22215.804574695398</v>
      </c>
      <c r="S8" s="18">
        <f>IF($G$2&lt;&gt;"Não se aplica",SUMIF(TUSD!$G$77:'TUSD'!$G$143,$I$2,TUSD!$AZ$77:'TUSD'!$AZ$143),IF($F$2&lt;&gt;"Não se aplica",SUMIF(TUSD!$F$77:'TUSD'!$F$143,$I$2,TUSD!$AZ$77:'TUSD'!$AZ$143),IF($E$2&lt;&gt;"Não se aplica",SUMIF(TUSD!$E$77:'TUSD'!$E$143,$I$2,TUSD!$AZ$77:'TUSD'!$AZ$143),IF($D$2&lt;&gt;"Não se aplica",SUMIF(TUSD!$D$77:'TUSD'!$D$143,$I$2,TUSD!$AZ$77:'TUSD'!$AZ$143),IF($C$2&lt;&gt;"Não se aplica",SUMIF(TUSD!$C$77:'TUSD'!$C$143,$I$2,TUSD!$AZ$77:'TUSD'!$AZ$143),IF($B$2&lt;&gt;"Não se aplica",SUMIF(TUSD!$B$77:'TUSD'!$B$143,$I$2,TUSD!$AZ$77:'TUSD'!$AZ$143),SUMIF(TUSD!$A$77:'TUSD'!$A$143,$I$2,TUSD!$AZ$77:'TUSD'!$AZ$143)))))))</f>
        <v>0</v>
      </c>
      <c r="T8" s="18">
        <f>IF($G$2&lt;&gt;"Não se aplica",SUMIF(TUSD!$G$77:'TUSD'!$G$143,$I$2,TUSD!$BA$77:'TUSD'!$BA$143),IF($F$2&lt;&gt;"Não se aplica",SUMIF(TUSD!$F$77:'TUSD'!$F$143,$I$2,TUSD!$BA$77:'TUSD'!$BA$143),IF($E$2&lt;&gt;"Não se aplica",SUMIF(TUSD!$E$77:'TUSD'!$E$143,$I$2,TUSD!$BA$77:'TUSD'!$BA$143),IF($D$2&lt;&gt;"Não se aplica",SUMIF(TUSD!$D$77:'TUSD'!$D$143,$I$2,TUSD!$BA$77:'TUSD'!$BA$143),IF($C$2&lt;&gt;"Não se aplica",SUMIF(TUSD!$C$77:'TUSD'!$C$143,$I$2,TUSD!$BA$77:'TUSD'!$BA$143),IF($B$2&lt;&gt;"Não se aplica",SUMIF(TUSD!$B$77:'TUSD'!$B$143,$I$2,TUSD!$BA$77:'TUSD'!$BA$143),SUMIF(TUSD!$A$77:'TUSD'!$A$143,$I$2,TUSD!$BA$77:'TUSD'!$BA$143)))))))</f>
        <v>1965888.4326972482</v>
      </c>
      <c r="U8" s="18">
        <f>IF($G$2&lt;&gt;"Não se aplica",SUMIF(TUSD!$G$77:'TUSD'!$G$143,$I$2,TUSD!$BB$77:'TUSD'!$BB$143),IF($F$2&lt;&gt;"Não se aplica",SUMIF(TUSD!$F$77:'TUSD'!$F$143,$I$2,TUSD!$BB$77:'TUSD'!$BB$143),IF($E$2&lt;&gt;"Não se aplica",SUMIF(TUSD!$E$77:'TUSD'!$E$143,$I$2,TUSD!$BB$77:'TUSD'!$BB$143),IF($D$2&lt;&gt;"Não se aplica",SUMIF(TUSD!$D$77:'TUSD'!$D$143,$I$2,TUSD!$BB$77:'TUSD'!$BB$143),IF($C$2&lt;&gt;"Não se aplica",SUMIF(TUSD!$C$77:'TUSD'!$C$143,$I$2,TUSD!$BB$77:'TUSD'!$BB$143),IF($B$2&lt;&gt;"Não se aplica",SUMIF(TUSD!$B$77:'TUSD'!$B$143,$I$2,TUSD!$BB$77:'TUSD'!$BB$143),SUMIF(TUSD!$A$77:'TUSD'!$A$143,$I$2,TUSD!$BB$77:'TUSD'!$BB$143)))))))</f>
        <v>187253.60162413836</v>
      </c>
      <c r="V8" s="18">
        <f>IF($G$2&lt;&gt;"Não se aplica",SUMIF(TUSD!$G$77:'TUSD'!$G$143,$I$2,TUSD!$BC$77:'TUSD'!$BC$143),IF($F$2&lt;&gt;"Não se aplica",SUMIF(TUSD!$F$77:'TUSD'!$F$143,$I$2,TUSD!$BC$77:'TUSD'!$BC$143),IF($E$2&lt;&gt;"Não se aplica",SUMIF(TUSD!$E$77:'TUSD'!$E$143,$I$2,TUSD!$BC$77:'TUSD'!$BC$143),IF($D$2&lt;&gt;"Não se aplica",SUMIF(TUSD!$D$77:'TUSD'!$D$143,$I$2,TUSD!$BC$77:'TUSD'!$BC$143),IF($C$2&lt;&gt;"Não se aplica",SUMIF(TUSD!$C$77:'TUSD'!$C$143,$I$2,TUSD!$BC$77:'TUSD'!$BC$143),IF($B$2&lt;&gt;"Não se aplica",SUMIF(TUSD!$B$77:'TUSD'!$B$143,$I$2,TUSD!$BC$77:'TUSD'!$BC$143),SUMIF(TUSD!$A$77:'TUSD'!$A$143,$I$2,TUSD!$BC$77:'TUSD'!$BC$143)))))))</f>
        <v>726943.27974924725</v>
      </c>
      <c r="W8" s="18">
        <f>IF($G$2&lt;&gt;"Não se aplica",SUMIF(TUSD!$G$77:'TUSD'!$G$143,$I$2,TUSD!$BD$77:'TUSD'!$BD$143),IF($F$2&lt;&gt;"Não se aplica",SUMIF(TUSD!$F$77:'TUSD'!$F$143,$I$2,TUSD!$BD$77:'TUSD'!$BD$143),IF($E$2&lt;&gt;"Não se aplica",SUMIF(TUSD!$E$77:'TUSD'!$E$143,$I$2,TUSD!$BD$77:'TUSD'!$BD$143),IF($D$2&lt;&gt;"Não se aplica",SUMIF(TUSD!$D$77:'TUSD'!$D$143,$I$2,TUSD!$BD$77:'TUSD'!$BD$143),IF($C$2&lt;&gt;"Não se aplica",SUMIF(TUSD!$C$77:'TUSD'!$C$143,$I$2,TUSD!$BD$77:'TUSD'!$BD$143),IF($B$2&lt;&gt;"Não se aplica",SUMIF(TUSD!$B$77:'TUSD'!$B$143,$I$2,TUSD!$BD$77:'TUSD'!$BD$143),SUMIF(TUSD!$A$77:'TUSD'!$A$143,$I$2,TUSD!$BD$77:'TUSD'!$BD$143)))))))</f>
        <v>0</v>
      </c>
      <c r="X8" s="18">
        <f t="shared" si="0"/>
        <v>38802190.487018585</v>
      </c>
      <c r="AB8" s="14" t="s">
        <v>109</v>
      </c>
      <c r="AD8" s="14" t="s">
        <v>111</v>
      </c>
      <c r="AG8" s="14" t="s">
        <v>107</v>
      </c>
    </row>
    <row r="9" spans="1:33" x14ac:dyDescent="0.2">
      <c r="A9" s="14" t="s">
        <v>1529</v>
      </c>
      <c r="B9" s="18">
        <f>IF($G$2&lt;&gt;"Não se aplica",SUMIF(TUSD!$G$77:'TUSD'!$G$143,$I$2,TUSD!$L$77:'TUSD'!$L$143),IF($F$2&lt;&gt;"Não se aplica",SUMIF(TUSD!$F$77:'TUSD'!$F$143,$I$2,TUSD!$L$77:'TUSD'!$L$143),IF($E$2&lt;&gt;"Não se aplica",SUMIF(TUSD!$E$77:'TUSD'!$E$143,$I$2,TUSD!$L$77:'TUSD'!$L$143),IF($D$2&lt;&gt;"Não se aplica",SUMIF(TUSD!$D$77:'TUSD'!$D$143,$I$2,TUSD!$L$77:'TUSD'!$L$143),IF($C$2&lt;&gt;"Não se aplica",SUMIF(TUSD!$C$77:'TUSD'!$C$143,$I$2,TUSD!$L$77:'TUSD'!$L$143),IF($B$2&lt;&gt;"Não se aplica",SUMIF(TUSD!$B$77:'TUSD'!$B$143,$I$2,TUSD!$L$77:'TUSD'!$L$143),SUMIF(TUSD!$A$77:'TUSD'!$A$143,$I$2,TUSD!$L$77:'TUSD'!$L$143)))))))</f>
        <v>558198.93047030806</v>
      </c>
      <c r="C9" s="18">
        <f>IF($G$2&lt;&gt;"Não se aplica",SUMIF(TUSD!$G$77:'TUSD'!$G$143,$I$2,TUSD!$M$77:'TUSD'!$M$143),IF($F$2&lt;&gt;"Não se aplica",SUMIF(TUSD!$F$77:'TUSD'!$F$143,$I$2,TUSD!$M$77:'TUSD'!$M$143),IF($E$2&lt;&gt;"Não se aplica",SUMIF(TUSD!$E$77:'TUSD'!$E$143,$I$2,TUSD!$M$77:'TUSD'!$M$143),IF($D$2&lt;&gt;"Não se aplica",SUMIF(TUSD!$D$77:'TUSD'!$D$143,$I$2,TUSD!$M$77:'TUSD'!$M$143),IF($C$2&lt;&gt;"Não se aplica",SUMIF(TUSD!$C$77:'TUSD'!$C$143,$I$2,TUSD!$M$77:'TUSD'!$M$143),IF($B$2&lt;&gt;"Não se aplica",SUMIF(TUSD!$B$77:'TUSD'!$B$143,$I$2,TUSD!$M$77:'TUSD'!$M$143),SUMIF(TUSD!$A$77:'TUSD'!$A$143,$I$2,TUSD!$M$77:'TUSD'!$M$143)))))))</f>
        <v>171191.77348585142</v>
      </c>
      <c r="D9" s="18">
        <f ca="1">IF($G$2&lt;&gt;"Não se aplica",SUMIF(TUSD!$G$77:'TUSD'!$G$143,$I$2,TUSD!$N$77:'TUSD'!$N$143),IF($F$2&lt;&gt;"Não se aplica",SUMIF(TUSD!$F$77:'TUSD'!$F$143,$I$2,TUSD!$N$77:'TUSD'!$N$143),IF($E$2&lt;&gt;"Não se aplica",SUMIF(TUSD!$E$77:'TUSD'!$E$143,$I$2,TUSD!$N$77:'TUSD'!$N$143),IF($D$2&lt;&gt;"Não se aplica",SUMIF(TUSD!$D$77:'TUSD'!$D$143,$I$2,TUSD!$N$77:'TUSD'!$N$143),IF($C$2&lt;&gt;"Não se aplica",SUMIF(TUSD!$C$77:'TUSD'!$C$143,$I$2,TUSD!$N$77:'TUSD'!$N$143),IF($B$2&lt;&gt;"Não se aplica",SUMIF(TUSD!$B$77:'TUSD'!$B$143,$I$2,TUSD!$N$77:'TUSD'!$N$143),SUMIF(TUSD!$A$77:'TUSD'!$A$143,$I$2,TUSD!$N$77:'TUSD'!$N$143)))))))</f>
        <v>111782.31771956041</v>
      </c>
      <c r="E9" s="18">
        <f>IF($G$2&lt;&gt;"Não se aplica",SUMIF(TUSD!$G$77:'TUSD'!$G$143,$I$2,TUSD!$O$77:'TUSD'!$O$143),IF($F$2&lt;&gt;"Não se aplica",SUMIF(TUSD!$F$77:'TUSD'!$F$143,$I$2,TUSD!$O$77:'TUSD'!$O$143),IF($E$2&lt;&gt;"Não se aplica",SUMIF(TUSD!$E$77:'TUSD'!$E$143,$I$2,TUSD!$O$77:'TUSD'!$O$143),IF($D$2&lt;&gt;"Não se aplica",SUMIF(TUSD!$D$77:'TUSD'!$D$143,$I$2,TUSD!$O$77:'TUSD'!$O$143),IF($C$2&lt;&gt;"Não se aplica",SUMIF(TUSD!$C$77:'TUSD'!$C$143,$I$2,TUSD!$O$77:'TUSD'!$O$143),IF($B$2&lt;&gt;"Não se aplica",SUMIF(TUSD!$B$77:'TUSD'!$B$143,$I$2,TUSD!$O$77:'TUSD'!$O$143),SUMIF(TUSD!$A$77:'TUSD'!$A$143,$I$2,TUSD!$O$77:'TUSD'!$O$143)))))))</f>
        <v>12756.017395399915</v>
      </c>
      <c r="F9" s="18">
        <f>IF($G$2&lt;&gt;"Não se aplica",SUMIF(TUSD!$G$77:'TUSD'!$G$143,$I$2,TUSD!$P$77:'TUSD'!$P$143),IF($F$2&lt;&gt;"Não se aplica",SUMIF(TUSD!$F$77:'TUSD'!$F$143,$I$2,TUSD!$P$77:'TUSD'!$P$143),IF($E$2&lt;&gt;"Não se aplica",SUMIF(TUSD!$E$77:'TUSD'!$E$143,$I$2,TUSD!$P$77:'TUSD'!$P$143),IF($D$2&lt;&gt;"Não se aplica",SUMIF(TUSD!$D$77:'TUSD'!$D$143,$I$2,TUSD!$P$77:'TUSD'!$P$143),IF($C$2&lt;&gt;"Não se aplica",SUMIF(TUSD!$C$77:'TUSD'!$C$143,$I$2,TUSD!$P$77:'TUSD'!$P$143),IF($B$2&lt;&gt;"Não se aplica",SUMIF(TUSD!$B$77:'TUSD'!$B$143,$I$2,TUSD!$P$77:'TUSD'!$P$143),SUMIF(TUSD!$A$77:'TUSD'!$A$143,$I$2,TUSD!$P$77:'TUSD'!$P$143)))))))</f>
        <v>0</v>
      </c>
      <c r="G9" s="18">
        <f>IF($G$2&lt;&gt;"Não se aplica",SUMIF(TUSD!$G$77:'TUSD'!$G$143,$I$2,TUSD!$Q$77:'TUSD'!$Q$143),IF($F$2&lt;&gt;"Não se aplica",SUMIF(TUSD!$F$77:'TUSD'!$F$143,$I$2,TUSD!$Q$77:'TUSD'!$Q$143),IF($E$2&lt;&gt;"Não se aplica",SUMIF(TUSD!$E$77:'TUSD'!$E$143,$I$2,TUSD!$Q$77:'TUSD'!$Q$143),IF($D$2&lt;&gt;"Não se aplica",SUMIF(TUSD!$D$77:'TUSD'!$D$143,$I$2,TUSD!$Q$77:'TUSD'!$Q$143),IF($C$2&lt;&gt;"Não se aplica",SUMIF(TUSD!$C$77:'TUSD'!$C$143,$I$2,TUSD!$Q$77:'TUSD'!$Q$143),IF($B$2&lt;&gt;"Não se aplica",SUMIF(TUSD!$B$77:'TUSD'!$B$143,$I$2,TUSD!$Q$77:'TUSD'!$Q$143),SUMIF(TUSD!$A$77:'TUSD'!$A$143,$I$2,TUSD!$Q$77:'TUSD'!$Q$143)))))))</f>
        <v>5431643.7307684999</v>
      </c>
      <c r="H9" s="18">
        <f>IF($G$2&lt;&gt;"Não se aplica",SUMIF(TUSD!$G$77:'TUSD'!$G$143,$I$2,TUSD!$R$77:'TUSD'!$R$143),IF($F$2&lt;&gt;"Não se aplica",SUMIF(TUSD!$F$77:'TUSD'!$F$143,$I$2,TUSD!$R$77:'TUSD'!$R$143),IF($E$2&lt;&gt;"Não se aplica",SUMIF(TUSD!$E$77:'TUSD'!$E$143,$I$2,TUSD!$R$77:'TUSD'!$R$143),IF($D$2&lt;&gt;"Não se aplica",SUMIF(TUSD!$D$77:'TUSD'!$D$143,$I$2,TUSD!$R$77:'TUSD'!$R$143),IF($C$2&lt;&gt;"Não se aplica",SUMIF(TUSD!$C$77:'TUSD'!$C$143,$I$2,TUSD!$R$77:'TUSD'!$R$143),IF($B$2&lt;&gt;"Não se aplica",SUMIF(TUSD!$B$77:'TUSD'!$B$143,$I$2,TUSD!$R$77:'TUSD'!$R$143),SUMIF(TUSD!$A$77:'TUSD'!$A$143,$I$2,TUSD!$R$77:'TUSD'!$R$143)))))))</f>
        <v>3568461.0864610989</v>
      </c>
      <c r="I9" s="18">
        <f>IF($G$2&lt;&gt;"Não se aplica",SUMIF(TUSD!$G$77:'TUSD'!$G$143,$I$2,TUSD!$S$77:'TUSD'!$S$143),IF($F$2&lt;&gt;"Não se aplica",SUMIF(TUSD!$F$77:'TUSD'!$F$143,$I$2,TUSD!$S$77:'TUSD'!$S$143),IF($E$2&lt;&gt;"Não se aplica",SUMIF(TUSD!$E$77:'TUSD'!$E$143,$I$2,TUSD!$S$77:'TUSD'!$S$143),IF($D$2&lt;&gt;"Não se aplica",SUMIF(TUSD!$D$77:'TUSD'!$D$143,$I$2,TUSD!$S$77:'TUSD'!$S$143),IF($C$2&lt;&gt;"Não se aplica",SUMIF(TUSD!$C$77:'TUSD'!$C$143,$I$2,TUSD!$S$77:'TUSD'!$S$143),IF($B$2&lt;&gt;"Não se aplica",SUMIF(TUSD!$B$77:'TUSD'!$B$143,$I$2,TUSD!$S$77:'TUSD'!$S$143),SUMIF(TUSD!$A$77:'TUSD'!$A$143,$I$2,TUSD!$S$77:'TUSD'!$S$143)))))))</f>
        <v>0</v>
      </c>
      <c r="J9" s="18">
        <f>IF($G$2&lt;&gt;"Não se aplica",SUMIF(TUSD!$G$77:'TUSD'!$G$143,$I$2,TUSD!$T$77:'TUSD'!$T$143),IF($F$2&lt;&gt;"Não se aplica",SUMIF(TUSD!$F$77:'TUSD'!$F$143,$I$2,TUSD!$T$77:'TUSD'!$T$143),IF($E$2&lt;&gt;"Não se aplica",SUMIF(TUSD!$E$77:'TUSD'!$E$143,$I$2,TUSD!$T$77:'TUSD'!$T$143),IF($D$2&lt;&gt;"Não se aplica",SUMIF(TUSD!$D$77:'TUSD'!$D$143,$I$2,TUSD!$T$77:'TUSD'!$T$143),IF($C$2&lt;&gt;"Não se aplica",SUMIF(TUSD!$C$77:'TUSD'!$C$143,$I$2,TUSD!$T$77:'TUSD'!$T$143),IF($B$2&lt;&gt;"Não se aplica",SUMIF(TUSD!$B$77:'TUSD'!$B$143,$I$2,TUSD!$T$77:'TUSD'!$T$143),SUMIF(TUSD!$A$77:'TUSD'!$A$143,$I$2,TUSD!$T$77:'TUSD'!$T$143)))))))</f>
        <v>8856448.7654657997</v>
      </c>
      <c r="K9" s="18">
        <f>IF($G$2&lt;&gt;"Não se aplica",SUMIF(TUSD!$G$77:'TUSD'!$G$143,$I$2,TUSD!$U$77:'TUSD'!$U$143),IF($F$2&lt;&gt;"Não se aplica",SUMIF(TUSD!$F$77:'TUSD'!$F$143,$I$2,TUSD!$U$77:'TUSD'!$U$143),IF($E$2&lt;&gt;"Não se aplica",SUMIF(TUSD!$E$77:'TUSD'!$E$143,$I$2,TUSD!$U$77:'TUSD'!$U$143),IF($D$2&lt;&gt;"Não se aplica",SUMIF(TUSD!$D$77:'TUSD'!$D$143,$I$2,TUSD!$U$77:'TUSD'!$U$143),IF($C$2&lt;&gt;"Não se aplica",SUMIF(TUSD!$C$77:'TUSD'!$C$143,$I$2,TUSD!$U$77:'TUSD'!$U$143),IF($B$2&lt;&gt;"Não se aplica",SUMIF(TUSD!$B$77:'TUSD'!$B$143,$I$2,TUSD!$U$77:'TUSD'!$U$143),SUMIF(TUSD!$A$77:'TUSD'!$A$143,$I$2,TUSD!$U$77:'TUSD'!$U$143)))))))</f>
        <v>1460821.0217271966</v>
      </c>
      <c r="L9" s="18">
        <f>IF($G$2&lt;&gt;"Não se aplica",SUMIF(TUSD!$G$77:'TUSD'!$G$143,$I$2,TUSD!$V$77:'TUSD'!$V$143),IF($F$2&lt;&gt;"Não se aplica",SUMIF(TUSD!$F$77:'TUSD'!$F$143,$I$2,TUSD!$V$77:'TUSD'!$V$143),IF($E$2&lt;&gt;"Não se aplica",SUMIF(TUSD!$E$77:'TUSD'!$E$143,$I$2,TUSD!$V$77:'TUSD'!$V$143),IF($D$2&lt;&gt;"Não se aplica",SUMIF(TUSD!$D$77:'TUSD'!$D$143,$I$2,TUSD!$V$77:'TUSD'!$V$143),IF($C$2&lt;&gt;"Não se aplica",SUMIF(TUSD!$C$77:'TUSD'!$C$143,$I$2,TUSD!$V$77:'TUSD'!$V$143),IF($B$2&lt;&gt;"Não se aplica",SUMIF(TUSD!$B$77:'TUSD'!$B$143,$I$2,TUSD!$V$77:'TUSD'!$V$143),SUMIF(TUSD!$A$77:'TUSD'!$A$143,$I$2,TUSD!$V$77:'TUSD'!$V$143)))))))</f>
        <v>1401930.9431332042</v>
      </c>
      <c r="M9" s="18">
        <f>IF($G$2&lt;&gt;"Não se aplica",SUMIF(TUSD!$G$77:'TUSD'!$G$143,$I$2,TUSD!$W$77:'TUSD'!$W$143),IF($F$2&lt;&gt;"Não se aplica",SUMIF(TUSD!$F$77:'TUSD'!$F$143,$I$2,TUSD!$W$77:'TUSD'!$W$143),IF($E$2&lt;&gt;"Não se aplica",SUMIF(TUSD!$E$77:'TUSD'!$E$143,$I$2,TUSD!$W$77:'TUSD'!$W$143),IF($D$2&lt;&gt;"Não se aplica",SUMIF(TUSD!$D$77:'TUSD'!$D$143,$I$2,TUSD!$W$77:'TUSD'!$W$143),IF($C$2&lt;&gt;"Não se aplica",SUMIF(TUSD!$C$77:'TUSD'!$C$143,$I$2,TUSD!$W$77:'TUSD'!$W$143),IF($B$2&lt;&gt;"Não se aplica",SUMIF(TUSD!$B$77:'TUSD'!$B$143,$I$2,TUSD!$W$77:'TUSD'!$W$143),SUMIF(TUSD!$A$77:'TUSD'!$A$143,$I$2,TUSD!$W$77:'TUSD'!$W$143)))))))</f>
        <v>0</v>
      </c>
      <c r="N9" s="18">
        <f>IF($G$2&lt;&gt;"Não se aplica",SUMIF(TUSD!$G$77:'TUSD'!$G$143,$I$2,TUSD!$X$77:'TUSD'!$X$143),IF($F$2&lt;&gt;"Não se aplica",SUMIF(TUSD!$F$77:'TUSD'!$F$143,$I$2,TUSD!$X$77:'TUSD'!$X$143),IF($E$2&lt;&gt;"Não se aplica",SUMIF(TUSD!$E$77:'TUSD'!$E$143,$I$2,TUSD!$X$77:'TUSD'!$X$143),IF($D$2&lt;&gt;"Não se aplica",SUMIF(TUSD!$D$77:'TUSD'!$D$143,$I$2,TUSD!$X$77:'TUSD'!$X$143),IF($C$2&lt;&gt;"Não se aplica",SUMIF(TUSD!$C$77:'TUSD'!$C$143,$I$2,TUSD!$X$77:'TUSD'!$X$143),IF($B$2&lt;&gt;"Não se aplica",SUMIF(TUSD!$B$77:'TUSD'!$B$143,$I$2,TUSD!$X$77:'TUSD'!$X$143),SUMIF(TUSD!$A$77:'TUSD'!$A$143,$I$2,TUSD!$X$77:'TUSD'!$X$143)))))))</f>
        <v>0</v>
      </c>
      <c r="O9" s="18">
        <f>IF($G$2&lt;&gt;"Não se aplica",SUMIF(TUSD!$G$77:'TUSD'!$G$143,$I$2,TUSD!$Y$77:'TUSD'!$Y$143),IF($F$2&lt;&gt;"Não se aplica",SUMIF(TUSD!$F$77:'TUSD'!$F$143,$I$2,TUSD!$Y$77:'TUSD'!$Y$143),IF($E$2&lt;&gt;"Não se aplica",SUMIF(TUSD!$E$77:'TUSD'!$E$143,$I$2,TUSD!$Y$77:'TUSD'!$Y$143),IF($D$2&lt;&gt;"Não se aplica",SUMIF(TUSD!$D$77:'TUSD'!$D$143,$I$2,TUSD!$Y$77:'TUSD'!$Y$143),IF($C$2&lt;&gt;"Não se aplica",SUMIF(TUSD!$C$77:'TUSD'!$C$143,$I$2,TUSD!$Y$77:'TUSD'!$Y$143),IF($B$2&lt;&gt;"Não se aplica",SUMIF(TUSD!$B$77:'TUSD'!$B$143,$I$2,TUSD!$Y$77:'TUSD'!$Y$143),SUMIF(TUSD!$A$77:'TUSD'!$A$143,$I$2,TUSD!$Y$77:'TUSD'!$Y$143)))))))</f>
        <v>0</v>
      </c>
      <c r="P9" s="18">
        <f>IF($G$2&lt;&gt;"Não se aplica",SUMIF(TUSD!$G$77:'TUSD'!$G$143,$I$2,TUSD!$Z$77:'TUSD'!$Z$143),IF($F$2&lt;&gt;"Não se aplica",SUMIF(TUSD!$F$77:'TUSD'!$F$143,$I$2,TUSD!$Z$77:'TUSD'!$Z$143),IF($E$2&lt;&gt;"Não se aplica",SUMIF(TUSD!$E$77:'TUSD'!$E$143,$I$2,TUSD!$Z$77:'TUSD'!$Z$143),IF($D$2&lt;&gt;"Não se aplica",SUMIF(TUSD!$D$77:'TUSD'!$D$143,$I$2,TUSD!$Z$77:'TUSD'!$Z$143),IF($C$2&lt;&gt;"Não se aplica",SUMIF(TUSD!$C$77:'TUSD'!$C$143,$I$2,TUSD!$Z$77:'TUSD'!$Z$143),IF($B$2&lt;&gt;"Não se aplica",SUMIF(TUSD!$B$77:'TUSD'!$B$143,$I$2,TUSD!$Z$77:'TUSD'!$Z$143),SUMIF(TUSD!$A$77:'TUSD'!$A$143,$I$2,TUSD!$Z$77:'TUSD'!$Z$143)))))))</f>
        <v>0</v>
      </c>
      <c r="Q9" s="18">
        <f>IF($G$2&lt;&gt;"Não se aplica",SUMIF(TUSD!$G$77:'TUSD'!$G$143,$I$2,TUSD!$AA$77:'TUSD'!$AA$143),IF($F$2&lt;&gt;"Não se aplica",SUMIF(TUSD!$F$77:'TUSD'!$F$143,$I$2,TUSD!$AA$77:'TUSD'!$AA$143),IF($E$2&lt;&gt;"Não se aplica",SUMIF(TUSD!$E$77:'TUSD'!$E$143,$I$2,TUSD!$AA$77:'TUSD'!$AA$143),IF($D$2&lt;&gt;"Não se aplica",SUMIF(TUSD!$D$77:'TUSD'!$D$143,$I$2,TUSD!$AA$77:'TUSD'!$AA$143),IF($C$2&lt;&gt;"Não se aplica",SUMIF(TUSD!$C$77:'TUSD'!$C$143,$I$2,TUSD!$AA$77:'TUSD'!$AA$143),IF($B$2&lt;&gt;"Não se aplica",SUMIF(TUSD!$B$77:'TUSD'!$B$143,$I$2,TUSD!$AA$77:'TUSD'!$AA$143),SUMIF(TUSD!$A$77:'TUSD'!$A$143,$I$2,TUSD!$AA$77:'TUSD'!$AA$143)))))))</f>
        <v>23374252.787399299</v>
      </c>
      <c r="R9" s="18">
        <f ca="1">IF($G$2&lt;&gt;"Não se aplica",SUMIF(TUSD!$G$77:'TUSD'!$G$143,$I$2,TUSD!$AB$77:'TUSD'!$AB$143),IF($F$2&lt;&gt;"Não se aplica",SUMIF(TUSD!$F$77:'TUSD'!$F$143,$I$2,TUSD!$AB$77:'TUSD'!$AB$143),IF($E$2&lt;&gt;"Não se aplica",SUMIF(TUSD!$E$77:'TUSD'!$E$143,$I$2,TUSD!$AB$77:'TUSD'!$AB$143),IF($D$2&lt;&gt;"Não se aplica",SUMIF(TUSD!$D$77:'TUSD'!$D$143,$I$2,TUSD!$AB$77:'TUSD'!$AB$143),IF($C$2&lt;&gt;"Não se aplica",SUMIF(TUSD!$C$77:'TUSD'!$C$143,$I$2,TUSD!$AB$77:'TUSD'!$AB$143),IF($B$2&lt;&gt;"Não se aplica",SUMIF(TUSD!$B$77:'TUSD'!$B$143,$I$2,TUSD!$AB$77:'TUSD'!$AB$143),SUMIF(TUSD!$A$77:'TUSD'!$A$143,$I$2,TUSD!$AB$77:'TUSD'!$AB$143)))))))</f>
        <v>-3703198.2310598213</v>
      </c>
      <c r="S9" s="18">
        <f ca="1">IF($G$2&lt;&gt;"Não se aplica",SUMIF(TUSD!$G$77:'TUSD'!$G$143,$I$2,TUSD!$AC$77:'TUSD'!$AC$143),IF($F$2&lt;&gt;"Não se aplica",SUMIF(TUSD!$F$77:'TUSD'!$F$143,$I$2,TUSD!$AC$77:'TUSD'!$AC$143),IF($E$2&lt;&gt;"Não se aplica",SUMIF(TUSD!$E$77:'TUSD'!$E$143,$I$2,TUSD!$AC$77:'TUSD'!$AC$143),IF($D$2&lt;&gt;"Não se aplica",SUMIF(TUSD!$D$77:'TUSD'!$D$143,$I$2,TUSD!$AC$77:'TUSD'!$AC$143),IF($C$2&lt;&gt;"Não se aplica",SUMIF(TUSD!$C$77:'TUSD'!$C$143,$I$2,TUSD!$AC$77:'TUSD'!$AC$143),IF($B$2&lt;&gt;"Não se aplica",SUMIF(TUSD!$B$77:'TUSD'!$B$143,$I$2,TUSD!$AC$77:'TUSD'!$AC$143),SUMIF(TUSD!$A$77:'TUSD'!$A$143,$I$2,TUSD!$AC$77:'TUSD'!$AC$143)))))))</f>
        <v>0</v>
      </c>
      <c r="T9" s="18">
        <f>IF($G$2&lt;&gt;"Não se aplica",SUMIF(TUSD!$G$77:'TUSD'!$G$143,$I$2,TUSD!$AD$77:'TUSD'!$AD$143),IF($F$2&lt;&gt;"Não se aplica",SUMIF(TUSD!$F$77:'TUSD'!$F$143,$I$2,TUSD!$AD$77:'TUSD'!$AD$143),IF($E$2&lt;&gt;"Não se aplica",SUMIF(TUSD!$E$77:'TUSD'!$E$143,$I$2,TUSD!$AD$77:'TUSD'!$AD$143),IF($D$2&lt;&gt;"Não se aplica",SUMIF(TUSD!$D$77:'TUSD'!$D$143,$I$2,TUSD!$AD$77:'TUSD'!$AD$143),IF($C$2&lt;&gt;"Não se aplica",SUMIF(TUSD!$C$77:'TUSD'!$C$143,$I$2,TUSD!$AD$77:'TUSD'!$AD$143),IF($B$2&lt;&gt;"Não se aplica",SUMIF(TUSD!$B$77:'TUSD'!$B$143,$I$2,TUSD!$AD$77:'TUSD'!$AD$143),SUMIF(TUSD!$A$77:'TUSD'!$A$143,$I$2,TUSD!$AD$77:'TUSD'!$AD$143)))))))</f>
        <v>2262317.3187860027</v>
      </c>
      <c r="U9" s="18">
        <f>IF($G$2&lt;&gt;"Não se aplica",SUMIF(TUSD!$G$77:'TUSD'!$G$143,$I$2,TUSD!$AE$77:'TUSD'!$AE$143),IF($F$2&lt;&gt;"Não se aplica",SUMIF(TUSD!$F$77:'TUSD'!$F$143,$I$2,TUSD!$AE$77:'TUSD'!$AE$143),IF($E$2&lt;&gt;"Não se aplica",SUMIF(TUSD!$E$77:'TUSD'!$E$143,$I$2,TUSD!$AE$77:'TUSD'!$AE$143),IF($D$2&lt;&gt;"Não se aplica",SUMIF(TUSD!$D$77:'TUSD'!$D$143,$I$2,TUSD!$AE$77:'TUSD'!$AE$143),IF($C$2&lt;&gt;"Não se aplica",SUMIF(TUSD!$C$77:'TUSD'!$C$143,$I$2,TUSD!$AE$77:'TUSD'!$AE$143),IF($B$2&lt;&gt;"Não se aplica",SUMIF(TUSD!$B$77:'TUSD'!$B$143,$I$2,TUSD!$AE$77:'TUSD'!$AE$143),SUMIF(TUSD!$A$77:'TUSD'!$A$143,$I$2,TUSD!$AE$77:'TUSD'!$AE$143)))))))</f>
        <v>217299.07054481588</v>
      </c>
      <c r="V9" s="18">
        <f ca="1">IF($G$2&lt;&gt;"Não se aplica",SUMIF(TUSD!$G$77:'TUSD'!$G$143,$I$2,TUSD!$AF$77:'TUSD'!$AF$143),IF($F$2&lt;&gt;"Não se aplica",SUMIF(TUSD!$F$77:'TUSD'!$F$143,$I$2,TUSD!$AF$77:'TUSD'!$AF$143),IF($E$2&lt;&gt;"Não se aplica",SUMIF(TUSD!$E$77:'TUSD'!$E$143,$I$2,TUSD!$AF$77:'TUSD'!$AF$143),IF($D$2&lt;&gt;"Não se aplica",SUMIF(TUSD!$D$77:'TUSD'!$D$143,$I$2,TUSD!$AF$77:'TUSD'!$AF$143),IF($C$2&lt;&gt;"Não se aplica",SUMIF(TUSD!$C$77:'TUSD'!$C$143,$I$2,TUSD!$AF$77:'TUSD'!$AF$143),IF($B$2&lt;&gt;"Não se aplica",SUMIF(TUSD!$B$77:'TUSD'!$B$143,$I$2,TUSD!$AF$77:'TUSD'!$AF$143),SUMIF(TUSD!$A$77:'TUSD'!$A$143,$I$2,TUSD!$AF$77:'TUSD'!$AF$143)))))))</f>
        <v>729507.14206872124</v>
      </c>
      <c r="W9" s="18">
        <f ca="1">IF($G$2&lt;&gt;"Não se aplica",SUMIF(TUSD!$G$77:'TUSD'!$G$143,$I$2,TUSD!$AG$77:'TUSD'!$AG$143),IF($F$2&lt;&gt;"Não se aplica",SUMIF(TUSD!$F$77:'TUSD'!$F$143,$I$2,TUSD!$AG$77:'TUSD'!$AG$143),IF($E$2&lt;&gt;"Não se aplica",SUMIF(TUSD!$E$77:'TUSD'!$E$143,$I$2,TUSD!$AG$77:'TUSD'!$AG$143),IF($D$2&lt;&gt;"Não se aplica",SUMIF(TUSD!$D$77:'TUSD'!$D$143,$I$2,TUSD!$AG$77:'TUSD'!$AG$143),IF($C$2&lt;&gt;"Não se aplica",SUMIF(TUSD!$C$77:'TUSD'!$C$143,$I$2,TUSD!$AG$77:'TUSD'!$AG$143),IF($B$2&lt;&gt;"Não se aplica",SUMIF(TUSD!$B$77:'TUSD'!$B$143,$I$2,TUSD!$AG$77:'TUSD'!$AG$143),SUMIF(TUSD!$A$77:'TUSD'!$A$143,$I$2,TUSD!$AG$77:'TUSD'!$AG$143)))))))</f>
        <v>0</v>
      </c>
      <c r="X9" s="18">
        <f t="shared" ca="1" si="0"/>
        <v>44453412.674365945</v>
      </c>
      <c r="AD9" s="14" t="s">
        <v>49</v>
      </c>
    </row>
    <row r="10" spans="1:33" x14ac:dyDescent="0.2">
      <c r="A10" s="14" t="s">
        <v>1526</v>
      </c>
      <c r="B10" s="18">
        <f>SUMIF(TUSD!$A$77:'TUSD'!$A$143,$A$2,TUSD!$AI$77:'TUSD'!$AI$143)</f>
        <v>0</v>
      </c>
      <c r="C10" s="18">
        <f>SUMIF(TUSD!$A$77:'TUSD'!$A$143,$A$2,TUSD!$AJ$77:'TUSD'!$AJ$143)</f>
        <v>161879.13795355335</v>
      </c>
      <c r="D10" s="18">
        <f>SUMIF(TUSD!$A$77:'TUSD'!$A$143,$A$2,TUSD!$AK$77:'TUSD'!$AK$143)</f>
        <v>105696.83252762037</v>
      </c>
      <c r="E10" s="18">
        <f>SUMIF(TUSD!$A$77:'TUSD'!$A$143,$A$2,TUSD!$AL$77:'TUSD'!$AL$143)</f>
        <v>13391.225178339202</v>
      </c>
      <c r="F10" s="18">
        <f>SUMIF(TUSD!$A$77:'TUSD'!$A$143,$A$2,TUSD!$AM$77:'TUSD'!$AM$143)</f>
        <v>0</v>
      </c>
      <c r="G10" s="18">
        <f>SUMIF(TUSD!$A$77:'TUSD'!$A$143,$A$2,TUSD!$AN$77:'TUSD'!$AN$143)</f>
        <v>3453000.6160502736</v>
      </c>
      <c r="H10" s="18">
        <f>SUMIF(TUSD!$A$77:'TUSD'!$A$143,$A$2,TUSD!$AO$77:'TUSD'!$AO$143)</f>
        <v>2455837.396568561</v>
      </c>
      <c r="I10" s="18">
        <f>SUMIF(TUSD!$A$77:'TUSD'!$A$143,$A$2,TUSD!$AP$77:'TUSD'!$AP$143)</f>
        <v>0</v>
      </c>
      <c r="J10" s="18">
        <f>SUMIF(TUSD!$A$77:'TUSD'!$A$143,$A$2,TUSD!$AQ$77:'TUSD'!$AQ$143)</f>
        <v>9100023.5789165907</v>
      </c>
      <c r="K10" s="18">
        <f>SUMIF(TUSD!$A$77:'TUSD'!$A$143,$A$2,TUSD!$AR$77:'TUSD'!$AR$143)</f>
        <v>2244063.7725943937</v>
      </c>
      <c r="L10" s="18">
        <f>SUMIF(TUSD!$A$77:'TUSD'!$A$143,$A$2,TUSD!$AS$77:'TUSD'!$AS$143)</f>
        <v>1009242.9411415912</v>
      </c>
      <c r="M10" s="18">
        <f>SUMIF(TUSD!$A$77:'TUSD'!$A$143,$A$2,TUSD!$AT$77:'TUSD'!$AT$143)</f>
        <v>0</v>
      </c>
      <c r="N10" s="18">
        <f>SUMIF(TUSD!$A$77:'TUSD'!$A$143,$A$2,TUSD!$AU$77:'TUSD'!$AU$143)</f>
        <v>0</v>
      </c>
      <c r="O10" s="18">
        <f>SUMIF(TUSD!$A$77:'TUSD'!$A$143,$A$2,TUSD!$AV$77:'TUSD'!$AV$143)</f>
        <v>0</v>
      </c>
      <c r="P10" s="18">
        <f>SUMIF(TUSD!$A$77:'TUSD'!$A$143,$A$2,TUSD!$AW$77:'TUSD'!$AW$143)</f>
        <v>0</v>
      </c>
      <c r="Q10" s="18">
        <f>SUMIF(TUSD!$A$77:'TUSD'!$A$143,$A$2,TUSD!$AX$77:'TUSD'!$AX$143)</f>
        <v>17401185.476591729</v>
      </c>
      <c r="R10" s="18">
        <f>SUMIF(TUSD!$A$77:'TUSD'!$A$143,$A$2,TUSD!$AY$77:'TUSD'!$AY$143)</f>
        <v>-22215.804574695398</v>
      </c>
      <c r="S10" s="18">
        <f>SUMIF(TUSD!$A$77:'TUSD'!$A$143,$A$2,TUSD!$AZ$77:'TUSD'!$AZ$143)</f>
        <v>0</v>
      </c>
      <c r="T10" s="18">
        <f>SUMIF(TUSD!$A$77:'TUSD'!$A$143,$A$2,TUSD!$BA$77:'TUSD'!$BA$143)</f>
        <v>1965888.4326972482</v>
      </c>
      <c r="U10" s="18">
        <f>SUMIF(TUSD!$A$77:'TUSD'!$A$143,$A$2,TUSD!$BB$77:'TUSD'!$BB$143)</f>
        <v>187253.60162413836</v>
      </c>
      <c r="V10" s="18">
        <f>SUMIF(TUSD!$A$77:'TUSD'!$A$143,$A$2,TUSD!$BC$77:'TUSD'!$BC$143)</f>
        <v>726943.27974924725</v>
      </c>
      <c r="W10" s="18">
        <f>SUMIF(TUSD!$A$77:'TUSD'!$A$143,$A$2,TUSD!$BD$77:'TUSD'!$BD$143)</f>
        <v>0</v>
      </c>
      <c r="X10" s="18">
        <f t="shared" si="0"/>
        <v>38802190.487018585</v>
      </c>
      <c r="AD10" s="14" t="s">
        <v>112</v>
      </c>
    </row>
    <row r="11" spans="1:33" x14ac:dyDescent="0.2">
      <c r="A11" s="14" t="s">
        <v>1527</v>
      </c>
      <c r="B11" s="18">
        <f>SUMIF(TUSD!$A$77:'TUSD'!$A$143,$A$2,TUSD!$L$77:'TUSD'!$L$143)</f>
        <v>558198.93047030806</v>
      </c>
      <c r="C11" s="18">
        <f>SUMIF(TUSD!$A$77:'TUSD'!$A$143,$A$2,TUSD!$M$77:'TUSD'!$M$143)</f>
        <v>171191.77348585142</v>
      </c>
      <c r="D11" s="18">
        <f ca="1">SUMIF(TUSD!$A$77:'TUSD'!$A$143,$A$2,TUSD!$N$77:'TUSD'!$N$143)</f>
        <v>111782.31771956041</v>
      </c>
      <c r="E11" s="18">
        <f>SUMIF(TUSD!$A$77:'TUSD'!$A$143,$A$2,TUSD!$O$77:'TUSD'!$O$143)</f>
        <v>12756.017395399915</v>
      </c>
      <c r="F11" s="18">
        <f>SUMIF(TUSD!$A$77:'TUSD'!$A$143,$A$2,TUSD!$P$77:'TUSD'!$P$143)</f>
        <v>0</v>
      </c>
      <c r="G11" s="18">
        <f>SUMIF(TUSD!$A$77:'TUSD'!$A$143,$A$2,TUSD!$Q$77:'TUSD'!$Q$143)</f>
        <v>5431643.7307684999</v>
      </c>
      <c r="H11" s="18">
        <f>SUMIF(TUSD!$A$77:'TUSD'!$A$143,$A$2,TUSD!$R$77:'TUSD'!$R$143)</f>
        <v>3568461.0864610989</v>
      </c>
      <c r="I11" s="18">
        <f>SUMIF(TUSD!$A$77:'TUSD'!$A$143,$A$2,TUSD!$S$77:'TUSD'!$S$143)</f>
        <v>0</v>
      </c>
      <c r="J11" s="18">
        <f>SUMIF(TUSD!$A$77:'TUSD'!$A$143,$A$2,TUSD!$T$77:'TUSD'!$T$143)</f>
        <v>8856448.7654657997</v>
      </c>
      <c r="K11" s="18">
        <f>SUMIF(TUSD!$A$77:'TUSD'!$A$143,$A$2,TUSD!$U$77:'TUSD'!$U$143)</f>
        <v>1460821.0217271966</v>
      </c>
      <c r="L11" s="18">
        <f>SUMIF(TUSD!$A$77:'TUSD'!$A$143,$A$2,TUSD!$V$77:'TUSD'!$V$143)</f>
        <v>1401930.9431332042</v>
      </c>
      <c r="M11" s="18">
        <f>SUMIF(TUSD!$A$77:'TUSD'!$A$143,$A$2,TUSD!$W$77:'TUSD'!$W$143)</f>
        <v>0</v>
      </c>
      <c r="N11" s="18">
        <f>SUMIF(TUSD!$A$77:'TUSD'!$A$143,$A$2,TUSD!$X$77:'TUSD'!$X$143)</f>
        <v>0</v>
      </c>
      <c r="O11" s="18">
        <f>SUMIF(TUSD!$A$77:'TUSD'!$A$143,$A$2,TUSD!$Y$77:'TUSD'!$Y$143)</f>
        <v>0</v>
      </c>
      <c r="P11" s="18">
        <f>SUMIF(TUSD!$A$77:'TUSD'!$A$143,$A$2,TUSD!$Z$77:'TUSD'!$Z$143)</f>
        <v>0</v>
      </c>
      <c r="Q11" s="18">
        <f>SUMIF(TUSD!$A$77:'TUSD'!$A$143,$A$2,TUSD!$AA$77:'TUSD'!$AA$143)</f>
        <v>23374252.787399299</v>
      </c>
      <c r="R11" s="18">
        <f ca="1">SUMIF(TUSD!$A$77:'TUSD'!$A$143,$A$2,TUSD!$AB$77:'TUSD'!$AB$143)</f>
        <v>-3703198.2310598213</v>
      </c>
      <c r="S11" s="18">
        <f ca="1">SUMIF(TUSD!$A$77:'TUSD'!$A$143,$A$2,TUSD!$AC$77:'TUSD'!$AC$143)</f>
        <v>0</v>
      </c>
      <c r="T11" s="18">
        <f>SUMIF(TUSD!$A$77:'TUSD'!$A$143,$A$2,TUSD!$AD$77:'TUSD'!$AD$143)</f>
        <v>2262317.3187860027</v>
      </c>
      <c r="U11" s="18">
        <f>SUMIF(TUSD!$A$77:'TUSD'!$A$143,$A$2,TUSD!$AE$77:'TUSD'!$AE$143)</f>
        <v>217299.07054481588</v>
      </c>
      <c r="V11" s="18">
        <f ca="1">SUMIF(TUSD!$A$77:'TUSD'!$A$143,$A$2,TUSD!$AF$77:'TUSD'!$AF$143)</f>
        <v>729507.14206872124</v>
      </c>
      <c r="W11" s="18">
        <f ca="1">SUMIF(TUSD!$A$77:'TUSD'!$A$143,$A$2,TUSD!$AG$77:'TUSD'!$AG$143)</f>
        <v>0</v>
      </c>
      <c r="X11" s="18">
        <f t="shared" ca="1" si="0"/>
        <v>44453412.674365945</v>
      </c>
    </row>
    <row r="13" spans="1:33" x14ac:dyDescent="0.2">
      <c r="A13" s="14" t="s">
        <v>1531</v>
      </c>
      <c r="B13" s="29">
        <f t="shared" ref="B13:X13" si="1">IF($X$6&lt;&gt;0,(B$7-B$6)/$X$6,0)</f>
        <v>1.1444708314352178E-2</v>
      </c>
      <c r="C13" s="29">
        <f t="shared" si="1"/>
        <v>1.6747673382115164E-4</v>
      </c>
      <c r="D13" s="29">
        <f t="shared" ca="1" si="1"/>
        <v>9.0067488821232058E-5</v>
      </c>
      <c r="E13" s="29">
        <f t="shared" si="1"/>
        <v>-9.4406890985559401E-6</v>
      </c>
      <c r="F13" s="29">
        <f t="shared" si="1"/>
        <v>0</v>
      </c>
      <c r="G13" s="29">
        <f t="shared" si="1"/>
        <v>4.4952430701631692E-2</v>
      </c>
      <c r="H13" s="29">
        <f t="shared" si="1"/>
        <v>1.552000436852178E-2</v>
      </c>
      <c r="I13" s="29">
        <f t="shared" si="1"/>
        <v>0</v>
      </c>
      <c r="J13" s="29">
        <f t="shared" si="1"/>
        <v>-2.7389425610326646E-3</v>
      </c>
      <c r="K13" s="29">
        <f t="shared" si="1"/>
        <v>-9.8613272388236081E-3</v>
      </c>
      <c r="L13" s="29">
        <f t="shared" si="1"/>
        <v>5.4476625384406643E-3</v>
      </c>
      <c r="M13" s="29">
        <f t="shared" si="1"/>
        <v>0</v>
      </c>
      <c r="N13" s="29">
        <f t="shared" si="1"/>
        <v>0</v>
      </c>
      <c r="O13" s="29">
        <f t="shared" si="1"/>
        <v>0</v>
      </c>
      <c r="P13" s="29">
        <f t="shared" si="1"/>
        <v>0</v>
      </c>
      <c r="Q13" s="29">
        <f t="shared" si="1"/>
        <v>0.21679834252278921</v>
      </c>
      <c r="R13" s="29">
        <f t="shared" ca="1" si="1"/>
        <v>-9.9764832780046511E-2</v>
      </c>
      <c r="S13" s="29">
        <f t="shared" ca="1" si="1"/>
        <v>0</v>
      </c>
      <c r="T13" s="29">
        <f t="shared" si="1"/>
        <v>9.4741375295364465E-3</v>
      </c>
      <c r="U13" s="29">
        <f t="shared" si="1"/>
        <v>4.5762975662960931E-4</v>
      </c>
      <c r="V13" s="29">
        <f t="shared" ca="1" si="1"/>
        <v>1.3067651501661973E-3</v>
      </c>
      <c r="W13" s="29">
        <f t="shared" ca="1" si="1"/>
        <v>0</v>
      </c>
      <c r="X13" s="29">
        <f t="shared" ca="1" si="1"/>
        <v>0.19328468183570877</v>
      </c>
    </row>
    <row r="14" spans="1:33" x14ac:dyDescent="0.2">
      <c r="A14" s="14" t="s">
        <v>1532</v>
      </c>
      <c r="B14" s="29">
        <f t="shared" ref="B14:X14" si="2">IF($X$10&lt;&gt;0,(B$9-B$8)/$X$10,0)</f>
        <v>1.4385758212723984E-2</v>
      </c>
      <c r="C14" s="29">
        <f t="shared" si="2"/>
        <v>2.4000283013438748E-4</v>
      </c>
      <c r="D14" s="29">
        <f t="shared" ca="1" si="2"/>
        <v>1.568335476827258E-4</v>
      </c>
      <c r="E14" s="29">
        <f t="shared" si="2"/>
        <v>-1.6370410406386685E-5</v>
      </c>
      <c r="F14" s="29">
        <f t="shared" si="2"/>
        <v>0</v>
      </c>
      <c r="G14" s="29">
        <f t="shared" si="2"/>
        <v>5.0993077707305948E-2</v>
      </c>
      <c r="H14" s="29">
        <f t="shared" si="2"/>
        <v>2.8674249467044142E-2</v>
      </c>
      <c r="I14" s="29">
        <f t="shared" si="2"/>
        <v>0</v>
      </c>
      <c r="J14" s="29">
        <f t="shared" si="2"/>
        <v>-6.2773469846316996E-3</v>
      </c>
      <c r="K14" s="29">
        <f t="shared" si="2"/>
        <v>-2.0185529245552097E-2</v>
      </c>
      <c r="L14" s="29">
        <f t="shared" si="2"/>
        <v>1.0120253446077697E-2</v>
      </c>
      <c r="M14" s="29">
        <f t="shared" si="2"/>
        <v>0</v>
      </c>
      <c r="N14" s="29">
        <f t="shared" si="2"/>
        <v>0</v>
      </c>
      <c r="O14" s="29">
        <f t="shared" si="2"/>
        <v>0</v>
      </c>
      <c r="P14" s="29">
        <f t="shared" si="2"/>
        <v>0</v>
      </c>
      <c r="Q14" s="29">
        <f t="shared" si="2"/>
        <v>0.15393634317644728</v>
      </c>
      <c r="R14" s="29">
        <f t="shared" ca="1" si="2"/>
        <v>-9.486532539230258E-2</v>
      </c>
      <c r="S14" s="29">
        <f t="shared" ca="1" si="2"/>
        <v>0</v>
      </c>
      <c r="T14" s="29">
        <f t="shared" si="2"/>
        <v>7.6394884507338806E-3</v>
      </c>
      <c r="U14" s="29">
        <f t="shared" si="2"/>
        <v>7.7432404056490946E-4</v>
      </c>
      <c r="V14" s="29">
        <f t="shared" ca="1" si="2"/>
        <v>6.6075195428251442E-5</v>
      </c>
      <c r="W14" s="29">
        <f t="shared" ca="1" si="2"/>
        <v>0</v>
      </c>
      <c r="X14" s="29">
        <f t="shared" ca="1" si="2"/>
        <v>0.14564183404125075</v>
      </c>
    </row>
    <row r="15" spans="1:33" x14ac:dyDescent="0.2">
      <c r="A15" s="14" t="s">
        <v>1533</v>
      </c>
      <c r="B15" s="29">
        <f t="shared" ref="B15:X15" si="3">IF($X$8&lt;&gt;0,(B$9-B$8)/$X$8,0)</f>
        <v>1.4385758212723984E-2</v>
      </c>
      <c r="C15" s="29">
        <f t="shared" si="3"/>
        <v>2.4000283013438748E-4</v>
      </c>
      <c r="D15" s="29">
        <f t="shared" ca="1" si="3"/>
        <v>1.568335476827258E-4</v>
      </c>
      <c r="E15" s="29">
        <f t="shared" si="3"/>
        <v>-1.6370410406386685E-5</v>
      </c>
      <c r="F15" s="29">
        <f t="shared" si="3"/>
        <v>0</v>
      </c>
      <c r="G15" s="29">
        <f t="shared" si="3"/>
        <v>5.0993077707305948E-2</v>
      </c>
      <c r="H15" s="29">
        <f t="shared" si="3"/>
        <v>2.8674249467044142E-2</v>
      </c>
      <c r="I15" s="29">
        <f t="shared" si="3"/>
        <v>0</v>
      </c>
      <c r="J15" s="29">
        <f t="shared" si="3"/>
        <v>-6.2773469846316996E-3</v>
      </c>
      <c r="K15" s="29">
        <f t="shared" si="3"/>
        <v>-2.0185529245552097E-2</v>
      </c>
      <c r="L15" s="29">
        <f t="shared" si="3"/>
        <v>1.0120253446077697E-2</v>
      </c>
      <c r="M15" s="29">
        <f t="shared" si="3"/>
        <v>0</v>
      </c>
      <c r="N15" s="29">
        <f t="shared" si="3"/>
        <v>0</v>
      </c>
      <c r="O15" s="29">
        <f t="shared" si="3"/>
        <v>0</v>
      </c>
      <c r="P15" s="29">
        <f t="shared" si="3"/>
        <v>0</v>
      </c>
      <c r="Q15" s="29">
        <f t="shared" si="3"/>
        <v>0.15393634317644728</v>
      </c>
      <c r="R15" s="29">
        <f t="shared" ca="1" si="3"/>
        <v>-9.486532539230258E-2</v>
      </c>
      <c r="S15" s="29">
        <f t="shared" ca="1" si="3"/>
        <v>0</v>
      </c>
      <c r="T15" s="29">
        <f t="shared" si="3"/>
        <v>7.6394884507338806E-3</v>
      </c>
      <c r="U15" s="29">
        <f t="shared" si="3"/>
        <v>7.7432404056490946E-4</v>
      </c>
      <c r="V15" s="29">
        <f t="shared" ca="1" si="3"/>
        <v>6.6075195428251442E-5</v>
      </c>
      <c r="W15" s="29">
        <f t="shared" ca="1" si="3"/>
        <v>0</v>
      </c>
      <c r="X15" s="29">
        <f t="shared" ca="1" si="3"/>
        <v>0.14564183404125075</v>
      </c>
    </row>
  </sheetData>
  <dataValidations count="5">
    <dataValidation type="list" allowBlank="1" showInputMessage="1" showErrorMessage="1" error="Deve-se selecionar grupo válido" sqref="A2" xr:uid="{372F6D8D-7C44-42B4-AADC-BB7220EF9DCB}">
      <formula1>AA1:AA7</formula1>
    </dataValidation>
    <dataValidation type="list" allowBlank="1" showInputMessage="1" showErrorMessage="1" error="Deve-se selecionar grupo válido" sqref="B2 G2" xr:uid="{2649017E-D1BC-44D5-93EE-3C233430C54E}">
      <formula1>AB1:AB8</formula1>
    </dataValidation>
    <dataValidation type="list" allowBlank="1" showInputMessage="1" showErrorMessage="1" error="Deve-se selecionar grupo válido" sqref="C2 E2" xr:uid="{BB8AEAE5-CBB4-4A4C-B57A-F049F4C1BDAD}">
      <formula1>AC1:AC4</formula1>
    </dataValidation>
    <dataValidation type="list" allowBlank="1" showInputMessage="1" showErrorMessage="1" error="Deve-se selecionar grupo válido" sqref="D2" xr:uid="{BED1E7DE-1FBB-479C-81DF-FFCD6C5AD4C7}">
      <formula1>AD1:AD10</formula1>
    </dataValidation>
    <dataValidation type="list" allowBlank="1" showInputMessage="1" showErrorMessage="1" error="Deve-se selecionar grupo válido" sqref="F2" xr:uid="{88E40F3D-5705-48EA-87AB-C527B3E39DD4}">
      <formula1>AF1:AF5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BFCF2-F694-4E75-AAB4-B17FF5241D5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3" width="10.85546875" style="14" bestFit="1" customWidth="1"/>
    <col min="4" max="4" width="10.28515625" style="14" bestFit="1" customWidth="1"/>
    <col min="5" max="5" width="10.85546875" style="14" bestFit="1" customWidth="1"/>
    <col min="6" max="6" width="14.85546875" style="14" bestFit="1" customWidth="1"/>
    <col min="7" max="7" width="10.28515625" style="14" bestFit="1" customWidth="1"/>
    <col min="8" max="8" width="9.5703125" style="14" bestFit="1" customWidth="1"/>
    <col min="9" max="9" width="6.42578125" style="14" bestFit="1" customWidth="1"/>
    <col min="10" max="10" width="11.42578125" style="14" bestFit="1" customWidth="1"/>
    <col min="11" max="11" width="10.85546875" style="14" bestFit="1" customWidth="1"/>
    <col min="12" max="12" width="11.7109375" style="14" bestFit="1" customWidth="1"/>
    <col min="13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83</v>
      </c>
      <c r="B1" s="14" t="s">
        <v>84</v>
      </c>
      <c r="C1" s="14" t="s">
        <v>85</v>
      </c>
      <c r="D1" s="14" t="s">
        <v>86</v>
      </c>
      <c r="E1" s="14" t="s">
        <v>87</v>
      </c>
      <c r="F1" s="14" t="s">
        <v>15</v>
      </c>
      <c r="G1" s="14" t="s">
        <v>89</v>
      </c>
      <c r="I1" s="14" t="s">
        <v>1530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41</v>
      </c>
      <c r="AB2" s="14" t="s">
        <v>92</v>
      </c>
      <c r="AC2" s="14" t="s">
        <v>24</v>
      </c>
      <c r="AD2" s="14" t="s">
        <v>24</v>
      </c>
      <c r="AE2" s="14" t="s">
        <v>97</v>
      </c>
      <c r="AG2" s="14" t="s">
        <v>94</v>
      </c>
    </row>
    <row r="3" spans="1:33" x14ac:dyDescent="0.2">
      <c r="AA3" s="14" t="s">
        <v>22</v>
      </c>
      <c r="AB3" s="14" t="s">
        <v>96</v>
      </c>
      <c r="AC3" s="14" t="s">
        <v>45</v>
      </c>
      <c r="AD3" s="14" t="s">
        <v>29</v>
      </c>
      <c r="AG3" s="14" t="s">
        <v>95</v>
      </c>
    </row>
    <row r="4" spans="1:33" x14ac:dyDescent="0.2">
      <c r="AA4" s="14" t="s">
        <v>44</v>
      </c>
      <c r="AB4" s="14" t="s">
        <v>102</v>
      </c>
      <c r="AC4" s="14" t="s">
        <v>48</v>
      </c>
      <c r="AD4" s="14" t="s">
        <v>30</v>
      </c>
      <c r="AG4" s="14" t="s">
        <v>98</v>
      </c>
    </row>
    <row r="5" spans="1:33" x14ac:dyDescent="0.2">
      <c r="A5" s="14" t="s">
        <v>1523</v>
      </c>
      <c r="B5" s="14" t="str">
        <f>TE!$W$4</f>
        <v>P&amp;D</v>
      </c>
      <c r="C5" s="14" t="str">
        <f>TE!$X$4</f>
        <v>ESS/ERR</v>
      </c>
      <c r="D5" s="14" t="str">
        <f>TE!$Y$4</f>
        <v>CFURH</v>
      </c>
      <c r="E5" s="14" t="str">
        <f>TE!$Z$4</f>
        <v>CDE Covid TE</v>
      </c>
      <c r="F5" s="14" t="str">
        <f>TE!$AA$4</f>
        <v>ENERGIA REVENDA</v>
      </c>
      <c r="G5" s="14" t="str">
        <f>TE!$AB$4</f>
        <v>ITAIPU</v>
      </c>
      <c r="H5" s="14" t="str">
        <f>TE!$AC$4</f>
        <v>TUST ITAIPU</v>
      </c>
      <c r="I5" s="14" t="str">
        <f>TE!$AD$4</f>
        <v>TUST CI</v>
      </c>
      <c r="J5" s="14" t="str">
        <f>TE!$AE$4</f>
        <v>SUBSIDIO</v>
      </c>
      <c r="K5" s="14" t="str">
        <f>TE!$AF$4</f>
        <v>PERDAS RB/C</v>
      </c>
      <c r="L5" s="14" t="s">
        <v>895</v>
      </c>
      <c r="AA5" s="14" t="s">
        <v>37</v>
      </c>
      <c r="AB5" s="14" t="s">
        <v>103</v>
      </c>
      <c r="AD5" s="14" t="s">
        <v>31</v>
      </c>
      <c r="AG5" s="14" t="s">
        <v>107</v>
      </c>
    </row>
    <row r="6" spans="1:33" x14ac:dyDescent="0.2">
      <c r="A6" s="14" t="s">
        <v>1524</v>
      </c>
      <c r="B6" s="18">
        <f>SUM(TE!$W$56:'TE'!$W$101)</f>
        <v>5407274.484843594</v>
      </c>
      <c r="C6" s="18">
        <f>SUM(TE!$X$56:'TE'!$X$101)</f>
        <v>34737825.781908147</v>
      </c>
      <c r="D6" s="18">
        <f>SUM(TE!$Y$56:'TE'!$Y$101)</f>
        <v>0</v>
      </c>
      <c r="E6" s="18">
        <f>SUM(TE!$Z$56:'TE'!$Z$101)</f>
        <v>0</v>
      </c>
      <c r="F6" s="18">
        <f>SUM(TE!$AA$56:'TE'!$AA$101)</f>
        <v>516759689.65940136</v>
      </c>
      <c r="G6" s="18">
        <f>SUM(TE!$AB$56:'TE'!$AB$101)</f>
        <v>0</v>
      </c>
      <c r="H6" s="18">
        <f>SUM(TE!$AC$56:'TE'!$AC$101)</f>
        <v>0</v>
      </c>
      <c r="I6" s="18">
        <f>SUM(TE!$AD$56:'TE'!$AD$101)</f>
        <v>9.2169147068798989E-7</v>
      </c>
      <c r="J6" s="18">
        <f>SUM(TE!$AE$56:'TE'!$AE$101)</f>
        <v>-325043.74215021508</v>
      </c>
      <c r="K6" s="18">
        <f>SUM(TE!$AF$56:'TE'!$AF$101)</f>
        <v>12171854.405238917</v>
      </c>
      <c r="L6" s="18">
        <f t="shared" ref="L6:L11" si="0">SUM(B6:K6)</f>
        <v>568751600.5892427</v>
      </c>
      <c r="AA6" s="14" t="s">
        <v>47</v>
      </c>
      <c r="AB6" s="14" t="s">
        <v>108</v>
      </c>
      <c r="AD6" s="14" t="s">
        <v>32</v>
      </c>
    </row>
    <row r="7" spans="1:33" x14ac:dyDescent="0.2">
      <c r="A7" s="14" t="s">
        <v>1525</v>
      </c>
      <c r="B7" s="18">
        <f>SUM(TE!$L$56:'TE'!$L$101)</f>
        <v>6468390.8312457772</v>
      </c>
      <c r="C7" s="18">
        <f>SUM(TE!$M$56:'TE'!$M$101)</f>
        <v>53142059.930184245</v>
      </c>
      <c r="D7" s="18">
        <f>SUM(TE!$N$56:'TE'!$N$101)</f>
        <v>0</v>
      </c>
      <c r="E7" s="18">
        <f>SUM(TE!$O$56:'TE'!$O$101)</f>
        <v>9333021.4107163735</v>
      </c>
      <c r="F7" s="18">
        <f>SUM(TE!$P$56:'TE'!$P$101)</f>
        <v>551276122.09457994</v>
      </c>
      <c r="G7" s="18">
        <f>SUM(TE!$Q$56:'TE'!$Q$101)</f>
        <v>0</v>
      </c>
      <c r="H7" s="18">
        <f>SUM(TE!$R$56:'TE'!$R$101)</f>
        <v>0</v>
      </c>
      <c r="I7" s="18">
        <f>SUM(TE!$S$56:'TE'!$S$101)</f>
        <v>9.5448961363402157E-7</v>
      </c>
      <c r="J7" s="18">
        <f>SUM(TE!$T$56:'TE'!$T$101)</f>
        <v>-51196602.981667049</v>
      </c>
      <c r="K7" s="18">
        <f>SUM(TE!$U$56:'TE'!$U$101)</f>
        <v>14041833.138035426</v>
      </c>
      <c r="L7" s="18">
        <f t="shared" si="0"/>
        <v>583064824.4230957</v>
      </c>
      <c r="AD7" s="14" t="s">
        <v>110</v>
      </c>
    </row>
    <row r="8" spans="1:33" x14ac:dyDescent="0.2">
      <c r="A8" s="14" t="s">
        <v>1528</v>
      </c>
      <c r="B8" s="18">
        <f>IF($G$2&lt;&gt;"Não se aplica",SUMIF(TE!$G$56:'TE'!$G$101,$I$2,TE!$W$56:'TE'!$W$101),IF($F$2&lt;&gt;"Não se aplica",SUMIF(TE!$F$56:'TE'!$F$101,$I$2,TE!$W$56:'TE'!$W$101),IF($E$2&lt;&gt;"Não se aplica",SUMIF(TE!$E$56:'TE'!$E$101,$I$2,TE!$W$56:'TE'!$W$101),IF($D$2&lt;&gt;"Não se aplica",SUMIF(TE!$D$56:'TE'!$D$101,$I$2,TE!$W$56:'TE'!$W$101),IF($C$2&lt;&gt;"Não se aplica",SUMIF(TE!$C$56:'TE'!$C$101,$I$2,TE!$W$56:'TE'!$W$101),IF($B$2&lt;&gt;"Não se aplica",SUMIF(TE!$B$56:'TE'!$B$101,$I$2,TE!$W$56:'TE'!$W$101),SUMIF(TE!$A$56:'TE'!$A$101,$I$2,TE!$W$56:'TE'!$W$101)))))))</f>
        <v>826050.69385954493</v>
      </c>
      <c r="C8" s="18">
        <f>IF($G$2&lt;&gt;"Não se aplica",SUMIF(TE!$G$56:'TE'!$G$101,$I$2,TE!$X$56:'TE'!$X$101),IF($F$2&lt;&gt;"Não se aplica",SUMIF(TE!$F$56:'TE'!$F$101,$I$2,TE!$X$56:'TE'!$X$101),IF($E$2&lt;&gt;"Não se aplica",SUMIF(TE!$E$56:'TE'!$E$101,$I$2,TE!$X$56:'TE'!$X$101),IF($D$2&lt;&gt;"Não se aplica",SUMIF(TE!$D$56:'TE'!$D$101,$I$2,TE!$X$56:'TE'!$X$101),IF($C$2&lt;&gt;"Não se aplica",SUMIF(TE!$C$56:'TE'!$C$101,$I$2,TE!$X$56:'TE'!$X$101),IF($B$2&lt;&gt;"Não se aplica",SUMIF(TE!$B$56:'TE'!$B$101,$I$2,TE!$X$56:'TE'!$X$101),SUMIF(TE!$A$56:'TE'!$A$101,$I$2,TE!$X$56:'TE'!$X$101)))))))</f>
        <v>5306777.9656366426</v>
      </c>
      <c r="D8" s="18">
        <f>IF($G$2&lt;&gt;"Não se aplica",SUMIF(TE!$G$56:'TE'!$G$101,$I$2,TE!$Y$56:'TE'!$Y$101),IF($F$2&lt;&gt;"Não se aplica",SUMIF(TE!$F$56:'TE'!$F$101,$I$2,TE!$Y$56:'TE'!$Y$101),IF($E$2&lt;&gt;"Não se aplica",SUMIF(TE!$E$56:'TE'!$E$101,$I$2,TE!$Y$56:'TE'!$Y$101),IF($D$2&lt;&gt;"Não se aplica",SUMIF(TE!$D$56:'TE'!$D$101,$I$2,TE!$Y$56:'TE'!$Y$101),IF($C$2&lt;&gt;"Não se aplica",SUMIF(TE!$C$56:'TE'!$C$101,$I$2,TE!$Y$56:'TE'!$Y$101),IF($B$2&lt;&gt;"Não se aplica",SUMIF(TE!$B$56:'TE'!$B$101,$I$2,TE!$Y$56:'TE'!$Y$101),SUMIF(TE!$A$56:'TE'!$A$101,$I$2,TE!$Y$56:'TE'!$Y$101)))))))</f>
        <v>0</v>
      </c>
      <c r="E8" s="18">
        <f>IF($G$2&lt;&gt;"Não se aplica",SUMIF(TE!$G$56:'TE'!$G$101,$I$2,TE!$Z$56:'TE'!$Z$101),IF($F$2&lt;&gt;"Não se aplica",SUMIF(TE!$F$56:'TE'!$F$101,$I$2,TE!$Z$56:'TE'!$Z$101),IF($E$2&lt;&gt;"Não se aplica",SUMIF(TE!$E$56:'TE'!$E$101,$I$2,TE!$Z$56:'TE'!$Z$101),IF($D$2&lt;&gt;"Não se aplica",SUMIF(TE!$D$56:'TE'!$D$101,$I$2,TE!$Z$56:'TE'!$Z$101),IF($C$2&lt;&gt;"Não se aplica",SUMIF(TE!$C$56:'TE'!$C$101,$I$2,TE!$Z$56:'TE'!$Z$101),IF($B$2&lt;&gt;"Não se aplica",SUMIF(TE!$B$56:'TE'!$B$101,$I$2,TE!$Z$56:'TE'!$Z$101),SUMIF(TE!$A$56:'TE'!$A$101,$I$2,TE!$Z$56:'TE'!$Z$101)))))))</f>
        <v>0</v>
      </c>
      <c r="F8" s="18">
        <f>IF($G$2&lt;&gt;"Não se aplica",SUMIF(TE!$G$56:'TE'!$G$101,$I$2,TE!$AA$56:'TE'!$AA$101),IF($F$2&lt;&gt;"Não se aplica",SUMIF(TE!$F$56:'TE'!$F$101,$I$2,TE!$AA$56:'TE'!$AA$101),IF($E$2&lt;&gt;"Não se aplica",SUMIF(TE!$E$56:'TE'!$E$101,$I$2,TE!$AA$56:'TE'!$AA$101),IF($D$2&lt;&gt;"Não se aplica",SUMIF(TE!$D$56:'TE'!$D$101,$I$2,TE!$AA$56:'TE'!$AA$101),IF($C$2&lt;&gt;"Não se aplica",SUMIF(TE!$C$56:'TE'!$C$101,$I$2,TE!$AA$56:'TE'!$AA$101),IF($B$2&lt;&gt;"Não se aplica",SUMIF(TE!$B$56:'TE'!$B$101,$I$2,TE!$AA$56:'TE'!$AA$101),SUMIF(TE!$A$56:'TE'!$A$101,$I$2,TE!$AA$56:'TE'!$AA$101)))))))</f>
        <v>77784469.421519697</v>
      </c>
      <c r="G8" s="18">
        <f>IF($G$2&lt;&gt;"Não se aplica",SUMIF(TE!$G$56:'TE'!$G$101,$I$2,TE!$AB$56:'TE'!$AB$101),IF($F$2&lt;&gt;"Não se aplica",SUMIF(TE!$F$56:'TE'!$F$101,$I$2,TE!$AB$56:'TE'!$AB$101),IF($E$2&lt;&gt;"Não se aplica",SUMIF(TE!$E$56:'TE'!$E$101,$I$2,TE!$AB$56:'TE'!$AB$101),IF($D$2&lt;&gt;"Não se aplica",SUMIF(TE!$D$56:'TE'!$D$101,$I$2,TE!$AB$56:'TE'!$AB$101),IF($C$2&lt;&gt;"Não se aplica",SUMIF(TE!$C$56:'TE'!$C$101,$I$2,TE!$AB$56:'TE'!$AB$101),IF($B$2&lt;&gt;"Não se aplica",SUMIF(TE!$B$56:'TE'!$B$101,$I$2,TE!$AB$56:'TE'!$AB$101),SUMIF(TE!$A$56:'TE'!$A$101,$I$2,TE!$AB$56:'TE'!$AB$101)))))))</f>
        <v>0</v>
      </c>
      <c r="H8" s="18">
        <f>IF($G$2&lt;&gt;"Não se aplica",SUMIF(TE!$G$56:'TE'!$G$101,$I$2,TE!$AC$56:'TE'!$AC$101),IF($F$2&lt;&gt;"Não se aplica",SUMIF(TE!$F$56:'TE'!$F$101,$I$2,TE!$AC$56:'TE'!$AC$101),IF($E$2&lt;&gt;"Não se aplica",SUMIF(TE!$E$56:'TE'!$E$101,$I$2,TE!$AC$56:'TE'!$AC$101),IF($D$2&lt;&gt;"Não se aplica",SUMIF(TE!$D$56:'TE'!$D$101,$I$2,TE!$AC$56:'TE'!$AC$101),IF($C$2&lt;&gt;"Não se aplica",SUMIF(TE!$C$56:'TE'!$C$101,$I$2,TE!$AC$56:'TE'!$AC$101),IF($B$2&lt;&gt;"Não se aplica",SUMIF(TE!$B$56:'TE'!$B$101,$I$2,TE!$AC$56:'TE'!$AC$101),SUMIF(TE!$A$56:'TE'!$A$101,$I$2,TE!$AC$56:'TE'!$AC$101)))))))</f>
        <v>0</v>
      </c>
      <c r="I8" s="18">
        <f>IF($G$2&lt;&gt;"Não se aplica",SUMIF(TE!$G$56:'TE'!$G$101,$I$2,TE!$AD$56:'TE'!$AD$101),IF($F$2&lt;&gt;"Não se aplica",SUMIF(TE!$F$56:'TE'!$F$101,$I$2,TE!$AD$56:'TE'!$AD$101),IF($E$2&lt;&gt;"Não se aplica",SUMIF(TE!$E$56:'TE'!$E$101,$I$2,TE!$AD$56:'TE'!$AD$101),IF($D$2&lt;&gt;"Não se aplica",SUMIF(TE!$D$56:'TE'!$D$101,$I$2,TE!$AD$56:'TE'!$AD$101),IF($C$2&lt;&gt;"Não se aplica",SUMIF(TE!$C$56:'TE'!$C$101,$I$2,TE!$AD$56:'TE'!$AD$101),IF($B$2&lt;&gt;"Não se aplica",SUMIF(TE!$B$56:'TE'!$B$101,$I$2,TE!$AD$56:'TE'!$AD$101),SUMIF(TE!$A$56:'TE'!$A$101,$I$2,TE!$AD$56:'TE'!$AD$101)))))))</f>
        <v>1.4080363055737513E-7</v>
      </c>
      <c r="J8" s="18">
        <f>IF($G$2&lt;&gt;"Não se aplica",SUMIF(TE!$G$56:'TE'!$G$101,$I$2,TE!$AE$56:'TE'!$AE$101),IF($F$2&lt;&gt;"Não se aplica",SUMIF(TE!$F$56:'TE'!$F$101,$I$2,TE!$AE$56:'TE'!$AE$101),IF($E$2&lt;&gt;"Não se aplica",SUMIF(TE!$E$56:'TE'!$E$101,$I$2,TE!$AE$56:'TE'!$AE$101),IF($D$2&lt;&gt;"Não se aplica",SUMIF(TE!$D$56:'TE'!$D$101,$I$2,TE!$AE$56:'TE'!$AE$101),IF($C$2&lt;&gt;"Não se aplica",SUMIF(TE!$C$56:'TE'!$C$101,$I$2,TE!$AE$56:'TE'!$AE$101),IF($B$2&lt;&gt;"Não se aplica",SUMIF(TE!$B$56:'TE'!$B$101,$I$2,TE!$AE$56:'TE'!$AE$101),SUMIF(TE!$A$56:'TE'!$A$101,$I$2,TE!$AE$56:'TE'!$AE$101)))))))</f>
        <v>-13368.9202254847</v>
      </c>
      <c r="K8" s="18">
        <f>IF($G$2&lt;&gt;"Não se aplica",SUMIF(TE!$G$56:'TE'!$G$101,$I$2,TE!$AF$56:'TE'!$AF$101),IF($F$2&lt;&gt;"Não se aplica",SUMIF(TE!$F$56:'TE'!$F$101,$I$2,TE!$AF$56:'TE'!$AF$101),IF($E$2&lt;&gt;"Não se aplica",SUMIF(TE!$E$56:'TE'!$E$101,$I$2,TE!$AF$56:'TE'!$AF$101),IF($D$2&lt;&gt;"Não se aplica",SUMIF(TE!$D$56:'TE'!$D$101,$I$2,TE!$AF$56:'TE'!$AF$101),IF($C$2&lt;&gt;"Não se aplica",SUMIF(TE!$C$56:'TE'!$C$101,$I$2,TE!$AF$56:'TE'!$AF$101),IF($B$2&lt;&gt;"Não se aplica",SUMIF(TE!$B$56:'TE'!$B$101,$I$2,TE!$AF$56:'TE'!$AF$101),SUMIF(TE!$A$56:'TE'!$A$101,$I$2,TE!$AF$56:'TE'!$AF$101)))))))</f>
        <v>1859452.2629076033</v>
      </c>
      <c r="L8" s="18">
        <f t="shared" si="0"/>
        <v>85763381.423698142</v>
      </c>
      <c r="AD8" s="14" t="s">
        <v>111</v>
      </c>
    </row>
    <row r="9" spans="1:33" x14ac:dyDescent="0.2">
      <c r="A9" s="14" t="s">
        <v>1529</v>
      </c>
      <c r="B9" s="18">
        <f>IF($G$2&lt;&gt;"Não se aplica",SUMIF(TE!$G$56:'TE'!$G$101,$I$2,TE!$L$56:'TE'!$L$101),IF($F$2&lt;&gt;"Não se aplica",SUMIF(TE!$F$56:'TE'!$F$101,$I$2,TE!$L$56:'TE'!$L$101),IF($E$2&lt;&gt;"Não se aplica",SUMIF(TE!$E$56:'TE'!$E$101,$I$2,TE!$L$56:'TE'!$L$101),IF($D$2&lt;&gt;"Não se aplica",SUMIF(TE!$D$56:'TE'!$D$101,$I$2,TE!$L$56:'TE'!$L$101),IF($C$2&lt;&gt;"Não se aplica",SUMIF(TE!$C$56:'TE'!$C$101,$I$2,TE!$L$56:'TE'!$L$101),IF($B$2&lt;&gt;"Não se aplica",SUMIF(TE!$B$56:'TE'!$B$101,$I$2,TE!$L$56:'TE'!$L$101),SUMIF(TE!$A$56:'TE'!$A$101,$I$2,TE!$L$56:'TE'!$L$101)))))))</f>
        <v>986684.72440031148</v>
      </c>
      <c r="C9" s="18">
        <f>IF($G$2&lt;&gt;"Não se aplica",SUMIF(TE!$G$56:'TE'!$G$101,$I$2,TE!$M$56:'TE'!$M$101),IF($F$2&lt;&gt;"Não se aplica",SUMIF(TE!$F$56:'TE'!$F$101,$I$2,TE!$M$56:'TE'!$M$101),IF($E$2&lt;&gt;"Não se aplica",SUMIF(TE!$E$56:'TE'!$E$101,$I$2,TE!$M$56:'TE'!$M$101),IF($D$2&lt;&gt;"Não se aplica",SUMIF(TE!$D$56:'TE'!$D$101,$I$2,TE!$M$56:'TE'!$M$101),IF($C$2&lt;&gt;"Não se aplica",SUMIF(TE!$C$56:'TE'!$C$101,$I$2,TE!$M$56:'TE'!$M$101),IF($B$2&lt;&gt;"Não se aplica",SUMIF(TE!$B$56:'TE'!$B$101,$I$2,TE!$M$56:'TE'!$M$101),SUMIF(TE!$A$56:'TE'!$A$101,$I$2,TE!$M$56:'TE'!$M$101)))))))</f>
        <v>8106260.1386100985</v>
      </c>
      <c r="D9" s="18">
        <f>IF($G$2&lt;&gt;"Não se aplica",SUMIF(TE!$G$56:'TE'!$G$101,$I$2,TE!$N$56:'TE'!$N$101),IF($F$2&lt;&gt;"Não se aplica",SUMIF(TE!$F$56:'TE'!$F$101,$I$2,TE!$N$56:'TE'!$N$101),IF($E$2&lt;&gt;"Não se aplica",SUMIF(TE!$E$56:'TE'!$E$101,$I$2,TE!$N$56:'TE'!$N$101),IF($D$2&lt;&gt;"Não se aplica",SUMIF(TE!$D$56:'TE'!$D$101,$I$2,TE!$N$56:'TE'!$N$101),IF($C$2&lt;&gt;"Não se aplica",SUMIF(TE!$C$56:'TE'!$C$101,$I$2,TE!$N$56:'TE'!$N$101),IF($B$2&lt;&gt;"Não se aplica",SUMIF(TE!$B$56:'TE'!$B$101,$I$2,TE!$N$56:'TE'!$N$101),SUMIF(TE!$A$56:'TE'!$A$101,$I$2,TE!$N$56:'TE'!$N$101)))))))</f>
        <v>0</v>
      </c>
      <c r="E9" s="18">
        <f>IF($G$2&lt;&gt;"Não se aplica",SUMIF(TE!$G$56:'TE'!$G$101,$I$2,TE!$O$56:'TE'!$O$101),IF($F$2&lt;&gt;"Não se aplica",SUMIF(TE!$F$56:'TE'!$F$101,$I$2,TE!$O$56:'TE'!$O$101),IF($E$2&lt;&gt;"Não se aplica",SUMIF(TE!$E$56:'TE'!$E$101,$I$2,TE!$O$56:'TE'!$O$101),IF($D$2&lt;&gt;"Não se aplica",SUMIF(TE!$D$56:'TE'!$D$101,$I$2,TE!$O$56:'TE'!$O$101),IF($C$2&lt;&gt;"Não se aplica",SUMIF(TE!$C$56:'TE'!$C$101,$I$2,TE!$O$56:'TE'!$O$101),IF($B$2&lt;&gt;"Não se aplica",SUMIF(TE!$B$56:'TE'!$B$101,$I$2,TE!$O$56:'TE'!$O$101),SUMIF(TE!$A$56:'TE'!$A$101,$I$2,TE!$O$56:'TE'!$O$101)))))))</f>
        <v>1423653.8729187055</v>
      </c>
      <c r="F9" s="18">
        <f>IF($G$2&lt;&gt;"Não se aplica",SUMIF(TE!$G$56:'TE'!$G$101,$I$2,TE!$P$56:'TE'!$P$101),IF($F$2&lt;&gt;"Não se aplica",SUMIF(TE!$F$56:'TE'!$F$101,$I$2,TE!$P$56:'TE'!$P$101),IF($E$2&lt;&gt;"Não se aplica",SUMIF(TE!$E$56:'TE'!$E$101,$I$2,TE!$P$56:'TE'!$P$101),IF($D$2&lt;&gt;"Não se aplica",SUMIF(TE!$D$56:'TE'!$D$101,$I$2,TE!$P$56:'TE'!$P$101),IF($C$2&lt;&gt;"Não se aplica",SUMIF(TE!$C$56:'TE'!$C$101,$I$2,TE!$P$56:'TE'!$P$101),IF($B$2&lt;&gt;"Não se aplica",SUMIF(TE!$B$56:'TE'!$B$101,$I$2,TE!$P$56:'TE'!$P$101),SUMIF(TE!$A$56:'TE'!$A$101,$I$2,TE!$P$56:'TE'!$P$101)))))))</f>
        <v>82808329.330657914</v>
      </c>
      <c r="G9" s="18">
        <f>IF($G$2&lt;&gt;"Não se aplica",SUMIF(TE!$G$56:'TE'!$G$101,$I$2,TE!$Q$56:'TE'!$Q$101),IF($F$2&lt;&gt;"Não se aplica",SUMIF(TE!$F$56:'TE'!$F$101,$I$2,TE!$Q$56:'TE'!$Q$101),IF($E$2&lt;&gt;"Não se aplica",SUMIF(TE!$E$56:'TE'!$E$101,$I$2,TE!$Q$56:'TE'!$Q$101),IF($D$2&lt;&gt;"Não se aplica",SUMIF(TE!$D$56:'TE'!$D$101,$I$2,TE!$Q$56:'TE'!$Q$101),IF($C$2&lt;&gt;"Não se aplica",SUMIF(TE!$C$56:'TE'!$C$101,$I$2,TE!$Q$56:'TE'!$Q$101),IF($B$2&lt;&gt;"Não se aplica",SUMIF(TE!$B$56:'TE'!$B$101,$I$2,TE!$Q$56:'TE'!$Q$101),SUMIF(TE!$A$56:'TE'!$A$101,$I$2,TE!$Q$56:'TE'!$Q$101)))))))</f>
        <v>0</v>
      </c>
      <c r="H9" s="18">
        <f>IF($G$2&lt;&gt;"Não se aplica",SUMIF(TE!$G$56:'TE'!$G$101,$I$2,TE!$R$56:'TE'!$R$101),IF($F$2&lt;&gt;"Não se aplica",SUMIF(TE!$F$56:'TE'!$F$101,$I$2,TE!$R$56:'TE'!$R$101),IF($E$2&lt;&gt;"Não se aplica",SUMIF(TE!$E$56:'TE'!$E$101,$I$2,TE!$R$56:'TE'!$R$101),IF($D$2&lt;&gt;"Não se aplica",SUMIF(TE!$D$56:'TE'!$D$101,$I$2,TE!$R$56:'TE'!$R$101),IF($C$2&lt;&gt;"Não se aplica",SUMIF(TE!$C$56:'TE'!$C$101,$I$2,TE!$R$56:'TE'!$R$101),IF($B$2&lt;&gt;"Não se aplica",SUMIF(TE!$B$56:'TE'!$B$101,$I$2,TE!$R$56:'TE'!$R$101),SUMIF(TE!$A$56:'TE'!$A$101,$I$2,TE!$R$56:'TE'!$R$101)))))))</f>
        <v>0</v>
      </c>
      <c r="I9" s="18">
        <f>IF($G$2&lt;&gt;"Não se aplica",SUMIF(TE!$G$56:'TE'!$G$101,$I$2,TE!$S$56:'TE'!$S$101),IF($F$2&lt;&gt;"Não se aplica",SUMIF(TE!$F$56:'TE'!$F$101,$I$2,TE!$S$56:'TE'!$S$101),IF($E$2&lt;&gt;"Não se aplica",SUMIF(TE!$E$56:'TE'!$E$101,$I$2,TE!$S$56:'TE'!$S$101),IF($D$2&lt;&gt;"Não se aplica",SUMIF(TE!$D$56:'TE'!$D$101,$I$2,TE!$S$56:'TE'!$S$101),IF($C$2&lt;&gt;"Não se aplica",SUMIF(TE!$C$56:'TE'!$C$101,$I$2,TE!$S$56:'TE'!$S$101),IF($B$2&lt;&gt;"Não se aplica",SUMIF(TE!$B$56:'TE'!$B$101,$I$2,TE!$S$56:'TE'!$S$101),SUMIF(TE!$A$56:'TE'!$A$101,$I$2,TE!$S$56:'TE'!$S$101)))))))</f>
        <v>1.4559731252201756E-7</v>
      </c>
      <c r="J9" s="18">
        <f>IF($G$2&lt;&gt;"Não se aplica",SUMIF(TE!$G$56:'TE'!$G$101,$I$2,TE!$T$56:'TE'!$T$101),IF($F$2&lt;&gt;"Não se aplica",SUMIF(TE!$F$56:'TE'!$F$101,$I$2,TE!$T$56:'TE'!$T$101),IF($E$2&lt;&gt;"Não se aplica",SUMIF(TE!$E$56:'TE'!$E$101,$I$2,TE!$T$56:'TE'!$T$101),IF($D$2&lt;&gt;"Não se aplica",SUMIF(TE!$D$56:'TE'!$D$101,$I$2,TE!$T$56:'TE'!$T$101),IF($C$2&lt;&gt;"Não se aplica",SUMIF(TE!$C$56:'TE'!$C$101,$I$2,TE!$T$56:'TE'!$T$101),IF($B$2&lt;&gt;"Não se aplica",SUMIF(TE!$B$56:'TE'!$B$101,$I$2,TE!$T$56:'TE'!$T$101),SUMIF(TE!$A$56:'TE'!$A$101,$I$2,TE!$T$56:'TE'!$T$101)))))))</f>
        <v>-2103012.4835774708</v>
      </c>
      <c r="K9" s="18">
        <f>IF($G$2&lt;&gt;"Não se aplica",SUMIF(TE!$G$56:'TE'!$G$101,$I$2,TE!$U$56:'TE'!$U$101),IF($F$2&lt;&gt;"Não se aplica",SUMIF(TE!$F$56:'TE'!$F$101,$I$2,TE!$U$56:'TE'!$U$101),IF($E$2&lt;&gt;"Não se aplica",SUMIF(TE!$E$56:'TE'!$E$101,$I$2,TE!$U$56:'TE'!$U$101),IF($D$2&lt;&gt;"Não se aplica",SUMIF(TE!$D$56:'TE'!$D$101,$I$2,TE!$U$56:'TE'!$U$101),IF($C$2&lt;&gt;"Não se aplica",SUMIF(TE!$C$56:'TE'!$C$101,$I$2,TE!$U$56:'TE'!$U$101),IF($B$2&lt;&gt;"Não se aplica",SUMIF(TE!$B$56:'TE'!$B$101,$I$2,TE!$U$56:'TE'!$U$101),SUMIF(TE!$A$56:'TE'!$A$101,$I$2,TE!$U$56:'TE'!$U$101)))))))</f>
        <v>2141933.3836402204</v>
      </c>
      <c r="L9" s="18">
        <f t="shared" si="0"/>
        <v>93363848.96664992</v>
      </c>
      <c r="AD9" s="14" t="s">
        <v>49</v>
      </c>
    </row>
    <row r="10" spans="1:33" x14ac:dyDescent="0.2">
      <c r="A10" s="14" t="s">
        <v>1526</v>
      </c>
      <c r="B10" s="18">
        <f>SUMIF(TE!$A$56:'TE'!$A$101,$A$2,TE!$W$56:'TE'!$W$101)</f>
        <v>826050.69385954493</v>
      </c>
      <c r="C10" s="18">
        <f>SUMIF(TE!$A$56:'TE'!$A$101,$A$2,TE!$X$56:'TE'!$X$101)</f>
        <v>5306777.9656366426</v>
      </c>
      <c r="D10" s="18">
        <f>SUMIF(TE!$A$56:'TE'!$A$101,$A$2,TE!$Y$56:'TE'!$Y$101)</f>
        <v>0</v>
      </c>
      <c r="E10" s="18">
        <f>SUMIF(TE!$A$56:'TE'!$A$101,$A$2,TE!$Z$56:'TE'!$Z$101)</f>
        <v>0</v>
      </c>
      <c r="F10" s="18">
        <f>SUMIF(TE!$A$56:'TE'!$A$101,$A$2,TE!$AA$56:'TE'!$AA$101)</f>
        <v>77784469.421519697</v>
      </c>
      <c r="G10" s="18">
        <f>SUMIF(TE!$A$56:'TE'!$A$101,$A$2,TE!$AB$56:'TE'!$AB$101)</f>
        <v>0</v>
      </c>
      <c r="H10" s="18">
        <f>SUMIF(TE!$A$56:'TE'!$A$101,$A$2,TE!$AC$56:'TE'!$AC$101)</f>
        <v>0</v>
      </c>
      <c r="I10" s="18">
        <f>SUMIF(TE!$A$56:'TE'!$A$101,$A$2,TE!$AD$56:'TE'!$AD$101)</f>
        <v>1.4080363055737513E-7</v>
      </c>
      <c r="J10" s="18">
        <f>SUMIF(TE!$A$56:'TE'!$A$101,$A$2,TE!$AE$56:'TE'!$AE$101)</f>
        <v>-13368.9202254847</v>
      </c>
      <c r="K10" s="18">
        <f>SUMIF(TE!$A$56:'TE'!$A$101,$A$2,TE!$AF$56:'TE'!$AF$101)</f>
        <v>1859452.2629076033</v>
      </c>
      <c r="L10" s="18">
        <f t="shared" si="0"/>
        <v>85763381.423698142</v>
      </c>
      <c r="AD10" s="14" t="s">
        <v>112</v>
      </c>
    </row>
    <row r="11" spans="1:33" x14ac:dyDescent="0.2">
      <c r="A11" s="14" t="s">
        <v>1527</v>
      </c>
      <c r="B11" s="18">
        <f>SUMIF(TE!$A$56:'TE'!$A$101,$A$2,TE!$L$56:'TE'!$L$101)</f>
        <v>986684.72440031148</v>
      </c>
      <c r="C11" s="18">
        <f>SUMIF(TE!$A$56:'TE'!$A$101,$A$2,TE!$M$56:'TE'!$M$101)</f>
        <v>8106260.1386100985</v>
      </c>
      <c r="D11" s="18">
        <f>SUMIF(TE!$A$56:'TE'!$A$101,$A$2,TE!$N$56:'TE'!$N$101)</f>
        <v>0</v>
      </c>
      <c r="E11" s="18">
        <f>SUMIF(TE!$A$56:'TE'!$A$101,$A$2,TE!$O$56:'TE'!$O$101)</f>
        <v>1423653.8729187055</v>
      </c>
      <c r="F11" s="18">
        <f>SUMIF(TE!$A$56:'TE'!$A$101,$A$2,TE!$P$56:'TE'!$P$101)</f>
        <v>82808329.330657914</v>
      </c>
      <c r="G11" s="18">
        <f>SUMIF(TE!$A$56:'TE'!$A$101,$A$2,TE!$Q$56:'TE'!$Q$101)</f>
        <v>0</v>
      </c>
      <c r="H11" s="18">
        <f>SUMIF(TE!$A$56:'TE'!$A$101,$A$2,TE!$R$56:'TE'!$R$101)</f>
        <v>0</v>
      </c>
      <c r="I11" s="18">
        <f>SUMIF(TE!$A$56:'TE'!$A$101,$A$2,TE!$S$56:'TE'!$S$101)</f>
        <v>1.4559731252201756E-7</v>
      </c>
      <c r="J11" s="18">
        <f>SUMIF(TE!$A$56:'TE'!$A$101,$A$2,TE!$T$56:'TE'!$T$101)</f>
        <v>-2103012.4835774708</v>
      </c>
      <c r="K11" s="18">
        <f>SUMIF(TE!$A$56:'TE'!$A$101,$A$2,TE!$U$56:'TE'!$U$101)</f>
        <v>2141933.3836402204</v>
      </c>
      <c r="L11" s="18">
        <f t="shared" si="0"/>
        <v>93363848.96664992</v>
      </c>
    </row>
    <row r="13" spans="1:33" x14ac:dyDescent="0.2">
      <c r="A13" s="14" t="s">
        <v>1531</v>
      </c>
      <c r="B13" s="29">
        <f t="shared" ref="B13:L13" si="1">IF($L$6&lt;&gt;0,(B$7-B$6)/$L$6,0)</f>
        <v>1.865693820119076E-3</v>
      </c>
      <c r="C13" s="29">
        <f t="shared" si="1"/>
        <v>3.2359001942515488E-2</v>
      </c>
      <c r="D13" s="29">
        <f t="shared" si="1"/>
        <v>0</v>
      </c>
      <c r="E13" s="29">
        <f t="shared" si="1"/>
        <v>1.6409661794440842E-2</v>
      </c>
      <c r="F13" s="29">
        <f t="shared" si="1"/>
        <v>6.0688062063330599E-2</v>
      </c>
      <c r="G13" s="29">
        <f t="shared" si="1"/>
        <v>0</v>
      </c>
      <c r="H13" s="29">
        <f t="shared" si="1"/>
        <v>0</v>
      </c>
      <c r="I13" s="29">
        <f t="shared" si="1"/>
        <v>5.7666902232981639E-17</v>
      </c>
      <c r="J13" s="29">
        <f t="shared" si="1"/>
        <v>-8.9444248045741692E-2</v>
      </c>
      <c r="K13" s="29">
        <f t="shared" si="1"/>
        <v>3.2878654422407922E-3</v>
      </c>
      <c r="L13" s="29">
        <f t="shared" si="1"/>
        <v>2.5166037016905275E-2</v>
      </c>
    </row>
    <row r="14" spans="1:33" x14ac:dyDescent="0.2">
      <c r="A14" s="14" t="s">
        <v>1532</v>
      </c>
      <c r="B14" s="29">
        <f t="shared" ref="B14:L14" si="2">IF($L$10&lt;&gt;0,(B$9-B$8)/$L$10,0)</f>
        <v>1.8729908717939163E-3</v>
      </c>
      <c r="C14" s="29">
        <f t="shared" si="2"/>
        <v>3.2641928600542595E-2</v>
      </c>
      <c r="D14" s="29">
        <f t="shared" si="2"/>
        <v>0</v>
      </c>
      <c r="E14" s="29">
        <f t="shared" si="2"/>
        <v>1.6599787103605518E-2</v>
      </c>
      <c r="F14" s="29">
        <f t="shared" si="2"/>
        <v>5.8578146357345283E-2</v>
      </c>
      <c r="G14" s="29">
        <f t="shared" si="2"/>
        <v>0</v>
      </c>
      <c r="H14" s="29">
        <f t="shared" si="2"/>
        <v>0</v>
      </c>
      <c r="I14" s="29">
        <f t="shared" si="2"/>
        <v>5.589427428193543E-17</v>
      </c>
      <c r="J14" s="29">
        <f t="shared" si="2"/>
        <v>-2.4365218915850438E-2</v>
      </c>
      <c r="K14" s="29">
        <f t="shared" si="2"/>
        <v>3.2937264837666707E-3</v>
      </c>
      <c r="L14" s="29">
        <f t="shared" si="2"/>
        <v>8.8621360501203561E-2</v>
      </c>
    </row>
    <row r="15" spans="1:33" x14ac:dyDescent="0.2">
      <c r="A15" s="14" t="s">
        <v>1533</v>
      </c>
      <c r="B15" s="29">
        <f t="shared" ref="B15:L15" si="3">IF($L$8&lt;&gt;0,(B$9-B$8)/$L$8,0)</f>
        <v>1.8729908717939163E-3</v>
      </c>
      <c r="C15" s="29">
        <f t="shared" si="3"/>
        <v>3.2641928600542595E-2</v>
      </c>
      <c r="D15" s="29">
        <f t="shared" si="3"/>
        <v>0</v>
      </c>
      <c r="E15" s="29">
        <f t="shared" si="3"/>
        <v>1.6599787103605518E-2</v>
      </c>
      <c r="F15" s="29">
        <f t="shared" si="3"/>
        <v>5.8578146357345283E-2</v>
      </c>
      <c r="G15" s="29">
        <f t="shared" si="3"/>
        <v>0</v>
      </c>
      <c r="H15" s="29">
        <f t="shared" si="3"/>
        <v>0</v>
      </c>
      <c r="I15" s="29">
        <f t="shared" si="3"/>
        <v>5.589427428193543E-17</v>
      </c>
      <c r="J15" s="29">
        <f t="shared" si="3"/>
        <v>-2.4365218915850438E-2</v>
      </c>
      <c r="K15" s="29">
        <f t="shared" si="3"/>
        <v>3.2937264837666707E-3</v>
      </c>
      <c r="L15" s="29">
        <f t="shared" si="3"/>
        <v>8.8621360501203561E-2</v>
      </c>
    </row>
  </sheetData>
  <dataValidations count="6">
    <dataValidation type="list" allowBlank="1" showInputMessage="1" showErrorMessage="1" sqref="A2 B2" xr:uid="{BEA31FE4-59B0-4508-BD74-58A3E99831AE}">
      <formula1>AA1:AA6</formula1>
    </dataValidation>
    <dataValidation type="list" allowBlank="1" showInputMessage="1" showErrorMessage="1" sqref="C2" xr:uid="{13A8CDE8-DA76-4B6B-AEA1-307602D16788}">
      <formula1>AC1:AC4</formula1>
    </dataValidation>
    <dataValidation type="list" allowBlank="1" showInputMessage="1" showErrorMessage="1" sqref="D2" xr:uid="{C8F80F48-55AD-4089-AF28-EFF0DADC5C32}">
      <formula1>AD1:AD10</formula1>
    </dataValidation>
    <dataValidation type="list" allowBlank="1" showInputMessage="1" showErrorMessage="1" sqref="E2" xr:uid="{EB2F5B08-A789-4251-AF8C-C52EDFC6A29E}">
      <formula1>AE1:AE2</formula1>
    </dataValidation>
    <dataValidation type="list" allowBlank="1" showInputMessage="1" showErrorMessage="1" sqref="F2" xr:uid="{A4432A19-B69D-4CF6-B5EB-886AD444EBDE}">
      <formula1>AF1:AF1</formula1>
    </dataValidation>
    <dataValidation type="list" allowBlank="1" showInputMessage="1" showErrorMessage="1" sqref="G2" xr:uid="{D0A916AB-CD68-493C-BBF8-A0C99FB4EF29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70C0-9C29-44F4-B686-F3AA021D3B3C}">
  <dimension ref="A1:AV1866"/>
  <sheetViews>
    <sheetView topLeftCell="AF1" workbookViewId="0">
      <selection activeCell="AU13" sqref="AU13"/>
    </sheetView>
  </sheetViews>
  <sheetFormatPr defaultRowHeight="11.25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15.57031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6" width="13.140625" style="3" bestFit="1" customWidth="1"/>
    <col min="47" max="47" width="13.570312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986</v>
      </c>
      <c r="W1" s="1" t="s">
        <v>987</v>
      </c>
      <c r="X1" s="1" t="s">
        <v>988</v>
      </c>
      <c r="Y1" s="1" t="s">
        <v>989</v>
      </c>
      <c r="Z1" s="1" t="s">
        <v>990</v>
      </c>
      <c r="AA1" s="1" t="s">
        <v>991</v>
      </c>
      <c r="AB1" s="1" t="s">
        <v>992</v>
      </c>
      <c r="AC1" s="1" t="s">
        <v>993</v>
      </c>
      <c r="AD1" s="1" t="s">
        <v>994</v>
      </c>
      <c r="AE1" s="1" t="s">
        <v>995</v>
      </c>
      <c r="AF1" s="1" t="s">
        <v>996</v>
      </c>
      <c r="AG1" s="1" t="s">
        <v>997</v>
      </c>
      <c r="AI1" s="50" t="s">
        <v>83</v>
      </c>
      <c r="AJ1" s="50" t="s">
        <v>998</v>
      </c>
      <c r="AK1" s="50" t="s">
        <v>999</v>
      </c>
      <c r="AL1" s="50" t="s">
        <v>1000</v>
      </c>
      <c r="AN1" s="50" t="s">
        <v>83</v>
      </c>
      <c r="AO1" s="50" t="s">
        <v>1001</v>
      </c>
      <c r="AP1" s="50" t="s">
        <v>1002</v>
      </c>
      <c r="AQ1" s="50" t="s">
        <v>1000</v>
      </c>
      <c r="AS1" s="50" t="s">
        <v>83</v>
      </c>
      <c r="AT1" s="50" t="s">
        <v>1003</v>
      </c>
      <c r="AU1" s="50" t="s">
        <v>1004</v>
      </c>
      <c r="AV1" s="50" t="s">
        <v>1000</v>
      </c>
    </row>
    <row r="2" spans="1:48" ht="11.25" customHeight="1" x14ac:dyDescent="0.25">
      <c r="A2" s="3" t="s">
        <v>27</v>
      </c>
      <c r="B2" s="3" t="s">
        <v>39</v>
      </c>
      <c r="C2" s="3" t="s">
        <v>40</v>
      </c>
      <c r="D2" s="3" t="s">
        <v>38</v>
      </c>
      <c r="E2" s="3" t="s">
        <v>25</v>
      </c>
      <c r="F2" s="3" t="s">
        <v>58</v>
      </c>
      <c r="G2" s="3" t="s">
        <v>25</v>
      </c>
      <c r="H2" s="3" t="s">
        <v>25</v>
      </c>
      <c r="I2" s="6">
        <v>44287</v>
      </c>
      <c r="J2" s="4">
        <v>0</v>
      </c>
      <c r="K2" s="4">
        <v>0</v>
      </c>
      <c r="L2" s="4">
        <v>8611.0249999999996</v>
      </c>
      <c r="M2" s="4">
        <v>8611.0249999999996</v>
      </c>
      <c r="N2" s="4">
        <v>0</v>
      </c>
      <c r="O2" s="4">
        <v>0</v>
      </c>
      <c r="P2" s="4">
        <v>0</v>
      </c>
      <c r="Q2" s="3" t="s">
        <v>59</v>
      </c>
      <c r="R2" s="3">
        <v>0</v>
      </c>
      <c r="S2" s="4">
        <v>0</v>
      </c>
      <c r="T2" s="4">
        <v>1</v>
      </c>
      <c r="U2" s="4">
        <v>0</v>
      </c>
      <c r="V2" s="4">
        <v>0</v>
      </c>
      <c r="W2" s="4">
        <v>6.53</v>
      </c>
      <c r="X2" s="4">
        <v>0</v>
      </c>
      <c r="Y2" s="4"/>
      <c r="Z2" s="4">
        <v>6.9064821100261753</v>
      </c>
      <c r="AA2" s="4"/>
      <c r="AB2" s="4">
        <v>0</v>
      </c>
      <c r="AC2" s="4">
        <v>56229.99325</v>
      </c>
      <c r="AD2" s="4">
        <v>0</v>
      </c>
      <c r="AE2" s="4">
        <v>0</v>
      </c>
      <c r="AF2" s="4">
        <v>59471.890111488145</v>
      </c>
      <c r="AG2" s="4">
        <v>0</v>
      </c>
      <c r="AI2" s="51" t="s">
        <v>39</v>
      </c>
      <c r="AJ2" s="52">
        <f t="shared" ref="AJ2:AJ7" si="0">SUMIF($B$2:$B$1866,AI2,$AB$2:$AB$1866)+SUMIF($B$2:$B$1866,AI2,$AC$2:$AC$1866)</f>
        <v>34879766.31803225</v>
      </c>
      <c r="AK2" s="52">
        <f t="shared" ref="AK2:AK7" si="1">SUMIF($B$2:$B$1866,AI2,$AE$2:$AE$1866)+SUMIF($B$2:$B$1866,AI2,$AF$2:$AF$1866)</f>
        <v>40795360.869472846</v>
      </c>
      <c r="AL2" s="53">
        <f t="shared" ref="AL2:AL10" si="2">IF(AJ2&lt;&gt;0,AK2/AJ2-1,0)</f>
        <v>0.16959960389362849</v>
      </c>
      <c r="AN2" s="51" t="s">
        <v>39</v>
      </c>
      <c r="AO2" s="52">
        <f t="shared" ref="AO2:AO7" si="3">SUMIF($B$2:$B$1866,AN2,$AD$2:$AD$1866)</f>
        <v>84820715.923514009</v>
      </c>
      <c r="AP2" s="52">
        <f t="shared" ref="AP2:AP7" si="4">SUMIF($B$2:$B$1866,AN2,$AG$2:$AG$1866)</f>
        <v>92834104.689864025</v>
      </c>
      <c r="AQ2" s="53">
        <f t="shared" ref="AQ2:AQ10" si="5">IF(AO2&lt;&gt;0,AP2/AO2-1,0)</f>
        <v>9.4474429732189336E-2</v>
      </c>
      <c r="AS2" s="51" t="s">
        <v>39</v>
      </c>
      <c r="AT2" s="52">
        <f t="shared" ref="AT2:AT7" si="6">SUMIF($B$2:$B$1866,AS2,$AB$2:$AB$1866)+SUMIF($B$2:$B$1866,AS2,$AC$2:$AC$1866)+SUMIF($B$2:$B$1866,AS2,$AD$2:$AD$1866)</f>
        <v>119700482.24154626</v>
      </c>
      <c r="AU2" s="52">
        <f t="shared" ref="AU2:AU7" si="7">SUMIF($B$2:$B$1866,AS2,$AE$2:$AE$1866)+SUMIF($B$2:$B$1866,AS2,$AF$2:$AF$1866)+SUMIF($B$2:$B$1866,AS2,$AG$2:$AG$1866)</f>
        <v>133629465.55933687</v>
      </c>
      <c r="AV2" s="53">
        <f t="shared" ref="AV2:AV10" si="8">IF(AT2&lt;&gt;0,AU2/AT2-1,0)</f>
        <v>0.11636530661324329</v>
      </c>
    </row>
    <row r="3" spans="1:48" ht="11.25" customHeight="1" x14ac:dyDescent="0.25">
      <c r="A3" s="3" t="s">
        <v>27</v>
      </c>
      <c r="B3" s="3" t="s">
        <v>39</v>
      </c>
      <c r="C3" s="3" t="s">
        <v>40</v>
      </c>
      <c r="D3" s="3" t="s">
        <v>38</v>
      </c>
      <c r="E3" s="3" t="s">
        <v>25</v>
      </c>
      <c r="F3" s="3" t="s">
        <v>58</v>
      </c>
      <c r="G3" s="3" t="s">
        <v>25</v>
      </c>
      <c r="H3" s="3" t="s">
        <v>25</v>
      </c>
      <c r="I3" s="6">
        <v>44317</v>
      </c>
      <c r="J3" s="4">
        <v>0</v>
      </c>
      <c r="K3" s="4">
        <v>0</v>
      </c>
      <c r="L3" s="4">
        <v>9286.5879999999997</v>
      </c>
      <c r="M3" s="4">
        <v>9286.5879999999997</v>
      </c>
      <c r="N3" s="4">
        <v>0</v>
      </c>
      <c r="O3" s="4">
        <v>0</v>
      </c>
      <c r="P3" s="4">
        <v>0</v>
      </c>
      <c r="Q3" s="3" t="s">
        <v>59</v>
      </c>
      <c r="R3" s="3">
        <v>0</v>
      </c>
      <c r="S3" s="4">
        <v>0</v>
      </c>
      <c r="T3" s="4">
        <v>1</v>
      </c>
      <c r="U3" s="4">
        <v>0</v>
      </c>
      <c r="V3" s="4">
        <v>0</v>
      </c>
      <c r="W3" s="4">
        <v>6.53</v>
      </c>
      <c r="X3" s="4">
        <v>0</v>
      </c>
      <c r="Y3" s="4"/>
      <c r="Z3" s="4">
        <v>6.9064821100261753</v>
      </c>
      <c r="AA3" s="4"/>
      <c r="AB3" s="4">
        <v>0</v>
      </c>
      <c r="AC3" s="4">
        <v>60641.41964</v>
      </c>
      <c r="AD3" s="4">
        <v>0</v>
      </c>
      <c r="AE3" s="4">
        <v>0</v>
      </c>
      <c r="AF3" s="4">
        <v>64137.653885183754</v>
      </c>
      <c r="AG3" s="4">
        <v>0</v>
      </c>
      <c r="AI3" s="51" t="s">
        <v>41</v>
      </c>
      <c r="AJ3" s="52">
        <f t="shared" si="0"/>
        <v>167759150.94274139</v>
      </c>
      <c r="AK3" s="52">
        <f t="shared" si="1"/>
        <v>205144645.46331295</v>
      </c>
      <c r="AL3" s="53">
        <f t="shared" si="2"/>
        <v>0.22285219202934425</v>
      </c>
      <c r="AN3" s="51" t="s">
        <v>41</v>
      </c>
      <c r="AO3" s="52">
        <f t="shared" si="3"/>
        <v>109159185.6551187</v>
      </c>
      <c r="AP3" s="52">
        <f t="shared" si="4"/>
        <v>116378991.25313553</v>
      </c>
      <c r="AQ3" s="53">
        <f t="shared" si="5"/>
        <v>6.6140156274409501E-2</v>
      </c>
      <c r="AS3" s="51" t="s">
        <v>41</v>
      </c>
      <c r="AT3" s="52">
        <f t="shared" si="6"/>
        <v>276918336.5978601</v>
      </c>
      <c r="AU3" s="52">
        <f t="shared" si="7"/>
        <v>321523636.71644849</v>
      </c>
      <c r="AV3" s="53">
        <f t="shared" si="8"/>
        <v>0.16107745217090508</v>
      </c>
    </row>
    <row r="4" spans="1:48" ht="11.25" customHeight="1" x14ac:dyDescent="0.25">
      <c r="A4" s="3" t="s">
        <v>27</v>
      </c>
      <c r="B4" s="3" t="s">
        <v>39</v>
      </c>
      <c r="C4" s="3" t="s">
        <v>40</v>
      </c>
      <c r="D4" s="3" t="s">
        <v>38</v>
      </c>
      <c r="E4" s="3" t="s">
        <v>25</v>
      </c>
      <c r="F4" s="3" t="s">
        <v>58</v>
      </c>
      <c r="G4" s="3" t="s">
        <v>25</v>
      </c>
      <c r="H4" s="3" t="s">
        <v>25</v>
      </c>
      <c r="I4" s="6">
        <v>44348</v>
      </c>
      <c r="J4" s="4">
        <v>0</v>
      </c>
      <c r="K4" s="4">
        <v>0</v>
      </c>
      <c r="L4" s="4">
        <v>8567.4310000000005</v>
      </c>
      <c r="M4" s="4">
        <v>8567.4310000000005</v>
      </c>
      <c r="N4" s="4">
        <v>0</v>
      </c>
      <c r="O4" s="4">
        <v>0</v>
      </c>
      <c r="P4" s="4">
        <v>0</v>
      </c>
      <c r="Q4" s="3" t="s">
        <v>59</v>
      </c>
      <c r="R4" s="3">
        <v>0</v>
      </c>
      <c r="S4" s="4">
        <v>0</v>
      </c>
      <c r="T4" s="4">
        <v>1</v>
      </c>
      <c r="U4" s="4">
        <v>0</v>
      </c>
      <c r="V4" s="4">
        <v>0</v>
      </c>
      <c r="W4" s="4">
        <v>6.53</v>
      </c>
      <c r="X4" s="4">
        <v>0</v>
      </c>
      <c r="Y4" s="4"/>
      <c r="Z4" s="4">
        <v>6.9064821100261753</v>
      </c>
      <c r="AA4" s="4"/>
      <c r="AB4" s="4">
        <v>0</v>
      </c>
      <c r="AC4" s="4">
        <v>55945.324430000008</v>
      </c>
      <c r="AD4" s="4">
        <v>0</v>
      </c>
      <c r="AE4" s="4">
        <v>0</v>
      </c>
      <c r="AF4" s="4">
        <v>59170.808930383668</v>
      </c>
      <c r="AG4" s="4">
        <v>0</v>
      </c>
      <c r="AI4" s="51" t="s">
        <v>22</v>
      </c>
      <c r="AJ4" s="52">
        <f t="shared" si="0"/>
        <v>367748909.31855983</v>
      </c>
      <c r="AK4" s="52">
        <f t="shared" si="1"/>
        <v>455635772.30954307</v>
      </c>
      <c r="AL4" s="53">
        <f t="shared" si="2"/>
        <v>0.23898606022744695</v>
      </c>
      <c r="AN4" s="51" t="s">
        <v>22</v>
      </c>
      <c r="AO4" s="52">
        <f t="shared" si="3"/>
        <v>253492832.40086997</v>
      </c>
      <c r="AP4" s="52">
        <f t="shared" si="4"/>
        <v>267832084.85108599</v>
      </c>
      <c r="AQ4" s="53">
        <f t="shared" si="5"/>
        <v>5.6566697821026191E-2</v>
      </c>
      <c r="AS4" s="51" t="s">
        <v>22</v>
      </c>
      <c r="AT4" s="52">
        <f t="shared" si="6"/>
        <v>621241741.71942973</v>
      </c>
      <c r="AU4" s="52">
        <f t="shared" si="7"/>
        <v>723467857.16062903</v>
      </c>
      <c r="AV4" s="53">
        <f t="shared" si="8"/>
        <v>0.16455126656213559</v>
      </c>
    </row>
    <row r="5" spans="1:48" ht="11.25" customHeight="1" x14ac:dyDescent="0.25">
      <c r="A5" s="3" t="s">
        <v>27</v>
      </c>
      <c r="B5" s="3" t="s">
        <v>39</v>
      </c>
      <c r="C5" s="3" t="s">
        <v>40</v>
      </c>
      <c r="D5" s="3" t="s">
        <v>38</v>
      </c>
      <c r="E5" s="3" t="s">
        <v>25</v>
      </c>
      <c r="F5" s="3" t="s">
        <v>58</v>
      </c>
      <c r="G5" s="3" t="s">
        <v>25</v>
      </c>
      <c r="H5" s="3" t="s">
        <v>25</v>
      </c>
      <c r="I5" s="6">
        <v>44378</v>
      </c>
      <c r="J5" s="4">
        <v>0</v>
      </c>
      <c r="K5" s="4">
        <v>0</v>
      </c>
      <c r="L5" s="4">
        <v>8502.1830000000009</v>
      </c>
      <c r="M5" s="4">
        <v>8502.1830000000009</v>
      </c>
      <c r="N5" s="4">
        <v>0</v>
      </c>
      <c r="O5" s="4">
        <v>0</v>
      </c>
      <c r="P5" s="4">
        <v>0</v>
      </c>
      <c r="Q5" s="3" t="s">
        <v>59</v>
      </c>
      <c r="R5" s="3">
        <v>0</v>
      </c>
      <c r="S5" s="4">
        <v>0</v>
      </c>
      <c r="T5" s="4">
        <v>1</v>
      </c>
      <c r="U5" s="4">
        <v>0</v>
      </c>
      <c r="V5" s="4">
        <v>0</v>
      </c>
      <c r="W5" s="4">
        <v>6.53</v>
      </c>
      <c r="X5" s="4">
        <v>0</v>
      </c>
      <c r="Y5" s="4"/>
      <c r="Z5" s="4">
        <v>6.9064821100261753</v>
      </c>
      <c r="AA5" s="4"/>
      <c r="AB5" s="4">
        <v>0</v>
      </c>
      <c r="AC5" s="4">
        <v>55519.254990000009</v>
      </c>
      <c r="AD5" s="4">
        <v>0</v>
      </c>
      <c r="AE5" s="4">
        <v>0</v>
      </c>
      <c r="AF5" s="4">
        <v>58720.174785668685</v>
      </c>
      <c r="AG5" s="4">
        <v>0</v>
      </c>
      <c r="AI5" s="51" t="s">
        <v>44</v>
      </c>
      <c r="AJ5" s="52">
        <f t="shared" si="0"/>
        <v>17844995.865965005</v>
      </c>
      <c r="AK5" s="52">
        <f t="shared" si="1"/>
        <v>23703632.63815153</v>
      </c>
      <c r="AL5" s="53">
        <f t="shared" si="2"/>
        <v>0.32830698399658642</v>
      </c>
      <c r="AN5" s="51" t="s">
        <v>44</v>
      </c>
      <c r="AO5" s="52">
        <f t="shared" si="3"/>
        <v>12079879.382932998</v>
      </c>
      <c r="AP5" s="52">
        <f t="shared" si="4"/>
        <v>13633500.485892415</v>
      </c>
      <c r="AQ5" s="53">
        <f t="shared" si="5"/>
        <v>0.1286123026322965</v>
      </c>
      <c r="AS5" s="51" t="s">
        <v>44</v>
      </c>
      <c r="AT5" s="52">
        <f t="shared" si="6"/>
        <v>29924875.248898003</v>
      </c>
      <c r="AU5" s="52">
        <f t="shared" si="7"/>
        <v>37337133.124043941</v>
      </c>
      <c r="AV5" s="53">
        <f t="shared" si="8"/>
        <v>0.24769553134290501</v>
      </c>
    </row>
    <row r="6" spans="1:48" ht="11.25" customHeight="1" x14ac:dyDescent="0.25">
      <c r="A6" s="3" t="s">
        <v>27</v>
      </c>
      <c r="B6" s="3" t="s">
        <v>39</v>
      </c>
      <c r="C6" s="3" t="s">
        <v>40</v>
      </c>
      <c r="D6" s="3" t="s">
        <v>38</v>
      </c>
      <c r="E6" s="3" t="s">
        <v>25</v>
      </c>
      <c r="F6" s="3" t="s">
        <v>58</v>
      </c>
      <c r="G6" s="3" t="s">
        <v>25</v>
      </c>
      <c r="H6" s="3" t="s">
        <v>25</v>
      </c>
      <c r="I6" s="6">
        <v>44409</v>
      </c>
      <c r="J6" s="4">
        <v>0</v>
      </c>
      <c r="K6" s="4">
        <v>0</v>
      </c>
      <c r="L6" s="4">
        <v>8514.0499999999993</v>
      </c>
      <c r="M6" s="4">
        <v>8514.0499999999993</v>
      </c>
      <c r="N6" s="4">
        <v>0</v>
      </c>
      <c r="O6" s="4">
        <v>0</v>
      </c>
      <c r="P6" s="4">
        <v>0</v>
      </c>
      <c r="Q6" s="3" t="s">
        <v>59</v>
      </c>
      <c r="R6" s="3">
        <v>0</v>
      </c>
      <c r="S6" s="4">
        <v>0</v>
      </c>
      <c r="T6" s="4">
        <v>1</v>
      </c>
      <c r="U6" s="4">
        <v>0</v>
      </c>
      <c r="V6" s="4">
        <v>0</v>
      </c>
      <c r="W6" s="4">
        <v>6.53</v>
      </c>
      <c r="X6" s="4">
        <v>0</v>
      </c>
      <c r="Y6" s="4"/>
      <c r="Z6" s="4">
        <v>6.9064821100261753</v>
      </c>
      <c r="AA6" s="4"/>
      <c r="AB6" s="4">
        <v>0</v>
      </c>
      <c r="AC6" s="4">
        <v>55596.746499999994</v>
      </c>
      <c r="AD6" s="4">
        <v>0</v>
      </c>
      <c r="AE6" s="4">
        <v>0</v>
      </c>
      <c r="AF6" s="4">
        <v>58802.13400886835</v>
      </c>
      <c r="AG6" s="4">
        <v>0</v>
      </c>
      <c r="AI6" s="51" t="s">
        <v>37</v>
      </c>
      <c r="AJ6" s="52">
        <f t="shared" si="0"/>
        <v>121962312.146144</v>
      </c>
      <c r="AK6" s="52">
        <f t="shared" si="1"/>
        <v>151992160.0024842</v>
      </c>
      <c r="AL6" s="53">
        <f t="shared" si="2"/>
        <v>0.24622235613536314</v>
      </c>
      <c r="AN6" s="51" t="s">
        <v>37</v>
      </c>
      <c r="AO6" s="52">
        <f t="shared" si="3"/>
        <v>82551481.244398743</v>
      </c>
      <c r="AP6" s="52">
        <f t="shared" si="4"/>
        <v>87412279.693037942</v>
      </c>
      <c r="AQ6" s="53">
        <f t="shared" si="5"/>
        <v>5.8882025802159843E-2</v>
      </c>
      <c r="AS6" s="51" t="s">
        <v>37</v>
      </c>
      <c r="AT6" s="52">
        <f t="shared" si="6"/>
        <v>204513793.39054275</v>
      </c>
      <c r="AU6" s="52">
        <f t="shared" si="7"/>
        <v>239404439.69552213</v>
      </c>
      <c r="AV6" s="53">
        <f t="shared" si="8"/>
        <v>0.1706029003058569</v>
      </c>
    </row>
    <row r="7" spans="1:48" ht="11.25" customHeight="1" x14ac:dyDescent="0.25">
      <c r="A7" s="3" t="s">
        <v>27</v>
      </c>
      <c r="B7" s="3" t="s">
        <v>39</v>
      </c>
      <c r="C7" s="3" t="s">
        <v>40</v>
      </c>
      <c r="D7" s="3" t="s">
        <v>38</v>
      </c>
      <c r="E7" s="3" t="s">
        <v>25</v>
      </c>
      <c r="F7" s="3" t="s">
        <v>58</v>
      </c>
      <c r="G7" s="3" t="s">
        <v>25</v>
      </c>
      <c r="H7" s="3" t="s">
        <v>25</v>
      </c>
      <c r="I7" s="6">
        <v>44440</v>
      </c>
      <c r="J7" s="4">
        <v>0</v>
      </c>
      <c r="K7" s="4">
        <v>0</v>
      </c>
      <c r="L7" s="4">
        <v>8410.0169999999998</v>
      </c>
      <c r="M7" s="4">
        <v>8410.0169999999998</v>
      </c>
      <c r="N7" s="4">
        <v>0</v>
      </c>
      <c r="O7" s="4">
        <v>0</v>
      </c>
      <c r="P7" s="4">
        <v>0</v>
      </c>
      <c r="Q7" s="3" t="s">
        <v>59</v>
      </c>
      <c r="R7" s="3">
        <v>0</v>
      </c>
      <c r="S7" s="4">
        <v>0</v>
      </c>
      <c r="T7" s="4">
        <v>1</v>
      </c>
      <c r="U7" s="4">
        <v>0</v>
      </c>
      <c r="V7" s="4">
        <v>0</v>
      </c>
      <c r="W7" s="4">
        <v>6.53</v>
      </c>
      <c r="X7" s="4">
        <v>0</v>
      </c>
      <c r="Y7" s="4"/>
      <c r="Z7" s="4">
        <v>6.9064821100261753</v>
      </c>
      <c r="AA7" s="4"/>
      <c r="AB7" s="4">
        <v>0</v>
      </c>
      <c r="AC7" s="4">
        <v>54917.411010000003</v>
      </c>
      <c r="AD7" s="4">
        <v>0</v>
      </c>
      <c r="AE7" s="4">
        <v>0</v>
      </c>
      <c r="AF7" s="4">
        <v>58083.631955516001</v>
      </c>
      <c r="AG7" s="4">
        <v>0</v>
      </c>
      <c r="AI7" s="51" t="s">
        <v>47</v>
      </c>
      <c r="AJ7" s="52">
        <f t="shared" si="0"/>
        <v>37612778.920529991</v>
      </c>
      <c r="AK7" s="52">
        <f t="shared" si="1"/>
        <v>46771070.250864029</v>
      </c>
      <c r="AL7" s="53">
        <f t="shared" si="2"/>
        <v>0.24348882462750487</v>
      </c>
      <c r="AN7" s="51" t="s">
        <v>47</v>
      </c>
      <c r="AO7" s="52">
        <f t="shared" si="3"/>
        <v>25448528.482390001</v>
      </c>
      <c r="AP7" s="52">
        <f t="shared" si="4"/>
        <v>26888412.12294662</v>
      </c>
      <c r="AQ7" s="53">
        <f t="shared" si="5"/>
        <v>5.6580231802125569E-2</v>
      </c>
      <c r="AS7" s="51" t="s">
        <v>47</v>
      </c>
      <c r="AT7" s="52">
        <f t="shared" si="6"/>
        <v>63061307.402919993</v>
      </c>
      <c r="AU7" s="52">
        <f t="shared" si="7"/>
        <v>73659482.373810649</v>
      </c>
      <c r="AV7" s="53">
        <f t="shared" si="8"/>
        <v>0.1680614533278757</v>
      </c>
    </row>
    <row r="8" spans="1:48" ht="11.25" customHeight="1" x14ac:dyDescent="0.25">
      <c r="A8" s="3" t="s">
        <v>27</v>
      </c>
      <c r="B8" s="3" t="s">
        <v>39</v>
      </c>
      <c r="C8" s="3" t="s">
        <v>40</v>
      </c>
      <c r="D8" s="3" t="s">
        <v>38</v>
      </c>
      <c r="E8" s="3" t="s">
        <v>25</v>
      </c>
      <c r="F8" s="3" t="s">
        <v>58</v>
      </c>
      <c r="G8" s="3" t="s">
        <v>25</v>
      </c>
      <c r="H8" s="3" t="s">
        <v>25</v>
      </c>
      <c r="I8" s="6">
        <v>44470</v>
      </c>
      <c r="J8" s="4">
        <v>0</v>
      </c>
      <c r="K8" s="4">
        <v>0</v>
      </c>
      <c r="L8" s="4">
        <v>10005.154</v>
      </c>
      <c r="M8" s="4">
        <v>10005.154</v>
      </c>
      <c r="N8" s="4">
        <v>0</v>
      </c>
      <c r="O8" s="4">
        <v>0</v>
      </c>
      <c r="P8" s="4">
        <v>0</v>
      </c>
      <c r="Q8" s="3" t="s">
        <v>59</v>
      </c>
      <c r="R8" s="3">
        <v>0</v>
      </c>
      <c r="S8" s="4">
        <v>0</v>
      </c>
      <c r="T8" s="4">
        <v>1</v>
      </c>
      <c r="U8" s="4">
        <v>0</v>
      </c>
      <c r="V8" s="4">
        <v>0</v>
      </c>
      <c r="W8" s="4">
        <v>6.53</v>
      </c>
      <c r="X8" s="4">
        <v>0</v>
      </c>
      <c r="Y8" s="4"/>
      <c r="Z8" s="4">
        <v>6.9064821100261753</v>
      </c>
      <c r="AA8" s="4"/>
      <c r="AB8" s="4">
        <v>0</v>
      </c>
      <c r="AC8" s="4">
        <v>65333.655620000005</v>
      </c>
      <c r="AD8" s="4">
        <v>0</v>
      </c>
      <c r="AE8" s="4">
        <v>0</v>
      </c>
      <c r="AF8" s="4">
        <v>69100.417109056827</v>
      </c>
      <c r="AG8" s="4">
        <v>0</v>
      </c>
      <c r="AI8" s="51" t="s">
        <v>1005</v>
      </c>
      <c r="AJ8" s="52">
        <f>+$AJ$2+$AJ$3</f>
        <v>202638917.26077366</v>
      </c>
      <c r="AK8" s="52">
        <f>+$AK$2+$AK$3</f>
        <v>245940006.33278579</v>
      </c>
      <c r="AL8" s="53">
        <f t="shared" si="2"/>
        <v>0.21368594768145388</v>
      </c>
      <c r="AN8" s="51" t="s">
        <v>1005</v>
      </c>
      <c r="AO8" s="52">
        <f>+$AO$2+$AO$3</f>
        <v>193979901.57863271</v>
      </c>
      <c r="AP8" s="52">
        <f>+$AP$2+$AP$3</f>
        <v>209213095.94299954</v>
      </c>
      <c r="AQ8" s="53">
        <f t="shared" si="5"/>
        <v>7.852975612626456E-2</v>
      </c>
      <c r="AS8" s="51" t="s">
        <v>1005</v>
      </c>
      <c r="AT8" s="52">
        <f>+$AT$2+$AT$3</f>
        <v>396618818.83940637</v>
      </c>
      <c r="AU8" s="52">
        <f>+$AU$2+$AU$3</f>
        <v>455153102.27578533</v>
      </c>
      <c r="AV8" s="53">
        <f t="shared" si="8"/>
        <v>0.14758322262081025</v>
      </c>
    </row>
    <row r="9" spans="1:48" ht="11.25" customHeight="1" x14ac:dyDescent="0.25">
      <c r="A9" s="3" t="s">
        <v>27</v>
      </c>
      <c r="B9" s="3" t="s">
        <v>39</v>
      </c>
      <c r="C9" s="3" t="s">
        <v>40</v>
      </c>
      <c r="D9" s="3" t="s">
        <v>38</v>
      </c>
      <c r="E9" s="3" t="s">
        <v>25</v>
      </c>
      <c r="F9" s="3" t="s">
        <v>58</v>
      </c>
      <c r="G9" s="3" t="s">
        <v>25</v>
      </c>
      <c r="H9" s="3" t="s">
        <v>25</v>
      </c>
      <c r="I9" s="6">
        <v>44501</v>
      </c>
      <c r="J9" s="4">
        <v>0</v>
      </c>
      <c r="K9" s="4">
        <v>0</v>
      </c>
      <c r="L9" s="4">
        <v>10221.031000000001</v>
      </c>
      <c r="M9" s="4">
        <v>10221.031000000001</v>
      </c>
      <c r="N9" s="4">
        <v>0</v>
      </c>
      <c r="O9" s="4">
        <v>0</v>
      </c>
      <c r="P9" s="4">
        <v>0</v>
      </c>
      <c r="Q9" s="3" t="s">
        <v>59</v>
      </c>
      <c r="R9" s="3">
        <v>0</v>
      </c>
      <c r="S9" s="4">
        <v>0</v>
      </c>
      <c r="T9" s="4">
        <v>1</v>
      </c>
      <c r="U9" s="4">
        <v>0</v>
      </c>
      <c r="V9" s="4">
        <v>0</v>
      </c>
      <c r="W9" s="4">
        <v>6.53</v>
      </c>
      <c r="X9" s="4">
        <v>0</v>
      </c>
      <c r="Y9" s="4"/>
      <c r="Z9" s="4">
        <v>6.9064821100261753</v>
      </c>
      <c r="AA9" s="4"/>
      <c r="AB9" s="4">
        <v>0</v>
      </c>
      <c r="AC9" s="4">
        <v>66743.332430000009</v>
      </c>
      <c r="AD9" s="4">
        <v>0</v>
      </c>
      <c r="AE9" s="4">
        <v>0</v>
      </c>
      <c r="AF9" s="4">
        <v>70591.367747522949</v>
      </c>
      <c r="AG9" s="4">
        <v>0</v>
      </c>
      <c r="AI9" s="51" t="s">
        <v>104</v>
      </c>
      <c r="AJ9" s="52">
        <f>+$AJ$4+$AJ$5+$AJ$6+$AJ$7</f>
        <v>545168996.25119877</v>
      </c>
      <c r="AK9" s="52">
        <f>+$AK$4+$AK$5+$AK$6+$AK$7</f>
        <v>678102635.20104289</v>
      </c>
      <c r="AL9" s="53">
        <f t="shared" si="2"/>
        <v>0.24383932296948152</v>
      </c>
      <c r="AN9" s="51" t="s">
        <v>104</v>
      </c>
      <c r="AO9" s="52">
        <f>+$AO$4+$AO$5+$AO$6+$AO$7</f>
        <v>373572721.51059169</v>
      </c>
      <c r="AP9" s="52">
        <f>+$AP$4+$AP$5+$AP$6+$AP$7</f>
        <v>395766277.15296298</v>
      </c>
      <c r="AQ9" s="53">
        <f t="shared" si="5"/>
        <v>5.9408929947102784E-2</v>
      </c>
      <c r="AS9" s="51" t="s">
        <v>104</v>
      </c>
      <c r="AT9" s="52">
        <f>+$AT$4+$AT$5+$AT$6+$AT$7</f>
        <v>918741717.76179051</v>
      </c>
      <c r="AU9" s="52">
        <f>+$AU$4+$AU$5+$AU$6+$AU$7</f>
        <v>1073868912.3540058</v>
      </c>
      <c r="AV9" s="53">
        <f t="shared" si="8"/>
        <v>0.16884744819265562</v>
      </c>
    </row>
    <row r="10" spans="1:48" ht="11.25" customHeight="1" x14ac:dyDescent="0.25">
      <c r="A10" s="3" t="s">
        <v>27</v>
      </c>
      <c r="B10" s="3" t="s">
        <v>39</v>
      </c>
      <c r="C10" s="3" t="s">
        <v>40</v>
      </c>
      <c r="D10" s="3" t="s">
        <v>38</v>
      </c>
      <c r="E10" s="3" t="s">
        <v>25</v>
      </c>
      <c r="F10" s="3" t="s">
        <v>58</v>
      </c>
      <c r="G10" s="3" t="s">
        <v>25</v>
      </c>
      <c r="H10" s="3" t="s">
        <v>25</v>
      </c>
      <c r="I10" s="6">
        <v>44531</v>
      </c>
      <c r="J10" s="4">
        <v>0</v>
      </c>
      <c r="K10" s="4">
        <v>0</v>
      </c>
      <c r="L10" s="4">
        <v>8846.6949999999997</v>
      </c>
      <c r="M10" s="4">
        <v>8846.6949999999997</v>
      </c>
      <c r="N10" s="4">
        <v>0</v>
      </c>
      <c r="O10" s="4">
        <v>0</v>
      </c>
      <c r="P10" s="4">
        <v>0</v>
      </c>
      <c r="Q10" s="3" t="s">
        <v>59</v>
      </c>
      <c r="R10" s="3">
        <v>0</v>
      </c>
      <c r="S10" s="4">
        <v>0</v>
      </c>
      <c r="T10" s="4">
        <v>1</v>
      </c>
      <c r="U10" s="4">
        <v>0</v>
      </c>
      <c r="V10" s="4">
        <v>0</v>
      </c>
      <c r="W10" s="4">
        <v>6.53</v>
      </c>
      <c r="X10" s="4">
        <v>0</v>
      </c>
      <c r="Y10" s="4"/>
      <c r="Z10" s="4">
        <v>6.9064821100261753</v>
      </c>
      <c r="AA10" s="4"/>
      <c r="AB10" s="4">
        <v>0</v>
      </c>
      <c r="AC10" s="4">
        <v>57768.91835</v>
      </c>
      <c r="AD10" s="4">
        <v>0</v>
      </c>
      <c r="AE10" s="4">
        <v>0</v>
      </c>
      <c r="AF10" s="4">
        <v>61099.540750358014</v>
      </c>
      <c r="AG10" s="4">
        <v>0</v>
      </c>
      <c r="AI10" s="51" t="s">
        <v>1006</v>
      </c>
      <c r="AJ10" s="52">
        <f>AJ9+AJ8</f>
        <v>747807913.51197243</v>
      </c>
      <c r="AK10" s="52">
        <f>AK9+AK8</f>
        <v>924042641.53382874</v>
      </c>
      <c r="AL10" s="53">
        <f t="shared" si="2"/>
        <v>0.23566844484728078</v>
      </c>
      <c r="AN10" s="51" t="s">
        <v>1006</v>
      </c>
      <c r="AO10" s="52">
        <f>AO9+AO8</f>
        <v>567552623.08922434</v>
      </c>
      <c r="AP10" s="52">
        <f>AP9+AP8</f>
        <v>604979373.09596252</v>
      </c>
      <c r="AQ10" s="53">
        <f t="shared" si="5"/>
        <v>6.5944105417083732E-2</v>
      </c>
      <c r="AS10" s="51" t="s">
        <v>1006</v>
      </c>
      <c r="AT10" s="52">
        <f>AT9+AT8</f>
        <v>1315360536.6011968</v>
      </c>
      <c r="AU10" s="52">
        <f>AU9+AU8</f>
        <v>1529022014.6297913</v>
      </c>
      <c r="AV10" s="53">
        <f t="shared" si="8"/>
        <v>0.16243567606238307</v>
      </c>
    </row>
    <row r="11" spans="1:48" ht="11.25" customHeight="1" x14ac:dyDescent="0.25">
      <c r="A11" s="3" t="s">
        <v>27</v>
      </c>
      <c r="B11" s="3" t="s">
        <v>39</v>
      </c>
      <c r="C11" s="3" t="s">
        <v>40</v>
      </c>
      <c r="D11" s="3" t="s">
        <v>38</v>
      </c>
      <c r="E11" s="3" t="s">
        <v>25</v>
      </c>
      <c r="F11" s="3" t="s">
        <v>58</v>
      </c>
      <c r="G11" s="3" t="s">
        <v>25</v>
      </c>
      <c r="H11" s="3" t="s">
        <v>25</v>
      </c>
      <c r="I11" s="6">
        <v>44562</v>
      </c>
      <c r="J11" s="4">
        <v>0</v>
      </c>
      <c r="K11" s="4">
        <v>0</v>
      </c>
      <c r="L11" s="4">
        <v>10539.724</v>
      </c>
      <c r="M11" s="4">
        <v>10539.724</v>
      </c>
      <c r="N11" s="4">
        <v>0</v>
      </c>
      <c r="O11" s="4">
        <v>0</v>
      </c>
      <c r="P11" s="4">
        <v>0</v>
      </c>
      <c r="Q11" s="3" t="s">
        <v>59</v>
      </c>
      <c r="R11" s="3">
        <v>0</v>
      </c>
      <c r="S11" s="4">
        <v>0</v>
      </c>
      <c r="T11" s="4">
        <v>1</v>
      </c>
      <c r="U11" s="4">
        <v>0</v>
      </c>
      <c r="V11" s="4">
        <v>0</v>
      </c>
      <c r="W11" s="4">
        <v>6.53</v>
      </c>
      <c r="X11" s="4">
        <v>0</v>
      </c>
      <c r="Y11" s="4"/>
      <c r="Z11" s="4">
        <v>6.9064821100261753</v>
      </c>
      <c r="AA11" s="4"/>
      <c r="AB11" s="4">
        <v>0</v>
      </c>
      <c r="AC11" s="4">
        <v>68824.397720000008</v>
      </c>
      <c r="AD11" s="4">
        <v>0</v>
      </c>
      <c r="AE11" s="4">
        <v>0</v>
      </c>
      <c r="AF11" s="4">
        <v>72792.415250613514</v>
      </c>
      <c r="AG11" s="4">
        <v>0</v>
      </c>
    </row>
    <row r="12" spans="1:48" ht="11.25" customHeight="1" x14ac:dyDescent="0.25">
      <c r="A12" s="3" t="s">
        <v>27</v>
      </c>
      <c r="B12" s="3" t="s">
        <v>39</v>
      </c>
      <c r="C12" s="3" t="s">
        <v>40</v>
      </c>
      <c r="D12" s="3" t="s">
        <v>38</v>
      </c>
      <c r="E12" s="3" t="s">
        <v>25</v>
      </c>
      <c r="F12" s="3" t="s">
        <v>58</v>
      </c>
      <c r="G12" s="3" t="s">
        <v>25</v>
      </c>
      <c r="H12" s="3" t="s">
        <v>25</v>
      </c>
      <c r="I12" s="6">
        <v>44593</v>
      </c>
      <c r="J12" s="4">
        <v>0</v>
      </c>
      <c r="K12" s="4">
        <v>0</v>
      </c>
      <c r="L12" s="4">
        <v>11106.028</v>
      </c>
      <c r="M12" s="4">
        <v>11106.028</v>
      </c>
      <c r="N12" s="4">
        <v>0</v>
      </c>
      <c r="O12" s="4">
        <v>0</v>
      </c>
      <c r="P12" s="4">
        <v>0</v>
      </c>
      <c r="Q12" s="3" t="s">
        <v>59</v>
      </c>
      <c r="R12" s="3">
        <v>0</v>
      </c>
      <c r="S12" s="4">
        <v>0</v>
      </c>
      <c r="T12" s="4">
        <v>1</v>
      </c>
      <c r="U12" s="4">
        <v>0</v>
      </c>
      <c r="V12" s="4">
        <v>0</v>
      </c>
      <c r="W12" s="4">
        <v>6.53</v>
      </c>
      <c r="X12" s="4">
        <v>0</v>
      </c>
      <c r="Y12" s="4"/>
      <c r="Z12" s="4">
        <v>6.9064821100261753</v>
      </c>
      <c r="AA12" s="4"/>
      <c r="AB12" s="4">
        <v>0</v>
      </c>
      <c r="AC12" s="4">
        <v>72522.362840000002</v>
      </c>
      <c r="AD12" s="4">
        <v>0</v>
      </c>
      <c r="AE12" s="4">
        <v>0</v>
      </c>
      <c r="AF12" s="4">
        <v>76703.583695449779</v>
      </c>
      <c r="AG12" s="4">
        <v>0</v>
      </c>
    </row>
    <row r="13" spans="1:48" ht="11.25" customHeight="1" x14ac:dyDescent="0.25">
      <c r="A13" s="3" t="s">
        <v>56</v>
      </c>
      <c r="B13" s="3" t="s">
        <v>39</v>
      </c>
      <c r="C13" s="3" t="s">
        <v>40</v>
      </c>
      <c r="D13" s="3" t="s">
        <v>38</v>
      </c>
      <c r="E13" s="3" t="s">
        <v>25</v>
      </c>
      <c r="F13" s="3" t="s">
        <v>58</v>
      </c>
      <c r="G13" s="3" t="s">
        <v>25</v>
      </c>
      <c r="H13" s="3" t="s">
        <v>25</v>
      </c>
      <c r="I13" s="6">
        <v>44621</v>
      </c>
      <c r="J13" s="4">
        <v>0</v>
      </c>
      <c r="K13" s="4">
        <v>0</v>
      </c>
      <c r="L13" s="4">
        <v>11106.028</v>
      </c>
      <c r="M13" s="4">
        <v>11106.028</v>
      </c>
      <c r="N13" s="4">
        <v>0</v>
      </c>
      <c r="O13" s="4">
        <v>0</v>
      </c>
      <c r="P13" s="4">
        <v>0</v>
      </c>
      <c r="Q13" s="3" t="s">
        <v>59</v>
      </c>
      <c r="R13" s="3">
        <v>0</v>
      </c>
      <c r="S13" s="4">
        <v>0</v>
      </c>
      <c r="T13" s="4">
        <v>1</v>
      </c>
      <c r="U13" s="4">
        <v>0</v>
      </c>
      <c r="V13" s="4">
        <v>0</v>
      </c>
      <c r="W13" s="4">
        <v>6.53</v>
      </c>
      <c r="X13" s="4">
        <v>0</v>
      </c>
      <c r="Y13" s="4"/>
      <c r="Z13" s="4">
        <v>6.9064821100261753</v>
      </c>
      <c r="AA13" s="4"/>
      <c r="AB13" s="4">
        <v>0</v>
      </c>
      <c r="AC13" s="4">
        <v>72522.362840000002</v>
      </c>
      <c r="AD13" s="4">
        <v>0</v>
      </c>
      <c r="AE13" s="4">
        <v>0</v>
      </c>
      <c r="AF13" s="4">
        <v>76703.583695449779</v>
      </c>
      <c r="AG13" s="4">
        <v>0</v>
      </c>
      <c r="AU13" s="62"/>
    </row>
    <row r="14" spans="1:48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60</v>
      </c>
      <c r="G14" s="3" t="s">
        <v>25</v>
      </c>
      <c r="H14" s="3" t="s">
        <v>35</v>
      </c>
      <c r="I14" s="6">
        <v>44287</v>
      </c>
      <c r="J14" s="4">
        <v>1500</v>
      </c>
      <c r="K14" s="4">
        <v>752.88340500000004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57</v>
      </c>
      <c r="R14" s="3">
        <v>0</v>
      </c>
      <c r="S14" s="4">
        <v>5</v>
      </c>
      <c r="T14" s="4">
        <v>0</v>
      </c>
      <c r="U14" s="4">
        <v>0</v>
      </c>
      <c r="V14" s="4">
        <v>11.59</v>
      </c>
      <c r="W14" s="4">
        <v>0</v>
      </c>
      <c r="X14" s="4">
        <v>0</v>
      </c>
      <c r="Y14" s="4">
        <v>11.399859625344023</v>
      </c>
      <c r="Z14" s="4">
        <v>48.097314783967931</v>
      </c>
      <c r="AA14" s="4"/>
      <c r="AB14" s="4">
        <v>8725.9186639500003</v>
      </c>
      <c r="AC14" s="4">
        <v>0</v>
      </c>
      <c r="AD14" s="4">
        <v>0</v>
      </c>
      <c r="AE14" s="4">
        <v>8582.7651312510334</v>
      </c>
      <c r="AF14" s="4">
        <v>0</v>
      </c>
      <c r="AG14" s="4">
        <v>0</v>
      </c>
    </row>
    <row r="15" spans="1:48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60</v>
      </c>
      <c r="G15" s="3" t="s">
        <v>25</v>
      </c>
      <c r="H15" s="3" t="s">
        <v>35</v>
      </c>
      <c r="I15" s="6">
        <v>44317</v>
      </c>
      <c r="J15" s="4">
        <v>1500</v>
      </c>
      <c r="K15" s="4">
        <v>754.02548999999999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57</v>
      </c>
      <c r="R15" s="3">
        <v>0</v>
      </c>
      <c r="S15" s="4">
        <v>5</v>
      </c>
      <c r="T15" s="4">
        <v>0</v>
      </c>
      <c r="U15" s="4">
        <v>0</v>
      </c>
      <c r="V15" s="4">
        <v>11.59</v>
      </c>
      <c r="W15" s="4">
        <v>0</v>
      </c>
      <c r="X15" s="4">
        <v>0</v>
      </c>
      <c r="Y15" s="4">
        <v>11.399859625344023</v>
      </c>
      <c r="Z15" s="4">
        <v>48.097314783967931</v>
      </c>
      <c r="AA15" s="4"/>
      <c r="AB15" s="4">
        <v>8739.1554290999993</v>
      </c>
      <c r="AC15" s="4">
        <v>0</v>
      </c>
      <c r="AD15" s="4">
        <v>0</v>
      </c>
      <c r="AE15" s="4">
        <v>8595.7847399312432</v>
      </c>
      <c r="AF15" s="4">
        <v>0</v>
      </c>
      <c r="AG15" s="4">
        <v>0</v>
      </c>
    </row>
    <row r="16" spans="1:48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60</v>
      </c>
      <c r="G16" s="3" t="s">
        <v>25</v>
      </c>
      <c r="H16" s="3" t="s">
        <v>35</v>
      </c>
      <c r="I16" s="6">
        <v>44348</v>
      </c>
      <c r="J16" s="4">
        <v>1500</v>
      </c>
      <c r="K16" s="4">
        <v>750.61864500000001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57</v>
      </c>
      <c r="R16" s="3">
        <v>0</v>
      </c>
      <c r="S16" s="4">
        <v>5</v>
      </c>
      <c r="T16" s="4">
        <v>0</v>
      </c>
      <c r="U16" s="4">
        <v>0</v>
      </c>
      <c r="V16" s="4">
        <v>11.59</v>
      </c>
      <c r="W16" s="4">
        <v>0</v>
      </c>
      <c r="X16" s="4">
        <v>0</v>
      </c>
      <c r="Y16" s="4">
        <v>11.399859625344023</v>
      </c>
      <c r="Z16" s="4">
        <v>48.097314783967931</v>
      </c>
      <c r="AA16" s="4"/>
      <c r="AB16" s="4">
        <v>8699.67009555</v>
      </c>
      <c r="AC16" s="4">
        <v>0</v>
      </c>
      <c r="AD16" s="4">
        <v>0</v>
      </c>
      <c r="AE16" s="4">
        <v>8556.9471851659382</v>
      </c>
      <c r="AF16" s="4">
        <v>0</v>
      </c>
      <c r="AG16" s="4">
        <v>0</v>
      </c>
    </row>
    <row r="17" spans="1:33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60</v>
      </c>
      <c r="G17" s="3" t="s">
        <v>25</v>
      </c>
      <c r="H17" s="3" t="s">
        <v>35</v>
      </c>
      <c r="I17" s="6">
        <v>44378</v>
      </c>
      <c r="J17" s="4">
        <v>1500</v>
      </c>
      <c r="K17" s="4">
        <v>784.87662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57</v>
      </c>
      <c r="R17" s="3">
        <v>0</v>
      </c>
      <c r="S17" s="4">
        <v>5</v>
      </c>
      <c r="T17" s="4">
        <v>0</v>
      </c>
      <c r="U17" s="4">
        <v>0</v>
      </c>
      <c r="V17" s="4">
        <v>11.59</v>
      </c>
      <c r="W17" s="4">
        <v>0</v>
      </c>
      <c r="X17" s="4">
        <v>0</v>
      </c>
      <c r="Y17" s="4">
        <v>11.399859625344023</v>
      </c>
      <c r="Z17" s="4">
        <v>48.097314783967931</v>
      </c>
      <c r="AA17" s="4"/>
      <c r="AB17" s="4">
        <v>9096.7200257999993</v>
      </c>
      <c r="AC17" s="4">
        <v>0</v>
      </c>
      <c r="AD17" s="4">
        <v>0</v>
      </c>
      <c r="AE17" s="4">
        <v>8947.483291214483</v>
      </c>
      <c r="AF17" s="4">
        <v>0</v>
      </c>
      <c r="AG17" s="4">
        <v>0</v>
      </c>
    </row>
    <row r="18" spans="1:33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60</v>
      </c>
      <c r="G18" s="3" t="s">
        <v>25</v>
      </c>
      <c r="H18" s="3" t="s">
        <v>35</v>
      </c>
      <c r="I18" s="6">
        <v>44409</v>
      </c>
      <c r="J18" s="4">
        <v>1500</v>
      </c>
      <c r="K18" s="4">
        <v>749.76273000000003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57</v>
      </c>
      <c r="R18" s="3">
        <v>0</v>
      </c>
      <c r="S18" s="4">
        <v>5</v>
      </c>
      <c r="T18" s="4">
        <v>0</v>
      </c>
      <c r="U18" s="4">
        <v>0</v>
      </c>
      <c r="V18" s="4">
        <v>11.59</v>
      </c>
      <c r="W18" s="4">
        <v>0</v>
      </c>
      <c r="X18" s="4">
        <v>0</v>
      </c>
      <c r="Y18" s="4">
        <v>11.399859625344023</v>
      </c>
      <c r="Z18" s="4">
        <v>48.097314783967931</v>
      </c>
      <c r="AA18" s="4"/>
      <c r="AB18" s="4">
        <v>8689.7500407000007</v>
      </c>
      <c r="AC18" s="4">
        <v>0</v>
      </c>
      <c r="AD18" s="4">
        <v>0</v>
      </c>
      <c r="AE18" s="4">
        <v>8547.1898743147121</v>
      </c>
      <c r="AF18" s="4">
        <v>0</v>
      </c>
      <c r="AG18" s="4">
        <v>0</v>
      </c>
    </row>
    <row r="19" spans="1:33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60</v>
      </c>
      <c r="G19" s="3" t="s">
        <v>25</v>
      </c>
      <c r="H19" s="3" t="s">
        <v>35</v>
      </c>
      <c r="I19" s="6">
        <v>44440</v>
      </c>
      <c r="J19" s="4">
        <v>11100</v>
      </c>
      <c r="K19" s="4">
        <v>5550.6575640000001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57</v>
      </c>
      <c r="R19" s="3">
        <v>0</v>
      </c>
      <c r="S19" s="4">
        <v>5</v>
      </c>
      <c r="T19" s="4">
        <v>0</v>
      </c>
      <c r="U19" s="4">
        <v>0</v>
      </c>
      <c r="V19" s="4">
        <v>11.59</v>
      </c>
      <c r="W19" s="4">
        <v>0</v>
      </c>
      <c r="X19" s="4">
        <v>0</v>
      </c>
      <c r="Y19" s="4">
        <v>11.399859625344023</v>
      </c>
      <c r="Z19" s="4">
        <v>48.097314783967931</v>
      </c>
      <c r="AA19" s="4"/>
      <c r="AB19" s="4">
        <v>64332.12116676</v>
      </c>
      <c r="AC19" s="4">
        <v>0</v>
      </c>
      <c r="AD19" s="4">
        <v>0</v>
      </c>
      <c r="AE19" s="4">
        <v>63276.717057954011</v>
      </c>
      <c r="AF19" s="4">
        <v>0</v>
      </c>
      <c r="AG19" s="4">
        <v>0</v>
      </c>
    </row>
    <row r="20" spans="1:33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60</v>
      </c>
      <c r="G20" s="3" t="s">
        <v>25</v>
      </c>
      <c r="H20" s="3" t="s">
        <v>35</v>
      </c>
      <c r="I20" s="6">
        <v>44470</v>
      </c>
      <c r="J20" s="4">
        <v>11100</v>
      </c>
      <c r="K20" s="4">
        <v>5551.2183359999999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57</v>
      </c>
      <c r="R20" s="3">
        <v>0</v>
      </c>
      <c r="S20" s="4">
        <v>5</v>
      </c>
      <c r="T20" s="4">
        <v>0</v>
      </c>
      <c r="U20" s="4">
        <v>0</v>
      </c>
      <c r="V20" s="4">
        <v>11.59</v>
      </c>
      <c r="W20" s="4">
        <v>0</v>
      </c>
      <c r="X20" s="4">
        <v>0</v>
      </c>
      <c r="Y20" s="4">
        <v>11.399859625344023</v>
      </c>
      <c r="Z20" s="4">
        <v>48.097314783967931</v>
      </c>
      <c r="AA20" s="4"/>
      <c r="AB20" s="4">
        <v>64338.620514239999</v>
      </c>
      <c r="AC20" s="4">
        <v>0</v>
      </c>
      <c r="AD20" s="4">
        <v>0</v>
      </c>
      <c r="AE20" s="4">
        <v>63283.109780035833</v>
      </c>
      <c r="AF20" s="4">
        <v>0</v>
      </c>
      <c r="AG20" s="4">
        <v>0</v>
      </c>
    </row>
    <row r="21" spans="1:33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60</v>
      </c>
      <c r="G21" s="3" t="s">
        <v>25</v>
      </c>
      <c r="H21" s="3" t="s">
        <v>35</v>
      </c>
      <c r="I21" s="6">
        <v>44501</v>
      </c>
      <c r="J21" s="4">
        <v>16522</v>
      </c>
      <c r="K21" s="4">
        <v>14758.487485940001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57</v>
      </c>
      <c r="R21" s="3">
        <v>0</v>
      </c>
      <c r="S21" s="4">
        <v>5</v>
      </c>
      <c r="T21" s="4">
        <v>0</v>
      </c>
      <c r="U21" s="4">
        <v>0</v>
      </c>
      <c r="V21" s="4">
        <v>11.59</v>
      </c>
      <c r="W21" s="4">
        <v>0</v>
      </c>
      <c r="X21" s="4">
        <v>0</v>
      </c>
      <c r="Y21" s="4">
        <v>11.399859625344023</v>
      </c>
      <c r="Z21" s="4">
        <v>48.097314783967931</v>
      </c>
      <c r="AA21" s="4"/>
      <c r="AB21" s="4">
        <v>171050.86996204461</v>
      </c>
      <c r="AC21" s="4">
        <v>0</v>
      </c>
      <c r="AD21" s="4">
        <v>0</v>
      </c>
      <c r="AE21" s="4">
        <v>168244.68562211242</v>
      </c>
      <c r="AF21" s="4">
        <v>0</v>
      </c>
      <c r="AG21" s="4">
        <v>0</v>
      </c>
    </row>
    <row r="22" spans="1:33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60</v>
      </c>
      <c r="G22" s="3" t="s">
        <v>25</v>
      </c>
      <c r="H22" s="3" t="s">
        <v>35</v>
      </c>
      <c r="I22" s="6">
        <v>44531</v>
      </c>
      <c r="J22" s="4">
        <v>16610</v>
      </c>
      <c r="K22" s="4">
        <v>14474.657599599999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57</v>
      </c>
      <c r="R22" s="3">
        <v>0</v>
      </c>
      <c r="S22" s="4">
        <v>5</v>
      </c>
      <c r="T22" s="4">
        <v>0</v>
      </c>
      <c r="U22" s="4">
        <v>0</v>
      </c>
      <c r="V22" s="4">
        <v>11.59</v>
      </c>
      <c r="W22" s="4">
        <v>0</v>
      </c>
      <c r="X22" s="4">
        <v>0</v>
      </c>
      <c r="Y22" s="4">
        <v>11.399859625344023</v>
      </c>
      <c r="Z22" s="4">
        <v>48.097314783967931</v>
      </c>
      <c r="AA22" s="4"/>
      <c r="AB22" s="4">
        <v>167761.28157936397</v>
      </c>
      <c r="AC22" s="4">
        <v>0</v>
      </c>
      <c r="AD22" s="4">
        <v>0</v>
      </c>
      <c r="AE22" s="4">
        <v>165009.06476035906</v>
      </c>
      <c r="AF22" s="4">
        <v>0</v>
      </c>
      <c r="AG22" s="4">
        <v>0</v>
      </c>
    </row>
    <row r="23" spans="1:33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60</v>
      </c>
      <c r="G23" s="3" t="s">
        <v>25</v>
      </c>
      <c r="H23" s="3" t="s">
        <v>35</v>
      </c>
      <c r="I23" s="6">
        <v>44562</v>
      </c>
      <c r="J23" s="4">
        <v>11100</v>
      </c>
      <c r="K23" s="4">
        <v>10350.295122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57</v>
      </c>
      <c r="R23" s="3">
        <v>0</v>
      </c>
      <c r="S23" s="4">
        <v>5</v>
      </c>
      <c r="T23" s="4">
        <v>0</v>
      </c>
      <c r="U23" s="4">
        <v>0</v>
      </c>
      <c r="V23" s="4">
        <v>11.59</v>
      </c>
      <c r="W23" s="4">
        <v>0</v>
      </c>
      <c r="X23" s="4">
        <v>0</v>
      </c>
      <c r="Y23" s="4">
        <v>11.399859625344023</v>
      </c>
      <c r="Z23" s="4">
        <v>48.097314783967931</v>
      </c>
      <c r="AA23" s="4"/>
      <c r="AB23" s="4">
        <v>119959.92046397999</v>
      </c>
      <c r="AC23" s="4">
        <v>0</v>
      </c>
      <c r="AD23" s="4">
        <v>0</v>
      </c>
      <c r="AE23" s="4">
        <v>117991.91147168298</v>
      </c>
      <c r="AF23" s="4">
        <v>0</v>
      </c>
      <c r="AG23" s="4">
        <v>0</v>
      </c>
    </row>
    <row r="24" spans="1:33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60</v>
      </c>
      <c r="G24" s="3" t="s">
        <v>25</v>
      </c>
      <c r="H24" s="3" t="s">
        <v>35</v>
      </c>
      <c r="I24" s="6">
        <v>44593</v>
      </c>
      <c r="J24" s="4">
        <v>16543</v>
      </c>
      <c r="K24" s="4">
        <v>14361.89908338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57</v>
      </c>
      <c r="R24" s="3">
        <v>0</v>
      </c>
      <c r="S24" s="4">
        <v>5</v>
      </c>
      <c r="T24" s="4">
        <v>0</v>
      </c>
      <c r="U24" s="4">
        <v>0</v>
      </c>
      <c r="V24" s="4">
        <v>11.59</v>
      </c>
      <c r="W24" s="4">
        <v>0</v>
      </c>
      <c r="X24" s="4">
        <v>0</v>
      </c>
      <c r="Y24" s="4">
        <v>11.399859625344023</v>
      </c>
      <c r="Z24" s="4">
        <v>48.097314783967931</v>
      </c>
      <c r="AA24" s="4"/>
      <c r="AB24" s="4">
        <v>166454.4103763742</v>
      </c>
      <c r="AC24" s="4">
        <v>0</v>
      </c>
      <c r="AD24" s="4">
        <v>0</v>
      </c>
      <c r="AE24" s="4">
        <v>163723.633503889</v>
      </c>
      <c r="AF24" s="4">
        <v>0</v>
      </c>
      <c r="AG24" s="4">
        <v>0</v>
      </c>
    </row>
    <row r="25" spans="1:33" ht="11.25" customHeight="1" x14ac:dyDescent="0.25">
      <c r="A25" s="3" t="s">
        <v>56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60</v>
      </c>
      <c r="G25" s="3" t="s">
        <v>25</v>
      </c>
      <c r="H25" s="3" t="s">
        <v>35</v>
      </c>
      <c r="I25" s="6">
        <v>44621</v>
      </c>
      <c r="J25" s="4">
        <v>16543</v>
      </c>
      <c r="K25" s="4">
        <v>14361.89908338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57</v>
      </c>
      <c r="R25" s="3">
        <v>0</v>
      </c>
      <c r="S25" s="4">
        <v>5</v>
      </c>
      <c r="T25" s="4">
        <v>0</v>
      </c>
      <c r="U25" s="4">
        <v>0</v>
      </c>
      <c r="V25" s="4">
        <v>11.59</v>
      </c>
      <c r="W25" s="4">
        <v>0</v>
      </c>
      <c r="X25" s="4">
        <v>0</v>
      </c>
      <c r="Y25" s="4">
        <v>11.399859625344023</v>
      </c>
      <c r="Z25" s="4">
        <v>48.097314783967931</v>
      </c>
      <c r="AA25" s="4"/>
      <c r="AB25" s="4">
        <v>166454.4103763742</v>
      </c>
      <c r="AC25" s="4">
        <v>0</v>
      </c>
      <c r="AD25" s="4">
        <v>0</v>
      </c>
      <c r="AE25" s="4">
        <v>163723.633503889</v>
      </c>
      <c r="AF25" s="4">
        <v>0</v>
      </c>
      <c r="AG25" s="4">
        <v>0</v>
      </c>
    </row>
    <row r="26" spans="1:33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60</v>
      </c>
      <c r="G26" s="3" t="s">
        <v>25</v>
      </c>
      <c r="H26" s="3" t="s">
        <v>25</v>
      </c>
      <c r="I26" s="6">
        <v>44287</v>
      </c>
      <c r="J26" s="4">
        <v>0</v>
      </c>
      <c r="K26" s="4">
        <v>0</v>
      </c>
      <c r="L26" s="4">
        <v>370.19499999999999</v>
      </c>
      <c r="M26" s="4">
        <v>370.19499999999999</v>
      </c>
      <c r="N26" s="4">
        <v>0</v>
      </c>
      <c r="O26" s="4">
        <v>0</v>
      </c>
      <c r="P26" s="4">
        <v>1</v>
      </c>
      <c r="Q26" s="3" t="s">
        <v>57</v>
      </c>
      <c r="R26" s="3">
        <v>0</v>
      </c>
      <c r="S26" s="4">
        <v>0</v>
      </c>
      <c r="T26" s="4">
        <v>6</v>
      </c>
      <c r="U26" s="4">
        <v>0</v>
      </c>
      <c r="V26" s="4">
        <v>0</v>
      </c>
      <c r="W26" s="4">
        <v>35.86</v>
      </c>
      <c r="X26" s="4">
        <v>0</v>
      </c>
      <c r="Y26" s="4"/>
      <c r="Z26" s="4">
        <v>48.097314783967931</v>
      </c>
      <c r="AA26" s="4"/>
      <c r="AB26" s="4">
        <v>0</v>
      </c>
      <c r="AC26" s="4">
        <v>13275.1927</v>
      </c>
      <c r="AD26" s="4">
        <v>0</v>
      </c>
      <c r="AE26" s="4">
        <v>0</v>
      </c>
      <c r="AF26" s="4">
        <v>17805.385446451008</v>
      </c>
      <c r="AG26" s="4">
        <v>0</v>
      </c>
    </row>
    <row r="27" spans="1:33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60</v>
      </c>
      <c r="G27" s="3" t="s">
        <v>25</v>
      </c>
      <c r="H27" s="3" t="s">
        <v>25</v>
      </c>
      <c r="I27" s="6">
        <v>44317</v>
      </c>
      <c r="J27" s="4">
        <v>0</v>
      </c>
      <c r="K27" s="4">
        <v>0</v>
      </c>
      <c r="L27" s="4">
        <v>324.17899999999997</v>
      </c>
      <c r="M27" s="4">
        <v>324.17899999999997</v>
      </c>
      <c r="N27" s="4">
        <v>0</v>
      </c>
      <c r="O27" s="4">
        <v>0</v>
      </c>
      <c r="P27" s="4">
        <v>1</v>
      </c>
      <c r="Q27" s="3" t="s">
        <v>57</v>
      </c>
      <c r="R27" s="3">
        <v>0</v>
      </c>
      <c r="S27" s="4">
        <v>0</v>
      </c>
      <c r="T27" s="4">
        <v>6</v>
      </c>
      <c r="U27" s="4">
        <v>0</v>
      </c>
      <c r="V27" s="4">
        <v>0</v>
      </c>
      <c r="W27" s="4">
        <v>35.86</v>
      </c>
      <c r="X27" s="4">
        <v>0</v>
      </c>
      <c r="Y27" s="4"/>
      <c r="Z27" s="4">
        <v>48.097314783967931</v>
      </c>
      <c r="AA27" s="4"/>
      <c r="AB27" s="4">
        <v>0</v>
      </c>
      <c r="AC27" s="4">
        <v>11625.058939999999</v>
      </c>
      <c r="AD27" s="4">
        <v>0</v>
      </c>
      <c r="AE27" s="4">
        <v>0</v>
      </c>
      <c r="AF27" s="4">
        <v>15592.139409351939</v>
      </c>
      <c r="AG27" s="4">
        <v>0</v>
      </c>
    </row>
    <row r="28" spans="1:33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60</v>
      </c>
      <c r="G28" s="3" t="s">
        <v>25</v>
      </c>
      <c r="H28" s="3" t="s">
        <v>25</v>
      </c>
      <c r="I28" s="6">
        <v>44348</v>
      </c>
      <c r="J28" s="4">
        <v>0</v>
      </c>
      <c r="K28" s="4">
        <v>0</v>
      </c>
      <c r="L28" s="4">
        <v>327.90800000000002</v>
      </c>
      <c r="M28" s="4">
        <v>327.90800000000002</v>
      </c>
      <c r="N28" s="4">
        <v>0</v>
      </c>
      <c r="O28" s="4">
        <v>0</v>
      </c>
      <c r="P28" s="4">
        <v>1</v>
      </c>
      <c r="Q28" s="3" t="s">
        <v>57</v>
      </c>
      <c r="R28" s="3">
        <v>0</v>
      </c>
      <c r="S28" s="4">
        <v>0</v>
      </c>
      <c r="T28" s="4">
        <v>6</v>
      </c>
      <c r="U28" s="4">
        <v>0</v>
      </c>
      <c r="V28" s="4">
        <v>0</v>
      </c>
      <c r="W28" s="4">
        <v>35.86</v>
      </c>
      <c r="X28" s="4">
        <v>0</v>
      </c>
      <c r="Y28" s="4"/>
      <c r="Z28" s="4">
        <v>48.097314783967931</v>
      </c>
      <c r="AA28" s="4"/>
      <c r="AB28" s="4">
        <v>0</v>
      </c>
      <c r="AC28" s="4">
        <v>11758.78088</v>
      </c>
      <c r="AD28" s="4">
        <v>0</v>
      </c>
      <c r="AE28" s="4">
        <v>0</v>
      </c>
      <c r="AF28" s="4">
        <v>15771.494296181358</v>
      </c>
      <c r="AG28" s="4">
        <v>0</v>
      </c>
    </row>
    <row r="29" spans="1:33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60</v>
      </c>
      <c r="G29" s="3" t="s">
        <v>25</v>
      </c>
      <c r="H29" s="3" t="s">
        <v>25</v>
      </c>
      <c r="I29" s="6">
        <v>44378</v>
      </c>
      <c r="J29" s="4">
        <v>0</v>
      </c>
      <c r="K29" s="4">
        <v>0</v>
      </c>
      <c r="L29" s="4">
        <v>364.52300000000002</v>
      </c>
      <c r="M29" s="4">
        <v>364.52300000000002</v>
      </c>
      <c r="N29" s="4">
        <v>0</v>
      </c>
      <c r="O29" s="4">
        <v>0</v>
      </c>
      <c r="P29" s="4">
        <v>1</v>
      </c>
      <c r="Q29" s="3" t="s">
        <v>57</v>
      </c>
      <c r="R29" s="3">
        <v>0</v>
      </c>
      <c r="S29" s="4">
        <v>0</v>
      </c>
      <c r="T29" s="4">
        <v>6</v>
      </c>
      <c r="U29" s="4">
        <v>0</v>
      </c>
      <c r="V29" s="4">
        <v>0</v>
      </c>
      <c r="W29" s="4">
        <v>35.86</v>
      </c>
      <c r="X29" s="4">
        <v>0</v>
      </c>
      <c r="Y29" s="4"/>
      <c r="Z29" s="4">
        <v>48.097314783967931</v>
      </c>
      <c r="AA29" s="4"/>
      <c r="AB29" s="4">
        <v>0</v>
      </c>
      <c r="AC29" s="4">
        <v>13071.79478</v>
      </c>
      <c r="AD29" s="4">
        <v>0</v>
      </c>
      <c r="AE29" s="4">
        <v>0</v>
      </c>
      <c r="AF29" s="4">
        <v>17532.577476996343</v>
      </c>
      <c r="AG29" s="4">
        <v>0</v>
      </c>
    </row>
    <row r="30" spans="1:33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60</v>
      </c>
      <c r="G30" s="3" t="s">
        <v>25</v>
      </c>
      <c r="H30" s="3" t="s">
        <v>25</v>
      </c>
      <c r="I30" s="6">
        <v>44409</v>
      </c>
      <c r="J30" s="4">
        <v>0</v>
      </c>
      <c r="K30" s="4">
        <v>0</v>
      </c>
      <c r="L30" s="4">
        <v>414.50400000000002</v>
      </c>
      <c r="M30" s="4">
        <v>414.50400000000002</v>
      </c>
      <c r="N30" s="4">
        <v>0</v>
      </c>
      <c r="O30" s="4">
        <v>0</v>
      </c>
      <c r="P30" s="4">
        <v>1</v>
      </c>
      <c r="Q30" s="3" t="s">
        <v>57</v>
      </c>
      <c r="R30" s="3">
        <v>0</v>
      </c>
      <c r="S30" s="4">
        <v>0</v>
      </c>
      <c r="T30" s="4">
        <v>6</v>
      </c>
      <c r="U30" s="4">
        <v>0</v>
      </c>
      <c r="V30" s="4">
        <v>0</v>
      </c>
      <c r="W30" s="4">
        <v>35.86</v>
      </c>
      <c r="X30" s="4">
        <v>0</v>
      </c>
      <c r="Y30" s="4"/>
      <c r="Z30" s="4">
        <v>48.097314783967931</v>
      </c>
      <c r="AA30" s="4"/>
      <c r="AB30" s="4">
        <v>0</v>
      </c>
      <c r="AC30" s="4">
        <v>14864.113440000001</v>
      </c>
      <c r="AD30" s="4">
        <v>0</v>
      </c>
      <c r="AE30" s="4">
        <v>0</v>
      </c>
      <c r="AF30" s="4">
        <v>19936.529367213843</v>
      </c>
      <c r="AG30" s="4">
        <v>0</v>
      </c>
    </row>
    <row r="31" spans="1:33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60</v>
      </c>
      <c r="G31" s="3" t="s">
        <v>25</v>
      </c>
      <c r="H31" s="3" t="s">
        <v>25</v>
      </c>
      <c r="I31" s="6">
        <v>44440</v>
      </c>
      <c r="J31" s="4">
        <v>0</v>
      </c>
      <c r="K31" s="4">
        <v>0</v>
      </c>
      <c r="L31" s="4">
        <v>6877.1030000000001</v>
      </c>
      <c r="M31" s="4">
        <v>6877.1030000000001</v>
      </c>
      <c r="N31" s="4">
        <v>0</v>
      </c>
      <c r="O31" s="4">
        <v>0</v>
      </c>
      <c r="P31" s="4">
        <v>2</v>
      </c>
      <c r="Q31" s="3" t="s">
        <v>57</v>
      </c>
      <c r="R31" s="3">
        <v>0</v>
      </c>
      <c r="S31" s="4">
        <v>0</v>
      </c>
      <c r="T31" s="4">
        <v>6</v>
      </c>
      <c r="U31" s="4">
        <v>0</v>
      </c>
      <c r="V31" s="4">
        <v>0</v>
      </c>
      <c r="W31" s="4">
        <v>35.86</v>
      </c>
      <c r="X31" s="4">
        <v>0</v>
      </c>
      <c r="Y31" s="4"/>
      <c r="Z31" s="4">
        <v>48.097314783967931</v>
      </c>
      <c r="AA31" s="4"/>
      <c r="AB31" s="4">
        <v>0</v>
      </c>
      <c r="AC31" s="4">
        <v>246612.91357999999</v>
      </c>
      <c r="AD31" s="4">
        <v>0</v>
      </c>
      <c r="AE31" s="4">
        <v>0</v>
      </c>
      <c r="AF31" s="4">
        <v>330770.18779277022</v>
      </c>
      <c r="AG31" s="4">
        <v>0</v>
      </c>
    </row>
    <row r="32" spans="1:33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60</v>
      </c>
      <c r="G32" s="3" t="s">
        <v>25</v>
      </c>
      <c r="H32" s="3" t="s">
        <v>25</v>
      </c>
      <c r="I32" s="6">
        <v>44470</v>
      </c>
      <c r="J32" s="4">
        <v>0</v>
      </c>
      <c r="K32" s="4">
        <v>0</v>
      </c>
      <c r="L32" s="4">
        <v>6822.4920000000002</v>
      </c>
      <c r="M32" s="4">
        <v>6822.4920000000002</v>
      </c>
      <c r="N32" s="4">
        <v>0</v>
      </c>
      <c r="O32" s="4">
        <v>0</v>
      </c>
      <c r="P32" s="4">
        <v>2</v>
      </c>
      <c r="Q32" s="3" t="s">
        <v>57</v>
      </c>
      <c r="R32" s="3">
        <v>0</v>
      </c>
      <c r="S32" s="4">
        <v>0</v>
      </c>
      <c r="T32" s="4">
        <v>6</v>
      </c>
      <c r="U32" s="4">
        <v>0</v>
      </c>
      <c r="V32" s="4">
        <v>0</v>
      </c>
      <c r="W32" s="4">
        <v>35.86</v>
      </c>
      <c r="X32" s="4">
        <v>0</v>
      </c>
      <c r="Y32" s="4"/>
      <c r="Z32" s="4">
        <v>48.097314783967931</v>
      </c>
      <c r="AA32" s="4"/>
      <c r="AB32" s="4">
        <v>0</v>
      </c>
      <c r="AC32" s="4">
        <v>244654.56312000001</v>
      </c>
      <c r="AD32" s="4">
        <v>0</v>
      </c>
      <c r="AE32" s="4">
        <v>0</v>
      </c>
      <c r="AF32" s="4">
        <v>328143.54533510294</v>
      </c>
      <c r="AG32" s="4">
        <v>0</v>
      </c>
    </row>
    <row r="33" spans="1:33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60</v>
      </c>
      <c r="G33" s="3" t="s">
        <v>25</v>
      </c>
      <c r="H33" s="3" t="s">
        <v>25</v>
      </c>
      <c r="I33" s="6">
        <v>44501</v>
      </c>
      <c r="J33" s="4">
        <v>0</v>
      </c>
      <c r="K33" s="4">
        <v>0</v>
      </c>
      <c r="L33" s="4">
        <v>10120.803</v>
      </c>
      <c r="M33" s="4">
        <v>10120.803</v>
      </c>
      <c r="N33" s="4">
        <v>0</v>
      </c>
      <c r="O33" s="4">
        <v>0</v>
      </c>
      <c r="P33" s="4">
        <v>3</v>
      </c>
      <c r="Q33" s="3" t="s">
        <v>57</v>
      </c>
      <c r="R33" s="3">
        <v>0</v>
      </c>
      <c r="S33" s="4">
        <v>0</v>
      </c>
      <c r="T33" s="4">
        <v>6</v>
      </c>
      <c r="U33" s="4">
        <v>0</v>
      </c>
      <c r="V33" s="4">
        <v>0</v>
      </c>
      <c r="W33" s="4">
        <v>35.86</v>
      </c>
      <c r="X33" s="4">
        <v>0</v>
      </c>
      <c r="Y33" s="4"/>
      <c r="Z33" s="4">
        <v>48.097314783967931</v>
      </c>
      <c r="AA33" s="4"/>
      <c r="AB33" s="4">
        <v>0</v>
      </c>
      <c r="AC33" s="4">
        <v>362931.99557999999</v>
      </c>
      <c r="AD33" s="4">
        <v>0</v>
      </c>
      <c r="AE33" s="4">
        <v>0</v>
      </c>
      <c r="AF33" s="4">
        <v>486783.447757527</v>
      </c>
      <c r="AG33" s="4">
        <v>0</v>
      </c>
    </row>
    <row r="34" spans="1:33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60</v>
      </c>
      <c r="G34" s="3" t="s">
        <v>25</v>
      </c>
      <c r="H34" s="3" t="s">
        <v>25</v>
      </c>
      <c r="I34" s="6">
        <v>44531</v>
      </c>
      <c r="J34" s="4">
        <v>0</v>
      </c>
      <c r="K34" s="4">
        <v>0</v>
      </c>
      <c r="L34" s="4">
        <v>10300.243</v>
      </c>
      <c r="M34" s="4">
        <v>10300.243</v>
      </c>
      <c r="N34" s="4">
        <v>0</v>
      </c>
      <c r="O34" s="4">
        <v>0</v>
      </c>
      <c r="P34" s="4">
        <v>3</v>
      </c>
      <c r="Q34" s="3" t="s">
        <v>57</v>
      </c>
      <c r="R34" s="3">
        <v>0</v>
      </c>
      <c r="S34" s="4">
        <v>0</v>
      </c>
      <c r="T34" s="4">
        <v>6</v>
      </c>
      <c r="U34" s="4">
        <v>0</v>
      </c>
      <c r="V34" s="4">
        <v>0</v>
      </c>
      <c r="W34" s="4">
        <v>35.86</v>
      </c>
      <c r="X34" s="4">
        <v>0</v>
      </c>
      <c r="Y34" s="4"/>
      <c r="Z34" s="4">
        <v>48.097314783967931</v>
      </c>
      <c r="AA34" s="4"/>
      <c r="AB34" s="4">
        <v>0</v>
      </c>
      <c r="AC34" s="4">
        <v>369366.71398</v>
      </c>
      <c r="AD34" s="4">
        <v>0</v>
      </c>
      <c r="AE34" s="4">
        <v>0</v>
      </c>
      <c r="AF34" s="4">
        <v>495414.02992236224</v>
      </c>
      <c r="AG34" s="4">
        <v>0</v>
      </c>
    </row>
    <row r="35" spans="1:33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60</v>
      </c>
      <c r="G35" s="3" t="s">
        <v>25</v>
      </c>
      <c r="H35" s="3" t="s">
        <v>25</v>
      </c>
      <c r="I35" s="6">
        <v>44562</v>
      </c>
      <c r="J35" s="4">
        <v>0</v>
      </c>
      <c r="K35" s="4">
        <v>0</v>
      </c>
      <c r="L35" s="4">
        <v>7118.0290000000005</v>
      </c>
      <c r="M35" s="4">
        <v>7118.0290000000005</v>
      </c>
      <c r="N35" s="4">
        <v>0</v>
      </c>
      <c r="O35" s="4">
        <v>0</v>
      </c>
      <c r="P35" s="4">
        <v>2</v>
      </c>
      <c r="Q35" s="3" t="s">
        <v>57</v>
      </c>
      <c r="R35" s="3">
        <v>0</v>
      </c>
      <c r="S35" s="4">
        <v>0</v>
      </c>
      <c r="T35" s="4">
        <v>6</v>
      </c>
      <c r="U35" s="4">
        <v>0</v>
      </c>
      <c r="V35" s="4">
        <v>0</v>
      </c>
      <c r="W35" s="4">
        <v>35.86</v>
      </c>
      <c r="X35" s="4">
        <v>0</v>
      </c>
      <c r="Y35" s="4"/>
      <c r="Z35" s="4">
        <v>48.097314783967931</v>
      </c>
      <c r="AA35" s="4"/>
      <c r="AB35" s="4">
        <v>0</v>
      </c>
      <c r="AC35" s="4">
        <v>255252.51994</v>
      </c>
      <c r="AD35" s="4">
        <v>0</v>
      </c>
      <c r="AE35" s="4">
        <v>0</v>
      </c>
      <c r="AF35" s="4">
        <v>342358.08145441249</v>
      </c>
      <c r="AG35" s="4">
        <v>0</v>
      </c>
    </row>
    <row r="36" spans="1:33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60</v>
      </c>
      <c r="G36" s="3" t="s">
        <v>25</v>
      </c>
      <c r="H36" s="3" t="s">
        <v>25</v>
      </c>
      <c r="I36" s="6">
        <v>44593</v>
      </c>
      <c r="J36" s="4">
        <v>0</v>
      </c>
      <c r="K36" s="4">
        <v>0</v>
      </c>
      <c r="L36" s="4">
        <v>10378.311</v>
      </c>
      <c r="M36" s="4">
        <v>10378.311</v>
      </c>
      <c r="N36" s="4">
        <v>0</v>
      </c>
      <c r="O36" s="4">
        <v>0</v>
      </c>
      <c r="P36" s="4">
        <v>3</v>
      </c>
      <c r="Q36" s="3" t="s">
        <v>57</v>
      </c>
      <c r="R36" s="3">
        <v>0</v>
      </c>
      <c r="S36" s="4">
        <v>0</v>
      </c>
      <c r="T36" s="4">
        <v>6</v>
      </c>
      <c r="U36" s="4">
        <v>0</v>
      </c>
      <c r="V36" s="4">
        <v>0</v>
      </c>
      <c r="W36" s="4">
        <v>35.86</v>
      </c>
      <c r="X36" s="4">
        <v>0</v>
      </c>
      <c r="Y36" s="4"/>
      <c r="Z36" s="4">
        <v>48.097314783967931</v>
      </c>
      <c r="AA36" s="4"/>
      <c r="AB36" s="4">
        <v>0</v>
      </c>
      <c r="AC36" s="4">
        <v>372166.23245999997</v>
      </c>
      <c r="AD36" s="4">
        <v>0</v>
      </c>
      <c r="AE36" s="4">
        <v>0</v>
      </c>
      <c r="AF36" s="4">
        <v>499168.89109291701</v>
      </c>
      <c r="AG36" s="4">
        <v>0</v>
      </c>
    </row>
    <row r="37" spans="1:33" ht="11.25" customHeight="1" x14ac:dyDescent="0.25">
      <c r="A37" s="3" t="s">
        <v>27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60</v>
      </c>
      <c r="G37" s="3" t="s">
        <v>25</v>
      </c>
      <c r="H37" s="3" t="s">
        <v>25</v>
      </c>
      <c r="I37" s="6">
        <v>44593</v>
      </c>
      <c r="J37" s="4">
        <v>0</v>
      </c>
      <c r="K37" s="4">
        <v>0</v>
      </c>
      <c r="L37" s="4">
        <v>-2009.1769999999999</v>
      </c>
      <c r="M37" s="4">
        <v>-2009.1769999999999</v>
      </c>
      <c r="N37" s="4">
        <v>0</v>
      </c>
      <c r="O37" s="4">
        <v>0</v>
      </c>
      <c r="P37" s="4">
        <v>0</v>
      </c>
      <c r="Q37" s="3" t="s">
        <v>57</v>
      </c>
      <c r="R37" s="3">
        <v>0</v>
      </c>
      <c r="S37" s="4">
        <v>0</v>
      </c>
      <c r="T37" s="4">
        <v>6</v>
      </c>
      <c r="U37" s="4">
        <v>0</v>
      </c>
      <c r="V37" s="4">
        <v>0</v>
      </c>
      <c r="W37" s="4">
        <v>35.86</v>
      </c>
      <c r="X37" s="4">
        <v>0</v>
      </c>
      <c r="Y37" s="4"/>
      <c r="Z37" s="4">
        <v>48.097314783967931</v>
      </c>
      <c r="AA37" s="4"/>
      <c r="AB37" s="4">
        <v>0</v>
      </c>
      <c r="AC37" s="4">
        <v>-72049.087220000001</v>
      </c>
      <c r="AD37" s="4">
        <v>0</v>
      </c>
      <c r="AE37" s="4">
        <v>0</v>
      </c>
      <c r="AF37" s="4">
        <v>-96636.018625708326</v>
      </c>
      <c r="AG37" s="4">
        <v>0</v>
      </c>
    </row>
    <row r="38" spans="1:33" ht="11.25" customHeight="1" x14ac:dyDescent="0.25">
      <c r="A38" s="3" t="s">
        <v>56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60</v>
      </c>
      <c r="G38" s="3" t="s">
        <v>25</v>
      </c>
      <c r="H38" s="3" t="s">
        <v>25</v>
      </c>
      <c r="I38" s="6">
        <v>44621</v>
      </c>
      <c r="J38" s="4">
        <v>0</v>
      </c>
      <c r="K38" s="4">
        <v>0</v>
      </c>
      <c r="L38" s="4">
        <v>10378.311</v>
      </c>
      <c r="M38" s="4">
        <v>10378.311</v>
      </c>
      <c r="N38" s="4">
        <v>0</v>
      </c>
      <c r="O38" s="4">
        <v>0</v>
      </c>
      <c r="P38" s="4">
        <v>3</v>
      </c>
      <c r="Q38" s="3" t="s">
        <v>57</v>
      </c>
      <c r="R38" s="3">
        <v>0</v>
      </c>
      <c r="S38" s="4">
        <v>0</v>
      </c>
      <c r="T38" s="4">
        <v>6</v>
      </c>
      <c r="U38" s="4">
        <v>0</v>
      </c>
      <c r="V38" s="4">
        <v>0</v>
      </c>
      <c r="W38" s="4">
        <v>35.86</v>
      </c>
      <c r="X38" s="4">
        <v>0</v>
      </c>
      <c r="Y38" s="4"/>
      <c r="Z38" s="4">
        <v>48.097314783967931</v>
      </c>
      <c r="AA38" s="4"/>
      <c r="AB38" s="4">
        <v>0</v>
      </c>
      <c r="AC38" s="4">
        <v>372166.23245999997</v>
      </c>
      <c r="AD38" s="4">
        <v>0</v>
      </c>
      <c r="AE38" s="4">
        <v>0</v>
      </c>
      <c r="AF38" s="4">
        <v>499168.89109291701</v>
      </c>
      <c r="AG38" s="4">
        <v>0</v>
      </c>
    </row>
    <row r="39" spans="1:33" ht="11.25" customHeight="1" x14ac:dyDescent="0.25">
      <c r="A39" s="3" t="s">
        <v>56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60</v>
      </c>
      <c r="G39" s="3" t="s">
        <v>25</v>
      </c>
      <c r="H39" s="3" t="s">
        <v>25</v>
      </c>
      <c r="I39" s="6">
        <v>44621</v>
      </c>
      <c r="J39" s="4">
        <v>0</v>
      </c>
      <c r="K39" s="4">
        <v>0</v>
      </c>
      <c r="L39" s="4">
        <v>-2009.1769999999999</v>
      </c>
      <c r="M39" s="4">
        <v>-2009.1769999999999</v>
      </c>
      <c r="N39" s="4">
        <v>0</v>
      </c>
      <c r="O39" s="4">
        <v>0</v>
      </c>
      <c r="P39" s="4">
        <v>0</v>
      </c>
      <c r="Q39" s="3" t="s">
        <v>57</v>
      </c>
      <c r="R39" s="3">
        <v>0</v>
      </c>
      <c r="S39" s="4">
        <v>0</v>
      </c>
      <c r="T39" s="4">
        <v>6</v>
      </c>
      <c r="U39" s="4">
        <v>0</v>
      </c>
      <c r="V39" s="4">
        <v>0</v>
      </c>
      <c r="W39" s="4">
        <v>35.86</v>
      </c>
      <c r="X39" s="4">
        <v>0</v>
      </c>
      <c r="Y39" s="4"/>
      <c r="Z39" s="4">
        <v>48.097314783967931</v>
      </c>
      <c r="AA39" s="4"/>
      <c r="AB39" s="4">
        <v>0</v>
      </c>
      <c r="AC39" s="4">
        <v>-72049.087220000001</v>
      </c>
      <c r="AD39" s="4">
        <v>0</v>
      </c>
      <c r="AE39" s="4">
        <v>0</v>
      </c>
      <c r="AF39" s="4">
        <v>-96636.018625708326</v>
      </c>
      <c r="AG39" s="4">
        <v>0</v>
      </c>
    </row>
    <row r="40" spans="1:33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60</v>
      </c>
      <c r="G40" s="3" t="s">
        <v>25</v>
      </c>
      <c r="H40" s="3" t="s">
        <v>34</v>
      </c>
      <c r="I40" s="6">
        <v>44287</v>
      </c>
      <c r="J40" s="4">
        <v>1210</v>
      </c>
      <c r="K40" s="4">
        <v>607.32558370000004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57</v>
      </c>
      <c r="R40" s="3">
        <v>0</v>
      </c>
      <c r="S40" s="4">
        <v>4</v>
      </c>
      <c r="T40" s="4">
        <v>0</v>
      </c>
      <c r="U40" s="4">
        <v>0</v>
      </c>
      <c r="V40" s="4">
        <v>28.34</v>
      </c>
      <c r="W40" s="4">
        <v>0</v>
      </c>
      <c r="X40" s="4">
        <v>0</v>
      </c>
      <c r="Y40" s="4">
        <v>32.733818732103543</v>
      </c>
      <c r="Z40" s="4">
        <v>48.097314783967931</v>
      </c>
      <c r="AA40" s="4"/>
      <c r="AB40" s="4">
        <v>17211.607042058</v>
      </c>
      <c r="AC40" s="4">
        <v>0</v>
      </c>
      <c r="AD40" s="4">
        <v>0</v>
      </c>
      <c r="AE40" s="4">
        <v>19880.08556820478</v>
      </c>
      <c r="AF40" s="4">
        <v>0</v>
      </c>
      <c r="AG40" s="4">
        <v>0</v>
      </c>
    </row>
    <row r="41" spans="1:33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60</v>
      </c>
      <c r="G41" s="3" t="s">
        <v>25</v>
      </c>
      <c r="H41" s="3" t="s">
        <v>34</v>
      </c>
      <c r="I41" s="6">
        <v>44317</v>
      </c>
      <c r="J41" s="4">
        <v>1210</v>
      </c>
      <c r="K41" s="4">
        <v>608.3789855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57</v>
      </c>
      <c r="R41" s="3">
        <v>0</v>
      </c>
      <c r="S41" s="4">
        <v>4</v>
      </c>
      <c r="T41" s="4">
        <v>0</v>
      </c>
      <c r="U41" s="4">
        <v>0</v>
      </c>
      <c r="V41" s="4">
        <v>28.34</v>
      </c>
      <c r="W41" s="4">
        <v>0</v>
      </c>
      <c r="X41" s="4">
        <v>0</v>
      </c>
      <c r="Y41" s="4">
        <v>32.733818732103543</v>
      </c>
      <c r="Z41" s="4">
        <v>48.097314783967931</v>
      </c>
      <c r="AA41" s="4"/>
      <c r="AB41" s="4">
        <v>17241.46044907</v>
      </c>
      <c r="AC41" s="4">
        <v>0</v>
      </c>
      <c r="AD41" s="4">
        <v>0</v>
      </c>
      <c r="AE41" s="4">
        <v>19914.56743177805</v>
      </c>
      <c r="AF41" s="4">
        <v>0</v>
      </c>
      <c r="AG41" s="4">
        <v>0</v>
      </c>
    </row>
    <row r="42" spans="1:33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60</v>
      </c>
      <c r="G42" s="3" t="s">
        <v>25</v>
      </c>
      <c r="H42" s="3" t="s">
        <v>34</v>
      </c>
      <c r="I42" s="6">
        <v>44348</v>
      </c>
      <c r="J42" s="4">
        <v>1210</v>
      </c>
      <c r="K42" s="4">
        <v>605.55787050000004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57</v>
      </c>
      <c r="R42" s="3">
        <v>0</v>
      </c>
      <c r="S42" s="4">
        <v>4</v>
      </c>
      <c r="T42" s="4">
        <v>0</v>
      </c>
      <c r="U42" s="4">
        <v>0</v>
      </c>
      <c r="V42" s="4">
        <v>28.34</v>
      </c>
      <c r="W42" s="4">
        <v>0</v>
      </c>
      <c r="X42" s="4">
        <v>0</v>
      </c>
      <c r="Y42" s="4">
        <v>32.733818732103543</v>
      </c>
      <c r="Z42" s="4">
        <v>48.097314783967931</v>
      </c>
      <c r="AA42" s="4"/>
      <c r="AB42" s="4">
        <v>17161.510049970002</v>
      </c>
      <c r="AC42" s="4">
        <v>0</v>
      </c>
      <c r="AD42" s="4">
        <v>0</v>
      </c>
      <c r="AE42" s="4">
        <v>19822.221564745632</v>
      </c>
      <c r="AF42" s="4">
        <v>0</v>
      </c>
      <c r="AG42" s="4">
        <v>0</v>
      </c>
    </row>
    <row r="43" spans="1:33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60</v>
      </c>
      <c r="G43" s="3" t="s">
        <v>25</v>
      </c>
      <c r="H43" s="3" t="s">
        <v>34</v>
      </c>
      <c r="I43" s="6">
        <v>44378</v>
      </c>
      <c r="J43" s="4">
        <v>1210</v>
      </c>
      <c r="K43" s="4">
        <v>635.23677469999996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0</v>
      </c>
      <c r="S43" s="4">
        <v>4</v>
      </c>
      <c r="T43" s="4">
        <v>0</v>
      </c>
      <c r="U43" s="4">
        <v>0</v>
      </c>
      <c r="V43" s="4">
        <v>28.34</v>
      </c>
      <c r="W43" s="4">
        <v>0</v>
      </c>
      <c r="X43" s="4">
        <v>0</v>
      </c>
      <c r="Y43" s="4">
        <v>32.733818732103543</v>
      </c>
      <c r="Z43" s="4">
        <v>48.097314783967931</v>
      </c>
      <c r="AA43" s="4"/>
      <c r="AB43" s="4">
        <v>18002.610194998</v>
      </c>
      <c r="AC43" s="4">
        <v>0</v>
      </c>
      <c r="AD43" s="4">
        <v>0</v>
      </c>
      <c r="AE43" s="4">
        <v>20793.725434995897</v>
      </c>
      <c r="AF43" s="4">
        <v>0</v>
      </c>
      <c r="AG43" s="4">
        <v>0</v>
      </c>
    </row>
    <row r="44" spans="1:33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60</v>
      </c>
      <c r="G44" s="3" t="s">
        <v>25</v>
      </c>
      <c r="H44" s="3" t="s">
        <v>34</v>
      </c>
      <c r="I44" s="6">
        <v>44409</v>
      </c>
      <c r="J44" s="4">
        <v>1210</v>
      </c>
      <c r="K44" s="4">
        <v>604.80840860000001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57</v>
      </c>
      <c r="R44" s="3">
        <v>0</v>
      </c>
      <c r="S44" s="4">
        <v>4</v>
      </c>
      <c r="T44" s="4">
        <v>0</v>
      </c>
      <c r="U44" s="4">
        <v>0</v>
      </c>
      <c r="V44" s="4">
        <v>28.34</v>
      </c>
      <c r="W44" s="4">
        <v>0</v>
      </c>
      <c r="X44" s="4">
        <v>0</v>
      </c>
      <c r="Y44" s="4">
        <v>32.733818732103543</v>
      </c>
      <c r="Z44" s="4">
        <v>48.097314783967931</v>
      </c>
      <c r="AA44" s="4"/>
      <c r="AB44" s="4">
        <v>17140.270299724001</v>
      </c>
      <c r="AC44" s="4">
        <v>0</v>
      </c>
      <c r="AD44" s="4">
        <v>0</v>
      </c>
      <c r="AE44" s="4">
        <v>19797.688814764413</v>
      </c>
      <c r="AF44" s="4">
        <v>0</v>
      </c>
      <c r="AG44" s="4">
        <v>0</v>
      </c>
    </row>
    <row r="45" spans="1:33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60</v>
      </c>
      <c r="G45" s="3" t="s">
        <v>25</v>
      </c>
      <c r="H45" s="3" t="s">
        <v>34</v>
      </c>
      <c r="I45" s="6">
        <v>44440</v>
      </c>
      <c r="J45" s="4">
        <v>4910</v>
      </c>
      <c r="K45" s="4">
        <v>2455.5318020999998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57</v>
      </c>
      <c r="R45" s="3">
        <v>0</v>
      </c>
      <c r="S45" s="4">
        <v>4</v>
      </c>
      <c r="T45" s="4">
        <v>0</v>
      </c>
      <c r="U45" s="4">
        <v>0</v>
      </c>
      <c r="V45" s="4">
        <v>28.34</v>
      </c>
      <c r="W45" s="4">
        <v>0</v>
      </c>
      <c r="X45" s="4">
        <v>0</v>
      </c>
      <c r="Y45" s="4">
        <v>32.733818732103543</v>
      </c>
      <c r="Z45" s="4">
        <v>48.097314783967931</v>
      </c>
      <c r="AA45" s="4"/>
      <c r="AB45" s="4">
        <v>69589.771271513993</v>
      </c>
      <c r="AC45" s="4">
        <v>0</v>
      </c>
      <c r="AD45" s="4">
        <v>0</v>
      </c>
      <c r="AE45" s="4">
        <v>80378.932900856948</v>
      </c>
      <c r="AF45" s="4">
        <v>0</v>
      </c>
      <c r="AG45" s="4">
        <v>0</v>
      </c>
    </row>
    <row r="46" spans="1:33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60</v>
      </c>
      <c r="G46" s="3" t="s">
        <v>25</v>
      </c>
      <c r="H46" s="3" t="s">
        <v>34</v>
      </c>
      <c r="I46" s="6">
        <v>44470</v>
      </c>
      <c r="J46" s="4">
        <v>4910</v>
      </c>
      <c r="K46" s="4">
        <v>2455.9827365000001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0</v>
      </c>
      <c r="S46" s="4">
        <v>4</v>
      </c>
      <c r="T46" s="4">
        <v>0</v>
      </c>
      <c r="U46" s="4">
        <v>0</v>
      </c>
      <c r="V46" s="4">
        <v>28.34</v>
      </c>
      <c r="W46" s="4">
        <v>0</v>
      </c>
      <c r="X46" s="4">
        <v>0</v>
      </c>
      <c r="Y46" s="4">
        <v>32.733818732103543</v>
      </c>
      <c r="Z46" s="4">
        <v>48.097314783967931</v>
      </c>
      <c r="AA46" s="4"/>
      <c r="AB46" s="4">
        <v>69602.550752409996</v>
      </c>
      <c r="AC46" s="4">
        <v>0</v>
      </c>
      <c r="AD46" s="4">
        <v>0</v>
      </c>
      <c r="AE46" s="4">
        <v>80393.693705766622</v>
      </c>
      <c r="AF46" s="4">
        <v>0</v>
      </c>
      <c r="AG46" s="4">
        <v>0</v>
      </c>
    </row>
    <row r="47" spans="1:33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60</v>
      </c>
      <c r="G47" s="3" t="s">
        <v>25</v>
      </c>
      <c r="H47" s="3" t="s">
        <v>34</v>
      </c>
      <c r="I47" s="6">
        <v>44501</v>
      </c>
      <c r="J47" s="4">
        <v>8848</v>
      </c>
      <c r="K47" s="4">
        <v>7471.7574825600004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57</v>
      </c>
      <c r="R47" s="3">
        <v>0</v>
      </c>
      <c r="S47" s="4">
        <v>4</v>
      </c>
      <c r="T47" s="4">
        <v>0</v>
      </c>
      <c r="U47" s="4">
        <v>0</v>
      </c>
      <c r="V47" s="4">
        <v>28.34</v>
      </c>
      <c r="W47" s="4">
        <v>0</v>
      </c>
      <c r="X47" s="4">
        <v>0</v>
      </c>
      <c r="Y47" s="4">
        <v>32.733818732103543</v>
      </c>
      <c r="Z47" s="4">
        <v>48.097314783967931</v>
      </c>
      <c r="AA47" s="4"/>
      <c r="AB47" s="4">
        <v>211749.60705575041</v>
      </c>
      <c r="AC47" s="4">
        <v>0</v>
      </c>
      <c r="AD47" s="4">
        <v>0</v>
      </c>
      <c r="AE47" s="4">
        <v>244579.15504435735</v>
      </c>
      <c r="AF47" s="4">
        <v>0</v>
      </c>
      <c r="AG47" s="4">
        <v>0</v>
      </c>
    </row>
    <row r="48" spans="1:33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60</v>
      </c>
      <c r="G48" s="3" t="s">
        <v>25</v>
      </c>
      <c r="H48" s="3" t="s">
        <v>34</v>
      </c>
      <c r="I48" s="6">
        <v>44531</v>
      </c>
      <c r="J48" s="4">
        <v>9134</v>
      </c>
      <c r="K48" s="4">
        <v>7379.7821435799997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57</v>
      </c>
      <c r="R48" s="3">
        <v>0</v>
      </c>
      <c r="S48" s="4">
        <v>4</v>
      </c>
      <c r="T48" s="4">
        <v>0</v>
      </c>
      <c r="U48" s="4">
        <v>0</v>
      </c>
      <c r="V48" s="4">
        <v>28.34</v>
      </c>
      <c r="W48" s="4">
        <v>0</v>
      </c>
      <c r="X48" s="4">
        <v>0</v>
      </c>
      <c r="Y48" s="4">
        <v>32.733818732103543</v>
      </c>
      <c r="Z48" s="4">
        <v>48.097314783967931</v>
      </c>
      <c r="AA48" s="4"/>
      <c r="AB48" s="4">
        <v>209143.02594905719</v>
      </c>
      <c r="AC48" s="4">
        <v>0</v>
      </c>
      <c r="AD48" s="4">
        <v>0</v>
      </c>
      <c r="AE48" s="4">
        <v>241568.45097036223</v>
      </c>
      <c r="AF48" s="4">
        <v>0</v>
      </c>
      <c r="AG48" s="4">
        <v>0</v>
      </c>
    </row>
    <row r="49" spans="1:33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60</v>
      </c>
      <c r="G49" s="3" t="s">
        <v>25</v>
      </c>
      <c r="H49" s="3" t="s">
        <v>34</v>
      </c>
      <c r="I49" s="6">
        <v>44562</v>
      </c>
      <c r="J49" s="4">
        <v>4960</v>
      </c>
      <c r="K49" s="4">
        <v>4349.5840096000002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0</v>
      </c>
      <c r="S49" s="4">
        <v>4</v>
      </c>
      <c r="T49" s="4">
        <v>0</v>
      </c>
      <c r="U49" s="4">
        <v>0</v>
      </c>
      <c r="V49" s="4">
        <v>28.34</v>
      </c>
      <c r="W49" s="4">
        <v>0</v>
      </c>
      <c r="X49" s="4">
        <v>0</v>
      </c>
      <c r="Y49" s="4">
        <v>32.733818732103543</v>
      </c>
      <c r="Z49" s="4">
        <v>48.097314783967931</v>
      </c>
      <c r="AA49" s="4"/>
      <c r="AB49" s="4">
        <v>123267.21083206401</v>
      </c>
      <c r="AC49" s="4">
        <v>0</v>
      </c>
      <c r="AD49" s="4">
        <v>0</v>
      </c>
      <c r="AE49" s="4">
        <v>142378.49453030253</v>
      </c>
      <c r="AF49" s="4">
        <v>0</v>
      </c>
      <c r="AG49" s="4">
        <v>0</v>
      </c>
    </row>
    <row r="50" spans="1:3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60</v>
      </c>
      <c r="G50" s="3" t="s">
        <v>25</v>
      </c>
      <c r="H50" s="3" t="s">
        <v>34</v>
      </c>
      <c r="I50" s="6">
        <v>44593</v>
      </c>
      <c r="J50" s="4">
        <v>8824</v>
      </c>
      <c r="K50" s="4">
        <v>7312.3944441599997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0</v>
      </c>
      <c r="S50" s="4">
        <v>4</v>
      </c>
      <c r="T50" s="4">
        <v>0</v>
      </c>
      <c r="U50" s="4">
        <v>0</v>
      </c>
      <c r="V50" s="4">
        <v>28.34</v>
      </c>
      <c r="W50" s="4">
        <v>0</v>
      </c>
      <c r="X50" s="4">
        <v>0</v>
      </c>
      <c r="Y50" s="4">
        <v>32.733818732103543</v>
      </c>
      <c r="Z50" s="4">
        <v>48.097314783967931</v>
      </c>
      <c r="AA50" s="4"/>
      <c r="AB50" s="4">
        <v>207233.25854749439</v>
      </c>
      <c r="AC50" s="4">
        <v>0</v>
      </c>
      <c r="AD50" s="4">
        <v>0</v>
      </c>
      <c r="AE50" s="4">
        <v>239362.59423277449</v>
      </c>
      <c r="AF50" s="4">
        <v>0</v>
      </c>
      <c r="AG50" s="4">
        <v>0</v>
      </c>
    </row>
    <row r="51" spans="1:33" ht="11.25" customHeight="1" x14ac:dyDescent="0.25">
      <c r="A51" s="3" t="s">
        <v>56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60</v>
      </c>
      <c r="G51" s="3" t="s">
        <v>25</v>
      </c>
      <c r="H51" s="3" t="s">
        <v>34</v>
      </c>
      <c r="I51" s="6">
        <v>44621</v>
      </c>
      <c r="J51" s="4">
        <v>8824</v>
      </c>
      <c r="K51" s="4">
        <v>7312.3944441599997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0</v>
      </c>
      <c r="S51" s="4">
        <v>4</v>
      </c>
      <c r="T51" s="4">
        <v>0</v>
      </c>
      <c r="U51" s="4">
        <v>0</v>
      </c>
      <c r="V51" s="4">
        <v>28.34</v>
      </c>
      <c r="W51" s="4">
        <v>0</v>
      </c>
      <c r="X51" s="4">
        <v>0</v>
      </c>
      <c r="Y51" s="4">
        <v>32.733818732103543</v>
      </c>
      <c r="Z51" s="4">
        <v>48.097314783967931</v>
      </c>
      <c r="AA51" s="4"/>
      <c r="AB51" s="4">
        <v>207233.25854749439</v>
      </c>
      <c r="AC51" s="4">
        <v>0</v>
      </c>
      <c r="AD51" s="4">
        <v>0</v>
      </c>
      <c r="AE51" s="4">
        <v>239362.59423277449</v>
      </c>
      <c r="AF51" s="4">
        <v>0</v>
      </c>
      <c r="AG51" s="4">
        <v>0</v>
      </c>
    </row>
    <row r="52" spans="1:3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44287</v>
      </c>
      <c r="J52" s="4">
        <v>10839</v>
      </c>
      <c r="K52" s="4">
        <v>10839</v>
      </c>
      <c r="L52" s="4">
        <v>3980.9520000000002</v>
      </c>
      <c r="M52" s="4">
        <v>3980.9520000000002</v>
      </c>
      <c r="N52" s="4">
        <v>3980.9520000000002</v>
      </c>
      <c r="O52" s="4">
        <v>3980.9520000000002</v>
      </c>
      <c r="P52" s="4">
        <v>0</v>
      </c>
      <c r="Q52" s="3" t="s">
        <v>26</v>
      </c>
      <c r="R52" s="3">
        <v>0</v>
      </c>
      <c r="S52" s="4">
        <v>5</v>
      </c>
      <c r="T52" s="4">
        <v>6</v>
      </c>
      <c r="U52" s="4">
        <v>87</v>
      </c>
      <c r="V52" s="4">
        <v>11.59</v>
      </c>
      <c r="W52" s="4">
        <v>35.86</v>
      </c>
      <c r="X52" s="4">
        <v>222.31</v>
      </c>
      <c r="Y52" s="4">
        <v>11.399859625344023</v>
      </c>
      <c r="Z52" s="4">
        <v>48.097314783967931</v>
      </c>
      <c r="AA52" s="4">
        <v>235.31351552243123</v>
      </c>
      <c r="AB52" s="4">
        <v>125624.01</v>
      </c>
      <c r="AC52" s="4">
        <v>142756.93872000001</v>
      </c>
      <c r="AD52" s="4">
        <v>885005.43912000011</v>
      </c>
      <c r="AE52" s="4">
        <v>123563.07847910386</v>
      </c>
      <c r="AF52" s="4">
        <v>191473.10148386672</v>
      </c>
      <c r="AG52" s="4">
        <v>936771.81024605373</v>
      </c>
    </row>
    <row r="53" spans="1:3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44287</v>
      </c>
      <c r="J53" s="4">
        <v>34410</v>
      </c>
      <c r="K53" s="4">
        <v>34410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0</v>
      </c>
      <c r="S53" s="4">
        <v>5</v>
      </c>
      <c r="T53" s="4">
        <v>0</v>
      </c>
      <c r="U53" s="4">
        <v>0</v>
      </c>
      <c r="V53" s="4">
        <v>11.59</v>
      </c>
      <c r="W53" s="4">
        <v>0</v>
      </c>
      <c r="X53" s="4">
        <v>0</v>
      </c>
      <c r="Y53" s="4">
        <v>11.399859625344023</v>
      </c>
      <c r="Z53" s="4">
        <v>48.097314783967931</v>
      </c>
      <c r="AA53" s="4"/>
      <c r="AB53" s="4">
        <v>398811.9</v>
      </c>
      <c r="AC53" s="4">
        <v>0</v>
      </c>
      <c r="AD53" s="4">
        <v>0</v>
      </c>
      <c r="AE53" s="4">
        <v>392269.16970808781</v>
      </c>
      <c r="AF53" s="4">
        <v>0</v>
      </c>
      <c r="AG53" s="4">
        <v>0</v>
      </c>
    </row>
    <row r="54" spans="1:3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44317</v>
      </c>
      <c r="J54" s="4">
        <v>10942</v>
      </c>
      <c r="K54" s="4">
        <v>10942</v>
      </c>
      <c r="L54" s="4">
        <v>4029.835</v>
      </c>
      <c r="M54" s="4">
        <v>4029.835</v>
      </c>
      <c r="N54" s="4">
        <v>4029.835</v>
      </c>
      <c r="O54" s="4">
        <v>4029.835</v>
      </c>
      <c r="P54" s="4">
        <v>0</v>
      </c>
      <c r="Q54" s="3" t="s">
        <v>26</v>
      </c>
      <c r="R54" s="3">
        <v>0</v>
      </c>
      <c r="S54" s="4">
        <v>5</v>
      </c>
      <c r="T54" s="4">
        <v>6</v>
      </c>
      <c r="U54" s="4">
        <v>87</v>
      </c>
      <c r="V54" s="4">
        <v>11.59</v>
      </c>
      <c r="W54" s="4">
        <v>35.86</v>
      </c>
      <c r="X54" s="4">
        <v>222.31</v>
      </c>
      <c r="Y54" s="4">
        <v>11.399859625344023</v>
      </c>
      <c r="Z54" s="4">
        <v>48.097314783967931</v>
      </c>
      <c r="AA54" s="4">
        <v>235.31351552243123</v>
      </c>
      <c r="AB54" s="4">
        <v>126817.78</v>
      </c>
      <c r="AC54" s="4">
        <v>144509.88310000001</v>
      </c>
      <c r="AD54" s="4">
        <v>895872.61884999997</v>
      </c>
      <c r="AE54" s="4">
        <v>124737.2640205143</v>
      </c>
      <c r="AF54" s="4">
        <v>193824.24252245142</v>
      </c>
      <c r="AG54" s="4">
        <v>948274.64082533668</v>
      </c>
    </row>
    <row r="55" spans="1:3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44317</v>
      </c>
      <c r="J55" s="4">
        <v>34444</v>
      </c>
      <c r="K55" s="4">
        <v>34444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0</v>
      </c>
      <c r="S55" s="4">
        <v>5</v>
      </c>
      <c r="T55" s="4">
        <v>0</v>
      </c>
      <c r="U55" s="4">
        <v>0</v>
      </c>
      <c r="V55" s="4">
        <v>11.59</v>
      </c>
      <c r="W55" s="4">
        <v>0</v>
      </c>
      <c r="X55" s="4">
        <v>0</v>
      </c>
      <c r="Y55" s="4">
        <v>11.399859625344023</v>
      </c>
      <c r="Z55" s="4">
        <v>48.097314783967931</v>
      </c>
      <c r="AA55" s="4"/>
      <c r="AB55" s="4">
        <v>399205.96</v>
      </c>
      <c r="AC55" s="4">
        <v>0</v>
      </c>
      <c r="AD55" s="4">
        <v>0</v>
      </c>
      <c r="AE55" s="4">
        <v>392656.76493534952</v>
      </c>
      <c r="AF55" s="4">
        <v>0</v>
      </c>
      <c r="AG55" s="4">
        <v>0</v>
      </c>
    </row>
    <row r="56" spans="1:3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44348</v>
      </c>
      <c r="J56" s="4">
        <v>10325</v>
      </c>
      <c r="K56" s="4">
        <v>10325</v>
      </c>
      <c r="L56" s="4">
        <v>3862.712</v>
      </c>
      <c r="M56" s="4">
        <v>3862.712</v>
      </c>
      <c r="N56" s="4">
        <v>3862.712</v>
      </c>
      <c r="O56" s="4">
        <v>3862.712</v>
      </c>
      <c r="P56" s="4">
        <v>0</v>
      </c>
      <c r="Q56" s="3" t="s">
        <v>26</v>
      </c>
      <c r="R56" s="3">
        <v>0</v>
      </c>
      <c r="S56" s="4">
        <v>5</v>
      </c>
      <c r="T56" s="4">
        <v>6</v>
      </c>
      <c r="U56" s="4">
        <v>87</v>
      </c>
      <c r="V56" s="4">
        <v>11.59</v>
      </c>
      <c r="W56" s="4">
        <v>35.86</v>
      </c>
      <c r="X56" s="4">
        <v>222.31</v>
      </c>
      <c r="Y56" s="4">
        <v>11.399859625344023</v>
      </c>
      <c r="Z56" s="4">
        <v>48.097314783967931</v>
      </c>
      <c r="AA56" s="4">
        <v>235.31351552243123</v>
      </c>
      <c r="AB56" s="4">
        <v>119666.75</v>
      </c>
      <c r="AC56" s="4">
        <v>138516.85232000001</v>
      </c>
      <c r="AD56" s="4">
        <v>858719.50471999997</v>
      </c>
      <c r="AE56" s="4">
        <v>117703.55063167703</v>
      </c>
      <c r="AF56" s="4">
        <v>185786.07498381034</v>
      </c>
      <c r="AG56" s="4">
        <v>908948.34017068136</v>
      </c>
    </row>
    <row r="57" spans="1:3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44348</v>
      </c>
      <c r="J57" s="4">
        <v>34262</v>
      </c>
      <c r="K57" s="4">
        <v>34262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0</v>
      </c>
      <c r="S57" s="4">
        <v>5</v>
      </c>
      <c r="T57" s="4">
        <v>0</v>
      </c>
      <c r="U57" s="4">
        <v>0</v>
      </c>
      <c r="V57" s="4">
        <v>11.59</v>
      </c>
      <c r="W57" s="4">
        <v>0</v>
      </c>
      <c r="X57" s="4">
        <v>0</v>
      </c>
      <c r="Y57" s="4">
        <v>11.399859625344023</v>
      </c>
      <c r="Z57" s="4">
        <v>48.097314783967931</v>
      </c>
      <c r="AA57" s="4"/>
      <c r="AB57" s="4">
        <v>397096.58</v>
      </c>
      <c r="AC57" s="4">
        <v>0</v>
      </c>
      <c r="AD57" s="4">
        <v>0</v>
      </c>
      <c r="AE57" s="4">
        <v>390581.99048353691</v>
      </c>
      <c r="AF57" s="4">
        <v>0</v>
      </c>
      <c r="AG57" s="4">
        <v>0</v>
      </c>
    </row>
    <row r="58" spans="1:3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44378</v>
      </c>
      <c r="J58" s="4">
        <v>10465</v>
      </c>
      <c r="K58" s="4">
        <v>10465</v>
      </c>
      <c r="L58" s="4">
        <v>3960.0239999999999</v>
      </c>
      <c r="M58" s="4">
        <v>3960.0239999999999</v>
      </c>
      <c r="N58" s="4">
        <v>3960.0239999999999</v>
      </c>
      <c r="O58" s="4">
        <v>3960.0239999999999</v>
      </c>
      <c r="P58" s="4">
        <v>0</v>
      </c>
      <c r="Q58" s="3" t="s">
        <v>26</v>
      </c>
      <c r="R58" s="3">
        <v>0</v>
      </c>
      <c r="S58" s="4">
        <v>5</v>
      </c>
      <c r="T58" s="4">
        <v>6</v>
      </c>
      <c r="U58" s="4">
        <v>87</v>
      </c>
      <c r="V58" s="4">
        <v>11.59</v>
      </c>
      <c r="W58" s="4">
        <v>35.86</v>
      </c>
      <c r="X58" s="4">
        <v>222.31</v>
      </c>
      <c r="Y58" s="4">
        <v>11.399859625344023</v>
      </c>
      <c r="Z58" s="4">
        <v>48.097314783967931</v>
      </c>
      <c r="AA58" s="4">
        <v>235.31351552243123</v>
      </c>
      <c r="AB58" s="4">
        <v>121289.34999999999</v>
      </c>
      <c r="AC58" s="4">
        <v>142006.46064</v>
      </c>
      <c r="AD58" s="4">
        <v>880352.93544000003</v>
      </c>
      <c r="AE58" s="4">
        <v>119299.53097922519</v>
      </c>
      <c r="AF58" s="4">
        <v>190466.52088006781</v>
      </c>
      <c r="AG58" s="4">
        <v>931847.16899320018</v>
      </c>
    </row>
    <row r="59" spans="1:3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44378</v>
      </c>
      <c r="J59" s="4">
        <v>34325</v>
      </c>
      <c r="K59" s="4">
        <v>34325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0</v>
      </c>
      <c r="S59" s="4">
        <v>5</v>
      </c>
      <c r="T59" s="4">
        <v>0</v>
      </c>
      <c r="U59" s="4">
        <v>0</v>
      </c>
      <c r="V59" s="4">
        <v>11.59</v>
      </c>
      <c r="W59" s="4">
        <v>0</v>
      </c>
      <c r="X59" s="4">
        <v>0</v>
      </c>
      <c r="Y59" s="4">
        <v>11.399859625344023</v>
      </c>
      <c r="Z59" s="4">
        <v>48.097314783967931</v>
      </c>
      <c r="AA59" s="4"/>
      <c r="AB59" s="4">
        <v>397826.75</v>
      </c>
      <c r="AC59" s="4">
        <v>0</v>
      </c>
      <c r="AD59" s="4">
        <v>0</v>
      </c>
      <c r="AE59" s="4">
        <v>391300.18163993361</v>
      </c>
      <c r="AF59" s="4">
        <v>0</v>
      </c>
      <c r="AG59" s="4">
        <v>0</v>
      </c>
    </row>
    <row r="60" spans="1:3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44409</v>
      </c>
      <c r="J60" s="4">
        <v>10675</v>
      </c>
      <c r="K60" s="4">
        <v>10675</v>
      </c>
      <c r="L60" s="4">
        <v>3964.2350000000001</v>
      </c>
      <c r="M60" s="4">
        <v>3964.2350000000001</v>
      </c>
      <c r="N60" s="4">
        <v>3964.2350000000001</v>
      </c>
      <c r="O60" s="4">
        <v>3964.2350000000001</v>
      </c>
      <c r="P60" s="4">
        <v>0</v>
      </c>
      <c r="Q60" s="3" t="s">
        <v>26</v>
      </c>
      <c r="R60" s="3">
        <v>0</v>
      </c>
      <c r="S60" s="4">
        <v>5</v>
      </c>
      <c r="T60" s="4">
        <v>6</v>
      </c>
      <c r="U60" s="4">
        <v>87</v>
      </c>
      <c r="V60" s="4">
        <v>11.59</v>
      </c>
      <c r="W60" s="4">
        <v>35.86</v>
      </c>
      <c r="X60" s="4">
        <v>222.31</v>
      </c>
      <c r="Y60" s="4">
        <v>11.399859625344023</v>
      </c>
      <c r="Z60" s="4">
        <v>48.097314783967931</v>
      </c>
      <c r="AA60" s="4">
        <v>235.31351552243123</v>
      </c>
      <c r="AB60" s="4">
        <v>123723.25</v>
      </c>
      <c r="AC60" s="4">
        <v>142157.46710000001</v>
      </c>
      <c r="AD60" s="4">
        <v>881289.08285000001</v>
      </c>
      <c r="AE60" s="4">
        <v>121693.50150054744</v>
      </c>
      <c r="AF60" s="4">
        <v>190669.05867262313</v>
      </c>
      <c r="AG60" s="4">
        <v>932838.07420706516</v>
      </c>
    </row>
    <row r="61" spans="1:3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44409</v>
      </c>
      <c r="J61" s="4">
        <v>34324</v>
      </c>
      <c r="K61" s="4">
        <v>34324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0</v>
      </c>
      <c r="S61" s="4">
        <v>5</v>
      </c>
      <c r="T61" s="4">
        <v>0</v>
      </c>
      <c r="U61" s="4">
        <v>0</v>
      </c>
      <c r="V61" s="4">
        <v>11.59</v>
      </c>
      <c r="W61" s="4">
        <v>0</v>
      </c>
      <c r="X61" s="4">
        <v>0</v>
      </c>
      <c r="Y61" s="4">
        <v>11.399859625344023</v>
      </c>
      <c r="Z61" s="4">
        <v>48.097314783967931</v>
      </c>
      <c r="AA61" s="4"/>
      <c r="AB61" s="4">
        <v>397815.16</v>
      </c>
      <c r="AC61" s="4">
        <v>0</v>
      </c>
      <c r="AD61" s="4">
        <v>0</v>
      </c>
      <c r="AE61" s="4">
        <v>391288.78178030823</v>
      </c>
      <c r="AF61" s="4">
        <v>0</v>
      </c>
      <c r="AG61" s="4">
        <v>0</v>
      </c>
    </row>
    <row r="62" spans="1:33" ht="11.25" customHeight="1" x14ac:dyDescent="0.25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44440</v>
      </c>
      <c r="J62" s="4">
        <v>10672</v>
      </c>
      <c r="K62" s="4">
        <v>10672</v>
      </c>
      <c r="L62" s="4">
        <v>3601.9229999999998</v>
      </c>
      <c r="M62" s="4">
        <v>3601.9229999999998</v>
      </c>
      <c r="N62" s="4">
        <v>3601.9229999999998</v>
      </c>
      <c r="O62" s="4">
        <v>3601.9229999999998</v>
      </c>
      <c r="P62" s="4">
        <v>0</v>
      </c>
      <c r="Q62" s="3" t="s">
        <v>26</v>
      </c>
      <c r="R62" s="3">
        <v>0</v>
      </c>
      <c r="S62" s="4">
        <v>5</v>
      </c>
      <c r="T62" s="4">
        <v>6</v>
      </c>
      <c r="U62" s="4">
        <v>87</v>
      </c>
      <c r="V62" s="4">
        <v>11.59</v>
      </c>
      <c r="W62" s="4">
        <v>35.86</v>
      </c>
      <c r="X62" s="4">
        <v>222.31</v>
      </c>
      <c r="Y62" s="4">
        <v>11.399859625344023</v>
      </c>
      <c r="Z62" s="4">
        <v>48.097314783967931</v>
      </c>
      <c r="AA62" s="4">
        <v>235.31351552243123</v>
      </c>
      <c r="AB62" s="4">
        <v>123688.48</v>
      </c>
      <c r="AC62" s="4">
        <v>129164.95877999999</v>
      </c>
      <c r="AD62" s="4">
        <v>800743.50212999992</v>
      </c>
      <c r="AE62" s="4">
        <v>121659.30192167142</v>
      </c>
      <c r="AF62" s="4">
        <v>173242.8243586141</v>
      </c>
      <c r="AG62" s="4">
        <v>847581.16377110197</v>
      </c>
    </row>
    <row r="63" spans="1:3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44440</v>
      </c>
      <c r="J63" s="4">
        <v>34304</v>
      </c>
      <c r="K63" s="4">
        <v>34304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0</v>
      </c>
      <c r="S63" s="4">
        <v>5</v>
      </c>
      <c r="T63" s="4">
        <v>0</v>
      </c>
      <c r="U63" s="4">
        <v>0</v>
      </c>
      <c r="V63" s="4">
        <v>11.59</v>
      </c>
      <c r="W63" s="4">
        <v>0</v>
      </c>
      <c r="X63" s="4">
        <v>0</v>
      </c>
      <c r="Y63" s="4">
        <v>11.399859625344023</v>
      </c>
      <c r="Z63" s="4">
        <v>48.097314783967931</v>
      </c>
      <c r="AA63" s="4"/>
      <c r="AB63" s="4">
        <v>397583.35999999999</v>
      </c>
      <c r="AC63" s="4">
        <v>0</v>
      </c>
      <c r="AD63" s="4">
        <v>0</v>
      </c>
      <c r="AE63" s="4">
        <v>391060.78458780138</v>
      </c>
      <c r="AF63" s="4">
        <v>0</v>
      </c>
      <c r="AG63" s="4">
        <v>0</v>
      </c>
    </row>
    <row r="64" spans="1:33" ht="11.25" customHeight="1" x14ac:dyDescent="0.25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44470</v>
      </c>
      <c r="J64" s="4">
        <v>11408</v>
      </c>
      <c r="K64" s="4">
        <v>11408</v>
      </c>
      <c r="L64" s="4">
        <v>3525.7629999999999</v>
      </c>
      <c r="M64" s="4">
        <v>3525.7629999999999</v>
      </c>
      <c r="N64" s="4">
        <v>3525.7629999999999</v>
      </c>
      <c r="O64" s="4">
        <v>3525.7629999999999</v>
      </c>
      <c r="P64" s="4">
        <v>0</v>
      </c>
      <c r="Q64" s="3" t="s">
        <v>26</v>
      </c>
      <c r="R64" s="3">
        <v>0</v>
      </c>
      <c r="S64" s="4">
        <v>5</v>
      </c>
      <c r="T64" s="4">
        <v>6</v>
      </c>
      <c r="U64" s="4">
        <v>87</v>
      </c>
      <c r="V64" s="4">
        <v>11.59</v>
      </c>
      <c r="W64" s="4">
        <v>35.86</v>
      </c>
      <c r="X64" s="4">
        <v>222.31</v>
      </c>
      <c r="Y64" s="4">
        <v>11.399859625344023</v>
      </c>
      <c r="Z64" s="4">
        <v>48.097314783967931</v>
      </c>
      <c r="AA64" s="4">
        <v>235.31351552243123</v>
      </c>
      <c r="AB64" s="4">
        <v>132218.72</v>
      </c>
      <c r="AC64" s="4">
        <v>126433.86117999999</v>
      </c>
      <c r="AD64" s="4">
        <v>783812.37252999994</v>
      </c>
      <c r="AE64" s="4">
        <v>130049.59860592462</v>
      </c>
      <c r="AF64" s="4">
        <v>169579.73286466711</v>
      </c>
      <c r="AG64" s="4">
        <v>829659.68642891373</v>
      </c>
    </row>
    <row r="65" spans="1:3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44470</v>
      </c>
      <c r="J65" s="4">
        <v>34372</v>
      </c>
      <c r="K65" s="4">
        <v>34372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0</v>
      </c>
      <c r="S65" s="4">
        <v>5</v>
      </c>
      <c r="T65" s="4">
        <v>0</v>
      </c>
      <c r="U65" s="4">
        <v>0</v>
      </c>
      <c r="V65" s="4">
        <v>11.59</v>
      </c>
      <c r="W65" s="4">
        <v>0</v>
      </c>
      <c r="X65" s="4">
        <v>0</v>
      </c>
      <c r="Y65" s="4">
        <v>11.399859625344023</v>
      </c>
      <c r="Z65" s="4">
        <v>48.097314783967931</v>
      </c>
      <c r="AA65" s="4"/>
      <c r="AB65" s="4">
        <v>398371.48</v>
      </c>
      <c r="AC65" s="4">
        <v>0</v>
      </c>
      <c r="AD65" s="4">
        <v>0</v>
      </c>
      <c r="AE65" s="4">
        <v>391835.97504232475</v>
      </c>
      <c r="AF65" s="4">
        <v>0</v>
      </c>
      <c r="AG65" s="4">
        <v>0</v>
      </c>
    </row>
    <row r="66" spans="1:3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35</v>
      </c>
      <c r="I66" s="6">
        <v>44501</v>
      </c>
      <c r="J66" s="4">
        <v>13314</v>
      </c>
      <c r="K66" s="4">
        <v>13314</v>
      </c>
      <c r="L66" s="4">
        <v>3538.7069999999999</v>
      </c>
      <c r="M66" s="4">
        <v>3538.7069999999999</v>
      </c>
      <c r="N66" s="4">
        <v>3538.7069999999999</v>
      </c>
      <c r="O66" s="4">
        <v>3538.7069999999999</v>
      </c>
      <c r="P66" s="4">
        <v>0</v>
      </c>
      <c r="Q66" s="3" t="s">
        <v>26</v>
      </c>
      <c r="R66" s="3">
        <v>0</v>
      </c>
      <c r="S66" s="4">
        <v>5</v>
      </c>
      <c r="T66" s="4">
        <v>6</v>
      </c>
      <c r="U66" s="4">
        <v>87</v>
      </c>
      <c r="V66" s="4">
        <v>11.59</v>
      </c>
      <c r="W66" s="4">
        <v>35.86</v>
      </c>
      <c r="X66" s="4">
        <v>222.31</v>
      </c>
      <c r="Y66" s="4">
        <v>11.399859625344023</v>
      </c>
      <c r="Z66" s="4">
        <v>48.097314783967931</v>
      </c>
      <c r="AA66" s="4">
        <v>235.31351552243123</v>
      </c>
      <c r="AB66" s="4">
        <v>154309.26</v>
      </c>
      <c r="AC66" s="4">
        <v>126898.03301999999</v>
      </c>
      <c r="AD66" s="4">
        <v>786689.95316999999</v>
      </c>
      <c r="AE66" s="4">
        <v>151777.73105183031</v>
      </c>
      <c r="AF66" s="4">
        <v>170202.30450723079</v>
      </c>
      <c r="AG66" s="4">
        <v>832705.58457383607</v>
      </c>
    </row>
    <row r="67" spans="1:3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35</v>
      </c>
      <c r="I67" s="6">
        <v>44501</v>
      </c>
      <c r="J67" s="4">
        <v>29000</v>
      </c>
      <c r="K67" s="4">
        <v>29000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0</v>
      </c>
      <c r="S67" s="4">
        <v>5</v>
      </c>
      <c r="T67" s="4">
        <v>0</v>
      </c>
      <c r="U67" s="4">
        <v>0</v>
      </c>
      <c r="V67" s="4">
        <v>11.59</v>
      </c>
      <c r="W67" s="4">
        <v>0</v>
      </c>
      <c r="X67" s="4">
        <v>0</v>
      </c>
      <c r="Y67" s="4">
        <v>11.399859625344023</v>
      </c>
      <c r="Z67" s="4">
        <v>48.097314783967931</v>
      </c>
      <c r="AA67" s="4"/>
      <c r="AB67" s="4">
        <v>336110</v>
      </c>
      <c r="AC67" s="4">
        <v>0</v>
      </c>
      <c r="AD67" s="4">
        <v>0</v>
      </c>
      <c r="AE67" s="4">
        <v>330595.92913497664</v>
      </c>
      <c r="AF67" s="4">
        <v>0</v>
      </c>
      <c r="AG67" s="4">
        <v>0</v>
      </c>
    </row>
    <row r="68" spans="1:3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35</v>
      </c>
      <c r="I68" s="6">
        <v>44531</v>
      </c>
      <c r="J68" s="4">
        <v>10912</v>
      </c>
      <c r="K68" s="4">
        <v>10912</v>
      </c>
      <c r="L68" s="4">
        <v>3660.768</v>
      </c>
      <c r="M68" s="4">
        <v>3660.768</v>
      </c>
      <c r="N68" s="4">
        <v>3660.768</v>
      </c>
      <c r="O68" s="4">
        <v>3660.768</v>
      </c>
      <c r="P68" s="4">
        <v>0</v>
      </c>
      <c r="Q68" s="3" t="s">
        <v>26</v>
      </c>
      <c r="R68" s="3">
        <v>0</v>
      </c>
      <c r="S68" s="4">
        <v>5</v>
      </c>
      <c r="T68" s="4">
        <v>6</v>
      </c>
      <c r="U68" s="4">
        <v>87</v>
      </c>
      <c r="V68" s="4">
        <v>11.59</v>
      </c>
      <c r="W68" s="4">
        <v>35.86</v>
      </c>
      <c r="X68" s="4">
        <v>222.31</v>
      </c>
      <c r="Y68" s="4">
        <v>11.399859625344023</v>
      </c>
      <c r="Z68" s="4">
        <v>48.097314783967931</v>
      </c>
      <c r="AA68" s="4">
        <v>235.31351552243123</v>
      </c>
      <c r="AB68" s="4">
        <v>126470.08</v>
      </c>
      <c r="AC68" s="4">
        <v>131275.14048</v>
      </c>
      <c r="AD68" s="4">
        <v>813825.33408000006</v>
      </c>
      <c r="AE68" s="4">
        <v>124395.26823175397</v>
      </c>
      <c r="AF68" s="4">
        <v>176073.11084707672</v>
      </c>
      <c r="AG68" s="4">
        <v>861428.18759201956</v>
      </c>
    </row>
    <row r="69" spans="1:3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35</v>
      </c>
      <c r="I69" s="6">
        <v>44531</v>
      </c>
      <c r="J69" s="4">
        <v>29000</v>
      </c>
      <c r="K69" s="4">
        <v>29000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R69" s="3">
        <v>0</v>
      </c>
      <c r="S69" s="4">
        <v>5</v>
      </c>
      <c r="T69" s="4">
        <v>0</v>
      </c>
      <c r="U69" s="4">
        <v>0</v>
      </c>
      <c r="V69" s="4">
        <v>11.59</v>
      </c>
      <c r="W69" s="4">
        <v>0</v>
      </c>
      <c r="X69" s="4">
        <v>0</v>
      </c>
      <c r="Y69" s="4">
        <v>11.399859625344023</v>
      </c>
      <c r="Z69" s="4">
        <v>48.097314783967931</v>
      </c>
      <c r="AA69" s="4"/>
      <c r="AB69" s="4">
        <v>336110</v>
      </c>
      <c r="AC69" s="4">
        <v>0</v>
      </c>
      <c r="AD69" s="4">
        <v>0</v>
      </c>
      <c r="AE69" s="4">
        <v>330595.92913497664</v>
      </c>
      <c r="AF69" s="4">
        <v>0</v>
      </c>
      <c r="AG69" s="4">
        <v>0</v>
      </c>
    </row>
    <row r="70" spans="1:3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35</v>
      </c>
      <c r="I70" s="6">
        <v>44562</v>
      </c>
      <c r="J70" s="4">
        <v>10869</v>
      </c>
      <c r="K70" s="4">
        <v>10869</v>
      </c>
      <c r="L70" s="4">
        <v>3110.2190000000001</v>
      </c>
      <c r="M70" s="4">
        <v>3110.2190000000001</v>
      </c>
      <c r="N70" s="4">
        <v>3110.2190000000001</v>
      </c>
      <c r="O70" s="4">
        <v>3110.2190000000001</v>
      </c>
      <c r="P70" s="4">
        <v>0</v>
      </c>
      <c r="Q70" s="3" t="s">
        <v>26</v>
      </c>
      <c r="R70" s="3">
        <v>0</v>
      </c>
      <c r="S70" s="4">
        <v>5</v>
      </c>
      <c r="T70" s="4">
        <v>6</v>
      </c>
      <c r="U70" s="4">
        <v>87</v>
      </c>
      <c r="V70" s="4">
        <v>11.59</v>
      </c>
      <c r="W70" s="4">
        <v>35.86</v>
      </c>
      <c r="X70" s="4">
        <v>222.31</v>
      </c>
      <c r="Y70" s="4">
        <v>11.399859625344023</v>
      </c>
      <c r="Z70" s="4">
        <v>48.097314783967931</v>
      </c>
      <c r="AA70" s="4">
        <v>235.31351552243123</v>
      </c>
      <c r="AB70" s="4">
        <v>125971.70999999999</v>
      </c>
      <c r="AC70" s="4">
        <v>111532.45334000001</v>
      </c>
      <c r="AD70" s="4">
        <v>691432.78589000006</v>
      </c>
      <c r="AE70" s="4">
        <v>123905.07426786418</v>
      </c>
      <c r="AF70" s="4">
        <v>149593.18229007797</v>
      </c>
      <c r="AG70" s="4">
        <v>731876.56693466054</v>
      </c>
    </row>
    <row r="71" spans="1:33" ht="11.25" customHeight="1" x14ac:dyDescent="0.25">
      <c r="A71" s="3" t="s">
        <v>27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35</v>
      </c>
      <c r="I71" s="6">
        <v>44562</v>
      </c>
      <c r="J71" s="4">
        <v>0</v>
      </c>
      <c r="K71" s="4">
        <v>0</v>
      </c>
      <c r="L71" s="4">
        <v>56</v>
      </c>
      <c r="M71" s="4">
        <v>56</v>
      </c>
      <c r="N71" s="4">
        <v>56</v>
      </c>
      <c r="O71" s="4">
        <v>56</v>
      </c>
      <c r="P71" s="4">
        <v>0</v>
      </c>
      <c r="Q71" s="3" t="s">
        <v>26</v>
      </c>
      <c r="R71" s="3">
        <v>0</v>
      </c>
      <c r="S71" s="4">
        <v>0</v>
      </c>
      <c r="T71" s="4">
        <v>6</v>
      </c>
      <c r="U71" s="4">
        <v>87</v>
      </c>
      <c r="V71" s="4">
        <v>0</v>
      </c>
      <c r="W71" s="4">
        <v>35.86</v>
      </c>
      <c r="X71" s="4">
        <v>222.31</v>
      </c>
      <c r="Y71" s="4">
        <v>11.399859625344023</v>
      </c>
      <c r="Z71" s="4">
        <v>48.097314783967931</v>
      </c>
      <c r="AA71" s="4">
        <v>235.31351552243123</v>
      </c>
      <c r="AB71" s="4">
        <v>0</v>
      </c>
      <c r="AC71" s="4">
        <v>2008.1599999999999</v>
      </c>
      <c r="AD71" s="4">
        <v>12449.36</v>
      </c>
      <c r="AE71" s="4">
        <v>0</v>
      </c>
      <c r="AF71" s="4">
        <v>2693.4496279022042</v>
      </c>
      <c r="AG71" s="4">
        <v>13177.556869256148</v>
      </c>
    </row>
    <row r="72" spans="1:3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35</v>
      </c>
      <c r="I72" s="6">
        <v>44562</v>
      </c>
      <c r="J72" s="4">
        <v>34485</v>
      </c>
      <c r="K72" s="4">
        <v>34485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R72" s="3">
        <v>0</v>
      </c>
      <c r="S72" s="4">
        <v>5</v>
      </c>
      <c r="T72" s="4">
        <v>0</v>
      </c>
      <c r="U72" s="4">
        <v>0</v>
      </c>
      <c r="V72" s="4">
        <v>11.59</v>
      </c>
      <c r="W72" s="4">
        <v>0</v>
      </c>
      <c r="X72" s="4">
        <v>0</v>
      </c>
      <c r="Y72" s="4">
        <v>11.399859625344023</v>
      </c>
      <c r="Z72" s="4">
        <v>48.097314783967931</v>
      </c>
      <c r="AA72" s="4"/>
      <c r="AB72" s="4">
        <v>399681.15</v>
      </c>
      <c r="AC72" s="4">
        <v>0</v>
      </c>
      <c r="AD72" s="4">
        <v>0</v>
      </c>
      <c r="AE72" s="4">
        <v>393124.15917998861</v>
      </c>
      <c r="AF72" s="4">
        <v>0</v>
      </c>
      <c r="AG72" s="4">
        <v>0</v>
      </c>
    </row>
    <row r="73" spans="1:3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35</v>
      </c>
      <c r="I73" s="6">
        <v>44593</v>
      </c>
      <c r="J73" s="4">
        <v>10836</v>
      </c>
      <c r="K73" s="4">
        <v>10836</v>
      </c>
      <c r="L73" s="4">
        <v>3208.0810000000001</v>
      </c>
      <c r="M73" s="4">
        <v>3208.0810000000001</v>
      </c>
      <c r="N73" s="4">
        <v>3208.0810000000001</v>
      </c>
      <c r="O73" s="4">
        <v>3208.0810000000001</v>
      </c>
      <c r="P73" s="4">
        <v>0</v>
      </c>
      <c r="Q73" s="3" t="s">
        <v>26</v>
      </c>
      <c r="R73" s="3">
        <v>0</v>
      </c>
      <c r="S73" s="4">
        <v>5</v>
      </c>
      <c r="T73" s="4">
        <v>6</v>
      </c>
      <c r="U73" s="4">
        <v>87</v>
      </c>
      <c r="V73" s="4">
        <v>11.59</v>
      </c>
      <c r="W73" s="4">
        <v>35.86</v>
      </c>
      <c r="X73" s="4">
        <v>222.31</v>
      </c>
      <c r="Y73" s="4">
        <v>11.399859625344023</v>
      </c>
      <c r="Z73" s="4">
        <v>48.097314783967931</v>
      </c>
      <c r="AA73" s="4">
        <v>235.31351552243123</v>
      </c>
      <c r="AB73" s="4">
        <v>125589.24</v>
      </c>
      <c r="AC73" s="4">
        <v>115041.78466</v>
      </c>
      <c r="AD73" s="4">
        <v>713188.48710999999</v>
      </c>
      <c r="AE73" s="4">
        <v>123528.87890022784</v>
      </c>
      <c r="AF73" s="4">
        <v>154300.08170946664</v>
      </c>
      <c r="AG73" s="4">
        <v>754904.81819071679</v>
      </c>
    </row>
    <row r="74" spans="1:33" ht="11.25" customHeight="1" x14ac:dyDescent="0.25">
      <c r="A74" s="3" t="s">
        <v>21</v>
      </c>
      <c r="B74" s="3" t="s">
        <v>39</v>
      </c>
      <c r="C74" s="3" t="s">
        <v>40</v>
      </c>
      <c r="D74" s="3" t="s">
        <v>38</v>
      </c>
      <c r="E74" s="3" t="s">
        <v>25</v>
      </c>
      <c r="F74" s="3" t="s">
        <v>25</v>
      </c>
      <c r="G74" s="3" t="s">
        <v>25</v>
      </c>
      <c r="H74" s="3" t="s">
        <v>35</v>
      </c>
      <c r="I74" s="6">
        <v>44593</v>
      </c>
      <c r="J74" s="4">
        <v>29000</v>
      </c>
      <c r="K74" s="4">
        <v>29000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R74" s="3">
        <v>0</v>
      </c>
      <c r="S74" s="4">
        <v>5</v>
      </c>
      <c r="T74" s="4">
        <v>0</v>
      </c>
      <c r="U74" s="4">
        <v>0</v>
      </c>
      <c r="V74" s="4">
        <v>11.59</v>
      </c>
      <c r="W74" s="4">
        <v>0</v>
      </c>
      <c r="X74" s="4">
        <v>0</v>
      </c>
      <c r="Y74" s="4">
        <v>11.399859625344023</v>
      </c>
      <c r="Z74" s="4">
        <v>48.097314783967931</v>
      </c>
      <c r="AA74" s="4"/>
      <c r="AB74" s="4">
        <v>336110</v>
      </c>
      <c r="AC74" s="4">
        <v>0</v>
      </c>
      <c r="AD74" s="4">
        <v>0</v>
      </c>
      <c r="AE74" s="4">
        <v>330595.92913497664</v>
      </c>
      <c r="AF74" s="4">
        <v>0</v>
      </c>
      <c r="AG74" s="4">
        <v>0</v>
      </c>
    </row>
    <row r="75" spans="1:33" ht="11.25" customHeight="1" x14ac:dyDescent="0.25">
      <c r="A75" s="3" t="s">
        <v>56</v>
      </c>
      <c r="B75" s="3" t="s">
        <v>39</v>
      </c>
      <c r="C75" s="3" t="s">
        <v>40</v>
      </c>
      <c r="D75" s="3" t="s">
        <v>38</v>
      </c>
      <c r="E75" s="3" t="s">
        <v>25</v>
      </c>
      <c r="F75" s="3" t="s">
        <v>25</v>
      </c>
      <c r="G75" s="3" t="s">
        <v>25</v>
      </c>
      <c r="H75" s="3" t="s">
        <v>35</v>
      </c>
      <c r="I75" s="6">
        <v>44621</v>
      </c>
      <c r="J75" s="4">
        <v>10836</v>
      </c>
      <c r="K75" s="4">
        <v>10836</v>
      </c>
      <c r="L75" s="4">
        <v>3208.0810000000001</v>
      </c>
      <c r="M75" s="4">
        <v>3208.0810000000001</v>
      </c>
      <c r="N75" s="4">
        <v>3208.0810000000001</v>
      </c>
      <c r="O75" s="4">
        <v>3208.0810000000001</v>
      </c>
      <c r="P75" s="4">
        <v>0</v>
      </c>
      <c r="Q75" s="3" t="s">
        <v>26</v>
      </c>
      <c r="R75" s="3">
        <v>0</v>
      </c>
      <c r="S75" s="4">
        <v>5</v>
      </c>
      <c r="T75" s="4">
        <v>6</v>
      </c>
      <c r="U75" s="4">
        <v>87</v>
      </c>
      <c r="V75" s="4">
        <v>11.59</v>
      </c>
      <c r="W75" s="4">
        <v>35.86</v>
      </c>
      <c r="X75" s="4">
        <v>222.31</v>
      </c>
      <c r="Y75" s="4">
        <v>11.399859625344023</v>
      </c>
      <c r="Z75" s="4">
        <v>48.097314783967931</v>
      </c>
      <c r="AA75" s="4">
        <v>235.31351552243123</v>
      </c>
      <c r="AB75" s="4">
        <v>125589.24</v>
      </c>
      <c r="AC75" s="4">
        <v>115041.78466</v>
      </c>
      <c r="AD75" s="4">
        <v>713188.48710999999</v>
      </c>
      <c r="AE75" s="4">
        <v>123528.87890022784</v>
      </c>
      <c r="AF75" s="4">
        <v>154300.08170946664</v>
      </c>
      <c r="AG75" s="4">
        <v>754904.81819071679</v>
      </c>
    </row>
    <row r="76" spans="1:33" ht="11.25" customHeight="1" x14ac:dyDescent="0.25">
      <c r="A76" s="3" t="s">
        <v>56</v>
      </c>
      <c r="B76" s="3" t="s">
        <v>39</v>
      </c>
      <c r="C76" s="3" t="s">
        <v>40</v>
      </c>
      <c r="D76" s="3" t="s">
        <v>38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44621</v>
      </c>
      <c r="J76" s="4">
        <v>29000</v>
      </c>
      <c r="K76" s="4">
        <v>29000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R76" s="3">
        <v>0</v>
      </c>
      <c r="S76" s="4">
        <v>5</v>
      </c>
      <c r="T76" s="4">
        <v>0</v>
      </c>
      <c r="U76" s="4">
        <v>0</v>
      </c>
      <c r="V76" s="4">
        <v>11.59</v>
      </c>
      <c r="W76" s="4">
        <v>0</v>
      </c>
      <c r="X76" s="4">
        <v>0</v>
      </c>
      <c r="Y76" s="4">
        <v>11.399859625344023</v>
      </c>
      <c r="Z76" s="4">
        <v>48.097314783967931</v>
      </c>
      <c r="AA76" s="4"/>
      <c r="AB76" s="4">
        <v>336110</v>
      </c>
      <c r="AC76" s="4">
        <v>0</v>
      </c>
      <c r="AD76" s="4">
        <v>0</v>
      </c>
      <c r="AE76" s="4">
        <v>330595.92913497664</v>
      </c>
      <c r="AF76" s="4">
        <v>0</v>
      </c>
      <c r="AG76" s="4">
        <v>0</v>
      </c>
    </row>
    <row r="77" spans="1:33" ht="11.25" customHeight="1" x14ac:dyDescent="0.25">
      <c r="A77" s="3" t="s">
        <v>21</v>
      </c>
      <c r="B77" s="3" t="s">
        <v>39</v>
      </c>
      <c r="C77" s="3" t="s">
        <v>40</v>
      </c>
      <c r="D77" s="3" t="s">
        <v>38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44287</v>
      </c>
      <c r="J77" s="4">
        <v>0</v>
      </c>
      <c r="K77" s="4">
        <v>0</v>
      </c>
      <c r="L77" s="4">
        <v>17535.516</v>
      </c>
      <c r="M77" s="4">
        <v>17535.516</v>
      </c>
      <c r="N77" s="4">
        <v>0</v>
      </c>
      <c r="O77" s="4">
        <v>0</v>
      </c>
      <c r="P77" s="4">
        <v>5</v>
      </c>
      <c r="Q77" s="3" t="s">
        <v>57</v>
      </c>
      <c r="R77" s="3">
        <v>0</v>
      </c>
      <c r="S77" s="4">
        <v>0</v>
      </c>
      <c r="T77" s="4">
        <v>6</v>
      </c>
      <c r="U77" s="4">
        <v>0</v>
      </c>
      <c r="V77" s="4">
        <v>0</v>
      </c>
      <c r="W77" s="4">
        <v>35.86</v>
      </c>
      <c r="X77" s="4">
        <v>0</v>
      </c>
      <c r="Y77" s="4"/>
      <c r="Z77" s="4">
        <v>48.097314783967931</v>
      </c>
      <c r="AA77" s="4"/>
      <c r="AB77" s="4">
        <v>0</v>
      </c>
      <c r="AC77" s="4">
        <v>628823.60375999997</v>
      </c>
      <c r="AD77" s="4">
        <v>0</v>
      </c>
      <c r="AE77" s="4">
        <v>0</v>
      </c>
      <c r="AF77" s="4">
        <v>843411.23295130616</v>
      </c>
      <c r="AG77" s="4">
        <v>0</v>
      </c>
    </row>
    <row r="78" spans="1:33" ht="11.25" customHeight="1" x14ac:dyDescent="0.25">
      <c r="A78" s="3" t="s">
        <v>27</v>
      </c>
      <c r="B78" s="3" t="s">
        <v>39</v>
      </c>
      <c r="C78" s="3" t="s">
        <v>40</v>
      </c>
      <c r="D78" s="3" t="s">
        <v>38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44287</v>
      </c>
      <c r="J78" s="4">
        <v>0</v>
      </c>
      <c r="K78" s="4">
        <v>0</v>
      </c>
      <c r="L78" s="4">
        <v>-8611.0249999999996</v>
      </c>
      <c r="M78" s="4">
        <v>-8611.0249999999996</v>
      </c>
      <c r="N78" s="4">
        <v>0</v>
      </c>
      <c r="O78" s="4">
        <v>0</v>
      </c>
      <c r="P78" s="4">
        <v>0</v>
      </c>
      <c r="Q78" s="3" t="s">
        <v>57</v>
      </c>
      <c r="R78" s="3">
        <v>0</v>
      </c>
      <c r="S78" s="4">
        <v>0</v>
      </c>
      <c r="T78" s="4">
        <v>6</v>
      </c>
      <c r="U78" s="4">
        <v>0</v>
      </c>
      <c r="V78" s="4">
        <v>0</v>
      </c>
      <c r="W78" s="4">
        <v>35.86</v>
      </c>
      <c r="X78" s="4">
        <v>0</v>
      </c>
      <c r="Y78" s="4"/>
      <c r="Z78" s="4">
        <v>48.097314783967931</v>
      </c>
      <c r="AA78" s="4"/>
      <c r="AB78" s="4">
        <v>0</v>
      </c>
      <c r="AC78" s="4">
        <v>-308791.35649999999</v>
      </c>
      <c r="AD78" s="4">
        <v>0</v>
      </c>
      <c r="AE78" s="4">
        <v>0</v>
      </c>
      <c r="AF78" s="4">
        <v>-414167.18003761745</v>
      </c>
      <c r="AG78" s="4">
        <v>0</v>
      </c>
    </row>
    <row r="79" spans="1:33" ht="11.25" customHeight="1" x14ac:dyDescent="0.25">
      <c r="A79" s="3" t="s">
        <v>21</v>
      </c>
      <c r="B79" s="3" t="s">
        <v>39</v>
      </c>
      <c r="C79" s="3" t="s">
        <v>40</v>
      </c>
      <c r="D79" s="3" t="s">
        <v>38</v>
      </c>
      <c r="E79" s="3" t="s">
        <v>25</v>
      </c>
      <c r="F79" s="3" t="s">
        <v>25</v>
      </c>
      <c r="G79" s="3" t="s">
        <v>25</v>
      </c>
      <c r="H79" s="3" t="s">
        <v>25</v>
      </c>
      <c r="I79" s="6">
        <v>44317</v>
      </c>
      <c r="J79" s="4">
        <v>0</v>
      </c>
      <c r="K79" s="4">
        <v>0</v>
      </c>
      <c r="L79" s="4">
        <v>16297.62</v>
      </c>
      <c r="M79" s="4">
        <v>16297.62</v>
      </c>
      <c r="N79" s="4">
        <v>0</v>
      </c>
      <c r="O79" s="4">
        <v>0</v>
      </c>
      <c r="P79" s="4">
        <v>5</v>
      </c>
      <c r="Q79" s="3" t="s">
        <v>57</v>
      </c>
      <c r="R79" s="3">
        <v>0</v>
      </c>
      <c r="S79" s="4">
        <v>0</v>
      </c>
      <c r="T79" s="4">
        <v>6</v>
      </c>
      <c r="U79" s="4">
        <v>0</v>
      </c>
      <c r="V79" s="4">
        <v>0</v>
      </c>
      <c r="W79" s="4">
        <v>35.86</v>
      </c>
      <c r="X79" s="4">
        <v>0</v>
      </c>
      <c r="Y79" s="4"/>
      <c r="Z79" s="4">
        <v>48.097314783967931</v>
      </c>
      <c r="AA79" s="4"/>
      <c r="AB79" s="4">
        <v>0</v>
      </c>
      <c r="AC79" s="4">
        <v>584432.65320000006</v>
      </c>
      <c r="AD79" s="4">
        <v>0</v>
      </c>
      <c r="AE79" s="4">
        <v>0</v>
      </c>
      <c r="AF79" s="4">
        <v>783871.75936949148</v>
      </c>
      <c r="AG79" s="4">
        <v>0</v>
      </c>
    </row>
    <row r="80" spans="1:33" ht="11.25" customHeight="1" x14ac:dyDescent="0.25">
      <c r="A80" s="3" t="s">
        <v>27</v>
      </c>
      <c r="B80" s="3" t="s">
        <v>39</v>
      </c>
      <c r="C80" s="3" t="s">
        <v>40</v>
      </c>
      <c r="D80" s="3" t="s">
        <v>38</v>
      </c>
      <c r="E80" s="3" t="s">
        <v>25</v>
      </c>
      <c r="F80" s="3" t="s">
        <v>25</v>
      </c>
      <c r="G80" s="3" t="s">
        <v>25</v>
      </c>
      <c r="H80" s="3" t="s">
        <v>25</v>
      </c>
      <c r="I80" s="6">
        <v>44317</v>
      </c>
      <c r="J80" s="4">
        <v>0</v>
      </c>
      <c r="K80" s="4">
        <v>0</v>
      </c>
      <c r="L80" s="4">
        <v>-9286.5879999999997</v>
      </c>
      <c r="M80" s="4">
        <v>-9286.5879999999997</v>
      </c>
      <c r="N80" s="4">
        <v>0</v>
      </c>
      <c r="O80" s="4">
        <v>0</v>
      </c>
      <c r="P80" s="4">
        <v>0</v>
      </c>
      <c r="Q80" s="3" t="s">
        <v>57</v>
      </c>
      <c r="R80" s="3">
        <v>0</v>
      </c>
      <c r="S80" s="4">
        <v>0</v>
      </c>
      <c r="T80" s="4">
        <v>6</v>
      </c>
      <c r="U80" s="4">
        <v>0</v>
      </c>
      <c r="V80" s="4">
        <v>0</v>
      </c>
      <c r="W80" s="4">
        <v>35.86</v>
      </c>
      <c r="X80" s="4">
        <v>0</v>
      </c>
      <c r="Y80" s="4"/>
      <c r="Z80" s="4">
        <v>48.097314783967931</v>
      </c>
      <c r="AA80" s="4"/>
      <c r="AB80" s="4">
        <v>0</v>
      </c>
      <c r="AC80" s="4">
        <v>-333017.04567999998</v>
      </c>
      <c r="AD80" s="4">
        <v>0</v>
      </c>
      <c r="AE80" s="4">
        <v>0</v>
      </c>
      <c r="AF80" s="4">
        <v>-446659.9463050192</v>
      </c>
      <c r="AG80" s="4">
        <v>0</v>
      </c>
    </row>
    <row r="81" spans="1:33" ht="11.25" customHeight="1" x14ac:dyDescent="0.25">
      <c r="A81" s="3" t="s">
        <v>21</v>
      </c>
      <c r="B81" s="3" t="s">
        <v>39</v>
      </c>
      <c r="C81" s="3" t="s">
        <v>40</v>
      </c>
      <c r="D81" s="3" t="s">
        <v>38</v>
      </c>
      <c r="E81" s="3" t="s">
        <v>25</v>
      </c>
      <c r="F81" s="3" t="s">
        <v>25</v>
      </c>
      <c r="G81" s="3" t="s">
        <v>25</v>
      </c>
      <c r="H81" s="3" t="s">
        <v>25</v>
      </c>
      <c r="I81" s="6">
        <v>44348</v>
      </c>
      <c r="J81" s="4">
        <v>0</v>
      </c>
      <c r="K81" s="4">
        <v>0</v>
      </c>
      <c r="L81" s="4">
        <v>16579.490000000002</v>
      </c>
      <c r="M81" s="4">
        <v>16579.490000000002</v>
      </c>
      <c r="N81" s="4">
        <v>0</v>
      </c>
      <c r="O81" s="4">
        <v>0</v>
      </c>
      <c r="P81" s="4">
        <v>5</v>
      </c>
      <c r="Q81" s="3" t="s">
        <v>57</v>
      </c>
      <c r="R81" s="3">
        <v>0</v>
      </c>
      <c r="S81" s="4">
        <v>0</v>
      </c>
      <c r="T81" s="4">
        <v>6</v>
      </c>
      <c r="U81" s="4">
        <v>0</v>
      </c>
      <c r="V81" s="4">
        <v>0</v>
      </c>
      <c r="W81" s="4">
        <v>35.86</v>
      </c>
      <c r="X81" s="4">
        <v>0</v>
      </c>
      <c r="Y81" s="4"/>
      <c r="Z81" s="4">
        <v>48.097314783967931</v>
      </c>
      <c r="AA81" s="4"/>
      <c r="AB81" s="4">
        <v>0</v>
      </c>
      <c r="AC81" s="4">
        <v>594540.51140000008</v>
      </c>
      <c r="AD81" s="4">
        <v>0</v>
      </c>
      <c r="AE81" s="4">
        <v>0</v>
      </c>
      <c r="AF81" s="4">
        <v>797428.94948764856</v>
      </c>
      <c r="AG81" s="4">
        <v>0</v>
      </c>
    </row>
    <row r="82" spans="1:33" ht="11.25" customHeight="1" x14ac:dyDescent="0.25">
      <c r="A82" s="3" t="s">
        <v>27</v>
      </c>
      <c r="B82" s="3" t="s">
        <v>39</v>
      </c>
      <c r="C82" s="3" t="s">
        <v>40</v>
      </c>
      <c r="D82" s="3" t="s">
        <v>38</v>
      </c>
      <c r="E82" s="3" t="s">
        <v>25</v>
      </c>
      <c r="F82" s="3" t="s">
        <v>25</v>
      </c>
      <c r="G82" s="3" t="s">
        <v>25</v>
      </c>
      <c r="H82" s="3" t="s">
        <v>25</v>
      </c>
      <c r="I82" s="6">
        <v>44348</v>
      </c>
      <c r="J82" s="4">
        <v>0</v>
      </c>
      <c r="K82" s="4">
        <v>0</v>
      </c>
      <c r="L82" s="4">
        <v>-8567.4310000000005</v>
      </c>
      <c r="M82" s="4">
        <v>-8567.4310000000005</v>
      </c>
      <c r="N82" s="4">
        <v>0</v>
      </c>
      <c r="O82" s="4">
        <v>0</v>
      </c>
      <c r="P82" s="4">
        <v>0</v>
      </c>
      <c r="Q82" s="3" t="s">
        <v>57</v>
      </c>
      <c r="R82" s="3">
        <v>0</v>
      </c>
      <c r="S82" s="4">
        <v>0</v>
      </c>
      <c r="T82" s="4">
        <v>6</v>
      </c>
      <c r="U82" s="4">
        <v>0</v>
      </c>
      <c r="V82" s="4">
        <v>0</v>
      </c>
      <c r="W82" s="4">
        <v>35.86</v>
      </c>
      <c r="X82" s="4">
        <v>0</v>
      </c>
      <c r="Y82" s="4"/>
      <c r="Z82" s="4">
        <v>48.097314783967931</v>
      </c>
      <c r="AA82" s="4"/>
      <c r="AB82" s="4">
        <v>0</v>
      </c>
      <c r="AC82" s="4">
        <v>-307228.07566000003</v>
      </c>
      <c r="AD82" s="4">
        <v>0</v>
      </c>
      <c r="AE82" s="4">
        <v>0</v>
      </c>
      <c r="AF82" s="4">
        <v>-412070.4256969252</v>
      </c>
      <c r="AG82" s="4">
        <v>0</v>
      </c>
    </row>
    <row r="83" spans="1:33" ht="11.25" customHeight="1" x14ac:dyDescent="0.25">
      <c r="A83" s="3" t="s">
        <v>21</v>
      </c>
      <c r="B83" s="3" t="s">
        <v>39</v>
      </c>
      <c r="C83" s="3" t="s">
        <v>40</v>
      </c>
      <c r="D83" s="3" t="s">
        <v>38</v>
      </c>
      <c r="E83" s="3" t="s">
        <v>25</v>
      </c>
      <c r="F83" s="3" t="s">
        <v>25</v>
      </c>
      <c r="G83" s="3" t="s">
        <v>25</v>
      </c>
      <c r="H83" s="3" t="s">
        <v>25</v>
      </c>
      <c r="I83" s="6">
        <v>44378</v>
      </c>
      <c r="J83" s="4">
        <v>0</v>
      </c>
      <c r="K83" s="4">
        <v>0</v>
      </c>
      <c r="L83" s="4">
        <v>16228.864</v>
      </c>
      <c r="M83" s="4">
        <v>16228.864</v>
      </c>
      <c r="N83" s="4">
        <v>0</v>
      </c>
      <c r="O83" s="4">
        <v>0</v>
      </c>
      <c r="P83" s="4">
        <v>5</v>
      </c>
      <c r="Q83" s="3" t="s">
        <v>57</v>
      </c>
      <c r="R83" s="3">
        <v>0</v>
      </c>
      <c r="S83" s="4">
        <v>0</v>
      </c>
      <c r="T83" s="4">
        <v>6</v>
      </c>
      <c r="U83" s="4">
        <v>0</v>
      </c>
      <c r="V83" s="4">
        <v>0</v>
      </c>
      <c r="W83" s="4">
        <v>35.86</v>
      </c>
      <c r="X83" s="4">
        <v>0</v>
      </c>
      <c r="Y83" s="4"/>
      <c r="Z83" s="4">
        <v>48.097314783967931</v>
      </c>
      <c r="AA83" s="4"/>
      <c r="AB83" s="4">
        <v>0</v>
      </c>
      <c r="AC83" s="4">
        <v>581967.06303999992</v>
      </c>
      <c r="AD83" s="4">
        <v>0</v>
      </c>
      <c r="AE83" s="4">
        <v>0</v>
      </c>
      <c r="AF83" s="4">
        <v>780564.78039420489</v>
      </c>
      <c r="AG83" s="4">
        <v>0</v>
      </c>
    </row>
    <row r="84" spans="1:33" ht="11.25" customHeight="1" x14ac:dyDescent="0.25">
      <c r="A84" s="3" t="s">
        <v>27</v>
      </c>
      <c r="B84" s="3" t="s">
        <v>39</v>
      </c>
      <c r="C84" s="3" t="s">
        <v>40</v>
      </c>
      <c r="D84" s="3" t="s">
        <v>38</v>
      </c>
      <c r="E84" s="3" t="s">
        <v>25</v>
      </c>
      <c r="F84" s="3" t="s">
        <v>25</v>
      </c>
      <c r="G84" s="3" t="s">
        <v>25</v>
      </c>
      <c r="H84" s="3" t="s">
        <v>25</v>
      </c>
      <c r="I84" s="6">
        <v>44378</v>
      </c>
      <c r="J84" s="4">
        <v>0</v>
      </c>
      <c r="K84" s="4">
        <v>0</v>
      </c>
      <c r="L84" s="4">
        <v>-8502.1830000000009</v>
      </c>
      <c r="M84" s="4">
        <v>-8502.1830000000009</v>
      </c>
      <c r="N84" s="4">
        <v>0</v>
      </c>
      <c r="O84" s="4">
        <v>0</v>
      </c>
      <c r="P84" s="4">
        <v>0</v>
      </c>
      <c r="Q84" s="3" t="s">
        <v>57</v>
      </c>
      <c r="R84" s="3">
        <v>0</v>
      </c>
      <c r="S84" s="4">
        <v>0</v>
      </c>
      <c r="T84" s="4">
        <v>6</v>
      </c>
      <c r="U84" s="4">
        <v>0</v>
      </c>
      <c r="V84" s="4">
        <v>0</v>
      </c>
      <c r="W84" s="4">
        <v>35.86</v>
      </c>
      <c r="X84" s="4">
        <v>0</v>
      </c>
      <c r="Y84" s="4"/>
      <c r="Z84" s="4">
        <v>48.097314783967931</v>
      </c>
      <c r="AA84" s="4"/>
      <c r="AB84" s="4">
        <v>0</v>
      </c>
      <c r="AC84" s="4">
        <v>-304888.28238000005</v>
      </c>
      <c r="AD84" s="4">
        <v>0</v>
      </c>
      <c r="AE84" s="4">
        <v>0</v>
      </c>
      <c r="AF84" s="4">
        <v>-408932.17210190085</v>
      </c>
      <c r="AG84" s="4">
        <v>0</v>
      </c>
    </row>
    <row r="85" spans="1:33" ht="11.25" customHeight="1" x14ac:dyDescent="0.25">
      <c r="A85" s="3" t="s">
        <v>21</v>
      </c>
      <c r="B85" s="3" t="s">
        <v>39</v>
      </c>
      <c r="C85" s="3" t="s">
        <v>40</v>
      </c>
      <c r="D85" s="3" t="s">
        <v>38</v>
      </c>
      <c r="E85" s="3" t="s">
        <v>25</v>
      </c>
      <c r="F85" s="3" t="s">
        <v>25</v>
      </c>
      <c r="G85" s="3" t="s">
        <v>25</v>
      </c>
      <c r="H85" s="3" t="s">
        <v>25</v>
      </c>
      <c r="I85" s="6">
        <v>44409</v>
      </c>
      <c r="J85" s="4">
        <v>0</v>
      </c>
      <c r="K85" s="4">
        <v>0</v>
      </c>
      <c r="L85" s="4">
        <v>16190.949000000001</v>
      </c>
      <c r="M85" s="4">
        <v>16190.949000000001</v>
      </c>
      <c r="N85" s="4">
        <v>0</v>
      </c>
      <c r="O85" s="4">
        <v>0</v>
      </c>
      <c r="P85" s="4">
        <v>5</v>
      </c>
      <c r="Q85" s="3" t="s">
        <v>57</v>
      </c>
      <c r="R85" s="3">
        <v>0</v>
      </c>
      <c r="S85" s="4">
        <v>0</v>
      </c>
      <c r="T85" s="4">
        <v>6</v>
      </c>
      <c r="U85" s="4">
        <v>0</v>
      </c>
      <c r="V85" s="4">
        <v>0</v>
      </c>
      <c r="W85" s="4">
        <v>35.86</v>
      </c>
      <c r="X85" s="4">
        <v>0</v>
      </c>
      <c r="Y85" s="4"/>
      <c r="Z85" s="4">
        <v>48.097314783967931</v>
      </c>
      <c r="AA85" s="4"/>
      <c r="AB85" s="4">
        <v>0</v>
      </c>
      <c r="AC85" s="4">
        <v>580607.43114</v>
      </c>
      <c r="AD85" s="4">
        <v>0</v>
      </c>
      <c r="AE85" s="4">
        <v>0</v>
      </c>
      <c r="AF85" s="4">
        <v>778741.17070417083</v>
      </c>
      <c r="AG85" s="4">
        <v>0</v>
      </c>
    </row>
    <row r="86" spans="1:33" ht="11.25" customHeight="1" x14ac:dyDescent="0.25">
      <c r="A86" s="3" t="s">
        <v>27</v>
      </c>
      <c r="B86" s="3" t="s">
        <v>39</v>
      </c>
      <c r="C86" s="3" t="s">
        <v>40</v>
      </c>
      <c r="D86" s="3" t="s">
        <v>38</v>
      </c>
      <c r="E86" s="3" t="s">
        <v>25</v>
      </c>
      <c r="F86" s="3" t="s">
        <v>25</v>
      </c>
      <c r="G86" s="3" t="s">
        <v>25</v>
      </c>
      <c r="H86" s="3" t="s">
        <v>25</v>
      </c>
      <c r="I86" s="6">
        <v>44409</v>
      </c>
      <c r="J86" s="4">
        <v>0</v>
      </c>
      <c r="K86" s="4">
        <v>0</v>
      </c>
      <c r="L86" s="4">
        <v>-8514.0499999999993</v>
      </c>
      <c r="M86" s="4">
        <v>-8514.0499999999993</v>
      </c>
      <c r="N86" s="4">
        <v>0</v>
      </c>
      <c r="O86" s="4">
        <v>0</v>
      </c>
      <c r="P86" s="4">
        <v>0</v>
      </c>
      <c r="Q86" s="3" t="s">
        <v>57</v>
      </c>
      <c r="R86" s="3">
        <v>0</v>
      </c>
      <c r="S86" s="4">
        <v>0</v>
      </c>
      <c r="T86" s="4">
        <v>6</v>
      </c>
      <c r="U86" s="4">
        <v>0</v>
      </c>
      <c r="V86" s="4">
        <v>0</v>
      </c>
      <c r="W86" s="4">
        <v>35.86</v>
      </c>
      <c r="X86" s="4">
        <v>0</v>
      </c>
      <c r="Y86" s="4"/>
      <c r="Z86" s="4">
        <v>48.097314783967931</v>
      </c>
      <c r="AA86" s="4"/>
      <c r="AB86" s="4">
        <v>0</v>
      </c>
      <c r="AC86" s="4">
        <v>-305313.83299999998</v>
      </c>
      <c r="AD86" s="4">
        <v>0</v>
      </c>
      <c r="AE86" s="4">
        <v>0</v>
      </c>
      <c r="AF86" s="4">
        <v>-409502.94293644215</v>
      </c>
      <c r="AG86" s="4">
        <v>0</v>
      </c>
    </row>
    <row r="87" spans="1:33" ht="11.25" customHeight="1" x14ac:dyDescent="0.25">
      <c r="A87" s="3" t="s">
        <v>21</v>
      </c>
      <c r="B87" s="3" t="s">
        <v>39</v>
      </c>
      <c r="C87" s="3" t="s">
        <v>40</v>
      </c>
      <c r="D87" s="3" t="s">
        <v>38</v>
      </c>
      <c r="E87" s="3" t="s">
        <v>25</v>
      </c>
      <c r="F87" s="3" t="s">
        <v>25</v>
      </c>
      <c r="G87" s="3" t="s">
        <v>25</v>
      </c>
      <c r="H87" s="3" t="s">
        <v>25</v>
      </c>
      <c r="I87" s="6">
        <v>44440</v>
      </c>
      <c r="J87" s="4">
        <v>0</v>
      </c>
      <c r="K87" s="4">
        <v>0</v>
      </c>
      <c r="L87" s="4">
        <v>16741.626</v>
      </c>
      <c r="M87" s="4">
        <v>16741.626</v>
      </c>
      <c r="N87" s="4">
        <v>0</v>
      </c>
      <c r="O87" s="4">
        <v>0</v>
      </c>
      <c r="P87" s="4">
        <v>5</v>
      </c>
      <c r="Q87" s="3" t="s">
        <v>57</v>
      </c>
      <c r="R87" s="3">
        <v>0</v>
      </c>
      <c r="S87" s="4">
        <v>0</v>
      </c>
      <c r="T87" s="4">
        <v>6</v>
      </c>
      <c r="U87" s="4">
        <v>0</v>
      </c>
      <c r="V87" s="4">
        <v>0</v>
      </c>
      <c r="W87" s="4">
        <v>35.86</v>
      </c>
      <c r="X87" s="4">
        <v>0</v>
      </c>
      <c r="Y87" s="4"/>
      <c r="Z87" s="4">
        <v>48.097314783967931</v>
      </c>
      <c r="AA87" s="4"/>
      <c r="AB87" s="4">
        <v>0</v>
      </c>
      <c r="AC87" s="4">
        <v>600354.70836000005</v>
      </c>
      <c r="AD87" s="4">
        <v>0</v>
      </c>
      <c r="AE87" s="4">
        <v>0</v>
      </c>
      <c r="AF87" s="4">
        <v>805227.25571746193</v>
      </c>
      <c r="AG87" s="4">
        <v>0</v>
      </c>
    </row>
    <row r="88" spans="1:33" ht="11.25" customHeight="1" x14ac:dyDescent="0.25">
      <c r="A88" s="3" t="s">
        <v>27</v>
      </c>
      <c r="B88" s="3" t="s">
        <v>39</v>
      </c>
      <c r="C88" s="3" t="s">
        <v>40</v>
      </c>
      <c r="D88" s="3" t="s">
        <v>38</v>
      </c>
      <c r="E88" s="3" t="s">
        <v>25</v>
      </c>
      <c r="F88" s="3" t="s">
        <v>25</v>
      </c>
      <c r="G88" s="3" t="s">
        <v>25</v>
      </c>
      <c r="H88" s="3" t="s">
        <v>25</v>
      </c>
      <c r="I88" s="6">
        <v>44440</v>
      </c>
      <c r="J88" s="4">
        <v>0</v>
      </c>
      <c r="K88" s="4">
        <v>0</v>
      </c>
      <c r="L88" s="4">
        <v>-8410.0169999999998</v>
      </c>
      <c r="M88" s="4">
        <v>-8410.0169999999998</v>
      </c>
      <c r="N88" s="4">
        <v>0</v>
      </c>
      <c r="O88" s="4">
        <v>0</v>
      </c>
      <c r="P88" s="4">
        <v>0</v>
      </c>
      <c r="Q88" s="3" t="s">
        <v>57</v>
      </c>
      <c r="R88" s="3">
        <v>0</v>
      </c>
      <c r="S88" s="4">
        <v>0</v>
      </c>
      <c r="T88" s="4">
        <v>6</v>
      </c>
      <c r="U88" s="4">
        <v>0</v>
      </c>
      <c r="V88" s="4">
        <v>0</v>
      </c>
      <c r="W88" s="4">
        <v>35.86</v>
      </c>
      <c r="X88" s="4">
        <v>0</v>
      </c>
      <c r="Y88" s="4"/>
      <c r="Z88" s="4">
        <v>48.097314783967931</v>
      </c>
      <c r="AA88" s="4"/>
      <c r="AB88" s="4">
        <v>0</v>
      </c>
      <c r="AC88" s="4">
        <v>-301583.20961999998</v>
      </c>
      <c r="AD88" s="4">
        <v>0</v>
      </c>
      <c r="AE88" s="4">
        <v>0</v>
      </c>
      <c r="AF88" s="4">
        <v>-404499.2349875216</v>
      </c>
      <c r="AG88" s="4">
        <v>0</v>
      </c>
    </row>
    <row r="89" spans="1:33" ht="11.25" customHeight="1" x14ac:dyDescent="0.25">
      <c r="A89" s="3" t="s">
        <v>21</v>
      </c>
      <c r="B89" s="3" t="s">
        <v>39</v>
      </c>
      <c r="C89" s="3" t="s">
        <v>40</v>
      </c>
      <c r="D89" s="3" t="s">
        <v>38</v>
      </c>
      <c r="E89" s="3" t="s">
        <v>25</v>
      </c>
      <c r="F89" s="3" t="s">
        <v>25</v>
      </c>
      <c r="G89" s="3" t="s">
        <v>25</v>
      </c>
      <c r="H89" s="3" t="s">
        <v>25</v>
      </c>
      <c r="I89" s="6">
        <v>44470</v>
      </c>
      <c r="J89" s="4">
        <v>0</v>
      </c>
      <c r="K89" s="4">
        <v>0</v>
      </c>
      <c r="L89" s="4">
        <v>16446.648000000001</v>
      </c>
      <c r="M89" s="4">
        <v>16446.648000000001</v>
      </c>
      <c r="N89" s="4">
        <v>0</v>
      </c>
      <c r="O89" s="4">
        <v>0</v>
      </c>
      <c r="P89" s="4">
        <v>5</v>
      </c>
      <c r="Q89" s="3" t="s">
        <v>57</v>
      </c>
      <c r="R89" s="3">
        <v>0</v>
      </c>
      <c r="S89" s="4">
        <v>0</v>
      </c>
      <c r="T89" s="4">
        <v>6</v>
      </c>
      <c r="U89" s="4">
        <v>0</v>
      </c>
      <c r="V89" s="4">
        <v>0</v>
      </c>
      <c r="W89" s="4">
        <v>35.86</v>
      </c>
      <c r="X89" s="4">
        <v>0</v>
      </c>
      <c r="Y89" s="4"/>
      <c r="Z89" s="4">
        <v>48.097314783967931</v>
      </c>
      <c r="AA89" s="4"/>
      <c r="AB89" s="4">
        <v>0</v>
      </c>
      <c r="AC89" s="4">
        <v>589776.79728000006</v>
      </c>
      <c r="AD89" s="4">
        <v>0</v>
      </c>
      <c r="AE89" s="4">
        <v>0</v>
      </c>
      <c r="AF89" s="4">
        <v>791039.60599711665</v>
      </c>
      <c r="AG89" s="4">
        <v>0</v>
      </c>
    </row>
    <row r="90" spans="1:33" ht="11.25" customHeight="1" x14ac:dyDescent="0.25">
      <c r="A90" s="3" t="s">
        <v>27</v>
      </c>
      <c r="B90" s="3" t="s">
        <v>39</v>
      </c>
      <c r="C90" s="3" t="s">
        <v>40</v>
      </c>
      <c r="D90" s="3" t="s">
        <v>38</v>
      </c>
      <c r="E90" s="3" t="s">
        <v>25</v>
      </c>
      <c r="F90" s="3" t="s">
        <v>25</v>
      </c>
      <c r="G90" s="3" t="s">
        <v>25</v>
      </c>
      <c r="H90" s="3" t="s">
        <v>25</v>
      </c>
      <c r="I90" s="6">
        <v>44470</v>
      </c>
      <c r="J90" s="4">
        <v>0</v>
      </c>
      <c r="K90" s="4">
        <v>0</v>
      </c>
      <c r="L90" s="4">
        <v>-10005.154</v>
      </c>
      <c r="M90" s="4">
        <v>-10005.154</v>
      </c>
      <c r="N90" s="4">
        <v>0</v>
      </c>
      <c r="O90" s="4">
        <v>0</v>
      </c>
      <c r="P90" s="4">
        <v>0</v>
      </c>
      <c r="Q90" s="3" t="s">
        <v>57</v>
      </c>
      <c r="R90" s="3">
        <v>0</v>
      </c>
      <c r="S90" s="4">
        <v>0</v>
      </c>
      <c r="T90" s="4">
        <v>6</v>
      </c>
      <c r="U90" s="4">
        <v>0</v>
      </c>
      <c r="V90" s="4">
        <v>0</v>
      </c>
      <c r="W90" s="4">
        <v>35.86</v>
      </c>
      <c r="X90" s="4">
        <v>0</v>
      </c>
      <c r="Y90" s="4"/>
      <c r="Z90" s="4">
        <v>48.097314783967931</v>
      </c>
      <c r="AA90" s="4"/>
      <c r="AB90" s="4">
        <v>0</v>
      </c>
      <c r="AC90" s="4">
        <v>-358784.82244000002</v>
      </c>
      <c r="AD90" s="4">
        <v>0</v>
      </c>
      <c r="AE90" s="4">
        <v>0</v>
      </c>
      <c r="AF90" s="4">
        <v>-481221.04140007589</v>
      </c>
      <c r="AG90" s="4">
        <v>0</v>
      </c>
    </row>
    <row r="91" spans="1:33" ht="11.25" customHeight="1" x14ac:dyDescent="0.25">
      <c r="A91" s="3" t="s">
        <v>21</v>
      </c>
      <c r="B91" s="3" t="s">
        <v>39</v>
      </c>
      <c r="C91" s="3" t="s">
        <v>40</v>
      </c>
      <c r="D91" s="3" t="s">
        <v>38</v>
      </c>
      <c r="E91" s="3" t="s">
        <v>25</v>
      </c>
      <c r="F91" s="3" t="s">
        <v>25</v>
      </c>
      <c r="G91" s="3" t="s">
        <v>25</v>
      </c>
      <c r="H91" s="3" t="s">
        <v>25</v>
      </c>
      <c r="I91" s="6">
        <v>44501</v>
      </c>
      <c r="J91" s="4">
        <v>0</v>
      </c>
      <c r="K91" s="4">
        <v>0</v>
      </c>
      <c r="L91" s="4">
        <v>13548.636</v>
      </c>
      <c r="M91" s="4">
        <v>13548.636</v>
      </c>
      <c r="N91" s="4">
        <v>0</v>
      </c>
      <c r="O91" s="4">
        <v>0</v>
      </c>
      <c r="P91" s="4">
        <v>4</v>
      </c>
      <c r="Q91" s="3" t="s">
        <v>57</v>
      </c>
      <c r="R91" s="3">
        <v>0</v>
      </c>
      <c r="S91" s="4">
        <v>0</v>
      </c>
      <c r="T91" s="4">
        <v>6</v>
      </c>
      <c r="U91" s="4">
        <v>0</v>
      </c>
      <c r="V91" s="4">
        <v>0</v>
      </c>
      <c r="W91" s="4">
        <v>35.86</v>
      </c>
      <c r="X91" s="4">
        <v>0</v>
      </c>
      <c r="Y91" s="4"/>
      <c r="Z91" s="4">
        <v>48.097314783967931</v>
      </c>
      <c r="AA91" s="4"/>
      <c r="AB91" s="4">
        <v>0</v>
      </c>
      <c r="AC91" s="4">
        <v>485854.08695999999</v>
      </c>
      <c r="AD91" s="4">
        <v>0</v>
      </c>
      <c r="AE91" s="4">
        <v>0</v>
      </c>
      <c r="AF91" s="4">
        <v>651653.01058540016</v>
      </c>
      <c r="AG91" s="4">
        <v>0</v>
      </c>
    </row>
    <row r="92" spans="1:33" ht="11.25" customHeight="1" x14ac:dyDescent="0.25">
      <c r="A92" s="3" t="s">
        <v>27</v>
      </c>
      <c r="B92" s="3" t="s">
        <v>39</v>
      </c>
      <c r="C92" s="3" t="s">
        <v>40</v>
      </c>
      <c r="D92" s="3" t="s">
        <v>38</v>
      </c>
      <c r="E92" s="3" t="s">
        <v>25</v>
      </c>
      <c r="F92" s="3" t="s">
        <v>25</v>
      </c>
      <c r="G92" s="3" t="s">
        <v>25</v>
      </c>
      <c r="H92" s="3" t="s">
        <v>25</v>
      </c>
      <c r="I92" s="6">
        <v>44501</v>
      </c>
      <c r="J92" s="4">
        <v>0</v>
      </c>
      <c r="K92" s="4">
        <v>0</v>
      </c>
      <c r="L92" s="4">
        <v>-10221.031000000001</v>
      </c>
      <c r="M92" s="4">
        <v>-10221.031000000001</v>
      </c>
      <c r="N92" s="4">
        <v>0</v>
      </c>
      <c r="O92" s="4">
        <v>0</v>
      </c>
      <c r="P92" s="4">
        <v>0</v>
      </c>
      <c r="Q92" s="3" t="s">
        <v>57</v>
      </c>
      <c r="R92" s="3">
        <v>0</v>
      </c>
      <c r="S92" s="4">
        <v>0</v>
      </c>
      <c r="T92" s="4">
        <v>6</v>
      </c>
      <c r="U92" s="4">
        <v>0</v>
      </c>
      <c r="V92" s="4">
        <v>0</v>
      </c>
      <c r="W92" s="4">
        <v>35.86</v>
      </c>
      <c r="X92" s="4">
        <v>0</v>
      </c>
      <c r="Y92" s="4"/>
      <c r="Z92" s="4">
        <v>48.097314783967931</v>
      </c>
      <c r="AA92" s="4"/>
      <c r="AB92" s="4">
        <v>0</v>
      </c>
      <c r="AC92" s="4">
        <v>-366526.17166000005</v>
      </c>
      <c r="AD92" s="4">
        <v>0</v>
      </c>
      <c r="AE92" s="4">
        <v>0</v>
      </c>
      <c r="AF92" s="4">
        <v>-491604.14542369457</v>
      </c>
      <c r="AG92" s="4">
        <v>0</v>
      </c>
    </row>
    <row r="93" spans="1:33" ht="11.25" customHeight="1" x14ac:dyDescent="0.25">
      <c r="A93" s="3" t="s">
        <v>21</v>
      </c>
      <c r="B93" s="3" t="s">
        <v>39</v>
      </c>
      <c r="C93" s="3" t="s">
        <v>40</v>
      </c>
      <c r="D93" s="3" t="s">
        <v>38</v>
      </c>
      <c r="E93" s="3" t="s">
        <v>25</v>
      </c>
      <c r="F93" s="3" t="s">
        <v>25</v>
      </c>
      <c r="G93" s="3" t="s">
        <v>25</v>
      </c>
      <c r="H93" s="3" t="s">
        <v>25</v>
      </c>
      <c r="I93" s="6">
        <v>44531</v>
      </c>
      <c r="J93" s="4">
        <v>0</v>
      </c>
      <c r="K93" s="4">
        <v>0</v>
      </c>
      <c r="L93" s="4">
        <v>13127.984</v>
      </c>
      <c r="M93" s="4">
        <v>13127.984</v>
      </c>
      <c r="N93" s="4">
        <v>0</v>
      </c>
      <c r="O93" s="4">
        <v>0</v>
      </c>
      <c r="P93" s="4">
        <v>4</v>
      </c>
      <c r="Q93" s="3" t="s">
        <v>57</v>
      </c>
      <c r="R93" s="3">
        <v>0</v>
      </c>
      <c r="S93" s="4">
        <v>0</v>
      </c>
      <c r="T93" s="4">
        <v>6</v>
      </c>
      <c r="U93" s="4">
        <v>0</v>
      </c>
      <c r="V93" s="4">
        <v>0</v>
      </c>
      <c r="W93" s="4">
        <v>35.86</v>
      </c>
      <c r="X93" s="4">
        <v>0</v>
      </c>
      <c r="Y93" s="4"/>
      <c r="Z93" s="4">
        <v>48.097314783967931</v>
      </c>
      <c r="AA93" s="4"/>
      <c r="AB93" s="4">
        <v>0</v>
      </c>
      <c r="AC93" s="4">
        <v>470769.50624000002</v>
      </c>
      <c r="AD93" s="4">
        <v>0</v>
      </c>
      <c r="AE93" s="4">
        <v>0</v>
      </c>
      <c r="AF93" s="4">
        <v>631420.77892689453</v>
      </c>
      <c r="AG93" s="4">
        <v>0</v>
      </c>
    </row>
    <row r="94" spans="1:33" ht="11.25" customHeight="1" x14ac:dyDescent="0.25">
      <c r="A94" s="3" t="s">
        <v>27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25</v>
      </c>
      <c r="G94" s="3" t="s">
        <v>25</v>
      </c>
      <c r="H94" s="3" t="s">
        <v>25</v>
      </c>
      <c r="I94" s="6">
        <v>44531</v>
      </c>
      <c r="J94" s="4">
        <v>0</v>
      </c>
      <c r="K94" s="4">
        <v>0</v>
      </c>
      <c r="L94" s="4">
        <v>-8846.6949999999997</v>
      </c>
      <c r="M94" s="4">
        <v>-8846.6949999999997</v>
      </c>
      <c r="N94" s="4">
        <v>0</v>
      </c>
      <c r="O94" s="4">
        <v>0</v>
      </c>
      <c r="P94" s="4">
        <v>0</v>
      </c>
      <c r="Q94" s="3" t="s">
        <v>57</v>
      </c>
      <c r="R94" s="3">
        <v>0</v>
      </c>
      <c r="S94" s="4">
        <v>0</v>
      </c>
      <c r="T94" s="4">
        <v>6</v>
      </c>
      <c r="U94" s="4">
        <v>0</v>
      </c>
      <c r="V94" s="4">
        <v>0</v>
      </c>
      <c r="W94" s="4">
        <v>35.86</v>
      </c>
      <c r="X94" s="4">
        <v>0</v>
      </c>
      <c r="Y94" s="4"/>
      <c r="Z94" s="4">
        <v>48.097314783967931</v>
      </c>
      <c r="AA94" s="4"/>
      <c r="AB94" s="4">
        <v>0</v>
      </c>
      <c r="AC94" s="4">
        <v>-317242.48269999999</v>
      </c>
      <c r="AD94" s="4">
        <v>0</v>
      </c>
      <c r="AE94" s="4">
        <v>0</v>
      </c>
      <c r="AF94" s="4">
        <v>-425502.27421275515</v>
      </c>
      <c r="AG94" s="4">
        <v>0</v>
      </c>
    </row>
    <row r="95" spans="1:33" ht="11.25" customHeight="1" x14ac:dyDescent="0.25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25</v>
      </c>
      <c r="G95" s="3" t="s">
        <v>25</v>
      </c>
      <c r="H95" s="3" t="s">
        <v>25</v>
      </c>
      <c r="I95" s="6">
        <v>44562</v>
      </c>
      <c r="J95" s="4">
        <v>0</v>
      </c>
      <c r="K95" s="4">
        <v>0</v>
      </c>
      <c r="L95" s="4">
        <v>16015.737999999999</v>
      </c>
      <c r="M95" s="4">
        <v>16015.737999999999</v>
      </c>
      <c r="N95" s="4">
        <v>0</v>
      </c>
      <c r="O95" s="4">
        <v>0</v>
      </c>
      <c r="P95" s="4">
        <v>5</v>
      </c>
      <c r="Q95" s="3" t="s">
        <v>57</v>
      </c>
      <c r="R95" s="3">
        <v>0</v>
      </c>
      <c r="S95" s="4">
        <v>0</v>
      </c>
      <c r="T95" s="4">
        <v>6</v>
      </c>
      <c r="U95" s="4">
        <v>0</v>
      </c>
      <c r="V95" s="4">
        <v>0</v>
      </c>
      <c r="W95" s="4">
        <v>35.86</v>
      </c>
      <c r="X95" s="4">
        <v>0</v>
      </c>
      <c r="Y95" s="4"/>
      <c r="Z95" s="4">
        <v>48.097314783967931</v>
      </c>
      <c r="AA95" s="4"/>
      <c r="AB95" s="4">
        <v>0</v>
      </c>
      <c r="AC95" s="4">
        <v>574324.36468</v>
      </c>
      <c r="AD95" s="4">
        <v>0</v>
      </c>
      <c r="AE95" s="4">
        <v>0</v>
      </c>
      <c r="AF95" s="4">
        <v>770313.99208355695</v>
      </c>
      <c r="AG95" s="4">
        <v>0</v>
      </c>
    </row>
    <row r="96" spans="1:33" ht="11.25" customHeight="1" x14ac:dyDescent="0.25">
      <c r="A96" s="3" t="s">
        <v>27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25</v>
      </c>
      <c r="G96" s="3" t="s">
        <v>25</v>
      </c>
      <c r="H96" s="3" t="s">
        <v>25</v>
      </c>
      <c r="I96" s="6">
        <v>44562</v>
      </c>
      <c r="J96" s="4">
        <v>0</v>
      </c>
      <c r="K96" s="4">
        <v>0</v>
      </c>
      <c r="L96" s="4">
        <v>-10539.724</v>
      </c>
      <c r="M96" s="4">
        <v>-10539.724</v>
      </c>
      <c r="N96" s="4">
        <v>0</v>
      </c>
      <c r="O96" s="4">
        <v>0</v>
      </c>
      <c r="P96" s="4">
        <v>0</v>
      </c>
      <c r="Q96" s="3" t="s">
        <v>57</v>
      </c>
      <c r="R96" s="3">
        <v>0</v>
      </c>
      <c r="S96" s="4">
        <v>0</v>
      </c>
      <c r="T96" s="4">
        <v>6</v>
      </c>
      <c r="U96" s="4">
        <v>0</v>
      </c>
      <c r="V96" s="4">
        <v>0</v>
      </c>
      <c r="W96" s="4">
        <v>35.86</v>
      </c>
      <c r="X96" s="4">
        <v>0</v>
      </c>
      <c r="Y96" s="4"/>
      <c r="Z96" s="4">
        <v>48.097314783967931</v>
      </c>
      <c r="AA96" s="4"/>
      <c r="AB96" s="4">
        <v>0</v>
      </c>
      <c r="AC96" s="4">
        <v>-377954.50264000002</v>
      </c>
      <c r="AD96" s="4">
        <v>0</v>
      </c>
      <c r="AE96" s="4">
        <v>0</v>
      </c>
      <c r="AF96" s="4">
        <v>-506932.42296414165</v>
      </c>
      <c r="AG96" s="4">
        <v>0</v>
      </c>
    </row>
    <row r="97" spans="1:33" ht="11.25" customHeight="1" x14ac:dyDescent="0.25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25</v>
      </c>
      <c r="G97" s="3" t="s">
        <v>25</v>
      </c>
      <c r="H97" s="3" t="s">
        <v>25</v>
      </c>
      <c r="I97" s="6">
        <v>44593</v>
      </c>
      <c r="J97" s="4">
        <v>0</v>
      </c>
      <c r="K97" s="4">
        <v>0</v>
      </c>
      <c r="L97" s="4">
        <v>12271.759</v>
      </c>
      <c r="M97" s="4">
        <v>12271.759</v>
      </c>
      <c r="N97" s="4">
        <v>0</v>
      </c>
      <c r="O97" s="4">
        <v>0</v>
      </c>
      <c r="P97" s="4">
        <v>4</v>
      </c>
      <c r="Q97" s="3" t="s">
        <v>57</v>
      </c>
      <c r="R97" s="3">
        <v>0</v>
      </c>
      <c r="S97" s="4">
        <v>0</v>
      </c>
      <c r="T97" s="4">
        <v>6</v>
      </c>
      <c r="U97" s="4">
        <v>0</v>
      </c>
      <c r="V97" s="4">
        <v>0</v>
      </c>
      <c r="W97" s="4">
        <v>35.86</v>
      </c>
      <c r="X97" s="4">
        <v>0</v>
      </c>
      <c r="Y97" s="4"/>
      <c r="Z97" s="4">
        <v>48.097314783967931</v>
      </c>
      <c r="AA97" s="4"/>
      <c r="AB97" s="4">
        <v>0</v>
      </c>
      <c r="AC97" s="4">
        <v>440065.27773999999</v>
      </c>
      <c r="AD97" s="4">
        <v>0</v>
      </c>
      <c r="AE97" s="4">
        <v>0</v>
      </c>
      <c r="AF97" s="4">
        <v>590238.65557599149</v>
      </c>
      <c r="AG97" s="4">
        <v>0</v>
      </c>
    </row>
    <row r="98" spans="1:33" ht="11.25" customHeight="1" x14ac:dyDescent="0.25">
      <c r="A98" s="3" t="s">
        <v>27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25</v>
      </c>
      <c r="G98" s="3" t="s">
        <v>25</v>
      </c>
      <c r="H98" s="3" t="s">
        <v>25</v>
      </c>
      <c r="I98" s="6">
        <v>44593</v>
      </c>
      <c r="J98" s="4">
        <v>0</v>
      </c>
      <c r="K98" s="4">
        <v>0</v>
      </c>
      <c r="L98" s="4">
        <v>-9096.8510000000006</v>
      </c>
      <c r="M98" s="4">
        <v>-9096.8510000000006</v>
      </c>
      <c r="N98" s="4">
        <v>0</v>
      </c>
      <c r="O98" s="4">
        <v>0</v>
      </c>
      <c r="P98" s="4">
        <v>0</v>
      </c>
      <c r="Q98" s="3" t="s">
        <v>57</v>
      </c>
      <c r="R98" s="3">
        <v>0</v>
      </c>
      <c r="S98" s="4">
        <v>0</v>
      </c>
      <c r="T98" s="4">
        <v>6</v>
      </c>
      <c r="U98" s="4">
        <v>0</v>
      </c>
      <c r="V98" s="4">
        <v>0</v>
      </c>
      <c r="W98" s="4">
        <v>35.86</v>
      </c>
      <c r="X98" s="4">
        <v>0</v>
      </c>
      <c r="Y98" s="4"/>
      <c r="Z98" s="4">
        <v>48.097314783967931</v>
      </c>
      <c r="AA98" s="4"/>
      <c r="AB98" s="4">
        <v>0</v>
      </c>
      <c r="AC98" s="4">
        <v>-326213.07686000003</v>
      </c>
      <c r="AD98" s="4">
        <v>0</v>
      </c>
      <c r="AE98" s="4">
        <v>0</v>
      </c>
      <c r="AF98" s="4">
        <v>-437534.10608985351</v>
      </c>
      <c r="AG98" s="4">
        <v>0</v>
      </c>
    </row>
    <row r="99" spans="1:33" ht="11.25" customHeight="1" x14ac:dyDescent="0.25">
      <c r="A99" s="3" t="s">
        <v>56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25</v>
      </c>
      <c r="G99" s="3" t="s">
        <v>25</v>
      </c>
      <c r="H99" s="3" t="s">
        <v>25</v>
      </c>
      <c r="I99" s="6">
        <v>44621</v>
      </c>
      <c r="J99" s="4">
        <v>0</v>
      </c>
      <c r="K99" s="4">
        <v>0</v>
      </c>
      <c r="L99" s="4">
        <v>12271.759</v>
      </c>
      <c r="M99" s="4">
        <v>12271.759</v>
      </c>
      <c r="N99" s="4">
        <v>0</v>
      </c>
      <c r="O99" s="4">
        <v>0</v>
      </c>
      <c r="P99" s="4">
        <v>4</v>
      </c>
      <c r="Q99" s="3" t="s">
        <v>57</v>
      </c>
      <c r="R99" s="3">
        <v>0</v>
      </c>
      <c r="S99" s="4">
        <v>0</v>
      </c>
      <c r="T99" s="4">
        <v>6</v>
      </c>
      <c r="U99" s="4">
        <v>0</v>
      </c>
      <c r="V99" s="4">
        <v>0</v>
      </c>
      <c r="W99" s="4">
        <v>35.86</v>
      </c>
      <c r="X99" s="4">
        <v>0</v>
      </c>
      <c r="Y99" s="4"/>
      <c r="Z99" s="4">
        <v>48.097314783967931</v>
      </c>
      <c r="AA99" s="4"/>
      <c r="AB99" s="4">
        <v>0</v>
      </c>
      <c r="AC99" s="4">
        <v>440065.27773999999</v>
      </c>
      <c r="AD99" s="4">
        <v>0</v>
      </c>
      <c r="AE99" s="4">
        <v>0</v>
      </c>
      <c r="AF99" s="4">
        <v>590238.65557599149</v>
      </c>
      <c r="AG99" s="4">
        <v>0</v>
      </c>
    </row>
    <row r="100" spans="1:33" ht="11.25" customHeight="1" x14ac:dyDescent="0.25">
      <c r="A100" s="3" t="s">
        <v>56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25</v>
      </c>
      <c r="G100" s="3" t="s">
        <v>25</v>
      </c>
      <c r="H100" s="3" t="s">
        <v>25</v>
      </c>
      <c r="I100" s="6">
        <v>44621</v>
      </c>
      <c r="J100" s="4">
        <v>0</v>
      </c>
      <c r="K100" s="4">
        <v>0</v>
      </c>
      <c r="L100" s="4">
        <v>-9096.8510000000006</v>
      </c>
      <c r="M100" s="4">
        <v>-9096.8510000000006</v>
      </c>
      <c r="N100" s="4">
        <v>0</v>
      </c>
      <c r="O100" s="4">
        <v>0</v>
      </c>
      <c r="P100" s="4">
        <v>0</v>
      </c>
      <c r="Q100" s="3" t="s">
        <v>57</v>
      </c>
      <c r="R100" s="3">
        <v>0</v>
      </c>
      <c r="S100" s="4">
        <v>0</v>
      </c>
      <c r="T100" s="4">
        <v>6</v>
      </c>
      <c r="U100" s="4">
        <v>0</v>
      </c>
      <c r="V100" s="4">
        <v>0</v>
      </c>
      <c r="W100" s="4">
        <v>35.86</v>
      </c>
      <c r="X100" s="4">
        <v>0</v>
      </c>
      <c r="Y100" s="4"/>
      <c r="Z100" s="4">
        <v>48.097314783967931</v>
      </c>
      <c r="AA100" s="4"/>
      <c r="AB100" s="4">
        <v>0</v>
      </c>
      <c r="AC100" s="4">
        <v>-326213.07686000003</v>
      </c>
      <c r="AD100" s="4">
        <v>0</v>
      </c>
      <c r="AE100" s="4">
        <v>0</v>
      </c>
      <c r="AF100" s="4">
        <v>-437534.10608985351</v>
      </c>
      <c r="AG100" s="4">
        <v>0</v>
      </c>
    </row>
    <row r="101" spans="1:33" ht="11.25" customHeight="1" x14ac:dyDescent="0.25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44287</v>
      </c>
      <c r="J101" s="4">
        <v>6274</v>
      </c>
      <c r="K101" s="4">
        <v>6274</v>
      </c>
      <c r="L101" s="4">
        <v>293.60500000000002</v>
      </c>
      <c r="M101" s="4">
        <v>293.60500000000002</v>
      </c>
      <c r="N101" s="4">
        <v>293.60500000000002</v>
      </c>
      <c r="O101" s="4">
        <v>293.60500000000002</v>
      </c>
      <c r="P101" s="4">
        <v>0</v>
      </c>
      <c r="Q101" s="3" t="s">
        <v>26</v>
      </c>
      <c r="R101" s="3">
        <v>0</v>
      </c>
      <c r="S101" s="4">
        <v>4</v>
      </c>
      <c r="T101" s="4">
        <v>6</v>
      </c>
      <c r="U101" s="4">
        <v>86</v>
      </c>
      <c r="V101" s="4">
        <v>28.34</v>
      </c>
      <c r="W101" s="4">
        <v>35.86</v>
      </c>
      <c r="X101" s="4">
        <v>365.5</v>
      </c>
      <c r="Y101" s="4">
        <v>32.733818732103543</v>
      </c>
      <c r="Z101" s="4">
        <v>48.097314783967931</v>
      </c>
      <c r="AA101" s="4">
        <v>381.42546590200942</v>
      </c>
      <c r="AB101" s="4">
        <v>177805.16</v>
      </c>
      <c r="AC101" s="4">
        <v>10528.675300000001</v>
      </c>
      <c r="AD101" s="4">
        <v>107312.6275</v>
      </c>
      <c r="AE101" s="4">
        <v>205371.97872521763</v>
      </c>
      <c r="AF101" s="4">
        <v>14121.612107146906</v>
      </c>
      <c r="AG101" s="4">
        <v>111988.42391615949</v>
      </c>
    </row>
    <row r="102" spans="1:33" ht="11.25" customHeight="1" x14ac:dyDescent="0.25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44287</v>
      </c>
      <c r="J102" s="4">
        <v>32410</v>
      </c>
      <c r="K102" s="4">
        <v>32410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R102" s="3">
        <v>0</v>
      </c>
      <c r="S102" s="4">
        <v>4</v>
      </c>
      <c r="T102" s="4">
        <v>0</v>
      </c>
      <c r="U102" s="4">
        <v>0</v>
      </c>
      <c r="V102" s="4">
        <v>28.34</v>
      </c>
      <c r="W102" s="4">
        <v>0</v>
      </c>
      <c r="X102" s="4">
        <v>0</v>
      </c>
      <c r="Y102" s="4">
        <v>32.733818732103543</v>
      </c>
      <c r="Z102" s="4">
        <v>48.097314783967931</v>
      </c>
      <c r="AA102" s="4"/>
      <c r="AB102" s="4">
        <v>918499.4</v>
      </c>
      <c r="AC102" s="4">
        <v>0</v>
      </c>
      <c r="AD102" s="4">
        <v>0</v>
      </c>
      <c r="AE102" s="4">
        <v>1060903.0651074757</v>
      </c>
      <c r="AF102" s="4">
        <v>0</v>
      </c>
      <c r="AG102" s="4">
        <v>0</v>
      </c>
    </row>
    <row r="103" spans="1:33" ht="11.25" customHeight="1" x14ac:dyDescent="0.25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44317</v>
      </c>
      <c r="J103" s="4">
        <v>6455</v>
      </c>
      <c r="K103" s="4">
        <v>6455</v>
      </c>
      <c r="L103" s="4">
        <v>309.166</v>
      </c>
      <c r="M103" s="4">
        <v>309.166</v>
      </c>
      <c r="N103" s="4">
        <v>309.166</v>
      </c>
      <c r="O103" s="4">
        <v>309.166</v>
      </c>
      <c r="P103" s="4">
        <v>0</v>
      </c>
      <c r="Q103" s="3" t="s">
        <v>26</v>
      </c>
      <c r="R103" s="3">
        <v>0</v>
      </c>
      <c r="S103" s="4">
        <v>4</v>
      </c>
      <c r="T103" s="4">
        <v>6</v>
      </c>
      <c r="U103" s="4">
        <v>86</v>
      </c>
      <c r="V103" s="4">
        <v>28.34</v>
      </c>
      <c r="W103" s="4">
        <v>35.86</v>
      </c>
      <c r="X103" s="4">
        <v>365.5</v>
      </c>
      <c r="Y103" s="4">
        <v>32.733818732103543</v>
      </c>
      <c r="Z103" s="4">
        <v>48.097314783967931</v>
      </c>
      <c r="AA103" s="4">
        <v>381.42546590200942</v>
      </c>
      <c r="AB103" s="4">
        <v>182934.7</v>
      </c>
      <c r="AC103" s="4">
        <v>11086.69276</v>
      </c>
      <c r="AD103" s="4">
        <v>113000.173</v>
      </c>
      <c r="AE103" s="4">
        <v>211296.79991572836</v>
      </c>
      <c r="AF103" s="4">
        <v>14870.054422500229</v>
      </c>
      <c r="AG103" s="4">
        <v>117923.78559106064</v>
      </c>
    </row>
    <row r="104" spans="1:33" ht="11.25" customHeight="1" x14ac:dyDescent="0.25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44317</v>
      </c>
      <c r="J104" s="4">
        <v>31136</v>
      </c>
      <c r="K104" s="4">
        <v>31136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0</v>
      </c>
      <c r="S104" s="4">
        <v>4</v>
      </c>
      <c r="T104" s="4">
        <v>0</v>
      </c>
      <c r="U104" s="4">
        <v>0</v>
      </c>
      <c r="V104" s="4">
        <v>28.34</v>
      </c>
      <c r="W104" s="4">
        <v>0</v>
      </c>
      <c r="X104" s="4">
        <v>0</v>
      </c>
      <c r="Y104" s="4">
        <v>32.733818732103543</v>
      </c>
      <c r="Z104" s="4">
        <v>48.097314783967931</v>
      </c>
      <c r="AA104" s="4"/>
      <c r="AB104" s="4">
        <v>882394.24</v>
      </c>
      <c r="AC104" s="4">
        <v>0</v>
      </c>
      <c r="AD104" s="4">
        <v>0</v>
      </c>
      <c r="AE104" s="4">
        <v>1019200.1800427759</v>
      </c>
      <c r="AF104" s="4">
        <v>0</v>
      </c>
      <c r="AG104" s="4">
        <v>0</v>
      </c>
    </row>
    <row r="105" spans="1:33" ht="11.25" customHeight="1" x14ac:dyDescent="0.25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44348</v>
      </c>
      <c r="J105" s="4">
        <v>6320</v>
      </c>
      <c r="K105" s="4">
        <v>6320</v>
      </c>
      <c r="L105" s="4">
        <v>309.36700000000002</v>
      </c>
      <c r="M105" s="4">
        <v>309.36700000000002</v>
      </c>
      <c r="N105" s="4">
        <v>309.36700000000002</v>
      </c>
      <c r="O105" s="4">
        <v>309.36700000000002</v>
      </c>
      <c r="P105" s="4">
        <v>0</v>
      </c>
      <c r="Q105" s="3" t="s">
        <v>26</v>
      </c>
      <c r="R105" s="3">
        <v>0</v>
      </c>
      <c r="S105" s="4">
        <v>4</v>
      </c>
      <c r="T105" s="4">
        <v>6</v>
      </c>
      <c r="U105" s="4">
        <v>86</v>
      </c>
      <c r="V105" s="4">
        <v>28.34</v>
      </c>
      <c r="W105" s="4">
        <v>35.86</v>
      </c>
      <c r="X105" s="4">
        <v>365.5</v>
      </c>
      <c r="Y105" s="4">
        <v>32.733818732103543</v>
      </c>
      <c r="Z105" s="4">
        <v>48.097314783967931</v>
      </c>
      <c r="AA105" s="4">
        <v>381.42546590200942</v>
      </c>
      <c r="AB105" s="4">
        <v>179108.8</v>
      </c>
      <c r="AC105" s="4">
        <v>11093.90062</v>
      </c>
      <c r="AD105" s="4">
        <v>113073.6385</v>
      </c>
      <c r="AE105" s="4">
        <v>206877.73438689439</v>
      </c>
      <c r="AF105" s="4">
        <v>14879.721982771807</v>
      </c>
      <c r="AG105" s="4">
        <v>118000.45210970695</v>
      </c>
    </row>
    <row r="106" spans="1:33" ht="11.25" customHeight="1" x14ac:dyDescent="0.25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44348</v>
      </c>
      <c r="J106" s="4">
        <v>31168</v>
      </c>
      <c r="K106" s="4">
        <v>31168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0</v>
      </c>
      <c r="S106" s="4">
        <v>4</v>
      </c>
      <c r="T106" s="4">
        <v>0</v>
      </c>
      <c r="U106" s="4">
        <v>0</v>
      </c>
      <c r="V106" s="4">
        <v>28.34</v>
      </c>
      <c r="W106" s="4">
        <v>0</v>
      </c>
      <c r="X106" s="4">
        <v>0</v>
      </c>
      <c r="Y106" s="4">
        <v>32.733818732103543</v>
      </c>
      <c r="Z106" s="4">
        <v>48.097314783967931</v>
      </c>
      <c r="AA106" s="4"/>
      <c r="AB106" s="4">
        <v>883301.12</v>
      </c>
      <c r="AC106" s="4">
        <v>0</v>
      </c>
      <c r="AD106" s="4">
        <v>0</v>
      </c>
      <c r="AE106" s="4">
        <v>1020247.6622422033</v>
      </c>
      <c r="AF106" s="4">
        <v>0</v>
      </c>
      <c r="AG106" s="4">
        <v>0</v>
      </c>
    </row>
    <row r="107" spans="1:33" ht="11.25" customHeight="1" x14ac:dyDescent="0.25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44378</v>
      </c>
      <c r="J107" s="4">
        <v>6300</v>
      </c>
      <c r="K107" s="4">
        <v>6300</v>
      </c>
      <c r="L107" s="4">
        <v>302.17500000000001</v>
      </c>
      <c r="M107" s="4">
        <v>302.17500000000001</v>
      </c>
      <c r="N107" s="4">
        <v>302.17500000000001</v>
      </c>
      <c r="O107" s="4">
        <v>302.17500000000001</v>
      </c>
      <c r="P107" s="4">
        <v>0</v>
      </c>
      <c r="Q107" s="3" t="s">
        <v>26</v>
      </c>
      <c r="R107" s="3">
        <v>0</v>
      </c>
      <c r="S107" s="4">
        <v>4</v>
      </c>
      <c r="T107" s="4">
        <v>6</v>
      </c>
      <c r="U107" s="4">
        <v>86</v>
      </c>
      <c r="V107" s="4">
        <v>28.34</v>
      </c>
      <c r="W107" s="4">
        <v>35.86</v>
      </c>
      <c r="X107" s="4">
        <v>365.5</v>
      </c>
      <c r="Y107" s="4">
        <v>32.733818732103543</v>
      </c>
      <c r="Z107" s="4">
        <v>48.097314783967931</v>
      </c>
      <c r="AA107" s="4">
        <v>381.42546590200942</v>
      </c>
      <c r="AB107" s="4">
        <v>178542</v>
      </c>
      <c r="AC107" s="4">
        <v>10835.995500000001</v>
      </c>
      <c r="AD107" s="4">
        <v>110444.96250000001</v>
      </c>
      <c r="AE107" s="4">
        <v>206223.05801225232</v>
      </c>
      <c r="AF107" s="4">
        <v>14533.80609484551</v>
      </c>
      <c r="AG107" s="4">
        <v>115257.2401589397</v>
      </c>
    </row>
    <row r="108" spans="1:33" ht="11.25" customHeight="1" x14ac:dyDescent="0.25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44378</v>
      </c>
      <c r="J108" s="4">
        <v>31096</v>
      </c>
      <c r="K108" s="4">
        <v>31096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0</v>
      </c>
      <c r="S108" s="4">
        <v>4</v>
      </c>
      <c r="T108" s="4">
        <v>0</v>
      </c>
      <c r="U108" s="4">
        <v>0</v>
      </c>
      <c r="V108" s="4">
        <v>28.34</v>
      </c>
      <c r="W108" s="4">
        <v>0</v>
      </c>
      <c r="X108" s="4">
        <v>0</v>
      </c>
      <c r="Y108" s="4">
        <v>32.733818732103543</v>
      </c>
      <c r="Z108" s="4">
        <v>48.097314783967931</v>
      </c>
      <c r="AA108" s="4"/>
      <c r="AB108" s="4">
        <v>881260.64</v>
      </c>
      <c r="AC108" s="4">
        <v>0</v>
      </c>
      <c r="AD108" s="4">
        <v>0</v>
      </c>
      <c r="AE108" s="4">
        <v>1017890.8272934918</v>
      </c>
      <c r="AF108" s="4">
        <v>0</v>
      </c>
      <c r="AG108" s="4">
        <v>0</v>
      </c>
    </row>
    <row r="109" spans="1:33" ht="11.25" customHeight="1" x14ac:dyDescent="0.25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44409</v>
      </c>
      <c r="J109" s="4">
        <v>6720</v>
      </c>
      <c r="K109" s="4">
        <v>6720</v>
      </c>
      <c r="L109" s="4">
        <v>314.81799999999998</v>
      </c>
      <c r="M109" s="4">
        <v>314.81799999999998</v>
      </c>
      <c r="N109" s="4">
        <v>314.81799999999998</v>
      </c>
      <c r="O109" s="4">
        <v>314.81799999999998</v>
      </c>
      <c r="P109" s="4">
        <v>0</v>
      </c>
      <c r="Q109" s="3" t="s">
        <v>26</v>
      </c>
      <c r="R109" s="3">
        <v>0</v>
      </c>
      <c r="S109" s="4">
        <v>4</v>
      </c>
      <c r="T109" s="4">
        <v>6</v>
      </c>
      <c r="U109" s="4">
        <v>86</v>
      </c>
      <c r="V109" s="4">
        <v>28.34</v>
      </c>
      <c r="W109" s="4">
        <v>35.86</v>
      </c>
      <c r="X109" s="4">
        <v>365.5</v>
      </c>
      <c r="Y109" s="4">
        <v>32.733818732103543</v>
      </c>
      <c r="Z109" s="4">
        <v>48.097314783967931</v>
      </c>
      <c r="AA109" s="4">
        <v>381.42546590200942</v>
      </c>
      <c r="AB109" s="4">
        <v>190444.79999999999</v>
      </c>
      <c r="AC109" s="4">
        <v>11289.373479999998</v>
      </c>
      <c r="AD109" s="4">
        <v>115065.97899999999</v>
      </c>
      <c r="AE109" s="4">
        <v>219971.2618797358</v>
      </c>
      <c r="AF109" s="4">
        <v>15141.900445659216</v>
      </c>
      <c r="AG109" s="4">
        <v>120079.60232433879</v>
      </c>
    </row>
    <row r="110" spans="1:33" ht="11.25" customHeight="1" x14ac:dyDescent="0.25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25</v>
      </c>
      <c r="G110" s="3" t="s">
        <v>25</v>
      </c>
      <c r="H110" s="3" t="s">
        <v>34</v>
      </c>
      <c r="I110" s="6">
        <v>44409</v>
      </c>
      <c r="J110" s="4">
        <v>31080</v>
      </c>
      <c r="K110" s="4">
        <v>31080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0</v>
      </c>
      <c r="S110" s="4">
        <v>4</v>
      </c>
      <c r="T110" s="4">
        <v>0</v>
      </c>
      <c r="U110" s="4">
        <v>0</v>
      </c>
      <c r="V110" s="4">
        <v>28.34</v>
      </c>
      <c r="W110" s="4">
        <v>0</v>
      </c>
      <c r="X110" s="4">
        <v>0</v>
      </c>
      <c r="Y110" s="4">
        <v>32.733818732103543</v>
      </c>
      <c r="Z110" s="4">
        <v>48.097314783967931</v>
      </c>
      <c r="AA110" s="4"/>
      <c r="AB110" s="4">
        <v>880807.2</v>
      </c>
      <c r="AC110" s="4">
        <v>0</v>
      </c>
      <c r="AD110" s="4">
        <v>0</v>
      </c>
      <c r="AE110" s="4">
        <v>1017367.0861937781</v>
      </c>
      <c r="AF110" s="4">
        <v>0</v>
      </c>
      <c r="AG110" s="4">
        <v>0</v>
      </c>
    </row>
    <row r="111" spans="1:33" ht="11.25" customHeight="1" x14ac:dyDescent="0.25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25</v>
      </c>
      <c r="G111" s="3" t="s">
        <v>25</v>
      </c>
      <c r="H111" s="3" t="s">
        <v>34</v>
      </c>
      <c r="I111" s="6">
        <v>44440</v>
      </c>
      <c r="J111" s="4">
        <v>6359</v>
      </c>
      <c r="K111" s="4">
        <v>6359</v>
      </c>
      <c r="L111" s="4">
        <v>284.125</v>
      </c>
      <c r="M111" s="4">
        <v>284.125</v>
      </c>
      <c r="N111" s="4">
        <v>284.125</v>
      </c>
      <c r="O111" s="4">
        <v>284.125</v>
      </c>
      <c r="P111" s="4">
        <v>0</v>
      </c>
      <c r="Q111" s="3" t="s">
        <v>26</v>
      </c>
      <c r="R111" s="3">
        <v>0</v>
      </c>
      <c r="S111" s="4">
        <v>4</v>
      </c>
      <c r="T111" s="4">
        <v>6</v>
      </c>
      <c r="U111" s="4">
        <v>86</v>
      </c>
      <c r="V111" s="4">
        <v>28.34</v>
      </c>
      <c r="W111" s="4">
        <v>35.86</v>
      </c>
      <c r="X111" s="4">
        <v>365.5</v>
      </c>
      <c r="Y111" s="4">
        <v>32.733818732103543</v>
      </c>
      <c r="Z111" s="4">
        <v>48.097314783967931</v>
      </c>
      <c r="AA111" s="4">
        <v>381.42546590200942</v>
      </c>
      <c r="AB111" s="4">
        <v>180214.06</v>
      </c>
      <c r="AC111" s="4">
        <v>10188.7225</v>
      </c>
      <c r="AD111" s="4">
        <v>103847.6875</v>
      </c>
      <c r="AE111" s="4">
        <v>208154.35331744642</v>
      </c>
      <c r="AF111" s="4">
        <v>13665.649562994888</v>
      </c>
      <c r="AG111" s="4">
        <v>108372.51049940842</v>
      </c>
    </row>
    <row r="112" spans="1:33" ht="11.25" customHeight="1" x14ac:dyDescent="0.25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25</v>
      </c>
      <c r="G112" s="3" t="s">
        <v>25</v>
      </c>
      <c r="H112" s="3" t="s">
        <v>34</v>
      </c>
      <c r="I112" s="6">
        <v>44440</v>
      </c>
      <c r="J112" s="4">
        <v>31120</v>
      </c>
      <c r="K112" s="4">
        <v>31120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0</v>
      </c>
      <c r="S112" s="4">
        <v>4</v>
      </c>
      <c r="T112" s="4">
        <v>0</v>
      </c>
      <c r="U112" s="4">
        <v>0</v>
      </c>
      <c r="V112" s="4">
        <v>28.34</v>
      </c>
      <c r="W112" s="4">
        <v>0</v>
      </c>
      <c r="X112" s="4">
        <v>0</v>
      </c>
      <c r="Y112" s="4">
        <v>32.733818732103543</v>
      </c>
      <c r="Z112" s="4">
        <v>48.097314783967931</v>
      </c>
      <c r="AA112" s="4"/>
      <c r="AB112" s="4">
        <v>881940.8</v>
      </c>
      <c r="AC112" s="4">
        <v>0</v>
      </c>
      <c r="AD112" s="4">
        <v>0</v>
      </c>
      <c r="AE112" s="4">
        <v>1018676.4389430623</v>
      </c>
      <c r="AF112" s="4">
        <v>0</v>
      </c>
      <c r="AG112" s="4">
        <v>0</v>
      </c>
    </row>
    <row r="113" spans="1:33" ht="11.25" customHeight="1" x14ac:dyDescent="0.25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25</v>
      </c>
      <c r="G113" s="3" t="s">
        <v>25</v>
      </c>
      <c r="H113" s="3" t="s">
        <v>34</v>
      </c>
      <c r="I113" s="6">
        <v>44470</v>
      </c>
      <c r="J113" s="4">
        <v>6431</v>
      </c>
      <c r="K113" s="4">
        <v>6431</v>
      </c>
      <c r="L113" s="4">
        <v>281.93299999999999</v>
      </c>
      <c r="M113" s="4">
        <v>281.93299999999999</v>
      </c>
      <c r="N113" s="4">
        <v>281.93299999999999</v>
      </c>
      <c r="O113" s="4">
        <v>281.93299999999999</v>
      </c>
      <c r="P113" s="4">
        <v>0</v>
      </c>
      <c r="Q113" s="3" t="s">
        <v>26</v>
      </c>
      <c r="R113" s="3">
        <v>0</v>
      </c>
      <c r="S113" s="4">
        <v>4</v>
      </c>
      <c r="T113" s="4">
        <v>6</v>
      </c>
      <c r="U113" s="4">
        <v>86</v>
      </c>
      <c r="V113" s="4">
        <v>28.34</v>
      </c>
      <c r="W113" s="4">
        <v>35.86</v>
      </c>
      <c r="X113" s="4">
        <v>365.5</v>
      </c>
      <c r="Y113" s="4">
        <v>32.733818732103543</v>
      </c>
      <c r="Z113" s="4">
        <v>48.097314783967931</v>
      </c>
      <c r="AA113" s="4">
        <v>381.42546590200942</v>
      </c>
      <c r="AB113" s="4">
        <v>182254.54</v>
      </c>
      <c r="AC113" s="4">
        <v>10110.11738</v>
      </c>
      <c r="AD113" s="4">
        <v>103046.51149999999</v>
      </c>
      <c r="AE113" s="4">
        <v>210511.1882661579</v>
      </c>
      <c r="AF113" s="4">
        <v>13560.220248988431</v>
      </c>
      <c r="AG113" s="4">
        <v>107536.42587815122</v>
      </c>
    </row>
    <row r="114" spans="1:33" ht="11.25" customHeight="1" x14ac:dyDescent="0.25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25</v>
      </c>
      <c r="G114" s="3" t="s">
        <v>25</v>
      </c>
      <c r="H114" s="3" t="s">
        <v>34</v>
      </c>
      <c r="I114" s="6">
        <v>44470</v>
      </c>
      <c r="J114" s="4">
        <v>31092</v>
      </c>
      <c r="K114" s="4">
        <v>31092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0</v>
      </c>
      <c r="S114" s="4">
        <v>4</v>
      </c>
      <c r="T114" s="4">
        <v>0</v>
      </c>
      <c r="U114" s="4">
        <v>0</v>
      </c>
      <c r="V114" s="4">
        <v>28.34</v>
      </c>
      <c r="W114" s="4">
        <v>0</v>
      </c>
      <c r="X114" s="4">
        <v>0</v>
      </c>
      <c r="Y114" s="4">
        <v>32.733818732103543</v>
      </c>
      <c r="Z114" s="4">
        <v>48.097314783967931</v>
      </c>
      <c r="AA114" s="4"/>
      <c r="AB114" s="4">
        <v>881147.28</v>
      </c>
      <c r="AC114" s="4">
        <v>0</v>
      </c>
      <c r="AD114" s="4">
        <v>0</v>
      </c>
      <c r="AE114" s="4">
        <v>1017759.8920185633</v>
      </c>
      <c r="AF114" s="4">
        <v>0</v>
      </c>
      <c r="AG114" s="4">
        <v>0</v>
      </c>
    </row>
    <row r="115" spans="1:33" ht="11.25" customHeight="1" x14ac:dyDescent="0.25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25</v>
      </c>
      <c r="G115" s="3" t="s">
        <v>25</v>
      </c>
      <c r="H115" s="3" t="s">
        <v>34</v>
      </c>
      <c r="I115" s="6">
        <v>44501</v>
      </c>
      <c r="J115" s="4">
        <v>6518</v>
      </c>
      <c r="K115" s="4">
        <v>6518</v>
      </c>
      <c r="L115" s="4">
        <v>262.976</v>
      </c>
      <c r="M115" s="4">
        <v>262.976</v>
      </c>
      <c r="N115" s="4">
        <v>262.976</v>
      </c>
      <c r="O115" s="4">
        <v>262.976</v>
      </c>
      <c r="P115" s="4">
        <v>0</v>
      </c>
      <c r="Q115" s="3" t="s">
        <v>26</v>
      </c>
      <c r="R115" s="3">
        <v>0</v>
      </c>
      <c r="S115" s="4">
        <v>4</v>
      </c>
      <c r="T115" s="4">
        <v>6</v>
      </c>
      <c r="U115" s="4">
        <v>86</v>
      </c>
      <c r="V115" s="4">
        <v>28.34</v>
      </c>
      <c r="W115" s="4">
        <v>35.86</v>
      </c>
      <c r="X115" s="4">
        <v>365.5</v>
      </c>
      <c r="Y115" s="4">
        <v>32.733818732103543</v>
      </c>
      <c r="Z115" s="4">
        <v>48.097314783967931</v>
      </c>
      <c r="AA115" s="4">
        <v>381.42546590200942</v>
      </c>
      <c r="AB115" s="4">
        <v>184720.12</v>
      </c>
      <c r="AC115" s="4">
        <v>9430.3193599999995</v>
      </c>
      <c r="AD115" s="4">
        <v>96117.728000000003</v>
      </c>
      <c r="AE115" s="4">
        <v>213359.03049585089</v>
      </c>
      <c r="AF115" s="4">
        <v>12648.439452628751</v>
      </c>
      <c r="AG115" s="4">
        <v>100305.74332104683</v>
      </c>
    </row>
    <row r="116" spans="1:33" ht="11.25" customHeight="1" x14ac:dyDescent="0.25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25</v>
      </c>
      <c r="G116" s="3" t="s">
        <v>25</v>
      </c>
      <c r="H116" s="3" t="s">
        <v>34</v>
      </c>
      <c r="I116" s="6">
        <v>44501</v>
      </c>
      <c r="J116" s="4">
        <v>27208</v>
      </c>
      <c r="K116" s="4">
        <v>27208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R116" s="3">
        <v>0</v>
      </c>
      <c r="S116" s="4">
        <v>4</v>
      </c>
      <c r="T116" s="4">
        <v>0</v>
      </c>
      <c r="U116" s="4">
        <v>0</v>
      </c>
      <c r="V116" s="4">
        <v>28.34</v>
      </c>
      <c r="W116" s="4">
        <v>0</v>
      </c>
      <c r="X116" s="4">
        <v>0</v>
      </c>
      <c r="Y116" s="4">
        <v>32.733818732103543</v>
      </c>
      <c r="Z116" s="4">
        <v>48.097314783967931</v>
      </c>
      <c r="AA116" s="4"/>
      <c r="AB116" s="4">
        <v>771074.72</v>
      </c>
      <c r="AC116" s="4">
        <v>0</v>
      </c>
      <c r="AD116" s="4">
        <v>0</v>
      </c>
      <c r="AE116" s="4">
        <v>890621.74006307323</v>
      </c>
      <c r="AF116" s="4">
        <v>0</v>
      </c>
      <c r="AG116" s="4">
        <v>0</v>
      </c>
    </row>
    <row r="117" spans="1:33" ht="11.25" customHeight="1" x14ac:dyDescent="0.25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25</v>
      </c>
      <c r="G117" s="3" t="s">
        <v>25</v>
      </c>
      <c r="H117" s="3" t="s">
        <v>34</v>
      </c>
      <c r="I117" s="6">
        <v>44531</v>
      </c>
      <c r="J117" s="4">
        <v>6547</v>
      </c>
      <c r="K117" s="4">
        <v>6547</v>
      </c>
      <c r="L117" s="4">
        <v>276.64299999999997</v>
      </c>
      <c r="M117" s="4">
        <v>276.64299999999997</v>
      </c>
      <c r="N117" s="4">
        <v>276.64299999999997</v>
      </c>
      <c r="O117" s="4">
        <v>276.64299999999997</v>
      </c>
      <c r="P117" s="4">
        <v>0</v>
      </c>
      <c r="Q117" s="3" t="s">
        <v>26</v>
      </c>
      <c r="R117" s="3">
        <v>0</v>
      </c>
      <c r="S117" s="4">
        <v>4</v>
      </c>
      <c r="T117" s="4">
        <v>6</v>
      </c>
      <c r="U117" s="4">
        <v>86</v>
      </c>
      <c r="V117" s="4">
        <v>28.34</v>
      </c>
      <c r="W117" s="4">
        <v>35.86</v>
      </c>
      <c r="X117" s="4">
        <v>365.5</v>
      </c>
      <c r="Y117" s="4">
        <v>32.733818732103543</v>
      </c>
      <c r="Z117" s="4">
        <v>48.097314783967931</v>
      </c>
      <c r="AA117" s="4">
        <v>381.42546590200942</v>
      </c>
      <c r="AB117" s="4">
        <v>185541.98</v>
      </c>
      <c r="AC117" s="4">
        <v>9920.4179799999984</v>
      </c>
      <c r="AD117" s="4">
        <v>101113.01649999998</v>
      </c>
      <c r="AE117" s="4">
        <v>214308.3112390819</v>
      </c>
      <c r="AF117" s="4">
        <v>13305.78545378124</v>
      </c>
      <c r="AG117" s="4">
        <v>105518.68516352958</v>
      </c>
    </row>
    <row r="118" spans="1:33" ht="11.25" customHeight="1" x14ac:dyDescent="0.25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44531</v>
      </c>
      <c r="J118" s="4">
        <v>27200</v>
      </c>
      <c r="K118" s="4">
        <v>27200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R118" s="3">
        <v>0</v>
      </c>
      <c r="S118" s="4">
        <v>4</v>
      </c>
      <c r="T118" s="4">
        <v>0</v>
      </c>
      <c r="U118" s="4">
        <v>0</v>
      </c>
      <c r="V118" s="4">
        <v>28.34</v>
      </c>
      <c r="W118" s="4">
        <v>0</v>
      </c>
      <c r="X118" s="4">
        <v>0</v>
      </c>
      <c r="Y118" s="4">
        <v>32.733818732103543</v>
      </c>
      <c r="Z118" s="4">
        <v>48.097314783967931</v>
      </c>
      <c r="AA118" s="4"/>
      <c r="AB118" s="4">
        <v>770848</v>
      </c>
      <c r="AC118" s="4">
        <v>0</v>
      </c>
      <c r="AD118" s="4">
        <v>0</v>
      </c>
      <c r="AE118" s="4">
        <v>890359.86951321643</v>
      </c>
      <c r="AF118" s="4">
        <v>0</v>
      </c>
      <c r="AG118" s="4">
        <v>0</v>
      </c>
    </row>
    <row r="119" spans="1:33" ht="11.25" customHeight="1" x14ac:dyDescent="0.25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44562</v>
      </c>
      <c r="J119" s="4">
        <v>6448</v>
      </c>
      <c r="K119" s="4">
        <v>6448</v>
      </c>
      <c r="L119" s="4">
        <v>264.197</v>
      </c>
      <c r="M119" s="4">
        <v>264.197</v>
      </c>
      <c r="N119" s="4">
        <v>264.197</v>
      </c>
      <c r="O119" s="4">
        <v>264.197</v>
      </c>
      <c r="P119" s="4">
        <v>0</v>
      </c>
      <c r="Q119" s="3" t="s">
        <v>26</v>
      </c>
      <c r="R119" s="3">
        <v>0</v>
      </c>
      <c r="S119" s="4">
        <v>4</v>
      </c>
      <c r="T119" s="4">
        <v>6</v>
      </c>
      <c r="U119" s="4">
        <v>86</v>
      </c>
      <c r="V119" s="4">
        <v>28.34</v>
      </c>
      <c r="W119" s="4">
        <v>35.86</v>
      </c>
      <c r="X119" s="4">
        <v>365.5</v>
      </c>
      <c r="Y119" s="4">
        <v>32.733818732103543</v>
      </c>
      <c r="Z119" s="4">
        <v>48.097314783967931</v>
      </c>
      <c r="AA119" s="4">
        <v>381.42546590200942</v>
      </c>
      <c r="AB119" s="4">
        <v>182736.32</v>
      </c>
      <c r="AC119" s="4">
        <v>9474.1044199999997</v>
      </c>
      <c r="AD119" s="4">
        <v>96564.003500000006</v>
      </c>
      <c r="AE119" s="4">
        <v>211067.66318460365</v>
      </c>
      <c r="AF119" s="4">
        <v>12707.166273979976</v>
      </c>
      <c r="AG119" s="4">
        <v>100771.46381491318</v>
      </c>
    </row>
    <row r="120" spans="1:33" ht="11.25" customHeight="1" x14ac:dyDescent="0.25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44562</v>
      </c>
      <c r="J120" s="4">
        <v>31099</v>
      </c>
      <c r="K120" s="4">
        <v>31099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0</v>
      </c>
      <c r="S120" s="4">
        <v>4</v>
      </c>
      <c r="T120" s="4">
        <v>0</v>
      </c>
      <c r="U120" s="4">
        <v>0</v>
      </c>
      <c r="V120" s="4">
        <v>28.34</v>
      </c>
      <c r="W120" s="4">
        <v>0</v>
      </c>
      <c r="X120" s="4">
        <v>0</v>
      </c>
      <c r="Y120" s="4">
        <v>32.733818732103543</v>
      </c>
      <c r="Z120" s="4">
        <v>48.097314783967931</v>
      </c>
      <c r="AA120" s="4"/>
      <c r="AB120" s="4">
        <v>881345.66</v>
      </c>
      <c r="AC120" s="4">
        <v>0</v>
      </c>
      <c r="AD120" s="4">
        <v>0</v>
      </c>
      <c r="AE120" s="4">
        <v>1017989.0287496881</v>
      </c>
      <c r="AF120" s="4">
        <v>0</v>
      </c>
      <c r="AG120" s="4">
        <v>0</v>
      </c>
    </row>
    <row r="121" spans="1:33" ht="11.25" customHeight="1" x14ac:dyDescent="0.25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44593</v>
      </c>
      <c r="J121" s="4">
        <v>6230</v>
      </c>
      <c r="K121" s="4">
        <v>6230</v>
      </c>
      <c r="L121" s="4">
        <v>255.58500000000001</v>
      </c>
      <c r="M121" s="4">
        <v>255.58500000000001</v>
      </c>
      <c r="N121" s="4">
        <v>255.58500000000001</v>
      </c>
      <c r="O121" s="4">
        <v>255.58500000000001</v>
      </c>
      <c r="P121" s="4">
        <v>0</v>
      </c>
      <c r="Q121" s="3" t="s">
        <v>26</v>
      </c>
      <c r="R121" s="3">
        <v>0</v>
      </c>
      <c r="S121" s="4">
        <v>4</v>
      </c>
      <c r="T121" s="4">
        <v>6</v>
      </c>
      <c r="U121" s="4">
        <v>86</v>
      </c>
      <c r="V121" s="4">
        <v>28.34</v>
      </c>
      <c r="W121" s="4">
        <v>35.86</v>
      </c>
      <c r="X121" s="4">
        <v>365.5</v>
      </c>
      <c r="Y121" s="4">
        <v>32.733818732103543</v>
      </c>
      <c r="Z121" s="4">
        <v>48.097314783967931</v>
      </c>
      <c r="AA121" s="4">
        <v>381.42546590200942</v>
      </c>
      <c r="AB121" s="4">
        <v>176558.2</v>
      </c>
      <c r="AC121" s="4">
        <v>9165.2780999999995</v>
      </c>
      <c r="AD121" s="4">
        <v>93416.317500000005</v>
      </c>
      <c r="AE121" s="4">
        <v>203931.69070100508</v>
      </c>
      <c r="AF121" s="4">
        <v>12292.952199060444</v>
      </c>
      <c r="AG121" s="4">
        <v>97486.627702565078</v>
      </c>
    </row>
    <row r="122" spans="1:33" ht="11.25" customHeight="1" x14ac:dyDescent="0.25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25</v>
      </c>
      <c r="G122" s="3" t="s">
        <v>25</v>
      </c>
      <c r="H122" s="3" t="s">
        <v>34</v>
      </c>
      <c r="I122" s="6">
        <v>44593</v>
      </c>
      <c r="J122" s="4">
        <v>27200</v>
      </c>
      <c r="K122" s="4">
        <v>27200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R122" s="3">
        <v>0</v>
      </c>
      <c r="S122" s="4">
        <v>4</v>
      </c>
      <c r="T122" s="4">
        <v>0</v>
      </c>
      <c r="U122" s="4">
        <v>0</v>
      </c>
      <c r="V122" s="4">
        <v>28.34</v>
      </c>
      <c r="W122" s="4">
        <v>0</v>
      </c>
      <c r="X122" s="4">
        <v>0</v>
      </c>
      <c r="Y122" s="4">
        <v>32.733818732103543</v>
      </c>
      <c r="Z122" s="4">
        <v>48.097314783967931</v>
      </c>
      <c r="AA122" s="4"/>
      <c r="AB122" s="4">
        <v>770848</v>
      </c>
      <c r="AC122" s="4">
        <v>0</v>
      </c>
      <c r="AD122" s="4">
        <v>0</v>
      </c>
      <c r="AE122" s="4">
        <v>890359.86951321643</v>
      </c>
      <c r="AF122" s="4">
        <v>0</v>
      </c>
      <c r="AG122" s="4">
        <v>0</v>
      </c>
    </row>
    <row r="123" spans="1:33" ht="11.25" customHeight="1" x14ac:dyDescent="0.25">
      <c r="A123" s="3" t="s">
        <v>56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25</v>
      </c>
      <c r="G123" s="3" t="s">
        <v>25</v>
      </c>
      <c r="H123" s="3" t="s">
        <v>34</v>
      </c>
      <c r="I123" s="6">
        <v>44621</v>
      </c>
      <c r="J123" s="4">
        <v>6230</v>
      </c>
      <c r="K123" s="4">
        <v>6230</v>
      </c>
      <c r="L123" s="4">
        <v>255.58500000000001</v>
      </c>
      <c r="M123" s="4">
        <v>255.58500000000001</v>
      </c>
      <c r="N123" s="4">
        <v>255.58500000000001</v>
      </c>
      <c r="O123" s="4">
        <v>255.58500000000001</v>
      </c>
      <c r="P123" s="4">
        <v>0</v>
      </c>
      <c r="Q123" s="3" t="s">
        <v>26</v>
      </c>
      <c r="R123" s="3">
        <v>0</v>
      </c>
      <c r="S123" s="4">
        <v>4</v>
      </c>
      <c r="T123" s="4">
        <v>6</v>
      </c>
      <c r="U123" s="4">
        <v>86</v>
      </c>
      <c r="V123" s="4">
        <v>28.34</v>
      </c>
      <c r="W123" s="4">
        <v>35.86</v>
      </c>
      <c r="X123" s="4">
        <v>365.5</v>
      </c>
      <c r="Y123" s="4">
        <v>32.733818732103543</v>
      </c>
      <c r="Z123" s="4">
        <v>48.097314783967931</v>
      </c>
      <c r="AA123" s="4">
        <v>381.42546590200942</v>
      </c>
      <c r="AB123" s="4">
        <v>176558.2</v>
      </c>
      <c r="AC123" s="4">
        <v>9165.2780999999995</v>
      </c>
      <c r="AD123" s="4">
        <v>93416.317500000005</v>
      </c>
      <c r="AE123" s="4">
        <v>203931.69070100508</v>
      </c>
      <c r="AF123" s="4">
        <v>12292.952199060444</v>
      </c>
      <c r="AG123" s="4">
        <v>97486.627702565078</v>
      </c>
    </row>
    <row r="124" spans="1:33" ht="11.25" customHeight="1" x14ac:dyDescent="0.25">
      <c r="A124" s="3" t="s">
        <v>56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25</v>
      </c>
      <c r="G124" s="3" t="s">
        <v>25</v>
      </c>
      <c r="H124" s="3" t="s">
        <v>34</v>
      </c>
      <c r="I124" s="6">
        <v>44621</v>
      </c>
      <c r="J124" s="4">
        <v>27200</v>
      </c>
      <c r="K124" s="4">
        <v>27200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R124" s="3">
        <v>0</v>
      </c>
      <c r="S124" s="4">
        <v>4</v>
      </c>
      <c r="T124" s="4">
        <v>0</v>
      </c>
      <c r="U124" s="4">
        <v>0</v>
      </c>
      <c r="V124" s="4">
        <v>28.34</v>
      </c>
      <c r="W124" s="4">
        <v>0</v>
      </c>
      <c r="X124" s="4">
        <v>0</v>
      </c>
      <c r="Y124" s="4">
        <v>32.733818732103543</v>
      </c>
      <c r="Z124" s="4">
        <v>48.097314783967931</v>
      </c>
      <c r="AA124" s="4"/>
      <c r="AB124" s="4">
        <v>770848</v>
      </c>
      <c r="AC124" s="4">
        <v>0</v>
      </c>
      <c r="AD124" s="4">
        <v>0</v>
      </c>
      <c r="AE124" s="4">
        <v>890359.86951321643</v>
      </c>
      <c r="AF124" s="4">
        <v>0</v>
      </c>
      <c r="AG124" s="4">
        <v>0</v>
      </c>
    </row>
    <row r="125" spans="1:33" ht="11.25" customHeight="1" x14ac:dyDescent="0.25">
      <c r="A125" s="3" t="s">
        <v>21</v>
      </c>
      <c r="B125" s="3" t="s">
        <v>39</v>
      </c>
      <c r="C125" s="3" t="s">
        <v>40</v>
      </c>
      <c r="D125" s="3" t="s">
        <v>46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44287</v>
      </c>
      <c r="J125" s="4">
        <v>3550</v>
      </c>
      <c r="K125" s="4">
        <v>3550</v>
      </c>
      <c r="L125" s="4">
        <v>448</v>
      </c>
      <c r="M125" s="4">
        <v>448</v>
      </c>
      <c r="N125" s="4">
        <v>448</v>
      </c>
      <c r="O125" s="4">
        <v>448</v>
      </c>
      <c r="P125" s="4">
        <v>0</v>
      </c>
      <c r="Q125" s="3" t="s">
        <v>26</v>
      </c>
      <c r="R125" s="3">
        <v>0</v>
      </c>
      <c r="S125" s="4">
        <v>5</v>
      </c>
      <c r="T125" s="4">
        <v>6</v>
      </c>
      <c r="U125" s="4">
        <v>87</v>
      </c>
      <c r="V125" s="4">
        <v>11.59</v>
      </c>
      <c r="W125" s="4">
        <v>35.86</v>
      </c>
      <c r="X125" s="4">
        <v>222.31</v>
      </c>
      <c r="Y125" s="4">
        <v>11.399859625344023</v>
      </c>
      <c r="Z125" s="4">
        <v>48.097314783967931</v>
      </c>
      <c r="AA125" s="4">
        <v>235.31351552243123</v>
      </c>
      <c r="AB125" s="4">
        <v>41144.5</v>
      </c>
      <c r="AC125" s="4">
        <v>16065.279999999999</v>
      </c>
      <c r="AD125" s="4">
        <v>99594.880000000005</v>
      </c>
      <c r="AE125" s="4">
        <v>40469.50166997128</v>
      </c>
      <c r="AF125" s="4">
        <v>21547.597023217633</v>
      </c>
      <c r="AG125" s="4">
        <v>105420.45495404919</v>
      </c>
    </row>
    <row r="126" spans="1:33" ht="11.25" customHeight="1" x14ac:dyDescent="0.25">
      <c r="A126" s="3" t="s">
        <v>21</v>
      </c>
      <c r="B126" s="3" t="s">
        <v>39</v>
      </c>
      <c r="C126" s="3" t="s">
        <v>40</v>
      </c>
      <c r="D126" s="3" t="s">
        <v>46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44317</v>
      </c>
      <c r="J126" s="4">
        <v>3550</v>
      </c>
      <c r="K126" s="4">
        <v>3550</v>
      </c>
      <c r="L126" s="4">
        <v>423.5</v>
      </c>
      <c r="M126" s="4">
        <v>423.5</v>
      </c>
      <c r="N126" s="4">
        <v>423.5</v>
      </c>
      <c r="O126" s="4">
        <v>423.5</v>
      </c>
      <c r="P126" s="4">
        <v>0</v>
      </c>
      <c r="Q126" s="3" t="s">
        <v>26</v>
      </c>
      <c r="R126" s="3">
        <v>0</v>
      </c>
      <c r="S126" s="4">
        <v>5</v>
      </c>
      <c r="T126" s="4">
        <v>6</v>
      </c>
      <c r="U126" s="4">
        <v>87</v>
      </c>
      <c r="V126" s="4">
        <v>11.59</v>
      </c>
      <c r="W126" s="4">
        <v>35.86</v>
      </c>
      <c r="X126" s="4">
        <v>222.31</v>
      </c>
      <c r="Y126" s="4">
        <v>11.399859625344023</v>
      </c>
      <c r="Z126" s="4">
        <v>48.097314783967931</v>
      </c>
      <c r="AA126" s="4">
        <v>235.31351552243123</v>
      </c>
      <c r="AB126" s="4">
        <v>41144.5</v>
      </c>
      <c r="AC126" s="4">
        <v>15186.71</v>
      </c>
      <c r="AD126" s="4">
        <v>94148.285000000003</v>
      </c>
      <c r="AE126" s="4">
        <v>40469.50166997128</v>
      </c>
      <c r="AF126" s="4">
        <v>20369.21281101042</v>
      </c>
      <c r="AG126" s="4">
        <v>99655.273823749623</v>
      </c>
    </row>
    <row r="127" spans="1:33" ht="11.25" customHeight="1" x14ac:dyDescent="0.25">
      <c r="A127" s="3" t="s">
        <v>21</v>
      </c>
      <c r="B127" s="3" t="s">
        <v>39</v>
      </c>
      <c r="C127" s="3" t="s">
        <v>40</v>
      </c>
      <c r="D127" s="3" t="s">
        <v>46</v>
      </c>
      <c r="E127" s="3" t="s">
        <v>25</v>
      </c>
      <c r="F127" s="3" t="s">
        <v>25</v>
      </c>
      <c r="G127" s="3" t="s">
        <v>25</v>
      </c>
      <c r="H127" s="3" t="s">
        <v>35</v>
      </c>
      <c r="I127" s="6">
        <v>44348</v>
      </c>
      <c r="J127" s="4">
        <v>3550</v>
      </c>
      <c r="K127" s="4">
        <v>3550</v>
      </c>
      <c r="L127" s="4">
        <v>402.5</v>
      </c>
      <c r="M127" s="4">
        <v>402.5</v>
      </c>
      <c r="N127" s="4">
        <v>402.5</v>
      </c>
      <c r="O127" s="4">
        <v>402.5</v>
      </c>
      <c r="P127" s="4">
        <v>0</v>
      </c>
      <c r="Q127" s="3" t="s">
        <v>26</v>
      </c>
      <c r="R127" s="3">
        <v>0</v>
      </c>
      <c r="S127" s="4">
        <v>5</v>
      </c>
      <c r="T127" s="4">
        <v>6</v>
      </c>
      <c r="U127" s="4">
        <v>87</v>
      </c>
      <c r="V127" s="4">
        <v>11.59</v>
      </c>
      <c r="W127" s="4">
        <v>35.86</v>
      </c>
      <c r="X127" s="4">
        <v>222.31</v>
      </c>
      <c r="Y127" s="4">
        <v>11.399859625344023</v>
      </c>
      <c r="Z127" s="4">
        <v>48.097314783967931</v>
      </c>
      <c r="AA127" s="4">
        <v>235.31351552243123</v>
      </c>
      <c r="AB127" s="4">
        <v>41144.5</v>
      </c>
      <c r="AC127" s="4">
        <v>14433.65</v>
      </c>
      <c r="AD127" s="4">
        <v>89479.774999999994</v>
      </c>
      <c r="AE127" s="4">
        <v>40469.50166997128</v>
      </c>
      <c r="AF127" s="4">
        <v>19359.169200547094</v>
      </c>
      <c r="AG127" s="4">
        <v>94713.689997778565</v>
      </c>
    </row>
    <row r="128" spans="1:33" ht="11.25" customHeight="1" x14ac:dyDescent="0.25">
      <c r="A128" s="3" t="s">
        <v>21</v>
      </c>
      <c r="B128" s="3" t="s">
        <v>39</v>
      </c>
      <c r="C128" s="3" t="s">
        <v>40</v>
      </c>
      <c r="D128" s="3" t="s">
        <v>46</v>
      </c>
      <c r="E128" s="3" t="s">
        <v>25</v>
      </c>
      <c r="F128" s="3" t="s">
        <v>25</v>
      </c>
      <c r="G128" s="3" t="s">
        <v>25</v>
      </c>
      <c r="H128" s="3" t="s">
        <v>35</v>
      </c>
      <c r="I128" s="6">
        <v>44378</v>
      </c>
      <c r="J128" s="4">
        <v>3550</v>
      </c>
      <c r="K128" s="4">
        <v>3550</v>
      </c>
      <c r="L128" s="4">
        <v>395.5</v>
      </c>
      <c r="M128" s="4">
        <v>395.5</v>
      </c>
      <c r="N128" s="4">
        <v>395.5</v>
      </c>
      <c r="O128" s="4">
        <v>395.5</v>
      </c>
      <c r="P128" s="4">
        <v>0</v>
      </c>
      <c r="Q128" s="3" t="s">
        <v>26</v>
      </c>
      <c r="R128" s="3">
        <v>0</v>
      </c>
      <c r="S128" s="4">
        <v>5</v>
      </c>
      <c r="T128" s="4">
        <v>6</v>
      </c>
      <c r="U128" s="4">
        <v>87</v>
      </c>
      <c r="V128" s="4">
        <v>11.59</v>
      </c>
      <c r="W128" s="4">
        <v>35.86</v>
      </c>
      <c r="X128" s="4">
        <v>222.31</v>
      </c>
      <c r="Y128" s="4">
        <v>11.399859625344023</v>
      </c>
      <c r="Z128" s="4">
        <v>48.097314783967931</v>
      </c>
      <c r="AA128" s="4">
        <v>235.31351552243123</v>
      </c>
      <c r="AB128" s="4">
        <v>41144.5</v>
      </c>
      <c r="AC128" s="4">
        <v>14182.63</v>
      </c>
      <c r="AD128" s="4">
        <v>87923.604999999996</v>
      </c>
      <c r="AE128" s="4">
        <v>40469.50166997128</v>
      </c>
      <c r="AF128" s="4">
        <v>19022.487997059317</v>
      </c>
      <c r="AG128" s="4">
        <v>93066.495389121555</v>
      </c>
    </row>
    <row r="129" spans="1:33" ht="11.25" customHeight="1" x14ac:dyDescent="0.25">
      <c r="A129" s="3" t="s">
        <v>21</v>
      </c>
      <c r="B129" s="3" t="s">
        <v>39</v>
      </c>
      <c r="C129" s="3" t="s">
        <v>40</v>
      </c>
      <c r="D129" s="3" t="s">
        <v>46</v>
      </c>
      <c r="E129" s="3" t="s">
        <v>25</v>
      </c>
      <c r="F129" s="3" t="s">
        <v>25</v>
      </c>
      <c r="G129" s="3" t="s">
        <v>25</v>
      </c>
      <c r="H129" s="3" t="s">
        <v>35</v>
      </c>
      <c r="I129" s="6">
        <v>44409</v>
      </c>
      <c r="J129" s="4">
        <v>3550</v>
      </c>
      <c r="K129" s="4">
        <v>3550</v>
      </c>
      <c r="L129" s="4">
        <v>402.5</v>
      </c>
      <c r="M129" s="4">
        <v>402.5</v>
      </c>
      <c r="N129" s="4">
        <v>402.5</v>
      </c>
      <c r="O129" s="4">
        <v>402.5</v>
      </c>
      <c r="P129" s="4">
        <v>0</v>
      </c>
      <c r="Q129" s="3" t="s">
        <v>26</v>
      </c>
      <c r="R129" s="3">
        <v>0</v>
      </c>
      <c r="S129" s="4">
        <v>5</v>
      </c>
      <c r="T129" s="4">
        <v>6</v>
      </c>
      <c r="U129" s="4">
        <v>87</v>
      </c>
      <c r="V129" s="4">
        <v>11.59</v>
      </c>
      <c r="W129" s="4">
        <v>35.86</v>
      </c>
      <c r="X129" s="4">
        <v>222.31</v>
      </c>
      <c r="Y129" s="4">
        <v>11.399859625344023</v>
      </c>
      <c r="Z129" s="4">
        <v>48.097314783967931</v>
      </c>
      <c r="AA129" s="4">
        <v>235.31351552243123</v>
      </c>
      <c r="AB129" s="4">
        <v>41144.5</v>
      </c>
      <c r="AC129" s="4">
        <v>14433.65</v>
      </c>
      <c r="AD129" s="4">
        <v>89479.774999999994</v>
      </c>
      <c r="AE129" s="4">
        <v>40469.50166997128</v>
      </c>
      <c r="AF129" s="4">
        <v>19359.169200547094</v>
      </c>
      <c r="AG129" s="4">
        <v>94713.689997778565</v>
      </c>
    </row>
    <row r="130" spans="1:33" ht="11.25" customHeight="1" x14ac:dyDescent="0.25">
      <c r="A130" s="3" t="s">
        <v>21</v>
      </c>
      <c r="B130" s="3" t="s">
        <v>39</v>
      </c>
      <c r="C130" s="3" t="s">
        <v>40</v>
      </c>
      <c r="D130" s="3" t="s">
        <v>46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44440</v>
      </c>
      <c r="J130" s="4">
        <v>3550</v>
      </c>
      <c r="K130" s="4">
        <v>3550</v>
      </c>
      <c r="L130" s="4">
        <v>409.5</v>
      </c>
      <c r="M130" s="4">
        <v>409.5</v>
      </c>
      <c r="N130" s="4">
        <v>409.5</v>
      </c>
      <c r="O130" s="4">
        <v>409.5</v>
      </c>
      <c r="P130" s="4">
        <v>0</v>
      </c>
      <c r="Q130" s="3" t="s">
        <v>26</v>
      </c>
      <c r="R130" s="3">
        <v>0</v>
      </c>
      <c r="S130" s="4">
        <v>5</v>
      </c>
      <c r="T130" s="4">
        <v>6</v>
      </c>
      <c r="U130" s="4">
        <v>87</v>
      </c>
      <c r="V130" s="4">
        <v>11.59</v>
      </c>
      <c r="W130" s="4">
        <v>35.86</v>
      </c>
      <c r="X130" s="4">
        <v>222.31</v>
      </c>
      <c r="Y130" s="4">
        <v>11.399859625344023</v>
      </c>
      <c r="Z130" s="4">
        <v>48.097314783967931</v>
      </c>
      <c r="AA130" s="4">
        <v>235.31351552243123</v>
      </c>
      <c r="AB130" s="4">
        <v>41144.5</v>
      </c>
      <c r="AC130" s="4">
        <v>14684.67</v>
      </c>
      <c r="AD130" s="4">
        <v>91035.945000000007</v>
      </c>
      <c r="AE130" s="4">
        <v>40469.50166997128</v>
      </c>
      <c r="AF130" s="4">
        <v>19695.850404034867</v>
      </c>
      <c r="AG130" s="4">
        <v>96360.884606435589</v>
      </c>
    </row>
    <row r="131" spans="1:33" ht="11.25" customHeight="1" x14ac:dyDescent="0.25">
      <c r="A131" s="3" t="s">
        <v>21</v>
      </c>
      <c r="B131" s="3" t="s">
        <v>39</v>
      </c>
      <c r="C131" s="3" t="s">
        <v>40</v>
      </c>
      <c r="D131" s="3" t="s">
        <v>46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44470</v>
      </c>
      <c r="J131" s="4">
        <v>3550</v>
      </c>
      <c r="K131" s="4">
        <v>3550</v>
      </c>
      <c r="L131" s="4">
        <v>511</v>
      </c>
      <c r="M131" s="4">
        <v>511</v>
      </c>
      <c r="N131" s="4">
        <v>511</v>
      </c>
      <c r="O131" s="4">
        <v>511</v>
      </c>
      <c r="P131" s="4">
        <v>0</v>
      </c>
      <c r="Q131" s="3" t="s">
        <v>26</v>
      </c>
      <c r="R131" s="3">
        <v>0</v>
      </c>
      <c r="S131" s="4">
        <v>5</v>
      </c>
      <c r="T131" s="4">
        <v>6</v>
      </c>
      <c r="U131" s="4">
        <v>87</v>
      </c>
      <c r="V131" s="4">
        <v>11.59</v>
      </c>
      <c r="W131" s="4">
        <v>35.86</v>
      </c>
      <c r="X131" s="4">
        <v>222.31</v>
      </c>
      <c r="Y131" s="4">
        <v>11.399859625344023</v>
      </c>
      <c r="Z131" s="4">
        <v>48.097314783967931</v>
      </c>
      <c r="AA131" s="4">
        <v>235.31351552243123</v>
      </c>
      <c r="AB131" s="4">
        <v>41144.5</v>
      </c>
      <c r="AC131" s="4">
        <v>18324.46</v>
      </c>
      <c r="AD131" s="4">
        <v>113600.41</v>
      </c>
      <c r="AE131" s="4">
        <v>40469.50166997128</v>
      </c>
      <c r="AF131" s="4">
        <v>24577.727854607612</v>
      </c>
      <c r="AG131" s="4">
        <v>120245.20643196236</v>
      </c>
    </row>
    <row r="132" spans="1:33" ht="11.25" customHeight="1" x14ac:dyDescent="0.25">
      <c r="A132" s="3" t="s">
        <v>21</v>
      </c>
      <c r="B132" s="3" t="s">
        <v>39</v>
      </c>
      <c r="C132" s="3" t="s">
        <v>40</v>
      </c>
      <c r="D132" s="3" t="s">
        <v>46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44501</v>
      </c>
      <c r="J132" s="4">
        <v>3550</v>
      </c>
      <c r="K132" s="4">
        <v>3550</v>
      </c>
      <c r="L132" s="4">
        <v>542.5</v>
      </c>
      <c r="M132" s="4">
        <v>542.5</v>
      </c>
      <c r="N132" s="4">
        <v>542.5</v>
      </c>
      <c r="O132" s="4">
        <v>542.5</v>
      </c>
      <c r="P132" s="4">
        <v>0</v>
      </c>
      <c r="Q132" s="3" t="s">
        <v>26</v>
      </c>
      <c r="R132" s="3">
        <v>0</v>
      </c>
      <c r="S132" s="4">
        <v>5</v>
      </c>
      <c r="T132" s="4">
        <v>6</v>
      </c>
      <c r="U132" s="4">
        <v>87</v>
      </c>
      <c r="V132" s="4">
        <v>11.59</v>
      </c>
      <c r="W132" s="4">
        <v>35.86</v>
      </c>
      <c r="X132" s="4">
        <v>222.31</v>
      </c>
      <c r="Y132" s="4">
        <v>11.399859625344023</v>
      </c>
      <c r="Z132" s="4">
        <v>48.097314783967931</v>
      </c>
      <c r="AA132" s="4">
        <v>235.31351552243123</v>
      </c>
      <c r="AB132" s="4">
        <v>41144.5</v>
      </c>
      <c r="AC132" s="4">
        <v>19454.05</v>
      </c>
      <c r="AD132" s="4">
        <v>120603.175</v>
      </c>
      <c r="AE132" s="4">
        <v>40469.50166997128</v>
      </c>
      <c r="AF132" s="4">
        <v>26092.793270302602</v>
      </c>
      <c r="AG132" s="4">
        <v>127657.58217091895</v>
      </c>
    </row>
    <row r="133" spans="1:33" ht="11.25" customHeight="1" x14ac:dyDescent="0.25">
      <c r="A133" s="3" t="s">
        <v>21</v>
      </c>
      <c r="B133" s="3" t="s">
        <v>39</v>
      </c>
      <c r="C133" s="3" t="s">
        <v>40</v>
      </c>
      <c r="D133" s="3" t="s">
        <v>46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44531</v>
      </c>
      <c r="J133" s="4">
        <v>3550</v>
      </c>
      <c r="K133" s="4">
        <v>3550</v>
      </c>
      <c r="L133" s="4">
        <v>500.5</v>
      </c>
      <c r="M133" s="4">
        <v>500.5</v>
      </c>
      <c r="N133" s="4">
        <v>500.5</v>
      </c>
      <c r="O133" s="4">
        <v>500.5</v>
      </c>
      <c r="P133" s="4">
        <v>0</v>
      </c>
      <c r="Q133" s="3" t="s">
        <v>26</v>
      </c>
      <c r="R133" s="3">
        <v>0</v>
      </c>
      <c r="S133" s="4">
        <v>5</v>
      </c>
      <c r="T133" s="4">
        <v>6</v>
      </c>
      <c r="U133" s="4">
        <v>87</v>
      </c>
      <c r="V133" s="4">
        <v>11.59</v>
      </c>
      <c r="W133" s="4">
        <v>35.86</v>
      </c>
      <c r="X133" s="4">
        <v>222.31</v>
      </c>
      <c r="Y133" s="4">
        <v>11.399859625344023</v>
      </c>
      <c r="Z133" s="4">
        <v>48.097314783967931</v>
      </c>
      <c r="AA133" s="4">
        <v>235.31351552243123</v>
      </c>
      <c r="AB133" s="4">
        <v>41144.5</v>
      </c>
      <c r="AC133" s="4">
        <v>17947.93</v>
      </c>
      <c r="AD133" s="4">
        <v>111266.155</v>
      </c>
      <c r="AE133" s="4">
        <v>40469.50166997128</v>
      </c>
      <c r="AF133" s="4">
        <v>24072.706049375949</v>
      </c>
      <c r="AG133" s="4">
        <v>117774.41451897683</v>
      </c>
    </row>
    <row r="134" spans="1:33" ht="11.25" customHeight="1" x14ac:dyDescent="0.25">
      <c r="A134" s="3" t="s">
        <v>21</v>
      </c>
      <c r="B134" s="3" t="s">
        <v>39</v>
      </c>
      <c r="C134" s="3" t="s">
        <v>40</v>
      </c>
      <c r="D134" s="3" t="s">
        <v>46</v>
      </c>
      <c r="E134" s="3" t="s">
        <v>25</v>
      </c>
      <c r="F134" s="3" t="s">
        <v>25</v>
      </c>
      <c r="G134" s="3" t="s">
        <v>25</v>
      </c>
      <c r="H134" s="3" t="s">
        <v>34</v>
      </c>
      <c r="I134" s="6">
        <v>44287</v>
      </c>
      <c r="J134" s="4">
        <v>2950</v>
      </c>
      <c r="K134" s="4">
        <v>2950</v>
      </c>
      <c r="L134" s="4">
        <v>49</v>
      </c>
      <c r="M134" s="4">
        <v>49</v>
      </c>
      <c r="N134" s="4">
        <v>49</v>
      </c>
      <c r="O134" s="4">
        <v>49</v>
      </c>
      <c r="P134" s="4">
        <v>0</v>
      </c>
      <c r="Q134" s="3" t="s">
        <v>26</v>
      </c>
      <c r="R134" s="3">
        <v>0</v>
      </c>
      <c r="S134" s="4">
        <v>4</v>
      </c>
      <c r="T134" s="4">
        <v>6</v>
      </c>
      <c r="U134" s="4">
        <v>86</v>
      </c>
      <c r="V134" s="4">
        <v>28.34</v>
      </c>
      <c r="W134" s="4">
        <v>35.86</v>
      </c>
      <c r="X134" s="4">
        <v>365.5</v>
      </c>
      <c r="Y134" s="4">
        <v>32.733818732103543</v>
      </c>
      <c r="Z134" s="4">
        <v>48.097314783967931</v>
      </c>
      <c r="AA134" s="4">
        <v>381.42546590200942</v>
      </c>
      <c r="AB134" s="4">
        <v>83603</v>
      </c>
      <c r="AC134" s="4">
        <v>1757.1399999999999</v>
      </c>
      <c r="AD134" s="4">
        <v>17909.5</v>
      </c>
      <c r="AE134" s="4">
        <v>96564.765259705455</v>
      </c>
      <c r="AF134" s="4">
        <v>2356.7684244144284</v>
      </c>
      <c r="AG134" s="4">
        <v>18689.847829198461</v>
      </c>
    </row>
    <row r="135" spans="1:33" ht="11.25" customHeight="1" x14ac:dyDescent="0.25">
      <c r="A135" s="3" t="s">
        <v>21</v>
      </c>
      <c r="B135" s="3" t="s">
        <v>39</v>
      </c>
      <c r="C135" s="3" t="s">
        <v>40</v>
      </c>
      <c r="D135" s="3" t="s">
        <v>46</v>
      </c>
      <c r="E135" s="3" t="s">
        <v>25</v>
      </c>
      <c r="F135" s="3" t="s">
        <v>25</v>
      </c>
      <c r="G135" s="3" t="s">
        <v>25</v>
      </c>
      <c r="H135" s="3" t="s">
        <v>34</v>
      </c>
      <c r="I135" s="6">
        <v>44317</v>
      </c>
      <c r="J135" s="4">
        <v>2950</v>
      </c>
      <c r="K135" s="4">
        <v>2950</v>
      </c>
      <c r="L135" s="4">
        <v>52.5</v>
      </c>
      <c r="M135" s="4">
        <v>52.5</v>
      </c>
      <c r="N135" s="4">
        <v>52.5</v>
      </c>
      <c r="O135" s="4">
        <v>52.5</v>
      </c>
      <c r="P135" s="4">
        <v>0</v>
      </c>
      <c r="Q135" s="3" t="s">
        <v>26</v>
      </c>
      <c r="R135" s="3">
        <v>0</v>
      </c>
      <c r="S135" s="4">
        <v>4</v>
      </c>
      <c r="T135" s="4">
        <v>6</v>
      </c>
      <c r="U135" s="4">
        <v>86</v>
      </c>
      <c r="V135" s="4">
        <v>28.34</v>
      </c>
      <c r="W135" s="4">
        <v>35.86</v>
      </c>
      <c r="X135" s="4">
        <v>365.5</v>
      </c>
      <c r="Y135" s="4">
        <v>32.733818732103543</v>
      </c>
      <c r="Z135" s="4">
        <v>48.097314783967931</v>
      </c>
      <c r="AA135" s="4">
        <v>381.42546590200942</v>
      </c>
      <c r="AB135" s="4">
        <v>83603</v>
      </c>
      <c r="AC135" s="4">
        <v>1882.6499999999999</v>
      </c>
      <c r="AD135" s="4">
        <v>19188.75</v>
      </c>
      <c r="AE135" s="4">
        <v>96564.765259705455</v>
      </c>
      <c r="AF135" s="4">
        <v>2525.1090261583163</v>
      </c>
      <c r="AG135" s="4">
        <v>20024.836959855496</v>
      </c>
    </row>
    <row r="136" spans="1:33" ht="11.25" customHeight="1" x14ac:dyDescent="0.25">
      <c r="A136" s="3" t="s">
        <v>21</v>
      </c>
      <c r="B136" s="3" t="s">
        <v>39</v>
      </c>
      <c r="C136" s="3" t="s">
        <v>40</v>
      </c>
      <c r="D136" s="3" t="s">
        <v>46</v>
      </c>
      <c r="E136" s="3" t="s">
        <v>25</v>
      </c>
      <c r="F136" s="3" t="s">
        <v>25</v>
      </c>
      <c r="G136" s="3" t="s">
        <v>25</v>
      </c>
      <c r="H136" s="3" t="s">
        <v>34</v>
      </c>
      <c r="I136" s="6">
        <v>44348</v>
      </c>
      <c r="J136" s="4">
        <v>2950</v>
      </c>
      <c r="K136" s="4">
        <v>2950</v>
      </c>
      <c r="L136" s="4">
        <v>52.5</v>
      </c>
      <c r="M136" s="4">
        <v>52.5</v>
      </c>
      <c r="N136" s="4">
        <v>52.5</v>
      </c>
      <c r="O136" s="4">
        <v>52.5</v>
      </c>
      <c r="P136" s="4">
        <v>0</v>
      </c>
      <c r="Q136" s="3" t="s">
        <v>26</v>
      </c>
      <c r="R136" s="3">
        <v>0</v>
      </c>
      <c r="S136" s="4">
        <v>4</v>
      </c>
      <c r="T136" s="4">
        <v>6</v>
      </c>
      <c r="U136" s="4">
        <v>86</v>
      </c>
      <c r="V136" s="4">
        <v>28.34</v>
      </c>
      <c r="W136" s="4">
        <v>35.86</v>
      </c>
      <c r="X136" s="4">
        <v>365.5</v>
      </c>
      <c r="Y136" s="4">
        <v>32.733818732103543</v>
      </c>
      <c r="Z136" s="4">
        <v>48.097314783967931</v>
      </c>
      <c r="AA136" s="4">
        <v>381.42546590200942</v>
      </c>
      <c r="AB136" s="4">
        <v>83603</v>
      </c>
      <c r="AC136" s="4">
        <v>1882.6499999999999</v>
      </c>
      <c r="AD136" s="4">
        <v>19188.75</v>
      </c>
      <c r="AE136" s="4">
        <v>96564.765259705455</v>
      </c>
      <c r="AF136" s="4">
        <v>2525.1090261583163</v>
      </c>
      <c r="AG136" s="4">
        <v>20024.836959855496</v>
      </c>
    </row>
    <row r="137" spans="1:33" ht="11.25" customHeight="1" x14ac:dyDescent="0.25">
      <c r="A137" s="3" t="s">
        <v>21</v>
      </c>
      <c r="B137" s="3" t="s">
        <v>39</v>
      </c>
      <c r="C137" s="3" t="s">
        <v>40</v>
      </c>
      <c r="D137" s="3" t="s">
        <v>46</v>
      </c>
      <c r="E137" s="3" t="s">
        <v>25</v>
      </c>
      <c r="F137" s="3" t="s">
        <v>25</v>
      </c>
      <c r="G137" s="3" t="s">
        <v>25</v>
      </c>
      <c r="H137" s="3" t="s">
        <v>34</v>
      </c>
      <c r="I137" s="6">
        <v>44378</v>
      </c>
      <c r="J137" s="4">
        <v>2950</v>
      </c>
      <c r="K137" s="4">
        <v>2950</v>
      </c>
      <c r="L137" s="4">
        <v>49</v>
      </c>
      <c r="M137" s="4">
        <v>49</v>
      </c>
      <c r="N137" s="4">
        <v>49</v>
      </c>
      <c r="O137" s="4">
        <v>49</v>
      </c>
      <c r="P137" s="4">
        <v>0</v>
      </c>
      <c r="Q137" s="3" t="s">
        <v>26</v>
      </c>
      <c r="R137" s="3">
        <v>0</v>
      </c>
      <c r="S137" s="4">
        <v>4</v>
      </c>
      <c r="T137" s="4">
        <v>6</v>
      </c>
      <c r="U137" s="4">
        <v>86</v>
      </c>
      <c r="V137" s="4">
        <v>28.34</v>
      </c>
      <c r="W137" s="4">
        <v>35.86</v>
      </c>
      <c r="X137" s="4">
        <v>365.5</v>
      </c>
      <c r="Y137" s="4">
        <v>32.733818732103543</v>
      </c>
      <c r="Z137" s="4">
        <v>48.097314783967931</v>
      </c>
      <c r="AA137" s="4">
        <v>381.42546590200942</v>
      </c>
      <c r="AB137" s="4">
        <v>83603</v>
      </c>
      <c r="AC137" s="4">
        <v>1757.1399999999999</v>
      </c>
      <c r="AD137" s="4">
        <v>17909.5</v>
      </c>
      <c r="AE137" s="4">
        <v>96564.765259705455</v>
      </c>
      <c r="AF137" s="4">
        <v>2356.7684244144284</v>
      </c>
      <c r="AG137" s="4">
        <v>18689.847829198461</v>
      </c>
    </row>
    <row r="138" spans="1:33" ht="11.25" customHeight="1" x14ac:dyDescent="0.25">
      <c r="A138" s="3" t="s">
        <v>21</v>
      </c>
      <c r="B138" s="3" t="s">
        <v>39</v>
      </c>
      <c r="C138" s="3" t="s">
        <v>40</v>
      </c>
      <c r="D138" s="3" t="s">
        <v>46</v>
      </c>
      <c r="E138" s="3" t="s">
        <v>25</v>
      </c>
      <c r="F138" s="3" t="s">
        <v>25</v>
      </c>
      <c r="G138" s="3" t="s">
        <v>25</v>
      </c>
      <c r="H138" s="3" t="s">
        <v>34</v>
      </c>
      <c r="I138" s="6">
        <v>44409</v>
      </c>
      <c r="J138" s="4">
        <v>2950</v>
      </c>
      <c r="K138" s="4">
        <v>2950</v>
      </c>
      <c r="L138" s="4">
        <v>45.5</v>
      </c>
      <c r="M138" s="4">
        <v>45.5</v>
      </c>
      <c r="N138" s="4">
        <v>45.5</v>
      </c>
      <c r="O138" s="4">
        <v>45.5</v>
      </c>
      <c r="P138" s="4">
        <v>0</v>
      </c>
      <c r="Q138" s="3" t="s">
        <v>26</v>
      </c>
      <c r="R138" s="3">
        <v>0</v>
      </c>
      <c r="S138" s="4">
        <v>4</v>
      </c>
      <c r="T138" s="4">
        <v>6</v>
      </c>
      <c r="U138" s="4">
        <v>86</v>
      </c>
      <c r="V138" s="4">
        <v>28.34</v>
      </c>
      <c r="W138" s="4">
        <v>35.86</v>
      </c>
      <c r="X138" s="4">
        <v>365.5</v>
      </c>
      <c r="Y138" s="4">
        <v>32.733818732103543</v>
      </c>
      <c r="Z138" s="4">
        <v>48.097314783967931</v>
      </c>
      <c r="AA138" s="4">
        <v>381.42546590200942</v>
      </c>
      <c r="AB138" s="4">
        <v>83603</v>
      </c>
      <c r="AC138" s="4">
        <v>1631.6299999999999</v>
      </c>
      <c r="AD138" s="4">
        <v>16630.25</v>
      </c>
      <c r="AE138" s="4">
        <v>96564.765259705455</v>
      </c>
      <c r="AF138" s="4">
        <v>2188.427822670541</v>
      </c>
      <c r="AG138" s="4">
        <v>17354.858698541429</v>
      </c>
    </row>
    <row r="139" spans="1:33" ht="11.25" customHeight="1" x14ac:dyDescent="0.25">
      <c r="A139" s="3" t="s">
        <v>21</v>
      </c>
      <c r="B139" s="3" t="s">
        <v>39</v>
      </c>
      <c r="C139" s="3" t="s">
        <v>40</v>
      </c>
      <c r="D139" s="3" t="s">
        <v>46</v>
      </c>
      <c r="E139" s="3" t="s">
        <v>25</v>
      </c>
      <c r="F139" s="3" t="s">
        <v>25</v>
      </c>
      <c r="G139" s="3" t="s">
        <v>25</v>
      </c>
      <c r="H139" s="3" t="s">
        <v>34</v>
      </c>
      <c r="I139" s="6">
        <v>44440</v>
      </c>
      <c r="J139" s="4">
        <v>2950</v>
      </c>
      <c r="K139" s="4">
        <v>2950</v>
      </c>
      <c r="L139" s="4">
        <v>52.5</v>
      </c>
      <c r="M139" s="4">
        <v>52.5</v>
      </c>
      <c r="N139" s="4">
        <v>52.5</v>
      </c>
      <c r="O139" s="4">
        <v>52.5</v>
      </c>
      <c r="P139" s="4">
        <v>0</v>
      </c>
      <c r="Q139" s="3" t="s">
        <v>26</v>
      </c>
      <c r="R139" s="3">
        <v>0</v>
      </c>
      <c r="S139" s="4">
        <v>4</v>
      </c>
      <c r="T139" s="4">
        <v>6</v>
      </c>
      <c r="U139" s="4">
        <v>86</v>
      </c>
      <c r="V139" s="4">
        <v>28.34</v>
      </c>
      <c r="W139" s="4">
        <v>35.86</v>
      </c>
      <c r="X139" s="4">
        <v>365.5</v>
      </c>
      <c r="Y139" s="4">
        <v>32.733818732103543</v>
      </c>
      <c r="Z139" s="4">
        <v>48.097314783967931</v>
      </c>
      <c r="AA139" s="4">
        <v>381.42546590200942</v>
      </c>
      <c r="AB139" s="4">
        <v>83603</v>
      </c>
      <c r="AC139" s="4">
        <v>1882.6499999999999</v>
      </c>
      <c r="AD139" s="4">
        <v>19188.75</v>
      </c>
      <c r="AE139" s="4">
        <v>96564.765259705455</v>
      </c>
      <c r="AF139" s="4">
        <v>2525.1090261583163</v>
      </c>
      <c r="AG139" s="4">
        <v>20024.836959855496</v>
      </c>
    </row>
    <row r="140" spans="1:33" ht="11.25" customHeight="1" x14ac:dyDescent="0.25">
      <c r="A140" s="3" t="s">
        <v>21</v>
      </c>
      <c r="B140" s="3" t="s">
        <v>39</v>
      </c>
      <c r="C140" s="3" t="s">
        <v>40</v>
      </c>
      <c r="D140" s="3" t="s">
        <v>46</v>
      </c>
      <c r="E140" s="3" t="s">
        <v>25</v>
      </c>
      <c r="F140" s="3" t="s">
        <v>25</v>
      </c>
      <c r="G140" s="3" t="s">
        <v>25</v>
      </c>
      <c r="H140" s="3" t="s">
        <v>34</v>
      </c>
      <c r="I140" s="6">
        <v>44470</v>
      </c>
      <c r="J140" s="4">
        <v>2950</v>
      </c>
      <c r="K140" s="4">
        <v>2950</v>
      </c>
      <c r="L140" s="4">
        <v>52.5</v>
      </c>
      <c r="M140" s="4">
        <v>52.5</v>
      </c>
      <c r="N140" s="4">
        <v>52.5</v>
      </c>
      <c r="O140" s="4">
        <v>52.5</v>
      </c>
      <c r="P140" s="4">
        <v>0</v>
      </c>
      <c r="Q140" s="3" t="s">
        <v>26</v>
      </c>
      <c r="R140" s="3">
        <v>0</v>
      </c>
      <c r="S140" s="4">
        <v>4</v>
      </c>
      <c r="T140" s="4">
        <v>6</v>
      </c>
      <c r="U140" s="4">
        <v>86</v>
      </c>
      <c r="V140" s="4">
        <v>28.34</v>
      </c>
      <c r="W140" s="4">
        <v>35.86</v>
      </c>
      <c r="X140" s="4">
        <v>365.5</v>
      </c>
      <c r="Y140" s="4">
        <v>32.733818732103543</v>
      </c>
      <c r="Z140" s="4">
        <v>48.097314783967931</v>
      </c>
      <c r="AA140" s="4">
        <v>381.42546590200942</v>
      </c>
      <c r="AB140" s="4">
        <v>83603</v>
      </c>
      <c r="AC140" s="4">
        <v>1882.6499999999999</v>
      </c>
      <c r="AD140" s="4">
        <v>19188.75</v>
      </c>
      <c r="AE140" s="4">
        <v>96564.765259705455</v>
      </c>
      <c r="AF140" s="4">
        <v>2525.1090261583163</v>
      </c>
      <c r="AG140" s="4">
        <v>20024.836959855496</v>
      </c>
    </row>
    <row r="141" spans="1:33" ht="11.25" customHeight="1" x14ac:dyDescent="0.25">
      <c r="A141" s="3" t="s">
        <v>21</v>
      </c>
      <c r="B141" s="3" t="s">
        <v>39</v>
      </c>
      <c r="C141" s="3" t="s">
        <v>40</v>
      </c>
      <c r="D141" s="3" t="s">
        <v>46</v>
      </c>
      <c r="E141" s="3" t="s">
        <v>25</v>
      </c>
      <c r="F141" s="3" t="s">
        <v>25</v>
      </c>
      <c r="G141" s="3" t="s">
        <v>25</v>
      </c>
      <c r="H141" s="3" t="s">
        <v>34</v>
      </c>
      <c r="I141" s="6">
        <v>44501</v>
      </c>
      <c r="J141" s="4">
        <v>2950</v>
      </c>
      <c r="K141" s="4">
        <v>2950</v>
      </c>
      <c r="L141" s="4">
        <v>52.5</v>
      </c>
      <c r="M141" s="4">
        <v>52.5</v>
      </c>
      <c r="N141" s="4">
        <v>52.5</v>
      </c>
      <c r="O141" s="4">
        <v>52.5</v>
      </c>
      <c r="P141" s="4">
        <v>0</v>
      </c>
      <c r="Q141" s="3" t="s">
        <v>26</v>
      </c>
      <c r="R141" s="3">
        <v>0</v>
      </c>
      <c r="S141" s="4">
        <v>4</v>
      </c>
      <c r="T141" s="4">
        <v>6</v>
      </c>
      <c r="U141" s="4">
        <v>86</v>
      </c>
      <c r="V141" s="4">
        <v>28.34</v>
      </c>
      <c r="W141" s="4">
        <v>35.86</v>
      </c>
      <c r="X141" s="4">
        <v>365.5</v>
      </c>
      <c r="Y141" s="4">
        <v>32.733818732103543</v>
      </c>
      <c r="Z141" s="4">
        <v>48.097314783967931</v>
      </c>
      <c r="AA141" s="4">
        <v>381.42546590200942</v>
      </c>
      <c r="AB141" s="4">
        <v>83603</v>
      </c>
      <c r="AC141" s="4">
        <v>1882.6499999999999</v>
      </c>
      <c r="AD141" s="4">
        <v>19188.75</v>
      </c>
      <c r="AE141" s="4">
        <v>96564.765259705455</v>
      </c>
      <c r="AF141" s="4">
        <v>2525.1090261583163</v>
      </c>
      <c r="AG141" s="4">
        <v>20024.836959855496</v>
      </c>
    </row>
    <row r="142" spans="1:33" ht="11.25" customHeight="1" x14ac:dyDescent="0.25">
      <c r="A142" s="3" t="s">
        <v>21</v>
      </c>
      <c r="B142" s="3" t="s">
        <v>39</v>
      </c>
      <c r="C142" s="3" t="s">
        <v>40</v>
      </c>
      <c r="D142" s="3" t="s">
        <v>46</v>
      </c>
      <c r="E142" s="3" t="s">
        <v>25</v>
      </c>
      <c r="F142" s="3" t="s">
        <v>25</v>
      </c>
      <c r="G142" s="3" t="s">
        <v>25</v>
      </c>
      <c r="H142" s="3" t="s">
        <v>34</v>
      </c>
      <c r="I142" s="6">
        <v>44531</v>
      </c>
      <c r="J142" s="4">
        <v>2950</v>
      </c>
      <c r="K142" s="4">
        <v>2950</v>
      </c>
      <c r="L142" s="4">
        <v>59.5</v>
      </c>
      <c r="M142" s="4">
        <v>59.5</v>
      </c>
      <c r="N142" s="4">
        <v>59.5</v>
      </c>
      <c r="O142" s="4">
        <v>59.5</v>
      </c>
      <c r="P142" s="4">
        <v>0</v>
      </c>
      <c r="Q142" s="3" t="s">
        <v>26</v>
      </c>
      <c r="R142" s="3">
        <v>0</v>
      </c>
      <c r="S142" s="4">
        <v>4</v>
      </c>
      <c r="T142" s="4">
        <v>6</v>
      </c>
      <c r="U142" s="4">
        <v>86</v>
      </c>
      <c r="V142" s="4">
        <v>28.34</v>
      </c>
      <c r="W142" s="4">
        <v>35.86</v>
      </c>
      <c r="X142" s="4">
        <v>365.5</v>
      </c>
      <c r="Y142" s="4">
        <v>32.733818732103543</v>
      </c>
      <c r="Z142" s="4">
        <v>48.097314783967931</v>
      </c>
      <c r="AA142" s="4">
        <v>381.42546590200942</v>
      </c>
      <c r="AB142" s="4">
        <v>83603</v>
      </c>
      <c r="AC142" s="4">
        <v>2133.67</v>
      </c>
      <c r="AD142" s="4">
        <v>21747.25</v>
      </c>
      <c r="AE142" s="4">
        <v>96564.765259705455</v>
      </c>
      <c r="AF142" s="4">
        <v>2861.790229646092</v>
      </c>
      <c r="AG142" s="4">
        <v>22694.81522116956</v>
      </c>
    </row>
    <row r="143" spans="1:33" ht="11.25" customHeight="1" x14ac:dyDescent="0.25">
      <c r="A143" s="3" t="s">
        <v>21</v>
      </c>
      <c r="B143" s="3" t="s">
        <v>39</v>
      </c>
      <c r="C143" s="3" t="s">
        <v>40</v>
      </c>
      <c r="D143" s="3" t="s">
        <v>45</v>
      </c>
      <c r="E143" s="3" t="s">
        <v>53</v>
      </c>
      <c r="F143" s="3" t="s">
        <v>55</v>
      </c>
      <c r="G143" s="3" t="s">
        <v>25</v>
      </c>
      <c r="H143" s="3" t="s">
        <v>35</v>
      </c>
      <c r="I143" s="6">
        <v>44287</v>
      </c>
      <c r="J143" s="4">
        <v>0</v>
      </c>
      <c r="K143" s="4">
        <v>0</v>
      </c>
      <c r="L143" s="4">
        <v>514.35</v>
      </c>
      <c r="M143" s="4">
        <v>51.435000000000002</v>
      </c>
      <c r="N143" s="4">
        <v>514.35</v>
      </c>
      <c r="O143" s="4">
        <v>51.435000000000002</v>
      </c>
      <c r="P143" s="4">
        <v>0</v>
      </c>
      <c r="Q143" s="3" t="s">
        <v>26</v>
      </c>
      <c r="R143" s="3">
        <v>0</v>
      </c>
      <c r="S143" s="4">
        <v>0</v>
      </c>
      <c r="T143" s="4">
        <v>6</v>
      </c>
      <c r="U143" s="4">
        <v>87</v>
      </c>
      <c r="V143" s="4">
        <v>0</v>
      </c>
      <c r="W143" s="4">
        <v>35.86</v>
      </c>
      <c r="X143" s="4">
        <v>222.31</v>
      </c>
      <c r="Y143" s="4">
        <v>11.399859625344023</v>
      </c>
      <c r="Z143" s="4">
        <v>48.097314783967931</v>
      </c>
      <c r="AA143" s="4">
        <v>235.31351552243123</v>
      </c>
      <c r="AB143" s="4">
        <v>0</v>
      </c>
      <c r="AC143" s="4">
        <v>1844.4591</v>
      </c>
      <c r="AD143" s="4">
        <v>11434.514850000001</v>
      </c>
      <c r="AE143" s="4">
        <v>0</v>
      </c>
      <c r="AF143" s="4">
        <v>2473.8853859133906</v>
      </c>
      <c r="AG143" s="4">
        <v>12103.35067089625</v>
      </c>
    </row>
    <row r="144" spans="1:33" ht="11.25" customHeight="1" x14ac:dyDescent="0.25">
      <c r="A144" s="3" t="s">
        <v>21</v>
      </c>
      <c r="B144" s="3" t="s">
        <v>39</v>
      </c>
      <c r="C144" s="3" t="s">
        <v>40</v>
      </c>
      <c r="D144" s="3" t="s">
        <v>45</v>
      </c>
      <c r="E144" s="3" t="s">
        <v>53</v>
      </c>
      <c r="F144" s="3" t="s">
        <v>55</v>
      </c>
      <c r="G144" s="3" t="s">
        <v>25</v>
      </c>
      <c r="H144" s="3" t="s">
        <v>35</v>
      </c>
      <c r="I144" s="6">
        <v>44317</v>
      </c>
      <c r="J144" s="4">
        <v>0</v>
      </c>
      <c r="K144" s="4">
        <v>0</v>
      </c>
      <c r="L144" s="4">
        <v>134.13</v>
      </c>
      <c r="M144" s="4">
        <v>13.413</v>
      </c>
      <c r="N144" s="4">
        <v>134.13</v>
      </c>
      <c r="O144" s="4">
        <v>13.413</v>
      </c>
      <c r="P144" s="4">
        <v>0</v>
      </c>
      <c r="Q144" s="3" t="s">
        <v>26</v>
      </c>
      <c r="R144" s="3">
        <v>0</v>
      </c>
      <c r="S144" s="4">
        <v>0</v>
      </c>
      <c r="T144" s="4">
        <v>6</v>
      </c>
      <c r="U144" s="4">
        <v>87</v>
      </c>
      <c r="V144" s="4">
        <v>0</v>
      </c>
      <c r="W144" s="4">
        <v>35.86</v>
      </c>
      <c r="X144" s="4">
        <v>222.31</v>
      </c>
      <c r="Y144" s="4">
        <v>11.399859625344023</v>
      </c>
      <c r="Z144" s="4">
        <v>48.097314783967931</v>
      </c>
      <c r="AA144" s="4">
        <v>235.31351552243123</v>
      </c>
      <c r="AB144" s="4">
        <v>0</v>
      </c>
      <c r="AC144" s="4">
        <v>480.99018000000001</v>
      </c>
      <c r="AD144" s="4">
        <v>2981.8440300000002</v>
      </c>
      <c r="AE144" s="4">
        <v>0</v>
      </c>
      <c r="AF144" s="4">
        <v>645.12928319736193</v>
      </c>
      <c r="AG144" s="4">
        <v>3156.2601837023703</v>
      </c>
    </row>
    <row r="145" spans="1:33" ht="11.25" customHeight="1" x14ac:dyDescent="0.25">
      <c r="A145" s="3" t="s">
        <v>21</v>
      </c>
      <c r="B145" s="3" t="s">
        <v>39</v>
      </c>
      <c r="C145" s="3" t="s">
        <v>40</v>
      </c>
      <c r="D145" s="3" t="s">
        <v>45</v>
      </c>
      <c r="E145" s="3" t="s">
        <v>53</v>
      </c>
      <c r="F145" s="3" t="s">
        <v>55</v>
      </c>
      <c r="G145" s="3" t="s">
        <v>25</v>
      </c>
      <c r="H145" s="3" t="s">
        <v>35</v>
      </c>
      <c r="I145" s="6">
        <v>44348</v>
      </c>
      <c r="J145" s="4">
        <v>0</v>
      </c>
      <c r="K145" s="4">
        <v>0</v>
      </c>
      <c r="L145" s="4">
        <v>122.04</v>
      </c>
      <c r="M145" s="4">
        <v>12.204000000000001</v>
      </c>
      <c r="N145" s="4">
        <v>122.04</v>
      </c>
      <c r="O145" s="4">
        <v>12.204000000000001</v>
      </c>
      <c r="P145" s="4">
        <v>0</v>
      </c>
      <c r="Q145" s="3" t="s">
        <v>26</v>
      </c>
      <c r="R145" s="3">
        <v>0</v>
      </c>
      <c r="S145" s="4">
        <v>0</v>
      </c>
      <c r="T145" s="4">
        <v>6</v>
      </c>
      <c r="U145" s="4">
        <v>87</v>
      </c>
      <c r="V145" s="4">
        <v>0</v>
      </c>
      <c r="W145" s="4">
        <v>35.86</v>
      </c>
      <c r="X145" s="4">
        <v>222.31</v>
      </c>
      <c r="Y145" s="4">
        <v>11.399859625344023</v>
      </c>
      <c r="Z145" s="4">
        <v>48.097314783967931</v>
      </c>
      <c r="AA145" s="4">
        <v>235.31351552243123</v>
      </c>
      <c r="AB145" s="4">
        <v>0</v>
      </c>
      <c r="AC145" s="4">
        <v>437.63544000000002</v>
      </c>
      <c r="AD145" s="4">
        <v>2713.0712400000002</v>
      </c>
      <c r="AE145" s="4">
        <v>0</v>
      </c>
      <c r="AF145" s="4">
        <v>586.97962962354461</v>
      </c>
      <c r="AG145" s="4">
        <v>2871.766143435751</v>
      </c>
    </row>
    <row r="146" spans="1:33" ht="11.25" customHeight="1" x14ac:dyDescent="0.25">
      <c r="A146" s="3" t="s">
        <v>21</v>
      </c>
      <c r="B146" s="3" t="s">
        <v>39</v>
      </c>
      <c r="C146" s="3" t="s">
        <v>40</v>
      </c>
      <c r="D146" s="3" t="s">
        <v>45</v>
      </c>
      <c r="E146" s="3" t="s">
        <v>53</v>
      </c>
      <c r="F146" s="3" t="s">
        <v>55</v>
      </c>
      <c r="G146" s="3" t="s">
        <v>25</v>
      </c>
      <c r="H146" s="3" t="s">
        <v>35</v>
      </c>
      <c r="I146" s="6">
        <v>44378</v>
      </c>
      <c r="J146" s="4">
        <v>0</v>
      </c>
      <c r="K146" s="4">
        <v>0</v>
      </c>
      <c r="L146" s="4">
        <v>100.842</v>
      </c>
      <c r="M146" s="4">
        <v>10.084199999999999</v>
      </c>
      <c r="N146" s="4">
        <v>100.842</v>
      </c>
      <c r="O146" s="4">
        <v>10.084199999999999</v>
      </c>
      <c r="P146" s="4">
        <v>0</v>
      </c>
      <c r="Q146" s="3" t="s">
        <v>26</v>
      </c>
      <c r="R146" s="3">
        <v>0</v>
      </c>
      <c r="S146" s="4">
        <v>0</v>
      </c>
      <c r="T146" s="4">
        <v>6</v>
      </c>
      <c r="U146" s="4">
        <v>87</v>
      </c>
      <c r="V146" s="4">
        <v>0</v>
      </c>
      <c r="W146" s="4">
        <v>35.86</v>
      </c>
      <c r="X146" s="4">
        <v>222.31</v>
      </c>
      <c r="Y146" s="4">
        <v>11.399859625344023</v>
      </c>
      <c r="Z146" s="4">
        <v>48.097314783967931</v>
      </c>
      <c r="AA146" s="4">
        <v>235.31351552243123</v>
      </c>
      <c r="AB146" s="4">
        <v>0</v>
      </c>
      <c r="AC146" s="4">
        <v>361.61941199999995</v>
      </c>
      <c r="AD146" s="4">
        <v>2241.8185019999996</v>
      </c>
      <c r="AE146" s="4">
        <v>0</v>
      </c>
      <c r="AF146" s="4">
        <v>485.0229417444894</v>
      </c>
      <c r="AG146" s="4">
        <v>2372.948553231301</v>
      </c>
    </row>
    <row r="147" spans="1:33" ht="11.25" customHeight="1" x14ac:dyDescent="0.25">
      <c r="A147" s="3" t="s">
        <v>21</v>
      </c>
      <c r="B147" s="3" t="s">
        <v>39</v>
      </c>
      <c r="C147" s="3" t="s">
        <v>40</v>
      </c>
      <c r="D147" s="3" t="s">
        <v>45</v>
      </c>
      <c r="E147" s="3" t="s">
        <v>53</v>
      </c>
      <c r="F147" s="3" t="s">
        <v>55</v>
      </c>
      <c r="G147" s="3" t="s">
        <v>25</v>
      </c>
      <c r="H147" s="3" t="s">
        <v>35</v>
      </c>
      <c r="I147" s="6">
        <v>44409</v>
      </c>
      <c r="J147" s="4">
        <v>0</v>
      </c>
      <c r="K147" s="4">
        <v>0</v>
      </c>
      <c r="L147" s="4">
        <v>111.054</v>
      </c>
      <c r="M147" s="4">
        <v>11.105399999999999</v>
      </c>
      <c r="N147" s="4">
        <v>111.054</v>
      </c>
      <c r="O147" s="4">
        <v>11.105399999999999</v>
      </c>
      <c r="P147" s="4">
        <v>0</v>
      </c>
      <c r="Q147" s="3" t="s">
        <v>26</v>
      </c>
      <c r="R147" s="3">
        <v>0</v>
      </c>
      <c r="S147" s="4">
        <v>0</v>
      </c>
      <c r="T147" s="4">
        <v>6</v>
      </c>
      <c r="U147" s="4">
        <v>87</v>
      </c>
      <c r="V147" s="4">
        <v>0</v>
      </c>
      <c r="W147" s="4">
        <v>35.86</v>
      </c>
      <c r="X147" s="4">
        <v>222.31</v>
      </c>
      <c r="Y147" s="4">
        <v>11.399859625344023</v>
      </c>
      <c r="Z147" s="4">
        <v>48.097314783967931</v>
      </c>
      <c r="AA147" s="4">
        <v>235.31351552243123</v>
      </c>
      <c r="AB147" s="4">
        <v>0</v>
      </c>
      <c r="AC147" s="4">
        <v>398.239644</v>
      </c>
      <c r="AD147" s="4">
        <v>2468.8414739999998</v>
      </c>
      <c r="AE147" s="4">
        <v>0</v>
      </c>
      <c r="AF147" s="4">
        <v>534.13991960187741</v>
      </c>
      <c r="AG147" s="4">
        <v>2613.2507152828075</v>
      </c>
    </row>
    <row r="148" spans="1:33" ht="11.25" customHeight="1" x14ac:dyDescent="0.25">
      <c r="A148" s="3" t="s">
        <v>21</v>
      </c>
      <c r="B148" s="3" t="s">
        <v>39</v>
      </c>
      <c r="C148" s="3" t="s">
        <v>40</v>
      </c>
      <c r="D148" s="3" t="s">
        <v>45</v>
      </c>
      <c r="E148" s="3" t="s">
        <v>53</v>
      </c>
      <c r="F148" s="3" t="s">
        <v>55</v>
      </c>
      <c r="G148" s="3" t="s">
        <v>25</v>
      </c>
      <c r="H148" s="3" t="s">
        <v>35</v>
      </c>
      <c r="I148" s="6">
        <v>44440</v>
      </c>
      <c r="J148" s="4">
        <v>0</v>
      </c>
      <c r="K148" s="4">
        <v>0</v>
      </c>
      <c r="L148" s="4">
        <v>440.58600000000001</v>
      </c>
      <c r="M148" s="4">
        <v>44.058599999999998</v>
      </c>
      <c r="N148" s="4">
        <v>440.58600000000001</v>
      </c>
      <c r="O148" s="4">
        <v>44.058599999999998</v>
      </c>
      <c r="P148" s="4">
        <v>0</v>
      </c>
      <c r="Q148" s="3" t="s">
        <v>26</v>
      </c>
      <c r="R148" s="3">
        <v>0</v>
      </c>
      <c r="S148" s="4">
        <v>0</v>
      </c>
      <c r="T148" s="4">
        <v>6</v>
      </c>
      <c r="U148" s="4">
        <v>87</v>
      </c>
      <c r="V148" s="4">
        <v>0</v>
      </c>
      <c r="W148" s="4">
        <v>35.86</v>
      </c>
      <c r="X148" s="4">
        <v>222.31</v>
      </c>
      <c r="Y148" s="4">
        <v>11.399859625344023</v>
      </c>
      <c r="Z148" s="4">
        <v>48.097314783967931</v>
      </c>
      <c r="AA148" s="4">
        <v>235.31351552243123</v>
      </c>
      <c r="AB148" s="4">
        <v>0</v>
      </c>
      <c r="AC148" s="4">
        <v>1579.9413959999999</v>
      </c>
      <c r="AD148" s="4">
        <v>9794.6673659999997</v>
      </c>
      <c r="AE148" s="4">
        <v>0</v>
      </c>
      <c r="AF148" s="4">
        <v>2119.1003531409292</v>
      </c>
      <c r="AG148" s="4">
        <v>10367.584054996589</v>
      </c>
    </row>
    <row r="149" spans="1:33" ht="11.25" customHeight="1" x14ac:dyDescent="0.25">
      <c r="A149" s="3" t="s">
        <v>21</v>
      </c>
      <c r="B149" s="3" t="s">
        <v>39</v>
      </c>
      <c r="C149" s="3" t="s">
        <v>40</v>
      </c>
      <c r="D149" s="3" t="s">
        <v>45</v>
      </c>
      <c r="E149" s="3" t="s">
        <v>53</v>
      </c>
      <c r="F149" s="3" t="s">
        <v>55</v>
      </c>
      <c r="G149" s="3" t="s">
        <v>25</v>
      </c>
      <c r="H149" s="3" t="s">
        <v>35</v>
      </c>
      <c r="I149" s="6">
        <v>44470</v>
      </c>
      <c r="J149" s="4">
        <v>0</v>
      </c>
      <c r="K149" s="4">
        <v>0</v>
      </c>
      <c r="L149" s="4">
        <v>884.274</v>
      </c>
      <c r="M149" s="4">
        <v>88.427400000000006</v>
      </c>
      <c r="N149" s="4">
        <v>884.274</v>
      </c>
      <c r="O149" s="4">
        <v>88.427400000000006</v>
      </c>
      <c r="P149" s="4">
        <v>0</v>
      </c>
      <c r="Q149" s="3" t="s">
        <v>26</v>
      </c>
      <c r="R149" s="3">
        <v>0</v>
      </c>
      <c r="S149" s="4">
        <v>0</v>
      </c>
      <c r="T149" s="4">
        <v>6</v>
      </c>
      <c r="U149" s="4">
        <v>87</v>
      </c>
      <c r="V149" s="4">
        <v>0</v>
      </c>
      <c r="W149" s="4">
        <v>35.86</v>
      </c>
      <c r="X149" s="4">
        <v>222.31</v>
      </c>
      <c r="Y149" s="4">
        <v>11.399859625344023</v>
      </c>
      <c r="Z149" s="4">
        <v>48.097314783967931</v>
      </c>
      <c r="AA149" s="4">
        <v>235.31351552243123</v>
      </c>
      <c r="AB149" s="4">
        <v>0</v>
      </c>
      <c r="AC149" s="4">
        <v>3171.0065640000003</v>
      </c>
      <c r="AD149" s="4">
        <v>19658.295294000003</v>
      </c>
      <c r="AE149" s="4">
        <v>0</v>
      </c>
      <c r="AF149" s="4">
        <v>4253.1204933278459</v>
      </c>
      <c r="AG149" s="4">
        <v>20808.162362508236</v>
      </c>
    </row>
    <row r="150" spans="1:33" ht="11.25" customHeight="1" x14ac:dyDescent="0.25">
      <c r="A150" s="3" t="s">
        <v>21</v>
      </c>
      <c r="B150" s="3" t="s">
        <v>39</v>
      </c>
      <c r="C150" s="3" t="s">
        <v>40</v>
      </c>
      <c r="D150" s="3" t="s">
        <v>45</v>
      </c>
      <c r="E150" s="3" t="s">
        <v>53</v>
      </c>
      <c r="F150" s="3" t="s">
        <v>55</v>
      </c>
      <c r="G150" s="3" t="s">
        <v>25</v>
      </c>
      <c r="H150" s="3" t="s">
        <v>35</v>
      </c>
      <c r="I150" s="6">
        <v>44501</v>
      </c>
      <c r="J150" s="4">
        <v>0</v>
      </c>
      <c r="K150" s="4">
        <v>0</v>
      </c>
      <c r="L150" s="4">
        <v>960.69</v>
      </c>
      <c r="M150" s="4">
        <v>96.069000000000003</v>
      </c>
      <c r="N150" s="4">
        <v>960.69</v>
      </c>
      <c r="O150" s="4">
        <v>96.069000000000003</v>
      </c>
      <c r="P150" s="4">
        <v>0</v>
      </c>
      <c r="Q150" s="3" t="s">
        <v>26</v>
      </c>
      <c r="R150" s="3">
        <v>0</v>
      </c>
      <c r="S150" s="4">
        <v>0</v>
      </c>
      <c r="T150" s="4">
        <v>6</v>
      </c>
      <c r="U150" s="4">
        <v>87</v>
      </c>
      <c r="V150" s="4">
        <v>0</v>
      </c>
      <c r="W150" s="4">
        <v>35.86</v>
      </c>
      <c r="X150" s="4">
        <v>222.31</v>
      </c>
      <c r="Y150" s="4">
        <v>11.399859625344023</v>
      </c>
      <c r="Z150" s="4">
        <v>48.097314783967931</v>
      </c>
      <c r="AA150" s="4">
        <v>235.31351552243123</v>
      </c>
      <c r="AB150" s="4">
        <v>0</v>
      </c>
      <c r="AC150" s="4">
        <v>3445.0343400000002</v>
      </c>
      <c r="AD150" s="4">
        <v>21357.099389999999</v>
      </c>
      <c r="AE150" s="4">
        <v>0</v>
      </c>
      <c r="AF150" s="4">
        <v>4620.6609339810157</v>
      </c>
      <c r="AG150" s="4">
        <v>22606.334122724445</v>
      </c>
    </row>
    <row r="151" spans="1:33" ht="11.25" customHeight="1" x14ac:dyDescent="0.25">
      <c r="A151" s="3" t="s">
        <v>21</v>
      </c>
      <c r="B151" s="3" t="s">
        <v>39</v>
      </c>
      <c r="C151" s="3" t="s">
        <v>40</v>
      </c>
      <c r="D151" s="3" t="s">
        <v>45</v>
      </c>
      <c r="E151" s="3" t="s">
        <v>53</v>
      </c>
      <c r="F151" s="3" t="s">
        <v>55</v>
      </c>
      <c r="G151" s="3" t="s">
        <v>25</v>
      </c>
      <c r="H151" s="3" t="s">
        <v>35</v>
      </c>
      <c r="I151" s="6">
        <v>44531</v>
      </c>
      <c r="J151" s="4">
        <v>0</v>
      </c>
      <c r="K151" s="4">
        <v>0</v>
      </c>
      <c r="L151" s="4">
        <v>745.42200000000003</v>
      </c>
      <c r="M151" s="4">
        <v>74.542199999999994</v>
      </c>
      <c r="N151" s="4">
        <v>745.42200000000003</v>
      </c>
      <c r="O151" s="4">
        <v>74.542199999999994</v>
      </c>
      <c r="P151" s="4">
        <v>0</v>
      </c>
      <c r="Q151" s="3" t="s">
        <v>26</v>
      </c>
      <c r="R151" s="3">
        <v>0</v>
      </c>
      <c r="S151" s="4">
        <v>0</v>
      </c>
      <c r="T151" s="4">
        <v>6</v>
      </c>
      <c r="U151" s="4">
        <v>87</v>
      </c>
      <c r="V151" s="4">
        <v>0</v>
      </c>
      <c r="W151" s="4">
        <v>35.86</v>
      </c>
      <c r="X151" s="4">
        <v>222.31</v>
      </c>
      <c r="Y151" s="4">
        <v>11.399859625344023</v>
      </c>
      <c r="Z151" s="4">
        <v>48.097314783967931</v>
      </c>
      <c r="AA151" s="4">
        <v>235.31351552243123</v>
      </c>
      <c r="AB151" s="4">
        <v>0</v>
      </c>
      <c r="AC151" s="4">
        <v>2673.0832919999998</v>
      </c>
      <c r="AD151" s="4">
        <v>16571.476481999998</v>
      </c>
      <c r="AE151" s="4">
        <v>0</v>
      </c>
      <c r="AF151" s="4">
        <v>3585.2796580894942</v>
      </c>
      <c r="AG151" s="4">
        <v>17540.787136776173</v>
      </c>
    </row>
    <row r="152" spans="1:33" ht="11.25" customHeight="1" x14ac:dyDescent="0.25">
      <c r="A152" s="3" t="s">
        <v>21</v>
      </c>
      <c r="B152" s="3" t="s">
        <v>39</v>
      </c>
      <c r="C152" s="3" t="s">
        <v>40</v>
      </c>
      <c r="D152" s="3" t="s">
        <v>45</v>
      </c>
      <c r="E152" s="3" t="s">
        <v>53</v>
      </c>
      <c r="F152" s="3" t="s">
        <v>55</v>
      </c>
      <c r="G152" s="3" t="s">
        <v>25</v>
      </c>
      <c r="H152" s="3" t="s">
        <v>35</v>
      </c>
      <c r="I152" s="6">
        <v>44562</v>
      </c>
      <c r="J152" s="4">
        <v>0</v>
      </c>
      <c r="K152" s="4">
        <v>0</v>
      </c>
      <c r="L152" s="4">
        <v>593.84</v>
      </c>
      <c r="M152" s="4">
        <v>59.384</v>
      </c>
      <c r="N152" s="4">
        <v>593.84</v>
      </c>
      <c r="O152" s="4">
        <v>59.384</v>
      </c>
      <c r="P152" s="4">
        <v>0</v>
      </c>
      <c r="Q152" s="3" t="s">
        <v>26</v>
      </c>
      <c r="R152" s="3">
        <v>0</v>
      </c>
      <c r="S152" s="4">
        <v>0</v>
      </c>
      <c r="T152" s="4">
        <v>6</v>
      </c>
      <c r="U152" s="4">
        <v>87</v>
      </c>
      <c r="V152" s="4">
        <v>0</v>
      </c>
      <c r="W152" s="4">
        <v>35.86</v>
      </c>
      <c r="X152" s="4">
        <v>222.31</v>
      </c>
      <c r="Y152" s="4">
        <v>11.399859625344023</v>
      </c>
      <c r="Z152" s="4">
        <v>48.097314783967931</v>
      </c>
      <c r="AA152" s="4">
        <v>235.31351552243123</v>
      </c>
      <c r="AB152" s="4">
        <v>0</v>
      </c>
      <c r="AC152" s="4">
        <v>2129.5102400000001</v>
      </c>
      <c r="AD152" s="4">
        <v>13201.65704</v>
      </c>
      <c r="AE152" s="4">
        <v>0</v>
      </c>
      <c r="AF152" s="4">
        <v>2856.2109411311517</v>
      </c>
      <c r="AG152" s="4">
        <v>13973.857805784057</v>
      </c>
    </row>
    <row r="153" spans="1:33" ht="11.25" customHeight="1" x14ac:dyDescent="0.25">
      <c r="A153" s="3" t="s">
        <v>21</v>
      </c>
      <c r="B153" s="3" t="s">
        <v>39</v>
      </c>
      <c r="C153" s="3" t="s">
        <v>40</v>
      </c>
      <c r="D153" s="3" t="s">
        <v>45</v>
      </c>
      <c r="E153" s="3" t="s">
        <v>53</v>
      </c>
      <c r="F153" s="3" t="s">
        <v>55</v>
      </c>
      <c r="G153" s="3" t="s">
        <v>25</v>
      </c>
      <c r="H153" s="3" t="s">
        <v>35</v>
      </c>
      <c r="I153" s="6">
        <v>44593</v>
      </c>
      <c r="J153" s="4">
        <v>0</v>
      </c>
      <c r="K153" s="4">
        <v>0</v>
      </c>
      <c r="L153" s="4">
        <v>1122.606</v>
      </c>
      <c r="M153" s="4">
        <v>112.2606</v>
      </c>
      <c r="N153" s="4">
        <v>1122.606</v>
      </c>
      <c r="O153" s="4">
        <v>112.2606</v>
      </c>
      <c r="P153" s="4">
        <v>0</v>
      </c>
      <c r="Q153" s="3" t="s">
        <v>26</v>
      </c>
      <c r="R153" s="3">
        <v>0</v>
      </c>
      <c r="S153" s="4">
        <v>0</v>
      </c>
      <c r="T153" s="4">
        <v>6</v>
      </c>
      <c r="U153" s="4">
        <v>87</v>
      </c>
      <c r="V153" s="4">
        <v>0</v>
      </c>
      <c r="W153" s="4">
        <v>35.86</v>
      </c>
      <c r="X153" s="4">
        <v>222.31</v>
      </c>
      <c r="Y153" s="4">
        <v>11.399859625344023</v>
      </c>
      <c r="Z153" s="4">
        <v>48.097314783967931</v>
      </c>
      <c r="AA153" s="4">
        <v>235.31351552243123</v>
      </c>
      <c r="AB153" s="4">
        <v>0</v>
      </c>
      <c r="AC153" s="4">
        <v>4025.6651159999997</v>
      </c>
      <c r="AD153" s="4">
        <v>24956.653986000001</v>
      </c>
      <c r="AE153" s="4">
        <v>0</v>
      </c>
      <c r="AF153" s="4">
        <v>5399.43341603711</v>
      </c>
      <c r="AG153" s="4">
        <v>26416.436440657442</v>
      </c>
    </row>
    <row r="154" spans="1:33" ht="11.25" customHeight="1" x14ac:dyDescent="0.25">
      <c r="A154" s="3" t="s">
        <v>56</v>
      </c>
      <c r="B154" s="3" t="s">
        <v>39</v>
      </c>
      <c r="C154" s="3" t="s">
        <v>40</v>
      </c>
      <c r="D154" s="3" t="s">
        <v>45</v>
      </c>
      <c r="E154" s="3" t="s">
        <v>53</v>
      </c>
      <c r="F154" s="3" t="s">
        <v>55</v>
      </c>
      <c r="G154" s="3" t="s">
        <v>25</v>
      </c>
      <c r="H154" s="3" t="s">
        <v>35</v>
      </c>
      <c r="I154" s="6">
        <v>44621</v>
      </c>
      <c r="J154" s="4">
        <v>0</v>
      </c>
      <c r="K154" s="4">
        <v>0</v>
      </c>
      <c r="L154" s="4">
        <v>1122.606</v>
      </c>
      <c r="M154" s="4">
        <v>112.2606</v>
      </c>
      <c r="N154" s="4">
        <v>1122.606</v>
      </c>
      <c r="O154" s="4">
        <v>112.2606</v>
      </c>
      <c r="P154" s="4">
        <v>0</v>
      </c>
      <c r="Q154" s="3" t="s">
        <v>26</v>
      </c>
      <c r="R154" s="3">
        <v>0</v>
      </c>
      <c r="S154" s="4">
        <v>0</v>
      </c>
      <c r="T154" s="4">
        <v>6</v>
      </c>
      <c r="U154" s="4">
        <v>87</v>
      </c>
      <c r="V154" s="4">
        <v>0</v>
      </c>
      <c r="W154" s="4">
        <v>35.86</v>
      </c>
      <c r="X154" s="4">
        <v>222.31</v>
      </c>
      <c r="Y154" s="4">
        <v>11.399859625344023</v>
      </c>
      <c r="Z154" s="4">
        <v>48.097314783967931</v>
      </c>
      <c r="AA154" s="4">
        <v>235.31351552243123</v>
      </c>
      <c r="AB154" s="4">
        <v>0</v>
      </c>
      <c r="AC154" s="4">
        <v>4025.6651159999997</v>
      </c>
      <c r="AD154" s="4">
        <v>24956.653986000001</v>
      </c>
      <c r="AE154" s="4">
        <v>0</v>
      </c>
      <c r="AF154" s="4">
        <v>5399.43341603711</v>
      </c>
      <c r="AG154" s="4">
        <v>26416.436440657442</v>
      </c>
    </row>
    <row r="155" spans="1:33" ht="11.25" customHeight="1" x14ac:dyDescent="0.25">
      <c r="A155" s="3" t="s">
        <v>21</v>
      </c>
      <c r="B155" s="3" t="s">
        <v>39</v>
      </c>
      <c r="C155" s="3" t="s">
        <v>40</v>
      </c>
      <c r="D155" s="3" t="s">
        <v>45</v>
      </c>
      <c r="E155" s="3" t="s">
        <v>53</v>
      </c>
      <c r="F155" s="3" t="s">
        <v>25</v>
      </c>
      <c r="G155" s="3" t="s">
        <v>25</v>
      </c>
      <c r="H155" s="3" t="s">
        <v>35</v>
      </c>
      <c r="I155" s="6">
        <v>44287</v>
      </c>
      <c r="J155" s="4">
        <v>3768</v>
      </c>
      <c r="K155" s="56">
        <v>3768</v>
      </c>
      <c r="L155" s="4">
        <v>434.34</v>
      </c>
      <c r="M155" s="56">
        <v>434.34</v>
      </c>
      <c r="N155" s="4">
        <v>434.34</v>
      </c>
      <c r="O155" s="56">
        <v>434.34</v>
      </c>
      <c r="P155" s="4">
        <v>0</v>
      </c>
      <c r="Q155" s="3" t="s">
        <v>26</v>
      </c>
      <c r="R155" s="3">
        <v>0</v>
      </c>
      <c r="S155" s="4">
        <v>5</v>
      </c>
      <c r="T155" s="4">
        <v>6</v>
      </c>
      <c r="U155" s="4">
        <v>87</v>
      </c>
      <c r="V155" s="56">
        <v>11.1264</v>
      </c>
      <c r="W155" s="56">
        <v>34.425599999999996</v>
      </c>
      <c r="X155" s="56">
        <v>213.41759999999999</v>
      </c>
      <c r="Y155" s="56">
        <v>11.171862432837143</v>
      </c>
      <c r="Z155" s="56">
        <v>47.13536848828857</v>
      </c>
      <c r="AA155" s="56">
        <v>230.60724521198262</v>
      </c>
      <c r="AB155" s="4">
        <v>41924.275200000004</v>
      </c>
      <c r="AC155" s="4">
        <v>14952.415103999998</v>
      </c>
      <c r="AD155" s="4">
        <v>92695.800383999987</v>
      </c>
      <c r="AE155" s="4">
        <v>42095.577646930353</v>
      </c>
      <c r="AF155" s="4">
        <v>20472.775949203256</v>
      </c>
      <c r="AG155" s="4">
        <v>100161.95088537253</v>
      </c>
    </row>
    <row r="156" spans="1:33" ht="11.25" customHeight="1" x14ac:dyDescent="0.25">
      <c r="A156" s="3" t="s">
        <v>21</v>
      </c>
      <c r="B156" s="3" t="s">
        <v>39</v>
      </c>
      <c r="C156" s="3" t="s">
        <v>40</v>
      </c>
      <c r="D156" s="3" t="s">
        <v>45</v>
      </c>
      <c r="E156" s="3" t="s">
        <v>53</v>
      </c>
      <c r="F156" s="3" t="s">
        <v>25</v>
      </c>
      <c r="G156" s="3" t="s">
        <v>25</v>
      </c>
      <c r="H156" s="3" t="s">
        <v>35</v>
      </c>
      <c r="I156" s="6">
        <v>44317</v>
      </c>
      <c r="J156" s="4">
        <v>1056</v>
      </c>
      <c r="K156" s="56">
        <v>1056</v>
      </c>
      <c r="L156" s="4">
        <v>10.164</v>
      </c>
      <c r="M156" s="56">
        <v>10.164</v>
      </c>
      <c r="N156" s="4">
        <v>10.164</v>
      </c>
      <c r="O156" s="56">
        <v>10.164</v>
      </c>
      <c r="P156" s="4">
        <v>0</v>
      </c>
      <c r="Q156" s="3" t="s">
        <v>26</v>
      </c>
      <c r="R156" s="3">
        <v>0</v>
      </c>
      <c r="S156" s="4">
        <v>5</v>
      </c>
      <c r="T156" s="4">
        <v>6</v>
      </c>
      <c r="U156" s="4">
        <v>87</v>
      </c>
      <c r="V156" s="56">
        <v>11.1264</v>
      </c>
      <c r="W156" s="56">
        <v>34.425599999999996</v>
      </c>
      <c r="X156" s="56">
        <v>213.41759999999999</v>
      </c>
      <c r="Y156" s="56">
        <v>11.171862432837143</v>
      </c>
      <c r="Z156" s="56">
        <v>47.13536848828857</v>
      </c>
      <c r="AA156" s="56">
        <v>230.60724521198262</v>
      </c>
      <c r="AB156" s="4">
        <v>11749.4784</v>
      </c>
      <c r="AC156" s="4">
        <v>349.90179839999996</v>
      </c>
      <c r="AD156" s="4">
        <v>2169.1764863999997</v>
      </c>
      <c r="AE156" s="4">
        <v>11797.486729076023</v>
      </c>
      <c r="AF156" s="4">
        <v>479.08388531496502</v>
      </c>
      <c r="AG156" s="4">
        <v>2343.8920403345915</v>
      </c>
    </row>
    <row r="157" spans="1:33" ht="11.25" customHeight="1" x14ac:dyDescent="0.25">
      <c r="A157" s="3" t="s">
        <v>21</v>
      </c>
      <c r="B157" s="3" t="s">
        <v>39</v>
      </c>
      <c r="C157" s="3" t="s">
        <v>40</v>
      </c>
      <c r="D157" s="3" t="s">
        <v>45</v>
      </c>
      <c r="E157" s="3" t="s">
        <v>53</v>
      </c>
      <c r="F157" s="3" t="s">
        <v>25</v>
      </c>
      <c r="G157" s="3" t="s">
        <v>25</v>
      </c>
      <c r="H157" s="3" t="s">
        <v>35</v>
      </c>
      <c r="I157" s="6">
        <v>44348</v>
      </c>
      <c r="J157" s="4">
        <v>1032</v>
      </c>
      <c r="K157" s="56">
        <v>1032</v>
      </c>
      <c r="L157" s="4">
        <v>8.5500000000000007</v>
      </c>
      <c r="M157" s="56">
        <v>8.5500000000000007</v>
      </c>
      <c r="N157" s="4">
        <v>8.5500000000000007</v>
      </c>
      <c r="O157" s="56">
        <v>8.5500000000000007</v>
      </c>
      <c r="P157" s="4">
        <v>0</v>
      </c>
      <c r="Q157" s="3" t="s">
        <v>26</v>
      </c>
      <c r="R157" s="3">
        <v>0</v>
      </c>
      <c r="S157" s="4">
        <v>5</v>
      </c>
      <c r="T157" s="4">
        <v>6</v>
      </c>
      <c r="U157" s="4">
        <v>87</v>
      </c>
      <c r="V157" s="56">
        <v>11.1264</v>
      </c>
      <c r="W157" s="56">
        <v>34.425599999999996</v>
      </c>
      <c r="X157" s="56">
        <v>213.41759999999999</v>
      </c>
      <c r="Y157" s="56">
        <v>11.171862432837143</v>
      </c>
      <c r="Z157" s="56">
        <v>47.13536848828857</v>
      </c>
      <c r="AA157" s="56">
        <v>230.60724521198262</v>
      </c>
      <c r="AB157" s="4">
        <v>11482.444800000001</v>
      </c>
      <c r="AC157" s="4">
        <v>294.33887999999996</v>
      </c>
      <c r="AD157" s="4">
        <v>1824.7204800000002</v>
      </c>
      <c r="AE157" s="4">
        <v>11529.362030687931</v>
      </c>
      <c r="AF157" s="4">
        <v>403.00740057486729</v>
      </c>
      <c r="AG157" s="4">
        <v>1971.6919465624514</v>
      </c>
    </row>
    <row r="158" spans="1:33" ht="11.25" customHeight="1" x14ac:dyDescent="0.25">
      <c r="A158" s="3" t="s">
        <v>21</v>
      </c>
      <c r="B158" s="3" t="s">
        <v>39</v>
      </c>
      <c r="C158" s="3" t="s">
        <v>40</v>
      </c>
      <c r="D158" s="3" t="s">
        <v>45</v>
      </c>
      <c r="E158" s="3" t="s">
        <v>53</v>
      </c>
      <c r="F158" s="3" t="s">
        <v>25</v>
      </c>
      <c r="G158" s="3" t="s">
        <v>25</v>
      </c>
      <c r="H158" s="3" t="s">
        <v>35</v>
      </c>
      <c r="I158" s="6">
        <v>44378</v>
      </c>
      <c r="J158" s="4">
        <v>1056</v>
      </c>
      <c r="K158" s="56">
        <v>1056</v>
      </c>
      <c r="L158" s="4">
        <v>8.8260000000000005</v>
      </c>
      <c r="M158" s="56">
        <v>8.8260000000000005</v>
      </c>
      <c r="N158" s="4">
        <v>8.8260000000000005</v>
      </c>
      <c r="O158" s="56">
        <v>8.8260000000000005</v>
      </c>
      <c r="P158" s="4">
        <v>0</v>
      </c>
      <c r="Q158" s="3" t="s">
        <v>26</v>
      </c>
      <c r="R158" s="3">
        <v>0</v>
      </c>
      <c r="S158" s="4">
        <v>5</v>
      </c>
      <c r="T158" s="4">
        <v>6</v>
      </c>
      <c r="U158" s="4">
        <v>87</v>
      </c>
      <c r="V158" s="56">
        <v>11.1264</v>
      </c>
      <c r="W158" s="56">
        <v>34.425599999999996</v>
      </c>
      <c r="X158" s="56">
        <v>213.41759999999999</v>
      </c>
      <c r="Y158" s="56">
        <v>11.171862432837143</v>
      </c>
      <c r="Z158" s="56">
        <v>47.13536848828857</v>
      </c>
      <c r="AA158" s="56">
        <v>230.60724521198262</v>
      </c>
      <c r="AB158" s="4">
        <v>11749.4784</v>
      </c>
      <c r="AC158" s="4">
        <v>303.84034559999998</v>
      </c>
      <c r="AD158" s="4">
        <v>1883.6237376000001</v>
      </c>
      <c r="AE158" s="4">
        <v>11797.486729076023</v>
      </c>
      <c r="AF158" s="4">
        <v>416.01676227763494</v>
      </c>
      <c r="AG158" s="4">
        <v>2035.3395462409587</v>
      </c>
    </row>
    <row r="159" spans="1:33" ht="11.25" customHeight="1" x14ac:dyDescent="0.25">
      <c r="A159" s="3" t="s">
        <v>21</v>
      </c>
      <c r="B159" s="3" t="s">
        <v>39</v>
      </c>
      <c r="C159" s="3" t="s">
        <v>40</v>
      </c>
      <c r="D159" s="3" t="s">
        <v>45</v>
      </c>
      <c r="E159" s="3" t="s">
        <v>53</v>
      </c>
      <c r="F159" s="3" t="s">
        <v>25</v>
      </c>
      <c r="G159" s="3" t="s">
        <v>25</v>
      </c>
      <c r="H159" s="3" t="s">
        <v>35</v>
      </c>
      <c r="I159" s="6">
        <v>44409</v>
      </c>
      <c r="J159" s="4">
        <v>1056</v>
      </c>
      <c r="K159" s="56">
        <v>1056</v>
      </c>
      <c r="L159" s="4">
        <v>8.34</v>
      </c>
      <c r="M159" s="56">
        <v>8.34</v>
      </c>
      <c r="N159" s="4">
        <v>8.34</v>
      </c>
      <c r="O159" s="56">
        <v>8.34</v>
      </c>
      <c r="P159" s="4">
        <v>0</v>
      </c>
      <c r="Q159" s="3" t="s">
        <v>26</v>
      </c>
      <c r="R159" s="3">
        <v>0</v>
      </c>
      <c r="S159" s="4">
        <v>5</v>
      </c>
      <c r="T159" s="4">
        <v>6</v>
      </c>
      <c r="U159" s="4">
        <v>87</v>
      </c>
      <c r="V159" s="56">
        <v>11.1264</v>
      </c>
      <c r="W159" s="56">
        <v>34.425599999999996</v>
      </c>
      <c r="X159" s="56">
        <v>213.41759999999999</v>
      </c>
      <c r="Y159" s="56">
        <v>11.171862432837143</v>
      </c>
      <c r="Z159" s="56">
        <v>47.13536848828857</v>
      </c>
      <c r="AA159" s="56">
        <v>230.60724521198262</v>
      </c>
      <c r="AB159" s="4">
        <v>11749.4784</v>
      </c>
      <c r="AC159" s="4">
        <v>287.10950399999996</v>
      </c>
      <c r="AD159" s="4">
        <v>1779.9027839999999</v>
      </c>
      <c r="AE159" s="4">
        <v>11797.486729076023</v>
      </c>
      <c r="AF159" s="4">
        <v>393.10897319232669</v>
      </c>
      <c r="AG159" s="4">
        <v>1923.264425067935</v>
      </c>
    </row>
    <row r="160" spans="1:33" ht="11.25" customHeight="1" x14ac:dyDescent="0.25">
      <c r="A160" s="3" t="s">
        <v>21</v>
      </c>
      <c r="B160" s="3" t="s">
        <v>39</v>
      </c>
      <c r="C160" s="3" t="s">
        <v>40</v>
      </c>
      <c r="D160" s="3" t="s">
        <v>45</v>
      </c>
      <c r="E160" s="3" t="s">
        <v>53</v>
      </c>
      <c r="F160" s="3" t="s">
        <v>25</v>
      </c>
      <c r="G160" s="3" t="s">
        <v>25</v>
      </c>
      <c r="H160" s="3" t="s">
        <v>35</v>
      </c>
      <c r="I160" s="6">
        <v>44440</v>
      </c>
      <c r="J160" s="4">
        <v>3000</v>
      </c>
      <c r="K160" s="56">
        <v>3000</v>
      </c>
      <c r="L160" s="4">
        <v>296.262</v>
      </c>
      <c r="M160" s="56">
        <v>296.262</v>
      </c>
      <c r="N160" s="4">
        <v>296.262</v>
      </c>
      <c r="O160" s="56">
        <v>296.262</v>
      </c>
      <c r="P160" s="4">
        <v>0</v>
      </c>
      <c r="Q160" s="3" t="s">
        <v>26</v>
      </c>
      <c r="R160" s="3">
        <v>0</v>
      </c>
      <c r="S160" s="4">
        <v>5</v>
      </c>
      <c r="T160" s="4">
        <v>6</v>
      </c>
      <c r="U160" s="4">
        <v>87</v>
      </c>
      <c r="V160" s="56">
        <v>11.1264</v>
      </c>
      <c r="W160" s="56">
        <v>34.425599999999996</v>
      </c>
      <c r="X160" s="56">
        <v>213.41759999999999</v>
      </c>
      <c r="Y160" s="56">
        <v>11.171862432837143</v>
      </c>
      <c r="Z160" s="56">
        <v>47.13536848828857</v>
      </c>
      <c r="AA160" s="56">
        <v>230.60724521198262</v>
      </c>
      <c r="AB160" s="4">
        <v>33379.200000000004</v>
      </c>
      <c r="AC160" s="4">
        <v>10198.997107199999</v>
      </c>
      <c r="AD160" s="4">
        <v>63227.525011199999</v>
      </c>
      <c r="AE160" s="4">
        <v>33515.587298511426</v>
      </c>
      <c r="AF160" s="4">
        <v>13964.418539077349</v>
      </c>
      <c r="AG160" s="4">
        <v>68320.163680992395</v>
      </c>
    </row>
    <row r="161" spans="1:33" ht="11.25" customHeight="1" x14ac:dyDescent="0.25">
      <c r="A161" s="3" t="s">
        <v>21</v>
      </c>
      <c r="B161" s="3" t="s">
        <v>39</v>
      </c>
      <c r="C161" s="3" t="s">
        <v>40</v>
      </c>
      <c r="D161" s="3" t="s">
        <v>45</v>
      </c>
      <c r="E161" s="3" t="s">
        <v>53</v>
      </c>
      <c r="F161" s="3" t="s">
        <v>25</v>
      </c>
      <c r="G161" s="3" t="s">
        <v>25</v>
      </c>
      <c r="H161" s="3" t="s">
        <v>35</v>
      </c>
      <c r="I161" s="6">
        <v>44470</v>
      </c>
      <c r="J161" s="4">
        <v>3792</v>
      </c>
      <c r="K161" s="56">
        <v>3792</v>
      </c>
      <c r="L161" s="4">
        <v>887.95799999999997</v>
      </c>
      <c r="M161" s="56">
        <v>887.95799999999997</v>
      </c>
      <c r="N161" s="4">
        <v>887.95799999999997</v>
      </c>
      <c r="O161" s="56">
        <v>887.95799999999997</v>
      </c>
      <c r="P161" s="4">
        <v>0</v>
      </c>
      <c r="Q161" s="3" t="s">
        <v>26</v>
      </c>
      <c r="R161" s="3">
        <v>0</v>
      </c>
      <c r="S161" s="4">
        <v>5</v>
      </c>
      <c r="T161" s="4">
        <v>6</v>
      </c>
      <c r="U161" s="4">
        <v>87</v>
      </c>
      <c r="V161" s="56">
        <v>11.1264</v>
      </c>
      <c r="W161" s="56">
        <v>34.425599999999996</v>
      </c>
      <c r="X161" s="56">
        <v>213.41759999999999</v>
      </c>
      <c r="Y161" s="56">
        <v>11.171862432837143</v>
      </c>
      <c r="Z161" s="56">
        <v>47.13536848828857</v>
      </c>
      <c r="AA161" s="56">
        <v>230.60724521198262</v>
      </c>
      <c r="AB161" s="4">
        <v>42191.308799999999</v>
      </c>
      <c r="AC161" s="4">
        <v>30568.486924799996</v>
      </c>
      <c r="AD161" s="4">
        <v>189505.8652608</v>
      </c>
      <c r="AE161" s="4">
        <v>42363.702345318445</v>
      </c>
      <c r="AF161" s="4">
        <v>41854.227532123739</v>
      </c>
      <c r="AG161" s="4">
        <v>204769.54824394165</v>
      </c>
    </row>
    <row r="162" spans="1:33" ht="11.25" customHeight="1" x14ac:dyDescent="0.25">
      <c r="A162" s="3" t="s">
        <v>21</v>
      </c>
      <c r="B162" s="3" t="s">
        <v>39</v>
      </c>
      <c r="C162" s="3" t="s">
        <v>40</v>
      </c>
      <c r="D162" s="3" t="s">
        <v>45</v>
      </c>
      <c r="E162" s="3" t="s">
        <v>53</v>
      </c>
      <c r="F162" s="3" t="s">
        <v>25</v>
      </c>
      <c r="G162" s="3" t="s">
        <v>25</v>
      </c>
      <c r="H162" s="3" t="s">
        <v>35</v>
      </c>
      <c r="I162" s="6">
        <v>44501</v>
      </c>
      <c r="J162" s="4">
        <v>4536</v>
      </c>
      <c r="K162" s="56">
        <v>4536</v>
      </c>
      <c r="L162" s="4">
        <v>1033.596</v>
      </c>
      <c r="M162" s="56">
        <v>1033.596</v>
      </c>
      <c r="N162" s="4">
        <v>1033.596</v>
      </c>
      <c r="O162" s="56">
        <v>1033.596</v>
      </c>
      <c r="P162" s="4">
        <v>0</v>
      </c>
      <c r="Q162" s="3" t="s">
        <v>26</v>
      </c>
      <c r="R162" s="3">
        <v>0</v>
      </c>
      <c r="S162" s="4">
        <v>5</v>
      </c>
      <c r="T162" s="4">
        <v>6</v>
      </c>
      <c r="U162" s="4">
        <v>87</v>
      </c>
      <c r="V162" s="56">
        <v>11.1264</v>
      </c>
      <c r="W162" s="56">
        <v>34.425599999999996</v>
      </c>
      <c r="X162" s="56">
        <v>213.41759999999999</v>
      </c>
      <c r="Y162" s="56">
        <v>11.171862432837143</v>
      </c>
      <c r="Z162" s="56">
        <v>47.13536848828857</v>
      </c>
      <c r="AA162" s="56">
        <v>230.60724521198262</v>
      </c>
      <c r="AB162" s="4">
        <v>50469.350400000003</v>
      </c>
      <c r="AC162" s="4">
        <v>35582.162457599996</v>
      </c>
      <c r="AD162" s="4">
        <v>220587.5776896</v>
      </c>
      <c r="AE162" s="4">
        <v>50675.56799534928</v>
      </c>
      <c r="AF162" s="4">
        <v>48718.928328021117</v>
      </c>
      <c r="AG162" s="4">
        <v>238354.72622212439</v>
      </c>
    </row>
    <row r="163" spans="1:33" ht="11.25" customHeight="1" x14ac:dyDescent="0.25">
      <c r="A163" s="3" t="s">
        <v>21</v>
      </c>
      <c r="B163" s="3" t="s">
        <v>39</v>
      </c>
      <c r="C163" s="3" t="s">
        <v>40</v>
      </c>
      <c r="D163" s="3" t="s">
        <v>45</v>
      </c>
      <c r="E163" s="3" t="s">
        <v>53</v>
      </c>
      <c r="F163" s="3" t="s">
        <v>25</v>
      </c>
      <c r="G163" s="3" t="s">
        <v>25</v>
      </c>
      <c r="H163" s="3" t="s">
        <v>35</v>
      </c>
      <c r="I163" s="6">
        <v>44531</v>
      </c>
      <c r="J163" s="4">
        <v>4560</v>
      </c>
      <c r="K163" s="56">
        <v>4560</v>
      </c>
      <c r="L163" s="4">
        <v>696.81</v>
      </c>
      <c r="M163" s="56">
        <v>696.81</v>
      </c>
      <c r="N163" s="4">
        <v>696.81</v>
      </c>
      <c r="O163" s="56">
        <v>696.81</v>
      </c>
      <c r="P163" s="4">
        <v>0</v>
      </c>
      <c r="Q163" s="3" t="s">
        <v>26</v>
      </c>
      <c r="R163" s="3">
        <v>0</v>
      </c>
      <c r="S163" s="4">
        <v>5</v>
      </c>
      <c r="T163" s="4">
        <v>6</v>
      </c>
      <c r="U163" s="4">
        <v>87</v>
      </c>
      <c r="V163" s="56">
        <v>11.1264</v>
      </c>
      <c r="W163" s="56">
        <v>34.425599999999996</v>
      </c>
      <c r="X163" s="56">
        <v>213.41759999999999</v>
      </c>
      <c r="Y163" s="56">
        <v>11.171862432837143</v>
      </c>
      <c r="Z163" s="56">
        <v>47.13536848828857</v>
      </c>
      <c r="AA163" s="56">
        <v>230.60724521198262</v>
      </c>
      <c r="AB163" s="4">
        <v>50736.383999999998</v>
      </c>
      <c r="AC163" s="4">
        <v>23988.102335999996</v>
      </c>
      <c r="AD163" s="4">
        <v>148711.51785599999</v>
      </c>
      <c r="AE163" s="4">
        <v>50943.692693737372</v>
      </c>
      <c r="AF163" s="4">
        <v>32844.396116324358</v>
      </c>
      <c r="AG163" s="4">
        <v>160689.4345361616</v>
      </c>
    </row>
    <row r="164" spans="1:33" ht="11.25" customHeight="1" x14ac:dyDescent="0.25">
      <c r="A164" s="3" t="s">
        <v>21</v>
      </c>
      <c r="B164" s="3" t="s">
        <v>39</v>
      </c>
      <c r="C164" s="3" t="s">
        <v>40</v>
      </c>
      <c r="D164" s="3" t="s">
        <v>45</v>
      </c>
      <c r="E164" s="3" t="s">
        <v>53</v>
      </c>
      <c r="F164" s="3" t="s">
        <v>25</v>
      </c>
      <c r="G164" s="3" t="s">
        <v>25</v>
      </c>
      <c r="H164" s="3" t="s">
        <v>35</v>
      </c>
      <c r="I164" s="6">
        <v>44562</v>
      </c>
      <c r="J164" s="4">
        <v>453</v>
      </c>
      <c r="K164" s="56">
        <v>453</v>
      </c>
      <c r="L164" s="4">
        <v>518.57899999999995</v>
      </c>
      <c r="M164" s="56">
        <v>518.57899999999995</v>
      </c>
      <c r="N164" s="4">
        <v>518.57899999999995</v>
      </c>
      <c r="O164" s="56">
        <v>518.57899999999995</v>
      </c>
      <c r="P164" s="4">
        <v>0</v>
      </c>
      <c r="Q164" s="3" t="s">
        <v>26</v>
      </c>
      <c r="R164" s="3">
        <v>0</v>
      </c>
      <c r="S164" s="4">
        <v>5</v>
      </c>
      <c r="T164" s="4">
        <v>6</v>
      </c>
      <c r="U164" s="4">
        <v>87</v>
      </c>
      <c r="V164" s="56">
        <v>11.1264</v>
      </c>
      <c r="W164" s="56">
        <v>34.425599999999996</v>
      </c>
      <c r="X164" s="56">
        <v>213.41759999999999</v>
      </c>
      <c r="Y164" s="56">
        <v>11.171862432837143</v>
      </c>
      <c r="Z164" s="56">
        <v>47.13536848828857</v>
      </c>
      <c r="AA164" s="56">
        <v>230.60724521198262</v>
      </c>
      <c r="AB164" s="4">
        <v>5040.2592000000004</v>
      </c>
      <c r="AC164" s="4">
        <v>17852.393222399995</v>
      </c>
      <c r="AD164" s="4">
        <v>110673.88559039998</v>
      </c>
      <c r="AE164" s="4">
        <v>5060.8536820752261</v>
      </c>
      <c r="AF164" s="4">
        <v>24443.412255288196</v>
      </c>
      <c r="AG164" s="4">
        <v>119588.07461478472</v>
      </c>
    </row>
    <row r="165" spans="1:33" ht="11.25" customHeight="1" x14ac:dyDescent="0.25">
      <c r="A165" s="3" t="s">
        <v>21</v>
      </c>
      <c r="B165" s="3" t="s">
        <v>39</v>
      </c>
      <c r="C165" s="3" t="s">
        <v>40</v>
      </c>
      <c r="D165" s="3" t="s">
        <v>45</v>
      </c>
      <c r="E165" s="3" t="s">
        <v>53</v>
      </c>
      <c r="F165" s="3" t="s">
        <v>25</v>
      </c>
      <c r="G165" s="3" t="s">
        <v>25</v>
      </c>
      <c r="H165" s="3" t="s">
        <v>35</v>
      </c>
      <c r="I165" s="6">
        <v>44593</v>
      </c>
      <c r="J165" s="4">
        <v>3816</v>
      </c>
      <c r="K165" s="56">
        <v>3816</v>
      </c>
      <c r="L165" s="4">
        <v>1235.4000000000001</v>
      </c>
      <c r="M165" s="56">
        <v>1235.4000000000001</v>
      </c>
      <c r="N165" s="4">
        <v>1235.4000000000001</v>
      </c>
      <c r="O165" s="56">
        <v>1235.4000000000001</v>
      </c>
      <c r="P165" s="4">
        <v>0</v>
      </c>
      <c r="Q165" s="3" t="s">
        <v>26</v>
      </c>
      <c r="R165" s="3">
        <v>0</v>
      </c>
      <c r="S165" s="4">
        <v>5</v>
      </c>
      <c r="T165" s="4">
        <v>6</v>
      </c>
      <c r="U165" s="4">
        <v>87</v>
      </c>
      <c r="V165" s="56">
        <v>11.1264</v>
      </c>
      <c r="W165" s="56">
        <v>34.425599999999996</v>
      </c>
      <c r="X165" s="56">
        <v>213.41759999999999</v>
      </c>
      <c r="Y165" s="56">
        <v>11.171862432837143</v>
      </c>
      <c r="Z165" s="56">
        <v>47.13536848828857</v>
      </c>
      <c r="AA165" s="56">
        <v>230.60724521198262</v>
      </c>
      <c r="AB165" s="4">
        <v>42458.342400000001</v>
      </c>
      <c r="AC165" s="4">
        <v>42529.38624</v>
      </c>
      <c r="AD165" s="4">
        <v>263656.10304000002</v>
      </c>
      <c r="AE165" s="4">
        <v>42631.827043706537</v>
      </c>
      <c r="AF165" s="4">
        <v>58231.034230431702</v>
      </c>
      <c r="AG165" s="4">
        <v>284892.19073488336</v>
      </c>
    </row>
    <row r="166" spans="1:33" ht="11.25" customHeight="1" x14ac:dyDescent="0.25">
      <c r="A166" s="3" t="s">
        <v>56</v>
      </c>
      <c r="B166" s="3" t="s">
        <v>39</v>
      </c>
      <c r="C166" s="3" t="s">
        <v>40</v>
      </c>
      <c r="D166" s="3" t="s">
        <v>45</v>
      </c>
      <c r="E166" s="3" t="s">
        <v>53</v>
      </c>
      <c r="F166" s="3" t="s">
        <v>25</v>
      </c>
      <c r="G166" s="3" t="s">
        <v>25</v>
      </c>
      <c r="H166" s="3" t="s">
        <v>35</v>
      </c>
      <c r="I166" s="6">
        <v>44621</v>
      </c>
      <c r="J166" s="4">
        <v>3816</v>
      </c>
      <c r="K166" s="56">
        <v>3816</v>
      </c>
      <c r="L166" s="4">
        <v>1235.4000000000001</v>
      </c>
      <c r="M166" s="56">
        <v>1235.4000000000001</v>
      </c>
      <c r="N166" s="4">
        <v>1235.4000000000001</v>
      </c>
      <c r="O166" s="56">
        <v>1235.4000000000001</v>
      </c>
      <c r="P166" s="4">
        <v>0</v>
      </c>
      <c r="Q166" s="3" t="s">
        <v>26</v>
      </c>
      <c r="R166" s="3">
        <v>0</v>
      </c>
      <c r="S166" s="4">
        <v>5</v>
      </c>
      <c r="T166" s="4">
        <v>6</v>
      </c>
      <c r="U166" s="4">
        <v>87</v>
      </c>
      <c r="V166" s="56">
        <v>11.1264</v>
      </c>
      <c r="W166" s="56">
        <v>34.425599999999996</v>
      </c>
      <c r="X166" s="56">
        <v>213.41759999999999</v>
      </c>
      <c r="Y166" s="56">
        <v>11.171862432837143</v>
      </c>
      <c r="Z166" s="56">
        <v>47.13536848828857</v>
      </c>
      <c r="AA166" s="56">
        <v>230.60724521198262</v>
      </c>
      <c r="AB166" s="4">
        <v>42458.342400000001</v>
      </c>
      <c r="AC166" s="4">
        <v>42529.38624</v>
      </c>
      <c r="AD166" s="4">
        <v>263656.10304000002</v>
      </c>
      <c r="AE166" s="4">
        <v>42631.827043706537</v>
      </c>
      <c r="AF166" s="4">
        <v>58231.034230431702</v>
      </c>
      <c r="AG166" s="4">
        <v>284892.19073488336</v>
      </c>
    </row>
    <row r="167" spans="1:33" ht="11.25" customHeight="1" x14ac:dyDescent="0.25">
      <c r="A167" s="3" t="s">
        <v>21</v>
      </c>
      <c r="B167" s="3" t="s">
        <v>39</v>
      </c>
      <c r="C167" s="3" t="s">
        <v>40</v>
      </c>
      <c r="D167" s="3" t="s">
        <v>45</v>
      </c>
      <c r="E167" s="3" t="s">
        <v>53</v>
      </c>
      <c r="F167" s="3" t="s">
        <v>25</v>
      </c>
      <c r="G167" s="3" t="s">
        <v>25</v>
      </c>
      <c r="H167" s="3" t="s">
        <v>34</v>
      </c>
      <c r="I167" s="6">
        <v>44287</v>
      </c>
      <c r="J167" s="4">
        <v>24</v>
      </c>
      <c r="K167" s="56">
        <v>24</v>
      </c>
      <c r="L167" s="4">
        <v>1.1160000000000001</v>
      </c>
      <c r="M167" s="56">
        <v>1.1160000000000001</v>
      </c>
      <c r="N167" s="4">
        <v>1.1160000000000001</v>
      </c>
      <c r="O167" s="56">
        <v>1.1160000000000001</v>
      </c>
      <c r="P167" s="4">
        <v>0</v>
      </c>
      <c r="Q167" s="3" t="s">
        <v>26</v>
      </c>
      <c r="R167" s="3">
        <v>0</v>
      </c>
      <c r="S167" s="4">
        <v>4</v>
      </c>
      <c r="T167" s="4">
        <v>6</v>
      </c>
      <c r="U167" s="4">
        <v>86</v>
      </c>
      <c r="V167" s="56">
        <v>27.206399999999999</v>
      </c>
      <c r="W167" s="56">
        <v>34.425599999999996</v>
      </c>
      <c r="X167" s="56">
        <v>350.88</v>
      </c>
      <c r="Y167" s="56">
        <v>32.079142357461471</v>
      </c>
      <c r="Z167" s="56">
        <v>47.13536848828857</v>
      </c>
      <c r="AA167" s="56">
        <v>373.79695658396923</v>
      </c>
      <c r="AB167" s="4">
        <v>652.95359999999994</v>
      </c>
      <c r="AC167" s="4">
        <v>38.418969599999997</v>
      </c>
      <c r="AD167" s="4">
        <v>391.58208000000002</v>
      </c>
      <c r="AE167" s="4">
        <v>769.89941657907525</v>
      </c>
      <c r="AF167" s="4">
        <v>52.603071232930048</v>
      </c>
      <c r="AG167" s="4">
        <v>417.15740354770969</v>
      </c>
    </row>
    <row r="168" spans="1:33" ht="11.25" customHeight="1" x14ac:dyDescent="0.25">
      <c r="A168" s="3" t="s">
        <v>21</v>
      </c>
      <c r="B168" s="3" t="s">
        <v>39</v>
      </c>
      <c r="C168" s="3" t="s">
        <v>40</v>
      </c>
      <c r="D168" s="3" t="s">
        <v>45</v>
      </c>
      <c r="E168" s="3" t="s">
        <v>53</v>
      </c>
      <c r="F168" s="3" t="s">
        <v>25</v>
      </c>
      <c r="G168" s="3" t="s">
        <v>25</v>
      </c>
      <c r="H168" s="3" t="s">
        <v>34</v>
      </c>
      <c r="I168" s="6">
        <v>44317</v>
      </c>
      <c r="J168" s="4">
        <v>24</v>
      </c>
      <c r="K168" s="56">
        <v>24</v>
      </c>
      <c r="L168" s="4">
        <v>1.0920000000000001</v>
      </c>
      <c r="M168" s="56">
        <v>1.0920000000000001</v>
      </c>
      <c r="N168" s="4">
        <v>1.0920000000000001</v>
      </c>
      <c r="O168" s="56">
        <v>1.0920000000000001</v>
      </c>
      <c r="P168" s="4">
        <v>0</v>
      </c>
      <c r="Q168" s="3" t="s">
        <v>26</v>
      </c>
      <c r="R168" s="3">
        <v>0</v>
      </c>
      <c r="S168" s="4">
        <v>4</v>
      </c>
      <c r="T168" s="4">
        <v>6</v>
      </c>
      <c r="U168" s="4">
        <v>86</v>
      </c>
      <c r="V168" s="56">
        <v>27.206399999999999</v>
      </c>
      <c r="W168" s="56">
        <v>34.425599999999996</v>
      </c>
      <c r="X168" s="56">
        <v>350.88</v>
      </c>
      <c r="Y168" s="56">
        <v>32.079142357461471</v>
      </c>
      <c r="Z168" s="56">
        <v>47.13536848828857</v>
      </c>
      <c r="AA168" s="56">
        <v>373.79695658396923</v>
      </c>
      <c r="AB168" s="4">
        <v>652.95359999999994</v>
      </c>
      <c r="AC168" s="4">
        <v>37.592755199999999</v>
      </c>
      <c r="AD168" s="4">
        <v>383.16096000000005</v>
      </c>
      <c r="AE168" s="4">
        <v>769.89941657907525</v>
      </c>
      <c r="AF168" s="4">
        <v>51.47182238921112</v>
      </c>
      <c r="AG168" s="4">
        <v>408.18627658969444</v>
      </c>
    </row>
    <row r="169" spans="1:33" ht="11.25" customHeight="1" x14ac:dyDescent="0.25">
      <c r="A169" s="3" t="s">
        <v>21</v>
      </c>
      <c r="B169" s="3" t="s">
        <v>39</v>
      </c>
      <c r="C169" s="3" t="s">
        <v>40</v>
      </c>
      <c r="D169" s="3" t="s">
        <v>45</v>
      </c>
      <c r="E169" s="3" t="s">
        <v>53</v>
      </c>
      <c r="F169" s="3" t="s">
        <v>25</v>
      </c>
      <c r="G169" s="3" t="s">
        <v>25</v>
      </c>
      <c r="H169" s="3" t="s">
        <v>34</v>
      </c>
      <c r="I169" s="6">
        <v>44348</v>
      </c>
      <c r="J169" s="4">
        <v>24</v>
      </c>
      <c r="K169" s="56">
        <v>24</v>
      </c>
      <c r="L169" s="4">
        <v>1.08</v>
      </c>
      <c r="M169" s="56">
        <v>1.08</v>
      </c>
      <c r="N169" s="4">
        <v>1.08</v>
      </c>
      <c r="O169" s="56">
        <v>1.08</v>
      </c>
      <c r="P169" s="4">
        <v>0</v>
      </c>
      <c r="Q169" s="3" t="s">
        <v>26</v>
      </c>
      <c r="R169" s="3">
        <v>0</v>
      </c>
      <c r="S169" s="4">
        <v>4</v>
      </c>
      <c r="T169" s="4">
        <v>6</v>
      </c>
      <c r="U169" s="4">
        <v>86</v>
      </c>
      <c r="V169" s="56">
        <v>27.206399999999999</v>
      </c>
      <c r="W169" s="56">
        <v>34.425599999999996</v>
      </c>
      <c r="X169" s="56">
        <v>350.88</v>
      </c>
      <c r="Y169" s="56">
        <v>32.079142357461471</v>
      </c>
      <c r="Z169" s="56">
        <v>47.13536848828857</v>
      </c>
      <c r="AA169" s="56">
        <v>373.79695658396923</v>
      </c>
      <c r="AB169" s="4">
        <v>652.95359999999994</v>
      </c>
      <c r="AC169" s="4">
        <v>37.179648</v>
      </c>
      <c r="AD169" s="4">
        <v>378.9504</v>
      </c>
      <c r="AE169" s="4">
        <v>769.89941657907525</v>
      </c>
      <c r="AF169" s="4">
        <v>50.906197967351659</v>
      </c>
      <c r="AG169" s="4">
        <v>403.70071311068682</v>
      </c>
    </row>
    <row r="170" spans="1:33" ht="11.25" customHeight="1" x14ac:dyDescent="0.25">
      <c r="A170" s="3" t="s">
        <v>21</v>
      </c>
      <c r="B170" s="3" t="s">
        <v>39</v>
      </c>
      <c r="C170" s="3" t="s">
        <v>40</v>
      </c>
      <c r="D170" s="3" t="s">
        <v>45</v>
      </c>
      <c r="E170" s="3" t="s">
        <v>53</v>
      </c>
      <c r="F170" s="3" t="s">
        <v>25</v>
      </c>
      <c r="G170" s="3" t="s">
        <v>25</v>
      </c>
      <c r="H170" s="3" t="s">
        <v>34</v>
      </c>
      <c r="I170" s="6">
        <v>44378</v>
      </c>
      <c r="J170" s="4">
        <v>24</v>
      </c>
      <c r="K170" s="56">
        <v>24</v>
      </c>
      <c r="L170" s="4">
        <v>1.1759999999999999</v>
      </c>
      <c r="M170" s="56">
        <v>1.1759999999999999</v>
      </c>
      <c r="N170" s="4">
        <v>1.1759999999999999</v>
      </c>
      <c r="O170" s="56">
        <v>1.1759999999999999</v>
      </c>
      <c r="P170" s="4">
        <v>0</v>
      </c>
      <c r="Q170" s="3" t="s">
        <v>26</v>
      </c>
      <c r="R170" s="3">
        <v>0</v>
      </c>
      <c r="S170" s="4">
        <v>4</v>
      </c>
      <c r="T170" s="4">
        <v>6</v>
      </c>
      <c r="U170" s="4">
        <v>86</v>
      </c>
      <c r="V170" s="56">
        <v>27.206399999999999</v>
      </c>
      <c r="W170" s="56">
        <v>34.425599999999996</v>
      </c>
      <c r="X170" s="56">
        <v>350.88</v>
      </c>
      <c r="Y170" s="56">
        <v>32.079142357461471</v>
      </c>
      <c r="Z170" s="56">
        <v>47.13536848828857</v>
      </c>
      <c r="AA170" s="56">
        <v>373.79695658396923</v>
      </c>
      <c r="AB170" s="4">
        <v>652.95359999999994</v>
      </c>
      <c r="AC170" s="4">
        <v>40.484505599999991</v>
      </c>
      <c r="AD170" s="4">
        <v>412.63487999999995</v>
      </c>
      <c r="AE170" s="4">
        <v>769.89941657907525</v>
      </c>
      <c r="AF170" s="4">
        <v>55.431193342227353</v>
      </c>
      <c r="AG170" s="4">
        <v>439.58522094274781</v>
      </c>
    </row>
    <row r="171" spans="1:33" ht="11.25" customHeight="1" x14ac:dyDescent="0.25">
      <c r="A171" s="3" t="s">
        <v>21</v>
      </c>
      <c r="B171" s="3" t="s">
        <v>39</v>
      </c>
      <c r="C171" s="3" t="s">
        <v>40</v>
      </c>
      <c r="D171" s="3" t="s">
        <v>45</v>
      </c>
      <c r="E171" s="3" t="s">
        <v>53</v>
      </c>
      <c r="F171" s="3" t="s">
        <v>25</v>
      </c>
      <c r="G171" s="3" t="s">
        <v>25</v>
      </c>
      <c r="H171" s="3" t="s">
        <v>34</v>
      </c>
      <c r="I171" s="6">
        <v>44409</v>
      </c>
      <c r="J171" s="4">
        <v>24</v>
      </c>
      <c r="K171" s="56">
        <v>24</v>
      </c>
      <c r="L171" s="4">
        <v>1.17</v>
      </c>
      <c r="M171" s="56">
        <v>1.17</v>
      </c>
      <c r="N171" s="4">
        <v>1.17</v>
      </c>
      <c r="O171" s="56">
        <v>1.17</v>
      </c>
      <c r="P171" s="4">
        <v>0</v>
      </c>
      <c r="Q171" s="3" t="s">
        <v>26</v>
      </c>
      <c r="R171" s="3">
        <v>0</v>
      </c>
      <c r="S171" s="4">
        <v>4</v>
      </c>
      <c r="T171" s="4">
        <v>6</v>
      </c>
      <c r="U171" s="4">
        <v>86</v>
      </c>
      <c r="V171" s="56">
        <v>27.206399999999999</v>
      </c>
      <c r="W171" s="56">
        <v>34.425599999999996</v>
      </c>
      <c r="X171" s="56">
        <v>350.88</v>
      </c>
      <c r="Y171" s="56">
        <v>32.079142357461471</v>
      </c>
      <c r="Z171" s="56">
        <v>47.13536848828857</v>
      </c>
      <c r="AA171" s="56">
        <v>373.79695658396923</v>
      </c>
      <c r="AB171" s="4">
        <v>652.95359999999994</v>
      </c>
      <c r="AC171" s="4">
        <v>40.277951999999992</v>
      </c>
      <c r="AD171" s="4">
        <v>410.52959999999996</v>
      </c>
      <c r="AE171" s="4">
        <v>769.89941657907525</v>
      </c>
      <c r="AF171" s="4">
        <v>55.148381131297626</v>
      </c>
      <c r="AG171" s="4">
        <v>437.342439203244</v>
      </c>
    </row>
    <row r="172" spans="1:33" ht="11.25" customHeight="1" x14ac:dyDescent="0.25">
      <c r="A172" s="3" t="s">
        <v>21</v>
      </c>
      <c r="B172" s="3" t="s">
        <v>39</v>
      </c>
      <c r="C172" s="3" t="s">
        <v>40</v>
      </c>
      <c r="D172" s="3" t="s">
        <v>45</v>
      </c>
      <c r="E172" s="3" t="s">
        <v>53</v>
      </c>
      <c r="F172" s="3" t="s">
        <v>25</v>
      </c>
      <c r="G172" s="3" t="s">
        <v>25</v>
      </c>
      <c r="H172" s="3" t="s">
        <v>34</v>
      </c>
      <c r="I172" s="6">
        <v>44440</v>
      </c>
      <c r="J172" s="4">
        <v>24</v>
      </c>
      <c r="K172" s="56">
        <v>24</v>
      </c>
      <c r="L172" s="4">
        <v>1.1519999999999999</v>
      </c>
      <c r="M172" s="56">
        <v>1.1519999999999999</v>
      </c>
      <c r="N172" s="4">
        <v>1.1519999999999999</v>
      </c>
      <c r="O172" s="56">
        <v>1.1519999999999999</v>
      </c>
      <c r="P172" s="4">
        <v>0</v>
      </c>
      <c r="Q172" s="3" t="s">
        <v>26</v>
      </c>
      <c r="R172" s="3">
        <v>0</v>
      </c>
      <c r="S172" s="4">
        <v>4</v>
      </c>
      <c r="T172" s="4">
        <v>6</v>
      </c>
      <c r="U172" s="4">
        <v>86</v>
      </c>
      <c r="V172" s="56">
        <v>27.206399999999999</v>
      </c>
      <c r="W172" s="56">
        <v>34.425599999999996</v>
      </c>
      <c r="X172" s="56">
        <v>350.88</v>
      </c>
      <c r="Y172" s="56">
        <v>32.079142357461471</v>
      </c>
      <c r="Z172" s="56">
        <v>47.13536848828857</v>
      </c>
      <c r="AA172" s="56">
        <v>373.79695658396923</v>
      </c>
      <c r="AB172" s="4">
        <v>652.95359999999994</v>
      </c>
      <c r="AC172" s="4">
        <v>39.658291199999994</v>
      </c>
      <c r="AD172" s="4">
        <v>404.21375999999998</v>
      </c>
      <c r="AE172" s="4">
        <v>769.89941657907525</v>
      </c>
      <c r="AF172" s="4">
        <v>54.299944498508431</v>
      </c>
      <c r="AG172" s="4">
        <v>430.61409398473251</v>
      </c>
    </row>
    <row r="173" spans="1:33" ht="11.25" customHeight="1" x14ac:dyDescent="0.25">
      <c r="A173" s="3" t="s">
        <v>21</v>
      </c>
      <c r="B173" s="3" t="s">
        <v>39</v>
      </c>
      <c r="C173" s="3" t="s">
        <v>40</v>
      </c>
      <c r="D173" s="3" t="s">
        <v>45</v>
      </c>
      <c r="E173" s="3" t="s">
        <v>53</v>
      </c>
      <c r="F173" s="3" t="s">
        <v>25</v>
      </c>
      <c r="G173" s="3" t="s">
        <v>25</v>
      </c>
      <c r="H173" s="3" t="s">
        <v>34</v>
      </c>
      <c r="I173" s="6">
        <v>44470</v>
      </c>
      <c r="J173" s="4">
        <v>24</v>
      </c>
      <c r="K173" s="56">
        <v>24</v>
      </c>
      <c r="L173" s="4">
        <v>1.08</v>
      </c>
      <c r="M173" s="56">
        <v>1.08</v>
      </c>
      <c r="N173" s="4">
        <v>1.08</v>
      </c>
      <c r="O173" s="56">
        <v>1.08</v>
      </c>
      <c r="P173" s="4">
        <v>0</v>
      </c>
      <c r="Q173" s="3" t="s">
        <v>26</v>
      </c>
      <c r="R173" s="3">
        <v>0</v>
      </c>
      <c r="S173" s="4">
        <v>4</v>
      </c>
      <c r="T173" s="4">
        <v>6</v>
      </c>
      <c r="U173" s="4">
        <v>86</v>
      </c>
      <c r="V173" s="56">
        <v>27.206399999999999</v>
      </c>
      <c r="W173" s="56">
        <v>34.425599999999996</v>
      </c>
      <c r="X173" s="56">
        <v>350.88</v>
      </c>
      <c r="Y173" s="56">
        <v>32.079142357461471</v>
      </c>
      <c r="Z173" s="56">
        <v>47.13536848828857</v>
      </c>
      <c r="AA173" s="56">
        <v>373.79695658396923</v>
      </c>
      <c r="AB173" s="4">
        <v>652.95359999999994</v>
      </c>
      <c r="AC173" s="4">
        <v>37.179648</v>
      </c>
      <c r="AD173" s="4">
        <v>378.9504</v>
      </c>
      <c r="AE173" s="4">
        <v>769.89941657907525</v>
      </c>
      <c r="AF173" s="4">
        <v>50.906197967351659</v>
      </c>
      <c r="AG173" s="4">
        <v>403.70071311068682</v>
      </c>
    </row>
    <row r="174" spans="1:33" ht="11.25" customHeight="1" x14ac:dyDescent="0.25">
      <c r="A174" s="3" t="s">
        <v>21</v>
      </c>
      <c r="B174" s="3" t="s">
        <v>39</v>
      </c>
      <c r="C174" s="3" t="s">
        <v>40</v>
      </c>
      <c r="D174" s="3" t="s">
        <v>45</v>
      </c>
      <c r="E174" s="3" t="s">
        <v>53</v>
      </c>
      <c r="F174" s="3" t="s">
        <v>25</v>
      </c>
      <c r="G174" s="3" t="s">
        <v>25</v>
      </c>
      <c r="H174" s="3" t="s">
        <v>34</v>
      </c>
      <c r="I174" s="6">
        <v>44501</v>
      </c>
      <c r="J174" s="4">
        <v>24</v>
      </c>
      <c r="K174" s="56">
        <v>24</v>
      </c>
      <c r="L174" s="4">
        <v>1.0740000000000001</v>
      </c>
      <c r="M174" s="56">
        <v>1.0740000000000001</v>
      </c>
      <c r="N174" s="4">
        <v>1.0740000000000001</v>
      </c>
      <c r="O174" s="56">
        <v>1.0740000000000001</v>
      </c>
      <c r="P174" s="4">
        <v>0</v>
      </c>
      <c r="Q174" s="3" t="s">
        <v>26</v>
      </c>
      <c r="R174" s="3">
        <v>0</v>
      </c>
      <c r="S174" s="4">
        <v>4</v>
      </c>
      <c r="T174" s="4">
        <v>6</v>
      </c>
      <c r="U174" s="4">
        <v>86</v>
      </c>
      <c r="V174" s="56">
        <v>27.206399999999999</v>
      </c>
      <c r="W174" s="56">
        <v>34.425599999999996</v>
      </c>
      <c r="X174" s="56">
        <v>350.88</v>
      </c>
      <c r="Y174" s="56">
        <v>32.079142357461471</v>
      </c>
      <c r="Z174" s="56">
        <v>47.13536848828857</v>
      </c>
      <c r="AA174" s="56">
        <v>373.79695658396923</v>
      </c>
      <c r="AB174" s="4">
        <v>652.95359999999994</v>
      </c>
      <c r="AC174" s="4">
        <v>36.973094400000001</v>
      </c>
      <c r="AD174" s="4">
        <v>376.84512000000001</v>
      </c>
      <c r="AE174" s="4">
        <v>769.89941657907525</v>
      </c>
      <c r="AF174" s="4">
        <v>50.623385756421925</v>
      </c>
      <c r="AG174" s="4">
        <v>401.45793137118301</v>
      </c>
    </row>
    <row r="175" spans="1:33" ht="11.25" customHeight="1" x14ac:dyDescent="0.25">
      <c r="A175" s="3" t="s">
        <v>21</v>
      </c>
      <c r="B175" s="3" t="s">
        <v>39</v>
      </c>
      <c r="C175" s="3" t="s">
        <v>40</v>
      </c>
      <c r="D175" s="3" t="s">
        <v>45</v>
      </c>
      <c r="E175" s="3" t="s">
        <v>53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24</v>
      </c>
      <c r="K175" s="56">
        <v>24</v>
      </c>
      <c r="L175" s="4">
        <v>1.23</v>
      </c>
      <c r="M175" s="56">
        <v>1.23</v>
      </c>
      <c r="N175" s="4">
        <v>1.23</v>
      </c>
      <c r="O175" s="56">
        <v>1.23</v>
      </c>
      <c r="P175" s="4">
        <v>0</v>
      </c>
      <c r="Q175" s="3" t="s">
        <v>26</v>
      </c>
      <c r="R175" s="3">
        <v>0</v>
      </c>
      <c r="S175" s="4">
        <v>4</v>
      </c>
      <c r="T175" s="4">
        <v>6</v>
      </c>
      <c r="U175" s="4">
        <v>86</v>
      </c>
      <c r="V175" s="56">
        <v>27.206399999999999</v>
      </c>
      <c r="W175" s="56">
        <v>34.425599999999996</v>
      </c>
      <c r="X175" s="56">
        <v>350.88</v>
      </c>
      <c r="Y175" s="56">
        <v>32.079142357461471</v>
      </c>
      <c r="Z175" s="56">
        <v>47.13536848828857</v>
      </c>
      <c r="AA175" s="56">
        <v>373.79695658396923</v>
      </c>
      <c r="AB175" s="4">
        <v>652.95359999999994</v>
      </c>
      <c r="AC175" s="4">
        <v>42.343487999999994</v>
      </c>
      <c r="AD175" s="4">
        <v>431.58240000000001</v>
      </c>
      <c r="AE175" s="4">
        <v>769.89941657907525</v>
      </c>
      <c r="AF175" s="4">
        <v>57.976503240594937</v>
      </c>
      <c r="AG175" s="4">
        <v>459.77025659828217</v>
      </c>
    </row>
    <row r="176" spans="1:33" ht="11.25" customHeight="1" x14ac:dyDescent="0.25">
      <c r="A176" s="3" t="s">
        <v>21</v>
      </c>
      <c r="B176" s="3" t="s">
        <v>39</v>
      </c>
      <c r="C176" s="3" t="s">
        <v>40</v>
      </c>
      <c r="D176" s="3" t="s">
        <v>45</v>
      </c>
      <c r="E176" s="3" t="s">
        <v>53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2</v>
      </c>
      <c r="K176" s="56">
        <v>2</v>
      </c>
      <c r="L176" s="4">
        <v>1.153</v>
      </c>
      <c r="M176" s="56">
        <v>1.153</v>
      </c>
      <c r="N176" s="4">
        <v>1.153</v>
      </c>
      <c r="O176" s="56">
        <v>1.153</v>
      </c>
      <c r="P176" s="4">
        <v>0</v>
      </c>
      <c r="Q176" s="3" t="s">
        <v>26</v>
      </c>
      <c r="R176" s="3">
        <v>0</v>
      </c>
      <c r="S176" s="4">
        <v>4</v>
      </c>
      <c r="T176" s="4">
        <v>6</v>
      </c>
      <c r="U176" s="4">
        <v>86</v>
      </c>
      <c r="V176" s="56">
        <v>27.206399999999999</v>
      </c>
      <c r="W176" s="56">
        <v>34.425599999999996</v>
      </c>
      <c r="X176" s="56">
        <v>350.88</v>
      </c>
      <c r="Y176" s="56">
        <v>32.079142357461471</v>
      </c>
      <c r="Z176" s="56">
        <v>47.13536848828857</v>
      </c>
      <c r="AA176" s="56">
        <v>373.79695658396923</v>
      </c>
      <c r="AB176" s="4">
        <v>54.412799999999997</v>
      </c>
      <c r="AC176" s="4">
        <v>39.692716799999999</v>
      </c>
      <c r="AD176" s="4">
        <v>404.56464</v>
      </c>
      <c r="AE176" s="4">
        <v>64.158284714922942</v>
      </c>
      <c r="AF176" s="4">
        <v>54.347079866996722</v>
      </c>
      <c r="AG176" s="4">
        <v>430.98789094131655</v>
      </c>
    </row>
    <row r="177" spans="1:33" ht="11.25" customHeight="1" x14ac:dyDescent="0.25">
      <c r="A177" s="3" t="s">
        <v>21</v>
      </c>
      <c r="B177" s="3" t="s">
        <v>39</v>
      </c>
      <c r="C177" s="3" t="s">
        <v>40</v>
      </c>
      <c r="D177" s="3" t="s">
        <v>45</v>
      </c>
      <c r="E177" s="3" t="s">
        <v>53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24</v>
      </c>
      <c r="K177" s="56">
        <v>24</v>
      </c>
      <c r="L177" s="4">
        <v>10.164</v>
      </c>
      <c r="M177" s="56">
        <v>10.164</v>
      </c>
      <c r="N177" s="4">
        <v>10.164</v>
      </c>
      <c r="O177" s="56">
        <v>10.164</v>
      </c>
      <c r="P177" s="4">
        <v>0</v>
      </c>
      <c r="Q177" s="3" t="s">
        <v>26</v>
      </c>
      <c r="R177" s="3">
        <v>0</v>
      </c>
      <c r="S177" s="4">
        <v>4</v>
      </c>
      <c r="T177" s="4">
        <v>6</v>
      </c>
      <c r="U177" s="4">
        <v>86</v>
      </c>
      <c r="V177" s="56">
        <v>27.206399999999999</v>
      </c>
      <c r="W177" s="56">
        <v>34.425599999999996</v>
      </c>
      <c r="X177" s="56">
        <v>350.88</v>
      </c>
      <c r="Y177" s="56">
        <v>32.079142357461471</v>
      </c>
      <c r="Z177" s="56">
        <v>47.13536848828857</v>
      </c>
      <c r="AA177" s="56">
        <v>373.79695658396923</v>
      </c>
      <c r="AB177" s="4">
        <v>652.95359999999994</v>
      </c>
      <c r="AC177" s="4">
        <v>349.90179839999996</v>
      </c>
      <c r="AD177" s="4">
        <v>3566.3443199999997</v>
      </c>
      <c r="AE177" s="4">
        <v>769.89941657907525</v>
      </c>
      <c r="AF177" s="4">
        <v>479.08388531496502</v>
      </c>
      <c r="AG177" s="4">
        <v>3799.272266719463</v>
      </c>
    </row>
    <row r="178" spans="1:33" ht="11.25" customHeight="1" x14ac:dyDescent="0.25">
      <c r="A178" s="3" t="s">
        <v>56</v>
      </c>
      <c r="B178" s="3" t="s">
        <v>39</v>
      </c>
      <c r="C178" s="3" t="s">
        <v>40</v>
      </c>
      <c r="D178" s="3" t="s">
        <v>45</v>
      </c>
      <c r="E178" s="3" t="s">
        <v>53</v>
      </c>
      <c r="F178" s="3" t="s">
        <v>25</v>
      </c>
      <c r="G178" s="3" t="s">
        <v>25</v>
      </c>
      <c r="H178" s="3" t="s">
        <v>34</v>
      </c>
      <c r="I178" s="6">
        <v>44621</v>
      </c>
      <c r="J178" s="4">
        <v>24</v>
      </c>
      <c r="K178" s="56">
        <v>24</v>
      </c>
      <c r="L178" s="4">
        <v>10.164</v>
      </c>
      <c r="M178" s="56">
        <v>10.164</v>
      </c>
      <c r="N178" s="4">
        <v>10.164</v>
      </c>
      <c r="O178" s="56">
        <v>10.164</v>
      </c>
      <c r="P178" s="4">
        <v>0</v>
      </c>
      <c r="Q178" s="3" t="s">
        <v>26</v>
      </c>
      <c r="R178" s="3">
        <v>0</v>
      </c>
      <c r="S178" s="4">
        <v>4</v>
      </c>
      <c r="T178" s="4">
        <v>6</v>
      </c>
      <c r="U178" s="4">
        <v>86</v>
      </c>
      <c r="V178" s="56">
        <v>27.206399999999999</v>
      </c>
      <c r="W178" s="56">
        <v>34.425599999999996</v>
      </c>
      <c r="X178" s="56">
        <v>350.88</v>
      </c>
      <c r="Y178" s="56">
        <v>32.079142357461471</v>
      </c>
      <c r="Z178" s="56">
        <v>47.13536848828857</v>
      </c>
      <c r="AA178" s="56">
        <v>373.79695658396923</v>
      </c>
      <c r="AB178" s="4">
        <v>652.95359999999994</v>
      </c>
      <c r="AC178" s="4">
        <v>349.90179839999996</v>
      </c>
      <c r="AD178" s="4">
        <v>3566.3443199999997</v>
      </c>
      <c r="AE178" s="4">
        <v>769.89941657907525</v>
      </c>
      <c r="AF178" s="4">
        <v>479.08388531496502</v>
      </c>
      <c r="AG178" s="4">
        <v>3799.272266719463</v>
      </c>
    </row>
    <row r="179" spans="1:33" ht="11.25" customHeight="1" x14ac:dyDescent="0.25">
      <c r="A179" s="3" t="s">
        <v>21</v>
      </c>
      <c r="B179" s="3" t="s">
        <v>39</v>
      </c>
      <c r="C179" s="3" t="s">
        <v>40</v>
      </c>
      <c r="D179" s="3" t="s">
        <v>50</v>
      </c>
      <c r="E179" s="3" t="s">
        <v>51</v>
      </c>
      <c r="F179" s="3" t="s">
        <v>25</v>
      </c>
      <c r="G179" s="3" t="s">
        <v>25</v>
      </c>
      <c r="H179" s="3" t="s">
        <v>35</v>
      </c>
      <c r="I179" s="6">
        <v>44287</v>
      </c>
      <c r="J179" s="4">
        <v>9600</v>
      </c>
      <c r="K179" s="57">
        <v>9600</v>
      </c>
      <c r="L179" s="4">
        <v>6170.4849999999997</v>
      </c>
      <c r="M179" s="56">
        <v>6170.4849999999997</v>
      </c>
      <c r="N179" s="4">
        <v>6170.4849999999997</v>
      </c>
      <c r="O179" s="56">
        <v>6170.4849999999997</v>
      </c>
      <c r="P179" s="4">
        <v>0</v>
      </c>
      <c r="Q179" s="3" t="s">
        <v>26</v>
      </c>
      <c r="R179" s="3">
        <v>0</v>
      </c>
      <c r="S179" s="4">
        <v>5</v>
      </c>
      <c r="T179" s="4">
        <v>6</v>
      </c>
      <c r="U179" s="4">
        <v>87</v>
      </c>
      <c r="V179" s="56">
        <v>10.894599999999999</v>
      </c>
      <c r="W179" s="56">
        <v>33.708399999999997</v>
      </c>
      <c r="X179" s="56">
        <v>208.97139999999999</v>
      </c>
      <c r="Y179" s="56">
        <v>11.057863836583701</v>
      </c>
      <c r="Z179" s="56">
        <v>46.654395340448893</v>
      </c>
      <c r="AA179" s="56">
        <v>228.25411005675829</v>
      </c>
      <c r="AB179" s="4">
        <v>104588.15999999999</v>
      </c>
      <c r="AC179" s="4">
        <v>207997.17657399998</v>
      </c>
      <c r="AD179" s="4">
        <v>1289454.8891289998</v>
      </c>
      <c r="AE179" s="4">
        <v>106155.49283120353</v>
      </c>
      <c r="AF179" s="4">
        <v>287880.24663230975</v>
      </c>
      <c r="AG179" s="4">
        <v>1408438.5622935761</v>
      </c>
    </row>
    <row r="180" spans="1:33" ht="11.25" customHeight="1" x14ac:dyDescent="0.25">
      <c r="A180" s="3" t="s">
        <v>21</v>
      </c>
      <c r="B180" s="3" t="s">
        <v>39</v>
      </c>
      <c r="C180" s="3" t="s">
        <v>40</v>
      </c>
      <c r="D180" s="3" t="s">
        <v>50</v>
      </c>
      <c r="E180" s="3" t="s">
        <v>51</v>
      </c>
      <c r="F180" s="3" t="s">
        <v>25</v>
      </c>
      <c r="G180" s="3" t="s">
        <v>25</v>
      </c>
      <c r="H180" s="3" t="s">
        <v>35</v>
      </c>
      <c r="I180" s="6">
        <v>44317</v>
      </c>
      <c r="J180" s="4">
        <v>9600</v>
      </c>
      <c r="K180" s="57">
        <v>9600</v>
      </c>
      <c r="L180" s="4">
        <v>6371.0889999999999</v>
      </c>
      <c r="M180" s="56">
        <v>6371.0889999999999</v>
      </c>
      <c r="N180" s="4">
        <v>6371.0889999999999</v>
      </c>
      <c r="O180" s="56">
        <v>6371.0889999999999</v>
      </c>
      <c r="P180" s="4">
        <v>0</v>
      </c>
      <c r="Q180" s="3" t="s">
        <v>26</v>
      </c>
      <c r="R180" s="3">
        <v>0</v>
      </c>
      <c r="S180" s="4">
        <v>5</v>
      </c>
      <c r="T180" s="4">
        <v>6</v>
      </c>
      <c r="U180" s="4">
        <v>87</v>
      </c>
      <c r="V180" s="56">
        <v>10.894599999999999</v>
      </c>
      <c r="W180" s="56">
        <v>33.708399999999997</v>
      </c>
      <c r="X180" s="56">
        <v>208.97139999999999</v>
      </c>
      <c r="Y180" s="56">
        <v>11.057863836583701</v>
      </c>
      <c r="Z180" s="56">
        <v>46.654395340448893</v>
      </c>
      <c r="AA180" s="56">
        <v>228.25411005675829</v>
      </c>
      <c r="AB180" s="4">
        <v>104588.15999999999</v>
      </c>
      <c r="AC180" s="4">
        <v>214759.21644759999</v>
      </c>
      <c r="AD180" s="4">
        <v>1331375.3878545999</v>
      </c>
      <c r="AE180" s="4">
        <v>106155.49283120353</v>
      </c>
      <c r="AF180" s="4">
        <v>297239.30495518522</v>
      </c>
      <c r="AG180" s="4">
        <v>1454227.2497874021</v>
      </c>
    </row>
    <row r="181" spans="1:33" ht="11.25" customHeight="1" x14ac:dyDescent="0.25">
      <c r="A181" s="3" t="s">
        <v>21</v>
      </c>
      <c r="B181" s="3" t="s">
        <v>39</v>
      </c>
      <c r="C181" s="3" t="s">
        <v>40</v>
      </c>
      <c r="D181" s="3" t="s">
        <v>50</v>
      </c>
      <c r="E181" s="3" t="s">
        <v>51</v>
      </c>
      <c r="F181" s="3" t="s">
        <v>25</v>
      </c>
      <c r="G181" s="3" t="s">
        <v>25</v>
      </c>
      <c r="H181" s="3" t="s">
        <v>35</v>
      </c>
      <c r="I181" s="6">
        <v>44348</v>
      </c>
      <c r="J181" s="4">
        <v>9600</v>
      </c>
      <c r="K181" s="57">
        <v>9600</v>
      </c>
      <c r="L181" s="4">
        <v>5900.6350000000002</v>
      </c>
      <c r="M181" s="56">
        <v>5900.6350000000002</v>
      </c>
      <c r="N181" s="4">
        <v>5900.6350000000002</v>
      </c>
      <c r="O181" s="56">
        <v>5900.6350000000002</v>
      </c>
      <c r="P181" s="4">
        <v>0</v>
      </c>
      <c r="Q181" s="3" t="s">
        <v>26</v>
      </c>
      <c r="R181" s="3">
        <v>0</v>
      </c>
      <c r="S181" s="4">
        <v>5</v>
      </c>
      <c r="T181" s="4">
        <v>6</v>
      </c>
      <c r="U181" s="4">
        <v>87</v>
      </c>
      <c r="V181" s="56">
        <v>10.894599999999999</v>
      </c>
      <c r="W181" s="56">
        <v>33.708399999999997</v>
      </c>
      <c r="X181" s="56">
        <v>208.97139999999999</v>
      </c>
      <c r="Y181" s="56">
        <v>11.057863836583701</v>
      </c>
      <c r="Z181" s="56">
        <v>46.654395340448893</v>
      </c>
      <c r="AA181" s="56">
        <v>228.25411005675829</v>
      </c>
      <c r="AB181" s="4">
        <v>104588.15999999999</v>
      </c>
      <c r="AC181" s="4">
        <v>198900.96483399998</v>
      </c>
      <c r="AD181" s="4">
        <v>1233063.9568389999</v>
      </c>
      <c r="AE181" s="4">
        <v>106155.49283120353</v>
      </c>
      <c r="AF181" s="4">
        <v>275290.55804968969</v>
      </c>
      <c r="AG181" s="4">
        <v>1346844.1906947601</v>
      </c>
    </row>
    <row r="182" spans="1:33" ht="11.25" customHeight="1" x14ac:dyDescent="0.25">
      <c r="A182" s="3" t="s">
        <v>21</v>
      </c>
      <c r="B182" s="3" t="s">
        <v>39</v>
      </c>
      <c r="C182" s="3" t="s">
        <v>40</v>
      </c>
      <c r="D182" s="3" t="s">
        <v>50</v>
      </c>
      <c r="E182" s="3" t="s">
        <v>51</v>
      </c>
      <c r="F182" s="3" t="s">
        <v>25</v>
      </c>
      <c r="G182" s="3" t="s">
        <v>25</v>
      </c>
      <c r="H182" s="3" t="s">
        <v>35</v>
      </c>
      <c r="I182" s="6">
        <v>44378</v>
      </c>
      <c r="J182" s="4">
        <v>9600</v>
      </c>
      <c r="K182" s="57">
        <v>9600</v>
      </c>
      <c r="L182" s="4">
        <v>6235.5010000000002</v>
      </c>
      <c r="M182" s="56">
        <v>6235.5010000000002</v>
      </c>
      <c r="N182" s="4">
        <v>6235.5010000000002</v>
      </c>
      <c r="O182" s="56">
        <v>6235.5010000000002</v>
      </c>
      <c r="P182" s="4">
        <v>0</v>
      </c>
      <c r="Q182" s="3" t="s">
        <v>26</v>
      </c>
      <c r="R182" s="3">
        <v>0</v>
      </c>
      <c r="S182" s="4">
        <v>5</v>
      </c>
      <c r="T182" s="4">
        <v>6</v>
      </c>
      <c r="U182" s="4">
        <v>87</v>
      </c>
      <c r="V182" s="56">
        <v>10.894599999999999</v>
      </c>
      <c r="W182" s="56">
        <v>33.708399999999997</v>
      </c>
      <c r="X182" s="56">
        <v>208.97139999999999</v>
      </c>
      <c r="Y182" s="56">
        <v>11.057863836583701</v>
      </c>
      <c r="Z182" s="56">
        <v>46.654395340448893</v>
      </c>
      <c r="AA182" s="56">
        <v>228.25411005675829</v>
      </c>
      <c r="AB182" s="4">
        <v>104588.15999999999</v>
      </c>
      <c r="AC182" s="4">
        <v>210188.76190839999</v>
      </c>
      <c r="AD182" s="4">
        <v>1303041.3736713999</v>
      </c>
      <c r="AE182" s="4">
        <v>106155.49283120353</v>
      </c>
      <c r="AF182" s="4">
        <v>290913.5287997644</v>
      </c>
      <c r="AG182" s="4">
        <v>1423278.7315130264</v>
      </c>
    </row>
    <row r="183" spans="1:33" ht="11.25" customHeight="1" x14ac:dyDescent="0.25">
      <c r="A183" s="3" t="s">
        <v>21</v>
      </c>
      <c r="B183" s="3" t="s">
        <v>39</v>
      </c>
      <c r="C183" s="3" t="s">
        <v>40</v>
      </c>
      <c r="D183" s="3" t="s">
        <v>50</v>
      </c>
      <c r="E183" s="3" t="s">
        <v>51</v>
      </c>
      <c r="F183" s="3" t="s">
        <v>25</v>
      </c>
      <c r="G183" s="3" t="s">
        <v>25</v>
      </c>
      <c r="H183" s="3" t="s">
        <v>34</v>
      </c>
      <c r="I183" s="6">
        <v>44287</v>
      </c>
      <c r="J183" s="4">
        <v>3763</v>
      </c>
      <c r="K183" s="57">
        <v>3763</v>
      </c>
      <c r="L183" s="4">
        <v>218.589</v>
      </c>
      <c r="M183" s="56">
        <v>218.589</v>
      </c>
      <c r="N183" s="4">
        <v>218.589</v>
      </c>
      <c r="O183" s="56">
        <v>218.589</v>
      </c>
      <c r="P183" s="4">
        <v>0</v>
      </c>
      <c r="Q183" s="3" t="s">
        <v>26</v>
      </c>
      <c r="R183" s="3">
        <v>0</v>
      </c>
      <c r="S183" s="4">
        <v>4</v>
      </c>
      <c r="T183" s="4">
        <v>6</v>
      </c>
      <c r="U183" s="4">
        <v>86</v>
      </c>
      <c r="V183" s="56">
        <v>26.639599999999998</v>
      </c>
      <c r="W183" s="56">
        <v>33.708399999999997</v>
      </c>
      <c r="X183" s="56">
        <v>343.57</v>
      </c>
      <c r="Y183" s="56">
        <v>31.751804170140435</v>
      </c>
      <c r="Z183" s="56">
        <v>46.654395340448893</v>
      </c>
      <c r="AA183" s="56">
        <v>369.98270192494914</v>
      </c>
      <c r="AB183" s="4">
        <v>100244.81479999999</v>
      </c>
      <c r="AC183" s="4">
        <v>7368.2854475999993</v>
      </c>
      <c r="AD183" s="4">
        <v>75100.622730000003</v>
      </c>
      <c r="AE183" s="4">
        <v>119482.03909223845</v>
      </c>
      <c r="AF183" s="4">
        <v>10198.137623073382</v>
      </c>
      <c r="AG183" s="4">
        <v>80874.1488310727</v>
      </c>
    </row>
    <row r="184" spans="1:33" ht="11.25" customHeight="1" x14ac:dyDescent="0.25">
      <c r="A184" s="3" t="s">
        <v>21</v>
      </c>
      <c r="B184" s="3" t="s">
        <v>39</v>
      </c>
      <c r="C184" s="3" t="s">
        <v>40</v>
      </c>
      <c r="D184" s="3" t="s">
        <v>50</v>
      </c>
      <c r="E184" s="3" t="s">
        <v>51</v>
      </c>
      <c r="F184" s="3" t="s">
        <v>25</v>
      </c>
      <c r="G184" s="3" t="s">
        <v>25</v>
      </c>
      <c r="H184" s="3" t="s">
        <v>34</v>
      </c>
      <c r="I184" s="6">
        <v>44317</v>
      </c>
      <c r="J184" s="4">
        <v>3700</v>
      </c>
      <c r="K184" s="57">
        <v>3700</v>
      </c>
      <c r="L184" s="4">
        <v>229.916</v>
      </c>
      <c r="M184" s="56">
        <v>229.916</v>
      </c>
      <c r="N184" s="4">
        <v>229.916</v>
      </c>
      <c r="O184" s="56">
        <v>229.916</v>
      </c>
      <c r="P184" s="4">
        <v>0</v>
      </c>
      <c r="Q184" s="3" t="s">
        <v>26</v>
      </c>
      <c r="R184" s="3">
        <v>0</v>
      </c>
      <c r="S184" s="4">
        <v>4</v>
      </c>
      <c r="T184" s="4">
        <v>6</v>
      </c>
      <c r="U184" s="4">
        <v>86</v>
      </c>
      <c r="V184" s="56">
        <v>26.639599999999998</v>
      </c>
      <c r="W184" s="56">
        <v>33.708399999999997</v>
      </c>
      <c r="X184" s="56">
        <v>343.57</v>
      </c>
      <c r="Y184" s="56">
        <v>31.751804170140435</v>
      </c>
      <c r="Z184" s="56">
        <v>46.654395340448893</v>
      </c>
      <c r="AA184" s="56">
        <v>369.98270192494914</v>
      </c>
      <c r="AB184" s="4">
        <v>98566.51999999999</v>
      </c>
      <c r="AC184" s="4">
        <v>7750.1004943999997</v>
      </c>
      <c r="AD184" s="4">
        <v>78992.240120000002</v>
      </c>
      <c r="AE184" s="4">
        <v>117481.67542951962</v>
      </c>
      <c r="AF184" s="4">
        <v>10726.591959094647</v>
      </c>
      <c r="AG184" s="4">
        <v>85064.942895776607</v>
      </c>
    </row>
    <row r="185" spans="1:33" ht="11.25" customHeight="1" x14ac:dyDescent="0.25">
      <c r="A185" s="3" t="s">
        <v>21</v>
      </c>
      <c r="B185" s="3" t="s">
        <v>39</v>
      </c>
      <c r="C185" s="3" t="s">
        <v>40</v>
      </c>
      <c r="D185" s="3" t="s">
        <v>50</v>
      </c>
      <c r="E185" s="3" t="s">
        <v>51</v>
      </c>
      <c r="F185" s="3" t="s">
        <v>25</v>
      </c>
      <c r="G185" s="3" t="s">
        <v>25</v>
      </c>
      <c r="H185" s="3" t="s">
        <v>34</v>
      </c>
      <c r="I185" s="6">
        <v>44348</v>
      </c>
      <c r="J185" s="4">
        <v>3700</v>
      </c>
      <c r="K185" s="57">
        <v>3700</v>
      </c>
      <c r="L185" s="4">
        <v>229.82</v>
      </c>
      <c r="M185" s="56">
        <v>229.82</v>
      </c>
      <c r="N185" s="4">
        <v>229.82</v>
      </c>
      <c r="O185" s="56">
        <v>229.82</v>
      </c>
      <c r="P185" s="4">
        <v>0</v>
      </c>
      <c r="Q185" s="3" t="s">
        <v>26</v>
      </c>
      <c r="R185" s="3">
        <v>0</v>
      </c>
      <c r="S185" s="4">
        <v>4</v>
      </c>
      <c r="T185" s="4">
        <v>6</v>
      </c>
      <c r="U185" s="4">
        <v>86</v>
      </c>
      <c r="V185" s="56">
        <v>26.639599999999998</v>
      </c>
      <c r="W185" s="56">
        <v>33.708399999999997</v>
      </c>
      <c r="X185" s="56">
        <v>343.57</v>
      </c>
      <c r="Y185" s="56">
        <v>31.751804170140435</v>
      </c>
      <c r="Z185" s="56">
        <v>46.654395340448893</v>
      </c>
      <c r="AA185" s="56">
        <v>369.98270192494914</v>
      </c>
      <c r="AB185" s="4">
        <v>98566.51999999999</v>
      </c>
      <c r="AC185" s="4">
        <v>7746.8644879999993</v>
      </c>
      <c r="AD185" s="4">
        <v>78959.257400000002</v>
      </c>
      <c r="AE185" s="4">
        <v>117481.67542951962</v>
      </c>
      <c r="AF185" s="4">
        <v>10722.113137141965</v>
      </c>
      <c r="AG185" s="4">
        <v>85029.424556391808</v>
      </c>
    </row>
    <row r="186" spans="1:33" ht="11.25" customHeight="1" x14ac:dyDescent="0.25">
      <c r="A186" s="3" t="s">
        <v>21</v>
      </c>
      <c r="B186" s="3" t="s">
        <v>39</v>
      </c>
      <c r="C186" s="3" t="s">
        <v>40</v>
      </c>
      <c r="D186" s="3" t="s">
        <v>50</v>
      </c>
      <c r="E186" s="3" t="s">
        <v>51</v>
      </c>
      <c r="F186" s="3" t="s">
        <v>25</v>
      </c>
      <c r="G186" s="3" t="s">
        <v>25</v>
      </c>
      <c r="H186" s="3" t="s">
        <v>34</v>
      </c>
      <c r="I186" s="6">
        <v>44378</v>
      </c>
      <c r="J186" s="4">
        <v>3746</v>
      </c>
      <c r="K186" s="57">
        <v>3746</v>
      </c>
      <c r="L186" s="4">
        <v>241.227</v>
      </c>
      <c r="M186" s="56">
        <v>241.227</v>
      </c>
      <c r="N186" s="4">
        <v>241.227</v>
      </c>
      <c r="O186" s="56">
        <v>241.227</v>
      </c>
      <c r="P186" s="4">
        <v>0</v>
      </c>
      <c r="Q186" s="3" t="s">
        <v>26</v>
      </c>
      <c r="R186" s="3">
        <v>0</v>
      </c>
      <c r="S186" s="4">
        <v>4</v>
      </c>
      <c r="T186" s="4">
        <v>6</v>
      </c>
      <c r="U186" s="4">
        <v>86</v>
      </c>
      <c r="V186" s="56">
        <v>26.639599999999998</v>
      </c>
      <c r="W186" s="56">
        <v>33.708399999999997</v>
      </c>
      <c r="X186" s="56">
        <v>343.57</v>
      </c>
      <c r="Y186" s="56">
        <v>31.751804170140435</v>
      </c>
      <c r="Z186" s="56">
        <v>46.654395340448893</v>
      </c>
      <c r="AA186" s="56">
        <v>369.98270192494914</v>
      </c>
      <c r="AB186" s="4">
        <v>99791.941599999991</v>
      </c>
      <c r="AC186" s="4">
        <v>8131.3762067999996</v>
      </c>
      <c r="AD186" s="4">
        <v>82878.360390000002</v>
      </c>
      <c r="AE186" s="4">
        <v>118942.25842134607</v>
      </c>
      <c r="AF186" s="4">
        <v>11254.299824790465</v>
      </c>
      <c r="AG186" s="4">
        <v>89249.817237249707</v>
      </c>
    </row>
    <row r="187" spans="1:33" ht="11.25" customHeight="1" x14ac:dyDescent="0.25">
      <c r="A187" s="3" t="s">
        <v>21</v>
      </c>
      <c r="B187" s="3" t="s">
        <v>39</v>
      </c>
      <c r="C187" s="3" t="s">
        <v>61</v>
      </c>
      <c r="D187" s="3" t="s">
        <v>25</v>
      </c>
      <c r="E187" s="3" t="s">
        <v>25</v>
      </c>
      <c r="F187" s="3" t="s">
        <v>64</v>
      </c>
      <c r="G187" s="3" t="s">
        <v>65</v>
      </c>
      <c r="H187" s="3" t="s">
        <v>25</v>
      </c>
      <c r="I187" s="6">
        <v>44287</v>
      </c>
      <c r="J187" s="4">
        <v>0</v>
      </c>
      <c r="K187" s="4">
        <v>0</v>
      </c>
      <c r="L187" s="4">
        <v>0</v>
      </c>
      <c r="M187" s="4">
        <v>0</v>
      </c>
      <c r="N187" s="4">
        <v>31409.545999999998</v>
      </c>
      <c r="O187" s="4">
        <v>31409.545999999998</v>
      </c>
      <c r="P187" s="4">
        <v>0</v>
      </c>
      <c r="Q187" s="3" t="s">
        <v>66</v>
      </c>
      <c r="R187" s="3">
        <v>46</v>
      </c>
      <c r="S187" s="4">
        <v>0</v>
      </c>
      <c r="T187" s="4">
        <v>0</v>
      </c>
      <c r="U187" s="4">
        <v>90</v>
      </c>
      <c r="V187" s="4">
        <v>0</v>
      </c>
      <c r="W187" s="4">
        <v>0</v>
      </c>
      <c r="X187" s="4">
        <v>230.1</v>
      </c>
      <c r="Y187" s="4">
        <v>36.211271580834378</v>
      </c>
      <c r="Z187" s="4">
        <v>4.6233666364282548</v>
      </c>
      <c r="AA187" s="4">
        <v>253.57205359548595</v>
      </c>
      <c r="AB187" s="4">
        <v>0</v>
      </c>
      <c r="AC187" s="4">
        <v>0</v>
      </c>
      <c r="AD187" s="4">
        <v>7227336.5345999999</v>
      </c>
      <c r="AE187" s="4">
        <v>0</v>
      </c>
      <c r="AF187" s="4">
        <v>0</v>
      </c>
      <c r="AG187" s="4">
        <v>7964583.0817218814</v>
      </c>
    </row>
    <row r="188" spans="1:33" ht="11.25" customHeight="1" x14ac:dyDescent="0.25">
      <c r="A188" s="3" t="s">
        <v>21</v>
      </c>
      <c r="B188" s="3" t="s">
        <v>39</v>
      </c>
      <c r="C188" s="3" t="s">
        <v>61</v>
      </c>
      <c r="D188" s="3" t="s">
        <v>25</v>
      </c>
      <c r="E188" s="3" t="s">
        <v>25</v>
      </c>
      <c r="F188" s="3" t="s">
        <v>64</v>
      </c>
      <c r="G188" s="3" t="s">
        <v>65</v>
      </c>
      <c r="H188" s="3" t="s">
        <v>25</v>
      </c>
      <c r="I188" s="6">
        <v>44317</v>
      </c>
      <c r="J188" s="4">
        <v>0</v>
      </c>
      <c r="K188" s="4">
        <v>0</v>
      </c>
      <c r="L188" s="4">
        <v>0</v>
      </c>
      <c r="M188" s="4">
        <v>0</v>
      </c>
      <c r="N188" s="4">
        <v>28670.883999999998</v>
      </c>
      <c r="O188" s="4">
        <v>28670.883999999998</v>
      </c>
      <c r="P188" s="4">
        <v>0</v>
      </c>
      <c r="Q188" s="3" t="s">
        <v>66</v>
      </c>
      <c r="R188" s="3">
        <v>46</v>
      </c>
      <c r="S188" s="4">
        <v>0</v>
      </c>
      <c r="T188" s="4">
        <v>0</v>
      </c>
      <c r="U188" s="4">
        <v>90</v>
      </c>
      <c r="V188" s="4">
        <v>0</v>
      </c>
      <c r="W188" s="4">
        <v>0</v>
      </c>
      <c r="X188" s="4">
        <v>230.1</v>
      </c>
      <c r="Y188" s="4">
        <v>36.211271580834378</v>
      </c>
      <c r="Z188" s="4">
        <v>4.6233666364282548</v>
      </c>
      <c r="AA188" s="4">
        <v>253.57205359548595</v>
      </c>
      <c r="AB188" s="4">
        <v>0</v>
      </c>
      <c r="AC188" s="4">
        <v>0</v>
      </c>
      <c r="AD188" s="4">
        <v>6597170.4083999991</v>
      </c>
      <c r="AE188" s="4">
        <v>0</v>
      </c>
      <c r="AF188" s="4">
        <v>0</v>
      </c>
      <c r="AG188" s="4">
        <v>7270134.9342779601</v>
      </c>
    </row>
    <row r="189" spans="1:33" ht="11.25" customHeight="1" x14ac:dyDescent="0.25">
      <c r="A189" s="3" t="s">
        <v>21</v>
      </c>
      <c r="B189" s="3" t="s">
        <v>39</v>
      </c>
      <c r="C189" s="3" t="s">
        <v>61</v>
      </c>
      <c r="D189" s="3" t="s">
        <v>25</v>
      </c>
      <c r="E189" s="3" t="s">
        <v>25</v>
      </c>
      <c r="F189" s="3" t="s">
        <v>64</v>
      </c>
      <c r="G189" s="3" t="s">
        <v>65</v>
      </c>
      <c r="H189" s="3" t="s">
        <v>25</v>
      </c>
      <c r="I189" s="6">
        <v>44348</v>
      </c>
      <c r="J189" s="4">
        <v>0</v>
      </c>
      <c r="K189" s="4">
        <v>0</v>
      </c>
      <c r="L189" s="4">
        <v>0</v>
      </c>
      <c r="M189" s="4">
        <v>0</v>
      </c>
      <c r="N189" s="4">
        <v>27604.213</v>
      </c>
      <c r="O189" s="4">
        <v>27604.213</v>
      </c>
      <c r="P189" s="4">
        <v>0</v>
      </c>
      <c r="Q189" s="3" t="s">
        <v>66</v>
      </c>
      <c r="R189" s="3">
        <v>46</v>
      </c>
      <c r="S189" s="4">
        <v>0</v>
      </c>
      <c r="T189" s="4">
        <v>0</v>
      </c>
      <c r="U189" s="4">
        <v>90</v>
      </c>
      <c r="V189" s="4">
        <v>0</v>
      </c>
      <c r="W189" s="4">
        <v>0</v>
      </c>
      <c r="X189" s="4">
        <v>230.1</v>
      </c>
      <c r="Y189" s="4">
        <v>36.211271580834378</v>
      </c>
      <c r="Z189" s="4">
        <v>4.6233666364282548</v>
      </c>
      <c r="AA189" s="4">
        <v>253.57205359548595</v>
      </c>
      <c r="AB189" s="4">
        <v>0</v>
      </c>
      <c r="AC189" s="4">
        <v>0</v>
      </c>
      <c r="AD189" s="4">
        <v>6351729.4112999998</v>
      </c>
      <c r="AE189" s="4">
        <v>0</v>
      </c>
      <c r="AF189" s="4">
        <v>0</v>
      </c>
      <c r="AG189" s="4">
        <v>6999656.9782972103</v>
      </c>
    </row>
    <row r="190" spans="1:33" ht="11.25" customHeight="1" x14ac:dyDescent="0.25">
      <c r="A190" s="3" t="s">
        <v>21</v>
      </c>
      <c r="B190" s="3" t="s">
        <v>39</v>
      </c>
      <c r="C190" s="3" t="s">
        <v>61</v>
      </c>
      <c r="D190" s="3" t="s">
        <v>25</v>
      </c>
      <c r="E190" s="3" t="s">
        <v>25</v>
      </c>
      <c r="F190" s="3" t="s">
        <v>64</v>
      </c>
      <c r="G190" s="3" t="s">
        <v>65</v>
      </c>
      <c r="H190" s="3" t="s">
        <v>25</v>
      </c>
      <c r="I190" s="6">
        <v>44378</v>
      </c>
      <c r="J190" s="4">
        <v>0</v>
      </c>
      <c r="K190" s="4">
        <v>0</v>
      </c>
      <c r="L190" s="4">
        <v>0</v>
      </c>
      <c r="M190" s="4">
        <v>0</v>
      </c>
      <c r="N190" s="4">
        <v>26724.085999999999</v>
      </c>
      <c r="O190" s="4">
        <v>26724.085999999999</v>
      </c>
      <c r="P190" s="4">
        <v>0</v>
      </c>
      <c r="Q190" s="3" t="s">
        <v>66</v>
      </c>
      <c r="R190" s="3">
        <v>46</v>
      </c>
      <c r="S190" s="4">
        <v>0</v>
      </c>
      <c r="T190" s="4">
        <v>0</v>
      </c>
      <c r="U190" s="4">
        <v>90</v>
      </c>
      <c r="V190" s="4">
        <v>0</v>
      </c>
      <c r="W190" s="4">
        <v>0</v>
      </c>
      <c r="X190" s="4">
        <v>230.1</v>
      </c>
      <c r="Y190" s="4">
        <v>36.211271580834378</v>
      </c>
      <c r="Z190" s="4">
        <v>4.6233666364282548</v>
      </c>
      <c r="AA190" s="4">
        <v>253.57205359548595</v>
      </c>
      <c r="AB190" s="4">
        <v>0</v>
      </c>
      <c r="AC190" s="4">
        <v>0</v>
      </c>
      <c r="AD190" s="4">
        <v>6149212.1886</v>
      </c>
      <c r="AE190" s="4">
        <v>0</v>
      </c>
      <c r="AF190" s="4">
        <v>0</v>
      </c>
      <c r="AG190" s="4">
        <v>6776481.3674823754</v>
      </c>
    </row>
    <row r="191" spans="1:33" ht="11.25" customHeight="1" x14ac:dyDescent="0.25">
      <c r="A191" s="3" t="s">
        <v>21</v>
      </c>
      <c r="B191" s="3" t="s">
        <v>39</v>
      </c>
      <c r="C191" s="3" t="s">
        <v>61</v>
      </c>
      <c r="D191" s="3" t="s">
        <v>25</v>
      </c>
      <c r="E191" s="3" t="s">
        <v>25</v>
      </c>
      <c r="F191" s="3" t="s">
        <v>64</v>
      </c>
      <c r="G191" s="3" t="s">
        <v>65</v>
      </c>
      <c r="H191" s="3" t="s">
        <v>25</v>
      </c>
      <c r="I191" s="6">
        <v>44409</v>
      </c>
      <c r="J191" s="4">
        <v>0</v>
      </c>
      <c r="K191" s="4">
        <v>0</v>
      </c>
      <c r="L191" s="4">
        <v>0</v>
      </c>
      <c r="M191" s="4">
        <v>0</v>
      </c>
      <c r="N191" s="4">
        <v>26608.66</v>
      </c>
      <c r="O191" s="4">
        <v>26608.66</v>
      </c>
      <c r="P191" s="4">
        <v>0</v>
      </c>
      <c r="Q191" s="3" t="s">
        <v>66</v>
      </c>
      <c r="R191" s="3">
        <v>46</v>
      </c>
      <c r="S191" s="4">
        <v>0</v>
      </c>
      <c r="T191" s="4">
        <v>0</v>
      </c>
      <c r="U191" s="4">
        <v>90</v>
      </c>
      <c r="V191" s="4">
        <v>0</v>
      </c>
      <c r="W191" s="4">
        <v>0</v>
      </c>
      <c r="X191" s="4">
        <v>230.1</v>
      </c>
      <c r="Y191" s="4">
        <v>36.211271580834378</v>
      </c>
      <c r="Z191" s="4">
        <v>4.6233666364282548</v>
      </c>
      <c r="AA191" s="4">
        <v>253.57205359548595</v>
      </c>
      <c r="AB191" s="4">
        <v>0</v>
      </c>
      <c r="AC191" s="4">
        <v>0</v>
      </c>
      <c r="AD191" s="4">
        <v>6122652.6660000002</v>
      </c>
      <c r="AE191" s="4">
        <v>0</v>
      </c>
      <c r="AF191" s="4">
        <v>0</v>
      </c>
      <c r="AG191" s="4">
        <v>6747212.5596240629</v>
      </c>
    </row>
    <row r="192" spans="1:33" ht="11.25" customHeight="1" x14ac:dyDescent="0.25">
      <c r="A192" s="3" t="s">
        <v>21</v>
      </c>
      <c r="B192" s="3" t="s">
        <v>39</v>
      </c>
      <c r="C192" s="3" t="s">
        <v>61</v>
      </c>
      <c r="D192" s="3" t="s">
        <v>25</v>
      </c>
      <c r="E192" s="3" t="s">
        <v>25</v>
      </c>
      <c r="F192" s="3" t="s">
        <v>64</v>
      </c>
      <c r="G192" s="3" t="s">
        <v>65</v>
      </c>
      <c r="H192" s="3" t="s">
        <v>25</v>
      </c>
      <c r="I192" s="6">
        <v>44440</v>
      </c>
      <c r="J192" s="4">
        <v>0</v>
      </c>
      <c r="K192" s="4">
        <v>0</v>
      </c>
      <c r="L192" s="4">
        <v>0</v>
      </c>
      <c r="M192" s="4">
        <v>0</v>
      </c>
      <c r="N192" s="4">
        <v>26590.552</v>
      </c>
      <c r="O192" s="4">
        <v>26590.552</v>
      </c>
      <c r="P192" s="4">
        <v>0</v>
      </c>
      <c r="Q192" s="3" t="s">
        <v>66</v>
      </c>
      <c r="R192" s="3">
        <v>46</v>
      </c>
      <c r="S192" s="4">
        <v>0</v>
      </c>
      <c r="T192" s="4">
        <v>0</v>
      </c>
      <c r="U192" s="4">
        <v>90</v>
      </c>
      <c r="V192" s="4">
        <v>0</v>
      </c>
      <c r="W192" s="4">
        <v>0</v>
      </c>
      <c r="X192" s="4">
        <v>230.1</v>
      </c>
      <c r="Y192" s="4">
        <v>36.211271580834378</v>
      </c>
      <c r="Z192" s="4">
        <v>4.6233666364282548</v>
      </c>
      <c r="AA192" s="4">
        <v>253.57205359548595</v>
      </c>
      <c r="AB192" s="4">
        <v>0</v>
      </c>
      <c r="AC192" s="4">
        <v>0</v>
      </c>
      <c r="AD192" s="4">
        <v>6118486.0151999993</v>
      </c>
      <c r="AE192" s="4">
        <v>0</v>
      </c>
      <c r="AF192" s="4">
        <v>0</v>
      </c>
      <c r="AG192" s="4">
        <v>6742620.8768775566</v>
      </c>
    </row>
    <row r="193" spans="1:33" ht="11.25" customHeight="1" x14ac:dyDescent="0.25">
      <c r="A193" s="3" t="s">
        <v>21</v>
      </c>
      <c r="B193" s="3" t="s">
        <v>39</v>
      </c>
      <c r="C193" s="3" t="s">
        <v>61</v>
      </c>
      <c r="D193" s="3" t="s">
        <v>25</v>
      </c>
      <c r="E193" s="3" t="s">
        <v>25</v>
      </c>
      <c r="F193" s="3" t="s">
        <v>64</v>
      </c>
      <c r="G193" s="3" t="s">
        <v>65</v>
      </c>
      <c r="H193" s="3" t="s">
        <v>25</v>
      </c>
      <c r="I193" s="6">
        <v>44470</v>
      </c>
      <c r="J193" s="4">
        <v>0</v>
      </c>
      <c r="K193" s="4">
        <v>0</v>
      </c>
      <c r="L193" s="4">
        <v>0</v>
      </c>
      <c r="M193" s="4">
        <v>0</v>
      </c>
      <c r="N193" s="4">
        <v>27481.698</v>
      </c>
      <c r="O193" s="4">
        <v>27481.698</v>
      </c>
      <c r="P193" s="4">
        <v>0</v>
      </c>
      <c r="Q193" s="3" t="s">
        <v>66</v>
      </c>
      <c r="R193" s="3">
        <v>46</v>
      </c>
      <c r="S193" s="4">
        <v>0</v>
      </c>
      <c r="T193" s="4">
        <v>0</v>
      </c>
      <c r="U193" s="4">
        <v>90</v>
      </c>
      <c r="V193" s="4">
        <v>0</v>
      </c>
      <c r="W193" s="4">
        <v>0</v>
      </c>
      <c r="X193" s="4">
        <v>230.1</v>
      </c>
      <c r="Y193" s="4">
        <v>36.211271580834378</v>
      </c>
      <c r="Z193" s="4">
        <v>4.6233666364282548</v>
      </c>
      <c r="AA193" s="4">
        <v>253.57205359548595</v>
      </c>
      <c r="AB193" s="4">
        <v>0</v>
      </c>
      <c r="AC193" s="4">
        <v>0</v>
      </c>
      <c r="AD193" s="4">
        <v>6323538.7098000003</v>
      </c>
      <c r="AE193" s="4">
        <v>0</v>
      </c>
      <c r="AF193" s="4">
        <v>0</v>
      </c>
      <c r="AG193" s="4">
        <v>6968590.5981509592</v>
      </c>
    </row>
    <row r="194" spans="1:33" ht="11.25" customHeight="1" x14ac:dyDescent="0.25">
      <c r="A194" s="3" t="s">
        <v>21</v>
      </c>
      <c r="B194" s="3" t="s">
        <v>39</v>
      </c>
      <c r="C194" s="3" t="s">
        <v>61</v>
      </c>
      <c r="D194" s="3" t="s">
        <v>25</v>
      </c>
      <c r="E194" s="3" t="s">
        <v>25</v>
      </c>
      <c r="F194" s="3" t="s">
        <v>64</v>
      </c>
      <c r="G194" s="3" t="s">
        <v>65</v>
      </c>
      <c r="H194" s="3" t="s">
        <v>25</v>
      </c>
      <c r="I194" s="6">
        <v>44501</v>
      </c>
      <c r="J194" s="4">
        <v>0</v>
      </c>
      <c r="K194" s="4">
        <v>0</v>
      </c>
      <c r="L194" s="4">
        <v>0</v>
      </c>
      <c r="M194" s="4">
        <v>0</v>
      </c>
      <c r="N194" s="4">
        <v>30223.920999999998</v>
      </c>
      <c r="O194" s="4">
        <v>30223.920999999998</v>
      </c>
      <c r="P194" s="4">
        <v>0</v>
      </c>
      <c r="Q194" s="3" t="s">
        <v>66</v>
      </c>
      <c r="R194" s="3">
        <v>46</v>
      </c>
      <c r="S194" s="4">
        <v>0</v>
      </c>
      <c r="T194" s="4">
        <v>0</v>
      </c>
      <c r="U194" s="4">
        <v>90</v>
      </c>
      <c r="V194" s="4">
        <v>0</v>
      </c>
      <c r="W194" s="4">
        <v>0</v>
      </c>
      <c r="X194" s="4">
        <v>230.1</v>
      </c>
      <c r="Y194" s="4">
        <v>36.211271580834378</v>
      </c>
      <c r="Z194" s="4">
        <v>4.6233666364282548</v>
      </c>
      <c r="AA194" s="4">
        <v>253.57205359548595</v>
      </c>
      <c r="AB194" s="4">
        <v>0</v>
      </c>
      <c r="AC194" s="4">
        <v>0</v>
      </c>
      <c r="AD194" s="4">
        <v>6954524.2220999999</v>
      </c>
      <c r="AE194" s="4">
        <v>0</v>
      </c>
      <c r="AF194" s="4">
        <v>0</v>
      </c>
      <c r="AG194" s="4">
        <v>7663941.7156777326</v>
      </c>
    </row>
    <row r="195" spans="1:33" ht="11.25" customHeight="1" x14ac:dyDescent="0.25">
      <c r="A195" s="3" t="s">
        <v>21</v>
      </c>
      <c r="B195" s="3" t="s">
        <v>39</v>
      </c>
      <c r="C195" s="3" t="s">
        <v>61</v>
      </c>
      <c r="D195" s="3" t="s">
        <v>25</v>
      </c>
      <c r="E195" s="3" t="s">
        <v>25</v>
      </c>
      <c r="F195" s="3" t="s">
        <v>64</v>
      </c>
      <c r="G195" s="3" t="s">
        <v>65</v>
      </c>
      <c r="H195" s="3" t="s">
        <v>25</v>
      </c>
      <c r="I195" s="6">
        <v>44531</v>
      </c>
      <c r="J195" s="4">
        <v>0</v>
      </c>
      <c r="K195" s="4">
        <v>0</v>
      </c>
      <c r="L195" s="4">
        <v>0</v>
      </c>
      <c r="M195" s="4">
        <v>0</v>
      </c>
      <c r="N195" s="4">
        <v>29399.271000000001</v>
      </c>
      <c r="O195" s="4">
        <v>29399.271000000001</v>
      </c>
      <c r="P195" s="4">
        <v>0</v>
      </c>
      <c r="Q195" s="3" t="s">
        <v>66</v>
      </c>
      <c r="R195" s="3">
        <v>46</v>
      </c>
      <c r="S195" s="4">
        <v>0</v>
      </c>
      <c r="T195" s="4">
        <v>0</v>
      </c>
      <c r="U195" s="4">
        <v>90</v>
      </c>
      <c r="V195" s="4">
        <v>0</v>
      </c>
      <c r="W195" s="4">
        <v>0</v>
      </c>
      <c r="X195" s="4">
        <v>230.1</v>
      </c>
      <c r="Y195" s="4">
        <v>36.211271580834378</v>
      </c>
      <c r="Z195" s="4">
        <v>4.6233666364282548</v>
      </c>
      <c r="AA195" s="4">
        <v>253.57205359548595</v>
      </c>
      <c r="AB195" s="4">
        <v>0</v>
      </c>
      <c r="AC195" s="4">
        <v>0</v>
      </c>
      <c r="AD195" s="4">
        <v>6764772.2571</v>
      </c>
      <c r="AE195" s="4">
        <v>0</v>
      </c>
      <c r="AF195" s="4">
        <v>0</v>
      </c>
      <c r="AG195" s="4">
        <v>7454833.5216802163</v>
      </c>
    </row>
    <row r="196" spans="1:33" ht="11.25" customHeight="1" x14ac:dyDescent="0.25">
      <c r="A196" s="3" t="s">
        <v>21</v>
      </c>
      <c r="B196" s="3" t="s">
        <v>39</v>
      </c>
      <c r="C196" s="3" t="s">
        <v>61</v>
      </c>
      <c r="D196" s="3" t="s">
        <v>25</v>
      </c>
      <c r="E196" s="3" t="s">
        <v>25</v>
      </c>
      <c r="F196" s="3" t="s">
        <v>64</v>
      </c>
      <c r="G196" s="3" t="s">
        <v>65</v>
      </c>
      <c r="H196" s="3" t="s">
        <v>25</v>
      </c>
      <c r="I196" s="6">
        <v>44562</v>
      </c>
      <c r="J196" s="4">
        <v>0</v>
      </c>
      <c r="K196" s="4">
        <v>0</v>
      </c>
      <c r="L196" s="4">
        <v>0</v>
      </c>
      <c r="M196" s="4">
        <v>0</v>
      </c>
      <c r="N196" s="4">
        <v>31222.739000000001</v>
      </c>
      <c r="O196" s="4">
        <v>31222.739000000001</v>
      </c>
      <c r="P196" s="4">
        <v>0</v>
      </c>
      <c r="Q196" s="3" t="s">
        <v>66</v>
      </c>
      <c r="R196" s="3">
        <v>46</v>
      </c>
      <c r="S196" s="4">
        <v>0</v>
      </c>
      <c r="T196" s="4">
        <v>0</v>
      </c>
      <c r="U196" s="4">
        <v>90</v>
      </c>
      <c r="V196" s="4">
        <v>0</v>
      </c>
      <c r="W196" s="4">
        <v>0</v>
      </c>
      <c r="X196" s="4">
        <v>230.1</v>
      </c>
      <c r="Y196" s="4">
        <v>36.211271580834378</v>
      </c>
      <c r="Z196" s="4">
        <v>4.6233666364282548</v>
      </c>
      <c r="AA196" s="4">
        <v>253.57205359548595</v>
      </c>
      <c r="AB196" s="4">
        <v>0</v>
      </c>
      <c r="AC196" s="4">
        <v>0</v>
      </c>
      <c r="AD196" s="4">
        <v>7184352.2439000001</v>
      </c>
      <c r="AE196" s="4">
        <v>0</v>
      </c>
      <c r="AF196" s="4">
        <v>0</v>
      </c>
      <c r="AG196" s="4">
        <v>7917214.0471058702</v>
      </c>
    </row>
    <row r="197" spans="1:33" ht="11.25" customHeight="1" x14ac:dyDescent="0.25">
      <c r="A197" s="3" t="s">
        <v>21</v>
      </c>
      <c r="B197" s="3" t="s">
        <v>39</v>
      </c>
      <c r="C197" s="3" t="s">
        <v>69</v>
      </c>
      <c r="D197" s="3" t="s">
        <v>25</v>
      </c>
      <c r="E197" s="3" t="s">
        <v>25</v>
      </c>
      <c r="F197" s="3" t="s">
        <v>70</v>
      </c>
      <c r="G197" s="3" t="s">
        <v>71</v>
      </c>
      <c r="H197" s="3" t="s">
        <v>25</v>
      </c>
      <c r="I197" s="6">
        <v>44287</v>
      </c>
      <c r="J197" s="4">
        <v>4496</v>
      </c>
      <c r="K197" s="4">
        <v>2248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3" t="s">
        <v>72</v>
      </c>
      <c r="R197" s="3">
        <v>29152</v>
      </c>
      <c r="S197" s="4">
        <v>10</v>
      </c>
      <c r="T197" s="4">
        <v>0</v>
      </c>
      <c r="U197" s="4">
        <v>0</v>
      </c>
      <c r="V197" s="4">
        <v>10.55</v>
      </c>
      <c r="W197" s="4">
        <v>0</v>
      </c>
      <c r="X197" s="4">
        <v>0</v>
      </c>
      <c r="Y197" s="4">
        <v>13.562679450761028</v>
      </c>
      <c r="Z197" s="4"/>
      <c r="AA197" s="4"/>
      <c r="AB197" s="4">
        <v>23716.400000000001</v>
      </c>
      <c r="AC197" s="4">
        <v>0</v>
      </c>
      <c r="AD197" s="4">
        <v>0</v>
      </c>
      <c r="AE197" s="4">
        <v>30488.90340531079</v>
      </c>
      <c r="AF197" s="4">
        <v>0</v>
      </c>
      <c r="AG197" s="4">
        <v>0</v>
      </c>
    </row>
    <row r="198" spans="1:33" ht="11.25" customHeight="1" x14ac:dyDescent="0.25">
      <c r="A198" s="3" t="s">
        <v>21</v>
      </c>
      <c r="B198" s="3" t="s">
        <v>39</v>
      </c>
      <c r="C198" s="3" t="s">
        <v>69</v>
      </c>
      <c r="D198" s="3" t="s">
        <v>25</v>
      </c>
      <c r="E198" s="3" t="s">
        <v>25</v>
      </c>
      <c r="F198" s="3" t="s">
        <v>70</v>
      </c>
      <c r="G198" s="3" t="s">
        <v>73</v>
      </c>
      <c r="H198" s="3" t="s">
        <v>25</v>
      </c>
      <c r="I198" s="6">
        <v>44287</v>
      </c>
      <c r="J198" s="4">
        <v>10000</v>
      </c>
      <c r="K198" s="4">
        <v>5000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72</v>
      </c>
      <c r="R198" s="3">
        <v>29685</v>
      </c>
      <c r="S198" s="4">
        <v>10</v>
      </c>
      <c r="T198" s="4">
        <v>0</v>
      </c>
      <c r="U198" s="4">
        <v>0</v>
      </c>
      <c r="V198" s="4">
        <v>10.55</v>
      </c>
      <c r="W198" s="4">
        <v>0</v>
      </c>
      <c r="X198" s="4">
        <v>0</v>
      </c>
      <c r="Y198" s="4">
        <v>13.562679450761028</v>
      </c>
      <c r="Z198" s="4"/>
      <c r="AA198" s="4"/>
      <c r="AB198" s="4">
        <v>52750</v>
      </c>
      <c r="AC198" s="4">
        <v>0</v>
      </c>
      <c r="AD198" s="4">
        <v>0</v>
      </c>
      <c r="AE198" s="4">
        <v>67813.397253805146</v>
      </c>
      <c r="AF198" s="4">
        <v>0</v>
      </c>
      <c r="AG198" s="4">
        <v>0</v>
      </c>
    </row>
    <row r="199" spans="1:33" ht="11.25" customHeight="1" x14ac:dyDescent="0.25">
      <c r="A199" s="3" t="s">
        <v>21</v>
      </c>
      <c r="B199" s="3" t="s">
        <v>39</v>
      </c>
      <c r="C199" s="3" t="s">
        <v>69</v>
      </c>
      <c r="D199" s="3" t="s">
        <v>25</v>
      </c>
      <c r="E199" s="3" t="s">
        <v>25</v>
      </c>
      <c r="F199" s="3" t="s">
        <v>70</v>
      </c>
      <c r="G199" s="3" t="s">
        <v>75</v>
      </c>
      <c r="H199" s="3" t="s">
        <v>25</v>
      </c>
      <c r="I199" s="6">
        <v>44287</v>
      </c>
      <c r="J199" s="4">
        <v>13000</v>
      </c>
      <c r="K199" s="4">
        <v>6500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3" t="s">
        <v>72</v>
      </c>
      <c r="R199" s="3">
        <v>30396</v>
      </c>
      <c r="S199" s="4">
        <v>10</v>
      </c>
      <c r="T199" s="4">
        <v>0</v>
      </c>
      <c r="U199" s="4">
        <v>0</v>
      </c>
      <c r="V199" s="4">
        <v>10.55</v>
      </c>
      <c r="W199" s="4">
        <v>0</v>
      </c>
      <c r="X199" s="4">
        <v>0</v>
      </c>
      <c r="Y199" s="4">
        <v>13.562679450761028</v>
      </c>
      <c r="Z199" s="4"/>
      <c r="AA199" s="4"/>
      <c r="AB199" s="4">
        <v>68575</v>
      </c>
      <c r="AC199" s="4">
        <v>0</v>
      </c>
      <c r="AD199" s="4">
        <v>0</v>
      </c>
      <c r="AE199" s="4">
        <v>88157.416429946679</v>
      </c>
      <c r="AF199" s="4">
        <v>0</v>
      </c>
      <c r="AG199" s="4">
        <v>0</v>
      </c>
    </row>
    <row r="200" spans="1:33" ht="11.25" customHeight="1" x14ac:dyDescent="0.25">
      <c r="A200" s="3" t="s">
        <v>21</v>
      </c>
      <c r="B200" s="3" t="s">
        <v>39</v>
      </c>
      <c r="C200" s="3" t="s">
        <v>69</v>
      </c>
      <c r="D200" s="3" t="s">
        <v>25</v>
      </c>
      <c r="E200" s="3" t="s">
        <v>25</v>
      </c>
      <c r="F200" s="3" t="s">
        <v>70</v>
      </c>
      <c r="G200" s="3" t="s">
        <v>71</v>
      </c>
      <c r="H200" s="3" t="s">
        <v>25</v>
      </c>
      <c r="I200" s="6">
        <v>44317</v>
      </c>
      <c r="J200" s="4">
        <v>4572</v>
      </c>
      <c r="K200" s="4">
        <v>2286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72</v>
      </c>
      <c r="R200" s="3">
        <v>29152</v>
      </c>
      <c r="S200" s="4">
        <v>10</v>
      </c>
      <c r="T200" s="4">
        <v>0</v>
      </c>
      <c r="U200" s="4">
        <v>0</v>
      </c>
      <c r="V200" s="4">
        <v>10.55</v>
      </c>
      <c r="W200" s="4">
        <v>0</v>
      </c>
      <c r="X200" s="4">
        <v>0</v>
      </c>
      <c r="Y200" s="4">
        <v>13.562679450761028</v>
      </c>
      <c r="Z200" s="4"/>
      <c r="AA200" s="4"/>
      <c r="AB200" s="4">
        <v>24117.300000000003</v>
      </c>
      <c r="AC200" s="4">
        <v>0</v>
      </c>
      <c r="AD200" s="4">
        <v>0</v>
      </c>
      <c r="AE200" s="4">
        <v>31004.285224439711</v>
      </c>
      <c r="AF200" s="4">
        <v>0</v>
      </c>
      <c r="AG200" s="4">
        <v>0</v>
      </c>
    </row>
    <row r="201" spans="1:33" ht="11.25" customHeight="1" x14ac:dyDescent="0.25">
      <c r="A201" s="3" t="s">
        <v>21</v>
      </c>
      <c r="B201" s="3" t="s">
        <v>39</v>
      </c>
      <c r="C201" s="3" t="s">
        <v>69</v>
      </c>
      <c r="D201" s="3" t="s">
        <v>25</v>
      </c>
      <c r="E201" s="3" t="s">
        <v>25</v>
      </c>
      <c r="F201" s="3" t="s">
        <v>70</v>
      </c>
      <c r="G201" s="3" t="s">
        <v>73</v>
      </c>
      <c r="H201" s="3" t="s">
        <v>25</v>
      </c>
      <c r="I201" s="6">
        <v>44317</v>
      </c>
      <c r="J201" s="4">
        <v>10000</v>
      </c>
      <c r="K201" s="4">
        <v>5000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72</v>
      </c>
      <c r="R201" s="3">
        <v>29685</v>
      </c>
      <c r="S201" s="4">
        <v>10</v>
      </c>
      <c r="T201" s="4">
        <v>0</v>
      </c>
      <c r="U201" s="4">
        <v>0</v>
      </c>
      <c r="V201" s="4">
        <v>10.55</v>
      </c>
      <c r="W201" s="4">
        <v>0</v>
      </c>
      <c r="X201" s="4">
        <v>0</v>
      </c>
      <c r="Y201" s="4">
        <v>13.562679450761028</v>
      </c>
      <c r="Z201" s="4"/>
      <c r="AA201" s="4"/>
      <c r="AB201" s="4">
        <v>52750</v>
      </c>
      <c r="AC201" s="4">
        <v>0</v>
      </c>
      <c r="AD201" s="4">
        <v>0</v>
      </c>
      <c r="AE201" s="4">
        <v>67813.397253805146</v>
      </c>
      <c r="AF201" s="4">
        <v>0</v>
      </c>
      <c r="AG201" s="4">
        <v>0</v>
      </c>
    </row>
    <row r="202" spans="1:33" ht="11.25" customHeight="1" x14ac:dyDescent="0.25">
      <c r="A202" s="3" t="s">
        <v>21</v>
      </c>
      <c r="B202" s="3" t="s">
        <v>39</v>
      </c>
      <c r="C202" s="3" t="s">
        <v>69</v>
      </c>
      <c r="D202" s="3" t="s">
        <v>25</v>
      </c>
      <c r="E202" s="3" t="s">
        <v>25</v>
      </c>
      <c r="F202" s="3" t="s">
        <v>70</v>
      </c>
      <c r="G202" s="3" t="s">
        <v>75</v>
      </c>
      <c r="H202" s="3" t="s">
        <v>25</v>
      </c>
      <c r="I202" s="6">
        <v>44317</v>
      </c>
      <c r="J202" s="4">
        <v>13000</v>
      </c>
      <c r="K202" s="4">
        <v>6500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3" t="s">
        <v>72</v>
      </c>
      <c r="R202" s="3">
        <v>30396</v>
      </c>
      <c r="S202" s="4">
        <v>10</v>
      </c>
      <c r="T202" s="4">
        <v>0</v>
      </c>
      <c r="U202" s="4">
        <v>0</v>
      </c>
      <c r="V202" s="4">
        <v>10.55</v>
      </c>
      <c r="W202" s="4">
        <v>0</v>
      </c>
      <c r="X202" s="4">
        <v>0</v>
      </c>
      <c r="Y202" s="4">
        <v>13.562679450761028</v>
      </c>
      <c r="Z202" s="4"/>
      <c r="AA202" s="4"/>
      <c r="AB202" s="4">
        <v>68575</v>
      </c>
      <c r="AC202" s="4">
        <v>0</v>
      </c>
      <c r="AD202" s="4">
        <v>0</v>
      </c>
      <c r="AE202" s="4">
        <v>88157.416429946679</v>
      </c>
      <c r="AF202" s="4">
        <v>0</v>
      </c>
      <c r="AG202" s="4">
        <v>0</v>
      </c>
    </row>
    <row r="203" spans="1:33" ht="11.25" customHeight="1" x14ac:dyDescent="0.25">
      <c r="A203" s="3" t="s">
        <v>21</v>
      </c>
      <c r="B203" s="3" t="s">
        <v>39</v>
      </c>
      <c r="C203" s="3" t="s">
        <v>69</v>
      </c>
      <c r="D203" s="3" t="s">
        <v>25</v>
      </c>
      <c r="E203" s="3" t="s">
        <v>25</v>
      </c>
      <c r="F203" s="3" t="s">
        <v>70</v>
      </c>
      <c r="G203" s="3" t="s">
        <v>71</v>
      </c>
      <c r="H203" s="3" t="s">
        <v>25</v>
      </c>
      <c r="I203" s="6">
        <v>44348</v>
      </c>
      <c r="J203" s="4">
        <v>4940</v>
      </c>
      <c r="K203" s="4">
        <v>2470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 t="s">
        <v>72</v>
      </c>
      <c r="R203" s="3">
        <v>29152</v>
      </c>
      <c r="S203" s="4">
        <v>10</v>
      </c>
      <c r="T203" s="4">
        <v>0</v>
      </c>
      <c r="U203" s="4">
        <v>0</v>
      </c>
      <c r="V203" s="4">
        <v>10.55</v>
      </c>
      <c r="W203" s="4">
        <v>0</v>
      </c>
      <c r="X203" s="4">
        <v>0</v>
      </c>
      <c r="Y203" s="4">
        <v>13.562679450761028</v>
      </c>
      <c r="Z203" s="4"/>
      <c r="AA203" s="4"/>
      <c r="AB203" s="4">
        <v>26058.5</v>
      </c>
      <c r="AC203" s="4">
        <v>0</v>
      </c>
      <c r="AD203" s="4">
        <v>0</v>
      </c>
      <c r="AE203" s="4">
        <v>33499.818243379741</v>
      </c>
      <c r="AF203" s="4">
        <v>0</v>
      </c>
      <c r="AG203" s="4">
        <v>0</v>
      </c>
    </row>
    <row r="204" spans="1:33" ht="11.25" customHeight="1" x14ac:dyDescent="0.25">
      <c r="A204" s="3" t="s">
        <v>21</v>
      </c>
      <c r="B204" s="3" t="s">
        <v>39</v>
      </c>
      <c r="C204" s="3" t="s">
        <v>69</v>
      </c>
      <c r="D204" s="3" t="s">
        <v>25</v>
      </c>
      <c r="E204" s="3" t="s">
        <v>25</v>
      </c>
      <c r="F204" s="3" t="s">
        <v>70</v>
      </c>
      <c r="G204" s="3" t="s">
        <v>73</v>
      </c>
      <c r="H204" s="3" t="s">
        <v>25</v>
      </c>
      <c r="I204" s="6">
        <v>44348</v>
      </c>
      <c r="J204" s="4">
        <v>10000</v>
      </c>
      <c r="K204" s="4">
        <v>5000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 t="s">
        <v>72</v>
      </c>
      <c r="R204" s="3">
        <v>29685</v>
      </c>
      <c r="S204" s="4">
        <v>10</v>
      </c>
      <c r="T204" s="4">
        <v>0</v>
      </c>
      <c r="U204" s="4">
        <v>0</v>
      </c>
      <c r="V204" s="4">
        <v>10.55</v>
      </c>
      <c r="W204" s="4">
        <v>0</v>
      </c>
      <c r="X204" s="4">
        <v>0</v>
      </c>
      <c r="Y204" s="4">
        <v>13.562679450761028</v>
      </c>
      <c r="Z204" s="4"/>
      <c r="AA204" s="4"/>
      <c r="AB204" s="4">
        <v>52750</v>
      </c>
      <c r="AC204" s="4">
        <v>0</v>
      </c>
      <c r="AD204" s="4">
        <v>0</v>
      </c>
      <c r="AE204" s="4">
        <v>67813.397253805146</v>
      </c>
      <c r="AF204" s="4">
        <v>0</v>
      </c>
      <c r="AG204" s="4">
        <v>0</v>
      </c>
    </row>
    <row r="205" spans="1:33" ht="11.25" customHeight="1" x14ac:dyDescent="0.25">
      <c r="A205" s="3" t="s">
        <v>21</v>
      </c>
      <c r="B205" s="3" t="s">
        <v>39</v>
      </c>
      <c r="C205" s="3" t="s">
        <v>69</v>
      </c>
      <c r="D205" s="3" t="s">
        <v>25</v>
      </c>
      <c r="E205" s="3" t="s">
        <v>25</v>
      </c>
      <c r="F205" s="3" t="s">
        <v>70</v>
      </c>
      <c r="G205" s="3" t="s">
        <v>75</v>
      </c>
      <c r="H205" s="3" t="s">
        <v>25</v>
      </c>
      <c r="I205" s="6">
        <v>44348</v>
      </c>
      <c r="J205" s="4">
        <v>13000</v>
      </c>
      <c r="K205" s="4">
        <v>6500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3" t="s">
        <v>72</v>
      </c>
      <c r="R205" s="3">
        <v>30396</v>
      </c>
      <c r="S205" s="4">
        <v>10</v>
      </c>
      <c r="T205" s="4">
        <v>0</v>
      </c>
      <c r="U205" s="4">
        <v>0</v>
      </c>
      <c r="V205" s="4">
        <v>10.55</v>
      </c>
      <c r="W205" s="4">
        <v>0</v>
      </c>
      <c r="X205" s="4">
        <v>0</v>
      </c>
      <c r="Y205" s="4">
        <v>13.562679450761028</v>
      </c>
      <c r="Z205" s="4"/>
      <c r="AA205" s="4"/>
      <c r="AB205" s="4">
        <v>68575</v>
      </c>
      <c r="AC205" s="4">
        <v>0</v>
      </c>
      <c r="AD205" s="4">
        <v>0</v>
      </c>
      <c r="AE205" s="4">
        <v>88157.416429946679</v>
      </c>
      <c r="AF205" s="4">
        <v>0</v>
      </c>
      <c r="AG205" s="4">
        <v>0</v>
      </c>
    </row>
    <row r="206" spans="1:33" ht="11.25" customHeight="1" x14ac:dyDescent="0.25">
      <c r="A206" s="3" t="s">
        <v>21</v>
      </c>
      <c r="B206" s="3" t="s">
        <v>39</v>
      </c>
      <c r="C206" s="3" t="s">
        <v>69</v>
      </c>
      <c r="D206" s="3" t="s">
        <v>25</v>
      </c>
      <c r="E206" s="3" t="s">
        <v>25</v>
      </c>
      <c r="F206" s="3" t="s">
        <v>70</v>
      </c>
      <c r="G206" s="3" t="s">
        <v>71</v>
      </c>
      <c r="H206" s="3" t="s">
        <v>25</v>
      </c>
      <c r="I206" s="6">
        <v>44378</v>
      </c>
      <c r="J206" s="4">
        <v>4939</v>
      </c>
      <c r="K206" s="4">
        <v>2469.5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3" t="s">
        <v>72</v>
      </c>
      <c r="R206" s="3">
        <v>29152</v>
      </c>
      <c r="S206" s="4">
        <v>10</v>
      </c>
      <c r="T206" s="4">
        <v>0</v>
      </c>
      <c r="U206" s="4">
        <v>0</v>
      </c>
      <c r="V206" s="4">
        <v>10.55</v>
      </c>
      <c r="W206" s="4">
        <v>0</v>
      </c>
      <c r="X206" s="4">
        <v>0</v>
      </c>
      <c r="Y206" s="4">
        <v>13.562679450761028</v>
      </c>
      <c r="Z206" s="4"/>
      <c r="AA206" s="4"/>
      <c r="AB206" s="4">
        <v>26053.225000000002</v>
      </c>
      <c r="AC206" s="4">
        <v>0</v>
      </c>
      <c r="AD206" s="4">
        <v>0</v>
      </c>
      <c r="AE206" s="4">
        <v>33493.036903654356</v>
      </c>
      <c r="AF206" s="4">
        <v>0</v>
      </c>
      <c r="AG206" s="4">
        <v>0</v>
      </c>
    </row>
    <row r="207" spans="1:33" ht="11.25" customHeight="1" x14ac:dyDescent="0.25">
      <c r="A207" s="3" t="s">
        <v>21</v>
      </c>
      <c r="B207" s="3" t="s">
        <v>39</v>
      </c>
      <c r="C207" s="3" t="s">
        <v>69</v>
      </c>
      <c r="D207" s="3" t="s">
        <v>25</v>
      </c>
      <c r="E207" s="3" t="s">
        <v>25</v>
      </c>
      <c r="F207" s="3" t="s">
        <v>70</v>
      </c>
      <c r="G207" s="3" t="s">
        <v>73</v>
      </c>
      <c r="H207" s="3" t="s">
        <v>25</v>
      </c>
      <c r="I207" s="6">
        <v>44378</v>
      </c>
      <c r="J207" s="4">
        <v>10000</v>
      </c>
      <c r="K207" s="4">
        <v>5000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3" t="s">
        <v>72</v>
      </c>
      <c r="R207" s="3">
        <v>29685</v>
      </c>
      <c r="S207" s="4">
        <v>10</v>
      </c>
      <c r="T207" s="4">
        <v>0</v>
      </c>
      <c r="U207" s="4">
        <v>0</v>
      </c>
      <c r="V207" s="4">
        <v>10.55</v>
      </c>
      <c r="W207" s="4">
        <v>0</v>
      </c>
      <c r="X207" s="4">
        <v>0</v>
      </c>
      <c r="Y207" s="4">
        <v>13.562679450761028</v>
      </c>
      <c r="Z207" s="4"/>
      <c r="AA207" s="4"/>
      <c r="AB207" s="4">
        <v>52750</v>
      </c>
      <c r="AC207" s="4">
        <v>0</v>
      </c>
      <c r="AD207" s="4">
        <v>0</v>
      </c>
      <c r="AE207" s="4">
        <v>67813.397253805146</v>
      </c>
      <c r="AF207" s="4">
        <v>0</v>
      </c>
      <c r="AG207" s="4">
        <v>0</v>
      </c>
    </row>
    <row r="208" spans="1:33" ht="11.25" customHeight="1" x14ac:dyDescent="0.25">
      <c r="A208" s="3" t="s">
        <v>21</v>
      </c>
      <c r="B208" s="3" t="s">
        <v>39</v>
      </c>
      <c r="C208" s="3" t="s">
        <v>69</v>
      </c>
      <c r="D208" s="3" t="s">
        <v>25</v>
      </c>
      <c r="E208" s="3" t="s">
        <v>25</v>
      </c>
      <c r="F208" s="3" t="s">
        <v>70</v>
      </c>
      <c r="G208" s="3" t="s">
        <v>75</v>
      </c>
      <c r="H208" s="3" t="s">
        <v>25</v>
      </c>
      <c r="I208" s="6">
        <v>44378</v>
      </c>
      <c r="J208" s="4">
        <v>13000</v>
      </c>
      <c r="K208" s="4">
        <v>6500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3" t="s">
        <v>72</v>
      </c>
      <c r="R208" s="3">
        <v>30396</v>
      </c>
      <c r="S208" s="4">
        <v>10</v>
      </c>
      <c r="T208" s="4">
        <v>0</v>
      </c>
      <c r="U208" s="4">
        <v>0</v>
      </c>
      <c r="V208" s="4">
        <v>10.55</v>
      </c>
      <c r="W208" s="4">
        <v>0</v>
      </c>
      <c r="X208" s="4">
        <v>0</v>
      </c>
      <c r="Y208" s="4">
        <v>13.562679450761028</v>
      </c>
      <c r="Z208" s="4"/>
      <c r="AA208" s="4"/>
      <c r="AB208" s="4">
        <v>68575</v>
      </c>
      <c r="AC208" s="4">
        <v>0</v>
      </c>
      <c r="AD208" s="4">
        <v>0</v>
      </c>
      <c r="AE208" s="4">
        <v>88157.416429946679</v>
      </c>
      <c r="AF208" s="4">
        <v>0</v>
      </c>
      <c r="AG208" s="4">
        <v>0</v>
      </c>
    </row>
    <row r="209" spans="1:33" ht="11.25" customHeight="1" x14ac:dyDescent="0.25">
      <c r="A209" s="3" t="s">
        <v>21</v>
      </c>
      <c r="B209" s="3" t="s">
        <v>39</v>
      </c>
      <c r="C209" s="3" t="s">
        <v>69</v>
      </c>
      <c r="D209" s="3" t="s">
        <v>25</v>
      </c>
      <c r="E209" s="3" t="s">
        <v>25</v>
      </c>
      <c r="F209" s="3" t="s">
        <v>70</v>
      </c>
      <c r="G209" s="3" t="s">
        <v>71</v>
      </c>
      <c r="H209" s="3" t="s">
        <v>25</v>
      </c>
      <c r="I209" s="6">
        <v>44409</v>
      </c>
      <c r="J209" s="4">
        <v>4939</v>
      </c>
      <c r="K209" s="4">
        <v>2469.5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3" t="s">
        <v>72</v>
      </c>
      <c r="R209" s="3">
        <v>29152</v>
      </c>
      <c r="S209" s="4">
        <v>10</v>
      </c>
      <c r="T209" s="4">
        <v>0</v>
      </c>
      <c r="U209" s="4">
        <v>0</v>
      </c>
      <c r="V209" s="4">
        <v>10.55</v>
      </c>
      <c r="W209" s="4">
        <v>0</v>
      </c>
      <c r="X209" s="4">
        <v>0</v>
      </c>
      <c r="Y209" s="4">
        <v>13.562679450761028</v>
      </c>
      <c r="Z209" s="4"/>
      <c r="AA209" s="4"/>
      <c r="AB209" s="4">
        <v>26053.225000000002</v>
      </c>
      <c r="AC209" s="4">
        <v>0</v>
      </c>
      <c r="AD209" s="4">
        <v>0</v>
      </c>
      <c r="AE209" s="4">
        <v>33493.036903654356</v>
      </c>
      <c r="AF209" s="4">
        <v>0</v>
      </c>
      <c r="AG209" s="4">
        <v>0</v>
      </c>
    </row>
    <row r="210" spans="1:33" ht="11.25" customHeight="1" x14ac:dyDescent="0.25">
      <c r="A210" s="3" t="s">
        <v>21</v>
      </c>
      <c r="B210" s="3" t="s">
        <v>39</v>
      </c>
      <c r="C210" s="3" t="s">
        <v>69</v>
      </c>
      <c r="D210" s="3" t="s">
        <v>25</v>
      </c>
      <c r="E210" s="3" t="s">
        <v>25</v>
      </c>
      <c r="F210" s="3" t="s">
        <v>70</v>
      </c>
      <c r="G210" s="3" t="s">
        <v>73</v>
      </c>
      <c r="H210" s="3" t="s">
        <v>25</v>
      </c>
      <c r="I210" s="6">
        <v>44409</v>
      </c>
      <c r="J210" s="4">
        <v>8200</v>
      </c>
      <c r="K210" s="4">
        <v>4100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3" t="s">
        <v>72</v>
      </c>
      <c r="R210" s="3">
        <v>29685</v>
      </c>
      <c r="S210" s="4">
        <v>10</v>
      </c>
      <c r="T210" s="4">
        <v>0</v>
      </c>
      <c r="U210" s="4">
        <v>0</v>
      </c>
      <c r="V210" s="4">
        <v>10.55</v>
      </c>
      <c r="W210" s="4">
        <v>0</v>
      </c>
      <c r="X210" s="4">
        <v>0</v>
      </c>
      <c r="Y210" s="4">
        <v>13.562679450761028</v>
      </c>
      <c r="Z210" s="4"/>
      <c r="AA210" s="4"/>
      <c r="AB210" s="4">
        <v>43255</v>
      </c>
      <c r="AC210" s="4">
        <v>0</v>
      </c>
      <c r="AD210" s="4">
        <v>0</v>
      </c>
      <c r="AE210" s="4">
        <v>55606.985748120213</v>
      </c>
      <c r="AF210" s="4">
        <v>0</v>
      </c>
      <c r="AG210" s="4">
        <v>0</v>
      </c>
    </row>
    <row r="211" spans="1:33" ht="11.25" customHeight="1" x14ac:dyDescent="0.25">
      <c r="A211" s="3" t="s">
        <v>21</v>
      </c>
      <c r="B211" s="3" t="s">
        <v>39</v>
      </c>
      <c r="C211" s="3" t="s">
        <v>69</v>
      </c>
      <c r="D211" s="3" t="s">
        <v>25</v>
      </c>
      <c r="E211" s="3" t="s">
        <v>25</v>
      </c>
      <c r="F211" s="3" t="s">
        <v>70</v>
      </c>
      <c r="G211" s="3" t="s">
        <v>75</v>
      </c>
      <c r="H211" s="3" t="s">
        <v>25</v>
      </c>
      <c r="I211" s="6">
        <v>44409</v>
      </c>
      <c r="J211" s="4">
        <v>12400</v>
      </c>
      <c r="K211" s="4">
        <v>6200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3" t="s">
        <v>72</v>
      </c>
      <c r="R211" s="3">
        <v>30396</v>
      </c>
      <c r="S211" s="4">
        <v>10</v>
      </c>
      <c r="T211" s="4">
        <v>0</v>
      </c>
      <c r="U211" s="4">
        <v>0</v>
      </c>
      <c r="V211" s="4">
        <v>10.55</v>
      </c>
      <c r="W211" s="4">
        <v>0</v>
      </c>
      <c r="X211" s="4">
        <v>0</v>
      </c>
      <c r="Y211" s="4">
        <v>13.562679450761028</v>
      </c>
      <c r="Z211" s="4"/>
      <c r="AA211" s="4"/>
      <c r="AB211" s="4">
        <v>65410.000000000007</v>
      </c>
      <c r="AC211" s="4">
        <v>0</v>
      </c>
      <c r="AD211" s="4">
        <v>0</v>
      </c>
      <c r="AE211" s="4">
        <v>84088.612594718375</v>
      </c>
      <c r="AF211" s="4">
        <v>0</v>
      </c>
      <c r="AG211" s="4">
        <v>0</v>
      </c>
    </row>
    <row r="212" spans="1:33" ht="11.25" customHeight="1" x14ac:dyDescent="0.25">
      <c r="A212" s="3" t="s">
        <v>21</v>
      </c>
      <c r="B212" s="3" t="s">
        <v>39</v>
      </c>
      <c r="C212" s="3" t="s">
        <v>69</v>
      </c>
      <c r="D212" s="3" t="s">
        <v>25</v>
      </c>
      <c r="E212" s="3" t="s">
        <v>25</v>
      </c>
      <c r="F212" s="3" t="s">
        <v>70</v>
      </c>
      <c r="G212" s="3" t="s">
        <v>71</v>
      </c>
      <c r="H212" s="3" t="s">
        <v>25</v>
      </c>
      <c r="I212" s="6">
        <v>44440</v>
      </c>
      <c r="J212" s="4">
        <v>4942</v>
      </c>
      <c r="K212" s="4">
        <v>2471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3" t="s">
        <v>72</v>
      </c>
      <c r="R212" s="3">
        <v>29152</v>
      </c>
      <c r="S212" s="4">
        <v>10</v>
      </c>
      <c r="T212" s="4">
        <v>0</v>
      </c>
      <c r="U212" s="4">
        <v>0</v>
      </c>
      <c r="V212" s="4">
        <v>10.55</v>
      </c>
      <c r="W212" s="4">
        <v>0</v>
      </c>
      <c r="X212" s="4">
        <v>0</v>
      </c>
      <c r="Y212" s="4">
        <v>13.562679450761028</v>
      </c>
      <c r="Z212" s="4"/>
      <c r="AA212" s="4"/>
      <c r="AB212" s="4">
        <v>26069.050000000003</v>
      </c>
      <c r="AC212" s="4">
        <v>0</v>
      </c>
      <c r="AD212" s="4">
        <v>0</v>
      </c>
      <c r="AE212" s="4">
        <v>33513.380922830496</v>
      </c>
      <c r="AF212" s="4">
        <v>0</v>
      </c>
      <c r="AG212" s="4">
        <v>0</v>
      </c>
    </row>
    <row r="213" spans="1:33" ht="11.25" customHeight="1" x14ac:dyDescent="0.25">
      <c r="A213" s="3" t="s">
        <v>21</v>
      </c>
      <c r="B213" s="3" t="s">
        <v>39</v>
      </c>
      <c r="C213" s="3" t="s">
        <v>69</v>
      </c>
      <c r="D213" s="3" t="s">
        <v>25</v>
      </c>
      <c r="E213" s="3" t="s">
        <v>25</v>
      </c>
      <c r="F213" s="3" t="s">
        <v>70</v>
      </c>
      <c r="G213" s="3" t="s">
        <v>73</v>
      </c>
      <c r="H213" s="3" t="s">
        <v>25</v>
      </c>
      <c r="I213" s="6">
        <v>44440</v>
      </c>
      <c r="J213" s="4">
        <v>8200</v>
      </c>
      <c r="K213" s="4">
        <v>4100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3" t="s">
        <v>72</v>
      </c>
      <c r="R213" s="3">
        <v>29685</v>
      </c>
      <c r="S213" s="4">
        <v>10</v>
      </c>
      <c r="T213" s="4">
        <v>0</v>
      </c>
      <c r="U213" s="4">
        <v>0</v>
      </c>
      <c r="V213" s="4">
        <v>10.55</v>
      </c>
      <c r="W213" s="4">
        <v>0</v>
      </c>
      <c r="X213" s="4">
        <v>0</v>
      </c>
      <c r="Y213" s="4">
        <v>13.562679450761028</v>
      </c>
      <c r="Z213" s="4"/>
      <c r="AA213" s="4"/>
      <c r="AB213" s="4">
        <v>43255</v>
      </c>
      <c r="AC213" s="4">
        <v>0</v>
      </c>
      <c r="AD213" s="4">
        <v>0</v>
      </c>
      <c r="AE213" s="4">
        <v>55606.985748120213</v>
      </c>
      <c r="AF213" s="4">
        <v>0</v>
      </c>
      <c r="AG213" s="4">
        <v>0</v>
      </c>
    </row>
    <row r="214" spans="1:33" ht="11.25" customHeight="1" x14ac:dyDescent="0.25">
      <c r="A214" s="3" t="s">
        <v>21</v>
      </c>
      <c r="B214" s="3" t="s">
        <v>39</v>
      </c>
      <c r="C214" s="3" t="s">
        <v>69</v>
      </c>
      <c r="D214" s="3" t="s">
        <v>25</v>
      </c>
      <c r="E214" s="3" t="s">
        <v>25</v>
      </c>
      <c r="F214" s="3" t="s">
        <v>70</v>
      </c>
      <c r="G214" s="3" t="s">
        <v>75</v>
      </c>
      <c r="H214" s="3" t="s">
        <v>25</v>
      </c>
      <c r="I214" s="6">
        <v>44440</v>
      </c>
      <c r="J214" s="4">
        <v>12400</v>
      </c>
      <c r="K214" s="4">
        <v>6200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3" t="s">
        <v>72</v>
      </c>
      <c r="R214" s="3">
        <v>30396</v>
      </c>
      <c r="S214" s="4">
        <v>10</v>
      </c>
      <c r="T214" s="4">
        <v>0</v>
      </c>
      <c r="U214" s="4">
        <v>0</v>
      </c>
      <c r="V214" s="4">
        <v>10.55</v>
      </c>
      <c r="W214" s="4">
        <v>0</v>
      </c>
      <c r="X214" s="4">
        <v>0</v>
      </c>
      <c r="Y214" s="4">
        <v>13.562679450761028</v>
      </c>
      <c r="Z214" s="4"/>
      <c r="AA214" s="4"/>
      <c r="AB214" s="4">
        <v>65410.000000000007</v>
      </c>
      <c r="AC214" s="4">
        <v>0</v>
      </c>
      <c r="AD214" s="4">
        <v>0</v>
      </c>
      <c r="AE214" s="4">
        <v>84088.612594718375</v>
      </c>
      <c r="AF214" s="4">
        <v>0</v>
      </c>
      <c r="AG214" s="4">
        <v>0</v>
      </c>
    </row>
    <row r="215" spans="1:33" ht="11.25" customHeight="1" x14ac:dyDescent="0.25">
      <c r="A215" s="3" t="s">
        <v>21</v>
      </c>
      <c r="B215" s="3" t="s">
        <v>39</v>
      </c>
      <c r="C215" s="3" t="s">
        <v>69</v>
      </c>
      <c r="D215" s="3" t="s">
        <v>25</v>
      </c>
      <c r="E215" s="3" t="s">
        <v>25</v>
      </c>
      <c r="F215" s="3" t="s">
        <v>70</v>
      </c>
      <c r="G215" s="3" t="s">
        <v>71</v>
      </c>
      <c r="H215" s="3" t="s">
        <v>25</v>
      </c>
      <c r="I215" s="6">
        <v>44470</v>
      </c>
      <c r="J215" s="4">
        <v>4452</v>
      </c>
      <c r="K215" s="4">
        <v>2226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3" t="s">
        <v>72</v>
      </c>
      <c r="R215" s="3">
        <v>29152</v>
      </c>
      <c r="S215" s="4">
        <v>10</v>
      </c>
      <c r="T215" s="4">
        <v>0</v>
      </c>
      <c r="U215" s="4">
        <v>0</v>
      </c>
      <c r="V215" s="4">
        <v>10.55</v>
      </c>
      <c r="W215" s="4">
        <v>0</v>
      </c>
      <c r="X215" s="4">
        <v>0</v>
      </c>
      <c r="Y215" s="4">
        <v>13.562679450761028</v>
      </c>
      <c r="Z215" s="4"/>
      <c r="AA215" s="4"/>
      <c r="AB215" s="4">
        <v>23484.300000000003</v>
      </c>
      <c r="AC215" s="4">
        <v>0</v>
      </c>
      <c r="AD215" s="4">
        <v>0</v>
      </c>
      <c r="AE215" s="4">
        <v>30190.524457394047</v>
      </c>
      <c r="AF215" s="4">
        <v>0</v>
      </c>
      <c r="AG215" s="4">
        <v>0</v>
      </c>
    </row>
    <row r="216" spans="1:33" ht="11.25" customHeight="1" x14ac:dyDescent="0.25">
      <c r="A216" s="3" t="s">
        <v>21</v>
      </c>
      <c r="B216" s="3" t="s">
        <v>39</v>
      </c>
      <c r="C216" s="3" t="s">
        <v>69</v>
      </c>
      <c r="D216" s="3" t="s">
        <v>25</v>
      </c>
      <c r="E216" s="3" t="s">
        <v>25</v>
      </c>
      <c r="F216" s="3" t="s">
        <v>70</v>
      </c>
      <c r="G216" s="3" t="s">
        <v>73</v>
      </c>
      <c r="H216" s="3" t="s">
        <v>25</v>
      </c>
      <c r="I216" s="6">
        <v>44470</v>
      </c>
      <c r="J216" s="4">
        <v>8200</v>
      </c>
      <c r="K216" s="4">
        <v>4100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3" t="s">
        <v>72</v>
      </c>
      <c r="R216" s="3">
        <v>29685</v>
      </c>
      <c r="S216" s="4">
        <v>10</v>
      </c>
      <c r="T216" s="4">
        <v>0</v>
      </c>
      <c r="U216" s="4">
        <v>0</v>
      </c>
      <c r="V216" s="4">
        <v>10.55</v>
      </c>
      <c r="W216" s="4">
        <v>0</v>
      </c>
      <c r="X216" s="4">
        <v>0</v>
      </c>
      <c r="Y216" s="4">
        <v>13.562679450761028</v>
      </c>
      <c r="Z216" s="4"/>
      <c r="AA216" s="4"/>
      <c r="AB216" s="4">
        <v>43255</v>
      </c>
      <c r="AC216" s="4">
        <v>0</v>
      </c>
      <c r="AD216" s="4">
        <v>0</v>
      </c>
      <c r="AE216" s="4">
        <v>55606.985748120213</v>
      </c>
      <c r="AF216" s="4">
        <v>0</v>
      </c>
      <c r="AG216" s="4">
        <v>0</v>
      </c>
    </row>
    <row r="217" spans="1:33" ht="11.25" customHeight="1" x14ac:dyDescent="0.25">
      <c r="A217" s="3" t="s">
        <v>21</v>
      </c>
      <c r="B217" s="3" t="s">
        <v>39</v>
      </c>
      <c r="C217" s="3" t="s">
        <v>69</v>
      </c>
      <c r="D217" s="3" t="s">
        <v>25</v>
      </c>
      <c r="E217" s="3" t="s">
        <v>25</v>
      </c>
      <c r="F217" s="3" t="s">
        <v>70</v>
      </c>
      <c r="G217" s="3" t="s">
        <v>75</v>
      </c>
      <c r="H217" s="3" t="s">
        <v>25</v>
      </c>
      <c r="I217" s="6">
        <v>44470</v>
      </c>
      <c r="J217" s="4">
        <v>12400</v>
      </c>
      <c r="K217" s="4">
        <v>6200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3" t="s">
        <v>72</v>
      </c>
      <c r="R217" s="3">
        <v>30396</v>
      </c>
      <c r="S217" s="4">
        <v>10</v>
      </c>
      <c r="T217" s="4">
        <v>0</v>
      </c>
      <c r="U217" s="4">
        <v>0</v>
      </c>
      <c r="V217" s="4">
        <v>10.55</v>
      </c>
      <c r="W217" s="4">
        <v>0</v>
      </c>
      <c r="X217" s="4">
        <v>0</v>
      </c>
      <c r="Y217" s="4">
        <v>13.562679450761028</v>
      </c>
      <c r="Z217" s="4"/>
      <c r="AA217" s="4"/>
      <c r="AB217" s="4">
        <v>65410.000000000007</v>
      </c>
      <c r="AC217" s="4">
        <v>0</v>
      </c>
      <c r="AD217" s="4">
        <v>0</v>
      </c>
      <c r="AE217" s="4">
        <v>84088.612594718375</v>
      </c>
      <c r="AF217" s="4">
        <v>0</v>
      </c>
      <c r="AG217" s="4">
        <v>0</v>
      </c>
    </row>
    <row r="218" spans="1:33" ht="11.25" customHeight="1" x14ac:dyDescent="0.25">
      <c r="A218" s="3" t="s">
        <v>21</v>
      </c>
      <c r="B218" s="3" t="s">
        <v>39</v>
      </c>
      <c r="C218" s="3" t="s">
        <v>69</v>
      </c>
      <c r="D218" s="3" t="s">
        <v>25</v>
      </c>
      <c r="E218" s="3" t="s">
        <v>25</v>
      </c>
      <c r="F218" s="3" t="s">
        <v>70</v>
      </c>
      <c r="G218" s="3" t="s">
        <v>71</v>
      </c>
      <c r="H218" s="3" t="s">
        <v>25</v>
      </c>
      <c r="I218" s="6">
        <v>44501</v>
      </c>
      <c r="J218" s="4">
        <v>4472</v>
      </c>
      <c r="K218" s="4">
        <v>2236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3" t="s">
        <v>72</v>
      </c>
      <c r="R218" s="3">
        <v>29152</v>
      </c>
      <c r="S218" s="4">
        <v>10</v>
      </c>
      <c r="T218" s="4">
        <v>0</v>
      </c>
      <c r="U218" s="4">
        <v>0</v>
      </c>
      <c r="V218" s="4">
        <v>10.55</v>
      </c>
      <c r="W218" s="4">
        <v>0</v>
      </c>
      <c r="X218" s="4">
        <v>0</v>
      </c>
      <c r="Y218" s="4">
        <v>13.562679450761028</v>
      </c>
      <c r="Z218" s="4"/>
      <c r="AA218" s="4"/>
      <c r="AB218" s="4">
        <v>23589.800000000003</v>
      </c>
      <c r="AC218" s="4">
        <v>0</v>
      </c>
      <c r="AD218" s="4">
        <v>0</v>
      </c>
      <c r="AE218" s="4">
        <v>30326.151251901658</v>
      </c>
      <c r="AF218" s="4">
        <v>0</v>
      </c>
      <c r="AG218" s="4">
        <v>0</v>
      </c>
    </row>
    <row r="219" spans="1:33" ht="11.25" customHeight="1" x14ac:dyDescent="0.25">
      <c r="A219" s="3" t="s">
        <v>21</v>
      </c>
      <c r="B219" s="3" t="s">
        <v>39</v>
      </c>
      <c r="C219" s="3" t="s">
        <v>69</v>
      </c>
      <c r="D219" s="3" t="s">
        <v>25</v>
      </c>
      <c r="E219" s="3" t="s">
        <v>25</v>
      </c>
      <c r="F219" s="3" t="s">
        <v>70</v>
      </c>
      <c r="G219" s="3" t="s">
        <v>73</v>
      </c>
      <c r="H219" s="3" t="s">
        <v>25</v>
      </c>
      <c r="I219" s="6">
        <v>44501</v>
      </c>
      <c r="J219" s="4">
        <v>8200</v>
      </c>
      <c r="K219" s="4">
        <v>4100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3" t="s">
        <v>72</v>
      </c>
      <c r="R219" s="3">
        <v>29685</v>
      </c>
      <c r="S219" s="4">
        <v>10</v>
      </c>
      <c r="T219" s="4">
        <v>0</v>
      </c>
      <c r="U219" s="4">
        <v>0</v>
      </c>
      <c r="V219" s="4">
        <v>10.55</v>
      </c>
      <c r="W219" s="4">
        <v>0</v>
      </c>
      <c r="X219" s="4">
        <v>0</v>
      </c>
      <c r="Y219" s="4">
        <v>13.562679450761028</v>
      </c>
      <c r="Z219" s="4"/>
      <c r="AA219" s="4"/>
      <c r="AB219" s="4">
        <v>43255</v>
      </c>
      <c r="AC219" s="4">
        <v>0</v>
      </c>
      <c r="AD219" s="4">
        <v>0</v>
      </c>
      <c r="AE219" s="4">
        <v>55606.985748120213</v>
      </c>
      <c r="AF219" s="4">
        <v>0</v>
      </c>
      <c r="AG219" s="4">
        <v>0</v>
      </c>
    </row>
    <row r="220" spans="1:33" ht="11.25" customHeight="1" x14ac:dyDescent="0.25">
      <c r="A220" s="3" t="s">
        <v>21</v>
      </c>
      <c r="B220" s="3" t="s">
        <v>39</v>
      </c>
      <c r="C220" s="3" t="s">
        <v>69</v>
      </c>
      <c r="D220" s="3" t="s">
        <v>25</v>
      </c>
      <c r="E220" s="3" t="s">
        <v>25</v>
      </c>
      <c r="F220" s="3" t="s">
        <v>70</v>
      </c>
      <c r="G220" s="3" t="s">
        <v>75</v>
      </c>
      <c r="H220" s="3" t="s">
        <v>25</v>
      </c>
      <c r="I220" s="6">
        <v>44501</v>
      </c>
      <c r="J220" s="4">
        <v>10044</v>
      </c>
      <c r="K220" s="4">
        <v>5022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3" t="s">
        <v>72</v>
      </c>
      <c r="R220" s="3">
        <v>30396</v>
      </c>
      <c r="S220" s="4">
        <v>10</v>
      </c>
      <c r="T220" s="4">
        <v>0</v>
      </c>
      <c r="U220" s="4">
        <v>0</v>
      </c>
      <c r="V220" s="4">
        <v>10.55</v>
      </c>
      <c r="W220" s="4">
        <v>0</v>
      </c>
      <c r="X220" s="4">
        <v>0</v>
      </c>
      <c r="Y220" s="4">
        <v>13.562679450761028</v>
      </c>
      <c r="Z220" s="4"/>
      <c r="AA220" s="4"/>
      <c r="AB220" s="4">
        <v>52982.100000000006</v>
      </c>
      <c r="AC220" s="4">
        <v>0</v>
      </c>
      <c r="AD220" s="4">
        <v>0</v>
      </c>
      <c r="AE220" s="4">
        <v>68111.776201721877</v>
      </c>
      <c r="AF220" s="4">
        <v>0</v>
      </c>
      <c r="AG220" s="4">
        <v>0</v>
      </c>
    </row>
    <row r="221" spans="1:33" ht="11.25" customHeight="1" x14ac:dyDescent="0.25">
      <c r="A221" s="3" t="s">
        <v>21</v>
      </c>
      <c r="B221" s="3" t="s">
        <v>39</v>
      </c>
      <c r="C221" s="3" t="s">
        <v>69</v>
      </c>
      <c r="D221" s="3" t="s">
        <v>25</v>
      </c>
      <c r="E221" s="3" t="s">
        <v>25</v>
      </c>
      <c r="F221" s="3" t="s">
        <v>70</v>
      </c>
      <c r="G221" s="3" t="s">
        <v>71</v>
      </c>
      <c r="H221" s="3" t="s">
        <v>25</v>
      </c>
      <c r="I221" s="6">
        <v>44531</v>
      </c>
      <c r="J221" s="4">
        <v>4448</v>
      </c>
      <c r="K221" s="4">
        <v>2224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3" t="s">
        <v>72</v>
      </c>
      <c r="R221" s="3">
        <v>29152</v>
      </c>
      <c r="S221" s="4">
        <v>10</v>
      </c>
      <c r="T221" s="4">
        <v>0</v>
      </c>
      <c r="U221" s="4">
        <v>0</v>
      </c>
      <c r="V221" s="4">
        <v>10.55</v>
      </c>
      <c r="W221" s="4">
        <v>0</v>
      </c>
      <c r="X221" s="4">
        <v>0</v>
      </c>
      <c r="Y221" s="4">
        <v>13.562679450761028</v>
      </c>
      <c r="Z221" s="4"/>
      <c r="AA221" s="4"/>
      <c r="AB221" s="4">
        <v>23463.200000000001</v>
      </c>
      <c r="AC221" s="4">
        <v>0</v>
      </c>
      <c r="AD221" s="4">
        <v>0</v>
      </c>
      <c r="AE221" s="4">
        <v>30163.399098492526</v>
      </c>
      <c r="AF221" s="4">
        <v>0</v>
      </c>
      <c r="AG221" s="4">
        <v>0</v>
      </c>
    </row>
    <row r="222" spans="1:33" ht="11.25" customHeight="1" x14ac:dyDescent="0.25">
      <c r="A222" s="3" t="s">
        <v>21</v>
      </c>
      <c r="B222" s="3" t="s">
        <v>39</v>
      </c>
      <c r="C222" s="3" t="s">
        <v>69</v>
      </c>
      <c r="D222" s="3" t="s">
        <v>25</v>
      </c>
      <c r="E222" s="3" t="s">
        <v>25</v>
      </c>
      <c r="F222" s="3" t="s">
        <v>70</v>
      </c>
      <c r="G222" s="3" t="s">
        <v>73</v>
      </c>
      <c r="H222" s="3" t="s">
        <v>25</v>
      </c>
      <c r="I222" s="6">
        <v>44531</v>
      </c>
      <c r="J222" s="4">
        <v>8200</v>
      </c>
      <c r="K222" s="4">
        <v>4100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3" t="s">
        <v>72</v>
      </c>
      <c r="R222" s="3">
        <v>29685</v>
      </c>
      <c r="S222" s="4">
        <v>10</v>
      </c>
      <c r="T222" s="4">
        <v>0</v>
      </c>
      <c r="U222" s="4">
        <v>0</v>
      </c>
      <c r="V222" s="4">
        <v>10.55</v>
      </c>
      <c r="W222" s="4">
        <v>0</v>
      </c>
      <c r="X222" s="4">
        <v>0</v>
      </c>
      <c r="Y222" s="4">
        <v>13.562679450761028</v>
      </c>
      <c r="Z222" s="4"/>
      <c r="AA222" s="4"/>
      <c r="AB222" s="4">
        <v>43255</v>
      </c>
      <c r="AC222" s="4">
        <v>0</v>
      </c>
      <c r="AD222" s="4">
        <v>0</v>
      </c>
      <c r="AE222" s="4">
        <v>55606.985748120213</v>
      </c>
      <c r="AF222" s="4">
        <v>0</v>
      </c>
      <c r="AG222" s="4">
        <v>0</v>
      </c>
    </row>
    <row r="223" spans="1:33" ht="11.25" customHeight="1" x14ac:dyDescent="0.25">
      <c r="A223" s="3" t="s">
        <v>21</v>
      </c>
      <c r="B223" s="3" t="s">
        <v>39</v>
      </c>
      <c r="C223" s="3" t="s">
        <v>69</v>
      </c>
      <c r="D223" s="3" t="s">
        <v>25</v>
      </c>
      <c r="E223" s="3" t="s">
        <v>25</v>
      </c>
      <c r="F223" s="3" t="s">
        <v>70</v>
      </c>
      <c r="G223" s="3" t="s">
        <v>75</v>
      </c>
      <c r="H223" s="3" t="s">
        <v>25</v>
      </c>
      <c r="I223" s="6">
        <v>44531</v>
      </c>
      <c r="J223" s="4">
        <v>12400</v>
      </c>
      <c r="K223" s="4">
        <v>6200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3" t="s">
        <v>72</v>
      </c>
      <c r="R223" s="3">
        <v>30396</v>
      </c>
      <c r="S223" s="4">
        <v>10</v>
      </c>
      <c r="T223" s="4">
        <v>0</v>
      </c>
      <c r="U223" s="4">
        <v>0</v>
      </c>
      <c r="V223" s="4">
        <v>10.55</v>
      </c>
      <c r="W223" s="4">
        <v>0</v>
      </c>
      <c r="X223" s="4">
        <v>0</v>
      </c>
      <c r="Y223" s="4">
        <v>13.562679450761028</v>
      </c>
      <c r="Z223" s="4"/>
      <c r="AA223" s="4"/>
      <c r="AB223" s="4">
        <v>65410.000000000007</v>
      </c>
      <c r="AC223" s="4">
        <v>0</v>
      </c>
      <c r="AD223" s="4">
        <v>0</v>
      </c>
      <c r="AE223" s="4">
        <v>84088.612594718375</v>
      </c>
      <c r="AF223" s="4">
        <v>0</v>
      </c>
      <c r="AG223" s="4">
        <v>0</v>
      </c>
    </row>
    <row r="224" spans="1:33" ht="11.25" customHeight="1" x14ac:dyDescent="0.25">
      <c r="A224" s="3" t="s">
        <v>21</v>
      </c>
      <c r="B224" s="3" t="s">
        <v>39</v>
      </c>
      <c r="C224" s="3" t="s">
        <v>69</v>
      </c>
      <c r="D224" s="3" t="s">
        <v>25</v>
      </c>
      <c r="E224" s="3" t="s">
        <v>25</v>
      </c>
      <c r="F224" s="3" t="s">
        <v>70</v>
      </c>
      <c r="G224" s="3" t="s">
        <v>71</v>
      </c>
      <c r="H224" s="3" t="s">
        <v>25</v>
      </c>
      <c r="I224" s="6">
        <v>44562</v>
      </c>
      <c r="J224" s="4">
        <v>4384</v>
      </c>
      <c r="K224" s="4">
        <v>2192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3" t="s">
        <v>72</v>
      </c>
      <c r="R224" s="3">
        <v>29152</v>
      </c>
      <c r="S224" s="4">
        <v>10</v>
      </c>
      <c r="T224" s="4">
        <v>0</v>
      </c>
      <c r="U224" s="4">
        <v>0</v>
      </c>
      <c r="V224" s="4">
        <v>10.55</v>
      </c>
      <c r="W224" s="4">
        <v>0</v>
      </c>
      <c r="X224" s="4">
        <v>0</v>
      </c>
      <c r="Y224" s="4">
        <v>13.562679450761028</v>
      </c>
      <c r="Z224" s="4"/>
      <c r="AA224" s="4"/>
      <c r="AB224" s="4">
        <v>23125.600000000002</v>
      </c>
      <c r="AC224" s="4">
        <v>0</v>
      </c>
      <c r="AD224" s="4">
        <v>0</v>
      </c>
      <c r="AE224" s="4">
        <v>29729.393356068173</v>
      </c>
      <c r="AF224" s="4">
        <v>0</v>
      </c>
      <c r="AG224" s="4">
        <v>0</v>
      </c>
    </row>
    <row r="225" spans="1:33" ht="11.25" customHeight="1" x14ac:dyDescent="0.25">
      <c r="A225" s="3" t="s">
        <v>21</v>
      </c>
      <c r="B225" s="3" t="s">
        <v>39</v>
      </c>
      <c r="C225" s="3" t="s">
        <v>69</v>
      </c>
      <c r="D225" s="3" t="s">
        <v>25</v>
      </c>
      <c r="E225" s="3" t="s">
        <v>25</v>
      </c>
      <c r="F225" s="3" t="s">
        <v>70</v>
      </c>
      <c r="G225" s="3" t="s">
        <v>73</v>
      </c>
      <c r="H225" s="3" t="s">
        <v>25</v>
      </c>
      <c r="I225" s="6">
        <v>44562</v>
      </c>
      <c r="J225" s="4">
        <v>8200</v>
      </c>
      <c r="K225" s="4">
        <v>4100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3" t="s">
        <v>72</v>
      </c>
      <c r="R225" s="3">
        <v>29685</v>
      </c>
      <c r="S225" s="4">
        <v>10</v>
      </c>
      <c r="T225" s="4">
        <v>0</v>
      </c>
      <c r="U225" s="4">
        <v>0</v>
      </c>
      <c r="V225" s="4">
        <v>10.55</v>
      </c>
      <c r="W225" s="4">
        <v>0</v>
      </c>
      <c r="X225" s="4">
        <v>0</v>
      </c>
      <c r="Y225" s="4">
        <v>13.562679450761028</v>
      </c>
      <c r="Z225" s="4"/>
      <c r="AA225" s="4"/>
      <c r="AB225" s="4">
        <v>43255</v>
      </c>
      <c r="AC225" s="4">
        <v>0</v>
      </c>
      <c r="AD225" s="4">
        <v>0</v>
      </c>
      <c r="AE225" s="4">
        <v>55606.985748120213</v>
      </c>
      <c r="AF225" s="4">
        <v>0</v>
      </c>
      <c r="AG225" s="4">
        <v>0</v>
      </c>
    </row>
    <row r="226" spans="1:33" ht="11.25" customHeight="1" x14ac:dyDescent="0.25">
      <c r="A226" s="3" t="s">
        <v>21</v>
      </c>
      <c r="B226" s="3" t="s">
        <v>39</v>
      </c>
      <c r="C226" s="3" t="s">
        <v>69</v>
      </c>
      <c r="D226" s="3" t="s">
        <v>25</v>
      </c>
      <c r="E226" s="3" t="s">
        <v>25</v>
      </c>
      <c r="F226" s="3" t="s">
        <v>70</v>
      </c>
      <c r="G226" s="3" t="s">
        <v>75</v>
      </c>
      <c r="H226" s="3" t="s">
        <v>25</v>
      </c>
      <c r="I226" s="6">
        <v>44562</v>
      </c>
      <c r="J226" s="4">
        <v>12400</v>
      </c>
      <c r="K226" s="4">
        <v>6200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3" t="s">
        <v>72</v>
      </c>
      <c r="R226" s="3">
        <v>30396</v>
      </c>
      <c r="S226" s="4">
        <v>10</v>
      </c>
      <c r="T226" s="4">
        <v>0</v>
      </c>
      <c r="U226" s="4">
        <v>0</v>
      </c>
      <c r="V226" s="4">
        <v>10.55</v>
      </c>
      <c r="W226" s="4">
        <v>0</v>
      </c>
      <c r="X226" s="4">
        <v>0</v>
      </c>
      <c r="Y226" s="4">
        <v>13.562679450761028</v>
      </c>
      <c r="Z226" s="4"/>
      <c r="AA226" s="4"/>
      <c r="AB226" s="4">
        <v>65410.000000000007</v>
      </c>
      <c r="AC226" s="4">
        <v>0</v>
      </c>
      <c r="AD226" s="4">
        <v>0</v>
      </c>
      <c r="AE226" s="4">
        <v>84088.612594718375</v>
      </c>
      <c r="AF226" s="4">
        <v>0</v>
      </c>
      <c r="AG226" s="4">
        <v>0</v>
      </c>
    </row>
    <row r="227" spans="1:33" ht="11.25" customHeight="1" x14ac:dyDescent="0.25">
      <c r="A227" s="3" t="s">
        <v>21</v>
      </c>
      <c r="B227" s="3" t="s">
        <v>39</v>
      </c>
      <c r="C227" s="3" t="s">
        <v>69</v>
      </c>
      <c r="D227" s="3" t="s">
        <v>25</v>
      </c>
      <c r="E227" s="3" t="s">
        <v>25</v>
      </c>
      <c r="F227" s="3" t="s">
        <v>70</v>
      </c>
      <c r="G227" s="3" t="s">
        <v>71</v>
      </c>
      <c r="H227" s="3" t="s">
        <v>25</v>
      </c>
      <c r="I227" s="6">
        <v>44593</v>
      </c>
      <c r="J227" s="4">
        <v>4412</v>
      </c>
      <c r="K227" s="4">
        <v>2206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3" t="s">
        <v>72</v>
      </c>
      <c r="R227" s="3">
        <v>29152</v>
      </c>
      <c r="S227" s="4">
        <v>10</v>
      </c>
      <c r="T227" s="4">
        <v>0</v>
      </c>
      <c r="U227" s="4">
        <v>0</v>
      </c>
      <c r="V227" s="4">
        <v>10.55</v>
      </c>
      <c r="W227" s="4">
        <v>0</v>
      </c>
      <c r="X227" s="4">
        <v>0</v>
      </c>
      <c r="Y227" s="4">
        <v>13.562679450761028</v>
      </c>
      <c r="Z227" s="4"/>
      <c r="AA227" s="4"/>
      <c r="AB227" s="4">
        <v>23273.300000000003</v>
      </c>
      <c r="AC227" s="4">
        <v>0</v>
      </c>
      <c r="AD227" s="4">
        <v>0</v>
      </c>
      <c r="AE227" s="4">
        <v>29919.270868378826</v>
      </c>
      <c r="AF227" s="4">
        <v>0</v>
      </c>
      <c r="AG227" s="4">
        <v>0</v>
      </c>
    </row>
    <row r="228" spans="1:33" ht="11.25" customHeight="1" x14ac:dyDescent="0.25">
      <c r="A228" s="3" t="s">
        <v>21</v>
      </c>
      <c r="B228" s="3" t="s">
        <v>39</v>
      </c>
      <c r="C228" s="3" t="s">
        <v>69</v>
      </c>
      <c r="D228" s="3" t="s">
        <v>25</v>
      </c>
      <c r="E228" s="3" t="s">
        <v>25</v>
      </c>
      <c r="F228" s="3" t="s">
        <v>70</v>
      </c>
      <c r="G228" s="3" t="s">
        <v>73</v>
      </c>
      <c r="H228" s="3" t="s">
        <v>25</v>
      </c>
      <c r="I228" s="6">
        <v>44593</v>
      </c>
      <c r="J228" s="4">
        <v>8200</v>
      </c>
      <c r="K228" s="4">
        <v>4100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3" t="s">
        <v>72</v>
      </c>
      <c r="R228" s="3">
        <v>29685</v>
      </c>
      <c r="S228" s="4">
        <v>10</v>
      </c>
      <c r="T228" s="4">
        <v>0</v>
      </c>
      <c r="U228" s="4">
        <v>0</v>
      </c>
      <c r="V228" s="4">
        <v>10.55</v>
      </c>
      <c r="W228" s="4">
        <v>0</v>
      </c>
      <c r="X228" s="4">
        <v>0</v>
      </c>
      <c r="Y228" s="4">
        <v>13.562679450761028</v>
      </c>
      <c r="Z228" s="4"/>
      <c r="AA228" s="4"/>
      <c r="AB228" s="4">
        <v>43255</v>
      </c>
      <c r="AC228" s="4">
        <v>0</v>
      </c>
      <c r="AD228" s="4">
        <v>0</v>
      </c>
      <c r="AE228" s="4">
        <v>55606.985748120213</v>
      </c>
      <c r="AF228" s="4">
        <v>0</v>
      </c>
      <c r="AG228" s="4">
        <v>0</v>
      </c>
    </row>
    <row r="229" spans="1:33" ht="11.25" customHeight="1" x14ac:dyDescent="0.25">
      <c r="A229" s="3" t="s">
        <v>21</v>
      </c>
      <c r="B229" s="3" t="s">
        <v>39</v>
      </c>
      <c r="C229" s="3" t="s">
        <v>69</v>
      </c>
      <c r="D229" s="3" t="s">
        <v>25</v>
      </c>
      <c r="E229" s="3" t="s">
        <v>25</v>
      </c>
      <c r="F229" s="3" t="s">
        <v>70</v>
      </c>
      <c r="G229" s="3" t="s">
        <v>75</v>
      </c>
      <c r="H229" s="3" t="s">
        <v>25</v>
      </c>
      <c r="I229" s="6">
        <v>44593</v>
      </c>
      <c r="J229" s="4">
        <v>12400</v>
      </c>
      <c r="K229" s="4">
        <v>6200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72</v>
      </c>
      <c r="R229" s="3">
        <v>30396</v>
      </c>
      <c r="S229" s="4">
        <v>10</v>
      </c>
      <c r="T229" s="4">
        <v>0</v>
      </c>
      <c r="U229" s="4">
        <v>0</v>
      </c>
      <c r="V229" s="4">
        <v>10.55</v>
      </c>
      <c r="W229" s="4">
        <v>0</v>
      </c>
      <c r="X229" s="4">
        <v>0</v>
      </c>
      <c r="Y229" s="4">
        <v>13.562679450761028</v>
      </c>
      <c r="Z229" s="4"/>
      <c r="AA229" s="4"/>
      <c r="AB229" s="4">
        <v>65410.000000000007</v>
      </c>
      <c r="AC229" s="4">
        <v>0</v>
      </c>
      <c r="AD229" s="4">
        <v>0</v>
      </c>
      <c r="AE229" s="4">
        <v>84088.612594718375</v>
      </c>
      <c r="AF229" s="4">
        <v>0</v>
      </c>
      <c r="AG229" s="4">
        <v>0</v>
      </c>
    </row>
    <row r="230" spans="1:33" ht="11.25" customHeight="1" x14ac:dyDescent="0.25">
      <c r="A230" s="3" t="s">
        <v>56</v>
      </c>
      <c r="B230" s="3" t="s">
        <v>39</v>
      </c>
      <c r="C230" s="3" t="s">
        <v>69</v>
      </c>
      <c r="D230" s="3" t="s">
        <v>25</v>
      </c>
      <c r="E230" s="3" t="s">
        <v>25</v>
      </c>
      <c r="F230" s="3" t="s">
        <v>70</v>
      </c>
      <c r="G230" s="3" t="s">
        <v>71</v>
      </c>
      <c r="H230" s="3" t="s">
        <v>25</v>
      </c>
      <c r="I230" s="6">
        <v>44621</v>
      </c>
      <c r="J230" s="4">
        <v>4412</v>
      </c>
      <c r="K230" s="4">
        <v>2206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 t="s">
        <v>72</v>
      </c>
      <c r="R230" s="3">
        <v>29152</v>
      </c>
      <c r="S230" s="4">
        <v>10</v>
      </c>
      <c r="T230" s="4">
        <v>0</v>
      </c>
      <c r="U230" s="4">
        <v>0</v>
      </c>
      <c r="V230" s="4">
        <v>10.55</v>
      </c>
      <c r="W230" s="4">
        <v>0</v>
      </c>
      <c r="X230" s="4">
        <v>0</v>
      </c>
      <c r="Y230" s="4">
        <v>13.562679450761028</v>
      </c>
      <c r="Z230" s="4"/>
      <c r="AA230" s="4"/>
      <c r="AB230" s="4">
        <v>23273.300000000003</v>
      </c>
      <c r="AC230" s="4">
        <v>0</v>
      </c>
      <c r="AD230" s="4">
        <v>0</v>
      </c>
      <c r="AE230" s="4">
        <v>29919.270868378826</v>
      </c>
      <c r="AF230" s="4">
        <v>0</v>
      </c>
      <c r="AG230" s="4">
        <v>0</v>
      </c>
    </row>
    <row r="231" spans="1:33" ht="11.25" customHeight="1" x14ac:dyDescent="0.25">
      <c r="A231" s="3" t="s">
        <v>56</v>
      </c>
      <c r="B231" s="3" t="s">
        <v>39</v>
      </c>
      <c r="C231" s="3" t="s">
        <v>69</v>
      </c>
      <c r="D231" s="3" t="s">
        <v>25</v>
      </c>
      <c r="E231" s="3" t="s">
        <v>25</v>
      </c>
      <c r="F231" s="3" t="s">
        <v>70</v>
      </c>
      <c r="G231" s="3" t="s">
        <v>73</v>
      </c>
      <c r="H231" s="3" t="s">
        <v>25</v>
      </c>
      <c r="I231" s="6">
        <v>44621</v>
      </c>
      <c r="J231" s="4">
        <v>8200</v>
      </c>
      <c r="K231" s="4">
        <v>4100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3" t="s">
        <v>72</v>
      </c>
      <c r="R231" s="3">
        <v>29685</v>
      </c>
      <c r="S231" s="4">
        <v>10</v>
      </c>
      <c r="T231" s="4">
        <v>0</v>
      </c>
      <c r="U231" s="4">
        <v>0</v>
      </c>
      <c r="V231" s="4">
        <v>10.55</v>
      </c>
      <c r="W231" s="4">
        <v>0</v>
      </c>
      <c r="X231" s="4">
        <v>0</v>
      </c>
      <c r="Y231" s="4">
        <v>13.562679450761028</v>
      </c>
      <c r="Z231" s="4"/>
      <c r="AA231" s="4"/>
      <c r="AB231" s="4">
        <v>43255</v>
      </c>
      <c r="AC231" s="4">
        <v>0</v>
      </c>
      <c r="AD231" s="4">
        <v>0</v>
      </c>
      <c r="AE231" s="4">
        <v>55606.985748120213</v>
      </c>
      <c r="AF231" s="4">
        <v>0</v>
      </c>
      <c r="AG231" s="4">
        <v>0</v>
      </c>
    </row>
    <row r="232" spans="1:33" ht="11.25" customHeight="1" x14ac:dyDescent="0.25">
      <c r="A232" s="3" t="s">
        <v>56</v>
      </c>
      <c r="B232" s="3" t="s">
        <v>39</v>
      </c>
      <c r="C232" s="3" t="s">
        <v>69</v>
      </c>
      <c r="D232" s="3" t="s">
        <v>25</v>
      </c>
      <c r="E232" s="3" t="s">
        <v>25</v>
      </c>
      <c r="F232" s="3" t="s">
        <v>70</v>
      </c>
      <c r="G232" s="3" t="s">
        <v>75</v>
      </c>
      <c r="H232" s="3" t="s">
        <v>25</v>
      </c>
      <c r="I232" s="6">
        <v>44621</v>
      </c>
      <c r="J232" s="4">
        <v>12400</v>
      </c>
      <c r="K232" s="4">
        <v>6200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3" t="s">
        <v>72</v>
      </c>
      <c r="R232" s="3">
        <v>30396</v>
      </c>
      <c r="S232" s="4">
        <v>10</v>
      </c>
      <c r="T232" s="4">
        <v>0</v>
      </c>
      <c r="U232" s="4">
        <v>0</v>
      </c>
      <c r="V232" s="4">
        <v>10.55</v>
      </c>
      <c r="W232" s="4">
        <v>0</v>
      </c>
      <c r="X232" s="4">
        <v>0</v>
      </c>
      <c r="Y232" s="4">
        <v>13.562679450761028</v>
      </c>
      <c r="Z232" s="4"/>
      <c r="AA232" s="4"/>
      <c r="AB232" s="4">
        <v>65410.000000000007</v>
      </c>
      <c r="AC232" s="4">
        <v>0</v>
      </c>
      <c r="AD232" s="4">
        <v>0</v>
      </c>
      <c r="AE232" s="4">
        <v>84088.612594718375</v>
      </c>
      <c r="AF232" s="4">
        <v>0</v>
      </c>
      <c r="AG232" s="4">
        <v>0</v>
      </c>
    </row>
    <row r="233" spans="1:33" ht="11.25" customHeight="1" x14ac:dyDescent="0.25">
      <c r="A233" s="3" t="s">
        <v>21</v>
      </c>
      <c r="B233" s="3" t="s">
        <v>39</v>
      </c>
      <c r="C233" s="3" t="s">
        <v>69</v>
      </c>
      <c r="D233" s="3" t="s">
        <v>25</v>
      </c>
      <c r="E233" s="3" t="s">
        <v>25</v>
      </c>
      <c r="F233" s="3" t="s">
        <v>25</v>
      </c>
      <c r="G233" s="3" t="s">
        <v>74</v>
      </c>
      <c r="H233" s="3" t="s">
        <v>25</v>
      </c>
      <c r="I233" s="6">
        <v>44287</v>
      </c>
      <c r="J233" s="4">
        <v>30000</v>
      </c>
      <c r="K233" s="4">
        <v>15000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3" t="s">
        <v>72</v>
      </c>
      <c r="R233" s="3">
        <v>30296</v>
      </c>
      <c r="S233" s="4">
        <v>10</v>
      </c>
      <c r="T233" s="4">
        <v>0</v>
      </c>
      <c r="U233" s="4">
        <v>0</v>
      </c>
      <c r="V233" s="4">
        <v>10.55</v>
      </c>
      <c r="W233" s="4">
        <v>0</v>
      </c>
      <c r="X233" s="4">
        <v>0</v>
      </c>
      <c r="Y233" s="4">
        <v>13.562679450761028</v>
      </c>
      <c r="Z233" s="4"/>
      <c r="AA233" s="4"/>
      <c r="AB233" s="4">
        <v>158250</v>
      </c>
      <c r="AC233" s="4">
        <v>0</v>
      </c>
      <c r="AD233" s="4">
        <v>0</v>
      </c>
      <c r="AE233" s="4">
        <v>203440.19176141542</v>
      </c>
      <c r="AF233" s="4">
        <v>0</v>
      </c>
      <c r="AG233" s="4">
        <v>0</v>
      </c>
    </row>
    <row r="234" spans="1:33" ht="11.25" customHeight="1" x14ac:dyDescent="0.25">
      <c r="A234" s="3" t="s">
        <v>21</v>
      </c>
      <c r="B234" s="3" t="s">
        <v>39</v>
      </c>
      <c r="C234" s="3" t="s">
        <v>69</v>
      </c>
      <c r="D234" s="3" t="s">
        <v>25</v>
      </c>
      <c r="E234" s="3" t="s">
        <v>25</v>
      </c>
      <c r="F234" s="3" t="s">
        <v>25</v>
      </c>
      <c r="G234" s="3" t="s">
        <v>74</v>
      </c>
      <c r="H234" s="3" t="s">
        <v>25</v>
      </c>
      <c r="I234" s="6">
        <v>44317</v>
      </c>
      <c r="J234" s="4">
        <v>30000</v>
      </c>
      <c r="K234" s="4">
        <v>15000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3" t="s">
        <v>72</v>
      </c>
      <c r="R234" s="3">
        <v>30296</v>
      </c>
      <c r="S234" s="4">
        <v>10</v>
      </c>
      <c r="T234" s="4">
        <v>0</v>
      </c>
      <c r="U234" s="4">
        <v>0</v>
      </c>
      <c r="V234" s="4">
        <v>10.55</v>
      </c>
      <c r="W234" s="4">
        <v>0</v>
      </c>
      <c r="X234" s="4">
        <v>0</v>
      </c>
      <c r="Y234" s="4">
        <v>13.562679450761028</v>
      </c>
      <c r="Z234" s="4"/>
      <c r="AA234" s="4"/>
      <c r="AB234" s="4">
        <v>158250</v>
      </c>
      <c r="AC234" s="4">
        <v>0</v>
      </c>
      <c r="AD234" s="4">
        <v>0</v>
      </c>
      <c r="AE234" s="4">
        <v>203440.19176141542</v>
      </c>
      <c r="AF234" s="4">
        <v>0</v>
      </c>
      <c r="AG234" s="4">
        <v>0</v>
      </c>
    </row>
    <row r="235" spans="1:33" ht="11.25" customHeight="1" x14ac:dyDescent="0.25">
      <c r="A235" s="3" t="s">
        <v>21</v>
      </c>
      <c r="B235" s="3" t="s">
        <v>39</v>
      </c>
      <c r="C235" s="3" t="s">
        <v>69</v>
      </c>
      <c r="D235" s="3" t="s">
        <v>25</v>
      </c>
      <c r="E235" s="3" t="s">
        <v>25</v>
      </c>
      <c r="F235" s="3" t="s">
        <v>25</v>
      </c>
      <c r="G235" s="3" t="s">
        <v>74</v>
      </c>
      <c r="H235" s="3" t="s">
        <v>25</v>
      </c>
      <c r="I235" s="6">
        <v>44348</v>
      </c>
      <c r="J235" s="4">
        <v>30000</v>
      </c>
      <c r="K235" s="4">
        <v>15000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3" t="s">
        <v>72</v>
      </c>
      <c r="R235" s="3">
        <v>30296</v>
      </c>
      <c r="S235" s="4">
        <v>10</v>
      </c>
      <c r="T235" s="4">
        <v>0</v>
      </c>
      <c r="U235" s="4">
        <v>0</v>
      </c>
      <c r="V235" s="4">
        <v>10.55</v>
      </c>
      <c r="W235" s="4">
        <v>0</v>
      </c>
      <c r="X235" s="4">
        <v>0</v>
      </c>
      <c r="Y235" s="4">
        <v>13.562679450761028</v>
      </c>
      <c r="Z235" s="4"/>
      <c r="AA235" s="4"/>
      <c r="AB235" s="4">
        <v>158250</v>
      </c>
      <c r="AC235" s="4">
        <v>0</v>
      </c>
      <c r="AD235" s="4">
        <v>0</v>
      </c>
      <c r="AE235" s="4">
        <v>203440.19176141542</v>
      </c>
      <c r="AF235" s="4">
        <v>0</v>
      </c>
      <c r="AG235" s="4">
        <v>0</v>
      </c>
    </row>
    <row r="236" spans="1:33" ht="11.25" customHeight="1" x14ac:dyDescent="0.25">
      <c r="A236" s="3" t="s">
        <v>21</v>
      </c>
      <c r="B236" s="3" t="s">
        <v>39</v>
      </c>
      <c r="C236" s="3" t="s">
        <v>69</v>
      </c>
      <c r="D236" s="3" t="s">
        <v>25</v>
      </c>
      <c r="E236" s="3" t="s">
        <v>25</v>
      </c>
      <c r="F236" s="3" t="s">
        <v>25</v>
      </c>
      <c r="G236" s="3" t="s">
        <v>74</v>
      </c>
      <c r="H236" s="3" t="s">
        <v>25</v>
      </c>
      <c r="I236" s="6">
        <v>44378</v>
      </c>
      <c r="J236" s="4">
        <v>30000</v>
      </c>
      <c r="K236" s="4">
        <v>15000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3" t="s">
        <v>72</v>
      </c>
      <c r="R236" s="3">
        <v>30296</v>
      </c>
      <c r="S236" s="4">
        <v>10</v>
      </c>
      <c r="T236" s="4">
        <v>0</v>
      </c>
      <c r="U236" s="4">
        <v>0</v>
      </c>
      <c r="V236" s="4">
        <v>10.55</v>
      </c>
      <c r="W236" s="4">
        <v>0</v>
      </c>
      <c r="X236" s="4">
        <v>0</v>
      </c>
      <c r="Y236" s="4">
        <v>13.562679450761028</v>
      </c>
      <c r="Z236" s="4"/>
      <c r="AA236" s="4"/>
      <c r="AB236" s="4">
        <v>158250</v>
      </c>
      <c r="AC236" s="4">
        <v>0</v>
      </c>
      <c r="AD236" s="4">
        <v>0</v>
      </c>
      <c r="AE236" s="4">
        <v>203440.19176141542</v>
      </c>
      <c r="AF236" s="4">
        <v>0</v>
      </c>
      <c r="AG236" s="4">
        <v>0</v>
      </c>
    </row>
    <row r="237" spans="1:33" ht="11.25" customHeight="1" x14ac:dyDescent="0.25">
      <c r="A237" s="3" t="s">
        <v>21</v>
      </c>
      <c r="B237" s="3" t="s">
        <v>39</v>
      </c>
      <c r="C237" s="3" t="s">
        <v>69</v>
      </c>
      <c r="D237" s="3" t="s">
        <v>25</v>
      </c>
      <c r="E237" s="3" t="s">
        <v>25</v>
      </c>
      <c r="F237" s="3" t="s">
        <v>25</v>
      </c>
      <c r="G237" s="3" t="s">
        <v>74</v>
      </c>
      <c r="H237" s="3" t="s">
        <v>25</v>
      </c>
      <c r="I237" s="6">
        <v>44409</v>
      </c>
      <c r="J237" s="4">
        <v>30000</v>
      </c>
      <c r="K237" s="4">
        <v>15000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72</v>
      </c>
      <c r="R237" s="3">
        <v>30296</v>
      </c>
      <c r="S237" s="4">
        <v>10</v>
      </c>
      <c r="T237" s="4">
        <v>0</v>
      </c>
      <c r="U237" s="4">
        <v>0</v>
      </c>
      <c r="V237" s="4">
        <v>10.55</v>
      </c>
      <c r="W237" s="4">
        <v>0</v>
      </c>
      <c r="X237" s="4">
        <v>0</v>
      </c>
      <c r="Y237" s="4">
        <v>13.562679450761028</v>
      </c>
      <c r="Z237" s="4"/>
      <c r="AA237" s="4"/>
      <c r="AB237" s="4">
        <v>158250</v>
      </c>
      <c r="AC237" s="4">
        <v>0</v>
      </c>
      <c r="AD237" s="4">
        <v>0</v>
      </c>
      <c r="AE237" s="4">
        <v>203440.19176141542</v>
      </c>
      <c r="AF237" s="4">
        <v>0</v>
      </c>
      <c r="AG237" s="4">
        <v>0</v>
      </c>
    </row>
    <row r="238" spans="1:33" ht="11.25" customHeight="1" x14ac:dyDescent="0.25">
      <c r="A238" s="3" t="s">
        <v>21</v>
      </c>
      <c r="B238" s="3" t="s">
        <v>39</v>
      </c>
      <c r="C238" s="3" t="s">
        <v>69</v>
      </c>
      <c r="D238" s="3" t="s">
        <v>25</v>
      </c>
      <c r="E238" s="3" t="s">
        <v>25</v>
      </c>
      <c r="F238" s="3" t="s">
        <v>25</v>
      </c>
      <c r="G238" s="3" t="s">
        <v>74</v>
      </c>
      <c r="H238" s="3" t="s">
        <v>25</v>
      </c>
      <c r="I238" s="6">
        <v>44440</v>
      </c>
      <c r="J238" s="4">
        <v>30000</v>
      </c>
      <c r="K238" s="4">
        <v>15000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3" t="s">
        <v>72</v>
      </c>
      <c r="R238" s="3">
        <v>30296</v>
      </c>
      <c r="S238" s="4">
        <v>10</v>
      </c>
      <c r="T238" s="4">
        <v>0</v>
      </c>
      <c r="U238" s="4">
        <v>0</v>
      </c>
      <c r="V238" s="4">
        <v>10.55</v>
      </c>
      <c r="W238" s="4">
        <v>0</v>
      </c>
      <c r="X238" s="4">
        <v>0</v>
      </c>
      <c r="Y238" s="4">
        <v>13.562679450761028</v>
      </c>
      <c r="Z238" s="4"/>
      <c r="AA238" s="4"/>
      <c r="AB238" s="4">
        <v>158250</v>
      </c>
      <c r="AC238" s="4">
        <v>0</v>
      </c>
      <c r="AD238" s="4">
        <v>0</v>
      </c>
      <c r="AE238" s="4">
        <v>203440.19176141542</v>
      </c>
      <c r="AF238" s="4">
        <v>0</v>
      </c>
      <c r="AG238" s="4">
        <v>0</v>
      </c>
    </row>
    <row r="239" spans="1:33" ht="11.25" customHeight="1" x14ac:dyDescent="0.25">
      <c r="A239" s="3" t="s">
        <v>21</v>
      </c>
      <c r="B239" s="3" t="s">
        <v>39</v>
      </c>
      <c r="C239" s="3" t="s">
        <v>69</v>
      </c>
      <c r="D239" s="3" t="s">
        <v>25</v>
      </c>
      <c r="E239" s="3" t="s">
        <v>25</v>
      </c>
      <c r="F239" s="3" t="s">
        <v>25</v>
      </c>
      <c r="G239" s="3" t="s">
        <v>74</v>
      </c>
      <c r="H239" s="3" t="s">
        <v>25</v>
      </c>
      <c r="I239" s="6">
        <v>44470</v>
      </c>
      <c r="J239" s="4">
        <v>30000</v>
      </c>
      <c r="K239" s="4">
        <v>15000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3" t="s">
        <v>72</v>
      </c>
      <c r="R239" s="3">
        <v>30296</v>
      </c>
      <c r="S239" s="4">
        <v>10</v>
      </c>
      <c r="T239" s="4">
        <v>0</v>
      </c>
      <c r="U239" s="4">
        <v>0</v>
      </c>
      <c r="V239" s="4">
        <v>10.55</v>
      </c>
      <c r="W239" s="4">
        <v>0</v>
      </c>
      <c r="X239" s="4">
        <v>0</v>
      </c>
      <c r="Y239" s="4">
        <v>13.562679450761028</v>
      </c>
      <c r="Z239" s="4"/>
      <c r="AA239" s="4"/>
      <c r="AB239" s="4">
        <v>158250</v>
      </c>
      <c r="AC239" s="4">
        <v>0</v>
      </c>
      <c r="AD239" s="4">
        <v>0</v>
      </c>
      <c r="AE239" s="4">
        <v>203440.19176141542</v>
      </c>
      <c r="AF239" s="4">
        <v>0</v>
      </c>
      <c r="AG239" s="4">
        <v>0</v>
      </c>
    </row>
    <row r="240" spans="1:33" ht="11.25" customHeight="1" x14ac:dyDescent="0.25">
      <c r="A240" s="3" t="s">
        <v>21</v>
      </c>
      <c r="B240" s="3" t="s">
        <v>39</v>
      </c>
      <c r="C240" s="3" t="s">
        <v>69</v>
      </c>
      <c r="D240" s="3" t="s">
        <v>25</v>
      </c>
      <c r="E240" s="3" t="s">
        <v>25</v>
      </c>
      <c r="F240" s="3" t="s">
        <v>25</v>
      </c>
      <c r="G240" s="3" t="s">
        <v>74</v>
      </c>
      <c r="H240" s="3" t="s">
        <v>25</v>
      </c>
      <c r="I240" s="6">
        <v>44501</v>
      </c>
      <c r="J240" s="4">
        <v>30000</v>
      </c>
      <c r="K240" s="4">
        <v>15000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3" t="s">
        <v>72</v>
      </c>
      <c r="R240" s="3">
        <v>30296</v>
      </c>
      <c r="S240" s="4">
        <v>10</v>
      </c>
      <c r="T240" s="4">
        <v>0</v>
      </c>
      <c r="U240" s="4">
        <v>0</v>
      </c>
      <c r="V240" s="4">
        <v>10.55</v>
      </c>
      <c r="W240" s="4">
        <v>0</v>
      </c>
      <c r="X240" s="4">
        <v>0</v>
      </c>
      <c r="Y240" s="4">
        <v>13.562679450761028</v>
      </c>
      <c r="Z240" s="4"/>
      <c r="AA240" s="4"/>
      <c r="AB240" s="4">
        <v>158250</v>
      </c>
      <c r="AC240" s="4">
        <v>0</v>
      </c>
      <c r="AD240" s="4">
        <v>0</v>
      </c>
      <c r="AE240" s="4">
        <v>203440.19176141542</v>
      </c>
      <c r="AF240" s="4">
        <v>0</v>
      </c>
      <c r="AG240" s="4">
        <v>0</v>
      </c>
    </row>
    <row r="241" spans="1:33" ht="11.25" customHeight="1" x14ac:dyDescent="0.25">
      <c r="A241" s="3" t="s">
        <v>21</v>
      </c>
      <c r="B241" s="3" t="s">
        <v>39</v>
      </c>
      <c r="C241" s="3" t="s">
        <v>69</v>
      </c>
      <c r="D241" s="3" t="s">
        <v>25</v>
      </c>
      <c r="E241" s="3" t="s">
        <v>25</v>
      </c>
      <c r="F241" s="3" t="s">
        <v>25</v>
      </c>
      <c r="G241" s="3" t="s">
        <v>74</v>
      </c>
      <c r="H241" s="3" t="s">
        <v>25</v>
      </c>
      <c r="I241" s="6">
        <v>44531</v>
      </c>
      <c r="J241" s="4">
        <v>30000</v>
      </c>
      <c r="K241" s="4">
        <v>15000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72</v>
      </c>
      <c r="R241" s="3">
        <v>30296</v>
      </c>
      <c r="S241" s="4">
        <v>10</v>
      </c>
      <c r="T241" s="4">
        <v>0</v>
      </c>
      <c r="U241" s="4">
        <v>0</v>
      </c>
      <c r="V241" s="4">
        <v>10.55</v>
      </c>
      <c r="W241" s="4">
        <v>0</v>
      </c>
      <c r="X241" s="4">
        <v>0</v>
      </c>
      <c r="Y241" s="4">
        <v>13.562679450761028</v>
      </c>
      <c r="Z241" s="4"/>
      <c r="AA241" s="4"/>
      <c r="AB241" s="4">
        <v>158250</v>
      </c>
      <c r="AC241" s="4">
        <v>0</v>
      </c>
      <c r="AD241" s="4">
        <v>0</v>
      </c>
      <c r="AE241" s="4">
        <v>203440.19176141542</v>
      </c>
      <c r="AF241" s="4">
        <v>0</v>
      </c>
      <c r="AG241" s="4">
        <v>0</v>
      </c>
    </row>
    <row r="242" spans="1:33" ht="11.25" customHeight="1" x14ac:dyDescent="0.25">
      <c r="A242" s="3" t="s">
        <v>21</v>
      </c>
      <c r="B242" s="3" t="s">
        <v>39</v>
      </c>
      <c r="C242" s="3" t="s">
        <v>69</v>
      </c>
      <c r="D242" s="3" t="s">
        <v>25</v>
      </c>
      <c r="E242" s="3" t="s">
        <v>25</v>
      </c>
      <c r="F242" s="3" t="s">
        <v>25</v>
      </c>
      <c r="G242" s="3" t="s">
        <v>74</v>
      </c>
      <c r="H242" s="3" t="s">
        <v>25</v>
      </c>
      <c r="I242" s="6">
        <v>44562</v>
      </c>
      <c r="J242" s="4">
        <v>30000</v>
      </c>
      <c r="K242" s="4">
        <v>15000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3" t="s">
        <v>72</v>
      </c>
      <c r="R242" s="3">
        <v>30296</v>
      </c>
      <c r="S242" s="4">
        <v>10</v>
      </c>
      <c r="T242" s="4">
        <v>0</v>
      </c>
      <c r="U242" s="4">
        <v>0</v>
      </c>
      <c r="V242" s="4">
        <v>10.55</v>
      </c>
      <c r="W242" s="4">
        <v>0</v>
      </c>
      <c r="X242" s="4">
        <v>0</v>
      </c>
      <c r="Y242" s="4">
        <v>13.562679450761028</v>
      </c>
      <c r="Z242" s="4"/>
      <c r="AA242" s="4"/>
      <c r="AB242" s="4">
        <v>158250</v>
      </c>
      <c r="AC242" s="4">
        <v>0</v>
      </c>
      <c r="AD242" s="4">
        <v>0</v>
      </c>
      <c r="AE242" s="4">
        <v>203440.19176141542</v>
      </c>
      <c r="AF242" s="4">
        <v>0</v>
      </c>
      <c r="AG242" s="4">
        <v>0</v>
      </c>
    </row>
    <row r="243" spans="1:33" ht="11.25" customHeight="1" x14ac:dyDescent="0.25">
      <c r="A243" s="3" t="s">
        <v>21</v>
      </c>
      <c r="B243" s="3" t="s">
        <v>39</v>
      </c>
      <c r="C243" s="3" t="s">
        <v>69</v>
      </c>
      <c r="D243" s="3" t="s">
        <v>25</v>
      </c>
      <c r="E243" s="3" t="s">
        <v>25</v>
      </c>
      <c r="F243" s="3" t="s">
        <v>25</v>
      </c>
      <c r="G243" s="3" t="s">
        <v>74</v>
      </c>
      <c r="H243" s="3" t="s">
        <v>25</v>
      </c>
      <c r="I243" s="6">
        <v>44593</v>
      </c>
      <c r="J243" s="4">
        <v>30000</v>
      </c>
      <c r="K243" s="4">
        <v>15000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 t="s">
        <v>72</v>
      </c>
      <c r="R243" s="3">
        <v>30296</v>
      </c>
      <c r="S243" s="4">
        <v>10</v>
      </c>
      <c r="T243" s="4">
        <v>0</v>
      </c>
      <c r="U243" s="4">
        <v>0</v>
      </c>
      <c r="V243" s="4">
        <v>10.55</v>
      </c>
      <c r="W243" s="4">
        <v>0</v>
      </c>
      <c r="X243" s="4">
        <v>0</v>
      </c>
      <c r="Y243" s="4">
        <v>13.562679450761028</v>
      </c>
      <c r="Z243" s="4"/>
      <c r="AA243" s="4"/>
      <c r="AB243" s="4">
        <v>158250</v>
      </c>
      <c r="AC243" s="4">
        <v>0</v>
      </c>
      <c r="AD243" s="4">
        <v>0</v>
      </c>
      <c r="AE243" s="4">
        <v>203440.19176141542</v>
      </c>
      <c r="AF243" s="4">
        <v>0</v>
      </c>
      <c r="AG243" s="4">
        <v>0</v>
      </c>
    </row>
    <row r="244" spans="1:33" ht="11.25" customHeight="1" x14ac:dyDescent="0.25">
      <c r="A244" s="3" t="s">
        <v>56</v>
      </c>
      <c r="B244" s="3" t="s">
        <v>39</v>
      </c>
      <c r="C244" s="3" t="s">
        <v>69</v>
      </c>
      <c r="D244" s="3" t="s">
        <v>25</v>
      </c>
      <c r="E244" s="3" t="s">
        <v>25</v>
      </c>
      <c r="F244" s="3" t="s">
        <v>25</v>
      </c>
      <c r="G244" s="3" t="s">
        <v>74</v>
      </c>
      <c r="H244" s="3" t="s">
        <v>25</v>
      </c>
      <c r="I244" s="6">
        <v>44621</v>
      </c>
      <c r="J244" s="4">
        <v>30000</v>
      </c>
      <c r="K244" s="4">
        <v>15000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3" t="s">
        <v>72</v>
      </c>
      <c r="R244" s="3">
        <v>30296</v>
      </c>
      <c r="S244" s="4">
        <v>10</v>
      </c>
      <c r="T244" s="4">
        <v>0</v>
      </c>
      <c r="U244" s="4">
        <v>0</v>
      </c>
      <c r="V244" s="4">
        <v>10.55</v>
      </c>
      <c r="W244" s="4">
        <v>0</v>
      </c>
      <c r="X244" s="4">
        <v>0</v>
      </c>
      <c r="Y244" s="4">
        <v>13.562679450761028</v>
      </c>
      <c r="Z244" s="4"/>
      <c r="AA244" s="4"/>
      <c r="AB244" s="4">
        <v>158250</v>
      </c>
      <c r="AC244" s="4">
        <v>0</v>
      </c>
      <c r="AD244" s="4">
        <v>0</v>
      </c>
      <c r="AE244" s="4">
        <v>203440.19176141542</v>
      </c>
      <c r="AF244" s="4">
        <v>0</v>
      </c>
      <c r="AG244" s="4">
        <v>0</v>
      </c>
    </row>
    <row r="245" spans="1:33" ht="11.25" customHeight="1" x14ac:dyDescent="0.25">
      <c r="A245" s="3" t="s">
        <v>21</v>
      </c>
      <c r="B245" s="3" t="s">
        <v>41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35</v>
      </c>
      <c r="I245" s="6">
        <v>44287</v>
      </c>
      <c r="J245" s="4">
        <v>8153</v>
      </c>
      <c r="K245" s="4">
        <v>8153</v>
      </c>
      <c r="L245" s="4">
        <v>2542.1590000000001</v>
      </c>
      <c r="M245" s="4">
        <v>2542.1590000000001</v>
      </c>
      <c r="N245" s="4">
        <v>2542.1590000000001</v>
      </c>
      <c r="O245" s="4">
        <v>2542.1590000000001</v>
      </c>
      <c r="P245" s="4">
        <v>0</v>
      </c>
      <c r="Q245" s="3" t="s">
        <v>26</v>
      </c>
      <c r="R245" s="3">
        <v>0</v>
      </c>
      <c r="S245" s="4">
        <v>12</v>
      </c>
      <c r="T245" s="4">
        <v>110</v>
      </c>
      <c r="U245" s="4">
        <v>89</v>
      </c>
      <c r="V245" s="4">
        <v>24.31</v>
      </c>
      <c r="W245" s="4">
        <v>51.27</v>
      </c>
      <c r="X245" s="4">
        <v>222.31</v>
      </c>
      <c r="Y245" s="4">
        <v>27.784764762164471</v>
      </c>
      <c r="Z245" s="4">
        <v>68.100184485116927</v>
      </c>
      <c r="AA245" s="4">
        <v>235.31351552243123</v>
      </c>
      <c r="AB245" s="4">
        <v>198199.43</v>
      </c>
      <c r="AC245" s="4">
        <v>130336.49193000002</v>
      </c>
      <c r="AD245" s="4">
        <v>565147.36729000008</v>
      </c>
      <c r="AE245" s="4">
        <v>226529.18710592695</v>
      </c>
      <c r="AF245" s="4">
        <v>173121.49689050036</v>
      </c>
      <c r="AG245" s="4">
        <v>598204.37130698829</v>
      </c>
    </row>
    <row r="246" spans="1:33" ht="11.25" customHeight="1" x14ac:dyDescent="0.25">
      <c r="A246" s="3" t="s">
        <v>28</v>
      </c>
      <c r="B246" s="3" t="s">
        <v>41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35</v>
      </c>
      <c r="I246" s="6">
        <v>44287</v>
      </c>
      <c r="J246" s="4">
        <v>300</v>
      </c>
      <c r="K246" s="4">
        <v>300</v>
      </c>
      <c r="L246" s="4">
        <v>70.069999999999993</v>
      </c>
      <c r="M246" s="4">
        <v>70.069999999999993</v>
      </c>
      <c r="N246" s="4">
        <v>70.069999999999993</v>
      </c>
      <c r="O246" s="4">
        <v>70.069999999999993</v>
      </c>
      <c r="P246" s="4">
        <v>0</v>
      </c>
      <c r="Q246" s="3" t="s">
        <v>26</v>
      </c>
      <c r="R246" s="3">
        <v>0</v>
      </c>
      <c r="S246" s="4">
        <v>12</v>
      </c>
      <c r="T246" s="4">
        <v>110</v>
      </c>
      <c r="U246" s="4">
        <v>89</v>
      </c>
      <c r="V246" s="4">
        <v>24.31</v>
      </c>
      <c r="W246" s="4">
        <v>51.27</v>
      </c>
      <c r="X246" s="4">
        <v>222.31</v>
      </c>
      <c r="Y246" s="4">
        <v>27.784764762164471</v>
      </c>
      <c r="Z246" s="4">
        <v>68.100184485116927</v>
      </c>
      <c r="AA246" s="4">
        <v>235.31351552243123</v>
      </c>
      <c r="AB246" s="4">
        <v>7293</v>
      </c>
      <c r="AC246" s="4">
        <v>3592.4888999999998</v>
      </c>
      <c r="AD246" s="4">
        <v>15577.261699999999</v>
      </c>
      <c r="AE246" s="4">
        <v>8335.4294286493405</v>
      </c>
      <c r="AF246" s="4">
        <v>4771.7799268721428</v>
      </c>
      <c r="AG246" s="4">
        <v>16488.418032656755</v>
      </c>
    </row>
    <row r="247" spans="1:33" ht="11.25" customHeight="1" x14ac:dyDescent="0.25">
      <c r="A247" s="3" t="s">
        <v>21</v>
      </c>
      <c r="B247" s="3" t="s">
        <v>41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35</v>
      </c>
      <c r="I247" s="6">
        <v>44317</v>
      </c>
      <c r="J247" s="4">
        <v>8480</v>
      </c>
      <c r="K247" s="4">
        <v>8480</v>
      </c>
      <c r="L247" s="4">
        <v>2543.1790000000001</v>
      </c>
      <c r="M247" s="4">
        <v>2543.1790000000001</v>
      </c>
      <c r="N247" s="4">
        <v>2543.1790000000001</v>
      </c>
      <c r="O247" s="4">
        <v>2543.1790000000001</v>
      </c>
      <c r="P247" s="4">
        <v>0</v>
      </c>
      <c r="Q247" s="3" t="s">
        <v>26</v>
      </c>
      <c r="R247" s="3">
        <v>0</v>
      </c>
      <c r="S247" s="4">
        <v>12</v>
      </c>
      <c r="T247" s="4">
        <v>110</v>
      </c>
      <c r="U247" s="4">
        <v>89</v>
      </c>
      <c r="V247" s="4">
        <v>24.31</v>
      </c>
      <c r="W247" s="4">
        <v>51.27</v>
      </c>
      <c r="X247" s="4">
        <v>222.31</v>
      </c>
      <c r="Y247" s="4">
        <v>27.784764762164471</v>
      </c>
      <c r="Z247" s="4">
        <v>68.100184485116927</v>
      </c>
      <c r="AA247" s="4">
        <v>235.31351552243123</v>
      </c>
      <c r="AB247" s="4">
        <v>206148.8</v>
      </c>
      <c r="AC247" s="4">
        <v>130388.78733000001</v>
      </c>
      <c r="AD247" s="4">
        <v>565374.12349000003</v>
      </c>
      <c r="AE247" s="4">
        <v>235614.80518315471</v>
      </c>
      <c r="AF247" s="4">
        <v>173190.95907867519</v>
      </c>
      <c r="AG247" s="4">
        <v>598444.39109282114</v>
      </c>
    </row>
    <row r="248" spans="1:33" ht="11.25" customHeight="1" x14ac:dyDescent="0.25">
      <c r="A248" s="3" t="s">
        <v>28</v>
      </c>
      <c r="B248" s="3" t="s">
        <v>41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35</v>
      </c>
      <c r="I248" s="6">
        <v>44317</v>
      </c>
      <c r="J248" s="4">
        <v>300</v>
      </c>
      <c r="K248" s="4">
        <v>300</v>
      </c>
      <c r="L248" s="4">
        <v>69.510000000000005</v>
      </c>
      <c r="M248" s="4">
        <v>69.510000000000005</v>
      </c>
      <c r="N248" s="4">
        <v>69.510000000000005</v>
      </c>
      <c r="O248" s="4">
        <v>69.510000000000005</v>
      </c>
      <c r="P248" s="4">
        <v>0</v>
      </c>
      <c r="Q248" s="3" t="s">
        <v>26</v>
      </c>
      <c r="R248" s="3">
        <v>0</v>
      </c>
      <c r="S248" s="4">
        <v>12</v>
      </c>
      <c r="T248" s="4">
        <v>110</v>
      </c>
      <c r="U248" s="4">
        <v>89</v>
      </c>
      <c r="V248" s="4">
        <v>24.31</v>
      </c>
      <c r="W248" s="4">
        <v>51.27</v>
      </c>
      <c r="X248" s="4">
        <v>222.31</v>
      </c>
      <c r="Y248" s="4">
        <v>27.784764762164471</v>
      </c>
      <c r="Z248" s="4">
        <v>68.100184485116927</v>
      </c>
      <c r="AA248" s="4">
        <v>235.31351552243123</v>
      </c>
      <c r="AB248" s="4">
        <v>7293</v>
      </c>
      <c r="AC248" s="4">
        <v>3563.7777000000006</v>
      </c>
      <c r="AD248" s="4">
        <v>15452.768100000001</v>
      </c>
      <c r="AE248" s="4">
        <v>8335.4294286493405</v>
      </c>
      <c r="AF248" s="4">
        <v>4733.6438235604783</v>
      </c>
      <c r="AG248" s="4">
        <v>16356.642463964195</v>
      </c>
    </row>
    <row r="249" spans="1:33" ht="11.25" customHeight="1" x14ac:dyDescent="0.25">
      <c r="A249" s="3" t="s">
        <v>21</v>
      </c>
      <c r="B249" s="3" t="s">
        <v>41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35</v>
      </c>
      <c r="I249" s="6">
        <v>44348</v>
      </c>
      <c r="J249" s="4">
        <v>8678</v>
      </c>
      <c r="K249" s="4">
        <v>8678</v>
      </c>
      <c r="L249" s="4">
        <v>2229.0329999999999</v>
      </c>
      <c r="M249" s="4">
        <v>2229.0329999999999</v>
      </c>
      <c r="N249" s="4">
        <v>2229.0329999999999</v>
      </c>
      <c r="O249" s="4">
        <v>2229.0329999999999</v>
      </c>
      <c r="P249" s="4">
        <v>0</v>
      </c>
      <c r="Q249" s="3" t="s">
        <v>26</v>
      </c>
      <c r="R249" s="3">
        <v>0</v>
      </c>
      <c r="S249" s="4">
        <v>12</v>
      </c>
      <c r="T249" s="4">
        <v>110</v>
      </c>
      <c r="U249" s="4">
        <v>89</v>
      </c>
      <c r="V249" s="4">
        <v>24.31</v>
      </c>
      <c r="W249" s="4">
        <v>51.27</v>
      </c>
      <c r="X249" s="4">
        <v>222.31</v>
      </c>
      <c r="Y249" s="4">
        <v>27.784764762164471</v>
      </c>
      <c r="Z249" s="4">
        <v>68.100184485116927</v>
      </c>
      <c r="AA249" s="4">
        <v>235.31351552243123</v>
      </c>
      <c r="AB249" s="4">
        <v>210962.18</v>
      </c>
      <c r="AC249" s="4">
        <v>114282.52191</v>
      </c>
      <c r="AD249" s="4">
        <v>495536.32623000001</v>
      </c>
      <c r="AE249" s="4">
        <v>241116.18860606328</v>
      </c>
      <c r="AF249" s="4">
        <v>151797.55852341364</v>
      </c>
      <c r="AG249" s="4">
        <v>524521.59144551144</v>
      </c>
    </row>
    <row r="250" spans="1:33" ht="11.25" customHeight="1" x14ac:dyDescent="0.25">
      <c r="A250" s="3" t="s">
        <v>28</v>
      </c>
      <c r="B250" s="3" t="s">
        <v>41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35</v>
      </c>
      <c r="I250" s="6">
        <v>44348</v>
      </c>
      <c r="J250" s="4">
        <v>270</v>
      </c>
      <c r="K250" s="4">
        <v>270</v>
      </c>
      <c r="L250" s="4">
        <v>60.48</v>
      </c>
      <c r="M250" s="4">
        <v>60.48</v>
      </c>
      <c r="N250" s="4">
        <v>60.48</v>
      </c>
      <c r="O250" s="4">
        <v>60.48</v>
      </c>
      <c r="P250" s="4">
        <v>0</v>
      </c>
      <c r="Q250" s="3" t="s">
        <v>26</v>
      </c>
      <c r="R250" s="3">
        <v>0</v>
      </c>
      <c r="S250" s="4">
        <v>12</v>
      </c>
      <c r="T250" s="4">
        <v>110</v>
      </c>
      <c r="U250" s="4">
        <v>89</v>
      </c>
      <c r="V250" s="4">
        <v>24.31</v>
      </c>
      <c r="W250" s="4">
        <v>51.27</v>
      </c>
      <c r="X250" s="4">
        <v>222.31</v>
      </c>
      <c r="Y250" s="4">
        <v>27.784764762164471</v>
      </c>
      <c r="Z250" s="4">
        <v>68.100184485116927</v>
      </c>
      <c r="AA250" s="4">
        <v>235.31351552243123</v>
      </c>
      <c r="AB250" s="4">
        <v>6563.7</v>
      </c>
      <c r="AC250" s="4">
        <v>3100.8096</v>
      </c>
      <c r="AD250" s="4">
        <v>13445.308799999999</v>
      </c>
      <c r="AE250" s="4">
        <v>7501.8864857844073</v>
      </c>
      <c r="AF250" s="4">
        <v>4118.6991576598712</v>
      </c>
      <c r="AG250" s="4">
        <v>14231.761418796641</v>
      </c>
    </row>
    <row r="251" spans="1:33" ht="11.25" customHeight="1" x14ac:dyDescent="0.25">
      <c r="A251" s="3" t="s">
        <v>21</v>
      </c>
      <c r="B251" s="3" t="s">
        <v>41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35</v>
      </c>
      <c r="I251" s="6">
        <v>44378</v>
      </c>
      <c r="J251" s="4">
        <v>8020</v>
      </c>
      <c r="K251" s="4">
        <v>8020</v>
      </c>
      <c r="L251" s="4">
        <v>2193.9050000000002</v>
      </c>
      <c r="M251" s="4">
        <v>2193.9050000000002</v>
      </c>
      <c r="N251" s="4">
        <v>2193.9050000000002</v>
      </c>
      <c r="O251" s="4">
        <v>2193.9050000000002</v>
      </c>
      <c r="P251" s="4">
        <v>0</v>
      </c>
      <c r="Q251" s="3" t="s">
        <v>26</v>
      </c>
      <c r="R251" s="3">
        <v>0</v>
      </c>
      <c r="S251" s="4">
        <v>12</v>
      </c>
      <c r="T251" s="4">
        <v>110</v>
      </c>
      <c r="U251" s="4">
        <v>89</v>
      </c>
      <c r="V251" s="4">
        <v>24.31</v>
      </c>
      <c r="W251" s="4">
        <v>51.27</v>
      </c>
      <c r="X251" s="4">
        <v>222.31</v>
      </c>
      <c r="Y251" s="4">
        <v>27.784764762164471</v>
      </c>
      <c r="Z251" s="4">
        <v>68.100184485116927</v>
      </c>
      <c r="AA251" s="4">
        <v>235.31351552243123</v>
      </c>
      <c r="AB251" s="4">
        <v>194966.19999999998</v>
      </c>
      <c r="AC251" s="4">
        <v>112481.50935000002</v>
      </c>
      <c r="AD251" s="4">
        <v>487727.02055000007</v>
      </c>
      <c r="AE251" s="4">
        <v>222833.81339255907</v>
      </c>
      <c r="AF251" s="4">
        <v>149405.33524282047</v>
      </c>
      <c r="AG251" s="4">
        <v>516255.49827223952</v>
      </c>
    </row>
    <row r="252" spans="1:33" ht="11.25" customHeight="1" x14ac:dyDescent="0.25">
      <c r="A252" s="3" t="s">
        <v>27</v>
      </c>
      <c r="B252" s="3" t="s">
        <v>41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35</v>
      </c>
      <c r="I252" s="6">
        <v>44378</v>
      </c>
      <c r="J252" s="4">
        <v>-209</v>
      </c>
      <c r="K252" s="4">
        <v>-209</v>
      </c>
      <c r="L252" s="4">
        <v>75.561999999999998</v>
      </c>
      <c r="M252" s="4">
        <v>75.561999999999998</v>
      </c>
      <c r="N252" s="4">
        <v>75.561999999999998</v>
      </c>
      <c r="O252" s="4">
        <v>75.561999999999998</v>
      </c>
      <c r="P252" s="4">
        <v>0</v>
      </c>
      <c r="Q252" s="3" t="s">
        <v>26</v>
      </c>
      <c r="R252" s="3">
        <v>0</v>
      </c>
      <c r="S252" s="4">
        <v>12</v>
      </c>
      <c r="T252" s="4">
        <v>110</v>
      </c>
      <c r="U252" s="4">
        <v>89</v>
      </c>
      <c r="V252" s="4">
        <v>24.31</v>
      </c>
      <c r="W252" s="4">
        <v>51.27</v>
      </c>
      <c r="X252" s="4">
        <v>222.31</v>
      </c>
      <c r="Y252" s="4">
        <v>27.784764762164471</v>
      </c>
      <c r="Z252" s="4">
        <v>68.100184485116927</v>
      </c>
      <c r="AA252" s="4">
        <v>235.31351552243123</v>
      </c>
      <c r="AB252" s="4">
        <v>-5080.79</v>
      </c>
      <c r="AC252" s="4">
        <v>3874.0637400000001</v>
      </c>
      <c r="AD252" s="4">
        <v>16798.18822</v>
      </c>
      <c r="AE252" s="4">
        <v>-5807.0158352923745</v>
      </c>
      <c r="AF252" s="4">
        <v>5145.7861400644051</v>
      </c>
      <c r="AG252" s="4">
        <v>17780.759859905949</v>
      </c>
    </row>
    <row r="253" spans="1:33" ht="11.25" customHeight="1" x14ac:dyDescent="0.25">
      <c r="A253" s="3" t="s">
        <v>28</v>
      </c>
      <c r="B253" s="3" t="s">
        <v>41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35</v>
      </c>
      <c r="I253" s="6">
        <v>44378</v>
      </c>
      <c r="J253" s="4">
        <v>270</v>
      </c>
      <c r="K253" s="4">
        <v>270</v>
      </c>
      <c r="L253" s="4">
        <v>62.58</v>
      </c>
      <c r="M253" s="4">
        <v>62.58</v>
      </c>
      <c r="N253" s="4">
        <v>62.58</v>
      </c>
      <c r="O253" s="4">
        <v>62.58</v>
      </c>
      <c r="P253" s="4">
        <v>0</v>
      </c>
      <c r="Q253" s="3" t="s">
        <v>26</v>
      </c>
      <c r="R253" s="3">
        <v>0</v>
      </c>
      <c r="S253" s="4">
        <v>12</v>
      </c>
      <c r="T253" s="4">
        <v>110</v>
      </c>
      <c r="U253" s="4">
        <v>89</v>
      </c>
      <c r="V253" s="4">
        <v>24.31</v>
      </c>
      <c r="W253" s="4">
        <v>51.27</v>
      </c>
      <c r="X253" s="4">
        <v>222.31</v>
      </c>
      <c r="Y253" s="4">
        <v>27.784764762164471</v>
      </c>
      <c r="Z253" s="4">
        <v>68.100184485116927</v>
      </c>
      <c r="AA253" s="4">
        <v>235.31351552243123</v>
      </c>
      <c r="AB253" s="4">
        <v>6563.7</v>
      </c>
      <c r="AC253" s="4">
        <v>3208.4766</v>
      </c>
      <c r="AD253" s="4">
        <v>13912.159799999999</v>
      </c>
      <c r="AE253" s="4">
        <v>7501.8864857844073</v>
      </c>
      <c r="AF253" s="4">
        <v>4261.7095450786173</v>
      </c>
      <c r="AG253" s="4">
        <v>14725.919801393746</v>
      </c>
    </row>
    <row r="254" spans="1:33" ht="11.25" customHeight="1" x14ac:dyDescent="0.25">
      <c r="A254" s="3" t="s">
        <v>21</v>
      </c>
      <c r="B254" s="3" t="s">
        <v>41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35</v>
      </c>
      <c r="I254" s="6">
        <v>44409</v>
      </c>
      <c r="J254" s="4">
        <v>7796</v>
      </c>
      <c r="K254" s="4">
        <v>7796</v>
      </c>
      <c r="L254" s="4">
        <v>2182.826</v>
      </c>
      <c r="M254" s="4">
        <v>2182.826</v>
      </c>
      <c r="N254" s="4">
        <v>2182.826</v>
      </c>
      <c r="O254" s="4">
        <v>2182.826</v>
      </c>
      <c r="P254" s="4">
        <v>0</v>
      </c>
      <c r="Q254" s="3" t="s">
        <v>26</v>
      </c>
      <c r="R254" s="3">
        <v>0</v>
      </c>
      <c r="S254" s="4">
        <v>12</v>
      </c>
      <c r="T254" s="4">
        <v>110</v>
      </c>
      <c r="U254" s="4">
        <v>89</v>
      </c>
      <c r="V254" s="4">
        <v>24.31</v>
      </c>
      <c r="W254" s="4">
        <v>51.27</v>
      </c>
      <c r="X254" s="4">
        <v>222.31</v>
      </c>
      <c r="Y254" s="4">
        <v>27.784764762164471</v>
      </c>
      <c r="Z254" s="4">
        <v>68.100184485116927</v>
      </c>
      <c r="AA254" s="4">
        <v>235.31351552243123</v>
      </c>
      <c r="AB254" s="4">
        <v>189520.75999999998</v>
      </c>
      <c r="AC254" s="4">
        <v>111913.48902000001</v>
      </c>
      <c r="AD254" s="4">
        <v>485264.04806</v>
      </c>
      <c r="AE254" s="4">
        <v>216610.02608583422</v>
      </c>
      <c r="AF254" s="4">
        <v>148650.85329890985</v>
      </c>
      <c r="AG254" s="4">
        <v>513648.45983376651</v>
      </c>
    </row>
    <row r="255" spans="1:33" ht="11.25" customHeight="1" x14ac:dyDescent="0.25">
      <c r="A255" s="3" t="s">
        <v>27</v>
      </c>
      <c r="B255" s="3" t="s">
        <v>41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35</v>
      </c>
      <c r="I255" s="6">
        <v>44409</v>
      </c>
      <c r="J255" s="4">
        <v>0</v>
      </c>
      <c r="K255" s="4">
        <v>0</v>
      </c>
      <c r="L255" s="4">
        <v>-5.0519999999999996</v>
      </c>
      <c r="M255" s="4">
        <v>-5.0519999999999996</v>
      </c>
      <c r="N255" s="4">
        <v>-5.0519999999999996</v>
      </c>
      <c r="O255" s="4">
        <v>-5.0519999999999996</v>
      </c>
      <c r="P255" s="4">
        <v>0</v>
      </c>
      <c r="Q255" s="3" t="s">
        <v>26</v>
      </c>
      <c r="R255" s="3">
        <v>0</v>
      </c>
      <c r="S255" s="4">
        <v>0</v>
      </c>
      <c r="T255" s="4">
        <v>110</v>
      </c>
      <c r="U255" s="4">
        <v>89</v>
      </c>
      <c r="V255" s="4">
        <v>0</v>
      </c>
      <c r="W255" s="4">
        <v>51.27</v>
      </c>
      <c r="X255" s="4">
        <v>222.31</v>
      </c>
      <c r="Y255" s="4">
        <v>27.784764762164471</v>
      </c>
      <c r="Z255" s="4">
        <v>68.100184485116927</v>
      </c>
      <c r="AA255" s="4">
        <v>235.31351552243123</v>
      </c>
      <c r="AB255" s="4">
        <v>0</v>
      </c>
      <c r="AC255" s="4">
        <v>-259.01603999999998</v>
      </c>
      <c r="AD255" s="4">
        <v>-1123.1101199999998</v>
      </c>
      <c r="AE255" s="4">
        <v>0</v>
      </c>
      <c r="AF255" s="4">
        <v>-344.04213201881066</v>
      </c>
      <c r="AG255" s="4">
        <v>-1188.8038804193225</v>
      </c>
    </row>
    <row r="256" spans="1:33" ht="11.25" customHeight="1" x14ac:dyDescent="0.25">
      <c r="A256" s="3" t="s">
        <v>28</v>
      </c>
      <c r="B256" s="3" t="s">
        <v>41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35</v>
      </c>
      <c r="I256" s="6">
        <v>44409</v>
      </c>
      <c r="J256" s="4">
        <v>270</v>
      </c>
      <c r="K256" s="4">
        <v>270</v>
      </c>
      <c r="L256" s="4">
        <v>56.28</v>
      </c>
      <c r="M256" s="4">
        <v>56.28</v>
      </c>
      <c r="N256" s="4">
        <v>56.28</v>
      </c>
      <c r="O256" s="4">
        <v>56.28</v>
      </c>
      <c r="P256" s="4">
        <v>0</v>
      </c>
      <c r="Q256" s="3" t="s">
        <v>26</v>
      </c>
      <c r="R256" s="3">
        <v>0</v>
      </c>
      <c r="S256" s="4">
        <v>12</v>
      </c>
      <c r="T256" s="4">
        <v>110</v>
      </c>
      <c r="U256" s="4">
        <v>89</v>
      </c>
      <c r="V256" s="4">
        <v>24.31</v>
      </c>
      <c r="W256" s="4">
        <v>51.27</v>
      </c>
      <c r="X256" s="4">
        <v>222.31</v>
      </c>
      <c r="Y256" s="4">
        <v>27.784764762164471</v>
      </c>
      <c r="Z256" s="4">
        <v>68.100184485116927</v>
      </c>
      <c r="AA256" s="4">
        <v>235.31351552243123</v>
      </c>
      <c r="AB256" s="4">
        <v>6563.7</v>
      </c>
      <c r="AC256" s="4">
        <v>2885.4756000000002</v>
      </c>
      <c r="AD256" s="4">
        <v>12511.6068</v>
      </c>
      <c r="AE256" s="4">
        <v>7501.8864857844073</v>
      </c>
      <c r="AF256" s="4">
        <v>3832.6783828223806</v>
      </c>
      <c r="AG256" s="4">
        <v>13243.44465360243</v>
      </c>
    </row>
    <row r="257" spans="1:33" ht="11.25" customHeight="1" x14ac:dyDescent="0.25">
      <c r="A257" s="3" t="s">
        <v>21</v>
      </c>
      <c r="B257" s="3" t="s">
        <v>41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35</v>
      </c>
      <c r="I257" s="6">
        <v>44440</v>
      </c>
      <c r="J257" s="4">
        <v>7852</v>
      </c>
      <c r="K257" s="4">
        <v>7852</v>
      </c>
      <c r="L257" s="4">
        <v>2239.308</v>
      </c>
      <c r="M257" s="4">
        <v>2239.308</v>
      </c>
      <c r="N257" s="4">
        <v>2239.308</v>
      </c>
      <c r="O257" s="4">
        <v>2239.308</v>
      </c>
      <c r="P257" s="4">
        <v>0</v>
      </c>
      <c r="Q257" s="3" t="s">
        <v>26</v>
      </c>
      <c r="R257" s="3">
        <v>0</v>
      </c>
      <c r="S257" s="4">
        <v>12</v>
      </c>
      <c r="T257" s="4">
        <v>110</v>
      </c>
      <c r="U257" s="4">
        <v>89</v>
      </c>
      <c r="V257" s="4">
        <v>24.31</v>
      </c>
      <c r="W257" s="4">
        <v>51.27</v>
      </c>
      <c r="X257" s="4">
        <v>222.31</v>
      </c>
      <c r="Y257" s="4">
        <v>27.784764762164471</v>
      </c>
      <c r="Z257" s="4">
        <v>68.100184485116927</v>
      </c>
      <c r="AA257" s="4">
        <v>235.31351552243123</v>
      </c>
      <c r="AB257" s="4">
        <v>190882.12</v>
      </c>
      <c r="AC257" s="4">
        <v>114809.32116000001</v>
      </c>
      <c r="AD257" s="4">
        <v>497820.56147999997</v>
      </c>
      <c r="AE257" s="4">
        <v>218165.97291251543</v>
      </c>
      <c r="AF257" s="4">
        <v>152497.28791899822</v>
      </c>
      <c r="AG257" s="4">
        <v>526939.4378175044</v>
      </c>
    </row>
    <row r="258" spans="1:33" ht="11.25" customHeight="1" x14ac:dyDescent="0.25">
      <c r="A258" s="3" t="s">
        <v>28</v>
      </c>
      <c r="B258" s="3" t="s">
        <v>41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35</v>
      </c>
      <c r="I258" s="6">
        <v>44440</v>
      </c>
      <c r="J258" s="4">
        <v>270</v>
      </c>
      <c r="K258" s="4">
        <v>270</v>
      </c>
      <c r="L258" s="4">
        <v>59.01</v>
      </c>
      <c r="M258" s="4">
        <v>59.01</v>
      </c>
      <c r="N258" s="4">
        <v>59.01</v>
      </c>
      <c r="O258" s="4">
        <v>59.01</v>
      </c>
      <c r="P258" s="4">
        <v>0</v>
      </c>
      <c r="Q258" s="3" t="s">
        <v>26</v>
      </c>
      <c r="R258" s="3">
        <v>0</v>
      </c>
      <c r="S258" s="4">
        <v>12</v>
      </c>
      <c r="T258" s="4">
        <v>110</v>
      </c>
      <c r="U258" s="4">
        <v>89</v>
      </c>
      <c r="V258" s="4">
        <v>24.31</v>
      </c>
      <c r="W258" s="4">
        <v>51.27</v>
      </c>
      <c r="X258" s="4">
        <v>222.31</v>
      </c>
      <c r="Y258" s="4">
        <v>27.784764762164471</v>
      </c>
      <c r="Z258" s="4">
        <v>68.100184485116927</v>
      </c>
      <c r="AA258" s="4">
        <v>235.31351552243123</v>
      </c>
      <c r="AB258" s="4">
        <v>6563.7</v>
      </c>
      <c r="AC258" s="4">
        <v>3025.4427000000001</v>
      </c>
      <c r="AD258" s="4">
        <v>13118.5131</v>
      </c>
      <c r="AE258" s="4">
        <v>7501.8864857844073</v>
      </c>
      <c r="AF258" s="4">
        <v>4018.5918864667497</v>
      </c>
      <c r="AG258" s="4">
        <v>13885.850550978666</v>
      </c>
    </row>
    <row r="259" spans="1:33" ht="11.25" customHeight="1" x14ac:dyDescent="0.25">
      <c r="A259" s="3" t="s">
        <v>21</v>
      </c>
      <c r="B259" s="3" t="s">
        <v>41</v>
      </c>
      <c r="C259" s="3" t="s">
        <v>40</v>
      </c>
      <c r="D259" s="3" t="s">
        <v>43</v>
      </c>
      <c r="E259" s="3" t="s">
        <v>25</v>
      </c>
      <c r="F259" s="3" t="s">
        <v>25</v>
      </c>
      <c r="G259" s="3" t="s">
        <v>25</v>
      </c>
      <c r="H259" s="3" t="s">
        <v>35</v>
      </c>
      <c r="I259" s="6">
        <v>44470</v>
      </c>
      <c r="J259" s="4">
        <v>8176</v>
      </c>
      <c r="K259" s="4">
        <v>8176</v>
      </c>
      <c r="L259" s="4">
        <v>2561.413</v>
      </c>
      <c r="M259" s="4">
        <v>2561.413</v>
      </c>
      <c r="N259" s="4">
        <v>2561.413</v>
      </c>
      <c r="O259" s="4">
        <v>2561.413</v>
      </c>
      <c r="P259" s="4">
        <v>0</v>
      </c>
      <c r="Q259" s="3" t="s">
        <v>26</v>
      </c>
      <c r="R259" s="3">
        <v>0</v>
      </c>
      <c r="S259" s="4">
        <v>12</v>
      </c>
      <c r="T259" s="4">
        <v>110</v>
      </c>
      <c r="U259" s="4">
        <v>89</v>
      </c>
      <c r="V259" s="4">
        <v>24.31</v>
      </c>
      <c r="W259" s="4">
        <v>51.27</v>
      </c>
      <c r="X259" s="4">
        <v>222.31</v>
      </c>
      <c r="Y259" s="4">
        <v>27.784764762164471</v>
      </c>
      <c r="Z259" s="4">
        <v>68.100184485116927</v>
      </c>
      <c r="AA259" s="4">
        <v>235.31351552243123</v>
      </c>
      <c r="AB259" s="4">
        <v>198758.56</v>
      </c>
      <c r="AC259" s="4">
        <v>131323.64451000001</v>
      </c>
      <c r="AD259" s="4">
        <v>569427.72403000004</v>
      </c>
      <c r="AE259" s="4">
        <v>227168.23669545673</v>
      </c>
      <c r="AF259" s="4">
        <v>174432.6978425768</v>
      </c>
      <c r="AG259" s="4">
        <v>602735.09773485712</v>
      </c>
    </row>
    <row r="260" spans="1:33" ht="11.25" customHeight="1" x14ac:dyDescent="0.25">
      <c r="A260" s="3" t="s">
        <v>28</v>
      </c>
      <c r="B260" s="3" t="s">
        <v>41</v>
      </c>
      <c r="C260" s="3" t="s">
        <v>40</v>
      </c>
      <c r="D260" s="3" t="s">
        <v>43</v>
      </c>
      <c r="E260" s="3" t="s">
        <v>25</v>
      </c>
      <c r="F260" s="3" t="s">
        <v>25</v>
      </c>
      <c r="G260" s="3" t="s">
        <v>25</v>
      </c>
      <c r="H260" s="3" t="s">
        <v>35</v>
      </c>
      <c r="I260" s="6">
        <v>44470</v>
      </c>
      <c r="J260" s="4">
        <v>270</v>
      </c>
      <c r="K260" s="4">
        <v>270</v>
      </c>
      <c r="L260" s="4">
        <v>64.47</v>
      </c>
      <c r="M260" s="4">
        <v>64.47</v>
      </c>
      <c r="N260" s="4">
        <v>64.47</v>
      </c>
      <c r="O260" s="4">
        <v>64.47</v>
      </c>
      <c r="P260" s="4">
        <v>0</v>
      </c>
      <c r="Q260" s="3" t="s">
        <v>26</v>
      </c>
      <c r="R260" s="3">
        <v>0</v>
      </c>
      <c r="S260" s="4">
        <v>12</v>
      </c>
      <c r="T260" s="4">
        <v>110</v>
      </c>
      <c r="U260" s="4">
        <v>89</v>
      </c>
      <c r="V260" s="4">
        <v>24.31</v>
      </c>
      <c r="W260" s="4">
        <v>51.27</v>
      </c>
      <c r="X260" s="4">
        <v>222.31</v>
      </c>
      <c r="Y260" s="4">
        <v>27.784764762164471</v>
      </c>
      <c r="Z260" s="4">
        <v>68.100184485116927</v>
      </c>
      <c r="AA260" s="4">
        <v>235.31351552243123</v>
      </c>
      <c r="AB260" s="4">
        <v>6563.7</v>
      </c>
      <c r="AC260" s="4">
        <v>3305.3769000000002</v>
      </c>
      <c r="AD260" s="4">
        <v>14332.325699999999</v>
      </c>
      <c r="AE260" s="4">
        <v>7501.8864857844073</v>
      </c>
      <c r="AF260" s="4">
        <v>4390.4188937554882</v>
      </c>
      <c r="AG260" s="4">
        <v>15170.662345731142</v>
      </c>
    </row>
    <row r="261" spans="1:33" ht="11.25" customHeight="1" x14ac:dyDescent="0.25">
      <c r="A261" s="3" t="s">
        <v>21</v>
      </c>
      <c r="B261" s="3" t="s">
        <v>41</v>
      </c>
      <c r="C261" s="3" t="s">
        <v>40</v>
      </c>
      <c r="D261" s="3" t="s">
        <v>43</v>
      </c>
      <c r="E261" s="3" t="s">
        <v>25</v>
      </c>
      <c r="F261" s="3" t="s">
        <v>25</v>
      </c>
      <c r="G261" s="3" t="s">
        <v>25</v>
      </c>
      <c r="H261" s="3" t="s">
        <v>35</v>
      </c>
      <c r="I261" s="6">
        <v>44501</v>
      </c>
      <c r="J261" s="4">
        <v>8111</v>
      </c>
      <c r="K261" s="4">
        <v>8111</v>
      </c>
      <c r="L261" s="4">
        <v>2519.7860000000001</v>
      </c>
      <c r="M261" s="4">
        <v>2519.7860000000001</v>
      </c>
      <c r="N261" s="4">
        <v>2519.7860000000001</v>
      </c>
      <c r="O261" s="4">
        <v>2519.7860000000001</v>
      </c>
      <c r="P261" s="4">
        <v>0</v>
      </c>
      <c r="Q261" s="3" t="s">
        <v>26</v>
      </c>
      <c r="R261" s="3">
        <v>0</v>
      </c>
      <c r="S261" s="4">
        <v>12</v>
      </c>
      <c r="T261" s="4">
        <v>110</v>
      </c>
      <c r="U261" s="4">
        <v>89</v>
      </c>
      <c r="V261" s="4">
        <v>24.31</v>
      </c>
      <c r="W261" s="4">
        <v>51.27</v>
      </c>
      <c r="X261" s="4">
        <v>222.31</v>
      </c>
      <c r="Y261" s="4">
        <v>27.784764762164471</v>
      </c>
      <c r="Z261" s="4">
        <v>68.100184485116927</v>
      </c>
      <c r="AA261" s="4">
        <v>235.31351552243123</v>
      </c>
      <c r="AB261" s="4">
        <v>197178.41</v>
      </c>
      <c r="AC261" s="4">
        <v>129189.42822000002</v>
      </c>
      <c r="AD261" s="4">
        <v>560173.62566000002</v>
      </c>
      <c r="AE261" s="4">
        <v>225362.22698591603</v>
      </c>
      <c r="AF261" s="4">
        <v>171597.89146301485</v>
      </c>
      <c r="AG261" s="4">
        <v>592939.70202420489</v>
      </c>
    </row>
    <row r="262" spans="1:33" ht="11.25" customHeight="1" x14ac:dyDescent="0.25">
      <c r="A262" s="3" t="s">
        <v>21</v>
      </c>
      <c r="B262" s="3" t="s">
        <v>41</v>
      </c>
      <c r="C262" s="3" t="s">
        <v>40</v>
      </c>
      <c r="D262" s="3" t="s">
        <v>43</v>
      </c>
      <c r="E262" s="3" t="s">
        <v>25</v>
      </c>
      <c r="F262" s="3" t="s">
        <v>25</v>
      </c>
      <c r="G262" s="3" t="s">
        <v>25</v>
      </c>
      <c r="H262" s="3" t="s">
        <v>35</v>
      </c>
      <c r="I262" s="6">
        <v>44531</v>
      </c>
      <c r="J262" s="4">
        <v>8119</v>
      </c>
      <c r="K262" s="4">
        <v>8119</v>
      </c>
      <c r="L262" s="4">
        <v>2619.7379999999998</v>
      </c>
      <c r="M262" s="4">
        <v>2619.7379999999998</v>
      </c>
      <c r="N262" s="4">
        <v>2619.7379999999998</v>
      </c>
      <c r="O262" s="4">
        <v>2619.7379999999998</v>
      </c>
      <c r="P262" s="4">
        <v>0</v>
      </c>
      <c r="Q262" s="3" t="s">
        <v>26</v>
      </c>
      <c r="R262" s="3">
        <v>0</v>
      </c>
      <c r="S262" s="4">
        <v>12</v>
      </c>
      <c r="T262" s="4">
        <v>110</v>
      </c>
      <c r="U262" s="4">
        <v>89</v>
      </c>
      <c r="V262" s="4">
        <v>24.31</v>
      </c>
      <c r="W262" s="4">
        <v>51.27</v>
      </c>
      <c r="X262" s="4">
        <v>222.31</v>
      </c>
      <c r="Y262" s="4">
        <v>27.784764762164471</v>
      </c>
      <c r="Z262" s="4">
        <v>68.100184485116927</v>
      </c>
      <c r="AA262" s="4">
        <v>235.31351552243123</v>
      </c>
      <c r="AB262" s="4">
        <v>197372.88999999998</v>
      </c>
      <c r="AC262" s="4">
        <v>134313.96726</v>
      </c>
      <c r="AD262" s="4">
        <v>582393.95477999991</v>
      </c>
      <c r="AE262" s="4">
        <v>225584.50510401334</v>
      </c>
      <c r="AF262" s="4">
        <v>178404.64110267124</v>
      </c>
      <c r="AG262" s="4">
        <v>616459.75852770288</v>
      </c>
    </row>
    <row r="263" spans="1:33" ht="11.25" customHeight="1" x14ac:dyDescent="0.25">
      <c r="A263" s="3" t="s">
        <v>21</v>
      </c>
      <c r="B263" s="3" t="s">
        <v>41</v>
      </c>
      <c r="C263" s="3" t="s">
        <v>40</v>
      </c>
      <c r="D263" s="3" t="s">
        <v>43</v>
      </c>
      <c r="E263" s="3" t="s">
        <v>25</v>
      </c>
      <c r="F263" s="3" t="s">
        <v>25</v>
      </c>
      <c r="G263" s="3" t="s">
        <v>25</v>
      </c>
      <c r="H263" s="3" t="s">
        <v>35</v>
      </c>
      <c r="I263" s="6">
        <v>44562</v>
      </c>
      <c r="J263" s="4">
        <v>8084</v>
      </c>
      <c r="K263" s="4">
        <v>8084</v>
      </c>
      <c r="L263" s="4">
        <v>2640.25</v>
      </c>
      <c r="M263" s="4">
        <v>2640.25</v>
      </c>
      <c r="N263" s="4">
        <v>2640.25</v>
      </c>
      <c r="O263" s="4">
        <v>2640.25</v>
      </c>
      <c r="P263" s="4">
        <v>0</v>
      </c>
      <c r="Q263" s="3" t="s">
        <v>26</v>
      </c>
      <c r="R263" s="3">
        <v>0</v>
      </c>
      <c r="S263" s="4">
        <v>12</v>
      </c>
      <c r="T263" s="4">
        <v>110</v>
      </c>
      <c r="U263" s="4">
        <v>89</v>
      </c>
      <c r="V263" s="4">
        <v>24.31</v>
      </c>
      <c r="W263" s="4">
        <v>51.27</v>
      </c>
      <c r="X263" s="4">
        <v>222.31</v>
      </c>
      <c r="Y263" s="4">
        <v>27.784764762164471</v>
      </c>
      <c r="Z263" s="4">
        <v>68.100184485116927</v>
      </c>
      <c r="AA263" s="4">
        <v>235.31351552243123</v>
      </c>
      <c r="AB263" s="4">
        <v>196522.03999999998</v>
      </c>
      <c r="AC263" s="4">
        <v>135365.61750000002</v>
      </c>
      <c r="AD263" s="4">
        <v>586953.97750000004</v>
      </c>
      <c r="AE263" s="4">
        <v>224612.03833733758</v>
      </c>
      <c r="AF263" s="4">
        <v>179801.51208682996</v>
      </c>
      <c r="AG263" s="4">
        <v>621286.50935809908</v>
      </c>
    </row>
    <row r="264" spans="1:33" ht="11.25" customHeight="1" x14ac:dyDescent="0.25">
      <c r="A264" s="3" t="s">
        <v>28</v>
      </c>
      <c r="B264" s="3" t="s">
        <v>41</v>
      </c>
      <c r="C264" s="3" t="s">
        <v>40</v>
      </c>
      <c r="D264" s="3" t="s">
        <v>43</v>
      </c>
      <c r="E264" s="3" t="s">
        <v>25</v>
      </c>
      <c r="F264" s="3" t="s">
        <v>25</v>
      </c>
      <c r="G264" s="3" t="s">
        <v>25</v>
      </c>
      <c r="H264" s="3" t="s">
        <v>35</v>
      </c>
      <c r="I264" s="6">
        <v>44562</v>
      </c>
      <c r="J264" s="4">
        <v>85</v>
      </c>
      <c r="K264" s="4">
        <v>85</v>
      </c>
      <c r="L264" s="4">
        <v>12.071999999999999</v>
      </c>
      <c r="M264" s="4">
        <v>12.071999999999999</v>
      </c>
      <c r="N264" s="4">
        <v>12.071999999999999</v>
      </c>
      <c r="O264" s="4">
        <v>12.071999999999999</v>
      </c>
      <c r="P264" s="4">
        <v>0</v>
      </c>
      <c r="Q264" s="3" t="s">
        <v>26</v>
      </c>
      <c r="R264" s="3">
        <v>0</v>
      </c>
      <c r="S264" s="4">
        <v>12</v>
      </c>
      <c r="T264" s="4">
        <v>110</v>
      </c>
      <c r="U264" s="4">
        <v>89</v>
      </c>
      <c r="V264" s="4">
        <v>24.31</v>
      </c>
      <c r="W264" s="4">
        <v>51.27</v>
      </c>
      <c r="X264" s="4">
        <v>222.31</v>
      </c>
      <c r="Y264" s="4">
        <v>27.784764762164471</v>
      </c>
      <c r="Z264" s="4">
        <v>68.100184485116927</v>
      </c>
      <c r="AA264" s="4">
        <v>235.31351552243123</v>
      </c>
      <c r="AB264" s="4">
        <v>2066.35</v>
      </c>
      <c r="AC264" s="4">
        <v>618.93143999999995</v>
      </c>
      <c r="AD264" s="4">
        <v>2683.7263199999998</v>
      </c>
      <c r="AE264" s="4">
        <v>2361.7050047839803</v>
      </c>
      <c r="AF264" s="4">
        <v>822.10542710433151</v>
      </c>
      <c r="AG264" s="4">
        <v>2840.7047593867896</v>
      </c>
    </row>
    <row r="265" spans="1:33" ht="11.25" customHeight="1" x14ac:dyDescent="0.25">
      <c r="A265" s="3" t="s">
        <v>28</v>
      </c>
      <c r="B265" s="3" t="s">
        <v>41</v>
      </c>
      <c r="C265" s="3" t="s">
        <v>40</v>
      </c>
      <c r="D265" s="3" t="s">
        <v>43</v>
      </c>
      <c r="E265" s="3" t="s">
        <v>25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-0.72</v>
      </c>
      <c r="M265" s="4">
        <v>-0.72</v>
      </c>
      <c r="N265" s="4">
        <v>-0.72</v>
      </c>
      <c r="O265" s="4">
        <v>-0.72</v>
      </c>
      <c r="P265" s="4">
        <v>0</v>
      </c>
      <c r="Q265" s="3" t="s">
        <v>26</v>
      </c>
      <c r="R265" s="3">
        <v>0</v>
      </c>
      <c r="S265" s="4">
        <v>0</v>
      </c>
      <c r="T265" s="4">
        <v>110</v>
      </c>
      <c r="U265" s="4">
        <v>89</v>
      </c>
      <c r="V265" s="4">
        <v>0</v>
      </c>
      <c r="W265" s="4">
        <v>51.27</v>
      </c>
      <c r="X265" s="4">
        <v>222.31</v>
      </c>
      <c r="Y265" s="4">
        <v>27.784764762164471</v>
      </c>
      <c r="Z265" s="4">
        <v>68.100184485116927</v>
      </c>
      <c r="AA265" s="4">
        <v>235.31351552243123</v>
      </c>
      <c r="AB265" s="4">
        <v>0</v>
      </c>
      <c r="AC265" s="4">
        <v>-36.914400000000001</v>
      </c>
      <c r="AD265" s="4">
        <v>-160.06319999999999</v>
      </c>
      <c r="AE265" s="4">
        <v>0</v>
      </c>
      <c r="AF265" s="4">
        <v>-49.032132829284187</v>
      </c>
      <c r="AG265" s="4">
        <v>-169.42573117615049</v>
      </c>
    </row>
    <row r="266" spans="1:33" ht="11.25" customHeight="1" x14ac:dyDescent="0.25">
      <c r="A266" s="3" t="s">
        <v>21</v>
      </c>
      <c r="B266" s="3" t="s">
        <v>41</v>
      </c>
      <c r="C266" s="3" t="s">
        <v>40</v>
      </c>
      <c r="D266" s="3" t="s">
        <v>43</v>
      </c>
      <c r="E266" s="3" t="s">
        <v>25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8250</v>
      </c>
      <c r="K266" s="4">
        <v>8250</v>
      </c>
      <c r="L266" s="4">
        <v>2522.1080000000002</v>
      </c>
      <c r="M266" s="4">
        <v>2522.1080000000002</v>
      </c>
      <c r="N266" s="4">
        <v>2522.1080000000002</v>
      </c>
      <c r="O266" s="4">
        <v>2522.1080000000002</v>
      </c>
      <c r="P266" s="4">
        <v>0</v>
      </c>
      <c r="Q266" s="3" t="s">
        <v>26</v>
      </c>
      <c r="R266" s="3">
        <v>0</v>
      </c>
      <c r="S266" s="4">
        <v>12</v>
      </c>
      <c r="T266" s="4">
        <v>110</v>
      </c>
      <c r="U266" s="4">
        <v>89</v>
      </c>
      <c r="V266" s="4">
        <v>24.31</v>
      </c>
      <c r="W266" s="4">
        <v>51.27</v>
      </c>
      <c r="X266" s="4">
        <v>222.31</v>
      </c>
      <c r="Y266" s="4">
        <v>27.784764762164471</v>
      </c>
      <c r="Z266" s="4">
        <v>68.100184485116927</v>
      </c>
      <c r="AA266" s="4">
        <v>235.31351552243123</v>
      </c>
      <c r="AB266" s="4">
        <v>200557.5</v>
      </c>
      <c r="AC266" s="4">
        <v>129308.47716000002</v>
      </c>
      <c r="AD266" s="4">
        <v>560689.82948000007</v>
      </c>
      <c r="AE266" s="4">
        <v>229224.30928785689</v>
      </c>
      <c r="AF266" s="4">
        <v>171756.02009138931</v>
      </c>
      <c r="AG266" s="4">
        <v>593486.10000724799</v>
      </c>
    </row>
    <row r="267" spans="1:33" ht="11.25" customHeight="1" x14ac:dyDescent="0.25">
      <c r="A267" s="3" t="s">
        <v>27</v>
      </c>
      <c r="B267" s="3" t="s">
        <v>41</v>
      </c>
      <c r="C267" s="3" t="s">
        <v>40</v>
      </c>
      <c r="D267" s="3" t="s">
        <v>43</v>
      </c>
      <c r="E267" s="3" t="s">
        <v>25</v>
      </c>
      <c r="F267" s="3" t="s">
        <v>25</v>
      </c>
      <c r="G267" s="3" t="s">
        <v>25</v>
      </c>
      <c r="H267" s="3" t="s">
        <v>35</v>
      </c>
      <c r="I267" s="6">
        <v>44593</v>
      </c>
      <c r="J267" s="4">
        <v>91</v>
      </c>
      <c r="K267" s="4">
        <v>91</v>
      </c>
      <c r="L267" s="4">
        <v>33.411999999999999</v>
      </c>
      <c r="M267" s="4">
        <v>33.411999999999999</v>
      </c>
      <c r="N267" s="4">
        <v>33.411999999999999</v>
      </c>
      <c r="O267" s="4">
        <v>33.411999999999999</v>
      </c>
      <c r="P267" s="4">
        <v>0</v>
      </c>
      <c r="Q267" s="3" t="s">
        <v>26</v>
      </c>
      <c r="R267" s="3">
        <v>0</v>
      </c>
      <c r="S267" s="4">
        <v>12</v>
      </c>
      <c r="T267" s="4">
        <v>110</v>
      </c>
      <c r="U267" s="4">
        <v>89</v>
      </c>
      <c r="V267" s="4">
        <v>24.31</v>
      </c>
      <c r="W267" s="4">
        <v>51.27</v>
      </c>
      <c r="X267" s="4">
        <v>222.31</v>
      </c>
      <c r="Y267" s="4">
        <v>27.784764762164471</v>
      </c>
      <c r="Z267" s="4">
        <v>68.100184485116927</v>
      </c>
      <c r="AA267" s="4">
        <v>235.31351552243123</v>
      </c>
      <c r="AB267" s="4">
        <v>2212.21</v>
      </c>
      <c r="AC267" s="4">
        <v>1713.03324</v>
      </c>
      <c r="AD267" s="4">
        <v>7427.8217199999999</v>
      </c>
      <c r="AE267" s="4">
        <v>2528.4135933569669</v>
      </c>
      <c r="AF267" s="4">
        <v>2275.3633640167268</v>
      </c>
      <c r="AG267" s="4">
        <v>7862.2951806354722</v>
      </c>
    </row>
    <row r="268" spans="1:33" ht="11.25" customHeight="1" x14ac:dyDescent="0.25">
      <c r="A268" s="3" t="s">
        <v>56</v>
      </c>
      <c r="B268" s="3" t="s">
        <v>41</v>
      </c>
      <c r="C268" s="3" t="s">
        <v>40</v>
      </c>
      <c r="D268" s="3" t="s">
        <v>43</v>
      </c>
      <c r="E268" s="3" t="s">
        <v>25</v>
      </c>
      <c r="F268" s="3" t="s">
        <v>25</v>
      </c>
      <c r="G268" s="3" t="s">
        <v>25</v>
      </c>
      <c r="H268" s="3" t="s">
        <v>35</v>
      </c>
      <c r="I268" s="6">
        <v>44621</v>
      </c>
      <c r="J268" s="4">
        <v>8250</v>
      </c>
      <c r="K268" s="4">
        <v>8250</v>
      </c>
      <c r="L268" s="4">
        <v>2522.1080000000002</v>
      </c>
      <c r="M268" s="4">
        <v>2522.1080000000002</v>
      </c>
      <c r="N268" s="4">
        <v>2522.1080000000002</v>
      </c>
      <c r="O268" s="4">
        <v>2522.1080000000002</v>
      </c>
      <c r="P268" s="4">
        <v>0</v>
      </c>
      <c r="Q268" s="3" t="s">
        <v>26</v>
      </c>
      <c r="R268" s="3">
        <v>0</v>
      </c>
      <c r="S268" s="4">
        <v>12</v>
      </c>
      <c r="T268" s="4">
        <v>110</v>
      </c>
      <c r="U268" s="4">
        <v>89</v>
      </c>
      <c r="V268" s="4">
        <v>24.31</v>
      </c>
      <c r="W268" s="4">
        <v>51.27</v>
      </c>
      <c r="X268" s="4">
        <v>222.31</v>
      </c>
      <c r="Y268" s="4">
        <v>27.784764762164471</v>
      </c>
      <c r="Z268" s="4">
        <v>68.100184485116927</v>
      </c>
      <c r="AA268" s="4">
        <v>235.31351552243123</v>
      </c>
      <c r="AB268" s="4">
        <v>200557.5</v>
      </c>
      <c r="AC268" s="4">
        <v>129308.47716000002</v>
      </c>
      <c r="AD268" s="4">
        <v>560689.82948000007</v>
      </c>
      <c r="AE268" s="4">
        <v>229224.30928785689</v>
      </c>
      <c r="AF268" s="4">
        <v>171756.02009138931</v>
      </c>
      <c r="AG268" s="4">
        <v>593486.10000724799</v>
      </c>
    </row>
    <row r="269" spans="1:33" ht="11.25" customHeight="1" x14ac:dyDescent="0.25">
      <c r="A269" s="3" t="s">
        <v>56</v>
      </c>
      <c r="B269" s="3" t="s">
        <v>41</v>
      </c>
      <c r="C269" s="3" t="s">
        <v>40</v>
      </c>
      <c r="D269" s="3" t="s">
        <v>43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44621</v>
      </c>
      <c r="J269" s="4">
        <v>91</v>
      </c>
      <c r="K269" s="4">
        <v>91</v>
      </c>
      <c r="L269" s="4">
        <v>33.411999999999999</v>
      </c>
      <c r="M269" s="4">
        <v>33.411999999999999</v>
      </c>
      <c r="N269" s="4">
        <v>33.411999999999999</v>
      </c>
      <c r="O269" s="4">
        <v>33.411999999999999</v>
      </c>
      <c r="P269" s="4">
        <v>0</v>
      </c>
      <c r="Q269" s="3" t="s">
        <v>26</v>
      </c>
      <c r="R269" s="3">
        <v>0</v>
      </c>
      <c r="S269" s="4">
        <v>12</v>
      </c>
      <c r="T269" s="4">
        <v>110</v>
      </c>
      <c r="U269" s="4">
        <v>89</v>
      </c>
      <c r="V269" s="4">
        <v>24.31</v>
      </c>
      <c r="W269" s="4">
        <v>51.27</v>
      </c>
      <c r="X269" s="4">
        <v>222.31</v>
      </c>
      <c r="Y269" s="4">
        <v>27.784764762164471</v>
      </c>
      <c r="Z269" s="4">
        <v>68.100184485116927</v>
      </c>
      <c r="AA269" s="4">
        <v>235.31351552243123</v>
      </c>
      <c r="AB269" s="4">
        <v>2212.21</v>
      </c>
      <c r="AC269" s="4">
        <v>1713.03324</v>
      </c>
      <c r="AD269" s="4">
        <v>7427.8217199999999</v>
      </c>
      <c r="AE269" s="4">
        <v>2528.4135933569669</v>
      </c>
      <c r="AF269" s="4">
        <v>2275.3633640167268</v>
      </c>
      <c r="AG269" s="4">
        <v>7862.2951806354722</v>
      </c>
    </row>
    <row r="270" spans="1:33" ht="11.25" customHeight="1" x14ac:dyDescent="0.25">
      <c r="A270" s="3" t="s">
        <v>21</v>
      </c>
      <c r="B270" s="3" t="s">
        <v>41</v>
      </c>
      <c r="C270" s="3" t="s">
        <v>40</v>
      </c>
      <c r="D270" s="3" t="s">
        <v>43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44287</v>
      </c>
      <c r="J270" s="4">
        <v>7124</v>
      </c>
      <c r="K270" s="4">
        <v>7124</v>
      </c>
      <c r="L270" s="4">
        <v>246.08099999999999</v>
      </c>
      <c r="M270" s="4">
        <v>246.08099999999999</v>
      </c>
      <c r="N270" s="4">
        <v>246.08099999999999</v>
      </c>
      <c r="O270" s="4">
        <v>246.08099999999999</v>
      </c>
      <c r="P270" s="4">
        <v>0</v>
      </c>
      <c r="Q270" s="3" t="s">
        <v>26</v>
      </c>
      <c r="R270" s="3">
        <v>0</v>
      </c>
      <c r="S270" s="4">
        <v>11</v>
      </c>
      <c r="T270" s="4">
        <v>110</v>
      </c>
      <c r="U270" s="4">
        <v>88</v>
      </c>
      <c r="V270" s="4">
        <v>62.23</v>
      </c>
      <c r="W270" s="4">
        <v>51.27</v>
      </c>
      <c r="X270" s="4">
        <v>365.5</v>
      </c>
      <c r="Y270" s="4">
        <v>76.426580837075718</v>
      </c>
      <c r="Z270" s="4">
        <v>68.100184485116927</v>
      </c>
      <c r="AA270" s="4">
        <v>381.42546590200942</v>
      </c>
      <c r="AB270" s="4">
        <v>443326.51999999996</v>
      </c>
      <c r="AC270" s="4">
        <v>12616.57287</v>
      </c>
      <c r="AD270" s="4">
        <v>89942.605499999991</v>
      </c>
      <c r="AE270" s="4">
        <v>544462.96188332746</v>
      </c>
      <c r="AF270" s="4">
        <v>16758.161498282057</v>
      </c>
      <c r="AG270" s="4">
        <v>93861.560074632376</v>
      </c>
    </row>
    <row r="271" spans="1:33" ht="11.25" customHeight="1" x14ac:dyDescent="0.25">
      <c r="A271" s="3" t="s">
        <v>28</v>
      </c>
      <c r="B271" s="3" t="s">
        <v>41</v>
      </c>
      <c r="C271" s="3" t="s">
        <v>40</v>
      </c>
      <c r="D271" s="3" t="s">
        <v>43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44287</v>
      </c>
      <c r="J271" s="4">
        <v>273</v>
      </c>
      <c r="K271" s="4">
        <v>273</v>
      </c>
      <c r="L271" s="4">
        <v>10.85</v>
      </c>
      <c r="M271" s="4">
        <v>10.85</v>
      </c>
      <c r="N271" s="4">
        <v>10.85</v>
      </c>
      <c r="O271" s="4">
        <v>10.85</v>
      </c>
      <c r="P271" s="4">
        <v>0</v>
      </c>
      <c r="Q271" s="3" t="s">
        <v>26</v>
      </c>
      <c r="R271" s="3">
        <v>0</v>
      </c>
      <c r="S271" s="4">
        <v>11</v>
      </c>
      <c r="T271" s="4">
        <v>110</v>
      </c>
      <c r="U271" s="4">
        <v>88</v>
      </c>
      <c r="V271" s="4">
        <v>62.23</v>
      </c>
      <c r="W271" s="4">
        <v>51.27</v>
      </c>
      <c r="X271" s="4">
        <v>365.5</v>
      </c>
      <c r="Y271" s="4">
        <v>76.426580837075718</v>
      </c>
      <c r="Z271" s="4">
        <v>68.100184485116927</v>
      </c>
      <c r="AA271" s="4">
        <v>381.42546590200942</v>
      </c>
      <c r="AB271" s="4">
        <v>16988.79</v>
      </c>
      <c r="AC271" s="4">
        <v>556.27949999999998</v>
      </c>
      <c r="AD271" s="4">
        <v>3965.6749999999997</v>
      </c>
      <c r="AE271" s="4">
        <v>20864.456568521669</v>
      </c>
      <c r="AF271" s="4">
        <v>738.88700166351862</v>
      </c>
      <c r="AG271" s="4">
        <v>4138.4663050368017</v>
      </c>
    </row>
    <row r="272" spans="1:33" ht="11.25" customHeight="1" x14ac:dyDescent="0.25">
      <c r="A272" s="3" t="s">
        <v>21</v>
      </c>
      <c r="B272" s="3" t="s">
        <v>41</v>
      </c>
      <c r="C272" s="3" t="s">
        <v>40</v>
      </c>
      <c r="D272" s="3" t="s">
        <v>43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44317</v>
      </c>
      <c r="J272" s="4">
        <v>7408</v>
      </c>
      <c r="K272" s="4">
        <v>7408</v>
      </c>
      <c r="L272" s="4">
        <v>251.47200000000001</v>
      </c>
      <c r="M272" s="4">
        <v>251.47200000000001</v>
      </c>
      <c r="N272" s="4">
        <v>251.47200000000001</v>
      </c>
      <c r="O272" s="4">
        <v>251.47200000000001</v>
      </c>
      <c r="P272" s="4">
        <v>0</v>
      </c>
      <c r="Q272" s="3" t="s">
        <v>26</v>
      </c>
      <c r="R272" s="3">
        <v>0</v>
      </c>
      <c r="S272" s="4">
        <v>11</v>
      </c>
      <c r="T272" s="4">
        <v>110</v>
      </c>
      <c r="U272" s="4">
        <v>88</v>
      </c>
      <c r="V272" s="4">
        <v>62.23</v>
      </c>
      <c r="W272" s="4">
        <v>51.27</v>
      </c>
      <c r="X272" s="4">
        <v>365.5</v>
      </c>
      <c r="Y272" s="4">
        <v>76.426580837075718</v>
      </c>
      <c r="Z272" s="4">
        <v>68.100184485116927</v>
      </c>
      <c r="AA272" s="4">
        <v>381.42546590200942</v>
      </c>
      <c r="AB272" s="4">
        <v>460999.83999999997</v>
      </c>
      <c r="AC272" s="4">
        <v>12892.969440000001</v>
      </c>
      <c r="AD272" s="4">
        <v>91913.016000000003</v>
      </c>
      <c r="AE272" s="4">
        <v>566168.11084105691</v>
      </c>
      <c r="AF272" s="4">
        <v>17125.289592841324</v>
      </c>
      <c r="AG272" s="4">
        <v>95917.824761310112</v>
      </c>
    </row>
    <row r="273" spans="1:33" ht="11.25" customHeight="1" x14ac:dyDescent="0.25">
      <c r="A273" s="3" t="s">
        <v>28</v>
      </c>
      <c r="B273" s="3" t="s">
        <v>41</v>
      </c>
      <c r="C273" s="3" t="s">
        <v>40</v>
      </c>
      <c r="D273" s="3" t="s">
        <v>43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44317</v>
      </c>
      <c r="J273" s="4">
        <v>273</v>
      </c>
      <c r="K273" s="4">
        <v>273</v>
      </c>
      <c r="L273" s="4">
        <v>10.99</v>
      </c>
      <c r="M273" s="4">
        <v>10.99</v>
      </c>
      <c r="N273" s="4">
        <v>10.99</v>
      </c>
      <c r="O273" s="4">
        <v>10.99</v>
      </c>
      <c r="P273" s="4">
        <v>0</v>
      </c>
      <c r="Q273" s="3" t="s">
        <v>26</v>
      </c>
      <c r="R273" s="3">
        <v>0</v>
      </c>
      <c r="S273" s="4">
        <v>11</v>
      </c>
      <c r="T273" s="4">
        <v>110</v>
      </c>
      <c r="U273" s="4">
        <v>88</v>
      </c>
      <c r="V273" s="4">
        <v>62.23</v>
      </c>
      <c r="W273" s="4">
        <v>51.27</v>
      </c>
      <c r="X273" s="4">
        <v>365.5</v>
      </c>
      <c r="Y273" s="4">
        <v>76.426580837075718</v>
      </c>
      <c r="Z273" s="4">
        <v>68.100184485116927</v>
      </c>
      <c r="AA273" s="4">
        <v>381.42546590200942</v>
      </c>
      <c r="AB273" s="4">
        <v>16988.79</v>
      </c>
      <c r="AC273" s="4">
        <v>563.45730000000003</v>
      </c>
      <c r="AD273" s="4">
        <v>4016.8450000000003</v>
      </c>
      <c r="AE273" s="4">
        <v>20864.456568521669</v>
      </c>
      <c r="AF273" s="4">
        <v>748.42102749143498</v>
      </c>
      <c r="AG273" s="4">
        <v>4191.8658702630837</v>
      </c>
    </row>
    <row r="274" spans="1:33" ht="11.25" customHeight="1" x14ac:dyDescent="0.25">
      <c r="A274" s="3" t="s">
        <v>21</v>
      </c>
      <c r="B274" s="3" t="s">
        <v>41</v>
      </c>
      <c r="C274" s="3" t="s">
        <v>40</v>
      </c>
      <c r="D274" s="3" t="s">
        <v>43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44348</v>
      </c>
      <c r="J274" s="4">
        <v>7275</v>
      </c>
      <c r="K274" s="4">
        <v>7275</v>
      </c>
      <c r="L274" s="4">
        <v>232.554</v>
      </c>
      <c r="M274" s="4">
        <v>232.554</v>
      </c>
      <c r="N274" s="4">
        <v>232.554</v>
      </c>
      <c r="O274" s="4">
        <v>232.554</v>
      </c>
      <c r="P274" s="4">
        <v>0</v>
      </c>
      <c r="Q274" s="3" t="s">
        <v>26</v>
      </c>
      <c r="R274" s="3">
        <v>0</v>
      </c>
      <c r="S274" s="4">
        <v>11</v>
      </c>
      <c r="T274" s="4">
        <v>110</v>
      </c>
      <c r="U274" s="4">
        <v>88</v>
      </c>
      <c r="V274" s="4">
        <v>62.23</v>
      </c>
      <c r="W274" s="4">
        <v>51.27</v>
      </c>
      <c r="X274" s="4">
        <v>365.5</v>
      </c>
      <c r="Y274" s="4">
        <v>76.426580837075718</v>
      </c>
      <c r="Z274" s="4">
        <v>68.100184485116927</v>
      </c>
      <c r="AA274" s="4">
        <v>381.42546590200942</v>
      </c>
      <c r="AB274" s="4">
        <v>452723.25</v>
      </c>
      <c r="AC274" s="4">
        <v>11923.043580000001</v>
      </c>
      <c r="AD274" s="4">
        <v>84998.486999999994</v>
      </c>
      <c r="AE274" s="4">
        <v>556003.37558972579</v>
      </c>
      <c r="AF274" s="4">
        <v>15836.970302751883</v>
      </c>
      <c r="AG274" s="4">
        <v>88702.017797375898</v>
      </c>
    </row>
    <row r="275" spans="1:33" ht="11.25" customHeight="1" x14ac:dyDescent="0.25">
      <c r="A275" s="3" t="s">
        <v>28</v>
      </c>
      <c r="B275" s="3" t="s">
        <v>41</v>
      </c>
      <c r="C275" s="3" t="s">
        <v>40</v>
      </c>
      <c r="D275" s="3" t="s">
        <v>43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44348</v>
      </c>
      <c r="J275" s="4">
        <v>250</v>
      </c>
      <c r="K275" s="4">
        <v>250</v>
      </c>
      <c r="L275" s="4">
        <v>9.8699999999999992</v>
      </c>
      <c r="M275" s="4">
        <v>9.8699999999999992</v>
      </c>
      <c r="N275" s="4">
        <v>9.8699999999999992</v>
      </c>
      <c r="O275" s="4">
        <v>9.8699999999999992</v>
      </c>
      <c r="P275" s="4">
        <v>0</v>
      </c>
      <c r="Q275" s="3" t="s">
        <v>26</v>
      </c>
      <c r="R275" s="3">
        <v>0</v>
      </c>
      <c r="S275" s="4">
        <v>11</v>
      </c>
      <c r="T275" s="4">
        <v>110</v>
      </c>
      <c r="U275" s="4">
        <v>88</v>
      </c>
      <c r="V275" s="4">
        <v>62.23</v>
      </c>
      <c r="W275" s="4">
        <v>51.27</v>
      </c>
      <c r="X275" s="4">
        <v>365.5</v>
      </c>
      <c r="Y275" s="4">
        <v>76.426580837075718</v>
      </c>
      <c r="Z275" s="4">
        <v>68.100184485116927</v>
      </c>
      <c r="AA275" s="4">
        <v>381.42546590200942</v>
      </c>
      <c r="AB275" s="4">
        <v>15557.5</v>
      </c>
      <c r="AC275" s="4">
        <v>506.03489999999999</v>
      </c>
      <c r="AD275" s="4">
        <v>3607.4849999999997</v>
      </c>
      <c r="AE275" s="4">
        <v>19106.645209268929</v>
      </c>
      <c r="AF275" s="4">
        <v>672.14882086810405</v>
      </c>
      <c r="AG275" s="4">
        <v>3764.6693484528328</v>
      </c>
    </row>
    <row r="276" spans="1:33" ht="11.25" customHeight="1" x14ac:dyDescent="0.25">
      <c r="A276" s="3" t="s">
        <v>21</v>
      </c>
      <c r="B276" s="3" t="s">
        <v>41</v>
      </c>
      <c r="C276" s="3" t="s">
        <v>40</v>
      </c>
      <c r="D276" s="3" t="s">
        <v>43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44378</v>
      </c>
      <c r="J276" s="4">
        <v>6717</v>
      </c>
      <c r="K276" s="4">
        <v>6717</v>
      </c>
      <c r="L276" s="4">
        <v>227.59299999999999</v>
      </c>
      <c r="M276" s="4">
        <v>227.59299999999999</v>
      </c>
      <c r="N276" s="4">
        <v>227.59299999999999</v>
      </c>
      <c r="O276" s="4">
        <v>227.59299999999999</v>
      </c>
      <c r="P276" s="4">
        <v>0</v>
      </c>
      <c r="Q276" s="3" t="s">
        <v>26</v>
      </c>
      <c r="R276" s="3">
        <v>0</v>
      </c>
      <c r="S276" s="4">
        <v>11</v>
      </c>
      <c r="T276" s="4">
        <v>110</v>
      </c>
      <c r="U276" s="4">
        <v>88</v>
      </c>
      <c r="V276" s="4">
        <v>62.23</v>
      </c>
      <c r="W276" s="4">
        <v>51.27</v>
      </c>
      <c r="X276" s="4">
        <v>365.5</v>
      </c>
      <c r="Y276" s="4">
        <v>76.426580837075718</v>
      </c>
      <c r="Z276" s="4">
        <v>68.100184485116927</v>
      </c>
      <c r="AA276" s="4">
        <v>381.42546590200942</v>
      </c>
      <c r="AB276" s="4">
        <v>417998.91</v>
      </c>
      <c r="AC276" s="4">
        <v>11668.69311</v>
      </c>
      <c r="AD276" s="4">
        <v>83185.241499999989</v>
      </c>
      <c r="AE276" s="4">
        <v>513357.3434826376</v>
      </c>
      <c r="AF276" s="4">
        <v>15499.125287521216</v>
      </c>
      <c r="AG276" s="4">
        <v>86809.766061036033</v>
      </c>
    </row>
    <row r="277" spans="1:33" ht="11.25" customHeight="1" x14ac:dyDescent="0.25">
      <c r="A277" s="3" t="s">
        <v>27</v>
      </c>
      <c r="B277" s="3" t="s">
        <v>41</v>
      </c>
      <c r="C277" s="3" t="s">
        <v>40</v>
      </c>
      <c r="D277" s="3" t="s">
        <v>43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44378</v>
      </c>
      <c r="J277" s="4">
        <v>-41</v>
      </c>
      <c r="K277" s="4">
        <v>-41</v>
      </c>
      <c r="L277" s="4">
        <v>10.605</v>
      </c>
      <c r="M277" s="4">
        <v>10.605</v>
      </c>
      <c r="N277" s="4">
        <v>10.605</v>
      </c>
      <c r="O277" s="4">
        <v>10.605</v>
      </c>
      <c r="P277" s="4">
        <v>0</v>
      </c>
      <c r="Q277" s="3" t="s">
        <v>26</v>
      </c>
      <c r="R277" s="3">
        <v>0</v>
      </c>
      <c r="S277" s="4">
        <v>11</v>
      </c>
      <c r="T277" s="4">
        <v>110</v>
      </c>
      <c r="U277" s="4">
        <v>88</v>
      </c>
      <c r="V277" s="4">
        <v>62.23</v>
      </c>
      <c r="W277" s="4">
        <v>51.27</v>
      </c>
      <c r="X277" s="4">
        <v>365.5</v>
      </c>
      <c r="Y277" s="4">
        <v>76.426580837075718</v>
      </c>
      <c r="Z277" s="4">
        <v>68.100184485116927</v>
      </c>
      <c r="AA277" s="4">
        <v>381.42546590200942</v>
      </c>
      <c r="AB277" s="4">
        <v>-2551.4299999999998</v>
      </c>
      <c r="AC277" s="4">
        <v>543.7183500000001</v>
      </c>
      <c r="AD277" s="4">
        <v>3876.1275000000001</v>
      </c>
      <c r="AE277" s="4">
        <v>-3133.4898143201044</v>
      </c>
      <c r="AF277" s="4">
        <v>722.20245646466503</v>
      </c>
      <c r="AG277" s="4">
        <v>4045.01706589081</v>
      </c>
    </row>
    <row r="278" spans="1:33" ht="11.25" customHeight="1" x14ac:dyDescent="0.25">
      <c r="A278" s="3" t="s">
        <v>28</v>
      </c>
      <c r="B278" s="3" t="s">
        <v>41</v>
      </c>
      <c r="C278" s="3" t="s">
        <v>40</v>
      </c>
      <c r="D278" s="3" t="s">
        <v>43</v>
      </c>
      <c r="E278" s="3" t="s">
        <v>25</v>
      </c>
      <c r="F278" s="3" t="s">
        <v>25</v>
      </c>
      <c r="G278" s="3" t="s">
        <v>25</v>
      </c>
      <c r="H278" s="3" t="s">
        <v>34</v>
      </c>
      <c r="I278" s="6">
        <v>44378</v>
      </c>
      <c r="J278" s="4">
        <v>250</v>
      </c>
      <c r="K278" s="4">
        <v>250</v>
      </c>
      <c r="L278" s="4">
        <v>10.29</v>
      </c>
      <c r="M278" s="4">
        <v>10.29</v>
      </c>
      <c r="N278" s="4">
        <v>10.29</v>
      </c>
      <c r="O278" s="4">
        <v>10.29</v>
      </c>
      <c r="P278" s="4">
        <v>0</v>
      </c>
      <c r="Q278" s="3" t="s">
        <v>26</v>
      </c>
      <c r="R278" s="3">
        <v>0</v>
      </c>
      <c r="S278" s="4">
        <v>11</v>
      </c>
      <c r="T278" s="4">
        <v>110</v>
      </c>
      <c r="U278" s="4">
        <v>88</v>
      </c>
      <c r="V278" s="4">
        <v>62.23</v>
      </c>
      <c r="W278" s="4">
        <v>51.27</v>
      </c>
      <c r="X278" s="4">
        <v>365.5</v>
      </c>
      <c r="Y278" s="4">
        <v>76.426580837075718</v>
      </c>
      <c r="Z278" s="4">
        <v>68.100184485116927</v>
      </c>
      <c r="AA278" s="4">
        <v>381.42546590200942</v>
      </c>
      <c r="AB278" s="4">
        <v>15557.5</v>
      </c>
      <c r="AC278" s="4">
        <v>527.56830000000002</v>
      </c>
      <c r="AD278" s="4">
        <v>3760.9949999999999</v>
      </c>
      <c r="AE278" s="4">
        <v>19106.645209268929</v>
      </c>
      <c r="AF278" s="4">
        <v>700.75089835185315</v>
      </c>
      <c r="AG278" s="4">
        <v>3924.8680441316765</v>
      </c>
    </row>
    <row r="279" spans="1:33" ht="11.25" customHeight="1" x14ac:dyDescent="0.25">
      <c r="A279" s="3" t="s">
        <v>21</v>
      </c>
      <c r="B279" s="3" t="s">
        <v>41</v>
      </c>
      <c r="C279" s="3" t="s">
        <v>40</v>
      </c>
      <c r="D279" s="3" t="s">
        <v>43</v>
      </c>
      <c r="E279" s="3" t="s">
        <v>25</v>
      </c>
      <c r="F279" s="3" t="s">
        <v>25</v>
      </c>
      <c r="G279" s="3" t="s">
        <v>25</v>
      </c>
      <c r="H279" s="3" t="s">
        <v>34</v>
      </c>
      <c r="I279" s="6">
        <v>44409</v>
      </c>
      <c r="J279" s="4">
        <v>6720</v>
      </c>
      <c r="K279" s="4">
        <v>6720</v>
      </c>
      <c r="L279" s="4">
        <v>235.00700000000001</v>
      </c>
      <c r="M279" s="4">
        <v>235.00700000000001</v>
      </c>
      <c r="N279" s="4">
        <v>235.00700000000001</v>
      </c>
      <c r="O279" s="4">
        <v>235.00700000000001</v>
      </c>
      <c r="P279" s="4">
        <v>0</v>
      </c>
      <c r="Q279" s="3" t="s">
        <v>26</v>
      </c>
      <c r="R279" s="3">
        <v>0</v>
      </c>
      <c r="S279" s="4">
        <v>11</v>
      </c>
      <c r="T279" s="4">
        <v>110</v>
      </c>
      <c r="U279" s="4">
        <v>88</v>
      </c>
      <c r="V279" s="4">
        <v>62.23</v>
      </c>
      <c r="W279" s="4">
        <v>51.27</v>
      </c>
      <c r="X279" s="4">
        <v>365.5</v>
      </c>
      <c r="Y279" s="4">
        <v>76.426580837075718</v>
      </c>
      <c r="Z279" s="4">
        <v>68.100184485116927</v>
      </c>
      <c r="AA279" s="4">
        <v>381.42546590200942</v>
      </c>
      <c r="AB279" s="4">
        <v>418185.6</v>
      </c>
      <c r="AC279" s="4">
        <v>12048.80889</v>
      </c>
      <c r="AD279" s="4">
        <v>85895.058499999999</v>
      </c>
      <c r="AE279" s="4">
        <v>513586.62322514883</v>
      </c>
      <c r="AF279" s="4">
        <v>16004.020055293873</v>
      </c>
      <c r="AG279" s="4">
        <v>89637.654465233529</v>
      </c>
    </row>
    <row r="280" spans="1:33" ht="11.25" customHeight="1" x14ac:dyDescent="0.25">
      <c r="A280" s="3" t="s">
        <v>27</v>
      </c>
      <c r="B280" s="3" t="s">
        <v>41</v>
      </c>
      <c r="C280" s="3" t="s">
        <v>40</v>
      </c>
      <c r="D280" s="3" t="s">
        <v>43</v>
      </c>
      <c r="E280" s="3" t="s">
        <v>25</v>
      </c>
      <c r="F280" s="3" t="s">
        <v>25</v>
      </c>
      <c r="G280" s="3" t="s">
        <v>25</v>
      </c>
      <c r="H280" s="3" t="s">
        <v>34</v>
      </c>
      <c r="I280" s="6">
        <v>44409</v>
      </c>
      <c r="J280" s="4">
        <v>0</v>
      </c>
      <c r="K280" s="4">
        <v>0</v>
      </c>
      <c r="L280" s="4">
        <v>-0.309</v>
      </c>
      <c r="M280" s="4">
        <v>-0.309</v>
      </c>
      <c r="N280" s="4">
        <v>-0.309</v>
      </c>
      <c r="O280" s="4">
        <v>-0.309</v>
      </c>
      <c r="P280" s="4">
        <v>0</v>
      </c>
      <c r="Q280" s="3" t="s">
        <v>26</v>
      </c>
      <c r="R280" s="3">
        <v>0</v>
      </c>
      <c r="S280" s="4">
        <v>0</v>
      </c>
      <c r="T280" s="4">
        <v>110</v>
      </c>
      <c r="U280" s="4">
        <v>88</v>
      </c>
      <c r="V280" s="4">
        <v>0</v>
      </c>
      <c r="W280" s="4">
        <v>51.27</v>
      </c>
      <c r="X280" s="4">
        <v>365.5</v>
      </c>
      <c r="Y280" s="4">
        <v>76.426580837075718</v>
      </c>
      <c r="Z280" s="4">
        <v>68.100184485116927</v>
      </c>
      <c r="AA280" s="4">
        <v>381.42546590200942</v>
      </c>
      <c r="AB280" s="4">
        <v>0</v>
      </c>
      <c r="AC280" s="4">
        <v>-15.84243</v>
      </c>
      <c r="AD280" s="4">
        <v>-112.9395</v>
      </c>
      <c r="AE280" s="4">
        <v>0</v>
      </c>
      <c r="AF280" s="4">
        <v>-21.04295700590113</v>
      </c>
      <c r="AG280" s="4">
        <v>-117.8604689637209</v>
      </c>
    </row>
    <row r="281" spans="1:33" ht="11.25" customHeight="1" x14ac:dyDescent="0.25">
      <c r="A281" s="3" t="s">
        <v>28</v>
      </c>
      <c r="B281" s="3" t="s">
        <v>41</v>
      </c>
      <c r="C281" s="3" t="s">
        <v>40</v>
      </c>
      <c r="D281" s="3" t="s">
        <v>43</v>
      </c>
      <c r="E281" s="3" t="s">
        <v>25</v>
      </c>
      <c r="F281" s="3" t="s">
        <v>25</v>
      </c>
      <c r="G281" s="3" t="s">
        <v>25</v>
      </c>
      <c r="H281" s="3" t="s">
        <v>34</v>
      </c>
      <c r="I281" s="6">
        <v>44409</v>
      </c>
      <c r="J281" s="4">
        <v>250</v>
      </c>
      <c r="K281" s="4">
        <v>250</v>
      </c>
      <c r="L281" s="4">
        <v>10.5</v>
      </c>
      <c r="M281" s="4">
        <v>10.5</v>
      </c>
      <c r="N281" s="4">
        <v>10.5</v>
      </c>
      <c r="O281" s="4">
        <v>10.5</v>
      </c>
      <c r="P281" s="4">
        <v>0</v>
      </c>
      <c r="Q281" s="3" t="s">
        <v>26</v>
      </c>
      <c r="R281" s="3">
        <v>0</v>
      </c>
      <c r="S281" s="4">
        <v>11</v>
      </c>
      <c r="T281" s="4">
        <v>110</v>
      </c>
      <c r="U281" s="4">
        <v>88</v>
      </c>
      <c r="V281" s="4">
        <v>62.23</v>
      </c>
      <c r="W281" s="4">
        <v>51.27</v>
      </c>
      <c r="X281" s="4">
        <v>365.5</v>
      </c>
      <c r="Y281" s="4">
        <v>76.426580837075718</v>
      </c>
      <c r="Z281" s="4">
        <v>68.100184485116927</v>
      </c>
      <c r="AA281" s="4">
        <v>381.42546590200942</v>
      </c>
      <c r="AB281" s="4">
        <v>15557.5</v>
      </c>
      <c r="AC281" s="4">
        <v>538.33500000000004</v>
      </c>
      <c r="AD281" s="4">
        <v>3837.75</v>
      </c>
      <c r="AE281" s="4">
        <v>19106.645209268929</v>
      </c>
      <c r="AF281" s="4">
        <v>715.0519370937277</v>
      </c>
      <c r="AG281" s="4">
        <v>4004.967391971099</v>
      </c>
    </row>
    <row r="282" spans="1:33" ht="11.25" customHeight="1" x14ac:dyDescent="0.25">
      <c r="A282" s="3" t="s">
        <v>21</v>
      </c>
      <c r="B282" s="3" t="s">
        <v>41</v>
      </c>
      <c r="C282" s="3" t="s">
        <v>40</v>
      </c>
      <c r="D282" s="3" t="s">
        <v>43</v>
      </c>
      <c r="E282" s="3" t="s">
        <v>25</v>
      </c>
      <c r="F282" s="3" t="s">
        <v>25</v>
      </c>
      <c r="G282" s="3" t="s">
        <v>25</v>
      </c>
      <c r="H282" s="3" t="s">
        <v>34</v>
      </c>
      <c r="I282" s="6">
        <v>44440</v>
      </c>
      <c r="J282" s="4">
        <v>6749</v>
      </c>
      <c r="K282" s="4">
        <v>6749</v>
      </c>
      <c r="L282" s="4">
        <v>238.81299999999999</v>
      </c>
      <c r="M282" s="4">
        <v>238.81299999999999</v>
      </c>
      <c r="N282" s="4">
        <v>238.81299999999999</v>
      </c>
      <c r="O282" s="4">
        <v>238.81299999999999</v>
      </c>
      <c r="P282" s="4">
        <v>0</v>
      </c>
      <c r="Q282" s="3" t="s">
        <v>26</v>
      </c>
      <c r="R282" s="3">
        <v>0</v>
      </c>
      <c r="S282" s="4">
        <v>11</v>
      </c>
      <c r="T282" s="4">
        <v>110</v>
      </c>
      <c r="U282" s="4">
        <v>88</v>
      </c>
      <c r="V282" s="4">
        <v>62.23</v>
      </c>
      <c r="W282" s="4">
        <v>51.27</v>
      </c>
      <c r="X282" s="4">
        <v>365.5</v>
      </c>
      <c r="Y282" s="4">
        <v>76.426580837075718</v>
      </c>
      <c r="Z282" s="4">
        <v>68.100184485116927</v>
      </c>
      <c r="AA282" s="4">
        <v>381.42546590200942</v>
      </c>
      <c r="AB282" s="4">
        <v>419990.26999999996</v>
      </c>
      <c r="AC282" s="4">
        <v>12243.942510000001</v>
      </c>
      <c r="AD282" s="4">
        <v>87286.151499999993</v>
      </c>
      <c r="AE282" s="4">
        <v>515802.99406942405</v>
      </c>
      <c r="AF282" s="4">
        <v>16263.209357444228</v>
      </c>
      <c r="AG282" s="4">
        <v>91089.359788456568</v>
      </c>
    </row>
    <row r="283" spans="1:33" ht="11.25" customHeight="1" x14ac:dyDescent="0.25">
      <c r="A283" s="3" t="s">
        <v>28</v>
      </c>
      <c r="B283" s="3" t="s">
        <v>41</v>
      </c>
      <c r="C283" s="3" t="s">
        <v>40</v>
      </c>
      <c r="D283" s="3" t="s">
        <v>43</v>
      </c>
      <c r="E283" s="3" t="s">
        <v>25</v>
      </c>
      <c r="F283" s="3" t="s">
        <v>25</v>
      </c>
      <c r="G283" s="3" t="s">
        <v>25</v>
      </c>
      <c r="H283" s="3" t="s">
        <v>34</v>
      </c>
      <c r="I283" s="6">
        <v>44440</v>
      </c>
      <c r="J283" s="4">
        <v>250</v>
      </c>
      <c r="K283" s="4">
        <v>250</v>
      </c>
      <c r="L283" s="4">
        <v>10.5</v>
      </c>
      <c r="M283" s="4">
        <v>10.5</v>
      </c>
      <c r="N283" s="4">
        <v>10.5</v>
      </c>
      <c r="O283" s="4">
        <v>10.5</v>
      </c>
      <c r="P283" s="4">
        <v>0</v>
      </c>
      <c r="Q283" s="3" t="s">
        <v>26</v>
      </c>
      <c r="R283" s="3">
        <v>0</v>
      </c>
      <c r="S283" s="4">
        <v>11</v>
      </c>
      <c r="T283" s="4">
        <v>110</v>
      </c>
      <c r="U283" s="4">
        <v>88</v>
      </c>
      <c r="V283" s="4">
        <v>62.23</v>
      </c>
      <c r="W283" s="4">
        <v>51.27</v>
      </c>
      <c r="X283" s="4">
        <v>365.5</v>
      </c>
      <c r="Y283" s="4">
        <v>76.426580837075718</v>
      </c>
      <c r="Z283" s="4">
        <v>68.100184485116927</v>
      </c>
      <c r="AA283" s="4">
        <v>381.42546590200942</v>
      </c>
      <c r="AB283" s="4">
        <v>15557.5</v>
      </c>
      <c r="AC283" s="4">
        <v>538.33500000000004</v>
      </c>
      <c r="AD283" s="4">
        <v>3837.75</v>
      </c>
      <c r="AE283" s="4">
        <v>19106.645209268929</v>
      </c>
      <c r="AF283" s="4">
        <v>715.0519370937277</v>
      </c>
      <c r="AG283" s="4">
        <v>4004.967391971099</v>
      </c>
    </row>
    <row r="284" spans="1:33" ht="11.25" customHeight="1" x14ac:dyDescent="0.25">
      <c r="A284" s="3" t="s">
        <v>21</v>
      </c>
      <c r="B284" s="3" t="s">
        <v>41</v>
      </c>
      <c r="C284" s="3" t="s">
        <v>40</v>
      </c>
      <c r="D284" s="3" t="s">
        <v>43</v>
      </c>
      <c r="E284" s="3" t="s">
        <v>25</v>
      </c>
      <c r="F284" s="3" t="s">
        <v>25</v>
      </c>
      <c r="G284" s="3" t="s">
        <v>25</v>
      </c>
      <c r="H284" s="3" t="s">
        <v>34</v>
      </c>
      <c r="I284" s="6">
        <v>44470</v>
      </c>
      <c r="J284" s="4">
        <v>7064</v>
      </c>
      <c r="K284" s="4">
        <v>7064</v>
      </c>
      <c r="L284" s="4">
        <v>247.87299999999999</v>
      </c>
      <c r="M284" s="4">
        <v>247.87299999999999</v>
      </c>
      <c r="N284" s="4">
        <v>247.87299999999999</v>
      </c>
      <c r="O284" s="4">
        <v>247.87299999999999</v>
      </c>
      <c r="P284" s="4">
        <v>0</v>
      </c>
      <c r="Q284" s="3" t="s">
        <v>26</v>
      </c>
      <c r="R284" s="3">
        <v>0</v>
      </c>
      <c r="S284" s="4">
        <v>11</v>
      </c>
      <c r="T284" s="4">
        <v>110</v>
      </c>
      <c r="U284" s="4">
        <v>88</v>
      </c>
      <c r="V284" s="4">
        <v>62.23</v>
      </c>
      <c r="W284" s="4">
        <v>51.27</v>
      </c>
      <c r="X284" s="4">
        <v>365.5</v>
      </c>
      <c r="Y284" s="4">
        <v>76.426580837075718</v>
      </c>
      <c r="Z284" s="4">
        <v>68.100184485116927</v>
      </c>
      <c r="AA284" s="4">
        <v>381.42546590200942</v>
      </c>
      <c r="AB284" s="4">
        <v>439592.72</v>
      </c>
      <c r="AC284" s="4">
        <v>12708.448710000001</v>
      </c>
      <c r="AD284" s="4">
        <v>90597.5815</v>
      </c>
      <c r="AE284" s="4">
        <v>539877.3670331029</v>
      </c>
      <c r="AF284" s="4">
        <v>16880.197028879389</v>
      </c>
      <c r="AG284" s="4">
        <v>94545.074509528771</v>
      </c>
    </row>
    <row r="285" spans="1:33" ht="11.25" customHeight="1" x14ac:dyDescent="0.25">
      <c r="A285" s="3" t="s">
        <v>28</v>
      </c>
      <c r="B285" s="3" t="s">
        <v>41</v>
      </c>
      <c r="C285" s="3" t="s">
        <v>40</v>
      </c>
      <c r="D285" s="3" t="s">
        <v>43</v>
      </c>
      <c r="E285" s="3" t="s">
        <v>25</v>
      </c>
      <c r="F285" s="3" t="s">
        <v>25</v>
      </c>
      <c r="G285" s="3" t="s">
        <v>25</v>
      </c>
      <c r="H285" s="3" t="s">
        <v>34</v>
      </c>
      <c r="I285" s="6">
        <v>44470</v>
      </c>
      <c r="J285" s="4">
        <v>250</v>
      </c>
      <c r="K285" s="4">
        <v>250</v>
      </c>
      <c r="L285" s="4">
        <v>10.71</v>
      </c>
      <c r="M285" s="4">
        <v>10.71</v>
      </c>
      <c r="N285" s="4">
        <v>10.71</v>
      </c>
      <c r="O285" s="4">
        <v>10.71</v>
      </c>
      <c r="P285" s="4">
        <v>0</v>
      </c>
      <c r="Q285" s="3" t="s">
        <v>26</v>
      </c>
      <c r="R285" s="3">
        <v>0</v>
      </c>
      <c r="S285" s="4">
        <v>11</v>
      </c>
      <c r="T285" s="4">
        <v>110</v>
      </c>
      <c r="U285" s="4">
        <v>88</v>
      </c>
      <c r="V285" s="4">
        <v>62.23</v>
      </c>
      <c r="W285" s="4">
        <v>51.27</v>
      </c>
      <c r="X285" s="4">
        <v>365.5</v>
      </c>
      <c r="Y285" s="4">
        <v>76.426580837075718</v>
      </c>
      <c r="Z285" s="4">
        <v>68.100184485116927</v>
      </c>
      <c r="AA285" s="4">
        <v>381.42546590200942</v>
      </c>
      <c r="AB285" s="4">
        <v>15557.5</v>
      </c>
      <c r="AC285" s="4">
        <v>549.10170000000005</v>
      </c>
      <c r="AD285" s="4">
        <v>3914.5050000000001</v>
      </c>
      <c r="AE285" s="4">
        <v>19106.645209268929</v>
      </c>
      <c r="AF285" s="4">
        <v>729.35297583560236</v>
      </c>
      <c r="AG285" s="4">
        <v>4085.0667398105211</v>
      </c>
    </row>
    <row r="286" spans="1:33" ht="11.25" customHeight="1" x14ac:dyDescent="0.25">
      <c r="A286" s="3" t="s">
        <v>21</v>
      </c>
      <c r="B286" s="3" t="s">
        <v>41</v>
      </c>
      <c r="C286" s="3" t="s">
        <v>40</v>
      </c>
      <c r="D286" s="3" t="s">
        <v>43</v>
      </c>
      <c r="E286" s="3" t="s">
        <v>25</v>
      </c>
      <c r="F286" s="3" t="s">
        <v>25</v>
      </c>
      <c r="G286" s="3" t="s">
        <v>25</v>
      </c>
      <c r="H286" s="3" t="s">
        <v>34</v>
      </c>
      <c r="I286" s="6">
        <v>44501</v>
      </c>
      <c r="J286" s="4">
        <v>7049</v>
      </c>
      <c r="K286" s="4">
        <v>7049</v>
      </c>
      <c r="L286" s="4">
        <v>251.01900000000001</v>
      </c>
      <c r="M286" s="4">
        <v>251.01900000000001</v>
      </c>
      <c r="N286" s="4">
        <v>251.01900000000001</v>
      </c>
      <c r="O286" s="4">
        <v>251.01900000000001</v>
      </c>
      <c r="P286" s="4">
        <v>0</v>
      </c>
      <c r="Q286" s="3" t="s">
        <v>26</v>
      </c>
      <c r="R286" s="3">
        <v>0</v>
      </c>
      <c r="S286" s="4">
        <v>11</v>
      </c>
      <c r="T286" s="4">
        <v>110</v>
      </c>
      <c r="U286" s="4">
        <v>88</v>
      </c>
      <c r="V286" s="4">
        <v>62.23</v>
      </c>
      <c r="W286" s="4">
        <v>51.27</v>
      </c>
      <c r="X286" s="4">
        <v>365.5</v>
      </c>
      <c r="Y286" s="4">
        <v>76.426580837075718</v>
      </c>
      <c r="Z286" s="4">
        <v>68.100184485116927</v>
      </c>
      <c r="AA286" s="4">
        <v>381.42546590200942</v>
      </c>
      <c r="AB286" s="4">
        <v>438659.26999999996</v>
      </c>
      <c r="AC286" s="4">
        <v>12869.744130000001</v>
      </c>
      <c r="AD286" s="4">
        <v>91747.444499999998</v>
      </c>
      <c r="AE286" s="4">
        <v>538730.96832054679</v>
      </c>
      <c r="AF286" s="4">
        <v>17094.440209269567</v>
      </c>
      <c r="AG286" s="4">
        <v>95745.039025256512</v>
      </c>
    </row>
    <row r="287" spans="1:33" ht="11.25" customHeight="1" x14ac:dyDescent="0.25">
      <c r="A287" s="3" t="s">
        <v>21</v>
      </c>
      <c r="B287" s="3" t="s">
        <v>41</v>
      </c>
      <c r="C287" s="3" t="s">
        <v>40</v>
      </c>
      <c r="D287" s="3" t="s">
        <v>43</v>
      </c>
      <c r="E287" s="3" t="s">
        <v>25</v>
      </c>
      <c r="F287" s="3" t="s">
        <v>25</v>
      </c>
      <c r="G287" s="3" t="s">
        <v>25</v>
      </c>
      <c r="H287" s="3" t="s">
        <v>34</v>
      </c>
      <c r="I287" s="6">
        <v>44531</v>
      </c>
      <c r="J287" s="4">
        <v>7020</v>
      </c>
      <c r="K287" s="4">
        <v>7020</v>
      </c>
      <c r="L287" s="4">
        <v>285.47399999999999</v>
      </c>
      <c r="M287" s="4">
        <v>285.47399999999999</v>
      </c>
      <c r="N287" s="4">
        <v>285.47399999999999</v>
      </c>
      <c r="O287" s="4">
        <v>285.47399999999999</v>
      </c>
      <c r="P287" s="4">
        <v>0</v>
      </c>
      <c r="Q287" s="3" t="s">
        <v>26</v>
      </c>
      <c r="R287" s="3">
        <v>0</v>
      </c>
      <c r="S287" s="4">
        <v>11</v>
      </c>
      <c r="T287" s="4">
        <v>110</v>
      </c>
      <c r="U287" s="4">
        <v>88</v>
      </c>
      <c r="V287" s="4">
        <v>62.23</v>
      </c>
      <c r="W287" s="4">
        <v>51.27</v>
      </c>
      <c r="X287" s="4">
        <v>365.5</v>
      </c>
      <c r="Y287" s="4">
        <v>76.426580837075718</v>
      </c>
      <c r="Z287" s="4">
        <v>68.100184485116927</v>
      </c>
      <c r="AA287" s="4">
        <v>381.42546590200942</v>
      </c>
      <c r="AB287" s="4">
        <v>436854.6</v>
      </c>
      <c r="AC287" s="4">
        <v>14636.251980000001</v>
      </c>
      <c r="AD287" s="4">
        <v>104340.747</v>
      </c>
      <c r="AE287" s="4">
        <v>536514.59747627156</v>
      </c>
      <c r="AF287" s="4">
        <v>19440.832065704268</v>
      </c>
      <c r="AG287" s="4">
        <v>108887.05345291023</v>
      </c>
    </row>
    <row r="288" spans="1:33" ht="11.25" customHeight="1" x14ac:dyDescent="0.25">
      <c r="A288" s="3" t="s">
        <v>21</v>
      </c>
      <c r="B288" s="3" t="s">
        <v>41</v>
      </c>
      <c r="C288" s="3" t="s">
        <v>40</v>
      </c>
      <c r="D288" s="3" t="s">
        <v>43</v>
      </c>
      <c r="E288" s="3" t="s">
        <v>25</v>
      </c>
      <c r="F288" s="3" t="s">
        <v>25</v>
      </c>
      <c r="G288" s="3" t="s">
        <v>25</v>
      </c>
      <c r="H288" s="3" t="s">
        <v>34</v>
      </c>
      <c r="I288" s="6">
        <v>44562</v>
      </c>
      <c r="J288" s="4">
        <v>6939</v>
      </c>
      <c r="K288" s="4">
        <v>6939</v>
      </c>
      <c r="L288" s="4">
        <v>274.18099999999998</v>
      </c>
      <c r="M288" s="4">
        <v>274.18099999999998</v>
      </c>
      <c r="N288" s="4">
        <v>274.18099999999998</v>
      </c>
      <c r="O288" s="4">
        <v>274.18099999999998</v>
      </c>
      <c r="P288" s="4">
        <v>0</v>
      </c>
      <c r="Q288" s="3" t="s">
        <v>26</v>
      </c>
      <c r="R288" s="3">
        <v>0</v>
      </c>
      <c r="S288" s="4">
        <v>11</v>
      </c>
      <c r="T288" s="4">
        <v>110</v>
      </c>
      <c r="U288" s="4">
        <v>88</v>
      </c>
      <c r="V288" s="4">
        <v>62.23</v>
      </c>
      <c r="W288" s="4">
        <v>51.27</v>
      </c>
      <c r="X288" s="4">
        <v>365.5</v>
      </c>
      <c r="Y288" s="4">
        <v>76.426580837075718</v>
      </c>
      <c r="Z288" s="4">
        <v>68.100184485116927</v>
      </c>
      <c r="AA288" s="4">
        <v>381.42546590200942</v>
      </c>
      <c r="AB288" s="4">
        <v>431813.97</v>
      </c>
      <c r="AC288" s="4">
        <v>14057.25987</v>
      </c>
      <c r="AD288" s="4">
        <v>100213.15549999999</v>
      </c>
      <c r="AE288" s="4">
        <v>530324.04442846845</v>
      </c>
      <c r="AF288" s="4">
        <v>18671.776682313845</v>
      </c>
      <c r="AG288" s="4">
        <v>104579.61566647884</v>
      </c>
    </row>
    <row r="289" spans="1:33" ht="11.25" customHeight="1" x14ac:dyDescent="0.25">
      <c r="A289" s="3" t="s">
        <v>28</v>
      </c>
      <c r="B289" s="3" t="s">
        <v>41</v>
      </c>
      <c r="C289" s="3" t="s">
        <v>40</v>
      </c>
      <c r="D289" s="3" t="s">
        <v>43</v>
      </c>
      <c r="E289" s="3" t="s">
        <v>25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75</v>
      </c>
      <c r="K289" s="4">
        <v>75</v>
      </c>
      <c r="L289" s="4">
        <v>2.786</v>
      </c>
      <c r="M289" s="4">
        <v>2.786</v>
      </c>
      <c r="N289" s="4">
        <v>2.786</v>
      </c>
      <c r="O289" s="4">
        <v>2.786</v>
      </c>
      <c r="P289" s="4">
        <v>0</v>
      </c>
      <c r="Q289" s="3" t="s">
        <v>26</v>
      </c>
      <c r="R289" s="3">
        <v>0</v>
      </c>
      <c r="S289" s="4">
        <v>11</v>
      </c>
      <c r="T289" s="4">
        <v>110</v>
      </c>
      <c r="U289" s="4">
        <v>88</v>
      </c>
      <c r="V289" s="4">
        <v>62.23</v>
      </c>
      <c r="W289" s="4">
        <v>51.27</v>
      </c>
      <c r="X289" s="4">
        <v>365.5</v>
      </c>
      <c r="Y289" s="4">
        <v>76.426580837075718</v>
      </c>
      <c r="Z289" s="4">
        <v>68.100184485116927</v>
      </c>
      <c r="AA289" s="4">
        <v>381.42546590200942</v>
      </c>
      <c r="AB289" s="4">
        <v>4667.25</v>
      </c>
      <c r="AC289" s="4">
        <v>142.83822000000001</v>
      </c>
      <c r="AD289" s="4">
        <v>1018.283</v>
      </c>
      <c r="AE289" s="4">
        <v>5731.993562780679</v>
      </c>
      <c r="AF289" s="4">
        <v>189.72711397553576</v>
      </c>
      <c r="AG289" s="4">
        <v>1062.6513480029982</v>
      </c>
    </row>
    <row r="290" spans="1:33" ht="11.25" customHeight="1" x14ac:dyDescent="0.25">
      <c r="A290" s="3" t="s">
        <v>21</v>
      </c>
      <c r="B290" s="3" t="s">
        <v>41</v>
      </c>
      <c r="C290" s="3" t="s">
        <v>40</v>
      </c>
      <c r="D290" s="3" t="s">
        <v>43</v>
      </c>
      <c r="E290" s="3" t="s">
        <v>25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7064</v>
      </c>
      <c r="K290" s="4">
        <v>7064</v>
      </c>
      <c r="L290" s="4">
        <v>267.75</v>
      </c>
      <c r="M290" s="4">
        <v>267.75</v>
      </c>
      <c r="N290" s="4">
        <v>267.75</v>
      </c>
      <c r="O290" s="4">
        <v>267.75</v>
      </c>
      <c r="P290" s="4">
        <v>0</v>
      </c>
      <c r="Q290" s="3" t="s">
        <v>26</v>
      </c>
      <c r="R290" s="3">
        <v>0</v>
      </c>
      <c r="S290" s="4">
        <v>11</v>
      </c>
      <c r="T290" s="4">
        <v>110</v>
      </c>
      <c r="U290" s="4">
        <v>88</v>
      </c>
      <c r="V290" s="4">
        <v>62.23</v>
      </c>
      <c r="W290" s="4">
        <v>51.27</v>
      </c>
      <c r="X290" s="4">
        <v>365.5</v>
      </c>
      <c r="Y290" s="4">
        <v>76.426580837075718</v>
      </c>
      <c r="Z290" s="4">
        <v>68.100184485116927</v>
      </c>
      <c r="AA290" s="4">
        <v>381.42546590200942</v>
      </c>
      <c r="AB290" s="4">
        <v>439592.72</v>
      </c>
      <c r="AC290" s="4">
        <v>13727.542500000001</v>
      </c>
      <c r="AD290" s="4">
        <v>97862.625</v>
      </c>
      <c r="AE290" s="4">
        <v>539877.3670331029</v>
      </c>
      <c r="AF290" s="4">
        <v>18233.824395890057</v>
      </c>
      <c r="AG290" s="4">
        <v>102126.66849526302</v>
      </c>
    </row>
    <row r="291" spans="1:33" ht="11.25" customHeight="1" x14ac:dyDescent="0.25">
      <c r="A291" s="3" t="s">
        <v>27</v>
      </c>
      <c r="B291" s="3" t="s">
        <v>41</v>
      </c>
      <c r="C291" s="3" t="s">
        <v>40</v>
      </c>
      <c r="D291" s="3" t="s">
        <v>43</v>
      </c>
      <c r="E291" s="3" t="s">
        <v>25</v>
      </c>
      <c r="F291" s="3" t="s">
        <v>25</v>
      </c>
      <c r="G291" s="3" t="s">
        <v>25</v>
      </c>
      <c r="H291" s="3" t="s">
        <v>34</v>
      </c>
      <c r="I291" s="6">
        <v>44593</v>
      </c>
      <c r="J291" s="4">
        <v>80</v>
      </c>
      <c r="K291" s="4">
        <v>80</v>
      </c>
      <c r="L291" s="4">
        <v>4.4420000000000002</v>
      </c>
      <c r="M291" s="4">
        <v>4.4420000000000002</v>
      </c>
      <c r="N291" s="4">
        <v>4.4420000000000002</v>
      </c>
      <c r="O291" s="4">
        <v>4.4420000000000002</v>
      </c>
      <c r="P291" s="4">
        <v>0</v>
      </c>
      <c r="Q291" s="3" t="s">
        <v>26</v>
      </c>
      <c r="R291" s="3">
        <v>0</v>
      </c>
      <c r="S291" s="4">
        <v>11</v>
      </c>
      <c r="T291" s="4">
        <v>110</v>
      </c>
      <c r="U291" s="4">
        <v>88</v>
      </c>
      <c r="V291" s="4">
        <v>62.23</v>
      </c>
      <c r="W291" s="4">
        <v>51.27</v>
      </c>
      <c r="X291" s="4">
        <v>365.5</v>
      </c>
      <c r="Y291" s="4">
        <v>76.426580837075718</v>
      </c>
      <c r="Z291" s="4">
        <v>68.100184485116927</v>
      </c>
      <c r="AA291" s="4">
        <v>381.42546590200942</v>
      </c>
      <c r="AB291" s="4">
        <v>4978.3999999999996</v>
      </c>
      <c r="AC291" s="4">
        <v>227.74134000000004</v>
      </c>
      <c r="AD291" s="4">
        <v>1623.5510000000002</v>
      </c>
      <c r="AE291" s="4">
        <v>6114.1264669660577</v>
      </c>
      <c r="AF291" s="4">
        <v>302.50101948288938</v>
      </c>
      <c r="AG291" s="4">
        <v>1694.2919195367258</v>
      </c>
    </row>
    <row r="292" spans="1:33" ht="11.25" customHeight="1" x14ac:dyDescent="0.25">
      <c r="A292" s="3" t="s">
        <v>56</v>
      </c>
      <c r="B292" s="3" t="s">
        <v>41</v>
      </c>
      <c r="C292" s="3" t="s">
        <v>40</v>
      </c>
      <c r="D292" s="3" t="s">
        <v>43</v>
      </c>
      <c r="E292" s="3" t="s">
        <v>25</v>
      </c>
      <c r="F292" s="3" t="s">
        <v>25</v>
      </c>
      <c r="G292" s="3" t="s">
        <v>25</v>
      </c>
      <c r="H292" s="3" t="s">
        <v>34</v>
      </c>
      <c r="I292" s="6">
        <v>44621</v>
      </c>
      <c r="J292" s="4">
        <v>7064</v>
      </c>
      <c r="K292" s="4">
        <v>7064</v>
      </c>
      <c r="L292" s="4">
        <v>267.75</v>
      </c>
      <c r="M292" s="4">
        <v>267.75</v>
      </c>
      <c r="N292" s="4">
        <v>267.75</v>
      </c>
      <c r="O292" s="4">
        <v>267.75</v>
      </c>
      <c r="P292" s="4">
        <v>0</v>
      </c>
      <c r="Q292" s="3" t="s">
        <v>26</v>
      </c>
      <c r="R292" s="3">
        <v>0</v>
      </c>
      <c r="S292" s="4">
        <v>11</v>
      </c>
      <c r="T292" s="4">
        <v>110</v>
      </c>
      <c r="U292" s="4">
        <v>88</v>
      </c>
      <c r="V292" s="4">
        <v>62.23</v>
      </c>
      <c r="W292" s="4">
        <v>51.27</v>
      </c>
      <c r="X292" s="4">
        <v>365.5</v>
      </c>
      <c r="Y292" s="4">
        <v>76.426580837075718</v>
      </c>
      <c r="Z292" s="4">
        <v>68.100184485116927</v>
      </c>
      <c r="AA292" s="4">
        <v>381.42546590200942</v>
      </c>
      <c r="AB292" s="4">
        <v>439592.72</v>
      </c>
      <c r="AC292" s="4">
        <v>13727.542500000001</v>
      </c>
      <c r="AD292" s="4">
        <v>97862.625</v>
      </c>
      <c r="AE292" s="4">
        <v>539877.3670331029</v>
      </c>
      <c r="AF292" s="4">
        <v>18233.824395890057</v>
      </c>
      <c r="AG292" s="4">
        <v>102126.66849526302</v>
      </c>
    </row>
    <row r="293" spans="1:33" ht="11.25" customHeight="1" x14ac:dyDescent="0.25">
      <c r="A293" s="3" t="s">
        <v>56</v>
      </c>
      <c r="B293" s="3" t="s">
        <v>41</v>
      </c>
      <c r="C293" s="3" t="s">
        <v>40</v>
      </c>
      <c r="D293" s="3" t="s">
        <v>43</v>
      </c>
      <c r="E293" s="3" t="s">
        <v>25</v>
      </c>
      <c r="F293" s="3" t="s">
        <v>25</v>
      </c>
      <c r="G293" s="3" t="s">
        <v>25</v>
      </c>
      <c r="H293" s="3" t="s">
        <v>34</v>
      </c>
      <c r="I293" s="6">
        <v>44621</v>
      </c>
      <c r="J293" s="4">
        <v>80</v>
      </c>
      <c r="K293" s="4">
        <v>80</v>
      </c>
      <c r="L293" s="4">
        <v>4.4420000000000002</v>
      </c>
      <c r="M293" s="4">
        <v>4.4420000000000002</v>
      </c>
      <c r="N293" s="4">
        <v>4.4420000000000002</v>
      </c>
      <c r="O293" s="4">
        <v>4.4420000000000002</v>
      </c>
      <c r="P293" s="4">
        <v>0</v>
      </c>
      <c r="Q293" s="3" t="s">
        <v>26</v>
      </c>
      <c r="R293" s="3">
        <v>0</v>
      </c>
      <c r="S293" s="4">
        <v>11</v>
      </c>
      <c r="T293" s="4">
        <v>110</v>
      </c>
      <c r="U293" s="4">
        <v>88</v>
      </c>
      <c r="V293" s="4">
        <v>62.23</v>
      </c>
      <c r="W293" s="4">
        <v>51.27</v>
      </c>
      <c r="X293" s="4">
        <v>365.5</v>
      </c>
      <c r="Y293" s="4">
        <v>76.426580837075718</v>
      </c>
      <c r="Z293" s="4">
        <v>68.100184485116927</v>
      </c>
      <c r="AA293" s="4">
        <v>381.42546590200942</v>
      </c>
      <c r="AB293" s="4">
        <v>4978.3999999999996</v>
      </c>
      <c r="AC293" s="4">
        <v>227.74134000000004</v>
      </c>
      <c r="AD293" s="4">
        <v>1623.5510000000002</v>
      </c>
      <c r="AE293" s="4">
        <v>6114.1264669660577</v>
      </c>
      <c r="AF293" s="4">
        <v>302.50101948288938</v>
      </c>
      <c r="AG293" s="4">
        <v>1694.2919195367258</v>
      </c>
    </row>
    <row r="294" spans="1:33" ht="11.25" customHeight="1" x14ac:dyDescent="0.25">
      <c r="A294" s="3" t="s">
        <v>21</v>
      </c>
      <c r="B294" s="3" t="s">
        <v>41</v>
      </c>
      <c r="C294" s="3" t="s">
        <v>40</v>
      </c>
      <c r="D294" s="3" t="s">
        <v>38</v>
      </c>
      <c r="E294" s="3" t="s">
        <v>25</v>
      </c>
      <c r="F294" s="3" t="s">
        <v>60</v>
      </c>
      <c r="G294" s="3" t="s">
        <v>25</v>
      </c>
      <c r="H294" s="3" t="s">
        <v>35</v>
      </c>
      <c r="I294" s="6">
        <v>44287</v>
      </c>
      <c r="J294" s="4">
        <v>25789</v>
      </c>
      <c r="K294" s="4">
        <v>13282.53083593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3" t="s">
        <v>57</v>
      </c>
      <c r="R294" s="3">
        <v>0</v>
      </c>
      <c r="S294" s="4">
        <v>12</v>
      </c>
      <c r="T294" s="4">
        <v>0</v>
      </c>
      <c r="U294" s="4">
        <v>0</v>
      </c>
      <c r="V294" s="4">
        <v>24.31</v>
      </c>
      <c r="W294" s="4">
        <v>0</v>
      </c>
      <c r="X294" s="4">
        <v>0</v>
      </c>
      <c r="Y294" s="4">
        <v>27.784764762164471</v>
      </c>
      <c r="Z294" s="4">
        <v>68.100184485116927</v>
      </c>
      <c r="AA294" s="4"/>
      <c r="AB294" s="4">
        <v>322898.32462145831</v>
      </c>
      <c r="AC294" s="4">
        <v>0</v>
      </c>
      <c r="AD294" s="4">
        <v>0</v>
      </c>
      <c r="AE294" s="4">
        <v>369051.99472251086</v>
      </c>
      <c r="AF294" s="4">
        <v>0</v>
      </c>
      <c r="AG294" s="4">
        <v>0</v>
      </c>
    </row>
    <row r="295" spans="1:33" ht="11.25" customHeight="1" x14ac:dyDescent="0.25">
      <c r="A295" s="3" t="s">
        <v>21</v>
      </c>
      <c r="B295" s="3" t="s">
        <v>41</v>
      </c>
      <c r="C295" s="3" t="s">
        <v>40</v>
      </c>
      <c r="D295" s="3" t="s">
        <v>38</v>
      </c>
      <c r="E295" s="3" t="s">
        <v>25</v>
      </c>
      <c r="F295" s="3" t="s">
        <v>60</v>
      </c>
      <c r="G295" s="3" t="s">
        <v>25</v>
      </c>
      <c r="H295" s="3" t="s">
        <v>35</v>
      </c>
      <c r="I295" s="6">
        <v>44317</v>
      </c>
      <c r="J295" s="4">
        <v>25686</v>
      </c>
      <c r="K295" s="4">
        <v>13354.910421299999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3" t="s">
        <v>57</v>
      </c>
      <c r="R295" s="3">
        <v>0</v>
      </c>
      <c r="S295" s="4">
        <v>12</v>
      </c>
      <c r="T295" s="4">
        <v>0</v>
      </c>
      <c r="U295" s="4">
        <v>0</v>
      </c>
      <c r="V295" s="4">
        <v>24.31</v>
      </c>
      <c r="W295" s="4">
        <v>0</v>
      </c>
      <c r="X295" s="4">
        <v>0</v>
      </c>
      <c r="Y295" s="4">
        <v>27.784764762164471</v>
      </c>
      <c r="Z295" s="4">
        <v>68.100184485116927</v>
      </c>
      <c r="AA295" s="4"/>
      <c r="AB295" s="4">
        <v>324657.87234180298</v>
      </c>
      <c r="AC295" s="4">
        <v>0</v>
      </c>
      <c r="AD295" s="4">
        <v>0</v>
      </c>
      <c r="AE295" s="4">
        <v>371063.04447559931</v>
      </c>
      <c r="AF295" s="4">
        <v>0</v>
      </c>
      <c r="AG295" s="4">
        <v>0</v>
      </c>
    </row>
    <row r="296" spans="1:33" ht="11.25" customHeight="1" x14ac:dyDescent="0.25">
      <c r="A296" s="3" t="s">
        <v>21</v>
      </c>
      <c r="B296" s="3" t="s">
        <v>41</v>
      </c>
      <c r="C296" s="3" t="s">
        <v>40</v>
      </c>
      <c r="D296" s="3" t="s">
        <v>38</v>
      </c>
      <c r="E296" s="3" t="s">
        <v>25</v>
      </c>
      <c r="F296" s="3" t="s">
        <v>60</v>
      </c>
      <c r="G296" s="3" t="s">
        <v>25</v>
      </c>
      <c r="H296" s="3" t="s">
        <v>35</v>
      </c>
      <c r="I296" s="6">
        <v>44348</v>
      </c>
      <c r="J296" s="4">
        <v>27204</v>
      </c>
      <c r="K296" s="4">
        <v>14085.476016959999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3" t="s">
        <v>57</v>
      </c>
      <c r="R296" s="3">
        <v>0</v>
      </c>
      <c r="S296" s="4">
        <v>12</v>
      </c>
      <c r="T296" s="4">
        <v>0</v>
      </c>
      <c r="U296" s="4">
        <v>0</v>
      </c>
      <c r="V296" s="4">
        <v>24.31</v>
      </c>
      <c r="W296" s="4">
        <v>0</v>
      </c>
      <c r="X296" s="4">
        <v>0</v>
      </c>
      <c r="Y296" s="4">
        <v>27.784764762164471</v>
      </c>
      <c r="Z296" s="4">
        <v>68.100184485116927</v>
      </c>
      <c r="AA296" s="4"/>
      <c r="AB296" s="4">
        <v>342417.9219722976</v>
      </c>
      <c r="AC296" s="4">
        <v>0</v>
      </c>
      <c r="AD296" s="4">
        <v>0</v>
      </c>
      <c r="AE296" s="4">
        <v>391361.63769434293</v>
      </c>
      <c r="AF296" s="4">
        <v>0</v>
      </c>
      <c r="AG296" s="4">
        <v>0</v>
      </c>
    </row>
    <row r="297" spans="1:33" ht="11.25" customHeight="1" x14ac:dyDescent="0.25">
      <c r="A297" s="3" t="s">
        <v>21</v>
      </c>
      <c r="B297" s="3" t="s">
        <v>41</v>
      </c>
      <c r="C297" s="3" t="s">
        <v>40</v>
      </c>
      <c r="D297" s="3" t="s">
        <v>38</v>
      </c>
      <c r="E297" s="3" t="s">
        <v>25</v>
      </c>
      <c r="F297" s="3" t="s">
        <v>60</v>
      </c>
      <c r="G297" s="3" t="s">
        <v>25</v>
      </c>
      <c r="H297" s="3" t="s">
        <v>35</v>
      </c>
      <c r="I297" s="6">
        <v>44378</v>
      </c>
      <c r="J297" s="4">
        <v>27052</v>
      </c>
      <c r="K297" s="4">
        <v>13257.480495399999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3" t="s">
        <v>57</v>
      </c>
      <c r="R297" s="3">
        <v>0</v>
      </c>
      <c r="S297" s="4">
        <v>12</v>
      </c>
      <c r="T297" s="4">
        <v>0</v>
      </c>
      <c r="U297" s="4">
        <v>0</v>
      </c>
      <c r="V297" s="4">
        <v>24.31</v>
      </c>
      <c r="W297" s="4">
        <v>0</v>
      </c>
      <c r="X297" s="4">
        <v>0</v>
      </c>
      <c r="Y297" s="4">
        <v>27.784764762164471</v>
      </c>
      <c r="Z297" s="4">
        <v>68.100184485116927</v>
      </c>
      <c r="AA297" s="4"/>
      <c r="AB297" s="4">
        <v>322289.35084317398</v>
      </c>
      <c r="AC297" s="4">
        <v>0</v>
      </c>
      <c r="AD297" s="4">
        <v>0</v>
      </c>
      <c r="AE297" s="4">
        <v>368355.97690367268</v>
      </c>
      <c r="AF297" s="4">
        <v>0</v>
      </c>
      <c r="AG297" s="4">
        <v>0</v>
      </c>
    </row>
    <row r="298" spans="1:33" ht="11.25" customHeight="1" x14ac:dyDescent="0.25">
      <c r="A298" s="3" t="s">
        <v>21</v>
      </c>
      <c r="B298" s="3" t="s">
        <v>41</v>
      </c>
      <c r="C298" s="3" t="s">
        <v>40</v>
      </c>
      <c r="D298" s="3" t="s">
        <v>38</v>
      </c>
      <c r="E298" s="3" t="s">
        <v>25</v>
      </c>
      <c r="F298" s="3" t="s">
        <v>60</v>
      </c>
      <c r="G298" s="3" t="s">
        <v>25</v>
      </c>
      <c r="H298" s="3" t="s">
        <v>35</v>
      </c>
      <c r="I298" s="6">
        <v>44409</v>
      </c>
      <c r="J298" s="4">
        <v>26095</v>
      </c>
      <c r="K298" s="4">
        <v>12713.1844294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3" t="s">
        <v>57</v>
      </c>
      <c r="R298" s="3">
        <v>0</v>
      </c>
      <c r="S298" s="4">
        <v>12</v>
      </c>
      <c r="T298" s="4">
        <v>0</v>
      </c>
      <c r="U298" s="4">
        <v>0</v>
      </c>
      <c r="V298" s="4">
        <v>24.31</v>
      </c>
      <c r="W298" s="4">
        <v>0</v>
      </c>
      <c r="X298" s="4">
        <v>0</v>
      </c>
      <c r="Y298" s="4">
        <v>27.784764762164471</v>
      </c>
      <c r="Z298" s="4">
        <v>68.100184485116927</v>
      </c>
      <c r="AA298" s="4"/>
      <c r="AB298" s="4">
        <v>309057.51347871398</v>
      </c>
      <c r="AC298" s="4">
        <v>0</v>
      </c>
      <c r="AD298" s="4">
        <v>0</v>
      </c>
      <c r="AE298" s="4">
        <v>353232.83874889114</v>
      </c>
      <c r="AF298" s="4">
        <v>0</v>
      </c>
      <c r="AG298" s="4">
        <v>0</v>
      </c>
    </row>
    <row r="299" spans="1:33" ht="11.25" customHeight="1" x14ac:dyDescent="0.25">
      <c r="A299" s="3" t="s">
        <v>21</v>
      </c>
      <c r="B299" s="3" t="s">
        <v>41</v>
      </c>
      <c r="C299" s="3" t="s">
        <v>40</v>
      </c>
      <c r="D299" s="3" t="s">
        <v>38</v>
      </c>
      <c r="E299" s="3" t="s">
        <v>25</v>
      </c>
      <c r="F299" s="3" t="s">
        <v>60</v>
      </c>
      <c r="G299" s="3" t="s">
        <v>25</v>
      </c>
      <c r="H299" s="3" t="s">
        <v>35</v>
      </c>
      <c r="I299" s="6">
        <v>44440</v>
      </c>
      <c r="J299" s="4">
        <v>33633</v>
      </c>
      <c r="K299" s="4">
        <v>16272.3651462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3" t="s">
        <v>57</v>
      </c>
      <c r="R299" s="3">
        <v>0</v>
      </c>
      <c r="S299" s="4">
        <v>12</v>
      </c>
      <c r="T299" s="4">
        <v>0</v>
      </c>
      <c r="U299" s="4">
        <v>0</v>
      </c>
      <c r="V299" s="4">
        <v>24.31</v>
      </c>
      <c r="W299" s="4">
        <v>0</v>
      </c>
      <c r="X299" s="4">
        <v>0</v>
      </c>
      <c r="Y299" s="4">
        <v>27.784764762164471</v>
      </c>
      <c r="Z299" s="4">
        <v>68.100184485116927</v>
      </c>
      <c r="AA299" s="4"/>
      <c r="AB299" s="4">
        <v>395581.19670412195</v>
      </c>
      <c r="AC299" s="4">
        <v>0</v>
      </c>
      <c r="AD299" s="4">
        <v>0</v>
      </c>
      <c r="AE299" s="4">
        <v>452123.83771121106</v>
      </c>
      <c r="AF299" s="4">
        <v>0</v>
      </c>
      <c r="AG299" s="4">
        <v>0</v>
      </c>
    </row>
    <row r="300" spans="1:33" ht="11.25" customHeight="1" x14ac:dyDescent="0.25">
      <c r="A300" s="3" t="s">
        <v>21</v>
      </c>
      <c r="B300" s="3" t="s">
        <v>41</v>
      </c>
      <c r="C300" s="3" t="s">
        <v>40</v>
      </c>
      <c r="D300" s="3" t="s">
        <v>38</v>
      </c>
      <c r="E300" s="3" t="s">
        <v>25</v>
      </c>
      <c r="F300" s="3" t="s">
        <v>60</v>
      </c>
      <c r="G300" s="3" t="s">
        <v>25</v>
      </c>
      <c r="H300" s="3" t="s">
        <v>35</v>
      </c>
      <c r="I300" s="6">
        <v>44470</v>
      </c>
      <c r="J300" s="4">
        <v>34601</v>
      </c>
      <c r="K300" s="4">
        <v>16801.641120529999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 t="s">
        <v>57</v>
      </c>
      <c r="R300" s="3">
        <v>0</v>
      </c>
      <c r="S300" s="4">
        <v>12</v>
      </c>
      <c r="T300" s="4">
        <v>0</v>
      </c>
      <c r="U300" s="4">
        <v>0</v>
      </c>
      <c r="V300" s="4">
        <v>24.31</v>
      </c>
      <c r="W300" s="4">
        <v>0</v>
      </c>
      <c r="X300" s="4">
        <v>0</v>
      </c>
      <c r="Y300" s="4">
        <v>27.784764762164471</v>
      </c>
      <c r="Z300" s="4">
        <v>68.100184485116927</v>
      </c>
      <c r="AA300" s="4"/>
      <c r="AB300" s="4">
        <v>408447.89564008429</v>
      </c>
      <c r="AC300" s="4">
        <v>0</v>
      </c>
      <c r="AD300" s="4">
        <v>0</v>
      </c>
      <c r="AE300" s="4">
        <v>466829.64615223551</v>
      </c>
      <c r="AF300" s="4">
        <v>0</v>
      </c>
      <c r="AG300" s="4">
        <v>0</v>
      </c>
    </row>
    <row r="301" spans="1:33" ht="11.25" customHeight="1" x14ac:dyDescent="0.25">
      <c r="A301" s="3" t="s">
        <v>21</v>
      </c>
      <c r="B301" s="3" t="s">
        <v>41</v>
      </c>
      <c r="C301" s="3" t="s">
        <v>40</v>
      </c>
      <c r="D301" s="3" t="s">
        <v>38</v>
      </c>
      <c r="E301" s="3" t="s">
        <v>25</v>
      </c>
      <c r="F301" s="3" t="s">
        <v>60</v>
      </c>
      <c r="G301" s="3" t="s">
        <v>25</v>
      </c>
      <c r="H301" s="3" t="s">
        <v>35</v>
      </c>
      <c r="I301" s="6">
        <v>44501</v>
      </c>
      <c r="J301" s="4">
        <v>34803</v>
      </c>
      <c r="K301" s="4">
        <v>17489.772937080001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3" t="s">
        <v>57</v>
      </c>
      <c r="R301" s="3">
        <v>0</v>
      </c>
      <c r="S301" s="4">
        <v>12</v>
      </c>
      <c r="T301" s="4">
        <v>0</v>
      </c>
      <c r="U301" s="4">
        <v>0</v>
      </c>
      <c r="V301" s="4">
        <v>24.31</v>
      </c>
      <c r="W301" s="4">
        <v>0</v>
      </c>
      <c r="X301" s="4">
        <v>0</v>
      </c>
      <c r="Y301" s="4">
        <v>27.784764762164471</v>
      </c>
      <c r="Z301" s="4">
        <v>68.100184485116927</v>
      </c>
      <c r="AA301" s="4"/>
      <c r="AB301" s="4">
        <v>425176.3801004148</v>
      </c>
      <c r="AC301" s="4">
        <v>0</v>
      </c>
      <c r="AD301" s="4">
        <v>0</v>
      </c>
      <c r="AE301" s="4">
        <v>485949.22680043819</v>
      </c>
      <c r="AF301" s="4">
        <v>0</v>
      </c>
      <c r="AG301" s="4">
        <v>0</v>
      </c>
    </row>
    <row r="302" spans="1:33" ht="11.25" customHeight="1" x14ac:dyDescent="0.25">
      <c r="A302" s="3" t="s">
        <v>27</v>
      </c>
      <c r="B302" s="3" t="s">
        <v>41</v>
      </c>
      <c r="C302" s="3" t="s">
        <v>40</v>
      </c>
      <c r="D302" s="3" t="s">
        <v>38</v>
      </c>
      <c r="E302" s="3" t="s">
        <v>25</v>
      </c>
      <c r="F302" s="3" t="s">
        <v>60</v>
      </c>
      <c r="G302" s="3" t="s">
        <v>25</v>
      </c>
      <c r="H302" s="3" t="s">
        <v>35</v>
      </c>
      <c r="I302" s="6">
        <v>44501</v>
      </c>
      <c r="J302" s="4">
        <v>-376</v>
      </c>
      <c r="K302" s="4">
        <v>-376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3" t="s">
        <v>57</v>
      </c>
      <c r="R302" s="3">
        <v>0</v>
      </c>
      <c r="S302" s="4">
        <v>12</v>
      </c>
      <c r="T302" s="4">
        <v>0</v>
      </c>
      <c r="U302" s="4">
        <v>0</v>
      </c>
      <c r="V302" s="4">
        <v>24.31</v>
      </c>
      <c r="W302" s="4">
        <v>0</v>
      </c>
      <c r="X302" s="4">
        <v>0</v>
      </c>
      <c r="Y302" s="4">
        <v>27.784764762164471</v>
      </c>
      <c r="Z302" s="4">
        <v>68.100184485116927</v>
      </c>
      <c r="AA302" s="4"/>
      <c r="AB302" s="4">
        <v>-9140.56</v>
      </c>
      <c r="AC302" s="4">
        <v>0</v>
      </c>
      <c r="AD302" s="4">
        <v>0</v>
      </c>
      <c r="AE302" s="4">
        <v>-10447.071550573841</v>
      </c>
      <c r="AF302" s="4">
        <v>0</v>
      </c>
      <c r="AG302" s="4">
        <v>0</v>
      </c>
    </row>
    <row r="303" spans="1:33" ht="11.25" customHeight="1" x14ac:dyDescent="0.25">
      <c r="A303" s="3" t="s">
        <v>21</v>
      </c>
      <c r="B303" s="3" t="s">
        <v>41</v>
      </c>
      <c r="C303" s="3" t="s">
        <v>40</v>
      </c>
      <c r="D303" s="3" t="s">
        <v>38</v>
      </c>
      <c r="E303" s="3" t="s">
        <v>25</v>
      </c>
      <c r="F303" s="3" t="s">
        <v>60</v>
      </c>
      <c r="G303" s="3" t="s">
        <v>25</v>
      </c>
      <c r="H303" s="3" t="s">
        <v>35</v>
      </c>
      <c r="I303" s="6">
        <v>44531</v>
      </c>
      <c r="J303" s="4">
        <v>36518</v>
      </c>
      <c r="K303" s="4">
        <v>18580.92881116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3" t="s">
        <v>57</v>
      </c>
      <c r="R303" s="3">
        <v>0</v>
      </c>
      <c r="S303" s="4">
        <v>12</v>
      </c>
      <c r="T303" s="4">
        <v>0</v>
      </c>
      <c r="U303" s="4">
        <v>0</v>
      </c>
      <c r="V303" s="4">
        <v>24.31</v>
      </c>
      <c r="W303" s="4">
        <v>0</v>
      </c>
      <c r="X303" s="4">
        <v>0</v>
      </c>
      <c r="Y303" s="4">
        <v>27.784764762164471</v>
      </c>
      <c r="Z303" s="4">
        <v>68.100184485116927</v>
      </c>
      <c r="AA303" s="4"/>
      <c r="AB303" s="4">
        <v>451702.37939929956</v>
      </c>
      <c r="AC303" s="4">
        <v>0</v>
      </c>
      <c r="AD303" s="4">
        <v>0</v>
      </c>
      <c r="AE303" s="4">
        <v>516266.73608060495</v>
      </c>
      <c r="AF303" s="4">
        <v>0</v>
      </c>
      <c r="AG303" s="4">
        <v>0</v>
      </c>
    </row>
    <row r="304" spans="1:33" ht="11.25" customHeight="1" x14ac:dyDescent="0.25">
      <c r="A304" s="3" t="s">
        <v>21</v>
      </c>
      <c r="B304" s="3" t="s">
        <v>41</v>
      </c>
      <c r="C304" s="3" t="s">
        <v>40</v>
      </c>
      <c r="D304" s="3" t="s">
        <v>38</v>
      </c>
      <c r="E304" s="3" t="s">
        <v>25</v>
      </c>
      <c r="F304" s="3" t="s">
        <v>60</v>
      </c>
      <c r="G304" s="3" t="s">
        <v>25</v>
      </c>
      <c r="H304" s="3" t="s">
        <v>35</v>
      </c>
      <c r="I304" s="6">
        <v>44562</v>
      </c>
      <c r="J304" s="4">
        <v>37776</v>
      </c>
      <c r="K304" s="4">
        <v>18892.51536528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3" t="s">
        <v>57</v>
      </c>
      <c r="R304" s="3">
        <v>0</v>
      </c>
      <c r="S304" s="4">
        <v>12</v>
      </c>
      <c r="T304" s="4">
        <v>0</v>
      </c>
      <c r="U304" s="4">
        <v>0</v>
      </c>
      <c r="V304" s="4">
        <v>24.31</v>
      </c>
      <c r="W304" s="4">
        <v>0</v>
      </c>
      <c r="X304" s="4">
        <v>0</v>
      </c>
      <c r="Y304" s="4">
        <v>27.784764762164471</v>
      </c>
      <c r="Z304" s="4">
        <v>68.100184485116927</v>
      </c>
      <c r="AA304" s="4"/>
      <c r="AB304" s="4">
        <v>459277.04852995678</v>
      </c>
      <c r="AC304" s="4">
        <v>0</v>
      </c>
      <c r="AD304" s="4">
        <v>0</v>
      </c>
      <c r="AE304" s="4">
        <v>524924.09518988256</v>
      </c>
      <c r="AF304" s="4">
        <v>0</v>
      </c>
      <c r="AG304" s="4">
        <v>0</v>
      </c>
    </row>
    <row r="305" spans="1:33" ht="11.25" customHeight="1" x14ac:dyDescent="0.25">
      <c r="A305" s="3" t="s">
        <v>21</v>
      </c>
      <c r="B305" s="3" t="s">
        <v>41</v>
      </c>
      <c r="C305" s="3" t="s">
        <v>40</v>
      </c>
      <c r="D305" s="3" t="s">
        <v>38</v>
      </c>
      <c r="E305" s="3" t="s">
        <v>25</v>
      </c>
      <c r="F305" s="3" t="s">
        <v>60</v>
      </c>
      <c r="G305" s="3" t="s">
        <v>25</v>
      </c>
      <c r="H305" s="3" t="s">
        <v>35</v>
      </c>
      <c r="I305" s="6">
        <v>44593</v>
      </c>
      <c r="J305" s="4">
        <v>37986</v>
      </c>
      <c r="K305" s="4">
        <v>19186.316072040001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 t="s">
        <v>57</v>
      </c>
      <c r="R305" s="3">
        <v>0</v>
      </c>
      <c r="S305" s="4">
        <v>12</v>
      </c>
      <c r="T305" s="4">
        <v>0</v>
      </c>
      <c r="U305" s="4">
        <v>0</v>
      </c>
      <c r="V305" s="4">
        <v>24.31</v>
      </c>
      <c r="W305" s="4">
        <v>0</v>
      </c>
      <c r="X305" s="4">
        <v>0</v>
      </c>
      <c r="Y305" s="4">
        <v>27.784764762164471</v>
      </c>
      <c r="Z305" s="4">
        <v>68.100184485116927</v>
      </c>
      <c r="AA305" s="4"/>
      <c r="AB305" s="4">
        <v>466419.34371129237</v>
      </c>
      <c r="AC305" s="4">
        <v>0</v>
      </c>
      <c r="AD305" s="4">
        <v>0</v>
      </c>
      <c r="AE305" s="4">
        <v>533087.27871416684</v>
      </c>
      <c r="AF305" s="4">
        <v>0</v>
      </c>
      <c r="AG305" s="4">
        <v>0</v>
      </c>
    </row>
    <row r="306" spans="1:33" ht="11.25" customHeight="1" x14ac:dyDescent="0.25">
      <c r="A306" s="3" t="s">
        <v>56</v>
      </c>
      <c r="B306" s="3" t="s">
        <v>41</v>
      </c>
      <c r="C306" s="3" t="s">
        <v>40</v>
      </c>
      <c r="D306" s="3" t="s">
        <v>38</v>
      </c>
      <c r="E306" s="3" t="s">
        <v>25</v>
      </c>
      <c r="F306" s="3" t="s">
        <v>60</v>
      </c>
      <c r="G306" s="3" t="s">
        <v>25</v>
      </c>
      <c r="H306" s="3" t="s">
        <v>35</v>
      </c>
      <c r="I306" s="6">
        <v>44621</v>
      </c>
      <c r="J306" s="4">
        <v>37986</v>
      </c>
      <c r="K306" s="4">
        <v>19186.316072040001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3" t="s">
        <v>57</v>
      </c>
      <c r="R306" s="3">
        <v>0</v>
      </c>
      <c r="S306" s="4">
        <v>12</v>
      </c>
      <c r="T306" s="4">
        <v>0</v>
      </c>
      <c r="U306" s="4">
        <v>0</v>
      </c>
      <c r="V306" s="4">
        <v>24.31</v>
      </c>
      <c r="W306" s="4">
        <v>0</v>
      </c>
      <c r="X306" s="4">
        <v>0</v>
      </c>
      <c r="Y306" s="4">
        <v>27.784764762164471</v>
      </c>
      <c r="Z306" s="4">
        <v>68.100184485116927</v>
      </c>
      <c r="AA306" s="4"/>
      <c r="AB306" s="4">
        <v>466419.34371129237</v>
      </c>
      <c r="AC306" s="4">
        <v>0</v>
      </c>
      <c r="AD306" s="4">
        <v>0</v>
      </c>
      <c r="AE306" s="4">
        <v>533087.27871416684</v>
      </c>
      <c r="AF306" s="4">
        <v>0</v>
      </c>
      <c r="AG306" s="4">
        <v>0</v>
      </c>
    </row>
    <row r="307" spans="1:33" ht="11.25" customHeight="1" x14ac:dyDescent="0.25">
      <c r="A307" s="3" t="s">
        <v>21</v>
      </c>
      <c r="B307" s="3" t="s">
        <v>41</v>
      </c>
      <c r="C307" s="3" t="s">
        <v>40</v>
      </c>
      <c r="D307" s="3" t="s">
        <v>38</v>
      </c>
      <c r="E307" s="3" t="s">
        <v>25</v>
      </c>
      <c r="F307" s="3" t="s">
        <v>60</v>
      </c>
      <c r="G307" s="3" t="s">
        <v>25</v>
      </c>
      <c r="H307" s="3" t="s">
        <v>25</v>
      </c>
      <c r="I307" s="6">
        <v>44287</v>
      </c>
      <c r="J307" s="4">
        <v>0</v>
      </c>
      <c r="K307" s="4">
        <v>0</v>
      </c>
      <c r="L307" s="4">
        <v>12317.14</v>
      </c>
      <c r="M307" s="4">
        <v>12317.14</v>
      </c>
      <c r="N307" s="4">
        <v>0</v>
      </c>
      <c r="O307" s="4">
        <v>0</v>
      </c>
      <c r="P307" s="4">
        <v>49</v>
      </c>
      <c r="Q307" s="3" t="s">
        <v>57</v>
      </c>
      <c r="R307" s="3">
        <v>0</v>
      </c>
      <c r="S307" s="4">
        <v>0</v>
      </c>
      <c r="T307" s="4">
        <v>110</v>
      </c>
      <c r="U307" s="4">
        <v>0</v>
      </c>
      <c r="V307" s="4">
        <v>0</v>
      </c>
      <c r="W307" s="4">
        <v>51.27</v>
      </c>
      <c r="X307" s="4">
        <v>0</v>
      </c>
      <c r="Y307" s="4"/>
      <c r="Z307" s="4">
        <v>68.100184485116927</v>
      </c>
      <c r="AA307" s="4"/>
      <c r="AB307" s="4">
        <v>0</v>
      </c>
      <c r="AC307" s="4">
        <v>631499.76780000003</v>
      </c>
      <c r="AD307" s="4">
        <v>0</v>
      </c>
      <c r="AE307" s="4">
        <v>0</v>
      </c>
      <c r="AF307" s="4">
        <v>838799.50632901303</v>
      </c>
      <c r="AG307" s="4">
        <v>0</v>
      </c>
    </row>
    <row r="308" spans="1:33" ht="11.25" customHeight="1" x14ac:dyDescent="0.25">
      <c r="A308" s="3" t="s">
        <v>21</v>
      </c>
      <c r="B308" s="3" t="s">
        <v>41</v>
      </c>
      <c r="C308" s="3" t="s">
        <v>40</v>
      </c>
      <c r="D308" s="3" t="s">
        <v>38</v>
      </c>
      <c r="E308" s="3" t="s">
        <v>25</v>
      </c>
      <c r="F308" s="3" t="s">
        <v>60</v>
      </c>
      <c r="G308" s="3" t="s">
        <v>25</v>
      </c>
      <c r="H308" s="3" t="s">
        <v>25</v>
      </c>
      <c r="I308" s="6">
        <v>44317</v>
      </c>
      <c r="J308" s="4">
        <v>0</v>
      </c>
      <c r="K308" s="4">
        <v>0</v>
      </c>
      <c r="L308" s="4">
        <v>10867.904</v>
      </c>
      <c r="M308" s="4">
        <v>10867.904</v>
      </c>
      <c r="N308" s="4">
        <v>0</v>
      </c>
      <c r="O308" s="4">
        <v>0</v>
      </c>
      <c r="P308" s="4">
        <v>49</v>
      </c>
      <c r="Q308" s="3" t="s">
        <v>57</v>
      </c>
      <c r="R308" s="3">
        <v>0</v>
      </c>
      <c r="S308" s="4">
        <v>0</v>
      </c>
      <c r="T308" s="4">
        <v>110</v>
      </c>
      <c r="U308" s="4">
        <v>0</v>
      </c>
      <c r="V308" s="4">
        <v>0</v>
      </c>
      <c r="W308" s="4">
        <v>51.27</v>
      </c>
      <c r="X308" s="4">
        <v>0</v>
      </c>
      <c r="Y308" s="4"/>
      <c r="Z308" s="4">
        <v>68.100184485116927</v>
      </c>
      <c r="AA308" s="4"/>
      <c r="AB308" s="4">
        <v>0</v>
      </c>
      <c r="AC308" s="4">
        <v>557197.43808000011</v>
      </c>
      <c r="AD308" s="4">
        <v>0</v>
      </c>
      <c r="AE308" s="4">
        <v>0</v>
      </c>
      <c r="AF308" s="4">
        <v>740106.26736654027</v>
      </c>
      <c r="AG308" s="4">
        <v>0</v>
      </c>
    </row>
    <row r="309" spans="1:33" ht="11.25" customHeight="1" x14ac:dyDescent="0.25">
      <c r="A309" s="3" t="s">
        <v>21</v>
      </c>
      <c r="B309" s="3" t="s">
        <v>41</v>
      </c>
      <c r="C309" s="3" t="s">
        <v>40</v>
      </c>
      <c r="D309" s="3" t="s">
        <v>38</v>
      </c>
      <c r="E309" s="3" t="s">
        <v>25</v>
      </c>
      <c r="F309" s="3" t="s">
        <v>60</v>
      </c>
      <c r="G309" s="3" t="s">
        <v>25</v>
      </c>
      <c r="H309" s="3" t="s">
        <v>25</v>
      </c>
      <c r="I309" s="6">
        <v>44348</v>
      </c>
      <c r="J309" s="4">
        <v>0</v>
      </c>
      <c r="K309" s="4">
        <v>0</v>
      </c>
      <c r="L309" s="4">
        <v>12202.246999999999</v>
      </c>
      <c r="M309" s="4">
        <v>12202.246999999999</v>
      </c>
      <c r="N309" s="4">
        <v>0</v>
      </c>
      <c r="O309" s="4">
        <v>0</v>
      </c>
      <c r="P309" s="4">
        <v>50</v>
      </c>
      <c r="Q309" s="3" t="s">
        <v>57</v>
      </c>
      <c r="R309" s="3">
        <v>0</v>
      </c>
      <c r="S309" s="4">
        <v>0</v>
      </c>
      <c r="T309" s="4">
        <v>110</v>
      </c>
      <c r="U309" s="4">
        <v>0</v>
      </c>
      <c r="V309" s="4">
        <v>0</v>
      </c>
      <c r="W309" s="4">
        <v>51.27</v>
      </c>
      <c r="X309" s="4">
        <v>0</v>
      </c>
      <c r="Y309" s="4"/>
      <c r="Z309" s="4">
        <v>68.100184485116927</v>
      </c>
      <c r="AA309" s="4"/>
      <c r="AB309" s="4">
        <v>0</v>
      </c>
      <c r="AC309" s="4">
        <v>625609.20368999999</v>
      </c>
      <c r="AD309" s="4">
        <v>0</v>
      </c>
      <c r="AE309" s="4">
        <v>0</v>
      </c>
      <c r="AF309" s="4">
        <v>830975.2718329645</v>
      </c>
      <c r="AG309" s="4">
        <v>0</v>
      </c>
    </row>
    <row r="310" spans="1:33" ht="11.25" customHeight="1" x14ac:dyDescent="0.25">
      <c r="A310" s="3" t="s">
        <v>21</v>
      </c>
      <c r="B310" s="3" t="s">
        <v>41</v>
      </c>
      <c r="C310" s="3" t="s">
        <v>40</v>
      </c>
      <c r="D310" s="3" t="s">
        <v>38</v>
      </c>
      <c r="E310" s="3" t="s">
        <v>25</v>
      </c>
      <c r="F310" s="3" t="s">
        <v>60</v>
      </c>
      <c r="G310" s="3" t="s">
        <v>25</v>
      </c>
      <c r="H310" s="3" t="s">
        <v>25</v>
      </c>
      <c r="I310" s="6">
        <v>44378</v>
      </c>
      <c r="J310" s="4">
        <v>0</v>
      </c>
      <c r="K310" s="4">
        <v>0</v>
      </c>
      <c r="L310" s="4">
        <v>11663.785</v>
      </c>
      <c r="M310" s="4">
        <v>11663.785</v>
      </c>
      <c r="N310" s="4">
        <v>0</v>
      </c>
      <c r="O310" s="4">
        <v>0</v>
      </c>
      <c r="P310" s="4">
        <v>50</v>
      </c>
      <c r="Q310" s="3" t="s">
        <v>57</v>
      </c>
      <c r="R310" s="3">
        <v>0</v>
      </c>
      <c r="S310" s="4">
        <v>0</v>
      </c>
      <c r="T310" s="4">
        <v>110</v>
      </c>
      <c r="U310" s="4">
        <v>0</v>
      </c>
      <c r="V310" s="4">
        <v>0</v>
      </c>
      <c r="W310" s="4">
        <v>51.27</v>
      </c>
      <c r="X310" s="4">
        <v>0</v>
      </c>
      <c r="Y310" s="4"/>
      <c r="Z310" s="4">
        <v>68.100184485116927</v>
      </c>
      <c r="AA310" s="4"/>
      <c r="AB310" s="4">
        <v>0</v>
      </c>
      <c r="AC310" s="4">
        <v>598002.25695000007</v>
      </c>
      <c r="AD310" s="4">
        <v>0</v>
      </c>
      <c r="AE310" s="4">
        <v>0</v>
      </c>
      <c r="AF310" s="4">
        <v>794305.91029473953</v>
      </c>
      <c r="AG310" s="4">
        <v>0</v>
      </c>
    </row>
    <row r="311" spans="1:33" ht="11.25" customHeight="1" x14ac:dyDescent="0.25">
      <c r="A311" s="3" t="s">
        <v>21</v>
      </c>
      <c r="B311" s="3" t="s">
        <v>41</v>
      </c>
      <c r="C311" s="3" t="s">
        <v>40</v>
      </c>
      <c r="D311" s="3" t="s">
        <v>38</v>
      </c>
      <c r="E311" s="3" t="s">
        <v>25</v>
      </c>
      <c r="F311" s="3" t="s">
        <v>60</v>
      </c>
      <c r="G311" s="3" t="s">
        <v>25</v>
      </c>
      <c r="H311" s="3" t="s">
        <v>25</v>
      </c>
      <c r="I311" s="6">
        <v>44409</v>
      </c>
      <c r="J311" s="4">
        <v>0</v>
      </c>
      <c r="K311" s="4">
        <v>0</v>
      </c>
      <c r="L311" s="4">
        <v>11597.929</v>
      </c>
      <c r="M311" s="4">
        <v>11597.929</v>
      </c>
      <c r="N311" s="4">
        <v>0</v>
      </c>
      <c r="O311" s="4">
        <v>0</v>
      </c>
      <c r="P311" s="4">
        <v>50</v>
      </c>
      <c r="Q311" s="3" t="s">
        <v>57</v>
      </c>
      <c r="R311" s="3">
        <v>0</v>
      </c>
      <c r="S311" s="4">
        <v>0</v>
      </c>
      <c r="T311" s="4">
        <v>110</v>
      </c>
      <c r="U311" s="4">
        <v>0</v>
      </c>
      <c r="V311" s="4">
        <v>0</v>
      </c>
      <c r="W311" s="4">
        <v>51.27</v>
      </c>
      <c r="X311" s="4">
        <v>0</v>
      </c>
      <c r="Y311" s="4"/>
      <c r="Z311" s="4">
        <v>68.100184485116927</v>
      </c>
      <c r="AA311" s="4"/>
      <c r="AB311" s="4">
        <v>0</v>
      </c>
      <c r="AC311" s="4">
        <v>594625.81983000005</v>
      </c>
      <c r="AD311" s="4">
        <v>0</v>
      </c>
      <c r="AE311" s="4">
        <v>0</v>
      </c>
      <c r="AF311" s="4">
        <v>789821.10454528767</v>
      </c>
      <c r="AG311" s="4">
        <v>0</v>
      </c>
    </row>
    <row r="312" spans="1:33" ht="11.25" customHeight="1" x14ac:dyDescent="0.25">
      <c r="A312" s="3" t="s">
        <v>21</v>
      </c>
      <c r="B312" s="3" t="s">
        <v>41</v>
      </c>
      <c r="C312" s="3" t="s">
        <v>40</v>
      </c>
      <c r="D312" s="3" t="s">
        <v>38</v>
      </c>
      <c r="E312" s="3" t="s">
        <v>25</v>
      </c>
      <c r="F312" s="3" t="s">
        <v>60</v>
      </c>
      <c r="G312" s="3" t="s">
        <v>25</v>
      </c>
      <c r="H312" s="3" t="s">
        <v>25</v>
      </c>
      <c r="I312" s="6">
        <v>44440</v>
      </c>
      <c r="J312" s="4">
        <v>0</v>
      </c>
      <c r="K312" s="4">
        <v>0</v>
      </c>
      <c r="L312" s="4">
        <v>16524.562000000002</v>
      </c>
      <c r="M312" s="4">
        <v>16524.562000000002</v>
      </c>
      <c r="N312" s="4">
        <v>0</v>
      </c>
      <c r="O312" s="4">
        <v>0</v>
      </c>
      <c r="P312" s="4">
        <v>58</v>
      </c>
      <c r="Q312" s="3" t="s">
        <v>57</v>
      </c>
      <c r="R312" s="3">
        <v>0</v>
      </c>
      <c r="S312" s="4">
        <v>0</v>
      </c>
      <c r="T312" s="4">
        <v>110</v>
      </c>
      <c r="U312" s="4">
        <v>0</v>
      </c>
      <c r="V312" s="4">
        <v>0</v>
      </c>
      <c r="W312" s="4">
        <v>51.27</v>
      </c>
      <c r="X312" s="4">
        <v>0</v>
      </c>
      <c r="Y312" s="4"/>
      <c r="Z312" s="4">
        <v>68.100184485116927</v>
      </c>
      <c r="AA312" s="4"/>
      <c r="AB312" s="4">
        <v>0</v>
      </c>
      <c r="AC312" s="4">
        <v>847214.29374000011</v>
      </c>
      <c r="AD312" s="4">
        <v>0</v>
      </c>
      <c r="AE312" s="4">
        <v>0</v>
      </c>
      <c r="AF312" s="4">
        <v>1125325.720735753</v>
      </c>
      <c r="AG312" s="4">
        <v>0</v>
      </c>
    </row>
    <row r="313" spans="1:33" ht="11.25" customHeight="1" x14ac:dyDescent="0.25">
      <c r="A313" s="3" t="s">
        <v>21</v>
      </c>
      <c r="B313" s="3" t="s">
        <v>41</v>
      </c>
      <c r="C313" s="3" t="s">
        <v>40</v>
      </c>
      <c r="D313" s="3" t="s">
        <v>38</v>
      </c>
      <c r="E313" s="3" t="s">
        <v>25</v>
      </c>
      <c r="F313" s="3" t="s">
        <v>60</v>
      </c>
      <c r="G313" s="3" t="s">
        <v>25</v>
      </c>
      <c r="H313" s="3" t="s">
        <v>25</v>
      </c>
      <c r="I313" s="6">
        <v>44470</v>
      </c>
      <c r="J313" s="4">
        <v>0</v>
      </c>
      <c r="K313" s="4">
        <v>0</v>
      </c>
      <c r="L313" s="4">
        <v>16363.849</v>
      </c>
      <c r="M313" s="4">
        <v>16363.849</v>
      </c>
      <c r="N313" s="4">
        <v>0</v>
      </c>
      <c r="O313" s="4">
        <v>0</v>
      </c>
      <c r="P313" s="4">
        <v>60</v>
      </c>
      <c r="Q313" s="3" t="s">
        <v>57</v>
      </c>
      <c r="R313" s="3">
        <v>0</v>
      </c>
      <c r="S313" s="4">
        <v>0</v>
      </c>
      <c r="T313" s="4">
        <v>110</v>
      </c>
      <c r="U313" s="4">
        <v>0</v>
      </c>
      <c r="V313" s="4">
        <v>0</v>
      </c>
      <c r="W313" s="4">
        <v>51.27</v>
      </c>
      <c r="X313" s="4">
        <v>0</v>
      </c>
      <c r="Y313" s="4"/>
      <c r="Z313" s="4">
        <v>68.100184485116927</v>
      </c>
      <c r="AA313" s="4"/>
      <c r="AB313" s="4">
        <v>0</v>
      </c>
      <c r="AC313" s="4">
        <v>838974.53823000006</v>
      </c>
      <c r="AD313" s="4">
        <v>0</v>
      </c>
      <c r="AE313" s="4">
        <v>0</v>
      </c>
      <c r="AF313" s="4">
        <v>1114381.1357865962</v>
      </c>
      <c r="AG313" s="4">
        <v>0</v>
      </c>
    </row>
    <row r="314" spans="1:33" ht="11.25" customHeight="1" x14ac:dyDescent="0.25">
      <c r="A314" s="3" t="s">
        <v>21</v>
      </c>
      <c r="B314" s="3" t="s">
        <v>41</v>
      </c>
      <c r="C314" s="3" t="s">
        <v>40</v>
      </c>
      <c r="D314" s="3" t="s">
        <v>38</v>
      </c>
      <c r="E314" s="3" t="s">
        <v>25</v>
      </c>
      <c r="F314" s="3" t="s">
        <v>60</v>
      </c>
      <c r="G314" s="3" t="s">
        <v>25</v>
      </c>
      <c r="H314" s="3" t="s">
        <v>25</v>
      </c>
      <c r="I314" s="6">
        <v>44501</v>
      </c>
      <c r="J314" s="4">
        <v>0</v>
      </c>
      <c r="K314" s="4">
        <v>0</v>
      </c>
      <c r="L314" s="4">
        <v>17576.155999999999</v>
      </c>
      <c r="M314" s="4">
        <v>17576.155999999999</v>
      </c>
      <c r="N314" s="4">
        <v>0</v>
      </c>
      <c r="O314" s="4">
        <v>0</v>
      </c>
      <c r="P314" s="4">
        <v>60</v>
      </c>
      <c r="Q314" s="3" t="s">
        <v>57</v>
      </c>
      <c r="R314" s="3">
        <v>0</v>
      </c>
      <c r="S314" s="4">
        <v>0</v>
      </c>
      <c r="T314" s="4">
        <v>110</v>
      </c>
      <c r="U314" s="4">
        <v>0</v>
      </c>
      <c r="V314" s="4">
        <v>0</v>
      </c>
      <c r="W314" s="4">
        <v>51.27</v>
      </c>
      <c r="X314" s="4">
        <v>0</v>
      </c>
      <c r="Y314" s="4"/>
      <c r="Z314" s="4">
        <v>68.100184485116927</v>
      </c>
      <c r="AA314" s="4"/>
      <c r="AB314" s="4">
        <v>0</v>
      </c>
      <c r="AC314" s="4">
        <v>901129.51812000002</v>
      </c>
      <c r="AD314" s="4">
        <v>0</v>
      </c>
      <c r="AE314" s="4">
        <v>0</v>
      </c>
      <c r="AF314" s="4">
        <v>1196939.4661391948</v>
      </c>
      <c r="AG314" s="4">
        <v>0</v>
      </c>
    </row>
    <row r="315" spans="1:33" ht="11.25" customHeight="1" x14ac:dyDescent="0.25">
      <c r="A315" s="3" t="s">
        <v>21</v>
      </c>
      <c r="B315" s="3" t="s">
        <v>41</v>
      </c>
      <c r="C315" s="3" t="s">
        <v>40</v>
      </c>
      <c r="D315" s="3" t="s">
        <v>38</v>
      </c>
      <c r="E315" s="3" t="s">
        <v>25</v>
      </c>
      <c r="F315" s="3" t="s">
        <v>60</v>
      </c>
      <c r="G315" s="3" t="s">
        <v>25</v>
      </c>
      <c r="H315" s="3" t="s">
        <v>25</v>
      </c>
      <c r="I315" s="6">
        <v>44531</v>
      </c>
      <c r="J315" s="4">
        <v>0</v>
      </c>
      <c r="K315" s="4">
        <v>0</v>
      </c>
      <c r="L315" s="4">
        <v>17139.843000000001</v>
      </c>
      <c r="M315" s="4">
        <v>17139.843000000001</v>
      </c>
      <c r="N315" s="4">
        <v>0</v>
      </c>
      <c r="O315" s="4">
        <v>0</v>
      </c>
      <c r="P315" s="4">
        <v>60</v>
      </c>
      <c r="Q315" s="3" t="s">
        <v>57</v>
      </c>
      <c r="R315" s="3">
        <v>0</v>
      </c>
      <c r="S315" s="4">
        <v>0</v>
      </c>
      <c r="T315" s="4">
        <v>110</v>
      </c>
      <c r="U315" s="4">
        <v>0</v>
      </c>
      <c r="V315" s="4">
        <v>0</v>
      </c>
      <c r="W315" s="4">
        <v>51.27</v>
      </c>
      <c r="X315" s="4">
        <v>0</v>
      </c>
      <c r="Y315" s="4"/>
      <c r="Z315" s="4">
        <v>68.100184485116927</v>
      </c>
      <c r="AA315" s="4"/>
      <c r="AB315" s="4">
        <v>0</v>
      </c>
      <c r="AC315" s="4">
        <v>878759.7506100001</v>
      </c>
      <c r="AD315" s="4">
        <v>0</v>
      </c>
      <c r="AE315" s="4">
        <v>0</v>
      </c>
      <c r="AF315" s="4">
        <v>1167226.47034594</v>
      </c>
      <c r="AG315" s="4">
        <v>0</v>
      </c>
    </row>
    <row r="316" spans="1:33" ht="11.25" customHeight="1" x14ac:dyDescent="0.25">
      <c r="A316" s="3" t="s">
        <v>21</v>
      </c>
      <c r="B316" s="3" t="s">
        <v>41</v>
      </c>
      <c r="C316" s="3" t="s">
        <v>40</v>
      </c>
      <c r="D316" s="3" t="s">
        <v>38</v>
      </c>
      <c r="E316" s="3" t="s">
        <v>25</v>
      </c>
      <c r="F316" s="3" t="s">
        <v>60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17477.350999999999</v>
      </c>
      <c r="M316" s="4">
        <v>17477.350999999999</v>
      </c>
      <c r="N316" s="4">
        <v>0</v>
      </c>
      <c r="O316" s="4">
        <v>0</v>
      </c>
      <c r="P316" s="4">
        <v>62</v>
      </c>
      <c r="Q316" s="3" t="s">
        <v>57</v>
      </c>
      <c r="R316" s="3">
        <v>0</v>
      </c>
      <c r="S316" s="4">
        <v>0</v>
      </c>
      <c r="T316" s="4">
        <v>110</v>
      </c>
      <c r="U316" s="4">
        <v>0</v>
      </c>
      <c r="V316" s="4">
        <v>0</v>
      </c>
      <c r="W316" s="4">
        <v>51.27</v>
      </c>
      <c r="X316" s="4">
        <v>0</v>
      </c>
      <c r="Y316" s="4"/>
      <c r="Z316" s="4">
        <v>68.100184485116927</v>
      </c>
      <c r="AA316" s="4"/>
      <c r="AB316" s="4">
        <v>0</v>
      </c>
      <c r="AC316" s="4">
        <v>896063.78576999996</v>
      </c>
      <c r="AD316" s="4">
        <v>0</v>
      </c>
      <c r="AE316" s="4">
        <v>0</v>
      </c>
      <c r="AF316" s="4">
        <v>1190210.8274111426</v>
      </c>
      <c r="AG316" s="4">
        <v>0</v>
      </c>
    </row>
    <row r="317" spans="1:33" ht="11.25" customHeight="1" x14ac:dyDescent="0.25">
      <c r="A317" s="3" t="s">
        <v>21</v>
      </c>
      <c r="B317" s="3" t="s">
        <v>41</v>
      </c>
      <c r="C317" s="3" t="s">
        <v>40</v>
      </c>
      <c r="D317" s="3" t="s">
        <v>38</v>
      </c>
      <c r="E317" s="3" t="s">
        <v>25</v>
      </c>
      <c r="F317" s="3" t="s">
        <v>60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17975.597000000002</v>
      </c>
      <c r="M317" s="4">
        <v>17975.597000000002</v>
      </c>
      <c r="N317" s="4">
        <v>0</v>
      </c>
      <c r="O317" s="4">
        <v>0</v>
      </c>
      <c r="P317" s="4">
        <v>63</v>
      </c>
      <c r="Q317" s="3" t="s">
        <v>57</v>
      </c>
      <c r="R317" s="3">
        <v>0</v>
      </c>
      <c r="S317" s="4">
        <v>0</v>
      </c>
      <c r="T317" s="4">
        <v>110</v>
      </c>
      <c r="U317" s="4">
        <v>0</v>
      </c>
      <c r="V317" s="4">
        <v>0</v>
      </c>
      <c r="W317" s="4">
        <v>51.27</v>
      </c>
      <c r="X317" s="4">
        <v>0</v>
      </c>
      <c r="Y317" s="4"/>
      <c r="Z317" s="4">
        <v>68.100184485116927</v>
      </c>
      <c r="AA317" s="4"/>
      <c r="AB317" s="4">
        <v>0</v>
      </c>
      <c r="AC317" s="4">
        <v>921608.85819000017</v>
      </c>
      <c r="AD317" s="4">
        <v>0</v>
      </c>
      <c r="AE317" s="4">
        <v>0</v>
      </c>
      <c r="AF317" s="4">
        <v>1224141.4719301146</v>
      </c>
      <c r="AG317" s="4">
        <v>0</v>
      </c>
    </row>
    <row r="318" spans="1:33" ht="11.25" customHeight="1" x14ac:dyDescent="0.25">
      <c r="A318" s="3" t="s">
        <v>56</v>
      </c>
      <c r="B318" s="3" t="s">
        <v>41</v>
      </c>
      <c r="C318" s="3" t="s">
        <v>40</v>
      </c>
      <c r="D318" s="3" t="s">
        <v>38</v>
      </c>
      <c r="E318" s="3" t="s">
        <v>25</v>
      </c>
      <c r="F318" s="3" t="s">
        <v>60</v>
      </c>
      <c r="G318" s="3" t="s">
        <v>25</v>
      </c>
      <c r="H318" s="3" t="s">
        <v>25</v>
      </c>
      <c r="I318" s="6">
        <v>44621</v>
      </c>
      <c r="J318" s="4">
        <v>0</v>
      </c>
      <c r="K318" s="4">
        <v>0</v>
      </c>
      <c r="L318" s="4">
        <v>17975.597000000002</v>
      </c>
      <c r="M318" s="4">
        <v>17975.597000000002</v>
      </c>
      <c r="N318" s="4">
        <v>0</v>
      </c>
      <c r="O318" s="4">
        <v>0</v>
      </c>
      <c r="P318" s="4">
        <v>63</v>
      </c>
      <c r="Q318" s="3" t="s">
        <v>57</v>
      </c>
      <c r="R318" s="3">
        <v>0</v>
      </c>
      <c r="S318" s="4">
        <v>0</v>
      </c>
      <c r="T318" s="4">
        <v>110</v>
      </c>
      <c r="U318" s="4">
        <v>0</v>
      </c>
      <c r="V318" s="4">
        <v>0</v>
      </c>
      <c r="W318" s="4">
        <v>51.27</v>
      </c>
      <c r="X318" s="4">
        <v>0</v>
      </c>
      <c r="Y318" s="4"/>
      <c r="Z318" s="4">
        <v>68.100184485116927</v>
      </c>
      <c r="AA318" s="4"/>
      <c r="AB318" s="4">
        <v>0</v>
      </c>
      <c r="AC318" s="4">
        <v>921608.85819000017</v>
      </c>
      <c r="AD318" s="4">
        <v>0</v>
      </c>
      <c r="AE318" s="4">
        <v>0</v>
      </c>
      <c r="AF318" s="4">
        <v>1224141.4719301146</v>
      </c>
      <c r="AG318" s="4">
        <v>0</v>
      </c>
    </row>
    <row r="319" spans="1:33" ht="11.25" customHeight="1" x14ac:dyDescent="0.25">
      <c r="A319" s="3" t="s">
        <v>21</v>
      </c>
      <c r="B319" s="3" t="s">
        <v>41</v>
      </c>
      <c r="C319" s="3" t="s">
        <v>40</v>
      </c>
      <c r="D319" s="3" t="s">
        <v>38</v>
      </c>
      <c r="E319" s="3" t="s">
        <v>25</v>
      </c>
      <c r="F319" s="3" t="s">
        <v>60</v>
      </c>
      <c r="G319" s="3" t="s">
        <v>25</v>
      </c>
      <c r="H319" s="3" t="s">
        <v>34</v>
      </c>
      <c r="I319" s="6">
        <v>44287</v>
      </c>
      <c r="J319" s="4">
        <v>22915</v>
      </c>
      <c r="K319" s="4">
        <v>11822.50913945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3" t="s">
        <v>57</v>
      </c>
      <c r="R319" s="3">
        <v>0</v>
      </c>
      <c r="S319" s="4">
        <v>11</v>
      </c>
      <c r="T319" s="4">
        <v>0</v>
      </c>
      <c r="U319" s="4">
        <v>0</v>
      </c>
      <c r="V319" s="4">
        <v>62.23</v>
      </c>
      <c r="W319" s="4">
        <v>0</v>
      </c>
      <c r="X319" s="4">
        <v>0</v>
      </c>
      <c r="Y319" s="4">
        <v>76.426580837075718</v>
      </c>
      <c r="Z319" s="4">
        <v>68.100184485116927</v>
      </c>
      <c r="AA319" s="4"/>
      <c r="AB319" s="4">
        <v>735714.74374797347</v>
      </c>
      <c r="AC319" s="4">
        <v>0</v>
      </c>
      <c r="AD319" s="4">
        <v>0</v>
      </c>
      <c r="AE319" s="4">
        <v>903553.95044324186</v>
      </c>
      <c r="AF319" s="4">
        <v>0</v>
      </c>
      <c r="AG319" s="4">
        <v>0</v>
      </c>
    </row>
    <row r="320" spans="1:33" ht="11.25" customHeight="1" x14ac:dyDescent="0.25">
      <c r="A320" s="3" t="s">
        <v>21</v>
      </c>
      <c r="B320" s="3" t="s">
        <v>41</v>
      </c>
      <c r="C320" s="3" t="s">
        <v>40</v>
      </c>
      <c r="D320" s="3" t="s">
        <v>38</v>
      </c>
      <c r="E320" s="3" t="s">
        <v>25</v>
      </c>
      <c r="F320" s="3" t="s">
        <v>60</v>
      </c>
      <c r="G320" s="3" t="s">
        <v>25</v>
      </c>
      <c r="H320" s="3" t="s">
        <v>34</v>
      </c>
      <c r="I320" s="6">
        <v>44317</v>
      </c>
      <c r="J320" s="4">
        <v>22822</v>
      </c>
      <c r="K320" s="4">
        <v>11905.543611200001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3" t="s">
        <v>57</v>
      </c>
      <c r="R320" s="3">
        <v>0</v>
      </c>
      <c r="S320" s="4">
        <v>11</v>
      </c>
      <c r="T320" s="4">
        <v>0</v>
      </c>
      <c r="U320" s="4">
        <v>0</v>
      </c>
      <c r="V320" s="4">
        <v>62.23</v>
      </c>
      <c r="W320" s="4">
        <v>0</v>
      </c>
      <c r="X320" s="4">
        <v>0</v>
      </c>
      <c r="Y320" s="4">
        <v>76.426580837075718</v>
      </c>
      <c r="Z320" s="4">
        <v>68.100184485116927</v>
      </c>
      <c r="AA320" s="4"/>
      <c r="AB320" s="4">
        <v>740881.97892497596</v>
      </c>
      <c r="AC320" s="4">
        <v>0</v>
      </c>
      <c r="AD320" s="4">
        <v>0</v>
      </c>
      <c r="AE320" s="4">
        <v>909899.99121070723</v>
      </c>
      <c r="AF320" s="4">
        <v>0</v>
      </c>
      <c r="AG320" s="4">
        <v>0</v>
      </c>
    </row>
    <row r="321" spans="1:33" ht="11.25" customHeight="1" x14ac:dyDescent="0.25">
      <c r="A321" s="3" t="s">
        <v>21</v>
      </c>
      <c r="B321" s="3" t="s">
        <v>41</v>
      </c>
      <c r="C321" s="3" t="s">
        <v>40</v>
      </c>
      <c r="D321" s="3" t="s">
        <v>38</v>
      </c>
      <c r="E321" s="3" t="s">
        <v>25</v>
      </c>
      <c r="F321" s="3" t="s">
        <v>60</v>
      </c>
      <c r="G321" s="3" t="s">
        <v>25</v>
      </c>
      <c r="H321" s="3" t="s">
        <v>34</v>
      </c>
      <c r="I321" s="6">
        <v>44348</v>
      </c>
      <c r="J321" s="4">
        <v>24187</v>
      </c>
      <c r="K321" s="4">
        <v>12578.29334385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3" t="s">
        <v>57</v>
      </c>
      <c r="R321" s="3">
        <v>0</v>
      </c>
      <c r="S321" s="4">
        <v>11</v>
      </c>
      <c r="T321" s="4">
        <v>0</v>
      </c>
      <c r="U321" s="4">
        <v>0</v>
      </c>
      <c r="V321" s="4">
        <v>62.23</v>
      </c>
      <c r="W321" s="4">
        <v>0</v>
      </c>
      <c r="X321" s="4">
        <v>0</v>
      </c>
      <c r="Y321" s="4">
        <v>76.426580837075718</v>
      </c>
      <c r="Z321" s="4">
        <v>68.100184485116927</v>
      </c>
      <c r="AA321" s="4"/>
      <c r="AB321" s="4">
        <v>782747.19478778553</v>
      </c>
      <c r="AC321" s="4">
        <v>0</v>
      </c>
      <c r="AD321" s="4">
        <v>0</v>
      </c>
      <c r="AE321" s="4">
        <v>961315.95303620351</v>
      </c>
      <c r="AF321" s="4">
        <v>0</v>
      </c>
      <c r="AG321" s="4">
        <v>0</v>
      </c>
    </row>
    <row r="322" spans="1:33" ht="11.25" customHeight="1" x14ac:dyDescent="0.25">
      <c r="A322" s="3" t="s">
        <v>21</v>
      </c>
      <c r="B322" s="3" t="s">
        <v>41</v>
      </c>
      <c r="C322" s="3" t="s">
        <v>40</v>
      </c>
      <c r="D322" s="3" t="s">
        <v>38</v>
      </c>
      <c r="E322" s="3" t="s">
        <v>25</v>
      </c>
      <c r="F322" s="3" t="s">
        <v>60</v>
      </c>
      <c r="G322" s="3" t="s">
        <v>25</v>
      </c>
      <c r="H322" s="3" t="s">
        <v>34</v>
      </c>
      <c r="I322" s="6">
        <v>44378</v>
      </c>
      <c r="J322" s="4">
        <v>24070</v>
      </c>
      <c r="K322" s="4">
        <v>11799.099558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3" t="s">
        <v>57</v>
      </c>
      <c r="R322" s="3">
        <v>0</v>
      </c>
      <c r="S322" s="4">
        <v>11</v>
      </c>
      <c r="T322" s="4">
        <v>0</v>
      </c>
      <c r="U322" s="4">
        <v>0</v>
      </c>
      <c r="V322" s="4">
        <v>62.23</v>
      </c>
      <c r="W322" s="4">
        <v>0</v>
      </c>
      <c r="X322" s="4">
        <v>0</v>
      </c>
      <c r="Y322" s="4">
        <v>76.426580837075718</v>
      </c>
      <c r="Z322" s="4">
        <v>68.100184485116927</v>
      </c>
      <c r="AA322" s="4"/>
      <c r="AB322" s="4">
        <v>734257.96549433994</v>
      </c>
      <c r="AC322" s="4">
        <v>0</v>
      </c>
      <c r="AD322" s="4">
        <v>0</v>
      </c>
      <c r="AE322" s="4">
        <v>901764.83617419132</v>
      </c>
      <c r="AF322" s="4">
        <v>0</v>
      </c>
      <c r="AG322" s="4">
        <v>0</v>
      </c>
    </row>
    <row r="323" spans="1:33" ht="11.25" customHeight="1" x14ac:dyDescent="0.25">
      <c r="A323" s="3" t="s">
        <v>21</v>
      </c>
      <c r="B323" s="3" t="s">
        <v>41</v>
      </c>
      <c r="C323" s="3" t="s">
        <v>40</v>
      </c>
      <c r="D323" s="3" t="s">
        <v>38</v>
      </c>
      <c r="E323" s="3" t="s">
        <v>25</v>
      </c>
      <c r="F323" s="3" t="s">
        <v>60</v>
      </c>
      <c r="G323" s="3" t="s">
        <v>25</v>
      </c>
      <c r="H323" s="3" t="s">
        <v>34</v>
      </c>
      <c r="I323" s="6">
        <v>44409</v>
      </c>
      <c r="J323" s="4">
        <v>23199</v>
      </c>
      <c r="K323" s="4">
        <v>11312.310067410001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3" t="s">
        <v>57</v>
      </c>
      <c r="R323" s="3">
        <v>0</v>
      </c>
      <c r="S323" s="4">
        <v>11</v>
      </c>
      <c r="T323" s="4">
        <v>0</v>
      </c>
      <c r="U323" s="4">
        <v>0</v>
      </c>
      <c r="V323" s="4">
        <v>62.23</v>
      </c>
      <c r="W323" s="4">
        <v>0</v>
      </c>
      <c r="X323" s="4">
        <v>0</v>
      </c>
      <c r="Y323" s="4">
        <v>76.426580837075718</v>
      </c>
      <c r="Z323" s="4">
        <v>68.100184485116927</v>
      </c>
      <c r="AA323" s="4"/>
      <c r="AB323" s="4">
        <v>703965.05549492431</v>
      </c>
      <c r="AC323" s="4">
        <v>0</v>
      </c>
      <c r="AD323" s="4">
        <v>0</v>
      </c>
      <c r="AE323" s="4">
        <v>864561.17982097587</v>
      </c>
      <c r="AF323" s="4">
        <v>0</v>
      </c>
      <c r="AG323" s="4">
        <v>0</v>
      </c>
    </row>
    <row r="324" spans="1:33" ht="11.25" customHeight="1" x14ac:dyDescent="0.25">
      <c r="A324" s="3" t="s">
        <v>21</v>
      </c>
      <c r="B324" s="3" t="s">
        <v>41</v>
      </c>
      <c r="C324" s="3" t="s">
        <v>40</v>
      </c>
      <c r="D324" s="3" t="s">
        <v>38</v>
      </c>
      <c r="E324" s="3" t="s">
        <v>25</v>
      </c>
      <c r="F324" s="3" t="s">
        <v>60</v>
      </c>
      <c r="G324" s="3" t="s">
        <v>25</v>
      </c>
      <c r="H324" s="3" t="s">
        <v>34</v>
      </c>
      <c r="I324" s="6">
        <v>44440</v>
      </c>
      <c r="J324" s="4">
        <v>30615</v>
      </c>
      <c r="K324" s="4">
        <v>14824.761455399999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3" t="s">
        <v>57</v>
      </c>
      <c r="R324" s="3">
        <v>0</v>
      </c>
      <c r="S324" s="4">
        <v>11</v>
      </c>
      <c r="T324" s="4">
        <v>0</v>
      </c>
      <c r="U324" s="4">
        <v>0</v>
      </c>
      <c r="V324" s="4">
        <v>62.23</v>
      </c>
      <c r="W324" s="4">
        <v>0</v>
      </c>
      <c r="X324" s="4">
        <v>0</v>
      </c>
      <c r="Y324" s="4">
        <v>76.426580837075718</v>
      </c>
      <c r="Z324" s="4">
        <v>68.100184485116927</v>
      </c>
      <c r="AA324" s="4"/>
      <c r="AB324" s="4">
        <v>922544.90536954196</v>
      </c>
      <c r="AC324" s="4">
        <v>0</v>
      </c>
      <c r="AD324" s="4">
        <v>0</v>
      </c>
      <c r="AE324" s="4">
        <v>1133005.8297614923</v>
      </c>
      <c r="AF324" s="4">
        <v>0</v>
      </c>
      <c r="AG324" s="4">
        <v>0</v>
      </c>
    </row>
    <row r="325" spans="1:33" ht="11.25" customHeight="1" x14ac:dyDescent="0.25">
      <c r="A325" s="3" t="s">
        <v>21</v>
      </c>
      <c r="B325" s="3" t="s">
        <v>41</v>
      </c>
      <c r="C325" s="3" t="s">
        <v>40</v>
      </c>
      <c r="D325" s="3" t="s">
        <v>38</v>
      </c>
      <c r="E325" s="3" t="s">
        <v>25</v>
      </c>
      <c r="F325" s="3" t="s">
        <v>60</v>
      </c>
      <c r="G325" s="3" t="s">
        <v>25</v>
      </c>
      <c r="H325" s="3" t="s">
        <v>34</v>
      </c>
      <c r="I325" s="6">
        <v>44470</v>
      </c>
      <c r="J325" s="4">
        <v>31804</v>
      </c>
      <c r="K325" s="4">
        <v>15383.977402119999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3" t="s">
        <v>57</v>
      </c>
      <c r="R325" s="3">
        <v>0</v>
      </c>
      <c r="S325" s="4">
        <v>11</v>
      </c>
      <c r="T325" s="4">
        <v>0</v>
      </c>
      <c r="U325" s="4">
        <v>0</v>
      </c>
      <c r="V325" s="4">
        <v>62.23</v>
      </c>
      <c r="W325" s="4">
        <v>0</v>
      </c>
      <c r="X325" s="4">
        <v>0</v>
      </c>
      <c r="Y325" s="4">
        <v>76.426580837075718</v>
      </c>
      <c r="Z325" s="4">
        <v>68.100184485116927</v>
      </c>
      <c r="AA325" s="4"/>
      <c r="AB325" s="4">
        <v>957344.91373392753</v>
      </c>
      <c r="AC325" s="4">
        <v>0</v>
      </c>
      <c r="AD325" s="4">
        <v>0</v>
      </c>
      <c r="AE325" s="4">
        <v>1175744.7925188702</v>
      </c>
      <c r="AF325" s="4">
        <v>0</v>
      </c>
      <c r="AG325" s="4">
        <v>0</v>
      </c>
    </row>
    <row r="326" spans="1:33" ht="11.25" customHeight="1" x14ac:dyDescent="0.25">
      <c r="A326" s="3" t="s">
        <v>21</v>
      </c>
      <c r="B326" s="3" t="s">
        <v>41</v>
      </c>
      <c r="C326" s="3" t="s">
        <v>40</v>
      </c>
      <c r="D326" s="3" t="s">
        <v>38</v>
      </c>
      <c r="E326" s="3" t="s">
        <v>25</v>
      </c>
      <c r="F326" s="3" t="s">
        <v>60</v>
      </c>
      <c r="G326" s="3" t="s">
        <v>25</v>
      </c>
      <c r="H326" s="3" t="s">
        <v>34</v>
      </c>
      <c r="I326" s="6">
        <v>44501</v>
      </c>
      <c r="J326" s="4">
        <v>32053</v>
      </c>
      <c r="K326" s="4">
        <v>16162.476518719999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3" t="s">
        <v>57</v>
      </c>
      <c r="R326" s="3">
        <v>0</v>
      </c>
      <c r="S326" s="4">
        <v>11</v>
      </c>
      <c r="T326" s="4">
        <v>0</v>
      </c>
      <c r="U326" s="4">
        <v>0</v>
      </c>
      <c r="V326" s="4">
        <v>62.23</v>
      </c>
      <c r="W326" s="4">
        <v>0</v>
      </c>
      <c r="X326" s="4">
        <v>0</v>
      </c>
      <c r="Y326" s="4">
        <v>76.426580837075718</v>
      </c>
      <c r="Z326" s="4">
        <v>68.100184485116927</v>
      </c>
      <c r="AA326" s="4"/>
      <c r="AB326" s="4">
        <v>1005790.9137599455</v>
      </c>
      <c r="AC326" s="4">
        <v>0</v>
      </c>
      <c r="AD326" s="4">
        <v>0</v>
      </c>
      <c r="AE326" s="4">
        <v>1235242.8181852922</v>
      </c>
      <c r="AF326" s="4">
        <v>0</v>
      </c>
      <c r="AG326" s="4">
        <v>0</v>
      </c>
    </row>
    <row r="327" spans="1:33" ht="11.25" customHeight="1" x14ac:dyDescent="0.25">
      <c r="A327" s="3" t="s">
        <v>27</v>
      </c>
      <c r="B327" s="3" t="s">
        <v>41</v>
      </c>
      <c r="C327" s="3" t="s">
        <v>40</v>
      </c>
      <c r="D327" s="3" t="s">
        <v>38</v>
      </c>
      <c r="E327" s="3" t="s">
        <v>25</v>
      </c>
      <c r="F327" s="3" t="s">
        <v>60</v>
      </c>
      <c r="G327" s="3" t="s">
        <v>25</v>
      </c>
      <c r="H327" s="3" t="s">
        <v>34</v>
      </c>
      <c r="I327" s="6">
        <v>44501</v>
      </c>
      <c r="J327" s="4">
        <v>-448</v>
      </c>
      <c r="K327" s="4">
        <v>-448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3" t="s">
        <v>57</v>
      </c>
      <c r="R327" s="3">
        <v>0</v>
      </c>
      <c r="S327" s="4">
        <v>11</v>
      </c>
      <c r="T327" s="4">
        <v>0</v>
      </c>
      <c r="U327" s="4">
        <v>0</v>
      </c>
      <c r="V327" s="4">
        <v>62.23</v>
      </c>
      <c r="W327" s="4">
        <v>0</v>
      </c>
      <c r="X327" s="4">
        <v>0</v>
      </c>
      <c r="Y327" s="4">
        <v>76.426580837075718</v>
      </c>
      <c r="Z327" s="4">
        <v>68.100184485116927</v>
      </c>
      <c r="AA327" s="4"/>
      <c r="AB327" s="4">
        <v>-27879.039999999997</v>
      </c>
      <c r="AC327" s="4">
        <v>0</v>
      </c>
      <c r="AD327" s="4">
        <v>0</v>
      </c>
      <c r="AE327" s="4">
        <v>-34239.108215009925</v>
      </c>
      <c r="AF327" s="4">
        <v>0</v>
      </c>
      <c r="AG327" s="4">
        <v>0</v>
      </c>
    </row>
    <row r="328" spans="1:33" ht="11.25" customHeight="1" x14ac:dyDescent="0.25">
      <c r="A328" s="3" t="s">
        <v>21</v>
      </c>
      <c r="B328" s="3" t="s">
        <v>41</v>
      </c>
      <c r="C328" s="3" t="s">
        <v>40</v>
      </c>
      <c r="D328" s="3" t="s">
        <v>38</v>
      </c>
      <c r="E328" s="3" t="s">
        <v>25</v>
      </c>
      <c r="F328" s="3" t="s">
        <v>60</v>
      </c>
      <c r="G328" s="3" t="s">
        <v>25</v>
      </c>
      <c r="H328" s="3" t="s">
        <v>34</v>
      </c>
      <c r="I328" s="6">
        <v>44531</v>
      </c>
      <c r="J328" s="4">
        <v>33112</v>
      </c>
      <c r="K328" s="4">
        <v>16982.84083184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3" t="s">
        <v>57</v>
      </c>
      <c r="R328" s="3">
        <v>0</v>
      </c>
      <c r="S328" s="4">
        <v>11</v>
      </c>
      <c r="T328" s="4">
        <v>0</v>
      </c>
      <c r="U328" s="4">
        <v>0</v>
      </c>
      <c r="V328" s="4">
        <v>62.23</v>
      </c>
      <c r="W328" s="4">
        <v>0</v>
      </c>
      <c r="X328" s="4">
        <v>0</v>
      </c>
      <c r="Y328" s="4">
        <v>76.426580837075718</v>
      </c>
      <c r="Z328" s="4">
        <v>68.100184485116927</v>
      </c>
      <c r="AA328" s="4"/>
      <c r="AB328" s="4">
        <v>1056842.1849654031</v>
      </c>
      <c r="AC328" s="4">
        <v>0</v>
      </c>
      <c r="AD328" s="4">
        <v>0</v>
      </c>
      <c r="AE328" s="4">
        <v>1297940.45767781</v>
      </c>
      <c r="AF328" s="4">
        <v>0</v>
      </c>
      <c r="AG328" s="4">
        <v>0</v>
      </c>
    </row>
    <row r="329" spans="1:33" ht="11.25" customHeight="1" x14ac:dyDescent="0.25">
      <c r="A329" s="3" t="s">
        <v>21</v>
      </c>
      <c r="B329" s="3" t="s">
        <v>41</v>
      </c>
      <c r="C329" s="3" t="s">
        <v>40</v>
      </c>
      <c r="D329" s="3" t="s">
        <v>38</v>
      </c>
      <c r="E329" s="3" t="s">
        <v>25</v>
      </c>
      <c r="F329" s="3" t="s">
        <v>60</v>
      </c>
      <c r="G329" s="3" t="s">
        <v>25</v>
      </c>
      <c r="H329" s="3" t="s">
        <v>34</v>
      </c>
      <c r="I329" s="6">
        <v>44562</v>
      </c>
      <c r="J329" s="4">
        <v>35029</v>
      </c>
      <c r="K329" s="4">
        <v>17537.04571527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3" t="s">
        <v>57</v>
      </c>
      <c r="R329" s="3">
        <v>0</v>
      </c>
      <c r="S329" s="4">
        <v>11</v>
      </c>
      <c r="T329" s="4">
        <v>0</v>
      </c>
      <c r="U329" s="4">
        <v>0</v>
      </c>
      <c r="V329" s="4">
        <v>62.23</v>
      </c>
      <c r="W329" s="4">
        <v>0</v>
      </c>
      <c r="X329" s="4">
        <v>0</v>
      </c>
      <c r="Y329" s="4">
        <v>76.426580837075718</v>
      </c>
      <c r="Z329" s="4">
        <v>68.100184485116927</v>
      </c>
      <c r="AA329" s="4"/>
      <c r="AB329" s="4">
        <v>1091330.354861252</v>
      </c>
      <c r="AC329" s="4">
        <v>0</v>
      </c>
      <c r="AD329" s="4">
        <v>0</v>
      </c>
      <c r="AE329" s="4">
        <v>1340296.4420015751</v>
      </c>
      <c r="AF329" s="4">
        <v>0</v>
      </c>
      <c r="AG329" s="4">
        <v>0</v>
      </c>
    </row>
    <row r="330" spans="1:33" ht="11.25" customHeight="1" x14ac:dyDescent="0.25">
      <c r="A330" s="3" t="s">
        <v>21</v>
      </c>
      <c r="B330" s="3" t="s">
        <v>41</v>
      </c>
      <c r="C330" s="3" t="s">
        <v>40</v>
      </c>
      <c r="D330" s="3" t="s">
        <v>38</v>
      </c>
      <c r="E330" s="3" t="s">
        <v>25</v>
      </c>
      <c r="F330" s="3" t="s">
        <v>60</v>
      </c>
      <c r="G330" s="3" t="s">
        <v>25</v>
      </c>
      <c r="H330" s="3" t="s">
        <v>34</v>
      </c>
      <c r="I330" s="6">
        <v>44593</v>
      </c>
      <c r="J330" s="4">
        <v>34681</v>
      </c>
      <c r="K330" s="4">
        <v>17472.87703019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3" t="s">
        <v>57</v>
      </c>
      <c r="R330" s="3">
        <v>0</v>
      </c>
      <c r="S330" s="4">
        <v>11</v>
      </c>
      <c r="T330" s="4">
        <v>0</v>
      </c>
      <c r="U330" s="4">
        <v>0</v>
      </c>
      <c r="V330" s="4">
        <v>62.23</v>
      </c>
      <c r="W330" s="4">
        <v>0</v>
      </c>
      <c r="X330" s="4">
        <v>0</v>
      </c>
      <c r="Y330" s="4">
        <v>76.426580837075718</v>
      </c>
      <c r="Z330" s="4">
        <v>68.100184485116927</v>
      </c>
      <c r="AA330" s="4"/>
      <c r="AB330" s="4">
        <v>1087337.1375887236</v>
      </c>
      <c r="AC330" s="4">
        <v>0</v>
      </c>
      <c r="AD330" s="4">
        <v>0</v>
      </c>
      <c r="AE330" s="4">
        <v>1335392.2488040996</v>
      </c>
      <c r="AF330" s="4">
        <v>0</v>
      </c>
      <c r="AG330" s="4">
        <v>0</v>
      </c>
    </row>
    <row r="331" spans="1:33" ht="11.25" customHeight="1" x14ac:dyDescent="0.25">
      <c r="A331" s="3" t="s">
        <v>56</v>
      </c>
      <c r="B331" s="3" t="s">
        <v>41</v>
      </c>
      <c r="C331" s="3" t="s">
        <v>40</v>
      </c>
      <c r="D331" s="3" t="s">
        <v>38</v>
      </c>
      <c r="E331" s="3" t="s">
        <v>25</v>
      </c>
      <c r="F331" s="3" t="s">
        <v>60</v>
      </c>
      <c r="G331" s="3" t="s">
        <v>25</v>
      </c>
      <c r="H331" s="3" t="s">
        <v>34</v>
      </c>
      <c r="I331" s="6">
        <v>44621</v>
      </c>
      <c r="J331" s="4">
        <v>34681</v>
      </c>
      <c r="K331" s="4">
        <v>17472.87703019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3" t="s">
        <v>57</v>
      </c>
      <c r="R331" s="3">
        <v>0</v>
      </c>
      <c r="S331" s="4">
        <v>11</v>
      </c>
      <c r="T331" s="4">
        <v>0</v>
      </c>
      <c r="U331" s="4">
        <v>0</v>
      </c>
      <c r="V331" s="4">
        <v>62.23</v>
      </c>
      <c r="W331" s="4">
        <v>0</v>
      </c>
      <c r="X331" s="4">
        <v>0</v>
      </c>
      <c r="Y331" s="4">
        <v>76.426580837075718</v>
      </c>
      <c r="Z331" s="4">
        <v>68.100184485116927</v>
      </c>
      <c r="AA331" s="4"/>
      <c r="AB331" s="4">
        <v>1087337.1375887236</v>
      </c>
      <c r="AC331" s="4">
        <v>0</v>
      </c>
      <c r="AD331" s="4">
        <v>0</v>
      </c>
      <c r="AE331" s="4">
        <v>1335392.2488040996</v>
      </c>
      <c r="AF331" s="4">
        <v>0</v>
      </c>
      <c r="AG331" s="4">
        <v>0</v>
      </c>
    </row>
    <row r="332" spans="1:33" ht="11.25" customHeight="1" x14ac:dyDescent="0.25">
      <c r="A332" s="3" t="s">
        <v>21</v>
      </c>
      <c r="B332" s="3" t="s">
        <v>41</v>
      </c>
      <c r="C332" s="3" t="s">
        <v>40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35</v>
      </c>
      <c r="I332" s="6">
        <v>44287</v>
      </c>
      <c r="J332" s="4">
        <v>6188</v>
      </c>
      <c r="K332" s="4">
        <v>6188</v>
      </c>
      <c r="L332" s="4">
        <v>1009.17</v>
      </c>
      <c r="M332" s="4">
        <v>1009.17</v>
      </c>
      <c r="N332" s="4">
        <v>1009.17</v>
      </c>
      <c r="O332" s="4">
        <v>1009.17</v>
      </c>
      <c r="P332" s="4">
        <v>0</v>
      </c>
      <c r="Q332" s="3" t="s">
        <v>26</v>
      </c>
      <c r="R332" s="3">
        <v>0</v>
      </c>
      <c r="S332" s="4">
        <v>12</v>
      </c>
      <c r="T332" s="4">
        <v>110</v>
      </c>
      <c r="U332" s="4">
        <v>89</v>
      </c>
      <c r="V332" s="4">
        <v>24.31</v>
      </c>
      <c r="W332" s="4">
        <v>51.27</v>
      </c>
      <c r="X332" s="4">
        <v>222.31</v>
      </c>
      <c r="Y332" s="4">
        <v>27.784764762164471</v>
      </c>
      <c r="Z332" s="4">
        <v>68.100184485116927</v>
      </c>
      <c r="AA332" s="4">
        <v>235.31351552243123</v>
      </c>
      <c r="AB332" s="4">
        <v>150430.28</v>
      </c>
      <c r="AC332" s="4">
        <v>51740.145900000003</v>
      </c>
      <c r="AD332" s="4">
        <v>224348.5827</v>
      </c>
      <c r="AE332" s="4">
        <v>171932.12434827373</v>
      </c>
      <c r="AF332" s="4">
        <v>68724.663176845439</v>
      </c>
      <c r="AG332" s="4">
        <v>237471.34045977192</v>
      </c>
    </row>
    <row r="333" spans="1:33" ht="11.25" customHeight="1" x14ac:dyDescent="0.25">
      <c r="A333" s="3" t="s">
        <v>28</v>
      </c>
      <c r="B333" s="3" t="s">
        <v>41</v>
      </c>
      <c r="C333" s="3" t="s">
        <v>40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35</v>
      </c>
      <c r="I333" s="6">
        <v>44287</v>
      </c>
      <c r="J333" s="4">
        <v>143</v>
      </c>
      <c r="K333" s="4">
        <v>143</v>
      </c>
      <c r="L333" s="4">
        <v>19.515999999999998</v>
      </c>
      <c r="M333" s="4">
        <v>19.515999999999998</v>
      </c>
      <c r="N333" s="4">
        <v>19.515999999999998</v>
      </c>
      <c r="O333" s="4">
        <v>19.515999999999998</v>
      </c>
      <c r="P333" s="4">
        <v>0</v>
      </c>
      <c r="Q333" s="3" t="s">
        <v>26</v>
      </c>
      <c r="R333" s="3">
        <v>0</v>
      </c>
      <c r="S333" s="4">
        <v>12</v>
      </c>
      <c r="T333" s="4">
        <v>110</v>
      </c>
      <c r="U333" s="4">
        <v>89</v>
      </c>
      <c r="V333" s="4">
        <v>24.31</v>
      </c>
      <c r="W333" s="4">
        <v>51.27</v>
      </c>
      <c r="X333" s="4">
        <v>222.31</v>
      </c>
      <c r="Y333" s="4">
        <v>27.784764762164471</v>
      </c>
      <c r="Z333" s="4">
        <v>68.100184485116927</v>
      </c>
      <c r="AA333" s="4">
        <v>235.31351552243123</v>
      </c>
      <c r="AB333" s="4">
        <v>3476.33</v>
      </c>
      <c r="AC333" s="4">
        <v>1000.58532</v>
      </c>
      <c r="AD333" s="4">
        <v>4338.60196</v>
      </c>
      <c r="AE333" s="4">
        <v>3973.2213609895193</v>
      </c>
      <c r="AF333" s="4">
        <v>1329.0432004115419</v>
      </c>
      <c r="AG333" s="4">
        <v>4592.3785689357674</v>
      </c>
    </row>
    <row r="334" spans="1:33" ht="11.25" customHeight="1" x14ac:dyDescent="0.25">
      <c r="A334" s="3" t="s">
        <v>21</v>
      </c>
      <c r="B334" s="3" t="s">
        <v>41</v>
      </c>
      <c r="C334" s="3" t="s">
        <v>40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35</v>
      </c>
      <c r="I334" s="6">
        <v>44287</v>
      </c>
      <c r="J334" s="4">
        <v>30</v>
      </c>
      <c r="K334" s="4">
        <v>30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3" t="s">
        <v>57</v>
      </c>
      <c r="R334" s="3">
        <v>0</v>
      </c>
      <c r="S334" s="4">
        <v>12</v>
      </c>
      <c r="T334" s="4">
        <v>0</v>
      </c>
      <c r="U334" s="4">
        <v>0</v>
      </c>
      <c r="V334" s="4">
        <v>24.31</v>
      </c>
      <c r="W334" s="4">
        <v>0</v>
      </c>
      <c r="X334" s="4">
        <v>0</v>
      </c>
      <c r="Y334" s="4">
        <v>27.784764762164471</v>
      </c>
      <c r="Z334" s="4">
        <v>68.100184485116927</v>
      </c>
      <c r="AA334" s="4"/>
      <c r="AB334" s="4">
        <v>729.3</v>
      </c>
      <c r="AC334" s="4">
        <v>0</v>
      </c>
      <c r="AD334" s="4">
        <v>0</v>
      </c>
      <c r="AE334" s="4">
        <v>833.54294286493416</v>
      </c>
      <c r="AF334" s="4">
        <v>0</v>
      </c>
      <c r="AG334" s="4">
        <v>0</v>
      </c>
    </row>
    <row r="335" spans="1:33" ht="11.25" customHeight="1" x14ac:dyDescent="0.25">
      <c r="A335" s="3" t="s">
        <v>21</v>
      </c>
      <c r="B335" s="3" t="s">
        <v>41</v>
      </c>
      <c r="C335" s="3" t="s">
        <v>40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35</v>
      </c>
      <c r="I335" s="6">
        <v>44317</v>
      </c>
      <c r="J335" s="4">
        <v>6353</v>
      </c>
      <c r="K335" s="4">
        <v>6353</v>
      </c>
      <c r="L335" s="4">
        <v>1184.0029999999999</v>
      </c>
      <c r="M335" s="4">
        <v>1184.0029999999999</v>
      </c>
      <c r="N335" s="4">
        <v>1184.0029999999999</v>
      </c>
      <c r="O335" s="4">
        <v>1184.0029999999999</v>
      </c>
      <c r="P335" s="4">
        <v>0</v>
      </c>
      <c r="Q335" s="3" t="s">
        <v>26</v>
      </c>
      <c r="R335" s="3">
        <v>0</v>
      </c>
      <c r="S335" s="4">
        <v>12</v>
      </c>
      <c r="T335" s="4">
        <v>110</v>
      </c>
      <c r="U335" s="4">
        <v>89</v>
      </c>
      <c r="V335" s="4">
        <v>24.31</v>
      </c>
      <c r="W335" s="4">
        <v>51.27</v>
      </c>
      <c r="X335" s="4">
        <v>222.31</v>
      </c>
      <c r="Y335" s="4">
        <v>27.784764762164471</v>
      </c>
      <c r="Z335" s="4">
        <v>68.100184485116927</v>
      </c>
      <c r="AA335" s="4">
        <v>235.31351552243123</v>
      </c>
      <c r="AB335" s="4">
        <v>154441.43</v>
      </c>
      <c r="AC335" s="4">
        <v>60703.833809999996</v>
      </c>
      <c r="AD335" s="4">
        <v>263215.70692999999</v>
      </c>
      <c r="AE335" s="4">
        <v>176516.61053403089</v>
      </c>
      <c r="AF335" s="4">
        <v>80630.82273093189</v>
      </c>
      <c r="AG335" s="4">
        <v>278611.9083191051</v>
      </c>
    </row>
    <row r="336" spans="1:33" ht="11.25" customHeight="1" x14ac:dyDescent="0.25">
      <c r="A336" s="3" t="s">
        <v>28</v>
      </c>
      <c r="B336" s="3" t="s">
        <v>41</v>
      </c>
      <c r="C336" s="3" t="s">
        <v>40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35</v>
      </c>
      <c r="I336" s="6">
        <v>44317</v>
      </c>
      <c r="J336" s="4">
        <v>143</v>
      </c>
      <c r="K336" s="4">
        <v>143</v>
      </c>
      <c r="L336" s="4">
        <v>17.712</v>
      </c>
      <c r="M336" s="4">
        <v>17.712</v>
      </c>
      <c r="N336" s="4">
        <v>17.712</v>
      </c>
      <c r="O336" s="4">
        <v>17.712</v>
      </c>
      <c r="P336" s="4">
        <v>0</v>
      </c>
      <c r="Q336" s="3" t="s">
        <v>26</v>
      </c>
      <c r="R336" s="3">
        <v>0</v>
      </c>
      <c r="S336" s="4">
        <v>12</v>
      </c>
      <c r="T336" s="4">
        <v>110</v>
      </c>
      <c r="U336" s="4">
        <v>89</v>
      </c>
      <c r="V336" s="4">
        <v>24.31</v>
      </c>
      <c r="W336" s="4">
        <v>51.27</v>
      </c>
      <c r="X336" s="4">
        <v>222.31</v>
      </c>
      <c r="Y336" s="4">
        <v>27.784764762164471</v>
      </c>
      <c r="Z336" s="4">
        <v>68.100184485116927</v>
      </c>
      <c r="AA336" s="4">
        <v>235.31351552243123</v>
      </c>
      <c r="AB336" s="4">
        <v>3476.33</v>
      </c>
      <c r="AC336" s="4">
        <v>908.09424000000001</v>
      </c>
      <c r="AD336" s="4">
        <v>3937.5547200000001</v>
      </c>
      <c r="AE336" s="4">
        <v>3973.2213609895193</v>
      </c>
      <c r="AF336" s="4">
        <v>1206.190467600391</v>
      </c>
      <c r="AG336" s="4">
        <v>4167.8729869333019</v>
      </c>
    </row>
    <row r="337" spans="1:33" ht="11.25" customHeight="1" x14ac:dyDescent="0.25">
      <c r="A337" s="3" t="s">
        <v>21</v>
      </c>
      <c r="B337" s="3" t="s">
        <v>41</v>
      </c>
      <c r="C337" s="3" t="s">
        <v>40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35</v>
      </c>
      <c r="I337" s="6">
        <v>44317</v>
      </c>
      <c r="J337" s="4">
        <v>30</v>
      </c>
      <c r="K337" s="4">
        <v>30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 t="s">
        <v>57</v>
      </c>
      <c r="R337" s="3">
        <v>0</v>
      </c>
      <c r="S337" s="4">
        <v>12</v>
      </c>
      <c r="T337" s="4">
        <v>0</v>
      </c>
      <c r="U337" s="4">
        <v>0</v>
      </c>
      <c r="V337" s="4">
        <v>24.31</v>
      </c>
      <c r="W337" s="4">
        <v>0</v>
      </c>
      <c r="X337" s="4">
        <v>0</v>
      </c>
      <c r="Y337" s="4">
        <v>27.784764762164471</v>
      </c>
      <c r="Z337" s="4">
        <v>68.100184485116927</v>
      </c>
      <c r="AA337" s="4"/>
      <c r="AB337" s="4">
        <v>729.3</v>
      </c>
      <c r="AC337" s="4">
        <v>0</v>
      </c>
      <c r="AD337" s="4">
        <v>0</v>
      </c>
      <c r="AE337" s="4">
        <v>833.54294286493416</v>
      </c>
      <c r="AF337" s="4">
        <v>0</v>
      </c>
      <c r="AG337" s="4">
        <v>0</v>
      </c>
    </row>
    <row r="338" spans="1:33" ht="11.25" customHeight="1" x14ac:dyDescent="0.25">
      <c r="A338" s="3" t="s">
        <v>21</v>
      </c>
      <c r="B338" s="3" t="s">
        <v>41</v>
      </c>
      <c r="C338" s="3" t="s">
        <v>40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35</v>
      </c>
      <c r="I338" s="6">
        <v>44348</v>
      </c>
      <c r="J338" s="4">
        <v>6347</v>
      </c>
      <c r="K338" s="4">
        <v>6347</v>
      </c>
      <c r="L338" s="4">
        <v>1017.986</v>
      </c>
      <c r="M338" s="4">
        <v>1017.986</v>
      </c>
      <c r="N338" s="4">
        <v>1017.986</v>
      </c>
      <c r="O338" s="4">
        <v>1017.986</v>
      </c>
      <c r="P338" s="4">
        <v>0</v>
      </c>
      <c r="Q338" s="3" t="s">
        <v>26</v>
      </c>
      <c r="R338" s="3">
        <v>0</v>
      </c>
      <c r="S338" s="4">
        <v>12</v>
      </c>
      <c r="T338" s="4">
        <v>110</v>
      </c>
      <c r="U338" s="4">
        <v>89</v>
      </c>
      <c r="V338" s="4">
        <v>24.31</v>
      </c>
      <c r="W338" s="4">
        <v>51.27</v>
      </c>
      <c r="X338" s="4">
        <v>222.31</v>
      </c>
      <c r="Y338" s="4">
        <v>27.784764762164471</v>
      </c>
      <c r="Z338" s="4">
        <v>68.100184485116927</v>
      </c>
      <c r="AA338" s="4">
        <v>235.31351552243123</v>
      </c>
      <c r="AB338" s="4">
        <v>154295.56999999998</v>
      </c>
      <c r="AC338" s="4">
        <v>52192.142220000002</v>
      </c>
      <c r="AD338" s="4">
        <v>226308.46765999999</v>
      </c>
      <c r="AE338" s="4">
        <v>176349.90194545791</v>
      </c>
      <c r="AF338" s="4">
        <v>69325.03440326624</v>
      </c>
      <c r="AG338" s="4">
        <v>239545.86441261767</v>
      </c>
    </row>
    <row r="339" spans="1:33" ht="11.25" customHeight="1" x14ac:dyDescent="0.25">
      <c r="A339" s="3" t="s">
        <v>27</v>
      </c>
      <c r="B339" s="3" t="s">
        <v>41</v>
      </c>
      <c r="C339" s="3" t="s">
        <v>40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35</v>
      </c>
      <c r="I339" s="6">
        <v>44348</v>
      </c>
      <c r="J339" s="4">
        <v>-15</v>
      </c>
      <c r="K339" s="4">
        <v>-15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 t="s">
        <v>26</v>
      </c>
      <c r="R339" s="3">
        <v>0</v>
      </c>
      <c r="S339" s="4">
        <v>12</v>
      </c>
      <c r="T339" s="4">
        <v>0</v>
      </c>
      <c r="U339" s="4">
        <v>0</v>
      </c>
      <c r="V339" s="4">
        <v>24.31</v>
      </c>
      <c r="W339" s="4">
        <v>0</v>
      </c>
      <c r="X339" s="4">
        <v>0</v>
      </c>
      <c r="Y339" s="4">
        <v>27.784764762164471</v>
      </c>
      <c r="Z339" s="4">
        <v>68.100184485116927</v>
      </c>
      <c r="AA339" s="4">
        <v>235.31351552243123</v>
      </c>
      <c r="AB339" s="4">
        <v>-364.65</v>
      </c>
      <c r="AC339" s="4">
        <v>0</v>
      </c>
      <c r="AD339" s="4">
        <v>0</v>
      </c>
      <c r="AE339" s="4">
        <v>-416.77147143246708</v>
      </c>
      <c r="AF339" s="4">
        <v>0</v>
      </c>
      <c r="AG339" s="4">
        <v>0</v>
      </c>
    </row>
    <row r="340" spans="1:33" ht="11.25" customHeight="1" x14ac:dyDescent="0.25">
      <c r="A340" s="3" t="s">
        <v>28</v>
      </c>
      <c r="B340" s="3" t="s">
        <v>41</v>
      </c>
      <c r="C340" s="3" t="s">
        <v>40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35</v>
      </c>
      <c r="I340" s="6">
        <v>44348</v>
      </c>
      <c r="J340" s="4">
        <v>143</v>
      </c>
      <c r="K340" s="4">
        <v>143</v>
      </c>
      <c r="L340" s="4">
        <v>18.777999999999999</v>
      </c>
      <c r="M340" s="4">
        <v>18.777999999999999</v>
      </c>
      <c r="N340" s="4">
        <v>18.777999999999999</v>
      </c>
      <c r="O340" s="4">
        <v>18.777999999999999</v>
      </c>
      <c r="P340" s="4">
        <v>0</v>
      </c>
      <c r="Q340" s="3" t="s">
        <v>26</v>
      </c>
      <c r="R340" s="3">
        <v>0</v>
      </c>
      <c r="S340" s="4">
        <v>12</v>
      </c>
      <c r="T340" s="4">
        <v>110</v>
      </c>
      <c r="U340" s="4">
        <v>89</v>
      </c>
      <c r="V340" s="4">
        <v>24.31</v>
      </c>
      <c r="W340" s="4">
        <v>51.27</v>
      </c>
      <c r="X340" s="4">
        <v>222.31</v>
      </c>
      <c r="Y340" s="4">
        <v>27.784764762164471</v>
      </c>
      <c r="Z340" s="4">
        <v>68.100184485116927</v>
      </c>
      <c r="AA340" s="4">
        <v>235.31351552243123</v>
      </c>
      <c r="AB340" s="4">
        <v>3476.33</v>
      </c>
      <c r="AC340" s="4">
        <v>962.74806000000001</v>
      </c>
      <c r="AD340" s="4">
        <v>4174.5371799999994</v>
      </c>
      <c r="AE340" s="4">
        <v>3973.2213609895193</v>
      </c>
      <c r="AF340" s="4">
        <v>1278.7852642615255</v>
      </c>
      <c r="AG340" s="4">
        <v>4418.717194480213</v>
      </c>
    </row>
    <row r="341" spans="1:33" ht="11.25" customHeight="1" x14ac:dyDescent="0.25">
      <c r="A341" s="3" t="s">
        <v>21</v>
      </c>
      <c r="B341" s="3" t="s">
        <v>41</v>
      </c>
      <c r="C341" s="3" t="s">
        <v>40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35</v>
      </c>
      <c r="I341" s="6">
        <v>44348</v>
      </c>
      <c r="J341" s="4">
        <v>30</v>
      </c>
      <c r="K341" s="4">
        <v>30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 t="s">
        <v>57</v>
      </c>
      <c r="R341" s="3">
        <v>0</v>
      </c>
      <c r="S341" s="4">
        <v>12</v>
      </c>
      <c r="T341" s="4">
        <v>0</v>
      </c>
      <c r="U341" s="4">
        <v>0</v>
      </c>
      <c r="V341" s="4">
        <v>24.31</v>
      </c>
      <c r="W341" s="4">
        <v>0</v>
      </c>
      <c r="X341" s="4">
        <v>0</v>
      </c>
      <c r="Y341" s="4">
        <v>27.784764762164471</v>
      </c>
      <c r="Z341" s="4">
        <v>68.100184485116927</v>
      </c>
      <c r="AA341" s="4"/>
      <c r="AB341" s="4">
        <v>729.3</v>
      </c>
      <c r="AC341" s="4">
        <v>0</v>
      </c>
      <c r="AD341" s="4">
        <v>0</v>
      </c>
      <c r="AE341" s="4">
        <v>833.54294286493416</v>
      </c>
      <c r="AF341" s="4">
        <v>0</v>
      </c>
      <c r="AG341" s="4">
        <v>0</v>
      </c>
    </row>
    <row r="342" spans="1:33" ht="11.25" customHeight="1" x14ac:dyDescent="0.25">
      <c r="A342" s="3" t="s">
        <v>21</v>
      </c>
      <c r="B342" s="3" t="s">
        <v>41</v>
      </c>
      <c r="C342" s="3" t="s">
        <v>40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35</v>
      </c>
      <c r="I342" s="6">
        <v>44378</v>
      </c>
      <c r="J342" s="4">
        <v>6335</v>
      </c>
      <c r="K342" s="4">
        <v>6335</v>
      </c>
      <c r="L342" s="4">
        <v>925.72699999999998</v>
      </c>
      <c r="M342" s="4">
        <v>925.72699999999998</v>
      </c>
      <c r="N342" s="4">
        <v>925.72699999999998</v>
      </c>
      <c r="O342" s="4">
        <v>925.72699999999998</v>
      </c>
      <c r="P342" s="4">
        <v>0</v>
      </c>
      <c r="Q342" s="3" t="s">
        <v>26</v>
      </c>
      <c r="R342" s="3">
        <v>0</v>
      </c>
      <c r="S342" s="4">
        <v>12</v>
      </c>
      <c r="T342" s="4">
        <v>110</v>
      </c>
      <c r="U342" s="4">
        <v>89</v>
      </c>
      <c r="V342" s="4">
        <v>24.31</v>
      </c>
      <c r="W342" s="4">
        <v>51.27</v>
      </c>
      <c r="X342" s="4">
        <v>222.31</v>
      </c>
      <c r="Y342" s="4">
        <v>27.784764762164471</v>
      </c>
      <c r="Z342" s="4">
        <v>68.100184485116927</v>
      </c>
      <c r="AA342" s="4">
        <v>235.31351552243123</v>
      </c>
      <c r="AB342" s="4">
        <v>154003.85</v>
      </c>
      <c r="AC342" s="4">
        <v>47462.023290000005</v>
      </c>
      <c r="AD342" s="4">
        <v>205798.36937</v>
      </c>
      <c r="AE342" s="4">
        <v>176016.48476831193</v>
      </c>
      <c r="AF342" s="4">
        <v>63042.179482853833</v>
      </c>
      <c r="AG342" s="4">
        <v>217836.0747840337</v>
      </c>
    </row>
    <row r="343" spans="1:33" ht="11.25" customHeight="1" x14ac:dyDescent="0.25">
      <c r="A343" s="3" t="s">
        <v>28</v>
      </c>
      <c r="B343" s="3" t="s">
        <v>41</v>
      </c>
      <c r="C343" s="3" t="s">
        <v>40</v>
      </c>
      <c r="D343" s="3" t="s">
        <v>38</v>
      </c>
      <c r="E343" s="3" t="s">
        <v>25</v>
      </c>
      <c r="F343" s="3" t="s">
        <v>25</v>
      </c>
      <c r="G343" s="3" t="s">
        <v>25</v>
      </c>
      <c r="H343" s="3" t="s">
        <v>35</v>
      </c>
      <c r="I343" s="6">
        <v>44378</v>
      </c>
      <c r="J343" s="4">
        <v>143</v>
      </c>
      <c r="K343" s="4">
        <v>143</v>
      </c>
      <c r="L343" s="4">
        <v>10.199999999999999</v>
      </c>
      <c r="M343" s="4">
        <v>10.199999999999999</v>
      </c>
      <c r="N343" s="4">
        <v>10.199999999999999</v>
      </c>
      <c r="O343" s="4">
        <v>10.199999999999999</v>
      </c>
      <c r="P343" s="4">
        <v>0</v>
      </c>
      <c r="Q343" s="3" t="s">
        <v>26</v>
      </c>
      <c r="R343" s="3">
        <v>0</v>
      </c>
      <c r="S343" s="4">
        <v>12</v>
      </c>
      <c r="T343" s="4">
        <v>110</v>
      </c>
      <c r="U343" s="4">
        <v>89</v>
      </c>
      <c r="V343" s="4">
        <v>24.31</v>
      </c>
      <c r="W343" s="4">
        <v>51.27</v>
      </c>
      <c r="X343" s="4">
        <v>222.31</v>
      </c>
      <c r="Y343" s="4">
        <v>27.784764762164471</v>
      </c>
      <c r="Z343" s="4">
        <v>68.100184485116927</v>
      </c>
      <c r="AA343" s="4">
        <v>235.31351552243123</v>
      </c>
      <c r="AB343" s="4">
        <v>3476.33</v>
      </c>
      <c r="AC343" s="4">
        <v>522.95399999999995</v>
      </c>
      <c r="AD343" s="4">
        <v>2267.5619999999999</v>
      </c>
      <c r="AE343" s="4">
        <v>3973.2213609895193</v>
      </c>
      <c r="AF343" s="4">
        <v>694.62188174819255</v>
      </c>
      <c r="AG343" s="4">
        <v>2400.1978583287982</v>
      </c>
    </row>
    <row r="344" spans="1:33" ht="11.25" customHeight="1" x14ac:dyDescent="0.25">
      <c r="A344" s="3" t="s">
        <v>21</v>
      </c>
      <c r="B344" s="3" t="s">
        <v>41</v>
      </c>
      <c r="C344" s="3" t="s">
        <v>40</v>
      </c>
      <c r="D344" s="3" t="s">
        <v>38</v>
      </c>
      <c r="E344" s="3" t="s">
        <v>25</v>
      </c>
      <c r="F344" s="3" t="s">
        <v>25</v>
      </c>
      <c r="G344" s="3" t="s">
        <v>25</v>
      </c>
      <c r="H344" s="3" t="s">
        <v>35</v>
      </c>
      <c r="I344" s="6">
        <v>44378</v>
      </c>
      <c r="J344" s="4">
        <v>30</v>
      </c>
      <c r="K344" s="4">
        <v>30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3" t="s">
        <v>57</v>
      </c>
      <c r="R344" s="3">
        <v>0</v>
      </c>
      <c r="S344" s="4">
        <v>12</v>
      </c>
      <c r="T344" s="4">
        <v>0</v>
      </c>
      <c r="U344" s="4">
        <v>0</v>
      </c>
      <c r="V344" s="4">
        <v>24.31</v>
      </c>
      <c r="W344" s="4">
        <v>0</v>
      </c>
      <c r="X344" s="4">
        <v>0</v>
      </c>
      <c r="Y344" s="4">
        <v>27.784764762164471</v>
      </c>
      <c r="Z344" s="4">
        <v>68.100184485116927</v>
      </c>
      <c r="AA344" s="4"/>
      <c r="AB344" s="4">
        <v>729.3</v>
      </c>
      <c r="AC344" s="4">
        <v>0</v>
      </c>
      <c r="AD344" s="4">
        <v>0</v>
      </c>
      <c r="AE344" s="4">
        <v>833.54294286493416</v>
      </c>
      <c r="AF344" s="4">
        <v>0</v>
      </c>
      <c r="AG344" s="4">
        <v>0</v>
      </c>
    </row>
    <row r="345" spans="1:33" ht="11.25" customHeight="1" x14ac:dyDescent="0.25">
      <c r="A345" s="3" t="s">
        <v>21</v>
      </c>
      <c r="B345" s="3" t="s">
        <v>41</v>
      </c>
      <c r="C345" s="3" t="s">
        <v>40</v>
      </c>
      <c r="D345" s="3" t="s">
        <v>38</v>
      </c>
      <c r="E345" s="3" t="s">
        <v>25</v>
      </c>
      <c r="F345" s="3" t="s">
        <v>25</v>
      </c>
      <c r="G345" s="3" t="s">
        <v>25</v>
      </c>
      <c r="H345" s="3" t="s">
        <v>35</v>
      </c>
      <c r="I345" s="6">
        <v>44409</v>
      </c>
      <c r="J345" s="4">
        <v>6334</v>
      </c>
      <c r="K345" s="4">
        <v>6334</v>
      </c>
      <c r="L345" s="4">
        <v>1116.7270000000001</v>
      </c>
      <c r="M345" s="4">
        <v>1116.7270000000001</v>
      </c>
      <c r="N345" s="4">
        <v>1116.7270000000001</v>
      </c>
      <c r="O345" s="4">
        <v>1116.7270000000001</v>
      </c>
      <c r="P345" s="4">
        <v>0</v>
      </c>
      <c r="Q345" s="3" t="s">
        <v>26</v>
      </c>
      <c r="R345" s="3">
        <v>0</v>
      </c>
      <c r="S345" s="4">
        <v>12</v>
      </c>
      <c r="T345" s="4">
        <v>110</v>
      </c>
      <c r="U345" s="4">
        <v>89</v>
      </c>
      <c r="V345" s="4">
        <v>24.31</v>
      </c>
      <c r="W345" s="4">
        <v>51.27</v>
      </c>
      <c r="X345" s="4">
        <v>222.31</v>
      </c>
      <c r="Y345" s="4">
        <v>27.784764762164471</v>
      </c>
      <c r="Z345" s="4">
        <v>68.100184485116927</v>
      </c>
      <c r="AA345" s="4">
        <v>235.31351552243123</v>
      </c>
      <c r="AB345" s="4">
        <v>153979.53999999998</v>
      </c>
      <c r="AC345" s="4">
        <v>57254.593290000012</v>
      </c>
      <c r="AD345" s="4">
        <v>248259.57937000002</v>
      </c>
      <c r="AE345" s="4">
        <v>175988.70000354975</v>
      </c>
      <c r="AF345" s="4">
        <v>76049.314719511181</v>
      </c>
      <c r="AG345" s="4">
        <v>262780.95624881808</v>
      </c>
    </row>
    <row r="346" spans="1:33" ht="11.25" customHeight="1" x14ac:dyDescent="0.25">
      <c r="A346" s="3" t="s">
        <v>28</v>
      </c>
      <c r="B346" s="3" t="s">
        <v>41</v>
      </c>
      <c r="C346" s="3" t="s">
        <v>40</v>
      </c>
      <c r="D346" s="3" t="s">
        <v>38</v>
      </c>
      <c r="E346" s="3" t="s">
        <v>25</v>
      </c>
      <c r="F346" s="3" t="s">
        <v>25</v>
      </c>
      <c r="G346" s="3" t="s">
        <v>25</v>
      </c>
      <c r="H346" s="3" t="s">
        <v>35</v>
      </c>
      <c r="I346" s="6">
        <v>44409</v>
      </c>
      <c r="J346" s="4">
        <v>143</v>
      </c>
      <c r="K346" s="4">
        <v>143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3" t="s">
        <v>26</v>
      </c>
      <c r="R346" s="3">
        <v>0</v>
      </c>
      <c r="S346" s="4">
        <v>12</v>
      </c>
      <c r="T346" s="4">
        <v>0</v>
      </c>
      <c r="U346" s="4">
        <v>0</v>
      </c>
      <c r="V346" s="4">
        <v>24.31</v>
      </c>
      <c r="W346" s="4">
        <v>0</v>
      </c>
      <c r="X346" s="4">
        <v>0</v>
      </c>
      <c r="Y346" s="4">
        <v>27.784764762164471</v>
      </c>
      <c r="Z346" s="4">
        <v>68.100184485116927</v>
      </c>
      <c r="AA346" s="4">
        <v>235.31351552243123</v>
      </c>
      <c r="AB346" s="4">
        <v>3476.33</v>
      </c>
      <c r="AC346" s="4">
        <v>0</v>
      </c>
      <c r="AD346" s="4">
        <v>0</v>
      </c>
      <c r="AE346" s="4">
        <v>3973.2213609895193</v>
      </c>
      <c r="AF346" s="4">
        <v>0</v>
      </c>
      <c r="AG346" s="4">
        <v>0</v>
      </c>
    </row>
    <row r="347" spans="1:33" ht="11.25" customHeight="1" x14ac:dyDescent="0.25">
      <c r="A347" s="3" t="s">
        <v>21</v>
      </c>
      <c r="B347" s="3" t="s">
        <v>41</v>
      </c>
      <c r="C347" s="3" t="s">
        <v>40</v>
      </c>
      <c r="D347" s="3" t="s">
        <v>38</v>
      </c>
      <c r="E347" s="3" t="s">
        <v>25</v>
      </c>
      <c r="F347" s="3" t="s">
        <v>25</v>
      </c>
      <c r="G347" s="3" t="s">
        <v>25</v>
      </c>
      <c r="H347" s="3" t="s">
        <v>35</v>
      </c>
      <c r="I347" s="6">
        <v>44409</v>
      </c>
      <c r="J347" s="4">
        <v>1548</v>
      </c>
      <c r="K347" s="4">
        <v>1548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3" t="s">
        <v>57</v>
      </c>
      <c r="R347" s="3">
        <v>0</v>
      </c>
      <c r="S347" s="4">
        <v>12</v>
      </c>
      <c r="T347" s="4">
        <v>0</v>
      </c>
      <c r="U347" s="4">
        <v>0</v>
      </c>
      <c r="V347" s="4">
        <v>24.31</v>
      </c>
      <c r="W347" s="4">
        <v>0</v>
      </c>
      <c r="X347" s="4">
        <v>0</v>
      </c>
      <c r="Y347" s="4">
        <v>27.784764762164471</v>
      </c>
      <c r="Z347" s="4">
        <v>68.100184485116927</v>
      </c>
      <c r="AA347" s="4"/>
      <c r="AB347" s="4">
        <v>37631.879999999997</v>
      </c>
      <c r="AC347" s="4">
        <v>0</v>
      </c>
      <c r="AD347" s="4">
        <v>0</v>
      </c>
      <c r="AE347" s="4">
        <v>43010.815851830601</v>
      </c>
      <c r="AF347" s="4">
        <v>0</v>
      </c>
      <c r="AG347" s="4">
        <v>0</v>
      </c>
    </row>
    <row r="348" spans="1:33" ht="11.25" customHeight="1" x14ac:dyDescent="0.25">
      <c r="A348" s="3" t="s">
        <v>21</v>
      </c>
      <c r="B348" s="3" t="s">
        <v>41</v>
      </c>
      <c r="C348" s="3" t="s">
        <v>40</v>
      </c>
      <c r="D348" s="3" t="s">
        <v>38</v>
      </c>
      <c r="E348" s="3" t="s">
        <v>25</v>
      </c>
      <c r="F348" s="3" t="s">
        <v>25</v>
      </c>
      <c r="G348" s="3" t="s">
        <v>25</v>
      </c>
      <c r="H348" s="3" t="s">
        <v>35</v>
      </c>
      <c r="I348" s="6">
        <v>44440</v>
      </c>
      <c r="J348" s="4">
        <v>6336</v>
      </c>
      <c r="K348" s="4">
        <v>6336</v>
      </c>
      <c r="L348" s="4">
        <v>1113.941</v>
      </c>
      <c r="M348" s="4">
        <v>1113.941</v>
      </c>
      <c r="N348" s="4">
        <v>1113.941</v>
      </c>
      <c r="O348" s="4">
        <v>1113.941</v>
      </c>
      <c r="P348" s="4">
        <v>0</v>
      </c>
      <c r="Q348" s="3" t="s">
        <v>26</v>
      </c>
      <c r="R348" s="3">
        <v>0</v>
      </c>
      <c r="S348" s="4">
        <v>12</v>
      </c>
      <c r="T348" s="4">
        <v>110</v>
      </c>
      <c r="U348" s="4">
        <v>89</v>
      </c>
      <c r="V348" s="4">
        <v>24.31</v>
      </c>
      <c r="W348" s="4">
        <v>51.27</v>
      </c>
      <c r="X348" s="4">
        <v>222.31</v>
      </c>
      <c r="Y348" s="4">
        <v>27.784764762164471</v>
      </c>
      <c r="Z348" s="4">
        <v>68.100184485116927</v>
      </c>
      <c r="AA348" s="4">
        <v>235.31351552243123</v>
      </c>
      <c r="AB348" s="4">
        <v>154028.16</v>
      </c>
      <c r="AC348" s="4">
        <v>57111.755070000007</v>
      </c>
      <c r="AD348" s="4">
        <v>247640.22371000002</v>
      </c>
      <c r="AE348" s="4">
        <v>176044.26953307408</v>
      </c>
      <c r="AF348" s="4">
        <v>75859.587605535635</v>
      </c>
      <c r="AG348" s="4">
        <v>262125.37279457258</v>
      </c>
    </row>
    <row r="349" spans="1:33" ht="11.25" customHeight="1" x14ac:dyDescent="0.25">
      <c r="A349" s="3" t="s">
        <v>28</v>
      </c>
      <c r="B349" s="3" t="s">
        <v>41</v>
      </c>
      <c r="C349" s="3" t="s">
        <v>40</v>
      </c>
      <c r="D349" s="3" t="s">
        <v>38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44440</v>
      </c>
      <c r="J349" s="4">
        <v>143</v>
      </c>
      <c r="K349" s="4">
        <v>143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 t="s">
        <v>26</v>
      </c>
      <c r="R349" s="3">
        <v>0</v>
      </c>
      <c r="S349" s="4">
        <v>12</v>
      </c>
      <c r="T349" s="4">
        <v>0</v>
      </c>
      <c r="U349" s="4">
        <v>0</v>
      </c>
      <c r="V349" s="4">
        <v>24.31</v>
      </c>
      <c r="W349" s="4">
        <v>0</v>
      </c>
      <c r="X349" s="4">
        <v>0</v>
      </c>
      <c r="Y349" s="4">
        <v>27.784764762164471</v>
      </c>
      <c r="Z349" s="4">
        <v>68.100184485116927</v>
      </c>
      <c r="AA349" s="4">
        <v>235.31351552243123</v>
      </c>
      <c r="AB349" s="4">
        <v>3476.33</v>
      </c>
      <c r="AC349" s="4">
        <v>0</v>
      </c>
      <c r="AD349" s="4">
        <v>0</v>
      </c>
      <c r="AE349" s="4">
        <v>3973.2213609895193</v>
      </c>
      <c r="AF349" s="4">
        <v>0</v>
      </c>
      <c r="AG349" s="4">
        <v>0</v>
      </c>
    </row>
    <row r="350" spans="1:33" ht="11.25" customHeight="1" x14ac:dyDescent="0.25">
      <c r="A350" s="3" t="s">
        <v>21</v>
      </c>
      <c r="B350" s="3" t="s">
        <v>41</v>
      </c>
      <c r="C350" s="3" t="s">
        <v>40</v>
      </c>
      <c r="D350" s="3" t="s">
        <v>38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44440</v>
      </c>
      <c r="J350" s="4">
        <v>88</v>
      </c>
      <c r="K350" s="4">
        <v>88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3" t="s">
        <v>57</v>
      </c>
      <c r="R350" s="3">
        <v>0</v>
      </c>
      <c r="S350" s="4">
        <v>12</v>
      </c>
      <c r="T350" s="4">
        <v>0</v>
      </c>
      <c r="U350" s="4">
        <v>0</v>
      </c>
      <c r="V350" s="4">
        <v>24.31</v>
      </c>
      <c r="W350" s="4">
        <v>0</v>
      </c>
      <c r="X350" s="4">
        <v>0</v>
      </c>
      <c r="Y350" s="4">
        <v>27.784764762164471</v>
      </c>
      <c r="Z350" s="4">
        <v>68.100184485116927</v>
      </c>
      <c r="AA350" s="4"/>
      <c r="AB350" s="4">
        <v>2139.2799999999997</v>
      </c>
      <c r="AC350" s="4">
        <v>0</v>
      </c>
      <c r="AD350" s="4">
        <v>0</v>
      </c>
      <c r="AE350" s="4">
        <v>2445.0592990704736</v>
      </c>
      <c r="AF350" s="4">
        <v>0</v>
      </c>
      <c r="AG350" s="4">
        <v>0</v>
      </c>
    </row>
    <row r="351" spans="1:33" ht="11.25" customHeight="1" x14ac:dyDescent="0.25">
      <c r="A351" s="3" t="s">
        <v>21</v>
      </c>
      <c r="B351" s="3" t="s">
        <v>41</v>
      </c>
      <c r="C351" s="3" t="s">
        <v>40</v>
      </c>
      <c r="D351" s="3" t="s">
        <v>38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44470</v>
      </c>
      <c r="J351" s="4">
        <v>6439</v>
      </c>
      <c r="K351" s="4">
        <v>6439</v>
      </c>
      <c r="L351" s="4">
        <v>1224.2190000000001</v>
      </c>
      <c r="M351" s="4">
        <v>1224.2190000000001</v>
      </c>
      <c r="N351" s="4">
        <v>1224.2190000000001</v>
      </c>
      <c r="O351" s="4">
        <v>1224.2190000000001</v>
      </c>
      <c r="P351" s="4">
        <v>0</v>
      </c>
      <c r="Q351" s="3" t="s">
        <v>26</v>
      </c>
      <c r="R351" s="3">
        <v>0</v>
      </c>
      <c r="S351" s="4">
        <v>12</v>
      </c>
      <c r="T351" s="4">
        <v>110</v>
      </c>
      <c r="U351" s="4">
        <v>89</v>
      </c>
      <c r="V351" s="4">
        <v>24.31</v>
      </c>
      <c r="W351" s="4">
        <v>51.27</v>
      </c>
      <c r="X351" s="4">
        <v>222.31</v>
      </c>
      <c r="Y351" s="4">
        <v>27.784764762164471</v>
      </c>
      <c r="Z351" s="4">
        <v>68.100184485116927</v>
      </c>
      <c r="AA351" s="4">
        <v>235.31351552243123</v>
      </c>
      <c r="AB351" s="4">
        <v>156532.09</v>
      </c>
      <c r="AC351" s="4">
        <v>62765.708130000006</v>
      </c>
      <c r="AD351" s="4">
        <v>272156.12589000002</v>
      </c>
      <c r="AE351" s="4">
        <v>178906.10030357703</v>
      </c>
      <c r="AF351" s="4">
        <v>83369.539750185359</v>
      </c>
      <c r="AG351" s="4">
        <v>288075.27665935527</v>
      </c>
    </row>
    <row r="352" spans="1:33" ht="11.25" customHeight="1" x14ac:dyDescent="0.25">
      <c r="A352" s="3" t="s">
        <v>28</v>
      </c>
      <c r="B352" s="3" t="s">
        <v>41</v>
      </c>
      <c r="C352" s="3" t="s">
        <v>40</v>
      </c>
      <c r="D352" s="3" t="s">
        <v>38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44470</v>
      </c>
      <c r="J352" s="4">
        <v>143</v>
      </c>
      <c r="K352" s="4">
        <v>143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3" t="s">
        <v>26</v>
      </c>
      <c r="R352" s="3">
        <v>0</v>
      </c>
      <c r="S352" s="4">
        <v>12</v>
      </c>
      <c r="T352" s="4">
        <v>0</v>
      </c>
      <c r="U352" s="4">
        <v>0</v>
      </c>
      <c r="V352" s="4">
        <v>24.31</v>
      </c>
      <c r="W352" s="4">
        <v>0</v>
      </c>
      <c r="X352" s="4">
        <v>0</v>
      </c>
      <c r="Y352" s="4">
        <v>27.784764762164471</v>
      </c>
      <c r="Z352" s="4">
        <v>68.100184485116927</v>
      </c>
      <c r="AA352" s="4">
        <v>235.31351552243123</v>
      </c>
      <c r="AB352" s="4">
        <v>3476.33</v>
      </c>
      <c r="AC352" s="4">
        <v>0</v>
      </c>
      <c r="AD352" s="4">
        <v>0</v>
      </c>
      <c r="AE352" s="4">
        <v>3973.2213609895193</v>
      </c>
      <c r="AF352" s="4">
        <v>0</v>
      </c>
      <c r="AG352" s="4">
        <v>0</v>
      </c>
    </row>
    <row r="353" spans="1:33" ht="11.25" customHeight="1" x14ac:dyDescent="0.25">
      <c r="A353" s="3" t="s">
        <v>21</v>
      </c>
      <c r="B353" s="3" t="s">
        <v>41</v>
      </c>
      <c r="C353" s="3" t="s">
        <v>40</v>
      </c>
      <c r="D353" s="3" t="s">
        <v>38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44501</v>
      </c>
      <c r="J353" s="4">
        <v>6381</v>
      </c>
      <c r="K353" s="4">
        <v>6381</v>
      </c>
      <c r="L353" s="4">
        <v>1155.873</v>
      </c>
      <c r="M353" s="4">
        <v>1155.873</v>
      </c>
      <c r="N353" s="4">
        <v>1155.873</v>
      </c>
      <c r="O353" s="4">
        <v>1155.873</v>
      </c>
      <c r="P353" s="4">
        <v>0</v>
      </c>
      <c r="Q353" s="3" t="s">
        <v>26</v>
      </c>
      <c r="R353" s="3">
        <v>0</v>
      </c>
      <c r="S353" s="4">
        <v>12</v>
      </c>
      <c r="T353" s="4">
        <v>110</v>
      </c>
      <c r="U353" s="4">
        <v>89</v>
      </c>
      <c r="V353" s="4">
        <v>24.31</v>
      </c>
      <c r="W353" s="4">
        <v>51.27</v>
      </c>
      <c r="X353" s="4">
        <v>222.31</v>
      </c>
      <c r="Y353" s="4">
        <v>27.784764762164471</v>
      </c>
      <c r="Z353" s="4">
        <v>68.100184485116927</v>
      </c>
      <c r="AA353" s="4">
        <v>235.31351552243123</v>
      </c>
      <c r="AB353" s="4">
        <v>155122.10999999999</v>
      </c>
      <c r="AC353" s="4">
        <v>59261.608710000008</v>
      </c>
      <c r="AD353" s="4">
        <v>256962.12663000001</v>
      </c>
      <c r="AE353" s="4">
        <v>177294.58394737149</v>
      </c>
      <c r="AF353" s="4">
        <v>78715.164541365564</v>
      </c>
      <c r="AG353" s="4">
        <v>271992.53912745917</v>
      </c>
    </row>
    <row r="354" spans="1:33" ht="11.25" customHeight="1" x14ac:dyDescent="0.25">
      <c r="A354" s="3" t="s">
        <v>28</v>
      </c>
      <c r="B354" s="3" t="s">
        <v>41</v>
      </c>
      <c r="C354" s="3" t="s">
        <v>40</v>
      </c>
      <c r="D354" s="3" t="s">
        <v>38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44501</v>
      </c>
      <c r="J354" s="4">
        <v>358</v>
      </c>
      <c r="K354" s="4">
        <v>358</v>
      </c>
      <c r="L354" s="4">
        <v>10.785</v>
      </c>
      <c r="M354" s="4">
        <v>10.785</v>
      </c>
      <c r="N354" s="4">
        <v>10.785</v>
      </c>
      <c r="O354" s="4">
        <v>10.785</v>
      </c>
      <c r="P354" s="4">
        <v>0</v>
      </c>
      <c r="Q354" s="3" t="s">
        <v>26</v>
      </c>
      <c r="R354" s="3">
        <v>0</v>
      </c>
      <c r="S354" s="4">
        <v>12</v>
      </c>
      <c r="T354" s="4">
        <v>110</v>
      </c>
      <c r="U354" s="4">
        <v>89</v>
      </c>
      <c r="V354" s="4">
        <v>24.31</v>
      </c>
      <c r="W354" s="4">
        <v>51.27</v>
      </c>
      <c r="X354" s="4">
        <v>222.31</v>
      </c>
      <c r="Y354" s="4">
        <v>27.784764762164471</v>
      </c>
      <c r="Z354" s="4">
        <v>68.100184485116927</v>
      </c>
      <c r="AA354" s="4">
        <v>235.31351552243123</v>
      </c>
      <c r="AB354" s="4">
        <v>8702.98</v>
      </c>
      <c r="AC354" s="4">
        <v>552.94695000000002</v>
      </c>
      <c r="AD354" s="4">
        <v>2397.6133500000001</v>
      </c>
      <c r="AE354" s="4">
        <v>9946.9457848548809</v>
      </c>
      <c r="AF354" s="4">
        <v>734.46048967198601</v>
      </c>
      <c r="AG354" s="4">
        <v>2537.856264909421</v>
      </c>
    </row>
    <row r="355" spans="1:33" ht="11.25" customHeight="1" x14ac:dyDescent="0.25">
      <c r="A355" s="3" t="s">
        <v>21</v>
      </c>
      <c r="B355" s="3" t="s">
        <v>41</v>
      </c>
      <c r="C355" s="3" t="s">
        <v>40</v>
      </c>
      <c r="D355" s="3" t="s">
        <v>38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44531</v>
      </c>
      <c r="J355" s="4">
        <v>5594</v>
      </c>
      <c r="K355" s="4">
        <v>5594</v>
      </c>
      <c r="L355" s="4">
        <v>1162.1420000000001</v>
      </c>
      <c r="M355" s="4">
        <v>1162.1420000000001</v>
      </c>
      <c r="N355" s="4">
        <v>1162.1420000000001</v>
      </c>
      <c r="O355" s="4">
        <v>1162.1420000000001</v>
      </c>
      <c r="P355" s="4">
        <v>0</v>
      </c>
      <c r="Q355" s="3" t="s">
        <v>26</v>
      </c>
      <c r="R355" s="3">
        <v>0</v>
      </c>
      <c r="S355" s="4">
        <v>12</v>
      </c>
      <c r="T355" s="4">
        <v>110</v>
      </c>
      <c r="U355" s="4">
        <v>89</v>
      </c>
      <c r="V355" s="4">
        <v>24.31</v>
      </c>
      <c r="W355" s="4">
        <v>51.27</v>
      </c>
      <c r="X355" s="4">
        <v>222.31</v>
      </c>
      <c r="Y355" s="4">
        <v>27.784764762164471</v>
      </c>
      <c r="Z355" s="4">
        <v>68.100184485116927</v>
      </c>
      <c r="AA355" s="4">
        <v>235.31351552243123</v>
      </c>
      <c r="AB355" s="4">
        <v>135990.13999999998</v>
      </c>
      <c r="AC355" s="4">
        <v>59583.020340000003</v>
      </c>
      <c r="AD355" s="4">
        <v>258355.78802000001</v>
      </c>
      <c r="AE355" s="4">
        <v>155427.97407954806</v>
      </c>
      <c r="AF355" s="4">
        <v>79142.084597902765</v>
      </c>
      <c r="AG355" s="4">
        <v>273467.71955626929</v>
      </c>
    </row>
    <row r="356" spans="1:33" ht="11.25" customHeight="1" x14ac:dyDescent="0.25">
      <c r="A356" s="3" t="s">
        <v>28</v>
      </c>
      <c r="B356" s="3" t="s">
        <v>41</v>
      </c>
      <c r="C356" s="3" t="s">
        <v>40</v>
      </c>
      <c r="D356" s="3" t="s">
        <v>38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44531</v>
      </c>
      <c r="J356" s="4">
        <v>358</v>
      </c>
      <c r="K356" s="4">
        <v>358</v>
      </c>
      <c r="L356" s="4">
        <v>23.751000000000001</v>
      </c>
      <c r="M356" s="4">
        <v>23.751000000000001</v>
      </c>
      <c r="N356" s="4">
        <v>23.751000000000001</v>
      </c>
      <c r="O356" s="4">
        <v>23.751000000000001</v>
      </c>
      <c r="P356" s="4">
        <v>0</v>
      </c>
      <c r="Q356" s="3" t="s">
        <v>26</v>
      </c>
      <c r="R356" s="3">
        <v>0</v>
      </c>
      <c r="S356" s="4">
        <v>12</v>
      </c>
      <c r="T356" s="4">
        <v>110</v>
      </c>
      <c r="U356" s="4">
        <v>89</v>
      </c>
      <c r="V356" s="4">
        <v>24.31</v>
      </c>
      <c r="W356" s="4">
        <v>51.27</v>
      </c>
      <c r="X356" s="4">
        <v>222.31</v>
      </c>
      <c r="Y356" s="4">
        <v>27.784764762164471</v>
      </c>
      <c r="Z356" s="4">
        <v>68.100184485116927</v>
      </c>
      <c r="AA356" s="4">
        <v>235.31351552243123</v>
      </c>
      <c r="AB356" s="4">
        <v>8702.98</v>
      </c>
      <c r="AC356" s="4">
        <v>1217.7137700000001</v>
      </c>
      <c r="AD356" s="4">
        <v>5280.0848100000003</v>
      </c>
      <c r="AE356" s="4">
        <v>9946.9457848548809</v>
      </c>
      <c r="AF356" s="4">
        <v>1617.4474817060122</v>
      </c>
      <c r="AG356" s="4">
        <v>5588.931307173264</v>
      </c>
    </row>
    <row r="357" spans="1:33" ht="11.25" customHeight="1" x14ac:dyDescent="0.25">
      <c r="A357" s="3" t="s">
        <v>21</v>
      </c>
      <c r="B357" s="3" t="s">
        <v>41</v>
      </c>
      <c r="C357" s="3" t="s">
        <v>40</v>
      </c>
      <c r="D357" s="3" t="s">
        <v>38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44562</v>
      </c>
      <c r="J357" s="4">
        <v>5578</v>
      </c>
      <c r="K357" s="4">
        <v>5578</v>
      </c>
      <c r="L357" s="4">
        <v>1070.269</v>
      </c>
      <c r="M357" s="4">
        <v>1070.269</v>
      </c>
      <c r="N357" s="4">
        <v>1070.269</v>
      </c>
      <c r="O357" s="4">
        <v>1070.269</v>
      </c>
      <c r="P357" s="4">
        <v>0</v>
      </c>
      <c r="Q357" s="3" t="s">
        <v>26</v>
      </c>
      <c r="R357" s="3">
        <v>0</v>
      </c>
      <c r="S357" s="4">
        <v>12</v>
      </c>
      <c r="T357" s="4">
        <v>110</v>
      </c>
      <c r="U357" s="4">
        <v>89</v>
      </c>
      <c r="V357" s="4">
        <v>24.31</v>
      </c>
      <c r="W357" s="4">
        <v>51.27</v>
      </c>
      <c r="X357" s="4">
        <v>222.31</v>
      </c>
      <c r="Y357" s="4">
        <v>27.784764762164471</v>
      </c>
      <c r="Z357" s="4">
        <v>68.100184485116927</v>
      </c>
      <c r="AA357" s="4">
        <v>235.31351552243123</v>
      </c>
      <c r="AB357" s="4">
        <v>135601.18</v>
      </c>
      <c r="AC357" s="4">
        <v>54872.691630000001</v>
      </c>
      <c r="AD357" s="4">
        <v>237931.50138999999</v>
      </c>
      <c r="AE357" s="4">
        <v>154983.41784335341</v>
      </c>
      <c r="AF357" s="4">
        <v>72885.516348701611</v>
      </c>
      <c r="AG357" s="4">
        <v>251848.76094467696</v>
      </c>
    </row>
    <row r="358" spans="1:33" ht="11.25" customHeight="1" x14ac:dyDescent="0.25">
      <c r="A358" s="3" t="s">
        <v>28</v>
      </c>
      <c r="B358" s="3" t="s">
        <v>41</v>
      </c>
      <c r="C358" s="3" t="s">
        <v>40</v>
      </c>
      <c r="D358" s="3" t="s">
        <v>38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44562</v>
      </c>
      <c r="J358" s="4">
        <v>358</v>
      </c>
      <c r="K358" s="4">
        <v>358</v>
      </c>
      <c r="L358" s="4">
        <v>26.701000000000001</v>
      </c>
      <c r="M358" s="4">
        <v>26.701000000000001</v>
      </c>
      <c r="N358" s="4">
        <v>26.701000000000001</v>
      </c>
      <c r="O358" s="4">
        <v>26.701000000000001</v>
      </c>
      <c r="P358" s="4">
        <v>0</v>
      </c>
      <c r="Q358" s="3" t="s">
        <v>26</v>
      </c>
      <c r="R358" s="3">
        <v>0</v>
      </c>
      <c r="S358" s="4">
        <v>12</v>
      </c>
      <c r="T358" s="4">
        <v>110</v>
      </c>
      <c r="U358" s="4">
        <v>89</v>
      </c>
      <c r="V358" s="4">
        <v>24.31</v>
      </c>
      <c r="W358" s="4">
        <v>51.27</v>
      </c>
      <c r="X358" s="4">
        <v>222.31</v>
      </c>
      <c r="Y358" s="4">
        <v>27.784764762164471</v>
      </c>
      <c r="Z358" s="4">
        <v>68.100184485116927</v>
      </c>
      <c r="AA358" s="4">
        <v>235.31351552243123</v>
      </c>
      <c r="AB358" s="4">
        <v>8702.98</v>
      </c>
      <c r="AC358" s="4">
        <v>1368.96027</v>
      </c>
      <c r="AD358" s="4">
        <v>5935.8993099999998</v>
      </c>
      <c r="AE358" s="4">
        <v>9946.9457848548809</v>
      </c>
      <c r="AF358" s="4">
        <v>1818.3430259371071</v>
      </c>
      <c r="AG358" s="4">
        <v>6283.106177964436</v>
      </c>
    </row>
    <row r="359" spans="1:33" ht="11.25" customHeight="1" x14ac:dyDescent="0.25">
      <c r="A359" s="3" t="s">
        <v>21</v>
      </c>
      <c r="B359" s="3" t="s">
        <v>41</v>
      </c>
      <c r="C359" s="3" t="s">
        <v>40</v>
      </c>
      <c r="D359" s="3" t="s">
        <v>38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44593</v>
      </c>
      <c r="J359" s="4">
        <v>5757</v>
      </c>
      <c r="K359" s="4">
        <v>5757</v>
      </c>
      <c r="L359" s="4">
        <v>1124.3330000000001</v>
      </c>
      <c r="M359" s="4">
        <v>1124.3330000000001</v>
      </c>
      <c r="N359" s="4">
        <v>1124.3330000000001</v>
      </c>
      <c r="O359" s="4">
        <v>1124.3330000000001</v>
      </c>
      <c r="P359" s="4">
        <v>0</v>
      </c>
      <c r="Q359" s="3" t="s">
        <v>26</v>
      </c>
      <c r="R359" s="3">
        <v>0</v>
      </c>
      <c r="S359" s="4">
        <v>12</v>
      </c>
      <c r="T359" s="4">
        <v>110</v>
      </c>
      <c r="U359" s="4">
        <v>89</v>
      </c>
      <c r="V359" s="4">
        <v>24.31</v>
      </c>
      <c r="W359" s="4">
        <v>51.27</v>
      </c>
      <c r="X359" s="4">
        <v>222.31</v>
      </c>
      <c r="Y359" s="4">
        <v>27.784764762164471</v>
      </c>
      <c r="Z359" s="4">
        <v>68.100184485116927</v>
      </c>
      <c r="AA359" s="4">
        <v>235.31351552243123</v>
      </c>
      <c r="AB359" s="4">
        <v>139952.66999999998</v>
      </c>
      <c r="AC359" s="4">
        <v>57644.552910000006</v>
      </c>
      <c r="AD359" s="4">
        <v>249950.46923000002</v>
      </c>
      <c r="AE359" s="4">
        <v>159956.89073578085</v>
      </c>
      <c r="AF359" s="4">
        <v>76567.284722704979</v>
      </c>
      <c r="AG359" s="4">
        <v>264570.75084788172</v>
      </c>
    </row>
    <row r="360" spans="1:33" ht="11.25" customHeight="1" x14ac:dyDescent="0.25">
      <c r="A360" s="3" t="s">
        <v>28</v>
      </c>
      <c r="B360" s="3" t="s">
        <v>41</v>
      </c>
      <c r="C360" s="3" t="s">
        <v>40</v>
      </c>
      <c r="D360" s="3" t="s">
        <v>38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44593</v>
      </c>
      <c r="J360" s="4">
        <v>358</v>
      </c>
      <c r="K360" s="4">
        <v>358</v>
      </c>
      <c r="L360" s="4">
        <v>21.856000000000002</v>
      </c>
      <c r="M360" s="4">
        <v>21.856000000000002</v>
      </c>
      <c r="N360" s="4">
        <v>21.856000000000002</v>
      </c>
      <c r="O360" s="4">
        <v>21.856000000000002</v>
      </c>
      <c r="P360" s="4">
        <v>0</v>
      </c>
      <c r="Q360" s="3" t="s">
        <v>26</v>
      </c>
      <c r="R360" s="3">
        <v>0</v>
      </c>
      <c r="S360" s="4">
        <v>12</v>
      </c>
      <c r="T360" s="4">
        <v>110</v>
      </c>
      <c r="U360" s="4">
        <v>89</v>
      </c>
      <c r="V360" s="4">
        <v>24.31</v>
      </c>
      <c r="W360" s="4">
        <v>51.27</v>
      </c>
      <c r="X360" s="4">
        <v>222.31</v>
      </c>
      <c r="Y360" s="4">
        <v>27.784764762164471</v>
      </c>
      <c r="Z360" s="4">
        <v>68.100184485116927</v>
      </c>
      <c r="AA360" s="4">
        <v>235.31351552243123</v>
      </c>
      <c r="AB360" s="4">
        <v>8702.98</v>
      </c>
      <c r="AC360" s="4">
        <v>1120.5571200000002</v>
      </c>
      <c r="AD360" s="4">
        <v>4858.8073600000007</v>
      </c>
      <c r="AE360" s="4">
        <v>9946.9457848548809</v>
      </c>
      <c r="AF360" s="4">
        <v>1488.3976321067157</v>
      </c>
      <c r="AG360" s="4">
        <v>5143.0121952582576</v>
      </c>
    </row>
    <row r="361" spans="1:33" ht="11.25" customHeight="1" x14ac:dyDescent="0.25">
      <c r="A361" s="3" t="s">
        <v>56</v>
      </c>
      <c r="B361" s="3" t="s">
        <v>41</v>
      </c>
      <c r="C361" s="3" t="s">
        <v>40</v>
      </c>
      <c r="D361" s="3" t="s">
        <v>38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44621</v>
      </c>
      <c r="J361" s="4">
        <v>5757</v>
      </c>
      <c r="K361" s="4">
        <v>5757</v>
      </c>
      <c r="L361" s="4">
        <v>1124.3330000000001</v>
      </c>
      <c r="M361" s="4">
        <v>1124.3330000000001</v>
      </c>
      <c r="N361" s="4">
        <v>1124.3330000000001</v>
      </c>
      <c r="O361" s="4">
        <v>1124.3330000000001</v>
      </c>
      <c r="P361" s="4">
        <v>0</v>
      </c>
      <c r="Q361" s="3" t="s">
        <v>26</v>
      </c>
      <c r="R361" s="3">
        <v>0</v>
      </c>
      <c r="S361" s="4">
        <v>12</v>
      </c>
      <c r="T361" s="4">
        <v>110</v>
      </c>
      <c r="U361" s="4">
        <v>89</v>
      </c>
      <c r="V361" s="4">
        <v>24.31</v>
      </c>
      <c r="W361" s="4">
        <v>51.27</v>
      </c>
      <c r="X361" s="4">
        <v>222.31</v>
      </c>
      <c r="Y361" s="4">
        <v>27.784764762164471</v>
      </c>
      <c r="Z361" s="4">
        <v>68.100184485116927</v>
      </c>
      <c r="AA361" s="4">
        <v>235.31351552243123</v>
      </c>
      <c r="AB361" s="4">
        <v>139952.66999999998</v>
      </c>
      <c r="AC361" s="4">
        <v>57644.552910000006</v>
      </c>
      <c r="AD361" s="4">
        <v>249950.46923000002</v>
      </c>
      <c r="AE361" s="4">
        <v>159956.89073578085</v>
      </c>
      <c r="AF361" s="4">
        <v>76567.284722704979</v>
      </c>
      <c r="AG361" s="4">
        <v>264570.75084788172</v>
      </c>
    </row>
    <row r="362" spans="1:33" ht="11.25" customHeight="1" x14ac:dyDescent="0.25">
      <c r="A362" s="3" t="s">
        <v>56</v>
      </c>
      <c r="B362" s="3" t="s">
        <v>41</v>
      </c>
      <c r="C362" s="3" t="s">
        <v>40</v>
      </c>
      <c r="D362" s="3" t="s">
        <v>38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44621</v>
      </c>
      <c r="J362" s="4">
        <v>358</v>
      </c>
      <c r="K362" s="4">
        <v>358</v>
      </c>
      <c r="L362" s="4">
        <v>21.856000000000002</v>
      </c>
      <c r="M362" s="4">
        <v>21.856000000000002</v>
      </c>
      <c r="N362" s="4">
        <v>21.856000000000002</v>
      </c>
      <c r="O362" s="4">
        <v>21.856000000000002</v>
      </c>
      <c r="P362" s="4">
        <v>0</v>
      </c>
      <c r="Q362" s="3" t="s">
        <v>26</v>
      </c>
      <c r="R362" s="3">
        <v>0</v>
      </c>
      <c r="S362" s="4">
        <v>12</v>
      </c>
      <c r="T362" s="4">
        <v>110</v>
      </c>
      <c r="U362" s="4">
        <v>89</v>
      </c>
      <c r="V362" s="4">
        <v>24.31</v>
      </c>
      <c r="W362" s="4">
        <v>51.27</v>
      </c>
      <c r="X362" s="4">
        <v>222.31</v>
      </c>
      <c r="Y362" s="4">
        <v>27.784764762164471</v>
      </c>
      <c r="Z362" s="4">
        <v>68.100184485116927</v>
      </c>
      <c r="AA362" s="4">
        <v>235.31351552243123</v>
      </c>
      <c r="AB362" s="4">
        <v>8702.98</v>
      </c>
      <c r="AC362" s="4">
        <v>1120.5571200000002</v>
      </c>
      <c r="AD362" s="4">
        <v>4858.8073600000007</v>
      </c>
      <c r="AE362" s="4">
        <v>9946.9457848548809</v>
      </c>
      <c r="AF362" s="4">
        <v>1488.3976321067157</v>
      </c>
      <c r="AG362" s="4">
        <v>5143.0121952582576</v>
      </c>
    </row>
    <row r="363" spans="1:33" ht="11.25" customHeight="1" x14ac:dyDescent="0.25">
      <c r="A363" s="3" t="s">
        <v>21</v>
      </c>
      <c r="B363" s="3" t="s">
        <v>41</v>
      </c>
      <c r="C363" s="3" t="s">
        <v>40</v>
      </c>
      <c r="D363" s="3" t="s">
        <v>38</v>
      </c>
      <c r="E363" s="3" t="s">
        <v>25</v>
      </c>
      <c r="F363" s="3" t="s">
        <v>25</v>
      </c>
      <c r="G363" s="3" t="s">
        <v>25</v>
      </c>
      <c r="H363" s="3" t="s">
        <v>25</v>
      </c>
      <c r="I363" s="6">
        <v>44287</v>
      </c>
      <c r="J363" s="4">
        <v>0</v>
      </c>
      <c r="K363" s="4">
        <v>0</v>
      </c>
      <c r="L363" s="4">
        <v>8.8379999999999992</v>
      </c>
      <c r="M363" s="4">
        <v>8.8379999999999992</v>
      </c>
      <c r="N363" s="4">
        <v>0</v>
      </c>
      <c r="O363" s="4">
        <v>0</v>
      </c>
      <c r="P363" s="4">
        <v>1</v>
      </c>
      <c r="Q363" s="3" t="s">
        <v>57</v>
      </c>
      <c r="R363" s="3">
        <v>0</v>
      </c>
      <c r="S363" s="4">
        <v>0</v>
      </c>
      <c r="T363" s="4">
        <v>110</v>
      </c>
      <c r="U363" s="4">
        <v>0</v>
      </c>
      <c r="V363" s="4">
        <v>0</v>
      </c>
      <c r="W363" s="4">
        <v>51.27</v>
      </c>
      <c r="X363" s="4">
        <v>0</v>
      </c>
      <c r="Y363" s="4"/>
      <c r="Z363" s="4">
        <v>68.100184485116927</v>
      </c>
      <c r="AA363" s="4"/>
      <c r="AB363" s="4">
        <v>0</v>
      </c>
      <c r="AC363" s="4">
        <v>453.12425999999999</v>
      </c>
      <c r="AD363" s="4">
        <v>0</v>
      </c>
      <c r="AE363" s="4">
        <v>0</v>
      </c>
      <c r="AF363" s="4">
        <v>601.86943047946329</v>
      </c>
      <c r="AG363" s="4">
        <v>0</v>
      </c>
    </row>
    <row r="364" spans="1:33" ht="11.25" customHeight="1" x14ac:dyDescent="0.25">
      <c r="A364" s="3" t="s">
        <v>21</v>
      </c>
      <c r="B364" s="3" t="s">
        <v>41</v>
      </c>
      <c r="C364" s="3" t="s">
        <v>40</v>
      </c>
      <c r="D364" s="3" t="s">
        <v>38</v>
      </c>
      <c r="E364" s="3" t="s">
        <v>25</v>
      </c>
      <c r="F364" s="3" t="s">
        <v>25</v>
      </c>
      <c r="G364" s="3" t="s">
        <v>25</v>
      </c>
      <c r="H364" s="3" t="s">
        <v>25</v>
      </c>
      <c r="I364" s="6">
        <v>44317</v>
      </c>
      <c r="J364" s="4">
        <v>0</v>
      </c>
      <c r="K364" s="4">
        <v>0</v>
      </c>
      <c r="L364" s="4">
        <v>8.4990000000000006</v>
      </c>
      <c r="M364" s="4">
        <v>8.4990000000000006</v>
      </c>
      <c r="N364" s="4">
        <v>0</v>
      </c>
      <c r="O364" s="4">
        <v>0</v>
      </c>
      <c r="P364" s="4">
        <v>1</v>
      </c>
      <c r="Q364" s="3" t="s">
        <v>57</v>
      </c>
      <c r="R364" s="3">
        <v>0</v>
      </c>
      <c r="S364" s="4">
        <v>0</v>
      </c>
      <c r="T364" s="4">
        <v>110</v>
      </c>
      <c r="U364" s="4">
        <v>0</v>
      </c>
      <c r="V364" s="4">
        <v>0</v>
      </c>
      <c r="W364" s="4">
        <v>51.27</v>
      </c>
      <c r="X364" s="4">
        <v>0</v>
      </c>
      <c r="Y364" s="4"/>
      <c r="Z364" s="4">
        <v>68.100184485116927</v>
      </c>
      <c r="AA364" s="4"/>
      <c r="AB364" s="4">
        <v>0</v>
      </c>
      <c r="AC364" s="4">
        <v>435.74373000000003</v>
      </c>
      <c r="AD364" s="4">
        <v>0</v>
      </c>
      <c r="AE364" s="4">
        <v>0</v>
      </c>
      <c r="AF364" s="4">
        <v>578.7834679390088</v>
      </c>
      <c r="AG364" s="4">
        <v>0</v>
      </c>
    </row>
    <row r="365" spans="1:33" ht="11.25" customHeight="1" x14ac:dyDescent="0.25">
      <c r="A365" s="3" t="s">
        <v>21</v>
      </c>
      <c r="B365" s="3" t="s">
        <v>41</v>
      </c>
      <c r="C365" s="3" t="s">
        <v>40</v>
      </c>
      <c r="D365" s="3" t="s">
        <v>38</v>
      </c>
      <c r="E365" s="3" t="s">
        <v>25</v>
      </c>
      <c r="F365" s="3" t="s">
        <v>25</v>
      </c>
      <c r="G365" s="3" t="s">
        <v>25</v>
      </c>
      <c r="H365" s="3" t="s">
        <v>25</v>
      </c>
      <c r="I365" s="6">
        <v>44348</v>
      </c>
      <c r="J365" s="4">
        <v>0</v>
      </c>
      <c r="K365" s="4">
        <v>0</v>
      </c>
      <c r="L365" s="4">
        <v>9.843</v>
      </c>
      <c r="M365" s="4">
        <v>9.843</v>
      </c>
      <c r="N365" s="4">
        <v>0</v>
      </c>
      <c r="O365" s="4">
        <v>0</v>
      </c>
      <c r="P365" s="4">
        <v>1</v>
      </c>
      <c r="Q365" s="3" t="s">
        <v>57</v>
      </c>
      <c r="R365" s="3">
        <v>0</v>
      </c>
      <c r="S365" s="4">
        <v>0</v>
      </c>
      <c r="T365" s="4">
        <v>110</v>
      </c>
      <c r="U365" s="4">
        <v>0</v>
      </c>
      <c r="V365" s="4">
        <v>0</v>
      </c>
      <c r="W365" s="4">
        <v>51.27</v>
      </c>
      <c r="X365" s="4">
        <v>0</v>
      </c>
      <c r="Y365" s="4"/>
      <c r="Z365" s="4">
        <v>68.100184485116927</v>
      </c>
      <c r="AA365" s="4"/>
      <c r="AB365" s="4">
        <v>0</v>
      </c>
      <c r="AC365" s="4">
        <v>504.65061000000003</v>
      </c>
      <c r="AD365" s="4">
        <v>0</v>
      </c>
      <c r="AE365" s="4">
        <v>0</v>
      </c>
      <c r="AF365" s="4">
        <v>670.31011588700596</v>
      </c>
      <c r="AG365" s="4">
        <v>0</v>
      </c>
    </row>
    <row r="366" spans="1:33" ht="11.25" customHeight="1" x14ac:dyDescent="0.25">
      <c r="A366" s="3" t="s">
        <v>21</v>
      </c>
      <c r="B366" s="3" t="s">
        <v>41</v>
      </c>
      <c r="C366" s="3" t="s">
        <v>40</v>
      </c>
      <c r="D366" s="3" t="s">
        <v>38</v>
      </c>
      <c r="E366" s="3" t="s">
        <v>25</v>
      </c>
      <c r="F366" s="3" t="s">
        <v>25</v>
      </c>
      <c r="G366" s="3" t="s">
        <v>25</v>
      </c>
      <c r="H366" s="3" t="s">
        <v>25</v>
      </c>
      <c r="I366" s="6">
        <v>44378</v>
      </c>
      <c r="J366" s="4">
        <v>0</v>
      </c>
      <c r="K366" s="4">
        <v>0</v>
      </c>
      <c r="L366" s="4">
        <v>10.387</v>
      </c>
      <c r="M366" s="4">
        <v>10.387</v>
      </c>
      <c r="N366" s="4">
        <v>0</v>
      </c>
      <c r="O366" s="4">
        <v>0</v>
      </c>
      <c r="P366" s="4">
        <v>1</v>
      </c>
      <c r="Q366" s="3" t="s">
        <v>57</v>
      </c>
      <c r="R366" s="3">
        <v>0</v>
      </c>
      <c r="S366" s="4">
        <v>0</v>
      </c>
      <c r="T366" s="4">
        <v>110</v>
      </c>
      <c r="U366" s="4">
        <v>0</v>
      </c>
      <c r="V366" s="4">
        <v>0</v>
      </c>
      <c r="W366" s="4">
        <v>51.27</v>
      </c>
      <c r="X366" s="4">
        <v>0</v>
      </c>
      <c r="Y366" s="4"/>
      <c r="Z366" s="4">
        <v>68.100184485116927</v>
      </c>
      <c r="AA366" s="4"/>
      <c r="AB366" s="4">
        <v>0</v>
      </c>
      <c r="AC366" s="4">
        <v>532.54149000000007</v>
      </c>
      <c r="AD366" s="4">
        <v>0</v>
      </c>
      <c r="AE366" s="4">
        <v>0</v>
      </c>
      <c r="AF366" s="4">
        <v>707.35661624690954</v>
      </c>
      <c r="AG366" s="4">
        <v>0</v>
      </c>
    </row>
    <row r="367" spans="1:33" ht="11.25" customHeight="1" x14ac:dyDescent="0.25">
      <c r="A367" s="3" t="s">
        <v>21</v>
      </c>
      <c r="B367" s="3" t="s">
        <v>41</v>
      </c>
      <c r="C367" s="3" t="s">
        <v>40</v>
      </c>
      <c r="D367" s="3" t="s">
        <v>38</v>
      </c>
      <c r="E367" s="3" t="s">
        <v>25</v>
      </c>
      <c r="F367" s="3" t="s">
        <v>25</v>
      </c>
      <c r="G367" s="3" t="s">
        <v>25</v>
      </c>
      <c r="H367" s="3" t="s">
        <v>25</v>
      </c>
      <c r="I367" s="6">
        <v>44409</v>
      </c>
      <c r="J367" s="4">
        <v>0</v>
      </c>
      <c r="K367" s="4">
        <v>0</v>
      </c>
      <c r="L367" s="4">
        <v>880.31700000000001</v>
      </c>
      <c r="M367" s="4">
        <v>880.31700000000001</v>
      </c>
      <c r="N367" s="4">
        <v>0</v>
      </c>
      <c r="O367" s="4">
        <v>0</v>
      </c>
      <c r="P367" s="4">
        <v>2</v>
      </c>
      <c r="Q367" s="3" t="s">
        <v>57</v>
      </c>
      <c r="R367" s="3">
        <v>0</v>
      </c>
      <c r="S367" s="4">
        <v>0</v>
      </c>
      <c r="T367" s="4">
        <v>110</v>
      </c>
      <c r="U367" s="4">
        <v>0</v>
      </c>
      <c r="V367" s="4">
        <v>0</v>
      </c>
      <c r="W367" s="4">
        <v>51.27</v>
      </c>
      <c r="X367" s="4">
        <v>0</v>
      </c>
      <c r="Y367" s="4"/>
      <c r="Z367" s="4">
        <v>68.100184485116927</v>
      </c>
      <c r="AA367" s="4"/>
      <c r="AB367" s="4">
        <v>0</v>
      </c>
      <c r="AC367" s="4">
        <v>45133.852590000002</v>
      </c>
      <c r="AD367" s="4">
        <v>0</v>
      </c>
      <c r="AE367" s="4">
        <v>0</v>
      </c>
      <c r="AF367" s="4">
        <v>59949.750105384679</v>
      </c>
      <c r="AG367" s="4">
        <v>0</v>
      </c>
    </row>
    <row r="368" spans="1:33" ht="11.25" customHeight="1" x14ac:dyDescent="0.25">
      <c r="A368" s="3" t="s">
        <v>21</v>
      </c>
      <c r="B368" s="3" t="s">
        <v>41</v>
      </c>
      <c r="C368" s="3" t="s">
        <v>40</v>
      </c>
      <c r="D368" s="3" t="s">
        <v>38</v>
      </c>
      <c r="E368" s="3" t="s">
        <v>25</v>
      </c>
      <c r="F368" s="3" t="s">
        <v>25</v>
      </c>
      <c r="G368" s="3" t="s">
        <v>25</v>
      </c>
      <c r="H368" s="3" t="s">
        <v>25</v>
      </c>
      <c r="I368" s="6">
        <v>44440</v>
      </c>
      <c r="J368" s="4">
        <v>0</v>
      </c>
      <c r="K368" s="4">
        <v>0</v>
      </c>
      <c r="L368" s="4">
        <v>13.896000000000001</v>
      </c>
      <c r="M368" s="4">
        <v>13.896000000000001</v>
      </c>
      <c r="N368" s="4">
        <v>0</v>
      </c>
      <c r="O368" s="4">
        <v>0</v>
      </c>
      <c r="P368" s="4">
        <v>1</v>
      </c>
      <c r="Q368" s="3" t="s">
        <v>57</v>
      </c>
      <c r="R368" s="3">
        <v>0</v>
      </c>
      <c r="S368" s="4">
        <v>0</v>
      </c>
      <c r="T368" s="4">
        <v>110</v>
      </c>
      <c r="U368" s="4">
        <v>0</v>
      </c>
      <c r="V368" s="4">
        <v>0</v>
      </c>
      <c r="W368" s="4">
        <v>51.27</v>
      </c>
      <c r="X368" s="4">
        <v>0</v>
      </c>
      <c r="Y368" s="4"/>
      <c r="Z368" s="4">
        <v>68.100184485116927</v>
      </c>
      <c r="AA368" s="4"/>
      <c r="AB368" s="4">
        <v>0</v>
      </c>
      <c r="AC368" s="4">
        <v>712.44792000000007</v>
      </c>
      <c r="AD368" s="4">
        <v>0</v>
      </c>
      <c r="AE368" s="4">
        <v>0</v>
      </c>
      <c r="AF368" s="4">
        <v>946.32016360518492</v>
      </c>
      <c r="AG368" s="4">
        <v>0</v>
      </c>
    </row>
    <row r="369" spans="1:33" ht="11.25" customHeight="1" x14ac:dyDescent="0.25">
      <c r="A369" s="3" t="s">
        <v>21</v>
      </c>
      <c r="B369" s="3" t="s">
        <v>41</v>
      </c>
      <c r="C369" s="3" t="s">
        <v>40</v>
      </c>
      <c r="D369" s="3" t="s">
        <v>38</v>
      </c>
      <c r="E369" s="3" t="s">
        <v>25</v>
      </c>
      <c r="F369" s="3" t="s">
        <v>25</v>
      </c>
      <c r="G369" s="3" t="s">
        <v>25</v>
      </c>
      <c r="H369" s="3" t="s">
        <v>34</v>
      </c>
      <c r="I369" s="6">
        <v>44287</v>
      </c>
      <c r="J369" s="4">
        <v>2106</v>
      </c>
      <c r="K369" s="4">
        <v>2106</v>
      </c>
      <c r="L369" s="4">
        <v>65.712999999999994</v>
      </c>
      <c r="M369" s="4">
        <v>65.712999999999994</v>
      </c>
      <c r="N369" s="4">
        <v>65.712999999999994</v>
      </c>
      <c r="O369" s="4">
        <v>65.712999999999994</v>
      </c>
      <c r="P369" s="4">
        <v>0</v>
      </c>
      <c r="Q369" s="3" t="s">
        <v>26</v>
      </c>
      <c r="R369" s="3">
        <v>0</v>
      </c>
      <c r="S369" s="4">
        <v>11</v>
      </c>
      <c r="T369" s="4">
        <v>110</v>
      </c>
      <c r="U369" s="4">
        <v>88</v>
      </c>
      <c r="V369" s="4">
        <v>62.23</v>
      </c>
      <c r="W369" s="4">
        <v>51.27</v>
      </c>
      <c r="X369" s="4">
        <v>365.5</v>
      </c>
      <c r="Y369" s="4">
        <v>76.426580837075718</v>
      </c>
      <c r="Z369" s="4">
        <v>68.100184485116927</v>
      </c>
      <c r="AA369" s="4">
        <v>381.42546590200942</v>
      </c>
      <c r="AB369" s="4">
        <v>131056.37999999999</v>
      </c>
      <c r="AC369" s="4">
        <v>3369.1055099999999</v>
      </c>
      <c r="AD369" s="4">
        <v>24018.101499999997</v>
      </c>
      <c r="AE369" s="4">
        <v>160954.37924288146</v>
      </c>
      <c r="AF369" s="4">
        <v>4475.0674230704881</v>
      </c>
      <c r="AG369" s="4">
        <v>25064.611640818744</v>
      </c>
    </row>
    <row r="370" spans="1:33" ht="11.25" customHeight="1" x14ac:dyDescent="0.25">
      <c r="A370" s="3" t="s">
        <v>28</v>
      </c>
      <c r="B370" s="3" t="s">
        <v>41</v>
      </c>
      <c r="C370" s="3" t="s">
        <v>40</v>
      </c>
      <c r="D370" s="3" t="s">
        <v>38</v>
      </c>
      <c r="E370" s="3" t="s">
        <v>25</v>
      </c>
      <c r="F370" s="3" t="s">
        <v>25</v>
      </c>
      <c r="G370" s="3" t="s">
        <v>25</v>
      </c>
      <c r="H370" s="3" t="s">
        <v>34</v>
      </c>
      <c r="I370" s="6">
        <v>44287</v>
      </c>
      <c r="J370" s="4">
        <v>12</v>
      </c>
      <c r="K370" s="4">
        <v>12</v>
      </c>
      <c r="L370" s="4">
        <v>0.57399999999999995</v>
      </c>
      <c r="M370" s="4">
        <v>0.57399999999999995</v>
      </c>
      <c r="N370" s="4">
        <v>0.57399999999999995</v>
      </c>
      <c r="O370" s="4">
        <v>0.57399999999999995</v>
      </c>
      <c r="P370" s="4">
        <v>0</v>
      </c>
      <c r="Q370" s="3" t="s">
        <v>26</v>
      </c>
      <c r="R370" s="3">
        <v>0</v>
      </c>
      <c r="S370" s="4">
        <v>11</v>
      </c>
      <c r="T370" s="4">
        <v>110</v>
      </c>
      <c r="U370" s="4">
        <v>88</v>
      </c>
      <c r="V370" s="4">
        <v>62.23</v>
      </c>
      <c r="W370" s="4">
        <v>51.27</v>
      </c>
      <c r="X370" s="4">
        <v>365.5</v>
      </c>
      <c r="Y370" s="4">
        <v>76.426580837075718</v>
      </c>
      <c r="Z370" s="4">
        <v>68.100184485116927</v>
      </c>
      <c r="AA370" s="4">
        <v>381.42546590200942</v>
      </c>
      <c r="AB370" s="4">
        <v>746.76</v>
      </c>
      <c r="AC370" s="4">
        <v>29.428979999999999</v>
      </c>
      <c r="AD370" s="4">
        <v>209.797</v>
      </c>
      <c r="AE370" s="4">
        <v>917.11897004490856</v>
      </c>
      <c r="AF370" s="4">
        <v>39.089505894457112</v>
      </c>
      <c r="AG370" s="4">
        <v>218.93821742775339</v>
      </c>
    </row>
    <row r="371" spans="1:33" ht="11.25" customHeight="1" x14ac:dyDescent="0.25">
      <c r="A371" s="3" t="s">
        <v>21</v>
      </c>
      <c r="B371" s="3" t="s">
        <v>41</v>
      </c>
      <c r="C371" s="3" t="s">
        <v>40</v>
      </c>
      <c r="D371" s="3" t="s">
        <v>38</v>
      </c>
      <c r="E371" s="3" t="s">
        <v>25</v>
      </c>
      <c r="F371" s="3" t="s">
        <v>25</v>
      </c>
      <c r="G371" s="3" t="s">
        <v>25</v>
      </c>
      <c r="H371" s="3" t="s">
        <v>34</v>
      </c>
      <c r="I371" s="6">
        <v>44287</v>
      </c>
      <c r="J371" s="4">
        <v>30</v>
      </c>
      <c r="K371" s="4">
        <v>30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3" t="s">
        <v>57</v>
      </c>
      <c r="R371" s="3">
        <v>0</v>
      </c>
      <c r="S371" s="4">
        <v>11</v>
      </c>
      <c r="T371" s="4">
        <v>0</v>
      </c>
      <c r="U371" s="4">
        <v>0</v>
      </c>
      <c r="V371" s="4">
        <v>62.23</v>
      </c>
      <c r="W371" s="4">
        <v>0</v>
      </c>
      <c r="X371" s="4">
        <v>0</v>
      </c>
      <c r="Y371" s="4">
        <v>76.426580837075718</v>
      </c>
      <c r="Z371" s="4">
        <v>68.100184485116927</v>
      </c>
      <c r="AA371" s="4"/>
      <c r="AB371" s="4">
        <v>1866.8999999999999</v>
      </c>
      <c r="AC371" s="4">
        <v>0</v>
      </c>
      <c r="AD371" s="4">
        <v>0</v>
      </c>
      <c r="AE371" s="4">
        <v>2292.7974251122714</v>
      </c>
      <c r="AF371" s="4">
        <v>0</v>
      </c>
      <c r="AG371" s="4">
        <v>0</v>
      </c>
    </row>
    <row r="372" spans="1:33" ht="11.25" customHeight="1" x14ac:dyDescent="0.25">
      <c r="A372" s="3" t="s">
        <v>21</v>
      </c>
      <c r="B372" s="3" t="s">
        <v>41</v>
      </c>
      <c r="C372" s="3" t="s">
        <v>40</v>
      </c>
      <c r="D372" s="3" t="s">
        <v>38</v>
      </c>
      <c r="E372" s="3" t="s">
        <v>25</v>
      </c>
      <c r="F372" s="3" t="s">
        <v>25</v>
      </c>
      <c r="G372" s="3" t="s">
        <v>25</v>
      </c>
      <c r="H372" s="3" t="s">
        <v>34</v>
      </c>
      <c r="I372" s="6">
        <v>44317</v>
      </c>
      <c r="J372" s="4">
        <v>2225</v>
      </c>
      <c r="K372" s="4">
        <v>2225</v>
      </c>
      <c r="L372" s="4">
        <v>66.191999999999993</v>
      </c>
      <c r="M372" s="4">
        <v>66.191999999999993</v>
      </c>
      <c r="N372" s="4">
        <v>66.191999999999993</v>
      </c>
      <c r="O372" s="4">
        <v>66.191999999999993</v>
      </c>
      <c r="P372" s="4">
        <v>0</v>
      </c>
      <c r="Q372" s="3" t="s">
        <v>26</v>
      </c>
      <c r="R372" s="3">
        <v>0</v>
      </c>
      <c r="S372" s="4">
        <v>11</v>
      </c>
      <c r="T372" s="4">
        <v>110</v>
      </c>
      <c r="U372" s="4">
        <v>88</v>
      </c>
      <c r="V372" s="4">
        <v>62.23</v>
      </c>
      <c r="W372" s="4">
        <v>51.27</v>
      </c>
      <c r="X372" s="4">
        <v>365.5</v>
      </c>
      <c r="Y372" s="4">
        <v>76.426580837075718</v>
      </c>
      <c r="Z372" s="4">
        <v>68.100184485116927</v>
      </c>
      <c r="AA372" s="4">
        <v>381.42546590200942</v>
      </c>
      <c r="AB372" s="4">
        <v>138461.75</v>
      </c>
      <c r="AC372" s="4">
        <v>3393.6638399999997</v>
      </c>
      <c r="AD372" s="4">
        <v>24193.175999999996</v>
      </c>
      <c r="AE372" s="4">
        <v>170049.14236249347</v>
      </c>
      <c r="AF372" s="4">
        <v>4507.6874114388593</v>
      </c>
      <c r="AG372" s="4">
        <v>25247.314438985806</v>
      </c>
    </row>
    <row r="373" spans="1:33" ht="11.25" customHeight="1" x14ac:dyDescent="0.25">
      <c r="A373" s="3" t="s">
        <v>28</v>
      </c>
      <c r="B373" s="3" t="s">
        <v>41</v>
      </c>
      <c r="C373" s="3" t="s">
        <v>40</v>
      </c>
      <c r="D373" s="3" t="s">
        <v>38</v>
      </c>
      <c r="E373" s="3" t="s">
        <v>25</v>
      </c>
      <c r="F373" s="3" t="s">
        <v>25</v>
      </c>
      <c r="G373" s="3" t="s">
        <v>25</v>
      </c>
      <c r="H373" s="3" t="s">
        <v>34</v>
      </c>
      <c r="I373" s="6">
        <v>44317</v>
      </c>
      <c r="J373" s="4">
        <v>12</v>
      </c>
      <c r="K373" s="4">
        <v>12</v>
      </c>
      <c r="L373" s="4">
        <v>0.49199999999999999</v>
      </c>
      <c r="M373" s="4">
        <v>0.49199999999999999</v>
      </c>
      <c r="N373" s="4">
        <v>0.49199999999999999</v>
      </c>
      <c r="O373" s="4">
        <v>0.49199999999999999</v>
      </c>
      <c r="P373" s="4">
        <v>0</v>
      </c>
      <c r="Q373" s="3" t="s">
        <v>26</v>
      </c>
      <c r="R373" s="3">
        <v>0</v>
      </c>
      <c r="S373" s="4">
        <v>11</v>
      </c>
      <c r="T373" s="4">
        <v>110</v>
      </c>
      <c r="U373" s="4">
        <v>88</v>
      </c>
      <c r="V373" s="4">
        <v>62.23</v>
      </c>
      <c r="W373" s="4">
        <v>51.27</v>
      </c>
      <c r="X373" s="4">
        <v>365.5</v>
      </c>
      <c r="Y373" s="4">
        <v>76.426580837075718</v>
      </c>
      <c r="Z373" s="4">
        <v>68.100184485116927</v>
      </c>
      <c r="AA373" s="4">
        <v>381.42546590200942</v>
      </c>
      <c r="AB373" s="4">
        <v>746.76</v>
      </c>
      <c r="AC373" s="4">
        <v>25.22484</v>
      </c>
      <c r="AD373" s="4">
        <v>179.82599999999999</v>
      </c>
      <c r="AE373" s="4">
        <v>917.11897004490856</v>
      </c>
      <c r="AF373" s="4">
        <v>33.505290766677525</v>
      </c>
      <c r="AG373" s="4">
        <v>187.66132922378864</v>
      </c>
    </row>
    <row r="374" spans="1:33" ht="11.25" customHeight="1" x14ac:dyDescent="0.25">
      <c r="A374" s="3" t="s">
        <v>21</v>
      </c>
      <c r="B374" s="3" t="s">
        <v>41</v>
      </c>
      <c r="C374" s="3" t="s">
        <v>40</v>
      </c>
      <c r="D374" s="3" t="s">
        <v>38</v>
      </c>
      <c r="E374" s="3" t="s">
        <v>25</v>
      </c>
      <c r="F374" s="3" t="s">
        <v>25</v>
      </c>
      <c r="G374" s="3" t="s">
        <v>25</v>
      </c>
      <c r="H374" s="3" t="s">
        <v>34</v>
      </c>
      <c r="I374" s="6">
        <v>44317</v>
      </c>
      <c r="J374" s="4">
        <v>30</v>
      </c>
      <c r="K374" s="4">
        <v>30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3" t="s">
        <v>57</v>
      </c>
      <c r="R374" s="3">
        <v>0</v>
      </c>
      <c r="S374" s="4">
        <v>11</v>
      </c>
      <c r="T374" s="4">
        <v>0</v>
      </c>
      <c r="U374" s="4">
        <v>0</v>
      </c>
      <c r="V374" s="4">
        <v>62.23</v>
      </c>
      <c r="W374" s="4">
        <v>0</v>
      </c>
      <c r="X374" s="4">
        <v>0</v>
      </c>
      <c r="Y374" s="4">
        <v>76.426580837075718</v>
      </c>
      <c r="Z374" s="4">
        <v>68.100184485116927</v>
      </c>
      <c r="AA374" s="4"/>
      <c r="AB374" s="4">
        <v>1866.8999999999999</v>
      </c>
      <c r="AC374" s="4">
        <v>0</v>
      </c>
      <c r="AD374" s="4">
        <v>0</v>
      </c>
      <c r="AE374" s="4">
        <v>2292.7974251122714</v>
      </c>
      <c r="AF374" s="4">
        <v>0</v>
      </c>
      <c r="AG374" s="4">
        <v>0</v>
      </c>
    </row>
    <row r="375" spans="1:33" ht="11.25" customHeight="1" x14ac:dyDescent="0.25">
      <c r="A375" s="3" t="s">
        <v>21</v>
      </c>
      <c r="B375" s="3" t="s">
        <v>41</v>
      </c>
      <c r="C375" s="3" t="s">
        <v>40</v>
      </c>
      <c r="D375" s="3" t="s">
        <v>38</v>
      </c>
      <c r="E375" s="3" t="s">
        <v>25</v>
      </c>
      <c r="F375" s="3" t="s">
        <v>25</v>
      </c>
      <c r="G375" s="3" t="s">
        <v>25</v>
      </c>
      <c r="H375" s="3" t="s">
        <v>34</v>
      </c>
      <c r="I375" s="6">
        <v>44348</v>
      </c>
      <c r="J375" s="4">
        <v>2225</v>
      </c>
      <c r="K375" s="4">
        <v>2225</v>
      </c>
      <c r="L375" s="4">
        <v>55.898000000000003</v>
      </c>
      <c r="M375" s="4">
        <v>55.898000000000003</v>
      </c>
      <c r="N375" s="4">
        <v>55.898000000000003</v>
      </c>
      <c r="O375" s="4">
        <v>55.898000000000003</v>
      </c>
      <c r="P375" s="4">
        <v>0</v>
      </c>
      <c r="Q375" s="3" t="s">
        <v>26</v>
      </c>
      <c r="R375" s="3">
        <v>0</v>
      </c>
      <c r="S375" s="4">
        <v>11</v>
      </c>
      <c r="T375" s="4">
        <v>110</v>
      </c>
      <c r="U375" s="4">
        <v>88</v>
      </c>
      <c r="V375" s="4">
        <v>62.23</v>
      </c>
      <c r="W375" s="4">
        <v>51.27</v>
      </c>
      <c r="X375" s="4">
        <v>365.5</v>
      </c>
      <c r="Y375" s="4">
        <v>76.426580837075718</v>
      </c>
      <c r="Z375" s="4">
        <v>68.100184485116927</v>
      </c>
      <c r="AA375" s="4">
        <v>381.42546590200942</v>
      </c>
      <c r="AB375" s="4">
        <v>138461.75</v>
      </c>
      <c r="AC375" s="4">
        <v>2865.8904600000005</v>
      </c>
      <c r="AD375" s="4">
        <v>20430.719000000001</v>
      </c>
      <c r="AE375" s="4">
        <v>170049.14236249347</v>
      </c>
      <c r="AF375" s="4">
        <v>3806.6641123490663</v>
      </c>
      <c r="AG375" s="4">
        <v>21320.920692990523</v>
      </c>
    </row>
    <row r="376" spans="1:33" ht="11.25" customHeight="1" x14ac:dyDescent="0.25">
      <c r="A376" s="3" t="s">
        <v>28</v>
      </c>
      <c r="B376" s="3" t="s">
        <v>41</v>
      </c>
      <c r="C376" s="3" t="s">
        <v>40</v>
      </c>
      <c r="D376" s="3" t="s">
        <v>38</v>
      </c>
      <c r="E376" s="3" t="s">
        <v>25</v>
      </c>
      <c r="F376" s="3" t="s">
        <v>25</v>
      </c>
      <c r="G376" s="3" t="s">
        <v>25</v>
      </c>
      <c r="H376" s="3" t="s">
        <v>34</v>
      </c>
      <c r="I376" s="6">
        <v>44348</v>
      </c>
      <c r="J376" s="4">
        <v>12</v>
      </c>
      <c r="K376" s="4">
        <v>12</v>
      </c>
      <c r="L376" s="4">
        <v>0.57399999999999995</v>
      </c>
      <c r="M376" s="4">
        <v>0.57399999999999995</v>
      </c>
      <c r="N376" s="4">
        <v>0.57399999999999995</v>
      </c>
      <c r="O376" s="4">
        <v>0.57399999999999995</v>
      </c>
      <c r="P376" s="4">
        <v>0</v>
      </c>
      <c r="Q376" s="3" t="s">
        <v>26</v>
      </c>
      <c r="R376" s="3">
        <v>0</v>
      </c>
      <c r="S376" s="4">
        <v>11</v>
      </c>
      <c r="T376" s="4">
        <v>110</v>
      </c>
      <c r="U376" s="4">
        <v>88</v>
      </c>
      <c r="V376" s="4">
        <v>62.23</v>
      </c>
      <c r="W376" s="4">
        <v>51.27</v>
      </c>
      <c r="X376" s="4">
        <v>365.5</v>
      </c>
      <c r="Y376" s="4">
        <v>76.426580837075718</v>
      </c>
      <c r="Z376" s="4">
        <v>68.100184485116927</v>
      </c>
      <c r="AA376" s="4">
        <v>381.42546590200942</v>
      </c>
      <c r="AB376" s="4">
        <v>746.76</v>
      </c>
      <c r="AC376" s="4">
        <v>29.428979999999999</v>
      </c>
      <c r="AD376" s="4">
        <v>209.797</v>
      </c>
      <c r="AE376" s="4">
        <v>917.11897004490856</v>
      </c>
      <c r="AF376" s="4">
        <v>39.089505894457112</v>
      </c>
      <c r="AG376" s="4">
        <v>218.93821742775339</v>
      </c>
    </row>
    <row r="377" spans="1:33" ht="11.25" customHeight="1" x14ac:dyDescent="0.25">
      <c r="A377" s="3" t="s">
        <v>21</v>
      </c>
      <c r="B377" s="3" t="s">
        <v>41</v>
      </c>
      <c r="C377" s="3" t="s">
        <v>40</v>
      </c>
      <c r="D377" s="3" t="s">
        <v>38</v>
      </c>
      <c r="E377" s="3" t="s">
        <v>25</v>
      </c>
      <c r="F377" s="3" t="s">
        <v>25</v>
      </c>
      <c r="G377" s="3" t="s">
        <v>25</v>
      </c>
      <c r="H377" s="3" t="s">
        <v>34</v>
      </c>
      <c r="I377" s="6">
        <v>44348</v>
      </c>
      <c r="J377" s="4">
        <v>30</v>
      </c>
      <c r="K377" s="4">
        <v>30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 t="s">
        <v>57</v>
      </c>
      <c r="R377" s="3">
        <v>0</v>
      </c>
      <c r="S377" s="4">
        <v>11</v>
      </c>
      <c r="T377" s="4">
        <v>0</v>
      </c>
      <c r="U377" s="4">
        <v>0</v>
      </c>
      <c r="V377" s="4">
        <v>62.23</v>
      </c>
      <c r="W377" s="4">
        <v>0</v>
      </c>
      <c r="X377" s="4">
        <v>0</v>
      </c>
      <c r="Y377" s="4">
        <v>76.426580837075718</v>
      </c>
      <c r="Z377" s="4">
        <v>68.100184485116927</v>
      </c>
      <c r="AA377" s="4"/>
      <c r="AB377" s="4">
        <v>1866.8999999999999</v>
      </c>
      <c r="AC377" s="4">
        <v>0</v>
      </c>
      <c r="AD377" s="4">
        <v>0</v>
      </c>
      <c r="AE377" s="4">
        <v>2292.7974251122714</v>
      </c>
      <c r="AF377" s="4">
        <v>0</v>
      </c>
      <c r="AG377" s="4">
        <v>0</v>
      </c>
    </row>
    <row r="378" spans="1:33" ht="11.25" customHeight="1" x14ac:dyDescent="0.25">
      <c r="A378" s="3" t="s">
        <v>21</v>
      </c>
      <c r="B378" s="3" t="s">
        <v>41</v>
      </c>
      <c r="C378" s="3" t="s">
        <v>40</v>
      </c>
      <c r="D378" s="3" t="s">
        <v>38</v>
      </c>
      <c r="E378" s="3" t="s">
        <v>25</v>
      </c>
      <c r="F378" s="3" t="s">
        <v>25</v>
      </c>
      <c r="G378" s="3" t="s">
        <v>25</v>
      </c>
      <c r="H378" s="3" t="s">
        <v>34</v>
      </c>
      <c r="I378" s="6">
        <v>44378</v>
      </c>
      <c r="J378" s="4">
        <v>2228</v>
      </c>
      <c r="K378" s="4">
        <v>2228</v>
      </c>
      <c r="L378" s="4">
        <v>50.235999999999997</v>
      </c>
      <c r="M378" s="4">
        <v>50.235999999999997</v>
      </c>
      <c r="N378" s="4">
        <v>50.235999999999997</v>
      </c>
      <c r="O378" s="4">
        <v>50.235999999999997</v>
      </c>
      <c r="P378" s="4">
        <v>0</v>
      </c>
      <c r="Q378" s="3" t="s">
        <v>26</v>
      </c>
      <c r="R378" s="3">
        <v>0</v>
      </c>
      <c r="S378" s="4">
        <v>11</v>
      </c>
      <c r="T378" s="4">
        <v>110</v>
      </c>
      <c r="U378" s="4">
        <v>88</v>
      </c>
      <c r="V378" s="4">
        <v>62.23</v>
      </c>
      <c r="W378" s="4">
        <v>51.27</v>
      </c>
      <c r="X378" s="4">
        <v>365.5</v>
      </c>
      <c r="Y378" s="4">
        <v>76.426580837075718</v>
      </c>
      <c r="Z378" s="4">
        <v>68.100184485116927</v>
      </c>
      <c r="AA378" s="4">
        <v>381.42546590200942</v>
      </c>
      <c r="AB378" s="4">
        <v>138648.44</v>
      </c>
      <c r="AC378" s="4">
        <v>2575.5997200000002</v>
      </c>
      <c r="AD378" s="4">
        <v>18361.257999999998</v>
      </c>
      <c r="AE378" s="4">
        <v>170278.42210500469</v>
      </c>
      <c r="AF378" s="4">
        <v>3421.0808677943337</v>
      </c>
      <c r="AG378" s="4">
        <v>19161.289705053343</v>
      </c>
    </row>
    <row r="379" spans="1:33" ht="11.25" customHeight="1" x14ac:dyDescent="0.25">
      <c r="A379" s="3" t="s">
        <v>28</v>
      </c>
      <c r="B379" s="3" t="s">
        <v>41</v>
      </c>
      <c r="C379" s="3" t="s">
        <v>40</v>
      </c>
      <c r="D379" s="3" t="s">
        <v>38</v>
      </c>
      <c r="E379" s="3" t="s">
        <v>25</v>
      </c>
      <c r="F379" s="3" t="s">
        <v>25</v>
      </c>
      <c r="G379" s="3" t="s">
        <v>25</v>
      </c>
      <c r="H379" s="3" t="s">
        <v>34</v>
      </c>
      <c r="I379" s="6">
        <v>44378</v>
      </c>
      <c r="J379" s="4">
        <v>12</v>
      </c>
      <c r="K379" s="4">
        <v>12</v>
      </c>
      <c r="L379" s="4">
        <v>0.57399999999999995</v>
      </c>
      <c r="M379" s="4">
        <v>0.57399999999999995</v>
      </c>
      <c r="N379" s="4">
        <v>0.57399999999999995</v>
      </c>
      <c r="O379" s="4">
        <v>0.57399999999999995</v>
      </c>
      <c r="P379" s="4">
        <v>0</v>
      </c>
      <c r="Q379" s="3" t="s">
        <v>26</v>
      </c>
      <c r="R379" s="3">
        <v>0</v>
      </c>
      <c r="S379" s="4">
        <v>11</v>
      </c>
      <c r="T379" s="4">
        <v>110</v>
      </c>
      <c r="U379" s="4">
        <v>88</v>
      </c>
      <c r="V379" s="4">
        <v>62.23</v>
      </c>
      <c r="W379" s="4">
        <v>51.27</v>
      </c>
      <c r="X379" s="4">
        <v>365.5</v>
      </c>
      <c r="Y379" s="4">
        <v>76.426580837075718</v>
      </c>
      <c r="Z379" s="4">
        <v>68.100184485116927</v>
      </c>
      <c r="AA379" s="4">
        <v>381.42546590200942</v>
      </c>
      <c r="AB379" s="4">
        <v>746.76</v>
      </c>
      <c r="AC379" s="4">
        <v>29.428979999999999</v>
      </c>
      <c r="AD379" s="4">
        <v>209.797</v>
      </c>
      <c r="AE379" s="4">
        <v>917.11897004490856</v>
      </c>
      <c r="AF379" s="4">
        <v>39.089505894457112</v>
      </c>
      <c r="AG379" s="4">
        <v>218.93821742775339</v>
      </c>
    </row>
    <row r="380" spans="1:33" ht="11.25" customHeight="1" x14ac:dyDescent="0.25">
      <c r="A380" s="3" t="s">
        <v>21</v>
      </c>
      <c r="B380" s="3" t="s">
        <v>41</v>
      </c>
      <c r="C380" s="3" t="s">
        <v>40</v>
      </c>
      <c r="D380" s="3" t="s">
        <v>38</v>
      </c>
      <c r="E380" s="3" t="s">
        <v>25</v>
      </c>
      <c r="F380" s="3" t="s">
        <v>25</v>
      </c>
      <c r="G380" s="3" t="s">
        <v>25</v>
      </c>
      <c r="H380" s="3" t="s">
        <v>34</v>
      </c>
      <c r="I380" s="6">
        <v>44378</v>
      </c>
      <c r="J380" s="4">
        <v>30</v>
      </c>
      <c r="K380" s="4">
        <v>30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3" t="s">
        <v>57</v>
      </c>
      <c r="R380" s="3">
        <v>0</v>
      </c>
      <c r="S380" s="4">
        <v>11</v>
      </c>
      <c r="T380" s="4">
        <v>0</v>
      </c>
      <c r="U380" s="4">
        <v>0</v>
      </c>
      <c r="V380" s="4">
        <v>62.23</v>
      </c>
      <c r="W380" s="4">
        <v>0</v>
      </c>
      <c r="X380" s="4">
        <v>0</v>
      </c>
      <c r="Y380" s="4">
        <v>76.426580837075718</v>
      </c>
      <c r="Z380" s="4">
        <v>68.100184485116927</v>
      </c>
      <c r="AA380" s="4"/>
      <c r="AB380" s="4">
        <v>1866.8999999999999</v>
      </c>
      <c r="AC380" s="4">
        <v>0</v>
      </c>
      <c r="AD380" s="4">
        <v>0</v>
      </c>
      <c r="AE380" s="4">
        <v>2292.7974251122714</v>
      </c>
      <c r="AF380" s="4">
        <v>0</v>
      </c>
      <c r="AG380" s="4">
        <v>0</v>
      </c>
    </row>
    <row r="381" spans="1:33" ht="11.25" customHeight="1" x14ac:dyDescent="0.25">
      <c r="A381" s="3" t="s">
        <v>21</v>
      </c>
      <c r="B381" s="3" t="s">
        <v>41</v>
      </c>
      <c r="C381" s="3" t="s">
        <v>40</v>
      </c>
      <c r="D381" s="3" t="s">
        <v>38</v>
      </c>
      <c r="E381" s="3" t="s">
        <v>25</v>
      </c>
      <c r="F381" s="3" t="s">
        <v>25</v>
      </c>
      <c r="G381" s="3" t="s">
        <v>25</v>
      </c>
      <c r="H381" s="3" t="s">
        <v>34</v>
      </c>
      <c r="I381" s="6">
        <v>44409</v>
      </c>
      <c r="J381" s="4">
        <v>2220</v>
      </c>
      <c r="K381" s="4">
        <v>2220</v>
      </c>
      <c r="L381" s="4">
        <v>54.576000000000001</v>
      </c>
      <c r="M381" s="4">
        <v>54.576000000000001</v>
      </c>
      <c r="N381" s="4">
        <v>54.576000000000001</v>
      </c>
      <c r="O381" s="4">
        <v>54.576000000000001</v>
      </c>
      <c r="P381" s="4">
        <v>0</v>
      </c>
      <c r="Q381" s="3" t="s">
        <v>26</v>
      </c>
      <c r="R381" s="3">
        <v>0</v>
      </c>
      <c r="S381" s="4">
        <v>11</v>
      </c>
      <c r="T381" s="4">
        <v>110</v>
      </c>
      <c r="U381" s="4">
        <v>88</v>
      </c>
      <c r="V381" s="4">
        <v>62.23</v>
      </c>
      <c r="W381" s="4">
        <v>51.27</v>
      </c>
      <c r="X381" s="4">
        <v>365.5</v>
      </c>
      <c r="Y381" s="4">
        <v>76.426580837075718</v>
      </c>
      <c r="Z381" s="4">
        <v>68.100184485116927</v>
      </c>
      <c r="AA381" s="4">
        <v>381.42546590200942</v>
      </c>
      <c r="AB381" s="4">
        <v>138150.6</v>
      </c>
      <c r="AC381" s="4">
        <v>2798.1115200000004</v>
      </c>
      <c r="AD381" s="4">
        <v>19947.527999999998</v>
      </c>
      <c r="AE381" s="4">
        <v>169667.00945830811</v>
      </c>
      <c r="AF381" s="4">
        <v>3716.6356684597413</v>
      </c>
      <c r="AG381" s="4">
        <v>20816.676227068067</v>
      </c>
    </row>
    <row r="382" spans="1:33" ht="11.25" customHeight="1" x14ac:dyDescent="0.25">
      <c r="A382" s="3" t="s">
        <v>28</v>
      </c>
      <c r="B382" s="3" t="s">
        <v>41</v>
      </c>
      <c r="C382" s="3" t="s">
        <v>40</v>
      </c>
      <c r="D382" s="3" t="s">
        <v>38</v>
      </c>
      <c r="E382" s="3" t="s">
        <v>25</v>
      </c>
      <c r="F382" s="3" t="s">
        <v>25</v>
      </c>
      <c r="G382" s="3" t="s">
        <v>25</v>
      </c>
      <c r="H382" s="3" t="s">
        <v>34</v>
      </c>
      <c r="I382" s="6">
        <v>44409</v>
      </c>
      <c r="J382" s="4">
        <v>12</v>
      </c>
      <c r="K382" s="4">
        <v>12</v>
      </c>
      <c r="L382" s="4">
        <v>0.08</v>
      </c>
      <c r="M382" s="4">
        <v>0.08</v>
      </c>
      <c r="N382" s="4">
        <v>0.08</v>
      </c>
      <c r="O382" s="4">
        <v>0.08</v>
      </c>
      <c r="P382" s="4">
        <v>0</v>
      </c>
      <c r="Q382" s="3" t="s">
        <v>26</v>
      </c>
      <c r="R382" s="3">
        <v>0</v>
      </c>
      <c r="S382" s="4">
        <v>11</v>
      </c>
      <c r="T382" s="4">
        <v>110</v>
      </c>
      <c r="U382" s="4">
        <v>88</v>
      </c>
      <c r="V382" s="4">
        <v>62.23</v>
      </c>
      <c r="W382" s="4">
        <v>51.27</v>
      </c>
      <c r="X382" s="4">
        <v>365.5</v>
      </c>
      <c r="Y382" s="4">
        <v>76.426580837075718</v>
      </c>
      <c r="Z382" s="4">
        <v>68.100184485116927</v>
      </c>
      <c r="AA382" s="4">
        <v>381.42546590200942</v>
      </c>
      <c r="AB382" s="4">
        <v>746.76</v>
      </c>
      <c r="AC382" s="4">
        <v>4.1016000000000004</v>
      </c>
      <c r="AD382" s="4">
        <v>29.240000000000002</v>
      </c>
      <c r="AE382" s="4">
        <v>917.11897004490856</v>
      </c>
      <c r="AF382" s="4">
        <v>5.4480147588093546</v>
      </c>
      <c r="AG382" s="4">
        <v>30.514037272160753</v>
      </c>
    </row>
    <row r="383" spans="1:33" ht="11.25" customHeight="1" x14ac:dyDescent="0.25">
      <c r="A383" s="3" t="s">
        <v>21</v>
      </c>
      <c r="B383" s="3" t="s">
        <v>41</v>
      </c>
      <c r="C383" s="3" t="s">
        <v>40</v>
      </c>
      <c r="D383" s="3" t="s">
        <v>38</v>
      </c>
      <c r="E383" s="3" t="s">
        <v>25</v>
      </c>
      <c r="F383" s="3" t="s">
        <v>25</v>
      </c>
      <c r="G383" s="3" t="s">
        <v>25</v>
      </c>
      <c r="H383" s="3" t="s">
        <v>34</v>
      </c>
      <c r="I383" s="6">
        <v>44409</v>
      </c>
      <c r="J383" s="4">
        <v>1438</v>
      </c>
      <c r="K383" s="4">
        <v>1438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3" t="s">
        <v>57</v>
      </c>
      <c r="R383" s="3">
        <v>0</v>
      </c>
      <c r="S383" s="4">
        <v>11</v>
      </c>
      <c r="T383" s="4">
        <v>0</v>
      </c>
      <c r="U383" s="4">
        <v>0</v>
      </c>
      <c r="V383" s="4">
        <v>62.23</v>
      </c>
      <c r="W383" s="4">
        <v>0</v>
      </c>
      <c r="X383" s="4">
        <v>0</v>
      </c>
      <c r="Y383" s="4">
        <v>76.426580837075718</v>
      </c>
      <c r="Z383" s="4">
        <v>68.100184485116927</v>
      </c>
      <c r="AA383" s="4"/>
      <c r="AB383" s="4">
        <v>89486.739999999991</v>
      </c>
      <c r="AC383" s="4">
        <v>0</v>
      </c>
      <c r="AD383" s="4">
        <v>0</v>
      </c>
      <c r="AE383" s="4">
        <v>109901.42324371489</v>
      </c>
      <c r="AF383" s="4">
        <v>0</v>
      </c>
      <c r="AG383" s="4">
        <v>0</v>
      </c>
    </row>
    <row r="384" spans="1:33" ht="11.25" customHeight="1" x14ac:dyDescent="0.25">
      <c r="A384" s="3" t="s">
        <v>21</v>
      </c>
      <c r="B384" s="3" t="s">
        <v>41</v>
      </c>
      <c r="C384" s="3" t="s">
        <v>40</v>
      </c>
      <c r="D384" s="3" t="s">
        <v>38</v>
      </c>
      <c r="E384" s="3" t="s">
        <v>25</v>
      </c>
      <c r="F384" s="3" t="s">
        <v>25</v>
      </c>
      <c r="G384" s="3" t="s">
        <v>25</v>
      </c>
      <c r="H384" s="3" t="s">
        <v>34</v>
      </c>
      <c r="I384" s="6">
        <v>44440</v>
      </c>
      <c r="J384" s="4">
        <v>2237</v>
      </c>
      <c r="K384" s="4">
        <v>2237</v>
      </c>
      <c r="L384" s="4">
        <v>57.249000000000002</v>
      </c>
      <c r="M384" s="4">
        <v>57.249000000000002</v>
      </c>
      <c r="N384" s="4">
        <v>57.249000000000002</v>
      </c>
      <c r="O384" s="4">
        <v>57.249000000000002</v>
      </c>
      <c r="P384" s="4">
        <v>0</v>
      </c>
      <c r="Q384" s="3" t="s">
        <v>26</v>
      </c>
      <c r="R384" s="3">
        <v>0</v>
      </c>
      <c r="S384" s="4">
        <v>11</v>
      </c>
      <c r="T384" s="4">
        <v>110</v>
      </c>
      <c r="U384" s="4">
        <v>88</v>
      </c>
      <c r="V384" s="4">
        <v>62.23</v>
      </c>
      <c r="W384" s="4">
        <v>51.27</v>
      </c>
      <c r="X384" s="4">
        <v>365.5</v>
      </c>
      <c r="Y384" s="4">
        <v>76.426580837075718</v>
      </c>
      <c r="Z384" s="4">
        <v>68.100184485116927</v>
      </c>
      <c r="AA384" s="4">
        <v>381.42546590200942</v>
      </c>
      <c r="AB384" s="4">
        <v>139208.50999999998</v>
      </c>
      <c r="AC384" s="4">
        <v>2935.1562300000005</v>
      </c>
      <c r="AD384" s="4">
        <v>20924.5095</v>
      </c>
      <c r="AE384" s="4">
        <v>170966.26133253839</v>
      </c>
      <c r="AF384" s="4">
        <v>3898.667461588459</v>
      </c>
      <c r="AG384" s="4">
        <v>21836.226497424137</v>
      </c>
    </row>
    <row r="385" spans="1:33" ht="11.25" customHeight="1" x14ac:dyDescent="0.25">
      <c r="A385" s="3" t="s">
        <v>28</v>
      </c>
      <c r="B385" s="3" t="s">
        <v>41</v>
      </c>
      <c r="C385" s="3" t="s">
        <v>40</v>
      </c>
      <c r="D385" s="3" t="s">
        <v>38</v>
      </c>
      <c r="E385" s="3" t="s">
        <v>25</v>
      </c>
      <c r="F385" s="3" t="s">
        <v>25</v>
      </c>
      <c r="G385" s="3" t="s">
        <v>25</v>
      </c>
      <c r="H385" s="3" t="s">
        <v>34</v>
      </c>
      <c r="I385" s="6">
        <v>44440</v>
      </c>
      <c r="J385" s="4">
        <v>12</v>
      </c>
      <c r="K385" s="4">
        <v>12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3" t="s">
        <v>26</v>
      </c>
      <c r="R385" s="3">
        <v>0</v>
      </c>
      <c r="S385" s="4">
        <v>11</v>
      </c>
      <c r="T385" s="4">
        <v>0</v>
      </c>
      <c r="U385" s="4">
        <v>0</v>
      </c>
      <c r="V385" s="4">
        <v>62.23</v>
      </c>
      <c r="W385" s="4">
        <v>0</v>
      </c>
      <c r="X385" s="4">
        <v>0</v>
      </c>
      <c r="Y385" s="4">
        <v>76.426580837075718</v>
      </c>
      <c r="Z385" s="4">
        <v>68.100184485116927</v>
      </c>
      <c r="AA385" s="4">
        <v>381.42546590200942</v>
      </c>
      <c r="AB385" s="4">
        <v>746.76</v>
      </c>
      <c r="AC385" s="4">
        <v>0</v>
      </c>
      <c r="AD385" s="4">
        <v>0</v>
      </c>
      <c r="AE385" s="4">
        <v>917.11897004490856</v>
      </c>
      <c r="AF385" s="4">
        <v>0</v>
      </c>
      <c r="AG385" s="4">
        <v>0</v>
      </c>
    </row>
    <row r="386" spans="1:33" ht="11.25" customHeight="1" x14ac:dyDescent="0.25">
      <c r="A386" s="3" t="s">
        <v>21</v>
      </c>
      <c r="B386" s="3" t="s">
        <v>41</v>
      </c>
      <c r="C386" s="3" t="s">
        <v>40</v>
      </c>
      <c r="D386" s="3" t="s">
        <v>38</v>
      </c>
      <c r="E386" s="3" t="s">
        <v>25</v>
      </c>
      <c r="F386" s="3" t="s">
        <v>25</v>
      </c>
      <c r="G386" s="3" t="s">
        <v>25</v>
      </c>
      <c r="H386" s="3" t="s">
        <v>34</v>
      </c>
      <c r="I386" s="6">
        <v>44440</v>
      </c>
      <c r="J386" s="4">
        <v>30</v>
      </c>
      <c r="K386" s="4">
        <v>30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3" t="s">
        <v>57</v>
      </c>
      <c r="R386" s="3">
        <v>0</v>
      </c>
      <c r="S386" s="4">
        <v>11</v>
      </c>
      <c r="T386" s="4">
        <v>0</v>
      </c>
      <c r="U386" s="4">
        <v>0</v>
      </c>
      <c r="V386" s="4">
        <v>62.23</v>
      </c>
      <c r="W386" s="4">
        <v>0</v>
      </c>
      <c r="X386" s="4">
        <v>0</v>
      </c>
      <c r="Y386" s="4">
        <v>76.426580837075718</v>
      </c>
      <c r="Z386" s="4">
        <v>68.100184485116927</v>
      </c>
      <c r="AA386" s="4"/>
      <c r="AB386" s="4">
        <v>1866.8999999999999</v>
      </c>
      <c r="AC386" s="4">
        <v>0</v>
      </c>
      <c r="AD386" s="4">
        <v>0</v>
      </c>
      <c r="AE386" s="4">
        <v>2292.7974251122714</v>
      </c>
      <c r="AF386" s="4">
        <v>0</v>
      </c>
      <c r="AG386" s="4">
        <v>0</v>
      </c>
    </row>
    <row r="387" spans="1:33" ht="11.25" customHeight="1" x14ac:dyDescent="0.25">
      <c r="A387" s="3" t="s">
        <v>21</v>
      </c>
      <c r="B387" s="3" t="s">
        <v>41</v>
      </c>
      <c r="C387" s="3" t="s">
        <v>40</v>
      </c>
      <c r="D387" s="3" t="s">
        <v>38</v>
      </c>
      <c r="E387" s="3" t="s">
        <v>25</v>
      </c>
      <c r="F387" s="3" t="s">
        <v>25</v>
      </c>
      <c r="G387" s="3" t="s">
        <v>25</v>
      </c>
      <c r="H387" s="3" t="s">
        <v>34</v>
      </c>
      <c r="I387" s="6">
        <v>44470</v>
      </c>
      <c r="J387" s="4">
        <v>2324</v>
      </c>
      <c r="K387" s="4">
        <v>2324</v>
      </c>
      <c r="L387" s="4">
        <v>59.393000000000001</v>
      </c>
      <c r="M387" s="4">
        <v>59.393000000000001</v>
      </c>
      <c r="N387" s="4">
        <v>59.393000000000001</v>
      </c>
      <c r="O387" s="4">
        <v>59.393000000000001</v>
      </c>
      <c r="P387" s="4">
        <v>0</v>
      </c>
      <c r="Q387" s="3" t="s">
        <v>26</v>
      </c>
      <c r="R387" s="3">
        <v>0</v>
      </c>
      <c r="S387" s="4">
        <v>11</v>
      </c>
      <c r="T387" s="4">
        <v>110</v>
      </c>
      <c r="U387" s="4">
        <v>88</v>
      </c>
      <c r="V387" s="4">
        <v>62.23</v>
      </c>
      <c r="W387" s="4">
        <v>51.27</v>
      </c>
      <c r="X387" s="4">
        <v>365.5</v>
      </c>
      <c r="Y387" s="4">
        <v>76.426580837075718</v>
      </c>
      <c r="Z387" s="4">
        <v>68.100184485116927</v>
      </c>
      <c r="AA387" s="4">
        <v>381.42546590200942</v>
      </c>
      <c r="AB387" s="4">
        <v>144622.51999999999</v>
      </c>
      <c r="AC387" s="4">
        <v>3045.0791100000001</v>
      </c>
      <c r="AD387" s="4">
        <v>21708.141500000002</v>
      </c>
      <c r="AE387" s="4">
        <v>177615.37386536397</v>
      </c>
      <c r="AF387" s="4">
        <v>4044.6742571245495</v>
      </c>
      <c r="AG387" s="4">
        <v>22654.002696318046</v>
      </c>
    </row>
    <row r="388" spans="1:33" ht="11.25" customHeight="1" x14ac:dyDescent="0.25">
      <c r="A388" s="3" t="s">
        <v>28</v>
      </c>
      <c r="B388" s="3" t="s">
        <v>41</v>
      </c>
      <c r="C388" s="3" t="s">
        <v>40</v>
      </c>
      <c r="D388" s="3" t="s">
        <v>38</v>
      </c>
      <c r="E388" s="3" t="s">
        <v>25</v>
      </c>
      <c r="F388" s="3" t="s">
        <v>25</v>
      </c>
      <c r="G388" s="3" t="s">
        <v>25</v>
      </c>
      <c r="H388" s="3" t="s">
        <v>34</v>
      </c>
      <c r="I388" s="6">
        <v>44470</v>
      </c>
      <c r="J388" s="4">
        <v>12</v>
      </c>
      <c r="K388" s="4">
        <v>12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 t="s">
        <v>26</v>
      </c>
      <c r="R388" s="3">
        <v>0</v>
      </c>
      <c r="S388" s="4">
        <v>11</v>
      </c>
      <c r="T388" s="4">
        <v>0</v>
      </c>
      <c r="U388" s="4">
        <v>0</v>
      </c>
      <c r="V388" s="4">
        <v>62.23</v>
      </c>
      <c r="W388" s="4">
        <v>0</v>
      </c>
      <c r="X388" s="4">
        <v>0</v>
      </c>
      <c r="Y388" s="4">
        <v>76.426580837075718</v>
      </c>
      <c r="Z388" s="4">
        <v>68.100184485116927</v>
      </c>
      <c r="AA388" s="4">
        <v>381.42546590200942</v>
      </c>
      <c r="AB388" s="4">
        <v>746.76</v>
      </c>
      <c r="AC388" s="4">
        <v>0</v>
      </c>
      <c r="AD388" s="4">
        <v>0</v>
      </c>
      <c r="AE388" s="4">
        <v>917.11897004490856</v>
      </c>
      <c r="AF388" s="4">
        <v>0</v>
      </c>
      <c r="AG388" s="4">
        <v>0</v>
      </c>
    </row>
    <row r="389" spans="1:33" ht="11.25" customHeight="1" x14ac:dyDescent="0.25">
      <c r="A389" s="3" t="s">
        <v>21</v>
      </c>
      <c r="B389" s="3" t="s">
        <v>41</v>
      </c>
      <c r="C389" s="3" t="s">
        <v>40</v>
      </c>
      <c r="D389" s="3" t="s">
        <v>38</v>
      </c>
      <c r="E389" s="3" t="s">
        <v>25</v>
      </c>
      <c r="F389" s="3" t="s">
        <v>25</v>
      </c>
      <c r="G389" s="3" t="s">
        <v>25</v>
      </c>
      <c r="H389" s="3" t="s">
        <v>34</v>
      </c>
      <c r="I389" s="6">
        <v>44501</v>
      </c>
      <c r="J389" s="4">
        <v>2357</v>
      </c>
      <c r="K389" s="4">
        <v>2357</v>
      </c>
      <c r="L389" s="4">
        <v>54.738</v>
      </c>
      <c r="M389" s="4">
        <v>54.738</v>
      </c>
      <c r="N389" s="4">
        <v>54.738</v>
      </c>
      <c r="O389" s="4">
        <v>54.738</v>
      </c>
      <c r="P389" s="4">
        <v>0</v>
      </c>
      <c r="Q389" s="3" t="s">
        <v>26</v>
      </c>
      <c r="R389" s="3">
        <v>0</v>
      </c>
      <c r="S389" s="4">
        <v>11</v>
      </c>
      <c r="T389" s="4">
        <v>110</v>
      </c>
      <c r="U389" s="4">
        <v>88</v>
      </c>
      <c r="V389" s="4">
        <v>62.23</v>
      </c>
      <c r="W389" s="4">
        <v>51.27</v>
      </c>
      <c r="X389" s="4">
        <v>365.5</v>
      </c>
      <c r="Y389" s="4">
        <v>76.426580837075718</v>
      </c>
      <c r="Z389" s="4">
        <v>68.100184485116927</v>
      </c>
      <c r="AA389" s="4">
        <v>381.42546590200942</v>
      </c>
      <c r="AB389" s="4">
        <v>146676.10999999999</v>
      </c>
      <c r="AC389" s="4">
        <v>2806.4172600000002</v>
      </c>
      <c r="AD389" s="4">
        <v>20006.739000000001</v>
      </c>
      <c r="AE389" s="4">
        <v>180137.45103298748</v>
      </c>
      <c r="AF389" s="4">
        <v>3727.6678983463303</v>
      </c>
      <c r="AG389" s="4">
        <v>20878.467152544192</v>
      </c>
    </row>
    <row r="390" spans="1:33" ht="11.25" customHeight="1" x14ac:dyDescent="0.25">
      <c r="A390" s="3" t="s">
        <v>28</v>
      </c>
      <c r="B390" s="3" t="s">
        <v>41</v>
      </c>
      <c r="C390" s="3" t="s">
        <v>40</v>
      </c>
      <c r="D390" s="3" t="s">
        <v>38</v>
      </c>
      <c r="E390" s="3" t="s">
        <v>25</v>
      </c>
      <c r="F390" s="3" t="s">
        <v>25</v>
      </c>
      <c r="G390" s="3" t="s">
        <v>25</v>
      </c>
      <c r="H390" s="3" t="s">
        <v>34</v>
      </c>
      <c r="I390" s="6">
        <v>44501</v>
      </c>
      <c r="J390" s="4">
        <v>29</v>
      </c>
      <c r="K390" s="4">
        <v>29</v>
      </c>
      <c r="L390" s="4">
        <v>1.476</v>
      </c>
      <c r="M390" s="4">
        <v>1.476</v>
      </c>
      <c r="N390" s="4">
        <v>1.476</v>
      </c>
      <c r="O390" s="4">
        <v>1.476</v>
      </c>
      <c r="P390" s="4">
        <v>0</v>
      </c>
      <c r="Q390" s="3" t="s">
        <v>26</v>
      </c>
      <c r="R390" s="3">
        <v>0</v>
      </c>
      <c r="S390" s="4">
        <v>11</v>
      </c>
      <c r="T390" s="4">
        <v>110</v>
      </c>
      <c r="U390" s="4">
        <v>88</v>
      </c>
      <c r="V390" s="4">
        <v>62.23</v>
      </c>
      <c r="W390" s="4">
        <v>51.27</v>
      </c>
      <c r="X390" s="4">
        <v>365.5</v>
      </c>
      <c r="Y390" s="4">
        <v>76.426580837075718</v>
      </c>
      <c r="Z390" s="4">
        <v>68.100184485116927</v>
      </c>
      <c r="AA390" s="4">
        <v>381.42546590200942</v>
      </c>
      <c r="AB390" s="4">
        <v>1804.6699999999998</v>
      </c>
      <c r="AC390" s="4">
        <v>75.674520000000001</v>
      </c>
      <c r="AD390" s="4">
        <v>539.47799999999995</v>
      </c>
      <c r="AE390" s="4">
        <v>2216.3708442751959</v>
      </c>
      <c r="AF390" s="4">
        <v>100.51587230003258</v>
      </c>
      <c r="AG390" s="4">
        <v>562.98398767136587</v>
      </c>
    </row>
    <row r="391" spans="1:33" ht="11.25" customHeight="1" x14ac:dyDescent="0.25">
      <c r="A391" s="3" t="s">
        <v>21</v>
      </c>
      <c r="B391" s="3" t="s">
        <v>41</v>
      </c>
      <c r="C391" s="3" t="s">
        <v>40</v>
      </c>
      <c r="D391" s="3" t="s">
        <v>38</v>
      </c>
      <c r="E391" s="3" t="s">
        <v>25</v>
      </c>
      <c r="F391" s="3" t="s">
        <v>25</v>
      </c>
      <c r="G391" s="3" t="s">
        <v>25</v>
      </c>
      <c r="H391" s="3" t="s">
        <v>34</v>
      </c>
      <c r="I391" s="6">
        <v>44531</v>
      </c>
      <c r="J391" s="4">
        <v>1607</v>
      </c>
      <c r="K391" s="4">
        <v>1607</v>
      </c>
      <c r="L391" s="4">
        <v>56.951000000000001</v>
      </c>
      <c r="M391" s="4">
        <v>56.951000000000001</v>
      </c>
      <c r="N391" s="4">
        <v>56.951000000000001</v>
      </c>
      <c r="O391" s="4">
        <v>56.951000000000001</v>
      </c>
      <c r="P391" s="4">
        <v>0</v>
      </c>
      <c r="Q391" s="3" t="s">
        <v>26</v>
      </c>
      <c r="R391" s="3">
        <v>0</v>
      </c>
      <c r="S391" s="4">
        <v>11</v>
      </c>
      <c r="T391" s="4">
        <v>110</v>
      </c>
      <c r="U391" s="4">
        <v>88</v>
      </c>
      <c r="V391" s="4">
        <v>62.23</v>
      </c>
      <c r="W391" s="4">
        <v>51.27</v>
      </c>
      <c r="X391" s="4">
        <v>365.5</v>
      </c>
      <c r="Y391" s="4">
        <v>76.426580837075718</v>
      </c>
      <c r="Z391" s="4">
        <v>68.100184485116927</v>
      </c>
      <c r="AA391" s="4">
        <v>381.42546590200942</v>
      </c>
      <c r="AB391" s="4">
        <v>100003.61</v>
      </c>
      <c r="AC391" s="4">
        <v>2919.8777700000001</v>
      </c>
      <c r="AD391" s="4">
        <v>20815.590499999998</v>
      </c>
      <c r="AE391" s="4">
        <v>122817.51540518067</v>
      </c>
      <c r="AF391" s="4">
        <v>3878.373606611894</v>
      </c>
      <c r="AG391" s="4">
        <v>21722.561708585337</v>
      </c>
    </row>
    <row r="392" spans="1:33" ht="11.25" customHeight="1" x14ac:dyDescent="0.25">
      <c r="A392" s="3" t="s">
        <v>28</v>
      </c>
      <c r="B392" s="3" t="s">
        <v>41</v>
      </c>
      <c r="C392" s="3" t="s">
        <v>40</v>
      </c>
      <c r="D392" s="3" t="s">
        <v>38</v>
      </c>
      <c r="E392" s="3" t="s">
        <v>25</v>
      </c>
      <c r="F392" s="3" t="s">
        <v>25</v>
      </c>
      <c r="G392" s="3" t="s">
        <v>25</v>
      </c>
      <c r="H392" s="3" t="s">
        <v>34</v>
      </c>
      <c r="I392" s="6">
        <v>44531</v>
      </c>
      <c r="J392" s="4">
        <v>31</v>
      </c>
      <c r="K392" s="4">
        <v>31</v>
      </c>
      <c r="L392" s="4">
        <v>0.90200000000000002</v>
      </c>
      <c r="M392" s="4">
        <v>0.90200000000000002</v>
      </c>
      <c r="N392" s="4">
        <v>0.90200000000000002</v>
      </c>
      <c r="O392" s="4">
        <v>0.90200000000000002</v>
      </c>
      <c r="P392" s="4">
        <v>0</v>
      </c>
      <c r="Q392" s="3" t="s">
        <v>26</v>
      </c>
      <c r="R392" s="3">
        <v>0</v>
      </c>
      <c r="S392" s="4">
        <v>11</v>
      </c>
      <c r="T392" s="4">
        <v>110</v>
      </c>
      <c r="U392" s="4">
        <v>88</v>
      </c>
      <c r="V392" s="4">
        <v>62.23</v>
      </c>
      <c r="W392" s="4">
        <v>51.27</v>
      </c>
      <c r="X392" s="4">
        <v>365.5</v>
      </c>
      <c r="Y392" s="4">
        <v>76.426580837075718</v>
      </c>
      <c r="Z392" s="4">
        <v>68.100184485116927</v>
      </c>
      <c r="AA392" s="4">
        <v>381.42546590200942</v>
      </c>
      <c r="AB392" s="4">
        <v>1929.1299999999999</v>
      </c>
      <c r="AC392" s="4">
        <v>46.245540000000005</v>
      </c>
      <c r="AD392" s="4">
        <v>329.68099999999998</v>
      </c>
      <c r="AE392" s="4">
        <v>2369.2240059493474</v>
      </c>
      <c r="AF392" s="4">
        <v>61.426366405575472</v>
      </c>
      <c r="AG392" s="4">
        <v>344.04577024361248</v>
      </c>
    </row>
    <row r="393" spans="1:33" ht="11.25" customHeight="1" x14ac:dyDescent="0.25">
      <c r="A393" s="3" t="s">
        <v>21</v>
      </c>
      <c r="B393" s="3" t="s">
        <v>41</v>
      </c>
      <c r="C393" s="3" t="s">
        <v>40</v>
      </c>
      <c r="D393" s="3" t="s">
        <v>38</v>
      </c>
      <c r="E393" s="3" t="s">
        <v>25</v>
      </c>
      <c r="F393" s="3" t="s">
        <v>25</v>
      </c>
      <c r="G393" s="3" t="s">
        <v>25</v>
      </c>
      <c r="H393" s="3" t="s">
        <v>34</v>
      </c>
      <c r="I393" s="6">
        <v>44562</v>
      </c>
      <c r="J393" s="4">
        <v>1517</v>
      </c>
      <c r="K393" s="4">
        <v>1517</v>
      </c>
      <c r="L393" s="4">
        <v>51.756999999999998</v>
      </c>
      <c r="M393" s="4">
        <v>51.756999999999998</v>
      </c>
      <c r="N393" s="4">
        <v>51.756999999999998</v>
      </c>
      <c r="O393" s="4">
        <v>51.756999999999998</v>
      </c>
      <c r="P393" s="4">
        <v>0</v>
      </c>
      <c r="Q393" s="3" t="s">
        <v>26</v>
      </c>
      <c r="R393" s="3">
        <v>0</v>
      </c>
      <c r="S393" s="4">
        <v>11</v>
      </c>
      <c r="T393" s="4">
        <v>110</v>
      </c>
      <c r="U393" s="4">
        <v>88</v>
      </c>
      <c r="V393" s="4">
        <v>62.23</v>
      </c>
      <c r="W393" s="4">
        <v>51.27</v>
      </c>
      <c r="X393" s="4">
        <v>365.5</v>
      </c>
      <c r="Y393" s="4">
        <v>76.426580837075718</v>
      </c>
      <c r="Z393" s="4">
        <v>68.100184485116927</v>
      </c>
      <c r="AA393" s="4">
        <v>381.42546590200942</v>
      </c>
      <c r="AB393" s="4">
        <v>94402.909999999989</v>
      </c>
      <c r="AC393" s="4">
        <v>2653.5813899999998</v>
      </c>
      <c r="AD393" s="4">
        <v>18917.183499999999</v>
      </c>
      <c r="AE393" s="4">
        <v>115939.12312984387</v>
      </c>
      <c r="AF393" s="4">
        <v>3524.6612483961967</v>
      </c>
      <c r="AG393" s="4">
        <v>19741.437838690301</v>
      </c>
    </row>
    <row r="394" spans="1:33" ht="11.25" customHeight="1" x14ac:dyDescent="0.25">
      <c r="A394" s="3" t="s">
        <v>28</v>
      </c>
      <c r="B394" s="3" t="s">
        <v>41</v>
      </c>
      <c r="C394" s="3" t="s">
        <v>40</v>
      </c>
      <c r="D394" s="3" t="s">
        <v>38</v>
      </c>
      <c r="E394" s="3" t="s">
        <v>25</v>
      </c>
      <c r="F394" s="3" t="s">
        <v>25</v>
      </c>
      <c r="G394" s="3" t="s">
        <v>25</v>
      </c>
      <c r="H394" s="3" t="s">
        <v>34</v>
      </c>
      <c r="I394" s="6">
        <v>44562</v>
      </c>
      <c r="J394" s="4">
        <v>29</v>
      </c>
      <c r="K394" s="4">
        <v>29</v>
      </c>
      <c r="L394" s="4">
        <v>0.91100000000000003</v>
      </c>
      <c r="M394" s="4">
        <v>0.91100000000000003</v>
      </c>
      <c r="N394" s="4">
        <v>0.91100000000000003</v>
      </c>
      <c r="O394" s="4">
        <v>0.91100000000000003</v>
      </c>
      <c r="P394" s="4">
        <v>0</v>
      </c>
      <c r="Q394" s="3" t="s">
        <v>26</v>
      </c>
      <c r="R394" s="3">
        <v>0</v>
      </c>
      <c r="S394" s="4">
        <v>11</v>
      </c>
      <c r="T394" s="4">
        <v>110</v>
      </c>
      <c r="U394" s="4">
        <v>88</v>
      </c>
      <c r="V394" s="4">
        <v>62.23</v>
      </c>
      <c r="W394" s="4">
        <v>51.27</v>
      </c>
      <c r="X394" s="4">
        <v>365.5</v>
      </c>
      <c r="Y394" s="4">
        <v>76.426580837075718</v>
      </c>
      <c r="Z394" s="4">
        <v>68.100184485116927</v>
      </c>
      <c r="AA394" s="4">
        <v>381.42546590200942</v>
      </c>
      <c r="AB394" s="4">
        <v>1804.6699999999998</v>
      </c>
      <c r="AC394" s="4">
        <v>46.706970000000005</v>
      </c>
      <c r="AD394" s="4">
        <v>332.97050000000002</v>
      </c>
      <c r="AE394" s="4">
        <v>2216.3708442751959</v>
      </c>
      <c r="AF394" s="4">
        <v>62.039268065941521</v>
      </c>
      <c r="AG394" s="4">
        <v>347.47859943673058</v>
      </c>
    </row>
    <row r="395" spans="1:33" ht="11.25" customHeight="1" x14ac:dyDescent="0.25">
      <c r="A395" s="3" t="s">
        <v>21</v>
      </c>
      <c r="B395" s="3" t="s">
        <v>41</v>
      </c>
      <c r="C395" s="3" t="s">
        <v>40</v>
      </c>
      <c r="D395" s="3" t="s">
        <v>38</v>
      </c>
      <c r="E395" s="3" t="s">
        <v>25</v>
      </c>
      <c r="F395" s="3" t="s">
        <v>25</v>
      </c>
      <c r="G395" s="3" t="s">
        <v>25</v>
      </c>
      <c r="H395" s="3" t="s">
        <v>34</v>
      </c>
      <c r="I395" s="6">
        <v>44593</v>
      </c>
      <c r="J395" s="4">
        <v>1635</v>
      </c>
      <c r="K395" s="4">
        <v>1635</v>
      </c>
      <c r="L395" s="4">
        <v>55.417000000000002</v>
      </c>
      <c r="M395" s="4">
        <v>55.417000000000002</v>
      </c>
      <c r="N395" s="4">
        <v>55.417000000000002</v>
      </c>
      <c r="O395" s="4">
        <v>55.417000000000002</v>
      </c>
      <c r="P395" s="4">
        <v>0</v>
      </c>
      <c r="Q395" s="3" t="s">
        <v>26</v>
      </c>
      <c r="R395" s="3">
        <v>0</v>
      </c>
      <c r="S395" s="4">
        <v>11</v>
      </c>
      <c r="T395" s="4">
        <v>110</v>
      </c>
      <c r="U395" s="4">
        <v>88</v>
      </c>
      <c r="V395" s="4">
        <v>62.23</v>
      </c>
      <c r="W395" s="4">
        <v>51.27</v>
      </c>
      <c r="X395" s="4">
        <v>365.5</v>
      </c>
      <c r="Y395" s="4">
        <v>76.426580837075718</v>
      </c>
      <c r="Z395" s="4">
        <v>68.100184485116927</v>
      </c>
      <c r="AA395" s="4">
        <v>381.42546590200942</v>
      </c>
      <c r="AB395" s="4">
        <v>101746.04999999999</v>
      </c>
      <c r="AC395" s="4">
        <v>2841.2295900000004</v>
      </c>
      <c r="AD395" s="4">
        <v>20254.913500000002</v>
      </c>
      <c r="AE395" s="4">
        <v>124957.4596686188</v>
      </c>
      <c r="AF395" s="4">
        <v>3773.907923611725</v>
      </c>
      <c r="AG395" s="4">
        <v>21137.455043891656</v>
      </c>
    </row>
    <row r="396" spans="1:33" ht="11.25" customHeight="1" x14ac:dyDescent="0.25">
      <c r="A396" s="3" t="s">
        <v>28</v>
      </c>
      <c r="B396" s="3" t="s">
        <v>41</v>
      </c>
      <c r="C396" s="3" t="s">
        <v>40</v>
      </c>
      <c r="D396" s="3" t="s">
        <v>38</v>
      </c>
      <c r="E396" s="3" t="s">
        <v>25</v>
      </c>
      <c r="F396" s="3" t="s">
        <v>25</v>
      </c>
      <c r="G396" s="3" t="s">
        <v>25</v>
      </c>
      <c r="H396" s="3" t="s">
        <v>34</v>
      </c>
      <c r="I396" s="6">
        <v>44593</v>
      </c>
      <c r="J396" s="4">
        <v>30</v>
      </c>
      <c r="K396" s="4">
        <v>30</v>
      </c>
      <c r="L396" s="4">
        <v>0.92</v>
      </c>
      <c r="M396" s="4">
        <v>0.92</v>
      </c>
      <c r="N396" s="4">
        <v>0.92</v>
      </c>
      <c r="O396" s="4">
        <v>0.92</v>
      </c>
      <c r="P396" s="4">
        <v>0</v>
      </c>
      <c r="Q396" s="3" t="s">
        <v>26</v>
      </c>
      <c r="R396" s="3">
        <v>0</v>
      </c>
      <c r="S396" s="4">
        <v>11</v>
      </c>
      <c r="T396" s="4">
        <v>110</v>
      </c>
      <c r="U396" s="4">
        <v>88</v>
      </c>
      <c r="V396" s="4">
        <v>62.23</v>
      </c>
      <c r="W396" s="4">
        <v>51.27</v>
      </c>
      <c r="X396" s="4">
        <v>365.5</v>
      </c>
      <c r="Y396" s="4">
        <v>76.426580837075718</v>
      </c>
      <c r="Z396" s="4">
        <v>68.100184485116927</v>
      </c>
      <c r="AA396" s="4">
        <v>381.42546590200942</v>
      </c>
      <c r="AB396" s="4">
        <v>1866.8999999999999</v>
      </c>
      <c r="AC396" s="4">
        <v>47.168400000000005</v>
      </c>
      <c r="AD396" s="4">
        <v>336.26</v>
      </c>
      <c r="AE396" s="4">
        <v>2292.7974251122714</v>
      </c>
      <c r="AF396" s="4">
        <v>62.652169726307577</v>
      </c>
      <c r="AG396" s="4">
        <v>350.91142862984867</v>
      </c>
    </row>
    <row r="397" spans="1:33" ht="11.25" customHeight="1" x14ac:dyDescent="0.25">
      <c r="A397" s="3" t="s">
        <v>56</v>
      </c>
      <c r="B397" s="3" t="s">
        <v>41</v>
      </c>
      <c r="C397" s="3" t="s">
        <v>40</v>
      </c>
      <c r="D397" s="3" t="s">
        <v>38</v>
      </c>
      <c r="E397" s="3" t="s">
        <v>25</v>
      </c>
      <c r="F397" s="3" t="s">
        <v>25</v>
      </c>
      <c r="G397" s="3" t="s">
        <v>25</v>
      </c>
      <c r="H397" s="3" t="s">
        <v>34</v>
      </c>
      <c r="I397" s="6">
        <v>44621</v>
      </c>
      <c r="J397" s="4">
        <v>1635</v>
      </c>
      <c r="K397" s="4">
        <v>1635</v>
      </c>
      <c r="L397" s="4">
        <v>55.417000000000002</v>
      </c>
      <c r="M397" s="4">
        <v>55.417000000000002</v>
      </c>
      <c r="N397" s="4">
        <v>55.417000000000002</v>
      </c>
      <c r="O397" s="4">
        <v>55.417000000000002</v>
      </c>
      <c r="P397" s="4">
        <v>0</v>
      </c>
      <c r="Q397" s="3" t="s">
        <v>26</v>
      </c>
      <c r="R397" s="3">
        <v>0</v>
      </c>
      <c r="S397" s="4">
        <v>11</v>
      </c>
      <c r="T397" s="4">
        <v>110</v>
      </c>
      <c r="U397" s="4">
        <v>88</v>
      </c>
      <c r="V397" s="4">
        <v>62.23</v>
      </c>
      <c r="W397" s="4">
        <v>51.27</v>
      </c>
      <c r="X397" s="4">
        <v>365.5</v>
      </c>
      <c r="Y397" s="4">
        <v>76.426580837075718</v>
      </c>
      <c r="Z397" s="4">
        <v>68.100184485116927</v>
      </c>
      <c r="AA397" s="4">
        <v>381.42546590200942</v>
      </c>
      <c r="AB397" s="4">
        <v>101746.04999999999</v>
      </c>
      <c r="AC397" s="4">
        <v>2841.2295900000004</v>
      </c>
      <c r="AD397" s="4">
        <v>20254.913500000002</v>
      </c>
      <c r="AE397" s="4">
        <v>124957.4596686188</v>
      </c>
      <c r="AF397" s="4">
        <v>3773.907923611725</v>
      </c>
      <c r="AG397" s="4">
        <v>21137.455043891656</v>
      </c>
    </row>
    <row r="398" spans="1:33" ht="11.25" customHeight="1" x14ac:dyDescent="0.25">
      <c r="A398" s="3" t="s">
        <v>56</v>
      </c>
      <c r="B398" s="3" t="s">
        <v>41</v>
      </c>
      <c r="C398" s="3" t="s">
        <v>40</v>
      </c>
      <c r="D398" s="3" t="s">
        <v>38</v>
      </c>
      <c r="E398" s="3" t="s">
        <v>25</v>
      </c>
      <c r="F398" s="3" t="s">
        <v>25</v>
      </c>
      <c r="G398" s="3" t="s">
        <v>25</v>
      </c>
      <c r="H398" s="3" t="s">
        <v>34</v>
      </c>
      <c r="I398" s="6">
        <v>44621</v>
      </c>
      <c r="J398" s="4">
        <v>30</v>
      </c>
      <c r="K398" s="4">
        <v>30</v>
      </c>
      <c r="L398" s="4">
        <v>0.92</v>
      </c>
      <c r="M398" s="4">
        <v>0.92</v>
      </c>
      <c r="N398" s="4">
        <v>0.92</v>
      </c>
      <c r="O398" s="4">
        <v>0.92</v>
      </c>
      <c r="P398" s="4">
        <v>0</v>
      </c>
      <c r="Q398" s="3" t="s">
        <v>26</v>
      </c>
      <c r="R398" s="3">
        <v>0</v>
      </c>
      <c r="S398" s="4">
        <v>11</v>
      </c>
      <c r="T398" s="4">
        <v>110</v>
      </c>
      <c r="U398" s="4">
        <v>88</v>
      </c>
      <c r="V398" s="4">
        <v>62.23</v>
      </c>
      <c r="W398" s="4">
        <v>51.27</v>
      </c>
      <c r="X398" s="4">
        <v>365.5</v>
      </c>
      <c r="Y398" s="4">
        <v>76.426580837075718</v>
      </c>
      <c r="Z398" s="4">
        <v>68.100184485116927</v>
      </c>
      <c r="AA398" s="4">
        <v>381.42546590200942</v>
      </c>
      <c r="AB398" s="4">
        <v>1866.8999999999999</v>
      </c>
      <c r="AC398" s="4">
        <v>47.168400000000005</v>
      </c>
      <c r="AD398" s="4">
        <v>336.26</v>
      </c>
      <c r="AE398" s="4">
        <v>2292.7974251122714</v>
      </c>
      <c r="AF398" s="4">
        <v>62.652169726307577</v>
      </c>
      <c r="AG398" s="4">
        <v>350.91142862984867</v>
      </c>
    </row>
    <row r="399" spans="1:33" ht="11.25" customHeight="1" x14ac:dyDescent="0.25">
      <c r="A399" s="3" t="s">
        <v>21</v>
      </c>
      <c r="B399" s="3" t="s">
        <v>41</v>
      </c>
      <c r="C399" s="3" t="s">
        <v>40</v>
      </c>
      <c r="D399" s="3" t="s">
        <v>46</v>
      </c>
      <c r="E399" s="3" t="s">
        <v>25</v>
      </c>
      <c r="F399" s="3" t="s">
        <v>25</v>
      </c>
      <c r="G399" s="3" t="s">
        <v>25</v>
      </c>
      <c r="H399" s="3" t="s">
        <v>35</v>
      </c>
      <c r="I399" s="6">
        <v>44287</v>
      </c>
      <c r="J399" s="4">
        <v>3687</v>
      </c>
      <c r="K399" s="4">
        <v>3687</v>
      </c>
      <c r="L399" s="4">
        <v>1108.0540000000001</v>
      </c>
      <c r="M399" s="4">
        <v>1108.0540000000001</v>
      </c>
      <c r="N399" s="4">
        <v>1108.0540000000001</v>
      </c>
      <c r="O399" s="4">
        <v>1108.0540000000001</v>
      </c>
      <c r="P399" s="4">
        <v>0</v>
      </c>
      <c r="Q399" s="3" t="s">
        <v>26</v>
      </c>
      <c r="R399" s="3">
        <v>0</v>
      </c>
      <c r="S399" s="4">
        <v>12</v>
      </c>
      <c r="T399" s="4">
        <v>110</v>
      </c>
      <c r="U399" s="4">
        <v>89</v>
      </c>
      <c r="V399" s="4">
        <v>24.31</v>
      </c>
      <c r="W399" s="4">
        <v>51.27</v>
      </c>
      <c r="X399" s="4">
        <v>222.31</v>
      </c>
      <c r="Y399" s="4">
        <v>27.784764762164471</v>
      </c>
      <c r="Z399" s="4">
        <v>68.100184485116927</v>
      </c>
      <c r="AA399" s="4">
        <v>235.31351552243123</v>
      </c>
      <c r="AB399" s="4">
        <v>89630.97</v>
      </c>
      <c r="AC399" s="4">
        <v>56809.928580000007</v>
      </c>
      <c r="AD399" s="4">
        <v>246331.48474000001</v>
      </c>
      <c r="AE399" s="4">
        <v>102442.4276781004</v>
      </c>
      <c r="AF399" s="4">
        <v>75458.681819471763</v>
      </c>
      <c r="AG399" s="4">
        <v>260740.08212869204</v>
      </c>
    </row>
    <row r="400" spans="1:33" ht="11.25" customHeight="1" x14ac:dyDescent="0.25">
      <c r="A400" s="3" t="s">
        <v>21</v>
      </c>
      <c r="B400" s="3" t="s">
        <v>41</v>
      </c>
      <c r="C400" s="3" t="s">
        <v>40</v>
      </c>
      <c r="D400" s="3" t="s">
        <v>46</v>
      </c>
      <c r="E400" s="3" t="s">
        <v>25</v>
      </c>
      <c r="F400" s="3" t="s">
        <v>25</v>
      </c>
      <c r="G400" s="3" t="s">
        <v>25</v>
      </c>
      <c r="H400" s="3" t="s">
        <v>35</v>
      </c>
      <c r="I400" s="6">
        <v>44317</v>
      </c>
      <c r="J400" s="4">
        <v>3598</v>
      </c>
      <c r="K400" s="4">
        <v>3598</v>
      </c>
      <c r="L400" s="4">
        <v>1018.43</v>
      </c>
      <c r="M400" s="4">
        <v>1018.43</v>
      </c>
      <c r="N400" s="4">
        <v>1018.43</v>
      </c>
      <c r="O400" s="4">
        <v>1018.43</v>
      </c>
      <c r="P400" s="4">
        <v>0</v>
      </c>
      <c r="Q400" s="3" t="s">
        <v>26</v>
      </c>
      <c r="R400" s="3">
        <v>0</v>
      </c>
      <c r="S400" s="4">
        <v>12</v>
      </c>
      <c r="T400" s="4">
        <v>110</v>
      </c>
      <c r="U400" s="4">
        <v>89</v>
      </c>
      <c r="V400" s="4">
        <v>24.31</v>
      </c>
      <c r="W400" s="4">
        <v>51.27</v>
      </c>
      <c r="X400" s="4">
        <v>222.31</v>
      </c>
      <c r="Y400" s="4">
        <v>27.784764762164471</v>
      </c>
      <c r="Z400" s="4">
        <v>68.100184485116927</v>
      </c>
      <c r="AA400" s="4">
        <v>235.31351552243123</v>
      </c>
      <c r="AB400" s="4">
        <v>87467.37999999999</v>
      </c>
      <c r="AC400" s="4">
        <v>52214.9061</v>
      </c>
      <c r="AD400" s="4">
        <v>226407.17329999999</v>
      </c>
      <c r="AE400" s="4">
        <v>99969.583614267773</v>
      </c>
      <c r="AF400" s="4">
        <v>69355.270885177626</v>
      </c>
      <c r="AG400" s="4">
        <v>239650.34361350964</v>
      </c>
    </row>
    <row r="401" spans="1:33" ht="11.25" customHeight="1" x14ac:dyDescent="0.25">
      <c r="A401" s="3" t="s">
        <v>21</v>
      </c>
      <c r="B401" s="3" t="s">
        <v>41</v>
      </c>
      <c r="C401" s="3" t="s">
        <v>40</v>
      </c>
      <c r="D401" s="3" t="s">
        <v>46</v>
      </c>
      <c r="E401" s="3" t="s">
        <v>25</v>
      </c>
      <c r="F401" s="3" t="s">
        <v>25</v>
      </c>
      <c r="G401" s="3" t="s">
        <v>25</v>
      </c>
      <c r="H401" s="3" t="s">
        <v>35</v>
      </c>
      <c r="I401" s="6">
        <v>44348</v>
      </c>
      <c r="J401" s="4">
        <v>3812</v>
      </c>
      <c r="K401" s="4">
        <v>3812</v>
      </c>
      <c r="L401" s="4">
        <v>951.928</v>
      </c>
      <c r="M401" s="4">
        <v>951.928</v>
      </c>
      <c r="N401" s="4">
        <v>951.928</v>
      </c>
      <c r="O401" s="4">
        <v>951.928</v>
      </c>
      <c r="P401" s="4">
        <v>0</v>
      </c>
      <c r="Q401" s="3" t="s">
        <v>26</v>
      </c>
      <c r="R401" s="3">
        <v>0</v>
      </c>
      <c r="S401" s="4">
        <v>12</v>
      </c>
      <c r="T401" s="4">
        <v>110</v>
      </c>
      <c r="U401" s="4">
        <v>89</v>
      </c>
      <c r="V401" s="4">
        <v>24.31</v>
      </c>
      <c r="W401" s="4">
        <v>51.27</v>
      </c>
      <c r="X401" s="4">
        <v>222.31</v>
      </c>
      <c r="Y401" s="4">
        <v>27.784764762164471</v>
      </c>
      <c r="Z401" s="4">
        <v>68.100184485116927</v>
      </c>
      <c r="AA401" s="4">
        <v>235.31351552243123</v>
      </c>
      <c r="AB401" s="4">
        <v>92669.72</v>
      </c>
      <c r="AC401" s="4">
        <v>48805.348560000006</v>
      </c>
      <c r="AD401" s="4">
        <v>211623.11368000001</v>
      </c>
      <c r="AE401" s="4">
        <v>105915.52327337097</v>
      </c>
      <c r="AF401" s="4">
        <v>64826.472416548386</v>
      </c>
      <c r="AG401" s="4">
        <v>224001.52420423692</v>
      </c>
    </row>
    <row r="402" spans="1:33" ht="11.25" customHeight="1" x14ac:dyDescent="0.25">
      <c r="A402" s="3" t="s">
        <v>21</v>
      </c>
      <c r="B402" s="3" t="s">
        <v>41</v>
      </c>
      <c r="C402" s="3" t="s">
        <v>40</v>
      </c>
      <c r="D402" s="3" t="s">
        <v>46</v>
      </c>
      <c r="E402" s="3" t="s">
        <v>25</v>
      </c>
      <c r="F402" s="3" t="s">
        <v>25</v>
      </c>
      <c r="G402" s="3" t="s">
        <v>25</v>
      </c>
      <c r="H402" s="3" t="s">
        <v>35</v>
      </c>
      <c r="I402" s="6">
        <v>44378</v>
      </c>
      <c r="J402" s="4">
        <v>3550</v>
      </c>
      <c r="K402" s="4">
        <v>3550</v>
      </c>
      <c r="L402" s="4">
        <v>899.85199999999998</v>
      </c>
      <c r="M402" s="4">
        <v>899.85199999999998</v>
      </c>
      <c r="N402" s="4">
        <v>899.85199999999998</v>
      </c>
      <c r="O402" s="4">
        <v>899.85199999999998</v>
      </c>
      <c r="P402" s="4">
        <v>0</v>
      </c>
      <c r="Q402" s="3" t="s">
        <v>26</v>
      </c>
      <c r="R402" s="3">
        <v>0</v>
      </c>
      <c r="S402" s="4">
        <v>12</v>
      </c>
      <c r="T402" s="4">
        <v>110</v>
      </c>
      <c r="U402" s="4">
        <v>89</v>
      </c>
      <c r="V402" s="4">
        <v>24.31</v>
      </c>
      <c r="W402" s="4">
        <v>51.27</v>
      </c>
      <c r="X402" s="4">
        <v>222.31</v>
      </c>
      <c r="Y402" s="4">
        <v>27.784764762164471</v>
      </c>
      <c r="Z402" s="4">
        <v>68.100184485116927</v>
      </c>
      <c r="AA402" s="4">
        <v>235.31351552243123</v>
      </c>
      <c r="AB402" s="4">
        <v>86300.5</v>
      </c>
      <c r="AC402" s="4">
        <v>46135.412040000003</v>
      </c>
      <c r="AD402" s="4">
        <v>200046.09812000001</v>
      </c>
      <c r="AE402" s="4">
        <v>98635.91490568388</v>
      </c>
      <c r="AF402" s="4">
        <v>61280.087209301433</v>
      </c>
      <c r="AG402" s="4">
        <v>211747.33756989078</v>
      </c>
    </row>
    <row r="403" spans="1:33" ht="11.25" customHeight="1" x14ac:dyDescent="0.25">
      <c r="A403" s="3" t="s">
        <v>27</v>
      </c>
      <c r="B403" s="3" t="s">
        <v>41</v>
      </c>
      <c r="C403" s="3" t="s">
        <v>40</v>
      </c>
      <c r="D403" s="3" t="s">
        <v>46</v>
      </c>
      <c r="E403" s="3" t="s">
        <v>25</v>
      </c>
      <c r="F403" s="3" t="s">
        <v>25</v>
      </c>
      <c r="G403" s="3" t="s">
        <v>25</v>
      </c>
      <c r="H403" s="3" t="s">
        <v>35</v>
      </c>
      <c r="I403" s="6">
        <v>44378</v>
      </c>
      <c r="J403" s="4">
        <v>-220</v>
      </c>
      <c r="K403" s="4">
        <v>-220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3" t="s">
        <v>26</v>
      </c>
      <c r="R403" s="3">
        <v>0</v>
      </c>
      <c r="S403" s="4">
        <v>12</v>
      </c>
      <c r="T403" s="4">
        <v>0</v>
      </c>
      <c r="U403" s="4">
        <v>0</v>
      </c>
      <c r="V403" s="4">
        <v>24.31</v>
      </c>
      <c r="W403" s="4">
        <v>0</v>
      </c>
      <c r="X403" s="4">
        <v>0</v>
      </c>
      <c r="Y403" s="4">
        <v>27.784764762164471</v>
      </c>
      <c r="Z403" s="4">
        <v>68.100184485116927</v>
      </c>
      <c r="AA403" s="4">
        <v>235.31351552243123</v>
      </c>
      <c r="AB403" s="4">
        <v>-5348.2</v>
      </c>
      <c r="AC403" s="4">
        <v>0</v>
      </c>
      <c r="AD403" s="4">
        <v>0</v>
      </c>
      <c r="AE403" s="4">
        <v>-6112.6482476761839</v>
      </c>
      <c r="AF403" s="4">
        <v>0</v>
      </c>
      <c r="AG403" s="4">
        <v>0</v>
      </c>
    </row>
    <row r="404" spans="1:33" ht="11.25" customHeight="1" x14ac:dyDescent="0.25">
      <c r="A404" s="3" t="s">
        <v>21</v>
      </c>
      <c r="B404" s="3" t="s">
        <v>41</v>
      </c>
      <c r="C404" s="3" t="s">
        <v>40</v>
      </c>
      <c r="D404" s="3" t="s">
        <v>46</v>
      </c>
      <c r="E404" s="3" t="s">
        <v>25</v>
      </c>
      <c r="F404" s="3" t="s">
        <v>25</v>
      </c>
      <c r="G404" s="3" t="s">
        <v>25</v>
      </c>
      <c r="H404" s="3" t="s">
        <v>35</v>
      </c>
      <c r="I404" s="6">
        <v>44409</v>
      </c>
      <c r="J404" s="4">
        <v>3545</v>
      </c>
      <c r="K404" s="4">
        <v>3545</v>
      </c>
      <c r="L404" s="4">
        <v>920.48500000000001</v>
      </c>
      <c r="M404" s="4">
        <v>920.48500000000001</v>
      </c>
      <c r="N404" s="4">
        <v>920.48500000000001</v>
      </c>
      <c r="O404" s="4">
        <v>920.48500000000001</v>
      </c>
      <c r="P404" s="4">
        <v>0</v>
      </c>
      <c r="Q404" s="3" t="s">
        <v>26</v>
      </c>
      <c r="R404" s="3">
        <v>0</v>
      </c>
      <c r="S404" s="4">
        <v>12</v>
      </c>
      <c r="T404" s="4">
        <v>110</v>
      </c>
      <c r="U404" s="4">
        <v>89</v>
      </c>
      <c r="V404" s="4">
        <v>24.31</v>
      </c>
      <c r="W404" s="4">
        <v>51.27</v>
      </c>
      <c r="X404" s="4">
        <v>222.31</v>
      </c>
      <c r="Y404" s="4">
        <v>27.784764762164471</v>
      </c>
      <c r="Z404" s="4">
        <v>68.100184485116927</v>
      </c>
      <c r="AA404" s="4">
        <v>235.31351552243123</v>
      </c>
      <c r="AB404" s="4">
        <v>86178.95</v>
      </c>
      <c r="AC404" s="4">
        <v>47193.265950000001</v>
      </c>
      <c r="AD404" s="4">
        <v>204633.02035000001</v>
      </c>
      <c r="AE404" s="4">
        <v>98496.991081873057</v>
      </c>
      <c r="AF404" s="4">
        <v>62685.198315782858</v>
      </c>
      <c r="AG404" s="4">
        <v>216602.56133566512</v>
      </c>
    </row>
    <row r="405" spans="1:33" ht="11.25" customHeight="1" x14ac:dyDescent="0.25">
      <c r="A405" s="3" t="s">
        <v>21</v>
      </c>
      <c r="B405" s="3" t="s">
        <v>41</v>
      </c>
      <c r="C405" s="3" t="s">
        <v>40</v>
      </c>
      <c r="D405" s="3" t="s">
        <v>46</v>
      </c>
      <c r="E405" s="3" t="s">
        <v>25</v>
      </c>
      <c r="F405" s="3" t="s">
        <v>25</v>
      </c>
      <c r="G405" s="3" t="s">
        <v>25</v>
      </c>
      <c r="H405" s="3" t="s">
        <v>35</v>
      </c>
      <c r="I405" s="6">
        <v>44440</v>
      </c>
      <c r="J405" s="4">
        <v>3870</v>
      </c>
      <c r="K405" s="4">
        <v>3870</v>
      </c>
      <c r="L405" s="4">
        <v>1019.596</v>
      </c>
      <c r="M405" s="4">
        <v>1019.596</v>
      </c>
      <c r="N405" s="4">
        <v>1019.596</v>
      </c>
      <c r="O405" s="4">
        <v>1019.596</v>
      </c>
      <c r="P405" s="4">
        <v>0</v>
      </c>
      <c r="Q405" s="3" t="s">
        <v>26</v>
      </c>
      <c r="R405" s="3">
        <v>0</v>
      </c>
      <c r="S405" s="4">
        <v>12</v>
      </c>
      <c r="T405" s="4">
        <v>110</v>
      </c>
      <c r="U405" s="4">
        <v>89</v>
      </c>
      <c r="V405" s="4">
        <v>24.31</v>
      </c>
      <c r="W405" s="4">
        <v>51.27</v>
      </c>
      <c r="X405" s="4">
        <v>222.31</v>
      </c>
      <c r="Y405" s="4">
        <v>27.784764762164471</v>
      </c>
      <c r="Z405" s="4">
        <v>68.100184485116927</v>
      </c>
      <c r="AA405" s="4">
        <v>235.31351552243123</v>
      </c>
      <c r="AB405" s="4">
        <v>94079.7</v>
      </c>
      <c r="AC405" s="4">
        <v>52274.68692</v>
      </c>
      <c r="AD405" s="4">
        <v>226666.38675999999</v>
      </c>
      <c r="AE405" s="4">
        <v>107527.03962957651</v>
      </c>
      <c r="AF405" s="4">
        <v>69434.675700287276</v>
      </c>
      <c r="AG405" s="4">
        <v>239924.71917260881</v>
      </c>
    </row>
    <row r="406" spans="1:33" ht="11.25" customHeight="1" x14ac:dyDescent="0.25">
      <c r="A406" s="3" t="s">
        <v>21</v>
      </c>
      <c r="B406" s="3" t="s">
        <v>41</v>
      </c>
      <c r="C406" s="3" t="s">
        <v>40</v>
      </c>
      <c r="D406" s="3" t="s">
        <v>46</v>
      </c>
      <c r="E406" s="3" t="s">
        <v>25</v>
      </c>
      <c r="F406" s="3" t="s">
        <v>25</v>
      </c>
      <c r="G406" s="3" t="s">
        <v>25</v>
      </c>
      <c r="H406" s="3" t="s">
        <v>35</v>
      </c>
      <c r="I406" s="6">
        <v>44470</v>
      </c>
      <c r="J406" s="4">
        <v>4058</v>
      </c>
      <c r="K406" s="4">
        <v>4058</v>
      </c>
      <c r="L406" s="4">
        <v>1179.6420000000001</v>
      </c>
      <c r="M406" s="4">
        <v>1179.6420000000001</v>
      </c>
      <c r="N406" s="4">
        <v>1179.6420000000001</v>
      </c>
      <c r="O406" s="4">
        <v>1179.6420000000001</v>
      </c>
      <c r="P406" s="4">
        <v>0</v>
      </c>
      <c r="Q406" s="3" t="s">
        <v>26</v>
      </c>
      <c r="R406" s="3">
        <v>0</v>
      </c>
      <c r="S406" s="4">
        <v>12</v>
      </c>
      <c r="T406" s="4">
        <v>110</v>
      </c>
      <c r="U406" s="4">
        <v>89</v>
      </c>
      <c r="V406" s="4">
        <v>24.31</v>
      </c>
      <c r="W406" s="4">
        <v>51.27</v>
      </c>
      <c r="X406" s="4">
        <v>222.31</v>
      </c>
      <c r="Y406" s="4">
        <v>27.784764762164471</v>
      </c>
      <c r="Z406" s="4">
        <v>68.100184485116927</v>
      </c>
      <c r="AA406" s="4">
        <v>235.31351552243123</v>
      </c>
      <c r="AB406" s="4">
        <v>98649.98</v>
      </c>
      <c r="AC406" s="4">
        <v>60480.245340000009</v>
      </c>
      <c r="AD406" s="4">
        <v>262246.21302000002</v>
      </c>
      <c r="AE406" s="4">
        <v>112750.57540486343</v>
      </c>
      <c r="AF406" s="4">
        <v>80333.837826392308</v>
      </c>
      <c r="AG406" s="4">
        <v>277585.70607791183</v>
      </c>
    </row>
    <row r="407" spans="1:33" ht="11.25" customHeight="1" x14ac:dyDescent="0.25">
      <c r="A407" s="3" t="s">
        <v>21</v>
      </c>
      <c r="B407" s="3" t="s">
        <v>41</v>
      </c>
      <c r="C407" s="3" t="s">
        <v>40</v>
      </c>
      <c r="D407" s="3" t="s">
        <v>46</v>
      </c>
      <c r="E407" s="3" t="s">
        <v>25</v>
      </c>
      <c r="F407" s="3" t="s">
        <v>25</v>
      </c>
      <c r="G407" s="3" t="s">
        <v>25</v>
      </c>
      <c r="H407" s="3" t="s">
        <v>35</v>
      </c>
      <c r="I407" s="6">
        <v>44501</v>
      </c>
      <c r="J407" s="4">
        <v>4120</v>
      </c>
      <c r="K407" s="4">
        <v>4120</v>
      </c>
      <c r="L407" s="4">
        <v>1184.915</v>
      </c>
      <c r="M407" s="4">
        <v>1184.915</v>
      </c>
      <c r="N407" s="4">
        <v>1184.915</v>
      </c>
      <c r="O407" s="4">
        <v>1184.915</v>
      </c>
      <c r="P407" s="4">
        <v>0</v>
      </c>
      <c r="Q407" s="3" t="s">
        <v>26</v>
      </c>
      <c r="R407" s="3">
        <v>0</v>
      </c>
      <c r="S407" s="4">
        <v>12</v>
      </c>
      <c r="T407" s="4">
        <v>110</v>
      </c>
      <c r="U407" s="4">
        <v>89</v>
      </c>
      <c r="V407" s="4">
        <v>24.31</v>
      </c>
      <c r="W407" s="4">
        <v>51.27</v>
      </c>
      <c r="X407" s="4">
        <v>222.31</v>
      </c>
      <c r="Y407" s="4">
        <v>27.784764762164471</v>
      </c>
      <c r="Z407" s="4">
        <v>68.100184485116927</v>
      </c>
      <c r="AA407" s="4">
        <v>235.31351552243123</v>
      </c>
      <c r="AB407" s="4">
        <v>100157.2</v>
      </c>
      <c r="AC407" s="4">
        <v>60750.592049999999</v>
      </c>
      <c r="AD407" s="4">
        <v>263418.45364999998</v>
      </c>
      <c r="AE407" s="4">
        <v>114473.23082011762</v>
      </c>
      <c r="AF407" s="4">
        <v>80692.930099182326</v>
      </c>
      <c r="AG407" s="4">
        <v>278826.51424526161</v>
      </c>
    </row>
    <row r="408" spans="1:33" ht="11.25" customHeight="1" x14ac:dyDescent="0.25">
      <c r="A408" s="3" t="s">
        <v>21</v>
      </c>
      <c r="B408" s="3" t="s">
        <v>41</v>
      </c>
      <c r="C408" s="3" t="s">
        <v>40</v>
      </c>
      <c r="D408" s="3" t="s">
        <v>46</v>
      </c>
      <c r="E408" s="3" t="s">
        <v>25</v>
      </c>
      <c r="F408" s="3" t="s">
        <v>25</v>
      </c>
      <c r="G408" s="3" t="s">
        <v>25</v>
      </c>
      <c r="H408" s="3" t="s">
        <v>35</v>
      </c>
      <c r="I408" s="6">
        <v>44531</v>
      </c>
      <c r="J408" s="4">
        <v>4136</v>
      </c>
      <c r="K408" s="4">
        <v>4136</v>
      </c>
      <c r="L408" s="4">
        <v>1212.8989999999999</v>
      </c>
      <c r="M408" s="4">
        <v>1212.8989999999999</v>
      </c>
      <c r="N408" s="4">
        <v>1212.8989999999999</v>
      </c>
      <c r="O408" s="4">
        <v>1212.8989999999999</v>
      </c>
      <c r="P408" s="4">
        <v>0</v>
      </c>
      <c r="Q408" s="3" t="s">
        <v>26</v>
      </c>
      <c r="R408" s="3">
        <v>0</v>
      </c>
      <c r="S408" s="4">
        <v>12</v>
      </c>
      <c r="T408" s="4">
        <v>110</v>
      </c>
      <c r="U408" s="4">
        <v>89</v>
      </c>
      <c r="V408" s="4">
        <v>24.31</v>
      </c>
      <c r="W408" s="4">
        <v>51.27</v>
      </c>
      <c r="X408" s="4">
        <v>222.31</v>
      </c>
      <c r="Y408" s="4">
        <v>27.784764762164471</v>
      </c>
      <c r="Z408" s="4">
        <v>68.100184485116927</v>
      </c>
      <c r="AA408" s="4">
        <v>235.31351552243123</v>
      </c>
      <c r="AB408" s="4">
        <v>100546.15999999999</v>
      </c>
      <c r="AC408" s="4">
        <v>62185.331729999998</v>
      </c>
      <c r="AD408" s="4">
        <v>269639.57668999996</v>
      </c>
      <c r="AE408" s="4">
        <v>114917.78705631226</v>
      </c>
      <c r="AF408" s="4">
        <v>82598.645661813833</v>
      </c>
      <c r="AG408" s="4">
        <v>285411.52766364132</v>
      </c>
    </row>
    <row r="409" spans="1:33" ht="11.25" customHeight="1" x14ac:dyDescent="0.25">
      <c r="A409" s="3" t="s">
        <v>21</v>
      </c>
      <c r="B409" s="3" t="s">
        <v>41</v>
      </c>
      <c r="C409" s="3" t="s">
        <v>40</v>
      </c>
      <c r="D409" s="3" t="s">
        <v>46</v>
      </c>
      <c r="E409" s="3" t="s">
        <v>25</v>
      </c>
      <c r="F409" s="3" t="s">
        <v>25</v>
      </c>
      <c r="G409" s="3" t="s">
        <v>25</v>
      </c>
      <c r="H409" s="3" t="s">
        <v>35</v>
      </c>
      <c r="I409" s="6">
        <v>44562</v>
      </c>
      <c r="J409" s="4">
        <v>7266</v>
      </c>
      <c r="K409" s="4">
        <v>7266</v>
      </c>
      <c r="L409" s="4">
        <v>1910.9829999999999</v>
      </c>
      <c r="M409" s="4">
        <v>1910.9829999999999</v>
      </c>
      <c r="N409" s="4">
        <v>1910.9829999999999</v>
      </c>
      <c r="O409" s="4">
        <v>1910.9829999999999</v>
      </c>
      <c r="P409" s="4">
        <v>0</v>
      </c>
      <c r="Q409" s="3" t="s">
        <v>26</v>
      </c>
      <c r="R409" s="3">
        <v>0</v>
      </c>
      <c r="S409" s="4">
        <v>12</v>
      </c>
      <c r="T409" s="4">
        <v>110</v>
      </c>
      <c r="U409" s="4">
        <v>89</v>
      </c>
      <c r="V409" s="4">
        <v>24.31</v>
      </c>
      <c r="W409" s="4">
        <v>51.27</v>
      </c>
      <c r="X409" s="4">
        <v>222.31</v>
      </c>
      <c r="Y409" s="4">
        <v>27.784764762164471</v>
      </c>
      <c r="Z409" s="4">
        <v>68.100184485116927</v>
      </c>
      <c r="AA409" s="4">
        <v>235.31351552243123</v>
      </c>
      <c r="AB409" s="4">
        <v>176636.46</v>
      </c>
      <c r="AC409" s="4">
        <v>97976.098410000006</v>
      </c>
      <c r="AD409" s="4">
        <v>424830.63072999998</v>
      </c>
      <c r="AE409" s="4">
        <v>201884.10076188704</v>
      </c>
      <c r="AF409" s="4">
        <v>130138.2948479222</v>
      </c>
      <c r="AG409" s="4">
        <v>449680.12783360219</v>
      </c>
    </row>
    <row r="410" spans="1:33" ht="11.25" customHeight="1" x14ac:dyDescent="0.25">
      <c r="A410" s="3" t="s">
        <v>21</v>
      </c>
      <c r="B410" s="3" t="s">
        <v>41</v>
      </c>
      <c r="C410" s="3" t="s">
        <v>40</v>
      </c>
      <c r="D410" s="3" t="s">
        <v>46</v>
      </c>
      <c r="E410" s="3" t="s">
        <v>25</v>
      </c>
      <c r="F410" s="3" t="s">
        <v>25</v>
      </c>
      <c r="G410" s="3" t="s">
        <v>25</v>
      </c>
      <c r="H410" s="3" t="s">
        <v>35</v>
      </c>
      <c r="I410" s="6">
        <v>44593</v>
      </c>
      <c r="J410" s="4">
        <v>6780</v>
      </c>
      <c r="K410" s="4">
        <v>6780</v>
      </c>
      <c r="L410" s="4">
        <v>1810.422</v>
      </c>
      <c r="M410" s="4">
        <v>1810.422</v>
      </c>
      <c r="N410" s="4">
        <v>1810.422</v>
      </c>
      <c r="O410" s="4">
        <v>1810.422</v>
      </c>
      <c r="P410" s="4">
        <v>0</v>
      </c>
      <c r="Q410" s="3" t="s">
        <v>26</v>
      </c>
      <c r="R410" s="3">
        <v>0</v>
      </c>
      <c r="S410" s="4">
        <v>12</v>
      </c>
      <c r="T410" s="4">
        <v>110</v>
      </c>
      <c r="U410" s="4">
        <v>89</v>
      </c>
      <c r="V410" s="4">
        <v>24.31</v>
      </c>
      <c r="W410" s="4">
        <v>51.27</v>
      </c>
      <c r="X410" s="4">
        <v>222.31</v>
      </c>
      <c r="Y410" s="4">
        <v>27.784764762164471</v>
      </c>
      <c r="Z410" s="4">
        <v>68.100184485116927</v>
      </c>
      <c r="AA410" s="4">
        <v>235.31351552243123</v>
      </c>
      <c r="AB410" s="4">
        <v>164821.79999999999</v>
      </c>
      <c r="AC410" s="4">
        <v>92820.335940000004</v>
      </c>
      <c r="AD410" s="4">
        <v>402474.91482000001</v>
      </c>
      <c r="AE410" s="4">
        <v>188380.7050874751</v>
      </c>
      <c r="AF410" s="4">
        <v>123290.07219591436</v>
      </c>
      <c r="AG410" s="4">
        <v>426016.76539915102</v>
      </c>
    </row>
    <row r="411" spans="1:33" ht="11.25" customHeight="1" x14ac:dyDescent="0.25">
      <c r="A411" s="3" t="s">
        <v>27</v>
      </c>
      <c r="B411" s="3" t="s">
        <v>41</v>
      </c>
      <c r="C411" s="3" t="s">
        <v>40</v>
      </c>
      <c r="D411" s="3" t="s">
        <v>46</v>
      </c>
      <c r="E411" s="3" t="s">
        <v>25</v>
      </c>
      <c r="F411" s="3" t="s">
        <v>25</v>
      </c>
      <c r="G411" s="3" t="s">
        <v>25</v>
      </c>
      <c r="H411" s="3" t="s">
        <v>35</v>
      </c>
      <c r="I411" s="6">
        <v>44593</v>
      </c>
      <c r="J411" s="4">
        <v>-322</v>
      </c>
      <c r="K411" s="4">
        <v>-322</v>
      </c>
      <c r="L411" s="4">
        <v>-95.385000000000005</v>
      </c>
      <c r="M411" s="4">
        <v>-95.385000000000005</v>
      </c>
      <c r="N411" s="4">
        <v>-95.385000000000005</v>
      </c>
      <c r="O411" s="4">
        <v>-95.385000000000005</v>
      </c>
      <c r="P411" s="4">
        <v>0</v>
      </c>
      <c r="Q411" s="3" t="s">
        <v>26</v>
      </c>
      <c r="R411" s="3">
        <v>0</v>
      </c>
      <c r="S411" s="4">
        <v>12</v>
      </c>
      <c r="T411" s="4">
        <v>110</v>
      </c>
      <c r="U411" s="4">
        <v>89</v>
      </c>
      <c r="V411" s="4">
        <v>24.31</v>
      </c>
      <c r="W411" s="4">
        <v>51.27</v>
      </c>
      <c r="X411" s="4">
        <v>222.31</v>
      </c>
      <c r="Y411" s="4">
        <v>27.784764762164471</v>
      </c>
      <c r="Z411" s="4">
        <v>68.100184485116927</v>
      </c>
      <c r="AA411" s="4">
        <v>235.31351552243123</v>
      </c>
      <c r="AB411" s="4">
        <v>-7827.82</v>
      </c>
      <c r="AC411" s="4">
        <v>-4890.3889500000005</v>
      </c>
      <c r="AD411" s="4">
        <v>-21205.039350000003</v>
      </c>
      <c r="AE411" s="4">
        <v>-8946.6942534169593</v>
      </c>
      <c r="AF411" s="4">
        <v>-6495.7360971128783</v>
      </c>
      <c r="AG411" s="4">
        <v>-22445.379678107103</v>
      </c>
    </row>
    <row r="412" spans="1:33" ht="11.25" customHeight="1" x14ac:dyDescent="0.25">
      <c r="A412" s="3" t="s">
        <v>56</v>
      </c>
      <c r="B412" s="3" t="s">
        <v>41</v>
      </c>
      <c r="C412" s="3" t="s">
        <v>40</v>
      </c>
      <c r="D412" s="3" t="s">
        <v>46</v>
      </c>
      <c r="E412" s="3" t="s">
        <v>25</v>
      </c>
      <c r="F412" s="3" t="s">
        <v>25</v>
      </c>
      <c r="G412" s="3" t="s">
        <v>25</v>
      </c>
      <c r="H412" s="3" t="s">
        <v>35</v>
      </c>
      <c r="I412" s="6">
        <v>44621</v>
      </c>
      <c r="J412" s="4">
        <v>6780</v>
      </c>
      <c r="K412" s="4">
        <v>6780</v>
      </c>
      <c r="L412" s="4">
        <v>1810.422</v>
      </c>
      <c r="M412" s="4">
        <v>1810.422</v>
      </c>
      <c r="N412" s="4">
        <v>1810.422</v>
      </c>
      <c r="O412" s="4">
        <v>1810.422</v>
      </c>
      <c r="P412" s="4">
        <v>0</v>
      </c>
      <c r="Q412" s="3" t="s">
        <v>26</v>
      </c>
      <c r="R412" s="3">
        <v>0</v>
      </c>
      <c r="S412" s="4">
        <v>12</v>
      </c>
      <c r="T412" s="4">
        <v>110</v>
      </c>
      <c r="U412" s="4">
        <v>89</v>
      </c>
      <c r="V412" s="4">
        <v>24.31</v>
      </c>
      <c r="W412" s="4">
        <v>51.27</v>
      </c>
      <c r="X412" s="4">
        <v>222.31</v>
      </c>
      <c r="Y412" s="4">
        <v>27.784764762164471</v>
      </c>
      <c r="Z412" s="4">
        <v>68.100184485116927</v>
      </c>
      <c r="AA412" s="4">
        <v>235.31351552243123</v>
      </c>
      <c r="AB412" s="4">
        <v>164821.79999999999</v>
      </c>
      <c r="AC412" s="4">
        <v>92820.335940000004</v>
      </c>
      <c r="AD412" s="4">
        <v>402474.91482000001</v>
      </c>
      <c r="AE412" s="4">
        <v>188380.7050874751</v>
      </c>
      <c r="AF412" s="4">
        <v>123290.07219591436</v>
      </c>
      <c r="AG412" s="4">
        <v>426016.76539915102</v>
      </c>
    </row>
    <row r="413" spans="1:33" ht="11.25" customHeight="1" x14ac:dyDescent="0.25">
      <c r="A413" s="3" t="s">
        <v>56</v>
      </c>
      <c r="B413" s="3" t="s">
        <v>41</v>
      </c>
      <c r="C413" s="3" t="s">
        <v>40</v>
      </c>
      <c r="D413" s="3" t="s">
        <v>46</v>
      </c>
      <c r="E413" s="3" t="s">
        <v>25</v>
      </c>
      <c r="F413" s="3" t="s">
        <v>25</v>
      </c>
      <c r="G413" s="3" t="s">
        <v>25</v>
      </c>
      <c r="H413" s="3" t="s">
        <v>35</v>
      </c>
      <c r="I413" s="6">
        <v>44621</v>
      </c>
      <c r="J413" s="4">
        <v>-322</v>
      </c>
      <c r="K413" s="4">
        <v>-322</v>
      </c>
      <c r="L413" s="4">
        <v>-95.385000000000005</v>
      </c>
      <c r="M413" s="4">
        <v>-95.385000000000005</v>
      </c>
      <c r="N413" s="4">
        <v>-95.385000000000005</v>
      </c>
      <c r="O413" s="4">
        <v>-95.385000000000005</v>
      </c>
      <c r="P413" s="4">
        <v>0</v>
      </c>
      <c r="Q413" s="3" t="s">
        <v>26</v>
      </c>
      <c r="R413" s="3">
        <v>0</v>
      </c>
      <c r="S413" s="4">
        <v>12</v>
      </c>
      <c r="T413" s="4">
        <v>110</v>
      </c>
      <c r="U413" s="4">
        <v>89</v>
      </c>
      <c r="V413" s="4">
        <v>24.31</v>
      </c>
      <c r="W413" s="4">
        <v>51.27</v>
      </c>
      <c r="X413" s="4">
        <v>222.31</v>
      </c>
      <c r="Y413" s="4">
        <v>27.784764762164471</v>
      </c>
      <c r="Z413" s="4">
        <v>68.100184485116927</v>
      </c>
      <c r="AA413" s="4">
        <v>235.31351552243123</v>
      </c>
      <c r="AB413" s="4">
        <v>-7827.82</v>
      </c>
      <c r="AC413" s="4">
        <v>-4890.3889500000005</v>
      </c>
      <c r="AD413" s="4">
        <v>-21205.039350000003</v>
      </c>
      <c r="AE413" s="4">
        <v>-8946.6942534169593</v>
      </c>
      <c r="AF413" s="4">
        <v>-6495.7360971128783</v>
      </c>
      <c r="AG413" s="4">
        <v>-22445.379678107103</v>
      </c>
    </row>
    <row r="414" spans="1:33" ht="11.25" customHeight="1" x14ac:dyDescent="0.25">
      <c r="A414" s="3" t="s">
        <v>21</v>
      </c>
      <c r="B414" s="3" t="s">
        <v>41</v>
      </c>
      <c r="C414" s="3" t="s">
        <v>40</v>
      </c>
      <c r="D414" s="3" t="s">
        <v>46</v>
      </c>
      <c r="E414" s="3" t="s">
        <v>25</v>
      </c>
      <c r="F414" s="3" t="s">
        <v>25</v>
      </c>
      <c r="G414" s="3" t="s">
        <v>25</v>
      </c>
      <c r="H414" s="3" t="s">
        <v>34</v>
      </c>
      <c r="I414" s="6">
        <v>44287</v>
      </c>
      <c r="J414" s="4">
        <v>2758</v>
      </c>
      <c r="K414" s="4">
        <v>2758</v>
      </c>
      <c r="L414" s="4">
        <v>104.32899999999999</v>
      </c>
      <c r="M414" s="4">
        <v>104.32899999999999</v>
      </c>
      <c r="N414" s="4">
        <v>104.32899999999999</v>
      </c>
      <c r="O414" s="4">
        <v>104.32899999999999</v>
      </c>
      <c r="P414" s="4">
        <v>0</v>
      </c>
      <c r="Q414" s="3" t="s">
        <v>26</v>
      </c>
      <c r="R414" s="3">
        <v>0</v>
      </c>
      <c r="S414" s="4">
        <v>11</v>
      </c>
      <c r="T414" s="4">
        <v>110</v>
      </c>
      <c r="U414" s="4">
        <v>88</v>
      </c>
      <c r="V414" s="4">
        <v>62.23</v>
      </c>
      <c r="W414" s="4">
        <v>51.27</v>
      </c>
      <c r="X414" s="4">
        <v>365.5</v>
      </c>
      <c r="Y414" s="4">
        <v>76.426580837075718</v>
      </c>
      <c r="Z414" s="4">
        <v>68.100184485116927</v>
      </c>
      <c r="AA414" s="4">
        <v>381.42546590200942</v>
      </c>
      <c r="AB414" s="4">
        <v>171630.34</v>
      </c>
      <c r="AC414" s="4">
        <v>5348.9478300000001</v>
      </c>
      <c r="AD414" s="4">
        <v>38132.249499999998</v>
      </c>
      <c r="AE414" s="4">
        <v>210784.50994865483</v>
      </c>
      <c r="AF414" s="4">
        <v>7104.8241471477631</v>
      </c>
      <c r="AG414" s="4">
        <v>39793.73743209074</v>
      </c>
    </row>
    <row r="415" spans="1:33" ht="11.25" customHeight="1" x14ac:dyDescent="0.25">
      <c r="A415" s="3" t="s">
        <v>21</v>
      </c>
      <c r="B415" s="3" t="s">
        <v>41</v>
      </c>
      <c r="C415" s="3" t="s">
        <v>40</v>
      </c>
      <c r="D415" s="3" t="s">
        <v>46</v>
      </c>
      <c r="E415" s="3" t="s">
        <v>25</v>
      </c>
      <c r="F415" s="3" t="s">
        <v>25</v>
      </c>
      <c r="G415" s="3" t="s">
        <v>25</v>
      </c>
      <c r="H415" s="3" t="s">
        <v>34</v>
      </c>
      <c r="I415" s="6">
        <v>44317</v>
      </c>
      <c r="J415" s="4">
        <v>2690</v>
      </c>
      <c r="K415" s="4">
        <v>2690</v>
      </c>
      <c r="L415" s="4">
        <v>98.05</v>
      </c>
      <c r="M415" s="4">
        <v>98.05</v>
      </c>
      <c r="N415" s="4">
        <v>98.05</v>
      </c>
      <c r="O415" s="4">
        <v>98.05</v>
      </c>
      <c r="P415" s="4">
        <v>0</v>
      </c>
      <c r="Q415" s="3" t="s">
        <v>26</v>
      </c>
      <c r="R415" s="3">
        <v>0</v>
      </c>
      <c r="S415" s="4">
        <v>11</v>
      </c>
      <c r="T415" s="4">
        <v>110</v>
      </c>
      <c r="U415" s="4">
        <v>88</v>
      </c>
      <c r="V415" s="4">
        <v>62.23</v>
      </c>
      <c r="W415" s="4">
        <v>51.27</v>
      </c>
      <c r="X415" s="4">
        <v>365.5</v>
      </c>
      <c r="Y415" s="4">
        <v>76.426580837075718</v>
      </c>
      <c r="Z415" s="4">
        <v>68.100184485116927</v>
      </c>
      <c r="AA415" s="4">
        <v>381.42546590200942</v>
      </c>
      <c r="AB415" s="4">
        <v>167398.69999999998</v>
      </c>
      <c r="AC415" s="4">
        <v>5027.0235000000002</v>
      </c>
      <c r="AD415" s="4">
        <v>35837.275000000001</v>
      </c>
      <c r="AE415" s="4">
        <v>205587.50245173369</v>
      </c>
      <c r="AF415" s="4">
        <v>6677.2230887657142</v>
      </c>
      <c r="AG415" s="4">
        <v>37398.766931692022</v>
      </c>
    </row>
    <row r="416" spans="1:33" ht="11.25" customHeight="1" x14ac:dyDescent="0.25">
      <c r="A416" s="3" t="s">
        <v>21</v>
      </c>
      <c r="B416" s="3" t="s">
        <v>41</v>
      </c>
      <c r="C416" s="3" t="s">
        <v>40</v>
      </c>
      <c r="D416" s="3" t="s">
        <v>46</v>
      </c>
      <c r="E416" s="3" t="s">
        <v>25</v>
      </c>
      <c r="F416" s="3" t="s">
        <v>25</v>
      </c>
      <c r="G416" s="3" t="s">
        <v>25</v>
      </c>
      <c r="H416" s="3" t="s">
        <v>34</v>
      </c>
      <c r="I416" s="6">
        <v>44348</v>
      </c>
      <c r="J416" s="4">
        <v>2816</v>
      </c>
      <c r="K416" s="4">
        <v>2816</v>
      </c>
      <c r="L416" s="4">
        <v>92.218000000000004</v>
      </c>
      <c r="M416" s="4">
        <v>92.218000000000004</v>
      </c>
      <c r="N416" s="4">
        <v>92.218000000000004</v>
      </c>
      <c r="O416" s="4">
        <v>92.218000000000004</v>
      </c>
      <c r="P416" s="4">
        <v>0</v>
      </c>
      <c r="Q416" s="3" t="s">
        <v>26</v>
      </c>
      <c r="R416" s="3">
        <v>0</v>
      </c>
      <c r="S416" s="4">
        <v>11</v>
      </c>
      <c r="T416" s="4">
        <v>110</v>
      </c>
      <c r="U416" s="4">
        <v>88</v>
      </c>
      <c r="V416" s="4">
        <v>62.23</v>
      </c>
      <c r="W416" s="4">
        <v>51.27</v>
      </c>
      <c r="X416" s="4">
        <v>365.5</v>
      </c>
      <c r="Y416" s="4">
        <v>76.426580837075718</v>
      </c>
      <c r="Z416" s="4">
        <v>68.100184485116927</v>
      </c>
      <c r="AA416" s="4">
        <v>381.42546590200942</v>
      </c>
      <c r="AB416" s="4">
        <v>175239.67999999999</v>
      </c>
      <c r="AC416" s="4">
        <v>4728.0168600000006</v>
      </c>
      <c r="AD416" s="4">
        <v>33705.679000000004</v>
      </c>
      <c r="AE416" s="4">
        <v>215217.25163720522</v>
      </c>
      <c r="AF416" s="4">
        <v>6280.0628128485132</v>
      </c>
      <c r="AG416" s="4">
        <v>35174.293614551505</v>
      </c>
    </row>
    <row r="417" spans="1:33" ht="11.25" customHeight="1" x14ac:dyDescent="0.25">
      <c r="A417" s="3" t="s">
        <v>21</v>
      </c>
      <c r="B417" s="3" t="s">
        <v>41</v>
      </c>
      <c r="C417" s="3" t="s">
        <v>40</v>
      </c>
      <c r="D417" s="3" t="s">
        <v>46</v>
      </c>
      <c r="E417" s="3" t="s">
        <v>25</v>
      </c>
      <c r="F417" s="3" t="s">
        <v>25</v>
      </c>
      <c r="G417" s="3" t="s">
        <v>25</v>
      </c>
      <c r="H417" s="3" t="s">
        <v>34</v>
      </c>
      <c r="I417" s="6">
        <v>44378</v>
      </c>
      <c r="J417" s="4">
        <v>2613</v>
      </c>
      <c r="K417" s="4">
        <v>2613</v>
      </c>
      <c r="L417" s="4">
        <v>89.968999999999994</v>
      </c>
      <c r="M417" s="4">
        <v>89.968999999999994</v>
      </c>
      <c r="N417" s="4">
        <v>89.968999999999994</v>
      </c>
      <c r="O417" s="4">
        <v>89.968999999999994</v>
      </c>
      <c r="P417" s="4">
        <v>0</v>
      </c>
      <c r="Q417" s="3" t="s">
        <v>26</v>
      </c>
      <c r="R417" s="3">
        <v>0</v>
      </c>
      <c r="S417" s="4">
        <v>11</v>
      </c>
      <c r="T417" s="4">
        <v>110</v>
      </c>
      <c r="U417" s="4">
        <v>88</v>
      </c>
      <c r="V417" s="4">
        <v>62.23</v>
      </c>
      <c r="W417" s="4">
        <v>51.27</v>
      </c>
      <c r="X417" s="4">
        <v>365.5</v>
      </c>
      <c r="Y417" s="4">
        <v>76.426580837075718</v>
      </c>
      <c r="Z417" s="4">
        <v>68.100184485116927</v>
      </c>
      <c r="AA417" s="4">
        <v>381.42546590200942</v>
      </c>
      <c r="AB417" s="4">
        <v>162606.99</v>
      </c>
      <c r="AC417" s="4">
        <v>4612.7106299999996</v>
      </c>
      <c r="AD417" s="4">
        <v>32883.669499999996</v>
      </c>
      <c r="AE417" s="4">
        <v>199702.65572727885</v>
      </c>
      <c r="AF417" s="4">
        <v>6126.9054979414841</v>
      </c>
      <c r="AG417" s="4">
        <v>34316.467741737884</v>
      </c>
    </row>
    <row r="418" spans="1:33" ht="11.25" customHeight="1" x14ac:dyDescent="0.25">
      <c r="A418" s="3" t="s">
        <v>27</v>
      </c>
      <c r="B418" s="3" t="s">
        <v>41</v>
      </c>
      <c r="C418" s="3" t="s">
        <v>40</v>
      </c>
      <c r="D418" s="3" t="s">
        <v>46</v>
      </c>
      <c r="E418" s="3" t="s">
        <v>25</v>
      </c>
      <c r="F418" s="3" t="s">
        <v>25</v>
      </c>
      <c r="G418" s="3" t="s">
        <v>25</v>
      </c>
      <c r="H418" s="3" t="s">
        <v>34</v>
      </c>
      <c r="I418" s="6">
        <v>44378</v>
      </c>
      <c r="J418" s="4">
        <v>-150</v>
      </c>
      <c r="K418" s="4">
        <v>-150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3" t="s">
        <v>26</v>
      </c>
      <c r="R418" s="3">
        <v>0</v>
      </c>
      <c r="S418" s="4">
        <v>11</v>
      </c>
      <c r="T418" s="4">
        <v>0</v>
      </c>
      <c r="U418" s="4">
        <v>0</v>
      </c>
      <c r="V418" s="4">
        <v>62.23</v>
      </c>
      <c r="W418" s="4">
        <v>0</v>
      </c>
      <c r="X418" s="4">
        <v>0</v>
      </c>
      <c r="Y418" s="4">
        <v>76.426580837075718</v>
      </c>
      <c r="Z418" s="4">
        <v>68.100184485116927</v>
      </c>
      <c r="AA418" s="4">
        <v>381.42546590200942</v>
      </c>
      <c r="AB418" s="4">
        <v>-9334.5</v>
      </c>
      <c r="AC418" s="4">
        <v>0</v>
      </c>
      <c r="AD418" s="4">
        <v>0</v>
      </c>
      <c r="AE418" s="4">
        <v>-11463.987125561358</v>
      </c>
      <c r="AF418" s="4">
        <v>0</v>
      </c>
      <c r="AG418" s="4">
        <v>0</v>
      </c>
    </row>
    <row r="419" spans="1:33" ht="11.25" customHeight="1" x14ac:dyDescent="0.25">
      <c r="A419" s="3" t="s">
        <v>21</v>
      </c>
      <c r="B419" s="3" t="s">
        <v>41</v>
      </c>
      <c r="C419" s="3" t="s">
        <v>40</v>
      </c>
      <c r="D419" s="3" t="s">
        <v>46</v>
      </c>
      <c r="E419" s="3" t="s">
        <v>25</v>
      </c>
      <c r="F419" s="3" t="s">
        <v>25</v>
      </c>
      <c r="G419" s="3" t="s">
        <v>25</v>
      </c>
      <c r="H419" s="3" t="s">
        <v>34</v>
      </c>
      <c r="I419" s="6">
        <v>44409</v>
      </c>
      <c r="J419" s="4">
        <v>2589</v>
      </c>
      <c r="K419" s="4">
        <v>2589</v>
      </c>
      <c r="L419" s="4">
        <v>91.953999999999994</v>
      </c>
      <c r="M419" s="4">
        <v>91.953999999999994</v>
      </c>
      <c r="N419" s="4">
        <v>91.953999999999994</v>
      </c>
      <c r="O419" s="4">
        <v>91.953999999999994</v>
      </c>
      <c r="P419" s="4">
        <v>0</v>
      </c>
      <c r="Q419" s="3" t="s">
        <v>26</v>
      </c>
      <c r="R419" s="3">
        <v>0</v>
      </c>
      <c r="S419" s="4">
        <v>11</v>
      </c>
      <c r="T419" s="4">
        <v>110</v>
      </c>
      <c r="U419" s="4">
        <v>88</v>
      </c>
      <c r="V419" s="4">
        <v>62.23</v>
      </c>
      <c r="W419" s="4">
        <v>51.27</v>
      </c>
      <c r="X419" s="4">
        <v>365.5</v>
      </c>
      <c r="Y419" s="4">
        <v>76.426580837075718</v>
      </c>
      <c r="Z419" s="4">
        <v>68.100184485116927</v>
      </c>
      <c r="AA419" s="4">
        <v>381.42546590200942</v>
      </c>
      <c r="AB419" s="4">
        <v>161113.47</v>
      </c>
      <c r="AC419" s="4">
        <v>4714.4815799999997</v>
      </c>
      <c r="AD419" s="4">
        <v>33609.186999999998</v>
      </c>
      <c r="AE419" s="4">
        <v>197868.41778718904</v>
      </c>
      <c r="AF419" s="4">
        <v>6262.0843641444417</v>
      </c>
      <c r="AG419" s="4">
        <v>35073.597291553371</v>
      </c>
    </row>
    <row r="420" spans="1:33" ht="11.25" customHeight="1" x14ac:dyDescent="0.25">
      <c r="A420" s="3" t="s">
        <v>21</v>
      </c>
      <c r="B420" s="3" t="s">
        <v>41</v>
      </c>
      <c r="C420" s="3" t="s">
        <v>40</v>
      </c>
      <c r="D420" s="3" t="s">
        <v>46</v>
      </c>
      <c r="E420" s="3" t="s">
        <v>25</v>
      </c>
      <c r="F420" s="3" t="s">
        <v>25</v>
      </c>
      <c r="G420" s="3" t="s">
        <v>25</v>
      </c>
      <c r="H420" s="3" t="s">
        <v>34</v>
      </c>
      <c r="I420" s="6">
        <v>44440</v>
      </c>
      <c r="J420" s="4">
        <v>2870</v>
      </c>
      <c r="K420" s="4">
        <v>2870</v>
      </c>
      <c r="L420" s="4">
        <v>99.352999999999994</v>
      </c>
      <c r="M420" s="4">
        <v>99.352999999999994</v>
      </c>
      <c r="N420" s="4">
        <v>99.352999999999994</v>
      </c>
      <c r="O420" s="4">
        <v>99.352999999999994</v>
      </c>
      <c r="P420" s="4">
        <v>0</v>
      </c>
      <c r="Q420" s="3" t="s">
        <v>26</v>
      </c>
      <c r="R420" s="3">
        <v>0</v>
      </c>
      <c r="S420" s="4">
        <v>11</v>
      </c>
      <c r="T420" s="4">
        <v>110</v>
      </c>
      <c r="U420" s="4">
        <v>88</v>
      </c>
      <c r="V420" s="4">
        <v>62.23</v>
      </c>
      <c r="W420" s="4">
        <v>51.27</v>
      </c>
      <c r="X420" s="4">
        <v>365.5</v>
      </c>
      <c r="Y420" s="4">
        <v>76.426580837075718</v>
      </c>
      <c r="Z420" s="4">
        <v>68.100184485116927</v>
      </c>
      <c r="AA420" s="4">
        <v>381.42546590200942</v>
      </c>
      <c r="AB420" s="4">
        <v>178600.09999999998</v>
      </c>
      <c r="AC420" s="4">
        <v>5093.8283099999999</v>
      </c>
      <c r="AD420" s="4">
        <v>36313.521499999995</v>
      </c>
      <c r="AE420" s="4">
        <v>219344.28700240731</v>
      </c>
      <c r="AF420" s="4">
        <v>6765.9576291498215</v>
      </c>
      <c r="AG420" s="4">
        <v>37895.764313762338</v>
      </c>
    </row>
    <row r="421" spans="1:33" ht="11.25" customHeight="1" x14ac:dyDescent="0.25">
      <c r="A421" s="3" t="s">
        <v>21</v>
      </c>
      <c r="B421" s="3" t="s">
        <v>41</v>
      </c>
      <c r="C421" s="3" t="s">
        <v>40</v>
      </c>
      <c r="D421" s="3" t="s">
        <v>46</v>
      </c>
      <c r="E421" s="3" t="s">
        <v>25</v>
      </c>
      <c r="F421" s="3" t="s">
        <v>25</v>
      </c>
      <c r="G421" s="3" t="s">
        <v>25</v>
      </c>
      <c r="H421" s="3" t="s">
        <v>34</v>
      </c>
      <c r="I421" s="6">
        <v>44470</v>
      </c>
      <c r="J421" s="4">
        <v>2895</v>
      </c>
      <c r="K421" s="4">
        <v>2895</v>
      </c>
      <c r="L421" s="4">
        <v>106.759</v>
      </c>
      <c r="M421" s="4">
        <v>106.759</v>
      </c>
      <c r="N421" s="4">
        <v>106.759</v>
      </c>
      <c r="O421" s="4">
        <v>106.759</v>
      </c>
      <c r="P421" s="4">
        <v>0</v>
      </c>
      <c r="Q421" s="3" t="s">
        <v>26</v>
      </c>
      <c r="R421" s="3">
        <v>0</v>
      </c>
      <c r="S421" s="4">
        <v>11</v>
      </c>
      <c r="T421" s="4">
        <v>110</v>
      </c>
      <c r="U421" s="4">
        <v>88</v>
      </c>
      <c r="V421" s="4">
        <v>62.23</v>
      </c>
      <c r="W421" s="4">
        <v>51.27</v>
      </c>
      <c r="X421" s="4">
        <v>365.5</v>
      </c>
      <c r="Y421" s="4">
        <v>76.426580837075718</v>
      </c>
      <c r="Z421" s="4">
        <v>68.100184485116927</v>
      </c>
      <c r="AA421" s="4">
        <v>381.42546590200942</v>
      </c>
      <c r="AB421" s="4">
        <v>180155.84999999998</v>
      </c>
      <c r="AC421" s="4">
        <v>5473.5339300000005</v>
      </c>
      <c r="AD421" s="4">
        <v>39020.414499999999</v>
      </c>
      <c r="AE421" s="4">
        <v>221254.9515233342</v>
      </c>
      <c r="AF421" s="4">
        <v>7270.3075954465976</v>
      </c>
      <c r="AG421" s="4">
        <v>40720.601314232626</v>
      </c>
    </row>
    <row r="422" spans="1:33" ht="11.25" customHeight="1" x14ac:dyDescent="0.25">
      <c r="A422" s="3" t="s">
        <v>21</v>
      </c>
      <c r="B422" s="3" t="s">
        <v>41</v>
      </c>
      <c r="C422" s="3" t="s">
        <v>40</v>
      </c>
      <c r="D422" s="3" t="s">
        <v>46</v>
      </c>
      <c r="E422" s="3" t="s">
        <v>25</v>
      </c>
      <c r="F422" s="3" t="s">
        <v>25</v>
      </c>
      <c r="G422" s="3" t="s">
        <v>25</v>
      </c>
      <c r="H422" s="3" t="s">
        <v>34</v>
      </c>
      <c r="I422" s="6">
        <v>44501</v>
      </c>
      <c r="J422" s="4">
        <v>2968</v>
      </c>
      <c r="K422" s="4">
        <v>2968</v>
      </c>
      <c r="L422" s="4">
        <v>112.881</v>
      </c>
      <c r="M422" s="4">
        <v>112.881</v>
      </c>
      <c r="N422" s="4">
        <v>112.881</v>
      </c>
      <c r="O422" s="4">
        <v>112.881</v>
      </c>
      <c r="P422" s="4">
        <v>0</v>
      </c>
      <c r="Q422" s="3" t="s">
        <v>26</v>
      </c>
      <c r="R422" s="3">
        <v>0</v>
      </c>
      <c r="S422" s="4">
        <v>11</v>
      </c>
      <c r="T422" s="4">
        <v>110</v>
      </c>
      <c r="U422" s="4">
        <v>88</v>
      </c>
      <c r="V422" s="4">
        <v>62.23</v>
      </c>
      <c r="W422" s="4">
        <v>51.27</v>
      </c>
      <c r="X422" s="4">
        <v>365.5</v>
      </c>
      <c r="Y422" s="4">
        <v>76.426580837075718</v>
      </c>
      <c r="Z422" s="4">
        <v>68.100184485116927</v>
      </c>
      <c r="AA422" s="4">
        <v>381.42546590200942</v>
      </c>
      <c r="AB422" s="4">
        <v>184698.63999999998</v>
      </c>
      <c r="AC422" s="4">
        <v>5787.4088700000002</v>
      </c>
      <c r="AD422" s="4">
        <v>41258.005499999999</v>
      </c>
      <c r="AE422" s="4">
        <v>226834.09192444073</v>
      </c>
      <c r="AF422" s="4">
        <v>7687.2169248644841</v>
      </c>
      <c r="AG422" s="4">
        <v>43055.688016484724</v>
      </c>
    </row>
    <row r="423" spans="1:33" ht="11.25" customHeight="1" x14ac:dyDescent="0.25">
      <c r="A423" s="3" t="s">
        <v>21</v>
      </c>
      <c r="B423" s="3" t="s">
        <v>41</v>
      </c>
      <c r="C423" s="3" t="s">
        <v>40</v>
      </c>
      <c r="D423" s="3" t="s">
        <v>46</v>
      </c>
      <c r="E423" s="3" t="s">
        <v>25</v>
      </c>
      <c r="F423" s="3" t="s">
        <v>25</v>
      </c>
      <c r="G423" s="3" t="s">
        <v>25</v>
      </c>
      <c r="H423" s="3" t="s">
        <v>34</v>
      </c>
      <c r="I423" s="6">
        <v>44531</v>
      </c>
      <c r="J423" s="4">
        <v>2949</v>
      </c>
      <c r="K423" s="4">
        <v>2949</v>
      </c>
      <c r="L423" s="4">
        <v>125.82899999999999</v>
      </c>
      <c r="M423" s="4">
        <v>125.82899999999999</v>
      </c>
      <c r="N423" s="4">
        <v>125.82899999999999</v>
      </c>
      <c r="O423" s="4">
        <v>125.82899999999999</v>
      </c>
      <c r="P423" s="4">
        <v>0</v>
      </c>
      <c r="Q423" s="3" t="s">
        <v>26</v>
      </c>
      <c r="R423" s="3">
        <v>0</v>
      </c>
      <c r="S423" s="4">
        <v>11</v>
      </c>
      <c r="T423" s="4">
        <v>110</v>
      </c>
      <c r="U423" s="4">
        <v>88</v>
      </c>
      <c r="V423" s="4">
        <v>62.23</v>
      </c>
      <c r="W423" s="4">
        <v>51.27</v>
      </c>
      <c r="X423" s="4">
        <v>365.5</v>
      </c>
      <c r="Y423" s="4">
        <v>76.426580837075718</v>
      </c>
      <c r="Z423" s="4">
        <v>68.100184485116927</v>
      </c>
      <c r="AA423" s="4">
        <v>381.42546590200942</v>
      </c>
      <c r="AB423" s="4">
        <v>183516.27</v>
      </c>
      <c r="AC423" s="4">
        <v>6451.2528300000004</v>
      </c>
      <c r="AD423" s="4">
        <v>45990.499499999998</v>
      </c>
      <c r="AE423" s="4">
        <v>225381.98688853628</v>
      </c>
      <c r="AF423" s="4">
        <v>8568.9781135777775</v>
      </c>
      <c r="AG423" s="4">
        <v>47994.384948983941</v>
      </c>
    </row>
    <row r="424" spans="1:33" ht="11.25" customHeight="1" x14ac:dyDescent="0.25">
      <c r="A424" s="3" t="s">
        <v>21</v>
      </c>
      <c r="B424" s="3" t="s">
        <v>41</v>
      </c>
      <c r="C424" s="3" t="s">
        <v>40</v>
      </c>
      <c r="D424" s="3" t="s">
        <v>46</v>
      </c>
      <c r="E424" s="3" t="s">
        <v>25</v>
      </c>
      <c r="F424" s="3" t="s">
        <v>25</v>
      </c>
      <c r="G424" s="3" t="s">
        <v>25</v>
      </c>
      <c r="H424" s="3" t="s">
        <v>34</v>
      </c>
      <c r="I424" s="6">
        <v>44562</v>
      </c>
      <c r="J424" s="4">
        <v>5444</v>
      </c>
      <c r="K424" s="4">
        <v>5444</v>
      </c>
      <c r="L424" s="4">
        <v>189.29400000000001</v>
      </c>
      <c r="M424" s="4">
        <v>189.29400000000001</v>
      </c>
      <c r="N424" s="4">
        <v>189.29400000000001</v>
      </c>
      <c r="O424" s="4">
        <v>189.29400000000001</v>
      </c>
      <c r="P424" s="4">
        <v>0</v>
      </c>
      <c r="Q424" s="3" t="s">
        <v>26</v>
      </c>
      <c r="R424" s="3">
        <v>0</v>
      </c>
      <c r="S424" s="4">
        <v>11</v>
      </c>
      <c r="T424" s="4">
        <v>110</v>
      </c>
      <c r="U424" s="4">
        <v>88</v>
      </c>
      <c r="V424" s="4">
        <v>62.23</v>
      </c>
      <c r="W424" s="4">
        <v>51.27</v>
      </c>
      <c r="X424" s="4">
        <v>365.5</v>
      </c>
      <c r="Y424" s="4">
        <v>76.426580837075718</v>
      </c>
      <c r="Z424" s="4">
        <v>68.100184485116927</v>
      </c>
      <c r="AA424" s="4">
        <v>381.42546590200942</v>
      </c>
      <c r="AB424" s="4">
        <v>338780.12</v>
      </c>
      <c r="AC424" s="4">
        <v>9705.1033800000005</v>
      </c>
      <c r="AD424" s="4">
        <v>69186.957000000009</v>
      </c>
      <c r="AE424" s="4">
        <v>416066.30607704021</v>
      </c>
      <c r="AF424" s="4">
        <v>12890.956321925723</v>
      </c>
      <c r="AG424" s="4">
        <v>72201.552142454981</v>
      </c>
    </row>
    <row r="425" spans="1:33" ht="11.25" customHeight="1" x14ac:dyDescent="0.25">
      <c r="A425" s="3" t="s">
        <v>21</v>
      </c>
      <c r="B425" s="3" t="s">
        <v>41</v>
      </c>
      <c r="C425" s="3" t="s">
        <v>40</v>
      </c>
      <c r="D425" s="3" t="s">
        <v>46</v>
      </c>
      <c r="E425" s="3" t="s">
        <v>25</v>
      </c>
      <c r="F425" s="3" t="s">
        <v>25</v>
      </c>
      <c r="G425" s="3" t="s">
        <v>25</v>
      </c>
      <c r="H425" s="3" t="s">
        <v>34</v>
      </c>
      <c r="I425" s="6">
        <v>44593</v>
      </c>
      <c r="J425" s="4">
        <v>5147</v>
      </c>
      <c r="K425" s="4">
        <v>5147</v>
      </c>
      <c r="L425" s="4">
        <v>189.32900000000001</v>
      </c>
      <c r="M425" s="4">
        <v>189.32900000000001</v>
      </c>
      <c r="N425" s="4">
        <v>189.32900000000001</v>
      </c>
      <c r="O425" s="4">
        <v>189.32900000000001</v>
      </c>
      <c r="P425" s="4">
        <v>0</v>
      </c>
      <c r="Q425" s="3" t="s">
        <v>26</v>
      </c>
      <c r="R425" s="3">
        <v>0</v>
      </c>
      <c r="S425" s="4">
        <v>11</v>
      </c>
      <c r="T425" s="4">
        <v>110</v>
      </c>
      <c r="U425" s="4">
        <v>88</v>
      </c>
      <c r="V425" s="4">
        <v>62.23</v>
      </c>
      <c r="W425" s="4">
        <v>51.27</v>
      </c>
      <c r="X425" s="4">
        <v>365.5</v>
      </c>
      <c r="Y425" s="4">
        <v>76.426580837075718</v>
      </c>
      <c r="Z425" s="4">
        <v>68.100184485116927</v>
      </c>
      <c r="AA425" s="4">
        <v>381.42546590200942</v>
      </c>
      <c r="AB425" s="4">
        <v>320297.81</v>
      </c>
      <c r="AC425" s="4">
        <v>9706.8978300000017</v>
      </c>
      <c r="AD425" s="4">
        <v>69199.749500000005</v>
      </c>
      <c r="AE425" s="4">
        <v>393367.61156842875</v>
      </c>
      <c r="AF425" s="4">
        <v>12893.339828382703</v>
      </c>
      <c r="AG425" s="4">
        <v>72214.902033761551</v>
      </c>
    </row>
    <row r="426" spans="1:33" ht="11.25" customHeight="1" x14ac:dyDescent="0.25">
      <c r="A426" s="3" t="s">
        <v>27</v>
      </c>
      <c r="B426" s="3" t="s">
        <v>41</v>
      </c>
      <c r="C426" s="3" t="s">
        <v>40</v>
      </c>
      <c r="D426" s="3" t="s">
        <v>46</v>
      </c>
      <c r="E426" s="3" t="s">
        <v>25</v>
      </c>
      <c r="F426" s="3" t="s">
        <v>25</v>
      </c>
      <c r="G426" s="3" t="s">
        <v>25</v>
      </c>
      <c r="H426" s="3" t="s">
        <v>34</v>
      </c>
      <c r="I426" s="6">
        <v>44593</v>
      </c>
      <c r="J426" s="4">
        <v>-253</v>
      </c>
      <c r="K426" s="4">
        <v>-253</v>
      </c>
      <c r="L426" s="4">
        <v>-11.163</v>
      </c>
      <c r="M426" s="4">
        <v>-11.163</v>
      </c>
      <c r="N426" s="4">
        <v>-11.163</v>
      </c>
      <c r="O426" s="4">
        <v>-11.163</v>
      </c>
      <c r="P426" s="4">
        <v>0</v>
      </c>
      <c r="Q426" s="3" t="s">
        <v>26</v>
      </c>
      <c r="R426" s="3">
        <v>0</v>
      </c>
      <c r="S426" s="4">
        <v>11</v>
      </c>
      <c r="T426" s="4">
        <v>110</v>
      </c>
      <c r="U426" s="4">
        <v>88</v>
      </c>
      <c r="V426" s="4">
        <v>62.23</v>
      </c>
      <c r="W426" s="4">
        <v>51.27</v>
      </c>
      <c r="X426" s="4">
        <v>365.5</v>
      </c>
      <c r="Y426" s="4">
        <v>76.426580837075718</v>
      </c>
      <c r="Z426" s="4">
        <v>68.100184485116927</v>
      </c>
      <c r="AA426" s="4">
        <v>381.42546590200942</v>
      </c>
      <c r="AB426" s="4">
        <v>-15744.189999999999</v>
      </c>
      <c r="AC426" s="4">
        <v>-572.32701000000009</v>
      </c>
      <c r="AD426" s="4">
        <v>-4080.0765000000001</v>
      </c>
      <c r="AE426" s="4">
        <v>-19335.924951780158</v>
      </c>
      <c r="AF426" s="4">
        <v>-760.20235940736029</v>
      </c>
      <c r="AG426" s="4">
        <v>-4257.8524758641315</v>
      </c>
    </row>
    <row r="427" spans="1:33" ht="11.25" customHeight="1" x14ac:dyDescent="0.25">
      <c r="A427" s="3" t="s">
        <v>56</v>
      </c>
      <c r="B427" s="3" t="s">
        <v>41</v>
      </c>
      <c r="C427" s="3" t="s">
        <v>40</v>
      </c>
      <c r="D427" s="3" t="s">
        <v>46</v>
      </c>
      <c r="E427" s="3" t="s">
        <v>25</v>
      </c>
      <c r="F427" s="3" t="s">
        <v>25</v>
      </c>
      <c r="G427" s="3" t="s">
        <v>25</v>
      </c>
      <c r="H427" s="3" t="s">
        <v>34</v>
      </c>
      <c r="I427" s="6">
        <v>44621</v>
      </c>
      <c r="J427" s="4">
        <v>5147</v>
      </c>
      <c r="K427" s="4">
        <v>5147</v>
      </c>
      <c r="L427" s="4">
        <v>189.32900000000001</v>
      </c>
      <c r="M427" s="4">
        <v>189.32900000000001</v>
      </c>
      <c r="N427" s="4">
        <v>189.32900000000001</v>
      </c>
      <c r="O427" s="4">
        <v>189.32900000000001</v>
      </c>
      <c r="P427" s="4">
        <v>0</v>
      </c>
      <c r="Q427" s="3" t="s">
        <v>26</v>
      </c>
      <c r="R427" s="3">
        <v>0</v>
      </c>
      <c r="S427" s="4">
        <v>11</v>
      </c>
      <c r="T427" s="4">
        <v>110</v>
      </c>
      <c r="U427" s="4">
        <v>88</v>
      </c>
      <c r="V427" s="4">
        <v>62.23</v>
      </c>
      <c r="W427" s="4">
        <v>51.27</v>
      </c>
      <c r="X427" s="4">
        <v>365.5</v>
      </c>
      <c r="Y427" s="4">
        <v>76.426580837075718</v>
      </c>
      <c r="Z427" s="4">
        <v>68.100184485116927</v>
      </c>
      <c r="AA427" s="4">
        <v>381.42546590200942</v>
      </c>
      <c r="AB427" s="4">
        <v>320297.81</v>
      </c>
      <c r="AC427" s="4">
        <v>9706.8978300000017</v>
      </c>
      <c r="AD427" s="4">
        <v>69199.749500000005</v>
      </c>
      <c r="AE427" s="4">
        <v>393367.61156842875</v>
      </c>
      <c r="AF427" s="4">
        <v>12893.339828382703</v>
      </c>
      <c r="AG427" s="4">
        <v>72214.902033761551</v>
      </c>
    </row>
    <row r="428" spans="1:33" ht="11.25" customHeight="1" x14ac:dyDescent="0.25">
      <c r="A428" s="3" t="s">
        <v>56</v>
      </c>
      <c r="B428" s="3" t="s">
        <v>41</v>
      </c>
      <c r="C428" s="3" t="s">
        <v>40</v>
      </c>
      <c r="D428" s="3" t="s">
        <v>46</v>
      </c>
      <c r="E428" s="3" t="s">
        <v>25</v>
      </c>
      <c r="F428" s="3" t="s">
        <v>25</v>
      </c>
      <c r="G428" s="3" t="s">
        <v>25</v>
      </c>
      <c r="H428" s="3" t="s">
        <v>34</v>
      </c>
      <c r="I428" s="6">
        <v>44621</v>
      </c>
      <c r="J428" s="4">
        <v>-253</v>
      </c>
      <c r="K428" s="4">
        <v>-253</v>
      </c>
      <c r="L428" s="4">
        <v>-11.163</v>
      </c>
      <c r="M428" s="4">
        <v>-11.163</v>
      </c>
      <c r="N428" s="4">
        <v>-11.163</v>
      </c>
      <c r="O428" s="4">
        <v>-11.163</v>
      </c>
      <c r="P428" s="4">
        <v>0</v>
      </c>
      <c r="Q428" s="3" t="s">
        <v>26</v>
      </c>
      <c r="R428" s="3">
        <v>0</v>
      </c>
      <c r="S428" s="4">
        <v>11</v>
      </c>
      <c r="T428" s="4">
        <v>110</v>
      </c>
      <c r="U428" s="4">
        <v>88</v>
      </c>
      <c r="V428" s="4">
        <v>62.23</v>
      </c>
      <c r="W428" s="4">
        <v>51.27</v>
      </c>
      <c r="X428" s="4">
        <v>365.5</v>
      </c>
      <c r="Y428" s="4">
        <v>76.426580837075718</v>
      </c>
      <c r="Z428" s="4">
        <v>68.100184485116927</v>
      </c>
      <c r="AA428" s="4">
        <v>381.42546590200942</v>
      </c>
      <c r="AB428" s="4">
        <v>-15744.189999999999</v>
      </c>
      <c r="AC428" s="4">
        <v>-572.32701000000009</v>
      </c>
      <c r="AD428" s="4">
        <v>-4080.0765000000001</v>
      </c>
      <c r="AE428" s="4">
        <v>-19335.924951780158</v>
      </c>
      <c r="AF428" s="4">
        <v>-760.20235940736029</v>
      </c>
      <c r="AG428" s="4">
        <v>-4257.8524758641315</v>
      </c>
    </row>
    <row r="429" spans="1:33" ht="11.25" customHeight="1" x14ac:dyDescent="0.25">
      <c r="A429" s="3" t="s">
        <v>21</v>
      </c>
      <c r="B429" s="3" t="s">
        <v>41</v>
      </c>
      <c r="C429" s="3" t="s">
        <v>40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44287</v>
      </c>
      <c r="J429" s="4">
        <v>910</v>
      </c>
      <c r="K429" s="56">
        <v>910</v>
      </c>
      <c r="L429" s="4">
        <v>325.13099999999997</v>
      </c>
      <c r="M429" s="56">
        <v>325.13099999999997</v>
      </c>
      <c r="N429" s="4">
        <v>325.13099999999997</v>
      </c>
      <c r="O429" s="56">
        <v>325.13099999999997</v>
      </c>
      <c r="P429" s="4">
        <v>0</v>
      </c>
      <c r="Q429" s="3" t="s">
        <v>26</v>
      </c>
      <c r="R429" s="3">
        <v>0</v>
      </c>
      <c r="S429" s="4">
        <v>12</v>
      </c>
      <c r="T429" s="4">
        <v>110</v>
      </c>
      <c r="U429" s="4">
        <v>89</v>
      </c>
      <c r="V429" s="56">
        <v>23.337599999999998</v>
      </c>
      <c r="W429" s="56">
        <v>49.219200000000001</v>
      </c>
      <c r="X429" s="56">
        <v>213.41759999999999</v>
      </c>
      <c r="Y429" s="56">
        <v>27.229069466921182</v>
      </c>
      <c r="Z429" s="56">
        <v>66.738180795414593</v>
      </c>
      <c r="AA429" s="56">
        <v>230.60724521198262</v>
      </c>
      <c r="AB429" s="4">
        <v>21237.215999999997</v>
      </c>
      <c r="AC429" s="4">
        <v>16002.6877152</v>
      </c>
      <c r="AD429" s="4">
        <v>69388.677705599985</v>
      </c>
      <c r="AE429" s="4">
        <v>24778.453214898276</v>
      </c>
      <c r="AF429" s="4">
        <v>21698.651460193942</v>
      </c>
      <c r="AG429" s="4">
        <v>74977.564243017114</v>
      </c>
    </row>
    <row r="430" spans="1:33" ht="11.25" customHeight="1" x14ac:dyDescent="0.25">
      <c r="A430" s="3" t="s">
        <v>21</v>
      </c>
      <c r="B430" s="3" t="s">
        <v>41</v>
      </c>
      <c r="C430" s="3" t="s">
        <v>40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44317</v>
      </c>
      <c r="J430" s="4">
        <v>866</v>
      </c>
      <c r="K430" s="56">
        <v>866</v>
      </c>
      <c r="L430" s="4">
        <v>329.81200000000001</v>
      </c>
      <c r="M430" s="56">
        <v>329.81200000000001</v>
      </c>
      <c r="N430" s="4">
        <v>329.81200000000001</v>
      </c>
      <c r="O430" s="56">
        <v>329.81200000000001</v>
      </c>
      <c r="P430" s="4">
        <v>0</v>
      </c>
      <c r="Q430" s="3" t="s">
        <v>26</v>
      </c>
      <c r="R430" s="3">
        <v>0</v>
      </c>
      <c r="S430" s="4">
        <v>12</v>
      </c>
      <c r="T430" s="4">
        <v>110</v>
      </c>
      <c r="U430" s="4">
        <v>89</v>
      </c>
      <c r="V430" s="56">
        <v>23.337599999999998</v>
      </c>
      <c r="W430" s="56">
        <v>49.219200000000001</v>
      </c>
      <c r="X430" s="56">
        <v>213.41759999999999</v>
      </c>
      <c r="Y430" s="56">
        <v>27.229069466921182</v>
      </c>
      <c r="Z430" s="56">
        <v>66.738180795414593</v>
      </c>
      <c r="AA430" s="56">
        <v>230.60724521198262</v>
      </c>
      <c r="AB430" s="4">
        <v>20210.3616</v>
      </c>
      <c r="AC430" s="4">
        <v>16233.082790400002</v>
      </c>
      <c r="AD430" s="4">
        <v>70387.685491199998</v>
      </c>
      <c r="AE430" s="4">
        <v>23580.374158353745</v>
      </c>
      <c r="AF430" s="4">
        <v>22011.05288449728</v>
      </c>
      <c r="AG430" s="4">
        <v>76057.03675785441</v>
      </c>
    </row>
    <row r="431" spans="1:33" ht="11.25" customHeight="1" x14ac:dyDescent="0.25">
      <c r="A431" s="3" t="s">
        <v>21</v>
      </c>
      <c r="B431" s="3" t="s">
        <v>41</v>
      </c>
      <c r="C431" s="3" t="s">
        <v>40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44348</v>
      </c>
      <c r="J431" s="4">
        <v>841</v>
      </c>
      <c r="K431" s="56">
        <v>841</v>
      </c>
      <c r="L431" s="4">
        <v>321.48399999999998</v>
      </c>
      <c r="M431" s="56">
        <v>321.48399999999998</v>
      </c>
      <c r="N431" s="4">
        <v>321.48399999999998</v>
      </c>
      <c r="O431" s="56">
        <v>321.48399999999998</v>
      </c>
      <c r="P431" s="4">
        <v>0</v>
      </c>
      <c r="Q431" s="3" t="s">
        <v>26</v>
      </c>
      <c r="R431" s="3">
        <v>0</v>
      </c>
      <c r="S431" s="4">
        <v>12</v>
      </c>
      <c r="T431" s="4">
        <v>110</v>
      </c>
      <c r="U431" s="4">
        <v>89</v>
      </c>
      <c r="V431" s="56">
        <v>23.337599999999998</v>
      </c>
      <c r="W431" s="56">
        <v>49.219200000000001</v>
      </c>
      <c r="X431" s="56">
        <v>213.41759999999999</v>
      </c>
      <c r="Y431" s="56">
        <v>27.229069466921182</v>
      </c>
      <c r="Z431" s="56">
        <v>66.738180795414593</v>
      </c>
      <c r="AA431" s="56">
        <v>230.60724521198262</v>
      </c>
      <c r="AB431" s="4">
        <v>19626.921599999998</v>
      </c>
      <c r="AC431" s="4">
        <v>15823.185292799999</v>
      </c>
      <c r="AD431" s="4">
        <v>68610.343718399992</v>
      </c>
      <c r="AE431" s="4">
        <v>22899.647421680715</v>
      </c>
      <c r="AF431" s="4">
        <v>21455.257314833063</v>
      </c>
      <c r="AG431" s="4">
        <v>74136.53961972901</v>
      </c>
    </row>
    <row r="432" spans="1:33" ht="11.25" customHeight="1" x14ac:dyDescent="0.25">
      <c r="A432" s="3" t="s">
        <v>21</v>
      </c>
      <c r="B432" s="3" t="s">
        <v>41</v>
      </c>
      <c r="C432" s="3" t="s">
        <v>40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44378</v>
      </c>
      <c r="J432" s="4">
        <v>873</v>
      </c>
      <c r="K432" s="56">
        <v>873</v>
      </c>
      <c r="L432" s="4">
        <v>313.298</v>
      </c>
      <c r="M432" s="56">
        <v>313.298</v>
      </c>
      <c r="N432" s="4">
        <v>313.298</v>
      </c>
      <c r="O432" s="56">
        <v>313.298</v>
      </c>
      <c r="P432" s="4">
        <v>0</v>
      </c>
      <c r="Q432" s="3" t="s">
        <v>26</v>
      </c>
      <c r="R432" s="3">
        <v>0</v>
      </c>
      <c r="S432" s="4">
        <v>12</v>
      </c>
      <c r="T432" s="4">
        <v>110</v>
      </c>
      <c r="U432" s="4">
        <v>89</v>
      </c>
      <c r="V432" s="56">
        <v>23.337599999999998</v>
      </c>
      <c r="W432" s="56">
        <v>49.219200000000001</v>
      </c>
      <c r="X432" s="56">
        <v>213.41759999999999</v>
      </c>
      <c r="Y432" s="56">
        <v>27.229069466921182</v>
      </c>
      <c r="Z432" s="56">
        <v>66.738180795414593</v>
      </c>
      <c r="AA432" s="56">
        <v>230.60724521198262</v>
      </c>
      <c r="AB432" s="4">
        <v>20373.7248</v>
      </c>
      <c r="AC432" s="4">
        <v>15420.2769216</v>
      </c>
      <c r="AD432" s="4">
        <v>66863.307244800002</v>
      </c>
      <c r="AE432" s="4">
        <v>23770.977644622191</v>
      </c>
      <c r="AF432" s="4">
        <v>20908.9385668418</v>
      </c>
      <c r="AG432" s="4">
        <v>72248.788710423731</v>
      </c>
    </row>
    <row r="433" spans="1:33" ht="11.25" customHeight="1" x14ac:dyDescent="0.25">
      <c r="A433" s="3" t="s">
        <v>21</v>
      </c>
      <c r="B433" s="3" t="s">
        <v>41</v>
      </c>
      <c r="C433" s="3" t="s">
        <v>40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44409</v>
      </c>
      <c r="J433" s="4">
        <v>908</v>
      </c>
      <c r="K433" s="56">
        <v>908</v>
      </c>
      <c r="L433" s="4">
        <v>378.125</v>
      </c>
      <c r="M433" s="56">
        <v>378.125</v>
      </c>
      <c r="N433" s="4">
        <v>378.125</v>
      </c>
      <c r="O433" s="56">
        <v>378.125</v>
      </c>
      <c r="P433" s="4">
        <v>0</v>
      </c>
      <c r="Q433" s="3" t="s">
        <v>26</v>
      </c>
      <c r="R433" s="3">
        <v>0</v>
      </c>
      <c r="S433" s="4">
        <v>12</v>
      </c>
      <c r="T433" s="4">
        <v>110</v>
      </c>
      <c r="U433" s="4">
        <v>89</v>
      </c>
      <c r="V433" s="56">
        <v>23.337599999999998</v>
      </c>
      <c r="W433" s="56">
        <v>49.219200000000001</v>
      </c>
      <c r="X433" s="56">
        <v>213.41759999999999</v>
      </c>
      <c r="Y433" s="56">
        <v>27.229069466921182</v>
      </c>
      <c r="Z433" s="56">
        <v>66.738180795414593</v>
      </c>
      <c r="AA433" s="56">
        <v>230.60724521198262</v>
      </c>
      <c r="AB433" s="4">
        <v>21190.540799999999</v>
      </c>
      <c r="AC433" s="4">
        <v>18611.010000000002</v>
      </c>
      <c r="AD433" s="4">
        <v>80698.53</v>
      </c>
      <c r="AE433" s="4">
        <v>24723.995075964434</v>
      </c>
      <c r="AF433" s="4">
        <v>25235.374613266144</v>
      </c>
      <c r="AG433" s="4">
        <v>87198.36459578092</v>
      </c>
    </row>
    <row r="434" spans="1:33" ht="11.25" customHeight="1" x14ac:dyDescent="0.25">
      <c r="A434" s="3" t="s">
        <v>21</v>
      </c>
      <c r="B434" s="3" t="s">
        <v>41</v>
      </c>
      <c r="C434" s="3" t="s">
        <v>40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44440</v>
      </c>
      <c r="J434" s="4">
        <v>930</v>
      </c>
      <c r="K434" s="56">
        <v>930</v>
      </c>
      <c r="L434" s="4">
        <v>414.2</v>
      </c>
      <c r="M434" s="56">
        <v>414.2</v>
      </c>
      <c r="N434" s="4">
        <v>414.2</v>
      </c>
      <c r="O434" s="56">
        <v>414.2</v>
      </c>
      <c r="P434" s="4">
        <v>0</v>
      </c>
      <c r="Q434" s="3" t="s">
        <v>26</v>
      </c>
      <c r="R434" s="3">
        <v>0</v>
      </c>
      <c r="S434" s="4">
        <v>12</v>
      </c>
      <c r="T434" s="4">
        <v>110</v>
      </c>
      <c r="U434" s="4">
        <v>89</v>
      </c>
      <c r="V434" s="56">
        <v>23.337599999999998</v>
      </c>
      <c r="W434" s="56">
        <v>49.219200000000001</v>
      </c>
      <c r="X434" s="56">
        <v>213.41759999999999</v>
      </c>
      <c r="Y434" s="56">
        <v>27.229069466921182</v>
      </c>
      <c r="Z434" s="56">
        <v>66.738180795414593</v>
      </c>
      <c r="AA434" s="56">
        <v>230.60724521198262</v>
      </c>
      <c r="AB434" s="4">
        <v>21703.967999999997</v>
      </c>
      <c r="AC434" s="4">
        <v>20386.592639999999</v>
      </c>
      <c r="AD434" s="4">
        <v>88397.569919999994</v>
      </c>
      <c r="AE434" s="4">
        <v>25323.034604236698</v>
      </c>
      <c r="AF434" s="4">
        <v>27642.954485460723</v>
      </c>
      <c r="AG434" s="4">
        <v>95517.520966803189</v>
      </c>
    </row>
    <row r="435" spans="1:33" ht="11.25" customHeight="1" x14ac:dyDescent="0.25">
      <c r="A435" s="3" t="s">
        <v>21</v>
      </c>
      <c r="B435" s="3" t="s">
        <v>41</v>
      </c>
      <c r="C435" s="3" t="s">
        <v>40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44470</v>
      </c>
      <c r="J435" s="4">
        <v>960</v>
      </c>
      <c r="K435" s="56">
        <v>960</v>
      </c>
      <c r="L435" s="4">
        <v>381.40600000000001</v>
      </c>
      <c r="M435" s="56">
        <v>381.40600000000001</v>
      </c>
      <c r="N435" s="4">
        <v>381.40600000000001</v>
      </c>
      <c r="O435" s="56">
        <v>381.40600000000001</v>
      </c>
      <c r="P435" s="4">
        <v>0</v>
      </c>
      <c r="Q435" s="3" t="s">
        <v>26</v>
      </c>
      <c r="R435" s="3">
        <v>0</v>
      </c>
      <c r="S435" s="4">
        <v>12</v>
      </c>
      <c r="T435" s="4">
        <v>110</v>
      </c>
      <c r="U435" s="4">
        <v>89</v>
      </c>
      <c r="V435" s="56">
        <v>23.337599999999998</v>
      </c>
      <c r="W435" s="56">
        <v>49.219200000000001</v>
      </c>
      <c r="X435" s="56">
        <v>213.41759999999999</v>
      </c>
      <c r="Y435" s="56">
        <v>27.229069466921182</v>
      </c>
      <c r="Z435" s="56">
        <v>66.738180795414593</v>
      </c>
      <c r="AA435" s="56">
        <v>230.60724521198262</v>
      </c>
      <c r="AB435" s="4">
        <v>22404.095999999998</v>
      </c>
      <c r="AC435" s="4">
        <v>18772.498195200002</v>
      </c>
      <c r="AD435" s="4">
        <v>81398.7531456</v>
      </c>
      <c r="AE435" s="4">
        <v>26139.906688244333</v>
      </c>
      <c r="AF435" s="4">
        <v>25454.342584455899</v>
      </c>
      <c r="AG435" s="4">
        <v>87954.986967321442</v>
      </c>
    </row>
    <row r="436" spans="1:33" ht="11.25" customHeight="1" x14ac:dyDescent="0.25">
      <c r="A436" s="3" t="s">
        <v>21</v>
      </c>
      <c r="B436" s="3" t="s">
        <v>41</v>
      </c>
      <c r="C436" s="3" t="s">
        <v>40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44501</v>
      </c>
      <c r="J436" s="4">
        <v>966</v>
      </c>
      <c r="K436" s="56">
        <v>966</v>
      </c>
      <c r="L436" s="4">
        <v>365.46499999999997</v>
      </c>
      <c r="M436" s="56">
        <v>365.46499999999997</v>
      </c>
      <c r="N436" s="4">
        <v>365.46499999999997</v>
      </c>
      <c r="O436" s="56">
        <v>365.46499999999997</v>
      </c>
      <c r="P436" s="4">
        <v>0</v>
      </c>
      <c r="Q436" s="3" t="s">
        <v>26</v>
      </c>
      <c r="R436" s="3">
        <v>0</v>
      </c>
      <c r="S436" s="4">
        <v>12</v>
      </c>
      <c r="T436" s="4">
        <v>110</v>
      </c>
      <c r="U436" s="4">
        <v>89</v>
      </c>
      <c r="V436" s="56">
        <v>23.337599999999998</v>
      </c>
      <c r="W436" s="56">
        <v>49.219200000000001</v>
      </c>
      <c r="X436" s="56">
        <v>213.41759999999999</v>
      </c>
      <c r="Y436" s="56">
        <v>27.229069466921182</v>
      </c>
      <c r="Z436" s="56">
        <v>66.738180795414593</v>
      </c>
      <c r="AA436" s="56">
        <v>230.60724521198262</v>
      </c>
      <c r="AB436" s="4">
        <v>22544.121599999999</v>
      </c>
      <c r="AC436" s="4">
        <v>17987.894927999998</v>
      </c>
      <c r="AD436" s="4">
        <v>77996.66318399999</v>
      </c>
      <c r="AE436" s="4">
        <v>26303.281105045862</v>
      </c>
      <c r="AF436" s="4">
        <v>24390.469244396194</v>
      </c>
      <c r="AG436" s="4">
        <v>84278.876871397224</v>
      </c>
    </row>
    <row r="437" spans="1:33" ht="11.25" customHeight="1" x14ac:dyDescent="0.25">
      <c r="A437" s="3" t="s">
        <v>21</v>
      </c>
      <c r="B437" s="3" t="s">
        <v>41</v>
      </c>
      <c r="C437" s="3" t="s">
        <v>40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44531</v>
      </c>
      <c r="J437" s="4">
        <v>894</v>
      </c>
      <c r="K437" s="56">
        <v>894</v>
      </c>
      <c r="L437" s="4">
        <v>399.55</v>
      </c>
      <c r="M437" s="56">
        <v>399.55</v>
      </c>
      <c r="N437" s="4">
        <v>399.55</v>
      </c>
      <c r="O437" s="56">
        <v>399.55</v>
      </c>
      <c r="P437" s="4">
        <v>0</v>
      </c>
      <c r="Q437" s="3" t="s">
        <v>26</v>
      </c>
      <c r="R437" s="3">
        <v>0</v>
      </c>
      <c r="S437" s="4">
        <v>12</v>
      </c>
      <c r="T437" s="4">
        <v>110</v>
      </c>
      <c r="U437" s="4">
        <v>89</v>
      </c>
      <c r="V437" s="56">
        <v>23.337599999999998</v>
      </c>
      <c r="W437" s="56">
        <v>49.219200000000001</v>
      </c>
      <c r="X437" s="56">
        <v>213.41759999999999</v>
      </c>
      <c r="Y437" s="56">
        <v>27.229069466921182</v>
      </c>
      <c r="Z437" s="56">
        <v>66.738180795414593</v>
      </c>
      <c r="AA437" s="56">
        <v>230.60724521198262</v>
      </c>
      <c r="AB437" s="4">
        <v>20863.814399999999</v>
      </c>
      <c r="AC437" s="4">
        <v>19665.531360000001</v>
      </c>
      <c r="AD437" s="4">
        <v>85271.002080000006</v>
      </c>
      <c r="AE437" s="4">
        <v>24342.788103427538</v>
      </c>
      <c r="AF437" s="4">
        <v>26665.240136807901</v>
      </c>
      <c r="AG437" s="4">
        <v>92139.124824447659</v>
      </c>
    </row>
    <row r="438" spans="1:33" ht="11.25" customHeight="1" x14ac:dyDescent="0.25">
      <c r="A438" s="3" t="s">
        <v>21</v>
      </c>
      <c r="B438" s="3" t="s">
        <v>41</v>
      </c>
      <c r="C438" s="3" t="s">
        <v>40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44562</v>
      </c>
      <c r="J438" s="4">
        <v>936</v>
      </c>
      <c r="K438" s="56">
        <v>936</v>
      </c>
      <c r="L438" s="4">
        <v>353.71300000000002</v>
      </c>
      <c r="M438" s="56">
        <v>353.71300000000002</v>
      </c>
      <c r="N438" s="4">
        <v>353.71300000000002</v>
      </c>
      <c r="O438" s="56">
        <v>353.71300000000002</v>
      </c>
      <c r="P438" s="4">
        <v>0</v>
      </c>
      <c r="Q438" s="3" t="s">
        <v>26</v>
      </c>
      <c r="R438" s="3">
        <v>0</v>
      </c>
      <c r="S438" s="4">
        <v>12</v>
      </c>
      <c r="T438" s="4">
        <v>110</v>
      </c>
      <c r="U438" s="4">
        <v>89</v>
      </c>
      <c r="V438" s="56">
        <v>23.337599999999998</v>
      </c>
      <c r="W438" s="56">
        <v>49.219200000000001</v>
      </c>
      <c r="X438" s="56">
        <v>213.41759999999999</v>
      </c>
      <c r="Y438" s="56">
        <v>27.229069466921182</v>
      </c>
      <c r="Z438" s="56">
        <v>66.738180795414593</v>
      </c>
      <c r="AA438" s="56">
        <v>230.60724521198262</v>
      </c>
      <c r="AB438" s="4">
        <v>21843.993599999998</v>
      </c>
      <c r="AC438" s="4">
        <v>17409.470889600001</v>
      </c>
      <c r="AD438" s="4">
        <v>75488.5795488</v>
      </c>
      <c r="AE438" s="4">
        <v>25486.409021038227</v>
      </c>
      <c r="AF438" s="4">
        <v>23606.162143688482</v>
      </c>
      <c r="AG438" s="4">
        <v>81568.780525666007</v>
      </c>
    </row>
    <row r="439" spans="1:33" ht="11.25" customHeight="1" x14ac:dyDescent="0.25">
      <c r="A439" s="3" t="s">
        <v>21</v>
      </c>
      <c r="B439" s="3" t="s">
        <v>41</v>
      </c>
      <c r="C439" s="3" t="s">
        <v>40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44593</v>
      </c>
      <c r="J439" s="4">
        <v>934</v>
      </c>
      <c r="K439" s="56">
        <v>934</v>
      </c>
      <c r="L439" s="4">
        <v>356.20699999999999</v>
      </c>
      <c r="M439" s="56">
        <v>356.20699999999999</v>
      </c>
      <c r="N439" s="4">
        <v>356.20699999999999</v>
      </c>
      <c r="O439" s="56">
        <v>356.20699999999999</v>
      </c>
      <c r="P439" s="4">
        <v>0</v>
      </c>
      <c r="Q439" s="3" t="s">
        <v>26</v>
      </c>
      <c r="R439" s="3">
        <v>0</v>
      </c>
      <c r="S439" s="4">
        <v>12</v>
      </c>
      <c r="T439" s="4">
        <v>110</v>
      </c>
      <c r="U439" s="4">
        <v>89</v>
      </c>
      <c r="V439" s="56">
        <v>23.337599999999998</v>
      </c>
      <c r="W439" s="56">
        <v>49.219200000000001</v>
      </c>
      <c r="X439" s="56">
        <v>213.41759999999999</v>
      </c>
      <c r="Y439" s="56">
        <v>27.229069466921182</v>
      </c>
      <c r="Z439" s="56">
        <v>66.738180795414593</v>
      </c>
      <c r="AA439" s="56">
        <v>230.60724521198262</v>
      </c>
      <c r="AB439" s="4">
        <v>21797.3184</v>
      </c>
      <c r="AC439" s="4">
        <v>17532.223574399999</v>
      </c>
      <c r="AD439" s="4">
        <v>76020.843043200002</v>
      </c>
      <c r="AE439" s="4">
        <v>25431.950882104382</v>
      </c>
      <c r="AF439" s="4">
        <v>23772.607166592246</v>
      </c>
      <c r="AG439" s="4">
        <v>82143.914995224695</v>
      </c>
    </row>
    <row r="440" spans="1:33" ht="11.25" customHeight="1" x14ac:dyDescent="0.25">
      <c r="A440" s="3" t="s">
        <v>56</v>
      </c>
      <c r="B440" s="3" t="s">
        <v>41</v>
      </c>
      <c r="C440" s="3" t="s">
        <v>40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44621</v>
      </c>
      <c r="J440" s="4">
        <v>934</v>
      </c>
      <c r="K440" s="56">
        <v>934</v>
      </c>
      <c r="L440" s="4">
        <v>356.20699999999999</v>
      </c>
      <c r="M440" s="56">
        <v>356.20699999999999</v>
      </c>
      <c r="N440" s="4">
        <v>356.20699999999999</v>
      </c>
      <c r="O440" s="56">
        <v>356.20699999999999</v>
      </c>
      <c r="P440" s="4">
        <v>0</v>
      </c>
      <c r="Q440" s="3" t="s">
        <v>26</v>
      </c>
      <c r="R440" s="3">
        <v>0</v>
      </c>
      <c r="S440" s="4">
        <v>12</v>
      </c>
      <c r="T440" s="4">
        <v>110</v>
      </c>
      <c r="U440" s="4">
        <v>89</v>
      </c>
      <c r="V440" s="56">
        <v>23.337599999999998</v>
      </c>
      <c r="W440" s="56">
        <v>49.219200000000001</v>
      </c>
      <c r="X440" s="56">
        <v>213.41759999999999</v>
      </c>
      <c r="Y440" s="56">
        <v>27.229069466921182</v>
      </c>
      <c r="Z440" s="56">
        <v>66.738180795414593</v>
      </c>
      <c r="AA440" s="56">
        <v>230.60724521198262</v>
      </c>
      <c r="AB440" s="4">
        <v>21797.3184</v>
      </c>
      <c r="AC440" s="4">
        <v>17532.223574399999</v>
      </c>
      <c r="AD440" s="4">
        <v>76020.843043200002</v>
      </c>
      <c r="AE440" s="4">
        <v>25431.950882104382</v>
      </c>
      <c r="AF440" s="4">
        <v>23772.607166592246</v>
      </c>
      <c r="AG440" s="4">
        <v>82143.914995224695</v>
      </c>
    </row>
    <row r="441" spans="1:33" ht="11.25" customHeight="1" x14ac:dyDescent="0.25">
      <c r="A441" s="3" t="s">
        <v>21</v>
      </c>
      <c r="B441" s="3" t="s">
        <v>41</v>
      </c>
      <c r="C441" s="3" t="s">
        <v>40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44287</v>
      </c>
      <c r="J441" s="4">
        <v>422</v>
      </c>
      <c r="K441" s="56">
        <v>422</v>
      </c>
      <c r="L441" s="4">
        <v>14.534000000000001</v>
      </c>
      <c r="M441" s="56">
        <v>14.534000000000001</v>
      </c>
      <c r="N441" s="4">
        <v>14.534000000000001</v>
      </c>
      <c r="O441" s="56">
        <v>14.534000000000001</v>
      </c>
      <c r="P441" s="4">
        <v>0</v>
      </c>
      <c r="Q441" s="3" t="s">
        <v>26</v>
      </c>
      <c r="R441" s="3">
        <v>0</v>
      </c>
      <c r="S441" s="4">
        <v>11</v>
      </c>
      <c r="T441" s="4">
        <v>110</v>
      </c>
      <c r="U441" s="4">
        <v>88</v>
      </c>
      <c r="V441" s="56">
        <v>59.740799999999993</v>
      </c>
      <c r="W441" s="56">
        <v>49.219200000000001</v>
      </c>
      <c r="X441" s="56">
        <v>350.88</v>
      </c>
      <c r="Y441" s="56">
        <v>74.898049220334201</v>
      </c>
      <c r="Z441" s="56">
        <v>66.738180795414593</v>
      </c>
      <c r="AA441" s="56">
        <v>373.79695658396923</v>
      </c>
      <c r="AB441" s="4">
        <v>25210.617599999998</v>
      </c>
      <c r="AC441" s="4">
        <v>715.35185280000007</v>
      </c>
      <c r="AD441" s="4">
        <v>5099.6899199999998</v>
      </c>
      <c r="AE441" s="4">
        <v>31606.976770981033</v>
      </c>
      <c r="AF441" s="4">
        <v>969.97271968055577</v>
      </c>
      <c r="AG441" s="4">
        <v>5432.764966991409</v>
      </c>
    </row>
    <row r="442" spans="1:33" ht="11.25" customHeight="1" x14ac:dyDescent="0.25">
      <c r="A442" s="3" t="s">
        <v>21</v>
      </c>
      <c r="B442" s="3" t="s">
        <v>41</v>
      </c>
      <c r="C442" s="3" t="s">
        <v>40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44317</v>
      </c>
      <c r="J442" s="4">
        <v>363</v>
      </c>
      <c r="K442" s="56">
        <v>363</v>
      </c>
      <c r="L442" s="4">
        <v>14.506</v>
      </c>
      <c r="M442" s="56">
        <v>14.506</v>
      </c>
      <c r="N442" s="4">
        <v>14.506</v>
      </c>
      <c r="O442" s="56">
        <v>14.506</v>
      </c>
      <c r="P442" s="4">
        <v>0</v>
      </c>
      <c r="Q442" s="3" t="s">
        <v>26</v>
      </c>
      <c r="R442" s="3">
        <v>0</v>
      </c>
      <c r="S442" s="4">
        <v>11</v>
      </c>
      <c r="T442" s="4">
        <v>110</v>
      </c>
      <c r="U442" s="4">
        <v>88</v>
      </c>
      <c r="V442" s="56">
        <v>59.740799999999993</v>
      </c>
      <c r="W442" s="56">
        <v>49.219200000000001</v>
      </c>
      <c r="X442" s="56">
        <v>350.88</v>
      </c>
      <c r="Y442" s="56">
        <v>74.898049220334201</v>
      </c>
      <c r="Z442" s="56">
        <v>66.738180795414593</v>
      </c>
      <c r="AA442" s="56">
        <v>373.79695658396923</v>
      </c>
      <c r="AB442" s="4">
        <v>21685.910399999997</v>
      </c>
      <c r="AC442" s="4">
        <v>713.97371520000002</v>
      </c>
      <c r="AD442" s="4">
        <v>5089.86528</v>
      </c>
      <c r="AE442" s="4">
        <v>27187.991866981316</v>
      </c>
      <c r="AF442" s="4">
        <v>968.10405061828408</v>
      </c>
      <c r="AG442" s="4">
        <v>5422.2986522070578</v>
      </c>
    </row>
    <row r="443" spans="1:33" ht="11.25" customHeight="1" x14ac:dyDescent="0.25">
      <c r="A443" s="3" t="s">
        <v>21</v>
      </c>
      <c r="B443" s="3" t="s">
        <v>41</v>
      </c>
      <c r="C443" s="3" t="s">
        <v>40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44348</v>
      </c>
      <c r="J443" s="4">
        <v>449</v>
      </c>
      <c r="K443" s="56">
        <v>449</v>
      </c>
      <c r="L443" s="4">
        <v>14.18</v>
      </c>
      <c r="M443" s="56">
        <v>14.18</v>
      </c>
      <c r="N443" s="4">
        <v>14.18</v>
      </c>
      <c r="O443" s="56">
        <v>14.18</v>
      </c>
      <c r="P443" s="4">
        <v>0</v>
      </c>
      <c r="Q443" s="3" t="s">
        <v>26</v>
      </c>
      <c r="R443" s="3">
        <v>0</v>
      </c>
      <c r="S443" s="4">
        <v>11</v>
      </c>
      <c r="T443" s="4">
        <v>110</v>
      </c>
      <c r="U443" s="4">
        <v>88</v>
      </c>
      <c r="V443" s="56">
        <v>59.740799999999993</v>
      </c>
      <c r="W443" s="56">
        <v>49.219200000000001</v>
      </c>
      <c r="X443" s="56">
        <v>350.88</v>
      </c>
      <c r="Y443" s="56">
        <v>74.898049220334201</v>
      </c>
      <c r="Z443" s="56">
        <v>66.738180795414593</v>
      </c>
      <c r="AA443" s="56">
        <v>373.79695658396923</v>
      </c>
      <c r="AB443" s="4">
        <v>26823.619199999997</v>
      </c>
      <c r="AC443" s="4">
        <v>697.92825600000003</v>
      </c>
      <c r="AD443" s="4">
        <v>4975.4784</v>
      </c>
      <c r="AE443" s="4">
        <v>33629.224099930056</v>
      </c>
      <c r="AF443" s="4">
        <v>946.34740367897894</v>
      </c>
      <c r="AG443" s="4">
        <v>5300.4408443606835</v>
      </c>
    </row>
    <row r="444" spans="1:33" ht="11.25" customHeight="1" x14ac:dyDescent="0.25">
      <c r="A444" s="3" t="s">
        <v>21</v>
      </c>
      <c r="B444" s="3" t="s">
        <v>41</v>
      </c>
      <c r="C444" s="3" t="s">
        <v>40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44378</v>
      </c>
      <c r="J444" s="4">
        <v>490</v>
      </c>
      <c r="K444" s="56">
        <v>490</v>
      </c>
      <c r="L444" s="4">
        <v>15.058999999999999</v>
      </c>
      <c r="M444" s="56">
        <v>15.058999999999999</v>
      </c>
      <c r="N444" s="4">
        <v>15.058999999999999</v>
      </c>
      <c r="O444" s="56">
        <v>15.058999999999999</v>
      </c>
      <c r="P444" s="4">
        <v>0</v>
      </c>
      <c r="Q444" s="3" t="s">
        <v>26</v>
      </c>
      <c r="R444" s="3">
        <v>0</v>
      </c>
      <c r="S444" s="4">
        <v>11</v>
      </c>
      <c r="T444" s="4">
        <v>110</v>
      </c>
      <c r="U444" s="4">
        <v>88</v>
      </c>
      <c r="V444" s="56">
        <v>59.740799999999993</v>
      </c>
      <c r="W444" s="56">
        <v>49.219200000000001</v>
      </c>
      <c r="X444" s="56">
        <v>350.88</v>
      </c>
      <c r="Y444" s="56">
        <v>74.898049220334201</v>
      </c>
      <c r="Z444" s="56">
        <v>66.738180795414593</v>
      </c>
      <c r="AA444" s="56">
        <v>373.79695658396923</v>
      </c>
      <c r="AB444" s="4">
        <v>29272.991999999998</v>
      </c>
      <c r="AC444" s="4">
        <v>741.19193280000002</v>
      </c>
      <c r="AD444" s="4">
        <v>5283.9019199999993</v>
      </c>
      <c r="AE444" s="4">
        <v>36700.044117963756</v>
      </c>
      <c r="AF444" s="4">
        <v>1005.0102645981483</v>
      </c>
      <c r="AG444" s="4">
        <v>5629.0083691979926</v>
      </c>
    </row>
    <row r="445" spans="1:33" ht="11.25" customHeight="1" x14ac:dyDescent="0.25">
      <c r="A445" s="3" t="s">
        <v>21</v>
      </c>
      <c r="B445" s="3" t="s">
        <v>41</v>
      </c>
      <c r="C445" s="3" t="s">
        <v>40</v>
      </c>
      <c r="D445" s="3" t="s">
        <v>45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44409</v>
      </c>
      <c r="J445" s="4">
        <v>573</v>
      </c>
      <c r="K445" s="56">
        <v>573</v>
      </c>
      <c r="L445" s="4">
        <v>18.038</v>
      </c>
      <c r="M445" s="56">
        <v>18.038</v>
      </c>
      <c r="N445" s="4">
        <v>18.038</v>
      </c>
      <c r="O445" s="56">
        <v>18.038</v>
      </c>
      <c r="P445" s="4">
        <v>0</v>
      </c>
      <c r="Q445" s="3" t="s">
        <v>26</v>
      </c>
      <c r="R445" s="3">
        <v>0</v>
      </c>
      <c r="S445" s="4">
        <v>11</v>
      </c>
      <c r="T445" s="4">
        <v>110</v>
      </c>
      <c r="U445" s="4">
        <v>88</v>
      </c>
      <c r="V445" s="56">
        <v>59.740799999999993</v>
      </c>
      <c r="W445" s="56">
        <v>49.219200000000001</v>
      </c>
      <c r="X445" s="56">
        <v>350.88</v>
      </c>
      <c r="Y445" s="56">
        <v>74.898049220334201</v>
      </c>
      <c r="Z445" s="56">
        <v>66.738180795414593</v>
      </c>
      <c r="AA445" s="56">
        <v>373.79695658396923</v>
      </c>
      <c r="AB445" s="4">
        <v>34231.478399999993</v>
      </c>
      <c r="AC445" s="4">
        <v>887.8159296</v>
      </c>
      <c r="AD445" s="4">
        <v>6329.1734399999996</v>
      </c>
      <c r="AE445" s="4">
        <v>42916.582203251499</v>
      </c>
      <c r="AF445" s="4">
        <v>1203.8233051876884</v>
      </c>
      <c r="AG445" s="4">
        <v>6742.5495028616369</v>
      </c>
    </row>
    <row r="446" spans="1:33" ht="11.25" customHeight="1" x14ac:dyDescent="0.25">
      <c r="A446" s="3" t="s">
        <v>21</v>
      </c>
      <c r="B446" s="3" t="s">
        <v>41</v>
      </c>
      <c r="C446" s="3" t="s">
        <v>40</v>
      </c>
      <c r="D446" s="3" t="s">
        <v>45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44440</v>
      </c>
      <c r="J446" s="4">
        <v>464</v>
      </c>
      <c r="K446" s="56">
        <v>464</v>
      </c>
      <c r="L446" s="4">
        <v>17.111999999999998</v>
      </c>
      <c r="M446" s="56">
        <v>17.111999999999998</v>
      </c>
      <c r="N446" s="4">
        <v>17.111999999999998</v>
      </c>
      <c r="O446" s="56">
        <v>17.111999999999998</v>
      </c>
      <c r="P446" s="4">
        <v>0</v>
      </c>
      <c r="Q446" s="3" t="s">
        <v>26</v>
      </c>
      <c r="R446" s="3">
        <v>0</v>
      </c>
      <c r="S446" s="4">
        <v>11</v>
      </c>
      <c r="T446" s="4">
        <v>110</v>
      </c>
      <c r="U446" s="4">
        <v>88</v>
      </c>
      <c r="V446" s="56">
        <v>59.740799999999993</v>
      </c>
      <c r="W446" s="56">
        <v>49.219200000000001</v>
      </c>
      <c r="X446" s="56">
        <v>350.88</v>
      </c>
      <c r="Y446" s="56">
        <v>74.898049220334201</v>
      </c>
      <c r="Z446" s="56">
        <v>66.738180795414593</v>
      </c>
      <c r="AA446" s="56">
        <v>373.79695658396923</v>
      </c>
      <c r="AB446" s="4">
        <v>27719.731199999998</v>
      </c>
      <c r="AC446" s="4">
        <v>842.23895039999991</v>
      </c>
      <c r="AD446" s="4">
        <v>6004.2585599999993</v>
      </c>
      <c r="AE446" s="4">
        <v>34752.694838235067</v>
      </c>
      <c r="AF446" s="4">
        <v>1142.0237497711344</v>
      </c>
      <c r="AG446" s="4">
        <v>6396.413521064881</v>
      </c>
    </row>
    <row r="447" spans="1:33" ht="11.25" customHeight="1" x14ac:dyDescent="0.25">
      <c r="A447" s="3" t="s">
        <v>21</v>
      </c>
      <c r="B447" s="3" t="s">
        <v>41</v>
      </c>
      <c r="C447" s="3" t="s">
        <v>40</v>
      </c>
      <c r="D447" s="3" t="s">
        <v>45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44470</v>
      </c>
      <c r="J447" s="4">
        <v>454</v>
      </c>
      <c r="K447" s="56">
        <v>454</v>
      </c>
      <c r="L447" s="4">
        <v>17.024999999999999</v>
      </c>
      <c r="M447" s="56">
        <v>17.024999999999999</v>
      </c>
      <c r="N447" s="4">
        <v>17.024999999999999</v>
      </c>
      <c r="O447" s="56">
        <v>17.024999999999999</v>
      </c>
      <c r="P447" s="4">
        <v>0</v>
      </c>
      <c r="Q447" s="3" t="s">
        <v>26</v>
      </c>
      <c r="R447" s="3">
        <v>0</v>
      </c>
      <c r="S447" s="4">
        <v>11</v>
      </c>
      <c r="T447" s="4">
        <v>110</v>
      </c>
      <c r="U447" s="4">
        <v>88</v>
      </c>
      <c r="V447" s="56">
        <v>59.740799999999993</v>
      </c>
      <c r="W447" s="56">
        <v>49.219200000000001</v>
      </c>
      <c r="X447" s="56">
        <v>350.88</v>
      </c>
      <c r="Y447" s="56">
        <v>74.898049220334201</v>
      </c>
      <c r="Z447" s="56">
        <v>66.738180795414593</v>
      </c>
      <c r="AA447" s="56">
        <v>373.79695658396923</v>
      </c>
      <c r="AB447" s="4">
        <v>27122.323199999995</v>
      </c>
      <c r="AC447" s="4">
        <v>837.95687999999996</v>
      </c>
      <c r="AD447" s="4">
        <v>5973.7319999999991</v>
      </c>
      <c r="AE447" s="4">
        <v>34003.714346031724</v>
      </c>
      <c r="AF447" s="4">
        <v>1136.2175280419333</v>
      </c>
      <c r="AG447" s="4">
        <v>6363.8931858420756</v>
      </c>
    </row>
    <row r="448" spans="1:33" ht="11.25" customHeight="1" x14ac:dyDescent="0.25">
      <c r="A448" s="3" t="s">
        <v>21</v>
      </c>
      <c r="B448" s="3" t="s">
        <v>41</v>
      </c>
      <c r="C448" s="3" t="s">
        <v>40</v>
      </c>
      <c r="D448" s="3" t="s">
        <v>45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44501</v>
      </c>
      <c r="J448" s="4">
        <v>619</v>
      </c>
      <c r="K448" s="56">
        <v>619</v>
      </c>
      <c r="L448" s="4">
        <v>17.184999999999999</v>
      </c>
      <c r="M448" s="56">
        <v>17.184999999999999</v>
      </c>
      <c r="N448" s="4">
        <v>17.184999999999999</v>
      </c>
      <c r="O448" s="56">
        <v>17.184999999999999</v>
      </c>
      <c r="P448" s="4">
        <v>0</v>
      </c>
      <c r="Q448" s="3" t="s">
        <v>26</v>
      </c>
      <c r="R448" s="3">
        <v>0</v>
      </c>
      <c r="S448" s="4">
        <v>11</v>
      </c>
      <c r="T448" s="4">
        <v>110</v>
      </c>
      <c r="U448" s="4">
        <v>88</v>
      </c>
      <c r="V448" s="56">
        <v>59.740799999999993</v>
      </c>
      <c r="W448" s="56">
        <v>49.219200000000001</v>
      </c>
      <c r="X448" s="56">
        <v>350.88</v>
      </c>
      <c r="Y448" s="56">
        <v>74.898049220334201</v>
      </c>
      <c r="Z448" s="56">
        <v>66.738180795414593</v>
      </c>
      <c r="AA448" s="56">
        <v>373.79695658396923</v>
      </c>
      <c r="AB448" s="4">
        <v>36979.555199999995</v>
      </c>
      <c r="AC448" s="4">
        <v>845.831952</v>
      </c>
      <c r="AD448" s="4">
        <v>6029.8727999999992</v>
      </c>
      <c r="AE448" s="4">
        <v>46361.892467386868</v>
      </c>
      <c r="AF448" s="4">
        <v>1146.8956369691996</v>
      </c>
      <c r="AG448" s="4">
        <v>6423.7006988955109</v>
      </c>
    </row>
    <row r="449" spans="1:33" ht="11.25" customHeight="1" x14ac:dyDescent="0.25">
      <c r="A449" s="3" t="s">
        <v>21</v>
      </c>
      <c r="B449" s="3" t="s">
        <v>41</v>
      </c>
      <c r="C449" s="3" t="s">
        <v>40</v>
      </c>
      <c r="D449" s="3" t="s">
        <v>45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44531</v>
      </c>
      <c r="J449" s="4">
        <v>690</v>
      </c>
      <c r="K449" s="56">
        <v>690</v>
      </c>
      <c r="L449" s="4">
        <v>24.850999999999999</v>
      </c>
      <c r="M449" s="56">
        <v>24.850999999999999</v>
      </c>
      <c r="N449" s="4">
        <v>24.850999999999999</v>
      </c>
      <c r="O449" s="56">
        <v>24.850999999999999</v>
      </c>
      <c r="P449" s="4">
        <v>0</v>
      </c>
      <c r="Q449" s="3" t="s">
        <v>26</v>
      </c>
      <c r="R449" s="3">
        <v>0</v>
      </c>
      <c r="S449" s="4">
        <v>11</v>
      </c>
      <c r="T449" s="4">
        <v>110</v>
      </c>
      <c r="U449" s="4">
        <v>88</v>
      </c>
      <c r="V449" s="56">
        <v>59.740799999999993</v>
      </c>
      <c r="W449" s="56">
        <v>49.219200000000001</v>
      </c>
      <c r="X449" s="56">
        <v>350.88</v>
      </c>
      <c r="Y449" s="56">
        <v>74.898049220334201</v>
      </c>
      <c r="Z449" s="56">
        <v>66.738180795414593</v>
      </c>
      <c r="AA449" s="56">
        <v>373.79695658396923</v>
      </c>
      <c r="AB449" s="4">
        <v>41221.151999999995</v>
      </c>
      <c r="AC449" s="4">
        <v>1223.1463392000001</v>
      </c>
      <c r="AD449" s="4">
        <v>8719.7188800000004</v>
      </c>
      <c r="AE449" s="4">
        <v>51679.653962030599</v>
      </c>
      <c r="AF449" s="4">
        <v>1658.5105309468479</v>
      </c>
      <c r="AG449" s="4">
        <v>9289.228168068219</v>
      </c>
    </row>
    <row r="450" spans="1:33" ht="11.25" customHeight="1" x14ac:dyDescent="0.25">
      <c r="A450" s="3" t="s">
        <v>21</v>
      </c>
      <c r="B450" s="3" t="s">
        <v>41</v>
      </c>
      <c r="C450" s="3" t="s">
        <v>40</v>
      </c>
      <c r="D450" s="3" t="s">
        <v>45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44562</v>
      </c>
      <c r="J450" s="4">
        <v>766</v>
      </c>
      <c r="K450" s="56">
        <v>766</v>
      </c>
      <c r="L450" s="4">
        <v>19.818999999999999</v>
      </c>
      <c r="M450" s="56">
        <v>19.818999999999999</v>
      </c>
      <c r="N450" s="4">
        <v>19.818999999999999</v>
      </c>
      <c r="O450" s="56">
        <v>19.818999999999999</v>
      </c>
      <c r="P450" s="4">
        <v>0</v>
      </c>
      <c r="Q450" s="3" t="s">
        <v>26</v>
      </c>
      <c r="R450" s="3">
        <v>0</v>
      </c>
      <c r="S450" s="4">
        <v>11</v>
      </c>
      <c r="T450" s="4">
        <v>110</v>
      </c>
      <c r="U450" s="4">
        <v>88</v>
      </c>
      <c r="V450" s="56">
        <v>59.740799999999993</v>
      </c>
      <c r="W450" s="56">
        <v>49.219200000000001</v>
      </c>
      <c r="X450" s="56">
        <v>350.88</v>
      </c>
      <c r="Y450" s="56">
        <v>74.898049220334201</v>
      </c>
      <c r="Z450" s="56">
        <v>66.738180795414593</v>
      </c>
      <c r="AA450" s="56">
        <v>373.79695658396923</v>
      </c>
      <c r="AB450" s="4">
        <v>45761.452799999992</v>
      </c>
      <c r="AC450" s="4">
        <v>975.47532479999995</v>
      </c>
      <c r="AD450" s="4">
        <v>6954.0907199999992</v>
      </c>
      <c r="AE450" s="4">
        <v>57371.905702775999</v>
      </c>
      <c r="AF450" s="4">
        <v>1322.6840051843217</v>
      </c>
      <c r="AG450" s="4">
        <v>7408.2818825376862</v>
      </c>
    </row>
    <row r="451" spans="1:33" ht="11.25" customHeight="1" x14ac:dyDescent="0.25">
      <c r="A451" s="3" t="s">
        <v>21</v>
      </c>
      <c r="B451" s="3" t="s">
        <v>41</v>
      </c>
      <c r="C451" s="3" t="s">
        <v>40</v>
      </c>
      <c r="D451" s="3" t="s">
        <v>45</v>
      </c>
      <c r="E451" s="3" t="s">
        <v>25</v>
      </c>
      <c r="F451" s="3" t="s">
        <v>25</v>
      </c>
      <c r="G451" s="3" t="s">
        <v>25</v>
      </c>
      <c r="H451" s="3" t="s">
        <v>34</v>
      </c>
      <c r="I451" s="6">
        <v>44593</v>
      </c>
      <c r="J451" s="4">
        <v>737</v>
      </c>
      <c r="K451" s="56">
        <v>737</v>
      </c>
      <c r="L451" s="4">
        <v>23.018000000000001</v>
      </c>
      <c r="M451" s="56">
        <v>23.018000000000001</v>
      </c>
      <c r="N451" s="4">
        <v>23.018000000000001</v>
      </c>
      <c r="O451" s="56">
        <v>23.018000000000001</v>
      </c>
      <c r="P451" s="4">
        <v>0</v>
      </c>
      <c r="Q451" s="3" t="s">
        <v>26</v>
      </c>
      <c r="R451" s="3">
        <v>0</v>
      </c>
      <c r="S451" s="4">
        <v>11</v>
      </c>
      <c r="T451" s="4">
        <v>110</v>
      </c>
      <c r="U451" s="4">
        <v>88</v>
      </c>
      <c r="V451" s="56">
        <v>59.740799999999993</v>
      </c>
      <c r="W451" s="56">
        <v>49.219200000000001</v>
      </c>
      <c r="X451" s="56">
        <v>350.88</v>
      </c>
      <c r="Y451" s="56">
        <v>74.898049220334201</v>
      </c>
      <c r="Z451" s="56">
        <v>66.738180795414593</v>
      </c>
      <c r="AA451" s="56">
        <v>373.79695658396923</v>
      </c>
      <c r="AB451" s="4">
        <v>44028.969599999997</v>
      </c>
      <c r="AC451" s="4">
        <v>1132.9275456</v>
      </c>
      <c r="AD451" s="4">
        <v>8076.55584</v>
      </c>
      <c r="AE451" s="4">
        <v>55199.862275386309</v>
      </c>
      <c r="AF451" s="4">
        <v>1536.1794455488532</v>
      </c>
      <c r="AG451" s="4">
        <v>8604.0583466498047</v>
      </c>
    </row>
    <row r="452" spans="1:33" ht="11.25" customHeight="1" x14ac:dyDescent="0.25">
      <c r="A452" s="3" t="s">
        <v>56</v>
      </c>
      <c r="B452" s="3" t="s">
        <v>41</v>
      </c>
      <c r="C452" s="3" t="s">
        <v>40</v>
      </c>
      <c r="D452" s="3" t="s">
        <v>45</v>
      </c>
      <c r="E452" s="3" t="s">
        <v>25</v>
      </c>
      <c r="F452" s="3" t="s">
        <v>25</v>
      </c>
      <c r="G452" s="3" t="s">
        <v>25</v>
      </c>
      <c r="H452" s="3" t="s">
        <v>34</v>
      </c>
      <c r="I452" s="6">
        <v>44621</v>
      </c>
      <c r="J452" s="4">
        <v>737</v>
      </c>
      <c r="K452" s="56">
        <v>737</v>
      </c>
      <c r="L452" s="4">
        <v>23.018000000000001</v>
      </c>
      <c r="M452" s="56">
        <v>23.018000000000001</v>
      </c>
      <c r="N452" s="4">
        <v>23.018000000000001</v>
      </c>
      <c r="O452" s="56">
        <v>23.018000000000001</v>
      </c>
      <c r="P452" s="4">
        <v>0</v>
      </c>
      <c r="Q452" s="3" t="s">
        <v>26</v>
      </c>
      <c r="R452" s="3">
        <v>0</v>
      </c>
      <c r="S452" s="4">
        <v>11</v>
      </c>
      <c r="T452" s="4">
        <v>110</v>
      </c>
      <c r="U452" s="4">
        <v>88</v>
      </c>
      <c r="V452" s="56">
        <v>59.740799999999993</v>
      </c>
      <c r="W452" s="56">
        <v>49.219200000000001</v>
      </c>
      <c r="X452" s="56">
        <v>350.88</v>
      </c>
      <c r="Y452" s="56">
        <v>74.898049220334201</v>
      </c>
      <c r="Z452" s="56">
        <v>66.738180795414593</v>
      </c>
      <c r="AA452" s="56">
        <v>373.79695658396923</v>
      </c>
      <c r="AB452" s="4">
        <v>44028.969599999997</v>
      </c>
      <c r="AC452" s="4">
        <v>1132.9275456</v>
      </c>
      <c r="AD452" s="4">
        <v>8076.55584</v>
      </c>
      <c r="AE452" s="4">
        <v>55199.862275386309</v>
      </c>
      <c r="AF452" s="4">
        <v>1536.1794455488532</v>
      </c>
      <c r="AG452" s="4">
        <v>8604.0583466498047</v>
      </c>
    </row>
    <row r="453" spans="1:33" ht="11.25" customHeight="1" x14ac:dyDescent="0.25">
      <c r="A453" s="3" t="s">
        <v>21</v>
      </c>
      <c r="B453" s="3" t="s">
        <v>41</v>
      </c>
      <c r="C453" s="3" t="s">
        <v>40</v>
      </c>
      <c r="D453" s="3" t="s">
        <v>50</v>
      </c>
      <c r="E453" s="3" t="s">
        <v>51</v>
      </c>
      <c r="F453" s="3" t="s">
        <v>25</v>
      </c>
      <c r="G453" s="3" t="s">
        <v>25</v>
      </c>
      <c r="H453" s="3" t="s">
        <v>35</v>
      </c>
      <c r="I453" s="6">
        <v>44287</v>
      </c>
      <c r="J453" s="4">
        <v>7026</v>
      </c>
      <c r="K453" s="57">
        <v>7026</v>
      </c>
      <c r="L453" s="4">
        <v>3424.1260000000002</v>
      </c>
      <c r="M453" s="56">
        <v>3424.1260000000002</v>
      </c>
      <c r="N453" s="4">
        <v>3424.1260000000002</v>
      </c>
      <c r="O453" s="56">
        <v>3424.1260000000002</v>
      </c>
      <c r="P453" s="4">
        <v>0</v>
      </c>
      <c r="Q453" s="3" t="s">
        <v>26</v>
      </c>
      <c r="R453" s="3">
        <v>0</v>
      </c>
      <c r="S453" s="4">
        <v>12</v>
      </c>
      <c r="T453" s="4">
        <v>110</v>
      </c>
      <c r="U453" s="4">
        <v>89</v>
      </c>
      <c r="V453" s="56">
        <v>22.851399999999998</v>
      </c>
      <c r="W453" s="56">
        <v>48.193800000000003</v>
      </c>
      <c r="X453" s="56">
        <v>208.97139999999999</v>
      </c>
      <c r="Y453" s="56">
        <v>26.951221819299537</v>
      </c>
      <c r="Z453" s="56">
        <v>66.057178950563411</v>
      </c>
      <c r="AA453" s="56">
        <v>228.25411005675829</v>
      </c>
      <c r="AB453" s="4">
        <v>160553.93639999998</v>
      </c>
      <c r="AC453" s="4">
        <v>165021.64361880001</v>
      </c>
      <c r="AD453" s="4">
        <v>715544.40399639995</v>
      </c>
      <c r="AE453" s="4">
        <v>189359.28450239854</v>
      </c>
      <c r="AF453" s="4">
        <v>226188.10393127691</v>
      </c>
      <c r="AG453" s="4">
        <v>781570.83285220759</v>
      </c>
    </row>
    <row r="454" spans="1:33" ht="11.25" customHeight="1" x14ac:dyDescent="0.25">
      <c r="A454" s="3" t="s">
        <v>21</v>
      </c>
      <c r="B454" s="3" t="s">
        <v>41</v>
      </c>
      <c r="C454" s="3" t="s">
        <v>40</v>
      </c>
      <c r="D454" s="3" t="s">
        <v>50</v>
      </c>
      <c r="E454" s="3" t="s">
        <v>51</v>
      </c>
      <c r="F454" s="3" t="s">
        <v>25</v>
      </c>
      <c r="G454" s="3" t="s">
        <v>25</v>
      </c>
      <c r="H454" s="3" t="s">
        <v>35</v>
      </c>
      <c r="I454" s="6">
        <v>44317</v>
      </c>
      <c r="J454" s="4">
        <v>7064</v>
      </c>
      <c r="K454" s="57">
        <v>7064</v>
      </c>
      <c r="L454" s="4">
        <v>3484.2539999999999</v>
      </c>
      <c r="M454" s="56">
        <v>3484.2539999999999</v>
      </c>
      <c r="N454" s="4">
        <v>3484.2539999999999</v>
      </c>
      <c r="O454" s="56">
        <v>3484.2539999999999</v>
      </c>
      <c r="P454" s="4">
        <v>0</v>
      </c>
      <c r="Q454" s="3" t="s">
        <v>26</v>
      </c>
      <c r="R454" s="3">
        <v>0</v>
      </c>
      <c r="S454" s="4">
        <v>12</v>
      </c>
      <c r="T454" s="4">
        <v>110</v>
      </c>
      <c r="U454" s="4">
        <v>89</v>
      </c>
      <c r="V454" s="56">
        <v>22.851399999999998</v>
      </c>
      <c r="W454" s="56">
        <v>48.193800000000003</v>
      </c>
      <c r="X454" s="56">
        <v>208.97139999999999</v>
      </c>
      <c r="Y454" s="56">
        <v>26.951221819299537</v>
      </c>
      <c r="Z454" s="56">
        <v>66.057178950563411</v>
      </c>
      <c r="AA454" s="56">
        <v>228.25411005675829</v>
      </c>
      <c r="AB454" s="4">
        <v>161422.28959999999</v>
      </c>
      <c r="AC454" s="4">
        <v>167919.44042520001</v>
      </c>
      <c r="AD454" s="4">
        <v>728109.43633559998</v>
      </c>
      <c r="AE454" s="4">
        <v>190383.43093153194</v>
      </c>
      <c r="AF454" s="4">
        <v>230159.98998721637</v>
      </c>
      <c r="AG454" s="4">
        <v>795295.2959817003</v>
      </c>
    </row>
    <row r="455" spans="1:33" ht="11.25" customHeight="1" x14ac:dyDescent="0.25">
      <c r="A455" s="3" t="s">
        <v>21</v>
      </c>
      <c r="B455" s="3" t="s">
        <v>41</v>
      </c>
      <c r="C455" s="3" t="s">
        <v>40</v>
      </c>
      <c r="D455" s="3" t="s">
        <v>50</v>
      </c>
      <c r="E455" s="3" t="s">
        <v>51</v>
      </c>
      <c r="F455" s="3" t="s">
        <v>25</v>
      </c>
      <c r="G455" s="3" t="s">
        <v>25</v>
      </c>
      <c r="H455" s="3" t="s">
        <v>35</v>
      </c>
      <c r="I455" s="6">
        <v>44348</v>
      </c>
      <c r="J455" s="4">
        <v>11333</v>
      </c>
      <c r="K455" s="57">
        <v>11333</v>
      </c>
      <c r="L455" s="4">
        <v>5526.6139999999996</v>
      </c>
      <c r="M455" s="56">
        <v>5526.6139999999996</v>
      </c>
      <c r="N455" s="4">
        <v>5526.6139999999996</v>
      </c>
      <c r="O455" s="56">
        <v>5526.6139999999996</v>
      </c>
      <c r="P455" s="4">
        <v>0</v>
      </c>
      <c r="Q455" s="3" t="s">
        <v>26</v>
      </c>
      <c r="R455" s="3">
        <v>0</v>
      </c>
      <c r="S455" s="4">
        <v>12</v>
      </c>
      <c r="T455" s="4">
        <v>110</v>
      </c>
      <c r="U455" s="4">
        <v>89</v>
      </c>
      <c r="V455" s="56">
        <v>22.851399999999998</v>
      </c>
      <c r="W455" s="56">
        <v>48.193800000000003</v>
      </c>
      <c r="X455" s="56">
        <v>208.97139999999999</v>
      </c>
      <c r="Y455" s="56">
        <v>26.951221819299537</v>
      </c>
      <c r="Z455" s="56">
        <v>66.057178950563411</v>
      </c>
      <c r="AA455" s="56">
        <v>228.25411005675829</v>
      </c>
      <c r="AB455" s="4">
        <v>258974.91619999998</v>
      </c>
      <c r="AC455" s="4">
        <v>266348.52979320002</v>
      </c>
      <c r="AD455" s="4">
        <v>1154904.2648395998</v>
      </c>
      <c r="AE455" s="4">
        <v>305438.19687812164</v>
      </c>
      <c r="AF455" s="4">
        <v>365072.52998868906</v>
      </c>
      <c r="AG455" s="4">
        <v>1261472.3601972212</v>
      </c>
    </row>
    <row r="456" spans="1:33" ht="11.25" customHeight="1" x14ac:dyDescent="0.25">
      <c r="A456" s="3" t="s">
        <v>21</v>
      </c>
      <c r="B456" s="3" t="s">
        <v>41</v>
      </c>
      <c r="C456" s="3" t="s">
        <v>40</v>
      </c>
      <c r="D456" s="3" t="s">
        <v>50</v>
      </c>
      <c r="E456" s="3" t="s">
        <v>51</v>
      </c>
      <c r="F456" s="3" t="s">
        <v>25</v>
      </c>
      <c r="G456" s="3" t="s">
        <v>25</v>
      </c>
      <c r="H456" s="3" t="s">
        <v>35</v>
      </c>
      <c r="I456" s="6">
        <v>44378</v>
      </c>
      <c r="J456" s="4">
        <v>11554</v>
      </c>
      <c r="K456" s="57">
        <v>11554</v>
      </c>
      <c r="L456" s="4">
        <v>5620.0230000000001</v>
      </c>
      <c r="M456" s="56">
        <v>5620.0230000000001</v>
      </c>
      <c r="N456" s="4">
        <v>5620.0230000000001</v>
      </c>
      <c r="O456" s="56">
        <v>5620.0230000000001</v>
      </c>
      <c r="P456" s="4">
        <v>0</v>
      </c>
      <c r="Q456" s="3" t="s">
        <v>26</v>
      </c>
      <c r="R456" s="3">
        <v>0</v>
      </c>
      <c r="S456" s="4">
        <v>12</v>
      </c>
      <c r="T456" s="4">
        <v>110</v>
      </c>
      <c r="U456" s="4">
        <v>89</v>
      </c>
      <c r="V456" s="56">
        <v>22.851399999999998</v>
      </c>
      <c r="W456" s="56">
        <v>48.193800000000003</v>
      </c>
      <c r="X456" s="56">
        <v>208.97139999999999</v>
      </c>
      <c r="Y456" s="56">
        <v>26.951221819299537</v>
      </c>
      <c r="Z456" s="56">
        <v>66.057178950563411</v>
      </c>
      <c r="AA456" s="56">
        <v>228.25411005675829</v>
      </c>
      <c r="AB456" s="4">
        <v>264025.07559999998</v>
      </c>
      <c r="AC456" s="4">
        <v>270850.26445740002</v>
      </c>
      <c r="AD456" s="4">
        <v>1174424.0743422001</v>
      </c>
      <c r="AE456" s="4">
        <v>311394.41690018686</v>
      </c>
      <c r="AF456" s="4">
        <v>371242.86501728225</v>
      </c>
      <c r="AG456" s="4">
        <v>1282793.3483635129</v>
      </c>
    </row>
    <row r="457" spans="1:33" ht="11.25" customHeight="1" x14ac:dyDescent="0.25">
      <c r="A457" s="3" t="s">
        <v>27</v>
      </c>
      <c r="B457" s="3" t="s">
        <v>41</v>
      </c>
      <c r="C457" s="3" t="s">
        <v>40</v>
      </c>
      <c r="D457" s="3" t="s">
        <v>50</v>
      </c>
      <c r="E457" s="3" t="s">
        <v>51</v>
      </c>
      <c r="F457" s="3" t="s">
        <v>25</v>
      </c>
      <c r="G457" s="3" t="s">
        <v>25</v>
      </c>
      <c r="H457" s="3" t="s">
        <v>35</v>
      </c>
      <c r="I457" s="6">
        <v>44378</v>
      </c>
      <c r="J457" s="4">
        <v>-8</v>
      </c>
      <c r="K457" s="57">
        <v>-8</v>
      </c>
      <c r="L457" s="4">
        <v>-28</v>
      </c>
      <c r="M457" s="56">
        <v>-28</v>
      </c>
      <c r="N457" s="4">
        <v>-28</v>
      </c>
      <c r="O457" s="56">
        <v>-28</v>
      </c>
      <c r="P457" s="4">
        <v>0</v>
      </c>
      <c r="Q457" s="3" t="s">
        <v>26</v>
      </c>
      <c r="R457" s="3">
        <v>0</v>
      </c>
      <c r="S457" s="4">
        <v>12</v>
      </c>
      <c r="T457" s="4">
        <v>110</v>
      </c>
      <c r="U457" s="4">
        <v>89</v>
      </c>
      <c r="V457" s="56">
        <v>22.851399999999998</v>
      </c>
      <c r="W457" s="56">
        <v>48.193800000000003</v>
      </c>
      <c r="X457" s="56">
        <v>208.97139999999999</v>
      </c>
      <c r="Y457" s="56">
        <v>26.951221819299537</v>
      </c>
      <c r="Z457" s="56">
        <v>66.057178950563411</v>
      </c>
      <c r="AA457" s="56">
        <v>228.25411005675829</v>
      </c>
      <c r="AB457" s="4">
        <v>-182.81119999999999</v>
      </c>
      <c r="AC457" s="4">
        <v>-1349.4264000000001</v>
      </c>
      <c r="AD457" s="4">
        <v>-5851.1992</v>
      </c>
      <c r="AE457" s="4">
        <v>-215.6097745543963</v>
      </c>
      <c r="AF457" s="4">
        <v>-1849.6010106157755</v>
      </c>
      <c r="AG457" s="4">
        <v>-6391.1150815892324</v>
      </c>
    </row>
    <row r="458" spans="1:33" ht="11.25" customHeight="1" x14ac:dyDescent="0.25">
      <c r="A458" s="3" t="s">
        <v>21</v>
      </c>
      <c r="B458" s="3" t="s">
        <v>41</v>
      </c>
      <c r="C458" s="3" t="s">
        <v>40</v>
      </c>
      <c r="D458" s="3" t="s">
        <v>50</v>
      </c>
      <c r="E458" s="3" t="s">
        <v>51</v>
      </c>
      <c r="F458" s="3" t="s">
        <v>25</v>
      </c>
      <c r="G458" s="3" t="s">
        <v>25</v>
      </c>
      <c r="H458" s="3" t="s">
        <v>35</v>
      </c>
      <c r="I458" s="6">
        <v>44409</v>
      </c>
      <c r="J458" s="4">
        <v>5382</v>
      </c>
      <c r="K458" s="57">
        <v>5382</v>
      </c>
      <c r="L458" s="4">
        <v>2391.4760000000001</v>
      </c>
      <c r="M458" s="56">
        <v>2391.4760000000001</v>
      </c>
      <c r="N458" s="4">
        <v>2391.4760000000001</v>
      </c>
      <c r="O458" s="56">
        <v>2391.4760000000001</v>
      </c>
      <c r="P458" s="4">
        <v>0</v>
      </c>
      <c r="Q458" s="3" t="s">
        <v>26</v>
      </c>
      <c r="R458" s="3">
        <v>0</v>
      </c>
      <c r="S458" s="4">
        <v>12</v>
      </c>
      <c r="T458" s="4">
        <v>110</v>
      </c>
      <c r="U458" s="4">
        <v>89</v>
      </c>
      <c r="V458" s="56">
        <v>22.851399999999998</v>
      </c>
      <c r="W458" s="56">
        <v>48.193800000000003</v>
      </c>
      <c r="X458" s="56">
        <v>208.97139999999999</v>
      </c>
      <c r="Y458" s="56">
        <v>26.951221819299537</v>
      </c>
      <c r="Z458" s="56">
        <v>66.057178950563411</v>
      </c>
      <c r="AA458" s="56">
        <v>228.25411005675829</v>
      </c>
      <c r="AB458" s="4">
        <v>122986.23479999999</v>
      </c>
      <c r="AC458" s="4">
        <v>115254.31604880001</v>
      </c>
      <c r="AD458" s="4">
        <v>499750.08778639999</v>
      </c>
      <c r="AE458" s="4">
        <v>145051.4758314701</v>
      </c>
      <c r="AF458" s="4">
        <v>157974.15808797759</v>
      </c>
      <c r="AG458" s="4">
        <v>545864.22610209615</v>
      </c>
    </row>
    <row r="459" spans="1:33" ht="11.25" customHeight="1" x14ac:dyDescent="0.25">
      <c r="A459" s="3" t="s">
        <v>21</v>
      </c>
      <c r="B459" s="3" t="s">
        <v>41</v>
      </c>
      <c r="C459" s="3" t="s">
        <v>40</v>
      </c>
      <c r="D459" s="3" t="s">
        <v>50</v>
      </c>
      <c r="E459" s="3" t="s">
        <v>51</v>
      </c>
      <c r="F459" s="3" t="s">
        <v>25</v>
      </c>
      <c r="G459" s="3" t="s">
        <v>25</v>
      </c>
      <c r="H459" s="3" t="s">
        <v>35</v>
      </c>
      <c r="I459" s="6">
        <v>44440</v>
      </c>
      <c r="J459" s="4">
        <v>5325</v>
      </c>
      <c r="K459" s="57">
        <v>5325</v>
      </c>
      <c r="L459" s="4">
        <v>2351.6170000000002</v>
      </c>
      <c r="M459" s="56">
        <v>2351.6170000000002</v>
      </c>
      <c r="N459" s="4">
        <v>2351.6170000000002</v>
      </c>
      <c r="O459" s="56">
        <v>2351.6170000000002</v>
      </c>
      <c r="P459" s="4">
        <v>0</v>
      </c>
      <c r="Q459" s="3" t="s">
        <v>26</v>
      </c>
      <c r="R459" s="3">
        <v>0</v>
      </c>
      <c r="S459" s="4">
        <v>12</v>
      </c>
      <c r="T459" s="4">
        <v>110</v>
      </c>
      <c r="U459" s="4">
        <v>89</v>
      </c>
      <c r="V459" s="56">
        <v>22.851399999999998</v>
      </c>
      <c r="W459" s="56">
        <v>48.193800000000003</v>
      </c>
      <c r="X459" s="56">
        <v>208.97139999999999</v>
      </c>
      <c r="Y459" s="56">
        <v>26.951221819299537</v>
      </c>
      <c r="Z459" s="56">
        <v>66.057178950563411</v>
      </c>
      <c r="AA459" s="56">
        <v>228.25411005675829</v>
      </c>
      <c r="AB459" s="4">
        <v>121683.70499999999</v>
      </c>
      <c r="AC459" s="4">
        <v>113333.35937460001</v>
      </c>
      <c r="AD459" s="4">
        <v>491420.69675380003</v>
      </c>
      <c r="AE459" s="4">
        <v>143515.25618777002</v>
      </c>
      <c r="AF459" s="4">
        <v>155341.1849921871</v>
      </c>
      <c r="AG459" s="4">
        <v>536766.24552934384</v>
      </c>
    </row>
    <row r="460" spans="1:33" ht="11.25" customHeight="1" x14ac:dyDescent="0.25">
      <c r="A460" s="3" t="s">
        <v>21</v>
      </c>
      <c r="B460" s="3" t="s">
        <v>41</v>
      </c>
      <c r="C460" s="3" t="s">
        <v>40</v>
      </c>
      <c r="D460" s="3" t="s">
        <v>50</v>
      </c>
      <c r="E460" s="3" t="s">
        <v>51</v>
      </c>
      <c r="F460" s="3" t="s">
        <v>25</v>
      </c>
      <c r="G460" s="3" t="s">
        <v>25</v>
      </c>
      <c r="H460" s="3" t="s">
        <v>35</v>
      </c>
      <c r="I460" s="6">
        <v>44470</v>
      </c>
      <c r="J460" s="4">
        <v>5380</v>
      </c>
      <c r="K460" s="57">
        <v>5380</v>
      </c>
      <c r="L460" s="4">
        <v>2387.5569999999998</v>
      </c>
      <c r="M460" s="56">
        <v>2387.5569999999998</v>
      </c>
      <c r="N460" s="4">
        <v>2387.5569999999998</v>
      </c>
      <c r="O460" s="56">
        <v>2387.5569999999998</v>
      </c>
      <c r="P460" s="4">
        <v>0</v>
      </c>
      <c r="Q460" s="3" t="s">
        <v>26</v>
      </c>
      <c r="R460" s="3">
        <v>0</v>
      </c>
      <c r="S460" s="4">
        <v>12</v>
      </c>
      <c r="T460" s="4">
        <v>110</v>
      </c>
      <c r="U460" s="4">
        <v>89</v>
      </c>
      <c r="V460" s="56">
        <v>22.851399999999998</v>
      </c>
      <c r="W460" s="56">
        <v>48.193800000000003</v>
      </c>
      <c r="X460" s="56">
        <v>208.97139999999999</v>
      </c>
      <c r="Y460" s="56">
        <v>26.951221819299537</v>
      </c>
      <c r="Z460" s="56">
        <v>66.057178950563411</v>
      </c>
      <c r="AA460" s="56">
        <v>228.25411005675829</v>
      </c>
      <c r="AB460" s="4">
        <v>122940.53199999999</v>
      </c>
      <c r="AC460" s="4">
        <v>115065.4445466</v>
      </c>
      <c r="AD460" s="4">
        <v>498931.12886979996</v>
      </c>
      <c r="AE460" s="4">
        <v>144997.57338783151</v>
      </c>
      <c r="AF460" s="4">
        <v>157715.28000367031</v>
      </c>
      <c r="AG460" s="4">
        <v>544969.69824478356</v>
      </c>
    </row>
    <row r="461" spans="1:33" ht="11.25" customHeight="1" x14ac:dyDescent="0.25">
      <c r="A461" s="3" t="s">
        <v>21</v>
      </c>
      <c r="B461" s="3" t="s">
        <v>41</v>
      </c>
      <c r="C461" s="3" t="s">
        <v>40</v>
      </c>
      <c r="D461" s="3" t="s">
        <v>50</v>
      </c>
      <c r="E461" s="3" t="s">
        <v>51</v>
      </c>
      <c r="F461" s="3" t="s">
        <v>25</v>
      </c>
      <c r="G461" s="3" t="s">
        <v>25</v>
      </c>
      <c r="H461" s="3" t="s">
        <v>35</v>
      </c>
      <c r="I461" s="6">
        <v>44501</v>
      </c>
      <c r="J461" s="4">
        <v>5360</v>
      </c>
      <c r="K461" s="57">
        <v>5360</v>
      </c>
      <c r="L461" s="4">
        <v>2342.62</v>
      </c>
      <c r="M461" s="56">
        <v>2342.62</v>
      </c>
      <c r="N461" s="4">
        <v>2342.62</v>
      </c>
      <c r="O461" s="56">
        <v>2342.62</v>
      </c>
      <c r="P461" s="4">
        <v>0</v>
      </c>
      <c r="Q461" s="3" t="s">
        <v>26</v>
      </c>
      <c r="R461" s="3">
        <v>0</v>
      </c>
      <c r="S461" s="4">
        <v>12</v>
      </c>
      <c r="T461" s="4">
        <v>110</v>
      </c>
      <c r="U461" s="4">
        <v>89</v>
      </c>
      <c r="V461" s="56">
        <v>22.851399999999998</v>
      </c>
      <c r="W461" s="56">
        <v>48.193800000000003</v>
      </c>
      <c r="X461" s="56">
        <v>208.97139999999999</v>
      </c>
      <c r="Y461" s="56">
        <v>26.951221819299537</v>
      </c>
      <c r="Z461" s="56">
        <v>66.057178950563411</v>
      </c>
      <c r="AA461" s="56">
        <v>228.25411005675829</v>
      </c>
      <c r="AB461" s="4">
        <v>122483.50399999999</v>
      </c>
      <c r="AC461" s="4">
        <v>112899.759756</v>
      </c>
      <c r="AD461" s="4">
        <v>489540.58106799994</v>
      </c>
      <c r="AE461" s="4">
        <v>144458.54895144553</v>
      </c>
      <c r="AF461" s="4">
        <v>154746.86855316884</v>
      </c>
      <c r="AG461" s="4">
        <v>534712.6433011631</v>
      </c>
    </row>
    <row r="462" spans="1:33" ht="11.25" customHeight="1" x14ac:dyDescent="0.25">
      <c r="A462" s="3" t="s">
        <v>21</v>
      </c>
      <c r="B462" s="3" t="s">
        <v>41</v>
      </c>
      <c r="C462" s="3" t="s">
        <v>40</v>
      </c>
      <c r="D462" s="3" t="s">
        <v>50</v>
      </c>
      <c r="E462" s="3" t="s">
        <v>51</v>
      </c>
      <c r="F462" s="3" t="s">
        <v>25</v>
      </c>
      <c r="G462" s="3" t="s">
        <v>25</v>
      </c>
      <c r="H462" s="3" t="s">
        <v>35</v>
      </c>
      <c r="I462" s="6">
        <v>44531</v>
      </c>
      <c r="J462" s="4">
        <v>5291</v>
      </c>
      <c r="K462" s="57">
        <v>5291</v>
      </c>
      <c r="L462" s="4">
        <v>2365.7759999999998</v>
      </c>
      <c r="M462" s="56">
        <v>2365.7759999999998</v>
      </c>
      <c r="N462" s="4">
        <v>2365.7759999999998</v>
      </c>
      <c r="O462" s="56">
        <v>2365.7759999999998</v>
      </c>
      <c r="P462" s="4">
        <v>0</v>
      </c>
      <c r="Q462" s="3" t="s">
        <v>26</v>
      </c>
      <c r="R462" s="3">
        <v>0</v>
      </c>
      <c r="S462" s="4">
        <v>12</v>
      </c>
      <c r="T462" s="4">
        <v>110</v>
      </c>
      <c r="U462" s="4">
        <v>89</v>
      </c>
      <c r="V462" s="56">
        <v>22.851399999999998</v>
      </c>
      <c r="W462" s="56">
        <v>48.193800000000003</v>
      </c>
      <c r="X462" s="56">
        <v>208.97139999999999</v>
      </c>
      <c r="Y462" s="56">
        <v>26.951221819299537</v>
      </c>
      <c r="Z462" s="56">
        <v>66.057178950563411</v>
      </c>
      <c r="AA462" s="56">
        <v>228.25411005675829</v>
      </c>
      <c r="AB462" s="4">
        <v>120906.75739999999</v>
      </c>
      <c r="AC462" s="4">
        <v>114015.73538879999</v>
      </c>
      <c r="AD462" s="4">
        <v>494379.52280639997</v>
      </c>
      <c r="AE462" s="4">
        <v>142598.91464591384</v>
      </c>
      <c r="AF462" s="4">
        <v>156276.48858894809</v>
      </c>
      <c r="AG462" s="4">
        <v>539998.09547363734</v>
      </c>
    </row>
    <row r="463" spans="1:33" ht="11.25" customHeight="1" x14ac:dyDescent="0.25">
      <c r="A463" s="3" t="s">
        <v>21</v>
      </c>
      <c r="B463" s="3" t="s">
        <v>41</v>
      </c>
      <c r="C463" s="3" t="s">
        <v>40</v>
      </c>
      <c r="D463" s="3" t="s">
        <v>50</v>
      </c>
      <c r="E463" s="3" t="s">
        <v>51</v>
      </c>
      <c r="F463" s="3" t="s">
        <v>25</v>
      </c>
      <c r="G463" s="3" t="s">
        <v>25</v>
      </c>
      <c r="H463" s="3" t="s">
        <v>35</v>
      </c>
      <c r="I463" s="6">
        <v>44562</v>
      </c>
      <c r="J463" s="4">
        <v>5396</v>
      </c>
      <c r="K463" s="57">
        <v>5396</v>
      </c>
      <c r="L463" s="4">
        <v>2486.547</v>
      </c>
      <c r="M463" s="56">
        <v>2486.547</v>
      </c>
      <c r="N463" s="4">
        <v>2486.547</v>
      </c>
      <c r="O463" s="56">
        <v>2486.547</v>
      </c>
      <c r="P463" s="4">
        <v>0</v>
      </c>
      <c r="Q463" s="3" t="s">
        <v>26</v>
      </c>
      <c r="R463" s="3">
        <v>0</v>
      </c>
      <c r="S463" s="4">
        <v>12</v>
      </c>
      <c r="T463" s="4">
        <v>110</v>
      </c>
      <c r="U463" s="4">
        <v>89</v>
      </c>
      <c r="V463" s="56">
        <v>22.851399999999998</v>
      </c>
      <c r="W463" s="56">
        <v>48.193800000000003</v>
      </c>
      <c r="X463" s="56">
        <v>208.97139999999999</v>
      </c>
      <c r="Y463" s="56">
        <v>26.951221819299537</v>
      </c>
      <c r="Z463" s="56">
        <v>66.057178950563411</v>
      </c>
      <c r="AA463" s="56">
        <v>228.25411005675829</v>
      </c>
      <c r="AB463" s="4">
        <v>123306.15439999998</v>
      </c>
      <c r="AC463" s="4">
        <v>119836.1488086</v>
      </c>
      <c r="AD463" s="4">
        <v>519617.20775579999</v>
      </c>
      <c r="AE463" s="4">
        <v>145428.7929369403</v>
      </c>
      <c r="AF463" s="4">
        <v>164254.2801479866</v>
      </c>
      <c r="AG463" s="4">
        <v>567564.57259930216</v>
      </c>
    </row>
    <row r="464" spans="1:33" ht="11.25" customHeight="1" x14ac:dyDescent="0.25">
      <c r="A464" s="3" t="s">
        <v>21</v>
      </c>
      <c r="B464" s="3" t="s">
        <v>41</v>
      </c>
      <c r="C464" s="3" t="s">
        <v>40</v>
      </c>
      <c r="D464" s="3" t="s">
        <v>50</v>
      </c>
      <c r="E464" s="3" t="s">
        <v>51</v>
      </c>
      <c r="F464" s="3" t="s">
        <v>25</v>
      </c>
      <c r="G464" s="3" t="s">
        <v>25</v>
      </c>
      <c r="H464" s="3" t="s">
        <v>35</v>
      </c>
      <c r="I464" s="6">
        <v>44593</v>
      </c>
      <c r="J464" s="4">
        <v>5460</v>
      </c>
      <c r="K464" s="57">
        <v>5460</v>
      </c>
      <c r="L464" s="4">
        <v>2275.4929999999999</v>
      </c>
      <c r="M464" s="56">
        <v>2275.4929999999999</v>
      </c>
      <c r="N464" s="4">
        <v>2275.4929999999999</v>
      </c>
      <c r="O464" s="56">
        <v>2275.4929999999999</v>
      </c>
      <c r="P464" s="4">
        <v>0</v>
      </c>
      <c r="Q464" s="3" t="s">
        <v>26</v>
      </c>
      <c r="R464" s="3">
        <v>0</v>
      </c>
      <c r="S464" s="4">
        <v>12</v>
      </c>
      <c r="T464" s="4">
        <v>110</v>
      </c>
      <c r="U464" s="4">
        <v>89</v>
      </c>
      <c r="V464" s="56">
        <v>22.851399999999998</v>
      </c>
      <c r="W464" s="56">
        <v>48.193800000000003</v>
      </c>
      <c r="X464" s="56">
        <v>208.97139999999999</v>
      </c>
      <c r="Y464" s="56">
        <v>26.951221819299537</v>
      </c>
      <c r="Z464" s="56">
        <v>66.057178950563411</v>
      </c>
      <c r="AA464" s="56">
        <v>228.25411005675829</v>
      </c>
      <c r="AB464" s="4">
        <v>124768.64399999999</v>
      </c>
      <c r="AC464" s="4">
        <v>109664.6545434</v>
      </c>
      <c r="AD464" s="4">
        <v>475512.95790019998</v>
      </c>
      <c r="AE464" s="4">
        <v>147153.67113337546</v>
      </c>
      <c r="AF464" s="4">
        <v>150312.64830175438</v>
      </c>
      <c r="AG464" s="4">
        <v>519390.62965538306</v>
      </c>
    </row>
    <row r="465" spans="1:33" ht="11.25" customHeight="1" x14ac:dyDescent="0.25">
      <c r="A465" s="3" t="s">
        <v>56</v>
      </c>
      <c r="B465" s="3" t="s">
        <v>41</v>
      </c>
      <c r="C465" s="3" t="s">
        <v>40</v>
      </c>
      <c r="D465" s="3" t="s">
        <v>50</v>
      </c>
      <c r="E465" s="3" t="s">
        <v>51</v>
      </c>
      <c r="F465" s="3" t="s">
        <v>25</v>
      </c>
      <c r="G465" s="3" t="s">
        <v>25</v>
      </c>
      <c r="H465" s="3" t="s">
        <v>35</v>
      </c>
      <c r="I465" s="6">
        <v>44621</v>
      </c>
      <c r="J465" s="4">
        <v>5460</v>
      </c>
      <c r="K465" s="57">
        <v>5460</v>
      </c>
      <c r="L465" s="4">
        <v>2275.4929999999999</v>
      </c>
      <c r="M465" s="56">
        <v>2275.4929999999999</v>
      </c>
      <c r="N465" s="4">
        <v>2275.4929999999999</v>
      </c>
      <c r="O465" s="56">
        <v>2275.4929999999999</v>
      </c>
      <c r="P465" s="4">
        <v>0</v>
      </c>
      <c r="Q465" s="3" t="s">
        <v>26</v>
      </c>
      <c r="R465" s="3">
        <v>0</v>
      </c>
      <c r="S465" s="4">
        <v>12</v>
      </c>
      <c r="T465" s="4">
        <v>110</v>
      </c>
      <c r="U465" s="4">
        <v>89</v>
      </c>
      <c r="V465" s="56">
        <v>22.851399999999998</v>
      </c>
      <c r="W465" s="56">
        <v>48.193800000000003</v>
      </c>
      <c r="X465" s="56">
        <v>208.97139999999999</v>
      </c>
      <c r="Y465" s="56">
        <v>26.951221819299537</v>
      </c>
      <c r="Z465" s="56">
        <v>66.057178950563411</v>
      </c>
      <c r="AA465" s="56">
        <v>228.25411005675829</v>
      </c>
      <c r="AB465" s="4">
        <v>124768.64399999999</v>
      </c>
      <c r="AC465" s="4">
        <v>109664.6545434</v>
      </c>
      <c r="AD465" s="4">
        <v>475512.95790019998</v>
      </c>
      <c r="AE465" s="4">
        <v>147153.67113337546</v>
      </c>
      <c r="AF465" s="4">
        <v>150312.64830175438</v>
      </c>
      <c r="AG465" s="4">
        <v>519390.62965538306</v>
      </c>
    </row>
    <row r="466" spans="1:33" ht="11.25" customHeight="1" x14ac:dyDescent="0.25">
      <c r="A466" s="3" t="s">
        <v>21</v>
      </c>
      <c r="B466" s="3" t="s">
        <v>41</v>
      </c>
      <c r="C466" s="3" t="s">
        <v>40</v>
      </c>
      <c r="D466" s="3" t="s">
        <v>50</v>
      </c>
      <c r="E466" s="3" t="s">
        <v>51</v>
      </c>
      <c r="F466" s="3" t="s">
        <v>25</v>
      </c>
      <c r="G466" s="3" t="s">
        <v>25</v>
      </c>
      <c r="H466" s="3" t="s">
        <v>34</v>
      </c>
      <c r="I466" s="6">
        <v>44287</v>
      </c>
      <c r="J466" s="4">
        <v>6658</v>
      </c>
      <c r="K466" s="57">
        <v>6658</v>
      </c>
      <c r="L466" s="4">
        <v>302.95299999999997</v>
      </c>
      <c r="M466" s="56">
        <v>302.95299999999997</v>
      </c>
      <c r="N466" s="4">
        <v>302.95299999999997</v>
      </c>
      <c r="O466" s="56">
        <v>302.95299999999997</v>
      </c>
      <c r="P466" s="4">
        <v>0</v>
      </c>
      <c r="Q466" s="3" t="s">
        <v>26</v>
      </c>
      <c r="R466" s="3">
        <v>0</v>
      </c>
      <c r="S466" s="4">
        <v>11</v>
      </c>
      <c r="T466" s="4">
        <v>110</v>
      </c>
      <c r="U466" s="4">
        <v>88</v>
      </c>
      <c r="V466" s="56">
        <v>58.496199999999995</v>
      </c>
      <c r="W466" s="56">
        <v>48.193800000000003</v>
      </c>
      <c r="X466" s="56">
        <v>343.57</v>
      </c>
      <c r="Y466" s="56">
        <v>74.133783411963449</v>
      </c>
      <c r="Z466" s="56">
        <v>66.057178950563411</v>
      </c>
      <c r="AA466" s="56">
        <v>369.98270192494914</v>
      </c>
      <c r="AB466" s="4">
        <v>389467.69959999999</v>
      </c>
      <c r="AC466" s="4">
        <v>14600.4562914</v>
      </c>
      <c r="AD466" s="4">
        <v>104085.56220999999</v>
      </c>
      <c r="AE466" s="4">
        <v>493582.72995685262</v>
      </c>
      <c r="AF466" s="4">
        <v>20012.220534610035</v>
      </c>
      <c r="AG466" s="4">
        <v>112087.36949626911</v>
      </c>
    </row>
    <row r="467" spans="1:33" ht="11.25" customHeight="1" x14ac:dyDescent="0.25">
      <c r="A467" s="3" t="s">
        <v>21</v>
      </c>
      <c r="B467" s="3" t="s">
        <v>41</v>
      </c>
      <c r="C467" s="3" t="s">
        <v>40</v>
      </c>
      <c r="D467" s="3" t="s">
        <v>50</v>
      </c>
      <c r="E467" s="3" t="s">
        <v>51</v>
      </c>
      <c r="F467" s="3" t="s">
        <v>25</v>
      </c>
      <c r="G467" s="3" t="s">
        <v>25</v>
      </c>
      <c r="H467" s="3" t="s">
        <v>34</v>
      </c>
      <c r="I467" s="6">
        <v>44317</v>
      </c>
      <c r="J467" s="4">
        <v>6490</v>
      </c>
      <c r="K467" s="57">
        <v>6490</v>
      </c>
      <c r="L467" s="4">
        <v>303.73899999999998</v>
      </c>
      <c r="M467" s="56">
        <v>303.73899999999998</v>
      </c>
      <c r="N467" s="4">
        <v>303.73899999999998</v>
      </c>
      <c r="O467" s="56">
        <v>303.73899999999998</v>
      </c>
      <c r="P467" s="4">
        <v>0</v>
      </c>
      <c r="Q467" s="3" t="s">
        <v>26</v>
      </c>
      <c r="R467" s="3">
        <v>0</v>
      </c>
      <c r="S467" s="4">
        <v>11</v>
      </c>
      <c r="T467" s="4">
        <v>110</v>
      </c>
      <c r="U467" s="4">
        <v>88</v>
      </c>
      <c r="V467" s="56">
        <v>58.496199999999995</v>
      </c>
      <c r="W467" s="56">
        <v>48.193800000000003</v>
      </c>
      <c r="X467" s="56">
        <v>343.57</v>
      </c>
      <c r="Y467" s="56">
        <v>74.133783411963449</v>
      </c>
      <c r="Z467" s="56">
        <v>66.057178950563411</v>
      </c>
      <c r="AA467" s="56">
        <v>369.98270192494914</v>
      </c>
      <c r="AB467" s="4">
        <v>379640.33799999999</v>
      </c>
      <c r="AC467" s="4">
        <v>14638.336618199999</v>
      </c>
      <c r="AD467" s="4">
        <v>104355.60822999998</v>
      </c>
      <c r="AE467" s="4">
        <v>481128.25434364279</v>
      </c>
      <c r="AF467" s="4">
        <v>20064.141477265177</v>
      </c>
      <c r="AG467" s="4">
        <v>112378.17589998212</v>
      </c>
    </row>
    <row r="468" spans="1:33" ht="11.25" customHeight="1" x14ac:dyDescent="0.25">
      <c r="A468" s="3" t="s">
        <v>21</v>
      </c>
      <c r="B468" s="3" t="s">
        <v>41</v>
      </c>
      <c r="C468" s="3" t="s">
        <v>40</v>
      </c>
      <c r="D468" s="3" t="s">
        <v>50</v>
      </c>
      <c r="E468" s="3" t="s">
        <v>51</v>
      </c>
      <c r="F468" s="3" t="s">
        <v>25</v>
      </c>
      <c r="G468" s="3" t="s">
        <v>25</v>
      </c>
      <c r="H468" s="3" t="s">
        <v>34</v>
      </c>
      <c r="I468" s="6">
        <v>44348</v>
      </c>
      <c r="J468" s="4">
        <v>10444</v>
      </c>
      <c r="K468" s="57">
        <v>10444</v>
      </c>
      <c r="L468" s="4">
        <v>505.92099999999999</v>
      </c>
      <c r="M468" s="56">
        <v>505.92099999999999</v>
      </c>
      <c r="N468" s="4">
        <v>505.92099999999999</v>
      </c>
      <c r="O468" s="56">
        <v>505.92099999999999</v>
      </c>
      <c r="P468" s="4">
        <v>0</v>
      </c>
      <c r="Q468" s="3" t="s">
        <v>26</v>
      </c>
      <c r="R468" s="3">
        <v>0</v>
      </c>
      <c r="S468" s="4">
        <v>11</v>
      </c>
      <c r="T468" s="4">
        <v>110</v>
      </c>
      <c r="U468" s="4">
        <v>88</v>
      </c>
      <c r="V468" s="56">
        <v>58.496199999999995</v>
      </c>
      <c r="W468" s="56">
        <v>48.193800000000003</v>
      </c>
      <c r="X468" s="56">
        <v>343.57</v>
      </c>
      <c r="Y468" s="56">
        <v>74.133783411963449</v>
      </c>
      <c r="Z468" s="56">
        <v>66.057178950563411</v>
      </c>
      <c r="AA468" s="56">
        <v>369.98270192494914</v>
      </c>
      <c r="AB468" s="4">
        <v>610934.31279999996</v>
      </c>
      <c r="AC468" s="4">
        <v>24382.255489800002</v>
      </c>
      <c r="AD468" s="4">
        <v>173819.27797</v>
      </c>
      <c r="AE468" s="4">
        <v>774253.23395454627</v>
      </c>
      <c r="AF468" s="4">
        <v>33419.714031847994</v>
      </c>
      <c r="AG468" s="4">
        <v>187182.0185405722</v>
      </c>
    </row>
    <row r="469" spans="1:33" ht="11.25" customHeight="1" x14ac:dyDescent="0.25">
      <c r="A469" s="3" t="s">
        <v>21</v>
      </c>
      <c r="B469" s="3" t="s">
        <v>41</v>
      </c>
      <c r="C469" s="3" t="s">
        <v>40</v>
      </c>
      <c r="D469" s="3" t="s">
        <v>50</v>
      </c>
      <c r="E469" s="3" t="s">
        <v>51</v>
      </c>
      <c r="F469" s="3" t="s">
        <v>25</v>
      </c>
      <c r="G469" s="3" t="s">
        <v>25</v>
      </c>
      <c r="H469" s="3" t="s">
        <v>34</v>
      </c>
      <c r="I469" s="6">
        <v>44378</v>
      </c>
      <c r="J469" s="4">
        <v>10507</v>
      </c>
      <c r="K469" s="57">
        <v>10507</v>
      </c>
      <c r="L469" s="4">
        <v>541.37699999999995</v>
      </c>
      <c r="M469" s="56">
        <v>541.37699999999995</v>
      </c>
      <c r="N469" s="4">
        <v>541.37699999999995</v>
      </c>
      <c r="O469" s="56">
        <v>541.37699999999995</v>
      </c>
      <c r="P469" s="4">
        <v>0</v>
      </c>
      <c r="Q469" s="3" t="s">
        <v>26</v>
      </c>
      <c r="R469" s="3">
        <v>0</v>
      </c>
      <c r="S469" s="4">
        <v>11</v>
      </c>
      <c r="T469" s="4">
        <v>110</v>
      </c>
      <c r="U469" s="4">
        <v>88</v>
      </c>
      <c r="V469" s="56">
        <v>58.496199999999995</v>
      </c>
      <c r="W469" s="56">
        <v>48.193800000000003</v>
      </c>
      <c r="X469" s="56">
        <v>343.57</v>
      </c>
      <c r="Y469" s="56">
        <v>74.133783411963449</v>
      </c>
      <c r="Z469" s="56">
        <v>66.057178950563411</v>
      </c>
      <c r="AA469" s="56">
        <v>369.98270192494914</v>
      </c>
      <c r="AB469" s="4">
        <v>614619.57339999999</v>
      </c>
      <c r="AC469" s="4">
        <v>26091.014862600001</v>
      </c>
      <c r="AD469" s="4">
        <v>186000.89588999999</v>
      </c>
      <c r="AE469" s="4">
        <v>778923.66230949992</v>
      </c>
      <c r="AF469" s="4">
        <v>35761.837368719163</v>
      </c>
      <c r="AG469" s="4">
        <v>200300.12522002318</v>
      </c>
    </row>
    <row r="470" spans="1:33" ht="11.25" customHeight="1" x14ac:dyDescent="0.25">
      <c r="A470" s="3" t="s">
        <v>27</v>
      </c>
      <c r="B470" s="3" t="s">
        <v>41</v>
      </c>
      <c r="C470" s="3" t="s">
        <v>40</v>
      </c>
      <c r="D470" s="3" t="s">
        <v>50</v>
      </c>
      <c r="E470" s="3" t="s">
        <v>51</v>
      </c>
      <c r="F470" s="3" t="s">
        <v>25</v>
      </c>
      <c r="G470" s="3" t="s">
        <v>25</v>
      </c>
      <c r="H470" s="3" t="s">
        <v>34</v>
      </c>
      <c r="I470" s="6">
        <v>44378</v>
      </c>
      <c r="J470" s="4">
        <v>14</v>
      </c>
      <c r="K470" s="57">
        <v>14</v>
      </c>
      <c r="L470" s="4">
        <v>1.4</v>
      </c>
      <c r="M470" s="56">
        <v>1.4</v>
      </c>
      <c r="N470" s="4">
        <v>1.4</v>
      </c>
      <c r="O470" s="56">
        <v>1.4</v>
      </c>
      <c r="P470" s="4">
        <v>0</v>
      </c>
      <c r="Q470" s="3" t="s">
        <v>26</v>
      </c>
      <c r="R470" s="3">
        <v>0</v>
      </c>
      <c r="S470" s="4">
        <v>11</v>
      </c>
      <c r="T470" s="4">
        <v>110</v>
      </c>
      <c r="U470" s="4">
        <v>88</v>
      </c>
      <c r="V470" s="56">
        <v>58.496199999999995</v>
      </c>
      <c r="W470" s="56">
        <v>48.193800000000003</v>
      </c>
      <c r="X470" s="56">
        <v>343.57</v>
      </c>
      <c r="Y470" s="56">
        <v>74.133783411963449</v>
      </c>
      <c r="Z470" s="56">
        <v>66.057178950563411</v>
      </c>
      <c r="AA470" s="56">
        <v>369.98270192494914</v>
      </c>
      <c r="AB470" s="4">
        <v>818.94679999999994</v>
      </c>
      <c r="AC470" s="4">
        <v>67.471320000000006</v>
      </c>
      <c r="AD470" s="4">
        <v>480.99799999999993</v>
      </c>
      <c r="AE470" s="4">
        <v>1037.8729677674883</v>
      </c>
      <c r="AF470" s="4">
        <v>92.480050530788773</v>
      </c>
      <c r="AG470" s="4">
        <v>517.97578269492874</v>
      </c>
    </row>
    <row r="471" spans="1:33" ht="11.25" customHeight="1" x14ac:dyDescent="0.25">
      <c r="A471" s="3" t="s">
        <v>21</v>
      </c>
      <c r="B471" s="3" t="s">
        <v>41</v>
      </c>
      <c r="C471" s="3" t="s">
        <v>40</v>
      </c>
      <c r="D471" s="3" t="s">
        <v>50</v>
      </c>
      <c r="E471" s="3" t="s">
        <v>51</v>
      </c>
      <c r="F471" s="3" t="s">
        <v>25</v>
      </c>
      <c r="G471" s="3" t="s">
        <v>25</v>
      </c>
      <c r="H471" s="3" t="s">
        <v>34</v>
      </c>
      <c r="I471" s="6">
        <v>44409</v>
      </c>
      <c r="J471" s="4">
        <v>4805</v>
      </c>
      <c r="K471" s="57">
        <v>4805</v>
      </c>
      <c r="L471" s="4">
        <v>226.577</v>
      </c>
      <c r="M471" s="56">
        <v>226.577</v>
      </c>
      <c r="N471" s="4">
        <v>226.577</v>
      </c>
      <c r="O471" s="56">
        <v>226.577</v>
      </c>
      <c r="P471" s="4">
        <v>0</v>
      </c>
      <c r="Q471" s="3" t="s">
        <v>26</v>
      </c>
      <c r="R471" s="3">
        <v>0</v>
      </c>
      <c r="S471" s="4">
        <v>11</v>
      </c>
      <c r="T471" s="4">
        <v>110</v>
      </c>
      <c r="U471" s="4">
        <v>88</v>
      </c>
      <c r="V471" s="56">
        <v>58.496199999999995</v>
      </c>
      <c r="W471" s="56">
        <v>48.193800000000003</v>
      </c>
      <c r="X471" s="56">
        <v>343.57</v>
      </c>
      <c r="Y471" s="56">
        <v>74.133783411963449</v>
      </c>
      <c r="Z471" s="56">
        <v>66.057178950563411</v>
      </c>
      <c r="AA471" s="56">
        <v>369.98270192494914</v>
      </c>
      <c r="AB471" s="4">
        <v>281074.24099999998</v>
      </c>
      <c r="AC471" s="4">
        <v>10919.6066226</v>
      </c>
      <c r="AD471" s="4">
        <v>77845.059890000004</v>
      </c>
      <c r="AE471" s="4">
        <v>356212.8292944844</v>
      </c>
      <c r="AF471" s="4">
        <v>14967.037435081806</v>
      </c>
      <c r="AG471" s="4">
        <v>83829.570654049196</v>
      </c>
    </row>
    <row r="472" spans="1:33" ht="11.25" customHeight="1" x14ac:dyDescent="0.25">
      <c r="A472" s="3" t="s">
        <v>21</v>
      </c>
      <c r="B472" s="3" t="s">
        <v>41</v>
      </c>
      <c r="C472" s="3" t="s">
        <v>40</v>
      </c>
      <c r="D472" s="3" t="s">
        <v>50</v>
      </c>
      <c r="E472" s="3" t="s">
        <v>51</v>
      </c>
      <c r="F472" s="3" t="s">
        <v>25</v>
      </c>
      <c r="G472" s="3" t="s">
        <v>25</v>
      </c>
      <c r="H472" s="3" t="s">
        <v>34</v>
      </c>
      <c r="I472" s="6">
        <v>44440</v>
      </c>
      <c r="J472" s="4">
        <v>4858</v>
      </c>
      <c r="K472" s="57">
        <v>4858</v>
      </c>
      <c r="L472" s="4">
        <v>219.75200000000001</v>
      </c>
      <c r="M472" s="56">
        <v>219.75200000000001</v>
      </c>
      <c r="N472" s="4">
        <v>219.75200000000001</v>
      </c>
      <c r="O472" s="56">
        <v>219.75200000000001</v>
      </c>
      <c r="P472" s="4">
        <v>0</v>
      </c>
      <c r="Q472" s="3" t="s">
        <v>26</v>
      </c>
      <c r="R472" s="3">
        <v>0</v>
      </c>
      <c r="S472" s="4">
        <v>11</v>
      </c>
      <c r="T472" s="4">
        <v>110</v>
      </c>
      <c r="U472" s="4">
        <v>88</v>
      </c>
      <c r="V472" s="56">
        <v>58.496199999999995</v>
      </c>
      <c r="W472" s="56">
        <v>48.193800000000003</v>
      </c>
      <c r="X472" s="56">
        <v>343.57</v>
      </c>
      <c r="Y472" s="56">
        <v>74.133783411963449</v>
      </c>
      <c r="Z472" s="56">
        <v>66.057178950563411</v>
      </c>
      <c r="AA472" s="56">
        <v>369.98270192494914</v>
      </c>
      <c r="AB472" s="4">
        <v>284174.53959999996</v>
      </c>
      <c r="AC472" s="4">
        <v>10590.683937600001</v>
      </c>
      <c r="AD472" s="4">
        <v>75500.194640000002</v>
      </c>
      <c r="AE472" s="4">
        <v>360141.91981531843</v>
      </c>
      <c r="AF472" s="4">
        <v>14516.197188744212</v>
      </c>
      <c r="AG472" s="4">
        <v>81304.438713411422</v>
      </c>
    </row>
    <row r="473" spans="1:33" ht="11.25" customHeight="1" x14ac:dyDescent="0.25">
      <c r="A473" s="3" t="s">
        <v>21</v>
      </c>
      <c r="B473" s="3" t="s">
        <v>41</v>
      </c>
      <c r="C473" s="3" t="s">
        <v>40</v>
      </c>
      <c r="D473" s="3" t="s">
        <v>50</v>
      </c>
      <c r="E473" s="3" t="s">
        <v>51</v>
      </c>
      <c r="F473" s="3" t="s">
        <v>25</v>
      </c>
      <c r="G473" s="3" t="s">
        <v>25</v>
      </c>
      <c r="H473" s="3" t="s">
        <v>34</v>
      </c>
      <c r="I473" s="6">
        <v>44470</v>
      </c>
      <c r="J473" s="4">
        <v>4804</v>
      </c>
      <c r="K473" s="57">
        <v>4804</v>
      </c>
      <c r="L473" s="4">
        <v>213.417</v>
      </c>
      <c r="M473" s="56">
        <v>213.417</v>
      </c>
      <c r="N473" s="4">
        <v>213.417</v>
      </c>
      <c r="O473" s="56">
        <v>213.417</v>
      </c>
      <c r="P473" s="4">
        <v>0</v>
      </c>
      <c r="Q473" s="3" t="s">
        <v>26</v>
      </c>
      <c r="R473" s="3">
        <v>0</v>
      </c>
      <c r="S473" s="4">
        <v>11</v>
      </c>
      <c r="T473" s="4">
        <v>110</v>
      </c>
      <c r="U473" s="4">
        <v>88</v>
      </c>
      <c r="V473" s="56">
        <v>58.496199999999995</v>
      </c>
      <c r="W473" s="56">
        <v>48.193800000000003</v>
      </c>
      <c r="X473" s="56">
        <v>343.57</v>
      </c>
      <c r="Y473" s="56">
        <v>74.133783411963449</v>
      </c>
      <c r="Z473" s="56">
        <v>66.057178950563411</v>
      </c>
      <c r="AA473" s="56">
        <v>369.98270192494914</v>
      </c>
      <c r="AB473" s="4">
        <v>281015.74479999999</v>
      </c>
      <c r="AC473" s="4">
        <v>10285.376214600001</v>
      </c>
      <c r="AD473" s="4">
        <v>73323.678690000001</v>
      </c>
      <c r="AE473" s="4">
        <v>356138.69551107241</v>
      </c>
      <c r="AF473" s="4">
        <v>14097.724960092391</v>
      </c>
      <c r="AG473" s="4">
        <v>78960.598296716867</v>
      </c>
    </row>
    <row r="474" spans="1:33" ht="11.25" customHeight="1" x14ac:dyDescent="0.25">
      <c r="A474" s="3" t="s">
        <v>21</v>
      </c>
      <c r="B474" s="3" t="s">
        <v>41</v>
      </c>
      <c r="C474" s="3" t="s">
        <v>40</v>
      </c>
      <c r="D474" s="3" t="s">
        <v>50</v>
      </c>
      <c r="E474" s="3" t="s">
        <v>51</v>
      </c>
      <c r="F474" s="3" t="s">
        <v>25</v>
      </c>
      <c r="G474" s="3" t="s">
        <v>25</v>
      </c>
      <c r="H474" s="3" t="s">
        <v>34</v>
      </c>
      <c r="I474" s="6">
        <v>44501</v>
      </c>
      <c r="J474" s="4">
        <v>5045</v>
      </c>
      <c r="K474" s="57">
        <v>5045</v>
      </c>
      <c r="L474" s="4">
        <v>213.58600000000001</v>
      </c>
      <c r="M474" s="56">
        <v>213.58600000000001</v>
      </c>
      <c r="N474" s="4">
        <v>213.58600000000001</v>
      </c>
      <c r="O474" s="56">
        <v>213.58600000000001</v>
      </c>
      <c r="P474" s="4">
        <v>0</v>
      </c>
      <c r="Q474" s="3" t="s">
        <v>26</v>
      </c>
      <c r="R474" s="3">
        <v>0</v>
      </c>
      <c r="S474" s="4">
        <v>11</v>
      </c>
      <c r="T474" s="4">
        <v>110</v>
      </c>
      <c r="U474" s="4">
        <v>88</v>
      </c>
      <c r="V474" s="56">
        <v>58.496199999999995</v>
      </c>
      <c r="W474" s="56">
        <v>48.193800000000003</v>
      </c>
      <c r="X474" s="56">
        <v>343.57</v>
      </c>
      <c r="Y474" s="56">
        <v>74.133783411963449</v>
      </c>
      <c r="Z474" s="56">
        <v>66.057178950563411</v>
      </c>
      <c r="AA474" s="56">
        <v>369.98270192494914</v>
      </c>
      <c r="AB474" s="4">
        <v>295113.32899999997</v>
      </c>
      <c r="AC474" s="4">
        <v>10293.520966800001</v>
      </c>
      <c r="AD474" s="4">
        <v>73381.742020000005</v>
      </c>
      <c r="AE474" s="4">
        <v>374004.93731335562</v>
      </c>
      <c r="AF474" s="4">
        <v>14108.888623335037</v>
      </c>
      <c r="AG474" s="4">
        <v>79023.125373342191</v>
      </c>
    </row>
    <row r="475" spans="1:33" ht="11.25" customHeight="1" x14ac:dyDescent="0.25">
      <c r="A475" s="3" t="s">
        <v>21</v>
      </c>
      <c r="B475" s="3" t="s">
        <v>41</v>
      </c>
      <c r="C475" s="3" t="s">
        <v>40</v>
      </c>
      <c r="D475" s="3" t="s">
        <v>50</v>
      </c>
      <c r="E475" s="3" t="s">
        <v>51</v>
      </c>
      <c r="F475" s="3" t="s">
        <v>25</v>
      </c>
      <c r="G475" s="3" t="s">
        <v>25</v>
      </c>
      <c r="H475" s="3" t="s">
        <v>34</v>
      </c>
      <c r="I475" s="6">
        <v>44531</v>
      </c>
      <c r="J475" s="4">
        <v>4821</v>
      </c>
      <c r="K475" s="57">
        <v>4821</v>
      </c>
      <c r="L475" s="4">
        <v>220.51300000000001</v>
      </c>
      <c r="M475" s="56">
        <v>220.51300000000001</v>
      </c>
      <c r="N475" s="4">
        <v>220.51300000000001</v>
      </c>
      <c r="O475" s="56">
        <v>220.51300000000001</v>
      </c>
      <c r="P475" s="4">
        <v>0</v>
      </c>
      <c r="Q475" s="3" t="s">
        <v>26</v>
      </c>
      <c r="R475" s="3">
        <v>0</v>
      </c>
      <c r="S475" s="4">
        <v>11</v>
      </c>
      <c r="T475" s="4">
        <v>110</v>
      </c>
      <c r="U475" s="4">
        <v>88</v>
      </c>
      <c r="V475" s="56">
        <v>58.496199999999995</v>
      </c>
      <c r="W475" s="56">
        <v>48.193800000000003</v>
      </c>
      <c r="X475" s="56">
        <v>343.57</v>
      </c>
      <c r="Y475" s="56">
        <v>74.133783411963449</v>
      </c>
      <c r="Z475" s="56">
        <v>66.057178950563411</v>
      </c>
      <c r="AA475" s="56">
        <v>369.98270192494914</v>
      </c>
      <c r="AB475" s="4">
        <v>282010.1802</v>
      </c>
      <c r="AC475" s="4">
        <v>10627.359419400002</v>
      </c>
      <c r="AD475" s="4">
        <v>75761.651410000006</v>
      </c>
      <c r="AE475" s="4">
        <v>357398.9698290758</v>
      </c>
      <c r="AF475" s="4">
        <v>14566.46670192559</v>
      </c>
      <c r="AG475" s="4">
        <v>81585.995549576313</v>
      </c>
    </row>
    <row r="476" spans="1:33" ht="11.25" customHeight="1" x14ac:dyDescent="0.25">
      <c r="A476" s="3" t="s">
        <v>21</v>
      </c>
      <c r="B476" s="3" t="s">
        <v>41</v>
      </c>
      <c r="C476" s="3" t="s">
        <v>40</v>
      </c>
      <c r="D476" s="3" t="s">
        <v>50</v>
      </c>
      <c r="E476" s="3" t="s">
        <v>51</v>
      </c>
      <c r="F476" s="3" t="s">
        <v>25</v>
      </c>
      <c r="G476" s="3" t="s">
        <v>25</v>
      </c>
      <c r="H476" s="3" t="s">
        <v>34</v>
      </c>
      <c r="I476" s="6">
        <v>44562</v>
      </c>
      <c r="J476" s="4">
        <v>4984</v>
      </c>
      <c r="K476" s="57">
        <v>4984</v>
      </c>
      <c r="L476" s="4">
        <v>225.96</v>
      </c>
      <c r="M476" s="56">
        <v>225.96</v>
      </c>
      <c r="N476" s="4">
        <v>225.96</v>
      </c>
      <c r="O476" s="56">
        <v>225.96</v>
      </c>
      <c r="P476" s="4">
        <v>0</v>
      </c>
      <c r="Q476" s="3" t="s">
        <v>26</v>
      </c>
      <c r="R476" s="3">
        <v>0</v>
      </c>
      <c r="S476" s="4">
        <v>11</v>
      </c>
      <c r="T476" s="4">
        <v>110</v>
      </c>
      <c r="U476" s="4">
        <v>88</v>
      </c>
      <c r="V476" s="56">
        <v>58.496199999999995</v>
      </c>
      <c r="W476" s="56">
        <v>48.193800000000003</v>
      </c>
      <c r="X476" s="56">
        <v>343.57</v>
      </c>
      <c r="Y476" s="56">
        <v>74.133783411963449</v>
      </c>
      <c r="Z476" s="56">
        <v>66.057178950563411</v>
      </c>
      <c r="AA476" s="56">
        <v>369.98270192494914</v>
      </c>
      <c r="AB476" s="4">
        <v>291545.06079999998</v>
      </c>
      <c r="AC476" s="4">
        <v>10889.871048000001</v>
      </c>
      <c r="AD476" s="4">
        <v>77633.0772</v>
      </c>
      <c r="AE476" s="4">
        <v>369482.77652522584</v>
      </c>
      <c r="AF476" s="4">
        <v>14926.280155669308</v>
      </c>
      <c r="AG476" s="4">
        <v>83601.291326961509</v>
      </c>
    </row>
    <row r="477" spans="1:33" ht="11.25" customHeight="1" x14ac:dyDescent="0.25">
      <c r="A477" s="3" t="s">
        <v>21</v>
      </c>
      <c r="B477" s="3" t="s">
        <v>41</v>
      </c>
      <c r="C477" s="3" t="s">
        <v>40</v>
      </c>
      <c r="D477" s="3" t="s">
        <v>50</v>
      </c>
      <c r="E477" s="3" t="s">
        <v>51</v>
      </c>
      <c r="F477" s="3" t="s">
        <v>25</v>
      </c>
      <c r="G477" s="3" t="s">
        <v>25</v>
      </c>
      <c r="H477" s="3" t="s">
        <v>34</v>
      </c>
      <c r="I477" s="6">
        <v>44593</v>
      </c>
      <c r="J477" s="4">
        <v>4945</v>
      </c>
      <c r="K477" s="57">
        <v>4945</v>
      </c>
      <c r="L477" s="4">
        <v>208.08</v>
      </c>
      <c r="M477" s="56">
        <v>208.08</v>
      </c>
      <c r="N477" s="4">
        <v>208.08</v>
      </c>
      <c r="O477" s="56">
        <v>208.08</v>
      </c>
      <c r="P477" s="4">
        <v>0</v>
      </c>
      <c r="Q477" s="3" t="s">
        <v>26</v>
      </c>
      <c r="R477" s="3">
        <v>0</v>
      </c>
      <c r="S477" s="4">
        <v>11</v>
      </c>
      <c r="T477" s="4">
        <v>110</v>
      </c>
      <c r="U477" s="4">
        <v>88</v>
      </c>
      <c r="V477" s="56">
        <v>58.496199999999995</v>
      </c>
      <c r="W477" s="56">
        <v>48.193800000000003</v>
      </c>
      <c r="X477" s="56">
        <v>343.57</v>
      </c>
      <c r="Y477" s="56">
        <v>74.133783411963449</v>
      </c>
      <c r="Z477" s="56">
        <v>66.057178950563411</v>
      </c>
      <c r="AA477" s="56">
        <v>369.98270192494914</v>
      </c>
      <c r="AB477" s="4">
        <v>289263.70899999997</v>
      </c>
      <c r="AC477" s="4">
        <v>10028.165904000001</v>
      </c>
      <c r="AD477" s="4">
        <v>71490.045599999998</v>
      </c>
      <c r="AE477" s="4">
        <v>366591.55897215928</v>
      </c>
      <c r="AF477" s="4">
        <v>13745.177796033235</v>
      </c>
      <c r="AG477" s="4">
        <v>76986.000616543417</v>
      </c>
    </row>
    <row r="478" spans="1:33" ht="11.25" customHeight="1" x14ac:dyDescent="0.25">
      <c r="A478" s="3" t="s">
        <v>56</v>
      </c>
      <c r="B478" s="3" t="s">
        <v>41</v>
      </c>
      <c r="C478" s="3" t="s">
        <v>40</v>
      </c>
      <c r="D478" s="3" t="s">
        <v>50</v>
      </c>
      <c r="E478" s="3" t="s">
        <v>51</v>
      </c>
      <c r="F478" s="3" t="s">
        <v>25</v>
      </c>
      <c r="G478" s="3" t="s">
        <v>25</v>
      </c>
      <c r="H478" s="3" t="s">
        <v>34</v>
      </c>
      <c r="I478" s="6">
        <v>44621</v>
      </c>
      <c r="J478" s="4">
        <v>4945</v>
      </c>
      <c r="K478" s="57">
        <v>4945</v>
      </c>
      <c r="L478" s="4">
        <v>208.08</v>
      </c>
      <c r="M478" s="56">
        <v>208.08</v>
      </c>
      <c r="N478" s="4">
        <v>208.08</v>
      </c>
      <c r="O478" s="56">
        <v>208.08</v>
      </c>
      <c r="P478" s="4">
        <v>0</v>
      </c>
      <c r="Q478" s="3" t="s">
        <v>26</v>
      </c>
      <c r="R478" s="3">
        <v>0</v>
      </c>
      <c r="S478" s="4">
        <v>11</v>
      </c>
      <c r="T478" s="4">
        <v>110</v>
      </c>
      <c r="U478" s="4">
        <v>88</v>
      </c>
      <c r="V478" s="56">
        <v>58.496199999999995</v>
      </c>
      <c r="W478" s="56">
        <v>48.193800000000003</v>
      </c>
      <c r="X478" s="56">
        <v>343.57</v>
      </c>
      <c r="Y478" s="56">
        <v>74.133783411963449</v>
      </c>
      <c r="Z478" s="56">
        <v>66.057178950563411</v>
      </c>
      <c r="AA478" s="56">
        <v>369.98270192494914</v>
      </c>
      <c r="AB478" s="4">
        <v>289263.70899999997</v>
      </c>
      <c r="AC478" s="4">
        <v>10028.165904000001</v>
      </c>
      <c r="AD478" s="4">
        <v>71490.045599999998</v>
      </c>
      <c r="AE478" s="4">
        <v>366591.55897215928</v>
      </c>
      <c r="AF478" s="4">
        <v>13745.177796033235</v>
      </c>
      <c r="AG478" s="4">
        <v>76986.000616543417</v>
      </c>
    </row>
    <row r="479" spans="1:33" ht="11.25" customHeight="1" x14ac:dyDescent="0.25">
      <c r="A479" s="3" t="s">
        <v>21</v>
      </c>
      <c r="B479" s="3" t="s">
        <v>41</v>
      </c>
      <c r="C479" s="3" t="s">
        <v>61</v>
      </c>
      <c r="D479" s="3" t="s">
        <v>25</v>
      </c>
      <c r="E479" s="3" t="s">
        <v>25</v>
      </c>
      <c r="F479" s="3" t="s">
        <v>64</v>
      </c>
      <c r="G479" s="3" t="s">
        <v>68</v>
      </c>
      <c r="H479" s="3" t="s">
        <v>35</v>
      </c>
      <c r="I479" s="6">
        <v>44287</v>
      </c>
      <c r="J479" s="4">
        <v>1995</v>
      </c>
      <c r="K479" s="16">
        <v>1995</v>
      </c>
      <c r="L479" s="4">
        <v>997.26800000000003</v>
      </c>
      <c r="M479" s="16">
        <v>997.26800000000003</v>
      </c>
      <c r="N479" s="4">
        <v>0</v>
      </c>
      <c r="O479" s="16">
        <v>0</v>
      </c>
      <c r="P479" s="4">
        <v>0</v>
      </c>
      <c r="Q479" s="3" t="s">
        <v>66</v>
      </c>
      <c r="R479" s="3">
        <v>5377</v>
      </c>
      <c r="S479" s="4">
        <v>14</v>
      </c>
      <c r="T479" s="4">
        <v>15</v>
      </c>
      <c r="U479" s="4">
        <v>0</v>
      </c>
      <c r="V479" s="4">
        <v>15.06</v>
      </c>
      <c r="W479" s="4">
        <v>9.65</v>
      </c>
      <c r="X479" s="4">
        <v>0</v>
      </c>
      <c r="Y479" s="4">
        <v>16.481800632175148</v>
      </c>
      <c r="Z479" s="4">
        <v>11.150945133676805</v>
      </c>
      <c r="AA479" s="4">
        <v>253.57205359548595</v>
      </c>
      <c r="AB479" s="4">
        <v>30044.7</v>
      </c>
      <c r="AC479" s="4">
        <v>9623.6362000000008</v>
      </c>
      <c r="AD479" s="4">
        <v>0</v>
      </c>
      <c r="AE479" s="4">
        <v>32881.192261189419</v>
      </c>
      <c r="AF479" s="4">
        <v>11120.4807515716</v>
      </c>
      <c r="AG479" s="4">
        <v>0</v>
      </c>
    </row>
    <row r="480" spans="1:33" ht="11.25" customHeight="1" x14ac:dyDescent="0.25">
      <c r="A480" s="3" t="s">
        <v>21</v>
      </c>
      <c r="B480" s="3" t="s">
        <v>41</v>
      </c>
      <c r="C480" s="3" t="s">
        <v>61</v>
      </c>
      <c r="D480" s="3" t="s">
        <v>25</v>
      </c>
      <c r="E480" s="3" t="s">
        <v>25</v>
      </c>
      <c r="F480" s="3" t="s">
        <v>64</v>
      </c>
      <c r="G480" s="3" t="s">
        <v>68</v>
      </c>
      <c r="H480" s="3" t="s">
        <v>35</v>
      </c>
      <c r="I480" s="6">
        <v>44317</v>
      </c>
      <c r="J480" s="4">
        <v>2016</v>
      </c>
      <c r="K480" s="16">
        <v>2016</v>
      </c>
      <c r="L480" s="4">
        <v>928.58900000000006</v>
      </c>
      <c r="M480" s="16">
        <v>928.58900000000006</v>
      </c>
      <c r="N480" s="4">
        <v>0</v>
      </c>
      <c r="O480" s="16">
        <v>0</v>
      </c>
      <c r="P480" s="4">
        <v>0</v>
      </c>
      <c r="Q480" s="3" t="s">
        <v>66</v>
      </c>
      <c r="R480" s="3">
        <v>5377</v>
      </c>
      <c r="S480" s="4">
        <v>14</v>
      </c>
      <c r="T480" s="4">
        <v>15</v>
      </c>
      <c r="U480" s="4">
        <v>0</v>
      </c>
      <c r="V480" s="4">
        <v>15.06</v>
      </c>
      <c r="W480" s="4">
        <v>9.65</v>
      </c>
      <c r="X480" s="4">
        <v>0</v>
      </c>
      <c r="Y480" s="4">
        <v>16.481800632175148</v>
      </c>
      <c r="Z480" s="4">
        <v>11.150945133676805</v>
      </c>
      <c r="AA480" s="4">
        <v>253.57205359548595</v>
      </c>
      <c r="AB480" s="4">
        <v>30360.960000000003</v>
      </c>
      <c r="AC480" s="4">
        <v>8960.8838500000002</v>
      </c>
      <c r="AD480" s="4">
        <v>0</v>
      </c>
      <c r="AE480" s="4">
        <v>33227.310074465095</v>
      </c>
      <c r="AF480" s="4">
        <v>10354.644990735811</v>
      </c>
      <c r="AG480" s="4">
        <v>0</v>
      </c>
    </row>
    <row r="481" spans="1:33" ht="11.25" customHeight="1" x14ac:dyDescent="0.25">
      <c r="A481" s="3" t="s">
        <v>21</v>
      </c>
      <c r="B481" s="3" t="s">
        <v>41</v>
      </c>
      <c r="C481" s="3" t="s">
        <v>61</v>
      </c>
      <c r="D481" s="3" t="s">
        <v>25</v>
      </c>
      <c r="E481" s="3" t="s">
        <v>25</v>
      </c>
      <c r="F481" s="3" t="s">
        <v>64</v>
      </c>
      <c r="G481" s="3" t="s">
        <v>68</v>
      </c>
      <c r="H481" s="3" t="s">
        <v>35</v>
      </c>
      <c r="I481" s="6">
        <v>44348</v>
      </c>
      <c r="J481" s="4">
        <v>1935</v>
      </c>
      <c r="K481" s="16">
        <v>1935</v>
      </c>
      <c r="L481" s="4">
        <v>903.06299999999999</v>
      </c>
      <c r="M481" s="16">
        <v>903.06299999999999</v>
      </c>
      <c r="N481" s="4">
        <v>0</v>
      </c>
      <c r="O481" s="16">
        <v>0</v>
      </c>
      <c r="P481" s="4">
        <v>0</v>
      </c>
      <c r="Q481" s="3" t="s">
        <v>66</v>
      </c>
      <c r="R481" s="3">
        <v>5377</v>
      </c>
      <c r="S481" s="4">
        <v>14</v>
      </c>
      <c r="T481" s="4">
        <v>15</v>
      </c>
      <c r="U481" s="4">
        <v>0</v>
      </c>
      <c r="V481" s="4">
        <v>15.06</v>
      </c>
      <c r="W481" s="4">
        <v>9.65</v>
      </c>
      <c r="X481" s="4">
        <v>0</v>
      </c>
      <c r="Y481" s="4">
        <v>16.481800632175148</v>
      </c>
      <c r="Z481" s="4">
        <v>11.150945133676805</v>
      </c>
      <c r="AA481" s="4">
        <v>253.57205359548595</v>
      </c>
      <c r="AB481" s="4">
        <v>29141.100000000002</v>
      </c>
      <c r="AC481" s="4">
        <v>8714.5579500000003</v>
      </c>
      <c r="AD481" s="4">
        <v>0</v>
      </c>
      <c r="AE481" s="4">
        <v>31892.28422325891</v>
      </c>
      <c r="AF481" s="4">
        <v>10070.005965253577</v>
      </c>
      <c r="AG481" s="4">
        <v>0</v>
      </c>
    </row>
    <row r="482" spans="1:33" ht="11.25" customHeight="1" x14ac:dyDescent="0.25">
      <c r="A482" s="3" t="s">
        <v>21</v>
      </c>
      <c r="B482" s="3" t="s">
        <v>41</v>
      </c>
      <c r="C482" s="3" t="s">
        <v>61</v>
      </c>
      <c r="D482" s="3" t="s">
        <v>25</v>
      </c>
      <c r="E482" s="3" t="s">
        <v>25</v>
      </c>
      <c r="F482" s="3" t="s">
        <v>64</v>
      </c>
      <c r="G482" s="3" t="s">
        <v>68</v>
      </c>
      <c r="H482" s="3" t="s">
        <v>35</v>
      </c>
      <c r="I482" s="6">
        <v>44378</v>
      </c>
      <c r="J482" s="4">
        <v>1938</v>
      </c>
      <c r="K482" s="16">
        <v>1938</v>
      </c>
      <c r="L482" s="4">
        <v>870.15300000000002</v>
      </c>
      <c r="M482" s="16">
        <v>870.15300000000002</v>
      </c>
      <c r="N482" s="4">
        <v>0</v>
      </c>
      <c r="O482" s="16">
        <v>0</v>
      </c>
      <c r="P482" s="4">
        <v>0</v>
      </c>
      <c r="Q482" s="3" t="s">
        <v>66</v>
      </c>
      <c r="R482" s="3">
        <v>5377</v>
      </c>
      <c r="S482" s="4">
        <v>14</v>
      </c>
      <c r="T482" s="4">
        <v>15</v>
      </c>
      <c r="U482" s="4">
        <v>0</v>
      </c>
      <c r="V482" s="4">
        <v>15.06</v>
      </c>
      <c r="W482" s="4">
        <v>9.65</v>
      </c>
      <c r="X482" s="4">
        <v>0</v>
      </c>
      <c r="Y482" s="4">
        <v>16.481800632175148</v>
      </c>
      <c r="Z482" s="4">
        <v>11.150945133676805</v>
      </c>
      <c r="AA482" s="4">
        <v>253.57205359548595</v>
      </c>
      <c r="AB482" s="4">
        <v>29186.280000000002</v>
      </c>
      <c r="AC482" s="4">
        <v>8396.9764500000001</v>
      </c>
      <c r="AD482" s="4">
        <v>0</v>
      </c>
      <c r="AE482" s="4">
        <v>31941.729625155436</v>
      </c>
      <c r="AF482" s="4">
        <v>9703.0283609042726</v>
      </c>
      <c r="AG482" s="4">
        <v>0</v>
      </c>
    </row>
    <row r="483" spans="1:33" ht="11.25" customHeight="1" x14ac:dyDescent="0.25">
      <c r="A483" s="3" t="s">
        <v>21</v>
      </c>
      <c r="B483" s="3" t="s">
        <v>41</v>
      </c>
      <c r="C483" s="3" t="s">
        <v>61</v>
      </c>
      <c r="D483" s="3" t="s">
        <v>25</v>
      </c>
      <c r="E483" s="3" t="s">
        <v>25</v>
      </c>
      <c r="F483" s="3" t="s">
        <v>64</v>
      </c>
      <c r="G483" s="3" t="s">
        <v>68</v>
      </c>
      <c r="H483" s="3" t="s">
        <v>35</v>
      </c>
      <c r="I483" s="6">
        <v>44409</v>
      </c>
      <c r="J483" s="4">
        <v>1915</v>
      </c>
      <c r="K483" s="16">
        <v>1915</v>
      </c>
      <c r="L483" s="4">
        <v>835.46100000000001</v>
      </c>
      <c r="M483" s="16">
        <v>835.46100000000001</v>
      </c>
      <c r="N483" s="4">
        <v>0</v>
      </c>
      <c r="O483" s="16">
        <v>0</v>
      </c>
      <c r="P483" s="4">
        <v>0</v>
      </c>
      <c r="Q483" s="3" t="s">
        <v>66</v>
      </c>
      <c r="R483" s="3">
        <v>5377</v>
      </c>
      <c r="S483" s="4">
        <v>14</v>
      </c>
      <c r="T483" s="4">
        <v>15</v>
      </c>
      <c r="U483" s="4">
        <v>0</v>
      </c>
      <c r="V483" s="4">
        <v>15.06</v>
      </c>
      <c r="W483" s="4">
        <v>9.65</v>
      </c>
      <c r="X483" s="4">
        <v>0</v>
      </c>
      <c r="Y483" s="4">
        <v>16.481800632175148</v>
      </c>
      <c r="Z483" s="4">
        <v>11.150945133676805</v>
      </c>
      <c r="AA483" s="4">
        <v>253.57205359548595</v>
      </c>
      <c r="AB483" s="4">
        <v>28839.9</v>
      </c>
      <c r="AC483" s="4">
        <v>8062.1986500000003</v>
      </c>
      <c r="AD483" s="4">
        <v>0</v>
      </c>
      <c r="AE483" s="4">
        <v>31562.648210615407</v>
      </c>
      <c r="AF483" s="4">
        <v>9316.1797723267573</v>
      </c>
      <c r="AG483" s="4">
        <v>0</v>
      </c>
    </row>
    <row r="484" spans="1:33" ht="11.25" customHeight="1" x14ac:dyDescent="0.25">
      <c r="A484" s="3" t="s">
        <v>21</v>
      </c>
      <c r="B484" s="3" t="s">
        <v>41</v>
      </c>
      <c r="C484" s="3" t="s">
        <v>61</v>
      </c>
      <c r="D484" s="3" t="s">
        <v>25</v>
      </c>
      <c r="E484" s="3" t="s">
        <v>25</v>
      </c>
      <c r="F484" s="3" t="s">
        <v>64</v>
      </c>
      <c r="G484" s="3" t="s">
        <v>68</v>
      </c>
      <c r="H484" s="3" t="s">
        <v>35</v>
      </c>
      <c r="I484" s="6">
        <v>44440</v>
      </c>
      <c r="J484" s="4">
        <v>1963</v>
      </c>
      <c r="K484" s="16">
        <v>1963</v>
      </c>
      <c r="L484" s="4">
        <v>864.78300000000002</v>
      </c>
      <c r="M484" s="16">
        <v>864.78300000000002</v>
      </c>
      <c r="N484" s="4">
        <v>0</v>
      </c>
      <c r="O484" s="16">
        <v>0</v>
      </c>
      <c r="P484" s="4">
        <v>0</v>
      </c>
      <c r="Q484" s="3" t="s">
        <v>66</v>
      </c>
      <c r="R484" s="3">
        <v>5377</v>
      </c>
      <c r="S484" s="4">
        <v>14</v>
      </c>
      <c r="T484" s="4">
        <v>15</v>
      </c>
      <c r="U484" s="4">
        <v>0</v>
      </c>
      <c r="V484" s="4">
        <v>15.06</v>
      </c>
      <c r="W484" s="4">
        <v>9.65</v>
      </c>
      <c r="X484" s="4">
        <v>0</v>
      </c>
      <c r="Y484" s="4">
        <v>16.481800632175148</v>
      </c>
      <c r="Z484" s="4">
        <v>11.150945133676805</v>
      </c>
      <c r="AA484" s="4">
        <v>253.57205359548595</v>
      </c>
      <c r="AB484" s="4">
        <v>29562.780000000002</v>
      </c>
      <c r="AC484" s="4">
        <v>8345.1559500000003</v>
      </c>
      <c r="AD484" s="4">
        <v>0</v>
      </c>
      <c r="AE484" s="4">
        <v>32353.774640959815</v>
      </c>
      <c r="AF484" s="4">
        <v>9643.1477855364283</v>
      </c>
      <c r="AG484" s="4">
        <v>0</v>
      </c>
    </row>
    <row r="485" spans="1:33" ht="11.25" customHeight="1" x14ac:dyDescent="0.25">
      <c r="A485" s="3" t="s">
        <v>21</v>
      </c>
      <c r="B485" s="3" t="s">
        <v>41</v>
      </c>
      <c r="C485" s="3" t="s">
        <v>61</v>
      </c>
      <c r="D485" s="3" t="s">
        <v>25</v>
      </c>
      <c r="E485" s="3" t="s">
        <v>25</v>
      </c>
      <c r="F485" s="3" t="s">
        <v>64</v>
      </c>
      <c r="G485" s="3" t="s">
        <v>68</v>
      </c>
      <c r="H485" s="3" t="s">
        <v>35</v>
      </c>
      <c r="I485" s="6">
        <v>44470</v>
      </c>
      <c r="J485" s="4">
        <v>2009</v>
      </c>
      <c r="K485" s="16">
        <v>2009</v>
      </c>
      <c r="L485" s="4">
        <v>890.678</v>
      </c>
      <c r="M485" s="16">
        <v>890.678</v>
      </c>
      <c r="N485" s="4">
        <v>0</v>
      </c>
      <c r="O485" s="16">
        <v>0</v>
      </c>
      <c r="P485" s="4">
        <v>0</v>
      </c>
      <c r="Q485" s="3" t="s">
        <v>66</v>
      </c>
      <c r="R485" s="3">
        <v>5377</v>
      </c>
      <c r="S485" s="4">
        <v>14</v>
      </c>
      <c r="T485" s="4">
        <v>15</v>
      </c>
      <c r="U485" s="4">
        <v>0</v>
      </c>
      <c r="V485" s="4">
        <v>15.06</v>
      </c>
      <c r="W485" s="4">
        <v>9.65</v>
      </c>
      <c r="X485" s="4">
        <v>0</v>
      </c>
      <c r="Y485" s="4">
        <v>16.481800632175148</v>
      </c>
      <c r="Z485" s="4">
        <v>11.150945133676805</v>
      </c>
      <c r="AA485" s="4">
        <v>253.57205359548595</v>
      </c>
      <c r="AB485" s="4">
        <v>30255.54</v>
      </c>
      <c r="AC485" s="4">
        <v>8595.0427</v>
      </c>
      <c r="AD485" s="4">
        <v>0</v>
      </c>
      <c r="AE485" s="4">
        <v>33111.937470039869</v>
      </c>
      <c r="AF485" s="4">
        <v>9931.9015097729898</v>
      </c>
      <c r="AG485" s="4">
        <v>0</v>
      </c>
    </row>
    <row r="486" spans="1:33" ht="11.25" customHeight="1" x14ac:dyDescent="0.25">
      <c r="A486" s="3" t="s">
        <v>21</v>
      </c>
      <c r="B486" s="3" t="s">
        <v>41</v>
      </c>
      <c r="C486" s="3" t="s">
        <v>61</v>
      </c>
      <c r="D486" s="3" t="s">
        <v>25</v>
      </c>
      <c r="E486" s="3" t="s">
        <v>25</v>
      </c>
      <c r="F486" s="3" t="s">
        <v>64</v>
      </c>
      <c r="G486" s="3" t="s">
        <v>68</v>
      </c>
      <c r="H486" s="3" t="s">
        <v>35</v>
      </c>
      <c r="I486" s="6">
        <v>44501</v>
      </c>
      <c r="J486" s="4">
        <v>2042</v>
      </c>
      <c r="K486" s="16">
        <v>2042</v>
      </c>
      <c r="L486" s="4">
        <v>1001.43</v>
      </c>
      <c r="M486" s="16">
        <v>1001.43</v>
      </c>
      <c r="N486" s="4">
        <v>0</v>
      </c>
      <c r="O486" s="16">
        <v>0</v>
      </c>
      <c r="P486" s="4">
        <v>0</v>
      </c>
      <c r="Q486" s="3" t="s">
        <v>66</v>
      </c>
      <c r="R486" s="3">
        <v>5377</v>
      </c>
      <c r="S486" s="4">
        <v>14</v>
      </c>
      <c r="T486" s="4">
        <v>15</v>
      </c>
      <c r="U486" s="4">
        <v>0</v>
      </c>
      <c r="V486" s="4">
        <v>15.06</v>
      </c>
      <c r="W486" s="4">
        <v>9.65</v>
      </c>
      <c r="X486" s="4">
        <v>0</v>
      </c>
      <c r="Y486" s="4">
        <v>16.481800632175148</v>
      </c>
      <c r="Z486" s="4">
        <v>11.150945133676805</v>
      </c>
      <c r="AA486" s="4">
        <v>253.57205359548595</v>
      </c>
      <c r="AB486" s="4">
        <v>30752.52</v>
      </c>
      <c r="AC486" s="4">
        <v>9663.7994999999992</v>
      </c>
      <c r="AD486" s="4">
        <v>0</v>
      </c>
      <c r="AE486" s="4">
        <v>33655.83689090165</v>
      </c>
      <c r="AF486" s="4">
        <v>11166.890985217962</v>
      </c>
      <c r="AG486" s="4">
        <v>0</v>
      </c>
    </row>
    <row r="487" spans="1:33" ht="11.25" customHeight="1" x14ac:dyDescent="0.25">
      <c r="A487" s="3" t="s">
        <v>21</v>
      </c>
      <c r="B487" s="3" t="s">
        <v>41</v>
      </c>
      <c r="C487" s="3" t="s">
        <v>61</v>
      </c>
      <c r="D487" s="3" t="s">
        <v>25</v>
      </c>
      <c r="E487" s="3" t="s">
        <v>25</v>
      </c>
      <c r="F487" s="3" t="s">
        <v>64</v>
      </c>
      <c r="G487" s="3" t="s">
        <v>68</v>
      </c>
      <c r="H487" s="3" t="s">
        <v>35</v>
      </c>
      <c r="I487" s="6">
        <v>44531</v>
      </c>
      <c r="J487" s="4">
        <v>2010</v>
      </c>
      <c r="K487" s="16">
        <v>2010</v>
      </c>
      <c r="L487" s="4">
        <v>976.822</v>
      </c>
      <c r="M487" s="16">
        <v>976.822</v>
      </c>
      <c r="N487" s="4">
        <v>0</v>
      </c>
      <c r="O487" s="16">
        <v>0</v>
      </c>
      <c r="P487" s="4">
        <v>0</v>
      </c>
      <c r="Q487" s="3" t="s">
        <v>66</v>
      </c>
      <c r="R487" s="3">
        <v>5377</v>
      </c>
      <c r="S487" s="4">
        <v>14</v>
      </c>
      <c r="T487" s="4">
        <v>15</v>
      </c>
      <c r="U487" s="4">
        <v>0</v>
      </c>
      <c r="V487" s="4">
        <v>15.06</v>
      </c>
      <c r="W487" s="4">
        <v>9.65</v>
      </c>
      <c r="X487" s="4">
        <v>0</v>
      </c>
      <c r="Y487" s="4">
        <v>16.481800632175148</v>
      </c>
      <c r="Z487" s="4">
        <v>11.150945133676805</v>
      </c>
      <c r="AA487" s="4">
        <v>253.57205359548595</v>
      </c>
      <c r="AB487" s="4">
        <v>30270.600000000002</v>
      </c>
      <c r="AC487" s="4">
        <v>9426.3323</v>
      </c>
      <c r="AD487" s="4">
        <v>0</v>
      </c>
      <c r="AE487" s="4">
        <v>33128.41927067205</v>
      </c>
      <c r="AF487" s="4">
        <v>10892.488527368443</v>
      </c>
      <c r="AG487" s="4">
        <v>0</v>
      </c>
    </row>
    <row r="488" spans="1:33" ht="11.25" customHeight="1" x14ac:dyDescent="0.25">
      <c r="A488" s="3" t="s">
        <v>21</v>
      </c>
      <c r="B488" s="3" t="s">
        <v>41</v>
      </c>
      <c r="C488" s="3" t="s">
        <v>61</v>
      </c>
      <c r="D488" s="3" t="s">
        <v>25</v>
      </c>
      <c r="E488" s="3" t="s">
        <v>25</v>
      </c>
      <c r="F488" s="3" t="s">
        <v>64</v>
      </c>
      <c r="G488" s="3" t="s">
        <v>68</v>
      </c>
      <c r="H488" s="3" t="s">
        <v>35</v>
      </c>
      <c r="I488" s="6">
        <v>44562</v>
      </c>
      <c r="J488" s="4">
        <v>2037</v>
      </c>
      <c r="K488" s="16">
        <v>2037</v>
      </c>
      <c r="L488" s="4">
        <v>999.56700000000001</v>
      </c>
      <c r="M488" s="16">
        <v>999.56700000000001</v>
      </c>
      <c r="N488" s="4">
        <v>0</v>
      </c>
      <c r="O488" s="16">
        <v>0</v>
      </c>
      <c r="P488" s="4">
        <v>0</v>
      </c>
      <c r="Q488" s="3" t="s">
        <v>66</v>
      </c>
      <c r="R488" s="3">
        <v>5377</v>
      </c>
      <c r="S488" s="4">
        <v>14</v>
      </c>
      <c r="T488" s="4">
        <v>15</v>
      </c>
      <c r="U488" s="4">
        <v>0</v>
      </c>
      <c r="V488" s="4">
        <v>15.06</v>
      </c>
      <c r="W488" s="4">
        <v>9.65</v>
      </c>
      <c r="X488" s="4">
        <v>0</v>
      </c>
      <c r="Y488" s="4">
        <v>16.481800632175148</v>
      </c>
      <c r="Z488" s="4">
        <v>11.150945133676805</v>
      </c>
      <c r="AA488" s="4">
        <v>253.57205359548595</v>
      </c>
      <c r="AB488" s="4">
        <v>30677.22</v>
      </c>
      <c r="AC488" s="4">
        <v>9645.8215500000006</v>
      </c>
      <c r="AD488" s="4">
        <v>0</v>
      </c>
      <c r="AE488" s="4">
        <v>33573.427887740778</v>
      </c>
      <c r="AF488" s="4">
        <v>11146.116774433924</v>
      </c>
      <c r="AG488" s="4">
        <v>0</v>
      </c>
    </row>
    <row r="489" spans="1:33" ht="11.25" customHeight="1" x14ac:dyDescent="0.25">
      <c r="A489" s="3" t="s">
        <v>21</v>
      </c>
      <c r="B489" s="3" t="s">
        <v>41</v>
      </c>
      <c r="C489" s="3" t="s">
        <v>61</v>
      </c>
      <c r="D489" s="3" t="s">
        <v>25</v>
      </c>
      <c r="E489" s="3" t="s">
        <v>25</v>
      </c>
      <c r="F489" s="3" t="s">
        <v>64</v>
      </c>
      <c r="G489" s="3" t="s">
        <v>68</v>
      </c>
      <c r="H489" s="3" t="s">
        <v>35</v>
      </c>
      <c r="I489" s="6">
        <v>44593</v>
      </c>
      <c r="J489" s="4">
        <v>2093</v>
      </c>
      <c r="K489" s="16">
        <v>2093</v>
      </c>
      <c r="L489" s="4">
        <v>1038.175</v>
      </c>
      <c r="M489" s="16">
        <v>1038.175</v>
      </c>
      <c r="N489" s="4">
        <v>0</v>
      </c>
      <c r="O489" s="16">
        <v>0</v>
      </c>
      <c r="P489" s="4">
        <v>0</v>
      </c>
      <c r="Q489" s="3" t="s">
        <v>66</v>
      </c>
      <c r="R489" s="3">
        <v>5377</v>
      </c>
      <c r="S489" s="4">
        <v>14</v>
      </c>
      <c r="T489" s="4">
        <v>15</v>
      </c>
      <c r="U489" s="4">
        <v>0</v>
      </c>
      <c r="V489" s="4">
        <v>15.06</v>
      </c>
      <c r="W489" s="4">
        <v>9.65</v>
      </c>
      <c r="X489" s="4">
        <v>0</v>
      </c>
      <c r="Y489" s="4">
        <v>16.481800632175148</v>
      </c>
      <c r="Z489" s="4">
        <v>11.150945133676805</v>
      </c>
      <c r="AA489" s="4">
        <v>253.57205359548595</v>
      </c>
      <c r="AB489" s="4">
        <v>31520.58</v>
      </c>
      <c r="AC489" s="4">
        <v>10018.38875</v>
      </c>
      <c r="AD489" s="4">
        <v>0</v>
      </c>
      <c r="AE489" s="4">
        <v>34496.408723142587</v>
      </c>
      <c r="AF489" s="4">
        <v>11576.632464154916</v>
      </c>
      <c r="AG489" s="4">
        <v>0</v>
      </c>
    </row>
    <row r="490" spans="1:33" ht="11.25" customHeight="1" x14ac:dyDescent="0.25">
      <c r="A490" s="3" t="s">
        <v>56</v>
      </c>
      <c r="B490" s="3" t="s">
        <v>41</v>
      </c>
      <c r="C490" s="3" t="s">
        <v>61</v>
      </c>
      <c r="D490" s="3" t="s">
        <v>25</v>
      </c>
      <c r="E490" s="3" t="s">
        <v>25</v>
      </c>
      <c r="F490" s="3" t="s">
        <v>64</v>
      </c>
      <c r="G490" s="3" t="s">
        <v>68</v>
      </c>
      <c r="H490" s="3" t="s">
        <v>35</v>
      </c>
      <c r="I490" s="6">
        <v>44621</v>
      </c>
      <c r="J490" s="4">
        <v>2093</v>
      </c>
      <c r="K490" s="16">
        <v>2093</v>
      </c>
      <c r="L490" s="4">
        <v>1038.175</v>
      </c>
      <c r="M490" s="16">
        <v>1038.175</v>
      </c>
      <c r="N490" s="4">
        <v>0</v>
      </c>
      <c r="O490" s="16">
        <v>0</v>
      </c>
      <c r="P490" s="4">
        <v>0</v>
      </c>
      <c r="Q490" s="3" t="s">
        <v>66</v>
      </c>
      <c r="R490" s="3">
        <v>5377</v>
      </c>
      <c r="S490" s="4">
        <v>14</v>
      </c>
      <c r="T490" s="4">
        <v>15</v>
      </c>
      <c r="U490" s="4">
        <v>0</v>
      </c>
      <c r="V490" s="4">
        <v>15.06</v>
      </c>
      <c r="W490" s="4">
        <v>9.65</v>
      </c>
      <c r="X490" s="4">
        <v>0</v>
      </c>
      <c r="Y490" s="4">
        <v>16.481800632175148</v>
      </c>
      <c r="Z490" s="4">
        <v>11.150945133676805</v>
      </c>
      <c r="AA490" s="4">
        <v>253.57205359548595</v>
      </c>
      <c r="AB490" s="4">
        <v>31520.58</v>
      </c>
      <c r="AC490" s="4">
        <v>10018.38875</v>
      </c>
      <c r="AD490" s="4">
        <v>0</v>
      </c>
      <c r="AE490" s="4">
        <v>34496.408723142587</v>
      </c>
      <c r="AF490" s="4">
        <v>11576.632464154916</v>
      </c>
      <c r="AG490" s="4">
        <v>0</v>
      </c>
    </row>
    <row r="491" spans="1:33" ht="11.25" customHeight="1" x14ac:dyDescent="0.25">
      <c r="A491" s="3" t="s">
        <v>21</v>
      </c>
      <c r="B491" s="3" t="s">
        <v>41</v>
      </c>
      <c r="C491" s="3" t="s">
        <v>61</v>
      </c>
      <c r="D491" s="3" t="s">
        <v>25</v>
      </c>
      <c r="E491" s="3" t="s">
        <v>25</v>
      </c>
      <c r="F491" s="3" t="s">
        <v>64</v>
      </c>
      <c r="G491" s="3" t="s">
        <v>68</v>
      </c>
      <c r="H491" s="3" t="s">
        <v>25</v>
      </c>
      <c r="I491" s="6">
        <v>44287</v>
      </c>
      <c r="J491" s="4">
        <v>0</v>
      </c>
      <c r="K491" s="16">
        <v>0</v>
      </c>
      <c r="L491" s="4">
        <v>0</v>
      </c>
      <c r="M491" s="16">
        <v>0</v>
      </c>
      <c r="N491" s="4">
        <v>1109.271</v>
      </c>
      <c r="O491" s="16">
        <v>1109.271</v>
      </c>
      <c r="P491" s="4">
        <v>0</v>
      </c>
      <c r="Q491" s="3" t="s">
        <v>66</v>
      </c>
      <c r="R491" s="3">
        <v>5377</v>
      </c>
      <c r="S491" s="4">
        <v>0</v>
      </c>
      <c r="T491" s="4">
        <v>0</v>
      </c>
      <c r="U491" s="4">
        <v>94</v>
      </c>
      <c r="V491" s="4">
        <v>0</v>
      </c>
      <c r="W491" s="4">
        <v>0</v>
      </c>
      <c r="X491" s="4">
        <v>230.1</v>
      </c>
      <c r="Y491" s="4">
        <v>42.583563671169571</v>
      </c>
      <c r="Z491" s="4">
        <v>11.150945133676805</v>
      </c>
      <c r="AA491" s="4">
        <v>253.57205359548595</v>
      </c>
      <c r="AB491" s="4">
        <v>0</v>
      </c>
      <c r="AC491" s="4">
        <v>0</v>
      </c>
      <c r="AD491" s="4">
        <v>255243.25709999999</v>
      </c>
      <c r="AE491" s="4">
        <v>0</v>
      </c>
      <c r="AF491" s="4">
        <v>0</v>
      </c>
      <c r="AG491" s="4">
        <v>281280.12546391832</v>
      </c>
    </row>
    <row r="492" spans="1:33" ht="11.25" customHeight="1" x14ac:dyDescent="0.25">
      <c r="A492" s="3" t="s">
        <v>21</v>
      </c>
      <c r="B492" s="3" t="s">
        <v>41</v>
      </c>
      <c r="C492" s="3" t="s">
        <v>61</v>
      </c>
      <c r="D492" s="3" t="s">
        <v>25</v>
      </c>
      <c r="E492" s="3" t="s">
        <v>25</v>
      </c>
      <c r="F492" s="3" t="s">
        <v>64</v>
      </c>
      <c r="G492" s="3" t="s">
        <v>68</v>
      </c>
      <c r="H492" s="3" t="s">
        <v>25</v>
      </c>
      <c r="I492" s="6">
        <v>44317</v>
      </c>
      <c r="J492" s="4">
        <v>0</v>
      </c>
      <c r="K492" s="16">
        <v>0</v>
      </c>
      <c r="L492" s="4">
        <v>0</v>
      </c>
      <c r="M492" s="16">
        <v>0</v>
      </c>
      <c r="N492" s="4">
        <v>1022.86</v>
      </c>
      <c r="O492" s="16">
        <v>1022.86</v>
      </c>
      <c r="P492" s="4">
        <v>0</v>
      </c>
      <c r="Q492" s="3" t="s">
        <v>66</v>
      </c>
      <c r="R492" s="3">
        <v>5377</v>
      </c>
      <c r="S492" s="4">
        <v>0</v>
      </c>
      <c r="T492" s="4">
        <v>0</v>
      </c>
      <c r="U492" s="4">
        <v>94</v>
      </c>
      <c r="V492" s="4">
        <v>0</v>
      </c>
      <c r="W492" s="4">
        <v>0</v>
      </c>
      <c r="X492" s="4">
        <v>230.1</v>
      </c>
      <c r="Y492" s="4">
        <v>42.583563671169571</v>
      </c>
      <c r="Z492" s="4">
        <v>11.150945133676805</v>
      </c>
      <c r="AA492" s="4">
        <v>253.57205359548595</v>
      </c>
      <c r="AB492" s="4">
        <v>0</v>
      </c>
      <c r="AC492" s="4">
        <v>0</v>
      </c>
      <c r="AD492" s="4">
        <v>235360.08600000001</v>
      </c>
      <c r="AE492" s="4">
        <v>0</v>
      </c>
      <c r="AF492" s="4">
        <v>0</v>
      </c>
      <c r="AG492" s="4">
        <v>259368.71074067877</v>
      </c>
    </row>
    <row r="493" spans="1:33" ht="11.25" customHeight="1" x14ac:dyDescent="0.25">
      <c r="A493" s="3" t="s">
        <v>21</v>
      </c>
      <c r="B493" s="3" t="s">
        <v>41</v>
      </c>
      <c r="C493" s="3" t="s">
        <v>61</v>
      </c>
      <c r="D493" s="3" t="s">
        <v>25</v>
      </c>
      <c r="E493" s="3" t="s">
        <v>25</v>
      </c>
      <c r="F493" s="3" t="s">
        <v>64</v>
      </c>
      <c r="G493" s="3" t="s">
        <v>68</v>
      </c>
      <c r="H493" s="3" t="s">
        <v>25</v>
      </c>
      <c r="I493" s="6">
        <v>44348</v>
      </c>
      <c r="J493" s="4">
        <v>0</v>
      </c>
      <c r="K493" s="16">
        <v>0</v>
      </c>
      <c r="L493" s="4">
        <v>0</v>
      </c>
      <c r="M493" s="16">
        <v>0</v>
      </c>
      <c r="N493" s="4">
        <v>1003.768</v>
      </c>
      <c r="O493" s="16">
        <v>1003.768</v>
      </c>
      <c r="P493" s="4">
        <v>0</v>
      </c>
      <c r="Q493" s="3" t="s">
        <v>66</v>
      </c>
      <c r="R493" s="3">
        <v>5377</v>
      </c>
      <c r="S493" s="4">
        <v>0</v>
      </c>
      <c r="T493" s="4">
        <v>0</v>
      </c>
      <c r="U493" s="4">
        <v>94</v>
      </c>
      <c r="V493" s="4">
        <v>0</v>
      </c>
      <c r="W493" s="4">
        <v>0</v>
      </c>
      <c r="X493" s="4">
        <v>230.1</v>
      </c>
      <c r="Y493" s="4">
        <v>42.583563671169571</v>
      </c>
      <c r="Z493" s="4">
        <v>11.150945133676805</v>
      </c>
      <c r="AA493" s="4">
        <v>253.57205359548595</v>
      </c>
      <c r="AB493" s="4">
        <v>0</v>
      </c>
      <c r="AC493" s="4">
        <v>0</v>
      </c>
      <c r="AD493" s="4">
        <v>230967.01680000001</v>
      </c>
      <c r="AE493" s="4">
        <v>0</v>
      </c>
      <c r="AF493" s="4">
        <v>0</v>
      </c>
      <c r="AG493" s="4">
        <v>254527.51309343375</v>
      </c>
    </row>
    <row r="494" spans="1:33" ht="11.25" customHeight="1" x14ac:dyDescent="0.25">
      <c r="A494" s="3" t="s">
        <v>21</v>
      </c>
      <c r="B494" s="3" t="s">
        <v>41</v>
      </c>
      <c r="C494" s="3" t="s">
        <v>61</v>
      </c>
      <c r="D494" s="3" t="s">
        <v>25</v>
      </c>
      <c r="E494" s="3" t="s">
        <v>25</v>
      </c>
      <c r="F494" s="3" t="s">
        <v>64</v>
      </c>
      <c r="G494" s="3" t="s">
        <v>68</v>
      </c>
      <c r="H494" s="3" t="s">
        <v>25</v>
      </c>
      <c r="I494" s="6">
        <v>44378</v>
      </c>
      <c r="J494" s="4">
        <v>0</v>
      </c>
      <c r="K494" s="16">
        <v>0</v>
      </c>
      <c r="L494" s="4">
        <v>0</v>
      </c>
      <c r="M494" s="16">
        <v>0</v>
      </c>
      <c r="N494" s="4">
        <v>971.34299999999996</v>
      </c>
      <c r="O494" s="16">
        <v>971.34299999999996</v>
      </c>
      <c r="P494" s="4">
        <v>0</v>
      </c>
      <c r="Q494" s="3" t="s">
        <v>66</v>
      </c>
      <c r="R494" s="3">
        <v>5377</v>
      </c>
      <c r="S494" s="4">
        <v>0</v>
      </c>
      <c r="T494" s="4">
        <v>0</v>
      </c>
      <c r="U494" s="4">
        <v>94</v>
      </c>
      <c r="V494" s="4">
        <v>0</v>
      </c>
      <c r="W494" s="4">
        <v>0</v>
      </c>
      <c r="X494" s="4">
        <v>230.1</v>
      </c>
      <c r="Y494" s="4">
        <v>42.583563671169571</v>
      </c>
      <c r="Z494" s="4">
        <v>11.150945133676805</v>
      </c>
      <c r="AA494" s="4">
        <v>253.57205359548595</v>
      </c>
      <c r="AB494" s="4">
        <v>0</v>
      </c>
      <c r="AC494" s="4">
        <v>0</v>
      </c>
      <c r="AD494" s="4">
        <v>223506.02429999999</v>
      </c>
      <c r="AE494" s="4">
        <v>0</v>
      </c>
      <c r="AF494" s="4">
        <v>0</v>
      </c>
      <c r="AG494" s="4">
        <v>246305.4392556001</v>
      </c>
    </row>
    <row r="495" spans="1:33" ht="11.25" customHeight="1" x14ac:dyDescent="0.25">
      <c r="A495" s="3" t="s">
        <v>21</v>
      </c>
      <c r="B495" s="3" t="s">
        <v>41</v>
      </c>
      <c r="C495" s="3" t="s">
        <v>61</v>
      </c>
      <c r="D495" s="3" t="s">
        <v>25</v>
      </c>
      <c r="E495" s="3" t="s">
        <v>25</v>
      </c>
      <c r="F495" s="3" t="s">
        <v>64</v>
      </c>
      <c r="G495" s="3" t="s">
        <v>68</v>
      </c>
      <c r="H495" s="3" t="s">
        <v>25</v>
      </c>
      <c r="I495" s="6">
        <v>44409</v>
      </c>
      <c r="J495" s="4">
        <v>0</v>
      </c>
      <c r="K495" s="16">
        <v>0</v>
      </c>
      <c r="L495" s="4">
        <v>0</v>
      </c>
      <c r="M495" s="16">
        <v>0</v>
      </c>
      <c r="N495" s="4">
        <v>940.20299999999997</v>
      </c>
      <c r="O495" s="16">
        <v>940.20299999999997</v>
      </c>
      <c r="P495" s="4">
        <v>0</v>
      </c>
      <c r="Q495" s="3" t="s">
        <v>66</v>
      </c>
      <c r="R495" s="3">
        <v>5377</v>
      </c>
      <c r="S495" s="4">
        <v>0</v>
      </c>
      <c r="T495" s="4">
        <v>0</v>
      </c>
      <c r="U495" s="4">
        <v>94</v>
      </c>
      <c r="V495" s="4">
        <v>0</v>
      </c>
      <c r="W495" s="4">
        <v>0</v>
      </c>
      <c r="X495" s="4">
        <v>230.1</v>
      </c>
      <c r="Y495" s="4">
        <v>42.583563671169571</v>
      </c>
      <c r="Z495" s="4">
        <v>11.150945133676805</v>
      </c>
      <c r="AA495" s="4">
        <v>253.57205359548595</v>
      </c>
      <c r="AB495" s="4">
        <v>0</v>
      </c>
      <c r="AC495" s="4">
        <v>0</v>
      </c>
      <c r="AD495" s="4">
        <v>216340.71029999998</v>
      </c>
      <c r="AE495" s="4">
        <v>0</v>
      </c>
      <c r="AF495" s="4">
        <v>0</v>
      </c>
      <c r="AG495" s="4">
        <v>238409.20550663667</v>
      </c>
    </row>
    <row r="496" spans="1:33" ht="11.25" customHeight="1" x14ac:dyDescent="0.25">
      <c r="A496" s="3" t="s">
        <v>21</v>
      </c>
      <c r="B496" s="3" t="s">
        <v>41</v>
      </c>
      <c r="C496" s="3" t="s">
        <v>61</v>
      </c>
      <c r="D496" s="3" t="s">
        <v>25</v>
      </c>
      <c r="E496" s="3" t="s">
        <v>25</v>
      </c>
      <c r="F496" s="3" t="s">
        <v>64</v>
      </c>
      <c r="G496" s="3" t="s">
        <v>68</v>
      </c>
      <c r="H496" s="3" t="s">
        <v>25</v>
      </c>
      <c r="I496" s="6">
        <v>44440</v>
      </c>
      <c r="J496" s="4">
        <v>0</v>
      </c>
      <c r="K496" s="16">
        <v>0</v>
      </c>
      <c r="L496" s="4">
        <v>0</v>
      </c>
      <c r="M496" s="16">
        <v>0</v>
      </c>
      <c r="N496" s="4">
        <v>971.20899999999995</v>
      </c>
      <c r="O496" s="16">
        <v>971.20899999999995</v>
      </c>
      <c r="P496" s="4">
        <v>0</v>
      </c>
      <c r="Q496" s="3" t="s">
        <v>66</v>
      </c>
      <c r="R496" s="3">
        <v>5377</v>
      </c>
      <c r="S496" s="4">
        <v>0</v>
      </c>
      <c r="T496" s="4">
        <v>0</v>
      </c>
      <c r="U496" s="4">
        <v>94</v>
      </c>
      <c r="V496" s="4">
        <v>0</v>
      </c>
      <c r="W496" s="4">
        <v>0</v>
      </c>
      <c r="X496" s="4">
        <v>230.1</v>
      </c>
      <c r="Y496" s="4">
        <v>42.583563671169571</v>
      </c>
      <c r="Z496" s="4">
        <v>11.150945133676805</v>
      </c>
      <c r="AA496" s="4">
        <v>253.57205359548595</v>
      </c>
      <c r="AB496" s="4">
        <v>0</v>
      </c>
      <c r="AC496" s="4">
        <v>0</v>
      </c>
      <c r="AD496" s="4">
        <v>223475.19089999999</v>
      </c>
      <c r="AE496" s="4">
        <v>0</v>
      </c>
      <c r="AF496" s="4">
        <v>0</v>
      </c>
      <c r="AG496" s="4">
        <v>246271.4606004183</v>
      </c>
    </row>
    <row r="497" spans="1:33" ht="11.25" customHeight="1" x14ac:dyDescent="0.25">
      <c r="A497" s="3" t="s">
        <v>21</v>
      </c>
      <c r="B497" s="3" t="s">
        <v>41</v>
      </c>
      <c r="C497" s="3" t="s">
        <v>61</v>
      </c>
      <c r="D497" s="3" t="s">
        <v>25</v>
      </c>
      <c r="E497" s="3" t="s">
        <v>25</v>
      </c>
      <c r="F497" s="3" t="s">
        <v>64</v>
      </c>
      <c r="G497" s="3" t="s">
        <v>68</v>
      </c>
      <c r="H497" s="3" t="s">
        <v>25</v>
      </c>
      <c r="I497" s="6">
        <v>44470</v>
      </c>
      <c r="J497" s="4">
        <v>0</v>
      </c>
      <c r="K497" s="16">
        <v>0</v>
      </c>
      <c r="L497" s="4">
        <v>0</v>
      </c>
      <c r="M497" s="16">
        <v>0</v>
      </c>
      <c r="N497" s="4">
        <v>992.65</v>
      </c>
      <c r="O497" s="16">
        <v>992.65</v>
      </c>
      <c r="P497" s="4">
        <v>0</v>
      </c>
      <c r="Q497" s="3" t="s">
        <v>66</v>
      </c>
      <c r="R497" s="3">
        <v>5377</v>
      </c>
      <c r="S497" s="4">
        <v>0</v>
      </c>
      <c r="T497" s="4">
        <v>0</v>
      </c>
      <c r="U497" s="4">
        <v>94</v>
      </c>
      <c r="V497" s="4">
        <v>0</v>
      </c>
      <c r="W497" s="4">
        <v>0</v>
      </c>
      <c r="X497" s="4">
        <v>230.1</v>
      </c>
      <c r="Y497" s="4">
        <v>42.583563671169571</v>
      </c>
      <c r="Z497" s="4">
        <v>11.150945133676805</v>
      </c>
      <c r="AA497" s="4">
        <v>253.57205359548595</v>
      </c>
      <c r="AB497" s="4">
        <v>0</v>
      </c>
      <c r="AC497" s="4">
        <v>0</v>
      </c>
      <c r="AD497" s="4">
        <v>228408.76499999998</v>
      </c>
      <c r="AE497" s="4">
        <v>0</v>
      </c>
      <c r="AF497" s="4">
        <v>0</v>
      </c>
      <c r="AG497" s="4">
        <v>251708.29900155912</v>
      </c>
    </row>
    <row r="498" spans="1:33" ht="11.25" customHeight="1" x14ac:dyDescent="0.25">
      <c r="A498" s="3" t="s">
        <v>21</v>
      </c>
      <c r="B498" s="3" t="s">
        <v>41</v>
      </c>
      <c r="C498" s="3" t="s">
        <v>61</v>
      </c>
      <c r="D498" s="3" t="s">
        <v>25</v>
      </c>
      <c r="E498" s="3" t="s">
        <v>25</v>
      </c>
      <c r="F498" s="3" t="s">
        <v>64</v>
      </c>
      <c r="G498" s="3" t="s">
        <v>68</v>
      </c>
      <c r="H498" s="3" t="s">
        <v>25</v>
      </c>
      <c r="I498" s="6">
        <v>44501</v>
      </c>
      <c r="J498" s="4">
        <v>0</v>
      </c>
      <c r="K498" s="16">
        <v>0</v>
      </c>
      <c r="L498" s="4">
        <v>0</v>
      </c>
      <c r="M498" s="16">
        <v>0</v>
      </c>
      <c r="N498" s="4">
        <v>1101.4580000000001</v>
      </c>
      <c r="O498" s="16">
        <v>1101.4580000000001</v>
      </c>
      <c r="P498" s="4">
        <v>0</v>
      </c>
      <c r="Q498" s="3" t="s">
        <v>66</v>
      </c>
      <c r="R498" s="3">
        <v>5377</v>
      </c>
      <c r="S498" s="4">
        <v>0</v>
      </c>
      <c r="T498" s="4">
        <v>0</v>
      </c>
      <c r="U498" s="4">
        <v>94</v>
      </c>
      <c r="V498" s="4">
        <v>0</v>
      </c>
      <c r="W498" s="4">
        <v>0</v>
      </c>
      <c r="X498" s="4">
        <v>230.1</v>
      </c>
      <c r="Y498" s="4">
        <v>42.583563671169571</v>
      </c>
      <c r="Z498" s="4">
        <v>11.150945133676805</v>
      </c>
      <c r="AA498" s="4">
        <v>253.57205359548595</v>
      </c>
      <c r="AB498" s="4">
        <v>0</v>
      </c>
      <c r="AC498" s="4">
        <v>0</v>
      </c>
      <c r="AD498" s="4">
        <v>253445.48580000002</v>
      </c>
      <c r="AE498" s="4">
        <v>0</v>
      </c>
      <c r="AF498" s="4">
        <v>0</v>
      </c>
      <c r="AG498" s="4">
        <v>279298.96700917679</v>
      </c>
    </row>
    <row r="499" spans="1:33" ht="11.25" customHeight="1" x14ac:dyDescent="0.25">
      <c r="A499" s="3" t="s">
        <v>21</v>
      </c>
      <c r="B499" s="3" t="s">
        <v>41</v>
      </c>
      <c r="C499" s="3" t="s">
        <v>61</v>
      </c>
      <c r="D499" s="3" t="s">
        <v>25</v>
      </c>
      <c r="E499" s="3" t="s">
        <v>25</v>
      </c>
      <c r="F499" s="3" t="s">
        <v>64</v>
      </c>
      <c r="G499" s="3" t="s">
        <v>68</v>
      </c>
      <c r="H499" s="3" t="s">
        <v>25</v>
      </c>
      <c r="I499" s="6">
        <v>44531</v>
      </c>
      <c r="J499" s="4">
        <v>0</v>
      </c>
      <c r="K499" s="16">
        <v>0</v>
      </c>
      <c r="L499" s="4">
        <v>0</v>
      </c>
      <c r="M499" s="16">
        <v>0</v>
      </c>
      <c r="N499" s="4">
        <v>1078.0350000000001</v>
      </c>
      <c r="O499" s="16">
        <v>1078.0350000000001</v>
      </c>
      <c r="P499" s="4">
        <v>0</v>
      </c>
      <c r="Q499" s="3" t="s">
        <v>66</v>
      </c>
      <c r="R499" s="3">
        <v>5377</v>
      </c>
      <c r="S499" s="4">
        <v>0</v>
      </c>
      <c r="T499" s="4">
        <v>0</v>
      </c>
      <c r="U499" s="4">
        <v>94</v>
      </c>
      <c r="V499" s="4">
        <v>0</v>
      </c>
      <c r="W499" s="4">
        <v>0</v>
      </c>
      <c r="X499" s="4">
        <v>230.1</v>
      </c>
      <c r="Y499" s="4">
        <v>42.583563671169571</v>
      </c>
      <c r="Z499" s="4">
        <v>11.150945133676805</v>
      </c>
      <c r="AA499" s="4">
        <v>253.57205359548595</v>
      </c>
      <c r="AB499" s="4">
        <v>0</v>
      </c>
      <c r="AC499" s="4">
        <v>0</v>
      </c>
      <c r="AD499" s="4">
        <v>248055.85350000003</v>
      </c>
      <c r="AE499" s="4">
        <v>0</v>
      </c>
      <c r="AF499" s="4">
        <v>0</v>
      </c>
      <c r="AG499" s="4">
        <v>273359.54879780969</v>
      </c>
    </row>
    <row r="500" spans="1:33" ht="11.25" customHeight="1" x14ac:dyDescent="0.25">
      <c r="A500" s="3" t="s">
        <v>21</v>
      </c>
      <c r="B500" s="3" t="s">
        <v>41</v>
      </c>
      <c r="C500" s="3" t="s">
        <v>61</v>
      </c>
      <c r="D500" s="3" t="s">
        <v>25</v>
      </c>
      <c r="E500" s="3" t="s">
        <v>25</v>
      </c>
      <c r="F500" s="3" t="s">
        <v>64</v>
      </c>
      <c r="G500" s="3" t="s">
        <v>68</v>
      </c>
      <c r="H500" s="3" t="s">
        <v>25</v>
      </c>
      <c r="I500" s="6">
        <v>44562</v>
      </c>
      <c r="J500" s="4">
        <v>0</v>
      </c>
      <c r="K500" s="16">
        <v>0</v>
      </c>
      <c r="L500" s="4">
        <v>0</v>
      </c>
      <c r="M500" s="16">
        <v>0</v>
      </c>
      <c r="N500" s="4">
        <v>1117.4259999999999</v>
      </c>
      <c r="O500" s="16">
        <v>1117.4259999999999</v>
      </c>
      <c r="P500" s="4">
        <v>0</v>
      </c>
      <c r="Q500" s="3" t="s">
        <v>66</v>
      </c>
      <c r="R500" s="3">
        <v>5377</v>
      </c>
      <c r="S500" s="4">
        <v>0</v>
      </c>
      <c r="T500" s="4">
        <v>0</v>
      </c>
      <c r="U500" s="4">
        <v>94</v>
      </c>
      <c r="V500" s="4">
        <v>0</v>
      </c>
      <c r="W500" s="4">
        <v>0</v>
      </c>
      <c r="X500" s="4">
        <v>230.1</v>
      </c>
      <c r="Y500" s="4">
        <v>42.583563671169571</v>
      </c>
      <c r="Z500" s="4">
        <v>11.150945133676805</v>
      </c>
      <c r="AA500" s="4">
        <v>253.57205359548595</v>
      </c>
      <c r="AB500" s="4">
        <v>0</v>
      </c>
      <c r="AC500" s="4">
        <v>0</v>
      </c>
      <c r="AD500" s="4">
        <v>257119.72259999998</v>
      </c>
      <c r="AE500" s="4">
        <v>0</v>
      </c>
      <c r="AF500" s="4">
        <v>0</v>
      </c>
      <c r="AG500" s="4">
        <v>283348.00556098949</v>
      </c>
    </row>
    <row r="501" spans="1:33" ht="11.25" customHeight="1" x14ac:dyDescent="0.25">
      <c r="A501" s="3" t="s">
        <v>27</v>
      </c>
      <c r="B501" s="3" t="s">
        <v>41</v>
      </c>
      <c r="C501" s="3" t="s">
        <v>61</v>
      </c>
      <c r="D501" s="3" t="s">
        <v>25</v>
      </c>
      <c r="E501" s="3" t="s">
        <v>25</v>
      </c>
      <c r="F501" s="3" t="s">
        <v>64</v>
      </c>
      <c r="G501" s="3" t="s">
        <v>65</v>
      </c>
      <c r="H501" s="3" t="s">
        <v>25</v>
      </c>
      <c r="I501" s="6">
        <v>44593</v>
      </c>
      <c r="J501" s="4">
        <v>0</v>
      </c>
      <c r="K501" s="4">
        <v>0</v>
      </c>
      <c r="L501" s="4">
        <v>0</v>
      </c>
      <c r="M501" s="4">
        <v>0</v>
      </c>
      <c r="N501" s="4">
        <v>-471.37</v>
      </c>
      <c r="O501" s="4">
        <v>-471.37</v>
      </c>
      <c r="P501" s="4">
        <v>0</v>
      </c>
      <c r="Q501" s="3" t="s">
        <v>66</v>
      </c>
      <c r="R501" s="3">
        <v>46</v>
      </c>
      <c r="S501" s="4">
        <v>0</v>
      </c>
      <c r="T501" s="4">
        <v>0</v>
      </c>
      <c r="U501" s="4">
        <v>90</v>
      </c>
      <c r="V501" s="4">
        <v>0</v>
      </c>
      <c r="W501" s="4">
        <v>0</v>
      </c>
      <c r="X501" s="4">
        <v>230.1</v>
      </c>
      <c r="Y501" s="4">
        <v>42.583563671169571</v>
      </c>
      <c r="Z501" s="4">
        <v>11.150945133676805</v>
      </c>
      <c r="AA501" s="4">
        <v>253.57205359548595</v>
      </c>
      <c r="AB501" s="4">
        <v>0</v>
      </c>
      <c r="AC501" s="4">
        <v>0</v>
      </c>
      <c r="AD501" s="4">
        <v>-108462.23699999999</v>
      </c>
      <c r="AE501" s="4">
        <v>0</v>
      </c>
      <c r="AF501" s="4">
        <v>0</v>
      </c>
      <c r="AG501" s="4">
        <v>-119526.25890330422</v>
      </c>
    </row>
    <row r="502" spans="1:33" ht="11.25" customHeight="1" x14ac:dyDescent="0.25">
      <c r="A502" s="3" t="s">
        <v>21</v>
      </c>
      <c r="B502" s="3" t="s">
        <v>41</v>
      </c>
      <c r="C502" s="3" t="s">
        <v>61</v>
      </c>
      <c r="D502" s="3" t="s">
        <v>25</v>
      </c>
      <c r="E502" s="3" t="s">
        <v>25</v>
      </c>
      <c r="F502" s="3" t="s">
        <v>64</v>
      </c>
      <c r="G502" s="3" t="s">
        <v>68</v>
      </c>
      <c r="H502" s="3" t="s">
        <v>25</v>
      </c>
      <c r="I502" s="6">
        <v>44593</v>
      </c>
      <c r="J502" s="4">
        <v>0</v>
      </c>
      <c r="K502" s="16">
        <v>0</v>
      </c>
      <c r="L502" s="4">
        <v>0</v>
      </c>
      <c r="M502" s="16">
        <v>0</v>
      </c>
      <c r="N502" s="4">
        <v>1144.837</v>
      </c>
      <c r="O502" s="16">
        <v>1144.837</v>
      </c>
      <c r="P502" s="4">
        <v>0</v>
      </c>
      <c r="Q502" s="3" t="s">
        <v>66</v>
      </c>
      <c r="R502" s="3">
        <v>5377</v>
      </c>
      <c r="S502" s="4">
        <v>0</v>
      </c>
      <c r="T502" s="4">
        <v>0</v>
      </c>
      <c r="U502" s="4">
        <v>94</v>
      </c>
      <c r="V502" s="4">
        <v>0</v>
      </c>
      <c r="W502" s="4">
        <v>0</v>
      </c>
      <c r="X502" s="4">
        <v>230.1</v>
      </c>
      <c r="Y502" s="4">
        <v>42.583563671169571</v>
      </c>
      <c r="Z502" s="4">
        <v>11.150945133676805</v>
      </c>
      <c r="AA502" s="4">
        <v>253.57205359548595</v>
      </c>
      <c r="AB502" s="4">
        <v>0</v>
      </c>
      <c r="AC502" s="4">
        <v>0</v>
      </c>
      <c r="AD502" s="4">
        <v>263426.99369999999</v>
      </c>
      <c r="AE502" s="4">
        <v>0</v>
      </c>
      <c r="AF502" s="4">
        <v>0</v>
      </c>
      <c r="AG502" s="4">
        <v>290298.66912209534</v>
      </c>
    </row>
    <row r="503" spans="1:33" ht="11.25" customHeight="1" x14ac:dyDescent="0.25">
      <c r="A503" s="3" t="s">
        <v>56</v>
      </c>
      <c r="B503" s="3" t="s">
        <v>41</v>
      </c>
      <c r="C503" s="3" t="s">
        <v>61</v>
      </c>
      <c r="D503" s="3" t="s">
        <v>25</v>
      </c>
      <c r="E503" s="3" t="s">
        <v>25</v>
      </c>
      <c r="F503" s="3" t="s">
        <v>64</v>
      </c>
      <c r="G503" s="3" t="s">
        <v>65</v>
      </c>
      <c r="H503" s="3" t="s">
        <v>25</v>
      </c>
      <c r="I503" s="6">
        <v>44621</v>
      </c>
      <c r="J503" s="4">
        <v>0</v>
      </c>
      <c r="K503" s="4">
        <v>0</v>
      </c>
      <c r="L503" s="4">
        <v>0</v>
      </c>
      <c r="M503" s="4">
        <v>0</v>
      </c>
      <c r="N503" s="4">
        <v>-471.37</v>
      </c>
      <c r="O503" s="4">
        <v>-471.37</v>
      </c>
      <c r="P503" s="4">
        <v>0</v>
      </c>
      <c r="Q503" s="3" t="s">
        <v>66</v>
      </c>
      <c r="R503" s="3">
        <v>46</v>
      </c>
      <c r="S503" s="4">
        <v>0</v>
      </c>
      <c r="T503" s="4">
        <v>0</v>
      </c>
      <c r="U503" s="4">
        <v>90</v>
      </c>
      <c r="V503" s="4">
        <v>0</v>
      </c>
      <c r="W503" s="4">
        <v>0</v>
      </c>
      <c r="X503" s="4">
        <v>230.1</v>
      </c>
      <c r="Y503" s="4">
        <v>42.583563671169571</v>
      </c>
      <c r="Z503" s="4">
        <v>11.150945133676805</v>
      </c>
      <c r="AA503" s="4">
        <v>253.57205359548595</v>
      </c>
      <c r="AB503" s="4">
        <v>0</v>
      </c>
      <c r="AC503" s="4">
        <v>0</v>
      </c>
      <c r="AD503" s="4">
        <v>-108462.23699999999</v>
      </c>
      <c r="AE503" s="4">
        <v>0</v>
      </c>
      <c r="AF503" s="4">
        <v>0</v>
      </c>
      <c r="AG503" s="4">
        <v>-119526.25890330422</v>
      </c>
    </row>
    <row r="504" spans="1:33" ht="11.25" customHeight="1" x14ac:dyDescent="0.25">
      <c r="A504" s="3" t="s">
        <v>56</v>
      </c>
      <c r="B504" s="3" t="s">
        <v>41</v>
      </c>
      <c r="C504" s="3" t="s">
        <v>61</v>
      </c>
      <c r="D504" s="3" t="s">
        <v>25</v>
      </c>
      <c r="E504" s="3" t="s">
        <v>25</v>
      </c>
      <c r="F504" s="3" t="s">
        <v>64</v>
      </c>
      <c r="G504" s="3" t="s">
        <v>68</v>
      </c>
      <c r="H504" s="3" t="s">
        <v>25</v>
      </c>
      <c r="I504" s="6">
        <v>44621</v>
      </c>
      <c r="J504" s="4">
        <v>0</v>
      </c>
      <c r="K504" s="16">
        <v>0</v>
      </c>
      <c r="L504" s="4">
        <v>0</v>
      </c>
      <c r="M504" s="16">
        <v>0</v>
      </c>
      <c r="N504" s="4">
        <v>1144.837</v>
      </c>
      <c r="O504" s="16">
        <v>1144.837</v>
      </c>
      <c r="P504" s="4">
        <v>0</v>
      </c>
      <c r="Q504" s="3" t="s">
        <v>66</v>
      </c>
      <c r="R504" s="3">
        <v>5377</v>
      </c>
      <c r="S504" s="4">
        <v>0</v>
      </c>
      <c r="T504" s="4">
        <v>0</v>
      </c>
      <c r="U504" s="4">
        <v>94</v>
      </c>
      <c r="V504" s="4">
        <v>0</v>
      </c>
      <c r="W504" s="4">
        <v>0</v>
      </c>
      <c r="X504" s="4">
        <v>230.1</v>
      </c>
      <c r="Y504" s="4">
        <v>42.583563671169571</v>
      </c>
      <c r="Z504" s="4">
        <v>11.150945133676805</v>
      </c>
      <c r="AA504" s="4">
        <v>253.57205359548595</v>
      </c>
      <c r="AB504" s="4">
        <v>0</v>
      </c>
      <c r="AC504" s="4">
        <v>0</v>
      </c>
      <c r="AD504" s="4">
        <v>263426.99369999999</v>
      </c>
      <c r="AE504" s="4">
        <v>0</v>
      </c>
      <c r="AF504" s="4">
        <v>0</v>
      </c>
      <c r="AG504" s="4">
        <v>290298.66912209534</v>
      </c>
    </row>
    <row r="505" spans="1:33" ht="11.25" customHeight="1" x14ac:dyDescent="0.25">
      <c r="A505" s="3" t="s">
        <v>21</v>
      </c>
      <c r="B505" s="3" t="s">
        <v>41</v>
      </c>
      <c r="C505" s="3" t="s">
        <v>61</v>
      </c>
      <c r="D505" s="3" t="s">
        <v>25</v>
      </c>
      <c r="E505" s="3" t="s">
        <v>25</v>
      </c>
      <c r="F505" s="3" t="s">
        <v>64</v>
      </c>
      <c r="G505" s="3" t="s">
        <v>68</v>
      </c>
      <c r="H505" s="3" t="s">
        <v>34</v>
      </c>
      <c r="I505" s="6">
        <v>44287</v>
      </c>
      <c r="J505" s="4">
        <v>2088</v>
      </c>
      <c r="K505" s="16">
        <v>2088</v>
      </c>
      <c r="L505" s="4">
        <v>124.779</v>
      </c>
      <c r="M505" s="16">
        <v>124.779</v>
      </c>
      <c r="N505" s="4">
        <v>0</v>
      </c>
      <c r="O505" s="16">
        <v>0</v>
      </c>
      <c r="P505" s="4">
        <v>0</v>
      </c>
      <c r="Q505" s="3" t="s">
        <v>66</v>
      </c>
      <c r="R505" s="3">
        <v>5377</v>
      </c>
      <c r="S505" s="4">
        <v>13</v>
      </c>
      <c r="T505" s="4">
        <v>15</v>
      </c>
      <c r="U505" s="4">
        <v>0</v>
      </c>
      <c r="V505" s="4">
        <v>29.89</v>
      </c>
      <c r="W505" s="4">
        <v>9.65</v>
      </c>
      <c r="X505" s="4">
        <v>0</v>
      </c>
      <c r="Y505" s="4">
        <v>36.252448665270038</v>
      </c>
      <c r="Z505" s="4">
        <v>11.150945133676805</v>
      </c>
      <c r="AA505" s="4">
        <v>253.57205359548595</v>
      </c>
      <c r="AB505" s="4">
        <v>62410.32</v>
      </c>
      <c r="AC505" s="4">
        <v>1204.11735</v>
      </c>
      <c r="AD505" s="4">
        <v>0</v>
      </c>
      <c r="AE505" s="4">
        <v>75695.112813083833</v>
      </c>
      <c r="AF505" s="4">
        <v>1391.4037828350579</v>
      </c>
      <c r="AG505" s="4">
        <v>0</v>
      </c>
    </row>
    <row r="506" spans="1:33" ht="11.25" customHeight="1" x14ac:dyDescent="0.25">
      <c r="A506" s="3" t="s">
        <v>21</v>
      </c>
      <c r="B506" s="3" t="s">
        <v>41</v>
      </c>
      <c r="C506" s="3" t="s">
        <v>61</v>
      </c>
      <c r="D506" s="3" t="s">
        <v>25</v>
      </c>
      <c r="E506" s="3" t="s">
        <v>25</v>
      </c>
      <c r="F506" s="3" t="s">
        <v>64</v>
      </c>
      <c r="G506" s="3" t="s">
        <v>68</v>
      </c>
      <c r="H506" s="3" t="s">
        <v>34</v>
      </c>
      <c r="I506" s="6">
        <v>44317</v>
      </c>
      <c r="J506" s="4">
        <v>1990</v>
      </c>
      <c r="K506" s="16">
        <v>1990</v>
      </c>
      <c r="L506" s="4">
        <v>108.497</v>
      </c>
      <c r="M506" s="16">
        <v>108.497</v>
      </c>
      <c r="N506" s="4">
        <v>0</v>
      </c>
      <c r="O506" s="16">
        <v>0</v>
      </c>
      <c r="P506" s="4">
        <v>0</v>
      </c>
      <c r="Q506" s="3" t="s">
        <v>66</v>
      </c>
      <c r="R506" s="3">
        <v>5377</v>
      </c>
      <c r="S506" s="4">
        <v>13</v>
      </c>
      <c r="T506" s="4">
        <v>15</v>
      </c>
      <c r="U506" s="4">
        <v>0</v>
      </c>
      <c r="V506" s="4">
        <v>29.89</v>
      </c>
      <c r="W506" s="4">
        <v>9.65</v>
      </c>
      <c r="X506" s="4">
        <v>0</v>
      </c>
      <c r="Y506" s="4">
        <v>36.252448665270038</v>
      </c>
      <c r="Z506" s="4">
        <v>11.150945133676805</v>
      </c>
      <c r="AA506" s="4">
        <v>253.57205359548595</v>
      </c>
      <c r="AB506" s="4">
        <v>59481.1</v>
      </c>
      <c r="AC506" s="4">
        <v>1046.99605</v>
      </c>
      <c r="AD506" s="4">
        <v>0</v>
      </c>
      <c r="AE506" s="4">
        <v>72142.37284388738</v>
      </c>
      <c r="AF506" s="4">
        <v>1209.8440941685324</v>
      </c>
      <c r="AG506" s="4">
        <v>0</v>
      </c>
    </row>
    <row r="507" spans="1:33" ht="11.25" customHeight="1" x14ac:dyDescent="0.25">
      <c r="A507" s="3" t="s">
        <v>21</v>
      </c>
      <c r="B507" s="3" t="s">
        <v>41</v>
      </c>
      <c r="C507" s="3" t="s">
        <v>61</v>
      </c>
      <c r="D507" s="3" t="s">
        <v>25</v>
      </c>
      <c r="E507" s="3" t="s">
        <v>25</v>
      </c>
      <c r="F507" s="3" t="s">
        <v>64</v>
      </c>
      <c r="G507" s="3" t="s">
        <v>68</v>
      </c>
      <c r="H507" s="3" t="s">
        <v>34</v>
      </c>
      <c r="I507" s="6">
        <v>44348</v>
      </c>
      <c r="J507" s="4">
        <v>2049</v>
      </c>
      <c r="K507" s="16">
        <v>2049</v>
      </c>
      <c r="L507" s="4">
        <v>114.601</v>
      </c>
      <c r="M507" s="16">
        <v>114.601</v>
      </c>
      <c r="N507" s="4">
        <v>0</v>
      </c>
      <c r="O507" s="16">
        <v>0</v>
      </c>
      <c r="P507" s="4">
        <v>0</v>
      </c>
      <c r="Q507" s="3" t="s">
        <v>66</v>
      </c>
      <c r="R507" s="3">
        <v>5377</v>
      </c>
      <c r="S507" s="4">
        <v>13</v>
      </c>
      <c r="T507" s="4">
        <v>15</v>
      </c>
      <c r="U507" s="4">
        <v>0</v>
      </c>
      <c r="V507" s="4">
        <v>29.89</v>
      </c>
      <c r="W507" s="4">
        <v>9.65</v>
      </c>
      <c r="X507" s="4">
        <v>0</v>
      </c>
      <c r="Y507" s="4">
        <v>36.252448665270038</v>
      </c>
      <c r="Z507" s="4">
        <v>11.150945133676805</v>
      </c>
      <c r="AA507" s="4">
        <v>253.57205359548595</v>
      </c>
      <c r="AB507" s="4">
        <v>61244.61</v>
      </c>
      <c r="AC507" s="4">
        <v>1105.8996500000001</v>
      </c>
      <c r="AD507" s="4">
        <v>0</v>
      </c>
      <c r="AE507" s="4">
        <v>74281.267315138306</v>
      </c>
      <c r="AF507" s="4">
        <v>1277.9094632644956</v>
      </c>
      <c r="AG507" s="4">
        <v>0</v>
      </c>
    </row>
    <row r="508" spans="1:33" ht="11.25" customHeight="1" x14ac:dyDescent="0.25">
      <c r="A508" s="3" t="s">
        <v>21</v>
      </c>
      <c r="B508" s="3" t="s">
        <v>41</v>
      </c>
      <c r="C508" s="3" t="s">
        <v>61</v>
      </c>
      <c r="D508" s="3" t="s">
        <v>25</v>
      </c>
      <c r="E508" s="3" t="s">
        <v>25</v>
      </c>
      <c r="F508" s="3" t="s">
        <v>64</v>
      </c>
      <c r="G508" s="3" t="s">
        <v>68</v>
      </c>
      <c r="H508" s="3" t="s">
        <v>34</v>
      </c>
      <c r="I508" s="6">
        <v>44378</v>
      </c>
      <c r="J508" s="4">
        <v>1994</v>
      </c>
      <c r="K508" s="16">
        <v>1994</v>
      </c>
      <c r="L508" s="4">
        <v>115.446</v>
      </c>
      <c r="M508" s="16">
        <v>115.446</v>
      </c>
      <c r="N508" s="4">
        <v>0</v>
      </c>
      <c r="O508" s="16">
        <v>0</v>
      </c>
      <c r="P508" s="4">
        <v>0</v>
      </c>
      <c r="Q508" s="3" t="s">
        <v>66</v>
      </c>
      <c r="R508" s="3">
        <v>5377</v>
      </c>
      <c r="S508" s="4">
        <v>13</v>
      </c>
      <c r="T508" s="4">
        <v>15</v>
      </c>
      <c r="U508" s="4">
        <v>0</v>
      </c>
      <c r="V508" s="4">
        <v>29.89</v>
      </c>
      <c r="W508" s="4">
        <v>9.65</v>
      </c>
      <c r="X508" s="4">
        <v>0</v>
      </c>
      <c r="Y508" s="4">
        <v>36.252448665270038</v>
      </c>
      <c r="Z508" s="4">
        <v>11.150945133676805</v>
      </c>
      <c r="AA508" s="4">
        <v>253.57205359548595</v>
      </c>
      <c r="AB508" s="4">
        <v>59600.66</v>
      </c>
      <c r="AC508" s="4">
        <v>1114.0539000000001</v>
      </c>
      <c r="AD508" s="4">
        <v>0</v>
      </c>
      <c r="AE508" s="4">
        <v>72287.382638548457</v>
      </c>
      <c r="AF508" s="4">
        <v>1287.3320119024525</v>
      </c>
      <c r="AG508" s="4">
        <v>0</v>
      </c>
    </row>
    <row r="509" spans="1:33" ht="11.25" customHeight="1" x14ac:dyDescent="0.25">
      <c r="A509" s="3" t="s">
        <v>21</v>
      </c>
      <c r="B509" s="3" t="s">
        <v>41</v>
      </c>
      <c r="C509" s="3" t="s">
        <v>61</v>
      </c>
      <c r="D509" s="3" t="s">
        <v>25</v>
      </c>
      <c r="E509" s="3" t="s">
        <v>25</v>
      </c>
      <c r="F509" s="3" t="s">
        <v>64</v>
      </c>
      <c r="G509" s="3" t="s">
        <v>68</v>
      </c>
      <c r="H509" s="3" t="s">
        <v>34</v>
      </c>
      <c r="I509" s="6">
        <v>44409</v>
      </c>
      <c r="J509" s="4">
        <v>2004</v>
      </c>
      <c r="K509" s="16">
        <v>2004</v>
      </c>
      <c r="L509" s="4">
        <v>119.52800000000001</v>
      </c>
      <c r="M509" s="16">
        <v>119.52800000000001</v>
      </c>
      <c r="N509" s="4">
        <v>0</v>
      </c>
      <c r="O509" s="16">
        <v>0</v>
      </c>
      <c r="P509" s="4">
        <v>0</v>
      </c>
      <c r="Q509" s="3" t="s">
        <v>66</v>
      </c>
      <c r="R509" s="3">
        <v>5377</v>
      </c>
      <c r="S509" s="4">
        <v>13</v>
      </c>
      <c r="T509" s="4">
        <v>15</v>
      </c>
      <c r="U509" s="4">
        <v>0</v>
      </c>
      <c r="V509" s="4">
        <v>29.89</v>
      </c>
      <c r="W509" s="4">
        <v>9.65</v>
      </c>
      <c r="X509" s="4">
        <v>0</v>
      </c>
      <c r="Y509" s="4">
        <v>36.252448665270038</v>
      </c>
      <c r="Z509" s="4">
        <v>11.150945133676805</v>
      </c>
      <c r="AA509" s="4">
        <v>253.57205359548595</v>
      </c>
      <c r="AB509" s="4">
        <v>59899.56</v>
      </c>
      <c r="AC509" s="4">
        <v>1153.4452000000001</v>
      </c>
      <c r="AD509" s="4">
        <v>0</v>
      </c>
      <c r="AE509" s="4">
        <v>72649.907125201149</v>
      </c>
      <c r="AF509" s="4">
        <v>1332.8501699381211</v>
      </c>
      <c r="AG509" s="4">
        <v>0</v>
      </c>
    </row>
    <row r="510" spans="1:33" ht="11.25" customHeight="1" x14ac:dyDescent="0.25">
      <c r="A510" s="3" t="s">
        <v>21</v>
      </c>
      <c r="B510" s="3" t="s">
        <v>41</v>
      </c>
      <c r="C510" s="3" t="s">
        <v>61</v>
      </c>
      <c r="D510" s="3" t="s">
        <v>25</v>
      </c>
      <c r="E510" s="3" t="s">
        <v>25</v>
      </c>
      <c r="F510" s="3" t="s">
        <v>64</v>
      </c>
      <c r="G510" s="3" t="s">
        <v>68</v>
      </c>
      <c r="H510" s="3" t="s">
        <v>34</v>
      </c>
      <c r="I510" s="6">
        <v>44440</v>
      </c>
      <c r="J510" s="4">
        <v>2038</v>
      </c>
      <c r="K510" s="16">
        <v>2038</v>
      </c>
      <c r="L510" s="4">
        <v>121.212</v>
      </c>
      <c r="M510" s="16">
        <v>121.212</v>
      </c>
      <c r="N510" s="4">
        <v>0</v>
      </c>
      <c r="O510" s="16">
        <v>0</v>
      </c>
      <c r="P510" s="4">
        <v>0</v>
      </c>
      <c r="Q510" s="3" t="s">
        <v>66</v>
      </c>
      <c r="R510" s="3">
        <v>5377</v>
      </c>
      <c r="S510" s="4">
        <v>13</v>
      </c>
      <c r="T510" s="4">
        <v>15</v>
      </c>
      <c r="U510" s="4">
        <v>0</v>
      </c>
      <c r="V510" s="4">
        <v>29.89</v>
      </c>
      <c r="W510" s="4">
        <v>9.65</v>
      </c>
      <c r="X510" s="4">
        <v>0</v>
      </c>
      <c r="Y510" s="4">
        <v>36.252448665270038</v>
      </c>
      <c r="Z510" s="4">
        <v>11.150945133676805</v>
      </c>
      <c r="AA510" s="4">
        <v>253.57205359548595</v>
      </c>
      <c r="AB510" s="4">
        <v>60915.82</v>
      </c>
      <c r="AC510" s="4">
        <v>1169.6958</v>
      </c>
      <c r="AD510" s="4">
        <v>0</v>
      </c>
      <c r="AE510" s="4">
        <v>73882.49037982033</v>
      </c>
      <c r="AF510" s="4">
        <v>1351.6283615432328</v>
      </c>
      <c r="AG510" s="4">
        <v>0</v>
      </c>
    </row>
    <row r="511" spans="1:33" ht="11.25" customHeight="1" x14ac:dyDescent="0.25">
      <c r="A511" s="3" t="s">
        <v>21</v>
      </c>
      <c r="B511" s="3" t="s">
        <v>41</v>
      </c>
      <c r="C511" s="3" t="s">
        <v>61</v>
      </c>
      <c r="D511" s="3" t="s">
        <v>25</v>
      </c>
      <c r="E511" s="3" t="s">
        <v>25</v>
      </c>
      <c r="F511" s="3" t="s">
        <v>64</v>
      </c>
      <c r="G511" s="3" t="s">
        <v>68</v>
      </c>
      <c r="H511" s="3" t="s">
        <v>34</v>
      </c>
      <c r="I511" s="6">
        <v>44470</v>
      </c>
      <c r="J511" s="4">
        <v>2058</v>
      </c>
      <c r="K511" s="16">
        <v>2058</v>
      </c>
      <c r="L511" s="4">
        <v>117.648</v>
      </c>
      <c r="M511" s="16">
        <v>117.648</v>
      </c>
      <c r="N511" s="4">
        <v>0</v>
      </c>
      <c r="O511" s="16">
        <v>0</v>
      </c>
      <c r="P511" s="4">
        <v>0</v>
      </c>
      <c r="Q511" s="3" t="s">
        <v>66</v>
      </c>
      <c r="R511" s="3">
        <v>5377</v>
      </c>
      <c r="S511" s="4">
        <v>13</v>
      </c>
      <c r="T511" s="4">
        <v>15</v>
      </c>
      <c r="U511" s="4">
        <v>0</v>
      </c>
      <c r="V511" s="4">
        <v>29.89</v>
      </c>
      <c r="W511" s="4">
        <v>9.65</v>
      </c>
      <c r="X511" s="4">
        <v>0</v>
      </c>
      <c r="Y511" s="4">
        <v>36.252448665270038</v>
      </c>
      <c r="Z511" s="4">
        <v>11.150945133676805</v>
      </c>
      <c r="AA511" s="4">
        <v>253.57205359548595</v>
      </c>
      <c r="AB511" s="4">
        <v>61513.62</v>
      </c>
      <c r="AC511" s="4">
        <v>1135.3032000000001</v>
      </c>
      <c r="AD511" s="4">
        <v>0</v>
      </c>
      <c r="AE511" s="4">
        <v>74607.539353125743</v>
      </c>
      <c r="AF511" s="4">
        <v>1311.8863930868088</v>
      </c>
      <c r="AG511" s="4">
        <v>0</v>
      </c>
    </row>
    <row r="512" spans="1:33" ht="11.25" customHeight="1" x14ac:dyDescent="0.25">
      <c r="A512" s="3" t="s">
        <v>21</v>
      </c>
      <c r="B512" s="3" t="s">
        <v>41</v>
      </c>
      <c r="C512" s="3" t="s">
        <v>61</v>
      </c>
      <c r="D512" s="3" t="s">
        <v>25</v>
      </c>
      <c r="E512" s="3" t="s">
        <v>25</v>
      </c>
      <c r="F512" s="3" t="s">
        <v>64</v>
      </c>
      <c r="G512" s="3" t="s">
        <v>68</v>
      </c>
      <c r="H512" s="3" t="s">
        <v>34</v>
      </c>
      <c r="I512" s="6">
        <v>44501</v>
      </c>
      <c r="J512" s="4">
        <v>2051</v>
      </c>
      <c r="K512" s="16">
        <v>2051</v>
      </c>
      <c r="L512" s="4">
        <v>115.67400000000001</v>
      </c>
      <c r="M512" s="16">
        <v>115.67400000000001</v>
      </c>
      <c r="N512" s="4">
        <v>0</v>
      </c>
      <c r="O512" s="16">
        <v>0</v>
      </c>
      <c r="P512" s="4">
        <v>0</v>
      </c>
      <c r="Q512" s="3" t="s">
        <v>66</v>
      </c>
      <c r="R512" s="3">
        <v>5377</v>
      </c>
      <c r="S512" s="4">
        <v>13</v>
      </c>
      <c r="T512" s="4">
        <v>15</v>
      </c>
      <c r="U512" s="4">
        <v>0</v>
      </c>
      <c r="V512" s="4">
        <v>29.89</v>
      </c>
      <c r="W512" s="4">
        <v>9.65</v>
      </c>
      <c r="X512" s="4">
        <v>0</v>
      </c>
      <c r="Y512" s="4">
        <v>36.252448665270038</v>
      </c>
      <c r="Z512" s="4">
        <v>11.150945133676805</v>
      </c>
      <c r="AA512" s="4">
        <v>253.57205359548595</v>
      </c>
      <c r="AB512" s="4">
        <v>61304.39</v>
      </c>
      <c r="AC512" s="4">
        <v>1116.2541000000001</v>
      </c>
      <c r="AD512" s="4">
        <v>0</v>
      </c>
      <c r="AE512" s="4">
        <v>74353.772212468844</v>
      </c>
      <c r="AF512" s="4">
        <v>1289.8744273929308</v>
      </c>
      <c r="AG512" s="4">
        <v>0</v>
      </c>
    </row>
    <row r="513" spans="1:33" ht="11.25" customHeight="1" x14ac:dyDescent="0.25">
      <c r="A513" s="3" t="s">
        <v>21</v>
      </c>
      <c r="B513" s="3" t="s">
        <v>41</v>
      </c>
      <c r="C513" s="3" t="s">
        <v>61</v>
      </c>
      <c r="D513" s="3" t="s">
        <v>25</v>
      </c>
      <c r="E513" s="3" t="s">
        <v>25</v>
      </c>
      <c r="F513" s="3" t="s">
        <v>64</v>
      </c>
      <c r="G513" s="3" t="s">
        <v>68</v>
      </c>
      <c r="H513" s="3" t="s">
        <v>34</v>
      </c>
      <c r="I513" s="6">
        <v>44531</v>
      </c>
      <c r="J513" s="4">
        <v>2068</v>
      </c>
      <c r="K513" s="16">
        <v>2068</v>
      </c>
      <c r="L513" s="4">
        <v>115.57899999999999</v>
      </c>
      <c r="M513" s="16">
        <v>115.57899999999999</v>
      </c>
      <c r="N513" s="4">
        <v>0</v>
      </c>
      <c r="O513" s="16">
        <v>0</v>
      </c>
      <c r="P513" s="4">
        <v>0</v>
      </c>
      <c r="Q513" s="3" t="s">
        <v>66</v>
      </c>
      <c r="R513" s="3">
        <v>5377</v>
      </c>
      <c r="S513" s="4">
        <v>13</v>
      </c>
      <c r="T513" s="4">
        <v>15</v>
      </c>
      <c r="U513" s="4">
        <v>0</v>
      </c>
      <c r="V513" s="4">
        <v>29.89</v>
      </c>
      <c r="W513" s="4">
        <v>9.65</v>
      </c>
      <c r="X513" s="4">
        <v>0</v>
      </c>
      <c r="Y513" s="4">
        <v>36.252448665270038</v>
      </c>
      <c r="Z513" s="4">
        <v>11.150945133676805</v>
      </c>
      <c r="AA513" s="4">
        <v>253.57205359548595</v>
      </c>
      <c r="AB513" s="4">
        <v>61812.520000000004</v>
      </c>
      <c r="AC513" s="4">
        <v>1115.33735</v>
      </c>
      <c r="AD513" s="4">
        <v>0</v>
      </c>
      <c r="AE513" s="4">
        <v>74970.063839778435</v>
      </c>
      <c r="AF513" s="4">
        <v>1288.8150876052314</v>
      </c>
      <c r="AG513" s="4">
        <v>0</v>
      </c>
    </row>
    <row r="514" spans="1:33" ht="11.25" customHeight="1" x14ac:dyDescent="0.25">
      <c r="A514" s="3" t="s">
        <v>21</v>
      </c>
      <c r="B514" s="3" t="s">
        <v>41</v>
      </c>
      <c r="C514" s="3" t="s">
        <v>61</v>
      </c>
      <c r="D514" s="3" t="s">
        <v>25</v>
      </c>
      <c r="E514" s="3" t="s">
        <v>25</v>
      </c>
      <c r="F514" s="3" t="s">
        <v>64</v>
      </c>
      <c r="G514" s="3" t="s">
        <v>68</v>
      </c>
      <c r="H514" s="3" t="s">
        <v>34</v>
      </c>
      <c r="I514" s="6">
        <v>44562</v>
      </c>
      <c r="J514" s="4">
        <v>2155</v>
      </c>
      <c r="K514" s="16">
        <v>2155</v>
      </c>
      <c r="L514" s="4">
        <v>130.245</v>
      </c>
      <c r="M514" s="16">
        <v>130.245</v>
      </c>
      <c r="N514" s="4">
        <v>0</v>
      </c>
      <c r="O514" s="16">
        <v>0</v>
      </c>
      <c r="P514" s="4">
        <v>0</v>
      </c>
      <c r="Q514" s="3" t="s">
        <v>66</v>
      </c>
      <c r="R514" s="3">
        <v>5377</v>
      </c>
      <c r="S514" s="4">
        <v>13</v>
      </c>
      <c r="T514" s="4">
        <v>15</v>
      </c>
      <c r="U514" s="4">
        <v>0</v>
      </c>
      <c r="V514" s="4">
        <v>29.89</v>
      </c>
      <c r="W514" s="4">
        <v>9.65</v>
      </c>
      <c r="X514" s="4">
        <v>0</v>
      </c>
      <c r="Y514" s="4">
        <v>36.252448665270038</v>
      </c>
      <c r="Z514" s="4">
        <v>11.150945133676805</v>
      </c>
      <c r="AA514" s="4">
        <v>253.57205359548595</v>
      </c>
      <c r="AB514" s="4">
        <v>64412.950000000004</v>
      </c>
      <c r="AC514" s="4">
        <v>1256.8642500000001</v>
      </c>
      <c r="AD514" s="4">
        <v>0</v>
      </c>
      <c r="AE514" s="4">
        <v>78124.026873656927</v>
      </c>
      <c r="AF514" s="4">
        <v>1452.3548489357354</v>
      </c>
      <c r="AG514" s="4">
        <v>0</v>
      </c>
    </row>
    <row r="515" spans="1:33" ht="11.25" customHeight="1" x14ac:dyDescent="0.25">
      <c r="A515" s="3" t="s">
        <v>21</v>
      </c>
      <c r="B515" s="3" t="s">
        <v>41</v>
      </c>
      <c r="C515" s="3" t="s">
        <v>61</v>
      </c>
      <c r="D515" s="3" t="s">
        <v>25</v>
      </c>
      <c r="E515" s="3" t="s">
        <v>25</v>
      </c>
      <c r="F515" s="3" t="s">
        <v>64</v>
      </c>
      <c r="G515" s="3" t="s">
        <v>68</v>
      </c>
      <c r="H515" s="3" t="s">
        <v>34</v>
      </c>
      <c r="I515" s="6">
        <v>44593</v>
      </c>
      <c r="J515" s="4">
        <v>2130</v>
      </c>
      <c r="K515" s="16">
        <v>2130</v>
      </c>
      <c r="L515" s="4">
        <v>119.048</v>
      </c>
      <c r="M515" s="16">
        <v>119.048</v>
      </c>
      <c r="N515" s="4">
        <v>0</v>
      </c>
      <c r="O515" s="16">
        <v>0</v>
      </c>
      <c r="P515" s="4">
        <v>0</v>
      </c>
      <c r="Q515" s="3" t="s">
        <v>66</v>
      </c>
      <c r="R515" s="3">
        <v>5377</v>
      </c>
      <c r="S515" s="4">
        <v>13</v>
      </c>
      <c r="T515" s="4">
        <v>15</v>
      </c>
      <c r="U515" s="4">
        <v>0</v>
      </c>
      <c r="V515" s="4">
        <v>29.89</v>
      </c>
      <c r="W515" s="4">
        <v>9.65</v>
      </c>
      <c r="X515" s="4">
        <v>0</v>
      </c>
      <c r="Y515" s="4">
        <v>36.252448665270038</v>
      </c>
      <c r="Z515" s="4">
        <v>11.150945133676805</v>
      </c>
      <c r="AA515" s="4">
        <v>253.57205359548595</v>
      </c>
      <c r="AB515" s="4">
        <v>63665.700000000004</v>
      </c>
      <c r="AC515" s="4">
        <v>1148.8132000000001</v>
      </c>
      <c r="AD515" s="4">
        <v>0</v>
      </c>
      <c r="AE515" s="4">
        <v>77217.715657025183</v>
      </c>
      <c r="AF515" s="4">
        <v>1327.4977162739563</v>
      </c>
      <c r="AG515" s="4">
        <v>0</v>
      </c>
    </row>
    <row r="516" spans="1:33" ht="11.25" customHeight="1" x14ac:dyDescent="0.25">
      <c r="A516" s="3" t="s">
        <v>56</v>
      </c>
      <c r="B516" s="3" t="s">
        <v>41</v>
      </c>
      <c r="C516" s="3" t="s">
        <v>61</v>
      </c>
      <c r="D516" s="3" t="s">
        <v>25</v>
      </c>
      <c r="E516" s="3" t="s">
        <v>25</v>
      </c>
      <c r="F516" s="3" t="s">
        <v>64</v>
      </c>
      <c r="G516" s="3" t="s">
        <v>68</v>
      </c>
      <c r="H516" s="3" t="s">
        <v>34</v>
      </c>
      <c r="I516" s="6">
        <v>44621</v>
      </c>
      <c r="J516" s="4">
        <v>2130</v>
      </c>
      <c r="K516" s="16">
        <v>2130</v>
      </c>
      <c r="L516" s="4">
        <v>119.048</v>
      </c>
      <c r="M516" s="16">
        <v>119.048</v>
      </c>
      <c r="N516" s="4">
        <v>0</v>
      </c>
      <c r="O516" s="16">
        <v>0</v>
      </c>
      <c r="P516" s="4">
        <v>0</v>
      </c>
      <c r="Q516" s="3" t="s">
        <v>66</v>
      </c>
      <c r="R516" s="3">
        <v>5377</v>
      </c>
      <c r="S516" s="4">
        <v>13</v>
      </c>
      <c r="T516" s="4">
        <v>15</v>
      </c>
      <c r="U516" s="4">
        <v>0</v>
      </c>
      <c r="V516" s="4">
        <v>29.89</v>
      </c>
      <c r="W516" s="4">
        <v>9.65</v>
      </c>
      <c r="X516" s="4">
        <v>0</v>
      </c>
      <c r="Y516" s="4">
        <v>36.252448665270038</v>
      </c>
      <c r="Z516" s="4">
        <v>11.150945133676805</v>
      </c>
      <c r="AA516" s="4">
        <v>253.57205359548595</v>
      </c>
      <c r="AB516" s="4">
        <v>63665.700000000004</v>
      </c>
      <c r="AC516" s="4">
        <v>1148.8132000000001</v>
      </c>
      <c r="AD516" s="4">
        <v>0</v>
      </c>
      <c r="AE516" s="4">
        <v>77217.715657025183</v>
      </c>
      <c r="AF516" s="4">
        <v>1327.4977162739563</v>
      </c>
      <c r="AG516" s="4">
        <v>0</v>
      </c>
    </row>
    <row r="517" spans="1:33" ht="11.25" customHeight="1" x14ac:dyDescent="0.25">
      <c r="A517" s="3" t="s">
        <v>21</v>
      </c>
      <c r="B517" s="3" t="s">
        <v>41</v>
      </c>
      <c r="C517" s="3" t="s">
        <v>61</v>
      </c>
      <c r="D517" s="3" t="s">
        <v>25</v>
      </c>
      <c r="E517" s="3" t="s">
        <v>25</v>
      </c>
      <c r="F517" s="3" t="s">
        <v>25</v>
      </c>
      <c r="G517" s="3" t="s">
        <v>62</v>
      </c>
      <c r="H517" s="3" t="s">
        <v>35</v>
      </c>
      <c r="I517" s="6">
        <v>44287</v>
      </c>
      <c r="J517" s="4">
        <v>5577</v>
      </c>
      <c r="K517" s="4">
        <v>5577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3" t="s">
        <v>63</v>
      </c>
      <c r="R517" s="3">
        <v>44</v>
      </c>
      <c r="S517" s="4">
        <v>106</v>
      </c>
      <c r="T517" s="4">
        <v>0</v>
      </c>
      <c r="U517" s="4">
        <v>0</v>
      </c>
      <c r="V517" s="4">
        <v>15.06</v>
      </c>
      <c r="W517" s="4">
        <v>0</v>
      </c>
      <c r="X517" s="4">
        <v>0</v>
      </c>
      <c r="Y517" s="4">
        <v>16.481800632175148</v>
      </c>
      <c r="Z517" s="4">
        <v>11.150945133676805</v>
      </c>
      <c r="AA517" s="4"/>
      <c r="AB517" s="4">
        <v>83989.62000000001</v>
      </c>
      <c r="AC517" s="4">
        <v>0</v>
      </c>
      <c r="AD517" s="4">
        <v>0</v>
      </c>
      <c r="AE517" s="4">
        <v>91919.002125640793</v>
      </c>
      <c r="AF517" s="4">
        <v>0</v>
      </c>
      <c r="AG517" s="4">
        <v>0</v>
      </c>
    </row>
    <row r="518" spans="1:33" ht="11.25" customHeight="1" x14ac:dyDescent="0.25">
      <c r="A518" s="3" t="s">
        <v>21</v>
      </c>
      <c r="B518" s="3" t="s">
        <v>41</v>
      </c>
      <c r="C518" s="3" t="s">
        <v>61</v>
      </c>
      <c r="D518" s="3" t="s">
        <v>25</v>
      </c>
      <c r="E518" s="3" t="s">
        <v>25</v>
      </c>
      <c r="F518" s="3" t="s">
        <v>25</v>
      </c>
      <c r="G518" s="3" t="s">
        <v>67</v>
      </c>
      <c r="H518" s="3" t="s">
        <v>35</v>
      </c>
      <c r="I518" s="6">
        <v>44287</v>
      </c>
      <c r="J518" s="4">
        <v>6331</v>
      </c>
      <c r="K518" s="4">
        <v>6331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3" t="s">
        <v>63</v>
      </c>
      <c r="R518" s="3">
        <v>47</v>
      </c>
      <c r="S518" s="4">
        <v>18</v>
      </c>
      <c r="T518" s="4">
        <v>0</v>
      </c>
      <c r="U518" s="4">
        <v>0</v>
      </c>
      <c r="V518" s="4">
        <v>15.06</v>
      </c>
      <c r="W518" s="4">
        <v>0</v>
      </c>
      <c r="X518" s="4">
        <v>0</v>
      </c>
      <c r="Y518" s="4">
        <v>16.481800632175148</v>
      </c>
      <c r="Z518" s="4">
        <v>11.150945133676805</v>
      </c>
      <c r="AA518" s="4"/>
      <c r="AB518" s="4">
        <v>95344.86</v>
      </c>
      <c r="AC518" s="4">
        <v>0</v>
      </c>
      <c r="AD518" s="4">
        <v>0</v>
      </c>
      <c r="AE518" s="4">
        <v>104346.27980230087</v>
      </c>
      <c r="AF518" s="4">
        <v>0</v>
      </c>
      <c r="AG518" s="4">
        <v>0</v>
      </c>
    </row>
    <row r="519" spans="1:33" ht="11.25" customHeight="1" x14ac:dyDescent="0.25">
      <c r="A519" s="3" t="s">
        <v>21</v>
      </c>
      <c r="B519" s="3" t="s">
        <v>41</v>
      </c>
      <c r="C519" s="3" t="s">
        <v>61</v>
      </c>
      <c r="D519" s="3" t="s">
        <v>25</v>
      </c>
      <c r="E519" s="3" t="s">
        <v>25</v>
      </c>
      <c r="F519" s="3" t="s">
        <v>25</v>
      </c>
      <c r="G519" s="3" t="s">
        <v>62</v>
      </c>
      <c r="H519" s="3" t="s">
        <v>35</v>
      </c>
      <c r="I519" s="6">
        <v>44317</v>
      </c>
      <c r="J519" s="4">
        <v>5577</v>
      </c>
      <c r="K519" s="4">
        <v>5577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3" t="s">
        <v>63</v>
      </c>
      <c r="R519" s="3">
        <v>44</v>
      </c>
      <c r="S519" s="4">
        <v>106</v>
      </c>
      <c r="T519" s="4">
        <v>0</v>
      </c>
      <c r="U519" s="4">
        <v>0</v>
      </c>
      <c r="V519" s="4">
        <v>15.06</v>
      </c>
      <c r="W519" s="4">
        <v>0</v>
      </c>
      <c r="X519" s="4">
        <v>0</v>
      </c>
      <c r="Y519" s="4">
        <v>16.481800632175148</v>
      </c>
      <c r="Z519" s="4">
        <v>11.150945133676805</v>
      </c>
      <c r="AA519" s="4"/>
      <c r="AB519" s="4">
        <v>83989.62000000001</v>
      </c>
      <c r="AC519" s="4">
        <v>0</v>
      </c>
      <c r="AD519" s="4">
        <v>0</v>
      </c>
      <c r="AE519" s="4">
        <v>91919.002125640793</v>
      </c>
      <c r="AF519" s="4">
        <v>0</v>
      </c>
      <c r="AG519" s="4">
        <v>0</v>
      </c>
    </row>
    <row r="520" spans="1:33" ht="11.25" customHeight="1" x14ac:dyDescent="0.25">
      <c r="A520" s="3" t="s">
        <v>21</v>
      </c>
      <c r="B520" s="3" t="s">
        <v>41</v>
      </c>
      <c r="C520" s="3" t="s">
        <v>61</v>
      </c>
      <c r="D520" s="3" t="s">
        <v>25</v>
      </c>
      <c r="E520" s="3" t="s">
        <v>25</v>
      </c>
      <c r="F520" s="3" t="s">
        <v>25</v>
      </c>
      <c r="G520" s="3" t="s">
        <v>67</v>
      </c>
      <c r="H520" s="3" t="s">
        <v>35</v>
      </c>
      <c r="I520" s="6">
        <v>44317</v>
      </c>
      <c r="J520" s="4">
        <v>6331</v>
      </c>
      <c r="K520" s="4">
        <v>6331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3" t="s">
        <v>63</v>
      </c>
      <c r="R520" s="3">
        <v>47</v>
      </c>
      <c r="S520" s="4">
        <v>18</v>
      </c>
      <c r="T520" s="4">
        <v>0</v>
      </c>
      <c r="U520" s="4">
        <v>0</v>
      </c>
      <c r="V520" s="4">
        <v>15.06</v>
      </c>
      <c r="W520" s="4">
        <v>0</v>
      </c>
      <c r="X520" s="4">
        <v>0</v>
      </c>
      <c r="Y520" s="4">
        <v>16.481800632175148</v>
      </c>
      <c r="Z520" s="4">
        <v>11.150945133676805</v>
      </c>
      <c r="AA520" s="4"/>
      <c r="AB520" s="4">
        <v>95344.86</v>
      </c>
      <c r="AC520" s="4">
        <v>0</v>
      </c>
      <c r="AD520" s="4">
        <v>0</v>
      </c>
      <c r="AE520" s="4">
        <v>104346.27980230087</v>
      </c>
      <c r="AF520" s="4">
        <v>0</v>
      </c>
      <c r="AG520" s="4">
        <v>0</v>
      </c>
    </row>
    <row r="521" spans="1:33" ht="11.25" customHeight="1" x14ac:dyDescent="0.25">
      <c r="A521" s="3" t="s">
        <v>21</v>
      </c>
      <c r="B521" s="3" t="s">
        <v>41</v>
      </c>
      <c r="C521" s="3" t="s">
        <v>61</v>
      </c>
      <c r="D521" s="3" t="s">
        <v>25</v>
      </c>
      <c r="E521" s="3" t="s">
        <v>25</v>
      </c>
      <c r="F521" s="3" t="s">
        <v>25</v>
      </c>
      <c r="G521" s="3" t="s">
        <v>62</v>
      </c>
      <c r="H521" s="3" t="s">
        <v>35</v>
      </c>
      <c r="I521" s="6">
        <v>44348</v>
      </c>
      <c r="J521" s="4">
        <v>5577</v>
      </c>
      <c r="K521" s="4">
        <v>5577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3" t="s">
        <v>63</v>
      </c>
      <c r="R521" s="3">
        <v>44</v>
      </c>
      <c r="S521" s="4">
        <v>106</v>
      </c>
      <c r="T521" s="4">
        <v>0</v>
      </c>
      <c r="U521" s="4">
        <v>0</v>
      </c>
      <c r="V521" s="4">
        <v>15.06</v>
      </c>
      <c r="W521" s="4">
        <v>0</v>
      </c>
      <c r="X521" s="4">
        <v>0</v>
      </c>
      <c r="Y521" s="4">
        <v>16.481800632175148</v>
      </c>
      <c r="Z521" s="4">
        <v>11.150945133676805</v>
      </c>
      <c r="AA521" s="4"/>
      <c r="AB521" s="4">
        <v>83989.62000000001</v>
      </c>
      <c r="AC521" s="4">
        <v>0</v>
      </c>
      <c r="AD521" s="4">
        <v>0</v>
      </c>
      <c r="AE521" s="4">
        <v>91919.002125640793</v>
      </c>
      <c r="AF521" s="4">
        <v>0</v>
      </c>
      <c r="AG521" s="4">
        <v>0</v>
      </c>
    </row>
    <row r="522" spans="1:33" ht="11.25" customHeight="1" x14ac:dyDescent="0.25">
      <c r="A522" s="3" t="s">
        <v>21</v>
      </c>
      <c r="B522" s="3" t="s">
        <v>41</v>
      </c>
      <c r="C522" s="3" t="s">
        <v>61</v>
      </c>
      <c r="D522" s="3" t="s">
        <v>25</v>
      </c>
      <c r="E522" s="3" t="s">
        <v>25</v>
      </c>
      <c r="F522" s="3" t="s">
        <v>25</v>
      </c>
      <c r="G522" s="3" t="s">
        <v>67</v>
      </c>
      <c r="H522" s="3" t="s">
        <v>35</v>
      </c>
      <c r="I522" s="6">
        <v>44348</v>
      </c>
      <c r="J522" s="4">
        <v>6331</v>
      </c>
      <c r="K522" s="4">
        <v>6331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3" t="s">
        <v>63</v>
      </c>
      <c r="R522" s="3">
        <v>47</v>
      </c>
      <c r="S522" s="4">
        <v>18</v>
      </c>
      <c r="T522" s="4">
        <v>0</v>
      </c>
      <c r="U522" s="4">
        <v>0</v>
      </c>
      <c r="V522" s="4">
        <v>15.06</v>
      </c>
      <c r="W522" s="4">
        <v>0</v>
      </c>
      <c r="X522" s="4">
        <v>0</v>
      </c>
      <c r="Y522" s="4">
        <v>16.481800632175148</v>
      </c>
      <c r="Z522" s="4">
        <v>11.150945133676805</v>
      </c>
      <c r="AA522" s="4"/>
      <c r="AB522" s="4">
        <v>95344.86</v>
      </c>
      <c r="AC522" s="4">
        <v>0</v>
      </c>
      <c r="AD522" s="4">
        <v>0</v>
      </c>
      <c r="AE522" s="4">
        <v>104346.27980230087</v>
      </c>
      <c r="AF522" s="4">
        <v>0</v>
      </c>
      <c r="AG522" s="4">
        <v>0</v>
      </c>
    </row>
    <row r="523" spans="1:33" ht="11.25" customHeight="1" x14ac:dyDescent="0.25">
      <c r="A523" s="3" t="s">
        <v>21</v>
      </c>
      <c r="B523" s="3" t="s">
        <v>41</v>
      </c>
      <c r="C523" s="3" t="s">
        <v>61</v>
      </c>
      <c r="D523" s="3" t="s">
        <v>25</v>
      </c>
      <c r="E523" s="3" t="s">
        <v>25</v>
      </c>
      <c r="F523" s="3" t="s">
        <v>25</v>
      </c>
      <c r="G523" s="3" t="s">
        <v>62</v>
      </c>
      <c r="H523" s="3" t="s">
        <v>35</v>
      </c>
      <c r="I523" s="6">
        <v>44378</v>
      </c>
      <c r="J523" s="4">
        <v>5577</v>
      </c>
      <c r="K523" s="4">
        <v>5577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3" t="s">
        <v>63</v>
      </c>
      <c r="R523" s="3">
        <v>44</v>
      </c>
      <c r="S523" s="4">
        <v>106</v>
      </c>
      <c r="T523" s="4">
        <v>0</v>
      </c>
      <c r="U523" s="4">
        <v>0</v>
      </c>
      <c r="V523" s="4">
        <v>15.06</v>
      </c>
      <c r="W523" s="4">
        <v>0</v>
      </c>
      <c r="X523" s="4">
        <v>0</v>
      </c>
      <c r="Y523" s="4">
        <v>16.481800632175148</v>
      </c>
      <c r="Z523" s="4">
        <v>11.150945133676805</v>
      </c>
      <c r="AA523" s="4"/>
      <c r="AB523" s="4">
        <v>83989.62000000001</v>
      </c>
      <c r="AC523" s="4">
        <v>0</v>
      </c>
      <c r="AD523" s="4">
        <v>0</v>
      </c>
      <c r="AE523" s="4">
        <v>91919.002125640793</v>
      </c>
      <c r="AF523" s="4">
        <v>0</v>
      </c>
      <c r="AG523" s="4">
        <v>0</v>
      </c>
    </row>
    <row r="524" spans="1:33" ht="11.25" customHeight="1" x14ac:dyDescent="0.25">
      <c r="A524" s="3" t="s">
        <v>21</v>
      </c>
      <c r="B524" s="3" t="s">
        <v>41</v>
      </c>
      <c r="C524" s="3" t="s">
        <v>61</v>
      </c>
      <c r="D524" s="3" t="s">
        <v>25</v>
      </c>
      <c r="E524" s="3" t="s">
        <v>25</v>
      </c>
      <c r="F524" s="3" t="s">
        <v>25</v>
      </c>
      <c r="G524" s="3" t="s">
        <v>67</v>
      </c>
      <c r="H524" s="3" t="s">
        <v>35</v>
      </c>
      <c r="I524" s="6">
        <v>44378</v>
      </c>
      <c r="J524" s="4">
        <v>6331</v>
      </c>
      <c r="K524" s="4">
        <v>6331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3" t="s">
        <v>63</v>
      </c>
      <c r="R524" s="3">
        <v>47</v>
      </c>
      <c r="S524" s="4">
        <v>18</v>
      </c>
      <c r="T524" s="4">
        <v>0</v>
      </c>
      <c r="U524" s="4">
        <v>0</v>
      </c>
      <c r="V524" s="4">
        <v>15.06</v>
      </c>
      <c r="W524" s="4">
        <v>0</v>
      </c>
      <c r="X524" s="4">
        <v>0</v>
      </c>
      <c r="Y524" s="4">
        <v>16.481800632175148</v>
      </c>
      <c r="Z524" s="4">
        <v>11.150945133676805</v>
      </c>
      <c r="AA524" s="4"/>
      <c r="AB524" s="4">
        <v>95344.86</v>
      </c>
      <c r="AC524" s="4">
        <v>0</v>
      </c>
      <c r="AD524" s="4">
        <v>0</v>
      </c>
      <c r="AE524" s="4">
        <v>104346.27980230087</v>
      </c>
      <c r="AF524" s="4">
        <v>0</v>
      </c>
      <c r="AG524" s="4">
        <v>0</v>
      </c>
    </row>
    <row r="525" spans="1:33" ht="11.25" customHeight="1" x14ac:dyDescent="0.25">
      <c r="A525" s="3" t="s">
        <v>21</v>
      </c>
      <c r="B525" s="3" t="s">
        <v>41</v>
      </c>
      <c r="C525" s="3" t="s">
        <v>61</v>
      </c>
      <c r="D525" s="3" t="s">
        <v>25</v>
      </c>
      <c r="E525" s="3" t="s">
        <v>25</v>
      </c>
      <c r="F525" s="3" t="s">
        <v>25</v>
      </c>
      <c r="G525" s="3" t="s">
        <v>62</v>
      </c>
      <c r="H525" s="3" t="s">
        <v>35</v>
      </c>
      <c r="I525" s="6">
        <v>44409</v>
      </c>
      <c r="J525" s="4">
        <v>5577</v>
      </c>
      <c r="K525" s="4">
        <v>5577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3" t="s">
        <v>63</v>
      </c>
      <c r="R525" s="3">
        <v>44</v>
      </c>
      <c r="S525" s="4">
        <v>106</v>
      </c>
      <c r="T525" s="4">
        <v>0</v>
      </c>
      <c r="U525" s="4">
        <v>0</v>
      </c>
      <c r="V525" s="4">
        <v>15.06</v>
      </c>
      <c r="W525" s="4">
        <v>0</v>
      </c>
      <c r="X525" s="4">
        <v>0</v>
      </c>
      <c r="Y525" s="4">
        <v>16.481800632175148</v>
      </c>
      <c r="Z525" s="4">
        <v>11.150945133676805</v>
      </c>
      <c r="AA525" s="4"/>
      <c r="AB525" s="4">
        <v>83989.62000000001</v>
      </c>
      <c r="AC525" s="4">
        <v>0</v>
      </c>
      <c r="AD525" s="4">
        <v>0</v>
      </c>
      <c r="AE525" s="4">
        <v>91919.002125640793</v>
      </c>
      <c r="AF525" s="4">
        <v>0</v>
      </c>
      <c r="AG525" s="4">
        <v>0</v>
      </c>
    </row>
    <row r="526" spans="1:33" ht="11.25" customHeight="1" x14ac:dyDescent="0.25">
      <c r="A526" s="3" t="s">
        <v>21</v>
      </c>
      <c r="B526" s="3" t="s">
        <v>41</v>
      </c>
      <c r="C526" s="3" t="s">
        <v>61</v>
      </c>
      <c r="D526" s="3" t="s">
        <v>25</v>
      </c>
      <c r="E526" s="3" t="s">
        <v>25</v>
      </c>
      <c r="F526" s="3" t="s">
        <v>25</v>
      </c>
      <c r="G526" s="3" t="s">
        <v>67</v>
      </c>
      <c r="H526" s="3" t="s">
        <v>35</v>
      </c>
      <c r="I526" s="6">
        <v>44409</v>
      </c>
      <c r="J526" s="4">
        <v>6331</v>
      </c>
      <c r="K526" s="4">
        <v>6331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3" t="s">
        <v>63</v>
      </c>
      <c r="R526" s="3">
        <v>47</v>
      </c>
      <c r="S526" s="4">
        <v>18</v>
      </c>
      <c r="T526" s="4">
        <v>0</v>
      </c>
      <c r="U526" s="4">
        <v>0</v>
      </c>
      <c r="V526" s="4">
        <v>15.06</v>
      </c>
      <c r="W526" s="4">
        <v>0</v>
      </c>
      <c r="X526" s="4">
        <v>0</v>
      </c>
      <c r="Y526" s="4">
        <v>16.481800632175148</v>
      </c>
      <c r="Z526" s="4">
        <v>11.150945133676805</v>
      </c>
      <c r="AA526" s="4"/>
      <c r="AB526" s="4">
        <v>95344.86</v>
      </c>
      <c r="AC526" s="4">
        <v>0</v>
      </c>
      <c r="AD526" s="4">
        <v>0</v>
      </c>
      <c r="AE526" s="4">
        <v>104346.27980230087</v>
      </c>
      <c r="AF526" s="4">
        <v>0</v>
      </c>
      <c r="AG526" s="4">
        <v>0</v>
      </c>
    </row>
    <row r="527" spans="1:33" ht="11.25" customHeight="1" x14ac:dyDescent="0.25">
      <c r="A527" s="3" t="s">
        <v>21</v>
      </c>
      <c r="B527" s="3" t="s">
        <v>41</v>
      </c>
      <c r="C527" s="3" t="s">
        <v>61</v>
      </c>
      <c r="D527" s="3" t="s">
        <v>25</v>
      </c>
      <c r="E527" s="3" t="s">
        <v>25</v>
      </c>
      <c r="F527" s="3" t="s">
        <v>25</v>
      </c>
      <c r="G527" s="3" t="s">
        <v>62</v>
      </c>
      <c r="H527" s="3" t="s">
        <v>35</v>
      </c>
      <c r="I527" s="6">
        <v>44440</v>
      </c>
      <c r="J527" s="4">
        <v>5577</v>
      </c>
      <c r="K527" s="4">
        <v>5577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3" t="s">
        <v>63</v>
      </c>
      <c r="R527" s="3">
        <v>44</v>
      </c>
      <c r="S527" s="4">
        <v>106</v>
      </c>
      <c r="T527" s="4">
        <v>0</v>
      </c>
      <c r="U527" s="4">
        <v>0</v>
      </c>
      <c r="V527" s="4">
        <v>15.06</v>
      </c>
      <c r="W527" s="4">
        <v>0</v>
      </c>
      <c r="X527" s="4">
        <v>0</v>
      </c>
      <c r="Y527" s="4">
        <v>16.481800632175148</v>
      </c>
      <c r="Z527" s="4">
        <v>11.150945133676805</v>
      </c>
      <c r="AA527" s="4"/>
      <c r="AB527" s="4">
        <v>83989.62000000001</v>
      </c>
      <c r="AC527" s="4">
        <v>0</v>
      </c>
      <c r="AD527" s="4">
        <v>0</v>
      </c>
      <c r="AE527" s="4">
        <v>91919.002125640793</v>
      </c>
      <c r="AF527" s="4">
        <v>0</v>
      </c>
      <c r="AG527" s="4">
        <v>0</v>
      </c>
    </row>
    <row r="528" spans="1:33" ht="11.25" customHeight="1" x14ac:dyDescent="0.25">
      <c r="A528" s="3" t="s">
        <v>21</v>
      </c>
      <c r="B528" s="3" t="s">
        <v>41</v>
      </c>
      <c r="C528" s="3" t="s">
        <v>61</v>
      </c>
      <c r="D528" s="3" t="s">
        <v>25</v>
      </c>
      <c r="E528" s="3" t="s">
        <v>25</v>
      </c>
      <c r="F528" s="3" t="s">
        <v>25</v>
      </c>
      <c r="G528" s="3" t="s">
        <v>67</v>
      </c>
      <c r="H528" s="3" t="s">
        <v>35</v>
      </c>
      <c r="I528" s="6">
        <v>44440</v>
      </c>
      <c r="J528" s="4">
        <v>6331</v>
      </c>
      <c r="K528" s="4">
        <v>6331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3" t="s">
        <v>63</v>
      </c>
      <c r="R528" s="3">
        <v>47</v>
      </c>
      <c r="S528" s="4">
        <v>18</v>
      </c>
      <c r="T528" s="4">
        <v>0</v>
      </c>
      <c r="U528" s="4">
        <v>0</v>
      </c>
      <c r="V528" s="4">
        <v>15.06</v>
      </c>
      <c r="W528" s="4">
        <v>0</v>
      </c>
      <c r="X528" s="4">
        <v>0</v>
      </c>
      <c r="Y528" s="4">
        <v>16.481800632175148</v>
      </c>
      <c r="Z528" s="4">
        <v>11.150945133676805</v>
      </c>
      <c r="AA528" s="4"/>
      <c r="AB528" s="4">
        <v>95344.86</v>
      </c>
      <c r="AC528" s="4">
        <v>0</v>
      </c>
      <c r="AD528" s="4">
        <v>0</v>
      </c>
      <c r="AE528" s="4">
        <v>104346.27980230087</v>
      </c>
      <c r="AF528" s="4">
        <v>0</v>
      </c>
      <c r="AG528" s="4">
        <v>0</v>
      </c>
    </row>
    <row r="529" spans="1:33" ht="11.25" customHeight="1" x14ac:dyDescent="0.25">
      <c r="A529" s="3" t="s">
        <v>21</v>
      </c>
      <c r="B529" s="3" t="s">
        <v>41</v>
      </c>
      <c r="C529" s="3" t="s">
        <v>61</v>
      </c>
      <c r="D529" s="3" t="s">
        <v>25</v>
      </c>
      <c r="E529" s="3" t="s">
        <v>25</v>
      </c>
      <c r="F529" s="3" t="s">
        <v>25</v>
      </c>
      <c r="G529" s="3" t="s">
        <v>62</v>
      </c>
      <c r="H529" s="3" t="s">
        <v>35</v>
      </c>
      <c r="I529" s="6">
        <v>44470</v>
      </c>
      <c r="J529" s="4">
        <v>5577</v>
      </c>
      <c r="K529" s="4">
        <v>5577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3" t="s">
        <v>63</v>
      </c>
      <c r="R529" s="3">
        <v>44</v>
      </c>
      <c r="S529" s="4">
        <v>106</v>
      </c>
      <c r="T529" s="4">
        <v>0</v>
      </c>
      <c r="U529" s="4">
        <v>0</v>
      </c>
      <c r="V529" s="4">
        <v>15.06</v>
      </c>
      <c r="W529" s="4">
        <v>0</v>
      </c>
      <c r="X529" s="4">
        <v>0</v>
      </c>
      <c r="Y529" s="4">
        <v>16.481800632175148</v>
      </c>
      <c r="Z529" s="4">
        <v>11.150945133676805</v>
      </c>
      <c r="AA529" s="4"/>
      <c r="AB529" s="4">
        <v>83989.62000000001</v>
      </c>
      <c r="AC529" s="4">
        <v>0</v>
      </c>
      <c r="AD529" s="4">
        <v>0</v>
      </c>
      <c r="AE529" s="4">
        <v>91919.002125640793</v>
      </c>
      <c r="AF529" s="4">
        <v>0</v>
      </c>
      <c r="AG529" s="4">
        <v>0</v>
      </c>
    </row>
    <row r="530" spans="1:33" ht="11.25" customHeight="1" x14ac:dyDescent="0.25">
      <c r="A530" s="3" t="s">
        <v>21</v>
      </c>
      <c r="B530" s="3" t="s">
        <v>41</v>
      </c>
      <c r="C530" s="3" t="s">
        <v>61</v>
      </c>
      <c r="D530" s="3" t="s">
        <v>25</v>
      </c>
      <c r="E530" s="3" t="s">
        <v>25</v>
      </c>
      <c r="F530" s="3" t="s">
        <v>25</v>
      </c>
      <c r="G530" s="3" t="s">
        <v>67</v>
      </c>
      <c r="H530" s="3" t="s">
        <v>35</v>
      </c>
      <c r="I530" s="6">
        <v>44470</v>
      </c>
      <c r="J530" s="4">
        <v>6331</v>
      </c>
      <c r="K530" s="4">
        <v>6331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3" t="s">
        <v>63</v>
      </c>
      <c r="R530" s="3">
        <v>47</v>
      </c>
      <c r="S530" s="4">
        <v>18</v>
      </c>
      <c r="T530" s="4">
        <v>0</v>
      </c>
      <c r="U530" s="4">
        <v>0</v>
      </c>
      <c r="V530" s="4">
        <v>15.06</v>
      </c>
      <c r="W530" s="4">
        <v>0</v>
      </c>
      <c r="X530" s="4">
        <v>0</v>
      </c>
      <c r="Y530" s="4">
        <v>16.481800632175148</v>
      </c>
      <c r="Z530" s="4">
        <v>11.150945133676805</v>
      </c>
      <c r="AA530" s="4"/>
      <c r="AB530" s="4">
        <v>95344.86</v>
      </c>
      <c r="AC530" s="4">
        <v>0</v>
      </c>
      <c r="AD530" s="4">
        <v>0</v>
      </c>
      <c r="AE530" s="4">
        <v>104346.27980230087</v>
      </c>
      <c r="AF530" s="4">
        <v>0</v>
      </c>
      <c r="AG530" s="4">
        <v>0</v>
      </c>
    </row>
    <row r="531" spans="1:33" ht="11.25" customHeight="1" x14ac:dyDescent="0.25">
      <c r="A531" s="3" t="s">
        <v>21</v>
      </c>
      <c r="B531" s="3" t="s">
        <v>41</v>
      </c>
      <c r="C531" s="3" t="s">
        <v>61</v>
      </c>
      <c r="D531" s="3" t="s">
        <v>25</v>
      </c>
      <c r="E531" s="3" t="s">
        <v>25</v>
      </c>
      <c r="F531" s="3" t="s">
        <v>25</v>
      </c>
      <c r="G531" s="3" t="s">
        <v>62</v>
      </c>
      <c r="H531" s="3" t="s">
        <v>35</v>
      </c>
      <c r="I531" s="6">
        <v>44501</v>
      </c>
      <c r="J531" s="4">
        <v>5577</v>
      </c>
      <c r="K531" s="4">
        <v>5577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3" t="s">
        <v>63</v>
      </c>
      <c r="R531" s="3">
        <v>44</v>
      </c>
      <c r="S531" s="4">
        <v>106</v>
      </c>
      <c r="T531" s="4">
        <v>0</v>
      </c>
      <c r="U531" s="4">
        <v>0</v>
      </c>
      <c r="V531" s="4">
        <v>15.06</v>
      </c>
      <c r="W531" s="4">
        <v>0</v>
      </c>
      <c r="X531" s="4">
        <v>0</v>
      </c>
      <c r="Y531" s="4">
        <v>16.481800632175148</v>
      </c>
      <c r="Z531" s="4">
        <v>11.150945133676805</v>
      </c>
      <c r="AA531" s="4"/>
      <c r="AB531" s="4">
        <v>83989.62000000001</v>
      </c>
      <c r="AC531" s="4">
        <v>0</v>
      </c>
      <c r="AD531" s="4">
        <v>0</v>
      </c>
      <c r="AE531" s="4">
        <v>91919.002125640793</v>
      </c>
      <c r="AF531" s="4">
        <v>0</v>
      </c>
      <c r="AG531" s="4">
        <v>0</v>
      </c>
    </row>
    <row r="532" spans="1:33" ht="11.25" customHeight="1" x14ac:dyDescent="0.25">
      <c r="A532" s="3" t="s">
        <v>21</v>
      </c>
      <c r="B532" s="3" t="s">
        <v>41</v>
      </c>
      <c r="C532" s="3" t="s">
        <v>61</v>
      </c>
      <c r="D532" s="3" t="s">
        <v>25</v>
      </c>
      <c r="E532" s="3" t="s">
        <v>25</v>
      </c>
      <c r="F532" s="3" t="s">
        <v>25</v>
      </c>
      <c r="G532" s="3" t="s">
        <v>67</v>
      </c>
      <c r="H532" s="3" t="s">
        <v>35</v>
      </c>
      <c r="I532" s="6">
        <v>44501</v>
      </c>
      <c r="J532" s="4">
        <v>6331</v>
      </c>
      <c r="K532" s="4">
        <v>6331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3" t="s">
        <v>63</v>
      </c>
      <c r="R532" s="3">
        <v>47</v>
      </c>
      <c r="S532" s="4">
        <v>18</v>
      </c>
      <c r="T532" s="4">
        <v>0</v>
      </c>
      <c r="U532" s="4">
        <v>0</v>
      </c>
      <c r="V532" s="4">
        <v>15.06</v>
      </c>
      <c r="W532" s="4">
        <v>0</v>
      </c>
      <c r="X532" s="4">
        <v>0</v>
      </c>
      <c r="Y532" s="4">
        <v>16.481800632175148</v>
      </c>
      <c r="Z532" s="4">
        <v>11.150945133676805</v>
      </c>
      <c r="AA532" s="4"/>
      <c r="AB532" s="4">
        <v>95344.86</v>
      </c>
      <c r="AC532" s="4">
        <v>0</v>
      </c>
      <c r="AD532" s="4">
        <v>0</v>
      </c>
      <c r="AE532" s="4">
        <v>104346.27980230087</v>
      </c>
      <c r="AF532" s="4">
        <v>0</v>
      </c>
      <c r="AG532" s="4">
        <v>0</v>
      </c>
    </row>
    <row r="533" spans="1:33" ht="11.25" customHeight="1" x14ac:dyDescent="0.25">
      <c r="A533" s="3" t="s">
        <v>21</v>
      </c>
      <c r="B533" s="3" t="s">
        <v>41</v>
      </c>
      <c r="C533" s="3" t="s">
        <v>61</v>
      </c>
      <c r="D533" s="3" t="s">
        <v>25</v>
      </c>
      <c r="E533" s="3" t="s">
        <v>25</v>
      </c>
      <c r="F533" s="3" t="s">
        <v>25</v>
      </c>
      <c r="G533" s="3" t="s">
        <v>62</v>
      </c>
      <c r="H533" s="3" t="s">
        <v>35</v>
      </c>
      <c r="I533" s="6">
        <v>44531</v>
      </c>
      <c r="J533" s="4">
        <v>5577</v>
      </c>
      <c r="K533" s="4">
        <v>5577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3" t="s">
        <v>63</v>
      </c>
      <c r="R533" s="3">
        <v>44</v>
      </c>
      <c r="S533" s="4">
        <v>106</v>
      </c>
      <c r="T533" s="4">
        <v>0</v>
      </c>
      <c r="U533" s="4">
        <v>0</v>
      </c>
      <c r="V533" s="4">
        <v>15.06</v>
      </c>
      <c r="W533" s="4">
        <v>0</v>
      </c>
      <c r="X533" s="4">
        <v>0</v>
      </c>
      <c r="Y533" s="4">
        <v>16.481800632175148</v>
      </c>
      <c r="Z533" s="4">
        <v>11.150945133676805</v>
      </c>
      <c r="AA533" s="4"/>
      <c r="AB533" s="4">
        <v>83989.62000000001</v>
      </c>
      <c r="AC533" s="4">
        <v>0</v>
      </c>
      <c r="AD533" s="4">
        <v>0</v>
      </c>
      <c r="AE533" s="4">
        <v>91919.002125640793</v>
      </c>
      <c r="AF533" s="4">
        <v>0</v>
      </c>
      <c r="AG533" s="4">
        <v>0</v>
      </c>
    </row>
    <row r="534" spans="1:33" ht="11.25" customHeight="1" x14ac:dyDescent="0.25">
      <c r="A534" s="3" t="s">
        <v>21</v>
      </c>
      <c r="B534" s="3" t="s">
        <v>41</v>
      </c>
      <c r="C534" s="3" t="s">
        <v>61</v>
      </c>
      <c r="D534" s="3" t="s">
        <v>25</v>
      </c>
      <c r="E534" s="3" t="s">
        <v>25</v>
      </c>
      <c r="F534" s="3" t="s">
        <v>25</v>
      </c>
      <c r="G534" s="3" t="s">
        <v>67</v>
      </c>
      <c r="H534" s="3" t="s">
        <v>35</v>
      </c>
      <c r="I534" s="6">
        <v>44531</v>
      </c>
      <c r="J534" s="4">
        <v>6478</v>
      </c>
      <c r="K534" s="4">
        <v>6478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3" t="s">
        <v>63</v>
      </c>
      <c r="R534" s="3">
        <v>47</v>
      </c>
      <c r="S534" s="4">
        <v>18</v>
      </c>
      <c r="T534" s="4">
        <v>0</v>
      </c>
      <c r="U534" s="4">
        <v>0</v>
      </c>
      <c r="V534" s="4">
        <v>15.06</v>
      </c>
      <c r="W534" s="4">
        <v>0</v>
      </c>
      <c r="X534" s="4">
        <v>0</v>
      </c>
      <c r="Y534" s="4">
        <v>16.481800632175148</v>
      </c>
      <c r="Z534" s="4">
        <v>11.150945133676805</v>
      </c>
      <c r="AA534" s="4"/>
      <c r="AB534" s="4">
        <v>97558.680000000008</v>
      </c>
      <c r="AC534" s="4">
        <v>0</v>
      </c>
      <c r="AD534" s="4">
        <v>0</v>
      </c>
      <c r="AE534" s="4">
        <v>106769.10449523061</v>
      </c>
      <c r="AF534" s="4">
        <v>0</v>
      </c>
      <c r="AG534" s="4">
        <v>0</v>
      </c>
    </row>
    <row r="535" spans="1:33" ht="11.25" customHeight="1" x14ac:dyDescent="0.25">
      <c r="A535" s="3" t="s">
        <v>21</v>
      </c>
      <c r="B535" s="3" t="s">
        <v>41</v>
      </c>
      <c r="C535" s="3" t="s">
        <v>61</v>
      </c>
      <c r="D535" s="3" t="s">
        <v>25</v>
      </c>
      <c r="E535" s="3" t="s">
        <v>25</v>
      </c>
      <c r="F535" s="3" t="s">
        <v>25</v>
      </c>
      <c r="G535" s="3" t="s">
        <v>62</v>
      </c>
      <c r="H535" s="3" t="s">
        <v>35</v>
      </c>
      <c r="I535" s="6">
        <v>44562</v>
      </c>
      <c r="J535" s="4">
        <v>5577</v>
      </c>
      <c r="K535" s="4">
        <v>5577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3" t="s">
        <v>63</v>
      </c>
      <c r="R535" s="3">
        <v>44</v>
      </c>
      <c r="S535" s="4">
        <v>106</v>
      </c>
      <c r="T535" s="4">
        <v>0</v>
      </c>
      <c r="U535" s="4">
        <v>0</v>
      </c>
      <c r="V535" s="4">
        <v>15.06</v>
      </c>
      <c r="W535" s="4">
        <v>0</v>
      </c>
      <c r="X535" s="4">
        <v>0</v>
      </c>
      <c r="Y535" s="4">
        <v>16.481800632175148</v>
      </c>
      <c r="Z535" s="4">
        <v>11.150945133676805</v>
      </c>
      <c r="AA535" s="4"/>
      <c r="AB535" s="4">
        <v>83989.62000000001</v>
      </c>
      <c r="AC535" s="4">
        <v>0</v>
      </c>
      <c r="AD535" s="4">
        <v>0</v>
      </c>
      <c r="AE535" s="4">
        <v>91919.002125640793</v>
      </c>
      <c r="AF535" s="4">
        <v>0</v>
      </c>
      <c r="AG535" s="4">
        <v>0</v>
      </c>
    </row>
    <row r="536" spans="1:33" ht="11.25" customHeight="1" x14ac:dyDescent="0.25">
      <c r="A536" s="3" t="s">
        <v>21</v>
      </c>
      <c r="B536" s="3" t="s">
        <v>41</v>
      </c>
      <c r="C536" s="3" t="s">
        <v>61</v>
      </c>
      <c r="D536" s="3" t="s">
        <v>25</v>
      </c>
      <c r="E536" s="3" t="s">
        <v>25</v>
      </c>
      <c r="F536" s="3" t="s">
        <v>25</v>
      </c>
      <c r="G536" s="3" t="s">
        <v>67</v>
      </c>
      <c r="H536" s="3" t="s">
        <v>35</v>
      </c>
      <c r="I536" s="6">
        <v>44562</v>
      </c>
      <c r="J536" s="4">
        <v>6331</v>
      </c>
      <c r="K536" s="4">
        <v>6331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3" t="s">
        <v>63</v>
      </c>
      <c r="R536" s="3">
        <v>47</v>
      </c>
      <c r="S536" s="4">
        <v>18</v>
      </c>
      <c r="T536" s="4">
        <v>0</v>
      </c>
      <c r="U536" s="4">
        <v>0</v>
      </c>
      <c r="V536" s="4">
        <v>15.06</v>
      </c>
      <c r="W536" s="4">
        <v>0</v>
      </c>
      <c r="X536" s="4">
        <v>0</v>
      </c>
      <c r="Y536" s="4">
        <v>16.481800632175148</v>
      </c>
      <c r="Z536" s="4">
        <v>11.150945133676805</v>
      </c>
      <c r="AA536" s="4"/>
      <c r="AB536" s="4">
        <v>95344.86</v>
      </c>
      <c r="AC536" s="4">
        <v>0</v>
      </c>
      <c r="AD536" s="4">
        <v>0</v>
      </c>
      <c r="AE536" s="4">
        <v>104346.27980230087</v>
      </c>
      <c r="AF536" s="4">
        <v>0</v>
      </c>
      <c r="AG536" s="4">
        <v>0</v>
      </c>
    </row>
    <row r="537" spans="1:33" ht="11.25" customHeight="1" x14ac:dyDescent="0.25">
      <c r="A537" s="3" t="s">
        <v>21</v>
      </c>
      <c r="B537" s="3" t="s">
        <v>41</v>
      </c>
      <c r="C537" s="3" t="s">
        <v>61</v>
      </c>
      <c r="D537" s="3" t="s">
        <v>25</v>
      </c>
      <c r="E537" s="3" t="s">
        <v>25</v>
      </c>
      <c r="F537" s="3" t="s">
        <v>25</v>
      </c>
      <c r="G537" s="3" t="s">
        <v>62</v>
      </c>
      <c r="H537" s="3" t="s">
        <v>35</v>
      </c>
      <c r="I537" s="6">
        <v>44593</v>
      </c>
      <c r="J537" s="4">
        <v>5577</v>
      </c>
      <c r="K537" s="4">
        <v>5577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3" t="s">
        <v>63</v>
      </c>
      <c r="R537" s="3">
        <v>44</v>
      </c>
      <c r="S537" s="4">
        <v>106</v>
      </c>
      <c r="T537" s="4">
        <v>0</v>
      </c>
      <c r="U537" s="4">
        <v>0</v>
      </c>
      <c r="V537" s="4">
        <v>15.06</v>
      </c>
      <c r="W537" s="4">
        <v>0</v>
      </c>
      <c r="X537" s="4">
        <v>0</v>
      </c>
      <c r="Y537" s="4">
        <v>16.481800632175148</v>
      </c>
      <c r="Z537" s="4">
        <v>11.150945133676805</v>
      </c>
      <c r="AA537" s="4"/>
      <c r="AB537" s="4">
        <v>83989.62000000001</v>
      </c>
      <c r="AC537" s="4">
        <v>0</v>
      </c>
      <c r="AD537" s="4">
        <v>0</v>
      </c>
      <c r="AE537" s="4">
        <v>91919.002125640793</v>
      </c>
      <c r="AF537" s="4">
        <v>0</v>
      </c>
      <c r="AG537" s="4">
        <v>0</v>
      </c>
    </row>
    <row r="538" spans="1:33" ht="11.25" customHeight="1" x14ac:dyDescent="0.25">
      <c r="A538" s="3" t="s">
        <v>21</v>
      </c>
      <c r="B538" s="3" t="s">
        <v>41</v>
      </c>
      <c r="C538" s="3" t="s">
        <v>61</v>
      </c>
      <c r="D538" s="3" t="s">
        <v>25</v>
      </c>
      <c r="E538" s="3" t="s">
        <v>25</v>
      </c>
      <c r="F538" s="3" t="s">
        <v>25</v>
      </c>
      <c r="G538" s="3" t="s">
        <v>67</v>
      </c>
      <c r="H538" s="3" t="s">
        <v>35</v>
      </c>
      <c r="I538" s="6">
        <v>44593</v>
      </c>
      <c r="J538" s="4">
        <v>6331</v>
      </c>
      <c r="K538" s="4">
        <v>6331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3" t="s">
        <v>63</v>
      </c>
      <c r="R538" s="3">
        <v>47</v>
      </c>
      <c r="S538" s="4">
        <v>18</v>
      </c>
      <c r="T538" s="4">
        <v>0</v>
      </c>
      <c r="U538" s="4">
        <v>0</v>
      </c>
      <c r="V538" s="4">
        <v>15.06</v>
      </c>
      <c r="W538" s="4">
        <v>0</v>
      </c>
      <c r="X538" s="4">
        <v>0</v>
      </c>
      <c r="Y538" s="4">
        <v>16.481800632175148</v>
      </c>
      <c r="Z538" s="4">
        <v>11.150945133676805</v>
      </c>
      <c r="AA538" s="4"/>
      <c r="AB538" s="4">
        <v>95344.86</v>
      </c>
      <c r="AC538" s="4">
        <v>0</v>
      </c>
      <c r="AD538" s="4">
        <v>0</v>
      </c>
      <c r="AE538" s="4">
        <v>104346.27980230087</v>
      </c>
      <c r="AF538" s="4">
        <v>0</v>
      </c>
      <c r="AG538" s="4">
        <v>0</v>
      </c>
    </row>
    <row r="539" spans="1:33" ht="11.25" customHeight="1" x14ac:dyDescent="0.25">
      <c r="A539" s="3" t="s">
        <v>56</v>
      </c>
      <c r="B539" s="3" t="s">
        <v>41</v>
      </c>
      <c r="C539" s="3" t="s">
        <v>61</v>
      </c>
      <c r="D539" s="3" t="s">
        <v>25</v>
      </c>
      <c r="E539" s="3" t="s">
        <v>25</v>
      </c>
      <c r="F539" s="3" t="s">
        <v>25</v>
      </c>
      <c r="G539" s="3" t="s">
        <v>62</v>
      </c>
      <c r="H539" s="3" t="s">
        <v>35</v>
      </c>
      <c r="I539" s="6">
        <v>44621</v>
      </c>
      <c r="J539" s="4">
        <v>5577</v>
      </c>
      <c r="K539" s="4">
        <v>5577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3" t="s">
        <v>63</v>
      </c>
      <c r="R539" s="3">
        <v>44</v>
      </c>
      <c r="S539" s="4">
        <v>106</v>
      </c>
      <c r="T539" s="4">
        <v>0</v>
      </c>
      <c r="U539" s="4">
        <v>0</v>
      </c>
      <c r="V539" s="4">
        <v>15.06</v>
      </c>
      <c r="W539" s="4">
        <v>0</v>
      </c>
      <c r="X539" s="4">
        <v>0</v>
      </c>
      <c r="Y539" s="4">
        <v>16.481800632175148</v>
      </c>
      <c r="Z539" s="4">
        <v>11.150945133676805</v>
      </c>
      <c r="AA539" s="4"/>
      <c r="AB539" s="4">
        <v>83989.62000000001</v>
      </c>
      <c r="AC539" s="4">
        <v>0</v>
      </c>
      <c r="AD539" s="4">
        <v>0</v>
      </c>
      <c r="AE539" s="4">
        <v>91919.002125640793</v>
      </c>
      <c r="AF539" s="4">
        <v>0</v>
      </c>
      <c r="AG539" s="4">
        <v>0</v>
      </c>
    </row>
    <row r="540" spans="1:33" ht="11.25" customHeight="1" x14ac:dyDescent="0.25">
      <c r="A540" s="3" t="s">
        <v>56</v>
      </c>
      <c r="B540" s="3" t="s">
        <v>41</v>
      </c>
      <c r="C540" s="3" t="s">
        <v>61</v>
      </c>
      <c r="D540" s="3" t="s">
        <v>25</v>
      </c>
      <c r="E540" s="3" t="s">
        <v>25</v>
      </c>
      <c r="F540" s="3" t="s">
        <v>25</v>
      </c>
      <c r="G540" s="3" t="s">
        <v>67</v>
      </c>
      <c r="H540" s="3" t="s">
        <v>35</v>
      </c>
      <c r="I540" s="6">
        <v>44621</v>
      </c>
      <c r="J540" s="4">
        <v>6331</v>
      </c>
      <c r="K540" s="4">
        <v>6331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3" t="s">
        <v>63</v>
      </c>
      <c r="R540" s="3">
        <v>47</v>
      </c>
      <c r="S540" s="4">
        <v>18</v>
      </c>
      <c r="T540" s="4">
        <v>0</v>
      </c>
      <c r="U540" s="4">
        <v>0</v>
      </c>
      <c r="V540" s="4">
        <v>15.06</v>
      </c>
      <c r="W540" s="4">
        <v>0</v>
      </c>
      <c r="X540" s="4">
        <v>0</v>
      </c>
      <c r="Y540" s="4">
        <v>16.481800632175148</v>
      </c>
      <c r="Z540" s="4">
        <v>11.150945133676805</v>
      </c>
      <c r="AA540" s="4"/>
      <c r="AB540" s="4">
        <v>95344.86</v>
      </c>
      <c r="AC540" s="4">
        <v>0</v>
      </c>
      <c r="AD540" s="4">
        <v>0</v>
      </c>
      <c r="AE540" s="4">
        <v>104346.27980230087</v>
      </c>
      <c r="AF540" s="4">
        <v>0</v>
      </c>
      <c r="AG540" s="4">
        <v>0</v>
      </c>
    </row>
    <row r="541" spans="1:33" ht="11.25" customHeight="1" x14ac:dyDescent="0.25">
      <c r="A541" s="3" t="s">
        <v>21</v>
      </c>
      <c r="B541" s="3" t="s">
        <v>41</v>
      </c>
      <c r="C541" s="3" t="s">
        <v>61</v>
      </c>
      <c r="D541" s="3" t="s">
        <v>25</v>
      </c>
      <c r="E541" s="3" t="s">
        <v>25</v>
      </c>
      <c r="F541" s="3" t="s">
        <v>25</v>
      </c>
      <c r="G541" s="3" t="s">
        <v>62</v>
      </c>
      <c r="H541" s="3" t="s">
        <v>25</v>
      </c>
      <c r="I541" s="6">
        <v>44287</v>
      </c>
      <c r="J541" s="4">
        <v>0</v>
      </c>
      <c r="K541" s="4">
        <v>0</v>
      </c>
      <c r="L541" s="4">
        <v>2156.9180000000001</v>
      </c>
      <c r="M541" s="4">
        <v>2156.9180000000001</v>
      </c>
      <c r="N541" s="4">
        <v>0</v>
      </c>
      <c r="O541" s="4">
        <v>0</v>
      </c>
      <c r="P541" s="4">
        <v>0</v>
      </c>
      <c r="Q541" s="3" t="s">
        <v>63</v>
      </c>
      <c r="R541" s="3">
        <v>44</v>
      </c>
      <c r="S541" s="4">
        <v>0</v>
      </c>
      <c r="T541" s="4">
        <v>16</v>
      </c>
      <c r="U541" s="4">
        <v>0</v>
      </c>
      <c r="V541" s="4">
        <v>0</v>
      </c>
      <c r="W541" s="4">
        <v>9.65</v>
      </c>
      <c r="X541" s="4">
        <v>0</v>
      </c>
      <c r="Y541" s="4">
        <v>42.583563671169571</v>
      </c>
      <c r="Z541" s="4">
        <v>11.150945133676805</v>
      </c>
      <c r="AA541" s="4"/>
      <c r="AB541" s="4">
        <v>0</v>
      </c>
      <c r="AC541" s="4">
        <v>20814.258700000002</v>
      </c>
      <c r="AD541" s="4">
        <v>0</v>
      </c>
      <c r="AE541" s="4">
        <v>0</v>
      </c>
      <c r="AF541" s="4">
        <v>24051.674275839909</v>
      </c>
      <c r="AG541" s="4">
        <v>0</v>
      </c>
    </row>
    <row r="542" spans="1:33" ht="11.25" customHeight="1" x14ac:dyDescent="0.25">
      <c r="A542" s="3" t="s">
        <v>21</v>
      </c>
      <c r="B542" s="3" t="s">
        <v>41</v>
      </c>
      <c r="C542" s="3" t="s">
        <v>61</v>
      </c>
      <c r="D542" s="3" t="s">
        <v>25</v>
      </c>
      <c r="E542" s="3" t="s">
        <v>25</v>
      </c>
      <c r="F542" s="3" t="s">
        <v>25</v>
      </c>
      <c r="G542" s="3" t="s">
        <v>67</v>
      </c>
      <c r="H542" s="3" t="s">
        <v>25</v>
      </c>
      <c r="I542" s="6">
        <v>44287</v>
      </c>
      <c r="J542" s="4">
        <v>0</v>
      </c>
      <c r="K542" s="4">
        <v>0</v>
      </c>
      <c r="L542" s="4">
        <v>2165.0329999999999</v>
      </c>
      <c r="M542" s="4">
        <v>2165.0329999999999</v>
      </c>
      <c r="N542" s="4">
        <v>0</v>
      </c>
      <c r="O542" s="4">
        <v>0</v>
      </c>
      <c r="P542" s="4">
        <v>0</v>
      </c>
      <c r="Q542" s="3" t="s">
        <v>63</v>
      </c>
      <c r="R542" s="3">
        <v>47</v>
      </c>
      <c r="S542" s="4">
        <v>0</v>
      </c>
      <c r="T542" s="4">
        <v>19</v>
      </c>
      <c r="U542" s="4">
        <v>0</v>
      </c>
      <c r="V542" s="4">
        <v>0</v>
      </c>
      <c r="W542" s="4">
        <v>9.65</v>
      </c>
      <c r="X542" s="4">
        <v>0</v>
      </c>
      <c r="Y542" s="4">
        <v>42.583563671169571</v>
      </c>
      <c r="Z542" s="4">
        <v>11.150945133676805</v>
      </c>
      <c r="AA542" s="4"/>
      <c r="AB542" s="4">
        <v>0</v>
      </c>
      <c r="AC542" s="4">
        <v>20892.568449999999</v>
      </c>
      <c r="AD542" s="4">
        <v>0</v>
      </c>
      <c r="AE542" s="4">
        <v>0</v>
      </c>
      <c r="AF542" s="4">
        <v>24142.164195599693</v>
      </c>
      <c r="AG542" s="4">
        <v>0</v>
      </c>
    </row>
    <row r="543" spans="1:33" ht="11.25" customHeight="1" x14ac:dyDescent="0.25">
      <c r="A543" s="3" t="s">
        <v>21</v>
      </c>
      <c r="B543" s="3" t="s">
        <v>41</v>
      </c>
      <c r="C543" s="3" t="s">
        <v>61</v>
      </c>
      <c r="D543" s="3" t="s">
        <v>25</v>
      </c>
      <c r="E543" s="3" t="s">
        <v>25</v>
      </c>
      <c r="F543" s="3" t="s">
        <v>25</v>
      </c>
      <c r="G543" s="3" t="s">
        <v>62</v>
      </c>
      <c r="H543" s="3" t="s">
        <v>25</v>
      </c>
      <c r="I543" s="6">
        <v>44317</v>
      </c>
      <c r="J543" s="4">
        <v>0</v>
      </c>
      <c r="K543" s="4">
        <v>0</v>
      </c>
      <c r="L543" s="4">
        <v>1952.4269999999999</v>
      </c>
      <c r="M543" s="4">
        <v>1952.4269999999999</v>
      </c>
      <c r="N543" s="4">
        <v>0</v>
      </c>
      <c r="O543" s="4">
        <v>0</v>
      </c>
      <c r="P543" s="4">
        <v>0</v>
      </c>
      <c r="Q543" s="3" t="s">
        <v>63</v>
      </c>
      <c r="R543" s="3">
        <v>44</v>
      </c>
      <c r="S543" s="4">
        <v>0</v>
      </c>
      <c r="T543" s="4">
        <v>16</v>
      </c>
      <c r="U543" s="4">
        <v>0</v>
      </c>
      <c r="V543" s="4">
        <v>0</v>
      </c>
      <c r="W543" s="4">
        <v>9.65</v>
      </c>
      <c r="X543" s="4">
        <v>0</v>
      </c>
      <c r="Y543" s="4">
        <v>42.583563671169571</v>
      </c>
      <c r="Z543" s="4">
        <v>11.150945133676805</v>
      </c>
      <c r="AA543" s="4"/>
      <c r="AB543" s="4">
        <v>0</v>
      </c>
      <c r="AC543" s="4">
        <v>18840.920549999999</v>
      </c>
      <c r="AD543" s="4">
        <v>0</v>
      </c>
      <c r="AE543" s="4">
        <v>0</v>
      </c>
      <c r="AF543" s="4">
        <v>21771.406354509203</v>
      </c>
      <c r="AG543" s="4">
        <v>0</v>
      </c>
    </row>
    <row r="544" spans="1:33" ht="11.25" customHeight="1" x14ac:dyDescent="0.25">
      <c r="A544" s="3" t="s">
        <v>21</v>
      </c>
      <c r="B544" s="3" t="s">
        <v>41</v>
      </c>
      <c r="C544" s="3" t="s">
        <v>61</v>
      </c>
      <c r="D544" s="3" t="s">
        <v>25</v>
      </c>
      <c r="E544" s="3" t="s">
        <v>25</v>
      </c>
      <c r="F544" s="3" t="s">
        <v>25</v>
      </c>
      <c r="G544" s="3" t="s">
        <v>67</v>
      </c>
      <c r="H544" s="3" t="s">
        <v>25</v>
      </c>
      <c r="I544" s="6">
        <v>44317</v>
      </c>
      <c r="J544" s="4">
        <v>0</v>
      </c>
      <c r="K544" s="4">
        <v>0</v>
      </c>
      <c r="L544" s="4">
        <v>2015.944</v>
      </c>
      <c r="M544" s="4">
        <v>2015.944</v>
      </c>
      <c r="N544" s="4">
        <v>0</v>
      </c>
      <c r="O544" s="4">
        <v>0</v>
      </c>
      <c r="P544" s="4">
        <v>0</v>
      </c>
      <c r="Q544" s="3" t="s">
        <v>63</v>
      </c>
      <c r="R544" s="3">
        <v>47</v>
      </c>
      <c r="S544" s="4">
        <v>0</v>
      </c>
      <c r="T544" s="4">
        <v>19</v>
      </c>
      <c r="U544" s="4">
        <v>0</v>
      </c>
      <c r="V544" s="4">
        <v>0</v>
      </c>
      <c r="W544" s="4">
        <v>9.65</v>
      </c>
      <c r="X544" s="4">
        <v>0</v>
      </c>
      <c r="Y544" s="4">
        <v>42.583563671169571</v>
      </c>
      <c r="Z544" s="4">
        <v>11.150945133676805</v>
      </c>
      <c r="AA544" s="4"/>
      <c r="AB544" s="4">
        <v>0</v>
      </c>
      <c r="AC544" s="4">
        <v>19453.8596</v>
      </c>
      <c r="AD544" s="4">
        <v>0</v>
      </c>
      <c r="AE544" s="4">
        <v>0</v>
      </c>
      <c r="AF544" s="4">
        <v>22479.680936564953</v>
      </c>
      <c r="AG544" s="4">
        <v>0</v>
      </c>
    </row>
    <row r="545" spans="1:33" ht="11.25" customHeight="1" x14ac:dyDescent="0.25">
      <c r="A545" s="3" t="s">
        <v>21</v>
      </c>
      <c r="B545" s="3" t="s">
        <v>41</v>
      </c>
      <c r="C545" s="3" t="s">
        <v>61</v>
      </c>
      <c r="D545" s="3" t="s">
        <v>25</v>
      </c>
      <c r="E545" s="3" t="s">
        <v>25</v>
      </c>
      <c r="F545" s="3" t="s">
        <v>25</v>
      </c>
      <c r="G545" s="3" t="s">
        <v>62</v>
      </c>
      <c r="H545" s="3" t="s">
        <v>25</v>
      </c>
      <c r="I545" s="6">
        <v>44348</v>
      </c>
      <c r="J545" s="4">
        <v>0</v>
      </c>
      <c r="K545" s="4">
        <v>0</v>
      </c>
      <c r="L545" s="4">
        <v>1707.413</v>
      </c>
      <c r="M545" s="4">
        <v>1707.413</v>
      </c>
      <c r="N545" s="4">
        <v>0</v>
      </c>
      <c r="O545" s="4">
        <v>0</v>
      </c>
      <c r="P545" s="4">
        <v>0</v>
      </c>
      <c r="Q545" s="3" t="s">
        <v>63</v>
      </c>
      <c r="R545" s="3">
        <v>44</v>
      </c>
      <c r="S545" s="4">
        <v>0</v>
      </c>
      <c r="T545" s="4">
        <v>16</v>
      </c>
      <c r="U545" s="4">
        <v>0</v>
      </c>
      <c r="V545" s="4">
        <v>0</v>
      </c>
      <c r="W545" s="4">
        <v>9.65</v>
      </c>
      <c r="X545" s="4">
        <v>0</v>
      </c>
      <c r="Y545" s="4">
        <v>42.583563671169571</v>
      </c>
      <c r="Z545" s="4">
        <v>11.150945133676805</v>
      </c>
      <c r="AA545" s="4"/>
      <c r="AB545" s="4">
        <v>0</v>
      </c>
      <c r="AC545" s="4">
        <v>16476.535449999999</v>
      </c>
      <c r="AD545" s="4">
        <v>0</v>
      </c>
      <c r="AE545" s="4">
        <v>0</v>
      </c>
      <c r="AF545" s="4">
        <v>19039.268683526516</v>
      </c>
      <c r="AG545" s="4">
        <v>0</v>
      </c>
    </row>
    <row r="546" spans="1:33" ht="11.25" customHeight="1" x14ac:dyDescent="0.25">
      <c r="A546" s="3" t="s">
        <v>21</v>
      </c>
      <c r="B546" s="3" t="s">
        <v>41</v>
      </c>
      <c r="C546" s="3" t="s">
        <v>61</v>
      </c>
      <c r="D546" s="3" t="s">
        <v>25</v>
      </c>
      <c r="E546" s="3" t="s">
        <v>25</v>
      </c>
      <c r="F546" s="3" t="s">
        <v>25</v>
      </c>
      <c r="G546" s="3" t="s">
        <v>67</v>
      </c>
      <c r="H546" s="3" t="s">
        <v>25</v>
      </c>
      <c r="I546" s="6">
        <v>44348</v>
      </c>
      <c r="J546" s="4">
        <v>0</v>
      </c>
      <c r="K546" s="4">
        <v>0</v>
      </c>
      <c r="L546" s="4">
        <v>1925.34</v>
      </c>
      <c r="M546" s="4">
        <v>1925.34</v>
      </c>
      <c r="N546" s="4">
        <v>0</v>
      </c>
      <c r="O546" s="4">
        <v>0</v>
      </c>
      <c r="P546" s="4">
        <v>0</v>
      </c>
      <c r="Q546" s="3" t="s">
        <v>63</v>
      </c>
      <c r="R546" s="3">
        <v>47</v>
      </c>
      <c r="S546" s="4">
        <v>0</v>
      </c>
      <c r="T546" s="4">
        <v>19</v>
      </c>
      <c r="U546" s="4">
        <v>0</v>
      </c>
      <c r="V546" s="4">
        <v>0</v>
      </c>
      <c r="W546" s="4">
        <v>9.65</v>
      </c>
      <c r="X546" s="4">
        <v>0</v>
      </c>
      <c r="Y546" s="4">
        <v>42.583563671169571</v>
      </c>
      <c r="Z546" s="4">
        <v>11.150945133676805</v>
      </c>
      <c r="AA546" s="4"/>
      <c r="AB546" s="4">
        <v>0</v>
      </c>
      <c r="AC546" s="4">
        <v>18579.530999999999</v>
      </c>
      <c r="AD546" s="4">
        <v>0</v>
      </c>
      <c r="AE546" s="4">
        <v>0</v>
      </c>
      <c r="AF546" s="4">
        <v>21469.360703673297</v>
      </c>
      <c r="AG546" s="4">
        <v>0</v>
      </c>
    </row>
    <row r="547" spans="1:33" ht="11.25" customHeight="1" x14ac:dyDescent="0.25">
      <c r="A547" s="3" t="s">
        <v>21</v>
      </c>
      <c r="B547" s="3" t="s">
        <v>41</v>
      </c>
      <c r="C547" s="3" t="s">
        <v>61</v>
      </c>
      <c r="D547" s="3" t="s">
        <v>25</v>
      </c>
      <c r="E547" s="3" t="s">
        <v>25</v>
      </c>
      <c r="F547" s="3" t="s">
        <v>25</v>
      </c>
      <c r="G547" s="3" t="s">
        <v>62</v>
      </c>
      <c r="H547" s="3" t="s">
        <v>25</v>
      </c>
      <c r="I547" s="6">
        <v>44378</v>
      </c>
      <c r="J547" s="4">
        <v>0</v>
      </c>
      <c r="K547" s="4">
        <v>0</v>
      </c>
      <c r="L547" s="4">
        <v>1596.17</v>
      </c>
      <c r="M547" s="4">
        <v>1596.17</v>
      </c>
      <c r="N547" s="4">
        <v>0</v>
      </c>
      <c r="O547" s="4">
        <v>0</v>
      </c>
      <c r="P547" s="4">
        <v>0</v>
      </c>
      <c r="Q547" s="3" t="s">
        <v>63</v>
      </c>
      <c r="R547" s="3">
        <v>44</v>
      </c>
      <c r="S547" s="4">
        <v>0</v>
      </c>
      <c r="T547" s="4">
        <v>16</v>
      </c>
      <c r="U547" s="4">
        <v>0</v>
      </c>
      <c r="V547" s="4">
        <v>0</v>
      </c>
      <c r="W547" s="4">
        <v>9.65</v>
      </c>
      <c r="X547" s="4">
        <v>0</v>
      </c>
      <c r="Y547" s="4">
        <v>42.583563671169571</v>
      </c>
      <c r="Z547" s="4">
        <v>11.150945133676805</v>
      </c>
      <c r="AA547" s="4"/>
      <c r="AB547" s="4">
        <v>0</v>
      </c>
      <c r="AC547" s="4">
        <v>15403.040500000001</v>
      </c>
      <c r="AD547" s="4">
        <v>0</v>
      </c>
      <c r="AE547" s="4">
        <v>0</v>
      </c>
      <c r="AF547" s="4">
        <v>17798.804094020907</v>
      </c>
      <c r="AG547" s="4">
        <v>0</v>
      </c>
    </row>
    <row r="548" spans="1:33" ht="11.25" customHeight="1" x14ac:dyDescent="0.25">
      <c r="A548" s="3" t="s">
        <v>21</v>
      </c>
      <c r="B548" s="3" t="s">
        <v>41</v>
      </c>
      <c r="C548" s="3" t="s">
        <v>61</v>
      </c>
      <c r="D548" s="3" t="s">
        <v>25</v>
      </c>
      <c r="E548" s="3" t="s">
        <v>25</v>
      </c>
      <c r="F548" s="3" t="s">
        <v>25</v>
      </c>
      <c r="G548" s="3" t="s">
        <v>67</v>
      </c>
      <c r="H548" s="3" t="s">
        <v>25</v>
      </c>
      <c r="I548" s="6">
        <v>44378</v>
      </c>
      <c r="J548" s="4">
        <v>0</v>
      </c>
      <c r="K548" s="4">
        <v>0</v>
      </c>
      <c r="L548" s="4">
        <v>1852.33</v>
      </c>
      <c r="M548" s="4">
        <v>1852.33</v>
      </c>
      <c r="N548" s="4">
        <v>0</v>
      </c>
      <c r="O548" s="4">
        <v>0</v>
      </c>
      <c r="P548" s="4">
        <v>0</v>
      </c>
      <c r="Q548" s="3" t="s">
        <v>63</v>
      </c>
      <c r="R548" s="3">
        <v>47</v>
      </c>
      <c r="S548" s="4">
        <v>0</v>
      </c>
      <c r="T548" s="4">
        <v>19</v>
      </c>
      <c r="U548" s="4">
        <v>0</v>
      </c>
      <c r="V548" s="4">
        <v>0</v>
      </c>
      <c r="W548" s="4">
        <v>9.65</v>
      </c>
      <c r="X548" s="4">
        <v>0</v>
      </c>
      <c r="Y548" s="4">
        <v>42.583563671169571</v>
      </c>
      <c r="Z548" s="4">
        <v>11.150945133676805</v>
      </c>
      <c r="AA548" s="4"/>
      <c r="AB548" s="4">
        <v>0</v>
      </c>
      <c r="AC548" s="4">
        <v>17874.984499999999</v>
      </c>
      <c r="AD548" s="4">
        <v>0</v>
      </c>
      <c r="AE548" s="4">
        <v>0</v>
      </c>
      <c r="AF548" s="4">
        <v>20655.230199463556</v>
      </c>
      <c r="AG548" s="4">
        <v>0</v>
      </c>
    </row>
    <row r="549" spans="1:33" ht="11.25" customHeight="1" x14ac:dyDescent="0.25">
      <c r="A549" s="3" t="s">
        <v>21</v>
      </c>
      <c r="B549" s="3" t="s">
        <v>41</v>
      </c>
      <c r="C549" s="3" t="s">
        <v>61</v>
      </c>
      <c r="D549" s="3" t="s">
        <v>25</v>
      </c>
      <c r="E549" s="3" t="s">
        <v>25</v>
      </c>
      <c r="F549" s="3" t="s">
        <v>25</v>
      </c>
      <c r="G549" s="3" t="s">
        <v>62</v>
      </c>
      <c r="H549" s="3" t="s">
        <v>25</v>
      </c>
      <c r="I549" s="6">
        <v>44409</v>
      </c>
      <c r="J549" s="4">
        <v>0</v>
      </c>
      <c r="K549" s="4">
        <v>0</v>
      </c>
      <c r="L549" s="4">
        <v>1625.443</v>
      </c>
      <c r="M549" s="4">
        <v>1625.443</v>
      </c>
      <c r="N549" s="4">
        <v>0</v>
      </c>
      <c r="O549" s="4">
        <v>0</v>
      </c>
      <c r="P549" s="4">
        <v>0</v>
      </c>
      <c r="Q549" s="3" t="s">
        <v>63</v>
      </c>
      <c r="R549" s="3">
        <v>44</v>
      </c>
      <c r="S549" s="4">
        <v>0</v>
      </c>
      <c r="T549" s="4">
        <v>16</v>
      </c>
      <c r="U549" s="4">
        <v>0</v>
      </c>
      <c r="V549" s="4">
        <v>0</v>
      </c>
      <c r="W549" s="4">
        <v>9.65</v>
      </c>
      <c r="X549" s="4">
        <v>0</v>
      </c>
      <c r="Y549" s="4">
        <v>42.583563671169571</v>
      </c>
      <c r="Z549" s="4">
        <v>11.150945133676805</v>
      </c>
      <c r="AA549" s="4"/>
      <c r="AB549" s="4">
        <v>0</v>
      </c>
      <c r="AC549" s="4">
        <v>15685.524950000001</v>
      </c>
      <c r="AD549" s="4">
        <v>0</v>
      </c>
      <c r="AE549" s="4">
        <v>0</v>
      </c>
      <c r="AF549" s="4">
        <v>18125.225710919025</v>
      </c>
      <c r="AG549" s="4">
        <v>0</v>
      </c>
    </row>
    <row r="550" spans="1:33" ht="11.25" customHeight="1" x14ac:dyDescent="0.25">
      <c r="A550" s="3" t="s">
        <v>21</v>
      </c>
      <c r="B550" s="3" t="s">
        <v>41</v>
      </c>
      <c r="C550" s="3" t="s">
        <v>61</v>
      </c>
      <c r="D550" s="3" t="s">
        <v>25</v>
      </c>
      <c r="E550" s="3" t="s">
        <v>25</v>
      </c>
      <c r="F550" s="3" t="s">
        <v>25</v>
      </c>
      <c r="G550" s="3" t="s">
        <v>67</v>
      </c>
      <c r="H550" s="3" t="s">
        <v>25</v>
      </c>
      <c r="I550" s="6">
        <v>44409</v>
      </c>
      <c r="J550" s="4">
        <v>0</v>
      </c>
      <c r="K550" s="4">
        <v>0</v>
      </c>
      <c r="L550" s="4">
        <v>1840.6289999999999</v>
      </c>
      <c r="M550" s="4">
        <v>1840.6289999999999</v>
      </c>
      <c r="N550" s="4">
        <v>0</v>
      </c>
      <c r="O550" s="4">
        <v>0</v>
      </c>
      <c r="P550" s="4">
        <v>0</v>
      </c>
      <c r="Q550" s="3" t="s">
        <v>63</v>
      </c>
      <c r="R550" s="3">
        <v>47</v>
      </c>
      <c r="S550" s="4">
        <v>0</v>
      </c>
      <c r="T550" s="4">
        <v>19</v>
      </c>
      <c r="U550" s="4">
        <v>0</v>
      </c>
      <c r="V550" s="4">
        <v>0</v>
      </c>
      <c r="W550" s="4">
        <v>9.65</v>
      </c>
      <c r="X550" s="4">
        <v>0</v>
      </c>
      <c r="Y550" s="4">
        <v>42.583563671169571</v>
      </c>
      <c r="Z550" s="4">
        <v>11.150945133676805</v>
      </c>
      <c r="AA550" s="4"/>
      <c r="AB550" s="4">
        <v>0</v>
      </c>
      <c r="AC550" s="4">
        <v>17762.06985</v>
      </c>
      <c r="AD550" s="4">
        <v>0</v>
      </c>
      <c r="AE550" s="4">
        <v>0</v>
      </c>
      <c r="AF550" s="4">
        <v>20524.752990454403</v>
      </c>
      <c r="AG550" s="4">
        <v>0</v>
      </c>
    </row>
    <row r="551" spans="1:33" ht="11.25" customHeight="1" x14ac:dyDescent="0.25">
      <c r="A551" s="3" t="s">
        <v>21</v>
      </c>
      <c r="B551" s="3" t="s">
        <v>41</v>
      </c>
      <c r="C551" s="3" t="s">
        <v>61</v>
      </c>
      <c r="D551" s="3" t="s">
        <v>25</v>
      </c>
      <c r="E551" s="3" t="s">
        <v>25</v>
      </c>
      <c r="F551" s="3" t="s">
        <v>25</v>
      </c>
      <c r="G551" s="3" t="s">
        <v>62</v>
      </c>
      <c r="H551" s="3" t="s">
        <v>25</v>
      </c>
      <c r="I551" s="6">
        <v>44440</v>
      </c>
      <c r="J551" s="4">
        <v>0</v>
      </c>
      <c r="K551" s="4">
        <v>0</v>
      </c>
      <c r="L551" s="4">
        <v>1615.0909999999999</v>
      </c>
      <c r="M551" s="4">
        <v>1615.0909999999999</v>
      </c>
      <c r="N551" s="4">
        <v>0</v>
      </c>
      <c r="O551" s="4">
        <v>0</v>
      </c>
      <c r="P551" s="4">
        <v>0</v>
      </c>
      <c r="Q551" s="3" t="s">
        <v>63</v>
      </c>
      <c r="R551" s="3">
        <v>44</v>
      </c>
      <c r="S551" s="4">
        <v>0</v>
      </c>
      <c r="T551" s="4">
        <v>16</v>
      </c>
      <c r="U551" s="4">
        <v>0</v>
      </c>
      <c r="V551" s="4">
        <v>0</v>
      </c>
      <c r="W551" s="4">
        <v>9.65</v>
      </c>
      <c r="X551" s="4">
        <v>0</v>
      </c>
      <c r="Y551" s="4">
        <v>42.583563671169571</v>
      </c>
      <c r="Z551" s="4">
        <v>11.150945133676805</v>
      </c>
      <c r="AA551" s="4"/>
      <c r="AB551" s="4">
        <v>0</v>
      </c>
      <c r="AC551" s="4">
        <v>15585.62815</v>
      </c>
      <c r="AD551" s="4">
        <v>0</v>
      </c>
      <c r="AE551" s="4">
        <v>0</v>
      </c>
      <c r="AF551" s="4">
        <v>18009.791126895205</v>
      </c>
      <c r="AG551" s="4">
        <v>0</v>
      </c>
    </row>
    <row r="552" spans="1:33" ht="11.25" customHeight="1" x14ac:dyDescent="0.25">
      <c r="A552" s="3" t="s">
        <v>21</v>
      </c>
      <c r="B552" s="3" t="s">
        <v>41</v>
      </c>
      <c r="C552" s="3" t="s">
        <v>61</v>
      </c>
      <c r="D552" s="3" t="s">
        <v>25</v>
      </c>
      <c r="E552" s="3" t="s">
        <v>25</v>
      </c>
      <c r="F552" s="3" t="s">
        <v>25</v>
      </c>
      <c r="G552" s="3" t="s">
        <v>67</v>
      </c>
      <c r="H552" s="3" t="s">
        <v>25</v>
      </c>
      <c r="I552" s="6">
        <v>44440</v>
      </c>
      <c r="J552" s="4">
        <v>0</v>
      </c>
      <c r="K552" s="4">
        <v>0</v>
      </c>
      <c r="L552" s="4">
        <v>1839.097</v>
      </c>
      <c r="M552" s="4">
        <v>1839.097</v>
      </c>
      <c r="N552" s="4">
        <v>0</v>
      </c>
      <c r="O552" s="4">
        <v>0</v>
      </c>
      <c r="P552" s="4">
        <v>0</v>
      </c>
      <c r="Q552" s="3" t="s">
        <v>63</v>
      </c>
      <c r="R552" s="3">
        <v>47</v>
      </c>
      <c r="S552" s="4">
        <v>0</v>
      </c>
      <c r="T552" s="4">
        <v>19</v>
      </c>
      <c r="U552" s="4">
        <v>0</v>
      </c>
      <c r="V552" s="4">
        <v>0</v>
      </c>
      <c r="W552" s="4">
        <v>9.65</v>
      </c>
      <c r="X552" s="4">
        <v>0</v>
      </c>
      <c r="Y552" s="4">
        <v>42.583563671169571</v>
      </c>
      <c r="Z552" s="4">
        <v>11.150945133676805</v>
      </c>
      <c r="AA552" s="4"/>
      <c r="AB552" s="4">
        <v>0</v>
      </c>
      <c r="AC552" s="4">
        <v>17747.286049999999</v>
      </c>
      <c r="AD552" s="4">
        <v>0</v>
      </c>
      <c r="AE552" s="4">
        <v>0</v>
      </c>
      <c r="AF552" s="4">
        <v>20507.66974250961</v>
      </c>
      <c r="AG552" s="4">
        <v>0</v>
      </c>
    </row>
    <row r="553" spans="1:33" ht="11.25" customHeight="1" x14ac:dyDescent="0.25">
      <c r="A553" s="3" t="s">
        <v>21</v>
      </c>
      <c r="B553" s="3" t="s">
        <v>41</v>
      </c>
      <c r="C553" s="3" t="s">
        <v>61</v>
      </c>
      <c r="D553" s="3" t="s">
        <v>25</v>
      </c>
      <c r="E553" s="3" t="s">
        <v>25</v>
      </c>
      <c r="F553" s="3" t="s">
        <v>25</v>
      </c>
      <c r="G553" s="3" t="s">
        <v>62</v>
      </c>
      <c r="H553" s="3" t="s">
        <v>25</v>
      </c>
      <c r="I553" s="6">
        <v>44470</v>
      </c>
      <c r="J553" s="4">
        <v>0</v>
      </c>
      <c r="K553" s="4">
        <v>0</v>
      </c>
      <c r="L553" s="4">
        <v>1752.021</v>
      </c>
      <c r="M553" s="4">
        <v>1752.021</v>
      </c>
      <c r="N553" s="4">
        <v>0</v>
      </c>
      <c r="O553" s="4">
        <v>0</v>
      </c>
      <c r="P553" s="4">
        <v>0</v>
      </c>
      <c r="Q553" s="3" t="s">
        <v>63</v>
      </c>
      <c r="R553" s="3">
        <v>44</v>
      </c>
      <c r="S553" s="4">
        <v>0</v>
      </c>
      <c r="T553" s="4">
        <v>16</v>
      </c>
      <c r="U553" s="4">
        <v>0</v>
      </c>
      <c r="V553" s="4">
        <v>0</v>
      </c>
      <c r="W553" s="4">
        <v>9.65</v>
      </c>
      <c r="X553" s="4">
        <v>0</v>
      </c>
      <c r="Y553" s="4">
        <v>42.583563671169571</v>
      </c>
      <c r="Z553" s="4">
        <v>11.150945133676805</v>
      </c>
      <c r="AA553" s="4"/>
      <c r="AB553" s="4">
        <v>0</v>
      </c>
      <c r="AC553" s="4">
        <v>16907.002649999999</v>
      </c>
      <c r="AD553" s="4">
        <v>0</v>
      </c>
      <c r="AE553" s="4">
        <v>0</v>
      </c>
      <c r="AF553" s="4">
        <v>19536.69004404957</v>
      </c>
      <c r="AG553" s="4">
        <v>0</v>
      </c>
    </row>
    <row r="554" spans="1:33" ht="11.25" customHeight="1" x14ac:dyDescent="0.25">
      <c r="A554" s="3" t="s">
        <v>21</v>
      </c>
      <c r="B554" s="3" t="s">
        <v>41</v>
      </c>
      <c r="C554" s="3" t="s">
        <v>61</v>
      </c>
      <c r="D554" s="3" t="s">
        <v>25</v>
      </c>
      <c r="E554" s="3" t="s">
        <v>25</v>
      </c>
      <c r="F554" s="3" t="s">
        <v>25</v>
      </c>
      <c r="G554" s="3" t="s">
        <v>67</v>
      </c>
      <c r="H554" s="3" t="s">
        <v>25</v>
      </c>
      <c r="I554" s="6">
        <v>44470</v>
      </c>
      <c r="J554" s="4">
        <v>0</v>
      </c>
      <c r="K554" s="4">
        <v>0</v>
      </c>
      <c r="L554" s="4">
        <v>1905.72</v>
      </c>
      <c r="M554" s="4">
        <v>1905.72</v>
      </c>
      <c r="N554" s="4">
        <v>0</v>
      </c>
      <c r="O554" s="4">
        <v>0</v>
      </c>
      <c r="P554" s="4">
        <v>0</v>
      </c>
      <c r="Q554" s="3" t="s">
        <v>63</v>
      </c>
      <c r="R554" s="3">
        <v>47</v>
      </c>
      <c r="S554" s="4">
        <v>0</v>
      </c>
      <c r="T554" s="4">
        <v>19</v>
      </c>
      <c r="U554" s="4">
        <v>0</v>
      </c>
      <c r="V554" s="4">
        <v>0</v>
      </c>
      <c r="W554" s="4">
        <v>9.65</v>
      </c>
      <c r="X554" s="4">
        <v>0</v>
      </c>
      <c r="Y554" s="4">
        <v>42.583563671169571</v>
      </c>
      <c r="Z554" s="4">
        <v>11.150945133676805</v>
      </c>
      <c r="AA554" s="4"/>
      <c r="AB554" s="4">
        <v>0</v>
      </c>
      <c r="AC554" s="4">
        <v>18390.198</v>
      </c>
      <c r="AD554" s="4">
        <v>0</v>
      </c>
      <c r="AE554" s="4">
        <v>0</v>
      </c>
      <c r="AF554" s="4">
        <v>21250.579160150563</v>
      </c>
      <c r="AG554" s="4">
        <v>0</v>
      </c>
    </row>
    <row r="555" spans="1:33" ht="11.25" customHeight="1" x14ac:dyDescent="0.25">
      <c r="A555" s="3" t="s">
        <v>21</v>
      </c>
      <c r="B555" s="3" t="s">
        <v>41</v>
      </c>
      <c r="C555" s="3" t="s">
        <v>61</v>
      </c>
      <c r="D555" s="3" t="s">
        <v>25</v>
      </c>
      <c r="E555" s="3" t="s">
        <v>25</v>
      </c>
      <c r="F555" s="3" t="s">
        <v>25</v>
      </c>
      <c r="G555" s="3" t="s">
        <v>62</v>
      </c>
      <c r="H555" s="3" t="s">
        <v>25</v>
      </c>
      <c r="I555" s="6">
        <v>44501</v>
      </c>
      <c r="J555" s="4">
        <v>0</v>
      </c>
      <c r="K555" s="4">
        <v>0</v>
      </c>
      <c r="L555" s="4">
        <v>2026.8440000000001</v>
      </c>
      <c r="M555" s="4">
        <v>2026.8440000000001</v>
      </c>
      <c r="N555" s="4">
        <v>0</v>
      </c>
      <c r="O555" s="4">
        <v>0</v>
      </c>
      <c r="P555" s="4">
        <v>0</v>
      </c>
      <c r="Q555" s="3" t="s">
        <v>63</v>
      </c>
      <c r="R555" s="3">
        <v>44</v>
      </c>
      <c r="S555" s="4">
        <v>0</v>
      </c>
      <c r="T555" s="4">
        <v>16</v>
      </c>
      <c r="U555" s="4">
        <v>0</v>
      </c>
      <c r="V555" s="4">
        <v>0</v>
      </c>
      <c r="W555" s="4">
        <v>9.65</v>
      </c>
      <c r="X555" s="4">
        <v>0</v>
      </c>
      <c r="Y555" s="4">
        <v>42.583563671169571</v>
      </c>
      <c r="Z555" s="4">
        <v>11.150945133676805</v>
      </c>
      <c r="AA555" s="4"/>
      <c r="AB555" s="4">
        <v>0</v>
      </c>
      <c r="AC555" s="4">
        <v>19559.044600000001</v>
      </c>
      <c r="AD555" s="4">
        <v>0</v>
      </c>
      <c r="AE555" s="4">
        <v>0</v>
      </c>
      <c r="AF555" s="4">
        <v>22601.226238522031</v>
      </c>
      <c r="AG555" s="4">
        <v>0</v>
      </c>
    </row>
    <row r="556" spans="1:33" ht="11.25" customHeight="1" x14ac:dyDescent="0.25">
      <c r="A556" s="3" t="s">
        <v>21</v>
      </c>
      <c r="B556" s="3" t="s">
        <v>41</v>
      </c>
      <c r="C556" s="3" t="s">
        <v>61</v>
      </c>
      <c r="D556" s="3" t="s">
        <v>25</v>
      </c>
      <c r="E556" s="3" t="s">
        <v>25</v>
      </c>
      <c r="F556" s="3" t="s">
        <v>25</v>
      </c>
      <c r="G556" s="3" t="s">
        <v>67</v>
      </c>
      <c r="H556" s="3" t="s">
        <v>25</v>
      </c>
      <c r="I556" s="6">
        <v>44501</v>
      </c>
      <c r="J556" s="4">
        <v>0</v>
      </c>
      <c r="K556" s="4">
        <v>0</v>
      </c>
      <c r="L556" s="4">
        <v>2054.6640000000002</v>
      </c>
      <c r="M556" s="4">
        <v>2054.6640000000002</v>
      </c>
      <c r="N556" s="4">
        <v>0</v>
      </c>
      <c r="O556" s="4">
        <v>0</v>
      </c>
      <c r="P556" s="4">
        <v>0</v>
      </c>
      <c r="Q556" s="3" t="s">
        <v>63</v>
      </c>
      <c r="R556" s="3">
        <v>47</v>
      </c>
      <c r="S556" s="4">
        <v>0</v>
      </c>
      <c r="T556" s="4">
        <v>19</v>
      </c>
      <c r="U556" s="4">
        <v>0</v>
      </c>
      <c r="V556" s="4">
        <v>0</v>
      </c>
      <c r="W556" s="4">
        <v>9.65</v>
      </c>
      <c r="X556" s="4">
        <v>0</v>
      </c>
      <c r="Y556" s="4">
        <v>42.583563671169571</v>
      </c>
      <c r="Z556" s="4">
        <v>11.150945133676805</v>
      </c>
      <c r="AA556" s="4"/>
      <c r="AB556" s="4">
        <v>0</v>
      </c>
      <c r="AC556" s="4">
        <v>19827.507600000004</v>
      </c>
      <c r="AD556" s="4">
        <v>0</v>
      </c>
      <c r="AE556" s="4">
        <v>0</v>
      </c>
      <c r="AF556" s="4">
        <v>22911.445532140922</v>
      </c>
      <c r="AG556" s="4">
        <v>0</v>
      </c>
    </row>
    <row r="557" spans="1:33" ht="11.25" customHeight="1" x14ac:dyDescent="0.25">
      <c r="A557" s="3" t="s">
        <v>21</v>
      </c>
      <c r="B557" s="3" t="s">
        <v>41</v>
      </c>
      <c r="C557" s="3" t="s">
        <v>61</v>
      </c>
      <c r="D557" s="3" t="s">
        <v>25</v>
      </c>
      <c r="E557" s="3" t="s">
        <v>25</v>
      </c>
      <c r="F557" s="3" t="s">
        <v>25</v>
      </c>
      <c r="G557" s="3" t="s">
        <v>62</v>
      </c>
      <c r="H557" s="3" t="s">
        <v>25</v>
      </c>
      <c r="I557" s="6">
        <v>44531</v>
      </c>
      <c r="J557" s="4">
        <v>0</v>
      </c>
      <c r="K557" s="4">
        <v>0</v>
      </c>
      <c r="L557" s="4">
        <v>2068.3890000000001</v>
      </c>
      <c r="M557" s="4">
        <v>2068.3890000000001</v>
      </c>
      <c r="N557" s="4">
        <v>0</v>
      </c>
      <c r="O557" s="4">
        <v>0</v>
      </c>
      <c r="P557" s="4">
        <v>0</v>
      </c>
      <c r="Q557" s="3" t="s">
        <v>63</v>
      </c>
      <c r="R557" s="3">
        <v>44</v>
      </c>
      <c r="S557" s="4">
        <v>0</v>
      </c>
      <c r="T557" s="4">
        <v>16</v>
      </c>
      <c r="U557" s="4">
        <v>0</v>
      </c>
      <c r="V557" s="4">
        <v>0</v>
      </c>
      <c r="W557" s="4">
        <v>9.65</v>
      </c>
      <c r="X557" s="4">
        <v>0</v>
      </c>
      <c r="Y557" s="4">
        <v>42.583563671169571</v>
      </c>
      <c r="Z557" s="4">
        <v>11.150945133676805</v>
      </c>
      <c r="AA557" s="4"/>
      <c r="AB557" s="4">
        <v>0</v>
      </c>
      <c r="AC557" s="4">
        <v>19959.953850000002</v>
      </c>
      <c r="AD557" s="4">
        <v>0</v>
      </c>
      <c r="AE557" s="4">
        <v>0</v>
      </c>
      <c r="AF557" s="4">
        <v>23064.492254100634</v>
      </c>
      <c r="AG557" s="4">
        <v>0</v>
      </c>
    </row>
    <row r="558" spans="1:33" ht="11.25" customHeight="1" x14ac:dyDescent="0.25">
      <c r="A558" s="3" t="s">
        <v>21</v>
      </c>
      <c r="B558" s="3" t="s">
        <v>41</v>
      </c>
      <c r="C558" s="3" t="s">
        <v>61</v>
      </c>
      <c r="D558" s="3" t="s">
        <v>25</v>
      </c>
      <c r="E558" s="3" t="s">
        <v>25</v>
      </c>
      <c r="F558" s="3" t="s">
        <v>25</v>
      </c>
      <c r="G558" s="3" t="s">
        <v>67</v>
      </c>
      <c r="H558" s="3" t="s">
        <v>25</v>
      </c>
      <c r="I558" s="6">
        <v>44531</v>
      </c>
      <c r="J558" s="4">
        <v>0</v>
      </c>
      <c r="K558" s="4">
        <v>0</v>
      </c>
      <c r="L558" s="4">
        <v>2139.694</v>
      </c>
      <c r="M558" s="4">
        <v>2139.694</v>
      </c>
      <c r="N558" s="4">
        <v>0</v>
      </c>
      <c r="O558" s="4">
        <v>0</v>
      </c>
      <c r="P558" s="4">
        <v>0</v>
      </c>
      <c r="Q558" s="3" t="s">
        <v>63</v>
      </c>
      <c r="R558" s="3">
        <v>47</v>
      </c>
      <c r="S558" s="4">
        <v>0</v>
      </c>
      <c r="T558" s="4">
        <v>19</v>
      </c>
      <c r="U558" s="4">
        <v>0</v>
      </c>
      <c r="V558" s="4">
        <v>0</v>
      </c>
      <c r="W558" s="4">
        <v>9.65</v>
      </c>
      <c r="X558" s="4">
        <v>0</v>
      </c>
      <c r="Y558" s="4">
        <v>42.583563671169571</v>
      </c>
      <c r="Z558" s="4">
        <v>11.150945133676805</v>
      </c>
      <c r="AA558" s="4"/>
      <c r="AB558" s="4">
        <v>0</v>
      </c>
      <c r="AC558" s="4">
        <v>20648.0471</v>
      </c>
      <c r="AD558" s="4">
        <v>0</v>
      </c>
      <c r="AE558" s="4">
        <v>0</v>
      </c>
      <c r="AF558" s="4">
        <v>23859.610396857457</v>
      </c>
      <c r="AG558" s="4">
        <v>0</v>
      </c>
    </row>
    <row r="559" spans="1:33" ht="11.25" customHeight="1" x14ac:dyDescent="0.25">
      <c r="A559" s="3" t="s">
        <v>21</v>
      </c>
      <c r="B559" s="3" t="s">
        <v>41</v>
      </c>
      <c r="C559" s="3" t="s">
        <v>61</v>
      </c>
      <c r="D559" s="3" t="s">
        <v>25</v>
      </c>
      <c r="E559" s="3" t="s">
        <v>25</v>
      </c>
      <c r="F559" s="3" t="s">
        <v>25</v>
      </c>
      <c r="G559" s="3" t="s">
        <v>62</v>
      </c>
      <c r="H559" s="3" t="s">
        <v>25</v>
      </c>
      <c r="I559" s="6">
        <v>44562</v>
      </c>
      <c r="J559" s="4">
        <v>0</v>
      </c>
      <c r="K559" s="4">
        <v>0</v>
      </c>
      <c r="L559" s="4">
        <v>2052.9780000000001</v>
      </c>
      <c r="M559" s="4">
        <v>2052.9780000000001</v>
      </c>
      <c r="N559" s="4">
        <v>0</v>
      </c>
      <c r="O559" s="4">
        <v>0</v>
      </c>
      <c r="P559" s="4">
        <v>0</v>
      </c>
      <c r="Q559" s="3" t="s">
        <v>63</v>
      </c>
      <c r="R559" s="3">
        <v>44</v>
      </c>
      <c r="S559" s="4">
        <v>0</v>
      </c>
      <c r="T559" s="4">
        <v>16</v>
      </c>
      <c r="U559" s="4">
        <v>0</v>
      </c>
      <c r="V559" s="4">
        <v>0</v>
      </c>
      <c r="W559" s="4">
        <v>9.65</v>
      </c>
      <c r="X559" s="4">
        <v>0</v>
      </c>
      <c r="Y559" s="4">
        <v>42.583563671169571</v>
      </c>
      <c r="Z559" s="4">
        <v>11.150945133676805</v>
      </c>
      <c r="AA559" s="4"/>
      <c r="AB559" s="4">
        <v>0</v>
      </c>
      <c r="AC559" s="4">
        <v>19811.237700000001</v>
      </c>
      <c r="AD559" s="4">
        <v>0</v>
      </c>
      <c r="AE559" s="4">
        <v>0</v>
      </c>
      <c r="AF559" s="4">
        <v>22892.64503864554</v>
      </c>
      <c r="AG559" s="4">
        <v>0</v>
      </c>
    </row>
    <row r="560" spans="1:33" ht="11.25" customHeight="1" x14ac:dyDescent="0.25">
      <c r="A560" s="3" t="s">
        <v>21</v>
      </c>
      <c r="B560" s="3" t="s">
        <v>41</v>
      </c>
      <c r="C560" s="3" t="s">
        <v>61</v>
      </c>
      <c r="D560" s="3" t="s">
        <v>25</v>
      </c>
      <c r="E560" s="3" t="s">
        <v>25</v>
      </c>
      <c r="F560" s="3" t="s">
        <v>25</v>
      </c>
      <c r="G560" s="3" t="s">
        <v>67</v>
      </c>
      <c r="H560" s="3" t="s">
        <v>25</v>
      </c>
      <c r="I560" s="6">
        <v>44562</v>
      </c>
      <c r="J560" s="4">
        <v>0</v>
      </c>
      <c r="K560" s="4">
        <v>0</v>
      </c>
      <c r="L560" s="4">
        <v>2035.79</v>
      </c>
      <c r="M560" s="4">
        <v>2035.79</v>
      </c>
      <c r="N560" s="4">
        <v>0</v>
      </c>
      <c r="O560" s="4">
        <v>0</v>
      </c>
      <c r="P560" s="4">
        <v>0</v>
      </c>
      <c r="Q560" s="3" t="s">
        <v>63</v>
      </c>
      <c r="R560" s="3">
        <v>47</v>
      </c>
      <c r="S560" s="4">
        <v>0</v>
      </c>
      <c r="T560" s="4">
        <v>19</v>
      </c>
      <c r="U560" s="4">
        <v>0</v>
      </c>
      <c r="V560" s="4">
        <v>0</v>
      </c>
      <c r="W560" s="4">
        <v>9.65</v>
      </c>
      <c r="X560" s="4">
        <v>0</v>
      </c>
      <c r="Y560" s="4">
        <v>42.583563671169571</v>
      </c>
      <c r="Z560" s="4">
        <v>11.150945133676805</v>
      </c>
      <c r="AA560" s="4"/>
      <c r="AB560" s="4">
        <v>0</v>
      </c>
      <c r="AC560" s="4">
        <v>19645.373500000002</v>
      </c>
      <c r="AD560" s="4">
        <v>0</v>
      </c>
      <c r="AE560" s="4">
        <v>0</v>
      </c>
      <c r="AF560" s="4">
        <v>22700.982593687902</v>
      </c>
      <c r="AG560" s="4">
        <v>0</v>
      </c>
    </row>
    <row r="561" spans="1:33" ht="11.25" customHeight="1" x14ac:dyDescent="0.25">
      <c r="A561" s="3" t="s">
        <v>21</v>
      </c>
      <c r="B561" s="3" t="s">
        <v>41</v>
      </c>
      <c r="C561" s="3" t="s">
        <v>61</v>
      </c>
      <c r="D561" s="3" t="s">
        <v>25</v>
      </c>
      <c r="E561" s="3" t="s">
        <v>25</v>
      </c>
      <c r="F561" s="3" t="s">
        <v>25</v>
      </c>
      <c r="G561" s="3" t="s">
        <v>62</v>
      </c>
      <c r="H561" s="3" t="s">
        <v>25</v>
      </c>
      <c r="I561" s="6">
        <v>44593</v>
      </c>
      <c r="J561" s="4">
        <v>0</v>
      </c>
      <c r="K561" s="4">
        <v>0</v>
      </c>
      <c r="L561" s="4">
        <v>2104.1329999999998</v>
      </c>
      <c r="M561" s="4">
        <v>2104.1329999999998</v>
      </c>
      <c r="N561" s="4">
        <v>0</v>
      </c>
      <c r="O561" s="4">
        <v>0</v>
      </c>
      <c r="P561" s="4">
        <v>0</v>
      </c>
      <c r="Q561" s="3" t="s">
        <v>63</v>
      </c>
      <c r="R561" s="3">
        <v>44</v>
      </c>
      <c r="S561" s="4">
        <v>0</v>
      </c>
      <c r="T561" s="4">
        <v>16</v>
      </c>
      <c r="U561" s="4">
        <v>0</v>
      </c>
      <c r="V561" s="4">
        <v>0</v>
      </c>
      <c r="W561" s="4">
        <v>9.65</v>
      </c>
      <c r="X561" s="4">
        <v>0</v>
      </c>
      <c r="Y561" s="4">
        <v>42.583563671169571</v>
      </c>
      <c r="Z561" s="4">
        <v>11.150945133676805</v>
      </c>
      <c r="AA561" s="4"/>
      <c r="AB561" s="4">
        <v>0</v>
      </c>
      <c r="AC561" s="4">
        <v>20304.883449999998</v>
      </c>
      <c r="AD561" s="4">
        <v>0</v>
      </c>
      <c r="AE561" s="4">
        <v>0</v>
      </c>
      <c r="AF561" s="4">
        <v>23463.071636958775</v>
      </c>
      <c r="AG561" s="4">
        <v>0</v>
      </c>
    </row>
    <row r="562" spans="1:33" ht="11.25" customHeight="1" x14ac:dyDescent="0.25">
      <c r="A562" s="3" t="s">
        <v>21</v>
      </c>
      <c r="B562" s="3" t="s">
        <v>41</v>
      </c>
      <c r="C562" s="3" t="s">
        <v>61</v>
      </c>
      <c r="D562" s="3" t="s">
        <v>25</v>
      </c>
      <c r="E562" s="3" t="s">
        <v>25</v>
      </c>
      <c r="F562" s="3" t="s">
        <v>25</v>
      </c>
      <c r="G562" s="3" t="s">
        <v>67</v>
      </c>
      <c r="H562" s="3" t="s">
        <v>25</v>
      </c>
      <c r="I562" s="6">
        <v>44593</v>
      </c>
      <c r="J562" s="4">
        <v>0</v>
      </c>
      <c r="K562" s="4">
        <v>0</v>
      </c>
      <c r="L562" s="4">
        <v>2067.6849999999999</v>
      </c>
      <c r="M562" s="4">
        <v>2067.6849999999999</v>
      </c>
      <c r="N562" s="4">
        <v>0</v>
      </c>
      <c r="O562" s="4">
        <v>0</v>
      </c>
      <c r="P562" s="4">
        <v>0</v>
      </c>
      <c r="Q562" s="3" t="s">
        <v>63</v>
      </c>
      <c r="R562" s="3">
        <v>47</v>
      </c>
      <c r="S562" s="4">
        <v>0</v>
      </c>
      <c r="T562" s="4">
        <v>19</v>
      </c>
      <c r="U562" s="4">
        <v>0</v>
      </c>
      <c r="V562" s="4">
        <v>0</v>
      </c>
      <c r="W562" s="4">
        <v>9.65</v>
      </c>
      <c r="X562" s="4">
        <v>0</v>
      </c>
      <c r="Y562" s="4">
        <v>42.583563671169571</v>
      </c>
      <c r="Z562" s="4">
        <v>11.150945133676805</v>
      </c>
      <c r="AA562" s="4"/>
      <c r="AB562" s="4">
        <v>0</v>
      </c>
      <c r="AC562" s="4">
        <v>19953.160250000001</v>
      </c>
      <c r="AD562" s="4">
        <v>0</v>
      </c>
      <c r="AE562" s="4">
        <v>0</v>
      </c>
      <c r="AF562" s="4">
        <v>23056.641988726522</v>
      </c>
      <c r="AG562" s="4">
        <v>0</v>
      </c>
    </row>
    <row r="563" spans="1:33" ht="11.25" customHeight="1" x14ac:dyDescent="0.25">
      <c r="A563" s="3" t="s">
        <v>56</v>
      </c>
      <c r="B563" s="3" t="s">
        <v>41</v>
      </c>
      <c r="C563" s="3" t="s">
        <v>61</v>
      </c>
      <c r="D563" s="3" t="s">
        <v>25</v>
      </c>
      <c r="E563" s="3" t="s">
        <v>25</v>
      </c>
      <c r="F563" s="3" t="s">
        <v>25</v>
      </c>
      <c r="G563" s="3" t="s">
        <v>62</v>
      </c>
      <c r="H563" s="3" t="s">
        <v>25</v>
      </c>
      <c r="I563" s="6">
        <v>44621</v>
      </c>
      <c r="J563" s="4">
        <v>0</v>
      </c>
      <c r="K563" s="4">
        <v>0</v>
      </c>
      <c r="L563" s="4">
        <v>2104.1329999999998</v>
      </c>
      <c r="M563" s="4">
        <v>2104.1329999999998</v>
      </c>
      <c r="N563" s="4">
        <v>0</v>
      </c>
      <c r="O563" s="4">
        <v>0</v>
      </c>
      <c r="P563" s="4">
        <v>0</v>
      </c>
      <c r="Q563" s="3" t="s">
        <v>63</v>
      </c>
      <c r="R563" s="3">
        <v>44</v>
      </c>
      <c r="S563" s="4">
        <v>0</v>
      </c>
      <c r="T563" s="4">
        <v>16</v>
      </c>
      <c r="U563" s="4">
        <v>0</v>
      </c>
      <c r="V563" s="4">
        <v>0</v>
      </c>
      <c r="W563" s="4">
        <v>9.65</v>
      </c>
      <c r="X563" s="4">
        <v>0</v>
      </c>
      <c r="Y563" s="4">
        <v>42.583563671169571</v>
      </c>
      <c r="Z563" s="4">
        <v>11.150945133676805</v>
      </c>
      <c r="AA563" s="4"/>
      <c r="AB563" s="4">
        <v>0</v>
      </c>
      <c r="AC563" s="4">
        <v>20304.883449999998</v>
      </c>
      <c r="AD563" s="4">
        <v>0</v>
      </c>
      <c r="AE563" s="4">
        <v>0</v>
      </c>
      <c r="AF563" s="4">
        <v>23463.071636958775</v>
      </c>
      <c r="AG563" s="4">
        <v>0</v>
      </c>
    </row>
    <row r="564" spans="1:33" ht="11.25" customHeight="1" x14ac:dyDescent="0.25">
      <c r="A564" s="3" t="s">
        <v>56</v>
      </c>
      <c r="B564" s="3" t="s">
        <v>41</v>
      </c>
      <c r="C564" s="3" t="s">
        <v>61</v>
      </c>
      <c r="D564" s="3" t="s">
        <v>25</v>
      </c>
      <c r="E564" s="3" t="s">
        <v>25</v>
      </c>
      <c r="F564" s="3" t="s">
        <v>25</v>
      </c>
      <c r="G564" s="3" t="s">
        <v>67</v>
      </c>
      <c r="H564" s="3" t="s">
        <v>25</v>
      </c>
      <c r="I564" s="6">
        <v>44621</v>
      </c>
      <c r="J564" s="4">
        <v>0</v>
      </c>
      <c r="K564" s="4">
        <v>0</v>
      </c>
      <c r="L564" s="4">
        <v>2067.6849999999999</v>
      </c>
      <c r="M564" s="4">
        <v>2067.6849999999999</v>
      </c>
      <c r="N564" s="4">
        <v>0</v>
      </c>
      <c r="O564" s="4">
        <v>0</v>
      </c>
      <c r="P564" s="4">
        <v>0</v>
      </c>
      <c r="Q564" s="3" t="s">
        <v>63</v>
      </c>
      <c r="R564" s="3">
        <v>47</v>
      </c>
      <c r="S564" s="4">
        <v>0</v>
      </c>
      <c r="T564" s="4">
        <v>19</v>
      </c>
      <c r="U564" s="4">
        <v>0</v>
      </c>
      <c r="V564" s="4">
        <v>0</v>
      </c>
      <c r="W564" s="4">
        <v>9.65</v>
      </c>
      <c r="X564" s="4">
        <v>0</v>
      </c>
      <c r="Y564" s="4">
        <v>42.583563671169571</v>
      </c>
      <c r="Z564" s="4">
        <v>11.150945133676805</v>
      </c>
      <c r="AA564" s="4"/>
      <c r="AB564" s="4">
        <v>0</v>
      </c>
      <c r="AC564" s="4">
        <v>19953.160250000001</v>
      </c>
      <c r="AD564" s="4">
        <v>0</v>
      </c>
      <c r="AE564" s="4">
        <v>0</v>
      </c>
      <c r="AF564" s="4">
        <v>23056.641988726522</v>
      </c>
      <c r="AG564" s="4">
        <v>0</v>
      </c>
    </row>
    <row r="565" spans="1:33" ht="11.25" customHeight="1" x14ac:dyDescent="0.25">
      <c r="A565" s="3" t="s">
        <v>21</v>
      </c>
      <c r="B565" s="3" t="s">
        <v>41</v>
      </c>
      <c r="C565" s="3" t="s">
        <v>61</v>
      </c>
      <c r="D565" s="3" t="s">
        <v>25</v>
      </c>
      <c r="E565" s="3" t="s">
        <v>25</v>
      </c>
      <c r="F565" s="3" t="s">
        <v>25</v>
      </c>
      <c r="G565" s="3" t="s">
        <v>62</v>
      </c>
      <c r="H565" s="3" t="s">
        <v>34</v>
      </c>
      <c r="I565" s="6">
        <v>44287</v>
      </c>
      <c r="J565" s="4">
        <v>4469</v>
      </c>
      <c r="K565" s="4">
        <v>4469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3" t="s">
        <v>63</v>
      </c>
      <c r="R565" s="3">
        <v>44</v>
      </c>
      <c r="S565" s="4">
        <v>105</v>
      </c>
      <c r="T565" s="4">
        <v>0</v>
      </c>
      <c r="U565" s="4">
        <v>0</v>
      </c>
      <c r="V565" s="4">
        <v>29.89</v>
      </c>
      <c r="W565" s="4">
        <v>0</v>
      </c>
      <c r="X565" s="4">
        <v>0</v>
      </c>
      <c r="Y565" s="4">
        <v>36.252448665270038</v>
      </c>
      <c r="Z565" s="4">
        <v>11.150945133676805</v>
      </c>
      <c r="AA565" s="4"/>
      <c r="AB565" s="4">
        <v>133578.41</v>
      </c>
      <c r="AC565" s="4">
        <v>0</v>
      </c>
      <c r="AD565" s="4">
        <v>0</v>
      </c>
      <c r="AE565" s="4">
        <v>162012.1930850918</v>
      </c>
      <c r="AF565" s="4">
        <v>0</v>
      </c>
      <c r="AG565" s="4">
        <v>0</v>
      </c>
    </row>
    <row r="566" spans="1:33" ht="11.25" customHeight="1" x14ac:dyDescent="0.25">
      <c r="A566" s="3" t="s">
        <v>21</v>
      </c>
      <c r="B566" s="3" t="s">
        <v>41</v>
      </c>
      <c r="C566" s="3" t="s">
        <v>61</v>
      </c>
      <c r="D566" s="3" t="s">
        <v>25</v>
      </c>
      <c r="E566" s="3" t="s">
        <v>25</v>
      </c>
      <c r="F566" s="3" t="s">
        <v>25</v>
      </c>
      <c r="G566" s="3" t="s">
        <v>67</v>
      </c>
      <c r="H566" s="3" t="s">
        <v>34</v>
      </c>
      <c r="I566" s="6">
        <v>44287</v>
      </c>
      <c r="J566" s="4">
        <v>6417</v>
      </c>
      <c r="K566" s="4">
        <v>6417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3" t="s">
        <v>63</v>
      </c>
      <c r="R566" s="3">
        <v>47</v>
      </c>
      <c r="S566" s="4">
        <v>17</v>
      </c>
      <c r="T566" s="4">
        <v>0</v>
      </c>
      <c r="U566" s="4">
        <v>0</v>
      </c>
      <c r="V566" s="4">
        <v>29.89</v>
      </c>
      <c r="W566" s="4">
        <v>0</v>
      </c>
      <c r="X566" s="4">
        <v>0</v>
      </c>
      <c r="Y566" s="4">
        <v>36.252448665270038</v>
      </c>
      <c r="Z566" s="4">
        <v>11.150945133676805</v>
      </c>
      <c r="AA566" s="4"/>
      <c r="AB566" s="4">
        <v>191804.13</v>
      </c>
      <c r="AC566" s="4">
        <v>0</v>
      </c>
      <c r="AD566" s="4">
        <v>0</v>
      </c>
      <c r="AE566" s="4">
        <v>232631.96308503783</v>
      </c>
      <c r="AF566" s="4">
        <v>0</v>
      </c>
      <c r="AG566" s="4">
        <v>0</v>
      </c>
    </row>
    <row r="567" spans="1:33" ht="11.25" customHeight="1" x14ac:dyDescent="0.25">
      <c r="A567" s="3" t="s">
        <v>21</v>
      </c>
      <c r="B567" s="3" t="s">
        <v>41</v>
      </c>
      <c r="C567" s="3" t="s">
        <v>61</v>
      </c>
      <c r="D567" s="3" t="s">
        <v>25</v>
      </c>
      <c r="E567" s="3" t="s">
        <v>25</v>
      </c>
      <c r="F567" s="3" t="s">
        <v>25</v>
      </c>
      <c r="G567" s="3" t="s">
        <v>62</v>
      </c>
      <c r="H567" s="3" t="s">
        <v>34</v>
      </c>
      <c r="I567" s="6">
        <v>44317</v>
      </c>
      <c r="J567" s="4">
        <v>4469</v>
      </c>
      <c r="K567" s="4">
        <v>4469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3" t="s">
        <v>63</v>
      </c>
      <c r="R567" s="3">
        <v>44</v>
      </c>
      <c r="S567" s="4">
        <v>105</v>
      </c>
      <c r="T567" s="4">
        <v>0</v>
      </c>
      <c r="U567" s="4">
        <v>0</v>
      </c>
      <c r="V567" s="4">
        <v>29.89</v>
      </c>
      <c r="W567" s="4">
        <v>0</v>
      </c>
      <c r="X567" s="4">
        <v>0</v>
      </c>
      <c r="Y567" s="4">
        <v>36.252448665270038</v>
      </c>
      <c r="Z567" s="4">
        <v>11.150945133676805</v>
      </c>
      <c r="AA567" s="4"/>
      <c r="AB567" s="4">
        <v>133578.41</v>
      </c>
      <c r="AC567" s="4">
        <v>0</v>
      </c>
      <c r="AD567" s="4">
        <v>0</v>
      </c>
      <c r="AE567" s="4">
        <v>162012.1930850918</v>
      </c>
      <c r="AF567" s="4">
        <v>0</v>
      </c>
      <c r="AG567" s="4">
        <v>0</v>
      </c>
    </row>
    <row r="568" spans="1:33" ht="11.25" customHeight="1" x14ac:dyDescent="0.25">
      <c r="A568" s="3" t="s">
        <v>21</v>
      </c>
      <c r="B568" s="3" t="s">
        <v>41</v>
      </c>
      <c r="C568" s="3" t="s">
        <v>61</v>
      </c>
      <c r="D568" s="3" t="s">
        <v>25</v>
      </c>
      <c r="E568" s="3" t="s">
        <v>25</v>
      </c>
      <c r="F568" s="3" t="s">
        <v>25</v>
      </c>
      <c r="G568" s="3" t="s">
        <v>67</v>
      </c>
      <c r="H568" s="3" t="s">
        <v>34</v>
      </c>
      <c r="I568" s="6">
        <v>44317</v>
      </c>
      <c r="J568" s="4">
        <v>6412</v>
      </c>
      <c r="K568" s="4">
        <v>6412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3" t="s">
        <v>63</v>
      </c>
      <c r="R568" s="3">
        <v>47</v>
      </c>
      <c r="S568" s="4">
        <v>17</v>
      </c>
      <c r="T568" s="4">
        <v>0</v>
      </c>
      <c r="U568" s="4">
        <v>0</v>
      </c>
      <c r="V568" s="4">
        <v>29.89</v>
      </c>
      <c r="W568" s="4">
        <v>0</v>
      </c>
      <c r="X568" s="4">
        <v>0</v>
      </c>
      <c r="Y568" s="4">
        <v>36.252448665270038</v>
      </c>
      <c r="Z568" s="4">
        <v>11.150945133676805</v>
      </c>
      <c r="AA568" s="4"/>
      <c r="AB568" s="4">
        <v>191654.68</v>
      </c>
      <c r="AC568" s="4">
        <v>0</v>
      </c>
      <c r="AD568" s="4">
        <v>0</v>
      </c>
      <c r="AE568" s="4">
        <v>232450.70084171148</v>
      </c>
      <c r="AF568" s="4">
        <v>0</v>
      </c>
      <c r="AG568" s="4">
        <v>0</v>
      </c>
    </row>
    <row r="569" spans="1:33" ht="11.25" customHeight="1" x14ac:dyDescent="0.25">
      <c r="A569" s="3" t="s">
        <v>21</v>
      </c>
      <c r="B569" s="3" t="s">
        <v>41</v>
      </c>
      <c r="C569" s="3" t="s">
        <v>61</v>
      </c>
      <c r="D569" s="3" t="s">
        <v>25</v>
      </c>
      <c r="E569" s="3" t="s">
        <v>25</v>
      </c>
      <c r="F569" s="3" t="s">
        <v>25</v>
      </c>
      <c r="G569" s="3" t="s">
        <v>62</v>
      </c>
      <c r="H569" s="3" t="s">
        <v>34</v>
      </c>
      <c r="I569" s="6">
        <v>44348</v>
      </c>
      <c r="J569" s="4">
        <v>4469</v>
      </c>
      <c r="K569" s="4">
        <v>4469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3" t="s">
        <v>63</v>
      </c>
      <c r="R569" s="3">
        <v>44</v>
      </c>
      <c r="S569" s="4">
        <v>105</v>
      </c>
      <c r="T569" s="4">
        <v>0</v>
      </c>
      <c r="U569" s="4">
        <v>0</v>
      </c>
      <c r="V569" s="4">
        <v>29.89</v>
      </c>
      <c r="W569" s="4">
        <v>0</v>
      </c>
      <c r="X569" s="4">
        <v>0</v>
      </c>
      <c r="Y569" s="4">
        <v>36.252448665270038</v>
      </c>
      <c r="Z569" s="4">
        <v>11.150945133676805</v>
      </c>
      <c r="AA569" s="4"/>
      <c r="AB569" s="4">
        <v>133578.41</v>
      </c>
      <c r="AC569" s="4">
        <v>0</v>
      </c>
      <c r="AD569" s="4">
        <v>0</v>
      </c>
      <c r="AE569" s="4">
        <v>162012.1930850918</v>
      </c>
      <c r="AF569" s="4">
        <v>0</v>
      </c>
      <c r="AG569" s="4">
        <v>0</v>
      </c>
    </row>
    <row r="570" spans="1:33" ht="11.25" customHeight="1" x14ac:dyDescent="0.25">
      <c r="A570" s="3" t="s">
        <v>21</v>
      </c>
      <c r="B570" s="3" t="s">
        <v>41</v>
      </c>
      <c r="C570" s="3" t="s">
        <v>61</v>
      </c>
      <c r="D570" s="3" t="s">
        <v>25</v>
      </c>
      <c r="E570" s="3" t="s">
        <v>25</v>
      </c>
      <c r="F570" s="3" t="s">
        <v>25</v>
      </c>
      <c r="G570" s="3" t="s">
        <v>67</v>
      </c>
      <c r="H570" s="3" t="s">
        <v>34</v>
      </c>
      <c r="I570" s="6">
        <v>44348</v>
      </c>
      <c r="J570" s="4">
        <v>6412</v>
      </c>
      <c r="K570" s="4">
        <v>6412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3" t="s">
        <v>63</v>
      </c>
      <c r="R570" s="3">
        <v>47</v>
      </c>
      <c r="S570" s="4">
        <v>17</v>
      </c>
      <c r="T570" s="4">
        <v>0</v>
      </c>
      <c r="U570" s="4">
        <v>0</v>
      </c>
      <c r="V570" s="4">
        <v>29.89</v>
      </c>
      <c r="W570" s="4">
        <v>0</v>
      </c>
      <c r="X570" s="4">
        <v>0</v>
      </c>
      <c r="Y570" s="4">
        <v>36.252448665270038</v>
      </c>
      <c r="Z570" s="4">
        <v>11.150945133676805</v>
      </c>
      <c r="AA570" s="4"/>
      <c r="AB570" s="4">
        <v>191654.68</v>
      </c>
      <c r="AC570" s="4">
        <v>0</v>
      </c>
      <c r="AD570" s="4">
        <v>0</v>
      </c>
      <c r="AE570" s="4">
        <v>232450.70084171148</v>
      </c>
      <c r="AF570" s="4">
        <v>0</v>
      </c>
      <c r="AG570" s="4">
        <v>0</v>
      </c>
    </row>
    <row r="571" spans="1:33" ht="11.25" customHeight="1" x14ac:dyDescent="0.25">
      <c r="A571" s="3" t="s">
        <v>21</v>
      </c>
      <c r="B571" s="3" t="s">
        <v>41</v>
      </c>
      <c r="C571" s="3" t="s">
        <v>61</v>
      </c>
      <c r="D571" s="3" t="s">
        <v>25</v>
      </c>
      <c r="E571" s="3" t="s">
        <v>25</v>
      </c>
      <c r="F571" s="3" t="s">
        <v>25</v>
      </c>
      <c r="G571" s="3" t="s">
        <v>62</v>
      </c>
      <c r="H571" s="3" t="s">
        <v>34</v>
      </c>
      <c r="I571" s="6">
        <v>44378</v>
      </c>
      <c r="J571" s="4">
        <v>4469</v>
      </c>
      <c r="K571" s="4">
        <v>4469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3" t="s">
        <v>63</v>
      </c>
      <c r="R571" s="3">
        <v>44</v>
      </c>
      <c r="S571" s="4">
        <v>105</v>
      </c>
      <c r="T571" s="4">
        <v>0</v>
      </c>
      <c r="U571" s="4">
        <v>0</v>
      </c>
      <c r="V571" s="4">
        <v>29.89</v>
      </c>
      <c r="W571" s="4">
        <v>0</v>
      </c>
      <c r="X571" s="4">
        <v>0</v>
      </c>
      <c r="Y571" s="4">
        <v>36.252448665270038</v>
      </c>
      <c r="Z571" s="4">
        <v>11.150945133676805</v>
      </c>
      <c r="AA571" s="4"/>
      <c r="AB571" s="4">
        <v>133578.41</v>
      </c>
      <c r="AC571" s="4">
        <v>0</v>
      </c>
      <c r="AD571" s="4">
        <v>0</v>
      </c>
      <c r="AE571" s="4">
        <v>162012.1930850918</v>
      </c>
      <c r="AF571" s="4">
        <v>0</v>
      </c>
      <c r="AG571" s="4">
        <v>0</v>
      </c>
    </row>
    <row r="572" spans="1:33" ht="11.25" customHeight="1" x14ac:dyDescent="0.25">
      <c r="A572" s="3" t="s">
        <v>21</v>
      </c>
      <c r="B572" s="3" t="s">
        <v>41</v>
      </c>
      <c r="C572" s="3" t="s">
        <v>61</v>
      </c>
      <c r="D572" s="3" t="s">
        <v>25</v>
      </c>
      <c r="E572" s="3" t="s">
        <v>25</v>
      </c>
      <c r="F572" s="3" t="s">
        <v>25</v>
      </c>
      <c r="G572" s="3" t="s">
        <v>67</v>
      </c>
      <c r="H572" s="3" t="s">
        <v>34</v>
      </c>
      <c r="I572" s="6">
        <v>44378</v>
      </c>
      <c r="J572" s="4">
        <v>6412</v>
      </c>
      <c r="K572" s="4">
        <v>6412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3" t="s">
        <v>63</v>
      </c>
      <c r="R572" s="3">
        <v>47</v>
      </c>
      <c r="S572" s="4">
        <v>17</v>
      </c>
      <c r="T572" s="4">
        <v>0</v>
      </c>
      <c r="U572" s="4">
        <v>0</v>
      </c>
      <c r="V572" s="4">
        <v>29.89</v>
      </c>
      <c r="W572" s="4">
        <v>0</v>
      </c>
      <c r="X572" s="4">
        <v>0</v>
      </c>
      <c r="Y572" s="4">
        <v>36.252448665270038</v>
      </c>
      <c r="Z572" s="4">
        <v>11.150945133676805</v>
      </c>
      <c r="AA572" s="4"/>
      <c r="AB572" s="4">
        <v>191654.68</v>
      </c>
      <c r="AC572" s="4">
        <v>0</v>
      </c>
      <c r="AD572" s="4">
        <v>0</v>
      </c>
      <c r="AE572" s="4">
        <v>232450.70084171148</v>
      </c>
      <c r="AF572" s="4">
        <v>0</v>
      </c>
      <c r="AG572" s="4">
        <v>0</v>
      </c>
    </row>
    <row r="573" spans="1:33" ht="11.25" customHeight="1" x14ac:dyDescent="0.25">
      <c r="A573" s="3" t="s">
        <v>21</v>
      </c>
      <c r="B573" s="3" t="s">
        <v>41</v>
      </c>
      <c r="C573" s="3" t="s">
        <v>61</v>
      </c>
      <c r="D573" s="3" t="s">
        <v>25</v>
      </c>
      <c r="E573" s="3" t="s">
        <v>25</v>
      </c>
      <c r="F573" s="3" t="s">
        <v>25</v>
      </c>
      <c r="G573" s="3" t="s">
        <v>62</v>
      </c>
      <c r="H573" s="3" t="s">
        <v>34</v>
      </c>
      <c r="I573" s="6">
        <v>44409</v>
      </c>
      <c r="J573" s="4">
        <v>4469</v>
      </c>
      <c r="K573" s="4">
        <v>4469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3" t="s">
        <v>63</v>
      </c>
      <c r="R573" s="3">
        <v>44</v>
      </c>
      <c r="S573" s="4">
        <v>105</v>
      </c>
      <c r="T573" s="4">
        <v>0</v>
      </c>
      <c r="U573" s="4">
        <v>0</v>
      </c>
      <c r="V573" s="4">
        <v>29.89</v>
      </c>
      <c r="W573" s="4">
        <v>0</v>
      </c>
      <c r="X573" s="4">
        <v>0</v>
      </c>
      <c r="Y573" s="4">
        <v>36.252448665270038</v>
      </c>
      <c r="Z573" s="4">
        <v>11.150945133676805</v>
      </c>
      <c r="AA573" s="4"/>
      <c r="AB573" s="4">
        <v>133578.41</v>
      </c>
      <c r="AC573" s="4">
        <v>0</v>
      </c>
      <c r="AD573" s="4">
        <v>0</v>
      </c>
      <c r="AE573" s="4">
        <v>162012.1930850918</v>
      </c>
      <c r="AF573" s="4">
        <v>0</v>
      </c>
      <c r="AG573" s="4">
        <v>0</v>
      </c>
    </row>
    <row r="574" spans="1:33" ht="11.25" customHeight="1" x14ac:dyDescent="0.25">
      <c r="A574" s="3" t="s">
        <v>21</v>
      </c>
      <c r="B574" s="3" t="s">
        <v>41</v>
      </c>
      <c r="C574" s="3" t="s">
        <v>61</v>
      </c>
      <c r="D574" s="3" t="s">
        <v>25</v>
      </c>
      <c r="E574" s="3" t="s">
        <v>25</v>
      </c>
      <c r="F574" s="3" t="s">
        <v>25</v>
      </c>
      <c r="G574" s="3" t="s">
        <v>67</v>
      </c>
      <c r="H574" s="3" t="s">
        <v>34</v>
      </c>
      <c r="I574" s="6">
        <v>44409</v>
      </c>
      <c r="J574" s="4">
        <v>6412</v>
      </c>
      <c r="K574" s="4">
        <v>6412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3" t="s">
        <v>63</v>
      </c>
      <c r="R574" s="3">
        <v>47</v>
      </c>
      <c r="S574" s="4">
        <v>17</v>
      </c>
      <c r="T574" s="4">
        <v>0</v>
      </c>
      <c r="U574" s="4">
        <v>0</v>
      </c>
      <c r="V574" s="4">
        <v>29.89</v>
      </c>
      <c r="W574" s="4">
        <v>0</v>
      </c>
      <c r="X574" s="4">
        <v>0</v>
      </c>
      <c r="Y574" s="4">
        <v>36.252448665270038</v>
      </c>
      <c r="Z574" s="4">
        <v>11.150945133676805</v>
      </c>
      <c r="AA574" s="4"/>
      <c r="AB574" s="4">
        <v>191654.68</v>
      </c>
      <c r="AC574" s="4">
        <v>0</v>
      </c>
      <c r="AD574" s="4">
        <v>0</v>
      </c>
      <c r="AE574" s="4">
        <v>232450.70084171148</v>
      </c>
      <c r="AF574" s="4">
        <v>0</v>
      </c>
      <c r="AG574" s="4">
        <v>0</v>
      </c>
    </row>
    <row r="575" spans="1:33" ht="11.25" customHeight="1" x14ac:dyDescent="0.25">
      <c r="A575" s="3" t="s">
        <v>21</v>
      </c>
      <c r="B575" s="3" t="s">
        <v>41</v>
      </c>
      <c r="C575" s="3" t="s">
        <v>61</v>
      </c>
      <c r="D575" s="3" t="s">
        <v>25</v>
      </c>
      <c r="E575" s="3" t="s">
        <v>25</v>
      </c>
      <c r="F575" s="3" t="s">
        <v>25</v>
      </c>
      <c r="G575" s="3" t="s">
        <v>62</v>
      </c>
      <c r="H575" s="3" t="s">
        <v>34</v>
      </c>
      <c r="I575" s="6">
        <v>44440</v>
      </c>
      <c r="J575" s="4">
        <v>4469</v>
      </c>
      <c r="K575" s="4">
        <v>4469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3" t="s">
        <v>63</v>
      </c>
      <c r="R575" s="3">
        <v>44</v>
      </c>
      <c r="S575" s="4">
        <v>105</v>
      </c>
      <c r="T575" s="4">
        <v>0</v>
      </c>
      <c r="U575" s="4">
        <v>0</v>
      </c>
      <c r="V575" s="4">
        <v>29.89</v>
      </c>
      <c r="W575" s="4">
        <v>0</v>
      </c>
      <c r="X575" s="4">
        <v>0</v>
      </c>
      <c r="Y575" s="4">
        <v>36.252448665270038</v>
      </c>
      <c r="Z575" s="4">
        <v>11.150945133676805</v>
      </c>
      <c r="AA575" s="4"/>
      <c r="AB575" s="4">
        <v>133578.41</v>
      </c>
      <c r="AC575" s="4">
        <v>0</v>
      </c>
      <c r="AD575" s="4">
        <v>0</v>
      </c>
      <c r="AE575" s="4">
        <v>162012.1930850918</v>
      </c>
      <c r="AF575" s="4">
        <v>0</v>
      </c>
      <c r="AG575" s="4">
        <v>0</v>
      </c>
    </row>
    <row r="576" spans="1:33" ht="11.25" customHeight="1" x14ac:dyDescent="0.25">
      <c r="A576" s="3" t="s">
        <v>21</v>
      </c>
      <c r="B576" s="3" t="s">
        <v>41</v>
      </c>
      <c r="C576" s="3" t="s">
        <v>61</v>
      </c>
      <c r="D576" s="3" t="s">
        <v>25</v>
      </c>
      <c r="E576" s="3" t="s">
        <v>25</v>
      </c>
      <c r="F576" s="3" t="s">
        <v>25</v>
      </c>
      <c r="G576" s="3" t="s">
        <v>67</v>
      </c>
      <c r="H576" s="3" t="s">
        <v>34</v>
      </c>
      <c r="I576" s="6">
        <v>44440</v>
      </c>
      <c r="J576" s="4">
        <v>6422</v>
      </c>
      <c r="K576" s="4">
        <v>6422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3" t="s">
        <v>63</v>
      </c>
      <c r="R576" s="3">
        <v>47</v>
      </c>
      <c r="S576" s="4">
        <v>17</v>
      </c>
      <c r="T576" s="4">
        <v>0</v>
      </c>
      <c r="U576" s="4">
        <v>0</v>
      </c>
      <c r="V576" s="4">
        <v>29.89</v>
      </c>
      <c r="W576" s="4">
        <v>0</v>
      </c>
      <c r="X576" s="4">
        <v>0</v>
      </c>
      <c r="Y576" s="4">
        <v>36.252448665270038</v>
      </c>
      <c r="Z576" s="4">
        <v>11.150945133676805</v>
      </c>
      <c r="AA576" s="4"/>
      <c r="AB576" s="4">
        <v>191953.58000000002</v>
      </c>
      <c r="AC576" s="4">
        <v>0</v>
      </c>
      <c r="AD576" s="4">
        <v>0</v>
      </c>
      <c r="AE576" s="4">
        <v>232813.22532836418</v>
      </c>
      <c r="AF576" s="4">
        <v>0</v>
      </c>
      <c r="AG576" s="4">
        <v>0</v>
      </c>
    </row>
    <row r="577" spans="1:33" ht="11.25" customHeight="1" x14ac:dyDescent="0.25">
      <c r="A577" s="3" t="s">
        <v>21</v>
      </c>
      <c r="B577" s="3" t="s">
        <v>41</v>
      </c>
      <c r="C577" s="3" t="s">
        <v>61</v>
      </c>
      <c r="D577" s="3" t="s">
        <v>25</v>
      </c>
      <c r="E577" s="3" t="s">
        <v>25</v>
      </c>
      <c r="F577" s="3" t="s">
        <v>25</v>
      </c>
      <c r="G577" s="3" t="s">
        <v>62</v>
      </c>
      <c r="H577" s="3" t="s">
        <v>34</v>
      </c>
      <c r="I577" s="6">
        <v>44470</v>
      </c>
      <c r="J577" s="4">
        <v>4469</v>
      </c>
      <c r="K577" s="4">
        <v>4469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3" t="s">
        <v>63</v>
      </c>
      <c r="R577" s="3">
        <v>44</v>
      </c>
      <c r="S577" s="4">
        <v>105</v>
      </c>
      <c r="T577" s="4">
        <v>0</v>
      </c>
      <c r="U577" s="4">
        <v>0</v>
      </c>
      <c r="V577" s="4">
        <v>29.89</v>
      </c>
      <c r="W577" s="4">
        <v>0</v>
      </c>
      <c r="X577" s="4">
        <v>0</v>
      </c>
      <c r="Y577" s="4">
        <v>36.252448665270038</v>
      </c>
      <c r="Z577" s="4">
        <v>11.150945133676805</v>
      </c>
      <c r="AA577" s="4"/>
      <c r="AB577" s="4">
        <v>133578.41</v>
      </c>
      <c r="AC577" s="4">
        <v>0</v>
      </c>
      <c r="AD577" s="4">
        <v>0</v>
      </c>
      <c r="AE577" s="4">
        <v>162012.1930850918</v>
      </c>
      <c r="AF577" s="4">
        <v>0</v>
      </c>
      <c r="AG577" s="4">
        <v>0</v>
      </c>
    </row>
    <row r="578" spans="1:33" ht="11.25" customHeight="1" x14ac:dyDescent="0.25">
      <c r="A578" s="3" t="s">
        <v>21</v>
      </c>
      <c r="B578" s="3" t="s">
        <v>41</v>
      </c>
      <c r="C578" s="3" t="s">
        <v>61</v>
      </c>
      <c r="D578" s="3" t="s">
        <v>25</v>
      </c>
      <c r="E578" s="3" t="s">
        <v>25</v>
      </c>
      <c r="F578" s="3" t="s">
        <v>25</v>
      </c>
      <c r="G578" s="3" t="s">
        <v>67</v>
      </c>
      <c r="H578" s="3" t="s">
        <v>34</v>
      </c>
      <c r="I578" s="6">
        <v>44470</v>
      </c>
      <c r="J578" s="4">
        <v>6427</v>
      </c>
      <c r="K578" s="4">
        <v>6427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3" t="s">
        <v>63</v>
      </c>
      <c r="R578" s="3">
        <v>47</v>
      </c>
      <c r="S578" s="4">
        <v>17</v>
      </c>
      <c r="T578" s="4">
        <v>0</v>
      </c>
      <c r="U578" s="4">
        <v>0</v>
      </c>
      <c r="V578" s="4">
        <v>29.89</v>
      </c>
      <c r="W578" s="4">
        <v>0</v>
      </c>
      <c r="X578" s="4">
        <v>0</v>
      </c>
      <c r="Y578" s="4">
        <v>36.252448665270038</v>
      </c>
      <c r="Z578" s="4">
        <v>11.150945133676805</v>
      </c>
      <c r="AA578" s="4"/>
      <c r="AB578" s="4">
        <v>192103.03</v>
      </c>
      <c r="AC578" s="4">
        <v>0</v>
      </c>
      <c r="AD578" s="4">
        <v>0</v>
      </c>
      <c r="AE578" s="4">
        <v>232994.48757169052</v>
      </c>
      <c r="AF578" s="4">
        <v>0</v>
      </c>
      <c r="AG578" s="4">
        <v>0</v>
      </c>
    </row>
    <row r="579" spans="1:33" ht="11.25" customHeight="1" x14ac:dyDescent="0.25">
      <c r="A579" s="3" t="s">
        <v>21</v>
      </c>
      <c r="B579" s="3" t="s">
        <v>41</v>
      </c>
      <c r="C579" s="3" t="s">
        <v>61</v>
      </c>
      <c r="D579" s="3" t="s">
        <v>25</v>
      </c>
      <c r="E579" s="3" t="s">
        <v>25</v>
      </c>
      <c r="F579" s="3" t="s">
        <v>25</v>
      </c>
      <c r="G579" s="3" t="s">
        <v>62</v>
      </c>
      <c r="H579" s="3" t="s">
        <v>34</v>
      </c>
      <c r="I579" s="6">
        <v>44501</v>
      </c>
      <c r="J579" s="4">
        <v>4469</v>
      </c>
      <c r="K579" s="4">
        <v>4469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3" t="s">
        <v>63</v>
      </c>
      <c r="R579" s="3">
        <v>44</v>
      </c>
      <c r="S579" s="4">
        <v>105</v>
      </c>
      <c r="T579" s="4">
        <v>0</v>
      </c>
      <c r="U579" s="4">
        <v>0</v>
      </c>
      <c r="V579" s="4">
        <v>29.89</v>
      </c>
      <c r="W579" s="4">
        <v>0</v>
      </c>
      <c r="X579" s="4">
        <v>0</v>
      </c>
      <c r="Y579" s="4">
        <v>36.252448665270038</v>
      </c>
      <c r="Z579" s="4">
        <v>11.150945133676805</v>
      </c>
      <c r="AA579" s="4"/>
      <c r="AB579" s="4">
        <v>133578.41</v>
      </c>
      <c r="AC579" s="4">
        <v>0</v>
      </c>
      <c r="AD579" s="4">
        <v>0</v>
      </c>
      <c r="AE579" s="4">
        <v>162012.1930850918</v>
      </c>
      <c r="AF579" s="4">
        <v>0</v>
      </c>
      <c r="AG579" s="4">
        <v>0</v>
      </c>
    </row>
    <row r="580" spans="1:33" ht="11.25" customHeight="1" x14ac:dyDescent="0.25">
      <c r="A580" s="3" t="s">
        <v>21</v>
      </c>
      <c r="B580" s="3" t="s">
        <v>41</v>
      </c>
      <c r="C580" s="3" t="s">
        <v>61</v>
      </c>
      <c r="D580" s="3" t="s">
        <v>25</v>
      </c>
      <c r="E580" s="3" t="s">
        <v>25</v>
      </c>
      <c r="F580" s="3" t="s">
        <v>25</v>
      </c>
      <c r="G580" s="3" t="s">
        <v>67</v>
      </c>
      <c r="H580" s="3" t="s">
        <v>34</v>
      </c>
      <c r="I580" s="6">
        <v>44501</v>
      </c>
      <c r="J580" s="4">
        <v>6427</v>
      </c>
      <c r="K580" s="4">
        <v>6427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3" t="s">
        <v>63</v>
      </c>
      <c r="R580" s="3">
        <v>47</v>
      </c>
      <c r="S580" s="4">
        <v>17</v>
      </c>
      <c r="T580" s="4">
        <v>0</v>
      </c>
      <c r="U580" s="4">
        <v>0</v>
      </c>
      <c r="V580" s="4">
        <v>29.89</v>
      </c>
      <c r="W580" s="4">
        <v>0</v>
      </c>
      <c r="X580" s="4">
        <v>0</v>
      </c>
      <c r="Y580" s="4">
        <v>36.252448665270038</v>
      </c>
      <c r="Z580" s="4">
        <v>11.150945133676805</v>
      </c>
      <c r="AA580" s="4"/>
      <c r="AB580" s="4">
        <v>192103.03</v>
      </c>
      <c r="AC580" s="4">
        <v>0</v>
      </c>
      <c r="AD580" s="4">
        <v>0</v>
      </c>
      <c r="AE580" s="4">
        <v>232994.48757169052</v>
      </c>
      <c r="AF580" s="4">
        <v>0</v>
      </c>
      <c r="AG580" s="4">
        <v>0</v>
      </c>
    </row>
    <row r="581" spans="1:33" ht="11.25" customHeight="1" x14ac:dyDescent="0.25">
      <c r="A581" s="3" t="s">
        <v>21</v>
      </c>
      <c r="B581" s="3" t="s">
        <v>41</v>
      </c>
      <c r="C581" s="3" t="s">
        <v>61</v>
      </c>
      <c r="D581" s="3" t="s">
        <v>25</v>
      </c>
      <c r="E581" s="3" t="s">
        <v>25</v>
      </c>
      <c r="F581" s="3" t="s">
        <v>25</v>
      </c>
      <c r="G581" s="3" t="s">
        <v>62</v>
      </c>
      <c r="H581" s="3" t="s">
        <v>34</v>
      </c>
      <c r="I581" s="6">
        <v>44531</v>
      </c>
      <c r="J581" s="4">
        <v>4469</v>
      </c>
      <c r="K581" s="4">
        <v>4469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3" t="s">
        <v>63</v>
      </c>
      <c r="R581" s="3">
        <v>44</v>
      </c>
      <c r="S581" s="4">
        <v>105</v>
      </c>
      <c r="T581" s="4">
        <v>0</v>
      </c>
      <c r="U581" s="4">
        <v>0</v>
      </c>
      <c r="V581" s="4">
        <v>29.89</v>
      </c>
      <c r="W581" s="4">
        <v>0</v>
      </c>
      <c r="X581" s="4">
        <v>0</v>
      </c>
      <c r="Y581" s="4">
        <v>36.252448665270038</v>
      </c>
      <c r="Z581" s="4">
        <v>11.150945133676805</v>
      </c>
      <c r="AA581" s="4"/>
      <c r="AB581" s="4">
        <v>133578.41</v>
      </c>
      <c r="AC581" s="4">
        <v>0</v>
      </c>
      <c r="AD581" s="4">
        <v>0</v>
      </c>
      <c r="AE581" s="4">
        <v>162012.1930850918</v>
      </c>
      <c r="AF581" s="4">
        <v>0</v>
      </c>
      <c r="AG581" s="4">
        <v>0</v>
      </c>
    </row>
    <row r="582" spans="1:33" ht="11.25" customHeight="1" x14ac:dyDescent="0.25">
      <c r="A582" s="3" t="s">
        <v>21</v>
      </c>
      <c r="B582" s="3" t="s">
        <v>41</v>
      </c>
      <c r="C582" s="3" t="s">
        <v>61</v>
      </c>
      <c r="D582" s="3" t="s">
        <v>25</v>
      </c>
      <c r="E582" s="3" t="s">
        <v>25</v>
      </c>
      <c r="F582" s="3" t="s">
        <v>25</v>
      </c>
      <c r="G582" s="3" t="s">
        <v>67</v>
      </c>
      <c r="H582" s="3" t="s">
        <v>34</v>
      </c>
      <c r="I582" s="6">
        <v>44531</v>
      </c>
      <c r="J582" s="4">
        <v>6896</v>
      </c>
      <c r="K582" s="4">
        <v>6896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 t="s">
        <v>63</v>
      </c>
      <c r="R582" s="3">
        <v>47</v>
      </c>
      <c r="S582" s="4">
        <v>17</v>
      </c>
      <c r="T582" s="4">
        <v>0</v>
      </c>
      <c r="U582" s="4">
        <v>0</v>
      </c>
      <c r="V582" s="4">
        <v>29.89</v>
      </c>
      <c r="W582" s="4">
        <v>0</v>
      </c>
      <c r="X582" s="4">
        <v>0</v>
      </c>
      <c r="Y582" s="4">
        <v>36.252448665270038</v>
      </c>
      <c r="Z582" s="4">
        <v>11.150945133676805</v>
      </c>
      <c r="AA582" s="4"/>
      <c r="AB582" s="4">
        <v>206121.44</v>
      </c>
      <c r="AC582" s="4">
        <v>0</v>
      </c>
      <c r="AD582" s="4">
        <v>0</v>
      </c>
      <c r="AE582" s="4">
        <v>249996.88599570218</v>
      </c>
      <c r="AF582" s="4">
        <v>0</v>
      </c>
      <c r="AG582" s="4">
        <v>0</v>
      </c>
    </row>
    <row r="583" spans="1:33" ht="11.25" customHeight="1" x14ac:dyDescent="0.25">
      <c r="A583" s="3" t="s">
        <v>21</v>
      </c>
      <c r="B583" s="3" t="s">
        <v>41</v>
      </c>
      <c r="C583" s="3" t="s">
        <v>61</v>
      </c>
      <c r="D583" s="3" t="s">
        <v>25</v>
      </c>
      <c r="E583" s="3" t="s">
        <v>25</v>
      </c>
      <c r="F583" s="3" t="s">
        <v>25</v>
      </c>
      <c r="G583" s="3" t="s">
        <v>62</v>
      </c>
      <c r="H583" s="3" t="s">
        <v>34</v>
      </c>
      <c r="I583" s="6">
        <v>44562</v>
      </c>
      <c r="J583" s="4">
        <v>4469</v>
      </c>
      <c r="K583" s="4">
        <v>4469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 t="s">
        <v>63</v>
      </c>
      <c r="R583" s="3">
        <v>44</v>
      </c>
      <c r="S583" s="4">
        <v>105</v>
      </c>
      <c r="T583" s="4">
        <v>0</v>
      </c>
      <c r="U583" s="4">
        <v>0</v>
      </c>
      <c r="V583" s="4">
        <v>29.89</v>
      </c>
      <c r="W583" s="4">
        <v>0</v>
      </c>
      <c r="X583" s="4">
        <v>0</v>
      </c>
      <c r="Y583" s="4">
        <v>36.252448665270038</v>
      </c>
      <c r="Z583" s="4">
        <v>11.150945133676805</v>
      </c>
      <c r="AA583" s="4"/>
      <c r="AB583" s="4">
        <v>133578.41</v>
      </c>
      <c r="AC583" s="4">
        <v>0</v>
      </c>
      <c r="AD583" s="4">
        <v>0</v>
      </c>
      <c r="AE583" s="4">
        <v>162012.1930850918</v>
      </c>
      <c r="AF583" s="4">
        <v>0</v>
      </c>
      <c r="AG583" s="4">
        <v>0</v>
      </c>
    </row>
    <row r="584" spans="1:33" ht="11.25" customHeight="1" x14ac:dyDescent="0.25">
      <c r="A584" s="3" t="s">
        <v>21</v>
      </c>
      <c r="B584" s="3" t="s">
        <v>41</v>
      </c>
      <c r="C584" s="3" t="s">
        <v>61</v>
      </c>
      <c r="D584" s="3" t="s">
        <v>25</v>
      </c>
      <c r="E584" s="3" t="s">
        <v>25</v>
      </c>
      <c r="F584" s="3" t="s">
        <v>25</v>
      </c>
      <c r="G584" s="3" t="s">
        <v>67</v>
      </c>
      <c r="H584" s="3" t="s">
        <v>34</v>
      </c>
      <c r="I584" s="6">
        <v>44562</v>
      </c>
      <c r="J584" s="4">
        <v>6412</v>
      </c>
      <c r="K584" s="4">
        <v>6412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3" t="s">
        <v>63</v>
      </c>
      <c r="R584" s="3">
        <v>47</v>
      </c>
      <c r="S584" s="4">
        <v>17</v>
      </c>
      <c r="T584" s="4">
        <v>0</v>
      </c>
      <c r="U584" s="4">
        <v>0</v>
      </c>
      <c r="V584" s="4">
        <v>29.89</v>
      </c>
      <c r="W584" s="4">
        <v>0</v>
      </c>
      <c r="X584" s="4">
        <v>0</v>
      </c>
      <c r="Y584" s="4">
        <v>36.252448665270038</v>
      </c>
      <c r="Z584" s="4">
        <v>11.150945133676805</v>
      </c>
      <c r="AA584" s="4"/>
      <c r="AB584" s="4">
        <v>191654.68</v>
      </c>
      <c r="AC584" s="4">
        <v>0</v>
      </c>
      <c r="AD584" s="4">
        <v>0</v>
      </c>
      <c r="AE584" s="4">
        <v>232450.70084171148</v>
      </c>
      <c r="AF584" s="4">
        <v>0</v>
      </c>
      <c r="AG584" s="4">
        <v>0</v>
      </c>
    </row>
    <row r="585" spans="1:33" ht="11.25" customHeight="1" x14ac:dyDescent="0.25">
      <c r="A585" s="3" t="s">
        <v>21</v>
      </c>
      <c r="B585" s="3" t="s">
        <v>41</v>
      </c>
      <c r="C585" s="3" t="s">
        <v>61</v>
      </c>
      <c r="D585" s="3" t="s">
        <v>25</v>
      </c>
      <c r="E585" s="3" t="s">
        <v>25</v>
      </c>
      <c r="F585" s="3" t="s">
        <v>25</v>
      </c>
      <c r="G585" s="3" t="s">
        <v>62</v>
      </c>
      <c r="H585" s="3" t="s">
        <v>34</v>
      </c>
      <c r="I585" s="6">
        <v>44593</v>
      </c>
      <c r="J585" s="4">
        <v>4469</v>
      </c>
      <c r="K585" s="4">
        <v>4469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3" t="s">
        <v>63</v>
      </c>
      <c r="R585" s="3">
        <v>44</v>
      </c>
      <c r="S585" s="4">
        <v>105</v>
      </c>
      <c r="T585" s="4">
        <v>0</v>
      </c>
      <c r="U585" s="4">
        <v>0</v>
      </c>
      <c r="V585" s="4">
        <v>29.89</v>
      </c>
      <c r="W585" s="4">
        <v>0</v>
      </c>
      <c r="X585" s="4">
        <v>0</v>
      </c>
      <c r="Y585" s="4">
        <v>36.252448665270038</v>
      </c>
      <c r="Z585" s="4">
        <v>11.150945133676805</v>
      </c>
      <c r="AA585" s="4"/>
      <c r="AB585" s="4">
        <v>133578.41</v>
      </c>
      <c r="AC585" s="4">
        <v>0</v>
      </c>
      <c r="AD585" s="4">
        <v>0</v>
      </c>
      <c r="AE585" s="4">
        <v>162012.1930850918</v>
      </c>
      <c r="AF585" s="4">
        <v>0</v>
      </c>
      <c r="AG585" s="4">
        <v>0</v>
      </c>
    </row>
    <row r="586" spans="1:33" ht="11.25" customHeight="1" x14ac:dyDescent="0.25">
      <c r="A586" s="3" t="s">
        <v>21</v>
      </c>
      <c r="B586" s="3" t="s">
        <v>41</v>
      </c>
      <c r="C586" s="3" t="s">
        <v>61</v>
      </c>
      <c r="D586" s="3" t="s">
        <v>25</v>
      </c>
      <c r="E586" s="3" t="s">
        <v>25</v>
      </c>
      <c r="F586" s="3" t="s">
        <v>25</v>
      </c>
      <c r="G586" s="3" t="s">
        <v>67</v>
      </c>
      <c r="H586" s="3" t="s">
        <v>34</v>
      </c>
      <c r="I586" s="6">
        <v>44593</v>
      </c>
      <c r="J586" s="4">
        <v>6412</v>
      </c>
      <c r="K586" s="4">
        <v>6412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3" t="s">
        <v>63</v>
      </c>
      <c r="R586" s="3">
        <v>47</v>
      </c>
      <c r="S586" s="4">
        <v>17</v>
      </c>
      <c r="T586" s="4">
        <v>0</v>
      </c>
      <c r="U586" s="4">
        <v>0</v>
      </c>
      <c r="V586" s="4">
        <v>29.89</v>
      </c>
      <c r="W586" s="4">
        <v>0</v>
      </c>
      <c r="X586" s="4">
        <v>0</v>
      </c>
      <c r="Y586" s="4">
        <v>36.252448665270038</v>
      </c>
      <c r="Z586" s="4">
        <v>11.150945133676805</v>
      </c>
      <c r="AA586" s="4"/>
      <c r="AB586" s="4">
        <v>191654.68</v>
      </c>
      <c r="AC586" s="4">
        <v>0</v>
      </c>
      <c r="AD586" s="4">
        <v>0</v>
      </c>
      <c r="AE586" s="4">
        <v>232450.70084171148</v>
      </c>
      <c r="AF586" s="4">
        <v>0</v>
      </c>
      <c r="AG586" s="4">
        <v>0</v>
      </c>
    </row>
    <row r="587" spans="1:33" ht="11.25" customHeight="1" x14ac:dyDescent="0.25">
      <c r="A587" s="3" t="s">
        <v>56</v>
      </c>
      <c r="B587" s="3" t="s">
        <v>41</v>
      </c>
      <c r="C587" s="3" t="s">
        <v>61</v>
      </c>
      <c r="D587" s="3" t="s">
        <v>25</v>
      </c>
      <c r="E587" s="3" t="s">
        <v>25</v>
      </c>
      <c r="F587" s="3" t="s">
        <v>25</v>
      </c>
      <c r="G587" s="3" t="s">
        <v>62</v>
      </c>
      <c r="H587" s="3" t="s">
        <v>34</v>
      </c>
      <c r="I587" s="6">
        <v>44621</v>
      </c>
      <c r="J587" s="4">
        <v>4469</v>
      </c>
      <c r="K587" s="4">
        <v>4469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3" t="s">
        <v>63</v>
      </c>
      <c r="R587" s="3">
        <v>44</v>
      </c>
      <c r="S587" s="4">
        <v>105</v>
      </c>
      <c r="T587" s="4">
        <v>0</v>
      </c>
      <c r="U587" s="4">
        <v>0</v>
      </c>
      <c r="V587" s="4">
        <v>29.89</v>
      </c>
      <c r="W587" s="4">
        <v>0</v>
      </c>
      <c r="X587" s="4">
        <v>0</v>
      </c>
      <c r="Y587" s="4">
        <v>36.252448665270038</v>
      </c>
      <c r="Z587" s="4">
        <v>11.150945133676805</v>
      </c>
      <c r="AA587" s="4"/>
      <c r="AB587" s="4">
        <v>133578.41</v>
      </c>
      <c r="AC587" s="4">
        <v>0</v>
      </c>
      <c r="AD587" s="4">
        <v>0</v>
      </c>
      <c r="AE587" s="4">
        <v>162012.1930850918</v>
      </c>
      <c r="AF587" s="4">
        <v>0</v>
      </c>
      <c r="AG587" s="4">
        <v>0</v>
      </c>
    </row>
    <row r="588" spans="1:33" ht="11.25" customHeight="1" x14ac:dyDescent="0.25">
      <c r="A588" s="3" t="s">
        <v>56</v>
      </c>
      <c r="B588" s="3" t="s">
        <v>41</v>
      </c>
      <c r="C588" s="3" t="s">
        <v>61</v>
      </c>
      <c r="D588" s="3" t="s">
        <v>25</v>
      </c>
      <c r="E588" s="3" t="s">
        <v>25</v>
      </c>
      <c r="F588" s="3" t="s">
        <v>25</v>
      </c>
      <c r="G588" s="3" t="s">
        <v>67</v>
      </c>
      <c r="H588" s="3" t="s">
        <v>34</v>
      </c>
      <c r="I588" s="6">
        <v>44621</v>
      </c>
      <c r="J588" s="4">
        <v>6412</v>
      </c>
      <c r="K588" s="4">
        <v>6412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3" t="s">
        <v>63</v>
      </c>
      <c r="R588" s="3">
        <v>47</v>
      </c>
      <c r="S588" s="4">
        <v>17</v>
      </c>
      <c r="T588" s="4">
        <v>0</v>
      </c>
      <c r="U588" s="4">
        <v>0</v>
      </c>
      <c r="V588" s="4">
        <v>29.89</v>
      </c>
      <c r="W588" s="4">
        <v>0</v>
      </c>
      <c r="X588" s="4">
        <v>0</v>
      </c>
      <c r="Y588" s="4">
        <v>36.252448665270038</v>
      </c>
      <c r="Z588" s="4">
        <v>11.150945133676805</v>
      </c>
      <c r="AA588" s="4"/>
      <c r="AB588" s="4">
        <v>191654.68</v>
      </c>
      <c r="AC588" s="4">
        <v>0</v>
      </c>
      <c r="AD588" s="4">
        <v>0</v>
      </c>
      <c r="AE588" s="4">
        <v>232450.70084171148</v>
      </c>
      <c r="AF588" s="4">
        <v>0</v>
      </c>
      <c r="AG588" s="4">
        <v>0</v>
      </c>
    </row>
    <row r="589" spans="1:33" ht="11.25" customHeight="1" x14ac:dyDescent="0.25">
      <c r="A589" s="3" t="s">
        <v>21</v>
      </c>
      <c r="B589" s="3" t="s">
        <v>41</v>
      </c>
      <c r="C589" s="3" t="s">
        <v>69</v>
      </c>
      <c r="D589" s="3" t="s">
        <v>25</v>
      </c>
      <c r="E589" s="3" t="s">
        <v>25</v>
      </c>
      <c r="F589" s="3" t="s">
        <v>70</v>
      </c>
      <c r="G589" s="3" t="s">
        <v>76</v>
      </c>
      <c r="H589" s="3" t="s">
        <v>25</v>
      </c>
      <c r="I589" s="6">
        <v>44287</v>
      </c>
      <c r="J589" s="4">
        <v>2196</v>
      </c>
      <c r="K589" s="4">
        <v>1098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3" t="s">
        <v>72</v>
      </c>
      <c r="R589" s="3">
        <v>30677</v>
      </c>
      <c r="S589" s="4">
        <v>43</v>
      </c>
      <c r="T589" s="4">
        <v>0</v>
      </c>
      <c r="U589" s="4">
        <v>0</v>
      </c>
      <c r="V589" s="4">
        <v>11.74</v>
      </c>
      <c r="W589" s="4">
        <v>0</v>
      </c>
      <c r="X589" s="4">
        <v>0</v>
      </c>
      <c r="Y589" s="4">
        <v>14.993608968134751</v>
      </c>
      <c r="Z589" s="4"/>
      <c r="AA589" s="4"/>
      <c r="AB589" s="4">
        <v>12890.52</v>
      </c>
      <c r="AC589" s="4">
        <v>0</v>
      </c>
      <c r="AD589" s="4">
        <v>0</v>
      </c>
      <c r="AE589" s="4">
        <v>16462.982647011955</v>
      </c>
      <c r="AF589" s="4">
        <v>0</v>
      </c>
      <c r="AG589" s="4">
        <v>0</v>
      </c>
    </row>
    <row r="590" spans="1:33" ht="11.25" customHeight="1" x14ac:dyDescent="0.25">
      <c r="A590" s="3" t="s">
        <v>21</v>
      </c>
      <c r="B590" s="3" t="s">
        <v>41</v>
      </c>
      <c r="C590" s="3" t="s">
        <v>69</v>
      </c>
      <c r="D590" s="3" t="s">
        <v>25</v>
      </c>
      <c r="E590" s="3" t="s">
        <v>25</v>
      </c>
      <c r="F590" s="3" t="s">
        <v>70</v>
      </c>
      <c r="G590" s="3" t="s">
        <v>76</v>
      </c>
      <c r="H590" s="3" t="s">
        <v>25</v>
      </c>
      <c r="I590" s="6">
        <v>44317</v>
      </c>
      <c r="J590" s="4">
        <v>2252</v>
      </c>
      <c r="K590" s="4">
        <v>1126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3" t="s">
        <v>72</v>
      </c>
      <c r="R590" s="3">
        <v>30677</v>
      </c>
      <c r="S590" s="4">
        <v>43</v>
      </c>
      <c r="T590" s="4">
        <v>0</v>
      </c>
      <c r="U590" s="4">
        <v>0</v>
      </c>
      <c r="V590" s="4">
        <v>11.74</v>
      </c>
      <c r="W590" s="4">
        <v>0</v>
      </c>
      <c r="X590" s="4">
        <v>0</v>
      </c>
      <c r="Y590" s="4">
        <v>14.993608968134751</v>
      </c>
      <c r="Z590" s="4"/>
      <c r="AA590" s="4"/>
      <c r="AB590" s="4">
        <v>13219.24</v>
      </c>
      <c r="AC590" s="4">
        <v>0</v>
      </c>
      <c r="AD590" s="4">
        <v>0</v>
      </c>
      <c r="AE590" s="4">
        <v>16882.803698119729</v>
      </c>
      <c r="AF590" s="4">
        <v>0</v>
      </c>
      <c r="AG590" s="4">
        <v>0</v>
      </c>
    </row>
    <row r="591" spans="1:33" ht="11.25" customHeight="1" x14ac:dyDescent="0.25">
      <c r="A591" s="3" t="s">
        <v>21</v>
      </c>
      <c r="B591" s="3" t="s">
        <v>41</v>
      </c>
      <c r="C591" s="3" t="s">
        <v>69</v>
      </c>
      <c r="D591" s="3" t="s">
        <v>25</v>
      </c>
      <c r="E591" s="3" t="s">
        <v>25</v>
      </c>
      <c r="F591" s="3" t="s">
        <v>70</v>
      </c>
      <c r="G591" s="3" t="s">
        <v>76</v>
      </c>
      <c r="H591" s="3" t="s">
        <v>25</v>
      </c>
      <c r="I591" s="6">
        <v>44348</v>
      </c>
      <c r="J591" s="4">
        <v>1000</v>
      </c>
      <c r="K591" s="4">
        <v>500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 t="s">
        <v>72</v>
      </c>
      <c r="R591" s="3">
        <v>30677</v>
      </c>
      <c r="S591" s="4">
        <v>43</v>
      </c>
      <c r="T591" s="4">
        <v>0</v>
      </c>
      <c r="U591" s="4">
        <v>0</v>
      </c>
      <c r="V591" s="4">
        <v>11.74</v>
      </c>
      <c r="W591" s="4">
        <v>0</v>
      </c>
      <c r="X591" s="4">
        <v>0</v>
      </c>
      <c r="Y591" s="4">
        <v>14.993608968134751</v>
      </c>
      <c r="Z591" s="4"/>
      <c r="AA591" s="4"/>
      <c r="AB591" s="4">
        <v>5870</v>
      </c>
      <c r="AC591" s="4">
        <v>0</v>
      </c>
      <c r="AD591" s="4">
        <v>0</v>
      </c>
      <c r="AE591" s="4">
        <v>7496.8044840673756</v>
      </c>
      <c r="AF591" s="4">
        <v>0</v>
      </c>
      <c r="AG591" s="4">
        <v>0</v>
      </c>
    </row>
    <row r="592" spans="1:33" ht="11.25" customHeight="1" x14ac:dyDescent="0.25">
      <c r="A592" s="3" t="s">
        <v>21</v>
      </c>
      <c r="B592" s="3" t="s">
        <v>41</v>
      </c>
      <c r="C592" s="3" t="s">
        <v>69</v>
      </c>
      <c r="D592" s="3" t="s">
        <v>25</v>
      </c>
      <c r="E592" s="3" t="s">
        <v>25</v>
      </c>
      <c r="F592" s="3" t="s">
        <v>70</v>
      </c>
      <c r="G592" s="3" t="s">
        <v>76</v>
      </c>
      <c r="H592" s="3" t="s">
        <v>25</v>
      </c>
      <c r="I592" s="6">
        <v>44378</v>
      </c>
      <c r="J592" s="4">
        <v>1000</v>
      </c>
      <c r="K592" s="4">
        <v>500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3" t="s">
        <v>72</v>
      </c>
      <c r="R592" s="3">
        <v>30677</v>
      </c>
      <c r="S592" s="4">
        <v>43</v>
      </c>
      <c r="T592" s="4">
        <v>0</v>
      </c>
      <c r="U592" s="4">
        <v>0</v>
      </c>
      <c r="V592" s="4">
        <v>11.74</v>
      </c>
      <c r="W592" s="4">
        <v>0</v>
      </c>
      <c r="X592" s="4">
        <v>0</v>
      </c>
      <c r="Y592" s="4">
        <v>14.993608968134751</v>
      </c>
      <c r="Z592" s="4"/>
      <c r="AA592" s="4"/>
      <c r="AB592" s="4">
        <v>5870</v>
      </c>
      <c r="AC592" s="4">
        <v>0</v>
      </c>
      <c r="AD592" s="4">
        <v>0</v>
      </c>
      <c r="AE592" s="4">
        <v>7496.8044840673756</v>
      </c>
      <c r="AF592" s="4">
        <v>0</v>
      </c>
      <c r="AG592" s="4">
        <v>0</v>
      </c>
    </row>
    <row r="593" spans="1:33" ht="11.25" customHeight="1" x14ac:dyDescent="0.25">
      <c r="A593" s="3" t="s">
        <v>21</v>
      </c>
      <c r="B593" s="3" t="s">
        <v>41</v>
      </c>
      <c r="C593" s="3" t="s">
        <v>69</v>
      </c>
      <c r="D593" s="3" t="s">
        <v>25</v>
      </c>
      <c r="E593" s="3" t="s">
        <v>25</v>
      </c>
      <c r="F593" s="3" t="s">
        <v>70</v>
      </c>
      <c r="G593" s="3" t="s">
        <v>76</v>
      </c>
      <c r="H593" s="3" t="s">
        <v>25</v>
      </c>
      <c r="I593" s="6">
        <v>44409</v>
      </c>
      <c r="J593" s="4">
        <v>600</v>
      </c>
      <c r="K593" s="4">
        <v>300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3" t="s">
        <v>72</v>
      </c>
      <c r="R593" s="3">
        <v>30677</v>
      </c>
      <c r="S593" s="4">
        <v>43</v>
      </c>
      <c r="T593" s="4">
        <v>0</v>
      </c>
      <c r="U593" s="4">
        <v>0</v>
      </c>
      <c r="V593" s="4">
        <v>11.74</v>
      </c>
      <c r="W593" s="4">
        <v>0</v>
      </c>
      <c r="X593" s="4">
        <v>0</v>
      </c>
      <c r="Y593" s="4">
        <v>14.993608968134751</v>
      </c>
      <c r="Z593" s="4"/>
      <c r="AA593" s="4"/>
      <c r="AB593" s="4">
        <v>3522</v>
      </c>
      <c r="AC593" s="4">
        <v>0</v>
      </c>
      <c r="AD593" s="4">
        <v>0</v>
      </c>
      <c r="AE593" s="4">
        <v>4498.0826904404257</v>
      </c>
      <c r="AF593" s="4">
        <v>0</v>
      </c>
      <c r="AG593" s="4">
        <v>0</v>
      </c>
    </row>
    <row r="594" spans="1:33" ht="11.25" customHeight="1" x14ac:dyDescent="0.25">
      <c r="A594" s="3" t="s">
        <v>21</v>
      </c>
      <c r="B594" s="3" t="s">
        <v>41</v>
      </c>
      <c r="C594" s="3" t="s">
        <v>69</v>
      </c>
      <c r="D594" s="3" t="s">
        <v>25</v>
      </c>
      <c r="E594" s="3" t="s">
        <v>25</v>
      </c>
      <c r="F594" s="3" t="s">
        <v>70</v>
      </c>
      <c r="G594" s="3" t="s">
        <v>76</v>
      </c>
      <c r="H594" s="3" t="s">
        <v>25</v>
      </c>
      <c r="I594" s="6">
        <v>44501</v>
      </c>
      <c r="J594" s="4">
        <v>92</v>
      </c>
      <c r="K594" s="4">
        <v>46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3" t="s">
        <v>72</v>
      </c>
      <c r="R594" s="3">
        <v>30677</v>
      </c>
      <c r="S594" s="4">
        <v>43</v>
      </c>
      <c r="T594" s="4">
        <v>0</v>
      </c>
      <c r="U594" s="4">
        <v>0</v>
      </c>
      <c r="V594" s="4">
        <v>11.74</v>
      </c>
      <c r="W594" s="4">
        <v>0</v>
      </c>
      <c r="X594" s="4">
        <v>0</v>
      </c>
      <c r="Y594" s="4">
        <v>14.993608968134751</v>
      </c>
      <c r="Z594" s="4"/>
      <c r="AA594" s="4"/>
      <c r="AB594" s="4">
        <v>540.04</v>
      </c>
      <c r="AC594" s="4">
        <v>0</v>
      </c>
      <c r="AD594" s="4">
        <v>0</v>
      </c>
      <c r="AE594" s="4">
        <v>689.70601253419852</v>
      </c>
      <c r="AF594" s="4">
        <v>0</v>
      </c>
      <c r="AG594" s="4">
        <v>0</v>
      </c>
    </row>
    <row r="595" spans="1:33" ht="11.25" customHeight="1" x14ac:dyDescent="0.25">
      <c r="A595" s="3" t="s">
        <v>21</v>
      </c>
      <c r="B595" s="3" t="s">
        <v>41</v>
      </c>
      <c r="C595" s="3" t="s">
        <v>42</v>
      </c>
      <c r="D595" s="3" t="s">
        <v>43</v>
      </c>
      <c r="E595" s="3" t="s">
        <v>25</v>
      </c>
      <c r="F595" s="3" t="s">
        <v>25</v>
      </c>
      <c r="G595" s="3" t="s">
        <v>25</v>
      </c>
      <c r="H595" s="3" t="s">
        <v>35</v>
      </c>
      <c r="I595" s="6">
        <v>44287</v>
      </c>
      <c r="J595" s="4">
        <v>0</v>
      </c>
      <c r="K595" s="4">
        <v>0</v>
      </c>
      <c r="L595" s="4">
        <v>9683.9339999999993</v>
      </c>
      <c r="M595" s="4">
        <v>9683.9339999999993</v>
      </c>
      <c r="N595" s="4">
        <v>9683.9339999999993</v>
      </c>
      <c r="O595" s="4">
        <v>9683.9339999999993</v>
      </c>
      <c r="P595" s="4">
        <v>0</v>
      </c>
      <c r="Q595" s="3" t="s">
        <v>26</v>
      </c>
      <c r="R595" s="3">
        <v>0</v>
      </c>
      <c r="S595" s="4">
        <v>0</v>
      </c>
      <c r="T595" s="4">
        <v>21</v>
      </c>
      <c r="U595" s="4">
        <v>89</v>
      </c>
      <c r="V595" s="4">
        <v>0</v>
      </c>
      <c r="W595" s="4">
        <v>51.27</v>
      </c>
      <c r="X595" s="4">
        <v>222.31</v>
      </c>
      <c r="Y595" s="4"/>
      <c r="Z595" s="4">
        <v>68.100184485116927</v>
      </c>
      <c r="AA595" s="4">
        <v>235.31351552243123</v>
      </c>
      <c r="AB595" s="4">
        <v>0</v>
      </c>
      <c r="AC595" s="4">
        <v>496495.29618</v>
      </c>
      <c r="AD595" s="4">
        <v>2152835.36754</v>
      </c>
      <c r="AE595" s="4">
        <v>0</v>
      </c>
      <c r="AF595" s="4">
        <v>659477.69194169622</v>
      </c>
      <c r="AG595" s="4">
        <v>2278760.5536271995</v>
      </c>
    </row>
    <row r="596" spans="1:33" ht="11.25" customHeight="1" x14ac:dyDescent="0.25">
      <c r="A596" s="3" t="s">
        <v>28</v>
      </c>
      <c r="B596" s="3" t="s">
        <v>41</v>
      </c>
      <c r="C596" s="3" t="s">
        <v>42</v>
      </c>
      <c r="D596" s="3" t="s">
        <v>43</v>
      </c>
      <c r="E596" s="3" t="s">
        <v>25</v>
      </c>
      <c r="F596" s="3" t="s">
        <v>25</v>
      </c>
      <c r="G596" s="3" t="s">
        <v>25</v>
      </c>
      <c r="H596" s="3" t="s">
        <v>35</v>
      </c>
      <c r="I596" s="6">
        <v>44287</v>
      </c>
      <c r="J596" s="4">
        <v>0</v>
      </c>
      <c r="K596" s="4">
        <v>0</v>
      </c>
      <c r="L596" s="4">
        <v>348.82799999999997</v>
      </c>
      <c r="M596" s="4">
        <v>348.82799999999997</v>
      </c>
      <c r="N596" s="4">
        <v>348.82799999999997</v>
      </c>
      <c r="O596" s="4">
        <v>348.82799999999997</v>
      </c>
      <c r="P596" s="4">
        <v>0</v>
      </c>
      <c r="Q596" s="3" t="s">
        <v>26</v>
      </c>
      <c r="R596" s="3">
        <v>0</v>
      </c>
      <c r="S596" s="4">
        <v>0</v>
      </c>
      <c r="T596" s="4">
        <v>21</v>
      </c>
      <c r="U596" s="4">
        <v>89</v>
      </c>
      <c r="V596" s="4">
        <v>0</v>
      </c>
      <c r="W596" s="4">
        <v>51.27</v>
      </c>
      <c r="X596" s="4">
        <v>222.31</v>
      </c>
      <c r="Y596" s="4"/>
      <c r="Z596" s="4">
        <v>68.100184485116927</v>
      </c>
      <c r="AA596" s="4">
        <v>235.31351552243123</v>
      </c>
      <c r="AB596" s="4">
        <v>0</v>
      </c>
      <c r="AC596" s="4">
        <v>17884.41156</v>
      </c>
      <c r="AD596" s="4">
        <v>77547.952680000002</v>
      </c>
      <c r="AE596" s="4">
        <v>0</v>
      </c>
      <c r="AF596" s="4">
        <v>23755.251153574365</v>
      </c>
      <c r="AG596" s="4">
        <v>82083.942992658631</v>
      </c>
    </row>
    <row r="597" spans="1:33" ht="11.25" customHeight="1" x14ac:dyDescent="0.25">
      <c r="A597" s="3" t="s">
        <v>21</v>
      </c>
      <c r="B597" s="3" t="s">
        <v>41</v>
      </c>
      <c r="C597" s="3" t="s">
        <v>42</v>
      </c>
      <c r="D597" s="3" t="s">
        <v>43</v>
      </c>
      <c r="E597" s="3" t="s">
        <v>25</v>
      </c>
      <c r="F597" s="3" t="s">
        <v>25</v>
      </c>
      <c r="G597" s="3" t="s">
        <v>25</v>
      </c>
      <c r="H597" s="3" t="s">
        <v>35</v>
      </c>
      <c r="I597" s="6">
        <v>44287</v>
      </c>
      <c r="J597" s="4">
        <v>0</v>
      </c>
      <c r="K597" s="4">
        <v>0</v>
      </c>
      <c r="L597" s="4">
        <v>35.637999999999998</v>
      </c>
      <c r="M597" s="4">
        <v>35.637999999999998</v>
      </c>
      <c r="N597" s="4">
        <v>0</v>
      </c>
      <c r="O597" s="4">
        <v>0</v>
      </c>
      <c r="P597" s="4">
        <v>0</v>
      </c>
      <c r="Q597" s="3" t="s">
        <v>57</v>
      </c>
      <c r="R597" s="3">
        <v>0</v>
      </c>
      <c r="S597" s="4">
        <v>0</v>
      </c>
      <c r="T597" s="4">
        <v>21</v>
      </c>
      <c r="U597" s="4">
        <v>0</v>
      </c>
      <c r="V597" s="4">
        <v>0</v>
      </c>
      <c r="W597" s="4">
        <v>51.27</v>
      </c>
      <c r="X597" s="4">
        <v>0</v>
      </c>
      <c r="Y597" s="4"/>
      <c r="Z597" s="4">
        <v>68.100184485116927</v>
      </c>
      <c r="AA597" s="4"/>
      <c r="AB597" s="4">
        <v>0</v>
      </c>
      <c r="AC597" s="4">
        <v>1827.1602600000001</v>
      </c>
      <c r="AD597" s="4">
        <v>0</v>
      </c>
      <c r="AE597" s="4">
        <v>0</v>
      </c>
      <c r="AF597" s="4">
        <v>2426.9543746805971</v>
      </c>
      <c r="AG597" s="4">
        <v>0</v>
      </c>
    </row>
    <row r="598" spans="1:33" ht="11.25" customHeight="1" x14ac:dyDescent="0.25">
      <c r="A598" s="3" t="s">
        <v>21</v>
      </c>
      <c r="B598" s="3" t="s">
        <v>41</v>
      </c>
      <c r="C598" s="3" t="s">
        <v>42</v>
      </c>
      <c r="D598" s="3" t="s">
        <v>43</v>
      </c>
      <c r="E598" s="3" t="s">
        <v>25</v>
      </c>
      <c r="F598" s="3" t="s">
        <v>25</v>
      </c>
      <c r="G598" s="3" t="s">
        <v>25</v>
      </c>
      <c r="H598" s="3" t="s">
        <v>35</v>
      </c>
      <c r="I598" s="6">
        <v>44317</v>
      </c>
      <c r="J598" s="4">
        <v>0</v>
      </c>
      <c r="K598" s="4">
        <v>0</v>
      </c>
      <c r="L598" s="4">
        <v>8876.3790000000008</v>
      </c>
      <c r="M598" s="4">
        <v>8876.3790000000008</v>
      </c>
      <c r="N598" s="4">
        <v>8876.3790000000008</v>
      </c>
      <c r="O598" s="4">
        <v>8876.3790000000008</v>
      </c>
      <c r="P598" s="4">
        <v>0</v>
      </c>
      <c r="Q598" s="3" t="s">
        <v>26</v>
      </c>
      <c r="R598" s="3">
        <v>0</v>
      </c>
      <c r="S598" s="4">
        <v>0</v>
      </c>
      <c r="T598" s="4">
        <v>21</v>
      </c>
      <c r="U598" s="4">
        <v>89</v>
      </c>
      <c r="V598" s="4">
        <v>0</v>
      </c>
      <c r="W598" s="4">
        <v>51.27</v>
      </c>
      <c r="X598" s="4">
        <v>222.31</v>
      </c>
      <c r="Y598" s="4"/>
      <c r="Z598" s="4">
        <v>68.100184485116927</v>
      </c>
      <c r="AA598" s="4">
        <v>235.31351552243123</v>
      </c>
      <c r="AB598" s="4">
        <v>0</v>
      </c>
      <c r="AC598" s="4">
        <v>455091.95133000007</v>
      </c>
      <c r="AD598" s="4">
        <v>1973307.8154900002</v>
      </c>
      <c r="AE598" s="4">
        <v>0</v>
      </c>
      <c r="AF598" s="4">
        <v>604483.04745981772</v>
      </c>
      <c r="AG598" s="4">
        <v>2088731.9475994827</v>
      </c>
    </row>
    <row r="599" spans="1:33" ht="11.25" customHeight="1" x14ac:dyDescent="0.25">
      <c r="A599" s="3" t="s">
        <v>27</v>
      </c>
      <c r="B599" s="3" t="s">
        <v>41</v>
      </c>
      <c r="C599" s="3" t="s">
        <v>42</v>
      </c>
      <c r="D599" s="3" t="s">
        <v>43</v>
      </c>
      <c r="E599" s="3" t="s">
        <v>25</v>
      </c>
      <c r="F599" s="3" t="s">
        <v>25</v>
      </c>
      <c r="G599" s="3" t="s">
        <v>25</v>
      </c>
      <c r="H599" s="3" t="s">
        <v>35</v>
      </c>
      <c r="I599" s="6">
        <v>44317</v>
      </c>
      <c r="J599" s="4">
        <v>0</v>
      </c>
      <c r="K599" s="4">
        <v>0</v>
      </c>
      <c r="L599" s="4">
        <v>-34.24</v>
      </c>
      <c r="M599" s="4">
        <v>-34.24</v>
      </c>
      <c r="N599" s="4">
        <v>-34.24</v>
      </c>
      <c r="O599" s="4">
        <v>-34.24</v>
      </c>
      <c r="P599" s="4">
        <v>0</v>
      </c>
      <c r="Q599" s="3" t="s">
        <v>26</v>
      </c>
      <c r="R599" s="3">
        <v>0</v>
      </c>
      <c r="S599" s="4">
        <v>0</v>
      </c>
      <c r="T599" s="4">
        <v>21</v>
      </c>
      <c r="U599" s="4">
        <v>89</v>
      </c>
      <c r="V599" s="4">
        <v>0</v>
      </c>
      <c r="W599" s="4">
        <v>51.27</v>
      </c>
      <c r="X599" s="4">
        <v>222.31</v>
      </c>
      <c r="Y599" s="4"/>
      <c r="Z599" s="4">
        <v>68.100184485116927</v>
      </c>
      <c r="AA599" s="4">
        <v>235.31351552243123</v>
      </c>
      <c r="AB599" s="4">
        <v>0</v>
      </c>
      <c r="AC599" s="4">
        <v>-1755.4848000000002</v>
      </c>
      <c r="AD599" s="4">
        <v>-7611.8944000000001</v>
      </c>
      <c r="AE599" s="4">
        <v>0</v>
      </c>
      <c r="AF599" s="4">
        <v>-2331.7503167704035</v>
      </c>
      <c r="AG599" s="4">
        <v>-8057.1347714880458</v>
      </c>
    </row>
    <row r="600" spans="1:33" ht="11.25" customHeight="1" x14ac:dyDescent="0.25">
      <c r="A600" s="3" t="s">
        <v>28</v>
      </c>
      <c r="B600" s="3" t="s">
        <v>41</v>
      </c>
      <c r="C600" s="3" t="s">
        <v>42</v>
      </c>
      <c r="D600" s="3" t="s">
        <v>43</v>
      </c>
      <c r="E600" s="3" t="s">
        <v>25</v>
      </c>
      <c r="F600" s="3" t="s">
        <v>25</v>
      </c>
      <c r="G600" s="3" t="s">
        <v>25</v>
      </c>
      <c r="H600" s="3" t="s">
        <v>35</v>
      </c>
      <c r="I600" s="6">
        <v>44317</v>
      </c>
      <c r="J600" s="4">
        <v>0</v>
      </c>
      <c r="K600" s="4">
        <v>0</v>
      </c>
      <c r="L600" s="4">
        <v>338.375</v>
      </c>
      <c r="M600" s="4">
        <v>338.375</v>
      </c>
      <c r="N600" s="4">
        <v>338.375</v>
      </c>
      <c r="O600" s="4">
        <v>338.375</v>
      </c>
      <c r="P600" s="4">
        <v>0</v>
      </c>
      <c r="Q600" s="3" t="s">
        <v>26</v>
      </c>
      <c r="R600" s="3">
        <v>0</v>
      </c>
      <c r="S600" s="4">
        <v>0</v>
      </c>
      <c r="T600" s="4">
        <v>21</v>
      </c>
      <c r="U600" s="4">
        <v>89</v>
      </c>
      <c r="V600" s="4">
        <v>0</v>
      </c>
      <c r="W600" s="4">
        <v>51.27</v>
      </c>
      <c r="X600" s="4">
        <v>222.31</v>
      </c>
      <c r="Y600" s="4"/>
      <c r="Z600" s="4">
        <v>68.100184485116927</v>
      </c>
      <c r="AA600" s="4">
        <v>235.31351552243123</v>
      </c>
      <c r="AB600" s="4">
        <v>0</v>
      </c>
      <c r="AC600" s="4">
        <v>17348.486250000002</v>
      </c>
      <c r="AD600" s="4">
        <v>75224.146250000005</v>
      </c>
      <c r="AE600" s="4">
        <v>0</v>
      </c>
      <c r="AF600" s="4">
        <v>23043.39992515144</v>
      </c>
      <c r="AG600" s="4">
        <v>79624.210814902661</v>
      </c>
    </row>
    <row r="601" spans="1:33" ht="11.25" customHeight="1" x14ac:dyDescent="0.25">
      <c r="A601" s="3" t="s">
        <v>28</v>
      </c>
      <c r="B601" s="3" t="s">
        <v>41</v>
      </c>
      <c r="C601" s="3" t="s">
        <v>42</v>
      </c>
      <c r="D601" s="3" t="s">
        <v>43</v>
      </c>
      <c r="E601" s="3" t="s">
        <v>25</v>
      </c>
      <c r="F601" s="3" t="s">
        <v>25</v>
      </c>
      <c r="G601" s="3" t="s">
        <v>25</v>
      </c>
      <c r="H601" s="3" t="s">
        <v>35</v>
      </c>
      <c r="I601" s="6">
        <v>44317</v>
      </c>
      <c r="J601" s="4">
        <v>0</v>
      </c>
      <c r="K601" s="4">
        <v>0</v>
      </c>
      <c r="L601" s="4">
        <v>-4.3999999999999997E-2</v>
      </c>
      <c r="M601" s="4">
        <v>-4.3999999999999997E-2</v>
      </c>
      <c r="N601" s="4">
        <v>-4.3999999999999997E-2</v>
      </c>
      <c r="O601" s="4">
        <v>-4.3999999999999997E-2</v>
      </c>
      <c r="P601" s="4">
        <v>0</v>
      </c>
      <c r="Q601" s="3" t="s">
        <v>26</v>
      </c>
      <c r="R601" s="3">
        <v>0</v>
      </c>
      <c r="S601" s="4">
        <v>0</v>
      </c>
      <c r="T601" s="4">
        <v>21</v>
      </c>
      <c r="U601" s="4">
        <v>89</v>
      </c>
      <c r="V601" s="4">
        <v>0</v>
      </c>
      <c r="W601" s="4">
        <v>51.27</v>
      </c>
      <c r="X601" s="4">
        <v>222.31</v>
      </c>
      <c r="Y601" s="4"/>
      <c r="Z601" s="4">
        <v>68.100184485116927</v>
      </c>
      <c r="AA601" s="4">
        <v>235.31351552243123</v>
      </c>
      <c r="AB601" s="4">
        <v>0</v>
      </c>
      <c r="AC601" s="4">
        <v>-2.2558799999999999</v>
      </c>
      <c r="AD601" s="4">
        <v>-9.7816399999999994</v>
      </c>
      <c r="AE601" s="4">
        <v>0</v>
      </c>
      <c r="AF601" s="4">
        <v>-2.9964081173451445</v>
      </c>
      <c r="AG601" s="4">
        <v>-10.353794682986974</v>
      </c>
    </row>
    <row r="602" spans="1:33" ht="11.25" customHeight="1" x14ac:dyDescent="0.25">
      <c r="A602" s="3" t="s">
        <v>21</v>
      </c>
      <c r="B602" s="3" t="s">
        <v>41</v>
      </c>
      <c r="C602" s="3" t="s">
        <v>42</v>
      </c>
      <c r="D602" s="3" t="s">
        <v>43</v>
      </c>
      <c r="E602" s="3" t="s">
        <v>25</v>
      </c>
      <c r="F602" s="3" t="s">
        <v>25</v>
      </c>
      <c r="G602" s="3" t="s">
        <v>25</v>
      </c>
      <c r="H602" s="3" t="s">
        <v>35</v>
      </c>
      <c r="I602" s="6">
        <v>44317</v>
      </c>
      <c r="J602" s="4">
        <v>0</v>
      </c>
      <c r="K602" s="4">
        <v>0</v>
      </c>
      <c r="L602" s="4">
        <v>29.349</v>
      </c>
      <c r="M602" s="4">
        <v>29.349</v>
      </c>
      <c r="N602" s="4">
        <v>0</v>
      </c>
      <c r="O602" s="4">
        <v>0</v>
      </c>
      <c r="P602" s="4">
        <v>0</v>
      </c>
      <c r="Q602" s="3" t="s">
        <v>57</v>
      </c>
      <c r="R602" s="3">
        <v>0</v>
      </c>
      <c r="S602" s="4">
        <v>0</v>
      </c>
      <c r="T602" s="4">
        <v>21</v>
      </c>
      <c r="U602" s="4">
        <v>0</v>
      </c>
      <c r="V602" s="4">
        <v>0</v>
      </c>
      <c r="W602" s="4">
        <v>51.27</v>
      </c>
      <c r="X602" s="4">
        <v>0</v>
      </c>
      <c r="Y602" s="4"/>
      <c r="Z602" s="4">
        <v>68.100184485116927</v>
      </c>
      <c r="AA602" s="4"/>
      <c r="AB602" s="4">
        <v>0</v>
      </c>
      <c r="AC602" s="4">
        <v>1504.7232300000001</v>
      </c>
      <c r="AD602" s="4">
        <v>0</v>
      </c>
      <c r="AE602" s="4">
        <v>0</v>
      </c>
      <c r="AF602" s="4">
        <v>1998.6723144536968</v>
      </c>
      <c r="AG602" s="4">
        <v>0</v>
      </c>
    </row>
    <row r="603" spans="1:33" ht="11.25" customHeight="1" x14ac:dyDescent="0.25">
      <c r="A603" s="3" t="s">
        <v>21</v>
      </c>
      <c r="B603" s="3" t="s">
        <v>41</v>
      </c>
      <c r="C603" s="3" t="s">
        <v>42</v>
      </c>
      <c r="D603" s="3" t="s">
        <v>43</v>
      </c>
      <c r="E603" s="3" t="s">
        <v>25</v>
      </c>
      <c r="F603" s="3" t="s">
        <v>25</v>
      </c>
      <c r="G603" s="3" t="s">
        <v>25</v>
      </c>
      <c r="H603" s="3" t="s">
        <v>35</v>
      </c>
      <c r="I603" s="6">
        <v>44348</v>
      </c>
      <c r="J603" s="4">
        <v>0</v>
      </c>
      <c r="K603" s="4">
        <v>0</v>
      </c>
      <c r="L603" s="4">
        <v>8516.3060000000005</v>
      </c>
      <c r="M603" s="4">
        <v>8516.3060000000005</v>
      </c>
      <c r="N603" s="4">
        <v>8516.3060000000005</v>
      </c>
      <c r="O603" s="4">
        <v>8516.3060000000005</v>
      </c>
      <c r="P603" s="4">
        <v>0</v>
      </c>
      <c r="Q603" s="3" t="s">
        <v>26</v>
      </c>
      <c r="R603" s="3">
        <v>0</v>
      </c>
      <c r="S603" s="4">
        <v>0</v>
      </c>
      <c r="T603" s="4">
        <v>21</v>
      </c>
      <c r="U603" s="4">
        <v>89</v>
      </c>
      <c r="V603" s="4">
        <v>0</v>
      </c>
      <c r="W603" s="4">
        <v>51.27</v>
      </c>
      <c r="X603" s="4">
        <v>222.31</v>
      </c>
      <c r="Y603" s="4"/>
      <c r="Z603" s="4">
        <v>68.100184485116927</v>
      </c>
      <c r="AA603" s="4">
        <v>235.31351552243123</v>
      </c>
      <c r="AB603" s="4">
        <v>0</v>
      </c>
      <c r="AC603" s="4">
        <v>436631.00862000004</v>
      </c>
      <c r="AD603" s="4">
        <v>1893259.9868600001</v>
      </c>
      <c r="AE603" s="4">
        <v>0</v>
      </c>
      <c r="AF603" s="4">
        <v>579962.00973170821</v>
      </c>
      <c r="AG603" s="4">
        <v>2004001.9041247743</v>
      </c>
    </row>
    <row r="604" spans="1:33" ht="11.25" customHeight="1" x14ac:dyDescent="0.25">
      <c r="A604" s="3" t="s">
        <v>27</v>
      </c>
      <c r="B604" s="3" t="s">
        <v>41</v>
      </c>
      <c r="C604" s="3" t="s">
        <v>42</v>
      </c>
      <c r="D604" s="3" t="s">
        <v>43</v>
      </c>
      <c r="E604" s="3" t="s">
        <v>25</v>
      </c>
      <c r="F604" s="3" t="s">
        <v>25</v>
      </c>
      <c r="G604" s="3" t="s">
        <v>25</v>
      </c>
      <c r="H604" s="3" t="s">
        <v>35</v>
      </c>
      <c r="I604" s="6">
        <v>44348</v>
      </c>
      <c r="J604" s="4">
        <v>0</v>
      </c>
      <c r="K604" s="4">
        <v>0</v>
      </c>
      <c r="L604" s="4">
        <v>-39.581000000000003</v>
      </c>
      <c r="M604" s="4">
        <v>-39.581000000000003</v>
      </c>
      <c r="N604" s="4">
        <v>-39.581000000000003</v>
      </c>
      <c r="O604" s="4">
        <v>-39.581000000000003</v>
      </c>
      <c r="P604" s="4">
        <v>0</v>
      </c>
      <c r="Q604" s="3" t="s">
        <v>26</v>
      </c>
      <c r="R604" s="3">
        <v>0</v>
      </c>
      <c r="S604" s="4">
        <v>0</v>
      </c>
      <c r="T604" s="4">
        <v>21</v>
      </c>
      <c r="U604" s="4">
        <v>89</v>
      </c>
      <c r="V604" s="4">
        <v>0</v>
      </c>
      <c r="W604" s="4">
        <v>51.27</v>
      </c>
      <c r="X604" s="4">
        <v>222.31</v>
      </c>
      <c r="Y604" s="4"/>
      <c r="Z604" s="4">
        <v>68.100184485116927</v>
      </c>
      <c r="AA604" s="4">
        <v>235.31351552243123</v>
      </c>
      <c r="AB604" s="4">
        <v>0</v>
      </c>
      <c r="AC604" s="4">
        <v>-2029.3178700000003</v>
      </c>
      <c r="AD604" s="4">
        <v>-8799.2521100000013</v>
      </c>
      <c r="AE604" s="4">
        <v>0</v>
      </c>
      <c r="AF604" s="4">
        <v>-2695.4734021054132</v>
      </c>
      <c r="AG604" s="4">
        <v>-9313.9442578933522</v>
      </c>
    </row>
    <row r="605" spans="1:33" ht="11.25" customHeight="1" x14ac:dyDescent="0.25">
      <c r="A605" s="3" t="s">
        <v>28</v>
      </c>
      <c r="B605" s="3" t="s">
        <v>41</v>
      </c>
      <c r="C605" s="3" t="s">
        <v>42</v>
      </c>
      <c r="D605" s="3" t="s">
        <v>43</v>
      </c>
      <c r="E605" s="3" t="s">
        <v>25</v>
      </c>
      <c r="F605" s="3" t="s">
        <v>25</v>
      </c>
      <c r="G605" s="3" t="s">
        <v>25</v>
      </c>
      <c r="H605" s="3" t="s">
        <v>35</v>
      </c>
      <c r="I605" s="6">
        <v>44348</v>
      </c>
      <c r="J605" s="4">
        <v>0</v>
      </c>
      <c r="K605" s="4">
        <v>0</v>
      </c>
      <c r="L605" s="4">
        <v>290.19900000000001</v>
      </c>
      <c r="M605" s="4">
        <v>290.19900000000001</v>
      </c>
      <c r="N605" s="4">
        <v>290.19900000000001</v>
      </c>
      <c r="O605" s="4">
        <v>290.19900000000001</v>
      </c>
      <c r="P605" s="4">
        <v>0</v>
      </c>
      <c r="Q605" s="3" t="s">
        <v>26</v>
      </c>
      <c r="R605" s="3">
        <v>0</v>
      </c>
      <c r="S605" s="4">
        <v>0</v>
      </c>
      <c r="T605" s="4">
        <v>21</v>
      </c>
      <c r="U605" s="4">
        <v>89</v>
      </c>
      <c r="V605" s="4">
        <v>0</v>
      </c>
      <c r="W605" s="4">
        <v>51.27</v>
      </c>
      <c r="X605" s="4">
        <v>222.31</v>
      </c>
      <c r="Y605" s="4"/>
      <c r="Z605" s="4">
        <v>68.100184485116927</v>
      </c>
      <c r="AA605" s="4">
        <v>235.31351552243123</v>
      </c>
      <c r="AB605" s="4">
        <v>0</v>
      </c>
      <c r="AC605" s="4">
        <v>14878.502730000002</v>
      </c>
      <c r="AD605" s="4">
        <v>64514.139690000004</v>
      </c>
      <c r="AE605" s="4">
        <v>0</v>
      </c>
      <c r="AF605" s="4">
        <v>19762.605437396447</v>
      </c>
      <c r="AG605" s="4">
        <v>68287.746891094022</v>
      </c>
    </row>
    <row r="606" spans="1:33" ht="11.25" customHeight="1" x14ac:dyDescent="0.25">
      <c r="A606" s="3" t="s">
        <v>21</v>
      </c>
      <c r="B606" s="3" t="s">
        <v>41</v>
      </c>
      <c r="C606" s="3" t="s">
        <v>42</v>
      </c>
      <c r="D606" s="3" t="s">
        <v>43</v>
      </c>
      <c r="E606" s="3" t="s">
        <v>25</v>
      </c>
      <c r="F606" s="3" t="s">
        <v>25</v>
      </c>
      <c r="G606" s="3" t="s">
        <v>25</v>
      </c>
      <c r="H606" s="3" t="s">
        <v>35</v>
      </c>
      <c r="I606" s="6">
        <v>44348</v>
      </c>
      <c r="J606" s="4">
        <v>0</v>
      </c>
      <c r="K606" s="4">
        <v>0</v>
      </c>
      <c r="L606" s="4">
        <v>30.608000000000001</v>
      </c>
      <c r="M606" s="4">
        <v>30.608000000000001</v>
      </c>
      <c r="N606" s="4">
        <v>0</v>
      </c>
      <c r="O606" s="4">
        <v>0</v>
      </c>
      <c r="P606" s="4">
        <v>0</v>
      </c>
      <c r="Q606" s="3" t="s">
        <v>57</v>
      </c>
      <c r="R606" s="3">
        <v>0</v>
      </c>
      <c r="S606" s="4">
        <v>0</v>
      </c>
      <c r="T606" s="4">
        <v>21</v>
      </c>
      <c r="U606" s="4">
        <v>0</v>
      </c>
      <c r="V606" s="4">
        <v>0</v>
      </c>
      <c r="W606" s="4">
        <v>51.27</v>
      </c>
      <c r="X606" s="4">
        <v>0</v>
      </c>
      <c r="Y606" s="4"/>
      <c r="Z606" s="4">
        <v>68.100184485116927</v>
      </c>
      <c r="AA606" s="4"/>
      <c r="AB606" s="4">
        <v>0</v>
      </c>
      <c r="AC606" s="4">
        <v>1569.2721600000002</v>
      </c>
      <c r="AD606" s="4">
        <v>0</v>
      </c>
      <c r="AE606" s="4">
        <v>0</v>
      </c>
      <c r="AF606" s="4">
        <v>2084.4104467204588</v>
      </c>
      <c r="AG606" s="4">
        <v>0</v>
      </c>
    </row>
    <row r="607" spans="1:33" ht="11.25" customHeight="1" x14ac:dyDescent="0.25">
      <c r="A607" s="3" t="s">
        <v>21</v>
      </c>
      <c r="B607" s="3" t="s">
        <v>41</v>
      </c>
      <c r="C607" s="3" t="s">
        <v>42</v>
      </c>
      <c r="D607" s="3" t="s">
        <v>43</v>
      </c>
      <c r="E607" s="3" t="s">
        <v>25</v>
      </c>
      <c r="F607" s="3" t="s">
        <v>25</v>
      </c>
      <c r="G607" s="3" t="s">
        <v>25</v>
      </c>
      <c r="H607" s="3" t="s">
        <v>35</v>
      </c>
      <c r="I607" s="6">
        <v>44378</v>
      </c>
      <c r="J607" s="4">
        <v>0</v>
      </c>
      <c r="K607" s="4">
        <v>0</v>
      </c>
      <c r="L607" s="4">
        <v>8417.9490000000005</v>
      </c>
      <c r="M607" s="4">
        <v>8417.9490000000005</v>
      </c>
      <c r="N607" s="4">
        <v>8417.9490000000005</v>
      </c>
      <c r="O607" s="4">
        <v>8417.9490000000005</v>
      </c>
      <c r="P607" s="4">
        <v>0</v>
      </c>
      <c r="Q607" s="3" t="s">
        <v>26</v>
      </c>
      <c r="R607" s="3">
        <v>0</v>
      </c>
      <c r="S607" s="4">
        <v>0</v>
      </c>
      <c r="T607" s="4">
        <v>21</v>
      </c>
      <c r="U607" s="4">
        <v>89</v>
      </c>
      <c r="V607" s="4">
        <v>0</v>
      </c>
      <c r="W607" s="4">
        <v>51.27</v>
      </c>
      <c r="X607" s="4">
        <v>222.31</v>
      </c>
      <c r="Y607" s="4"/>
      <c r="Z607" s="4">
        <v>68.100184485116927</v>
      </c>
      <c r="AA607" s="4">
        <v>235.31351552243123</v>
      </c>
      <c r="AB607" s="4">
        <v>0</v>
      </c>
      <c r="AC607" s="4">
        <v>431588.24523000006</v>
      </c>
      <c r="AD607" s="4">
        <v>1871394.2421900001</v>
      </c>
      <c r="AE607" s="4">
        <v>0</v>
      </c>
      <c r="AF607" s="4">
        <v>573263.87988630554</v>
      </c>
      <c r="AG607" s="4">
        <v>1980857.1726785346</v>
      </c>
    </row>
    <row r="608" spans="1:33" ht="11.25" customHeight="1" x14ac:dyDescent="0.25">
      <c r="A608" s="3" t="s">
        <v>27</v>
      </c>
      <c r="B608" s="3" t="s">
        <v>41</v>
      </c>
      <c r="C608" s="3" t="s">
        <v>42</v>
      </c>
      <c r="D608" s="3" t="s">
        <v>43</v>
      </c>
      <c r="E608" s="3" t="s">
        <v>25</v>
      </c>
      <c r="F608" s="3" t="s">
        <v>25</v>
      </c>
      <c r="G608" s="3" t="s">
        <v>25</v>
      </c>
      <c r="H608" s="3" t="s">
        <v>35</v>
      </c>
      <c r="I608" s="6">
        <v>44378</v>
      </c>
      <c r="J608" s="4">
        <v>0</v>
      </c>
      <c r="K608" s="4">
        <v>0</v>
      </c>
      <c r="L608" s="4">
        <v>15.087999999999999</v>
      </c>
      <c r="M608" s="4">
        <v>15.087999999999999</v>
      </c>
      <c r="N608" s="4">
        <v>15.087999999999999</v>
      </c>
      <c r="O608" s="4">
        <v>15.087999999999999</v>
      </c>
      <c r="P608" s="4">
        <v>0</v>
      </c>
      <c r="Q608" s="3" t="s">
        <v>26</v>
      </c>
      <c r="R608" s="3">
        <v>0</v>
      </c>
      <c r="S608" s="4">
        <v>0</v>
      </c>
      <c r="T608" s="4">
        <v>21</v>
      </c>
      <c r="U608" s="4">
        <v>89</v>
      </c>
      <c r="V608" s="4">
        <v>0</v>
      </c>
      <c r="W608" s="4">
        <v>51.27</v>
      </c>
      <c r="X608" s="4">
        <v>222.31</v>
      </c>
      <c r="Y608" s="4"/>
      <c r="Z608" s="4">
        <v>68.100184485116927</v>
      </c>
      <c r="AA608" s="4">
        <v>235.31351552243123</v>
      </c>
      <c r="AB608" s="4">
        <v>0</v>
      </c>
      <c r="AC608" s="4">
        <v>773.56176000000005</v>
      </c>
      <c r="AD608" s="4">
        <v>3354.2132799999999</v>
      </c>
      <c r="AE608" s="4">
        <v>0</v>
      </c>
      <c r="AF608" s="4">
        <v>1027.4955835114442</v>
      </c>
      <c r="AG608" s="4">
        <v>3550.4103222024423</v>
      </c>
    </row>
    <row r="609" spans="1:33" ht="11.25" customHeight="1" x14ac:dyDescent="0.25">
      <c r="A609" s="3" t="s">
        <v>28</v>
      </c>
      <c r="B609" s="3" t="s">
        <v>41</v>
      </c>
      <c r="C609" s="3" t="s">
        <v>42</v>
      </c>
      <c r="D609" s="3" t="s">
        <v>43</v>
      </c>
      <c r="E609" s="3" t="s">
        <v>25</v>
      </c>
      <c r="F609" s="3" t="s">
        <v>25</v>
      </c>
      <c r="G609" s="3" t="s">
        <v>25</v>
      </c>
      <c r="H609" s="3" t="s">
        <v>35</v>
      </c>
      <c r="I609" s="6">
        <v>44378</v>
      </c>
      <c r="J609" s="4">
        <v>0</v>
      </c>
      <c r="K609" s="4">
        <v>0</v>
      </c>
      <c r="L609" s="4">
        <v>301.976</v>
      </c>
      <c r="M609" s="4">
        <v>301.976</v>
      </c>
      <c r="N609" s="4">
        <v>301.976</v>
      </c>
      <c r="O609" s="4">
        <v>301.976</v>
      </c>
      <c r="P609" s="4">
        <v>0</v>
      </c>
      <c r="Q609" s="3" t="s">
        <v>26</v>
      </c>
      <c r="R609" s="3">
        <v>0</v>
      </c>
      <c r="S609" s="4">
        <v>0</v>
      </c>
      <c r="T609" s="4">
        <v>21</v>
      </c>
      <c r="U609" s="4">
        <v>89</v>
      </c>
      <c r="V609" s="4">
        <v>0</v>
      </c>
      <c r="W609" s="4">
        <v>51.27</v>
      </c>
      <c r="X609" s="4">
        <v>222.31</v>
      </c>
      <c r="Y609" s="4"/>
      <c r="Z609" s="4">
        <v>68.100184485116927</v>
      </c>
      <c r="AA609" s="4">
        <v>235.31351552243123</v>
      </c>
      <c r="AB609" s="4">
        <v>0</v>
      </c>
      <c r="AC609" s="4">
        <v>15482.309520000001</v>
      </c>
      <c r="AD609" s="4">
        <v>67132.28456</v>
      </c>
      <c r="AE609" s="4">
        <v>0</v>
      </c>
      <c r="AF609" s="4">
        <v>20564.621310077669</v>
      </c>
      <c r="AG609" s="4">
        <v>71059.034163401695</v>
      </c>
    </row>
    <row r="610" spans="1:33" ht="11.25" customHeight="1" x14ac:dyDescent="0.25">
      <c r="A610" s="3" t="s">
        <v>21</v>
      </c>
      <c r="B610" s="3" t="s">
        <v>41</v>
      </c>
      <c r="C610" s="3" t="s">
        <v>42</v>
      </c>
      <c r="D610" s="3" t="s">
        <v>43</v>
      </c>
      <c r="E610" s="3" t="s">
        <v>25</v>
      </c>
      <c r="F610" s="3" t="s">
        <v>25</v>
      </c>
      <c r="G610" s="3" t="s">
        <v>25</v>
      </c>
      <c r="H610" s="3" t="s">
        <v>35</v>
      </c>
      <c r="I610" s="6">
        <v>44378</v>
      </c>
      <c r="J610" s="4">
        <v>0</v>
      </c>
      <c r="K610" s="4">
        <v>0</v>
      </c>
      <c r="L610" s="4">
        <v>221.518</v>
      </c>
      <c r="M610" s="4">
        <v>221.518</v>
      </c>
      <c r="N610" s="4">
        <v>0</v>
      </c>
      <c r="O610" s="4">
        <v>0</v>
      </c>
      <c r="P610" s="4">
        <v>0</v>
      </c>
      <c r="Q610" s="3" t="s">
        <v>57</v>
      </c>
      <c r="R610" s="3">
        <v>0</v>
      </c>
      <c r="S610" s="4">
        <v>0</v>
      </c>
      <c r="T610" s="4">
        <v>21</v>
      </c>
      <c r="U610" s="4">
        <v>0</v>
      </c>
      <c r="V610" s="4">
        <v>0</v>
      </c>
      <c r="W610" s="4">
        <v>51.27</v>
      </c>
      <c r="X610" s="4">
        <v>0</v>
      </c>
      <c r="Y610" s="4"/>
      <c r="Z610" s="4">
        <v>68.100184485116927</v>
      </c>
      <c r="AA610" s="4"/>
      <c r="AB610" s="4">
        <v>0</v>
      </c>
      <c r="AC610" s="4">
        <v>11357.227860000001</v>
      </c>
      <c r="AD610" s="4">
        <v>0</v>
      </c>
      <c r="AE610" s="4">
        <v>0</v>
      </c>
      <c r="AF610" s="4">
        <v>15085.416666774132</v>
      </c>
      <c r="AG610" s="4">
        <v>0</v>
      </c>
    </row>
    <row r="611" spans="1:33" ht="11.25" customHeight="1" x14ac:dyDescent="0.25">
      <c r="A611" s="3" t="s">
        <v>21</v>
      </c>
      <c r="B611" s="3" t="s">
        <v>41</v>
      </c>
      <c r="C611" s="3" t="s">
        <v>42</v>
      </c>
      <c r="D611" s="3" t="s">
        <v>43</v>
      </c>
      <c r="E611" s="3" t="s">
        <v>25</v>
      </c>
      <c r="F611" s="3" t="s">
        <v>25</v>
      </c>
      <c r="G611" s="3" t="s">
        <v>25</v>
      </c>
      <c r="H611" s="3" t="s">
        <v>35</v>
      </c>
      <c r="I611" s="6">
        <v>44409</v>
      </c>
      <c r="J611" s="4">
        <v>0</v>
      </c>
      <c r="K611" s="4">
        <v>0</v>
      </c>
      <c r="L611" s="4">
        <v>8871.4429999999993</v>
      </c>
      <c r="M611" s="4">
        <v>8871.4429999999993</v>
      </c>
      <c r="N611" s="4">
        <v>8871.4429999999993</v>
      </c>
      <c r="O611" s="4">
        <v>8871.4429999999993</v>
      </c>
      <c r="P611" s="4">
        <v>0</v>
      </c>
      <c r="Q611" s="3" t="s">
        <v>26</v>
      </c>
      <c r="R611" s="3">
        <v>0</v>
      </c>
      <c r="S611" s="4">
        <v>0</v>
      </c>
      <c r="T611" s="4">
        <v>21</v>
      </c>
      <c r="U611" s="4">
        <v>89</v>
      </c>
      <c r="V611" s="4">
        <v>0</v>
      </c>
      <c r="W611" s="4">
        <v>51.27</v>
      </c>
      <c r="X611" s="4">
        <v>222.31</v>
      </c>
      <c r="Y611" s="4"/>
      <c r="Z611" s="4">
        <v>68.100184485116927</v>
      </c>
      <c r="AA611" s="4">
        <v>235.31351552243123</v>
      </c>
      <c r="AB611" s="4">
        <v>0</v>
      </c>
      <c r="AC611" s="4">
        <v>454838.88260999997</v>
      </c>
      <c r="AD611" s="4">
        <v>1972210.49333</v>
      </c>
      <c r="AE611" s="4">
        <v>0</v>
      </c>
      <c r="AF611" s="4">
        <v>604146.90494919906</v>
      </c>
      <c r="AG611" s="4">
        <v>2087570.4400868637</v>
      </c>
    </row>
    <row r="612" spans="1:33" ht="11.25" customHeight="1" x14ac:dyDescent="0.25">
      <c r="A612" s="3" t="s">
        <v>28</v>
      </c>
      <c r="B612" s="3" t="s">
        <v>41</v>
      </c>
      <c r="C612" s="3" t="s">
        <v>42</v>
      </c>
      <c r="D612" s="3" t="s">
        <v>43</v>
      </c>
      <c r="E612" s="3" t="s">
        <v>25</v>
      </c>
      <c r="F612" s="3" t="s">
        <v>25</v>
      </c>
      <c r="G612" s="3" t="s">
        <v>25</v>
      </c>
      <c r="H612" s="3" t="s">
        <v>35</v>
      </c>
      <c r="I612" s="6">
        <v>44409</v>
      </c>
      <c r="J612" s="4">
        <v>0</v>
      </c>
      <c r="K612" s="4">
        <v>0</v>
      </c>
      <c r="L612" s="4">
        <v>305.15800000000002</v>
      </c>
      <c r="M612" s="4">
        <v>305.15800000000002</v>
      </c>
      <c r="N612" s="4">
        <v>305.15800000000002</v>
      </c>
      <c r="O612" s="4">
        <v>305.15800000000002</v>
      </c>
      <c r="P612" s="4">
        <v>0</v>
      </c>
      <c r="Q612" s="3" t="s">
        <v>26</v>
      </c>
      <c r="R612" s="3">
        <v>0</v>
      </c>
      <c r="S612" s="4">
        <v>0</v>
      </c>
      <c r="T612" s="4">
        <v>21</v>
      </c>
      <c r="U612" s="4">
        <v>89</v>
      </c>
      <c r="V612" s="4">
        <v>0</v>
      </c>
      <c r="W612" s="4">
        <v>51.27</v>
      </c>
      <c r="X612" s="4">
        <v>222.31</v>
      </c>
      <c r="Y612" s="4"/>
      <c r="Z612" s="4">
        <v>68.100184485116927</v>
      </c>
      <c r="AA612" s="4">
        <v>235.31351552243123</v>
      </c>
      <c r="AB612" s="4">
        <v>0</v>
      </c>
      <c r="AC612" s="4">
        <v>15645.450660000002</v>
      </c>
      <c r="AD612" s="4">
        <v>67839.674980000011</v>
      </c>
      <c r="AE612" s="4">
        <v>0</v>
      </c>
      <c r="AF612" s="4">
        <v>20781.316097109313</v>
      </c>
      <c r="AG612" s="4">
        <v>71807.801769794067</v>
      </c>
    </row>
    <row r="613" spans="1:33" ht="11.25" customHeight="1" x14ac:dyDescent="0.25">
      <c r="A613" s="3" t="s">
        <v>28</v>
      </c>
      <c r="B613" s="3" t="s">
        <v>41</v>
      </c>
      <c r="C613" s="3" t="s">
        <v>42</v>
      </c>
      <c r="D613" s="3" t="s">
        <v>43</v>
      </c>
      <c r="E613" s="3" t="s">
        <v>25</v>
      </c>
      <c r="F613" s="3" t="s">
        <v>25</v>
      </c>
      <c r="G613" s="3" t="s">
        <v>25</v>
      </c>
      <c r="H613" s="3" t="s">
        <v>35</v>
      </c>
      <c r="I613" s="6">
        <v>44409</v>
      </c>
      <c r="J613" s="4">
        <v>0</v>
      </c>
      <c r="K613" s="4">
        <v>0</v>
      </c>
      <c r="L613" s="4">
        <v>0.38600000000000001</v>
      </c>
      <c r="M613" s="4">
        <v>0.38600000000000001</v>
      </c>
      <c r="N613" s="4">
        <v>0.38600000000000001</v>
      </c>
      <c r="O613" s="4">
        <v>0.38600000000000001</v>
      </c>
      <c r="P613" s="4">
        <v>0</v>
      </c>
      <c r="Q613" s="3" t="s">
        <v>26</v>
      </c>
      <c r="R613" s="3">
        <v>0</v>
      </c>
      <c r="S613" s="4">
        <v>0</v>
      </c>
      <c r="T613" s="4">
        <v>21</v>
      </c>
      <c r="U613" s="4">
        <v>89</v>
      </c>
      <c r="V613" s="4">
        <v>0</v>
      </c>
      <c r="W613" s="4">
        <v>51.27</v>
      </c>
      <c r="X613" s="4">
        <v>222.31</v>
      </c>
      <c r="Y613" s="4"/>
      <c r="Z613" s="4">
        <v>68.100184485116927</v>
      </c>
      <c r="AA613" s="4">
        <v>235.31351552243123</v>
      </c>
      <c r="AB613" s="4">
        <v>0</v>
      </c>
      <c r="AC613" s="4">
        <v>19.790220000000001</v>
      </c>
      <c r="AD613" s="4">
        <v>85.811660000000003</v>
      </c>
      <c r="AE613" s="4">
        <v>0</v>
      </c>
      <c r="AF613" s="4">
        <v>26.286671211255133</v>
      </c>
      <c r="AG613" s="4">
        <v>90.831016991658458</v>
      </c>
    </row>
    <row r="614" spans="1:33" ht="11.25" customHeight="1" x14ac:dyDescent="0.25">
      <c r="A614" s="3" t="s">
        <v>21</v>
      </c>
      <c r="B614" s="3" t="s">
        <v>41</v>
      </c>
      <c r="C614" s="3" t="s">
        <v>42</v>
      </c>
      <c r="D614" s="3" t="s">
        <v>43</v>
      </c>
      <c r="E614" s="3" t="s">
        <v>25</v>
      </c>
      <c r="F614" s="3" t="s">
        <v>25</v>
      </c>
      <c r="G614" s="3" t="s">
        <v>25</v>
      </c>
      <c r="H614" s="3" t="s">
        <v>35</v>
      </c>
      <c r="I614" s="6">
        <v>44409</v>
      </c>
      <c r="J614" s="4">
        <v>0</v>
      </c>
      <c r="K614" s="4">
        <v>0</v>
      </c>
      <c r="L614" s="4">
        <v>531.10900000000004</v>
      </c>
      <c r="M614" s="4">
        <v>531.10900000000004</v>
      </c>
      <c r="N614" s="4">
        <v>0</v>
      </c>
      <c r="O614" s="4">
        <v>0</v>
      </c>
      <c r="P614" s="4">
        <v>0</v>
      </c>
      <c r="Q614" s="3" t="s">
        <v>57</v>
      </c>
      <c r="R614" s="3">
        <v>0</v>
      </c>
      <c r="S614" s="4">
        <v>0</v>
      </c>
      <c r="T614" s="4">
        <v>21</v>
      </c>
      <c r="U614" s="4">
        <v>0</v>
      </c>
      <c r="V614" s="4">
        <v>0</v>
      </c>
      <c r="W614" s="4">
        <v>51.27</v>
      </c>
      <c r="X614" s="4">
        <v>0</v>
      </c>
      <c r="Y614" s="4"/>
      <c r="Z614" s="4">
        <v>68.100184485116927</v>
      </c>
      <c r="AA614" s="4"/>
      <c r="AB614" s="4">
        <v>0</v>
      </c>
      <c r="AC614" s="4">
        <v>27229.958430000002</v>
      </c>
      <c r="AD614" s="4">
        <v>0</v>
      </c>
      <c r="AE614" s="4">
        <v>0</v>
      </c>
      <c r="AF614" s="4">
        <v>36168.620881705967</v>
      </c>
      <c r="AG614" s="4">
        <v>0</v>
      </c>
    </row>
    <row r="615" spans="1:33" ht="11.25" customHeight="1" x14ac:dyDescent="0.25">
      <c r="A615" s="3" t="s">
        <v>21</v>
      </c>
      <c r="B615" s="3" t="s">
        <v>41</v>
      </c>
      <c r="C615" s="3" t="s">
        <v>42</v>
      </c>
      <c r="D615" s="3" t="s">
        <v>43</v>
      </c>
      <c r="E615" s="3" t="s">
        <v>25</v>
      </c>
      <c r="F615" s="3" t="s">
        <v>25</v>
      </c>
      <c r="G615" s="3" t="s">
        <v>25</v>
      </c>
      <c r="H615" s="3" t="s">
        <v>35</v>
      </c>
      <c r="I615" s="6">
        <v>44440</v>
      </c>
      <c r="J615" s="4">
        <v>0</v>
      </c>
      <c r="K615" s="4">
        <v>0</v>
      </c>
      <c r="L615" s="4">
        <v>9213.8379999999997</v>
      </c>
      <c r="M615" s="4">
        <v>9213.8379999999997</v>
      </c>
      <c r="N615" s="4">
        <v>9213.8379999999997</v>
      </c>
      <c r="O615" s="4">
        <v>9213.8379999999997</v>
      </c>
      <c r="P615" s="4">
        <v>0</v>
      </c>
      <c r="Q615" s="3" t="s">
        <v>26</v>
      </c>
      <c r="R615" s="3">
        <v>0</v>
      </c>
      <c r="S615" s="4">
        <v>0</v>
      </c>
      <c r="T615" s="4">
        <v>21</v>
      </c>
      <c r="U615" s="4">
        <v>89</v>
      </c>
      <c r="V615" s="4">
        <v>0</v>
      </c>
      <c r="W615" s="4">
        <v>51.27</v>
      </c>
      <c r="X615" s="4">
        <v>222.31</v>
      </c>
      <c r="Y615" s="4"/>
      <c r="Z615" s="4">
        <v>68.100184485116927</v>
      </c>
      <c r="AA615" s="4">
        <v>235.31351552243123</v>
      </c>
      <c r="AB615" s="4">
        <v>0</v>
      </c>
      <c r="AC615" s="4">
        <v>472393.47425999999</v>
      </c>
      <c r="AD615" s="4">
        <v>2048328.3257800001</v>
      </c>
      <c r="AE615" s="4">
        <v>0</v>
      </c>
      <c r="AF615" s="4">
        <v>627464.06761598075</v>
      </c>
      <c r="AG615" s="4">
        <v>2168140.6112341667</v>
      </c>
    </row>
    <row r="616" spans="1:33" ht="11.25" customHeight="1" x14ac:dyDescent="0.25">
      <c r="A616" s="3" t="s">
        <v>28</v>
      </c>
      <c r="B616" s="3" t="s">
        <v>41</v>
      </c>
      <c r="C616" s="3" t="s">
        <v>42</v>
      </c>
      <c r="D616" s="3" t="s">
        <v>43</v>
      </c>
      <c r="E616" s="3" t="s">
        <v>25</v>
      </c>
      <c r="F616" s="3" t="s">
        <v>25</v>
      </c>
      <c r="G616" s="3" t="s">
        <v>25</v>
      </c>
      <c r="H616" s="3" t="s">
        <v>35</v>
      </c>
      <c r="I616" s="6">
        <v>44440</v>
      </c>
      <c r="J616" s="4">
        <v>0</v>
      </c>
      <c r="K616" s="4">
        <v>0</v>
      </c>
      <c r="L616" s="4">
        <v>421.5</v>
      </c>
      <c r="M616" s="4">
        <v>421.5</v>
      </c>
      <c r="N616" s="4">
        <v>421.5</v>
      </c>
      <c r="O616" s="4">
        <v>421.5</v>
      </c>
      <c r="P616" s="4">
        <v>0</v>
      </c>
      <c r="Q616" s="3" t="s">
        <v>26</v>
      </c>
      <c r="R616" s="3">
        <v>0</v>
      </c>
      <c r="S616" s="4">
        <v>0</v>
      </c>
      <c r="T616" s="4">
        <v>21</v>
      </c>
      <c r="U616" s="4">
        <v>89</v>
      </c>
      <c r="V616" s="4">
        <v>0</v>
      </c>
      <c r="W616" s="4">
        <v>51.27</v>
      </c>
      <c r="X616" s="4">
        <v>222.31</v>
      </c>
      <c r="Y616" s="4"/>
      <c r="Z616" s="4">
        <v>68.100184485116927</v>
      </c>
      <c r="AA616" s="4">
        <v>235.31351552243123</v>
      </c>
      <c r="AB616" s="4">
        <v>0</v>
      </c>
      <c r="AC616" s="4">
        <v>21610.305</v>
      </c>
      <c r="AD616" s="4">
        <v>93703.665000000008</v>
      </c>
      <c r="AE616" s="4">
        <v>0</v>
      </c>
      <c r="AF616" s="4">
        <v>28704.227760476784</v>
      </c>
      <c r="AG616" s="4">
        <v>99184.646792704763</v>
      </c>
    </row>
    <row r="617" spans="1:33" ht="11.25" customHeight="1" x14ac:dyDescent="0.25">
      <c r="A617" s="3" t="s">
        <v>21</v>
      </c>
      <c r="B617" s="3" t="s">
        <v>41</v>
      </c>
      <c r="C617" s="3" t="s">
        <v>42</v>
      </c>
      <c r="D617" s="3" t="s">
        <v>43</v>
      </c>
      <c r="E617" s="3" t="s">
        <v>25</v>
      </c>
      <c r="F617" s="3" t="s">
        <v>25</v>
      </c>
      <c r="G617" s="3" t="s">
        <v>25</v>
      </c>
      <c r="H617" s="3" t="s">
        <v>35</v>
      </c>
      <c r="I617" s="6">
        <v>44440</v>
      </c>
      <c r="J617" s="4">
        <v>0</v>
      </c>
      <c r="K617" s="4">
        <v>0</v>
      </c>
      <c r="L617" s="4">
        <v>261.51400000000001</v>
      </c>
      <c r="M617" s="4">
        <v>261.51400000000001</v>
      </c>
      <c r="N617" s="4">
        <v>0</v>
      </c>
      <c r="O617" s="4">
        <v>0</v>
      </c>
      <c r="P617" s="4">
        <v>0</v>
      </c>
      <c r="Q617" s="3" t="s">
        <v>57</v>
      </c>
      <c r="R617" s="3">
        <v>0</v>
      </c>
      <c r="S617" s="4">
        <v>0</v>
      </c>
      <c r="T617" s="4">
        <v>21</v>
      </c>
      <c r="U617" s="4">
        <v>0</v>
      </c>
      <c r="V617" s="4">
        <v>0</v>
      </c>
      <c r="W617" s="4">
        <v>51.27</v>
      </c>
      <c r="X617" s="4">
        <v>0</v>
      </c>
      <c r="Y617" s="4"/>
      <c r="Z617" s="4">
        <v>68.100184485116927</v>
      </c>
      <c r="AA617" s="4"/>
      <c r="AB617" s="4">
        <v>0</v>
      </c>
      <c r="AC617" s="4">
        <v>13407.822780000002</v>
      </c>
      <c r="AD617" s="4">
        <v>0</v>
      </c>
      <c r="AE617" s="4">
        <v>0</v>
      </c>
      <c r="AF617" s="4">
        <v>17809.15164544087</v>
      </c>
      <c r="AG617" s="4">
        <v>0</v>
      </c>
    </row>
    <row r="618" spans="1:33" ht="11.25" customHeight="1" x14ac:dyDescent="0.25">
      <c r="A618" s="3" t="s">
        <v>21</v>
      </c>
      <c r="B618" s="3" t="s">
        <v>41</v>
      </c>
      <c r="C618" s="3" t="s">
        <v>42</v>
      </c>
      <c r="D618" s="3" t="s">
        <v>43</v>
      </c>
      <c r="E618" s="3" t="s">
        <v>25</v>
      </c>
      <c r="F618" s="3" t="s">
        <v>25</v>
      </c>
      <c r="G618" s="3" t="s">
        <v>25</v>
      </c>
      <c r="H618" s="3" t="s">
        <v>35</v>
      </c>
      <c r="I618" s="6">
        <v>44470</v>
      </c>
      <c r="J618" s="4">
        <v>0</v>
      </c>
      <c r="K618" s="4">
        <v>0</v>
      </c>
      <c r="L618" s="4">
        <v>9708.741</v>
      </c>
      <c r="M618" s="4">
        <v>9708.741</v>
      </c>
      <c r="N618" s="4">
        <v>9708.741</v>
      </c>
      <c r="O618" s="4">
        <v>9708.741</v>
      </c>
      <c r="P618" s="4">
        <v>0</v>
      </c>
      <c r="Q618" s="3" t="s">
        <v>26</v>
      </c>
      <c r="R618" s="3">
        <v>0</v>
      </c>
      <c r="S618" s="4">
        <v>0</v>
      </c>
      <c r="T618" s="4">
        <v>21</v>
      </c>
      <c r="U618" s="4">
        <v>89</v>
      </c>
      <c r="V618" s="4">
        <v>0</v>
      </c>
      <c r="W618" s="4">
        <v>51.27</v>
      </c>
      <c r="X618" s="4">
        <v>222.31</v>
      </c>
      <c r="Y618" s="4"/>
      <c r="Z618" s="4">
        <v>68.100184485116927</v>
      </c>
      <c r="AA618" s="4">
        <v>235.31351552243123</v>
      </c>
      <c r="AB618" s="4">
        <v>0</v>
      </c>
      <c r="AC618" s="4">
        <v>497767.15107000002</v>
      </c>
      <c r="AD618" s="4">
        <v>2158350.2117099999</v>
      </c>
      <c r="AE618" s="4">
        <v>0</v>
      </c>
      <c r="AF618" s="4">
        <v>661167.05321821861</v>
      </c>
      <c r="AG618" s="4">
        <v>2284597.9760067645</v>
      </c>
    </row>
    <row r="619" spans="1:33" ht="11.25" customHeight="1" x14ac:dyDescent="0.25">
      <c r="A619" s="3" t="s">
        <v>28</v>
      </c>
      <c r="B619" s="3" t="s">
        <v>41</v>
      </c>
      <c r="C619" s="3" t="s">
        <v>42</v>
      </c>
      <c r="D619" s="3" t="s">
        <v>43</v>
      </c>
      <c r="E619" s="3" t="s">
        <v>25</v>
      </c>
      <c r="F619" s="3" t="s">
        <v>25</v>
      </c>
      <c r="G619" s="3" t="s">
        <v>25</v>
      </c>
      <c r="H619" s="3" t="s">
        <v>35</v>
      </c>
      <c r="I619" s="6">
        <v>44470</v>
      </c>
      <c r="J619" s="4">
        <v>0</v>
      </c>
      <c r="K619" s="4">
        <v>0</v>
      </c>
      <c r="L619" s="4">
        <v>429.31799999999998</v>
      </c>
      <c r="M619" s="4">
        <v>429.31799999999998</v>
      </c>
      <c r="N619" s="4">
        <v>429.31799999999998</v>
      </c>
      <c r="O619" s="4">
        <v>429.31799999999998</v>
      </c>
      <c r="P619" s="4">
        <v>0</v>
      </c>
      <c r="Q619" s="3" t="s">
        <v>26</v>
      </c>
      <c r="R619" s="3">
        <v>0</v>
      </c>
      <c r="S619" s="4">
        <v>0</v>
      </c>
      <c r="T619" s="4">
        <v>21</v>
      </c>
      <c r="U619" s="4">
        <v>89</v>
      </c>
      <c r="V619" s="4">
        <v>0</v>
      </c>
      <c r="W619" s="4">
        <v>51.27</v>
      </c>
      <c r="X619" s="4">
        <v>222.31</v>
      </c>
      <c r="Y619" s="4"/>
      <c r="Z619" s="4">
        <v>68.100184485116927</v>
      </c>
      <c r="AA619" s="4">
        <v>235.31351552243123</v>
      </c>
      <c r="AB619" s="4">
        <v>0</v>
      </c>
      <c r="AC619" s="4">
        <v>22011.133860000002</v>
      </c>
      <c r="AD619" s="4">
        <v>95441.684580000001</v>
      </c>
      <c r="AE619" s="4">
        <v>0</v>
      </c>
      <c r="AF619" s="4">
        <v>29236.635002781426</v>
      </c>
      <c r="AG619" s="4">
        <v>101024.32785705912</v>
      </c>
    </row>
    <row r="620" spans="1:33" ht="11.25" customHeight="1" x14ac:dyDescent="0.25">
      <c r="A620" s="3" t="s">
        <v>21</v>
      </c>
      <c r="B620" s="3" t="s">
        <v>41</v>
      </c>
      <c r="C620" s="3" t="s">
        <v>42</v>
      </c>
      <c r="D620" s="3" t="s">
        <v>43</v>
      </c>
      <c r="E620" s="3" t="s">
        <v>25</v>
      </c>
      <c r="F620" s="3" t="s">
        <v>25</v>
      </c>
      <c r="G620" s="3" t="s">
        <v>25</v>
      </c>
      <c r="H620" s="3" t="s">
        <v>35</v>
      </c>
      <c r="I620" s="6">
        <v>44470</v>
      </c>
      <c r="J620" s="4">
        <v>0</v>
      </c>
      <c r="K620" s="4">
        <v>0</v>
      </c>
      <c r="L620" s="4">
        <v>302.68799999999999</v>
      </c>
      <c r="M620" s="4">
        <v>302.68799999999999</v>
      </c>
      <c r="N620" s="4">
        <v>0</v>
      </c>
      <c r="O620" s="4">
        <v>0</v>
      </c>
      <c r="P620" s="4">
        <v>0</v>
      </c>
      <c r="Q620" s="3" t="s">
        <v>57</v>
      </c>
      <c r="R620" s="3">
        <v>0</v>
      </c>
      <c r="S620" s="4">
        <v>0</v>
      </c>
      <c r="T620" s="4">
        <v>21</v>
      </c>
      <c r="U620" s="4">
        <v>0</v>
      </c>
      <c r="V620" s="4">
        <v>0</v>
      </c>
      <c r="W620" s="4">
        <v>51.27</v>
      </c>
      <c r="X620" s="4">
        <v>0</v>
      </c>
      <c r="Y620" s="4"/>
      <c r="Z620" s="4">
        <v>68.100184485116927</v>
      </c>
      <c r="AA620" s="4"/>
      <c r="AB620" s="4">
        <v>0</v>
      </c>
      <c r="AC620" s="4">
        <v>15518.813760000001</v>
      </c>
      <c r="AD620" s="4">
        <v>0</v>
      </c>
      <c r="AE620" s="4">
        <v>0</v>
      </c>
      <c r="AF620" s="4">
        <v>20613.10864143107</v>
      </c>
      <c r="AG620" s="4">
        <v>0</v>
      </c>
    </row>
    <row r="621" spans="1:33" ht="11.25" customHeight="1" x14ac:dyDescent="0.25">
      <c r="A621" s="3" t="s">
        <v>21</v>
      </c>
      <c r="B621" s="3" t="s">
        <v>41</v>
      </c>
      <c r="C621" s="3" t="s">
        <v>42</v>
      </c>
      <c r="D621" s="3" t="s">
        <v>43</v>
      </c>
      <c r="E621" s="3" t="s">
        <v>25</v>
      </c>
      <c r="F621" s="3" t="s">
        <v>25</v>
      </c>
      <c r="G621" s="3" t="s">
        <v>25</v>
      </c>
      <c r="H621" s="3" t="s">
        <v>35</v>
      </c>
      <c r="I621" s="6">
        <v>44501</v>
      </c>
      <c r="J621" s="4">
        <v>0</v>
      </c>
      <c r="K621" s="4">
        <v>0</v>
      </c>
      <c r="L621" s="4">
        <v>10145.656000000001</v>
      </c>
      <c r="M621" s="4">
        <v>10145.656000000001</v>
      </c>
      <c r="N621" s="4">
        <v>10145.656000000001</v>
      </c>
      <c r="O621" s="4">
        <v>10145.656000000001</v>
      </c>
      <c r="P621" s="4">
        <v>0</v>
      </c>
      <c r="Q621" s="3" t="s">
        <v>26</v>
      </c>
      <c r="R621" s="3">
        <v>0</v>
      </c>
      <c r="S621" s="4">
        <v>0</v>
      </c>
      <c r="T621" s="4">
        <v>21</v>
      </c>
      <c r="U621" s="4">
        <v>89</v>
      </c>
      <c r="V621" s="4">
        <v>0</v>
      </c>
      <c r="W621" s="4">
        <v>51.27</v>
      </c>
      <c r="X621" s="4">
        <v>222.31</v>
      </c>
      <c r="Y621" s="4"/>
      <c r="Z621" s="4">
        <v>68.100184485116927</v>
      </c>
      <c r="AA621" s="4">
        <v>235.31351552243123</v>
      </c>
      <c r="AB621" s="4">
        <v>0</v>
      </c>
      <c r="AC621" s="4">
        <v>520167.78312000009</v>
      </c>
      <c r="AD621" s="4">
        <v>2255480.7853600001</v>
      </c>
      <c r="AE621" s="4">
        <v>0</v>
      </c>
      <c r="AF621" s="4">
        <v>690921.04532253346</v>
      </c>
      <c r="AG621" s="4">
        <v>2387409.9806412477</v>
      </c>
    </row>
    <row r="622" spans="1:33" ht="11.25" customHeight="1" x14ac:dyDescent="0.25">
      <c r="A622" s="3" t="s">
        <v>28</v>
      </c>
      <c r="B622" s="3" t="s">
        <v>41</v>
      </c>
      <c r="C622" s="3" t="s">
        <v>42</v>
      </c>
      <c r="D622" s="3" t="s">
        <v>43</v>
      </c>
      <c r="E622" s="3" t="s">
        <v>25</v>
      </c>
      <c r="F622" s="3" t="s">
        <v>25</v>
      </c>
      <c r="G622" s="3" t="s">
        <v>25</v>
      </c>
      <c r="H622" s="3" t="s">
        <v>35</v>
      </c>
      <c r="I622" s="6">
        <v>44501</v>
      </c>
      <c r="J622" s="4">
        <v>0</v>
      </c>
      <c r="K622" s="4">
        <v>0</v>
      </c>
      <c r="L622" s="4">
        <v>532.37</v>
      </c>
      <c r="M622" s="4">
        <v>532.37</v>
      </c>
      <c r="N622" s="4">
        <v>532.37</v>
      </c>
      <c r="O622" s="4">
        <v>532.37</v>
      </c>
      <c r="P622" s="4">
        <v>0</v>
      </c>
      <c r="Q622" s="3" t="s">
        <v>26</v>
      </c>
      <c r="R622" s="3">
        <v>0</v>
      </c>
      <c r="S622" s="4">
        <v>0</v>
      </c>
      <c r="T622" s="4">
        <v>21</v>
      </c>
      <c r="U622" s="4">
        <v>89</v>
      </c>
      <c r="V622" s="4">
        <v>0</v>
      </c>
      <c r="W622" s="4">
        <v>51.27</v>
      </c>
      <c r="X622" s="4">
        <v>222.31</v>
      </c>
      <c r="Y622" s="4"/>
      <c r="Z622" s="4">
        <v>68.100184485116927</v>
      </c>
      <c r="AA622" s="4">
        <v>235.31351552243123</v>
      </c>
      <c r="AB622" s="4">
        <v>0</v>
      </c>
      <c r="AC622" s="4">
        <v>27294.609900000003</v>
      </c>
      <c r="AD622" s="4">
        <v>118351.1747</v>
      </c>
      <c r="AE622" s="4">
        <v>0</v>
      </c>
      <c r="AF622" s="4">
        <v>36254.495214341696</v>
      </c>
      <c r="AG622" s="4">
        <v>125273.85625867672</v>
      </c>
    </row>
    <row r="623" spans="1:33" ht="11.25" customHeight="1" x14ac:dyDescent="0.25">
      <c r="A623" s="3" t="s">
        <v>21</v>
      </c>
      <c r="B623" s="3" t="s">
        <v>41</v>
      </c>
      <c r="C623" s="3" t="s">
        <v>42</v>
      </c>
      <c r="D623" s="3" t="s">
        <v>43</v>
      </c>
      <c r="E623" s="3" t="s">
        <v>25</v>
      </c>
      <c r="F623" s="3" t="s">
        <v>25</v>
      </c>
      <c r="G623" s="3" t="s">
        <v>25</v>
      </c>
      <c r="H623" s="3" t="s">
        <v>35</v>
      </c>
      <c r="I623" s="6">
        <v>44501</v>
      </c>
      <c r="J623" s="4">
        <v>0</v>
      </c>
      <c r="K623" s="4">
        <v>0</v>
      </c>
      <c r="L623" s="4">
        <v>321.14800000000002</v>
      </c>
      <c r="M623" s="4">
        <v>321.14800000000002</v>
      </c>
      <c r="N623" s="4">
        <v>0</v>
      </c>
      <c r="O623" s="4">
        <v>0</v>
      </c>
      <c r="P623" s="4">
        <v>0</v>
      </c>
      <c r="Q623" s="3" t="s">
        <v>57</v>
      </c>
      <c r="R623" s="3">
        <v>0</v>
      </c>
      <c r="S623" s="4">
        <v>0</v>
      </c>
      <c r="T623" s="4">
        <v>21</v>
      </c>
      <c r="U623" s="4">
        <v>0</v>
      </c>
      <c r="V623" s="4">
        <v>0</v>
      </c>
      <c r="W623" s="4">
        <v>51.27</v>
      </c>
      <c r="X623" s="4">
        <v>0</v>
      </c>
      <c r="Y623" s="4"/>
      <c r="Z623" s="4">
        <v>68.100184485116927</v>
      </c>
      <c r="AA623" s="4"/>
      <c r="AB623" s="4">
        <v>0</v>
      </c>
      <c r="AC623" s="4">
        <v>16465.257960000003</v>
      </c>
      <c r="AD623" s="4">
        <v>0</v>
      </c>
      <c r="AE623" s="4">
        <v>0</v>
      </c>
      <c r="AF623" s="4">
        <v>21870.238047026334</v>
      </c>
      <c r="AG623" s="4">
        <v>0</v>
      </c>
    </row>
    <row r="624" spans="1:33" ht="11.25" customHeight="1" x14ac:dyDescent="0.25">
      <c r="A624" s="3" t="s">
        <v>21</v>
      </c>
      <c r="B624" s="3" t="s">
        <v>41</v>
      </c>
      <c r="C624" s="3" t="s">
        <v>42</v>
      </c>
      <c r="D624" s="3" t="s">
        <v>43</v>
      </c>
      <c r="E624" s="3" t="s">
        <v>25</v>
      </c>
      <c r="F624" s="3" t="s">
        <v>25</v>
      </c>
      <c r="G624" s="3" t="s">
        <v>25</v>
      </c>
      <c r="H624" s="3" t="s">
        <v>35</v>
      </c>
      <c r="I624" s="6">
        <v>44531</v>
      </c>
      <c r="J624" s="4">
        <v>0</v>
      </c>
      <c r="K624" s="4">
        <v>0</v>
      </c>
      <c r="L624" s="4">
        <v>9701.7450000000008</v>
      </c>
      <c r="M624" s="4">
        <v>9701.7450000000008</v>
      </c>
      <c r="N624" s="4">
        <v>9701.7450000000008</v>
      </c>
      <c r="O624" s="4">
        <v>9701.7450000000008</v>
      </c>
      <c r="P624" s="4">
        <v>0</v>
      </c>
      <c r="Q624" s="3" t="s">
        <v>26</v>
      </c>
      <c r="R624" s="3">
        <v>0</v>
      </c>
      <c r="S624" s="4">
        <v>0</v>
      </c>
      <c r="T624" s="4">
        <v>21</v>
      </c>
      <c r="U624" s="4">
        <v>89</v>
      </c>
      <c r="V624" s="4">
        <v>0</v>
      </c>
      <c r="W624" s="4">
        <v>51.27</v>
      </c>
      <c r="X624" s="4">
        <v>222.31</v>
      </c>
      <c r="Y624" s="4"/>
      <c r="Z624" s="4">
        <v>68.100184485116927</v>
      </c>
      <c r="AA624" s="4">
        <v>235.31351552243123</v>
      </c>
      <c r="AB624" s="4">
        <v>0</v>
      </c>
      <c r="AC624" s="4">
        <v>497408.46615000005</v>
      </c>
      <c r="AD624" s="4">
        <v>2156794.9309500004</v>
      </c>
      <c r="AE624" s="4">
        <v>0</v>
      </c>
      <c r="AF624" s="4">
        <v>660690.62432756077</v>
      </c>
      <c r="AG624" s="4">
        <v>2282951.7226521699</v>
      </c>
    </row>
    <row r="625" spans="1:33" ht="11.25" customHeight="1" x14ac:dyDescent="0.25">
      <c r="A625" s="3" t="s">
        <v>28</v>
      </c>
      <c r="B625" s="3" t="s">
        <v>41</v>
      </c>
      <c r="C625" s="3" t="s">
        <v>42</v>
      </c>
      <c r="D625" s="3" t="s">
        <v>43</v>
      </c>
      <c r="E625" s="3" t="s">
        <v>25</v>
      </c>
      <c r="F625" s="3" t="s">
        <v>25</v>
      </c>
      <c r="G625" s="3" t="s">
        <v>25</v>
      </c>
      <c r="H625" s="3" t="s">
        <v>35</v>
      </c>
      <c r="I625" s="6">
        <v>44531</v>
      </c>
      <c r="J625" s="4">
        <v>0</v>
      </c>
      <c r="K625" s="4">
        <v>0</v>
      </c>
      <c r="L625" s="4">
        <v>517.86900000000003</v>
      </c>
      <c r="M625" s="4">
        <v>517.86900000000003</v>
      </c>
      <c r="N625" s="4">
        <v>517.86900000000003</v>
      </c>
      <c r="O625" s="4">
        <v>517.86900000000003</v>
      </c>
      <c r="P625" s="4">
        <v>0</v>
      </c>
      <c r="Q625" s="3" t="s">
        <v>26</v>
      </c>
      <c r="R625" s="3">
        <v>0</v>
      </c>
      <c r="S625" s="4">
        <v>0</v>
      </c>
      <c r="T625" s="4">
        <v>21</v>
      </c>
      <c r="U625" s="4">
        <v>89</v>
      </c>
      <c r="V625" s="4">
        <v>0</v>
      </c>
      <c r="W625" s="4">
        <v>51.27</v>
      </c>
      <c r="X625" s="4">
        <v>222.31</v>
      </c>
      <c r="Y625" s="4"/>
      <c r="Z625" s="4">
        <v>68.100184485116927</v>
      </c>
      <c r="AA625" s="4">
        <v>235.31351552243123</v>
      </c>
      <c r="AB625" s="4">
        <v>0</v>
      </c>
      <c r="AC625" s="4">
        <v>26551.143630000002</v>
      </c>
      <c r="AD625" s="4">
        <v>115127.45739000001</v>
      </c>
      <c r="AE625" s="4">
        <v>0</v>
      </c>
      <c r="AF625" s="4">
        <v>35266.97443912302</v>
      </c>
      <c r="AG625" s="4">
        <v>121861.57497008595</v>
      </c>
    </row>
    <row r="626" spans="1:33" ht="11.25" customHeight="1" x14ac:dyDescent="0.25">
      <c r="A626" s="3" t="s">
        <v>28</v>
      </c>
      <c r="B626" s="3" t="s">
        <v>41</v>
      </c>
      <c r="C626" s="3" t="s">
        <v>42</v>
      </c>
      <c r="D626" s="3" t="s">
        <v>43</v>
      </c>
      <c r="E626" s="3" t="s">
        <v>25</v>
      </c>
      <c r="F626" s="3" t="s">
        <v>25</v>
      </c>
      <c r="G626" s="3" t="s">
        <v>25</v>
      </c>
      <c r="H626" s="3" t="s">
        <v>35</v>
      </c>
      <c r="I626" s="6">
        <v>44531</v>
      </c>
      <c r="J626" s="4">
        <v>0</v>
      </c>
      <c r="K626" s="4">
        <v>0</v>
      </c>
      <c r="L626" s="4">
        <v>-116.643</v>
      </c>
      <c r="M626" s="4">
        <v>-116.643</v>
      </c>
      <c r="N626" s="4">
        <v>-116.643</v>
      </c>
      <c r="O626" s="4">
        <v>-116.643</v>
      </c>
      <c r="P626" s="4">
        <v>0</v>
      </c>
      <c r="Q626" s="3" t="s">
        <v>26</v>
      </c>
      <c r="R626" s="3">
        <v>0</v>
      </c>
      <c r="S626" s="4">
        <v>0</v>
      </c>
      <c r="T626" s="4">
        <v>21</v>
      </c>
      <c r="U626" s="4">
        <v>89</v>
      </c>
      <c r="V626" s="4">
        <v>0</v>
      </c>
      <c r="W626" s="4">
        <v>51.27</v>
      </c>
      <c r="X626" s="4">
        <v>222.31</v>
      </c>
      <c r="Y626" s="4"/>
      <c r="Z626" s="4">
        <v>68.100184485116927</v>
      </c>
      <c r="AA626" s="4">
        <v>235.31351552243123</v>
      </c>
      <c r="AB626" s="4">
        <v>0</v>
      </c>
      <c r="AC626" s="4">
        <v>-5980.2866100000001</v>
      </c>
      <c r="AD626" s="4">
        <v>-25930.905330000001</v>
      </c>
      <c r="AE626" s="4">
        <v>0</v>
      </c>
      <c r="AF626" s="4">
        <v>-7943.409818897494</v>
      </c>
      <c r="AG626" s="4">
        <v>-27447.674391082946</v>
      </c>
    </row>
    <row r="627" spans="1:33" ht="11.25" customHeight="1" x14ac:dyDescent="0.25">
      <c r="A627" s="3" t="s">
        <v>21</v>
      </c>
      <c r="B627" s="3" t="s">
        <v>41</v>
      </c>
      <c r="C627" s="3" t="s">
        <v>42</v>
      </c>
      <c r="D627" s="3" t="s">
        <v>43</v>
      </c>
      <c r="E627" s="3" t="s">
        <v>25</v>
      </c>
      <c r="F627" s="3" t="s">
        <v>25</v>
      </c>
      <c r="G627" s="3" t="s">
        <v>25</v>
      </c>
      <c r="H627" s="3" t="s">
        <v>35</v>
      </c>
      <c r="I627" s="6">
        <v>44531</v>
      </c>
      <c r="J627" s="4">
        <v>0</v>
      </c>
      <c r="K627" s="4">
        <v>0</v>
      </c>
      <c r="L627" s="4">
        <v>370.32600000000002</v>
      </c>
      <c r="M627" s="4">
        <v>370.32600000000002</v>
      </c>
      <c r="N627" s="4">
        <v>0</v>
      </c>
      <c r="O627" s="4">
        <v>0</v>
      </c>
      <c r="P627" s="4">
        <v>0</v>
      </c>
      <c r="Q627" s="3" t="s">
        <v>57</v>
      </c>
      <c r="R627" s="3">
        <v>0</v>
      </c>
      <c r="S627" s="4">
        <v>0</v>
      </c>
      <c r="T627" s="4">
        <v>21</v>
      </c>
      <c r="U627" s="4">
        <v>0</v>
      </c>
      <c r="V627" s="4">
        <v>0</v>
      </c>
      <c r="W627" s="4">
        <v>51.27</v>
      </c>
      <c r="X627" s="4">
        <v>0</v>
      </c>
      <c r="Y627" s="4"/>
      <c r="Z627" s="4">
        <v>68.100184485116927</v>
      </c>
      <c r="AA627" s="4"/>
      <c r="AB627" s="4">
        <v>0</v>
      </c>
      <c r="AC627" s="4">
        <v>18986.614020000001</v>
      </c>
      <c r="AD627" s="4">
        <v>0</v>
      </c>
      <c r="AE627" s="4">
        <v>0</v>
      </c>
      <c r="AF627" s="4">
        <v>25219.268919635411</v>
      </c>
      <c r="AG627" s="4">
        <v>0</v>
      </c>
    </row>
    <row r="628" spans="1:33" ht="11.25" customHeight="1" x14ac:dyDescent="0.25">
      <c r="A628" s="3" t="s">
        <v>21</v>
      </c>
      <c r="B628" s="3" t="s">
        <v>41</v>
      </c>
      <c r="C628" s="3" t="s">
        <v>42</v>
      </c>
      <c r="D628" s="3" t="s">
        <v>43</v>
      </c>
      <c r="E628" s="3" t="s">
        <v>25</v>
      </c>
      <c r="F628" s="3" t="s">
        <v>25</v>
      </c>
      <c r="G628" s="3" t="s">
        <v>25</v>
      </c>
      <c r="H628" s="3" t="s">
        <v>35</v>
      </c>
      <c r="I628" s="6">
        <v>44562</v>
      </c>
      <c r="J628" s="4">
        <v>0</v>
      </c>
      <c r="K628" s="4">
        <v>0</v>
      </c>
      <c r="L628" s="4">
        <v>9469.4210000000003</v>
      </c>
      <c r="M628" s="4">
        <v>9469.4210000000003</v>
      </c>
      <c r="N628" s="4">
        <v>9469.4210000000003</v>
      </c>
      <c r="O628" s="4">
        <v>9469.4210000000003</v>
      </c>
      <c r="P628" s="4">
        <v>0</v>
      </c>
      <c r="Q628" s="3" t="s">
        <v>26</v>
      </c>
      <c r="R628" s="3">
        <v>0</v>
      </c>
      <c r="S628" s="4">
        <v>0</v>
      </c>
      <c r="T628" s="4">
        <v>21</v>
      </c>
      <c r="U628" s="4">
        <v>89</v>
      </c>
      <c r="V628" s="4">
        <v>0</v>
      </c>
      <c r="W628" s="4">
        <v>51.27</v>
      </c>
      <c r="X628" s="4">
        <v>222.31</v>
      </c>
      <c r="Y628" s="4"/>
      <c r="Z628" s="4">
        <v>68.100184485116927</v>
      </c>
      <c r="AA628" s="4">
        <v>235.31351552243123</v>
      </c>
      <c r="AB628" s="4">
        <v>0</v>
      </c>
      <c r="AC628" s="4">
        <v>485497.21467000002</v>
      </c>
      <c r="AD628" s="4">
        <v>2105146.98251</v>
      </c>
      <c r="AE628" s="4">
        <v>0</v>
      </c>
      <c r="AF628" s="4">
        <v>644869.31706724048</v>
      </c>
      <c r="AG628" s="4">
        <v>2228282.7454719362</v>
      </c>
    </row>
    <row r="629" spans="1:33" ht="11.25" customHeight="1" x14ac:dyDescent="0.25">
      <c r="A629" s="3" t="s">
        <v>28</v>
      </c>
      <c r="B629" s="3" t="s">
        <v>41</v>
      </c>
      <c r="C629" s="3" t="s">
        <v>42</v>
      </c>
      <c r="D629" s="3" t="s">
        <v>43</v>
      </c>
      <c r="E629" s="3" t="s">
        <v>25</v>
      </c>
      <c r="F629" s="3" t="s">
        <v>25</v>
      </c>
      <c r="G629" s="3" t="s">
        <v>25</v>
      </c>
      <c r="H629" s="3" t="s">
        <v>35</v>
      </c>
      <c r="I629" s="6">
        <v>44562</v>
      </c>
      <c r="J629" s="4">
        <v>0</v>
      </c>
      <c r="K629" s="4">
        <v>0</v>
      </c>
      <c r="L629" s="4">
        <v>603.48699999999997</v>
      </c>
      <c r="M629" s="4">
        <v>603.48699999999997</v>
      </c>
      <c r="N629" s="4">
        <v>603.48699999999997</v>
      </c>
      <c r="O629" s="4">
        <v>603.48699999999997</v>
      </c>
      <c r="P629" s="4">
        <v>0</v>
      </c>
      <c r="Q629" s="3" t="s">
        <v>26</v>
      </c>
      <c r="R629" s="3">
        <v>0</v>
      </c>
      <c r="S629" s="4">
        <v>0</v>
      </c>
      <c r="T629" s="4">
        <v>21</v>
      </c>
      <c r="U629" s="4">
        <v>89</v>
      </c>
      <c r="V629" s="4">
        <v>0</v>
      </c>
      <c r="W629" s="4">
        <v>51.27</v>
      </c>
      <c r="X629" s="4">
        <v>222.31</v>
      </c>
      <c r="Y629" s="4"/>
      <c r="Z629" s="4">
        <v>68.100184485116927</v>
      </c>
      <c r="AA629" s="4">
        <v>235.31351552243123</v>
      </c>
      <c r="AB629" s="4">
        <v>0</v>
      </c>
      <c r="AC629" s="4">
        <v>30940.778490000001</v>
      </c>
      <c r="AD629" s="4">
        <v>134161.19496999998</v>
      </c>
      <c r="AE629" s="4">
        <v>0</v>
      </c>
      <c r="AF629" s="4">
        <v>41097.576034369755</v>
      </c>
      <c r="AG629" s="4">
        <v>142008.64754208544</v>
      </c>
    </row>
    <row r="630" spans="1:33" ht="11.25" customHeight="1" x14ac:dyDescent="0.25">
      <c r="A630" s="3" t="s">
        <v>28</v>
      </c>
      <c r="B630" s="3" t="s">
        <v>41</v>
      </c>
      <c r="C630" s="3" t="s">
        <v>42</v>
      </c>
      <c r="D630" s="3" t="s">
        <v>43</v>
      </c>
      <c r="E630" s="3" t="s">
        <v>25</v>
      </c>
      <c r="F630" s="3" t="s">
        <v>25</v>
      </c>
      <c r="G630" s="3" t="s">
        <v>25</v>
      </c>
      <c r="H630" s="3" t="s">
        <v>35</v>
      </c>
      <c r="I630" s="6">
        <v>44562</v>
      </c>
      <c r="J630" s="4">
        <v>0</v>
      </c>
      <c r="K630" s="4">
        <v>0</v>
      </c>
      <c r="L630" s="4">
        <v>9.8339999999999996</v>
      </c>
      <c r="M630" s="4">
        <v>9.8339999999999996</v>
      </c>
      <c r="N630" s="4">
        <v>9.8339999999999996</v>
      </c>
      <c r="O630" s="4">
        <v>9.8339999999999996</v>
      </c>
      <c r="P630" s="4">
        <v>0</v>
      </c>
      <c r="Q630" s="3" t="s">
        <v>26</v>
      </c>
      <c r="R630" s="3">
        <v>0</v>
      </c>
      <c r="S630" s="4">
        <v>0</v>
      </c>
      <c r="T630" s="4">
        <v>21</v>
      </c>
      <c r="U630" s="4">
        <v>89</v>
      </c>
      <c r="V630" s="4">
        <v>0</v>
      </c>
      <c r="W630" s="4">
        <v>51.27</v>
      </c>
      <c r="X630" s="4">
        <v>222.31</v>
      </c>
      <c r="Y630" s="4"/>
      <c r="Z630" s="4">
        <v>68.100184485116927</v>
      </c>
      <c r="AA630" s="4">
        <v>235.31351552243123</v>
      </c>
      <c r="AB630" s="4">
        <v>0</v>
      </c>
      <c r="AC630" s="4">
        <v>504.18918000000002</v>
      </c>
      <c r="AD630" s="4">
        <v>2186.1965399999999</v>
      </c>
      <c r="AE630" s="4">
        <v>0</v>
      </c>
      <c r="AF630" s="4">
        <v>669.69721422663986</v>
      </c>
      <c r="AG630" s="4">
        <v>2314.0731116475886</v>
      </c>
    </row>
    <row r="631" spans="1:33" ht="11.25" customHeight="1" x14ac:dyDescent="0.25">
      <c r="A631" s="3" t="s">
        <v>21</v>
      </c>
      <c r="B631" s="3" t="s">
        <v>41</v>
      </c>
      <c r="C631" s="3" t="s">
        <v>42</v>
      </c>
      <c r="D631" s="3" t="s">
        <v>43</v>
      </c>
      <c r="E631" s="3" t="s">
        <v>25</v>
      </c>
      <c r="F631" s="3" t="s">
        <v>25</v>
      </c>
      <c r="G631" s="3" t="s">
        <v>25</v>
      </c>
      <c r="H631" s="3" t="s">
        <v>35</v>
      </c>
      <c r="I631" s="6">
        <v>44562</v>
      </c>
      <c r="J631" s="4">
        <v>0</v>
      </c>
      <c r="K631" s="4">
        <v>0</v>
      </c>
      <c r="L631" s="4">
        <v>279.661</v>
      </c>
      <c r="M631" s="4">
        <v>279.661</v>
      </c>
      <c r="N631" s="4">
        <v>0</v>
      </c>
      <c r="O631" s="4">
        <v>0</v>
      </c>
      <c r="P631" s="4">
        <v>0</v>
      </c>
      <c r="Q631" s="3" t="s">
        <v>57</v>
      </c>
      <c r="R631" s="3">
        <v>0</v>
      </c>
      <c r="S631" s="4">
        <v>0</v>
      </c>
      <c r="T631" s="4">
        <v>21</v>
      </c>
      <c r="U631" s="4">
        <v>0</v>
      </c>
      <c r="V631" s="4">
        <v>0</v>
      </c>
      <c r="W631" s="4">
        <v>51.27</v>
      </c>
      <c r="X631" s="4">
        <v>0</v>
      </c>
      <c r="Y631" s="4"/>
      <c r="Z631" s="4">
        <v>68.100184485116927</v>
      </c>
      <c r="AA631" s="4"/>
      <c r="AB631" s="4">
        <v>0</v>
      </c>
      <c r="AC631" s="4">
        <v>14338.219470000002</v>
      </c>
      <c r="AD631" s="4">
        <v>0</v>
      </c>
      <c r="AE631" s="4">
        <v>0</v>
      </c>
      <c r="AF631" s="4">
        <v>19044.965693292284</v>
      </c>
      <c r="AG631" s="4">
        <v>0</v>
      </c>
    </row>
    <row r="632" spans="1:33" ht="11.25" customHeight="1" x14ac:dyDescent="0.25">
      <c r="A632" s="3" t="s">
        <v>21</v>
      </c>
      <c r="B632" s="3" t="s">
        <v>41</v>
      </c>
      <c r="C632" s="3" t="s">
        <v>42</v>
      </c>
      <c r="D632" s="3" t="s">
        <v>43</v>
      </c>
      <c r="E632" s="3" t="s">
        <v>25</v>
      </c>
      <c r="F632" s="3" t="s">
        <v>25</v>
      </c>
      <c r="G632" s="3" t="s">
        <v>25</v>
      </c>
      <c r="H632" s="3" t="s">
        <v>35</v>
      </c>
      <c r="I632" s="6">
        <v>44593</v>
      </c>
      <c r="J632" s="4">
        <v>0</v>
      </c>
      <c r="K632" s="4">
        <v>0</v>
      </c>
      <c r="L632" s="4">
        <v>9099.2129999999997</v>
      </c>
      <c r="M632" s="4">
        <v>9099.2129999999997</v>
      </c>
      <c r="N632" s="4">
        <v>9099.2129999999997</v>
      </c>
      <c r="O632" s="4">
        <v>9099.2129999999997</v>
      </c>
      <c r="P632" s="4">
        <v>0</v>
      </c>
      <c r="Q632" s="3" t="s">
        <v>26</v>
      </c>
      <c r="R632" s="3">
        <v>0</v>
      </c>
      <c r="S632" s="4">
        <v>0</v>
      </c>
      <c r="T632" s="4">
        <v>21</v>
      </c>
      <c r="U632" s="4">
        <v>89</v>
      </c>
      <c r="V632" s="4">
        <v>0</v>
      </c>
      <c r="W632" s="4">
        <v>51.27</v>
      </c>
      <c r="X632" s="4">
        <v>222.31</v>
      </c>
      <c r="Y632" s="4"/>
      <c r="Z632" s="4">
        <v>68.100184485116927</v>
      </c>
      <c r="AA632" s="4">
        <v>235.31351552243123</v>
      </c>
      <c r="AB632" s="4">
        <v>0</v>
      </c>
      <c r="AC632" s="4">
        <v>466516.65051000001</v>
      </c>
      <c r="AD632" s="4">
        <v>2022846.0420299999</v>
      </c>
      <c r="AE632" s="4">
        <v>0</v>
      </c>
      <c r="AF632" s="4">
        <v>619658.08396937419</v>
      </c>
      <c r="AG632" s="4">
        <v>2141167.799517408</v>
      </c>
    </row>
    <row r="633" spans="1:33" ht="11.25" customHeight="1" x14ac:dyDescent="0.25">
      <c r="A633" s="3" t="s">
        <v>27</v>
      </c>
      <c r="B633" s="3" t="s">
        <v>41</v>
      </c>
      <c r="C633" s="3" t="s">
        <v>42</v>
      </c>
      <c r="D633" s="3" t="s">
        <v>43</v>
      </c>
      <c r="E633" s="3" t="s">
        <v>25</v>
      </c>
      <c r="F633" s="3" t="s">
        <v>25</v>
      </c>
      <c r="G633" s="3" t="s">
        <v>25</v>
      </c>
      <c r="H633" s="3" t="s">
        <v>35</v>
      </c>
      <c r="I633" s="6">
        <v>44593</v>
      </c>
      <c r="J633" s="4">
        <v>0</v>
      </c>
      <c r="K633" s="4">
        <v>0</v>
      </c>
      <c r="L633" s="4">
        <v>-35.911000000000001</v>
      </c>
      <c r="M633" s="4">
        <v>-35.911000000000001</v>
      </c>
      <c r="N633" s="4">
        <v>-35.911000000000001</v>
      </c>
      <c r="O633" s="4">
        <v>-35.911000000000001</v>
      </c>
      <c r="P633" s="4">
        <v>0</v>
      </c>
      <c r="Q633" s="3" t="s">
        <v>26</v>
      </c>
      <c r="R633" s="3">
        <v>0</v>
      </c>
      <c r="S633" s="4">
        <v>0</v>
      </c>
      <c r="T633" s="4">
        <v>21</v>
      </c>
      <c r="U633" s="4">
        <v>89</v>
      </c>
      <c r="V633" s="4">
        <v>0</v>
      </c>
      <c r="W633" s="4">
        <v>51.27</v>
      </c>
      <c r="X633" s="4">
        <v>222.31</v>
      </c>
      <c r="Y633" s="4"/>
      <c r="Z633" s="4">
        <v>68.100184485116927</v>
      </c>
      <c r="AA633" s="4">
        <v>235.31351552243123</v>
      </c>
      <c r="AB633" s="4">
        <v>0</v>
      </c>
      <c r="AC633" s="4">
        <v>-1841.1569700000002</v>
      </c>
      <c r="AD633" s="4">
        <v>-7983.3744100000004</v>
      </c>
      <c r="AE633" s="4">
        <v>0</v>
      </c>
      <c r="AF633" s="4">
        <v>-2445.545725045034</v>
      </c>
      <c r="AG633" s="4">
        <v>-8450.3436559260281</v>
      </c>
    </row>
    <row r="634" spans="1:33" ht="11.25" customHeight="1" x14ac:dyDescent="0.25">
      <c r="A634" s="3" t="s">
        <v>28</v>
      </c>
      <c r="B634" s="3" t="s">
        <v>41</v>
      </c>
      <c r="C634" s="3" t="s">
        <v>42</v>
      </c>
      <c r="D634" s="3" t="s">
        <v>43</v>
      </c>
      <c r="E634" s="3" t="s">
        <v>25</v>
      </c>
      <c r="F634" s="3" t="s">
        <v>25</v>
      </c>
      <c r="G634" s="3" t="s">
        <v>25</v>
      </c>
      <c r="H634" s="3" t="s">
        <v>35</v>
      </c>
      <c r="I634" s="6">
        <v>44593</v>
      </c>
      <c r="J634" s="4">
        <v>0</v>
      </c>
      <c r="K634" s="4">
        <v>0</v>
      </c>
      <c r="L634" s="4">
        <v>528.70500000000004</v>
      </c>
      <c r="M634" s="4">
        <v>528.70500000000004</v>
      </c>
      <c r="N634" s="4">
        <v>528.70500000000004</v>
      </c>
      <c r="O634" s="4">
        <v>528.70500000000004</v>
      </c>
      <c r="P634" s="4">
        <v>0</v>
      </c>
      <c r="Q634" s="3" t="s">
        <v>26</v>
      </c>
      <c r="R634" s="3">
        <v>0</v>
      </c>
      <c r="S634" s="4">
        <v>0</v>
      </c>
      <c r="T634" s="4">
        <v>21</v>
      </c>
      <c r="U634" s="4">
        <v>89</v>
      </c>
      <c r="V634" s="4">
        <v>0</v>
      </c>
      <c r="W634" s="4">
        <v>51.27</v>
      </c>
      <c r="X634" s="4">
        <v>222.31</v>
      </c>
      <c r="Y634" s="4"/>
      <c r="Z634" s="4">
        <v>68.100184485116927</v>
      </c>
      <c r="AA634" s="4">
        <v>235.31351552243123</v>
      </c>
      <c r="AB634" s="4">
        <v>0</v>
      </c>
      <c r="AC634" s="4">
        <v>27106.705350000004</v>
      </c>
      <c r="AD634" s="4">
        <v>117536.40855000001</v>
      </c>
      <c r="AE634" s="4">
        <v>0</v>
      </c>
      <c r="AF634" s="4">
        <v>36004.90803820375</v>
      </c>
      <c r="AG634" s="4">
        <v>124411.43222428701</v>
      </c>
    </row>
    <row r="635" spans="1:33" ht="11.25" customHeight="1" x14ac:dyDescent="0.25">
      <c r="A635" s="3" t="s">
        <v>28</v>
      </c>
      <c r="B635" s="3" t="s">
        <v>41</v>
      </c>
      <c r="C635" s="3" t="s">
        <v>42</v>
      </c>
      <c r="D635" s="3" t="s">
        <v>43</v>
      </c>
      <c r="E635" s="3" t="s">
        <v>25</v>
      </c>
      <c r="F635" s="3" t="s">
        <v>25</v>
      </c>
      <c r="G635" s="3" t="s">
        <v>25</v>
      </c>
      <c r="H635" s="3" t="s">
        <v>35</v>
      </c>
      <c r="I635" s="6">
        <v>44593</v>
      </c>
      <c r="J635" s="4">
        <v>0</v>
      </c>
      <c r="K635" s="4">
        <v>0</v>
      </c>
      <c r="L635" s="4">
        <v>8.6560000000000006</v>
      </c>
      <c r="M635" s="4">
        <v>8.6560000000000006</v>
      </c>
      <c r="N635" s="4">
        <v>8.6560000000000006</v>
      </c>
      <c r="O635" s="4">
        <v>8.6560000000000006</v>
      </c>
      <c r="P635" s="4">
        <v>0</v>
      </c>
      <c r="Q635" s="3" t="s">
        <v>26</v>
      </c>
      <c r="R635" s="3">
        <v>0</v>
      </c>
      <c r="S635" s="4">
        <v>0</v>
      </c>
      <c r="T635" s="4">
        <v>21</v>
      </c>
      <c r="U635" s="4">
        <v>89</v>
      </c>
      <c r="V635" s="4">
        <v>0</v>
      </c>
      <c r="W635" s="4">
        <v>51.27</v>
      </c>
      <c r="X635" s="4">
        <v>222.31</v>
      </c>
      <c r="Y635" s="4"/>
      <c r="Z635" s="4">
        <v>68.100184485116927</v>
      </c>
      <c r="AA635" s="4">
        <v>235.31351552243123</v>
      </c>
      <c r="AB635" s="4">
        <v>0</v>
      </c>
      <c r="AC635" s="4">
        <v>443.79312000000004</v>
      </c>
      <c r="AD635" s="4">
        <v>1924.3153600000001</v>
      </c>
      <c r="AE635" s="4">
        <v>0</v>
      </c>
      <c r="AF635" s="4">
        <v>589.4751969031721</v>
      </c>
      <c r="AG635" s="4">
        <v>2036.873790362165</v>
      </c>
    </row>
    <row r="636" spans="1:33" ht="11.25" customHeight="1" x14ac:dyDescent="0.25">
      <c r="A636" s="3" t="s">
        <v>21</v>
      </c>
      <c r="B636" s="3" t="s">
        <v>41</v>
      </c>
      <c r="C636" s="3" t="s">
        <v>42</v>
      </c>
      <c r="D636" s="3" t="s">
        <v>43</v>
      </c>
      <c r="E636" s="3" t="s">
        <v>25</v>
      </c>
      <c r="F636" s="3" t="s">
        <v>25</v>
      </c>
      <c r="G636" s="3" t="s">
        <v>25</v>
      </c>
      <c r="H636" s="3" t="s">
        <v>35</v>
      </c>
      <c r="I636" s="6">
        <v>44593</v>
      </c>
      <c r="J636" s="4">
        <v>0</v>
      </c>
      <c r="K636" s="4">
        <v>0</v>
      </c>
      <c r="L636" s="4">
        <v>296.55700000000002</v>
      </c>
      <c r="M636" s="4">
        <v>296.55700000000002</v>
      </c>
      <c r="N636" s="4">
        <v>0</v>
      </c>
      <c r="O636" s="4">
        <v>0</v>
      </c>
      <c r="P636" s="4">
        <v>0</v>
      </c>
      <c r="Q636" s="3" t="s">
        <v>57</v>
      </c>
      <c r="R636" s="3">
        <v>0</v>
      </c>
      <c r="S636" s="4">
        <v>0</v>
      </c>
      <c r="T636" s="4">
        <v>21</v>
      </c>
      <c r="U636" s="4">
        <v>0</v>
      </c>
      <c r="V636" s="4">
        <v>0</v>
      </c>
      <c r="W636" s="4">
        <v>51.27</v>
      </c>
      <c r="X636" s="4">
        <v>0</v>
      </c>
      <c r="Y636" s="4"/>
      <c r="Z636" s="4">
        <v>68.100184485116927</v>
      </c>
      <c r="AA636" s="4"/>
      <c r="AB636" s="4">
        <v>0</v>
      </c>
      <c r="AC636" s="4">
        <v>15204.477390000002</v>
      </c>
      <c r="AD636" s="4">
        <v>0</v>
      </c>
      <c r="AE636" s="4">
        <v>0</v>
      </c>
      <c r="AF636" s="4">
        <v>20195.586410352822</v>
      </c>
      <c r="AG636" s="4">
        <v>0</v>
      </c>
    </row>
    <row r="637" spans="1:33" ht="11.25" customHeight="1" x14ac:dyDescent="0.25">
      <c r="A637" s="3" t="s">
        <v>27</v>
      </c>
      <c r="B637" s="3" t="s">
        <v>41</v>
      </c>
      <c r="C637" s="3" t="s">
        <v>42</v>
      </c>
      <c r="D637" s="3" t="s">
        <v>43</v>
      </c>
      <c r="E637" s="3" t="s">
        <v>25</v>
      </c>
      <c r="F637" s="3" t="s">
        <v>25</v>
      </c>
      <c r="G637" s="3" t="s">
        <v>25</v>
      </c>
      <c r="H637" s="3" t="s">
        <v>35</v>
      </c>
      <c r="I637" s="6">
        <v>44593</v>
      </c>
      <c r="J637" s="4">
        <v>0</v>
      </c>
      <c r="K637" s="4">
        <v>0</v>
      </c>
      <c r="L637" s="4">
        <v>4.5599999999999996</v>
      </c>
      <c r="M637" s="4">
        <v>4.5599999999999996</v>
      </c>
      <c r="N637" s="4">
        <v>0</v>
      </c>
      <c r="O637" s="4">
        <v>0</v>
      </c>
      <c r="P637" s="4">
        <v>0</v>
      </c>
      <c r="Q637" s="3" t="s">
        <v>57</v>
      </c>
      <c r="R637" s="3">
        <v>0</v>
      </c>
      <c r="S637" s="4">
        <v>0</v>
      </c>
      <c r="T637" s="4">
        <v>21</v>
      </c>
      <c r="U637" s="4">
        <v>0</v>
      </c>
      <c r="V637" s="4">
        <v>0</v>
      </c>
      <c r="W637" s="4">
        <v>51.27</v>
      </c>
      <c r="X637" s="4">
        <v>0</v>
      </c>
      <c r="Y637" s="4"/>
      <c r="Z637" s="4">
        <v>68.100184485116927</v>
      </c>
      <c r="AA637" s="4"/>
      <c r="AB637" s="4">
        <v>0</v>
      </c>
      <c r="AC637" s="4">
        <v>233.7912</v>
      </c>
      <c r="AD637" s="4">
        <v>0</v>
      </c>
      <c r="AE637" s="4">
        <v>0</v>
      </c>
      <c r="AF637" s="4">
        <v>310.53684125213317</v>
      </c>
      <c r="AG637" s="4">
        <v>0</v>
      </c>
    </row>
    <row r="638" spans="1:33" ht="11.25" customHeight="1" x14ac:dyDescent="0.25">
      <c r="A638" s="3" t="s">
        <v>56</v>
      </c>
      <c r="B638" s="3" t="s">
        <v>41</v>
      </c>
      <c r="C638" s="3" t="s">
        <v>42</v>
      </c>
      <c r="D638" s="3" t="s">
        <v>43</v>
      </c>
      <c r="E638" s="3" t="s">
        <v>25</v>
      </c>
      <c r="F638" s="3" t="s">
        <v>25</v>
      </c>
      <c r="G638" s="3" t="s">
        <v>25</v>
      </c>
      <c r="H638" s="3" t="s">
        <v>35</v>
      </c>
      <c r="I638" s="6">
        <v>44621</v>
      </c>
      <c r="J638" s="4">
        <v>0</v>
      </c>
      <c r="K638" s="4">
        <v>0</v>
      </c>
      <c r="L638" s="4">
        <v>9099.2129999999997</v>
      </c>
      <c r="M638" s="4">
        <v>9099.2129999999997</v>
      </c>
      <c r="N638" s="4">
        <v>9099.2129999999997</v>
      </c>
      <c r="O638" s="4">
        <v>9099.2129999999997</v>
      </c>
      <c r="P638" s="4">
        <v>0</v>
      </c>
      <c r="Q638" s="3" t="s">
        <v>26</v>
      </c>
      <c r="R638" s="3">
        <v>0</v>
      </c>
      <c r="S638" s="4">
        <v>0</v>
      </c>
      <c r="T638" s="4">
        <v>21</v>
      </c>
      <c r="U638" s="4">
        <v>89</v>
      </c>
      <c r="V638" s="4">
        <v>0</v>
      </c>
      <c r="W638" s="4">
        <v>51.27</v>
      </c>
      <c r="X638" s="4">
        <v>222.31</v>
      </c>
      <c r="Y638" s="4"/>
      <c r="Z638" s="4">
        <v>68.100184485116927</v>
      </c>
      <c r="AA638" s="4">
        <v>235.31351552243123</v>
      </c>
      <c r="AB638" s="4">
        <v>0</v>
      </c>
      <c r="AC638" s="4">
        <v>466516.65051000001</v>
      </c>
      <c r="AD638" s="4">
        <v>2022846.0420299999</v>
      </c>
      <c r="AE638" s="4">
        <v>0</v>
      </c>
      <c r="AF638" s="4">
        <v>619658.08396937419</v>
      </c>
      <c r="AG638" s="4">
        <v>2141167.799517408</v>
      </c>
    </row>
    <row r="639" spans="1:33" ht="11.25" customHeight="1" x14ac:dyDescent="0.25">
      <c r="A639" s="3" t="s">
        <v>56</v>
      </c>
      <c r="B639" s="3" t="s">
        <v>41</v>
      </c>
      <c r="C639" s="3" t="s">
        <v>42</v>
      </c>
      <c r="D639" s="3" t="s">
        <v>43</v>
      </c>
      <c r="E639" s="3" t="s">
        <v>25</v>
      </c>
      <c r="F639" s="3" t="s">
        <v>25</v>
      </c>
      <c r="G639" s="3" t="s">
        <v>25</v>
      </c>
      <c r="H639" s="3" t="s">
        <v>35</v>
      </c>
      <c r="I639" s="6">
        <v>44621</v>
      </c>
      <c r="J639" s="4">
        <v>0</v>
      </c>
      <c r="K639" s="4">
        <v>0</v>
      </c>
      <c r="L639" s="4">
        <v>-35.911000000000001</v>
      </c>
      <c r="M639" s="4">
        <v>-35.911000000000001</v>
      </c>
      <c r="N639" s="4">
        <v>-35.911000000000001</v>
      </c>
      <c r="O639" s="4">
        <v>-35.911000000000001</v>
      </c>
      <c r="P639" s="4">
        <v>0</v>
      </c>
      <c r="Q639" s="3" t="s">
        <v>26</v>
      </c>
      <c r="R639" s="3">
        <v>0</v>
      </c>
      <c r="S639" s="4">
        <v>0</v>
      </c>
      <c r="T639" s="4">
        <v>21</v>
      </c>
      <c r="U639" s="4">
        <v>89</v>
      </c>
      <c r="V639" s="4">
        <v>0</v>
      </c>
      <c r="W639" s="4">
        <v>51.27</v>
      </c>
      <c r="X639" s="4">
        <v>222.31</v>
      </c>
      <c r="Y639" s="4"/>
      <c r="Z639" s="4">
        <v>68.100184485116927</v>
      </c>
      <c r="AA639" s="4">
        <v>235.31351552243123</v>
      </c>
      <c r="AB639" s="4">
        <v>0</v>
      </c>
      <c r="AC639" s="4">
        <v>-1841.1569700000002</v>
      </c>
      <c r="AD639" s="4">
        <v>-7983.3744100000004</v>
      </c>
      <c r="AE639" s="4">
        <v>0</v>
      </c>
      <c r="AF639" s="4">
        <v>-2445.545725045034</v>
      </c>
      <c r="AG639" s="4">
        <v>-8450.3436559260281</v>
      </c>
    </row>
    <row r="640" spans="1:33" ht="11.25" customHeight="1" x14ac:dyDescent="0.25">
      <c r="A640" s="3" t="s">
        <v>56</v>
      </c>
      <c r="B640" s="3" t="s">
        <v>41</v>
      </c>
      <c r="C640" s="3" t="s">
        <v>42</v>
      </c>
      <c r="D640" s="3" t="s">
        <v>43</v>
      </c>
      <c r="E640" s="3" t="s">
        <v>25</v>
      </c>
      <c r="F640" s="3" t="s">
        <v>25</v>
      </c>
      <c r="G640" s="3" t="s">
        <v>25</v>
      </c>
      <c r="H640" s="3" t="s">
        <v>35</v>
      </c>
      <c r="I640" s="6">
        <v>44621</v>
      </c>
      <c r="J640" s="4">
        <v>0</v>
      </c>
      <c r="K640" s="4">
        <v>0</v>
      </c>
      <c r="L640" s="4">
        <v>528.70500000000004</v>
      </c>
      <c r="M640" s="4">
        <v>528.70500000000004</v>
      </c>
      <c r="N640" s="4">
        <v>528.70500000000004</v>
      </c>
      <c r="O640" s="4">
        <v>528.70500000000004</v>
      </c>
      <c r="P640" s="4">
        <v>0</v>
      </c>
      <c r="Q640" s="3" t="s">
        <v>26</v>
      </c>
      <c r="R640" s="3">
        <v>0</v>
      </c>
      <c r="S640" s="4">
        <v>0</v>
      </c>
      <c r="T640" s="4">
        <v>21</v>
      </c>
      <c r="U640" s="4">
        <v>89</v>
      </c>
      <c r="V640" s="4">
        <v>0</v>
      </c>
      <c r="W640" s="4">
        <v>51.27</v>
      </c>
      <c r="X640" s="4">
        <v>222.31</v>
      </c>
      <c r="Y640" s="4"/>
      <c r="Z640" s="4">
        <v>68.100184485116927</v>
      </c>
      <c r="AA640" s="4">
        <v>235.31351552243123</v>
      </c>
      <c r="AB640" s="4">
        <v>0</v>
      </c>
      <c r="AC640" s="4">
        <v>27106.705350000004</v>
      </c>
      <c r="AD640" s="4">
        <v>117536.40855000001</v>
      </c>
      <c r="AE640" s="4">
        <v>0</v>
      </c>
      <c r="AF640" s="4">
        <v>36004.90803820375</v>
      </c>
      <c r="AG640" s="4">
        <v>124411.43222428701</v>
      </c>
    </row>
    <row r="641" spans="1:33" ht="11.25" customHeight="1" x14ac:dyDescent="0.25">
      <c r="A641" s="3" t="s">
        <v>56</v>
      </c>
      <c r="B641" s="3" t="s">
        <v>41</v>
      </c>
      <c r="C641" s="3" t="s">
        <v>42</v>
      </c>
      <c r="D641" s="3" t="s">
        <v>43</v>
      </c>
      <c r="E641" s="3" t="s">
        <v>25</v>
      </c>
      <c r="F641" s="3" t="s">
        <v>25</v>
      </c>
      <c r="G641" s="3" t="s">
        <v>25</v>
      </c>
      <c r="H641" s="3" t="s">
        <v>35</v>
      </c>
      <c r="I641" s="6">
        <v>44621</v>
      </c>
      <c r="J641" s="4">
        <v>0</v>
      </c>
      <c r="K641" s="4">
        <v>0</v>
      </c>
      <c r="L641" s="4">
        <v>8.6560000000000006</v>
      </c>
      <c r="M641" s="4">
        <v>8.6560000000000006</v>
      </c>
      <c r="N641" s="4">
        <v>8.6560000000000006</v>
      </c>
      <c r="O641" s="4">
        <v>8.6560000000000006</v>
      </c>
      <c r="P641" s="4">
        <v>0</v>
      </c>
      <c r="Q641" s="3" t="s">
        <v>26</v>
      </c>
      <c r="R641" s="3">
        <v>0</v>
      </c>
      <c r="S641" s="4">
        <v>0</v>
      </c>
      <c r="T641" s="4">
        <v>21</v>
      </c>
      <c r="U641" s="4">
        <v>89</v>
      </c>
      <c r="V641" s="4">
        <v>0</v>
      </c>
      <c r="W641" s="4">
        <v>51.27</v>
      </c>
      <c r="X641" s="4">
        <v>222.31</v>
      </c>
      <c r="Y641" s="4"/>
      <c r="Z641" s="4">
        <v>68.100184485116927</v>
      </c>
      <c r="AA641" s="4">
        <v>235.31351552243123</v>
      </c>
      <c r="AB641" s="4">
        <v>0</v>
      </c>
      <c r="AC641" s="4">
        <v>443.79312000000004</v>
      </c>
      <c r="AD641" s="4">
        <v>1924.3153600000001</v>
      </c>
      <c r="AE641" s="4">
        <v>0</v>
      </c>
      <c r="AF641" s="4">
        <v>589.4751969031721</v>
      </c>
      <c r="AG641" s="4">
        <v>2036.873790362165</v>
      </c>
    </row>
    <row r="642" spans="1:33" ht="11.25" customHeight="1" x14ac:dyDescent="0.25">
      <c r="A642" s="3" t="s">
        <v>56</v>
      </c>
      <c r="B642" s="3" t="s">
        <v>41</v>
      </c>
      <c r="C642" s="3" t="s">
        <v>42</v>
      </c>
      <c r="D642" s="3" t="s">
        <v>43</v>
      </c>
      <c r="E642" s="3" t="s">
        <v>25</v>
      </c>
      <c r="F642" s="3" t="s">
        <v>25</v>
      </c>
      <c r="G642" s="3" t="s">
        <v>25</v>
      </c>
      <c r="H642" s="3" t="s">
        <v>35</v>
      </c>
      <c r="I642" s="6">
        <v>44621</v>
      </c>
      <c r="J642" s="4">
        <v>0</v>
      </c>
      <c r="K642" s="4">
        <v>0</v>
      </c>
      <c r="L642" s="4">
        <v>296.55700000000002</v>
      </c>
      <c r="M642" s="4">
        <v>296.55700000000002</v>
      </c>
      <c r="N642" s="4">
        <v>0</v>
      </c>
      <c r="O642" s="4">
        <v>0</v>
      </c>
      <c r="P642" s="4">
        <v>0</v>
      </c>
      <c r="Q642" s="3" t="s">
        <v>57</v>
      </c>
      <c r="R642" s="3">
        <v>0</v>
      </c>
      <c r="S642" s="4">
        <v>0</v>
      </c>
      <c r="T642" s="4">
        <v>21</v>
      </c>
      <c r="U642" s="4">
        <v>0</v>
      </c>
      <c r="V642" s="4">
        <v>0</v>
      </c>
      <c r="W642" s="4">
        <v>51.27</v>
      </c>
      <c r="X642" s="4">
        <v>0</v>
      </c>
      <c r="Y642" s="4"/>
      <c r="Z642" s="4">
        <v>68.100184485116927</v>
      </c>
      <c r="AA642" s="4"/>
      <c r="AB642" s="4">
        <v>0</v>
      </c>
      <c r="AC642" s="4">
        <v>15204.477390000002</v>
      </c>
      <c r="AD642" s="4">
        <v>0</v>
      </c>
      <c r="AE642" s="4">
        <v>0</v>
      </c>
      <c r="AF642" s="4">
        <v>20195.586410352822</v>
      </c>
      <c r="AG642" s="4">
        <v>0</v>
      </c>
    </row>
    <row r="643" spans="1:33" ht="11.25" customHeight="1" x14ac:dyDescent="0.25">
      <c r="A643" s="3" t="s">
        <v>56</v>
      </c>
      <c r="B643" s="3" t="s">
        <v>41</v>
      </c>
      <c r="C643" s="3" t="s">
        <v>42</v>
      </c>
      <c r="D643" s="3" t="s">
        <v>43</v>
      </c>
      <c r="E643" s="3" t="s">
        <v>25</v>
      </c>
      <c r="F643" s="3" t="s">
        <v>25</v>
      </c>
      <c r="G643" s="3" t="s">
        <v>25</v>
      </c>
      <c r="H643" s="3" t="s">
        <v>35</v>
      </c>
      <c r="I643" s="6">
        <v>44621</v>
      </c>
      <c r="J643" s="4">
        <v>0</v>
      </c>
      <c r="K643" s="4">
        <v>0</v>
      </c>
      <c r="L643" s="4">
        <v>4.5599999999999996</v>
      </c>
      <c r="M643" s="4">
        <v>4.5599999999999996</v>
      </c>
      <c r="N643" s="4">
        <v>0</v>
      </c>
      <c r="O643" s="4">
        <v>0</v>
      </c>
      <c r="P643" s="4">
        <v>0</v>
      </c>
      <c r="Q643" s="3" t="s">
        <v>57</v>
      </c>
      <c r="R643" s="3">
        <v>0</v>
      </c>
      <c r="S643" s="4">
        <v>0</v>
      </c>
      <c r="T643" s="4">
        <v>21</v>
      </c>
      <c r="U643" s="4">
        <v>0</v>
      </c>
      <c r="V643" s="4">
        <v>0</v>
      </c>
      <c r="W643" s="4">
        <v>51.27</v>
      </c>
      <c r="X643" s="4">
        <v>0</v>
      </c>
      <c r="Y643" s="4"/>
      <c r="Z643" s="4">
        <v>68.100184485116927</v>
      </c>
      <c r="AA643" s="4"/>
      <c r="AB643" s="4">
        <v>0</v>
      </c>
      <c r="AC643" s="4">
        <v>233.7912</v>
      </c>
      <c r="AD643" s="4">
        <v>0</v>
      </c>
      <c r="AE643" s="4">
        <v>0</v>
      </c>
      <c r="AF643" s="4">
        <v>310.53684125213317</v>
      </c>
      <c r="AG643" s="4">
        <v>0</v>
      </c>
    </row>
    <row r="644" spans="1:33" ht="11.25" customHeight="1" x14ac:dyDescent="0.25">
      <c r="A644" s="3" t="s">
        <v>21</v>
      </c>
      <c r="B644" s="3" t="s">
        <v>41</v>
      </c>
      <c r="C644" s="3" t="s">
        <v>42</v>
      </c>
      <c r="D644" s="3" t="s">
        <v>43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44287</v>
      </c>
      <c r="J644" s="4">
        <v>50593</v>
      </c>
      <c r="K644" s="4">
        <v>50593</v>
      </c>
      <c r="L644" s="4">
        <v>0</v>
      </c>
      <c r="M644" s="4">
        <v>0</v>
      </c>
      <c r="N644" s="4">
        <v>0</v>
      </c>
      <c r="O644" s="4">
        <v>0</v>
      </c>
      <c r="P644" s="4">
        <v>455</v>
      </c>
      <c r="Q644" s="3" t="s">
        <v>26</v>
      </c>
      <c r="R644" s="3">
        <v>0</v>
      </c>
      <c r="S644" s="4">
        <v>44</v>
      </c>
      <c r="T644" s="4">
        <v>0</v>
      </c>
      <c r="U644" s="4">
        <v>0</v>
      </c>
      <c r="V644" s="4">
        <v>24.31</v>
      </c>
      <c r="W644" s="4">
        <v>0</v>
      </c>
      <c r="X644" s="4">
        <v>0</v>
      </c>
      <c r="Y644" s="4">
        <v>27.784764762164471</v>
      </c>
      <c r="Z644" s="4"/>
      <c r="AA644" s="4"/>
      <c r="AB644" s="4">
        <v>1229915.8299999998</v>
      </c>
      <c r="AC644" s="4">
        <v>0</v>
      </c>
      <c r="AD644" s="4">
        <v>0</v>
      </c>
      <c r="AE644" s="4">
        <v>1405714.6036121871</v>
      </c>
      <c r="AF644" s="4">
        <v>0</v>
      </c>
      <c r="AG644" s="4">
        <v>0</v>
      </c>
    </row>
    <row r="645" spans="1:33" ht="11.25" customHeight="1" x14ac:dyDescent="0.25">
      <c r="A645" s="3" t="s">
        <v>27</v>
      </c>
      <c r="B645" s="3" t="s">
        <v>41</v>
      </c>
      <c r="C645" s="3" t="s">
        <v>42</v>
      </c>
      <c r="D645" s="3" t="s">
        <v>43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44287</v>
      </c>
      <c r="J645" s="4">
        <v>-3221</v>
      </c>
      <c r="K645" s="4">
        <v>-3221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3" t="s">
        <v>26</v>
      </c>
      <c r="R645" s="3">
        <v>0</v>
      </c>
      <c r="S645" s="4">
        <v>44</v>
      </c>
      <c r="T645" s="4">
        <v>0</v>
      </c>
      <c r="U645" s="4">
        <v>0</v>
      </c>
      <c r="V645" s="4">
        <v>24.31</v>
      </c>
      <c r="W645" s="4">
        <v>0</v>
      </c>
      <c r="X645" s="4">
        <v>0</v>
      </c>
      <c r="Y645" s="4">
        <v>27.784764762164471</v>
      </c>
      <c r="Z645" s="4"/>
      <c r="AA645" s="4"/>
      <c r="AB645" s="4">
        <v>-78302.509999999995</v>
      </c>
      <c r="AC645" s="4">
        <v>0</v>
      </c>
      <c r="AD645" s="4">
        <v>0</v>
      </c>
      <c r="AE645" s="4">
        <v>-89494.727298931757</v>
      </c>
      <c r="AF645" s="4">
        <v>0</v>
      </c>
      <c r="AG645" s="4">
        <v>0</v>
      </c>
    </row>
    <row r="646" spans="1:33" ht="11.25" customHeight="1" x14ac:dyDescent="0.25">
      <c r="A646" s="3" t="s">
        <v>28</v>
      </c>
      <c r="B646" s="3" t="s">
        <v>41</v>
      </c>
      <c r="C646" s="3" t="s">
        <v>42</v>
      </c>
      <c r="D646" s="3" t="s">
        <v>43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44287</v>
      </c>
      <c r="J646" s="4">
        <v>4609</v>
      </c>
      <c r="K646" s="4">
        <v>4609</v>
      </c>
      <c r="L646" s="4">
        <v>0</v>
      </c>
      <c r="M646" s="4">
        <v>0</v>
      </c>
      <c r="N646" s="4">
        <v>0</v>
      </c>
      <c r="O646" s="4">
        <v>0</v>
      </c>
      <c r="P646" s="4">
        <v>30</v>
      </c>
      <c r="Q646" s="3" t="s">
        <v>26</v>
      </c>
      <c r="R646" s="3">
        <v>0</v>
      </c>
      <c r="S646" s="4">
        <v>44</v>
      </c>
      <c r="T646" s="4">
        <v>0</v>
      </c>
      <c r="U646" s="4">
        <v>0</v>
      </c>
      <c r="V646" s="4">
        <v>24.31</v>
      </c>
      <c r="W646" s="4">
        <v>0</v>
      </c>
      <c r="X646" s="4">
        <v>0</v>
      </c>
      <c r="Y646" s="4">
        <v>27.784764762164471</v>
      </c>
      <c r="Z646" s="4"/>
      <c r="AA646" s="4"/>
      <c r="AB646" s="4">
        <v>112044.79</v>
      </c>
      <c r="AC646" s="4">
        <v>0</v>
      </c>
      <c r="AD646" s="4">
        <v>0</v>
      </c>
      <c r="AE646" s="4">
        <v>128059.98078881604</v>
      </c>
      <c r="AF646" s="4">
        <v>0</v>
      </c>
      <c r="AG646" s="4">
        <v>0</v>
      </c>
    </row>
    <row r="647" spans="1:33" ht="11.25" customHeight="1" x14ac:dyDescent="0.25">
      <c r="A647" s="3" t="s">
        <v>21</v>
      </c>
      <c r="B647" s="3" t="s">
        <v>41</v>
      </c>
      <c r="C647" s="3" t="s">
        <v>42</v>
      </c>
      <c r="D647" s="3" t="s">
        <v>43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44287</v>
      </c>
      <c r="J647" s="4">
        <v>239</v>
      </c>
      <c r="K647" s="4">
        <v>239</v>
      </c>
      <c r="L647" s="4">
        <v>0</v>
      </c>
      <c r="M647" s="4">
        <v>0</v>
      </c>
      <c r="N647" s="4">
        <v>0</v>
      </c>
      <c r="O647" s="4">
        <v>0</v>
      </c>
      <c r="P647" s="4">
        <v>1</v>
      </c>
      <c r="Q647" s="3" t="s">
        <v>57</v>
      </c>
      <c r="R647" s="3">
        <v>0</v>
      </c>
      <c r="S647" s="4">
        <v>44</v>
      </c>
      <c r="T647" s="4">
        <v>0</v>
      </c>
      <c r="U647" s="4">
        <v>0</v>
      </c>
      <c r="V647" s="4">
        <v>24.31</v>
      </c>
      <c r="W647" s="4">
        <v>0</v>
      </c>
      <c r="X647" s="4">
        <v>0</v>
      </c>
      <c r="Y647" s="4">
        <v>27.784764762164471</v>
      </c>
      <c r="Z647" s="4"/>
      <c r="AA647" s="4"/>
      <c r="AB647" s="4">
        <v>5810.09</v>
      </c>
      <c r="AC647" s="4">
        <v>0</v>
      </c>
      <c r="AD647" s="4">
        <v>0</v>
      </c>
      <c r="AE647" s="4">
        <v>6640.5587781573086</v>
      </c>
      <c r="AF647" s="4">
        <v>0</v>
      </c>
      <c r="AG647" s="4">
        <v>0</v>
      </c>
    </row>
    <row r="648" spans="1:33" ht="11.25" customHeight="1" x14ac:dyDescent="0.25">
      <c r="A648" s="3" t="s">
        <v>21</v>
      </c>
      <c r="B648" s="3" t="s">
        <v>41</v>
      </c>
      <c r="C648" s="3" t="s">
        <v>42</v>
      </c>
      <c r="D648" s="3" t="s">
        <v>43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44317</v>
      </c>
      <c r="J648" s="4">
        <v>48763</v>
      </c>
      <c r="K648" s="4">
        <v>48763</v>
      </c>
      <c r="L648" s="4">
        <v>0</v>
      </c>
      <c r="M648" s="4">
        <v>0</v>
      </c>
      <c r="N648" s="4">
        <v>0</v>
      </c>
      <c r="O648" s="4">
        <v>0</v>
      </c>
      <c r="P648" s="4">
        <v>456</v>
      </c>
      <c r="Q648" s="3" t="s">
        <v>26</v>
      </c>
      <c r="R648" s="3">
        <v>0</v>
      </c>
      <c r="S648" s="4">
        <v>44</v>
      </c>
      <c r="T648" s="4">
        <v>0</v>
      </c>
      <c r="U648" s="4">
        <v>0</v>
      </c>
      <c r="V648" s="4">
        <v>24.31</v>
      </c>
      <c r="W648" s="4">
        <v>0</v>
      </c>
      <c r="X648" s="4">
        <v>0</v>
      </c>
      <c r="Y648" s="4">
        <v>27.784764762164471</v>
      </c>
      <c r="Z648" s="4"/>
      <c r="AA648" s="4"/>
      <c r="AB648" s="4">
        <v>1185428.53</v>
      </c>
      <c r="AC648" s="4">
        <v>0</v>
      </c>
      <c r="AD648" s="4">
        <v>0</v>
      </c>
      <c r="AE648" s="4">
        <v>1354868.4840974261</v>
      </c>
      <c r="AF648" s="4">
        <v>0</v>
      </c>
      <c r="AG648" s="4">
        <v>0</v>
      </c>
    </row>
    <row r="649" spans="1:33" ht="11.25" customHeight="1" x14ac:dyDescent="0.25">
      <c r="A649" s="3" t="s">
        <v>27</v>
      </c>
      <c r="B649" s="3" t="s">
        <v>41</v>
      </c>
      <c r="C649" s="3" t="s">
        <v>42</v>
      </c>
      <c r="D649" s="3" t="s">
        <v>43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44317</v>
      </c>
      <c r="J649" s="4">
        <v>-112</v>
      </c>
      <c r="K649" s="4">
        <v>-112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3" t="s">
        <v>26</v>
      </c>
      <c r="R649" s="3">
        <v>0</v>
      </c>
      <c r="S649" s="4">
        <v>44</v>
      </c>
      <c r="T649" s="4">
        <v>0</v>
      </c>
      <c r="U649" s="4">
        <v>0</v>
      </c>
      <c r="V649" s="4">
        <v>24.31</v>
      </c>
      <c r="W649" s="4">
        <v>0</v>
      </c>
      <c r="X649" s="4">
        <v>0</v>
      </c>
      <c r="Y649" s="4">
        <v>27.784764762164471</v>
      </c>
      <c r="Z649" s="4"/>
      <c r="AA649" s="4"/>
      <c r="AB649" s="4">
        <v>-2722.72</v>
      </c>
      <c r="AC649" s="4">
        <v>0</v>
      </c>
      <c r="AD649" s="4">
        <v>0</v>
      </c>
      <c r="AE649" s="4">
        <v>-3111.893653362421</v>
      </c>
      <c r="AF649" s="4">
        <v>0</v>
      </c>
      <c r="AG649" s="4">
        <v>0</v>
      </c>
    </row>
    <row r="650" spans="1:33" ht="11.25" customHeight="1" x14ac:dyDescent="0.25">
      <c r="A650" s="3" t="s">
        <v>28</v>
      </c>
      <c r="B650" s="3" t="s">
        <v>41</v>
      </c>
      <c r="C650" s="3" t="s">
        <v>42</v>
      </c>
      <c r="D650" s="3" t="s">
        <v>43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44317</v>
      </c>
      <c r="J650" s="4">
        <v>4544</v>
      </c>
      <c r="K650" s="4">
        <v>4544</v>
      </c>
      <c r="L650" s="4">
        <v>0</v>
      </c>
      <c r="M650" s="4">
        <v>0</v>
      </c>
      <c r="N650" s="4">
        <v>0</v>
      </c>
      <c r="O650" s="4">
        <v>0</v>
      </c>
      <c r="P650" s="4">
        <v>30</v>
      </c>
      <c r="Q650" s="3" t="s">
        <v>26</v>
      </c>
      <c r="R650" s="3">
        <v>0</v>
      </c>
      <c r="S650" s="4">
        <v>44</v>
      </c>
      <c r="T650" s="4">
        <v>0</v>
      </c>
      <c r="U650" s="4">
        <v>0</v>
      </c>
      <c r="V650" s="4">
        <v>24.31</v>
      </c>
      <c r="W650" s="4">
        <v>0</v>
      </c>
      <c r="X650" s="4">
        <v>0</v>
      </c>
      <c r="Y650" s="4">
        <v>27.784764762164471</v>
      </c>
      <c r="Z650" s="4"/>
      <c r="AA650" s="4"/>
      <c r="AB650" s="4">
        <v>110464.64</v>
      </c>
      <c r="AC650" s="4">
        <v>0</v>
      </c>
      <c r="AD650" s="4">
        <v>0</v>
      </c>
      <c r="AE650" s="4">
        <v>126253.97107927536</v>
      </c>
      <c r="AF650" s="4">
        <v>0</v>
      </c>
      <c r="AG650" s="4">
        <v>0</v>
      </c>
    </row>
    <row r="651" spans="1:33" ht="11.25" customHeight="1" x14ac:dyDescent="0.25">
      <c r="A651" s="3" t="s">
        <v>21</v>
      </c>
      <c r="B651" s="3" t="s">
        <v>41</v>
      </c>
      <c r="C651" s="3" t="s">
        <v>42</v>
      </c>
      <c r="D651" s="3" t="s">
        <v>43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44317</v>
      </c>
      <c r="J651" s="4">
        <v>239</v>
      </c>
      <c r="K651" s="4">
        <v>239</v>
      </c>
      <c r="L651" s="4">
        <v>0</v>
      </c>
      <c r="M651" s="4">
        <v>0</v>
      </c>
      <c r="N651" s="4">
        <v>0</v>
      </c>
      <c r="O651" s="4">
        <v>0</v>
      </c>
      <c r="P651" s="4">
        <v>1</v>
      </c>
      <c r="Q651" s="3" t="s">
        <v>57</v>
      </c>
      <c r="R651" s="3">
        <v>0</v>
      </c>
      <c r="S651" s="4">
        <v>44</v>
      </c>
      <c r="T651" s="4">
        <v>0</v>
      </c>
      <c r="U651" s="4">
        <v>0</v>
      </c>
      <c r="V651" s="4">
        <v>24.31</v>
      </c>
      <c r="W651" s="4">
        <v>0</v>
      </c>
      <c r="X651" s="4">
        <v>0</v>
      </c>
      <c r="Y651" s="4">
        <v>27.784764762164471</v>
      </c>
      <c r="Z651" s="4"/>
      <c r="AA651" s="4"/>
      <c r="AB651" s="4">
        <v>5810.09</v>
      </c>
      <c r="AC651" s="4">
        <v>0</v>
      </c>
      <c r="AD651" s="4">
        <v>0</v>
      </c>
      <c r="AE651" s="4">
        <v>6640.5587781573086</v>
      </c>
      <c r="AF651" s="4">
        <v>0</v>
      </c>
      <c r="AG651" s="4">
        <v>0</v>
      </c>
    </row>
    <row r="652" spans="1:33" ht="11.25" customHeight="1" x14ac:dyDescent="0.25">
      <c r="A652" s="3" t="s">
        <v>21</v>
      </c>
      <c r="B652" s="3" t="s">
        <v>41</v>
      </c>
      <c r="C652" s="3" t="s">
        <v>42</v>
      </c>
      <c r="D652" s="3" t="s">
        <v>43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44348</v>
      </c>
      <c r="J652" s="4">
        <v>48558</v>
      </c>
      <c r="K652" s="4">
        <v>48558</v>
      </c>
      <c r="L652" s="4">
        <v>0</v>
      </c>
      <c r="M652" s="4">
        <v>0</v>
      </c>
      <c r="N652" s="4">
        <v>0</v>
      </c>
      <c r="O652" s="4">
        <v>0</v>
      </c>
      <c r="P652" s="4">
        <v>456</v>
      </c>
      <c r="Q652" s="3" t="s">
        <v>26</v>
      </c>
      <c r="R652" s="3">
        <v>0</v>
      </c>
      <c r="S652" s="4">
        <v>44</v>
      </c>
      <c r="T652" s="4">
        <v>0</v>
      </c>
      <c r="U652" s="4">
        <v>0</v>
      </c>
      <c r="V652" s="4">
        <v>24.31</v>
      </c>
      <c r="W652" s="4">
        <v>0</v>
      </c>
      <c r="X652" s="4">
        <v>0</v>
      </c>
      <c r="Y652" s="4">
        <v>27.784764762164471</v>
      </c>
      <c r="Z652" s="4"/>
      <c r="AA652" s="4"/>
      <c r="AB652" s="4">
        <v>1180444.98</v>
      </c>
      <c r="AC652" s="4">
        <v>0</v>
      </c>
      <c r="AD652" s="4">
        <v>0</v>
      </c>
      <c r="AE652" s="4">
        <v>1349172.6073211825</v>
      </c>
      <c r="AF652" s="4">
        <v>0</v>
      </c>
      <c r="AG652" s="4">
        <v>0</v>
      </c>
    </row>
    <row r="653" spans="1:33" ht="11.25" customHeight="1" x14ac:dyDescent="0.25">
      <c r="A653" s="3" t="s">
        <v>27</v>
      </c>
      <c r="B653" s="3" t="s">
        <v>41</v>
      </c>
      <c r="C653" s="3" t="s">
        <v>42</v>
      </c>
      <c r="D653" s="3" t="s">
        <v>43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44348</v>
      </c>
      <c r="J653" s="4">
        <v>-253</v>
      </c>
      <c r="K653" s="4">
        <v>-253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3" t="s">
        <v>26</v>
      </c>
      <c r="R653" s="3">
        <v>0</v>
      </c>
      <c r="S653" s="4">
        <v>44</v>
      </c>
      <c r="T653" s="4">
        <v>0</v>
      </c>
      <c r="U653" s="4">
        <v>0</v>
      </c>
      <c r="V653" s="4">
        <v>24.31</v>
      </c>
      <c r="W653" s="4">
        <v>0</v>
      </c>
      <c r="X653" s="4">
        <v>0</v>
      </c>
      <c r="Y653" s="4">
        <v>27.784764762164471</v>
      </c>
      <c r="Z653" s="4"/>
      <c r="AA653" s="4"/>
      <c r="AB653" s="4">
        <v>-6150.4299999999994</v>
      </c>
      <c r="AC653" s="4">
        <v>0</v>
      </c>
      <c r="AD653" s="4">
        <v>0</v>
      </c>
      <c r="AE653" s="4">
        <v>-7029.5454848276113</v>
      </c>
      <c r="AF653" s="4">
        <v>0</v>
      </c>
      <c r="AG653" s="4">
        <v>0</v>
      </c>
    </row>
    <row r="654" spans="1:33" ht="11.25" customHeight="1" x14ac:dyDescent="0.25">
      <c r="A654" s="3" t="s">
        <v>28</v>
      </c>
      <c r="B654" s="3" t="s">
        <v>41</v>
      </c>
      <c r="C654" s="3" t="s">
        <v>42</v>
      </c>
      <c r="D654" s="3" t="s">
        <v>43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44348</v>
      </c>
      <c r="J654" s="4">
        <v>4348</v>
      </c>
      <c r="K654" s="4">
        <v>4348</v>
      </c>
      <c r="L654" s="4">
        <v>0</v>
      </c>
      <c r="M654" s="4">
        <v>0</v>
      </c>
      <c r="N654" s="4">
        <v>0</v>
      </c>
      <c r="O654" s="4">
        <v>0</v>
      </c>
      <c r="P654" s="4">
        <v>27</v>
      </c>
      <c r="Q654" s="3" t="s">
        <v>26</v>
      </c>
      <c r="R654" s="3">
        <v>0</v>
      </c>
      <c r="S654" s="4">
        <v>44</v>
      </c>
      <c r="T654" s="4">
        <v>0</v>
      </c>
      <c r="U654" s="4">
        <v>0</v>
      </c>
      <c r="V654" s="4">
        <v>24.31</v>
      </c>
      <c r="W654" s="4">
        <v>0</v>
      </c>
      <c r="X654" s="4">
        <v>0</v>
      </c>
      <c r="Y654" s="4">
        <v>27.784764762164471</v>
      </c>
      <c r="Z654" s="4"/>
      <c r="AA654" s="4"/>
      <c r="AB654" s="4">
        <v>105699.87999999999</v>
      </c>
      <c r="AC654" s="4">
        <v>0</v>
      </c>
      <c r="AD654" s="4">
        <v>0</v>
      </c>
      <c r="AE654" s="4">
        <v>120808.15718589112</v>
      </c>
      <c r="AF654" s="4">
        <v>0</v>
      </c>
      <c r="AG654" s="4">
        <v>0</v>
      </c>
    </row>
    <row r="655" spans="1:33" ht="11.25" customHeight="1" x14ac:dyDescent="0.25">
      <c r="A655" s="3" t="s">
        <v>21</v>
      </c>
      <c r="B655" s="3" t="s">
        <v>41</v>
      </c>
      <c r="C655" s="3" t="s">
        <v>42</v>
      </c>
      <c r="D655" s="3" t="s">
        <v>43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44348</v>
      </c>
      <c r="J655" s="4">
        <v>239</v>
      </c>
      <c r="K655" s="4">
        <v>239</v>
      </c>
      <c r="L655" s="4">
        <v>0</v>
      </c>
      <c r="M655" s="4">
        <v>0</v>
      </c>
      <c r="N655" s="4">
        <v>0</v>
      </c>
      <c r="O655" s="4">
        <v>0</v>
      </c>
      <c r="P655" s="4">
        <v>1</v>
      </c>
      <c r="Q655" s="3" t="s">
        <v>57</v>
      </c>
      <c r="R655" s="3">
        <v>0</v>
      </c>
      <c r="S655" s="4">
        <v>44</v>
      </c>
      <c r="T655" s="4">
        <v>0</v>
      </c>
      <c r="U655" s="4">
        <v>0</v>
      </c>
      <c r="V655" s="4">
        <v>24.31</v>
      </c>
      <c r="W655" s="4">
        <v>0</v>
      </c>
      <c r="X655" s="4">
        <v>0</v>
      </c>
      <c r="Y655" s="4">
        <v>27.784764762164471</v>
      </c>
      <c r="Z655" s="4"/>
      <c r="AA655" s="4"/>
      <c r="AB655" s="4">
        <v>5810.09</v>
      </c>
      <c r="AC655" s="4">
        <v>0</v>
      </c>
      <c r="AD655" s="4">
        <v>0</v>
      </c>
      <c r="AE655" s="4">
        <v>6640.5587781573086</v>
      </c>
      <c r="AF655" s="4">
        <v>0</v>
      </c>
      <c r="AG655" s="4">
        <v>0</v>
      </c>
    </row>
    <row r="656" spans="1:33" ht="11.25" customHeight="1" x14ac:dyDescent="0.25">
      <c r="A656" s="3" t="s">
        <v>21</v>
      </c>
      <c r="B656" s="3" t="s">
        <v>41</v>
      </c>
      <c r="C656" s="3" t="s">
        <v>42</v>
      </c>
      <c r="D656" s="3" t="s">
        <v>43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44378</v>
      </c>
      <c r="J656" s="4">
        <v>48105</v>
      </c>
      <c r="K656" s="4">
        <v>48105</v>
      </c>
      <c r="L656" s="4">
        <v>0</v>
      </c>
      <c r="M656" s="4">
        <v>0</v>
      </c>
      <c r="N656" s="4">
        <v>0</v>
      </c>
      <c r="O656" s="4">
        <v>0</v>
      </c>
      <c r="P656" s="4">
        <v>453</v>
      </c>
      <c r="Q656" s="3" t="s">
        <v>26</v>
      </c>
      <c r="R656" s="3">
        <v>0</v>
      </c>
      <c r="S656" s="4">
        <v>44</v>
      </c>
      <c r="T656" s="4">
        <v>0</v>
      </c>
      <c r="U656" s="4">
        <v>0</v>
      </c>
      <c r="V656" s="4">
        <v>24.31</v>
      </c>
      <c r="W656" s="4">
        <v>0</v>
      </c>
      <c r="X656" s="4">
        <v>0</v>
      </c>
      <c r="Y656" s="4">
        <v>27.784764762164471</v>
      </c>
      <c r="Z656" s="4"/>
      <c r="AA656" s="4"/>
      <c r="AB656" s="4">
        <v>1169432.55</v>
      </c>
      <c r="AC656" s="4">
        <v>0</v>
      </c>
      <c r="AD656" s="4">
        <v>0</v>
      </c>
      <c r="AE656" s="4">
        <v>1336586.108883922</v>
      </c>
      <c r="AF656" s="4">
        <v>0</v>
      </c>
      <c r="AG656" s="4">
        <v>0</v>
      </c>
    </row>
    <row r="657" spans="1:33" ht="11.25" customHeight="1" x14ac:dyDescent="0.25">
      <c r="A657" s="3" t="s">
        <v>27</v>
      </c>
      <c r="B657" s="3" t="s">
        <v>41</v>
      </c>
      <c r="C657" s="3" t="s">
        <v>42</v>
      </c>
      <c r="D657" s="3" t="s">
        <v>43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44378</v>
      </c>
      <c r="J657" s="4">
        <v>75</v>
      </c>
      <c r="K657" s="4">
        <v>75</v>
      </c>
      <c r="L657" s="4">
        <v>0</v>
      </c>
      <c r="M657" s="4">
        <v>0</v>
      </c>
      <c r="N657" s="4">
        <v>0</v>
      </c>
      <c r="O657" s="4">
        <v>0</v>
      </c>
      <c r="P657" s="4">
        <v>1</v>
      </c>
      <c r="Q657" s="3" t="s">
        <v>26</v>
      </c>
      <c r="R657" s="3">
        <v>0</v>
      </c>
      <c r="S657" s="4">
        <v>44</v>
      </c>
      <c r="T657" s="4">
        <v>0</v>
      </c>
      <c r="U657" s="4">
        <v>0</v>
      </c>
      <c r="V657" s="4">
        <v>24.31</v>
      </c>
      <c r="W657" s="4">
        <v>0</v>
      </c>
      <c r="X657" s="4">
        <v>0</v>
      </c>
      <c r="Y657" s="4">
        <v>27.784764762164471</v>
      </c>
      <c r="Z657" s="4"/>
      <c r="AA657" s="4"/>
      <c r="AB657" s="4">
        <v>1823.25</v>
      </c>
      <c r="AC657" s="4">
        <v>0</v>
      </c>
      <c r="AD657" s="4">
        <v>0</v>
      </c>
      <c r="AE657" s="4">
        <v>2083.8573571623351</v>
      </c>
      <c r="AF657" s="4">
        <v>0</v>
      </c>
      <c r="AG657" s="4">
        <v>0</v>
      </c>
    </row>
    <row r="658" spans="1:33" ht="11.25" customHeight="1" x14ac:dyDescent="0.25">
      <c r="A658" s="3" t="s">
        <v>28</v>
      </c>
      <c r="B658" s="3" t="s">
        <v>41</v>
      </c>
      <c r="C658" s="3" t="s">
        <v>42</v>
      </c>
      <c r="D658" s="3" t="s">
        <v>43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44378</v>
      </c>
      <c r="J658" s="4">
        <v>4440</v>
      </c>
      <c r="K658" s="4">
        <v>4440</v>
      </c>
      <c r="L658" s="4">
        <v>0</v>
      </c>
      <c r="M658" s="4">
        <v>0</v>
      </c>
      <c r="N658" s="4">
        <v>0</v>
      </c>
      <c r="O658" s="4">
        <v>0</v>
      </c>
      <c r="P658" s="4">
        <v>26</v>
      </c>
      <c r="Q658" s="3" t="s">
        <v>26</v>
      </c>
      <c r="R658" s="3">
        <v>0</v>
      </c>
      <c r="S658" s="4">
        <v>44</v>
      </c>
      <c r="T658" s="4">
        <v>0</v>
      </c>
      <c r="U658" s="4">
        <v>0</v>
      </c>
      <c r="V658" s="4">
        <v>24.31</v>
      </c>
      <c r="W658" s="4">
        <v>0</v>
      </c>
      <c r="X658" s="4">
        <v>0</v>
      </c>
      <c r="Y658" s="4">
        <v>27.784764762164471</v>
      </c>
      <c r="Z658" s="4"/>
      <c r="AA658" s="4"/>
      <c r="AB658" s="4">
        <v>107936.4</v>
      </c>
      <c r="AC658" s="4">
        <v>0</v>
      </c>
      <c r="AD658" s="4">
        <v>0</v>
      </c>
      <c r="AE658" s="4">
        <v>123364.35554401025</v>
      </c>
      <c r="AF658" s="4">
        <v>0</v>
      </c>
      <c r="AG658" s="4">
        <v>0</v>
      </c>
    </row>
    <row r="659" spans="1:33" ht="11.25" customHeight="1" x14ac:dyDescent="0.25">
      <c r="A659" s="3" t="s">
        <v>21</v>
      </c>
      <c r="B659" s="3" t="s">
        <v>41</v>
      </c>
      <c r="C659" s="3" t="s">
        <v>42</v>
      </c>
      <c r="D659" s="3" t="s">
        <v>43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44378</v>
      </c>
      <c r="J659" s="4">
        <v>2239</v>
      </c>
      <c r="K659" s="4">
        <v>2239</v>
      </c>
      <c r="L659" s="4">
        <v>0</v>
      </c>
      <c r="M659" s="4">
        <v>0</v>
      </c>
      <c r="N659" s="4">
        <v>0</v>
      </c>
      <c r="O659" s="4">
        <v>0</v>
      </c>
      <c r="P659" s="4">
        <v>2</v>
      </c>
      <c r="Q659" s="3" t="s">
        <v>57</v>
      </c>
      <c r="R659" s="3">
        <v>0</v>
      </c>
      <c r="S659" s="4">
        <v>44</v>
      </c>
      <c r="T659" s="4">
        <v>0</v>
      </c>
      <c r="U659" s="4">
        <v>0</v>
      </c>
      <c r="V659" s="4">
        <v>24.31</v>
      </c>
      <c r="W659" s="4">
        <v>0</v>
      </c>
      <c r="X659" s="4">
        <v>0</v>
      </c>
      <c r="Y659" s="4">
        <v>27.784764762164471</v>
      </c>
      <c r="Z659" s="4"/>
      <c r="AA659" s="4"/>
      <c r="AB659" s="4">
        <v>54430.09</v>
      </c>
      <c r="AC659" s="4">
        <v>0</v>
      </c>
      <c r="AD659" s="4">
        <v>0</v>
      </c>
      <c r="AE659" s="4">
        <v>62210.088302486249</v>
      </c>
      <c r="AF659" s="4">
        <v>0</v>
      </c>
      <c r="AG659" s="4">
        <v>0</v>
      </c>
    </row>
    <row r="660" spans="1:33" ht="11.25" customHeight="1" x14ac:dyDescent="0.25">
      <c r="A660" s="3" t="s">
        <v>21</v>
      </c>
      <c r="B660" s="3" t="s">
        <v>41</v>
      </c>
      <c r="C660" s="3" t="s">
        <v>42</v>
      </c>
      <c r="D660" s="3" t="s">
        <v>43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44409</v>
      </c>
      <c r="J660" s="4">
        <v>48595</v>
      </c>
      <c r="K660" s="4">
        <v>48595</v>
      </c>
      <c r="L660" s="4">
        <v>0</v>
      </c>
      <c r="M660" s="4">
        <v>0</v>
      </c>
      <c r="N660" s="4">
        <v>0</v>
      </c>
      <c r="O660" s="4">
        <v>0</v>
      </c>
      <c r="P660" s="4">
        <v>454</v>
      </c>
      <c r="Q660" s="3" t="s">
        <v>26</v>
      </c>
      <c r="R660" s="3">
        <v>0</v>
      </c>
      <c r="S660" s="4">
        <v>44</v>
      </c>
      <c r="T660" s="4">
        <v>0</v>
      </c>
      <c r="U660" s="4">
        <v>0</v>
      </c>
      <c r="V660" s="4">
        <v>24.31</v>
      </c>
      <c r="W660" s="4">
        <v>0</v>
      </c>
      <c r="X660" s="4">
        <v>0</v>
      </c>
      <c r="Y660" s="4">
        <v>27.784764762164471</v>
      </c>
      <c r="Z660" s="4"/>
      <c r="AA660" s="4"/>
      <c r="AB660" s="4">
        <v>1181344.45</v>
      </c>
      <c r="AC660" s="4">
        <v>0</v>
      </c>
      <c r="AD660" s="4">
        <v>0</v>
      </c>
      <c r="AE660" s="4">
        <v>1350200.6436173825</v>
      </c>
      <c r="AF660" s="4">
        <v>0</v>
      </c>
      <c r="AG660" s="4">
        <v>0</v>
      </c>
    </row>
    <row r="661" spans="1:33" ht="11.25" customHeight="1" x14ac:dyDescent="0.25">
      <c r="A661" s="3" t="s">
        <v>28</v>
      </c>
      <c r="B661" s="3" t="s">
        <v>41</v>
      </c>
      <c r="C661" s="3" t="s">
        <v>42</v>
      </c>
      <c r="D661" s="3" t="s">
        <v>43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44409</v>
      </c>
      <c r="J661" s="4">
        <v>4366</v>
      </c>
      <c r="K661" s="4">
        <v>4366</v>
      </c>
      <c r="L661" s="4">
        <v>0</v>
      </c>
      <c r="M661" s="4">
        <v>0</v>
      </c>
      <c r="N661" s="4">
        <v>0</v>
      </c>
      <c r="O661" s="4">
        <v>0</v>
      </c>
      <c r="P661" s="4">
        <v>26</v>
      </c>
      <c r="Q661" s="3" t="s">
        <v>26</v>
      </c>
      <c r="R661" s="3">
        <v>0</v>
      </c>
      <c r="S661" s="4">
        <v>44</v>
      </c>
      <c r="T661" s="4">
        <v>0</v>
      </c>
      <c r="U661" s="4">
        <v>0</v>
      </c>
      <c r="V661" s="4">
        <v>24.31</v>
      </c>
      <c r="W661" s="4">
        <v>0</v>
      </c>
      <c r="X661" s="4">
        <v>0</v>
      </c>
      <c r="Y661" s="4">
        <v>27.784764762164471</v>
      </c>
      <c r="Z661" s="4"/>
      <c r="AA661" s="4"/>
      <c r="AB661" s="4">
        <v>106137.45999999999</v>
      </c>
      <c r="AC661" s="4">
        <v>0</v>
      </c>
      <c r="AD661" s="4">
        <v>0</v>
      </c>
      <c r="AE661" s="4">
        <v>121308.28295161008</v>
      </c>
      <c r="AF661" s="4">
        <v>0</v>
      </c>
      <c r="AG661" s="4">
        <v>0</v>
      </c>
    </row>
    <row r="662" spans="1:33" ht="11.25" customHeight="1" x14ac:dyDescent="0.25">
      <c r="A662" s="3" t="s">
        <v>21</v>
      </c>
      <c r="B662" s="3" t="s">
        <v>41</v>
      </c>
      <c r="C662" s="3" t="s">
        <v>42</v>
      </c>
      <c r="D662" s="3" t="s">
        <v>43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44409</v>
      </c>
      <c r="J662" s="4">
        <v>3319</v>
      </c>
      <c r="K662" s="4">
        <v>3319</v>
      </c>
      <c r="L662" s="4">
        <v>0</v>
      </c>
      <c r="M662" s="4">
        <v>0</v>
      </c>
      <c r="N662" s="4">
        <v>0</v>
      </c>
      <c r="O662" s="4">
        <v>0</v>
      </c>
      <c r="P662" s="4">
        <v>5</v>
      </c>
      <c r="Q662" s="3" t="s">
        <v>57</v>
      </c>
      <c r="R662" s="3">
        <v>0</v>
      </c>
      <c r="S662" s="4">
        <v>44</v>
      </c>
      <c r="T662" s="4">
        <v>0</v>
      </c>
      <c r="U662" s="4">
        <v>0</v>
      </c>
      <c r="V662" s="4">
        <v>24.31</v>
      </c>
      <c r="W662" s="4">
        <v>0</v>
      </c>
      <c r="X662" s="4">
        <v>0</v>
      </c>
      <c r="Y662" s="4">
        <v>27.784764762164471</v>
      </c>
      <c r="Z662" s="4"/>
      <c r="AA662" s="4"/>
      <c r="AB662" s="4">
        <v>80684.89</v>
      </c>
      <c r="AC662" s="4">
        <v>0</v>
      </c>
      <c r="AD662" s="4">
        <v>0</v>
      </c>
      <c r="AE662" s="4">
        <v>92217.634245623878</v>
      </c>
      <c r="AF662" s="4">
        <v>0</v>
      </c>
      <c r="AG662" s="4">
        <v>0</v>
      </c>
    </row>
    <row r="663" spans="1:33" ht="11.25" customHeight="1" x14ac:dyDescent="0.25">
      <c r="A663" s="3" t="s">
        <v>21</v>
      </c>
      <c r="B663" s="3" t="s">
        <v>41</v>
      </c>
      <c r="C663" s="3" t="s">
        <v>42</v>
      </c>
      <c r="D663" s="3" t="s">
        <v>43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44440</v>
      </c>
      <c r="J663" s="4">
        <v>49028</v>
      </c>
      <c r="K663" s="4">
        <v>49028</v>
      </c>
      <c r="L663" s="4">
        <v>0</v>
      </c>
      <c r="M663" s="4">
        <v>0</v>
      </c>
      <c r="N663" s="4">
        <v>0</v>
      </c>
      <c r="O663" s="4">
        <v>0</v>
      </c>
      <c r="P663" s="4">
        <v>453</v>
      </c>
      <c r="Q663" s="3" t="s">
        <v>26</v>
      </c>
      <c r="R663" s="3">
        <v>0</v>
      </c>
      <c r="S663" s="4">
        <v>44</v>
      </c>
      <c r="T663" s="4">
        <v>0</v>
      </c>
      <c r="U663" s="4">
        <v>0</v>
      </c>
      <c r="V663" s="4">
        <v>24.31</v>
      </c>
      <c r="W663" s="4">
        <v>0</v>
      </c>
      <c r="X663" s="4">
        <v>0</v>
      </c>
      <c r="Y663" s="4">
        <v>27.784764762164471</v>
      </c>
      <c r="Z663" s="4"/>
      <c r="AA663" s="4"/>
      <c r="AB663" s="4">
        <v>1191870.68</v>
      </c>
      <c r="AC663" s="4">
        <v>0</v>
      </c>
      <c r="AD663" s="4">
        <v>0</v>
      </c>
      <c r="AE663" s="4">
        <v>1362231.4467593997</v>
      </c>
      <c r="AF663" s="4">
        <v>0</v>
      </c>
      <c r="AG663" s="4">
        <v>0</v>
      </c>
    </row>
    <row r="664" spans="1:33" ht="11.25" customHeight="1" x14ac:dyDescent="0.25">
      <c r="A664" s="3" t="s">
        <v>28</v>
      </c>
      <c r="B664" s="3" t="s">
        <v>41</v>
      </c>
      <c r="C664" s="3" t="s">
        <v>42</v>
      </c>
      <c r="D664" s="3" t="s">
        <v>43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44440</v>
      </c>
      <c r="J664" s="4">
        <v>4670</v>
      </c>
      <c r="K664" s="4">
        <v>4670</v>
      </c>
      <c r="L664" s="4">
        <v>0</v>
      </c>
      <c r="M664" s="4">
        <v>0</v>
      </c>
      <c r="N664" s="4">
        <v>0</v>
      </c>
      <c r="O664" s="4">
        <v>0</v>
      </c>
      <c r="P664" s="4">
        <v>30</v>
      </c>
      <c r="Q664" s="3" t="s">
        <v>26</v>
      </c>
      <c r="R664" s="3">
        <v>0</v>
      </c>
      <c r="S664" s="4">
        <v>44</v>
      </c>
      <c r="T664" s="4">
        <v>0</v>
      </c>
      <c r="U664" s="4">
        <v>0</v>
      </c>
      <c r="V664" s="4">
        <v>24.31</v>
      </c>
      <c r="W664" s="4">
        <v>0</v>
      </c>
      <c r="X664" s="4">
        <v>0</v>
      </c>
      <c r="Y664" s="4">
        <v>27.784764762164471</v>
      </c>
      <c r="Z664" s="4"/>
      <c r="AA664" s="4"/>
      <c r="AB664" s="4">
        <v>113527.7</v>
      </c>
      <c r="AC664" s="4">
        <v>0</v>
      </c>
      <c r="AD664" s="4">
        <v>0</v>
      </c>
      <c r="AE664" s="4">
        <v>129754.85143930808</v>
      </c>
      <c r="AF664" s="4">
        <v>0</v>
      </c>
      <c r="AG664" s="4">
        <v>0</v>
      </c>
    </row>
    <row r="665" spans="1:33" ht="11.25" customHeight="1" x14ac:dyDescent="0.25">
      <c r="A665" s="3" t="s">
        <v>21</v>
      </c>
      <c r="B665" s="3" t="s">
        <v>41</v>
      </c>
      <c r="C665" s="3" t="s">
        <v>42</v>
      </c>
      <c r="D665" s="3" t="s">
        <v>43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44440</v>
      </c>
      <c r="J665" s="4">
        <v>2239</v>
      </c>
      <c r="K665" s="4">
        <v>2239</v>
      </c>
      <c r="L665" s="4">
        <v>0</v>
      </c>
      <c r="M665" s="4">
        <v>0</v>
      </c>
      <c r="N665" s="4">
        <v>0</v>
      </c>
      <c r="O665" s="4">
        <v>0</v>
      </c>
      <c r="P665" s="4">
        <v>2</v>
      </c>
      <c r="Q665" s="3" t="s">
        <v>57</v>
      </c>
      <c r="R665" s="3">
        <v>0</v>
      </c>
      <c r="S665" s="4">
        <v>44</v>
      </c>
      <c r="T665" s="4">
        <v>0</v>
      </c>
      <c r="U665" s="4">
        <v>0</v>
      </c>
      <c r="V665" s="4">
        <v>24.31</v>
      </c>
      <c r="W665" s="4">
        <v>0</v>
      </c>
      <c r="X665" s="4">
        <v>0</v>
      </c>
      <c r="Y665" s="4">
        <v>27.784764762164471</v>
      </c>
      <c r="Z665" s="4"/>
      <c r="AA665" s="4"/>
      <c r="AB665" s="4">
        <v>54430.09</v>
      </c>
      <c r="AC665" s="4">
        <v>0</v>
      </c>
      <c r="AD665" s="4">
        <v>0</v>
      </c>
      <c r="AE665" s="4">
        <v>62210.088302486249</v>
      </c>
      <c r="AF665" s="4">
        <v>0</v>
      </c>
      <c r="AG665" s="4">
        <v>0</v>
      </c>
    </row>
    <row r="666" spans="1:33" ht="11.25" customHeight="1" x14ac:dyDescent="0.25">
      <c r="A666" s="3" t="s">
        <v>21</v>
      </c>
      <c r="B666" s="3" t="s">
        <v>41</v>
      </c>
      <c r="C666" s="3" t="s">
        <v>42</v>
      </c>
      <c r="D666" s="3" t="s">
        <v>43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44470</v>
      </c>
      <c r="J666" s="4">
        <v>48707</v>
      </c>
      <c r="K666" s="4">
        <v>48707</v>
      </c>
      <c r="L666" s="4">
        <v>0</v>
      </c>
      <c r="M666" s="4">
        <v>0</v>
      </c>
      <c r="N666" s="4">
        <v>0</v>
      </c>
      <c r="O666" s="4">
        <v>0</v>
      </c>
      <c r="P666" s="4">
        <v>452</v>
      </c>
      <c r="Q666" s="3" t="s">
        <v>26</v>
      </c>
      <c r="R666" s="3">
        <v>0</v>
      </c>
      <c r="S666" s="4">
        <v>44</v>
      </c>
      <c r="T666" s="4">
        <v>0</v>
      </c>
      <c r="U666" s="4">
        <v>0</v>
      </c>
      <c r="V666" s="4">
        <v>24.31</v>
      </c>
      <c r="W666" s="4">
        <v>0</v>
      </c>
      <c r="X666" s="4">
        <v>0</v>
      </c>
      <c r="Y666" s="4">
        <v>27.784764762164471</v>
      </c>
      <c r="Z666" s="4"/>
      <c r="AA666" s="4"/>
      <c r="AB666" s="4">
        <v>1184067.17</v>
      </c>
      <c r="AC666" s="4">
        <v>0</v>
      </c>
      <c r="AD666" s="4">
        <v>0</v>
      </c>
      <c r="AE666" s="4">
        <v>1353312.5372707448</v>
      </c>
      <c r="AF666" s="4">
        <v>0</v>
      </c>
      <c r="AG666" s="4">
        <v>0</v>
      </c>
    </row>
    <row r="667" spans="1:33" ht="11.25" customHeight="1" x14ac:dyDescent="0.25">
      <c r="A667" s="3" t="s">
        <v>27</v>
      </c>
      <c r="B667" s="3" t="s">
        <v>41</v>
      </c>
      <c r="C667" s="3" t="s">
        <v>42</v>
      </c>
      <c r="D667" s="3" t="s">
        <v>43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44470</v>
      </c>
      <c r="J667" s="4">
        <v>-958</v>
      </c>
      <c r="K667" s="4">
        <v>-958</v>
      </c>
      <c r="L667" s="4">
        <v>0</v>
      </c>
      <c r="M667" s="4">
        <v>0</v>
      </c>
      <c r="N667" s="4">
        <v>0</v>
      </c>
      <c r="O667" s="4">
        <v>0</v>
      </c>
      <c r="P667" s="4">
        <v>-1</v>
      </c>
      <c r="Q667" s="3" t="s">
        <v>26</v>
      </c>
      <c r="R667" s="3">
        <v>0</v>
      </c>
      <c r="S667" s="4">
        <v>44</v>
      </c>
      <c r="T667" s="4">
        <v>0</v>
      </c>
      <c r="U667" s="4">
        <v>0</v>
      </c>
      <c r="V667" s="4">
        <v>24.31</v>
      </c>
      <c r="W667" s="4">
        <v>0</v>
      </c>
      <c r="X667" s="4">
        <v>0</v>
      </c>
      <c r="Y667" s="4">
        <v>27.784764762164471</v>
      </c>
      <c r="Z667" s="4"/>
      <c r="AA667" s="4"/>
      <c r="AB667" s="4">
        <v>-23288.98</v>
      </c>
      <c r="AC667" s="4">
        <v>0</v>
      </c>
      <c r="AD667" s="4">
        <v>0</v>
      </c>
      <c r="AE667" s="4">
        <v>-26617.804642153562</v>
      </c>
      <c r="AF667" s="4">
        <v>0</v>
      </c>
      <c r="AG667" s="4">
        <v>0</v>
      </c>
    </row>
    <row r="668" spans="1:33" ht="11.25" customHeight="1" x14ac:dyDescent="0.25">
      <c r="A668" s="3" t="s">
        <v>28</v>
      </c>
      <c r="B668" s="3" t="s">
        <v>41</v>
      </c>
      <c r="C668" s="3" t="s">
        <v>42</v>
      </c>
      <c r="D668" s="3" t="s">
        <v>43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44470</v>
      </c>
      <c r="J668" s="4">
        <v>4634</v>
      </c>
      <c r="K668" s="4">
        <v>4634</v>
      </c>
      <c r="L668" s="4">
        <v>0</v>
      </c>
      <c r="M668" s="4">
        <v>0</v>
      </c>
      <c r="N668" s="4">
        <v>0</v>
      </c>
      <c r="O668" s="4">
        <v>0</v>
      </c>
      <c r="P668" s="4">
        <v>28</v>
      </c>
      <c r="Q668" s="3" t="s">
        <v>26</v>
      </c>
      <c r="R668" s="3">
        <v>0</v>
      </c>
      <c r="S668" s="4">
        <v>44</v>
      </c>
      <c r="T668" s="4">
        <v>0</v>
      </c>
      <c r="U668" s="4">
        <v>0</v>
      </c>
      <c r="V668" s="4">
        <v>24.31</v>
      </c>
      <c r="W668" s="4">
        <v>0</v>
      </c>
      <c r="X668" s="4">
        <v>0</v>
      </c>
      <c r="Y668" s="4">
        <v>27.784764762164471</v>
      </c>
      <c r="Z668" s="4"/>
      <c r="AA668" s="4"/>
      <c r="AB668" s="4">
        <v>112652.54</v>
      </c>
      <c r="AC668" s="4">
        <v>0</v>
      </c>
      <c r="AD668" s="4">
        <v>0</v>
      </c>
      <c r="AE668" s="4">
        <v>128754.59990787016</v>
      </c>
      <c r="AF668" s="4">
        <v>0</v>
      </c>
      <c r="AG668" s="4">
        <v>0</v>
      </c>
    </row>
    <row r="669" spans="1:33" ht="11.25" customHeight="1" x14ac:dyDescent="0.25">
      <c r="A669" s="3" t="s">
        <v>21</v>
      </c>
      <c r="B669" s="3" t="s">
        <v>41</v>
      </c>
      <c r="C669" s="3" t="s">
        <v>42</v>
      </c>
      <c r="D669" s="3" t="s">
        <v>43</v>
      </c>
      <c r="E669" s="3" t="s">
        <v>25</v>
      </c>
      <c r="F669" s="3" t="s">
        <v>25</v>
      </c>
      <c r="G669" s="3" t="s">
        <v>25</v>
      </c>
      <c r="H669" s="3" t="s">
        <v>25</v>
      </c>
      <c r="I669" s="6">
        <v>44470</v>
      </c>
      <c r="J669" s="4">
        <v>2239</v>
      </c>
      <c r="K669" s="4">
        <v>2239</v>
      </c>
      <c r="L669" s="4">
        <v>0</v>
      </c>
      <c r="M669" s="4">
        <v>0</v>
      </c>
      <c r="N669" s="4">
        <v>0</v>
      </c>
      <c r="O669" s="4">
        <v>0</v>
      </c>
      <c r="P669" s="4">
        <v>2</v>
      </c>
      <c r="Q669" s="3" t="s">
        <v>57</v>
      </c>
      <c r="R669" s="3">
        <v>0</v>
      </c>
      <c r="S669" s="4">
        <v>44</v>
      </c>
      <c r="T669" s="4">
        <v>0</v>
      </c>
      <c r="U669" s="4">
        <v>0</v>
      </c>
      <c r="V669" s="4">
        <v>24.31</v>
      </c>
      <c r="W669" s="4">
        <v>0</v>
      </c>
      <c r="X669" s="4">
        <v>0</v>
      </c>
      <c r="Y669" s="4">
        <v>27.784764762164471</v>
      </c>
      <c r="Z669" s="4"/>
      <c r="AA669" s="4"/>
      <c r="AB669" s="4">
        <v>54430.09</v>
      </c>
      <c r="AC669" s="4">
        <v>0</v>
      </c>
      <c r="AD669" s="4">
        <v>0</v>
      </c>
      <c r="AE669" s="4">
        <v>62210.088302486249</v>
      </c>
      <c r="AF669" s="4">
        <v>0</v>
      </c>
      <c r="AG669" s="4">
        <v>0</v>
      </c>
    </row>
    <row r="670" spans="1:33" ht="11.25" customHeight="1" x14ac:dyDescent="0.25">
      <c r="A670" s="3" t="s">
        <v>21</v>
      </c>
      <c r="B670" s="3" t="s">
        <v>41</v>
      </c>
      <c r="C670" s="3" t="s">
        <v>42</v>
      </c>
      <c r="D670" s="3" t="s">
        <v>43</v>
      </c>
      <c r="E670" s="3" t="s">
        <v>25</v>
      </c>
      <c r="F670" s="3" t="s">
        <v>25</v>
      </c>
      <c r="G670" s="3" t="s">
        <v>25</v>
      </c>
      <c r="H670" s="3" t="s">
        <v>25</v>
      </c>
      <c r="I670" s="6">
        <v>44501</v>
      </c>
      <c r="J670" s="4">
        <v>49499</v>
      </c>
      <c r="K670" s="4">
        <v>49499</v>
      </c>
      <c r="L670" s="4">
        <v>0</v>
      </c>
      <c r="M670" s="4">
        <v>0</v>
      </c>
      <c r="N670" s="4">
        <v>0</v>
      </c>
      <c r="O670" s="4">
        <v>0</v>
      </c>
      <c r="P670" s="4">
        <v>453</v>
      </c>
      <c r="Q670" s="3" t="s">
        <v>26</v>
      </c>
      <c r="R670" s="3">
        <v>0</v>
      </c>
      <c r="S670" s="4">
        <v>44</v>
      </c>
      <c r="T670" s="4">
        <v>0</v>
      </c>
      <c r="U670" s="4">
        <v>0</v>
      </c>
      <c r="V670" s="4">
        <v>24.31</v>
      </c>
      <c r="W670" s="4">
        <v>0</v>
      </c>
      <c r="X670" s="4">
        <v>0</v>
      </c>
      <c r="Y670" s="4">
        <v>27.784764762164471</v>
      </c>
      <c r="Z670" s="4"/>
      <c r="AA670" s="4"/>
      <c r="AB670" s="4">
        <v>1203320.69</v>
      </c>
      <c r="AC670" s="4">
        <v>0</v>
      </c>
      <c r="AD670" s="4">
        <v>0</v>
      </c>
      <c r="AE670" s="4">
        <v>1375318.0709623792</v>
      </c>
      <c r="AF670" s="4">
        <v>0</v>
      </c>
      <c r="AG670" s="4">
        <v>0</v>
      </c>
    </row>
    <row r="671" spans="1:33" ht="11.25" customHeight="1" x14ac:dyDescent="0.25">
      <c r="A671" s="3" t="s">
        <v>27</v>
      </c>
      <c r="B671" s="3" t="s">
        <v>41</v>
      </c>
      <c r="C671" s="3" t="s">
        <v>42</v>
      </c>
      <c r="D671" s="3" t="s">
        <v>43</v>
      </c>
      <c r="E671" s="3" t="s">
        <v>25</v>
      </c>
      <c r="F671" s="3" t="s">
        <v>25</v>
      </c>
      <c r="G671" s="3" t="s">
        <v>25</v>
      </c>
      <c r="H671" s="3" t="s">
        <v>25</v>
      </c>
      <c r="I671" s="6">
        <v>44501</v>
      </c>
      <c r="J671" s="4">
        <v>340</v>
      </c>
      <c r="K671" s="4">
        <v>340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3" t="s">
        <v>26</v>
      </c>
      <c r="R671" s="3">
        <v>0</v>
      </c>
      <c r="S671" s="4">
        <v>44</v>
      </c>
      <c r="T671" s="4">
        <v>0</v>
      </c>
      <c r="U671" s="4">
        <v>0</v>
      </c>
      <c r="V671" s="4">
        <v>24.31</v>
      </c>
      <c r="W671" s="4">
        <v>0</v>
      </c>
      <c r="X671" s="4">
        <v>0</v>
      </c>
      <c r="Y671" s="4">
        <v>27.784764762164471</v>
      </c>
      <c r="Z671" s="4"/>
      <c r="AA671" s="4"/>
      <c r="AB671" s="4">
        <v>8265.4</v>
      </c>
      <c r="AC671" s="4">
        <v>0</v>
      </c>
      <c r="AD671" s="4">
        <v>0</v>
      </c>
      <c r="AE671" s="4">
        <v>9446.820019135921</v>
      </c>
      <c r="AF671" s="4">
        <v>0</v>
      </c>
      <c r="AG671" s="4">
        <v>0</v>
      </c>
    </row>
    <row r="672" spans="1:33" ht="11.25" customHeight="1" x14ac:dyDescent="0.25">
      <c r="A672" s="3" t="s">
        <v>28</v>
      </c>
      <c r="B672" s="3" t="s">
        <v>41</v>
      </c>
      <c r="C672" s="3" t="s">
        <v>42</v>
      </c>
      <c r="D672" s="3" t="s">
        <v>43</v>
      </c>
      <c r="E672" s="3" t="s">
        <v>25</v>
      </c>
      <c r="F672" s="3" t="s">
        <v>25</v>
      </c>
      <c r="G672" s="3" t="s">
        <v>25</v>
      </c>
      <c r="H672" s="3" t="s">
        <v>25</v>
      </c>
      <c r="I672" s="6">
        <v>44501</v>
      </c>
      <c r="J672" s="4">
        <v>5057</v>
      </c>
      <c r="K672" s="4">
        <v>5057</v>
      </c>
      <c r="L672" s="4">
        <v>0</v>
      </c>
      <c r="M672" s="4">
        <v>0</v>
      </c>
      <c r="N672" s="4">
        <v>0</v>
      </c>
      <c r="O672" s="4">
        <v>0</v>
      </c>
      <c r="P672" s="4">
        <v>30</v>
      </c>
      <c r="Q672" s="3" t="s">
        <v>26</v>
      </c>
      <c r="R672" s="3">
        <v>0</v>
      </c>
      <c r="S672" s="4">
        <v>44</v>
      </c>
      <c r="T672" s="4">
        <v>0</v>
      </c>
      <c r="U672" s="4">
        <v>0</v>
      </c>
      <c r="V672" s="4">
        <v>24.31</v>
      </c>
      <c r="W672" s="4">
        <v>0</v>
      </c>
      <c r="X672" s="4">
        <v>0</v>
      </c>
      <c r="Y672" s="4">
        <v>27.784764762164471</v>
      </c>
      <c r="Z672" s="4"/>
      <c r="AA672" s="4"/>
      <c r="AB672" s="4">
        <v>122935.67</v>
      </c>
      <c r="AC672" s="4">
        <v>0</v>
      </c>
      <c r="AD672" s="4">
        <v>0</v>
      </c>
      <c r="AE672" s="4">
        <v>140507.55540226572</v>
      </c>
      <c r="AF672" s="4">
        <v>0</v>
      </c>
      <c r="AG672" s="4">
        <v>0</v>
      </c>
    </row>
    <row r="673" spans="1:33" ht="11.25" customHeight="1" x14ac:dyDescent="0.25">
      <c r="A673" s="3" t="s">
        <v>21</v>
      </c>
      <c r="B673" s="3" t="s">
        <v>41</v>
      </c>
      <c r="C673" s="3" t="s">
        <v>42</v>
      </c>
      <c r="D673" s="3" t="s">
        <v>43</v>
      </c>
      <c r="E673" s="3" t="s">
        <v>25</v>
      </c>
      <c r="F673" s="3" t="s">
        <v>25</v>
      </c>
      <c r="G673" s="3" t="s">
        <v>25</v>
      </c>
      <c r="H673" s="3" t="s">
        <v>25</v>
      </c>
      <c r="I673" s="6">
        <v>44501</v>
      </c>
      <c r="J673" s="4">
        <v>2175</v>
      </c>
      <c r="K673" s="4">
        <v>2175</v>
      </c>
      <c r="L673" s="4">
        <v>0</v>
      </c>
      <c r="M673" s="4">
        <v>0</v>
      </c>
      <c r="N673" s="4">
        <v>0</v>
      </c>
      <c r="O673" s="4">
        <v>0</v>
      </c>
      <c r="P673" s="4">
        <v>2</v>
      </c>
      <c r="Q673" s="3" t="s">
        <v>57</v>
      </c>
      <c r="R673" s="3">
        <v>0</v>
      </c>
      <c r="S673" s="4">
        <v>44</v>
      </c>
      <c r="T673" s="4">
        <v>0</v>
      </c>
      <c r="U673" s="4">
        <v>0</v>
      </c>
      <c r="V673" s="4">
        <v>24.31</v>
      </c>
      <c r="W673" s="4">
        <v>0</v>
      </c>
      <c r="X673" s="4">
        <v>0</v>
      </c>
      <c r="Y673" s="4">
        <v>27.784764762164471</v>
      </c>
      <c r="Z673" s="4"/>
      <c r="AA673" s="4"/>
      <c r="AB673" s="4">
        <v>52874.25</v>
      </c>
      <c r="AC673" s="4">
        <v>0</v>
      </c>
      <c r="AD673" s="4">
        <v>0</v>
      </c>
      <c r="AE673" s="4">
        <v>60431.863357707727</v>
      </c>
      <c r="AF673" s="4">
        <v>0</v>
      </c>
      <c r="AG673" s="4">
        <v>0</v>
      </c>
    </row>
    <row r="674" spans="1:33" ht="11.25" customHeight="1" x14ac:dyDescent="0.25">
      <c r="A674" s="3" t="s">
        <v>21</v>
      </c>
      <c r="B674" s="3" t="s">
        <v>41</v>
      </c>
      <c r="C674" s="3" t="s">
        <v>42</v>
      </c>
      <c r="D674" s="3" t="s">
        <v>43</v>
      </c>
      <c r="E674" s="3" t="s">
        <v>25</v>
      </c>
      <c r="F674" s="3" t="s">
        <v>25</v>
      </c>
      <c r="G674" s="3" t="s">
        <v>25</v>
      </c>
      <c r="H674" s="3" t="s">
        <v>25</v>
      </c>
      <c r="I674" s="6">
        <v>44531</v>
      </c>
      <c r="J674" s="4">
        <v>49135</v>
      </c>
      <c r="K674" s="4">
        <v>49135</v>
      </c>
      <c r="L674" s="4">
        <v>0</v>
      </c>
      <c r="M674" s="4">
        <v>0</v>
      </c>
      <c r="N674" s="4">
        <v>0</v>
      </c>
      <c r="O674" s="4">
        <v>0</v>
      </c>
      <c r="P674" s="4">
        <v>446</v>
      </c>
      <c r="Q674" s="3" t="s">
        <v>26</v>
      </c>
      <c r="R674" s="3">
        <v>0</v>
      </c>
      <c r="S674" s="4">
        <v>44</v>
      </c>
      <c r="T674" s="4">
        <v>0</v>
      </c>
      <c r="U674" s="4">
        <v>0</v>
      </c>
      <c r="V674" s="4">
        <v>24.31</v>
      </c>
      <c r="W674" s="4">
        <v>0</v>
      </c>
      <c r="X674" s="4">
        <v>0</v>
      </c>
      <c r="Y674" s="4">
        <v>27.784764762164471</v>
      </c>
      <c r="Z674" s="4"/>
      <c r="AA674" s="4"/>
      <c r="AB674" s="4">
        <v>1194471.8499999999</v>
      </c>
      <c r="AC674" s="4">
        <v>0</v>
      </c>
      <c r="AD674" s="4">
        <v>0</v>
      </c>
      <c r="AE674" s="4">
        <v>1365204.4165889514</v>
      </c>
      <c r="AF674" s="4">
        <v>0</v>
      </c>
      <c r="AG674" s="4">
        <v>0</v>
      </c>
    </row>
    <row r="675" spans="1:33" ht="11.25" customHeight="1" x14ac:dyDescent="0.25">
      <c r="A675" s="3" t="s">
        <v>27</v>
      </c>
      <c r="B675" s="3" t="s">
        <v>41</v>
      </c>
      <c r="C675" s="3" t="s">
        <v>42</v>
      </c>
      <c r="D675" s="3" t="s">
        <v>43</v>
      </c>
      <c r="E675" s="3" t="s">
        <v>25</v>
      </c>
      <c r="F675" s="3" t="s">
        <v>25</v>
      </c>
      <c r="G675" s="3" t="s">
        <v>25</v>
      </c>
      <c r="H675" s="3" t="s">
        <v>25</v>
      </c>
      <c r="I675" s="6">
        <v>44531</v>
      </c>
      <c r="J675" s="4">
        <v>323</v>
      </c>
      <c r="K675" s="4">
        <v>323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3" t="s">
        <v>26</v>
      </c>
      <c r="R675" s="3">
        <v>0</v>
      </c>
      <c r="S675" s="4">
        <v>44</v>
      </c>
      <c r="T675" s="4">
        <v>0</v>
      </c>
      <c r="U675" s="4">
        <v>0</v>
      </c>
      <c r="V675" s="4">
        <v>24.31</v>
      </c>
      <c r="W675" s="4">
        <v>0</v>
      </c>
      <c r="X675" s="4">
        <v>0</v>
      </c>
      <c r="Y675" s="4">
        <v>27.784764762164471</v>
      </c>
      <c r="Z675" s="4"/>
      <c r="AA675" s="4"/>
      <c r="AB675" s="4">
        <v>7852.1299999999992</v>
      </c>
      <c r="AC675" s="4">
        <v>0</v>
      </c>
      <c r="AD675" s="4">
        <v>0</v>
      </c>
      <c r="AE675" s="4">
        <v>8974.479018179125</v>
      </c>
      <c r="AF675" s="4">
        <v>0</v>
      </c>
      <c r="AG675" s="4">
        <v>0</v>
      </c>
    </row>
    <row r="676" spans="1:33" ht="11.25" customHeight="1" x14ac:dyDescent="0.25">
      <c r="A676" s="3" t="s">
        <v>28</v>
      </c>
      <c r="B676" s="3" t="s">
        <v>41</v>
      </c>
      <c r="C676" s="3" t="s">
        <v>42</v>
      </c>
      <c r="D676" s="3" t="s">
        <v>43</v>
      </c>
      <c r="E676" s="3" t="s">
        <v>25</v>
      </c>
      <c r="F676" s="3" t="s">
        <v>25</v>
      </c>
      <c r="G676" s="3" t="s">
        <v>25</v>
      </c>
      <c r="H676" s="3" t="s">
        <v>25</v>
      </c>
      <c r="I676" s="6">
        <v>44531</v>
      </c>
      <c r="J676" s="4">
        <v>5529</v>
      </c>
      <c r="K676" s="4">
        <v>5529</v>
      </c>
      <c r="L676" s="4">
        <v>0</v>
      </c>
      <c r="M676" s="4">
        <v>0</v>
      </c>
      <c r="N676" s="4">
        <v>0</v>
      </c>
      <c r="O676" s="4">
        <v>0</v>
      </c>
      <c r="P676" s="4">
        <v>36</v>
      </c>
      <c r="Q676" s="3" t="s">
        <v>26</v>
      </c>
      <c r="R676" s="3">
        <v>0</v>
      </c>
      <c r="S676" s="4">
        <v>44</v>
      </c>
      <c r="T676" s="4">
        <v>0</v>
      </c>
      <c r="U676" s="4">
        <v>0</v>
      </c>
      <c r="V676" s="4">
        <v>24.31</v>
      </c>
      <c r="W676" s="4">
        <v>0</v>
      </c>
      <c r="X676" s="4">
        <v>0</v>
      </c>
      <c r="Y676" s="4">
        <v>27.784764762164471</v>
      </c>
      <c r="Z676" s="4"/>
      <c r="AA676" s="4"/>
      <c r="AB676" s="4">
        <v>134409.99</v>
      </c>
      <c r="AC676" s="4">
        <v>0</v>
      </c>
      <c r="AD676" s="4">
        <v>0</v>
      </c>
      <c r="AE676" s="4">
        <v>153621.96437000736</v>
      </c>
      <c r="AF676" s="4">
        <v>0</v>
      </c>
      <c r="AG676" s="4">
        <v>0</v>
      </c>
    </row>
    <row r="677" spans="1:33" ht="11.25" customHeight="1" x14ac:dyDescent="0.25">
      <c r="A677" s="3" t="s">
        <v>21</v>
      </c>
      <c r="B677" s="3" t="s">
        <v>41</v>
      </c>
      <c r="C677" s="3" t="s">
        <v>42</v>
      </c>
      <c r="D677" s="3" t="s">
        <v>43</v>
      </c>
      <c r="E677" s="3" t="s">
        <v>25</v>
      </c>
      <c r="F677" s="3" t="s">
        <v>25</v>
      </c>
      <c r="G677" s="3" t="s">
        <v>25</v>
      </c>
      <c r="H677" s="3" t="s">
        <v>25</v>
      </c>
      <c r="I677" s="6">
        <v>44531</v>
      </c>
      <c r="J677" s="4">
        <v>2175</v>
      </c>
      <c r="K677" s="4">
        <v>2175</v>
      </c>
      <c r="L677" s="4">
        <v>0</v>
      </c>
      <c r="M677" s="4">
        <v>0</v>
      </c>
      <c r="N677" s="4">
        <v>0</v>
      </c>
      <c r="O677" s="4">
        <v>0</v>
      </c>
      <c r="P677" s="4">
        <v>2</v>
      </c>
      <c r="Q677" s="3" t="s">
        <v>57</v>
      </c>
      <c r="R677" s="3">
        <v>0</v>
      </c>
      <c r="S677" s="4">
        <v>44</v>
      </c>
      <c r="T677" s="4">
        <v>0</v>
      </c>
      <c r="U677" s="4">
        <v>0</v>
      </c>
      <c r="V677" s="4">
        <v>24.31</v>
      </c>
      <c r="W677" s="4">
        <v>0</v>
      </c>
      <c r="X677" s="4">
        <v>0</v>
      </c>
      <c r="Y677" s="4">
        <v>27.784764762164471</v>
      </c>
      <c r="Z677" s="4"/>
      <c r="AA677" s="4"/>
      <c r="AB677" s="4">
        <v>52874.25</v>
      </c>
      <c r="AC677" s="4">
        <v>0</v>
      </c>
      <c r="AD677" s="4">
        <v>0</v>
      </c>
      <c r="AE677" s="4">
        <v>60431.863357707727</v>
      </c>
      <c r="AF677" s="4">
        <v>0</v>
      </c>
      <c r="AG677" s="4">
        <v>0</v>
      </c>
    </row>
    <row r="678" spans="1:33" ht="11.25" customHeight="1" x14ac:dyDescent="0.25">
      <c r="A678" s="3" t="s">
        <v>21</v>
      </c>
      <c r="B678" s="3" t="s">
        <v>41</v>
      </c>
      <c r="C678" s="3" t="s">
        <v>42</v>
      </c>
      <c r="D678" s="3" t="s">
        <v>43</v>
      </c>
      <c r="E678" s="3" t="s">
        <v>25</v>
      </c>
      <c r="F678" s="3" t="s">
        <v>25</v>
      </c>
      <c r="G678" s="3" t="s">
        <v>25</v>
      </c>
      <c r="H678" s="3" t="s">
        <v>25</v>
      </c>
      <c r="I678" s="6">
        <v>44562</v>
      </c>
      <c r="J678" s="4">
        <v>47290</v>
      </c>
      <c r="K678" s="4">
        <v>47290</v>
      </c>
      <c r="L678" s="4">
        <v>0</v>
      </c>
      <c r="M678" s="4">
        <v>0</v>
      </c>
      <c r="N678" s="4">
        <v>0</v>
      </c>
      <c r="O678" s="4">
        <v>0</v>
      </c>
      <c r="P678" s="4">
        <v>438</v>
      </c>
      <c r="Q678" s="3" t="s">
        <v>26</v>
      </c>
      <c r="R678" s="3">
        <v>0</v>
      </c>
      <c r="S678" s="4">
        <v>44</v>
      </c>
      <c r="T678" s="4">
        <v>0</v>
      </c>
      <c r="U678" s="4">
        <v>0</v>
      </c>
      <c r="V678" s="4">
        <v>24.31</v>
      </c>
      <c r="W678" s="4">
        <v>0</v>
      </c>
      <c r="X678" s="4">
        <v>0</v>
      </c>
      <c r="Y678" s="4">
        <v>27.784764762164471</v>
      </c>
      <c r="Z678" s="4"/>
      <c r="AA678" s="4"/>
      <c r="AB678" s="4">
        <v>1149619.8999999999</v>
      </c>
      <c r="AC678" s="4">
        <v>0</v>
      </c>
      <c r="AD678" s="4">
        <v>0</v>
      </c>
      <c r="AE678" s="4">
        <v>1313941.5256027579</v>
      </c>
      <c r="AF678" s="4">
        <v>0</v>
      </c>
      <c r="AG678" s="4">
        <v>0</v>
      </c>
    </row>
    <row r="679" spans="1:33" ht="11.25" customHeight="1" x14ac:dyDescent="0.25">
      <c r="A679" s="3" t="s">
        <v>28</v>
      </c>
      <c r="B679" s="3" t="s">
        <v>41</v>
      </c>
      <c r="C679" s="3" t="s">
        <v>42</v>
      </c>
      <c r="D679" s="3" t="s">
        <v>43</v>
      </c>
      <c r="E679" s="3" t="s">
        <v>25</v>
      </c>
      <c r="F679" s="3" t="s">
        <v>25</v>
      </c>
      <c r="G679" s="3" t="s">
        <v>25</v>
      </c>
      <c r="H679" s="3" t="s">
        <v>25</v>
      </c>
      <c r="I679" s="6">
        <v>44562</v>
      </c>
      <c r="J679" s="4">
        <v>5866</v>
      </c>
      <c r="K679" s="4">
        <v>5866</v>
      </c>
      <c r="L679" s="4">
        <v>0</v>
      </c>
      <c r="M679" s="4">
        <v>0</v>
      </c>
      <c r="N679" s="4">
        <v>0</v>
      </c>
      <c r="O679" s="4">
        <v>0</v>
      </c>
      <c r="P679" s="4">
        <v>36</v>
      </c>
      <c r="Q679" s="3" t="s">
        <v>26</v>
      </c>
      <c r="R679" s="3">
        <v>0</v>
      </c>
      <c r="S679" s="4">
        <v>44</v>
      </c>
      <c r="T679" s="4">
        <v>0</v>
      </c>
      <c r="U679" s="4">
        <v>0</v>
      </c>
      <c r="V679" s="4">
        <v>24.31</v>
      </c>
      <c r="W679" s="4">
        <v>0</v>
      </c>
      <c r="X679" s="4">
        <v>0</v>
      </c>
      <c r="Y679" s="4">
        <v>27.784764762164471</v>
      </c>
      <c r="Z679" s="4"/>
      <c r="AA679" s="4"/>
      <c r="AB679" s="4">
        <v>142602.46</v>
      </c>
      <c r="AC679" s="4">
        <v>0</v>
      </c>
      <c r="AD679" s="4">
        <v>0</v>
      </c>
      <c r="AE679" s="4">
        <v>162985.4300948568</v>
      </c>
      <c r="AF679" s="4">
        <v>0</v>
      </c>
      <c r="AG679" s="4">
        <v>0</v>
      </c>
    </row>
    <row r="680" spans="1:33" ht="11.25" customHeight="1" x14ac:dyDescent="0.25">
      <c r="A680" s="3" t="s">
        <v>21</v>
      </c>
      <c r="B680" s="3" t="s">
        <v>41</v>
      </c>
      <c r="C680" s="3" t="s">
        <v>42</v>
      </c>
      <c r="D680" s="3" t="s">
        <v>43</v>
      </c>
      <c r="E680" s="3" t="s">
        <v>25</v>
      </c>
      <c r="F680" s="3" t="s">
        <v>25</v>
      </c>
      <c r="G680" s="3" t="s">
        <v>25</v>
      </c>
      <c r="H680" s="3" t="s">
        <v>25</v>
      </c>
      <c r="I680" s="6">
        <v>44562</v>
      </c>
      <c r="J680" s="4">
        <v>2175</v>
      </c>
      <c r="K680" s="4">
        <v>2175</v>
      </c>
      <c r="L680" s="4">
        <v>0</v>
      </c>
      <c r="M680" s="4">
        <v>0</v>
      </c>
      <c r="N680" s="4">
        <v>0</v>
      </c>
      <c r="O680" s="4">
        <v>0</v>
      </c>
      <c r="P680" s="4">
        <v>2</v>
      </c>
      <c r="Q680" s="3" t="s">
        <v>57</v>
      </c>
      <c r="R680" s="3">
        <v>0</v>
      </c>
      <c r="S680" s="4">
        <v>44</v>
      </c>
      <c r="T680" s="4">
        <v>0</v>
      </c>
      <c r="U680" s="4">
        <v>0</v>
      </c>
      <c r="V680" s="4">
        <v>24.31</v>
      </c>
      <c r="W680" s="4">
        <v>0</v>
      </c>
      <c r="X680" s="4">
        <v>0</v>
      </c>
      <c r="Y680" s="4">
        <v>27.784764762164471</v>
      </c>
      <c r="Z680" s="4"/>
      <c r="AA680" s="4"/>
      <c r="AB680" s="4">
        <v>52874.25</v>
      </c>
      <c r="AC680" s="4">
        <v>0</v>
      </c>
      <c r="AD680" s="4">
        <v>0</v>
      </c>
      <c r="AE680" s="4">
        <v>60431.863357707727</v>
      </c>
      <c r="AF680" s="4">
        <v>0</v>
      </c>
      <c r="AG680" s="4">
        <v>0</v>
      </c>
    </row>
    <row r="681" spans="1:33" ht="11.25" customHeight="1" x14ac:dyDescent="0.25">
      <c r="A681" s="3" t="s">
        <v>21</v>
      </c>
      <c r="B681" s="3" t="s">
        <v>41</v>
      </c>
      <c r="C681" s="3" t="s">
        <v>42</v>
      </c>
      <c r="D681" s="3" t="s">
        <v>43</v>
      </c>
      <c r="E681" s="3" t="s">
        <v>25</v>
      </c>
      <c r="F681" s="3" t="s">
        <v>25</v>
      </c>
      <c r="G681" s="3" t="s">
        <v>25</v>
      </c>
      <c r="H681" s="3" t="s">
        <v>25</v>
      </c>
      <c r="I681" s="6">
        <v>44593</v>
      </c>
      <c r="J681" s="4">
        <v>47206</v>
      </c>
      <c r="K681" s="4">
        <v>47206</v>
      </c>
      <c r="L681" s="4">
        <v>0</v>
      </c>
      <c r="M681" s="4">
        <v>0</v>
      </c>
      <c r="N681" s="4">
        <v>0</v>
      </c>
      <c r="O681" s="4">
        <v>0</v>
      </c>
      <c r="P681" s="4">
        <v>432</v>
      </c>
      <c r="Q681" s="3" t="s">
        <v>26</v>
      </c>
      <c r="R681" s="3">
        <v>0</v>
      </c>
      <c r="S681" s="4">
        <v>44</v>
      </c>
      <c r="T681" s="4">
        <v>0</v>
      </c>
      <c r="U681" s="4">
        <v>0</v>
      </c>
      <c r="V681" s="4">
        <v>24.31</v>
      </c>
      <c r="W681" s="4">
        <v>0</v>
      </c>
      <c r="X681" s="4">
        <v>0</v>
      </c>
      <c r="Y681" s="4">
        <v>27.784764762164471</v>
      </c>
      <c r="Z681" s="4"/>
      <c r="AA681" s="4"/>
      <c r="AB681" s="4">
        <v>1147577.8599999999</v>
      </c>
      <c r="AC681" s="4">
        <v>0</v>
      </c>
      <c r="AD681" s="4">
        <v>0</v>
      </c>
      <c r="AE681" s="4">
        <v>1311607.6053627359</v>
      </c>
      <c r="AF681" s="4">
        <v>0</v>
      </c>
      <c r="AG681" s="4">
        <v>0</v>
      </c>
    </row>
    <row r="682" spans="1:33" ht="11.25" customHeight="1" x14ac:dyDescent="0.25">
      <c r="A682" s="3" t="s">
        <v>27</v>
      </c>
      <c r="B682" s="3" t="s">
        <v>41</v>
      </c>
      <c r="C682" s="3" t="s">
        <v>42</v>
      </c>
      <c r="D682" s="3" t="s">
        <v>43</v>
      </c>
      <c r="E682" s="3" t="s">
        <v>25</v>
      </c>
      <c r="F682" s="3" t="s">
        <v>25</v>
      </c>
      <c r="G682" s="3" t="s">
        <v>25</v>
      </c>
      <c r="H682" s="3" t="s">
        <v>25</v>
      </c>
      <c r="I682" s="6">
        <v>44593</v>
      </c>
      <c r="J682" s="4">
        <v>8</v>
      </c>
      <c r="K682" s="4">
        <v>8</v>
      </c>
      <c r="L682" s="4">
        <v>0</v>
      </c>
      <c r="M682" s="4">
        <v>0</v>
      </c>
      <c r="N682" s="4">
        <v>0</v>
      </c>
      <c r="O682" s="4">
        <v>0</v>
      </c>
      <c r="P682" s="4">
        <v>-2</v>
      </c>
      <c r="Q682" s="3" t="s">
        <v>26</v>
      </c>
      <c r="R682" s="3">
        <v>0</v>
      </c>
      <c r="S682" s="4">
        <v>44</v>
      </c>
      <c r="T682" s="4">
        <v>0</v>
      </c>
      <c r="U682" s="4">
        <v>0</v>
      </c>
      <c r="V682" s="4">
        <v>24.31</v>
      </c>
      <c r="W682" s="4">
        <v>0</v>
      </c>
      <c r="X682" s="4">
        <v>0</v>
      </c>
      <c r="Y682" s="4">
        <v>27.784764762164471</v>
      </c>
      <c r="Z682" s="4"/>
      <c r="AA682" s="4"/>
      <c r="AB682" s="4">
        <v>194.48</v>
      </c>
      <c r="AC682" s="4">
        <v>0</v>
      </c>
      <c r="AD682" s="4">
        <v>0</v>
      </c>
      <c r="AE682" s="4">
        <v>222.27811809731577</v>
      </c>
      <c r="AF682" s="4">
        <v>0</v>
      </c>
      <c r="AG682" s="4">
        <v>0</v>
      </c>
    </row>
    <row r="683" spans="1:33" ht="11.25" customHeight="1" x14ac:dyDescent="0.25">
      <c r="A683" s="3" t="s">
        <v>28</v>
      </c>
      <c r="B683" s="3" t="s">
        <v>41</v>
      </c>
      <c r="C683" s="3" t="s">
        <v>42</v>
      </c>
      <c r="D683" s="3" t="s">
        <v>43</v>
      </c>
      <c r="E683" s="3" t="s">
        <v>25</v>
      </c>
      <c r="F683" s="3" t="s">
        <v>25</v>
      </c>
      <c r="G683" s="3" t="s">
        <v>25</v>
      </c>
      <c r="H683" s="3" t="s">
        <v>25</v>
      </c>
      <c r="I683" s="6">
        <v>44593</v>
      </c>
      <c r="J683" s="4">
        <v>6779</v>
      </c>
      <c r="K683" s="4">
        <v>6779</v>
      </c>
      <c r="L683" s="4">
        <v>0</v>
      </c>
      <c r="M683" s="4">
        <v>0</v>
      </c>
      <c r="N683" s="4">
        <v>0</v>
      </c>
      <c r="O683" s="4">
        <v>0</v>
      </c>
      <c r="P683" s="4">
        <v>38</v>
      </c>
      <c r="Q683" s="3" t="s">
        <v>26</v>
      </c>
      <c r="R683" s="3">
        <v>0</v>
      </c>
      <c r="S683" s="4">
        <v>44</v>
      </c>
      <c r="T683" s="4">
        <v>0</v>
      </c>
      <c r="U683" s="4">
        <v>0</v>
      </c>
      <c r="V683" s="4">
        <v>24.31</v>
      </c>
      <c r="W683" s="4">
        <v>0</v>
      </c>
      <c r="X683" s="4">
        <v>0</v>
      </c>
      <c r="Y683" s="4">
        <v>27.784764762164471</v>
      </c>
      <c r="Z683" s="4"/>
      <c r="AA683" s="4"/>
      <c r="AB683" s="4">
        <v>164797.49</v>
      </c>
      <c r="AC683" s="4">
        <v>0</v>
      </c>
      <c r="AD683" s="4">
        <v>0</v>
      </c>
      <c r="AE683" s="4">
        <v>188352.92032271295</v>
      </c>
      <c r="AF683" s="4">
        <v>0</v>
      </c>
      <c r="AG683" s="4">
        <v>0</v>
      </c>
    </row>
    <row r="684" spans="1:33" ht="11.25" customHeight="1" x14ac:dyDescent="0.25">
      <c r="A684" s="3" t="s">
        <v>21</v>
      </c>
      <c r="B684" s="3" t="s">
        <v>41</v>
      </c>
      <c r="C684" s="3" t="s">
        <v>42</v>
      </c>
      <c r="D684" s="3" t="s">
        <v>43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44593</v>
      </c>
      <c r="J684" s="4">
        <v>2175</v>
      </c>
      <c r="K684" s="4">
        <v>2175</v>
      </c>
      <c r="L684" s="4">
        <v>0</v>
      </c>
      <c r="M684" s="4">
        <v>0</v>
      </c>
      <c r="N684" s="4">
        <v>0</v>
      </c>
      <c r="O684" s="4">
        <v>0</v>
      </c>
      <c r="P684" s="4">
        <v>2</v>
      </c>
      <c r="Q684" s="3" t="s">
        <v>57</v>
      </c>
      <c r="R684" s="3">
        <v>0</v>
      </c>
      <c r="S684" s="4">
        <v>44</v>
      </c>
      <c r="T684" s="4">
        <v>0</v>
      </c>
      <c r="U684" s="4">
        <v>0</v>
      </c>
      <c r="V684" s="4">
        <v>24.31</v>
      </c>
      <c r="W684" s="4">
        <v>0</v>
      </c>
      <c r="X684" s="4">
        <v>0</v>
      </c>
      <c r="Y684" s="4">
        <v>27.784764762164471</v>
      </c>
      <c r="Z684" s="4"/>
      <c r="AA684" s="4"/>
      <c r="AB684" s="4">
        <v>52874.25</v>
      </c>
      <c r="AC684" s="4">
        <v>0</v>
      </c>
      <c r="AD684" s="4">
        <v>0</v>
      </c>
      <c r="AE684" s="4">
        <v>60431.863357707727</v>
      </c>
      <c r="AF684" s="4">
        <v>0</v>
      </c>
      <c r="AG684" s="4">
        <v>0</v>
      </c>
    </row>
    <row r="685" spans="1:33" ht="11.25" customHeight="1" x14ac:dyDescent="0.25">
      <c r="A685" s="3" t="s">
        <v>56</v>
      </c>
      <c r="B685" s="3" t="s">
        <v>41</v>
      </c>
      <c r="C685" s="3" t="s">
        <v>42</v>
      </c>
      <c r="D685" s="3" t="s">
        <v>43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44621</v>
      </c>
      <c r="J685" s="4">
        <v>47206</v>
      </c>
      <c r="K685" s="4">
        <v>47206</v>
      </c>
      <c r="L685" s="4">
        <v>0</v>
      </c>
      <c r="M685" s="4">
        <v>0</v>
      </c>
      <c r="N685" s="4">
        <v>0</v>
      </c>
      <c r="O685" s="4">
        <v>0</v>
      </c>
      <c r="P685" s="4">
        <v>432</v>
      </c>
      <c r="Q685" s="3" t="s">
        <v>26</v>
      </c>
      <c r="R685" s="3">
        <v>0</v>
      </c>
      <c r="S685" s="4">
        <v>44</v>
      </c>
      <c r="T685" s="4">
        <v>0</v>
      </c>
      <c r="U685" s="4">
        <v>0</v>
      </c>
      <c r="V685" s="4">
        <v>24.31</v>
      </c>
      <c r="W685" s="4">
        <v>0</v>
      </c>
      <c r="X685" s="4">
        <v>0</v>
      </c>
      <c r="Y685" s="4">
        <v>27.784764762164471</v>
      </c>
      <c r="Z685" s="4"/>
      <c r="AA685" s="4"/>
      <c r="AB685" s="4">
        <v>1147577.8599999999</v>
      </c>
      <c r="AC685" s="4">
        <v>0</v>
      </c>
      <c r="AD685" s="4">
        <v>0</v>
      </c>
      <c r="AE685" s="4">
        <v>1311607.6053627359</v>
      </c>
      <c r="AF685" s="4">
        <v>0</v>
      </c>
      <c r="AG685" s="4">
        <v>0</v>
      </c>
    </row>
    <row r="686" spans="1:33" ht="11.25" customHeight="1" x14ac:dyDescent="0.25">
      <c r="A686" s="3" t="s">
        <v>56</v>
      </c>
      <c r="B686" s="3" t="s">
        <v>41</v>
      </c>
      <c r="C686" s="3" t="s">
        <v>42</v>
      </c>
      <c r="D686" s="3" t="s">
        <v>43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44621</v>
      </c>
      <c r="J686" s="4">
        <v>8</v>
      </c>
      <c r="K686" s="4">
        <v>8</v>
      </c>
      <c r="L686" s="4">
        <v>0</v>
      </c>
      <c r="M686" s="4">
        <v>0</v>
      </c>
      <c r="N686" s="4">
        <v>0</v>
      </c>
      <c r="O686" s="4">
        <v>0</v>
      </c>
      <c r="P686" s="4">
        <v>-2</v>
      </c>
      <c r="Q686" s="3" t="s">
        <v>26</v>
      </c>
      <c r="R686" s="3">
        <v>0</v>
      </c>
      <c r="S686" s="4">
        <v>44</v>
      </c>
      <c r="T686" s="4">
        <v>0</v>
      </c>
      <c r="U686" s="4">
        <v>0</v>
      </c>
      <c r="V686" s="4">
        <v>24.31</v>
      </c>
      <c r="W686" s="4">
        <v>0</v>
      </c>
      <c r="X686" s="4">
        <v>0</v>
      </c>
      <c r="Y686" s="4">
        <v>27.784764762164471</v>
      </c>
      <c r="Z686" s="4"/>
      <c r="AA686" s="4"/>
      <c r="AB686" s="4">
        <v>194.48</v>
      </c>
      <c r="AC686" s="4">
        <v>0</v>
      </c>
      <c r="AD686" s="4">
        <v>0</v>
      </c>
      <c r="AE686" s="4">
        <v>222.27811809731577</v>
      </c>
      <c r="AF686" s="4">
        <v>0</v>
      </c>
      <c r="AG686" s="4">
        <v>0</v>
      </c>
    </row>
    <row r="687" spans="1:33" ht="11.25" customHeight="1" x14ac:dyDescent="0.25">
      <c r="A687" s="3" t="s">
        <v>56</v>
      </c>
      <c r="B687" s="3" t="s">
        <v>41</v>
      </c>
      <c r="C687" s="3" t="s">
        <v>42</v>
      </c>
      <c r="D687" s="3" t="s">
        <v>43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44621</v>
      </c>
      <c r="J687" s="4">
        <v>6779</v>
      </c>
      <c r="K687" s="4">
        <v>6779</v>
      </c>
      <c r="L687" s="4">
        <v>0</v>
      </c>
      <c r="M687" s="4">
        <v>0</v>
      </c>
      <c r="N687" s="4">
        <v>0</v>
      </c>
      <c r="O687" s="4">
        <v>0</v>
      </c>
      <c r="P687" s="4">
        <v>38</v>
      </c>
      <c r="Q687" s="3" t="s">
        <v>26</v>
      </c>
      <c r="R687" s="3">
        <v>0</v>
      </c>
      <c r="S687" s="4">
        <v>44</v>
      </c>
      <c r="T687" s="4">
        <v>0</v>
      </c>
      <c r="U687" s="4">
        <v>0</v>
      </c>
      <c r="V687" s="4">
        <v>24.31</v>
      </c>
      <c r="W687" s="4">
        <v>0</v>
      </c>
      <c r="X687" s="4">
        <v>0</v>
      </c>
      <c r="Y687" s="4">
        <v>27.784764762164471</v>
      </c>
      <c r="Z687" s="4"/>
      <c r="AA687" s="4"/>
      <c r="AB687" s="4">
        <v>164797.49</v>
      </c>
      <c r="AC687" s="4">
        <v>0</v>
      </c>
      <c r="AD687" s="4">
        <v>0</v>
      </c>
      <c r="AE687" s="4">
        <v>188352.92032271295</v>
      </c>
      <c r="AF687" s="4">
        <v>0</v>
      </c>
      <c r="AG687" s="4">
        <v>0</v>
      </c>
    </row>
    <row r="688" spans="1:33" ht="11.25" customHeight="1" x14ac:dyDescent="0.25">
      <c r="A688" s="3" t="s">
        <v>56</v>
      </c>
      <c r="B688" s="3" t="s">
        <v>41</v>
      </c>
      <c r="C688" s="3" t="s">
        <v>42</v>
      </c>
      <c r="D688" s="3" t="s">
        <v>43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44621</v>
      </c>
      <c r="J688" s="4">
        <v>2175</v>
      </c>
      <c r="K688" s="4">
        <v>2175</v>
      </c>
      <c r="L688" s="4">
        <v>0</v>
      </c>
      <c r="M688" s="4">
        <v>0</v>
      </c>
      <c r="N688" s="4">
        <v>0</v>
      </c>
      <c r="O688" s="4">
        <v>0</v>
      </c>
      <c r="P688" s="4">
        <v>2</v>
      </c>
      <c r="Q688" s="3" t="s">
        <v>57</v>
      </c>
      <c r="R688" s="3">
        <v>0</v>
      </c>
      <c r="S688" s="4">
        <v>44</v>
      </c>
      <c r="T688" s="4">
        <v>0</v>
      </c>
      <c r="U688" s="4">
        <v>0</v>
      </c>
      <c r="V688" s="4">
        <v>24.31</v>
      </c>
      <c r="W688" s="4">
        <v>0</v>
      </c>
      <c r="X688" s="4">
        <v>0</v>
      </c>
      <c r="Y688" s="4">
        <v>27.784764762164471</v>
      </c>
      <c r="Z688" s="4"/>
      <c r="AA688" s="4"/>
      <c r="AB688" s="4">
        <v>52874.25</v>
      </c>
      <c r="AC688" s="4">
        <v>0</v>
      </c>
      <c r="AD688" s="4">
        <v>0</v>
      </c>
      <c r="AE688" s="4">
        <v>60431.863357707727</v>
      </c>
      <c r="AF688" s="4">
        <v>0</v>
      </c>
      <c r="AG688" s="4">
        <v>0</v>
      </c>
    </row>
    <row r="689" spans="1:33" ht="11.25" customHeight="1" x14ac:dyDescent="0.25">
      <c r="A689" s="3" t="s">
        <v>21</v>
      </c>
      <c r="B689" s="3" t="s">
        <v>41</v>
      </c>
      <c r="C689" s="3" t="s">
        <v>42</v>
      </c>
      <c r="D689" s="3" t="s">
        <v>43</v>
      </c>
      <c r="E689" s="3" t="s">
        <v>25</v>
      </c>
      <c r="F689" s="3" t="s">
        <v>25</v>
      </c>
      <c r="G689" s="3" t="s">
        <v>25</v>
      </c>
      <c r="H689" s="3" t="s">
        <v>34</v>
      </c>
      <c r="I689" s="6">
        <v>44287</v>
      </c>
      <c r="J689" s="4">
        <v>0</v>
      </c>
      <c r="K689" s="4">
        <v>0</v>
      </c>
      <c r="L689" s="4">
        <v>678.03399999999999</v>
      </c>
      <c r="M689" s="4">
        <v>678.03399999999999</v>
      </c>
      <c r="N689" s="4">
        <v>678.03399999999999</v>
      </c>
      <c r="O689" s="4">
        <v>678.03399999999999</v>
      </c>
      <c r="P689" s="4">
        <v>0</v>
      </c>
      <c r="Q689" s="3" t="s">
        <v>26</v>
      </c>
      <c r="R689" s="3">
        <v>0</v>
      </c>
      <c r="S689" s="4">
        <v>0</v>
      </c>
      <c r="T689" s="4">
        <v>20</v>
      </c>
      <c r="U689" s="4">
        <v>88</v>
      </c>
      <c r="V689" s="4">
        <v>0</v>
      </c>
      <c r="W689" s="4">
        <v>1564.59</v>
      </c>
      <c r="X689" s="4">
        <v>365.5</v>
      </c>
      <c r="Y689" s="4"/>
      <c r="Z689" s="4">
        <v>1923.7175020527629</v>
      </c>
      <c r="AA689" s="4">
        <v>381.42546590200942</v>
      </c>
      <c r="AB689" s="4">
        <v>0</v>
      </c>
      <c r="AC689" s="4">
        <v>1060845.21606</v>
      </c>
      <c r="AD689" s="4">
        <v>247821.427</v>
      </c>
      <c r="AE689" s="4">
        <v>0</v>
      </c>
      <c r="AF689" s="4">
        <v>1304345.872786843</v>
      </c>
      <c r="AG689" s="4">
        <v>258619.43434740306</v>
      </c>
    </row>
    <row r="690" spans="1:33" ht="11.25" customHeight="1" x14ac:dyDescent="0.25">
      <c r="A690" s="3" t="s">
        <v>28</v>
      </c>
      <c r="B690" s="3" t="s">
        <v>41</v>
      </c>
      <c r="C690" s="3" t="s">
        <v>42</v>
      </c>
      <c r="D690" s="3" t="s">
        <v>43</v>
      </c>
      <c r="E690" s="3" t="s">
        <v>25</v>
      </c>
      <c r="F690" s="3" t="s">
        <v>25</v>
      </c>
      <c r="G690" s="3" t="s">
        <v>25</v>
      </c>
      <c r="H690" s="3" t="s">
        <v>34</v>
      </c>
      <c r="I690" s="6">
        <v>44287</v>
      </c>
      <c r="J690" s="4">
        <v>0</v>
      </c>
      <c r="K690" s="4">
        <v>0</v>
      </c>
      <c r="L690" s="4">
        <v>40.098999999999997</v>
      </c>
      <c r="M690" s="4">
        <v>40.098999999999997</v>
      </c>
      <c r="N690" s="4">
        <v>40.098999999999997</v>
      </c>
      <c r="O690" s="4">
        <v>40.098999999999997</v>
      </c>
      <c r="P690" s="4">
        <v>0</v>
      </c>
      <c r="Q690" s="3" t="s">
        <v>26</v>
      </c>
      <c r="R690" s="3">
        <v>0</v>
      </c>
      <c r="S690" s="4">
        <v>0</v>
      </c>
      <c r="T690" s="4">
        <v>20</v>
      </c>
      <c r="U690" s="4">
        <v>88</v>
      </c>
      <c r="V690" s="4">
        <v>0</v>
      </c>
      <c r="W690" s="4">
        <v>1564.59</v>
      </c>
      <c r="X690" s="4">
        <v>365.5</v>
      </c>
      <c r="Y690" s="4"/>
      <c r="Z690" s="4">
        <v>1923.7175020527629</v>
      </c>
      <c r="AA690" s="4">
        <v>381.42546590200942</v>
      </c>
      <c r="AB690" s="4">
        <v>0</v>
      </c>
      <c r="AC690" s="4">
        <v>62738.494409999992</v>
      </c>
      <c r="AD690" s="4">
        <v>14656.184499999999</v>
      </c>
      <c r="AE690" s="4">
        <v>0</v>
      </c>
      <c r="AF690" s="4">
        <v>77139.148114813739</v>
      </c>
      <c r="AG690" s="4">
        <v>15294.779757204675</v>
      </c>
    </row>
    <row r="691" spans="1:33" ht="11.25" customHeight="1" x14ac:dyDescent="0.25">
      <c r="A691" s="3" t="s">
        <v>21</v>
      </c>
      <c r="B691" s="3" t="s">
        <v>41</v>
      </c>
      <c r="C691" s="3" t="s">
        <v>42</v>
      </c>
      <c r="D691" s="3" t="s">
        <v>43</v>
      </c>
      <c r="E691" s="3" t="s">
        <v>25</v>
      </c>
      <c r="F691" s="3" t="s">
        <v>25</v>
      </c>
      <c r="G691" s="3" t="s">
        <v>25</v>
      </c>
      <c r="H691" s="3" t="s">
        <v>34</v>
      </c>
      <c r="I691" s="6">
        <v>44287</v>
      </c>
      <c r="J691" s="4">
        <v>0</v>
      </c>
      <c r="K691" s="4">
        <v>0</v>
      </c>
      <c r="L691" s="4">
        <v>3.9510000000000001</v>
      </c>
      <c r="M691" s="4">
        <v>3.9510000000000001</v>
      </c>
      <c r="N691" s="4">
        <v>0</v>
      </c>
      <c r="O691" s="4">
        <v>0</v>
      </c>
      <c r="P691" s="4">
        <v>0</v>
      </c>
      <c r="Q691" s="3" t="s">
        <v>57</v>
      </c>
      <c r="R691" s="3">
        <v>0</v>
      </c>
      <c r="S691" s="4">
        <v>0</v>
      </c>
      <c r="T691" s="4">
        <v>20</v>
      </c>
      <c r="U691" s="4">
        <v>0</v>
      </c>
      <c r="V691" s="4">
        <v>0</v>
      </c>
      <c r="W691" s="4">
        <v>1564.59</v>
      </c>
      <c r="X691" s="4">
        <v>0</v>
      </c>
      <c r="Y691" s="4"/>
      <c r="Z691" s="4">
        <v>1923.7175020527629</v>
      </c>
      <c r="AA691" s="4"/>
      <c r="AB691" s="4">
        <v>0</v>
      </c>
      <c r="AC691" s="4">
        <v>6181.6950900000002</v>
      </c>
      <c r="AD691" s="4">
        <v>0</v>
      </c>
      <c r="AE691" s="4">
        <v>0</v>
      </c>
      <c r="AF691" s="4">
        <v>7600.6078506104668</v>
      </c>
      <c r="AG691" s="4">
        <v>0</v>
      </c>
    </row>
    <row r="692" spans="1:33" ht="11.25" customHeight="1" x14ac:dyDescent="0.25">
      <c r="A692" s="3" t="s">
        <v>21</v>
      </c>
      <c r="B692" s="3" t="s">
        <v>41</v>
      </c>
      <c r="C692" s="3" t="s">
        <v>42</v>
      </c>
      <c r="D692" s="3" t="s">
        <v>43</v>
      </c>
      <c r="E692" s="3" t="s">
        <v>25</v>
      </c>
      <c r="F692" s="3" t="s">
        <v>25</v>
      </c>
      <c r="G692" s="3" t="s">
        <v>25</v>
      </c>
      <c r="H692" s="3" t="s">
        <v>34</v>
      </c>
      <c r="I692" s="6">
        <v>44317</v>
      </c>
      <c r="J692" s="4">
        <v>0</v>
      </c>
      <c r="K692" s="4">
        <v>0</v>
      </c>
      <c r="L692" s="4">
        <v>641.56100000000004</v>
      </c>
      <c r="M692" s="4">
        <v>641.56100000000004</v>
      </c>
      <c r="N692" s="4">
        <v>641.56100000000004</v>
      </c>
      <c r="O692" s="4">
        <v>641.56100000000004</v>
      </c>
      <c r="P692" s="4">
        <v>0</v>
      </c>
      <c r="Q692" s="3" t="s">
        <v>26</v>
      </c>
      <c r="R692" s="3">
        <v>0</v>
      </c>
      <c r="S692" s="4">
        <v>0</v>
      </c>
      <c r="T692" s="4">
        <v>20</v>
      </c>
      <c r="U692" s="4">
        <v>88</v>
      </c>
      <c r="V692" s="4">
        <v>0</v>
      </c>
      <c r="W692" s="4">
        <v>1564.59</v>
      </c>
      <c r="X692" s="4">
        <v>365.5</v>
      </c>
      <c r="Y692" s="4"/>
      <c r="Z692" s="4">
        <v>1923.7175020527629</v>
      </c>
      <c r="AA692" s="4">
        <v>381.42546590200942</v>
      </c>
      <c r="AB692" s="4">
        <v>0</v>
      </c>
      <c r="AC692" s="4">
        <v>1003779.92499</v>
      </c>
      <c r="AD692" s="4">
        <v>234490.54550000001</v>
      </c>
      <c r="AE692" s="4">
        <v>0</v>
      </c>
      <c r="AF692" s="4">
        <v>1234182.1243344727</v>
      </c>
      <c r="AG692" s="4">
        <v>244707.70332955907</v>
      </c>
    </row>
    <row r="693" spans="1:33" ht="11.25" customHeight="1" x14ac:dyDescent="0.25">
      <c r="A693" s="3" t="s">
        <v>27</v>
      </c>
      <c r="B693" s="3" t="s">
        <v>41</v>
      </c>
      <c r="C693" s="3" t="s">
        <v>42</v>
      </c>
      <c r="D693" s="3" t="s">
        <v>43</v>
      </c>
      <c r="E693" s="3" t="s">
        <v>25</v>
      </c>
      <c r="F693" s="3" t="s">
        <v>25</v>
      </c>
      <c r="G693" s="3" t="s">
        <v>25</v>
      </c>
      <c r="H693" s="3" t="s">
        <v>34</v>
      </c>
      <c r="I693" s="6">
        <v>44317</v>
      </c>
      <c r="J693" s="4">
        <v>0</v>
      </c>
      <c r="K693" s="4">
        <v>0</v>
      </c>
      <c r="L693" s="4">
        <v>-4.3600000000000003</v>
      </c>
      <c r="M693" s="4">
        <v>-4.3600000000000003</v>
      </c>
      <c r="N693" s="4">
        <v>-4.3600000000000003</v>
      </c>
      <c r="O693" s="4">
        <v>-4.3600000000000003</v>
      </c>
      <c r="P693" s="4">
        <v>0</v>
      </c>
      <c r="Q693" s="3" t="s">
        <v>26</v>
      </c>
      <c r="R693" s="3">
        <v>0</v>
      </c>
      <c r="S693" s="4">
        <v>0</v>
      </c>
      <c r="T693" s="4">
        <v>20</v>
      </c>
      <c r="U693" s="4">
        <v>88</v>
      </c>
      <c r="V693" s="4">
        <v>0</v>
      </c>
      <c r="W693" s="4">
        <v>1564.59</v>
      </c>
      <c r="X693" s="4">
        <v>365.5</v>
      </c>
      <c r="Y693" s="4"/>
      <c r="Z693" s="4">
        <v>1923.7175020527629</v>
      </c>
      <c r="AA693" s="4">
        <v>381.42546590200942</v>
      </c>
      <c r="AB693" s="4">
        <v>0</v>
      </c>
      <c r="AC693" s="4">
        <v>-6821.6124</v>
      </c>
      <c r="AD693" s="4">
        <v>-1593.5800000000002</v>
      </c>
      <c r="AE693" s="4">
        <v>0</v>
      </c>
      <c r="AF693" s="4">
        <v>-8387.4083089500473</v>
      </c>
      <c r="AG693" s="4">
        <v>-1663.0150313327613</v>
      </c>
    </row>
    <row r="694" spans="1:33" ht="11.25" customHeight="1" x14ac:dyDescent="0.25">
      <c r="A694" s="3" t="s">
        <v>28</v>
      </c>
      <c r="B694" s="3" t="s">
        <v>41</v>
      </c>
      <c r="C694" s="3" t="s">
        <v>42</v>
      </c>
      <c r="D694" s="3" t="s">
        <v>43</v>
      </c>
      <c r="E694" s="3" t="s">
        <v>25</v>
      </c>
      <c r="F694" s="3" t="s">
        <v>25</v>
      </c>
      <c r="G694" s="3" t="s">
        <v>25</v>
      </c>
      <c r="H694" s="3" t="s">
        <v>34</v>
      </c>
      <c r="I694" s="6">
        <v>44317</v>
      </c>
      <c r="J694" s="4">
        <v>0</v>
      </c>
      <c r="K694" s="4">
        <v>0</v>
      </c>
      <c r="L694" s="4">
        <v>43.762999999999998</v>
      </c>
      <c r="M694" s="4">
        <v>43.762999999999998</v>
      </c>
      <c r="N694" s="4">
        <v>43.762999999999998</v>
      </c>
      <c r="O694" s="4">
        <v>43.762999999999998</v>
      </c>
      <c r="P694" s="4">
        <v>0</v>
      </c>
      <c r="Q694" s="3" t="s">
        <v>26</v>
      </c>
      <c r="R694" s="3">
        <v>0</v>
      </c>
      <c r="S694" s="4">
        <v>0</v>
      </c>
      <c r="T694" s="4">
        <v>20</v>
      </c>
      <c r="U694" s="4">
        <v>88</v>
      </c>
      <c r="V694" s="4">
        <v>0</v>
      </c>
      <c r="W694" s="4">
        <v>1564.59</v>
      </c>
      <c r="X694" s="4">
        <v>365.5</v>
      </c>
      <c r="Y694" s="4"/>
      <c r="Z694" s="4">
        <v>1923.7175020527629</v>
      </c>
      <c r="AA694" s="4">
        <v>381.42546590200942</v>
      </c>
      <c r="AB694" s="4">
        <v>0</v>
      </c>
      <c r="AC694" s="4">
        <v>68471.152169999987</v>
      </c>
      <c r="AD694" s="4">
        <v>15995.376499999998</v>
      </c>
      <c r="AE694" s="4">
        <v>0</v>
      </c>
      <c r="AF694" s="4">
        <v>84187.649042335062</v>
      </c>
      <c r="AG694" s="4">
        <v>16692.322664269639</v>
      </c>
    </row>
    <row r="695" spans="1:33" ht="11.25" customHeight="1" x14ac:dyDescent="0.25">
      <c r="A695" s="3" t="s">
        <v>28</v>
      </c>
      <c r="B695" s="3" t="s">
        <v>41</v>
      </c>
      <c r="C695" s="3" t="s">
        <v>42</v>
      </c>
      <c r="D695" s="3" t="s">
        <v>43</v>
      </c>
      <c r="E695" s="3" t="s">
        <v>25</v>
      </c>
      <c r="F695" s="3" t="s">
        <v>25</v>
      </c>
      <c r="G695" s="3" t="s">
        <v>25</v>
      </c>
      <c r="H695" s="3" t="s">
        <v>34</v>
      </c>
      <c r="I695" s="6">
        <v>44317</v>
      </c>
      <c r="J695" s="4">
        <v>0</v>
      </c>
      <c r="K695" s="4">
        <v>0</v>
      </c>
      <c r="L695" s="4">
        <v>-0.06</v>
      </c>
      <c r="M695" s="4">
        <v>-0.06</v>
      </c>
      <c r="N695" s="4">
        <v>-0.06</v>
      </c>
      <c r="O695" s="4">
        <v>-0.06</v>
      </c>
      <c r="P695" s="4">
        <v>0</v>
      </c>
      <c r="Q695" s="3" t="s">
        <v>26</v>
      </c>
      <c r="R695" s="3">
        <v>0</v>
      </c>
      <c r="S695" s="4">
        <v>0</v>
      </c>
      <c r="T695" s="4">
        <v>20</v>
      </c>
      <c r="U695" s="4">
        <v>88</v>
      </c>
      <c r="V695" s="4">
        <v>0</v>
      </c>
      <c r="W695" s="4">
        <v>1564.59</v>
      </c>
      <c r="X695" s="4">
        <v>365.5</v>
      </c>
      <c r="Y695" s="4"/>
      <c r="Z695" s="4">
        <v>1923.7175020527629</v>
      </c>
      <c r="AA695" s="4">
        <v>381.42546590200942</v>
      </c>
      <c r="AB695" s="4">
        <v>0</v>
      </c>
      <c r="AC695" s="4">
        <v>-93.875399999999985</v>
      </c>
      <c r="AD695" s="4">
        <v>-21.93</v>
      </c>
      <c r="AE695" s="4">
        <v>0</v>
      </c>
      <c r="AF695" s="4">
        <v>-115.42305012316577</v>
      </c>
      <c r="AG695" s="4">
        <v>-22.885527954120565</v>
      </c>
    </row>
    <row r="696" spans="1:33" ht="11.25" customHeight="1" x14ac:dyDescent="0.25">
      <c r="A696" s="3" t="s">
        <v>21</v>
      </c>
      <c r="B696" s="3" t="s">
        <v>41</v>
      </c>
      <c r="C696" s="3" t="s">
        <v>42</v>
      </c>
      <c r="D696" s="3" t="s">
        <v>43</v>
      </c>
      <c r="E696" s="3" t="s">
        <v>25</v>
      </c>
      <c r="F696" s="3" t="s">
        <v>25</v>
      </c>
      <c r="G696" s="3" t="s">
        <v>25</v>
      </c>
      <c r="H696" s="3" t="s">
        <v>34</v>
      </c>
      <c r="I696" s="6">
        <v>44317</v>
      </c>
      <c r="J696" s="4">
        <v>0</v>
      </c>
      <c r="K696" s="4">
        <v>0</v>
      </c>
      <c r="L696" s="4">
        <v>3.718</v>
      </c>
      <c r="M696" s="4">
        <v>3.718</v>
      </c>
      <c r="N696" s="4">
        <v>0</v>
      </c>
      <c r="O696" s="4">
        <v>0</v>
      </c>
      <c r="P696" s="4">
        <v>0</v>
      </c>
      <c r="Q696" s="3" t="s">
        <v>57</v>
      </c>
      <c r="R696" s="3">
        <v>0</v>
      </c>
      <c r="S696" s="4">
        <v>0</v>
      </c>
      <c r="T696" s="4">
        <v>20</v>
      </c>
      <c r="U696" s="4">
        <v>0</v>
      </c>
      <c r="V696" s="4">
        <v>0</v>
      </c>
      <c r="W696" s="4">
        <v>1564.59</v>
      </c>
      <c r="X696" s="4">
        <v>0</v>
      </c>
      <c r="Y696" s="4"/>
      <c r="Z696" s="4">
        <v>1923.7175020527629</v>
      </c>
      <c r="AA696" s="4"/>
      <c r="AB696" s="4">
        <v>0</v>
      </c>
      <c r="AC696" s="4">
        <v>5817.1456199999993</v>
      </c>
      <c r="AD696" s="4">
        <v>0</v>
      </c>
      <c r="AE696" s="4">
        <v>0</v>
      </c>
      <c r="AF696" s="4">
        <v>7152.3816726321729</v>
      </c>
      <c r="AG696" s="4">
        <v>0</v>
      </c>
    </row>
    <row r="697" spans="1:33" ht="11.25" customHeight="1" x14ac:dyDescent="0.25">
      <c r="A697" s="3" t="s">
        <v>21</v>
      </c>
      <c r="B697" s="3" t="s">
        <v>41</v>
      </c>
      <c r="C697" s="3" t="s">
        <v>42</v>
      </c>
      <c r="D697" s="3" t="s">
        <v>43</v>
      </c>
      <c r="E697" s="3" t="s">
        <v>25</v>
      </c>
      <c r="F697" s="3" t="s">
        <v>25</v>
      </c>
      <c r="G697" s="3" t="s">
        <v>25</v>
      </c>
      <c r="H697" s="3" t="s">
        <v>34</v>
      </c>
      <c r="I697" s="6">
        <v>44348</v>
      </c>
      <c r="J697" s="4">
        <v>0</v>
      </c>
      <c r="K697" s="4">
        <v>0</v>
      </c>
      <c r="L697" s="4">
        <v>636.63099999999997</v>
      </c>
      <c r="M697" s="4">
        <v>636.63099999999997</v>
      </c>
      <c r="N697" s="4">
        <v>636.63099999999997</v>
      </c>
      <c r="O697" s="4">
        <v>636.63099999999997</v>
      </c>
      <c r="P697" s="4">
        <v>0</v>
      </c>
      <c r="Q697" s="3" t="s">
        <v>26</v>
      </c>
      <c r="R697" s="3">
        <v>0</v>
      </c>
      <c r="S697" s="4">
        <v>0</v>
      </c>
      <c r="T697" s="4">
        <v>20</v>
      </c>
      <c r="U697" s="4">
        <v>88</v>
      </c>
      <c r="V697" s="4">
        <v>0</v>
      </c>
      <c r="W697" s="4">
        <v>1564.59</v>
      </c>
      <c r="X697" s="4">
        <v>365.5</v>
      </c>
      <c r="Y697" s="4"/>
      <c r="Z697" s="4">
        <v>1923.7175020527629</v>
      </c>
      <c r="AA697" s="4">
        <v>381.42546590200942</v>
      </c>
      <c r="AB697" s="4">
        <v>0</v>
      </c>
      <c r="AC697" s="4">
        <v>996066.49628999992</v>
      </c>
      <c r="AD697" s="4">
        <v>232688.6305</v>
      </c>
      <c r="AE697" s="4">
        <v>0</v>
      </c>
      <c r="AF697" s="4">
        <v>1224698.1970493526</v>
      </c>
      <c r="AG697" s="4">
        <v>242827.27578266215</v>
      </c>
    </row>
    <row r="698" spans="1:33" ht="11.25" customHeight="1" x14ac:dyDescent="0.25">
      <c r="A698" s="3" t="s">
        <v>27</v>
      </c>
      <c r="B698" s="3" t="s">
        <v>41</v>
      </c>
      <c r="C698" s="3" t="s">
        <v>42</v>
      </c>
      <c r="D698" s="3" t="s">
        <v>43</v>
      </c>
      <c r="E698" s="3" t="s">
        <v>25</v>
      </c>
      <c r="F698" s="3" t="s">
        <v>25</v>
      </c>
      <c r="G698" s="3" t="s">
        <v>25</v>
      </c>
      <c r="H698" s="3" t="s">
        <v>34</v>
      </c>
      <c r="I698" s="6">
        <v>44348</v>
      </c>
      <c r="J698" s="4">
        <v>0</v>
      </c>
      <c r="K698" s="4">
        <v>0</v>
      </c>
      <c r="L698" s="4">
        <v>-4.4550000000000001</v>
      </c>
      <c r="M698" s="4">
        <v>-4.4550000000000001</v>
      </c>
      <c r="N698" s="4">
        <v>-4.4550000000000001</v>
      </c>
      <c r="O698" s="4">
        <v>-4.4550000000000001</v>
      </c>
      <c r="P698" s="4">
        <v>0</v>
      </c>
      <c r="Q698" s="3" t="s">
        <v>26</v>
      </c>
      <c r="R698" s="3">
        <v>0</v>
      </c>
      <c r="S698" s="4">
        <v>0</v>
      </c>
      <c r="T698" s="4">
        <v>20</v>
      </c>
      <c r="U698" s="4">
        <v>88</v>
      </c>
      <c r="V698" s="4">
        <v>0</v>
      </c>
      <c r="W698" s="4">
        <v>1564.59</v>
      </c>
      <c r="X698" s="4">
        <v>365.5</v>
      </c>
      <c r="Y698" s="4"/>
      <c r="Z698" s="4">
        <v>1923.7175020527629</v>
      </c>
      <c r="AA698" s="4">
        <v>381.42546590200942</v>
      </c>
      <c r="AB698" s="4">
        <v>0</v>
      </c>
      <c r="AC698" s="4">
        <v>-6970.24845</v>
      </c>
      <c r="AD698" s="4">
        <v>-1628.3025</v>
      </c>
      <c r="AE698" s="4">
        <v>0</v>
      </c>
      <c r="AF698" s="4">
        <v>-8570.1614716450586</v>
      </c>
      <c r="AG698" s="4">
        <v>-1699.2504505934519</v>
      </c>
    </row>
    <row r="699" spans="1:33" ht="11.25" customHeight="1" x14ac:dyDescent="0.25">
      <c r="A699" s="3" t="s">
        <v>28</v>
      </c>
      <c r="B699" s="3" t="s">
        <v>41</v>
      </c>
      <c r="C699" s="3" t="s">
        <v>42</v>
      </c>
      <c r="D699" s="3" t="s">
        <v>43</v>
      </c>
      <c r="E699" s="3" t="s">
        <v>25</v>
      </c>
      <c r="F699" s="3" t="s">
        <v>25</v>
      </c>
      <c r="G699" s="3" t="s">
        <v>25</v>
      </c>
      <c r="H699" s="3" t="s">
        <v>34</v>
      </c>
      <c r="I699" s="6">
        <v>44348</v>
      </c>
      <c r="J699" s="4">
        <v>0</v>
      </c>
      <c r="K699" s="4">
        <v>0</v>
      </c>
      <c r="L699" s="4">
        <v>37.39</v>
      </c>
      <c r="M699" s="4">
        <v>37.39</v>
      </c>
      <c r="N699" s="4">
        <v>37.39</v>
      </c>
      <c r="O699" s="4">
        <v>37.39</v>
      </c>
      <c r="P699" s="4">
        <v>0</v>
      </c>
      <c r="Q699" s="3" t="s">
        <v>26</v>
      </c>
      <c r="R699" s="3">
        <v>0</v>
      </c>
      <c r="S699" s="4">
        <v>0</v>
      </c>
      <c r="T699" s="4">
        <v>20</v>
      </c>
      <c r="U699" s="4">
        <v>88</v>
      </c>
      <c r="V699" s="4">
        <v>0</v>
      </c>
      <c r="W699" s="4">
        <v>1564.59</v>
      </c>
      <c r="X699" s="4">
        <v>365.5</v>
      </c>
      <c r="Y699" s="4"/>
      <c r="Z699" s="4">
        <v>1923.7175020527629</v>
      </c>
      <c r="AA699" s="4">
        <v>381.42546590200942</v>
      </c>
      <c r="AB699" s="4">
        <v>0</v>
      </c>
      <c r="AC699" s="4">
        <v>58500.020099999994</v>
      </c>
      <c r="AD699" s="4">
        <v>13666.045</v>
      </c>
      <c r="AE699" s="4">
        <v>0</v>
      </c>
      <c r="AF699" s="4">
        <v>71927.797401752803</v>
      </c>
      <c r="AG699" s="4">
        <v>14261.498170076133</v>
      </c>
    </row>
    <row r="700" spans="1:33" ht="11.25" customHeight="1" x14ac:dyDescent="0.25">
      <c r="A700" s="3" t="s">
        <v>21</v>
      </c>
      <c r="B700" s="3" t="s">
        <v>41</v>
      </c>
      <c r="C700" s="3" t="s">
        <v>42</v>
      </c>
      <c r="D700" s="3" t="s">
        <v>43</v>
      </c>
      <c r="E700" s="3" t="s">
        <v>25</v>
      </c>
      <c r="F700" s="3" t="s">
        <v>25</v>
      </c>
      <c r="G700" s="3" t="s">
        <v>25</v>
      </c>
      <c r="H700" s="3" t="s">
        <v>34</v>
      </c>
      <c r="I700" s="6">
        <v>44348</v>
      </c>
      <c r="J700" s="4">
        <v>0</v>
      </c>
      <c r="K700" s="4">
        <v>0</v>
      </c>
      <c r="L700" s="4">
        <v>5.8410000000000002</v>
      </c>
      <c r="M700" s="4">
        <v>5.8410000000000002</v>
      </c>
      <c r="N700" s="4">
        <v>0</v>
      </c>
      <c r="O700" s="4">
        <v>0</v>
      </c>
      <c r="P700" s="4">
        <v>0</v>
      </c>
      <c r="Q700" s="3" t="s">
        <v>57</v>
      </c>
      <c r="R700" s="3">
        <v>0</v>
      </c>
      <c r="S700" s="4">
        <v>0</v>
      </c>
      <c r="T700" s="4">
        <v>20</v>
      </c>
      <c r="U700" s="4">
        <v>0</v>
      </c>
      <c r="V700" s="4">
        <v>0</v>
      </c>
      <c r="W700" s="4">
        <v>1564.59</v>
      </c>
      <c r="X700" s="4">
        <v>0</v>
      </c>
      <c r="Y700" s="4"/>
      <c r="Z700" s="4">
        <v>1923.7175020527629</v>
      </c>
      <c r="AA700" s="4"/>
      <c r="AB700" s="4">
        <v>0</v>
      </c>
      <c r="AC700" s="4">
        <v>9138.7701899999993</v>
      </c>
      <c r="AD700" s="4">
        <v>0</v>
      </c>
      <c r="AE700" s="4">
        <v>0</v>
      </c>
      <c r="AF700" s="4">
        <v>11236.433929490189</v>
      </c>
      <c r="AG700" s="4">
        <v>0</v>
      </c>
    </row>
    <row r="701" spans="1:33" ht="11.25" customHeight="1" x14ac:dyDescent="0.25">
      <c r="A701" s="3" t="s">
        <v>21</v>
      </c>
      <c r="B701" s="3" t="s">
        <v>41</v>
      </c>
      <c r="C701" s="3" t="s">
        <v>42</v>
      </c>
      <c r="D701" s="3" t="s">
        <v>43</v>
      </c>
      <c r="E701" s="3" t="s">
        <v>25</v>
      </c>
      <c r="F701" s="3" t="s">
        <v>25</v>
      </c>
      <c r="G701" s="3" t="s">
        <v>25</v>
      </c>
      <c r="H701" s="3" t="s">
        <v>34</v>
      </c>
      <c r="I701" s="6">
        <v>44378</v>
      </c>
      <c r="J701" s="4">
        <v>0</v>
      </c>
      <c r="K701" s="4">
        <v>0</v>
      </c>
      <c r="L701" s="4">
        <v>641.88599999999997</v>
      </c>
      <c r="M701" s="4">
        <v>641.88599999999997</v>
      </c>
      <c r="N701" s="4">
        <v>641.88599999999997</v>
      </c>
      <c r="O701" s="4">
        <v>641.88599999999997</v>
      </c>
      <c r="P701" s="4">
        <v>0</v>
      </c>
      <c r="Q701" s="3" t="s">
        <v>26</v>
      </c>
      <c r="R701" s="3">
        <v>0</v>
      </c>
      <c r="S701" s="4">
        <v>0</v>
      </c>
      <c r="T701" s="4">
        <v>20</v>
      </c>
      <c r="U701" s="4">
        <v>88</v>
      </c>
      <c r="V701" s="4">
        <v>0</v>
      </c>
      <c r="W701" s="4">
        <v>1564.59</v>
      </c>
      <c r="X701" s="4">
        <v>365.5</v>
      </c>
      <c r="Y701" s="4"/>
      <c r="Z701" s="4">
        <v>1923.7175020527629</v>
      </c>
      <c r="AA701" s="4">
        <v>381.42546590200942</v>
      </c>
      <c r="AB701" s="4">
        <v>0</v>
      </c>
      <c r="AC701" s="4">
        <v>1004288.4167399999</v>
      </c>
      <c r="AD701" s="4">
        <v>234609.33299999998</v>
      </c>
      <c r="AE701" s="4">
        <v>0</v>
      </c>
      <c r="AF701" s="4">
        <v>1234807.3325226398</v>
      </c>
      <c r="AG701" s="4">
        <v>244831.6666059772</v>
      </c>
    </row>
    <row r="702" spans="1:33" ht="11.25" customHeight="1" x14ac:dyDescent="0.25">
      <c r="A702" s="3" t="s">
        <v>27</v>
      </c>
      <c r="B702" s="3" t="s">
        <v>41</v>
      </c>
      <c r="C702" s="3" t="s">
        <v>42</v>
      </c>
      <c r="D702" s="3" t="s">
        <v>43</v>
      </c>
      <c r="E702" s="3" t="s">
        <v>25</v>
      </c>
      <c r="F702" s="3" t="s">
        <v>25</v>
      </c>
      <c r="G702" s="3" t="s">
        <v>25</v>
      </c>
      <c r="H702" s="3" t="s">
        <v>34</v>
      </c>
      <c r="I702" s="6">
        <v>44378</v>
      </c>
      <c r="J702" s="4">
        <v>0</v>
      </c>
      <c r="K702" s="4">
        <v>0</v>
      </c>
      <c r="L702" s="4">
        <v>4.2699999999999996</v>
      </c>
      <c r="M702" s="4">
        <v>4.2699999999999996</v>
      </c>
      <c r="N702" s="4">
        <v>4.2699999999999996</v>
      </c>
      <c r="O702" s="4">
        <v>4.2699999999999996</v>
      </c>
      <c r="P702" s="4">
        <v>0</v>
      </c>
      <c r="Q702" s="3" t="s">
        <v>26</v>
      </c>
      <c r="R702" s="3">
        <v>0</v>
      </c>
      <c r="S702" s="4">
        <v>0</v>
      </c>
      <c r="T702" s="4">
        <v>20</v>
      </c>
      <c r="U702" s="4">
        <v>88</v>
      </c>
      <c r="V702" s="4">
        <v>0</v>
      </c>
      <c r="W702" s="4">
        <v>1564.59</v>
      </c>
      <c r="X702" s="4">
        <v>365.5</v>
      </c>
      <c r="Y702" s="4"/>
      <c r="Z702" s="4">
        <v>1923.7175020527629</v>
      </c>
      <c r="AA702" s="4">
        <v>381.42546590200942</v>
      </c>
      <c r="AB702" s="4">
        <v>0</v>
      </c>
      <c r="AC702" s="4">
        <v>6680.7992999999988</v>
      </c>
      <c r="AD702" s="4">
        <v>1560.6849999999999</v>
      </c>
      <c r="AE702" s="4">
        <v>0</v>
      </c>
      <c r="AF702" s="4">
        <v>8214.2737337652961</v>
      </c>
      <c r="AG702" s="4">
        <v>1628.6867394015801</v>
      </c>
    </row>
    <row r="703" spans="1:33" ht="11.25" customHeight="1" x14ac:dyDescent="0.25">
      <c r="A703" s="3" t="s">
        <v>28</v>
      </c>
      <c r="B703" s="3" t="s">
        <v>41</v>
      </c>
      <c r="C703" s="3" t="s">
        <v>42</v>
      </c>
      <c r="D703" s="3" t="s">
        <v>43</v>
      </c>
      <c r="E703" s="3" t="s">
        <v>25</v>
      </c>
      <c r="F703" s="3" t="s">
        <v>25</v>
      </c>
      <c r="G703" s="3" t="s">
        <v>25</v>
      </c>
      <c r="H703" s="3" t="s">
        <v>34</v>
      </c>
      <c r="I703" s="6">
        <v>44378</v>
      </c>
      <c r="J703" s="4">
        <v>0</v>
      </c>
      <c r="K703" s="4">
        <v>0</v>
      </c>
      <c r="L703" s="4">
        <v>39</v>
      </c>
      <c r="M703" s="4">
        <v>39</v>
      </c>
      <c r="N703" s="4">
        <v>39</v>
      </c>
      <c r="O703" s="4">
        <v>39</v>
      </c>
      <c r="P703" s="4">
        <v>0</v>
      </c>
      <c r="Q703" s="3" t="s">
        <v>26</v>
      </c>
      <c r="R703" s="3">
        <v>0</v>
      </c>
      <c r="S703" s="4">
        <v>0</v>
      </c>
      <c r="T703" s="4">
        <v>20</v>
      </c>
      <c r="U703" s="4">
        <v>88</v>
      </c>
      <c r="V703" s="4">
        <v>0</v>
      </c>
      <c r="W703" s="4">
        <v>1564.59</v>
      </c>
      <c r="X703" s="4">
        <v>365.5</v>
      </c>
      <c r="Y703" s="4"/>
      <c r="Z703" s="4">
        <v>1923.7175020527629</v>
      </c>
      <c r="AA703" s="4">
        <v>381.42546590200942</v>
      </c>
      <c r="AB703" s="4">
        <v>0</v>
      </c>
      <c r="AC703" s="4">
        <v>61019.009999999995</v>
      </c>
      <c r="AD703" s="4">
        <v>14254.5</v>
      </c>
      <c r="AE703" s="4">
        <v>0</v>
      </c>
      <c r="AF703" s="4">
        <v>75024.982580057753</v>
      </c>
      <c r="AG703" s="4">
        <v>14875.593170178367</v>
      </c>
    </row>
    <row r="704" spans="1:33" ht="11.25" customHeight="1" x14ac:dyDescent="0.25">
      <c r="A704" s="3" t="s">
        <v>21</v>
      </c>
      <c r="B704" s="3" t="s">
        <v>41</v>
      </c>
      <c r="C704" s="3" t="s">
        <v>42</v>
      </c>
      <c r="D704" s="3" t="s">
        <v>43</v>
      </c>
      <c r="E704" s="3" t="s">
        <v>25</v>
      </c>
      <c r="F704" s="3" t="s">
        <v>25</v>
      </c>
      <c r="G704" s="3" t="s">
        <v>25</v>
      </c>
      <c r="H704" s="3" t="s">
        <v>34</v>
      </c>
      <c r="I704" s="6">
        <v>44378</v>
      </c>
      <c r="J704" s="4">
        <v>0</v>
      </c>
      <c r="K704" s="4">
        <v>0</v>
      </c>
      <c r="L704" s="4">
        <v>26.3</v>
      </c>
      <c r="M704" s="4">
        <v>26.3</v>
      </c>
      <c r="N704" s="4">
        <v>0</v>
      </c>
      <c r="O704" s="4">
        <v>0</v>
      </c>
      <c r="P704" s="4">
        <v>0</v>
      </c>
      <c r="Q704" s="3" t="s">
        <v>57</v>
      </c>
      <c r="R704" s="3">
        <v>0</v>
      </c>
      <c r="S704" s="4">
        <v>0</v>
      </c>
      <c r="T704" s="4">
        <v>20</v>
      </c>
      <c r="U704" s="4">
        <v>0</v>
      </c>
      <c r="V704" s="4">
        <v>0</v>
      </c>
      <c r="W704" s="4">
        <v>1564.59</v>
      </c>
      <c r="X704" s="4">
        <v>0</v>
      </c>
      <c r="Y704" s="4"/>
      <c r="Z704" s="4">
        <v>1923.7175020527629</v>
      </c>
      <c r="AA704" s="4"/>
      <c r="AB704" s="4">
        <v>0</v>
      </c>
      <c r="AC704" s="4">
        <v>41148.716999999997</v>
      </c>
      <c r="AD704" s="4">
        <v>0</v>
      </c>
      <c r="AE704" s="4">
        <v>0</v>
      </c>
      <c r="AF704" s="4">
        <v>50593.770303987665</v>
      </c>
      <c r="AG704" s="4">
        <v>0</v>
      </c>
    </row>
    <row r="705" spans="1:33" ht="11.25" customHeight="1" x14ac:dyDescent="0.25">
      <c r="A705" s="3" t="s">
        <v>21</v>
      </c>
      <c r="B705" s="3" t="s">
        <v>41</v>
      </c>
      <c r="C705" s="3" t="s">
        <v>42</v>
      </c>
      <c r="D705" s="3" t="s">
        <v>43</v>
      </c>
      <c r="E705" s="3" t="s">
        <v>25</v>
      </c>
      <c r="F705" s="3" t="s">
        <v>25</v>
      </c>
      <c r="G705" s="3" t="s">
        <v>25</v>
      </c>
      <c r="H705" s="3" t="s">
        <v>34</v>
      </c>
      <c r="I705" s="6">
        <v>44409</v>
      </c>
      <c r="J705" s="4">
        <v>0</v>
      </c>
      <c r="K705" s="4">
        <v>0</v>
      </c>
      <c r="L705" s="4">
        <v>686.34699999999998</v>
      </c>
      <c r="M705" s="4">
        <v>686.34699999999998</v>
      </c>
      <c r="N705" s="4">
        <v>686.34699999999998</v>
      </c>
      <c r="O705" s="4">
        <v>686.34699999999998</v>
      </c>
      <c r="P705" s="4">
        <v>0</v>
      </c>
      <c r="Q705" s="3" t="s">
        <v>26</v>
      </c>
      <c r="R705" s="3">
        <v>0</v>
      </c>
      <c r="S705" s="4">
        <v>0</v>
      </c>
      <c r="T705" s="4">
        <v>20</v>
      </c>
      <c r="U705" s="4">
        <v>88</v>
      </c>
      <c r="V705" s="4">
        <v>0</v>
      </c>
      <c r="W705" s="4">
        <v>1564.59</v>
      </c>
      <c r="X705" s="4">
        <v>365.5</v>
      </c>
      <c r="Y705" s="4"/>
      <c r="Z705" s="4">
        <v>1923.7175020527629</v>
      </c>
      <c r="AA705" s="4">
        <v>381.42546590200942</v>
      </c>
      <c r="AB705" s="4">
        <v>0</v>
      </c>
      <c r="AC705" s="4">
        <v>1073851.65273</v>
      </c>
      <c r="AD705" s="4">
        <v>250859.8285</v>
      </c>
      <c r="AE705" s="4">
        <v>0</v>
      </c>
      <c r="AF705" s="4">
        <v>1320337.7363814076</v>
      </c>
      <c r="AG705" s="4">
        <v>261790.22424544644</v>
      </c>
    </row>
    <row r="706" spans="1:33" ht="11.25" customHeight="1" x14ac:dyDescent="0.25">
      <c r="A706" s="3" t="s">
        <v>28</v>
      </c>
      <c r="B706" s="3" t="s">
        <v>41</v>
      </c>
      <c r="C706" s="3" t="s">
        <v>42</v>
      </c>
      <c r="D706" s="3" t="s">
        <v>43</v>
      </c>
      <c r="E706" s="3" t="s">
        <v>25</v>
      </c>
      <c r="F706" s="3" t="s">
        <v>25</v>
      </c>
      <c r="G706" s="3" t="s">
        <v>25</v>
      </c>
      <c r="H706" s="3" t="s">
        <v>34</v>
      </c>
      <c r="I706" s="6">
        <v>44409</v>
      </c>
      <c r="J706" s="4">
        <v>0</v>
      </c>
      <c r="K706" s="4">
        <v>0</v>
      </c>
      <c r="L706" s="4">
        <v>39.442</v>
      </c>
      <c r="M706" s="4">
        <v>39.442</v>
      </c>
      <c r="N706" s="4">
        <v>39.442</v>
      </c>
      <c r="O706" s="4">
        <v>39.442</v>
      </c>
      <c r="P706" s="4">
        <v>0</v>
      </c>
      <c r="Q706" s="3" t="s">
        <v>26</v>
      </c>
      <c r="R706" s="3">
        <v>0</v>
      </c>
      <c r="S706" s="4">
        <v>0</v>
      </c>
      <c r="T706" s="4">
        <v>20</v>
      </c>
      <c r="U706" s="4">
        <v>88</v>
      </c>
      <c r="V706" s="4">
        <v>0</v>
      </c>
      <c r="W706" s="4">
        <v>1564.59</v>
      </c>
      <c r="X706" s="4">
        <v>365.5</v>
      </c>
      <c r="Y706" s="4"/>
      <c r="Z706" s="4">
        <v>1923.7175020527629</v>
      </c>
      <c r="AA706" s="4">
        <v>381.42546590200942</v>
      </c>
      <c r="AB706" s="4">
        <v>0</v>
      </c>
      <c r="AC706" s="4">
        <v>61710.558779999999</v>
      </c>
      <c r="AD706" s="4">
        <v>14416.050999999999</v>
      </c>
      <c r="AE706" s="4">
        <v>0</v>
      </c>
      <c r="AF706" s="4">
        <v>75875.26571596507</v>
      </c>
      <c r="AG706" s="4">
        <v>15044.183226107056</v>
      </c>
    </row>
    <row r="707" spans="1:33" ht="11.25" customHeight="1" x14ac:dyDescent="0.25">
      <c r="A707" s="3" t="s">
        <v>21</v>
      </c>
      <c r="B707" s="3" t="s">
        <v>41</v>
      </c>
      <c r="C707" s="3" t="s">
        <v>42</v>
      </c>
      <c r="D707" s="3" t="s">
        <v>43</v>
      </c>
      <c r="E707" s="3" t="s">
        <v>25</v>
      </c>
      <c r="F707" s="3" t="s">
        <v>25</v>
      </c>
      <c r="G707" s="3" t="s">
        <v>25</v>
      </c>
      <c r="H707" s="3" t="s">
        <v>34</v>
      </c>
      <c r="I707" s="6">
        <v>44409</v>
      </c>
      <c r="J707" s="4">
        <v>0</v>
      </c>
      <c r="K707" s="4">
        <v>0</v>
      </c>
      <c r="L707" s="4">
        <v>20.62</v>
      </c>
      <c r="M707" s="4">
        <v>20.62</v>
      </c>
      <c r="N707" s="4">
        <v>0</v>
      </c>
      <c r="O707" s="4">
        <v>0</v>
      </c>
      <c r="P707" s="4">
        <v>0</v>
      </c>
      <c r="Q707" s="3" t="s">
        <v>57</v>
      </c>
      <c r="R707" s="3">
        <v>0</v>
      </c>
      <c r="S707" s="4">
        <v>0</v>
      </c>
      <c r="T707" s="4">
        <v>20</v>
      </c>
      <c r="U707" s="4">
        <v>0</v>
      </c>
      <c r="V707" s="4">
        <v>0</v>
      </c>
      <c r="W707" s="4">
        <v>1564.59</v>
      </c>
      <c r="X707" s="4">
        <v>0</v>
      </c>
      <c r="Y707" s="4"/>
      <c r="Z707" s="4">
        <v>1923.7175020527629</v>
      </c>
      <c r="AA707" s="4"/>
      <c r="AB707" s="4">
        <v>0</v>
      </c>
      <c r="AC707" s="4">
        <v>32261.845799999999</v>
      </c>
      <c r="AD707" s="4">
        <v>0</v>
      </c>
      <c r="AE707" s="4">
        <v>0</v>
      </c>
      <c r="AF707" s="4">
        <v>39667.054892327971</v>
      </c>
      <c r="AG707" s="4">
        <v>0</v>
      </c>
    </row>
    <row r="708" spans="1:33" ht="11.25" customHeight="1" x14ac:dyDescent="0.25">
      <c r="A708" s="3" t="s">
        <v>21</v>
      </c>
      <c r="B708" s="3" t="s">
        <v>41</v>
      </c>
      <c r="C708" s="3" t="s">
        <v>42</v>
      </c>
      <c r="D708" s="3" t="s">
        <v>43</v>
      </c>
      <c r="E708" s="3" t="s">
        <v>25</v>
      </c>
      <c r="F708" s="3" t="s">
        <v>25</v>
      </c>
      <c r="G708" s="3" t="s">
        <v>25</v>
      </c>
      <c r="H708" s="3" t="s">
        <v>34</v>
      </c>
      <c r="I708" s="6">
        <v>44440</v>
      </c>
      <c r="J708" s="4">
        <v>0</v>
      </c>
      <c r="K708" s="4">
        <v>0</v>
      </c>
      <c r="L708" s="4">
        <v>700.45100000000002</v>
      </c>
      <c r="M708" s="4">
        <v>700.45100000000002</v>
      </c>
      <c r="N708" s="4">
        <v>700.45100000000002</v>
      </c>
      <c r="O708" s="4">
        <v>700.45100000000002</v>
      </c>
      <c r="P708" s="4">
        <v>0</v>
      </c>
      <c r="Q708" s="3" t="s">
        <v>26</v>
      </c>
      <c r="R708" s="3">
        <v>0</v>
      </c>
      <c r="S708" s="4">
        <v>0</v>
      </c>
      <c r="T708" s="4">
        <v>20</v>
      </c>
      <c r="U708" s="4">
        <v>88</v>
      </c>
      <c r="V708" s="4">
        <v>0</v>
      </c>
      <c r="W708" s="4">
        <v>1564.59</v>
      </c>
      <c r="X708" s="4">
        <v>365.5</v>
      </c>
      <c r="Y708" s="4"/>
      <c r="Z708" s="4">
        <v>1923.7175020527629</v>
      </c>
      <c r="AA708" s="4">
        <v>381.42546590200942</v>
      </c>
      <c r="AB708" s="4">
        <v>0</v>
      </c>
      <c r="AC708" s="4">
        <v>1095918.6300899999</v>
      </c>
      <c r="AD708" s="4">
        <v>256014.84050000002</v>
      </c>
      <c r="AE708" s="4">
        <v>0</v>
      </c>
      <c r="AF708" s="4">
        <v>1347469.8480303599</v>
      </c>
      <c r="AG708" s="4">
        <v>267169.8490165284</v>
      </c>
    </row>
    <row r="709" spans="1:33" ht="11.25" customHeight="1" x14ac:dyDescent="0.25">
      <c r="A709" s="3" t="s">
        <v>28</v>
      </c>
      <c r="B709" s="3" t="s">
        <v>41</v>
      </c>
      <c r="C709" s="3" t="s">
        <v>42</v>
      </c>
      <c r="D709" s="3" t="s">
        <v>43</v>
      </c>
      <c r="E709" s="3" t="s">
        <v>25</v>
      </c>
      <c r="F709" s="3" t="s">
        <v>25</v>
      </c>
      <c r="G709" s="3" t="s">
        <v>25</v>
      </c>
      <c r="H709" s="3" t="s">
        <v>34</v>
      </c>
      <c r="I709" s="6">
        <v>44440</v>
      </c>
      <c r="J709" s="4">
        <v>0</v>
      </c>
      <c r="K709" s="4">
        <v>0</v>
      </c>
      <c r="L709" s="4">
        <v>50.274000000000001</v>
      </c>
      <c r="M709" s="4">
        <v>50.274000000000001</v>
      </c>
      <c r="N709" s="4">
        <v>50.274000000000001</v>
      </c>
      <c r="O709" s="4">
        <v>50.274000000000001</v>
      </c>
      <c r="P709" s="4">
        <v>0</v>
      </c>
      <c r="Q709" s="3" t="s">
        <v>26</v>
      </c>
      <c r="R709" s="3">
        <v>0</v>
      </c>
      <c r="S709" s="4">
        <v>0</v>
      </c>
      <c r="T709" s="4">
        <v>20</v>
      </c>
      <c r="U709" s="4">
        <v>88</v>
      </c>
      <c r="V709" s="4">
        <v>0</v>
      </c>
      <c r="W709" s="4">
        <v>1564.59</v>
      </c>
      <c r="X709" s="4">
        <v>365.5</v>
      </c>
      <c r="Y709" s="4"/>
      <c r="Z709" s="4">
        <v>1923.7175020527629</v>
      </c>
      <c r="AA709" s="4">
        <v>381.42546590200942</v>
      </c>
      <c r="AB709" s="4">
        <v>0</v>
      </c>
      <c r="AC709" s="4">
        <v>78658.197659999991</v>
      </c>
      <c r="AD709" s="4">
        <v>18375.147000000001</v>
      </c>
      <c r="AE709" s="4">
        <v>0</v>
      </c>
      <c r="AF709" s="4">
        <v>96712.9736982006</v>
      </c>
      <c r="AG709" s="4">
        <v>19175.783872757624</v>
      </c>
    </row>
    <row r="710" spans="1:33" ht="11.25" customHeight="1" x14ac:dyDescent="0.25">
      <c r="A710" s="3" t="s">
        <v>21</v>
      </c>
      <c r="B710" s="3" t="s">
        <v>41</v>
      </c>
      <c r="C710" s="3" t="s">
        <v>42</v>
      </c>
      <c r="D710" s="3" t="s">
        <v>43</v>
      </c>
      <c r="E710" s="3" t="s">
        <v>25</v>
      </c>
      <c r="F710" s="3" t="s">
        <v>25</v>
      </c>
      <c r="G710" s="3" t="s">
        <v>25</v>
      </c>
      <c r="H710" s="3" t="s">
        <v>34</v>
      </c>
      <c r="I710" s="6">
        <v>44440</v>
      </c>
      <c r="J710" s="4">
        <v>0</v>
      </c>
      <c r="K710" s="4">
        <v>0</v>
      </c>
      <c r="L710" s="4">
        <v>11.423</v>
      </c>
      <c r="M710" s="4">
        <v>11.423</v>
      </c>
      <c r="N710" s="4">
        <v>0</v>
      </c>
      <c r="O710" s="4">
        <v>0</v>
      </c>
      <c r="P710" s="4">
        <v>0</v>
      </c>
      <c r="Q710" s="3" t="s">
        <v>57</v>
      </c>
      <c r="R710" s="3">
        <v>0</v>
      </c>
      <c r="S710" s="4">
        <v>0</v>
      </c>
      <c r="T710" s="4">
        <v>20</v>
      </c>
      <c r="U710" s="4">
        <v>0</v>
      </c>
      <c r="V710" s="4">
        <v>0</v>
      </c>
      <c r="W710" s="4">
        <v>1564.59</v>
      </c>
      <c r="X710" s="4">
        <v>0</v>
      </c>
      <c r="Y710" s="4"/>
      <c r="Z710" s="4">
        <v>1923.7175020527629</v>
      </c>
      <c r="AA710" s="4"/>
      <c r="AB710" s="4">
        <v>0</v>
      </c>
      <c r="AC710" s="4">
        <v>17872.311569999998</v>
      </c>
      <c r="AD710" s="4">
        <v>0</v>
      </c>
      <c r="AE710" s="4">
        <v>0</v>
      </c>
      <c r="AF710" s="4">
        <v>21974.62502594871</v>
      </c>
      <c r="AG710" s="4">
        <v>0</v>
      </c>
    </row>
    <row r="711" spans="1:33" ht="11.25" customHeight="1" x14ac:dyDescent="0.25">
      <c r="A711" s="3" t="s">
        <v>21</v>
      </c>
      <c r="B711" s="3" t="s">
        <v>41</v>
      </c>
      <c r="C711" s="3" t="s">
        <v>42</v>
      </c>
      <c r="D711" s="3" t="s">
        <v>43</v>
      </c>
      <c r="E711" s="3" t="s">
        <v>25</v>
      </c>
      <c r="F711" s="3" t="s">
        <v>25</v>
      </c>
      <c r="G711" s="3" t="s">
        <v>25</v>
      </c>
      <c r="H711" s="3" t="s">
        <v>34</v>
      </c>
      <c r="I711" s="6">
        <v>44470</v>
      </c>
      <c r="J711" s="4">
        <v>0</v>
      </c>
      <c r="K711" s="4">
        <v>0</v>
      </c>
      <c r="L711" s="4">
        <v>716.50099999999998</v>
      </c>
      <c r="M711" s="4">
        <v>716.50099999999998</v>
      </c>
      <c r="N711" s="4">
        <v>716.50099999999998</v>
      </c>
      <c r="O711" s="4">
        <v>716.50099999999998</v>
      </c>
      <c r="P711" s="4">
        <v>0</v>
      </c>
      <c r="Q711" s="3" t="s">
        <v>26</v>
      </c>
      <c r="R711" s="3">
        <v>0</v>
      </c>
      <c r="S711" s="4">
        <v>0</v>
      </c>
      <c r="T711" s="4">
        <v>20</v>
      </c>
      <c r="U711" s="4">
        <v>88</v>
      </c>
      <c r="V711" s="4">
        <v>0</v>
      </c>
      <c r="W711" s="4">
        <v>1564.59</v>
      </c>
      <c r="X711" s="4">
        <v>365.5</v>
      </c>
      <c r="Y711" s="4"/>
      <c r="Z711" s="4">
        <v>1923.7175020527629</v>
      </c>
      <c r="AA711" s="4">
        <v>381.42546590200942</v>
      </c>
      <c r="AB711" s="4">
        <v>0</v>
      </c>
      <c r="AC711" s="4">
        <v>1121030.29959</v>
      </c>
      <c r="AD711" s="4">
        <v>261881.11549999999</v>
      </c>
      <c r="AE711" s="4">
        <v>0</v>
      </c>
      <c r="AF711" s="4">
        <v>1378345.5139383066</v>
      </c>
      <c r="AG711" s="4">
        <v>273291.72774425562</v>
      </c>
    </row>
    <row r="712" spans="1:33" ht="11.25" customHeight="1" x14ac:dyDescent="0.25">
      <c r="A712" s="3" t="s">
        <v>28</v>
      </c>
      <c r="B712" s="3" t="s">
        <v>41</v>
      </c>
      <c r="C712" s="3" t="s">
        <v>42</v>
      </c>
      <c r="D712" s="3" t="s">
        <v>43</v>
      </c>
      <c r="E712" s="3" t="s">
        <v>25</v>
      </c>
      <c r="F712" s="3" t="s">
        <v>25</v>
      </c>
      <c r="G712" s="3" t="s">
        <v>25</v>
      </c>
      <c r="H712" s="3" t="s">
        <v>34</v>
      </c>
      <c r="I712" s="6">
        <v>44470</v>
      </c>
      <c r="J712" s="4">
        <v>0</v>
      </c>
      <c r="K712" s="4">
        <v>0</v>
      </c>
      <c r="L712" s="4">
        <v>53.237000000000002</v>
      </c>
      <c r="M712" s="4">
        <v>53.237000000000002</v>
      </c>
      <c r="N712" s="4">
        <v>53.237000000000002</v>
      </c>
      <c r="O712" s="4">
        <v>53.237000000000002</v>
      </c>
      <c r="P712" s="4">
        <v>0</v>
      </c>
      <c r="Q712" s="3" t="s">
        <v>26</v>
      </c>
      <c r="R712" s="3">
        <v>0</v>
      </c>
      <c r="S712" s="4">
        <v>0</v>
      </c>
      <c r="T712" s="4">
        <v>20</v>
      </c>
      <c r="U712" s="4">
        <v>88</v>
      </c>
      <c r="V712" s="4">
        <v>0</v>
      </c>
      <c r="W712" s="4">
        <v>1564.59</v>
      </c>
      <c r="X712" s="4">
        <v>365.5</v>
      </c>
      <c r="Y712" s="4"/>
      <c r="Z712" s="4">
        <v>1923.7175020527629</v>
      </c>
      <c r="AA712" s="4">
        <v>381.42546590200942</v>
      </c>
      <c r="AB712" s="4">
        <v>0</v>
      </c>
      <c r="AC712" s="4">
        <v>83294.077829999995</v>
      </c>
      <c r="AD712" s="4">
        <v>19458.123500000002</v>
      </c>
      <c r="AE712" s="4">
        <v>0</v>
      </c>
      <c r="AF712" s="4">
        <v>102412.94865678294</v>
      </c>
      <c r="AG712" s="4">
        <v>20305.947528225275</v>
      </c>
    </row>
    <row r="713" spans="1:33" ht="11.25" customHeight="1" x14ac:dyDescent="0.25">
      <c r="A713" s="3" t="s">
        <v>21</v>
      </c>
      <c r="B713" s="3" t="s">
        <v>41</v>
      </c>
      <c r="C713" s="3" t="s">
        <v>42</v>
      </c>
      <c r="D713" s="3" t="s">
        <v>43</v>
      </c>
      <c r="E713" s="3" t="s">
        <v>25</v>
      </c>
      <c r="F713" s="3" t="s">
        <v>25</v>
      </c>
      <c r="G713" s="3" t="s">
        <v>25</v>
      </c>
      <c r="H713" s="3" t="s">
        <v>34</v>
      </c>
      <c r="I713" s="6">
        <v>44470</v>
      </c>
      <c r="J713" s="4">
        <v>0</v>
      </c>
      <c r="K713" s="4">
        <v>0</v>
      </c>
      <c r="L713" s="4">
        <v>15.625</v>
      </c>
      <c r="M713" s="4">
        <v>15.625</v>
      </c>
      <c r="N713" s="4">
        <v>0</v>
      </c>
      <c r="O713" s="4">
        <v>0</v>
      </c>
      <c r="P713" s="4">
        <v>0</v>
      </c>
      <c r="Q713" s="3" t="s">
        <v>57</v>
      </c>
      <c r="R713" s="3">
        <v>0</v>
      </c>
      <c r="S713" s="4">
        <v>0</v>
      </c>
      <c r="T713" s="4">
        <v>20</v>
      </c>
      <c r="U713" s="4">
        <v>0</v>
      </c>
      <c r="V713" s="4">
        <v>0</v>
      </c>
      <c r="W713" s="4">
        <v>1564.59</v>
      </c>
      <c r="X713" s="4">
        <v>0</v>
      </c>
      <c r="Y713" s="4"/>
      <c r="Z713" s="4">
        <v>1923.7175020527629</v>
      </c>
      <c r="AA713" s="4"/>
      <c r="AB713" s="4">
        <v>0</v>
      </c>
      <c r="AC713" s="4">
        <v>24446.71875</v>
      </c>
      <c r="AD713" s="4">
        <v>0</v>
      </c>
      <c r="AE713" s="4">
        <v>0</v>
      </c>
      <c r="AF713" s="4">
        <v>30058.085969574422</v>
      </c>
      <c r="AG713" s="4">
        <v>0</v>
      </c>
    </row>
    <row r="714" spans="1:33" ht="11.25" customHeight="1" x14ac:dyDescent="0.25">
      <c r="A714" s="3" t="s">
        <v>21</v>
      </c>
      <c r="B714" s="3" t="s">
        <v>41</v>
      </c>
      <c r="C714" s="3" t="s">
        <v>42</v>
      </c>
      <c r="D714" s="3" t="s">
        <v>43</v>
      </c>
      <c r="E714" s="3" t="s">
        <v>25</v>
      </c>
      <c r="F714" s="3" t="s">
        <v>25</v>
      </c>
      <c r="G714" s="3" t="s">
        <v>25</v>
      </c>
      <c r="H714" s="3" t="s">
        <v>34</v>
      </c>
      <c r="I714" s="6">
        <v>44501</v>
      </c>
      <c r="J714" s="4">
        <v>0</v>
      </c>
      <c r="K714" s="4">
        <v>0</v>
      </c>
      <c r="L714" s="4">
        <v>755.91499999999996</v>
      </c>
      <c r="M714" s="4">
        <v>755.91499999999996</v>
      </c>
      <c r="N714" s="4">
        <v>755.91499999999996</v>
      </c>
      <c r="O714" s="4">
        <v>755.91499999999996</v>
      </c>
      <c r="P714" s="4">
        <v>0</v>
      </c>
      <c r="Q714" s="3" t="s">
        <v>26</v>
      </c>
      <c r="R714" s="3">
        <v>0</v>
      </c>
      <c r="S714" s="4">
        <v>0</v>
      </c>
      <c r="T714" s="4">
        <v>20</v>
      </c>
      <c r="U714" s="4">
        <v>88</v>
      </c>
      <c r="V714" s="4">
        <v>0</v>
      </c>
      <c r="W714" s="4">
        <v>1564.59</v>
      </c>
      <c r="X714" s="4">
        <v>365.5</v>
      </c>
      <c r="Y714" s="4"/>
      <c r="Z714" s="4">
        <v>1923.7175020527629</v>
      </c>
      <c r="AA714" s="4">
        <v>381.42546590200942</v>
      </c>
      <c r="AB714" s="4">
        <v>0</v>
      </c>
      <c r="AC714" s="4">
        <v>1182697.0498499998</v>
      </c>
      <c r="AD714" s="4">
        <v>276286.9325</v>
      </c>
      <c r="AE714" s="4">
        <v>0</v>
      </c>
      <c r="AF714" s="4">
        <v>1454166.9155642141</v>
      </c>
      <c r="AG714" s="4">
        <v>288325.23105731746</v>
      </c>
    </row>
    <row r="715" spans="1:33" ht="11.25" customHeight="1" x14ac:dyDescent="0.25">
      <c r="A715" s="3" t="s">
        <v>28</v>
      </c>
      <c r="B715" s="3" t="s">
        <v>41</v>
      </c>
      <c r="C715" s="3" t="s">
        <v>42</v>
      </c>
      <c r="D715" s="3" t="s">
        <v>43</v>
      </c>
      <c r="E715" s="3" t="s">
        <v>25</v>
      </c>
      <c r="F715" s="3" t="s">
        <v>25</v>
      </c>
      <c r="G715" s="3" t="s">
        <v>25</v>
      </c>
      <c r="H715" s="3" t="s">
        <v>34</v>
      </c>
      <c r="I715" s="6">
        <v>44501</v>
      </c>
      <c r="J715" s="4">
        <v>0</v>
      </c>
      <c r="K715" s="4">
        <v>0</v>
      </c>
      <c r="L715" s="4">
        <v>63.789000000000001</v>
      </c>
      <c r="M715" s="4">
        <v>63.789000000000001</v>
      </c>
      <c r="N715" s="4">
        <v>63.789000000000001</v>
      </c>
      <c r="O715" s="4">
        <v>63.789000000000001</v>
      </c>
      <c r="P715" s="4">
        <v>0</v>
      </c>
      <c r="Q715" s="3" t="s">
        <v>26</v>
      </c>
      <c r="R715" s="3">
        <v>0</v>
      </c>
      <c r="S715" s="4">
        <v>0</v>
      </c>
      <c r="T715" s="4">
        <v>20</v>
      </c>
      <c r="U715" s="4">
        <v>88</v>
      </c>
      <c r="V715" s="4">
        <v>0</v>
      </c>
      <c r="W715" s="4">
        <v>1564.59</v>
      </c>
      <c r="X715" s="4">
        <v>365.5</v>
      </c>
      <c r="Y715" s="4"/>
      <c r="Z715" s="4">
        <v>1923.7175020527629</v>
      </c>
      <c r="AA715" s="4">
        <v>381.42546590200942</v>
      </c>
      <c r="AB715" s="4">
        <v>0</v>
      </c>
      <c r="AC715" s="4">
        <v>99803.631509999992</v>
      </c>
      <c r="AD715" s="4">
        <v>23314.879499999999</v>
      </c>
      <c r="AE715" s="4">
        <v>0</v>
      </c>
      <c r="AF715" s="4">
        <v>122712.0157384437</v>
      </c>
      <c r="AG715" s="4">
        <v>24330.749044423279</v>
      </c>
    </row>
    <row r="716" spans="1:33" ht="11.25" customHeight="1" x14ac:dyDescent="0.25">
      <c r="A716" s="3" t="s">
        <v>21</v>
      </c>
      <c r="B716" s="3" t="s">
        <v>41</v>
      </c>
      <c r="C716" s="3" t="s">
        <v>42</v>
      </c>
      <c r="D716" s="3" t="s">
        <v>43</v>
      </c>
      <c r="E716" s="3" t="s">
        <v>25</v>
      </c>
      <c r="F716" s="3" t="s">
        <v>25</v>
      </c>
      <c r="G716" s="3" t="s">
        <v>25</v>
      </c>
      <c r="H716" s="3" t="s">
        <v>34</v>
      </c>
      <c r="I716" s="6">
        <v>44501</v>
      </c>
      <c r="J716" s="4">
        <v>0</v>
      </c>
      <c r="K716" s="4">
        <v>0</v>
      </c>
      <c r="L716" s="4">
        <v>7.4509999999999996</v>
      </c>
      <c r="M716" s="4">
        <v>7.4509999999999996</v>
      </c>
      <c r="N716" s="4">
        <v>0</v>
      </c>
      <c r="O716" s="4">
        <v>0</v>
      </c>
      <c r="P716" s="4">
        <v>0</v>
      </c>
      <c r="Q716" s="3" t="s">
        <v>57</v>
      </c>
      <c r="R716" s="3">
        <v>0</v>
      </c>
      <c r="S716" s="4">
        <v>0</v>
      </c>
      <c r="T716" s="4">
        <v>20</v>
      </c>
      <c r="U716" s="4">
        <v>0</v>
      </c>
      <c r="V716" s="4">
        <v>0</v>
      </c>
      <c r="W716" s="4">
        <v>1564.59</v>
      </c>
      <c r="X716" s="4">
        <v>0</v>
      </c>
      <c r="Y716" s="4"/>
      <c r="Z716" s="4">
        <v>1923.7175020527629</v>
      </c>
      <c r="AA716" s="4"/>
      <c r="AB716" s="4">
        <v>0</v>
      </c>
      <c r="AC716" s="4">
        <v>11657.760089999998</v>
      </c>
      <c r="AD716" s="4">
        <v>0</v>
      </c>
      <c r="AE716" s="4">
        <v>0</v>
      </c>
      <c r="AF716" s="4">
        <v>14333.619107795135</v>
      </c>
      <c r="AG716" s="4">
        <v>0</v>
      </c>
    </row>
    <row r="717" spans="1:33" ht="11.25" customHeight="1" x14ac:dyDescent="0.25">
      <c r="A717" s="3" t="s">
        <v>21</v>
      </c>
      <c r="B717" s="3" t="s">
        <v>41</v>
      </c>
      <c r="C717" s="3" t="s">
        <v>42</v>
      </c>
      <c r="D717" s="3" t="s">
        <v>43</v>
      </c>
      <c r="E717" s="3" t="s">
        <v>25</v>
      </c>
      <c r="F717" s="3" t="s">
        <v>25</v>
      </c>
      <c r="G717" s="3" t="s">
        <v>25</v>
      </c>
      <c r="H717" s="3" t="s">
        <v>34</v>
      </c>
      <c r="I717" s="6">
        <v>44531</v>
      </c>
      <c r="J717" s="4">
        <v>0</v>
      </c>
      <c r="K717" s="4">
        <v>0</v>
      </c>
      <c r="L717" s="4">
        <v>761.98800000000006</v>
      </c>
      <c r="M717" s="4">
        <v>761.98800000000006</v>
      </c>
      <c r="N717" s="4">
        <v>761.98800000000006</v>
      </c>
      <c r="O717" s="4">
        <v>761.98800000000006</v>
      </c>
      <c r="P717" s="4">
        <v>0</v>
      </c>
      <c r="Q717" s="3" t="s">
        <v>26</v>
      </c>
      <c r="R717" s="3">
        <v>0</v>
      </c>
      <c r="S717" s="4">
        <v>0</v>
      </c>
      <c r="T717" s="4">
        <v>20</v>
      </c>
      <c r="U717" s="4">
        <v>88</v>
      </c>
      <c r="V717" s="4">
        <v>0</v>
      </c>
      <c r="W717" s="4">
        <v>1564.59</v>
      </c>
      <c r="X717" s="4">
        <v>365.5</v>
      </c>
      <c r="Y717" s="4"/>
      <c r="Z717" s="4">
        <v>1923.7175020527629</v>
      </c>
      <c r="AA717" s="4">
        <v>381.42546590200942</v>
      </c>
      <c r="AB717" s="4">
        <v>0</v>
      </c>
      <c r="AC717" s="4">
        <v>1192198.80492</v>
      </c>
      <c r="AD717" s="4">
        <v>278506.614</v>
      </c>
      <c r="AE717" s="4">
        <v>0</v>
      </c>
      <c r="AF717" s="4">
        <v>1465849.6519541808</v>
      </c>
      <c r="AG717" s="4">
        <v>290641.62791174039</v>
      </c>
    </row>
    <row r="718" spans="1:33" ht="11.25" customHeight="1" x14ac:dyDescent="0.25">
      <c r="A718" s="3" t="s">
        <v>28</v>
      </c>
      <c r="B718" s="3" t="s">
        <v>41</v>
      </c>
      <c r="C718" s="3" t="s">
        <v>42</v>
      </c>
      <c r="D718" s="3" t="s">
        <v>43</v>
      </c>
      <c r="E718" s="3" t="s">
        <v>25</v>
      </c>
      <c r="F718" s="3" t="s">
        <v>25</v>
      </c>
      <c r="G718" s="3" t="s">
        <v>25</v>
      </c>
      <c r="H718" s="3" t="s">
        <v>34</v>
      </c>
      <c r="I718" s="6">
        <v>44531</v>
      </c>
      <c r="J718" s="4">
        <v>0</v>
      </c>
      <c r="K718" s="4">
        <v>0</v>
      </c>
      <c r="L718" s="4">
        <v>73.396000000000001</v>
      </c>
      <c r="M718" s="4">
        <v>73.396000000000001</v>
      </c>
      <c r="N718" s="4">
        <v>73.396000000000001</v>
      </c>
      <c r="O718" s="4">
        <v>73.396000000000001</v>
      </c>
      <c r="P718" s="4">
        <v>0</v>
      </c>
      <c r="Q718" s="3" t="s">
        <v>26</v>
      </c>
      <c r="R718" s="3">
        <v>0</v>
      </c>
      <c r="S718" s="4">
        <v>0</v>
      </c>
      <c r="T718" s="4">
        <v>20</v>
      </c>
      <c r="U718" s="4">
        <v>88</v>
      </c>
      <c r="V718" s="4">
        <v>0</v>
      </c>
      <c r="W718" s="4">
        <v>1564.59</v>
      </c>
      <c r="X718" s="4">
        <v>365.5</v>
      </c>
      <c r="Y718" s="4"/>
      <c r="Z718" s="4">
        <v>1923.7175020527629</v>
      </c>
      <c r="AA718" s="4">
        <v>381.42546590200942</v>
      </c>
      <c r="AB718" s="4">
        <v>0</v>
      </c>
      <c r="AC718" s="4">
        <v>114834.64764</v>
      </c>
      <c r="AD718" s="4">
        <v>26826.238000000001</v>
      </c>
      <c r="AE718" s="4">
        <v>0</v>
      </c>
      <c r="AF718" s="4">
        <v>141193.16978066458</v>
      </c>
      <c r="AG718" s="4">
        <v>27995.103495343883</v>
      </c>
    </row>
    <row r="719" spans="1:33" ht="11.25" customHeight="1" x14ac:dyDescent="0.25">
      <c r="A719" s="3" t="s">
        <v>28</v>
      </c>
      <c r="B719" s="3" t="s">
        <v>41</v>
      </c>
      <c r="C719" s="3" t="s">
        <v>42</v>
      </c>
      <c r="D719" s="3" t="s">
        <v>43</v>
      </c>
      <c r="E719" s="3" t="s">
        <v>25</v>
      </c>
      <c r="F719" s="3" t="s">
        <v>25</v>
      </c>
      <c r="G719" s="3" t="s">
        <v>25</v>
      </c>
      <c r="H719" s="3" t="s">
        <v>34</v>
      </c>
      <c r="I719" s="6">
        <v>44531</v>
      </c>
      <c r="J719" s="4">
        <v>0</v>
      </c>
      <c r="K719" s="4">
        <v>0</v>
      </c>
      <c r="L719" s="4">
        <v>-11.34</v>
      </c>
      <c r="M719" s="4">
        <v>-11.34</v>
      </c>
      <c r="N719" s="4">
        <v>-11.34</v>
      </c>
      <c r="O719" s="4">
        <v>-11.34</v>
      </c>
      <c r="P719" s="4">
        <v>0</v>
      </c>
      <c r="Q719" s="3" t="s">
        <v>26</v>
      </c>
      <c r="R719" s="3">
        <v>0</v>
      </c>
      <c r="S719" s="4">
        <v>0</v>
      </c>
      <c r="T719" s="4">
        <v>20</v>
      </c>
      <c r="U719" s="4">
        <v>88</v>
      </c>
      <c r="V719" s="4">
        <v>0</v>
      </c>
      <c r="W719" s="4">
        <v>1564.59</v>
      </c>
      <c r="X719" s="4">
        <v>365.5</v>
      </c>
      <c r="Y719" s="4"/>
      <c r="Z719" s="4">
        <v>1923.7175020527629</v>
      </c>
      <c r="AA719" s="4">
        <v>381.42546590200942</v>
      </c>
      <c r="AB719" s="4">
        <v>0</v>
      </c>
      <c r="AC719" s="4">
        <v>-17742.4506</v>
      </c>
      <c r="AD719" s="4">
        <v>-4144.7699999999995</v>
      </c>
      <c r="AE719" s="4">
        <v>0</v>
      </c>
      <c r="AF719" s="4">
        <v>-21814.956473278333</v>
      </c>
      <c r="AG719" s="4">
        <v>-4325.3647833287869</v>
      </c>
    </row>
    <row r="720" spans="1:33" ht="11.25" customHeight="1" x14ac:dyDescent="0.25">
      <c r="A720" s="3" t="s">
        <v>21</v>
      </c>
      <c r="B720" s="3" t="s">
        <v>41</v>
      </c>
      <c r="C720" s="3" t="s">
        <v>42</v>
      </c>
      <c r="D720" s="3" t="s">
        <v>43</v>
      </c>
      <c r="E720" s="3" t="s">
        <v>25</v>
      </c>
      <c r="F720" s="3" t="s">
        <v>25</v>
      </c>
      <c r="G720" s="3" t="s">
        <v>25</v>
      </c>
      <c r="H720" s="3" t="s">
        <v>34</v>
      </c>
      <c r="I720" s="6">
        <v>44531</v>
      </c>
      <c r="J720" s="4">
        <v>0</v>
      </c>
      <c r="K720" s="4">
        <v>0</v>
      </c>
      <c r="L720" s="4">
        <v>16.52</v>
      </c>
      <c r="M720" s="4">
        <v>16.52</v>
      </c>
      <c r="N720" s="4">
        <v>0</v>
      </c>
      <c r="O720" s="4">
        <v>0</v>
      </c>
      <c r="P720" s="4">
        <v>0</v>
      </c>
      <c r="Q720" s="3" t="s">
        <v>57</v>
      </c>
      <c r="R720" s="3">
        <v>0</v>
      </c>
      <c r="S720" s="4">
        <v>0</v>
      </c>
      <c r="T720" s="4">
        <v>20</v>
      </c>
      <c r="U720" s="4">
        <v>0</v>
      </c>
      <c r="V720" s="4">
        <v>0</v>
      </c>
      <c r="W720" s="4">
        <v>1564.59</v>
      </c>
      <c r="X720" s="4">
        <v>0</v>
      </c>
      <c r="Y720" s="4"/>
      <c r="Z720" s="4">
        <v>1923.7175020527629</v>
      </c>
      <c r="AA720" s="4"/>
      <c r="AB720" s="4">
        <v>0</v>
      </c>
      <c r="AC720" s="4">
        <v>25847.0268</v>
      </c>
      <c r="AD720" s="4">
        <v>0</v>
      </c>
      <c r="AE720" s="4">
        <v>0</v>
      </c>
      <c r="AF720" s="4">
        <v>31779.813133911644</v>
      </c>
      <c r="AG720" s="4">
        <v>0</v>
      </c>
    </row>
    <row r="721" spans="1:33" ht="11.25" customHeight="1" x14ac:dyDescent="0.25">
      <c r="A721" s="3" t="s">
        <v>21</v>
      </c>
      <c r="B721" s="3" t="s">
        <v>41</v>
      </c>
      <c r="C721" s="3" t="s">
        <v>42</v>
      </c>
      <c r="D721" s="3" t="s">
        <v>43</v>
      </c>
      <c r="E721" s="3" t="s">
        <v>25</v>
      </c>
      <c r="F721" s="3" t="s">
        <v>25</v>
      </c>
      <c r="G721" s="3" t="s">
        <v>25</v>
      </c>
      <c r="H721" s="3" t="s">
        <v>34</v>
      </c>
      <c r="I721" s="6">
        <v>44562</v>
      </c>
      <c r="J721" s="4">
        <v>0</v>
      </c>
      <c r="K721" s="4">
        <v>0</v>
      </c>
      <c r="L721" s="4">
        <v>710.97</v>
      </c>
      <c r="M721" s="4">
        <v>710.97</v>
      </c>
      <c r="N721" s="4">
        <v>710.97</v>
      </c>
      <c r="O721" s="4">
        <v>710.97</v>
      </c>
      <c r="P721" s="4">
        <v>0</v>
      </c>
      <c r="Q721" s="3" t="s">
        <v>26</v>
      </c>
      <c r="R721" s="3">
        <v>0</v>
      </c>
      <c r="S721" s="4">
        <v>0</v>
      </c>
      <c r="T721" s="4">
        <v>20</v>
      </c>
      <c r="U721" s="4">
        <v>88</v>
      </c>
      <c r="V721" s="4">
        <v>0</v>
      </c>
      <c r="W721" s="4">
        <v>1564.59</v>
      </c>
      <c r="X721" s="4">
        <v>365.5</v>
      </c>
      <c r="Y721" s="4"/>
      <c r="Z721" s="4">
        <v>1923.7175020527629</v>
      </c>
      <c r="AA721" s="4">
        <v>381.42546590200942</v>
      </c>
      <c r="AB721" s="4">
        <v>0</v>
      </c>
      <c r="AC721" s="4">
        <v>1112376.5523000001</v>
      </c>
      <c r="AD721" s="4">
        <v>259859.535</v>
      </c>
      <c r="AE721" s="4">
        <v>0</v>
      </c>
      <c r="AF721" s="4">
        <v>1367705.4324344529</v>
      </c>
      <c r="AG721" s="4">
        <v>271182.06349235168</v>
      </c>
    </row>
    <row r="722" spans="1:33" ht="11.25" customHeight="1" x14ac:dyDescent="0.25">
      <c r="A722" s="3" t="s">
        <v>28</v>
      </c>
      <c r="B722" s="3" t="s">
        <v>41</v>
      </c>
      <c r="C722" s="3" t="s">
        <v>42</v>
      </c>
      <c r="D722" s="3" t="s">
        <v>43</v>
      </c>
      <c r="E722" s="3" t="s">
        <v>25</v>
      </c>
      <c r="F722" s="3" t="s">
        <v>25</v>
      </c>
      <c r="G722" s="3" t="s">
        <v>25</v>
      </c>
      <c r="H722" s="3" t="s">
        <v>34</v>
      </c>
      <c r="I722" s="6">
        <v>44562</v>
      </c>
      <c r="J722" s="4">
        <v>0</v>
      </c>
      <c r="K722" s="4">
        <v>0</v>
      </c>
      <c r="L722" s="4">
        <v>72.305999999999997</v>
      </c>
      <c r="M722" s="4">
        <v>72.305999999999997</v>
      </c>
      <c r="N722" s="4">
        <v>72.305999999999997</v>
      </c>
      <c r="O722" s="4">
        <v>72.305999999999997</v>
      </c>
      <c r="P722" s="4">
        <v>0</v>
      </c>
      <c r="Q722" s="3" t="s">
        <v>26</v>
      </c>
      <c r="R722" s="3">
        <v>0</v>
      </c>
      <c r="S722" s="4">
        <v>0</v>
      </c>
      <c r="T722" s="4">
        <v>20</v>
      </c>
      <c r="U722" s="4">
        <v>88</v>
      </c>
      <c r="V722" s="4">
        <v>0</v>
      </c>
      <c r="W722" s="4">
        <v>1564.59</v>
      </c>
      <c r="X722" s="4">
        <v>365.5</v>
      </c>
      <c r="Y722" s="4"/>
      <c r="Z722" s="4">
        <v>1923.7175020527629</v>
      </c>
      <c r="AA722" s="4">
        <v>381.42546590200942</v>
      </c>
      <c r="AB722" s="4">
        <v>0</v>
      </c>
      <c r="AC722" s="4">
        <v>113129.24453999999</v>
      </c>
      <c r="AD722" s="4">
        <v>26427.843000000001</v>
      </c>
      <c r="AE722" s="4">
        <v>0</v>
      </c>
      <c r="AF722" s="4">
        <v>139096.31770342708</v>
      </c>
      <c r="AG722" s="4">
        <v>27579.349737510693</v>
      </c>
    </row>
    <row r="723" spans="1:33" ht="11.25" customHeight="1" x14ac:dyDescent="0.25">
      <c r="A723" s="3" t="s">
        <v>28</v>
      </c>
      <c r="B723" s="3" t="s">
        <v>41</v>
      </c>
      <c r="C723" s="3" t="s">
        <v>42</v>
      </c>
      <c r="D723" s="3" t="s">
        <v>43</v>
      </c>
      <c r="E723" s="3" t="s">
        <v>25</v>
      </c>
      <c r="F723" s="3" t="s">
        <v>25</v>
      </c>
      <c r="G723" s="3" t="s">
        <v>25</v>
      </c>
      <c r="H723" s="3" t="s">
        <v>34</v>
      </c>
      <c r="I723" s="6">
        <v>44562</v>
      </c>
      <c r="J723" s="4">
        <v>0</v>
      </c>
      <c r="K723" s="4">
        <v>0</v>
      </c>
      <c r="L723" s="4">
        <v>1.4650000000000001</v>
      </c>
      <c r="M723" s="4">
        <v>1.4650000000000001</v>
      </c>
      <c r="N723" s="4">
        <v>1.4650000000000001</v>
      </c>
      <c r="O723" s="4">
        <v>1.4650000000000001</v>
      </c>
      <c r="P723" s="4">
        <v>0</v>
      </c>
      <c r="Q723" s="3" t="s">
        <v>26</v>
      </c>
      <c r="R723" s="3">
        <v>0</v>
      </c>
      <c r="S723" s="4">
        <v>0</v>
      </c>
      <c r="T723" s="4">
        <v>20</v>
      </c>
      <c r="U723" s="4">
        <v>88</v>
      </c>
      <c r="V723" s="4">
        <v>0</v>
      </c>
      <c r="W723" s="4">
        <v>1564.59</v>
      </c>
      <c r="X723" s="4">
        <v>365.5</v>
      </c>
      <c r="Y723" s="4"/>
      <c r="Z723" s="4">
        <v>1923.7175020527629</v>
      </c>
      <c r="AA723" s="4">
        <v>381.42546590200942</v>
      </c>
      <c r="AB723" s="4">
        <v>0</v>
      </c>
      <c r="AC723" s="4">
        <v>2292.12435</v>
      </c>
      <c r="AD723" s="4">
        <v>535.45749999999998</v>
      </c>
      <c r="AE723" s="4">
        <v>0</v>
      </c>
      <c r="AF723" s="4">
        <v>2818.2461405072977</v>
      </c>
      <c r="AG723" s="4">
        <v>558.78830754644389</v>
      </c>
    </row>
    <row r="724" spans="1:33" ht="11.25" customHeight="1" x14ac:dyDescent="0.25">
      <c r="A724" s="3" t="s">
        <v>21</v>
      </c>
      <c r="B724" s="3" t="s">
        <v>41</v>
      </c>
      <c r="C724" s="3" t="s">
        <v>42</v>
      </c>
      <c r="D724" s="3" t="s">
        <v>43</v>
      </c>
      <c r="E724" s="3" t="s">
        <v>25</v>
      </c>
      <c r="F724" s="3" t="s">
        <v>25</v>
      </c>
      <c r="G724" s="3" t="s">
        <v>25</v>
      </c>
      <c r="H724" s="3" t="s">
        <v>34</v>
      </c>
      <c r="I724" s="6">
        <v>44562</v>
      </c>
      <c r="J724" s="4">
        <v>0</v>
      </c>
      <c r="K724" s="4">
        <v>0</v>
      </c>
      <c r="L724" s="4">
        <v>20.579000000000001</v>
      </c>
      <c r="M724" s="4">
        <v>20.579000000000001</v>
      </c>
      <c r="N724" s="4">
        <v>0</v>
      </c>
      <c r="O724" s="4">
        <v>0</v>
      </c>
      <c r="P724" s="4">
        <v>0</v>
      </c>
      <c r="Q724" s="3" t="s">
        <v>57</v>
      </c>
      <c r="R724" s="3">
        <v>0</v>
      </c>
      <c r="S724" s="4">
        <v>0</v>
      </c>
      <c r="T724" s="4">
        <v>20</v>
      </c>
      <c r="U724" s="4">
        <v>0</v>
      </c>
      <c r="V724" s="4">
        <v>0</v>
      </c>
      <c r="W724" s="4">
        <v>1564.59</v>
      </c>
      <c r="X724" s="4">
        <v>0</v>
      </c>
      <c r="Y724" s="4"/>
      <c r="Z724" s="4">
        <v>1923.7175020527629</v>
      </c>
      <c r="AA724" s="4"/>
      <c r="AB724" s="4">
        <v>0</v>
      </c>
      <c r="AC724" s="4">
        <v>32197.697609999999</v>
      </c>
      <c r="AD724" s="4">
        <v>0</v>
      </c>
      <c r="AE724" s="4">
        <v>0</v>
      </c>
      <c r="AF724" s="4">
        <v>39588.182474743808</v>
      </c>
      <c r="AG724" s="4">
        <v>0</v>
      </c>
    </row>
    <row r="725" spans="1:33" ht="11.25" customHeight="1" x14ac:dyDescent="0.25">
      <c r="A725" s="3" t="s">
        <v>21</v>
      </c>
      <c r="B725" s="3" t="s">
        <v>41</v>
      </c>
      <c r="C725" s="3" t="s">
        <v>42</v>
      </c>
      <c r="D725" s="3" t="s">
        <v>43</v>
      </c>
      <c r="E725" s="3" t="s">
        <v>25</v>
      </c>
      <c r="F725" s="3" t="s">
        <v>25</v>
      </c>
      <c r="G725" s="3" t="s">
        <v>25</v>
      </c>
      <c r="H725" s="3" t="s">
        <v>34</v>
      </c>
      <c r="I725" s="6">
        <v>44593</v>
      </c>
      <c r="J725" s="4">
        <v>0</v>
      </c>
      <c r="K725" s="4">
        <v>0</v>
      </c>
      <c r="L725" s="4">
        <v>689.31</v>
      </c>
      <c r="M725" s="4">
        <v>689.31</v>
      </c>
      <c r="N725" s="4">
        <v>689.31</v>
      </c>
      <c r="O725" s="4">
        <v>689.31</v>
      </c>
      <c r="P725" s="4">
        <v>0</v>
      </c>
      <c r="Q725" s="3" t="s">
        <v>26</v>
      </c>
      <c r="R725" s="3">
        <v>0</v>
      </c>
      <c r="S725" s="4">
        <v>0</v>
      </c>
      <c r="T725" s="4">
        <v>20</v>
      </c>
      <c r="U725" s="4">
        <v>88</v>
      </c>
      <c r="V725" s="4">
        <v>0</v>
      </c>
      <c r="W725" s="4">
        <v>1564.59</v>
      </c>
      <c r="X725" s="4">
        <v>365.5</v>
      </c>
      <c r="Y725" s="4"/>
      <c r="Z725" s="4">
        <v>1923.7175020527629</v>
      </c>
      <c r="AA725" s="4">
        <v>381.42546590200942</v>
      </c>
      <c r="AB725" s="4">
        <v>0</v>
      </c>
      <c r="AC725" s="4">
        <v>1078487.5328999998</v>
      </c>
      <c r="AD725" s="4">
        <v>251942.80499999999</v>
      </c>
      <c r="AE725" s="4">
        <v>0</v>
      </c>
      <c r="AF725" s="4">
        <v>1326037.7113399899</v>
      </c>
      <c r="AG725" s="4">
        <v>262920.38790091407</v>
      </c>
    </row>
    <row r="726" spans="1:33" ht="11.25" customHeight="1" x14ac:dyDescent="0.25">
      <c r="A726" s="3" t="s">
        <v>27</v>
      </c>
      <c r="B726" s="3" t="s">
        <v>41</v>
      </c>
      <c r="C726" s="3" t="s">
        <v>42</v>
      </c>
      <c r="D726" s="3" t="s">
        <v>43</v>
      </c>
      <c r="E726" s="3" t="s">
        <v>25</v>
      </c>
      <c r="F726" s="3" t="s">
        <v>25</v>
      </c>
      <c r="G726" s="3" t="s">
        <v>25</v>
      </c>
      <c r="H726" s="3" t="s">
        <v>34</v>
      </c>
      <c r="I726" s="6">
        <v>44593</v>
      </c>
      <c r="J726" s="4">
        <v>0</v>
      </c>
      <c r="K726" s="4">
        <v>0</v>
      </c>
      <c r="L726" s="4">
        <v>-4.6669999999999998</v>
      </c>
      <c r="M726" s="4">
        <v>-4.6669999999999998</v>
      </c>
      <c r="N726" s="4">
        <v>-4.6669999999999998</v>
      </c>
      <c r="O726" s="4">
        <v>-4.6669999999999998</v>
      </c>
      <c r="P726" s="4">
        <v>0</v>
      </c>
      <c r="Q726" s="3" t="s">
        <v>26</v>
      </c>
      <c r="R726" s="3">
        <v>0</v>
      </c>
      <c r="S726" s="4">
        <v>0</v>
      </c>
      <c r="T726" s="4">
        <v>20</v>
      </c>
      <c r="U726" s="4">
        <v>88</v>
      </c>
      <c r="V726" s="4">
        <v>0</v>
      </c>
      <c r="W726" s="4">
        <v>1564.59</v>
      </c>
      <c r="X726" s="4">
        <v>365.5</v>
      </c>
      <c r="Y726" s="4"/>
      <c r="Z726" s="4">
        <v>1923.7175020527629</v>
      </c>
      <c r="AA726" s="4">
        <v>381.42546590200942</v>
      </c>
      <c r="AB726" s="4">
        <v>0</v>
      </c>
      <c r="AC726" s="4">
        <v>-7301.9415299999991</v>
      </c>
      <c r="AD726" s="4">
        <v>-1705.7884999999999</v>
      </c>
      <c r="AE726" s="4">
        <v>0</v>
      </c>
      <c r="AF726" s="4">
        <v>-8977.9895820802449</v>
      </c>
      <c r="AG726" s="4">
        <v>-1780.112649364678</v>
      </c>
    </row>
    <row r="727" spans="1:33" ht="11.25" customHeight="1" x14ac:dyDescent="0.25">
      <c r="A727" s="3" t="s">
        <v>28</v>
      </c>
      <c r="B727" s="3" t="s">
        <v>41</v>
      </c>
      <c r="C727" s="3" t="s">
        <v>42</v>
      </c>
      <c r="D727" s="3" t="s">
        <v>43</v>
      </c>
      <c r="E727" s="3" t="s">
        <v>25</v>
      </c>
      <c r="F727" s="3" t="s">
        <v>25</v>
      </c>
      <c r="G727" s="3" t="s">
        <v>25</v>
      </c>
      <c r="H727" s="3" t="s">
        <v>34</v>
      </c>
      <c r="I727" s="6">
        <v>44593</v>
      </c>
      <c r="J727" s="4">
        <v>0</v>
      </c>
      <c r="K727" s="4">
        <v>0</v>
      </c>
      <c r="L727" s="4">
        <v>81.218000000000004</v>
      </c>
      <c r="M727" s="4">
        <v>81.218000000000004</v>
      </c>
      <c r="N727" s="4">
        <v>81.218000000000004</v>
      </c>
      <c r="O727" s="4">
        <v>81.218000000000004</v>
      </c>
      <c r="P727" s="4">
        <v>0</v>
      </c>
      <c r="Q727" s="3" t="s">
        <v>26</v>
      </c>
      <c r="R727" s="3">
        <v>0</v>
      </c>
      <c r="S727" s="4">
        <v>0</v>
      </c>
      <c r="T727" s="4">
        <v>20</v>
      </c>
      <c r="U727" s="4">
        <v>88</v>
      </c>
      <c r="V727" s="4">
        <v>0</v>
      </c>
      <c r="W727" s="4">
        <v>1564.59</v>
      </c>
      <c r="X727" s="4">
        <v>365.5</v>
      </c>
      <c r="Y727" s="4"/>
      <c r="Z727" s="4">
        <v>1923.7175020527629</v>
      </c>
      <c r="AA727" s="4">
        <v>381.42546590200942</v>
      </c>
      <c r="AB727" s="4">
        <v>0</v>
      </c>
      <c r="AC727" s="4">
        <v>127072.87062</v>
      </c>
      <c r="AD727" s="4">
        <v>29685.179</v>
      </c>
      <c r="AE727" s="4">
        <v>0</v>
      </c>
      <c r="AF727" s="4">
        <v>156240.4880817213</v>
      </c>
      <c r="AG727" s="4">
        <v>30978.613489629402</v>
      </c>
    </row>
    <row r="728" spans="1:33" ht="11.25" customHeight="1" x14ac:dyDescent="0.25">
      <c r="A728" s="3" t="s">
        <v>21</v>
      </c>
      <c r="B728" s="3" t="s">
        <v>41</v>
      </c>
      <c r="C728" s="3" t="s">
        <v>42</v>
      </c>
      <c r="D728" s="3" t="s">
        <v>43</v>
      </c>
      <c r="E728" s="3" t="s">
        <v>25</v>
      </c>
      <c r="F728" s="3" t="s">
        <v>25</v>
      </c>
      <c r="G728" s="3" t="s">
        <v>25</v>
      </c>
      <c r="H728" s="3" t="s">
        <v>34</v>
      </c>
      <c r="I728" s="6">
        <v>44593</v>
      </c>
      <c r="J728" s="4">
        <v>0</v>
      </c>
      <c r="K728" s="4">
        <v>0</v>
      </c>
      <c r="L728" s="4">
        <v>13.175000000000001</v>
      </c>
      <c r="M728" s="4">
        <v>13.175000000000001</v>
      </c>
      <c r="N728" s="4">
        <v>0</v>
      </c>
      <c r="O728" s="4">
        <v>0</v>
      </c>
      <c r="P728" s="4">
        <v>0</v>
      </c>
      <c r="Q728" s="3" t="s">
        <v>57</v>
      </c>
      <c r="R728" s="3">
        <v>0</v>
      </c>
      <c r="S728" s="4">
        <v>0</v>
      </c>
      <c r="T728" s="4">
        <v>20</v>
      </c>
      <c r="U728" s="4">
        <v>0</v>
      </c>
      <c r="V728" s="4">
        <v>0</v>
      </c>
      <c r="W728" s="4">
        <v>1564.59</v>
      </c>
      <c r="X728" s="4">
        <v>0</v>
      </c>
      <c r="Y728" s="4"/>
      <c r="Z728" s="4">
        <v>1923.7175020527629</v>
      </c>
      <c r="AA728" s="4"/>
      <c r="AB728" s="4">
        <v>0</v>
      </c>
      <c r="AC728" s="4">
        <v>20613.473249999999</v>
      </c>
      <c r="AD728" s="4">
        <v>0</v>
      </c>
      <c r="AE728" s="4">
        <v>0</v>
      </c>
      <c r="AF728" s="4">
        <v>25344.978089545151</v>
      </c>
      <c r="AG728" s="4">
        <v>0</v>
      </c>
    </row>
    <row r="729" spans="1:33" ht="11.25" customHeight="1" x14ac:dyDescent="0.25">
      <c r="A729" s="3" t="s">
        <v>27</v>
      </c>
      <c r="B729" s="3" t="s">
        <v>41</v>
      </c>
      <c r="C729" s="3" t="s">
        <v>42</v>
      </c>
      <c r="D729" s="3" t="s">
        <v>43</v>
      </c>
      <c r="E729" s="3" t="s">
        <v>25</v>
      </c>
      <c r="F729" s="3" t="s">
        <v>25</v>
      </c>
      <c r="G729" s="3" t="s">
        <v>25</v>
      </c>
      <c r="H729" s="3" t="s">
        <v>34</v>
      </c>
      <c r="I729" s="6">
        <v>44593</v>
      </c>
      <c r="J729" s="4">
        <v>0</v>
      </c>
      <c r="K729" s="4">
        <v>0</v>
      </c>
      <c r="L729" s="4">
        <v>-8.6020000000000003</v>
      </c>
      <c r="M729" s="4">
        <v>-8.6020000000000003</v>
      </c>
      <c r="N729" s="4">
        <v>0</v>
      </c>
      <c r="O729" s="4">
        <v>0</v>
      </c>
      <c r="P729" s="4">
        <v>0</v>
      </c>
      <c r="Q729" s="3" t="s">
        <v>57</v>
      </c>
      <c r="R729" s="3">
        <v>0</v>
      </c>
      <c r="S729" s="4">
        <v>0</v>
      </c>
      <c r="T729" s="4">
        <v>20</v>
      </c>
      <c r="U729" s="4">
        <v>0</v>
      </c>
      <c r="V729" s="4">
        <v>0</v>
      </c>
      <c r="W729" s="4">
        <v>1564.59</v>
      </c>
      <c r="X729" s="4">
        <v>0</v>
      </c>
      <c r="Y729" s="4"/>
      <c r="Z729" s="4">
        <v>1923.7175020527629</v>
      </c>
      <c r="AA729" s="4"/>
      <c r="AB729" s="4">
        <v>0</v>
      </c>
      <c r="AC729" s="4">
        <v>-13458.60318</v>
      </c>
      <c r="AD729" s="4">
        <v>0</v>
      </c>
      <c r="AE729" s="4">
        <v>0</v>
      </c>
      <c r="AF729" s="4">
        <v>-16547.817952657868</v>
      </c>
      <c r="AG729" s="4">
        <v>0</v>
      </c>
    </row>
    <row r="730" spans="1:33" ht="11.25" customHeight="1" x14ac:dyDescent="0.25">
      <c r="A730" s="3" t="s">
        <v>56</v>
      </c>
      <c r="B730" s="3" t="s">
        <v>41</v>
      </c>
      <c r="C730" s="3" t="s">
        <v>42</v>
      </c>
      <c r="D730" s="3" t="s">
        <v>43</v>
      </c>
      <c r="E730" s="3" t="s">
        <v>25</v>
      </c>
      <c r="F730" s="3" t="s">
        <v>25</v>
      </c>
      <c r="G730" s="3" t="s">
        <v>25</v>
      </c>
      <c r="H730" s="3" t="s">
        <v>34</v>
      </c>
      <c r="I730" s="6">
        <v>44621</v>
      </c>
      <c r="J730" s="4">
        <v>0</v>
      </c>
      <c r="K730" s="4">
        <v>0</v>
      </c>
      <c r="L730" s="4">
        <v>689.31</v>
      </c>
      <c r="M730" s="4">
        <v>689.31</v>
      </c>
      <c r="N730" s="4">
        <v>689.31</v>
      </c>
      <c r="O730" s="4">
        <v>689.31</v>
      </c>
      <c r="P730" s="4">
        <v>0</v>
      </c>
      <c r="Q730" s="3" t="s">
        <v>26</v>
      </c>
      <c r="R730" s="3">
        <v>0</v>
      </c>
      <c r="S730" s="4">
        <v>0</v>
      </c>
      <c r="T730" s="4">
        <v>20</v>
      </c>
      <c r="U730" s="4">
        <v>88</v>
      </c>
      <c r="V730" s="4">
        <v>0</v>
      </c>
      <c r="W730" s="4">
        <v>1564.59</v>
      </c>
      <c r="X730" s="4">
        <v>365.5</v>
      </c>
      <c r="Y730" s="4"/>
      <c r="Z730" s="4">
        <v>1923.7175020527629</v>
      </c>
      <c r="AA730" s="4">
        <v>381.42546590200942</v>
      </c>
      <c r="AB730" s="4">
        <v>0</v>
      </c>
      <c r="AC730" s="4">
        <v>1078487.5328999998</v>
      </c>
      <c r="AD730" s="4">
        <v>251942.80499999999</v>
      </c>
      <c r="AE730" s="4">
        <v>0</v>
      </c>
      <c r="AF730" s="4">
        <v>1326037.7113399899</v>
      </c>
      <c r="AG730" s="4">
        <v>262920.38790091407</v>
      </c>
    </row>
    <row r="731" spans="1:33" ht="11.25" customHeight="1" x14ac:dyDescent="0.25">
      <c r="A731" s="3" t="s">
        <v>56</v>
      </c>
      <c r="B731" s="3" t="s">
        <v>41</v>
      </c>
      <c r="C731" s="3" t="s">
        <v>42</v>
      </c>
      <c r="D731" s="3" t="s">
        <v>43</v>
      </c>
      <c r="E731" s="3" t="s">
        <v>25</v>
      </c>
      <c r="F731" s="3" t="s">
        <v>25</v>
      </c>
      <c r="G731" s="3" t="s">
        <v>25</v>
      </c>
      <c r="H731" s="3" t="s">
        <v>34</v>
      </c>
      <c r="I731" s="6">
        <v>44621</v>
      </c>
      <c r="J731" s="4">
        <v>0</v>
      </c>
      <c r="K731" s="4">
        <v>0</v>
      </c>
      <c r="L731" s="4">
        <v>-4.6669999999999998</v>
      </c>
      <c r="M731" s="4">
        <v>-4.6669999999999998</v>
      </c>
      <c r="N731" s="4">
        <v>-4.6669999999999998</v>
      </c>
      <c r="O731" s="4">
        <v>-4.6669999999999998</v>
      </c>
      <c r="P731" s="4">
        <v>0</v>
      </c>
      <c r="Q731" s="3" t="s">
        <v>26</v>
      </c>
      <c r="R731" s="3">
        <v>0</v>
      </c>
      <c r="S731" s="4">
        <v>0</v>
      </c>
      <c r="T731" s="4">
        <v>20</v>
      </c>
      <c r="U731" s="4">
        <v>88</v>
      </c>
      <c r="V731" s="4">
        <v>0</v>
      </c>
      <c r="W731" s="4">
        <v>1564.59</v>
      </c>
      <c r="X731" s="4">
        <v>365.5</v>
      </c>
      <c r="Y731" s="4"/>
      <c r="Z731" s="4">
        <v>1923.7175020527629</v>
      </c>
      <c r="AA731" s="4">
        <v>381.42546590200942</v>
      </c>
      <c r="AB731" s="4">
        <v>0</v>
      </c>
      <c r="AC731" s="4">
        <v>-7301.9415299999991</v>
      </c>
      <c r="AD731" s="4">
        <v>-1705.7884999999999</v>
      </c>
      <c r="AE731" s="4">
        <v>0</v>
      </c>
      <c r="AF731" s="4">
        <v>-8977.9895820802449</v>
      </c>
      <c r="AG731" s="4">
        <v>-1780.112649364678</v>
      </c>
    </row>
    <row r="732" spans="1:33" ht="11.25" customHeight="1" x14ac:dyDescent="0.25">
      <c r="A732" s="3" t="s">
        <v>56</v>
      </c>
      <c r="B732" s="3" t="s">
        <v>41</v>
      </c>
      <c r="C732" s="3" t="s">
        <v>42</v>
      </c>
      <c r="D732" s="3" t="s">
        <v>43</v>
      </c>
      <c r="E732" s="3" t="s">
        <v>25</v>
      </c>
      <c r="F732" s="3" t="s">
        <v>25</v>
      </c>
      <c r="G732" s="3" t="s">
        <v>25</v>
      </c>
      <c r="H732" s="3" t="s">
        <v>34</v>
      </c>
      <c r="I732" s="6">
        <v>44621</v>
      </c>
      <c r="J732" s="4">
        <v>0</v>
      </c>
      <c r="K732" s="4">
        <v>0</v>
      </c>
      <c r="L732" s="4">
        <v>81.218000000000004</v>
      </c>
      <c r="M732" s="4">
        <v>81.218000000000004</v>
      </c>
      <c r="N732" s="4">
        <v>81.218000000000004</v>
      </c>
      <c r="O732" s="4">
        <v>81.218000000000004</v>
      </c>
      <c r="P732" s="4">
        <v>0</v>
      </c>
      <c r="Q732" s="3" t="s">
        <v>26</v>
      </c>
      <c r="R732" s="3">
        <v>0</v>
      </c>
      <c r="S732" s="4">
        <v>0</v>
      </c>
      <c r="T732" s="4">
        <v>20</v>
      </c>
      <c r="U732" s="4">
        <v>88</v>
      </c>
      <c r="V732" s="4">
        <v>0</v>
      </c>
      <c r="W732" s="4">
        <v>1564.59</v>
      </c>
      <c r="X732" s="4">
        <v>365.5</v>
      </c>
      <c r="Y732" s="4"/>
      <c r="Z732" s="4">
        <v>1923.7175020527629</v>
      </c>
      <c r="AA732" s="4">
        <v>381.42546590200942</v>
      </c>
      <c r="AB732" s="4">
        <v>0</v>
      </c>
      <c r="AC732" s="4">
        <v>127072.87062</v>
      </c>
      <c r="AD732" s="4">
        <v>29685.179</v>
      </c>
      <c r="AE732" s="4">
        <v>0</v>
      </c>
      <c r="AF732" s="4">
        <v>156240.4880817213</v>
      </c>
      <c r="AG732" s="4">
        <v>30978.613489629402</v>
      </c>
    </row>
    <row r="733" spans="1:33" ht="11.25" customHeight="1" x14ac:dyDescent="0.25">
      <c r="A733" s="3" t="s">
        <v>56</v>
      </c>
      <c r="B733" s="3" t="s">
        <v>41</v>
      </c>
      <c r="C733" s="3" t="s">
        <v>42</v>
      </c>
      <c r="D733" s="3" t="s">
        <v>43</v>
      </c>
      <c r="E733" s="3" t="s">
        <v>25</v>
      </c>
      <c r="F733" s="3" t="s">
        <v>25</v>
      </c>
      <c r="G733" s="3" t="s">
        <v>25</v>
      </c>
      <c r="H733" s="3" t="s">
        <v>34</v>
      </c>
      <c r="I733" s="6">
        <v>44621</v>
      </c>
      <c r="J733" s="4">
        <v>0</v>
      </c>
      <c r="K733" s="4">
        <v>0</v>
      </c>
      <c r="L733" s="4">
        <v>13.175000000000001</v>
      </c>
      <c r="M733" s="4">
        <v>13.175000000000001</v>
      </c>
      <c r="N733" s="4">
        <v>0</v>
      </c>
      <c r="O733" s="4">
        <v>0</v>
      </c>
      <c r="P733" s="4">
        <v>0</v>
      </c>
      <c r="Q733" s="3" t="s">
        <v>57</v>
      </c>
      <c r="R733" s="3">
        <v>0</v>
      </c>
      <c r="S733" s="4">
        <v>0</v>
      </c>
      <c r="T733" s="4">
        <v>20</v>
      </c>
      <c r="U733" s="4">
        <v>0</v>
      </c>
      <c r="V733" s="4">
        <v>0</v>
      </c>
      <c r="W733" s="4">
        <v>1564.59</v>
      </c>
      <c r="X733" s="4">
        <v>0</v>
      </c>
      <c r="Y733" s="4"/>
      <c r="Z733" s="4">
        <v>1923.7175020527629</v>
      </c>
      <c r="AA733" s="4"/>
      <c r="AB733" s="4">
        <v>0</v>
      </c>
      <c r="AC733" s="4">
        <v>20613.473249999999</v>
      </c>
      <c r="AD733" s="4">
        <v>0</v>
      </c>
      <c r="AE733" s="4">
        <v>0</v>
      </c>
      <c r="AF733" s="4">
        <v>25344.978089545151</v>
      </c>
      <c r="AG733" s="4">
        <v>0</v>
      </c>
    </row>
    <row r="734" spans="1:33" ht="11.25" customHeight="1" x14ac:dyDescent="0.25">
      <c r="A734" s="3" t="s">
        <v>56</v>
      </c>
      <c r="B734" s="3" t="s">
        <v>41</v>
      </c>
      <c r="C734" s="3" t="s">
        <v>42</v>
      </c>
      <c r="D734" s="3" t="s">
        <v>43</v>
      </c>
      <c r="E734" s="3" t="s">
        <v>25</v>
      </c>
      <c r="F734" s="3" t="s">
        <v>25</v>
      </c>
      <c r="G734" s="3" t="s">
        <v>25</v>
      </c>
      <c r="H734" s="3" t="s">
        <v>34</v>
      </c>
      <c r="I734" s="6">
        <v>44621</v>
      </c>
      <c r="J734" s="4">
        <v>0</v>
      </c>
      <c r="K734" s="4">
        <v>0</v>
      </c>
      <c r="L734" s="4">
        <v>-8.6020000000000003</v>
      </c>
      <c r="M734" s="4">
        <v>-8.6020000000000003</v>
      </c>
      <c r="N734" s="4">
        <v>0</v>
      </c>
      <c r="O734" s="4">
        <v>0</v>
      </c>
      <c r="P734" s="4">
        <v>0</v>
      </c>
      <c r="Q734" s="3" t="s">
        <v>57</v>
      </c>
      <c r="R734" s="3">
        <v>0</v>
      </c>
      <c r="S734" s="4">
        <v>0</v>
      </c>
      <c r="T734" s="4">
        <v>20</v>
      </c>
      <c r="U734" s="4">
        <v>0</v>
      </c>
      <c r="V734" s="4">
        <v>0</v>
      </c>
      <c r="W734" s="4">
        <v>1564.59</v>
      </c>
      <c r="X734" s="4">
        <v>0</v>
      </c>
      <c r="Y734" s="4"/>
      <c r="Z734" s="4">
        <v>1923.7175020527629</v>
      </c>
      <c r="AA734" s="4"/>
      <c r="AB734" s="4">
        <v>0</v>
      </c>
      <c r="AC734" s="4">
        <v>-13458.60318</v>
      </c>
      <c r="AD734" s="4">
        <v>0</v>
      </c>
      <c r="AE734" s="4">
        <v>0</v>
      </c>
      <c r="AF734" s="4">
        <v>-16547.817952657868</v>
      </c>
      <c r="AG734" s="4">
        <v>0</v>
      </c>
    </row>
    <row r="735" spans="1:33" ht="11.25" customHeight="1" x14ac:dyDescent="0.25">
      <c r="A735" s="3" t="s">
        <v>21</v>
      </c>
      <c r="B735" s="3" t="s">
        <v>41</v>
      </c>
      <c r="C735" s="3" t="s">
        <v>42</v>
      </c>
      <c r="D735" s="3" t="s">
        <v>52</v>
      </c>
      <c r="E735" s="3" t="s">
        <v>25</v>
      </c>
      <c r="F735" s="3" t="s">
        <v>25</v>
      </c>
      <c r="G735" s="3" t="s">
        <v>25</v>
      </c>
      <c r="H735" s="3" t="s">
        <v>35</v>
      </c>
      <c r="I735" s="6">
        <v>44287</v>
      </c>
      <c r="J735" s="4">
        <v>0</v>
      </c>
      <c r="K735" s="4">
        <v>0</v>
      </c>
      <c r="L735" s="4">
        <v>82.25</v>
      </c>
      <c r="M735" s="4">
        <v>82.25</v>
      </c>
      <c r="N735" s="4">
        <v>82.25</v>
      </c>
      <c r="O735" s="4">
        <v>82.25</v>
      </c>
      <c r="P735" s="4">
        <v>0</v>
      </c>
      <c r="Q735" s="3" t="s">
        <v>26</v>
      </c>
      <c r="R735" s="3">
        <v>0</v>
      </c>
      <c r="S735" s="4">
        <v>0</v>
      </c>
      <c r="T735" s="4">
        <v>21</v>
      </c>
      <c r="U735" s="4">
        <v>89</v>
      </c>
      <c r="V735" s="4">
        <v>0</v>
      </c>
      <c r="W735" s="4">
        <v>51.27</v>
      </c>
      <c r="X735" s="4">
        <v>222.31</v>
      </c>
      <c r="Y735" s="4"/>
      <c r="Z735" s="4">
        <v>68.100184485116927</v>
      </c>
      <c r="AA735" s="4">
        <v>235.31351552243123</v>
      </c>
      <c r="AB735" s="4">
        <v>0</v>
      </c>
      <c r="AC735" s="4">
        <v>4216.9575000000004</v>
      </c>
      <c r="AD735" s="4">
        <v>18284.997500000001</v>
      </c>
      <c r="AE735" s="4">
        <v>0</v>
      </c>
      <c r="AF735" s="4">
        <v>5601.2401739008674</v>
      </c>
      <c r="AG735" s="4">
        <v>19354.536651719969</v>
      </c>
    </row>
    <row r="736" spans="1:33" ht="11.25" customHeight="1" x14ac:dyDescent="0.25">
      <c r="A736" s="3" t="s">
        <v>21</v>
      </c>
      <c r="B736" s="3" t="s">
        <v>41</v>
      </c>
      <c r="C736" s="3" t="s">
        <v>42</v>
      </c>
      <c r="D736" s="3" t="s">
        <v>52</v>
      </c>
      <c r="E736" s="3" t="s">
        <v>25</v>
      </c>
      <c r="F736" s="3" t="s">
        <v>25</v>
      </c>
      <c r="G736" s="3" t="s">
        <v>25</v>
      </c>
      <c r="H736" s="3" t="s">
        <v>35</v>
      </c>
      <c r="I736" s="6">
        <v>44317</v>
      </c>
      <c r="J736" s="4">
        <v>0</v>
      </c>
      <c r="K736" s="4">
        <v>0</v>
      </c>
      <c r="L736" s="4">
        <v>72.099999999999994</v>
      </c>
      <c r="M736" s="4">
        <v>72.099999999999994</v>
      </c>
      <c r="N736" s="4">
        <v>72.099999999999994</v>
      </c>
      <c r="O736" s="4">
        <v>72.099999999999994</v>
      </c>
      <c r="P736" s="4">
        <v>0</v>
      </c>
      <c r="Q736" s="3" t="s">
        <v>26</v>
      </c>
      <c r="R736" s="3">
        <v>0</v>
      </c>
      <c r="S736" s="4">
        <v>0</v>
      </c>
      <c r="T736" s="4">
        <v>21</v>
      </c>
      <c r="U736" s="4">
        <v>89</v>
      </c>
      <c r="V736" s="4">
        <v>0</v>
      </c>
      <c r="W736" s="4">
        <v>51.27</v>
      </c>
      <c r="X736" s="4">
        <v>222.31</v>
      </c>
      <c r="Y736" s="4"/>
      <c r="Z736" s="4">
        <v>68.100184485116927</v>
      </c>
      <c r="AA736" s="4">
        <v>235.31351552243123</v>
      </c>
      <c r="AB736" s="4">
        <v>0</v>
      </c>
      <c r="AC736" s="4">
        <v>3696.567</v>
      </c>
      <c r="AD736" s="4">
        <v>16028.550999999999</v>
      </c>
      <c r="AE736" s="4">
        <v>0</v>
      </c>
      <c r="AF736" s="4">
        <v>4910.0233013769302</v>
      </c>
      <c r="AG736" s="4">
        <v>16966.104469167291</v>
      </c>
    </row>
    <row r="737" spans="1:33" ht="11.25" customHeight="1" x14ac:dyDescent="0.25">
      <c r="A737" s="3" t="s">
        <v>21</v>
      </c>
      <c r="B737" s="3" t="s">
        <v>41</v>
      </c>
      <c r="C737" s="3" t="s">
        <v>42</v>
      </c>
      <c r="D737" s="3" t="s">
        <v>52</v>
      </c>
      <c r="E737" s="3" t="s">
        <v>25</v>
      </c>
      <c r="F737" s="3" t="s">
        <v>25</v>
      </c>
      <c r="G737" s="3" t="s">
        <v>25</v>
      </c>
      <c r="H737" s="3" t="s">
        <v>35</v>
      </c>
      <c r="I737" s="6">
        <v>44348</v>
      </c>
      <c r="J737" s="4">
        <v>0</v>
      </c>
      <c r="K737" s="4">
        <v>0</v>
      </c>
      <c r="L737" s="4">
        <v>64.05</v>
      </c>
      <c r="M737" s="4">
        <v>64.05</v>
      </c>
      <c r="N737" s="4">
        <v>64.05</v>
      </c>
      <c r="O737" s="4">
        <v>64.05</v>
      </c>
      <c r="P737" s="4">
        <v>0</v>
      </c>
      <c r="Q737" s="3" t="s">
        <v>26</v>
      </c>
      <c r="R737" s="3">
        <v>0</v>
      </c>
      <c r="S737" s="4">
        <v>0</v>
      </c>
      <c r="T737" s="4">
        <v>21</v>
      </c>
      <c r="U737" s="4">
        <v>89</v>
      </c>
      <c r="V737" s="4">
        <v>0</v>
      </c>
      <c r="W737" s="4">
        <v>51.27</v>
      </c>
      <c r="X737" s="4">
        <v>222.31</v>
      </c>
      <c r="Y737" s="4"/>
      <c r="Z737" s="4">
        <v>68.100184485116927</v>
      </c>
      <c r="AA737" s="4">
        <v>235.31351552243123</v>
      </c>
      <c r="AB737" s="4">
        <v>0</v>
      </c>
      <c r="AC737" s="4">
        <v>3283.8434999999999</v>
      </c>
      <c r="AD737" s="4">
        <v>14238.9555</v>
      </c>
      <c r="AE737" s="4">
        <v>0</v>
      </c>
      <c r="AF737" s="4">
        <v>4361.8168162717393</v>
      </c>
      <c r="AG737" s="4">
        <v>15071.83066921172</v>
      </c>
    </row>
    <row r="738" spans="1:33" ht="11.25" customHeight="1" x14ac:dyDescent="0.25">
      <c r="A738" s="3" t="s">
        <v>21</v>
      </c>
      <c r="B738" s="3" t="s">
        <v>41</v>
      </c>
      <c r="C738" s="3" t="s">
        <v>42</v>
      </c>
      <c r="D738" s="3" t="s">
        <v>52</v>
      </c>
      <c r="E738" s="3" t="s">
        <v>25</v>
      </c>
      <c r="F738" s="3" t="s">
        <v>25</v>
      </c>
      <c r="G738" s="3" t="s">
        <v>25</v>
      </c>
      <c r="H738" s="3" t="s">
        <v>35</v>
      </c>
      <c r="I738" s="6">
        <v>44378</v>
      </c>
      <c r="J738" s="4">
        <v>0</v>
      </c>
      <c r="K738" s="4">
        <v>0</v>
      </c>
      <c r="L738" s="4">
        <v>71.05</v>
      </c>
      <c r="M738" s="4">
        <v>71.05</v>
      </c>
      <c r="N738" s="4">
        <v>71.05</v>
      </c>
      <c r="O738" s="4">
        <v>71.05</v>
      </c>
      <c r="P738" s="4">
        <v>0</v>
      </c>
      <c r="Q738" s="3" t="s">
        <v>26</v>
      </c>
      <c r="R738" s="3">
        <v>0</v>
      </c>
      <c r="S738" s="4">
        <v>0</v>
      </c>
      <c r="T738" s="4">
        <v>21</v>
      </c>
      <c r="U738" s="4">
        <v>89</v>
      </c>
      <c r="V738" s="4">
        <v>0</v>
      </c>
      <c r="W738" s="4">
        <v>51.27</v>
      </c>
      <c r="X738" s="4">
        <v>222.31</v>
      </c>
      <c r="Y738" s="4"/>
      <c r="Z738" s="4">
        <v>68.100184485116927</v>
      </c>
      <c r="AA738" s="4">
        <v>235.31351552243123</v>
      </c>
      <c r="AB738" s="4">
        <v>0</v>
      </c>
      <c r="AC738" s="4">
        <v>3642.7335000000003</v>
      </c>
      <c r="AD738" s="4">
        <v>15795.1255</v>
      </c>
      <c r="AE738" s="4">
        <v>0</v>
      </c>
      <c r="AF738" s="4">
        <v>4838.5181076675572</v>
      </c>
      <c r="AG738" s="4">
        <v>16719.025277868739</v>
      </c>
    </row>
    <row r="739" spans="1:33" ht="11.25" customHeight="1" x14ac:dyDescent="0.25">
      <c r="A739" s="3" t="s">
        <v>21</v>
      </c>
      <c r="B739" s="3" t="s">
        <v>41</v>
      </c>
      <c r="C739" s="3" t="s">
        <v>42</v>
      </c>
      <c r="D739" s="3" t="s">
        <v>52</v>
      </c>
      <c r="E739" s="3" t="s">
        <v>25</v>
      </c>
      <c r="F739" s="3" t="s">
        <v>25</v>
      </c>
      <c r="G739" s="3" t="s">
        <v>25</v>
      </c>
      <c r="H739" s="3" t="s">
        <v>35</v>
      </c>
      <c r="I739" s="6">
        <v>44409</v>
      </c>
      <c r="J739" s="4">
        <v>0</v>
      </c>
      <c r="K739" s="4">
        <v>0</v>
      </c>
      <c r="L739" s="4">
        <v>74.2</v>
      </c>
      <c r="M739" s="4">
        <v>74.2</v>
      </c>
      <c r="N739" s="4">
        <v>74.2</v>
      </c>
      <c r="O739" s="4">
        <v>74.2</v>
      </c>
      <c r="P739" s="4">
        <v>0</v>
      </c>
      <c r="Q739" s="3" t="s">
        <v>26</v>
      </c>
      <c r="R739" s="3">
        <v>0</v>
      </c>
      <c r="S739" s="4">
        <v>0</v>
      </c>
      <c r="T739" s="4">
        <v>21</v>
      </c>
      <c r="U739" s="4">
        <v>89</v>
      </c>
      <c r="V739" s="4">
        <v>0</v>
      </c>
      <c r="W739" s="4">
        <v>51.27</v>
      </c>
      <c r="X739" s="4">
        <v>222.31</v>
      </c>
      <c r="Y739" s="4"/>
      <c r="Z739" s="4">
        <v>68.100184485116927</v>
      </c>
      <c r="AA739" s="4">
        <v>235.31351552243123</v>
      </c>
      <c r="AB739" s="4">
        <v>0</v>
      </c>
      <c r="AC739" s="4">
        <v>3804.2340000000004</v>
      </c>
      <c r="AD739" s="4">
        <v>16495.402000000002</v>
      </c>
      <c r="AE739" s="4">
        <v>0</v>
      </c>
      <c r="AF739" s="4">
        <v>5053.0336887956764</v>
      </c>
      <c r="AG739" s="4">
        <v>17460.262851764397</v>
      </c>
    </row>
    <row r="740" spans="1:33" ht="11.25" customHeight="1" x14ac:dyDescent="0.25">
      <c r="A740" s="3" t="s">
        <v>21</v>
      </c>
      <c r="B740" s="3" t="s">
        <v>41</v>
      </c>
      <c r="C740" s="3" t="s">
        <v>42</v>
      </c>
      <c r="D740" s="3" t="s">
        <v>52</v>
      </c>
      <c r="E740" s="3" t="s">
        <v>25</v>
      </c>
      <c r="F740" s="3" t="s">
        <v>25</v>
      </c>
      <c r="G740" s="3" t="s">
        <v>25</v>
      </c>
      <c r="H740" s="3" t="s">
        <v>35</v>
      </c>
      <c r="I740" s="6">
        <v>44440</v>
      </c>
      <c r="J740" s="4">
        <v>0</v>
      </c>
      <c r="K740" s="4">
        <v>0</v>
      </c>
      <c r="L740" s="4">
        <v>73.5</v>
      </c>
      <c r="M740" s="4">
        <v>73.5</v>
      </c>
      <c r="N740" s="4">
        <v>73.5</v>
      </c>
      <c r="O740" s="4">
        <v>73.5</v>
      </c>
      <c r="P740" s="4">
        <v>0</v>
      </c>
      <c r="Q740" s="3" t="s">
        <v>26</v>
      </c>
      <c r="R740" s="3">
        <v>0</v>
      </c>
      <c r="S740" s="4">
        <v>0</v>
      </c>
      <c r="T740" s="4">
        <v>21</v>
      </c>
      <c r="U740" s="4">
        <v>89</v>
      </c>
      <c r="V740" s="4">
        <v>0</v>
      </c>
      <c r="W740" s="4">
        <v>51.27</v>
      </c>
      <c r="X740" s="4">
        <v>222.31</v>
      </c>
      <c r="Y740" s="4"/>
      <c r="Z740" s="4">
        <v>68.100184485116927</v>
      </c>
      <c r="AA740" s="4">
        <v>235.31351552243123</v>
      </c>
      <c r="AB740" s="4">
        <v>0</v>
      </c>
      <c r="AC740" s="4">
        <v>3768.3450000000003</v>
      </c>
      <c r="AD740" s="4">
        <v>16339.785</v>
      </c>
      <c r="AE740" s="4">
        <v>0</v>
      </c>
      <c r="AF740" s="4">
        <v>5005.3635596560944</v>
      </c>
      <c r="AG740" s="4">
        <v>17295.543390898696</v>
      </c>
    </row>
    <row r="741" spans="1:33" ht="11.25" customHeight="1" x14ac:dyDescent="0.25">
      <c r="A741" s="3" t="s">
        <v>21</v>
      </c>
      <c r="B741" s="3" t="s">
        <v>41</v>
      </c>
      <c r="C741" s="3" t="s">
        <v>42</v>
      </c>
      <c r="D741" s="3" t="s">
        <v>52</v>
      </c>
      <c r="E741" s="3" t="s">
        <v>25</v>
      </c>
      <c r="F741" s="3" t="s">
        <v>25</v>
      </c>
      <c r="G741" s="3" t="s">
        <v>25</v>
      </c>
      <c r="H741" s="3" t="s">
        <v>35</v>
      </c>
      <c r="I741" s="6">
        <v>44470</v>
      </c>
      <c r="J741" s="4">
        <v>0</v>
      </c>
      <c r="K741" s="4">
        <v>0</v>
      </c>
      <c r="L741" s="4">
        <v>73.150000000000006</v>
      </c>
      <c r="M741" s="4">
        <v>73.150000000000006</v>
      </c>
      <c r="N741" s="4">
        <v>73.150000000000006</v>
      </c>
      <c r="O741" s="4">
        <v>73.150000000000006</v>
      </c>
      <c r="P741" s="4">
        <v>0</v>
      </c>
      <c r="Q741" s="3" t="s">
        <v>26</v>
      </c>
      <c r="R741" s="3">
        <v>0</v>
      </c>
      <c r="S741" s="4">
        <v>0</v>
      </c>
      <c r="T741" s="4">
        <v>21</v>
      </c>
      <c r="U741" s="4">
        <v>89</v>
      </c>
      <c r="V741" s="4">
        <v>0</v>
      </c>
      <c r="W741" s="4">
        <v>51.27</v>
      </c>
      <c r="X741" s="4">
        <v>222.31</v>
      </c>
      <c r="Y741" s="4"/>
      <c r="Z741" s="4">
        <v>68.100184485116927</v>
      </c>
      <c r="AA741" s="4">
        <v>235.31351552243123</v>
      </c>
      <c r="AB741" s="4">
        <v>0</v>
      </c>
      <c r="AC741" s="4">
        <v>3750.4005000000006</v>
      </c>
      <c r="AD741" s="4">
        <v>16261.976500000001</v>
      </c>
      <c r="AE741" s="4">
        <v>0</v>
      </c>
      <c r="AF741" s="4">
        <v>4981.5284950863033</v>
      </c>
      <c r="AG741" s="4">
        <v>17213.183660465846</v>
      </c>
    </row>
    <row r="742" spans="1:33" ht="11.25" customHeight="1" x14ac:dyDescent="0.25">
      <c r="A742" s="3" t="s">
        <v>21</v>
      </c>
      <c r="B742" s="3" t="s">
        <v>41</v>
      </c>
      <c r="C742" s="3" t="s">
        <v>42</v>
      </c>
      <c r="D742" s="3" t="s">
        <v>52</v>
      </c>
      <c r="E742" s="3" t="s">
        <v>25</v>
      </c>
      <c r="F742" s="3" t="s">
        <v>25</v>
      </c>
      <c r="G742" s="3" t="s">
        <v>25</v>
      </c>
      <c r="H742" s="3" t="s">
        <v>35</v>
      </c>
      <c r="I742" s="6">
        <v>44501</v>
      </c>
      <c r="J742" s="4">
        <v>0</v>
      </c>
      <c r="K742" s="4">
        <v>0</v>
      </c>
      <c r="L742" s="4">
        <v>75.25</v>
      </c>
      <c r="M742" s="4">
        <v>75.25</v>
      </c>
      <c r="N742" s="4">
        <v>75.25</v>
      </c>
      <c r="O742" s="4">
        <v>75.25</v>
      </c>
      <c r="P742" s="4">
        <v>0</v>
      </c>
      <c r="Q742" s="3" t="s">
        <v>26</v>
      </c>
      <c r="R742" s="3">
        <v>0</v>
      </c>
      <c r="S742" s="4">
        <v>0</v>
      </c>
      <c r="T742" s="4">
        <v>21</v>
      </c>
      <c r="U742" s="4">
        <v>89</v>
      </c>
      <c r="V742" s="4">
        <v>0</v>
      </c>
      <c r="W742" s="4">
        <v>51.27</v>
      </c>
      <c r="X742" s="4">
        <v>222.31</v>
      </c>
      <c r="Y742" s="4"/>
      <c r="Z742" s="4">
        <v>68.100184485116927</v>
      </c>
      <c r="AA742" s="4">
        <v>235.31351552243123</v>
      </c>
      <c r="AB742" s="4">
        <v>0</v>
      </c>
      <c r="AC742" s="4">
        <v>3858.0675000000001</v>
      </c>
      <c r="AD742" s="4">
        <v>16728.827499999999</v>
      </c>
      <c r="AE742" s="4">
        <v>0</v>
      </c>
      <c r="AF742" s="4">
        <v>5124.5388825050486</v>
      </c>
      <c r="AG742" s="4">
        <v>17707.342043062949</v>
      </c>
    </row>
    <row r="743" spans="1:33" ht="11.25" customHeight="1" x14ac:dyDescent="0.25">
      <c r="A743" s="3" t="s">
        <v>21</v>
      </c>
      <c r="B743" s="3" t="s">
        <v>41</v>
      </c>
      <c r="C743" s="3" t="s">
        <v>42</v>
      </c>
      <c r="D743" s="3" t="s">
        <v>52</v>
      </c>
      <c r="E743" s="3" t="s">
        <v>25</v>
      </c>
      <c r="F743" s="3" t="s">
        <v>25</v>
      </c>
      <c r="G743" s="3" t="s">
        <v>25</v>
      </c>
      <c r="H743" s="3" t="s">
        <v>35</v>
      </c>
      <c r="I743" s="6">
        <v>44531</v>
      </c>
      <c r="J743" s="4">
        <v>0</v>
      </c>
      <c r="K743" s="4">
        <v>0</v>
      </c>
      <c r="L743" s="4">
        <v>75.599999999999994</v>
      </c>
      <c r="M743" s="4">
        <v>75.599999999999994</v>
      </c>
      <c r="N743" s="4">
        <v>75.599999999999994</v>
      </c>
      <c r="O743" s="4">
        <v>75.599999999999994</v>
      </c>
      <c r="P743" s="4">
        <v>0</v>
      </c>
      <c r="Q743" s="3" t="s">
        <v>26</v>
      </c>
      <c r="R743" s="3">
        <v>0</v>
      </c>
      <c r="S743" s="4">
        <v>0</v>
      </c>
      <c r="T743" s="4">
        <v>21</v>
      </c>
      <c r="U743" s="4">
        <v>89</v>
      </c>
      <c r="V743" s="4">
        <v>0</v>
      </c>
      <c r="W743" s="4">
        <v>51.27</v>
      </c>
      <c r="X743" s="4">
        <v>222.31</v>
      </c>
      <c r="Y743" s="4"/>
      <c r="Z743" s="4">
        <v>68.100184485116927</v>
      </c>
      <c r="AA743" s="4">
        <v>235.31351552243123</v>
      </c>
      <c r="AB743" s="4">
        <v>0</v>
      </c>
      <c r="AC743" s="4">
        <v>3876.0120000000002</v>
      </c>
      <c r="AD743" s="4">
        <v>16806.635999999999</v>
      </c>
      <c r="AE743" s="4">
        <v>0</v>
      </c>
      <c r="AF743" s="4">
        <v>5148.3739470748396</v>
      </c>
      <c r="AG743" s="4">
        <v>17789.701773495799</v>
      </c>
    </row>
    <row r="744" spans="1:33" ht="11.25" customHeight="1" x14ac:dyDescent="0.25">
      <c r="A744" s="3" t="s">
        <v>21</v>
      </c>
      <c r="B744" s="3" t="s">
        <v>41</v>
      </c>
      <c r="C744" s="3" t="s">
        <v>42</v>
      </c>
      <c r="D744" s="3" t="s">
        <v>52</v>
      </c>
      <c r="E744" s="3" t="s">
        <v>25</v>
      </c>
      <c r="F744" s="3" t="s">
        <v>25</v>
      </c>
      <c r="G744" s="3" t="s">
        <v>25</v>
      </c>
      <c r="H744" s="3" t="s">
        <v>35</v>
      </c>
      <c r="I744" s="6">
        <v>44562</v>
      </c>
      <c r="J744" s="4">
        <v>0</v>
      </c>
      <c r="K744" s="4">
        <v>0</v>
      </c>
      <c r="L744" s="4">
        <v>78.706000000000003</v>
      </c>
      <c r="M744" s="4">
        <v>78.706000000000003</v>
      </c>
      <c r="N744" s="4">
        <v>78.706000000000003</v>
      </c>
      <c r="O744" s="4">
        <v>78.706000000000003</v>
      </c>
      <c r="P744" s="4">
        <v>0</v>
      </c>
      <c r="Q744" s="3" t="s">
        <v>26</v>
      </c>
      <c r="R744" s="3">
        <v>0</v>
      </c>
      <c r="S744" s="4">
        <v>0</v>
      </c>
      <c r="T744" s="4">
        <v>21</v>
      </c>
      <c r="U744" s="4">
        <v>89</v>
      </c>
      <c r="V744" s="4">
        <v>0</v>
      </c>
      <c r="W744" s="4">
        <v>51.27</v>
      </c>
      <c r="X744" s="4">
        <v>222.31</v>
      </c>
      <c r="Y744" s="4"/>
      <c r="Z744" s="4">
        <v>68.100184485116927</v>
      </c>
      <c r="AA744" s="4">
        <v>235.31351552243123</v>
      </c>
      <c r="AB744" s="4">
        <v>0</v>
      </c>
      <c r="AC744" s="4">
        <v>4035.2566200000006</v>
      </c>
      <c r="AD744" s="4">
        <v>17497.130860000001</v>
      </c>
      <c r="AE744" s="4">
        <v>0</v>
      </c>
      <c r="AF744" s="4">
        <v>5359.8931200856132</v>
      </c>
      <c r="AG744" s="4">
        <v>18520.585552708475</v>
      </c>
    </row>
    <row r="745" spans="1:33" ht="11.25" customHeight="1" x14ac:dyDescent="0.25">
      <c r="A745" s="3" t="s">
        <v>21</v>
      </c>
      <c r="B745" s="3" t="s">
        <v>41</v>
      </c>
      <c r="C745" s="3" t="s">
        <v>42</v>
      </c>
      <c r="D745" s="3" t="s">
        <v>52</v>
      </c>
      <c r="E745" s="3" t="s">
        <v>25</v>
      </c>
      <c r="F745" s="3" t="s">
        <v>25</v>
      </c>
      <c r="G745" s="3" t="s">
        <v>25</v>
      </c>
      <c r="H745" s="3" t="s">
        <v>35</v>
      </c>
      <c r="I745" s="6">
        <v>44593</v>
      </c>
      <c r="J745" s="4">
        <v>0</v>
      </c>
      <c r="K745" s="4">
        <v>0</v>
      </c>
      <c r="L745" s="4">
        <v>77.076999999999998</v>
      </c>
      <c r="M745" s="4">
        <v>77.076999999999998</v>
      </c>
      <c r="N745" s="4">
        <v>77.076999999999998</v>
      </c>
      <c r="O745" s="4">
        <v>77.076999999999998</v>
      </c>
      <c r="P745" s="4">
        <v>0</v>
      </c>
      <c r="Q745" s="3" t="s">
        <v>26</v>
      </c>
      <c r="R745" s="3">
        <v>0</v>
      </c>
      <c r="S745" s="4">
        <v>0</v>
      </c>
      <c r="T745" s="4">
        <v>21</v>
      </c>
      <c r="U745" s="4">
        <v>89</v>
      </c>
      <c r="V745" s="4">
        <v>0</v>
      </c>
      <c r="W745" s="4">
        <v>51.27</v>
      </c>
      <c r="X745" s="4">
        <v>222.31</v>
      </c>
      <c r="Y745" s="4"/>
      <c r="Z745" s="4">
        <v>68.100184485116927</v>
      </c>
      <c r="AA745" s="4">
        <v>235.31351552243123</v>
      </c>
      <c r="AB745" s="4">
        <v>0</v>
      </c>
      <c r="AC745" s="4">
        <v>3951.7377900000001</v>
      </c>
      <c r="AD745" s="4">
        <v>17134.987870000001</v>
      </c>
      <c r="AE745" s="4">
        <v>0</v>
      </c>
      <c r="AF745" s="4">
        <v>5248.9579195593569</v>
      </c>
      <c r="AG745" s="4">
        <v>18137.259835922432</v>
      </c>
    </row>
    <row r="746" spans="1:33" ht="11.25" customHeight="1" x14ac:dyDescent="0.25">
      <c r="A746" s="3" t="s">
        <v>56</v>
      </c>
      <c r="B746" s="3" t="s">
        <v>41</v>
      </c>
      <c r="C746" s="3" t="s">
        <v>42</v>
      </c>
      <c r="D746" s="3" t="s">
        <v>52</v>
      </c>
      <c r="E746" s="3" t="s">
        <v>25</v>
      </c>
      <c r="F746" s="3" t="s">
        <v>25</v>
      </c>
      <c r="G746" s="3" t="s">
        <v>25</v>
      </c>
      <c r="H746" s="3" t="s">
        <v>35</v>
      </c>
      <c r="I746" s="6">
        <v>44621</v>
      </c>
      <c r="J746" s="4">
        <v>0</v>
      </c>
      <c r="K746" s="4">
        <v>0</v>
      </c>
      <c r="L746" s="4">
        <v>77.076999999999998</v>
      </c>
      <c r="M746" s="4">
        <v>77.076999999999998</v>
      </c>
      <c r="N746" s="4">
        <v>77.076999999999998</v>
      </c>
      <c r="O746" s="4">
        <v>77.076999999999998</v>
      </c>
      <c r="P746" s="4">
        <v>0</v>
      </c>
      <c r="Q746" s="3" t="s">
        <v>26</v>
      </c>
      <c r="R746" s="3">
        <v>0</v>
      </c>
      <c r="S746" s="4">
        <v>0</v>
      </c>
      <c r="T746" s="4">
        <v>21</v>
      </c>
      <c r="U746" s="4">
        <v>89</v>
      </c>
      <c r="V746" s="4">
        <v>0</v>
      </c>
      <c r="W746" s="4">
        <v>51.27</v>
      </c>
      <c r="X746" s="4">
        <v>222.31</v>
      </c>
      <c r="Y746" s="4"/>
      <c r="Z746" s="4">
        <v>68.100184485116927</v>
      </c>
      <c r="AA746" s="4">
        <v>235.31351552243123</v>
      </c>
      <c r="AB746" s="4">
        <v>0</v>
      </c>
      <c r="AC746" s="4">
        <v>3951.7377900000001</v>
      </c>
      <c r="AD746" s="4">
        <v>17134.987870000001</v>
      </c>
      <c r="AE746" s="4">
        <v>0</v>
      </c>
      <c r="AF746" s="4">
        <v>5248.9579195593569</v>
      </c>
      <c r="AG746" s="4">
        <v>18137.259835922432</v>
      </c>
    </row>
    <row r="747" spans="1:33" ht="11.25" customHeight="1" x14ac:dyDescent="0.25">
      <c r="A747" s="3" t="s">
        <v>21</v>
      </c>
      <c r="B747" s="3" t="s">
        <v>41</v>
      </c>
      <c r="C747" s="3" t="s">
        <v>42</v>
      </c>
      <c r="D747" s="3" t="s">
        <v>52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44287</v>
      </c>
      <c r="J747" s="4">
        <v>410</v>
      </c>
      <c r="K747" s="4">
        <v>410</v>
      </c>
      <c r="L747" s="4">
        <v>0</v>
      </c>
      <c r="M747" s="4">
        <v>0</v>
      </c>
      <c r="N747" s="4">
        <v>0</v>
      </c>
      <c r="O747" s="4">
        <v>0</v>
      </c>
      <c r="P747" s="4">
        <v>1</v>
      </c>
      <c r="Q747" s="3" t="s">
        <v>26</v>
      </c>
      <c r="R747" s="3">
        <v>0</v>
      </c>
      <c r="S747" s="4">
        <v>44</v>
      </c>
      <c r="T747" s="4">
        <v>0</v>
      </c>
      <c r="U747" s="4">
        <v>0</v>
      </c>
      <c r="V747" s="4">
        <v>24.31</v>
      </c>
      <c r="W747" s="4">
        <v>0</v>
      </c>
      <c r="X747" s="4">
        <v>0</v>
      </c>
      <c r="Y747" s="4">
        <v>27.784764762164471</v>
      </c>
      <c r="Z747" s="4"/>
      <c r="AA747" s="4"/>
      <c r="AB747" s="4">
        <v>9967.1</v>
      </c>
      <c r="AC747" s="4">
        <v>0</v>
      </c>
      <c r="AD747" s="4">
        <v>0</v>
      </c>
      <c r="AE747" s="4">
        <v>11391.753552487433</v>
      </c>
      <c r="AF747" s="4">
        <v>0</v>
      </c>
      <c r="AG747" s="4">
        <v>0</v>
      </c>
    </row>
    <row r="748" spans="1:33" ht="11.25" customHeight="1" x14ac:dyDescent="0.25">
      <c r="A748" s="3" t="s">
        <v>21</v>
      </c>
      <c r="B748" s="3" t="s">
        <v>41</v>
      </c>
      <c r="C748" s="3" t="s">
        <v>42</v>
      </c>
      <c r="D748" s="3" t="s">
        <v>52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44317</v>
      </c>
      <c r="J748" s="4">
        <v>410</v>
      </c>
      <c r="K748" s="4">
        <v>410</v>
      </c>
      <c r="L748" s="4">
        <v>0</v>
      </c>
      <c r="M748" s="4">
        <v>0</v>
      </c>
      <c r="N748" s="4">
        <v>0</v>
      </c>
      <c r="O748" s="4">
        <v>0</v>
      </c>
      <c r="P748" s="4">
        <v>1</v>
      </c>
      <c r="Q748" s="3" t="s">
        <v>26</v>
      </c>
      <c r="R748" s="3">
        <v>0</v>
      </c>
      <c r="S748" s="4">
        <v>44</v>
      </c>
      <c r="T748" s="4">
        <v>0</v>
      </c>
      <c r="U748" s="4">
        <v>0</v>
      </c>
      <c r="V748" s="4">
        <v>24.31</v>
      </c>
      <c r="W748" s="4">
        <v>0</v>
      </c>
      <c r="X748" s="4">
        <v>0</v>
      </c>
      <c r="Y748" s="4">
        <v>27.784764762164471</v>
      </c>
      <c r="Z748" s="4"/>
      <c r="AA748" s="4"/>
      <c r="AB748" s="4">
        <v>9967.1</v>
      </c>
      <c r="AC748" s="4">
        <v>0</v>
      </c>
      <c r="AD748" s="4">
        <v>0</v>
      </c>
      <c r="AE748" s="4">
        <v>11391.753552487433</v>
      </c>
      <c r="AF748" s="4">
        <v>0</v>
      </c>
      <c r="AG748" s="4">
        <v>0</v>
      </c>
    </row>
    <row r="749" spans="1:33" ht="11.25" customHeight="1" x14ac:dyDescent="0.25">
      <c r="A749" s="3" t="s">
        <v>21</v>
      </c>
      <c r="B749" s="3" t="s">
        <v>41</v>
      </c>
      <c r="C749" s="3" t="s">
        <v>42</v>
      </c>
      <c r="D749" s="3" t="s">
        <v>52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44348</v>
      </c>
      <c r="J749" s="4">
        <v>410</v>
      </c>
      <c r="K749" s="4">
        <v>410</v>
      </c>
      <c r="L749" s="4">
        <v>0</v>
      </c>
      <c r="M749" s="4">
        <v>0</v>
      </c>
      <c r="N749" s="4">
        <v>0</v>
      </c>
      <c r="O749" s="4">
        <v>0</v>
      </c>
      <c r="P749" s="4">
        <v>1</v>
      </c>
      <c r="Q749" s="3" t="s">
        <v>26</v>
      </c>
      <c r="R749" s="3">
        <v>0</v>
      </c>
      <c r="S749" s="4">
        <v>44</v>
      </c>
      <c r="T749" s="4">
        <v>0</v>
      </c>
      <c r="U749" s="4">
        <v>0</v>
      </c>
      <c r="V749" s="4">
        <v>24.31</v>
      </c>
      <c r="W749" s="4">
        <v>0</v>
      </c>
      <c r="X749" s="4">
        <v>0</v>
      </c>
      <c r="Y749" s="4">
        <v>27.784764762164471</v>
      </c>
      <c r="Z749" s="4"/>
      <c r="AA749" s="4"/>
      <c r="AB749" s="4">
        <v>9967.1</v>
      </c>
      <c r="AC749" s="4">
        <v>0</v>
      </c>
      <c r="AD749" s="4">
        <v>0</v>
      </c>
      <c r="AE749" s="4">
        <v>11391.753552487433</v>
      </c>
      <c r="AF749" s="4">
        <v>0</v>
      </c>
      <c r="AG749" s="4">
        <v>0</v>
      </c>
    </row>
    <row r="750" spans="1:33" ht="11.25" customHeight="1" x14ac:dyDescent="0.25">
      <c r="A750" s="3" t="s">
        <v>21</v>
      </c>
      <c r="B750" s="3" t="s">
        <v>41</v>
      </c>
      <c r="C750" s="3" t="s">
        <v>42</v>
      </c>
      <c r="D750" s="3" t="s">
        <v>52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44378</v>
      </c>
      <c r="J750" s="4">
        <v>410</v>
      </c>
      <c r="K750" s="4">
        <v>410</v>
      </c>
      <c r="L750" s="4">
        <v>0</v>
      </c>
      <c r="M750" s="4">
        <v>0</v>
      </c>
      <c r="N750" s="4">
        <v>0</v>
      </c>
      <c r="O750" s="4">
        <v>0</v>
      </c>
      <c r="P750" s="4">
        <v>1</v>
      </c>
      <c r="Q750" s="3" t="s">
        <v>26</v>
      </c>
      <c r="R750" s="3">
        <v>0</v>
      </c>
      <c r="S750" s="4">
        <v>44</v>
      </c>
      <c r="T750" s="4">
        <v>0</v>
      </c>
      <c r="U750" s="4">
        <v>0</v>
      </c>
      <c r="V750" s="4">
        <v>24.31</v>
      </c>
      <c r="W750" s="4">
        <v>0</v>
      </c>
      <c r="X750" s="4">
        <v>0</v>
      </c>
      <c r="Y750" s="4">
        <v>27.784764762164471</v>
      </c>
      <c r="Z750" s="4"/>
      <c r="AA750" s="4"/>
      <c r="AB750" s="4">
        <v>9967.1</v>
      </c>
      <c r="AC750" s="4">
        <v>0</v>
      </c>
      <c r="AD750" s="4">
        <v>0</v>
      </c>
      <c r="AE750" s="4">
        <v>11391.753552487433</v>
      </c>
      <c r="AF750" s="4">
        <v>0</v>
      </c>
      <c r="AG750" s="4">
        <v>0</v>
      </c>
    </row>
    <row r="751" spans="1:33" ht="11.25" customHeight="1" x14ac:dyDescent="0.25">
      <c r="A751" s="3" t="s">
        <v>21</v>
      </c>
      <c r="B751" s="3" t="s">
        <v>41</v>
      </c>
      <c r="C751" s="3" t="s">
        <v>42</v>
      </c>
      <c r="D751" s="3" t="s">
        <v>52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44409</v>
      </c>
      <c r="J751" s="4">
        <v>410</v>
      </c>
      <c r="K751" s="4">
        <v>410</v>
      </c>
      <c r="L751" s="4">
        <v>0</v>
      </c>
      <c r="M751" s="4">
        <v>0</v>
      </c>
      <c r="N751" s="4">
        <v>0</v>
      </c>
      <c r="O751" s="4">
        <v>0</v>
      </c>
      <c r="P751" s="4">
        <v>1</v>
      </c>
      <c r="Q751" s="3" t="s">
        <v>26</v>
      </c>
      <c r="R751" s="3">
        <v>0</v>
      </c>
      <c r="S751" s="4">
        <v>44</v>
      </c>
      <c r="T751" s="4">
        <v>0</v>
      </c>
      <c r="U751" s="4">
        <v>0</v>
      </c>
      <c r="V751" s="4">
        <v>24.31</v>
      </c>
      <c r="W751" s="4">
        <v>0</v>
      </c>
      <c r="X751" s="4">
        <v>0</v>
      </c>
      <c r="Y751" s="4">
        <v>27.784764762164471</v>
      </c>
      <c r="Z751" s="4"/>
      <c r="AA751" s="4"/>
      <c r="AB751" s="4">
        <v>9967.1</v>
      </c>
      <c r="AC751" s="4">
        <v>0</v>
      </c>
      <c r="AD751" s="4">
        <v>0</v>
      </c>
      <c r="AE751" s="4">
        <v>11391.753552487433</v>
      </c>
      <c r="AF751" s="4">
        <v>0</v>
      </c>
      <c r="AG751" s="4">
        <v>0</v>
      </c>
    </row>
    <row r="752" spans="1:33" ht="11.25" customHeight="1" x14ac:dyDescent="0.25">
      <c r="A752" s="3" t="s">
        <v>21</v>
      </c>
      <c r="B752" s="3" t="s">
        <v>41</v>
      </c>
      <c r="C752" s="3" t="s">
        <v>42</v>
      </c>
      <c r="D752" s="3" t="s">
        <v>52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44440</v>
      </c>
      <c r="J752" s="4">
        <v>410</v>
      </c>
      <c r="K752" s="4">
        <v>410</v>
      </c>
      <c r="L752" s="4">
        <v>0</v>
      </c>
      <c r="M752" s="4">
        <v>0</v>
      </c>
      <c r="N752" s="4">
        <v>0</v>
      </c>
      <c r="O752" s="4">
        <v>0</v>
      </c>
      <c r="P752" s="4">
        <v>1</v>
      </c>
      <c r="Q752" s="3" t="s">
        <v>26</v>
      </c>
      <c r="R752" s="3">
        <v>0</v>
      </c>
      <c r="S752" s="4">
        <v>44</v>
      </c>
      <c r="T752" s="4">
        <v>0</v>
      </c>
      <c r="U752" s="4">
        <v>0</v>
      </c>
      <c r="V752" s="4">
        <v>24.31</v>
      </c>
      <c r="W752" s="4">
        <v>0</v>
      </c>
      <c r="X752" s="4">
        <v>0</v>
      </c>
      <c r="Y752" s="4">
        <v>27.784764762164471</v>
      </c>
      <c r="Z752" s="4"/>
      <c r="AA752" s="4"/>
      <c r="AB752" s="4">
        <v>9967.1</v>
      </c>
      <c r="AC752" s="4">
        <v>0</v>
      </c>
      <c r="AD752" s="4">
        <v>0</v>
      </c>
      <c r="AE752" s="4">
        <v>11391.753552487433</v>
      </c>
      <c r="AF752" s="4">
        <v>0</v>
      </c>
      <c r="AG752" s="4">
        <v>0</v>
      </c>
    </row>
    <row r="753" spans="1:33" ht="11.25" customHeight="1" x14ac:dyDescent="0.25">
      <c r="A753" s="3" t="s">
        <v>21</v>
      </c>
      <c r="B753" s="3" t="s">
        <v>41</v>
      </c>
      <c r="C753" s="3" t="s">
        <v>42</v>
      </c>
      <c r="D753" s="3" t="s">
        <v>52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44470</v>
      </c>
      <c r="J753" s="4">
        <v>410</v>
      </c>
      <c r="K753" s="4">
        <v>410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3" t="s">
        <v>26</v>
      </c>
      <c r="R753" s="3">
        <v>0</v>
      </c>
      <c r="S753" s="4">
        <v>44</v>
      </c>
      <c r="T753" s="4">
        <v>0</v>
      </c>
      <c r="U753" s="4">
        <v>0</v>
      </c>
      <c r="V753" s="4">
        <v>24.31</v>
      </c>
      <c r="W753" s="4">
        <v>0</v>
      </c>
      <c r="X753" s="4">
        <v>0</v>
      </c>
      <c r="Y753" s="4">
        <v>27.784764762164471</v>
      </c>
      <c r="Z753" s="4"/>
      <c r="AA753" s="4"/>
      <c r="AB753" s="4">
        <v>9967.1</v>
      </c>
      <c r="AC753" s="4">
        <v>0</v>
      </c>
      <c r="AD753" s="4">
        <v>0</v>
      </c>
      <c r="AE753" s="4">
        <v>11391.753552487433</v>
      </c>
      <c r="AF753" s="4">
        <v>0</v>
      </c>
      <c r="AG753" s="4">
        <v>0</v>
      </c>
    </row>
    <row r="754" spans="1:33" ht="11.25" customHeight="1" x14ac:dyDescent="0.25">
      <c r="A754" s="3" t="s">
        <v>21</v>
      </c>
      <c r="B754" s="3" t="s">
        <v>41</v>
      </c>
      <c r="C754" s="3" t="s">
        <v>42</v>
      </c>
      <c r="D754" s="3" t="s">
        <v>52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44501</v>
      </c>
      <c r="J754" s="4">
        <v>410</v>
      </c>
      <c r="K754" s="4">
        <v>410</v>
      </c>
      <c r="L754" s="4">
        <v>0</v>
      </c>
      <c r="M754" s="4">
        <v>0</v>
      </c>
      <c r="N754" s="4">
        <v>0</v>
      </c>
      <c r="O754" s="4">
        <v>0</v>
      </c>
      <c r="P754" s="4">
        <v>1</v>
      </c>
      <c r="Q754" s="3" t="s">
        <v>26</v>
      </c>
      <c r="R754" s="3">
        <v>0</v>
      </c>
      <c r="S754" s="4">
        <v>44</v>
      </c>
      <c r="T754" s="4">
        <v>0</v>
      </c>
      <c r="U754" s="4">
        <v>0</v>
      </c>
      <c r="V754" s="4">
        <v>24.31</v>
      </c>
      <c r="W754" s="4">
        <v>0</v>
      </c>
      <c r="X754" s="4">
        <v>0</v>
      </c>
      <c r="Y754" s="4">
        <v>27.784764762164471</v>
      </c>
      <c r="Z754" s="4"/>
      <c r="AA754" s="4"/>
      <c r="AB754" s="4">
        <v>9967.1</v>
      </c>
      <c r="AC754" s="4">
        <v>0</v>
      </c>
      <c r="AD754" s="4">
        <v>0</v>
      </c>
      <c r="AE754" s="4">
        <v>11391.753552487433</v>
      </c>
      <c r="AF754" s="4">
        <v>0</v>
      </c>
      <c r="AG754" s="4">
        <v>0</v>
      </c>
    </row>
    <row r="755" spans="1:33" ht="11.25" customHeight="1" x14ac:dyDescent="0.25">
      <c r="A755" s="3" t="s">
        <v>21</v>
      </c>
      <c r="B755" s="3" t="s">
        <v>41</v>
      </c>
      <c r="C755" s="3" t="s">
        <v>42</v>
      </c>
      <c r="D755" s="3" t="s">
        <v>52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44531</v>
      </c>
      <c r="J755" s="4">
        <v>410</v>
      </c>
      <c r="K755" s="4">
        <v>410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3" t="s">
        <v>26</v>
      </c>
      <c r="R755" s="3">
        <v>0</v>
      </c>
      <c r="S755" s="4">
        <v>44</v>
      </c>
      <c r="T755" s="4">
        <v>0</v>
      </c>
      <c r="U755" s="4">
        <v>0</v>
      </c>
      <c r="V755" s="4">
        <v>24.31</v>
      </c>
      <c r="W755" s="4">
        <v>0</v>
      </c>
      <c r="X755" s="4">
        <v>0</v>
      </c>
      <c r="Y755" s="4">
        <v>27.784764762164471</v>
      </c>
      <c r="Z755" s="4"/>
      <c r="AA755" s="4"/>
      <c r="AB755" s="4">
        <v>9967.1</v>
      </c>
      <c r="AC755" s="4">
        <v>0</v>
      </c>
      <c r="AD755" s="4">
        <v>0</v>
      </c>
      <c r="AE755" s="4">
        <v>11391.753552487433</v>
      </c>
      <c r="AF755" s="4">
        <v>0</v>
      </c>
      <c r="AG755" s="4">
        <v>0</v>
      </c>
    </row>
    <row r="756" spans="1:33" ht="11.25" customHeight="1" x14ac:dyDescent="0.25">
      <c r="A756" s="3" t="s">
        <v>21</v>
      </c>
      <c r="B756" s="3" t="s">
        <v>41</v>
      </c>
      <c r="C756" s="3" t="s">
        <v>42</v>
      </c>
      <c r="D756" s="3" t="s">
        <v>52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44562</v>
      </c>
      <c r="J756" s="4">
        <v>410</v>
      </c>
      <c r="K756" s="4">
        <v>410</v>
      </c>
      <c r="L756" s="4">
        <v>0</v>
      </c>
      <c r="M756" s="4">
        <v>0</v>
      </c>
      <c r="N756" s="4">
        <v>0</v>
      </c>
      <c r="O756" s="4">
        <v>0</v>
      </c>
      <c r="P756" s="4">
        <v>1</v>
      </c>
      <c r="Q756" s="3" t="s">
        <v>26</v>
      </c>
      <c r="R756" s="3">
        <v>0</v>
      </c>
      <c r="S756" s="4">
        <v>44</v>
      </c>
      <c r="T756" s="4">
        <v>0</v>
      </c>
      <c r="U756" s="4">
        <v>0</v>
      </c>
      <c r="V756" s="4">
        <v>24.31</v>
      </c>
      <c r="W756" s="4">
        <v>0</v>
      </c>
      <c r="X756" s="4">
        <v>0</v>
      </c>
      <c r="Y756" s="4">
        <v>27.784764762164471</v>
      </c>
      <c r="Z756" s="4"/>
      <c r="AA756" s="4"/>
      <c r="AB756" s="4">
        <v>9967.1</v>
      </c>
      <c r="AC756" s="4">
        <v>0</v>
      </c>
      <c r="AD756" s="4">
        <v>0</v>
      </c>
      <c r="AE756" s="4">
        <v>11391.753552487433</v>
      </c>
      <c r="AF756" s="4">
        <v>0</v>
      </c>
      <c r="AG756" s="4">
        <v>0</v>
      </c>
    </row>
    <row r="757" spans="1:33" ht="11.25" customHeight="1" x14ac:dyDescent="0.25">
      <c r="A757" s="3" t="s">
        <v>21</v>
      </c>
      <c r="B757" s="3" t="s">
        <v>41</v>
      </c>
      <c r="C757" s="3" t="s">
        <v>42</v>
      </c>
      <c r="D757" s="3" t="s">
        <v>52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44593</v>
      </c>
      <c r="J757" s="4">
        <v>410</v>
      </c>
      <c r="K757" s="4">
        <v>410</v>
      </c>
      <c r="L757" s="4">
        <v>0</v>
      </c>
      <c r="M757" s="4">
        <v>0</v>
      </c>
      <c r="N757" s="4">
        <v>0</v>
      </c>
      <c r="O757" s="4">
        <v>0</v>
      </c>
      <c r="P757" s="4">
        <v>1</v>
      </c>
      <c r="Q757" s="3" t="s">
        <v>26</v>
      </c>
      <c r="R757" s="3">
        <v>0</v>
      </c>
      <c r="S757" s="4">
        <v>44</v>
      </c>
      <c r="T757" s="4">
        <v>0</v>
      </c>
      <c r="U757" s="4">
        <v>0</v>
      </c>
      <c r="V757" s="4">
        <v>24.31</v>
      </c>
      <c r="W757" s="4">
        <v>0</v>
      </c>
      <c r="X757" s="4">
        <v>0</v>
      </c>
      <c r="Y757" s="4">
        <v>27.784764762164471</v>
      </c>
      <c r="Z757" s="4"/>
      <c r="AA757" s="4"/>
      <c r="AB757" s="4">
        <v>9967.1</v>
      </c>
      <c r="AC757" s="4">
        <v>0</v>
      </c>
      <c r="AD757" s="4">
        <v>0</v>
      </c>
      <c r="AE757" s="4">
        <v>11391.753552487433</v>
      </c>
      <c r="AF757" s="4">
        <v>0</v>
      </c>
      <c r="AG757" s="4">
        <v>0</v>
      </c>
    </row>
    <row r="758" spans="1:33" ht="11.25" customHeight="1" x14ac:dyDescent="0.25">
      <c r="A758" s="3" t="s">
        <v>56</v>
      </c>
      <c r="B758" s="3" t="s">
        <v>41</v>
      </c>
      <c r="C758" s="3" t="s">
        <v>42</v>
      </c>
      <c r="D758" s="3" t="s">
        <v>52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44621</v>
      </c>
      <c r="J758" s="4">
        <v>410</v>
      </c>
      <c r="K758" s="4">
        <v>410</v>
      </c>
      <c r="L758" s="4">
        <v>0</v>
      </c>
      <c r="M758" s="4">
        <v>0</v>
      </c>
      <c r="N758" s="4">
        <v>0</v>
      </c>
      <c r="O758" s="4">
        <v>0</v>
      </c>
      <c r="P758" s="4">
        <v>1</v>
      </c>
      <c r="Q758" s="3" t="s">
        <v>26</v>
      </c>
      <c r="R758" s="3">
        <v>0</v>
      </c>
      <c r="S758" s="4">
        <v>44</v>
      </c>
      <c r="T758" s="4">
        <v>0</v>
      </c>
      <c r="U758" s="4">
        <v>0</v>
      </c>
      <c r="V758" s="4">
        <v>24.31</v>
      </c>
      <c r="W758" s="4">
        <v>0</v>
      </c>
      <c r="X758" s="4">
        <v>0</v>
      </c>
      <c r="Y758" s="4">
        <v>27.784764762164471</v>
      </c>
      <c r="Z758" s="4"/>
      <c r="AA758" s="4"/>
      <c r="AB758" s="4">
        <v>9967.1</v>
      </c>
      <c r="AC758" s="4">
        <v>0</v>
      </c>
      <c r="AD758" s="4">
        <v>0</v>
      </c>
      <c r="AE758" s="4">
        <v>11391.753552487433</v>
      </c>
      <c r="AF758" s="4">
        <v>0</v>
      </c>
      <c r="AG758" s="4">
        <v>0</v>
      </c>
    </row>
    <row r="759" spans="1:33" ht="11.25" customHeight="1" x14ac:dyDescent="0.25">
      <c r="A759" s="3" t="s">
        <v>21</v>
      </c>
      <c r="B759" s="3" t="s">
        <v>41</v>
      </c>
      <c r="C759" s="3" t="s">
        <v>42</v>
      </c>
      <c r="D759" s="3" t="s">
        <v>52</v>
      </c>
      <c r="E759" s="3" t="s">
        <v>25</v>
      </c>
      <c r="F759" s="3" t="s">
        <v>25</v>
      </c>
      <c r="G759" s="3" t="s">
        <v>25</v>
      </c>
      <c r="H759" s="3" t="s">
        <v>34</v>
      </c>
      <c r="I759" s="6">
        <v>44287</v>
      </c>
      <c r="J759" s="4">
        <v>0</v>
      </c>
      <c r="K759" s="4">
        <v>0</v>
      </c>
      <c r="L759" s="4">
        <v>7.35</v>
      </c>
      <c r="M759" s="4">
        <v>7.35</v>
      </c>
      <c r="N759" s="4">
        <v>7.35</v>
      </c>
      <c r="O759" s="4">
        <v>7.35</v>
      </c>
      <c r="P759" s="4">
        <v>0</v>
      </c>
      <c r="Q759" s="3" t="s">
        <v>26</v>
      </c>
      <c r="R759" s="3">
        <v>0</v>
      </c>
      <c r="S759" s="4">
        <v>0</v>
      </c>
      <c r="T759" s="4">
        <v>20</v>
      </c>
      <c r="U759" s="4">
        <v>88</v>
      </c>
      <c r="V759" s="4">
        <v>0</v>
      </c>
      <c r="W759" s="4">
        <v>1564.59</v>
      </c>
      <c r="X759" s="4">
        <v>365.5</v>
      </c>
      <c r="Y759" s="4"/>
      <c r="Z759" s="4">
        <v>1923.7175020527629</v>
      </c>
      <c r="AA759" s="4">
        <v>381.42546590200942</v>
      </c>
      <c r="AB759" s="4">
        <v>0</v>
      </c>
      <c r="AC759" s="4">
        <v>11499.736499999999</v>
      </c>
      <c r="AD759" s="4">
        <v>2686.4249999999997</v>
      </c>
      <c r="AE759" s="4">
        <v>0</v>
      </c>
      <c r="AF759" s="4">
        <v>14139.323640087807</v>
      </c>
      <c r="AG759" s="4">
        <v>2803.4771743797692</v>
      </c>
    </row>
    <row r="760" spans="1:33" ht="11.25" customHeight="1" x14ac:dyDescent="0.25">
      <c r="A760" s="3" t="s">
        <v>21</v>
      </c>
      <c r="B760" s="3" t="s">
        <v>41</v>
      </c>
      <c r="C760" s="3" t="s">
        <v>42</v>
      </c>
      <c r="D760" s="3" t="s">
        <v>52</v>
      </c>
      <c r="E760" s="3" t="s">
        <v>25</v>
      </c>
      <c r="F760" s="3" t="s">
        <v>25</v>
      </c>
      <c r="G760" s="3" t="s">
        <v>25</v>
      </c>
      <c r="H760" s="3" t="s">
        <v>34</v>
      </c>
      <c r="I760" s="6">
        <v>44317</v>
      </c>
      <c r="J760" s="4">
        <v>0</v>
      </c>
      <c r="K760" s="4">
        <v>0</v>
      </c>
      <c r="L760" s="4">
        <v>6.3</v>
      </c>
      <c r="M760" s="4">
        <v>6.3</v>
      </c>
      <c r="N760" s="4">
        <v>6.3</v>
      </c>
      <c r="O760" s="4">
        <v>6.3</v>
      </c>
      <c r="P760" s="4">
        <v>0</v>
      </c>
      <c r="Q760" s="3" t="s">
        <v>26</v>
      </c>
      <c r="R760" s="3">
        <v>0</v>
      </c>
      <c r="S760" s="4">
        <v>0</v>
      </c>
      <c r="T760" s="4">
        <v>20</v>
      </c>
      <c r="U760" s="4">
        <v>88</v>
      </c>
      <c r="V760" s="4">
        <v>0</v>
      </c>
      <c r="W760" s="4">
        <v>1564.59</v>
      </c>
      <c r="X760" s="4">
        <v>365.5</v>
      </c>
      <c r="Y760" s="4"/>
      <c r="Z760" s="4">
        <v>1923.7175020527629</v>
      </c>
      <c r="AA760" s="4">
        <v>381.42546590200942</v>
      </c>
      <c r="AB760" s="4">
        <v>0</v>
      </c>
      <c r="AC760" s="4">
        <v>9856.9169999999995</v>
      </c>
      <c r="AD760" s="4">
        <v>2302.65</v>
      </c>
      <c r="AE760" s="4">
        <v>0</v>
      </c>
      <c r="AF760" s="4">
        <v>12119.420262932406</v>
      </c>
      <c r="AG760" s="4">
        <v>2402.9804351826592</v>
      </c>
    </row>
    <row r="761" spans="1:33" ht="11.25" customHeight="1" x14ac:dyDescent="0.25">
      <c r="A761" s="3" t="s">
        <v>21</v>
      </c>
      <c r="B761" s="3" t="s">
        <v>41</v>
      </c>
      <c r="C761" s="3" t="s">
        <v>42</v>
      </c>
      <c r="D761" s="3" t="s">
        <v>52</v>
      </c>
      <c r="E761" s="3" t="s">
        <v>25</v>
      </c>
      <c r="F761" s="3" t="s">
        <v>25</v>
      </c>
      <c r="G761" s="3" t="s">
        <v>25</v>
      </c>
      <c r="H761" s="3" t="s">
        <v>34</v>
      </c>
      <c r="I761" s="6">
        <v>44348</v>
      </c>
      <c r="J761" s="4">
        <v>0</v>
      </c>
      <c r="K761" s="4">
        <v>0</v>
      </c>
      <c r="L761" s="4">
        <v>5.95</v>
      </c>
      <c r="M761" s="4">
        <v>5.95</v>
      </c>
      <c r="N761" s="4">
        <v>5.95</v>
      </c>
      <c r="O761" s="4">
        <v>5.95</v>
      </c>
      <c r="P761" s="4">
        <v>0</v>
      </c>
      <c r="Q761" s="3" t="s">
        <v>26</v>
      </c>
      <c r="R761" s="3">
        <v>0</v>
      </c>
      <c r="S761" s="4">
        <v>0</v>
      </c>
      <c r="T761" s="4">
        <v>20</v>
      </c>
      <c r="U761" s="4">
        <v>88</v>
      </c>
      <c r="V761" s="4">
        <v>0</v>
      </c>
      <c r="W761" s="4">
        <v>1564.59</v>
      </c>
      <c r="X761" s="4">
        <v>365.5</v>
      </c>
      <c r="Y761" s="4"/>
      <c r="Z761" s="4">
        <v>1923.7175020527629</v>
      </c>
      <c r="AA761" s="4">
        <v>381.42546590200942</v>
      </c>
      <c r="AB761" s="4">
        <v>0</v>
      </c>
      <c r="AC761" s="4">
        <v>9309.3104999999996</v>
      </c>
      <c r="AD761" s="4">
        <v>2174.7249999999999</v>
      </c>
      <c r="AE761" s="4">
        <v>0</v>
      </c>
      <c r="AF761" s="4">
        <v>11446.11913721394</v>
      </c>
      <c r="AG761" s="4">
        <v>2269.4815221169561</v>
      </c>
    </row>
    <row r="762" spans="1:33" ht="11.25" customHeight="1" x14ac:dyDescent="0.25">
      <c r="A762" s="3" t="s">
        <v>21</v>
      </c>
      <c r="B762" s="3" t="s">
        <v>41</v>
      </c>
      <c r="C762" s="3" t="s">
        <v>42</v>
      </c>
      <c r="D762" s="3" t="s">
        <v>52</v>
      </c>
      <c r="E762" s="3" t="s">
        <v>25</v>
      </c>
      <c r="F762" s="3" t="s">
        <v>25</v>
      </c>
      <c r="G762" s="3" t="s">
        <v>25</v>
      </c>
      <c r="H762" s="3" t="s">
        <v>34</v>
      </c>
      <c r="I762" s="6">
        <v>44378</v>
      </c>
      <c r="J762" s="4">
        <v>0</v>
      </c>
      <c r="K762" s="4">
        <v>0</v>
      </c>
      <c r="L762" s="4">
        <v>6.65</v>
      </c>
      <c r="M762" s="4">
        <v>6.65</v>
      </c>
      <c r="N762" s="4">
        <v>6.65</v>
      </c>
      <c r="O762" s="4">
        <v>6.65</v>
      </c>
      <c r="P762" s="4">
        <v>0</v>
      </c>
      <c r="Q762" s="3" t="s">
        <v>26</v>
      </c>
      <c r="R762" s="3">
        <v>0</v>
      </c>
      <c r="S762" s="4">
        <v>0</v>
      </c>
      <c r="T762" s="4">
        <v>20</v>
      </c>
      <c r="U762" s="4">
        <v>88</v>
      </c>
      <c r="V762" s="4">
        <v>0</v>
      </c>
      <c r="W762" s="4">
        <v>1564.59</v>
      </c>
      <c r="X762" s="4">
        <v>365.5</v>
      </c>
      <c r="Y762" s="4"/>
      <c r="Z762" s="4">
        <v>1923.7175020527629</v>
      </c>
      <c r="AA762" s="4">
        <v>381.42546590200942</v>
      </c>
      <c r="AB762" s="4">
        <v>0</v>
      </c>
      <c r="AC762" s="4">
        <v>10404.523499999999</v>
      </c>
      <c r="AD762" s="4">
        <v>2430.5750000000003</v>
      </c>
      <c r="AE762" s="4">
        <v>0</v>
      </c>
      <c r="AF762" s="4">
        <v>12792.721388650874</v>
      </c>
      <c r="AG762" s="4">
        <v>2536.4793482483628</v>
      </c>
    </row>
    <row r="763" spans="1:33" ht="11.25" customHeight="1" x14ac:dyDescent="0.25">
      <c r="A763" s="3" t="s">
        <v>21</v>
      </c>
      <c r="B763" s="3" t="s">
        <v>41</v>
      </c>
      <c r="C763" s="3" t="s">
        <v>42</v>
      </c>
      <c r="D763" s="3" t="s">
        <v>52</v>
      </c>
      <c r="E763" s="3" t="s">
        <v>25</v>
      </c>
      <c r="F763" s="3" t="s">
        <v>25</v>
      </c>
      <c r="G763" s="3" t="s">
        <v>25</v>
      </c>
      <c r="H763" s="3" t="s">
        <v>34</v>
      </c>
      <c r="I763" s="6">
        <v>44409</v>
      </c>
      <c r="J763" s="4">
        <v>0</v>
      </c>
      <c r="K763" s="4">
        <v>0</v>
      </c>
      <c r="L763" s="4">
        <v>6.65</v>
      </c>
      <c r="M763" s="4">
        <v>6.65</v>
      </c>
      <c r="N763" s="4">
        <v>6.65</v>
      </c>
      <c r="O763" s="4">
        <v>6.65</v>
      </c>
      <c r="P763" s="4">
        <v>0</v>
      </c>
      <c r="Q763" s="3" t="s">
        <v>26</v>
      </c>
      <c r="R763" s="3">
        <v>0</v>
      </c>
      <c r="S763" s="4">
        <v>0</v>
      </c>
      <c r="T763" s="4">
        <v>20</v>
      </c>
      <c r="U763" s="4">
        <v>88</v>
      </c>
      <c r="V763" s="4">
        <v>0</v>
      </c>
      <c r="W763" s="4">
        <v>1564.59</v>
      </c>
      <c r="X763" s="4">
        <v>365.5</v>
      </c>
      <c r="Y763" s="4"/>
      <c r="Z763" s="4">
        <v>1923.7175020527629</v>
      </c>
      <c r="AA763" s="4">
        <v>381.42546590200942</v>
      </c>
      <c r="AB763" s="4">
        <v>0</v>
      </c>
      <c r="AC763" s="4">
        <v>10404.523499999999</v>
      </c>
      <c r="AD763" s="4">
        <v>2430.5750000000003</v>
      </c>
      <c r="AE763" s="4">
        <v>0</v>
      </c>
      <c r="AF763" s="4">
        <v>12792.721388650874</v>
      </c>
      <c r="AG763" s="4">
        <v>2536.4793482483628</v>
      </c>
    </row>
    <row r="764" spans="1:33" ht="11.25" customHeight="1" x14ac:dyDescent="0.25">
      <c r="A764" s="3" t="s">
        <v>21</v>
      </c>
      <c r="B764" s="3" t="s">
        <v>41</v>
      </c>
      <c r="C764" s="3" t="s">
        <v>42</v>
      </c>
      <c r="D764" s="3" t="s">
        <v>52</v>
      </c>
      <c r="E764" s="3" t="s">
        <v>25</v>
      </c>
      <c r="F764" s="3" t="s">
        <v>25</v>
      </c>
      <c r="G764" s="3" t="s">
        <v>25</v>
      </c>
      <c r="H764" s="3" t="s">
        <v>34</v>
      </c>
      <c r="I764" s="6">
        <v>44440</v>
      </c>
      <c r="J764" s="4">
        <v>0</v>
      </c>
      <c r="K764" s="4">
        <v>0</v>
      </c>
      <c r="L764" s="4">
        <v>6.65</v>
      </c>
      <c r="M764" s="4">
        <v>6.65</v>
      </c>
      <c r="N764" s="4">
        <v>6.65</v>
      </c>
      <c r="O764" s="4">
        <v>6.65</v>
      </c>
      <c r="P764" s="4">
        <v>0</v>
      </c>
      <c r="Q764" s="3" t="s">
        <v>26</v>
      </c>
      <c r="R764" s="3">
        <v>0</v>
      </c>
      <c r="S764" s="4">
        <v>0</v>
      </c>
      <c r="T764" s="4">
        <v>20</v>
      </c>
      <c r="U764" s="4">
        <v>88</v>
      </c>
      <c r="V764" s="4">
        <v>0</v>
      </c>
      <c r="W764" s="4">
        <v>1564.59</v>
      </c>
      <c r="X764" s="4">
        <v>365.5</v>
      </c>
      <c r="Y764" s="4"/>
      <c r="Z764" s="4">
        <v>1923.7175020527629</v>
      </c>
      <c r="AA764" s="4">
        <v>381.42546590200942</v>
      </c>
      <c r="AB764" s="4">
        <v>0</v>
      </c>
      <c r="AC764" s="4">
        <v>10404.523499999999</v>
      </c>
      <c r="AD764" s="4">
        <v>2430.5750000000003</v>
      </c>
      <c r="AE764" s="4">
        <v>0</v>
      </c>
      <c r="AF764" s="4">
        <v>12792.721388650874</v>
      </c>
      <c r="AG764" s="4">
        <v>2536.4793482483628</v>
      </c>
    </row>
    <row r="765" spans="1:33" ht="11.25" customHeight="1" x14ac:dyDescent="0.25">
      <c r="A765" s="3" t="s">
        <v>21</v>
      </c>
      <c r="B765" s="3" t="s">
        <v>41</v>
      </c>
      <c r="C765" s="3" t="s">
        <v>42</v>
      </c>
      <c r="D765" s="3" t="s">
        <v>52</v>
      </c>
      <c r="E765" s="3" t="s">
        <v>25</v>
      </c>
      <c r="F765" s="3" t="s">
        <v>25</v>
      </c>
      <c r="G765" s="3" t="s">
        <v>25</v>
      </c>
      <c r="H765" s="3" t="s">
        <v>34</v>
      </c>
      <c r="I765" s="6">
        <v>44470</v>
      </c>
      <c r="J765" s="4">
        <v>0</v>
      </c>
      <c r="K765" s="4">
        <v>0</v>
      </c>
      <c r="L765" s="4">
        <v>5.6</v>
      </c>
      <c r="M765" s="4">
        <v>5.6</v>
      </c>
      <c r="N765" s="4">
        <v>5.6</v>
      </c>
      <c r="O765" s="4">
        <v>5.6</v>
      </c>
      <c r="P765" s="4">
        <v>0</v>
      </c>
      <c r="Q765" s="3" t="s">
        <v>26</v>
      </c>
      <c r="R765" s="3">
        <v>0</v>
      </c>
      <c r="S765" s="4">
        <v>0</v>
      </c>
      <c r="T765" s="4">
        <v>20</v>
      </c>
      <c r="U765" s="4">
        <v>88</v>
      </c>
      <c r="V765" s="4">
        <v>0</v>
      </c>
      <c r="W765" s="4">
        <v>1564.59</v>
      </c>
      <c r="X765" s="4">
        <v>365.5</v>
      </c>
      <c r="Y765" s="4"/>
      <c r="Z765" s="4">
        <v>1923.7175020527629</v>
      </c>
      <c r="AA765" s="4">
        <v>381.42546590200942</v>
      </c>
      <c r="AB765" s="4">
        <v>0</v>
      </c>
      <c r="AC765" s="4">
        <v>8761.7039999999997</v>
      </c>
      <c r="AD765" s="4">
        <v>2046.8</v>
      </c>
      <c r="AE765" s="4">
        <v>0</v>
      </c>
      <c r="AF765" s="4">
        <v>10772.818011495472</v>
      </c>
      <c r="AG765" s="4">
        <v>2135.9826090512524</v>
      </c>
    </row>
    <row r="766" spans="1:33" ht="11.25" customHeight="1" x14ac:dyDescent="0.25">
      <c r="A766" s="3" t="s">
        <v>21</v>
      </c>
      <c r="B766" s="3" t="s">
        <v>41</v>
      </c>
      <c r="C766" s="3" t="s">
        <v>42</v>
      </c>
      <c r="D766" s="3" t="s">
        <v>52</v>
      </c>
      <c r="E766" s="3" t="s">
        <v>25</v>
      </c>
      <c r="F766" s="3" t="s">
        <v>25</v>
      </c>
      <c r="G766" s="3" t="s">
        <v>25</v>
      </c>
      <c r="H766" s="3" t="s">
        <v>34</v>
      </c>
      <c r="I766" s="6">
        <v>44501</v>
      </c>
      <c r="J766" s="4">
        <v>0</v>
      </c>
      <c r="K766" s="4">
        <v>0</v>
      </c>
      <c r="L766" s="4">
        <v>6.3</v>
      </c>
      <c r="M766" s="4">
        <v>6.3</v>
      </c>
      <c r="N766" s="4">
        <v>6.3</v>
      </c>
      <c r="O766" s="4">
        <v>6.3</v>
      </c>
      <c r="P766" s="4">
        <v>0</v>
      </c>
      <c r="Q766" s="3" t="s">
        <v>26</v>
      </c>
      <c r="R766" s="3">
        <v>0</v>
      </c>
      <c r="S766" s="4">
        <v>0</v>
      </c>
      <c r="T766" s="4">
        <v>20</v>
      </c>
      <c r="U766" s="4">
        <v>88</v>
      </c>
      <c r="V766" s="4">
        <v>0</v>
      </c>
      <c r="W766" s="4">
        <v>1564.59</v>
      </c>
      <c r="X766" s="4">
        <v>365.5</v>
      </c>
      <c r="Y766" s="4"/>
      <c r="Z766" s="4">
        <v>1923.7175020527629</v>
      </c>
      <c r="AA766" s="4">
        <v>381.42546590200942</v>
      </c>
      <c r="AB766" s="4">
        <v>0</v>
      </c>
      <c r="AC766" s="4">
        <v>9856.9169999999995</v>
      </c>
      <c r="AD766" s="4">
        <v>2302.65</v>
      </c>
      <c r="AE766" s="4">
        <v>0</v>
      </c>
      <c r="AF766" s="4">
        <v>12119.420262932406</v>
      </c>
      <c r="AG766" s="4">
        <v>2402.9804351826592</v>
      </c>
    </row>
    <row r="767" spans="1:33" ht="11.25" customHeight="1" x14ac:dyDescent="0.25">
      <c r="A767" s="3" t="s">
        <v>21</v>
      </c>
      <c r="B767" s="3" t="s">
        <v>41</v>
      </c>
      <c r="C767" s="3" t="s">
        <v>42</v>
      </c>
      <c r="D767" s="3" t="s">
        <v>52</v>
      </c>
      <c r="E767" s="3" t="s">
        <v>25</v>
      </c>
      <c r="F767" s="3" t="s">
        <v>25</v>
      </c>
      <c r="G767" s="3" t="s">
        <v>25</v>
      </c>
      <c r="H767" s="3" t="s">
        <v>34</v>
      </c>
      <c r="I767" s="6">
        <v>44531</v>
      </c>
      <c r="J767" s="4">
        <v>0</v>
      </c>
      <c r="K767" s="4">
        <v>0</v>
      </c>
      <c r="L767" s="4">
        <v>6.3</v>
      </c>
      <c r="M767" s="4">
        <v>6.3</v>
      </c>
      <c r="N767" s="4">
        <v>6.3</v>
      </c>
      <c r="O767" s="4">
        <v>6.3</v>
      </c>
      <c r="P767" s="4">
        <v>0</v>
      </c>
      <c r="Q767" s="3" t="s">
        <v>26</v>
      </c>
      <c r="R767" s="3">
        <v>0</v>
      </c>
      <c r="S767" s="4">
        <v>0</v>
      </c>
      <c r="T767" s="4">
        <v>20</v>
      </c>
      <c r="U767" s="4">
        <v>88</v>
      </c>
      <c r="V767" s="4">
        <v>0</v>
      </c>
      <c r="W767" s="4">
        <v>1564.59</v>
      </c>
      <c r="X767" s="4">
        <v>365.5</v>
      </c>
      <c r="Y767" s="4"/>
      <c r="Z767" s="4">
        <v>1923.7175020527629</v>
      </c>
      <c r="AA767" s="4">
        <v>381.42546590200942</v>
      </c>
      <c r="AB767" s="4">
        <v>0</v>
      </c>
      <c r="AC767" s="4">
        <v>9856.9169999999995</v>
      </c>
      <c r="AD767" s="4">
        <v>2302.65</v>
      </c>
      <c r="AE767" s="4">
        <v>0</v>
      </c>
      <c r="AF767" s="4">
        <v>12119.420262932406</v>
      </c>
      <c r="AG767" s="4">
        <v>2402.9804351826592</v>
      </c>
    </row>
    <row r="768" spans="1:33" ht="11.25" customHeight="1" x14ac:dyDescent="0.25">
      <c r="A768" s="3" t="s">
        <v>21</v>
      </c>
      <c r="B768" s="3" t="s">
        <v>41</v>
      </c>
      <c r="C768" s="3" t="s">
        <v>42</v>
      </c>
      <c r="D768" s="3" t="s">
        <v>52</v>
      </c>
      <c r="E768" s="3" t="s">
        <v>25</v>
      </c>
      <c r="F768" s="3" t="s">
        <v>25</v>
      </c>
      <c r="G768" s="3" t="s">
        <v>25</v>
      </c>
      <c r="H768" s="3" t="s">
        <v>34</v>
      </c>
      <c r="I768" s="6">
        <v>44562</v>
      </c>
      <c r="J768" s="4">
        <v>0</v>
      </c>
      <c r="K768" s="4">
        <v>0</v>
      </c>
      <c r="L768" s="4">
        <v>6.1779999999999999</v>
      </c>
      <c r="M768" s="4">
        <v>6.1779999999999999</v>
      </c>
      <c r="N768" s="4">
        <v>6.1779999999999999</v>
      </c>
      <c r="O768" s="4">
        <v>6.1779999999999999</v>
      </c>
      <c r="P768" s="4">
        <v>0</v>
      </c>
      <c r="Q768" s="3" t="s">
        <v>26</v>
      </c>
      <c r="R768" s="3">
        <v>0</v>
      </c>
      <c r="S768" s="4">
        <v>0</v>
      </c>
      <c r="T768" s="4">
        <v>20</v>
      </c>
      <c r="U768" s="4">
        <v>88</v>
      </c>
      <c r="V768" s="4">
        <v>0</v>
      </c>
      <c r="W768" s="4">
        <v>1564.59</v>
      </c>
      <c r="X768" s="4">
        <v>365.5</v>
      </c>
      <c r="Y768" s="4"/>
      <c r="Z768" s="4">
        <v>1923.7175020527629</v>
      </c>
      <c r="AA768" s="4">
        <v>381.42546590200942</v>
      </c>
      <c r="AB768" s="4">
        <v>0</v>
      </c>
      <c r="AC768" s="4">
        <v>9666.0370199999998</v>
      </c>
      <c r="AD768" s="4">
        <v>2258.0590000000002</v>
      </c>
      <c r="AE768" s="4">
        <v>0</v>
      </c>
      <c r="AF768" s="4">
        <v>11884.726727681969</v>
      </c>
      <c r="AG768" s="4">
        <v>2356.4465283426143</v>
      </c>
    </row>
    <row r="769" spans="1:33" ht="11.25" customHeight="1" x14ac:dyDescent="0.25">
      <c r="A769" s="3" t="s">
        <v>21</v>
      </c>
      <c r="B769" s="3" t="s">
        <v>41</v>
      </c>
      <c r="C769" s="3" t="s">
        <v>42</v>
      </c>
      <c r="D769" s="3" t="s">
        <v>52</v>
      </c>
      <c r="E769" s="3" t="s">
        <v>25</v>
      </c>
      <c r="F769" s="3" t="s">
        <v>25</v>
      </c>
      <c r="G769" s="3" t="s">
        <v>25</v>
      </c>
      <c r="H769" s="3" t="s">
        <v>34</v>
      </c>
      <c r="I769" s="6">
        <v>44593</v>
      </c>
      <c r="J769" s="4">
        <v>0</v>
      </c>
      <c r="K769" s="4">
        <v>0</v>
      </c>
      <c r="L769" s="4">
        <v>6.28</v>
      </c>
      <c r="M769" s="4">
        <v>6.28</v>
      </c>
      <c r="N769" s="4">
        <v>6.28</v>
      </c>
      <c r="O769" s="4">
        <v>6.28</v>
      </c>
      <c r="P769" s="4">
        <v>0</v>
      </c>
      <c r="Q769" s="3" t="s">
        <v>26</v>
      </c>
      <c r="R769" s="3">
        <v>0</v>
      </c>
      <c r="S769" s="4">
        <v>0</v>
      </c>
      <c r="T769" s="4">
        <v>20</v>
      </c>
      <c r="U769" s="4">
        <v>88</v>
      </c>
      <c r="V769" s="4">
        <v>0</v>
      </c>
      <c r="W769" s="4">
        <v>1564.59</v>
      </c>
      <c r="X769" s="4">
        <v>365.5</v>
      </c>
      <c r="Y769" s="4"/>
      <c r="Z769" s="4">
        <v>1923.7175020527629</v>
      </c>
      <c r="AA769" s="4">
        <v>381.42546590200942</v>
      </c>
      <c r="AB769" s="4">
        <v>0</v>
      </c>
      <c r="AC769" s="4">
        <v>9825.6252000000004</v>
      </c>
      <c r="AD769" s="4">
        <v>2295.34</v>
      </c>
      <c r="AE769" s="4">
        <v>0</v>
      </c>
      <c r="AF769" s="4">
        <v>12080.945912891351</v>
      </c>
      <c r="AG769" s="4">
        <v>2395.3519258646193</v>
      </c>
    </row>
    <row r="770" spans="1:33" ht="11.25" customHeight="1" x14ac:dyDescent="0.25">
      <c r="A770" s="3" t="s">
        <v>56</v>
      </c>
      <c r="B770" s="3" t="s">
        <v>41</v>
      </c>
      <c r="C770" s="3" t="s">
        <v>42</v>
      </c>
      <c r="D770" s="3" t="s">
        <v>52</v>
      </c>
      <c r="E770" s="3" t="s">
        <v>25</v>
      </c>
      <c r="F770" s="3" t="s">
        <v>25</v>
      </c>
      <c r="G770" s="3" t="s">
        <v>25</v>
      </c>
      <c r="H770" s="3" t="s">
        <v>34</v>
      </c>
      <c r="I770" s="6">
        <v>44621</v>
      </c>
      <c r="J770" s="4">
        <v>0</v>
      </c>
      <c r="K770" s="4">
        <v>0</v>
      </c>
      <c r="L770" s="4">
        <v>6.28</v>
      </c>
      <c r="M770" s="4">
        <v>6.28</v>
      </c>
      <c r="N770" s="4">
        <v>6.28</v>
      </c>
      <c r="O770" s="4">
        <v>6.28</v>
      </c>
      <c r="P770" s="4">
        <v>0</v>
      </c>
      <c r="Q770" s="3" t="s">
        <v>26</v>
      </c>
      <c r="R770" s="3">
        <v>0</v>
      </c>
      <c r="S770" s="4">
        <v>0</v>
      </c>
      <c r="T770" s="4">
        <v>20</v>
      </c>
      <c r="U770" s="4">
        <v>88</v>
      </c>
      <c r="V770" s="4">
        <v>0</v>
      </c>
      <c r="W770" s="4">
        <v>1564.59</v>
      </c>
      <c r="X770" s="4">
        <v>365.5</v>
      </c>
      <c r="Y770" s="4"/>
      <c r="Z770" s="4">
        <v>1923.7175020527629</v>
      </c>
      <c r="AA770" s="4">
        <v>381.42546590200942</v>
      </c>
      <c r="AB770" s="4">
        <v>0</v>
      </c>
      <c r="AC770" s="4">
        <v>9825.6252000000004</v>
      </c>
      <c r="AD770" s="4">
        <v>2295.34</v>
      </c>
      <c r="AE770" s="4">
        <v>0</v>
      </c>
      <c r="AF770" s="4">
        <v>12080.945912891351</v>
      </c>
      <c r="AG770" s="4">
        <v>2395.3519258646193</v>
      </c>
    </row>
    <row r="771" spans="1:33" ht="11.25" customHeight="1" x14ac:dyDescent="0.25">
      <c r="A771" s="3" t="s">
        <v>21</v>
      </c>
      <c r="B771" s="3" t="s">
        <v>41</v>
      </c>
      <c r="C771" s="3" t="s">
        <v>42</v>
      </c>
      <c r="D771" s="3" t="s">
        <v>38</v>
      </c>
      <c r="E771" s="3" t="s">
        <v>25</v>
      </c>
      <c r="F771" s="3" t="s">
        <v>60</v>
      </c>
      <c r="G771" s="3" t="s">
        <v>25</v>
      </c>
      <c r="H771" s="3" t="s">
        <v>35</v>
      </c>
      <c r="I771" s="6">
        <v>44287</v>
      </c>
      <c r="J771" s="4">
        <v>0</v>
      </c>
      <c r="K771" s="4">
        <v>0</v>
      </c>
      <c r="L771" s="4">
        <v>6159.0150000000003</v>
      </c>
      <c r="M771" s="4">
        <v>6159.0150000000003</v>
      </c>
      <c r="N771" s="4">
        <v>0</v>
      </c>
      <c r="O771" s="4">
        <v>0</v>
      </c>
      <c r="P771" s="4">
        <v>0</v>
      </c>
      <c r="Q771" s="3" t="s">
        <v>57</v>
      </c>
      <c r="R771" s="3">
        <v>0</v>
      </c>
      <c r="S771" s="4">
        <v>0</v>
      </c>
      <c r="T771" s="4">
        <v>21</v>
      </c>
      <c r="U771" s="4">
        <v>0</v>
      </c>
      <c r="V771" s="4">
        <v>0</v>
      </c>
      <c r="W771" s="4">
        <v>51.27</v>
      </c>
      <c r="X771" s="4">
        <v>0</v>
      </c>
      <c r="Y771" s="4"/>
      <c r="Z771" s="4">
        <v>68.100184485116927</v>
      </c>
      <c r="AA771" s="4"/>
      <c r="AB771" s="4">
        <v>0</v>
      </c>
      <c r="AC771" s="4">
        <v>315772.69905000005</v>
      </c>
      <c r="AD771" s="4">
        <v>0</v>
      </c>
      <c r="AE771" s="4">
        <v>0</v>
      </c>
      <c r="AF771" s="4">
        <v>419430.05774660246</v>
      </c>
      <c r="AG771" s="4">
        <v>0</v>
      </c>
    </row>
    <row r="772" spans="1:33" ht="11.25" customHeight="1" x14ac:dyDescent="0.25">
      <c r="A772" s="3" t="s">
        <v>21</v>
      </c>
      <c r="B772" s="3" t="s">
        <v>41</v>
      </c>
      <c r="C772" s="3" t="s">
        <v>42</v>
      </c>
      <c r="D772" s="3" t="s">
        <v>38</v>
      </c>
      <c r="E772" s="3" t="s">
        <v>25</v>
      </c>
      <c r="F772" s="3" t="s">
        <v>60</v>
      </c>
      <c r="G772" s="3" t="s">
        <v>25</v>
      </c>
      <c r="H772" s="3" t="s">
        <v>35</v>
      </c>
      <c r="I772" s="6">
        <v>44317</v>
      </c>
      <c r="J772" s="4">
        <v>0</v>
      </c>
      <c r="K772" s="4">
        <v>0</v>
      </c>
      <c r="L772" s="4">
        <v>5798.2060000000001</v>
      </c>
      <c r="M772" s="4">
        <v>5798.2060000000001</v>
      </c>
      <c r="N772" s="4">
        <v>0</v>
      </c>
      <c r="O772" s="4">
        <v>0</v>
      </c>
      <c r="P772" s="4">
        <v>0</v>
      </c>
      <c r="Q772" s="3" t="s">
        <v>57</v>
      </c>
      <c r="R772" s="3">
        <v>0</v>
      </c>
      <c r="S772" s="4">
        <v>0</v>
      </c>
      <c r="T772" s="4">
        <v>21</v>
      </c>
      <c r="U772" s="4">
        <v>0</v>
      </c>
      <c r="V772" s="4">
        <v>0</v>
      </c>
      <c r="W772" s="4">
        <v>51.27</v>
      </c>
      <c r="X772" s="4">
        <v>0</v>
      </c>
      <c r="Y772" s="4"/>
      <c r="Z772" s="4">
        <v>68.100184485116927</v>
      </c>
      <c r="AA772" s="4"/>
      <c r="AB772" s="4">
        <v>0</v>
      </c>
      <c r="AC772" s="4">
        <v>297274.02162000001</v>
      </c>
      <c r="AD772" s="4">
        <v>0</v>
      </c>
      <c r="AE772" s="4">
        <v>0</v>
      </c>
      <c r="AF772" s="4">
        <v>394858.89828271186</v>
      </c>
      <c r="AG772" s="4">
        <v>0</v>
      </c>
    </row>
    <row r="773" spans="1:33" ht="11.25" customHeight="1" x14ac:dyDescent="0.25">
      <c r="A773" s="3" t="s">
        <v>21</v>
      </c>
      <c r="B773" s="3" t="s">
        <v>41</v>
      </c>
      <c r="C773" s="3" t="s">
        <v>42</v>
      </c>
      <c r="D773" s="3" t="s">
        <v>38</v>
      </c>
      <c r="E773" s="3" t="s">
        <v>25</v>
      </c>
      <c r="F773" s="3" t="s">
        <v>60</v>
      </c>
      <c r="G773" s="3" t="s">
        <v>25</v>
      </c>
      <c r="H773" s="3" t="s">
        <v>35</v>
      </c>
      <c r="I773" s="6">
        <v>44348</v>
      </c>
      <c r="J773" s="4">
        <v>0</v>
      </c>
      <c r="K773" s="4">
        <v>0</v>
      </c>
      <c r="L773" s="4">
        <v>5700.5879999999997</v>
      </c>
      <c r="M773" s="4">
        <v>5700.5879999999997</v>
      </c>
      <c r="N773" s="4">
        <v>0</v>
      </c>
      <c r="O773" s="4">
        <v>0</v>
      </c>
      <c r="P773" s="4">
        <v>0</v>
      </c>
      <c r="Q773" s="3" t="s">
        <v>57</v>
      </c>
      <c r="R773" s="3">
        <v>0</v>
      </c>
      <c r="S773" s="4">
        <v>0</v>
      </c>
      <c r="T773" s="4">
        <v>21</v>
      </c>
      <c r="U773" s="4">
        <v>0</v>
      </c>
      <c r="V773" s="4">
        <v>0</v>
      </c>
      <c r="W773" s="4">
        <v>51.27</v>
      </c>
      <c r="X773" s="4">
        <v>0</v>
      </c>
      <c r="Y773" s="4"/>
      <c r="Z773" s="4">
        <v>68.100184485116927</v>
      </c>
      <c r="AA773" s="4"/>
      <c r="AB773" s="4">
        <v>0</v>
      </c>
      <c r="AC773" s="4">
        <v>292269.14676000003</v>
      </c>
      <c r="AD773" s="4">
        <v>0</v>
      </c>
      <c r="AE773" s="4">
        <v>0</v>
      </c>
      <c r="AF773" s="4">
        <v>388211.09447364369</v>
      </c>
      <c r="AG773" s="4">
        <v>0</v>
      </c>
    </row>
    <row r="774" spans="1:33" ht="11.25" customHeight="1" x14ac:dyDescent="0.25">
      <c r="A774" s="3" t="s">
        <v>21</v>
      </c>
      <c r="B774" s="3" t="s">
        <v>41</v>
      </c>
      <c r="C774" s="3" t="s">
        <v>42</v>
      </c>
      <c r="D774" s="3" t="s">
        <v>38</v>
      </c>
      <c r="E774" s="3" t="s">
        <v>25</v>
      </c>
      <c r="F774" s="3" t="s">
        <v>60</v>
      </c>
      <c r="G774" s="3" t="s">
        <v>25</v>
      </c>
      <c r="H774" s="3" t="s">
        <v>35</v>
      </c>
      <c r="I774" s="6">
        <v>44378</v>
      </c>
      <c r="J774" s="4">
        <v>0</v>
      </c>
      <c r="K774" s="4">
        <v>0</v>
      </c>
      <c r="L774" s="4">
        <v>5409.0119999999997</v>
      </c>
      <c r="M774" s="4">
        <v>5409.0119999999997</v>
      </c>
      <c r="N774" s="4">
        <v>0</v>
      </c>
      <c r="O774" s="4">
        <v>0</v>
      </c>
      <c r="P774" s="4">
        <v>0</v>
      </c>
      <c r="Q774" s="3" t="s">
        <v>57</v>
      </c>
      <c r="R774" s="3">
        <v>0</v>
      </c>
      <c r="S774" s="4">
        <v>0</v>
      </c>
      <c r="T774" s="4">
        <v>21</v>
      </c>
      <c r="U774" s="4">
        <v>0</v>
      </c>
      <c r="V774" s="4">
        <v>0</v>
      </c>
      <c r="W774" s="4">
        <v>51.27</v>
      </c>
      <c r="X774" s="4">
        <v>0</v>
      </c>
      <c r="Y774" s="4"/>
      <c r="Z774" s="4">
        <v>68.100184485116927</v>
      </c>
      <c r="AA774" s="4"/>
      <c r="AB774" s="4">
        <v>0</v>
      </c>
      <c r="AC774" s="4">
        <v>277320.04524000001</v>
      </c>
      <c r="AD774" s="4">
        <v>0</v>
      </c>
      <c r="AE774" s="4">
        <v>0</v>
      </c>
      <c r="AF774" s="4">
        <v>368354.71508221125</v>
      </c>
      <c r="AG774" s="4">
        <v>0</v>
      </c>
    </row>
    <row r="775" spans="1:33" ht="11.25" customHeight="1" x14ac:dyDescent="0.25">
      <c r="A775" s="3" t="s">
        <v>21</v>
      </c>
      <c r="B775" s="3" t="s">
        <v>41</v>
      </c>
      <c r="C775" s="3" t="s">
        <v>42</v>
      </c>
      <c r="D775" s="3" t="s">
        <v>38</v>
      </c>
      <c r="E775" s="3" t="s">
        <v>25</v>
      </c>
      <c r="F775" s="3" t="s">
        <v>60</v>
      </c>
      <c r="G775" s="3" t="s">
        <v>25</v>
      </c>
      <c r="H775" s="3" t="s">
        <v>35</v>
      </c>
      <c r="I775" s="6">
        <v>44409</v>
      </c>
      <c r="J775" s="4">
        <v>0</v>
      </c>
      <c r="K775" s="4">
        <v>0</v>
      </c>
      <c r="L775" s="4">
        <v>5621.5079999999998</v>
      </c>
      <c r="M775" s="4">
        <v>5621.5079999999998</v>
      </c>
      <c r="N775" s="4">
        <v>0</v>
      </c>
      <c r="O775" s="4">
        <v>0</v>
      </c>
      <c r="P775" s="4">
        <v>0</v>
      </c>
      <c r="Q775" s="3" t="s">
        <v>57</v>
      </c>
      <c r="R775" s="3">
        <v>0</v>
      </c>
      <c r="S775" s="4">
        <v>0</v>
      </c>
      <c r="T775" s="4">
        <v>21</v>
      </c>
      <c r="U775" s="4">
        <v>0</v>
      </c>
      <c r="V775" s="4">
        <v>0</v>
      </c>
      <c r="W775" s="4">
        <v>51.27</v>
      </c>
      <c r="X775" s="4">
        <v>0</v>
      </c>
      <c r="Y775" s="4"/>
      <c r="Z775" s="4">
        <v>68.100184485116927</v>
      </c>
      <c r="AA775" s="4"/>
      <c r="AB775" s="4">
        <v>0</v>
      </c>
      <c r="AC775" s="4">
        <v>288214.71516000002</v>
      </c>
      <c r="AD775" s="4">
        <v>0</v>
      </c>
      <c r="AE775" s="4">
        <v>0</v>
      </c>
      <c r="AF775" s="4">
        <v>382825.73188456066</v>
      </c>
      <c r="AG775" s="4">
        <v>0</v>
      </c>
    </row>
    <row r="776" spans="1:33" ht="11.25" customHeight="1" x14ac:dyDescent="0.25">
      <c r="A776" s="3" t="s">
        <v>21</v>
      </c>
      <c r="B776" s="3" t="s">
        <v>41</v>
      </c>
      <c r="C776" s="3" t="s">
        <v>42</v>
      </c>
      <c r="D776" s="3" t="s">
        <v>38</v>
      </c>
      <c r="E776" s="3" t="s">
        <v>25</v>
      </c>
      <c r="F776" s="3" t="s">
        <v>60</v>
      </c>
      <c r="G776" s="3" t="s">
        <v>25</v>
      </c>
      <c r="H776" s="3" t="s">
        <v>35</v>
      </c>
      <c r="I776" s="6">
        <v>44440</v>
      </c>
      <c r="J776" s="4">
        <v>0</v>
      </c>
      <c r="K776" s="4">
        <v>0</v>
      </c>
      <c r="L776" s="4">
        <v>7134.8580000000002</v>
      </c>
      <c r="M776" s="4">
        <v>7134.8580000000002</v>
      </c>
      <c r="N776" s="4">
        <v>0</v>
      </c>
      <c r="O776" s="4">
        <v>0</v>
      </c>
      <c r="P776" s="4">
        <v>0</v>
      </c>
      <c r="Q776" s="3" t="s">
        <v>57</v>
      </c>
      <c r="R776" s="3">
        <v>0</v>
      </c>
      <c r="S776" s="4">
        <v>0</v>
      </c>
      <c r="T776" s="4">
        <v>21</v>
      </c>
      <c r="U776" s="4">
        <v>0</v>
      </c>
      <c r="V776" s="4">
        <v>0</v>
      </c>
      <c r="W776" s="4">
        <v>51.27</v>
      </c>
      <c r="X776" s="4">
        <v>0</v>
      </c>
      <c r="Y776" s="4"/>
      <c r="Z776" s="4">
        <v>68.100184485116927</v>
      </c>
      <c r="AA776" s="4"/>
      <c r="AB776" s="4">
        <v>0</v>
      </c>
      <c r="AC776" s="4">
        <v>365804.16966000001</v>
      </c>
      <c r="AD776" s="4">
        <v>0</v>
      </c>
      <c r="AE776" s="4">
        <v>0</v>
      </c>
      <c r="AF776" s="4">
        <v>485885.1460751124</v>
      </c>
      <c r="AG776" s="4">
        <v>0</v>
      </c>
    </row>
    <row r="777" spans="1:33" ht="11.25" customHeight="1" x14ac:dyDescent="0.25">
      <c r="A777" s="3" t="s">
        <v>21</v>
      </c>
      <c r="B777" s="3" t="s">
        <v>41</v>
      </c>
      <c r="C777" s="3" t="s">
        <v>42</v>
      </c>
      <c r="D777" s="3" t="s">
        <v>38</v>
      </c>
      <c r="E777" s="3" t="s">
        <v>25</v>
      </c>
      <c r="F777" s="3" t="s">
        <v>60</v>
      </c>
      <c r="G777" s="3" t="s">
        <v>25</v>
      </c>
      <c r="H777" s="3" t="s">
        <v>35</v>
      </c>
      <c r="I777" s="6">
        <v>44470</v>
      </c>
      <c r="J777" s="4">
        <v>0</v>
      </c>
      <c r="K777" s="4">
        <v>0</v>
      </c>
      <c r="L777" s="4">
        <v>7308.808</v>
      </c>
      <c r="M777" s="4">
        <v>7308.808</v>
      </c>
      <c r="N777" s="4">
        <v>0</v>
      </c>
      <c r="O777" s="4">
        <v>0</v>
      </c>
      <c r="P777" s="4">
        <v>0</v>
      </c>
      <c r="Q777" s="3" t="s">
        <v>57</v>
      </c>
      <c r="R777" s="3">
        <v>0</v>
      </c>
      <c r="S777" s="4">
        <v>0</v>
      </c>
      <c r="T777" s="4">
        <v>21</v>
      </c>
      <c r="U777" s="4">
        <v>0</v>
      </c>
      <c r="V777" s="4">
        <v>0</v>
      </c>
      <c r="W777" s="4">
        <v>51.27</v>
      </c>
      <c r="X777" s="4">
        <v>0</v>
      </c>
      <c r="Y777" s="4"/>
      <c r="Z777" s="4">
        <v>68.100184485116927</v>
      </c>
      <c r="AA777" s="4"/>
      <c r="AB777" s="4">
        <v>0</v>
      </c>
      <c r="AC777" s="4">
        <v>374722.58616000001</v>
      </c>
      <c r="AD777" s="4">
        <v>0</v>
      </c>
      <c r="AE777" s="4">
        <v>0</v>
      </c>
      <c r="AF777" s="4">
        <v>497731.17316629848</v>
      </c>
      <c r="AG777" s="4">
        <v>0</v>
      </c>
    </row>
    <row r="778" spans="1:33" ht="11.25" customHeight="1" x14ac:dyDescent="0.25">
      <c r="A778" s="3" t="s">
        <v>21</v>
      </c>
      <c r="B778" s="3" t="s">
        <v>41</v>
      </c>
      <c r="C778" s="3" t="s">
        <v>42</v>
      </c>
      <c r="D778" s="3" t="s">
        <v>38</v>
      </c>
      <c r="E778" s="3" t="s">
        <v>25</v>
      </c>
      <c r="F778" s="3" t="s">
        <v>60</v>
      </c>
      <c r="G778" s="3" t="s">
        <v>25</v>
      </c>
      <c r="H778" s="3" t="s">
        <v>35</v>
      </c>
      <c r="I778" s="6">
        <v>44501</v>
      </c>
      <c r="J778" s="4">
        <v>0</v>
      </c>
      <c r="K778" s="4">
        <v>0</v>
      </c>
      <c r="L778" s="4">
        <v>8182.6310000000003</v>
      </c>
      <c r="M778" s="4">
        <v>8182.6310000000003</v>
      </c>
      <c r="N778" s="4">
        <v>0</v>
      </c>
      <c r="O778" s="4">
        <v>0</v>
      </c>
      <c r="P778" s="4">
        <v>0</v>
      </c>
      <c r="Q778" s="3" t="s">
        <v>57</v>
      </c>
      <c r="R778" s="3">
        <v>0</v>
      </c>
      <c r="S778" s="4">
        <v>0</v>
      </c>
      <c r="T778" s="4">
        <v>21</v>
      </c>
      <c r="U778" s="4">
        <v>0</v>
      </c>
      <c r="V778" s="4">
        <v>0</v>
      </c>
      <c r="W778" s="4">
        <v>51.27</v>
      </c>
      <c r="X778" s="4">
        <v>0</v>
      </c>
      <c r="Y778" s="4"/>
      <c r="Z778" s="4">
        <v>68.100184485116927</v>
      </c>
      <c r="AA778" s="4"/>
      <c r="AB778" s="4">
        <v>0</v>
      </c>
      <c r="AC778" s="4">
        <v>419523.49137000006</v>
      </c>
      <c r="AD778" s="4">
        <v>0</v>
      </c>
      <c r="AE778" s="4">
        <v>0</v>
      </c>
      <c r="AF778" s="4">
        <v>557238.68067363685</v>
      </c>
      <c r="AG778" s="4">
        <v>0</v>
      </c>
    </row>
    <row r="779" spans="1:33" ht="11.25" customHeight="1" x14ac:dyDescent="0.25">
      <c r="A779" s="3" t="s">
        <v>21</v>
      </c>
      <c r="B779" s="3" t="s">
        <v>41</v>
      </c>
      <c r="C779" s="3" t="s">
        <v>42</v>
      </c>
      <c r="D779" s="3" t="s">
        <v>38</v>
      </c>
      <c r="E779" s="3" t="s">
        <v>25</v>
      </c>
      <c r="F779" s="3" t="s">
        <v>60</v>
      </c>
      <c r="G779" s="3" t="s">
        <v>25</v>
      </c>
      <c r="H779" s="3" t="s">
        <v>35</v>
      </c>
      <c r="I779" s="6">
        <v>44531</v>
      </c>
      <c r="J779" s="4">
        <v>0</v>
      </c>
      <c r="K779" s="4">
        <v>0</v>
      </c>
      <c r="L779" s="4">
        <v>7914.6170000000002</v>
      </c>
      <c r="M779" s="4">
        <v>7914.6170000000002</v>
      </c>
      <c r="N779" s="4">
        <v>0</v>
      </c>
      <c r="O779" s="4">
        <v>0</v>
      </c>
      <c r="P779" s="4">
        <v>0</v>
      </c>
      <c r="Q779" s="3" t="s">
        <v>57</v>
      </c>
      <c r="R779" s="3">
        <v>0</v>
      </c>
      <c r="S779" s="4">
        <v>0</v>
      </c>
      <c r="T779" s="4">
        <v>21</v>
      </c>
      <c r="U779" s="4">
        <v>0</v>
      </c>
      <c r="V779" s="4">
        <v>0</v>
      </c>
      <c r="W779" s="4">
        <v>51.27</v>
      </c>
      <c r="X779" s="4">
        <v>0</v>
      </c>
      <c r="Y779" s="4"/>
      <c r="Z779" s="4">
        <v>68.100184485116927</v>
      </c>
      <c r="AA779" s="4"/>
      <c r="AB779" s="4">
        <v>0</v>
      </c>
      <c r="AC779" s="4">
        <v>405782.41359000001</v>
      </c>
      <c r="AD779" s="4">
        <v>0</v>
      </c>
      <c r="AE779" s="4">
        <v>0</v>
      </c>
      <c r="AF779" s="4">
        <v>538986.87782904273</v>
      </c>
      <c r="AG779" s="4">
        <v>0</v>
      </c>
    </row>
    <row r="780" spans="1:33" ht="11.25" customHeight="1" x14ac:dyDescent="0.25">
      <c r="A780" s="3" t="s">
        <v>21</v>
      </c>
      <c r="B780" s="3" t="s">
        <v>41</v>
      </c>
      <c r="C780" s="3" t="s">
        <v>42</v>
      </c>
      <c r="D780" s="3" t="s">
        <v>38</v>
      </c>
      <c r="E780" s="3" t="s">
        <v>25</v>
      </c>
      <c r="F780" s="3" t="s">
        <v>60</v>
      </c>
      <c r="G780" s="3" t="s">
        <v>25</v>
      </c>
      <c r="H780" s="3" t="s">
        <v>35</v>
      </c>
      <c r="I780" s="6">
        <v>44562</v>
      </c>
      <c r="J780" s="4">
        <v>0</v>
      </c>
      <c r="K780" s="4">
        <v>0</v>
      </c>
      <c r="L780" s="4">
        <v>8449.2540000000008</v>
      </c>
      <c r="M780" s="4">
        <v>8449.2540000000008</v>
      </c>
      <c r="N780" s="4">
        <v>0</v>
      </c>
      <c r="O780" s="4">
        <v>0</v>
      </c>
      <c r="P780" s="4">
        <v>0</v>
      </c>
      <c r="Q780" s="3" t="s">
        <v>57</v>
      </c>
      <c r="R780" s="3">
        <v>0</v>
      </c>
      <c r="S780" s="4">
        <v>0</v>
      </c>
      <c r="T780" s="4">
        <v>21</v>
      </c>
      <c r="U780" s="4">
        <v>0</v>
      </c>
      <c r="V780" s="4">
        <v>0</v>
      </c>
      <c r="W780" s="4">
        <v>51.27</v>
      </c>
      <c r="X780" s="4">
        <v>0</v>
      </c>
      <c r="Y780" s="4"/>
      <c r="Z780" s="4">
        <v>68.100184485116927</v>
      </c>
      <c r="AA780" s="4"/>
      <c r="AB780" s="4">
        <v>0</v>
      </c>
      <c r="AC780" s="4">
        <v>433193.25258000009</v>
      </c>
      <c r="AD780" s="4">
        <v>0</v>
      </c>
      <c r="AE780" s="4">
        <v>0</v>
      </c>
      <c r="AF780" s="4">
        <v>575395.75616161223</v>
      </c>
      <c r="AG780" s="4">
        <v>0</v>
      </c>
    </row>
    <row r="781" spans="1:33" ht="11.25" customHeight="1" x14ac:dyDescent="0.25">
      <c r="A781" s="3" t="s">
        <v>21</v>
      </c>
      <c r="B781" s="3" t="s">
        <v>41</v>
      </c>
      <c r="C781" s="3" t="s">
        <v>42</v>
      </c>
      <c r="D781" s="3" t="s">
        <v>38</v>
      </c>
      <c r="E781" s="3" t="s">
        <v>25</v>
      </c>
      <c r="F781" s="3" t="s">
        <v>60</v>
      </c>
      <c r="G781" s="3" t="s">
        <v>25</v>
      </c>
      <c r="H781" s="3" t="s">
        <v>35</v>
      </c>
      <c r="I781" s="6">
        <v>44593</v>
      </c>
      <c r="J781" s="4">
        <v>0</v>
      </c>
      <c r="K781" s="4">
        <v>0</v>
      </c>
      <c r="L781" s="4">
        <v>8613.9060000000009</v>
      </c>
      <c r="M781" s="4">
        <v>8613.9060000000009</v>
      </c>
      <c r="N781" s="4">
        <v>0</v>
      </c>
      <c r="O781" s="4">
        <v>0</v>
      </c>
      <c r="P781" s="4">
        <v>0</v>
      </c>
      <c r="Q781" s="3" t="s">
        <v>57</v>
      </c>
      <c r="R781" s="3">
        <v>0</v>
      </c>
      <c r="S781" s="4">
        <v>0</v>
      </c>
      <c r="T781" s="4">
        <v>21</v>
      </c>
      <c r="U781" s="4">
        <v>0</v>
      </c>
      <c r="V781" s="4">
        <v>0</v>
      </c>
      <c r="W781" s="4">
        <v>51.27</v>
      </c>
      <c r="X781" s="4">
        <v>0</v>
      </c>
      <c r="Y781" s="4"/>
      <c r="Z781" s="4">
        <v>68.100184485116927</v>
      </c>
      <c r="AA781" s="4"/>
      <c r="AB781" s="4">
        <v>0</v>
      </c>
      <c r="AC781" s="4">
        <v>441634.96062000009</v>
      </c>
      <c r="AD781" s="4">
        <v>0</v>
      </c>
      <c r="AE781" s="4">
        <v>0</v>
      </c>
      <c r="AF781" s="4">
        <v>586608.58773745561</v>
      </c>
      <c r="AG781" s="4">
        <v>0</v>
      </c>
    </row>
    <row r="782" spans="1:33" ht="11.25" customHeight="1" x14ac:dyDescent="0.25">
      <c r="A782" s="3" t="s">
        <v>56</v>
      </c>
      <c r="B782" s="3" t="s">
        <v>41</v>
      </c>
      <c r="C782" s="3" t="s">
        <v>42</v>
      </c>
      <c r="D782" s="3" t="s">
        <v>38</v>
      </c>
      <c r="E782" s="3" t="s">
        <v>25</v>
      </c>
      <c r="F782" s="3" t="s">
        <v>60</v>
      </c>
      <c r="G782" s="3" t="s">
        <v>25</v>
      </c>
      <c r="H782" s="3" t="s">
        <v>35</v>
      </c>
      <c r="I782" s="6">
        <v>44621</v>
      </c>
      <c r="J782" s="4">
        <v>0</v>
      </c>
      <c r="K782" s="4">
        <v>0</v>
      </c>
      <c r="L782" s="4">
        <v>8613.9060000000009</v>
      </c>
      <c r="M782" s="4">
        <v>8613.9060000000009</v>
      </c>
      <c r="N782" s="4">
        <v>0</v>
      </c>
      <c r="O782" s="4">
        <v>0</v>
      </c>
      <c r="P782" s="4">
        <v>0</v>
      </c>
      <c r="Q782" s="3" t="s">
        <v>57</v>
      </c>
      <c r="R782" s="3">
        <v>0</v>
      </c>
      <c r="S782" s="4">
        <v>0</v>
      </c>
      <c r="T782" s="4">
        <v>21</v>
      </c>
      <c r="U782" s="4">
        <v>0</v>
      </c>
      <c r="V782" s="4">
        <v>0</v>
      </c>
      <c r="W782" s="4">
        <v>51.27</v>
      </c>
      <c r="X782" s="4">
        <v>0</v>
      </c>
      <c r="Y782" s="4"/>
      <c r="Z782" s="4">
        <v>68.100184485116927</v>
      </c>
      <c r="AA782" s="4"/>
      <c r="AB782" s="4">
        <v>0</v>
      </c>
      <c r="AC782" s="4">
        <v>441634.96062000009</v>
      </c>
      <c r="AD782" s="4">
        <v>0</v>
      </c>
      <c r="AE782" s="4">
        <v>0</v>
      </c>
      <c r="AF782" s="4">
        <v>586608.58773745561</v>
      </c>
      <c r="AG782" s="4">
        <v>0</v>
      </c>
    </row>
    <row r="783" spans="1:33" ht="11.25" customHeight="1" x14ac:dyDescent="0.25">
      <c r="A783" s="3" t="s">
        <v>21</v>
      </c>
      <c r="B783" s="3" t="s">
        <v>41</v>
      </c>
      <c r="C783" s="3" t="s">
        <v>42</v>
      </c>
      <c r="D783" s="3" t="s">
        <v>38</v>
      </c>
      <c r="E783" s="3" t="s">
        <v>25</v>
      </c>
      <c r="F783" s="3" t="s">
        <v>60</v>
      </c>
      <c r="G783" s="3" t="s">
        <v>25</v>
      </c>
      <c r="H783" s="3" t="s">
        <v>25</v>
      </c>
      <c r="I783" s="6">
        <v>44287</v>
      </c>
      <c r="J783" s="4">
        <v>23269</v>
      </c>
      <c r="K783" s="4">
        <v>10642.111355429999</v>
      </c>
      <c r="L783" s="4">
        <v>0</v>
      </c>
      <c r="M783" s="4">
        <v>0</v>
      </c>
      <c r="N783" s="4">
        <v>0</v>
      </c>
      <c r="O783" s="4">
        <v>0</v>
      </c>
      <c r="P783" s="4">
        <v>42</v>
      </c>
      <c r="Q783" s="3" t="s">
        <v>57</v>
      </c>
      <c r="R783" s="3">
        <v>0</v>
      </c>
      <c r="S783" s="4">
        <v>44</v>
      </c>
      <c r="T783" s="4">
        <v>0</v>
      </c>
      <c r="U783" s="4">
        <v>0</v>
      </c>
      <c r="V783" s="4">
        <v>24.31</v>
      </c>
      <c r="W783" s="4">
        <v>0</v>
      </c>
      <c r="X783" s="4">
        <v>0</v>
      </c>
      <c r="Y783" s="4">
        <v>27.784764762164471</v>
      </c>
      <c r="Z783" s="4"/>
      <c r="AA783" s="4"/>
      <c r="AB783" s="4">
        <v>258709.72705050325</v>
      </c>
      <c r="AC783" s="4">
        <v>0</v>
      </c>
      <c r="AD783" s="4">
        <v>0</v>
      </c>
      <c r="AE783" s="4">
        <v>295688.5605833818</v>
      </c>
      <c r="AF783" s="4">
        <v>0</v>
      </c>
      <c r="AG783" s="4">
        <v>0</v>
      </c>
    </row>
    <row r="784" spans="1:33" ht="11.25" customHeight="1" x14ac:dyDescent="0.25">
      <c r="A784" s="3" t="s">
        <v>21</v>
      </c>
      <c r="B784" s="3" t="s">
        <v>41</v>
      </c>
      <c r="C784" s="3" t="s">
        <v>42</v>
      </c>
      <c r="D784" s="3" t="s">
        <v>38</v>
      </c>
      <c r="E784" s="3" t="s">
        <v>25</v>
      </c>
      <c r="F784" s="3" t="s">
        <v>60</v>
      </c>
      <c r="G784" s="3" t="s">
        <v>25</v>
      </c>
      <c r="H784" s="3" t="s">
        <v>25</v>
      </c>
      <c r="I784" s="6">
        <v>44317</v>
      </c>
      <c r="J784" s="4">
        <v>23235</v>
      </c>
      <c r="K784" s="4">
        <v>12628.432544400001</v>
      </c>
      <c r="L784" s="4">
        <v>0</v>
      </c>
      <c r="M784" s="4">
        <v>0</v>
      </c>
      <c r="N784" s="4">
        <v>0</v>
      </c>
      <c r="O784" s="4">
        <v>0</v>
      </c>
      <c r="P784" s="4">
        <v>43</v>
      </c>
      <c r="Q784" s="3" t="s">
        <v>57</v>
      </c>
      <c r="R784" s="3">
        <v>0</v>
      </c>
      <c r="S784" s="4">
        <v>44</v>
      </c>
      <c r="T784" s="4">
        <v>0</v>
      </c>
      <c r="U784" s="4">
        <v>0</v>
      </c>
      <c r="V784" s="4">
        <v>24.31</v>
      </c>
      <c r="W784" s="4">
        <v>0</v>
      </c>
      <c r="X784" s="4">
        <v>0</v>
      </c>
      <c r="Y784" s="4">
        <v>27.784764762164471</v>
      </c>
      <c r="Z784" s="4"/>
      <c r="AA784" s="4"/>
      <c r="AB784" s="4">
        <v>306997.19515436399</v>
      </c>
      <c r="AC784" s="4">
        <v>0</v>
      </c>
      <c r="AD784" s="4">
        <v>0</v>
      </c>
      <c r="AE784" s="4">
        <v>350878.02756101615</v>
      </c>
      <c r="AF784" s="4">
        <v>0</v>
      </c>
      <c r="AG784" s="4">
        <v>0</v>
      </c>
    </row>
    <row r="785" spans="1:33" ht="11.25" customHeight="1" x14ac:dyDescent="0.25">
      <c r="A785" s="3" t="s">
        <v>21</v>
      </c>
      <c r="B785" s="3" t="s">
        <v>41</v>
      </c>
      <c r="C785" s="3" t="s">
        <v>42</v>
      </c>
      <c r="D785" s="3" t="s">
        <v>38</v>
      </c>
      <c r="E785" s="3" t="s">
        <v>25</v>
      </c>
      <c r="F785" s="3" t="s">
        <v>60</v>
      </c>
      <c r="G785" s="3" t="s">
        <v>25</v>
      </c>
      <c r="H785" s="3" t="s">
        <v>25</v>
      </c>
      <c r="I785" s="6">
        <v>44348</v>
      </c>
      <c r="J785" s="4">
        <v>24006</v>
      </c>
      <c r="K785" s="4">
        <v>12884.823440759999</v>
      </c>
      <c r="L785" s="4">
        <v>0</v>
      </c>
      <c r="M785" s="4">
        <v>0</v>
      </c>
      <c r="N785" s="4">
        <v>0</v>
      </c>
      <c r="O785" s="4">
        <v>0</v>
      </c>
      <c r="P785" s="4">
        <v>45</v>
      </c>
      <c r="Q785" s="3" t="s">
        <v>57</v>
      </c>
      <c r="R785" s="3">
        <v>0</v>
      </c>
      <c r="S785" s="4">
        <v>44</v>
      </c>
      <c r="T785" s="4">
        <v>0</v>
      </c>
      <c r="U785" s="4">
        <v>0</v>
      </c>
      <c r="V785" s="4">
        <v>24.31</v>
      </c>
      <c r="W785" s="4">
        <v>0</v>
      </c>
      <c r="X785" s="4">
        <v>0</v>
      </c>
      <c r="Y785" s="4">
        <v>27.784764762164471</v>
      </c>
      <c r="Z785" s="4"/>
      <c r="AA785" s="4"/>
      <c r="AB785" s="4">
        <v>313230.05784487556</v>
      </c>
      <c r="AC785" s="4">
        <v>0</v>
      </c>
      <c r="AD785" s="4">
        <v>0</v>
      </c>
      <c r="AE785" s="4">
        <v>358001.78830353922</v>
      </c>
      <c r="AF785" s="4">
        <v>0</v>
      </c>
      <c r="AG785" s="4">
        <v>0</v>
      </c>
    </row>
    <row r="786" spans="1:33" ht="11.25" customHeight="1" x14ac:dyDescent="0.25">
      <c r="A786" s="3" t="s">
        <v>21</v>
      </c>
      <c r="B786" s="3" t="s">
        <v>41</v>
      </c>
      <c r="C786" s="3" t="s">
        <v>42</v>
      </c>
      <c r="D786" s="3" t="s">
        <v>38</v>
      </c>
      <c r="E786" s="3" t="s">
        <v>25</v>
      </c>
      <c r="F786" s="3" t="s">
        <v>60</v>
      </c>
      <c r="G786" s="3" t="s">
        <v>25</v>
      </c>
      <c r="H786" s="3" t="s">
        <v>25</v>
      </c>
      <c r="I786" s="6">
        <v>44378</v>
      </c>
      <c r="J786" s="4">
        <v>24430</v>
      </c>
      <c r="K786" s="4">
        <v>11263.2457994</v>
      </c>
      <c r="L786" s="4">
        <v>0</v>
      </c>
      <c r="M786" s="4">
        <v>0</v>
      </c>
      <c r="N786" s="4">
        <v>0</v>
      </c>
      <c r="O786" s="4">
        <v>0</v>
      </c>
      <c r="P786" s="4">
        <v>48</v>
      </c>
      <c r="Q786" s="3" t="s">
        <v>57</v>
      </c>
      <c r="R786" s="3">
        <v>0</v>
      </c>
      <c r="S786" s="4">
        <v>44</v>
      </c>
      <c r="T786" s="4">
        <v>0</v>
      </c>
      <c r="U786" s="4">
        <v>0</v>
      </c>
      <c r="V786" s="4">
        <v>24.31</v>
      </c>
      <c r="W786" s="4">
        <v>0</v>
      </c>
      <c r="X786" s="4">
        <v>0</v>
      </c>
      <c r="Y786" s="4">
        <v>27.784764762164471</v>
      </c>
      <c r="Z786" s="4"/>
      <c r="AA786" s="4"/>
      <c r="AB786" s="4">
        <v>273809.50538341398</v>
      </c>
      <c r="AC786" s="4">
        <v>0</v>
      </c>
      <c r="AD786" s="4">
        <v>0</v>
      </c>
      <c r="AE786" s="4">
        <v>312946.63499476609</v>
      </c>
      <c r="AF786" s="4">
        <v>0</v>
      </c>
      <c r="AG786" s="4">
        <v>0</v>
      </c>
    </row>
    <row r="787" spans="1:33" ht="11.25" customHeight="1" x14ac:dyDescent="0.25">
      <c r="A787" s="3" t="s">
        <v>21</v>
      </c>
      <c r="B787" s="3" t="s">
        <v>41</v>
      </c>
      <c r="C787" s="3" t="s">
        <v>42</v>
      </c>
      <c r="D787" s="3" t="s">
        <v>38</v>
      </c>
      <c r="E787" s="3" t="s">
        <v>25</v>
      </c>
      <c r="F787" s="3" t="s">
        <v>60</v>
      </c>
      <c r="G787" s="3" t="s">
        <v>25</v>
      </c>
      <c r="H787" s="3" t="s">
        <v>25</v>
      </c>
      <c r="I787" s="6">
        <v>44409</v>
      </c>
      <c r="J787" s="4">
        <v>22743</v>
      </c>
      <c r="K787" s="4">
        <v>10533.04655508</v>
      </c>
      <c r="L787" s="4">
        <v>0</v>
      </c>
      <c r="M787" s="4">
        <v>0</v>
      </c>
      <c r="N787" s="4">
        <v>0</v>
      </c>
      <c r="O787" s="4">
        <v>0</v>
      </c>
      <c r="P787" s="4">
        <v>45</v>
      </c>
      <c r="Q787" s="3" t="s">
        <v>57</v>
      </c>
      <c r="R787" s="3">
        <v>0</v>
      </c>
      <c r="S787" s="4">
        <v>44</v>
      </c>
      <c r="T787" s="4">
        <v>0</v>
      </c>
      <c r="U787" s="4">
        <v>0</v>
      </c>
      <c r="V787" s="4">
        <v>24.31</v>
      </c>
      <c r="W787" s="4">
        <v>0</v>
      </c>
      <c r="X787" s="4">
        <v>0</v>
      </c>
      <c r="Y787" s="4">
        <v>27.784764762164471</v>
      </c>
      <c r="Z787" s="4"/>
      <c r="AA787" s="4"/>
      <c r="AB787" s="4">
        <v>256058.36175399477</v>
      </c>
      <c r="AC787" s="4">
        <v>0</v>
      </c>
      <c r="AD787" s="4">
        <v>0</v>
      </c>
      <c r="AE787" s="4">
        <v>292658.22076182463</v>
      </c>
      <c r="AF787" s="4">
        <v>0</v>
      </c>
      <c r="AG787" s="4">
        <v>0</v>
      </c>
    </row>
    <row r="788" spans="1:33" ht="11.25" customHeight="1" x14ac:dyDescent="0.25">
      <c r="A788" s="3" t="s">
        <v>21</v>
      </c>
      <c r="B788" s="3" t="s">
        <v>41</v>
      </c>
      <c r="C788" s="3" t="s">
        <v>42</v>
      </c>
      <c r="D788" s="3" t="s">
        <v>38</v>
      </c>
      <c r="E788" s="3" t="s">
        <v>25</v>
      </c>
      <c r="F788" s="3" t="s">
        <v>60</v>
      </c>
      <c r="G788" s="3" t="s">
        <v>25</v>
      </c>
      <c r="H788" s="3" t="s">
        <v>25</v>
      </c>
      <c r="I788" s="6">
        <v>44440</v>
      </c>
      <c r="J788" s="4">
        <v>26726</v>
      </c>
      <c r="K788" s="4">
        <v>12047.426013</v>
      </c>
      <c r="L788" s="4">
        <v>0</v>
      </c>
      <c r="M788" s="4">
        <v>0</v>
      </c>
      <c r="N788" s="4">
        <v>0</v>
      </c>
      <c r="O788" s="4">
        <v>0</v>
      </c>
      <c r="P788" s="4">
        <v>51</v>
      </c>
      <c r="Q788" s="3" t="s">
        <v>57</v>
      </c>
      <c r="R788" s="3">
        <v>0</v>
      </c>
      <c r="S788" s="4">
        <v>44</v>
      </c>
      <c r="T788" s="4">
        <v>0</v>
      </c>
      <c r="U788" s="4">
        <v>0</v>
      </c>
      <c r="V788" s="4">
        <v>24.31</v>
      </c>
      <c r="W788" s="4">
        <v>0</v>
      </c>
      <c r="X788" s="4">
        <v>0</v>
      </c>
      <c r="Y788" s="4">
        <v>27.784764762164471</v>
      </c>
      <c r="Z788" s="4"/>
      <c r="AA788" s="4"/>
      <c r="AB788" s="4">
        <v>292872.92637602997</v>
      </c>
      <c r="AC788" s="4">
        <v>0</v>
      </c>
      <c r="AD788" s="4">
        <v>0</v>
      </c>
      <c r="AE788" s="4">
        <v>334734.897760786</v>
      </c>
      <c r="AF788" s="4">
        <v>0</v>
      </c>
      <c r="AG788" s="4">
        <v>0</v>
      </c>
    </row>
    <row r="789" spans="1:33" ht="11.25" customHeight="1" x14ac:dyDescent="0.25">
      <c r="A789" s="3" t="s">
        <v>21</v>
      </c>
      <c r="B789" s="3" t="s">
        <v>41</v>
      </c>
      <c r="C789" s="3" t="s">
        <v>42</v>
      </c>
      <c r="D789" s="3" t="s">
        <v>38</v>
      </c>
      <c r="E789" s="3" t="s">
        <v>25</v>
      </c>
      <c r="F789" s="3" t="s">
        <v>60</v>
      </c>
      <c r="G789" s="3" t="s">
        <v>25</v>
      </c>
      <c r="H789" s="3" t="s">
        <v>25</v>
      </c>
      <c r="I789" s="6">
        <v>44470</v>
      </c>
      <c r="J789" s="4">
        <v>27408</v>
      </c>
      <c r="K789" s="4">
        <v>12046.95233568</v>
      </c>
      <c r="L789" s="4">
        <v>0</v>
      </c>
      <c r="M789" s="4">
        <v>0</v>
      </c>
      <c r="N789" s="4">
        <v>0</v>
      </c>
      <c r="O789" s="4">
        <v>0</v>
      </c>
      <c r="P789" s="4">
        <v>52</v>
      </c>
      <c r="Q789" s="3" t="s">
        <v>57</v>
      </c>
      <c r="R789" s="3">
        <v>0</v>
      </c>
      <c r="S789" s="4">
        <v>44</v>
      </c>
      <c r="T789" s="4">
        <v>0</v>
      </c>
      <c r="U789" s="4">
        <v>0</v>
      </c>
      <c r="V789" s="4">
        <v>24.31</v>
      </c>
      <c r="W789" s="4">
        <v>0</v>
      </c>
      <c r="X789" s="4">
        <v>0</v>
      </c>
      <c r="Y789" s="4">
        <v>27.784764762164471</v>
      </c>
      <c r="Z789" s="4"/>
      <c r="AA789" s="4"/>
      <c r="AB789" s="4">
        <v>292861.41128038079</v>
      </c>
      <c r="AC789" s="4">
        <v>0</v>
      </c>
      <c r="AD789" s="4">
        <v>0</v>
      </c>
      <c r="AE789" s="4">
        <v>334721.73674787662</v>
      </c>
      <c r="AF789" s="4">
        <v>0</v>
      </c>
      <c r="AG789" s="4">
        <v>0</v>
      </c>
    </row>
    <row r="790" spans="1:33" ht="11.25" customHeight="1" x14ac:dyDescent="0.25">
      <c r="A790" s="3" t="s">
        <v>21</v>
      </c>
      <c r="B790" s="3" t="s">
        <v>41</v>
      </c>
      <c r="C790" s="3" t="s">
        <v>42</v>
      </c>
      <c r="D790" s="3" t="s">
        <v>38</v>
      </c>
      <c r="E790" s="3" t="s">
        <v>25</v>
      </c>
      <c r="F790" s="3" t="s">
        <v>60</v>
      </c>
      <c r="G790" s="3" t="s">
        <v>25</v>
      </c>
      <c r="H790" s="3" t="s">
        <v>25</v>
      </c>
      <c r="I790" s="6">
        <v>44501</v>
      </c>
      <c r="J790" s="4">
        <v>28700</v>
      </c>
      <c r="K790" s="4">
        <v>13059.603228</v>
      </c>
      <c r="L790" s="4">
        <v>0</v>
      </c>
      <c r="M790" s="4">
        <v>0</v>
      </c>
      <c r="N790" s="4">
        <v>0</v>
      </c>
      <c r="O790" s="4">
        <v>0</v>
      </c>
      <c r="P790" s="4">
        <v>54</v>
      </c>
      <c r="Q790" s="3" t="s">
        <v>57</v>
      </c>
      <c r="R790" s="3">
        <v>0</v>
      </c>
      <c r="S790" s="4">
        <v>44</v>
      </c>
      <c r="T790" s="4">
        <v>0</v>
      </c>
      <c r="U790" s="4">
        <v>0</v>
      </c>
      <c r="V790" s="4">
        <v>24.31</v>
      </c>
      <c r="W790" s="4">
        <v>0</v>
      </c>
      <c r="X790" s="4">
        <v>0</v>
      </c>
      <c r="Y790" s="4">
        <v>27.784764762164471</v>
      </c>
      <c r="Z790" s="4"/>
      <c r="AA790" s="4"/>
      <c r="AB790" s="4">
        <v>317478.95447267999</v>
      </c>
      <c r="AC790" s="4">
        <v>0</v>
      </c>
      <c r="AD790" s="4">
        <v>0</v>
      </c>
      <c r="AE790" s="4">
        <v>362858.00357718376</v>
      </c>
      <c r="AF790" s="4">
        <v>0</v>
      </c>
      <c r="AG790" s="4">
        <v>0</v>
      </c>
    </row>
    <row r="791" spans="1:33" ht="11.25" customHeight="1" x14ac:dyDescent="0.25">
      <c r="A791" s="3" t="s">
        <v>21</v>
      </c>
      <c r="B791" s="3" t="s">
        <v>41</v>
      </c>
      <c r="C791" s="3" t="s">
        <v>42</v>
      </c>
      <c r="D791" s="3" t="s">
        <v>38</v>
      </c>
      <c r="E791" s="3" t="s">
        <v>25</v>
      </c>
      <c r="F791" s="3" t="s">
        <v>60</v>
      </c>
      <c r="G791" s="3" t="s">
        <v>25</v>
      </c>
      <c r="H791" s="3" t="s">
        <v>25</v>
      </c>
      <c r="I791" s="6">
        <v>44531</v>
      </c>
      <c r="J791" s="4">
        <v>28741</v>
      </c>
      <c r="K791" s="4">
        <v>13238.41529021</v>
      </c>
      <c r="L791" s="4">
        <v>0</v>
      </c>
      <c r="M791" s="4">
        <v>0</v>
      </c>
      <c r="N791" s="4">
        <v>0</v>
      </c>
      <c r="O791" s="4">
        <v>0</v>
      </c>
      <c r="P791" s="4">
        <v>54</v>
      </c>
      <c r="Q791" s="3" t="s">
        <v>57</v>
      </c>
      <c r="R791" s="3">
        <v>0</v>
      </c>
      <c r="S791" s="4">
        <v>44</v>
      </c>
      <c r="T791" s="4">
        <v>0</v>
      </c>
      <c r="U791" s="4">
        <v>0</v>
      </c>
      <c r="V791" s="4">
        <v>24.31</v>
      </c>
      <c r="W791" s="4">
        <v>0</v>
      </c>
      <c r="X791" s="4">
        <v>0</v>
      </c>
      <c r="Y791" s="4">
        <v>27.784764762164471</v>
      </c>
      <c r="Z791" s="4"/>
      <c r="AA791" s="4"/>
      <c r="AB791" s="4">
        <v>321825.87570500508</v>
      </c>
      <c r="AC791" s="4">
        <v>0</v>
      </c>
      <c r="AD791" s="4">
        <v>0</v>
      </c>
      <c r="AE791" s="4">
        <v>367826.25466232613</v>
      </c>
      <c r="AF791" s="4">
        <v>0</v>
      </c>
      <c r="AG791" s="4">
        <v>0</v>
      </c>
    </row>
    <row r="792" spans="1:33" ht="11.25" customHeight="1" x14ac:dyDescent="0.25">
      <c r="A792" s="3" t="s">
        <v>21</v>
      </c>
      <c r="B792" s="3" t="s">
        <v>41</v>
      </c>
      <c r="C792" s="3" t="s">
        <v>42</v>
      </c>
      <c r="D792" s="3" t="s">
        <v>38</v>
      </c>
      <c r="E792" s="3" t="s">
        <v>25</v>
      </c>
      <c r="F792" s="3" t="s">
        <v>60</v>
      </c>
      <c r="G792" s="3" t="s">
        <v>25</v>
      </c>
      <c r="H792" s="3" t="s">
        <v>25</v>
      </c>
      <c r="I792" s="6">
        <v>44562</v>
      </c>
      <c r="J792" s="4">
        <v>30936</v>
      </c>
      <c r="K792" s="4">
        <v>14142.4681932</v>
      </c>
      <c r="L792" s="4">
        <v>0</v>
      </c>
      <c r="M792" s="4">
        <v>0</v>
      </c>
      <c r="N792" s="4">
        <v>0</v>
      </c>
      <c r="O792" s="4">
        <v>0</v>
      </c>
      <c r="P792" s="4">
        <v>61</v>
      </c>
      <c r="Q792" s="3" t="s">
        <v>57</v>
      </c>
      <c r="R792" s="3">
        <v>0</v>
      </c>
      <c r="S792" s="4">
        <v>44</v>
      </c>
      <c r="T792" s="4">
        <v>0</v>
      </c>
      <c r="U792" s="4">
        <v>0</v>
      </c>
      <c r="V792" s="4">
        <v>24.31</v>
      </c>
      <c r="W792" s="4">
        <v>0</v>
      </c>
      <c r="X792" s="4">
        <v>0</v>
      </c>
      <c r="Y792" s="4">
        <v>27.784764762164471</v>
      </c>
      <c r="Z792" s="4"/>
      <c r="AA792" s="4"/>
      <c r="AB792" s="4">
        <v>343803.40177669202</v>
      </c>
      <c r="AC792" s="4">
        <v>0</v>
      </c>
      <c r="AD792" s="4">
        <v>0</v>
      </c>
      <c r="AE792" s="4">
        <v>392945.15190445521</v>
      </c>
      <c r="AF792" s="4">
        <v>0</v>
      </c>
      <c r="AG792" s="4">
        <v>0</v>
      </c>
    </row>
    <row r="793" spans="1:33" ht="11.25" customHeight="1" x14ac:dyDescent="0.25">
      <c r="A793" s="3" t="s">
        <v>21</v>
      </c>
      <c r="B793" s="3" t="s">
        <v>41</v>
      </c>
      <c r="C793" s="3" t="s">
        <v>42</v>
      </c>
      <c r="D793" s="3" t="s">
        <v>38</v>
      </c>
      <c r="E793" s="3" t="s">
        <v>25</v>
      </c>
      <c r="F793" s="3" t="s">
        <v>60</v>
      </c>
      <c r="G793" s="3" t="s">
        <v>25</v>
      </c>
      <c r="H793" s="3" t="s">
        <v>25</v>
      </c>
      <c r="I793" s="6">
        <v>44593</v>
      </c>
      <c r="J793" s="4">
        <v>31779</v>
      </c>
      <c r="K793" s="4">
        <v>14638.08270375</v>
      </c>
      <c r="L793" s="4">
        <v>0</v>
      </c>
      <c r="M793" s="4">
        <v>0</v>
      </c>
      <c r="N793" s="4">
        <v>0</v>
      </c>
      <c r="O793" s="4">
        <v>0</v>
      </c>
      <c r="P793" s="4">
        <v>69</v>
      </c>
      <c r="Q793" s="3" t="s">
        <v>57</v>
      </c>
      <c r="R793" s="3">
        <v>0</v>
      </c>
      <c r="S793" s="4">
        <v>44</v>
      </c>
      <c r="T793" s="4">
        <v>0</v>
      </c>
      <c r="U793" s="4">
        <v>0</v>
      </c>
      <c r="V793" s="4">
        <v>24.31</v>
      </c>
      <c r="W793" s="4">
        <v>0</v>
      </c>
      <c r="X793" s="4">
        <v>0</v>
      </c>
      <c r="Y793" s="4">
        <v>27.784764762164471</v>
      </c>
      <c r="Z793" s="4"/>
      <c r="AA793" s="4"/>
      <c r="AB793" s="4">
        <v>355851.7905281625</v>
      </c>
      <c r="AC793" s="4">
        <v>0</v>
      </c>
      <c r="AD793" s="4">
        <v>0</v>
      </c>
      <c r="AE793" s="4">
        <v>406715.68449280225</v>
      </c>
      <c r="AF793" s="4">
        <v>0</v>
      </c>
      <c r="AG793" s="4">
        <v>0</v>
      </c>
    </row>
    <row r="794" spans="1:33" ht="11.25" customHeight="1" x14ac:dyDescent="0.25">
      <c r="A794" s="3" t="s">
        <v>56</v>
      </c>
      <c r="B794" s="3" t="s">
        <v>41</v>
      </c>
      <c r="C794" s="3" t="s">
        <v>42</v>
      </c>
      <c r="D794" s="3" t="s">
        <v>38</v>
      </c>
      <c r="E794" s="3" t="s">
        <v>25</v>
      </c>
      <c r="F794" s="3" t="s">
        <v>60</v>
      </c>
      <c r="G794" s="3" t="s">
        <v>25</v>
      </c>
      <c r="H794" s="3" t="s">
        <v>25</v>
      </c>
      <c r="I794" s="6">
        <v>44621</v>
      </c>
      <c r="J794" s="4">
        <v>31779</v>
      </c>
      <c r="K794" s="4">
        <v>14638.08270375</v>
      </c>
      <c r="L794" s="4">
        <v>0</v>
      </c>
      <c r="M794" s="4">
        <v>0</v>
      </c>
      <c r="N794" s="4">
        <v>0</v>
      </c>
      <c r="O794" s="4">
        <v>0</v>
      </c>
      <c r="P794" s="4">
        <v>69</v>
      </c>
      <c r="Q794" s="3" t="s">
        <v>57</v>
      </c>
      <c r="R794" s="3">
        <v>0</v>
      </c>
      <c r="S794" s="4">
        <v>44</v>
      </c>
      <c r="T794" s="4">
        <v>0</v>
      </c>
      <c r="U794" s="4">
        <v>0</v>
      </c>
      <c r="V794" s="4">
        <v>24.31</v>
      </c>
      <c r="W794" s="4">
        <v>0</v>
      </c>
      <c r="X794" s="4">
        <v>0</v>
      </c>
      <c r="Y794" s="4">
        <v>27.784764762164471</v>
      </c>
      <c r="Z794" s="4"/>
      <c r="AA794" s="4"/>
      <c r="AB794" s="4">
        <v>355851.7905281625</v>
      </c>
      <c r="AC794" s="4">
        <v>0</v>
      </c>
      <c r="AD794" s="4">
        <v>0</v>
      </c>
      <c r="AE794" s="4">
        <v>406715.68449280225</v>
      </c>
      <c r="AF794" s="4">
        <v>0</v>
      </c>
      <c r="AG794" s="4">
        <v>0</v>
      </c>
    </row>
    <row r="795" spans="1:33" ht="11.25" customHeight="1" x14ac:dyDescent="0.25">
      <c r="A795" s="3" t="s">
        <v>21</v>
      </c>
      <c r="B795" s="3" t="s">
        <v>41</v>
      </c>
      <c r="C795" s="3" t="s">
        <v>42</v>
      </c>
      <c r="D795" s="3" t="s">
        <v>38</v>
      </c>
      <c r="E795" s="3" t="s">
        <v>25</v>
      </c>
      <c r="F795" s="3" t="s">
        <v>60</v>
      </c>
      <c r="G795" s="3" t="s">
        <v>25</v>
      </c>
      <c r="H795" s="3" t="s">
        <v>34</v>
      </c>
      <c r="I795" s="6">
        <v>44287</v>
      </c>
      <c r="J795" s="4">
        <v>0</v>
      </c>
      <c r="K795" s="4">
        <v>0</v>
      </c>
      <c r="L795" s="4">
        <v>580.53499999999997</v>
      </c>
      <c r="M795" s="4">
        <v>285.9499915408</v>
      </c>
      <c r="N795" s="4">
        <v>0</v>
      </c>
      <c r="O795" s="4">
        <v>0</v>
      </c>
      <c r="P795" s="4">
        <v>0</v>
      </c>
      <c r="Q795" s="3" t="s">
        <v>57</v>
      </c>
      <c r="R795" s="3">
        <v>0</v>
      </c>
      <c r="S795" s="4">
        <v>0</v>
      </c>
      <c r="T795" s="4">
        <v>20</v>
      </c>
      <c r="U795" s="4">
        <v>0</v>
      </c>
      <c r="V795" s="4">
        <v>0</v>
      </c>
      <c r="W795" s="4">
        <v>1564.59</v>
      </c>
      <c r="X795" s="4">
        <v>0</v>
      </c>
      <c r="Y795" s="4"/>
      <c r="Z795" s="4">
        <v>1923.7175020527629</v>
      </c>
      <c r="AA795" s="4"/>
      <c r="AB795" s="4">
        <v>0</v>
      </c>
      <c r="AC795" s="4">
        <v>447394.49726482027</v>
      </c>
      <c r="AD795" s="4">
        <v>0</v>
      </c>
      <c r="AE795" s="4">
        <v>0</v>
      </c>
      <c r="AF795" s="4">
        <v>550087.00343887648</v>
      </c>
      <c r="AG795" s="4">
        <v>0</v>
      </c>
    </row>
    <row r="796" spans="1:33" ht="11.25" customHeight="1" x14ac:dyDescent="0.25">
      <c r="A796" s="3" t="s">
        <v>21</v>
      </c>
      <c r="B796" s="3" t="s">
        <v>41</v>
      </c>
      <c r="C796" s="3" t="s">
        <v>42</v>
      </c>
      <c r="D796" s="3" t="s">
        <v>38</v>
      </c>
      <c r="E796" s="3" t="s">
        <v>25</v>
      </c>
      <c r="F796" s="3" t="s">
        <v>60</v>
      </c>
      <c r="G796" s="3" t="s">
        <v>25</v>
      </c>
      <c r="H796" s="3" t="s">
        <v>34</v>
      </c>
      <c r="I796" s="6">
        <v>44317</v>
      </c>
      <c r="J796" s="4">
        <v>0</v>
      </c>
      <c r="K796" s="4">
        <v>0</v>
      </c>
      <c r="L796" s="4">
        <v>489.67399999999998</v>
      </c>
      <c r="M796" s="4">
        <v>254.90256246135999</v>
      </c>
      <c r="N796" s="4">
        <v>0</v>
      </c>
      <c r="O796" s="4">
        <v>0</v>
      </c>
      <c r="P796" s="4">
        <v>0</v>
      </c>
      <c r="Q796" s="3" t="s">
        <v>57</v>
      </c>
      <c r="R796" s="3">
        <v>0</v>
      </c>
      <c r="S796" s="4">
        <v>0</v>
      </c>
      <c r="T796" s="4">
        <v>20</v>
      </c>
      <c r="U796" s="4">
        <v>0</v>
      </c>
      <c r="V796" s="4">
        <v>0</v>
      </c>
      <c r="W796" s="4">
        <v>1564.59</v>
      </c>
      <c r="X796" s="4">
        <v>0</v>
      </c>
      <c r="Y796" s="4"/>
      <c r="Z796" s="4">
        <v>1923.7175020527629</v>
      </c>
      <c r="AA796" s="4"/>
      <c r="AB796" s="4">
        <v>0</v>
      </c>
      <c r="AC796" s="4">
        <v>398818.00020141923</v>
      </c>
      <c r="AD796" s="4">
        <v>0</v>
      </c>
      <c r="AE796" s="4">
        <v>0</v>
      </c>
      <c r="AF796" s="4">
        <v>490360.52072501584</v>
      </c>
      <c r="AG796" s="4">
        <v>0</v>
      </c>
    </row>
    <row r="797" spans="1:33" ht="11.25" customHeight="1" x14ac:dyDescent="0.25">
      <c r="A797" s="3" t="s">
        <v>21</v>
      </c>
      <c r="B797" s="3" t="s">
        <v>41</v>
      </c>
      <c r="C797" s="3" t="s">
        <v>42</v>
      </c>
      <c r="D797" s="3" t="s">
        <v>38</v>
      </c>
      <c r="E797" s="3" t="s">
        <v>25</v>
      </c>
      <c r="F797" s="3" t="s">
        <v>60</v>
      </c>
      <c r="G797" s="3" t="s">
        <v>25</v>
      </c>
      <c r="H797" s="3" t="s">
        <v>34</v>
      </c>
      <c r="I797" s="6">
        <v>44348</v>
      </c>
      <c r="J797" s="4">
        <v>0</v>
      </c>
      <c r="K797" s="4">
        <v>0</v>
      </c>
      <c r="L797" s="4">
        <v>470.584</v>
      </c>
      <c r="M797" s="4">
        <v>230.80871329112</v>
      </c>
      <c r="N797" s="4">
        <v>0</v>
      </c>
      <c r="O797" s="4">
        <v>0</v>
      </c>
      <c r="P797" s="4">
        <v>0</v>
      </c>
      <c r="Q797" s="3" t="s">
        <v>57</v>
      </c>
      <c r="R797" s="3">
        <v>0</v>
      </c>
      <c r="S797" s="4">
        <v>0</v>
      </c>
      <c r="T797" s="4">
        <v>20</v>
      </c>
      <c r="U797" s="4">
        <v>0</v>
      </c>
      <c r="V797" s="4">
        <v>0</v>
      </c>
      <c r="W797" s="4">
        <v>1564.59</v>
      </c>
      <c r="X797" s="4">
        <v>0</v>
      </c>
      <c r="Y797" s="4"/>
      <c r="Z797" s="4">
        <v>1923.7175020527629</v>
      </c>
      <c r="AA797" s="4"/>
      <c r="AB797" s="4">
        <v>0</v>
      </c>
      <c r="AC797" s="4">
        <v>361121.00472815341</v>
      </c>
      <c r="AD797" s="4">
        <v>0</v>
      </c>
      <c r="AE797" s="4">
        <v>0</v>
      </c>
      <c r="AF797" s="4">
        <v>444010.76138440572</v>
      </c>
      <c r="AG797" s="4">
        <v>0</v>
      </c>
    </row>
    <row r="798" spans="1:33" ht="11.25" customHeight="1" x14ac:dyDescent="0.25">
      <c r="A798" s="3" t="s">
        <v>21</v>
      </c>
      <c r="B798" s="3" t="s">
        <v>41</v>
      </c>
      <c r="C798" s="3" t="s">
        <v>42</v>
      </c>
      <c r="D798" s="3" t="s">
        <v>38</v>
      </c>
      <c r="E798" s="3" t="s">
        <v>25</v>
      </c>
      <c r="F798" s="3" t="s">
        <v>60</v>
      </c>
      <c r="G798" s="3" t="s">
        <v>25</v>
      </c>
      <c r="H798" s="3" t="s">
        <v>34</v>
      </c>
      <c r="I798" s="6">
        <v>44378</v>
      </c>
      <c r="J798" s="4">
        <v>0</v>
      </c>
      <c r="K798" s="4">
        <v>0</v>
      </c>
      <c r="L798" s="4">
        <v>489.572</v>
      </c>
      <c r="M798" s="4">
        <v>232.17391540060001</v>
      </c>
      <c r="N798" s="4">
        <v>0</v>
      </c>
      <c r="O798" s="4">
        <v>0</v>
      </c>
      <c r="P798" s="4">
        <v>0</v>
      </c>
      <c r="Q798" s="3" t="s">
        <v>57</v>
      </c>
      <c r="R798" s="3">
        <v>0</v>
      </c>
      <c r="S798" s="4">
        <v>0</v>
      </c>
      <c r="T798" s="4">
        <v>20</v>
      </c>
      <c r="U798" s="4">
        <v>0</v>
      </c>
      <c r="V798" s="4">
        <v>0</v>
      </c>
      <c r="W798" s="4">
        <v>1564.59</v>
      </c>
      <c r="X798" s="4">
        <v>0</v>
      </c>
      <c r="Y798" s="4"/>
      <c r="Z798" s="4">
        <v>1923.7175020527629</v>
      </c>
      <c r="AA798" s="4"/>
      <c r="AB798" s="4">
        <v>0</v>
      </c>
      <c r="AC798" s="4">
        <v>363256.98629662476</v>
      </c>
      <c r="AD798" s="4">
        <v>0</v>
      </c>
      <c r="AE798" s="4">
        <v>0</v>
      </c>
      <c r="AF798" s="4">
        <v>446637.02457625174</v>
      </c>
      <c r="AG798" s="4">
        <v>0</v>
      </c>
    </row>
    <row r="799" spans="1:33" ht="11.25" customHeight="1" x14ac:dyDescent="0.25">
      <c r="A799" s="3" t="s">
        <v>21</v>
      </c>
      <c r="B799" s="3" t="s">
        <v>41</v>
      </c>
      <c r="C799" s="3" t="s">
        <v>42</v>
      </c>
      <c r="D799" s="3" t="s">
        <v>38</v>
      </c>
      <c r="E799" s="3" t="s">
        <v>25</v>
      </c>
      <c r="F799" s="3" t="s">
        <v>60</v>
      </c>
      <c r="G799" s="3" t="s">
        <v>25</v>
      </c>
      <c r="H799" s="3" t="s">
        <v>34</v>
      </c>
      <c r="I799" s="6">
        <v>44409</v>
      </c>
      <c r="J799" s="4">
        <v>0</v>
      </c>
      <c r="K799" s="4">
        <v>0</v>
      </c>
      <c r="L799" s="4">
        <v>543.85400000000004</v>
      </c>
      <c r="M799" s="4">
        <v>262.91474641913999</v>
      </c>
      <c r="N799" s="4">
        <v>0</v>
      </c>
      <c r="O799" s="4">
        <v>0</v>
      </c>
      <c r="P799" s="4">
        <v>0</v>
      </c>
      <c r="Q799" s="3" t="s">
        <v>57</v>
      </c>
      <c r="R799" s="3">
        <v>0</v>
      </c>
      <c r="S799" s="4">
        <v>0</v>
      </c>
      <c r="T799" s="4">
        <v>20</v>
      </c>
      <c r="U799" s="4">
        <v>0</v>
      </c>
      <c r="V799" s="4">
        <v>0</v>
      </c>
      <c r="W799" s="4">
        <v>1564.59</v>
      </c>
      <c r="X799" s="4">
        <v>0</v>
      </c>
      <c r="Y799" s="4"/>
      <c r="Z799" s="4">
        <v>1923.7175020527629</v>
      </c>
      <c r="AA799" s="4"/>
      <c r="AB799" s="4">
        <v>0</v>
      </c>
      <c r="AC799" s="4">
        <v>411353.78309992224</v>
      </c>
      <c r="AD799" s="4">
        <v>0</v>
      </c>
      <c r="AE799" s="4">
        <v>0</v>
      </c>
      <c r="AF799" s="4">
        <v>505773.69923426356</v>
      </c>
      <c r="AG799" s="4">
        <v>0</v>
      </c>
    </row>
    <row r="800" spans="1:33" ht="11.25" customHeight="1" x14ac:dyDescent="0.25">
      <c r="A800" s="3" t="s">
        <v>21</v>
      </c>
      <c r="B800" s="3" t="s">
        <v>41</v>
      </c>
      <c r="C800" s="3" t="s">
        <v>42</v>
      </c>
      <c r="D800" s="3" t="s">
        <v>38</v>
      </c>
      <c r="E800" s="3" t="s">
        <v>25</v>
      </c>
      <c r="F800" s="3" t="s">
        <v>60</v>
      </c>
      <c r="G800" s="3" t="s">
        <v>25</v>
      </c>
      <c r="H800" s="3" t="s">
        <v>34</v>
      </c>
      <c r="I800" s="6">
        <v>44440</v>
      </c>
      <c r="J800" s="4">
        <v>0</v>
      </c>
      <c r="K800" s="4">
        <v>0</v>
      </c>
      <c r="L800" s="4">
        <v>632.55899999999997</v>
      </c>
      <c r="M800" s="4">
        <v>305.00095405322998</v>
      </c>
      <c r="N800" s="4">
        <v>0</v>
      </c>
      <c r="O800" s="4">
        <v>0</v>
      </c>
      <c r="P800" s="4">
        <v>0</v>
      </c>
      <c r="Q800" s="3" t="s">
        <v>57</v>
      </c>
      <c r="R800" s="3">
        <v>0</v>
      </c>
      <c r="S800" s="4">
        <v>0</v>
      </c>
      <c r="T800" s="4">
        <v>20</v>
      </c>
      <c r="U800" s="4">
        <v>0</v>
      </c>
      <c r="V800" s="4">
        <v>0</v>
      </c>
      <c r="W800" s="4">
        <v>1564.59</v>
      </c>
      <c r="X800" s="4">
        <v>0</v>
      </c>
      <c r="Y800" s="4"/>
      <c r="Z800" s="4">
        <v>1923.7175020527629</v>
      </c>
      <c r="AA800" s="4"/>
      <c r="AB800" s="4">
        <v>0</v>
      </c>
      <c r="AC800" s="4">
        <v>477201.44270214305</v>
      </c>
      <c r="AD800" s="4">
        <v>0</v>
      </c>
      <c r="AE800" s="4">
        <v>0</v>
      </c>
      <c r="AF800" s="4">
        <v>586735.6734549891</v>
      </c>
      <c r="AG800" s="4">
        <v>0</v>
      </c>
    </row>
    <row r="801" spans="1:33" ht="11.25" customHeight="1" x14ac:dyDescent="0.25">
      <c r="A801" s="3" t="s">
        <v>21</v>
      </c>
      <c r="B801" s="3" t="s">
        <v>41</v>
      </c>
      <c r="C801" s="3" t="s">
        <v>42</v>
      </c>
      <c r="D801" s="3" t="s">
        <v>38</v>
      </c>
      <c r="E801" s="3" t="s">
        <v>25</v>
      </c>
      <c r="F801" s="3" t="s">
        <v>60</v>
      </c>
      <c r="G801" s="3" t="s">
        <v>25</v>
      </c>
      <c r="H801" s="3" t="s">
        <v>34</v>
      </c>
      <c r="I801" s="6">
        <v>44470</v>
      </c>
      <c r="J801" s="4">
        <v>0</v>
      </c>
      <c r="K801" s="4">
        <v>0</v>
      </c>
      <c r="L801" s="4">
        <v>622.37099999999998</v>
      </c>
      <c r="M801" s="4">
        <v>294.65512708128</v>
      </c>
      <c r="N801" s="4">
        <v>0</v>
      </c>
      <c r="O801" s="4">
        <v>0</v>
      </c>
      <c r="P801" s="4">
        <v>0</v>
      </c>
      <c r="Q801" s="3" t="s">
        <v>57</v>
      </c>
      <c r="R801" s="3">
        <v>0</v>
      </c>
      <c r="S801" s="4">
        <v>0</v>
      </c>
      <c r="T801" s="4">
        <v>20</v>
      </c>
      <c r="U801" s="4">
        <v>0</v>
      </c>
      <c r="V801" s="4">
        <v>0</v>
      </c>
      <c r="W801" s="4">
        <v>1564.59</v>
      </c>
      <c r="X801" s="4">
        <v>0</v>
      </c>
      <c r="Y801" s="4"/>
      <c r="Z801" s="4">
        <v>1923.7175020527629</v>
      </c>
      <c r="AA801" s="4"/>
      <c r="AB801" s="4">
        <v>0</v>
      </c>
      <c r="AC801" s="4">
        <v>461014.46528009983</v>
      </c>
      <c r="AD801" s="4">
        <v>0</v>
      </c>
      <c r="AE801" s="4">
        <v>0</v>
      </c>
      <c r="AF801" s="4">
        <v>566833.22503583936</v>
      </c>
      <c r="AG801" s="4">
        <v>0</v>
      </c>
    </row>
    <row r="802" spans="1:33" ht="11.25" customHeight="1" x14ac:dyDescent="0.25">
      <c r="A802" s="3" t="s">
        <v>21</v>
      </c>
      <c r="B802" s="3" t="s">
        <v>41</v>
      </c>
      <c r="C802" s="3" t="s">
        <v>42</v>
      </c>
      <c r="D802" s="3" t="s">
        <v>38</v>
      </c>
      <c r="E802" s="3" t="s">
        <v>25</v>
      </c>
      <c r="F802" s="3" t="s">
        <v>60</v>
      </c>
      <c r="G802" s="3" t="s">
        <v>25</v>
      </c>
      <c r="H802" s="3" t="s">
        <v>34</v>
      </c>
      <c r="I802" s="6">
        <v>44501</v>
      </c>
      <c r="J802" s="4">
        <v>0</v>
      </c>
      <c r="K802" s="4">
        <v>0</v>
      </c>
      <c r="L802" s="4">
        <v>630.06799999999998</v>
      </c>
      <c r="M802" s="4">
        <v>301.98059141272</v>
      </c>
      <c r="N802" s="4">
        <v>0</v>
      </c>
      <c r="O802" s="4">
        <v>0</v>
      </c>
      <c r="P802" s="4">
        <v>0</v>
      </c>
      <c r="Q802" s="3" t="s">
        <v>57</v>
      </c>
      <c r="R802" s="3">
        <v>0</v>
      </c>
      <c r="S802" s="4">
        <v>0</v>
      </c>
      <c r="T802" s="4">
        <v>20</v>
      </c>
      <c r="U802" s="4">
        <v>0</v>
      </c>
      <c r="V802" s="4">
        <v>0</v>
      </c>
      <c r="W802" s="4">
        <v>1564.59</v>
      </c>
      <c r="X802" s="4">
        <v>0</v>
      </c>
      <c r="Y802" s="4"/>
      <c r="Z802" s="4">
        <v>1923.7175020527629</v>
      </c>
      <c r="AA802" s="4"/>
      <c r="AB802" s="4">
        <v>0</v>
      </c>
      <c r="AC802" s="4">
        <v>472475.81351842755</v>
      </c>
      <c r="AD802" s="4">
        <v>0</v>
      </c>
      <c r="AE802" s="4">
        <v>0</v>
      </c>
      <c r="AF802" s="4">
        <v>580925.34898089373</v>
      </c>
      <c r="AG802" s="4">
        <v>0</v>
      </c>
    </row>
    <row r="803" spans="1:33" ht="11.25" customHeight="1" x14ac:dyDescent="0.25">
      <c r="A803" s="3" t="s">
        <v>21</v>
      </c>
      <c r="B803" s="3" t="s">
        <v>41</v>
      </c>
      <c r="C803" s="3" t="s">
        <v>42</v>
      </c>
      <c r="D803" s="3" t="s">
        <v>38</v>
      </c>
      <c r="E803" s="3" t="s">
        <v>25</v>
      </c>
      <c r="F803" s="3" t="s">
        <v>60</v>
      </c>
      <c r="G803" s="3" t="s">
        <v>25</v>
      </c>
      <c r="H803" s="3" t="s">
        <v>34</v>
      </c>
      <c r="I803" s="6">
        <v>44531</v>
      </c>
      <c r="J803" s="4">
        <v>0</v>
      </c>
      <c r="K803" s="4">
        <v>0</v>
      </c>
      <c r="L803" s="4">
        <v>664.03300000000002</v>
      </c>
      <c r="M803" s="4">
        <v>319.95319841823999</v>
      </c>
      <c r="N803" s="4">
        <v>0</v>
      </c>
      <c r="O803" s="4">
        <v>0</v>
      </c>
      <c r="P803" s="4">
        <v>0</v>
      </c>
      <c r="Q803" s="3" t="s">
        <v>57</v>
      </c>
      <c r="R803" s="3">
        <v>0</v>
      </c>
      <c r="S803" s="4">
        <v>0</v>
      </c>
      <c r="T803" s="4">
        <v>20</v>
      </c>
      <c r="U803" s="4">
        <v>0</v>
      </c>
      <c r="V803" s="4">
        <v>0</v>
      </c>
      <c r="W803" s="4">
        <v>1564.59</v>
      </c>
      <c r="X803" s="4">
        <v>0</v>
      </c>
      <c r="Y803" s="4"/>
      <c r="Z803" s="4">
        <v>1923.7175020527629</v>
      </c>
      <c r="AA803" s="4"/>
      <c r="AB803" s="4">
        <v>0</v>
      </c>
      <c r="AC803" s="4">
        <v>500595.5747131941</v>
      </c>
      <c r="AD803" s="4">
        <v>0</v>
      </c>
      <c r="AE803" s="4">
        <v>0</v>
      </c>
      <c r="AF803" s="4">
        <v>615499.56763492862</v>
      </c>
      <c r="AG803" s="4">
        <v>0</v>
      </c>
    </row>
    <row r="804" spans="1:33" ht="11.25" customHeight="1" x14ac:dyDescent="0.25">
      <c r="A804" s="3" t="s">
        <v>21</v>
      </c>
      <c r="B804" s="3" t="s">
        <v>41</v>
      </c>
      <c r="C804" s="3" t="s">
        <v>42</v>
      </c>
      <c r="D804" s="3" t="s">
        <v>38</v>
      </c>
      <c r="E804" s="3" t="s">
        <v>25</v>
      </c>
      <c r="F804" s="3" t="s">
        <v>60</v>
      </c>
      <c r="G804" s="3" t="s">
        <v>25</v>
      </c>
      <c r="H804" s="3" t="s">
        <v>34</v>
      </c>
      <c r="I804" s="6">
        <v>44562</v>
      </c>
      <c r="J804" s="4">
        <v>0</v>
      </c>
      <c r="K804" s="4">
        <v>0</v>
      </c>
      <c r="L804" s="4">
        <v>801.87300000000005</v>
      </c>
      <c r="M804" s="4">
        <v>386.74991523987001</v>
      </c>
      <c r="N804" s="4">
        <v>0</v>
      </c>
      <c r="O804" s="4">
        <v>0</v>
      </c>
      <c r="P804" s="4">
        <v>0</v>
      </c>
      <c r="Q804" s="3" t="s">
        <v>57</v>
      </c>
      <c r="R804" s="3">
        <v>0</v>
      </c>
      <c r="S804" s="4">
        <v>0</v>
      </c>
      <c r="T804" s="4">
        <v>20</v>
      </c>
      <c r="U804" s="4">
        <v>0</v>
      </c>
      <c r="V804" s="4">
        <v>0</v>
      </c>
      <c r="W804" s="4">
        <v>1564.59</v>
      </c>
      <c r="X804" s="4">
        <v>0</v>
      </c>
      <c r="Y804" s="4"/>
      <c r="Z804" s="4">
        <v>1923.7175020527629</v>
      </c>
      <c r="AA804" s="4"/>
      <c r="AB804" s="4">
        <v>0</v>
      </c>
      <c r="AC804" s="4">
        <v>605105.04988514818</v>
      </c>
      <c r="AD804" s="4">
        <v>0</v>
      </c>
      <c r="AE804" s="4">
        <v>0</v>
      </c>
      <c r="AF804" s="4">
        <v>743997.58086436056</v>
      </c>
      <c r="AG804" s="4">
        <v>0</v>
      </c>
    </row>
    <row r="805" spans="1:33" ht="11.25" customHeight="1" x14ac:dyDescent="0.25">
      <c r="A805" s="3" t="s">
        <v>21</v>
      </c>
      <c r="B805" s="3" t="s">
        <v>41</v>
      </c>
      <c r="C805" s="3" t="s">
        <v>42</v>
      </c>
      <c r="D805" s="3" t="s">
        <v>38</v>
      </c>
      <c r="E805" s="3" t="s">
        <v>25</v>
      </c>
      <c r="F805" s="3" t="s">
        <v>60</v>
      </c>
      <c r="G805" s="3" t="s">
        <v>25</v>
      </c>
      <c r="H805" s="3" t="s">
        <v>34</v>
      </c>
      <c r="I805" s="6">
        <v>44593</v>
      </c>
      <c r="J805" s="4">
        <v>0</v>
      </c>
      <c r="K805" s="4">
        <v>0</v>
      </c>
      <c r="L805" s="4">
        <v>728.64200000000005</v>
      </c>
      <c r="M805" s="4">
        <v>350.08695667073999</v>
      </c>
      <c r="N805" s="4">
        <v>0</v>
      </c>
      <c r="O805" s="4">
        <v>0</v>
      </c>
      <c r="P805" s="4">
        <v>0</v>
      </c>
      <c r="Q805" s="3" t="s">
        <v>57</v>
      </c>
      <c r="R805" s="3">
        <v>0</v>
      </c>
      <c r="S805" s="4">
        <v>0</v>
      </c>
      <c r="T805" s="4">
        <v>20</v>
      </c>
      <c r="U805" s="4">
        <v>0</v>
      </c>
      <c r="V805" s="4">
        <v>0</v>
      </c>
      <c r="W805" s="4">
        <v>1564.59</v>
      </c>
      <c r="X805" s="4">
        <v>0</v>
      </c>
      <c r="Y805" s="4"/>
      <c r="Z805" s="4">
        <v>1923.7175020527629</v>
      </c>
      <c r="AA805" s="4"/>
      <c r="AB805" s="4">
        <v>0</v>
      </c>
      <c r="AC805" s="4">
        <v>547742.5515374731</v>
      </c>
      <c r="AD805" s="4">
        <v>0</v>
      </c>
      <c r="AE805" s="4">
        <v>0</v>
      </c>
      <c r="AF805" s="4">
        <v>673468.40578788985</v>
      </c>
      <c r="AG805" s="4">
        <v>0</v>
      </c>
    </row>
    <row r="806" spans="1:33" ht="11.25" customHeight="1" x14ac:dyDescent="0.25">
      <c r="A806" s="3" t="s">
        <v>56</v>
      </c>
      <c r="B806" s="3" t="s">
        <v>41</v>
      </c>
      <c r="C806" s="3" t="s">
        <v>42</v>
      </c>
      <c r="D806" s="3" t="s">
        <v>38</v>
      </c>
      <c r="E806" s="3" t="s">
        <v>25</v>
      </c>
      <c r="F806" s="3" t="s">
        <v>60</v>
      </c>
      <c r="G806" s="3" t="s">
        <v>25</v>
      </c>
      <c r="H806" s="3" t="s">
        <v>34</v>
      </c>
      <c r="I806" s="6">
        <v>44621</v>
      </c>
      <c r="J806" s="4">
        <v>0</v>
      </c>
      <c r="K806" s="4">
        <v>0</v>
      </c>
      <c r="L806" s="4">
        <v>728.64200000000005</v>
      </c>
      <c r="M806" s="4">
        <v>350.08695667073999</v>
      </c>
      <c r="N806" s="4">
        <v>0</v>
      </c>
      <c r="O806" s="4">
        <v>0</v>
      </c>
      <c r="P806" s="4">
        <v>0</v>
      </c>
      <c r="Q806" s="3" t="s">
        <v>57</v>
      </c>
      <c r="R806" s="3">
        <v>0</v>
      </c>
      <c r="S806" s="4">
        <v>0</v>
      </c>
      <c r="T806" s="4">
        <v>20</v>
      </c>
      <c r="U806" s="4">
        <v>0</v>
      </c>
      <c r="V806" s="4">
        <v>0</v>
      </c>
      <c r="W806" s="4">
        <v>1564.59</v>
      </c>
      <c r="X806" s="4">
        <v>0</v>
      </c>
      <c r="Y806" s="4"/>
      <c r="Z806" s="4">
        <v>1923.7175020527629</v>
      </c>
      <c r="AA806" s="4"/>
      <c r="AB806" s="4">
        <v>0</v>
      </c>
      <c r="AC806" s="4">
        <v>547742.5515374731</v>
      </c>
      <c r="AD806" s="4">
        <v>0</v>
      </c>
      <c r="AE806" s="4">
        <v>0</v>
      </c>
      <c r="AF806" s="4">
        <v>673468.40578788985</v>
      </c>
      <c r="AG806" s="4">
        <v>0</v>
      </c>
    </row>
    <row r="807" spans="1:33" ht="11.25" customHeight="1" x14ac:dyDescent="0.25">
      <c r="A807" s="3" t="s">
        <v>21</v>
      </c>
      <c r="B807" s="3" t="s">
        <v>41</v>
      </c>
      <c r="C807" s="3" t="s">
        <v>42</v>
      </c>
      <c r="D807" s="3" t="s">
        <v>38</v>
      </c>
      <c r="E807" s="3" t="s">
        <v>25</v>
      </c>
      <c r="F807" s="3" t="s">
        <v>25</v>
      </c>
      <c r="G807" s="3" t="s">
        <v>25</v>
      </c>
      <c r="H807" s="3" t="s">
        <v>35</v>
      </c>
      <c r="I807" s="6">
        <v>44287</v>
      </c>
      <c r="J807" s="4">
        <v>0</v>
      </c>
      <c r="K807" s="4">
        <v>0</v>
      </c>
      <c r="L807" s="4">
        <v>7952.6130000000003</v>
      </c>
      <c r="M807" s="4">
        <v>7952.6130000000003</v>
      </c>
      <c r="N807" s="4">
        <v>7952.6130000000003</v>
      </c>
      <c r="O807" s="4">
        <v>7952.6130000000003</v>
      </c>
      <c r="P807" s="4">
        <v>0</v>
      </c>
      <c r="Q807" s="3" t="s">
        <v>26</v>
      </c>
      <c r="R807" s="3">
        <v>0</v>
      </c>
      <c r="S807" s="4">
        <v>0</v>
      </c>
      <c r="T807" s="4">
        <v>21</v>
      </c>
      <c r="U807" s="4">
        <v>89</v>
      </c>
      <c r="V807" s="4">
        <v>0</v>
      </c>
      <c r="W807" s="4">
        <v>51.27</v>
      </c>
      <c r="X807" s="4">
        <v>222.31</v>
      </c>
      <c r="Y807" s="4"/>
      <c r="Z807" s="4">
        <v>68.100184485116927</v>
      </c>
      <c r="AA807" s="4">
        <v>235.31351552243123</v>
      </c>
      <c r="AB807" s="4">
        <v>0</v>
      </c>
      <c r="AC807" s="4">
        <v>407730.46851000004</v>
      </c>
      <c r="AD807" s="4">
        <v>1767945.3960300002</v>
      </c>
      <c r="AE807" s="4">
        <v>0</v>
      </c>
      <c r="AF807" s="4">
        <v>541574.41243873921</v>
      </c>
      <c r="AG807" s="4">
        <v>1871357.3226193886</v>
      </c>
    </row>
    <row r="808" spans="1:33" ht="11.25" customHeight="1" x14ac:dyDescent="0.25">
      <c r="A808" s="3" t="s">
        <v>28</v>
      </c>
      <c r="B808" s="3" t="s">
        <v>41</v>
      </c>
      <c r="C808" s="3" t="s">
        <v>42</v>
      </c>
      <c r="D808" s="3" t="s">
        <v>38</v>
      </c>
      <c r="E808" s="3" t="s">
        <v>25</v>
      </c>
      <c r="F808" s="3" t="s">
        <v>25</v>
      </c>
      <c r="G808" s="3" t="s">
        <v>25</v>
      </c>
      <c r="H808" s="3" t="s">
        <v>35</v>
      </c>
      <c r="I808" s="6">
        <v>44287</v>
      </c>
      <c r="J808" s="4">
        <v>0</v>
      </c>
      <c r="K808" s="4">
        <v>0</v>
      </c>
      <c r="L808" s="4">
        <v>112.02</v>
      </c>
      <c r="M808" s="4">
        <v>112.02</v>
      </c>
      <c r="N808" s="4">
        <v>112.02</v>
      </c>
      <c r="O808" s="4">
        <v>112.02</v>
      </c>
      <c r="P808" s="4">
        <v>0</v>
      </c>
      <c r="Q808" s="3" t="s">
        <v>26</v>
      </c>
      <c r="R808" s="3">
        <v>0</v>
      </c>
      <c r="S808" s="4">
        <v>0</v>
      </c>
      <c r="T808" s="4">
        <v>21</v>
      </c>
      <c r="U808" s="4">
        <v>89</v>
      </c>
      <c r="V808" s="4">
        <v>0</v>
      </c>
      <c r="W808" s="4">
        <v>51.27</v>
      </c>
      <c r="X808" s="4">
        <v>222.31</v>
      </c>
      <c r="Y808" s="4"/>
      <c r="Z808" s="4">
        <v>68.100184485116927</v>
      </c>
      <c r="AA808" s="4">
        <v>235.31351552243123</v>
      </c>
      <c r="AB808" s="4">
        <v>0</v>
      </c>
      <c r="AC808" s="4">
        <v>5743.2654000000002</v>
      </c>
      <c r="AD808" s="4">
        <v>24903.1662</v>
      </c>
      <c r="AE808" s="4">
        <v>0</v>
      </c>
      <c r="AF808" s="4">
        <v>7628.5826660227976</v>
      </c>
      <c r="AG808" s="4">
        <v>26359.820008822746</v>
      </c>
    </row>
    <row r="809" spans="1:33" ht="11.25" customHeight="1" x14ac:dyDescent="0.25">
      <c r="A809" s="3" t="s">
        <v>21</v>
      </c>
      <c r="B809" s="3" t="s">
        <v>41</v>
      </c>
      <c r="C809" s="3" t="s">
        <v>42</v>
      </c>
      <c r="D809" s="3" t="s">
        <v>38</v>
      </c>
      <c r="E809" s="3" t="s">
        <v>25</v>
      </c>
      <c r="F809" s="3" t="s">
        <v>25</v>
      </c>
      <c r="G809" s="3" t="s">
        <v>25</v>
      </c>
      <c r="H809" s="3" t="s">
        <v>35</v>
      </c>
      <c r="I809" s="6">
        <v>44317</v>
      </c>
      <c r="J809" s="4">
        <v>0</v>
      </c>
      <c r="K809" s="4">
        <v>0</v>
      </c>
      <c r="L809" s="4">
        <v>7551.2939999999999</v>
      </c>
      <c r="M809" s="4">
        <v>7551.2939999999999</v>
      </c>
      <c r="N809" s="4">
        <v>7551.2939999999999</v>
      </c>
      <c r="O809" s="4">
        <v>7551.2939999999999</v>
      </c>
      <c r="P809" s="4">
        <v>0</v>
      </c>
      <c r="Q809" s="3" t="s">
        <v>26</v>
      </c>
      <c r="R809" s="3">
        <v>0</v>
      </c>
      <c r="S809" s="4">
        <v>0</v>
      </c>
      <c r="T809" s="4">
        <v>21</v>
      </c>
      <c r="U809" s="4">
        <v>89</v>
      </c>
      <c r="V809" s="4">
        <v>0</v>
      </c>
      <c r="W809" s="4">
        <v>51.27</v>
      </c>
      <c r="X809" s="4">
        <v>222.31</v>
      </c>
      <c r="Y809" s="4"/>
      <c r="Z809" s="4">
        <v>68.100184485116927</v>
      </c>
      <c r="AA809" s="4">
        <v>235.31351552243123</v>
      </c>
      <c r="AB809" s="4">
        <v>0</v>
      </c>
      <c r="AC809" s="4">
        <v>387154.84338000003</v>
      </c>
      <c r="AD809" s="4">
        <v>1678728.1691399999</v>
      </c>
      <c r="AE809" s="4">
        <v>0</v>
      </c>
      <c r="AF809" s="4">
        <v>514244.51450135652</v>
      </c>
      <c r="AG809" s="4">
        <v>1776921.5378834419</v>
      </c>
    </row>
    <row r="810" spans="1:33" ht="11.25" customHeight="1" x14ac:dyDescent="0.25">
      <c r="A810" s="3" t="s">
        <v>28</v>
      </c>
      <c r="B810" s="3" t="s">
        <v>41</v>
      </c>
      <c r="C810" s="3" t="s">
        <v>42</v>
      </c>
      <c r="D810" s="3" t="s">
        <v>38</v>
      </c>
      <c r="E810" s="3" t="s">
        <v>25</v>
      </c>
      <c r="F810" s="3" t="s">
        <v>25</v>
      </c>
      <c r="G810" s="3" t="s">
        <v>25</v>
      </c>
      <c r="H810" s="3" t="s">
        <v>35</v>
      </c>
      <c r="I810" s="6">
        <v>44317</v>
      </c>
      <c r="J810" s="4">
        <v>0</v>
      </c>
      <c r="K810" s="4">
        <v>0</v>
      </c>
      <c r="L810" s="4">
        <v>129.71199999999999</v>
      </c>
      <c r="M810" s="4">
        <v>129.71199999999999</v>
      </c>
      <c r="N810" s="4">
        <v>129.71199999999999</v>
      </c>
      <c r="O810" s="4">
        <v>129.71199999999999</v>
      </c>
      <c r="P810" s="4">
        <v>0</v>
      </c>
      <c r="Q810" s="3" t="s">
        <v>26</v>
      </c>
      <c r="R810" s="3">
        <v>0</v>
      </c>
      <c r="S810" s="4">
        <v>0</v>
      </c>
      <c r="T810" s="4">
        <v>21</v>
      </c>
      <c r="U810" s="4">
        <v>89</v>
      </c>
      <c r="V810" s="4">
        <v>0</v>
      </c>
      <c r="W810" s="4">
        <v>51.27</v>
      </c>
      <c r="X810" s="4">
        <v>222.31</v>
      </c>
      <c r="Y810" s="4"/>
      <c r="Z810" s="4">
        <v>68.100184485116927</v>
      </c>
      <c r="AA810" s="4">
        <v>235.31351552243123</v>
      </c>
      <c r="AB810" s="4">
        <v>0</v>
      </c>
      <c r="AC810" s="4">
        <v>6650.3342400000001</v>
      </c>
      <c r="AD810" s="4">
        <v>28836.274719999998</v>
      </c>
      <c r="AE810" s="4">
        <v>0</v>
      </c>
      <c r="AF810" s="4">
        <v>8833.4111299334854</v>
      </c>
      <c r="AG810" s="4">
        <v>30522.986725445597</v>
      </c>
    </row>
    <row r="811" spans="1:33" ht="11.25" customHeight="1" x14ac:dyDescent="0.25">
      <c r="A811" s="3" t="s">
        <v>28</v>
      </c>
      <c r="B811" s="3" t="s">
        <v>41</v>
      </c>
      <c r="C811" s="3" t="s">
        <v>42</v>
      </c>
      <c r="D811" s="3" t="s">
        <v>38</v>
      </c>
      <c r="E811" s="3" t="s">
        <v>25</v>
      </c>
      <c r="F811" s="3" t="s">
        <v>25</v>
      </c>
      <c r="G811" s="3" t="s">
        <v>25</v>
      </c>
      <c r="H811" s="3" t="s">
        <v>35</v>
      </c>
      <c r="I811" s="6">
        <v>44317</v>
      </c>
      <c r="J811" s="4">
        <v>0</v>
      </c>
      <c r="K811" s="4">
        <v>0</v>
      </c>
      <c r="L811" s="4">
        <v>-29.4</v>
      </c>
      <c r="M811" s="4">
        <v>-29.4</v>
      </c>
      <c r="N811" s="4">
        <v>-29.4</v>
      </c>
      <c r="O811" s="4">
        <v>-29.4</v>
      </c>
      <c r="P811" s="4">
        <v>0</v>
      </c>
      <c r="Q811" s="3" t="s">
        <v>26</v>
      </c>
      <c r="R811" s="3">
        <v>0</v>
      </c>
      <c r="S811" s="4">
        <v>0</v>
      </c>
      <c r="T811" s="4">
        <v>21</v>
      </c>
      <c r="U811" s="4">
        <v>89</v>
      </c>
      <c r="V811" s="4">
        <v>0</v>
      </c>
      <c r="W811" s="4">
        <v>51.27</v>
      </c>
      <c r="X811" s="4">
        <v>222.31</v>
      </c>
      <c r="Y811" s="4"/>
      <c r="Z811" s="4">
        <v>68.100184485116927</v>
      </c>
      <c r="AA811" s="4">
        <v>235.31351552243123</v>
      </c>
      <c r="AB811" s="4">
        <v>0</v>
      </c>
      <c r="AC811" s="4">
        <v>-1507.338</v>
      </c>
      <c r="AD811" s="4">
        <v>-6535.9139999999998</v>
      </c>
      <c r="AE811" s="4">
        <v>0</v>
      </c>
      <c r="AF811" s="4">
        <v>-2002.1454238624376</v>
      </c>
      <c r="AG811" s="4">
        <v>-6918.2173563594779</v>
      </c>
    </row>
    <row r="812" spans="1:33" ht="11.25" customHeight="1" x14ac:dyDescent="0.25">
      <c r="A812" s="3" t="s">
        <v>21</v>
      </c>
      <c r="B812" s="3" t="s">
        <v>41</v>
      </c>
      <c r="C812" s="3" t="s">
        <v>42</v>
      </c>
      <c r="D812" s="3" t="s">
        <v>38</v>
      </c>
      <c r="E812" s="3" t="s">
        <v>25</v>
      </c>
      <c r="F812" s="3" t="s">
        <v>25</v>
      </c>
      <c r="G812" s="3" t="s">
        <v>25</v>
      </c>
      <c r="H812" s="3" t="s">
        <v>35</v>
      </c>
      <c r="I812" s="6">
        <v>44348</v>
      </c>
      <c r="J812" s="4">
        <v>0</v>
      </c>
      <c r="K812" s="4">
        <v>0</v>
      </c>
      <c r="L812" s="4">
        <v>7172.6390000000001</v>
      </c>
      <c r="M812" s="4">
        <v>7172.6390000000001</v>
      </c>
      <c r="N812" s="4">
        <v>7172.6390000000001</v>
      </c>
      <c r="O812" s="4">
        <v>7172.6390000000001</v>
      </c>
      <c r="P812" s="4">
        <v>0</v>
      </c>
      <c r="Q812" s="3" t="s">
        <v>26</v>
      </c>
      <c r="R812" s="3">
        <v>0</v>
      </c>
      <c r="S812" s="4">
        <v>0</v>
      </c>
      <c r="T812" s="4">
        <v>21</v>
      </c>
      <c r="U812" s="4">
        <v>89</v>
      </c>
      <c r="V812" s="4">
        <v>0</v>
      </c>
      <c r="W812" s="4">
        <v>51.27</v>
      </c>
      <c r="X812" s="4">
        <v>222.31</v>
      </c>
      <c r="Y812" s="4"/>
      <c r="Z812" s="4">
        <v>68.100184485116927</v>
      </c>
      <c r="AA812" s="4">
        <v>235.31351552243123</v>
      </c>
      <c r="AB812" s="4">
        <v>0</v>
      </c>
      <c r="AC812" s="4">
        <v>367741.20153000002</v>
      </c>
      <c r="AD812" s="4">
        <v>1594549.3760900002</v>
      </c>
      <c r="AE812" s="4">
        <v>0</v>
      </c>
      <c r="AF812" s="4">
        <v>488458.03914514458</v>
      </c>
      <c r="AG812" s="4">
        <v>1687818.8986632957</v>
      </c>
    </row>
    <row r="813" spans="1:33" ht="11.25" customHeight="1" x14ac:dyDescent="0.25">
      <c r="A813" s="3" t="s">
        <v>28</v>
      </c>
      <c r="B813" s="3" t="s">
        <v>41</v>
      </c>
      <c r="C813" s="3" t="s">
        <v>42</v>
      </c>
      <c r="D813" s="3" t="s">
        <v>38</v>
      </c>
      <c r="E813" s="3" t="s">
        <v>25</v>
      </c>
      <c r="F813" s="3" t="s">
        <v>25</v>
      </c>
      <c r="G813" s="3" t="s">
        <v>25</v>
      </c>
      <c r="H813" s="3" t="s">
        <v>35</v>
      </c>
      <c r="I813" s="6">
        <v>44348</v>
      </c>
      <c r="J813" s="4">
        <v>0</v>
      </c>
      <c r="K813" s="4">
        <v>0</v>
      </c>
      <c r="L813" s="4">
        <v>152.55799999999999</v>
      </c>
      <c r="M813" s="4">
        <v>152.55799999999999</v>
      </c>
      <c r="N813" s="4">
        <v>152.55799999999999</v>
      </c>
      <c r="O813" s="4">
        <v>152.55799999999999</v>
      </c>
      <c r="P813" s="4">
        <v>0</v>
      </c>
      <c r="Q813" s="3" t="s">
        <v>26</v>
      </c>
      <c r="R813" s="3">
        <v>0</v>
      </c>
      <c r="S813" s="4">
        <v>0</v>
      </c>
      <c r="T813" s="4">
        <v>21</v>
      </c>
      <c r="U813" s="4">
        <v>89</v>
      </c>
      <c r="V813" s="4">
        <v>0</v>
      </c>
      <c r="W813" s="4">
        <v>51.27</v>
      </c>
      <c r="X813" s="4">
        <v>222.31</v>
      </c>
      <c r="Y813" s="4"/>
      <c r="Z813" s="4">
        <v>68.100184485116927</v>
      </c>
      <c r="AA813" s="4">
        <v>235.31351552243123</v>
      </c>
      <c r="AB813" s="4">
        <v>0</v>
      </c>
      <c r="AC813" s="4">
        <v>7821.6486599999998</v>
      </c>
      <c r="AD813" s="4">
        <v>33915.168980000002</v>
      </c>
      <c r="AE813" s="4">
        <v>0</v>
      </c>
      <c r="AF813" s="4">
        <v>10389.227944680468</v>
      </c>
      <c r="AG813" s="4">
        <v>35898.95930107106</v>
      </c>
    </row>
    <row r="814" spans="1:33" ht="11.25" customHeight="1" x14ac:dyDescent="0.25">
      <c r="A814" s="3" t="s">
        <v>21</v>
      </c>
      <c r="B814" s="3" t="s">
        <v>41</v>
      </c>
      <c r="C814" s="3" t="s">
        <v>42</v>
      </c>
      <c r="D814" s="3" t="s">
        <v>38</v>
      </c>
      <c r="E814" s="3" t="s">
        <v>25</v>
      </c>
      <c r="F814" s="3" t="s">
        <v>25</v>
      </c>
      <c r="G814" s="3" t="s">
        <v>25</v>
      </c>
      <c r="H814" s="3" t="s">
        <v>35</v>
      </c>
      <c r="I814" s="6">
        <v>44378</v>
      </c>
      <c r="J814" s="4">
        <v>0</v>
      </c>
      <c r="K814" s="4">
        <v>0</v>
      </c>
      <c r="L814" s="4">
        <v>7062.6909999999998</v>
      </c>
      <c r="M814" s="4">
        <v>7062.6909999999998</v>
      </c>
      <c r="N814" s="4">
        <v>7062.6909999999998</v>
      </c>
      <c r="O814" s="4">
        <v>7062.6909999999998</v>
      </c>
      <c r="P814" s="4">
        <v>0</v>
      </c>
      <c r="Q814" s="3" t="s">
        <v>26</v>
      </c>
      <c r="R814" s="3">
        <v>0</v>
      </c>
      <c r="S814" s="4">
        <v>0</v>
      </c>
      <c r="T814" s="4">
        <v>21</v>
      </c>
      <c r="U814" s="4">
        <v>89</v>
      </c>
      <c r="V814" s="4">
        <v>0</v>
      </c>
      <c r="W814" s="4">
        <v>51.27</v>
      </c>
      <c r="X814" s="4">
        <v>222.31</v>
      </c>
      <c r="Y814" s="4"/>
      <c r="Z814" s="4">
        <v>68.100184485116927</v>
      </c>
      <c r="AA814" s="4">
        <v>235.31351552243123</v>
      </c>
      <c r="AB814" s="4">
        <v>0</v>
      </c>
      <c r="AC814" s="4">
        <v>362104.16756999999</v>
      </c>
      <c r="AD814" s="4">
        <v>1570106.8362099999</v>
      </c>
      <c r="AE814" s="4">
        <v>0</v>
      </c>
      <c r="AF814" s="4">
        <v>480970.56006137491</v>
      </c>
      <c r="AG814" s="4">
        <v>1661946.6482586353</v>
      </c>
    </row>
    <row r="815" spans="1:33" ht="11.25" customHeight="1" x14ac:dyDescent="0.25">
      <c r="A815" s="3" t="s">
        <v>28</v>
      </c>
      <c r="B815" s="3" t="s">
        <v>41</v>
      </c>
      <c r="C815" s="3" t="s">
        <v>42</v>
      </c>
      <c r="D815" s="3" t="s">
        <v>38</v>
      </c>
      <c r="E815" s="3" t="s">
        <v>25</v>
      </c>
      <c r="F815" s="3" t="s">
        <v>25</v>
      </c>
      <c r="G815" s="3" t="s">
        <v>25</v>
      </c>
      <c r="H815" s="3" t="s">
        <v>35</v>
      </c>
      <c r="I815" s="6">
        <v>44378</v>
      </c>
      <c r="J815" s="4">
        <v>0</v>
      </c>
      <c r="K815" s="4">
        <v>0</v>
      </c>
      <c r="L815" s="4">
        <v>121.824</v>
      </c>
      <c r="M815" s="4">
        <v>121.824</v>
      </c>
      <c r="N815" s="4">
        <v>121.824</v>
      </c>
      <c r="O815" s="4">
        <v>121.824</v>
      </c>
      <c r="P815" s="4">
        <v>0</v>
      </c>
      <c r="Q815" s="3" t="s">
        <v>26</v>
      </c>
      <c r="R815" s="3">
        <v>0</v>
      </c>
      <c r="S815" s="4">
        <v>0</v>
      </c>
      <c r="T815" s="4">
        <v>21</v>
      </c>
      <c r="U815" s="4">
        <v>89</v>
      </c>
      <c r="V815" s="4">
        <v>0</v>
      </c>
      <c r="W815" s="4">
        <v>51.27</v>
      </c>
      <c r="X815" s="4">
        <v>222.31</v>
      </c>
      <c r="Y815" s="4"/>
      <c r="Z815" s="4">
        <v>68.100184485116927</v>
      </c>
      <c r="AA815" s="4">
        <v>235.31351552243123</v>
      </c>
      <c r="AB815" s="4">
        <v>0</v>
      </c>
      <c r="AC815" s="4">
        <v>6245.9164799999999</v>
      </c>
      <c r="AD815" s="4">
        <v>27082.693439999999</v>
      </c>
      <c r="AE815" s="4">
        <v>0</v>
      </c>
      <c r="AF815" s="4">
        <v>8296.2368747148848</v>
      </c>
      <c r="AG815" s="4">
        <v>28666.833715004661</v>
      </c>
    </row>
    <row r="816" spans="1:33" ht="11.25" customHeight="1" x14ac:dyDescent="0.25">
      <c r="A816" s="3" t="s">
        <v>21</v>
      </c>
      <c r="B816" s="3" t="s">
        <v>41</v>
      </c>
      <c r="C816" s="3" t="s">
        <v>42</v>
      </c>
      <c r="D816" s="3" t="s">
        <v>38</v>
      </c>
      <c r="E816" s="3" t="s">
        <v>25</v>
      </c>
      <c r="F816" s="3" t="s">
        <v>25</v>
      </c>
      <c r="G816" s="3" t="s">
        <v>25</v>
      </c>
      <c r="H816" s="3" t="s">
        <v>35</v>
      </c>
      <c r="I816" s="6">
        <v>44409</v>
      </c>
      <c r="J816" s="4">
        <v>0</v>
      </c>
      <c r="K816" s="4">
        <v>0</v>
      </c>
      <c r="L816" s="4">
        <v>7334.3069999999998</v>
      </c>
      <c r="M816" s="4">
        <v>7334.3069999999998</v>
      </c>
      <c r="N816" s="4">
        <v>7334.3069999999998</v>
      </c>
      <c r="O816" s="4">
        <v>7334.3069999999998</v>
      </c>
      <c r="P816" s="4">
        <v>0</v>
      </c>
      <c r="Q816" s="3" t="s">
        <v>26</v>
      </c>
      <c r="R816" s="3">
        <v>0</v>
      </c>
      <c r="S816" s="4">
        <v>0</v>
      </c>
      <c r="T816" s="4">
        <v>21</v>
      </c>
      <c r="U816" s="4">
        <v>89</v>
      </c>
      <c r="V816" s="4">
        <v>0</v>
      </c>
      <c r="W816" s="4">
        <v>51.27</v>
      </c>
      <c r="X816" s="4">
        <v>222.31</v>
      </c>
      <c r="Y816" s="4"/>
      <c r="Z816" s="4">
        <v>68.100184485116927</v>
      </c>
      <c r="AA816" s="4">
        <v>235.31351552243123</v>
      </c>
      <c r="AB816" s="4">
        <v>0</v>
      </c>
      <c r="AC816" s="4">
        <v>376029.91989000002</v>
      </c>
      <c r="AD816" s="4">
        <v>1630489.78917</v>
      </c>
      <c r="AE816" s="4">
        <v>0</v>
      </c>
      <c r="AF816" s="4">
        <v>499467.65977048443</v>
      </c>
      <c r="AG816" s="4">
        <v>1725861.564090776</v>
      </c>
    </row>
    <row r="817" spans="1:33" ht="11.25" customHeight="1" x14ac:dyDescent="0.25">
      <c r="A817" s="3" t="s">
        <v>28</v>
      </c>
      <c r="B817" s="3" t="s">
        <v>41</v>
      </c>
      <c r="C817" s="3" t="s">
        <v>42</v>
      </c>
      <c r="D817" s="3" t="s">
        <v>38</v>
      </c>
      <c r="E817" s="3" t="s">
        <v>25</v>
      </c>
      <c r="F817" s="3" t="s">
        <v>25</v>
      </c>
      <c r="G817" s="3" t="s">
        <v>25</v>
      </c>
      <c r="H817" s="3" t="s">
        <v>35</v>
      </c>
      <c r="I817" s="6">
        <v>44409</v>
      </c>
      <c r="J817" s="4">
        <v>0</v>
      </c>
      <c r="K817" s="4">
        <v>0</v>
      </c>
      <c r="L817" s="4">
        <v>186.30799999999999</v>
      </c>
      <c r="M817" s="4">
        <v>186.30799999999999</v>
      </c>
      <c r="N817" s="4">
        <v>186.30799999999999</v>
      </c>
      <c r="O817" s="4">
        <v>186.30799999999999</v>
      </c>
      <c r="P817" s="4">
        <v>0</v>
      </c>
      <c r="Q817" s="3" t="s">
        <v>26</v>
      </c>
      <c r="R817" s="3">
        <v>0</v>
      </c>
      <c r="S817" s="4">
        <v>0</v>
      </c>
      <c r="T817" s="4">
        <v>21</v>
      </c>
      <c r="U817" s="4">
        <v>89</v>
      </c>
      <c r="V817" s="4">
        <v>0</v>
      </c>
      <c r="W817" s="4">
        <v>51.27</v>
      </c>
      <c r="X817" s="4">
        <v>222.31</v>
      </c>
      <c r="Y817" s="4"/>
      <c r="Z817" s="4">
        <v>68.100184485116927</v>
      </c>
      <c r="AA817" s="4">
        <v>235.31351552243123</v>
      </c>
      <c r="AB817" s="4">
        <v>0</v>
      </c>
      <c r="AC817" s="4">
        <v>9552.01116</v>
      </c>
      <c r="AD817" s="4">
        <v>41418.131479999996</v>
      </c>
      <c r="AE817" s="4">
        <v>0</v>
      </c>
      <c r="AF817" s="4">
        <v>12687.609171053164</v>
      </c>
      <c r="AG817" s="4">
        <v>43840.790449953114</v>
      </c>
    </row>
    <row r="818" spans="1:33" ht="11.25" customHeight="1" x14ac:dyDescent="0.25">
      <c r="A818" s="3" t="s">
        <v>21</v>
      </c>
      <c r="B818" s="3" t="s">
        <v>41</v>
      </c>
      <c r="C818" s="3" t="s">
        <v>42</v>
      </c>
      <c r="D818" s="3" t="s">
        <v>38</v>
      </c>
      <c r="E818" s="3" t="s">
        <v>25</v>
      </c>
      <c r="F818" s="3" t="s">
        <v>25</v>
      </c>
      <c r="G818" s="3" t="s">
        <v>25</v>
      </c>
      <c r="H818" s="3" t="s">
        <v>35</v>
      </c>
      <c r="I818" s="6">
        <v>44409</v>
      </c>
      <c r="J818" s="4">
        <v>0</v>
      </c>
      <c r="K818" s="4">
        <v>0</v>
      </c>
      <c r="L818" s="4">
        <v>111.39</v>
      </c>
      <c r="M818" s="4">
        <v>111.39</v>
      </c>
      <c r="N818" s="4">
        <v>0</v>
      </c>
      <c r="O818" s="4">
        <v>0</v>
      </c>
      <c r="P818" s="4">
        <v>0</v>
      </c>
      <c r="Q818" s="3" t="s">
        <v>57</v>
      </c>
      <c r="R818" s="3">
        <v>0</v>
      </c>
      <c r="S818" s="4">
        <v>0</v>
      </c>
      <c r="T818" s="4">
        <v>21</v>
      </c>
      <c r="U818" s="4">
        <v>0</v>
      </c>
      <c r="V818" s="4">
        <v>0</v>
      </c>
      <c r="W818" s="4">
        <v>51.27</v>
      </c>
      <c r="X818" s="4">
        <v>0</v>
      </c>
      <c r="Y818" s="4"/>
      <c r="Z818" s="4">
        <v>68.100184485116927</v>
      </c>
      <c r="AA818" s="4"/>
      <c r="AB818" s="4">
        <v>0</v>
      </c>
      <c r="AC818" s="4">
        <v>5710.9653000000008</v>
      </c>
      <c r="AD818" s="4">
        <v>0</v>
      </c>
      <c r="AE818" s="4">
        <v>0</v>
      </c>
      <c r="AF818" s="4">
        <v>7585.6795497971743</v>
      </c>
      <c r="AG818" s="4">
        <v>0</v>
      </c>
    </row>
    <row r="819" spans="1:33" ht="11.25" customHeight="1" x14ac:dyDescent="0.25">
      <c r="A819" s="3" t="s">
        <v>21</v>
      </c>
      <c r="B819" s="3" t="s">
        <v>41</v>
      </c>
      <c r="C819" s="3" t="s">
        <v>42</v>
      </c>
      <c r="D819" s="3" t="s">
        <v>38</v>
      </c>
      <c r="E819" s="3" t="s">
        <v>25</v>
      </c>
      <c r="F819" s="3" t="s">
        <v>25</v>
      </c>
      <c r="G819" s="3" t="s">
        <v>25</v>
      </c>
      <c r="H819" s="3" t="s">
        <v>35</v>
      </c>
      <c r="I819" s="6">
        <v>44440</v>
      </c>
      <c r="J819" s="4">
        <v>0</v>
      </c>
      <c r="K819" s="4">
        <v>0</v>
      </c>
      <c r="L819" s="4">
        <v>6950.3249999999998</v>
      </c>
      <c r="M819" s="4">
        <v>6950.3249999999998</v>
      </c>
      <c r="N819" s="4">
        <v>6950.3249999999998</v>
      </c>
      <c r="O819" s="4">
        <v>6950.3249999999998</v>
      </c>
      <c r="P819" s="4">
        <v>0</v>
      </c>
      <c r="Q819" s="3" t="s">
        <v>26</v>
      </c>
      <c r="R819" s="3">
        <v>0</v>
      </c>
      <c r="S819" s="4">
        <v>0</v>
      </c>
      <c r="T819" s="4">
        <v>21</v>
      </c>
      <c r="U819" s="4">
        <v>89</v>
      </c>
      <c r="V819" s="4">
        <v>0</v>
      </c>
      <c r="W819" s="4">
        <v>51.27</v>
      </c>
      <c r="X819" s="4">
        <v>222.31</v>
      </c>
      <c r="Y819" s="4"/>
      <c r="Z819" s="4">
        <v>68.100184485116927</v>
      </c>
      <c r="AA819" s="4">
        <v>235.31351552243123</v>
      </c>
      <c r="AB819" s="4">
        <v>0</v>
      </c>
      <c r="AC819" s="4">
        <v>356343.16275000002</v>
      </c>
      <c r="AD819" s="4">
        <v>1545126.7507499999</v>
      </c>
      <c r="AE819" s="4">
        <v>0</v>
      </c>
      <c r="AF819" s="4">
        <v>473318.41473152029</v>
      </c>
      <c r="AG819" s="4">
        <v>1635505.4097734417</v>
      </c>
    </row>
    <row r="820" spans="1:33" ht="11.25" customHeight="1" x14ac:dyDescent="0.25">
      <c r="A820" s="3" t="s">
        <v>28</v>
      </c>
      <c r="B820" s="3" t="s">
        <v>41</v>
      </c>
      <c r="C820" s="3" t="s">
        <v>42</v>
      </c>
      <c r="D820" s="3" t="s">
        <v>38</v>
      </c>
      <c r="E820" s="3" t="s">
        <v>25</v>
      </c>
      <c r="F820" s="3" t="s">
        <v>25</v>
      </c>
      <c r="G820" s="3" t="s">
        <v>25</v>
      </c>
      <c r="H820" s="3" t="s">
        <v>35</v>
      </c>
      <c r="I820" s="6">
        <v>44440</v>
      </c>
      <c r="J820" s="4">
        <v>0</v>
      </c>
      <c r="K820" s="4">
        <v>0</v>
      </c>
      <c r="L820" s="4">
        <v>150.80199999999999</v>
      </c>
      <c r="M820" s="4">
        <v>150.80199999999999</v>
      </c>
      <c r="N820" s="4">
        <v>150.80199999999999</v>
      </c>
      <c r="O820" s="4">
        <v>150.80199999999999</v>
      </c>
      <c r="P820" s="4">
        <v>0</v>
      </c>
      <c r="Q820" s="3" t="s">
        <v>26</v>
      </c>
      <c r="R820" s="3">
        <v>0</v>
      </c>
      <c r="S820" s="4">
        <v>0</v>
      </c>
      <c r="T820" s="4">
        <v>21</v>
      </c>
      <c r="U820" s="4">
        <v>89</v>
      </c>
      <c r="V820" s="4">
        <v>0</v>
      </c>
      <c r="W820" s="4">
        <v>51.27</v>
      </c>
      <c r="X820" s="4">
        <v>222.31</v>
      </c>
      <c r="Y820" s="4"/>
      <c r="Z820" s="4">
        <v>68.100184485116927</v>
      </c>
      <c r="AA820" s="4">
        <v>235.31351552243123</v>
      </c>
      <c r="AB820" s="4">
        <v>0</v>
      </c>
      <c r="AC820" s="4">
        <v>7731.6185400000004</v>
      </c>
      <c r="AD820" s="4">
        <v>33524.79262</v>
      </c>
      <c r="AE820" s="4">
        <v>0</v>
      </c>
      <c r="AF820" s="4">
        <v>10269.644020724601</v>
      </c>
      <c r="AG820" s="4">
        <v>35485.748767813675</v>
      </c>
    </row>
    <row r="821" spans="1:33" ht="11.25" customHeight="1" x14ac:dyDescent="0.25">
      <c r="A821" s="3" t="s">
        <v>21</v>
      </c>
      <c r="B821" s="3" t="s">
        <v>41</v>
      </c>
      <c r="C821" s="3" t="s">
        <v>42</v>
      </c>
      <c r="D821" s="3" t="s">
        <v>38</v>
      </c>
      <c r="E821" s="3" t="s">
        <v>25</v>
      </c>
      <c r="F821" s="3" t="s">
        <v>25</v>
      </c>
      <c r="G821" s="3" t="s">
        <v>25</v>
      </c>
      <c r="H821" s="3" t="s">
        <v>35</v>
      </c>
      <c r="I821" s="6">
        <v>44470</v>
      </c>
      <c r="J821" s="4">
        <v>0</v>
      </c>
      <c r="K821" s="4">
        <v>0</v>
      </c>
      <c r="L821" s="4">
        <v>7144.5649999999996</v>
      </c>
      <c r="M821" s="4">
        <v>7144.5649999999996</v>
      </c>
      <c r="N821" s="4">
        <v>7144.5649999999996</v>
      </c>
      <c r="O821" s="4">
        <v>7144.5649999999996</v>
      </c>
      <c r="P821" s="4">
        <v>0</v>
      </c>
      <c r="Q821" s="3" t="s">
        <v>26</v>
      </c>
      <c r="R821" s="3">
        <v>0</v>
      </c>
      <c r="S821" s="4">
        <v>0</v>
      </c>
      <c r="T821" s="4">
        <v>21</v>
      </c>
      <c r="U821" s="4">
        <v>89</v>
      </c>
      <c r="V821" s="4">
        <v>0</v>
      </c>
      <c r="W821" s="4">
        <v>51.27</v>
      </c>
      <c r="X821" s="4">
        <v>222.31</v>
      </c>
      <c r="Y821" s="4"/>
      <c r="Z821" s="4">
        <v>68.100184485116927</v>
      </c>
      <c r="AA821" s="4">
        <v>235.31351552243123</v>
      </c>
      <c r="AB821" s="4">
        <v>0</v>
      </c>
      <c r="AC821" s="4">
        <v>366301.84755000001</v>
      </c>
      <c r="AD821" s="4">
        <v>1588308.2451499999</v>
      </c>
      <c r="AE821" s="4">
        <v>0</v>
      </c>
      <c r="AF821" s="4">
        <v>486546.19456590939</v>
      </c>
      <c r="AG821" s="4">
        <v>1681212.7070285189</v>
      </c>
    </row>
    <row r="822" spans="1:33" ht="11.25" customHeight="1" x14ac:dyDescent="0.25">
      <c r="A822" s="3" t="s">
        <v>28</v>
      </c>
      <c r="B822" s="3" t="s">
        <v>41</v>
      </c>
      <c r="C822" s="3" t="s">
        <v>42</v>
      </c>
      <c r="D822" s="3" t="s">
        <v>38</v>
      </c>
      <c r="E822" s="3" t="s">
        <v>25</v>
      </c>
      <c r="F822" s="3" t="s">
        <v>25</v>
      </c>
      <c r="G822" s="3" t="s">
        <v>25</v>
      </c>
      <c r="H822" s="3" t="s">
        <v>35</v>
      </c>
      <c r="I822" s="6">
        <v>44470</v>
      </c>
      <c r="J822" s="4">
        <v>0</v>
      </c>
      <c r="K822" s="4">
        <v>0</v>
      </c>
      <c r="L822" s="4">
        <v>158.21700000000001</v>
      </c>
      <c r="M822" s="4">
        <v>158.21700000000001</v>
      </c>
      <c r="N822" s="4">
        <v>158.21700000000001</v>
      </c>
      <c r="O822" s="4">
        <v>158.21700000000001</v>
      </c>
      <c r="P822" s="4">
        <v>0</v>
      </c>
      <c r="Q822" s="3" t="s">
        <v>26</v>
      </c>
      <c r="R822" s="3">
        <v>0</v>
      </c>
      <c r="S822" s="4">
        <v>0</v>
      </c>
      <c r="T822" s="4">
        <v>21</v>
      </c>
      <c r="U822" s="4">
        <v>89</v>
      </c>
      <c r="V822" s="4">
        <v>0</v>
      </c>
      <c r="W822" s="4">
        <v>51.27</v>
      </c>
      <c r="X822" s="4">
        <v>222.31</v>
      </c>
      <c r="Y822" s="4"/>
      <c r="Z822" s="4">
        <v>68.100184485116927</v>
      </c>
      <c r="AA822" s="4">
        <v>235.31351552243123</v>
      </c>
      <c r="AB822" s="4">
        <v>0</v>
      </c>
      <c r="AC822" s="4">
        <v>8111.7855900000013</v>
      </c>
      <c r="AD822" s="4">
        <v>35173.221270000002</v>
      </c>
      <c r="AE822" s="4">
        <v>0</v>
      </c>
      <c r="AF822" s="4">
        <v>10774.606888681747</v>
      </c>
      <c r="AG822" s="4">
        <v>37230.598485412505</v>
      </c>
    </row>
    <row r="823" spans="1:33" ht="11.25" customHeight="1" x14ac:dyDescent="0.25">
      <c r="A823" s="3" t="s">
        <v>21</v>
      </c>
      <c r="B823" s="3" t="s">
        <v>41</v>
      </c>
      <c r="C823" s="3" t="s">
        <v>42</v>
      </c>
      <c r="D823" s="3" t="s">
        <v>38</v>
      </c>
      <c r="E823" s="3" t="s">
        <v>25</v>
      </c>
      <c r="F823" s="3" t="s">
        <v>25</v>
      </c>
      <c r="G823" s="3" t="s">
        <v>25</v>
      </c>
      <c r="H823" s="3" t="s">
        <v>35</v>
      </c>
      <c r="I823" s="6">
        <v>44501</v>
      </c>
      <c r="J823" s="4">
        <v>0</v>
      </c>
      <c r="K823" s="4">
        <v>0</v>
      </c>
      <c r="L823" s="4">
        <v>6933.7039999999997</v>
      </c>
      <c r="M823" s="4">
        <v>6933.7039999999997</v>
      </c>
      <c r="N823" s="4">
        <v>6933.7039999999997</v>
      </c>
      <c r="O823" s="4">
        <v>6933.7039999999997</v>
      </c>
      <c r="P823" s="4">
        <v>0</v>
      </c>
      <c r="Q823" s="3" t="s">
        <v>26</v>
      </c>
      <c r="R823" s="3">
        <v>0</v>
      </c>
      <c r="S823" s="4">
        <v>0</v>
      </c>
      <c r="T823" s="4">
        <v>21</v>
      </c>
      <c r="U823" s="4">
        <v>89</v>
      </c>
      <c r="V823" s="4">
        <v>0</v>
      </c>
      <c r="W823" s="4">
        <v>51.27</v>
      </c>
      <c r="X823" s="4">
        <v>222.31</v>
      </c>
      <c r="Y823" s="4"/>
      <c r="Z823" s="4">
        <v>68.100184485116927</v>
      </c>
      <c r="AA823" s="4">
        <v>235.31351552243123</v>
      </c>
      <c r="AB823" s="4">
        <v>0</v>
      </c>
      <c r="AC823" s="4">
        <v>355491.00407999998</v>
      </c>
      <c r="AD823" s="4">
        <v>1541431.73624</v>
      </c>
      <c r="AE823" s="4">
        <v>0</v>
      </c>
      <c r="AF823" s="4">
        <v>472186.52156519314</v>
      </c>
      <c r="AG823" s="4">
        <v>1631594.2638319435</v>
      </c>
    </row>
    <row r="824" spans="1:33" ht="11.25" customHeight="1" x14ac:dyDescent="0.25">
      <c r="A824" s="3" t="s">
        <v>28</v>
      </c>
      <c r="B824" s="3" t="s">
        <v>41</v>
      </c>
      <c r="C824" s="3" t="s">
        <v>42</v>
      </c>
      <c r="D824" s="3" t="s">
        <v>38</v>
      </c>
      <c r="E824" s="3" t="s">
        <v>25</v>
      </c>
      <c r="F824" s="3" t="s">
        <v>25</v>
      </c>
      <c r="G824" s="3" t="s">
        <v>25</v>
      </c>
      <c r="H824" s="3" t="s">
        <v>35</v>
      </c>
      <c r="I824" s="6">
        <v>44501</v>
      </c>
      <c r="J824" s="4">
        <v>0</v>
      </c>
      <c r="K824" s="4">
        <v>0</v>
      </c>
      <c r="L824" s="4">
        <v>148.167</v>
      </c>
      <c r="M824" s="4">
        <v>148.167</v>
      </c>
      <c r="N824" s="4">
        <v>148.167</v>
      </c>
      <c r="O824" s="4">
        <v>148.167</v>
      </c>
      <c r="P824" s="4">
        <v>0</v>
      </c>
      <c r="Q824" s="3" t="s">
        <v>26</v>
      </c>
      <c r="R824" s="3">
        <v>0</v>
      </c>
      <c r="S824" s="4">
        <v>0</v>
      </c>
      <c r="T824" s="4">
        <v>21</v>
      </c>
      <c r="U824" s="4">
        <v>89</v>
      </c>
      <c r="V824" s="4">
        <v>0</v>
      </c>
      <c r="W824" s="4">
        <v>51.27</v>
      </c>
      <c r="X824" s="4">
        <v>222.31</v>
      </c>
      <c r="Y824" s="4"/>
      <c r="Z824" s="4">
        <v>68.100184485116927</v>
      </c>
      <c r="AA824" s="4">
        <v>235.31351552243123</v>
      </c>
      <c r="AB824" s="4">
        <v>0</v>
      </c>
      <c r="AC824" s="4">
        <v>7596.5220900000004</v>
      </c>
      <c r="AD824" s="4">
        <v>32939.005770000003</v>
      </c>
      <c r="AE824" s="4">
        <v>0</v>
      </c>
      <c r="AF824" s="4">
        <v>10090.20003460632</v>
      </c>
      <c r="AG824" s="4">
        <v>34865.69765441207</v>
      </c>
    </row>
    <row r="825" spans="1:33" ht="11.25" customHeight="1" x14ac:dyDescent="0.25">
      <c r="A825" s="3" t="s">
        <v>21</v>
      </c>
      <c r="B825" s="3" t="s">
        <v>41</v>
      </c>
      <c r="C825" s="3" t="s">
        <v>42</v>
      </c>
      <c r="D825" s="3" t="s">
        <v>38</v>
      </c>
      <c r="E825" s="3" t="s">
        <v>25</v>
      </c>
      <c r="F825" s="3" t="s">
        <v>25</v>
      </c>
      <c r="G825" s="3" t="s">
        <v>25</v>
      </c>
      <c r="H825" s="3" t="s">
        <v>35</v>
      </c>
      <c r="I825" s="6">
        <v>44531</v>
      </c>
      <c r="J825" s="4">
        <v>0</v>
      </c>
      <c r="K825" s="4">
        <v>0</v>
      </c>
      <c r="L825" s="4">
        <v>6839.9769999999999</v>
      </c>
      <c r="M825" s="4">
        <v>6839.9769999999999</v>
      </c>
      <c r="N825" s="4">
        <v>6839.9769999999999</v>
      </c>
      <c r="O825" s="4">
        <v>6839.9769999999999</v>
      </c>
      <c r="P825" s="4">
        <v>0</v>
      </c>
      <c r="Q825" s="3" t="s">
        <v>26</v>
      </c>
      <c r="R825" s="3">
        <v>0</v>
      </c>
      <c r="S825" s="4">
        <v>0</v>
      </c>
      <c r="T825" s="4">
        <v>21</v>
      </c>
      <c r="U825" s="4">
        <v>89</v>
      </c>
      <c r="V825" s="4">
        <v>0</v>
      </c>
      <c r="W825" s="4">
        <v>51.27</v>
      </c>
      <c r="X825" s="4">
        <v>222.31</v>
      </c>
      <c r="Y825" s="4"/>
      <c r="Z825" s="4">
        <v>68.100184485116927</v>
      </c>
      <c r="AA825" s="4">
        <v>235.31351552243123</v>
      </c>
      <c r="AB825" s="4">
        <v>0</v>
      </c>
      <c r="AC825" s="4">
        <v>350685.62079000002</v>
      </c>
      <c r="AD825" s="4">
        <v>1520595.28687</v>
      </c>
      <c r="AE825" s="4">
        <v>0</v>
      </c>
      <c r="AF825" s="4">
        <v>465803.69557395659</v>
      </c>
      <c r="AG825" s="4">
        <v>1609539.0339625725</v>
      </c>
    </row>
    <row r="826" spans="1:33" ht="11.25" customHeight="1" x14ac:dyDescent="0.25">
      <c r="A826" s="3" t="s">
        <v>27</v>
      </c>
      <c r="B826" s="3" t="s">
        <v>41</v>
      </c>
      <c r="C826" s="3" t="s">
        <v>42</v>
      </c>
      <c r="D826" s="3" t="s">
        <v>38</v>
      </c>
      <c r="E826" s="3" t="s">
        <v>25</v>
      </c>
      <c r="F826" s="3" t="s">
        <v>25</v>
      </c>
      <c r="G826" s="3" t="s">
        <v>25</v>
      </c>
      <c r="H826" s="3" t="s">
        <v>35</v>
      </c>
      <c r="I826" s="6">
        <v>44531</v>
      </c>
      <c r="J826" s="4">
        <v>0</v>
      </c>
      <c r="K826" s="4">
        <v>0</v>
      </c>
      <c r="L826" s="4">
        <v>-8.5340000000000007</v>
      </c>
      <c r="M826" s="4">
        <v>-8.5340000000000007</v>
      </c>
      <c r="N826" s="4">
        <v>-8.5340000000000007</v>
      </c>
      <c r="O826" s="4">
        <v>-8.5340000000000007</v>
      </c>
      <c r="P826" s="4">
        <v>0</v>
      </c>
      <c r="Q826" s="3" t="s">
        <v>26</v>
      </c>
      <c r="R826" s="3">
        <v>0</v>
      </c>
      <c r="S826" s="4">
        <v>0</v>
      </c>
      <c r="T826" s="4">
        <v>21</v>
      </c>
      <c r="U826" s="4">
        <v>89</v>
      </c>
      <c r="V826" s="4">
        <v>0</v>
      </c>
      <c r="W826" s="4">
        <v>51.27</v>
      </c>
      <c r="X826" s="4">
        <v>222.31</v>
      </c>
      <c r="Y826" s="4"/>
      <c r="Z826" s="4">
        <v>68.100184485116927</v>
      </c>
      <c r="AA826" s="4">
        <v>235.31351552243123</v>
      </c>
      <c r="AB826" s="4">
        <v>0</v>
      </c>
      <c r="AC826" s="4">
        <v>-437.53818000000007</v>
      </c>
      <c r="AD826" s="4">
        <v>-1897.1935400000002</v>
      </c>
      <c r="AE826" s="4">
        <v>0</v>
      </c>
      <c r="AF826" s="4">
        <v>-581.16697439598795</v>
      </c>
      <c r="AG826" s="4">
        <v>-2008.1655414684283</v>
      </c>
    </row>
    <row r="827" spans="1:33" ht="11.25" customHeight="1" x14ac:dyDescent="0.25">
      <c r="A827" s="3" t="s">
        <v>28</v>
      </c>
      <c r="B827" s="3" t="s">
        <v>41</v>
      </c>
      <c r="C827" s="3" t="s">
        <v>42</v>
      </c>
      <c r="D827" s="3" t="s">
        <v>38</v>
      </c>
      <c r="E827" s="3" t="s">
        <v>25</v>
      </c>
      <c r="F827" s="3" t="s">
        <v>25</v>
      </c>
      <c r="G827" s="3" t="s">
        <v>25</v>
      </c>
      <c r="H827" s="3" t="s">
        <v>35</v>
      </c>
      <c r="I827" s="6">
        <v>44531</v>
      </c>
      <c r="J827" s="4">
        <v>0</v>
      </c>
      <c r="K827" s="4">
        <v>0</v>
      </c>
      <c r="L827" s="4">
        <v>148.61099999999999</v>
      </c>
      <c r="M827" s="4">
        <v>148.61099999999999</v>
      </c>
      <c r="N827" s="4">
        <v>148.61099999999999</v>
      </c>
      <c r="O827" s="4">
        <v>148.61099999999999</v>
      </c>
      <c r="P827" s="4">
        <v>0</v>
      </c>
      <c r="Q827" s="3" t="s">
        <v>26</v>
      </c>
      <c r="R827" s="3">
        <v>0</v>
      </c>
      <c r="S827" s="4">
        <v>0</v>
      </c>
      <c r="T827" s="4">
        <v>21</v>
      </c>
      <c r="U827" s="4">
        <v>89</v>
      </c>
      <c r="V827" s="4">
        <v>0</v>
      </c>
      <c r="W827" s="4">
        <v>51.27</v>
      </c>
      <c r="X827" s="4">
        <v>222.31</v>
      </c>
      <c r="Y827" s="4"/>
      <c r="Z827" s="4">
        <v>68.100184485116927</v>
      </c>
      <c r="AA827" s="4">
        <v>235.31351552243123</v>
      </c>
      <c r="AB827" s="4">
        <v>0</v>
      </c>
      <c r="AC827" s="4">
        <v>7619.2859699999999</v>
      </c>
      <c r="AD827" s="4">
        <v>33037.711409999996</v>
      </c>
      <c r="AE827" s="4">
        <v>0</v>
      </c>
      <c r="AF827" s="4">
        <v>10120.436516517711</v>
      </c>
      <c r="AG827" s="4">
        <v>34970.176855304024</v>
      </c>
    </row>
    <row r="828" spans="1:33" ht="11.25" customHeight="1" x14ac:dyDescent="0.25">
      <c r="A828" s="3" t="s">
        <v>21</v>
      </c>
      <c r="B828" s="3" t="s">
        <v>41</v>
      </c>
      <c r="C828" s="3" t="s">
        <v>42</v>
      </c>
      <c r="D828" s="3" t="s">
        <v>38</v>
      </c>
      <c r="E828" s="3" t="s">
        <v>25</v>
      </c>
      <c r="F828" s="3" t="s">
        <v>25</v>
      </c>
      <c r="G828" s="3" t="s">
        <v>25</v>
      </c>
      <c r="H828" s="3" t="s">
        <v>35</v>
      </c>
      <c r="I828" s="6">
        <v>44562</v>
      </c>
      <c r="J828" s="4">
        <v>0</v>
      </c>
      <c r="K828" s="4">
        <v>0</v>
      </c>
      <c r="L828" s="4">
        <v>7023.2920000000004</v>
      </c>
      <c r="M828" s="4">
        <v>7023.2920000000004</v>
      </c>
      <c r="N828" s="4">
        <v>7023.2920000000004</v>
      </c>
      <c r="O828" s="4">
        <v>7023.2920000000004</v>
      </c>
      <c r="P828" s="4">
        <v>0</v>
      </c>
      <c r="Q828" s="3" t="s">
        <v>26</v>
      </c>
      <c r="R828" s="3">
        <v>0</v>
      </c>
      <c r="S828" s="4">
        <v>0</v>
      </c>
      <c r="T828" s="4">
        <v>21</v>
      </c>
      <c r="U828" s="4">
        <v>89</v>
      </c>
      <c r="V828" s="4">
        <v>0</v>
      </c>
      <c r="W828" s="4">
        <v>51.27</v>
      </c>
      <c r="X828" s="4">
        <v>222.31</v>
      </c>
      <c r="Y828" s="4"/>
      <c r="Z828" s="4">
        <v>68.100184485116927</v>
      </c>
      <c r="AA828" s="4">
        <v>235.31351552243123</v>
      </c>
      <c r="AB828" s="4">
        <v>0</v>
      </c>
      <c r="AC828" s="4">
        <v>360084.18084000004</v>
      </c>
      <c r="AD828" s="4">
        <v>1561348.04452</v>
      </c>
      <c r="AE828" s="4">
        <v>0</v>
      </c>
      <c r="AF828" s="4">
        <v>478287.48089284584</v>
      </c>
      <c r="AG828" s="4">
        <v>1652675.5310605671</v>
      </c>
    </row>
    <row r="829" spans="1:33" ht="11.25" customHeight="1" x14ac:dyDescent="0.25">
      <c r="A829" s="3" t="s">
        <v>27</v>
      </c>
      <c r="B829" s="3" t="s">
        <v>41</v>
      </c>
      <c r="C829" s="3" t="s">
        <v>42</v>
      </c>
      <c r="D829" s="3" t="s">
        <v>38</v>
      </c>
      <c r="E829" s="3" t="s">
        <v>25</v>
      </c>
      <c r="F829" s="3" t="s">
        <v>25</v>
      </c>
      <c r="G829" s="3" t="s">
        <v>25</v>
      </c>
      <c r="H829" s="3" t="s">
        <v>35</v>
      </c>
      <c r="I829" s="6">
        <v>44562</v>
      </c>
      <c r="J829" s="4">
        <v>0</v>
      </c>
      <c r="K829" s="4">
        <v>0</v>
      </c>
      <c r="L829" s="4">
        <v>6.4000000000000001E-2</v>
      </c>
      <c r="M829" s="4">
        <v>6.4000000000000001E-2</v>
      </c>
      <c r="N829" s="4">
        <v>6.4000000000000001E-2</v>
      </c>
      <c r="O829" s="4">
        <v>6.4000000000000001E-2</v>
      </c>
      <c r="P829" s="4">
        <v>0</v>
      </c>
      <c r="Q829" s="3" t="s">
        <v>26</v>
      </c>
      <c r="R829" s="3">
        <v>0</v>
      </c>
      <c r="S829" s="4">
        <v>0</v>
      </c>
      <c r="T829" s="4">
        <v>21</v>
      </c>
      <c r="U829" s="4">
        <v>89</v>
      </c>
      <c r="V829" s="4">
        <v>0</v>
      </c>
      <c r="W829" s="4">
        <v>51.27</v>
      </c>
      <c r="X829" s="4">
        <v>222.31</v>
      </c>
      <c r="Y829" s="4"/>
      <c r="Z829" s="4">
        <v>68.100184485116927</v>
      </c>
      <c r="AA829" s="4">
        <v>235.31351552243123</v>
      </c>
      <c r="AB829" s="4">
        <v>0</v>
      </c>
      <c r="AC829" s="4">
        <v>3.2812800000000002</v>
      </c>
      <c r="AD829" s="4">
        <v>14.22784</v>
      </c>
      <c r="AE829" s="4">
        <v>0</v>
      </c>
      <c r="AF829" s="4">
        <v>4.3584118070474833</v>
      </c>
      <c r="AG829" s="4">
        <v>15.060064993435599</v>
      </c>
    </row>
    <row r="830" spans="1:33" ht="11.25" customHeight="1" x14ac:dyDescent="0.25">
      <c r="A830" s="3" t="s">
        <v>28</v>
      </c>
      <c r="B830" s="3" t="s">
        <v>41</v>
      </c>
      <c r="C830" s="3" t="s">
        <v>42</v>
      </c>
      <c r="D830" s="3" t="s">
        <v>38</v>
      </c>
      <c r="E830" s="3" t="s">
        <v>25</v>
      </c>
      <c r="F830" s="3" t="s">
        <v>25</v>
      </c>
      <c r="G830" s="3" t="s">
        <v>25</v>
      </c>
      <c r="H830" s="3" t="s">
        <v>35</v>
      </c>
      <c r="I830" s="6">
        <v>44562</v>
      </c>
      <c r="J830" s="4">
        <v>0</v>
      </c>
      <c r="K830" s="4">
        <v>0</v>
      </c>
      <c r="L830" s="4">
        <v>112.259</v>
      </c>
      <c r="M830" s="4">
        <v>112.259</v>
      </c>
      <c r="N830" s="4">
        <v>112.259</v>
      </c>
      <c r="O830" s="4">
        <v>112.259</v>
      </c>
      <c r="P830" s="4">
        <v>0</v>
      </c>
      <c r="Q830" s="3" t="s">
        <v>26</v>
      </c>
      <c r="R830" s="3">
        <v>0</v>
      </c>
      <c r="S830" s="4">
        <v>0</v>
      </c>
      <c r="T830" s="4">
        <v>21</v>
      </c>
      <c r="U830" s="4">
        <v>89</v>
      </c>
      <c r="V830" s="4">
        <v>0</v>
      </c>
      <c r="W830" s="4">
        <v>51.27</v>
      </c>
      <c r="X830" s="4">
        <v>222.31</v>
      </c>
      <c r="Y830" s="4"/>
      <c r="Z830" s="4">
        <v>68.100184485116927</v>
      </c>
      <c r="AA830" s="4">
        <v>235.31351552243123</v>
      </c>
      <c r="AB830" s="4">
        <v>0</v>
      </c>
      <c r="AC830" s="4">
        <v>5755.5189300000002</v>
      </c>
      <c r="AD830" s="4">
        <v>24956.298289999999</v>
      </c>
      <c r="AE830" s="4">
        <v>0</v>
      </c>
      <c r="AF830" s="4">
        <v>7644.8586101147412</v>
      </c>
      <c r="AG830" s="4">
        <v>26416.059939032606</v>
      </c>
    </row>
    <row r="831" spans="1:33" ht="11.25" customHeight="1" x14ac:dyDescent="0.25">
      <c r="A831" s="3" t="s">
        <v>21</v>
      </c>
      <c r="B831" s="3" t="s">
        <v>41</v>
      </c>
      <c r="C831" s="3" t="s">
        <v>42</v>
      </c>
      <c r="D831" s="3" t="s">
        <v>38</v>
      </c>
      <c r="E831" s="3" t="s">
        <v>25</v>
      </c>
      <c r="F831" s="3" t="s">
        <v>25</v>
      </c>
      <c r="G831" s="3" t="s">
        <v>25</v>
      </c>
      <c r="H831" s="3" t="s">
        <v>35</v>
      </c>
      <c r="I831" s="6">
        <v>44593</v>
      </c>
      <c r="J831" s="4">
        <v>0</v>
      </c>
      <c r="K831" s="4">
        <v>0</v>
      </c>
      <c r="L831" s="4">
        <v>6454.723</v>
      </c>
      <c r="M831" s="4">
        <v>6454.723</v>
      </c>
      <c r="N831" s="4">
        <v>6454.723</v>
      </c>
      <c r="O831" s="4">
        <v>6454.723</v>
      </c>
      <c r="P831" s="4">
        <v>0</v>
      </c>
      <c r="Q831" s="3" t="s">
        <v>26</v>
      </c>
      <c r="R831" s="3">
        <v>0</v>
      </c>
      <c r="S831" s="4">
        <v>0</v>
      </c>
      <c r="T831" s="4">
        <v>21</v>
      </c>
      <c r="U831" s="4">
        <v>89</v>
      </c>
      <c r="V831" s="4">
        <v>0</v>
      </c>
      <c r="W831" s="4">
        <v>51.27</v>
      </c>
      <c r="X831" s="4">
        <v>222.31</v>
      </c>
      <c r="Y831" s="4"/>
      <c r="Z831" s="4">
        <v>68.100184485116927</v>
      </c>
      <c r="AA831" s="4">
        <v>235.31351552243123</v>
      </c>
      <c r="AB831" s="4">
        <v>0</v>
      </c>
      <c r="AC831" s="4">
        <v>330933.64821000001</v>
      </c>
      <c r="AD831" s="4">
        <v>1434949.47013</v>
      </c>
      <c r="AE831" s="4">
        <v>0</v>
      </c>
      <c r="AF831" s="4">
        <v>439567.82710032735</v>
      </c>
      <c r="AG831" s="4">
        <v>1518883.5608534939</v>
      </c>
    </row>
    <row r="832" spans="1:33" ht="11.25" customHeight="1" x14ac:dyDescent="0.25">
      <c r="A832" s="3" t="s">
        <v>27</v>
      </c>
      <c r="B832" s="3" t="s">
        <v>41</v>
      </c>
      <c r="C832" s="3" t="s">
        <v>42</v>
      </c>
      <c r="D832" s="3" t="s">
        <v>38</v>
      </c>
      <c r="E832" s="3" t="s">
        <v>25</v>
      </c>
      <c r="F832" s="3" t="s">
        <v>25</v>
      </c>
      <c r="G832" s="3" t="s">
        <v>25</v>
      </c>
      <c r="H832" s="3" t="s">
        <v>35</v>
      </c>
      <c r="I832" s="6">
        <v>44593</v>
      </c>
      <c r="J832" s="4">
        <v>0</v>
      </c>
      <c r="K832" s="4">
        <v>0</v>
      </c>
      <c r="L832" s="4">
        <v>0.376</v>
      </c>
      <c r="M832" s="4">
        <v>0.376</v>
      </c>
      <c r="N832" s="4">
        <v>0.376</v>
      </c>
      <c r="O832" s="4">
        <v>0.376</v>
      </c>
      <c r="P832" s="4">
        <v>0</v>
      </c>
      <c r="Q832" s="3" t="s">
        <v>26</v>
      </c>
      <c r="R832" s="3">
        <v>0</v>
      </c>
      <c r="S832" s="4">
        <v>0</v>
      </c>
      <c r="T832" s="4">
        <v>21</v>
      </c>
      <c r="U832" s="4">
        <v>89</v>
      </c>
      <c r="V832" s="4">
        <v>0</v>
      </c>
      <c r="W832" s="4">
        <v>51.27</v>
      </c>
      <c r="X832" s="4">
        <v>222.31</v>
      </c>
      <c r="Y832" s="4"/>
      <c r="Z832" s="4">
        <v>68.100184485116927</v>
      </c>
      <c r="AA832" s="4">
        <v>235.31351552243123</v>
      </c>
      <c r="AB832" s="4">
        <v>0</v>
      </c>
      <c r="AC832" s="4">
        <v>19.277520000000003</v>
      </c>
      <c r="AD832" s="4">
        <v>83.588560000000001</v>
      </c>
      <c r="AE832" s="4">
        <v>0</v>
      </c>
      <c r="AF832" s="4">
        <v>25.605669366403966</v>
      </c>
      <c r="AG832" s="4">
        <v>88.477881836434136</v>
      </c>
    </row>
    <row r="833" spans="1:33" ht="11.25" customHeight="1" x14ac:dyDescent="0.25">
      <c r="A833" s="3" t="s">
        <v>28</v>
      </c>
      <c r="B833" s="3" t="s">
        <v>41</v>
      </c>
      <c r="C833" s="3" t="s">
        <v>42</v>
      </c>
      <c r="D833" s="3" t="s">
        <v>38</v>
      </c>
      <c r="E833" s="3" t="s">
        <v>25</v>
      </c>
      <c r="F833" s="3" t="s">
        <v>25</v>
      </c>
      <c r="G833" s="3" t="s">
        <v>25</v>
      </c>
      <c r="H833" s="3" t="s">
        <v>35</v>
      </c>
      <c r="I833" s="6">
        <v>44593</v>
      </c>
      <c r="J833" s="4">
        <v>0</v>
      </c>
      <c r="K833" s="4">
        <v>0</v>
      </c>
      <c r="L833" s="4">
        <v>114.619</v>
      </c>
      <c r="M833" s="4">
        <v>114.619</v>
      </c>
      <c r="N833" s="4">
        <v>114.619</v>
      </c>
      <c r="O833" s="4">
        <v>114.619</v>
      </c>
      <c r="P833" s="4">
        <v>0</v>
      </c>
      <c r="Q833" s="3" t="s">
        <v>26</v>
      </c>
      <c r="R833" s="3">
        <v>0</v>
      </c>
      <c r="S833" s="4">
        <v>0</v>
      </c>
      <c r="T833" s="4">
        <v>21</v>
      </c>
      <c r="U833" s="4">
        <v>89</v>
      </c>
      <c r="V833" s="4">
        <v>0</v>
      </c>
      <c r="W833" s="4">
        <v>51.27</v>
      </c>
      <c r="X833" s="4">
        <v>222.31</v>
      </c>
      <c r="Y833" s="4"/>
      <c r="Z833" s="4">
        <v>68.100184485116927</v>
      </c>
      <c r="AA833" s="4">
        <v>235.31351552243123</v>
      </c>
      <c r="AB833" s="4">
        <v>0</v>
      </c>
      <c r="AC833" s="4">
        <v>5876.51613</v>
      </c>
      <c r="AD833" s="4">
        <v>25480.94989</v>
      </c>
      <c r="AE833" s="4">
        <v>0</v>
      </c>
      <c r="AF833" s="4">
        <v>7805.5750454996169</v>
      </c>
      <c r="AG833" s="4">
        <v>26971.399835665547</v>
      </c>
    </row>
    <row r="834" spans="1:33" ht="11.25" customHeight="1" x14ac:dyDescent="0.25">
      <c r="A834" s="3" t="s">
        <v>56</v>
      </c>
      <c r="B834" s="3" t="s">
        <v>41</v>
      </c>
      <c r="C834" s="3" t="s">
        <v>42</v>
      </c>
      <c r="D834" s="3" t="s">
        <v>38</v>
      </c>
      <c r="E834" s="3" t="s">
        <v>25</v>
      </c>
      <c r="F834" s="3" t="s">
        <v>25</v>
      </c>
      <c r="G834" s="3" t="s">
        <v>25</v>
      </c>
      <c r="H834" s="3" t="s">
        <v>35</v>
      </c>
      <c r="I834" s="6">
        <v>44621</v>
      </c>
      <c r="J834" s="4">
        <v>0</v>
      </c>
      <c r="K834" s="4">
        <v>0</v>
      </c>
      <c r="L834" s="4">
        <v>6454.723</v>
      </c>
      <c r="M834" s="4">
        <v>6454.723</v>
      </c>
      <c r="N834" s="4">
        <v>6454.723</v>
      </c>
      <c r="O834" s="4">
        <v>6454.723</v>
      </c>
      <c r="P834" s="4">
        <v>0</v>
      </c>
      <c r="Q834" s="3" t="s">
        <v>26</v>
      </c>
      <c r="R834" s="3">
        <v>0</v>
      </c>
      <c r="S834" s="4">
        <v>0</v>
      </c>
      <c r="T834" s="4">
        <v>21</v>
      </c>
      <c r="U834" s="4">
        <v>89</v>
      </c>
      <c r="V834" s="4">
        <v>0</v>
      </c>
      <c r="W834" s="4">
        <v>51.27</v>
      </c>
      <c r="X834" s="4">
        <v>222.31</v>
      </c>
      <c r="Y834" s="4"/>
      <c r="Z834" s="4">
        <v>68.100184485116927</v>
      </c>
      <c r="AA834" s="4">
        <v>235.31351552243123</v>
      </c>
      <c r="AB834" s="4">
        <v>0</v>
      </c>
      <c r="AC834" s="4">
        <v>330933.64821000001</v>
      </c>
      <c r="AD834" s="4">
        <v>1434949.47013</v>
      </c>
      <c r="AE834" s="4">
        <v>0</v>
      </c>
      <c r="AF834" s="4">
        <v>439567.82710032735</v>
      </c>
      <c r="AG834" s="4">
        <v>1518883.5608534939</v>
      </c>
    </row>
    <row r="835" spans="1:33" ht="11.25" customHeight="1" x14ac:dyDescent="0.25">
      <c r="A835" s="3" t="s">
        <v>56</v>
      </c>
      <c r="B835" s="3" t="s">
        <v>41</v>
      </c>
      <c r="C835" s="3" t="s">
        <v>42</v>
      </c>
      <c r="D835" s="3" t="s">
        <v>38</v>
      </c>
      <c r="E835" s="3" t="s">
        <v>25</v>
      </c>
      <c r="F835" s="3" t="s">
        <v>25</v>
      </c>
      <c r="G835" s="3" t="s">
        <v>25</v>
      </c>
      <c r="H835" s="3" t="s">
        <v>35</v>
      </c>
      <c r="I835" s="6">
        <v>44621</v>
      </c>
      <c r="J835" s="4">
        <v>0</v>
      </c>
      <c r="K835" s="4">
        <v>0</v>
      </c>
      <c r="L835" s="4">
        <v>0.376</v>
      </c>
      <c r="M835" s="4">
        <v>0.376</v>
      </c>
      <c r="N835" s="4">
        <v>0.376</v>
      </c>
      <c r="O835" s="4">
        <v>0.376</v>
      </c>
      <c r="P835" s="4">
        <v>0</v>
      </c>
      <c r="Q835" s="3" t="s">
        <v>26</v>
      </c>
      <c r="R835" s="3">
        <v>0</v>
      </c>
      <c r="S835" s="4">
        <v>0</v>
      </c>
      <c r="T835" s="4">
        <v>21</v>
      </c>
      <c r="U835" s="4">
        <v>89</v>
      </c>
      <c r="V835" s="4">
        <v>0</v>
      </c>
      <c r="W835" s="4">
        <v>51.27</v>
      </c>
      <c r="X835" s="4">
        <v>222.31</v>
      </c>
      <c r="Y835" s="4"/>
      <c r="Z835" s="4">
        <v>68.100184485116927</v>
      </c>
      <c r="AA835" s="4">
        <v>235.31351552243123</v>
      </c>
      <c r="AB835" s="4">
        <v>0</v>
      </c>
      <c r="AC835" s="4">
        <v>19.277520000000003</v>
      </c>
      <c r="AD835" s="4">
        <v>83.588560000000001</v>
      </c>
      <c r="AE835" s="4">
        <v>0</v>
      </c>
      <c r="AF835" s="4">
        <v>25.605669366403966</v>
      </c>
      <c r="AG835" s="4">
        <v>88.477881836434136</v>
      </c>
    </row>
    <row r="836" spans="1:33" ht="11.25" customHeight="1" x14ac:dyDescent="0.25">
      <c r="A836" s="3" t="s">
        <v>56</v>
      </c>
      <c r="B836" s="3" t="s">
        <v>41</v>
      </c>
      <c r="C836" s="3" t="s">
        <v>42</v>
      </c>
      <c r="D836" s="3" t="s">
        <v>38</v>
      </c>
      <c r="E836" s="3" t="s">
        <v>25</v>
      </c>
      <c r="F836" s="3" t="s">
        <v>25</v>
      </c>
      <c r="G836" s="3" t="s">
        <v>25</v>
      </c>
      <c r="H836" s="3" t="s">
        <v>35</v>
      </c>
      <c r="I836" s="6">
        <v>44621</v>
      </c>
      <c r="J836" s="4">
        <v>0</v>
      </c>
      <c r="K836" s="4">
        <v>0</v>
      </c>
      <c r="L836" s="4">
        <v>114.619</v>
      </c>
      <c r="M836" s="4">
        <v>114.619</v>
      </c>
      <c r="N836" s="4">
        <v>114.619</v>
      </c>
      <c r="O836" s="4">
        <v>114.619</v>
      </c>
      <c r="P836" s="4">
        <v>0</v>
      </c>
      <c r="Q836" s="3" t="s">
        <v>26</v>
      </c>
      <c r="R836" s="3">
        <v>0</v>
      </c>
      <c r="S836" s="4">
        <v>0</v>
      </c>
      <c r="T836" s="4">
        <v>21</v>
      </c>
      <c r="U836" s="4">
        <v>89</v>
      </c>
      <c r="V836" s="4">
        <v>0</v>
      </c>
      <c r="W836" s="4">
        <v>51.27</v>
      </c>
      <c r="X836" s="4">
        <v>222.31</v>
      </c>
      <c r="Y836" s="4"/>
      <c r="Z836" s="4">
        <v>68.100184485116927</v>
      </c>
      <c r="AA836" s="4">
        <v>235.31351552243123</v>
      </c>
      <c r="AB836" s="4">
        <v>0</v>
      </c>
      <c r="AC836" s="4">
        <v>5876.51613</v>
      </c>
      <c r="AD836" s="4">
        <v>25480.94989</v>
      </c>
      <c r="AE836" s="4">
        <v>0</v>
      </c>
      <c r="AF836" s="4">
        <v>7805.5750454996169</v>
      </c>
      <c r="AG836" s="4">
        <v>26971.399835665547</v>
      </c>
    </row>
    <row r="837" spans="1:33" ht="11.25" customHeight="1" x14ac:dyDescent="0.25">
      <c r="A837" s="3" t="s">
        <v>21</v>
      </c>
      <c r="B837" s="3" t="s">
        <v>41</v>
      </c>
      <c r="C837" s="3" t="s">
        <v>42</v>
      </c>
      <c r="D837" s="3" t="s">
        <v>38</v>
      </c>
      <c r="E837" s="3" t="s">
        <v>25</v>
      </c>
      <c r="F837" s="3" t="s">
        <v>25</v>
      </c>
      <c r="G837" s="3" t="s">
        <v>25</v>
      </c>
      <c r="H837" s="3" t="s">
        <v>25</v>
      </c>
      <c r="I837" s="6">
        <v>44287</v>
      </c>
      <c r="J837" s="4">
        <v>40150</v>
      </c>
      <c r="K837" s="4">
        <v>40150</v>
      </c>
      <c r="L837" s="4">
        <v>0</v>
      </c>
      <c r="M837" s="4">
        <v>0</v>
      </c>
      <c r="N837" s="4">
        <v>0</v>
      </c>
      <c r="O837" s="4">
        <v>0</v>
      </c>
      <c r="P837" s="4">
        <v>211</v>
      </c>
      <c r="Q837" s="3" t="s">
        <v>26</v>
      </c>
      <c r="R837" s="3">
        <v>0</v>
      </c>
      <c r="S837" s="4">
        <v>44</v>
      </c>
      <c r="T837" s="4">
        <v>0</v>
      </c>
      <c r="U837" s="4">
        <v>0</v>
      </c>
      <c r="V837" s="4">
        <v>24.31</v>
      </c>
      <c r="W837" s="4">
        <v>0</v>
      </c>
      <c r="X837" s="4">
        <v>0</v>
      </c>
      <c r="Y837" s="4">
        <v>27.784764762164471</v>
      </c>
      <c r="Z837" s="4"/>
      <c r="AA837" s="4"/>
      <c r="AB837" s="4">
        <v>976046.5</v>
      </c>
      <c r="AC837" s="4">
        <v>0</v>
      </c>
      <c r="AD837" s="4">
        <v>0</v>
      </c>
      <c r="AE837" s="4">
        <v>1115558.3052009034</v>
      </c>
      <c r="AF837" s="4">
        <v>0</v>
      </c>
      <c r="AG837" s="4">
        <v>0</v>
      </c>
    </row>
    <row r="838" spans="1:33" ht="11.25" customHeight="1" x14ac:dyDescent="0.25">
      <c r="A838" s="3" t="s">
        <v>28</v>
      </c>
      <c r="B838" s="3" t="s">
        <v>41</v>
      </c>
      <c r="C838" s="3" t="s">
        <v>42</v>
      </c>
      <c r="D838" s="3" t="s">
        <v>38</v>
      </c>
      <c r="E838" s="3" t="s">
        <v>25</v>
      </c>
      <c r="F838" s="3" t="s">
        <v>25</v>
      </c>
      <c r="G838" s="3" t="s">
        <v>25</v>
      </c>
      <c r="H838" s="3" t="s">
        <v>25</v>
      </c>
      <c r="I838" s="6">
        <v>44287</v>
      </c>
      <c r="J838" s="4">
        <v>635</v>
      </c>
      <c r="K838" s="4">
        <v>635</v>
      </c>
      <c r="L838" s="4">
        <v>0</v>
      </c>
      <c r="M838" s="4">
        <v>0</v>
      </c>
      <c r="N838" s="4">
        <v>0</v>
      </c>
      <c r="O838" s="4">
        <v>0</v>
      </c>
      <c r="P838" s="4">
        <v>3</v>
      </c>
      <c r="Q838" s="3" t="s">
        <v>26</v>
      </c>
      <c r="R838" s="3">
        <v>0</v>
      </c>
      <c r="S838" s="4">
        <v>44</v>
      </c>
      <c r="T838" s="4">
        <v>0</v>
      </c>
      <c r="U838" s="4">
        <v>0</v>
      </c>
      <c r="V838" s="4">
        <v>24.31</v>
      </c>
      <c r="W838" s="4">
        <v>0</v>
      </c>
      <c r="X838" s="4">
        <v>0</v>
      </c>
      <c r="Y838" s="4">
        <v>27.784764762164471</v>
      </c>
      <c r="Z838" s="4"/>
      <c r="AA838" s="4"/>
      <c r="AB838" s="4">
        <v>15436.849999999999</v>
      </c>
      <c r="AC838" s="4">
        <v>0</v>
      </c>
      <c r="AD838" s="4">
        <v>0</v>
      </c>
      <c r="AE838" s="4">
        <v>17643.325623974441</v>
      </c>
      <c r="AF838" s="4">
        <v>0</v>
      </c>
      <c r="AG838" s="4">
        <v>0</v>
      </c>
    </row>
    <row r="839" spans="1:33" ht="11.25" customHeight="1" x14ac:dyDescent="0.25">
      <c r="A839" s="3" t="s">
        <v>21</v>
      </c>
      <c r="B839" s="3" t="s">
        <v>41</v>
      </c>
      <c r="C839" s="3" t="s">
        <v>42</v>
      </c>
      <c r="D839" s="3" t="s">
        <v>38</v>
      </c>
      <c r="E839" s="3" t="s">
        <v>25</v>
      </c>
      <c r="F839" s="3" t="s">
        <v>25</v>
      </c>
      <c r="G839" s="3" t="s">
        <v>25</v>
      </c>
      <c r="H839" s="3" t="s">
        <v>25</v>
      </c>
      <c r="I839" s="6">
        <v>44317</v>
      </c>
      <c r="J839" s="4">
        <v>37710</v>
      </c>
      <c r="K839" s="4">
        <v>37710</v>
      </c>
      <c r="L839" s="4">
        <v>0</v>
      </c>
      <c r="M839" s="4">
        <v>0</v>
      </c>
      <c r="N839" s="4">
        <v>0</v>
      </c>
      <c r="O839" s="4">
        <v>0</v>
      </c>
      <c r="P839" s="4">
        <v>206</v>
      </c>
      <c r="Q839" s="3" t="s">
        <v>26</v>
      </c>
      <c r="R839" s="3">
        <v>0</v>
      </c>
      <c r="S839" s="4">
        <v>44</v>
      </c>
      <c r="T839" s="4">
        <v>0</v>
      </c>
      <c r="U839" s="4">
        <v>0</v>
      </c>
      <c r="V839" s="4">
        <v>24.31</v>
      </c>
      <c r="W839" s="4">
        <v>0</v>
      </c>
      <c r="X839" s="4">
        <v>0</v>
      </c>
      <c r="Y839" s="4">
        <v>27.784764762164471</v>
      </c>
      <c r="Z839" s="4"/>
      <c r="AA839" s="4"/>
      <c r="AB839" s="4">
        <v>916730.1</v>
      </c>
      <c r="AC839" s="4">
        <v>0</v>
      </c>
      <c r="AD839" s="4">
        <v>0</v>
      </c>
      <c r="AE839" s="4">
        <v>1047763.4791812222</v>
      </c>
      <c r="AF839" s="4">
        <v>0</v>
      </c>
      <c r="AG839" s="4">
        <v>0</v>
      </c>
    </row>
    <row r="840" spans="1:33" ht="11.25" customHeight="1" x14ac:dyDescent="0.25">
      <c r="A840" s="3" t="s">
        <v>28</v>
      </c>
      <c r="B840" s="3" t="s">
        <v>41</v>
      </c>
      <c r="C840" s="3" t="s">
        <v>42</v>
      </c>
      <c r="D840" s="3" t="s">
        <v>38</v>
      </c>
      <c r="E840" s="3" t="s">
        <v>25</v>
      </c>
      <c r="F840" s="3" t="s">
        <v>25</v>
      </c>
      <c r="G840" s="3" t="s">
        <v>25</v>
      </c>
      <c r="H840" s="3" t="s">
        <v>25</v>
      </c>
      <c r="I840" s="6">
        <v>44317</v>
      </c>
      <c r="J840" s="4">
        <v>1356</v>
      </c>
      <c r="K840" s="4">
        <v>1356</v>
      </c>
      <c r="L840" s="4">
        <v>0</v>
      </c>
      <c r="M840" s="4">
        <v>0</v>
      </c>
      <c r="N840" s="4">
        <v>0</v>
      </c>
      <c r="O840" s="4">
        <v>0</v>
      </c>
      <c r="P840" s="4">
        <v>4</v>
      </c>
      <c r="Q840" s="3" t="s">
        <v>26</v>
      </c>
      <c r="R840" s="3">
        <v>0</v>
      </c>
      <c r="S840" s="4">
        <v>44</v>
      </c>
      <c r="T840" s="4">
        <v>0</v>
      </c>
      <c r="U840" s="4">
        <v>0</v>
      </c>
      <c r="V840" s="4">
        <v>24.31</v>
      </c>
      <c r="W840" s="4">
        <v>0</v>
      </c>
      <c r="X840" s="4">
        <v>0</v>
      </c>
      <c r="Y840" s="4">
        <v>27.784764762164471</v>
      </c>
      <c r="Z840" s="4"/>
      <c r="AA840" s="4"/>
      <c r="AB840" s="4">
        <v>32964.36</v>
      </c>
      <c r="AC840" s="4">
        <v>0</v>
      </c>
      <c r="AD840" s="4">
        <v>0</v>
      </c>
      <c r="AE840" s="4">
        <v>37676.141017495022</v>
      </c>
      <c r="AF840" s="4">
        <v>0</v>
      </c>
      <c r="AG840" s="4">
        <v>0</v>
      </c>
    </row>
    <row r="841" spans="1:33" ht="11.25" customHeight="1" x14ac:dyDescent="0.25">
      <c r="A841" s="3" t="s">
        <v>21</v>
      </c>
      <c r="B841" s="3" t="s">
        <v>41</v>
      </c>
      <c r="C841" s="3" t="s">
        <v>42</v>
      </c>
      <c r="D841" s="3" t="s">
        <v>38</v>
      </c>
      <c r="E841" s="3" t="s">
        <v>25</v>
      </c>
      <c r="F841" s="3" t="s">
        <v>25</v>
      </c>
      <c r="G841" s="3" t="s">
        <v>25</v>
      </c>
      <c r="H841" s="3" t="s">
        <v>25</v>
      </c>
      <c r="I841" s="6">
        <v>44348</v>
      </c>
      <c r="J841" s="4">
        <v>35827</v>
      </c>
      <c r="K841" s="4">
        <v>35827</v>
      </c>
      <c r="L841" s="4">
        <v>0</v>
      </c>
      <c r="M841" s="4">
        <v>0</v>
      </c>
      <c r="N841" s="4">
        <v>0</v>
      </c>
      <c r="O841" s="4">
        <v>0</v>
      </c>
      <c r="P841" s="4">
        <v>203</v>
      </c>
      <c r="Q841" s="3" t="s">
        <v>26</v>
      </c>
      <c r="R841" s="3">
        <v>0</v>
      </c>
      <c r="S841" s="4">
        <v>44</v>
      </c>
      <c r="T841" s="4">
        <v>0</v>
      </c>
      <c r="U841" s="4">
        <v>0</v>
      </c>
      <c r="V841" s="4">
        <v>24.31</v>
      </c>
      <c r="W841" s="4">
        <v>0</v>
      </c>
      <c r="X841" s="4">
        <v>0</v>
      </c>
      <c r="Y841" s="4">
        <v>27.784764762164471</v>
      </c>
      <c r="Z841" s="4"/>
      <c r="AA841" s="4"/>
      <c r="AB841" s="4">
        <v>870954.37</v>
      </c>
      <c r="AC841" s="4">
        <v>0</v>
      </c>
      <c r="AD841" s="4">
        <v>0</v>
      </c>
      <c r="AE841" s="4">
        <v>995444.76713406655</v>
      </c>
      <c r="AF841" s="4">
        <v>0</v>
      </c>
      <c r="AG841" s="4">
        <v>0</v>
      </c>
    </row>
    <row r="842" spans="1:33" ht="11.25" customHeight="1" x14ac:dyDescent="0.25">
      <c r="A842" s="3" t="s">
        <v>28</v>
      </c>
      <c r="B842" s="3" t="s">
        <v>41</v>
      </c>
      <c r="C842" s="3" t="s">
        <v>42</v>
      </c>
      <c r="D842" s="3" t="s">
        <v>38</v>
      </c>
      <c r="E842" s="3" t="s">
        <v>25</v>
      </c>
      <c r="F842" s="3" t="s">
        <v>25</v>
      </c>
      <c r="G842" s="3" t="s">
        <v>25</v>
      </c>
      <c r="H842" s="3" t="s">
        <v>25</v>
      </c>
      <c r="I842" s="6">
        <v>44348</v>
      </c>
      <c r="J842" s="4">
        <v>1376</v>
      </c>
      <c r="K842" s="4">
        <v>1376</v>
      </c>
      <c r="L842" s="4">
        <v>0</v>
      </c>
      <c r="M842" s="4">
        <v>0</v>
      </c>
      <c r="N842" s="4">
        <v>0</v>
      </c>
      <c r="O842" s="4">
        <v>0</v>
      </c>
      <c r="P842" s="4">
        <v>4</v>
      </c>
      <c r="Q842" s="3" t="s">
        <v>26</v>
      </c>
      <c r="R842" s="3">
        <v>0</v>
      </c>
      <c r="S842" s="4">
        <v>44</v>
      </c>
      <c r="T842" s="4">
        <v>0</v>
      </c>
      <c r="U842" s="4">
        <v>0</v>
      </c>
      <c r="V842" s="4">
        <v>24.31</v>
      </c>
      <c r="W842" s="4">
        <v>0</v>
      </c>
      <c r="X842" s="4">
        <v>0</v>
      </c>
      <c r="Y842" s="4">
        <v>27.784764762164471</v>
      </c>
      <c r="Z842" s="4"/>
      <c r="AA842" s="4"/>
      <c r="AB842" s="4">
        <v>33450.559999999998</v>
      </c>
      <c r="AC842" s="4">
        <v>0</v>
      </c>
      <c r="AD842" s="4">
        <v>0</v>
      </c>
      <c r="AE842" s="4">
        <v>38231.836312738313</v>
      </c>
      <c r="AF842" s="4">
        <v>0</v>
      </c>
      <c r="AG842" s="4">
        <v>0</v>
      </c>
    </row>
    <row r="843" spans="1:33" ht="11.25" customHeight="1" x14ac:dyDescent="0.25">
      <c r="A843" s="3" t="s">
        <v>21</v>
      </c>
      <c r="B843" s="3" t="s">
        <v>41</v>
      </c>
      <c r="C843" s="3" t="s">
        <v>42</v>
      </c>
      <c r="D843" s="3" t="s">
        <v>38</v>
      </c>
      <c r="E843" s="3" t="s">
        <v>25</v>
      </c>
      <c r="F843" s="3" t="s">
        <v>25</v>
      </c>
      <c r="G843" s="3" t="s">
        <v>25</v>
      </c>
      <c r="H843" s="3" t="s">
        <v>25</v>
      </c>
      <c r="I843" s="6">
        <v>44378</v>
      </c>
      <c r="J843" s="4">
        <v>35181</v>
      </c>
      <c r="K843" s="4">
        <v>35181</v>
      </c>
      <c r="L843" s="4">
        <v>0</v>
      </c>
      <c r="M843" s="4">
        <v>0</v>
      </c>
      <c r="N843" s="4">
        <v>0</v>
      </c>
      <c r="O843" s="4">
        <v>0</v>
      </c>
      <c r="P843" s="4">
        <v>199</v>
      </c>
      <c r="Q843" s="3" t="s">
        <v>26</v>
      </c>
      <c r="R843" s="3">
        <v>0</v>
      </c>
      <c r="S843" s="4">
        <v>44</v>
      </c>
      <c r="T843" s="4">
        <v>0</v>
      </c>
      <c r="U843" s="4">
        <v>0</v>
      </c>
      <c r="V843" s="4">
        <v>24.31</v>
      </c>
      <c r="W843" s="4">
        <v>0</v>
      </c>
      <c r="X843" s="4">
        <v>0</v>
      </c>
      <c r="Y843" s="4">
        <v>27.784764762164471</v>
      </c>
      <c r="Z843" s="4"/>
      <c r="AA843" s="4"/>
      <c r="AB843" s="4">
        <v>855250.11</v>
      </c>
      <c r="AC843" s="4">
        <v>0</v>
      </c>
      <c r="AD843" s="4">
        <v>0</v>
      </c>
      <c r="AE843" s="4">
        <v>977495.8090977082</v>
      </c>
      <c r="AF843" s="4">
        <v>0</v>
      </c>
      <c r="AG843" s="4">
        <v>0</v>
      </c>
    </row>
    <row r="844" spans="1:33" ht="11.25" customHeight="1" x14ac:dyDescent="0.25">
      <c r="A844" s="3" t="s">
        <v>28</v>
      </c>
      <c r="B844" s="3" t="s">
        <v>41</v>
      </c>
      <c r="C844" s="3" t="s">
        <v>42</v>
      </c>
      <c r="D844" s="3" t="s">
        <v>38</v>
      </c>
      <c r="E844" s="3" t="s">
        <v>25</v>
      </c>
      <c r="F844" s="3" t="s">
        <v>25</v>
      </c>
      <c r="G844" s="3" t="s">
        <v>25</v>
      </c>
      <c r="H844" s="3" t="s">
        <v>25</v>
      </c>
      <c r="I844" s="6">
        <v>44378</v>
      </c>
      <c r="J844" s="4">
        <v>1366</v>
      </c>
      <c r="K844" s="4">
        <v>1366</v>
      </c>
      <c r="L844" s="4">
        <v>0</v>
      </c>
      <c r="M844" s="4">
        <v>0</v>
      </c>
      <c r="N844" s="4">
        <v>0</v>
      </c>
      <c r="O844" s="4">
        <v>0</v>
      </c>
      <c r="P844" s="4">
        <v>4</v>
      </c>
      <c r="Q844" s="3" t="s">
        <v>26</v>
      </c>
      <c r="R844" s="3">
        <v>0</v>
      </c>
      <c r="S844" s="4">
        <v>44</v>
      </c>
      <c r="T844" s="4">
        <v>0</v>
      </c>
      <c r="U844" s="4">
        <v>0</v>
      </c>
      <c r="V844" s="4">
        <v>24.31</v>
      </c>
      <c r="W844" s="4">
        <v>0</v>
      </c>
      <c r="X844" s="4">
        <v>0</v>
      </c>
      <c r="Y844" s="4">
        <v>27.784764762164471</v>
      </c>
      <c r="Z844" s="4"/>
      <c r="AA844" s="4"/>
      <c r="AB844" s="4">
        <v>33207.46</v>
      </c>
      <c r="AC844" s="4">
        <v>0</v>
      </c>
      <c r="AD844" s="4">
        <v>0</v>
      </c>
      <c r="AE844" s="4">
        <v>37953.988665116667</v>
      </c>
      <c r="AF844" s="4">
        <v>0</v>
      </c>
      <c r="AG844" s="4">
        <v>0</v>
      </c>
    </row>
    <row r="845" spans="1:33" ht="11.25" customHeight="1" x14ac:dyDescent="0.25">
      <c r="A845" s="3" t="s">
        <v>21</v>
      </c>
      <c r="B845" s="3" t="s">
        <v>41</v>
      </c>
      <c r="C845" s="3" t="s">
        <v>42</v>
      </c>
      <c r="D845" s="3" t="s">
        <v>38</v>
      </c>
      <c r="E845" s="3" t="s">
        <v>25</v>
      </c>
      <c r="F845" s="3" t="s">
        <v>25</v>
      </c>
      <c r="G845" s="3" t="s">
        <v>25</v>
      </c>
      <c r="H845" s="3" t="s">
        <v>25</v>
      </c>
      <c r="I845" s="6">
        <v>44409</v>
      </c>
      <c r="J845" s="4">
        <v>33861</v>
      </c>
      <c r="K845" s="4">
        <v>33861</v>
      </c>
      <c r="L845" s="4">
        <v>0</v>
      </c>
      <c r="M845" s="4">
        <v>0</v>
      </c>
      <c r="N845" s="4">
        <v>0</v>
      </c>
      <c r="O845" s="4">
        <v>0</v>
      </c>
      <c r="P845" s="4">
        <v>198</v>
      </c>
      <c r="Q845" s="3" t="s">
        <v>26</v>
      </c>
      <c r="R845" s="3">
        <v>0</v>
      </c>
      <c r="S845" s="4">
        <v>44</v>
      </c>
      <c r="T845" s="4">
        <v>0</v>
      </c>
      <c r="U845" s="4">
        <v>0</v>
      </c>
      <c r="V845" s="4">
        <v>24.31</v>
      </c>
      <c r="W845" s="4">
        <v>0</v>
      </c>
      <c r="X845" s="4">
        <v>0</v>
      </c>
      <c r="Y845" s="4">
        <v>27.784764762164471</v>
      </c>
      <c r="Z845" s="4"/>
      <c r="AA845" s="4"/>
      <c r="AB845" s="4">
        <v>823160.90999999992</v>
      </c>
      <c r="AC845" s="4">
        <v>0</v>
      </c>
      <c r="AD845" s="4">
        <v>0</v>
      </c>
      <c r="AE845" s="4">
        <v>940819.9196116511</v>
      </c>
      <c r="AF845" s="4">
        <v>0</v>
      </c>
      <c r="AG845" s="4">
        <v>0</v>
      </c>
    </row>
    <row r="846" spans="1:33" ht="11.25" customHeight="1" x14ac:dyDescent="0.25">
      <c r="A846" s="3" t="s">
        <v>28</v>
      </c>
      <c r="B846" s="3" t="s">
        <v>41</v>
      </c>
      <c r="C846" s="3" t="s">
        <v>42</v>
      </c>
      <c r="D846" s="3" t="s">
        <v>38</v>
      </c>
      <c r="E846" s="3" t="s">
        <v>25</v>
      </c>
      <c r="F846" s="3" t="s">
        <v>25</v>
      </c>
      <c r="G846" s="3" t="s">
        <v>25</v>
      </c>
      <c r="H846" s="3" t="s">
        <v>25</v>
      </c>
      <c r="I846" s="6">
        <v>44409</v>
      </c>
      <c r="J846" s="4">
        <v>1643</v>
      </c>
      <c r="K846" s="4">
        <v>1643</v>
      </c>
      <c r="L846" s="4">
        <v>0</v>
      </c>
      <c r="M846" s="4">
        <v>0</v>
      </c>
      <c r="N846" s="4">
        <v>0</v>
      </c>
      <c r="O846" s="4">
        <v>0</v>
      </c>
      <c r="P846" s="4">
        <v>5</v>
      </c>
      <c r="Q846" s="3" t="s">
        <v>26</v>
      </c>
      <c r="R846" s="3">
        <v>0</v>
      </c>
      <c r="S846" s="4">
        <v>44</v>
      </c>
      <c r="T846" s="4">
        <v>0</v>
      </c>
      <c r="U846" s="4">
        <v>0</v>
      </c>
      <c r="V846" s="4">
        <v>24.31</v>
      </c>
      <c r="W846" s="4">
        <v>0</v>
      </c>
      <c r="X846" s="4">
        <v>0</v>
      </c>
      <c r="Y846" s="4">
        <v>27.784764762164471</v>
      </c>
      <c r="Z846" s="4"/>
      <c r="AA846" s="4"/>
      <c r="AB846" s="4">
        <v>39941.329999999994</v>
      </c>
      <c r="AC846" s="4">
        <v>0</v>
      </c>
      <c r="AD846" s="4">
        <v>0</v>
      </c>
      <c r="AE846" s="4">
        <v>45650.368504236227</v>
      </c>
      <c r="AF846" s="4">
        <v>0</v>
      </c>
      <c r="AG846" s="4">
        <v>0</v>
      </c>
    </row>
    <row r="847" spans="1:33" ht="11.25" customHeight="1" x14ac:dyDescent="0.25">
      <c r="A847" s="3" t="s">
        <v>21</v>
      </c>
      <c r="B847" s="3" t="s">
        <v>41</v>
      </c>
      <c r="C847" s="3" t="s">
        <v>42</v>
      </c>
      <c r="D847" s="3" t="s">
        <v>38</v>
      </c>
      <c r="E847" s="3" t="s">
        <v>25</v>
      </c>
      <c r="F847" s="3" t="s">
        <v>25</v>
      </c>
      <c r="G847" s="3" t="s">
        <v>25</v>
      </c>
      <c r="H847" s="3" t="s">
        <v>25</v>
      </c>
      <c r="I847" s="6">
        <v>44409</v>
      </c>
      <c r="J847" s="4">
        <v>719</v>
      </c>
      <c r="K847" s="4">
        <v>719</v>
      </c>
      <c r="L847" s="4">
        <v>0</v>
      </c>
      <c r="M847" s="4">
        <v>0</v>
      </c>
      <c r="N847" s="4">
        <v>0</v>
      </c>
      <c r="O847" s="4">
        <v>0</v>
      </c>
      <c r="P847" s="4">
        <v>1</v>
      </c>
      <c r="Q847" s="3" t="s">
        <v>57</v>
      </c>
      <c r="R847" s="3">
        <v>0</v>
      </c>
      <c r="S847" s="4">
        <v>44</v>
      </c>
      <c r="T847" s="4">
        <v>0</v>
      </c>
      <c r="U847" s="4">
        <v>0</v>
      </c>
      <c r="V847" s="4">
        <v>24.31</v>
      </c>
      <c r="W847" s="4">
        <v>0</v>
      </c>
      <c r="X847" s="4">
        <v>0</v>
      </c>
      <c r="Y847" s="4">
        <v>27.784764762164471</v>
      </c>
      <c r="Z847" s="4"/>
      <c r="AA847" s="4"/>
      <c r="AB847" s="4">
        <v>17478.89</v>
      </c>
      <c r="AC847" s="4">
        <v>0</v>
      </c>
      <c r="AD847" s="4">
        <v>0</v>
      </c>
      <c r="AE847" s="4">
        <v>19977.245863996253</v>
      </c>
      <c r="AF847" s="4">
        <v>0</v>
      </c>
      <c r="AG847" s="4">
        <v>0</v>
      </c>
    </row>
    <row r="848" spans="1:33" ht="11.25" customHeight="1" x14ac:dyDescent="0.25">
      <c r="A848" s="3" t="s">
        <v>21</v>
      </c>
      <c r="B848" s="3" t="s">
        <v>41</v>
      </c>
      <c r="C848" s="3" t="s">
        <v>42</v>
      </c>
      <c r="D848" s="3" t="s">
        <v>38</v>
      </c>
      <c r="E848" s="3" t="s">
        <v>25</v>
      </c>
      <c r="F848" s="3" t="s">
        <v>25</v>
      </c>
      <c r="G848" s="3" t="s">
        <v>25</v>
      </c>
      <c r="H848" s="3" t="s">
        <v>25</v>
      </c>
      <c r="I848" s="6">
        <v>44440</v>
      </c>
      <c r="J848" s="4">
        <v>33643</v>
      </c>
      <c r="K848" s="4">
        <v>33643</v>
      </c>
      <c r="L848" s="4">
        <v>0</v>
      </c>
      <c r="M848" s="4">
        <v>0</v>
      </c>
      <c r="N848" s="4">
        <v>0</v>
      </c>
      <c r="O848" s="4">
        <v>0</v>
      </c>
      <c r="P848" s="4">
        <v>197</v>
      </c>
      <c r="Q848" s="3" t="s">
        <v>26</v>
      </c>
      <c r="R848" s="3">
        <v>0</v>
      </c>
      <c r="S848" s="4">
        <v>44</v>
      </c>
      <c r="T848" s="4">
        <v>0</v>
      </c>
      <c r="U848" s="4">
        <v>0</v>
      </c>
      <c r="V848" s="4">
        <v>24.31</v>
      </c>
      <c r="W848" s="4">
        <v>0</v>
      </c>
      <c r="X848" s="4">
        <v>0</v>
      </c>
      <c r="Y848" s="4">
        <v>27.784764762164471</v>
      </c>
      <c r="Z848" s="4"/>
      <c r="AA848" s="4"/>
      <c r="AB848" s="4">
        <v>817861.33</v>
      </c>
      <c r="AC848" s="4">
        <v>0</v>
      </c>
      <c r="AD848" s="4">
        <v>0</v>
      </c>
      <c r="AE848" s="4">
        <v>934762.84089349932</v>
      </c>
      <c r="AF848" s="4">
        <v>0</v>
      </c>
      <c r="AG848" s="4">
        <v>0</v>
      </c>
    </row>
    <row r="849" spans="1:33" ht="11.25" customHeight="1" x14ac:dyDescent="0.25">
      <c r="A849" s="3" t="s">
        <v>28</v>
      </c>
      <c r="B849" s="3" t="s">
        <v>41</v>
      </c>
      <c r="C849" s="3" t="s">
        <v>42</v>
      </c>
      <c r="D849" s="3" t="s">
        <v>38</v>
      </c>
      <c r="E849" s="3" t="s">
        <v>25</v>
      </c>
      <c r="F849" s="3" t="s">
        <v>25</v>
      </c>
      <c r="G849" s="3" t="s">
        <v>25</v>
      </c>
      <c r="H849" s="3" t="s">
        <v>25</v>
      </c>
      <c r="I849" s="6">
        <v>44440</v>
      </c>
      <c r="J849" s="4">
        <v>1737</v>
      </c>
      <c r="K849" s="4">
        <v>1737</v>
      </c>
      <c r="L849" s="4">
        <v>0</v>
      </c>
      <c r="M849" s="4">
        <v>0</v>
      </c>
      <c r="N849" s="4">
        <v>0</v>
      </c>
      <c r="O849" s="4">
        <v>0</v>
      </c>
      <c r="P849" s="4">
        <v>6</v>
      </c>
      <c r="Q849" s="3" t="s">
        <v>26</v>
      </c>
      <c r="R849" s="3">
        <v>0</v>
      </c>
      <c r="S849" s="4">
        <v>44</v>
      </c>
      <c r="T849" s="4">
        <v>0</v>
      </c>
      <c r="U849" s="4">
        <v>0</v>
      </c>
      <c r="V849" s="4">
        <v>24.31</v>
      </c>
      <c r="W849" s="4">
        <v>0</v>
      </c>
      <c r="X849" s="4">
        <v>0</v>
      </c>
      <c r="Y849" s="4">
        <v>27.784764762164471</v>
      </c>
      <c r="Z849" s="4"/>
      <c r="AA849" s="4"/>
      <c r="AB849" s="4">
        <v>42226.47</v>
      </c>
      <c r="AC849" s="4">
        <v>0</v>
      </c>
      <c r="AD849" s="4">
        <v>0</v>
      </c>
      <c r="AE849" s="4">
        <v>48262.136391879685</v>
      </c>
      <c r="AF849" s="4">
        <v>0</v>
      </c>
      <c r="AG849" s="4">
        <v>0</v>
      </c>
    </row>
    <row r="850" spans="1:33" ht="11.25" customHeight="1" x14ac:dyDescent="0.25">
      <c r="A850" s="3" t="s">
        <v>21</v>
      </c>
      <c r="B850" s="3" t="s">
        <v>41</v>
      </c>
      <c r="C850" s="3" t="s">
        <v>42</v>
      </c>
      <c r="D850" s="3" t="s">
        <v>38</v>
      </c>
      <c r="E850" s="3" t="s">
        <v>25</v>
      </c>
      <c r="F850" s="3" t="s">
        <v>25</v>
      </c>
      <c r="G850" s="3" t="s">
        <v>25</v>
      </c>
      <c r="H850" s="3" t="s">
        <v>25</v>
      </c>
      <c r="I850" s="6">
        <v>44470</v>
      </c>
      <c r="J850" s="4">
        <v>33559</v>
      </c>
      <c r="K850" s="4">
        <v>33559</v>
      </c>
      <c r="L850" s="4">
        <v>0</v>
      </c>
      <c r="M850" s="4">
        <v>0</v>
      </c>
      <c r="N850" s="4">
        <v>0</v>
      </c>
      <c r="O850" s="4">
        <v>0</v>
      </c>
      <c r="P850" s="4">
        <v>197</v>
      </c>
      <c r="Q850" s="3" t="s">
        <v>26</v>
      </c>
      <c r="R850" s="3">
        <v>0</v>
      </c>
      <c r="S850" s="4">
        <v>44</v>
      </c>
      <c r="T850" s="4">
        <v>0</v>
      </c>
      <c r="U850" s="4">
        <v>0</v>
      </c>
      <c r="V850" s="4">
        <v>24.31</v>
      </c>
      <c r="W850" s="4">
        <v>0</v>
      </c>
      <c r="X850" s="4">
        <v>0</v>
      </c>
      <c r="Y850" s="4">
        <v>27.784764762164471</v>
      </c>
      <c r="Z850" s="4"/>
      <c r="AA850" s="4"/>
      <c r="AB850" s="4">
        <v>815819.28999999992</v>
      </c>
      <c r="AC850" s="4">
        <v>0</v>
      </c>
      <c r="AD850" s="4">
        <v>0</v>
      </c>
      <c r="AE850" s="4">
        <v>932428.92065347754</v>
      </c>
      <c r="AF850" s="4">
        <v>0</v>
      </c>
      <c r="AG850" s="4">
        <v>0</v>
      </c>
    </row>
    <row r="851" spans="1:33" ht="11.25" customHeight="1" x14ac:dyDescent="0.25">
      <c r="A851" s="3" t="s">
        <v>28</v>
      </c>
      <c r="B851" s="3" t="s">
        <v>41</v>
      </c>
      <c r="C851" s="3" t="s">
        <v>42</v>
      </c>
      <c r="D851" s="3" t="s">
        <v>38</v>
      </c>
      <c r="E851" s="3" t="s">
        <v>25</v>
      </c>
      <c r="F851" s="3" t="s">
        <v>25</v>
      </c>
      <c r="G851" s="3" t="s">
        <v>25</v>
      </c>
      <c r="H851" s="3" t="s">
        <v>25</v>
      </c>
      <c r="I851" s="6">
        <v>44470</v>
      </c>
      <c r="J851" s="4">
        <v>1805</v>
      </c>
      <c r="K851" s="4">
        <v>1805</v>
      </c>
      <c r="L851" s="4">
        <v>0</v>
      </c>
      <c r="M851" s="4">
        <v>0</v>
      </c>
      <c r="N851" s="4">
        <v>0</v>
      </c>
      <c r="O851" s="4">
        <v>0</v>
      </c>
      <c r="P851" s="4">
        <v>7</v>
      </c>
      <c r="Q851" s="3" t="s">
        <v>26</v>
      </c>
      <c r="R851" s="3">
        <v>0</v>
      </c>
      <c r="S851" s="4">
        <v>44</v>
      </c>
      <c r="T851" s="4">
        <v>0</v>
      </c>
      <c r="U851" s="4">
        <v>0</v>
      </c>
      <c r="V851" s="4">
        <v>24.31</v>
      </c>
      <c r="W851" s="4">
        <v>0</v>
      </c>
      <c r="X851" s="4">
        <v>0</v>
      </c>
      <c r="Y851" s="4">
        <v>27.784764762164471</v>
      </c>
      <c r="Z851" s="4"/>
      <c r="AA851" s="4"/>
      <c r="AB851" s="4">
        <v>43879.549999999996</v>
      </c>
      <c r="AC851" s="4">
        <v>0</v>
      </c>
      <c r="AD851" s="4">
        <v>0</v>
      </c>
      <c r="AE851" s="4">
        <v>50151.500395706869</v>
      </c>
      <c r="AF851" s="4">
        <v>0</v>
      </c>
      <c r="AG851" s="4">
        <v>0</v>
      </c>
    </row>
    <row r="852" spans="1:33" ht="11.25" customHeight="1" x14ac:dyDescent="0.25">
      <c r="A852" s="3" t="s">
        <v>21</v>
      </c>
      <c r="B852" s="3" t="s">
        <v>41</v>
      </c>
      <c r="C852" s="3" t="s">
        <v>42</v>
      </c>
      <c r="D852" s="3" t="s">
        <v>38</v>
      </c>
      <c r="E852" s="3" t="s">
        <v>25</v>
      </c>
      <c r="F852" s="3" t="s">
        <v>25</v>
      </c>
      <c r="G852" s="3" t="s">
        <v>25</v>
      </c>
      <c r="H852" s="3" t="s">
        <v>25</v>
      </c>
      <c r="I852" s="6">
        <v>44501</v>
      </c>
      <c r="J852" s="4">
        <v>33780</v>
      </c>
      <c r="K852" s="4">
        <v>33780</v>
      </c>
      <c r="L852" s="4">
        <v>0</v>
      </c>
      <c r="M852" s="4">
        <v>0</v>
      </c>
      <c r="N852" s="4">
        <v>0</v>
      </c>
      <c r="O852" s="4">
        <v>0</v>
      </c>
      <c r="P852" s="4">
        <v>197</v>
      </c>
      <c r="Q852" s="3" t="s">
        <v>26</v>
      </c>
      <c r="R852" s="3">
        <v>0</v>
      </c>
      <c r="S852" s="4">
        <v>44</v>
      </c>
      <c r="T852" s="4">
        <v>0</v>
      </c>
      <c r="U852" s="4">
        <v>0</v>
      </c>
      <c r="V852" s="4">
        <v>24.31</v>
      </c>
      <c r="W852" s="4">
        <v>0</v>
      </c>
      <c r="X852" s="4">
        <v>0</v>
      </c>
      <c r="Y852" s="4">
        <v>27.784764762164471</v>
      </c>
      <c r="Z852" s="4"/>
      <c r="AA852" s="4"/>
      <c r="AB852" s="4">
        <v>821191.79999999993</v>
      </c>
      <c r="AC852" s="4">
        <v>0</v>
      </c>
      <c r="AD852" s="4">
        <v>0</v>
      </c>
      <c r="AE852" s="4">
        <v>938569.35366591578</v>
      </c>
      <c r="AF852" s="4">
        <v>0</v>
      </c>
      <c r="AG852" s="4">
        <v>0</v>
      </c>
    </row>
    <row r="853" spans="1:33" ht="11.25" customHeight="1" x14ac:dyDescent="0.25">
      <c r="A853" s="3" t="s">
        <v>28</v>
      </c>
      <c r="B853" s="3" t="s">
        <v>41</v>
      </c>
      <c r="C853" s="3" t="s">
        <v>42</v>
      </c>
      <c r="D853" s="3" t="s">
        <v>38</v>
      </c>
      <c r="E853" s="3" t="s">
        <v>25</v>
      </c>
      <c r="F853" s="3" t="s">
        <v>25</v>
      </c>
      <c r="G853" s="3" t="s">
        <v>25</v>
      </c>
      <c r="H853" s="3" t="s">
        <v>25</v>
      </c>
      <c r="I853" s="6">
        <v>44501</v>
      </c>
      <c r="J853" s="4">
        <v>1801</v>
      </c>
      <c r="K853" s="4">
        <v>1801</v>
      </c>
      <c r="L853" s="4">
        <v>0</v>
      </c>
      <c r="M853" s="4">
        <v>0</v>
      </c>
      <c r="N853" s="4">
        <v>0</v>
      </c>
      <c r="O853" s="4">
        <v>0</v>
      </c>
      <c r="P853" s="4">
        <v>7</v>
      </c>
      <c r="Q853" s="3" t="s">
        <v>26</v>
      </c>
      <c r="R853" s="3">
        <v>0</v>
      </c>
      <c r="S853" s="4">
        <v>44</v>
      </c>
      <c r="T853" s="4">
        <v>0</v>
      </c>
      <c r="U853" s="4">
        <v>0</v>
      </c>
      <c r="V853" s="4">
        <v>24.31</v>
      </c>
      <c r="W853" s="4">
        <v>0</v>
      </c>
      <c r="X853" s="4">
        <v>0</v>
      </c>
      <c r="Y853" s="4">
        <v>27.784764762164471</v>
      </c>
      <c r="Z853" s="4"/>
      <c r="AA853" s="4"/>
      <c r="AB853" s="4">
        <v>43782.31</v>
      </c>
      <c r="AC853" s="4">
        <v>0</v>
      </c>
      <c r="AD853" s="4">
        <v>0</v>
      </c>
      <c r="AE853" s="4">
        <v>50040.361336658214</v>
      </c>
      <c r="AF853" s="4">
        <v>0</v>
      </c>
      <c r="AG853" s="4">
        <v>0</v>
      </c>
    </row>
    <row r="854" spans="1:33" ht="11.25" customHeight="1" x14ac:dyDescent="0.25">
      <c r="A854" s="3" t="s">
        <v>21</v>
      </c>
      <c r="B854" s="3" t="s">
        <v>41</v>
      </c>
      <c r="C854" s="3" t="s">
        <v>42</v>
      </c>
      <c r="D854" s="3" t="s">
        <v>38</v>
      </c>
      <c r="E854" s="3" t="s">
        <v>25</v>
      </c>
      <c r="F854" s="3" t="s">
        <v>25</v>
      </c>
      <c r="G854" s="3" t="s">
        <v>25</v>
      </c>
      <c r="H854" s="3" t="s">
        <v>25</v>
      </c>
      <c r="I854" s="6">
        <v>44531</v>
      </c>
      <c r="J854" s="4">
        <v>33262</v>
      </c>
      <c r="K854" s="4">
        <v>33262</v>
      </c>
      <c r="L854" s="4">
        <v>0</v>
      </c>
      <c r="M854" s="4">
        <v>0</v>
      </c>
      <c r="N854" s="4">
        <v>0</v>
      </c>
      <c r="O854" s="4">
        <v>0</v>
      </c>
      <c r="P854" s="4">
        <v>191</v>
      </c>
      <c r="Q854" s="3" t="s">
        <v>26</v>
      </c>
      <c r="R854" s="3">
        <v>0</v>
      </c>
      <c r="S854" s="4">
        <v>44</v>
      </c>
      <c r="T854" s="4">
        <v>0</v>
      </c>
      <c r="U854" s="4">
        <v>0</v>
      </c>
      <c r="V854" s="4">
        <v>24.31</v>
      </c>
      <c r="W854" s="4">
        <v>0</v>
      </c>
      <c r="X854" s="4">
        <v>0</v>
      </c>
      <c r="Y854" s="4">
        <v>27.784764762164471</v>
      </c>
      <c r="Z854" s="4"/>
      <c r="AA854" s="4"/>
      <c r="AB854" s="4">
        <v>808599.22</v>
      </c>
      <c r="AC854" s="4">
        <v>0</v>
      </c>
      <c r="AD854" s="4">
        <v>0</v>
      </c>
      <c r="AE854" s="4">
        <v>924176.84551911463</v>
      </c>
      <c r="AF854" s="4">
        <v>0</v>
      </c>
      <c r="AG854" s="4">
        <v>0</v>
      </c>
    </row>
    <row r="855" spans="1:33" ht="11.25" customHeight="1" x14ac:dyDescent="0.25">
      <c r="A855" s="3" t="s">
        <v>28</v>
      </c>
      <c r="B855" s="3" t="s">
        <v>41</v>
      </c>
      <c r="C855" s="3" t="s">
        <v>42</v>
      </c>
      <c r="D855" s="3" t="s">
        <v>38</v>
      </c>
      <c r="E855" s="3" t="s">
        <v>25</v>
      </c>
      <c r="F855" s="3" t="s">
        <v>25</v>
      </c>
      <c r="G855" s="3" t="s">
        <v>25</v>
      </c>
      <c r="H855" s="3" t="s">
        <v>25</v>
      </c>
      <c r="I855" s="6">
        <v>44531</v>
      </c>
      <c r="J855" s="4">
        <v>1857</v>
      </c>
      <c r="K855" s="4">
        <v>1857</v>
      </c>
      <c r="L855" s="4">
        <v>0</v>
      </c>
      <c r="M855" s="4">
        <v>0</v>
      </c>
      <c r="N855" s="4">
        <v>0</v>
      </c>
      <c r="O855" s="4">
        <v>0</v>
      </c>
      <c r="P855" s="4">
        <v>7</v>
      </c>
      <c r="Q855" s="3" t="s">
        <v>26</v>
      </c>
      <c r="R855" s="3">
        <v>0</v>
      </c>
      <c r="S855" s="4">
        <v>44</v>
      </c>
      <c r="T855" s="4">
        <v>0</v>
      </c>
      <c r="U855" s="4">
        <v>0</v>
      </c>
      <c r="V855" s="4">
        <v>24.31</v>
      </c>
      <c r="W855" s="4">
        <v>0</v>
      </c>
      <c r="X855" s="4">
        <v>0</v>
      </c>
      <c r="Y855" s="4">
        <v>27.784764762164471</v>
      </c>
      <c r="Z855" s="4"/>
      <c r="AA855" s="4"/>
      <c r="AB855" s="4">
        <v>45143.67</v>
      </c>
      <c r="AC855" s="4">
        <v>0</v>
      </c>
      <c r="AD855" s="4">
        <v>0</v>
      </c>
      <c r="AE855" s="4">
        <v>51596.308163339425</v>
      </c>
      <c r="AF855" s="4">
        <v>0</v>
      </c>
      <c r="AG855" s="4">
        <v>0</v>
      </c>
    </row>
    <row r="856" spans="1:33" ht="11.25" customHeight="1" x14ac:dyDescent="0.25">
      <c r="A856" s="3" t="s">
        <v>21</v>
      </c>
      <c r="B856" s="3" t="s">
        <v>41</v>
      </c>
      <c r="C856" s="3" t="s">
        <v>42</v>
      </c>
      <c r="D856" s="3" t="s">
        <v>38</v>
      </c>
      <c r="E856" s="3" t="s">
        <v>25</v>
      </c>
      <c r="F856" s="3" t="s">
        <v>25</v>
      </c>
      <c r="G856" s="3" t="s">
        <v>25</v>
      </c>
      <c r="H856" s="3" t="s">
        <v>25</v>
      </c>
      <c r="I856" s="6">
        <v>44562</v>
      </c>
      <c r="J856" s="4">
        <v>33117</v>
      </c>
      <c r="K856" s="4">
        <v>33117</v>
      </c>
      <c r="L856" s="4">
        <v>0</v>
      </c>
      <c r="M856" s="4">
        <v>0</v>
      </c>
      <c r="N856" s="4">
        <v>0</v>
      </c>
      <c r="O856" s="4">
        <v>0</v>
      </c>
      <c r="P856" s="4">
        <v>191</v>
      </c>
      <c r="Q856" s="3" t="s">
        <v>26</v>
      </c>
      <c r="R856" s="3">
        <v>0</v>
      </c>
      <c r="S856" s="4">
        <v>44</v>
      </c>
      <c r="T856" s="4">
        <v>0</v>
      </c>
      <c r="U856" s="4">
        <v>0</v>
      </c>
      <c r="V856" s="4">
        <v>24.31</v>
      </c>
      <c r="W856" s="4">
        <v>0</v>
      </c>
      <c r="X856" s="4">
        <v>0</v>
      </c>
      <c r="Y856" s="4">
        <v>27.784764762164471</v>
      </c>
      <c r="Z856" s="4"/>
      <c r="AA856" s="4"/>
      <c r="AB856" s="4">
        <v>805074.2699999999</v>
      </c>
      <c r="AC856" s="4">
        <v>0</v>
      </c>
      <c r="AD856" s="4">
        <v>0</v>
      </c>
      <c r="AE856" s="4">
        <v>920148.05462860083</v>
      </c>
      <c r="AF856" s="4">
        <v>0</v>
      </c>
      <c r="AG856" s="4">
        <v>0</v>
      </c>
    </row>
    <row r="857" spans="1:33" ht="11.25" customHeight="1" x14ac:dyDescent="0.25">
      <c r="A857" s="3" t="s">
        <v>28</v>
      </c>
      <c r="B857" s="3" t="s">
        <v>41</v>
      </c>
      <c r="C857" s="3" t="s">
        <v>42</v>
      </c>
      <c r="D857" s="3" t="s">
        <v>38</v>
      </c>
      <c r="E857" s="3" t="s">
        <v>25</v>
      </c>
      <c r="F857" s="3" t="s">
        <v>25</v>
      </c>
      <c r="G857" s="3" t="s">
        <v>25</v>
      </c>
      <c r="H857" s="3" t="s">
        <v>25</v>
      </c>
      <c r="I857" s="6">
        <v>44562</v>
      </c>
      <c r="J857" s="4">
        <v>1761</v>
      </c>
      <c r="K857" s="4">
        <v>1761</v>
      </c>
      <c r="L857" s="4">
        <v>0</v>
      </c>
      <c r="M857" s="4">
        <v>0</v>
      </c>
      <c r="N857" s="4">
        <v>0</v>
      </c>
      <c r="O857" s="4">
        <v>0</v>
      </c>
      <c r="P857" s="4">
        <v>7</v>
      </c>
      <c r="Q857" s="3" t="s">
        <v>26</v>
      </c>
      <c r="R857" s="3">
        <v>0</v>
      </c>
      <c r="S857" s="4">
        <v>44</v>
      </c>
      <c r="T857" s="4">
        <v>0</v>
      </c>
      <c r="U857" s="4">
        <v>0</v>
      </c>
      <c r="V857" s="4">
        <v>24.31</v>
      </c>
      <c r="W857" s="4">
        <v>0</v>
      </c>
      <c r="X857" s="4">
        <v>0</v>
      </c>
      <c r="Y857" s="4">
        <v>27.784764762164471</v>
      </c>
      <c r="Z857" s="4"/>
      <c r="AA857" s="4"/>
      <c r="AB857" s="4">
        <v>42809.909999999996</v>
      </c>
      <c r="AC857" s="4">
        <v>0</v>
      </c>
      <c r="AD857" s="4">
        <v>0</v>
      </c>
      <c r="AE857" s="4">
        <v>48928.970746171632</v>
      </c>
      <c r="AF857" s="4">
        <v>0</v>
      </c>
      <c r="AG857" s="4">
        <v>0</v>
      </c>
    </row>
    <row r="858" spans="1:33" ht="11.25" customHeight="1" x14ac:dyDescent="0.25">
      <c r="A858" s="3" t="s">
        <v>21</v>
      </c>
      <c r="B858" s="3" t="s">
        <v>41</v>
      </c>
      <c r="C858" s="3" t="s">
        <v>42</v>
      </c>
      <c r="D858" s="3" t="s">
        <v>38</v>
      </c>
      <c r="E858" s="3" t="s">
        <v>25</v>
      </c>
      <c r="F858" s="3" t="s">
        <v>25</v>
      </c>
      <c r="G858" s="3" t="s">
        <v>25</v>
      </c>
      <c r="H858" s="3" t="s">
        <v>25</v>
      </c>
      <c r="I858" s="6">
        <v>44593</v>
      </c>
      <c r="J858" s="4">
        <v>33184</v>
      </c>
      <c r="K858" s="4">
        <v>33184</v>
      </c>
      <c r="L858" s="4">
        <v>0</v>
      </c>
      <c r="M858" s="4">
        <v>0</v>
      </c>
      <c r="N858" s="4">
        <v>0</v>
      </c>
      <c r="O858" s="4">
        <v>0</v>
      </c>
      <c r="P858" s="4">
        <v>191</v>
      </c>
      <c r="Q858" s="3" t="s">
        <v>26</v>
      </c>
      <c r="R858" s="3">
        <v>0</v>
      </c>
      <c r="S858" s="4">
        <v>44</v>
      </c>
      <c r="T858" s="4">
        <v>0</v>
      </c>
      <c r="U858" s="4">
        <v>0</v>
      </c>
      <c r="V858" s="4">
        <v>24.31</v>
      </c>
      <c r="W858" s="4">
        <v>0</v>
      </c>
      <c r="X858" s="4">
        <v>0</v>
      </c>
      <c r="Y858" s="4">
        <v>27.784764762164471</v>
      </c>
      <c r="Z858" s="4"/>
      <c r="AA858" s="4"/>
      <c r="AB858" s="4">
        <v>806703.03999999992</v>
      </c>
      <c r="AC858" s="4">
        <v>0</v>
      </c>
      <c r="AD858" s="4">
        <v>0</v>
      </c>
      <c r="AE858" s="4">
        <v>922009.63386766578</v>
      </c>
      <c r="AF858" s="4">
        <v>0</v>
      </c>
      <c r="AG858" s="4">
        <v>0</v>
      </c>
    </row>
    <row r="859" spans="1:33" ht="11.25" customHeight="1" x14ac:dyDescent="0.25">
      <c r="A859" s="3" t="s">
        <v>27</v>
      </c>
      <c r="B859" s="3" t="s">
        <v>41</v>
      </c>
      <c r="C859" s="3" t="s">
        <v>42</v>
      </c>
      <c r="D859" s="3" t="s">
        <v>38</v>
      </c>
      <c r="E859" s="3" t="s">
        <v>25</v>
      </c>
      <c r="F859" s="3" t="s">
        <v>25</v>
      </c>
      <c r="G859" s="3" t="s">
        <v>25</v>
      </c>
      <c r="H859" s="3" t="s">
        <v>25</v>
      </c>
      <c r="I859" s="6">
        <v>44593</v>
      </c>
      <c r="J859" s="4">
        <v>-430</v>
      </c>
      <c r="K859" s="4">
        <v>-430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3" t="s">
        <v>26</v>
      </c>
      <c r="R859" s="3">
        <v>0</v>
      </c>
      <c r="S859" s="4">
        <v>44</v>
      </c>
      <c r="T859" s="4">
        <v>0</v>
      </c>
      <c r="U859" s="4">
        <v>0</v>
      </c>
      <c r="V859" s="4">
        <v>24.31</v>
      </c>
      <c r="W859" s="4">
        <v>0</v>
      </c>
      <c r="X859" s="4">
        <v>0</v>
      </c>
      <c r="Y859" s="4">
        <v>27.784764762164471</v>
      </c>
      <c r="Z859" s="4"/>
      <c r="AA859" s="4"/>
      <c r="AB859" s="4">
        <v>-10453.299999999999</v>
      </c>
      <c r="AC859" s="4">
        <v>0</v>
      </c>
      <c r="AD859" s="4">
        <v>0</v>
      </c>
      <c r="AE859" s="4">
        <v>-11947.448847730722</v>
      </c>
      <c r="AF859" s="4">
        <v>0</v>
      </c>
      <c r="AG859" s="4">
        <v>0</v>
      </c>
    </row>
    <row r="860" spans="1:33" ht="11.25" customHeight="1" x14ac:dyDescent="0.25">
      <c r="A860" s="3" t="s">
        <v>28</v>
      </c>
      <c r="B860" s="3" t="s">
        <v>41</v>
      </c>
      <c r="C860" s="3" t="s">
        <v>42</v>
      </c>
      <c r="D860" s="3" t="s">
        <v>38</v>
      </c>
      <c r="E860" s="3" t="s">
        <v>25</v>
      </c>
      <c r="F860" s="3" t="s">
        <v>25</v>
      </c>
      <c r="G860" s="3" t="s">
        <v>25</v>
      </c>
      <c r="H860" s="3" t="s">
        <v>25</v>
      </c>
      <c r="I860" s="6">
        <v>44593</v>
      </c>
      <c r="J860" s="4">
        <v>1782</v>
      </c>
      <c r="K860" s="4">
        <v>1782</v>
      </c>
      <c r="L860" s="4">
        <v>0</v>
      </c>
      <c r="M860" s="4">
        <v>0</v>
      </c>
      <c r="N860" s="4">
        <v>0</v>
      </c>
      <c r="O860" s="4">
        <v>0</v>
      </c>
      <c r="P860" s="4">
        <v>7</v>
      </c>
      <c r="Q860" s="3" t="s">
        <v>26</v>
      </c>
      <c r="R860" s="3">
        <v>0</v>
      </c>
      <c r="S860" s="4">
        <v>44</v>
      </c>
      <c r="T860" s="4">
        <v>0</v>
      </c>
      <c r="U860" s="4">
        <v>0</v>
      </c>
      <c r="V860" s="4">
        <v>24.31</v>
      </c>
      <c r="W860" s="4">
        <v>0</v>
      </c>
      <c r="X860" s="4">
        <v>0</v>
      </c>
      <c r="Y860" s="4">
        <v>27.784764762164471</v>
      </c>
      <c r="Z860" s="4"/>
      <c r="AA860" s="4"/>
      <c r="AB860" s="4">
        <v>43320.42</v>
      </c>
      <c r="AC860" s="4">
        <v>0</v>
      </c>
      <c r="AD860" s="4">
        <v>0</v>
      </c>
      <c r="AE860" s="4">
        <v>49512.45080617709</v>
      </c>
      <c r="AF860" s="4">
        <v>0</v>
      </c>
      <c r="AG860" s="4">
        <v>0</v>
      </c>
    </row>
    <row r="861" spans="1:33" ht="11.25" customHeight="1" x14ac:dyDescent="0.25">
      <c r="A861" s="3" t="s">
        <v>56</v>
      </c>
      <c r="B861" s="3" t="s">
        <v>41</v>
      </c>
      <c r="C861" s="3" t="s">
        <v>42</v>
      </c>
      <c r="D861" s="3" t="s">
        <v>38</v>
      </c>
      <c r="E861" s="3" t="s">
        <v>25</v>
      </c>
      <c r="F861" s="3" t="s">
        <v>25</v>
      </c>
      <c r="G861" s="3" t="s">
        <v>25</v>
      </c>
      <c r="H861" s="3" t="s">
        <v>25</v>
      </c>
      <c r="I861" s="6">
        <v>44621</v>
      </c>
      <c r="J861" s="4">
        <v>33184</v>
      </c>
      <c r="K861" s="4">
        <v>33184</v>
      </c>
      <c r="L861" s="4">
        <v>0</v>
      </c>
      <c r="M861" s="4">
        <v>0</v>
      </c>
      <c r="N861" s="4">
        <v>0</v>
      </c>
      <c r="O861" s="4">
        <v>0</v>
      </c>
      <c r="P861" s="4">
        <v>191</v>
      </c>
      <c r="Q861" s="3" t="s">
        <v>26</v>
      </c>
      <c r="R861" s="3">
        <v>0</v>
      </c>
      <c r="S861" s="4">
        <v>44</v>
      </c>
      <c r="T861" s="4">
        <v>0</v>
      </c>
      <c r="U861" s="4">
        <v>0</v>
      </c>
      <c r="V861" s="4">
        <v>24.31</v>
      </c>
      <c r="W861" s="4">
        <v>0</v>
      </c>
      <c r="X861" s="4">
        <v>0</v>
      </c>
      <c r="Y861" s="4">
        <v>27.784764762164471</v>
      </c>
      <c r="Z861" s="4"/>
      <c r="AA861" s="4"/>
      <c r="AB861" s="4">
        <v>806703.03999999992</v>
      </c>
      <c r="AC861" s="4">
        <v>0</v>
      </c>
      <c r="AD861" s="4">
        <v>0</v>
      </c>
      <c r="AE861" s="4">
        <v>922009.63386766578</v>
      </c>
      <c r="AF861" s="4">
        <v>0</v>
      </c>
      <c r="AG861" s="4">
        <v>0</v>
      </c>
    </row>
    <row r="862" spans="1:33" ht="11.25" customHeight="1" x14ac:dyDescent="0.25">
      <c r="A862" s="3" t="s">
        <v>56</v>
      </c>
      <c r="B862" s="3" t="s">
        <v>41</v>
      </c>
      <c r="C862" s="3" t="s">
        <v>42</v>
      </c>
      <c r="D862" s="3" t="s">
        <v>38</v>
      </c>
      <c r="E862" s="3" t="s">
        <v>25</v>
      </c>
      <c r="F862" s="3" t="s">
        <v>25</v>
      </c>
      <c r="G862" s="3" t="s">
        <v>25</v>
      </c>
      <c r="H862" s="3" t="s">
        <v>25</v>
      </c>
      <c r="I862" s="6">
        <v>44621</v>
      </c>
      <c r="J862" s="4">
        <v>-430</v>
      </c>
      <c r="K862" s="4">
        <v>-430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3" t="s">
        <v>26</v>
      </c>
      <c r="R862" s="3">
        <v>0</v>
      </c>
      <c r="S862" s="4">
        <v>44</v>
      </c>
      <c r="T862" s="4">
        <v>0</v>
      </c>
      <c r="U862" s="4">
        <v>0</v>
      </c>
      <c r="V862" s="4">
        <v>24.31</v>
      </c>
      <c r="W862" s="4">
        <v>0</v>
      </c>
      <c r="X862" s="4">
        <v>0</v>
      </c>
      <c r="Y862" s="4">
        <v>27.784764762164471</v>
      </c>
      <c r="Z862" s="4"/>
      <c r="AA862" s="4"/>
      <c r="AB862" s="4">
        <v>-10453.299999999999</v>
      </c>
      <c r="AC862" s="4">
        <v>0</v>
      </c>
      <c r="AD862" s="4">
        <v>0</v>
      </c>
      <c r="AE862" s="4">
        <v>-11947.448847730722</v>
      </c>
      <c r="AF862" s="4">
        <v>0</v>
      </c>
      <c r="AG862" s="4">
        <v>0</v>
      </c>
    </row>
    <row r="863" spans="1:33" ht="11.25" customHeight="1" x14ac:dyDescent="0.25">
      <c r="A863" s="3" t="s">
        <v>56</v>
      </c>
      <c r="B863" s="3" t="s">
        <v>41</v>
      </c>
      <c r="C863" s="3" t="s">
        <v>42</v>
      </c>
      <c r="D863" s="3" t="s">
        <v>38</v>
      </c>
      <c r="E863" s="3" t="s">
        <v>25</v>
      </c>
      <c r="F863" s="3" t="s">
        <v>25</v>
      </c>
      <c r="G863" s="3" t="s">
        <v>25</v>
      </c>
      <c r="H863" s="3" t="s">
        <v>25</v>
      </c>
      <c r="I863" s="6">
        <v>44621</v>
      </c>
      <c r="J863" s="4">
        <v>1782</v>
      </c>
      <c r="K863" s="4">
        <v>1782</v>
      </c>
      <c r="L863" s="4">
        <v>0</v>
      </c>
      <c r="M863" s="4">
        <v>0</v>
      </c>
      <c r="N863" s="4">
        <v>0</v>
      </c>
      <c r="O863" s="4">
        <v>0</v>
      </c>
      <c r="P863" s="4">
        <v>7</v>
      </c>
      <c r="Q863" s="3" t="s">
        <v>26</v>
      </c>
      <c r="R863" s="3">
        <v>0</v>
      </c>
      <c r="S863" s="4">
        <v>44</v>
      </c>
      <c r="T863" s="4">
        <v>0</v>
      </c>
      <c r="U863" s="4">
        <v>0</v>
      </c>
      <c r="V863" s="4">
        <v>24.31</v>
      </c>
      <c r="W863" s="4">
        <v>0</v>
      </c>
      <c r="X863" s="4">
        <v>0</v>
      </c>
      <c r="Y863" s="4">
        <v>27.784764762164471</v>
      </c>
      <c r="Z863" s="4"/>
      <c r="AA863" s="4"/>
      <c r="AB863" s="4">
        <v>43320.42</v>
      </c>
      <c r="AC863" s="4">
        <v>0</v>
      </c>
      <c r="AD863" s="4">
        <v>0</v>
      </c>
      <c r="AE863" s="4">
        <v>49512.45080617709</v>
      </c>
      <c r="AF863" s="4">
        <v>0</v>
      </c>
      <c r="AG863" s="4">
        <v>0</v>
      </c>
    </row>
    <row r="864" spans="1:33" ht="11.25" customHeight="1" x14ac:dyDescent="0.25">
      <c r="A864" s="3" t="s">
        <v>21</v>
      </c>
      <c r="B864" s="3" t="s">
        <v>41</v>
      </c>
      <c r="C864" s="3" t="s">
        <v>42</v>
      </c>
      <c r="D864" s="3" t="s">
        <v>38</v>
      </c>
      <c r="E864" s="3" t="s">
        <v>25</v>
      </c>
      <c r="F864" s="3" t="s">
        <v>25</v>
      </c>
      <c r="G864" s="3" t="s">
        <v>25</v>
      </c>
      <c r="H864" s="3" t="s">
        <v>34</v>
      </c>
      <c r="I864" s="6">
        <v>44287</v>
      </c>
      <c r="J864" s="4">
        <v>0</v>
      </c>
      <c r="K864" s="4">
        <v>0</v>
      </c>
      <c r="L864" s="4">
        <v>386.47</v>
      </c>
      <c r="M864" s="4">
        <v>386.47</v>
      </c>
      <c r="N864" s="4">
        <v>386.47</v>
      </c>
      <c r="O864" s="4">
        <v>386.47</v>
      </c>
      <c r="P864" s="4">
        <v>0</v>
      </c>
      <c r="Q864" s="3" t="s">
        <v>26</v>
      </c>
      <c r="R864" s="3">
        <v>0</v>
      </c>
      <c r="S864" s="4">
        <v>0</v>
      </c>
      <c r="T864" s="4">
        <v>20</v>
      </c>
      <c r="U864" s="4">
        <v>88</v>
      </c>
      <c r="V864" s="4">
        <v>0</v>
      </c>
      <c r="W864" s="4">
        <v>1564.59</v>
      </c>
      <c r="X864" s="4">
        <v>365.5</v>
      </c>
      <c r="Y864" s="4"/>
      <c r="Z864" s="4">
        <v>1923.7175020527629</v>
      </c>
      <c r="AA864" s="4">
        <v>381.42546590200942</v>
      </c>
      <c r="AB864" s="4">
        <v>0</v>
      </c>
      <c r="AC864" s="4">
        <v>604667.09730000002</v>
      </c>
      <c r="AD864" s="4">
        <v>141254.785</v>
      </c>
      <c r="AE864" s="4">
        <v>0</v>
      </c>
      <c r="AF864" s="4">
        <v>743459.10301833134</v>
      </c>
      <c r="AG864" s="4">
        <v>147409.49980714958</v>
      </c>
    </row>
    <row r="865" spans="1:33" ht="11.25" customHeight="1" x14ac:dyDescent="0.25">
      <c r="A865" s="3" t="s">
        <v>28</v>
      </c>
      <c r="B865" s="3" t="s">
        <v>41</v>
      </c>
      <c r="C865" s="3" t="s">
        <v>42</v>
      </c>
      <c r="D865" s="3" t="s">
        <v>38</v>
      </c>
      <c r="E865" s="3" t="s">
        <v>25</v>
      </c>
      <c r="F865" s="3" t="s">
        <v>25</v>
      </c>
      <c r="G865" s="3" t="s">
        <v>25</v>
      </c>
      <c r="H865" s="3" t="s">
        <v>34</v>
      </c>
      <c r="I865" s="6">
        <v>44287</v>
      </c>
      <c r="J865" s="4">
        <v>0</v>
      </c>
      <c r="K865" s="4">
        <v>0</v>
      </c>
      <c r="L865" s="4">
        <v>0.84</v>
      </c>
      <c r="M865" s="4">
        <v>0.84</v>
      </c>
      <c r="N865" s="4">
        <v>0.84</v>
      </c>
      <c r="O865" s="4">
        <v>0.84</v>
      </c>
      <c r="P865" s="4">
        <v>0</v>
      </c>
      <c r="Q865" s="3" t="s">
        <v>26</v>
      </c>
      <c r="R865" s="3">
        <v>0</v>
      </c>
      <c r="S865" s="4">
        <v>0</v>
      </c>
      <c r="T865" s="4">
        <v>20</v>
      </c>
      <c r="U865" s="4">
        <v>88</v>
      </c>
      <c r="V865" s="4">
        <v>0</v>
      </c>
      <c r="W865" s="4">
        <v>1564.59</v>
      </c>
      <c r="X865" s="4">
        <v>365.5</v>
      </c>
      <c r="Y865" s="4"/>
      <c r="Z865" s="4">
        <v>1923.7175020527629</v>
      </c>
      <c r="AA865" s="4">
        <v>381.42546590200942</v>
      </c>
      <c r="AB865" s="4">
        <v>0</v>
      </c>
      <c r="AC865" s="4">
        <v>1314.2556</v>
      </c>
      <c r="AD865" s="4">
        <v>307.02</v>
      </c>
      <c r="AE865" s="4">
        <v>0</v>
      </c>
      <c r="AF865" s="4">
        <v>1615.9227017243209</v>
      </c>
      <c r="AG865" s="4">
        <v>320.39739135768792</v>
      </c>
    </row>
    <row r="866" spans="1:33" ht="11.25" customHeight="1" x14ac:dyDescent="0.25">
      <c r="A866" s="3" t="s">
        <v>21</v>
      </c>
      <c r="B866" s="3" t="s">
        <v>41</v>
      </c>
      <c r="C866" s="3" t="s">
        <v>42</v>
      </c>
      <c r="D866" s="3" t="s">
        <v>38</v>
      </c>
      <c r="E866" s="3" t="s">
        <v>25</v>
      </c>
      <c r="F866" s="3" t="s">
        <v>25</v>
      </c>
      <c r="G866" s="3" t="s">
        <v>25</v>
      </c>
      <c r="H866" s="3" t="s">
        <v>34</v>
      </c>
      <c r="I866" s="6">
        <v>44317</v>
      </c>
      <c r="J866" s="4">
        <v>0</v>
      </c>
      <c r="K866" s="4">
        <v>0</v>
      </c>
      <c r="L866" s="4">
        <v>398.78699999999998</v>
      </c>
      <c r="M866" s="4">
        <v>398.78699999999998</v>
      </c>
      <c r="N866" s="4">
        <v>398.78699999999998</v>
      </c>
      <c r="O866" s="4">
        <v>398.78699999999998</v>
      </c>
      <c r="P866" s="4">
        <v>0</v>
      </c>
      <c r="Q866" s="3" t="s">
        <v>26</v>
      </c>
      <c r="R866" s="3">
        <v>0</v>
      </c>
      <c r="S866" s="4">
        <v>0</v>
      </c>
      <c r="T866" s="4">
        <v>20</v>
      </c>
      <c r="U866" s="4">
        <v>88</v>
      </c>
      <c r="V866" s="4">
        <v>0</v>
      </c>
      <c r="W866" s="4">
        <v>1564.59</v>
      </c>
      <c r="X866" s="4">
        <v>365.5</v>
      </c>
      <c r="Y866" s="4"/>
      <c r="Z866" s="4">
        <v>1923.7175020527629</v>
      </c>
      <c r="AA866" s="4">
        <v>381.42546590200942</v>
      </c>
      <c r="AB866" s="4">
        <v>0</v>
      </c>
      <c r="AC866" s="4">
        <v>623938.15232999995</v>
      </c>
      <c r="AD866" s="4">
        <v>145756.64849999998</v>
      </c>
      <c r="AE866" s="4">
        <v>0</v>
      </c>
      <c r="AF866" s="4">
        <v>767153.53149111511</v>
      </c>
      <c r="AG866" s="4">
        <v>152107.51727066463</v>
      </c>
    </row>
    <row r="867" spans="1:33" ht="11.25" customHeight="1" x14ac:dyDescent="0.25">
      <c r="A867" s="3" t="s">
        <v>28</v>
      </c>
      <c r="B867" s="3" t="s">
        <v>41</v>
      </c>
      <c r="C867" s="3" t="s">
        <v>42</v>
      </c>
      <c r="D867" s="3" t="s">
        <v>38</v>
      </c>
      <c r="E867" s="3" t="s">
        <v>25</v>
      </c>
      <c r="F867" s="3" t="s">
        <v>25</v>
      </c>
      <c r="G867" s="3" t="s">
        <v>25</v>
      </c>
      <c r="H867" s="3" t="s">
        <v>34</v>
      </c>
      <c r="I867" s="6">
        <v>44317</v>
      </c>
      <c r="J867" s="4">
        <v>0</v>
      </c>
      <c r="K867" s="4">
        <v>0</v>
      </c>
      <c r="L867" s="4">
        <v>2.38</v>
      </c>
      <c r="M867" s="4">
        <v>2.38</v>
      </c>
      <c r="N867" s="4">
        <v>2.38</v>
      </c>
      <c r="O867" s="4">
        <v>2.38</v>
      </c>
      <c r="P867" s="4">
        <v>0</v>
      </c>
      <c r="Q867" s="3" t="s">
        <v>26</v>
      </c>
      <c r="R867" s="3">
        <v>0</v>
      </c>
      <c r="S867" s="4">
        <v>0</v>
      </c>
      <c r="T867" s="4">
        <v>20</v>
      </c>
      <c r="U867" s="4">
        <v>88</v>
      </c>
      <c r="V867" s="4">
        <v>0</v>
      </c>
      <c r="W867" s="4">
        <v>1564.59</v>
      </c>
      <c r="X867" s="4">
        <v>365.5</v>
      </c>
      <c r="Y867" s="4"/>
      <c r="Z867" s="4">
        <v>1923.7175020527629</v>
      </c>
      <c r="AA867" s="4">
        <v>381.42546590200942</v>
      </c>
      <c r="AB867" s="4">
        <v>0</v>
      </c>
      <c r="AC867" s="4">
        <v>3723.7241999999997</v>
      </c>
      <c r="AD867" s="4">
        <v>869.89</v>
      </c>
      <c r="AE867" s="4">
        <v>0</v>
      </c>
      <c r="AF867" s="4">
        <v>4578.4476548855755</v>
      </c>
      <c r="AG867" s="4">
        <v>907.7926088467824</v>
      </c>
    </row>
    <row r="868" spans="1:33" ht="11.25" customHeight="1" x14ac:dyDescent="0.25">
      <c r="A868" s="3" t="s">
        <v>28</v>
      </c>
      <c r="B868" s="3" t="s">
        <v>41</v>
      </c>
      <c r="C868" s="3" t="s">
        <v>42</v>
      </c>
      <c r="D868" s="3" t="s">
        <v>38</v>
      </c>
      <c r="E868" s="3" t="s">
        <v>25</v>
      </c>
      <c r="F868" s="3" t="s">
        <v>25</v>
      </c>
      <c r="G868" s="3" t="s">
        <v>25</v>
      </c>
      <c r="H868" s="3" t="s">
        <v>34</v>
      </c>
      <c r="I868" s="6">
        <v>44317</v>
      </c>
      <c r="J868" s="4">
        <v>0</v>
      </c>
      <c r="K868" s="4">
        <v>0</v>
      </c>
      <c r="L868" s="4">
        <v>-0.42</v>
      </c>
      <c r="M868" s="4">
        <v>-0.42</v>
      </c>
      <c r="N868" s="4">
        <v>-0.42</v>
      </c>
      <c r="O868" s="4">
        <v>-0.42</v>
      </c>
      <c r="P868" s="4">
        <v>0</v>
      </c>
      <c r="Q868" s="3" t="s">
        <v>26</v>
      </c>
      <c r="R868" s="3">
        <v>0</v>
      </c>
      <c r="S868" s="4">
        <v>0</v>
      </c>
      <c r="T868" s="4">
        <v>20</v>
      </c>
      <c r="U868" s="4">
        <v>88</v>
      </c>
      <c r="V868" s="4">
        <v>0</v>
      </c>
      <c r="W868" s="4">
        <v>1564.59</v>
      </c>
      <c r="X868" s="4">
        <v>365.5</v>
      </c>
      <c r="Y868" s="4"/>
      <c r="Z868" s="4">
        <v>1923.7175020527629</v>
      </c>
      <c r="AA868" s="4">
        <v>381.42546590200942</v>
      </c>
      <c r="AB868" s="4">
        <v>0</v>
      </c>
      <c r="AC868" s="4">
        <v>-657.12779999999998</v>
      </c>
      <c r="AD868" s="4">
        <v>-153.51</v>
      </c>
      <c r="AE868" s="4">
        <v>0</v>
      </c>
      <c r="AF868" s="4">
        <v>-807.96135086216043</v>
      </c>
      <c r="AG868" s="4">
        <v>-160.19869567884396</v>
      </c>
    </row>
    <row r="869" spans="1:33" ht="11.25" customHeight="1" x14ac:dyDescent="0.25">
      <c r="A869" s="3" t="s">
        <v>21</v>
      </c>
      <c r="B869" s="3" t="s">
        <v>41</v>
      </c>
      <c r="C869" s="3" t="s">
        <v>42</v>
      </c>
      <c r="D869" s="3" t="s">
        <v>38</v>
      </c>
      <c r="E869" s="3" t="s">
        <v>25</v>
      </c>
      <c r="F869" s="3" t="s">
        <v>25</v>
      </c>
      <c r="G869" s="3" t="s">
        <v>25</v>
      </c>
      <c r="H869" s="3" t="s">
        <v>34</v>
      </c>
      <c r="I869" s="6">
        <v>44348</v>
      </c>
      <c r="J869" s="4">
        <v>0</v>
      </c>
      <c r="K869" s="4">
        <v>0</v>
      </c>
      <c r="L869" s="4">
        <v>368.85899999999998</v>
      </c>
      <c r="M869" s="4">
        <v>368.85899999999998</v>
      </c>
      <c r="N869" s="4">
        <v>368.85899999999998</v>
      </c>
      <c r="O869" s="4">
        <v>368.85899999999998</v>
      </c>
      <c r="P869" s="4">
        <v>0</v>
      </c>
      <c r="Q869" s="3" t="s">
        <v>26</v>
      </c>
      <c r="R869" s="3">
        <v>0</v>
      </c>
      <c r="S869" s="4">
        <v>0</v>
      </c>
      <c r="T869" s="4">
        <v>20</v>
      </c>
      <c r="U869" s="4">
        <v>88</v>
      </c>
      <c r="V869" s="4">
        <v>0</v>
      </c>
      <c r="W869" s="4">
        <v>1564.59</v>
      </c>
      <c r="X869" s="4">
        <v>365.5</v>
      </c>
      <c r="Y869" s="4"/>
      <c r="Z869" s="4">
        <v>1923.7175020527629</v>
      </c>
      <c r="AA869" s="4">
        <v>381.42546590200942</v>
      </c>
      <c r="AB869" s="4">
        <v>0</v>
      </c>
      <c r="AC869" s="4">
        <v>577113.10280999995</v>
      </c>
      <c r="AD869" s="4">
        <v>134817.9645</v>
      </c>
      <c r="AE869" s="4">
        <v>0</v>
      </c>
      <c r="AF869" s="4">
        <v>709580.51408968004</v>
      </c>
      <c r="AG869" s="4">
        <v>140692.21592714929</v>
      </c>
    </row>
    <row r="870" spans="1:33" ht="11.25" customHeight="1" x14ac:dyDescent="0.25">
      <c r="A870" s="3" t="s">
        <v>28</v>
      </c>
      <c r="B870" s="3" t="s">
        <v>41</v>
      </c>
      <c r="C870" s="3" t="s">
        <v>42</v>
      </c>
      <c r="D870" s="3" t="s">
        <v>38</v>
      </c>
      <c r="E870" s="3" t="s">
        <v>25</v>
      </c>
      <c r="F870" s="3" t="s">
        <v>25</v>
      </c>
      <c r="G870" s="3" t="s">
        <v>25</v>
      </c>
      <c r="H870" s="3" t="s">
        <v>34</v>
      </c>
      <c r="I870" s="6">
        <v>44348</v>
      </c>
      <c r="J870" s="4">
        <v>0</v>
      </c>
      <c r="K870" s="4">
        <v>0</v>
      </c>
      <c r="L870" s="4">
        <v>4.12</v>
      </c>
      <c r="M870" s="4">
        <v>4.12</v>
      </c>
      <c r="N870" s="4">
        <v>4.12</v>
      </c>
      <c r="O870" s="4">
        <v>4.12</v>
      </c>
      <c r="P870" s="4">
        <v>0</v>
      </c>
      <c r="Q870" s="3" t="s">
        <v>26</v>
      </c>
      <c r="R870" s="3">
        <v>0</v>
      </c>
      <c r="S870" s="4">
        <v>0</v>
      </c>
      <c r="T870" s="4">
        <v>20</v>
      </c>
      <c r="U870" s="4">
        <v>88</v>
      </c>
      <c r="V870" s="4">
        <v>0</v>
      </c>
      <c r="W870" s="4">
        <v>1564.59</v>
      </c>
      <c r="X870" s="4">
        <v>365.5</v>
      </c>
      <c r="Y870" s="4"/>
      <c r="Z870" s="4">
        <v>1923.7175020527629</v>
      </c>
      <c r="AA870" s="4">
        <v>381.42546590200942</v>
      </c>
      <c r="AB870" s="4">
        <v>0</v>
      </c>
      <c r="AC870" s="4">
        <v>6446.1107999999995</v>
      </c>
      <c r="AD870" s="4">
        <v>1505.8600000000001</v>
      </c>
      <c r="AE870" s="4">
        <v>0</v>
      </c>
      <c r="AF870" s="4">
        <v>7925.7161084573836</v>
      </c>
      <c r="AG870" s="4">
        <v>1571.4729195162788</v>
      </c>
    </row>
    <row r="871" spans="1:33" ht="11.25" customHeight="1" x14ac:dyDescent="0.25">
      <c r="A871" s="3" t="s">
        <v>21</v>
      </c>
      <c r="B871" s="3" t="s">
        <v>41</v>
      </c>
      <c r="C871" s="3" t="s">
        <v>42</v>
      </c>
      <c r="D871" s="3" t="s">
        <v>38</v>
      </c>
      <c r="E871" s="3" t="s">
        <v>25</v>
      </c>
      <c r="F871" s="3" t="s">
        <v>25</v>
      </c>
      <c r="G871" s="3" t="s">
        <v>25</v>
      </c>
      <c r="H871" s="3" t="s">
        <v>34</v>
      </c>
      <c r="I871" s="6">
        <v>44378</v>
      </c>
      <c r="J871" s="4">
        <v>0</v>
      </c>
      <c r="K871" s="4">
        <v>0</v>
      </c>
      <c r="L871" s="4">
        <v>380.488</v>
      </c>
      <c r="M871" s="4">
        <v>380.488</v>
      </c>
      <c r="N871" s="4">
        <v>380.488</v>
      </c>
      <c r="O871" s="4">
        <v>380.488</v>
      </c>
      <c r="P871" s="4">
        <v>0</v>
      </c>
      <c r="Q871" s="3" t="s">
        <v>26</v>
      </c>
      <c r="R871" s="3">
        <v>0</v>
      </c>
      <c r="S871" s="4">
        <v>0</v>
      </c>
      <c r="T871" s="4">
        <v>20</v>
      </c>
      <c r="U871" s="4">
        <v>88</v>
      </c>
      <c r="V871" s="4">
        <v>0</v>
      </c>
      <c r="W871" s="4">
        <v>1564.59</v>
      </c>
      <c r="X871" s="4">
        <v>365.5</v>
      </c>
      <c r="Y871" s="4"/>
      <c r="Z871" s="4">
        <v>1923.7175020527629</v>
      </c>
      <c r="AA871" s="4">
        <v>381.42546590200942</v>
      </c>
      <c r="AB871" s="4">
        <v>0</v>
      </c>
      <c r="AC871" s="4">
        <v>595307.71991999994</v>
      </c>
      <c r="AD871" s="4">
        <v>139068.364</v>
      </c>
      <c r="AE871" s="4">
        <v>0</v>
      </c>
      <c r="AF871" s="4">
        <v>731951.42492105172</v>
      </c>
      <c r="AG871" s="4">
        <v>145127.81267012376</v>
      </c>
    </row>
    <row r="872" spans="1:33" ht="11.25" customHeight="1" x14ac:dyDescent="0.25">
      <c r="A872" s="3" t="s">
        <v>28</v>
      </c>
      <c r="B872" s="3" t="s">
        <v>41</v>
      </c>
      <c r="C872" s="3" t="s">
        <v>42</v>
      </c>
      <c r="D872" s="3" t="s">
        <v>38</v>
      </c>
      <c r="E872" s="3" t="s">
        <v>25</v>
      </c>
      <c r="F872" s="3" t="s">
        <v>25</v>
      </c>
      <c r="G872" s="3" t="s">
        <v>25</v>
      </c>
      <c r="H872" s="3" t="s">
        <v>34</v>
      </c>
      <c r="I872" s="6">
        <v>44378</v>
      </c>
      <c r="J872" s="4">
        <v>0</v>
      </c>
      <c r="K872" s="4">
        <v>0</v>
      </c>
      <c r="L872" s="4">
        <v>5.7519999999999998</v>
      </c>
      <c r="M872" s="4">
        <v>5.7519999999999998</v>
      </c>
      <c r="N872" s="4">
        <v>5.7519999999999998</v>
      </c>
      <c r="O872" s="4">
        <v>5.7519999999999998</v>
      </c>
      <c r="P872" s="4">
        <v>0</v>
      </c>
      <c r="Q872" s="3" t="s">
        <v>26</v>
      </c>
      <c r="R872" s="3">
        <v>0</v>
      </c>
      <c r="S872" s="4">
        <v>0</v>
      </c>
      <c r="T872" s="4">
        <v>20</v>
      </c>
      <c r="U872" s="4">
        <v>88</v>
      </c>
      <c r="V872" s="4">
        <v>0</v>
      </c>
      <c r="W872" s="4">
        <v>1564.59</v>
      </c>
      <c r="X872" s="4">
        <v>365.5</v>
      </c>
      <c r="Y872" s="4"/>
      <c r="Z872" s="4">
        <v>1923.7175020527629</v>
      </c>
      <c r="AA872" s="4">
        <v>381.42546590200942</v>
      </c>
      <c r="AB872" s="4">
        <v>0</v>
      </c>
      <c r="AC872" s="4">
        <v>8999.5216799999998</v>
      </c>
      <c r="AD872" s="4">
        <v>2102.3559999999998</v>
      </c>
      <c r="AE872" s="4">
        <v>0</v>
      </c>
      <c r="AF872" s="4">
        <v>11065.223071807492</v>
      </c>
      <c r="AG872" s="4">
        <v>2193.959279868358</v>
      </c>
    </row>
    <row r="873" spans="1:33" ht="11.25" customHeight="1" x14ac:dyDescent="0.25">
      <c r="A873" s="3" t="s">
        <v>21</v>
      </c>
      <c r="B873" s="3" t="s">
        <v>41</v>
      </c>
      <c r="C873" s="3" t="s">
        <v>42</v>
      </c>
      <c r="D873" s="3" t="s">
        <v>38</v>
      </c>
      <c r="E873" s="3" t="s">
        <v>25</v>
      </c>
      <c r="F873" s="3" t="s">
        <v>25</v>
      </c>
      <c r="G873" s="3" t="s">
        <v>25</v>
      </c>
      <c r="H873" s="3" t="s">
        <v>34</v>
      </c>
      <c r="I873" s="6">
        <v>44409</v>
      </c>
      <c r="J873" s="4">
        <v>0</v>
      </c>
      <c r="K873" s="4">
        <v>0</v>
      </c>
      <c r="L873" s="4">
        <v>375.94799999999998</v>
      </c>
      <c r="M873" s="4">
        <v>375.94799999999998</v>
      </c>
      <c r="N873" s="4">
        <v>375.94799999999998</v>
      </c>
      <c r="O873" s="4">
        <v>375.94799999999998</v>
      </c>
      <c r="P873" s="4">
        <v>0</v>
      </c>
      <c r="Q873" s="3" t="s">
        <v>26</v>
      </c>
      <c r="R873" s="3">
        <v>0</v>
      </c>
      <c r="S873" s="4">
        <v>0</v>
      </c>
      <c r="T873" s="4">
        <v>20</v>
      </c>
      <c r="U873" s="4">
        <v>88</v>
      </c>
      <c r="V873" s="4">
        <v>0</v>
      </c>
      <c r="W873" s="4">
        <v>1564.59</v>
      </c>
      <c r="X873" s="4">
        <v>365.5</v>
      </c>
      <c r="Y873" s="4"/>
      <c r="Z873" s="4">
        <v>1923.7175020527629</v>
      </c>
      <c r="AA873" s="4">
        <v>381.42546590200942</v>
      </c>
      <c r="AB873" s="4">
        <v>0</v>
      </c>
      <c r="AC873" s="4">
        <v>588204.4813199999</v>
      </c>
      <c r="AD873" s="4">
        <v>137408.99400000001</v>
      </c>
      <c r="AE873" s="4">
        <v>0</v>
      </c>
      <c r="AF873" s="4">
        <v>723217.74746173213</v>
      </c>
      <c r="AG873" s="4">
        <v>143396.14105492862</v>
      </c>
    </row>
    <row r="874" spans="1:33" ht="11.25" customHeight="1" x14ac:dyDescent="0.25">
      <c r="A874" s="3" t="s">
        <v>28</v>
      </c>
      <c r="B874" s="3" t="s">
        <v>41</v>
      </c>
      <c r="C874" s="3" t="s">
        <v>42</v>
      </c>
      <c r="D874" s="3" t="s">
        <v>38</v>
      </c>
      <c r="E874" s="3" t="s">
        <v>25</v>
      </c>
      <c r="F874" s="3" t="s">
        <v>25</v>
      </c>
      <c r="G874" s="3" t="s">
        <v>25</v>
      </c>
      <c r="H874" s="3" t="s">
        <v>34</v>
      </c>
      <c r="I874" s="6">
        <v>44409</v>
      </c>
      <c r="J874" s="4">
        <v>0</v>
      </c>
      <c r="K874" s="4">
        <v>0</v>
      </c>
      <c r="L874" s="4">
        <v>7.14</v>
      </c>
      <c r="M874" s="4">
        <v>7.14</v>
      </c>
      <c r="N874" s="4">
        <v>7.14</v>
      </c>
      <c r="O874" s="4">
        <v>7.14</v>
      </c>
      <c r="P874" s="4">
        <v>0</v>
      </c>
      <c r="Q874" s="3" t="s">
        <v>26</v>
      </c>
      <c r="R874" s="3">
        <v>0</v>
      </c>
      <c r="S874" s="4">
        <v>0</v>
      </c>
      <c r="T874" s="4">
        <v>20</v>
      </c>
      <c r="U874" s="4">
        <v>88</v>
      </c>
      <c r="V874" s="4">
        <v>0</v>
      </c>
      <c r="W874" s="4">
        <v>1564.59</v>
      </c>
      <c r="X874" s="4">
        <v>365.5</v>
      </c>
      <c r="Y874" s="4"/>
      <c r="Z874" s="4">
        <v>1923.7175020527629</v>
      </c>
      <c r="AA874" s="4">
        <v>381.42546590200942</v>
      </c>
      <c r="AB874" s="4">
        <v>0</v>
      </c>
      <c r="AC874" s="4">
        <v>11171.172599999998</v>
      </c>
      <c r="AD874" s="4">
        <v>2609.67</v>
      </c>
      <c r="AE874" s="4">
        <v>0</v>
      </c>
      <c r="AF874" s="4">
        <v>13735.342964656727</v>
      </c>
      <c r="AG874" s="4">
        <v>2723.3778265403471</v>
      </c>
    </row>
    <row r="875" spans="1:33" ht="11.25" customHeight="1" x14ac:dyDescent="0.25">
      <c r="A875" s="3" t="s">
        <v>21</v>
      </c>
      <c r="B875" s="3" t="s">
        <v>41</v>
      </c>
      <c r="C875" s="3" t="s">
        <v>42</v>
      </c>
      <c r="D875" s="3" t="s">
        <v>38</v>
      </c>
      <c r="E875" s="3" t="s">
        <v>25</v>
      </c>
      <c r="F875" s="3" t="s">
        <v>25</v>
      </c>
      <c r="G875" s="3" t="s">
        <v>25</v>
      </c>
      <c r="H875" s="3" t="s">
        <v>34</v>
      </c>
      <c r="I875" s="6">
        <v>44409</v>
      </c>
      <c r="J875" s="4">
        <v>0</v>
      </c>
      <c r="K875" s="4">
        <v>0</v>
      </c>
      <c r="L875" s="4">
        <v>2.38</v>
      </c>
      <c r="M875" s="4">
        <v>2.38</v>
      </c>
      <c r="N875" s="4">
        <v>0</v>
      </c>
      <c r="O875" s="4">
        <v>0</v>
      </c>
      <c r="P875" s="4">
        <v>0</v>
      </c>
      <c r="Q875" s="3" t="s">
        <v>57</v>
      </c>
      <c r="R875" s="3">
        <v>0</v>
      </c>
      <c r="S875" s="4">
        <v>0</v>
      </c>
      <c r="T875" s="4">
        <v>20</v>
      </c>
      <c r="U875" s="4">
        <v>0</v>
      </c>
      <c r="V875" s="4">
        <v>0</v>
      </c>
      <c r="W875" s="4">
        <v>1564.59</v>
      </c>
      <c r="X875" s="4">
        <v>0</v>
      </c>
      <c r="Y875" s="4"/>
      <c r="Z875" s="4">
        <v>1923.7175020527629</v>
      </c>
      <c r="AA875" s="4"/>
      <c r="AB875" s="4">
        <v>0</v>
      </c>
      <c r="AC875" s="4">
        <v>3723.7241999999997</v>
      </c>
      <c r="AD875" s="4">
        <v>0</v>
      </c>
      <c r="AE875" s="4">
        <v>0</v>
      </c>
      <c r="AF875" s="4">
        <v>4578.4476548855755</v>
      </c>
      <c r="AG875" s="4">
        <v>0</v>
      </c>
    </row>
    <row r="876" spans="1:33" ht="11.25" customHeight="1" x14ac:dyDescent="0.25">
      <c r="A876" s="3" t="s">
        <v>21</v>
      </c>
      <c r="B876" s="3" t="s">
        <v>41</v>
      </c>
      <c r="C876" s="3" t="s">
        <v>42</v>
      </c>
      <c r="D876" s="3" t="s">
        <v>38</v>
      </c>
      <c r="E876" s="3" t="s">
        <v>25</v>
      </c>
      <c r="F876" s="3" t="s">
        <v>25</v>
      </c>
      <c r="G876" s="3" t="s">
        <v>25</v>
      </c>
      <c r="H876" s="3" t="s">
        <v>34</v>
      </c>
      <c r="I876" s="6">
        <v>44440</v>
      </c>
      <c r="J876" s="4">
        <v>0</v>
      </c>
      <c r="K876" s="4">
        <v>0</v>
      </c>
      <c r="L876" s="4">
        <v>345.60300000000001</v>
      </c>
      <c r="M876" s="4">
        <v>345.60300000000001</v>
      </c>
      <c r="N876" s="4">
        <v>345.60300000000001</v>
      </c>
      <c r="O876" s="4">
        <v>345.60300000000001</v>
      </c>
      <c r="P876" s="4">
        <v>0</v>
      </c>
      <c r="Q876" s="3" t="s">
        <v>26</v>
      </c>
      <c r="R876" s="3">
        <v>0</v>
      </c>
      <c r="S876" s="4">
        <v>0</v>
      </c>
      <c r="T876" s="4">
        <v>20</v>
      </c>
      <c r="U876" s="4">
        <v>88</v>
      </c>
      <c r="V876" s="4">
        <v>0</v>
      </c>
      <c r="W876" s="4">
        <v>1564.59</v>
      </c>
      <c r="X876" s="4">
        <v>365.5</v>
      </c>
      <c r="Y876" s="4"/>
      <c r="Z876" s="4">
        <v>1923.7175020527629</v>
      </c>
      <c r="AA876" s="4">
        <v>381.42546590200942</v>
      </c>
      <c r="AB876" s="4">
        <v>0</v>
      </c>
      <c r="AC876" s="4">
        <v>540726.99777000002</v>
      </c>
      <c r="AD876" s="4">
        <v>126317.8965</v>
      </c>
      <c r="AE876" s="4">
        <v>0</v>
      </c>
      <c r="AF876" s="4">
        <v>664842.53986194101</v>
      </c>
      <c r="AG876" s="4">
        <v>131821.78529213218</v>
      </c>
    </row>
    <row r="877" spans="1:33" ht="11.25" customHeight="1" x14ac:dyDescent="0.25">
      <c r="A877" s="3" t="s">
        <v>28</v>
      </c>
      <c r="B877" s="3" t="s">
        <v>41</v>
      </c>
      <c r="C877" s="3" t="s">
        <v>42</v>
      </c>
      <c r="D877" s="3" t="s">
        <v>38</v>
      </c>
      <c r="E877" s="3" t="s">
        <v>25</v>
      </c>
      <c r="F877" s="3" t="s">
        <v>25</v>
      </c>
      <c r="G877" s="3" t="s">
        <v>25</v>
      </c>
      <c r="H877" s="3" t="s">
        <v>34</v>
      </c>
      <c r="I877" s="6">
        <v>44440</v>
      </c>
      <c r="J877" s="4">
        <v>0</v>
      </c>
      <c r="K877" s="4">
        <v>0</v>
      </c>
      <c r="L877" s="4">
        <v>10.256</v>
      </c>
      <c r="M877" s="4">
        <v>10.256</v>
      </c>
      <c r="N877" s="4">
        <v>10.256</v>
      </c>
      <c r="O877" s="4">
        <v>10.256</v>
      </c>
      <c r="P877" s="4">
        <v>0</v>
      </c>
      <c r="Q877" s="3" t="s">
        <v>26</v>
      </c>
      <c r="R877" s="3">
        <v>0</v>
      </c>
      <c r="S877" s="4">
        <v>0</v>
      </c>
      <c r="T877" s="4">
        <v>20</v>
      </c>
      <c r="U877" s="4">
        <v>88</v>
      </c>
      <c r="V877" s="4">
        <v>0</v>
      </c>
      <c r="W877" s="4">
        <v>1564.59</v>
      </c>
      <c r="X877" s="4">
        <v>365.5</v>
      </c>
      <c r="Y877" s="4"/>
      <c r="Z877" s="4">
        <v>1923.7175020527629</v>
      </c>
      <c r="AA877" s="4">
        <v>381.42546590200942</v>
      </c>
      <c r="AB877" s="4">
        <v>0</v>
      </c>
      <c r="AC877" s="4">
        <v>16046.43504</v>
      </c>
      <c r="AD877" s="4">
        <v>3748.5680000000002</v>
      </c>
      <c r="AE877" s="4">
        <v>0</v>
      </c>
      <c r="AF877" s="4">
        <v>19729.646701053138</v>
      </c>
      <c r="AG877" s="4">
        <v>3911.8995782910088</v>
      </c>
    </row>
    <row r="878" spans="1:33" ht="11.25" customHeight="1" x14ac:dyDescent="0.25">
      <c r="A878" s="3" t="s">
        <v>21</v>
      </c>
      <c r="B878" s="3" t="s">
        <v>41</v>
      </c>
      <c r="C878" s="3" t="s">
        <v>42</v>
      </c>
      <c r="D878" s="3" t="s">
        <v>38</v>
      </c>
      <c r="E878" s="3" t="s">
        <v>25</v>
      </c>
      <c r="F878" s="3" t="s">
        <v>25</v>
      </c>
      <c r="G878" s="3" t="s">
        <v>25</v>
      </c>
      <c r="H878" s="3" t="s">
        <v>34</v>
      </c>
      <c r="I878" s="6">
        <v>44470</v>
      </c>
      <c r="J878" s="4">
        <v>0</v>
      </c>
      <c r="K878" s="4">
        <v>0</v>
      </c>
      <c r="L878" s="4">
        <v>350.12299999999999</v>
      </c>
      <c r="M878" s="4">
        <v>350.12299999999999</v>
      </c>
      <c r="N878" s="4">
        <v>350.12299999999999</v>
      </c>
      <c r="O878" s="4">
        <v>350.12299999999999</v>
      </c>
      <c r="P878" s="4">
        <v>0</v>
      </c>
      <c r="Q878" s="3" t="s">
        <v>26</v>
      </c>
      <c r="R878" s="3">
        <v>0</v>
      </c>
      <c r="S878" s="4">
        <v>0</v>
      </c>
      <c r="T878" s="4">
        <v>20</v>
      </c>
      <c r="U878" s="4">
        <v>88</v>
      </c>
      <c r="V878" s="4">
        <v>0</v>
      </c>
      <c r="W878" s="4">
        <v>1564.59</v>
      </c>
      <c r="X878" s="4">
        <v>365.5</v>
      </c>
      <c r="Y878" s="4"/>
      <c r="Z878" s="4">
        <v>1923.7175020527629</v>
      </c>
      <c r="AA878" s="4">
        <v>381.42546590200942</v>
      </c>
      <c r="AB878" s="4">
        <v>0</v>
      </c>
      <c r="AC878" s="4">
        <v>547798.94456999993</v>
      </c>
      <c r="AD878" s="4">
        <v>127969.9565</v>
      </c>
      <c r="AE878" s="4">
        <v>0</v>
      </c>
      <c r="AF878" s="4">
        <v>673537.74297121947</v>
      </c>
      <c r="AG878" s="4">
        <v>133545.82839800924</v>
      </c>
    </row>
    <row r="879" spans="1:33" ht="11.25" customHeight="1" x14ac:dyDescent="0.25">
      <c r="A879" s="3" t="s">
        <v>28</v>
      </c>
      <c r="B879" s="3" t="s">
        <v>41</v>
      </c>
      <c r="C879" s="3" t="s">
        <v>42</v>
      </c>
      <c r="D879" s="3" t="s">
        <v>38</v>
      </c>
      <c r="E879" s="3" t="s">
        <v>25</v>
      </c>
      <c r="F879" s="3" t="s">
        <v>25</v>
      </c>
      <c r="G879" s="3" t="s">
        <v>25</v>
      </c>
      <c r="H879" s="3" t="s">
        <v>34</v>
      </c>
      <c r="I879" s="6">
        <v>44470</v>
      </c>
      <c r="J879" s="4">
        <v>0</v>
      </c>
      <c r="K879" s="4">
        <v>0</v>
      </c>
      <c r="L879" s="4">
        <v>13.84</v>
      </c>
      <c r="M879" s="4">
        <v>13.84</v>
      </c>
      <c r="N879" s="4">
        <v>13.84</v>
      </c>
      <c r="O879" s="4">
        <v>13.84</v>
      </c>
      <c r="P879" s="4">
        <v>0</v>
      </c>
      <c r="Q879" s="3" t="s">
        <v>26</v>
      </c>
      <c r="R879" s="3">
        <v>0</v>
      </c>
      <c r="S879" s="4">
        <v>0</v>
      </c>
      <c r="T879" s="4">
        <v>20</v>
      </c>
      <c r="U879" s="4">
        <v>88</v>
      </c>
      <c r="V879" s="4">
        <v>0</v>
      </c>
      <c r="W879" s="4">
        <v>1564.59</v>
      </c>
      <c r="X879" s="4">
        <v>365.5</v>
      </c>
      <c r="Y879" s="4"/>
      <c r="Z879" s="4">
        <v>1923.7175020527629</v>
      </c>
      <c r="AA879" s="4">
        <v>381.42546590200942</v>
      </c>
      <c r="AB879" s="4">
        <v>0</v>
      </c>
      <c r="AC879" s="4">
        <v>21653.925599999999</v>
      </c>
      <c r="AD879" s="4">
        <v>5058.5199999999995</v>
      </c>
      <c r="AE879" s="4">
        <v>0</v>
      </c>
      <c r="AF879" s="4">
        <v>26624.250228410237</v>
      </c>
      <c r="AG879" s="4">
        <v>5278.9284480838105</v>
      </c>
    </row>
    <row r="880" spans="1:33" ht="11.25" customHeight="1" x14ac:dyDescent="0.25">
      <c r="A880" s="3" t="s">
        <v>21</v>
      </c>
      <c r="B880" s="3" t="s">
        <v>41</v>
      </c>
      <c r="C880" s="3" t="s">
        <v>42</v>
      </c>
      <c r="D880" s="3" t="s">
        <v>38</v>
      </c>
      <c r="E880" s="3" t="s">
        <v>25</v>
      </c>
      <c r="F880" s="3" t="s">
        <v>25</v>
      </c>
      <c r="G880" s="3" t="s">
        <v>25</v>
      </c>
      <c r="H880" s="3" t="s">
        <v>34</v>
      </c>
      <c r="I880" s="6">
        <v>44501</v>
      </c>
      <c r="J880" s="4">
        <v>0</v>
      </c>
      <c r="K880" s="4">
        <v>0</v>
      </c>
      <c r="L880" s="4">
        <v>326.995</v>
      </c>
      <c r="M880" s="4">
        <v>326.995</v>
      </c>
      <c r="N880" s="4">
        <v>326.995</v>
      </c>
      <c r="O880" s="4">
        <v>326.995</v>
      </c>
      <c r="P880" s="4">
        <v>0</v>
      </c>
      <c r="Q880" s="3" t="s">
        <v>26</v>
      </c>
      <c r="R880" s="3">
        <v>0</v>
      </c>
      <c r="S880" s="4">
        <v>0</v>
      </c>
      <c r="T880" s="4">
        <v>20</v>
      </c>
      <c r="U880" s="4">
        <v>88</v>
      </c>
      <c r="V880" s="4">
        <v>0</v>
      </c>
      <c r="W880" s="4">
        <v>1564.59</v>
      </c>
      <c r="X880" s="4">
        <v>365.5</v>
      </c>
      <c r="Y880" s="4"/>
      <c r="Z880" s="4">
        <v>1923.7175020527629</v>
      </c>
      <c r="AA880" s="4">
        <v>381.42546590200942</v>
      </c>
      <c r="AB880" s="4">
        <v>0</v>
      </c>
      <c r="AC880" s="4">
        <v>511613.10704999999</v>
      </c>
      <c r="AD880" s="4">
        <v>119516.6725</v>
      </c>
      <c r="AE880" s="4">
        <v>0</v>
      </c>
      <c r="AF880" s="4">
        <v>629046.00458374317</v>
      </c>
      <c r="AG880" s="4">
        <v>124724.22022262757</v>
      </c>
    </row>
    <row r="881" spans="1:33" ht="11.25" customHeight="1" x14ac:dyDescent="0.25">
      <c r="A881" s="3" t="s">
        <v>28</v>
      </c>
      <c r="B881" s="3" t="s">
        <v>41</v>
      </c>
      <c r="C881" s="3" t="s">
        <v>42</v>
      </c>
      <c r="D881" s="3" t="s">
        <v>38</v>
      </c>
      <c r="E881" s="3" t="s">
        <v>25</v>
      </c>
      <c r="F881" s="3" t="s">
        <v>25</v>
      </c>
      <c r="G881" s="3" t="s">
        <v>25</v>
      </c>
      <c r="H881" s="3" t="s">
        <v>34</v>
      </c>
      <c r="I881" s="6">
        <v>44501</v>
      </c>
      <c r="J881" s="4">
        <v>0</v>
      </c>
      <c r="K881" s="4">
        <v>0</v>
      </c>
      <c r="L881" s="4">
        <v>9.9710000000000001</v>
      </c>
      <c r="M881" s="4">
        <v>9.9710000000000001</v>
      </c>
      <c r="N881" s="4">
        <v>9.9710000000000001</v>
      </c>
      <c r="O881" s="4">
        <v>9.9710000000000001</v>
      </c>
      <c r="P881" s="4">
        <v>0</v>
      </c>
      <c r="Q881" s="3" t="s">
        <v>26</v>
      </c>
      <c r="R881" s="3">
        <v>0</v>
      </c>
      <c r="S881" s="4">
        <v>0</v>
      </c>
      <c r="T881" s="4">
        <v>20</v>
      </c>
      <c r="U881" s="4">
        <v>88</v>
      </c>
      <c r="V881" s="4">
        <v>0</v>
      </c>
      <c r="W881" s="4">
        <v>1564.59</v>
      </c>
      <c r="X881" s="4">
        <v>365.5</v>
      </c>
      <c r="Y881" s="4"/>
      <c r="Z881" s="4">
        <v>1923.7175020527629</v>
      </c>
      <c r="AA881" s="4">
        <v>381.42546590200942</v>
      </c>
      <c r="AB881" s="4">
        <v>0</v>
      </c>
      <c r="AC881" s="4">
        <v>15600.526889999999</v>
      </c>
      <c r="AD881" s="4">
        <v>3644.4005000000002</v>
      </c>
      <c r="AE881" s="4">
        <v>0</v>
      </c>
      <c r="AF881" s="4">
        <v>19181.3872129681</v>
      </c>
      <c r="AG881" s="4">
        <v>3803.1933205089358</v>
      </c>
    </row>
    <row r="882" spans="1:33" ht="11.25" customHeight="1" x14ac:dyDescent="0.25">
      <c r="A882" s="3" t="s">
        <v>21</v>
      </c>
      <c r="B882" s="3" t="s">
        <v>41</v>
      </c>
      <c r="C882" s="3" t="s">
        <v>42</v>
      </c>
      <c r="D882" s="3" t="s">
        <v>38</v>
      </c>
      <c r="E882" s="3" t="s">
        <v>25</v>
      </c>
      <c r="F882" s="3" t="s">
        <v>25</v>
      </c>
      <c r="G882" s="3" t="s">
        <v>25</v>
      </c>
      <c r="H882" s="3" t="s">
        <v>34</v>
      </c>
      <c r="I882" s="6">
        <v>44531</v>
      </c>
      <c r="J882" s="4">
        <v>0</v>
      </c>
      <c r="K882" s="4">
        <v>0</v>
      </c>
      <c r="L882" s="4">
        <v>347.07600000000002</v>
      </c>
      <c r="M882" s="4">
        <v>347.07600000000002</v>
      </c>
      <c r="N882" s="4">
        <v>347.07600000000002</v>
      </c>
      <c r="O882" s="4">
        <v>347.07600000000002</v>
      </c>
      <c r="P882" s="4">
        <v>0</v>
      </c>
      <c r="Q882" s="3" t="s">
        <v>26</v>
      </c>
      <c r="R882" s="3">
        <v>0</v>
      </c>
      <c r="S882" s="4">
        <v>0</v>
      </c>
      <c r="T882" s="4">
        <v>20</v>
      </c>
      <c r="U882" s="4">
        <v>88</v>
      </c>
      <c r="V882" s="4">
        <v>0</v>
      </c>
      <c r="W882" s="4">
        <v>1564.59</v>
      </c>
      <c r="X882" s="4">
        <v>365.5</v>
      </c>
      <c r="Y882" s="4"/>
      <c r="Z882" s="4">
        <v>1923.7175020527629</v>
      </c>
      <c r="AA882" s="4">
        <v>381.42546590200942</v>
      </c>
      <c r="AB882" s="4">
        <v>0</v>
      </c>
      <c r="AC882" s="4">
        <v>543031.63884000003</v>
      </c>
      <c r="AD882" s="4">
        <v>126856.27800000001</v>
      </c>
      <c r="AE882" s="4">
        <v>0</v>
      </c>
      <c r="AF882" s="4">
        <v>667676.17574246484</v>
      </c>
      <c r="AG882" s="4">
        <v>132383.62500340582</v>
      </c>
    </row>
    <row r="883" spans="1:33" ht="11.25" customHeight="1" x14ac:dyDescent="0.25">
      <c r="A883" s="3" t="s">
        <v>27</v>
      </c>
      <c r="B883" s="3" t="s">
        <v>41</v>
      </c>
      <c r="C883" s="3" t="s">
        <v>42</v>
      </c>
      <c r="D883" s="3" t="s">
        <v>38</v>
      </c>
      <c r="E883" s="3" t="s">
        <v>25</v>
      </c>
      <c r="F883" s="3" t="s">
        <v>25</v>
      </c>
      <c r="G883" s="3" t="s">
        <v>25</v>
      </c>
      <c r="H883" s="3" t="s">
        <v>34</v>
      </c>
      <c r="I883" s="6">
        <v>44531</v>
      </c>
      <c r="J883" s="4">
        <v>0</v>
      </c>
      <c r="K883" s="4">
        <v>0</v>
      </c>
      <c r="L883" s="4">
        <v>-0.126</v>
      </c>
      <c r="M883" s="4">
        <v>-0.126</v>
      </c>
      <c r="N883" s="4">
        <v>-0.126</v>
      </c>
      <c r="O883" s="4">
        <v>-0.126</v>
      </c>
      <c r="P883" s="4">
        <v>0</v>
      </c>
      <c r="Q883" s="3" t="s">
        <v>26</v>
      </c>
      <c r="R883" s="3">
        <v>0</v>
      </c>
      <c r="S883" s="4">
        <v>0</v>
      </c>
      <c r="T883" s="4">
        <v>20</v>
      </c>
      <c r="U883" s="4">
        <v>88</v>
      </c>
      <c r="V883" s="4">
        <v>0</v>
      </c>
      <c r="W883" s="4">
        <v>1564.59</v>
      </c>
      <c r="X883" s="4">
        <v>365.5</v>
      </c>
      <c r="Y883" s="4"/>
      <c r="Z883" s="4">
        <v>1923.7175020527629</v>
      </c>
      <c r="AA883" s="4">
        <v>381.42546590200942</v>
      </c>
      <c r="AB883" s="4">
        <v>0</v>
      </c>
      <c r="AC883" s="4">
        <v>-197.13834</v>
      </c>
      <c r="AD883" s="4">
        <v>-46.052999999999997</v>
      </c>
      <c r="AE883" s="4">
        <v>0</v>
      </c>
      <c r="AF883" s="4">
        <v>-242.38840525864813</v>
      </c>
      <c r="AG883" s="4">
        <v>-48.05960870365319</v>
      </c>
    </row>
    <row r="884" spans="1:33" ht="11.25" customHeight="1" x14ac:dyDescent="0.25">
      <c r="A884" s="3" t="s">
        <v>28</v>
      </c>
      <c r="B884" s="3" t="s">
        <v>41</v>
      </c>
      <c r="C884" s="3" t="s">
        <v>42</v>
      </c>
      <c r="D884" s="3" t="s">
        <v>38</v>
      </c>
      <c r="E884" s="3" t="s">
        <v>25</v>
      </c>
      <c r="F884" s="3" t="s">
        <v>25</v>
      </c>
      <c r="G884" s="3" t="s">
        <v>25</v>
      </c>
      <c r="H884" s="3" t="s">
        <v>34</v>
      </c>
      <c r="I884" s="6">
        <v>44531</v>
      </c>
      <c r="J884" s="4">
        <v>0</v>
      </c>
      <c r="K884" s="4">
        <v>0</v>
      </c>
      <c r="L884" s="4">
        <v>4.3869999999999996</v>
      </c>
      <c r="M884" s="4">
        <v>4.3869999999999996</v>
      </c>
      <c r="N884" s="4">
        <v>4.3869999999999996</v>
      </c>
      <c r="O884" s="4">
        <v>4.3869999999999996</v>
      </c>
      <c r="P884" s="4">
        <v>0</v>
      </c>
      <c r="Q884" s="3" t="s">
        <v>26</v>
      </c>
      <c r="R884" s="3">
        <v>0</v>
      </c>
      <c r="S884" s="4">
        <v>0</v>
      </c>
      <c r="T884" s="4">
        <v>20</v>
      </c>
      <c r="U884" s="4">
        <v>88</v>
      </c>
      <c r="V884" s="4">
        <v>0</v>
      </c>
      <c r="W884" s="4">
        <v>1564.59</v>
      </c>
      <c r="X884" s="4">
        <v>365.5</v>
      </c>
      <c r="Y884" s="4"/>
      <c r="Z884" s="4">
        <v>1923.7175020527629</v>
      </c>
      <c r="AA884" s="4">
        <v>381.42546590200942</v>
      </c>
      <c r="AB884" s="4">
        <v>0</v>
      </c>
      <c r="AC884" s="4">
        <v>6863.8563299999987</v>
      </c>
      <c r="AD884" s="4">
        <v>1603.4484999999997</v>
      </c>
      <c r="AE884" s="4">
        <v>0</v>
      </c>
      <c r="AF884" s="4">
        <v>8439.3486815054694</v>
      </c>
      <c r="AG884" s="4">
        <v>1673.3135189121151</v>
      </c>
    </row>
    <row r="885" spans="1:33" ht="11.25" customHeight="1" x14ac:dyDescent="0.25">
      <c r="A885" s="3" t="s">
        <v>21</v>
      </c>
      <c r="B885" s="3" t="s">
        <v>41</v>
      </c>
      <c r="C885" s="3" t="s">
        <v>42</v>
      </c>
      <c r="D885" s="3" t="s">
        <v>38</v>
      </c>
      <c r="E885" s="3" t="s">
        <v>25</v>
      </c>
      <c r="F885" s="3" t="s">
        <v>25</v>
      </c>
      <c r="G885" s="3" t="s">
        <v>25</v>
      </c>
      <c r="H885" s="3" t="s">
        <v>34</v>
      </c>
      <c r="I885" s="6">
        <v>44562</v>
      </c>
      <c r="J885" s="4">
        <v>0</v>
      </c>
      <c r="K885" s="4">
        <v>0</v>
      </c>
      <c r="L885" s="4">
        <v>381.39</v>
      </c>
      <c r="M885" s="4">
        <v>381.39</v>
      </c>
      <c r="N885" s="4">
        <v>381.39</v>
      </c>
      <c r="O885" s="4">
        <v>381.39</v>
      </c>
      <c r="P885" s="4">
        <v>0</v>
      </c>
      <c r="Q885" s="3" t="s">
        <v>26</v>
      </c>
      <c r="R885" s="3">
        <v>0</v>
      </c>
      <c r="S885" s="4">
        <v>0</v>
      </c>
      <c r="T885" s="4">
        <v>20</v>
      </c>
      <c r="U885" s="4">
        <v>88</v>
      </c>
      <c r="V885" s="4">
        <v>0</v>
      </c>
      <c r="W885" s="4">
        <v>1564.59</v>
      </c>
      <c r="X885" s="4">
        <v>365.5</v>
      </c>
      <c r="Y885" s="4"/>
      <c r="Z885" s="4">
        <v>1923.7175020527629</v>
      </c>
      <c r="AA885" s="4">
        <v>381.42546590200942</v>
      </c>
      <c r="AB885" s="4">
        <v>0</v>
      </c>
      <c r="AC885" s="4">
        <v>596718.98009999993</v>
      </c>
      <c r="AD885" s="4">
        <v>139398.04499999998</v>
      </c>
      <c r="AE885" s="4">
        <v>0</v>
      </c>
      <c r="AF885" s="4">
        <v>733686.61810790328</v>
      </c>
      <c r="AG885" s="4">
        <v>145471.85844036736</v>
      </c>
    </row>
    <row r="886" spans="1:33" ht="11.25" customHeight="1" x14ac:dyDescent="0.25">
      <c r="A886" s="3" t="s">
        <v>27</v>
      </c>
      <c r="B886" s="3" t="s">
        <v>41</v>
      </c>
      <c r="C886" s="3" t="s">
        <v>42</v>
      </c>
      <c r="D886" s="3" t="s">
        <v>38</v>
      </c>
      <c r="E886" s="3" t="s">
        <v>25</v>
      </c>
      <c r="F886" s="3" t="s">
        <v>25</v>
      </c>
      <c r="G886" s="3" t="s">
        <v>25</v>
      </c>
      <c r="H886" s="3" t="s">
        <v>34</v>
      </c>
      <c r="I886" s="6">
        <v>44562</v>
      </c>
      <c r="J886" s="4">
        <v>0</v>
      </c>
      <c r="K886" s="4">
        <v>0</v>
      </c>
      <c r="L886" s="4">
        <v>5.3999999999999999E-2</v>
      </c>
      <c r="M886" s="4">
        <v>5.3999999999999999E-2</v>
      </c>
      <c r="N886" s="4">
        <v>5.3999999999999999E-2</v>
      </c>
      <c r="O886" s="4">
        <v>5.3999999999999999E-2</v>
      </c>
      <c r="P886" s="4">
        <v>0</v>
      </c>
      <c r="Q886" s="3" t="s">
        <v>26</v>
      </c>
      <c r="R886" s="3">
        <v>0</v>
      </c>
      <c r="S886" s="4">
        <v>0</v>
      </c>
      <c r="T886" s="4">
        <v>20</v>
      </c>
      <c r="U886" s="4">
        <v>88</v>
      </c>
      <c r="V886" s="4">
        <v>0</v>
      </c>
      <c r="W886" s="4">
        <v>1564.59</v>
      </c>
      <c r="X886" s="4">
        <v>365.5</v>
      </c>
      <c r="Y886" s="4"/>
      <c r="Z886" s="4">
        <v>1923.7175020527629</v>
      </c>
      <c r="AA886" s="4">
        <v>381.42546590200942</v>
      </c>
      <c r="AB886" s="4">
        <v>0</v>
      </c>
      <c r="AC886" s="4">
        <v>84.487859999999998</v>
      </c>
      <c r="AD886" s="4">
        <v>19.736999999999998</v>
      </c>
      <c r="AE886" s="4">
        <v>0</v>
      </c>
      <c r="AF886" s="4">
        <v>103.8807451108492</v>
      </c>
      <c r="AG886" s="4">
        <v>20.59697515870851</v>
      </c>
    </row>
    <row r="887" spans="1:33" ht="11.25" customHeight="1" x14ac:dyDescent="0.25">
      <c r="A887" s="3" t="s">
        <v>28</v>
      </c>
      <c r="B887" s="3" t="s">
        <v>41</v>
      </c>
      <c r="C887" s="3" t="s">
        <v>42</v>
      </c>
      <c r="D887" s="3" t="s">
        <v>38</v>
      </c>
      <c r="E887" s="3" t="s">
        <v>25</v>
      </c>
      <c r="F887" s="3" t="s">
        <v>25</v>
      </c>
      <c r="G887" s="3" t="s">
        <v>25</v>
      </c>
      <c r="H887" s="3" t="s">
        <v>34</v>
      </c>
      <c r="I887" s="6">
        <v>44562</v>
      </c>
      <c r="J887" s="4">
        <v>0</v>
      </c>
      <c r="K887" s="4">
        <v>0</v>
      </c>
      <c r="L887" s="4">
        <v>2.4369999999999998</v>
      </c>
      <c r="M887" s="4">
        <v>2.4369999999999998</v>
      </c>
      <c r="N887" s="4">
        <v>2.4369999999999998</v>
      </c>
      <c r="O887" s="4">
        <v>2.4369999999999998</v>
      </c>
      <c r="P887" s="4">
        <v>0</v>
      </c>
      <c r="Q887" s="3" t="s">
        <v>26</v>
      </c>
      <c r="R887" s="3">
        <v>0</v>
      </c>
      <c r="S887" s="4">
        <v>0</v>
      </c>
      <c r="T887" s="4">
        <v>20</v>
      </c>
      <c r="U887" s="4">
        <v>88</v>
      </c>
      <c r="V887" s="4">
        <v>0</v>
      </c>
      <c r="W887" s="4">
        <v>1564.59</v>
      </c>
      <c r="X887" s="4">
        <v>365.5</v>
      </c>
      <c r="Y887" s="4"/>
      <c r="Z887" s="4">
        <v>1923.7175020527629</v>
      </c>
      <c r="AA887" s="4">
        <v>381.42546590200942</v>
      </c>
      <c r="AB887" s="4">
        <v>0</v>
      </c>
      <c r="AC887" s="4">
        <v>3812.9058299999997</v>
      </c>
      <c r="AD887" s="4">
        <v>890.72349999999994</v>
      </c>
      <c r="AE887" s="4">
        <v>0</v>
      </c>
      <c r="AF887" s="4">
        <v>4688.0995525025828</v>
      </c>
      <c r="AG887" s="4">
        <v>929.53386040319685</v>
      </c>
    </row>
    <row r="888" spans="1:33" ht="11.25" customHeight="1" x14ac:dyDescent="0.25">
      <c r="A888" s="3" t="s">
        <v>21</v>
      </c>
      <c r="B888" s="3" t="s">
        <v>41</v>
      </c>
      <c r="C888" s="3" t="s">
        <v>42</v>
      </c>
      <c r="D888" s="3" t="s">
        <v>38</v>
      </c>
      <c r="E888" s="3" t="s">
        <v>25</v>
      </c>
      <c r="F888" s="3" t="s">
        <v>25</v>
      </c>
      <c r="G888" s="3" t="s">
        <v>25</v>
      </c>
      <c r="H888" s="3" t="s">
        <v>34</v>
      </c>
      <c r="I888" s="6">
        <v>44593</v>
      </c>
      <c r="J888" s="4">
        <v>0</v>
      </c>
      <c r="K888" s="4">
        <v>0</v>
      </c>
      <c r="L888" s="4">
        <v>299.76799999999997</v>
      </c>
      <c r="M888" s="4">
        <v>299.76799999999997</v>
      </c>
      <c r="N888" s="4">
        <v>299.76799999999997</v>
      </c>
      <c r="O888" s="4">
        <v>299.76799999999997</v>
      </c>
      <c r="P888" s="4">
        <v>0</v>
      </c>
      <c r="Q888" s="3" t="s">
        <v>26</v>
      </c>
      <c r="R888" s="3">
        <v>0</v>
      </c>
      <c r="S888" s="4">
        <v>0</v>
      </c>
      <c r="T888" s="4">
        <v>20</v>
      </c>
      <c r="U888" s="4">
        <v>88</v>
      </c>
      <c r="V888" s="4">
        <v>0</v>
      </c>
      <c r="W888" s="4">
        <v>1564.59</v>
      </c>
      <c r="X888" s="4">
        <v>365.5</v>
      </c>
      <c r="Y888" s="4"/>
      <c r="Z888" s="4">
        <v>1923.7175020527629</v>
      </c>
      <c r="AA888" s="4">
        <v>381.42546590200942</v>
      </c>
      <c r="AB888" s="4">
        <v>0</v>
      </c>
      <c r="AC888" s="4">
        <v>469014.01511999994</v>
      </c>
      <c r="AD888" s="4">
        <v>109565.20399999998</v>
      </c>
      <c r="AE888" s="4">
        <v>0</v>
      </c>
      <c r="AF888" s="4">
        <v>576668.94815535261</v>
      </c>
      <c r="AG888" s="4">
        <v>114339.14906251355</v>
      </c>
    </row>
    <row r="889" spans="1:33" ht="11.25" customHeight="1" x14ac:dyDescent="0.25">
      <c r="A889" s="3" t="s">
        <v>27</v>
      </c>
      <c r="B889" s="3" t="s">
        <v>41</v>
      </c>
      <c r="C889" s="3" t="s">
        <v>42</v>
      </c>
      <c r="D889" s="3" t="s">
        <v>38</v>
      </c>
      <c r="E889" s="3" t="s">
        <v>25</v>
      </c>
      <c r="F889" s="3" t="s">
        <v>25</v>
      </c>
      <c r="G889" s="3" t="s">
        <v>25</v>
      </c>
      <c r="H889" s="3" t="s">
        <v>34</v>
      </c>
      <c r="I889" s="6">
        <v>44593</v>
      </c>
      <c r="J889" s="4">
        <v>0</v>
      </c>
      <c r="K889" s="4">
        <v>0</v>
      </c>
      <c r="L889" s="4">
        <v>-1.3839999999999999</v>
      </c>
      <c r="M889" s="4">
        <v>-1.3839999999999999</v>
      </c>
      <c r="N889" s="4">
        <v>-1.3839999999999999</v>
      </c>
      <c r="O889" s="4">
        <v>-1.3839999999999999</v>
      </c>
      <c r="P889" s="4">
        <v>0</v>
      </c>
      <c r="Q889" s="3" t="s">
        <v>26</v>
      </c>
      <c r="R889" s="3">
        <v>0</v>
      </c>
      <c r="S889" s="4">
        <v>0</v>
      </c>
      <c r="T889" s="4">
        <v>20</v>
      </c>
      <c r="U889" s="4">
        <v>88</v>
      </c>
      <c r="V889" s="4">
        <v>0</v>
      </c>
      <c r="W889" s="4">
        <v>1564.59</v>
      </c>
      <c r="X889" s="4">
        <v>365.5</v>
      </c>
      <c r="Y889" s="4"/>
      <c r="Z889" s="4">
        <v>1923.7175020527629</v>
      </c>
      <c r="AA889" s="4">
        <v>381.42546590200942</v>
      </c>
      <c r="AB889" s="4">
        <v>0</v>
      </c>
      <c r="AC889" s="4">
        <v>-2165.3925599999998</v>
      </c>
      <c r="AD889" s="4">
        <v>-505.85199999999998</v>
      </c>
      <c r="AE889" s="4">
        <v>0</v>
      </c>
      <c r="AF889" s="4">
        <v>-2662.4250228410237</v>
      </c>
      <c r="AG889" s="4">
        <v>-527.89284480838103</v>
      </c>
    </row>
    <row r="890" spans="1:33" ht="11.25" customHeight="1" x14ac:dyDescent="0.25">
      <c r="A890" s="3" t="s">
        <v>28</v>
      </c>
      <c r="B890" s="3" t="s">
        <v>41</v>
      </c>
      <c r="C890" s="3" t="s">
        <v>42</v>
      </c>
      <c r="D890" s="3" t="s">
        <v>38</v>
      </c>
      <c r="E890" s="3" t="s">
        <v>25</v>
      </c>
      <c r="F890" s="3" t="s">
        <v>25</v>
      </c>
      <c r="G890" s="3" t="s">
        <v>25</v>
      </c>
      <c r="H890" s="3" t="s">
        <v>34</v>
      </c>
      <c r="I890" s="6">
        <v>44593</v>
      </c>
      <c r="J890" s="4">
        <v>0</v>
      </c>
      <c r="K890" s="4">
        <v>0</v>
      </c>
      <c r="L890" s="4">
        <v>5.367</v>
      </c>
      <c r="M890" s="4">
        <v>5.367</v>
      </c>
      <c r="N890" s="4">
        <v>5.367</v>
      </c>
      <c r="O890" s="4">
        <v>5.367</v>
      </c>
      <c r="P890" s="4">
        <v>0</v>
      </c>
      <c r="Q890" s="3" t="s">
        <v>26</v>
      </c>
      <c r="R890" s="3">
        <v>0</v>
      </c>
      <c r="S890" s="4">
        <v>0</v>
      </c>
      <c r="T890" s="4">
        <v>20</v>
      </c>
      <c r="U890" s="4">
        <v>88</v>
      </c>
      <c r="V890" s="4">
        <v>0</v>
      </c>
      <c r="W890" s="4">
        <v>1564.59</v>
      </c>
      <c r="X890" s="4">
        <v>365.5</v>
      </c>
      <c r="Y890" s="4"/>
      <c r="Z890" s="4">
        <v>1923.7175020527629</v>
      </c>
      <c r="AA890" s="4">
        <v>381.42546590200942</v>
      </c>
      <c r="AB890" s="4">
        <v>0</v>
      </c>
      <c r="AC890" s="4">
        <v>8397.1545299999998</v>
      </c>
      <c r="AD890" s="4">
        <v>1961.6385</v>
      </c>
      <c r="AE890" s="4">
        <v>0</v>
      </c>
      <c r="AF890" s="4">
        <v>10324.591833517179</v>
      </c>
      <c r="AG890" s="4">
        <v>2047.1104754960845</v>
      </c>
    </row>
    <row r="891" spans="1:33" ht="11.25" customHeight="1" x14ac:dyDescent="0.25">
      <c r="A891" s="3" t="s">
        <v>56</v>
      </c>
      <c r="B891" s="3" t="s">
        <v>41</v>
      </c>
      <c r="C891" s="3" t="s">
        <v>42</v>
      </c>
      <c r="D891" s="3" t="s">
        <v>38</v>
      </c>
      <c r="E891" s="3" t="s">
        <v>25</v>
      </c>
      <c r="F891" s="3" t="s">
        <v>25</v>
      </c>
      <c r="G891" s="3" t="s">
        <v>25</v>
      </c>
      <c r="H891" s="3" t="s">
        <v>34</v>
      </c>
      <c r="I891" s="6">
        <v>44621</v>
      </c>
      <c r="J891" s="4">
        <v>0</v>
      </c>
      <c r="K891" s="4">
        <v>0</v>
      </c>
      <c r="L891" s="4">
        <v>299.76799999999997</v>
      </c>
      <c r="M891" s="4">
        <v>299.76799999999997</v>
      </c>
      <c r="N891" s="4">
        <v>299.76799999999997</v>
      </c>
      <c r="O891" s="4">
        <v>299.76799999999997</v>
      </c>
      <c r="P891" s="4">
        <v>0</v>
      </c>
      <c r="Q891" s="3" t="s">
        <v>26</v>
      </c>
      <c r="R891" s="3">
        <v>0</v>
      </c>
      <c r="S891" s="4">
        <v>0</v>
      </c>
      <c r="T891" s="4">
        <v>20</v>
      </c>
      <c r="U891" s="4">
        <v>88</v>
      </c>
      <c r="V891" s="4">
        <v>0</v>
      </c>
      <c r="W891" s="4">
        <v>1564.59</v>
      </c>
      <c r="X891" s="4">
        <v>365.5</v>
      </c>
      <c r="Y891" s="4"/>
      <c r="Z891" s="4">
        <v>1923.7175020527629</v>
      </c>
      <c r="AA891" s="4">
        <v>381.42546590200942</v>
      </c>
      <c r="AB891" s="4">
        <v>0</v>
      </c>
      <c r="AC891" s="4">
        <v>469014.01511999994</v>
      </c>
      <c r="AD891" s="4">
        <v>109565.20399999998</v>
      </c>
      <c r="AE891" s="4">
        <v>0</v>
      </c>
      <c r="AF891" s="4">
        <v>576668.94815535261</v>
      </c>
      <c r="AG891" s="4">
        <v>114339.14906251355</v>
      </c>
    </row>
    <row r="892" spans="1:33" ht="11.25" customHeight="1" x14ac:dyDescent="0.25">
      <c r="A892" s="3" t="s">
        <v>56</v>
      </c>
      <c r="B892" s="3" t="s">
        <v>41</v>
      </c>
      <c r="C892" s="3" t="s">
        <v>42</v>
      </c>
      <c r="D892" s="3" t="s">
        <v>38</v>
      </c>
      <c r="E892" s="3" t="s">
        <v>25</v>
      </c>
      <c r="F892" s="3" t="s">
        <v>25</v>
      </c>
      <c r="G892" s="3" t="s">
        <v>25</v>
      </c>
      <c r="H892" s="3" t="s">
        <v>34</v>
      </c>
      <c r="I892" s="6">
        <v>44621</v>
      </c>
      <c r="J892" s="4">
        <v>0</v>
      </c>
      <c r="K892" s="4">
        <v>0</v>
      </c>
      <c r="L892" s="4">
        <v>-1.3839999999999999</v>
      </c>
      <c r="M892" s="4">
        <v>-1.3839999999999999</v>
      </c>
      <c r="N892" s="4">
        <v>-1.3839999999999999</v>
      </c>
      <c r="O892" s="4">
        <v>-1.3839999999999999</v>
      </c>
      <c r="P892" s="4">
        <v>0</v>
      </c>
      <c r="Q892" s="3" t="s">
        <v>26</v>
      </c>
      <c r="R892" s="3">
        <v>0</v>
      </c>
      <c r="S892" s="4">
        <v>0</v>
      </c>
      <c r="T892" s="4">
        <v>20</v>
      </c>
      <c r="U892" s="4">
        <v>88</v>
      </c>
      <c r="V892" s="4">
        <v>0</v>
      </c>
      <c r="W892" s="4">
        <v>1564.59</v>
      </c>
      <c r="X892" s="4">
        <v>365.5</v>
      </c>
      <c r="Y892" s="4"/>
      <c r="Z892" s="4">
        <v>1923.7175020527629</v>
      </c>
      <c r="AA892" s="4">
        <v>381.42546590200942</v>
      </c>
      <c r="AB892" s="4">
        <v>0</v>
      </c>
      <c r="AC892" s="4">
        <v>-2165.3925599999998</v>
      </c>
      <c r="AD892" s="4">
        <v>-505.85199999999998</v>
      </c>
      <c r="AE892" s="4">
        <v>0</v>
      </c>
      <c r="AF892" s="4">
        <v>-2662.4250228410237</v>
      </c>
      <c r="AG892" s="4">
        <v>-527.89284480838103</v>
      </c>
    </row>
    <row r="893" spans="1:33" ht="11.25" customHeight="1" x14ac:dyDescent="0.25">
      <c r="A893" s="3" t="s">
        <v>56</v>
      </c>
      <c r="B893" s="3" t="s">
        <v>41</v>
      </c>
      <c r="C893" s="3" t="s">
        <v>42</v>
      </c>
      <c r="D893" s="3" t="s">
        <v>38</v>
      </c>
      <c r="E893" s="3" t="s">
        <v>25</v>
      </c>
      <c r="F893" s="3" t="s">
        <v>25</v>
      </c>
      <c r="G893" s="3" t="s">
        <v>25</v>
      </c>
      <c r="H893" s="3" t="s">
        <v>34</v>
      </c>
      <c r="I893" s="6">
        <v>44621</v>
      </c>
      <c r="J893" s="4">
        <v>0</v>
      </c>
      <c r="K893" s="4">
        <v>0</v>
      </c>
      <c r="L893" s="4">
        <v>5.367</v>
      </c>
      <c r="M893" s="4">
        <v>5.367</v>
      </c>
      <c r="N893" s="4">
        <v>5.367</v>
      </c>
      <c r="O893" s="4">
        <v>5.367</v>
      </c>
      <c r="P893" s="4">
        <v>0</v>
      </c>
      <c r="Q893" s="3" t="s">
        <v>26</v>
      </c>
      <c r="R893" s="3">
        <v>0</v>
      </c>
      <c r="S893" s="4">
        <v>0</v>
      </c>
      <c r="T893" s="4">
        <v>20</v>
      </c>
      <c r="U893" s="4">
        <v>88</v>
      </c>
      <c r="V893" s="4">
        <v>0</v>
      </c>
      <c r="W893" s="4">
        <v>1564.59</v>
      </c>
      <c r="X893" s="4">
        <v>365.5</v>
      </c>
      <c r="Y893" s="4"/>
      <c r="Z893" s="4">
        <v>1923.7175020527629</v>
      </c>
      <c r="AA893" s="4">
        <v>381.42546590200942</v>
      </c>
      <c r="AB893" s="4">
        <v>0</v>
      </c>
      <c r="AC893" s="4">
        <v>8397.1545299999998</v>
      </c>
      <c r="AD893" s="4">
        <v>1961.6385</v>
      </c>
      <c r="AE893" s="4">
        <v>0</v>
      </c>
      <c r="AF893" s="4">
        <v>10324.591833517179</v>
      </c>
      <c r="AG893" s="4">
        <v>2047.1104754960845</v>
      </c>
    </row>
    <row r="894" spans="1:33" ht="11.25" customHeight="1" x14ac:dyDescent="0.25">
      <c r="A894" s="3" t="s">
        <v>21</v>
      </c>
      <c r="B894" s="3" t="s">
        <v>41</v>
      </c>
      <c r="C894" s="3" t="s">
        <v>42</v>
      </c>
      <c r="D894" s="3" t="s">
        <v>46</v>
      </c>
      <c r="E894" s="3" t="s">
        <v>25</v>
      </c>
      <c r="F894" s="3" t="s">
        <v>25</v>
      </c>
      <c r="G894" s="3" t="s">
        <v>25</v>
      </c>
      <c r="H894" s="3" t="s">
        <v>35</v>
      </c>
      <c r="I894" s="6">
        <v>44287</v>
      </c>
      <c r="J894" s="4">
        <v>0</v>
      </c>
      <c r="K894" s="4">
        <v>0</v>
      </c>
      <c r="L894" s="4">
        <v>3678.45</v>
      </c>
      <c r="M894" s="4">
        <v>3678.45</v>
      </c>
      <c r="N894" s="4">
        <v>3678.45</v>
      </c>
      <c r="O894" s="4">
        <v>3678.45</v>
      </c>
      <c r="P894" s="4">
        <v>0</v>
      </c>
      <c r="Q894" s="3" t="s">
        <v>26</v>
      </c>
      <c r="R894" s="3">
        <v>0</v>
      </c>
      <c r="S894" s="4">
        <v>0</v>
      </c>
      <c r="T894" s="4">
        <v>21</v>
      </c>
      <c r="U894" s="4">
        <v>89</v>
      </c>
      <c r="V894" s="4">
        <v>0</v>
      </c>
      <c r="W894" s="4">
        <v>51.27</v>
      </c>
      <c r="X894" s="4">
        <v>222.31</v>
      </c>
      <c r="Y894" s="4"/>
      <c r="Z894" s="4">
        <v>68.100184485116927</v>
      </c>
      <c r="AA894" s="4">
        <v>235.31351552243123</v>
      </c>
      <c r="AB894" s="4">
        <v>0</v>
      </c>
      <c r="AC894" s="4">
        <v>188594.13149999999</v>
      </c>
      <c r="AD894" s="4">
        <v>817756.21950000001</v>
      </c>
      <c r="AE894" s="4">
        <v>0</v>
      </c>
      <c r="AF894" s="4">
        <v>250503.12361927834</v>
      </c>
      <c r="AG894" s="4">
        <v>865589.00117348717</v>
      </c>
    </row>
    <row r="895" spans="1:33" ht="11.25" customHeight="1" x14ac:dyDescent="0.25">
      <c r="A895" s="3" t="s">
        <v>28</v>
      </c>
      <c r="B895" s="3" t="s">
        <v>41</v>
      </c>
      <c r="C895" s="3" t="s">
        <v>42</v>
      </c>
      <c r="D895" s="3" t="s">
        <v>46</v>
      </c>
      <c r="E895" s="3" t="s">
        <v>25</v>
      </c>
      <c r="F895" s="3" t="s">
        <v>25</v>
      </c>
      <c r="G895" s="3" t="s">
        <v>25</v>
      </c>
      <c r="H895" s="3" t="s">
        <v>35</v>
      </c>
      <c r="I895" s="6">
        <v>44287</v>
      </c>
      <c r="J895" s="4">
        <v>0</v>
      </c>
      <c r="K895" s="4">
        <v>0</v>
      </c>
      <c r="L895" s="4">
        <v>330.58699999999999</v>
      </c>
      <c r="M895" s="4">
        <v>330.58699999999999</v>
      </c>
      <c r="N895" s="4">
        <v>330.58699999999999</v>
      </c>
      <c r="O895" s="4">
        <v>330.58699999999999</v>
      </c>
      <c r="P895" s="4">
        <v>0</v>
      </c>
      <c r="Q895" s="3" t="s">
        <v>26</v>
      </c>
      <c r="R895" s="3">
        <v>0</v>
      </c>
      <c r="S895" s="4">
        <v>0</v>
      </c>
      <c r="T895" s="4">
        <v>21</v>
      </c>
      <c r="U895" s="4">
        <v>89</v>
      </c>
      <c r="V895" s="4">
        <v>0</v>
      </c>
      <c r="W895" s="4">
        <v>51.27</v>
      </c>
      <c r="X895" s="4">
        <v>222.31</v>
      </c>
      <c r="Y895" s="4"/>
      <c r="Z895" s="4">
        <v>68.100184485116927</v>
      </c>
      <c r="AA895" s="4">
        <v>235.31351552243123</v>
      </c>
      <c r="AB895" s="4">
        <v>0</v>
      </c>
      <c r="AC895" s="4">
        <v>16949.195490000002</v>
      </c>
      <c r="AD895" s="4">
        <v>73492.795969999992</v>
      </c>
      <c r="AE895" s="4">
        <v>0</v>
      </c>
      <c r="AF895" s="4">
        <v>22513.035688381347</v>
      </c>
      <c r="AG895" s="4">
        <v>77791.589156013972</v>
      </c>
    </row>
    <row r="896" spans="1:33" ht="11.25" customHeight="1" x14ac:dyDescent="0.25">
      <c r="A896" s="3" t="s">
        <v>21</v>
      </c>
      <c r="B896" s="3" t="s">
        <v>41</v>
      </c>
      <c r="C896" s="3" t="s">
        <v>42</v>
      </c>
      <c r="D896" s="3" t="s">
        <v>46</v>
      </c>
      <c r="E896" s="3" t="s">
        <v>25</v>
      </c>
      <c r="F896" s="3" t="s">
        <v>25</v>
      </c>
      <c r="G896" s="3" t="s">
        <v>25</v>
      </c>
      <c r="H896" s="3" t="s">
        <v>35</v>
      </c>
      <c r="I896" s="6">
        <v>44317</v>
      </c>
      <c r="J896" s="4">
        <v>0</v>
      </c>
      <c r="K896" s="4">
        <v>0</v>
      </c>
      <c r="L896" s="4">
        <v>3330.223</v>
      </c>
      <c r="M896" s="4">
        <v>3330.223</v>
      </c>
      <c r="N896" s="4">
        <v>3330.223</v>
      </c>
      <c r="O896" s="4">
        <v>3330.223</v>
      </c>
      <c r="P896" s="4">
        <v>0</v>
      </c>
      <c r="Q896" s="3" t="s">
        <v>26</v>
      </c>
      <c r="R896" s="3">
        <v>0</v>
      </c>
      <c r="S896" s="4">
        <v>0</v>
      </c>
      <c r="T896" s="4">
        <v>21</v>
      </c>
      <c r="U896" s="4">
        <v>89</v>
      </c>
      <c r="V896" s="4">
        <v>0</v>
      </c>
      <c r="W896" s="4">
        <v>51.27</v>
      </c>
      <c r="X896" s="4">
        <v>222.31</v>
      </c>
      <c r="Y896" s="4"/>
      <c r="Z896" s="4">
        <v>68.100184485116927</v>
      </c>
      <c r="AA896" s="4">
        <v>235.31351552243123</v>
      </c>
      <c r="AB896" s="4">
        <v>0</v>
      </c>
      <c r="AC896" s="4">
        <v>170740.53320999999</v>
      </c>
      <c r="AD896" s="4">
        <v>740341.87512999994</v>
      </c>
      <c r="AE896" s="4">
        <v>0</v>
      </c>
      <c r="AF896" s="4">
        <v>226788.80067657956</v>
      </c>
      <c r="AG896" s="4">
        <v>783646.48160365748</v>
      </c>
    </row>
    <row r="897" spans="1:33" ht="11.25" customHeight="1" x14ac:dyDescent="0.25">
      <c r="A897" s="3" t="s">
        <v>28</v>
      </c>
      <c r="B897" s="3" t="s">
        <v>41</v>
      </c>
      <c r="C897" s="3" t="s">
        <v>42</v>
      </c>
      <c r="D897" s="3" t="s">
        <v>46</v>
      </c>
      <c r="E897" s="3" t="s">
        <v>25</v>
      </c>
      <c r="F897" s="3" t="s">
        <v>25</v>
      </c>
      <c r="G897" s="3" t="s">
        <v>25</v>
      </c>
      <c r="H897" s="3" t="s">
        <v>35</v>
      </c>
      <c r="I897" s="6">
        <v>44317</v>
      </c>
      <c r="J897" s="4">
        <v>0</v>
      </c>
      <c r="K897" s="4">
        <v>0</v>
      </c>
      <c r="L897" s="4">
        <v>364.75200000000001</v>
      </c>
      <c r="M897" s="4">
        <v>364.75200000000001</v>
      </c>
      <c r="N897" s="4">
        <v>364.75200000000001</v>
      </c>
      <c r="O897" s="4">
        <v>364.75200000000001</v>
      </c>
      <c r="P897" s="4">
        <v>0</v>
      </c>
      <c r="Q897" s="3" t="s">
        <v>26</v>
      </c>
      <c r="R897" s="3">
        <v>0</v>
      </c>
      <c r="S897" s="4">
        <v>0</v>
      </c>
      <c r="T897" s="4">
        <v>21</v>
      </c>
      <c r="U897" s="4">
        <v>89</v>
      </c>
      <c r="V897" s="4">
        <v>0</v>
      </c>
      <c r="W897" s="4">
        <v>51.27</v>
      </c>
      <c r="X897" s="4">
        <v>222.31</v>
      </c>
      <c r="Y897" s="4"/>
      <c r="Z897" s="4">
        <v>68.100184485116927</v>
      </c>
      <c r="AA897" s="4">
        <v>235.31351552243123</v>
      </c>
      <c r="AB897" s="4">
        <v>0</v>
      </c>
      <c r="AC897" s="4">
        <v>18700.835040000002</v>
      </c>
      <c r="AD897" s="4">
        <v>81088.017120000004</v>
      </c>
      <c r="AE897" s="4">
        <v>0</v>
      </c>
      <c r="AF897" s="4">
        <v>24839.678491315372</v>
      </c>
      <c r="AG897" s="4">
        <v>85831.07541383784</v>
      </c>
    </row>
    <row r="898" spans="1:33" ht="11.25" customHeight="1" x14ac:dyDescent="0.25">
      <c r="A898" s="3" t="s">
        <v>21</v>
      </c>
      <c r="B898" s="3" t="s">
        <v>41</v>
      </c>
      <c r="C898" s="3" t="s">
        <v>42</v>
      </c>
      <c r="D898" s="3" t="s">
        <v>46</v>
      </c>
      <c r="E898" s="3" t="s">
        <v>25</v>
      </c>
      <c r="F898" s="3" t="s">
        <v>25</v>
      </c>
      <c r="G898" s="3" t="s">
        <v>25</v>
      </c>
      <c r="H898" s="3" t="s">
        <v>35</v>
      </c>
      <c r="I898" s="6">
        <v>44348</v>
      </c>
      <c r="J898" s="4">
        <v>0</v>
      </c>
      <c r="K898" s="4">
        <v>0</v>
      </c>
      <c r="L898" s="4">
        <v>2968.3420000000001</v>
      </c>
      <c r="M898" s="4">
        <v>2968.3420000000001</v>
      </c>
      <c r="N898" s="4">
        <v>2968.3420000000001</v>
      </c>
      <c r="O898" s="4">
        <v>2968.3420000000001</v>
      </c>
      <c r="P898" s="4">
        <v>0</v>
      </c>
      <c r="Q898" s="3" t="s">
        <v>26</v>
      </c>
      <c r="R898" s="3">
        <v>0</v>
      </c>
      <c r="S898" s="4">
        <v>0</v>
      </c>
      <c r="T898" s="4">
        <v>21</v>
      </c>
      <c r="U898" s="4">
        <v>89</v>
      </c>
      <c r="V898" s="4">
        <v>0</v>
      </c>
      <c r="W898" s="4">
        <v>51.27</v>
      </c>
      <c r="X898" s="4">
        <v>222.31</v>
      </c>
      <c r="Y898" s="4"/>
      <c r="Z898" s="4">
        <v>68.100184485116927</v>
      </c>
      <c r="AA898" s="4">
        <v>235.31351552243123</v>
      </c>
      <c r="AB898" s="4">
        <v>0</v>
      </c>
      <c r="AC898" s="4">
        <v>152186.89434000003</v>
      </c>
      <c r="AD898" s="4">
        <v>659892.11002000002</v>
      </c>
      <c r="AE898" s="4">
        <v>0</v>
      </c>
      <c r="AF898" s="4">
        <v>202144.63781492095</v>
      </c>
      <c r="AG898" s="4">
        <v>698490.99129288457</v>
      </c>
    </row>
    <row r="899" spans="1:33" ht="11.25" customHeight="1" x14ac:dyDescent="0.25">
      <c r="A899" s="3" t="s">
        <v>28</v>
      </c>
      <c r="B899" s="3" t="s">
        <v>41</v>
      </c>
      <c r="C899" s="3" t="s">
        <v>42</v>
      </c>
      <c r="D899" s="3" t="s">
        <v>46</v>
      </c>
      <c r="E899" s="3" t="s">
        <v>25</v>
      </c>
      <c r="F899" s="3" t="s">
        <v>25</v>
      </c>
      <c r="G899" s="3" t="s">
        <v>25</v>
      </c>
      <c r="H899" s="3" t="s">
        <v>35</v>
      </c>
      <c r="I899" s="6">
        <v>44348</v>
      </c>
      <c r="J899" s="4">
        <v>0</v>
      </c>
      <c r="K899" s="4">
        <v>0</v>
      </c>
      <c r="L899" s="4">
        <v>352.01799999999997</v>
      </c>
      <c r="M899" s="4">
        <v>352.01799999999997</v>
      </c>
      <c r="N899" s="4">
        <v>352.01799999999997</v>
      </c>
      <c r="O899" s="4">
        <v>352.01799999999997</v>
      </c>
      <c r="P899" s="4">
        <v>0</v>
      </c>
      <c r="Q899" s="3" t="s">
        <v>26</v>
      </c>
      <c r="R899" s="3">
        <v>0</v>
      </c>
      <c r="S899" s="4">
        <v>0</v>
      </c>
      <c r="T899" s="4">
        <v>21</v>
      </c>
      <c r="U899" s="4">
        <v>89</v>
      </c>
      <c r="V899" s="4">
        <v>0</v>
      </c>
      <c r="W899" s="4">
        <v>51.27</v>
      </c>
      <c r="X899" s="4">
        <v>222.31</v>
      </c>
      <c r="Y899" s="4"/>
      <c r="Z899" s="4">
        <v>68.100184485116927</v>
      </c>
      <c r="AA899" s="4">
        <v>235.31351552243123</v>
      </c>
      <c r="AB899" s="4">
        <v>0</v>
      </c>
      <c r="AC899" s="4">
        <v>18047.96286</v>
      </c>
      <c r="AD899" s="4">
        <v>78257.121579999992</v>
      </c>
      <c r="AE899" s="4">
        <v>0</v>
      </c>
      <c r="AF899" s="4">
        <v>23972.490742081889</v>
      </c>
      <c r="AG899" s="4">
        <v>82834.593107175184</v>
      </c>
    </row>
    <row r="900" spans="1:33" ht="11.25" customHeight="1" x14ac:dyDescent="0.25">
      <c r="A900" s="3" t="s">
        <v>21</v>
      </c>
      <c r="B900" s="3" t="s">
        <v>41</v>
      </c>
      <c r="C900" s="3" t="s">
        <v>42</v>
      </c>
      <c r="D900" s="3" t="s">
        <v>46</v>
      </c>
      <c r="E900" s="3" t="s">
        <v>25</v>
      </c>
      <c r="F900" s="3" t="s">
        <v>25</v>
      </c>
      <c r="G900" s="3" t="s">
        <v>25</v>
      </c>
      <c r="H900" s="3" t="s">
        <v>35</v>
      </c>
      <c r="I900" s="6">
        <v>44378</v>
      </c>
      <c r="J900" s="4">
        <v>0</v>
      </c>
      <c r="K900" s="4">
        <v>0</v>
      </c>
      <c r="L900" s="4">
        <v>2896</v>
      </c>
      <c r="M900" s="4">
        <v>2896</v>
      </c>
      <c r="N900" s="4">
        <v>2896</v>
      </c>
      <c r="O900" s="4">
        <v>2896</v>
      </c>
      <c r="P900" s="4">
        <v>0</v>
      </c>
      <c r="Q900" s="3" t="s">
        <v>26</v>
      </c>
      <c r="R900" s="3">
        <v>0</v>
      </c>
      <c r="S900" s="4">
        <v>0</v>
      </c>
      <c r="T900" s="4">
        <v>21</v>
      </c>
      <c r="U900" s="4">
        <v>89</v>
      </c>
      <c r="V900" s="4">
        <v>0</v>
      </c>
      <c r="W900" s="4">
        <v>51.27</v>
      </c>
      <c r="X900" s="4">
        <v>222.31</v>
      </c>
      <c r="Y900" s="4"/>
      <c r="Z900" s="4">
        <v>68.100184485116927</v>
      </c>
      <c r="AA900" s="4">
        <v>235.31351552243123</v>
      </c>
      <c r="AB900" s="4">
        <v>0</v>
      </c>
      <c r="AC900" s="4">
        <v>148477.92000000001</v>
      </c>
      <c r="AD900" s="4">
        <v>643809.76</v>
      </c>
      <c r="AE900" s="4">
        <v>0</v>
      </c>
      <c r="AF900" s="4">
        <v>197218.13426889863</v>
      </c>
      <c r="AG900" s="4">
        <v>681467.94095296087</v>
      </c>
    </row>
    <row r="901" spans="1:33" ht="11.25" customHeight="1" x14ac:dyDescent="0.25">
      <c r="A901" s="3" t="s">
        <v>28</v>
      </c>
      <c r="B901" s="3" t="s">
        <v>41</v>
      </c>
      <c r="C901" s="3" t="s">
        <v>42</v>
      </c>
      <c r="D901" s="3" t="s">
        <v>46</v>
      </c>
      <c r="E901" s="3" t="s">
        <v>25</v>
      </c>
      <c r="F901" s="3" t="s">
        <v>25</v>
      </c>
      <c r="G901" s="3" t="s">
        <v>25</v>
      </c>
      <c r="H901" s="3" t="s">
        <v>35</v>
      </c>
      <c r="I901" s="6">
        <v>44378</v>
      </c>
      <c r="J901" s="4">
        <v>0</v>
      </c>
      <c r="K901" s="4">
        <v>0</v>
      </c>
      <c r="L901" s="4">
        <v>354.58600000000001</v>
      </c>
      <c r="M901" s="4">
        <v>354.58600000000001</v>
      </c>
      <c r="N901" s="4">
        <v>354.58600000000001</v>
      </c>
      <c r="O901" s="4">
        <v>354.58600000000001</v>
      </c>
      <c r="P901" s="4">
        <v>0</v>
      </c>
      <c r="Q901" s="3" t="s">
        <v>26</v>
      </c>
      <c r="R901" s="3">
        <v>0</v>
      </c>
      <c r="S901" s="4">
        <v>0</v>
      </c>
      <c r="T901" s="4">
        <v>21</v>
      </c>
      <c r="U901" s="4">
        <v>89</v>
      </c>
      <c r="V901" s="4">
        <v>0</v>
      </c>
      <c r="W901" s="4">
        <v>51.27</v>
      </c>
      <c r="X901" s="4">
        <v>222.31</v>
      </c>
      <c r="Y901" s="4"/>
      <c r="Z901" s="4">
        <v>68.100184485116927</v>
      </c>
      <c r="AA901" s="4">
        <v>235.31351552243123</v>
      </c>
      <c r="AB901" s="4">
        <v>0</v>
      </c>
      <c r="AC901" s="4">
        <v>18179.624220000002</v>
      </c>
      <c r="AD901" s="4">
        <v>78828.013659999997</v>
      </c>
      <c r="AE901" s="4">
        <v>0</v>
      </c>
      <c r="AF901" s="4">
        <v>24147.372015839672</v>
      </c>
      <c r="AG901" s="4">
        <v>83438.878215036806</v>
      </c>
    </row>
    <row r="902" spans="1:33" ht="11.25" customHeight="1" x14ac:dyDescent="0.25">
      <c r="A902" s="3" t="s">
        <v>21</v>
      </c>
      <c r="B902" s="3" t="s">
        <v>41</v>
      </c>
      <c r="C902" s="3" t="s">
        <v>42</v>
      </c>
      <c r="D902" s="3" t="s">
        <v>46</v>
      </c>
      <c r="E902" s="3" t="s">
        <v>25</v>
      </c>
      <c r="F902" s="3" t="s">
        <v>25</v>
      </c>
      <c r="G902" s="3" t="s">
        <v>25</v>
      </c>
      <c r="H902" s="3" t="s">
        <v>35</v>
      </c>
      <c r="I902" s="6">
        <v>44409</v>
      </c>
      <c r="J902" s="4">
        <v>0</v>
      </c>
      <c r="K902" s="4">
        <v>0</v>
      </c>
      <c r="L902" s="4">
        <v>3114.625</v>
      </c>
      <c r="M902" s="4">
        <v>3114.625</v>
      </c>
      <c r="N902" s="4">
        <v>3114.625</v>
      </c>
      <c r="O902" s="4">
        <v>3114.625</v>
      </c>
      <c r="P902" s="4">
        <v>0</v>
      </c>
      <c r="Q902" s="3" t="s">
        <v>26</v>
      </c>
      <c r="R902" s="3">
        <v>0</v>
      </c>
      <c r="S902" s="4">
        <v>0</v>
      </c>
      <c r="T902" s="4">
        <v>21</v>
      </c>
      <c r="U902" s="4">
        <v>89</v>
      </c>
      <c r="V902" s="4">
        <v>0</v>
      </c>
      <c r="W902" s="4">
        <v>51.27</v>
      </c>
      <c r="X902" s="4">
        <v>222.31</v>
      </c>
      <c r="Y902" s="4"/>
      <c r="Z902" s="4">
        <v>68.100184485116927</v>
      </c>
      <c r="AA902" s="4">
        <v>235.31351552243123</v>
      </c>
      <c r="AB902" s="4">
        <v>0</v>
      </c>
      <c r="AC902" s="4">
        <v>159686.82375000001</v>
      </c>
      <c r="AD902" s="4">
        <v>692412.28375000006</v>
      </c>
      <c r="AE902" s="4">
        <v>0</v>
      </c>
      <c r="AF902" s="4">
        <v>212106.53710195731</v>
      </c>
      <c r="AG902" s="4">
        <v>732913.35828405234</v>
      </c>
    </row>
    <row r="903" spans="1:33" ht="11.25" customHeight="1" x14ac:dyDescent="0.25">
      <c r="A903" s="3" t="s">
        <v>28</v>
      </c>
      <c r="B903" s="3" t="s">
        <v>41</v>
      </c>
      <c r="C903" s="3" t="s">
        <v>42</v>
      </c>
      <c r="D903" s="3" t="s">
        <v>46</v>
      </c>
      <c r="E903" s="3" t="s">
        <v>25</v>
      </c>
      <c r="F903" s="3" t="s">
        <v>25</v>
      </c>
      <c r="G903" s="3" t="s">
        <v>25</v>
      </c>
      <c r="H903" s="3" t="s">
        <v>35</v>
      </c>
      <c r="I903" s="6">
        <v>44409</v>
      </c>
      <c r="J903" s="4">
        <v>0</v>
      </c>
      <c r="K903" s="4">
        <v>0</v>
      </c>
      <c r="L903" s="4">
        <v>347.67899999999997</v>
      </c>
      <c r="M903" s="4">
        <v>347.67899999999997</v>
      </c>
      <c r="N903" s="4">
        <v>347.67899999999997</v>
      </c>
      <c r="O903" s="4">
        <v>347.67899999999997</v>
      </c>
      <c r="P903" s="4">
        <v>0</v>
      </c>
      <c r="Q903" s="3" t="s">
        <v>26</v>
      </c>
      <c r="R903" s="3">
        <v>0</v>
      </c>
      <c r="S903" s="4">
        <v>0</v>
      </c>
      <c r="T903" s="4">
        <v>21</v>
      </c>
      <c r="U903" s="4">
        <v>89</v>
      </c>
      <c r="V903" s="4">
        <v>0</v>
      </c>
      <c r="W903" s="4">
        <v>51.27</v>
      </c>
      <c r="X903" s="4">
        <v>222.31</v>
      </c>
      <c r="Y903" s="4"/>
      <c r="Z903" s="4">
        <v>68.100184485116927</v>
      </c>
      <c r="AA903" s="4">
        <v>235.31351552243123</v>
      </c>
      <c r="AB903" s="4">
        <v>0</v>
      </c>
      <c r="AC903" s="4">
        <v>17825.502329999999</v>
      </c>
      <c r="AD903" s="4">
        <v>77292.518489999988</v>
      </c>
      <c r="AE903" s="4">
        <v>0</v>
      </c>
      <c r="AF903" s="4">
        <v>23677.004041600965</v>
      </c>
      <c r="AG903" s="4">
        <v>81813.567763323357</v>
      </c>
    </row>
    <row r="904" spans="1:33" ht="11.25" customHeight="1" x14ac:dyDescent="0.25">
      <c r="A904" s="3" t="s">
        <v>28</v>
      </c>
      <c r="B904" s="3" t="s">
        <v>41</v>
      </c>
      <c r="C904" s="3" t="s">
        <v>42</v>
      </c>
      <c r="D904" s="3" t="s">
        <v>46</v>
      </c>
      <c r="E904" s="3" t="s">
        <v>25</v>
      </c>
      <c r="F904" s="3" t="s">
        <v>25</v>
      </c>
      <c r="G904" s="3" t="s">
        <v>25</v>
      </c>
      <c r="H904" s="3" t="s">
        <v>35</v>
      </c>
      <c r="I904" s="6">
        <v>44409</v>
      </c>
      <c r="J904" s="4">
        <v>0</v>
      </c>
      <c r="K904" s="4">
        <v>0</v>
      </c>
      <c r="L904" s="4">
        <v>0.17399999999999999</v>
      </c>
      <c r="M904" s="4">
        <v>0.17399999999999999</v>
      </c>
      <c r="N904" s="4">
        <v>0.17399999999999999</v>
      </c>
      <c r="O904" s="4">
        <v>0.17399999999999999</v>
      </c>
      <c r="P904" s="4">
        <v>0</v>
      </c>
      <c r="Q904" s="3" t="s">
        <v>26</v>
      </c>
      <c r="R904" s="3">
        <v>0</v>
      </c>
      <c r="S904" s="4">
        <v>0</v>
      </c>
      <c r="T904" s="4">
        <v>21</v>
      </c>
      <c r="U904" s="4">
        <v>89</v>
      </c>
      <c r="V904" s="4">
        <v>0</v>
      </c>
      <c r="W904" s="4">
        <v>51.27</v>
      </c>
      <c r="X904" s="4">
        <v>222.31</v>
      </c>
      <c r="Y904" s="4"/>
      <c r="Z904" s="4">
        <v>68.100184485116927</v>
      </c>
      <c r="AA904" s="4">
        <v>235.31351552243123</v>
      </c>
      <c r="AB904" s="4">
        <v>0</v>
      </c>
      <c r="AC904" s="4">
        <v>8.9209800000000001</v>
      </c>
      <c r="AD904" s="4">
        <v>38.681939999999997</v>
      </c>
      <c r="AE904" s="4">
        <v>0</v>
      </c>
      <c r="AF904" s="4">
        <v>11.849432100410345</v>
      </c>
      <c r="AG904" s="4">
        <v>40.944551700903034</v>
      </c>
    </row>
    <row r="905" spans="1:33" ht="11.25" customHeight="1" x14ac:dyDescent="0.25">
      <c r="A905" s="3" t="s">
        <v>21</v>
      </c>
      <c r="B905" s="3" t="s">
        <v>41</v>
      </c>
      <c r="C905" s="3" t="s">
        <v>42</v>
      </c>
      <c r="D905" s="3" t="s">
        <v>46</v>
      </c>
      <c r="E905" s="3" t="s">
        <v>25</v>
      </c>
      <c r="F905" s="3" t="s">
        <v>25</v>
      </c>
      <c r="G905" s="3" t="s">
        <v>25</v>
      </c>
      <c r="H905" s="3" t="s">
        <v>35</v>
      </c>
      <c r="I905" s="6">
        <v>44440</v>
      </c>
      <c r="J905" s="4">
        <v>0</v>
      </c>
      <c r="K905" s="4">
        <v>0</v>
      </c>
      <c r="L905" s="4">
        <v>3371.067</v>
      </c>
      <c r="M905" s="4">
        <v>3371.067</v>
      </c>
      <c r="N905" s="4">
        <v>3371.067</v>
      </c>
      <c r="O905" s="4">
        <v>3371.067</v>
      </c>
      <c r="P905" s="4">
        <v>0</v>
      </c>
      <c r="Q905" s="3" t="s">
        <v>26</v>
      </c>
      <c r="R905" s="3">
        <v>0</v>
      </c>
      <c r="S905" s="4">
        <v>0</v>
      </c>
      <c r="T905" s="4">
        <v>21</v>
      </c>
      <c r="U905" s="4">
        <v>89</v>
      </c>
      <c r="V905" s="4">
        <v>0</v>
      </c>
      <c r="W905" s="4">
        <v>51.27</v>
      </c>
      <c r="X905" s="4">
        <v>222.31</v>
      </c>
      <c r="Y905" s="4"/>
      <c r="Z905" s="4">
        <v>68.100184485116927</v>
      </c>
      <c r="AA905" s="4">
        <v>235.31351552243123</v>
      </c>
      <c r="AB905" s="4">
        <v>0</v>
      </c>
      <c r="AC905" s="4">
        <v>172834.60509</v>
      </c>
      <c r="AD905" s="4">
        <v>749421.90477000002</v>
      </c>
      <c r="AE905" s="4">
        <v>0</v>
      </c>
      <c r="AF905" s="4">
        <v>229570.28461168965</v>
      </c>
      <c r="AG905" s="4">
        <v>793257.62683165574</v>
      </c>
    </row>
    <row r="906" spans="1:33" ht="11.25" customHeight="1" x14ac:dyDescent="0.25">
      <c r="A906" s="3" t="s">
        <v>28</v>
      </c>
      <c r="B906" s="3" t="s">
        <v>41</v>
      </c>
      <c r="C906" s="3" t="s">
        <v>42</v>
      </c>
      <c r="D906" s="3" t="s">
        <v>46</v>
      </c>
      <c r="E906" s="3" t="s">
        <v>25</v>
      </c>
      <c r="F906" s="3" t="s">
        <v>25</v>
      </c>
      <c r="G906" s="3" t="s">
        <v>25</v>
      </c>
      <c r="H906" s="3" t="s">
        <v>35</v>
      </c>
      <c r="I906" s="6">
        <v>44440</v>
      </c>
      <c r="J906" s="4">
        <v>0</v>
      </c>
      <c r="K906" s="4">
        <v>0</v>
      </c>
      <c r="L906" s="4">
        <v>393.62799999999999</v>
      </c>
      <c r="M906" s="4">
        <v>393.62799999999999</v>
      </c>
      <c r="N906" s="4">
        <v>393.62799999999999</v>
      </c>
      <c r="O906" s="4">
        <v>393.62799999999999</v>
      </c>
      <c r="P906" s="4">
        <v>0</v>
      </c>
      <c r="Q906" s="3" t="s">
        <v>26</v>
      </c>
      <c r="R906" s="3">
        <v>0</v>
      </c>
      <c r="S906" s="4">
        <v>0</v>
      </c>
      <c r="T906" s="4">
        <v>21</v>
      </c>
      <c r="U906" s="4">
        <v>89</v>
      </c>
      <c r="V906" s="4">
        <v>0</v>
      </c>
      <c r="W906" s="4">
        <v>51.27</v>
      </c>
      <c r="X906" s="4">
        <v>222.31</v>
      </c>
      <c r="Y906" s="4"/>
      <c r="Z906" s="4">
        <v>68.100184485116927</v>
      </c>
      <c r="AA906" s="4">
        <v>235.31351552243123</v>
      </c>
      <c r="AB906" s="4">
        <v>0</v>
      </c>
      <c r="AC906" s="4">
        <v>20181.307560000001</v>
      </c>
      <c r="AD906" s="4">
        <v>87507.44068</v>
      </c>
      <c r="AE906" s="4">
        <v>0</v>
      </c>
      <c r="AF906" s="4">
        <v>26806.139418507606</v>
      </c>
      <c r="AG906" s="4">
        <v>92625.988488063551</v>
      </c>
    </row>
    <row r="907" spans="1:33" ht="11.25" customHeight="1" x14ac:dyDescent="0.25">
      <c r="A907" s="3" t="s">
        <v>21</v>
      </c>
      <c r="B907" s="3" t="s">
        <v>41</v>
      </c>
      <c r="C907" s="3" t="s">
        <v>42</v>
      </c>
      <c r="D907" s="3" t="s">
        <v>46</v>
      </c>
      <c r="E907" s="3" t="s">
        <v>25</v>
      </c>
      <c r="F907" s="3" t="s">
        <v>25</v>
      </c>
      <c r="G907" s="3" t="s">
        <v>25</v>
      </c>
      <c r="H907" s="3" t="s">
        <v>35</v>
      </c>
      <c r="I907" s="6">
        <v>44470</v>
      </c>
      <c r="J907" s="4">
        <v>0</v>
      </c>
      <c r="K907" s="4">
        <v>0</v>
      </c>
      <c r="L907" s="4">
        <v>3891.2249999999999</v>
      </c>
      <c r="M907" s="4">
        <v>3891.2249999999999</v>
      </c>
      <c r="N907" s="4">
        <v>3891.2249999999999</v>
      </c>
      <c r="O907" s="4">
        <v>3891.2249999999999</v>
      </c>
      <c r="P907" s="4">
        <v>0</v>
      </c>
      <c r="Q907" s="3" t="s">
        <v>26</v>
      </c>
      <c r="R907" s="3">
        <v>0</v>
      </c>
      <c r="S907" s="4">
        <v>0</v>
      </c>
      <c r="T907" s="4">
        <v>21</v>
      </c>
      <c r="U907" s="4">
        <v>89</v>
      </c>
      <c r="V907" s="4">
        <v>0</v>
      </c>
      <c r="W907" s="4">
        <v>51.27</v>
      </c>
      <c r="X907" s="4">
        <v>222.31</v>
      </c>
      <c r="Y907" s="4"/>
      <c r="Z907" s="4">
        <v>68.100184485116927</v>
      </c>
      <c r="AA907" s="4">
        <v>235.31351552243123</v>
      </c>
      <c r="AB907" s="4">
        <v>0</v>
      </c>
      <c r="AC907" s="4">
        <v>199503.10575000002</v>
      </c>
      <c r="AD907" s="4">
        <v>865058.22974999994</v>
      </c>
      <c r="AE907" s="4">
        <v>0</v>
      </c>
      <c r="AF907" s="4">
        <v>264993.14037309913</v>
      </c>
      <c r="AG907" s="4">
        <v>915657.83443877241</v>
      </c>
    </row>
    <row r="908" spans="1:33" ht="11.25" customHeight="1" x14ac:dyDescent="0.25">
      <c r="A908" s="3" t="s">
        <v>28</v>
      </c>
      <c r="B908" s="3" t="s">
        <v>41</v>
      </c>
      <c r="C908" s="3" t="s">
        <v>42</v>
      </c>
      <c r="D908" s="3" t="s">
        <v>46</v>
      </c>
      <c r="E908" s="3" t="s">
        <v>25</v>
      </c>
      <c r="F908" s="3" t="s">
        <v>25</v>
      </c>
      <c r="G908" s="3" t="s">
        <v>25</v>
      </c>
      <c r="H908" s="3" t="s">
        <v>35</v>
      </c>
      <c r="I908" s="6">
        <v>44470</v>
      </c>
      <c r="J908" s="4">
        <v>0</v>
      </c>
      <c r="K908" s="4">
        <v>0</v>
      </c>
      <c r="L908" s="4">
        <v>452.12</v>
      </c>
      <c r="M908" s="4">
        <v>452.12</v>
      </c>
      <c r="N908" s="4">
        <v>452.12</v>
      </c>
      <c r="O908" s="4">
        <v>452.12</v>
      </c>
      <c r="P908" s="4">
        <v>0</v>
      </c>
      <c r="Q908" s="3" t="s">
        <v>26</v>
      </c>
      <c r="R908" s="3">
        <v>0</v>
      </c>
      <c r="S908" s="4">
        <v>0</v>
      </c>
      <c r="T908" s="4">
        <v>21</v>
      </c>
      <c r="U908" s="4">
        <v>89</v>
      </c>
      <c r="V908" s="4">
        <v>0</v>
      </c>
      <c r="W908" s="4">
        <v>51.27</v>
      </c>
      <c r="X908" s="4">
        <v>222.31</v>
      </c>
      <c r="Y908" s="4"/>
      <c r="Z908" s="4">
        <v>68.100184485116927</v>
      </c>
      <c r="AA908" s="4">
        <v>235.31351552243123</v>
      </c>
      <c r="AB908" s="4">
        <v>0</v>
      </c>
      <c r="AC908" s="4">
        <v>23180.1924</v>
      </c>
      <c r="AD908" s="4">
        <v>100510.7972</v>
      </c>
      <c r="AE908" s="4">
        <v>0</v>
      </c>
      <c r="AF908" s="4">
        <v>30789.455409411064</v>
      </c>
      <c r="AG908" s="4">
        <v>106389.94663800161</v>
      </c>
    </row>
    <row r="909" spans="1:33" ht="11.25" customHeight="1" x14ac:dyDescent="0.25">
      <c r="A909" s="3" t="s">
        <v>21</v>
      </c>
      <c r="B909" s="3" t="s">
        <v>41</v>
      </c>
      <c r="C909" s="3" t="s">
        <v>42</v>
      </c>
      <c r="D909" s="3" t="s">
        <v>46</v>
      </c>
      <c r="E909" s="3" t="s">
        <v>25</v>
      </c>
      <c r="F909" s="3" t="s">
        <v>25</v>
      </c>
      <c r="G909" s="3" t="s">
        <v>25</v>
      </c>
      <c r="H909" s="3" t="s">
        <v>35</v>
      </c>
      <c r="I909" s="6">
        <v>44501</v>
      </c>
      <c r="J909" s="4">
        <v>0</v>
      </c>
      <c r="K909" s="4">
        <v>0</v>
      </c>
      <c r="L909" s="4">
        <v>4237.3530000000001</v>
      </c>
      <c r="M909" s="4">
        <v>4237.3530000000001</v>
      </c>
      <c r="N909" s="4">
        <v>4237.3530000000001</v>
      </c>
      <c r="O909" s="4">
        <v>4237.3530000000001</v>
      </c>
      <c r="P909" s="4">
        <v>0</v>
      </c>
      <c r="Q909" s="3" t="s">
        <v>26</v>
      </c>
      <c r="R909" s="3">
        <v>0</v>
      </c>
      <c r="S909" s="4">
        <v>0</v>
      </c>
      <c r="T909" s="4">
        <v>21</v>
      </c>
      <c r="U909" s="4">
        <v>89</v>
      </c>
      <c r="V909" s="4">
        <v>0</v>
      </c>
      <c r="W909" s="4">
        <v>51.27</v>
      </c>
      <c r="X909" s="4">
        <v>222.31</v>
      </c>
      <c r="Y909" s="4"/>
      <c r="Z909" s="4">
        <v>68.100184485116927</v>
      </c>
      <c r="AA909" s="4">
        <v>235.31351552243123</v>
      </c>
      <c r="AB909" s="4">
        <v>0</v>
      </c>
      <c r="AC909" s="4">
        <v>217249.08831000002</v>
      </c>
      <c r="AD909" s="4">
        <v>942005.94543000008</v>
      </c>
      <c r="AE909" s="4">
        <v>0</v>
      </c>
      <c r="AF909" s="4">
        <v>288564.52102856367</v>
      </c>
      <c r="AG909" s="4">
        <v>997106.43093952059</v>
      </c>
    </row>
    <row r="910" spans="1:33" ht="11.25" customHeight="1" x14ac:dyDescent="0.25">
      <c r="A910" s="3" t="s">
        <v>28</v>
      </c>
      <c r="B910" s="3" t="s">
        <v>41</v>
      </c>
      <c r="C910" s="3" t="s">
        <v>42</v>
      </c>
      <c r="D910" s="3" t="s">
        <v>46</v>
      </c>
      <c r="E910" s="3" t="s">
        <v>25</v>
      </c>
      <c r="F910" s="3" t="s">
        <v>25</v>
      </c>
      <c r="G910" s="3" t="s">
        <v>25</v>
      </c>
      <c r="H910" s="3" t="s">
        <v>35</v>
      </c>
      <c r="I910" s="6">
        <v>44501</v>
      </c>
      <c r="J910" s="4">
        <v>0</v>
      </c>
      <c r="K910" s="4">
        <v>0</v>
      </c>
      <c r="L910" s="4">
        <v>473.48099999999999</v>
      </c>
      <c r="M910" s="4">
        <v>473.48099999999999</v>
      </c>
      <c r="N910" s="4">
        <v>473.48099999999999</v>
      </c>
      <c r="O910" s="4">
        <v>473.48099999999999</v>
      </c>
      <c r="P910" s="4">
        <v>0</v>
      </c>
      <c r="Q910" s="3" t="s">
        <v>26</v>
      </c>
      <c r="R910" s="3">
        <v>0</v>
      </c>
      <c r="S910" s="4">
        <v>0</v>
      </c>
      <c r="T910" s="4">
        <v>21</v>
      </c>
      <c r="U910" s="4">
        <v>89</v>
      </c>
      <c r="V910" s="4">
        <v>0</v>
      </c>
      <c r="W910" s="4">
        <v>51.27</v>
      </c>
      <c r="X910" s="4">
        <v>222.31</v>
      </c>
      <c r="Y910" s="4"/>
      <c r="Z910" s="4">
        <v>68.100184485116927</v>
      </c>
      <c r="AA910" s="4">
        <v>235.31351552243123</v>
      </c>
      <c r="AB910" s="4">
        <v>0</v>
      </c>
      <c r="AC910" s="4">
        <v>24275.370870000002</v>
      </c>
      <c r="AD910" s="4">
        <v>105259.56111</v>
      </c>
      <c r="AE910" s="4">
        <v>0</v>
      </c>
      <c r="AF910" s="4">
        <v>32244.143450197647</v>
      </c>
      <c r="AG910" s="4">
        <v>111416.47864307626</v>
      </c>
    </row>
    <row r="911" spans="1:33" ht="11.25" customHeight="1" x14ac:dyDescent="0.25">
      <c r="A911" s="3" t="s">
        <v>21</v>
      </c>
      <c r="B911" s="3" t="s">
        <v>41</v>
      </c>
      <c r="C911" s="3" t="s">
        <v>42</v>
      </c>
      <c r="D911" s="3" t="s">
        <v>46</v>
      </c>
      <c r="E911" s="3" t="s">
        <v>25</v>
      </c>
      <c r="F911" s="3" t="s">
        <v>25</v>
      </c>
      <c r="G911" s="3" t="s">
        <v>25</v>
      </c>
      <c r="H911" s="3" t="s">
        <v>35</v>
      </c>
      <c r="I911" s="6">
        <v>44531</v>
      </c>
      <c r="J911" s="4">
        <v>0</v>
      </c>
      <c r="K911" s="4">
        <v>0</v>
      </c>
      <c r="L911" s="4">
        <v>4234.7969999999996</v>
      </c>
      <c r="M911" s="4">
        <v>4234.7969999999996</v>
      </c>
      <c r="N911" s="4">
        <v>4234.7969999999996</v>
      </c>
      <c r="O911" s="4">
        <v>4234.7969999999996</v>
      </c>
      <c r="P911" s="4">
        <v>0</v>
      </c>
      <c r="Q911" s="3" t="s">
        <v>26</v>
      </c>
      <c r="R911" s="3">
        <v>0</v>
      </c>
      <c r="S911" s="4">
        <v>0</v>
      </c>
      <c r="T911" s="4">
        <v>21</v>
      </c>
      <c r="U911" s="4">
        <v>89</v>
      </c>
      <c r="V911" s="4">
        <v>0</v>
      </c>
      <c r="W911" s="4">
        <v>51.27</v>
      </c>
      <c r="X911" s="4">
        <v>222.31</v>
      </c>
      <c r="Y911" s="4"/>
      <c r="Z911" s="4">
        <v>68.100184485116927</v>
      </c>
      <c r="AA911" s="4">
        <v>235.31351552243123</v>
      </c>
      <c r="AB911" s="4">
        <v>0</v>
      </c>
      <c r="AC911" s="4">
        <v>217118.04218999998</v>
      </c>
      <c r="AD911" s="4">
        <v>941437.72106999997</v>
      </c>
      <c r="AE911" s="4">
        <v>0</v>
      </c>
      <c r="AF911" s="4">
        <v>288390.45695701969</v>
      </c>
      <c r="AG911" s="4">
        <v>996504.96959384507</v>
      </c>
    </row>
    <row r="912" spans="1:33" ht="11.25" customHeight="1" x14ac:dyDescent="0.25">
      <c r="A912" s="3" t="s">
        <v>28</v>
      </c>
      <c r="B912" s="3" t="s">
        <v>41</v>
      </c>
      <c r="C912" s="3" t="s">
        <v>42</v>
      </c>
      <c r="D912" s="3" t="s">
        <v>46</v>
      </c>
      <c r="E912" s="3" t="s">
        <v>25</v>
      </c>
      <c r="F912" s="3" t="s">
        <v>25</v>
      </c>
      <c r="G912" s="3" t="s">
        <v>25</v>
      </c>
      <c r="H912" s="3" t="s">
        <v>35</v>
      </c>
      <c r="I912" s="6">
        <v>44531</v>
      </c>
      <c r="J912" s="4">
        <v>0</v>
      </c>
      <c r="K912" s="4">
        <v>0</v>
      </c>
      <c r="L912" s="4">
        <v>499.49400000000003</v>
      </c>
      <c r="M912" s="4">
        <v>499.49400000000003</v>
      </c>
      <c r="N912" s="4">
        <v>499.49400000000003</v>
      </c>
      <c r="O912" s="4">
        <v>499.49400000000003</v>
      </c>
      <c r="P912" s="4">
        <v>0</v>
      </c>
      <c r="Q912" s="3" t="s">
        <v>26</v>
      </c>
      <c r="R912" s="3">
        <v>0</v>
      </c>
      <c r="S912" s="4">
        <v>0</v>
      </c>
      <c r="T912" s="4">
        <v>21</v>
      </c>
      <c r="U912" s="4">
        <v>89</v>
      </c>
      <c r="V912" s="4">
        <v>0</v>
      </c>
      <c r="W912" s="4">
        <v>51.27</v>
      </c>
      <c r="X912" s="4">
        <v>222.31</v>
      </c>
      <c r="Y912" s="4"/>
      <c r="Z912" s="4">
        <v>68.100184485116927</v>
      </c>
      <c r="AA912" s="4">
        <v>235.31351552243123</v>
      </c>
      <c r="AB912" s="4">
        <v>0</v>
      </c>
      <c r="AC912" s="4">
        <v>25609.057380000002</v>
      </c>
      <c r="AD912" s="4">
        <v>111042.51114</v>
      </c>
      <c r="AE912" s="4">
        <v>0</v>
      </c>
      <c r="AF912" s="4">
        <v>34015.633549208993</v>
      </c>
      <c r="AG912" s="4">
        <v>117537.68912236128</v>
      </c>
    </row>
    <row r="913" spans="1:33" ht="11.25" customHeight="1" x14ac:dyDescent="0.25">
      <c r="A913" s="3" t="s">
        <v>28</v>
      </c>
      <c r="B913" s="3" t="s">
        <v>41</v>
      </c>
      <c r="C913" s="3" t="s">
        <v>42</v>
      </c>
      <c r="D913" s="3" t="s">
        <v>46</v>
      </c>
      <c r="E913" s="3" t="s">
        <v>25</v>
      </c>
      <c r="F913" s="3" t="s">
        <v>25</v>
      </c>
      <c r="G913" s="3" t="s">
        <v>25</v>
      </c>
      <c r="H913" s="3" t="s">
        <v>35</v>
      </c>
      <c r="I913" s="6">
        <v>44531</v>
      </c>
      <c r="J913" s="4">
        <v>0</v>
      </c>
      <c r="K913" s="4">
        <v>0</v>
      </c>
      <c r="L913" s="4">
        <v>-6.16</v>
      </c>
      <c r="M913" s="4">
        <v>-6.16</v>
      </c>
      <c r="N913" s="4">
        <v>-6.16</v>
      </c>
      <c r="O913" s="4">
        <v>-6.16</v>
      </c>
      <c r="P913" s="4">
        <v>0</v>
      </c>
      <c r="Q913" s="3" t="s">
        <v>26</v>
      </c>
      <c r="R913" s="3">
        <v>0</v>
      </c>
      <c r="S913" s="4">
        <v>0</v>
      </c>
      <c r="T913" s="4">
        <v>21</v>
      </c>
      <c r="U913" s="4">
        <v>89</v>
      </c>
      <c r="V913" s="4">
        <v>0</v>
      </c>
      <c r="W913" s="4">
        <v>51.27</v>
      </c>
      <c r="X913" s="4">
        <v>222.31</v>
      </c>
      <c r="Y913" s="4"/>
      <c r="Z913" s="4">
        <v>68.100184485116927</v>
      </c>
      <c r="AA913" s="4">
        <v>235.31351552243123</v>
      </c>
      <c r="AB913" s="4">
        <v>0</v>
      </c>
      <c r="AC913" s="4">
        <v>-315.82320000000004</v>
      </c>
      <c r="AD913" s="4">
        <v>-1369.4295999999999</v>
      </c>
      <c r="AE913" s="4">
        <v>0</v>
      </c>
      <c r="AF913" s="4">
        <v>-419.49713642832029</v>
      </c>
      <c r="AG913" s="4">
        <v>-1449.5312556181764</v>
      </c>
    </row>
    <row r="914" spans="1:33" ht="11.25" customHeight="1" x14ac:dyDescent="0.25">
      <c r="A914" s="3" t="s">
        <v>21</v>
      </c>
      <c r="B914" s="3" t="s">
        <v>41</v>
      </c>
      <c r="C914" s="3" t="s">
        <v>42</v>
      </c>
      <c r="D914" s="3" t="s">
        <v>46</v>
      </c>
      <c r="E914" s="3" t="s">
        <v>25</v>
      </c>
      <c r="F914" s="3" t="s">
        <v>25</v>
      </c>
      <c r="G914" s="3" t="s">
        <v>25</v>
      </c>
      <c r="H914" s="3" t="s">
        <v>35</v>
      </c>
      <c r="I914" s="6">
        <v>44562</v>
      </c>
      <c r="J914" s="4">
        <v>0</v>
      </c>
      <c r="K914" s="4">
        <v>0</v>
      </c>
      <c r="L914" s="4">
        <v>4524.2740000000003</v>
      </c>
      <c r="M914" s="4">
        <v>4524.2740000000003</v>
      </c>
      <c r="N914" s="4">
        <v>4524.2740000000003</v>
      </c>
      <c r="O914" s="4">
        <v>4524.2740000000003</v>
      </c>
      <c r="P914" s="4">
        <v>0</v>
      </c>
      <c r="Q914" s="3" t="s">
        <v>26</v>
      </c>
      <c r="R914" s="3">
        <v>0</v>
      </c>
      <c r="S914" s="4">
        <v>0</v>
      </c>
      <c r="T914" s="4">
        <v>21</v>
      </c>
      <c r="U914" s="4">
        <v>89</v>
      </c>
      <c r="V914" s="4">
        <v>0</v>
      </c>
      <c r="W914" s="4">
        <v>51.27</v>
      </c>
      <c r="X914" s="4">
        <v>222.31</v>
      </c>
      <c r="Y914" s="4"/>
      <c r="Z914" s="4">
        <v>68.100184485116927</v>
      </c>
      <c r="AA914" s="4">
        <v>235.31351552243123</v>
      </c>
      <c r="AB914" s="4">
        <v>0</v>
      </c>
      <c r="AC914" s="4">
        <v>231959.52798000004</v>
      </c>
      <c r="AD914" s="4">
        <v>1005791.3529400001</v>
      </c>
      <c r="AE914" s="4">
        <v>0</v>
      </c>
      <c r="AF914" s="4">
        <v>308103.8940612179</v>
      </c>
      <c r="AG914" s="4">
        <v>1064622.8201267321</v>
      </c>
    </row>
    <row r="915" spans="1:33" ht="11.25" customHeight="1" x14ac:dyDescent="0.25">
      <c r="A915" s="3" t="s">
        <v>27</v>
      </c>
      <c r="B915" s="3" t="s">
        <v>41</v>
      </c>
      <c r="C915" s="3" t="s">
        <v>42</v>
      </c>
      <c r="D915" s="3" t="s">
        <v>46</v>
      </c>
      <c r="E915" s="3" t="s">
        <v>25</v>
      </c>
      <c r="F915" s="3" t="s">
        <v>25</v>
      </c>
      <c r="G915" s="3" t="s">
        <v>25</v>
      </c>
      <c r="H915" s="3" t="s">
        <v>35</v>
      </c>
      <c r="I915" s="6">
        <v>44562</v>
      </c>
      <c r="J915" s="4">
        <v>0</v>
      </c>
      <c r="K915" s="4">
        <v>0</v>
      </c>
      <c r="L915" s="4">
        <v>0.371</v>
      </c>
      <c r="M915" s="4">
        <v>0.371</v>
      </c>
      <c r="N915" s="4">
        <v>0.371</v>
      </c>
      <c r="O915" s="4">
        <v>0.371</v>
      </c>
      <c r="P915" s="4">
        <v>0</v>
      </c>
      <c r="Q915" s="3" t="s">
        <v>26</v>
      </c>
      <c r="R915" s="3">
        <v>0</v>
      </c>
      <c r="S915" s="4">
        <v>0</v>
      </c>
      <c r="T915" s="4">
        <v>21</v>
      </c>
      <c r="U915" s="4">
        <v>89</v>
      </c>
      <c r="V915" s="4">
        <v>0</v>
      </c>
      <c r="W915" s="4">
        <v>51.27</v>
      </c>
      <c r="X915" s="4">
        <v>222.31</v>
      </c>
      <c r="Y915" s="4"/>
      <c r="Z915" s="4">
        <v>68.100184485116927</v>
      </c>
      <c r="AA915" s="4">
        <v>235.31351552243123</v>
      </c>
      <c r="AB915" s="4">
        <v>0</v>
      </c>
      <c r="AC915" s="4">
        <v>19.021170000000001</v>
      </c>
      <c r="AD915" s="4">
        <v>82.477010000000007</v>
      </c>
      <c r="AE915" s="4">
        <v>0</v>
      </c>
      <c r="AF915" s="4">
        <v>25.265168443978379</v>
      </c>
      <c r="AG915" s="4">
        <v>87.301314258821989</v>
      </c>
    </row>
    <row r="916" spans="1:33" ht="11.25" customHeight="1" x14ac:dyDescent="0.25">
      <c r="A916" s="3" t="s">
        <v>28</v>
      </c>
      <c r="B916" s="3" t="s">
        <v>41</v>
      </c>
      <c r="C916" s="3" t="s">
        <v>42</v>
      </c>
      <c r="D916" s="3" t="s">
        <v>46</v>
      </c>
      <c r="E916" s="3" t="s">
        <v>25</v>
      </c>
      <c r="F916" s="3" t="s">
        <v>25</v>
      </c>
      <c r="G916" s="3" t="s">
        <v>25</v>
      </c>
      <c r="H916" s="3" t="s">
        <v>35</v>
      </c>
      <c r="I916" s="6">
        <v>44562</v>
      </c>
      <c r="J916" s="4">
        <v>0</v>
      </c>
      <c r="K916" s="4">
        <v>0</v>
      </c>
      <c r="L916" s="4">
        <v>490.7</v>
      </c>
      <c r="M916" s="4">
        <v>490.7</v>
      </c>
      <c r="N916" s="4">
        <v>490.7</v>
      </c>
      <c r="O916" s="4">
        <v>490.7</v>
      </c>
      <c r="P916" s="4">
        <v>0</v>
      </c>
      <c r="Q916" s="3" t="s">
        <v>26</v>
      </c>
      <c r="R916" s="3">
        <v>0</v>
      </c>
      <c r="S916" s="4">
        <v>0</v>
      </c>
      <c r="T916" s="4">
        <v>21</v>
      </c>
      <c r="U916" s="4">
        <v>89</v>
      </c>
      <c r="V916" s="4">
        <v>0</v>
      </c>
      <c r="W916" s="4">
        <v>51.27</v>
      </c>
      <c r="X916" s="4">
        <v>222.31</v>
      </c>
      <c r="Y916" s="4"/>
      <c r="Z916" s="4">
        <v>68.100184485116927</v>
      </c>
      <c r="AA916" s="4">
        <v>235.31351552243123</v>
      </c>
      <c r="AB916" s="4">
        <v>0</v>
      </c>
      <c r="AC916" s="4">
        <v>25158.189000000002</v>
      </c>
      <c r="AD916" s="4">
        <v>109087.51699999999</v>
      </c>
      <c r="AE916" s="4">
        <v>0</v>
      </c>
      <c r="AF916" s="4">
        <v>33416.760526846876</v>
      </c>
      <c r="AG916" s="4">
        <v>115468.342066857</v>
      </c>
    </row>
    <row r="917" spans="1:33" ht="11.25" customHeight="1" x14ac:dyDescent="0.25">
      <c r="A917" s="3" t="s">
        <v>21</v>
      </c>
      <c r="B917" s="3" t="s">
        <v>41</v>
      </c>
      <c r="C917" s="3" t="s">
        <v>42</v>
      </c>
      <c r="D917" s="3" t="s">
        <v>46</v>
      </c>
      <c r="E917" s="3" t="s">
        <v>25</v>
      </c>
      <c r="F917" s="3" t="s">
        <v>25</v>
      </c>
      <c r="G917" s="3" t="s">
        <v>25</v>
      </c>
      <c r="H917" s="3" t="s">
        <v>35</v>
      </c>
      <c r="I917" s="6">
        <v>44593</v>
      </c>
      <c r="J917" s="4">
        <v>0</v>
      </c>
      <c r="K917" s="4">
        <v>0</v>
      </c>
      <c r="L917" s="4">
        <v>4166.7240000000002</v>
      </c>
      <c r="M917" s="4">
        <v>4166.7240000000002</v>
      </c>
      <c r="N917" s="4">
        <v>4166.7240000000002</v>
      </c>
      <c r="O917" s="4">
        <v>4166.7240000000002</v>
      </c>
      <c r="P917" s="4">
        <v>0</v>
      </c>
      <c r="Q917" s="3" t="s">
        <v>26</v>
      </c>
      <c r="R917" s="3">
        <v>0</v>
      </c>
      <c r="S917" s="4">
        <v>0</v>
      </c>
      <c r="T917" s="4">
        <v>21</v>
      </c>
      <c r="U917" s="4">
        <v>89</v>
      </c>
      <c r="V917" s="4">
        <v>0</v>
      </c>
      <c r="W917" s="4">
        <v>51.27</v>
      </c>
      <c r="X917" s="4">
        <v>222.31</v>
      </c>
      <c r="Y917" s="4"/>
      <c r="Z917" s="4">
        <v>68.100184485116927</v>
      </c>
      <c r="AA917" s="4">
        <v>235.31351552243123</v>
      </c>
      <c r="AB917" s="4">
        <v>0</v>
      </c>
      <c r="AC917" s="4">
        <v>213627.93948000003</v>
      </c>
      <c r="AD917" s="4">
        <v>926304.4124400001</v>
      </c>
      <c r="AE917" s="4">
        <v>0</v>
      </c>
      <c r="AF917" s="4">
        <v>283754.67309856438</v>
      </c>
      <c r="AG917" s="4">
        <v>980486.47265168675</v>
      </c>
    </row>
    <row r="918" spans="1:33" ht="11.25" customHeight="1" x14ac:dyDescent="0.25">
      <c r="A918" s="3" t="s">
        <v>27</v>
      </c>
      <c r="B918" s="3" t="s">
        <v>41</v>
      </c>
      <c r="C918" s="3" t="s">
        <v>42</v>
      </c>
      <c r="D918" s="3" t="s">
        <v>46</v>
      </c>
      <c r="E918" s="3" t="s">
        <v>25</v>
      </c>
      <c r="F918" s="3" t="s">
        <v>25</v>
      </c>
      <c r="G918" s="3" t="s">
        <v>25</v>
      </c>
      <c r="H918" s="3" t="s">
        <v>35</v>
      </c>
      <c r="I918" s="6">
        <v>44593</v>
      </c>
      <c r="J918" s="4">
        <v>0</v>
      </c>
      <c r="K918" s="4">
        <v>0</v>
      </c>
      <c r="L918" s="4">
        <v>-330.14499999999998</v>
      </c>
      <c r="M918" s="4">
        <v>-330.14499999999998</v>
      </c>
      <c r="N918" s="4">
        <v>-330.14499999999998</v>
      </c>
      <c r="O918" s="4">
        <v>-330.14499999999998</v>
      </c>
      <c r="P918" s="4">
        <v>0</v>
      </c>
      <c r="Q918" s="3" t="s">
        <v>26</v>
      </c>
      <c r="R918" s="3">
        <v>0</v>
      </c>
      <c r="S918" s="4">
        <v>0</v>
      </c>
      <c r="T918" s="4">
        <v>21</v>
      </c>
      <c r="U918" s="4">
        <v>89</v>
      </c>
      <c r="V918" s="4">
        <v>0</v>
      </c>
      <c r="W918" s="4">
        <v>51.27</v>
      </c>
      <c r="X918" s="4">
        <v>222.31</v>
      </c>
      <c r="Y918" s="4"/>
      <c r="Z918" s="4">
        <v>68.100184485116927</v>
      </c>
      <c r="AA918" s="4">
        <v>235.31351552243123</v>
      </c>
      <c r="AB918" s="4">
        <v>0</v>
      </c>
      <c r="AC918" s="4">
        <v>-16926.534149999999</v>
      </c>
      <c r="AD918" s="4">
        <v>-73394.534950000001</v>
      </c>
      <c r="AE918" s="4">
        <v>0</v>
      </c>
      <c r="AF918" s="4">
        <v>-22482.935406838926</v>
      </c>
      <c r="AG918" s="4">
        <v>-77687.580582153052</v>
      </c>
    </row>
    <row r="919" spans="1:33" ht="11.25" customHeight="1" x14ac:dyDescent="0.25">
      <c r="A919" s="3" t="s">
        <v>28</v>
      </c>
      <c r="B919" s="3" t="s">
        <v>41</v>
      </c>
      <c r="C919" s="3" t="s">
        <v>42</v>
      </c>
      <c r="D919" s="3" t="s">
        <v>46</v>
      </c>
      <c r="E919" s="3" t="s">
        <v>25</v>
      </c>
      <c r="F919" s="3" t="s">
        <v>25</v>
      </c>
      <c r="G919" s="3" t="s">
        <v>25</v>
      </c>
      <c r="H919" s="3" t="s">
        <v>35</v>
      </c>
      <c r="I919" s="6">
        <v>44593</v>
      </c>
      <c r="J919" s="4">
        <v>0</v>
      </c>
      <c r="K919" s="4">
        <v>0</v>
      </c>
      <c r="L919" s="4">
        <v>487.536</v>
      </c>
      <c r="M919" s="4">
        <v>487.536</v>
      </c>
      <c r="N919" s="4">
        <v>487.536</v>
      </c>
      <c r="O919" s="4">
        <v>487.536</v>
      </c>
      <c r="P919" s="4">
        <v>0</v>
      </c>
      <c r="Q919" s="3" t="s">
        <v>26</v>
      </c>
      <c r="R919" s="3">
        <v>0</v>
      </c>
      <c r="S919" s="4">
        <v>0</v>
      </c>
      <c r="T919" s="4">
        <v>21</v>
      </c>
      <c r="U919" s="4">
        <v>89</v>
      </c>
      <c r="V919" s="4">
        <v>0</v>
      </c>
      <c r="W919" s="4">
        <v>51.27</v>
      </c>
      <c r="X919" s="4">
        <v>222.31</v>
      </c>
      <c r="Y919" s="4"/>
      <c r="Z919" s="4">
        <v>68.100184485116927</v>
      </c>
      <c r="AA919" s="4">
        <v>235.31351552243123</v>
      </c>
      <c r="AB919" s="4">
        <v>0</v>
      </c>
      <c r="AC919" s="4">
        <v>24995.970720000001</v>
      </c>
      <c r="AD919" s="4">
        <v>108384.12816000001</v>
      </c>
      <c r="AE919" s="4">
        <v>0</v>
      </c>
      <c r="AF919" s="4">
        <v>33201.291543135965</v>
      </c>
      <c r="AG919" s="4">
        <v>114723.81010374404</v>
      </c>
    </row>
    <row r="920" spans="1:33" ht="11.25" customHeight="1" x14ac:dyDescent="0.25">
      <c r="A920" s="3" t="s">
        <v>56</v>
      </c>
      <c r="B920" s="3" t="s">
        <v>41</v>
      </c>
      <c r="C920" s="3" t="s">
        <v>42</v>
      </c>
      <c r="D920" s="3" t="s">
        <v>46</v>
      </c>
      <c r="E920" s="3" t="s">
        <v>25</v>
      </c>
      <c r="F920" s="3" t="s">
        <v>25</v>
      </c>
      <c r="G920" s="3" t="s">
        <v>25</v>
      </c>
      <c r="H920" s="3" t="s">
        <v>35</v>
      </c>
      <c r="I920" s="6">
        <v>44621</v>
      </c>
      <c r="J920" s="4">
        <v>0</v>
      </c>
      <c r="K920" s="4">
        <v>0</v>
      </c>
      <c r="L920" s="4">
        <v>4166.7240000000002</v>
      </c>
      <c r="M920" s="4">
        <v>4166.7240000000002</v>
      </c>
      <c r="N920" s="4">
        <v>4166.7240000000002</v>
      </c>
      <c r="O920" s="4">
        <v>4166.7240000000002</v>
      </c>
      <c r="P920" s="4">
        <v>0</v>
      </c>
      <c r="Q920" s="3" t="s">
        <v>26</v>
      </c>
      <c r="R920" s="3">
        <v>0</v>
      </c>
      <c r="S920" s="4">
        <v>0</v>
      </c>
      <c r="T920" s="4">
        <v>21</v>
      </c>
      <c r="U920" s="4">
        <v>89</v>
      </c>
      <c r="V920" s="4">
        <v>0</v>
      </c>
      <c r="W920" s="4">
        <v>51.27</v>
      </c>
      <c r="X920" s="4">
        <v>222.31</v>
      </c>
      <c r="Y920" s="4"/>
      <c r="Z920" s="4">
        <v>68.100184485116927</v>
      </c>
      <c r="AA920" s="4">
        <v>235.31351552243123</v>
      </c>
      <c r="AB920" s="4">
        <v>0</v>
      </c>
      <c r="AC920" s="4">
        <v>213627.93948000003</v>
      </c>
      <c r="AD920" s="4">
        <v>926304.4124400001</v>
      </c>
      <c r="AE920" s="4">
        <v>0</v>
      </c>
      <c r="AF920" s="4">
        <v>283754.67309856438</v>
      </c>
      <c r="AG920" s="4">
        <v>980486.47265168675</v>
      </c>
    </row>
    <row r="921" spans="1:33" ht="11.25" customHeight="1" x14ac:dyDescent="0.25">
      <c r="A921" s="3" t="s">
        <v>56</v>
      </c>
      <c r="B921" s="3" t="s">
        <v>41</v>
      </c>
      <c r="C921" s="3" t="s">
        <v>42</v>
      </c>
      <c r="D921" s="3" t="s">
        <v>46</v>
      </c>
      <c r="E921" s="3" t="s">
        <v>25</v>
      </c>
      <c r="F921" s="3" t="s">
        <v>25</v>
      </c>
      <c r="G921" s="3" t="s">
        <v>25</v>
      </c>
      <c r="H921" s="3" t="s">
        <v>35</v>
      </c>
      <c r="I921" s="6">
        <v>44621</v>
      </c>
      <c r="J921" s="4">
        <v>0</v>
      </c>
      <c r="K921" s="4">
        <v>0</v>
      </c>
      <c r="L921" s="4">
        <v>-330.14499999999998</v>
      </c>
      <c r="M921" s="4">
        <v>-330.14499999999998</v>
      </c>
      <c r="N921" s="4">
        <v>-330.14499999999998</v>
      </c>
      <c r="O921" s="4">
        <v>-330.14499999999998</v>
      </c>
      <c r="P921" s="4">
        <v>0</v>
      </c>
      <c r="Q921" s="3" t="s">
        <v>26</v>
      </c>
      <c r="R921" s="3">
        <v>0</v>
      </c>
      <c r="S921" s="4">
        <v>0</v>
      </c>
      <c r="T921" s="4">
        <v>21</v>
      </c>
      <c r="U921" s="4">
        <v>89</v>
      </c>
      <c r="V921" s="4">
        <v>0</v>
      </c>
      <c r="W921" s="4">
        <v>51.27</v>
      </c>
      <c r="X921" s="4">
        <v>222.31</v>
      </c>
      <c r="Y921" s="4"/>
      <c r="Z921" s="4">
        <v>68.100184485116927</v>
      </c>
      <c r="AA921" s="4">
        <v>235.31351552243123</v>
      </c>
      <c r="AB921" s="4">
        <v>0</v>
      </c>
      <c r="AC921" s="4">
        <v>-16926.534149999999</v>
      </c>
      <c r="AD921" s="4">
        <v>-73394.534950000001</v>
      </c>
      <c r="AE921" s="4">
        <v>0</v>
      </c>
      <c r="AF921" s="4">
        <v>-22482.935406838926</v>
      </c>
      <c r="AG921" s="4">
        <v>-77687.580582153052</v>
      </c>
    </row>
    <row r="922" spans="1:33" ht="11.25" customHeight="1" x14ac:dyDescent="0.25">
      <c r="A922" s="3" t="s">
        <v>56</v>
      </c>
      <c r="B922" s="3" t="s">
        <v>41</v>
      </c>
      <c r="C922" s="3" t="s">
        <v>42</v>
      </c>
      <c r="D922" s="3" t="s">
        <v>46</v>
      </c>
      <c r="E922" s="3" t="s">
        <v>25</v>
      </c>
      <c r="F922" s="3" t="s">
        <v>25</v>
      </c>
      <c r="G922" s="3" t="s">
        <v>25</v>
      </c>
      <c r="H922" s="3" t="s">
        <v>35</v>
      </c>
      <c r="I922" s="6">
        <v>44621</v>
      </c>
      <c r="J922" s="4">
        <v>0</v>
      </c>
      <c r="K922" s="4">
        <v>0</v>
      </c>
      <c r="L922" s="4">
        <v>487.536</v>
      </c>
      <c r="M922" s="4">
        <v>487.536</v>
      </c>
      <c r="N922" s="4">
        <v>487.536</v>
      </c>
      <c r="O922" s="4">
        <v>487.536</v>
      </c>
      <c r="P922" s="4">
        <v>0</v>
      </c>
      <c r="Q922" s="3" t="s">
        <v>26</v>
      </c>
      <c r="R922" s="3">
        <v>0</v>
      </c>
      <c r="S922" s="4">
        <v>0</v>
      </c>
      <c r="T922" s="4">
        <v>21</v>
      </c>
      <c r="U922" s="4">
        <v>89</v>
      </c>
      <c r="V922" s="4">
        <v>0</v>
      </c>
      <c r="W922" s="4">
        <v>51.27</v>
      </c>
      <c r="X922" s="4">
        <v>222.31</v>
      </c>
      <c r="Y922" s="4"/>
      <c r="Z922" s="4">
        <v>68.100184485116927</v>
      </c>
      <c r="AA922" s="4">
        <v>235.31351552243123</v>
      </c>
      <c r="AB922" s="4">
        <v>0</v>
      </c>
      <c r="AC922" s="4">
        <v>24995.970720000001</v>
      </c>
      <c r="AD922" s="4">
        <v>108384.12816000001</v>
      </c>
      <c r="AE922" s="4">
        <v>0</v>
      </c>
      <c r="AF922" s="4">
        <v>33201.291543135965</v>
      </c>
      <c r="AG922" s="4">
        <v>114723.81010374404</v>
      </c>
    </row>
    <row r="923" spans="1:33" ht="11.25" customHeight="1" x14ac:dyDescent="0.25">
      <c r="A923" s="3" t="s">
        <v>21</v>
      </c>
      <c r="B923" s="3" t="s">
        <v>41</v>
      </c>
      <c r="C923" s="3" t="s">
        <v>42</v>
      </c>
      <c r="D923" s="3" t="s">
        <v>46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44287</v>
      </c>
      <c r="J923" s="4">
        <v>30704</v>
      </c>
      <c r="K923" s="4">
        <v>30704</v>
      </c>
      <c r="L923" s="4">
        <v>0</v>
      </c>
      <c r="M923" s="4">
        <v>0</v>
      </c>
      <c r="N923" s="4">
        <v>0</v>
      </c>
      <c r="O923" s="4">
        <v>0</v>
      </c>
      <c r="P923" s="4">
        <v>235</v>
      </c>
      <c r="Q923" s="3" t="s">
        <v>26</v>
      </c>
      <c r="R923" s="3">
        <v>0</v>
      </c>
      <c r="S923" s="4">
        <v>44</v>
      </c>
      <c r="T923" s="4">
        <v>0</v>
      </c>
      <c r="U923" s="4">
        <v>0</v>
      </c>
      <c r="V923" s="4">
        <v>24.31</v>
      </c>
      <c r="W923" s="4">
        <v>0</v>
      </c>
      <c r="X923" s="4">
        <v>0</v>
      </c>
      <c r="Y923" s="4">
        <v>27.784764762164471</v>
      </c>
      <c r="Z923" s="4"/>
      <c r="AA923" s="4"/>
      <c r="AB923" s="4">
        <v>746414.24</v>
      </c>
      <c r="AC923" s="4">
        <v>0</v>
      </c>
      <c r="AD923" s="4">
        <v>0</v>
      </c>
      <c r="AE923" s="4">
        <v>853103.4172574979</v>
      </c>
      <c r="AF923" s="4">
        <v>0</v>
      </c>
      <c r="AG923" s="4">
        <v>0</v>
      </c>
    </row>
    <row r="924" spans="1:33" ht="11.25" customHeight="1" x14ac:dyDescent="0.25">
      <c r="A924" s="3" t="s">
        <v>28</v>
      </c>
      <c r="B924" s="3" t="s">
        <v>41</v>
      </c>
      <c r="C924" s="3" t="s">
        <v>42</v>
      </c>
      <c r="D924" s="3" t="s">
        <v>46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44287</v>
      </c>
      <c r="J924" s="4">
        <v>1510</v>
      </c>
      <c r="K924" s="4">
        <v>1510</v>
      </c>
      <c r="L924" s="4">
        <v>0</v>
      </c>
      <c r="M924" s="4">
        <v>0</v>
      </c>
      <c r="N924" s="4">
        <v>0</v>
      </c>
      <c r="O924" s="4">
        <v>0</v>
      </c>
      <c r="P924" s="4">
        <v>3</v>
      </c>
      <c r="Q924" s="3" t="s">
        <v>26</v>
      </c>
      <c r="R924" s="3">
        <v>0</v>
      </c>
      <c r="S924" s="4">
        <v>44</v>
      </c>
      <c r="T924" s="4">
        <v>0</v>
      </c>
      <c r="U924" s="4">
        <v>0</v>
      </c>
      <c r="V924" s="4">
        <v>24.31</v>
      </c>
      <c r="W924" s="4">
        <v>0</v>
      </c>
      <c r="X924" s="4">
        <v>0</v>
      </c>
      <c r="Y924" s="4">
        <v>27.784764762164471</v>
      </c>
      <c r="Z924" s="4"/>
      <c r="AA924" s="4"/>
      <c r="AB924" s="4">
        <v>36708.1</v>
      </c>
      <c r="AC924" s="4">
        <v>0</v>
      </c>
      <c r="AD924" s="4">
        <v>0</v>
      </c>
      <c r="AE924" s="4">
        <v>41954.994790868353</v>
      </c>
      <c r="AF924" s="4">
        <v>0</v>
      </c>
      <c r="AG924" s="4">
        <v>0</v>
      </c>
    </row>
    <row r="925" spans="1:33" ht="11.25" customHeight="1" x14ac:dyDescent="0.25">
      <c r="A925" s="3" t="s">
        <v>21</v>
      </c>
      <c r="B925" s="3" t="s">
        <v>41</v>
      </c>
      <c r="C925" s="3" t="s">
        <v>42</v>
      </c>
      <c r="D925" s="3" t="s">
        <v>46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44317</v>
      </c>
      <c r="J925" s="4">
        <v>29744</v>
      </c>
      <c r="K925" s="4">
        <v>29744</v>
      </c>
      <c r="L925" s="4">
        <v>0</v>
      </c>
      <c r="M925" s="4">
        <v>0</v>
      </c>
      <c r="N925" s="4">
        <v>0</v>
      </c>
      <c r="O925" s="4">
        <v>0</v>
      </c>
      <c r="P925" s="4">
        <v>233</v>
      </c>
      <c r="Q925" s="3" t="s">
        <v>26</v>
      </c>
      <c r="R925" s="3">
        <v>0</v>
      </c>
      <c r="S925" s="4">
        <v>44</v>
      </c>
      <c r="T925" s="4">
        <v>0</v>
      </c>
      <c r="U925" s="4">
        <v>0</v>
      </c>
      <c r="V925" s="4">
        <v>24.31</v>
      </c>
      <c r="W925" s="4">
        <v>0</v>
      </c>
      <c r="X925" s="4">
        <v>0</v>
      </c>
      <c r="Y925" s="4">
        <v>27.784764762164471</v>
      </c>
      <c r="Z925" s="4"/>
      <c r="AA925" s="4"/>
      <c r="AB925" s="4">
        <v>723076.64</v>
      </c>
      <c r="AC925" s="4">
        <v>0</v>
      </c>
      <c r="AD925" s="4">
        <v>0</v>
      </c>
      <c r="AE925" s="4">
        <v>826430.04308582004</v>
      </c>
      <c r="AF925" s="4">
        <v>0</v>
      </c>
      <c r="AG925" s="4">
        <v>0</v>
      </c>
    </row>
    <row r="926" spans="1:33" ht="11.25" customHeight="1" x14ac:dyDescent="0.25">
      <c r="A926" s="3" t="s">
        <v>27</v>
      </c>
      <c r="B926" s="3" t="s">
        <v>41</v>
      </c>
      <c r="C926" s="3" t="s">
        <v>42</v>
      </c>
      <c r="D926" s="3" t="s">
        <v>46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44317</v>
      </c>
      <c r="J926" s="4">
        <v>-70</v>
      </c>
      <c r="K926" s="4">
        <v>-70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3" t="s">
        <v>26</v>
      </c>
      <c r="R926" s="3">
        <v>0</v>
      </c>
      <c r="S926" s="4">
        <v>44</v>
      </c>
      <c r="T926" s="4">
        <v>0</v>
      </c>
      <c r="U926" s="4">
        <v>0</v>
      </c>
      <c r="V926" s="4">
        <v>24.31</v>
      </c>
      <c r="W926" s="4">
        <v>0</v>
      </c>
      <c r="X926" s="4">
        <v>0</v>
      </c>
      <c r="Y926" s="4">
        <v>27.784764762164471</v>
      </c>
      <c r="Z926" s="4"/>
      <c r="AA926" s="4"/>
      <c r="AB926" s="4">
        <v>-1701.6999999999998</v>
      </c>
      <c r="AC926" s="4">
        <v>0</v>
      </c>
      <c r="AD926" s="4">
        <v>0</v>
      </c>
      <c r="AE926" s="4">
        <v>-1944.933533351513</v>
      </c>
      <c r="AF926" s="4">
        <v>0</v>
      </c>
      <c r="AG926" s="4">
        <v>0</v>
      </c>
    </row>
    <row r="927" spans="1:33" ht="11.25" customHeight="1" x14ac:dyDescent="0.25">
      <c r="A927" s="3" t="s">
        <v>28</v>
      </c>
      <c r="B927" s="3" t="s">
        <v>41</v>
      </c>
      <c r="C927" s="3" t="s">
        <v>42</v>
      </c>
      <c r="D927" s="3" t="s">
        <v>46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44317</v>
      </c>
      <c r="J927" s="4">
        <v>2390</v>
      </c>
      <c r="K927" s="4">
        <v>2390</v>
      </c>
      <c r="L927" s="4">
        <v>0</v>
      </c>
      <c r="M927" s="4">
        <v>0</v>
      </c>
      <c r="N927" s="4">
        <v>0</v>
      </c>
      <c r="O927" s="4">
        <v>0</v>
      </c>
      <c r="P927" s="4">
        <v>6</v>
      </c>
      <c r="Q927" s="3" t="s">
        <v>26</v>
      </c>
      <c r="R927" s="3">
        <v>0</v>
      </c>
      <c r="S927" s="4">
        <v>44</v>
      </c>
      <c r="T927" s="4">
        <v>0</v>
      </c>
      <c r="U927" s="4">
        <v>0</v>
      </c>
      <c r="V927" s="4">
        <v>24.31</v>
      </c>
      <c r="W927" s="4">
        <v>0</v>
      </c>
      <c r="X927" s="4">
        <v>0</v>
      </c>
      <c r="Y927" s="4">
        <v>27.784764762164471</v>
      </c>
      <c r="Z927" s="4"/>
      <c r="AA927" s="4"/>
      <c r="AB927" s="4">
        <v>58100.899999999994</v>
      </c>
      <c r="AC927" s="4">
        <v>0</v>
      </c>
      <c r="AD927" s="4">
        <v>0</v>
      </c>
      <c r="AE927" s="4">
        <v>66405.587781573093</v>
      </c>
      <c r="AF927" s="4">
        <v>0</v>
      </c>
      <c r="AG927" s="4">
        <v>0</v>
      </c>
    </row>
    <row r="928" spans="1:33" ht="11.25" customHeight="1" x14ac:dyDescent="0.25">
      <c r="A928" s="3" t="s">
        <v>21</v>
      </c>
      <c r="B928" s="3" t="s">
        <v>41</v>
      </c>
      <c r="C928" s="3" t="s">
        <v>42</v>
      </c>
      <c r="D928" s="3" t="s">
        <v>46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44348</v>
      </c>
      <c r="J928" s="4">
        <v>29407</v>
      </c>
      <c r="K928" s="4">
        <v>29407</v>
      </c>
      <c r="L928" s="4">
        <v>0</v>
      </c>
      <c r="M928" s="4">
        <v>0</v>
      </c>
      <c r="N928" s="4">
        <v>0</v>
      </c>
      <c r="O928" s="4">
        <v>0</v>
      </c>
      <c r="P928" s="4">
        <v>232</v>
      </c>
      <c r="Q928" s="3" t="s">
        <v>26</v>
      </c>
      <c r="R928" s="3">
        <v>0</v>
      </c>
      <c r="S928" s="4">
        <v>44</v>
      </c>
      <c r="T928" s="4">
        <v>0</v>
      </c>
      <c r="U928" s="4">
        <v>0</v>
      </c>
      <c r="V928" s="4">
        <v>24.31</v>
      </c>
      <c r="W928" s="4">
        <v>0</v>
      </c>
      <c r="X928" s="4">
        <v>0</v>
      </c>
      <c r="Y928" s="4">
        <v>27.784764762164471</v>
      </c>
      <c r="Z928" s="4"/>
      <c r="AA928" s="4"/>
      <c r="AB928" s="4">
        <v>714884.16999999993</v>
      </c>
      <c r="AC928" s="4">
        <v>0</v>
      </c>
      <c r="AD928" s="4">
        <v>0</v>
      </c>
      <c r="AE928" s="4">
        <v>817066.57736097055</v>
      </c>
      <c r="AF928" s="4">
        <v>0</v>
      </c>
      <c r="AG928" s="4">
        <v>0</v>
      </c>
    </row>
    <row r="929" spans="1:33" ht="11.25" customHeight="1" x14ac:dyDescent="0.25">
      <c r="A929" s="3" t="s">
        <v>28</v>
      </c>
      <c r="B929" s="3" t="s">
        <v>41</v>
      </c>
      <c r="C929" s="3" t="s">
        <v>42</v>
      </c>
      <c r="D929" s="3" t="s">
        <v>46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44348</v>
      </c>
      <c r="J929" s="4">
        <v>2640</v>
      </c>
      <c r="K929" s="4">
        <v>2640</v>
      </c>
      <c r="L929" s="4">
        <v>0</v>
      </c>
      <c r="M929" s="4">
        <v>0</v>
      </c>
      <c r="N929" s="4">
        <v>0</v>
      </c>
      <c r="O929" s="4">
        <v>0</v>
      </c>
      <c r="P929" s="4">
        <v>7</v>
      </c>
      <c r="Q929" s="3" t="s">
        <v>26</v>
      </c>
      <c r="R929" s="3">
        <v>0</v>
      </c>
      <c r="S929" s="4">
        <v>44</v>
      </c>
      <c r="T929" s="4">
        <v>0</v>
      </c>
      <c r="U929" s="4">
        <v>0</v>
      </c>
      <c r="V929" s="4">
        <v>24.31</v>
      </c>
      <c r="W929" s="4">
        <v>0</v>
      </c>
      <c r="X929" s="4">
        <v>0</v>
      </c>
      <c r="Y929" s="4">
        <v>27.784764762164471</v>
      </c>
      <c r="Z929" s="4"/>
      <c r="AA929" s="4"/>
      <c r="AB929" s="4">
        <v>64178.399999999994</v>
      </c>
      <c r="AC929" s="4">
        <v>0</v>
      </c>
      <c r="AD929" s="4">
        <v>0</v>
      </c>
      <c r="AE929" s="4">
        <v>73351.778972114203</v>
      </c>
      <c r="AF929" s="4">
        <v>0</v>
      </c>
      <c r="AG929" s="4">
        <v>0</v>
      </c>
    </row>
    <row r="930" spans="1:33" ht="11.25" customHeight="1" x14ac:dyDescent="0.25">
      <c r="A930" s="3" t="s">
        <v>21</v>
      </c>
      <c r="B930" s="3" t="s">
        <v>41</v>
      </c>
      <c r="C930" s="3" t="s">
        <v>42</v>
      </c>
      <c r="D930" s="3" t="s">
        <v>46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44378</v>
      </c>
      <c r="J930" s="4">
        <v>29599</v>
      </c>
      <c r="K930" s="4">
        <v>29599</v>
      </c>
      <c r="L930" s="4">
        <v>0</v>
      </c>
      <c r="M930" s="4">
        <v>0</v>
      </c>
      <c r="N930" s="4">
        <v>0</v>
      </c>
      <c r="O930" s="4">
        <v>0</v>
      </c>
      <c r="P930" s="4">
        <v>233</v>
      </c>
      <c r="Q930" s="3" t="s">
        <v>26</v>
      </c>
      <c r="R930" s="3">
        <v>0</v>
      </c>
      <c r="S930" s="4">
        <v>44</v>
      </c>
      <c r="T930" s="4">
        <v>0</v>
      </c>
      <c r="U930" s="4">
        <v>0</v>
      </c>
      <c r="V930" s="4">
        <v>24.31</v>
      </c>
      <c r="W930" s="4">
        <v>0</v>
      </c>
      <c r="X930" s="4">
        <v>0</v>
      </c>
      <c r="Y930" s="4">
        <v>27.784764762164471</v>
      </c>
      <c r="Z930" s="4"/>
      <c r="AA930" s="4"/>
      <c r="AB930" s="4">
        <v>719551.69</v>
      </c>
      <c r="AC930" s="4">
        <v>0</v>
      </c>
      <c r="AD930" s="4">
        <v>0</v>
      </c>
      <c r="AE930" s="4">
        <v>822401.25219530612</v>
      </c>
      <c r="AF930" s="4">
        <v>0</v>
      </c>
      <c r="AG930" s="4">
        <v>0</v>
      </c>
    </row>
    <row r="931" spans="1:33" ht="11.25" customHeight="1" x14ac:dyDescent="0.25">
      <c r="A931" s="3" t="s">
        <v>28</v>
      </c>
      <c r="B931" s="3" t="s">
        <v>41</v>
      </c>
      <c r="C931" s="3" t="s">
        <v>42</v>
      </c>
      <c r="D931" s="3" t="s">
        <v>46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44378</v>
      </c>
      <c r="J931" s="4">
        <v>2640</v>
      </c>
      <c r="K931" s="4">
        <v>2640</v>
      </c>
      <c r="L931" s="4">
        <v>0</v>
      </c>
      <c r="M931" s="4">
        <v>0</v>
      </c>
      <c r="N931" s="4">
        <v>0</v>
      </c>
      <c r="O931" s="4">
        <v>0</v>
      </c>
      <c r="P931" s="4">
        <v>7</v>
      </c>
      <c r="Q931" s="3" t="s">
        <v>26</v>
      </c>
      <c r="R931" s="3">
        <v>0</v>
      </c>
      <c r="S931" s="4">
        <v>44</v>
      </c>
      <c r="T931" s="4">
        <v>0</v>
      </c>
      <c r="U931" s="4">
        <v>0</v>
      </c>
      <c r="V931" s="4">
        <v>24.31</v>
      </c>
      <c r="W931" s="4">
        <v>0</v>
      </c>
      <c r="X931" s="4">
        <v>0</v>
      </c>
      <c r="Y931" s="4">
        <v>27.784764762164471</v>
      </c>
      <c r="Z931" s="4"/>
      <c r="AA931" s="4"/>
      <c r="AB931" s="4">
        <v>64178.399999999994</v>
      </c>
      <c r="AC931" s="4">
        <v>0</v>
      </c>
      <c r="AD931" s="4">
        <v>0</v>
      </c>
      <c r="AE931" s="4">
        <v>73351.778972114203</v>
      </c>
      <c r="AF931" s="4">
        <v>0</v>
      </c>
      <c r="AG931" s="4">
        <v>0</v>
      </c>
    </row>
    <row r="932" spans="1:33" ht="11.25" customHeight="1" x14ac:dyDescent="0.25">
      <c r="A932" s="3" t="s">
        <v>21</v>
      </c>
      <c r="B932" s="3" t="s">
        <v>41</v>
      </c>
      <c r="C932" s="3" t="s">
        <v>42</v>
      </c>
      <c r="D932" s="3" t="s">
        <v>46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44409</v>
      </c>
      <c r="J932" s="4">
        <v>29574</v>
      </c>
      <c r="K932" s="4">
        <v>29574</v>
      </c>
      <c r="L932" s="4">
        <v>0</v>
      </c>
      <c r="M932" s="4">
        <v>0</v>
      </c>
      <c r="N932" s="4">
        <v>0</v>
      </c>
      <c r="O932" s="4">
        <v>0</v>
      </c>
      <c r="P932" s="4">
        <v>232</v>
      </c>
      <c r="Q932" s="3" t="s">
        <v>26</v>
      </c>
      <c r="R932" s="3">
        <v>0</v>
      </c>
      <c r="S932" s="4">
        <v>44</v>
      </c>
      <c r="T932" s="4">
        <v>0</v>
      </c>
      <c r="U932" s="4">
        <v>0</v>
      </c>
      <c r="V932" s="4">
        <v>24.31</v>
      </c>
      <c r="W932" s="4">
        <v>0</v>
      </c>
      <c r="X932" s="4">
        <v>0</v>
      </c>
      <c r="Y932" s="4">
        <v>27.784764762164471</v>
      </c>
      <c r="Z932" s="4"/>
      <c r="AA932" s="4"/>
      <c r="AB932" s="4">
        <v>718943.94</v>
      </c>
      <c r="AC932" s="4">
        <v>0</v>
      </c>
      <c r="AD932" s="4">
        <v>0</v>
      </c>
      <c r="AE932" s="4">
        <v>821706.63307625207</v>
      </c>
      <c r="AF932" s="4">
        <v>0</v>
      </c>
      <c r="AG932" s="4">
        <v>0</v>
      </c>
    </row>
    <row r="933" spans="1:33" ht="11.25" customHeight="1" x14ac:dyDescent="0.25">
      <c r="A933" s="3" t="s">
        <v>28</v>
      </c>
      <c r="B933" s="3" t="s">
        <v>41</v>
      </c>
      <c r="C933" s="3" t="s">
        <v>42</v>
      </c>
      <c r="D933" s="3" t="s">
        <v>46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44409</v>
      </c>
      <c r="J933" s="4">
        <v>2640</v>
      </c>
      <c r="K933" s="4">
        <v>2640</v>
      </c>
      <c r="L933" s="4">
        <v>0</v>
      </c>
      <c r="M933" s="4">
        <v>0</v>
      </c>
      <c r="N933" s="4">
        <v>0</v>
      </c>
      <c r="O933" s="4">
        <v>0</v>
      </c>
      <c r="P933" s="4">
        <v>8</v>
      </c>
      <c r="Q933" s="3" t="s">
        <v>26</v>
      </c>
      <c r="R933" s="3">
        <v>0</v>
      </c>
      <c r="S933" s="4">
        <v>44</v>
      </c>
      <c r="T933" s="4">
        <v>0</v>
      </c>
      <c r="U933" s="4">
        <v>0</v>
      </c>
      <c r="V933" s="4">
        <v>24.31</v>
      </c>
      <c r="W933" s="4">
        <v>0</v>
      </c>
      <c r="X933" s="4">
        <v>0</v>
      </c>
      <c r="Y933" s="4">
        <v>27.784764762164471</v>
      </c>
      <c r="Z933" s="4"/>
      <c r="AA933" s="4"/>
      <c r="AB933" s="4">
        <v>64178.399999999994</v>
      </c>
      <c r="AC933" s="4">
        <v>0</v>
      </c>
      <c r="AD933" s="4">
        <v>0</v>
      </c>
      <c r="AE933" s="4">
        <v>73351.778972114203</v>
      </c>
      <c r="AF933" s="4">
        <v>0</v>
      </c>
      <c r="AG933" s="4">
        <v>0</v>
      </c>
    </row>
    <row r="934" spans="1:33" ht="11.25" customHeight="1" x14ac:dyDescent="0.25">
      <c r="A934" s="3" t="s">
        <v>28</v>
      </c>
      <c r="B934" s="3" t="s">
        <v>41</v>
      </c>
      <c r="C934" s="3" t="s">
        <v>42</v>
      </c>
      <c r="D934" s="3" t="s">
        <v>46</v>
      </c>
      <c r="E934" s="3" t="s">
        <v>25</v>
      </c>
      <c r="F934" s="3" t="s">
        <v>25</v>
      </c>
      <c r="G934" s="3" t="s">
        <v>25</v>
      </c>
      <c r="H934" s="3" t="s">
        <v>25</v>
      </c>
      <c r="I934" s="6">
        <v>44409</v>
      </c>
      <c r="J934" s="4">
        <v>-400</v>
      </c>
      <c r="K934" s="4">
        <v>-400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3" t="s">
        <v>26</v>
      </c>
      <c r="R934" s="3">
        <v>0</v>
      </c>
      <c r="S934" s="4">
        <v>44</v>
      </c>
      <c r="T934" s="4">
        <v>0</v>
      </c>
      <c r="U934" s="4">
        <v>0</v>
      </c>
      <c r="V934" s="4">
        <v>24.31</v>
      </c>
      <c r="W934" s="4">
        <v>0</v>
      </c>
      <c r="X934" s="4">
        <v>0</v>
      </c>
      <c r="Y934" s="4">
        <v>27.784764762164471</v>
      </c>
      <c r="Z934" s="4"/>
      <c r="AA934" s="4"/>
      <c r="AB934" s="4">
        <v>-9724</v>
      </c>
      <c r="AC934" s="4">
        <v>0</v>
      </c>
      <c r="AD934" s="4">
        <v>0</v>
      </c>
      <c r="AE934" s="4">
        <v>-11113.905904865789</v>
      </c>
      <c r="AF934" s="4">
        <v>0</v>
      </c>
      <c r="AG934" s="4">
        <v>0</v>
      </c>
    </row>
    <row r="935" spans="1:33" ht="11.25" customHeight="1" x14ac:dyDescent="0.25">
      <c r="A935" s="3" t="s">
        <v>21</v>
      </c>
      <c r="B935" s="3" t="s">
        <v>41</v>
      </c>
      <c r="C935" s="3" t="s">
        <v>42</v>
      </c>
      <c r="D935" s="3" t="s">
        <v>46</v>
      </c>
      <c r="E935" s="3" t="s">
        <v>25</v>
      </c>
      <c r="F935" s="3" t="s">
        <v>25</v>
      </c>
      <c r="G935" s="3" t="s">
        <v>25</v>
      </c>
      <c r="H935" s="3" t="s">
        <v>25</v>
      </c>
      <c r="I935" s="6">
        <v>44440</v>
      </c>
      <c r="J935" s="4">
        <v>29648</v>
      </c>
      <c r="K935" s="4">
        <v>29648</v>
      </c>
      <c r="L935" s="4">
        <v>0</v>
      </c>
      <c r="M935" s="4">
        <v>0</v>
      </c>
      <c r="N935" s="4">
        <v>0</v>
      </c>
      <c r="O935" s="4">
        <v>0</v>
      </c>
      <c r="P935" s="4">
        <v>232</v>
      </c>
      <c r="Q935" s="3" t="s">
        <v>26</v>
      </c>
      <c r="R935" s="3">
        <v>0</v>
      </c>
      <c r="S935" s="4">
        <v>44</v>
      </c>
      <c r="T935" s="4">
        <v>0</v>
      </c>
      <c r="U935" s="4">
        <v>0</v>
      </c>
      <c r="V935" s="4">
        <v>24.31</v>
      </c>
      <c r="W935" s="4">
        <v>0</v>
      </c>
      <c r="X935" s="4">
        <v>0</v>
      </c>
      <c r="Y935" s="4">
        <v>27.784764762164471</v>
      </c>
      <c r="Z935" s="4"/>
      <c r="AA935" s="4"/>
      <c r="AB935" s="4">
        <v>720742.88</v>
      </c>
      <c r="AC935" s="4">
        <v>0</v>
      </c>
      <c r="AD935" s="4">
        <v>0</v>
      </c>
      <c r="AE935" s="4">
        <v>823762.7056686522</v>
      </c>
      <c r="AF935" s="4">
        <v>0</v>
      </c>
      <c r="AG935" s="4">
        <v>0</v>
      </c>
    </row>
    <row r="936" spans="1:33" ht="11.25" customHeight="1" x14ac:dyDescent="0.25">
      <c r="A936" s="3" t="s">
        <v>28</v>
      </c>
      <c r="B936" s="3" t="s">
        <v>41</v>
      </c>
      <c r="C936" s="3" t="s">
        <v>42</v>
      </c>
      <c r="D936" s="3" t="s">
        <v>46</v>
      </c>
      <c r="E936" s="3" t="s">
        <v>25</v>
      </c>
      <c r="F936" s="3" t="s">
        <v>25</v>
      </c>
      <c r="G936" s="3" t="s">
        <v>25</v>
      </c>
      <c r="H936" s="3" t="s">
        <v>25</v>
      </c>
      <c r="I936" s="6">
        <v>44440</v>
      </c>
      <c r="J936" s="4">
        <v>2640</v>
      </c>
      <c r="K936" s="4">
        <v>2640</v>
      </c>
      <c r="L936" s="4">
        <v>0</v>
      </c>
      <c r="M936" s="4">
        <v>0</v>
      </c>
      <c r="N936" s="4">
        <v>0</v>
      </c>
      <c r="O936" s="4">
        <v>0</v>
      </c>
      <c r="P936" s="4">
        <v>8</v>
      </c>
      <c r="Q936" s="3" t="s">
        <v>26</v>
      </c>
      <c r="R936" s="3">
        <v>0</v>
      </c>
      <c r="S936" s="4">
        <v>44</v>
      </c>
      <c r="T936" s="4">
        <v>0</v>
      </c>
      <c r="U936" s="4">
        <v>0</v>
      </c>
      <c r="V936" s="4">
        <v>24.31</v>
      </c>
      <c r="W936" s="4">
        <v>0</v>
      </c>
      <c r="X936" s="4">
        <v>0</v>
      </c>
      <c r="Y936" s="4">
        <v>27.784764762164471</v>
      </c>
      <c r="Z936" s="4"/>
      <c r="AA936" s="4"/>
      <c r="AB936" s="4">
        <v>64178.399999999994</v>
      </c>
      <c r="AC936" s="4">
        <v>0</v>
      </c>
      <c r="AD936" s="4">
        <v>0</v>
      </c>
      <c r="AE936" s="4">
        <v>73351.778972114203</v>
      </c>
      <c r="AF936" s="4">
        <v>0</v>
      </c>
      <c r="AG936" s="4">
        <v>0</v>
      </c>
    </row>
    <row r="937" spans="1:33" ht="11.25" customHeight="1" x14ac:dyDescent="0.25">
      <c r="A937" s="3" t="s">
        <v>21</v>
      </c>
      <c r="B937" s="3" t="s">
        <v>41</v>
      </c>
      <c r="C937" s="3" t="s">
        <v>42</v>
      </c>
      <c r="D937" s="3" t="s">
        <v>46</v>
      </c>
      <c r="E937" s="3" t="s">
        <v>25</v>
      </c>
      <c r="F937" s="3" t="s">
        <v>25</v>
      </c>
      <c r="G937" s="3" t="s">
        <v>25</v>
      </c>
      <c r="H937" s="3" t="s">
        <v>25</v>
      </c>
      <c r="I937" s="6">
        <v>44470</v>
      </c>
      <c r="J937" s="4">
        <v>29797</v>
      </c>
      <c r="K937" s="4">
        <v>29797</v>
      </c>
      <c r="L937" s="4">
        <v>0</v>
      </c>
      <c r="M937" s="4">
        <v>0</v>
      </c>
      <c r="N937" s="4">
        <v>0</v>
      </c>
      <c r="O937" s="4">
        <v>0</v>
      </c>
      <c r="P937" s="4">
        <v>233</v>
      </c>
      <c r="Q937" s="3" t="s">
        <v>26</v>
      </c>
      <c r="R937" s="3">
        <v>0</v>
      </c>
      <c r="S937" s="4">
        <v>44</v>
      </c>
      <c r="T937" s="4">
        <v>0</v>
      </c>
      <c r="U937" s="4">
        <v>0</v>
      </c>
      <c r="V937" s="4">
        <v>24.31</v>
      </c>
      <c r="W937" s="4">
        <v>0</v>
      </c>
      <c r="X937" s="4">
        <v>0</v>
      </c>
      <c r="Y937" s="4">
        <v>27.784764762164471</v>
      </c>
      <c r="Z937" s="4"/>
      <c r="AA937" s="4"/>
      <c r="AB937" s="4">
        <v>724365.07</v>
      </c>
      <c r="AC937" s="4">
        <v>0</v>
      </c>
      <c r="AD937" s="4">
        <v>0</v>
      </c>
      <c r="AE937" s="4">
        <v>827902.63561821473</v>
      </c>
      <c r="AF937" s="4">
        <v>0</v>
      </c>
      <c r="AG937" s="4">
        <v>0</v>
      </c>
    </row>
    <row r="938" spans="1:33" ht="11.25" customHeight="1" x14ac:dyDescent="0.25">
      <c r="A938" s="3" t="s">
        <v>28</v>
      </c>
      <c r="B938" s="3" t="s">
        <v>41</v>
      </c>
      <c r="C938" s="3" t="s">
        <v>42</v>
      </c>
      <c r="D938" s="3" t="s">
        <v>46</v>
      </c>
      <c r="E938" s="3" t="s">
        <v>25</v>
      </c>
      <c r="F938" s="3" t="s">
        <v>25</v>
      </c>
      <c r="G938" s="3" t="s">
        <v>25</v>
      </c>
      <c r="H938" s="3" t="s">
        <v>25</v>
      </c>
      <c r="I938" s="6">
        <v>44470</v>
      </c>
      <c r="J938" s="4">
        <v>2535</v>
      </c>
      <c r="K938" s="4">
        <v>2535</v>
      </c>
      <c r="L938" s="4">
        <v>0</v>
      </c>
      <c r="M938" s="4">
        <v>0</v>
      </c>
      <c r="N938" s="4">
        <v>0</v>
      </c>
      <c r="O938" s="4">
        <v>0</v>
      </c>
      <c r="P938" s="4">
        <v>8</v>
      </c>
      <c r="Q938" s="3" t="s">
        <v>26</v>
      </c>
      <c r="R938" s="3">
        <v>0</v>
      </c>
      <c r="S938" s="4">
        <v>44</v>
      </c>
      <c r="T938" s="4">
        <v>0</v>
      </c>
      <c r="U938" s="4">
        <v>0</v>
      </c>
      <c r="V938" s="4">
        <v>24.31</v>
      </c>
      <c r="W938" s="4">
        <v>0</v>
      </c>
      <c r="X938" s="4">
        <v>0</v>
      </c>
      <c r="Y938" s="4">
        <v>27.784764762164471</v>
      </c>
      <c r="Z938" s="4"/>
      <c r="AA938" s="4"/>
      <c r="AB938" s="4">
        <v>61625.85</v>
      </c>
      <c r="AC938" s="4">
        <v>0</v>
      </c>
      <c r="AD938" s="4">
        <v>0</v>
      </c>
      <c r="AE938" s="4">
        <v>70434.378672086939</v>
      </c>
      <c r="AF938" s="4">
        <v>0</v>
      </c>
      <c r="AG938" s="4">
        <v>0</v>
      </c>
    </row>
    <row r="939" spans="1:33" ht="11.25" customHeight="1" x14ac:dyDescent="0.25">
      <c r="A939" s="3" t="s">
        <v>21</v>
      </c>
      <c r="B939" s="3" t="s">
        <v>41</v>
      </c>
      <c r="C939" s="3" t="s">
        <v>42</v>
      </c>
      <c r="D939" s="3" t="s">
        <v>46</v>
      </c>
      <c r="E939" s="3" t="s">
        <v>25</v>
      </c>
      <c r="F939" s="3" t="s">
        <v>25</v>
      </c>
      <c r="G939" s="3" t="s">
        <v>25</v>
      </c>
      <c r="H939" s="3" t="s">
        <v>25</v>
      </c>
      <c r="I939" s="6">
        <v>44501</v>
      </c>
      <c r="J939" s="4">
        <v>29908</v>
      </c>
      <c r="K939" s="4">
        <v>29908</v>
      </c>
      <c r="L939" s="4">
        <v>0</v>
      </c>
      <c r="M939" s="4">
        <v>0</v>
      </c>
      <c r="N939" s="4">
        <v>0</v>
      </c>
      <c r="O939" s="4">
        <v>0</v>
      </c>
      <c r="P939" s="4">
        <v>232</v>
      </c>
      <c r="Q939" s="3" t="s">
        <v>26</v>
      </c>
      <c r="R939" s="3">
        <v>0</v>
      </c>
      <c r="S939" s="4">
        <v>44</v>
      </c>
      <c r="T939" s="4">
        <v>0</v>
      </c>
      <c r="U939" s="4">
        <v>0</v>
      </c>
      <c r="V939" s="4">
        <v>24.31</v>
      </c>
      <c r="W939" s="4">
        <v>0</v>
      </c>
      <c r="X939" s="4">
        <v>0</v>
      </c>
      <c r="Y939" s="4">
        <v>27.784764762164471</v>
      </c>
      <c r="Z939" s="4"/>
      <c r="AA939" s="4"/>
      <c r="AB939" s="4">
        <v>727063.48</v>
      </c>
      <c r="AC939" s="4">
        <v>0</v>
      </c>
      <c r="AD939" s="4">
        <v>0</v>
      </c>
      <c r="AE939" s="4">
        <v>830986.74450681498</v>
      </c>
      <c r="AF939" s="4">
        <v>0</v>
      </c>
      <c r="AG939" s="4">
        <v>0</v>
      </c>
    </row>
    <row r="940" spans="1:33" ht="11.25" customHeight="1" x14ac:dyDescent="0.25">
      <c r="A940" s="3" t="s">
        <v>28</v>
      </c>
      <c r="B940" s="3" t="s">
        <v>41</v>
      </c>
      <c r="C940" s="3" t="s">
        <v>42</v>
      </c>
      <c r="D940" s="3" t="s">
        <v>46</v>
      </c>
      <c r="E940" s="3" t="s">
        <v>25</v>
      </c>
      <c r="F940" s="3" t="s">
        <v>25</v>
      </c>
      <c r="G940" s="3" t="s">
        <v>25</v>
      </c>
      <c r="H940" s="3" t="s">
        <v>25</v>
      </c>
      <c r="I940" s="6">
        <v>44501</v>
      </c>
      <c r="J940" s="4">
        <v>2625</v>
      </c>
      <c r="K940" s="4">
        <v>2625</v>
      </c>
      <c r="L940" s="4">
        <v>0</v>
      </c>
      <c r="M940" s="4">
        <v>0</v>
      </c>
      <c r="N940" s="4">
        <v>0</v>
      </c>
      <c r="O940" s="4">
        <v>0</v>
      </c>
      <c r="P940" s="4">
        <v>9</v>
      </c>
      <c r="Q940" s="3" t="s">
        <v>26</v>
      </c>
      <c r="R940" s="3">
        <v>0</v>
      </c>
      <c r="S940" s="4">
        <v>44</v>
      </c>
      <c r="T940" s="4">
        <v>0</v>
      </c>
      <c r="U940" s="4">
        <v>0</v>
      </c>
      <c r="V940" s="4">
        <v>24.31</v>
      </c>
      <c r="W940" s="4">
        <v>0</v>
      </c>
      <c r="X940" s="4">
        <v>0</v>
      </c>
      <c r="Y940" s="4">
        <v>27.784764762164471</v>
      </c>
      <c r="Z940" s="4"/>
      <c r="AA940" s="4"/>
      <c r="AB940" s="4">
        <v>63813.75</v>
      </c>
      <c r="AC940" s="4">
        <v>0</v>
      </c>
      <c r="AD940" s="4">
        <v>0</v>
      </c>
      <c r="AE940" s="4">
        <v>72935.007500681735</v>
      </c>
      <c r="AF940" s="4">
        <v>0</v>
      </c>
      <c r="AG940" s="4">
        <v>0</v>
      </c>
    </row>
    <row r="941" spans="1:33" ht="11.25" customHeight="1" x14ac:dyDescent="0.25">
      <c r="A941" s="3" t="s">
        <v>21</v>
      </c>
      <c r="B941" s="3" t="s">
        <v>41</v>
      </c>
      <c r="C941" s="3" t="s">
        <v>42</v>
      </c>
      <c r="D941" s="3" t="s">
        <v>46</v>
      </c>
      <c r="E941" s="3" t="s">
        <v>25</v>
      </c>
      <c r="F941" s="3" t="s">
        <v>25</v>
      </c>
      <c r="G941" s="3" t="s">
        <v>25</v>
      </c>
      <c r="H941" s="3" t="s">
        <v>25</v>
      </c>
      <c r="I941" s="6">
        <v>44531</v>
      </c>
      <c r="J941" s="4">
        <v>29855</v>
      </c>
      <c r="K941" s="4">
        <v>29855</v>
      </c>
      <c r="L941" s="4">
        <v>0</v>
      </c>
      <c r="M941" s="4">
        <v>0</v>
      </c>
      <c r="N941" s="4">
        <v>0</v>
      </c>
      <c r="O941" s="4">
        <v>0</v>
      </c>
      <c r="P941" s="4">
        <v>232</v>
      </c>
      <c r="Q941" s="3" t="s">
        <v>26</v>
      </c>
      <c r="R941" s="3">
        <v>0</v>
      </c>
      <c r="S941" s="4">
        <v>44</v>
      </c>
      <c r="T941" s="4">
        <v>0</v>
      </c>
      <c r="U941" s="4">
        <v>0</v>
      </c>
      <c r="V941" s="4">
        <v>24.31</v>
      </c>
      <c r="W941" s="4">
        <v>0</v>
      </c>
      <c r="X941" s="4">
        <v>0</v>
      </c>
      <c r="Y941" s="4">
        <v>27.784764762164471</v>
      </c>
      <c r="Z941" s="4"/>
      <c r="AA941" s="4"/>
      <c r="AB941" s="4">
        <v>725775.04999999993</v>
      </c>
      <c r="AC941" s="4">
        <v>0</v>
      </c>
      <c r="AD941" s="4">
        <v>0</v>
      </c>
      <c r="AE941" s="4">
        <v>829514.1519744203</v>
      </c>
      <c r="AF941" s="4">
        <v>0</v>
      </c>
      <c r="AG941" s="4">
        <v>0</v>
      </c>
    </row>
    <row r="942" spans="1:33" ht="11.25" customHeight="1" x14ac:dyDescent="0.25">
      <c r="A942" s="3" t="s">
        <v>28</v>
      </c>
      <c r="B942" s="3" t="s">
        <v>41</v>
      </c>
      <c r="C942" s="3" t="s">
        <v>42</v>
      </c>
      <c r="D942" s="3" t="s">
        <v>46</v>
      </c>
      <c r="E942" s="3" t="s">
        <v>25</v>
      </c>
      <c r="F942" s="3" t="s">
        <v>25</v>
      </c>
      <c r="G942" s="3" t="s">
        <v>25</v>
      </c>
      <c r="H942" s="3" t="s">
        <v>25</v>
      </c>
      <c r="I942" s="6">
        <v>44531</v>
      </c>
      <c r="J942" s="4">
        <v>2780</v>
      </c>
      <c r="K942" s="4">
        <v>2780</v>
      </c>
      <c r="L942" s="4">
        <v>0</v>
      </c>
      <c r="M942" s="4">
        <v>0</v>
      </c>
      <c r="N942" s="4">
        <v>0</v>
      </c>
      <c r="O942" s="4">
        <v>0</v>
      </c>
      <c r="P942" s="4">
        <v>11</v>
      </c>
      <c r="Q942" s="3" t="s">
        <v>26</v>
      </c>
      <c r="R942" s="3">
        <v>0</v>
      </c>
      <c r="S942" s="4">
        <v>44</v>
      </c>
      <c r="T942" s="4">
        <v>0</v>
      </c>
      <c r="U942" s="4">
        <v>0</v>
      </c>
      <c r="V942" s="4">
        <v>24.31</v>
      </c>
      <c r="W942" s="4">
        <v>0</v>
      </c>
      <c r="X942" s="4">
        <v>0</v>
      </c>
      <c r="Y942" s="4">
        <v>27.784764762164471</v>
      </c>
      <c r="Z942" s="4"/>
      <c r="AA942" s="4"/>
      <c r="AB942" s="4">
        <v>67581.8</v>
      </c>
      <c r="AC942" s="4">
        <v>0</v>
      </c>
      <c r="AD942" s="4">
        <v>0</v>
      </c>
      <c r="AE942" s="4">
        <v>77241.646038817227</v>
      </c>
      <c r="AF942" s="4">
        <v>0</v>
      </c>
      <c r="AG942" s="4">
        <v>0</v>
      </c>
    </row>
    <row r="943" spans="1:33" ht="11.25" customHeight="1" x14ac:dyDescent="0.25">
      <c r="A943" s="3" t="s">
        <v>21</v>
      </c>
      <c r="B943" s="3" t="s">
        <v>41</v>
      </c>
      <c r="C943" s="3" t="s">
        <v>42</v>
      </c>
      <c r="D943" s="3" t="s">
        <v>46</v>
      </c>
      <c r="E943" s="3" t="s">
        <v>25</v>
      </c>
      <c r="F943" s="3" t="s">
        <v>25</v>
      </c>
      <c r="G943" s="3" t="s">
        <v>25</v>
      </c>
      <c r="H943" s="3" t="s">
        <v>25</v>
      </c>
      <c r="I943" s="6">
        <v>44562</v>
      </c>
      <c r="J943" s="4">
        <v>31488</v>
      </c>
      <c r="K943" s="4">
        <v>31488</v>
      </c>
      <c r="L943" s="4">
        <v>0</v>
      </c>
      <c r="M943" s="4">
        <v>0</v>
      </c>
      <c r="N943" s="4">
        <v>0</v>
      </c>
      <c r="O943" s="4">
        <v>0</v>
      </c>
      <c r="P943" s="4">
        <v>232</v>
      </c>
      <c r="Q943" s="3" t="s">
        <v>26</v>
      </c>
      <c r="R943" s="3">
        <v>0</v>
      </c>
      <c r="S943" s="4">
        <v>44</v>
      </c>
      <c r="T943" s="4">
        <v>0</v>
      </c>
      <c r="U943" s="4">
        <v>0</v>
      </c>
      <c r="V943" s="4">
        <v>24.31</v>
      </c>
      <c r="W943" s="4">
        <v>0</v>
      </c>
      <c r="X943" s="4">
        <v>0</v>
      </c>
      <c r="Y943" s="4">
        <v>27.784764762164471</v>
      </c>
      <c r="Z943" s="4"/>
      <c r="AA943" s="4"/>
      <c r="AB943" s="4">
        <v>765473.27999999991</v>
      </c>
      <c r="AC943" s="4">
        <v>0</v>
      </c>
      <c r="AD943" s="4">
        <v>0</v>
      </c>
      <c r="AE943" s="4">
        <v>874886.67283103487</v>
      </c>
      <c r="AF943" s="4">
        <v>0</v>
      </c>
      <c r="AG943" s="4">
        <v>0</v>
      </c>
    </row>
    <row r="944" spans="1:33" ht="11.25" customHeight="1" x14ac:dyDescent="0.25">
      <c r="A944" s="3" t="s">
        <v>27</v>
      </c>
      <c r="B944" s="3" t="s">
        <v>41</v>
      </c>
      <c r="C944" s="3" t="s">
        <v>42</v>
      </c>
      <c r="D944" s="3" t="s">
        <v>46</v>
      </c>
      <c r="E944" s="3" t="s">
        <v>25</v>
      </c>
      <c r="F944" s="3" t="s">
        <v>25</v>
      </c>
      <c r="G944" s="3" t="s">
        <v>25</v>
      </c>
      <c r="H944" s="3" t="s">
        <v>25</v>
      </c>
      <c r="I944" s="6">
        <v>44562</v>
      </c>
      <c r="J944" s="4">
        <v>-180</v>
      </c>
      <c r="K944" s="4">
        <v>-180</v>
      </c>
      <c r="L944" s="4">
        <v>0</v>
      </c>
      <c r="M944" s="4">
        <v>0</v>
      </c>
      <c r="N944" s="4">
        <v>0</v>
      </c>
      <c r="O944" s="4">
        <v>0</v>
      </c>
      <c r="P944" s="4">
        <v>1</v>
      </c>
      <c r="Q944" s="3" t="s">
        <v>26</v>
      </c>
      <c r="R944" s="3">
        <v>0</v>
      </c>
      <c r="S944" s="4">
        <v>44</v>
      </c>
      <c r="T944" s="4">
        <v>0</v>
      </c>
      <c r="U944" s="4">
        <v>0</v>
      </c>
      <c r="V944" s="4">
        <v>24.31</v>
      </c>
      <c r="W944" s="4">
        <v>0</v>
      </c>
      <c r="X944" s="4">
        <v>0</v>
      </c>
      <c r="Y944" s="4">
        <v>27.784764762164471</v>
      </c>
      <c r="Z944" s="4"/>
      <c r="AA944" s="4"/>
      <c r="AB944" s="4">
        <v>-4375.8</v>
      </c>
      <c r="AC944" s="4">
        <v>0</v>
      </c>
      <c r="AD944" s="4">
        <v>0</v>
      </c>
      <c r="AE944" s="4">
        <v>-5001.2576571896052</v>
      </c>
      <c r="AF944" s="4">
        <v>0</v>
      </c>
      <c r="AG944" s="4">
        <v>0</v>
      </c>
    </row>
    <row r="945" spans="1:33" ht="11.25" customHeight="1" x14ac:dyDescent="0.25">
      <c r="A945" s="3" t="s">
        <v>28</v>
      </c>
      <c r="B945" s="3" t="s">
        <v>41</v>
      </c>
      <c r="C945" s="3" t="s">
        <v>42</v>
      </c>
      <c r="D945" s="3" t="s">
        <v>46</v>
      </c>
      <c r="E945" s="3" t="s">
        <v>25</v>
      </c>
      <c r="F945" s="3" t="s">
        <v>25</v>
      </c>
      <c r="G945" s="3" t="s">
        <v>25</v>
      </c>
      <c r="H945" s="3" t="s">
        <v>25</v>
      </c>
      <c r="I945" s="6">
        <v>44562</v>
      </c>
      <c r="J945" s="4">
        <v>2831</v>
      </c>
      <c r="K945" s="4">
        <v>2831</v>
      </c>
      <c r="L945" s="4">
        <v>0</v>
      </c>
      <c r="M945" s="4">
        <v>0</v>
      </c>
      <c r="N945" s="4">
        <v>0</v>
      </c>
      <c r="O945" s="4">
        <v>0</v>
      </c>
      <c r="P945" s="4">
        <v>12</v>
      </c>
      <c r="Q945" s="3" t="s">
        <v>26</v>
      </c>
      <c r="R945" s="3">
        <v>0</v>
      </c>
      <c r="S945" s="4">
        <v>44</v>
      </c>
      <c r="T945" s="4">
        <v>0</v>
      </c>
      <c r="U945" s="4">
        <v>0</v>
      </c>
      <c r="V945" s="4">
        <v>24.31</v>
      </c>
      <c r="W945" s="4">
        <v>0</v>
      </c>
      <c r="X945" s="4">
        <v>0</v>
      </c>
      <c r="Y945" s="4">
        <v>27.784764762164471</v>
      </c>
      <c r="Z945" s="4"/>
      <c r="AA945" s="4"/>
      <c r="AB945" s="4">
        <v>68821.61</v>
      </c>
      <c r="AC945" s="4">
        <v>0</v>
      </c>
      <c r="AD945" s="4">
        <v>0</v>
      </c>
      <c r="AE945" s="4">
        <v>78658.669041687623</v>
      </c>
      <c r="AF945" s="4">
        <v>0</v>
      </c>
      <c r="AG945" s="4">
        <v>0</v>
      </c>
    </row>
    <row r="946" spans="1:33" ht="11.25" customHeight="1" x14ac:dyDescent="0.25">
      <c r="A946" s="3" t="s">
        <v>21</v>
      </c>
      <c r="B946" s="3" t="s">
        <v>41</v>
      </c>
      <c r="C946" s="3" t="s">
        <v>42</v>
      </c>
      <c r="D946" s="3" t="s">
        <v>46</v>
      </c>
      <c r="E946" s="3" t="s">
        <v>25</v>
      </c>
      <c r="F946" s="3" t="s">
        <v>25</v>
      </c>
      <c r="G946" s="3" t="s">
        <v>25</v>
      </c>
      <c r="H946" s="3" t="s">
        <v>25</v>
      </c>
      <c r="I946" s="6">
        <v>44593</v>
      </c>
      <c r="J946" s="4">
        <v>29952</v>
      </c>
      <c r="K946" s="4">
        <v>29952</v>
      </c>
      <c r="L946" s="4">
        <v>0</v>
      </c>
      <c r="M946" s="4">
        <v>0</v>
      </c>
      <c r="N946" s="4">
        <v>0</v>
      </c>
      <c r="O946" s="4">
        <v>0</v>
      </c>
      <c r="P946" s="4">
        <v>235</v>
      </c>
      <c r="Q946" s="3" t="s">
        <v>26</v>
      </c>
      <c r="R946" s="3">
        <v>0</v>
      </c>
      <c r="S946" s="4">
        <v>44</v>
      </c>
      <c r="T946" s="4">
        <v>0</v>
      </c>
      <c r="U946" s="4">
        <v>0</v>
      </c>
      <c r="V946" s="4">
        <v>24.31</v>
      </c>
      <c r="W946" s="4">
        <v>0</v>
      </c>
      <c r="X946" s="4">
        <v>0</v>
      </c>
      <c r="Y946" s="4">
        <v>27.784764762164471</v>
      </c>
      <c r="Z946" s="4"/>
      <c r="AA946" s="4"/>
      <c r="AB946" s="4">
        <v>728133.12</v>
      </c>
      <c r="AC946" s="4">
        <v>0</v>
      </c>
      <c r="AD946" s="4">
        <v>0</v>
      </c>
      <c r="AE946" s="4">
        <v>832209.27415635029</v>
      </c>
      <c r="AF946" s="4">
        <v>0</v>
      </c>
      <c r="AG946" s="4">
        <v>0</v>
      </c>
    </row>
    <row r="947" spans="1:33" ht="11.25" customHeight="1" x14ac:dyDescent="0.25">
      <c r="A947" s="3" t="s">
        <v>27</v>
      </c>
      <c r="B947" s="3" t="s">
        <v>41</v>
      </c>
      <c r="C947" s="3" t="s">
        <v>42</v>
      </c>
      <c r="D947" s="3" t="s">
        <v>46</v>
      </c>
      <c r="E947" s="3" t="s">
        <v>25</v>
      </c>
      <c r="F947" s="3" t="s">
        <v>25</v>
      </c>
      <c r="G947" s="3" t="s">
        <v>25</v>
      </c>
      <c r="H947" s="3" t="s">
        <v>25</v>
      </c>
      <c r="I947" s="6">
        <v>44593</v>
      </c>
      <c r="J947" s="4">
        <v>-1990</v>
      </c>
      <c r="K947" s="4">
        <v>-1990</v>
      </c>
      <c r="L947" s="4">
        <v>0</v>
      </c>
      <c r="M947" s="4">
        <v>0</v>
      </c>
      <c r="N947" s="4">
        <v>0</v>
      </c>
      <c r="O947" s="4">
        <v>0</v>
      </c>
      <c r="P947" s="4">
        <v>1</v>
      </c>
      <c r="Q947" s="3" t="s">
        <v>26</v>
      </c>
      <c r="R947" s="3">
        <v>0</v>
      </c>
      <c r="S947" s="4">
        <v>44</v>
      </c>
      <c r="T947" s="4">
        <v>0</v>
      </c>
      <c r="U947" s="4">
        <v>0</v>
      </c>
      <c r="V947" s="4">
        <v>24.31</v>
      </c>
      <c r="W947" s="4">
        <v>0</v>
      </c>
      <c r="X947" s="4">
        <v>0</v>
      </c>
      <c r="Y947" s="4">
        <v>27.784764762164471</v>
      </c>
      <c r="Z947" s="4"/>
      <c r="AA947" s="4"/>
      <c r="AB947" s="4">
        <v>-48376.899999999994</v>
      </c>
      <c r="AC947" s="4">
        <v>0</v>
      </c>
      <c r="AD947" s="4">
        <v>0</v>
      </c>
      <c r="AE947" s="4">
        <v>-55291.681876707298</v>
      </c>
      <c r="AF947" s="4">
        <v>0</v>
      </c>
      <c r="AG947" s="4">
        <v>0</v>
      </c>
    </row>
    <row r="948" spans="1:33" ht="11.25" customHeight="1" x14ac:dyDescent="0.25">
      <c r="A948" s="3" t="s">
        <v>28</v>
      </c>
      <c r="B948" s="3" t="s">
        <v>41</v>
      </c>
      <c r="C948" s="3" t="s">
        <v>42</v>
      </c>
      <c r="D948" s="3" t="s">
        <v>46</v>
      </c>
      <c r="E948" s="3" t="s">
        <v>25</v>
      </c>
      <c r="F948" s="3" t="s">
        <v>25</v>
      </c>
      <c r="G948" s="3" t="s">
        <v>25</v>
      </c>
      <c r="H948" s="3" t="s">
        <v>25</v>
      </c>
      <c r="I948" s="6">
        <v>44593</v>
      </c>
      <c r="J948" s="4">
        <v>2810</v>
      </c>
      <c r="K948" s="4">
        <v>2810</v>
      </c>
      <c r="L948" s="4">
        <v>0</v>
      </c>
      <c r="M948" s="4">
        <v>0</v>
      </c>
      <c r="N948" s="4">
        <v>0</v>
      </c>
      <c r="O948" s="4">
        <v>0</v>
      </c>
      <c r="P948" s="4">
        <v>12</v>
      </c>
      <c r="Q948" s="3" t="s">
        <v>26</v>
      </c>
      <c r="R948" s="3">
        <v>0</v>
      </c>
      <c r="S948" s="4">
        <v>44</v>
      </c>
      <c r="T948" s="4">
        <v>0</v>
      </c>
      <c r="U948" s="4">
        <v>0</v>
      </c>
      <c r="V948" s="4">
        <v>24.31</v>
      </c>
      <c r="W948" s="4">
        <v>0</v>
      </c>
      <c r="X948" s="4">
        <v>0</v>
      </c>
      <c r="Y948" s="4">
        <v>27.784764762164471</v>
      </c>
      <c r="Z948" s="4"/>
      <c r="AA948" s="4"/>
      <c r="AB948" s="4">
        <v>68311.099999999991</v>
      </c>
      <c r="AC948" s="4">
        <v>0</v>
      </c>
      <c r="AD948" s="4">
        <v>0</v>
      </c>
      <c r="AE948" s="4">
        <v>78075.188981682164</v>
      </c>
      <c r="AF948" s="4">
        <v>0</v>
      </c>
      <c r="AG948" s="4">
        <v>0</v>
      </c>
    </row>
    <row r="949" spans="1:33" ht="11.25" customHeight="1" x14ac:dyDescent="0.25">
      <c r="A949" s="3" t="s">
        <v>56</v>
      </c>
      <c r="B949" s="3" t="s">
        <v>41</v>
      </c>
      <c r="C949" s="3" t="s">
        <v>42</v>
      </c>
      <c r="D949" s="3" t="s">
        <v>46</v>
      </c>
      <c r="E949" s="3" t="s">
        <v>25</v>
      </c>
      <c r="F949" s="3" t="s">
        <v>25</v>
      </c>
      <c r="G949" s="3" t="s">
        <v>25</v>
      </c>
      <c r="H949" s="3" t="s">
        <v>25</v>
      </c>
      <c r="I949" s="6">
        <v>44621</v>
      </c>
      <c r="J949" s="4">
        <v>29952</v>
      </c>
      <c r="K949" s="4">
        <v>29952</v>
      </c>
      <c r="L949" s="4">
        <v>0</v>
      </c>
      <c r="M949" s="4">
        <v>0</v>
      </c>
      <c r="N949" s="4">
        <v>0</v>
      </c>
      <c r="O949" s="4">
        <v>0</v>
      </c>
      <c r="P949" s="4">
        <v>235</v>
      </c>
      <c r="Q949" s="3" t="s">
        <v>26</v>
      </c>
      <c r="R949" s="3">
        <v>0</v>
      </c>
      <c r="S949" s="4">
        <v>44</v>
      </c>
      <c r="T949" s="4">
        <v>0</v>
      </c>
      <c r="U949" s="4">
        <v>0</v>
      </c>
      <c r="V949" s="4">
        <v>24.31</v>
      </c>
      <c r="W949" s="4">
        <v>0</v>
      </c>
      <c r="X949" s="4">
        <v>0</v>
      </c>
      <c r="Y949" s="4">
        <v>27.784764762164471</v>
      </c>
      <c r="Z949" s="4"/>
      <c r="AA949" s="4"/>
      <c r="AB949" s="4">
        <v>728133.12</v>
      </c>
      <c r="AC949" s="4">
        <v>0</v>
      </c>
      <c r="AD949" s="4">
        <v>0</v>
      </c>
      <c r="AE949" s="4">
        <v>832209.27415635029</v>
      </c>
      <c r="AF949" s="4">
        <v>0</v>
      </c>
      <c r="AG949" s="4">
        <v>0</v>
      </c>
    </row>
    <row r="950" spans="1:33" ht="11.25" customHeight="1" x14ac:dyDescent="0.25">
      <c r="A950" s="3" t="s">
        <v>56</v>
      </c>
      <c r="B950" s="3" t="s">
        <v>41</v>
      </c>
      <c r="C950" s="3" t="s">
        <v>42</v>
      </c>
      <c r="D950" s="3" t="s">
        <v>46</v>
      </c>
      <c r="E950" s="3" t="s">
        <v>25</v>
      </c>
      <c r="F950" s="3" t="s">
        <v>25</v>
      </c>
      <c r="G950" s="3" t="s">
        <v>25</v>
      </c>
      <c r="H950" s="3" t="s">
        <v>25</v>
      </c>
      <c r="I950" s="6">
        <v>44621</v>
      </c>
      <c r="J950" s="4">
        <v>-1990</v>
      </c>
      <c r="K950" s="4">
        <v>-1990</v>
      </c>
      <c r="L950" s="4">
        <v>0</v>
      </c>
      <c r="M950" s="4">
        <v>0</v>
      </c>
      <c r="N950" s="4">
        <v>0</v>
      </c>
      <c r="O950" s="4">
        <v>0</v>
      </c>
      <c r="P950" s="4">
        <v>1</v>
      </c>
      <c r="Q950" s="3" t="s">
        <v>26</v>
      </c>
      <c r="R950" s="3">
        <v>0</v>
      </c>
      <c r="S950" s="4">
        <v>44</v>
      </c>
      <c r="T950" s="4">
        <v>0</v>
      </c>
      <c r="U950" s="4">
        <v>0</v>
      </c>
      <c r="V950" s="4">
        <v>24.31</v>
      </c>
      <c r="W950" s="4">
        <v>0</v>
      </c>
      <c r="X950" s="4">
        <v>0</v>
      </c>
      <c r="Y950" s="4">
        <v>27.784764762164471</v>
      </c>
      <c r="Z950" s="4"/>
      <c r="AA950" s="4"/>
      <c r="AB950" s="4">
        <v>-48376.899999999994</v>
      </c>
      <c r="AC950" s="4">
        <v>0</v>
      </c>
      <c r="AD950" s="4">
        <v>0</v>
      </c>
      <c r="AE950" s="4">
        <v>-55291.681876707298</v>
      </c>
      <c r="AF950" s="4">
        <v>0</v>
      </c>
      <c r="AG950" s="4">
        <v>0</v>
      </c>
    </row>
    <row r="951" spans="1:33" ht="11.25" customHeight="1" x14ac:dyDescent="0.25">
      <c r="A951" s="3" t="s">
        <v>56</v>
      </c>
      <c r="B951" s="3" t="s">
        <v>41</v>
      </c>
      <c r="C951" s="3" t="s">
        <v>42</v>
      </c>
      <c r="D951" s="3" t="s">
        <v>46</v>
      </c>
      <c r="E951" s="3" t="s">
        <v>25</v>
      </c>
      <c r="F951" s="3" t="s">
        <v>25</v>
      </c>
      <c r="G951" s="3" t="s">
        <v>25</v>
      </c>
      <c r="H951" s="3" t="s">
        <v>25</v>
      </c>
      <c r="I951" s="6">
        <v>44621</v>
      </c>
      <c r="J951" s="4">
        <v>2810</v>
      </c>
      <c r="K951" s="4">
        <v>2810</v>
      </c>
      <c r="L951" s="4">
        <v>0</v>
      </c>
      <c r="M951" s="4">
        <v>0</v>
      </c>
      <c r="N951" s="4">
        <v>0</v>
      </c>
      <c r="O951" s="4">
        <v>0</v>
      </c>
      <c r="P951" s="4">
        <v>12</v>
      </c>
      <c r="Q951" s="3" t="s">
        <v>26</v>
      </c>
      <c r="R951" s="3">
        <v>0</v>
      </c>
      <c r="S951" s="4">
        <v>44</v>
      </c>
      <c r="T951" s="4">
        <v>0</v>
      </c>
      <c r="U951" s="4">
        <v>0</v>
      </c>
      <c r="V951" s="4">
        <v>24.31</v>
      </c>
      <c r="W951" s="4">
        <v>0</v>
      </c>
      <c r="X951" s="4">
        <v>0</v>
      </c>
      <c r="Y951" s="4">
        <v>27.784764762164471</v>
      </c>
      <c r="Z951" s="4"/>
      <c r="AA951" s="4"/>
      <c r="AB951" s="4">
        <v>68311.099999999991</v>
      </c>
      <c r="AC951" s="4">
        <v>0</v>
      </c>
      <c r="AD951" s="4">
        <v>0</v>
      </c>
      <c r="AE951" s="4">
        <v>78075.188981682164</v>
      </c>
      <c r="AF951" s="4">
        <v>0</v>
      </c>
      <c r="AG951" s="4">
        <v>0</v>
      </c>
    </row>
    <row r="952" spans="1:33" ht="11.25" customHeight="1" x14ac:dyDescent="0.25">
      <c r="A952" s="3" t="s">
        <v>21</v>
      </c>
      <c r="B952" s="3" t="s">
        <v>41</v>
      </c>
      <c r="C952" s="3" t="s">
        <v>42</v>
      </c>
      <c r="D952" s="3" t="s">
        <v>46</v>
      </c>
      <c r="E952" s="3" t="s">
        <v>25</v>
      </c>
      <c r="F952" s="3" t="s">
        <v>25</v>
      </c>
      <c r="G952" s="3" t="s">
        <v>25</v>
      </c>
      <c r="H952" s="3" t="s">
        <v>34</v>
      </c>
      <c r="I952" s="6">
        <v>44287</v>
      </c>
      <c r="J952" s="4">
        <v>0</v>
      </c>
      <c r="K952" s="4">
        <v>0</v>
      </c>
      <c r="L952" s="4">
        <v>284.88600000000002</v>
      </c>
      <c r="M952" s="4">
        <v>284.88600000000002</v>
      </c>
      <c r="N952" s="4">
        <v>284.88600000000002</v>
      </c>
      <c r="O952" s="4">
        <v>284.88600000000002</v>
      </c>
      <c r="P952" s="4">
        <v>0</v>
      </c>
      <c r="Q952" s="3" t="s">
        <v>26</v>
      </c>
      <c r="R952" s="3">
        <v>0</v>
      </c>
      <c r="S952" s="4">
        <v>0</v>
      </c>
      <c r="T952" s="4">
        <v>20</v>
      </c>
      <c r="U952" s="4">
        <v>88</v>
      </c>
      <c r="V952" s="4">
        <v>0</v>
      </c>
      <c r="W952" s="4">
        <v>1564.59</v>
      </c>
      <c r="X952" s="4">
        <v>365.5</v>
      </c>
      <c r="Y952" s="4"/>
      <c r="Z952" s="4">
        <v>1923.7175020527629</v>
      </c>
      <c r="AA952" s="4">
        <v>381.42546590200942</v>
      </c>
      <c r="AB952" s="4">
        <v>0</v>
      </c>
      <c r="AC952" s="4">
        <v>445729.78674000001</v>
      </c>
      <c r="AD952" s="4">
        <v>104125.83300000001</v>
      </c>
      <c r="AE952" s="4">
        <v>0</v>
      </c>
      <c r="AF952" s="4">
        <v>548040.1842898035</v>
      </c>
      <c r="AG952" s="4">
        <v>108662.77527895986</v>
      </c>
    </row>
    <row r="953" spans="1:33" ht="11.25" customHeight="1" x14ac:dyDescent="0.25">
      <c r="A953" s="3" t="s">
        <v>28</v>
      </c>
      <c r="B953" s="3" t="s">
        <v>41</v>
      </c>
      <c r="C953" s="3" t="s">
        <v>42</v>
      </c>
      <c r="D953" s="3" t="s">
        <v>46</v>
      </c>
      <c r="E953" s="3" t="s">
        <v>25</v>
      </c>
      <c r="F953" s="3" t="s">
        <v>25</v>
      </c>
      <c r="G953" s="3" t="s">
        <v>25</v>
      </c>
      <c r="H953" s="3" t="s">
        <v>34</v>
      </c>
      <c r="I953" s="6">
        <v>44287</v>
      </c>
      <c r="J953" s="4">
        <v>0</v>
      </c>
      <c r="K953" s="4">
        <v>0</v>
      </c>
      <c r="L953" s="4">
        <v>30.649000000000001</v>
      </c>
      <c r="M953" s="4">
        <v>30.649000000000001</v>
      </c>
      <c r="N953" s="4">
        <v>30.649000000000001</v>
      </c>
      <c r="O953" s="4">
        <v>30.649000000000001</v>
      </c>
      <c r="P953" s="4">
        <v>0</v>
      </c>
      <c r="Q953" s="3" t="s">
        <v>26</v>
      </c>
      <c r="R953" s="3">
        <v>0</v>
      </c>
      <c r="S953" s="4">
        <v>0</v>
      </c>
      <c r="T953" s="4">
        <v>20</v>
      </c>
      <c r="U953" s="4">
        <v>88</v>
      </c>
      <c r="V953" s="4">
        <v>0</v>
      </c>
      <c r="W953" s="4">
        <v>1564.59</v>
      </c>
      <c r="X953" s="4">
        <v>365.5</v>
      </c>
      <c r="Y953" s="4"/>
      <c r="Z953" s="4">
        <v>1923.7175020527629</v>
      </c>
      <c r="AA953" s="4">
        <v>381.42546590200942</v>
      </c>
      <c r="AB953" s="4">
        <v>0</v>
      </c>
      <c r="AC953" s="4">
        <v>47953.118909999997</v>
      </c>
      <c r="AD953" s="4">
        <v>11202.209500000001</v>
      </c>
      <c r="AE953" s="4">
        <v>0</v>
      </c>
      <c r="AF953" s="4">
        <v>58960.017720415133</v>
      </c>
      <c r="AG953" s="4">
        <v>11690.309104430688</v>
      </c>
    </row>
    <row r="954" spans="1:33" ht="11.25" customHeight="1" x14ac:dyDescent="0.25">
      <c r="A954" s="3" t="s">
        <v>21</v>
      </c>
      <c r="B954" s="3" t="s">
        <v>41</v>
      </c>
      <c r="C954" s="3" t="s">
        <v>42</v>
      </c>
      <c r="D954" s="3" t="s">
        <v>46</v>
      </c>
      <c r="E954" s="3" t="s">
        <v>25</v>
      </c>
      <c r="F954" s="3" t="s">
        <v>25</v>
      </c>
      <c r="G954" s="3" t="s">
        <v>25</v>
      </c>
      <c r="H954" s="3" t="s">
        <v>34</v>
      </c>
      <c r="I954" s="6">
        <v>44317</v>
      </c>
      <c r="J954" s="4">
        <v>0</v>
      </c>
      <c r="K954" s="4">
        <v>0</v>
      </c>
      <c r="L954" s="4">
        <v>262.16000000000003</v>
      </c>
      <c r="M954" s="4">
        <v>262.16000000000003</v>
      </c>
      <c r="N954" s="4">
        <v>262.16000000000003</v>
      </c>
      <c r="O954" s="4">
        <v>262.16000000000003</v>
      </c>
      <c r="P954" s="4">
        <v>0</v>
      </c>
      <c r="Q954" s="3" t="s">
        <v>26</v>
      </c>
      <c r="R954" s="3">
        <v>0</v>
      </c>
      <c r="S954" s="4">
        <v>0</v>
      </c>
      <c r="T954" s="4">
        <v>20</v>
      </c>
      <c r="U954" s="4">
        <v>88</v>
      </c>
      <c r="V954" s="4">
        <v>0</v>
      </c>
      <c r="W954" s="4">
        <v>1564.59</v>
      </c>
      <c r="X954" s="4">
        <v>365.5</v>
      </c>
      <c r="Y954" s="4"/>
      <c r="Z954" s="4">
        <v>1923.7175020527629</v>
      </c>
      <c r="AA954" s="4">
        <v>381.42546590200942</v>
      </c>
      <c r="AB954" s="4">
        <v>0</v>
      </c>
      <c r="AC954" s="4">
        <v>410172.91440000001</v>
      </c>
      <c r="AD954" s="4">
        <v>95819.48000000001</v>
      </c>
      <c r="AE954" s="4">
        <v>0</v>
      </c>
      <c r="AF954" s="4">
        <v>504321.78033815237</v>
      </c>
      <c r="AG954" s="4">
        <v>99994.500140870805</v>
      </c>
    </row>
    <row r="955" spans="1:33" ht="11.25" customHeight="1" x14ac:dyDescent="0.25">
      <c r="A955" s="3" t="s">
        <v>28</v>
      </c>
      <c r="B955" s="3" t="s">
        <v>41</v>
      </c>
      <c r="C955" s="3" t="s">
        <v>42</v>
      </c>
      <c r="D955" s="3" t="s">
        <v>46</v>
      </c>
      <c r="E955" s="3" t="s">
        <v>25</v>
      </c>
      <c r="F955" s="3" t="s">
        <v>25</v>
      </c>
      <c r="G955" s="3" t="s">
        <v>25</v>
      </c>
      <c r="H955" s="3" t="s">
        <v>34</v>
      </c>
      <c r="I955" s="6">
        <v>44317</v>
      </c>
      <c r="J955" s="4">
        <v>0</v>
      </c>
      <c r="K955" s="4">
        <v>0</v>
      </c>
      <c r="L955" s="4">
        <v>33.372</v>
      </c>
      <c r="M955" s="4">
        <v>33.372</v>
      </c>
      <c r="N955" s="4">
        <v>33.372</v>
      </c>
      <c r="O955" s="4">
        <v>33.372</v>
      </c>
      <c r="P955" s="4">
        <v>0</v>
      </c>
      <c r="Q955" s="3" t="s">
        <v>26</v>
      </c>
      <c r="R955" s="3">
        <v>0</v>
      </c>
      <c r="S955" s="4">
        <v>0</v>
      </c>
      <c r="T955" s="4">
        <v>20</v>
      </c>
      <c r="U955" s="4">
        <v>88</v>
      </c>
      <c r="V955" s="4">
        <v>0</v>
      </c>
      <c r="W955" s="4">
        <v>1564.59</v>
      </c>
      <c r="X955" s="4">
        <v>365.5</v>
      </c>
      <c r="Y955" s="4"/>
      <c r="Z955" s="4">
        <v>1923.7175020527629</v>
      </c>
      <c r="AA955" s="4">
        <v>381.42546590200942</v>
      </c>
      <c r="AB955" s="4">
        <v>0</v>
      </c>
      <c r="AC955" s="4">
        <v>52213.497479999998</v>
      </c>
      <c r="AD955" s="4">
        <v>12197.466</v>
      </c>
      <c r="AE955" s="4">
        <v>0</v>
      </c>
      <c r="AF955" s="4">
        <v>64198.300478504803</v>
      </c>
      <c r="AG955" s="4">
        <v>12728.930648081858</v>
      </c>
    </row>
    <row r="956" spans="1:33" ht="11.25" customHeight="1" x14ac:dyDescent="0.25">
      <c r="A956" s="3" t="s">
        <v>21</v>
      </c>
      <c r="B956" s="3" t="s">
        <v>41</v>
      </c>
      <c r="C956" s="3" t="s">
        <v>42</v>
      </c>
      <c r="D956" s="3" t="s">
        <v>46</v>
      </c>
      <c r="E956" s="3" t="s">
        <v>25</v>
      </c>
      <c r="F956" s="3" t="s">
        <v>25</v>
      </c>
      <c r="G956" s="3" t="s">
        <v>25</v>
      </c>
      <c r="H956" s="3" t="s">
        <v>34</v>
      </c>
      <c r="I956" s="6">
        <v>44348</v>
      </c>
      <c r="J956" s="4">
        <v>0</v>
      </c>
      <c r="K956" s="4">
        <v>0</v>
      </c>
      <c r="L956" s="4">
        <v>247.381</v>
      </c>
      <c r="M956" s="4">
        <v>247.381</v>
      </c>
      <c r="N956" s="4">
        <v>247.381</v>
      </c>
      <c r="O956" s="4">
        <v>247.381</v>
      </c>
      <c r="P956" s="4">
        <v>0</v>
      </c>
      <c r="Q956" s="3" t="s">
        <v>26</v>
      </c>
      <c r="R956" s="3">
        <v>0</v>
      </c>
      <c r="S956" s="4">
        <v>0</v>
      </c>
      <c r="T956" s="4">
        <v>20</v>
      </c>
      <c r="U956" s="4">
        <v>88</v>
      </c>
      <c r="V956" s="4">
        <v>0</v>
      </c>
      <c r="W956" s="4">
        <v>1564.59</v>
      </c>
      <c r="X956" s="4">
        <v>365.5</v>
      </c>
      <c r="Y956" s="4"/>
      <c r="Z956" s="4">
        <v>1923.7175020527629</v>
      </c>
      <c r="AA956" s="4">
        <v>381.42546590200942</v>
      </c>
      <c r="AB956" s="4">
        <v>0</v>
      </c>
      <c r="AC956" s="4">
        <v>387049.83879000001</v>
      </c>
      <c r="AD956" s="4">
        <v>90417.755499999999</v>
      </c>
      <c r="AE956" s="4">
        <v>0</v>
      </c>
      <c r="AF956" s="4">
        <v>475891.15937531454</v>
      </c>
      <c r="AG956" s="4">
        <v>94357.413180304997</v>
      </c>
    </row>
    <row r="957" spans="1:33" ht="11.25" customHeight="1" x14ac:dyDescent="0.25">
      <c r="A957" s="3" t="s">
        <v>28</v>
      </c>
      <c r="B957" s="3" t="s">
        <v>41</v>
      </c>
      <c r="C957" s="3" t="s">
        <v>42</v>
      </c>
      <c r="D957" s="3" t="s">
        <v>46</v>
      </c>
      <c r="E957" s="3" t="s">
        <v>25</v>
      </c>
      <c r="F957" s="3" t="s">
        <v>25</v>
      </c>
      <c r="G957" s="3" t="s">
        <v>25</v>
      </c>
      <c r="H957" s="3" t="s">
        <v>34</v>
      </c>
      <c r="I957" s="6">
        <v>44348</v>
      </c>
      <c r="J957" s="4">
        <v>0</v>
      </c>
      <c r="K957" s="4">
        <v>0</v>
      </c>
      <c r="L957" s="4">
        <v>34.637</v>
      </c>
      <c r="M957" s="4">
        <v>34.637</v>
      </c>
      <c r="N957" s="4">
        <v>34.637</v>
      </c>
      <c r="O957" s="4">
        <v>34.637</v>
      </c>
      <c r="P957" s="4">
        <v>0</v>
      </c>
      <c r="Q957" s="3" t="s">
        <v>26</v>
      </c>
      <c r="R957" s="3">
        <v>0</v>
      </c>
      <c r="S957" s="4">
        <v>0</v>
      </c>
      <c r="T957" s="4">
        <v>20</v>
      </c>
      <c r="U957" s="4">
        <v>88</v>
      </c>
      <c r="V957" s="4">
        <v>0</v>
      </c>
      <c r="W957" s="4">
        <v>1564.59</v>
      </c>
      <c r="X957" s="4">
        <v>365.5</v>
      </c>
      <c r="Y957" s="4"/>
      <c r="Z957" s="4">
        <v>1923.7175020527629</v>
      </c>
      <c r="AA957" s="4">
        <v>381.42546590200942</v>
      </c>
      <c r="AB957" s="4">
        <v>0</v>
      </c>
      <c r="AC957" s="4">
        <v>54192.703829999999</v>
      </c>
      <c r="AD957" s="4">
        <v>12659.8235</v>
      </c>
      <c r="AE957" s="4">
        <v>0</v>
      </c>
      <c r="AF957" s="4">
        <v>66631.803118601558</v>
      </c>
      <c r="AG957" s="4">
        <v>13211.433862447901</v>
      </c>
    </row>
    <row r="958" spans="1:33" ht="11.25" customHeight="1" x14ac:dyDescent="0.25">
      <c r="A958" s="3" t="s">
        <v>21</v>
      </c>
      <c r="B958" s="3" t="s">
        <v>41</v>
      </c>
      <c r="C958" s="3" t="s">
        <v>42</v>
      </c>
      <c r="D958" s="3" t="s">
        <v>46</v>
      </c>
      <c r="E958" s="3" t="s">
        <v>25</v>
      </c>
      <c r="F958" s="3" t="s">
        <v>25</v>
      </c>
      <c r="G958" s="3" t="s">
        <v>25</v>
      </c>
      <c r="H958" s="3" t="s">
        <v>34</v>
      </c>
      <c r="I958" s="6">
        <v>44378</v>
      </c>
      <c r="J958" s="4">
        <v>0</v>
      </c>
      <c r="K958" s="4">
        <v>0</v>
      </c>
      <c r="L958" s="4">
        <v>242.22</v>
      </c>
      <c r="M958" s="4">
        <v>242.22</v>
      </c>
      <c r="N958" s="4">
        <v>242.22</v>
      </c>
      <c r="O958" s="4">
        <v>242.22</v>
      </c>
      <c r="P958" s="4">
        <v>0</v>
      </c>
      <c r="Q958" s="3" t="s">
        <v>26</v>
      </c>
      <c r="R958" s="3">
        <v>0</v>
      </c>
      <c r="S958" s="4">
        <v>0</v>
      </c>
      <c r="T958" s="4">
        <v>20</v>
      </c>
      <c r="U958" s="4">
        <v>88</v>
      </c>
      <c r="V958" s="4">
        <v>0</v>
      </c>
      <c r="W958" s="4">
        <v>1564.59</v>
      </c>
      <c r="X958" s="4">
        <v>365.5</v>
      </c>
      <c r="Y958" s="4"/>
      <c r="Z958" s="4">
        <v>1923.7175020527629</v>
      </c>
      <c r="AA958" s="4">
        <v>381.42546590200942</v>
      </c>
      <c r="AB958" s="4">
        <v>0</v>
      </c>
      <c r="AC958" s="4">
        <v>378974.98979999998</v>
      </c>
      <c r="AD958" s="4">
        <v>88531.41</v>
      </c>
      <c r="AE958" s="4">
        <v>0</v>
      </c>
      <c r="AF958" s="4">
        <v>465962.85334722023</v>
      </c>
      <c r="AG958" s="4">
        <v>92388.876350784718</v>
      </c>
    </row>
    <row r="959" spans="1:33" ht="11.25" customHeight="1" x14ac:dyDescent="0.25">
      <c r="A959" s="3" t="s">
        <v>28</v>
      </c>
      <c r="B959" s="3" t="s">
        <v>41</v>
      </c>
      <c r="C959" s="3" t="s">
        <v>42</v>
      </c>
      <c r="D959" s="3" t="s">
        <v>46</v>
      </c>
      <c r="E959" s="3" t="s">
        <v>25</v>
      </c>
      <c r="F959" s="3" t="s">
        <v>25</v>
      </c>
      <c r="G959" s="3" t="s">
        <v>25</v>
      </c>
      <c r="H959" s="3" t="s">
        <v>34</v>
      </c>
      <c r="I959" s="6">
        <v>44378</v>
      </c>
      <c r="J959" s="4">
        <v>0</v>
      </c>
      <c r="K959" s="4">
        <v>0</v>
      </c>
      <c r="L959" s="4">
        <v>34.957999999999998</v>
      </c>
      <c r="M959" s="4">
        <v>34.957999999999998</v>
      </c>
      <c r="N959" s="4">
        <v>34.957999999999998</v>
      </c>
      <c r="O959" s="4">
        <v>34.957999999999998</v>
      </c>
      <c r="P959" s="4">
        <v>0</v>
      </c>
      <c r="Q959" s="3" t="s">
        <v>26</v>
      </c>
      <c r="R959" s="3">
        <v>0</v>
      </c>
      <c r="S959" s="4">
        <v>0</v>
      </c>
      <c r="T959" s="4">
        <v>20</v>
      </c>
      <c r="U959" s="4">
        <v>88</v>
      </c>
      <c r="V959" s="4">
        <v>0</v>
      </c>
      <c r="W959" s="4">
        <v>1564.59</v>
      </c>
      <c r="X959" s="4">
        <v>365.5</v>
      </c>
      <c r="Y959" s="4"/>
      <c r="Z959" s="4">
        <v>1923.7175020527629</v>
      </c>
      <c r="AA959" s="4">
        <v>381.42546590200942</v>
      </c>
      <c r="AB959" s="4">
        <v>0</v>
      </c>
      <c r="AC959" s="4">
        <v>54694.937219999993</v>
      </c>
      <c r="AD959" s="4">
        <v>12777.148999999999</v>
      </c>
      <c r="AE959" s="4">
        <v>0</v>
      </c>
      <c r="AF959" s="4">
        <v>67249.316436760477</v>
      </c>
      <c r="AG959" s="4">
        <v>13333.871437002445</v>
      </c>
    </row>
    <row r="960" spans="1:33" ht="11.25" customHeight="1" x14ac:dyDescent="0.25">
      <c r="A960" s="3" t="s">
        <v>21</v>
      </c>
      <c r="B960" s="3" t="s">
        <v>41</v>
      </c>
      <c r="C960" s="3" t="s">
        <v>42</v>
      </c>
      <c r="D960" s="3" t="s">
        <v>46</v>
      </c>
      <c r="E960" s="3" t="s">
        <v>25</v>
      </c>
      <c r="F960" s="3" t="s">
        <v>25</v>
      </c>
      <c r="G960" s="3" t="s">
        <v>25</v>
      </c>
      <c r="H960" s="3" t="s">
        <v>34</v>
      </c>
      <c r="I960" s="6">
        <v>44409</v>
      </c>
      <c r="J960" s="4">
        <v>0</v>
      </c>
      <c r="K960" s="4">
        <v>0</v>
      </c>
      <c r="L960" s="4">
        <v>253.83799999999999</v>
      </c>
      <c r="M960" s="4">
        <v>253.83799999999999</v>
      </c>
      <c r="N960" s="4">
        <v>253.83799999999999</v>
      </c>
      <c r="O960" s="4">
        <v>253.83799999999999</v>
      </c>
      <c r="P960" s="4">
        <v>0</v>
      </c>
      <c r="Q960" s="3" t="s">
        <v>26</v>
      </c>
      <c r="R960" s="3">
        <v>0</v>
      </c>
      <c r="S960" s="4">
        <v>0</v>
      </c>
      <c r="T960" s="4">
        <v>20</v>
      </c>
      <c r="U960" s="4">
        <v>88</v>
      </c>
      <c r="V960" s="4">
        <v>0</v>
      </c>
      <c r="W960" s="4">
        <v>1564.59</v>
      </c>
      <c r="X960" s="4">
        <v>365.5</v>
      </c>
      <c r="Y960" s="4"/>
      <c r="Z960" s="4">
        <v>1923.7175020527629</v>
      </c>
      <c r="AA960" s="4">
        <v>381.42546590200942</v>
      </c>
      <c r="AB960" s="4">
        <v>0</v>
      </c>
      <c r="AC960" s="4">
        <v>397152.39641999995</v>
      </c>
      <c r="AD960" s="4">
        <v>92777.789000000004</v>
      </c>
      <c r="AE960" s="4">
        <v>0</v>
      </c>
      <c r="AF960" s="4">
        <v>488312.60328606924</v>
      </c>
      <c r="AG960" s="4">
        <v>96820.277413634263</v>
      </c>
    </row>
    <row r="961" spans="1:33" ht="11.25" customHeight="1" x14ac:dyDescent="0.25">
      <c r="A961" s="3" t="s">
        <v>28</v>
      </c>
      <c r="B961" s="3" t="s">
        <v>41</v>
      </c>
      <c r="C961" s="3" t="s">
        <v>42</v>
      </c>
      <c r="D961" s="3" t="s">
        <v>46</v>
      </c>
      <c r="E961" s="3" t="s">
        <v>25</v>
      </c>
      <c r="F961" s="3" t="s">
        <v>25</v>
      </c>
      <c r="G961" s="3" t="s">
        <v>25</v>
      </c>
      <c r="H961" s="3" t="s">
        <v>34</v>
      </c>
      <c r="I961" s="6">
        <v>44409</v>
      </c>
      <c r="J961" s="4">
        <v>0</v>
      </c>
      <c r="K961" s="4">
        <v>0</v>
      </c>
      <c r="L961" s="4">
        <v>35.442999999999998</v>
      </c>
      <c r="M961" s="4">
        <v>35.442999999999998</v>
      </c>
      <c r="N961" s="4">
        <v>35.442999999999998</v>
      </c>
      <c r="O961" s="4">
        <v>35.442999999999998</v>
      </c>
      <c r="P961" s="4">
        <v>0</v>
      </c>
      <c r="Q961" s="3" t="s">
        <v>26</v>
      </c>
      <c r="R961" s="3">
        <v>0</v>
      </c>
      <c r="S961" s="4">
        <v>0</v>
      </c>
      <c r="T961" s="4">
        <v>20</v>
      </c>
      <c r="U961" s="4">
        <v>88</v>
      </c>
      <c r="V961" s="4">
        <v>0</v>
      </c>
      <c r="W961" s="4">
        <v>1564.59</v>
      </c>
      <c r="X961" s="4">
        <v>365.5</v>
      </c>
      <c r="Y961" s="4"/>
      <c r="Z961" s="4">
        <v>1923.7175020527629</v>
      </c>
      <c r="AA961" s="4">
        <v>381.42546590200942</v>
      </c>
      <c r="AB961" s="4">
        <v>0</v>
      </c>
      <c r="AC961" s="4">
        <v>55453.763369999993</v>
      </c>
      <c r="AD961" s="4">
        <v>12954.416499999999</v>
      </c>
      <c r="AE961" s="4">
        <v>0</v>
      </c>
      <c r="AF961" s="4">
        <v>68182.319425256079</v>
      </c>
      <c r="AG961" s="4">
        <v>13518.862787964919</v>
      </c>
    </row>
    <row r="962" spans="1:33" ht="11.25" customHeight="1" x14ac:dyDescent="0.25">
      <c r="A962" s="3" t="s">
        <v>21</v>
      </c>
      <c r="B962" s="3" t="s">
        <v>41</v>
      </c>
      <c r="C962" s="3" t="s">
        <v>42</v>
      </c>
      <c r="D962" s="3" t="s">
        <v>46</v>
      </c>
      <c r="E962" s="3" t="s">
        <v>25</v>
      </c>
      <c r="F962" s="3" t="s">
        <v>25</v>
      </c>
      <c r="G962" s="3" t="s">
        <v>25</v>
      </c>
      <c r="H962" s="3" t="s">
        <v>34</v>
      </c>
      <c r="I962" s="6">
        <v>44440</v>
      </c>
      <c r="J962" s="4">
        <v>0</v>
      </c>
      <c r="K962" s="4">
        <v>0</v>
      </c>
      <c r="L962" s="4">
        <v>262.44099999999997</v>
      </c>
      <c r="M962" s="4">
        <v>262.44099999999997</v>
      </c>
      <c r="N962" s="4">
        <v>262.44099999999997</v>
      </c>
      <c r="O962" s="4">
        <v>262.44099999999997</v>
      </c>
      <c r="P962" s="4">
        <v>0</v>
      </c>
      <c r="Q962" s="3" t="s">
        <v>26</v>
      </c>
      <c r="R962" s="3">
        <v>0</v>
      </c>
      <c r="S962" s="4">
        <v>0</v>
      </c>
      <c r="T962" s="4">
        <v>20</v>
      </c>
      <c r="U962" s="4">
        <v>88</v>
      </c>
      <c r="V962" s="4">
        <v>0</v>
      </c>
      <c r="W962" s="4">
        <v>1564.59</v>
      </c>
      <c r="X962" s="4">
        <v>365.5</v>
      </c>
      <c r="Y962" s="4"/>
      <c r="Z962" s="4">
        <v>1923.7175020527629</v>
      </c>
      <c r="AA962" s="4">
        <v>381.42546590200942</v>
      </c>
      <c r="AB962" s="4">
        <v>0</v>
      </c>
      <c r="AC962" s="4">
        <v>410612.56418999995</v>
      </c>
      <c r="AD962" s="4">
        <v>95922.185499999992</v>
      </c>
      <c r="AE962" s="4">
        <v>0</v>
      </c>
      <c r="AF962" s="4">
        <v>504862.34495622909</v>
      </c>
      <c r="AG962" s="4">
        <v>100101.68069678925</v>
      </c>
    </row>
    <row r="963" spans="1:33" ht="11.25" customHeight="1" x14ac:dyDescent="0.25">
      <c r="A963" s="3" t="s">
        <v>28</v>
      </c>
      <c r="B963" s="3" t="s">
        <v>41</v>
      </c>
      <c r="C963" s="3" t="s">
        <v>42</v>
      </c>
      <c r="D963" s="3" t="s">
        <v>46</v>
      </c>
      <c r="E963" s="3" t="s">
        <v>25</v>
      </c>
      <c r="F963" s="3" t="s">
        <v>25</v>
      </c>
      <c r="G963" s="3" t="s">
        <v>25</v>
      </c>
      <c r="H963" s="3" t="s">
        <v>34</v>
      </c>
      <c r="I963" s="6">
        <v>44440</v>
      </c>
      <c r="J963" s="4">
        <v>0</v>
      </c>
      <c r="K963" s="4">
        <v>0</v>
      </c>
      <c r="L963" s="4">
        <v>37.533999999999999</v>
      </c>
      <c r="M963" s="4">
        <v>37.533999999999999</v>
      </c>
      <c r="N963" s="4">
        <v>37.533999999999999</v>
      </c>
      <c r="O963" s="4">
        <v>37.533999999999999</v>
      </c>
      <c r="P963" s="4">
        <v>0</v>
      </c>
      <c r="Q963" s="3" t="s">
        <v>26</v>
      </c>
      <c r="R963" s="3">
        <v>0</v>
      </c>
      <c r="S963" s="4">
        <v>0</v>
      </c>
      <c r="T963" s="4">
        <v>20</v>
      </c>
      <c r="U963" s="4">
        <v>88</v>
      </c>
      <c r="V963" s="4">
        <v>0</v>
      </c>
      <c r="W963" s="4">
        <v>1564.59</v>
      </c>
      <c r="X963" s="4">
        <v>365.5</v>
      </c>
      <c r="Y963" s="4"/>
      <c r="Z963" s="4">
        <v>1923.7175020527629</v>
      </c>
      <c r="AA963" s="4">
        <v>381.42546590200942</v>
      </c>
      <c r="AB963" s="4">
        <v>0</v>
      </c>
      <c r="AC963" s="4">
        <v>58725.321059999995</v>
      </c>
      <c r="AD963" s="4">
        <v>13718.677</v>
      </c>
      <c r="AE963" s="4">
        <v>0</v>
      </c>
      <c r="AF963" s="4">
        <v>72204.812722048402</v>
      </c>
      <c r="AG963" s="4">
        <v>14316.42343716602</v>
      </c>
    </row>
    <row r="964" spans="1:33" ht="11.25" customHeight="1" x14ac:dyDescent="0.25">
      <c r="A964" s="3" t="s">
        <v>21</v>
      </c>
      <c r="B964" s="3" t="s">
        <v>41</v>
      </c>
      <c r="C964" s="3" t="s">
        <v>42</v>
      </c>
      <c r="D964" s="3" t="s">
        <v>46</v>
      </c>
      <c r="E964" s="3" t="s">
        <v>25</v>
      </c>
      <c r="F964" s="3" t="s">
        <v>25</v>
      </c>
      <c r="G964" s="3" t="s">
        <v>25</v>
      </c>
      <c r="H964" s="3" t="s">
        <v>34</v>
      </c>
      <c r="I964" s="6">
        <v>44470</v>
      </c>
      <c r="J964" s="4">
        <v>0</v>
      </c>
      <c r="K964" s="4">
        <v>0</v>
      </c>
      <c r="L964" s="4">
        <v>278.59199999999998</v>
      </c>
      <c r="M964" s="4">
        <v>278.59199999999998</v>
      </c>
      <c r="N964" s="4">
        <v>278.59199999999998</v>
      </c>
      <c r="O964" s="4">
        <v>278.59199999999998</v>
      </c>
      <c r="P964" s="4">
        <v>0</v>
      </c>
      <c r="Q964" s="3" t="s">
        <v>26</v>
      </c>
      <c r="R964" s="3">
        <v>0</v>
      </c>
      <c r="S964" s="4">
        <v>0</v>
      </c>
      <c r="T964" s="4">
        <v>20</v>
      </c>
      <c r="U964" s="4">
        <v>88</v>
      </c>
      <c r="V964" s="4">
        <v>0</v>
      </c>
      <c r="W964" s="4">
        <v>1564.59</v>
      </c>
      <c r="X964" s="4">
        <v>365.5</v>
      </c>
      <c r="Y964" s="4"/>
      <c r="Z964" s="4">
        <v>1923.7175020527629</v>
      </c>
      <c r="AA964" s="4">
        <v>381.42546590200942</v>
      </c>
      <c r="AB964" s="4">
        <v>0</v>
      </c>
      <c r="AC964" s="4">
        <v>435882.25727999996</v>
      </c>
      <c r="AD964" s="4">
        <v>101825.37599999999</v>
      </c>
      <c r="AE964" s="4">
        <v>0</v>
      </c>
      <c r="AF964" s="4">
        <v>535932.3063318833</v>
      </c>
      <c r="AG964" s="4">
        <v>106262.08339657261</v>
      </c>
    </row>
    <row r="965" spans="1:33" ht="11.25" customHeight="1" x14ac:dyDescent="0.25">
      <c r="A965" s="3" t="s">
        <v>28</v>
      </c>
      <c r="B965" s="3" t="s">
        <v>41</v>
      </c>
      <c r="C965" s="3" t="s">
        <v>42</v>
      </c>
      <c r="D965" s="3" t="s">
        <v>46</v>
      </c>
      <c r="E965" s="3" t="s">
        <v>25</v>
      </c>
      <c r="F965" s="3" t="s">
        <v>25</v>
      </c>
      <c r="G965" s="3" t="s">
        <v>25</v>
      </c>
      <c r="H965" s="3" t="s">
        <v>34</v>
      </c>
      <c r="I965" s="6">
        <v>44470</v>
      </c>
      <c r="J965" s="4">
        <v>0</v>
      </c>
      <c r="K965" s="4">
        <v>0</v>
      </c>
      <c r="L965" s="4">
        <v>39.609000000000002</v>
      </c>
      <c r="M965" s="4">
        <v>39.609000000000002</v>
      </c>
      <c r="N965" s="4">
        <v>39.609000000000002</v>
      </c>
      <c r="O965" s="4">
        <v>39.609000000000002</v>
      </c>
      <c r="P965" s="4">
        <v>0</v>
      </c>
      <c r="Q965" s="3" t="s">
        <v>26</v>
      </c>
      <c r="R965" s="3">
        <v>0</v>
      </c>
      <c r="S965" s="4">
        <v>0</v>
      </c>
      <c r="T965" s="4">
        <v>20</v>
      </c>
      <c r="U965" s="4">
        <v>88</v>
      </c>
      <c r="V965" s="4">
        <v>0</v>
      </c>
      <c r="W965" s="4">
        <v>1564.59</v>
      </c>
      <c r="X965" s="4">
        <v>365.5</v>
      </c>
      <c r="Y965" s="4"/>
      <c r="Z965" s="4">
        <v>1923.7175020527629</v>
      </c>
      <c r="AA965" s="4">
        <v>381.42546590200942</v>
      </c>
      <c r="AB965" s="4">
        <v>0</v>
      </c>
      <c r="AC965" s="4">
        <v>61971.845309999997</v>
      </c>
      <c r="AD965" s="4">
        <v>14477.0895</v>
      </c>
      <c r="AE965" s="4">
        <v>0</v>
      </c>
      <c r="AF965" s="4">
        <v>76196.526538807884</v>
      </c>
      <c r="AG965" s="4">
        <v>15107.881278912691</v>
      </c>
    </row>
    <row r="966" spans="1:33" ht="11.25" customHeight="1" x14ac:dyDescent="0.25">
      <c r="A966" s="3" t="s">
        <v>21</v>
      </c>
      <c r="B966" s="3" t="s">
        <v>41</v>
      </c>
      <c r="C966" s="3" t="s">
        <v>42</v>
      </c>
      <c r="D966" s="3" t="s">
        <v>46</v>
      </c>
      <c r="E966" s="3" t="s">
        <v>25</v>
      </c>
      <c r="F966" s="3" t="s">
        <v>25</v>
      </c>
      <c r="G966" s="3" t="s">
        <v>25</v>
      </c>
      <c r="H966" s="3" t="s">
        <v>34</v>
      </c>
      <c r="I966" s="6">
        <v>44501</v>
      </c>
      <c r="J966" s="4">
        <v>0</v>
      </c>
      <c r="K966" s="4">
        <v>0</v>
      </c>
      <c r="L966" s="4">
        <v>312.45400000000001</v>
      </c>
      <c r="M966" s="4">
        <v>312.45400000000001</v>
      </c>
      <c r="N966" s="4">
        <v>312.45400000000001</v>
      </c>
      <c r="O966" s="4">
        <v>312.45400000000001</v>
      </c>
      <c r="P966" s="4">
        <v>0</v>
      </c>
      <c r="Q966" s="3" t="s">
        <v>26</v>
      </c>
      <c r="R966" s="3">
        <v>0</v>
      </c>
      <c r="S966" s="4">
        <v>0</v>
      </c>
      <c r="T966" s="4">
        <v>20</v>
      </c>
      <c r="U966" s="4">
        <v>88</v>
      </c>
      <c r="V966" s="4">
        <v>0</v>
      </c>
      <c r="W966" s="4">
        <v>1564.59</v>
      </c>
      <c r="X966" s="4">
        <v>365.5</v>
      </c>
      <c r="Y966" s="4"/>
      <c r="Z966" s="4">
        <v>1923.7175020527629</v>
      </c>
      <c r="AA966" s="4">
        <v>381.42546590200942</v>
      </c>
      <c r="AB966" s="4">
        <v>0</v>
      </c>
      <c r="AC966" s="4">
        <v>488862.40385999996</v>
      </c>
      <c r="AD966" s="4">
        <v>114201.93700000001</v>
      </c>
      <c r="AE966" s="4">
        <v>0</v>
      </c>
      <c r="AF966" s="4">
        <v>601073.22838639398</v>
      </c>
      <c r="AG966" s="4">
        <v>119177.91252294646</v>
      </c>
    </row>
    <row r="967" spans="1:33" ht="11.25" customHeight="1" x14ac:dyDescent="0.25">
      <c r="A967" s="3" t="s">
        <v>28</v>
      </c>
      <c r="B967" s="3" t="s">
        <v>41</v>
      </c>
      <c r="C967" s="3" t="s">
        <v>42</v>
      </c>
      <c r="D967" s="3" t="s">
        <v>46</v>
      </c>
      <c r="E967" s="3" t="s">
        <v>25</v>
      </c>
      <c r="F967" s="3" t="s">
        <v>25</v>
      </c>
      <c r="G967" s="3" t="s">
        <v>25</v>
      </c>
      <c r="H967" s="3" t="s">
        <v>34</v>
      </c>
      <c r="I967" s="6">
        <v>44501</v>
      </c>
      <c r="J967" s="4">
        <v>0</v>
      </c>
      <c r="K967" s="4">
        <v>0</v>
      </c>
      <c r="L967" s="4">
        <v>41.402000000000001</v>
      </c>
      <c r="M967" s="4">
        <v>41.402000000000001</v>
      </c>
      <c r="N967" s="4">
        <v>41.402000000000001</v>
      </c>
      <c r="O967" s="4">
        <v>41.402000000000001</v>
      </c>
      <c r="P967" s="4">
        <v>0</v>
      </c>
      <c r="Q967" s="3" t="s">
        <v>26</v>
      </c>
      <c r="R967" s="3">
        <v>0</v>
      </c>
      <c r="S967" s="4">
        <v>0</v>
      </c>
      <c r="T967" s="4">
        <v>20</v>
      </c>
      <c r="U967" s="4">
        <v>88</v>
      </c>
      <c r="V967" s="4">
        <v>0</v>
      </c>
      <c r="W967" s="4">
        <v>1564.59</v>
      </c>
      <c r="X967" s="4">
        <v>365.5</v>
      </c>
      <c r="Y967" s="4"/>
      <c r="Z967" s="4">
        <v>1923.7175020527629</v>
      </c>
      <c r="AA967" s="4">
        <v>381.42546590200942</v>
      </c>
      <c r="AB967" s="4">
        <v>0</v>
      </c>
      <c r="AC967" s="4">
        <v>64777.155180000002</v>
      </c>
      <c r="AD967" s="4">
        <v>15132.431</v>
      </c>
      <c r="AE967" s="4">
        <v>0</v>
      </c>
      <c r="AF967" s="4">
        <v>79645.752019988489</v>
      </c>
      <c r="AG967" s="4">
        <v>15791.777139274995</v>
      </c>
    </row>
    <row r="968" spans="1:33" ht="11.25" customHeight="1" x14ac:dyDescent="0.25">
      <c r="A968" s="3" t="s">
        <v>21</v>
      </c>
      <c r="B968" s="3" t="s">
        <v>41</v>
      </c>
      <c r="C968" s="3" t="s">
        <v>42</v>
      </c>
      <c r="D968" s="3" t="s">
        <v>46</v>
      </c>
      <c r="E968" s="3" t="s">
        <v>25</v>
      </c>
      <c r="F968" s="3" t="s">
        <v>25</v>
      </c>
      <c r="G968" s="3" t="s">
        <v>25</v>
      </c>
      <c r="H968" s="3" t="s">
        <v>34</v>
      </c>
      <c r="I968" s="6">
        <v>44531</v>
      </c>
      <c r="J968" s="4">
        <v>0</v>
      </c>
      <c r="K968" s="4">
        <v>0</v>
      </c>
      <c r="L968" s="4">
        <v>338.34800000000001</v>
      </c>
      <c r="M968" s="4">
        <v>338.34800000000001</v>
      </c>
      <c r="N968" s="4">
        <v>338.34800000000001</v>
      </c>
      <c r="O968" s="4">
        <v>338.34800000000001</v>
      </c>
      <c r="P968" s="4">
        <v>0</v>
      </c>
      <c r="Q968" s="3" t="s">
        <v>26</v>
      </c>
      <c r="R968" s="3">
        <v>0</v>
      </c>
      <c r="S968" s="4">
        <v>0</v>
      </c>
      <c r="T968" s="4">
        <v>20</v>
      </c>
      <c r="U968" s="4">
        <v>88</v>
      </c>
      <c r="V968" s="4">
        <v>0</v>
      </c>
      <c r="W968" s="4">
        <v>1564.59</v>
      </c>
      <c r="X968" s="4">
        <v>365.5</v>
      </c>
      <c r="Y968" s="4"/>
      <c r="Z968" s="4">
        <v>1923.7175020527629</v>
      </c>
      <c r="AA968" s="4">
        <v>381.42546590200942</v>
      </c>
      <c r="AB968" s="4">
        <v>0</v>
      </c>
      <c r="AC968" s="4">
        <v>529375.89731999999</v>
      </c>
      <c r="AD968" s="4">
        <v>123666.194</v>
      </c>
      <c r="AE968" s="4">
        <v>0</v>
      </c>
      <c r="AF968" s="4">
        <v>650885.96938454825</v>
      </c>
      <c r="AG968" s="4">
        <v>129054.54353701309</v>
      </c>
    </row>
    <row r="969" spans="1:33" ht="11.25" customHeight="1" x14ac:dyDescent="0.25">
      <c r="A969" s="3" t="s">
        <v>28</v>
      </c>
      <c r="B969" s="3" t="s">
        <v>41</v>
      </c>
      <c r="C969" s="3" t="s">
        <v>42</v>
      </c>
      <c r="D969" s="3" t="s">
        <v>46</v>
      </c>
      <c r="E969" s="3" t="s">
        <v>25</v>
      </c>
      <c r="F969" s="3" t="s">
        <v>25</v>
      </c>
      <c r="G969" s="3" t="s">
        <v>25</v>
      </c>
      <c r="H969" s="3" t="s">
        <v>34</v>
      </c>
      <c r="I969" s="6">
        <v>44531</v>
      </c>
      <c r="J969" s="4">
        <v>0</v>
      </c>
      <c r="K969" s="4">
        <v>0</v>
      </c>
      <c r="L969" s="4">
        <v>48.518999999999998</v>
      </c>
      <c r="M969" s="4">
        <v>48.518999999999998</v>
      </c>
      <c r="N969" s="4">
        <v>48.518999999999998</v>
      </c>
      <c r="O969" s="4">
        <v>48.518999999999998</v>
      </c>
      <c r="P969" s="4">
        <v>0</v>
      </c>
      <c r="Q969" s="3" t="s">
        <v>26</v>
      </c>
      <c r="R969" s="3">
        <v>0</v>
      </c>
      <c r="S969" s="4">
        <v>0</v>
      </c>
      <c r="T969" s="4">
        <v>20</v>
      </c>
      <c r="U969" s="4">
        <v>88</v>
      </c>
      <c r="V969" s="4">
        <v>0</v>
      </c>
      <c r="W969" s="4">
        <v>1564.59</v>
      </c>
      <c r="X969" s="4">
        <v>365.5</v>
      </c>
      <c r="Y969" s="4"/>
      <c r="Z969" s="4">
        <v>1923.7175020527629</v>
      </c>
      <c r="AA969" s="4">
        <v>381.42546590200942</v>
      </c>
      <c r="AB969" s="4">
        <v>0</v>
      </c>
      <c r="AC969" s="4">
        <v>75912.342209999988</v>
      </c>
      <c r="AD969" s="4">
        <v>17733.694499999998</v>
      </c>
      <c r="AE969" s="4">
        <v>0</v>
      </c>
      <c r="AF969" s="4">
        <v>93336.849482097998</v>
      </c>
      <c r="AG969" s="4">
        <v>18506.382180099594</v>
      </c>
    </row>
    <row r="970" spans="1:33" ht="11.25" customHeight="1" x14ac:dyDescent="0.25">
      <c r="A970" s="3" t="s">
        <v>21</v>
      </c>
      <c r="B970" s="3" t="s">
        <v>41</v>
      </c>
      <c r="C970" s="3" t="s">
        <v>42</v>
      </c>
      <c r="D970" s="3" t="s">
        <v>46</v>
      </c>
      <c r="E970" s="3" t="s">
        <v>25</v>
      </c>
      <c r="F970" s="3" t="s">
        <v>25</v>
      </c>
      <c r="G970" s="3" t="s">
        <v>25</v>
      </c>
      <c r="H970" s="3" t="s">
        <v>34</v>
      </c>
      <c r="I970" s="6">
        <v>44562</v>
      </c>
      <c r="J970" s="4">
        <v>0</v>
      </c>
      <c r="K970" s="4">
        <v>0</v>
      </c>
      <c r="L970" s="4">
        <v>303.62200000000001</v>
      </c>
      <c r="M970" s="4">
        <v>303.62200000000001</v>
      </c>
      <c r="N970" s="4">
        <v>303.62200000000001</v>
      </c>
      <c r="O970" s="4">
        <v>303.62200000000001</v>
      </c>
      <c r="P970" s="4">
        <v>0</v>
      </c>
      <c r="Q970" s="3" t="s">
        <v>26</v>
      </c>
      <c r="R970" s="3">
        <v>0</v>
      </c>
      <c r="S970" s="4">
        <v>0</v>
      </c>
      <c r="T970" s="4">
        <v>20</v>
      </c>
      <c r="U970" s="4">
        <v>88</v>
      </c>
      <c r="V970" s="4">
        <v>0</v>
      </c>
      <c r="W970" s="4">
        <v>1564.59</v>
      </c>
      <c r="X970" s="4">
        <v>365.5</v>
      </c>
      <c r="Y970" s="4"/>
      <c r="Z970" s="4">
        <v>1923.7175020527629</v>
      </c>
      <c r="AA970" s="4">
        <v>381.42546590200942</v>
      </c>
      <c r="AB970" s="4">
        <v>0</v>
      </c>
      <c r="AC970" s="4">
        <v>475043.94497999997</v>
      </c>
      <c r="AD970" s="4">
        <v>110973.841</v>
      </c>
      <c r="AE970" s="4">
        <v>0</v>
      </c>
      <c r="AF970" s="4">
        <v>584082.95540826407</v>
      </c>
      <c r="AG970" s="4">
        <v>115809.16280809991</v>
      </c>
    </row>
    <row r="971" spans="1:33" ht="11.25" customHeight="1" x14ac:dyDescent="0.25">
      <c r="A971" s="3" t="s">
        <v>27</v>
      </c>
      <c r="B971" s="3" t="s">
        <v>41</v>
      </c>
      <c r="C971" s="3" t="s">
        <v>42</v>
      </c>
      <c r="D971" s="3" t="s">
        <v>46</v>
      </c>
      <c r="E971" s="3" t="s">
        <v>25</v>
      </c>
      <c r="F971" s="3" t="s">
        <v>25</v>
      </c>
      <c r="G971" s="3" t="s">
        <v>25</v>
      </c>
      <c r="H971" s="3" t="s">
        <v>34</v>
      </c>
      <c r="I971" s="6">
        <v>44562</v>
      </c>
      <c r="J971" s="4">
        <v>0</v>
      </c>
      <c r="K971" s="4">
        <v>0</v>
      </c>
      <c r="L971" s="4">
        <v>3.6999999999999998E-2</v>
      </c>
      <c r="M971" s="4">
        <v>3.6999999999999998E-2</v>
      </c>
      <c r="N971" s="4">
        <v>3.6999999999999998E-2</v>
      </c>
      <c r="O971" s="4">
        <v>3.6999999999999998E-2</v>
      </c>
      <c r="P971" s="4">
        <v>0</v>
      </c>
      <c r="Q971" s="3" t="s">
        <v>26</v>
      </c>
      <c r="R971" s="3">
        <v>0</v>
      </c>
      <c r="S971" s="4">
        <v>0</v>
      </c>
      <c r="T971" s="4">
        <v>20</v>
      </c>
      <c r="U971" s="4">
        <v>88</v>
      </c>
      <c r="V971" s="4">
        <v>0</v>
      </c>
      <c r="W971" s="4">
        <v>1564.59</v>
      </c>
      <c r="X971" s="4">
        <v>365.5</v>
      </c>
      <c r="Y971" s="4"/>
      <c r="Z971" s="4">
        <v>1923.7175020527629</v>
      </c>
      <c r="AA971" s="4">
        <v>381.42546590200942</v>
      </c>
      <c r="AB971" s="4">
        <v>0</v>
      </c>
      <c r="AC971" s="4">
        <v>57.889829999999996</v>
      </c>
      <c r="AD971" s="4">
        <v>13.523499999999999</v>
      </c>
      <c r="AE971" s="4">
        <v>0</v>
      </c>
      <c r="AF971" s="4">
        <v>71.177547575952232</v>
      </c>
      <c r="AG971" s="4">
        <v>14.112742238374349</v>
      </c>
    </row>
    <row r="972" spans="1:33" ht="11.25" customHeight="1" x14ac:dyDescent="0.25">
      <c r="A972" s="3" t="s">
        <v>28</v>
      </c>
      <c r="B972" s="3" t="s">
        <v>41</v>
      </c>
      <c r="C972" s="3" t="s">
        <v>42</v>
      </c>
      <c r="D972" s="3" t="s">
        <v>46</v>
      </c>
      <c r="E972" s="3" t="s">
        <v>25</v>
      </c>
      <c r="F972" s="3" t="s">
        <v>25</v>
      </c>
      <c r="G972" s="3" t="s">
        <v>25</v>
      </c>
      <c r="H972" s="3" t="s">
        <v>34</v>
      </c>
      <c r="I972" s="6">
        <v>44562</v>
      </c>
      <c r="J972" s="4">
        <v>0</v>
      </c>
      <c r="K972" s="4">
        <v>0</v>
      </c>
      <c r="L972" s="4">
        <v>45.499000000000002</v>
      </c>
      <c r="M972" s="4">
        <v>45.499000000000002</v>
      </c>
      <c r="N972" s="4">
        <v>45.499000000000002</v>
      </c>
      <c r="O972" s="4">
        <v>45.499000000000002</v>
      </c>
      <c r="P972" s="4">
        <v>0</v>
      </c>
      <c r="Q972" s="3" t="s">
        <v>26</v>
      </c>
      <c r="R972" s="3">
        <v>0</v>
      </c>
      <c r="S972" s="4">
        <v>0</v>
      </c>
      <c r="T972" s="4">
        <v>20</v>
      </c>
      <c r="U972" s="4">
        <v>88</v>
      </c>
      <c r="V972" s="4">
        <v>0</v>
      </c>
      <c r="W972" s="4">
        <v>1564.59</v>
      </c>
      <c r="X972" s="4">
        <v>365.5</v>
      </c>
      <c r="Y972" s="4"/>
      <c r="Z972" s="4">
        <v>1923.7175020527629</v>
      </c>
      <c r="AA972" s="4">
        <v>381.42546590200942</v>
      </c>
      <c r="AB972" s="4">
        <v>0</v>
      </c>
      <c r="AC972" s="4">
        <v>71187.280410000007</v>
      </c>
      <c r="AD972" s="4">
        <v>16629.8845</v>
      </c>
      <c r="AE972" s="4">
        <v>0</v>
      </c>
      <c r="AF972" s="4">
        <v>87527.222625898663</v>
      </c>
      <c r="AG972" s="4">
        <v>17354.477273075529</v>
      </c>
    </row>
    <row r="973" spans="1:33" ht="11.25" customHeight="1" x14ac:dyDescent="0.25">
      <c r="A973" s="3" t="s">
        <v>21</v>
      </c>
      <c r="B973" s="3" t="s">
        <v>41</v>
      </c>
      <c r="C973" s="3" t="s">
        <v>42</v>
      </c>
      <c r="D973" s="3" t="s">
        <v>46</v>
      </c>
      <c r="E973" s="3" t="s">
        <v>25</v>
      </c>
      <c r="F973" s="3" t="s">
        <v>25</v>
      </c>
      <c r="G973" s="3" t="s">
        <v>25</v>
      </c>
      <c r="H973" s="3" t="s">
        <v>34</v>
      </c>
      <c r="I973" s="6">
        <v>44593</v>
      </c>
      <c r="J973" s="4">
        <v>0</v>
      </c>
      <c r="K973" s="4">
        <v>0</v>
      </c>
      <c r="L973" s="4">
        <v>307.774</v>
      </c>
      <c r="M973" s="4">
        <v>307.774</v>
      </c>
      <c r="N973" s="4">
        <v>307.774</v>
      </c>
      <c r="O973" s="4">
        <v>307.774</v>
      </c>
      <c r="P973" s="4">
        <v>0</v>
      </c>
      <c r="Q973" s="3" t="s">
        <v>26</v>
      </c>
      <c r="R973" s="3">
        <v>0</v>
      </c>
      <c r="S973" s="4">
        <v>0</v>
      </c>
      <c r="T973" s="4">
        <v>20</v>
      </c>
      <c r="U973" s="4">
        <v>88</v>
      </c>
      <c r="V973" s="4">
        <v>0</v>
      </c>
      <c r="W973" s="4">
        <v>1564.59</v>
      </c>
      <c r="X973" s="4">
        <v>365.5</v>
      </c>
      <c r="Y973" s="4"/>
      <c r="Z973" s="4">
        <v>1923.7175020527629</v>
      </c>
      <c r="AA973" s="4">
        <v>381.42546590200942</v>
      </c>
      <c r="AB973" s="4">
        <v>0</v>
      </c>
      <c r="AC973" s="4">
        <v>481540.12265999999</v>
      </c>
      <c r="AD973" s="4">
        <v>112491.397</v>
      </c>
      <c r="AE973" s="4">
        <v>0</v>
      </c>
      <c r="AF973" s="4">
        <v>592070.23047678708</v>
      </c>
      <c r="AG973" s="4">
        <v>117392.84134252505</v>
      </c>
    </row>
    <row r="974" spans="1:33" ht="11.25" customHeight="1" x14ac:dyDescent="0.25">
      <c r="A974" s="3" t="s">
        <v>27</v>
      </c>
      <c r="B974" s="3" t="s">
        <v>41</v>
      </c>
      <c r="C974" s="3" t="s">
        <v>42</v>
      </c>
      <c r="D974" s="3" t="s">
        <v>46</v>
      </c>
      <c r="E974" s="3" t="s">
        <v>25</v>
      </c>
      <c r="F974" s="3" t="s">
        <v>25</v>
      </c>
      <c r="G974" s="3" t="s">
        <v>25</v>
      </c>
      <c r="H974" s="3" t="s">
        <v>34</v>
      </c>
      <c r="I974" s="6">
        <v>44593</v>
      </c>
      <c r="J974" s="4">
        <v>0</v>
      </c>
      <c r="K974" s="4">
        <v>0</v>
      </c>
      <c r="L974" s="4">
        <v>11.238</v>
      </c>
      <c r="M974" s="4">
        <v>11.238</v>
      </c>
      <c r="N974" s="4">
        <v>11.238</v>
      </c>
      <c r="O974" s="4">
        <v>11.238</v>
      </c>
      <c r="P974" s="4">
        <v>0</v>
      </c>
      <c r="Q974" s="3" t="s">
        <v>26</v>
      </c>
      <c r="R974" s="3">
        <v>0</v>
      </c>
      <c r="S974" s="4">
        <v>0</v>
      </c>
      <c r="T974" s="4">
        <v>20</v>
      </c>
      <c r="U974" s="4">
        <v>88</v>
      </c>
      <c r="V974" s="4">
        <v>0</v>
      </c>
      <c r="W974" s="4">
        <v>1564.59</v>
      </c>
      <c r="X974" s="4">
        <v>365.5</v>
      </c>
      <c r="Y974" s="4"/>
      <c r="Z974" s="4">
        <v>1923.7175020527629</v>
      </c>
      <c r="AA974" s="4">
        <v>381.42546590200942</v>
      </c>
      <c r="AB974" s="4">
        <v>0</v>
      </c>
      <c r="AC974" s="4">
        <v>17582.862419999998</v>
      </c>
      <c r="AD974" s="4">
        <v>4107.4889999999996</v>
      </c>
      <c r="AE974" s="4">
        <v>0</v>
      </c>
      <c r="AF974" s="4">
        <v>21618.737288068947</v>
      </c>
      <c r="AG974" s="4">
        <v>4286.4593858067819</v>
      </c>
    </row>
    <row r="975" spans="1:33" ht="11.25" customHeight="1" x14ac:dyDescent="0.25">
      <c r="A975" s="3" t="s">
        <v>28</v>
      </c>
      <c r="B975" s="3" t="s">
        <v>41</v>
      </c>
      <c r="C975" s="3" t="s">
        <v>42</v>
      </c>
      <c r="D975" s="3" t="s">
        <v>46</v>
      </c>
      <c r="E975" s="3" t="s">
        <v>25</v>
      </c>
      <c r="F975" s="3" t="s">
        <v>25</v>
      </c>
      <c r="G975" s="3" t="s">
        <v>25</v>
      </c>
      <c r="H975" s="3" t="s">
        <v>34</v>
      </c>
      <c r="I975" s="6">
        <v>44593</v>
      </c>
      <c r="J975" s="4">
        <v>0</v>
      </c>
      <c r="K975" s="4">
        <v>0</v>
      </c>
      <c r="L975" s="4">
        <v>45.445</v>
      </c>
      <c r="M975" s="4">
        <v>45.445</v>
      </c>
      <c r="N975" s="4">
        <v>45.445</v>
      </c>
      <c r="O975" s="4">
        <v>45.445</v>
      </c>
      <c r="P975" s="4">
        <v>0</v>
      </c>
      <c r="Q975" s="3" t="s">
        <v>26</v>
      </c>
      <c r="R975" s="3">
        <v>0</v>
      </c>
      <c r="S975" s="4">
        <v>0</v>
      </c>
      <c r="T975" s="4">
        <v>20</v>
      </c>
      <c r="U975" s="4">
        <v>88</v>
      </c>
      <c r="V975" s="4">
        <v>0</v>
      </c>
      <c r="W975" s="4">
        <v>1564.59</v>
      </c>
      <c r="X975" s="4">
        <v>365.5</v>
      </c>
      <c r="Y975" s="4"/>
      <c r="Z975" s="4">
        <v>1923.7175020527629</v>
      </c>
      <c r="AA975" s="4">
        <v>381.42546590200942</v>
      </c>
      <c r="AB975" s="4">
        <v>0</v>
      </c>
      <c r="AC975" s="4">
        <v>71102.792549999998</v>
      </c>
      <c r="AD975" s="4">
        <v>16610.147499999999</v>
      </c>
      <c r="AE975" s="4">
        <v>0</v>
      </c>
      <c r="AF975" s="4">
        <v>87423.341880787819</v>
      </c>
      <c r="AG975" s="4">
        <v>17333.880297916818</v>
      </c>
    </row>
    <row r="976" spans="1:33" ht="11.25" customHeight="1" x14ac:dyDescent="0.25">
      <c r="A976" s="3" t="s">
        <v>56</v>
      </c>
      <c r="B976" s="3" t="s">
        <v>41</v>
      </c>
      <c r="C976" s="3" t="s">
        <v>42</v>
      </c>
      <c r="D976" s="3" t="s">
        <v>46</v>
      </c>
      <c r="E976" s="3" t="s">
        <v>25</v>
      </c>
      <c r="F976" s="3" t="s">
        <v>25</v>
      </c>
      <c r="G976" s="3" t="s">
        <v>25</v>
      </c>
      <c r="H976" s="3" t="s">
        <v>34</v>
      </c>
      <c r="I976" s="6">
        <v>44621</v>
      </c>
      <c r="J976" s="4">
        <v>0</v>
      </c>
      <c r="K976" s="4">
        <v>0</v>
      </c>
      <c r="L976" s="4">
        <v>307.774</v>
      </c>
      <c r="M976" s="4">
        <v>307.774</v>
      </c>
      <c r="N976" s="4">
        <v>307.774</v>
      </c>
      <c r="O976" s="4">
        <v>307.774</v>
      </c>
      <c r="P976" s="4">
        <v>0</v>
      </c>
      <c r="Q976" s="3" t="s">
        <v>26</v>
      </c>
      <c r="R976" s="3">
        <v>0</v>
      </c>
      <c r="S976" s="4">
        <v>0</v>
      </c>
      <c r="T976" s="4">
        <v>20</v>
      </c>
      <c r="U976" s="4">
        <v>88</v>
      </c>
      <c r="V976" s="4">
        <v>0</v>
      </c>
      <c r="W976" s="4">
        <v>1564.59</v>
      </c>
      <c r="X976" s="4">
        <v>365.5</v>
      </c>
      <c r="Y976" s="4"/>
      <c r="Z976" s="4">
        <v>1923.7175020527629</v>
      </c>
      <c r="AA976" s="4">
        <v>381.42546590200942</v>
      </c>
      <c r="AB976" s="4">
        <v>0</v>
      </c>
      <c r="AC976" s="4">
        <v>481540.12265999999</v>
      </c>
      <c r="AD976" s="4">
        <v>112491.397</v>
      </c>
      <c r="AE976" s="4">
        <v>0</v>
      </c>
      <c r="AF976" s="4">
        <v>592070.23047678708</v>
      </c>
      <c r="AG976" s="4">
        <v>117392.84134252505</v>
      </c>
    </row>
    <row r="977" spans="1:33" ht="11.25" customHeight="1" x14ac:dyDescent="0.25">
      <c r="A977" s="3" t="s">
        <v>56</v>
      </c>
      <c r="B977" s="3" t="s">
        <v>41</v>
      </c>
      <c r="C977" s="3" t="s">
        <v>42</v>
      </c>
      <c r="D977" s="3" t="s">
        <v>46</v>
      </c>
      <c r="E977" s="3" t="s">
        <v>25</v>
      </c>
      <c r="F977" s="3" t="s">
        <v>25</v>
      </c>
      <c r="G977" s="3" t="s">
        <v>25</v>
      </c>
      <c r="H977" s="3" t="s">
        <v>34</v>
      </c>
      <c r="I977" s="6">
        <v>44621</v>
      </c>
      <c r="J977" s="4">
        <v>0</v>
      </c>
      <c r="K977" s="4">
        <v>0</v>
      </c>
      <c r="L977" s="4">
        <v>11.238</v>
      </c>
      <c r="M977" s="4">
        <v>11.238</v>
      </c>
      <c r="N977" s="4">
        <v>11.238</v>
      </c>
      <c r="O977" s="4">
        <v>11.238</v>
      </c>
      <c r="P977" s="4">
        <v>0</v>
      </c>
      <c r="Q977" s="3" t="s">
        <v>26</v>
      </c>
      <c r="R977" s="3">
        <v>0</v>
      </c>
      <c r="S977" s="4">
        <v>0</v>
      </c>
      <c r="T977" s="4">
        <v>20</v>
      </c>
      <c r="U977" s="4">
        <v>88</v>
      </c>
      <c r="V977" s="4">
        <v>0</v>
      </c>
      <c r="W977" s="4">
        <v>1564.59</v>
      </c>
      <c r="X977" s="4">
        <v>365.5</v>
      </c>
      <c r="Y977" s="4"/>
      <c r="Z977" s="4">
        <v>1923.7175020527629</v>
      </c>
      <c r="AA977" s="4">
        <v>381.42546590200942</v>
      </c>
      <c r="AB977" s="4">
        <v>0</v>
      </c>
      <c r="AC977" s="4">
        <v>17582.862419999998</v>
      </c>
      <c r="AD977" s="4">
        <v>4107.4889999999996</v>
      </c>
      <c r="AE977" s="4">
        <v>0</v>
      </c>
      <c r="AF977" s="4">
        <v>21618.737288068947</v>
      </c>
      <c r="AG977" s="4">
        <v>4286.4593858067819</v>
      </c>
    </row>
    <row r="978" spans="1:33" ht="11.25" customHeight="1" x14ac:dyDescent="0.25">
      <c r="A978" s="3" t="s">
        <v>56</v>
      </c>
      <c r="B978" s="3" t="s">
        <v>41</v>
      </c>
      <c r="C978" s="3" t="s">
        <v>42</v>
      </c>
      <c r="D978" s="3" t="s">
        <v>46</v>
      </c>
      <c r="E978" s="3" t="s">
        <v>25</v>
      </c>
      <c r="F978" s="3" t="s">
        <v>25</v>
      </c>
      <c r="G978" s="3" t="s">
        <v>25</v>
      </c>
      <c r="H978" s="3" t="s">
        <v>34</v>
      </c>
      <c r="I978" s="6">
        <v>44621</v>
      </c>
      <c r="J978" s="4">
        <v>0</v>
      </c>
      <c r="K978" s="4">
        <v>0</v>
      </c>
      <c r="L978" s="4">
        <v>45.445</v>
      </c>
      <c r="M978" s="4">
        <v>45.445</v>
      </c>
      <c r="N978" s="4">
        <v>45.445</v>
      </c>
      <c r="O978" s="4">
        <v>45.445</v>
      </c>
      <c r="P978" s="4">
        <v>0</v>
      </c>
      <c r="Q978" s="3" t="s">
        <v>26</v>
      </c>
      <c r="R978" s="3">
        <v>0</v>
      </c>
      <c r="S978" s="4">
        <v>0</v>
      </c>
      <c r="T978" s="4">
        <v>20</v>
      </c>
      <c r="U978" s="4">
        <v>88</v>
      </c>
      <c r="V978" s="4">
        <v>0</v>
      </c>
      <c r="W978" s="4">
        <v>1564.59</v>
      </c>
      <c r="X978" s="4">
        <v>365.5</v>
      </c>
      <c r="Y978" s="4"/>
      <c r="Z978" s="4">
        <v>1923.7175020527629</v>
      </c>
      <c r="AA978" s="4">
        <v>381.42546590200942</v>
      </c>
      <c r="AB978" s="4">
        <v>0</v>
      </c>
      <c r="AC978" s="4">
        <v>71102.792549999998</v>
      </c>
      <c r="AD978" s="4">
        <v>16610.147499999999</v>
      </c>
      <c r="AE978" s="4">
        <v>0</v>
      </c>
      <c r="AF978" s="4">
        <v>87423.341880787819</v>
      </c>
      <c r="AG978" s="4">
        <v>17333.880297916818</v>
      </c>
    </row>
    <row r="979" spans="1:33" ht="11.25" customHeight="1" x14ac:dyDescent="0.25">
      <c r="A979" s="3" t="s">
        <v>21</v>
      </c>
      <c r="B979" s="3" t="s">
        <v>41</v>
      </c>
      <c r="C979" s="3" t="s">
        <v>42</v>
      </c>
      <c r="D979" s="3" t="s">
        <v>45</v>
      </c>
      <c r="E979" s="3" t="s">
        <v>53</v>
      </c>
      <c r="F979" s="3" t="s">
        <v>55</v>
      </c>
      <c r="G979" s="3" t="s">
        <v>25</v>
      </c>
      <c r="H979" s="3" t="s">
        <v>35</v>
      </c>
      <c r="I979" s="6">
        <v>44287</v>
      </c>
      <c r="J979" s="4">
        <v>0</v>
      </c>
      <c r="K979" s="4">
        <v>0</v>
      </c>
      <c r="L979" s="4">
        <v>962.79499999999996</v>
      </c>
      <c r="M979" s="4">
        <v>96.279499999999999</v>
      </c>
      <c r="N979" s="4">
        <v>962.79499999999996</v>
      </c>
      <c r="O979" s="4">
        <v>96.279499999999999</v>
      </c>
      <c r="P979" s="4">
        <v>0</v>
      </c>
      <c r="Q979" s="3" t="s">
        <v>26</v>
      </c>
      <c r="R979" s="3">
        <v>0</v>
      </c>
      <c r="S979" s="4">
        <v>0</v>
      </c>
      <c r="T979" s="4">
        <v>21</v>
      </c>
      <c r="U979" s="4">
        <v>89</v>
      </c>
      <c r="V979" s="4">
        <v>0</v>
      </c>
      <c r="W979" s="4">
        <v>51.27</v>
      </c>
      <c r="X979" s="4">
        <v>222.31</v>
      </c>
      <c r="Y979" s="4"/>
      <c r="Z979" s="4">
        <v>68.100184485116927</v>
      </c>
      <c r="AA979" s="4">
        <v>235.31351552243123</v>
      </c>
      <c r="AB979" s="4">
        <v>0</v>
      </c>
      <c r="AC979" s="4">
        <v>4936.249965</v>
      </c>
      <c r="AD979" s="4">
        <v>21403.895645000001</v>
      </c>
      <c r="AE979" s="4">
        <v>0</v>
      </c>
      <c r="AF979" s="4">
        <v>6556.6517121348152</v>
      </c>
      <c r="AG979" s="4">
        <v>22655.867617741918</v>
      </c>
    </row>
    <row r="980" spans="1:33" ht="11.25" customHeight="1" x14ac:dyDescent="0.25">
      <c r="A980" s="3" t="s">
        <v>21</v>
      </c>
      <c r="B980" s="3" t="s">
        <v>41</v>
      </c>
      <c r="C980" s="3" t="s">
        <v>42</v>
      </c>
      <c r="D980" s="3" t="s">
        <v>45</v>
      </c>
      <c r="E980" s="3" t="s">
        <v>53</v>
      </c>
      <c r="F980" s="3" t="s">
        <v>55</v>
      </c>
      <c r="G980" s="3" t="s">
        <v>25</v>
      </c>
      <c r="H980" s="3" t="s">
        <v>35</v>
      </c>
      <c r="I980" s="6">
        <v>44317</v>
      </c>
      <c r="J980" s="4">
        <v>0</v>
      </c>
      <c r="K980" s="4">
        <v>0</v>
      </c>
      <c r="L980" s="4">
        <v>333.96199999999999</v>
      </c>
      <c r="M980" s="4">
        <v>33.3962</v>
      </c>
      <c r="N980" s="4">
        <v>333.96199999999999</v>
      </c>
      <c r="O980" s="4">
        <v>33.3962</v>
      </c>
      <c r="P980" s="4">
        <v>0</v>
      </c>
      <c r="Q980" s="3" t="s">
        <v>26</v>
      </c>
      <c r="R980" s="3">
        <v>0</v>
      </c>
      <c r="S980" s="4">
        <v>0</v>
      </c>
      <c r="T980" s="4">
        <v>21</v>
      </c>
      <c r="U980" s="4">
        <v>89</v>
      </c>
      <c r="V980" s="4">
        <v>0</v>
      </c>
      <c r="W980" s="4">
        <v>51.27</v>
      </c>
      <c r="X980" s="4">
        <v>222.31</v>
      </c>
      <c r="Y980" s="4"/>
      <c r="Z980" s="4">
        <v>68.100184485116927</v>
      </c>
      <c r="AA980" s="4">
        <v>235.31351552243123</v>
      </c>
      <c r="AB980" s="4">
        <v>0</v>
      </c>
      <c r="AC980" s="4">
        <v>1712.2231740000002</v>
      </c>
      <c r="AD980" s="4">
        <v>7424.3092219999999</v>
      </c>
      <c r="AE980" s="4">
        <v>0</v>
      </c>
      <c r="AF980" s="4">
        <v>2274.2873811018621</v>
      </c>
      <c r="AG980" s="4">
        <v>7858.577227090218</v>
      </c>
    </row>
    <row r="981" spans="1:33" ht="11.25" customHeight="1" x14ac:dyDescent="0.25">
      <c r="A981" s="3" t="s">
        <v>28</v>
      </c>
      <c r="B981" s="3" t="s">
        <v>41</v>
      </c>
      <c r="C981" s="3" t="s">
        <v>42</v>
      </c>
      <c r="D981" s="3" t="s">
        <v>45</v>
      </c>
      <c r="E981" s="3" t="s">
        <v>53</v>
      </c>
      <c r="F981" s="3" t="s">
        <v>55</v>
      </c>
      <c r="G981" s="3" t="s">
        <v>25</v>
      </c>
      <c r="H981" s="3" t="s">
        <v>35</v>
      </c>
      <c r="I981" s="6">
        <v>44317</v>
      </c>
      <c r="J981" s="4">
        <v>0</v>
      </c>
      <c r="K981" s="4">
        <v>0</v>
      </c>
      <c r="L981" s="4">
        <v>8.2000000000000003E-2</v>
      </c>
      <c r="M981" s="4">
        <v>8.2000000000000007E-3</v>
      </c>
      <c r="N981" s="4">
        <v>8.2000000000000003E-2</v>
      </c>
      <c r="O981" s="4">
        <v>8.2000000000000007E-3</v>
      </c>
      <c r="P981" s="4">
        <v>0</v>
      </c>
      <c r="Q981" s="3" t="s">
        <v>26</v>
      </c>
      <c r="R981" s="3">
        <v>0</v>
      </c>
      <c r="S981" s="4">
        <v>0</v>
      </c>
      <c r="T981" s="4">
        <v>21</v>
      </c>
      <c r="U981" s="4">
        <v>89</v>
      </c>
      <c r="V981" s="4">
        <v>0</v>
      </c>
      <c r="W981" s="4">
        <v>51.27</v>
      </c>
      <c r="X981" s="4">
        <v>222.31</v>
      </c>
      <c r="Y981" s="4"/>
      <c r="Z981" s="4">
        <v>68.100184485116927</v>
      </c>
      <c r="AA981" s="4">
        <v>235.31351552243123</v>
      </c>
      <c r="AB981" s="4">
        <v>0</v>
      </c>
      <c r="AC981" s="4">
        <v>0.42041400000000007</v>
      </c>
      <c r="AD981" s="4">
        <v>1.8229420000000001</v>
      </c>
      <c r="AE981" s="4">
        <v>0</v>
      </c>
      <c r="AF981" s="4">
        <v>0.55842151277795882</v>
      </c>
      <c r="AG981" s="4">
        <v>1.9295708272839363</v>
      </c>
    </row>
    <row r="982" spans="1:33" ht="11.25" customHeight="1" x14ac:dyDescent="0.25">
      <c r="A982" s="3" t="s">
        <v>21</v>
      </c>
      <c r="B982" s="3" t="s">
        <v>41</v>
      </c>
      <c r="C982" s="3" t="s">
        <v>42</v>
      </c>
      <c r="D982" s="3" t="s">
        <v>45</v>
      </c>
      <c r="E982" s="3" t="s">
        <v>53</v>
      </c>
      <c r="F982" s="3" t="s">
        <v>55</v>
      </c>
      <c r="G982" s="3" t="s">
        <v>25</v>
      </c>
      <c r="H982" s="3" t="s">
        <v>35</v>
      </c>
      <c r="I982" s="6">
        <v>44348</v>
      </c>
      <c r="J982" s="4">
        <v>0</v>
      </c>
      <c r="K982" s="4">
        <v>0</v>
      </c>
      <c r="L982" s="4">
        <v>324.93599999999998</v>
      </c>
      <c r="M982" s="4">
        <v>32.493600000000001</v>
      </c>
      <c r="N982" s="4">
        <v>324.93599999999998</v>
      </c>
      <c r="O982" s="4">
        <v>32.493600000000001</v>
      </c>
      <c r="P982" s="4">
        <v>0</v>
      </c>
      <c r="Q982" s="3" t="s">
        <v>26</v>
      </c>
      <c r="R982" s="3">
        <v>0</v>
      </c>
      <c r="S982" s="4">
        <v>0</v>
      </c>
      <c r="T982" s="4">
        <v>21</v>
      </c>
      <c r="U982" s="4">
        <v>89</v>
      </c>
      <c r="V982" s="4">
        <v>0</v>
      </c>
      <c r="W982" s="4">
        <v>51.27</v>
      </c>
      <c r="X982" s="4">
        <v>222.31</v>
      </c>
      <c r="Y982" s="4"/>
      <c r="Z982" s="4">
        <v>68.100184485116927</v>
      </c>
      <c r="AA982" s="4">
        <v>235.31351552243123</v>
      </c>
      <c r="AB982" s="4">
        <v>0</v>
      </c>
      <c r="AC982" s="4">
        <v>1665.9468720000002</v>
      </c>
      <c r="AD982" s="4">
        <v>7223.6522160000004</v>
      </c>
      <c r="AE982" s="4">
        <v>0</v>
      </c>
      <c r="AF982" s="4">
        <v>2212.8201545855954</v>
      </c>
      <c r="AG982" s="4">
        <v>7646.1832479796713</v>
      </c>
    </row>
    <row r="983" spans="1:33" ht="11.25" customHeight="1" x14ac:dyDescent="0.25">
      <c r="A983" s="3" t="s">
        <v>28</v>
      </c>
      <c r="B983" s="3" t="s">
        <v>41</v>
      </c>
      <c r="C983" s="3" t="s">
        <v>42</v>
      </c>
      <c r="D983" s="3" t="s">
        <v>45</v>
      </c>
      <c r="E983" s="3" t="s">
        <v>53</v>
      </c>
      <c r="F983" s="3" t="s">
        <v>55</v>
      </c>
      <c r="G983" s="3" t="s">
        <v>25</v>
      </c>
      <c r="H983" s="3" t="s">
        <v>35</v>
      </c>
      <c r="I983" s="6">
        <v>44348</v>
      </c>
      <c r="J983" s="4">
        <v>0</v>
      </c>
      <c r="K983" s="4">
        <v>0</v>
      </c>
      <c r="L983" s="4">
        <v>4.1000000000000002E-2</v>
      </c>
      <c r="M983" s="4">
        <v>4.1000000000000003E-3</v>
      </c>
      <c r="N983" s="4">
        <v>4.1000000000000002E-2</v>
      </c>
      <c r="O983" s="4">
        <v>4.1000000000000003E-3</v>
      </c>
      <c r="P983" s="4">
        <v>0</v>
      </c>
      <c r="Q983" s="3" t="s">
        <v>26</v>
      </c>
      <c r="R983" s="3">
        <v>0</v>
      </c>
      <c r="S983" s="4">
        <v>0</v>
      </c>
      <c r="T983" s="4">
        <v>21</v>
      </c>
      <c r="U983" s="4">
        <v>89</v>
      </c>
      <c r="V983" s="4">
        <v>0</v>
      </c>
      <c r="W983" s="4">
        <v>51.27</v>
      </c>
      <c r="X983" s="4">
        <v>222.31</v>
      </c>
      <c r="Y983" s="4"/>
      <c r="Z983" s="4">
        <v>68.100184485116927</v>
      </c>
      <c r="AA983" s="4">
        <v>235.31351552243123</v>
      </c>
      <c r="AB983" s="4">
        <v>0</v>
      </c>
      <c r="AC983" s="4">
        <v>0.21020700000000003</v>
      </c>
      <c r="AD983" s="4">
        <v>0.91147100000000003</v>
      </c>
      <c r="AE983" s="4">
        <v>0</v>
      </c>
      <c r="AF983" s="4">
        <v>0.27921075638897941</v>
      </c>
      <c r="AG983" s="4">
        <v>0.96478541364196813</v>
      </c>
    </row>
    <row r="984" spans="1:33" ht="11.25" customHeight="1" x14ac:dyDescent="0.25">
      <c r="A984" s="3" t="s">
        <v>21</v>
      </c>
      <c r="B984" s="3" t="s">
        <v>41</v>
      </c>
      <c r="C984" s="3" t="s">
        <v>42</v>
      </c>
      <c r="D984" s="3" t="s">
        <v>45</v>
      </c>
      <c r="E984" s="3" t="s">
        <v>53</v>
      </c>
      <c r="F984" s="3" t="s">
        <v>55</v>
      </c>
      <c r="G984" s="3" t="s">
        <v>25</v>
      </c>
      <c r="H984" s="3" t="s">
        <v>35</v>
      </c>
      <c r="I984" s="6">
        <v>44378</v>
      </c>
      <c r="J984" s="4">
        <v>0</v>
      </c>
      <c r="K984" s="4">
        <v>0</v>
      </c>
      <c r="L984" s="4">
        <v>354.49200000000002</v>
      </c>
      <c r="M984" s="4">
        <v>35.449199999999998</v>
      </c>
      <c r="N984" s="4">
        <v>354.49200000000002</v>
      </c>
      <c r="O984" s="4">
        <v>35.449199999999998</v>
      </c>
      <c r="P984" s="4">
        <v>0</v>
      </c>
      <c r="Q984" s="3" t="s">
        <v>26</v>
      </c>
      <c r="R984" s="3">
        <v>0</v>
      </c>
      <c r="S984" s="4">
        <v>0</v>
      </c>
      <c r="T984" s="4">
        <v>21</v>
      </c>
      <c r="U984" s="4">
        <v>89</v>
      </c>
      <c r="V984" s="4">
        <v>0</v>
      </c>
      <c r="W984" s="4">
        <v>51.27</v>
      </c>
      <c r="X984" s="4">
        <v>222.31</v>
      </c>
      <c r="Y984" s="4"/>
      <c r="Z984" s="4">
        <v>68.100184485116927</v>
      </c>
      <c r="AA984" s="4">
        <v>235.31351552243123</v>
      </c>
      <c r="AB984" s="4">
        <v>0</v>
      </c>
      <c r="AC984" s="4">
        <v>1817.4804839999999</v>
      </c>
      <c r="AD984" s="4">
        <v>7880.711652</v>
      </c>
      <c r="AE984" s="4">
        <v>0</v>
      </c>
      <c r="AF984" s="4">
        <v>2414.097059849807</v>
      </c>
      <c r="AG984" s="4">
        <v>8341.6758744577692</v>
      </c>
    </row>
    <row r="985" spans="1:33" ht="11.25" customHeight="1" x14ac:dyDescent="0.25">
      <c r="A985" s="3" t="s">
        <v>28</v>
      </c>
      <c r="B985" s="3" t="s">
        <v>41</v>
      </c>
      <c r="C985" s="3" t="s">
        <v>42</v>
      </c>
      <c r="D985" s="3" t="s">
        <v>45</v>
      </c>
      <c r="E985" s="3" t="s">
        <v>53</v>
      </c>
      <c r="F985" s="3" t="s">
        <v>55</v>
      </c>
      <c r="G985" s="3" t="s">
        <v>25</v>
      </c>
      <c r="H985" s="3" t="s">
        <v>35</v>
      </c>
      <c r="I985" s="6">
        <v>44378</v>
      </c>
      <c r="J985" s="4">
        <v>0</v>
      </c>
      <c r="K985" s="4">
        <v>0</v>
      </c>
      <c r="L985" s="4">
        <v>8.2000000000000003E-2</v>
      </c>
      <c r="M985" s="4">
        <v>8.2000000000000007E-3</v>
      </c>
      <c r="N985" s="4">
        <v>8.2000000000000003E-2</v>
      </c>
      <c r="O985" s="4">
        <v>8.2000000000000007E-3</v>
      </c>
      <c r="P985" s="4">
        <v>0</v>
      </c>
      <c r="Q985" s="3" t="s">
        <v>26</v>
      </c>
      <c r="R985" s="3">
        <v>0</v>
      </c>
      <c r="S985" s="4">
        <v>0</v>
      </c>
      <c r="T985" s="4">
        <v>21</v>
      </c>
      <c r="U985" s="4">
        <v>89</v>
      </c>
      <c r="V985" s="4">
        <v>0</v>
      </c>
      <c r="W985" s="4">
        <v>51.27</v>
      </c>
      <c r="X985" s="4">
        <v>222.31</v>
      </c>
      <c r="Y985" s="4"/>
      <c r="Z985" s="4">
        <v>68.100184485116927</v>
      </c>
      <c r="AA985" s="4">
        <v>235.31351552243123</v>
      </c>
      <c r="AB985" s="4">
        <v>0</v>
      </c>
      <c r="AC985" s="4">
        <v>0.42041400000000007</v>
      </c>
      <c r="AD985" s="4">
        <v>1.8229420000000001</v>
      </c>
      <c r="AE985" s="4">
        <v>0</v>
      </c>
      <c r="AF985" s="4">
        <v>0.55842151277795882</v>
      </c>
      <c r="AG985" s="4">
        <v>1.9295708272839363</v>
      </c>
    </row>
    <row r="986" spans="1:33" ht="11.25" customHeight="1" x14ac:dyDescent="0.25">
      <c r="A986" s="3" t="s">
        <v>21</v>
      </c>
      <c r="B986" s="3" t="s">
        <v>41</v>
      </c>
      <c r="C986" s="3" t="s">
        <v>42</v>
      </c>
      <c r="D986" s="3" t="s">
        <v>45</v>
      </c>
      <c r="E986" s="3" t="s">
        <v>53</v>
      </c>
      <c r="F986" s="3" t="s">
        <v>55</v>
      </c>
      <c r="G986" s="3" t="s">
        <v>25</v>
      </c>
      <c r="H986" s="3" t="s">
        <v>35</v>
      </c>
      <c r="I986" s="6">
        <v>44409</v>
      </c>
      <c r="J986" s="4">
        <v>0</v>
      </c>
      <c r="K986" s="4">
        <v>0</v>
      </c>
      <c r="L986" s="4">
        <v>599.25599999999997</v>
      </c>
      <c r="M986" s="4">
        <v>59.925600000000003</v>
      </c>
      <c r="N986" s="4">
        <v>599.25599999999997</v>
      </c>
      <c r="O986" s="4">
        <v>59.925600000000003</v>
      </c>
      <c r="P986" s="4">
        <v>0</v>
      </c>
      <c r="Q986" s="3" t="s">
        <v>26</v>
      </c>
      <c r="R986" s="3">
        <v>0</v>
      </c>
      <c r="S986" s="4">
        <v>0</v>
      </c>
      <c r="T986" s="4">
        <v>21</v>
      </c>
      <c r="U986" s="4">
        <v>89</v>
      </c>
      <c r="V986" s="4">
        <v>0</v>
      </c>
      <c r="W986" s="4">
        <v>51.27</v>
      </c>
      <c r="X986" s="4">
        <v>222.31</v>
      </c>
      <c r="Y986" s="4"/>
      <c r="Z986" s="4">
        <v>68.100184485116927</v>
      </c>
      <c r="AA986" s="4">
        <v>235.31351552243123</v>
      </c>
      <c r="AB986" s="4">
        <v>0</v>
      </c>
      <c r="AC986" s="4">
        <v>3072.3855120000003</v>
      </c>
      <c r="AD986" s="4">
        <v>13322.060136</v>
      </c>
      <c r="AE986" s="4">
        <v>0</v>
      </c>
      <c r="AF986" s="4">
        <v>4080.9444153813229</v>
      </c>
      <c r="AG986" s="4">
        <v>14101.303605791005</v>
      </c>
    </row>
    <row r="987" spans="1:33" ht="11.25" customHeight="1" x14ac:dyDescent="0.25">
      <c r="A987" s="3" t="s">
        <v>28</v>
      </c>
      <c r="B987" s="3" t="s">
        <v>41</v>
      </c>
      <c r="C987" s="3" t="s">
        <v>42</v>
      </c>
      <c r="D987" s="3" t="s">
        <v>45</v>
      </c>
      <c r="E987" s="3" t="s">
        <v>53</v>
      </c>
      <c r="F987" s="3" t="s">
        <v>55</v>
      </c>
      <c r="G987" s="3" t="s">
        <v>25</v>
      </c>
      <c r="H987" s="3" t="s">
        <v>35</v>
      </c>
      <c r="I987" s="6">
        <v>44409</v>
      </c>
      <c r="J987" s="4">
        <v>0</v>
      </c>
      <c r="K987" s="4">
        <v>0</v>
      </c>
      <c r="L987" s="4">
        <v>8.2000000000000003E-2</v>
      </c>
      <c r="M987" s="4">
        <v>8.2000000000000007E-3</v>
      </c>
      <c r="N987" s="4">
        <v>8.2000000000000003E-2</v>
      </c>
      <c r="O987" s="4">
        <v>8.2000000000000007E-3</v>
      </c>
      <c r="P987" s="4">
        <v>0</v>
      </c>
      <c r="Q987" s="3" t="s">
        <v>26</v>
      </c>
      <c r="R987" s="3">
        <v>0</v>
      </c>
      <c r="S987" s="4">
        <v>0</v>
      </c>
      <c r="T987" s="4">
        <v>21</v>
      </c>
      <c r="U987" s="4">
        <v>89</v>
      </c>
      <c r="V987" s="4">
        <v>0</v>
      </c>
      <c r="W987" s="4">
        <v>51.27</v>
      </c>
      <c r="X987" s="4">
        <v>222.31</v>
      </c>
      <c r="Y987" s="4"/>
      <c r="Z987" s="4">
        <v>68.100184485116927</v>
      </c>
      <c r="AA987" s="4">
        <v>235.31351552243123</v>
      </c>
      <c r="AB987" s="4">
        <v>0</v>
      </c>
      <c r="AC987" s="4">
        <v>0.42041400000000007</v>
      </c>
      <c r="AD987" s="4">
        <v>1.8229420000000001</v>
      </c>
      <c r="AE987" s="4">
        <v>0</v>
      </c>
      <c r="AF987" s="4">
        <v>0.55842151277795882</v>
      </c>
      <c r="AG987" s="4">
        <v>1.9295708272839363</v>
      </c>
    </row>
    <row r="988" spans="1:33" ht="11.25" customHeight="1" x14ac:dyDescent="0.25">
      <c r="A988" s="3" t="s">
        <v>21</v>
      </c>
      <c r="B988" s="3" t="s">
        <v>41</v>
      </c>
      <c r="C988" s="3" t="s">
        <v>42</v>
      </c>
      <c r="D988" s="3" t="s">
        <v>45</v>
      </c>
      <c r="E988" s="3" t="s">
        <v>53</v>
      </c>
      <c r="F988" s="3" t="s">
        <v>55</v>
      </c>
      <c r="G988" s="3" t="s">
        <v>25</v>
      </c>
      <c r="H988" s="3" t="s">
        <v>35</v>
      </c>
      <c r="I988" s="6">
        <v>44440</v>
      </c>
      <c r="J988" s="4">
        <v>0</v>
      </c>
      <c r="K988" s="4">
        <v>0</v>
      </c>
      <c r="L988" s="4">
        <v>891.18</v>
      </c>
      <c r="M988" s="4">
        <v>89.117999999999995</v>
      </c>
      <c r="N988" s="4">
        <v>891.18</v>
      </c>
      <c r="O988" s="4">
        <v>89.117999999999995</v>
      </c>
      <c r="P988" s="4">
        <v>0</v>
      </c>
      <c r="Q988" s="3" t="s">
        <v>26</v>
      </c>
      <c r="R988" s="3">
        <v>0</v>
      </c>
      <c r="S988" s="4">
        <v>0</v>
      </c>
      <c r="T988" s="4">
        <v>21</v>
      </c>
      <c r="U988" s="4">
        <v>89</v>
      </c>
      <c r="V988" s="4">
        <v>0</v>
      </c>
      <c r="W988" s="4">
        <v>51.27</v>
      </c>
      <c r="X988" s="4">
        <v>222.31</v>
      </c>
      <c r="Y988" s="4"/>
      <c r="Z988" s="4">
        <v>68.100184485116927</v>
      </c>
      <c r="AA988" s="4">
        <v>235.31351552243123</v>
      </c>
      <c r="AB988" s="4">
        <v>0</v>
      </c>
      <c r="AC988" s="4">
        <v>4569.0798599999998</v>
      </c>
      <c r="AD988" s="4">
        <v>19811.82258</v>
      </c>
      <c r="AE988" s="4">
        <v>0</v>
      </c>
      <c r="AF988" s="4">
        <v>6068.9522409446499</v>
      </c>
      <c r="AG988" s="4">
        <v>20970.669876328026</v>
      </c>
    </row>
    <row r="989" spans="1:33" ht="11.25" customHeight="1" x14ac:dyDescent="0.25">
      <c r="A989" s="3" t="s">
        <v>28</v>
      </c>
      <c r="B989" s="3" t="s">
        <v>41</v>
      </c>
      <c r="C989" s="3" t="s">
        <v>42</v>
      </c>
      <c r="D989" s="3" t="s">
        <v>45</v>
      </c>
      <c r="E989" s="3" t="s">
        <v>53</v>
      </c>
      <c r="F989" s="3" t="s">
        <v>55</v>
      </c>
      <c r="G989" s="3" t="s">
        <v>25</v>
      </c>
      <c r="H989" s="3" t="s">
        <v>35</v>
      </c>
      <c r="I989" s="6">
        <v>44440</v>
      </c>
      <c r="J989" s="4">
        <v>0</v>
      </c>
      <c r="K989" s="4">
        <v>0</v>
      </c>
      <c r="L989" s="4">
        <v>2.6240000000000001</v>
      </c>
      <c r="M989" s="4">
        <v>0.26240000000000002</v>
      </c>
      <c r="N989" s="4">
        <v>2.6240000000000001</v>
      </c>
      <c r="O989" s="4">
        <v>0.26240000000000002</v>
      </c>
      <c r="P989" s="4">
        <v>0</v>
      </c>
      <c r="Q989" s="3" t="s">
        <v>26</v>
      </c>
      <c r="R989" s="3">
        <v>0</v>
      </c>
      <c r="S989" s="4">
        <v>0</v>
      </c>
      <c r="T989" s="4">
        <v>21</v>
      </c>
      <c r="U989" s="4">
        <v>89</v>
      </c>
      <c r="V989" s="4">
        <v>0</v>
      </c>
      <c r="W989" s="4">
        <v>51.27</v>
      </c>
      <c r="X989" s="4">
        <v>222.31</v>
      </c>
      <c r="Y989" s="4"/>
      <c r="Z989" s="4">
        <v>68.100184485116927</v>
      </c>
      <c r="AA989" s="4">
        <v>235.31351552243123</v>
      </c>
      <c r="AB989" s="4">
        <v>0</v>
      </c>
      <c r="AC989" s="4">
        <v>13.453248000000002</v>
      </c>
      <c r="AD989" s="4">
        <v>58.334144000000002</v>
      </c>
      <c r="AE989" s="4">
        <v>0</v>
      </c>
      <c r="AF989" s="4">
        <v>17.869488408894682</v>
      </c>
      <c r="AG989" s="4">
        <v>61.74626647308596</v>
      </c>
    </row>
    <row r="990" spans="1:33" ht="11.25" customHeight="1" x14ac:dyDescent="0.25">
      <c r="A990" s="3" t="s">
        <v>21</v>
      </c>
      <c r="B990" s="3" t="s">
        <v>41</v>
      </c>
      <c r="C990" s="3" t="s">
        <v>42</v>
      </c>
      <c r="D990" s="3" t="s">
        <v>45</v>
      </c>
      <c r="E990" s="3" t="s">
        <v>53</v>
      </c>
      <c r="F990" s="3" t="s">
        <v>55</v>
      </c>
      <c r="G990" s="3" t="s">
        <v>25</v>
      </c>
      <c r="H990" s="3" t="s">
        <v>35</v>
      </c>
      <c r="I990" s="6">
        <v>44470</v>
      </c>
      <c r="J990" s="4">
        <v>0</v>
      </c>
      <c r="K990" s="4">
        <v>0</v>
      </c>
      <c r="L990" s="4">
        <v>1351.895</v>
      </c>
      <c r="M990" s="4">
        <v>135.18950000000001</v>
      </c>
      <c r="N990" s="4">
        <v>1351.895</v>
      </c>
      <c r="O990" s="4">
        <v>135.18950000000001</v>
      </c>
      <c r="P990" s="4">
        <v>0</v>
      </c>
      <c r="Q990" s="3" t="s">
        <v>26</v>
      </c>
      <c r="R990" s="3">
        <v>0</v>
      </c>
      <c r="S990" s="4">
        <v>0</v>
      </c>
      <c r="T990" s="4">
        <v>21</v>
      </c>
      <c r="U990" s="4">
        <v>89</v>
      </c>
      <c r="V990" s="4">
        <v>0</v>
      </c>
      <c r="W990" s="4">
        <v>51.27</v>
      </c>
      <c r="X990" s="4">
        <v>222.31</v>
      </c>
      <c r="Y990" s="4"/>
      <c r="Z990" s="4">
        <v>68.100184485116927</v>
      </c>
      <c r="AA990" s="4">
        <v>235.31351552243123</v>
      </c>
      <c r="AB990" s="4">
        <v>0</v>
      </c>
      <c r="AC990" s="4">
        <v>6931.1656650000014</v>
      </c>
      <c r="AD990" s="4">
        <v>30053.977745000004</v>
      </c>
      <c r="AE990" s="4">
        <v>0</v>
      </c>
      <c r="AF990" s="4">
        <v>9206.4298904507159</v>
      </c>
      <c r="AG990" s="4">
        <v>31811.916506719721</v>
      </c>
    </row>
    <row r="991" spans="1:33" ht="11.25" customHeight="1" x14ac:dyDescent="0.25">
      <c r="A991" s="3" t="s">
        <v>28</v>
      </c>
      <c r="B991" s="3" t="s">
        <v>41</v>
      </c>
      <c r="C991" s="3" t="s">
        <v>42</v>
      </c>
      <c r="D991" s="3" t="s">
        <v>45</v>
      </c>
      <c r="E991" s="3" t="s">
        <v>53</v>
      </c>
      <c r="F991" s="3" t="s">
        <v>55</v>
      </c>
      <c r="G991" s="3" t="s">
        <v>25</v>
      </c>
      <c r="H991" s="3" t="s">
        <v>35</v>
      </c>
      <c r="I991" s="6">
        <v>44470</v>
      </c>
      <c r="J991" s="4">
        <v>0</v>
      </c>
      <c r="K991" s="4">
        <v>0</v>
      </c>
      <c r="L991" s="4">
        <v>8.8970000000000002</v>
      </c>
      <c r="M991" s="4">
        <v>0.88970000000000005</v>
      </c>
      <c r="N991" s="4">
        <v>8.8970000000000002</v>
      </c>
      <c r="O991" s="4">
        <v>0.88970000000000005</v>
      </c>
      <c r="P991" s="4">
        <v>0</v>
      </c>
      <c r="Q991" s="3" t="s">
        <v>26</v>
      </c>
      <c r="R991" s="3">
        <v>0</v>
      </c>
      <c r="S991" s="4">
        <v>0</v>
      </c>
      <c r="T991" s="4">
        <v>21</v>
      </c>
      <c r="U991" s="4">
        <v>89</v>
      </c>
      <c r="V991" s="4">
        <v>0</v>
      </c>
      <c r="W991" s="4">
        <v>51.27</v>
      </c>
      <c r="X991" s="4">
        <v>222.31</v>
      </c>
      <c r="Y991" s="4"/>
      <c r="Z991" s="4">
        <v>68.100184485116927</v>
      </c>
      <c r="AA991" s="4">
        <v>235.31351552243123</v>
      </c>
      <c r="AB991" s="4">
        <v>0</v>
      </c>
      <c r="AC991" s="4">
        <v>45.614919000000008</v>
      </c>
      <c r="AD991" s="4">
        <v>197.789207</v>
      </c>
      <c r="AE991" s="4">
        <v>0</v>
      </c>
      <c r="AF991" s="4">
        <v>60.588734136408533</v>
      </c>
      <c r="AG991" s="4">
        <v>209.35843476030709</v>
      </c>
    </row>
    <row r="992" spans="1:33" ht="11.25" customHeight="1" x14ac:dyDescent="0.25">
      <c r="A992" s="3" t="s">
        <v>21</v>
      </c>
      <c r="B992" s="3" t="s">
        <v>41</v>
      </c>
      <c r="C992" s="3" t="s">
        <v>42</v>
      </c>
      <c r="D992" s="3" t="s">
        <v>45</v>
      </c>
      <c r="E992" s="3" t="s">
        <v>53</v>
      </c>
      <c r="F992" s="3" t="s">
        <v>55</v>
      </c>
      <c r="G992" s="3" t="s">
        <v>25</v>
      </c>
      <c r="H992" s="3" t="s">
        <v>35</v>
      </c>
      <c r="I992" s="6">
        <v>44501</v>
      </c>
      <c r="J992" s="4">
        <v>0</v>
      </c>
      <c r="K992" s="4">
        <v>0</v>
      </c>
      <c r="L992" s="4">
        <v>1290.3910000000001</v>
      </c>
      <c r="M992" s="4">
        <v>129.03909999999999</v>
      </c>
      <c r="N992" s="4">
        <v>1290.3910000000001</v>
      </c>
      <c r="O992" s="4">
        <v>129.03909999999999</v>
      </c>
      <c r="P992" s="4">
        <v>0</v>
      </c>
      <c r="Q992" s="3" t="s">
        <v>26</v>
      </c>
      <c r="R992" s="3">
        <v>0</v>
      </c>
      <c r="S992" s="4">
        <v>0</v>
      </c>
      <c r="T992" s="4">
        <v>21</v>
      </c>
      <c r="U992" s="4">
        <v>89</v>
      </c>
      <c r="V992" s="4">
        <v>0</v>
      </c>
      <c r="W992" s="4">
        <v>51.27</v>
      </c>
      <c r="X992" s="4">
        <v>222.31</v>
      </c>
      <c r="Y992" s="4"/>
      <c r="Z992" s="4">
        <v>68.100184485116927</v>
      </c>
      <c r="AA992" s="4">
        <v>235.31351552243123</v>
      </c>
      <c r="AB992" s="4">
        <v>0</v>
      </c>
      <c r="AC992" s="4">
        <v>6615.8346570000003</v>
      </c>
      <c r="AD992" s="4">
        <v>28686.682320999997</v>
      </c>
      <c r="AE992" s="4">
        <v>0</v>
      </c>
      <c r="AF992" s="4">
        <v>8787.5865157934513</v>
      </c>
      <c r="AG992" s="4">
        <v>30364.644260850553</v>
      </c>
    </row>
    <row r="993" spans="1:33" ht="11.25" customHeight="1" x14ac:dyDescent="0.25">
      <c r="A993" s="3" t="s">
        <v>28</v>
      </c>
      <c r="B993" s="3" t="s">
        <v>41</v>
      </c>
      <c r="C993" s="3" t="s">
        <v>42</v>
      </c>
      <c r="D993" s="3" t="s">
        <v>45</v>
      </c>
      <c r="E993" s="3" t="s">
        <v>53</v>
      </c>
      <c r="F993" s="3" t="s">
        <v>55</v>
      </c>
      <c r="G993" s="3" t="s">
        <v>25</v>
      </c>
      <c r="H993" s="3" t="s">
        <v>35</v>
      </c>
      <c r="I993" s="6">
        <v>44501</v>
      </c>
      <c r="J993" s="4">
        <v>0</v>
      </c>
      <c r="K993" s="4">
        <v>0</v>
      </c>
      <c r="L993" s="4">
        <v>9.2249999999999996</v>
      </c>
      <c r="M993" s="4">
        <v>0.92249999999999999</v>
      </c>
      <c r="N993" s="4">
        <v>9.2249999999999996</v>
      </c>
      <c r="O993" s="4">
        <v>0.92249999999999999</v>
      </c>
      <c r="P993" s="4">
        <v>0</v>
      </c>
      <c r="Q993" s="3" t="s">
        <v>26</v>
      </c>
      <c r="R993" s="3">
        <v>0</v>
      </c>
      <c r="S993" s="4">
        <v>0</v>
      </c>
      <c r="T993" s="4">
        <v>21</v>
      </c>
      <c r="U993" s="4">
        <v>89</v>
      </c>
      <c r="V993" s="4">
        <v>0</v>
      </c>
      <c r="W993" s="4">
        <v>51.27</v>
      </c>
      <c r="X993" s="4">
        <v>222.31</v>
      </c>
      <c r="Y993" s="4"/>
      <c r="Z993" s="4">
        <v>68.100184485116927</v>
      </c>
      <c r="AA993" s="4">
        <v>235.31351552243123</v>
      </c>
      <c r="AB993" s="4">
        <v>0</v>
      </c>
      <c r="AC993" s="4">
        <v>47.296575000000004</v>
      </c>
      <c r="AD993" s="4">
        <v>205.080975</v>
      </c>
      <c r="AE993" s="4">
        <v>0</v>
      </c>
      <c r="AF993" s="4">
        <v>62.822420187520365</v>
      </c>
      <c r="AG993" s="4">
        <v>217.07671806944282</v>
      </c>
    </row>
    <row r="994" spans="1:33" ht="11.25" customHeight="1" x14ac:dyDescent="0.25">
      <c r="A994" s="3" t="s">
        <v>21</v>
      </c>
      <c r="B994" s="3" t="s">
        <v>41</v>
      </c>
      <c r="C994" s="3" t="s">
        <v>42</v>
      </c>
      <c r="D994" s="3" t="s">
        <v>45</v>
      </c>
      <c r="E994" s="3" t="s">
        <v>53</v>
      </c>
      <c r="F994" s="3" t="s">
        <v>55</v>
      </c>
      <c r="G994" s="3" t="s">
        <v>25</v>
      </c>
      <c r="H994" s="3" t="s">
        <v>35</v>
      </c>
      <c r="I994" s="6">
        <v>44531</v>
      </c>
      <c r="J994" s="4">
        <v>0</v>
      </c>
      <c r="K994" s="4">
        <v>0</v>
      </c>
      <c r="L994" s="4">
        <v>920.84900000000005</v>
      </c>
      <c r="M994" s="4">
        <v>92.084900000000005</v>
      </c>
      <c r="N994" s="4">
        <v>920.84900000000005</v>
      </c>
      <c r="O994" s="4">
        <v>92.084900000000005</v>
      </c>
      <c r="P994" s="4">
        <v>0</v>
      </c>
      <c r="Q994" s="3" t="s">
        <v>26</v>
      </c>
      <c r="R994" s="3">
        <v>0</v>
      </c>
      <c r="S994" s="4">
        <v>0</v>
      </c>
      <c r="T994" s="4">
        <v>21</v>
      </c>
      <c r="U994" s="4">
        <v>89</v>
      </c>
      <c r="V994" s="4">
        <v>0</v>
      </c>
      <c r="W994" s="4">
        <v>51.27</v>
      </c>
      <c r="X994" s="4">
        <v>222.31</v>
      </c>
      <c r="Y994" s="4"/>
      <c r="Z994" s="4">
        <v>68.100184485116927</v>
      </c>
      <c r="AA994" s="4">
        <v>235.31351552243123</v>
      </c>
      <c r="AB994" s="4">
        <v>0</v>
      </c>
      <c r="AC994" s="4">
        <v>4721.1928230000003</v>
      </c>
      <c r="AD994" s="4">
        <v>20471.394119000001</v>
      </c>
      <c r="AE994" s="4">
        <v>0</v>
      </c>
      <c r="AF994" s="4">
        <v>6270.9986782935439</v>
      </c>
      <c r="AG994" s="4">
        <v>21668.821545531529</v>
      </c>
    </row>
    <row r="995" spans="1:33" ht="11.25" customHeight="1" x14ac:dyDescent="0.25">
      <c r="A995" s="3" t="s">
        <v>28</v>
      </c>
      <c r="B995" s="3" t="s">
        <v>41</v>
      </c>
      <c r="C995" s="3" t="s">
        <v>42</v>
      </c>
      <c r="D995" s="3" t="s">
        <v>45</v>
      </c>
      <c r="E995" s="3" t="s">
        <v>53</v>
      </c>
      <c r="F995" s="3" t="s">
        <v>55</v>
      </c>
      <c r="G995" s="3" t="s">
        <v>25</v>
      </c>
      <c r="H995" s="3" t="s">
        <v>35</v>
      </c>
      <c r="I995" s="6">
        <v>44531</v>
      </c>
      <c r="J995" s="4">
        <v>0</v>
      </c>
      <c r="K995" s="4">
        <v>0</v>
      </c>
      <c r="L995" s="4">
        <v>9.2249999999999996</v>
      </c>
      <c r="M995" s="4">
        <v>0.92249999999999999</v>
      </c>
      <c r="N995" s="4">
        <v>9.2249999999999996</v>
      </c>
      <c r="O995" s="4">
        <v>0.92249999999999999</v>
      </c>
      <c r="P995" s="4">
        <v>0</v>
      </c>
      <c r="Q995" s="3" t="s">
        <v>26</v>
      </c>
      <c r="R995" s="3">
        <v>0</v>
      </c>
      <c r="S995" s="4">
        <v>0</v>
      </c>
      <c r="T995" s="4">
        <v>21</v>
      </c>
      <c r="U995" s="4">
        <v>89</v>
      </c>
      <c r="V995" s="4">
        <v>0</v>
      </c>
      <c r="W995" s="4">
        <v>51.27</v>
      </c>
      <c r="X995" s="4">
        <v>222.31</v>
      </c>
      <c r="Y995" s="4"/>
      <c r="Z995" s="4">
        <v>68.100184485116927</v>
      </c>
      <c r="AA995" s="4">
        <v>235.31351552243123</v>
      </c>
      <c r="AB995" s="4">
        <v>0</v>
      </c>
      <c r="AC995" s="4">
        <v>47.296575000000004</v>
      </c>
      <c r="AD995" s="4">
        <v>205.080975</v>
      </c>
      <c r="AE995" s="4">
        <v>0</v>
      </c>
      <c r="AF995" s="4">
        <v>62.822420187520365</v>
      </c>
      <c r="AG995" s="4">
        <v>217.07671806944282</v>
      </c>
    </row>
    <row r="996" spans="1:33" ht="11.25" customHeight="1" x14ac:dyDescent="0.25">
      <c r="A996" s="3" t="s">
        <v>21</v>
      </c>
      <c r="B996" s="3" t="s">
        <v>41</v>
      </c>
      <c r="C996" s="3" t="s">
        <v>42</v>
      </c>
      <c r="D996" s="3" t="s">
        <v>45</v>
      </c>
      <c r="E996" s="3" t="s">
        <v>53</v>
      </c>
      <c r="F996" s="3" t="s">
        <v>55</v>
      </c>
      <c r="G996" s="3" t="s">
        <v>25</v>
      </c>
      <c r="H996" s="3" t="s">
        <v>35</v>
      </c>
      <c r="I996" s="6">
        <v>44562</v>
      </c>
      <c r="J996" s="4">
        <v>0</v>
      </c>
      <c r="K996" s="4">
        <v>0</v>
      </c>
      <c r="L996" s="4">
        <v>805.755</v>
      </c>
      <c r="M996" s="4">
        <v>80.575500000000005</v>
      </c>
      <c r="N996" s="4">
        <v>805.755</v>
      </c>
      <c r="O996" s="4">
        <v>80.575500000000005</v>
      </c>
      <c r="P996" s="4">
        <v>0</v>
      </c>
      <c r="Q996" s="3" t="s">
        <v>26</v>
      </c>
      <c r="R996" s="3">
        <v>0</v>
      </c>
      <c r="S996" s="4">
        <v>0</v>
      </c>
      <c r="T996" s="4">
        <v>21</v>
      </c>
      <c r="U996" s="4">
        <v>89</v>
      </c>
      <c r="V996" s="4">
        <v>0</v>
      </c>
      <c r="W996" s="4">
        <v>51.27</v>
      </c>
      <c r="X996" s="4">
        <v>222.31</v>
      </c>
      <c r="Y996" s="4"/>
      <c r="Z996" s="4">
        <v>68.100184485116927</v>
      </c>
      <c r="AA996" s="4">
        <v>235.31351552243123</v>
      </c>
      <c r="AB996" s="4">
        <v>0</v>
      </c>
      <c r="AC996" s="4">
        <v>4131.1058850000009</v>
      </c>
      <c r="AD996" s="4">
        <v>17912.739405</v>
      </c>
      <c r="AE996" s="4">
        <v>0</v>
      </c>
      <c r="AF996" s="4">
        <v>5487.2064149805392</v>
      </c>
      <c r="AG996" s="4">
        <v>18960.504169977659</v>
      </c>
    </row>
    <row r="997" spans="1:33" ht="11.25" customHeight="1" x14ac:dyDescent="0.25">
      <c r="A997" s="3" t="s">
        <v>27</v>
      </c>
      <c r="B997" s="3" t="s">
        <v>41</v>
      </c>
      <c r="C997" s="3" t="s">
        <v>42</v>
      </c>
      <c r="D997" s="3" t="s">
        <v>45</v>
      </c>
      <c r="E997" s="3" t="s">
        <v>53</v>
      </c>
      <c r="F997" s="3" t="s">
        <v>55</v>
      </c>
      <c r="G997" s="3" t="s">
        <v>25</v>
      </c>
      <c r="H997" s="3" t="s">
        <v>35</v>
      </c>
      <c r="I997" s="6">
        <v>44562</v>
      </c>
      <c r="J997" s="4">
        <v>0</v>
      </c>
      <c r="K997" s="4">
        <v>0</v>
      </c>
      <c r="L997" s="4">
        <v>136.136</v>
      </c>
      <c r="M997" s="4">
        <v>13.6136</v>
      </c>
      <c r="N997" s="4">
        <v>136.136</v>
      </c>
      <c r="O997" s="4">
        <v>13.6136</v>
      </c>
      <c r="P997" s="4">
        <v>0</v>
      </c>
      <c r="Q997" s="3" t="s">
        <v>26</v>
      </c>
      <c r="R997" s="3">
        <v>0</v>
      </c>
      <c r="S997" s="4">
        <v>0</v>
      </c>
      <c r="T997" s="4">
        <v>21</v>
      </c>
      <c r="U997" s="4">
        <v>89</v>
      </c>
      <c r="V997" s="4">
        <v>0</v>
      </c>
      <c r="W997" s="4">
        <v>51.27</v>
      </c>
      <c r="X997" s="4">
        <v>222.31</v>
      </c>
      <c r="Y997" s="4"/>
      <c r="Z997" s="4">
        <v>68.100184485116927</v>
      </c>
      <c r="AA997" s="4">
        <v>235.31351552243123</v>
      </c>
      <c r="AB997" s="4">
        <v>0</v>
      </c>
      <c r="AC997" s="4">
        <v>697.96927200000005</v>
      </c>
      <c r="AD997" s="4">
        <v>3026.4394160000002</v>
      </c>
      <c r="AE997" s="4">
        <v>0</v>
      </c>
      <c r="AF997" s="4">
        <v>927.08867150658784</v>
      </c>
      <c r="AG997" s="4">
        <v>3203.4640749161699</v>
      </c>
    </row>
    <row r="998" spans="1:33" ht="11.25" customHeight="1" x14ac:dyDescent="0.25">
      <c r="A998" s="3" t="s">
        <v>28</v>
      </c>
      <c r="B998" s="3" t="s">
        <v>41</v>
      </c>
      <c r="C998" s="3" t="s">
        <v>42</v>
      </c>
      <c r="D998" s="3" t="s">
        <v>45</v>
      </c>
      <c r="E998" s="3" t="s">
        <v>53</v>
      </c>
      <c r="F998" s="3" t="s">
        <v>55</v>
      </c>
      <c r="G998" s="3" t="s">
        <v>25</v>
      </c>
      <c r="H998" s="3" t="s">
        <v>35</v>
      </c>
      <c r="I998" s="6">
        <v>44562</v>
      </c>
      <c r="J998" s="4">
        <v>0</v>
      </c>
      <c r="K998" s="4">
        <v>0</v>
      </c>
      <c r="L998" s="4">
        <v>11.468</v>
      </c>
      <c r="M998" s="4">
        <v>1.1468</v>
      </c>
      <c r="N998" s="4">
        <v>11.468</v>
      </c>
      <c r="O998" s="4">
        <v>1.1468</v>
      </c>
      <c r="P998" s="4">
        <v>0</v>
      </c>
      <c r="Q998" s="3" t="s">
        <v>26</v>
      </c>
      <c r="R998" s="3">
        <v>0</v>
      </c>
      <c r="S998" s="4">
        <v>0</v>
      </c>
      <c r="T998" s="4">
        <v>21</v>
      </c>
      <c r="U998" s="4">
        <v>89</v>
      </c>
      <c r="V998" s="4">
        <v>0</v>
      </c>
      <c r="W998" s="4">
        <v>51.27</v>
      </c>
      <c r="X998" s="4">
        <v>222.31</v>
      </c>
      <c r="Y998" s="4"/>
      <c r="Z998" s="4">
        <v>68.100184485116927</v>
      </c>
      <c r="AA998" s="4">
        <v>235.31351552243123</v>
      </c>
      <c r="AB998" s="4">
        <v>0</v>
      </c>
      <c r="AC998" s="4">
        <v>58.796436000000007</v>
      </c>
      <c r="AD998" s="4">
        <v>254.945108</v>
      </c>
      <c r="AE998" s="4">
        <v>0</v>
      </c>
      <c r="AF998" s="4">
        <v>78.097291567532096</v>
      </c>
      <c r="AG998" s="4">
        <v>269.85753960112413</v>
      </c>
    </row>
    <row r="999" spans="1:33" ht="11.25" customHeight="1" x14ac:dyDescent="0.25">
      <c r="A999" s="3" t="s">
        <v>21</v>
      </c>
      <c r="B999" s="3" t="s">
        <v>41</v>
      </c>
      <c r="C999" s="3" t="s">
        <v>42</v>
      </c>
      <c r="D999" s="3" t="s">
        <v>45</v>
      </c>
      <c r="E999" s="3" t="s">
        <v>53</v>
      </c>
      <c r="F999" s="3" t="s">
        <v>55</v>
      </c>
      <c r="G999" s="3" t="s">
        <v>25</v>
      </c>
      <c r="H999" s="3" t="s">
        <v>35</v>
      </c>
      <c r="I999" s="6">
        <v>44593</v>
      </c>
      <c r="J999" s="4">
        <v>0</v>
      </c>
      <c r="K999" s="4">
        <v>0</v>
      </c>
      <c r="L999" s="4">
        <v>1792.2349999999999</v>
      </c>
      <c r="M999" s="4">
        <v>179.2235</v>
      </c>
      <c r="N999" s="4">
        <v>1792.2349999999999</v>
      </c>
      <c r="O999" s="4">
        <v>179.2235</v>
      </c>
      <c r="P999" s="4">
        <v>0</v>
      </c>
      <c r="Q999" s="3" t="s">
        <v>26</v>
      </c>
      <c r="R999" s="3">
        <v>0</v>
      </c>
      <c r="S999" s="4">
        <v>0</v>
      </c>
      <c r="T999" s="4">
        <v>21</v>
      </c>
      <c r="U999" s="4">
        <v>89</v>
      </c>
      <c r="V999" s="4">
        <v>0</v>
      </c>
      <c r="W999" s="4">
        <v>51.27</v>
      </c>
      <c r="X999" s="4">
        <v>222.31</v>
      </c>
      <c r="Y999" s="4"/>
      <c r="Z999" s="4">
        <v>68.100184485116927</v>
      </c>
      <c r="AA999" s="4">
        <v>235.31351552243123</v>
      </c>
      <c r="AB999" s="4">
        <v>0</v>
      </c>
      <c r="AC999" s="4">
        <v>9188.7888450000009</v>
      </c>
      <c r="AD999" s="4">
        <v>39843.176285000001</v>
      </c>
      <c r="AE999" s="4">
        <v>0</v>
      </c>
      <c r="AF999" s="4">
        <v>12205.153414068354</v>
      </c>
      <c r="AG999" s="4">
        <v>42173.711849234453</v>
      </c>
    </row>
    <row r="1000" spans="1:33" ht="11.25" customHeight="1" x14ac:dyDescent="0.25">
      <c r="A1000" s="3" t="s">
        <v>28</v>
      </c>
      <c r="B1000" s="3" t="s">
        <v>41</v>
      </c>
      <c r="C1000" s="3" t="s">
        <v>42</v>
      </c>
      <c r="D1000" s="3" t="s">
        <v>45</v>
      </c>
      <c r="E1000" s="3" t="s">
        <v>53</v>
      </c>
      <c r="F1000" s="3" t="s">
        <v>55</v>
      </c>
      <c r="G1000" s="3" t="s">
        <v>25</v>
      </c>
      <c r="H1000" s="3" t="s">
        <v>35</v>
      </c>
      <c r="I1000" s="6">
        <v>44593</v>
      </c>
      <c r="J1000" s="4">
        <v>0</v>
      </c>
      <c r="K1000" s="4">
        <v>0</v>
      </c>
      <c r="L1000" s="4">
        <v>12.901</v>
      </c>
      <c r="M1000" s="4">
        <v>1.2901</v>
      </c>
      <c r="N1000" s="4">
        <v>12.901</v>
      </c>
      <c r="O1000" s="4">
        <v>1.2901</v>
      </c>
      <c r="P1000" s="4">
        <v>0</v>
      </c>
      <c r="Q1000" s="3" t="s">
        <v>26</v>
      </c>
      <c r="R1000" s="3">
        <v>0</v>
      </c>
      <c r="S1000" s="4">
        <v>0</v>
      </c>
      <c r="T1000" s="4">
        <v>21</v>
      </c>
      <c r="U1000" s="4">
        <v>89</v>
      </c>
      <c r="V1000" s="4">
        <v>0</v>
      </c>
      <c r="W1000" s="4">
        <v>51.27</v>
      </c>
      <c r="X1000" s="4">
        <v>222.31</v>
      </c>
      <c r="Y1000" s="4"/>
      <c r="Z1000" s="4">
        <v>68.100184485116927</v>
      </c>
      <c r="AA1000" s="4">
        <v>235.31351552243123</v>
      </c>
      <c r="AB1000" s="4">
        <v>0</v>
      </c>
      <c r="AC1000" s="4">
        <v>66.143427000000003</v>
      </c>
      <c r="AD1000" s="4">
        <v>286.80213100000003</v>
      </c>
      <c r="AE1000" s="4">
        <v>0</v>
      </c>
      <c r="AF1000" s="4">
        <v>87.856048004249345</v>
      </c>
      <c r="AG1000" s="4">
        <v>303.57796637548853</v>
      </c>
    </row>
    <row r="1001" spans="1:33" ht="11.25" customHeight="1" x14ac:dyDescent="0.25">
      <c r="A1001" s="3" t="s">
        <v>56</v>
      </c>
      <c r="B1001" s="3" t="s">
        <v>41</v>
      </c>
      <c r="C1001" s="3" t="s">
        <v>42</v>
      </c>
      <c r="D1001" s="3" t="s">
        <v>45</v>
      </c>
      <c r="E1001" s="3" t="s">
        <v>53</v>
      </c>
      <c r="F1001" s="3" t="s">
        <v>55</v>
      </c>
      <c r="G1001" s="3" t="s">
        <v>25</v>
      </c>
      <c r="H1001" s="3" t="s">
        <v>35</v>
      </c>
      <c r="I1001" s="6">
        <v>44621</v>
      </c>
      <c r="J1001" s="4">
        <v>0</v>
      </c>
      <c r="K1001" s="4">
        <v>0</v>
      </c>
      <c r="L1001" s="4">
        <v>1792.2349999999999</v>
      </c>
      <c r="M1001" s="4">
        <v>179.2235</v>
      </c>
      <c r="N1001" s="4">
        <v>1792.2349999999999</v>
      </c>
      <c r="O1001" s="4">
        <v>179.2235</v>
      </c>
      <c r="P1001" s="4">
        <v>0</v>
      </c>
      <c r="Q1001" s="3" t="s">
        <v>26</v>
      </c>
      <c r="R1001" s="3">
        <v>0</v>
      </c>
      <c r="S1001" s="4">
        <v>0</v>
      </c>
      <c r="T1001" s="4">
        <v>21</v>
      </c>
      <c r="U1001" s="4">
        <v>89</v>
      </c>
      <c r="V1001" s="4">
        <v>0</v>
      </c>
      <c r="W1001" s="4">
        <v>51.27</v>
      </c>
      <c r="X1001" s="4">
        <v>222.31</v>
      </c>
      <c r="Y1001" s="4"/>
      <c r="Z1001" s="4">
        <v>68.100184485116927</v>
      </c>
      <c r="AA1001" s="4">
        <v>235.31351552243123</v>
      </c>
      <c r="AB1001" s="4">
        <v>0</v>
      </c>
      <c r="AC1001" s="4">
        <v>9188.7888450000009</v>
      </c>
      <c r="AD1001" s="4">
        <v>39843.176285000001</v>
      </c>
      <c r="AE1001" s="4">
        <v>0</v>
      </c>
      <c r="AF1001" s="4">
        <v>12205.153414068354</v>
      </c>
      <c r="AG1001" s="4">
        <v>42173.711849234453</v>
      </c>
    </row>
    <row r="1002" spans="1:33" ht="11.25" customHeight="1" x14ac:dyDescent="0.25">
      <c r="A1002" s="3" t="s">
        <v>56</v>
      </c>
      <c r="B1002" s="3" t="s">
        <v>41</v>
      </c>
      <c r="C1002" s="3" t="s">
        <v>42</v>
      </c>
      <c r="D1002" s="3" t="s">
        <v>45</v>
      </c>
      <c r="E1002" s="3" t="s">
        <v>53</v>
      </c>
      <c r="F1002" s="3" t="s">
        <v>55</v>
      </c>
      <c r="G1002" s="3" t="s">
        <v>25</v>
      </c>
      <c r="H1002" s="3" t="s">
        <v>35</v>
      </c>
      <c r="I1002" s="6">
        <v>44621</v>
      </c>
      <c r="J1002" s="4">
        <v>0</v>
      </c>
      <c r="K1002" s="4">
        <v>0</v>
      </c>
      <c r="L1002" s="4">
        <v>12.901</v>
      </c>
      <c r="M1002" s="4">
        <v>1.2901</v>
      </c>
      <c r="N1002" s="4">
        <v>12.901</v>
      </c>
      <c r="O1002" s="4">
        <v>1.2901</v>
      </c>
      <c r="P1002" s="4">
        <v>0</v>
      </c>
      <c r="Q1002" s="3" t="s">
        <v>26</v>
      </c>
      <c r="R1002" s="3">
        <v>0</v>
      </c>
      <c r="S1002" s="4">
        <v>0</v>
      </c>
      <c r="T1002" s="4">
        <v>21</v>
      </c>
      <c r="U1002" s="4">
        <v>89</v>
      </c>
      <c r="V1002" s="4">
        <v>0</v>
      </c>
      <c r="W1002" s="4">
        <v>51.27</v>
      </c>
      <c r="X1002" s="4">
        <v>222.31</v>
      </c>
      <c r="Y1002" s="4"/>
      <c r="Z1002" s="4">
        <v>68.100184485116927</v>
      </c>
      <c r="AA1002" s="4">
        <v>235.31351552243123</v>
      </c>
      <c r="AB1002" s="4">
        <v>0</v>
      </c>
      <c r="AC1002" s="4">
        <v>66.143427000000003</v>
      </c>
      <c r="AD1002" s="4">
        <v>286.80213100000003</v>
      </c>
      <c r="AE1002" s="4">
        <v>0</v>
      </c>
      <c r="AF1002" s="4">
        <v>87.856048004249345</v>
      </c>
      <c r="AG1002" s="4">
        <v>303.57796637548853</v>
      </c>
    </row>
    <row r="1003" spans="1:33" ht="11.25" customHeight="1" x14ac:dyDescent="0.25">
      <c r="A1003" s="3" t="s">
        <v>21</v>
      </c>
      <c r="B1003" s="3" t="s">
        <v>41</v>
      </c>
      <c r="C1003" s="3" t="s">
        <v>42</v>
      </c>
      <c r="D1003" s="3" t="s">
        <v>45</v>
      </c>
      <c r="E1003" s="3" t="s">
        <v>53</v>
      </c>
      <c r="F1003" s="3" t="s">
        <v>25</v>
      </c>
      <c r="G1003" s="3" t="s">
        <v>25</v>
      </c>
      <c r="H1003" s="3" t="s">
        <v>35</v>
      </c>
      <c r="I1003" s="6">
        <v>44287</v>
      </c>
      <c r="J1003" s="4">
        <v>0</v>
      </c>
      <c r="K1003" s="56">
        <v>0</v>
      </c>
      <c r="L1003" s="4">
        <v>1096.0350000000001</v>
      </c>
      <c r="M1003" s="56">
        <v>1096.0350000000001</v>
      </c>
      <c r="N1003" s="4">
        <v>1096.0350000000001</v>
      </c>
      <c r="O1003" s="56">
        <v>1096.0350000000001</v>
      </c>
      <c r="P1003" s="4">
        <v>0</v>
      </c>
      <c r="Q1003" s="3" t="s">
        <v>26</v>
      </c>
      <c r="R1003" s="3">
        <v>0</v>
      </c>
      <c r="S1003" s="4">
        <v>0</v>
      </c>
      <c r="T1003" s="4">
        <v>21</v>
      </c>
      <c r="U1003" s="4">
        <v>89</v>
      </c>
      <c r="V1003" s="56">
        <v>0</v>
      </c>
      <c r="W1003" s="56">
        <v>49.219200000000001</v>
      </c>
      <c r="X1003" s="56">
        <v>213.41759999999999</v>
      </c>
      <c r="Y1003" s="56"/>
      <c r="Z1003" s="56">
        <v>66.738180795414593</v>
      </c>
      <c r="AA1003" s="56">
        <v>230.60724521198262</v>
      </c>
      <c r="AB1003" s="4">
        <v>0</v>
      </c>
      <c r="AC1003" s="4">
        <v>53945.965872000008</v>
      </c>
      <c r="AD1003" s="4">
        <v>233913.159216</v>
      </c>
      <c r="AE1003" s="4">
        <v>0</v>
      </c>
      <c r="AF1003" s="4">
        <v>73147.381988102235</v>
      </c>
      <c r="AG1003" s="4">
        <v>252753.61200591538</v>
      </c>
    </row>
    <row r="1004" spans="1:33" ht="11.25" customHeight="1" x14ac:dyDescent="0.25">
      <c r="A1004" s="3" t="s">
        <v>21</v>
      </c>
      <c r="B1004" s="3" t="s">
        <v>41</v>
      </c>
      <c r="C1004" s="3" t="s">
        <v>42</v>
      </c>
      <c r="D1004" s="3" t="s">
        <v>45</v>
      </c>
      <c r="E1004" s="3" t="s">
        <v>53</v>
      </c>
      <c r="F1004" s="3" t="s">
        <v>25</v>
      </c>
      <c r="G1004" s="3" t="s">
        <v>25</v>
      </c>
      <c r="H1004" s="3" t="s">
        <v>35</v>
      </c>
      <c r="I1004" s="6">
        <v>44317</v>
      </c>
      <c r="J1004" s="4">
        <v>0</v>
      </c>
      <c r="K1004" s="56">
        <v>0</v>
      </c>
      <c r="L1004" s="4">
        <v>427.09</v>
      </c>
      <c r="M1004" s="56">
        <v>427.09</v>
      </c>
      <c r="N1004" s="4">
        <v>427.09</v>
      </c>
      <c r="O1004" s="56">
        <v>427.09</v>
      </c>
      <c r="P1004" s="4">
        <v>0</v>
      </c>
      <c r="Q1004" s="3" t="s">
        <v>26</v>
      </c>
      <c r="R1004" s="3">
        <v>0</v>
      </c>
      <c r="S1004" s="4">
        <v>0</v>
      </c>
      <c r="T1004" s="4">
        <v>21</v>
      </c>
      <c r="U1004" s="4">
        <v>89</v>
      </c>
      <c r="V1004" s="56">
        <v>0</v>
      </c>
      <c r="W1004" s="56">
        <v>49.219200000000001</v>
      </c>
      <c r="X1004" s="56">
        <v>213.41759999999999</v>
      </c>
      <c r="Y1004" s="56"/>
      <c r="Z1004" s="56">
        <v>66.738180795414593</v>
      </c>
      <c r="AA1004" s="56">
        <v>230.60724521198262</v>
      </c>
      <c r="AB1004" s="4">
        <v>0</v>
      </c>
      <c r="AC1004" s="4">
        <v>21021.028127999998</v>
      </c>
      <c r="AD1004" s="4">
        <v>91148.522783999986</v>
      </c>
      <c r="AE1004" s="4">
        <v>0</v>
      </c>
      <c r="AF1004" s="4">
        <v>28503.209635913616</v>
      </c>
      <c r="AG1004" s="4">
        <v>98490.048357585649</v>
      </c>
    </row>
    <row r="1005" spans="1:33" ht="11.25" customHeight="1" x14ac:dyDescent="0.25">
      <c r="A1005" s="3" t="s">
        <v>21</v>
      </c>
      <c r="B1005" s="3" t="s">
        <v>41</v>
      </c>
      <c r="C1005" s="3" t="s">
        <v>42</v>
      </c>
      <c r="D1005" s="3" t="s">
        <v>45</v>
      </c>
      <c r="E1005" s="3" t="s">
        <v>53</v>
      </c>
      <c r="F1005" s="3" t="s">
        <v>25</v>
      </c>
      <c r="G1005" s="3" t="s">
        <v>25</v>
      </c>
      <c r="H1005" s="3" t="s">
        <v>35</v>
      </c>
      <c r="I1005" s="6">
        <v>44348</v>
      </c>
      <c r="J1005" s="4">
        <v>0</v>
      </c>
      <c r="K1005" s="56">
        <v>0</v>
      </c>
      <c r="L1005" s="4">
        <v>450.166</v>
      </c>
      <c r="M1005" s="56">
        <v>450.166</v>
      </c>
      <c r="N1005" s="4">
        <v>450.166</v>
      </c>
      <c r="O1005" s="56">
        <v>450.166</v>
      </c>
      <c r="P1005" s="4">
        <v>0</v>
      </c>
      <c r="Q1005" s="3" t="s">
        <v>26</v>
      </c>
      <c r="R1005" s="3">
        <v>0</v>
      </c>
      <c r="S1005" s="4">
        <v>0</v>
      </c>
      <c r="T1005" s="4">
        <v>21</v>
      </c>
      <c r="U1005" s="4">
        <v>89</v>
      </c>
      <c r="V1005" s="56">
        <v>0</v>
      </c>
      <c r="W1005" s="56">
        <v>49.219200000000001</v>
      </c>
      <c r="X1005" s="56">
        <v>213.41759999999999</v>
      </c>
      <c r="Y1005" s="56"/>
      <c r="Z1005" s="56">
        <v>66.738180795414593</v>
      </c>
      <c r="AA1005" s="56">
        <v>230.60724521198262</v>
      </c>
      <c r="AB1005" s="4">
        <v>0</v>
      </c>
      <c r="AC1005" s="4">
        <v>22156.810387199999</v>
      </c>
      <c r="AD1005" s="4">
        <v>96073.347321599998</v>
      </c>
      <c r="AE1005" s="4">
        <v>0</v>
      </c>
      <c r="AF1005" s="4">
        <v>30043.259895948606</v>
      </c>
      <c r="AG1005" s="4">
        <v>103811.54114809737</v>
      </c>
    </row>
    <row r="1006" spans="1:33" ht="11.25" customHeight="1" x14ac:dyDescent="0.25">
      <c r="A1006" s="3" t="s">
        <v>21</v>
      </c>
      <c r="B1006" s="3" t="s">
        <v>41</v>
      </c>
      <c r="C1006" s="3" t="s">
        <v>42</v>
      </c>
      <c r="D1006" s="3" t="s">
        <v>45</v>
      </c>
      <c r="E1006" s="3" t="s">
        <v>53</v>
      </c>
      <c r="F1006" s="3" t="s">
        <v>25</v>
      </c>
      <c r="G1006" s="3" t="s">
        <v>25</v>
      </c>
      <c r="H1006" s="3" t="s">
        <v>35</v>
      </c>
      <c r="I1006" s="6">
        <v>44378</v>
      </c>
      <c r="J1006" s="4">
        <v>0</v>
      </c>
      <c r="K1006" s="56">
        <v>0</v>
      </c>
      <c r="L1006" s="4">
        <v>491.87799999999999</v>
      </c>
      <c r="M1006" s="56">
        <v>491.87799999999999</v>
      </c>
      <c r="N1006" s="4">
        <v>491.87799999999999</v>
      </c>
      <c r="O1006" s="56">
        <v>491.87799999999999</v>
      </c>
      <c r="P1006" s="4">
        <v>0</v>
      </c>
      <c r="Q1006" s="3" t="s">
        <v>26</v>
      </c>
      <c r="R1006" s="3">
        <v>0</v>
      </c>
      <c r="S1006" s="4">
        <v>0</v>
      </c>
      <c r="T1006" s="4">
        <v>21</v>
      </c>
      <c r="U1006" s="4">
        <v>89</v>
      </c>
      <c r="V1006" s="56">
        <v>0</v>
      </c>
      <c r="W1006" s="56">
        <v>49.219200000000001</v>
      </c>
      <c r="X1006" s="56">
        <v>213.41759999999999</v>
      </c>
      <c r="Y1006" s="56"/>
      <c r="Z1006" s="56">
        <v>66.738180795414593</v>
      </c>
      <c r="AA1006" s="56">
        <v>230.60724521198262</v>
      </c>
      <c r="AB1006" s="4">
        <v>0</v>
      </c>
      <c r="AC1006" s="4">
        <v>24209.841657599998</v>
      </c>
      <c r="AD1006" s="4">
        <v>104975.4222528</v>
      </c>
      <c r="AE1006" s="4">
        <v>0</v>
      </c>
      <c r="AF1006" s="4">
        <v>32827.04289328694</v>
      </c>
      <c r="AG1006" s="4">
        <v>113430.63056037958</v>
      </c>
    </row>
    <row r="1007" spans="1:33" ht="11.25" customHeight="1" x14ac:dyDescent="0.25">
      <c r="A1007" s="3" t="s">
        <v>21</v>
      </c>
      <c r="B1007" s="3" t="s">
        <v>41</v>
      </c>
      <c r="C1007" s="3" t="s">
        <v>42</v>
      </c>
      <c r="D1007" s="3" t="s">
        <v>45</v>
      </c>
      <c r="E1007" s="3" t="s">
        <v>53</v>
      </c>
      <c r="F1007" s="3" t="s">
        <v>25</v>
      </c>
      <c r="G1007" s="3" t="s">
        <v>25</v>
      </c>
      <c r="H1007" s="3" t="s">
        <v>35</v>
      </c>
      <c r="I1007" s="6">
        <v>44409</v>
      </c>
      <c r="J1007" s="4">
        <v>0</v>
      </c>
      <c r="K1007" s="56">
        <v>0</v>
      </c>
      <c r="L1007" s="4">
        <v>727.86099999999999</v>
      </c>
      <c r="M1007" s="56">
        <v>727.86099999999999</v>
      </c>
      <c r="N1007" s="4">
        <v>727.86099999999999</v>
      </c>
      <c r="O1007" s="56">
        <v>727.86099999999999</v>
      </c>
      <c r="P1007" s="4">
        <v>0</v>
      </c>
      <c r="Q1007" s="3" t="s">
        <v>26</v>
      </c>
      <c r="R1007" s="3">
        <v>0</v>
      </c>
      <c r="S1007" s="4">
        <v>0</v>
      </c>
      <c r="T1007" s="4">
        <v>21</v>
      </c>
      <c r="U1007" s="4">
        <v>89</v>
      </c>
      <c r="V1007" s="56">
        <v>0</v>
      </c>
      <c r="W1007" s="56">
        <v>49.219200000000001</v>
      </c>
      <c r="X1007" s="56">
        <v>213.41759999999999</v>
      </c>
      <c r="Y1007" s="56"/>
      <c r="Z1007" s="56">
        <v>66.738180795414593</v>
      </c>
      <c r="AA1007" s="56">
        <v>230.60724521198262</v>
      </c>
      <c r="AB1007" s="4">
        <v>0</v>
      </c>
      <c r="AC1007" s="4">
        <v>35824.736131199999</v>
      </c>
      <c r="AD1007" s="4">
        <v>155338.34775359998</v>
      </c>
      <c r="AE1007" s="4">
        <v>0</v>
      </c>
      <c r="AF1007" s="4">
        <v>48576.11901193126</v>
      </c>
      <c r="AG1007" s="4">
        <v>167850.02010723887</v>
      </c>
    </row>
    <row r="1008" spans="1:33" ht="11.25" customHeight="1" x14ac:dyDescent="0.25">
      <c r="A1008" s="3" t="s">
        <v>21</v>
      </c>
      <c r="B1008" s="3" t="s">
        <v>41</v>
      </c>
      <c r="C1008" s="3" t="s">
        <v>42</v>
      </c>
      <c r="D1008" s="3" t="s">
        <v>45</v>
      </c>
      <c r="E1008" s="3" t="s">
        <v>53</v>
      </c>
      <c r="F1008" s="3" t="s">
        <v>25</v>
      </c>
      <c r="G1008" s="3" t="s">
        <v>25</v>
      </c>
      <c r="H1008" s="3" t="s">
        <v>35</v>
      </c>
      <c r="I1008" s="6">
        <v>44440</v>
      </c>
      <c r="J1008" s="4">
        <v>0</v>
      </c>
      <c r="K1008" s="56">
        <v>0</v>
      </c>
      <c r="L1008" s="4">
        <v>1022.833</v>
      </c>
      <c r="M1008" s="56">
        <v>1022.833</v>
      </c>
      <c r="N1008" s="4">
        <v>1022.833</v>
      </c>
      <c r="O1008" s="56">
        <v>1022.833</v>
      </c>
      <c r="P1008" s="4">
        <v>0</v>
      </c>
      <c r="Q1008" s="3" t="s">
        <v>26</v>
      </c>
      <c r="R1008" s="3">
        <v>0</v>
      </c>
      <c r="S1008" s="4">
        <v>0</v>
      </c>
      <c r="T1008" s="4">
        <v>21</v>
      </c>
      <c r="U1008" s="4">
        <v>89</v>
      </c>
      <c r="V1008" s="56">
        <v>0</v>
      </c>
      <c r="W1008" s="56">
        <v>49.219200000000001</v>
      </c>
      <c r="X1008" s="56">
        <v>213.41759999999999</v>
      </c>
      <c r="Y1008" s="56"/>
      <c r="Z1008" s="56">
        <v>66.738180795414593</v>
      </c>
      <c r="AA1008" s="56">
        <v>230.60724521198262</v>
      </c>
      <c r="AB1008" s="4">
        <v>0</v>
      </c>
      <c r="AC1008" s="4">
        <v>50343.021993599999</v>
      </c>
      <c r="AD1008" s="4">
        <v>218290.56406079998</v>
      </c>
      <c r="AE1008" s="4">
        <v>0</v>
      </c>
      <c r="AF1008" s="4">
        <v>68262.013677516297</v>
      </c>
      <c r="AG1008" s="4">
        <v>235872.7004419078</v>
      </c>
    </row>
    <row r="1009" spans="1:33" ht="11.25" customHeight="1" x14ac:dyDescent="0.25">
      <c r="A1009" s="3" t="s">
        <v>21</v>
      </c>
      <c r="B1009" s="3" t="s">
        <v>41</v>
      </c>
      <c r="C1009" s="3" t="s">
        <v>42</v>
      </c>
      <c r="D1009" s="3" t="s">
        <v>45</v>
      </c>
      <c r="E1009" s="3" t="s">
        <v>53</v>
      </c>
      <c r="F1009" s="3" t="s">
        <v>25</v>
      </c>
      <c r="G1009" s="3" t="s">
        <v>25</v>
      </c>
      <c r="H1009" s="3" t="s">
        <v>35</v>
      </c>
      <c r="I1009" s="6">
        <v>44470</v>
      </c>
      <c r="J1009" s="4">
        <v>0</v>
      </c>
      <c r="K1009" s="56">
        <v>0</v>
      </c>
      <c r="L1009" s="4">
        <v>1571.626</v>
      </c>
      <c r="M1009" s="56">
        <v>1571.626</v>
      </c>
      <c r="N1009" s="4">
        <v>1571.626</v>
      </c>
      <c r="O1009" s="56">
        <v>1571.626</v>
      </c>
      <c r="P1009" s="4">
        <v>0</v>
      </c>
      <c r="Q1009" s="3" t="s">
        <v>26</v>
      </c>
      <c r="R1009" s="3">
        <v>0</v>
      </c>
      <c r="S1009" s="4">
        <v>0</v>
      </c>
      <c r="T1009" s="4">
        <v>21</v>
      </c>
      <c r="U1009" s="4">
        <v>89</v>
      </c>
      <c r="V1009" s="56">
        <v>0</v>
      </c>
      <c r="W1009" s="56">
        <v>49.219200000000001</v>
      </c>
      <c r="X1009" s="56">
        <v>213.41759999999999</v>
      </c>
      <c r="Y1009" s="56"/>
      <c r="Z1009" s="56">
        <v>66.738180795414593</v>
      </c>
      <c r="AA1009" s="56">
        <v>230.60724521198262</v>
      </c>
      <c r="AB1009" s="4">
        <v>0</v>
      </c>
      <c r="AC1009" s="4">
        <v>77354.174419200004</v>
      </c>
      <c r="AD1009" s="4">
        <v>335412.64901759999</v>
      </c>
      <c r="AE1009" s="4">
        <v>0</v>
      </c>
      <c r="AF1009" s="4">
        <v>104887.46013077426</v>
      </c>
      <c r="AG1009" s="4">
        <v>362428.34236352739</v>
      </c>
    </row>
    <row r="1010" spans="1:33" ht="11.25" customHeight="1" x14ac:dyDescent="0.25">
      <c r="A1010" s="3" t="s">
        <v>21</v>
      </c>
      <c r="B1010" s="3" t="s">
        <v>41</v>
      </c>
      <c r="C1010" s="3" t="s">
        <v>42</v>
      </c>
      <c r="D1010" s="3" t="s">
        <v>45</v>
      </c>
      <c r="E1010" s="3" t="s">
        <v>53</v>
      </c>
      <c r="F1010" s="3" t="s">
        <v>25</v>
      </c>
      <c r="G1010" s="3" t="s">
        <v>25</v>
      </c>
      <c r="H1010" s="3" t="s">
        <v>35</v>
      </c>
      <c r="I1010" s="6">
        <v>44501</v>
      </c>
      <c r="J1010" s="4">
        <v>0</v>
      </c>
      <c r="K1010" s="56">
        <v>0</v>
      </c>
      <c r="L1010" s="4">
        <v>1609.27</v>
      </c>
      <c r="M1010" s="56">
        <v>1609.27</v>
      </c>
      <c r="N1010" s="4">
        <v>1609.27</v>
      </c>
      <c r="O1010" s="56">
        <v>1609.27</v>
      </c>
      <c r="P1010" s="4">
        <v>0</v>
      </c>
      <c r="Q1010" s="3" t="s">
        <v>26</v>
      </c>
      <c r="R1010" s="3">
        <v>0</v>
      </c>
      <c r="S1010" s="4">
        <v>0</v>
      </c>
      <c r="T1010" s="4">
        <v>21</v>
      </c>
      <c r="U1010" s="4">
        <v>89</v>
      </c>
      <c r="V1010" s="56">
        <v>0</v>
      </c>
      <c r="W1010" s="56">
        <v>49.219200000000001</v>
      </c>
      <c r="X1010" s="56">
        <v>213.41759999999999</v>
      </c>
      <c r="Y1010" s="56"/>
      <c r="Z1010" s="56">
        <v>66.738180795414593</v>
      </c>
      <c r="AA1010" s="56">
        <v>230.60724521198262</v>
      </c>
      <c r="AB1010" s="4">
        <v>0</v>
      </c>
      <c r="AC1010" s="4">
        <v>79206.981983999998</v>
      </c>
      <c r="AD1010" s="4">
        <v>343446.54115199996</v>
      </c>
      <c r="AE1010" s="4">
        <v>0</v>
      </c>
      <c r="AF1010" s="4">
        <v>107399.75220863684</v>
      </c>
      <c r="AG1010" s="4">
        <v>371109.32150228723</v>
      </c>
    </row>
    <row r="1011" spans="1:33" ht="11.25" customHeight="1" x14ac:dyDescent="0.25">
      <c r="A1011" s="3" t="s">
        <v>21</v>
      </c>
      <c r="B1011" s="3" t="s">
        <v>41</v>
      </c>
      <c r="C1011" s="3" t="s">
        <v>42</v>
      </c>
      <c r="D1011" s="3" t="s">
        <v>45</v>
      </c>
      <c r="E1011" s="3" t="s">
        <v>53</v>
      </c>
      <c r="F1011" s="3" t="s">
        <v>25</v>
      </c>
      <c r="G1011" s="3" t="s">
        <v>25</v>
      </c>
      <c r="H1011" s="3" t="s">
        <v>35</v>
      </c>
      <c r="I1011" s="6">
        <v>44531</v>
      </c>
      <c r="J1011" s="4">
        <v>0</v>
      </c>
      <c r="K1011" s="56">
        <v>0</v>
      </c>
      <c r="L1011" s="4">
        <v>1207.7719999999999</v>
      </c>
      <c r="M1011" s="56">
        <v>1207.7719999999999</v>
      </c>
      <c r="N1011" s="4">
        <v>1207.7719999999999</v>
      </c>
      <c r="O1011" s="56">
        <v>1207.7719999999999</v>
      </c>
      <c r="P1011" s="4">
        <v>0</v>
      </c>
      <c r="Q1011" s="3" t="s">
        <v>26</v>
      </c>
      <c r="R1011" s="3">
        <v>0</v>
      </c>
      <c r="S1011" s="4">
        <v>0</v>
      </c>
      <c r="T1011" s="4">
        <v>21</v>
      </c>
      <c r="U1011" s="4">
        <v>89</v>
      </c>
      <c r="V1011" s="56">
        <v>0</v>
      </c>
      <c r="W1011" s="56">
        <v>49.219200000000001</v>
      </c>
      <c r="X1011" s="56">
        <v>213.41759999999999</v>
      </c>
      <c r="Y1011" s="56"/>
      <c r="Z1011" s="56">
        <v>66.738180795414593</v>
      </c>
      <c r="AA1011" s="56">
        <v>230.60724521198262</v>
      </c>
      <c r="AB1011" s="4">
        <v>0</v>
      </c>
      <c r="AC1011" s="4">
        <v>59445.571622399999</v>
      </c>
      <c r="AD1011" s="4">
        <v>257759.80158719997</v>
      </c>
      <c r="AE1011" s="4">
        <v>0</v>
      </c>
      <c r="AF1011" s="4">
        <v>80604.506095639474</v>
      </c>
      <c r="AG1011" s="4">
        <v>278520.97376416664</v>
      </c>
    </row>
    <row r="1012" spans="1:33" ht="11.25" customHeight="1" x14ac:dyDescent="0.25">
      <c r="A1012" s="3" t="s">
        <v>21</v>
      </c>
      <c r="B1012" s="3" t="s">
        <v>41</v>
      </c>
      <c r="C1012" s="3" t="s">
        <v>42</v>
      </c>
      <c r="D1012" s="3" t="s">
        <v>45</v>
      </c>
      <c r="E1012" s="3" t="s">
        <v>53</v>
      </c>
      <c r="F1012" s="3" t="s">
        <v>25</v>
      </c>
      <c r="G1012" s="3" t="s">
        <v>25</v>
      </c>
      <c r="H1012" s="3" t="s">
        <v>35</v>
      </c>
      <c r="I1012" s="6">
        <v>44562</v>
      </c>
      <c r="J1012" s="4">
        <v>0</v>
      </c>
      <c r="K1012" s="56">
        <v>0</v>
      </c>
      <c r="L1012" s="4">
        <v>1060.73</v>
      </c>
      <c r="M1012" s="56">
        <v>1060.73</v>
      </c>
      <c r="N1012" s="4">
        <v>1060.73</v>
      </c>
      <c r="O1012" s="56">
        <v>1060.73</v>
      </c>
      <c r="P1012" s="4">
        <v>0</v>
      </c>
      <c r="Q1012" s="3" t="s">
        <v>26</v>
      </c>
      <c r="R1012" s="3">
        <v>0</v>
      </c>
      <c r="S1012" s="4">
        <v>0</v>
      </c>
      <c r="T1012" s="4">
        <v>21</v>
      </c>
      <c r="U1012" s="4">
        <v>89</v>
      </c>
      <c r="V1012" s="56">
        <v>0</v>
      </c>
      <c r="W1012" s="56">
        <v>49.219200000000001</v>
      </c>
      <c r="X1012" s="56">
        <v>213.41759999999999</v>
      </c>
      <c r="Y1012" s="56"/>
      <c r="Z1012" s="56">
        <v>66.738180795414593</v>
      </c>
      <c r="AA1012" s="56">
        <v>230.60724521198262</v>
      </c>
      <c r="AB1012" s="4">
        <v>0</v>
      </c>
      <c r="AC1012" s="4">
        <v>52208.282016000005</v>
      </c>
      <c r="AD1012" s="4">
        <v>226378.45084800001</v>
      </c>
      <c r="AE1012" s="4">
        <v>0</v>
      </c>
      <c r="AF1012" s="4">
        <v>70791.190515120121</v>
      </c>
      <c r="AG1012" s="4">
        <v>244612.02321370633</v>
      </c>
    </row>
    <row r="1013" spans="1:33" ht="11.25" customHeight="1" x14ac:dyDescent="0.25">
      <c r="A1013" s="3" t="s">
        <v>27</v>
      </c>
      <c r="B1013" s="3" t="s">
        <v>41</v>
      </c>
      <c r="C1013" s="3" t="s">
        <v>42</v>
      </c>
      <c r="D1013" s="3" t="s">
        <v>45</v>
      </c>
      <c r="E1013" s="3" t="s">
        <v>53</v>
      </c>
      <c r="F1013" s="3" t="s">
        <v>25</v>
      </c>
      <c r="G1013" s="3" t="s">
        <v>25</v>
      </c>
      <c r="H1013" s="3" t="s">
        <v>35</v>
      </c>
      <c r="I1013" s="6">
        <v>44562</v>
      </c>
      <c r="J1013" s="4">
        <v>0</v>
      </c>
      <c r="K1013" s="56">
        <v>0</v>
      </c>
      <c r="L1013" s="4">
        <v>85.790999999999997</v>
      </c>
      <c r="M1013" s="56">
        <v>85.790999999999997</v>
      </c>
      <c r="N1013" s="4">
        <v>85.790999999999997</v>
      </c>
      <c r="O1013" s="56">
        <v>85.790999999999997</v>
      </c>
      <c r="P1013" s="4">
        <v>0</v>
      </c>
      <c r="Q1013" s="3" t="s">
        <v>26</v>
      </c>
      <c r="R1013" s="3">
        <v>0</v>
      </c>
      <c r="S1013" s="4">
        <v>0</v>
      </c>
      <c r="T1013" s="4">
        <v>21</v>
      </c>
      <c r="U1013" s="4">
        <v>89</v>
      </c>
      <c r="V1013" s="56">
        <v>0</v>
      </c>
      <c r="W1013" s="56">
        <v>49.219200000000001</v>
      </c>
      <c r="X1013" s="56">
        <v>213.41759999999999</v>
      </c>
      <c r="Y1013" s="56"/>
      <c r="Z1013" s="56">
        <v>66.738180795414593</v>
      </c>
      <c r="AA1013" s="56">
        <v>230.60724521198262</v>
      </c>
      <c r="AB1013" s="4">
        <v>0</v>
      </c>
      <c r="AC1013" s="4">
        <v>4222.5643872000001</v>
      </c>
      <c r="AD1013" s="4">
        <v>18309.309321599998</v>
      </c>
      <c r="AE1013" s="4">
        <v>0</v>
      </c>
      <c r="AF1013" s="4">
        <v>5725.5352686194128</v>
      </c>
      <c r="AG1013" s="4">
        <v>19784.026173981201</v>
      </c>
    </row>
    <row r="1014" spans="1:33" ht="11.25" customHeight="1" x14ac:dyDescent="0.25">
      <c r="A1014" s="3" t="s">
        <v>28</v>
      </c>
      <c r="B1014" s="3" t="s">
        <v>41</v>
      </c>
      <c r="C1014" s="3" t="s">
        <v>42</v>
      </c>
      <c r="D1014" s="3" t="s">
        <v>45</v>
      </c>
      <c r="E1014" s="3" t="s">
        <v>53</v>
      </c>
      <c r="F1014" s="3" t="s">
        <v>25</v>
      </c>
      <c r="G1014" s="3" t="s">
        <v>25</v>
      </c>
      <c r="H1014" s="3" t="s">
        <v>35</v>
      </c>
      <c r="I1014" s="6">
        <v>44562</v>
      </c>
      <c r="J1014" s="4">
        <v>0</v>
      </c>
      <c r="K1014" s="56">
        <v>0</v>
      </c>
      <c r="L1014" s="4">
        <v>5.7910000000000004</v>
      </c>
      <c r="M1014" s="56">
        <v>5.7910000000000004</v>
      </c>
      <c r="N1014" s="4">
        <v>5.7910000000000004</v>
      </c>
      <c r="O1014" s="56">
        <v>5.7910000000000004</v>
      </c>
      <c r="P1014" s="4">
        <v>0</v>
      </c>
      <c r="Q1014" s="3" t="s">
        <v>26</v>
      </c>
      <c r="R1014" s="3">
        <v>0</v>
      </c>
      <c r="S1014" s="4">
        <v>0</v>
      </c>
      <c r="T1014" s="4">
        <v>21</v>
      </c>
      <c r="U1014" s="4">
        <v>89</v>
      </c>
      <c r="V1014" s="56">
        <v>0</v>
      </c>
      <c r="W1014" s="56">
        <v>49.219200000000001</v>
      </c>
      <c r="X1014" s="56">
        <v>213.41759999999999</v>
      </c>
      <c r="Y1014" s="56"/>
      <c r="Z1014" s="56">
        <v>66.738180795414593</v>
      </c>
      <c r="AA1014" s="56">
        <v>230.60724521198262</v>
      </c>
      <c r="AB1014" s="4">
        <v>0</v>
      </c>
      <c r="AC1014" s="4">
        <v>285.0283872</v>
      </c>
      <c r="AD1014" s="4">
        <v>1235.9013216000001</v>
      </c>
      <c r="AE1014" s="4">
        <v>0</v>
      </c>
      <c r="AF1014" s="4">
        <v>386.48080498624591</v>
      </c>
      <c r="AG1014" s="4">
        <v>1335.4465570225914</v>
      </c>
    </row>
    <row r="1015" spans="1:33" ht="11.25" customHeight="1" x14ac:dyDescent="0.25">
      <c r="A1015" s="3" t="s">
        <v>21</v>
      </c>
      <c r="B1015" s="3" t="s">
        <v>41</v>
      </c>
      <c r="C1015" s="3" t="s">
        <v>42</v>
      </c>
      <c r="D1015" s="3" t="s">
        <v>45</v>
      </c>
      <c r="E1015" s="3" t="s">
        <v>53</v>
      </c>
      <c r="F1015" s="3" t="s">
        <v>25</v>
      </c>
      <c r="G1015" s="3" t="s">
        <v>25</v>
      </c>
      <c r="H1015" s="3" t="s">
        <v>35</v>
      </c>
      <c r="I1015" s="6">
        <v>44593</v>
      </c>
      <c r="J1015" s="4">
        <v>0</v>
      </c>
      <c r="K1015" s="56">
        <v>0</v>
      </c>
      <c r="L1015" s="4">
        <v>1647.443</v>
      </c>
      <c r="M1015" s="56">
        <v>1647.443</v>
      </c>
      <c r="N1015" s="4">
        <v>1647.443</v>
      </c>
      <c r="O1015" s="56">
        <v>1647.443</v>
      </c>
      <c r="P1015" s="4">
        <v>0</v>
      </c>
      <c r="Q1015" s="3" t="s">
        <v>26</v>
      </c>
      <c r="R1015" s="3">
        <v>0</v>
      </c>
      <c r="S1015" s="4">
        <v>0</v>
      </c>
      <c r="T1015" s="4">
        <v>21</v>
      </c>
      <c r="U1015" s="4">
        <v>89</v>
      </c>
      <c r="V1015" s="56">
        <v>0</v>
      </c>
      <c r="W1015" s="56">
        <v>49.219200000000001</v>
      </c>
      <c r="X1015" s="56">
        <v>213.41759999999999</v>
      </c>
      <c r="Y1015" s="56"/>
      <c r="Z1015" s="56">
        <v>66.738180795414593</v>
      </c>
      <c r="AA1015" s="56">
        <v>230.60724521198262</v>
      </c>
      <c r="AB1015" s="4">
        <v>0</v>
      </c>
      <c r="AC1015" s="4">
        <v>81085.826505599995</v>
      </c>
      <c r="AD1015" s="4">
        <v>351593.33119679999</v>
      </c>
      <c r="AE1015" s="4">
        <v>0</v>
      </c>
      <c r="AF1015" s="4">
        <v>109947.34878414019</v>
      </c>
      <c r="AG1015" s="4">
        <v>379912.29187376425</v>
      </c>
    </row>
    <row r="1016" spans="1:33" ht="11.25" customHeight="1" x14ac:dyDescent="0.25">
      <c r="A1016" s="3" t="s">
        <v>27</v>
      </c>
      <c r="B1016" s="3" t="s">
        <v>41</v>
      </c>
      <c r="C1016" s="3" t="s">
        <v>42</v>
      </c>
      <c r="D1016" s="3" t="s">
        <v>45</v>
      </c>
      <c r="E1016" s="3" t="s">
        <v>53</v>
      </c>
      <c r="F1016" s="3" t="s">
        <v>25</v>
      </c>
      <c r="G1016" s="3" t="s">
        <v>25</v>
      </c>
      <c r="H1016" s="3" t="s">
        <v>35</v>
      </c>
      <c r="I1016" s="6">
        <v>44593</v>
      </c>
      <c r="J1016" s="4">
        <v>0</v>
      </c>
      <c r="K1016" s="56">
        <v>0</v>
      </c>
      <c r="L1016" s="4">
        <v>8.2000000000000003E-2</v>
      </c>
      <c r="M1016" s="56">
        <v>8.2000000000000003E-2</v>
      </c>
      <c r="N1016" s="4">
        <v>8.2000000000000003E-2</v>
      </c>
      <c r="O1016" s="56">
        <v>8.2000000000000003E-2</v>
      </c>
      <c r="P1016" s="4">
        <v>0</v>
      </c>
      <c r="Q1016" s="3" t="s">
        <v>26</v>
      </c>
      <c r="R1016" s="3">
        <v>0</v>
      </c>
      <c r="S1016" s="4">
        <v>0</v>
      </c>
      <c r="T1016" s="4">
        <v>21</v>
      </c>
      <c r="U1016" s="4">
        <v>89</v>
      </c>
      <c r="V1016" s="56">
        <v>0</v>
      </c>
      <c r="W1016" s="56">
        <v>49.219200000000001</v>
      </c>
      <c r="X1016" s="56">
        <v>213.41759999999999</v>
      </c>
      <c r="Y1016" s="56"/>
      <c r="Z1016" s="56">
        <v>66.738180795414593</v>
      </c>
      <c r="AA1016" s="56">
        <v>230.60724521198262</v>
      </c>
      <c r="AB1016" s="4">
        <v>0</v>
      </c>
      <c r="AC1016" s="4">
        <v>4.0359744000000006</v>
      </c>
      <c r="AD1016" s="4">
        <v>17.5002432</v>
      </c>
      <c r="AE1016" s="4">
        <v>0</v>
      </c>
      <c r="AF1016" s="4">
        <v>5.4725308252239966</v>
      </c>
      <c r="AG1016" s="4">
        <v>18.909794107382574</v>
      </c>
    </row>
    <row r="1017" spans="1:33" ht="11.25" customHeight="1" x14ac:dyDescent="0.25">
      <c r="A1017" s="3" t="s">
        <v>28</v>
      </c>
      <c r="B1017" s="3" t="s">
        <v>41</v>
      </c>
      <c r="C1017" s="3" t="s">
        <v>42</v>
      </c>
      <c r="D1017" s="3" t="s">
        <v>45</v>
      </c>
      <c r="E1017" s="3" t="s">
        <v>53</v>
      </c>
      <c r="F1017" s="3" t="s">
        <v>25</v>
      </c>
      <c r="G1017" s="3" t="s">
        <v>25</v>
      </c>
      <c r="H1017" s="3" t="s">
        <v>35</v>
      </c>
      <c r="I1017" s="6">
        <v>44593</v>
      </c>
      <c r="J1017" s="4">
        <v>0</v>
      </c>
      <c r="K1017" s="56">
        <v>0</v>
      </c>
      <c r="L1017" s="4">
        <v>5.101</v>
      </c>
      <c r="M1017" s="56">
        <v>5.101</v>
      </c>
      <c r="N1017" s="4">
        <v>5.101</v>
      </c>
      <c r="O1017" s="56">
        <v>5.101</v>
      </c>
      <c r="P1017" s="4">
        <v>0</v>
      </c>
      <c r="Q1017" s="3" t="s">
        <v>26</v>
      </c>
      <c r="R1017" s="3">
        <v>0</v>
      </c>
      <c r="S1017" s="4">
        <v>0</v>
      </c>
      <c r="T1017" s="4">
        <v>21</v>
      </c>
      <c r="U1017" s="4">
        <v>89</v>
      </c>
      <c r="V1017" s="56">
        <v>0</v>
      </c>
      <c r="W1017" s="56">
        <v>49.219200000000001</v>
      </c>
      <c r="X1017" s="56">
        <v>213.41759999999999</v>
      </c>
      <c r="Y1017" s="56"/>
      <c r="Z1017" s="56">
        <v>66.738180795414593</v>
      </c>
      <c r="AA1017" s="56">
        <v>230.60724521198262</v>
      </c>
      <c r="AB1017" s="4">
        <v>0</v>
      </c>
      <c r="AC1017" s="4">
        <v>251.06713920000001</v>
      </c>
      <c r="AD1017" s="4">
        <v>1088.6431775999999</v>
      </c>
      <c r="AE1017" s="4">
        <v>0</v>
      </c>
      <c r="AF1017" s="4">
        <v>340.43146023740985</v>
      </c>
      <c r="AG1017" s="4">
        <v>1176.3275578263233</v>
      </c>
    </row>
    <row r="1018" spans="1:33" ht="11.25" customHeight="1" x14ac:dyDescent="0.25">
      <c r="A1018" s="3" t="s">
        <v>56</v>
      </c>
      <c r="B1018" s="3" t="s">
        <v>41</v>
      </c>
      <c r="C1018" s="3" t="s">
        <v>42</v>
      </c>
      <c r="D1018" s="3" t="s">
        <v>45</v>
      </c>
      <c r="E1018" s="3" t="s">
        <v>53</v>
      </c>
      <c r="F1018" s="3" t="s">
        <v>25</v>
      </c>
      <c r="G1018" s="3" t="s">
        <v>25</v>
      </c>
      <c r="H1018" s="3" t="s">
        <v>35</v>
      </c>
      <c r="I1018" s="6">
        <v>44621</v>
      </c>
      <c r="J1018" s="4">
        <v>0</v>
      </c>
      <c r="K1018" s="56">
        <v>0</v>
      </c>
      <c r="L1018" s="4">
        <v>1647.443</v>
      </c>
      <c r="M1018" s="56">
        <v>1647.443</v>
      </c>
      <c r="N1018" s="4">
        <v>1647.443</v>
      </c>
      <c r="O1018" s="56">
        <v>1647.443</v>
      </c>
      <c r="P1018" s="4">
        <v>0</v>
      </c>
      <c r="Q1018" s="3" t="s">
        <v>26</v>
      </c>
      <c r="R1018" s="3">
        <v>0</v>
      </c>
      <c r="S1018" s="4">
        <v>0</v>
      </c>
      <c r="T1018" s="4">
        <v>21</v>
      </c>
      <c r="U1018" s="4">
        <v>89</v>
      </c>
      <c r="V1018" s="56">
        <v>0</v>
      </c>
      <c r="W1018" s="56">
        <v>49.219200000000001</v>
      </c>
      <c r="X1018" s="56">
        <v>213.41759999999999</v>
      </c>
      <c r="Y1018" s="56"/>
      <c r="Z1018" s="56">
        <v>66.738180795414593</v>
      </c>
      <c r="AA1018" s="56">
        <v>230.60724521198262</v>
      </c>
      <c r="AB1018" s="4">
        <v>0</v>
      </c>
      <c r="AC1018" s="4">
        <v>81085.826505599995</v>
      </c>
      <c r="AD1018" s="4">
        <v>351593.33119679999</v>
      </c>
      <c r="AE1018" s="4">
        <v>0</v>
      </c>
      <c r="AF1018" s="4">
        <v>109947.34878414019</v>
      </c>
      <c r="AG1018" s="4">
        <v>379912.29187376425</v>
      </c>
    </row>
    <row r="1019" spans="1:33" ht="11.25" customHeight="1" x14ac:dyDescent="0.25">
      <c r="A1019" s="3" t="s">
        <v>56</v>
      </c>
      <c r="B1019" s="3" t="s">
        <v>41</v>
      </c>
      <c r="C1019" s="3" t="s">
        <v>42</v>
      </c>
      <c r="D1019" s="3" t="s">
        <v>45</v>
      </c>
      <c r="E1019" s="3" t="s">
        <v>53</v>
      </c>
      <c r="F1019" s="3" t="s">
        <v>25</v>
      </c>
      <c r="G1019" s="3" t="s">
        <v>25</v>
      </c>
      <c r="H1019" s="3" t="s">
        <v>35</v>
      </c>
      <c r="I1019" s="6">
        <v>44621</v>
      </c>
      <c r="J1019" s="4">
        <v>0</v>
      </c>
      <c r="K1019" s="56">
        <v>0</v>
      </c>
      <c r="L1019" s="4">
        <v>8.2000000000000003E-2</v>
      </c>
      <c r="M1019" s="56">
        <v>8.2000000000000003E-2</v>
      </c>
      <c r="N1019" s="4">
        <v>8.2000000000000003E-2</v>
      </c>
      <c r="O1019" s="56">
        <v>8.2000000000000003E-2</v>
      </c>
      <c r="P1019" s="4">
        <v>0</v>
      </c>
      <c r="Q1019" s="3" t="s">
        <v>26</v>
      </c>
      <c r="R1019" s="3">
        <v>0</v>
      </c>
      <c r="S1019" s="4">
        <v>0</v>
      </c>
      <c r="T1019" s="4">
        <v>21</v>
      </c>
      <c r="U1019" s="4">
        <v>89</v>
      </c>
      <c r="V1019" s="56">
        <v>0</v>
      </c>
      <c r="W1019" s="56">
        <v>49.219200000000001</v>
      </c>
      <c r="X1019" s="56">
        <v>213.41759999999999</v>
      </c>
      <c r="Y1019" s="56"/>
      <c r="Z1019" s="56">
        <v>66.738180795414593</v>
      </c>
      <c r="AA1019" s="56">
        <v>230.60724521198262</v>
      </c>
      <c r="AB1019" s="4">
        <v>0</v>
      </c>
      <c r="AC1019" s="4">
        <v>4.0359744000000006</v>
      </c>
      <c r="AD1019" s="4">
        <v>17.5002432</v>
      </c>
      <c r="AE1019" s="4">
        <v>0</v>
      </c>
      <c r="AF1019" s="4">
        <v>5.4725308252239966</v>
      </c>
      <c r="AG1019" s="4">
        <v>18.909794107382574</v>
      </c>
    </row>
    <row r="1020" spans="1:33" ht="11.25" customHeight="1" x14ac:dyDescent="0.25">
      <c r="A1020" s="3" t="s">
        <v>56</v>
      </c>
      <c r="B1020" s="3" t="s">
        <v>41</v>
      </c>
      <c r="C1020" s="3" t="s">
        <v>42</v>
      </c>
      <c r="D1020" s="3" t="s">
        <v>45</v>
      </c>
      <c r="E1020" s="3" t="s">
        <v>53</v>
      </c>
      <c r="F1020" s="3" t="s">
        <v>25</v>
      </c>
      <c r="G1020" s="3" t="s">
        <v>25</v>
      </c>
      <c r="H1020" s="3" t="s">
        <v>35</v>
      </c>
      <c r="I1020" s="6">
        <v>44621</v>
      </c>
      <c r="J1020" s="4">
        <v>0</v>
      </c>
      <c r="K1020" s="56">
        <v>0</v>
      </c>
      <c r="L1020" s="4">
        <v>5.101</v>
      </c>
      <c r="M1020" s="56">
        <v>5.101</v>
      </c>
      <c r="N1020" s="4">
        <v>5.101</v>
      </c>
      <c r="O1020" s="56">
        <v>5.101</v>
      </c>
      <c r="P1020" s="4">
        <v>0</v>
      </c>
      <c r="Q1020" s="3" t="s">
        <v>26</v>
      </c>
      <c r="R1020" s="3">
        <v>0</v>
      </c>
      <c r="S1020" s="4">
        <v>0</v>
      </c>
      <c r="T1020" s="4">
        <v>21</v>
      </c>
      <c r="U1020" s="4">
        <v>89</v>
      </c>
      <c r="V1020" s="56">
        <v>0</v>
      </c>
      <c r="W1020" s="56">
        <v>49.219200000000001</v>
      </c>
      <c r="X1020" s="56">
        <v>213.41759999999999</v>
      </c>
      <c r="Y1020" s="56"/>
      <c r="Z1020" s="56">
        <v>66.738180795414593</v>
      </c>
      <c r="AA1020" s="56">
        <v>230.60724521198262</v>
      </c>
      <c r="AB1020" s="4">
        <v>0</v>
      </c>
      <c r="AC1020" s="4">
        <v>251.06713920000001</v>
      </c>
      <c r="AD1020" s="4">
        <v>1088.6431775999999</v>
      </c>
      <c r="AE1020" s="4">
        <v>0</v>
      </c>
      <c r="AF1020" s="4">
        <v>340.43146023740985</v>
      </c>
      <c r="AG1020" s="4">
        <v>1176.3275578263233</v>
      </c>
    </row>
    <row r="1021" spans="1:33" ht="11.25" customHeight="1" x14ac:dyDescent="0.25">
      <c r="A1021" s="3" t="s">
        <v>21</v>
      </c>
      <c r="B1021" s="3" t="s">
        <v>41</v>
      </c>
      <c r="C1021" s="3" t="s">
        <v>42</v>
      </c>
      <c r="D1021" s="3" t="s">
        <v>45</v>
      </c>
      <c r="E1021" s="3" t="s">
        <v>53</v>
      </c>
      <c r="F1021" s="3" t="s">
        <v>25</v>
      </c>
      <c r="G1021" s="3" t="s">
        <v>25</v>
      </c>
      <c r="H1021" s="3" t="s">
        <v>25</v>
      </c>
      <c r="I1021" s="6">
        <v>44287</v>
      </c>
      <c r="J1021" s="4">
        <v>8254</v>
      </c>
      <c r="K1021" s="56">
        <v>8254</v>
      </c>
      <c r="L1021" s="4">
        <v>0</v>
      </c>
      <c r="M1021" s="56">
        <v>0</v>
      </c>
      <c r="N1021" s="4">
        <v>0</v>
      </c>
      <c r="O1021" s="56">
        <v>0</v>
      </c>
      <c r="P1021" s="4">
        <v>44</v>
      </c>
      <c r="Q1021" s="3" t="s">
        <v>26</v>
      </c>
      <c r="R1021" s="3">
        <v>0</v>
      </c>
      <c r="S1021" s="4">
        <v>44</v>
      </c>
      <c r="T1021" s="4">
        <v>0</v>
      </c>
      <c r="U1021" s="4">
        <v>0</v>
      </c>
      <c r="V1021" s="56">
        <v>23.337599999999998</v>
      </c>
      <c r="W1021" s="56">
        <v>0</v>
      </c>
      <c r="X1021" s="56">
        <v>0</v>
      </c>
      <c r="Y1021" s="56">
        <v>27.229069466921182</v>
      </c>
      <c r="Z1021" s="56"/>
      <c r="AA1021" s="56"/>
      <c r="AB1021" s="4">
        <v>192628.55039999998</v>
      </c>
      <c r="AC1021" s="4">
        <v>0</v>
      </c>
      <c r="AD1021" s="4">
        <v>0</v>
      </c>
      <c r="AE1021" s="4">
        <v>224748.73937996745</v>
      </c>
      <c r="AF1021" s="4">
        <v>0</v>
      </c>
      <c r="AG1021" s="4">
        <v>0</v>
      </c>
    </row>
    <row r="1022" spans="1:33" ht="11.25" customHeight="1" x14ac:dyDescent="0.25">
      <c r="A1022" s="3" t="s">
        <v>21</v>
      </c>
      <c r="B1022" s="3" t="s">
        <v>41</v>
      </c>
      <c r="C1022" s="3" t="s">
        <v>42</v>
      </c>
      <c r="D1022" s="3" t="s">
        <v>45</v>
      </c>
      <c r="E1022" s="3" t="s">
        <v>53</v>
      </c>
      <c r="F1022" s="3" t="s">
        <v>25</v>
      </c>
      <c r="G1022" s="3" t="s">
        <v>25</v>
      </c>
      <c r="H1022" s="3" t="s">
        <v>25</v>
      </c>
      <c r="I1022" s="6">
        <v>44317</v>
      </c>
      <c r="J1022" s="4">
        <v>6368</v>
      </c>
      <c r="K1022" s="56">
        <v>6368</v>
      </c>
      <c r="L1022" s="4">
        <v>0</v>
      </c>
      <c r="M1022" s="56">
        <v>0</v>
      </c>
      <c r="N1022" s="4">
        <v>0</v>
      </c>
      <c r="O1022" s="56">
        <v>0</v>
      </c>
      <c r="P1022" s="4">
        <v>43</v>
      </c>
      <c r="Q1022" s="3" t="s">
        <v>26</v>
      </c>
      <c r="R1022" s="3">
        <v>0</v>
      </c>
      <c r="S1022" s="4">
        <v>44</v>
      </c>
      <c r="T1022" s="4">
        <v>0</v>
      </c>
      <c r="U1022" s="4">
        <v>0</v>
      </c>
      <c r="V1022" s="56">
        <v>23.337599999999998</v>
      </c>
      <c r="W1022" s="56">
        <v>0</v>
      </c>
      <c r="X1022" s="56">
        <v>0</v>
      </c>
      <c r="Y1022" s="56">
        <v>27.229069466921182</v>
      </c>
      <c r="Z1022" s="56"/>
      <c r="AA1022" s="56"/>
      <c r="AB1022" s="4">
        <v>148613.83679999999</v>
      </c>
      <c r="AC1022" s="4">
        <v>0</v>
      </c>
      <c r="AD1022" s="4">
        <v>0</v>
      </c>
      <c r="AE1022" s="4">
        <v>173394.7143653541</v>
      </c>
      <c r="AF1022" s="4">
        <v>0</v>
      </c>
      <c r="AG1022" s="4">
        <v>0</v>
      </c>
    </row>
    <row r="1023" spans="1:33" ht="11.25" customHeight="1" x14ac:dyDescent="0.25">
      <c r="A1023" s="3" t="s">
        <v>28</v>
      </c>
      <c r="B1023" s="3" t="s">
        <v>41</v>
      </c>
      <c r="C1023" s="3" t="s">
        <v>42</v>
      </c>
      <c r="D1023" s="3" t="s">
        <v>45</v>
      </c>
      <c r="E1023" s="3" t="s">
        <v>53</v>
      </c>
      <c r="F1023" s="3" t="s">
        <v>25</v>
      </c>
      <c r="G1023" s="3" t="s">
        <v>25</v>
      </c>
      <c r="H1023" s="3" t="s">
        <v>25</v>
      </c>
      <c r="I1023" s="6">
        <v>44317</v>
      </c>
      <c r="J1023" s="4">
        <v>15</v>
      </c>
      <c r="K1023" s="56">
        <v>15</v>
      </c>
      <c r="L1023" s="4">
        <v>0</v>
      </c>
      <c r="M1023" s="56">
        <v>0</v>
      </c>
      <c r="N1023" s="4">
        <v>0</v>
      </c>
      <c r="O1023" s="56">
        <v>0</v>
      </c>
      <c r="P1023" s="4">
        <v>1</v>
      </c>
      <c r="Q1023" s="3" t="s">
        <v>26</v>
      </c>
      <c r="R1023" s="3">
        <v>0</v>
      </c>
      <c r="S1023" s="4">
        <v>44</v>
      </c>
      <c r="T1023" s="4">
        <v>0</v>
      </c>
      <c r="U1023" s="4">
        <v>0</v>
      </c>
      <c r="V1023" s="56">
        <v>23.337599999999998</v>
      </c>
      <c r="W1023" s="56">
        <v>0</v>
      </c>
      <c r="X1023" s="56">
        <v>0</v>
      </c>
      <c r="Y1023" s="56">
        <v>27.229069466921182</v>
      </c>
      <c r="Z1023" s="56"/>
      <c r="AA1023" s="56"/>
      <c r="AB1023" s="4">
        <v>350.06399999999996</v>
      </c>
      <c r="AC1023" s="4">
        <v>0</v>
      </c>
      <c r="AD1023" s="4">
        <v>0</v>
      </c>
      <c r="AE1023" s="4">
        <v>408.4360420038177</v>
      </c>
      <c r="AF1023" s="4">
        <v>0</v>
      </c>
      <c r="AG1023" s="4">
        <v>0</v>
      </c>
    </row>
    <row r="1024" spans="1:33" ht="11.25" customHeight="1" x14ac:dyDescent="0.25">
      <c r="A1024" s="3" t="s">
        <v>21</v>
      </c>
      <c r="B1024" s="3" t="s">
        <v>41</v>
      </c>
      <c r="C1024" s="3" t="s">
        <v>42</v>
      </c>
      <c r="D1024" s="3" t="s">
        <v>45</v>
      </c>
      <c r="E1024" s="3" t="s">
        <v>53</v>
      </c>
      <c r="F1024" s="3" t="s">
        <v>25</v>
      </c>
      <c r="G1024" s="3" t="s">
        <v>25</v>
      </c>
      <c r="H1024" s="3" t="s">
        <v>25</v>
      </c>
      <c r="I1024" s="6">
        <v>44348</v>
      </c>
      <c r="J1024" s="4">
        <v>6070</v>
      </c>
      <c r="K1024" s="56">
        <v>6070</v>
      </c>
      <c r="L1024" s="4">
        <v>0</v>
      </c>
      <c r="M1024" s="56">
        <v>0</v>
      </c>
      <c r="N1024" s="4">
        <v>0</v>
      </c>
      <c r="O1024" s="56">
        <v>0</v>
      </c>
      <c r="P1024" s="4">
        <v>38</v>
      </c>
      <c r="Q1024" s="3" t="s">
        <v>26</v>
      </c>
      <c r="R1024" s="3">
        <v>0</v>
      </c>
      <c r="S1024" s="4">
        <v>44</v>
      </c>
      <c r="T1024" s="4">
        <v>0</v>
      </c>
      <c r="U1024" s="4">
        <v>0</v>
      </c>
      <c r="V1024" s="56">
        <v>23.337599999999998</v>
      </c>
      <c r="W1024" s="56">
        <v>0</v>
      </c>
      <c r="X1024" s="56">
        <v>0</v>
      </c>
      <c r="Y1024" s="56">
        <v>27.229069466921182</v>
      </c>
      <c r="Z1024" s="56"/>
      <c r="AA1024" s="56"/>
      <c r="AB1024" s="4">
        <v>141659.23199999999</v>
      </c>
      <c r="AC1024" s="4">
        <v>0</v>
      </c>
      <c r="AD1024" s="4">
        <v>0</v>
      </c>
      <c r="AE1024" s="4">
        <v>165280.45166421158</v>
      </c>
      <c r="AF1024" s="4">
        <v>0</v>
      </c>
      <c r="AG1024" s="4">
        <v>0</v>
      </c>
    </row>
    <row r="1025" spans="1:33" ht="11.25" customHeight="1" x14ac:dyDescent="0.25">
      <c r="A1025" s="3" t="s">
        <v>28</v>
      </c>
      <c r="B1025" s="3" t="s">
        <v>41</v>
      </c>
      <c r="C1025" s="3" t="s">
        <v>42</v>
      </c>
      <c r="D1025" s="3" t="s">
        <v>45</v>
      </c>
      <c r="E1025" s="3" t="s">
        <v>53</v>
      </c>
      <c r="F1025" s="3" t="s">
        <v>25</v>
      </c>
      <c r="G1025" s="3" t="s">
        <v>25</v>
      </c>
      <c r="H1025" s="3" t="s">
        <v>25</v>
      </c>
      <c r="I1025" s="6">
        <v>44348</v>
      </c>
      <c r="J1025" s="4">
        <v>23</v>
      </c>
      <c r="K1025" s="56">
        <v>23</v>
      </c>
      <c r="L1025" s="4">
        <v>0</v>
      </c>
      <c r="M1025" s="56">
        <v>0</v>
      </c>
      <c r="N1025" s="4">
        <v>0</v>
      </c>
      <c r="O1025" s="56">
        <v>0</v>
      </c>
      <c r="P1025" s="4">
        <v>1</v>
      </c>
      <c r="Q1025" s="3" t="s">
        <v>26</v>
      </c>
      <c r="R1025" s="3">
        <v>0</v>
      </c>
      <c r="S1025" s="4">
        <v>44</v>
      </c>
      <c r="T1025" s="4">
        <v>0</v>
      </c>
      <c r="U1025" s="4">
        <v>0</v>
      </c>
      <c r="V1025" s="56">
        <v>23.337599999999998</v>
      </c>
      <c r="W1025" s="56">
        <v>0</v>
      </c>
      <c r="X1025" s="56">
        <v>0</v>
      </c>
      <c r="Y1025" s="56">
        <v>27.229069466921182</v>
      </c>
      <c r="Z1025" s="56"/>
      <c r="AA1025" s="56"/>
      <c r="AB1025" s="4">
        <v>536.76479999999992</v>
      </c>
      <c r="AC1025" s="4">
        <v>0</v>
      </c>
      <c r="AD1025" s="4">
        <v>0</v>
      </c>
      <c r="AE1025" s="4">
        <v>626.26859773918716</v>
      </c>
      <c r="AF1025" s="4">
        <v>0</v>
      </c>
      <c r="AG1025" s="4">
        <v>0</v>
      </c>
    </row>
    <row r="1026" spans="1:33" ht="11.25" customHeight="1" x14ac:dyDescent="0.25">
      <c r="A1026" s="3" t="s">
        <v>21</v>
      </c>
      <c r="B1026" s="3" t="s">
        <v>41</v>
      </c>
      <c r="C1026" s="3" t="s">
        <v>42</v>
      </c>
      <c r="D1026" s="3" t="s">
        <v>45</v>
      </c>
      <c r="E1026" s="3" t="s">
        <v>53</v>
      </c>
      <c r="F1026" s="3" t="s">
        <v>25</v>
      </c>
      <c r="G1026" s="3" t="s">
        <v>25</v>
      </c>
      <c r="H1026" s="3" t="s">
        <v>25</v>
      </c>
      <c r="I1026" s="6">
        <v>44378</v>
      </c>
      <c r="J1026" s="4">
        <v>5878</v>
      </c>
      <c r="K1026" s="56">
        <v>5878</v>
      </c>
      <c r="L1026" s="4">
        <v>0</v>
      </c>
      <c r="M1026" s="56">
        <v>0</v>
      </c>
      <c r="N1026" s="4">
        <v>0</v>
      </c>
      <c r="O1026" s="56">
        <v>0</v>
      </c>
      <c r="P1026" s="4">
        <v>38</v>
      </c>
      <c r="Q1026" s="3" t="s">
        <v>26</v>
      </c>
      <c r="R1026" s="3">
        <v>0</v>
      </c>
      <c r="S1026" s="4">
        <v>44</v>
      </c>
      <c r="T1026" s="4">
        <v>0</v>
      </c>
      <c r="U1026" s="4">
        <v>0</v>
      </c>
      <c r="V1026" s="56">
        <v>23.337599999999998</v>
      </c>
      <c r="W1026" s="56">
        <v>0</v>
      </c>
      <c r="X1026" s="56">
        <v>0</v>
      </c>
      <c r="Y1026" s="56">
        <v>27.229069466921182</v>
      </c>
      <c r="Z1026" s="56"/>
      <c r="AA1026" s="56"/>
      <c r="AB1026" s="4">
        <v>137178.41279999999</v>
      </c>
      <c r="AC1026" s="4">
        <v>0</v>
      </c>
      <c r="AD1026" s="4">
        <v>0</v>
      </c>
      <c r="AE1026" s="4">
        <v>160052.4703265627</v>
      </c>
      <c r="AF1026" s="4">
        <v>0</v>
      </c>
      <c r="AG1026" s="4">
        <v>0</v>
      </c>
    </row>
    <row r="1027" spans="1:33" ht="11.25" customHeight="1" x14ac:dyDescent="0.25">
      <c r="A1027" s="3" t="s">
        <v>28</v>
      </c>
      <c r="B1027" s="3" t="s">
        <v>41</v>
      </c>
      <c r="C1027" s="3" t="s">
        <v>42</v>
      </c>
      <c r="D1027" s="3" t="s">
        <v>45</v>
      </c>
      <c r="E1027" s="3" t="s">
        <v>53</v>
      </c>
      <c r="F1027" s="3" t="s">
        <v>25</v>
      </c>
      <c r="G1027" s="3" t="s">
        <v>25</v>
      </c>
      <c r="H1027" s="3" t="s">
        <v>25</v>
      </c>
      <c r="I1027" s="6">
        <v>44378</v>
      </c>
      <c r="J1027" s="4">
        <v>17</v>
      </c>
      <c r="K1027" s="56">
        <v>17</v>
      </c>
      <c r="L1027" s="4">
        <v>0</v>
      </c>
      <c r="M1027" s="56">
        <v>0</v>
      </c>
      <c r="N1027" s="4">
        <v>0</v>
      </c>
      <c r="O1027" s="56">
        <v>0</v>
      </c>
      <c r="P1027" s="4">
        <v>1</v>
      </c>
      <c r="Q1027" s="3" t="s">
        <v>26</v>
      </c>
      <c r="R1027" s="3">
        <v>0</v>
      </c>
      <c r="S1027" s="4">
        <v>44</v>
      </c>
      <c r="T1027" s="4">
        <v>0</v>
      </c>
      <c r="U1027" s="4">
        <v>0</v>
      </c>
      <c r="V1027" s="56">
        <v>23.337599999999998</v>
      </c>
      <c r="W1027" s="56">
        <v>0</v>
      </c>
      <c r="X1027" s="56">
        <v>0</v>
      </c>
      <c r="Y1027" s="56">
        <v>27.229069466921182</v>
      </c>
      <c r="Z1027" s="56"/>
      <c r="AA1027" s="56"/>
      <c r="AB1027" s="4">
        <v>396.73919999999998</v>
      </c>
      <c r="AC1027" s="4">
        <v>0</v>
      </c>
      <c r="AD1027" s="4">
        <v>0</v>
      </c>
      <c r="AE1027" s="4">
        <v>462.89418093766011</v>
      </c>
      <c r="AF1027" s="4">
        <v>0</v>
      </c>
      <c r="AG1027" s="4">
        <v>0</v>
      </c>
    </row>
    <row r="1028" spans="1:33" ht="11.25" customHeight="1" x14ac:dyDescent="0.25">
      <c r="A1028" s="3" t="s">
        <v>21</v>
      </c>
      <c r="B1028" s="3" t="s">
        <v>41</v>
      </c>
      <c r="C1028" s="3" t="s">
        <v>42</v>
      </c>
      <c r="D1028" s="3" t="s">
        <v>45</v>
      </c>
      <c r="E1028" s="3" t="s">
        <v>53</v>
      </c>
      <c r="F1028" s="3" t="s">
        <v>25</v>
      </c>
      <c r="G1028" s="3" t="s">
        <v>25</v>
      </c>
      <c r="H1028" s="3" t="s">
        <v>25</v>
      </c>
      <c r="I1028" s="6">
        <v>44409</v>
      </c>
      <c r="J1028" s="4">
        <v>5723</v>
      </c>
      <c r="K1028" s="56">
        <v>5723</v>
      </c>
      <c r="L1028" s="4">
        <v>0</v>
      </c>
      <c r="M1028" s="56">
        <v>0</v>
      </c>
      <c r="N1028" s="4">
        <v>0</v>
      </c>
      <c r="O1028" s="56">
        <v>0</v>
      </c>
      <c r="P1028" s="4">
        <v>35</v>
      </c>
      <c r="Q1028" s="3" t="s">
        <v>26</v>
      </c>
      <c r="R1028" s="3">
        <v>0</v>
      </c>
      <c r="S1028" s="4">
        <v>44</v>
      </c>
      <c r="T1028" s="4">
        <v>0</v>
      </c>
      <c r="U1028" s="4">
        <v>0</v>
      </c>
      <c r="V1028" s="56">
        <v>23.337599999999998</v>
      </c>
      <c r="W1028" s="56">
        <v>0</v>
      </c>
      <c r="X1028" s="56">
        <v>0</v>
      </c>
      <c r="Y1028" s="56">
        <v>27.229069466921182</v>
      </c>
      <c r="Z1028" s="56"/>
      <c r="AA1028" s="56"/>
      <c r="AB1028" s="4">
        <v>133561.08479999998</v>
      </c>
      <c r="AC1028" s="4">
        <v>0</v>
      </c>
      <c r="AD1028" s="4">
        <v>0</v>
      </c>
      <c r="AE1028" s="4">
        <v>155831.96455918992</v>
      </c>
      <c r="AF1028" s="4">
        <v>0</v>
      </c>
      <c r="AG1028" s="4">
        <v>0</v>
      </c>
    </row>
    <row r="1029" spans="1:33" ht="11.25" customHeight="1" x14ac:dyDescent="0.25">
      <c r="A1029" s="3" t="s">
        <v>28</v>
      </c>
      <c r="B1029" s="3" t="s">
        <v>41</v>
      </c>
      <c r="C1029" s="3" t="s">
        <v>42</v>
      </c>
      <c r="D1029" s="3" t="s">
        <v>45</v>
      </c>
      <c r="E1029" s="3" t="s">
        <v>53</v>
      </c>
      <c r="F1029" s="3" t="s">
        <v>25</v>
      </c>
      <c r="G1029" s="3" t="s">
        <v>25</v>
      </c>
      <c r="H1029" s="3" t="s">
        <v>25</v>
      </c>
      <c r="I1029" s="6">
        <v>44409</v>
      </c>
      <c r="J1029" s="4">
        <v>21</v>
      </c>
      <c r="K1029" s="56">
        <v>21</v>
      </c>
      <c r="L1029" s="4">
        <v>0</v>
      </c>
      <c r="M1029" s="56">
        <v>0</v>
      </c>
      <c r="N1029" s="4">
        <v>0</v>
      </c>
      <c r="O1029" s="56">
        <v>0</v>
      </c>
      <c r="P1029" s="4">
        <v>1</v>
      </c>
      <c r="Q1029" s="3" t="s">
        <v>26</v>
      </c>
      <c r="R1029" s="3">
        <v>0</v>
      </c>
      <c r="S1029" s="4">
        <v>44</v>
      </c>
      <c r="T1029" s="4">
        <v>0</v>
      </c>
      <c r="U1029" s="4">
        <v>0</v>
      </c>
      <c r="V1029" s="56">
        <v>23.337599999999998</v>
      </c>
      <c r="W1029" s="56">
        <v>0</v>
      </c>
      <c r="X1029" s="56">
        <v>0</v>
      </c>
      <c r="Y1029" s="56">
        <v>27.229069466921182</v>
      </c>
      <c r="Z1029" s="56"/>
      <c r="AA1029" s="56"/>
      <c r="AB1029" s="4">
        <v>490.08959999999996</v>
      </c>
      <c r="AC1029" s="4">
        <v>0</v>
      </c>
      <c r="AD1029" s="4">
        <v>0</v>
      </c>
      <c r="AE1029" s="4">
        <v>571.81045880534487</v>
      </c>
      <c r="AF1029" s="4">
        <v>0</v>
      </c>
      <c r="AG1029" s="4">
        <v>0</v>
      </c>
    </row>
    <row r="1030" spans="1:33" ht="11.25" customHeight="1" x14ac:dyDescent="0.25">
      <c r="A1030" s="3" t="s">
        <v>21</v>
      </c>
      <c r="B1030" s="3" t="s">
        <v>41</v>
      </c>
      <c r="C1030" s="3" t="s">
        <v>42</v>
      </c>
      <c r="D1030" s="3" t="s">
        <v>45</v>
      </c>
      <c r="E1030" s="3" t="s">
        <v>53</v>
      </c>
      <c r="F1030" s="3" t="s">
        <v>25</v>
      </c>
      <c r="G1030" s="3" t="s">
        <v>25</v>
      </c>
      <c r="H1030" s="3" t="s">
        <v>25</v>
      </c>
      <c r="I1030" s="6">
        <v>44440</v>
      </c>
      <c r="J1030" s="4">
        <v>7080</v>
      </c>
      <c r="K1030" s="56">
        <v>7080</v>
      </c>
      <c r="L1030" s="4">
        <v>0</v>
      </c>
      <c r="M1030" s="56">
        <v>0</v>
      </c>
      <c r="N1030" s="4">
        <v>0</v>
      </c>
      <c r="O1030" s="56">
        <v>0</v>
      </c>
      <c r="P1030" s="4">
        <v>39</v>
      </c>
      <c r="Q1030" s="3" t="s">
        <v>26</v>
      </c>
      <c r="R1030" s="3">
        <v>0</v>
      </c>
      <c r="S1030" s="4">
        <v>44</v>
      </c>
      <c r="T1030" s="4">
        <v>0</v>
      </c>
      <c r="U1030" s="4">
        <v>0</v>
      </c>
      <c r="V1030" s="56">
        <v>23.337599999999998</v>
      </c>
      <c r="W1030" s="56">
        <v>0</v>
      </c>
      <c r="X1030" s="56">
        <v>0</v>
      </c>
      <c r="Y1030" s="56">
        <v>27.229069466921182</v>
      </c>
      <c r="Z1030" s="56"/>
      <c r="AA1030" s="56"/>
      <c r="AB1030" s="4">
        <v>165230.20799999998</v>
      </c>
      <c r="AC1030" s="4">
        <v>0</v>
      </c>
      <c r="AD1030" s="4">
        <v>0</v>
      </c>
      <c r="AE1030" s="4">
        <v>192781.81182580197</v>
      </c>
      <c r="AF1030" s="4">
        <v>0</v>
      </c>
      <c r="AG1030" s="4">
        <v>0</v>
      </c>
    </row>
    <row r="1031" spans="1:33" ht="11.25" customHeight="1" x14ac:dyDescent="0.25">
      <c r="A1031" s="3" t="s">
        <v>28</v>
      </c>
      <c r="B1031" s="3" t="s">
        <v>41</v>
      </c>
      <c r="C1031" s="3" t="s">
        <v>42</v>
      </c>
      <c r="D1031" s="3" t="s">
        <v>45</v>
      </c>
      <c r="E1031" s="3" t="s">
        <v>53</v>
      </c>
      <c r="F1031" s="3" t="s">
        <v>25</v>
      </c>
      <c r="G1031" s="3" t="s">
        <v>25</v>
      </c>
      <c r="H1031" s="3" t="s">
        <v>25</v>
      </c>
      <c r="I1031" s="6">
        <v>44440</v>
      </c>
      <c r="J1031" s="4">
        <v>44</v>
      </c>
      <c r="K1031" s="56">
        <v>44</v>
      </c>
      <c r="L1031" s="4">
        <v>0</v>
      </c>
      <c r="M1031" s="56">
        <v>0</v>
      </c>
      <c r="N1031" s="4">
        <v>0</v>
      </c>
      <c r="O1031" s="56">
        <v>0</v>
      </c>
      <c r="P1031" s="4">
        <v>1</v>
      </c>
      <c r="Q1031" s="3" t="s">
        <v>26</v>
      </c>
      <c r="R1031" s="3">
        <v>0</v>
      </c>
      <c r="S1031" s="4">
        <v>44</v>
      </c>
      <c r="T1031" s="4">
        <v>0</v>
      </c>
      <c r="U1031" s="4">
        <v>0</v>
      </c>
      <c r="V1031" s="56">
        <v>23.337599999999998</v>
      </c>
      <c r="W1031" s="56">
        <v>0</v>
      </c>
      <c r="X1031" s="56">
        <v>0</v>
      </c>
      <c r="Y1031" s="56">
        <v>27.229069466921182</v>
      </c>
      <c r="Z1031" s="56"/>
      <c r="AA1031" s="56"/>
      <c r="AB1031" s="4">
        <v>1026.8543999999999</v>
      </c>
      <c r="AC1031" s="4">
        <v>0</v>
      </c>
      <c r="AD1031" s="4">
        <v>0</v>
      </c>
      <c r="AE1031" s="4">
        <v>1198.079056544532</v>
      </c>
      <c r="AF1031" s="4">
        <v>0</v>
      </c>
      <c r="AG1031" s="4">
        <v>0</v>
      </c>
    </row>
    <row r="1032" spans="1:33" ht="11.25" customHeight="1" x14ac:dyDescent="0.25">
      <c r="A1032" s="3" t="s">
        <v>21</v>
      </c>
      <c r="B1032" s="3" t="s">
        <v>41</v>
      </c>
      <c r="C1032" s="3" t="s">
        <v>42</v>
      </c>
      <c r="D1032" s="3" t="s">
        <v>45</v>
      </c>
      <c r="E1032" s="3" t="s">
        <v>53</v>
      </c>
      <c r="F1032" s="3" t="s">
        <v>25</v>
      </c>
      <c r="G1032" s="3" t="s">
        <v>25</v>
      </c>
      <c r="H1032" s="3" t="s">
        <v>25</v>
      </c>
      <c r="I1032" s="6">
        <v>44470</v>
      </c>
      <c r="J1032" s="4">
        <v>8127</v>
      </c>
      <c r="K1032" s="56">
        <v>8127</v>
      </c>
      <c r="L1032" s="4">
        <v>0</v>
      </c>
      <c r="M1032" s="56">
        <v>0</v>
      </c>
      <c r="N1032" s="4">
        <v>0</v>
      </c>
      <c r="O1032" s="56">
        <v>0</v>
      </c>
      <c r="P1032" s="4">
        <v>44</v>
      </c>
      <c r="Q1032" s="3" t="s">
        <v>26</v>
      </c>
      <c r="R1032" s="3">
        <v>0</v>
      </c>
      <c r="S1032" s="4">
        <v>44</v>
      </c>
      <c r="T1032" s="4">
        <v>0</v>
      </c>
      <c r="U1032" s="4">
        <v>0</v>
      </c>
      <c r="V1032" s="56">
        <v>23.337599999999998</v>
      </c>
      <c r="W1032" s="56">
        <v>0</v>
      </c>
      <c r="X1032" s="56">
        <v>0</v>
      </c>
      <c r="Y1032" s="56">
        <v>27.229069466921182</v>
      </c>
      <c r="Z1032" s="56"/>
      <c r="AA1032" s="56"/>
      <c r="AB1032" s="4">
        <v>189664.6752</v>
      </c>
      <c r="AC1032" s="4">
        <v>0</v>
      </c>
      <c r="AD1032" s="4">
        <v>0</v>
      </c>
      <c r="AE1032" s="4">
        <v>221290.64755766845</v>
      </c>
      <c r="AF1032" s="4">
        <v>0</v>
      </c>
      <c r="AG1032" s="4">
        <v>0</v>
      </c>
    </row>
    <row r="1033" spans="1:33" ht="11.25" customHeight="1" x14ac:dyDescent="0.25">
      <c r="A1033" s="3" t="s">
        <v>28</v>
      </c>
      <c r="B1033" s="3" t="s">
        <v>41</v>
      </c>
      <c r="C1033" s="3" t="s">
        <v>42</v>
      </c>
      <c r="D1033" s="3" t="s">
        <v>45</v>
      </c>
      <c r="E1033" s="3" t="s">
        <v>53</v>
      </c>
      <c r="F1033" s="3" t="s">
        <v>25</v>
      </c>
      <c r="G1033" s="3" t="s">
        <v>25</v>
      </c>
      <c r="H1033" s="3" t="s">
        <v>25</v>
      </c>
      <c r="I1033" s="6">
        <v>44470</v>
      </c>
      <c r="J1033" s="4">
        <v>47</v>
      </c>
      <c r="K1033" s="56">
        <v>47</v>
      </c>
      <c r="L1033" s="4">
        <v>0</v>
      </c>
      <c r="M1033" s="56">
        <v>0</v>
      </c>
      <c r="N1033" s="4">
        <v>0</v>
      </c>
      <c r="O1033" s="56">
        <v>0</v>
      </c>
      <c r="P1033" s="4">
        <v>1</v>
      </c>
      <c r="Q1033" s="3" t="s">
        <v>26</v>
      </c>
      <c r="R1033" s="3">
        <v>0</v>
      </c>
      <c r="S1033" s="4">
        <v>44</v>
      </c>
      <c r="T1033" s="4">
        <v>0</v>
      </c>
      <c r="U1033" s="4">
        <v>0</v>
      </c>
      <c r="V1033" s="56">
        <v>23.337599999999998</v>
      </c>
      <c r="W1033" s="56">
        <v>0</v>
      </c>
      <c r="X1033" s="56">
        <v>0</v>
      </c>
      <c r="Y1033" s="56">
        <v>27.229069466921182</v>
      </c>
      <c r="Z1033" s="56"/>
      <c r="AA1033" s="56"/>
      <c r="AB1033" s="4">
        <v>1096.8671999999999</v>
      </c>
      <c r="AC1033" s="4">
        <v>0</v>
      </c>
      <c r="AD1033" s="4">
        <v>0</v>
      </c>
      <c r="AE1033" s="4">
        <v>1279.7662649452955</v>
      </c>
      <c r="AF1033" s="4">
        <v>0</v>
      </c>
      <c r="AG1033" s="4">
        <v>0</v>
      </c>
    </row>
    <row r="1034" spans="1:33" ht="11.25" customHeight="1" x14ac:dyDescent="0.25">
      <c r="A1034" s="3" t="s">
        <v>21</v>
      </c>
      <c r="B1034" s="3" t="s">
        <v>41</v>
      </c>
      <c r="C1034" s="3" t="s">
        <v>42</v>
      </c>
      <c r="D1034" s="3" t="s">
        <v>45</v>
      </c>
      <c r="E1034" s="3" t="s">
        <v>53</v>
      </c>
      <c r="F1034" s="3" t="s">
        <v>25</v>
      </c>
      <c r="G1034" s="3" t="s">
        <v>25</v>
      </c>
      <c r="H1034" s="3" t="s">
        <v>25</v>
      </c>
      <c r="I1034" s="6">
        <v>44501</v>
      </c>
      <c r="J1034" s="4">
        <v>8205</v>
      </c>
      <c r="K1034" s="56">
        <v>8205</v>
      </c>
      <c r="L1034" s="4">
        <v>0</v>
      </c>
      <c r="M1034" s="56">
        <v>0</v>
      </c>
      <c r="N1034" s="4">
        <v>0</v>
      </c>
      <c r="O1034" s="56">
        <v>0</v>
      </c>
      <c r="P1034" s="4">
        <v>45</v>
      </c>
      <c r="Q1034" s="3" t="s">
        <v>26</v>
      </c>
      <c r="R1034" s="3">
        <v>0</v>
      </c>
      <c r="S1034" s="4">
        <v>44</v>
      </c>
      <c r="T1034" s="4">
        <v>0</v>
      </c>
      <c r="U1034" s="4">
        <v>0</v>
      </c>
      <c r="V1034" s="56">
        <v>23.337599999999998</v>
      </c>
      <c r="W1034" s="56">
        <v>0</v>
      </c>
      <c r="X1034" s="56">
        <v>0</v>
      </c>
      <c r="Y1034" s="56">
        <v>27.229069466921182</v>
      </c>
      <c r="Z1034" s="56"/>
      <c r="AA1034" s="56"/>
      <c r="AB1034" s="4">
        <v>191485.00799999997</v>
      </c>
      <c r="AC1034" s="4">
        <v>0</v>
      </c>
      <c r="AD1034" s="4">
        <v>0</v>
      </c>
      <c r="AE1034" s="4">
        <v>223414.51497608831</v>
      </c>
      <c r="AF1034" s="4">
        <v>0</v>
      </c>
      <c r="AG1034" s="4">
        <v>0</v>
      </c>
    </row>
    <row r="1035" spans="1:33" ht="11.25" customHeight="1" x14ac:dyDescent="0.25">
      <c r="A1035" s="3" t="s">
        <v>28</v>
      </c>
      <c r="B1035" s="3" t="s">
        <v>41</v>
      </c>
      <c r="C1035" s="3" t="s">
        <v>42</v>
      </c>
      <c r="D1035" s="3" t="s">
        <v>45</v>
      </c>
      <c r="E1035" s="3" t="s">
        <v>53</v>
      </c>
      <c r="F1035" s="3" t="s">
        <v>25</v>
      </c>
      <c r="G1035" s="3" t="s">
        <v>25</v>
      </c>
      <c r="H1035" s="3" t="s">
        <v>25</v>
      </c>
      <c r="I1035" s="6">
        <v>44501</v>
      </c>
      <c r="J1035" s="4">
        <v>63</v>
      </c>
      <c r="K1035" s="56">
        <v>63</v>
      </c>
      <c r="L1035" s="4">
        <v>0</v>
      </c>
      <c r="M1035" s="56">
        <v>0</v>
      </c>
      <c r="N1035" s="4">
        <v>0</v>
      </c>
      <c r="O1035" s="56">
        <v>0</v>
      </c>
      <c r="P1035" s="4">
        <v>1</v>
      </c>
      <c r="Q1035" s="3" t="s">
        <v>26</v>
      </c>
      <c r="R1035" s="3">
        <v>0</v>
      </c>
      <c r="S1035" s="4">
        <v>44</v>
      </c>
      <c r="T1035" s="4">
        <v>0</v>
      </c>
      <c r="U1035" s="4">
        <v>0</v>
      </c>
      <c r="V1035" s="56">
        <v>23.337599999999998</v>
      </c>
      <c r="W1035" s="56">
        <v>0</v>
      </c>
      <c r="X1035" s="56">
        <v>0</v>
      </c>
      <c r="Y1035" s="56">
        <v>27.229069466921182</v>
      </c>
      <c r="Z1035" s="56"/>
      <c r="AA1035" s="56"/>
      <c r="AB1035" s="4">
        <v>1470.2687999999998</v>
      </c>
      <c r="AC1035" s="4">
        <v>0</v>
      </c>
      <c r="AD1035" s="4">
        <v>0</v>
      </c>
      <c r="AE1035" s="4">
        <v>1715.4313764160345</v>
      </c>
      <c r="AF1035" s="4">
        <v>0</v>
      </c>
      <c r="AG1035" s="4">
        <v>0</v>
      </c>
    </row>
    <row r="1036" spans="1:33" ht="11.25" customHeight="1" x14ac:dyDescent="0.25">
      <c r="A1036" s="3" t="s">
        <v>21</v>
      </c>
      <c r="B1036" s="3" t="s">
        <v>41</v>
      </c>
      <c r="C1036" s="3" t="s">
        <v>42</v>
      </c>
      <c r="D1036" s="3" t="s">
        <v>45</v>
      </c>
      <c r="E1036" s="3" t="s">
        <v>53</v>
      </c>
      <c r="F1036" s="3" t="s">
        <v>25</v>
      </c>
      <c r="G1036" s="3" t="s">
        <v>25</v>
      </c>
      <c r="H1036" s="3" t="s">
        <v>25</v>
      </c>
      <c r="I1036" s="6">
        <v>44531</v>
      </c>
      <c r="J1036" s="4">
        <v>8108</v>
      </c>
      <c r="K1036" s="56">
        <v>8108</v>
      </c>
      <c r="L1036" s="4">
        <v>0</v>
      </c>
      <c r="M1036" s="56">
        <v>0</v>
      </c>
      <c r="N1036" s="4">
        <v>0</v>
      </c>
      <c r="O1036" s="56">
        <v>0</v>
      </c>
      <c r="P1036" s="4">
        <v>48</v>
      </c>
      <c r="Q1036" s="3" t="s">
        <v>26</v>
      </c>
      <c r="R1036" s="3">
        <v>0</v>
      </c>
      <c r="S1036" s="4">
        <v>44</v>
      </c>
      <c r="T1036" s="4">
        <v>0</v>
      </c>
      <c r="U1036" s="4">
        <v>0</v>
      </c>
      <c r="V1036" s="56">
        <v>23.337599999999998</v>
      </c>
      <c r="W1036" s="56">
        <v>0</v>
      </c>
      <c r="X1036" s="56">
        <v>0</v>
      </c>
      <c r="Y1036" s="56">
        <v>27.229069466921182</v>
      </c>
      <c r="Z1036" s="56"/>
      <c r="AA1036" s="56"/>
      <c r="AB1036" s="4">
        <v>189221.26079999999</v>
      </c>
      <c r="AC1036" s="4">
        <v>0</v>
      </c>
      <c r="AD1036" s="4">
        <v>0</v>
      </c>
      <c r="AE1036" s="4">
        <v>220773.29523779693</v>
      </c>
      <c r="AF1036" s="4">
        <v>0</v>
      </c>
      <c r="AG1036" s="4">
        <v>0</v>
      </c>
    </row>
    <row r="1037" spans="1:33" ht="11.25" customHeight="1" x14ac:dyDescent="0.25">
      <c r="A1037" s="3" t="s">
        <v>28</v>
      </c>
      <c r="B1037" s="3" t="s">
        <v>41</v>
      </c>
      <c r="C1037" s="3" t="s">
        <v>42</v>
      </c>
      <c r="D1037" s="3" t="s">
        <v>45</v>
      </c>
      <c r="E1037" s="3" t="s">
        <v>53</v>
      </c>
      <c r="F1037" s="3" t="s">
        <v>25</v>
      </c>
      <c r="G1037" s="3" t="s">
        <v>25</v>
      </c>
      <c r="H1037" s="3" t="s">
        <v>25</v>
      </c>
      <c r="I1037" s="6">
        <v>44531</v>
      </c>
      <c r="J1037" s="4">
        <v>61</v>
      </c>
      <c r="K1037" s="56">
        <v>61</v>
      </c>
      <c r="L1037" s="4">
        <v>0</v>
      </c>
      <c r="M1037" s="56">
        <v>0</v>
      </c>
      <c r="N1037" s="4">
        <v>0</v>
      </c>
      <c r="O1037" s="56">
        <v>0</v>
      </c>
      <c r="P1037" s="4">
        <v>1</v>
      </c>
      <c r="Q1037" s="3" t="s">
        <v>26</v>
      </c>
      <c r="R1037" s="3">
        <v>0</v>
      </c>
      <c r="S1037" s="4">
        <v>44</v>
      </c>
      <c r="T1037" s="4">
        <v>0</v>
      </c>
      <c r="U1037" s="4">
        <v>0</v>
      </c>
      <c r="V1037" s="56">
        <v>23.337599999999998</v>
      </c>
      <c r="W1037" s="56">
        <v>0</v>
      </c>
      <c r="X1037" s="56">
        <v>0</v>
      </c>
      <c r="Y1037" s="56">
        <v>27.229069466921182</v>
      </c>
      <c r="Z1037" s="56"/>
      <c r="AA1037" s="56"/>
      <c r="AB1037" s="4">
        <v>1423.5935999999999</v>
      </c>
      <c r="AC1037" s="4">
        <v>0</v>
      </c>
      <c r="AD1037" s="4">
        <v>0</v>
      </c>
      <c r="AE1037" s="4">
        <v>1660.9732374821922</v>
      </c>
      <c r="AF1037" s="4">
        <v>0</v>
      </c>
      <c r="AG1037" s="4">
        <v>0</v>
      </c>
    </row>
    <row r="1038" spans="1:33" ht="11.25" customHeight="1" x14ac:dyDescent="0.25">
      <c r="A1038" s="3" t="s">
        <v>21</v>
      </c>
      <c r="B1038" s="3" t="s">
        <v>41</v>
      </c>
      <c r="C1038" s="3" t="s">
        <v>42</v>
      </c>
      <c r="D1038" s="3" t="s">
        <v>45</v>
      </c>
      <c r="E1038" s="3" t="s">
        <v>53</v>
      </c>
      <c r="F1038" s="3" t="s">
        <v>25</v>
      </c>
      <c r="G1038" s="3" t="s">
        <v>25</v>
      </c>
      <c r="H1038" s="3" t="s">
        <v>25</v>
      </c>
      <c r="I1038" s="6">
        <v>44562</v>
      </c>
      <c r="J1038" s="4">
        <v>6058</v>
      </c>
      <c r="K1038" s="56">
        <v>6058</v>
      </c>
      <c r="L1038" s="4">
        <v>0</v>
      </c>
      <c r="M1038" s="56">
        <v>0</v>
      </c>
      <c r="N1038" s="4">
        <v>0</v>
      </c>
      <c r="O1038" s="56">
        <v>0</v>
      </c>
      <c r="P1038" s="4">
        <v>49</v>
      </c>
      <c r="Q1038" s="3" t="s">
        <v>26</v>
      </c>
      <c r="R1038" s="3">
        <v>0</v>
      </c>
      <c r="S1038" s="4">
        <v>44</v>
      </c>
      <c r="T1038" s="4">
        <v>0</v>
      </c>
      <c r="U1038" s="4">
        <v>0</v>
      </c>
      <c r="V1038" s="56">
        <v>23.337599999999998</v>
      </c>
      <c r="W1038" s="56">
        <v>0</v>
      </c>
      <c r="X1038" s="56">
        <v>0</v>
      </c>
      <c r="Y1038" s="56">
        <v>27.229069466921182</v>
      </c>
      <c r="Z1038" s="56"/>
      <c r="AA1038" s="56"/>
      <c r="AB1038" s="4">
        <v>141379.1808</v>
      </c>
      <c r="AC1038" s="4">
        <v>0</v>
      </c>
      <c r="AD1038" s="4">
        <v>0</v>
      </c>
      <c r="AE1038" s="4">
        <v>164953.70283060853</v>
      </c>
      <c r="AF1038" s="4">
        <v>0</v>
      </c>
      <c r="AG1038" s="4">
        <v>0</v>
      </c>
    </row>
    <row r="1039" spans="1:33" ht="11.25" customHeight="1" x14ac:dyDescent="0.25">
      <c r="A1039" s="3" t="s">
        <v>27</v>
      </c>
      <c r="B1039" s="3" t="s">
        <v>41</v>
      </c>
      <c r="C1039" s="3" t="s">
        <v>42</v>
      </c>
      <c r="D1039" s="3" t="s">
        <v>45</v>
      </c>
      <c r="E1039" s="3" t="s">
        <v>53</v>
      </c>
      <c r="F1039" s="3" t="s">
        <v>25</v>
      </c>
      <c r="G1039" s="3" t="s">
        <v>25</v>
      </c>
      <c r="H1039" s="3" t="s">
        <v>25</v>
      </c>
      <c r="I1039" s="6">
        <v>44562</v>
      </c>
      <c r="J1039" s="4">
        <v>611</v>
      </c>
      <c r="K1039" s="56">
        <v>611</v>
      </c>
      <c r="L1039" s="4">
        <v>0</v>
      </c>
      <c r="M1039" s="56">
        <v>0</v>
      </c>
      <c r="N1039" s="4">
        <v>0</v>
      </c>
      <c r="O1039" s="56">
        <v>0</v>
      </c>
      <c r="P1039" s="4">
        <v>3</v>
      </c>
      <c r="Q1039" s="3" t="s">
        <v>26</v>
      </c>
      <c r="R1039" s="3">
        <v>0</v>
      </c>
      <c r="S1039" s="4">
        <v>44</v>
      </c>
      <c r="T1039" s="4">
        <v>0</v>
      </c>
      <c r="U1039" s="4">
        <v>0</v>
      </c>
      <c r="V1039" s="56">
        <v>23.337599999999998</v>
      </c>
      <c r="W1039" s="56">
        <v>0</v>
      </c>
      <c r="X1039" s="56">
        <v>0</v>
      </c>
      <c r="Y1039" s="56">
        <v>27.229069466921182</v>
      </c>
      <c r="Z1039" s="56"/>
      <c r="AA1039" s="56"/>
      <c r="AB1039" s="4">
        <v>14259.273599999999</v>
      </c>
      <c r="AC1039" s="4">
        <v>0</v>
      </c>
      <c r="AD1039" s="4">
        <v>0</v>
      </c>
      <c r="AE1039" s="4">
        <v>16636.961444288841</v>
      </c>
      <c r="AF1039" s="4">
        <v>0</v>
      </c>
      <c r="AG1039" s="4">
        <v>0</v>
      </c>
    </row>
    <row r="1040" spans="1:33" ht="11.25" customHeight="1" x14ac:dyDescent="0.25">
      <c r="A1040" s="3" t="s">
        <v>28</v>
      </c>
      <c r="B1040" s="3" t="s">
        <v>41</v>
      </c>
      <c r="C1040" s="3" t="s">
        <v>42</v>
      </c>
      <c r="D1040" s="3" t="s">
        <v>45</v>
      </c>
      <c r="E1040" s="3" t="s">
        <v>53</v>
      </c>
      <c r="F1040" s="3" t="s">
        <v>25</v>
      </c>
      <c r="G1040" s="3" t="s">
        <v>25</v>
      </c>
      <c r="H1040" s="3" t="s">
        <v>25</v>
      </c>
      <c r="I1040" s="6">
        <v>44562</v>
      </c>
      <c r="J1040" s="4">
        <v>61</v>
      </c>
      <c r="K1040" s="56">
        <v>61</v>
      </c>
      <c r="L1040" s="4">
        <v>0</v>
      </c>
      <c r="M1040" s="56">
        <v>0</v>
      </c>
      <c r="N1040" s="4">
        <v>0</v>
      </c>
      <c r="O1040" s="56">
        <v>0</v>
      </c>
      <c r="P1040" s="4">
        <v>1</v>
      </c>
      <c r="Q1040" s="3" t="s">
        <v>26</v>
      </c>
      <c r="R1040" s="3">
        <v>0</v>
      </c>
      <c r="S1040" s="4">
        <v>44</v>
      </c>
      <c r="T1040" s="4">
        <v>0</v>
      </c>
      <c r="U1040" s="4">
        <v>0</v>
      </c>
      <c r="V1040" s="56">
        <v>23.337599999999998</v>
      </c>
      <c r="W1040" s="56">
        <v>0</v>
      </c>
      <c r="X1040" s="56">
        <v>0</v>
      </c>
      <c r="Y1040" s="56">
        <v>27.229069466921182</v>
      </c>
      <c r="Z1040" s="56"/>
      <c r="AA1040" s="56"/>
      <c r="AB1040" s="4">
        <v>1423.5935999999999</v>
      </c>
      <c r="AC1040" s="4">
        <v>0</v>
      </c>
      <c r="AD1040" s="4">
        <v>0</v>
      </c>
      <c r="AE1040" s="4">
        <v>1660.9732374821922</v>
      </c>
      <c r="AF1040" s="4">
        <v>0</v>
      </c>
      <c r="AG1040" s="4">
        <v>0</v>
      </c>
    </row>
    <row r="1041" spans="1:33" ht="11.25" customHeight="1" x14ac:dyDescent="0.25">
      <c r="A1041" s="3" t="s">
        <v>21</v>
      </c>
      <c r="B1041" s="3" t="s">
        <v>41</v>
      </c>
      <c r="C1041" s="3" t="s">
        <v>42</v>
      </c>
      <c r="D1041" s="3" t="s">
        <v>45</v>
      </c>
      <c r="E1041" s="3" t="s">
        <v>53</v>
      </c>
      <c r="F1041" s="3" t="s">
        <v>25</v>
      </c>
      <c r="G1041" s="3" t="s">
        <v>25</v>
      </c>
      <c r="H1041" s="3" t="s">
        <v>25</v>
      </c>
      <c r="I1041" s="6">
        <v>44593</v>
      </c>
      <c r="J1041" s="4">
        <v>8919</v>
      </c>
      <c r="K1041" s="56">
        <v>8919</v>
      </c>
      <c r="L1041" s="4">
        <v>0</v>
      </c>
      <c r="M1041" s="56">
        <v>0</v>
      </c>
      <c r="N1041" s="4">
        <v>0</v>
      </c>
      <c r="O1041" s="56">
        <v>0</v>
      </c>
      <c r="P1041" s="4">
        <v>52</v>
      </c>
      <c r="Q1041" s="3" t="s">
        <v>26</v>
      </c>
      <c r="R1041" s="3">
        <v>0</v>
      </c>
      <c r="S1041" s="4">
        <v>44</v>
      </c>
      <c r="T1041" s="4">
        <v>0</v>
      </c>
      <c r="U1041" s="4">
        <v>0</v>
      </c>
      <c r="V1041" s="56">
        <v>23.337599999999998</v>
      </c>
      <c r="W1041" s="56">
        <v>0</v>
      </c>
      <c r="X1041" s="56">
        <v>0</v>
      </c>
      <c r="Y1041" s="56">
        <v>27.229069466921182</v>
      </c>
      <c r="Z1041" s="56"/>
      <c r="AA1041" s="56"/>
      <c r="AB1041" s="4">
        <v>208148.05439999999</v>
      </c>
      <c r="AC1041" s="4">
        <v>0</v>
      </c>
      <c r="AD1041" s="4">
        <v>0</v>
      </c>
      <c r="AE1041" s="4">
        <v>242856.07057547002</v>
      </c>
      <c r="AF1041" s="4">
        <v>0</v>
      </c>
      <c r="AG1041" s="4">
        <v>0</v>
      </c>
    </row>
    <row r="1042" spans="1:33" ht="11.25" customHeight="1" x14ac:dyDescent="0.25">
      <c r="A1042" s="3" t="s">
        <v>27</v>
      </c>
      <c r="B1042" s="3" t="s">
        <v>41</v>
      </c>
      <c r="C1042" s="3" t="s">
        <v>42</v>
      </c>
      <c r="D1042" s="3" t="s">
        <v>45</v>
      </c>
      <c r="E1042" s="3" t="s">
        <v>53</v>
      </c>
      <c r="F1042" s="3" t="s">
        <v>25</v>
      </c>
      <c r="G1042" s="3" t="s">
        <v>25</v>
      </c>
      <c r="H1042" s="3" t="s">
        <v>25</v>
      </c>
      <c r="I1042" s="6">
        <v>44593</v>
      </c>
      <c r="J1042" s="4">
        <v>37</v>
      </c>
      <c r="K1042" s="56">
        <v>37</v>
      </c>
      <c r="L1042" s="4">
        <v>0</v>
      </c>
      <c r="M1042" s="56">
        <v>0</v>
      </c>
      <c r="N1042" s="4">
        <v>0</v>
      </c>
      <c r="O1042" s="56">
        <v>0</v>
      </c>
      <c r="P1042" s="4">
        <v>0</v>
      </c>
      <c r="Q1042" s="3" t="s">
        <v>26</v>
      </c>
      <c r="R1042" s="3">
        <v>0</v>
      </c>
      <c r="S1042" s="4">
        <v>44</v>
      </c>
      <c r="T1042" s="4">
        <v>0</v>
      </c>
      <c r="U1042" s="4">
        <v>0</v>
      </c>
      <c r="V1042" s="56">
        <v>23.337599999999998</v>
      </c>
      <c r="W1042" s="56">
        <v>0</v>
      </c>
      <c r="X1042" s="56">
        <v>0</v>
      </c>
      <c r="Y1042" s="56">
        <v>27.229069466921182</v>
      </c>
      <c r="Z1042" s="56"/>
      <c r="AA1042" s="56"/>
      <c r="AB1042" s="4">
        <v>863.49119999999994</v>
      </c>
      <c r="AC1042" s="4">
        <v>0</v>
      </c>
      <c r="AD1042" s="4">
        <v>0</v>
      </c>
      <c r="AE1042" s="4">
        <v>1007.4755702760838</v>
      </c>
      <c r="AF1042" s="4">
        <v>0</v>
      </c>
      <c r="AG1042" s="4">
        <v>0</v>
      </c>
    </row>
    <row r="1043" spans="1:33" ht="11.25" customHeight="1" x14ac:dyDescent="0.25">
      <c r="A1043" s="3" t="s">
        <v>28</v>
      </c>
      <c r="B1043" s="3" t="s">
        <v>41</v>
      </c>
      <c r="C1043" s="3" t="s">
        <v>42</v>
      </c>
      <c r="D1043" s="3" t="s">
        <v>45</v>
      </c>
      <c r="E1043" s="3" t="s">
        <v>53</v>
      </c>
      <c r="F1043" s="3" t="s">
        <v>25</v>
      </c>
      <c r="G1043" s="3" t="s">
        <v>25</v>
      </c>
      <c r="H1043" s="3" t="s">
        <v>25</v>
      </c>
      <c r="I1043" s="6">
        <v>44593</v>
      </c>
      <c r="J1043" s="4">
        <v>59</v>
      </c>
      <c r="K1043" s="56">
        <v>59</v>
      </c>
      <c r="L1043" s="4">
        <v>0</v>
      </c>
      <c r="M1043" s="56">
        <v>0</v>
      </c>
      <c r="N1043" s="4">
        <v>0</v>
      </c>
      <c r="O1043" s="56">
        <v>0</v>
      </c>
      <c r="P1043" s="4">
        <v>1</v>
      </c>
      <c r="Q1043" s="3" t="s">
        <v>26</v>
      </c>
      <c r="R1043" s="3">
        <v>0</v>
      </c>
      <c r="S1043" s="4">
        <v>44</v>
      </c>
      <c r="T1043" s="4">
        <v>0</v>
      </c>
      <c r="U1043" s="4">
        <v>0</v>
      </c>
      <c r="V1043" s="56">
        <v>23.337599999999998</v>
      </c>
      <c r="W1043" s="56">
        <v>0</v>
      </c>
      <c r="X1043" s="56">
        <v>0</v>
      </c>
      <c r="Y1043" s="56">
        <v>27.229069466921182</v>
      </c>
      <c r="Z1043" s="56"/>
      <c r="AA1043" s="56"/>
      <c r="AB1043" s="4">
        <v>1376.9183999999998</v>
      </c>
      <c r="AC1043" s="4">
        <v>0</v>
      </c>
      <c r="AD1043" s="4">
        <v>0</v>
      </c>
      <c r="AE1043" s="4">
        <v>1606.5150985483497</v>
      </c>
      <c r="AF1043" s="4">
        <v>0</v>
      </c>
      <c r="AG1043" s="4">
        <v>0</v>
      </c>
    </row>
    <row r="1044" spans="1:33" ht="11.25" customHeight="1" x14ac:dyDescent="0.25">
      <c r="A1044" s="3" t="s">
        <v>56</v>
      </c>
      <c r="B1044" s="3" t="s">
        <v>41</v>
      </c>
      <c r="C1044" s="3" t="s">
        <v>42</v>
      </c>
      <c r="D1044" s="3" t="s">
        <v>45</v>
      </c>
      <c r="E1044" s="3" t="s">
        <v>53</v>
      </c>
      <c r="F1044" s="3" t="s">
        <v>25</v>
      </c>
      <c r="G1044" s="3" t="s">
        <v>25</v>
      </c>
      <c r="H1044" s="3" t="s">
        <v>25</v>
      </c>
      <c r="I1044" s="6">
        <v>44621</v>
      </c>
      <c r="J1044" s="4">
        <v>8919</v>
      </c>
      <c r="K1044" s="56">
        <v>8919</v>
      </c>
      <c r="L1044" s="4">
        <v>0</v>
      </c>
      <c r="M1044" s="56">
        <v>0</v>
      </c>
      <c r="N1044" s="4">
        <v>0</v>
      </c>
      <c r="O1044" s="56">
        <v>0</v>
      </c>
      <c r="P1044" s="4">
        <v>52</v>
      </c>
      <c r="Q1044" s="3" t="s">
        <v>26</v>
      </c>
      <c r="R1044" s="3">
        <v>0</v>
      </c>
      <c r="S1044" s="4">
        <v>44</v>
      </c>
      <c r="T1044" s="4">
        <v>0</v>
      </c>
      <c r="U1044" s="4">
        <v>0</v>
      </c>
      <c r="V1044" s="56">
        <v>23.337599999999998</v>
      </c>
      <c r="W1044" s="56">
        <v>0</v>
      </c>
      <c r="X1044" s="56">
        <v>0</v>
      </c>
      <c r="Y1044" s="56">
        <v>27.229069466921182</v>
      </c>
      <c r="Z1044" s="56"/>
      <c r="AA1044" s="56"/>
      <c r="AB1044" s="4">
        <v>208148.05439999999</v>
      </c>
      <c r="AC1044" s="4">
        <v>0</v>
      </c>
      <c r="AD1044" s="4">
        <v>0</v>
      </c>
      <c r="AE1044" s="4">
        <v>242856.07057547002</v>
      </c>
      <c r="AF1044" s="4">
        <v>0</v>
      </c>
      <c r="AG1044" s="4">
        <v>0</v>
      </c>
    </row>
    <row r="1045" spans="1:33" ht="11.25" customHeight="1" x14ac:dyDescent="0.25">
      <c r="A1045" s="3" t="s">
        <v>56</v>
      </c>
      <c r="B1045" s="3" t="s">
        <v>41</v>
      </c>
      <c r="C1045" s="3" t="s">
        <v>42</v>
      </c>
      <c r="D1045" s="3" t="s">
        <v>45</v>
      </c>
      <c r="E1045" s="3" t="s">
        <v>53</v>
      </c>
      <c r="F1045" s="3" t="s">
        <v>25</v>
      </c>
      <c r="G1045" s="3" t="s">
        <v>25</v>
      </c>
      <c r="H1045" s="3" t="s">
        <v>25</v>
      </c>
      <c r="I1045" s="6">
        <v>44621</v>
      </c>
      <c r="J1045" s="4">
        <v>37</v>
      </c>
      <c r="K1045" s="56">
        <v>37</v>
      </c>
      <c r="L1045" s="4">
        <v>0</v>
      </c>
      <c r="M1045" s="56">
        <v>0</v>
      </c>
      <c r="N1045" s="4">
        <v>0</v>
      </c>
      <c r="O1045" s="56">
        <v>0</v>
      </c>
      <c r="P1045" s="4">
        <v>0</v>
      </c>
      <c r="Q1045" s="3" t="s">
        <v>26</v>
      </c>
      <c r="R1045" s="3">
        <v>0</v>
      </c>
      <c r="S1045" s="4">
        <v>44</v>
      </c>
      <c r="T1045" s="4">
        <v>0</v>
      </c>
      <c r="U1045" s="4">
        <v>0</v>
      </c>
      <c r="V1045" s="56">
        <v>23.337599999999998</v>
      </c>
      <c r="W1045" s="56">
        <v>0</v>
      </c>
      <c r="X1045" s="56">
        <v>0</v>
      </c>
      <c r="Y1045" s="56">
        <v>27.229069466921182</v>
      </c>
      <c r="Z1045" s="56"/>
      <c r="AA1045" s="56"/>
      <c r="AB1045" s="4">
        <v>863.49119999999994</v>
      </c>
      <c r="AC1045" s="4">
        <v>0</v>
      </c>
      <c r="AD1045" s="4">
        <v>0</v>
      </c>
      <c r="AE1045" s="4">
        <v>1007.4755702760838</v>
      </c>
      <c r="AF1045" s="4">
        <v>0</v>
      </c>
      <c r="AG1045" s="4">
        <v>0</v>
      </c>
    </row>
    <row r="1046" spans="1:33" ht="11.25" customHeight="1" x14ac:dyDescent="0.25">
      <c r="A1046" s="3" t="s">
        <v>56</v>
      </c>
      <c r="B1046" s="3" t="s">
        <v>41</v>
      </c>
      <c r="C1046" s="3" t="s">
        <v>42</v>
      </c>
      <c r="D1046" s="3" t="s">
        <v>45</v>
      </c>
      <c r="E1046" s="3" t="s">
        <v>53</v>
      </c>
      <c r="F1046" s="3" t="s">
        <v>25</v>
      </c>
      <c r="G1046" s="3" t="s">
        <v>25</v>
      </c>
      <c r="H1046" s="3" t="s">
        <v>25</v>
      </c>
      <c r="I1046" s="6">
        <v>44621</v>
      </c>
      <c r="J1046" s="4">
        <v>59</v>
      </c>
      <c r="K1046" s="56">
        <v>59</v>
      </c>
      <c r="L1046" s="4">
        <v>0</v>
      </c>
      <c r="M1046" s="56">
        <v>0</v>
      </c>
      <c r="N1046" s="4">
        <v>0</v>
      </c>
      <c r="O1046" s="56">
        <v>0</v>
      </c>
      <c r="P1046" s="4">
        <v>1</v>
      </c>
      <c r="Q1046" s="3" t="s">
        <v>26</v>
      </c>
      <c r="R1046" s="3">
        <v>0</v>
      </c>
      <c r="S1046" s="4">
        <v>44</v>
      </c>
      <c r="T1046" s="4">
        <v>0</v>
      </c>
      <c r="U1046" s="4">
        <v>0</v>
      </c>
      <c r="V1046" s="56">
        <v>23.337599999999998</v>
      </c>
      <c r="W1046" s="56">
        <v>0</v>
      </c>
      <c r="X1046" s="56">
        <v>0</v>
      </c>
      <c r="Y1046" s="56">
        <v>27.229069466921182</v>
      </c>
      <c r="Z1046" s="56"/>
      <c r="AA1046" s="56"/>
      <c r="AB1046" s="4">
        <v>1376.9183999999998</v>
      </c>
      <c r="AC1046" s="4">
        <v>0</v>
      </c>
      <c r="AD1046" s="4">
        <v>0</v>
      </c>
      <c r="AE1046" s="4">
        <v>1606.5150985483497</v>
      </c>
      <c r="AF1046" s="4">
        <v>0</v>
      </c>
      <c r="AG1046" s="4">
        <v>0</v>
      </c>
    </row>
    <row r="1047" spans="1:33" ht="11.25" customHeight="1" x14ac:dyDescent="0.25">
      <c r="A1047" s="3" t="s">
        <v>21</v>
      </c>
      <c r="B1047" s="3" t="s">
        <v>41</v>
      </c>
      <c r="C1047" s="3" t="s">
        <v>42</v>
      </c>
      <c r="D1047" s="3" t="s">
        <v>45</v>
      </c>
      <c r="E1047" s="3" t="s">
        <v>53</v>
      </c>
      <c r="F1047" s="3" t="s">
        <v>25</v>
      </c>
      <c r="G1047" s="3" t="s">
        <v>25</v>
      </c>
      <c r="H1047" s="3" t="s">
        <v>34</v>
      </c>
      <c r="I1047" s="6">
        <v>44287</v>
      </c>
      <c r="J1047" s="4">
        <v>0</v>
      </c>
      <c r="K1047" s="56">
        <v>0</v>
      </c>
      <c r="L1047" s="4">
        <v>14.07</v>
      </c>
      <c r="M1047" s="56">
        <v>14.07</v>
      </c>
      <c r="N1047" s="4">
        <v>14.07</v>
      </c>
      <c r="O1047" s="56">
        <v>14.07</v>
      </c>
      <c r="P1047" s="4">
        <v>0</v>
      </c>
      <c r="Q1047" s="3" t="s">
        <v>26</v>
      </c>
      <c r="R1047" s="3">
        <v>0</v>
      </c>
      <c r="S1047" s="4">
        <v>0</v>
      </c>
      <c r="T1047" s="4">
        <v>20</v>
      </c>
      <c r="U1047" s="4">
        <v>88</v>
      </c>
      <c r="V1047" s="56">
        <v>0</v>
      </c>
      <c r="W1047" s="56">
        <v>1502.0063999999998</v>
      </c>
      <c r="X1047" s="56">
        <v>350.88</v>
      </c>
      <c r="Y1047" s="56"/>
      <c r="Z1047" s="56">
        <v>1885.2431520117077</v>
      </c>
      <c r="AA1047" s="56">
        <v>373.79695658396923</v>
      </c>
      <c r="AB1047" s="4">
        <v>0</v>
      </c>
      <c r="AC1047" s="4">
        <v>21133.230047999998</v>
      </c>
      <c r="AD1047" s="4">
        <v>4936.8815999999997</v>
      </c>
      <c r="AE1047" s="4">
        <v>0</v>
      </c>
      <c r="AF1047" s="4">
        <v>26525.371148804727</v>
      </c>
      <c r="AG1047" s="4">
        <v>5259.3231791364469</v>
      </c>
    </row>
    <row r="1048" spans="1:33" ht="11.25" customHeight="1" x14ac:dyDescent="0.25">
      <c r="A1048" s="3" t="s">
        <v>21</v>
      </c>
      <c r="B1048" s="3" t="s">
        <v>41</v>
      </c>
      <c r="C1048" s="3" t="s">
        <v>42</v>
      </c>
      <c r="D1048" s="3" t="s">
        <v>45</v>
      </c>
      <c r="E1048" s="3" t="s">
        <v>53</v>
      </c>
      <c r="F1048" s="3" t="s">
        <v>25</v>
      </c>
      <c r="G1048" s="3" t="s">
        <v>25</v>
      </c>
      <c r="H1048" s="3" t="s">
        <v>34</v>
      </c>
      <c r="I1048" s="6">
        <v>44317</v>
      </c>
      <c r="J1048" s="4">
        <v>0</v>
      </c>
      <c r="K1048" s="56">
        <v>0</v>
      </c>
      <c r="L1048" s="4">
        <v>9.2910000000000004</v>
      </c>
      <c r="M1048" s="56">
        <v>9.2910000000000004</v>
      </c>
      <c r="N1048" s="4">
        <v>9.2910000000000004</v>
      </c>
      <c r="O1048" s="56">
        <v>9.2910000000000004</v>
      </c>
      <c r="P1048" s="4">
        <v>0</v>
      </c>
      <c r="Q1048" s="3" t="s">
        <v>26</v>
      </c>
      <c r="R1048" s="3">
        <v>0</v>
      </c>
      <c r="S1048" s="4">
        <v>0</v>
      </c>
      <c r="T1048" s="4">
        <v>20</v>
      </c>
      <c r="U1048" s="4">
        <v>88</v>
      </c>
      <c r="V1048" s="56">
        <v>0</v>
      </c>
      <c r="W1048" s="56">
        <v>1502.0063999999998</v>
      </c>
      <c r="X1048" s="56">
        <v>350.88</v>
      </c>
      <c r="Y1048" s="56"/>
      <c r="Z1048" s="56">
        <v>1885.2431520117077</v>
      </c>
      <c r="AA1048" s="56">
        <v>373.79695658396923</v>
      </c>
      <c r="AB1048" s="4">
        <v>0</v>
      </c>
      <c r="AC1048" s="4">
        <v>13955.141462399999</v>
      </c>
      <c r="AD1048" s="4">
        <v>3260.0260800000001</v>
      </c>
      <c r="AE1048" s="4">
        <v>0</v>
      </c>
      <c r="AF1048" s="4">
        <v>17515.794125340777</v>
      </c>
      <c r="AG1048" s="4">
        <v>3472.9475236216581</v>
      </c>
    </row>
    <row r="1049" spans="1:33" ht="11.25" customHeight="1" x14ac:dyDescent="0.25">
      <c r="A1049" s="3" t="s">
        <v>21</v>
      </c>
      <c r="B1049" s="3" t="s">
        <v>41</v>
      </c>
      <c r="C1049" s="3" t="s">
        <v>42</v>
      </c>
      <c r="D1049" s="3" t="s">
        <v>45</v>
      </c>
      <c r="E1049" s="3" t="s">
        <v>53</v>
      </c>
      <c r="F1049" s="3" t="s">
        <v>25</v>
      </c>
      <c r="G1049" s="3" t="s">
        <v>25</v>
      </c>
      <c r="H1049" s="3" t="s">
        <v>34</v>
      </c>
      <c r="I1049" s="6">
        <v>44348</v>
      </c>
      <c r="J1049" s="4">
        <v>0</v>
      </c>
      <c r="K1049" s="56">
        <v>0</v>
      </c>
      <c r="L1049" s="4">
        <v>8.5730000000000004</v>
      </c>
      <c r="M1049" s="56">
        <v>8.5730000000000004</v>
      </c>
      <c r="N1049" s="4">
        <v>8.5730000000000004</v>
      </c>
      <c r="O1049" s="56">
        <v>8.5730000000000004</v>
      </c>
      <c r="P1049" s="4">
        <v>0</v>
      </c>
      <c r="Q1049" s="3" t="s">
        <v>26</v>
      </c>
      <c r="R1049" s="3">
        <v>0</v>
      </c>
      <c r="S1049" s="4">
        <v>0</v>
      </c>
      <c r="T1049" s="4">
        <v>20</v>
      </c>
      <c r="U1049" s="4">
        <v>88</v>
      </c>
      <c r="V1049" s="56">
        <v>0</v>
      </c>
      <c r="W1049" s="56">
        <v>1502.0063999999998</v>
      </c>
      <c r="X1049" s="56">
        <v>350.88</v>
      </c>
      <c r="Y1049" s="56"/>
      <c r="Z1049" s="56">
        <v>1885.2431520117077</v>
      </c>
      <c r="AA1049" s="56">
        <v>373.79695658396923</v>
      </c>
      <c r="AB1049" s="4">
        <v>0</v>
      </c>
      <c r="AC1049" s="4">
        <v>12876.700867199999</v>
      </c>
      <c r="AD1049" s="4">
        <v>3008.0942399999999</v>
      </c>
      <c r="AE1049" s="4">
        <v>0</v>
      </c>
      <c r="AF1049" s="4">
        <v>16162.189542196371</v>
      </c>
      <c r="AG1049" s="4">
        <v>3204.5613087943684</v>
      </c>
    </row>
    <row r="1050" spans="1:33" ht="11.25" customHeight="1" x14ac:dyDescent="0.25">
      <c r="A1050" s="3" t="s">
        <v>21</v>
      </c>
      <c r="B1050" s="3" t="s">
        <v>41</v>
      </c>
      <c r="C1050" s="3" t="s">
        <v>42</v>
      </c>
      <c r="D1050" s="3" t="s">
        <v>45</v>
      </c>
      <c r="E1050" s="3" t="s">
        <v>53</v>
      </c>
      <c r="F1050" s="3" t="s">
        <v>25</v>
      </c>
      <c r="G1050" s="3" t="s">
        <v>25</v>
      </c>
      <c r="H1050" s="3" t="s">
        <v>34</v>
      </c>
      <c r="I1050" s="6">
        <v>44378</v>
      </c>
      <c r="J1050" s="4">
        <v>0</v>
      </c>
      <c r="K1050" s="56">
        <v>0</v>
      </c>
      <c r="L1050" s="4">
        <v>7.2220000000000004</v>
      </c>
      <c r="M1050" s="56">
        <v>7.2220000000000004</v>
      </c>
      <c r="N1050" s="4">
        <v>7.2220000000000004</v>
      </c>
      <c r="O1050" s="56">
        <v>7.2220000000000004</v>
      </c>
      <c r="P1050" s="4">
        <v>0</v>
      </c>
      <c r="Q1050" s="3" t="s">
        <v>26</v>
      </c>
      <c r="R1050" s="3">
        <v>0</v>
      </c>
      <c r="S1050" s="4">
        <v>0</v>
      </c>
      <c r="T1050" s="4">
        <v>20</v>
      </c>
      <c r="U1050" s="4">
        <v>88</v>
      </c>
      <c r="V1050" s="56">
        <v>0</v>
      </c>
      <c r="W1050" s="56">
        <v>1502.0063999999998</v>
      </c>
      <c r="X1050" s="56">
        <v>350.88</v>
      </c>
      <c r="Y1050" s="56"/>
      <c r="Z1050" s="56">
        <v>1885.2431520117077</v>
      </c>
      <c r="AA1050" s="56">
        <v>373.79695658396923</v>
      </c>
      <c r="AB1050" s="4">
        <v>0</v>
      </c>
      <c r="AC1050" s="4">
        <v>10847.490220799998</v>
      </c>
      <c r="AD1050" s="4">
        <v>2534.0553600000003</v>
      </c>
      <c r="AE1050" s="4">
        <v>0</v>
      </c>
      <c r="AF1050" s="4">
        <v>13615.226043828554</v>
      </c>
      <c r="AG1050" s="4">
        <v>2699.5616204494258</v>
      </c>
    </row>
    <row r="1051" spans="1:33" ht="11.25" customHeight="1" x14ac:dyDescent="0.25">
      <c r="A1051" s="3" t="s">
        <v>21</v>
      </c>
      <c r="B1051" s="3" t="s">
        <v>41</v>
      </c>
      <c r="C1051" s="3" t="s">
        <v>42</v>
      </c>
      <c r="D1051" s="3" t="s">
        <v>45</v>
      </c>
      <c r="E1051" s="3" t="s">
        <v>53</v>
      </c>
      <c r="F1051" s="3" t="s">
        <v>25</v>
      </c>
      <c r="G1051" s="3" t="s">
        <v>25</v>
      </c>
      <c r="H1051" s="3" t="s">
        <v>34</v>
      </c>
      <c r="I1051" s="6">
        <v>44409</v>
      </c>
      <c r="J1051" s="4">
        <v>0</v>
      </c>
      <c r="K1051" s="56">
        <v>0</v>
      </c>
      <c r="L1051" s="4">
        <v>8.3740000000000006</v>
      </c>
      <c r="M1051" s="56">
        <v>8.3740000000000006</v>
      </c>
      <c r="N1051" s="4">
        <v>8.3740000000000006</v>
      </c>
      <c r="O1051" s="56">
        <v>8.3740000000000006</v>
      </c>
      <c r="P1051" s="4">
        <v>0</v>
      </c>
      <c r="Q1051" s="3" t="s">
        <v>26</v>
      </c>
      <c r="R1051" s="3">
        <v>0</v>
      </c>
      <c r="S1051" s="4">
        <v>0</v>
      </c>
      <c r="T1051" s="4">
        <v>20</v>
      </c>
      <c r="U1051" s="4">
        <v>88</v>
      </c>
      <c r="V1051" s="56">
        <v>0</v>
      </c>
      <c r="W1051" s="56">
        <v>1502.0063999999998</v>
      </c>
      <c r="X1051" s="56">
        <v>350.88</v>
      </c>
      <c r="Y1051" s="56"/>
      <c r="Z1051" s="56">
        <v>1885.2431520117077</v>
      </c>
      <c r="AA1051" s="56">
        <v>373.79695658396923</v>
      </c>
      <c r="AB1051" s="4">
        <v>0</v>
      </c>
      <c r="AC1051" s="4">
        <v>12577.801593599999</v>
      </c>
      <c r="AD1051" s="4">
        <v>2938.2691199999999</v>
      </c>
      <c r="AE1051" s="4">
        <v>0</v>
      </c>
      <c r="AF1051" s="4">
        <v>15787.026154946041</v>
      </c>
      <c r="AG1051" s="4">
        <v>3130.1757144341586</v>
      </c>
    </row>
    <row r="1052" spans="1:33" ht="11.25" customHeight="1" x14ac:dyDescent="0.25">
      <c r="A1052" s="3" t="s">
        <v>21</v>
      </c>
      <c r="B1052" s="3" t="s">
        <v>41</v>
      </c>
      <c r="C1052" s="3" t="s">
        <v>42</v>
      </c>
      <c r="D1052" s="3" t="s">
        <v>45</v>
      </c>
      <c r="E1052" s="3" t="s">
        <v>53</v>
      </c>
      <c r="F1052" s="3" t="s">
        <v>25</v>
      </c>
      <c r="G1052" s="3" t="s">
        <v>25</v>
      </c>
      <c r="H1052" s="3" t="s">
        <v>34</v>
      </c>
      <c r="I1052" s="6">
        <v>44440</v>
      </c>
      <c r="J1052" s="4">
        <v>0</v>
      </c>
      <c r="K1052" s="56">
        <v>0</v>
      </c>
      <c r="L1052" s="4">
        <v>14.097</v>
      </c>
      <c r="M1052" s="56">
        <v>14.097</v>
      </c>
      <c r="N1052" s="4">
        <v>14.097</v>
      </c>
      <c r="O1052" s="56">
        <v>14.097</v>
      </c>
      <c r="P1052" s="4">
        <v>0</v>
      </c>
      <c r="Q1052" s="3" t="s">
        <v>26</v>
      </c>
      <c r="R1052" s="3">
        <v>0</v>
      </c>
      <c r="S1052" s="4">
        <v>0</v>
      </c>
      <c r="T1052" s="4">
        <v>20</v>
      </c>
      <c r="U1052" s="4">
        <v>88</v>
      </c>
      <c r="V1052" s="56">
        <v>0</v>
      </c>
      <c r="W1052" s="56">
        <v>1502.0063999999998</v>
      </c>
      <c r="X1052" s="56">
        <v>350.88</v>
      </c>
      <c r="Y1052" s="56"/>
      <c r="Z1052" s="56">
        <v>1885.2431520117077</v>
      </c>
      <c r="AA1052" s="56">
        <v>373.79695658396923</v>
      </c>
      <c r="AB1052" s="4">
        <v>0</v>
      </c>
      <c r="AC1052" s="4">
        <v>21173.784220799997</v>
      </c>
      <c r="AD1052" s="4">
        <v>4946.3553599999996</v>
      </c>
      <c r="AE1052" s="4">
        <v>0</v>
      </c>
      <c r="AF1052" s="4">
        <v>26576.272713909042</v>
      </c>
      <c r="AG1052" s="4">
        <v>5269.4156969642145</v>
      </c>
    </row>
    <row r="1053" spans="1:33" ht="11.25" customHeight="1" x14ac:dyDescent="0.25">
      <c r="A1053" s="3" t="s">
        <v>27</v>
      </c>
      <c r="B1053" s="3" t="s">
        <v>41</v>
      </c>
      <c r="C1053" s="3" t="s">
        <v>42</v>
      </c>
      <c r="D1053" s="3" t="s">
        <v>45</v>
      </c>
      <c r="E1053" s="3" t="s">
        <v>53</v>
      </c>
      <c r="F1053" s="3" t="s">
        <v>25</v>
      </c>
      <c r="G1053" s="3" t="s">
        <v>25</v>
      </c>
      <c r="H1053" s="3" t="s">
        <v>34</v>
      </c>
      <c r="I1053" s="6">
        <v>44440</v>
      </c>
      <c r="J1053" s="4">
        <v>0</v>
      </c>
      <c r="K1053" s="56">
        <v>0</v>
      </c>
      <c r="L1053" s="4">
        <v>0.94599999999999995</v>
      </c>
      <c r="M1053" s="56">
        <v>0.94599999999999995</v>
      </c>
      <c r="N1053" s="4">
        <v>0.94599999999999995</v>
      </c>
      <c r="O1053" s="56">
        <v>0.94599999999999995</v>
      </c>
      <c r="P1053" s="4">
        <v>0</v>
      </c>
      <c r="Q1053" s="3" t="s">
        <v>26</v>
      </c>
      <c r="R1053" s="3">
        <v>0</v>
      </c>
      <c r="S1053" s="4">
        <v>0</v>
      </c>
      <c r="T1053" s="4">
        <v>20</v>
      </c>
      <c r="U1053" s="4">
        <v>88</v>
      </c>
      <c r="V1053" s="56">
        <v>0</v>
      </c>
      <c r="W1053" s="56">
        <v>1502.0063999999998</v>
      </c>
      <c r="X1053" s="56">
        <v>350.88</v>
      </c>
      <c r="Y1053" s="56"/>
      <c r="Z1053" s="56">
        <v>1885.2431520117077</v>
      </c>
      <c r="AA1053" s="56">
        <v>373.79695658396923</v>
      </c>
      <c r="AB1053" s="4">
        <v>0</v>
      </c>
      <c r="AC1053" s="4">
        <v>1420.8980543999996</v>
      </c>
      <c r="AD1053" s="4">
        <v>331.93248</v>
      </c>
      <c r="AE1053" s="4">
        <v>0</v>
      </c>
      <c r="AF1053" s="4">
        <v>1783.4400218030753</v>
      </c>
      <c r="AG1053" s="4">
        <v>353.61192092843487</v>
      </c>
    </row>
    <row r="1054" spans="1:33" ht="11.25" customHeight="1" x14ac:dyDescent="0.25">
      <c r="A1054" s="3" t="s">
        <v>21</v>
      </c>
      <c r="B1054" s="3" t="s">
        <v>41</v>
      </c>
      <c r="C1054" s="3" t="s">
        <v>42</v>
      </c>
      <c r="D1054" s="3" t="s">
        <v>45</v>
      </c>
      <c r="E1054" s="3" t="s">
        <v>53</v>
      </c>
      <c r="F1054" s="3" t="s">
        <v>25</v>
      </c>
      <c r="G1054" s="3" t="s">
        <v>25</v>
      </c>
      <c r="H1054" s="3" t="s">
        <v>34</v>
      </c>
      <c r="I1054" s="6">
        <v>44470</v>
      </c>
      <c r="J1054" s="4">
        <v>0</v>
      </c>
      <c r="K1054" s="56">
        <v>0</v>
      </c>
      <c r="L1054" s="4">
        <v>14.898</v>
      </c>
      <c r="M1054" s="56">
        <v>14.898</v>
      </c>
      <c r="N1054" s="4">
        <v>14.898</v>
      </c>
      <c r="O1054" s="56">
        <v>14.898</v>
      </c>
      <c r="P1054" s="4">
        <v>0</v>
      </c>
      <c r="Q1054" s="3" t="s">
        <v>26</v>
      </c>
      <c r="R1054" s="3">
        <v>0</v>
      </c>
      <c r="S1054" s="4">
        <v>0</v>
      </c>
      <c r="T1054" s="4">
        <v>20</v>
      </c>
      <c r="U1054" s="4">
        <v>88</v>
      </c>
      <c r="V1054" s="56">
        <v>0</v>
      </c>
      <c r="W1054" s="56">
        <v>1502.0063999999998</v>
      </c>
      <c r="X1054" s="56">
        <v>350.88</v>
      </c>
      <c r="Y1054" s="56"/>
      <c r="Z1054" s="56">
        <v>1885.2431520117077</v>
      </c>
      <c r="AA1054" s="56">
        <v>373.79695658396923</v>
      </c>
      <c r="AB1054" s="4">
        <v>0</v>
      </c>
      <c r="AC1054" s="4">
        <v>22376.891347199995</v>
      </c>
      <c r="AD1054" s="4">
        <v>5227.4102400000002</v>
      </c>
      <c r="AE1054" s="4">
        <v>0</v>
      </c>
      <c r="AF1054" s="4">
        <v>28086.352478670422</v>
      </c>
      <c r="AG1054" s="4">
        <v>5568.8270591879736</v>
      </c>
    </row>
    <row r="1055" spans="1:33" ht="11.25" customHeight="1" x14ac:dyDescent="0.25">
      <c r="A1055" s="3" t="s">
        <v>21</v>
      </c>
      <c r="B1055" s="3" t="s">
        <v>41</v>
      </c>
      <c r="C1055" s="3" t="s">
        <v>42</v>
      </c>
      <c r="D1055" s="3" t="s">
        <v>45</v>
      </c>
      <c r="E1055" s="3" t="s">
        <v>53</v>
      </c>
      <c r="F1055" s="3" t="s">
        <v>25</v>
      </c>
      <c r="G1055" s="3" t="s">
        <v>25</v>
      </c>
      <c r="H1055" s="3" t="s">
        <v>34</v>
      </c>
      <c r="I1055" s="6">
        <v>44501</v>
      </c>
      <c r="J1055" s="4">
        <v>0</v>
      </c>
      <c r="K1055" s="56">
        <v>0</v>
      </c>
      <c r="L1055" s="4">
        <v>17.111999999999998</v>
      </c>
      <c r="M1055" s="56">
        <v>17.111999999999998</v>
      </c>
      <c r="N1055" s="4">
        <v>17.111999999999998</v>
      </c>
      <c r="O1055" s="56">
        <v>17.111999999999998</v>
      </c>
      <c r="P1055" s="4">
        <v>0</v>
      </c>
      <c r="Q1055" s="3" t="s">
        <v>26</v>
      </c>
      <c r="R1055" s="3">
        <v>0</v>
      </c>
      <c r="S1055" s="4">
        <v>0</v>
      </c>
      <c r="T1055" s="4">
        <v>20</v>
      </c>
      <c r="U1055" s="4">
        <v>88</v>
      </c>
      <c r="V1055" s="56">
        <v>0</v>
      </c>
      <c r="W1055" s="56">
        <v>1502.0063999999998</v>
      </c>
      <c r="X1055" s="56">
        <v>350.88</v>
      </c>
      <c r="Y1055" s="56"/>
      <c r="Z1055" s="56">
        <v>1885.2431520117077</v>
      </c>
      <c r="AA1055" s="56">
        <v>373.79695658396923</v>
      </c>
      <c r="AB1055" s="4">
        <v>0</v>
      </c>
      <c r="AC1055" s="4">
        <v>25702.333516799994</v>
      </c>
      <c r="AD1055" s="4">
        <v>6004.2585599999993</v>
      </c>
      <c r="AE1055" s="4">
        <v>0</v>
      </c>
      <c r="AF1055" s="4">
        <v>32260.280817224339</v>
      </c>
      <c r="AG1055" s="4">
        <v>6396.413521064881</v>
      </c>
    </row>
    <row r="1056" spans="1:33" ht="11.25" customHeight="1" x14ac:dyDescent="0.25">
      <c r="A1056" s="3" t="s">
        <v>21</v>
      </c>
      <c r="B1056" s="3" t="s">
        <v>41</v>
      </c>
      <c r="C1056" s="3" t="s">
        <v>42</v>
      </c>
      <c r="D1056" s="3" t="s">
        <v>45</v>
      </c>
      <c r="E1056" s="3" t="s">
        <v>53</v>
      </c>
      <c r="F1056" s="3" t="s">
        <v>25</v>
      </c>
      <c r="G1056" s="3" t="s">
        <v>25</v>
      </c>
      <c r="H1056" s="3" t="s">
        <v>34</v>
      </c>
      <c r="I1056" s="6">
        <v>44531</v>
      </c>
      <c r="J1056" s="4">
        <v>0</v>
      </c>
      <c r="K1056" s="56">
        <v>0</v>
      </c>
      <c r="L1056" s="4">
        <v>16.388999999999999</v>
      </c>
      <c r="M1056" s="56">
        <v>16.388999999999999</v>
      </c>
      <c r="N1056" s="4">
        <v>16.388999999999999</v>
      </c>
      <c r="O1056" s="56">
        <v>16.388999999999999</v>
      </c>
      <c r="P1056" s="4">
        <v>0</v>
      </c>
      <c r="Q1056" s="3" t="s">
        <v>26</v>
      </c>
      <c r="R1056" s="3">
        <v>0</v>
      </c>
      <c r="S1056" s="4">
        <v>0</v>
      </c>
      <c r="T1056" s="4">
        <v>20</v>
      </c>
      <c r="U1056" s="4">
        <v>88</v>
      </c>
      <c r="V1056" s="56">
        <v>0</v>
      </c>
      <c r="W1056" s="56">
        <v>1502.0063999999998</v>
      </c>
      <c r="X1056" s="56">
        <v>350.88</v>
      </c>
      <c r="Y1056" s="56"/>
      <c r="Z1056" s="56">
        <v>1885.2431520117077</v>
      </c>
      <c r="AA1056" s="56">
        <v>373.79695658396923</v>
      </c>
      <c r="AB1056" s="4">
        <v>0</v>
      </c>
      <c r="AC1056" s="4">
        <v>24616.382889599994</v>
      </c>
      <c r="AD1056" s="4">
        <v>5750.5723199999993</v>
      </c>
      <c r="AE1056" s="4">
        <v>0</v>
      </c>
      <c r="AF1056" s="4">
        <v>30897.250018319875</v>
      </c>
      <c r="AG1056" s="4">
        <v>6126.1583214546717</v>
      </c>
    </row>
    <row r="1057" spans="1:33" ht="11.25" customHeight="1" x14ac:dyDescent="0.25">
      <c r="A1057" s="3" t="s">
        <v>21</v>
      </c>
      <c r="B1057" s="3" t="s">
        <v>41</v>
      </c>
      <c r="C1057" s="3" t="s">
        <v>42</v>
      </c>
      <c r="D1057" s="3" t="s">
        <v>45</v>
      </c>
      <c r="E1057" s="3" t="s">
        <v>53</v>
      </c>
      <c r="F1057" s="3" t="s">
        <v>25</v>
      </c>
      <c r="G1057" s="3" t="s">
        <v>25</v>
      </c>
      <c r="H1057" s="3" t="s">
        <v>34</v>
      </c>
      <c r="I1057" s="6">
        <v>44562</v>
      </c>
      <c r="J1057" s="4">
        <v>0</v>
      </c>
      <c r="K1057" s="56">
        <v>0</v>
      </c>
      <c r="L1057" s="4">
        <v>18.425999999999998</v>
      </c>
      <c r="M1057" s="56">
        <v>18.425999999999998</v>
      </c>
      <c r="N1057" s="4">
        <v>18.425999999999998</v>
      </c>
      <c r="O1057" s="56">
        <v>18.425999999999998</v>
      </c>
      <c r="P1057" s="4">
        <v>0</v>
      </c>
      <c r="Q1057" s="3" t="s">
        <v>26</v>
      </c>
      <c r="R1057" s="3">
        <v>0</v>
      </c>
      <c r="S1057" s="4">
        <v>0</v>
      </c>
      <c r="T1057" s="4">
        <v>20</v>
      </c>
      <c r="U1057" s="4">
        <v>88</v>
      </c>
      <c r="V1057" s="56">
        <v>0</v>
      </c>
      <c r="W1057" s="56">
        <v>1502.0063999999998</v>
      </c>
      <c r="X1057" s="56">
        <v>350.88</v>
      </c>
      <c r="Y1057" s="56"/>
      <c r="Z1057" s="56">
        <v>1885.2431520117077</v>
      </c>
      <c r="AA1057" s="56">
        <v>373.79695658396923</v>
      </c>
      <c r="AB1057" s="4">
        <v>0</v>
      </c>
      <c r="AC1057" s="4">
        <v>27675.969926399994</v>
      </c>
      <c r="AD1057" s="4">
        <v>6465.314879999999</v>
      </c>
      <c r="AE1057" s="4">
        <v>0</v>
      </c>
      <c r="AF1057" s="4">
        <v>34737.490318967721</v>
      </c>
      <c r="AG1057" s="4">
        <v>6887.5827220162164</v>
      </c>
    </row>
    <row r="1058" spans="1:33" ht="11.25" customHeight="1" x14ac:dyDescent="0.25">
      <c r="A1058" s="3" t="s">
        <v>27</v>
      </c>
      <c r="B1058" s="3" t="s">
        <v>41</v>
      </c>
      <c r="C1058" s="3" t="s">
        <v>42</v>
      </c>
      <c r="D1058" s="3" t="s">
        <v>45</v>
      </c>
      <c r="E1058" s="3" t="s">
        <v>53</v>
      </c>
      <c r="F1058" s="3" t="s">
        <v>25</v>
      </c>
      <c r="G1058" s="3" t="s">
        <v>25</v>
      </c>
      <c r="H1058" s="3" t="s">
        <v>34</v>
      </c>
      <c r="I1058" s="6">
        <v>44562</v>
      </c>
      <c r="J1058" s="4">
        <v>0</v>
      </c>
      <c r="K1058" s="56">
        <v>0</v>
      </c>
      <c r="L1058" s="4">
        <v>0.2</v>
      </c>
      <c r="M1058" s="56">
        <v>0.2</v>
      </c>
      <c r="N1058" s="4">
        <v>0.2</v>
      </c>
      <c r="O1058" s="56">
        <v>0.2</v>
      </c>
      <c r="P1058" s="4">
        <v>0</v>
      </c>
      <c r="Q1058" s="3" t="s">
        <v>26</v>
      </c>
      <c r="R1058" s="3">
        <v>0</v>
      </c>
      <c r="S1058" s="4">
        <v>0</v>
      </c>
      <c r="T1058" s="4">
        <v>20</v>
      </c>
      <c r="U1058" s="4">
        <v>88</v>
      </c>
      <c r="V1058" s="56">
        <v>0</v>
      </c>
      <c r="W1058" s="56">
        <v>1502.0063999999998</v>
      </c>
      <c r="X1058" s="56">
        <v>350.88</v>
      </c>
      <c r="Y1058" s="56"/>
      <c r="Z1058" s="56">
        <v>1885.2431520117077</v>
      </c>
      <c r="AA1058" s="56">
        <v>373.79695658396923</v>
      </c>
      <c r="AB1058" s="4">
        <v>0</v>
      </c>
      <c r="AC1058" s="4">
        <v>300.40127999999999</v>
      </c>
      <c r="AD1058" s="4">
        <v>70.176000000000002</v>
      </c>
      <c r="AE1058" s="4">
        <v>0</v>
      </c>
      <c r="AF1058" s="4">
        <v>377.04863040234159</v>
      </c>
      <c r="AG1058" s="4">
        <v>74.759391316793852</v>
      </c>
    </row>
    <row r="1059" spans="1:33" ht="11.25" customHeight="1" x14ac:dyDescent="0.25">
      <c r="A1059" s="3" t="s">
        <v>28</v>
      </c>
      <c r="B1059" s="3" t="s">
        <v>41</v>
      </c>
      <c r="C1059" s="3" t="s">
        <v>42</v>
      </c>
      <c r="D1059" s="3" t="s">
        <v>45</v>
      </c>
      <c r="E1059" s="3" t="s">
        <v>53</v>
      </c>
      <c r="F1059" s="3" t="s">
        <v>25</v>
      </c>
      <c r="G1059" s="3" t="s">
        <v>25</v>
      </c>
      <c r="H1059" s="3" t="s">
        <v>34</v>
      </c>
      <c r="I1059" s="6">
        <v>44562</v>
      </c>
      <c r="J1059" s="4">
        <v>0</v>
      </c>
      <c r="K1059" s="56">
        <v>0</v>
      </c>
      <c r="L1059" s="4">
        <v>0.25700000000000001</v>
      </c>
      <c r="M1059" s="56">
        <v>0.25700000000000001</v>
      </c>
      <c r="N1059" s="4">
        <v>0.25700000000000001</v>
      </c>
      <c r="O1059" s="56">
        <v>0.25700000000000001</v>
      </c>
      <c r="P1059" s="4">
        <v>0</v>
      </c>
      <c r="Q1059" s="3" t="s">
        <v>26</v>
      </c>
      <c r="R1059" s="3">
        <v>0</v>
      </c>
      <c r="S1059" s="4">
        <v>0</v>
      </c>
      <c r="T1059" s="4">
        <v>20</v>
      </c>
      <c r="U1059" s="4">
        <v>88</v>
      </c>
      <c r="V1059" s="56">
        <v>0</v>
      </c>
      <c r="W1059" s="56">
        <v>1502.0063999999998</v>
      </c>
      <c r="X1059" s="56">
        <v>350.88</v>
      </c>
      <c r="Y1059" s="56"/>
      <c r="Z1059" s="56">
        <v>1885.2431520117077</v>
      </c>
      <c r="AA1059" s="56">
        <v>373.79695658396923</v>
      </c>
      <c r="AB1059" s="4">
        <v>0</v>
      </c>
      <c r="AC1059" s="4">
        <v>386.01564479999996</v>
      </c>
      <c r="AD1059" s="4">
        <v>90.176159999999996</v>
      </c>
      <c r="AE1059" s="4">
        <v>0</v>
      </c>
      <c r="AF1059" s="4">
        <v>484.50749006700892</v>
      </c>
      <c r="AG1059" s="4">
        <v>96.065817842080094</v>
      </c>
    </row>
    <row r="1060" spans="1:33" ht="11.25" customHeight="1" x14ac:dyDescent="0.25">
      <c r="A1060" s="3" t="s">
        <v>21</v>
      </c>
      <c r="B1060" s="3" t="s">
        <v>41</v>
      </c>
      <c r="C1060" s="3" t="s">
        <v>42</v>
      </c>
      <c r="D1060" s="3" t="s">
        <v>45</v>
      </c>
      <c r="E1060" s="3" t="s">
        <v>53</v>
      </c>
      <c r="F1060" s="3" t="s">
        <v>25</v>
      </c>
      <c r="G1060" s="3" t="s">
        <v>25</v>
      </c>
      <c r="H1060" s="3" t="s">
        <v>34</v>
      </c>
      <c r="I1060" s="6">
        <v>44593</v>
      </c>
      <c r="J1060" s="4">
        <v>0</v>
      </c>
      <c r="K1060" s="56">
        <v>0</v>
      </c>
      <c r="L1060" s="4">
        <v>16.137</v>
      </c>
      <c r="M1060" s="56">
        <v>16.137</v>
      </c>
      <c r="N1060" s="4">
        <v>16.137</v>
      </c>
      <c r="O1060" s="56">
        <v>16.137</v>
      </c>
      <c r="P1060" s="4">
        <v>0</v>
      </c>
      <c r="Q1060" s="3" t="s">
        <v>26</v>
      </c>
      <c r="R1060" s="3">
        <v>0</v>
      </c>
      <c r="S1060" s="4">
        <v>0</v>
      </c>
      <c r="T1060" s="4">
        <v>20</v>
      </c>
      <c r="U1060" s="4">
        <v>88</v>
      </c>
      <c r="V1060" s="56">
        <v>0</v>
      </c>
      <c r="W1060" s="56">
        <v>1502.0063999999998</v>
      </c>
      <c r="X1060" s="56">
        <v>350.88</v>
      </c>
      <c r="Y1060" s="56"/>
      <c r="Z1060" s="56">
        <v>1885.2431520117077</v>
      </c>
      <c r="AA1060" s="56">
        <v>373.79695658396923</v>
      </c>
      <c r="AB1060" s="4">
        <v>0</v>
      </c>
      <c r="AC1060" s="4">
        <v>24237.877276799998</v>
      </c>
      <c r="AD1060" s="4">
        <v>5662.15056</v>
      </c>
      <c r="AE1060" s="4">
        <v>0</v>
      </c>
      <c r="AF1060" s="4">
        <v>30422.168744012928</v>
      </c>
      <c r="AG1060" s="4">
        <v>6031.9614883955119</v>
      </c>
    </row>
    <row r="1061" spans="1:33" ht="11.25" customHeight="1" x14ac:dyDescent="0.25">
      <c r="A1061" s="3" t="s">
        <v>27</v>
      </c>
      <c r="B1061" s="3" t="s">
        <v>41</v>
      </c>
      <c r="C1061" s="3" t="s">
        <v>42</v>
      </c>
      <c r="D1061" s="3" t="s">
        <v>45</v>
      </c>
      <c r="E1061" s="3" t="s">
        <v>53</v>
      </c>
      <c r="F1061" s="3" t="s">
        <v>25</v>
      </c>
      <c r="G1061" s="3" t="s">
        <v>25</v>
      </c>
      <c r="H1061" s="3" t="s">
        <v>34</v>
      </c>
      <c r="I1061" s="6">
        <v>44593</v>
      </c>
      <c r="J1061" s="4">
        <v>0</v>
      </c>
      <c r="K1061" s="56">
        <v>0</v>
      </c>
      <c r="L1061" s="4">
        <v>8.2000000000000003E-2</v>
      </c>
      <c r="M1061" s="56">
        <v>8.2000000000000003E-2</v>
      </c>
      <c r="N1061" s="4">
        <v>8.2000000000000003E-2</v>
      </c>
      <c r="O1061" s="56">
        <v>8.2000000000000003E-2</v>
      </c>
      <c r="P1061" s="4">
        <v>0</v>
      </c>
      <c r="Q1061" s="3" t="s">
        <v>26</v>
      </c>
      <c r="R1061" s="3">
        <v>0</v>
      </c>
      <c r="S1061" s="4">
        <v>0</v>
      </c>
      <c r="T1061" s="4">
        <v>20</v>
      </c>
      <c r="U1061" s="4">
        <v>88</v>
      </c>
      <c r="V1061" s="56">
        <v>0</v>
      </c>
      <c r="W1061" s="56">
        <v>1502.0063999999998</v>
      </c>
      <c r="X1061" s="56">
        <v>350.88</v>
      </c>
      <c r="Y1061" s="56"/>
      <c r="Z1061" s="56">
        <v>1885.2431520117077</v>
      </c>
      <c r="AA1061" s="56">
        <v>373.79695658396923</v>
      </c>
      <c r="AB1061" s="4">
        <v>0</v>
      </c>
      <c r="AC1061" s="4">
        <v>123.16452479999998</v>
      </c>
      <c r="AD1061" s="4">
        <v>28.77216</v>
      </c>
      <c r="AE1061" s="4">
        <v>0</v>
      </c>
      <c r="AF1061" s="4">
        <v>154.58993846496003</v>
      </c>
      <c r="AG1061" s="4">
        <v>30.65135043988548</v>
      </c>
    </row>
    <row r="1062" spans="1:33" ht="11.25" customHeight="1" x14ac:dyDescent="0.25">
      <c r="A1062" s="3" t="s">
        <v>28</v>
      </c>
      <c r="B1062" s="3" t="s">
        <v>41</v>
      </c>
      <c r="C1062" s="3" t="s">
        <v>42</v>
      </c>
      <c r="D1062" s="3" t="s">
        <v>45</v>
      </c>
      <c r="E1062" s="3" t="s">
        <v>53</v>
      </c>
      <c r="F1062" s="3" t="s">
        <v>25</v>
      </c>
      <c r="G1062" s="3" t="s">
        <v>25</v>
      </c>
      <c r="H1062" s="3" t="s">
        <v>34</v>
      </c>
      <c r="I1062" s="6">
        <v>44593</v>
      </c>
      <c r="J1062" s="4">
        <v>0</v>
      </c>
      <c r="K1062" s="56">
        <v>0</v>
      </c>
      <c r="L1062" s="4">
        <v>0.38</v>
      </c>
      <c r="M1062" s="56">
        <v>0.38</v>
      </c>
      <c r="N1062" s="4">
        <v>0.38</v>
      </c>
      <c r="O1062" s="56">
        <v>0.38</v>
      </c>
      <c r="P1062" s="4">
        <v>0</v>
      </c>
      <c r="Q1062" s="3" t="s">
        <v>26</v>
      </c>
      <c r="R1062" s="3">
        <v>0</v>
      </c>
      <c r="S1062" s="4">
        <v>0</v>
      </c>
      <c r="T1062" s="4">
        <v>20</v>
      </c>
      <c r="U1062" s="4">
        <v>88</v>
      </c>
      <c r="V1062" s="56">
        <v>0</v>
      </c>
      <c r="W1062" s="56">
        <v>1502.0063999999998</v>
      </c>
      <c r="X1062" s="56">
        <v>350.88</v>
      </c>
      <c r="Y1062" s="56"/>
      <c r="Z1062" s="56">
        <v>1885.2431520117077</v>
      </c>
      <c r="AA1062" s="56">
        <v>373.79695658396923</v>
      </c>
      <c r="AB1062" s="4">
        <v>0</v>
      </c>
      <c r="AC1062" s="4">
        <v>570.76243199999988</v>
      </c>
      <c r="AD1062" s="4">
        <v>133.33439999999999</v>
      </c>
      <c r="AE1062" s="4">
        <v>0</v>
      </c>
      <c r="AF1062" s="4">
        <v>716.3923977644489</v>
      </c>
      <c r="AG1062" s="4">
        <v>142.04284350190832</v>
      </c>
    </row>
    <row r="1063" spans="1:33" ht="11.25" customHeight="1" x14ac:dyDescent="0.25">
      <c r="A1063" s="3" t="s">
        <v>56</v>
      </c>
      <c r="B1063" s="3" t="s">
        <v>41</v>
      </c>
      <c r="C1063" s="3" t="s">
        <v>42</v>
      </c>
      <c r="D1063" s="3" t="s">
        <v>45</v>
      </c>
      <c r="E1063" s="3" t="s">
        <v>53</v>
      </c>
      <c r="F1063" s="3" t="s">
        <v>25</v>
      </c>
      <c r="G1063" s="3" t="s">
        <v>25</v>
      </c>
      <c r="H1063" s="3" t="s">
        <v>34</v>
      </c>
      <c r="I1063" s="6">
        <v>44621</v>
      </c>
      <c r="J1063" s="4">
        <v>0</v>
      </c>
      <c r="K1063" s="56">
        <v>0</v>
      </c>
      <c r="L1063" s="4">
        <v>16.137</v>
      </c>
      <c r="M1063" s="56">
        <v>16.137</v>
      </c>
      <c r="N1063" s="4">
        <v>16.137</v>
      </c>
      <c r="O1063" s="56">
        <v>16.137</v>
      </c>
      <c r="P1063" s="4">
        <v>0</v>
      </c>
      <c r="Q1063" s="3" t="s">
        <v>26</v>
      </c>
      <c r="R1063" s="3">
        <v>0</v>
      </c>
      <c r="S1063" s="4">
        <v>0</v>
      </c>
      <c r="T1063" s="4">
        <v>20</v>
      </c>
      <c r="U1063" s="4">
        <v>88</v>
      </c>
      <c r="V1063" s="56">
        <v>0</v>
      </c>
      <c r="W1063" s="56">
        <v>1502.0063999999998</v>
      </c>
      <c r="X1063" s="56">
        <v>350.88</v>
      </c>
      <c r="Y1063" s="56"/>
      <c r="Z1063" s="56">
        <v>1885.2431520117077</v>
      </c>
      <c r="AA1063" s="56">
        <v>373.79695658396923</v>
      </c>
      <c r="AB1063" s="4">
        <v>0</v>
      </c>
      <c r="AC1063" s="4">
        <v>24237.877276799998</v>
      </c>
      <c r="AD1063" s="4">
        <v>5662.15056</v>
      </c>
      <c r="AE1063" s="4">
        <v>0</v>
      </c>
      <c r="AF1063" s="4">
        <v>30422.168744012928</v>
      </c>
      <c r="AG1063" s="4">
        <v>6031.9614883955119</v>
      </c>
    </row>
    <row r="1064" spans="1:33" ht="11.25" customHeight="1" x14ac:dyDescent="0.25">
      <c r="A1064" s="3" t="s">
        <v>56</v>
      </c>
      <c r="B1064" s="3" t="s">
        <v>41</v>
      </c>
      <c r="C1064" s="3" t="s">
        <v>42</v>
      </c>
      <c r="D1064" s="3" t="s">
        <v>45</v>
      </c>
      <c r="E1064" s="3" t="s">
        <v>53</v>
      </c>
      <c r="F1064" s="3" t="s">
        <v>25</v>
      </c>
      <c r="G1064" s="3" t="s">
        <v>25</v>
      </c>
      <c r="H1064" s="3" t="s">
        <v>34</v>
      </c>
      <c r="I1064" s="6">
        <v>44621</v>
      </c>
      <c r="J1064" s="4">
        <v>0</v>
      </c>
      <c r="K1064" s="56">
        <v>0</v>
      </c>
      <c r="L1064" s="4">
        <v>8.2000000000000003E-2</v>
      </c>
      <c r="M1064" s="56">
        <v>8.2000000000000003E-2</v>
      </c>
      <c r="N1064" s="4">
        <v>8.2000000000000003E-2</v>
      </c>
      <c r="O1064" s="56">
        <v>8.2000000000000003E-2</v>
      </c>
      <c r="P1064" s="4">
        <v>0</v>
      </c>
      <c r="Q1064" s="3" t="s">
        <v>26</v>
      </c>
      <c r="R1064" s="3">
        <v>0</v>
      </c>
      <c r="S1064" s="4">
        <v>0</v>
      </c>
      <c r="T1064" s="4">
        <v>20</v>
      </c>
      <c r="U1064" s="4">
        <v>88</v>
      </c>
      <c r="V1064" s="56">
        <v>0</v>
      </c>
      <c r="W1064" s="56">
        <v>1502.0063999999998</v>
      </c>
      <c r="X1064" s="56">
        <v>350.88</v>
      </c>
      <c r="Y1064" s="56"/>
      <c r="Z1064" s="56">
        <v>1885.2431520117077</v>
      </c>
      <c r="AA1064" s="56">
        <v>373.79695658396923</v>
      </c>
      <c r="AB1064" s="4">
        <v>0</v>
      </c>
      <c r="AC1064" s="4">
        <v>123.16452479999998</v>
      </c>
      <c r="AD1064" s="4">
        <v>28.77216</v>
      </c>
      <c r="AE1064" s="4">
        <v>0</v>
      </c>
      <c r="AF1064" s="4">
        <v>154.58993846496003</v>
      </c>
      <c r="AG1064" s="4">
        <v>30.65135043988548</v>
      </c>
    </row>
    <row r="1065" spans="1:33" ht="11.25" customHeight="1" x14ac:dyDescent="0.25">
      <c r="A1065" s="3" t="s">
        <v>56</v>
      </c>
      <c r="B1065" s="3" t="s">
        <v>41</v>
      </c>
      <c r="C1065" s="3" t="s">
        <v>42</v>
      </c>
      <c r="D1065" s="3" t="s">
        <v>45</v>
      </c>
      <c r="E1065" s="3" t="s">
        <v>53</v>
      </c>
      <c r="F1065" s="3" t="s">
        <v>25</v>
      </c>
      <c r="G1065" s="3" t="s">
        <v>25</v>
      </c>
      <c r="H1065" s="3" t="s">
        <v>34</v>
      </c>
      <c r="I1065" s="6">
        <v>44621</v>
      </c>
      <c r="J1065" s="4">
        <v>0</v>
      </c>
      <c r="K1065" s="56">
        <v>0</v>
      </c>
      <c r="L1065" s="4">
        <v>0.38</v>
      </c>
      <c r="M1065" s="56">
        <v>0.38</v>
      </c>
      <c r="N1065" s="4">
        <v>0.38</v>
      </c>
      <c r="O1065" s="56">
        <v>0.38</v>
      </c>
      <c r="P1065" s="4">
        <v>0</v>
      </c>
      <c r="Q1065" s="3" t="s">
        <v>26</v>
      </c>
      <c r="R1065" s="3">
        <v>0</v>
      </c>
      <c r="S1065" s="4">
        <v>0</v>
      </c>
      <c r="T1065" s="4">
        <v>20</v>
      </c>
      <c r="U1065" s="4">
        <v>88</v>
      </c>
      <c r="V1065" s="56">
        <v>0</v>
      </c>
      <c r="W1065" s="56">
        <v>1502.0063999999998</v>
      </c>
      <c r="X1065" s="56">
        <v>350.88</v>
      </c>
      <c r="Y1065" s="56"/>
      <c r="Z1065" s="56">
        <v>1885.2431520117077</v>
      </c>
      <c r="AA1065" s="56">
        <v>373.79695658396923</v>
      </c>
      <c r="AB1065" s="4">
        <v>0</v>
      </c>
      <c r="AC1065" s="4">
        <v>570.76243199999988</v>
      </c>
      <c r="AD1065" s="4">
        <v>133.33439999999999</v>
      </c>
      <c r="AE1065" s="4">
        <v>0</v>
      </c>
      <c r="AF1065" s="4">
        <v>716.3923977644489</v>
      </c>
      <c r="AG1065" s="4">
        <v>142.04284350190832</v>
      </c>
    </row>
    <row r="1066" spans="1:33" ht="11.25" customHeight="1" x14ac:dyDescent="0.25">
      <c r="A1066" s="3" t="s">
        <v>21</v>
      </c>
      <c r="B1066" s="3" t="s">
        <v>41</v>
      </c>
      <c r="C1066" s="3" t="s">
        <v>42</v>
      </c>
      <c r="D1066" s="3" t="s">
        <v>45</v>
      </c>
      <c r="E1066" s="3" t="s">
        <v>25</v>
      </c>
      <c r="F1066" s="3" t="s">
        <v>25</v>
      </c>
      <c r="G1066" s="3" t="s">
        <v>25</v>
      </c>
      <c r="H1066" s="3" t="s">
        <v>35</v>
      </c>
      <c r="I1066" s="6">
        <v>44287</v>
      </c>
      <c r="J1066" s="4">
        <v>0</v>
      </c>
      <c r="K1066" s="56">
        <v>0</v>
      </c>
      <c r="L1066" s="4">
        <v>1374.3910000000001</v>
      </c>
      <c r="M1066" s="56">
        <v>1374.3910000000001</v>
      </c>
      <c r="N1066" s="4">
        <v>1374.3910000000001</v>
      </c>
      <c r="O1066" s="56">
        <v>1374.3910000000001</v>
      </c>
      <c r="P1066" s="4">
        <v>0</v>
      </c>
      <c r="Q1066" s="3" t="s">
        <v>26</v>
      </c>
      <c r="R1066" s="3">
        <v>0</v>
      </c>
      <c r="S1066" s="4">
        <v>0</v>
      </c>
      <c r="T1066" s="4">
        <v>21</v>
      </c>
      <c r="U1066" s="4">
        <v>89</v>
      </c>
      <c r="V1066" s="56">
        <v>0</v>
      </c>
      <c r="W1066" s="56">
        <v>49.219200000000001</v>
      </c>
      <c r="X1066" s="56">
        <v>213.41759999999999</v>
      </c>
      <c r="Y1066" s="56"/>
      <c r="Z1066" s="56">
        <v>66.738180795414593</v>
      </c>
      <c r="AA1066" s="56">
        <v>230.60724521198262</v>
      </c>
      <c r="AB1066" s="4">
        <v>0</v>
      </c>
      <c r="AC1066" s="4">
        <v>67646.425507200009</v>
      </c>
      <c r="AD1066" s="4">
        <v>293319.22868160001</v>
      </c>
      <c r="AE1066" s="4">
        <v>0</v>
      </c>
      <c r="AF1066" s="4">
        <v>91724.355041590665</v>
      </c>
      <c r="AG1066" s="4">
        <v>316944.52235414204</v>
      </c>
    </row>
    <row r="1067" spans="1:33" ht="11.25" customHeight="1" x14ac:dyDescent="0.25">
      <c r="A1067" s="3" t="s">
        <v>21</v>
      </c>
      <c r="B1067" s="3" t="s">
        <v>41</v>
      </c>
      <c r="C1067" s="3" t="s">
        <v>42</v>
      </c>
      <c r="D1067" s="3" t="s">
        <v>45</v>
      </c>
      <c r="E1067" s="3" t="s">
        <v>25</v>
      </c>
      <c r="F1067" s="3" t="s">
        <v>25</v>
      </c>
      <c r="G1067" s="3" t="s">
        <v>25</v>
      </c>
      <c r="H1067" s="3" t="s">
        <v>35</v>
      </c>
      <c r="I1067" s="6">
        <v>44317</v>
      </c>
      <c r="J1067" s="4">
        <v>0</v>
      </c>
      <c r="K1067" s="56">
        <v>0</v>
      </c>
      <c r="L1067" s="4">
        <v>782.78499999999997</v>
      </c>
      <c r="M1067" s="56">
        <v>782.78499999999997</v>
      </c>
      <c r="N1067" s="4">
        <v>782.78499999999997</v>
      </c>
      <c r="O1067" s="56">
        <v>782.78499999999997</v>
      </c>
      <c r="P1067" s="4">
        <v>0</v>
      </c>
      <c r="Q1067" s="3" t="s">
        <v>26</v>
      </c>
      <c r="R1067" s="3">
        <v>0</v>
      </c>
      <c r="S1067" s="4">
        <v>0</v>
      </c>
      <c r="T1067" s="4">
        <v>21</v>
      </c>
      <c r="U1067" s="4">
        <v>89</v>
      </c>
      <c r="V1067" s="56">
        <v>0</v>
      </c>
      <c r="W1067" s="56">
        <v>49.219200000000001</v>
      </c>
      <c r="X1067" s="56">
        <v>213.41759999999999</v>
      </c>
      <c r="Y1067" s="56"/>
      <c r="Z1067" s="56">
        <v>66.738180795414593</v>
      </c>
      <c r="AA1067" s="56">
        <v>230.60724521198262</v>
      </c>
      <c r="AB1067" s="4">
        <v>0</v>
      </c>
      <c r="AC1067" s="4">
        <v>38528.051471999999</v>
      </c>
      <c r="AD1067" s="4">
        <v>167060.096016</v>
      </c>
      <c r="AE1067" s="4">
        <v>0</v>
      </c>
      <c r="AF1067" s="4">
        <v>52241.646853938611</v>
      </c>
      <c r="AG1067" s="4">
        <v>180515.89244326181</v>
      </c>
    </row>
    <row r="1068" spans="1:33" ht="11.25" customHeight="1" x14ac:dyDescent="0.25">
      <c r="A1068" s="3" t="s">
        <v>27</v>
      </c>
      <c r="B1068" s="3" t="s">
        <v>41</v>
      </c>
      <c r="C1068" s="3" t="s">
        <v>42</v>
      </c>
      <c r="D1068" s="3" t="s">
        <v>45</v>
      </c>
      <c r="E1068" s="3" t="s">
        <v>25</v>
      </c>
      <c r="F1068" s="3" t="s">
        <v>25</v>
      </c>
      <c r="G1068" s="3" t="s">
        <v>25</v>
      </c>
      <c r="H1068" s="3" t="s">
        <v>35</v>
      </c>
      <c r="I1068" s="6">
        <v>44317</v>
      </c>
      <c r="J1068" s="4">
        <v>0</v>
      </c>
      <c r="K1068" s="56">
        <v>0</v>
      </c>
      <c r="L1068" s="4">
        <v>0.96</v>
      </c>
      <c r="M1068" s="56">
        <v>0.96</v>
      </c>
      <c r="N1068" s="4">
        <v>0.96</v>
      </c>
      <c r="O1068" s="56">
        <v>0.96</v>
      </c>
      <c r="P1068" s="4">
        <v>0</v>
      </c>
      <c r="Q1068" s="3" t="s">
        <v>26</v>
      </c>
      <c r="R1068" s="3">
        <v>0</v>
      </c>
      <c r="S1068" s="4">
        <v>0</v>
      </c>
      <c r="T1068" s="4">
        <v>21</v>
      </c>
      <c r="U1068" s="4">
        <v>89</v>
      </c>
      <c r="V1068" s="56">
        <v>0</v>
      </c>
      <c r="W1068" s="56">
        <v>49.219200000000001</v>
      </c>
      <c r="X1068" s="56">
        <v>213.41759999999999</v>
      </c>
      <c r="Y1068" s="56"/>
      <c r="Z1068" s="56">
        <v>66.738180795414593</v>
      </c>
      <c r="AA1068" s="56">
        <v>230.60724521198262</v>
      </c>
      <c r="AB1068" s="4">
        <v>0</v>
      </c>
      <c r="AC1068" s="4">
        <v>47.250431999999996</v>
      </c>
      <c r="AD1068" s="4">
        <v>204.88089599999998</v>
      </c>
      <c r="AE1068" s="4">
        <v>0</v>
      </c>
      <c r="AF1068" s="4">
        <v>64.068653563598005</v>
      </c>
      <c r="AG1068" s="4">
        <v>221.3829554035033</v>
      </c>
    </row>
    <row r="1069" spans="1:33" ht="11.25" customHeight="1" x14ac:dyDescent="0.25">
      <c r="A1069" s="3" t="s">
        <v>28</v>
      </c>
      <c r="B1069" s="3" t="s">
        <v>41</v>
      </c>
      <c r="C1069" s="3" t="s">
        <v>42</v>
      </c>
      <c r="D1069" s="3" t="s">
        <v>45</v>
      </c>
      <c r="E1069" s="3" t="s">
        <v>25</v>
      </c>
      <c r="F1069" s="3" t="s">
        <v>25</v>
      </c>
      <c r="G1069" s="3" t="s">
        <v>25</v>
      </c>
      <c r="H1069" s="3" t="s">
        <v>35</v>
      </c>
      <c r="I1069" s="6">
        <v>44317</v>
      </c>
      <c r="J1069" s="4">
        <v>0</v>
      </c>
      <c r="K1069" s="56">
        <v>0</v>
      </c>
      <c r="L1069" s="4">
        <v>19.867999999999999</v>
      </c>
      <c r="M1069" s="56">
        <v>19.867999999999999</v>
      </c>
      <c r="N1069" s="4">
        <v>19.867999999999999</v>
      </c>
      <c r="O1069" s="56">
        <v>19.867999999999999</v>
      </c>
      <c r="P1069" s="4">
        <v>0</v>
      </c>
      <c r="Q1069" s="3" t="s">
        <v>26</v>
      </c>
      <c r="R1069" s="3">
        <v>0</v>
      </c>
      <c r="S1069" s="4">
        <v>0</v>
      </c>
      <c r="T1069" s="4">
        <v>21</v>
      </c>
      <c r="U1069" s="4">
        <v>89</v>
      </c>
      <c r="V1069" s="56">
        <v>0</v>
      </c>
      <c r="W1069" s="56">
        <v>49.219200000000001</v>
      </c>
      <c r="X1069" s="56">
        <v>213.41759999999999</v>
      </c>
      <c r="Y1069" s="56"/>
      <c r="Z1069" s="56">
        <v>66.738180795414593</v>
      </c>
      <c r="AA1069" s="56">
        <v>230.60724521198262</v>
      </c>
      <c r="AB1069" s="4">
        <v>0</v>
      </c>
      <c r="AC1069" s="4">
        <v>977.88706559999991</v>
      </c>
      <c r="AD1069" s="4">
        <v>4240.1808767999992</v>
      </c>
      <c r="AE1069" s="4">
        <v>0</v>
      </c>
      <c r="AF1069" s="4">
        <v>1325.9541760432971</v>
      </c>
      <c r="AG1069" s="4">
        <v>4581.7047478716704</v>
      </c>
    </row>
    <row r="1070" spans="1:33" ht="11.25" customHeight="1" x14ac:dyDescent="0.25">
      <c r="A1070" s="3" t="s">
        <v>21</v>
      </c>
      <c r="B1070" s="3" t="s">
        <v>41</v>
      </c>
      <c r="C1070" s="3" t="s">
        <v>42</v>
      </c>
      <c r="D1070" s="3" t="s">
        <v>45</v>
      </c>
      <c r="E1070" s="3" t="s">
        <v>25</v>
      </c>
      <c r="F1070" s="3" t="s">
        <v>25</v>
      </c>
      <c r="G1070" s="3" t="s">
        <v>25</v>
      </c>
      <c r="H1070" s="3" t="s">
        <v>35</v>
      </c>
      <c r="I1070" s="6">
        <v>44348</v>
      </c>
      <c r="J1070" s="4">
        <v>0</v>
      </c>
      <c r="K1070" s="56">
        <v>0</v>
      </c>
      <c r="L1070" s="4">
        <v>797.85900000000004</v>
      </c>
      <c r="M1070" s="56">
        <v>797.85900000000004</v>
      </c>
      <c r="N1070" s="4">
        <v>797.85900000000004</v>
      </c>
      <c r="O1070" s="56">
        <v>797.85900000000004</v>
      </c>
      <c r="P1070" s="4">
        <v>0</v>
      </c>
      <c r="Q1070" s="3" t="s">
        <v>26</v>
      </c>
      <c r="R1070" s="3">
        <v>0</v>
      </c>
      <c r="S1070" s="4">
        <v>0</v>
      </c>
      <c r="T1070" s="4">
        <v>21</v>
      </c>
      <c r="U1070" s="4">
        <v>89</v>
      </c>
      <c r="V1070" s="56">
        <v>0</v>
      </c>
      <c r="W1070" s="56">
        <v>49.219200000000001</v>
      </c>
      <c r="X1070" s="56">
        <v>213.41759999999999</v>
      </c>
      <c r="Y1070" s="56"/>
      <c r="Z1070" s="56">
        <v>66.738180795414593</v>
      </c>
      <c r="AA1070" s="56">
        <v>230.60724521198262</v>
      </c>
      <c r="AB1070" s="4">
        <v>0</v>
      </c>
      <c r="AC1070" s="4">
        <v>39269.9816928</v>
      </c>
      <c r="AD1070" s="4">
        <v>170277.15291840001</v>
      </c>
      <c r="AE1070" s="4">
        <v>0</v>
      </c>
      <c r="AF1070" s="4">
        <v>53247.658191248694</v>
      </c>
      <c r="AG1070" s="4">
        <v>183992.06605758725</v>
      </c>
    </row>
    <row r="1071" spans="1:33" ht="11.25" customHeight="1" x14ac:dyDescent="0.25">
      <c r="A1071" s="3" t="s">
        <v>28</v>
      </c>
      <c r="B1071" s="3" t="s">
        <v>41</v>
      </c>
      <c r="C1071" s="3" t="s">
        <v>42</v>
      </c>
      <c r="D1071" s="3" t="s">
        <v>45</v>
      </c>
      <c r="E1071" s="3" t="s">
        <v>25</v>
      </c>
      <c r="F1071" s="3" t="s">
        <v>25</v>
      </c>
      <c r="G1071" s="3" t="s">
        <v>25</v>
      </c>
      <c r="H1071" s="3" t="s">
        <v>35</v>
      </c>
      <c r="I1071" s="6">
        <v>44348</v>
      </c>
      <c r="J1071" s="4">
        <v>0</v>
      </c>
      <c r="K1071" s="56">
        <v>0</v>
      </c>
      <c r="L1071" s="4">
        <v>18.321000000000002</v>
      </c>
      <c r="M1071" s="56">
        <v>18.321000000000002</v>
      </c>
      <c r="N1071" s="4">
        <v>18.321000000000002</v>
      </c>
      <c r="O1071" s="56">
        <v>18.321000000000002</v>
      </c>
      <c r="P1071" s="4">
        <v>0</v>
      </c>
      <c r="Q1071" s="3" t="s">
        <v>26</v>
      </c>
      <c r="R1071" s="3">
        <v>0</v>
      </c>
      <c r="S1071" s="4">
        <v>0</v>
      </c>
      <c r="T1071" s="4">
        <v>21</v>
      </c>
      <c r="U1071" s="4">
        <v>89</v>
      </c>
      <c r="V1071" s="56">
        <v>0</v>
      </c>
      <c r="W1071" s="56">
        <v>49.219200000000001</v>
      </c>
      <c r="X1071" s="56">
        <v>213.41759999999999</v>
      </c>
      <c r="Y1071" s="56"/>
      <c r="Z1071" s="56">
        <v>66.738180795414593</v>
      </c>
      <c r="AA1071" s="56">
        <v>230.60724521198262</v>
      </c>
      <c r="AB1071" s="4">
        <v>0</v>
      </c>
      <c r="AC1071" s="4">
        <v>901.74496320000014</v>
      </c>
      <c r="AD1071" s="4">
        <v>3910.0238496000002</v>
      </c>
      <c r="AE1071" s="4">
        <v>0</v>
      </c>
      <c r="AF1071" s="4">
        <v>1222.7102103527909</v>
      </c>
      <c r="AG1071" s="4">
        <v>4224.9553395287339</v>
      </c>
    </row>
    <row r="1072" spans="1:33" ht="11.25" customHeight="1" x14ac:dyDescent="0.25">
      <c r="A1072" s="3" t="s">
        <v>21</v>
      </c>
      <c r="B1072" s="3" t="s">
        <v>41</v>
      </c>
      <c r="C1072" s="3" t="s">
        <v>42</v>
      </c>
      <c r="D1072" s="3" t="s">
        <v>45</v>
      </c>
      <c r="E1072" s="3" t="s">
        <v>25</v>
      </c>
      <c r="F1072" s="3" t="s">
        <v>25</v>
      </c>
      <c r="G1072" s="3" t="s">
        <v>25</v>
      </c>
      <c r="H1072" s="3" t="s">
        <v>35</v>
      </c>
      <c r="I1072" s="6">
        <v>44378</v>
      </c>
      <c r="J1072" s="4">
        <v>0</v>
      </c>
      <c r="K1072" s="56">
        <v>0</v>
      </c>
      <c r="L1072" s="4">
        <v>859.16200000000003</v>
      </c>
      <c r="M1072" s="56">
        <v>859.16200000000003</v>
      </c>
      <c r="N1072" s="4">
        <v>859.16200000000003</v>
      </c>
      <c r="O1072" s="56">
        <v>859.16200000000003</v>
      </c>
      <c r="P1072" s="4">
        <v>0</v>
      </c>
      <c r="Q1072" s="3" t="s">
        <v>26</v>
      </c>
      <c r="R1072" s="3">
        <v>0</v>
      </c>
      <c r="S1072" s="4">
        <v>0</v>
      </c>
      <c r="T1072" s="4">
        <v>21</v>
      </c>
      <c r="U1072" s="4">
        <v>89</v>
      </c>
      <c r="V1072" s="56">
        <v>0</v>
      </c>
      <c r="W1072" s="56">
        <v>49.219200000000001</v>
      </c>
      <c r="X1072" s="56">
        <v>213.41759999999999</v>
      </c>
      <c r="Y1072" s="56"/>
      <c r="Z1072" s="56">
        <v>66.738180795414593</v>
      </c>
      <c r="AA1072" s="56">
        <v>230.60724521198262</v>
      </c>
      <c r="AB1072" s="4">
        <v>0</v>
      </c>
      <c r="AC1072" s="4">
        <v>42287.266310400002</v>
      </c>
      <c r="AD1072" s="4">
        <v>183360.2920512</v>
      </c>
      <c r="AE1072" s="4">
        <v>0</v>
      </c>
      <c r="AF1072" s="4">
        <v>57338.908888549995</v>
      </c>
      <c r="AG1072" s="4">
        <v>198128.98201081742</v>
      </c>
    </row>
    <row r="1073" spans="1:33" ht="11.25" customHeight="1" x14ac:dyDescent="0.25">
      <c r="A1073" s="3" t="s">
        <v>27</v>
      </c>
      <c r="B1073" s="3" t="s">
        <v>41</v>
      </c>
      <c r="C1073" s="3" t="s">
        <v>42</v>
      </c>
      <c r="D1073" s="3" t="s">
        <v>45</v>
      </c>
      <c r="E1073" s="3" t="s">
        <v>25</v>
      </c>
      <c r="F1073" s="3" t="s">
        <v>25</v>
      </c>
      <c r="G1073" s="3" t="s">
        <v>25</v>
      </c>
      <c r="H1073" s="3" t="s">
        <v>35</v>
      </c>
      <c r="I1073" s="6">
        <v>44378</v>
      </c>
      <c r="J1073" s="4">
        <v>0</v>
      </c>
      <c r="K1073" s="56">
        <v>0</v>
      </c>
      <c r="L1073" s="4">
        <v>-0.316</v>
      </c>
      <c r="M1073" s="56">
        <v>-0.316</v>
      </c>
      <c r="N1073" s="4">
        <v>-0.316</v>
      </c>
      <c r="O1073" s="56">
        <v>-0.316</v>
      </c>
      <c r="P1073" s="4">
        <v>0</v>
      </c>
      <c r="Q1073" s="3" t="s">
        <v>26</v>
      </c>
      <c r="R1073" s="3">
        <v>0</v>
      </c>
      <c r="S1073" s="4">
        <v>0</v>
      </c>
      <c r="T1073" s="4">
        <v>21</v>
      </c>
      <c r="U1073" s="4">
        <v>89</v>
      </c>
      <c r="V1073" s="56">
        <v>0</v>
      </c>
      <c r="W1073" s="56">
        <v>49.219200000000001</v>
      </c>
      <c r="X1073" s="56">
        <v>213.41759999999999</v>
      </c>
      <c r="Y1073" s="56"/>
      <c r="Z1073" s="56">
        <v>66.738180795414593</v>
      </c>
      <c r="AA1073" s="56">
        <v>230.60724521198262</v>
      </c>
      <c r="AB1073" s="4">
        <v>0</v>
      </c>
      <c r="AC1073" s="4">
        <v>-15.553267200000001</v>
      </c>
      <c r="AD1073" s="4">
        <v>-67.439961600000004</v>
      </c>
      <c r="AE1073" s="4">
        <v>0</v>
      </c>
      <c r="AF1073" s="4">
        <v>-21.089265131351013</v>
      </c>
      <c r="AG1073" s="4">
        <v>-72.871889486986504</v>
      </c>
    </row>
    <row r="1074" spans="1:33" ht="11.25" customHeight="1" x14ac:dyDescent="0.25">
      <c r="A1074" s="3" t="s">
        <v>28</v>
      </c>
      <c r="B1074" s="3" t="s">
        <v>41</v>
      </c>
      <c r="C1074" s="3" t="s">
        <v>42</v>
      </c>
      <c r="D1074" s="3" t="s">
        <v>45</v>
      </c>
      <c r="E1074" s="3" t="s">
        <v>25</v>
      </c>
      <c r="F1074" s="3" t="s">
        <v>25</v>
      </c>
      <c r="G1074" s="3" t="s">
        <v>25</v>
      </c>
      <c r="H1074" s="3" t="s">
        <v>35</v>
      </c>
      <c r="I1074" s="6">
        <v>44378</v>
      </c>
      <c r="J1074" s="4">
        <v>0</v>
      </c>
      <c r="K1074" s="56">
        <v>0</v>
      </c>
      <c r="L1074" s="4">
        <v>9.6159999999999997</v>
      </c>
      <c r="M1074" s="56">
        <v>9.6159999999999997</v>
      </c>
      <c r="N1074" s="4">
        <v>9.6159999999999997</v>
      </c>
      <c r="O1074" s="56">
        <v>9.6159999999999997</v>
      </c>
      <c r="P1074" s="4">
        <v>0</v>
      </c>
      <c r="Q1074" s="3" t="s">
        <v>26</v>
      </c>
      <c r="R1074" s="3">
        <v>0</v>
      </c>
      <c r="S1074" s="4">
        <v>0</v>
      </c>
      <c r="T1074" s="4">
        <v>21</v>
      </c>
      <c r="U1074" s="4">
        <v>89</v>
      </c>
      <c r="V1074" s="56">
        <v>0</v>
      </c>
      <c r="W1074" s="56">
        <v>49.219200000000001</v>
      </c>
      <c r="X1074" s="56">
        <v>213.41759999999999</v>
      </c>
      <c r="Y1074" s="56"/>
      <c r="Z1074" s="56">
        <v>66.738180795414593</v>
      </c>
      <c r="AA1074" s="56">
        <v>230.60724521198262</v>
      </c>
      <c r="AB1074" s="4">
        <v>0</v>
      </c>
      <c r="AC1074" s="4">
        <v>473.2918272</v>
      </c>
      <c r="AD1074" s="4">
        <v>2052.2236416000001</v>
      </c>
      <c r="AE1074" s="4">
        <v>0</v>
      </c>
      <c r="AF1074" s="4">
        <v>641.75434652870672</v>
      </c>
      <c r="AG1074" s="4">
        <v>2217.519269958425</v>
      </c>
    </row>
    <row r="1075" spans="1:33" ht="11.25" customHeight="1" x14ac:dyDescent="0.25">
      <c r="A1075" s="3" t="s">
        <v>21</v>
      </c>
      <c r="B1075" s="3" t="s">
        <v>41</v>
      </c>
      <c r="C1075" s="3" t="s">
        <v>42</v>
      </c>
      <c r="D1075" s="3" t="s">
        <v>45</v>
      </c>
      <c r="E1075" s="3" t="s">
        <v>25</v>
      </c>
      <c r="F1075" s="3" t="s">
        <v>25</v>
      </c>
      <c r="G1075" s="3" t="s">
        <v>25</v>
      </c>
      <c r="H1075" s="3" t="s">
        <v>35</v>
      </c>
      <c r="I1075" s="6">
        <v>44409</v>
      </c>
      <c r="J1075" s="4">
        <v>0</v>
      </c>
      <c r="K1075" s="56">
        <v>0</v>
      </c>
      <c r="L1075" s="4">
        <v>1255.989</v>
      </c>
      <c r="M1075" s="56">
        <v>1255.989</v>
      </c>
      <c r="N1075" s="4">
        <v>1255.989</v>
      </c>
      <c r="O1075" s="56">
        <v>1255.989</v>
      </c>
      <c r="P1075" s="4">
        <v>0</v>
      </c>
      <c r="Q1075" s="3" t="s">
        <v>26</v>
      </c>
      <c r="R1075" s="3">
        <v>0</v>
      </c>
      <c r="S1075" s="4">
        <v>0</v>
      </c>
      <c r="T1075" s="4">
        <v>21</v>
      </c>
      <c r="U1075" s="4">
        <v>89</v>
      </c>
      <c r="V1075" s="56">
        <v>0</v>
      </c>
      <c r="W1075" s="56">
        <v>49.219200000000001</v>
      </c>
      <c r="X1075" s="56">
        <v>213.41759999999999</v>
      </c>
      <c r="Y1075" s="56"/>
      <c r="Z1075" s="56">
        <v>66.738180795414593</v>
      </c>
      <c r="AA1075" s="56">
        <v>230.60724521198262</v>
      </c>
      <c r="AB1075" s="4">
        <v>0</v>
      </c>
      <c r="AC1075" s="4">
        <v>61818.773788800005</v>
      </c>
      <c r="AD1075" s="4">
        <v>268050.15800639999</v>
      </c>
      <c r="AE1075" s="4">
        <v>0</v>
      </c>
      <c r="AF1075" s="4">
        <v>83822.420959051975</v>
      </c>
      <c r="AG1075" s="4">
        <v>289640.16330655286</v>
      </c>
    </row>
    <row r="1076" spans="1:33" ht="11.25" customHeight="1" x14ac:dyDescent="0.25">
      <c r="A1076" s="3" t="s">
        <v>27</v>
      </c>
      <c r="B1076" s="3" t="s">
        <v>41</v>
      </c>
      <c r="C1076" s="3" t="s">
        <v>42</v>
      </c>
      <c r="D1076" s="3" t="s">
        <v>45</v>
      </c>
      <c r="E1076" s="3" t="s">
        <v>25</v>
      </c>
      <c r="F1076" s="3" t="s">
        <v>25</v>
      </c>
      <c r="G1076" s="3" t="s">
        <v>25</v>
      </c>
      <c r="H1076" s="3" t="s">
        <v>35</v>
      </c>
      <c r="I1076" s="6">
        <v>44409</v>
      </c>
      <c r="J1076" s="4">
        <v>0</v>
      </c>
      <c r="K1076" s="56">
        <v>0</v>
      </c>
      <c r="L1076" s="4">
        <v>-0.4</v>
      </c>
      <c r="M1076" s="56">
        <v>-0.4</v>
      </c>
      <c r="N1076" s="4">
        <v>-0.4</v>
      </c>
      <c r="O1076" s="56">
        <v>-0.4</v>
      </c>
      <c r="P1076" s="4">
        <v>0</v>
      </c>
      <c r="Q1076" s="3" t="s">
        <v>26</v>
      </c>
      <c r="R1076" s="3">
        <v>0</v>
      </c>
      <c r="S1076" s="4">
        <v>0</v>
      </c>
      <c r="T1076" s="4">
        <v>21</v>
      </c>
      <c r="U1076" s="4">
        <v>89</v>
      </c>
      <c r="V1076" s="56">
        <v>0</v>
      </c>
      <c r="W1076" s="56">
        <v>49.219200000000001</v>
      </c>
      <c r="X1076" s="56">
        <v>213.41759999999999</v>
      </c>
      <c r="Y1076" s="56"/>
      <c r="Z1076" s="56">
        <v>66.738180795414593</v>
      </c>
      <c r="AA1076" s="56">
        <v>230.60724521198262</v>
      </c>
      <c r="AB1076" s="4">
        <v>0</v>
      </c>
      <c r="AC1076" s="4">
        <v>-19.68768</v>
      </c>
      <c r="AD1076" s="4">
        <v>-85.367040000000003</v>
      </c>
      <c r="AE1076" s="4">
        <v>0</v>
      </c>
      <c r="AF1076" s="4">
        <v>-26.695272318165838</v>
      </c>
      <c r="AG1076" s="4">
        <v>-92.242898084793055</v>
      </c>
    </row>
    <row r="1077" spans="1:33" ht="11.25" customHeight="1" x14ac:dyDescent="0.25">
      <c r="A1077" s="3" t="s">
        <v>28</v>
      </c>
      <c r="B1077" s="3" t="s">
        <v>41</v>
      </c>
      <c r="C1077" s="3" t="s">
        <v>42</v>
      </c>
      <c r="D1077" s="3" t="s">
        <v>45</v>
      </c>
      <c r="E1077" s="3" t="s">
        <v>25</v>
      </c>
      <c r="F1077" s="3" t="s">
        <v>25</v>
      </c>
      <c r="G1077" s="3" t="s">
        <v>25</v>
      </c>
      <c r="H1077" s="3" t="s">
        <v>35</v>
      </c>
      <c r="I1077" s="6">
        <v>44409</v>
      </c>
      <c r="J1077" s="4">
        <v>0</v>
      </c>
      <c r="K1077" s="56">
        <v>0</v>
      </c>
      <c r="L1077" s="4">
        <v>13.866</v>
      </c>
      <c r="M1077" s="56">
        <v>13.866</v>
      </c>
      <c r="N1077" s="4">
        <v>13.866</v>
      </c>
      <c r="O1077" s="56">
        <v>13.866</v>
      </c>
      <c r="P1077" s="4">
        <v>0</v>
      </c>
      <c r="Q1077" s="3" t="s">
        <v>26</v>
      </c>
      <c r="R1077" s="3">
        <v>0</v>
      </c>
      <c r="S1077" s="4">
        <v>0</v>
      </c>
      <c r="T1077" s="4">
        <v>21</v>
      </c>
      <c r="U1077" s="4">
        <v>89</v>
      </c>
      <c r="V1077" s="56">
        <v>0</v>
      </c>
      <c r="W1077" s="56">
        <v>49.219200000000001</v>
      </c>
      <c r="X1077" s="56">
        <v>213.41759999999999</v>
      </c>
      <c r="Y1077" s="56"/>
      <c r="Z1077" s="56">
        <v>66.738180795414593</v>
      </c>
      <c r="AA1077" s="56">
        <v>230.60724521198262</v>
      </c>
      <c r="AB1077" s="4">
        <v>0</v>
      </c>
      <c r="AC1077" s="4">
        <v>682.47342719999995</v>
      </c>
      <c r="AD1077" s="4">
        <v>2959.2484415999998</v>
      </c>
      <c r="AE1077" s="4">
        <v>0</v>
      </c>
      <c r="AF1077" s="4">
        <v>925.39161490921867</v>
      </c>
      <c r="AG1077" s="4">
        <v>3197.6000621093508</v>
      </c>
    </row>
    <row r="1078" spans="1:33" ht="11.25" customHeight="1" x14ac:dyDescent="0.25">
      <c r="A1078" s="3" t="s">
        <v>21</v>
      </c>
      <c r="B1078" s="3" t="s">
        <v>41</v>
      </c>
      <c r="C1078" s="3" t="s">
        <v>42</v>
      </c>
      <c r="D1078" s="3" t="s">
        <v>45</v>
      </c>
      <c r="E1078" s="3" t="s">
        <v>25</v>
      </c>
      <c r="F1078" s="3" t="s">
        <v>25</v>
      </c>
      <c r="G1078" s="3" t="s">
        <v>25</v>
      </c>
      <c r="H1078" s="3" t="s">
        <v>35</v>
      </c>
      <c r="I1078" s="6">
        <v>44440</v>
      </c>
      <c r="J1078" s="4">
        <v>0</v>
      </c>
      <c r="K1078" s="56">
        <v>0</v>
      </c>
      <c r="L1078" s="4">
        <v>1824.4749999999999</v>
      </c>
      <c r="M1078" s="56">
        <v>1824.4749999999999</v>
      </c>
      <c r="N1078" s="4">
        <v>1824.4749999999999</v>
      </c>
      <c r="O1078" s="56">
        <v>1824.4749999999999</v>
      </c>
      <c r="P1078" s="4">
        <v>0</v>
      </c>
      <c r="Q1078" s="3" t="s">
        <v>26</v>
      </c>
      <c r="R1078" s="3">
        <v>0</v>
      </c>
      <c r="S1078" s="4">
        <v>0</v>
      </c>
      <c r="T1078" s="4">
        <v>21</v>
      </c>
      <c r="U1078" s="4">
        <v>89</v>
      </c>
      <c r="V1078" s="56">
        <v>0</v>
      </c>
      <c r="W1078" s="56">
        <v>49.219200000000001</v>
      </c>
      <c r="X1078" s="56">
        <v>213.41759999999999</v>
      </c>
      <c r="Y1078" s="56"/>
      <c r="Z1078" s="56">
        <v>66.738180795414593</v>
      </c>
      <c r="AA1078" s="56">
        <v>230.60724521198262</v>
      </c>
      <c r="AB1078" s="4">
        <v>0</v>
      </c>
      <c r="AC1078" s="4">
        <v>89799.199919999999</v>
      </c>
      <c r="AD1078" s="4">
        <v>389375.07575999998</v>
      </c>
      <c r="AE1078" s="4">
        <v>0</v>
      </c>
      <c r="AF1078" s="4">
        <v>121762.14240671403</v>
      </c>
      <c r="AG1078" s="4">
        <v>420737.15370813198</v>
      </c>
    </row>
    <row r="1079" spans="1:33" ht="11.25" customHeight="1" x14ac:dyDescent="0.25">
      <c r="A1079" s="3" t="s">
        <v>28</v>
      </c>
      <c r="B1079" s="3" t="s">
        <v>41</v>
      </c>
      <c r="C1079" s="3" t="s">
        <v>42</v>
      </c>
      <c r="D1079" s="3" t="s">
        <v>45</v>
      </c>
      <c r="E1079" s="3" t="s">
        <v>25</v>
      </c>
      <c r="F1079" s="3" t="s">
        <v>25</v>
      </c>
      <c r="G1079" s="3" t="s">
        <v>25</v>
      </c>
      <c r="H1079" s="3" t="s">
        <v>35</v>
      </c>
      <c r="I1079" s="6">
        <v>44440</v>
      </c>
      <c r="J1079" s="4">
        <v>0</v>
      </c>
      <c r="K1079" s="56">
        <v>0</v>
      </c>
      <c r="L1079" s="4">
        <v>5.452</v>
      </c>
      <c r="M1079" s="56">
        <v>5.452</v>
      </c>
      <c r="N1079" s="4">
        <v>5.452</v>
      </c>
      <c r="O1079" s="56">
        <v>5.452</v>
      </c>
      <c r="P1079" s="4">
        <v>0</v>
      </c>
      <c r="Q1079" s="3" t="s">
        <v>26</v>
      </c>
      <c r="R1079" s="3">
        <v>0</v>
      </c>
      <c r="S1079" s="4">
        <v>0</v>
      </c>
      <c r="T1079" s="4">
        <v>21</v>
      </c>
      <c r="U1079" s="4">
        <v>89</v>
      </c>
      <c r="V1079" s="56">
        <v>0</v>
      </c>
      <c r="W1079" s="56">
        <v>49.219200000000001</v>
      </c>
      <c r="X1079" s="56">
        <v>213.41759999999999</v>
      </c>
      <c r="Y1079" s="56"/>
      <c r="Z1079" s="56">
        <v>66.738180795414593</v>
      </c>
      <c r="AA1079" s="56">
        <v>230.60724521198262</v>
      </c>
      <c r="AB1079" s="4">
        <v>0</v>
      </c>
      <c r="AC1079" s="4">
        <v>268.34307840000002</v>
      </c>
      <c r="AD1079" s="4">
        <v>1163.5527551999999</v>
      </c>
      <c r="AE1079" s="4">
        <v>0</v>
      </c>
      <c r="AF1079" s="4">
        <v>363.85656169660035</v>
      </c>
      <c r="AG1079" s="4">
        <v>1257.2707008957293</v>
      </c>
    </row>
    <row r="1080" spans="1:33" ht="11.25" customHeight="1" x14ac:dyDescent="0.25">
      <c r="A1080" s="3" t="s">
        <v>21</v>
      </c>
      <c r="B1080" s="3" t="s">
        <v>41</v>
      </c>
      <c r="C1080" s="3" t="s">
        <v>42</v>
      </c>
      <c r="D1080" s="3" t="s">
        <v>45</v>
      </c>
      <c r="E1080" s="3" t="s">
        <v>25</v>
      </c>
      <c r="F1080" s="3" t="s">
        <v>25</v>
      </c>
      <c r="G1080" s="3" t="s">
        <v>25</v>
      </c>
      <c r="H1080" s="3" t="s">
        <v>35</v>
      </c>
      <c r="I1080" s="6">
        <v>44470</v>
      </c>
      <c r="J1080" s="4">
        <v>0</v>
      </c>
      <c r="K1080" s="56">
        <v>0</v>
      </c>
      <c r="L1080" s="4">
        <v>2460.4290000000001</v>
      </c>
      <c r="M1080" s="56">
        <v>2460.4290000000001</v>
      </c>
      <c r="N1080" s="4">
        <v>2460.4290000000001</v>
      </c>
      <c r="O1080" s="56">
        <v>2460.4290000000001</v>
      </c>
      <c r="P1080" s="4">
        <v>0</v>
      </c>
      <c r="Q1080" s="3" t="s">
        <v>26</v>
      </c>
      <c r="R1080" s="3">
        <v>0</v>
      </c>
      <c r="S1080" s="4">
        <v>0</v>
      </c>
      <c r="T1080" s="4">
        <v>21</v>
      </c>
      <c r="U1080" s="4">
        <v>89</v>
      </c>
      <c r="V1080" s="56">
        <v>0</v>
      </c>
      <c r="W1080" s="56">
        <v>49.219200000000001</v>
      </c>
      <c r="X1080" s="56">
        <v>213.41759999999999</v>
      </c>
      <c r="Y1080" s="56"/>
      <c r="Z1080" s="56">
        <v>66.738180795414593</v>
      </c>
      <c r="AA1080" s="56">
        <v>230.60724521198262</v>
      </c>
      <c r="AB1080" s="4">
        <v>0</v>
      </c>
      <c r="AC1080" s="4">
        <v>121100.34703680001</v>
      </c>
      <c r="AD1080" s="4">
        <v>525098.85215040005</v>
      </c>
      <c r="AE1080" s="4">
        <v>0</v>
      </c>
      <c r="AF1080" s="4">
        <v>164204.55543628114</v>
      </c>
      <c r="AG1080" s="4">
        <v>567392.75372967322</v>
      </c>
    </row>
    <row r="1081" spans="1:33" ht="11.25" customHeight="1" x14ac:dyDescent="0.25">
      <c r="A1081" s="3" t="s">
        <v>28</v>
      </c>
      <c r="B1081" s="3" t="s">
        <v>41</v>
      </c>
      <c r="C1081" s="3" t="s">
        <v>42</v>
      </c>
      <c r="D1081" s="3" t="s">
        <v>45</v>
      </c>
      <c r="E1081" s="3" t="s">
        <v>25</v>
      </c>
      <c r="F1081" s="3" t="s">
        <v>25</v>
      </c>
      <c r="G1081" s="3" t="s">
        <v>25</v>
      </c>
      <c r="H1081" s="3" t="s">
        <v>35</v>
      </c>
      <c r="I1081" s="6">
        <v>44470</v>
      </c>
      <c r="J1081" s="4">
        <v>0</v>
      </c>
      <c r="K1081" s="56">
        <v>0</v>
      </c>
      <c r="L1081" s="4">
        <v>18.899999999999999</v>
      </c>
      <c r="M1081" s="56">
        <v>18.899999999999999</v>
      </c>
      <c r="N1081" s="4">
        <v>18.899999999999999</v>
      </c>
      <c r="O1081" s="56">
        <v>18.899999999999999</v>
      </c>
      <c r="P1081" s="4">
        <v>0</v>
      </c>
      <c r="Q1081" s="3" t="s">
        <v>26</v>
      </c>
      <c r="R1081" s="3">
        <v>0</v>
      </c>
      <c r="S1081" s="4">
        <v>0</v>
      </c>
      <c r="T1081" s="4">
        <v>21</v>
      </c>
      <c r="U1081" s="4">
        <v>89</v>
      </c>
      <c r="V1081" s="56">
        <v>0</v>
      </c>
      <c r="W1081" s="56">
        <v>49.219200000000001</v>
      </c>
      <c r="X1081" s="56">
        <v>213.41759999999999</v>
      </c>
      <c r="Y1081" s="56"/>
      <c r="Z1081" s="56">
        <v>66.738180795414593</v>
      </c>
      <c r="AA1081" s="56">
        <v>230.60724521198262</v>
      </c>
      <c r="AB1081" s="4">
        <v>0</v>
      </c>
      <c r="AC1081" s="4">
        <v>930.2428799999999</v>
      </c>
      <c r="AD1081" s="4">
        <v>4033.5926399999994</v>
      </c>
      <c r="AE1081" s="4">
        <v>0</v>
      </c>
      <c r="AF1081" s="4">
        <v>1261.3516170333357</v>
      </c>
      <c r="AG1081" s="4">
        <v>4358.4769345064715</v>
      </c>
    </row>
    <row r="1082" spans="1:33" ht="11.25" customHeight="1" x14ac:dyDescent="0.25">
      <c r="A1082" s="3" t="s">
        <v>28</v>
      </c>
      <c r="B1082" s="3" t="s">
        <v>41</v>
      </c>
      <c r="C1082" s="3" t="s">
        <v>42</v>
      </c>
      <c r="D1082" s="3" t="s">
        <v>45</v>
      </c>
      <c r="E1082" s="3" t="s">
        <v>25</v>
      </c>
      <c r="F1082" s="3" t="s">
        <v>25</v>
      </c>
      <c r="G1082" s="3" t="s">
        <v>25</v>
      </c>
      <c r="H1082" s="3" t="s">
        <v>35</v>
      </c>
      <c r="I1082" s="6">
        <v>44470</v>
      </c>
      <c r="J1082" s="4">
        <v>0</v>
      </c>
      <c r="K1082" s="56">
        <v>0</v>
      </c>
      <c r="L1082" s="4">
        <v>-18.718</v>
      </c>
      <c r="M1082" s="56">
        <v>-18.718</v>
      </c>
      <c r="N1082" s="4">
        <v>-18.718</v>
      </c>
      <c r="O1082" s="56">
        <v>-18.718</v>
      </c>
      <c r="P1082" s="4">
        <v>0</v>
      </c>
      <c r="Q1082" s="3" t="s">
        <v>26</v>
      </c>
      <c r="R1082" s="3">
        <v>0</v>
      </c>
      <c r="S1082" s="4">
        <v>0</v>
      </c>
      <c r="T1082" s="4">
        <v>21</v>
      </c>
      <c r="U1082" s="4">
        <v>89</v>
      </c>
      <c r="V1082" s="56">
        <v>0</v>
      </c>
      <c r="W1082" s="56">
        <v>49.219200000000001</v>
      </c>
      <c r="X1082" s="56">
        <v>213.41759999999999</v>
      </c>
      <c r="Y1082" s="56"/>
      <c r="Z1082" s="56">
        <v>66.738180795414593</v>
      </c>
      <c r="AA1082" s="56">
        <v>230.60724521198262</v>
      </c>
      <c r="AB1082" s="4">
        <v>0</v>
      </c>
      <c r="AC1082" s="4">
        <v>-921.28498560000003</v>
      </c>
      <c r="AD1082" s="4">
        <v>-3994.7506367999999</v>
      </c>
      <c r="AE1082" s="4">
        <v>0</v>
      </c>
      <c r="AF1082" s="4">
        <v>-1249.2052681285704</v>
      </c>
      <c r="AG1082" s="4">
        <v>-4316.5064158778905</v>
      </c>
    </row>
    <row r="1083" spans="1:33" ht="11.25" customHeight="1" x14ac:dyDescent="0.25">
      <c r="A1083" s="3" t="s">
        <v>21</v>
      </c>
      <c r="B1083" s="3" t="s">
        <v>41</v>
      </c>
      <c r="C1083" s="3" t="s">
        <v>42</v>
      </c>
      <c r="D1083" s="3" t="s">
        <v>45</v>
      </c>
      <c r="E1083" s="3" t="s">
        <v>25</v>
      </c>
      <c r="F1083" s="3" t="s">
        <v>25</v>
      </c>
      <c r="G1083" s="3" t="s">
        <v>25</v>
      </c>
      <c r="H1083" s="3" t="s">
        <v>35</v>
      </c>
      <c r="I1083" s="6">
        <v>44501</v>
      </c>
      <c r="J1083" s="4">
        <v>0</v>
      </c>
      <c r="K1083" s="56">
        <v>0</v>
      </c>
      <c r="L1083" s="4">
        <v>2212.509</v>
      </c>
      <c r="M1083" s="56">
        <v>2212.509</v>
      </c>
      <c r="N1083" s="4">
        <v>2212.509</v>
      </c>
      <c r="O1083" s="56">
        <v>2212.509</v>
      </c>
      <c r="P1083" s="4">
        <v>0</v>
      </c>
      <c r="Q1083" s="3" t="s">
        <v>26</v>
      </c>
      <c r="R1083" s="3">
        <v>0</v>
      </c>
      <c r="S1083" s="4">
        <v>0</v>
      </c>
      <c r="T1083" s="4">
        <v>21</v>
      </c>
      <c r="U1083" s="4">
        <v>89</v>
      </c>
      <c r="V1083" s="56">
        <v>0</v>
      </c>
      <c r="W1083" s="56">
        <v>49.219200000000001</v>
      </c>
      <c r="X1083" s="56">
        <v>213.41759999999999</v>
      </c>
      <c r="Y1083" s="56"/>
      <c r="Z1083" s="56">
        <v>66.738180795414593</v>
      </c>
      <c r="AA1083" s="56">
        <v>230.60724521198262</v>
      </c>
      <c r="AB1083" s="4">
        <v>0</v>
      </c>
      <c r="AC1083" s="4">
        <v>108897.92297280001</v>
      </c>
      <c r="AD1083" s="4">
        <v>472188.3607584</v>
      </c>
      <c r="AE1083" s="4">
        <v>0</v>
      </c>
      <c r="AF1083" s="4">
        <v>147658.82565348194</v>
      </c>
      <c r="AG1083" s="4">
        <v>510220.60549671843</v>
      </c>
    </row>
    <row r="1084" spans="1:33" ht="11.25" customHeight="1" x14ac:dyDescent="0.25">
      <c r="A1084" s="3" t="s">
        <v>28</v>
      </c>
      <c r="B1084" s="3" t="s">
        <v>41</v>
      </c>
      <c r="C1084" s="3" t="s">
        <v>42</v>
      </c>
      <c r="D1084" s="3" t="s">
        <v>45</v>
      </c>
      <c r="E1084" s="3" t="s">
        <v>25</v>
      </c>
      <c r="F1084" s="3" t="s">
        <v>25</v>
      </c>
      <c r="G1084" s="3" t="s">
        <v>25</v>
      </c>
      <c r="H1084" s="3" t="s">
        <v>35</v>
      </c>
      <c r="I1084" s="6">
        <v>44501</v>
      </c>
      <c r="J1084" s="4">
        <v>0</v>
      </c>
      <c r="K1084" s="56">
        <v>0</v>
      </c>
      <c r="L1084" s="4">
        <v>15.975</v>
      </c>
      <c r="M1084" s="56">
        <v>15.975</v>
      </c>
      <c r="N1084" s="4">
        <v>15.975</v>
      </c>
      <c r="O1084" s="56">
        <v>15.975</v>
      </c>
      <c r="P1084" s="4">
        <v>0</v>
      </c>
      <c r="Q1084" s="3" t="s">
        <v>26</v>
      </c>
      <c r="R1084" s="3">
        <v>0</v>
      </c>
      <c r="S1084" s="4">
        <v>0</v>
      </c>
      <c r="T1084" s="4">
        <v>21</v>
      </c>
      <c r="U1084" s="4">
        <v>89</v>
      </c>
      <c r="V1084" s="56">
        <v>0</v>
      </c>
      <c r="W1084" s="56">
        <v>49.219200000000001</v>
      </c>
      <c r="X1084" s="56">
        <v>213.41759999999999</v>
      </c>
      <c r="Y1084" s="56"/>
      <c r="Z1084" s="56">
        <v>66.738180795414593</v>
      </c>
      <c r="AA1084" s="56">
        <v>230.60724521198262</v>
      </c>
      <c r="AB1084" s="4">
        <v>0</v>
      </c>
      <c r="AC1084" s="4">
        <v>786.27671999999995</v>
      </c>
      <c r="AD1084" s="4">
        <v>3409.3461599999996</v>
      </c>
      <c r="AE1084" s="4">
        <v>0</v>
      </c>
      <c r="AF1084" s="4">
        <v>1066.142438206748</v>
      </c>
      <c r="AG1084" s="4">
        <v>3683.9507422614224</v>
      </c>
    </row>
    <row r="1085" spans="1:33" ht="11.25" customHeight="1" x14ac:dyDescent="0.25">
      <c r="A1085" s="3" t="s">
        <v>21</v>
      </c>
      <c r="B1085" s="3" t="s">
        <v>41</v>
      </c>
      <c r="C1085" s="3" t="s">
        <v>42</v>
      </c>
      <c r="D1085" s="3" t="s">
        <v>45</v>
      </c>
      <c r="E1085" s="3" t="s">
        <v>25</v>
      </c>
      <c r="F1085" s="3" t="s">
        <v>25</v>
      </c>
      <c r="G1085" s="3" t="s">
        <v>25</v>
      </c>
      <c r="H1085" s="3" t="s">
        <v>35</v>
      </c>
      <c r="I1085" s="6">
        <v>44531</v>
      </c>
      <c r="J1085" s="4">
        <v>0</v>
      </c>
      <c r="K1085" s="56">
        <v>0</v>
      </c>
      <c r="L1085" s="4">
        <v>1852.6690000000001</v>
      </c>
      <c r="M1085" s="56">
        <v>1852.6690000000001</v>
      </c>
      <c r="N1085" s="4">
        <v>1852.6690000000001</v>
      </c>
      <c r="O1085" s="56">
        <v>1852.6690000000001</v>
      </c>
      <c r="P1085" s="4">
        <v>0</v>
      </c>
      <c r="Q1085" s="3" t="s">
        <v>26</v>
      </c>
      <c r="R1085" s="3">
        <v>0</v>
      </c>
      <c r="S1085" s="4">
        <v>0</v>
      </c>
      <c r="T1085" s="4">
        <v>21</v>
      </c>
      <c r="U1085" s="4">
        <v>89</v>
      </c>
      <c r="V1085" s="56">
        <v>0</v>
      </c>
      <c r="W1085" s="56">
        <v>49.219200000000001</v>
      </c>
      <c r="X1085" s="56">
        <v>213.41759999999999</v>
      </c>
      <c r="Y1085" s="56"/>
      <c r="Z1085" s="56">
        <v>66.738180795414593</v>
      </c>
      <c r="AA1085" s="56">
        <v>230.60724521198262</v>
      </c>
      <c r="AB1085" s="4">
        <v>0</v>
      </c>
      <c r="AC1085" s="4">
        <v>91186.886044800005</v>
      </c>
      <c r="AD1085" s="4">
        <v>395392.17157439998</v>
      </c>
      <c r="AE1085" s="4">
        <v>0</v>
      </c>
      <c r="AF1085" s="4">
        <v>123643.75867605997</v>
      </c>
      <c r="AG1085" s="4">
        <v>427238.89437963866</v>
      </c>
    </row>
    <row r="1086" spans="1:33" ht="11.25" customHeight="1" x14ac:dyDescent="0.25">
      <c r="A1086" s="3" t="s">
        <v>27</v>
      </c>
      <c r="B1086" s="3" t="s">
        <v>41</v>
      </c>
      <c r="C1086" s="3" t="s">
        <v>42</v>
      </c>
      <c r="D1086" s="3" t="s">
        <v>45</v>
      </c>
      <c r="E1086" s="3" t="s">
        <v>25</v>
      </c>
      <c r="F1086" s="3" t="s">
        <v>25</v>
      </c>
      <c r="G1086" s="3" t="s">
        <v>25</v>
      </c>
      <c r="H1086" s="3" t="s">
        <v>35</v>
      </c>
      <c r="I1086" s="6">
        <v>44531</v>
      </c>
      <c r="J1086" s="4">
        <v>0</v>
      </c>
      <c r="K1086" s="56">
        <v>0</v>
      </c>
      <c r="L1086" s="4">
        <v>-0.24</v>
      </c>
      <c r="M1086" s="56">
        <v>-0.24</v>
      </c>
      <c r="N1086" s="4">
        <v>-0.24</v>
      </c>
      <c r="O1086" s="56">
        <v>-0.24</v>
      </c>
      <c r="P1086" s="4">
        <v>0</v>
      </c>
      <c r="Q1086" s="3" t="s">
        <v>26</v>
      </c>
      <c r="R1086" s="3">
        <v>0</v>
      </c>
      <c r="S1086" s="4">
        <v>0</v>
      </c>
      <c r="T1086" s="4">
        <v>21</v>
      </c>
      <c r="U1086" s="4">
        <v>89</v>
      </c>
      <c r="V1086" s="56">
        <v>0</v>
      </c>
      <c r="W1086" s="56">
        <v>49.219200000000001</v>
      </c>
      <c r="X1086" s="56">
        <v>213.41759999999999</v>
      </c>
      <c r="Y1086" s="56"/>
      <c r="Z1086" s="56">
        <v>66.738180795414593</v>
      </c>
      <c r="AA1086" s="56">
        <v>230.60724521198262</v>
      </c>
      <c r="AB1086" s="4">
        <v>0</v>
      </c>
      <c r="AC1086" s="4">
        <v>-11.812607999999999</v>
      </c>
      <c r="AD1086" s="4">
        <v>-51.220223999999995</v>
      </c>
      <c r="AE1086" s="4">
        <v>0</v>
      </c>
      <c r="AF1086" s="4">
        <v>-16.017163390899501</v>
      </c>
      <c r="AG1086" s="4">
        <v>-55.345738850875826</v>
      </c>
    </row>
    <row r="1087" spans="1:33" ht="11.25" customHeight="1" x14ac:dyDescent="0.25">
      <c r="A1087" s="3" t="s">
        <v>28</v>
      </c>
      <c r="B1087" s="3" t="s">
        <v>41</v>
      </c>
      <c r="C1087" s="3" t="s">
        <v>42</v>
      </c>
      <c r="D1087" s="3" t="s">
        <v>45</v>
      </c>
      <c r="E1087" s="3" t="s">
        <v>25</v>
      </c>
      <c r="F1087" s="3" t="s">
        <v>25</v>
      </c>
      <c r="G1087" s="3" t="s">
        <v>25</v>
      </c>
      <c r="H1087" s="3" t="s">
        <v>35</v>
      </c>
      <c r="I1087" s="6">
        <v>44531</v>
      </c>
      <c r="J1087" s="4">
        <v>0</v>
      </c>
      <c r="K1087" s="56">
        <v>0</v>
      </c>
      <c r="L1087" s="4">
        <v>2.2200000000000002</v>
      </c>
      <c r="M1087" s="56">
        <v>2.2200000000000002</v>
      </c>
      <c r="N1087" s="4">
        <v>2.2200000000000002</v>
      </c>
      <c r="O1087" s="56">
        <v>2.2200000000000002</v>
      </c>
      <c r="P1087" s="4">
        <v>0</v>
      </c>
      <c r="Q1087" s="3" t="s">
        <v>26</v>
      </c>
      <c r="R1087" s="3">
        <v>0</v>
      </c>
      <c r="S1087" s="4">
        <v>0</v>
      </c>
      <c r="T1087" s="4">
        <v>21</v>
      </c>
      <c r="U1087" s="4">
        <v>89</v>
      </c>
      <c r="V1087" s="56">
        <v>0</v>
      </c>
      <c r="W1087" s="56">
        <v>49.219200000000001</v>
      </c>
      <c r="X1087" s="56">
        <v>213.41759999999999</v>
      </c>
      <c r="Y1087" s="56"/>
      <c r="Z1087" s="56">
        <v>66.738180795414593</v>
      </c>
      <c r="AA1087" s="56">
        <v>230.60724521198262</v>
      </c>
      <c r="AB1087" s="4">
        <v>0</v>
      </c>
      <c r="AC1087" s="4">
        <v>109.26662400000001</v>
      </c>
      <c r="AD1087" s="4">
        <v>473.78707200000002</v>
      </c>
      <c r="AE1087" s="4">
        <v>0</v>
      </c>
      <c r="AF1087" s="4">
        <v>148.1587613658204</v>
      </c>
      <c r="AG1087" s="4">
        <v>511.94808437060146</v>
      </c>
    </row>
    <row r="1088" spans="1:33" ht="11.25" customHeight="1" x14ac:dyDescent="0.25">
      <c r="A1088" s="3" t="s">
        <v>21</v>
      </c>
      <c r="B1088" s="3" t="s">
        <v>41</v>
      </c>
      <c r="C1088" s="3" t="s">
        <v>42</v>
      </c>
      <c r="D1088" s="3" t="s">
        <v>45</v>
      </c>
      <c r="E1088" s="3" t="s">
        <v>25</v>
      </c>
      <c r="F1088" s="3" t="s">
        <v>25</v>
      </c>
      <c r="G1088" s="3" t="s">
        <v>25</v>
      </c>
      <c r="H1088" s="3" t="s">
        <v>35</v>
      </c>
      <c r="I1088" s="6">
        <v>44562</v>
      </c>
      <c r="J1088" s="4">
        <v>0</v>
      </c>
      <c r="K1088" s="56">
        <v>0</v>
      </c>
      <c r="L1088" s="4">
        <v>2020.7329999999999</v>
      </c>
      <c r="M1088" s="56">
        <v>2020.7329999999999</v>
      </c>
      <c r="N1088" s="4">
        <v>2020.7329999999999</v>
      </c>
      <c r="O1088" s="56">
        <v>2020.7329999999999</v>
      </c>
      <c r="P1088" s="4">
        <v>0</v>
      </c>
      <c r="Q1088" s="3" t="s">
        <v>26</v>
      </c>
      <c r="R1088" s="3">
        <v>0</v>
      </c>
      <c r="S1088" s="4">
        <v>0</v>
      </c>
      <c r="T1088" s="4">
        <v>21</v>
      </c>
      <c r="U1088" s="4">
        <v>89</v>
      </c>
      <c r="V1088" s="56">
        <v>0</v>
      </c>
      <c r="W1088" s="56">
        <v>49.219200000000001</v>
      </c>
      <c r="X1088" s="56">
        <v>213.41759999999999</v>
      </c>
      <c r="Y1088" s="56"/>
      <c r="Z1088" s="56">
        <v>66.738180795414593</v>
      </c>
      <c r="AA1088" s="56">
        <v>230.60724521198262</v>
      </c>
      <c r="AB1088" s="4">
        <v>0</v>
      </c>
      <c r="AC1088" s="4">
        <v>99458.861673599997</v>
      </c>
      <c r="AD1088" s="4">
        <v>431259.98710079998</v>
      </c>
      <c r="AE1088" s="4">
        <v>0</v>
      </c>
      <c r="AF1088" s="4">
        <v>134860.04429326052</v>
      </c>
      <c r="AG1088" s="4">
        <v>465995.67043894524</v>
      </c>
    </row>
    <row r="1089" spans="1:33" ht="11.25" customHeight="1" x14ac:dyDescent="0.25">
      <c r="A1089" s="3" t="s">
        <v>27</v>
      </c>
      <c r="B1089" s="3" t="s">
        <v>41</v>
      </c>
      <c r="C1089" s="3" t="s">
        <v>42</v>
      </c>
      <c r="D1089" s="3" t="s">
        <v>45</v>
      </c>
      <c r="E1089" s="3" t="s">
        <v>25</v>
      </c>
      <c r="F1089" s="3" t="s">
        <v>25</v>
      </c>
      <c r="G1089" s="3" t="s">
        <v>25</v>
      </c>
      <c r="H1089" s="3" t="s">
        <v>35</v>
      </c>
      <c r="I1089" s="6">
        <v>44562</v>
      </c>
      <c r="J1089" s="4">
        <v>0</v>
      </c>
      <c r="K1089" s="56">
        <v>0</v>
      </c>
      <c r="L1089" s="4">
        <v>-164.447</v>
      </c>
      <c r="M1089" s="56">
        <v>-164.447</v>
      </c>
      <c r="N1089" s="4">
        <v>-164.447</v>
      </c>
      <c r="O1089" s="56">
        <v>-164.447</v>
      </c>
      <c r="P1089" s="4">
        <v>0</v>
      </c>
      <c r="Q1089" s="3" t="s">
        <v>26</v>
      </c>
      <c r="R1089" s="3">
        <v>0</v>
      </c>
      <c r="S1089" s="4">
        <v>0</v>
      </c>
      <c r="T1089" s="4">
        <v>21</v>
      </c>
      <c r="U1089" s="4">
        <v>89</v>
      </c>
      <c r="V1089" s="56">
        <v>0</v>
      </c>
      <c r="W1089" s="56">
        <v>49.219200000000001</v>
      </c>
      <c r="X1089" s="56">
        <v>213.41759999999999</v>
      </c>
      <c r="Y1089" s="56"/>
      <c r="Z1089" s="56">
        <v>66.738180795414593</v>
      </c>
      <c r="AA1089" s="56">
        <v>230.60724521198262</v>
      </c>
      <c r="AB1089" s="4">
        <v>0</v>
      </c>
      <c r="AC1089" s="4">
        <v>-8093.9497824</v>
      </c>
      <c r="AD1089" s="4">
        <v>-35095.884067200001</v>
      </c>
      <c r="AE1089" s="4">
        <v>0</v>
      </c>
      <c r="AF1089" s="4">
        <v>-10974.893617263544</v>
      </c>
      <c r="AG1089" s="4">
        <v>-37922.669653374905</v>
      </c>
    </row>
    <row r="1090" spans="1:33" ht="11.25" customHeight="1" x14ac:dyDescent="0.25">
      <c r="A1090" s="3" t="s">
        <v>28</v>
      </c>
      <c r="B1090" s="3" t="s">
        <v>41</v>
      </c>
      <c r="C1090" s="3" t="s">
        <v>42</v>
      </c>
      <c r="D1090" s="3" t="s">
        <v>45</v>
      </c>
      <c r="E1090" s="3" t="s">
        <v>25</v>
      </c>
      <c r="F1090" s="3" t="s">
        <v>25</v>
      </c>
      <c r="G1090" s="3" t="s">
        <v>25</v>
      </c>
      <c r="H1090" s="3" t="s">
        <v>35</v>
      </c>
      <c r="I1090" s="6">
        <v>44562</v>
      </c>
      <c r="J1090" s="4">
        <v>0</v>
      </c>
      <c r="K1090" s="56">
        <v>0</v>
      </c>
      <c r="L1090" s="4">
        <v>12.698</v>
      </c>
      <c r="M1090" s="56">
        <v>12.698</v>
      </c>
      <c r="N1090" s="4">
        <v>12.698</v>
      </c>
      <c r="O1090" s="56">
        <v>12.698</v>
      </c>
      <c r="P1090" s="4">
        <v>0</v>
      </c>
      <c r="Q1090" s="3" t="s">
        <v>26</v>
      </c>
      <c r="R1090" s="3">
        <v>0</v>
      </c>
      <c r="S1090" s="4">
        <v>0</v>
      </c>
      <c r="T1090" s="4">
        <v>21</v>
      </c>
      <c r="U1090" s="4">
        <v>89</v>
      </c>
      <c r="V1090" s="56">
        <v>0</v>
      </c>
      <c r="W1090" s="56">
        <v>49.219200000000001</v>
      </c>
      <c r="X1090" s="56">
        <v>213.41759999999999</v>
      </c>
      <c r="Y1090" s="56"/>
      <c r="Z1090" s="56">
        <v>66.738180795414593</v>
      </c>
      <c r="AA1090" s="56">
        <v>230.60724521198262</v>
      </c>
      <c r="AB1090" s="4">
        <v>0</v>
      </c>
      <c r="AC1090" s="4">
        <v>624.98540160000005</v>
      </c>
      <c r="AD1090" s="4">
        <v>2709.9766847999999</v>
      </c>
      <c r="AE1090" s="4">
        <v>0</v>
      </c>
      <c r="AF1090" s="4">
        <v>847.44141974017452</v>
      </c>
      <c r="AG1090" s="4">
        <v>2928.2507997017551</v>
      </c>
    </row>
    <row r="1091" spans="1:33" ht="11.25" customHeight="1" x14ac:dyDescent="0.25">
      <c r="A1091" s="3" t="s">
        <v>21</v>
      </c>
      <c r="B1091" s="3" t="s">
        <v>41</v>
      </c>
      <c r="C1091" s="3" t="s">
        <v>42</v>
      </c>
      <c r="D1091" s="3" t="s">
        <v>45</v>
      </c>
      <c r="E1091" s="3" t="s">
        <v>25</v>
      </c>
      <c r="F1091" s="3" t="s">
        <v>25</v>
      </c>
      <c r="G1091" s="3" t="s">
        <v>25</v>
      </c>
      <c r="H1091" s="3" t="s">
        <v>35</v>
      </c>
      <c r="I1091" s="6">
        <v>44593</v>
      </c>
      <c r="J1091" s="4">
        <v>0</v>
      </c>
      <c r="K1091" s="56">
        <v>0</v>
      </c>
      <c r="L1091" s="4">
        <v>1885.9590000000001</v>
      </c>
      <c r="M1091" s="56">
        <v>1885.9590000000001</v>
      </c>
      <c r="N1091" s="4">
        <v>1885.9590000000001</v>
      </c>
      <c r="O1091" s="56">
        <v>1885.9590000000001</v>
      </c>
      <c r="P1091" s="4">
        <v>0</v>
      </c>
      <c r="Q1091" s="3" t="s">
        <v>26</v>
      </c>
      <c r="R1091" s="3">
        <v>0</v>
      </c>
      <c r="S1091" s="4">
        <v>0</v>
      </c>
      <c r="T1091" s="4">
        <v>21</v>
      </c>
      <c r="U1091" s="4">
        <v>89</v>
      </c>
      <c r="V1091" s="56">
        <v>0</v>
      </c>
      <c r="W1091" s="56">
        <v>49.219200000000001</v>
      </c>
      <c r="X1091" s="56">
        <v>213.41759999999999</v>
      </c>
      <c r="Y1091" s="56"/>
      <c r="Z1091" s="56">
        <v>66.738180795414593</v>
      </c>
      <c r="AA1091" s="56">
        <v>230.60724521198262</v>
      </c>
      <c r="AB1091" s="4">
        <v>0</v>
      </c>
      <c r="AC1091" s="4">
        <v>92825.393212800001</v>
      </c>
      <c r="AD1091" s="4">
        <v>402496.84347840003</v>
      </c>
      <c r="AE1091" s="4">
        <v>0</v>
      </c>
      <c r="AF1091" s="4">
        <v>125865.47271473931</v>
      </c>
      <c r="AG1091" s="4">
        <v>434915.80957274552</v>
      </c>
    </row>
    <row r="1092" spans="1:33" ht="11.25" customHeight="1" x14ac:dyDescent="0.25">
      <c r="A1092" s="3" t="s">
        <v>27</v>
      </c>
      <c r="B1092" s="3" t="s">
        <v>41</v>
      </c>
      <c r="C1092" s="3" t="s">
        <v>42</v>
      </c>
      <c r="D1092" s="3" t="s">
        <v>45</v>
      </c>
      <c r="E1092" s="3" t="s">
        <v>25</v>
      </c>
      <c r="F1092" s="3" t="s">
        <v>25</v>
      </c>
      <c r="G1092" s="3" t="s">
        <v>25</v>
      </c>
      <c r="H1092" s="3" t="s">
        <v>35</v>
      </c>
      <c r="I1092" s="6">
        <v>44593</v>
      </c>
      <c r="J1092" s="4">
        <v>0</v>
      </c>
      <c r="K1092" s="56">
        <v>0</v>
      </c>
      <c r="L1092" s="4">
        <v>432.71899999999999</v>
      </c>
      <c r="M1092" s="56">
        <v>432.71899999999999</v>
      </c>
      <c r="N1092" s="4">
        <v>432.71899999999999</v>
      </c>
      <c r="O1092" s="56">
        <v>432.71899999999999</v>
      </c>
      <c r="P1092" s="4">
        <v>0</v>
      </c>
      <c r="Q1092" s="3" t="s">
        <v>26</v>
      </c>
      <c r="R1092" s="3">
        <v>0</v>
      </c>
      <c r="S1092" s="4">
        <v>0</v>
      </c>
      <c r="T1092" s="4">
        <v>21</v>
      </c>
      <c r="U1092" s="4">
        <v>89</v>
      </c>
      <c r="V1092" s="56">
        <v>0</v>
      </c>
      <c r="W1092" s="56">
        <v>49.219200000000001</v>
      </c>
      <c r="X1092" s="56">
        <v>213.41759999999999</v>
      </c>
      <c r="Y1092" s="56"/>
      <c r="Z1092" s="56">
        <v>66.738180795414593</v>
      </c>
      <c r="AA1092" s="56">
        <v>230.60724521198262</v>
      </c>
      <c r="AB1092" s="4">
        <v>0</v>
      </c>
      <c r="AC1092" s="4">
        <v>21298.083004799999</v>
      </c>
      <c r="AD1092" s="4">
        <v>92349.850454400002</v>
      </c>
      <c r="AE1092" s="4">
        <v>0</v>
      </c>
      <c r="AF1092" s="4">
        <v>28878.878855611008</v>
      </c>
      <c r="AG1092" s="4">
        <v>99788.136540883905</v>
      </c>
    </row>
    <row r="1093" spans="1:33" ht="11.25" customHeight="1" x14ac:dyDescent="0.25">
      <c r="A1093" s="3" t="s">
        <v>28</v>
      </c>
      <c r="B1093" s="3" t="s">
        <v>41</v>
      </c>
      <c r="C1093" s="3" t="s">
        <v>42</v>
      </c>
      <c r="D1093" s="3" t="s">
        <v>45</v>
      </c>
      <c r="E1093" s="3" t="s">
        <v>25</v>
      </c>
      <c r="F1093" s="3" t="s">
        <v>25</v>
      </c>
      <c r="G1093" s="3" t="s">
        <v>25</v>
      </c>
      <c r="H1093" s="3" t="s">
        <v>35</v>
      </c>
      <c r="I1093" s="6">
        <v>44593</v>
      </c>
      <c r="J1093" s="4">
        <v>0</v>
      </c>
      <c r="K1093" s="56">
        <v>0</v>
      </c>
      <c r="L1093" s="4">
        <v>40.326000000000001</v>
      </c>
      <c r="M1093" s="56">
        <v>40.326000000000001</v>
      </c>
      <c r="N1093" s="4">
        <v>40.326000000000001</v>
      </c>
      <c r="O1093" s="56">
        <v>40.326000000000001</v>
      </c>
      <c r="P1093" s="4">
        <v>0</v>
      </c>
      <c r="Q1093" s="3" t="s">
        <v>26</v>
      </c>
      <c r="R1093" s="3">
        <v>0</v>
      </c>
      <c r="S1093" s="4">
        <v>0</v>
      </c>
      <c r="T1093" s="4">
        <v>21</v>
      </c>
      <c r="U1093" s="4">
        <v>89</v>
      </c>
      <c r="V1093" s="56">
        <v>0</v>
      </c>
      <c r="W1093" s="56">
        <v>49.219200000000001</v>
      </c>
      <c r="X1093" s="56">
        <v>213.41759999999999</v>
      </c>
      <c r="Y1093" s="56"/>
      <c r="Z1093" s="56">
        <v>66.738180795414593</v>
      </c>
      <c r="AA1093" s="56">
        <v>230.60724521198262</v>
      </c>
      <c r="AB1093" s="4">
        <v>0</v>
      </c>
      <c r="AC1093" s="4">
        <v>1984.8134592000001</v>
      </c>
      <c r="AD1093" s="4">
        <v>8606.2781376000003</v>
      </c>
      <c r="AE1093" s="4">
        <v>0</v>
      </c>
      <c r="AF1093" s="4">
        <v>2691.283878755889</v>
      </c>
      <c r="AG1093" s="4">
        <v>9299.4677704184105</v>
      </c>
    </row>
    <row r="1094" spans="1:33" ht="11.25" customHeight="1" x14ac:dyDescent="0.25">
      <c r="A1094" s="3" t="s">
        <v>56</v>
      </c>
      <c r="B1094" s="3" t="s">
        <v>41</v>
      </c>
      <c r="C1094" s="3" t="s">
        <v>42</v>
      </c>
      <c r="D1094" s="3" t="s">
        <v>45</v>
      </c>
      <c r="E1094" s="3" t="s">
        <v>25</v>
      </c>
      <c r="F1094" s="3" t="s">
        <v>25</v>
      </c>
      <c r="G1094" s="3" t="s">
        <v>25</v>
      </c>
      <c r="H1094" s="3" t="s">
        <v>35</v>
      </c>
      <c r="I1094" s="6">
        <v>44621</v>
      </c>
      <c r="J1094" s="4">
        <v>0</v>
      </c>
      <c r="K1094" s="56">
        <v>0</v>
      </c>
      <c r="L1094" s="4">
        <v>1885.9590000000001</v>
      </c>
      <c r="M1094" s="56">
        <v>1885.9590000000001</v>
      </c>
      <c r="N1094" s="4">
        <v>1885.9590000000001</v>
      </c>
      <c r="O1094" s="56">
        <v>1885.9590000000001</v>
      </c>
      <c r="P1094" s="4">
        <v>0</v>
      </c>
      <c r="Q1094" s="3" t="s">
        <v>26</v>
      </c>
      <c r="R1094" s="3">
        <v>0</v>
      </c>
      <c r="S1094" s="4">
        <v>0</v>
      </c>
      <c r="T1094" s="4">
        <v>21</v>
      </c>
      <c r="U1094" s="4">
        <v>89</v>
      </c>
      <c r="V1094" s="56">
        <v>0</v>
      </c>
      <c r="W1094" s="56">
        <v>49.219200000000001</v>
      </c>
      <c r="X1094" s="56">
        <v>213.41759999999999</v>
      </c>
      <c r="Y1094" s="56"/>
      <c r="Z1094" s="56">
        <v>66.738180795414593</v>
      </c>
      <c r="AA1094" s="56">
        <v>230.60724521198262</v>
      </c>
      <c r="AB1094" s="4">
        <v>0</v>
      </c>
      <c r="AC1094" s="4">
        <v>92825.393212800001</v>
      </c>
      <c r="AD1094" s="4">
        <v>402496.84347840003</v>
      </c>
      <c r="AE1094" s="4">
        <v>0</v>
      </c>
      <c r="AF1094" s="4">
        <v>125865.47271473931</v>
      </c>
      <c r="AG1094" s="4">
        <v>434915.80957274552</v>
      </c>
    </row>
    <row r="1095" spans="1:33" ht="11.25" customHeight="1" x14ac:dyDescent="0.25">
      <c r="A1095" s="3" t="s">
        <v>56</v>
      </c>
      <c r="B1095" s="3" t="s">
        <v>41</v>
      </c>
      <c r="C1095" s="3" t="s">
        <v>42</v>
      </c>
      <c r="D1095" s="3" t="s">
        <v>45</v>
      </c>
      <c r="E1095" s="3" t="s">
        <v>25</v>
      </c>
      <c r="F1095" s="3" t="s">
        <v>25</v>
      </c>
      <c r="G1095" s="3" t="s">
        <v>25</v>
      </c>
      <c r="H1095" s="3" t="s">
        <v>35</v>
      </c>
      <c r="I1095" s="6">
        <v>44621</v>
      </c>
      <c r="J1095" s="4">
        <v>0</v>
      </c>
      <c r="K1095" s="56">
        <v>0</v>
      </c>
      <c r="L1095" s="4">
        <v>432.71899999999999</v>
      </c>
      <c r="M1095" s="56">
        <v>432.71899999999999</v>
      </c>
      <c r="N1095" s="4">
        <v>432.71899999999999</v>
      </c>
      <c r="O1095" s="56">
        <v>432.71899999999999</v>
      </c>
      <c r="P1095" s="4">
        <v>0</v>
      </c>
      <c r="Q1095" s="3" t="s">
        <v>26</v>
      </c>
      <c r="R1095" s="3">
        <v>0</v>
      </c>
      <c r="S1095" s="4">
        <v>0</v>
      </c>
      <c r="T1095" s="4">
        <v>21</v>
      </c>
      <c r="U1095" s="4">
        <v>89</v>
      </c>
      <c r="V1095" s="56">
        <v>0</v>
      </c>
      <c r="W1095" s="56">
        <v>49.219200000000001</v>
      </c>
      <c r="X1095" s="56">
        <v>213.41759999999999</v>
      </c>
      <c r="Y1095" s="56"/>
      <c r="Z1095" s="56">
        <v>66.738180795414593</v>
      </c>
      <c r="AA1095" s="56">
        <v>230.60724521198262</v>
      </c>
      <c r="AB1095" s="4">
        <v>0</v>
      </c>
      <c r="AC1095" s="4">
        <v>21298.083004799999</v>
      </c>
      <c r="AD1095" s="4">
        <v>92349.850454400002</v>
      </c>
      <c r="AE1095" s="4">
        <v>0</v>
      </c>
      <c r="AF1095" s="4">
        <v>28878.878855611008</v>
      </c>
      <c r="AG1095" s="4">
        <v>99788.136540883905</v>
      </c>
    </row>
    <row r="1096" spans="1:33" ht="11.25" customHeight="1" x14ac:dyDescent="0.25">
      <c r="A1096" s="3" t="s">
        <v>56</v>
      </c>
      <c r="B1096" s="3" t="s">
        <v>41</v>
      </c>
      <c r="C1096" s="3" t="s">
        <v>42</v>
      </c>
      <c r="D1096" s="3" t="s">
        <v>45</v>
      </c>
      <c r="E1096" s="3" t="s">
        <v>25</v>
      </c>
      <c r="F1096" s="3" t="s">
        <v>25</v>
      </c>
      <c r="G1096" s="3" t="s">
        <v>25</v>
      </c>
      <c r="H1096" s="3" t="s">
        <v>35</v>
      </c>
      <c r="I1096" s="6">
        <v>44621</v>
      </c>
      <c r="J1096" s="4">
        <v>0</v>
      </c>
      <c r="K1096" s="56">
        <v>0</v>
      </c>
      <c r="L1096" s="4">
        <v>40.326000000000001</v>
      </c>
      <c r="M1096" s="56">
        <v>40.326000000000001</v>
      </c>
      <c r="N1096" s="4">
        <v>40.326000000000001</v>
      </c>
      <c r="O1096" s="56">
        <v>40.326000000000001</v>
      </c>
      <c r="P1096" s="4">
        <v>0</v>
      </c>
      <c r="Q1096" s="3" t="s">
        <v>26</v>
      </c>
      <c r="R1096" s="3">
        <v>0</v>
      </c>
      <c r="S1096" s="4">
        <v>0</v>
      </c>
      <c r="T1096" s="4">
        <v>21</v>
      </c>
      <c r="U1096" s="4">
        <v>89</v>
      </c>
      <c r="V1096" s="56">
        <v>0</v>
      </c>
      <c r="W1096" s="56">
        <v>49.219200000000001</v>
      </c>
      <c r="X1096" s="56">
        <v>213.41759999999999</v>
      </c>
      <c r="Y1096" s="56"/>
      <c r="Z1096" s="56">
        <v>66.738180795414593</v>
      </c>
      <c r="AA1096" s="56">
        <v>230.60724521198262</v>
      </c>
      <c r="AB1096" s="4">
        <v>0</v>
      </c>
      <c r="AC1096" s="4">
        <v>1984.8134592000001</v>
      </c>
      <c r="AD1096" s="4">
        <v>8606.2781376000003</v>
      </c>
      <c r="AE1096" s="4">
        <v>0</v>
      </c>
      <c r="AF1096" s="4">
        <v>2691.283878755889</v>
      </c>
      <c r="AG1096" s="4">
        <v>9299.4677704184105</v>
      </c>
    </row>
    <row r="1097" spans="1:33" ht="11.25" customHeight="1" x14ac:dyDescent="0.25">
      <c r="A1097" s="3" t="s">
        <v>21</v>
      </c>
      <c r="B1097" s="3" t="s">
        <v>41</v>
      </c>
      <c r="C1097" s="3" t="s">
        <v>42</v>
      </c>
      <c r="D1097" s="3" t="s">
        <v>45</v>
      </c>
      <c r="E1097" s="3" t="s">
        <v>25</v>
      </c>
      <c r="F1097" s="3" t="s">
        <v>25</v>
      </c>
      <c r="G1097" s="3" t="s">
        <v>25</v>
      </c>
      <c r="H1097" s="3" t="s">
        <v>25</v>
      </c>
      <c r="I1097" s="6">
        <v>44287</v>
      </c>
      <c r="J1097" s="4">
        <v>8807</v>
      </c>
      <c r="K1097" s="56">
        <v>8807</v>
      </c>
      <c r="L1097" s="4">
        <v>0</v>
      </c>
      <c r="M1097" s="56">
        <v>0</v>
      </c>
      <c r="N1097" s="4">
        <v>0</v>
      </c>
      <c r="O1097" s="56">
        <v>0</v>
      </c>
      <c r="P1097" s="4">
        <v>52</v>
      </c>
      <c r="Q1097" s="3" t="s">
        <v>26</v>
      </c>
      <c r="R1097" s="3">
        <v>0</v>
      </c>
      <c r="S1097" s="4">
        <v>44</v>
      </c>
      <c r="T1097" s="4">
        <v>0</v>
      </c>
      <c r="U1097" s="4">
        <v>0</v>
      </c>
      <c r="V1097" s="56">
        <v>23.337599999999998</v>
      </c>
      <c r="W1097" s="56">
        <v>0</v>
      </c>
      <c r="X1097" s="56">
        <v>0</v>
      </c>
      <c r="Y1097" s="56">
        <v>27.229069466921182</v>
      </c>
      <c r="Z1097" s="56"/>
      <c r="AA1097" s="56"/>
      <c r="AB1097" s="4">
        <v>205534.2432</v>
      </c>
      <c r="AC1097" s="4">
        <v>0</v>
      </c>
      <c r="AD1097" s="4">
        <v>0</v>
      </c>
      <c r="AE1097" s="4">
        <v>239806.41479517485</v>
      </c>
      <c r="AF1097" s="4">
        <v>0</v>
      </c>
      <c r="AG1097" s="4">
        <v>0</v>
      </c>
    </row>
    <row r="1098" spans="1:33" ht="11.25" customHeight="1" x14ac:dyDescent="0.25">
      <c r="A1098" s="3" t="s">
        <v>21</v>
      </c>
      <c r="B1098" s="3" t="s">
        <v>41</v>
      </c>
      <c r="C1098" s="3" t="s">
        <v>42</v>
      </c>
      <c r="D1098" s="3" t="s">
        <v>45</v>
      </c>
      <c r="E1098" s="3" t="s">
        <v>25</v>
      </c>
      <c r="F1098" s="3" t="s">
        <v>25</v>
      </c>
      <c r="G1098" s="3" t="s">
        <v>25</v>
      </c>
      <c r="H1098" s="3" t="s">
        <v>25</v>
      </c>
      <c r="I1098" s="6">
        <v>44317</v>
      </c>
      <c r="J1098" s="4">
        <v>6338</v>
      </c>
      <c r="K1098" s="56">
        <v>6338</v>
      </c>
      <c r="L1098" s="4">
        <v>0</v>
      </c>
      <c r="M1098" s="56">
        <v>0</v>
      </c>
      <c r="N1098" s="4">
        <v>0</v>
      </c>
      <c r="O1098" s="56">
        <v>0</v>
      </c>
      <c r="P1098" s="4">
        <v>55</v>
      </c>
      <c r="Q1098" s="3" t="s">
        <v>26</v>
      </c>
      <c r="R1098" s="3">
        <v>0</v>
      </c>
      <c r="S1098" s="4">
        <v>44</v>
      </c>
      <c r="T1098" s="4">
        <v>0</v>
      </c>
      <c r="U1098" s="4">
        <v>0</v>
      </c>
      <c r="V1098" s="56">
        <v>23.337599999999998</v>
      </c>
      <c r="W1098" s="56">
        <v>0</v>
      </c>
      <c r="X1098" s="56">
        <v>0</v>
      </c>
      <c r="Y1098" s="56">
        <v>27.229069466921182</v>
      </c>
      <c r="Z1098" s="56"/>
      <c r="AA1098" s="56"/>
      <c r="AB1098" s="4">
        <v>147913.70879999999</v>
      </c>
      <c r="AC1098" s="4">
        <v>0</v>
      </c>
      <c r="AD1098" s="4">
        <v>0</v>
      </c>
      <c r="AE1098" s="4">
        <v>172577.84228134644</v>
      </c>
      <c r="AF1098" s="4">
        <v>0</v>
      </c>
      <c r="AG1098" s="4">
        <v>0</v>
      </c>
    </row>
    <row r="1099" spans="1:33" ht="11.25" customHeight="1" x14ac:dyDescent="0.25">
      <c r="A1099" s="3" t="s">
        <v>27</v>
      </c>
      <c r="B1099" s="3" t="s">
        <v>41</v>
      </c>
      <c r="C1099" s="3" t="s">
        <v>42</v>
      </c>
      <c r="D1099" s="3" t="s">
        <v>45</v>
      </c>
      <c r="E1099" s="3" t="s">
        <v>25</v>
      </c>
      <c r="F1099" s="3" t="s">
        <v>25</v>
      </c>
      <c r="G1099" s="3" t="s">
        <v>25</v>
      </c>
      <c r="H1099" s="3" t="s">
        <v>25</v>
      </c>
      <c r="I1099" s="6">
        <v>44317</v>
      </c>
      <c r="J1099" s="4">
        <v>1</v>
      </c>
      <c r="K1099" s="56">
        <v>1</v>
      </c>
      <c r="L1099" s="4">
        <v>0</v>
      </c>
      <c r="M1099" s="56">
        <v>0</v>
      </c>
      <c r="N1099" s="4">
        <v>0</v>
      </c>
      <c r="O1099" s="56">
        <v>0</v>
      </c>
      <c r="P1099" s="4">
        <v>1</v>
      </c>
      <c r="Q1099" s="3" t="s">
        <v>26</v>
      </c>
      <c r="R1099" s="3">
        <v>0</v>
      </c>
      <c r="S1099" s="4">
        <v>44</v>
      </c>
      <c r="T1099" s="4">
        <v>0</v>
      </c>
      <c r="U1099" s="4">
        <v>0</v>
      </c>
      <c r="V1099" s="56">
        <v>23.337599999999998</v>
      </c>
      <c r="W1099" s="56">
        <v>0</v>
      </c>
      <c r="X1099" s="56">
        <v>0</v>
      </c>
      <c r="Y1099" s="56">
        <v>27.229069466921182</v>
      </c>
      <c r="Z1099" s="56"/>
      <c r="AA1099" s="56"/>
      <c r="AB1099" s="4">
        <v>23.337599999999998</v>
      </c>
      <c r="AC1099" s="4">
        <v>0</v>
      </c>
      <c r="AD1099" s="4">
        <v>0</v>
      </c>
      <c r="AE1099" s="4">
        <v>27.229069466921182</v>
      </c>
      <c r="AF1099" s="4">
        <v>0</v>
      </c>
      <c r="AG1099" s="4">
        <v>0</v>
      </c>
    </row>
    <row r="1100" spans="1:33" ht="11.25" customHeight="1" x14ac:dyDescent="0.25">
      <c r="A1100" s="3" t="s">
        <v>28</v>
      </c>
      <c r="B1100" s="3" t="s">
        <v>41</v>
      </c>
      <c r="C1100" s="3" t="s">
        <v>42</v>
      </c>
      <c r="D1100" s="3" t="s">
        <v>45</v>
      </c>
      <c r="E1100" s="3" t="s">
        <v>25</v>
      </c>
      <c r="F1100" s="3" t="s">
        <v>25</v>
      </c>
      <c r="G1100" s="3" t="s">
        <v>25</v>
      </c>
      <c r="H1100" s="3" t="s">
        <v>25</v>
      </c>
      <c r="I1100" s="6">
        <v>44317</v>
      </c>
      <c r="J1100" s="4">
        <v>231</v>
      </c>
      <c r="K1100" s="56">
        <v>231</v>
      </c>
      <c r="L1100" s="4">
        <v>0</v>
      </c>
      <c r="M1100" s="56">
        <v>0</v>
      </c>
      <c r="N1100" s="4">
        <v>0</v>
      </c>
      <c r="O1100" s="56">
        <v>0</v>
      </c>
      <c r="P1100" s="4">
        <v>1</v>
      </c>
      <c r="Q1100" s="3" t="s">
        <v>26</v>
      </c>
      <c r="R1100" s="3">
        <v>0</v>
      </c>
      <c r="S1100" s="4">
        <v>44</v>
      </c>
      <c r="T1100" s="4">
        <v>0</v>
      </c>
      <c r="U1100" s="4">
        <v>0</v>
      </c>
      <c r="V1100" s="56">
        <v>23.337599999999998</v>
      </c>
      <c r="W1100" s="56">
        <v>0</v>
      </c>
      <c r="X1100" s="56">
        <v>0</v>
      </c>
      <c r="Y1100" s="56">
        <v>27.229069466921182</v>
      </c>
      <c r="Z1100" s="56"/>
      <c r="AA1100" s="56"/>
      <c r="AB1100" s="4">
        <v>5390.9856</v>
      </c>
      <c r="AC1100" s="4">
        <v>0</v>
      </c>
      <c r="AD1100" s="4">
        <v>0</v>
      </c>
      <c r="AE1100" s="4">
        <v>6289.9150468587932</v>
      </c>
      <c r="AF1100" s="4">
        <v>0</v>
      </c>
      <c r="AG1100" s="4">
        <v>0</v>
      </c>
    </row>
    <row r="1101" spans="1:33" ht="11.25" customHeight="1" x14ac:dyDescent="0.25">
      <c r="A1101" s="3" t="s">
        <v>21</v>
      </c>
      <c r="B1101" s="3" t="s">
        <v>41</v>
      </c>
      <c r="C1101" s="3" t="s">
        <v>42</v>
      </c>
      <c r="D1101" s="3" t="s">
        <v>45</v>
      </c>
      <c r="E1101" s="3" t="s">
        <v>25</v>
      </c>
      <c r="F1101" s="3" t="s">
        <v>25</v>
      </c>
      <c r="G1101" s="3" t="s">
        <v>25</v>
      </c>
      <c r="H1101" s="3" t="s">
        <v>25</v>
      </c>
      <c r="I1101" s="6">
        <v>44348</v>
      </c>
      <c r="J1101" s="4">
        <v>6919</v>
      </c>
      <c r="K1101" s="56">
        <v>6919</v>
      </c>
      <c r="L1101" s="4">
        <v>0</v>
      </c>
      <c r="M1101" s="56">
        <v>0</v>
      </c>
      <c r="N1101" s="4">
        <v>0</v>
      </c>
      <c r="O1101" s="56">
        <v>0</v>
      </c>
      <c r="P1101" s="4">
        <v>58</v>
      </c>
      <c r="Q1101" s="3" t="s">
        <v>26</v>
      </c>
      <c r="R1101" s="3">
        <v>0</v>
      </c>
      <c r="S1101" s="4">
        <v>44</v>
      </c>
      <c r="T1101" s="4">
        <v>0</v>
      </c>
      <c r="U1101" s="4">
        <v>0</v>
      </c>
      <c r="V1101" s="56">
        <v>23.337599999999998</v>
      </c>
      <c r="W1101" s="56">
        <v>0</v>
      </c>
      <c r="X1101" s="56">
        <v>0</v>
      </c>
      <c r="Y1101" s="56">
        <v>27.229069466921182</v>
      </c>
      <c r="Z1101" s="56"/>
      <c r="AA1101" s="56"/>
      <c r="AB1101" s="4">
        <v>161472.85439999998</v>
      </c>
      <c r="AC1101" s="4">
        <v>0</v>
      </c>
      <c r="AD1101" s="4">
        <v>0</v>
      </c>
      <c r="AE1101" s="4">
        <v>188397.93164162766</v>
      </c>
      <c r="AF1101" s="4">
        <v>0</v>
      </c>
      <c r="AG1101" s="4">
        <v>0</v>
      </c>
    </row>
    <row r="1102" spans="1:33" ht="11.25" customHeight="1" x14ac:dyDescent="0.25">
      <c r="A1102" s="3" t="s">
        <v>28</v>
      </c>
      <c r="B1102" s="3" t="s">
        <v>41</v>
      </c>
      <c r="C1102" s="3" t="s">
        <v>42</v>
      </c>
      <c r="D1102" s="3" t="s">
        <v>45</v>
      </c>
      <c r="E1102" s="3" t="s">
        <v>25</v>
      </c>
      <c r="F1102" s="3" t="s">
        <v>25</v>
      </c>
      <c r="G1102" s="3" t="s">
        <v>25</v>
      </c>
      <c r="H1102" s="3" t="s">
        <v>25</v>
      </c>
      <c r="I1102" s="6">
        <v>44348</v>
      </c>
      <c r="J1102" s="4">
        <v>238</v>
      </c>
      <c r="K1102" s="56">
        <v>238</v>
      </c>
      <c r="L1102" s="4">
        <v>0</v>
      </c>
      <c r="M1102" s="56">
        <v>0</v>
      </c>
      <c r="N1102" s="4">
        <v>0</v>
      </c>
      <c r="O1102" s="56">
        <v>0</v>
      </c>
      <c r="P1102" s="4">
        <v>1</v>
      </c>
      <c r="Q1102" s="3" t="s">
        <v>26</v>
      </c>
      <c r="R1102" s="3">
        <v>0</v>
      </c>
      <c r="S1102" s="4">
        <v>44</v>
      </c>
      <c r="T1102" s="4">
        <v>0</v>
      </c>
      <c r="U1102" s="4">
        <v>0</v>
      </c>
      <c r="V1102" s="56">
        <v>23.337599999999998</v>
      </c>
      <c r="W1102" s="56">
        <v>0</v>
      </c>
      <c r="X1102" s="56">
        <v>0</v>
      </c>
      <c r="Y1102" s="56">
        <v>27.229069466921182</v>
      </c>
      <c r="Z1102" s="56"/>
      <c r="AA1102" s="56"/>
      <c r="AB1102" s="4">
        <v>5554.3487999999998</v>
      </c>
      <c r="AC1102" s="4">
        <v>0</v>
      </c>
      <c r="AD1102" s="4">
        <v>0</v>
      </c>
      <c r="AE1102" s="4">
        <v>6480.5185331272414</v>
      </c>
      <c r="AF1102" s="4">
        <v>0</v>
      </c>
      <c r="AG1102" s="4">
        <v>0</v>
      </c>
    </row>
    <row r="1103" spans="1:33" ht="11.25" customHeight="1" x14ac:dyDescent="0.25">
      <c r="A1103" s="3" t="s">
        <v>21</v>
      </c>
      <c r="B1103" s="3" t="s">
        <v>41</v>
      </c>
      <c r="C1103" s="3" t="s">
        <v>42</v>
      </c>
      <c r="D1103" s="3" t="s">
        <v>45</v>
      </c>
      <c r="E1103" s="3" t="s">
        <v>25</v>
      </c>
      <c r="F1103" s="3" t="s">
        <v>25</v>
      </c>
      <c r="G1103" s="3" t="s">
        <v>25</v>
      </c>
      <c r="H1103" s="3" t="s">
        <v>25</v>
      </c>
      <c r="I1103" s="6">
        <v>44378</v>
      </c>
      <c r="J1103" s="4">
        <v>5884</v>
      </c>
      <c r="K1103" s="56">
        <v>5884</v>
      </c>
      <c r="L1103" s="4">
        <v>0</v>
      </c>
      <c r="M1103" s="56">
        <v>0</v>
      </c>
      <c r="N1103" s="4">
        <v>0</v>
      </c>
      <c r="O1103" s="56">
        <v>0</v>
      </c>
      <c r="P1103" s="4">
        <v>59</v>
      </c>
      <c r="Q1103" s="3" t="s">
        <v>26</v>
      </c>
      <c r="R1103" s="3">
        <v>0</v>
      </c>
      <c r="S1103" s="4">
        <v>44</v>
      </c>
      <c r="T1103" s="4">
        <v>0</v>
      </c>
      <c r="U1103" s="4">
        <v>0</v>
      </c>
      <c r="V1103" s="56">
        <v>23.337599999999998</v>
      </c>
      <c r="W1103" s="56">
        <v>0</v>
      </c>
      <c r="X1103" s="56">
        <v>0</v>
      </c>
      <c r="Y1103" s="56">
        <v>27.229069466921182</v>
      </c>
      <c r="Z1103" s="56"/>
      <c r="AA1103" s="56"/>
      <c r="AB1103" s="4">
        <v>137318.43839999998</v>
      </c>
      <c r="AC1103" s="4">
        <v>0</v>
      </c>
      <c r="AD1103" s="4">
        <v>0</v>
      </c>
      <c r="AE1103" s="4">
        <v>160215.84474336423</v>
      </c>
      <c r="AF1103" s="4">
        <v>0</v>
      </c>
      <c r="AG1103" s="4">
        <v>0</v>
      </c>
    </row>
    <row r="1104" spans="1:33" ht="11.25" customHeight="1" x14ac:dyDescent="0.25">
      <c r="A1104" s="3" t="s">
        <v>27</v>
      </c>
      <c r="B1104" s="3" t="s">
        <v>41</v>
      </c>
      <c r="C1104" s="3" t="s">
        <v>42</v>
      </c>
      <c r="D1104" s="3" t="s">
        <v>45</v>
      </c>
      <c r="E1104" s="3" t="s">
        <v>25</v>
      </c>
      <c r="F1104" s="3" t="s">
        <v>25</v>
      </c>
      <c r="G1104" s="3" t="s">
        <v>25</v>
      </c>
      <c r="H1104" s="3" t="s">
        <v>25</v>
      </c>
      <c r="I1104" s="6">
        <v>44378</v>
      </c>
      <c r="J1104" s="4">
        <v>3</v>
      </c>
      <c r="K1104" s="56">
        <v>3</v>
      </c>
      <c r="L1104" s="4">
        <v>0</v>
      </c>
      <c r="M1104" s="56">
        <v>0</v>
      </c>
      <c r="N1104" s="4">
        <v>0</v>
      </c>
      <c r="O1104" s="56">
        <v>0</v>
      </c>
      <c r="P1104" s="4">
        <v>0</v>
      </c>
      <c r="Q1104" s="3" t="s">
        <v>26</v>
      </c>
      <c r="R1104" s="3">
        <v>0</v>
      </c>
      <c r="S1104" s="4">
        <v>44</v>
      </c>
      <c r="T1104" s="4">
        <v>0</v>
      </c>
      <c r="U1104" s="4">
        <v>0</v>
      </c>
      <c r="V1104" s="56">
        <v>23.337599999999998</v>
      </c>
      <c r="W1104" s="56">
        <v>0</v>
      </c>
      <c r="X1104" s="56">
        <v>0</v>
      </c>
      <c r="Y1104" s="56">
        <v>27.229069466921182</v>
      </c>
      <c r="Z1104" s="56"/>
      <c r="AA1104" s="56"/>
      <c r="AB1104" s="4">
        <v>70.012799999999999</v>
      </c>
      <c r="AC1104" s="4">
        <v>0</v>
      </c>
      <c r="AD1104" s="4">
        <v>0</v>
      </c>
      <c r="AE1104" s="4">
        <v>81.687208400763552</v>
      </c>
      <c r="AF1104" s="4">
        <v>0</v>
      </c>
      <c r="AG1104" s="4">
        <v>0</v>
      </c>
    </row>
    <row r="1105" spans="1:33" ht="11.25" customHeight="1" x14ac:dyDescent="0.25">
      <c r="A1105" s="3" t="s">
        <v>28</v>
      </c>
      <c r="B1105" s="3" t="s">
        <v>41</v>
      </c>
      <c r="C1105" s="3" t="s">
        <v>42</v>
      </c>
      <c r="D1105" s="3" t="s">
        <v>45</v>
      </c>
      <c r="E1105" s="3" t="s">
        <v>25</v>
      </c>
      <c r="F1105" s="3" t="s">
        <v>25</v>
      </c>
      <c r="G1105" s="3" t="s">
        <v>25</v>
      </c>
      <c r="H1105" s="3" t="s">
        <v>25</v>
      </c>
      <c r="I1105" s="6">
        <v>44378</v>
      </c>
      <c r="J1105" s="4">
        <v>206</v>
      </c>
      <c r="K1105" s="56">
        <v>206</v>
      </c>
      <c r="L1105" s="4">
        <v>0</v>
      </c>
      <c r="M1105" s="56">
        <v>0</v>
      </c>
      <c r="N1105" s="4">
        <v>0</v>
      </c>
      <c r="O1105" s="56">
        <v>0</v>
      </c>
      <c r="P1105" s="4">
        <v>1</v>
      </c>
      <c r="Q1105" s="3" t="s">
        <v>26</v>
      </c>
      <c r="R1105" s="3">
        <v>0</v>
      </c>
      <c r="S1105" s="4">
        <v>44</v>
      </c>
      <c r="T1105" s="4">
        <v>0</v>
      </c>
      <c r="U1105" s="4">
        <v>0</v>
      </c>
      <c r="V1105" s="56">
        <v>23.337599999999998</v>
      </c>
      <c r="W1105" s="56">
        <v>0</v>
      </c>
      <c r="X1105" s="56">
        <v>0</v>
      </c>
      <c r="Y1105" s="56">
        <v>27.229069466921182</v>
      </c>
      <c r="Z1105" s="56"/>
      <c r="AA1105" s="56"/>
      <c r="AB1105" s="4">
        <v>4807.5455999999995</v>
      </c>
      <c r="AC1105" s="4">
        <v>0</v>
      </c>
      <c r="AD1105" s="4">
        <v>0</v>
      </c>
      <c r="AE1105" s="4">
        <v>5609.1883101857638</v>
      </c>
      <c r="AF1105" s="4">
        <v>0</v>
      </c>
      <c r="AG1105" s="4">
        <v>0</v>
      </c>
    </row>
    <row r="1106" spans="1:33" ht="11.25" customHeight="1" x14ac:dyDescent="0.25">
      <c r="A1106" s="3" t="s">
        <v>21</v>
      </c>
      <c r="B1106" s="3" t="s">
        <v>41</v>
      </c>
      <c r="C1106" s="3" t="s">
        <v>42</v>
      </c>
      <c r="D1106" s="3" t="s">
        <v>45</v>
      </c>
      <c r="E1106" s="3" t="s">
        <v>25</v>
      </c>
      <c r="F1106" s="3" t="s">
        <v>25</v>
      </c>
      <c r="G1106" s="3" t="s">
        <v>25</v>
      </c>
      <c r="H1106" s="3" t="s">
        <v>25</v>
      </c>
      <c r="I1106" s="6">
        <v>44409</v>
      </c>
      <c r="J1106" s="4">
        <v>7219</v>
      </c>
      <c r="K1106" s="56">
        <v>7219</v>
      </c>
      <c r="L1106" s="4">
        <v>0</v>
      </c>
      <c r="M1106" s="56">
        <v>0</v>
      </c>
      <c r="N1106" s="4">
        <v>0</v>
      </c>
      <c r="O1106" s="56">
        <v>0</v>
      </c>
      <c r="P1106" s="4">
        <v>64</v>
      </c>
      <c r="Q1106" s="3" t="s">
        <v>26</v>
      </c>
      <c r="R1106" s="3">
        <v>0</v>
      </c>
      <c r="S1106" s="4">
        <v>44</v>
      </c>
      <c r="T1106" s="4">
        <v>0</v>
      </c>
      <c r="U1106" s="4">
        <v>0</v>
      </c>
      <c r="V1106" s="56">
        <v>23.337599999999998</v>
      </c>
      <c r="W1106" s="56">
        <v>0</v>
      </c>
      <c r="X1106" s="56">
        <v>0</v>
      </c>
      <c r="Y1106" s="56">
        <v>27.229069466921182</v>
      </c>
      <c r="Z1106" s="56"/>
      <c r="AA1106" s="56"/>
      <c r="AB1106" s="4">
        <v>168474.13439999998</v>
      </c>
      <c r="AC1106" s="4">
        <v>0</v>
      </c>
      <c r="AD1106" s="4">
        <v>0</v>
      </c>
      <c r="AE1106" s="4">
        <v>196566.65248170402</v>
      </c>
      <c r="AF1106" s="4">
        <v>0</v>
      </c>
      <c r="AG1106" s="4">
        <v>0</v>
      </c>
    </row>
    <row r="1107" spans="1:33" ht="11.25" customHeight="1" x14ac:dyDescent="0.25">
      <c r="A1107" s="3" t="s">
        <v>27</v>
      </c>
      <c r="B1107" s="3" t="s">
        <v>41</v>
      </c>
      <c r="C1107" s="3" t="s">
        <v>42</v>
      </c>
      <c r="D1107" s="3" t="s">
        <v>45</v>
      </c>
      <c r="E1107" s="3" t="s">
        <v>25</v>
      </c>
      <c r="F1107" s="3" t="s">
        <v>25</v>
      </c>
      <c r="G1107" s="3" t="s">
        <v>25</v>
      </c>
      <c r="H1107" s="3" t="s">
        <v>25</v>
      </c>
      <c r="I1107" s="6">
        <v>44409</v>
      </c>
      <c r="J1107" s="4">
        <v>2</v>
      </c>
      <c r="K1107" s="56">
        <v>2</v>
      </c>
      <c r="L1107" s="4">
        <v>0</v>
      </c>
      <c r="M1107" s="56">
        <v>0</v>
      </c>
      <c r="N1107" s="4">
        <v>0</v>
      </c>
      <c r="O1107" s="56">
        <v>0</v>
      </c>
      <c r="P1107" s="4">
        <v>-2</v>
      </c>
      <c r="Q1107" s="3" t="s">
        <v>26</v>
      </c>
      <c r="R1107" s="3">
        <v>0</v>
      </c>
      <c r="S1107" s="4">
        <v>44</v>
      </c>
      <c r="T1107" s="4">
        <v>0</v>
      </c>
      <c r="U1107" s="4">
        <v>0</v>
      </c>
      <c r="V1107" s="56">
        <v>23.337599999999998</v>
      </c>
      <c r="W1107" s="56">
        <v>0</v>
      </c>
      <c r="X1107" s="56">
        <v>0</v>
      </c>
      <c r="Y1107" s="56">
        <v>27.229069466921182</v>
      </c>
      <c r="Z1107" s="56"/>
      <c r="AA1107" s="56"/>
      <c r="AB1107" s="4">
        <v>46.675199999999997</v>
      </c>
      <c r="AC1107" s="4">
        <v>0</v>
      </c>
      <c r="AD1107" s="4">
        <v>0</v>
      </c>
      <c r="AE1107" s="4">
        <v>54.458138933842363</v>
      </c>
      <c r="AF1107" s="4">
        <v>0</v>
      </c>
      <c r="AG1107" s="4">
        <v>0</v>
      </c>
    </row>
    <row r="1108" spans="1:33" ht="11.25" customHeight="1" x14ac:dyDescent="0.25">
      <c r="A1108" s="3" t="s">
        <v>28</v>
      </c>
      <c r="B1108" s="3" t="s">
        <v>41</v>
      </c>
      <c r="C1108" s="3" t="s">
        <v>42</v>
      </c>
      <c r="D1108" s="3" t="s">
        <v>45</v>
      </c>
      <c r="E1108" s="3" t="s">
        <v>25</v>
      </c>
      <c r="F1108" s="3" t="s">
        <v>25</v>
      </c>
      <c r="G1108" s="3" t="s">
        <v>25</v>
      </c>
      <c r="H1108" s="3" t="s">
        <v>25</v>
      </c>
      <c r="I1108" s="6">
        <v>44409</v>
      </c>
      <c r="J1108" s="4">
        <v>203</v>
      </c>
      <c r="K1108" s="56">
        <v>203</v>
      </c>
      <c r="L1108" s="4">
        <v>0</v>
      </c>
      <c r="M1108" s="56">
        <v>0</v>
      </c>
      <c r="N1108" s="4">
        <v>0</v>
      </c>
      <c r="O1108" s="56">
        <v>0</v>
      </c>
      <c r="P1108" s="4">
        <v>1</v>
      </c>
      <c r="Q1108" s="3" t="s">
        <v>26</v>
      </c>
      <c r="R1108" s="3">
        <v>0</v>
      </c>
      <c r="S1108" s="4">
        <v>44</v>
      </c>
      <c r="T1108" s="4">
        <v>0</v>
      </c>
      <c r="U1108" s="4">
        <v>0</v>
      </c>
      <c r="V1108" s="56">
        <v>23.337599999999998</v>
      </c>
      <c r="W1108" s="56">
        <v>0</v>
      </c>
      <c r="X1108" s="56">
        <v>0</v>
      </c>
      <c r="Y1108" s="56">
        <v>27.229069466921182</v>
      </c>
      <c r="Z1108" s="56"/>
      <c r="AA1108" s="56"/>
      <c r="AB1108" s="4">
        <v>4737.5328</v>
      </c>
      <c r="AC1108" s="4">
        <v>0</v>
      </c>
      <c r="AD1108" s="4">
        <v>0</v>
      </c>
      <c r="AE1108" s="4">
        <v>5527.5011017850002</v>
      </c>
      <c r="AF1108" s="4">
        <v>0</v>
      </c>
      <c r="AG1108" s="4">
        <v>0</v>
      </c>
    </row>
    <row r="1109" spans="1:33" ht="11.25" customHeight="1" x14ac:dyDescent="0.25">
      <c r="A1109" s="3" t="s">
        <v>21</v>
      </c>
      <c r="B1109" s="3" t="s">
        <v>41</v>
      </c>
      <c r="C1109" s="3" t="s">
        <v>42</v>
      </c>
      <c r="D1109" s="3" t="s">
        <v>45</v>
      </c>
      <c r="E1109" s="3" t="s">
        <v>25</v>
      </c>
      <c r="F1109" s="3" t="s">
        <v>25</v>
      </c>
      <c r="G1109" s="3" t="s">
        <v>25</v>
      </c>
      <c r="H1109" s="3" t="s">
        <v>25</v>
      </c>
      <c r="I1109" s="6">
        <v>44440</v>
      </c>
      <c r="J1109" s="4">
        <v>8743</v>
      </c>
      <c r="K1109" s="56">
        <v>8743</v>
      </c>
      <c r="L1109" s="4">
        <v>0</v>
      </c>
      <c r="M1109" s="56">
        <v>0</v>
      </c>
      <c r="N1109" s="4">
        <v>0</v>
      </c>
      <c r="O1109" s="56">
        <v>0</v>
      </c>
      <c r="P1109" s="4">
        <v>55</v>
      </c>
      <c r="Q1109" s="3" t="s">
        <v>26</v>
      </c>
      <c r="R1109" s="3">
        <v>0</v>
      </c>
      <c r="S1109" s="4">
        <v>44</v>
      </c>
      <c r="T1109" s="4">
        <v>0</v>
      </c>
      <c r="U1109" s="4">
        <v>0</v>
      </c>
      <c r="V1109" s="56">
        <v>23.337599999999998</v>
      </c>
      <c r="W1109" s="56">
        <v>0</v>
      </c>
      <c r="X1109" s="56">
        <v>0</v>
      </c>
      <c r="Y1109" s="56">
        <v>27.229069466921182</v>
      </c>
      <c r="Z1109" s="56"/>
      <c r="AA1109" s="56"/>
      <c r="AB1109" s="4">
        <v>204040.63679999998</v>
      </c>
      <c r="AC1109" s="4">
        <v>0</v>
      </c>
      <c r="AD1109" s="4">
        <v>0</v>
      </c>
      <c r="AE1109" s="4">
        <v>238063.75434929188</v>
      </c>
      <c r="AF1109" s="4">
        <v>0</v>
      </c>
      <c r="AG1109" s="4">
        <v>0</v>
      </c>
    </row>
    <row r="1110" spans="1:33" ht="11.25" customHeight="1" x14ac:dyDescent="0.25">
      <c r="A1110" s="3" t="s">
        <v>28</v>
      </c>
      <c r="B1110" s="3" t="s">
        <v>41</v>
      </c>
      <c r="C1110" s="3" t="s">
        <v>42</v>
      </c>
      <c r="D1110" s="3" t="s">
        <v>45</v>
      </c>
      <c r="E1110" s="3" t="s">
        <v>25</v>
      </c>
      <c r="F1110" s="3" t="s">
        <v>25</v>
      </c>
      <c r="G1110" s="3" t="s">
        <v>25</v>
      </c>
      <c r="H1110" s="3" t="s">
        <v>25</v>
      </c>
      <c r="I1110" s="6">
        <v>44440</v>
      </c>
      <c r="J1110" s="4">
        <v>171</v>
      </c>
      <c r="K1110" s="56">
        <v>171</v>
      </c>
      <c r="L1110" s="4">
        <v>0</v>
      </c>
      <c r="M1110" s="56">
        <v>0</v>
      </c>
      <c r="N1110" s="4">
        <v>0</v>
      </c>
      <c r="O1110" s="56">
        <v>0</v>
      </c>
      <c r="P1110" s="4">
        <v>1</v>
      </c>
      <c r="Q1110" s="3" t="s">
        <v>26</v>
      </c>
      <c r="R1110" s="3">
        <v>0</v>
      </c>
      <c r="S1110" s="4">
        <v>44</v>
      </c>
      <c r="T1110" s="4">
        <v>0</v>
      </c>
      <c r="U1110" s="4">
        <v>0</v>
      </c>
      <c r="V1110" s="56">
        <v>23.337599999999998</v>
      </c>
      <c r="W1110" s="56">
        <v>0</v>
      </c>
      <c r="X1110" s="56">
        <v>0</v>
      </c>
      <c r="Y1110" s="56">
        <v>27.229069466921182</v>
      </c>
      <c r="Z1110" s="56"/>
      <c r="AA1110" s="56"/>
      <c r="AB1110" s="4">
        <v>3990.7295999999997</v>
      </c>
      <c r="AC1110" s="4">
        <v>0</v>
      </c>
      <c r="AD1110" s="4">
        <v>0</v>
      </c>
      <c r="AE1110" s="4">
        <v>4656.1708788435217</v>
      </c>
      <c r="AF1110" s="4">
        <v>0</v>
      </c>
      <c r="AG1110" s="4">
        <v>0</v>
      </c>
    </row>
    <row r="1111" spans="1:33" ht="11.25" customHeight="1" x14ac:dyDescent="0.25">
      <c r="A1111" s="3" t="s">
        <v>21</v>
      </c>
      <c r="B1111" s="3" t="s">
        <v>41</v>
      </c>
      <c r="C1111" s="3" t="s">
        <v>42</v>
      </c>
      <c r="D1111" s="3" t="s">
        <v>45</v>
      </c>
      <c r="E1111" s="3" t="s">
        <v>25</v>
      </c>
      <c r="F1111" s="3" t="s">
        <v>25</v>
      </c>
      <c r="G1111" s="3" t="s">
        <v>25</v>
      </c>
      <c r="H1111" s="3" t="s">
        <v>25</v>
      </c>
      <c r="I1111" s="6">
        <v>44470</v>
      </c>
      <c r="J1111" s="4">
        <v>9526</v>
      </c>
      <c r="K1111" s="56">
        <v>9526</v>
      </c>
      <c r="L1111" s="4">
        <v>0</v>
      </c>
      <c r="M1111" s="56">
        <v>0</v>
      </c>
      <c r="N1111" s="4">
        <v>0</v>
      </c>
      <c r="O1111" s="56">
        <v>0</v>
      </c>
      <c r="P1111" s="4">
        <v>51</v>
      </c>
      <c r="Q1111" s="3" t="s">
        <v>26</v>
      </c>
      <c r="R1111" s="3">
        <v>0</v>
      </c>
      <c r="S1111" s="4">
        <v>44</v>
      </c>
      <c r="T1111" s="4">
        <v>0</v>
      </c>
      <c r="U1111" s="4">
        <v>0</v>
      </c>
      <c r="V1111" s="56">
        <v>23.337599999999998</v>
      </c>
      <c r="W1111" s="56">
        <v>0</v>
      </c>
      <c r="X1111" s="56">
        <v>0</v>
      </c>
      <c r="Y1111" s="56">
        <v>27.229069466921182</v>
      </c>
      <c r="Z1111" s="56"/>
      <c r="AA1111" s="56"/>
      <c r="AB1111" s="4">
        <v>222313.97759999998</v>
      </c>
      <c r="AC1111" s="4">
        <v>0</v>
      </c>
      <c r="AD1111" s="4">
        <v>0</v>
      </c>
      <c r="AE1111" s="4">
        <v>259384.11574189118</v>
      </c>
      <c r="AF1111" s="4">
        <v>0</v>
      </c>
      <c r="AG1111" s="4">
        <v>0</v>
      </c>
    </row>
    <row r="1112" spans="1:33" ht="11.25" customHeight="1" x14ac:dyDescent="0.25">
      <c r="A1112" s="3" t="s">
        <v>28</v>
      </c>
      <c r="B1112" s="3" t="s">
        <v>41</v>
      </c>
      <c r="C1112" s="3" t="s">
        <v>42</v>
      </c>
      <c r="D1112" s="3" t="s">
        <v>45</v>
      </c>
      <c r="E1112" s="3" t="s">
        <v>25</v>
      </c>
      <c r="F1112" s="3" t="s">
        <v>25</v>
      </c>
      <c r="G1112" s="3" t="s">
        <v>25</v>
      </c>
      <c r="H1112" s="3" t="s">
        <v>25</v>
      </c>
      <c r="I1112" s="6">
        <v>44470</v>
      </c>
      <c r="J1112" s="4">
        <v>234</v>
      </c>
      <c r="K1112" s="56">
        <v>234</v>
      </c>
      <c r="L1112" s="4">
        <v>0</v>
      </c>
      <c r="M1112" s="56">
        <v>0</v>
      </c>
      <c r="N1112" s="4">
        <v>0</v>
      </c>
      <c r="O1112" s="56">
        <v>0</v>
      </c>
      <c r="P1112" s="4">
        <v>1</v>
      </c>
      <c r="Q1112" s="3" t="s">
        <v>26</v>
      </c>
      <c r="R1112" s="3">
        <v>0</v>
      </c>
      <c r="S1112" s="4">
        <v>44</v>
      </c>
      <c r="T1112" s="4">
        <v>0</v>
      </c>
      <c r="U1112" s="4">
        <v>0</v>
      </c>
      <c r="V1112" s="56">
        <v>23.337599999999998</v>
      </c>
      <c r="W1112" s="56">
        <v>0</v>
      </c>
      <c r="X1112" s="56">
        <v>0</v>
      </c>
      <c r="Y1112" s="56">
        <v>27.229069466921182</v>
      </c>
      <c r="Z1112" s="56"/>
      <c r="AA1112" s="56"/>
      <c r="AB1112" s="4">
        <v>5460.9983999999995</v>
      </c>
      <c r="AC1112" s="4">
        <v>0</v>
      </c>
      <c r="AD1112" s="4">
        <v>0</v>
      </c>
      <c r="AE1112" s="4">
        <v>6371.6022552595568</v>
      </c>
      <c r="AF1112" s="4">
        <v>0</v>
      </c>
      <c r="AG1112" s="4">
        <v>0</v>
      </c>
    </row>
    <row r="1113" spans="1:33" ht="11.25" customHeight="1" x14ac:dyDescent="0.25">
      <c r="A1113" s="3" t="s">
        <v>21</v>
      </c>
      <c r="B1113" s="3" t="s">
        <v>41</v>
      </c>
      <c r="C1113" s="3" t="s">
        <v>42</v>
      </c>
      <c r="D1113" s="3" t="s">
        <v>45</v>
      </c>
      <c r="E1113" s="3" t="s">
        <v>25</v>
      </c>
      <c r="F1113" s="3" t="s">
        <v>25</v>
      </c>
      <c r="G1113" s="3" t="s">
        <v>25</v>
      </c>
      <c r="H1113" s="3" t="s">
        <v>25</v>
      </c>
      <c r="I1113" s="6">
        <v>44501</v>
      </c>
      <c r="J1113" s="4">
        <v>9001</v>
      </c>
      <c r="K1113" s="56">
        <v>9001</v>
      </c>
      <c r="L1113" s="4">
        <v>0</v>
      </c>
      <c r="M1113" s="56">
        <v>0</v>
      </c>
      <c r="N1113" s="4">
        <v>0</v>
      </c>
      <c r="O1113" s="56">
        <v>0</v>
      </c>
      <c r="P1113" s="4">
        <v>51</v>
      </c>
      <c r="Q1113" s="3" t="s">
        <v>26</v>
      </c>
      <c r="R1113" s="3">
        <v>0</v>
      </c>
      <c r="S1113" s="4">
        <v>44</v>
      </c>
      <c r="T1113" s="4">
        <v>0</v>
      </c>
      <c r="U1113" s="4">
        <v>0</v>
      </c>
      <c r="V1113" s="56">
        <v>23.337599999999998</v>
      </c>
      <c r="W1113" s="56">
        <v>0</v>
      </c>
      <c r="X1113" s="56">
        <v>0</v>
      </c>
      <c r="Y1113" s="56">
        <v>27.229069466921182</v>
      </c>
      <c r="Z1113" s="56"/>
      <c r="AA1113" s="56"/>
      <c r="AB1113" s="4">
        <v>210061.73759999999</v>
      </c>
      <c r="AC1113" s="4">
        <v>0</v>
      </c>
      <c r="AD1113" s="4">
        <v>0</v>
      </c>
      <c r="AE1113" s="4">
        <v>245088.85427175756</v>
      </c>
      <c r="AF1113" s="4">
        <v>0</v>
      </c>
      <c r="AG1113" s="4">
        <v>0</v>
      </c>
    </row>
    <row r="1114" spans="1:33" ht="11.25" customHeight="1" x14ac:dyDescent="0.25">
      <c r="A1114" s="3" t="s">
        <v>28</v>
      </c>
      <c r="B1114" s="3" t="s">
        <v>41</v>
      </c>
      <c r="C1114" s="3" t="s">
        <v>42</v>
      </c>
      <c r="D1114" s="3" t="s">
        <v>45</v>
      </c>
      <c r="E1114" s="3" t="s">
        <v>25</v>
      </c>
      <c r="F1114" s="3" t="s">
        <v>25</v>
      </c>
      <c r="G1114" s="3" t="s">
        <v>25</v>
      </c>
      <c r="H1114" s="3" t="s">
        <v>25</v>
      </c>
      <c r="I1114" s="6">
        <v>44501</v>
      </c>
      <c r="J1114" s="4">
        <v>227</v>
      </c>
      <c r="K1114" s="56">
        <v>227</v>
      </c>
      <c r="L1114" s="4">
        <v>0</v>
      </c>
      <c r="M1114" s="56">
        <v>0</v>
      </c>
      <c r="N1114" s="4">
        <v>0</v>
      </c>
      <c r="O1114" s="56">
        <v>0</v>
      </c>
      <c r="P1114" s="4">
        <v>1</v>
      </c>
      <c r="Q1114" s="3" t="s">
        <v>26</v>
      </c>
      <c r="R1114" s="3">
        <v>0</v>
      </c>
      <c r="S1114" s="4">
        <v>44</v>
      </c>
      <c r="T1114" s="4">
        <v>0</v>
      </c>
      <c r="U1114" s="4">
        <v>0</v>
      </c>
      <c r="V1114" s="56">
        <v>23.337599999999998</v>
      </c>
      <c r="W1114" s="56">
        <v>0</v>
      </c>
      <c r="X1114" s="56">
        <v>0</v>
      </c>
      <c r="Y1114" s="56">
        <v>27.229069466921182</v>
      </c>
      <c r="Z1114" s="56"/>
      <c r="AA1114" s="56"/>
      <c r="AB1114" s="4">
        <v>5297.6351999999997</v>
      </c>
      <c r="AC1114" s="4">
        <v>0</v>
      </c>
      <c r="AD1114" s="4">
        <v>0</v>
      </c>
      <c r="AE1114" s="4">
        <v>6180.9987689911086</v>
      </c>
      <c r="AF1114" s="4">
        <v>0</v>
      </c>
      <c r="AG1114" s="4">
        <v>0</v>
      </c>
    </row>
    <row r="1115" spans="1:33" ht="11.25" customHeight="1" x14ac:dyDescent="0.25">
      <c r="A1115" s="3" t="s">
        <v>21</v>
      </c>
      <c r="B1115" s="3" t="s">
        <v>41</v>
      </c>
      <c r="C1115" s="3" t="s">
        <v>42</v>
      </c>
      <c r="D1115" s="3" t="s">
        <v>45</v>
      </c>
      <c r="E1115" s="3" t="s">
        <v>25</v>
      </c>
      <c r="F1115" s="3" t="s">
        <v>25</v>
      </c>
      <c r="G1115" s="3" t="s">
        <v>25</v>
      </c>
      <c r="H1115" s="3" t="s">
        <v>25</v>
      </c>
      <c r="I1115" s="6">
        <v>44531</v>
      </c>
      <c r="J1115" s="4">
        <v>7799</v>
      </c>
      <c r="K1115" s="56">
        <v>7799</v>
      </c>
      <c r="L1115" s="4">
        <v>0</v>
      </c>
      <c r="M1115" s="56">
        <v>0</v>
      </c>
      <c r="N1115" s="4">
        <v>0</v>
      </c>
      <c r="O1115" s="56">
        <v>0</v>
      </c>
      <c r="P1115" s="4">
        <v>47</v>
      </c>
      <c r="Q1115" s="3" t="s">
        <v>26</v>
      </c>
      <c r="R1115" s="3">
        <v>0</v>
      </c>
      <c r="S1115" s="4">
        <v>44</v>
      </c>
      <c r="T1115" s="4">
        <v>0</v>
      </c>
      <c r="U1115" s="4">
        <v>0</v>
      </c>
      <c r="V1115" s="56">
        <v>23.337599999999998</v>
      </c>
      <c r="W1115" s="56">
        <v>0</v>
      </c>
      <c r="X1115" s="56">
        <v>0</v>
      </c>
      <c r="Y1115" s="56">
        <v>27.229069466921182</v>
      </c>
      <c r="Z1115" s="56"/>
      <c r="AA1115" s="56"/>
      <c r="AB1115" s="4">
        <v>182009.9424</v>
      </c>
      <c r="AC1115" s="4">
        <v>0</v>
      </c>
      <c r="AD1115" s="4">
        <v>0</v>
      </c>
      <c r="AE1115" s="4">
        <v>212359.5127725183</v>
      </c>
      <c r="AF1115" s="4">
        <v>0</v>
      </c>
      <c r="AG1115" s="4">
        <v>0</v>
      </c>
    </row>
    <row r="1116" spans="1:33" ht="11.25" customHeight="1" x14ac:dyDescent="0.25">
      <c r="A1116" s="3" t="s">
        <v>28</v>
      </c>
      <c r="B1116" s="3" t="s">
        <v>41</v>
      </c>
      <c r="C1116" s="3" t="s">
        <v>42</v>
      </c>
      <c r="D1116" s="3" t="s">
        <v>45</v>
      </c>
      <c r="E1116" s="3" t="s">
        <v>25</v>
      </c>
      <c r="F1116" s="3" t="s">
        <v>25</v>
      </c>
      <c r="G1116" s="3" t="s">
        <v>25</v>
      </c>
      <c r="H1116" s="3" t="s">
        <v>25</v>
      </c>
      <c r="I1116" s="6">
        <v>44531</v>
      </c>
      <c r="J1116" s="4">
        <v>206</v>
      </c>
      <c r="K1116" s="56">
        <v>206</v>
      </c>
      <c r="L1116" s="4">
        <v>0</v>
      </c>
      <c r="M1116" s="56">
        <v>0</v>
      </c>
      <c r="N1116" s="4">
        <v>0</v>
      </c>
      <c r="O1116" s="56">
        <v>0</v>
      </c>
      <c r="P1116" s="4">
        <v>1</v>
      </c>
      <c r="Q1116" s="3" t="s">
        <v>26</v>
      </c>
      <c r="R1116" s="3">
        <v>0</v>
      </c>
      <c r="S1116" s="4">
        <v>44</v>
      </c>
      <c r="T1116" s="4">
        <v>0</v>
      </c>
      <c r="U1116" s="4">
        <v>0</v>
      </c>
      <c r="V1116" s="56">
        <v>23.337599999999998</v>
      </c>
      <c r="W1116" s="56">
        <v>0</v>
      </c>
      <c r="X1116" s="56">
        <v>0</v>
      </c>
      <c r="Y1116" s="56">
        <v>27.229069466921182</v>
      </c>
      <c r="Z1116" s="56"/>
      <c r="AA1116" s="56"/>
      <c r="AB1116" s="4">
        <v>4807.5455999999995</v>
      </c>
      <c r="AC1116" s="4">
        <v>0</v>
      </c>
      <c r="AD1116" s="4">
        <v>0</v>
      </c>
      <c r="AE1116" s="4">
        <v>5609.1883101857638</v>
      </c>
      <c r="AF1116" s="4">
        <v>0</v>
      </c>
      <c r="AG1116" s="4">
        <v>0</v>
      </c>
    </row>
    <row r="1117" spans="1:33" ht="11.25" customHeight="1" x14ac:dyDescent="0.25">
      <c r="A1117" s="3" t="s">
        <v>21</v>
      </c>
      <c r="B1117" s="3" t="s">
        <v>41</v>
      </c>
      <c r="C1117" s="3" t="s">
        <v>42</v>
      </c>
      <c r="D1117" s="3" t="s">
        <v>45</v>
      </c>
      <c r="E1117" s="3" t="s">
        <v>25</v>
      </c>
      <c r="F1117" s="3" t="s">
        <v>25</v>
      </c>
      <c r="G1117" s="3" t="s">
        <v>25</v>
      </c>
      <c r="H1117" s="3" t="s">
        <v>25</v>
      </c>
      <c r="I1117" s="6">
        <v>44562</v>
      </c>
      <c r="J1117" s="4">
        <v>8140</v>
      </c>
      <c r="K1117" s="56">
        <v>8140</v>
      </c>
      <c r="L1117" s="4">
        <v>0</v>
      </c>
      <c r="M1117" s="56">
        <v>0</v>
      </c>
      <c r="N1117" s="4">
        <v>0</v>
      </c>
      <c r="O1117" s="56">
        <v>0</v>
      </c>
      <c r="P1117" s="4">
        <v>44</v>
      </c>
      <c r="Q1117" s="3" t="s">
        <v>26</v>
      </c>
      <c r="R1117" s="3">
        <v>0</v>
      </c>
      <c r="S1117" s="4">
        <v>44</v>
      </c>
      <c r="T1117" s="4">
        <v>0</v>
      </c>
      <c r="U1117" s="4">
        <v>0</v>
      </c>
      <c r="V1117" s="56">
        <v>23.337599999999998</v>
      </c>
      <c r="W1117" s="56">
        <v>0</v>
      </c>
      <c r="X1117" s="56">
        <v>0</v>
      </c>
      <c r="Y1117" s="56">
        <v>27.229069466921182</v>
      </c>
      <c r="Z1117" s="56"/>
      <c r="AA1117" s="56"/>
      <c r="AB1117" s="4">
        <v>189968.06399999998</v>
      </c>
      <c r="AC1117" s="4">
        <v>0</v>
      </c>
      <c r="AD1117" s="4">
        <v>0</v>
      </c>
      <c r="AE1117" s="4">
        <v>221644.62546073843</v>
      </c>
      <c r="AF1117" s="4">
        <v>0</v>
      </c>
      <c r="AG1117" s="4">
        <v>0</v>
      </c>
    </row>
    <row r="1118" spans="1:33" ht="11.25" customHeight="1" x14ac:dyDescent="0.25">
      <c r="A1118" s="3" t="s">
        <v>27</v>
      </c>
      <c r="B1118" s="3" t="s">
        <v>41</v>
      </c>
      <c r="C1118" s="3" t="s">
        <v>42</v>
      </c>
      <c r="D1118" s="3" t="s">
        <v>45</v>
      </c>
      <c r="E1118" s="3" t="s">
        <v>25</v>
      </c>
      <c r="F1118" s="3" t="s">
        <v>25</v>
      </c>
      <c r="G1118" s="3" t="s">
        <v>25</v>
      </c>
      <c r="H1118" s="3" t="s">
        <v>25</v>
      </c>
      <c r="I1118" s="6">
        <v>44562</v>
      </c>
      <c r="J1118" s="4">
        <v>-414</v>
      </c>
      <c r="K1118" s="56">
        <v>-414</v>
      </c>
      <c r="L1118" s="4">
        <v>0</v>
      </c>
      <c r="M1118" s="56">
        <v>0</v>
      </c>
      <c r="N1118" s="4">
        <v>0</v>
      </c>
      <c r="O1118" s="56">
        <v>0</v>
      </c>
      <c r="P1118" s="4">
        <v>-4</v>
      </c>
      <c r="Q1118" s="3" t="s">
        <v>26</v>
      </c>
      <c r="R1118" s="3">
        <v>0</v>
      </c>
      <c r="S1118" s="4">
        <v>44</v>
      </c>
      <c r="T1118" s="4">
        <v>0</v>
      </c>
      <c r="U1118" s="4">
        <v>0</v>
      </c>
      <c r="V1118" s="56">
        <v>23.337599999999998</v>
      </c>
      <c r="W1118" s="56">
        <v>0</v>
      </c>
      <c r="X1118" s="56">
        <v>0</v>
      </c>
      <c r="Y1118" s="56">
        <v>27.229069466921182</v>
      </c>
      <c r="Z1118" s="56"/>
      <c r="AA1118" s="56"/>
      <c r="AB1118" s="4">
        <v>-9661.7663999999986</v>
      </c>
      <c r="AC1118" s="4">
        <v>0</v>
      </c>
      <c r="AD1118" s="4">
        <v>0</v>
      </c>
      <c r="AE1118" s="4">
        <v>-11272.83475930537</v>
      </c>
      <c r="AF1118" s="4">
        <v>0</v>
      </c>
      <c r="AG1118" s="4">
        <v>0</v>
      </c>
    </row>
    <row r="1119" spans="1:33" ht="11.25" customHeight="1" x14ac:dyDescent="0.25">
      <c r="A1119" s="3" t="s">
        <v>28</v>
      </c>
      <c r="B1119" s="3" t="s">
        <v>41</v>
      </c>
      <c r="C1119" s="3" t="s">
        <v>42</v>
      </c>
      <c r="D1119" s="3" t="s">
        <v>45</v>
      </c>
      <c r="E1119" s="3" t="s">
        <v>25</v>
      </c>
      <c r="F1119" s="3" t="s">
        <v>25</v>
      </c>
      <c r="G1119" s="3" t="s">
        <v>25</v>
      </c>
      <c r="H1119" s="3" t="s">
        <v>25</v>
      </c>
      <c r="I1119" s="6">
        <v>44562</v>
      </c>
      <c r="J1119" s="4">
        <v>179</v>
      </c>
      <c r="K1119" s="56">
        <v>179</v>
      </c>
      <c r="L1119" s="4">
        <v>0</v>
      </c>
      <c r="M1119" s="56">
        <v>0</v>
      </c>
      <c r="N1119" s="4">
        <v>0</v>
      </c>
      <c r="O1119" s="56">
        <v>0</v>
      </c>
      <c r="P1119" s="4">
        <v>1</v>
      </c>
      <c r="Q1119" s="3" t="s">
        <v>26</v>
      </c>
      <c r="R1119" s="3">
        <v>0</v>
      </c>
      <c r="S1119" s="4">
        <v>44</v>
      </c>
      <c r="T1119" s="4">
        <v>0</v>
      </c>
      <c r="U1119" s="4">
        <v>0</v>
      </c>
      <c r="V1119" s="56">
        <v>23.337599999999998</v>
      </c>
      <c r="W1119" s="56">
        <v>0</v>
      </c>
      <c r="X1119" s="56">
        <v>0</v>
      </c>
      <c r="Y1119" s="56">
        <v>27.229069466921182</v>
      </c>
      <c r="Z1119" s="56"/>
      <c r="AA1119" s="56"/>
      <c r="AB1119" s="4">
        <v>4177.4303999999993</v>
      </c>
      <c r="AC1119" s="4">
        <v>0</v>
      </c>
      <c r="AD1119" s="4">
        <v>0</v>
      </c>
      <c r="AE1119" s="4">
        <v>4874.0034345788918</v>
      </c>
      <c r="AF1119" s="4">
        <v>0</v>
      </c>
      <c r="AG1119" s="4">
        <v>0</v>
      </c>
    </row>
    <row r="1120" spans="1:33" ht="11.25" customHeight="1" x14ac:dyDescent="0.25">
      <c r="A1120" s="3" t="s">
        <v>21</v>
      </c>
      <c r="B1120" s="3" t="s">
        <v>41</v>
      </c>
      <c r="C1120" s="3" t="s">
        <v>42</v>
      </c>
      <c r="D1120" s="3" t="s">
        <v>45</v>
      </c>
      <c r="E1120" s="3" t="s">
        <v>25</v>
      </c>
      <c r="F1120" s="3" t="s">
        <v>25</v>
      </c>
      <c r="G1120" s="3" t="s">
        <v>25</v>
      </c>
      <c r="H1120" s="3" t="s">
        <v>25</v>
      </c>
      <c r="I1120" s="6">
        <v>44593</v>
      </c>
      <c r="J1120" s="4">
        <v>8638</v>
      </c>
      <c r="K1120" s="56">
        <v>8638</v>
      </c>
      <c r="L1120" s="4">
        <v>0</v>
      </c>
      <c r="M1120" s="56">
        <v>0</v>
      </c>
      <c r="N1120" s="4">
        <v>0</v>
      </c>
      <c r="O1120" s="56">
        <v>0</v>
      </c>
      <c r="P1120" s="4">
        <v>43</v>
      </c>
      <c r="Q1120" s="3" t="s">
        <v>26</v>
      </c>
      <c r="R1120" s="3">
        <v>0</v>
      </c>
      <c r="S1120" s="4">
        <v>44</v>
      </c>
      <c r="T1120" s="4">
        <v>0</v>
      </c>
      <c r="U1120" s="4">
        <v>0</v>
      </c>
      <c r="V1120" s="56">
        <v>23.337599999999998</v>
      </c>
      <c r="W1120" s="56">
        <v>0</v>
      </c>
      <c r="X1120" s="56">
        <v>0</v>
      </c>
      <c r="Y1120" s="56">
        <v>27.229069466921182</v>
      </c>
      <c r="Z1120" s="56"/>
      <c r="AA1120" s="56"/>
      <c r="AB1120" s="4">
        <v>201590.18879999997</v>
      </c>
      <c r="AC1120" s="4">
        <v>0</v>
      </c>
      <c r="AD1120" s="4">
        <v>0</v>
      </c>
      <c r="AE1120" s="4">
        <v>235204.70205526517</v>
      </c>
      <c r="AF1120" s="4">
        <v>0</v>
      </c>
      <c r="AG1120" s="4">
        <v>0</v>
      </c>
    </row>
    <row r="1121" spans="1:33" ht="11.25" customHeight="1" x14ac:dyDescent="0.25">
      <c r="A1121" s="3" t="s">
        <v>27</v>
      </c>
      <c r="B1121" s="3" t="s">
        <v>41</v>
      </c>
      <c r="C1121" s="3" t="s">
        <v>42</v>
      </c>
      <c r="D1121" s="3" t="s">
        <v>45</v>
      </c>
      <c r="E1121" s="3" t="s">
        <v>25</v>
      </c>
      <c r="F1121" s="3" t="s">
        <v>25</v>
      </c>
      <c r="G1121" s="3" t="s">
        <v>25</v>
      </c>
      <c r="H1121" s="3" t="s">
        <v>25</v>
      </c>
      <c r="I1121" s="6">
        <v>44593</v>
      </c>
      <c r="J1121" s="4">
        <v>14</v>
      </c>
      <c r="K1121" s="56">
        <v>14</v>
      </c>
      <c r="L1121" s="4">
        <v>0</v>
      </c>
      <c r="M1121" s="56">
        <v>0</v>
      </c>
      <c r="N1121" s="4">
        <v>0</v>
      </c>
      <c r="O1121" s="56">
        <v>0</v>
      </c>
      <c r="P1121" s="4">
        <v>1</v>
      </c>
      <c r="Q1121" s="3" t="s">
        <v>26</v>
      </c>
      <c r="R1121" s="3">
        <v>0</v>
      </c>
      <c r="S1121" s="4">
        <v>44</v>
      </c>
      <c r="T1121" s="4">
        <v>0</v>
      </c>
      <c r="U1121" s="4">
        <v>0</v>
      </c>
      <c r="V1121" s="56">
        <v>23.337599999999998</v>
      </c>
      <c r="W1121" s="56">
        <v>0</v>
      </c>
      <c r="X1121" s="56">
        <v>0</v>
      </c>
      <c r="Y1121" s="56">
        <v>27.229069466921182</v>
      </c>
      <c r="Z1121" s="56"/>
      <c r="AA1121" s="56"/>
      <c r="AB1121" s="4">
        <v>326.72639999999996</v>
      </c>
      <c r="AC1121" s="4">
        <v>0</v>
      </c>
      <c r="AD1121" s="4">
        <v>0</v>
      </c>
      <c r="AE1121" s="4">
        <v>381.20697253689656</v>
      </c>
      <c r="AF1121" s="4">
        <v>0</v>
      </c>
      <c r="AG1121" s="4">
        <v>0</v>
      </c>
    </row>
    <row r="1122" spans="1:33" ht="11.25" customHeight="1" x14ac:dyDescent="0.25">
      <c r="A1122" s="3" t="s">
        <v>28</v>
      </c>
      <c r="B1122" s="3" t="s">
        <v>41</v>
      </c>
      <c r="C1122" s="3" t="s">
        <v>42</v>
      </c>
      <c r="D1122" s="3" t="s">
        <v>45</v>
      </c>
      <c r="E1122" s="3" t="s">
        <v>25</v>
      </c>
      <c r="F1122" s="3" t="s">
        <v>25</v>
      </c>
      <c r="G1122" s="3" t="s">
        <v>25</v>
      </c>
      <c r="H1122" s="3" t="s">
        <v>25</v>
      </c>
      <c r="I1122" s="6">
        <v>44593</v>
      </c>
      <c r="J1122" s="4">
        <v>270</v>
      </c>
      <c r="K1122" s="56">
        <v>270</v>
      </c>
      <c r="L1122" s="4">
        <v>0</v>
      </c>
      <c r="M1122" s="56">
        <v>0</v>
      </c>
      <c r="N1122" s="4">
        <v>0</v>
      </c>
      <c r="O1122" s="56">
        <v>0</v>
      </c>
      <c r="P1122" s="4">
        <v>2</v>
      </c>
      <c r="Q1122" s="3" t="s">
        <v>26</v>
      </c>
      <c r="R1122" s="3">
        <v>0</v>
      </c>
      <c r="S1122" s="4">
        <v>44</v>
      </c>
      <c r="T1122" s="4">
        <v>0</v>
      </c>
      <c r="U1122" s="4">
        <v>0</v>
      </c>
      <c r="V1122" s="56">
        <v>23.337599999999998</v>
      </c>
      <c r="W1122" s="56">
        <v>0</v>
      </c>
      <c r="X1122" s="56">
        <v>0</v>
      </c>
      <c r="Y1122" s="56">
        <v>27.229069466921182</v>
      </c>
      <c r="Z1122" s="56"/>
      <c r="AA1122" s="56"/>
      <c r="AB1122" s="4">
        <v>6301.1519999999991</v>
      </c>
      <c r="AC1122" s="4">
        <v>0</v>
      </c>
      <c r="AD1122" s="4">
        <v>0</v>
      </c>
      <c r="AE1122" s="4">
        <v>7351.848756068719</v>
      </c>
      <c r="AF1122" s="4">
        <v>0</v>
      </c>
      <c r="AG1122" s="4">
        <v>0</v>
      </c>
    </row>
    <row r="1123" spans="1:33" ht="11.25" customHeight="1" x14ac:dyDescent="0.25">
      <c r="A1123" s="3" t="s">
        <v>56</v>
      </c>
      <c r="B1123" s="3" t="s">
        <v>41</v>
      </c>
      <c r="C1123" s="3" t="s">
        <v>42</v>
      </c>
      <c r="D1123" s="3" t="s">
        <v>45</v>
      </c>
      <c r="E1123" s="3" t="s">
        <v>25</v>
      </c>
      <c r="F1123" s="3" t="s">
        <v>25</v>
      </c>
      <c r="G1123" s="3" t="s">
        <v>25</v>
      </c>
      <c r="H1123" s="3" t="s">
        <v>25</v>
      </c>
      <c r="I1123" s="6">
        <v>44621</v>
      </c>
      <c r="J1123" s="4">
        <v>8638</v>
      </c>
      <c r="K1123" s="56">
        <v>8638</v>
      </c>
      <c r="L1123" s="4">
        <v>0</v>
      </c>
      <c r="M1123" s="56">
        <v>0</v>
      </c>
      <c r="N1123" s="4">
        <v>0</v>
      </c>
      <c r="O1123" s="56">
        <v>0</v>
      </c>
      <c r="P1123" s="4">
        <v>43</v>
      </c>
      <c r="Q1123" s="3" t="s">
        <v>26</v>
      </c>
      <c r="R1123" s="3">
        <v>0</v>
      </c>
      <c r="S1123" s="4">
        <v>44</v>
      </c>
      <c r="T1123" s="4">
        <v>0</v>
      </c>
      <c r="U1123" s="4">
        <v>0</v>
      </c>
      <c r="V1123" s="56">
        <v>23.337599999999998</v>
      </c>
      <c r="W1123" s="56">
        <v>0</v>
      </c>
      <c r="X1123" s="56">
        <v>0</v>
      </c>
      <c r="Y1123" s="56">
        <v>27.229069466921182</v>
      </c>
      <c r="Z1123" s="56"/>
      <c r="AA1123" s="56"/>
      <c r="AB1123" s="4">
        <v>201590.18879999997</v>
      </c>
      <c r="AC1123" s="4">
        <v>0</v>
      </c>
      <c r="AD1123" s="4">
        <v>0</v>
      </c>
      <c r="AE1123" s="4">
        <v>235204.70205526517</v>
      </c>
      <c r="AF1123" s="4">
        <v>0</v>
      </c>
      <c r="AG1123" s="4">
        <v>0</v>
      </c>
    </row>
    <row r="1124" spans="1:33" ht="11.25" customHeight="1" x14ac:dyDescent="0.25">
      <c r="A1124" s="3" t="s">
        <v>56</v>
      </c>
      <c r="B1124" s="3" t="s">
        <v>41</v>
      </c>
      <c r="C1124" s="3" t="s">
        <v>42</v>
      </c>
      <c r="D1124" s="3" t="s">
        <v>45</v>
      </c>
      <c r="E1124" s="3" t="s">
        <v>25</v>
      </c>
      <c r="F1124" s="3" t="s">
        <v>25</v>
      </c>
      <c r="G1124" s="3" t="s">
        <v>25</v>
      </c>
      <c r="H1124" s="3" t="s">
        <v>25</v>
      </c>
      <c r="I1124" s="6">
        <v>44621</v>
      </c>
      <c r="J1124" s="4">
        <v>14</v>
      </c>
      <c r="K1124" s="56">
        <v>14</v>
      </c>
      <c r="L1124" s="4">
        <v>0</v>
      </c>
      <c r="M1124" s="56">
        <v>0</v>
      </c>
      <c r="N1124" s="4">
        <v>0</v>
      </c>
      <c r="O1124" s="56">
        <v>0</v>
      </c>
      <c r="P1124" s="4">
        <v>1</v>
      </c>
      <c r="Q1124" s="3" t="s">
        <v>26</v>
      </c>
      <c r="R1124" s="3">
        <v>0</v>
      </c>
      <c r="S1124" s="4">
        <v>44</v>
      </c>
      <c r="T1124" s="4">
        <v>0</v>
      </c>
      <c r="U1124" s="4">
        <v>0</v>
      </c>
      <c r="V1124" s="56">
        <v>23.337599999999998</v>
      </c>
      <c r="W1124" s="56">
        <v>0</v>
      </c>
      <c r="X1124" s="56">
        <v>0</v>
      </c>
      <c r="Y1124" s="56">
        <v>27.229069466921182</v>
      </c>
      <c r="Z1124" s="56"/>
      <c r="AA1124" s="56"/>
      <c r="AB1124" s="4">
        <v>326.72639999999996</v>
      </c>
      <c r="AC1124" s="4">
        <v>0</v>
      </c>
      <c r="AD1124" s="4">
        <v>0</v>
      </c>
      <c r="AE1124" s="4">
        <v>381.20697253689656</v>
      </c>
      <c r="AF1124" s="4">
        <v>0</v>
      </c>
      <c r="AG1124" s="4">
        <v>0</v>
      </c>
    </row>
    <row r="1125" spans="1:33" ht="11.25" customHeight="1" x14ac:dyDescent="0.25">
      <c r="A1125" s="3" t="s">
        <v>56</v>
      </c>
      <c r="B1125" s="3" t="s">
        <v>41</v>
      </c>
      <c r="C1125" s="3" t="s">
        <v>42</v>
      </c>
      <c r="D1125" s="3" t="s">
        <v>45</v>
      </c>
      <c r="E1125" s="3" t="s">
        <v>25</v>
      </c>
      <c r="F1125" s="3" t="s">
        <v>25</v>
      </c>
      <c r="G1125" s="3" t="s">
        <v>25</v>
      </c>
      <c r="H1125" s="3" t="s">
        <v>25</v>
      </c>
      <c r="I1125" s="6">
        <v>44621</v>
      </c>
      <c r="J1125" s="4">
        <v>270</v>
      </c>
      <c r="K1125" s="56">
        <v>270</v>
      </c>
      <c r="L1125" s="4">
        <v>0</v>
      </c>
      <c r="M1125" s="56">
        <v>0</v>
      </c>
      <c r="N1125" s="4">
        <v>0</v>
      </c>
      <c r="O1125" s="56">
        <v>0</v>
      </c>
      <c r="P1125" s="4">
        <v>2</v>
      </c>
      <c r="Q1125" s="3" t="s">
        <v>26</v>
      </c>
      <c r="R1125" s="3">
        <v>0</v>
      </c>
      <c r="S1125" s="4">
        <v>44</v>
      </c>
      <c r="T1125" s="4">
        <v>0</v>
      </c>
      <c r="U1125" s="4">
        <v>0</v>
      </c>
      <c r="V1125" s="56">
        <v>23.337599999999998</v>
      </c>
      <c r="W1125" s="56">
        <v>0</v>
      </c>
      <c r="X1125" s="56">
        <v>0</v>
      </c>
      <c r="Y1125" s="56">
        <v>27.229069466921182</v>
      </c>
      <c r="Z1125" s="56"/>
      <c r="AA1125" s="56"/>
      <c r="AB1125" s="4">
        <v>6301.1519999999991</v>
      </c>
      <c r="AC1125" s="4">
        <v>0</v>
      </c>
      <c r="AD1125" s="4">
        <v>0</v>
      </c>
      <c r="AE1125" s="4">
        <v>7351.848756068719</v>
      </c>
      <c r="AF1125" s="4">
        <v>0</v>
      </c>
      <c r="AG1125" s="4">
        <v>0</v>
      </c>
    </row>
    <row r="1126" spans="1:33" ht="11.25" customHeight="1" x14ac:dyDescent="0.25">
      <c r="A1126" s="3" t="s">
        <v>21</v>
      </c>
      <c r="B1126" s="3" t="s">
        <v>41</v>
      </c>
      <c r="C1126" s="3" t="s">
        <v>42</v>
      </c>
      <c r="D1126" s="3" t="s">
        <v>45</v>
      </c>
      <c r="E1126" s="3" t="s">
        <v>25</v>
      </c>
      <c r="F1126" s="3" t="s">
        <v>25</v>
      </c>
      <c r="G1126" s="3" t="s">
        <v>25</v>
      </c>
      <c r="H1126" s="3" t="s">
        <v>34</v>
      </c>
      <c r="I1126" s="6">
        <v>44287</v>
      </c>
      <c r="J1126" s="4">
        <v>0</v>
      </c>
      <c r="K1126" s="56">
        <v>0</v>
      </c>
      <c r="L1126" s="4">
        <v>30.745999999999999</v>
      </c>
      <c r="M1126" s="56">
        <v>30.745999999999999</v>
      </c>
      <c r="N1126" s="4">
        <v>30.745999999999999</v>
      </c>
      <c r="O1126" s="56">
        <v>30.745999999999999</v>
      </c>
      <c r="P1126" s="4">
        <v>0</v>
      </c>
      <c r="Q1126" s="3" t="s">
        <v>26</v>
      </c>
      <c r="R1126" s="3">
        <v>0</v>
      </c>
      <c r="S1126" s="4">
        <v>0</v>
      </c>
      <c r="T1126" s="4">
        <v>20</v>
      </c>
      <c r="U1126" s="4">
        <v>88</v>
      </c>
      <c r="V1126" s="56">
        <v>0</v>
      </c>
      <c r="W1126" s="56">
        <v>1502.0063999999998</v>
      </c>
      <c r="X1126" s="56">
        <v>350.88</v>
      </c>
      <c r="Y1126" s="56"/>
      <c r="Z1126" s="56">
        <v>1885.2431520117077</v>
      </c>
      <c r="AA1126" s="56">
        <v>373.79695658396923</v>
      </c>
      <c r="AB1126" s="4">
        <v>0</v>
      </c>
      <c r="AC1126" s="4">
        <v>46180.688774399991</v>
      </c>
      <c r="AD1126" s="4">
        <v>10788.15648</v>
      </c>
      <c r="AE1126" s="4">
        <v>0</v>
      </c>
      <c r="AF1126" s="4">
        <v>57963.685951751962</v>
      </c>
      <c r="AG1126" s="4">
        <v>11492.761227130717</v>
      </c>
    </row>
    <row r="1127" spans="1:33" ht="11.25" customHeight="1" x14ac:dyDescent="0.25">
      <c r="A1127" s="3" t="s">
        <v>21</v>
      </c>
      <c r="B1127" s="3" t="s">
        <v>41</v>
      </c>
      <c r="C1127" s="3" t="s">
        <v>42</v>
      </c>
      <c r="D1127" s="3" t="s">
        <v>45</v>
      </c>
      <c r="E1127" s="3" t="s">
        <v>25</v>
      </c>
      <c r="F1127" s="3" t="s">
        <v>25</v>
      </c>
      <c r="G1127" s="3" t="s">
        <v>25</v>
      </c>
      <c r="H1127" s="3" t="s">
        <v>34</v>
      </c>
      <c r="I1127" s="6">
        <v>44317</v>
      </c>
      <c r="J1127" s="4">
        <v>0</v>
      </c>
      <c r="K1127" s="56">
        <v>0</v>
      </c>
      <c r="L1127" s="4">
        <v>260.08</v>
      </c>
      <c r="M1127" s="56">
        <v>260.08</v>
      </c>
      <c r="N1127" s="4">
        <v>260.08</v>
      </c>
      <c r="O1127" s="56">
        <v>260.08</v>
      </c>
      <c r="P1127" s="4">
        <v>0</v>
      </c>
      <c r="Q1127" s="3" t="s">
        <v>26</v>
      </c>
      <c r="R1127" s="3">
        <v>0</v>
      </c>
      <c r="S1127" s="4">
        <v>0</v>
      </c>
      <c r="T1127" s="4">
        <v>20</v>
      </c>
      <c r="U1127" s="4">
        <v>88</v>
      </c>
      <c r="V1127" s="56">
        <v>0</v>
      </c>
      <c r="W1127" s="56">
        <v>1502.0063999999998</v>
      </c>
      <c r="X1127" s="56">
        <v>350.88</v>
      </c>
      <c r="Y1127" s="56"/>
      <c r="Z1127" s="56">
        <v>1885.2431520117077</v>
      </c>
      <c r="AA1127" s="56">
        <v>373.79695658396923</v>
      </c>
      <c r="AB1127" s="4">
        <v>0</v>
      </c>
      <c r="AC1127" s="4">
        <v>390641.8245119999</v>
      </c>
      <c r="AD1127" s="4">
        <v>91256.8704</v>
      </c>
      <c r="AE1127" s="4">
        <v>0</v>
      </c>
      <c r="AF1127" s="4">
        <v>490314.03897520492</v>
      </c>
      <c r="AG1127" s="4">
        <v>97217.112468358711</v>
      </c>
    </row>
    <row r="1128" spans="1:33" ht="11.25" customHeight="1" x14ac:dyDescent="0.25">
      <c r="A1128" s="3" t="s">
        <v>27</v>
      </c>
      <c r="B1128" s="3" t="s">
        <v>41</v>
      </c>
      <c r="C1128" s="3" t="s">
        <v>42</v>
      </c>
      <c r="D1128" s="3" t="s">
        <v>45</v>
      </c>
      <c r="E1128" s="3" t="s">
        <v>25</v>
      </c>
      <c r="F1128" s="3" t="s">
        <v>25</v>
      </c>
      <c r="G1128" s="3" t="s">
        <v>25</v>
      </c>
      <c r="H1128" s="3" t="s">
        <v>34</v>
      </c>
      <c r="I1128" s="6">
        <v>44317</v>
      </c>
      <c r="J1128" s="4">
        <v>0</v>
      </c>
      <c r="K1128" s="56">
        <v>0</v>
      </c>
      <c r="L1128" s="4">
        <v>0.08</v>
      </c>
      <c r="M1128" s="56">
        <v>0.08</v>
      </c>
      <c r="N1128" s="4">
        <v>0.08</v>
      </c>
      <c r="O1128" s="56">
        <v>0.08</v>
      </c>
      <c r="P1128" s="4">
        <v>0</v>
      </c>
      <c r="Q1128" s="3" t="s">
        <v>26</v>
      </c>
      <c r="R1128" s="3">
        <v>0</v>
      </c>
      <c r="S1128" s="4">
        <v>0</v>
      </c>
      <c r="T1128" s="4">
        <v>20</v>
      </c>
      <c r="U1128" s="4">
        <v>88</v>
      </c>
      <c r="V1128" s="56">
        <v>0</v>
      </c>
      <c r="W1128" s="56">
        <v>1502.0063999999998</v>
      </c>
      <c r="X1128" s="56">
        <v>350.88</v>
      </c>
      <c r="Y1128" s="56"/>
      <c r="Z1128" s="56">
        <v>1885.2431520117077</v>
      </c>
      <c r="AA1128" s="56">
        <v>373.79695658396923</v>
      </c>
      <c r="AB1128" s="4">
        <v>0</v>
      </c>
      <c r="AC1128" s="4">
        <v>120.16051199999998</v>
      </c>
      <c r="AD1128" s="4">
        <v>28.070399999999999</v>
      </c>
      <c r="AE1128" s="4">
        <v>0</v>
      </c>
      <c r="AF1128" s="4">
        <v>150.81945216093661</v>
      </c>
      <c r="AG1128" s="4">
        <v>29.90375652671754</v>
      </c>
    </row>
    <row r="1129" spans="1:33" ht="11.25" customHeight="1" x14ac:dyDescent="0.25">
      <c r="A1129" s="3" t="s">
        <v>21</v>
      </c>
      <c r="B1129" s="3" t="s">
        <v>41</v>
      </c>
      <c r="C1129" s="3" t="s">
        <v>42</v>
      </c>
      <c r="D1129" s="3" t="s">
        <v>45</v>
      </c>
      <c r="E1129" s="3" t="s">
        <v>25</v>
      </c>
      <c r="F1129" s="3" t="s">
        <v>25</v>
      </c>
      <c r="G1129" s="3" t="s">
        <v>25</v>
      </c>
      <c r="H1129" s="3" t="s">
        <v>34</v>
      </c>
      <c r="I1129" s="6">
        <v>44348</v>
      </c>
      <c r="J1129" s="4">
        <v>0</v>
      </c>
      <c r="K1129" s="56">
        <v>0</v>
      </c>
      <c r="L1129" s="4">
        <v>24.515999999999998</v>
      </c>
      <c r="M1129" s="56">
        <v>24.515999999999998</v>
      </c>
      <c r="N1129" s="4">
        <v>24.515999999999998</v>
      </c>
      <c r="O1129" s="56">
        <v>24.515999999999998</v>
      </c>
      <c r="P1129" s="4">
        <v>0</v>
      </c>
      <c r="Q1129" s="3" t="s">
        <v>26</v>
      </c>
      <c r="R1129" s="3">
        <v>0</v>
      </c>
      <c r="S1129" s="4">
        <v>0</v>
      </c>
      <c r="T1129" s="4">
        <v>20</v>
      </c>
      <c r="U1129" s="4">
        <v>88</v>
      </c>
      <c r="V1129" s="56">
        <v>0</v>
      </c>
      <c r="W1129" s="56">
        <v>1502.0063999999998</v>
      </c>
      <c r="X1129" s="56">
        <v>350.88</v>
      </c>
      <c r="Y1129" s="56"/>
      <c r="Z1129" s="56">
        <v>1885.2431520117077</v>
      </c>
      <c r="AA1129" s="56">
        <v>373.79695658396923</v>
      </c>
      <c r="AB1129" s="4">
        <v>0</v>
      </c>
      <c r="AC1129" s="4">
        <v>36823.18890239999</v>
      </c>
      <c r="AD1129" s="4">
        <v>8602.1740799999989</v>
      </c>
      <c r="AE1129" s="4">
        <v>0</v>
      </c>
      <c r="AF1129" s="4">
        <v>46218.621114719026</v>
      </c>
      <c r="AG1129" s="4">
        <v>9164.0061876125892</v>
      </c>
    </row>
    <row r="1130" spans="1:33" ht="11.25" customHeight="1" x14ac:dyDescent="0.25">
      <c r="A1130" s="3" t="s">
        <v>21</v>
      </c>
      <c r="B1130" s="3" t="s">
        <v>41</v>
      </c>
      <c r="C1130" s="3" t="s">
        <v>42</v>
      </c>
      <c r="D1130" s="3" t="s">
        <v>45</v>
      </c>
      <c r="E1130" s="3" t="s">
        <v>25</v>
      </c>
      <c r="F1130" s="3" t="s">
        <v>25</v>
      </c>
      <c r="G1130" s="3" t="s">
        <v>25</v>
      </c>
      <c r="H1130" s="3" t="s">
        <v>34</v>
      </c>
      <c r="I1130" s="6">
        <v>44378</v>
      </c>
      <c r="J1130" s="4">
        <v>0</v>
      </c>
      <c r="K1130" s="56">
        <v>0</v>
      </c>
      <c r="L1130" s="4">
        <v>27.988</v>
      </c>
      <c r="M1130" s="56">
        <v>27.988</v>
      </c>
      <c r="N1130" s="4">
        <v>27.988</v>
      </c>
      <c r="O1130" s="56">
        <v>27.988</v>
      </c>
      <c r="P1130" s="4">
        <v>0</v>
      </c>
      <c r="Q1130" s="3" t="s">
        <v>26</v>
      </c>
      <c r="R1130" s="3">
        <v>0</v>
      </c>
      <c r="S1130" s="4">
        <v>0</v>
      </c>
      <c r="T1130" s="4">
        <v>20</v>
      </c>
      <c r="U1130" s="4">
        <v>88</v>
      </c>
      <c r="V1130" s="56">
        <v>0</v>
      </c>
      <c r="W1130" s="56">
        <v>1502.0063999999998</v>
      </c>
      <c r="X1130" s="56">
        <v>350.88</v>
      </c>
      <c r="Y1130" s="56"/>
      <c r="Z1130" s="56">
        <v>1885.2431520117077</v>
      </c>
      <c r="AA1130" s="56">
        <v>373.79695658396923</v>
      </c>
      <c r="AB1130" s="4">
        <v>0</v>
      </c>
      <c r="AC1130" s="4">
        <v>42038.155123199991</v>
      </c>
      <c r="AD1130" s="4">
        <v>9820.4294399999999</v>
      </c>
      <c r="AE1130" s="4">
        <v>0</v>
      </c>
      <c r="AF1130" s="4">
        <v>52764.185338503674</v>
      </c>
      <c r="AG1130" s="4">
        <v>10461.82922087213</v>
      </c>
    </row>
    <row r="1131" spans="1:33" ht="11.25" customHeight="1" x14ac:dyDescent="0.25">
      <c r="A1131" s="3" t="s">
        <v>27</v>
      </c>
      <c r="B1131" s="3" t="s">
        <v>41</v>
      </c>
      <c r="C1131" s="3" t="s">
        <v>42</v>
      </c>
      <c r="D1131" s="3" t="s">
        <v>45</v>
      </c>
      <c r="E1131" s="3" t="s">
        <v>25</v>
      </c>
      <c r="F1131" s="3" t="s">
        <v>25</v>
      </c>
      <c r="G1131" s="3" t="s">
        <v>25</v>
      </c>
      <c r="H1131" s="3" t="s">
        <v>34</v>
      </c>
      <c r="I1131" s="6">
        <v>44378</v>
      </c>
      <c r="J1131" s="4">
        <v>0</v>
      </c>
      <c r="K1131" s="56">
        <v>0</v>
      </c>
      <c r="L1131" s="4">
        <v>8.2000000000000003E-2</v>
      </c>
      <c r="M1131" s="56">
        <v>8.2000000000000003E-2</v>
      </c>
      <c r="N1131" s="4">
        <v>8.2000000000000003E-2</v>
      </c>
      <c r="O1131" s="56">
        <v>8.2000000000000003E-2</v>
      </c>
      <c r="P1131" s="4">
        <v>0</v>
      </c>
      <c r="Q1131" s="3" t="s">
        <v>26</v>
      </c>
      <c r="R1131" s="3">
        <v>0</v>
      </c>
      <c r="S1131" s="4">
        <v>0</v>
      </c>
      <c r="T1131" s="4">
        <v>20</v>
      </c>
      <c r="U1131" s="4">
        <v>88</v>
      </c>
      <c r="V1131" s="56">
        <v>0</v>
      </c>
      <c r="W1131" s="56">
        <v>1502.0063999999998</v>
      </c>
      <c r="X1131" s="56">
        <v>350.88</v>
      </c>
      <c r="Y1131" s="56"/>
      <c r="Z1131" s="56">
        <v>1885.2431520117077</v>
      </c>
      <c r="AA1131" s="56">
        <v>373.79695658396923</v>
      </c>
      <c r="AB1131" s="4">
        <v>0</v>
      </c>
      <c r="AC1131" s="4">
        <v>123.16452479999998</v>
      </c>
      <c r="AD1131" s="4">
        <v>28.77216</v>
      </c>
      <c r="AE1131" s="4">
        <v>0</v>
      </c>
      <c r="AF1131" s="4">
        <v>154.58993846496003</v>
      </c>
      <c r="AG1131" s="4">
        <v>30.65135043988548</v>
      </c>
    </row>
    <row r="1132" spans="1:33" ht="11.25" customHeight="1" x14ac:dyDescent="0.25">
      <c r="A1132" s="3" t="s">
        <v>28</v>
      </c>
      <c r="B1132" s="3" t="s">
        <v>41</v>
      </c>
      <c r="C1132" s="3" t="s">
        <v>42</v>
      </c>
      <c r="D1132" s="3" t="s">
        <v>45</v>
      </c>
      <c r="E1132" s="3" t="s">
        <v>25</v>
      </c>
      <c r="F1132" s="3" t="s">
        <v>25</v>
      </c>
      <c r="G1132" s="3" t="s">
        <v>25</v>
      </c>
      <c r="H1132" s="3" t="s">
        <v>34</v>
      </c>
      <c r="I1132" s="6">
        <v>44378</v>
      </c>
      <c r="J1132" s="4">
        <v>0</v>
      </c>
      <c r="K1132" s="56">
        <v>0</v>
      </c>
      <c r="L1132" s="4">
        <v>0.35</v>
      </c>
      <c r="M1132" s="56">
        <v>0.35</v>
      </c>
      <c r="N1132" s="4">
        <v>0.35</v>
      </c>
      <c r="O1132" s="56">
        <v>0.35</v>
      </c>
      <c r="P1132" s="4">
        <v>0</v>
      </c>
      <c r="Q1132" s="3" t="s">
        <v>26</v>
      </c>
      <c r="R1132" s="3">
        <v>0</v>
      </c>
      <c r="S1132" s="4">
        <v>0</v>
      </c>
      <c r="T1132" s="4">
        <v>20</v>
      </c>
      <c r="U1132" s="4">
        <v>88</v>
      </c>
      <c r="V1132" s="56">
        <v>0</v>
      </c>
      <c r="W1132" s="56">
        <v>1502.0063999999998</v>
      </c>
      <c r="X1132" s="56">
        <v>350.88</v>
      </c>
      <c r="Y1132" s="56"/>
      <c r="Z1132" s="56">
        <v>1885.2431520117077</v>
      </c>
      <c r="AA1132" s="56">
        <v>373.79695658396923</v>
      </c>
      <c r="AB1132" s="4">
        <v>0</v>
      </c>
      <c r="AC1132" s="4">
        <v>525.70223999999985</v>
      </c>
      <c r="AD1132" s="4">
        <v>122.80799999999999</v>
      </c>
      <c r="AE1132" s="4">
        <v>0</v>
      </c>
      <c r="AF1132" s="4">
        <v>659.83510320409766</v>
      </c>
      <c r="AG1132" s="4">
        <v>130.82893480438923</v>
      </c>
    </row>
    <row r="1133" spans="1:33" ht="11.25" customHeight="1" x14ac:dyDescent="0.25">
      <c r="A1133" s="3" t="s">
        <v>21</v>
      </c>
      <c r="B1133" s="3" t="s">
        <v>41</v>
      </c>
      <c r="C1133" s="3" t="s">
        <v>42</v>
      </c>
      <c r="D1133" s="3" t="s">
        <v>45</v>
      </c>
      <c r="E1133" s="3" t="s">
        <v>25</v>
      </c>
      <c r="F1133" s="3" t="s">
        <v>25</v>
      </c>
      <c r="G1133" s="3" t="s">
        <v>25</v>
      </c>
      <c r="H1133" s="3" t="s">
        <v>34</v>
      </c>
      <c r="I1133" s="6">
        <v>44409</v>
      </c>
      <c r="J1133" s="4">
        <v>0</v>
      </c>
      <c r="K1133" s="56">
        <v>0</v>
      </c>
      <c r="L1133" s="4">
        <v>24.655999999999999</v>
      </c>
      <c r="M1133" s="56">
        <v>24.655999999999999</v>
      </c>
      <c r="N1133" s="4">
        <v>24.655999999999999</v>
      </c>
      <c r="O1133" s="56">
        <v>24.655999999999999</v>
      </c>
      <c r="P1133" s="4">
        <v>0</v>
      </c>
      <c r="Q1133" s="3" t="s">
        <v>26</v>
      </c>
      <c r="R1133" s="3">
        <v>0</v>
      </c>
      <c r="S1133" s="4">
        <v>0</v>
      </c>
      <c r="T1133" s="4">
        <v>20</v>
      </c>
      <c r="U1133" s="4">
        <v>88</v>
      </c>
      <c r="V1133" s="56">
        <v>0</v>
      </c>
      <c r="W1133" s="56">
        <v>1502.0063999999998</v>
      </c>
      <c r="X1133" s="56">
        <v>350.88</v>
      </c>
      <c r="Y1133" s="56"/>
      <c r="Z1133" s="56">
        <v>1885.2431520117077</v>
      </c>
      <c r="AA1133" s="56">
        <v>373.79695658396923</v>
      </c>
      <c r="AB1133" s="4">
        <v>0</v>
      </c>
      <c r="AC1133" s="4">
        <v>37033.469798399994</v>
      </c>
      <c r="AD1133" s="4">
        <v>8651.2972799999989</v>
      </c>
      <c r="AE1133" s="4">
        <v>0</v>
      </c>
      <c r="AF1133" s="4">
        <v>46482.555156000664</v>
      </c>
      <c r="AG1133" s="4">
        <v>9216.3377615343452</v>
      </c>
    </row>
    <row r="1134" spans="1:33" ht="11.25" customHeight="1" x14ac:dyDescent="0.25">
      <c r="A1134" s="3" t="s">
        <v>27</v>
      </c>
      <c r="B1134" s="3" t="s">
        <v>41</v>
      </c>
      <c r="C1134" s="3" t="s">
        <v>42</v>
      </c>
      <c r="D1134" s="3" t="s">
        <v>45</v>
      </c>
      <c r="E1134" s="3" t="s">
        <v>25</v>
      </c>
      <c r="F1134" s="3" t="s">
        <v>25</v>
      </c>
      <c r="G1134" s="3" t="s">
        <v>25</v>
      </c>
      <c r="H1134" s="3" t="s">
        <v>34</v>
      </c>
      <c r="I1134" s="6">
        <v>44409</v>
      </c>
      <c r="J1134" s="4">
        <v>0</v>
      </c>
      <c r="K1134" s="56">
        <v>0</v>
      </c>
      <c r="L1134" s="4">
        <v>-233.1</v>
      </c>
      <c r="M1134" s="56">
        <v>-233.1</v>
      </c>
      <c r="N1134" s="4">
        <v>-233.1</v>
      </c>
      <c r="O1134" s="56">
        <v>-233.1</v>
      </c>
      <c r="P1134" s="4">
        <v>0</v>
      </c>
      <c r="Q1134" s="3" t="s">
        <v>26</v>
      </c>
      <c r="R1134" s="3">
        <v>0</v>
      </c>
      <c r="S1134" s="4">
        <v>0</v>
      </c>
      <c r="T1134" s="4">
        <v>20</v>
      </c>
      <c r="U1134" s="4">
        <v>88</v>
      </c>
      <c r="V1134" s="56">
        <v>0</v>
      </c>
      <c r="W1134" s="56">
        <v>1502.0063999999998</v>
      </c>
      <c r="X1134" s="56">
        <v>350.88</v>
      </c>
      <c r="Y1134" s="56"/>
      <c r="Z1134" s="56">
        <v>1885.2431520117077</v>
      </c>
      <c r="AA1134" s="56">
        <v>373.79695658396923</v>
      </c>
      <c r="AB1134" s="4">
        <v>0</v>
      </c>
      <c r="AC1134" s="4">
        <v>-350117.69183999993</v>
      </c>
      <c r="AD1134" s="4">
        <v>-81790.127999999997</v>
      </c>
      <c r="AE1134" s="4">
        <v>0</v>
      </c>
      <c r="AF1134" s="4">
        <v>-439450.17873392906</v>
      </c>
      <c r="AG1134" s="4">
        <v>-87132.070579723222</v>
      </c>
    </row>
    <row r="1135" spans="1:33" ht="11.25" customHeight="1" x14ac:dyDescent="0.25">
      <c r="A1135" s="3" t="s">
        <v>21</v>
      </c>
      <c r="B1135" s="3" t="s">
        <v>41</v>
      </c>
      <c r="C1135" s="3" t="s">
        <v>42</v>
      </c>
      <c r="D1135" s="3" t="s">
        <v>45</v>
      </c>
      <c r="E1135" s="3" t="s">
        <v>25</v>
      </c>
      <c r="F1135" s="3" t="s">
        <v>25</v>
      </c>
      <c r="G1135" s="3" t="s">
        <v>25</v>
      </c>
      <c r="H1135" s="3" t="s">
        <v>34</v>
      </c>
      <c r="I1135" s="6">
        <v>44440</v>
      </c>
      <c r="J1135" s="4">
        <v>0</v>
      </c>
      <c r="K1135" s="56">
        <v>0</v>
      </c>
      <c r="L1135" s="4">
        <v>29.007000000000001</v>
      </c>
      <c r="M1135" s="56">
        <v>29.007000000000001</v>
      </c>
      <c r="N1135" s="4">
        <v>29.007000000000001</v>
      </c>
      <c r="O1135" s="56">
        <v>29.007000000000001</v>
      </c>
      <c r="P1135" s="4">
        <v>0</v>
      </c>
      <c r="Q1135" s="3" t="s">
        <v>26</v>
      </c>
      <c r="R1135" s="3">
        <v>0</v>
      </c>
      <c r="S1135" s="4">
        <v>0</v>
      </c>
      <c r="T1135" s="4">
        <v>20</v>
      </c>
      <c r="U1135" s="4">
        <v>88</v>
      </c>
      <c r="V1135" s="56">
        <v>0</v>
      </c>
      <c r="W1135" s="56">
        <v>1502.0063999999998</v>
      </c>
      <c r="X1135" s="56">
        <v>350.88</v>
      </c>
      <c r="Y1135" s="56"/>
      <c r="Z1135" s="56">
        <v>1885.2431520117077</v>
      </c>
      <c r="AA1135" s="56">
        <v>373.79695658396923</v>
      </c>
      <c r="AB1135" s="4">
        <v>0</v>
      </c>
      <c r="AC1135" s="4">
        <v>43568.699644799992</v>
      </c>
      <c r="AD1135" s="4">
        <v>10177.97616</v>
      </c>
      <c r="AE1135" s="4">
        <v>0</v>
      </c>
      <c r="AF1135" s="4">
        <v>54685.248110403605</v>
      </c>
      <c r="AG1135" s="4">
        <v>10842.728319631196</v>
      </c>
    </row>
    <row r="1136" spans="1:33" ht="11.25" customHeight="1" x14ac:dyDescent="0.25">
      <c r="A1136" s="3" t="s">
        <v>28</v>
      </c>
      <c r="B1136" s="3" t="s">
        <v>41</v>
      </c>
      <c r="C1136" s="3" t="s">
        <v>42</v>
      </c>
      <c r="D1136" s="3" t="s">
        <v>45</v>
      </c>
      <c r="E1136" s="3" t="s">
        <v>25</v>
      </c>
      <c r="F1136" s="3" t="s">
        <v>25</v>
      </c>
      <c r="G1136" s="3" t="s">
        <v>25</v>
      </c>
      <c r="H1136" s="3" t="s">
        <v>34</v>
      </c>
      <c r="I1136" s="6">
        <v>44440</v>
      </c>
      <c r="J1136" s="4">
        <v>0</v>
      </c>
      <c r="K1136" s="56">
        <v>0</v>
      </c>
      <c r="L1136" s="4">
        <v>0.35</v>
      </c>
      <c r="M1136" s="56">
        <v>0.35</v>
      </c>
      <c r="N1136" s="4">
        <v>0.35</v>
      </c>
      <c r="O1136" s="56">
        <v>0.35</v>
      </c>
      <c r="P1136" s="4">
        <v>0</v>
      </c>
      <c r="Q1136" s="3" t="s">
        <v>26</v>
      </c>
      <c r="R1136" s="3">
        <v>0</v>
      </c>
      <c r="S1136" s="4">
        <v>0</v>
      </c>
      <c r="T1136" s="4">
        <v>20</v>
      </c>
      <c r="U1136" s="4">
        <v>88</v>
      </c>
      <c r="V1136" s="56">
        <v>0</v>
      </c>
      <c r="W1136" s="56">
        <v>1502.0063999999998</v>
      </c>
      <c r="X1136" s="56">
        <v>350.88</v>
      </c>
      <c r="Y1136" s="56"/>
      <c r="Z1136" s="56">
        <v>1885.2431520117077</v>
      </c>
      <c r="AA1136" s="56">
        <v>373.79695658396923</v>
      </c>
      <c r="AB1136" s="4">
        <v>0</v>
      </c>
      <c r="AC1136" s="4">
        <v>525.70223999999985</v>
      </c>
      <c r="AD1136" s="4">
        <v>122.80799999999999</v>
      </c>
      <c r="AE1136" s="4">
        <v>0</v>
      </c>
      <c r="AF1136" s="4">
        <v>659.83510320409766</v>
      </c>
      <c r="AG1136" s="4">
        <v>130.82893480438923</v>
      </c>
    </row>
    <row r="1137" spans="1:33" ht="11.25" customHeight="1" x14ac:dyDescent="0.25">
      <c r="A1137" s="3" t="s">
        <v>21</v>
      </c>
      <c r="B1137" s="3" t="s">
        <v>41</v>
      </c>
      <c r="C1137" s="3" t="s">
        <v>42</v>
      </c>
      <c r="D1137" s="3" t="s">
        <v>45</v>
      </c>
      <c r="E1137" s="3" t="s">
        <v>25</v>
      </c>
      <c r="F1137" s="3" t="s">
        <v>25</v>
      </c>
      <c r="G1137" s="3" t="s">
        <v>25</v>
      </c>
      <c r="H1137" s="3" t="s">
        <v>34</v>
      </c>
      <c r="I1137" s="6">
        <v>44470</v>
      </c>
      <c r="J1137" s="4">
        <v>0</v>
      </c>
      <c r="K1137" s="56">
        <v>0</v>
      </c>
      <c r="L1137" s="4">
        <v>35.317999999999998</v>
      </c>
      <c r="M1137" s="56">
        <v>35.317999999999998</v>
      </c>
      <c r="N1137" s="4">
        <v>35.317999999999998</v>
      </c>
      <c r="O1137" s="56">
        <v>35.317999999999998</v>
      </c>
      <c r="P1137" s="4">
        <v>0</v>
      </c>
      <c r="Q1137" s="3" t="s">
        <v>26</v>
      </c>
      <c r="R1137" s="3">
        <v>0</v>
      </c>
      <c r="S1137" s="4">
        <v>0</v>
      </c>
      <c r="T1137" s="4">
        <v>20</v>
      </c>
      <c r="U1137" s="4">
        <v>88</v>
      </c>
      <c r="V1137" s="56">
        <v>0</v>
      </c>
      <c r="W1137" s="56">
        <v>1502.0063999999998</v>
      </c>
      <c r="X1137" s="56">
        <v>350.88</v>
      </c>
      <c r="Y1137" s="56"/>
      <c r="Z1137" s="56">
        <v>1885.2431520117077</v>
      </c>
      <c r="AA1137" s="56">
        <v>373.79695658396923</v>
      </c>
      <c r="AB1137" s="4">
        <v>0</v>
      </c>
      <c r="AC1137" s="4">
        <v>53047.862035199985</v>
      </c>
      <c r="AD1137" s="4">
        <v>12392.37984</v>
      </c>
      <c r="AE1137" s="4">
        <v>0</v>
      </c>
      <c r="AF1137" s="4">
        <v>66583.017642749488</v>
      </c>
      <c r="AG1137" s="4">
        <v>13201.760912632624</v>
      </c>
    </row>
    <row r="1138" spans="1:33" ht="11.25" customHeight="1" x14ac:dyDescent="0.25">
      <c r="A1138" s="3" t="s">
        <v>21</v>
      </c>
      <c r="B1138" s="3" t="s">
        <v>41</v>
      </c>
      <c r="C1138" s="3" t="s">
        <v>42</v>
      </c>
      <c r="D1138" s="3" t="s">
        <v>45</v>
      </c>
      <c r="E1138" s="3" t="s">
        <v>25</v>
      </c>
      <c r="F1138" s="3" t="s">
        <v>25</v>
      </c>
      <c r="G1138" s="3" t="s">
        <v>25</v>
      </c>
      <c r="H1138" s="3" t="s">
        <v>34</v>
      </c>
      <c r="I1138" s="6">
        <v>44501</v>
      </c>
      <c r="J1138" s="4">
        <v>0</v>
      </c>
      <c r="K1138" s="56">
        <v>0</v>
      </c>
      <c r="L1138" s="4">
        <v>46.494</v>
      </c>
      <c r="M1138" s="56">
        <v>46.494</v>
      </c>
      <c r="N1138" s="4">
        <v>46.494</v>
      </c>
      <c r="O1138" s="56">
        <v>46.494</v>
      </c>
      <c r="P1138" s="4">
        <v>0</v>
      </c>
      <c r="Q1138" s="3" t="s">
        <v>26</v>
      </c>
      <c r="R1138" s="3">
        <v>0</v>
      </c>
      <c r="S1138" s="4">
        <v>0</v>
      </c>
      <c r="T1138" s="4">
        <v>20</v>
      </c>
      <c r="U1138" s="4">
        <v>88</v>
      </c>
      <c r="V1138" s="56">
        <v>0</v>
      </c>
      <c r="W1138" s="56">
        <v>1502.0063999999998</v>
      </c>
      <c r="X1138" s="56">
        <v>350.88</v>
      </c>
      <c r="Y1138" s="56"/>
      <c r="Z1138" s="56">
        <v>1885.2431520117077</v>
      </c>
      <c r="AA1138" s="56">
        <v>373.79695658396923</v>
      </c>
      <c r="AB1138" s="4">
        <v>0</v>
      </c>
      <c r="AC1138" s="4">
        <v>69834.285561599987</v>
      </c>
      <c r="AD1138" s="4">
        <v>16313.81472</v>
      </c>
      <c r="AE1138" s="4">
        <v>0</v>
      </c>
      <c r="AF1138" s="4">
        <v>87652.495109632335</v>
      </c>
      <c r="AG1138" s="4">
        <v>17379.315699415067</v>
      </c>
    </row>
    <row r="1139" spans="1:33" ht="11.25" customHeight="1" x14ac:dyDescent="0.25">
      <c r="A1139" s="3" t="s">
        <v>21</v>
      </c>
      <c r="B1139" s="3" t="s">
        <v>41</v>
      </c>
      <c r="C1139" s="3" t="s">
        <v>42</v>
      </c>
      <c r="D1139" s="3" t="s">
        <v>45</v>
      </c>
      <c r="E1139" s="3" t="s">
        <v>25</v>
      </c>
      <c r="F1139" s="3" t="s">
        <v>25</v>
      </c>
      <c r="G1139" s="3" t="s">
        <v>25</v>
      </c>
      <c r="H1139" s="3" t="s">
        <v>34</v>
      </c>
      <c r="I1139" s="6">
        <v>44531</v>
      </c>
      <c r="J1139" s="4">
        <v>0</v>
      </c>
      <c r="K1139" s="56">
        <v>0</v>
      </c>
      <c r="L1139" s="4">
        <v>36.526000000000003</v>
      </c>
      <c r="M1139" s="56">
        <v>36.526000000000003</v>
      </c>
      <c r="N1139" s="4">
        <v>36.526000000000003</v>
      </c>
      <c r="O1139" s="56">
        <v>36.526000000000003</v>
      </c>
      <c r="P1139" s="4">
        <v>0</v>
      </c>
      <c r="Q1139" s="3" t="s">
        <v>26</v>
      </c>
      <c r="R1139" s="3">
        <v>0</v>
      </c>
      <c r="S1139" s="4">
        <v>0</v>
      </c>
      <c r="T1139" s="4">
        <v>20</v>
      </c>
      <c r="U1139" s="4">
        <v>88</v>
      </c>
      <c r="V1139" s="56">
        <v>0</v>
      </c>
      <c r="W1139" s="56">
        <v>1502.0063999999998</v>
      </c>
      <c r="X1139" s="56">
        <v>350.88</v>
      </c>
      <c r="Y1139" s="56"/>
      <c r="Z1139" s="56">
        <v>1885.2431520117077</v>
      </c>
      <c r="AA1139" s="56">
        <v>373.79695658396923</v>
      </c>
      <c r="AB1139" s="4">
        <v>0</v>
      </c>
      <c r="AC1139" s="4">
        <v>54862.285766399997</v>
      </c>
      <c r="AD1139" s="4">
        <v>12816.242880000002</v>
      </c>
      <c r="AE1139" s="4">
        <v>0</v>
      </c>
      <c r="AF1139" s="4">
        <v>68860.391370379642</v>
      </c>
      <c r="AG1139" s="4">
        <v>13653.307636186062</v>
      </c>
    </row>
    <row r="1140" spans="1:33" ht="11.25" customHeight="1" x14ac:dyDescent="0.25">
      <c r="A1140" s="3" t="s">
        <v>28</v>
      </c>
      <c r="B1140" s="3" t="s">
        <v>41</v>
      </c>
      <c r="C1140" s="3" t="s">
        <v>42</v>
      </c>
      <c r="D1140" s="3" t="s">
        <v>45</v>
      </c>
      <c r="E1140" s="3" t="s">
        <v>25</v>
      </c>
      <c r="F1140" s="3" t="s">
        <v>25</v>
      </c>
      <c r="G1140" s="3" t="s">
        <v>25</v>
      </c>
      <c r="H1140" s="3" t="s">
        <v>34</v>
      </c>
      <c r="I1140" s="6">
        <v>44531</v>
      </c>
      <c r="J1140" s="4">
        <v>0</v>
      </c>
      <c r="K1140" s="56">
        <v>0</v>
      </c>
      <c r="L1140" s="4">
        <v>0.35</v>
      </c>
      <c r="M1140" s="56">
        <v>0.35</v>
      </c>
      <c r="N1140" s="4">
        <v>0.35</v>
      </c>
      <c r="O1140" s="56">
        <v>0.35</v>
      </c>
      <c r="P1140" s="4">
        <v>0</v>
      </c>
      <c r="Q1140" s="3" t="s">
        <v>26</v>
      </c>
      <c r="R1140" s="3">
        <v>0</v>
      </c>
      <c r="S1140" s="4">
        <v>0</v>
      </c>
      <c r="T1140" s="4">
        <v>20</v>
      </c>
      <c r="U1140" s="4">
        <v>88</v>
      </c>
      <c r="V1140" s="56">
        <v>0</v>
      </c>
      <c r="W1140" s="56">
        <v>1502.0063999999998</v>
      </c>
      <c r="X1140" s="56">
        <v>350.88</v>
      </c>
      <c r="Y1140" s="56"/>
      <c r="Z1140" s="56">
        <v>1885.2431520117077</v>
      </c>
      <c r="AA1140" s="56">
        <v>373.79695658396923</v>
      </c>
      <c r="AB1140" s="4">
        <v>0</v>
      </c>
      <c r="AC1140" s="4">
        <v>525.70223999999985</v>
      </c>
      <c r="AD1140" s="4">
        <v>122.80799999999999</v>
      </c>
      <c r="AE1140" s="4">
        <v>0</v>
      </c>
      <c r="AF1140" s="4">
        <v>659.83510320409766</v>
      </c>
      <c r="AG1140" s="4">
        <v>130.82893480438923</v>
      </c>
    </row>
    <row r="1141" spans="1:33" ht="11.25" customHeight="1" x14ac:dyDescent="0.25">
      <c r="A1141" s="3" t="s">
        <v>21</v>
      </c>
      <c r="B1141" s="3" t="s">
        <v>41</v>
      </c>
      <c r="C1141" s="3" t="s">
        <v>42</v>
      </c>
      <c r="D1141" s="3" t="s">
        <v>45</v>
      </c>
      <c r="E1141" s="3" t="s">
        <v>25</v>
      </c>
      <c r="F1141" s="3" t="s">
        <v>25</v>
      </c>
      <c r="G1141" s="3" t="s">
        <v>25</v>
      </c>
      <c r="H1141" s="3" t="s">
        <v>34</v>
      </c>
      <c r="I1141" s="6">
        <v>44562</v>
      </c>
      <c r="J1141" s="4">
        <v>0</v>
      </c>
      <c r="K1141" s="56">
        <v>0</v>
      </c>
      <c r="L1141" s="4">
        <v>29.971</v>
      </c>
      <c r="M1141" s="56">
        <v>29.971</v>
      </c>
      <c r="N1141" s="4">
        <v>29.971</v>
      </c>
      <c r="O1141" s="56">
        <v>29.971</v>
      </c>
      <c r="P1141" s="4">
        <v>0</v>
      </c>
      <c r="Q1141" s="3" t="s">
        <v>26</v>
      </c>
      <c r="R1141" s="3">
        <v>0</v>
      </c>
      <c r="S1141" s="4">
        <v>0</v>
      </c>
      <c r="T1141" s="4">
        <v>20</v>
      </c>
      <c r="U1141" s="4">
        <v>88</v>
      </c>
      <c r="V1141" s="56">
        <v>0</v>
      </c>
      <c r="W1141" s="56">
        <v>1502.0063999999998</v>
      </c>
      <c r="X1141" s="56">
        <v>350.88</v>
      </c>
      <c r="Y1141" s="56"/>
      <c r="Z1141" s="56">
        <v>1885.2431520117077</v>
      </c>
      <c r="AA1141" s="56">
        <v>373.79695658396923</v>
      </c>
      <c r="AB1141" s="4">
        <v>0</v>
      </c>
      <c r="AC1141" s="4">
        <v>45016.633814399996</v>
      </c>
      <c r="AD1141" s="4">
        <v>10516.224480000001</v>
      </c>
      <c r="AE1141" s="4">
        <v>0</v>
      </c>
      <c r="AF1141" s="4">
        <v>56502.622508942892</v>
      </c>
      <c r="AG1141" s="4">
        <v>11203.068585778143</v>
      </c>
    </row>
    <row r="1142" spans="1:33" ht="11.25" customHeight="1" x14ac:dyDescent="0.25">
      <c r="A1142" s="3" t="s">
        <v>27</v>
      </c>
      <c r="B1142" s="3" t="s">
        <v>41</v>
      </c>
      <c r="C1142" s="3" t="s">
        <v>42</v>
      </c>
      <c r="D1142" s="3" t="s">
        <v>45</v>
      </c>
      <c r="E1142" s="3" t="s">
        <v>25</v>
      </c>
      <c r="F1142" s="3" t="s">
        <v>25</v>
      </c>
      <c r="G1142" s="3" t="s">
        <v>25</v>
      </c>
      <c r="H1142" s="3" t="s">
        <v>34</v>
      </c>
      <c r="I1142" s="6">
        <v>44562</v>
      </c>
      <c r="J1142" s="4">
        <v>0</v>
      </c>
      <c r="K1142" s="56">
        <v>0</v>
      </c>
      <c r="L1142" s="4">
        <v>-0.20100000000000001</v>
      </c>
      <c r="M1142" s="56">
        <v>-0.20100000000000001</v>
      </c>
      <c r="N1142" s="4">
        <v>-0.20100000000000001</v>
      </c>
      <c r="O1142" s="56">
        <v>-0.20100000000000001</v>
      </c>
      <c r="P1142" s="4">
        <v>0</v>
      </c>
      <c r="Q1142" s="3" t="s">
        <v>26</v>
      </c>
      <c r="R1142" s="3">
        <v>0</v>
      </c>
      <c r="S1142" s="4">
        <v>0</v>
      </c>
      <c r="T1142" s="4">
        <v>20</v>
      </c>
      <c r="U1142" s="4">
        <v>88</v>
      </c>
      <c r="V1142" s="56">
        <v>0</v>
      </c>
      <c r="W1142" s="56">
        <v>1502.0063999999998</v>
      </c>
      <c r="X1142" s="56">
        <v>350.88</v>
      </c>
      <c r="Y1142" s="56"/>
      <c r="Z1142" s="56">
        <v>1885.2431520117077</v>
      </c>
      <c r="AA1142" s="56">
        <v>373.79695658396923</v>
      </c>
      <c r="AB1142" s="4">
        <v>0</v>
      </c>
      <c r="AC1142" s="4">
        <v>-301.90328639999996</v>
      </c>
      <c r="AD1142" s="4">
        <v>-70.526880000000006</v>
      </c>
      <c r="AE1142" s="4">
        <v>0</v>
      </c>
      <c r="AF1142" s="4">
        <v>-378.93387355435328</v>
      </c>
      <c r="AG1142" s="4">
        <v>-75.133188273377826</v>
      </c>
    </row>
    <row r="1143" spans="1:33" ht="11.25" customHeight="1" x14ac:dyDescent="0.25">
      <c r="A1143" s="3" t="s">
        <v>28</v>
      </c>
      <c r="B1143" s="3" t="s">
        <v>41</v>
      </c>
      <c r="C1143" s="3" t="s">
        <v>42</v>
      </c>
      <c r="D1143" s="3" t="s">
        <v>45</v>
      </c>
      <c r="E1143" s="3" t="s">
        <v>25</v>
      </c>
      <c r="F1143" s="3" t="s">
        <v>25</v>
      </c>
      <c r="G1143" s="3" t="s">
        <v>25</v>
      </c>
      <c r="H1143" s="3" t="s">
        <v>34</v>
      </c>
      <c r="I1143" s="6">
        <v>44562</v>
      </c>
      <c r="J1143" s="4">
        <v>0</v>
      </c>
      <c r="K1143" s="56">
        <v>0</v>
      </c>
      <c r="L1143" s="4">
        <v>4.4999999999999998E-2</v>
      </c>
      <c r="M1143" s="56">
        <v>4.4999999999999998E-2</v>
      </c>
      <c r="N1143" s="4">
        <v>4.4999999999999998E-2</v>
      </c>
      <c r="O1143" s="56">
        <v>4.4999999999999998E-2</v>
      </c>
      <c r="P1143" s="4">
        <v>0</v>
      </c>
      <c r="Q1143" s="3" t="s">
        <v>26</v>
      </c>
      <c r="R1143" s="3">
        <v>0</v>
      </c>
      <c r="S1143" s="4">
        <v>0</v>
      </c>
      <c r="T1143" s="4">
        <v>20</v>
      </c>
      <c r="U1143" s="4">
        <v>88</v>
      </c>
      <c r="V1143" s="56">
        <v>0</v>
      </c>
      <c r="W1143" s="56">
        <v>1502.0063999999998</v>
      </c>
      <c r="X1143" s="56">
        <v>350.88</v>
      </c>
      <c r="Y1143" s="56"/>
      <c r="Z1143" s="56">
        <v>1885.2431520117077</v>
      </c>
      <c r="AA1143" s="56">
        <v>373.79695658396923</v>
      </c>
      <c r="AB1143" s="4">
        <v>0</v>
      </c>
      <c r="AC1143" s="4">
        <v>67.590287999999987</v>
      </c>
      <c r="AD1143" s="4">
        <v>15.7896</v>
      </c>
      <c r="AE1143" s="4">
        <v>0</v>
      </c>
      <c r="AF1143" s="4">
        <v>84.835941840526843</v>
      </c>
      <c r="AG1143" s="4">
        <v>16.820863046278614</v>
      </c>
    </row>
    <row r="1144" spans="1:33" ht="11.25" customHeight="1" x14ac:dyDescent="0.25">
      <c r="A1144" s="3" t="s">
        <v>21</v>
      </c>
      <c r="B1144" s="3" t="s">
        <v>41</v>
      </c>
      <c r="C1144" s="3" t="s">
        <v>42</v>
      </c>
      <c r="D1144" s="3" t="s">
        <v>45</v>
      </c>
      <c r="E1144" s="3" t="s">
        <v>25</v>
      </c>
      <c r="F1144" s="3" t="s">
        <v>25</v>
      </c>
      <c r="G1144" s="3" t="s">
        <v>25</v>
      </c>
      <c r="H1144" s="3" t="s">
        <v>34</v>
      </c>
      <c r="I1144" s="6">
        <v>44593</v>
      </c>
      <c r="J1144" s="4">
        <v>0</v>
      </c>
      <c r="K1144" s="56">
        <v>0</v>
      </c>
      <c r="L1144" s="4">
        <v>25.776</v>
      </c>
      <c r="M1144" s="56">
        <v>25.776</v>
      </c>
      <c r="N1144" s="4">
        <v>25.776</v>
      </c>
      <c r="O1144" s="56">
        <v>25.776</v>
      </c>
      <c r="P1144" s="4">
        <v>0</v>
      </c>
      <c r="Q1144" s="3" t="s">
        <v>26</v>
      </c>
      <c r="R1144" s="3">
        <v>0</v>
      </c>
      <c r="S1144" s="4">
        <v>0</v>
      </c>
      <c r="T1144" s="4">
        <v>20</v>
      </c>
      <c r="U1144" s="4">
        <v>88</v>
      </c>
      <c r="V1144" s="56">
        <v>0</v>
      </c>
      <c r="W1144" s="56">
        <v>1502.0063999999998</v>
      </c>
      <c r="X1144" s="56">
        <v>350.88</v>
      </c>
      <c r="Y1144" s="56"/>
      <c r="Z1144" s="56">
        <v>1885.2431520117077</v>
      </c>
      <c r="AA1144" s="56">
        <v>373.79695658396923</v>
      </c>
      <c r="AB1144" s="4">
        <v>0</v>
      </c>
      <c r="AC1144" s="4">
        <v>38715.716966399996</v>
      </c>
      <c r="AD1144" s="4">
        <v>9044.2828800000007</v>
      </c>
      <c r="AE1144" s="4">
        <v>0</v>
      </c>
      <c r="AF1144" s="4">
        <v>48594.027486253777</v>
      </c>
      <c r="AG1144" s="4">
        <v>9634.9903529083913</v>
      </c>
    </row>
    <row r="1145" spans="1:33" ht="11.25" customHeight="1" x14ac:dyDescent="0.25">
      <c r="A1145" s="3" t="s">
        <v>27</v>
      </c>
      <c r="B1145" s="3" t="s">
        <v>41</v>
      </c>
      <c r="C1145" s="3" t="s">
        <v>42</v>
      </c>
      <c r="D1145" s="3" t="s">
        <v>45</v>
      </c>
      <c r="E1145" s="3" t="s">
        <v>25</v>
      </c>
      <c r="F1145" s="3" t="s">
        <v>25</v>
      </c>
      <c r="G1145" s="3" t="s">
        <v>25</v>
      </c>
      <c r="H1145" s="3" t="s">
        <v>34</v>
      </c>
      <c r="I1145" s="6">
        <v>44593</v>
      </c>
      <c r="J1145" s="4">
        <v>0</v>
      </c>
      <c r="K1145" s="56">
        <v>0</v>
      </c>
      <c r="L1145" s="4">
        <v>7.0000000000000001E-3</v>
      </c>
      <c r="M1145" s="56">
        <v>7.0000000000000001E-3</v>
      </c>
      <c r="N1145" s="4">
        <v>7.0000000000000001E-3</v>
      </c>
      <c r="O1145" s="56">
        <v>7.0000000000000001E-3</v>
      </c>
      <c r="P1145" s="4">
        <v>0</v>
      </c>
      <c r="Q1145" s="3" t="s">
        <v>26</v>
      </c>
      <c r="R1145" s="3">
        <v>0</v>
      </c>
      <c r="S1145" s="4">
        <v>0</v>
      </c>
      <c r="T1145" s="4">
        <v>20</v>
      </c>
      <c r="U1145" s="4">
        <v>88</v>
      </c>
      <c r="V1145" s="56">
        <v>0</v>
      </c>
      <c r="W1145" s="56">
        <v>1502.0063999999998</v>
      </c>
      <c r="X1145" s="56">
        <v>350.88</v>
      </c>
      <c r="Y1145" s="56"/>
      <c r="Z1145" s="56">
        <v>1885.2431520117077</v>
      </c>
      <c r="AA1145" s="56">
        <v>373.79695658396923</v>
      </c>
      <c r="AB1145" s="4">
        <v>0</v>
      </c>
      <c r="AC1145" s="4">
        <v>10.514044799999999</v>
      </c>
      <c r="AD1145" s="4">
        <v>2.4561600000000001</v>
      </c>
      <c r="AE1145" s="4">
        <v>0</v>
      </c>
      <c r="AF1145" s="4">
        <v>13.196702064081954</v>
      </c>
      <c r="AG1145" s="4">
        <v>2.6165786960877848</v>
      </c>
    </row>
    <row r="1146" spans="1:33" ht="11.25" customHeight="1" x14ac:dyDescent="0.25">
      <c r="A1146" s="3" t="s">
        <v>28</v>
      </c>
      <c r="B1146" s="3" t="s">
        <v>41</v>
      </c>
      <c r="C1146" s="3" t="s">
        <v>42</v>
      </c>
      <c r="D1146" s="3" t="s">
        <v>45</v>
      </c>
      <c r="E1146" s="3" t="s">
        <v>25</v>
      </c>
      <c r="F1146" s="3" t="s">
        <v>25</v>
      </c>
      <c r="G1146" s="3" t="s">
        <v>25</v>
      </c>
      <c r="H1146" s="3" t="s">
        <v>34</v>
      </c>
      <c r="I1146" s="6">
        <v>44593</v>
      </c>
      <c r="J1146" s="4">
        <v>0</v>
      </c>
      <c r="K1146" s="56">
        <v>0</v>
      </c>
      <c r="L1146" s="4">
        <v>4.4029999999999996</v>
      </c>
      <c r="M1146" s="56">
        <v>4.4029999999999996</v>
      </c>
      <c r="N1146" s="4">
        <v>4.4029999999999996</v>
      </c>
      <c r="O1146" s="56">
        <v>4.4029999999999996</v>
      </c>
      <c r="P1146" s="4">
        <v>0</v>
      </c>
      <c r="Q1146" s="3" t="s">
        <v>26</v>
      </c>
      <c r="R1146" s="3">
        <v>0</v>
      </c>
      <c r="S1146" s="4">
        <v>0</v>
      </c>
      <c r="T1146" s="4">
        <v>20</v>
      </c>
      <c r="U1146" s="4">
        <v>88</v>
      </c>
      <c r="V1146" s="56">
        <v>0</v>
      </c>
      <c r="W1146" s="56">
        <v>1502.0063999999998</v>
      </c>
      <c r="X1146" s="56">
        <v>350.88</v>
      </c>
      <c r="Y1146" s="56"/>
      <c r="Z1146" s="56">
        <v>1885.2431520117077</v>
      </c>
      <c r="AA1146" s="56">
        <v>373.79695658396923</v>
      </c>
      <c r="AB1146" s="4">
        <v>0</v>
      </c>
      <c r="AC1146" s="4">
        <v>6613.3341791999983</v>
      </c>
      <c r="AD1146" s="4">
        <v>1544.9246399999997</v>
      </c>
      <c r="AE1146" s="4">
        <v>0</v>
      </c>
      <c r="AF1146" s="4">
        <v>8300.7255983075484</v>
      </c>
      <c r="AG1146" s="4">
        <v>1645.8279998392163</v>
      </c>
    </row>
    <row r="1147" spans="1:33" ht="11.25" customHeight="1" x14ac:dyDescent="0.25">
      <c r="A1147" s="3" t="s">
        <v>56</v>
      </c>
      <c r="B1147" s="3" t="s">
        <v>41</v>
      </c>
      <c r="C1147" s="3" t="s">
        <v>42</v>
      </c>
      <c r="D1147" s="3" t="s">
        <v>45</v>
      </c>
      <c r="E1147" s="3" t="s">
        <v>25</v>
      </c>
      <c r="F1147" s="3" t="s">
        <v>25</v>
      </c>
      <c r="G1147" s="3" t="s">
        <v>25</v>
      </c>
      <c r="H1147" s="3" t="s">
        <v>34</v>
      </c>
      <c r="I1147" s="6">
        <v>44621</v>
      </c>
      <c r="J1147" s="4">
        <v>0</v>
      </c>
      <c r="K1147" s="56">
        <v>0</v>
      </c>
      <c r="L1147" s="4">
        <v>25.776</v>
      </c>
      <c r="M1147" s="56">
        <v>25.776</v>
      </c>
      <c r="N1147" s="4">
        <v>25.776</v>
      </c>
      <c r="O1147" s="56">
        <v>25.776</v>
      </c>
      <c r="P1147" s="4">
        <v>0</v>
      </c>
      <c r="Q1147" s="3" t="s">
        <v>26</v>
      </c>
      <c r="R1147" s="3">
        <v>0</v>
      </c>
      <c r="S1147" s="4">
        <v>0</v>
      </c>
      <c r="T1147" s="4">
        <v>20</v>
      </c>
      <c r="U1147" s="4">
        <v>88</v>
      </c>
      <c r="V1147" s="56">
        <v>0</v>
      </c>
      <c r="W1147" s="56">
        <v>1502.0063999999998</v>
      </c>
      <c r="X1147" s="56">
        <v>350.88</v>
      </c>
      <c r="Y1147" s="56"/>
      <c r="Z1147" s="56">
        <v>1885.2431520117077</v>
      </c>
      <c r="AA1147" s="56">
        <v>373.79695658396923</v>
      </c>
      <c r="AB1147" s="4">
        <v>0</v>
      </c>
      <c r="AC1147" s="4">
        <v>38715.716966399996</v>
      </c>
      <c r="AD1147" s="4">
        <v>9044.2828800000007</v>
      </c>
      <c r="AE1147" s="4">
        <v>0</v>
      </c>
      <c r="AF1147" s="4">
        <v>48594.027486253777</v>
      </c>
      <c r="AG1147" s="4">
        <v>9634.9903529083913</v>
      </c>
    </row>
    <row r="1148" spans="1:33" ht="11.25" customHeight="1" x14ac:dyDescent="0.25">
      <c r="A1148" s="3" t="s">
        <v>56</v>
      </c>
      <c r="B1148" s="3" t="s">
        <v>41</v>
      </c>
      <c r="C1148" s="3" t="s">
        <v>42</v>
      </c>
      <c r="D1148" s="3" t="s">
        <v>45</v>
      </c>
      <c r="E1148" s="3" t="s">
        <v>25</v>
      </c>
      <c r="F1148" s="3" t="s">
        <v>25</v>
      </c>
      <c r="G1148" s="3" t="s">
        <v>25</v>
      </c>
      <c r="H1148" s="3" t="s">
        <v>34</v>
      </c>
      <c r="I1148" s="6">
        <v>44621</v>
      </c>
      <c r="J1148" s="4">
        <v>0</v>
      </c>
      <c r="K1148" s="56">
        <v>0</v>
      </c>
      <c r="L1148" s="4">
        <v>7.0000000000000001E-3</v>
      </c>
      <c r="M1148" s="56">
        <v>7.0000000000000001E-3</v>
      </c>
      <c r="N1148" s="4">
        <v>7.0000000000000001E-3</v>
      </c>
      <c r="O1148" s="56">
        <v>7.0000000000000001E-3</v>
      </c>
      <c r="P1148" s="4">
        <v>0</v>
      </c>
      <c r="Q1148" s="3" t="s">
        <v>26</v>
      </c>
      <c r="R1148" s="3">
        <v>0</v>
      </c>
      <c r="S1148" s="4">
        <v>0</v>
      </c>
      <c r="T1148" s="4">
        <v>20</v>
      </c>
      <c r="U1148" s="4">
        <v>88</v>
      </c>
      <c r="V1148" s="56">
        <v>0</v>
      </c>
      <c r="W1148" s="56">
        <v>1502.0063999999998</v>
      </c>
      <c r="X1148" s="56">
        <v>350.88</v>
      </c>
      <c r="Y1148" s="56"/>
      <c r="Z1148" s="56">
        <v>1885.2431520117077</v>
      </c>
      <c r="AA1148" s="56">
        <v>373.79695658396923</v>
      </c>
      <c r="AB1148" s="4">
        <v>0</v>
      </c>
      <c r="AC1148" s="4">
        <v>10.514044799999999</v>
      </c>
      <c r="AD1148" s="4">
        <v>2.4561600000000001</v>
      </c>
      <c r="AE1148" s="4">
        <v>0</v>
      </c>
      <c r="AF1148" s="4">
        <v>13.196702064081954</v>
      </c>
      <c r="AG1148" s="4">
        <v>2.6165786960877848</v>
      </c>
    </row>
    <row r="1149" spans="1:33" ht="11.25" customHeight="1" x14ac:dyDescent="0.25">
      <c r="A1149" s="3" t="s">
        <v>56</v>
      </c>
      <c r="B1149" s="3" t="s">
        <v>41</v>
      </c>
      <c r="C1149" s="3" t="s">
        <v>42</v>
      </c>
      <c r="D1149" s="3" t="s">
        <v>45</v>
      </c>
      <c r="E1149" s="3" t="s">
        <v>25</v>
      </c>
      <c r="F1149" s="3" t="s">
        <v>25</v>
      </c>
      <c r="G1149" s="3" t="s">
        <v>25</v>
      </c>
      <c r="H1149" s="3" t="s">
        <v>34</v>
      </c>
      <c r="I1149" s="6">
        <v>44621</v>
      </c>
      <c r="J1149" s="4">
        <v>0</v>
      </c>
      <c r="K1149" s="56">
        <v>0</v>
      </c>
      <c r="L1149" s="4">
        <v>4.4029999999999996</v>
      </c>
      <c r="M1149" s="56">
        <v>4.4029999999999996</v>
      </c>
      <c r="N1149" s="4">
        <v>4.4029999999999996</v>
      </c>
      <c r="O1149" s="56">
        <v>4.4029999999999996</v>
      </c>
      <c r="P1149" s="4">
        <v>0</v>
      </c>
      <c r="Q1149" s="3" t="s">
        <v>26</v>
      </c>
      <c r="R1149" s="3">
        <v>0</v>
      </c>
      <c r="S1149" s="4">
        <v>0</v>
      </c>
      <c r="T1149" s="4">
        <v>20</v>
      </c>
      <c r="U1149" s="4">
        <v>88</v>
      </c>
      <c r="V1149" s="56">
        <v>0</v>
      </c>
      <c r="W1149" s="56">
        <v>1502.0063999999998</v>
      </c>
      <c r="X1149" s="56">
        <v>350.88</v>
      </c>
      <c r="Y1149" s="56"/>
      <c r="Z1149" s="56">
        <v>1885.2431520117077</v>
      </c>
      <c r="AA1149" s="56">
        <v>373.79695658396923</v>
      </c>
      <c r="AB1149" s="4">
        <v>0</v>
      </c>
      <c r="AC1149" s="4">
        <v>6613.3341791999983</v>
      </c>
      <c r="AD1149" s="4">
        <v>1544.9246399999997</v>
      </c>
      <c r="AE1149" s="4">
        <v>0</v>
      </c>
      <c r="AF1149" s="4">
        <v>8300.7255983075484</v>
      </c>
      <c r="AG1149" s="4">
        <v>1645.8279998392163</v>
      </c>
    </row>
    <row r="1150" spans="1:33" ht="11.25" customHeight="1" x14ac:dyDescent="0.25">
      <c r="A1150" s="3" t="s">
        <v>21</v>
      </c>
      <c r="B1150" s="3" t="s">
        <v>41</v>
      </c>
      <c r="C1150" s="3" t="s">
        <v>42</v>
      </c>
      <c r="D1150" s="3" t="s">
        <v>50</v>
      </c>
      <c r="E1150" s="3" t="s">
        <v>51</v>
      </c>
      <c r="F1150" s="3" t="s">
        <v>25</v>
      </c>
      <c r="G1150" s="3" t="s">
        <v>25</v>
      </c>
      <c r="H1150" s="3" t="s">
        <v>35</v>
      </c>
      <c r="I1150" s="6">
        <v>44287</v>
      </c>
      <c r="J1150" s="4">
        <v>0</v>
      </c>
      <c r="K1150" s="56">
        <v>0</v>
      </c>
      <c r="L1150" s="4">
        <v>6324.3580000000002</v>
      </c>
      <c r="M1150" s="56">
        <v>6324.3580000000002</v>
      </c>
      <c r="N1150" s="4">
        <v>6324.3580000000002</v>
      </c>
      <c r="O1150" s="56">
        <v>6324.3580000000002</v>
      </c>
      <c r="P1150" s="4">
        <v>0</v>
      </c>
      <c r="Q1150" s="3" t="s">
        <v>26</v>
      </c>
      <c r="R1150" s="3">
        <v>0</v>
      </c>
      <c r="S1150" s="4">
        <v>0</v>
      </c>
      <c r="T1150" s="4">
        <v>21</v>
      </c>
      <c r="U1150" s="4">
        <v>89</v>
      </c>
      <c r="V1150" s="56">
        <v>0</v>
      </c>
      <c r="W1150" s="56">
        <v>48.193800000000003</v>
      </c>
      <c r="X1150" s="56">
        <v>208.97139999999999</v>
      </c>
      <c r="Y1150" s="56"/>
      <c r="Z1150" s="56">
        <v>66.057178950563411</v>
      </c>
      <c r="AA1150" s="56">
        <v>228.25411005675829</v>
      </c>
      <c r="AB1150" s="4">
        <v>0</v>
      </c>
      <c r="AC1150" s="4">
        <v>304794.84458040004</v>
      </c>
      <c r="AD1150" s="4">
        <v>1321609.9453612</v>
      </c>
      <c r="AE1150" s="4">
        <v>0</v>
      </c>
      <c r="AF1150" s="4">
        <v>417769.24815342732</v>
      </c>
      <c r="AG1150" s="4">
        <v>1443560.7069703399</v>
      </c>
    </row>
    <row r="1151" spans="1:33" ht="11.25" customHeight="1" x14ac:dyDescent="0.25">
      <c r="A1151" s="3" t="s">
        <v>21</v>
      </c>
      <c r="B1151" s="3" t="s">
        <v>41</v>
      </c>
      <c r="C1151" s="3" t="s">
        <v>42</v>
      </c>
      <c r="D1151" s="3" t="s">
        <v>50</v>
      </c>
      <c r="E1151" s="3" t="s">
        <v>51</v>
      </c>
      <c r="F1151" s="3" t="s">
        <v>25</v>
      </c>
      <c r="G1151" s="3" t="s">
        <v>25</v>
      </c>
      <c r="H1151" s="3" t="s">
        <v>35</v>
      </c>
      <c r="I1151" s="6">
        <v>44317</v>
      </c>
      <c r="J1151" s="4">
        <v>0</v>
      </c>
      <c r="K1151" s="56">
        <v>0</v>
      </c>
      <c r="L1151" s="4">
        <v>6309.06</v>
      </c>
      <c r="M1151" s="56">
        <v>6309.06</v>
      </c>
      <c r="N1151" s="4">
        <v>6309.06</v>
      </c>
      <c r="O1151" s="56">
        <v>6309.06</v>
      </c>
      <c r="P1151" s="4">
        <v>0</v>
      </c>
      <c r="Q1151" s="3" t="s">
        <v>26</v>
      </c>
      <c r="R1151" s="3">
        <v>0</v>
      </c>
      <c r="S1151" s="4">
        <v>0</v>
      </c>
      <c r="T1151" s="4">
        <v>21</v>
      </c>
      <c r="U1151" s="4">
        <v>89</v>
      </c>
      <c r="V1151" s="56">
        <v>0</v>
      </c>
      <c r="W1151" s="56">
        <v>48.193800000000003</v>
      </c>
      <c r="X1151" s="56">
        <v>208.97139999999999</v>
      </c>
      <c r="Y1151" s="56"/>
      <c r="Z1151" s="56">
        <v>66.057178950563411</v>
      </c>
      <c r="AA1151" s="56">
        <v>228.25411005675829</v>
      </c>
      <c r="AB1151" s="4">
        <v>0</v>
      </c>
      <c r="AC1151" s="4">
        <v>304057.57582800003</v>
      </c>
      <c r="AD1151" s="4">
        <v>1318413.1008840001</v>
      </c>
      <c r="AE1151" s="4">
        <v>0</v>
      </c>
      <c r="AF1151" s="4">
        <v>416758.70542984165</v>
      </c>
      <c r="AG1151" s="4">
        <v>1440068.8755946916</v>
      </c>
    </row>
    <row r="1152" spans="1:33" ht="11.25" customHeight="1" x14ac:dyDescent="0.25">
      <c r="A1152" s="3" t="s">
        <v>21</v>
      </c>
      <c r="B1152" s="3" t="s">
        <v>41</v>
      </c>
      <c r="C1152" s="3" t="s">
        <v>42</v>
      </c>
      <c r="D1152" s="3" t="s">
        <v>50</v>
      </c>
      <c r="E1152" s="3" t="s">
        <v>51</v>
      </c>
      <c r="F1152" s="3" t="s">
        <v>25</v>
      </c>
      <c r="G1152" s="3" t="s">
        <v>25</v>
      </c>
      <c r="H1152" s="3" t="s">
        <v>35</v>
      </c>
      <c r="I1152" s="6">
        <v>44348</v>
      </c>
      <c r="J1152" s="4">
        <v>0</v>
      </c>
      <c r="K1152" s="56">
        <v>0</v>
      </c>
      <c r="L1152" s="4">
        <v>4076.402</v>
      </c>
      <c r="M1152" s="56">
        <v>4076.402</v>
      </c>
      <c r="N1152" s="4">
        <v>4076.402</v>
      </c>
      <c r="O1152" s="56">
        <v>4076.402</v>
      </c>
      <c r="P1152" s="4">
        <v>0</v>
      </c>
      <c r="Q1152" s="3" t="s">
        <v>26</v>
      </c>
      <c r="R1152" s="3">
        <v>0</v>
      </c>
      <c r="S1152" s="4">
        <v>0</v>
      </c>
      <c r="T1152" s="4">
        <v>21</v>
      </c>
      <c r="U1152" s="4">
        <v>89</v>
      </c>
      <c r="V1152" s="56">
        <v>0</v>
      </c>
      <c r="W1152" s="56">
        <v>48.193800000000003</v>
      </c>
      <c r="X1152" s="56">
        <v>208.97139999999999</v>
      </c>
      <c r="Y1152" s="56"/>
      <c r="Z1152" s="56">
        <v>66.057178950563411</v>
      </c>
      <c r="AA1152" s="56">
        <v>228.25411005675829</v>
      </c>
      <c r="AB1152" s="4">
        <v>0</v>
      </c>
      <c r="AC1152" s="4">
        <v>196457.30270760003</v>
      </c>
      <c r="AD1152" s="4">
        <v>851851.43290279992</v>
      </c>
      <c r="AE1152" s="4">
        <v>0</v>
      </c>
      <c r="AF1152" s="4">
        <v>269275.6163884346</v>
      </c>
      <c r="AG1152" s="4">
        <v>930455.51074358961</v>
      </c>
    </row>
    <row r="1153" spans="1:33" ht="11.25" customHeight="1" x14ac:dyDescent="0.25">
      <c r="A1153" s="3" t="s">
        <v>21</v>
      </c>
      <c r="B1153" s="3" t="s">
        <v>41</v>
      </c>
      <c r="C1153" s="3" t="s">
        <v>42</v>
      </c>
      <c r="D1153" s="3" t="s">
        <v>50</v>
      </c>
      <c r="E1153" s="3" t="s">
        <v>51</v>
      </c>
      <c r="F1153" s="3" t="s">
        <v>25</v>
      </c>
      <c r="G1153" s="3" t="s">
        <v>25</v>
      </c>
      <c r="H1153" s="3" t="s">
        <v>35</v>
      </c>
      <c r="I1153" s="6">
        <v>44378</v>
      </c>
      <c r="J1153" s="4">
        <v>0</v>
      </c>
      <c r="K1153" s="56">
        <v>0</v>
      </c>
      <c r="L1153" s="4">
        <v>4288.4340000000002</v>
      </c>
      <c r="M1153" s="56">
        <v>4288.4340000000002</v>
      </c>
      <c r="N1153" s="4">
        <v>4288.4340000000002</v>
      </c>
      <c r="O1153" s="56">
        <v>4288.4340000000002</v>
      </c>
      <c r="P1153" s="4">
        <v>0</v>
      </c>
      <c r="Q1153" s="3" t="s">
        <v>26</v>
      </c>
      <c r="R1153" s="3">
        <v>0</v>
      </c>
      <c r="S1153" s="4">
        <v>0</v>
      </c>
      <c r="T1153" s="4">
        <v>21</v>
      </c>
      <c r="U1153" s="4">
        <v>89</v>
      </c>
      <c r="V1153" s="56">
        <v>0</v>
      </c>
      <c r="W1153" s="56">
        <v>48.193800000000003</v>
      </c>
      <c r="X1153" s="56">
        <v>208.97139999999999</v>
      </c>
      <c r="Y1153" s="56"/>
      <c r="Z1153" s="56">
        <v>66.057178950563411</v>
      </c>
      <c r="AA1153" s="56">
        <v>228.25411005675829</v>
      </c>
      <c r="AB1153" s="4">
        <v>0</v>
      </c>
      <c r="AC1153" s="4">
        <v>206675.93050920003</v>
      </c>
      <c r="AD1153" s="4">
        <v>896160.05678760004</v>
      </c>
      <c r="AE1153" s="4">
        <v>0</v>
      </c>
      <c r="AF1153" s="4">
        <v>283281.85215568048</v>
      </c>
      <c r="AG1153" s="4">
        <v>978852.68620714429</v>
      </c>
    </row>
    <row r="1154" spans="1:33" ht="11.25" customHeight="1" x14ac:dyDescent="0.25">
      <c r="A1154" s="3" t="s">
        <v>27</v>
      </c>
      <c r="B1154" s="3" t="s">
        <v>41</v>
      </c>
      <c r="C1154" s="3" t="s">
        <v>42</v>
      </c>
      <c r="D1154" s="3" t="s">
        <v>50</v>
      </c>
      <c r="E1154" s="3" t="s">
        <v>51</v>
      </c>
      <c r="F1154" s="3" t="s">
        <v>25</v>
      </c>
      <c r="G1154" s="3" t="s">
        <v>25</v>
      </c>
      <c r="H1154" s="3" t="s">
        <v>35</v>
      </c>
      <c r="I1154" s="6">
        <v>44378</v>
      </c>
      <c r="J1154" s="4">
        <v>0</v>
      </c>
      <c r="K1154" s="56">
        <v>0</v>
      </c>
      <c r="L1154" s="4">
        <v>-5.7969999999999997</v>
      </c>
      <c r="M1154" s="56">
        <v>-5.7969999999999997</v>
      </c>
      <c r="N1154" s="4">
        <v>-5.7969999999999997</v>
      </c>
      <c r="O1154" s="56">
        <v>-5.7969999999999997</v>
      </c>
      <c r="P1154" s="4">
        <v>0</v>
      </c>
      <c r="Q1154" s="3" t="s">
        <v>26</v>
      </c>
      <c r="R1154" s="3">
        <v>0</v>
      </c>
      <c r="S1154" s="4">
        <v>0</v>
      </c>
      <c r="T1154" s="4">
        <v>21</v>
      </c>
      <c r="U1154" s="4">
        <v>89</v>
      </c>
      <c r="V1154" s="56">
        <v>0</v>
      </c>
      <c r="W1154" s="56">
        <v>48.193800000000003</v>
      </c>
      <c r="X1154" s="56">
        <v>208.97139999999999</v>
      </c>
      <c r="Y1154" s="56"/>
      <c r="Z1154" s="56">
        <v>66.057178950563411</v>
      </c>
      <c r="AA1154" s="56">
        <v>228.25411005675829</v>
      </c>
      <c r="AB1154" s="4">
        <v>0</v>
      </c>
      <c r="AC1154" s="4">
        <v>-279.37945860000002</v>
      </c>
      <c r="AD1154" s="4">
        <v>-1211.4072057999999</v>
      </c>
      <c r="AE1154" s="4">
        <v>0</v>
      </c>
      <c r="AF1154" s="4">
        <v>-382.93346637641605</v>
      </c>
      <c r="AG1154" s="4">
        <v>-1323.1890759990279</v>
      </c>
    </row>
    <row r="1155" spans="1:33" ht="11.25" customHeight="1" x14ac:dyDescent="0.25">
      <c r="A1155" s="3" t="s">
        <v>21</v>
      </c>
      <c r="B1155" s="3" t="s">
        <v>41</v>
      </c>
      <c r="C1155" s="3" t="s">
        <v>42</v>
      </c>
      <c r="D1155" s="3" t="s">
        <v>50</v>
      </c>
      <c r="E1155" s="3" t="s">
        <v>51</v>
      </c>
      <c r="F1155" s="3" t="s">
        <v>25</v>
      </c>
      <c r="G1155" s="3" t="s">
        <v>25</v>
      </c>
      <c r="H1155" s="3" t="s">
        <v>35</v>
      </c>
      <c r="I1155" s="6">
        <v>44409</v>
      </c>
      <c r="J1155" s="4">
        <v>0</v>
      </c>
      <c r="K1155" s="56">
        <v>0</v>
      </c>
      <c r="L1155" s="4">
        <v>3834.7689999999998</v>
      </c>
      <c r="M1155" s="56">
        <v>3834.7689999999998</v>
      </c>
      <c r="N1155" s="4">
        <v>3834.7689999999998</v>
      </c>
      <c r="O1155" s="56">
        <v>3834.7689999999998</v>
      </c>
      <c r="P1155" s="4">
        <v>0</v>
      </c>
      <c r="Q1155" s="3" t="s">
        <v>26</v>
      </c>
      <c r="R1155" s="3">
        <v>0</v>
      </c>
      <c r="S1155" s="4">
        <v>0</v>
      </c>
      <c r="T1155" s="4">
        <v>21</v>
      </c>
      <c r="U1155" s="4">
        <v>89</v>
      </c>
      <c r="V1155" s="56">
        <v>0</v>
      </c>
      <c r="W1155" s="56">
        <v>48.193800000000003</v>
      </c>
      <c r="X1155" s="56">
        <v>208.97139999999999</v>
      </c>
      <c r="Y1155" s="56"/>
      <c r="Z1155" s="56">
        <v>66.057178950563411</v>
      </c>
      <c r="AA1155" s="56">
        <v>228.25411005675829</v>
      </c>
      <c r="AB1155" s="4">
        <v>0</v>
      </c>
      <c r="AC1155" s="4">
        <v>184812.09023219999</v>
      </c>
      <c r="AD1155" s="4">
        <v>801357.04660659994</v>
      </c>
      <c r="AE1155" s="4">
        <v>0</v>
      </c>
      <c r="AF1155" s="4">
        <v>253314.02206707309</v>
      </c>
      <c r="AG1155" s="4">
        <v>875301.78536824486</v>
      </c>
    </row>
    <row r="1156" spans="1:33" ht="11.25" customHeight="1" x14ac:dyDescent="0.25">
      <c r="A1156" s="3" t="s">
        <v>21</v>
      </c>
      <c r="B1156" s="3" t="s">
        <v>41</v>
      </c>
      <c r="C1156" s="3" t="s">
        <v>42</v>
      </c>
      <c r="D1156" s="3" t="s">
        <v>50</v>
      </c>
      <c r="E1156" s="3" t="s">
        <v>51</v>
      </c>
      <c r="F1156" s="3" t="s">
        <v>25</v>
      </c>
      <c r="G1156" s="3" t="s">
        <v>25</v>
      </c>
      <c r="H1156" s="3" t="s">
        <v>35</v>
      </c>
      <c r="I1156" s="6">
        <v>44440</v>
      </c>
      <c r="J1156" s="4">
        <v>0</v>
      </c>
      <c r="K1156" s="56">
        <v>0</v>
      </c>
      <c r="L1156" s="4">
        <v>3731.7869999999998</v>
      </c>
      <c r="M1156" s="56">
        <v>3731.7869999999998</v>
      </c>
      <c r="N1156" s="4">
        <v>3731.7869999999998</v>
      </c>
      <c r="O1156" s="56">
        <v>3731.7869999999998</v>
      </c>
      <c r="P1156" s="4">
        <v>0</v>
      </c>
      <c r="Q1156" s="3" t="s">
        <v>26</v>
      </c>
      <c r="R1156" s="3">
        <v>0</v>
      </c>
      <c r="S1156" s="4">
        <v>0</v>
      </c>
      <c r="T1156" s="4">
        <v>21</v>
      </c>
      <c r="U1156" s="4">
        <v>89</v>
      </c>
      <c r="V1156" s="56">
        <v>0</v>
      </c>
      <c r="W1156" s="56">
        <v>48.193800000000003</v>
      </c>
      <c r="X1156" s="56">
        <v>208.97139999999999</v>
      </c>
      <c r="Y1156" s="56"/>
      <c r="Z1156" s="56">
        <v>66.057178950563411</v>
      </c>
      <c r="AA1156" s="56">
        <v>228.25411005675829</v>
      </c>
      <c r="AB1156" s="4">
        <v>0</v>
      </c>
      <c r="AC1156" s="4">
        <v>179848.99632060001</v>
      </c>
      <c r="AD1156" s="4">
        <v>779836.75389179995</v>
      </c>
      <c r="AE1156" s="4">
        <v>0</v>
      </c>
      <c r="AF1156" s="4">
        <v>246511.32166438617</v>
      </c>
      <c r="AG1156" s="4">
        <v>851795.72060637979</v>
      </c>
    </row>
    <row r="1157" spans="1:33" ht="11.25" customHeight="1" x14ac:dyDescent="0.25">
      <c r="A1157" s="3" t="s">
        <v>21</v>
      </c>
      <c r="B1157" s="3" t="s">
        <v>41</v>
      </c>
      <c r="C1157" s="3" t="s">
        <v>42</v>
      </c>
      <c r="D1157" s="3" t="s">
        <v>50</v>
      </c>
      <c r="E1157" s="3" t="s">
        <v>51</v>
      </c>
      <c r="F1157" s="3" t="s">
        <v>25</v>
      </c>
      <c r="G1157" s="3" t="s">
        <v>25</v>
      </c>
      <c r="H1157" s="3" t="s">
        <v>35</v>
      </c>
      <c r="I1157" s="6">
        <v>44470</v>
      </c>
      <c r="J1157" s="4">
        <v>0</v>
      </c>
      <c r="K1157" s="56">
        <v>0</v>
      </c>
      <c r="L1157" s="4">
        <v>3771.1889999999999</v>
      </c>
      <c r="M1157" s="56">
        <v>3771.1889999999999</v>
      </c>
      <c r="N1157" s="4">
        <v>3771.1889999999999</v>
      </c>
      <c r="O1157" s="56">
        <v>3771.1889999999999</v>
      </c>
      <c r="P1157" s="4">
        <v>0</v>
      </c>
      <c r="Q1157" s="3" t="s">
        <v>26</v>
      </c>
      <c r="R1157" s="3">
        <v>0</v>
      </c>
      <c r="S1157" s="4">
        <v>0</v>
      </c>
      <c r="T1157" s="4">
        <v>21</v>
      </c>
      <c r="U1157" s="4">
        <v>89</v>
      </c>
      <c r="V1157" s="56">
        <v>0</v>
      </c>
      <c r="W1157" s="56">
        <v>48.193800000000003</v>
      </c>
      <c r="X1157" s="56">
        <v>208.97139999999999</v>
      </c>
      <c r="Y1157" s="56"/>
      <c r="Z1157" s="56">
        <v>66.057178950563411</v>
      </c>
      <c r="AA1157" s="56">
        <v>228.25411005675829</v>
      </c>
      <c r="AB1157" s="4">
        <v>0</v>
      </c>
      <c r="AC1157" s="4">
        <v>181747.92842820002</v>
      </c>
      <c r="AD1157" s="4">
        <v>788070.64499459998</v>
      </c>
      <c r="AE1157" s="4">
        <v>0</v>
      </c>
      <c r="AF1157" s="4">
        <v>249114.10662939626</v>
      </c>
      <c r="AG1157" s="4">
        <v>860789.38905083621</v>
      </c>
    </row>
    <row r="1158" spans="1:33" ht="11.25" customHeight="1" x14ac:dyDescent="0.25">
      <c r="A1158" s="3" t="s">
        <v>21</v>
      </c>
      <c r="B1158" s="3" t="s">
        <v>41</v>
      </c>
      <c r="C1158" s="3" t="s">
        <v>42</v>
      </c>
      <c r="D1158" s="3" t="s">
        <v>50</v>
      </c>
      <c r="E1158" s="3" t="s">
        <v>51</v>
      </c>
      <c r="F1158" s="3" t="s">
        <v>25</v>
      </c>
      <c r="G1158" s="3" t="s">
        <v>25</v>
      </c>
      <c r="H1158" s="3" t="s">
        <v>35</v>
      </c>
      <c r="I1158" s="6">
        <v>44501</v>
      </c>
      <c r="J1158" s="4">
        <v>0</v>
      </c>
      <c r="K1158" s="56">
        <v>0</v>
      </c>
      <c r="L1158" s="4">
        <v>3388.88</v>
      </c>
      <c r="M1158" s="56">
        <v>3388.88</v>
      </c>
      <c r="N1158" s="4">
        <v>3388.88</v>
      </c>
      <c r="O1158" s="56">
        <v>3388.88</v>
      </c>
      <c r="P1158" s="4">
        <v>0</v>
      </c>
      <c r="Q1158" s="3" t="s">
        <v>26</v>
      </c>
      <c r="R1158" s="3">
        <v>0</v>
      </c>
      <c r="S1158" s="4">
        <v>0</v>
      </c>
      <c r="T1158" s="4">
        <v>21</v>
      </c>
      <c r="U1158" s="4">
        <v>89</v>
      </c>
      <c r="V1158" s="56">
        <v>0</v>
      </c>
      <c r="W1158" s="56">
        <v>48.193800000000003</v>
      </c>
      <c r="X1158" s="56">
        <v>208.97139999999999</v>
      </c>
      <c r="Y1158" s="56"/>
      <c r="Z1158" s="56">
        <v>66.057178950563411</v>
      </c>
      <c r="AA1158" s="56">
        <v>228.25411005675829</v>
      </c>
      <c r="AB1158" s="4">
        <v>0</v>
      </c>
      <c r="AC1158" s="4">
        <v>163323.00494400001</v>
      </c>
      <c r="AD1158" s="4">
        <v>708178.99803200003</v>
      </c>
      <c r="AE1158" s="4">
        <v>0</v>
      </c>
      <c r="AF1158" s="4">
        <v>223859.85260198533</v>
      </c>
      <c r="AG1158" s="4">
        <v>773525.78848914709</v>
      </c>
    </row>
    <row r="1159" spans="1:33" ht="11.25" customHeight="1" x14ac:dyDescent="0.25">
      <c r="A1159" s="3" t="s">
        <v>21</v>
      </c>
      <c r="B1159" s="3" t="s">
        <v>41</v>
      </c>
      <c r="C1159" s="3" t="s">
        <v>42</v>
      </c>
      <c r="D1159" s="3" t="s">
        <v>50</v>
      </c>
      <c r="E1159" s="3" t="s">
        <v>51</v>
      </c>
      <c r="F1159" s="3" t="s">
        <v>25</v>
      </c>
      <c r="G1159" s="3" t="s">
        <v>25</v>
      </c>
      <c r="H1159" s="3" t="s">
        <v>35</v>
      </c>
      <c r="I1159" s="6">
        <v>44531</v>
      </c>
      <c r="J1159" s="4">
        <v>0</v>
      </c>
      <c r="K1159" s="56">
        <v>0</v>
      </c>
      <c r="L1159" s="4">
        <v>3739.8969999999999</v>
      </c>
      <c r="M1159" s="56">
        <v>3739.8969999999999</v>
      </c>
      <c r="N1159" s="4">
        <v>3739.8969999999999</v>
      </c>
      <c r="O1159" s="56">
        <v>3739.8969999999999</v>
      </c>
      <c r="P1159" s="4">
        <v>0</v>
      </c>
      <c r="Q1159" s="3" t="s">
        <v>26</v>
      </c>
      <c r="R1159" s="3">
        <v>0</v>
      </c>
      <c r="S1159" s="4">
        <v>0</v>
      </c>
      <c r="T1159" s="4">
        <v>21</v>
      </c>
      <c r="U1159" s="4">
        <v>89</v>
      </c>
      <c r="V1159" s="56">
        <v>0</v>
      </c>
      <c r="W1159" s="56">
        <v>48.193800000000003</v>
      </c>
      <c r="X1159" s="56">
        <v>208.97139999999999</v>
      </c>
      <c r="Y1159" s="56"/>
      <c r="Z1159" s="56">
        <v>66.057178950563411</v>
      </c>
      <c r="AA1159" s="56">
        <v>228.25411005675829</v>
      </c>
      <c r="AB1159" s="4">
        <v>0</v>
      </c>
      <c r="AC1159" s="4">
        <v>180239.8480386</v>
      </c>
      <c r="AD1159" s="4">
        <v>781531.51194579992</v>
      </c>
      <c r="AE1159" s="4">
        <v>0</v>
      </c>
      <c r="AF1159" s="4">
        <v>247047.04538567524</v>
      </c>
      <c r="AG1159" s="4">
        <v>853646.86143894016</v>
      </c>
    </row>
    <row r="1160" spans="1:33" ht="11.25" customHeight="1" x14ac:dyDescent="0.25">
      <c r="A1160" s="3" t="s">
        <v>21</v>
      </c>
      <c r="B1160" s="3" t="s">
        <v>41</v>
      </c>
      <c r="C1160" s="3" t="s">
        <v>42</v>
      </c>
      <c r="D1160" s="3" t="s">
        <v>50</v>
      </c>
      <c r="E1160" s="3" t="s">
        <v>51</v>
      </c>
      <c r="F1160" s="3" t="s">
        <v>25</v>
      </c>
      <c r="G1160" s="3" t="s">
        <v>25</v>
      </c>
      <c r="H1160" s="3" t="s">
        <v>35</v>
      </c>
      <c r="I1160" s="6">
        <v>44562</v>
      </c>
      <c r="J1160" s="4">
        <v>0</v>
      </c>
      <c r="K1160" s="56">
        <v>0</v>
      </c>
      <c r="L1160" s="4">
        <v>3930.538</v>
      </c>
      <c r="M1160" s="56">
        <v>3930.538</v>
      </c>
      <c r="N1160" s="4">
        <v>3930.538</v>
      </c>
      <c r="O1160" s="56">
        <v>3930.538</v>
      </c>
      <c r="P1160" s="4">
        <v>0</v>
      </c>
      <c r="Q1160" s="3" t="s">
        <v>26</v>
      </c>
      <c r="R1160" s="3">
        <v>0</v>
      </c>
      <c r="S1160" s="4">
        <v>0</v>
      </c>
      <c r="T1160" s="4">
        <v>21</v>
      </c>
      <c r="U1160" s="4">
        <v>89</v>
      </c>
      <c r="V1160" s="56">
        <v>0</v>
      </c>
      <c r="W1160" s="56">
        <v>48.193800000000003</v>
      </c>
      <c r="X1160" s="56">
        <v>208.97139999999999</v>
      </c>
      <c r="Y1160" s="56"/>
      <c r="Z1160" s="56">
        <v>66.057178950563411</v>
      </c>
      <c r="AA1160" s="56">
        <v>228.25411005675829</v>
      </c>
      <c r="AB1160" s="4">
        <v>0</v>
      </c>
      <c r="AC1160" s="4">
        <v>189427.56226440001</v>
      </c>
      <c r="AD1160" s="4">
        <v>821370.02861319995</v>
      </c>
      <c r="AE1160" s="4">
        <v>0</v>
      </c>
      <c r="AF1160" s="4">
        <v>259640.25203798962</v>
      </c>
      <c r="AG1160" s="4">
        <v>897161.45323427068</v>
      </c>
    </row>
    <row r="1161" spans="1:33" ht="11.25" customHeight="1" x14ac:dyDescent="0.25">
      <c r="A1161" s="3" t="s">
        <v>21</v>
      </c>
      <c r="B1161" s="3" t="s">
        <v>41</v>
      </c>
      <c r="C1161" s="3" t="s">
        <v>42</v>
      </c>
      <c r="D1161" s="3" t="s">
        <v>50</v>
      </c>
      <c r="E1161" s="3" t="s">
        <v>51</v>
      </c>
      <c r="F1161" s="3" t="s">
        <v>25</v>
      </c>
      <c r="G1161" s="3" t="s">
        <v>25</v>
      </c>
      <c r="H1161" s="3" t="s">
        <v>35</v>
      </c>
      <c r="I1161" s="6">
        <v>44593</v>
      </c>
      <c r="J1161" s="4">
        <v>0</v>
      </c>
      <c r="K1161" s="56">
        <v>0</v>
      </c>
      <c r="L1161" s="4">
        <v>3564.7330000000002</v>
      </c>
      <c r="M1161" s="56">
        <v>3564.7330000000002</v>
      </c>
      <c r="N1161" s="4">
        <v>3564.7330000000002</v>
      </c>
      <c r="O1161" s="56">
        <v>3564.7330000000002</v>
      </c>
      <c r="P1161" s="4">
        <v>0</v>
      </c>
      <c r="Q1161" s="3" t="s">
        <v>26</v>
      </c>
      <c r="R1161" s="3">
        <v>0</v>
      </c>
      <c r="S1161" s="4">
        <v>0</v>
      </c>
      <c r="T1161" s="4">
        <v>21</v>
      </c>
      <c r="U1161" s="4">
        <v>89</v>
      </c>
      <c r="V1161" s="56">
        <v>0</v>
      </c>
      <c r="W1161" s="56">
        <v>48.193800000000003</v>
      </c>
      <c r="X1161" s="56">
        <v>208.97139999999999</v>
      </c>
      <c r="Y1161" s="56"/>
      <c r="Z1161" s="56">
        <v>66.057178950563411</v>
      </c>
      <c r="AA1161" s="56">
        <v>228.25411005675829</v>
      </c>
      <c r="AB1161" s="4">
        <v>0</v>
      </c>
      <c r="AC1161" s="4">
        <v>171798.02925540003</v>
      </c>
      <c r="AD1161" s="4">
        <v>744927.24563619995</v>
      </c>
      <c r="AE1161" s="4">
        <v>0</v>
      </c>
      <c r="AF1161" s="4">
        <v>235476.20569197877</v>
      </c>
      <c r="AG1161" s="4">
        <v>813664.95850495819</v>
      </c>
    </row>
    <row r="1162" spans="1:33" ht="11.25" customHeight="1" x14ac:dyDescent="0.25">
      <c r="A1162" s="3" t="s">
        <v>56</v>
      </c>
      <c r="B1162" s="3" t="s">
        <v>41</v>
      </c>
      <c r="C1162" s="3" t="s">
        <v>42</v>
      </c>
      <c r="D1162" s="3" t="s">
        <v>50</v>
      </c>
      <c r="E1162" s="3" t="s">
        <v>51</v>
      </c>
      <c r="F1162" s="3" t="s">
        <v>25</v>
      </c>
      <c r="G1162" s="3" t="s">
        <v>25</v>
      </c>
      <c r="H1162" s="3" t="s">
        <v>35</v>
      </c>
      <c r="I1162" s="6">
        <v>44621</v>
      </c>
      <c r="J1162" s="4">
        <v>0</v>
      </c>
      <c r="K1162" s="56">
        <v>0</v>
      </c>
      <c r="L1162" s="4">
        <v>3564.7330000000002</v>
      </c>
      <c r="M1162" s="56">
        <v>3564.7330000000002</v>
      </c>
      <c r="N1162" s="4">
        <v>3564.7330000000002</v>
      </c>
      <c r="O1162" s="56">
        <v>3564.7330000000002</v>
      </c>
      <c r="P1162" s="4">
        <v>0</v>
      </c>
      <c r="Q1162" s="3" t="s">
        <v>26</v>
      </c>
      <c r="R1162" s="3">
        <v>0</v>
      </c>
      <c r="S1162" s="4">
        <v>0</v>
      </c>
      <c r="T1162" s="4">
        <v>21</v>
      </c>
      <c r="U1162" s="4">
        <v>89</v>
      </c>
      <c r="V1162" s="56">
        <v>0</v>
      </c>
      <c r="W1162" s="56">
        <v>48.193800000000003</v>
      </c>
      <c r="X1162" s="56">
        <v>208.97139999999999</v>
      </c>
      <c r="Y1162" s="56"/>
      <c r="Z1162" s="56">
        <v>66.057178950563411</v>
      </c>
      <c r="AA1162" s="56">
        <v>228.25411005675829</v>
      </c>
      <c r="AB1162" s="4">
        <v>0</v>
      </c>
      <c r="AC1162" s="4">
        <v>171798.02925540003</v>
      </c>
      <c r="AD1162" s="4">
        <v>744927.24563619995</v>
      </c>
      <c r="AE1162" s="4">
        <v>0</v>
      </c>
      <c r="AF1162" s="4">
        <v>235476.20569197877</v>
      </c>
      <c r="AG1162" s="4">
        <v>813664.95850495819</v>
      </c>
    </row>
    <row r="1163" spans="1:33" ht="11.25" customHeight="1" x14ac:dyDescent="0.25">
      <c r="A1163" s="3" t="s">
        <v>21</v>
      </c>
      <c r="B1163" s="3" t="s">
        <v>41</v>
      </c>
      <c r="C1163" s="3" t="s">
        <v>42</v>
      </c>
      <c r="D1163" s="3" t="s">
        <v>50</v>
      </c>
      <c r="E1163" s="3" t="s">
        <v>51</v>
      </c>
      <c r="F1163" s="3" t="s">
        <v>25</v>
      </c>
      <c r="G1163" s="3" t="s">
        <v>25</v>
      </c>
      <c r="H1163" s="3" t="s">
        <v>25</v>
      </c>
      <c r="I1163" s="6">
        <v>44287</v>
      </c>
      <c r="J1163" s="4">
        <v>14195</v>
      </c>
      <c r="K1163" s="57">
        <v>14195</v>
      </c>
      <c r="L1163" s="4">
        <v>0</v>
      </c>
      <c r="M1163" s="56">
        <v>0</v>
      </c>
      <c r="N1163" s="4">
        <v>0</v>
      </c>
      <c r="O1163" s="56">
        <v>0</v>
      </c>
      <c r="P1163" s="4">
        <v>58</v>
      </c>
      <c r="Q1163" s="3" t="s">
        <v>26</v>
      </c>
      <c r="R1163" s="3">
        <v>0</v>
      </c>
      <c r="S1163" s="4">
        <v>44</v>
      </c>
      <c r="T1163" s="4">
        <v>0</v>
      </c>
      <c r="U1163" s="4">
        <v>0</v>
      </c>
      <c r="V1163" s="56">
        <v>22.851399999999998</v>
      </c>
      <c r="W1163" s="56">
        <v>0</v>
      </c>
      <c r="X1163" s="56">
        <v>0</v>
      </c>
      <c r="Y1163" s="56">
        <v>26.951221819299537</v>
      </c>
      <c r="Z1163" s="56"/>
      <c r="AA1163" s="56"/>
      <c r="AB1163" s="4">
        <v>324375.62299999996</v>
      </c>
      <c r="AC1163" s="4">
        <v>0</v>
      </c>
      <c r="AD1163" s="4">
        <v>0</v>
      </c>
      <c r="AE1163" s="4">
        <v>382572.59372495691</v>
      </c>
      <c r="AF1163" s="4">
        <v>0</v>
      </c>
      <c r="AG1163" s="4">
        <v>0</v>
      </c>
    </row>
    <row r="1164" spans="1:33" ht="11.25" customHeight="1" x14ac:dyDescent="0.25">
      <c r="A1164" s="3" t="s">
        <v>21</v>
      </c>
      <c r="B1164" s="3" t="s">
        <v>41</v>
      </c>
      <c r="C1164" s="3" t="s">
        <v>42</v>
      </c>
      <c r="D1164" s="3" t="s">
        <v>50</v>
      </c>
      <c r="E1164" s="3" t="s">
        <v>51</v>
      </c>
      <c r="F1164" s="3" t="s">
        <v>25</v>
      </c>
      <c r="G1164" s="3" t="s">
        <v>25</v>
      </c>
      <c r="H1164" s="3" t="s">
        <v>25</v>
      </c>
      <c r="I1164" s="6">
        <v>44317</v>
      </c>
      <c r="J1164" s="4">
        <v>14252</v>
      </c>
      <c r="K1164" s="57">
        <v>14252</v>
      </c>
      <c r="L1164" s="4">
        <v>0</v>
      </c>
      <c r="M1164" s="56">
        <v>0</v>
      </c>
      <c r="N1164" s="4">
        <v>0</v>
      </c>
      <c r="O1164" s="56">
        <v>0</v>
      </c>
      <c r="P1164" s="4">
        <v>58</v>
      </c>
      <c r="Q1164" s="3" t="s">
        <v>26</v>
      </c>
      <c r="R1164" s="3">
        <v>0</v>
      </c>
      <c r="S1164" s="4">
        <v>44</v>
      </c>
      <c r="T1164" s="4">
        <v>0</v>
      </c>
      <c r="U1164" s="4">
        <v>0</v>
      </c>
      <c r="V1164" s="56">
        <v>22.851399999999998</v>
      </c>
      <c r="W1164" s="56">
        <v>0</v>
      </c>
      <c r="X1164" s="56">
        <v>0</v>
      </c>
      <c r="Y1164" s="56">
        <v>26.951221819299537</v>
      </c>
      <c r="Z1164" s="56"/>
      <c r="AA1164" s="56"/>
      <c r="AB1164" s="4">
        <v>325678.15279999998</v>
      </c>
      <c r="AC1164" s="4">
        <v>0</v>
      </c>
      <c r="AD1164" s="4">
        <v>0</v>
      </c>
      <c r="AE1164" s="4">
        <v>384108.81336865702</v>
      </c>
      <c r="AF1164" s="4">
        <v>0</v>
      </c>
      <c r="AG1164" s="4">
        <v>0</v>
      </c>
    </row>
    <row r="1165" spans="1:33" ht="11.25" customHeight="1" x14ac:dyDescent="0.25">
      <c r="A1165" s="3" t="s">
        <v>21</v>
      </c>
      <c r="B1165" s="3" t="s">
        <v>41</v>
      </c>
      <c r="C1165" s="3" t="s">
        <v>42</v>
      </c>
      <c r="D1165" s="3" t="s">
        <v>50</v>
      </c>
      <c r="E1165" s="3" t="s">
        <v>51</v>
      </c>
      <c r="F1165" s="3" t="s">
        <v>25</v>
      </c>
      <c r="G1165" s="3" t="s">
        <v>25</v>
      </c>
      <c r="H1165" s="3" t="s">
        <v>25</v>
      </c>
      <c r="I1165" s="6">
        <v>44348</v>
      </c>
      <c r="J1165" s="4">
        <v>9983</v>
      </c>
      <c r="K1165" s="57">
        <v>9983</v>
      </c>
      <c r="L1165" s="4">
        <v>0</v>
      </c>
      <c r="M1165" s="56">
        <v>0</v>
      </c>
      <c r="N1165" s="4">
        <v>0</v>
      </c>
      <c r="O1165" s="56">
        <v>0</v>
      </c>
      <c r="P1165" s="4">
        <v>53</v>
      </c>
      <c r="Q1165" s="3" t="s">
        <v>26</v>
      </c>
      <c r="R1165" s="3">
        <v>0</v>
      </c>
      <c r="S1165" s="4">
        <v>44</v>
      </c>
      <c r="T1165" s="4">
        <v>0</v>
      </c>
      <c r="U1165" s="4">
        <v>0</v>
      </c>
      <c r="V1165" s="56">
        <v>22.851399999999998</v>
      </c>
      <c r="W1165" s="56">
        <v>0</v>
      </c>
      <c r="X1165" s="56">
        <v>0</v>
      </c>
      <c r="Y1165" s="56">
        <v>26.951221819299537</v>
      </c>
      <c r="Z1165" s="56"/>
      <c r="AA1165" s="56"/>
      <c r="AB1165" s="4">
        <v>228125.52619999999</v>
      </c>
      <c r="AC1165" s="4">
        <v>0</v>
      </c>
      <c r="AD1165" s="4">
        <v>0</v>
      </c>
      <c r="AE1165" s="4">
        <v>269054.04742206726</v>
      </c>
      <c r="AF1165" s="4">
        <v>0</v>
      </c>
      <c r="AG1165" s="4">
        <v>0</v>
      </c>
    </row>
    <row r="1166" spans="1:33" ht="11.25" customHeight="1" x14ac:dyDescent="0.25">
      <c r="A1166" s="3" t="s">
        <v>21</v>
      </c>
      <c r="B1166" s="3" t="s">
        <v>41</v>
      </c>
      <c r="C1166" s="3" t="s">
        <v>42</v>
      </c>
      <c r="D1166" s="3" t="s">
        <v>50</v>
      </c>
      <c r="E1166" s="3" t="s">
        <v>51</v>
      </c>
      <c r="F1166" s="3" t="s">
        <v>25</v>
      </c>
      <c r="G1166" s="3" t="s">
        <v>25</v>
      </c>
      <c r="H1166" s="3" t="s">
        <v>25</v>
      </c>
      <c r="I1166" s="6">
        <v>44378</v>
      </c>
      <c r="J1166" s="4">
        <v>9891</v>
      </c>
      <c r="K1166" s="57">
        <v>9891</v>
      </c>
      <c r="L1166" s="4">
        <v>0</v>
      </c>
      <c r="M1166" s="56">
        <v>0</v>
      </c>
      <c r="N1166" s="4">
        <v>0</v>
      </c>
      <c r="O1166" s="56">
        <v>0</v>
      </c>
      <c r="P1166" s="4">
        <v>51</v>
      </c>
      <c r="Q1166" s="3" t="s">
        <v>26</v>
      </c>
      <c r="R1166" s="3">
        <v>0</v>
      </c>
      <c r="S1166" s="4">
        <v>44</v>
      </c>
      <c r="T1166" s="4">
        <v>0</v>
      </c>
      <c r="U1166" s="4">
        <v>0</v>
      </c>
      <c r="V1166" s="56">
        <v>22.851399999999998</v>
      </c>
      <c r="W1166" s="56">
        <v>0</v>
      </c>
      <c r="X1166" s="56">
        <v>0</v>
      </c>
      <c r="Y1166" s="56">
        <v>26.951221819299537</v>
      </c>
      <c r="Z1166" s="56"/>
      <c r="AA1166" s="56"/>
      <c r="AB1166" s="4">
        <v>226023.19739999998</v>
      </c>
      <c r="AC1166" s="4">
        <v>0</v>
      </c>
      <c r="AD1166" s="4">
        <v>0</v>
      </c>
      <c r="AE1166" s="4">
        <v>266574.5350146917</v>
      </c>
      <c r="AF1166" s="4">
        <v>0</v>
      </c>
      <c r="AG1166" s="4">
        <v>0</v>
      </c>
    </row>
    <row r="1167" spans="1:33" ht="11.25" customHeight="1" x14ac:dyDescent="0.25">
      <c r="A1167" s="3" t="s">
        <v>21</v>
      </c>
      <c r="B1167" s="3" t="s">
        <v>41</v>
      </c>
      <c r="C1167" s="3" t="s">
        <v>42</v>
      </c>
      <c r="D1167" s="3" t="s">
        <v>50</v>
      </c>
      <c r="E1167" s="3" t="s">
        <v>51</v>
      </c>
      <c r="F1167" s="3" t="s">
        <v>25</v>
      </c>
      <c r="G1167" s="3" t="s">
        <v>25</v>
      </c>
      <c r="H1167" s="3" t="s">
        <v>25</v>
      </c>
      <c r="I1167" s="6">
        <v>44409</v>
      </c>
      <c r="J1167" s="4">
        <v>8790</v>
      </c>
      <c r="K1167" s="57">
        <v>8790</v>
      </c>
      <c r="L1167" s="4">
        <v>0</v>
      </c>
      <c r="M1167" s="56">
        <v>0</v>
      </c>
      <c r="N1167" s="4">
        <v>0</v>
      </c>
      <c r="O1167" s="56">
        <v>0</v>
      </c>
      <c r="P1167" s="4">
        <v>50</v>
      </c>
      <c r="Q1167" s="3" t="s">
        <v>26</v>
      </c>
      <c r="R1167" s="3">
        <v>0</v>
      </c>
      <c r="S1167" s="4">
        <v>44</v>
      </c>
      <c r="T1167" s="4">
        <v>0</v>
      </c>
      <c r="U1167" s="4">
        <v>0</v>
      </c>
      <c r="V1167" s="56">
        <v>22.851399999999998</v>
      </c>
      <c r="W1167" s="56">
        <v>0</v>
      </c>
      <c r="X1167" s="56">
        <v>0</v>
      </c>
      <c r="Y1167" s="56">
        <v>26.951221819299537</v>
      </c>
      <c r="Z1167" s="56"/>
      <c r="AA1167" s="56"/>
      <c r="AB1167" s="4">
        <v>200863.80599999998</v>
      </c>
      <c r="AC1167" s="4">
        <v>0</v>
      </c>
      <c r="AD1167" s="4">
        <v>0</v>
      </c>
      <c r="AE1167" s="4">
        <v>236901.23979164293</v>
      </c>
      <c r="AF1167" s="4">
        <v>0</v>
      </c>
      <c r="AG1167" s="4">
        <v>0</v>
      </c>
    </row>
    <row r="1168" spans="1:33" ht="11.25" customHeight="1" x14ac:dyDescent="0.25">
      <c r="A1168" s="3" t="s">
        <v>21</v>
      </c>
      <c r="B1168" s="3" t="s">
        <v>41</v>
      </c>
      <c r="C1168" s="3" t="s">
        <v>42</v>
      </c>
      <c r="D1168" s="3" t="s">
        <v>50</v>
      </c>
      <c r="E1168" s="3" t="s">
        <v>51</v>
      </c>
      <c r="F1168" s="3" t="s">
        <v>25</v>
      </c>
      <c r="G1168" s="3" t="s">
        <v>25</v>
      </c>
      <c r="H1168" s="3" t="s">
        <v>25</v>
      </c>
      <c r="I1168" s="6">
        <v>44440</v>
      </c>
      <c r="J1168" s="4">
        <v>8837</v>
      </c>
      <c r="K1168" s="57">
        <v>8837</v>
      </c>
      <c r="L1168" s="4">
        <v>0</v>
      </c>
      <c r="M1168" s="56">
        <v>0</v>
      </c>
      <c r="N1168" s="4">
        <v>0</v>
      </c>
      <c r="O1168" s="56">
        <v>0</v>
      </c>
      <c r="P1168" s="4">
        <v>50</v>
      </c>
      <c r="Q1168" s="3" t="s">
        <v>26</v>
      </c>
      <c r="R1168" s="3">
        <v>0</v>
      </c>
      <c r="S1168" s="4">
        <v>44</v>
      </c>
      <c r="T1168" s="4">
        <v>0</v>
      </c>
      <c r="U1168" s="4">
        <v>0</v>
      </c>
      <c r="V1168" s="56">
        <v>22.851399999999998</v>
      </c>
      <c r="W1168" s="56">
        <v>0</v>
      </c>
      <c r="X1168" s="56">
        <v>0</v>
      </c>
      <c r="Y1168" s="56">
        <v>26.951221819299537</v>
      </c>
      <c r="Z1168" s="56"/>
      <c r="AA1168" s="56"/>
      <c r="AB1168" s="4">
        <v>201937.82179999998</v>
      </c>
      <c r="AC1168" s="4">
        <v>0</v>
      </c>
      <c r="AD1168" s="4">
        <v>0</v>
      </c>
      <c r="AE1168" s="4">
        <v>238167.94721715001</v>
      </c>
      <c r="AF1168" s="4">
        <v>0</v>
      </c>
      <c r="AG1168" s="4">
        <v>0</v>
      </c>
    </row>
    <row r="1169" spans="1:33" ht="11.25" customHeight="1" x14ac:dyDescent="0.25">
      <c r="A1169" s="3" t="s">
        <v>21</v>
      </c>
      <c r="B1169" s="3" t="s">
        <v>41</v>
      </c>
      <c r="C1169" s="3" t="s">
        <v>42</v>
      </c>
      <c r="D1169" s="3" t="s">
        <v>50</v>
      </c>
      <c r="E1169" s="3" t="s">
        <v>51</v>
      </c>
      <c r="F1169" s="3" t="s">
        <v>25</v>
      </c>
      <c r="G1169" s="3" t="s">
        <v>25</v>
      </c>
      <c r="H1169" s="3" t="s">
        <v>25</v>
      </c>
      <c r="I1169" s="6">
        <v>44470</v>
      </c>
      <c r="J1169" s="4">
        <v>8702</v>
      </c>
      <c r="K1169" s="57">
        <v>8702</v>
      </c>
      <c r="L1169" s="4">
        <v>0</v>
      </c>
      <c r="M1169" s="56">
        <v>0</v>
      </c>
      <c r="N1169" s="4">
        <v>0</v>
      </c>
      <c r="O1169" s="56">
        <v>0</v>
      </c>
      <c r="P1169" s="4">
        <v>50</v>
      </c>
      <c r="Q1169" s="3" t="s">
        <v>26</v>
      </c>
      <c r="R1169" s="3">
        <v>0</v>
      </c>
      <c r="S1169" s="4">
        <v>44</v>
      </c>
      <c r="T1169" s="4">
        <v>0</v>
      </c>
      <c r="U1169" s="4">
        <v>0</v>
      </c>
      <c r="V1169" s="56">
        <v>22.851399999999998</v>
      </c>
      <c r="W1169" s="56">
        <v>0</v>
      </c>
      <c r="X1169" s="56">
        <v>0</v>
      </c>
      <c r="Y1169" s="56">
        <v>26.951221819299537</v>
      </c>
      <c r="Z1169" s="56"/>
      <c r="AA1169" s="56"/>
      <c r="AB1169" s="4">
        <v>198852.88279999999</v>
      </c>
      <c r="AC1169" s="4">
        <v>0</v>
      </c>
      <c r="AD1169" s="4">
        <v>0</v>
      </c>
      <c r="AE1169" s="4">
        <v>234529.53227154457</v>
      </c>
      <c r="AF1169" s="4">
        <v>0</v>
      </c>
      <c r="AG1169" s="4">
        <v>0</v>
      </c>
    </row>
    <row r="1170" spans="1:33" ht="11.25" customHeight="1" x14ac:dyDescent="0.25">
      <c r="A1170" s="3" t="s">
        <v>21</v>
      </c>
      <c r="B1170" s="3" t="s">
        <v>41</v>
      </c>
      <c r="C1170" s="3" t="s">
        <v>42</v>
      </c>
      <c r="D1170" s="3" t="s">
        <v>50</v>
      </c>
      <c r="E1170" s="3" t="s">
        <v>51</v>
      </c>
      <c r="F1170" s="3" t="s">
        <v>25</v>
      </c>
      <c r="G1170" s="3" t="s">
        <v>25</v>
      </c>
      <c r="H1170" s="3" t="s">
        <v>25</v>
      </c>
      <c r="I1170" s="6">
        <v>44501</v>
      </c>
      <c r="J1170" s="4">
        <v>8809</v>
      </c>
      <c r="K1170" s="57">
        <v>8809</v>
      </c>
      <c r="L1170" s="4">
        <v>0</v>
      </c>
      <c r="M1170" s="56">
        <v>0</v>
      </c>
      <c r="N1170" s="4">
        <v>0</v>
      </c>
      <c r="O1170" s="56">
        <v>0</v>
      </c>
      <c r="P1170" s="4">
        <v>51</v>
      </c>
      <c r="Q1170" s="3" t="s">
        <v>26</v>
      </c>
      <c r="R1170" s="3">
        <v>0</v>
      </c>
      <c r="S1170" s="4">
        <v>44</v>
      </c>
      <c r="T1170" s="4">
        <v>0</v>
      </c>
      <c r="U1170" s="4">
        <v>0</v>
      </c>
      <c r="V1170" s="56">
        <v>22.851399999999998</v>
      </c>
      <c r="W1170" s="56">
        <v>0</v>
      </c>
      <c r="X1170" s="56">
        <v>0</v>
      </c>
      <c r="Y1170" s="56">
        <v>26.951221819299537</v>
      </c>
      <c r="Z1170" s="56"/>
      <c r="AA1170" s="56"/>
      <c r="AB1170" s="4">
        <v>201297.98259999999</v>
      </c>
      <c r="AC1170" s="4">
        <v>0</v>
      </c>
      <c r="AD1170" s="4">
        <v>0</v>
      </c>
      <c r="AE1170" s="4">
        <v>237413.31300620962</v>
      </c>
      <c r="AF1170" s="4">
        <v>0</v>
      </c>
      <c r="AG1170" s="4">
        <v>0</v>
      </c>
    </row>
    <row r="1171" spans="1:33" ht="11.25" customHeight="1" x14ac:dyDescent="0.25">
      <c r="A1171" s="3" t="s">
        <v>21</v>
      </c>
      <c r="B1171" s="3" t="s">
        <v>41</v>
      </c>
      <c r="C1171" s="3" t="s">
        <v>42</v>
      </c>
      <c r="D1171" s="3" t="s">
        <v>50</v>
      </c>
      <c r="E1171" s="3" t="s">
        <v>51</v>
      </c>
      <c r="F1171" s="3" t="s">
        <v>25</v>
      </c>
      <c r="G1171" s="3" t="s">
        <v>25</v>
      </c>
      <c r="H1171" s="3" t="s">
        <v>25</v>
      </c>
      <c r="I1171" s="6">
        <v>44531</v>
      </c>
      <c r="J1171" s="4">
        <v>8757</v>
      </c>
      <c r="K1171" s="57">
        <v>8757</v>
      </c>
      <c r="L1171" s="4">
        <v>0</v>
      </c>
      <c r="M1171" s="56">
        <v>0</v>
      </c>
      <c r="N1171" s="4">
        <v>0</v>
      </c>
      <c r="O1171" s="56">
        <v>0</v>
      </c>
      <c r="P1171" s="4">
        <v>49</v>
      </c>
      <c r="Q1171" s="3" t="s">
        <v>26</v>
      </c>
      <c r="R1171" s="3">
        <v>0</v>
      </c>
      <c r="S1171" s="4">
        <v>44</v>
      </c>
      <c r="T1171" s="4">
        <v>0</v>
      </c>
      <c r="U1171" s="4">
        <v>0</v>
      </c>
      <c r="V1171" s="56">
        <v>22.851399999999998</v>
      </c>
      <c r="W1171" s="56">
        <v>0</v>
      </c>
      <c r="X1171" s="56">
        <v>0</v>
      </c>
      <c r="Y1171" s="56">
        <v>26.951221819299537</v>
      </c>
      <c r="Z1171" s="56"/>
      <c r="AA1171" s="56"/>
      <c r="AB1171" s="4">
        <v>200109.70979999998</v>
      </c>
      <c r="AC1171" s="4">
        <v>0</v>
      </c>
      <c r="AD1171" s="4">
        <v>0</v>
      </c>
      <c r="AE1171" s="4">
        <v>236011.84947160605</v>
      </c>
      <c r="AF1171" s="4">
        <v>0</v>
      </c>
      <c r="AG1171" s="4">
        <v>0</v>
      </c>
    </row>
    <row r="1172" spans="1:33" ht="11.25" customHeight="1" x14ac:dyDescent="0.25">
      <c r="A1172" s="3" t="s">
        <v>21</v>
      </c>
      <c r="B1172" s="3" t="s">
        <v>41</v>
      </c>
      <c r="C1172" s="3" t="s">
        <v>42</v>
      </c>
      <c r="D1172" s="3" t="s">
        <v>50</v>
      </c>
      <c r="E1172" s="3" t="s">
        <v>51</v>
      </c>
      <c r="F1172" s="3" t="s">
        <v>25</v>
      </c>
      <c r="G1172" s="3" t="s">
        <v>25</v>
      </c>
      <c r="H1172" s="3" t="s">
        <v>25</v>
      </c>
      <c r="I1172" s="6">
        <v>44562</v>
      </c>
      <c r="J1172" s="4">
        <v>8848</v>
      </c>
      <c r="K1172" s="57">
        <v>8848</v>
      </c>
      <c r="L1172" s="4">
        <v>0</v>
      </c>
      <c r="M1172" s="56">
        <v>0</v>
      </c>
      <c r="N1172" s="4">
        <v>0</v>
      </c>
      <c r="O1172" s="56">
        <v>0</v>
      </c>
      <c r="P1172" s="4">
        <v>50</v>
      </c>
      <c r="Q1172" s="3" t="s">
        <v>26</v>
      </c>
      <c r="R1172" s="3">
        <v>0</v>
      </c>
      <c r="S1172" s="4">
        <v>44</v>
      </c>
      <c r="T1172" s="4">
        <v>0</v>
      </c>
      <c r="U1172" s="4">
        <v>0</v>
      </c>
      <c r="V1172" s="56">
        <v>22.851399999999998</v>
      </c>
      <c r="W1172" s="56">
        <v>0</v>
      </c>
      <c r="X1172" s="56">
        <v>0</v>
      </c>
      <c r="Y1172" s="56">
        <v>26.951221819299537</v>
      </c>
      <c r="Z1172" s="56"/>
      <c r="AA1172" s="56"/>
      <c r="AB1172" s="4">
        <v>202189.18719999999</v>
      </c>
      <c r="AC1172" s="4">
        <v>0</v>
      </c>
      <c r="AD1172" s="4">
        <v>0</v>
      </c>
      <c r="AE1172" s="4">
        <v>238464.41065716231</v>
      </c>
      <c r="AF1172" s="4">
        <v>0</v>
      </c>
      <c r="AG1172" s="4">
        <v>0</v>
      </c>
    </row>
    <row r="1173" spans="1:33" ht="11.25" customHeight="1" x14ac:dyDescent="0.25">
      <c r="A1173" s="3" t="s">
        <v>21</v>
      </c>
      <c r="B1173" s="3" t="s">
        <v>41</v>
      </c>
      <c r="C1173" s="3" t="s">
        <v>42</v>
      </c>
      <c r="D1173" s="3" t="s">
        <v>50</v>
      </c>
      <c r="E1173" s="3" t="s">
        <v>51</v>
      </c>
      <c r="F1173" s="3" t="s">
        <v>25</v>
      </c>
      <c r="G1173" s="3" t="s">
        <v>25</v>
      </c>
      <c r="H1173" s="3" t="s">
        <v>25</v>
      </c>
      <c r="I1173" s="6">
        <v>44593</v>
      </c>
      <c r="J1173" s="4">
        <v>8890</v>
      </c>
      <c r="K1173" s="57">
        <v>8890</v>
      </c>
      <c r="L1173" s="4">
        <v>0</v>
      </c>
      <c r="M1173" s="56">
        <v>0</v>
      </c>
      <c r="N1173" s="4">
        <v>0</v>
      </c>
      <c r="O1173" s="56">
        <v>0</v>
      </c>
      <c r="P1173" s="4">
        <v>51</v>
      </c>
      <c r="Q1173" s="3" t="s">
        <v>26</v>
      </c>
      <c r="R1173" s="3">
        <v>0</v>
      </c>
      <c r="S1173" s="4">
        <v>44</v>
      </c>
      <c r="T1173" s="4">
        <v>0</v>
      </c>
      <c r="U1173" s="4">
        <v>0</v>
      </c>
      <c r="V1173" s="56">
        <v>22.851399999999998</v>
      </c>
      <c r="W1173" s="56">
        <v>0</v>
      </c>
      <c r="X1173" s="56">
        <v>0</v>
      </c>
      <c r="Y1173" s="56">
        <v>26.951221819299537</v>
      </c>
      <c r="Z1173" s="56"/>
      <c r="AA1173" s="56"/>
      <c r="AB1173" s="4">
        <v>203148.946</v>
      </c>
      <c r="AC1173" s="4">
        <v>0</v>
      </c>
      <c r="AD1173" s="4">
        <v>0</v>
      </c>
      <c r="AE1173" s="4">
        <v>239596.36197357287</v>
      </c>
      <c r="AF1173" s="4">
        <v>0</v>
      </c>
      <c r="AG1173" s="4">
        <v>0</v>
      </c>
    </row>
    <row r="1174" spans="1:33" ht="11.25" customHeight="1" x14ac:dyDescent="0.25">
      <c r="A1174" s="3" t="s">
        <v>27</v>
      </c>
      <c r="B1174" s="3" t="s">
        <v>41</v>
      </c>
      <c r="C1174" s="3" t="s">
        <v>42</v>
      </c>
      <c r="D1174" s="3" t="s">
        <v>50</v>
      </c>
      <c r="E1174" s="3" t="s">
        <v>51</v>
      </c>
      <c r="F1174" s="3" t="s">
        <v>25</v>
      </c>
      <c r="G1174" s="3" t="s">
        <v>25</v>
      </c>
      <c r="H1174" s="3" t="s">
        <v>25</v>
      </c>
      <c r="I1174" s="6">
        <v>44593</v>
      </c>
      <c r="J1174" s="4">
        <v>30</v>
      </c>
      <c r="K1174" s="57">
        <v>30</v>
      </c>
      <c r="L1174" s="4">
        <v>0</v>
      </c>
      <c r="M1174" s="56">
        <v>0</v>
      </c>
      <c r="N1174" s="4">
        <v>0</v>
      </c>
      <c r="O1174" s="56">
        <v>0</v>
      </c>
      <c r="P1174" s="4">
        <v>0</v>
      </c>
      <c r="Q1174" s="3" t="s">
        <v>26</v>
      </c>
      <c r="R1174" s="3">
        <v>0</v>
      </c>
      <c r="S1174" s="4">
        <v>44</v>
      </c>
      <c r="T1174" s="4">
        <v>0</v>
      </c>
      <c r="U1174" s="4">
        <v>0</v>
      </c>
      <c r="V1174" s="56">
        <v>22.851399999999998</v>
      </c>
      <c r="W1174" s="56">
        <v>0</v>
      </c>
      <c r="X1174" s="56">
        <v>0</v>
      </c>
      <c r="Y1174" s="56">
        <v>26.951221819299537</v>
      </c>
      <c r="Z1174" s="56"/>
      <c r="AA1174" s="56"/>
      <c r="AB1174" s="4">
        <v>685.54199999999992</v>
      </c>
      <c r="AC1174" s="4">
        <v>0</v>
      </c>
      <c r="AD1174" s="4">
        <v>0</v>
      </c>
      <c r="AE1174" s="4">
        <v>808.53665457898614</v>
      </c>
      <c r="AF1174" s="4">
        <v>0</v>
      </c>
      <c r="AG1174" s="4">
        <v>0</v>
      </c>
    </row>
    <row r="1175" spans="1:33" ht="11.25" customHeight="1" x14ac:dyDescent="0.25">
      <c r="A1175" s="3" t="s">
        <v>56</v>
      </c>
      <c r="B1175" s="3" t="s">
        <v>41</v>
      </c>
      <c r="C1175" s="3" t="s">
        <v>42</v>
      </c>
      <c r="D1175" s="3" t="s">
        <v>50</v>
      </c>
      <c r="E1175" s="3" t="s">
        <v>51</v>
      </c>
      <c r="F1175" s="3" t="s">
        <v>25</v>
      </c>
      <c r="G1175" s="3" t="s">
        <v>25</v>
      </c>
      <c r="H1175" s="3" t="s">
        <v>25</v>
      </c>
      <c r="I1175" s="6">
        <v>44621</v>
      </c>
      <c r="J1175" s="4">
        <v>8890</v>
      </c>
      <c r="K1175" s="57">
        <v>8890</v>
      </c>
      <c r="L1175" s="4">
        <v>0</v>
      </c>
      <c r="M1175" s="56">
        <v>0</v>
      </c>
      <c r="N1175" s="4">
        <v>0</v>
      </c>
      <c r="O1175" s="56">
        <v>0</v>
      </c>
      <c r="P1175" s="4">
        <v>51</v>
      </c>
      <c r="Q1175" s="3" t="s">
        <v>26</v>
      </c>
      <c r="R1175" s="3">
        <v>0</v>
      </c>
      <c r="S1175" s="4">
        <v>44</v>
      </c>
      <c r="T1175" s="4">
        <v>0</v>
      </c>
      <c r="U1175" s="4">
        <v>0</v>
      </c>
      <c r="V1175" s="56">
        <v>22.851399999999998</v>
      </c>
      <c r="W1175" s="56">
        <v>0</v>
      </c>
      <c r="X1175" s="56">
        <v>0</v>
      </c>
      <c r="Y1175" s="56">
        <v>26.951221819299537</v>
      </c>
      <c r="Z1175" s="56"/>
      <c r="AA1175" s="56"/>
      <c r="AB1175" s="4">
        <v>203148.946</v>
      </c>
      <c r="AC1175" s="4">
        <v>0</v>
      </c>
      <c r="AD1175" s="4">
        <v>0</v>
      </c>
      <c r="AE1175" s="4">
        <v>239596.36197357287</v>
      </c>
      <c r="AF1175" s="4">
        <v>0</v>
      </c>
      <c r="AG1175" s="4">
        <v>0</v>
      </c>
    </row>
    <row r="1176" spans="1:33" ht="11.25" customHeight="1" x14ac:dyDescent="0.25">
      <c r="A1176" s="3" t="s">
        <v>56</v>
      </c>
      <c r="B1176" s="3" t="s">
        <v>41</v>
      </c>
      <c r="C1176" s="3" t="s">
        <v>42</v>
      </c>
      <c r="D1176" s="3" t="s">
        <v>50</v>
      </c>
      <c r="E1176" s="3" t="s">
        <v>51</v>
      </c>
      <c r="F1176" s="3" t="s">
        <v>25</v>
      </c>
      <c r="G1176" s="3" t="s">
        <v>25</v>
      </c>
      <c r="H1176" s="3" t="s">
        <v>25</v>
      </c>
      <c r="I1176" s="6">
        <v>44621</v>
      </c>
      <c r="J1176" s="4">
        <v>30</v>
      </c>
      <c r="K1176" s="57">
        <v>30</v>
      </c>
      <c r="L1176" s="4">
        <v>0</v>
      </c>
      <c r="M1176" s="56">
        <v>0</v>
      </c>
      <c r="N1176" s="4">
        <v>0</v>
      </c>
      <c r="O1176" s="56">
        <v>0</v>
      </c>
      <c r="P1176" s="4">
        <v>0</v>
      </c>
      <c r="Q1176" s="3" t="s">
        <v>26</v>
      </c>
      <c r="R1176" s="3">
        <v>0</v>
      </c>
      <c r="S1176" s="4">
        <v>44</v>
      </c>
      <c r="T1176" s="4">
        <v>0</v>
      </c>
      <c r="U1176" s="4">
        <v>0</v>
      </c>
      <c r="V1176" s="56">
        <v>22.851399999999998</v>
      </c>
      <c r="W1176" s="56">
        <v>0</v>
      </c>
      <c r="X1176" s="56">
        <v>0</v>
      </c>
      <c r="Y1176" s="56">
        <v>26.951221819299537</v>
      </c>
      <c r="Z1176" s="56"/>
      <c r="AA1176" s="56"/>
      <c r="AB1176" s="4">
        <v>685.54199999999992</v>
      </c>
      <c r="AC1176" s="4">
        <v>0</v>
      </c>
      <c r="AD1176" s="4">
        <v>0</v>
      </c>
      <c r="AE1176" s="4">
        <v>808.53665457898614</v>
      </c>
      <c r="AF1176" s="4">
        <v>0</v>
      </c>
      <c r="AG1176" s="4">
        <v>0</v>
      </c>
    </row>
    <row r="1177" spans="1:33" ht="11.25" customHeight="1" x14ac:dyDescent="0.25">
      <c r="A1177" s="3" t="s">
        <v>21</v>
      </c>
      <c r="B1177" s="3" t="s">
        <v>41</v>
      </c>
      <c r="C1177" s="3" t="s">
        <v>42</v>
      </c>
      <c r="D1177" s="3" t="s">
        <v>50</v>
      </c>
      <c r="E1177" s="3" t="s">
        <v>51</v>
      </c>
      <c r="F1177" s="3" t="s">
        <v>25</v>
      </c>
      <c r="G1177" s="3" t="s">
        <v>25</v>
      </c>
      <c r="H1177" s="3" t="s">
        <v>34</v>
      </c>
      <c r="I1177" s="6">
        <v>44287</v>
      </c>
      <c r="J1177" s="4">
        <v>0</v>
      </c>
      <c r="K1177" s="56">
        <v>0</v>
      </c>
      <c r="L1177" s="4">
        <v>517</v>
      </c>
      <c r="M1177" s="56">
        <v>517</v>
      </c>
      <c r="N1177" s="4">
        <v>517</v>
      </c>
      <c r="O1177" s="56">
        <v>517</v>
      </c>
      <c r="P1177" s="4">
        <v>0</v>
      </c>
      <c r="Q1177" s="3" t="s">
        <v>26</v>
      </c>
      <c r="R1177" s="3">
        <v>0</v>
      </c>
      <c r="S1177" s="4">
        <v>0</v>
      </c>
      <c r="T1177" s="4">
        <v>20</v>
      </c>
      <c r="U1177" s="4">
        <v>88</v>
      </c>
      <c r="V1177" s="56">
        <v>0</v>
      </c>
      <c r="W1177" s="56">
        <v>1470.7145999999998</v>
      </c>
      <c r="X1177" s="56">
        <v>343.57</v>
      </c>
      <c r="Y1177" s="56"/>
      <c r="Z1177" s="56">
        <v>1866.00597699118</v>
      </c>
      <c r="AA1177" s="56">
        <v>369.98270192494914</v>
      </c>
      <c r="AB1177" s="4">
        <v>0</v>
      </c>
      <c r="AC1177" s="4">
        <v>760359.44819999987</v>
      </c>
      <c r="AD1177" s="4">
        <v>177625.69</v>
      </c>
      <c r="AE1177" s="4">
        <v>0</v>
      </c>
      <c r="AF1177" s="4">
        <v>964725.09010443999</v>
      </c>
      <c r="AG1177" s="4">
        <v>191281.05689519871</v>
      </c>
    </row>
    <row r="1178" spans="1:33" ht="11.25" customHeight="1" x14ac:dyDescent="0.25">
      <c r="A1178" s="3" t="s">
        <v>21</v>
      </c>
      <c r="B1178" s="3" t="s">
        <v>41</v>
      </c>
      <c r="C1178" s="3" t="s">
        <v>42</v>
      </c>
      <c r="D1178" s="3" t="s">
        <v>50</v>
      </c>
      <c r="E1178" s="3" t="s">
        <v>51</v>
      </c>
      <c r="F1178" s="3" t="s">
        <v>25</v>
      </c>
      <c r="G1178" s="3" t="s">
        <v>25</v>
      </c>
      <c r="H1178" s="3" t="s">
        <v>34</v>
      </c>
      <c r="I1178" s="6">
        <v>44317</v>
      </c>
      <c r="J1178" s="4">
        <v>0</v>
      </c>
      <c r="K1178" s="56">
        <v>0</v>
      </c>
      <c r="L1178" s="4">
        <v>467.923</v>
      </c>
      <c r="M1178" s="56">
        <v>467.923</v>
      </c>
      <c r="N1178" s="4">
        <v>467.923</v>
      </c>
      <c r="O1178" s="56">
        <v>467.923</v>
      </c>
      <c r="P1178" s="4">
        <v>0</v>
      </c>
      <c r="Q1178" s="3" t="s">
        <v>26</v>
      </c>
      <c r="R1178" s="3">
        <v>0</v>
      </c>
      <c r="S1178" s="4">
        <v>0</v>
      </c>
      <c r="T1178" s="4">
        <v>20</v>
      </c>
      <c r="U1178" s="4">
        <v>88</v>
      </c>
      <c r="V1178" s="56">
        <v>0</v>
      </c>
      <c r="W1178" s="56">
        <v>1470.7145999999998</v>
      </c>
      <c r="X1178" s="56">
        <v>343.57</v>
      </c>
      <c r="Y1178" s="56"/>
      <c r="Z1178" s="56">
        <v>1866.00597699118</v>
      </c>
      <c r="AA1178" s="56">
        <v>369.98270192494914</v>
      </c>
      <c r="AB1178" s="4">
        <v>0</v>
      </c>
      <c r="AC1178" s="4">
        <v>688181.18777579989</v>
      </c>
      <c r="AD1178" s="4">
        <v>160764.30510999999</v>
      </c>
      <c r="AE1178" s="4">
        <v>0</v>
      </c>
      <c r="AF1178" s="4">
        <v>873147.11477164389</v>
      </c>
      <c r="AG1178" s="4">
        <v>173123.41583282797</v>
      </c>
    </row>
    <row r="1179" spans="1:33" ht="11.25" customHeight="1" x14ac:dyDescent="0.25">
      <c r="A1179" s="3" t="s">
        <v>21</v>
      </c>
      <c r="B1179" s="3" t="s">
        <v>41</v>
      </c>
      <c r="C1179" s="3" t="s">
        <v>42</v>
      </c>
      <c r="D1179" s="3" t="s">
        <v>50</v>
      </c>
      <c r="E1179" s="3" t="s">
        <v>51</v>
      </c>
      <c r="F1179" s="3" t="s">
        <v>25</v>
      </c>
      <c r="G1179" s="3" t="s">
        <v>25</v>
      </c>
      <c r="H1179" s="3" t="s">
        <v>34</v>
      </c>
      <c r="I1179" s="6">
        <v>44348</v>
      </c>
      <c r="J1179" s="4">
        <v>0</v>
      </c>
      <c r="K1179" s="56">
        <v>0</v>
      </c>
      <c r="L1179" s="4">
        <v>309.91500000000002</v>
      </c>
      <c r="M1179" s="56">
        <v>309.91500000000002</v>
      </c>
      <c r="N1179" s="4">
        <v>309.91500000000002</v>
      </c>
      <c r="O1179" s="56">
        <v>309.91500000000002</v>
      </c>
      <c r="P1179" s="4">
        <v>0</v>
      </c>
      <c r="Q1179" s="3" t="s">
        <v>26</v>
      </c>
      <c r="R1179" s="3">
        <v>0</v>
      </c>
      <c r="S1179" s="4">
        <v>0</v>
      </c>
      <c r="T1179" s="4">
        <v>20</v>
      </c>
      <c r="U1179" s="4">
        <v>88</v>
      </c>
      <c r="V1179" s="56">
        <v>0</v>
      </c>
      <c r="W1179" s="56">
        <v>1470.7145999999998</v>
      </c>
      <c r="X1179" s="56">
        <v>343.57</v>
      </c>
      <c r="Y1179" s="56"/>
      <c r="Z1179" s="56">
        <v>1866.00597699118</v>
      </c>
      <c r="AA1179" s="56">
        <v>369.98270192494914</v>
      </c>
      <c r="AB1179" s="4">
        <v>0</v>
      </c>
      <c r="AC1179" s="4">
        <v>455796.51525899995</v>
      </c>
      <c r="AD1179" s="4">
        <v>106477.49655000001</v>
      </c>
      <c r="AE1179" s="4">
        <v>0</v>
      </c>
      <c r="AF1179" s="4">
        <v>578303.24235922156</v>
      </c>
      <c r="AG1179" s="4">
        <v>114663.18906707062</v>
      </c>
    </row>
    <row r="1180" spans="1:33" ht="11.25" customHeight="1" x14ac:dyDescent="0.25">
      <c r="A1180" s="3" t="s">
        <v>21</v>
      </c>
      <c r="B1180" s="3" t="s">
        <v>41</v>
      </c>
      <c r="C1180" s="3" t="s">
        <v>42</v>
      </c>
      <c r="D1180" s="3" t="s">
        <v>50</v>
      </c>
      <c r="E1180" s="3" t="s">
        <v>51</v>
      </c>
      <c r="F1180" s="3" t="s">
        <v>25</v>
      </c>
      <c r="G1180" s="3" t="s">
        <v>25</v>
      </c>
      <c r="H1180" s="3" t="s">
        <v>34</v>
      </c>
      <c r="I1180" s="6">
        <v>44378</v>
      </c>
      <c r="J1180" s="4">
        <v>0</v>
      </c>
      <c r="K1180" s="56">
        <v>0</v>
      </c>
      <c r="L1180" s="4">
        <v>338.399</v>
      </c>
      <c r="M1180" s="56">
        <v>338.399</v>
      </c>
      <c r="N1180" s="4">
        <v>338.399</v>
      </c>
      <c r="O1180" s="56">
        <v>338.399</v>
      </c>
      <c r="P1180" s="4">
        <v>0</v>
      </c>
      <c r="Q1180" s="3" t="s">
        <v>26</v>
      </c>
      <c r="R1180" s="3">
        <v>0</v>
      </c>
      <c r="S1180" s="4">
        <v>0</v>
      </c>
      <c r="T1180" s="4">
        <v>20</v>
      </c>
      <c r="U1180" s="4">
        <v>88</v>
      </c>
      <c r="V1180" s="56">
        <v>0</v>
      </c>
      <c r="W1180" s="56">
        <v>1470.7145999999998</v>
      </c>
      <c r="X1180" s="56">
        <v>343.57</v>
      </c>
      <c r="Y1180" s="56"/>
      <c r="Z1180" s="56">
        <v>1866.00597699118</v>
      </c>
      <c r="AA1180" s="56">
        <v>369.98270192494914</v>
      </c>
      <c r="AB1180" s="4">
        <v>0</v>
      </c>
      <c r="AC1180" s="4">
        <v>497688.34992539993</v>
      </c>
      <c r="AD1180" s="4">
        <v>116263.74442999999</v>
      </c>
      <c r="AE1180" s="4">
        <v>0</v>
      </c>
      <c r="AF1180" s="4">
        <v>631454.55660783837</v>
      </c>
      <c r="AG1180" s="4">
        <v>125201.77634870086</v>
      </c>
    </row>
    <row r="1181" spans="1:33" ht="11.25" customHeight="1" x14ac:dyDescent="0.25">
      <c r="A1181" s="3" t="s">
        <v>27</v>
      </c>
      <c r="B1181" s="3" t="s">
        <v>41</v>
      </c>
      <c r="C1181" s="3" t="s">
        <v>42</v>
      </c>
      <c r="D1181" s="3" t="s">
        <v>50</v>
      </c>
      <c r="E1181" s="3" t="s">
        <v>51</v>
      </c>
      <c r="F1181" s="3" t="s">
        <v>25</v>
      </c>
      <c r="G1181" s="3" t="s">
        <v>25</v>
      </c>
      <c r="H1181" s="3" t="s">
        <v>34</v>
      </c>
      <c r="I1181" s="6">
        <v>44378</v>
      </c>
      <c r="J1181" s="4">
        <v>0</v>
      </c>
      <c r="K1181" s="56">
        <v>0</v>
      </c>
      <c r="L1181" s="4">
        <v>-1.6579999999999999</v>
      </c>
      <c r="M1181" s="56">
        <v>-1.6579999999999999</v>
      </c>
      <c r="N1181" s="4">
        <v>-1.6579999999999999</v>
      </c>
      <c r="O1181" s="56">
        <v>-1.6579999999999999</v>
      </c>
      <c r="P1181" s="4">
        <v>0</v>
      </c>
      <c r="Q1181" s="3" t="s">
        <v>26</v>
      </c>
      <c r="R1181" s="3">
        <v>0</v>
      </c>
      <c r="S1181" s="4">
        <v>0</v>
      </c>
      <c r="T1181" s="4">
        <v>20</v>
      </c>
      <c r="U1181" s="4">
        <v>88</v>
      </c>
      <c r="V1181" s="56">
        <v>0</v>
      </c>
      <c r="W1181" s="56">
        <v>1470.7145999999998</v>
      </c>
      <c r="X1181" s="56">
        <v>343.57</v>
      </c>
      <c r="Y1181" s="56"/>
      <c r="Z1181" s="56">
        <v>1866.00597699118</v>
      </c>
      <c r="AA1181" s="56">
        <v>369.98270192494914</v>
      </c>
      <c r="AB1181" s="4">
        <v>0</v>
      </c>
      <c r="AC1181" s="4">
        <v>-2438.4448067999997</v>
      </c>
      <c r="AD1181" s="4">
        <v>-569.63905999999997</v>
      </c>
      <c r="AE1181" s="4">
        <v>0</v>
      </c>
      <c r="AF1181" s="4">
        <v>-3093.837909851376</v>
      </c>
      <c r="AG1181" s="4">
        <v>-613.43131979156567</v>
      </c>
    </row>
    <row r="1182" spans="1:33" ht="11.25" customHeight="1" x14ac:dyDescent="0.25">
      <c r="A1182" s="3" t="s">
        <v>21</v>
      </c>
      <c r="B1182" s="3" t="s">
        <v>41</v>
      </c>
      <c r="C1182" s="3" t="s">
        <v>42</v>
      </c>
      <c r="D1182" s="3" t="s">
        <v>50</v>
      </c>
      <c r="E1182" s="3" t="s">
        <v>51</v>
      </c>
      <c r="F1182" s="3" t="s">
        <v>25</v>
      </c>
      <c r="G1182" s="3" t="s">
        <v>25</v>
      </c>
      <c r="H1182" s="3" t="s">
        <v>34</v>
      </c>
      <c r="I1182" s="6">
        <v>44409</v>
      </c>
      <c r="J1182" s="4">
        <v>0</v>
      </c>
      <c r="K1182" s="56">
        <v>0</v>
      </c>
      <c r="L1182" s="4">
        <v>343.34199999999998</v>
      </c>
      <c r="M1182" s="56">
        <v>343.34199999999998</v>
      </c>
      <c r="N1182" s="4">
        <v>343.34199999999998</v>
      </c>
      <c r="O1182" s="56">
        <v>343.34199999999998</v>
      </c>
      <c r="P1182" s="4">
        <v>0</v>
      </c>
      <c r="Q1182" s="3" t="s">
        <v>26</v>
      </c>
      <c r="R1182" s="3">
        <v>0</v>
      </c>
      <c r="S1182" s="4">
        <v>0</v>
      </c>
      <c r="T1182" s="4">
        <v>20</v>
      </c>
      <c r="U1182" s="4">
        <v>88</v>
      </c>
      <c r="V1182" s="56">
        <v>0</v>
      </c>
      <c r="W1182" s="56">
        <v>1470.7145999999998</v>
      </c>
      <c r="X1182" s="56">
        <v>343.57</v>
      </c>
      <c r="Y1182" s="56"/>
      <c r="Z1182" s="56">
        <v>1866.00597699118</v>
      </c>
      <c r="AA1182" s="56">
        <v>369.98270192494914</v>
      </c>
      <c r="AB1182" s="4">
        <v>0</v>
      </c>
      <c r="AC1182" s="4">
        <v>504958.0921931999</v>
      </c>
      <c r="AD1182" s="4">
        <v>117962.01093999999</v>
      </c>
      <c r="AE1182" s="4">
        <v>0</v>
      </c>
      <c r="AF1182" s="4">
        <v>640678.22415210574</v>
      </c>
      <c r="AG1182" s="4">
        <v>127030.60084431588</v>
      </c>
    </row>
    <row r="1183" spans="1:33" ht="11.25" customHeight="1" x14ac:dyDescent="0.25">
      <c r="A1183" s="3" t="s">
        <v>21</v>
      </c>
      <c r="B1183" s="3" t="s">
        <v>41</v>
      </c>
      <c r="C1183" s="3" t="s">
        <v>42</v>
      </c>
      <c r="D1183" s="3" t="s">
        <v>50</v>
      </c>
      <c r="E1183" s="3" t="s">
        <v>51</v>
      </c>
      <c r="F1183" s="3" t="s">
        <v>25</v>
      </c>
      <c r="G1183" s="3" t="s">
        <v>25</v>
      </c>
      <c r="H1183" s="3" t="s">
        <v>34</v>
      </c>
      <c r="I1183" s="6">
        <v>44440</v>
      </c>
      <c r="J1183" s="4">
        <v>0</v>
      </c>
      <c r="K1183" s="56">
        <v>0</v>
      </c>
      <c r="L1183" s="4">
        <v>255.63300000000001</v>
      </c>
      <c r="M1183" s="56">
        <v>255.63300000000001</v>
      </c>
      <c r="N1183" s="4">
        <v>255.63300000000001</v>
      </c>
      <c r="O1183" s="56">
        <v>255.63300000000001</v>
      </c>
      <c r="P1183" s="4">
        <v>0</v>
      </c>
      <c r="Q1183" s="3" t="s">
        <v>26</v>
      </c>
      <c r="R1183" s="3">
        <v>0</v>
      </c>
      <c r="S1183" s="4">
        <v>0</v>
      </c>
      <c r="T1183" s="4">
        <v>20</v>
      </c>
      <c r="U1183" s="4">
        <v>88</v>
      </c>
      <c r="V1183" s="56">
        <v>0</v>
      </c>
      <c r="W1183" s="56">
        <v>1470.7145999999998</v>
      </c>
      <c r="X1183" s="56">
        <v>343.57</v>
      </c>
      <c r="Y1183" s="56"/>
      <c r="Z1183" s="56">
        <v>1866.00597699118</v>
      </c>
      <c r="AA1183" s="56">
        <v>369.98270192494914</v>
      </c>
      <c r="AB1183" s="4">
        <v>0</v>
      </c>
      <c r="AC1183" s="4">
        <v>375963.18534179998</v>
      </c>
      <c r="AD1183" s="4">
        <v>87827.829809999996</v>
      </c>
      <c r="AE1183" s="4">
        <v>0</v>
      </c>
      <c r="AF1183" s="4">
        <v>477012.70591618633</v>
      </c>
      <c r="AG1183" s="4">
        <v>94579.788041180524</v>
      </c>
    </row>
    <row r="1184" spans="1:33" ht="11.25" customHeight="1" x14ac:dyDescent="0.25">
      <c r="A1184" s="3" t="s">
        <v>21</v>
      </c>
      <c r="B1184" s="3" t="s">
        <v>41</v>
      </c>
      <c r="C1184" s="3" t="s">
        <v>42</v>
      </c>
      <c r="D1184" s="3" t="s">
        <v>50</v>
      </c>
      <c r="E1184" s="3" t="s">
        <v>51</v>
      </c>
      <c r="F1184" s="3" t="s">
        <v>25</v>
      </c>
      <c r="G1184" s="3" t="s">
        <v>25</v>
      </c>
      <c r="H1184" s="3" t="s">
        <v>34</v>
      </c>
      <c r="I1184" s="6">
        <v>44470</v>
      </c>
      <c r="J1184" s="4">
        <v>0</v>
      </c>
      <c r="K1184" s="56">
        <v>0</v>
      </c>
      <c r="L1184" s="4">
        <v>254.77699999999999</v>
      </c>
      <c r="M1184" s="56">
        <v>254.77699999999999</v>
      </c>
      <c r="N1184" s="4">
        <v>254.77699999999999</v>
      </c>
      <c r="O1184" s="56">
        <v>254.77699999999999</v>
      </c>
      <c r="P1184" s="4">
        <v>0</v>
      </c>
      <c r="Q1184" s="3" t="s">
        <v>26</v>
      </c>
      <c r="R1184" s="3">
        <v>0</v>
      </c>
      <c r="S1184" s="4">
        <v>0</v>
      </c>
      <c r="T1184" s="4">
        <v>20</v>
      </c>
      <c r="U1184" s="4">
        <v>88</v>
      </c>
      <c r="V1184" s="56">
        <v>0</v>
      </c>
      <c r="W1184" s="56">
        <v>1470.7145999999998</v>
      </c>
      <c r="X1184" s="56">
        <v>343.57</v>
      </c>
      <c r="Y1184" s="56"/>
      <c r="Z1184" s="56">
        <v>1866.00597699118</v>
      </c>
      <c r="AA1184" s="56">
        <v>369.98270192494914</v>
      </c>
      <c r="AB1184" s="4">
        <v>0</v>
      </c>
      <c r="AC1184" s="4">
        <v>374704.25364419993</v>
      </c>
      <c r="AD1184" s="4">
        <v>87533.733889999989</v>
      </c>
      <c r="AE1184" s="4">
        <v>0</v>
      </c>
      <c r="AF1184" s="4">
        <v>475415.40479988186</v>
      </c>
      <c r="AG1184" s="4">
        <v>94263.082848332764</v>
      </c>
    </row>
    <row r="1185" spans="1:33" ht="11.25" customHeight="1" x14ac:dyDescent="0.25">
      <c r="A1185" s="3" t="s">
        <v>21</v>
      </c>
      <c r="B1185" s="3" t="s">
        <v>41</v>
      </c>
      <c r="C1185" s="3" t="s">
        <v>42</v>
      </c>
      <c r="D1185" s="3" t="s">
        <v>50</v>
      </c>
      <c r="E1185" s="3" t="s">
        <v>51</v>
      </c>
      <c r="F1185" s="3" t="s">
        <v>25</v>
      </c>
      <c r="G1185" s="3" t="s">
        <v>25</v>
      </c>
      <c r="H1185" s="3" t="s">
        <v>34</v>
      </c>
      <c r="I1185" s="6">
        <v>44501</v>
      </c>
      <c r="J1185" s="4">
        <v>0</v>
      </c>
      <c r="K1185" s="56">
        <v>0</v>
      </c>
      <c r="L1185" s="4">
        <v>263.03699999999998</v>
      </c>
      <c r="M1185" s="56">
        <v>263.03699999999998</v>
      </c>
      <c r="N1185" s="4">
        <v>263.03699999999998</v>
      </c>
      <c r="O1185" s="56">
        <v>263.03699999999998</v>
      </c>
      <c r="P1185" s="4">
        <v>0</v>
      </c>
      <c r="Q1185" s="3" t="s">
        <v>26</v>
      </c>
      <c r="R1185" s="3">
        <v>0</v>
      </c>
      <c r="S1185" s="4">
        <v>0</v>
      </c>
      <c r="T1185" s="4">
        <v>20</v>
      </c>
      <c r="U1185" s="4">
        <v>88</v>
      </c>
      <c r="V1185" s="56">
        <v>0</v>
      </c>
      <c r="W1185" s="56">
        <v>1470.7145999999998</v>
      </c>
      <c r="X1185" s="56">
        <v>343.57</v>
      </c>
      <c r="Y1185" s="56"/>
      <c r="Z1185" s="56">
        <v>1866.00597699118</v>
      </c>
      <c r="AA1185" s="56">
        <v>369.98270192494914</v>
      </c>
      <c r="AB1185" s="4">
        <v>0</v>
      </c>
      <c r="AC1185" s="4">
        <v>386852.35624019994</v>
      </c>
      <c r="AD1185" s="4">
        <v>90371.62208999999</v>
      </c>
      <c r="AE1185" s="4">
        <v>0</v>
      </c>
      <c r="AF1185" s="4">
        <v>490828.61416982894</v>
      </c>
      <c r="AG1185" s="4">
        <v>97319.139966232833</v>
      </c>
    </row>
    <row r="1186" spans="1:33" ht="11.25" customHeight="1" x14ac:dyDescent="0.25">
      <c r="A1186" s="3" t="s">
        <v>21</v>
      </c>
      <c r="B1186" s="3" t="s">
        <v>41</v>
      </c>
      <c r="C1186" s="3" t="s">
        <v>42</v>
      </c>
      <c r="D1186" s="3" t="s">
        <v>50</v>
      </c>
      <c r="E1186" s="3" t="s">
        <v>51</v>
      </c>
      <c r="F1186" s="3" t="s">
        <v>25</v>
      </c>
      <c r="G1186" s="3" t="s">
        <v>25</v>
      </c>
      <c r="H1186" s="3" t="s">
        <v>34</v>
      </c>
      <c r="I1186" s="6">
        <v>44531</v>
      </c>
      <c r="J1186" s="4">
        <v>0</v>
      </c>
      <c r="K1186" s="56">
        <v>0</v>
      </c>
      <c r="L1186" s="4">
        <v>296.10899999999998</v>
      </c>
      <c r="M1186" s="56">
        <v>296.10899999999998</v>
      </c>
      <c r="N1186" s="4">
        <v>296.10899999999998</v>
      </c>
      <c r="O1186" s="56">
        <v>296.10899999999998</v>
      </c>
      <c r="P1186" s="4">
        <v>0</v>
      </c>
      <c r="Q1186" s="3" t="s">
        <v>26</v>
      </c>
      <c r="R1186" s="3">
        <v>0</v>
      </c>
      <c r="S1186" s="4">
        <v>0</v>
      </c>
      <c r="T1186" s="4">
        <v>20</v>
      </c>
      <c r="U1186" s="4">
        <v>88</v>
      </c>
      <c r="V1186" s="56">
        <v>0</v>
      </c>
      <c r="W1186" s="56">
        <v>1470.7145999999998</v>
      </c>
      <c r="X1186" s="56">
        <v>343.57</v>
      </c>
      <c r="Y1186" s="56"/>
      <c r="Z1186" s="56">
        <v>1866.00597699118</v>
      </c>
      <c r="AA1186" s="56">
        <v>369.98270192494914</v>
      </c>
      <c r="AB1186" s="4">
        <v>0</v>
      </c>
      <c r="AC1186" s="4">
        <v>435491.82949139993</v>
      </c>
      <c r="AD1186" s="4">
        <v>101734.16912999999</v>
      </c>
      <c r="AE1186" s="4">
        <v>0</v>
      </c>
      <c r="AF1186" s="4">
        <v>552541.16384088132</v>
      </c>
      <c r="AG1186" s="4">
        <v>109555.20788429475</v>
      </c>
    </row>
    <row r="1187" spans="1:33" ht="11.25" customHeight="1" x14ac:dyDescent="0.25">
      <c r="A1187" s="3" t="s">
        <v>21</v>
      </c>
      <c r="B1187" s="3" t="s">
        <v>41</v>
      </c>
      <c r="C1187" s="3" t="s">
        <v>42</v>
      </c>
      <c r="D1187" s="3" t="s">
        <v>50</v>
      </c>
      <c r="E1187" s="3" t="s">
        <v>51</v>
      </c>
      <c r="F1187" s="3" t="s">
        <v>25</v>
      </c>
      <c r="G1187" s="3" t="s">
        <v>25</v>
      </c>
      <c r="H1187" s="3" t="s">
        <v>34</v>
      </c>
      <c r="I1187" s="6">
        <v>44562</v>
      </c>
      <c r="J1187" s="4">
        <v>0</v>
      </c>
      <c r="K1187" s="56">
        <v>0</v>
      </c>
      <c r="L1187" s="4">
        <v>283.55799999999999</v>
      </c>
      <c r="M1187" s="56">
        <v>283.55799999999999</v>
      </c>
      <c r="N1187" s="4">
        <v>283.55799999999999</v>
      </c>
      <c r="O1187" s="56">
        <v>283.55799999999999</v>
      </c>
      <c r="P1187" s="4">
        <v>0</v>
      </c>
      <c r="Q1187" s="3" t="s">
        <v>26</v>
      </c>
      <c r="R1187" s="3">
        <v>0</v>
      </c>
      <c r="S1187" s="4">
        <v>0</v>
      </c>
      <c r="T1187" s="4">
        <v>20</v>
      </c>
      <c r="U1187" s="4">
        <v>88</v>
      </c>
      <c r="V1187" s="56">
        <v>0</v>
      </c>
      <c r="W1187" s="56">
        <v>1470.7145999999998</v>
      </c>
      <c r="X1187" s="56">
        <v>343.57</v>
      </c>
      <c r="Y1187" s="56"/>
      <c r="Z1187" s="56">
        <v>1866.00597699118</v>
      </c>
      <c r="AA1187" s="56">
        <v>369.98270192494914</v>
      </c>
      <c r="AB1187" s="4">
        <v>0</v>
      </c>
      <c r="AC1187" s="4">
        <v>417032.89054679993</v>
      </c>
      <c r="AD1187" s="4">
        <v>97422.022059999988</v>
      </c>
      <c r="AE1187" s="4">
        <v>0</v>
      </c>
      <c r="AF1187" s="4">
        <v>529120.92282366497</v>
      </c>
      <c r="AG1187" s="4">
        <v>104911.55499243473</v>
      </c>
    </row>
    <row r="1188" spans="1:33" ht="11.25" customHeight="1" x14ac:dyDescent="0.25">
      <c r="A1188" s="3" t="s">
        <v>21</v>
      </c>
      <c r="B1188" s="3" t="s">
        <v>41</v>
      </c>
      <c r="C1188" s="3" t="s">
        <v>42</v>
      </c>
      <c r="D1188" s="3" t="s">
        <v>50</v>
      </c>
      <c r="E1188" s="3" t="s">
        <v>51</v>
      </c>
      <c r="F1188" s="3" t="s">
        <v>25</v>
      </c>
      <c r="G1188" s="3" t="s">
        <v>25</v>
      </c>
      <c r="H1188" s="3" t="s">
        <v>34</v>
      </c>
      <c r="I1188" s="6">
        <v>44593</v>
      </c>
      <c r="J1188" s="4">
        <v>0</v>
      </c>
      <c r="K1188" s="56">
        <v>0</v>
      </c>
      <c r="L1188" s="4">
        <v>267.255</v>
      </c>
      <c r="M1188" s="56">
        <v>267.255</v>
      </c>
      <c r="N1188" s="4">
        <v>267.255</v>
      </c>
      <c r="O1188" s="56">
        <v>267.255</v>
      </c>
      <c r="P1188" s="4">
        <v>0</v>
      </c>
      <c r="Q1188" s="3" t="s">
        <v>26</v>
      </c>
      <c r="R1188" s="3">
        <v>0</v>
      </c>
      <c r="S1188" s="4">
        <v>0</v>
      </c>
      <c r="T1188" s="4">
        <v>20</v>
      </c>
      <c r="U1188" s="4">
        <v>88</v>
      </c>
      <c r="V1188" s="56">
        <v>0</v>
      </c>
      <c r="W1188" s="56">
        <v>1470.7145999999998</v>
      </c>
      <c r="X1188" s="56">
        <v>343.57</v>
      </c>
      <c r="Y1188" s="56"/>
      <c r="Z1188" s="56">
        <v>1866.00597699118</v>
      </c>
      <c r="AA1188" s="56">
        <v>369.98270192494914</v>
      </c>
      <c r="AB1188" s="4">
        <v>0</v>
      </c>
      <c r="AC1188" s="4">
        <v>393055.83042299992</v>
      </c>
      <c r="AD1188" s="4">
        <v>91820.80034999999</v>
      </c>
      <c r="AE1188" s="4">
        <v>0</v>
      </c>
      <c r="AF1188" s="4">
        <v>498699.42738077778</v>
      </c>
      <c r="AG1188" s="4">
        <v>98879.727002952277</v>
      </c>
    </row>
    <row r="1189" spans="1:33" ht="11.25" customHeight="1" x14ac:dyDescent="0.25">
      <c r="A1189" s="3" t="s">
        <v>56</v>
      </c>
      <c r="B1189" s="3" t="s">
        <v>41</v>
      </c>
      <c r="C1189" s="3" t="s">
        <v>42</v>
      </c>
      <c r="D1189" s="3" t="s">
        <v>50</v>
      </c>
      <c r="E1189" s="3" t="s">
        <v>51</v>
      </c>
      <c r="F1189" s="3" t="s">
        <v>25</v>
      </c>
      <c r="G1189" s="3" t="s">
        <v>25</v>
      </c>
      <c r="H1189" s="3" t="s">
        <v>34</v>
      </c>
      <c r="I1189" s="6">
        <v>44621</v>
      </c>
      <c r="J1189" s="4">
        <v>0</v>
      </c>
      <c r="K1189" s="56">
        <v>0</v>
      </c>
      <c r="L1189" s="4">
        <v>267.255</v>
      </c>
      <c r="M1189" s="56">
        <v>267.255</v>
      </c>
      <c r="N1189" s="4">
        <v>267.255</v>
      </c>
      <c r="O1189" s="56">
        <v>267.255</v>
      </c>
      <c r="P1189" s="4">
        <v>0</v>
      </c>
      <c r="Q1189" s="3" t="s">
        <v>26</v>
      </c>
      <c r="R1189" s="3">
        <v>0</v>
      </c>
      <c r="S1189" s="4">
        <v>0</v>
      </c>
      <c r="T1189" s="4">
        <v>20</v>
      </c>
      <c r="U1189" s="4">
        <v>88</v>
      </c>
      <c r="V1189" s="56">
        <v>0</v>
      </c>
      <c r="W1189" s="56">
        <v>1470.7145999999998</v>
      </c>
      <c r="X1189" s="56">
        <v>343.57</v>
      </c>
      <c r="Y1189" s="56"/>
      <c r="Z1189" s="56">
        <v>1866.00597699118</v>
      </c>
      <c r="AA1189" s="56">
        <v>369.98270192494914</v>
      </c>
      <c r="AB1189" s="4">
        <v>0</v>
      </c>
      <c r="AC1189" s="4">
        <v>393055.83042299992</v>
      </c>
      <c r="AD1189" s="4">
        <v>91820.80034999999</v>
      </c>
      <c r="AE1189" s="4">
        <v>0</v>
      </c>
      <c r="AF1189" s="4">
        <v>498699.42738077778</v>
      </c>
      <c r="AG1189" s="4">
        <v>98879.727002952277</v>
      </c>
    </row>
    <row r="1190" spans="1:33" ht="11.25" customHeight="1" x14ac:dyDescent="0.25">
      <c r="A1190" s="3" t="s">
        <v>21</v>
      </c>
      <c r="B1190" s="3" t="s">
        <v>22</v>
      </c>
      <c r="C1190" s="3" t="s">
        <v>33</v>
      </c>
      <c r="D1190" s="3" t="s">
        <v>24</v>
      </c>
      <c r="E1190" s="3" t="s">
        <v>24</v>
      </c>
      <c r="F1190" s="3" t="s">
        <v>25</v>
      </c>
      <c r="G1190" s="3" t="s">
        <v>25</v>
      </c>
      <c r="H1190" s="3" t="s">
        <v>35</v>
      </c>
      <c r="I1190" s="6">
        <v>44287</v>
      </c>
      <c r="J1190" s="4">
        <v>0</v>
      </c>
      <c r="K1190" s="4">
        <v>0</v>
      </c>
      <c r="L1190" s="4">
        <v>126.31399999999999</v>
      </c>
      <c r="M1190" s="4">
        <v>126.31399999999999</v>
      </c>
      <c r="N1190" s="4">
        <v>126.31399999999999</v>
      </c>
      <c r="O1190" s="4">
        <v>126.31399999999999</v>
      </c>
      <c r="P1190" s="4">
        <v>0</v>
      </c>
      <c r="Q1190" s="3" t="s">
        <v>26</v>
      </c>
      <c r="R1190" s="3">
        <v>0</v>
      </c>
      <c r="S1190" s="4">
        <v>0</v>
      </c>
      <c r="T1190" s="4">
        <v>47</v>
      </c>
      <c r="U1190" s="4">
        <v>64</v>
      </c>
      <c r="V1190" s="4">
        <v>0</v>
      </c>
      <c r="W1190" s="4">
        <v>236.61</v>
      </c>
      <c r="X1190" s="4">
        <v>222.31</v>
      </c>
      <c r="Y1190" s="4"/>
      <c r="Z1190" s="4">
        <v>295.80812165092237</v>
      </c>
      <c r="AA1190" s="4">
        <v>235.31351552243123</v>
      </c>
      <c r="AB1190" s="4">
        <v>0</v>
      </c>
      <c r="AC1190" s="4">
        <v>29887.15554</v>
      </c>
      <c r="AD1190" s="4">
        <v>28080.86534</v>
      </c>
      <c r="AE1190" s="4">
        <v>0</v>
      </c>
      <c r="AF1190" s="4">
        <v>37364.707078214604</v>
      </c>
      <c r="AG1190" s="4">
        <v>29723.391399700376</v>
      </c>
    </row>
    <row r="1191" spans="1:33" ht="11.25" customHeight="1" x14ac:dyDescent="0.25">
      <c r="A1191" s="3" t="s">
        <v>28</v>
      </c>
      <c r="B1191" s="3" t="s">
        <v>22</v>
      </c>
      <c r="C1191" s="3" t="s">
        <v>33</v>
      </c>
      <c r="D1191" s="3" t="s">
        <v>24</v>
      </c>
      <c r="E1191" s="3" t="s">
        <v>24</v>
      </c>
      <c r="F1191" s="3" t="s">
        <v>25</v>
      </c>
      <c r="G1191" s="3" t="s">
        <v>25</v>
      </c>
      <c r="H1191" s="3" t="s">
        <v>35</v>
      </c>
      <c r="I1191" s="6">
        <v>44287</v>
      </c>
      <c r="J1191" s="4">
        <v>0</v>
      </c>
      <c r="K1191" s="4">
        <v>0</v>
      </c>
      <c r="L1191" s="4">
        <v>1.649</v>
      </c>
      <c r="M1191" s="4">
        <v>1.649</v>
      </c>
      <c r="N1191" s="4">
        <v>1.649</v>
      </c>
      <c r="O1191" s="4">
        <v>1.649</v>
      </c>
      <c r="P1191" s="4">
        <v>0</v>
      </c>
      <c r="Q1191" s="3" t="s">
        <v>26</v>
      </c>
      <c r="R1191" s="3">
        <v>0</v>
      </c>
      <c r="S1191" s="4">
        <v>0</v>
      </c>
      <c r="T1191" s="4">
        <v>47</v>
      </c>
      <c r="U1191" s="4">
        <v>64</v>
      </c>
      <c r="V1191" s="4">
        <v>0</v>
      </c>
      <c r="W1191" s="4">
        <v>236.61</v>
      </c>
      <c r="X1191" s="4">
        <v>222.31</v>
      </c>
      <c r="Y1191" s="4"/>
      <c r="Z1191" s="4">
        <v>295.80812165092237</v>
      </c>
      <c r="AA1191" s="4">
        <v>235.31351552243123</v>
      </c>
      <c r="AB1191" s="4">
        <v>0</v>
      </c>
      <c r="AC1191" s="4">
        <v>390.16989000000001</v>
      </c>
      <c r="AD1191" s="4">
        <v>366.58919000000003</v>
      </c>
      <c r="AE1191" s="4">
        <v>0</v>
      </c>
      <c r="AF1191" s="4">
        <v>487.78759260237098</v>
      </c>
      <c r="AG1191" s="4">
        <v>388.0319870964891</v>
      </c>
    </row>
    <row r="1192" spans="1:33" ht="11.25" customHeight="1" x14ac:dyDescent="0.25">
      <c r="A1192" s="3" t="s">
        <v>21</v>
      </c>
      <c r="B1192" s="3" t="s">
        <v>22</v>
      </c>
      <c r="C1192" s="3" t="s">
        <v>33</v>
      </c>
      <c r="D1192" s="3" t="s">
        <v>24</v>
      </c>
      <c r="E1192" s="3" t="s">
        <v>24</v>
      </c>
      <c r="F1192" s="3" t="s">
        <v>25</v>
      </c>
      <c r="G1192" s="3" t="s">
        <v>25</v>
      </c>
      <c r="H1192" s="3" t="s">
        <v>35</v>
      </c>
      <c r="I1192" s="6">
        <v>44317</v>
      </c>
      <c r="J1192" s="4">
        <v>0</v>
      </c>
      <c r="K1192" s="4">
        <v>0</v>
      </c>
      <c r="L1192" s="4">
        <v>108.97499999999999</v>
      </c>
      <c r="M1192" s="4">
        <v>108.97499999999999</v>
      </c>
      <c r="N1192" s="4">
        <v>108.97499999999999</v>
      </c>
      <c r="O1192" s="4">
        <v>108.97499999999999</v>
      </c>
      <c r="P1192" s="4">
        <v>0</v>
      </c>
      <c r="Q1192" s="3" t="s">
        <v>26</v>
      </c>
      <c r="R1192" s="3">
        <v>0</v>
      </c>
      <c r="S1192" s="4">
        <v>0</v>
      </c>
      <c r="T1192" s="4">
        <v>47</v>
      </c>
      <c r="U1192" s="4">
        <v>64</v>
      </c>
      <c r="V1192" s="4">
        <v>0</v>
      </c>
      <c r="W1192" s="4">
        <v>236.61</v>
      </c>
      <c r="X1192" s="4">
        <v>222.31</v>
      </c>
      <c r="Y1192" s="4"/>
      <c r="Z1192" s="4">
        <v>295.80812165092237</v>
      </c>
      <c r="AA1192" s="4">
        <v>235.31351552243123</v>
      </c>
      <c r="AB1192" s="4">
        <v>0</v>
      </c>
      <c r="AC1192" s="4">
        <v>25784.57475</v>
      </c>
      <c r="AD1192" s="4">
        <v>24226.232249999997</v>
      </c>
      <c r="AE1192" s="4">
        <v>0</v>
      </c>
      <c r="AF1192" s="4">
        <v>32235.690056909265</v>
      </c>
      <c r="AG1192" s="4">
        <v>25643.290354056942</v>
      </c>
    </row>
    <row r="1193" spans="1:33" ht="11.25" customHeight="1" x14ac:dyDescent="0.25">
      <c r="A1193" s="3" t="s">
        <v>28</v>
      </c>
      <c r="B1193" s="3" t="s">
        <v>22</v>
      </c>
      <c r="C1193" s="3" t="s">
        <v>33</v>
      </c>
      <c r="D1193" s="3" t="s">
        <v>24</v>
      </c>
      <c r="E1193" s="3" t="s">
        <v>24</v>
      </c>
      <c r="F1193" s="3" t="s">
        <v>25</v>
      </c>
      <c r="G1193" s="3" t="s">
        <v>25</v>
      </c>
      <c r="H1193" s="3" t="s">
        <v>35</v>
      </c>
      <c r="I1193" s="6">
        <v>44317</v>
      </c>
      <c r="J1193" s="4">
        <v>0</v>
      </c>
      <c r="K1193" s="4">
        <v>0</v>
      </c>
      <c r="L1193" s="4">
        <v>1.0229999999999999</v>
      </c>
      <c r="M1193" s="4">
        <v>1.0229999999999999</v>
      </c>
      <c r="N1193" s="4">
        <v>1.0229999999999999</v>
      </c>
      <c r="O1193" s="4">
        <v>1.0229999999999999</v>
      </c>
      <c r="P1193" s="4">
        <v>0</v>
      </c>
      <c r="Q1193" s="3" t="s">
        <v>26</v>
      </c>
      <c r="R1193" s="3">
        <v>0</v>
      </c>
      <c r="S1193" s="4">
        <v>0</v>
      </c>
      <c r="T1193" s="4">
        <v>47</v>
      </c>
      <c r="U1193" s="4">
        <v>64</v>
      </c>
      <c r="V1193" s="4">
        <v>0</v>
      </c>
      <c r="W1193" s="4">
        <v>236.61</v>
      </c>
      <c r="X1193" s="4">
        <v>222.31</v>
      </c>
      <c r="Y1193" s="4"/>
      <c r="Z1193" s="4">
        <v>295.80812165092237</v>
      </c>
      <c r="AA1193" s="4">
        <v>235.31351552243123</v>
      </c>
      <c r="AB1193" s="4">
        <v>0</v>
      </c>
      <c r="AC1193" s="4">
        <v>242.05203</v>
      </c>
      <c r="AD1193" s="4">
        <v>227.42312999999999</v>
      </c>
      <c r="AE1193" s="4">
        <v>0</v>
      </c>
      <c r="AF1193" s="4">
        <v>302.61170844889358</v>
      </c>
      <c r="AG1193" s="4">
        <v>240.72572637944714</v>
      </c>
    </row>
    <row r="1194" spans="1:33" ht="11.25" customHeight="1" x14ac:dyDescent="0.25">
      <c r="A1194" s="3" t="s">
        <v>21</v>
      </c>
      <c r="B1194" s="3" t="s">
        <v>22</v>
      </c>
      <c r="C1194" s="3" t="s">
        <v>33</v>
      </c>
      <c r="D1194" s="3" t="s">
        <v>24</v>
      </c>
      <c r="E1194" s="3" t="s">
        <v>24</v>
      </c>
      <c r="F1194" s="3" t="s">
        <v>25</v>
      </c>
      <c r="G1194" s="3" t="s">
        <v>25</v>
      </c>
      <c r="H1194" s="3" t="s">
        <v>35</v>
      </c>
      <c r="I1194" s="6">
        <v>44348</v>
      </c>
      <c r="J1194" s="4">
        <v>0</v>
      </c>
      <c r="K1194" s="4">
        <v>0</v>
      </c>
      <c r="L1194" s="4">
        <v>102.21</v>
      </c>
      <c r="M1194" s="4">
        <v>102.21</v>
      </c>
      <c r="N1194" s="4">
        <v>102.21</v>
      </c>
      <c r="O1194" s="4">
        <v>102.21</v>
      </c>
      <c r="P1194" s="4">
        <v>0</v>
      </c>
      <c r="Q1194" s="3" t="s">
        <v>26</v>
      </c>
      <c r="R1194" s="3">
        <v>0</v>
      </c>
      <c r="S1194" s="4">
        <v>0</v>
      </c>
      <c r="T1194" s="4">
        <v>47</v>
      </c>
      <c r="U1194" s="4">
        <v>64</v>
      </c>
      <c r="V1194" s="4">
        <v>0</v>
      </c>
      <c r="W1194" s="4">
        <v>236.61</v>
      </c>
      <c r="X1194" s="4">
        <v>222.31</v>
      </c>
      <c r="Y1194" s="4"/>
      <c r="Z1194" s="4">
        <v>295.80812165092237</v>
      </c>
      <c r="AA1194" s="4">
        <v>235.31351552243123</v>
      </c>
      <c r="AB1194" s="4">
        <v>0</v>
      </c>
      <c r="AC1194" s="4">
        <v>24183.908100000001</v>
      </c>
      <c r="AD1194" s="4">
        <v>22722.305099999998</v>
      </c>
      <c r="AE1194" s="4">
        <v>0</v>
      </c>
      <c r="AF1194" s="4">
        <v>30234.548113940775</v>
      </c>
      <c r="AG1194" s="4">
        <v>24051.394421547695</v>
      </c>
    </row>
    <row r="1195" spans="1:33" ht="11.25" customHeight="1" x14ac:dyDescent="0.25">
      <c r="A1195" s="3" t="s">
        <v>28</v>
      </c>
      <c r="B1195" s="3" t="s">
        <v>22</v>
      </c>
      <c r="C1195" s="3" t="s">
        <v>33</v>
      </c>
      <c r="D1195" s="3" t="s">
        <v>24</v>
      </c>
      <c r="E1195" s="3" t="s">
        <v>24</v>
      </c>
      <c r="F1195" s="3" t="s">
        <v>25</v>
      </c>
      <c r="G1195" s="3" t="s">
        <v>25</v>
      </c>
      <c r="H1195" s="3" t="s">
        <v>35</v>
      </c>
      <c r="I1195" s="6">
        <v>44348</v>
      </c>
      <c r="J1195" s="4">
        <v>0</v>
      </c>
      <c r="K1195" s="4">
        <v>0</v>
      </c>
      <c r="L1195" s="4">
        <v>0.625</v>
      </c>
      <c r="M1195" s="4">
        <v>0.625</v>
      </c>
      <c r="N1195" s="4">
        <v>0.625</v>
      </c>
      <c r="O1195" s="4">
        <v>0.625</v>
      </c>
      <c r="P1195" s="4">
        <v>0</v>
      </c>
      <c r="Q1195" s="3" t="s">
        <v>26</v>
      </c>
      <c r="R1195" s="3">
        <v>0</v>
      </c>
      <c r="S1195" s="4">
        <v>0</v>
      </c>
      <c r="T1195" s="4">
        <v>47</v>
      </c>
      <c r="U1195" s="4">
        <v>64</v>
      </c>
      <c r="V1195" s="4">
        <v>0</v>
      </c>
      <c r="W1195" s="4">
        <v>236.61</v>
      </c>
      <c r="X1195" s="4">
        <v>222.31</v>
      </c>
      <c r="Y1195" s="4"/>
      <c r="Z1195" s="4">
        <v>295.80812165092237</v>
      </c>
      <c r="AA1195" s="4">
        <v>235.31351552243123</v>
      </c>
      <c r="AB1195" s="4">
        <v>0</v>
      </c>
      <c r="AC1195" s="4">
        <v>147.88125000000002</v>
      </c>
      <c r="AD1195" s="4">
        <v>138.94374999999999</v>
      </c>
      <c r="AE1195" s="4">
        <v>0</v>
      </c>
      <c r="AF1195" s="4">
        <v>184.88007603182649</v>
      </c>
      <c r="AG1195" s="4">
        <v>147.07094720151952</v>
      </c>
    </row>
    <row r="1196" spans="1:33" ht="11.25" customHeight="1" x14ac:dyDescent="0.25">
      <c r="A1196" s="3" t="s">
        <v>21</v>
      </c>
      <c r="B1196" s="3" t="s">
        <v>22</v>
      </c>
      <c r="C1196" s="3" t="s">
        <v>33</v>
      </c>
      <c r="D1196" s="3" t="s">
        <v>24</v>
      </c>
      <c r="E1196" s="3" t="s">
        <v>24</v>
      </c>
      <c r="F1196" s="3" t="s">
        <v>25</v>
      </c>
      <c r="G1196" s="3" t="s">
        <v>25</v>
      </c>
      <c r="H1196" s="3" t="s">
        <v>35</v>
      </c>
      <c r="I1196" s="6">
        <v>44378</v>
      </c>
      <c r="J1196" s="4">
        <v>0</v>
      </c>
      <c r="K1196" s="4">
        <v>0</v>
      </c>
      <c r="L1196" s="4">
        <v>93.563000000000002</v>
      </c>
      <c r="M1196" s="4">
        <v>93.563000000000002</v>
      </c>
      <c r="N1196" s="4">
        <v>93.563000000000002</v>
      </c>
      <c r="O1196" s="4">
        <v>93.563000000000002</v>
      </c>
      <c r="P1196" s="4">
        <v>0</v>
      </c>
      <c r="Q1196" s="3" t="s">
        <v>26</v>
      </c>
      <c r="R1196" s="3">
        <v>0</v>
      </c>
      <c r="S1196" s="4">
        <v>0</v>
      </c>
      <c r="T1196" s="4">
        <v>47</v>
      </c>
      <c r="U1196" s="4">
        <v>64</v>
      </c>
      <c r="V1196" s="4">
        <v>0</v>
      </c>
      <c r="W1196" s="4">
        <v>236.61</v>
      </c>
      <c r="X1196" s="4">
        <v>222.31</v>
      </c>
      <c r="Y1196" s="4"/>
      <c r="Z1196" s="4">
        <v>295.80812165092237</v>
      </c>
      <c r="AA1196" s="4">
        <v>235.31351552243123</v>
      </c>
      <c r="AB1196" s="4">
        <v>0</v>
      </c>
      <c r="AC1196" s="4">
        <v>22137.941430000003</v>
      </c>
      <c r="AD1196" s="4">
        <v>20799.990529999999</v>
      </c>
      <c r="AE1196" s="4">
        <v>0</v>
      </c>
      <c r="AF1196" s="4">
        <v>27676.69528602525</v>
      </c>
      <c r="AG1196" s="4">
        <v>22016.638452825235</v>
      </c>
    </row>
    <row r="1197" spans="1:33" ht="11.25" customHeight="1" x14ac:dyDescent="0.25">
      <c r="A1197" s="3" t="s">
        <v>28</v>
      </c>
      <c r="B1197" s="3" t="s">
        <v>22</v>
      </c>
      <c r="C1197" s="3" t="s">
        <v>33</v>
      </c>
      <c r="D1197" s="3" t="s">
        <v>24</v>
      </c>
      <c r="E1197" s="3" t="s">
        <v>24</v>
      </c>
      <c r="F1197" s="3" t="s">
        <v>25</v>
      </c>
      <c r="G1197" s="3" t="s">
        <v>25</v>
      </c>
      <c r="H1197" s="3" t="s">
        <v>35</v>
      </c>
      <c r="I1197" s="6">
        <v>44378</v>
      </c>
      <c r="J1197" s="4">
        <v>0</v>
      </c>
      <c r="K1197" s="4">
        <v>0</v>
      </c>
      <c r="L1197" s="4">
        <v>0.59299999999999997</v>
      </c>
      <c r="M1197" s="4">
        <v>0.59299999999999997</v>
      </c>
      <c r="N1197" s="4">
        <v>0.59299999999999997</v>
      </c>
      <c r="O1197" s="4">
        <v>0.59299999999999997</v>
      </c>
      <c r="P1197" s="4">
        <v>0</v>
      </c>
      <c r="Q1197" s="3" t="s">
        <v>26</v>
      </c>
      <c r="R1197" s="3">
        <v>0</v>
      </c>
      <c r="S1197" s="4">
        <v>0</v>
      </c>
      <c r="T1197" s="4">
        <v>47</v>
      </c>
      <c r="U1197" s="4">
        <v>64</v>
      </c>
      <c r="V1197" s="4">
        <v>0</v>
      </c>
      <c r="W1197" s="4">
        <v>236.61</v>
      </c>
      <c r="X1197" s="4">
        <v>222.31</v>
      </c>
      <c r="Y1197" s="4"/>
      <c r="Z1197" s="4">
        <v>295.80812165092237</v>
      </c>
      <c r="AA1197" s="4">
        <v>235.31351552243123</v>
      </c>
      <c r="AB1197" s="4">
        <v>0</v>
      </c>
      <c r="AC1197" s="4">
        <v>140.30973</v>
      </c>
      <c r="AD1197" s="4">
        <v>131.82982999999999</v>
      </c>
      <c r="AE1197" s="4">
        <v>0</v>
      </c>
      <c r="AF1197" s="4">
        <v>175.41421613899695</v>
      </c>
      <c r="AG1197" s="4">
        <v>139.54091470480171</v>
      </c>
    </row>
    <row r="1198" spans="1:33" ht="11.25" customHeight="1" x14ac:dyDescent="0.25">
      <c r="A1198" s="3" t="s">
        <v>21</v>
      </c>
      <c r="B1198" s="3" t="s">
        <v>22</v>
      </c>
      <c r="C1198" s="3" t="s">
        <v>33</v>
      </c>
      <c r="D1198" s="3" t="s">
        <v>24</v>
      </c>
      <c r="E1198" s="3" t="s">
        <v>24</v>
      </c>
      <c r="F1198" s="3" t="s">
        <v>25</v>
      </c>
      <c r="G1198" s="3" t="s">
        <v>25</v>
      </c>
      <c r="H1198" s="3" t="s">
        <v>35</v>
      </c>
      <c r="I1198" s="6">
        <v>44409</v>
      </c>
      <c r="J1198" s="4">
        <v>0</v>
      </c>
      <c r="K1198" s="4">
        <v>0</v>
      </c>
      <c r="L1198" s="4">
        <v>91.730999999999995</v>
      </c>
      <c r="M1198" s="4">
        <v>91.730999999999995</v>
      </c>
      <c r="N1198" s="4">
        <v>91.730999999999995</v>
      </c>
      <c r="O1198" s="4">
        <v>91.730999999999995</v>
      </c>
      <c r="P1198" s="4">
        <v>0</v>
      </c>
      <c r="Q1198" s="3" t="s">
        <v>26</v>
      </c>
      <c r="R1198" s="3">
        <v>0</v>
      </c>
      <c r="S1198" s="4">
        <v>0</v>
      </c>
      <c r="T1198" s="4">
        <v>47</v>
      </c>
      <c r="U1198" s="4">
        <v>64</v>
      </c>
      <c r="V1198" s="4">
        <v>0</v>
      </c>
      <c r="W1198" s="4">
        <v>236.61</v>
      </c>
      <c r="X1198" s="4">
        <v>222.31</v>
      </c>
      <c r="Y1198" s="4"/>
      <c r="Z1198" s="4">
        <v>295.80812165092237</v>
      </c>
      <c r="AA1198" s="4">
        <v>235.31351552243123</v>
      </c>
      <c r="AB1198" s="4">
        <v>0</v>
      </c>
      <c r="AC1198" s="4">
        <v>21704.47191</v>
      </c>
      <c r="AD1198" s="4">
        <v>20392.71861</v>
      </c>
      <c r="AE1198" s="4">
        <v>0</v>
      </c>
      <c r="AF1198" s="4">
        <v>27134.77480716076</v>
      </c>
      <c r="AG1198" s="4">
        <v>21585.54409238814</v>
      </c>
    </row>
    <row r="1199" spans="1:33" ht="11.25" customHeight="1" x14ac:dyDescent="0.25">
      <c r="A1199" s="3" t="s">
        <v>28</v>
      </c>
      <c r="B1199" s="3" t="s">
        <v>22</v>
      </c>
      <c r="C1199" s="3" t="s">
        <v>33</v>
      </c>
      <c r="D1199" s="3" t="s">
        <v>24</v>
      </c>
      <c r="E1199" s="3" t="s">
        <v>24</v>
      </c>
      <c r="F1199" s="3" t="s">
        <v>25</v>
      </c>
      <c r="G1199" s="3" t="s">
        <v>25</v>
      </c>
      <c r="H1199" s="3" t="s">
        <v>35</v>
      </c>
      <c r="I1199" s="6">
        <v>44409</v>
      </c>
      <c r="J1199" s="4">
        <v>0</v>
      </c>
      <c r="K1199" s="4">
        <v>0</v>
      </c>
      <c r="L1199" s="4">
        <v>0.84299999999999997</v>
      </c>
      <c r="M1199" s="4">
        <v>0.84299999999999997</v>
      </c>
      <c r="N1199" s="4">
        <v>0.84299999999999997</v>
      </c>
      <c r="O1199" s="4">
        <v>0.84299999999999997</v>
      </c>
      <c r="P1199" s="4">
        <v>0</v>
      </c>
      <c r="Q1199" s="3" t="s">
        <v>26</v>
      </c>
      <c r="R1199" s="3">
        <v>0</v>
      </c>
      <c r="S1199" s="4">
        <v>0</v>
      </c>
      <c r="T1199" s="4">
        <v>47</v>
      </c>
      <c r="U1199" s="4">
        <v>64</v>
      </c>
      <c r="V1199" s="4">
        <v>0</v>
      </c>
      <c r="W1199" s="4">
        <v>236.61</v>
      </c>
      <c r="X1199" s="4">
        <v>222.31</v>
      </c>
      <c r="Y1199" s="4"/>
      <c r="Z1199" s="4">
        <v>295.80812165092237</v>
      </c>
      <c r="AA1199" s="4">
        <v>235.31351552243123</v>
      </c>
      <c r="AB1199" s="4">
        <v>0</v>
      </c>
      <c r="AC1199" s="4">
        <v>199.46223000000001</v>
      </c>
      <c r="AD1199" s="4">
        <v>187.40733</v>
      </c>
      <c r="AE1199" s="4">
        <v>0</v>
      </c>
      <c r="AF1199" s="4">
        <v>249.36624655172756</v>
      </c>
      <c r="AG1199" s="4">
        <v>198.36929358540951</v>
      </c>
    </row>
    <row r="1200" spans="1:33" ht="11.25" customHeight="1" x14ac:dyDescent="0.25">
      <c r="A1200" s="3" t="s">
        <v>21</v>
      </c>
      <c r="B1200" s="3" t="s">
        <v>22</v>
      </c>
      <c r="C1200" s="3" t="s">
        <v>33</v>
      </c>
      <c r="D1200" s="3" t="s">
        <v>24</v>
      </c>
      <c r="E1200" s="3" t="s">
        <v>24</v>
      </c>
      <c r="F1200" s="3" t="s">
        <v>25</v>
      </c>
      <c r="G1200" s="3" t="s">
        <v>25</v>
      </c>
      <c r="H1200" s="3" t="s">
        <v>35</v>
      </c>
      <c r="I1200" s="6">
        <v>44440</v>
      </c>
      <c r="J1200" s="4">
        <v>0</v>
      </c>
      <c r="K1200" s="4">
        <v>0</v>
      </c>
      <c r="L1200" s="4">
        <v>102.303</v>
      </c>
      <c r="M1200" s="4">
        <v>102.303</v>
      </c>
      <c r="N1200" s="4">
        <v>102.303</v>
      </c>
      <c r="O1200" s="4">
        <v>102.303</v>
      </c>
      <c r="P1200" s="4">
        <v>0</v>
      </c>
      <c r="Q1200" s="3" t="s">
        <v>26</v>
      </c>
      <c r="R1200" s="3">
        <v>0</v>
      </c>
      <c r="S1200" s="4">
        <v>0</v>
      </c>
      <c r="T1200" s="4">
        <v>47</v>
      </c>
      <c r="U1200" s="4">
        <v>64</v>
      </c>
      <c r="V1200" s="4">
        <v>0</v>
      </c>
      <c r="W1200" s="4">
        <v>236.61</v>
      </c>
      <c r="X1200" s="4">
        <v>222.31</v>
      </c>
      <c r="Y1200" s="4"/>
      <c r="Z1200" s="4">
        <v>295.80812165092237</v>
      </c>
      <c r="AA1200" s="4">
        <v>235.31351552243123</v>
      </c>
      <c r="AB1200" s="4">
        <v>0</v>
      </c>
      <c r="AC1200" s="4">
        <v>24205.912830000001</v>
      </c>
      <c r="AD1200" s="4">
        <v>22742.979930000001</v>
      </c>
      <c r="AE1200" s="4">
        <v>0</v>
      </c>
      <c r="AF1200" s="4">
        <v>30262.05826925431</v>
      </c>
      <c r="AG1200" s="4">
        <v>24073.278578491281</v>
      </c>
    </row>
    <row r="1201" spans="1:33" ht="11.25" customHeight="1" x14ac:dyDescent="0.25">
      <c r="A1201" s="3" t="s">
        <v>27</v>
      </c>
      <c r="B1201" s="3" t="s">
        <v>22</v>
      </c>
      <c r="C1201" s="3" t="s">
        <v>33</v>
      </c>
      <c r="D1201" s="3" t="s">
        <v>24</v>
      </c>
      <c r="E1201" s="3" t="s">
        <v>24</v>
      </c>
      <c r="F1201" s="3" t="s">
        <v>25</v>
      </c>
      <c r="G1201" s="3" t="s">
        <v>25</v>
      </c>
      <c r="H1201" s="3" t="s">
        <v>35</v>
      </c>
      <c r="I1201" s="6">
        <v>44440</v>
      </c>
      <c r="J1201" s="4">
        <v>0</v>
      </c>
      <c r="K1201" s="4">
        <v>0</v>
      </c>
      <c r="L1201" s="4">
        <v>-0.33100000000000002</v>
      </c>
      <c r="M1201" s="4">
        <v>-0.33100000000000002</v>
      </c>
      <c r="N1201" s="4">
        <v>-0.33100000000000002</v>
      </c>
      <c r="O1201" s="4">
        <v>-0.33100000000000002</v>
      </c>
      <c r="P1201" s="4">
        <v>0</v>
      </c>
      <c r="Q1201" s="3" t="s">
        <v>26</v>
      </c>
      <c r="R1201" s="3">
        <v>0</v>
      </c>
      <c r="S1201" s="4">
        <v>0</v>
      </c>
      <c r="T1201" s="4">
        <v>47</v>
      </c>
      <c r="U1201" s="4">
        <v>64</v>
      </c>
      <c r="V1201" s="4">
        <v>0</v>
      </c>
      <c r="W1201" s="4">
        <v>236.61</v>
      </c>
      <c r="X1201" s="4">
        <v>222.31</v>
      </c>
      <c r="Y1201" s="4"/>
      <c r="Z1201" s="4">
        <v>295.80812165092237</v>
      </c>
      <c r="AA1201" s="4">
        <v>235.31351552243123</v>
      </c>
      <c r="AB1201" s="4">
        <v>0</v>
      </c>
      <c r="AC1201" s="4">
        <v>-78.317910000000012</v>
      </c>
      <c r="AD1201" s="4">
        <v>-73.584609999999998</v>
      </c>
      <c r="AE1201" s="4">
        <v>0</v>
      </c>
      <c r="AF1201" s="4">
        <v>-97.912488266455313</v>
      </c>
      <c r="AG1201" s="4">
        <v>-77.888773637924743</v>
      </c>
    </row>
    <row r="1202" spans="1:33" ht="11.25" customHeight="1" x14ac:dyDescent="0.25">
      <c r="A1202" s="3" t="s">
        <v>28</v>
      </c>
      <c r="B1202" s="3" t="s">
        <v>22</v>
      </c>
      <c r="C1202" s="3" t="s">
        <v>33</v>
      </c>
      <c r="D1202" s="3" t="s">
        <v>24</v>
      </c>
      <c r="E1202" s="3" t="s">
        <v>24</v>
      </c>
      <c r="F1202" s="3" t="s">
        <v>25</v>
      </c>
      <c r="G1202" s="3" t="s">
        <v>25</v>
      </c>
      <c r="H1202" s="3" t="s">
        <v>35</v>
      </c>
      <c r="I1202" s="6">
        <v>44440</v>
      </c>
      <c r="J1202" s="4">
        <v>0</v>
      </c>
      <c r="K1202" s="4">
        <v>0</v>
      </c>
      <c r="L1202" s="4">
        <v>0.80800000000000005</v>
      </c>
      <c r="M1202" s="4">
        <v>0.80800000000000005</v>
      </c>
      <c r="N1202" s="4">
        <v>0.80800000000000005</v>
      </c>
      <c r="O1202" s="4">
        <v>0.80800000000000005</v>
      </c>
      <c r="P1202" s="4">
        <v>0</v>
      </c>
      <c r="Q1202" s="3" t="s">
        <v>26</v>
      </c>
      <c r="R1202" s="3">
        <v>0</v>
      </c>
      <c r="S1202" s="4">
        <v>0</v>
      </c>
      <c r="T1202" s="4">
        <v>47</v>
      </c>
      <c r="U1202" s="4">
        <v>64</v>
      </c>
      <c r="V1202" s="4">
        <v>0</v>
      </c>
      <c r="W1202" s="4">
        <v>236.61</v>
      </c>
      <c r="X1202" s="4">
        <v>222.31</v>
      </c>
      <c r="Y1202" s="4"/>
      <c r="Z1202" s="4">
        <v>295.80812165092237</v>
      </c>
      <c r="AA1202" s="4">
        <v>235.31351552243123</v>
      </c>
      <c r="AB1202" s="4">
        <v>0</v>
      </c>
      <c r="AC1202" s="4">
        <v>191.18088000000003</v>
      </c>
      <c r="AD1202" s="4">
        <v>179.62648000000002</v>
      </c>
      <c r="AE1202" s="4">
        <v>0</v>
      </c>
      <c r="AF1202" s="4">
        <v>239.01296229394529</v>
      </c>
      <c r="AG1202" s="4">
        <v>190.13332054212444</v>
      </c>
    </row>
    <row r="1203" spans="1:33" ht="11.25" customHeight="1" x14ac:dyDescent="0.25">
      <c r="A1203" s="3" t="s">
        <v>21</v>
      </c>
      <c r="B1203" s="3" t="s">
        <v>22</v>
      </c>
      <c r="C1203" s="3" t="s">
        <v>33</v>
      </c>
      <c r="D1203" s="3" t="s">
        <v>24</v>
      </c>
      <c r="E1203" s="3" t="s">
        <v>24</v>
      </c>
      <c r="F1203" s="3" t="s">
        <v>25</v>
      </c>
      <c r="G1203" s="3" t="s">
        <v>25</v>
      </c>
      <c r="H1203" s="3" t="s">
        <v>35</v>
      </c>
      <c r="I1203" s="6">
        <v>44470</v>
      </c>
      <c r="J1203" s="4">
        <v>0</v>
      </c>
      <c r="K1203" s="4">
        <v>0</v>
      </c>
      <c r="L1203" s="4">
        <v>210.53399999999999</v>
      </c>
      <c r="M1203" s="4">
        <v>210.53399999999999</v>
      </c>
      <c r="N1203" s="4">
        <v>210.53399999999999</v>
      </c>
      <c r="O1203" s="4">
        <v>210.53399999999999</v>
      </c>
      <c r="P1203" s="4">
        <v>0</v>
      </c>
      <c r="Q1203" s="3" t="s">
        <v>26</v>
      </c>
      <c r="R1203" s="3">
        <v>0</v>
      </c>
      <c r="S1203" s="4">
        <v>0</v>
      </c>
      <c r="T1203" s="4">
        <v>47</v>
      </c>
      <c r="U1203" s="4">
        <v>64</v>
      </c>
      <c r="V1203" s="4">
        <v>0</v>
      </c>
      <c r="W1203" s="4">
        <v>236.61</v>
      </c>
      <c r="X1203" s="4">
        <v>222.31</v>
      </c>
      <c r="Y1203" s="4"/>
      <c r="Z1203" s="4">
        <v>295.80812165092237</v>
      </c>
      <c r="AA1203" s="4">
        <v>235.31351552243123</v>
      </c>
      <c r="AB1203" s="4">
        <v>0</v>
      </c>
      <c r="AC1203" s="4">
        <v>49814.449740000004</v>
      </c>
      <c r="AD1203" s="4">
        <v>46803.813539999996</v>
      </c>
      <c r="AE1203" s="4">
        <v>0</v>
      </c>
      <c r="AF1203" s="4">
        <v>62277.667083655288</v>
      </c>
      <c r="AG1203" s="4">
        <v>49541.495676999533</v>
      </c>
    </row>
    <row r="1204" spans="1:33" ht="11.25" customHeight="1" x14ac:dyDescent="0.25">
      <c r="A1204" s="3" t="s">
        <v>28</v>
      </c>
      <c r="B1204" s="3" t="s">
        <v>22</v>
      </c>
      <c r="C1204" s="3" t="s">
        <v>33</v>
      </c>
      <c r="D1204" s="3" t="s">
        <v>24</v>
      </c>
      <c r="E1204" s="3" t="s">
        <v>24</v>
      </c>
      <c r="F1204" s="3" t="s">
        <v>25</v>
      </c>
      <c r="G1204" s="3" t="s">
        <v>25</v>
      </c>
      <c r="H1204" s="3" t="s">
        <v>35</v>
      </c>
      <c r="I1204" s="6">
        <v>44470</v>
      </c>
      <c r="J1204" s="4">
        <v>0</v>
      </c>
      <c r="K1204" s="4">
        <v>0</v>
      </c>
      <c r="L1204" s="4">
        <v>1.4079999999999999</v>
      </c>
      <c r="M1204" s="4">
        <v>1.4079999999999999</v>
      </c>
      <c r="N1204" s="4">
        <v>1.4079999999999999</v>
      </c>
      <c r="O1204" s="4">
        <v>1.4079999999999999</v>
      </c>
      <c r="P1204" s="4">
        <v>0</v>
      </c>
      <c r="Q1204" s="3" t="s">
        <v>26</v>
      </c>
      <c r="R1204" s="3">
        <v>0</v>
      </c>
      <c r="S1204" s="4">
        <v>0</v>
      </c>
      <c r="T1204" s="4">
        <v>47</v>
      </c>
      <c r="U1204" s="4">
        <v>64</v>
      </c>
      <c r="V1204" s="4">
        <v>0</v>
      </c>
      <c r="W1204" s="4">
        <v>236.61</v>
      </c>
      <c r="X1204" s="4">
        <v>222.31</v>
      </c>
      <c r="Y1204" s="4"/>
      <c r="Z1204" s="4">
        <v>295.80812165092237</v>
      </c>
      <c r="AA1204" s="4">
        <v>235.31351552243123</v>
      </c>
      <c r="AB1204" s="4">
        <v>0</v>
      </c>
      <c r="AC1204" s="4">
        <v>333.14688000000001</v>
      </c>
      <c r="AD1204" s="4">
        <v>313.01247999999998</v>
      </c>
      <c r="AE1204" s="4">
        <v>0</v>
      </c>
      <c r="AF1204" s="4">
        <v>416.49783528449871</v>
      </c>
      <c r="AG1204" s="4">
        <v>331.32142985558318</v>
      </c>
    </row>
    <row r="1205" spans="1:33" ht="11.25" customHeight="1" x14ac:dyDescent="0.25">
      <c r="A1205" s="3" t="s">
        <v>21</v>
      </c>
      <c r="B1205" s="3" t="s">
        <v>22</v>
      </c>
      <c r="C1205" s="3" t="s">
        <v>33</v>
      </c>
      <c r="D1205" s="3" t="s">
        <v>24</v>
      </c>
      <c r="E1205" s="3" t="s">
        <v>24</v>
      </c>
      <c r="F1205" s="3" t="s">
        <v>25</v>
      </c>
      <c r="G1205" s="3" t="s">
        <v>25</v>
      </c>
      <c r="H1205" s="3" t="s">
        <v>35</v>
      </c>
      <c r="I1205" s="6">
        <v>44501</v>
      </c>
      <c r="J1205" s="4">
        <v>0</v>
      </c>
      <c r="K1205" s="4">
        <v>0</v>
      </c>
      <c r="L1205" s="4">
        <v>113.337</v>
      </c>
      <c r="M1205" s="4">
        <v>113.337</v>
      </c>
      <c r="N1205" s="4">
        <v>113.337</v>
      </c>
      <c r="O1205" s="4">
        <v>113.337</v>
      </c>
      <c r="P1205" s="4">
        <v>0</v>
      </c>
      <c r="Q1205" s="3" t="s">
        <v>26</v>
      </c>
      <c r="R1205" s="3">
        <v>0</v>
      </c>
      <c r="S1205" s="4">
        <v>0</v>
      </c>
      <c r="T1205" s="4">
        <v>47</v>
      </c>
      <c r="U1205" s="4">
        <v>64</v>
      </c>
      <c r="V1205" s="4">
        <v>0</v>
      </c>
      <c r="W1205" s="4">
        <v>236.61</v>
      </c>
      <c r="X1205" s="4">
        <v>222.31</v>
      </c>
      <c r="Y1205" s="4"/>
      <c r="Z1205" s="4">
        <v>295.80812165092237</v>
      </c>
      <c r="AA1205" s="4">
        <v>235.31351552243123</v>
      </c>
      <c r="AB1205" s="4">
        <v>0</v>
      </c>
      <c r="AC1205" s="4">
        <v>26816.667570000001</v>
      </c>
      <c r="AD1205" s="4">
        <v>25195.948469999999</v>
      </c>
      <c r="AE1205" s="4">
        <v>0</v>
      </c>
      <c r="AF1205" s="4">
        <v>33526.00508355059</v>
      </c>
      <c r="AG1205" s="4">
        <v>26669.727908765788</v>
      </c>
    </row>
    <row r="1206" spans="1:33" ht="11.25" customHeight="1" x14ac:dyDescent="0.25">
      <c r="A1206" s="3" t="s">
        <v>27</v>
      </c>
      <c r="B1206" s="3" t="s">
        <v>22</v>
      </c>
      <c r="C1206" s="3" t="s">
        <v>33</v>
      </c>
      <c r="D1206" s="3" t="s">
        <v>24</v>
      </c>
      <c r="E1206" s="3" t="s">
        <v>24</v>
      </c>
      <c r="F1206" s="3" t="s">
        <v>25</v>
      </c>
      <c r="G1206" s="3" t="s">
        <v>25</v>
      </c>
      <c r="H1206" s="3" t="s">
        <v>35</v>
      </c>
      <c r="I1206" s="6">
        <v>44501</v>
      </c>
      <c r="J1206" s="4">
        <v>0</v>
      </c>
      <c r="K1206" s="4">
        <v>0</v>
      </c>
      <c r="L1206" s="4">
        <v>-98.995000000000005</v>
      </c>
      <c r="M1206" s="4">
        <v>-98.995000000000005</v>
      </c>
      <c r="N1206" s="4">
        <v>-98.995000000000005</v>
      </c>
      <c r="O1206" s="4">
        <v>-98.995000000000005</v>
      </c>
      <c r="P1206" s="4">
        <v>0</v>
      </c>
      <c r="Q1206" s="3" t="s">
        <v>26</v>
      </c>
      <c r="R1206" s="3">
        <v>0</v>
      </c>
      <c r="S1206" s="4">
        <v>0</v>
      </c>
      <c r="T1206" s="4">
        <v>47</v>
      </c>
      <c r="U1206" s="4">
        <v>64</v>
      </c>
      <c r="V1206" s="4">
        <v>0</v>
      </c>
      <c r="W1206" s="4">
        <v>236.61</v>
      </c>
      <c r="X1206" s="4">
        <v>222.31</v>
      </c>
      <c r="Y1206" s="4"/>
      <c r="Z1206" s="4">
        <v>295.80812165092237</v>
      </c>
      <c r="AA1206" s="4">
        <v>235.31351552243123</v>
      </c>
      <c r="AB1206" s="4">
        <v>0</v>
      </c>
      <c r="AC1206" s="4">
        <v>-23423.206950000003</v>
      </c>
      <c r="AD1206" s="4">
        <v>-22007.578450000001</v>
      </c>
      <c r="AE1206" s="4">
        <v>0</v>
      </c>
      <c r="AF1206" s="4">
        <v>-29283.525002833063</v>
      </c>
      <c r="AG1206" s="4">
        <v>-23294.861469143081</v>
      </c>
    </row>
    <row r="1207" spans="1:33" ht="11.25" customHeight="1" x14ac:dyDescent="0.25">
      <c r="A1207" s="3" t="s">
        <v>28</v>
      </c>
      <c r="B1207" s="3" t="s">
        <v>22</v>
      </c>
      <c r="C1207" s="3" t="s">
        <v>33</v>
      </c>
      <c r="D1207" s="3" t="s">
        <v>24</v>
      </c>
      <c r="E1207" s="3" t="s">
        <v>24</v>
      </c>
      <c r="F1207" s="3" t="s">
        <v>25</v>
      </c>
      <c r="G1207" s="3" t="s">
        <v>25</v>
      </c>
      <c r="H1207" s="3" t="s">
        <v>35</v>
      </c>
      <c r="I1207" s="6">
        <v>44501</v>
      </c>
      <c r="J1207" s="4">
        <v>0</v>
      </c>
      <c r="K1207" s="4">
        <v>0</v>
      </c>
      <c r="L1207" s="4">
        <v>2.802</v>
      </c>
      <c r="M1207" s="4">
        <v>2.802</v>
      </c>
      <c r="N1207" s="4">
        <v>2.802</v>
      </c>
      <c r="O1207" s="4">
        <v>2.802</v>
      </c>
      <c r="P1207" s="4">
        <v>0</v>
      </c>
      <c r="Q1207" s="3" t="s">
        <v>26</v>
      </c>
      <c r="R1207" s="3">
        <v>0</v>
      </c>
      <c r="S1207" s="4">
        <v>0</v>
      </c>
      <c r="T1207" s="4">
        <v>47</v>
      </c>
      <c r="U1207" s="4">
        <v>64</v>
      </c>
      <c r="V1207" s="4">
        <v>0</v>
      </c>
      <c r="W1207" s="4">
        <v>236.61</v>
      </c>
      <c r="X1207" s="4">
        <v>222.31</v>
      </c>
      <c r="Y1207" s="4"/>
      <c r="Z1207" s="4">
        <v>295.80812165092237</v>
      </c>
      <c r="AA1207" s="4">
        <v>235.31351552243123</v>
      </c>
      <c r="AB1207" s="4">
        <v>0</v>
      </c>
      <c r="AC1207" s="4">
        <v>662.98122000000001</v>
      </c>
      <c r="AD1207" s="4">
        <v>622.91262000000006</v>
      </c>
      <c r="AE1207" s="4">
        <v>0</v>
      </c>
      <c r="AF1207" s="4">
        <v>828.85435686588448</v>
      </c>
      <c r="AG1207" s="4">
        <v>659.34847049385235</v>
      </c>
    </row>
    <row r="1208" spans="1:33" ht="11.25" customHeight="1" x14ac:dyDescent="0.25">
      <c r="A1208" s="3" t="s">
        <v>21</v>
      </c>
      <c r="B1208" s="3" t="s">
        <v>22</v>
      </c>
      <c r="C1208" s="3" t="s">
        <v>33</v>
      </c>
      <c r="D1208" s="3" t="s">
        <v>24</v>
      </c>
      <c r="E1208" s="3" t="s">
        <v>24</v>
      </c>
      <c r="F1208" s="3" t="s">
        <v>25</v>
      </c>
      <c r="G1208" s="3" t="s">
        <v>25</v>
      </c>
      <c r="H1208" s="3" t="s">
        <v>35</v>
      </c>
      <c r="I1208" s="6">
        <v>44531</v>
      </c>
      <c r="J1208" s="4">
        <v>0</v>
      </c>
      <c r="K1208" s="4">
        <v>0</v>
      </c>
      <c r="L1208" s="4">
        <v>118.518</v>
      </c>
      <c r="M1208" s="4">
        <v>118.518</v>
      </c>
      <c r="N1208" s="4">
        <v>118.518</v>
      </c>
      <c r="O1208" s="4">
        <v>118.518</v>
      </c>
      <c r="P1208" s="4">
        <v>0</v>
      </c>
      <c r="Q1208" s="3" t="s">
        <v>26</v>
      </c>
      <c r="R1208" s="3">
        <v>0</v>
      </c>
      <c r="S1208" s="4">
        <v>0</v>
      </c>
      <c r="T1208" s="4">
        <v>47</v>
      </c>
      <c r="U1208" s="4">
        <v>64</v>
      </c>
      <c r="V1208" s="4">
        <v>0</v>
      </c>
      <c r="W1208" s="4">
        <v>236.61</v>
      </c>
      <c r="X1208" s="4">
        <v>222.31</v>
      </c>
      <c r="Y1208" s="4"/>
      <c r="Z1208" s="4">
        <v>295.80812165092237</v>
      </c>
      <c r="AA1208" s="4">
        <v>235.31351552243123</v>
      </c>
      <c r="AB1208" s="4">
        <v>0</v>
      </c>
      <c r="AC1208" s="4">
        <v>28042.543980000002</v>
      </c>
      <c r="AD1208" s="4">
        <v>26347.736580000001</v>
      </c>
      <c r="AE1208" s="4">
        <v>0</v>
      </c>
      <c r="AF1208" s="4">
        <v>35058.586961824018</v>
      </c>
      <c r="AG1208" s="4">
        <v>27888.887232687506</v>
      </c>
    </row>
    <row r="1209" spans="1:33" ht="11.25" customHeight="1" x14ac:dyDescent="0.25">
      <c r="A1209" s="3" t="s">
        <v>27</v>
      </c>
      <c r="B1209" s="3" t="s">
        <v>22</v>
      </c>
      <c r="C1209" s="3" t="s">
        <v>33</v>
      </c>
      <c r="D1209" s="3" t="s">
        <v>24</v>
      </c>
      <c r="E1209" s="3" t="s">
        <v>24</v>
      </c>
      <c r="F1209" s="3" t="s">
        <v>25</v>
      </c>
      <c r="G1209" s="3" t="s">
        <v>25</v>
      </c>
      <c r="H1209" s="3" t="s">
        <v>35</v>
      </c>
      <c r="I1209" s="6">
        <v>44531</v>
      </c>
      <c r="J1209" s="4">
        <v>0</v>
      </c>
      <c r="K1209" s="4">
        <v>0</v>
      </c>
      <c r="L1209" s="4">
        <v>0.52900000000000003</v>
      </c>
      <c r="M1209" s="4">
        <v>0.52900000000000003</v>
      </c>
      <c r="N1209" s="4">
        <v>0.52900000000000003</v>
      </c>
      <c r="O1209" s="4">
        <v>0.52900000000000003</v>
      </c>
      <c r="P1209" s="4">
        <v>0</v>
      </c>
      <c r="Q1209" s="3" t="s">
        <v>26</v>
      </c>
      <c r="R1209" s="3">
        <v>0</v>
      </c>
      <c r="S1209" s="4">
        <v>0</v>
      </c>
      <c r="T1209" s="4">
        <v>47</v>
      </c>
      <c r="U1209" s="4">
        <v>64</v>
      </c>
      <c r="V1209" s="4">
        <v>0</v>
      </c>
      <c r="W1209" s="4">
        <v>236.61</v>
      </c>
      <c r="X1209" s="4">
        <v>222.31</v>
      </c>
      <c r="Y1209" s="4"/>
      <c r="Z1209" s="4">
        <v>295.80812165092237</v>
      </c>
      <c r="AA1209" s="4">
        <v>235.31351552243123</v>
      </c>
      <c r="AB1209" s="4">
        <v>0</v>
      </c>
      <c r="AC1209" s="4">
        <v>125.16669000000002</v>
      </c>
      <c r="AD1209" s="4">
        <v>117.60199</v>
      </c>
      <c r="AE1209" s="4">
        <v>0</v>
      </c>
      <c r="AF1209" s="4">
        <v>156.48249635333795</v>
      </c>
      <c r="AG1209" s="4">
        <v>124.48084971136613</v>
      </c>
    </row>
    <row r="1210" spans="1:33" ht="11.25" customHeight="1" x14ac:dyDescent="0.25">
      <c r="A1210" s="3" t="s">
        <v>28</v>
      </c>
      <c r="B1210" s="3" t="s">
        <v>22</v>
      </c>
      <c r="C1210" s="3" t="s">
        <v>33</v>
      </c>
      <c r="D1210" s="3" t="s">
        <v>24</v>
      </c>
      <c r="E1210" s="3" t="s">
        <v>24</v>
      </c>
      <c r="F1210" s="3" t="s">
        <v>25</v>
      </c>
      <c r="G1210" s="3" t="s">
        <v>25</v>
      </c>
      <c r="H1210" s="3" t="s">
        <v>35</v>
      </c>
      <c r="I1210" s="6">
        <v>44531</v>
      </c>
      <c r="J1210" s="4">
        <v>0</v>
      </c>
      <c r="K1210" s="4">
        <v>0</v>
      </c>
      <c r="L1210" s="4">
        <v>2.5430000000000001</v>
      </c>
      <c r="M1210" s="4">
        <v>2.5430000000000001</v>
      </c>
      <c r="N1210" s="4">
        <v>2.5430000000000001</v>
      </c>
      <c r="O1210" s="4">
        <v>2.5430000000000001</v>
      </c>
      <c r="P1210" s="4">
        <v>0</v>
      </c>
      <c r="Q1210" s="3" t="s">
        <v>26</v>
      </c>
      <c r="R1210" s="3">
        <v>0</v>
      </c>
      <c r="S1210" s="4">
        <v>0</v>
      </c>
      <c r="T1210" s="4">
        <v>47</v>
      </c>
      <c r="U1210" s="4">
        <v>64</v>
      </c>
      <c r="V1210" s="4">
        <v>0</v>
      </c>
      <c r="W1210" s="4">
        <v>236.61</v>
      </c>
      <c r="X1210" s="4">
        <v>222.31</v>
      </c>
      <c r="Y1210" s="4"/>
      <c r="Z1210" s="4">
        <v>295.80812165092237</v>
      </c>
      <c r="AA1210" s="4">
        <v>235.31351552243123</v>
      </c>
      <c r="AB1210" s="4">
        <v>0</v>
      </c>
      <c r="AC1210" s="4">
        <v>601.69923000000006</v>
      </c>
      <c r="AD1210" s="4">
        <v>565.33433000000002</v>
      </c>
      <c r="AE1210" s="4">
        <v>0</v>
      </c>
      <c r="AF1210" s="4">
        <v>752.24005335829565</v>
      </c>
      <c r="AG1210" s="4">
        <v>598.40226997354262</v>
      </c>
    </row>
    <row r="1211" spans="1:33" ht="11.25" customHeight="1" x14ac:dyDescent="0.25">
      <c r="A1211" s="3" t="s">
        <v>21</v>
      </c>
      <c r="B1211" s="3" t="s">
        <v>22</v>
      </c>
      <c r="C1211" s="3" t="s">
        <v>33</v>
      </c>
      <c r="D1211" s="3" t="s">
        <v>24</v>
      </c>
      <c r="E1211" s="3" t="s">
        <v>24</v>
      </c>
      <c r="F1211" s="3" t="s">
        <v>25</v>
      </c>
      <c r="G1211" s="3" t="s">
        <v>25</v>
      </c>
      <c r="H1211" s="3" t="s">
        <v>35</v>
      </c>
      <c r="I1211" s="6">
        <v>44562</v>
      </c>
      <c r="J1211" s="4">
        <v>0</v>
      </c>
      <c r="K1211" s="4">
        <v>0</v>
      </c>
      <c r="L1211" s="4">
        <v>120.30800000000001</v>
      </c>
      <c r="M1211" s="4">
        <v>120.30800000000001</v>
      </c>
      <c r="N1211" s="4">
        <v>120.30800000000001</v>
      </c>
      <c r="O1211" s="4">
        <v>120.30800000000001</v>
      </c>
      <c r="P1211" s="4">
        <v>0</v>
      </c>
      <c r="Q1211" s="3" t="s">
        <v>26</v>
      </c>
      <c r="R1211" s="3">
        <v>0</v>
      </c>
      <c r="S1211" s="4">
        <v>0</v>
      </c>
      <c r="T1211" s="4">
        <v>47</v>
      </c>
      <c r="U1211" s="4">
        <v>64</v>
      </c>
      <c r="V1211" s="4">
        <v>0</v>
      </c>
      <c r="W1211" s="4">
        <v>236.61</v>
      </c>
      <c r="X1211" s="4">
        <v>222.31</v>
      </c>
      <c r="Y1211" s="4"/>
      <c r="Z1211" s="4">
        <v>295.80812165092237</v>
      </c>
      <c r="AA1211" s="4">
        <v>235.31351552243123</v>
      </c>
      <c r="AB1211" s="4">
        <v>0</v>
      </c>
      <c r="AC1211" s="4">
        <v>28466.075880000004</v>
      </c>
      <c r="AD1211" s="4">
        <v>26745.671480000001</v>
      </c>
      <c r="AE1211" s="4">
        <v>0</v>
      </c>
      <c r="AF1211" s="4">
        <v>35588.083499579174</v>
      </c>
      <c r="AG1211" s="4">
        <v>28310.098425472657</v>
      </c>
    </row>
    <row r="1212" spans="1:33" ht="11.25" customHeight="1" x14ac:dyDescent="0.25">
      <c r="A1212" s="3" t="s">
        <v>28</v>
      </c>
      <c r="B1212" s="3" t="s">
        <v>22</v>
      </c>
      <c r="C1212" s="3" t="s">
        <v>33</v>
      </c>
      <c r="D1212" s="3" t="s">
        <v>24</v>
      </c>
      <c r="E1212" s="3" t="s">
        <v>24</v>
      </c>
      <c r="F1212" s="3" t="s">
        <v>25</v>
      </c>
      <c r="G1212" s="3" t="s">
        <v>25</v>
      </c>
      <c r="H1212" s="3" t="s">
        <v>35</v>
      </c>
      <c r="I1212" s="6">
        <v>44562</v>
      </c>
      <c r="J1212" s="4">
        <v>0</v>
      </c>
      <c r="K1212" s="4">
        <v>0</v>
      </c>
      <c r="L1212" s="4">
        <v>1.855</v>
      </c>
      <c r="M1212" s="4">
        <v>1.855</v>
      </c>
      <c r="N1212" s="4">
        <v>1.855</v>
      </c>
      <c r="O1212" s="4">
        <v>1.855</v>
      </c>
      <c r="P1212" s="4">
        <v>0</v>
      </c>
      <c r="Q1212" s="3" t="s">
        <v>26</v>
      </c>
      <c r="R1212" s="3">
        <v>0</v>
      </c>
      <c r="S1212" s="4">
        <v>0</v>
      </c>
      <c r="T1212" s="4">
        <v>47</v>
      </c>
      <c r="U1212" s="4">
        <v>64</v>
      </c>
      <c r="V1212" s="4">
        <v>0</v>
      </c>
      <c r="W1212" s="4">
        <v>236.61</v>
      </c>
      <c r="X1212" s="4">
        <v>222.31</v>
      </c>
      <c r="Y1212" s="4"/>
      <c r="Z1212" s="4">
        <v>295.80812165092237</v>
      </c>
      <c r="AA1212" s="4">
        <v>235.31351552243123</v>
      </c>
      <c r="AB1212" s="4">
        <v>0</v>
      </c>
      <c r="AC1212" s="4">
        <v>438.91155000000003</v>
      </c>
      <c r="AD1212" s="4">
        <v>412.38504999999998</v>
      </c>
      <c r="AE1212" s="4">
        <v>0</v>
      </c>
      <c r="AF1212" s="4">
        <v>548.72406566246104</v>
      </c>
      <c r="AG1212" s="4">
        <v>436.5065712941099</v>
      </c>
    </row>
    <row r="1213" spans="1:33" ht="11.25" customHeight="1" x14ac:dyDescent="0.25">
      <c r="A1213" s="3" t="s">
        <v>21</v>
      </c>
      <c r="B1213" s="3" t="s">
        <v>22</v>
      </c>
      <c r="C1213" s="3" t="s">
        <v>33</v>
      </c>
      <c r="D1213" s="3" t="s">
        <v>24</v>
      </c>
      <c r="E1213" s="3" t="s">
        <v>24</v>
      </c>
      <c r="F1213" s="3" t="s">
        <v>25</v>
      </c>
      <c r="G1213" s="3" t="s">
        <v>25</v>
      </c>
      <c r="H1213" s="3" t="s">
        <v>35</v>
      </c>
      <c r="I1213" s="6">
        <v>44593</v>
      </c>
      <c r="J1213" s="4">
        <v>0</v>
      </c>
      <c r="K1213" s="4">
        <v>0</v>
      </c>
      <c r="L1213" s="4">
        <v>125.955</v>
      </c>
      <c r="M1213" s="4">
        <v>125.955</v>
      </c>
      <c r="N1213" s="4">
        <v>125.955</v>
      </c>
      <c r="O1213" s="4">
        <v>125.955</v>
      </c>
      <c r="P1213" s="4">
        <v>0</v>
      </c>
      <c r="Q1213" s="3" t="s">
        <v>26</v>
      </c>
      <c r="R1213" s="3">
        <v>0</v>
      </c>
      <c r="S1213" s="4">
        <v>0</v>
      </c>
      <c r="T1213" s="4">
        <v>47</v>
      </c>
      <c r="U1213" s="4">
        <v>64</v>
      </c>
      <c r="V1213" s="4">
        <v>0</v>
      </c>
      <c r="W1213" s="4">
        <v>236.61</v>
      </c>
      <c r="X1213" s="4">
        <v>222.31</v>
      </c>
      <c r="Y1213" s="4"/>
      <c r="Z1213" s="4">
        <v>295.80812165092237</v>
      </c>
      <c r="AA1213" s="4">
        <v>235.31351552243123</v>
      </c>
      <c r="AB1213" s="4">
        <v>0</v>
      </c>
      <c r="AC1213" s="4">
        <v>29802.21255</v>
      </c>
      <c r="AD1213" s="4">
        <v>28001.056049999999</v>
      </c>
      <c r="AE1213" s="4">
        <v>0</v>
      </c>
      <c r="AF1213" s="4">
        <v>37258.511962541925</v>
      </c>
      <c r="AG1213" s="4">
        <v>29638.913847627824</v>
      </c>
    </row>
    <row r="1214" spans="1:33" ht="11.25" customHeight="1" x14ac:dyDescent="0.25">
      <c r="A1214" s="3" t="s">
        <v>28</v>
      </c>
      <c r="B1214" s="3" t="s">
        <v>22</v>
      </c>
      <c r="C1214" s="3" t="s">
        <v>33</v>
      </c>
      <c r="D1214" s="3" t="s">
        <v>24</v>
      </c>
      <c r="E1214" s="3" t="s">
        <v>24</v>
      </c>
      <c r="F1214" s="3" t="s">
        <v>25</v>
      </c>
      <c r="G1214" s="3" t="s">
        <v>25</v>
      </c>
      <c r="H1214" s="3" t="s">
        <v>35</v>
      </c>
      <c r="I1214" s="6">
        <v>44593</v>
      </c>
      <c r="J1214" s="4">
        <v>0</v>
      </c>
      <c r="K1214" s="4">
        <v>0</v>
      </c>
      <c r="L1214" s="4">
        <v>0.83699999999999997</v>
      </c>
      <c r="M1214" s="4">
        <v>0.83699999999999997</v>
      </c>
      <c r="N1214" s="4">
        <v>0.83699999999999997</v>
      </c>
      <c r="O1214" s="4">
        <v>0.83699999999999997</v>
      </c>
      <c r="P1214" s="4">
        <v>0</v>
      </c>
      <c r="Q1214" s="3" t="s">
        <v>26</v>
      </c>
      <c r="R1214" s="3">
        <v>0</v>
      </c>
      <c r="S1214" s="4">
        <v>0</v>
      </c>
      <c r="T1214" s="4">
        <v>47</v>
      </c>
      <c r="U1214" s="4">
        <v>64</v>
      </c>
      <c r="V1214" s="4">
        <v>0</v>
      </c>
      <c r="W1214" s="4">
        <v>236.61</v>
      </c>
      <c r="X1214" s="4">
        <v>222.31</v>
      </c>
      <c r="Y1214" s="4"/>
      <c r="Z1214" s="4">
        <v>295.80812165092237</v>
      </c>
      <c r="AA1214" s="4">
        <v>235.31351552243123</v>
      </c>
      <c r="AB1214" s="4">
        <v>0</v>
      </c>
      <c r="AC1214" s="4">
        <v>198.04257000000001</v>
      </c>
      <c r="AD1214" s="4">
        <v>186.07346999999999</v>
      </c>
      <c r="AE1214" s="4">
        <v>0</v>
      </c>
      <c r="AF1214" s="4">
        <v>247.59139782182203</v>
      </c>
      <c r="AG1214" s="4">
        <v>196.95741249227493</v>
      </c>
    </row>
    <row r="1215" spans="1:33" ht="11.25" customHeight="1" x14ac:dyDescent="0.25">
      <c r="A1215" s="3" t="s">
        <v>28</v>
      </c>
      <c r="B1215" s="3" t="s">
        <v>22</v>
      </c>
      <c r="C1215" s="3" t="s">
        <v>33</v>
      </c>
      <c r="D1215" s="3" t="s">
        <v>24</v>
      </c>
      <c r="E1215" s="3" t="s">
        <v>24</v>
      </c>
      <c r="F1215" s="3" t="s">
        <v>25</v>
      </c>
      <c r="G1215" s="3" t="s">
        <v>25</v>
      </c>
      <c r="H1215" s="3" t="s">
        <v>35</v>
      </c>
      <c r="I1215" s="6">
        <v>44593</v>
      </c>
      <c r="J1215" s="4">
        <v>0</v>
      </c>
      <c r="K1215" s="4">
        <v>0</v>
      </c>
      <c r="L1215" s="4">
        <v>-1.506</v>
      </c>
      <c r="M1215" s="4">
        <v>-1.506</v>
      </c>
      <c r="N1215" s="4">
        <v>-1.506</v>
      </c>
      <c r="O1215" s="4">
        <v>-1.506</v>
      </c>
      <c r="P1215" s="4">
        <v>0</v>
      </c>
      <c r="Q1215" s="3" t="s">
        <v>26</v>
      </c>
      <c r="R1215" s="3">
        <v>0</v>
      </c>
      <c r="S1215" s="4">
        <v>0</v>
      </c>
      <c r="T1215" s="4">
        <v>47</v>
      </c>
      <c r="U1215" s="4">
        <v>64</v>
      </c>
      <c r="V1215" s="4">
        <v>0</v>
      </c>
      <c r="W1215" s="4">
        <v>236.61</v>
      </c>
      <c r="X1215" s="4">
        <v>222.31</v>
      </c>
      <c r="Y1215" s="4"/>
      <c r="Z1215" s="4">
        <v>295.80812165092237</v>
      </c>
      <c r="AA1215" s="4">
        <v>235.31351552243123</v>
      </c>
      <c r="AB1215" s="4">
        <v>0</v>
      </c>
      <c r="AC1215" s="4">
        <v>-356.33466000000004</v>
      </c>
      <c r="AD1215" s="4">
        <v>-334.79885999999999</v>
      </c>
      <c r="AE1215" s="4">
        <v>0</v>
      </c>
      <c r="AF1215" s="4">
        <v>-445.48703120628909</v>
      </c>
      <c r="AG1215" s="4">
        <v>-354.38215437678144</v>
      </c>
    </row>
    <row r="1216" spans="1:33" ht="11.25" customHeight="1" x14ac:dyDescent="0.25">
      <c r="A1216" s="3" t="s">
        <v>56</v>
      </c>
      <c r="B1216" s="3" t="s">
        <v>22</v>
      </c>
      <c r="C1216" s="3" t="s">
        <v>33</v>
      </c>
      <c r="D1216" s="3" t="s">
        <v>24</v>
      </c>
      <c r="E1216" s="3" t="s">
        <v>24</v>
      </c>
      <c r="F1216" s="3" t="s">
        <v>25</v>
      </c>
      <c r="G1216" s="3" t="s">
        <v>25</v>
      </c>
      <c r="H1216" s="3" t="s">
        <v>35</v>
      </c>
      <c r="I1216" s="6">
        <v>44621</v>
      </c>
      <c r="J1216" s="4">
        <v>0</v>
      </c>
      <c r="K1216" s="4">
        <v>0</v>
      </c>
      <c r="L1216" s="4">
        <v>125.955</v>
      </c>
      <c r="M1216" s="4">
        <v>125.955</v>
      </c>
      <c r="N1216" s="4">
        <v>125.955</v>
      </c>
      <c r="O1216" s="4">
        <v>125.955</v>
      </c>
      <c r="P1216" s="4">
        <v>0</v>
      </c>
      <c r="Q1216" s="3" t="s">
        <v>26</v>
      </c>
      <c r="R1216" s="3">
        <v>0</v>
      </c>
      <c r="S1216" s="4">
        <v>0</v>
      </c>
      <c r="T1216" s="4">
        <v>47</v>
      </c>
      <c r="U1216" s="4">
        <v>64</v>
      </c>
      <c r="V1216" s="4">
        <v>0</v>
      </c>
      <c r="W1216" s="4">
        <v>236.61</v>
      </c>
      <c r="X1216" s="4">
        <v>222.31</v>
      </c>
      <c r="Y1216" s="4"/>
      <c r="Z1216" s="4">
        <v>295.80812165092237</v>
      </c>
      <c r="AA1216" s="4">
        <v>235.31351552243123</v>
      </c>
      <c r="AB1216" s="4">
        <v>0</v>
      </c>
      <c r="AC1216" s="4">
        <v>29802.21255</v>
      </c>
      <c r="AD1216" s="4">
        <v>28001.056049999999</v>
      </c>
      <c r="AE1216" s="4">
        <v>0</v>
      </c>
      <c r="AF1216" s="4">
        <v>37258.511962541925</v>
      </c>
      <c r="AG1216" s="4">
        <v>29638.913847627824</v>
      </c>
    </row>
    <row r="1217" spans="1:33" ht="11.25" customHeight="1" x14ac:dyDescent="0.25">
      <c r="A1217" s="3" t="s">
        <v>56</v>
      </c>
      <c r="B1217" s="3" t="s">
        <v>22</v>
      </c>
      <c r="C1217" s="3" t="s">
        <v>33</v>
      </c>
      <c r="D1217" s="3" t="s">
        <v>24</v>
      </c>
      <c r="E1217" s="3" t="s">
        <v>24</v>
      </c>
      <c r="F1217" s="3" t="s">
        <v>25</v>
      </c>
      <c r="G1217" s="3" t="s">
        <v>25</v>
      </c>
      <c r="H1217" s="3" t="s">
        <v>35</v>
      </c>
      <c r="I1217" s="6">
        <v>44621</v>
      </c>
      <c r="J1217" s="4">
        <v>0</v>
      </c>
      <c r="K1217" s="4">
        <v>0</v>
      </c>
      <c r="L1217" s="4">
        <v>0.83699999999999997</v>
      </c>
      <c r="M1217" s="4">
        <v>0.83699999999999997</v>
      </c>
      <c r="N1217" s="4">
        <v>0.83699999999999997</v>
      </c>
      <c r="O1217" s="4">
        <v>0.83699999999999997</v>
      </c>
      <c r="P1217" s="4">
        <v>0</v>
      </c>
      <c r="Q1217" s="3" t="s">
        <v>26</v>
      </c>
      <c r="R1217" s="3">
        <v>0</v>
      </c>
      <c r="S1217" s="4">
        <v>0</v>
      </c>
      <c r="T1217" s="4">
        <v>47</v>
      </c>
      <c r="U1217" s="4">
        <v>64</v>
      </c>
      <c r="V1217" s="4">
        <v>0</v>
      </c>
      <c r="W1217" s="4">
        <v>236.61</v>
      </c>
      <c r="X1217" s="4">
        <v>222.31</v>
      </c>
      <c r="Y1217" s="4"/>
      <c r="Z1217" s="4">
        <v>295.80812165092237</v>
      </c>
      <c r="AA1217" s="4">
        <v>235.31351552243123</v>
      </c>
      <c r="AB1217" s="4">
        <v>0</v>
      </c>
      <c r="AC1217" s="4">
        <v>198.04257000000001</v>
      </c>
      <c r="AD1217" s="4">
        <v>186.07346999999999</v>
      </c>
      <c r="AE1217" s="4">
        <v>0</v>
      </c>
      <c r="AF1217" s="4">
        <v>247.59139782182203</v>
      </c>
      <c r="AG1217" s="4">
        <v>196.95741249227493</v>
      </c>
    </row>
    <row r="1218" spans="1:33" ht="11.25" customHeight="1" x14ac:dyDescent="0.25">
      <c r="A1218" s="3" t="s">
        <v>56</v>
      </c>
      <c r="B1218" s="3" t="s">
        <v>22</v>
      </c>
      <c r="C1218" s="3" t="s">
        <v>33</v>
      </c>
      <c r="D1218" s="3" t="s">
        <v>24</v>
      </c>
      <c r="E1218" s="3" t="s">
        <v>24</v>
      </c>
      <c r="F1218" s="3" t="s">
        <v>25</v>
      </c>
      <c r="G1218" s="3" t="s">
        <v>25</v>
      </c>
      <c r="H1218" s="3" t="s">
        <v>35</v>
      </c>
      <c r="I1218" s="6">
        <v>44621</v>
      </c>
      <c r="J1218" s="4">
        <v>0</v>
      </c>
      <c r="K1218" s="4">
        <v>0</v>
      </c>
      <c r="L1218" s="4">
        <v>-1.506</v>
      </c>
      <c r="M1218" s="4">
        <v>-1.506</v>
      </c>
      <c r="N1218" s="4">
        <v>-1.506</v>
      </c>
      <c r="O1218" s="4">
        <v>-1.506</v>
      </c>
      <c r="P1218" s="4">
        <v>0</v>
      </c>
      <c r="Q1218" s="3" t="s">
        <v>26</v>
      </c>
      <c r="R1218" s="3">
        <v>0</v>
      </c>
      <c r="S1218" s="4">
        <v>0</v>
      </c>
      <c r="T1218" s="4">
        <v>47</v>
      </c>
      <c r="U1218" s="4">
        <v>64</v>
      </c>
      <c r="V1218" s="4">
        <v>0</v>
      </c>
      <c r="W1218" s="4">
        <v>236.61</v>
      </c>
      <c r="X1218" s="4">
        <v>222.31</v>
      </c>
      <c r="Y1218" s="4"/>
      <c r="Z1218" s="4">
        <v>295.80812165092237</v>
      </c>
      <c r="AA1218" s="4">
        <v>235.31351552243123</v>
      </c>
      <c r="AB1218" s="4">
        <v>0</v>
      </c>
      <c r="AC1218" s="4">
        <v>-356.33466000000004</v>
      </c>
      <c r="AD1218" s="4">
        <v>-334.79885999999999</v>
      </c>
      <c r="AE1218" s="4">
        <v>0</v>
      </c>
      <c r="AF1218" s="4">
        <v>-445.48703120628909</v>
      </c>
      <c r="AG1218" s="4">
        <v>-354.38215437678144</v>
      </c>
    </row>
    <row r="1219" spans="1:33" ht="11.25" customHeight="1" x14ac:dyDescent="0.25">
      <c r="A1219" s="3" t="s">
        <v>21</v>
      </c>
      <c r="B1219" s="3" t="s">
        <v>22</v>
      </c>
      <c r="C1219" s="3" t="s">
        <v>33</v>
      </c>
      <c r="D1219" s="3" t="s">
        <v>24</v>
      </c>
      <c r="E1219" s="3" t="s">
        <v>24</v>
      </c>
      <c r="F1219" s="3" t="s">
        <v>25</v>
      </c>
      <c r="G1219" s="3" t="s">
        <v>25</v>
      </c>
      <c r="H1219" s="3" t="s">
        <v>36</v>
      </c>
      <c r="I1219" s="6">
        <v>44287</v>
      </c>
      <c r="J1219" s="4">
        <v>0</v>
      </c>
      <c r="K1219" s="4">
        <v>0</v>
      </c>
      <c r="L1219" s="4">
        <v>6.7119999999999997</v>
      </c>
      <c r="M1219" s="4">
        <v>6.7119999999999997</v>
      </c>
      <c r="N1219" s="4">
        <v>6.7119999999999997</v>
      </c>
      <c r="O1219" s="4">
        <v>6.7119999999999997</v>
      </c>
      <c r="P1219" s="4">
        <v>0</v>
      </c>
      <c r="Q1219" s="3" t="s">
        <v>26</v>
      </c>
      <c r="R1219" s="3">
        <v>0</v>
      </c>
      <c r="S1219" s="4">
        <v>0</v>
      </c>
      <c r="T1219" s="4">
        <v>25</v>
      </c>
      <c r="U1219" s="4">
        <v>63</v>
      </c>
      <c r="V1219" s="4">
        <v>0</v>
      </c>
      <c r="W1219" s="4">
        <v>565.36</v>
      </c>
      <c r="X1219" s="4">
        <v>222.31</v>
      </c>
      <c r="Y1219" s="4"/>
      <c r="Z1219" s="4">
        <v>699.87113545494265</v>
      </c>
      <c r="AA1219" s="4">
        <v>235.31351552243123</v>
      </c>
      <c r="AB1219" s="4">
        <v>0</v>
      </c>
      <c r="AC1219" s="4">
        <v>3794.69632</v>
      </c>
      <c r="AD1219" s="4">
        <v>1492.14472</v>
      </c>
      <c r="AE1219" s="4">
        <v>0</v>
      </c>
      <c r="AF1219" s="4">
        <v>4697.5350611735748</v>
      </c>
      <c r="AG1219" s="4">
        <v>1579.4243161865584</v>
      </c>
    </row>
    <row r="1220" spans="1:33" ht="11.25" customHeight="1" x14ac:dyDescent="0.25">
      <c r="A1220" s="3" t="s">
        <v>28</v>
      </c>
      <c r="B1220" s="3" t="s">
        <v>22</v>
      </c>
      <c r="C1220" s="3" t="s">
        <v>33</v>
      </c>
      <c r="D1220" s="3" t="s">
        <v>24</v>
      </c>
      <c r="E1220" s="3" t="s">
        <v>24</v>
      </c>
      <c r="F1220" s="3" t="s">
        <v>25</v>
      </c>
      <c r="G1220" s="3" t="s">
        <v>25</v>
      </c>
      <c r="H1220" s="3" t="s">
        <v>36</v>
      </c>
      <c r="I1220" s="6">
        <v>44287</v>
      </c>
      <c r="J1220" s="4">
        <v>0</v>
      </c>
      <c r="K1220" s="4">
        <v>0</v>
      </c>
      <c r="L1220" s="4">
        <v>0.13200000000000001</v>
      </c>
      <c r="M1220" s="4">
        <v>0.13200000000000001</v>
      </c>
      <c r="N1220" s="4">
        <v>0.13200000000000001</v>
      </c>
      <c r="O1220" s="4">
        <v>0.13200000000000001</v>
      </c>
      <c r="P1220" s="4">
        <v>0</v>
      </c>
      <c r="Q1220" s="3" t="s">
        <v>26</v>
      </c>
      <c r="R1220" s="3">
        <v>0</v>
      </c>
      <c r="S1220" s="4">
        <v>0</v>
      </c>
      <c r="T1220" s="4">
        <v>25</v>
      </c>
      <c r="U1220" s="4">
        <v>63</v>
      </c>
      <c r="V1220" s="4">
        <v>0</v>
      </c>
      <c r="W1220" s="4">
        <v>565.36</v>
      </c>
      <c r="X1220" s="4">
        <v>222.31</v>
      </c>
      <c r="Y1220" s="4"/>
      <c r="Z1220" s="4">
        <v>699.87113545494265</v>
      </c>
      <c r="AA1220" s="4">
        <v>235.31351552243123</v>
      </c>
      <c r="AB1220" s="4">
        <v>0</v>
      </c>
      <c r="AC1220" s="4">
        <v>74.627520000000004</v>
      </c>
      <c r="AD1220" s="4">
        <v>29.344920000000002</v>
      </c>
      <c r="AE1220" s="4">
        <v>0</v>
      </c>
      <c r="AF1220" s="4">
        <v>92.382989880052435</v>
      </c>
      <c r="AG1220" s="4">
        <v>31.061384048960925</v>
      </c>
    </row>
    <row r="1221" spans="1:33" ht="11.25" customHeight="1" x14ac:dyDescent="0.25">
      <c r="A1221" s="3" t="s">
        <v>21</v>
      </c>
      <c r="B1221" s="3" t="s">
        <v>22</v>
      </c>
      <c r="C1221" s="3" t="s">
        <v>33</v>
      </c>
      <c r="D1221" s="3" t="s">
        <v>24</v>
      </c>
      <c r="E1221" s="3" t="s">
        <v>24</v>
      </c>
      <c r="F1221" s="3" t="s">
        <v>25</v>
      </c>
      <c r="G1221" s="3" t="s">
        <v>25</v>
      </c>
      <c r="H1221" s="3" t="s">
        <v>36</v>
      </c>
      <c r="I1221" s="6">
        <v>44317</v>
      </c>
      <c r="J1221" s="4">
        <v>0</v>
      </c>
      <c r="K1221" s="4">
        <v>0</v>
      </c>
      <c r="L1221" s="4">
        <v>6.2249999999999996</v>
      </c>
      <c r="M1221" s="4">
        <v>6.2249999999999996</v>
      </c>
      <c r="N1221" s="4">
        <v>6.2249999999999996</v>
      </c>
      <c r="O1221" s="4">
        <v>6.2249999999999996</v>
      </c>
      <c r="P1221" s="4">
        <v>0</v>
      </c>
      <c r="Q1221" s="3" t="s">
        <v>26</v>
      </c>
      <c r="R1221" s="3">
        <v>0</v>
      </c>
      <c r="S1221" s="4">
        <v>0</v>
      </c>
      <c r="T1221" s="4">
        <v>25</v>
      </c>
      <c r="U1221" s="4">
        <v>63</v>
      </c>
      <c r="V1221" s="4">
        <v>0</v>
      </c>
      <c r="W1221" s="4">
        <v>565.36</v>
      </c>
      <c r="X1221" s="4">
        <v>222.31</v>
      </c>
      <c r="Y1221" s="4"/>
      <c r="Z1221" s="4">
        <v>699.87113545494265</v>
      </c>
      <c r="AA1221" s="4">
        <v>235.31351552243123</v>
      </c>
      <c r="AB1221" s="4">
        <v>0</v>
      </c>
      <c r="AC1221" s="4">
        <v>3519.366</v>
      </c>
      <c r="AD1221" s="4">
        <v>1383.8797499999998</v>
      </c>
      <c r="AE1221" s="4">
        <v>0</v>
      </c>
      <c r="AF1221" s="4">
        <v>4356.6978182070179</v>
      </c>
      <c r="AG1221" s="4">
        <v>1464.8266341271344</v>
      </c>
    </row>
    <row r="1222" spans="1:33" ht="11.25" customHeight="1" x14ac:dyDescent="0.25">
      <c r="A1222" s="3" t="s">
        <v>28</v>
      </c>
      <c r="B1222" s="3" t="s">
        <v>22</v>
      </c>
      <c r="C1222" s="3" t="s">
        <v>33</v>
      </c>
      <c r="D1222" s="3" t="s">
        <v>24</v>
      </c>
      <c r="E1222" s="3" t="s">
        <v>24</v>
      </c>
      <c r="F1222" s="3" t="s">
        <v>25</v>
      </c>
      <c r="G1222" s="3" t="s">
        <v>25</v>
      </c>
      <c r="H1222" s="3" t="s">
        <v>36</v>
      </c>
      <c r="I1222" s="6">
        <v>44317</v>
      </c>
      <c r="J1222" s="4">
        <v>0</v>
      </c>
      <c r="K1222" s="4">
        <v>0</v>
      </c>
      <c r="L1222" s="4">
        <v>4.8000000000000001E-2</v>
      </c>
      <c r="M1222" s="4">
        <v>4.8000000000000001E-2</v>
      </c>
      <c r="N1222" s="4">
        <v>4.8000000000000001E-2</v>
      </c>
      <c r="O1222" s="4">
        <v>4.8000000000000001E-2</v>
      </c>
      <c r="P1222" s="4">
        <v>0</v>
      </c>
      <c r="Q1222" s="3" t="s">
        <v>26</v>
      </c>
      <c r="R1222" s="3">
        <v>0</v>
      </c>
      <c r="S1222" s="4">
        <v>0</v>
      </c>
      <c r="T1222" s="4">
        <v>25</v>
      </c>
      <c r="U1222" s="4">
        <v>63</v>
      </c>
      <c r="V1222" s="4">
        <v>0</v>
      </c>
      <c r="W1222" s="4">
        <v>565.36</v>
      </c>
      <c r="X1222" s="4">
        <v>222.31</v>
      </c>
      <c r="Y1222" s="4"/>
      <c r="Z1222" s="4">
        <v>699.87113545494265</v>
      </c>
      <c r="AA1222" s="4">
        <v>235.31351552243123</v>
      </c>
      <c r="AB1222" s="4">
        <v>0</v>
      </c>
      <c r="AC1222" s="4">
        <v>27.137280000000001</v>
      </c>
      <c r="AD1222" s="4">
        <v>10.67088</v>
      </c>
      <c r="AE1222" s="4">
        <v>0</v>
      </c>
      <c r="AF1222" s="4">
        <v>33.593814501837251</v>
      </c>
      <c r="AG1222" s="4">
        <v>11.295048745076699</v>
      </c>
    </row>
    <row r="1223" spans="1:33" ht="11.25" customHeight="1" x14ac:dyDescent="0.25">
      <c r="A1223" s="3" t="s">
        <v>21</v>
      </c>
      <c r="B1223" s="3" t="s">
        <v>22</v>
      </c>
      <c r="C1223" s="3" t="s">
        <v>33</v>
      </c>
      <c r="D1223" s="3" t="s">
        <v>24</v>
      </c>
      <c r="E1223" s="3" t="s">
        <v>24</v>
      </c>
      <c r="F1223" s="3" t="s">
        <v>25</v>
      </c>
      <c r="G1223" s="3" t="s">
        <v>25</v>
      </c>
      <c r="H1223" s="3" t="s">
        <v>36</v>
      </c>
      <c r="I1223" s="6">
        <v>44348</v>
      </c>
      <c r="J1223" s="4">
        <v>0</v>
      </c>
      <c r="K1223" s="4">
        <v>0</v>
      </c>
      <c r="L1223" s="4">
        <v>6.5419999999999998</v>
      </c>
      <c r="M1223" s="4">
        <v>6.5419999999999998</v>
      </c>
      <c r="N1223" s="4">
        <v>6.5419999999999998</v>
      </c>
      <c r="O1223" s="4">
        <v>6.5419999999999998</v>
      </c>
      <c r="P1223" s="4">
        <v>0</v>
      </c>
      <c r="Q1223" s="3" t="s">
        <v>26</v>
      </c>
      <c r="R1223" s="3">
        <v>0</v>
      </c>
      <c r="S1223" s="4">
        <v>0</v>
      </c>
      <c r="T1223" s="4">
        <v>25</v>
      </c>
      <c r="U1223" s="4">
        <v>63</v>
      </c>
      <c r="V1223" s="4">
        <v>0</v>
      </c>
      <c r="W1223" s="4">
        <v>565.36</v>
      </c>
      <c r="X1223" s="4">
        <v>222.31</v>
      </c>
      <c r="Y1223" s="4"/>
      <c r="Z1223" s="4">
        <v>699.87113545494265</v>
      </c>
      <c r="AA1223" s="4">
        <v>235.31351552243123</v>
      </c>
      <c r="AB1223" s="4">
        <v>0</v>
      </c>
      <c r="AC1223" s="4">
        <v>3698.5851200000002</v>
      </c>
      <c r="AD1223" s="4">
        <v>1454.35202</v>
      </c>
      <c r="AE1223" s="4">
        <v>0</v>
      </c>
      <c r="AF1223" s="4">
        <v>4578.5569681462348</v>
      </c>
      <c r="AG1223" s="4">
        <v>1539.421018547745</v>
      </c>
    </row>
    <row r="1224" spans="1:33" ht="11.25" customHeight="1" x14ac:dyDescent="0.25">
      <c r="A1224" s="3" t="s">
        <v>28</v>
      </c>
      <c r="B1224" s="3" t="s">
        <v>22</v>
      </c>
      <c r="C1224" s="3" t="s">
        <v>33</v>
      </c>
      <c r="D1224" s="3" t="s">
        <v>24</v>
      </c>
      <c r="E1224" s="3" t="s">
        <v>24</v>
      </c>
      <c r="F1224" s="3" t="s">
        <v>25</v>
      </c>
      <c r="G1224" s="3" t="s">
        <v>25</v>
      </c>
      <c r="H1224" s="3" t="s">
        <v>36</v>
      </c>
      <c r="I1224" s="6">
        <v>44348</v>
      </c>
      <c r="J1224" s="4">
        <v>0</v>
      </c>
      <c r="K1224" s="4">
        <v>0</v>
      </c>
      <c r="L1224" s="4">
        <v>6.3E-2</v>
      </c>
      <c r="M1224" s="4">
        <v>6.3E-2</v>
      </c>
      <c r="N1224" s="4">
        <v>6.3E-2</v>
      </c>
      <c r="O1224" s="4">
        <v>6.3E-2</v>
      </c>
      <c r="P1224" s="4">
        <v>0</v>
      </c>
      <c r="Q1224" s="3" t="s">
        <v>26</v>
      </c>
      <c r="R1224" s="3">
        <v>0</v>
      </c>
      <c r="S1224" s="4">
        <v>0</v>
      </c>
      <c r="T1224" s="4">
        <v>25</v>
      </c>
      <c r="U1224" s="4">
        <v>63</v>
      </c>
      <c r="V1224" s="4">
        <v>0</v>
      </c>
      <c r="W1224" s="4">
        <v>565.36</v>
      </c>
      <c r="X1224" s="4">
        <v>222.31</v>
      </c>
      <c r="Y1224" s="4"/>
      <c r="Z1224" s="4">
        <v>699.87113545494265</v>
      </c>
      <c r="AA1224" s="4">
        <v>235.31351552243123</v>
      </c>
      <c r="AB1224" s="4">
        <v>0</v>
      </c>
      <c r="AC1224" s="4">
        <v>35.61768</v>
      </c>
      <c r="AD1224" s="4">
        <v>14.00553</v>
      </c>
      <c r="AE1224" s="4">
        <v>0</v>
      </c>
      <c r="AF1224" s="4">
        <v>44.091881533661386</v>
      </c>
      <c r="AG1224" s="4">
        <v>14.824751477913168</v>
      </c>
    </row>
    <row r="1225" spans="1:33" ht="11.25" customHeight="1" x14ac:dyDescent="0.25">
      <c r="A1225" s="3" t="s">
        <v>21</v>
      </c>
      <c r="B1225" s="3" t="s">
        <v>22</v>
      </c>
      <c r="C1225" s="3" t="s">
        <v>33</v>
      </c>
      <c r="D1225" s="3" t="s">
        <v>24</v>
      </c>
      <c r="E1225" s="3" t="s">
        <v>24</v>
      </c>
      <c r="F1225" s="3" t="s">
        <v>25</v>
      </c>
      <c r="G1225" s="3" t="s">
        <v>25</v>
      </c>
      <c r="H1225" s="3" t="s">
        <v>36</v>
      </c>
      <c r="I1225" s="6">
        <v>44378</v>
      </c>
      <c r="J1225" s="4">
        <v>0</v>
      </c>
      <c r="K1225" s="4">
        <v>0</v>
      </c>
      <c r="L1225" s="4">
        <v>5.8940000000000001</v>
      </c>
      <c r="M1225" s="4">
        <v>5.8940000000000001</v>
      </c>
      <c r="N1225" s="4">
        <v>5.8940000000000001</v>
      </c>
      <c r="O1225" s="4">
        <v>5.8940000000000001</v>
      </c>
      <c r="P1225" s="4">
        <v>0</v>
      </c>
      <c r="Q1225" s="3" t="s">
        <v>26</v>
      </c>
      <c r="R1225" s="3">
        <v>0</v>
      </c>
      <c r="S1225" s="4">
        <v>0</v>
      </c>
      <c r="T1225" s="4">
        <v>25</v>
      </c>
      <c r="U1225" s="4">
        <v>63</v>
      </c>
      <c r="V1225" s="4">
        <v>0</v>
      </c>
      <c r="W1225" s="4">
        <v>565.36</v>
      </c>
      <c r="X1225" s="4">
        <v>222.31</v>
      </c>
      <c r="Y1225" s="4"/>
      <c r="Z1225" s="4">
        <v>699.87113545494265</v>
      </c>
      <c r="AA1225" s="4">
        <v>235.31351552243123</v>
      </c>
      <c r="AB1225" s="4">
        <v>0</v>
      </c>
      <c r="AC1225" s="4">
        <v>3332.2318400000004</v>
      </c>
      <c r="AD1225" s="4">
        <v>1310.2951399999999</v>
      </c>
      <c r="AE1225" s="4">
        <v>0</v>
      </c>
      <c r="AF1225" s="4">
        <v>4125.0404723714319</v>
      </c>
      <c r="AG1225" s="4">
        <v>1386.9378604892097</v>
      </c>
    </row>
    <row r="1226" spans="1:33" ht="11.25" customHeight="1" x14ac:dyDescent="0.25">
      <c r="A1226" s="3" t="s">
        <v>28</v>
      </c>
      <c r="B1226" s="3" t="s">
        <v>22</v>
      </c>
      <c r="C1226" s="3" t="s">
        <v>33</v>
      </c>
      <c r="D1226" s="3" t="s">
        <v>24</v>
      </c>
      <c r="E1226" s="3" t="s">
        <v>24</v>
      </c>
      <c r="F1226" s="3" t="s">
        <v>25</v>
      </c>
      <c r="G1226" s="3" t="s">
        <v>25</v>
      </c>
      <c r="H1226" s="3" t="s">
        <v>36</v>
      </c>
      <c r="I1226" s="6">
        <v>44378</v>
      </c>
      <c r="J1226" s="4">
        <v>0</v>
      </c>
      <c r="K1226" s="4">
        <v>0</v>
      </c>
      <c r="L1226" s="4">
        <v>4.7E-2</v>
      </c>
      <c r="M1226" s="4">
        <v>4.7E-2</v>
      </c>
      <c r="N1226" s="4">
        <v>4.7E-2</v>
      </c>
      <c r="O1226" s="4">
        <v>4.7E-2</v>
      </c>
      <c r="P1226" s="4">
        <v>0</v>
      </c>
      <c r="Q1226" s="3" t="s">
        <v>26</v>
      </c>
      <c r="R1226" s="3">
        <v>0</v>
      </c>
      <c r="S1226" s="4">
        <v>0</v>
      </c>
      <c r="T1226" s="4">
        <v>25</v>
      </c>
      <c r="U1226" s="4">
        <v>63</v>
      </c>
      <c r="V1226" s="4">
        <v>0</v>
      </c>
      <c r="W1226" s="4">
        <v>565.36</v>
      </c>
      <c r="X1226" s="4">
        <v>222.31</v>
      </c>
      <c r="Y1226" s="4"/>
      <c r="Z1226" s="4">
        <v>699.87113545494265</v>
      </c>
      <c r="AA1226" s="4">
        <v>235.31351552243123</v>
      </c>
      <c r="AB1226" s="4">
        <v>0</v>
      </c>
      <c r="AC1226" s="4">
        <v>26.571920000000002</v>
      </c>
      <c r="AD1226" s="4">
        <v>10.44857</v>
      </c>
      <c r="AE1226" s="4">
        <v>0</v>
      </c>
      <c r="AF1226" s="4">
        <v>32.893943366382302</v>
      </c>
      <c r="AG1226" s="4">
        <v>11.059735229554267</v>
      </c>
    </row>
    <row r="1227" spans="1:33" ht="11.25" customHeight="1" x14ac:dyDescent="0.25">
      <c r="A1227" s="3" t="s">
        <v>21</v>
      </c>
      <c r="B1227" s="3" t="s">
        <v>22</v>
      </c>
      <c r="C1227" s="3" t="s">
        <v>33</v>
      </c>
      <c r="D1227" s="3" t="s">
        <v>24</v>
      </c>
      <c r="E1227" s="3" t="s">
        <v>24</v>
      </c>
      <c r="F1227" s="3" t="s">
        <v>25</v>
      </c>
      <c r="G1227" s="3" t="s">
        <v>25</v>
      </c>
      <c r="H1227" s="3" t="s">
        <v>36</v>
      </c>
      <c r="I1227" s="6">
        <v>44409</v>
      </c>
      <c r="J1227" s="4">
        <v>0</v>
      </c>
      <c r="K1227" s="4">
        <v>0</v>
      </c>
      <c r="L1227" s="4">
        <v>5.8639999999999999</v>
      </c>
      <c r="M1227" s="4">
        <v>5.8639999999999999</v>
      </c>
      <c r="N1227" s="4">
        <v>5.8639999999999999</v>
      </c>
      <c r="O1227" s="4">
        <v>5.8639999999999999</v>
      </c>
      <c r="P1227" s="4">
        <v>0</v>
      </c>
      <c r="Q1227" s="3" t="s">
        <v>26</v>
      </c>
      <c r="R1227" s="3">
        <v>0</v>
      </c>
      <c r="S1227" s="4">
        <v>0</v>
      </c>
      <c r="T1227" s="4">
        <v>25</v>
      </c>
      <c r="U1227" s="4">
        <v>63</v>
      </c>
      <c r="V1227" s="4">
        <v>0</v>
      </c>
      <c r="W1227" s="4">
        <v>565.36</v>
      </c>
      <c r="X1227" s="4">
        <v>222.31</v>
      </c>
      <c r="Y1227" s="4"/>
      <c r="Z1227" s="4">
        <v>699.87113545494265</v>
      </c>
      <c r="AA1227" s="4">
        <v>235.31351552243123</v>
      </c>
      <c r="AB1227" s="4">
        <v>0</v>
      </c>
      <c r="AC1227" s="4">
        <v>3315.2710400000001</v>
      </c>
      <c r="AD1227" s="4">
        <v>1303.6258399999999</v>
      </c>
      <c r="AE1227" s="4">
        <v>0</v>
      </c>
      <c r="AF1227" s="4">
        <v>4104.0443383077836</v>
      </c>
      <c r="AG1227" s="4">
        <v>1379.8784550235366</v>
      </c>
    </row>
    <row r="1228" spans="1:33" ht="11.25" customHeight="1" x14ac:dyDescent="0.25">
      <c r="A1228" s="3" t="s">
        <v>28</v>
      </c>
      <c r="B1228" s="3" t="s">
        <v>22</v>
      </c>
      <c r="C1228" s="3" t="s">
        <v>33</v>
      </c>
      <c r="D1228" s="3" t="s">
        <v>24</v>
      </c>
      <c r="E1228" s="3" t="s">
        <v>24</v>
      </c>
      <c r="F1228" s="3" t="s">
        <v>25</v>
      </c>
      <c r="G1228" s="3" t="s">
        <v>25</v>
      </c>
      <c r="H1228" s="3" t="s">
        <v>36</v>
      </c>
      <c r="I1228" s="6">
        <v>44409</v>
      </c>
      <c r="J1228" s="4">
        <v>0</v>
      </c>
      <c r="K1228" s="4">
        <v>0</v>
      </c>
      <c r="L1228" s="4">
        <v>4.3999999999999997E-2</v>
      </c>
      <c r="M1228" s="4">
        <v>4.3999999999999997E-2</v>
      </c>
      <c r="N1228" s="4">
        <v>4.3999999999999997E-2</v>
      </c>
      <c r="O1228" s="4">
        <v>4.3999999999999997E-2</v>
      </c>
      <c r="P1228" s="4">
        <v>0</v>
      </c>
      <c r="Q1228" s="3" t="s">
        <v>26</v>
      </c>
      <c r="R1228" s="3">
        <v>0</v>
      </c>
      <c r="S1228" s="4">
        <v>0</v>
      </c>
      <c r="T1228" s="4">
        <v>25</v>
      </c>
      <c r="U1228" s="4">
        <v>63</v>
      </c>
      <c r="V1228" s="4">
        <v>0</v>
      </c>
      <c r="W1228" s="4">
        <v>565.36</v>
      </c>
      <c r="X1228" s="4">
        <v>222.31</v>
      </c>
      <c r="Y1228" s="4"/>
      <c r="Z1228" s="4">
        <v>699.87113545494265</v>
      </c>
      <c r="AA1228" s="4">
        <v>235.31351552243123</v>
      </c>
      <c r="AB1228" s="4">
        <v>0</v>
      </c>
      <c r="AC1228" s="4">
        <v>24.87584</v>
      </c>
      <c r="AD1228" s="4">
        <v>9.7816399999999994</v>
      </c>
      <c r="AE1228" s="4">
        <v>0</v>
      </c>
      <c r="AF1228" s="4">
        <v>30.794329960017475</v>
      </c>
      <c r="AG1228" s="4">
        <v>10.353794682986974</v>
      </c>
    </row>
    <row r="1229" spans="1:33" ht="11.25" customHeight="1" x14ac:dyDescent="0.25">
      <c r="A1229" s="3" t="s">
        <v>21</v>
      </c>
      <c r="B1229" s="3" t="s">
        <v>22</v>
      </c>
      <c r="C1229" s="3" t="s">
        <v>33</v>
      </c>
      <c r="D1229" s="3" t="s">
        <v>24</v>
      </c>
      <c r="E1229" s="3" t="s">
        <v>24</v>
      </c>
      <c r="F1229" s="3" t="s">
        <v>25</v>
      </c>
      <c r="G1229" s="3" t="s">
        <v>25</v>
      </c>
      <c r="H1229" s="3" t="s">
        <v>36</v>
      </c>
      <c r="I1229" s="6">
        <v>44440</v>
      </c>
      <c r="J1229" s="4">
        <v>0</v>
      </c>
      <c r="K1229" s="4">
        <v>0</v>
      </c>
      <c r="L1229" s="4">
        <v>5.6269999999999998</v>
      </c>
      <c r="M1229" s="4">
        <v>5.6269999999999998</v>
      </c>
      <c r="N1229" s="4">
        <v>5.6269999999999998</v>
      </c>
      <c r="O1229" s="4">
        <v>5.6269999999999998</v>
      </c>
      <c r="P1229" s="4">
        <v>0</v>
      </c>
      <c r="Q1229" s="3" t="s">
        <v>26</v>
      </c>
      <c r="R1229" s="3">
        <v>0</v>
      </c>
      <c r="S1229" s="4">
        <v>0</v>
      </c>
      <c r="T1229" s="4">
        <v>25</v>
      </c>
      <c r="U1229" s="4">
        <v>63</v>
      </c>
      <c r="V1229" s="4">
        <v>0</v>
      </c>
      <c r="W1229" s="4">
        <v>565.36</v>
      </c>
      <c r="X1229" s="4">
        <v>222.31</v>
      </c>
      <c r="Y1229" s="4"/>
      <c r="Z1229" s="4">
        <v>699.87113545494265</v>
      </c>
      <c r="AA1229" s="4">
        <v>235.31351552243123</v>
      </c>
      <c r="AB1229" s="4">
        <v>0</v>
      </c>
      <c r="AC1229" s="4">
        <v>3181.2807199999997</v>
      </c>
      <c r="AD1229" s="4">
        <v>1250.9383700000001</v>
      </c>
      <c r="AE1229" s="4">
        <v>0</v>
      </c>
      <c r="AF1229" s="4">
        <v>3938.1748792049621</v>
      </c>
      <c r="AG1229" s="4">
        <v>1324.1091518447206</v>
      </c>
    </row>
    <row r="1230" spans="1:33" ht="11.25" customHeight="1" x14ac:dyDescent="0.25">
      <c r="A1230" s="3" t="s">
        <v>27</v>
      </c>
      <c r="B1230" s="3" t="s">
        <v>22</v>
      </c>
      <c r="C1230" s="3" t="s">
        <v>33</v>
      </c>
      <c r="D1230" s="3" t="s">
        <v>24</v>
      </c>
      <c r="E1230" s="3" t="s">
        <v>24</v>
      </c>
      <c r="F1230" s="3" t="s">
        <v>25</v>
      </c>
      <c r="G1230" s="3" t="s">
        <v>25</v>
      </c>
      <c r="H1230" s="3" t="s">
        <v>36</v>
      </c>
      <c r="I1230" s="6">
        <v>44440</v>
      </c>
      <c r="J1230" s="4">
        <v>0</v>
      </c>
      <c r="K1230" s="4">
        <v>0</v>
      </c>
      <c r="L1230" s="4">
        <v>-2.3E-2</v>
      </c>
      <c r="M1230" s="4">
        <v>-2.3E-2</v>
      </c>
      <c r="N1230" s="4">
        <v>-2.3E-2</v>
      </c>
      <c r="O1230" s="4">
        <v>-2.3E-2</v>
      </c>
      <c r="P1230" s="4">
        <v>0</v>
      </c>
      <c r="Q1230" s="3" t="s">
        <v>26</v>
      </c>
      <c r="R1230" s="3">
        <v>0</v>
      </c>
      <c r="S1230" s="4">
        <v>0</v>
      </c>
      <c r="T1230" s="4">
        <v>25</v>
      </c>
      <c r="U1230" s="4">
        <v>63</v>
      </c>
      <c r="V1230" s="4">
        <v>0</v>
      </c>
      <c r="W1230" s="4">
        <v>565.36</v>
      </c>
      <c r="X1230" s="4">
        <v>222.31</v>
      </c>
      <c r="Y1230" s="4"/>
      <c r="Z1230" s="4">
        <v>699.87113545494265</v>
      </c>
      <c r="AA1230" s="4">
        <v>235.31351552243123</v>
      </c>
      <c r="AB1230" s="4">
        <v>0</v>
      </c>
      <c r="AC1230" s="4">
        <v>-13.00328</v>
      </c>
      <c r="AD1230" s="4">
        <v>-5.11313</v>
      </c>
      <c r="AE1230" s="4">
        <v>0</v>
      </c>
      <c r="AF1230" s="4">
        <v>-16.097036115463681</v>
      </c>
      <c r="AG1230" s="4">
        <v>-5.4122108570159186</v>
      </c>
    </row>
    <row r="1231" spans="1:33" ht="11.25" customHeight="1" x14ac:dyDescent="0.25">
      <c r="A1231" s="3" t="s">
        <v>28</v>
      </c>
      <c r="B1231" s="3" t="s">
        <v>22</v>
      </c>
      <c r="C1231" s="3" t="s">
        <v>33</v>
      </c>
      <c r="D1231" s="3" t="s">
        <v>24</v>
      </c>
      <c r="E1231" s="3" t="s">
        <v>24</v>
      </c>
      <c r="F1231" s="3" t="s">
        <v>25</v>
      </c>
      <c r="G1231" s="3" t="s">
        <v>25</v>
      </c>
      <c r="H1231" s="3" t="s">
        <v>36</v>
      </c>
      <c r="I1231" s="6">
        <v>44440</v>
      </c>
      <c r="J1231" s="4">
        <v>0</v>
      </c>
      <c r="K1231" s="4">
        <v>0</v>
      </c>
      <c r="L1231" s="4">
        <v>5.0999999999999997E-2</v>
      </c>
      <c r="M1231" s="4">
        <v>5.0999999999999997E-2</v>
      </c>
      <c r="N1231" s="4">
        <v>5.0999999999999997E-2</v>
      </c>
      <c r="O1231" s="4">
        <v>5.0999999999999997E-2</v>
      </c>
      <c r="P1231" s="4">
        <v>0</v>
      </c>
      <c r="Q1231" s="3" t="s">
        <v>26</v>
      </c>
      <c r="R1231" s="3">
        <v>0</v>
      </c>
      <c r="S1231" s="4">
        <v>0</v>
      </c>
      <c r="T1231" s="4">
        <v>25</v>
      </c>
      <c r="U1231" s="4">
        <v>63</v>
      </c>
      <c r="V1231" s="4">
        <v>0</v>
      </c>
      <c r="W1231" s="4">
        <v>565.36</v>
      </c>
      <c r="X1231" s="4">
        <v>222.31</v>
      </c>
      <c r="Y1231" s="4"/>
      <c r="Z1231" s="4">
        <v>699.87113545494265</v>
      </c>
      <c r="AA1231" s="4">
        <v>235.31351552243123</v>
      </c>
      <c r="AB1231" s="4">
        <v>0</v>
      </c>
      <c r="AC1231" s="4">
        <v>28.833359999999999</v>
      </c>
      <c r="AD1231" s="4">
        <v>11.337809999999999</v>
      </c>
      <c r="AE1231" s="4">
        <v>0</v>
      </c>
      <c r="AF1231" s="4">
        <v>35.693427908202075</v>
      </c>
      <c r="AG1231" s="4">
        <v>12.000989291643991</v>
      </c>
    </row>
    <row r="1232" spans="1:33" ht="11.25" customHeight="1" x14ac:dyDescent="0.25">
      <c r="A1232" s="3" t="s">
        <v>21</v>
      </c>
      <c r="B1232" s="3" t="s">
        <v>22</v>
      </c>
      <c r="C1232" s="3" t="s">
        <v>33</v>
      </c>
      <c r="D1232" s="3" t="s">
        <v>24</v>
      </c>
      <c r="E1232" s="3" t="s">
        <v>24</v>
      </c>
      <c r="F1232" s="3" t="s">
        <v>25</v>
      </c>
      <c r="G1232" s="3" t="s">
        <v>25</v>
      </c>
      <c r="H1232" s="3" t="s">
        <v>36</v>
      </c>
      <c r="I1232" s="6">
        <v>44470</v>
      </c>
      <c r="J1232" s="4">
        <v>0</v>
      </c>
      <c r="K1232" s="4">
        <v>0</v>
      </c>
      <c r="L1232" s="4">
        <v>6.2569999999999997</v>
      </c>
      <c r="M1232" s="4">
        <v>6.2569999999999997</v>
      </c>
      <c r="N1232" s="4">
        <v>6.2569999999999997</v>
      </c>
      <c r="O1232" s="4">
        <v>6.2569999999999997</v>
      </c>
      <c r="P1232" s="4">
        <v>0</v>
      </c>
      <c r="Q1232" s="3" t="s">
        <v>26</v>
      </c>
      <c r="R1232" s="3">
        <v>0</v>
      </c>
      <c r="S1232" s="4">
        <v>0</v>
      </c>
      <c r="T1232" s="4">
        <v>25</v>
      </c>
      <c r="U1232" s="4">
        <v>63</v>
      </c>
      <c r="V1232" s="4">
        <v>0</v>
      </c>
      <c r="W1232" s="4">
        <v>565.36</v>
      </c>
      <c r="X1232" s="4">
        <v>222.31</v>
      </c>
      <c r="Y1232" s="4"/>
      <c r="Z1232" s="4">
        <v>699.87113545494265</v>
      </c>
      <c r="AA1232" s="4">
        <v>235.31351552243123</v>
      </c>
      <c r="AB1232" s="4">
        <v>0</v>
      </c>
      <c r="AC1232" s="4">
        <v>3537.4575199999999</v>
      </c>
      <c r="AD1232" s="4">
        <v>1390.9936699999998</v>
      </c>
      <c r="AE1232" s="4">
        <v>0</v>
      </c>
      <c r="AF1232" s="4">
        <v>4379.093694541576</v>
      </c>
      <c r="AG1232" s="4">
        <v>1472.3566666238521</v>
      </c>
    </row>
    <row r="1233" spans="1:33" ht="11.25" customHeight="1" x14ac:dyDescent="0.25">
      <c r="A1233" s="3" t="s">
        <v>28</v>
      </c>
      <c r="B1233" s="3" t="s">
        <v>22</v>
      </c>
      <c r="C1233" s="3" t="s">
        <v>33</v>
      </c>
      <c r="D1233" s="3" t="s">
        <v>24</v>
      </c>
      <c r="E1233" s="3" t="s">
        <v>24</v>
      </c>
      <c r="F1233" s="3" t="s">
        <v>25</v>
      </c>
      <c r="G1233" s="3" t="s">
        <v>25</v>
      </c>
      <c r="H1233" s="3" t="s">
        <v>36</v>
      </c>
      <c r="I1233" s="6">
        <v>44470</v>
      </c>
      <c r="J1233" s="4">
        <v>0</v>
      </c>
      <c r="K1233" s="4">
        <v>0</v>
      </c>
      <c r="L1233" s="4">
        <v>8.5000000000000006E-2</v>
      </c>
      <c r="M1233" s="4">
        <v>8.5000000000000006E-2</v>
      </c>
      <c r="N1233" s="4">
        <v>8.5000000000000006E-2</v>
      </c>
      <c r="O1233" s="4">
        <v>8.5000000000000006E-2</v>
      </c>
      <c r="P1233" s="4">
        <v>0</v>
      </c>
      <c r="Q1233" s="3" t="s">
        <v>26</v>
      </c>
      <c r="R1233" s="3">
        <v>0</v>
      </c>
      <c r="S1233" s="4">
        <v>0</v>
      </c>
      <c r="T1233" s="4">
        <v>25</v>
      </c>
      <c r="U1233" s="4">
        <v>63</v>
      </c>
      <c r="V1233" s="4">
        <v>0</v>
      </c>
      <c r="W1233" s="4">
        <v>565.36</v>
      </c>
      <c r="X1233" s="4">
        <v>222.31</v>
      </c>
      <c r="Y1233" s="4"/>
      <c r="Z1233" s="4">
        <v>699.87113545494265</v>
      </c>
      <c r="AA1233" s="4">
        <v>235.31351552243123</v>
      </c>
      <c r="AB1233" s="4">
        <v>0</v>
      </c>
      <c r="AC1233" s="4">
        <v>48.055600000000005</v>
      </c>
      <c r="AD1233" s="4">
        <v>18.896350000000002</v>
      </c>
      <c r="AE1233" s="4">
        <v>0</v>
      </c>
      <c r="AF1233" s="4">
        <v>59.489046513670132</v>
      </c>
      <c r="AG1233" s="4">
        <v>20.001648819406658</v>
      </c>
    </row>
    <row r="1234" spans="1:33" ht="11.25" customHeight="1" x14ac:dyDescent="0.25">
      <c r="A1234" s="3" t="s">
        <v>21</v>
      </c>
      <c r="B1234" s="3" t="s">
        <v>22</v>
      </c>
      <c r="C1234" s="3" t="s">
        <v>33</v>
      </c>
      <c r="D1234" s="3" t="s">
        <v>24</v>
      </c>
      <c r="E1234" s="3" t="s">
        <v>24</v>
      </c>
      <c r="F1234" s="3" t="s">
        <v>25</v>
      </c>
      <c r="G1234" s="3" t="s">
        <v>25</v>
      </c>
      <c r="H1234" s="3" t="s">
        <v>36</v>
      </c>
      <c r="I1234" s="6">
        <v>44501</v>
      </c>
      <c r="J1234" s="4">
        <v>0</v>
      </c>
      <c r="K1234" s="4">
        <v>0</v>
      </c>
      <c r="L1234" s="4">
        <v>5.7450000000000001</v>
      </c>
      <c r="M1234" s="4">
        <v>5.7450000000000001</v>
      </c>
      <c r="N1234" s="4">
        <v>5.7450000000000001</v>
      </c>
      <c r="O1234" s="4">
        <v>5.7450000000000001</v>
      </c>
      <c r="P1234" s="4">
        <v>0</v>
      </c>
      <c r="Q1234" s="3" t="s">
        <v>26</v>
      </c>
      <c r="R1234" s="3">
        <v>0</v>
      </c>
      <c r="S1234" s="4">
        <v>0</v>
      </c>
      <c r="T1234" s="4">
        <v>25</v>
      </c>
      <c r="U1234" s="4">
        <v>63</v>
      </c>
      <c r="V1234" s="4">
        <v>0</v>
      </c>
      <c r="W1234" s="4">
        <v>565.36</v>
      </c>
      <c r="X1234" s="4">
        <v>222.31</v>
      </c>
      <c r="Y1234" s="4"/>
      <c r="Z1234" s="4">
        <v>699.87113545494265</v>
      </c>
      <c r="AA1234" s="4">
        <v>235.31351552243123</v>
      </c>
      <c r="AB1234" s="4">
        <v>0</v>
      </c>
      <c r="AC1234" s="4">
        <v>3247.9932000000003</v>
      </c>
      <c r="AD1234" s="4">
        <v>1277.1709499999999</v>
      </c>
      <c r="AE1234" s="4">
        <v>0</v>
      </c>
      <c r="AF1234" s="4">
        <v>4020.7596731886456</v>
      </c>
      <c r="AG1234" s="4">
        <v>1351.8761466763674</v>
      </c>
    </row>
    <row r="1235" spans="1:33" ht="11.25" customHeight="1" x14ac:dyDescent="0.25">
      <c r="A1235" s="3" t="s">
        <v>28</v>
      </c>
      <c r="B1235" s="3" t="s">
        <v>22</v>
      </c>
      <c r="C1235" s="3" t="s">
        <v>33</v>
      </c>
      <c r="D1235" s="3" t="s">
        <v>24</v>
      </c>
      <c r="E1235" s="3" t="s">
        <v>24</v>
      </c>
      <c r="F1235" s="3" t="s">
        <v>25</v>
      </c>
      <c r="G1235" s="3" t="s">
        <v>25</v>
      </c>
      <c r="H1235" s="3" t="s">
        <v>36</v>
      </c>
      <c r="I1235" s="6">
        <v>44501</v>
      </c>
      <c r="J1235" s="4">
        <v>0</v>
      </c>
      <c r="K1235" s="4">
        <v>0</v>
      </c>
      <c r="L1235" s="4">
        <v>0.156</v>
      </c>
      <c r="M1235" s="4">
        <v>0.156</v>
      </c>
      <c r="N1235" s="4">
        <v>0.156</v>
      </c>
      <c r="O1235" s="4">
        <v>0.156</v>
      </c>
      <c r="P1235" s="4">
        <v>0</v>
      </c>
      <c r="Q1235" s="3" t="s">
        <v>26</v>
      </c>
      <c r="R1235" s="3">
        <v>0</v>
      </c>
      <c r="S1235" s="4">
        <v>0</v>
      </c>
      <c r="T1235" s="4">
        <v>25</v>
      </c>
      <c r="U1235" s="4">
        <v>63</v>
      </c>
      <c r="V1235" s="4">
        <v>0</v>
      </c>
      <c r="W1235" s="4">
        <v>565.36</v>
      </c>
      <c r="X1235" s="4">
        <v>222.31</v>
      </c>
      <c r="Y1235" s="4"/>
      <c r="Z1235" s="4">
        <v>699.87113545494265</v>
      </c>
      <c r="AA1235" s="4">
        <v>235.31351552243123</v>
      </c>
      <c r="AB1235" s="4">
        <v>0</v>
      </c>
      <c r="AC1235" s="4">
        <v>88.196160000000006</v>
      </c>
      <c r="AD1235" s="4">
        <v>34.68036</v>
      </c>
      <c r="AE1235" s="4">
        <v>0</v>
      </c>
      <c r="AF1235" s="4">
        <v>109.17989713097106</v>
      </c>
      <c r="AG1235" s="4">
        <v>36.708908421499274</v>
      </c>
    </row>
    <row r="1236" spans="1:33" ht="11.25" customHeight="1" x14ac:dyDescent="0.25">
      <c r="A1236" s="3" t="s">
        <v>21</v>
      </c>
      <c r="B1236" s="3" t="s">
        <v>22</v>
      </c>
      <c r="C1236" s="3" t="s">
        <v>33</v>
      </c>
      <c r="D1236" s="3" t="s">
        <v>24</v>
      </c>
      <c r="E1236" s="3" t="s">
        <v>24</v>
      </c>
      <c r="F1236" s="3" t="s">
        <v>25</v>
      </c>
      <c r="G1236" s="3" t="s">
        <v>25</v>
      </c>
      <c r="H1236" s="3" t="s">
        <v>36</v>
      </c>
      <c r="I1236" s="6">
        <v>44531</v>
      </c>
      <c r="J1236" s="4">
        <v>0</v>
      </c>
      <c r="K1236" s="4">
        <v>0</v>
      </c>
      <c r="L1236" s="4">
        <v>6.2869999999999999</v>
      </c>
      <c r="M1236" s="4">
        <v>6.2869999999999999</v>
      </c>
      <c r="N1236" s="4">
        <v>6.2869999999999999</v>
      </c>
      <c r="O1236" s="4">
        <v>6.2869999999999999</v>
      </c>
      <c r="P1236" s="4">
        <v>0</v>
      </c>
      <c r="Q1236" s="3" t="s">
        <v>26</v>
      </c>
      <c r="R1236" s="3">
        <v>0</v>
      </c>
      <c r="S1236" s="4">
        <v>0</v>
      </c>
      <c r="T1236" s="4">
        <v>25</v>
      </c>
      <c r="U1236" s="4">
        <v>63</v>
      </c>
      <c r="V1236" s="4">
        <v>0</v>
      </c>
      <c r="W1236" s="4">
        <v>565.36</v>
      </c>
      <c r="X1236" s="4">
        <v>222.31</v>
      </c>
      <c r="Y1236" s="4"/>
      <c r="Z1236" s="4">
        <v>699.87113545494265</v>
      </c>
      <c r="AA1236" s="4">
        <v>235.31351552243123</v>
      </c>
      <c r="AB1236" s="4">
        <v>0</v>
      </c>
      <c r="AC1236" s="4">
        <v>3554.4183200000002</v>
      </c>
      <c r="AD1236" s="4">
        <v>1397.6629700000001</v>
      </c>
      <c r="AE1236" s="4">
        <v>0</v>
      </c>
      <c r="AF1236" s="4">
        <v>4400.0898286052243</v>
      </c>
      <c r="AG1236" s="4">
        <v>1479.4160720895252</v>
      </c>
    </row>
    <row r="1237" spans="1:33" ht="11.25" customHeight="1" x14ac:dyDescent="0.25">
      <c r="A1237" s="3" t="s">
        <v>27</v>
      </c>
      <c r="B1237" s="3" t="s">
        <v>22</v>
      </c>
      <c r="C1237" s="3" t="s">
        <v>33</v>
      </c>
      <c r="D1237" s="3" t="s">
        <v>24</v>
      </c>
      <c r="E1237" s="3" t="s">
        <v>24</v>
      </c>
      <c r="F1237" s="3" t="s">
        <v>25</v>
      </c>
      <c r="G1237" s="3" t="s">
        <v>25</v>
      </c>
      <c r="H1237" s="3" t="s">
        <v>36</v>
      </c>
      <c r="I1237" s="6">
        <v>44531</v>
      </c>
      <c r="J1237" s="4">
        <v>0</v>
      </c>
      <c r="K1237" s="4">
        <v>0</v>
      </c>
      <c r="L1237" s="4">
        <v>1E-3</v>
      </c>
      <c r="M1237" s="4">
        <v>1E-3</v>
      </c>
      <c r="N1237" s="4">
        <v>1E-3</v>
      </c>
      <c r="O1237" s="4">
        <v>1E-3</v>
      </c>
      <c r="P1237" s="4">
        <v>0</v>
      </c>
      <c r="Q1237" s="3" t="s">
        <v>26</v>
      </c>
      <c r="R1237" s="3">
        <v>0</v>
      </c>
      <c r="S1237" s="4">
        <v>0</v>
      </c>
      <c r="T1237" s="4">
        <v>25</v>
      </c>
      <c r="U1237" s="4">
        <v>63</v>
      </c>
      <c r="V1237" s="4">
        <v>0</v>
      </c>
      <c r="W1237" s="4">
        <v>565.36</v>
      </c>
      <c r="X1237" s="4">
        <v>222.31</v>
      </c>
      <c r="Y1237" s="4"/>
      <c r="Z1237" s="4">
        <v>699.87113545494265</v>
      </c>
      <c r="AA1237" s="4">
        <v>235.31351552243123</v>
      </c>
      <c r="AB1237" s="4">
        <v>0</v>
      </c>
      <c r="AC1237" s="4">
        <v>0.56535999999999997</v>
      </c>
      <c r="AD1237" s="4">
        <v>0.22231000000000001</v>
      </c>
      <c r="AE1237" s="4">
        <v>0</v>
      </c>
      <c r="AF1237" s="4">
        <v>0.69987113545494262</v>
      </c>
      <c r="AG1237" s="4">
        <v>0.23531351552243124</v>
      </c>
    </row>
    <row r="1238" spans="1:33" ht="11.25" customHeight="1" x14ac:dyDescent="0.25">
      <c r="A1238" s="3" t="s">
        <v>28</v>
      </c>
      <c r="B1238" s="3" t="s">
        <v>22</v>
      </c>
      <c r="C1238" s="3" t="s">
        <v>33</v>
      </c>
      <c r="D1238" s="3" t="s">
        <v>24</v>
      </c>
      <c r="E1238" s="3" t="s">
        <v>24</v>
      </c>
      <c r="F1238" s="3" t="s">
        <v>25</v>
      </c>
      <c r="G1238" s="3" t="s">
        <v>25</v>
      </c>
      <c r="H1238" s="3" t="s">
        <v>36</v>
      </c>
      <c r="I1238" s="6">
        <v>44531</v>
      </c>
      <c r="J1238" s="4">
        <v>0</v>
      </c>
      <c r="K1238" s="4">
        <v>0</v>
      </c>
      <c r="L1238" s="4">
        <v>0.16400000000000001</v>
      </c>
      <c r="M1238" s="4">
        <v>0.16400000000000001</v>
      </c>
      <c r="N1238" s="4">
        <v>0.16400000000000001</v>
      </c>
      <c r="O1238" s="4">
        <v>0.16400000000000001</v>
      </c>
      <c r="P1238" s="4">
        <v>0</v>
      </c>
      <c r="Q1238" s="3" t="s">
        <v>26</v>
      </c>
      <c r="R1238" s="3">
        <v>0</v>
      </c>
      <c r="S1238" s="4">
        <v>0</v>
      </c>
      <c r="T1238" s="4">
        <v>25</v>
      </c>
      <c r="U1238" s="4">
        <v>63</v>
      </c>
      <c r="V1238" s="4">
        <v>0</v>
      </c>
      <c r="W1238" s="4">
        <v>565.36</v>
      </c>
      <c r="X1238" s="4">
        <v>222.31</v>
      </c>
      <c r="Y1238" s="4"/>
      <c r="Z1238" s="4">
        <v>699.87113545494265</v>
      </c>
      <c r="AA1238" s="4">
        <v>235.31351552243123</v>
      </c>
      <c r="AB1238" s="4">
        <v>0</v>
      </c>
      <c r="AC1238" s="4">
        <v>92.719040000000007</v>
      </c>
      <c r="AD1238" s="4">
        <v>36.458840000000002</v>
      </c>
      <c r="AE1238" s="4">
        <v>0</v>
      </c>
      <c r="AF1238" s="4">
        <v>114.7788662146106</v>
      </c>
      <c r="AG1238" s="4">
        <v>38.591416545678726</v>
      </c>
    </row>
    <row r="1239" spans="1:33" ht="11.25" customHeight="1" x14ac:dyDescent="0.25">
      <c r="A1239" s="3" t="s">
        <v>21</v>
      </c>
      <c r="B1239" s="3" t="s">
        <v>22</v>
      </c>
      <c r="C1239" s="3" t="s">
        <v>33</v>
      </c>
      <c r="D1239" s="3" t="s">
        <v>24</v>
      </c>
      <c r="E1239" s="3" t="s">
        <v>24</v>
      </c>
      <c r="F1239" s="3" t="s">
        <v>25</v>
      </c>
      <c r="G1239" s="3" t="s">
        <v>25</v>
      </c>
      <c r="H1239" s="3" t="s">
        <v>36</v>
      </c>
      <c r="I1239" s="6">
        <v>44562</v>
      </c>
      <c r="J1239" s="4">
        <v>0</v>
      </c>
      <c r="K1239" s="4">
        <v>0</v>
      </c>
      <c r="L1239" s="4">
        <v>6.6689999999999996</v>
      </c>
      <c r="M1239" s="4">
        <v>6.6689999999999996</v>
      </c>
      <c r="N1239" s="4">
        <v>6.6689999999999996</v>
      </c>
      <c r="O1239" s="4">
        <v>6.6689999999999996</v>
      </c>
      <c r="P1239" s="4">
        <v>0</v>
      </c>
      <c r="Q1239" s="3" t="s">
        <v>26</v>
      </c>
      <c r="R1239" s="3">
        <v>0</v>
      </c>
      <c r="S1239" s="4">
        <v>0</v>
      </c>
      <c r="T1239" s="4">
        <v>25</v>
      </c>
      <c r="U1239" s="4">
        <v>63</v>
      </c>
      <c r="V1239" s="4">
        <v>0</v>
      </c>
      <c r="W1239" s="4">
        <v>565.36</v>
      </c>
      <c r="X1239" s="4">
        <v>222.31</v>
      </c>
      <c r="Y1239" s="4"/>
      <c r="Z1239" s="4">
        <v>699.87113545494265</v>
      </c>
      <c r="AA1239" s="4">
        <v>235.31351552243123</v>
      </c>
      <c r="AB1239" s="4">
        <v>0</v>
      </c>
      <c r="AC1239" s="4">
        <v>3770.3858399999999</v>
      </c>
      <c r="AD1239" s="4">
        <v>1482.58539</v>
      </c>
      <c r="AE1239" s="4">
        <v>0</v>
      </c>
      <c r="AF1239" s="4">
        <v>4667.4406023490119</v>
      </c>
      <c r="AG1239" s="4">
        <v>1569.3058350190938</v>
      </c>
    </row>
    <row r="1240" spans="1:33" ht="11.25" customHeight="1" x14ac:dyDescent="0.25">
      <c r="A1240" s="3" t="s">
        <v>28</v>
      </c>
      <c r="B1240" s="3" t="s">
        <v>22</v>
      </c>
      <c r="C1240" s="3" t="s">
        <v>33</v>
      </c>
      <c r="D1240" s="3" t="s">
        <v>24</v>
      </c>
      <c r="E1240" s="3" t="s">
        <v>24</v>
      </c>
      <c r="F1240" s="3" t="s">
        <v>25</v>
      </c>
      <c r="G1240" s="3" t="s">
        <v>25</v>
      </c>
      <c r="H1240" s="3" t="s">
        <v>36</v>
      </c>
      <c r="I1240" s="6">
        <v>44562</v>
      </c>
      <c r="J1240" s="4">
        <v>0</v>
      </c>
      <c r="K1240" s="4">
        <v>0</v>
      </c>
      <c r="L1240" s="4">
        <v>0.17</v>
      </c>
      <c r="M1240" s="4">
        <v>0.17</v>
      </c>
      <c r="N1240" s="4">
        <v>0.17</v>
      </c>
      <c r="O1240" s="4">
        <v>0.17</v>
      </c>
      <c r="P1240" s="4">
        <v>0</v>
      </c>
      <c r="Q1240" s="3" t="s">
        <v>26</v>
      </c>
      <c r="R1240" s="3">
        <v>0</v>
      </c>
      <c r="S1240" s="4">
        <v>0</v>
      </c>
      <c r="T1240" s="4">
        <v>25</v>
      </c>
      <c r="U1240" s="4">
        <v>63</v>
      </c>
      <c r="V1240" s="4">
        <v>0</v>
      </c>
      <c r="W1240" s="4">
        <v>565.36</v>
      </c>
      <c r="X1240" s="4">
        <v>222.31</v>
      </c>
      <c r="Y1240" s="4"/>
      <c r="Z1240" s="4">
        <v>699.87113545494265</v>
      </c>
      <c r="AA1240" s="4">
        <v>235.31351552243123</v>
      </c>
      <c r="AB1240" s="4">
        <v>0</v>
      </c>
      <c r="AC1240" s="4">
        <v>96.111200000000011</v>
      </c>
      <c r="AD1240" s="4">
        <v>37.792700000000004</v>
      </c>
      <c r="AE1240" s="4">
        <v>0</v>
      </c>
      <c r="AF1240" s="4">
        <v>118.97809302734026</v>
      </c>
      <c r="AG1240" s="4">
        <v>40.003297638813315</v>
      </c>
    </row>
    <row r="1241" spans="1:33" ht="11.25" customHeight="1" x14ac:dyDescent="0.25">
      <c r="A1241" s="3" t="s">
        <v>21</v>
      </c>
      <c r="B1241" s="3" t="s">
        <v>22</v>
      </c>
      <c r="C1241" s="3" t="s">
        <v>33</v>
      </c>
      <c r="D1241" s="3" t="s">
        <v>24</v>
      </c>
      <c r="E1241" s="3" t="s">
        <v>24</v>
      </c>
      <c r="F1241" s="3" t="s">
        <v>25</v>
      </c>
      <c r="G1241" s="3" t="s">
        <v>25</v>
      </c>
      <c r="H1241" s="3" t="s">
        <v>36</v>
      </c>
      <c r="I1241" s="6">
        <v>44593</v>
      </c>
      <c r="J1241" s="4">
        <v>0</v>
      </c>
      <c r="K1241" s="4">
        <v>0</v>
      </c>
      <c r="L1241" s="4">
        <v>6.8369999999999997</v>
      </c>
      <c r="M1241" s="4">
        <v>6.8369999999999997</v>
      </c>
      <c r="N1241" s="4">
        <v>6.8369999999999997</v>
      </c>
      <c r="O1241" s="4">
        <v>6.8369999999999997</v>
      </c>
      <c r="P1241" s="4">
        <v>0</v>
      </c>
      <c r="Q1241" s="3" t="s">
        <v>26</v>
      </c>
      <c r="R1241" s="3">
        <v>0</v>
      </c>
      <c r="S1241" s="4">
        <v>0</v>
      </c>
      <c r="T1241" s="4">
        <v>25</v>
      </c>
      <c r="U1241" s="4">
        <v>63</v>
      </c>
      <c r="V1241" s="4">
        <v>0</v>
      </c>
      <c r="W1241" s="4">
        <v>565.36</v>
      </c>
      <c r="X1241" s="4">
        <v>222.31</v>
      </c>
      <c r="Y1241" s="4"/>
      <c r="Z1241" s="4">
        <v>699.87113545494265</v>
      </c>
      <c r="AA1241" s="4">
        <v>235.31351552243123</v>
      </c>
      <c r="AB1241" s="4">
        <v>0</v>
      </c>
      <c r="AC1241" s="4">
        <v>3865.3663200000001</v>
      </c>
      <c r="AD1241" s="4">
        <v>1519.9334699999999</v>
      </c>
      <c r="AE1241" s="4">
        <v>0</v>
      </c>
      <c r="AF1241" s="4">
        <v>4785.018953105443</v>
      </c>
      <c r="AG1241" s="4">
        <v>1608.8385056268623</v>
      </c>
    </row>
    <row r="1242" spans="1:33" ht="11.25" customHeight="1" x14ac:dyDescent="0.25">
      <c r="A1242" s="3" t="s">
        <v>27</v>
      </c>
      <c r="B1242" s="3" t="s">
        <v>22</v>
      </c>
      <c r="C1242" s="3" t="s">
        <v>33</v>
      </c>
      <c r="D1242" s="3" t="s">
        <v>24</v>
      </c>
      <c r="E1242" s="3" t="s">
        <v>24</v>
      </c>
      <c r="F1242" s="3" t="s">
        <v>25</v>
      </c>
      <c r="G1242" s="3" t="s">
        <v>25</v>
      </c>
      <c r="H1242" s="3" t="s">
        <v>36</v>
      </c>
      <c r="I1242" s="6">
        <v>44593</v>
      </c>
      <c r="J1242" s="4">
        <v>0</v>
      </c>
      <c r="K1242" s="4">
        <v>0</v>
      </c>
      <c r="L1242" s="4">
        <v>-2.5000000000000001E-2</v>
      </c>
      <c r="M1242" s="4">
        <v>-2.5000000000000001E-2</v>
      </c>
      <c r="N1242" s="4">
        <v>-2.5000000000000001E-2</v>
      </c>
      <c r="O1242" s="4">
        <v>-2.5000000000000001E-2</v>
      </c>
      <c r="P1242" s="4">
        <v>0</v>
      </c>
      <c r="Q1242" s="3" t="s">
        <v>26</v>
      </c>
      <c r="R1242" s="3">
        <v>0</v>
      </c>
      <c r="S1242" s="4">
        <v>0</v>
      </c>
      <c r="T1242" s="4">
        <v>25</v>
      </c>
      <c r="U1242" s="4">
        <v>63</v>
      </c>
      <c r="V1242" s="4">
        <v>0</v>
      </c>
      <c r="W1242" s="4">
        <v>565.36</v>
      </c>
      <c r="X1242" s="4">
        <v>222.31</v>
      </c>
      <c r="Y1242" s="4"/>
      <c r="Z1242" s="4">
        <v>699.87113545494265</v>
      </c>
      <c r="AA1242" s="4">
        <v>235.31351552243123</v>
      </c>
      <c r="AB1242" s="4">
        <v>0</v>
      </c>
      <c r="AC1242" s="4">
        <v>-14.134</v>
      </c>
      <c r="AD1242" s="4">
        <v>-5.5577500000000004</v>
      </c>
      <c r="AE1242" s="4">
        <v>0</v>
      </c>
      <c r="AF1242" s="4">
        <v>-17.496778386373567</v>
      </c>
      <c r="AG1242" s="4">
        <v>-5.8828378880607808</v>
      </c>
    </row>
    <row r="1243" spans="1:33" ht="11.25" customHeight="1" x14ac:dyDescent="0.25">
      <c r="A1243" s="3" t="s">
        <v>28</v>
      </c>
      <c r="B1243" s="3" t="s">
        <v>22</v>
      </c>
      <c r="C1243" s="3" t="s">
        <v>33</v>
      </c>
      <c r="D1243" s="3" t="s">
        <v>24</v>
      </c>
      <c r="E1243" s="3" t="s">
        <v>24</v>
      </c>
      <c r="F1243" s="3" t="s">
        <v>25</v>
      </c>
      <c r="G1243" s="3" t="s">
        <v>25</v>
      </c>
      <c r="H1243" s="3" t="s">
        <v>36</v>
      </c>
      <c r="I1243" s="6">
        <v>44593</v>
      </c>
      <c r="J1243" s="4">
        <v>0</v>
      </c>
      <c r="K1243" s="4">
        <v>0</v>
      </c>
      <c r="L1243" s="4">
        <v>7.6999999999999999E-2</v>
      </c>
      <c r="M1243" s="4">
        <v>7.6999999999999999E-2</v>
      </c>
      <c r="N1243" s="4">
        <v>7.6999999999999999E-2</v>
      </c>
      <c r="O1243" s="4">
        <v>7.6999999999999999E-2</v>
      </c>
      <c r="P1243" s="4">
        <v>0</v>
      </c>
      <c r="Q1243" s="3" t="s">
        <v>26</v>
      </c>
      <c r="R1243" s="3">
        <v>0</v>
      </c>
      <c r="S1243" s="4">
        <v>0</v>
      </c>
      <c r="T1243" s="4">
        <v>25</v>
      </c>
      <c r="U1243" s="4">
        <v>63</v>
      </c>
      <c r="V1243" s="4">
        <v>0</v>
      </c>
      <c r="W1243" s="4">
        <v>565.36</v>
      </c>
      <c r="X1243" s="4">
        <v>222.31</v>
      </c>
      <c r="Y1243" s="4"/>
      <c r="Z1243" s="4">
        <v>699.87113545494265</v>
      </c>
      <c r="AA1243" s="4">
        <v>235.31351552243123</v>
      </c>
      <c r="AB1243" s="4">
        <v>0</v>
      </c>
      <c r="AC1243" s="4">
        <v>43.532719999999998</v>
      </c>
      <c r="AD1243" s="4">
        <v>17.11787</v>
      </c>
      <c r="AE1243" s="4">
        <v>0</v>
      </c>
      <c r="AF1243" s="4">
        <v>53.89007743003058</v>
      </c>
      <c r="AG1243" s="4">
        <v>18.119140695227205</v>
      </c>
    </row>
    <row r="1244" spans="1:33" ht="11.25" customHeight="1" x14ac:dyDescent="0.25">
      <c r="A1244" s="3" t="s">
        <v>28</v>
      </c>
      <c r="B1244" s="3" t="s">
        <v>22</v>
      </c>
      <c r="C1244" s="3" t="s">
        <v>33</v>
      </c>
      <c r="D1244" s="3" t="s">
        <v>24</v>
      </c>
      <c r="E1244" s="3" t="s">
        <v>24</v>
      </c>
      <c r="F1244" s="3" t="s">
        <v>25</v>
      </c>
      <c r="G1244" s="3" t="s">
        <v>25</v>
      </c>
      <c r="H1244" s="3" t="s">
        <v>36</v>
      </c>
      <c r="I1244" s="6">
        <v>44593</v>
      </c>
      <c r="J1244" s="4">
        <v>0</v>
      </c>
      <c r="K1244" s="4">
        <v>0</v>
      </c>
      <c r="L1244" s="4">
        <v>-9.6000000000000002E-2</v>
      </c>
      <c r="M1244" s="4">
        <v>-9.6000000000000002E-2</v>
      </c>
      <c r="N1244" s="4">
        <v>-9.6000000000000002E-2</v>
      </c>
      <c r="O1244" s="4">
        <v>-9.6000000000000002E-2</v>
      </c>
      <c r="P1244" s="4">
        <v>0</v>
      </c>
      <c r="Q1244" s="3" t="s">
        <v>26</v>
      </c>
      <c r="R1244" s="3">
        <v>0</v>
      </c>
      <c r="S1244" s="4">
        <v>0</v>
      </c>
      <c r="T1244" s="4">
        <v>25</v>
      </c>
      <c r="U1244" s="4">
        <v>63</v>
      </c>
      <c r="V1244" s="4">
        <v>0</v>
      </c>
      <c r="W1244" s="4">
        <v>565.36</v>
      </c>
      <c r="X1244" s="4">
        <v>222.31</v>
      </c>
      <c r="Y1244" s="4"/>
      <c r="Z1244" s="4">
        <v>699.87113545494265</v>
      </c>
      <c r="AA1244" s="4">
        <v>235.31351552243123</v>
      </c>
      <c r="AB1244" s="4">
        <v>0</v>
      </c>
      <c r="AC1244" s="4">
        <v>-54.274560000000001</v>
      </c>
      <c r="AD1244" s="4">
        <v>-21.341760000000001</v>
      </c>
      <c r="AE1244" s="4">
        <v>0</v>
      </c>
      <c r="AF1244" s="4">
        <v>-67.187629003674502</v>
      </c>
      <c r="AG1244" s="4">
        <v>-22.590097490153397</v>
      </c>
    </row>
    <row r="1245" spans="1:33" ht="11.25" customHeight="1" x14ac:dyDescent="0.25">
      <c r="A1245" s="3" t="s">
        <v>56</v>
      </c>
      <c r="B1245" s="3" t="s">
        <v>22</v>
      </c>
      <c r="C1245" s="3" t="s">
        <v>33</v>
      </c>
      <c r="D1245" s="3" t="s">
        <v>24</v>
      </c>
      <c r="E1245" s="3" t="s">
        <v>24</v>
      </c>
      <c r="F1245" s="3" t="s">
        <v>25</v>
      </c>
      <c r="G1245" s="3" t="s">
        <v>25</v>
      </c>
      <c r="H1245" s="3" t="s">
        <v>36</v>
      </c>
      <c r="I1245" s="6">
        <v>44621</v>
      </c>
      <c r="J1245" s="4">
        <v>0</v>
      </c>
      <c r="K1245" s="4">
        <v>0</v>
      </c>
      <c r="L1245" s="4">
        <v>6.8369999999999997</v>
      </c>
      <c r="M1245" s="4">
        <v>6.8369999999999997</v>
      </c>
      <c r="N1245" s="4">
        <v>6.8369999999999997</v>
      </c>
      <c r="O1245" s="4">
        <v>6.8369999999999997</v>
      </c>
      <c r="P1245" s="4">
        <v>0</v>
      </c>
      <c r="Q1245" s="3" t="s">
        <v>26</v>
      </c>
      <c r="R1245" s="3">
        <v>0</v>
      </c>
      <c r="S1245" s="4">
        <v>0</v>
      </c>
      <c r="T1245" s="4">
        <v>25</v>
      </c>
      <c r="U1245" s="4">
        <v>63</v>
      </c>
      <c r="V1245" s="4">
        <v>0</v>
      </c>
      <c r="W1245" s="4">
        <v>565.36</v>
      </c>
      <c r="X1245" s="4">
        <v>222.31</v>
      </c>
      <c r="Y1245" s="4"/>
      <c r="Z1245" s="4">
        <v>699.87113545494265</v>
      </c>
      <c r="AA1245" s="4">
        <v>235.31351552243123</v>
      </c>
      <c r="AB1245" s="4">
        <v>0</v>
      </c>
      <c r="AC1245" s="4">
        <v>3865.3663200000001</v>
      </c>
      <c r="AD1245" s="4">
        <v>1519.9334699999999</v>
      </c>
      <c r="AE1245" s="4">
        <v>0</v>
      </c>
      <c r="AF1245" s="4">
        <v>4785.018953105443</v>
      </c>
      <c r="AG1245" s="4">
        <v>1608.8385056268623</v>
      </c>
    </row>
    <row r="1246" spans="1:33" ht="11.25" customHeight="1" x14ac:dyDescent="0.25">
      <c r="A1246" s="3" t="s">
        <v>56</v>
      </c>
      <c r="B1246" s="3" t="s">
        <v>22</v>
      </c>
      <c r="C1246" s="3" t="s">
        <v>33</v>
      </c>
      <c r="D1246" s="3" t="s">
        <v>24</v>
      </c>
      <c r="E1246" s="3" t="s">
        <v>24</v>
      </c>
      <c r="F1246" s="3" t="s">
        <v>25</v>
      </c>
      <c r="G1246" s="3" t="s">
        <v>25</v>
      </c>
      <c r="H1246" s="3" t="s">
        <v>36</v>
      </c>
      <c r="I1246" s="6">
        <v>44621</v>
      </c>
      <c r="J1246" s="4">
        <v>0</v>
      </c>
      <c r="K1246" s="4">
        <v>0</v>
      </c>
      <c r="L1246" s="4">
        <v>-2.5000000000000001E-2</v>
      </c>
      <c r="M1246" s="4">
        <v>-2.5000000000000001E-2</v>
      </c>
      <c r="N1246" s="4">
        <v>-2.5000000000000001E-2</v>
      </c>
      <c r="O1246" s="4">
        <v>-2.5000000000000001E-2</v>
      </c>
      <c r="P1246" s="4">
        <v>0</v>
      </c>
      <c r="Q1246" s="3" t="s">
        <v>26</v>
      </c>
      <c r="R1246" s="3">
        <v>0</v>
      </c>
      <c r="S1246" s="4">
        <v>0</v>
      </c>
      <c r="T1246" s="4">
        <v>25</v>
      </c>
      <c r="U1246" s="4">
        <v>63</v>
      </c>
      <c r="V1246" s="4">
        <v>0</v>
      </c>
      <c r="W1246" s="4">
        <v>565.36</v>
      </c>
      <c r="X1246" s="4">
        <v>222.31</v>
      </c>
      <c r="Y1246" s="4"/>
      <c r="Z1246" s="4">
        <v>699.87113545494265</v>
      </c>
      <c r="AA1246" s="4">
        <v>235.31351552243123</v>
      </c>
      <c r="AB1246" s="4">
        <v>0</v>
      </c>
      <c r="AC1246" s="4">
        <v>-14.134</v>
      </c>
      <c r="AD1246" s="4">
        <v>-5.5577500000000004</v>
      </c>
      <c r="AE1246" s="4">
        <v>0</v>
      </c>
      <c r="AF1246" s="4">
        <v>-17.496778386373567</v>
      </c>
      <c r="AG1246" s="4">
        <v>-5.8828378880607808</v>
      </c>
    </row>
    <row r="1247" spans="1:33" ht="11.25" customHeight="1" x14ac:dyDescent="0.25">
      <c r="A1247" s="3" t="s">
        <v>56</v>
      </c>
      <c r="B1247" s="3" t="s">
        <v>22</v>
      </c>
      <c r="C1247" s="3" t="s">
        <v>33</v>
      </c>
      <c r="D1247" s="3" t="s">
        <v>24</v>
      </c>
      <c r="E1247" s="3" t="s">
        <v>24</v>
      </c>
      <c r="F1247" s="3" t="s">
        <v>25</v>
      </c>
      <c r="G1247" s="3" t="s">
        <v>25</v>
      </c>
      <c r="H1247" s="3" t="s">
        <v>36</v>
      </c>
      <c r="I1247" s="6">
        <v>44621</v>
      </c>
      <c r="J1247" s="4">
        <v>0</v>
      </c>
      <c r="K1247" s="4">
        <v>0</v>
      </c>
      <c r="L1247" s="4">
        <v>7.6999999999999999E-2</v>
      </c>
      <c r="M1247" s="4">
        <v>7.6999999999999999E-2</v>
      </c>
      <c r="N1247" s="4">
        <v>7.6999999999999999E-2</v>
      </c>
      <c r="O1247" s="4">
        <v>7.6999999999999999E-2</v>
      </c>
      <c r="P1247" s="4">
        <v>0</v>
      </c>
      <c r="Q1247" s="3" t="s">
        <v>26</v>
      </c>
      <c r="R1247" s="3">
        <v>0</v>
      </c>
      <c r="S1247" s="4">
        <v>0</v>
      </c>
      <c r="T1247" s="4">
        <v>25</v>
      </c>
      <c r="U1247" s="4">
        <v>63</v>
      </c>
      <c r="V1247" s="4">
        <v>0</v>
      </c>
      <c r="W1247" s="4">
        <v>565.36</v>
      </c>
      <c r="X1247" s="4">
        <v>222.31</v>
      </c>
      <c r="Y1247" s="4"/>
      <c r="Z1247" s="4">
        <v>699.87113545494265</v>
      </c>
      <c r="AA1247" s="4">
        <v>235.31351552243123</v>
      </c>
      <c r="AB1247" s="4">
        <v>0</v>
      </c>
      <c r="AC1247" s="4">
        <v>43.532719999999998</v>
      </c>
      <c r="AD1247" s="4">
        <v>17.11787</v>
      </c>
      <c r="AE1247" s="4">
        <v>0</v>
      </c>
      <c r="AF1247" s="4">
        <v>53.89007743003058</v>
      </c>
      <c r="AG1247" s="4">
        <v>18.119140695227205</v>
      </c>
    </row>
    <row r="1248" spans="1:33" ht="11.25" customHeight="1" x14ac:dyDescent="0.25">
      <c r="A1248" s="3" t="s">
        <v>56</v>
      </c>
      <c r="B1248" s="3" t="s">
        <v>22</v>
      </c>
      <c r="C1248" s="3" t="s">
        <v>33</v>
      </c>
      <c r="D1248" s="3" t="s">
        <v>24</v>
      </c>
      <c r="E1248" s="3" t="s">
        <v>24</v>
      </c>
      <c r="F1248" s="3" t="s">
        <v>25</v>
      </c>
      <c r="G1248" s="3" t="s">
        <v>25</v>
      </c>
      <c r="H1248" s="3" t="s">
        <v>36</v>
      </c>
      <c r="I1248" s="6">
        <v>44621</v>
      </c>
      <c r="J1248" s="4">
        <v>0</v>
      </c>
      <c r="K1248" s="4">
        <v>0</v>
      </c>
      <c r="L1248" s="4">
        <v>-9.6000000000000002E-2</v>
      </c>
      <c r="M1248" s="4">
        <v>-9.6000000000000002E-2</v>
      </c>
      <c r="N1248" s="4">
        <v>-9.6000000000000002E-2</v>
      </c>
      <c r="O1248" s="4">
        <v>-9.6000000000000002E-2</v>
      </c>
      <c r="P1248" s="4">
        <v>0</v>
      </c>
      <c r="Q1248" s="3" t="s">
        <v>26</v>
      </c>
      <c r="R1248" s="3">
        <v>0</v>
      </c>
      <c r="S1248" s="4">
        <v>0</v>
      </c>
      <c r="T1248" s="4">
        <v>25</v>
      </c>
      <c r="U1248" s="4">
        <v>63</v>
      </c>
      <c r="V1248" s="4">
        <v>0</v>
      </c>
      <c r="W1248" s="4">
        <v>565.36</v>
      </c>
      <c r="X1248" s="4">
        <v>222.31</v>
      </c>
      <c r="Y1248" s="4"/>
      <c r="Z1248" s="4">
        <v>699.87113545494265</v>
      </c>
      <c r="AA1248" s="4">
        <v>235.31351552243123</v>
      </c>
      <c r="AB1248" s="4">
        <v>0</v>
      </c>
      <c r="AC1248" s="4">
        <v>-54.274560000000001</v>
      </c>
      <c r="AD1248" s="4">
        <v>-21.341760000000001</v>
      </c>
      <c r="AE1248" s="4">
        <v>0</v>
      </c>
      <c r="AF1248" s="4">
        <v>-67.187629003674502</v>
      </c>
      <c r="AG1248" s="4">
        <v>-22.590097490153397</v>
      </c>
    </row>
    <row r="1249" spans="1:33" ht="11.25" customHeight="1" x14ac:dyDescent="0.25">
      <c r="A1249" s="3" t="s">
        <v>21</v>
      </c>
      <c r="B1249" s="3" t="s">
        <v>22</v>
      </c>
      <c r="C1249" s="3" t="s">
        <v>33</v>
      </c>
      <c r="D1249" s="3" t="s">
        <v>24</v>
      </c>
      <c r="E1249" s="3" t="s">
        <v>24</v>
      </c>
      <c r="F1249" s="3" t="s">
        <v>25</v>
      </c>
      <c r="G1249" s="3" t="s">
        <v>25</v>
      </c>
      <c r="H1249" s="3" t="s">
        <v>34</v>
      </c>
      <c r="I1249" s="6">
        <v>44287</v>
      </c>
      <c r="J1249" s="4">
        <v>0</v>
      </c>
      <c r="K1249" s="4">
        <v>0</v>
      </c>
      <c r="L1249" s="4">
        <v>9.1419999999999995</v>
      </c>
      <c r="M1249" s="4">
        <v>9.1419999999999995</v>
      </c>
      <c r="N1249" s="4">
        <v>9.1419999999999995</v>
      </c>
      <c r="O1249" s="4">
        <v>9.1419999999999995</v>
      </c>
      <c r="P1249" s="4">
        <v>0</v>
      </c>
      <c r="Q1249" s="3" t="s">
        <v>26</v>
      </c>
      <c r="R1249" s="3">
        <v>0</v>
      </c>
      <c r="S1249" s="4">
        <v>0</v>
      </c>
      <c r="T1249" s="4">
        <v>24</v>
      </c>
      <c r="U1249" s="4">
        <v>98</v>
      </c>
      <c r="V1249" s="4">
        <v>0</v>
      </c>
      <c r="W1249" s="4">
        <v>894.12</v>
      </c>
      <c r="X1249" s="4">
        <v>365.5</v>
      </c>
      <c r="Y1249" s="4"/>
      <c r="Z1249" s="4">
        <v>1103.9336776280536</v>
      </c>
      <c r="AA1249" s="4">
        <v>381.42546590200942</v>
      </c>
      <c r="AB1249" s="4">
        <v>0</v>
      </c>
      <c r="AC1249" s="4">
        <v>8174.04504</v>
      </c>
      <c r="AD1249" s="4">
        <v>3341.4009999999998</v>
      </c>
      <c r="AE1249" s="4">
        <v>0</v>
      </c>
      <c r="AF1249" s="4">
        <v>10092.161680875666</v>
      </c>
      <c r="AG1249" s="4">
        <v>3486.99160927617</v>
      </c>
    </row>
    <row r="1250" spans="1:33" ht="11.25" customHeight="1" x14ac:dyDescent="0.25">
      <c r="A1250" s="3" t="s">
        <v>28</v>
      </c>
      <c r="B1250" s="3" t="s">
        <v>22</v>
      </c>
      <c r="C1250" s="3" t="s">
        <v>33</v>
      </c>
      <c r="D1250" s="3" t="s">
        <v>24</v>
      </c>
      <c r="E1250" s="3" t="s">
        <v>24</v>
      </c>
      <c r="F1250" s="3" t="s">
        <v>25</v>
      </c>
      <c r="G1250" s="3" t="s">
        <v>25</v>
      </c>
      <c r="H1250" s="3" t="s">
        <v>34</v>
      </c>
      <c r="I1250" s="6">
        <v>44287</v>
      </c>
      <c r="J1250" s="4">
        <v>0</v>
      </c>
      <c r="K1250" s="4">
        <v>0</v>
      </c>
      <c r="L1250" s="4">
        <v>0.183</v>
      </c>
      <c r="M1250" s="4">
        <v>0.183</v>
      </c>
      <c r="N1250" s="4">
        <v>0.183</v>
      </c>
      <c r="O1250" s="4">
        <v>0.183</v>
      </c>
      <c r="P1250" s="4">
        <v>0</v>
      </c>
      <c r="Q1250" s="3" t="s">
        <v>26</v>
      </c>
      <c r="R1250" s="3">
        <v>0</v>
      </c>
      <c r="S1250" s="4">
        <v>0</v>
      </c>
      <c r="T1250" s="4">
        <v>24</v>
      </c>
      <c r="U1250" s="4">
        <v>98</v>
      </c>
      <c r="V1250" s="4">
        <v>0</v>
      </c>
      <c r="W1250" s="4">
        <v>894.12</v>
      </c>
      <c r="X1250" s="4">
        <v>365.5</v>
      </c>
      <c r="Y1250" s="4"/>
      <c r="Z1250" s="4">
        <v>1103.9336776280536</v>
      </c>
      <c r="AA1250" s="4">
        <v>381.42546590200942</v>
      </c>
      <c r="AB1250" s="4">
        <v>0</v>
      </c>
      <c r="AC1250" s="4">
        <v>163.62396000000001</v>
      </c>
      <c r="AD1250" s="4">
        <v>66.886499999999998</v>
      </c>
      <c r="AE1250" s="4">
        <v>0</v>
      </c>
      <c r="AF1250" s="4">
        <v>202.01986300593381</v>
      </c>
      <c r="AG1250" s="4">
        <v>69.800860260067722</v>
      </c>
    </row>
    <row r="1251" spans="1:33" ht="11.25" customHeight="1" x14ac:dyDescent="0.25">
      <c r="A1251" s="3" t="s">
        <v>21</v>
      </c>
      <c r="B1251" s="3" t="s">
        <v>22</v>
      </c>
      <c r="C1251" s="3" t="s">
        <v>33</v>
      </c>
      <c r="D1251" s="3" t="s">
        <v>24</v>
      </c>
      <c r="E1251" s="3" t="s">
        <v>24</v>
      </c>
      <c r="F1251" s="3" t="s">
        <v>25</v>
      </c>
      <c r="G1251" s="3" t="s">
        <v>25</v>
      </c>
      <c r="H1251" s="3" t="s">
        <v>34</v>
      </c>
      <c r="I1251" s="6">
        <v>44317</v>
      </c>
      <c r="J1251" s="4">
        <v>0</v>
      </c>
      <c r="K1251" s="4">
        <v>0</v>
      </c>
      <c r="L1251" s="4">
        <v>8.7949999999999999</v>
      </c>
      <c r="M1251" s="4">
        <v>8.7949999999999999</v>
      </c>
      <c r="N1251" s="4">
        <v>8.7949999999999999</v>
      </c>
      <c r="O1251" s="4">
        <v>8.7949999999999999</v>
      </c>
      <c r="P1251" s="4">
        <v>0</v>
      </c>
      <c r="Q1251" s="3" t="s">
        <v>26</v>
      </c>
      <c r="R1251" s="3">
        <v>0</v>
      </c>
      <c r="S1251" s="4">
        <v>0</v>
      </c>
      <c r="T1251" s="4">
        <v>24</v>
      </c>
      <c r="U1251" s="4">
        <v>98</v>
      </c>
      <c r="V1251" s="4">
        <v>0</v>
      </c>
      <c r="W1251" s="4">
        <v>894.12</v>
      </c>
      <c r="X1251" s="4">
        <v>365.5</v>
      </c>
      <c r="Y1251" s="4"/>
      <c r="Z1251" s="4">
        <v>1103.9336776280536</v>
      </c>
      <c r="AA1251" s="4">
        <v>381.42546590200942</v>
      </c>
      <c r="AB1251" s="4">
        <v>0</v>
      </c>
      <c r="AC1251" s="4">
        <v>7863.7853999999998</v>
      </c>
      <c r="AD1251" s="4">
        <v>3214.5724999999998</v>
      </c>
      <c r="AE1251" s="4">
        <v>0</v>
      </c>
      <c r="AF1251" s="4">
        <v>9709.0966947387315</v>
      </c>
      <c r="AG1251" s="4">
        <v>3354.636972608173</v>
      </c>
    </row>
    <row r="1252" spans="1:33" ht="11.25" customHeight="1" x14ac:dyDescent="0.25">
      <c r="A1252" s="3" t="s">
        <v>28</v>
      </c>
      <c r="B1252" s="3" t="s">
        <v>22</v>
      </c>
      <c r="C1252" s="3" t="s">
        <v>33</v>
      </c>
      <c r="D1252" s="3" t="s">
        <v>24</v>
      </c>
      <c r="E1252" s="3" t="s">
        <v>24</v>
      </c>
      <c r="F1252" s="3" t="s">
        <v>25</v>
      </c>
      <c r="G1252" s="3" t="s">
        <v>25</v>
      </c>
      <c r="H1252" s="3" t="s">
        <v>34</v>
      </c>
      <c r="I1252" s="6">
        <v>44317</v>
      </c>
      <c r="J1252" s="4">
        <v>0</v>
      </c>
      <c r="K1252" s="4">
        <v>0</v>
      </c>
      <c r="L1252" s="4">
        <v>0.06</v>
      </c>
      <c r="M1252" s="4">
        <v>0.06</v>
      </c>
      <c r="N1252" s="4">
        <v>0.06</v>
      </c>
      <c r="O1252" s="4">
        <v>0.06</v>
      </c>
      <c r="P1252" s="4">
        <v>0</v>
      </c>
      <c r="Q1252" s="3" t="s">
        <v>26</v>
      </c>
      <c r="R1252" s="3">
        <v>0</v>
      </c>
      <c r="S1252" s="4">
        <v>0</v>
      </c>
      <c r="T1252" s="4">
        <v>24</v>
      </c>
      <c r="U1252" s="4">
        <v>98</v>
      </c>
      <c r="V1252" s="4">
        <v>0</v>
      </c>
      <c r="W1252" s="4">
        <v>894.12</v>
      </c>
      <c r="X1252" s="4">
        <v>365.5</v>
      </c>
      <c r="Y1252" s="4"/>
      <c r="Z1252" s="4">
        <v>1103.9336776280536</v>
      </c>
      <c r="AA1252" s="4">
        <v>381.42546590200942</v>
      </c>
      <c r="AB1252" s="4">
        <v>0</v>
      </c>
      <c r="AC1252" s="4">
        <v>53.647199999999998</v>
      </c>
      <c r="AD1252" s="4">
        <v>21.93</v>
      </c>
      <c r="AE1252" s="4">
        <v>0</v>
      </c>
      <c r="AF1252" s="4">
        <v>66.236020657683213</v>
      </c>
      <c r="AG1252" s="4">
        <v>22.885527954120565</v>
      </c>
    </row>
    <row r="1253" spans="1:33" ht="11.25" customHeight="1" x14ac:dyDescent="0.25">
      <c r="A1253" s="3" t="s">
        <v>21</v>
      </c>
      <c r="B1253" s="3" t="s">
        <v>22</v>
      </c>
      <c r="C1253" s="3" t="s">
        <v>33</v>
      </c>
      <c r="D1253" s="3" t="s">
        <v>24</v>
      </c>
      <c r="E1253" s="3" t="s">
        <v>24</v>
      </c>
      <c r="F1253" s="3" t="s">
        <v>25</v>
      </c>
      <c r="G1253" s="3" t="s">
        <v>25</v>
      </c>
      <c r="H1253" s="3" t="s">
        <v>34</v>
      </c>
      <c r="I1253" s="6">
        <v>44348</v>
      </c>
      <c r="J1253" s="4">
        <v>0</v>
      </c>
      <c r="K1253" s="4">
        <v>0</v>
      </c>
      <c r="L1253" s="4">
        <v>9.17</v>
      </c>
      <c r="M1253" s="4">
        <v>9.17</v>
      </c>
      <c r="N1253" s="4">
        <v>9.17</v>
      </c>
      <c r="O1253" s="4">
        <v>9.17</v>
      </c>
      <c r="P1253" s="4">
        <v>0</v>
      </c>
      <c r="Q1253" s="3" t="s">
        <v>26</v>
      </c>
      <c r="R1253" s="3">
        <v>0</v>
      </c>
      <c r="S1253" s="4">
        <v>0</v>
      </c>
      <c r="T1253" s="4">
        <v>24</v>
      </c>
      <c r="U1253" s="4">
        <v>98</v>
      </c>
      <c r="V1253" s="4">
        <v>0</v>
      </c>
      <c r="W1253" s="4">
        <v>894.12</v>
      </c>
      <c r="X1253" s="4">
        <v>365.5</v>
      </c>
      <c r="Y1253" s="4"/>
      <c r="Z1253" s="4">
        <v>1103.9336776280536</v>
      </c>
      <c r="AA1253" s="4">
        <v>381.42546590200942</v>
      </c>
      <c r="AB1253" s="4">
        <v>0</v>
      </c>
      <c r="AC1253" s="4">
        <v>8199.0804000000007</v>
      </c>
      <c r="AD1253" s="4">
        <v>3351.6349999999998</v>
      </c>
      <c r="AE1253" s="4">
        <v>0</v>
      </c>
      <c r="AF1253" s="4">
        <v>10123.071823849252</v>
      </c>
      <c r="AG1253" s="4">
        <v>3497.6715223214264</v>
      </c>
    </row>
    <row r="1254" spans="1:33" ht="11.25" customHeight="1" x14ac:dyDescent="0.25">
      <c r="A1254" s="3" t="s">
        <v>28</v>
      </c>
      <c r="B1254" s="3" t="s">
        <v>22</v>
      </c>
      <c r="C1254" s="3" t="s">
        <v>33</v>
      </c>
      <c r="D1254" s="3" t="s">
        <v>24</v>
      </c>
      <c r="E1254" s="3" t="s">
        <v>24</v>
      </c>
      <c r="F1254" s="3" t="s">
        <v>25</v>
      </c>
      <c r="G1254" s="3" t="s">
        <v>25</v>
      </c>
      <c r="H1254" s="3" t="s">
        <v>34</v>
      </c>
      <c r="I1254" s="6">
        <v>44348</v>
      </c>
      <c r="J1254" s="4">
        <v>0</v>
      </c>
      <c r="K1254" s="4">
        <v>0</v>
      </c>
      <c r="L1254" s="4">
        <v>0.1</v>
      </c>
      <c r="M1254" s="4">
        <v>0.1</v>
      </c>
      <c r="N1254" s="4">
        <v>0.1</v>
      </c>
      <c r="O1254" s="4">
        <v>0.1</v>
      </c>
      <c r="P1254" s="4">
        <v>0</v>
      </c>
      <c r="Q1254" s="3" t="s">
        <v>26</v>
      </c>
      <c r="R1254" s="3">
        <v>0</v>
      </c>
      <c r="S1254" s="4">
        <v>0</v>
      </c>
      <c r="T1254" s="4">
        <v>24</v>
      </c>
      <c r="U1254" s="4">
        <v>98</v>
      </c>
      <c r="V1254" s="4">
        <v>0</v>
      </c>
      <c r="W1254" s="4">
        <v>894.12</v>
      </c>
      <c r="X1254" s="4">
        <v>365.5</v>
      </c>
      <c r="Y1254" s="4"/>
      <c r="Z1254" s="4">
        <v>1103.9336776280536</v>
      </c>
      <c r="AA1254" s="4">
        <v>381.42546590200942</v>
      </c>
      <c r="AB1254" s="4">
        <v>0</v>
      </c>
      <c r="AC1254" s="4">
        <v>89.412000000000006</v>
      </c>
      <c r="AD1254" s="4">
        <v>36.550000000000004</v>
      </c>
      <c r="AE1254" s="4">
        <v>0</v>
      </c>
      <c r="AF1254" s="4">
        <v>110.39336776280537</v>
      </c>
      <c r="AG1254" s="4">
        <v>38.142546590200944</v>
      </c>
    </row>
    <row r="1255" spans="1:33" ht="11.25" customHeight="1" x14ac:dyDescent="0.25">
      <c r="A1255" s="3" t="s">
        <v>21</v>
      </c>
      <c r="B1255" s="3" t="s">
        <v>22</v>
      </c>
      <c r="C1255" s="3" t="s">
        <v>33</v>
      </c>
      <c r="D1255" s="3" t="s">
        <v>24</v>
      </c>
      <c r="E1255" s="3" t="s">
        <v>24</v>
      </c>
      <c r="F1255" s="3" t="s">
        <v>25</v>
      </c>
      <c r="G1255" s="3" t="s">
        <v>25</v>
      </c>
      <c r="H1255" s="3" t="s">
        <v>34</v>
      </c>
      <c r="I1255" s="6">
        <v>44378</v>
      </c>
      <c r="J1255" s="4">
        <v>0</v>
      </c>
      <c r="K1255" s="4">
        <v>0</v>
      </c>
      <c r="L1255" s="4">
        <v>8.8780000000000001</v>
      </c>
      <c r="M1255" s="4">
        <v>8.8780000000000001</v>
      </c>
      <c r="N1255" s="4">
        <v>8.8780000000000001</v>
      </c>
      <c r="O1255" s="4">
        <v>8.8780000000000001</v>
      </c>
      <c r="P1255" s="4">
        <v>0</v>
      </c>
      <c r="Q1255" s="3" t="s">
        <v>26</v>
      </c>
      <c r="R1255" s="3">
        <v>0</v>
      </c>
      <c r="S1255" s="4">
        <v>0</v>
      </c>
      <c r="T1255" s="4">
        <v>24</v>
      </c>
      <c r="U1255" s="4">
        <v>98</v>
      </c>
      <c r="V1255" s="4">
        <v>0</v>
      </c>
      <c r="W1255" s="4">
        <v>894.12</v>
      </c>
      <c r="X1255" s="4">
        <v>365.5</v>
      </c>
      <c r="Y1255" s="4"/>
      <c r="Z1255" s="4">
        <v>1103.9336776280536</v>
      </c>
      <c r="AA1255" s="4">
        <v>381.42546590200942</v>
      </c>
      <c r="AB1255" s="4">
        <v>0</v>
      </c>
      <c r="AC1255" s="4">
        <v>7937.9973600000003</v>
      </c>
      <c r="AD1255" s="4">
        <v>3244.9090000000001</v>
      </c>
      <c r="AE1255" s="4">
        <v>0</v>
      </c>
      <c r="AF1255" s="4">
        <v>9800.7231899818598</v>
      </c>
      <c r="AG1255" s="4">
        <v>3386.2952862780398</v>
      </c>
    </row>
    <row r="1256" spans="1:33" ht="11.25" customHeight="1" x14ac:dyDescent="0.25">
      <c r="A1256" s="3" t="s">
        <v>28</v>
      </c>
      <c r="B1256" s="3" t="s">
        <v>22</v>
      </c>
      <c r="C1256" s="3" t="s">
        <v>33</v>
      </c>
      <c r="D1256" s="3" t="s">
        <v>24</v>
      </c>
      <c r="E1256" s="3" t="s">
        <v>24</v>
      </c>
      <c r="F1256" s="3" t="s">
        <v>25</v>
      </c>
      <c r="G1256" s="3" t="s">
        <v>25</v>
      </c>
      <c r="H1256" s="3" t="s">
        <v>34</v>
      </c>
      <c r="I1256" s="6">
        <v>44378</v>
      </c>
      <c r="J1256" s="4">
        <v>0</v>
      </c>
      <c r="K1256" s="4">
        <v>0</v>
      </c>
      <c r="L1256" s="4">
        <v>6.0999999999999999E-2</v>
      </c>
      <c r="M1256" s="4">
        <v>6.0999999999999999E-2</v>
      </c>
      <c r="N1256" s="4">
        <v>6.0999999999999999E-2</v>
      </c>
      <c r="O1256" s="4">
        <v>6.0999999999999999E-2</v>
      </c>
      <c r="P1256" s="4">
        <v>0</v>
      </c>
      <c r="Q1256" s="3" t="s">
        <v>26</v>
      </c>
      <c r="R1256" s="3">
        <v>0</v>
      </c>
      <c r="S1256" s="4">
        <v>0</v>
      </c>
      <c r="T1256" s="4">
        <v>24</v>
      </c>
      <c r="U1256" s="4">
        <v>98</v>
      </c>
      <c r="V1256" s="4">
        <v>0</v>
      </c>
      <c r="W1256" s="4">
        <v>894.12</v>
      </c>
      <c r="X1256" s="4">
        <v>365.5</v>
      </c>
      <c r="Y1256" s="4"/>
      <c r="Z1256" s="4">
        <v>1103.9336776280536</v>
      </c>
      <c r="AA1256" s="4">
        <v>381.42546590200942</v>
      </c>
      <c r="AB1256" s="4">
        <v>0</v>
      </c>
      <c r="AC1256" s="4">
        <v>54.541319999999999</v>
      </c>
      <c r="AD1256" s="4">
        <v>22.295500000000001</v>
      </c>
      <c r="AE1256" s="4">
        <v>0</v>
      </c>
      <c r="AF1256" s="4">
        <v>67.339954335311262</v>
      </c>
      <c r="AG1256" s="4">
        <v>23.266953420022574</v>
      </c>
    </row>
    <row r="1257" spans="1:33" ht="11.25" customHeight="1" x14ac:dyDescent="0.25">
      <c r="A1257" s="3" t="s">
        <v>21</v>
      </c>
      <c r="B1257" s="3" t="s">
        <v>22</v>
      </c>
      <c r="C1257" s="3" t="s">
        <v>33</v>
      </c>
      <c r="D1257" s="3" t="s">
        <v>24</v>
      </c>
      <c r="E1257" s="3" t="s">
        <v>24</v>
      </c>
      <c r="F1257" s="3" t="s">
        <v>25</v>
      </c>
      <c r="G1257" s="3" t="s">
        <v>25</v>
      </c>
      <c r="H1257" s="3" t="s">
        <v>34</v>
      </c>
      <c r="I1257" s="6">
        <v>44409</v>
      </c>
      <c r="J1257" s="4">
        <v>0</v>
      </c>
      <c r="K1257" s="4">
        <v>0</v>
      </c>
      <c r="L1257" s="4">
        <v>8.5839999999999996</v>
      </c>
      <c r="M1257" s="4">
        <v>8.5839999999999996</v>
      </c>
      <c r="N1257" s="4">
        <v>8.5839999999999996</v>
      </c>
      <c r="O1257" s="4">
        <v>8.5839999999999996</v>
      </c>
      <c r="P1257" s="4">
        <v>0</v>
      </c>
      <c r="Q1257" s="3" t="s">
        <v>26</v>
      </c>
      <c r="R1257" s="3">
        <v>0</v>
      </c>
      <c r="S1257" s="4">
        <v>0</v>
      </c>
      <c r="T1257" s="4">
        <v>24</v>
      </c>
      <c r="U1257" s="4">
        <v>98</v>
      </c>
      <c r="V1257" s="4">
        <v>0</v>
      </c>
      <c r="W1257" s="4">
        <v>894.12</v>
      </c>
      <c r="X1257" s="4">
        <v>365.5</v>
      </c>
      <c r="Y1257" s="4"/>
      <c r="Z1257" s="4">
        <v>1103.9336776280536</v>
      </c>
      <c r="AA1257" s="4">
        <v>381.42546590200942</v>
      </c>
      <c r="AB1257" s="4">
        <v>0</v>
      </c>
      <c r="AC1257" s="4">
        <v>7675.12608</v>
      </c>
      <c r="AD1257" s="4">
        <v>3137.4519999999998</v>
      </c>
      <c r="AE1257" s="4">
        <v>0</v>
      </c>
      <c r="AF1257" s="4">
        <v>9476.166688759211</v>
      </c>
      <c r="AG1257" s="4">
        <v>3274.1561993028486</v>
      </c>
    </row>
    <row r="1258" spans="1:33" ht="11.25" customHeight="1" x14ac:dyDescent="0.25">
      <c r="A1258" s="3" t="s">
        <v>28</v>
      </c>
      <c r="B1258" s="3" t="s">
        <v>22</v>
      </c>
      <c r="C1258" s="3" t="s">
        <v>33</v>
      </c>
      <c r="D1258" s="3" t="s">
        <v>24</v>
      </c>
      <c r="E1258" s="3" t="s">
        <v>24</v>
      </c>
      <c r="F1258" s="3" t="s">
        <v>25</v>
      </c>
      <c r="G1258" s="3" t="s">
        <v>25</v>
      </c>
      <c r="H1258" s="3" t="s">
        <v>34</v>
      </c>
      <c r="I1258" s="6">
        <v>44409</v>
      </c>
      <c r="J1258" s="4">
        <v>0</v>
      </c>
      <c r="K1258" s="4">
        <v>0</v>
      </c>
      <c r="L1258" s="4">
        <v>6.2E-2</v>
      </c>
      <c r="M1258" s="4">
        <v>6.2E-2</v>
      </c>
      <c r="N1258" s="4">
        <v>6.2E-2</v>
      </c>
      <c r="O1258" s="4">
        <v>6.2E-2</v>
      </c>
      <c r="P1258" s="4">
        <v>0</v>
      </c>
      <c r="Q1258" s="3" t="s">
        <v>26</v>
      </c>
      <c r="R1258" s="3">
        <v>0</v>
      </c>
      <c r="S1258" s="4">
        <v>0</v>
      </c>
      <c r="T1258" s="4">
        <v>24</v>
      </c>
      <c r="U1258" s="4">
        <v>98</v>
      </c>
      <c r="V1258" s="4">
        <v>0</v>
      </c>
      <c r="W1258" s="4">
        <v>894.12</v>
      </c>
      <c r="X1258" s="4">
        <v>365.5</v>
      </c>
      <c r="Y1258" s="4"/>
      <c r="Z1258" s="4">
        <v>1103.9336776280536</v>
      </c>
      <c r="AA1258" s="4">
        <v>381.42546590200942</v>
      </c>
      <c r="AB1258" s="4">
        <v>0</v>
      </c>
      <c r="AC1258" s="4">
        <v>55.43544</v>
      </c>
      <c r="AD1258" s="4">
        <v>22.661000000000001</v>
      </c>
      <c r="AE1258" s="4">
        <v>0</v>
      </c>
      <c r="AF1258" s="4">
        <v>68.443888012939325</v>
      </c>
      <c r="AG1258" s="4">
        <v>23.648378885924583</v>
      </c>
    </row>
    <row r="1259" spans="1:33" ht="11.25" customHeight="1" x14ac:dyDescent="0.25">
      <c r="A1259" s="3" t="s">
        <v>21</v>
      </c>
      <c r="B1259" s="3" t="s">
        <v>22</v>
      </c>
      <c r="C1259" s="3" t="s">
        <v>33</v>
      </c>
      <c r="D1259" s="3" t="s">
        <v>24</v>
      </c>
      <c r="E1259" s="3" t="s">
        <v>24</v>
      </c>
      <c r="F1259" s="3" t="s">
        <v>25</v>
      </c>
      <c r="G1259" s="3" t="s">
        <v>25</v>
      </c>
      <c r="H1259" s="3" t="s">
        <v>34</v>
      </c>
      <c r="I1259" s="6">
        <v>44440</v>
      </c>
      <c r="J1259" s="4">
        <v>0</v>
      </c>
      <c r="K1259" s="4">
        <v>0</v>
      </c>
      <c r="L1259" s="4">
        <v>8.6370000000000005</v>
      </c>
      <c r="M1259" s="4">
        <v>8.6370000000000005</v>
      </c>
      <c r="N1259" s="4">
        <v>8.6370000000000005</v>
      </c>
      <c r="O1259" s="4">
        <v>8.6370000000000005</v>
      </c>
      <c r="P1259" s="4">
        <v>0</v>
      </c>
      <c r="Q1259" s="3" t="s">
        <v>26</v>
      </c>
      <c r="R1259" s="3">
        <v>0</v>
      </c>
      <c r="S1259" s="4">
        <v>0</v>
      </c>
      <c r="T1259" s="4">
        <v>24</v>
      </c>
      <c r="U1259" s="4">
        <v>98</v>
      </c>
      <c r="V1259" s="4">
        <v>0</v>
      </c>
      <c r="W1259" s="4">
        <v>894.12</v>
      </c>
      <c r="X1259" s="4">
        <v>365.5</v>
      </c>
      <c r="Y1259" s="4"/>
      <c r="Z1259" s="4">
        <v>1103.9336776280536</v>
      </c>
      <c r="AA1259" s="4">
        <v>381.42546590200942</v>
      </c>
      <c r="AB1259" s="4">
        <v>0</v>
      </c>
      <c r="AC1259" s="4">
        <v>7722.5144400000008</v>
      </c>
      <c r="AD1259" s="4">
        <v>3156.8235</v>
      </c>
      <c r="AE1259" s="4">
        <v>0</v>
      </c>
      <c r="AF1259" s="4">
        <v>9534.6751736734986</v>
      </c>
      <c r="AG1259" s="4">
        <v>3294.3717489956557</v>
      </c>
    </row>
    <row r="1260" spans="1:33" ht="11.25" customHeight="1" x14ac:dyDescent="0.25">
      <c r="A1260" s="3" t="s">
        <v>27</v>
      </c>
      <c r="B1260" s="3" t="s">
        <v>22</v>
      </c>
      <c r="C1260" s="3" t="s">
        <v>33</v>
      </c>
      <c r="D1260" s="3" t="s">
        <v>24</v>
      </c>
      <c r="E1260" s="3" t="s">
        <v>24</v>
      </c>
      <c r="F1260" s="3" t="s">
        <v>25</v>
      </c>
      <c r="G1260" s="3" t="s">
        <v>25</v>
      </c>
      <c r="H1260" s="3" t="s">
        <v>34</v>
      </c>
      <c r="I1260" s="6">
        <v>44440</v>
      </c>
      <c r="J1260" s="4">
        <v>0</v>
      </c>
      <c r="K1260" s="4">
        <v>0</v>
      </c>
      <c r="L1260" s="4">
        <v>-2.9000000000000001E-2</v>
      </c>
      <c r="M1260" s="4">
        <v>-2.9000000000000001E-2</v>
      </c>
      <c r="N1260" s="4">
        <v>-2.9000000000000001E-2</v>
      </c>
      <c r="O1260" s="4">
        <v>-2.9000000000000001E-2</v>
      </c>
      <c r="P1260" s="4">
        <v>0</v>
      </c>
      <c r="Q1260" s="3" t="s">
        <v>26</v>
      </c>
      <c r="R1260" s="3">
        <v>0</v>
      </c>
      <c r="S1260" s="4">
        <v>0</v>
      </c>
      <c r="T1260" s="4">
        <v>24</v>
      </c>
      <c r="U1260" s="4">
        <v>98</v>
      </c>
      <c r="V1260" s="4">
        <v>0</v>
      </c>
      <c r="W1260" s="4">
        <v>894.12</v>
      </c>
      <c r="X1260" s="4">
        <v>365.5</v>
      </c>
      <c r="Y1260" s="4"/>
      <c r="Z1260" s="4">
        <v>1103.9336776280536</v>
      </c>
      <c r="AA1260" s="4">
        <v>381.42546590200942</v>
      </c>
      <c r="AB1260" s="4">
        <v>0</v>
      </c>
      <c r="AC1260" s="4">
        <v>-25.929480000000002</v>
      </c>
      <c r="AD1260" s="4">
        <v>-10.599500000000001</v>
      </c>
      <c r="AE1260" s="4">
        <v>0</v>
      </c>
      <c r="AF1260" s="4">
        <v>-32.014076651213557</v>
      </c>
      <c r="AG1260" s="4">
        <v>-11.061338511158274</v>
      </c>
    </row>
    <row r="1261" spans="1:33" ht="11.25" customHeight="1" x14ac:dyDescent="0.25">
      <c r="A1261" s="3" t="s">
        <v>28</v>
      </c>
      <c r="B1261" s="3" t="s">
        <v>22</v>
      </c>
      <c r="C1261" s="3" t="s">
        <v>33</v>
      </c>
      <c r="D1261" s="3" t="s">
        <v>24</v>
      </c>
      <c r="E1261" s="3" t="s">
        <v>24</v>
      </c>
      <c r="F1261" s="3" t="s">
        <v>25</v>
      </c>
      <c r="G1261" s="3" t="s">
        <v>25</v>
      </c>
      <c r="H1261" s="3" t="s">
        <v>34</v>
      </c>
      <c r="I1261" s="6">
        <v>44440</v>
      </c>
      <c r="J1261" s="4">
        <v>0</v>
      </c>
      <c r="K1261" s="4">
        <v>0</v>
      </c>
      <c r="L1261" s="4">
        <v>6.6000000000000003E-2</v>
      </c>
      <c r="M1261" s="4">
        <v>6.6000000000000003E-2</v>
      </c>
      <c r="N1261" s="4">
        <v>6.6000000000000003E-2</v>
      </c>
      <c r="O1261" s="4">
        <v>6.6000000000000003E-2</v>
      </c>
      <c r="P1261" s="4">
        <v>0</v>
      </c>
      <c r="Q1261" s="3" t="s">
        <v>26</v>
      </c>
      <c r="R1261" s="3">
        <v>0</v>
      </c>
      <c r="S1261" s="4">
        <v>0</v>
      </c>
      <c r="T1261" s="4">
        <v>24</v>
      </c>
      <c r="U1261" s="4">
        <v>98</v>
      </c>
      <c r="V1261" s="4">
        <v>0</v>
      </c>
      <c r="W1261" s="4">
        <v>894.12</v>
      </c>
      <c r="X1261" s="4">
        <v>365.5</v>
      </c>
      <c r="Y1261" s="4"/>
      <c r="Z1261" s="4">
        <v>1103.9336776280536</v>
      </c>
      <c r="AA1261" s="4">
        <v>381.42546590200942</v>
      </c>
      <c r="AB1261" s="4">
        <v>0</v>
      </c>
      <c r="AC1261" s="4">
        <v>59.011920000000003</v>
      </c>
      <c r="AD1261" s="4">
        <v>24.123000000000001</v>
      </c>
      <c r="AE1261" s="4">
        <v>0</v>
      </c>
      <c r="AF1261" s="4">
        <v>72.859622723451537</v>
      </c>
      <c r="AG1261" s="4">
        <v>25.174080749532624</v>
      </c>
    </row>
    <row r="1262" spans="1:33" ht="11.25" customHeight="1" x14ac:dyDescent="0.25">
      <c r="A1262" s="3" t="s">
        <v>21</v>
      </c>
      <c r="B1262" s="3" t="s">
        <v>22</v>
      </c>
      <c r="C1262" s="3" t="s">
        <v>33</v>
      </c>
      <c r="D1262" s="3" t="s">
        <v>24</v>
      </c>
      <c r="E1262" s="3" t="s">
        <v>24</v>
      </c>
      <c r="F1262" s="3" t="s">
        <v>25</v>
      </c>
      <c r="G1262" s="3" t="s">
        <v>25</v>
      </c>
      <c r="H1262" s="3" t="s">
        <v>34</v>
      </c>
      <c r="I1262" s="6">
        <v>44470</v>
      </c>
      <c r="J1262" s="4">
        <v>0</v>
      </c>
      <c r="K1262" s="4">
        <v>0</v>
      </c>
      <c r="L1262" s="4">
        <v>8.3379999999999992</v>
      </c>
      <c r="M1262" s="4">
        <v>8.3379999999999992</v>
      </c>
      <c r="N1262" s="4">
        <v>8.3379999999999992</v>
      </c>
      <c r="O1262" s="4">
        <v>8.3379999999999992</v>
      </c>
      <c r="P1262" s="4">
        <v>0</v>
      </c>
      <c r="Q1262" s="3" t="s">
        <v>26</v>
      </c>
      <c r="R1262" s="3">
        <v>0</v>
      </c>
      <c r="S1262" s="4">
        <v>0</v>
      </c>
      <c r="T1262" s="4">
        <v>24</v>
      </c>
      <c r="U1262" s="4">
        <v>98</v>
      </c>
      <c r="V1262" s="4">
        <v>0</v>
      </c>
      <c r="W1262" s="4">
        <v>894.12</v>
      </c>
      <c r="X1262" s="4">
        <v>365.5</v>
      </c>
      <c r="Y1262" s="4"/>
      <c r="Z1262" s="4">
        <v>1103.9336776280536</v>
      </c>
      <c r="AA1262" s="4">
        <v>381.42546590200942</v>
      </c>
      <c r="AB1262" s="4">
        <v>0</v>
      </c>
      <c r="AC1262" s="4">
        <v>7455.1725599999991</v>
      </c>
      <c r="AD1262" s="4">
        <v>3047.5389999999998</v>
      </c>
      <c r="AE1262" s="4">
        <v>0</v>
      </c>
      <c r="AF1262" s="4">
        <v>9204.5990040627094</v>
      </c>
      <c r="AG1262" s="4">
        <v>3180.3255346909541</v>
      </c>
    </row>
    <row r="1263" spans="1:33" ht="11.25" customHeight="1" x14ac:dyDescent="0.25">
      <c r="A1263" s="3" t="s">
        <v>28</v>
      </c>
      <c r="B1263" s="3" t="s">
        <v>22</v>
      </c>
      <c r="C1263" s="3" t="s">
        <v>33</v>
      </c>
      <c r="D1263" s="3" t="s">
        <v>24</v>
      </c>
      <c r="E1263" s="3" t="s">
        <v>24</v>
      </c>
      <c r="F1263" s="3" t="s">
        <v>25</v>
      </c>
      <c r="G1263" s="3" t="s">
        <v>25</v>
      </c>
      <c r="H1263" s="3" t="s">
        <v>34</v>
      </c>
      <c r="I1263" s="6">
        <v>44470</v>
      </c>
      <c r="J1263" s="4">
        <v>0</v>
      </c>
      <c r="K1263" s="4">
        <v>0</v>
      </c>
      <c r="L1263" s="4">
        <v>0.121</v>
      </c>
      <c r="M1263" s="4">
        <v>0.121</v>
      </c>
      <c r="N1263" s="4">
        <v>0.121</v>
      </c>
      <c r="O1263" s="4">
        <v>0.121</v>
      </c>
      <c r="P1263" s="4">
        <v>0</v>
      </c>
      <c r="Q1263" s="3" t="s">
        <v>26</v>
      </c>
      <c r="R1263" s="3">
        <v>0</v>
      </c>
      <c r="S1263" s="4">
        <v>0</v>
      </c>
      <c r="T1263" s="4">
        <v>24</v>
      </c>
      <c r="U1263" s="4">
        <v>98</v>
      </c>
      <c r="V1263" s="4">
        <v>0</v>
      </c>
      <c r="W1263" s="4">
        <v>894.12</v>
      </c>
      <c r="X1263" s="4">
        <v>365.5</v>
      </c>
      <c r="Y1263" s="4"/>
      <c r="Z1263" s="4">
        <v>1103.9336776280536</v>
      </c>
      <c r="AA1263" s="4">
        <v>381.42546590200942</v>
      </c>
      <c r="AB1263" s="4">
        <v>0</v>
      </c>
      <c r="AC1263" s="4">
        <v>108.18852</v>
      </c>
      <c r="AD1263" s="4">
        <v>44.225499999999997</v>
      </c>
      <c r="AE1263" s="4">
        <v>0</v>
      </c>
      <c r="AF1263" s="4">
        <v>133.57597499299447</v>
      </c>
      <c r="AG1263" s="4">
        <v>46.152481374143136</v>
      </c>
    </row>
    <row r="1264" spans="1:33" ht="11.25" customHeight="1" x14ac:dyDescent="0.25">
      <c r="A1264" s="3" t="s">
        <v>21</v>
      </c>
      <c r="B1264" s="3" t="s">
        <v>22</v>
      </c>
      <c r="C1264" s="3" t="s">
        <v>33</v>
      </c>
      <c r="D1264" s="3" t="s">
        <v>24</v>
      </c>
      <c r="E1264" s="3" t="s">
        <v>24</v>
      </c>
      <c r="F1264" s="3" t="s">
        <v>25</v>
      </c>
      <c r="G1264" s="3" t="s">
        <v>25</v>
      </c>
      <c r="H1264" s="3" t="s">
        <v>34</v>
      </c>
      <c r="I1264" s="6">
        <v>44501</v>
      </c>
      <c r="J1264" s="4">
        <v>0</v>
      </c>
      <c r="K1264" s="4">
        <v>0</v>
      </c>
      <c r="L1264" s="4">
        <v>7.7969999999999997</v>
      </c>
      <c r="M1264" s="4">
        <v>7.7969999999999997</v>
      </c>
      <c r="N1264" s="4">
        <v>7.7969999999999997</v>
      </c>
      <c r="O1264" s="4">
        <v>7.7969999999999997</v>
      </c>
      <c r="P1264" s="4">
        <v>0</v>
      </c>
      <c r="Q1264" s="3" t="s">
        <v>26</v>
      </c>
      <c r="R1264" s="3">
        <v>0</v>
      </c>
      <c r="S1264" s="4">
        <v>0</v>
      </c>
      <c r="T1264" s="4">
        <v>24</v>
      </c>
      <c r="U1264" s="4">
        <v>98</v>
      </c>
      <c r="V1264" s="4">
        <v>0</v>
      </c>
      <c r="W1264" s="4">
        <v>894.12</v>
      </c>
      <c r="X1264" s="4">
        <v>365.5</v>
      </c>
      <c r="Y1264" s="4"/>
      <c r="Z1264" s="4">
        <v>1103.9336776280536</v>
      </c>
      <c r="AA1264" s="4">
        <v>381.42546590200942</v>
      </c>
      <c r="AB1264" s="4">
        <v>0</v>
      </c>
      <c r="AC1264" s="4">
        <v>6971.4536399999997</v>
      </c>
      <c r="AD1264" s="4">
        <v>2849.8035</v>
      </c>
      <c r="AE1264" s="4">
        <v>0</v>
      </c>
      <c r="AF1264" s="4">
        <v>8607.3708844659341</v>
      </c>
      <c r="AG1264" s="4">
        <v>2973.9743576379674</v>
      </c>
    </row>
    <row r="1265" spans="1:33" ht="11.25" customHeight="1" x14ac:dyDescent="0.25">
      <c r="A1265" s="3" t="s">
        <v>28</v>
      </c>
      <c r="B1265" s="3" t="s">
        <v>22</v>
      </c>
      <c r="C1265" s="3" t="s">
        <v>33</v>
      </c>
      <c r="D1265" s="3" t="s">
        <v>24</v>
      </c>
      <c r="E1265" s="3" t="s">
        <v>24</v>
      </c>
      <c r="F1265" s="3" t="s">
        <v>25</v>
      </c>
      <c r="G1265" s="3" t="s">
        <v>25</v>
      </c>
      <c r="H1265" s="3" t="s">
        <v>34</v>
      </c>
      <c r="I1265" s="6">
        <v>44501</v>
      </c>
      <c r="J1265" s="4">
        <v>0</v>
      </c>
      <c r="K1265" s="4">
        <v>0</v>
      </c>
      <c r="L1265" s="4">
        <v>0.22800000000000001</v>
      </c>
      <c r="M1265" s="4">
        <v>0.22800000000000001</v>
      </c>
      <c r="N1265" s="4">
        <v>0.22800000000000001</v>
      </c>
      <c r="O1265" s="4">
        <v>0.22800000000000001</v>
      </c>
      <c r="P1265" s="4">
        <v>0</v>
      </c>
      <c r="Q1265" s="3" t="s">
        <v>26</v>
      </c>
      <c r="R1265" s="3">
        <v>0</v>
      </c>
      <c r="S1265" s="4">
        <v>0</v>
      </c>
      <c r="T1265" s="4">
        <v>24</v>
      </c>
      <c r="U1265" s="4">
        <v>98</v>
      </c>
      <c r="V1265" s="4">
        <v>0</v>
      </c>
      <c r="W1265" s="4">
        <v>894.12</v>
      </c>
      <c r="X1265" s="4">
        <v>365.5</v>
      </c>
      <c r="Y1265" s="4"/>
      <c r="Z1265" s="4">
        <v>1103.9336776280536</v>
      </c>
      <c r="AA1265" s="4">
        <v>381.42546590200942</v>
      </c>
      <c r="AB1265" s="4">
        <v>0</v>
      </c>
      <c r="AC1265" s="4">
        <v>203.85936000000001</v>
      </c>
      <c r="AD1265" s="4">
        <v>83.334000000000003</v>
      </c>
      <c r="AE1265" s="4">
        <v>0</v>
      </c>
      <c r="AF1265" s="4">
        <v>251.69687849919623</v>
      </c>
      <c r="AG1265" s="4">
        <v>86.965006225658158</v>
      </c>
    </row>
    <row r="1266" spans="1:33" ht="11.25" customHeight="1" x14ac:dyDescent="0.25">
      <c r="A1266" s="3" t="s">
        <v>21</v>
      </c>
      <c r="B1266" s="3" t="s">
        <v>22</v>
      </c>
      <c r="C1266" s="3" t="s">
        <v>33</v>
      </c>
      <c r="D1266" s="3" t="s">
        <v>24</v>
      </c>
      <c r="E1266" s="3" t="s">
        <v>24</v>
      </c>
      <c r="F1266" s="3" t="s">
        <v>25</v>
      </c>
      <c r="G1266" s="3" t="s">
        <v>25</v>
      </c>
      <c r="H1266" s="3" t="s">
        <v>34</v>
      </c>
      <c r="I1266" s="6">
        <v>44531</v>
      </c>
      <c r="J1266" s="4">
        <v>0</v>
      </c>
      <c r="K1266" s="4">
        <v>0</v>
      </c>
      <c r="L1266" s="4">
        <v>10.634</v>
      </c>
      <c r="M1266" s="4">
        <v>10.634</v>
      </c>
      <c r="N1266" s="4">
        <v>10.634</v>
      </c>
      <c r="O1266" s="4">
        <v>10.634</v>
      </c>
      <c r="P1266" s="4">
        <v>0</v>
      </c>
      <c r="Q1266" s="3" t="s">
        <v>26</v>
      </c>
      <c r="R1266" s="3">
        <v>0</v>
      </c>
      <c r="S1266" s="4">
        <v>0</v>
      </c>
      <c r="T1266" s="4">
        <v>24</v>
      </c>
      <c r="U1266" s="4">
        <v>98</v>
      </c>
      <c r="V1266" s="4">
        <v>0</v>
      </c>
      <c r="W1266" s="4">
        <v>894.12</v>
      </c>
      <c r="X1266" s="4">
        <v>365.5</v>
      </c>
      <c r="Y1266" s="4"/>
      <c r="Z1266" s="4">
        <v>1103.9336776280536</v>
      </c>
      <c r="AA1266" s="4">
        <v>381.42546590200942</v>
      </c>
      <c r="AB1266" s="4">
        <v>0</v>
      </c>
      <c r="AC1266" s="4">
        <v>9508.0720799999999</v>
      </c>
      <c r="AD1266" s="4">
        <v>3886.7270000000003</v>
      </c>
      <c r="AE1266" s="4">
        <v>0</v>
      </c>
      <c r="AF1266" s="4">
        <v>11739.230727896722</v>
      </c>
      <c r="AG1266" s="4">
        <v>4056.0784044019683</v>
      </c>
    </row>
    <row r="1267" spans="1:33" ht="11.25" customHeight="1" x14ac:dyDescent="0.25">
      <c r="A1267" s="3" t="s">
        <v>27</v>
      </c>
      <c r="B1267" s="3" t="s">
        <v>22</v>
      </c>
      <c r="C1267" s="3" t="s">
        <v>33</v>
      </c>
      <c r="D1267" s="3" t="s">
        <v>24</v>
      </c>
      <c r="E1267" s="3" t="s">
        <v>24</v>
      </c>
      <c r="F1267" s="3" t="s">
        <v>25</v>
      </c>
      <c r="G1267" s="3" t="s">
        <v>25</v>
      </c>
      <c r="H1267" s="3" t="s">
        <v>34</v>
      </c>
      <c r="I1267" s="6">
        <v>44531</v>
      </c>
      <c r="J1267" s="4">
        <v>0</v>
      </c>
      <c r="K1267" s="4">
        <v>0</v>
      </c>
      <c r="L1267" s="4">
        <v>2E-3</v>
      </c>
      <c r="M1267" s="4">
        <v>2E-3</v>
      </c>
      <c r="N1267" s="4">
        <v>2E-3</v>
      </c>
      <c r="O1267" s="4">
        <v>2E-3</v>
      </c>
      <c r="P1267" s="4">
        <v>0</v>
      </c>
      <c r="Q1267" s="3" t="s">
        <v>26</v>
      </c>
      <c r="R1267" s="3">
        <v>0</v>
      </c>
      <c r="S1267" s="4">
        <v>0</v>
      </c>
      <c r="T1267" s="4">
        <v>24</v>
      </c>
      <c r="U1267" s="4">
        <v>98</v>
      </c>
      <c r="V1267" s="4">
        <v>0</v>
      </c>
      <c r="W1267" s="4">
        <v>894.12</v>
      </c>
      <c r="X1267" s="4">
        <v>365.5</v>
      </c>
      <c r="Y1267" s="4"/>
      <c r="Z1267" s="4">
        <v>1103.9336776280536</v>
      </c>
      <c r="AA1267" s="4">
        <v>381.42546590200942</v>
      </c>
      <c r="AB1267" s="4">
        <v>0</v>
      </c>
      <c r="AC1267" s="4">
        <v>1.7882400000000001</v>
      </c>
      <c r="AD1267" s="4">
        <v>0.73099999999999998</v>
      </c>
      <c r="AE1267" s="4">
        <v>0</v>
      </c>
      <c r="AF1267" s="4">
        <v>2.2078673552561074</v>
      </c>
      <c r="AG1267" s="4">
        <v>0.76285093180401886</v>
      </c>
    </row>
    <row r="1268" spans="1:33" ht="11.25" customHeight="1" x14ac:dyDescent="0.25">
      <c r="A1268" s="3" t="s">
        <v>28</v>
      </c>
      <c r="B1268" s="3" t="s">
        <v>22</v>
      </c>
      <c r="C1268" s="3" t="s">
        <v>33</v>
      </c>
      <c r="D1268" s="3" t="s">
        <v>24</v>
      </c>
      <c r="E1268" s="3" t="s">
        <v>24</v>
      </c>
      <c r="F1268" s="3" t="s">
        <v>25</v>
      </c>
      <c r="G1268" s="3" t="s">
        <v>25</v>
      </c>
      <c r="H1268" s="3" t="s">
        <v>34</v>
      </c>
      <c r="I1268" s="6">
        <v>44531</v>
      </c>
      <c r="J1268" s="4">
        <v>0</v>
      </c>
      <c r="K1268" s="4">
        <v>0</v>
      </c>
      <c r="L1268" s="4">
        <v>0.23699999999999999</v>
      </c>
      <c r="M1268" s="4">
        <v>0.23699999999999999</v>
      </c>
      <c r="N1268" s="4">
        <v>0.23699999999999999</v>
      </c>
      <c r="O1268" s="4">
        <v>0.23699999999999999</v>
      </c>
      <c r="P1268" s="4">
        <v>0</v>
      </c>
      <c r="Q1268" s="3" t="s">
        <v>26</v>
      </c>
      <c r="R1268" s="3">
        <v>0</v>
      </c>
      <c r="S1268" s="4">
        <v>0</v>
      </c>
      <c r="T1268" s="4">
        <v>24</v>
      </c>
      <c r="U1268" s="4">
        <v>98</v>
      </c>
      <c r="V1268" s="4">
        <v>0</v>
      </c>
      <c r="W1268" s="4">
        <v>894.12</v>
      </c>
      <c r="X1268" s="4">
        <v>365.5</v>
      </c>
      <c r="Y1268" s="4"/>
      <c r="Z1268" s="4">
        <v>1103.9336776280536</v>
      </c>
      <c r="AA1268" s="4">
        <v>381.42546590200942</v>
      </c>
      <c r="AB1268" s="4">
        <v>0</v>
      </c>
      <c r="AC1268" s="4">
        <v>211.90644</v>
      </c>
      <c r="AD1268" s="4">
        <v>86.623499999999993</v>
      </c>
      <c r="AE1268" s="4">
        <v>0</v>
      </c>
      <c r="AF1268" s="4">
        <v>261.6322815978487</v>
      </c>
      <c r="AG1268" s="4">
        <v>90.397835418776225</v>
      </c>
    </row>
    <row r="1269" spans="1:33" ht="11.25" customHeight="1" x14ac:dyDescent="0.25">
      <c r="A1269" s="3" t="s">
        <v>21</v>
      </c>
      <c r="B1269" s="3" t="s">
        <v>22</v>
      </c>
      <c r="C1269" s="3" t="s">
        <v>33</v>
      </c>
      <c r="D1269" s="3" t="s">
        <v>24</v>
      </c>
      <c r="E1269" s="3" t="s">
        <v>24</v>
      </c>
      <c r="F1269" s="3" t="s">
        <v>25</v>
      </c>
      <c r="G1269" s="3" t="s">
        <v>25</v>
      </c>
      <c r="H1269" s="3" t="s">
        <v>34</v>
      </c>
      <c r="I1269" s="6">
        <v>44562</v>
      </c>
      <c r="J1269" s="4">
        <v>0</v>
      </c>
      <c r="K1269" s="4">
        <v>0</v>
      </c>
      <c r="L1269" s="4">
        <v>15.317</v>
      </c>
      <c r="M1269" s="4">
        <v>15.317</v>
      </c>
      <c r="N1269" s="4">
        <v>15.317</v>
      </c>
      <c r="O1269" s="4">
        <v>15.317</v>
      </c>
      <c r="P1269" s="4">
        <v>0</v>
      </c>
      <c r="Q1269" s="3" t="s">
        <v>26</v>
      </c>
      <c r="R1269" s="3">
        <v>0</v>
      </c>
      <c r="S1269" s="4">
        <v>0</v>
      </c>
      <c r="T1269" s="4">
        <v>24</v>
      </c>
      <c r="U1269" s="4">
        <v>98</v>
      </c>
      <c r="V1269" s="4">
        <v>0</v>
      </c>
      <c r="W1269" s="4">
        <v>894.12</v>
      </c>
      <c r="X1269" s="4">
        <v>365.5</v>
      </c>
      <c r="Y1269" s="4"/>
      <c r="Z1269" s="4">
        <v>1103.9336776280536</v>
      </c>
      <c r="AA1269" s="4">
        <v>381.42546590200942</v>
      </c>
      <c r="AB1269" s="4">
        <v>0</v>
      </c>
      <c r="AC1269" s="4">
        <v>13695.23604</v>
      </c>
      <c r="AD1269" s="4">
        <v>5598.3635000000004</v>
      </c>
      <c r="AE1269" s="4">
        <v>0</v>
      </c>
      <c r="AF1269" s="4">
        <v>16908.952140228896</v>
      </c>
      <c r="AG1269" s="4">
        <v>5842.2938612210783</v>
      </c>
    </row>
    <row r="1270" spans="1:33" ht="11.25" customHeight="1" x14ac:dyDescent="0.25">
      <c r="A1270" s="3" t="s">
        <v>28</v>
      </c>
      <c r="B1270" s="3" t="s">
        <v>22</v>
      </c>
      <c r="C1270" s="3" t="s">
        <v>33</v>
      </c>
      <c r="D1270" s="3" t="s">
        <v>24</v>
      </c>
      <c r="E1270" s="3" t="s">
        <v>24</v>
      </c>
      <c r="F1270" s="3" t="s">
        <v>25</v>
      </c>
      <c r="G1270" s="3" t="s">
        <v>25</v>
      </c>
      <c r="H1270" s="3" t="s">
        <v>34</v>
      </c>
      <c r="I1270" s="6">
        <v>44562</v>
      </c>
      <c r="J1270" s="4">
        <v>0</v>
      </c>
      <c r="K1270" s="4">
        <v>0</v>
      </c>
      <c r="L1270" s="4">
        <v>0.217</v>
      </c>
      <c r="M1270" s="4">
        <v>0.217</v>
      </c>
      <c r="N1270" s="4">
        <v>0.217</v>
      </c>
      <c r="O1270" s="4">
        <v>0.217</v>
      </c>
      <c r="P1270" s="4">
        <v>0</v>
      </c>
      <c r="Q1270" s="3" t="s">
        <v>26</v>
      </c>
      <c r="R1270" s="3">
        <v>0</v>
      </c>
      <c r="S1270" s="4">
        <v>0</v>
      </c>
      <c r="T1270" s="4">
        <v>24</v>
      </c>
      <c r="U1270" s="4">
        <v>98</v>
      </c>
      <c r="V1270" s="4">
        <v>0</v>
      </c>
      <c r="W1270" s="4">
        <v>894.12</v>
      </c>
      <c r="X1270" s="4">
        <v>365.5</v>
      </c>
      <c r="Y1270" s="4"/>
      <c r="Z1270" s="4">
        <v>1103.9336776280536</v>
      </c>
      <c r="AA1270" s="4">
        <v>381.42546590200942</v>
      </c>
      <c r="AB1270" s="4">
        <v>0</v>
      </c>
      <c r="AC1270" s="4">
        <v>194.02404000000001</v>
      </c>
      <c r="AD1270" s="4">
        <v>79.313500000000005</v>
      </c>
      <c r="AE1270" s="4">
        <v>0</v>
      </c>
      <c r="AF1270" s="4">
        <v>239.55360804528763</v>
      </c>
      <c r="AG1270" s="4">
        <v>82.769326100736038</v>
      </c>
    </row>
    <row r="1271" spans="1:33" ht="11.25" customHeight="1" x14ac:dyDescent="0.25">
      <c r="A1271" s="3" t="s">
        <v>21</v>
      </c>
      <c r="B1271" s="3" t="s">
        <v>22</v>
      </c>
      <c r="C1271" s="3" t="s">
        <v>33</v>
      </c>
      <c r="D1271" s="3" t="s">
        <v>24</v>
      </c>
      <c r="E1271" s="3" t="s">
        <v>24</v>
      </c>
      <c r="F1271" s="3" t="s">
        <v>25</v>
      </c>
      <c r="G1271" s="3" t="s">
        <v>25</v>
      </c>
      <c r="H1271" s="3" t="s">
        <v>34</v>
      </c>
      <c r="I1271" s="6">
        <v>44593</v>
      </c>
      <c r="J1271" s="4">
        <v>0</v>
      </c>
      <c r="K1271" s="4">
        <v>0</v>
      </c>
      <c r="L1271" s="4">
        <v>12.66</v>
      </c>
      <c r="M1271" s="4">
        <v>12.66</v>
      </c>
      <c r="N1271" s="4">
        <v>12.66</v>
      </c>
      <c r="O1271" s="4">
        <v>12.66</v>
      </c>
      <c r="P1271" s="4">
        <v>0</v>
      </c>
      <c r="Q1271" s="3" t="s">
        <v>26</v>
      </c>
      <c r="R1271" s="3">
        <v>0</v>
      </c>
      <c r="S1271" s="4">
        <v>0</v>
      </c>
      <c r="T1271" s="4">
        <v>24</v>
      </c>
      <c r="U1271" s="4">
        <v>98</v>
      </c>
      <c r="V1271" s="4">
        <v>0</v>
      </c>
      <c r="W1271" s="4">
        <v>894.12</v>
      </c>
      <c r="X1271" s="4">
        <v>365.5</v>
      </c>
      <c r="Y1271" s="4"/>
      <c r="Z1271" s="4">
        <v>1103.9336776280536</v>
      </c>
      <c r="AA1271" s="4">
        <v>381.42546590200942</v>
      </c>
      <c r="AB1271" s="4">
        <v>0</v>
      </c>
      <c r="AC1271" s="4">
        <v>11319.5592</v>
      </c>
      <c r="AD1271" s="4">
        <v>4627.2300000000005</v>
      </c>
      <c r="AE1271" s="4">
        <v>0</v>
      </c>
      <c r="AF1271" s="4">
        <v>13975.800358771159</v>
      </c>
      <c r="AG1271" s="4">
        <v>4828.8463983194397</v>
      </c>
    </row>
    <row r="1272" spans="1:33" ht="11.25" customHeight="1" x14ac:dyDescent="0.25">
      <c r="A1272" s="3" t="s">
        <v>27</v>
      </c>
      <c r="B1272" s="3" t="s">
        <v>22</v>
      </c>
      <c r="C1272" s="3" t="s">
        <v>33</v>
      </c>
      <c r="D1272" s="3" t="s">
        <v>24</v>
      </c>
      <c r="E1272" s="3" t="s">
        <v>24</v>
      </c>
      <c r="F1272" s="3" t="s">
        <v>25</v>
      </c>
      <c r="G1272" s="3" t="s">
        <v>25</v>
      </c>
      <c r="H1272" s="3" t="s">
        <v>34</v>
      </c>
      <c r="I1272" s="6">
        <v>44593</v>
      </c>
      <c r="J1272" s="4">
        <v>0</v>
      </c>
      <c r="K1272" s="4">
        <v>0</v>
      </c>
      <c r="L1272" s="4">
        <v>-1.6830000000000001</v>
      </c>
      <c r="M1272" s="4">
        <v>-1.6830000000000001</v>
      </c>
      <c r="N1272" s="4">
        <v>-1.6830000000000001</v>
      </c>
      <c r="O1272" s="4">
        <v>-1.6830000000000001</v>
      </c>
      <c r="P1272" s="4">
        <v>0</v>
      </c>
      <c r="Q1272" s="3" t="s">
        <v>26</v>
      </c>
      <c r="R1272" s="3">
        <v>0</v>
      </c>
      <c r="S1272" s="4">
        <v>0</v>
      </c>
      <c r="T1272" s="4">
        <v>24</v>
      </c>
      <c r="U1272" s="4">
        <v>98</v>
      </c>
      <c r="V1272" s="4">
        <v>0</v>
      </c>
      <c r="W1272" s="4">
        <v>894.12</v>
      </c>
      <c r="X1272" s="4">
        <v>365.5</v>
      </c>
      <c r="Y1272" s="4"/>
      <c r="Z1272" s="4">
        <v>1103.9336776280536</v>
      </c>
      <c r="AA1272" s="4">
        <v>381.42546590200942</v>
      </c>
      <c r="AB1272" s="4">
        <v>0</v>
      </c>
      <c r="AC1272" s="4">
        <v>-1504.80396</v>
      </c>
      <c r="AD1272" s="4">
        <v>-615.13650000000007</v>
      </c>
      <c r="AE1272" s="4">
        <v>0</v>
      </c>
      <c r="AF1272" s="4">
        <v>-1857.9203794480143</v>
      </c>
      <c r="AG1272" s="4">
        <v>-641.93905911308184</v>
      </c>
    </row>
    <row r="1273" spans="1:33" ht="11.25" customHeight="1" x14ac:dyDescent="0.25">
      <c r="A1273" s="3" t="s">
        <v>28</v>
      </c>
      <c r="B1273" s="3" t="s">
        <v>22</v>
      </c>
      <c r="C1273" s="3" t="s">
        <v>33</v>
      </c>
      <c r="D1273" s="3" t="s">
        <v>24</v>
      </c>
      <c r="E1273" s="3" t="s">
        <v>24</v>
      </c>
      <c r="F1273" s="3" t="s">
        <v>25</v>
      </c>
      <c r="G1273" s="3" t="s">
        <v>25</v>
      </c>
      <c r="H1273" s="3" t="s">
        <v>34</v>
      </c>
      <c r="I1273" s="6">
        <v>44593</v>
      </c>
      <c r="J1273" s="4">
        <v>0</v>
      </c>
      <c r="K1273" s="4">
        <v>0</v>
      </c>
      <c r="L1273" s="4">
        <v>7.0000000000000007E-2</v>
      </c>
      <c r="M1273" s="4">
        <v>7.0000000000000007E-2</v>
      </c>
      <c r="N1273" s="4">
        <v>7.0000000000000007E-2</v>
      </c>
      <c r="O1273" s="4">
        <v>7.0000000000000007E-2</v>
      </c>
      <c r="P1273" s="4">
        <v>0</v>
      </c>
      <c r="Q1273" s="3" t="s">
        <v>26</v>
      </c>
      <c r="R1273" s="3">
        <v>0</v>
      </c>
      <c r="S1273" s="4">
        <v>0</v>
      </c>
      <c r="T1273" s="4">
        <v>24</v>
      </c>
      <c r="U1273" s="4">
        <v>98</v>
      </c>
      <c r="V1273" s="4">
        <v>0</v>
      </c>
      <c r="W1273" s="4">
        <v>894.12</v>
      </c>
      <c r="X1273" s="4">
        <v>365.5</v>
      </c>
      <c r="Y1273" s="4"/>
      <c r="Z1273" s="4">
        <v>1103.9336776280536</v>
      </c>
      <c r="AA1273" s="4">
        <v>381.42546590200942</v>
      </c>
      <c r="AB1273" s="4">
        <v>0</v>
      </c>
      <c r="AC1273" s="4">
        <v>62.588400000000007</v>
      </c>
      <c r="AD1273" s="4">
        <v>25.585000000000001</v>
      </c>
      <c r="AE1273" s="4">
        <v>0</v>
      </c>
      <c r="AF1273" s="4">
        <v>77.275357433963762</v>
      </c>
      <c r="AG1273" s="4">
        <v>26.699782613140663</v>
      </c>
    </row>
    <row r="1274" spans="1:33" ht="11.25" customHeight="1" x14ac:dyDescent="0.25">
      <c r="A1274" s="3" t="s">
        <v>28</v>
      </c>
      <c r="B1274" s="3" t="s">
        <v>22</v>
      </c>
      <c r="C1274" s="3" t="s">
        <v>33</v>
      </c>
      <c r="D1274" s="3" t="s">
        <v>24</v>
      </c>
      <c r="E1274" s="3" t="s">
        <v>24</v>
      </c>
      <c r="F1274" s="3" t="s">
        <v>25</v>
      </c>
      <c r="G1274" s="3" t="s">
        <v>25</v>
      </c>
      <c r="H1274" s="3" t="s">
        <v>34</v>
      </c>
      <c r="I1274" s="6">
        <v>44593</v>
      </c>
      <c r="J1274" s="4">
        <v>0</v>
      </c>
      <c r="K1274" s="4">
        <v>0</v>
      </c>
      <c r="L1274" s="4">
        <v>-0.13800000000000001</v>
      </c>
      <c r="M1274" s="4">
        <v>-0.13800000000000001</v>
      </c>
      <c r="N1274" s="4">
        <v>-0.13800000000000001</v>
      </c>
      <c r="O1274" s="4">
        <v>-0.13800000000000001</v>
      </c>
      <c r="P1274" s="4">
        <v>0</v>
      </c>
      <c r="Q1274" s="3" t="s">
        <v>26</v>
      </c>
      <c r="R1274" s="3">
        <v>0</v>
      </c>
      <c r="S1274" s="4">
        <v>0</v>
      </c>
      <c r="T1274" s="4">
        <v>24</v>
      </c>
      <c r="U1274" s="4">
        <v>98</v>
      </c>
      <c r="V1274" s="4">
        <v>0</v>
      </c>
      <c r="W1274" s="4">
        <v>894.12</v>
      </c>
      <c r="X1274" s="4">
        <v>365.5</v>
      </c>
      <c r="Y1274" s="4"/>
      <c r="Z1274" s="4">
        <v>1103.9336776280536</v>
      </c>
      <c r="AA1274" s="4">
        <v>381.42546590200942</v>
      </c>
      <c r="AB1274" s="4">
        <v>0</v>
      </c>
      <c r="AC1274" s="4">
        <v>-123.38856000000001</v>
      </c>
      <c r="AD1274" s="4">
        <v>-50.439000000000007</v>
      </c>
      <c r="AE1274" s="4">
        <v>0</v>
      </c>
      <c r="AF1274" s="4">
        <v>-152.3428475126714</v>
      </c>
      <c r="AG1274" s="4">
        <v>-52.636714294477308</v>
      </c>
    </row>
    <row r="1275" spans="1:33" ht="11.25" customHeight="1" x14ac:dyDescent="0.25">
      <c r="A1275" s="3" t="s">
        <v>56</v>
      </c>
      <c r="B1275" s="3" t="s">
        <v>22</v>
      </c>
      <c r="C1275" s="3" t="s">
        <v>33</v>
      </c>
      <c r="D1275" s="3" t="s">
        <v>24</v>
      </c>
      <c r="E1275" s="3" t="s">
        <v>24</v>
      </c>
      <c r="F1275" s="3" t="s">
        <v>25</v>
      </c>
      <c r="G1275" s="3" t="s">
        <v>25</v>
      </c>
      <c r="H1275" s="3" t="s">
        <v>34</v>
      </c>
      <c r="I1275" s="6">
        <v>44621</v>
      </c>
      <c r="J1275" s="4">
        <v>0</v>
      </c>
      <c r="K1275" s="4">
        <v>0</v>
      </c>
      <c r="L1275" s="4">
        <v>12.66</v>
      </c>
      <c r="M1275" s="4">
        <v>12.66</v>
      </c>
      <c r="N1275" s="4">
        <v>12.66</v>
      </c>
      <c r="O1275" s="4">
        <v>12.66</v>
      </c>
      <c r="P1275" s="4">
        <v>0</v>
      </c>
      <c r="Q1275" s="3" t="s">
        <v>26</v>
      </c>
      <c r="R1275" s="3">
        <v>0</v>
      </c>
      <c r="S1275" s="4">
        <v>0</v>
      </c>
      <c r="T1275" s="4">
        <v>24</v>
      </c>
      <c r="U1275" s="4">
        <v>98</v>
      </c>
      <c r="V1275" s="4">
        <v>0</v>
      </c>
      <c r="W1275" s="4">
        <v>894.12</v>
      </c>
      <c r="X1275" s="4">
        <v>365.5</v>
      </c>
      <c r="Y1275" s="4"/>
      <c r="Z1275" s="4">
        <v>1103.9336776280536</v>
      </c>
      <c r="AA1275" s="4">
        <v>381.42546590200942</v>
      </c>
      <c r="AB1275" s="4">
        <v>0</v>
      </c>
      <c r="AC1275" s="4">
        <v>11319.5592</v>
      </c>
      <c r="AD1275" s="4">
        <v>4627.2300000000005</v>
      </c>
      <c r="AE1275" s="4">
        <v>0</v>
      </c>
      <c r="AF1275" s="4">
        <v>13975.800358771159</v>
      </c>
      <c r="AG1275" s="4">
        <v>4828.8463983194397</v>
      </c>
    </row>
    <row r="1276" spans="1:33" ht="11.25" customHeight="1" x14ac:dyDescent="0.25">
      <c r="A1276" s="3" t="s">
        <v>56</v>
      </c>
      <c r="B1276" s="3" t="s">
        <v>22</v>
      </c>
      <c r="C1276" s="3" t="s">
        <v>33</v>
      </c>
      <c r="D1276" s="3" t="s">
        <v>24</v>
      </c>
      <c r="E1276" s="3" t="s">
        <v>24</v>
      </c>
      <c r="F1276" s="3" t="s">
        <v>25</v>
      </c>
      <c r="G1276" s="3" t="s">
        <v>25</v>
      </c>
      <c r="H1276" s="3" t="s">
        <v>34</v>
      </c>
      <c r="I1276" s="6">
        <v>44621</v>
      </c>
      <c r="J1276" s="4">
        <v>0</v>
      </c>
      <c r="K1276" s="4">
        <v>0</v>
      </c>
      <c r="L1276" s="4">
        <v>-1.6830000000000001</v>
      </c>
      <c r="M1276" s="4">
        <v>-1.6830000000000001</v>
      </c>
      <c r="N1276" s="4">
        <v>-1.6830000000000001</v>
      </c>
      <c r="O1276" s="4">
        <v>-1.6830000000000001</v>
      </c>
      <c r="P1276" s="4">
        <v>0</v>
      </c>
      <c r="Q1276" s="3" t="s">
        <v>26</v>
      </c>
      <c r="R1276" s="3">
        <v>0</v>
      </c>
      <c r="S1276" s="4">
        <v>0</v>
      </c>
      <c r="T1276" s="4">
        <v>24</v>
      </c>
      <c r="U1276" s="4">
        <v>98</v>
      </c>
      <c r="V1276" s="4">
        <v>0</v>
      </c>
      <c r="W1276" s="4">
        <v>894.12</v>
      </c>
      <c r="X1276" s="4">
        <v>365.5</v>
      </c>
      <c r="Y1276" s="4"/>
      <c r="Z1276" s="4">
        <v>1103.9336776280536</v>
      </c>
      <c r="AA1276" s="4">
        <v>381.42546590200942</v>
      </c>
      <c r="AB1276" s="4">
        <v>0</v>
      </c>
      <c r="AC1276" s="4">
        <v>-1504.80396</v>
      </c>
      <c r="AD1276" s="4">
        <v>-615.13650000000007</v>
      </c>
      <c r="AE1276" s="4">
        <v>0</v>
      </c>
      <c r="AF1276" s="4">
        <v>-1857.9203794480143</v>
      </c>
      <c r="AG1276" s="4">
        <v>-641.93905911308184</v>
      </c>
    </row>
    <row r="1277" spans="1:33" ht="11.25" customHeight="1" x14ac:dyDescent="0.25">
      <c r="A1277" s="3" t="s">
        <v>56</v>
      </c>
      <c r="B1277" s="3" t="s">
        <v>22</v>
      </c>
      <c r="C1277" s="3" t="s">
        <v>33</v>
      </c>
      <c r="D1277" s="3" t="s">
        <v>24</v>
      </c>
      <c r="E1277" s="3" t="s">
        <v>24</v>
      </c>
      <c r="F1277" s="3" t="s">
        <v>25</v>
      </c>
      <c r="G1277" s="3" t="s">
        <v>25</v>
      </c>
      <c r="H1277" s="3" t="s">
        <v>34</v>
      </c>
      <c r="I1277" s="6">
        <v>44621</v>
      </c>
      <c r="J1277" s="4">
        <v>0</v>
      </c>
      <c r="K1277" s="4">
        <v>0</v>
      </c>
      <c r="L1277" s="4">
        <v>7.0000000000000007E-2</v>
      </c>
      <c r="M1277" s="4">
        <v>7.0000000000000007E-2</v>
      </c>
      <c r="N1277" s="4">
        <v>7.0000000000000007E-2</v>
      </c>
      <c r="O1277" s="4">
        <v>7.0000000000000007E-2</v>
      </c>
      <c r="P1277" s="4">
        <v>0</v>
      </c>
      <c r="Q1277" s="3" t="s">
        <v>26</v>
      </c>
      <c r="R1277" s="3">
        <v>0</v>
      </c>
      <c r="S1277" s="4">
        <v>0</v>
      </c>
      <c r="T1277" s="4">
        <v>24</v>
      </c>
      <c r="U1277" s="4">
        <v>98</v>
      </c>
      <c r="V1277" s="4">
        <v>0</v>
      </c>
      <c r="W1277" s="4">
        <v>894.12</v>
      </c>
      <c r="X1277" s="4">
        <v>365.5</v>
      </c>
      <c r="Y1277" s="4"/>
      <c r="Z1277" s="4">
        <v>1103.9336776280536</v>
      </c>
      <c r="AA1277" s="4">
        <v>381.42546590200942</v>
      </c>
      <c r="AB1277" s="4">
        <v>0</v>
      </c>
      <c r="AC1277" s="4">
        <v>62.588400000000007</v>
      </c>
      <c r="AD1277" s="4">
        <v>25.585000000000001</v>
      </c>
      <c r="AE1277" s="4">
        <v>0</v>
      </c>
      <c r="AF1277" s="4">
        <v>77.275357433963762</v>
      </c>
      <c r="AG1277" s="4">
        <v>26.699782613140663</v>
      </c>
    </row>
    <row r="1278" spans="1:33" ht="11.25" customHeight="1" x14ac:dyDescent="0.25">
      <c r="A1278" s="3" t="s">
        <v>56</v>
      </c>
      <c r="B1278" s="3" t="s">
        <v>22</v>
      </c>
      <c r="C1278" s="3" t="s">
        <v>33</v>
      </c>
      <c r="D1278" s="3" t="s">
        <v>24</v>
      </c>
      <c r="E1278" s="3" t="s">
        <v>24</v>
      </c>
      <c r="F1278" s="3" t="s">
        <v>25</v>
      </c>
      <c r="G1278" s="3" t="s">
        <v>25</v>
      </c>
      <c r="H1278" s="3" t="s">
        <v>34</v>
      </c>
      <c r="I1278" s="6">
        <v>44621</v>
      </c>
      <c r="J1278" s="4">
        <v>0</v>
      </c>
      <c r="K1278" s="4">
        <v>0</v>
      </c>
      <c r="L1278" s="4">
        <v>-0.13800000000000001</v>
      </c>
      <c r="M1278" s="4">
        <v>-0.13800000000000001</v>
      </c>
      <c r="N1278" s="4">
        <v>-0.13800000000000001</v>
      </c>
      <c r="O1278" s="4">
        <v>-0.13800000000000001</v>
      </c>
      <c r="P1278" s="4">
        <v>0</v>
      </c>
      <c r="Q1278" s="3" t="s">
        <v>26</v>
      </c>
      <c r="R1278" s="3">
        <v>0</v>
      </c>
      <c r="S1278" s="4">
        <v>0</v>
      </c>
      <c r="T1278" s="4">
        <v>24</v>
      </c>
      <c r="U1278" s="4">
        <v>98</v>
      </c>
      <c r="V1278" s="4">
        <v>0</v>
      </c>
      <c r="W1278" s="4">
        <v>894.12</v>
      </c>
      <c r="X1278" s="4">
        <v>365.5</v>
      </c>
      <c r="Y1278" s="4"/>
      <c r="Z1278" s="4">
        <v>1103.9336776280536</v>
      </c>
      <c r="AA1278" s="4">
        <v>381.42546590200942</v>
      </c>
      <c r="AB1278" s="4">
        <v>0</v>
      </c>
      <c r="AC1278" s="4">
        <v>-123.38856000000001</v>
      </c>
      <c r="AD1278" s="4">
        <v>-50.439000000000007</v>
      </c>
      <c r="AE1278" s="4">
        <v>0</v>
      </c>
      <c r="AF1278" s="4">
        <v>-152.3428475126714</v>
      </c>
      <c r="AG1278" s="4">
        <v>-52.636714294477308</v>
      </c>
    </row>
    <row r="1279" spans="1:33" ht="11.25" customHeight="1" x14ac:dyDescent="0.25">
      <c r="A1279" s="3" t="s">
        <v>21</v>
      </c>
      <c r="B1279" s="3" t="s">
        <v>22</v>
      </c>
      <c r="C1279" s="3" t="s">
        <v>23</v>
      </c>
      <c r="D1279" s="3" t="s">
        <v>24</v>
      </c>
      <c r="E1279" s="3" t="s">
        <v>24</v>
      </c>
      <c r="F1279" s="3" t="s">
        <v>25</v>
      </c>
      <c r="G1279" s="3" t="s">
        <v>25</v>
      </c>
      <c r="H1279" s="3" t="s">
        <v>25</v>
      </c>
      <c r="I1279" s="6">
        <v>44287</v>
      </c>
      <c r="J1279" s="4">
        <v>0</v>
      </c>
      <c r="K1279" s="4">
        <v>0</v>
      </c>
      <c r="L1279" s="4">
        <v>83240.540999999997</v>
      </c>
      <c r="M1279" s="4">
        <v>83240.540999999997</v>
      </c>
      <c r="N1279" s="4">
        <v>83240.540999999997</v>
      </c>
      <c r="O1279" s="4">
        <v>83240.540999999997</v>
      </c>
      <c r="P1279" s="4">
        <v>503995</v>
      </c>
      <c r="Q1279" s="3" t="s">
        <v>26</v>
      </c>
      <c r="R1279" s="3">
        <v>0</v>
      </c>
      <c r="S1279" s="4">
        <v>0</v>
      </c>
      <c r="T1279" s="4">
        <v>48</v>
      </c>
      <c r="U1279" s="4">
        <v>65</v>
      </c>
      <c r="V1279" s="4">
        <v>0</v>
      </c>
      <c r="W1279" s="4">
        <v>346.2</v>
      </c>
      <c r="X1279" s="4">
        <v>234.24</v>
      </c>
      <c r="Y1279" s="4"/>
      <c r="Z1279" s="4">
        <v>430.49583108604207</v>
      </c>
      <c r="AA1279" s="4">
        <v>247.48951138739608</v>
      </c>
      <c r="AB1279" s="4">
        <v>0</v>
      </c>
      <c r="AC1279" s="4">
        <v>28817875.294199999</v>
      </c>
      <c r="AD1279" s="4">
        <v>19498264.32384</v>
      </c>
      <c r="AE1279" s="4">
        <v>0</v>
      </c>
      <c r="AF1279" s="4">
        <v>35834705.877846755</v>
      </c>
      <c r="AG1279" s="4">
        <v>20601160.819712508</v>
      </c>
    </row>
    <row r="1280" spans="1:33" ht="11.25" customHeight="1" x14ac:dyDescent="0.25">
      <c r="A1280" s="3" t="s">
        <v>27</v>
      </c>
      <c r="B1280" s="3" t="s">
        <v>22</v>
      </c>
      <c r="C1280" s="3" t="s">
        <v>23</v>
      </c>
      <c r="D1280" s="3" t="s">
        <v>24</v>
      </c>
      <c r="E1280" s="3" t="s">
        <v>24</v>
      </c>
      <c r="F1280" s="3" t="s">
        <v>25</v>
      </c>
      <c r="G1280" s="3" t="s">
        <v>25</v>
      </c>
      <c r="H1280" s="3" t="s">
        <v>25</v>
      </c>
      <c r="I1280" s="6">
        <v>44287</v>
      </c>
      <c r="J1280" s="4">
        <v>0</v>
      </c>
      <c r="K1280" s="4">
        <v>0</v>
      </c>
      <c r="L1280" s="4">
        <v>-218.554</v>
      </c>
      <c r="M1280" s="4">
        <v>-218.554</v>
      </c>
      <c r="N1280" s="4">
        <v>-218.554</v>
      </c>
      <c r="O1280" s="4">
        <v>-218.554</v>
      </c>
      <c r="P1280" s="4">
        <v>-132</v>
      </c>
      <c r="Q1280" s="3" t="s">
        <v>26</v>
      </c>
      <c r="R1280" s="3">
        <v>0</v>
      </c>
      <c r="S1280" s="4">
        <v>0</v>
      </c>
      <c r="T1280" s="4">
        <v>48</v>
      </c>
      <c r="U1280" s="4">
        <v>65</v>
      </c>
      <c r="V1280" s="4">
        <v>0</v>
      </c>
      <c r="W1280" s="4">
        <v>346.2</v>
      </c>
      <c r="X1280" s="4">
        <v>234.24</v>
      </c>
      <c r="Y1280" s="4"/>
      <c r="Z1280" s="4">
        <v>430.49583108604207</v>
      </c>
      <c r="AA1280" s="4">
        <v>247.48951138739608</v>
      </c>
      <c r="AB1280" s="4">
        <v>0</v>
      </c>
      <c r="AC1280" s="4">
        <v>-75663.394799999995</v>
      </c>
      <c r="AD1280" s="4">
        <v>-51194.088960000001</v>
      </c>
      <c r="AE1280" s="4">
        <v>0</v>
      </c>
      <c r="AF1280" s="4">
        <v>-94086.585867178845</v>
      </c>
      <c r="AG1280" s="4">
        <v>-54089.822671760965</v>
      </c>
    </row>
    <row r="1281" spans="1:33" ht="11.25" customHeight="1" x14ac:dyDescent="0.25">
      <c r="A1281" s="3" t="s">
        <v>28</v>
      </c>
      <c r="B1281" s="3" t="s">
        <v>22</v>
      </c>
      <c r="C1281" s="3" t="s">
        <v>23</v>
      </c>
      <c r="D1281" s="3" t="s">
        <v>24</v>
      </c>
      <c r="E1281" s="3" t="s">
        <v>24</v>
      </c>
      <c r="F1281" s="3" t="s">
        <v>25</v>
      </c>
      <c r="G1281" s="3" t="s">
        <v>25</v>
      </c>
      <c r="H1281" s="3" t="s">
        <v>25</v>
      </c>
      <c r="I1281" s="6">
        <v>44287</v>
      </c>
      <c r="J1281" s="4">
        <v>0</v>
      </c>
      <c r="K1281" s="4">
        <v>0</v>
      </c>
      <c r="L1281" s="4">
        <v>731.52499999999998</v>
      </c>
      <c r="M1281" s="4">
        <v>731.52499999999998</v>
      </c>
      <c r="N1281" s="4">
        <v>731.52499999999998</v>
      </c>
      <c r="O1281" s="4">
        <v>731.52499999999998</v>
      </c>
      <c r="P1281" s="4">
        <v>3345</v>
      </c>
      <c r="Q1281" s="3" t="s">
        <v>26</v>
      </c>
      <c r="R1281" s="3">
        <v>0</v>
      </c>
      <c r="S1281" s="4">
        <v>0</v>
      </c>
      <c r="T1281" s="4">
        <v>48</v>
      </c>
      <c r="U1281" s="4">
        <v>65</v>
      </c>
      <c r="V1281" s="4">
        <v>0</v>
      </c>
      <c r="W1281" s="4">
        <v>346.2</v>
      </c>
      <c r="X1281" s="4">
        <v>234.24</v>
      </c>
      <c r="Y1281" s="4"/>
      <c r="Z1281" s="4">
        <v>430.49583108604207</v>
      </c>
      <c r="AA1281" s="4">
        <v>247.48951138739608</v>
      </c>
      <c r="AB1281" s="4">
        <v>0</v>
      </c>
      <c r="AC1281" s="4">
        <v>253253.95499999999</v>
      </c>
      <c r="AD1281" s="4">
        <v>171352.416</v>
      </c>
      <c r="AE1281" s="4">
        <v>0</v>
      </c>
      <c r="AF1281" s="4">
        <v>314918.46283521689</v>
      </c>
      <c r="AG1281" s="4">
        <v>181044.76481766492</v>
      </c>
    </row>
    <row r="1282" spans="1:33" ht="11.25" customHeight="1" x14ac:dyDescent="0.25">
      <c r="A1282" s="3" t="s">
        <v>28</v>
      </c>
      <c r="B1282" s="3" t="s">
        <v>22</v>
      </c>
      <c r="C1282" s="3" t="s">
        <v>23</v>
      </c>
      <c r="D1282" s="3" t="s">
        <v>24</v>
      </c>
      <c r="E1282" s="3" t="s">
        <v>24</v>
      </c>
      <c r="F1282" s="3" t="s">
        <v>25</v>
      </c>
      <c r="G1282" s="3" t="s">
        <v>25</v>
      </c>
      <c r="H1282" s="3" t="s">
        <v>25</v>
      </c>
      <c r="I1282" s="6">
        <v>44287</v>
      </c>
      <c r="J1282" s="4">
        <v>0</v>
      </c>
      <c r="K1282" s="4">
        <v>0</v>
      </c>
      <c r="L1282" s="4">
        <v>-1.508</v>
      </c>
      <c r="M1282" s="4">
        <v>-1.508</v>
      </c>
      <c r="N1282" s="4">
        <v>-1.508</v>
      </c>
      <c r="O1282" s="4">
        <v>-1.508</v>
      </c>
      <c r="P1282" s="4">
        <v>0</v>
      </c>
      <c r="Q1282" s="3" t="s">
        <v>26</v>
      </c>
      <c r="R1282" s="3">
        <v>0</v>
      </c>
      <c r="S1282" s="4">
        <v>0</v>
      </c>
      <c r="T1282" s="4">
        <v>48</v>
      </c>
      <c r="U1282" s="4">
        <v>65</v>
      </c>
      <c r="V1282" s="4">
        <v>0</v>
      </c>
      <c r="W1282" s="4">
        <v>346.2</v>
      </c>
      <c r="X1282" s="4">
        <v>234.24</v>
      </c>
      <c r="Y1282" s="4"/>
      <c r="Z1282" s="4">
        <v>430.49583108604207</v>
      </c>
      <c r="AA1282" s="4">
        <v>247.48951138739608</v>
      </c>
      <c r="AB1282" s="4">
        <v>0</v>
      </c>
      <c r="AC1282" s="4">
        <v>-522.06960000000004</v>
      </c>
      <c r="AD1282" s="4">
        <v>-353.23392000000001</v>
      </c>
      <c r="AE1282" s="4">
        <v>0</v>
      </c>
      <c r="AF1282" s="4">
        <v>-649.18771327775141</v>
      </c>
      <c r="AG1282" s="4">
        <v>-373.21418317219332</v>
      </c>
    </row>
    <row r="1283" spans="1:33" ht="11.25" customHeight="1" x14ac:dyDescent="0.25">
      <c r="A1283" s="3" t="s">
        <v>21</v>
      </c>
      <c r="B1283" s="3" t="s">
        <v>22</v>
      </c>
      <c r="C1283" s="3" t="s">
        <v>23</v>
      </c>
      <c r="D1283" s="3" t="s">
        <v>24</v>
      </c>
      <c r="E1283" s="3" t="s">
        <v>24</v>
      </c>
      <c r="F1283" s="3" t="s">
        <v>25</v>
      </c>
      <c r="G1283" s="3" t="s">
        <v>25</v>
      </c>
      <c r="H1283" s="3" t="s">
        <v>25</v>
      </c>
      <c r="I1283" s="6">
        <v>44317</v>
      </c>
      <c r="J1283" s="4">
        <v>0</v>
      </c>
      <c r="K1283" s="4">
        <v>0</v>
      </c>
      <c r="L1283" s="4">
        <v>75372.801000000007</v>
      </c>
      <c r="M1283" s="4">
        <v>75372.801000000007</v>
      </c>
      <c r="N1283" s="4">
        <v>75372.801000000007</v>
      </c>
      <c r="O1283" s="4">
        <v>75372.801000000007</v>
      </c>
      <c r="P1283" s="4">
        <v>504725</v>
      </c>
      <c r="Q1283" s="3" t="s">
        <v>26</v>
      </c>
      <c r="R1283" s="3">
        <v>0</v>
      </c>
      <c r="S1283" s="4">
        <v>0</v>
      </c>
      <c r="T1283" s="4">
        <v>48</v>
      </c>
      <c r="U1283" s="4">
        <v>65</v>
      </c>
      <c r="V1283" s="4">
        <v>0</v>
      </c>
      <c r="W1283" s="4">
        <v>346.2</v>
      </c>
      <c r="X1283" s="4">
        <v>234.24</v>
      </c>
      <c r="Y1283" s="4"/>
      <c r="Z1283" s="4">
        <v>430.49583108604207</v>
      </c>
      <c r="AA1283" s="4">
        <v>247.48951138739608</v>
      </c>
      <c r="AB1283" s="4">
        <v>0</v>
      </c>
      <c r="AC1283" s="4">
        <v>26094063.7062</v>
      </c>
      <c r="AD1283" s="4">
        <v>17655324.906240001</v>
      </c>
      <c r="AE1283" s="4">
        <v>0</v>
      </c>
      <c r="AF1283" s="4">
        <v>32447676.607777867</v>
      </c>
      <c r="AG1283" s="4">
        <v>18653977.691389441</v>
      </c>
    </row>
    <row r="1284" spans="1:33" ht="11.25" customHeight="1" x14ac:dyDescent="0.25">
      <c r="A1284" s="3" t="s">
        <v>27</v>
      </c>
      <c r="B1284" s="3" t="s">
        <v>22</v>
      </c>
      <c r="C1284" s="3" t="s">
        <v>23</v>
      </c>
      <c r="D1284" s="3" t="s">
        <v>24</v>
      </c>
      <c r="E1284" s="3" t="s">
        <v>24</v>
      </c>
      <c r="F1284" s="3" t="s">
        <v>25</v>
      </c>
      <c r="G1284" s="3" t="s">
        <v>25</v>
      </c>
      <c r="H1284" s="3" t="s">
        <v>25</v>
      </c>
      <c r="I1284" s="6">
        <v>44317</v>
      </c>
      <c r="J1284" s="4">
        <v>0</v>
      </c>
      <c r="K1284" s="4">
        <v>0</v>
      </c>
      <c r="L1284" s="4">
        <v>-134.25399999999999</v>
      </c>
      <c r="M1284" s="4">
        <v>-134.25399999999999</v>
      </c>
      <c r="N1284" s="4">
        <v>-134.25399999999999</v>
      </c>
      <c r="O1284" s="4">
        <v>-134.25399999999999</v>
      </c>
      <c r="P1284" s="4">
        <v>-152</v>
      </c>
      <c r="Q1284" s="3" t="s">
        <v>26</v>
      </c>
      <c r="R1284" s="3">
        <v>0</v>
      </c>
      <c r="S1284" s="4">
        <v>0</v>
      </c>
      <c r="T1284" s="4">
        <v>48</v>
      </c>
      <c r="U1284" s="4">
        <v>65</v>
      </c>
      <c r="V1284" s="4">
        <v>0</v>
      </c>
      <c r="W1284" s="4">
        <v>346.2</v>
      </c>
      <c r="X1284" s="4">
        <v>234.24</v>
      </c>
      <c r="Y1284" s="4"/>
      <c r="Z1284" s="4">
        <v>430.49583108604207</v>
      </c>
      <c r="AA1284" s="4">
        <v>247.48951138739608</v>
      </c>
      <c r="AB1284" s="4">
        <v>0</v>
      </c>
      <c r="AC1284" s="4">
        <v>-46478.734799999998</v>
      </c>
      <c r="AD1284" s="4">
        <v>-31447.65696</v>
      </c>
      <c r="AE1284" s="4">
        <v>0</v>
      </c>
      <c r="AF1284" s="4">
        <v>-57795.787306625491</v>
      </c>
      <c r="AG1284" s="4">
        <v>-33226.456861803468</v>
      </c>
    </row>
    <row r="1285" spans="1:33" ht="11.25" customHeight="1" x14ac:dyDescent="0.25">
      <c r="A1285" s="3" t="s">
        <v>28</v>
      </c>
      <c r="B1285" s="3" t="s">
        <v>22</v>
      </c>
      <c r="C1285" s="3" t="s">
        <v>23</v>
      </c>
      <c r="D1285" s="3" t="s">
        <v>24</v>
      </c>
      <c r="E1285" s="3" t="s">
        <v>24</v>
      </c>
      <c r="F1285" s="3" t="s">
        <v>25</v>
      </c>
      <c r="G1285" s="3" t="s">
        <v>25</v>
      </c>
      <c r="H1285" s="3" t="s">
        <v>25</v>
      </c>
      <c r="I1285" s="6">
        <v>44317</v>
      </c>
      <c r="J1285" s="4">
        <v>0</v>
      </c>
      <c r="K1285" s="4">
        <v>0</v>
      </c>
      <c r="L1285" s="4">
        <v>751.9</v>
      </c>
      <c r="M1285" s="4">
        <v>751.9</v>
      </c>
      <c r="N1285" s="4">
        <v>751.9</v>
      </c>
      <c r="O1285" s="4">
        <v>751.9</v>
      </c>
      <c r="P1285" s="4">
        <v>3552</v>
      </c>
      <c r="Q1285" s="3" t="s">
        <v>26</v>
      </c>
      <c r="R1285" s="3">
        <v>0</v>
      </c>
      <c r="S1285" s="4">
        <v>0</v>
      </c>
      <c r="T1285" s="4">
        <v>48</v>
      </c>
      <c r="U1285" s="4">
        <v>65</v>
      </c>
      <c r="V1285" s="4">
        <v>0</v>
      </c>
      <c r="W1285" s="4">
        <v>346.2</v>
      </c>
      <c r="X1285" s="4">
        <v>234.24</v>
      </c>
      <c r="Y1285" s="4"/>
      <c r="Z1285" s="4">
        <v>430.49583108604207</v>
      </c>
      <c r="AA1285" s="4">
        <v>247.48951138739608</v>
      </c>
      <c r="AB1285" s="4">
        <v>0</v>
      </c>
      <c r="AC1285" s="4">
        <v>260307.77999999997</v>
      </c>
      <c r="AD1285" s="4">
        <v>176125.05600000001</v>
      </c>
      <c r="AE1285" s="4">
        <v>0</v>
      </c>
      <c r="AF1285" s="4">
        <v>323689.81539359502</v>
      </c>
      <c r="AG1285" s="4">
        <v>186087.36361218311</v>
      </c>
    </row>
    <row r="1286" spans="1:33" ht="11.25" customHeight="1" x14ac:dyDescent="0.25">
      <c r="A1286" s="3" t="s">
        <v>28</v>
      </c>
      <c r="B1286" s="3" t="s">
        <v>22</v>
      </c>
      <c r="C1286" s="3" t="s">
        <v>23</v>
      </c>
      <c r="D1286" s="3" t="s">
        <v>24</v>
      </c>
      <c r="E1286" s="3" t="s">
        <v>24</v>
      </c>
      <c r="F1286" s="3" t="s">
        <v>25</v>
      </c>
      <c r="G1286" s="3" t="s">
        <v>25</v>
      </c>
      <c r="H1286" s="3" t="s">
        <v>25</v>
      </c>
      <c r="I1286" s="6">
        <v>44317</v>
      </c>
      <c r="J1286" s="4">
        <v>0</v>
      </c>
      <c r="K1286" s="4">
        <v>0</v>
      </c>
      <c r="L1286" s="4">
        <v>-0.86899999999999999</v>
      </c>
      <c r="M1286" s="4">
        <v>-0.86899999999999999</v>
      </c>
      <c r="N1286" s="4">
        <v>-0.86899999999999999</v>
      </c>
      <c r="O1286" s="4">
        <v>-0.86899999999999999</v>
      </c>
      <c r="P1286" s="4">
        <v>0</v>
      </c>
      <c r="Q1286" s="3" t="s">
        <v>26</v>
      </c>
      <c r="R1286" s="3">
        <v>0</v>
      </c>
      <c r="S1286" s="4">
        <v>0</v>
      </c>
      <c r="T1286" s="4">
        <v>48</v>
      </c>
      <c r="U1286" s="4">
        <v>65</v>
      </c>
      <c r="V1286" s="4">
        <v>0</v>
      </c>
      <c r="W1286" s="4">
        <v>346.2</v>
      </c>
      <c r="X1286" s="4">
        <v>234.24</v>
      </c>
      <c r="Y1286" s="4"/>
      <c r="Z1286" s="4">
        <v>430.49583108604207</v>
      </c>
      <c r="AA1286" s="4">
        <v>247.48951138739608</v>
      </c>
      <c r="AB1286" s="4">
        <v>0</v>
      </c>
      <c r="AC1286" s="4">
        <v>-300.84780000000001</v>
      </c>
      <c r="AD1286" s="4">
        <v>-203.55456000000001</v>
      </c>
      <c r="AE1286" s="4">
        <v>0</v>
      </c>
      <c r="AF1286" s="4">
        <v>-374.10087721377056</v>
      </c>
      <c r="AG1286" s="4">
        <v>-215.0683853956472</v>
      </c>
    </row>
    <row r="1287" spans="1:33" ht="11.25" customHeight="1" x14ac:dyDescent="0.25">
      <c r="A1287" s="3" t="s">
        <v>21</v>
      </c>
      <c r="B1287" s="3" t="s">
        <v>22</v>
      </c>
      <c r="C1287" s="3" t="s">
        <v>23</v>
      </c>
      <c r="D1287" s="3" t="s">
        <v>24</v>
      </c>
      <c r="E1287" s="3" t="s">
        <v>24</v>
      </c>
      <c r="F1287" s="3" t="s">
        <v>25</v>
      </c>
      <c r="G1287" s="3" t="s">
        <v>25</v>
      </c>
      <c r="H1287" s="3" t="s">
        <v>25</v>
      </c>
      <c r="I1287" s="6">
        <v>44348</v>
      </c>
      <c r="J1287" s="4">
        <v>0</v>
      </c>
      <c r="K1287" s="4">
        <v>0</v>
      </c>
      <c r="L1287" s="4">
        <v>73533.183000000005</v>
      </c>
      <c r="M1287" s="4">
        <v>73533.183000000005</v>
      </c>
      <c r="N1287" s="4">
        <v>73533.183000000005</v>
      </c>
      <c r="O1287" s="4">
        <v>73533.183000000005</v>
      </c>
      <c r="P1287" s="4">
        <v>506719</v>
      </c>
      <c r="Q1287" s="3" t="s">
        <v>26</v>
      </c>
      <c r="R1287" s="3">
        <v>0</v>
      </c>
      <c r="S1287" s="4">
        <v>0</v>
      </c>
      <c r="T1287" s="4">
        <v>48</v>
      </c>
      <c r="U1287" s="4">
        <v>65</v>
      </c>
      <c r="V1287" s="4">
        <v>0</v>
      </c>
      <c r="W1287" s="4">
        <v>346.2</v>
      </c>
      <c r="X1287" s="4">
        <v>234.24</v>
      </c>
      <c r="Y1287" s="4"/>
      <c r="Z1287" s="4">
        <v>430.49583108604207</v>
      </c>
      <c r="AA1287" s="4">
        <v>247.48951138739608</v>
      </c>
      <c r="AB1287" s="4">
        <v>0</v>
      </c>
      <c r="AC1287" s="4">
        <v>25457187.954599999</v>
      </c>
      <c r="AD1287" s="4">
        <v>17224412.785920002</v>
      </c>
      <c r="AE1287" s="4">
        <v>0</v>
      </c>
      <c r="AF1287" s="4">
        <v>31655728.727987021</v>
      </c>
      <c r="AG1287" s="4">
        <v>18198691.53142998</v>
      </c>
    </row>
    <row r="1288" spans="1:33" ht="11.25" customHeight="1" x14ac:dyDescent="0.25">
      <c r="A1288" s="3" t="s">
        <v>27</v>
      </c>
      <c r="B1288" s="3" t="s">
        <v>22</v>
      </c>
      <c r="C1288" s="3" t="s">
        <v>23</v>
      </c>
      <c r="D1288" s="3" t="s">
        <v>24</v>
      </c>
      <c r="E1288" s="3" t="s">
        <v>24</v>
      </c>
      <c r="F1288" s="3" t="s">
        <v>25</v>
      </c>
      <c r="G1288" s="3" t="s">
        <v>25</v>
      </c>
      <c r="H1288" s="3" t="s">
        <v>25</v>
      </c>
      <c r="I1288" s="6">
        <v>44348</v>
      </c>
      <c r="J1288" s="4">
        <v>0</v>
      </c>
      <c r="K1288" s="4">
        <v>0</v>
      </c>
      <c r="L1288" s="4">
        <v>-305.64100000000002</v>
      </c>
      <c r="M1288" s="4">
        <v>-305.64100000000002</v>
      </c>
      <c r="N1288" s="4">
        <v>-305.64100000000002</v>
      </c>
      <c r="O1288" s="4">
        <v>-305.64100000000002</v>
      </c>
      <c r="P1288" s="4">
        <v>-110</v>
      </c>
      <c r="Q1288" s="3" t="s">
        <v>26</v>
      </c>
      <c r="R1288" s="3">
        <v>0</v>
      </c>
      <c r="S1288" s="4">
        <v>0</v>
      </c>
      <c r="T1288" s="4">
        <v>48</v>
      </c>
      <c r="U1288" s="4">
        <v>65</v>
      </c>
      <c r="V1288" s="4">
        <v>0</v>
      </c>
      <c r="W1288" s="4">
        <v>346.2</v>
      </c>
      <c r="X1288" s="4">
        <v>234.24</v>
      </c>
      <c r="Y1288" s="4"/>
      <c r="Z1288" s="4">
        <v>430.49583108604207</v>
      </c>
      <c r="AA1288" s="4">
        <v>247.48951138739608</v>
      </c>
      <c r="AB1288" s="4">
        <v>0</v>
      </c>
      <c r="AC1288" s="4">
        <v>-105812.9142</v>
      </c>
      <c r="AD1288" s="4">
        <v>-71593.347840000002</v>
      </c>
      <c r="AE1288" s="4">
        <v>0</v>
      </c>
      <c r="AF1288" s="4">
        <v>-131577.17630896901</v>
      </c>
      <c r="AG1288" s="4">
        <v>-75642.941749955135</v>
      </c>
    </row>
    <row r="1289" spans="1:33" ht="11.25" customHeight="1" x14ac:dyDescent="0.25">
      <c r="A1289" s="3" t="s">
        <v>28</v>
      </c>
      <c r="B1289" s="3" t="s">
        <v>22</v>
      </c>
      <c r="C1289" s="3" t="s">
        <v>23</v>
      </c>
      <c r="D1289" s="3" t="s">
        <v>24</v>
      </c>
      <c r="E1289" s="3" t="s">
        <v>24</v>
      </c>
      <c r="F1289" s="3" t="s">
        <v>25</v>
      </c>
      <c r="G1289" s="3" t="s">
        <v>25</v>
      </c>
      <c r="H1289" s="3" t="s">
        <v>25</v>
      </c>
      <c r="I1289" s="6">
        <v>44348</v>
      </c>
      <c r="J1289" s="4">
        <v>0</v>
      </c>
      <c r="K1289" s="4">
        <v>0</v>
      </c>
      <c r="L1289" s="4">
        <v>736.95399999999995</v>
      </c>
      <c r="M1289" s="4">
        <v>736.95399999999995</v>
      </c>
      <c r="N1289" s="4">
        <v>736.95399999999995</v>
      </c>
      <c r="O1289" s="4">
        <v>736.95399999999995</v>
      </c>
      <c r="P1289" s="4">
        <v>3680</v>
      </c>
      <c r="Q1289" s="3" t="s">
        <v>26</v>
      </c>
      <c r="R1289" s="3">
        <v>0</v>
      </c>
      <c r="S1289" s="4">
        <v>0</v>
      </c>
      <c r="T1289" s="4">
        <v>48</v>
      </c>
      <c r="U1289" s="4">
        <v>65</v>
      </c>
      <c r="V1289" s="4">
        <v>0</v>
      </c>
      <c r="W1289" s="4">
        <v>346.2</v>
      </c>
      <c r="X1289" s="4">
        <v>234.24</v>
      </c>
      <c r="Y1289" s="4"/>
      <c r="Z1289" s="4">
        <v>430.49583108604207</v>
      </c>
      <c r="AA1289" s="4">
        <v>247.48951138739608</v>
      </c>
      <c r="AB1289" s="4">
        <v>0</v>
      </c>
      <c r="AC1289" s="4">
        <v>255133.47479999997</v>
      </c>
      <c r="AD1289" s="4">
        <v>172624.10496</v>
      </c>
      <c r="AE1289" s="4">
        <v>0</v>
      </c>
      <c r="AF1289" s="4">
        <v>317255.62470218301</v>
      </c>
      <c r="AG1289" s="4">
        <v>182388.38537498709</v>
      </c>
    </row>
    <row r="1290" spans="1:33" ht="11.25" customHeight="1" x14ac:dyDescent="0.25">
      <c r="A1290" s="3" t="s">
        <v>28</v>
      </c>
      <c r="B1290" s="3" t="s">
        <v>22</v>
      </c>
      <c r="C1290" s="3" t="s">
        <v>23</v>
      </c>
      <c r="D1290" s="3" t="s">
        <v>24</v>
      </c>
      <c r="E1290" s="3" t="s">
        <v>24</v>
      </c>
      <c r="F1290" s="3" t="s">
        <v>25</v>
      </c>
      <c r="G1290" s="3" t="s">
        <v>25</v>
      </c>
      <c r="H1290" s="3" t="s">
        <v>25</v>
      </c>
      <c r="I1290" s="6">
        <v>44348</v>
      </c>
      <c r="J1290" s="4">
        <v>0</v>
      </c>
      <c r="K1290" s="4">
        <v>0</v>
      </c>
      <c r="L1290" s="4">
        <v>9.4E-2</v>
      </c>
      <c r="M1290" s="4">
        <v>9.4E-2</v>
      </c>
      <c r="N1290" s="4">
        <v>9.4E-2</v>
      </c>
      <c r="O1290" s="4">
        <v>9.4E-2</v>
      </c>
      <c r="P1290" s="4">
        <v>0</v>
      </c>
      <c r="Q1290" s="3" t="s">
        <v>26</v>
      </c>
      <c r="R1290" s="3">
        <v>0</v>
      </c>
      <c r="S1290" s="4">
        <v>0</v>
      </c>
      <c r="T1290" s="4">
        <v>48</v>
      </c>
      <c r="U1290" s="4">
        <v>65</v>
      </c>
      <c r="V1290" s="4">
        <v>0</v>
      </c>
      <c r="W1290" s="4">
        <v>346.2</v>
      </c>
      <c r="X1290" s="4">
        <v>234.24</v>
      </c>
      <c r="Y1290" s="4"/>
      <c r="Z1290" s="4">
        <v>430.49583108604207</v>
      </c>
      <c r="AA1290" s="4">
        <v>247.48951138739608</v>
      </c>
      <c r="AB1290" s="4">
        <v>0</v>
      </c>
      <c r="AC1290" s="4">
        <v>32.5428</v>
      </c>
      <c r="AD1290" s="4">
        <v>22.018560000000001</v>
      </c>
      <c r="AE1290" s="4">
        <v>0</v>
      </c>
      <c r="AF1290" s="4">
        <v>40.466608122087955</v>
      </c>
      <c r="AG1290" s="4">
        <v>23.264014070415232</v>
      </c>
    </row>
    <row r="1291" spans="1:33" ht="11.25" customHeight="1" x14ac:dyDescent="0.25">
      <c r="A1291" s="3" t="s">
        <v>21</v>
      </c>
      <c r="B1291" s="3" t="s">
        <v>22</v>
      </c>
      <c r="C1291" s="3" t="s">
        <v>23</v>
      </c>
      <c r="D1291" s="3" t="s">
        <v>24</v>
      </c>
      <c r="E1291" s="3" t="s">
        <v>24</v>
      </c>
      <c r="F1291" s="3" t="s">
        <v>25</v>
      </c>
      <c r="G1291" s="3" t="s">
        <v>25</v>
      </c>
      <c r="H1291" s="3" t="s">
        <v>25</v>
      </c>
      <c r="I1291" s="6">
        <v>44378</v>
      </c>
      <c r="J1291" s="4">
        <v>0</v>
      </c>
      <c r="K1291" s="4">
        <v>0</v>
      </c>
      <c r="L1291" s="4">
        <v>71677</v>
      </c>
      <c r="M1291" s="4">
        <v>71677</v>
      </c>
      <c r="N1291" s="4">
        <v>71677</v>
      </c>
      <c r="O1291" s="4">
        <v>71677</v>
      </c>
      <c r="P1291" s="4">
        <v>507235</v>
      </c>
      <c r="Q1291" s="3" t="s">
        <v>26</v>
      </c>
      <c r="R1291" s="3">
        <v>0</v>
      </c>
      <c r="S1291" s="4">
        <v>0</v>
      </c>
      <c r="T1291" s="4">
        <v>48</v>
      </c>
      <c r="U1291" s="4">
        <v>65</v>
      </c>
      <c r="V1291" s="4">
        <v>0</v>
      </c>
      <c r="W1291" s="4">
        <v>346.2</v>
      </c>
      <c r="X1291" s="4">
        <v>234.24</v>
      </c>
      <c r="Y1291" s="4"/>
      <c r="Z1291" s="4">
        <v>430.49583108604207</v>
      </c>
      <c r="AA1291" s="4">
        <v>247.48951138739608</v>
      </c>
      <c r="AB1291" s="4">
        <v>0</v>
      </c>
      <c r="AC1291" s="4">
        <v>24814577.399999999</v>
      </c>
      <c r="AD1291" s="4">
        <v>16789620.48</v>
      </c>
      <c r="AE1291" s="4">
        <v>0</v>
      </c>
      <c r="AF1291" s="4">
        <v>30856649.684754238</v>
      </c>
      <c r="AG1291" s="4">
        <v>17739305.70771439</v>
      </c>
    </row>
    <row r="1292" spans="1:33" ht="11.25" customHeight="1" x14ac:dyDescent="0.25">
      <c r="A1292" s="3" t="s">
        <v>27</v>
      </c>
      <c r="B1292" s="3" t="s">
        <v>22</v>
      </c>
      <c r="C1292" s="3" t="s">
        <v>23</v>
      </c>
      <c r="D1292" s="3" t="s">
        <v>24</v>
      </c>
      <c r="E1292" s="3" t="s">
        <v>24</v>
      </c>
      <c r="F1292" s="3" t="s">
        <v>25</v>
      </c>
      <c r="G1292" s="3" t="s">
        <v>25</v>
      </c>
      <c r="H1292" s="3" t="s">
        <v>25</v>
      </c>
      <c r="I1292" s="6">
        <v>44378</v>
      </c>
      <c r="J1292" s="4">
        <v>0</v>
      </c>
      <c r="K1292" s="4">
        <v>0</v>
      </c>
      <c r="L1292" s="4">
        <v>-1009.7619999999999</v>
      </c>
      <c r="M1292" s="4">
        <v>-1009.7619999999999</v>
      </c>
      <c r="N1292" s="4">
        <v>-1009.7619999999999</v>
      </c>
      <c r="O1292" s="4">
        <v>-1009.7619999999999</v>
      </c>
      <c r="P1292" s="4">
        <v>-511</v>
      </c>
      <c r="Q1292" s="3" t="s">
        <v>26</v>
      </c>
      <c r="R1292" s="3">
        <v>0</v>
      </c>
      <c r="S1292" s="4">
        <v>0</v>
      </c>
      <c r="T1292" s="4">
        <v>48</v>
      </c>
      <c r="U1292" s="4">
        <v>65</v>
      </c>
      <c r="V1292" s="4">
        <v>0</v>
      </c>
      <c r="W1292" s="4">
        <v>346.2</v>
      </c>
      <c r="X1292" s="4">
        <v>234.24</v>
      </c>
      <c r="Y1292" s="4"/>
      <c r="Z1292" s="4">
        <v>430.49583108604207</v>
      </c>
      <c r="AA1292" s="4">
        <v>247.48951138739608</v>
      </c>
      <c r="AB1292" s="4">
        <v>0</v>
      </c>
      <c r="AC1292" s="4">
        <v>-349579.60439999995</v>
      </c>
      <c r="AD1292" s="4">
        <v>-236526.65088</v>
      </c>
      <c r="AE1292" s="4">
        <v>0</v>
      </c>
      <c r="AF1292" s="4">
        <v>-434698.33138910402</v>
      </c>
      <c r="AG1292" s="4">
        <v>-249905.50399755983</v>
      </c>
    </row>
    <row r="1293" spans="1:33" ht="11.25" customHeight="1" x14ac:dyDescent="0.25">
      <c r="A1293" s="3" t="s">
        <v>28</v>
      </c>
      <c r="B1293" s="3" t="s">
        <v>22</v>
      </c>
      <c r="C1293" s="3" t="s">
        <v>23</v>
      </c>
      <c r="D1293" s="3" t="s">
        <v>24</v>
      </c>
      <c r="E1293" s="3" t="s">
        <v>24</v>
      </c>
      <c r="F1293" s="3" t="s">
        <v>25</v>
      </c>
      <c r="G1293" s="3" t="s">
        <v>25</v>
      </c>
      <c r="H1293" s="3" t="s">
        <v>25</v>
      </c>
      <c r="I1293" s="6">
        <v>44378</v>
      </c>
      <c r="J1293" s="4">
        <v>0</v>
      </c>
      <c r="K1293" s="4">
        <v>0</v>
      </c>
      <c r="L1293" s="4">
        <v>715.673</v>
      </c>
      <c r="M1293" s="4">
        <v>715.673</v>
      </c>
      <c r="N1293" s="4">
        <v>715.673</v>
      </c>
      <c r="O1293" s="4">
        <v>715.673</v>
      </c>
      <c r="P1293" s="4">
        <v>3834</v>
      </c>
      <c r="Q1293" s="3" t="s">
        <v>26</v>
      </c>
      <c r="R1293" s="3">
        <v>0</v>
      </c>
      <c r="S1293" s="4">
        <v>0</v>
      </c>
      <c r="T1293" s="4">
        <v>48</v>
      </c>
      <c r="U1293" s="4">
        <v>65</v>
      </c>
      <c r="V1293" s="4">
        <v>0</v>
      </c>
      <c r="W1293" s="4">
        <v>346.2</v>
      </c>
      <c r="X1293" s="4">
        <v>234.24</v>
      </c>
      <c r="Y1293" s="4"/>
      <c r="Z1293" s="4">
        <v>430.49583108604207</v>
      </c>
      <c r="AA1293" s="4">
        <v>247.48951138739608</v>
      </c>
      <c r="AB1293" s="4">
        <v>0</v>
      </c>
      <c r="AC1293" s="4">
        <v>247765.9926</v>
      </c>
      <c r="AD1293" s="4">
        <v>167639.24352000002</v>
      </c>
      <c r="AE1293" s="4">
        <v>0</v>
      </c>
      <c r="AF1293" s="4">
        <v>308094.24292084097</v>
      </c>
      <c r="AG1293" s="4">
        <v>177121.5610831519</v>
      </c>
    </row>
    <row r="1294" spans="1:33" ht="11.25" customHeight="1" x14ac:dyDescent="0.25">
      <c r="A1294" s="3" t="s">
        <v>28</v>
      </c>
      <c r="B1294" s="3" t="s">
        <v>22</v>
      </c>
      <c r="C1294" s="3" t="s">
        <v>23</v>
      </c>
      <c r="D1294" s="3" t="s">
        <v>24</v>
      </c>
      <c r="E1294" s="3" t="s">
        <v>24</v>
      </c>
      <c r="F1294" s="3" t="s">
        <v>25</v>
      </c>
      <c r="G1294" s="3" t="s">
        <v>25</v>
      </c>
      <c r="H1294" s="3" t="s">
        <v>25</v>
      </c>
      <c r="I1294" s="6">
        <v>44378</v>
      </c>
      <c r="J1294" s="4">
        <v>0</v>
      </c>
      <c r="K1294" s="4">
        <v>0</v>
      </c>
      <c r="L1294" s="4">
        <v>-4.7E-2</v>
      </c>
      <c r="M1294" s="4">
        <v>-4.7E-2</v>
      </c>
      <c r="N1294" s="4">
        <v>-4.7E-2</v>
      </c>
      <c r="O1294" s="4">
        <v>-4.7E-2</v>
      </c>
      <c r="P1294" s="4">
        <v>0</v>
      </c>
      <c r="Q1294" s="3" t="s">
        <v>26</v>
      </c>
      <c r="R1294" s="3">
        <v>0</v>
      </c>
      <c r="S1294" s="4">
        <v>0</v>
      </c>
      <c r="T1294" s="4">
        <v>48</v>
      </c>
      <c r="U1294" s="4">
        <v>65</v>
      </c>
      <c r="V1294" s="4">
        <v>0</v>
      </c>
      <c r="W1294" s="4">
        <v>346.2</v>
      </c>
      <c r="X1294" s="4">
        <v>234.24</v>
      </c>
      <c r="Y1294" s="4"/>
      <c r="Z1294" s="4">
        <v>430.49583108604207</v>
      </c>
      <c r="AA1294" s="4">
        <v>247.48951138739608</v>
      </c>
      <c r="AB1294" s="4">
        <v>0</v>
      </c>
      <c r="AC1294" s="4">
        <v>-16.2714</v>
      </c>
      <c r="AD1294" s="4">
        <v>-11.00928</v>
      </c>
      <c r="AE1294" s="4">
        <v>0</v>
      </c>
      <c r="AF1294" s="4">
        <v>-20.233304061043977</v>
      </c>
      <c r="AG1294" s="4">
        <v>-11.632007035207616</v>
      </c>
    </row>
    <row r="1295" spans="1:33" ht="11.25" customHeight="1" x14ac:dyDescent="0.25">
      <c r="A1295" s="3" t="s">
        <v>21</v>
      </c>
      <c r="B1295" s="3" t="s">
        <v>22</v>
      </c>
      <c r="C1295" s="3" t="s">
        <v>23</v>
      </c>
      <c r="D1295" s="3" t="s">
        <v>24</v>
      </c>
      <c r="E1295" s="3" t="s">
        <v>24</v>
      </c>
      <c r="F1295" s="3" t="s">
        <v>25</v>
      </c>
      <c r="G1295" s="3" t="s">
        <v>25</v>
      </c>
      <c r="H1295" s="3" t="s">
        <v>25</v>
      </c>
      <c r="I1295" s="6">
        <v>44409</v>
      </c>
      <c r="J1295" s="4">
        <v>0</v>
      </c>
      <c r="K1295" s="4">
        <v>0</v>
      </c>
      <c r="L1295" s="4">
        <v>68285.770999999993</v>
      </c>
      <c r="M1295" s="4">
        <v>68285.770999999993</v>
      </c>
      <c r="N1295" s="4">
        <v>68285.770999999993</v>
      </c>
      <c r="O1295" s="4">
        <v>68285.770999999993</v>
      </c>
      <c r="P1295" s="4">
        <v>507048</v>
      </c>
      <c r="Q1295" s="3" t="s">
        <v>26</v>
      </c>
      <c r="R1295" s="3">
        <v>0</v>
      </c>
      <c r="S1295" s="4">
        <v>0</v>
      </c>
      <c r="T1295" s="4">
        <v>48</v>
      </c>
      <c r="U1295" s="4">
        <v>65</v>
      </c>
      <c r="V1295" s="4">
        <v>0</v>
      </c>
      <c r="W1295" s="4">
        <v>346.2</v>
      </c>
      <c r="X1295" s="4">
        <v>234.24</v>
      </c>
      <c r="Y1295" s="4"/>
      <c r="Z1295" s="4">
        <v>430.49583108604207</v>
      </c>
      <c r="AA1295" s="4">
        <v>247.48951138739608</v>
      </c>
      <c r="AB1295" s="4">
        <v>0</v>
      </c>
      <c r="AC1295" s="4">
        <v>23640533.920199998</v>
      </c>
      <c r="AD1295" s="4">
        <v>15995258.999039998</v>
      </c>
      <c r="AE1295" s="4">
        <v>0</v>
      </c>
      <c r="AF1295" s="4">
        <v>29396739.737996146</v>
      </c>
      <c r="AG1295" s="4">
        <v>16900012.099501621</v>
      </c>
    </row>
    <row r="1296" spans="1:33" ht="11.25" customHeight="1" x14ac:dyDescent="0.25">
      <c r="A1296" s="3" t="s">
        <v>27</v>
      </c>
      <c r="B1296" s="3" t="s">
        <v>22</v>
      </c>
      <c r="C1296" s="3" t="s">
        <v>23</v>
      </c>
      <c r="D1296" s="3" t="s">
        <v>24</v>
      </c>
      <c r="E1296" s="3" t="s">
        <v>24</v>
      </c>
      <c r="F1296" s="3" t="s">
        <v>25</v>
      </c>
      <c r="G1296" s="3" t="s">
        <v>25</v>
      </c>
      <c r="H1296" s="3" t="s">
        <v>25</v>
      </c>
      <c r="I1296" s="6">
        <v>44409</v>
      </c>
      <c r="J1296" s="4">
        <v>0</v>
      </c>
      <c r="K1296" s="4">
        <v>0</v>
      </c>
      <c r="L1296" s="4">
        <v>-323.86099999999999</v>
      </c>
      <c r="M1296" s="4">
        <v>-323.86099999999999</v>
      </c>
      <c r="N1296" s="4">
        <v>-323.86099999999999</v>
      </c>
      <c r="O1296" s="4">
        <v>-323.86099999999999</v>
      </c>
      <c r="P1296" s="4">
        <v>-174</v>
      </c>
      <c r="Q1296" s="3" t="s">
        <v>26</v>
      </c>
      <c r="R1296" s="3">
        <v>0</v>
      </c>
      <c r="S1296" s="4">
        <v>0</v>
      </c>
      <c r="T1296" s="4">
        <v>48</v>
      </c>
      <c r="U1296" s="4">
        <v>65</v>
      </c>
      <c r="V1296" s="4">
        <v>0</v>
      </c>
      <c r="W1296" s="4">
        <v>346.2</v>
      </c>
      <c r="X1296" s="4">
        <v>234.24</v>
      </c>
      <c r="Y1296" s="4"/>
      <c r="Z1296" s="4">
        <v>430.49583108604207</v>
      </c>
      <c r="AA1296" s="4">
        <v>247.48951138739608</v>
      </c>
      <c r="AB1296" s="4">
        <v>0</v>
      </c>
      <c r="AC1296" s="4">
        <v>-112120.67819999999</v>
      </c>
      <c r="AD1296" s="4">
        <v>-75861.200639999995</v>
      </c>
      <c r="AE1296" s="4">
        <v>0</v>
      </c>
      <c r="AF1296" s="4">
        <v>-139420.81035135666</v>
      </c>
      <c r="AG1296" s="4">
        <v>-80152.200647433478</v>
      </c>
    </row>
    <row r="1297" spans="1:33" ht="11.25" customHeight="1" x14ac:dyDescent="0.25">
      <c r="A1297" s="3" t="s">
        <v>28</v>
      </c>
      <c r="B1297" s="3" t="s">
        <v>22</v>
      </c>
      <c r="C1297" s="3" t="s">
        <v>23</v>
      </c>
      <c r="D1297" s="3" t="s">
        <v>24</v>
      </c>
      <c r="E1297" s="3" t="s">
        <v>24</v>
      </c>
      <c r="F1297" s="3" t="s">
        <v>25</v>
      </c>
      <c r="G1297" s="3" t="s">
        <v>25</v>
      </c>
      <c r="H1297" s="3" t="s">
        <v>25</v>
      </c>
      <c r="I1297" s="6">
        <v>44409</v>
      </c>
      <c r="J1297" s="4">
        <v>0</v>
      </c>
      <c r="K1297" s="4">
        <v>0</v>
      </c>
      <c r="L1297" s="4">
        <v>642.66</v>
      </c>
      <c r="M1297" s="4">
        <v>642.66</v>
      </c>
      <c r="N1297" s="4">
        <v>642.66</v>
      </c>
      <c r="O1297" s="4">
        <v>642.66</v>
      </c>
      <c r="P1297" s="4">
        <v>4026</v>
      </c>
      <c r="Q1297" s="3" t="s">
        <v>26</v>
      </c>
      <c r="R1297" s="3">
        <v>0</v>
      </c>
      <c r="S1297" s="4">
        <v>0</v>
      </c>
      <c r="T1297" s="4">
        <v>48</v>
      </c>
      <c r="U1297" s="4">
        <v>65</v>
      </c>
      <c r="V1297" s="4">
        <v>0</v>
      </c>
      <c r="W1297" s="4">
        <v>346.2</v>
      </c>
      <c r="X1297" s="4">
        <v>234.24</v>
      </c>
      <c r="Y1297" s="4"/>
      <c r="Z1297" s="4">
        <v>430.49583108604207</v>
      </c>
      <c r="AA1297" s="4">
        <v>247.48951138739608</v>
      </c>
      <c r="AB1297" s="4">
        <v>0</v>
      </c>
      <c r="AC1297" s="4">
        <v>222488.89199999999</v>
      </c>
      <c r="AD1297" s="4">
        <v>150536.6784</v>
      </c>
      <c r="AE1297" s="4">
        <v>0</v>
      </c>
      <c r="AF1297" s="4">
        <v>276662.4508057558</v>
      </c>
      <c r="AG1297" s="4">
        <v>159051.60938822397</v>
      </c>
    </row>
    <row r="1298" spans="1:33" ht="11.25" customHeight="1" x14ac:dyDescent="0.25">
      <c r="A1298" s="3" t="s">
        <v>28</v>
      </c>
      <c r="B1298" s="3" t="s">
        <v>22</v>
      </c>
      <c r="C1298" s="3" t="s">
        <v>23</v>
      </c>
      <c r="D1298" s="3" t="s">
        <v>24</v>
      </c>
      <c r="E1298" s="3" t="s">
        <v>24</v>
      </c>
      <c r="F1298" s="3" t="s">
        <v>25</v>
      </c>
      <c r="G1298" s="3" t="s">
        <v>25</v>
      </c>
      <c r="H1298" s="3" t="s">
        <v>25</v>
      </c>
      <c r="I1298" s="6">
        <v>44409</v>
      </c>
      <c r="J1298" s="4">
        <v>0</v>
      </c>
      <c r="K1298" s="4">
        <v>0</v>
      </c>
      <c r="L1298" s="4">
        <v>-8.2370000000000001</v>
      </c>
      <c r="M1298" s="4">
        <v>-8.2370000000000001</v>
      </c>
      <c r="N1298" s="4">
        <v>-8.2370000000000001</v>
      </c>
      <c r="O1298" s="4">
        <v>-8.2370000000000001</v>
      </c>
      <c r="P1298" s="4">
        <v>0</v>
      </c>
      <c r="Q1298" s="3" t="s">
        <v>26</v>
      </c>
      <c r="R1298" s="3">
        <v>0</v>
      </c>
      <c r="S1298" s="4">
        <v>0</v>
      </c>
      <c r="T1298" s="4">
        <v>48</v>
      </c>
      <c r="U1298" s="4">
        <v>65</v>
      </c>
      <c r="V1298" s="4">
        <v>0</v>
      </c>
      <c r="W1298" s="4">
        <v>346.2</v>
      </c>
      <c r="X1298" s="4">
        <v>234.24</v>
      </c>
      <c r="Y1298" s="4"/>
      <c r="Z1298" s="4">
        <v>430.49583108604207</v>
      </c>
      <c r="AA1298" s="4">
        <v>247.48951138739608</v>
      </c>
      <c r="AB1298" s="4">
        <v>0</v>
      </c>
      <c r="AC1298" s="4">
        <v>-2851.6493999999998</v>
      </c>
      <c r="AD1298" s="4">
        <v>-1929.43488</v>
      </c>
      <c r="AE1298" s="4">
        <v>0</v>
      </c>
      <c r="AF1298" s="4">
        <v>-3545.9941606557286</v>
      </c>
      <c r="AG1298" s="4">
        <v>-2038.5711052979816</v>
      </c>
    </row>
    <row r="1299" spans="1:33" ht="11.25" customHeight="1" x14ac:dyDescent="0.25">
      <c r="A1299" s="3" t="s">
        <v>21</v>
      </c>
      <c r="B1299" s="3" t="s">
        <v>22</v>
      </c>
      <c r="C1299" s="3" t="s">
        <v>23</v>
      </c>
      <c r="D1299" s="3" t="s">
        <v>24</v>
      </c>
      <c r="E1299" s="3" t="s">
        <v>24</v>
      </c>
      <c r="F1299" s="3" t="s">
        <v>25</v>
      </c>
      <c r="G1299" s="3" t="s">
        <v>25</v>
      </c>
      <c r="H1299" s="3" t="s">
        <v>25</v>
      </c>
      <c r="I1299" s="6">
        <v>44440</v>
      </c>
      <c r="J1299" s="4">
        <v>0</v>
      </c>
      <c r="K1299" s="4">
        <v>0</v>
      </c>
      <c r="L1299" s="4">
        <v>68394.902000000002</v>
      </c>
      <c r="M1299" s="4">
        <v>68394.902000000002</v>
      </c>
      <c r="N1299" s="4">
        <v>68394.902000000002</v>
      </c>
      <c r="O1299" s="4">
        <v>68394.902000000002</v>
      </c>
      <c r="P1299" s="4">
        <v>509182</v>
      </c>
      <c r="Q1299" s="3" t="s">
        <v>26</v>
      </c>
      <c r="R1299" s="3">
        <v>0</v>
      </c>
      <c r="S1299" s="4">
        <v>0</v>
      </c>
      <c r="T1299" s="4">
        <v>48</v>
      </c>
      <c r="U1299" s="4">
        <v>65</v>
      </c>
      <c r="V1299" s="4">
        <v>0</v>
      </c>
      <c r="W1299" s="4">
        <v>346.2</v>
      </c>
      <c r="X1299" s="4">
        <v>234.24</v>
      </c>
      <c r="Y1299" s="4"/>
      <c r="Z1299" s="4">
        <v>430.49583108604207</v>
      </c>
      <c r="AA1299" s="4">
        <v>247.48951138739608</v>
      </c>
      <c r="AB1299" s="4">
        <v>0</v>
      </c>
      <c r="AC1299" s="4">
        <v>23678315.0724</v>
      </c>
      <c r="AD1299" s="4">
        <v>16020821.84448</v>
      </c>
      <c r="AE1299" s="4">
        <v>0</v>
      </c>
      <c r="AF1299" s="4">
        <v>29443720.178538401</v>
      </c>
      <c r="AG1299" s="4">
        <v>16927020.877368838</v>
      </c>
    </row>
    <row r="1300" spans="1:33" ht="11.25" customHeight="1" x14ac:dyDescent="0.25">
      <c r="A1300" s="3" t="s">
        <v>27</v>
      </c>
      <c r="B1300" s="3" t="s">
        <v>22</v>
      </c>
      <c r="C1300" s="3" t="s">
        <v>23</v>
      </c>
      <c r="D1300" s="3" t="s">
        <v>24</v>
      </c>
      <c r="E1300" s="3" t="s">
        <v>24</v>
      </c>
      <c r="F1300" s="3" t="s">
        <v>25</v>
      </c>
      <c r="G1300" s="3" t="s">
        <v>25</v>
      </c>
      <c r="H1300" s="3" t="s">
        <v>25</v>
      </c>
      <c r="I1300" s="6">
        <v>44440</v>
      </c>
      <c r="J1300" s="4">
        <v>0</v>
      </c>
      <c r="K1300" s="4">
        <v>0</v>
      </c>
      <c r="L1300" s="4">
        <v>-168.74199999999999</v>
      </c>
      <c r="M1300" s="4">
        <v>-168.74199999999999</v>
      </c>
      <c r="N1300" s="4">
        <v>-168.74199999999999</v>
      </c>
      <c r="O1300" s="4">
        <v>-168.74199999999999</v>
      </c>
      <c r="P1300" s="4">
        <v>-53</v>
      </c>
      <c r="Q1300" s="3" t="s">
        <v>26</v>
      </c>
      <c r="R1300" s="3">
        <v>0</v>
      </c>
      <c r="S1300" s="4">
        <v>0</v>
      </c>
      <c r="T1300" s="4">
        <v>48</v>
      </c>
      <c r="U1300" s="4">
        <v>65</v>
      </c>
      <c r="V1300" s="4">
        <v>0</v>
      </c>
      <c r="W1300" s="4">
        <v>346.2</v>
      </c>
      <c r="X1300" s="4">
        <v>234.24</v>
      </c>
      <c r="Y1300" s="4"/>
      <c r="Z1300" s="4">
        <v>430.49583108604207</v>
      </c>
      <c r="AA1300" s="4">
        <v>247.48951138739608</v>
      </c>
      <c r="AB1300" s="4">
        <v>0</v>
      </c>
      <c r="AC1300" s="4">
        <v>-58418.480399999993</v>
      </c>
      <c r="AD1300" s="4">
        <v>-39526.126080000002</v>
      </c>
      <c r="AE1300" s="4">
        <v>0</v>
      </c>
      <c r="AF1300" s="4">
        <v>-72642.727529120908</v>
      </c>
      <c r="AG1300" s="4">
        <v>-41761.875130531989</v>
      </c>
    </row>
    <row r="1301" spans="1:33" ht="11.25" customHeight="1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 t="s">
        <v>24</v>
      </c>
      <c r="F1301" s="3" t="s">
        <v>25</v>
      </c>
      <c r="G1301" s="3" t="s">
        <v>25</v>
      </c>
      <c r="H1301" s="3" t="s">
        <v>25</v>
      </c>
      <c r="I1301" s="6">
        <v>44440</v>
      </c>
      <c r="J1301" s="4">
        <v>0</v>
      </c>
      <c r="K1301" s="4">
        <v>0</v>
      </c>
      <c r="L1301" s="4">
        <v>656.721</v>
      </c>
      <c r="M1301" s="4">
        <v>656.721</v>
      </c>
      <c r="N1301" s="4">
        <v>656.721</v>
      </c>
      <c r="O1301" s="4">
        <v>656.721</v>
      </c>
      <c r="P1301" s="4">
        <v>4221</v>
      </c>
      <c r="Q1301" s="3" t="s">
        <v>26</v>
      </c>
      <c r="R1301" s="3">
        <v>0</v>
      </c>
      <c r="S1301" s="4">
        <v>0</v>
      </c>
      <c r="T1301" s="4">
        <v>48</v>
      </c>
      <c r="U1301" s="4">
        <v>65</v>
      </c>
      <c r="V1301" s="4">
        <v>0</v>
      </c>
      <c r="W1301" s="4">
        <v>346.2</v>
      </c>
      <c r="X1301" s="4">
        <v>234.24</v>
      </c>
      <c r="Y1301" s="4"/>
      <c r="Z1301" s="4">
        <v>430.49583108604207</v>
      </c>
      <c r="AA1301" s="4">
        <v>247.48951138739608</v>
      </c>
      <c r="AB1301" s="4">
        <v>0</v>
      </c>
      <c r="AC1301" s="4">
        <v>227356.81020000001</v>
      </c>
      <c r="AD1301" s="4">
        <v>153830.32704</v>
      </c>
      <c r="AE1301" s="4">
        <v>0</v>
      </c>
      <c r="AF1301" s="4">
        <v>282715.65268665663</v>
      </c>
      <c r="AG1301" s="4">
        <v>162531.55940784214</v>
      </c>
    </row>
    <row r="1302" spans="1:33" ht="11.25" customHeight="1" x14ac:dyDescent="0.25">
      <c r="A1302" s="3" t="s">
        <v>28</v>
      </c>
      <c r="B1302" s="3" t="s">
        <v>22</v>
      </c>
      <c r="C1302" s="3" t="s">
        <v>23</v>
      </c>
      <c r="D1302" s="3" t="s">
        <v>24</v>
      </c>
      <c r="E1302" s="3" t="s">
        <v>24</v>
      </c>
      <c r="F1302" s="3" t="s">
        <v>25</v>
      </c>
      <c r="G1302" s="3" t="s">
        <v>25</v>
      </c>
      <c r="H1302" s="3" t="s">
        <v>25</v>
      </c>
      <c r="I1302" s="6">
        <v>44440</v>
      </c>
      <c r="J1302" s="4">
        <v>0</v>
      </c>
      <c r="K1302" s="4">
        <v>0</v>
      </c>
      <c r="L1302" s="4">
        <v>-10.647</v>
      </c>
      <c r="M1302" s="4">
        <v>-10.647</v>
      </c>
      <c r="N1302" s="4">
        <v>-10.647</v>
      </c>
      <c r="O1302" s="4">
        <v>-10.647</v>
      </c>
      <c r="P1302" s="4">
        <v>0</v>
      </c>
      <c r="Q1302" s="3" t="s">
        <v>26</v>
      </c>
      <c r="R1302" s="3">
        <v>0</v>
      </c>
      <c r="S1302" s="4">
        <v>0</v>
      </c>
      <c r="T1302" s="4">
        <v>48</v>
      </c>
      <c r="U1302" s="4">
        <v>65</v>
      </c>
      <c r="V1302" s="4">
        <v>0</v>
      </c>
      <c r="W1302" s="4">
        <v>346.2</v>
      </c>
      <c r="X1302" s="4">
        <v>234.24</v>
      </c>
      <c r="Y1302" s="4"/>
      <c r="Z1302" s="4">
        <v>430.49583108604207</v>
      </c>
      <c r="AA1302" s="4">
        <v>247.48951138739608</v>
      </c>
      <c r="AB1302" s="4">
        <v>0</v>
      </c>
      <c r="AC1302" s="4">
        <v>-3685.9913999999999</v>
      </c>
      <c r="AD1302" s="4">
        <v>-2493.9532800000002</v>
      </c>
      <c r="AE1302" s="4">
        <v>0</v>
      </c>
      <c r="AF1302" s="4">
        <v>-4583.4891135730904</v>
      </c>
      <c r="AG1302" s="4">
        <v>-2635.0208277416059</v>
      </c>
    </row>
    <row r="1303" spans="1:33" ht="11.25" customHeight="1" x14ac:dyDescent="0.25">
      <c r="A1303" s="3" t="s">
        <v>21</v>
      </c>
      <c r="B1303" s="3" t="s">
        <v>22</v>
      </c>
      <c r="C1303" s="3" t="s">
        <v>23</v>
      </c>
      <c r="D1303" s="3" t="s">
        <v>24</v>
      </c>
      <c r="E1303" s="3" t="s">
        <v>24</v>
      </c>
      <c r="F1303" s="3" t="s">
        <v>25</v>
      </c>
      <c r="G1303" s="3" t="s">
        <v>25</v>
      </c>
      <c r="H1303" s="3" t="s">
        <v>25</v>
      </c>
      <c r="I1303" s="6">
        <v>44470</v>
      </c>
      <c r="J1303" s="4">
        <v>0</v>
      </c>
      <c r="K1303" s="4">
        <v>0</v>
      </c>
      <c r="L1303" s="4">
        <v>70450.296000000002</v>
      </c>
      <c r="M1303" s="4">
        <v>70450.296000000002</v>
      </c>
      <c r="N1303" s="4">
        <v>70450.296000000002</v>
      </c>
      <c r="O1303" s="4">
        <v>70450.296000000002</v>
      </c>
      <c r="P1303" s="4">
        <v>506902</v>
      </c>
      <c r="Q1303" s="3" t="s">
        <v>26</v>
      </c>
      <c r="R1303" s="3">
        <v>0</v>
      </c>
      <c r="S1303" s="4">
        <v>0</v>
      </c>
      <c r="T1303" s="4">
        <v>48</v>
      </c>
      <c r="U1303" s="4">
        <v>65</v>
      </c>
      <c r="V1303" s="4">
        <v>0</v>
      </c>
      <c r="W1303" s="4">
        <v>346.2</v>
      </c>
      <c r="X1303" s="4">
        <v>234.24</v>
      </c>
      <c r="Y1303" s="4"/>
      <c r="Z1303" s="4">
        <v>430.49583108604207</v>
      </c>
      <c r="AA1303" s="4">
        <v>247.48951138739608</v>
      </c>
      <c r="AB1303" s="4">
        <v>0</v>
      </c>
      <c r="AC1303" s="4">
        <v>24389892.475200001</v>
      </c>
      <c r="AD1303" s="4">
        <v>16502277.335040001</v>
      </c>
      <c r="AE1303" s="4">
        <v>0</v>
      </c>
      <c r="AF1303" s="4">
        <v>30328558.726777665</v>
      </c>
      <c r="AG1303" s="4">
        <v>17435709.334137425</v>
      </c>
    </row>
    <row r="1304" spans="1:33" ht="11.25" customHeight="1" x14ac:dyDescent="0.25">
      <c r="A1304" s="3" t="s">
        <v>27</v>
      </c>
      <c r="B1304" s="3" t="s">
        <v>22</v>
      </c>
      <c r="C1304" s="3" t="s">
        <v>23</v>
      </c>
      <c r="D1304" s="3" t="s">
        <v>24</v>
      </c>
      <c r="E1304" s="3" t="s">
        <v>24</v>
      </c>
      <c r="F1304" s="3" t="s">
        <v>25</v>
      </c>
      <c r="G1304" s="3" t="s">
        <v>25</v>
      </c>
      <c r="H1304" s="3" t="s">
        <v>25</v>
      </c>
      <c r="I1304" s="6">
        <v>44470</v>
      </c>
      <c r="J1304" s="4">
        <v>0</v>
      </c>
      <c r="K1304" s="4">
        <v>0</v>
      </c>
      <c r="L1304" s="4">
        <v>-134.63999999999999</v>
      </c>
      <c r="M1304" s="4">
        <v>-134.63999999999999</v>
      </c>
      <c r="N1304" s="4">
        <v>-134.63999999999999</v>
      </c>
      <c r="O1304" s="4">
        <v>-134.63999999999999</v>
      </c>
      <c r="P1304" s="4">
        <v>-83</v>
      </c>
      <c r="Q1304" s="3" t="s">
        <v>26</v>
      </c>
      <c r="R1304" s="3">
        <v>0</v>
      </c>
      <c r="S1304" s="4">
        <v>0</v>
      </c>
      <c r="T1304" s="4">
        <v>48</v>
      </c>
      <c r="U1304" s="4">
        <v>65</v>
      </c>
      <c r="V1304" s="4">
        <v>0</v>
      </c>
      <c r="W1304" s="4">
        <v>346.2</v>
      </c>
      <c r="X1304" s="4">
        <v>234.24</v>
      </c>
      <c r="Y1304" s="4"/>
      <c r="Z1304" s="4">
        <v>430.49583108604207</v>
      </c>
      <c r="AA1304" s="4">
        <v>247.48951138739608</v>
      </c>
      <c r="AB1304" s="4">
        <v>0</v>
      </c>
      <c r="AC1304" s="4">
        <v>-46612.367999999995</v>
      </c>
      <c r="AD1304" s="4">
        <v>-31538.0736</v>
      </c>
      <c r="AE1304" s="4">
        <v>0</v>
      </c>
      <c r="AF1304" s="4">
        <v>-57961.958697424699</v>
      </c>
      <c r="AG1304" s="4">
        <v>-33321.987813199004</v>
      </c>
    </row>
    <row r="1305" spans="1:33" ht="11.25" customHeight="1" x14ac:dyDescent="0.25">
      <c r="A1305" s="3" t="s">
        <v>28</v>
      </c>
      <c r="B1305" s="3" t="s">
        <v>22</v>
      </c>
      <c r="C1305" s="3" t="s">
        <v>23</v>
      </c>
      <c r="D1305" s="3" t="s">
        <v>24</v>
      </c>
      <c r="E1305" s="3" t="s">
        <v>24</v>
      </c>
      <c r="F1305" s="3" t="s">
        <v>25</v>
      </c>
      <c r="G1305" s="3" t="s">
        <v>25</v>
      </c>
      <c r="H1305" s="3" t="s">
        <v>25</v>
      </c>
      <c r="I1305" s="6">
        <v>44470</v>
      </c>
      <c r="J1305" s="4">
        <v>0</v>
      </c>
      <c r="K1305" s="4">
        <v>0</v>
      </c>
      <c r="L1305" s="4">
        <v>711.72400000000005</v>
      </c>
      <c r="M1305" s="4">
        <v>711.72400000000005</v>
      </c>
      <c r="N1305" s="4">
        <v>711.72400000000005</v>
      </c>
      <c r="O1305" s="4">
        <v>711.72400000000005</v>
      </c>
      <c r="P1305" s="4">
        <v>4444</v>
      </c>
      <c r="Q1305" s="3" t="s">
        <v>26</v>
      </c>
      <c r="R1305" s="3">
        <v>0</v>
      </c>
      <c r="S1305" s="4">
        <v>0</v>
      </c>
      <c r="T1305" s="4">
        <v>48</v>
      </c>
      <c r="U1305" s="4">
        <v>65</v>
      </c>
      <c r="V1305" s="4">
        <v>0</v>
      </c>
      <c r="W1305" s="4">
        <v>346.2</v>
      </c>
      <c r="X1305" s="4">
        <v>234.24</v>
      </c>
      <c r="Y1305" s="4"/>
      <c r="Z1305" s="4">
        <v>430.49583108604207</v>
      </c>
      <c r="AA1305" s="4">
        <v>247.48951138739608</v>
      </c>
      <c r="AB1305" s="4">
        <v>0</v>
      </c>
      <c r="AC1305" s="4">
        <v>246398.84880000001</v>
      </c>
      <c r="AD1305" s="4">
        <v>166714.22976000002</v>
      </c>
      <c r="AE1305" s="4">
        <v>0</v>
      </c>
      <c r="AF1305" s="4">
        <v>306394.2148838822</v>
      </c>
      <c r="AG1305" s="4">
        <v>176144.22500268309</v>
      </c>
    </row>
    <row r="1306" spans="1:33" ht="11.25" customHeight="1" x14ac:dyDescent="0.25">
      <c r="A1306" s="3" t="s">
        <v>28</v>
      </c>
      <c r="B1306" s="3" t="s">
        <v>22</v>
      </c>
      <c r="C1306" s="3" t="s">
        <v>23</v>
      </c>
      <c r="D1306" s="3" t="s">
        <v>24</v>
      </c>
      <c r="E1306" s="3" t="s">
        <v>24</v>
      </c>
      <c r="F1306" s="3" t="s">
        <v>25</v>
      </c>
      <c r="G1306" s="3" t="s">
        <v>25</v>
      </c>
      <c r="H1306" s="3" t="s">
        <v>25</v>
      </c>
      <c r="I1306" s="6">
        <v>44470</v>
      </c>
      <c r="J1306" s="4">
        <v>0</v>
      </c>
      <c r="K1306" s="4">
        <v>0</v>
      </c>
      <c r="L1306" s="4">
        <v>-8.2000000000000003E-2</v>
      </c>
      <c r="M1306" s="4">
        <v>-8.2000000000000003E-2</v>
      </c>
      <c r="N1306" s="4">
        <v>-8.2000000000000003E-2</v>
      </c>
      <c r="O1306" s="4">
        <v>-8.2000000000000003E-2</v>
      </c>
      <c r="P1306" s="4">
        <v>0</v>
      </c>
      <c r="Q1306" s="3" t="s">
        <v>26</v>
      </c>
      <c r="R1306" s="3">
        <v>0</v>
      </c>
      <c r="S1306" s="4">
        <v>0</v>
      </c>
      <c r="T1306" s="4">
        <v>48</v>
      </c>
      <c r="U1306" s="4">
        <v>65</v>
      </c>
      <c r="V1306" s="4">
        <v>0</v>
      </c>
      <c r="W1306" s="4">
        <v>346.2</v>
      </c>
      <c r="X1306" s="4">
        <v>234.24</v>
      </c>
      <c r="Y1306" s="4"/>
      <c r="Z1306" s="4">
        <v>430.49583108604207</v>
      </c>
      <c r="AA1306" s="4">
        <v>247.48951138739608</v>
      </c>
      <c r="AB1306" s="4">
        <v>0</v>
      </c>
      <c r="AC1306" s="4">
        <v>-28.388400000000001</v>
      </c>
      <c r="AD1306" s="4">
        <v>-19.20768</v>
      </c>
      <c r="AE1306" s="4">
        <v>0</v>
      </c>
      <c r="AF1306" s="4">
        <v>-35.300658149055451</v>
      </c>
      <c r="AG1306" s="4">
        <v>-20.294139933766481</v>
      </c>
    </row>
    <row r="1307" spans="1:33" ht="11.25" customHeight="1" x14ac:dyDescent="0.25">
      <c r="A1307" s="3" t="s">
        <v>21</v>
      </c>
      <c r="B1307" s="3" t="s">
        <v>22</v>
      </c>
      <c r="C1307" s="3" t="s">
        <v>23</v>
      </c>
      <c r="D1307" s="3" t="s">
        <v>24</v>
      </c>
      <c r="E1307" s="3" t="s">
        <v>24</v>
      </c>
      <c r="F1307" s="3" t="s">
        <v>25</v>
      </c>
      <c r="G1307" s="3" t="s">
        <v>25</v>
      </c>
      <c r="H1307" s="3" t="s">
        <v>25</v>
      </c>
      <c r="I1307" s="6">
        <v>44501</v>
      </c>
      <c r="J1307" s="4">
        <v>0</v>
      </c>
      <c r="K1307" s="4">
        <v>0</v>
      </c>
      <c r="L1307" s="4">
        <v>71859.870999999999</v>
      </c>
      <c r="M1307" s="4">
        <v>71859.870999999999</v>
      </c>
      <c r="N1307" s="4">
        <v>71859.870999999999</v>
      </c>
      <c r="O1307" s="4">
        <v>71859.870999999999</v>
      </c>
      <c r="P1307" s="4">
        <v>506049</v>
      </c>
      <c r="Q1307" s="3" t="s">
        <v>26</v>
      </c>
      <c r="R1307" s="3">
        <v>0</v>
      </c>
      <c r="S1307" s="4">
        <v>0</v>
      </c>
      <c r="T1307" s="4">
        <v>48</v>
      </c>
      <c r="U1307" s="4">
        <v>65</v>
      </c>
      <c r="V1307" s="4">
        <v>0</v>
      </c>
      <c r="W1307" s="4">
        <v>346.2</v>
      </c>
      <c r="X1307" s="4">
        <v>234.24</v>
      </c>
      <c r="Y1307" s="4"/>
      <c r="Z1307" s="4">
        <v>430.49583108604207</v>
      </c>
      <c r="AA1307" s="4">
        <v>247.48951138739608</v>
      </c>
      <c r="AB1307" s="4">
        <v>0</v>
      </c>
      <c r="AC1307" s="4">
        <v>24877887.3402</v>
      </c>
      <c r="AD1307" s="4">
        <v>16832456.18304</v>
      </c>
      <c r="AE1307" s="4">
        <v>0</v>
      </c>
      <c r="AF1307" s="4">
        <v>30935374.887880772</v>
      </c>
      <c r="AG1307" s="4">
        <v>17784564.362151314</v>
      </c>
    </row>
    <row r="1308" spans="1:33" ht="11.25" customHeight="1" x14ac:dyDescent="0.25">
      <c r="A1308" s="3" t="s">
        <v>27</v>
      </c>
      <c r="B1308" s="3" t="s">
        <v>22</v>
      </c>
      <c r="C1308" s="3" t="s">
        <v>23</v>
      </c>
      <c r="D1308" s="3" t="s">
        <v>24</v>
      </c>
      <c r="E1308" s="3" t="s">
        <v>24</v>
      </c>
      <c r="F1308" s="3" t="s">
        <v>25</v>
      </c>
      <c r="G1308" s="3" t="s">
        <v>25</v>
      </c>
      <c r="H1308" s="3" t="s">
        <v>25</v>
      </c>
      <c r="I1308" s="6">
        <v>44501</v>
      </c>
      <c r="J1308" s="4">
        <v>0</v>
      </c>
      <c r="K1308" s="4">
        <v>0</v>
      </c>
      <c r="L1308" s="4">
        <v>-181.607</v>
      </c>
      <c r="M1308" s="4">
        <v>-181.607</v>
      </c>
      <c r="N1308" s="4">
        <v>-181.607</v>
      </c>
      <c r="O1308" s="4">
        <v>-181.607</v>
      </c>
      <c r="P1308" s="4">
        <v>-78</v>
      </c>
      <c r="Q1308" s="3" t="s">
        <v>26</v>
      </c>
      <c r="R1308" s="3">
        <v>0</v>
      </c>
      <c r="S1308" s="4">
        <v>0</v>
      </c>
      <c r="T1308" s="4">
        <v>48</v>
      </c>
      <c r="U1308" s="4">
        <v>65</v>
      </c>
      <c r="V1308" s="4">
        <v>0</v>
      </c>
      <c r="W1308" s="4">
        <v>346.2</v>
      </c>
      <c r="X1308" s="4">
        <v>234.24</v>
      </c>
      <c r="Y1308" s="4"/>
      <c r="Z1308" s="4">
        <v>430.49583108604207</v>
      </c>
      <c r="AA1308" s="4">
        <v>247.48951138739608</v>
      </c>
      <c r="AB1308" s="4">
        <v>0</v>
      </c>
      <c r="AC1308" s="4">
        <v>-62872.343399999998</v>
      </c>
      <c r="AD1308" s="4">
        <v>-42539.623680000004</v>
      </c>
      <c r="AE1308" s="4">
        <v>0</v>
      </c>
      <c r="AF1308" s="4">
        <v>-78181.056396042841</v>
      </c>
      <c r="AG1308" s="4">
        <v>-44945.827694530839</v>
      </c>
    </row>
    <row r="1309" spans="1:33" ht="11.25" customHeight="1" x14ac:dyDescent="0.25">
      <c r="A1309" s="3" t="s">
        <v>28</v>
      </c>
      <c r="B1309" s="3" t="s">
        <v>22</v>
      </c>
      <c r="C1309" s="3" t="s">
        <v>23</v>
      </c>
      <c r="D1309" s="3" t="s">
        <v>24</v>
      </c>
      <c r="E1309" s="3" t="s">
        <v>24</v>
      </c>
      <c r="F1309" s="3" t="s">
        <v>25</v>
      </c>
      <c r="G1309" s="3" t="s">
        <v>25</v>
      </c>
      <c r="H1309" s="3" t="s">
        <v>25</v>
      </c>
      <c r="I1309" s="6">
        <v>44501</v>
      </c>
      <c r="J1309" s="4">
        <v>0</v>
      </c>
      <c r="K1309" s="4">
        <v>0</v>
      </c>
      <c r="L1309" s="4">
        <v>763.39599999999996</v>
      </c>
      <c r="M1309" s="4">
        <v>763.39599999999996</v>
      </c>
      <c r="N1309" s="4">
        <v>763.39599999999996</v>
      </c>
      <c r="O1309" s="4">
        <v>763.39599999999996</v>
      </c>
      <c r="P1309" s="4">
        <v>4602</v>
      </c>
      <c r="Q1309" s="3" t="s">
        <v>26</v>
      </c>
      <c r="R1309" s="3">
        <v>0</v>
      </c>
      <c r="S1309" s="4">
        <v>0</v>
      </c>
      <c r="T1309" s="4">
        <v>48</v>
      </c>
      <c r="U1309" s="4">
        <v>65</v>
      </c>
      <c r="V1309" s="4">
        <v>0</v>
      </c>
      <c r="W1309" s="4">
        <v>346.2</v>
      </c>
      <c r="X1309" s="4">
        <v>234.24</v>
      </c>
      <c r="Y1309" s="4"/>
      <c r="Z1309" s="4">
        <v>430.49583108604207</v>
      </c>
      <c r="AA1309" s="4">
        <v>247.48951138739608</v>
      </c>
      <c r="AB1309" s="4">
        <v>0</v>
      </c>
      <c r="AC1309" s="4">
        <v>264287.69519999996</v>
      </c>
      <c r="AD1309" s="4">
        <v>178817.87904</v>
      </c>
      <c r="AE1309" s="4">
        <v>0</v>
      </c>
      <c r="AF1309" s="4">
        <v>328638.79546776018</v>
      </c>
      <c r="AG1309" s="4">
        <v>188932.50303509261</v>
      </c>
    </row>
    <row r="1310" spans="1:33" ht="11.25" customHeight="1" x14ac:dyDescent="0.25">
      <c r="A1310" s="3" t="s">
        <v>28</v>
      </c>
      <c r="B1310" s="3" t="s">
        <v>22</v>
      </c>
      <c r="C1310" s="3" t="s">
        <v>23</v>
      </c>
      <c r="D1310" s="3" t="s">
        <v>24</v>
      </c>
      <c r="E1310" s="3" t="s">
        <v>24</v>
      </c>
      <c r="F1310" s="3" t="s">
        <v>25</v>
      </c>
      <c r="G1310" s="3" t="s">
        <v>25</v>
      </c>
      <c r="H1310" s="3" t="s">
        <v>25</v>
      </c>
      <c r="I1310" s="6">
        <v>44501</v>
      </c>
      <c r="J1310" s="4">
        <v>0</v>
      </c>
      <c r="K1310" s="4">
        <v>0</v>
      </c>
      <c r="L1310" s="4">
        <v>-2.137</v>
      </c>
      <c r="M1310" s="4">
        <v>-2.137</v>
      </c>
      <c r="N1310" s="4">
        <v>-2.137</v>
      </c>
      <c r="O1310" s="4">
        <v>-2.137</v>
      </c>
      <c r="P1310" s="4">
        <v>0</v>
      </c>
      <c r="Q1310" s="3" t="s">
        <v>26</v>
      </c>
      <c r="R1310" s="3">
        <v>0</v>
      </c>
      <c r="S1310" s="4">
        <v>0</v>
      </c>
      <c r="T1310" s="4">
        <v>48</v>
      </c>
      <c r="U1310" s="4">
        <v>65</v>
      </c>
      <c r="V1310" s="4">
        <v>0</v>
      </c>
      <c r="W1310" s="4">
        <v>346.2</v>
      </c>
      <c r="X1310" s="4">
        <v>234.24</v>
      </c>
      <c r="Y1310" s="4"/>
      <c r="Z1310" s="4">
        <v>430.49583108604207</v>
      </c>
      <c r="AA1310" s="4">
        <v>247.48951138739608</v>
      </c>
      <c r="AB1310" s="4">
        <v>0</v>
      </c>
      <c r="AC1310" s="4">
        <v>-739.82939999999996</v>
      </c>
      <c r="AD1310" s="4">
        <v>-500.57088000000005</v>
      </c>
      <c r="AE1310" s="4">
        <v>0</v>
      </c>
      <c r="AF1310" s="4">
        <v>-919.96959103087192</v>
      </c>
      <c r="AG1310" s="4">
        <v>-528.88508583486544</v>
      </c>
    </row>
    <row r="1311" spans="1:33" ht="11.25" customHeight="1" x14ac:dyDescent="0.25">
      <c r="A1311" s="3" t="s">
        <v>21</v>
      </c>
      <c r="B1311" s="3" t="s">
        <v>22</v>
      </c>
      <c r="C1311" s="3" t="s">
        <v>23</v>
      </c>
      <c r="D1311" s="3" t="s">
        <v>24</v>
      </c>
      <c r="E1311" s="3" t="s">
        <v>24</v>
      </c>
      <c r="F1311" s="3" t="s">
        <v>25</v>
      </c>
      <c r="G1311" s="3" t="s">
        <v>25</v>
      </c>
      <c r="H1311" s="3" t="s">
        <v>25</v>
      </c>
      <c r="I1311" s="6">
        <v>44531</v>
      </c>
      <c r="J1311" s="4">
        <v>0</v>
      </c>
      <c r="K1311" s="4">
        <v>0</v>
      </c>
      <c r="L1311" s="4">
        <v>84990.285000000003</v>
      </c>
      <c r="M1311" s="4">
        <v>84990.285000000003</v>
      </c>
      <c r="N1311" s="4">
        <v>84990.285000000003</v>
      </c>
      <c r="O1311" s="4">
        <v>84990.285000000003</v>
      </c>
      <c r="P1311" s="4">
        <v>510702</v>
      </c>
      <c r="Q1311" s="3" t="s">
        <v>26</v>
      </c>
      <c r="R1311" s="3">
        <v>0</v>
      </c>
      <c r="S1311" s="4">
        <v>0</v>
      </c>
      <c r="T1311" s="4">
        <v>48</v>
      </c>
      <c r="U1311" s="4">
        <v>65</v>
      </c>
      <c r="V1311" s="4">
        <v>0</v>
      </c>
      <c r="W1311" s="4">
        <v>346.2</v>
      </c>
      <c r="X1311" s="4">
        <v>234.24</v>
      </c>
      <c r="Y1311" s="4"/>
      <c r="Z1311" s="4">
        <v>430.49583108604207</v>
      </c>
      <c r="AA1311" s="4">
        <v>247.48951138739608</v>
      </c>
      <c r="AB1311" s="4">
        <v>0</v>
      </c>
      <c r="AC1311" s="4">
        <v>29423636.666999999</v>
      </c>
      <c r="AD1311" s="4">
        <v>19908124.358400002</v>
      </c>
      <c r="AE1311" s="4">
        <v>0</v>
      </c>
      <c r="AF1311" s="4">
        <v>36587963.375314578</v>
      </c>
      <c r="AG1311" s="4">
        <v>21034204.107325539</v>
      </c>
    </row>
    <row r="1312" spans="1:33" ht="11.25" customHeight="1" x14ac:dyDescent="0.25">
      <c r="A1312" s="3" t="s">
        <v>27</v>
      </c>
      <c r="B1312" s="3" t="s">
        <v>22</v>
      </c>
      <c r="C1312" s="3" t="s">
        <v>23</v>
      </c>
      <c r="D1312" s="3" t="s">
        <v>24</v>
      </c>
      <c r="E1312" s="3" t="s">
        <v>24</v>
      </c>
      <c r="F1312" s="3" t="s">
        <v>25</v>
      </c>
      <c r="G1312" s="3" t="s">
        <v>25</v>
      </c>
      <c r="H1312" s="3" t="s">
        <v>25</v>
      </c>
      <c r="I1312" s="6">
        <v>44531</v>
      </c>
      <c r="J1312" s="4">
        <v>0</v>
      </c>
      <c r="K1312" s="4">
        <v>0</v>
      </c>
      <c r="L1312" s="4">
        <v>-6370.0129999999999</v>
      </c>
      <c r="M1312" s="4">
        <v>-6370.0129999999999</v>
      </c>
      <c r="N1312" s="4">
        <v>-6370.0129999999999</v>
      </c>
      <c r="O1312" s="4">
        <v>-6370.0129999999999</v>
      </c>
      <c r="P1312" s="4">
        <v>-2618</v>
      </c>
      <c r="Q1312" s="3" t="s">
        <v>26</v>
      </c>
      <c r="R1312" s="3">
        <v>0</v>
      </c>
      <c r="S1312" s="4">
        <v>0</v>
      </c>
      <c r="T1312" s="4">
        <v>48</v>
      </c>
      <c r="U1312" s="4">
        <v>65</v>
      </c>
      <c r="V1312" s="4">
        <v>0</v>
      </c>
      <c r="W1312" s="4">
        <v>346.2</v>
      </c>
      <c r="X1312" s="4">
        <v>234.24</v>
      </c>
      <c r="Y1312" s="4"/>
      <c r="Z1312" s="4">
        <v>430.49583108604207</v>
      </c>
      <c r="AA1312" s="4">
        <v>247.48951138739608</v>
      </c>
      <c r="AB1312" s="4">
        <v>0</v>
      </c>
      <c r="AC1312" s="4">
        <v>-2205298.5005999999</v>
      </c>
      <c r="AD1312" s="4">
        <v>-1492111.84512</v>
      </c>
      <c r="AE1312" s="4">
        <v>0</v>
      </c>
      <c r="AF1312" s="4">
        <v>-2742264.0404638923</v>
      </c>
      <c r="AG1312" s="4">
        <v>-1576511.4049013611</v>
      </c>
    </row>
    <row r="1313" spans="1:33" ht="11.25" customHeight="1" x14ac:dyDescent="0.25">
      <c r="A1313" s="3" t="s">
        <v>28</v>
      </c>
      <c r="B1313" s="3" t="s">
        <v>22</v>
      </c>
      <c r="C1313" s="3" t="s">
        <v>23</v>
      </c>
      <c r="D1313" s="3" t="s">
        <v>24</v>
      </c>
      <c r="E1313" s="3" t="s">
        <v>24</v>
      </c>
      <c r="F1313" s="3" t="s">
        <v>25</v>
      </c>
      <c r="G1313" s="3" t="s">
        <v>25</v>
      </c>
      <c r="H1313" s="3" t="s">
        <v>25</v>
      </c>
      <c r="I1313" s="6">
        <v>44531</v>
      </c>
      <c r="J1313" s="4">
        <v>0</v>
      </c>
      <c r="K1313" s="4">
        <v>0</v>
      </c>
      <c r="L1313" s="4">
        <v>910.65499999999997</v>
      </c>
      <c r="M1313" s="4">
        <v>910.65499999999997</v>
      </c>
      <c r="N1313" s="4">
        <v>910.65499999999997</v>
      </c>
      <c r="O1313" s="4">
        <v>910.65499999999997</v>
      </c>
      <c r="P1313" s="4">
        <v>4900</v>
      </c>
      <c r="Q1313" s="3" t="s">
        <v>26</v>
      </c>
      <c r="R1313" s="3">
        <v>0</v>
      </c>
      <c r="S1313" s="4">
        <v>0</v>
      </c>
      <c r="T1313" s="4">
        <v>48</v>
      </c>
      <c r="U1313" s="4">
        <v>65</v>
      </c>
      <c r="V1313" s="4">
        <v>0</v>
      </c>
      <c r="W1313" s="4">
        <v>346.2</v>
      </c>
      <c r="X1313" s="4">
        <v>234.24</v>
      </c>
      <c r="Y1313" s="4"/>
      <c r="Z1313" s="4">
        <v>430.49583108604207</v>
      </c>
      <c r="AA1313" s="4">
        <v>247.48951138739608</v>
      </c>
      <c r="AB1313" s="4">
        <v>0</v>
      </c>
      <c r="AC1313" s="4">
        <v>315268.761</v>
      </c>
      <c r="AD1313" s="4">
        <v>213311.8272</v>
      </c>
      <c r="AE1313" s="4">
        <v>0</v>
      </c>
      <c r="AF1313" s="4">
        <v>392033.18105765962</v>
      </c>
      <c r="AG1313" s="4">
        <v>225377.56099248916</v>
      </c>
    </row>
    <row r="1314" spans="1:33" ht="11.25" customHeight="1" x14ac:dyDescent="0.25">
      <c r="A1314" s="3" t="s">
        <v>28</v>
      </c>
      <c r="B1314" s="3" t="s">
        <v>22</v>
      </c>
      <c r="C1314" s="3" t="s">
        <v>23</v>
      </c>
      <c r="D1314" s="3" t="s">
        <v>24</v>
      </c>
      <c r="E1314" s="3" t="s">
        <v>24</v>
      </c>
      <c r="F1314" s="3" t="s">
        <v>25</v>
      </c>
      <c r="G1314" s="3" t="s">
        <v>25</v>
      </c>
      <c r="H1314" s="3" t="s">
        <v>25</v>
      </c>
      <c r="I1314" s="6">
        <v>44531</v>
      </c>
      <c r="J1314" s="4">
        <v>0</v>
      </c>
      <c r="K1314" s="4">
        <v>0</v>
      </c>
      <c r="L1314" s="4">
        <v>-0.92400000000000004</v>
      </c>
      <c r="M1314" s="4">
        <v>-0.92400000000000004</v>
      </c>
      <c r="N1314" s="4">
        <v>-0.92400000000000004</v>
      </c>
      <c r="O1314" s="4">
        <v>-0.92400000000000004</v>
      </c>
      <c r="P1314" s="4">
        <v>0</v>
      </c>
      <c r="Q1314" s="3" t="s">
        <v>26</v>
      </c>
      <c r="R1314" s="3">
        <v>0</v>
      </c>
      <c r="S1314" s="4">
        <v>0</v>
      </c>
      <c r="T1314" s="4">
        <v>48</v>
      </c>
      <c r="U1314" s="4">
        <v>65</v>
      </c>
      <c r="V1314" s="4">
        <v>0</v>
      </c>
      <c r="W1314" s="4">
        <v>346.2</v>
      </c>
      <c r="X1314" s="4">
        <v>234.24</v>
      </c>
      <c r="Y1314" s="4"/>
      <c r="Z1314" s="4">
        <v>430.49583108604207</v>
      </c>
      <c r="AA1314" s="4">
        <v>247.48951138739608</v>
      </c>
      <c r="AB1314" s="4">
        <v>0</v>
      </c>
      <c r="AC1314" s="4">
        <v>-319.8888</v>
      </c>
      <c r="AD1314" s="4">
        <v>-216.43776000000003</v>
      </c>
      <c r="AE1314" s="4">
        <v>0</v>
      </c>
      <c r="AF1314" s="4">
        <v>-397.7781479235029</v>
      </c>
      <c r="AG1314" s="4">
        <v>-228.68030852195398</v>
      </c>
    </row>
    <row r="1315" spans="1:33" ht="11.25" customHeight="1" x14ac:dyDescent="0.25">
      <c r="A1315" s="3" t="s">
        <v>21</v>
      </c>
      <c r="B1315" s="3" t="s">
        <v>22</v>
      </c>
      <c r="C1315" s="3" t="s">
        <v>23</v>
      </c>
      <c r="D1315" s="3" t="s">
        <v>24</v>
      </c>
      <c r="E1315" s="3" t="s">
        <v>24</v>
      </c>
      <c r="F1315" s="3" t="s">
        <v>25</v>
      </c>
      <c r="G1315" s="3" t="s">
        <v>25</v>
      </c>
      <c r="H1315" s="3" t="s">
        <v>25</v>
      </c>
      <c r="I1315" s="6">
        <v>44562</v>
      </c>
      <c r="J1315" s="4">
        <v>0</v>
      </c>
      <c r="K1315" s="4">
        <v>0</v>
      </c>
      <c r="L1315" s="4">
        <v>77405.504000000001</v>
      </c>
      <c r="M1315" s="4">
        <v>77405.504000000001</v>
      </c>
      <c r="N1315" s="4">
        <v>77405.504000000001</v>
      </c>
      <c r="O1315" s="4">
        <v>77405.504000000001</v>
      </c>
      <c r="P1315" s="4">
        <v>506602</v>
      </c>
      <c r="Q1315" s="3" t="s">
        <v>26</v>
      </c>
      <c r="R1315" s="3">
        <v>0</v>
      </c>
      <c r="S1315" s="4">
        <v>0</v>
      </c>
      <c r="T1315" s="4">
        <v>48</v>
      </c>
      <c r="U1315" s="4">
        <v>65</v>
      </c>
      <c r="V1315" s="4">
        <v>0</v>
      </c>
      <c r="W1315" s="4">
        <v>346.2</v>
      </c>
      <c r="X1315" s="4">
        <v>234.24</v>
      </c>
      <c r="Y1315" s="4"/>
      <c r="Z1315" s="4">
        <v>430.49583108604207</v>
      </c>
      <c r="AA1315" s="4">
        <v>247.48951138739608</v>
      </c>
      <c r="AB1315" s="4">
        <v>0</v>
      </c>
      <c r="AC1315" s="4">
        <v>26797785.4848</v>
      </c>
      <c r="AD1315" s="4">
        <v>18131465.256960001</v>
      </c>
      <c r="AE1315" s="4">
        <v>0</v>
      </c>
      <c r="AF1315" s="4">
        <v>33322746.775113955</v>
      </c>
      <c r="AG1315" s="4">
        <v>19157050.363655131</v>
      </c>
    </row>
    <row r="1316" spans="1:33" ht="11.25" customHeight="1" x14ac:dyDescent="0.25">
      <c r="A1316" s="3" t="s">
        <v>27</v>
      </c>
      <c r="B1316" s="3" t="s">
        <v>22</v>
      </c>
      <c r="C1316" s="3" t="s">
        <v>23</v>
      </c>
      <c r="D1316" s="3" t="s">
        <v>24</v>
      </c>
      <c r="E1316" s="3" t="s">
        <v>24</v>
      </c>
      <c r="F1316" s="3" t="s">
        <v>25</v>
      </c>
      <c r="G1316" s="3" t="s">
        <v>25</v>
      </c>
      <c r="H1316" s="3" t="s">
        <v>25</v>
      </c>
      <c r="I1316" s="6">
        <v>44562</v>
      </c>
      <c r="J1316" s="4">
        <v>0</v>
      </c>
      <c r="K1316" s="4">
        <v>0</v>
      </c>
      <c r="L1316" s="4">
        <v>-138.76300000000001</v>
      </c>
      <c r="M1316" s="4">
        <v>-138.76300000000001</v>
      </c>
      <c r="N1316" s="4">
        <v>-138.76300000000001</v>
      </c>
      <c r="O1316" s="4">
        <v>-138.76300000000001</v>
      </c>
      <c r="P1316" s="4">
        <v>-36</v>
      </c>
      <c r="Q1316" s="3" t="s">
        <v>26</v>
      </c>
      <c r="R1316" s="3">
        <v>0</v>
      </c>
      <c r="S1316" s="4">
        <v>0</v>
      </c>
      <c r="T1316" s="4">
        <v>48</v>
      </c>
      <c r="U1316" s="4">
        <v>65</v>
      </c>
      <c r="V1316" s="4">
        <v>0</v>
      </c>
      <c r="W1316" s="4">
        <v>346.2</v>
      </c>
      <c r="X1316" s="4">
        <v>234.24</v>
      </c>
      <c r="Y1316" s="4"/>
      <c r="Z1316" s="4">
        <v>430.49583108604207</v>
      </c>
      <c r="AA1316" s="4">
        <v>247.48951138739608</v>
      </c>
      <c r="AB1316" s="4">
        <v>0</v>
      </c>
      <c r="AC1316" s="4">
        <v>-48039.750599999999</v>
      </c>
      <c r="AD1316" s="4">
        <v>-32503.845120000002</v>
      </c>
      <c r="AE1316" s="4">
        <v>0</v>
      </c>
      <c r="AF1316" s="4">
        <v>-59736.893008992462</v>
      </c>
      <c r="AG1316" s="4">
        <v>-34342.387068649245</v>
      </c>
    </row>
    <row r="1317" spans="1:33" ht="11.25" customHeight="1" x14ac:dyDescent="0.25">
      <c r="A1317" s="3" t="s">
        <v>28</v>
      </c>
      <c r="B1317" s="3" t="s">
        <v>22</v>
      </c>
      <c r="C1317" s="3" t="s">
        <v>23</v>
      </c>
      <c r="D1317" s="3" t="s">
        <v>24</v>
      </c>
      <c r="E1317" s="3" t="s">
        <v>24</v>
      </c>
      <c r="F1317" s="3" t="s">
        <v>25</v>
      </c>
      <c r="G1317" s="3" t="s">
        <v>25</v>
      </c>
      <c r="H1317" s="3" t="s">
        <v>25</v>
      </c>
      <c r="I1317" s="6">
        <v>44562</v>
      </c>
      <c r="J1317" s="4">
        <v>0</v>
      </c>
      <c r="K1317" s="4">
        <v>0</v>
      </c>
      <c r="L1317" s="4">
        <v>1001.061</v>
      </c>
      <c r="M1317" s="4">
        <v>1001.061</v>
      </c>
      <c r="N1317" s="4">
        <v>1001.061</v>
      </c>
      <c r="O1317" s="4">
        <v>1001.061</v>
      </c>
      <c r="P1317" s="4">
        <v>5168</v>
      </c>
      <c r="Q1317" s="3" t="s">
        <v>26</v>
      </c>
      <c r="R1317" s="3">
        <v>0</v>
      </c>
      <c r="S1317" s="4">
        <v>0</v>
      </c>
      <c r="T1317" s="4">
        <v>48</v>
      </c>
      <c r="U1317" s="4">
        <v>65</v>
      </c>
      <c r="V1317" s="4">
        <v>0</v>
      </c>
      <c r="W1317" s="4">
        <v>346.2</v>
      </c>
      <c r="X1317" s="4">
        <v>234.24</v>
      </c>
      <c r="Y1317" s="4"/>
      <c r="Z1317" s="4">
        <v>430.49583108604207</v>
      </c>
      <c r="AA1317" s="4">
        <v>247.48951138739608</v>
      </c>
      <c r="AB1317" s="4">
        <v>0</v>
      </c>
      <c r="AC1317" s="4">
        <v>346567.31819999998</v>
      </c>
      <c r="AD1317" s="4">
        <v>234488.52864</v>
      </c>
      <c r="AE1317" s="4">
        <v>0</v>
      </c>
      <c r="AF1317" s="4">
        <v>430952.58716282441</v>
      </c>
      <c r="AG1317" s="4">
        <v>247752.09775897811</v>
      </c>
    </row>
    <row r="1318" spans="1:33" ht="11.25" customHeight="1" x14ac:dyDescent="0.25">
      <c r="A1318" s="3" t="s">
        <v>28</v>
      </c>
      <c r="B1318" s="3" t="s">
        <v>22</v>
      </c>
      <c r="C1318" s="3" t="s">
        <v>23</v>
      </c>
      <c r="D1318" s="3" t="s">
        <v>24</v>
      </c>
      <c r="E1318" s="3" t="s">
        <v>24</v>
      </c>
      <c r="F1318" s="3" t="s">
        <v>25</v>
      </c>
      <c r="G1318" s="3" t="s">
        <v>25</v>
      </c>
      <c r="H1318" s="3" t="s">
        <v>25</v>
      </c>
      <c r="I1318" s="6">
        <v>44562</v>
      </c>
      <c r="J1318" s="4">
        <v>0</v>
      </c>
      <c r="K1318" s="4">
        <v>0</v>
      </c>
      <c r="L1318" s="4">
        <v>-2.3050000000000002</v>
      </c>
      <c r="M1318" s="4">
        <v>-2.3050000000000002</v>
      </c>
      <c r="N1318" s="4">
        <v>-2.3050000000000002</v>
      </c>
      <c r="O1318" s="4">
        <v>-2.3050000000000002</v>
      </c>
      <c r="P1318" s="4">
        <v>0</v>
      </c>
      <c r="Q1318" s="3" t="s">
        <v>26</v>
      </c>
      <c r="R1318" s="3">
        <v>0</v>
      </c>
      <c r="S1318" s="4">
        <v>0</v>
      </c>
      <c r="T1318" s="4">
        <v>48</v>
      </c>
      <c r="U1318" s="4">
        <v>65</v>
      </c>
      <c r="V1318" s="4">
        <v>0</v>
      </c>
      <c r="W1318" s="4">
        <v>346.2</v>
      </c>
      <c r="X1318" s="4">
        <v>234.24</v>
      </c>
      <c r="Y1318" s="4"/>
      <c r="Z1318" s="4">
        <v>430.49583108604207</v>
      </c>
      <c r="AA1318" s="4">
        <v>247.48951138739608</v>
      </c>
      <c r="AB1318" s="4">
        <v>0</v>
      </c>
      <c r="AC1318" s="4">
        <v>-797.99099999999999</v>
      </c>
      <c r="AD1318" s="4">
        <v>-539.92320000000007</v>
      </c>
      <c r="AE1318" s="4">
        <v>0</v>
      </c>
      <c r="AF1318" s="4">
        <v>-992.29289065332705</v>
      </c>
      <c r="AG1318" s="4">
        <v>-570.46332374794804</v>
      </c>
    </row>
    <row r="1319" spans="1:33" ht="11.25" customHeight="1" x14ac:dyDescent="0.25">
      <c r="A1319" s="3" t="s">
        <v>21</v>
      </c>
      <c r="B1319" s="3" t="s">
        <v>22</v>
      </c>
      <c r="C1319" s="3" t="s">
        <v>23</v>
      </c>
      <c r="D1319" s="3" t="s">
        <v>24</v>
      </c>
      <c r="E1319" s="3" t="s">
        <v>24</v>
      </c>
      <c r="F1319" s="3" t="s">
        <v>25</v>
      </c>
      <c r="G1319" s="3" t="s">
        <v>25</v>
      </c>
      <c r="H1319" s="3" t="s">
        <v>25</v>
      </c>
      <c r="I1319" s="6">
        <v>44593</v>
      </c>
      <c r="J1319" s="4">
        <v>0</v>
      </c>
      <c r="K1319" s="4">
        <v>0</v>
      </c>
      <c r="L1319" s="4">
        <v>78459.588000000003</v>
      </c>
      <c r="M1319" s="4">
        <v>78459.588000000003</v>
      </c>
      <c r="N1319" s="4">
        <v>78459.588000000003</v>
      </c>
      <c r="O1319" s="4">
        <v>78459.588000000003</v>
      </c>
      <c r="P1319" s="4">
        <v>500160</v>
      </c>
      <c r="Q1319" s="3" t="s">
        <v>26</v>
      </c>
      <c r="R1319" s="3">
        <v>0</v>
      </c>
      <c r="S1319" s="4">
        <v>0</v>
      </c>
      <c r="T1319" s="4">
        <v>48</v>
      </c>
      <c r="U1319" s="4">
        <v>65</v>
      </c>
      <c r="V1319" s="4">
        <v>0</v>
      </c>
      <c r="W1319" s="4">
        <v>346.2</v>
      </c>
      <c r="X1319" s="4">
        <v>234.24</v>
      </c>
      <c r="Y1319" s="4"/>
      <c r="Z1319" s="4">
        <v>430.49583108604207</v>
      </c>
      <c r="AA1319" s="4">
        <v>247.48951138739608</v>
      </c>
      <c r="AB1319" s="4">
        <v>0</v>
      </c>
      <c r="AC1319" s="4">
        <v>27162709.365600001</v>
      </c>
      <c r="AD1319" s="4">
        <v>18378373.893120002</v>
      </c>
      <c r="AE1319" s="4">
        <v>0</v>
      </c>
      <c r="AF1319" s="4">
        <v>33776525.542728454</v>
      </c>
      <c r="AG1319" s="4">
        <v>19417925.097776406</v>
      </c>
    </row>
    <row r="1320" spans="1:33" ht="11.25" customHeight="1" x14ac:dyDescent="0.25">
      <c r="A1320" s="3" t="s">
        <v>27</v>
      </c>
      <c r="B1320" s="3" t="s">
        <v>22</v>
      </c>
      <c r="C1320" s="3" t="s">
        <v>23</v>
      </c>
      <c r="D1320" s="3" t="s">
        <v>24</v>
      </c>
      <c r="E1320" s="3" t="s">
        <v>24</v>
      </c>
      <c r="F1320" s="3" t="s">
        <v>25</v>
      </c>
      <c r="G1320" s="3" t="s">
        <v>25</v>
      </c>
      <c r="H1320" s="3" t="s">
        <v>25</v>
      </c>
      <c r="I1320" s="6">
        <v>44593</v>
      </c>
      <c r="J1320" s="4">
        <v>0</v>
      </c>
      <c r="K1320" s="4">
        <v>0</v>
      </c>
      <c r="L1320" s="4">
        <v>-211.90600000000001</v>
      </c>
      <c r="M1320" s="4">
        <v>-211.90600000000001</v>
      </c>
      <c r="N1320" s="4">
        <v>-211.90600000000001</v>
      </c>
      <c r="O1320" s="4">
        <v>-211.90600000000001</v>
      </c>
      <c r="P1320" s="4">
        <v>-104</v>
      </c>
      <c r="Q1320" s="3" t="s">
        <v>26</v>
      </c>
      <c r="R1320" s="3">
        <v>0</v>
      </c>
      <c r="S1320" s="4">
        <v>0</v>
      </c>
      <c r="T1320" s="4">
        <v>48</v>
      </c>
      <c r="U1320" s="4">
        <v>65</v>
      </c>
      <c r="V1320" s="4">
        <v>0</v>
      </c>
      <c r="W1320" s="4">
        <v>346.2</v>
      </c>
      <c r="X1320" s="4">
        <v>234.24</v>
      </c>
      <c r="Y1320" s="4"/>
      <c r="Z1320" s="4">
        <v>430.49583108604207</v>
      </c>
      <c r="AA1320" s="4">
        <v>247.48951138739608</v>
      </c>
      <c r="AB1320" s="4">
        <v>0</v>
      </c>
      <c r="AC1320" s="4">
        <v>-73361.857199999999</v>
      </c>
      <c r="AD1320" s="4">
        <v>-49636.861440000001</v>
      </c>
      <c r="AE1320" s="4">
        <v>0</v>
      </c>
      <c r="AF1320" s="4">
        <v>-91224.649582118829</v>
      </c>
      <c r="AG1320" s="4">
        <v>-52444.512400057552</v>
      </c>
    </row>
    <row r="1321" spans="1:33" ht="11.25" customHeight="1" x14ac:dyDescent="0.25">
      <c r="A1321" s="3" t="s">
        <v>28</v>
      </c>
      <c r="B1321" s="3" t="s">
        <v>22</v>
      </c>
      <c r="C1321" s="3" t="s">
        <v>23</v>
      </c>
      <c r="D1321" s="3" t="s">
        <v>24</v>
      </c>
      <c r="E1321" s="3" t="s">
        <v>24</v>
      </c>
      <c r="F1321" s="3" t="s">
        <v>25</v>
      </c>
      <c r="G1321" s="3" t="s">
        <v>25</v>
      </c>
      <c r="H1321" s="3" t="s">
        <v>25</v>
      </c>
      <c r="I1321" s="6">
        <v>44593</v>
      </c>
      <c r="J1321" s="4">
        <v>0</v>
      </c>
      <c r="K1321" s="4">
        <v>0</v>
      </c>
      <c r="L1321" s="4">
        <v>1004.958</v>
      </c>
      <c r="M1321" s="4">
        <v>1004.958</v>
      </c>
      <c r="N1321" s="4">
        <v>1004.958</v>
      </c>
      <c r="O1321" s="4">
        <v>1004.958</v>
      </c>
      <c r="P1321" s="4">
        <v>5365</v>
      </c>
      <c r="Q1321" s="3" t="s">
        <v>26</v>
      </c>
      <c r="R1321" s="3">
        <v>0</v>
      </c>
      <c r="S1321" s="4">
        <v>0</v>
      </c>
      <c r="T1321" s="4">
        <v>48</v>
      </c>
      <c r="U1321" s="4">
        <v>65</v>
      </c>
      <c r="V1321" s="4">
        <v>0</v>
      </c>
      <c r="W1321" s="4">
        <v>346.2</v>
      </c>
      <c r="X1321" s="4">
        <v>234.24</v>
      </c>
      <c r="Y1321" s="4"/>
      <c r="Z1321" s="4">
        <v>430.49583108604207</v>
      </c>
      <c r="AA1321" s="4">
        <v>247.48951138739608</v>
      </c>
      <c r="AB1321" s="4">
        <v>0</v>
      </c>
      <c r="AC1321" s="4">
        <v>347916.4596</v>
      </c>
      <c r="AD1321" s="4">
        <v>235401.36192</v>
      </c>
      <c r="AE1321" s="4">
        <v>0</v>
      </c>
      <c r="AF1321" s="4">
        <v>432630.22941656667</v>
      </c>
      <c r="AG1321" s="4">
        <v>248716.56438485478</v>
      </c>
    </row>
    <row r="1322" spans="1:33" ht="11.25" customHeight="1" x14ac:dyDescent="0.25">
      <c r="A1322" s="3" t="s">
        <v>28</v>
      </c>
      <c r="B1322" s="3" t="s">
        <v>22</v>
      </c>
      <c r="C1322" s="3" t="s">
        <v>23</v>
      </c>
      <c r="D1322" s="3" t="s">
        <v>24</v>
      </c>
      <c r="E1322" s="3" t="s">
        <v>24</v>
      </c>
      <c r="F1322" s="3" t="s">
        <v>25</v>
      </c>
      <c r="G1322" s="3" t="s">
        <v>25</v>
      </c>
      <c r="H1322" s="3" t="s">
        <v>25</v>
      </c>
      <c r="I1322" s="6">
        <v>44593</v>
      </c>
      <c r="J1322" s="4">
        <v>0</v>
      </c>
      <c r="K1322" s="4">
        <v>0</v>
      </c>
      <c r="L1322" s="4">
        <v>-10.169</v>
      </c>
      <c r="M1322" s="4">
        <v>-10.169</v>
      </c>
      <c r="N1322" s="4">
        <v>-10.169</v>
      </c>
      <c r="O1322" s="4">
        <v>-10.169</v>
      </c>
      <c r="P1322" s="4">
        <v>0</v>
      </c>
      <c r="Q1322" s="3" t="s">
        <v>26</v>
      </c>
      <c r="R1322" s="3">
        <v>0</v>
      </c>
      <c r="S1322" s="4">
        <v>0</v>
      </c>
      <c r="T1322" s="4">
        <v>48</v>
      </c>
      <c r="U1322" s="4">
        <v>65</v>
      </c>
      <c r="V1322" s="4">
        <v>0</v>
      </c>
      <c r="W1322" s="4">
        <v>346.2</v>
      </c>
      <c r="X1322" s="4">
        <v>234.24</v>
      </c>
      <c r="Y1322" s="4"/>
      <c r="Z1322" s="4">
        <v>430.49583108604207</v>
      </c>
      <c r="AA1322" s="4">
        <v>247.48951138739608</v>
      </c>
      <c r="AB1322" s="4">
        <v>0</v>
      </c>
      <c r="AC1322" s="4">
        <v>-3520.5077999999999</v>
      </c>
      <c r="AD1322" s="4">
        <v>-2381.9865600000003</v>
      </c>
      <c r="AE1322" s="4">
        <v>0</v>
      </c>
      <c r="AF1322" s="4">
        <v>-4377.7121063139621</v>
      </c>
      <c r="AG1322" s="4">
        <v>-2516.720841298431</v>
      </c>
    </row>
    <row r="1323" spans="1:33" ht="11.25" customHeight="1" x14ac:dyDescent="0.25">
      <c r="A1323" s="3" t="s">
        <v>56</v>
      </c>
      <c r="B1323" s="3" t="s">
        <v>22</v>
      </c>
      <c r="C1323" s="3" t="s">
        <v>23</v>
      </c>
      <c r="D1323" s="3" t="s">
        <v>24</v>
      </c>
      <c r="E1323" s="3" t="s">
        <v>24</v>
      </c>
      <c r="F1323" s="3" t="s">
        <v>25</v>
      </c>
      <c r="G1323" s="3" t="s">
        <v>25</v>
      </c>
      <c r="H1323" s="3" t="s">
        <v>25</v>
      </c>
      <c r="I1323" s="6">
        <v>44621</v>
      </c>
      <c r="J1323" s="4">
        <v>0</v>
      </c>
      <c r="K1323" s="4">
        <v>0</v>
      </c>
      <c r="L1323" s="4">
        <v>78459.588000000003</v>
      </c>
      <c r="M1323" s="4">
        <v>78459.588000000003</v>
      </c>
      <c r="N1323" s="4">
        <v>78459.588000000003</v>
      </c>
      <c r="O1323" s="4">
        <v>78459.588000000003</v>
      </c>
      <c r="P1323" s="4">
        <v>500160</v>
      </c>
      <c r="Q1323" s="3" t="s">
        <v>26</v>
      </c>
      <c r="R1323" s="3">
        <v>0</v>
      </c>
      <c r="S1323" s="4">
        <v>0</v>
      </c>
      <c r="T1323" s="4">
        <v>48</v>
      </c>
      <c r="U1323" s="4">
        <v>65</v>
      </c>
      <c r="V1323" s="4">
        <v>0</v>
      </c>
      <c r="W1323" s="4">
        <v>346.2</v>
      </c>
      <c r="X1323" s="4">
        <v>234.24</v>
      </c>
      <c r="Y1323" s="4"/>
      <c r="Z1323" s="4">
        <v>430.49583108604207</v>
      </c>
      <c r="AA1323" s="4">
        <v>247.48951138739608</v>
      </c>
      <c r="AB1323" s="4">
        <v>0</v>
      </c>
      <c r="AC1323" s="4">
        <v>27162709.365600001</v>
      </c>
      <c r="AD1323" s="4">
        <v>18378373.893120002</v>
      </c>
      <c r="AE1323" s="4">
        <v>0</v>
      </c>
      <c r="AF1323" s="4">
        <v>33776525.542728454</v>
      </c>
      <c r="AG1323" s="4">
        <v>19417925.097776406</v>
      </c>
    </row>
    <row r="1324" spans="1:33" ht="11.25" customHeight="1" x14ac:dyDescent="0.25">
      <c r="A1324" s="3" t="s">
        <v>56</v>
      </c>
      <c r="B1324" s="3" t="s">
        <v>22</v>
      </c>
      <c r="C1324" s="3" t="s">
        <v>23</v>
      </c>
      <c r="D1324" s="3" t="s">
        <v>24</v>
      </c>
      <c r="E1324" s="3" t="s">
        <v>24</v>
      </c>
      <c r="F1324" s="3" t="s">
        <v>25</v>
      </c>
      <c r="G1324" s="3" t="s">
        <v>25</v>
      </c>
      <c r="H1324" s="3" t="s">
        <v>25</v>
      </c>
      <c r="I1324" s="6">
        <v>44621</v>
      </c>
      <c r="J1324" s="4">
        <v>0</v>
      </c>
      <c r="K1324" s="4">
        <v>0</v>
      </c>
      <c r="L1324" s="4">
        <v>-211.90600000000001</v>
      </c>
      <c r="M1324" s="4">
        <v>-211.90600000000001</v>
      </c>
      <c r="N1324" s="4">
        <v>-211.90600000000001</v>
      </c>
      <c r="O1324" s="4">
        <v>-211.90600000000001</v>
      </c>
      <c r="P1324" s="4">
        <v>-104</v>
      </c>
      <c r="Q1324" s="3" t="s">
        <v>26</v>
      </c>
      <c r="R1324" s="3">
        <v>0</v>
      </c>
      <c r="S1324" s="4">
        <v>0</v>
      </c>
      <c r="T1324" s="4">
        <v>48</v>
      </c>
      <c r="U1324" s="4">
        <v>65</v>
      </c>
      <c r="V1324" s="4">
        <v>0</v>
      </c>
      <c r="W1324" s="4">
        <v>346.2</v>
      </c>
      <c r="X1324" s="4">
        <v>234.24</v>
      </c>
      <c r="Y1324" s="4"/>
      <c r="Z1324" s="4">
        <v>430.49583108604207</v>
      </c>
      <c r="AA1324" s="4">
        <v>247.48951138739608</v>
      </c>
      <c r="AB1324" s="4">
        <v>0</v>
      </c>
      <c r="AC1324" s="4">
        <v>-73361.857199999999</v>
      </c>
      <c r="AD1324" s="4">
        <v>-49636.861440000001</v>
      </c>
      <c r="AE1324" s="4">
        <v>0</v>
      </c>
      <c r="AF1324" s="4">
        <v>-91224.649582118829</v>
      </c>
      <c r="AG1324" s="4">
        <v>-52444.512400057552</v>
      </c>
    </row>
    <row r="1325" spans="1:33" ht="11.25" customHeight="1" x14ac:dyDescent="0.25">
      <c r="A1325" s="3" t="s">
        <v>56</v>
      </c>
      <c r="B1325" s="3" t="s">
        <v>22</v>
      </c>
      <c r="C1325" s="3" t="s">
        <v>23</v>
      </c>
      <c r="D1325" s="3" t="s">
        <v>24</v>
      </c>
      <c r="E1325" s="3" t="s">
        <v>24</v>
      </c>
      <c r="F1325" s="3" t="s">
        <v>25</v>
      </c>
      <c r="G1325" s="3" t="s">
        <v>25</v>
      </c>
      <c r="H1325" s="3" t="s">
        <v>25</v>
      </c>
      <c r="I1325" s="6">
        <v>44621</v>
      </c>
      <c r="J1325" s="4">
        <v>0</v>
      </c>
      <c r="K1325" s="4">
        <v>0</v>
      </c>
      <c r="L1325" s="4">
        <v>1004.958</v>
      </c>
      <c r="M1325" s="4">
        <v>1004.958</v>
      </c>
      <c r="N1325" s="4">
        <v>1004.958</v>
      </c>
      <c r="O1325" s="4">
        <v>1004.958</v>
      </c>
      <c r="P1325" s="4">
        <v>5365</v>
      </c>
      <c r="Q1325" s="3" t="s">
        <v>26</v>
      </c>
      <c r="R1325" s="3">
        <v>0</v>
      </c>
      <c r="S1325" s="4">
        <v>0</v>
      </c>
      <c r="T1325" s="4">
        <v>48</v>
      </c>
      <c r="U1325" s="4">
        <v>65</v>
      </c>
      <c r="V1325" s="4">
        <v>0</v>
      </c>
      <c r="W1325" s="4">
        <v>346.2</v>
      </c>
      <c r="X1325" s="4">
        <v>234.24</v>
      </c>
      <c r="Y1325" s="4"/>
      <c r="Z1325" s="4">
        <v>430.49583108604207</v>
      </c>
      <c r="AA1325" s="4">
        <v>247.48951138739608</v>
      </c>
      <c r="AB1325" s="4">
        <v>0</v>
      </c>
      <c r="AC1325" s="4">
        <v>347916.4596</v>
      </c>
      <c r="AD1325" s="4">
        <v>235401.36192</v>
      </c>
      <c r="AE1325" s="4">
        <v>0</v>
      </c>
      <c r="AF1325" s="4">
        <v>432630.22941656667</v>
      </c>
      <c r="AG1325" s="4">
        <v>248716.56438485478</v>
      </c>
    </row>
    <row r="1326" spans="1:33" ht="11.25" customHeight="1" x14ac:dyDescent="0.25">
      <c r="A1326" s="3" t="s">
        <v>56</v>
      </c>
      <c r="B1326" s="3" t="s">
        <v>22</v>
      </c>
      <c r="C1326" s="3" t="s">
        <v>23</v>
      </c>
      <c r="D1326" s="3" t="s">
        <v>24</v>
      </c>
      <c r="E1326" s="3" t="s">
        <v>24</v>
      </c>
      <c r="F1326" s="3" t="s">
        <v>25</v>
      </c>
      <c r="G1326" s="3" t="s">
        <v>25</v>
      </c>
      <c r="H1326" s="3" t="s">
        <v>25</v>
      </c>
      <c r="I1326" s="6">
        <v>44621</v>
      </c>
      <c r="J1326" s="4">
        <v>0</v>
      </c>
      <c r="K1326" s="4">
        <v>0</v>
      </c>
      <c r="L1326" s="4">
        <v>-10.169</v>
      </c>
      <c r="M1326" s="4">
        <v>-10.169</v>
      </c>
      <c r="N1326" s="4">
        <v>-10.169</v>
      </c>
      <c r="O1326" s="4">
        <v>-10.169</v>
      </c>
      <c r="P1326" s="4">
        <v>0</v>
      </c>
      <c r="Q1326" s="3" t="s">
        <v>26</v>
      </c>
      <c r="R1326" s="3">
        <v>0</v>
      </c>
      <c r="S1326" s="4">
        <v>0</v>
      </c>
      <c r="T1326" s="4">
        <v>48</v>
      </c>
      <c r="U1326" s="4">
        <v>65</v>
      </c>
      <c r="V1326" s="4">
        <v>0</v>
      </c>
      <c r="W1326" s="4">
        <v>346.2</v>
      </c>
      <c r="X1326" s="4">
        <v>234.24</v>
      </c>
      <c r="Y1326" s="4"/>
      <c r="Z1326" s="4">
        <v>430.49583108604207</v>
      </c>
      <c r="AA1326" s="4">
        <v>247.48951138739608</v>
      </c>
      <c r="AB1326" s="4">
        <v>0</v>
      </c>
      <c r="AC1326" s="4">
        <v>-3520.5077999999999</v>
      </c>
      <c r="AD1326" s="4">
        <v>-2381.9865600000003</v>
      </c>
      <c r="AE1326" s="4">
        <v>0</v>
      </c>
      <c r="AF1326" s="4">
        <v>-4377.7121063139621</v>
      </c>
      <c r="AG1326" s="4">
        <v>-2516.720841298431</v>
      </c>
    </row>
    <row r="1327" spans="1:33" ht="11.25" customHeight="1" x14ac:dyDescent="0.25">
      <c r="A1327" s="3" t="s">
        <v>21</v>
      </c>
      <c r="B1327" s="3" t="s">
        <v>22</v>
      </c>
      <c r="C1327" s="3" t="s">
        <v>23</v>
      </c>
      <c r="D1327" s="3" t="s">
        <v>24</v>
      </c>
      <c r="E1327" s="3" t="s">
        <v>29</v>
      </c>
      <c r="F1327" s="3" t="s">
        <v>25</v>
      </c>
      <c r="G1327" s="3" t="s">
        <v>25</v>
      </c>
      <c r="H1327" s="3" t="s">
        <v>25</v>
      </c>
      <c r="I1327" s="6">
        <v>44287</v>
      </c>
      <c r="J1327" s="4">
        <v>0</v>
      </c>
      <c r="K1327" s="4">
        <v>0</v>
      </c>
      <c r="L1327" s="4">
        <v>6850.3620000000001</v>
      </c>
      <c r="M1327" s="4">
        <v>6850.3620000000001</v>
      </c>
      <c r="N1327" s="4">
        <v>6850.3620000000001</v>
      </c>
      <c r="O1327" s="4">
        <v>6850.3620000000001</v>
      </c>
      <c r="P1327" s="4">
        <v>20281</v>
      </c>
      <c r="Q1327" s="3" t="s">
        <v>26</v>
      </c>
      <c r="R1327" s="3">
        <v>0</v>
      </c>
      <c r="S1327" s="4">
        <v>0</v>
      </c>
      <c r="T1327" s="4">
        <v>26</v>
      </c>
      <c r="U1327" s="4">
        <v>99</v>
      </c>
      <c r="V1327" s="4">
        <v>0</v>
      </c>
      <c r="W1327" s="4">
        <v>107.74</v>
      </c>
      <c r="X1327" s="4">
        <v>81.98</v>
      </c>
      <c r="Y1327" s="4"/>
      <c r="Z1327" s="4">
        <v>130.72397922002739</v>
      </c>
      <c r="AA1327" s="4">
        <v>86.621328985588619</v>
      </c>
      <c r="AB1327" s="4">
        <v>0</v>
      </c>
      <c r="AC1327" s="4">
        <v>738058.00188</v>
      </c>
      <c r="AD1327" s="4">
        <v>561592.67676000006</v>
      </c>
      <c r="AE1327" s="4">
        <v>0</v>
      </c>
      <c r="AF1327" s="4">
        <v>895506.57973766525</v>
      </c>
      <c r="AG1327" s="4">
        <v>593387.46047237481</v>
      </c>
    </row>
    <row r="1328" spans="1:33" ht="11.25" customHeight="1" x14ac:dyDescent="0.25">
      <c r="A1328" s="3" t="s">
        <v>27</v>
      </c>
      <c r="B1328" s="3" t="s">
        <v>22</v>
      </c>
      <c r="C1328" s="3" t="s">
        <v>23</v>
      </c>
      <c r="D1328" s="3" t="s">
        <v>24</v>
      </c>
      <c r="E1328" s="3" t="s">
        <v>29</v>
      </c>
      <c r="F1328" s="3" t="s">
        <v>25</v>
      </c>
      <c r="G1328" s="3" t="s">
        <v>25</v>
      </c>
      <c r="H1328" s="3" t="s">
        <v>25</v>
      </c>
      <c r="I1328" s="6">
        <v>44287</v>
      </c>
      <c r="J1328" s="4">
        <v>0</v>
      </c>
      <c r="K1328" s="4">
        <v>0</v>
      </c>
      <c r="L1328" s="4">
        <v>-1.675</v>
      </c>
      <c r="M1328" s="4">
        <v>-1.675</v>
      </c>
      <c r="N1328" s="4">
        <v>-1.675</v>
      </c>
      <c r="O1328" s="4">
        <v>-1.675</v>
      </c>
      <c r="P1328" s="4">
        <v>-38</v>
      </c>
      <c r="Q1328" s="3" t="s">
        <v>26</v>
      </c>
      <c r="R1328" s="3">
        <v>0</v>
      </c>
      <c r="S1328" s="4">
        <v>0</v>
      </c>
      <c r="T1328" s="4">
        <v>26</v>
      </c>
      <c r="U1328" s="4">
        <v>99</v>
      </c>
      <c r="V1328" s="4">
        <v>0</v>
      </c>
      <c r="W1328" s="4">
        <v>107.74</v>
      </c>
      <c r="X1328" s="4">
        <v>81.98</v>
      </c>
      <c r="Y1328" s="4"/>
      <c r="Z1328" s="4">
        <v>130.72397922002739</v>
      </c>
      <c r="AA1328" s="4">
        <v>86.621328985588619</v>
      </c>
      <c r="AB1328" s="4">
        <v>0</v>
      </c>
      <c r="AC1328" s="4">
        <v>-180.46449999999999</v>
      </c>
      <c r="AD1328" s="4">
        <v>-137.31650000000002</v>
      </c>
      <c r="AE1328" s="4">
        <v>0</v>
      </c>
      <c r="AF1328" s="4">
        <v>-218.96266519354589</v>
      </c>
      <c r="AG1328" s="4">
        <v>-145.09072605086095</v>
      </c>
    </row>
    <row r="1329" spans="1:33" ht="11.25" customHeight="1" x14ac:dyDescent="0.25">
      <c r="A1329" s="3" t="s">
        <v>28</v>
      </c>
      <c r="B1329" s="3" t="s">
        <v>22</v>
      </c>
      <c r="C1329" s="3" t="s">
        <v>23</v>
      </c>
      <c r="D1329" s="3" t="s">
        <v>24</v>
      </c>
      <c r="E1329" s="3" t="s">
        <v>29</v>
      </c>
      <c r="F1329" s="3" t="s">
        <v>25</v>
      </c>
      <c r="G1329" s="3" t="s">
        <v>25</v>
      </c>
      <c r="H1329" s="3" t="s">
        <v>25</v>
      </c>
      <c r="I1329" s="6">
        <v>44287</v>
      </c>
      <c r="J1329" s="4">
        <v>0</v>
      </c>
      <c r="K1329" s="4">
        <v>0</v>
      </c>
      <c r="L1329" s="4">
        <v>1.32</v>
      </c>
      <c r="M1329" s="4">
        <v>1.32</v>
      </c>
      <c r="N1329" s="4">
        <v>1.32</v>
      </c>
      <c r="O1329" s="4">
        <v>1.32</v>
      </c>
      <c r="P1329" s="4">
        <v>7</v>
      </c>
      <c r="Q1329" s="3" t="s">
        <v>26</v>
      </c>
      <c r="R1329" s="3">
        <v>0</v>
      </c>
      <c r="S1329" s="4">
        <v>0</v>
      </c>
      <c r="T1329" s="4">
        <v>26</v>
      </c>
      <c r="U1329" s="4">
        <v>99</v>
      </c>
      <c r="V1329" s="4">
        <v>0</v>
      </c>
      <c r="W1329" s="4">
        <v>107.74</v>
      </c>
      <c r="X1329" s="4">
        <v>81.98</v>
      </c>
      <c r="Y1329" s="4"/>
      <c r="Z1329" s="4">
        <v>130.72397922002739</v>
      </c>
      <c r="AA1329" s="4">
        <v>86.621328985588619</v>
      </c>
      <c r="AB1329" s="4">
        <v>0</v>
      </c>
      <c r="AC1329" s="4">
        <v>142.21680000000001</v>
      </c>
      <c r="AD1329" s="4">
        <v>108.21360000000001</v>
      </c>
      <c r="AE1329" s="4">
        <v>0</v>
      </c>
      <c r="AF1329" s="4">
        <v>172.55565257043617</v>
      </c>
      <c r="AG1329" s="4">
        <v>114.34015426097699</v>
      </c>
    </row>
    <row r="1330" spans="1:33" ht="11.25" customHeight="1" x14ac:dyDescent="0.25">
      <c r="A1330" s="3" t="s">
        <v>21</v>
      </c>
      <c r="B1330" s="3" t="s">
        <v>22</v>
      </c>
      <c r="C1330" s="3" t="s">
        <v>23</v>
      </c>
      <c r="D1330" s="3" t="s">
        <v>24</v>
      </c>
      <c r="E1330" s="3" t="s">
        <v>29</v>
      </c>
      <c r="F1330" s="3" t="s">
        <v>25</v>
      </c>
      <c r="G1330" s="3" t="s">
        <v>25</v>
      </c>
      <c r="H1330" s="3" t="s">
        <v>25</v>
      </c>
      <c r="I1330" s="6">
        <v>44317</v>
      </c>
      <c r="J1330" s="4">
        <v>0</v>
      </c>
      <c r="K1330" s="4">
        <v>0</v>
      </c>
      <c r="L1330" s="4">
        <v>6865.0609999999997</v>
      </c>
      <c r="M1330" s="4">
        <v>6865.0609999999997</v>
      </c>
      <c r="N1330" s="4">
        <v>6865.0609999999997</v>
      </c>
      <c r="O1330" s="4">
        <v>6865.0609999999997</v>
      </c>
      <c r="P1330" s="4">
        <v>21755</v>
      </c>
      <c r="Q1330" s="3" t="s">
        <v>26</v>
      </c>
      <c r="R1330" s="3">
        <v>0</v>
      </c>
      <c r="S1330" s="4">
        <v>0</v>
      </c>
      <c r="T1330" s="4">
        <v>26</v>
      </c>
      <c r="U1330" s="4">
        <v>99</v>
      </c>
      <c r="V1330" s="4">
        <v>0</v>
      </c>
      <c r="W1330" s="4">
        <v>107.74</v>
      </c>
      <c r="X1330" s="4">
        <v>81.98</v>
      </c>
      <c r="Y1330" s="4"/>
      <c r="Z1330" s="4">
        <v>130.72397922002739</v>
      </c>
      <c r="AA1330" s="4">
        <v>86.621328985588619</v>
      </c>
      <c r="AB1330" s="4">
        <v>0</v>
      </c>
      <c r="AC1330" s="4">
        <v>739641.67213999992</v>
      </c>
      <c r="AD1330" s="4">
        <v>562797.70077999996</v>
      </c>
      <c r="AE1330" s="4">
        <v>0</v>
      </c>
      <c r="AF1330" s="4">
        <v>897428.09150822042</v>
      </c>
      <c r="AG1330" s="4">
        <v>594660.70738713397</v>
      </c>
    </row>
    <row r="1331" spans="1:33" ht="11.25" customHeight="1" x14ac:dyDescent="0.25">
      <c r="A1331" s="3" t="s">
        <v>27</v>
      </c>
      <c r="B1331" s="3" t="s">
        <v>22</v>
      </c>
      <c r="C1331" s="3" t="s">
        <v>23</v>
      </c>
      <c r="D1331" s="3" t="s">
        <v>24</v>
      </c>
      <c r="E1331" s="3" t="s">
        <v>29</v>
      </c>
      <c r="F1331" s="3" t="s">
        <v>25</v>
      </c>
      <c r="G1331" s="3" t="s">
        <v>25</v>
      </c>
      <c r="H1331" s="3" t="s">
        <v>25</v>
      </c>
      <c r="I1331" s="6">
        <v>44317</v>
      </c>
      <c r="J1331" s="4">
        <v>0</v>
      </c>
      <c r="K1331" s="4">
        <v>0</v>
      </c>
      <c r="L1331" s="4">
        <v>-0.16</v>
      </c>
      <c r="M1331" s="4">
        <v>-0.16</v>
      </c>
      <c r="N1331" s="4">
        <v>-0.16</v>
      </c>
      <c r="O1331" s="4">
        <v>-0.16</v>
      </c>
      <c r="P1331" s="4">
        <v>-60</v>
      </c>
      <c r="Q1331" s="3" t="s">
        <v>26</v>
      </c>
      <c r="R1331" s="3">
        <v>0</v>
      </c>
      <c r="S1331" s="4">
        <v>0</v>
      </c>
      <c r="T1331" s="4">
        <v>26</v>
      </c>
      <c r="U1331" s="4">
        <v>99</v>
      </c>
      <c r="V1331" s="4">
        <v>0</v>
      </c>
      <c r="W1331" s="4">
        <v>107.74</v>
      </c>
      <c r="X1331" s="4">
        <v>81.98</v>
      </c>
      <c r="Y1331" s="4"/>
      <c r="Z1331" s="4">
        <v>130.72397922002739</v>
      </c>
      <c r="AA1331" s="4">
        <v>86.621328985588619</v>
      </c>
      <c r="AB1331" s="4">
        <v>0</v>
      </c>
      <c r="AC1331" s="4">
        <v>-17.238399999999999</v>
      </c>
      <c r="AD1331" s="4">
        <v>-13.116800000000001</v>
      </c>
      <c r="AE1331" s="4">
        <v>0</v>
      </c>
      <c r="AF1331" s="4">
        <v>-20.915836675204382</v>
      </c>
      <c r="AG1331" s="4">
        <v>-13.859412637694179</v>
      </c>
    </row>
    <row r="1332" spans="1:33" ht="11.25" customHeight="1" x14ac:dyDescent="0.25">
      <c r="A1332" s="3" t="s">
        <v>28</v>
      </c>
      <c r="B1332" s="3" t="s">
        <v>22</v>
      </c>
      <c r="C1332" s="3" t="s">
        <v>23</v>
      </c>
      <c r="D1332" s="3" t="s">
        <v>24</v>
      </c>
      <c r="E1332" s="3" t="s">
        <v>29</v>
      </c>
      <c r="F1332" s="3" t="s">
        <v>25</v>
      </c>
      <c r="G1332" s="3" t="s">
        <v>25</v>
      </c>
      <c r="H1332" s="3" t="s">
        <v>25</v>
      </c>
      <c r="I1332" s="6">
        <v>44317</v>
      </c>
      <c r="J1332" s="4">
        <v>0</v>
      </c>
      <c r="K1332" s="4">
        <v>0</v>
      </c>
      <c r="L1332" s="4">
        <v>1.47</v>
      </c>
      <c r="M1332" s="4">
        <v>1.47</v>
      </c>
      <c r="N1332" s="4">
        <v>1.47</v>
      </c>
      <c r="O1332" s="4">
        <v>1.47</v>
      </c>
      <c r="P1332" s="4">
        <v>6</v>
      </c>
      <c r="Q1332" s="3" t="s">
        <v>26</v>
      </c>
      <c r="R1332" s="3">
        <v>0</v>
      </c>
      <c r="S1332" s="4">
        <v>0</v>
      </c>
      <c r="T1332" s="4">
        <v>26</v>
      </c>
      <c r="U1332" s="4">
        <v>99</v>
      </c>
      <c r="V1332" s="4">
        <v>0</v>
      </c>
      <c r="W1332" s="4">
        <v>107.74</v>
      </c>
      <c r="X1332" s="4">
        <v>81.98</v>
      </c>
      <c r="Y1332" s="4"/>
      <c r="Z1332" s="4">
        <v>130.72397922002739</v>
      </c>
      <c r="AA1332" s="4">
        <v>86.621328985588619</v>
      </c>
      <c r="AB1332" s="4">
        <v>0</v>
      </c>
      <c r="AC1332" s="4">
        <v>158.37779999999998</v>
      </c>
      <c r="AD1332" s="4">
        <v>120.5106</v>
      </c>
      <c r="AE1332" s="4">
        <v>0</v>
      </c>
      <c r="AF1332" s="4">
        <v>192.16424945344025</v>
      </c>
      <c r="AG1332" s="4">
        <v>127.33335360881527</v>
      </c>
    </row>
    <row r="1333" spans="1:33" ht="11.25" customHeight="1" x14ac:dyDescent="0.25">
      <c r="A1333" s="3" t="s">
        <v>21</v>
      </c>
      <c r="B1333" s="3" t="s">
        <v>22</v>
      </c>
      <c r="C1333" s="3" t="s">
        <v>23</v>
      </c>
      <c r="D1333" s="3" t="s">
        <v>24</v>
      </c>
      <c r="E1333" s="3" t="s">
        <v>29</v>
      </c>
      <c r="F1333" s="3" t="s">
        <v>25</v>
      </c>
      <c r="G1333" s="3" t="s">
        <v>25</v>
      </c>
      <c r="H1333" s="3" t="s">
        <v>25</v>
      </c>
      <c r="I1333" s="6">
        <v>44348</v>
      </c>
      <c r="J1333" s="4">
        <v>0</v>
      </c>
      <c r="K1333" s="4">
        <v>0</v>
      </c>
      <c r="L1333" s="4">
        <v>6886.57</v>
      </c>
      <c r="M1333" s="4">
        <v>6886.57</v>
      </c>
      <c r="N1333" s="4">
        <v>6886.57</v>
      </c>
      <c r="O1333" s="4">
        <v>6886.57</v>
      </c>
      <c r="P1333" s="4">
        <v>22419</v>
      </c>
      <c r="Q1333" s="3" t="s">
        <v>26</v>
      </c>
      <c r="R1333" s="3">
        <v>0</v>
      </c>
      <c r="S1333" s="4">
        <v>0</v>
      </c>
      <c r="T1333" s="4">
        <v>26</v>
      </c>
      <c r="U1333" s="4">
        <v>99</v>
      </c>
      <c r="V1333" s="4">
        <v>0</v>
      </c>
      <c r="W1333" s="4">
        <v>107.74</v>
      </c>
      <c r="X1333" s="4">
        <v>81.98</v>
      </c>
      <c r="Y1333" s="4"/>
      <c r="Z1333" s="4">
        <v>130.72397922002739</v>
      </c>
      <c r="AA1333" s="4">
        <v>86.621328985588619</v>
      </c>
      <c r="AB1333" s="4">
        <v>0</v>
      </c>
      <c r="AC1333" s="4">
        <v>741959.0517999999</v>
      </c>
      <c r="AD1333" s="4">
        <v>564561.00860000006</v>
      </c>
      <c r="AE1333" s="4">
        <v>0</v>
      </c>
      <c r="AF1333" s="4">
        <v>900239.83357726398</v>
      </c>
      <c r="AG1333" s="4">
        <v>596523.84555228497</v>
      </c>
    </row>
    <row r="1334" spans="1:33" ht="11.25" customHeight="1" x14ac:dyDescent="0.25">
      <c r="A1334" s="3" t="s">
        <v>27</v>
      </c>
      <c r="B1334" s="3" t="s">
        <v>22</v>
      </c>
      <c r="C1334" s="3" t="s">
        <v>23</v>
      </c>
      <c r="D1334" s="3" t="s">
        <v>24</v>
      </c>
      <c r="E1334" s="3" t="s">
        <v>29</v>
      </c>
      <c r="F1334" s="3" t="s">
        <v>25</v>
      </c>
      <c r="G1334" s="3" t="s">
        <v>25</v>
      </c>
      <c r="H1334" s="3" t="s">
        <v>25</v>
      </c>
      <c r="I1334" s="6">
        <v>44348</v>
      </c>
      <c r="J1334" s="4">
        <v>0</v>
      </c>
      <c r="K1334" s="4">
        <v>0</v>
      </c>
      <c r="L1334" s="4">
        <v>-0.126</v>
      </c>
      <c r="M1334" s="4">
        <v>-0.126</v>
      </c>
      <c r="N1334" s="4">
        <v>-0.126</v>
      </c>
      <c r="O1334" s="4">
        <v>-0.126</v>
      </c>
      <c r="P1334" s="4">
        <v>-6</v>
      </c>
      <c r="Q1334" s="3" t="s">
        <v>26</v>
      </c>
      <c r="R1334" s="3">
        <v>0</v>
      </c>
      <c r="S1334" s="4">
        <v>0</v>
      </c>
      <c r="T1334" s="4">
        <v>26</v>
      </c>
      <c r="U1334" s="4">
        <v>99</v>
      </c>
      <c r="V1334" s="4">
        <v>0</v>
      </c>
      <c r="W1334" s="4">
        <v>107.74</v>
      </c>
      <c r="X1334" s="4">
        <v>81.98</v>
      </c>
      <c r="Y1334" s="4"/>
      <c r="Z1334" s="4">
        <v>130.72397922002739</v>
      </c>
      <c r="AA1334" s="4">
        <v>86.621328985588619</v>
      </c>
      <c r="AB1334" s="4">
        <v>0</v>
      </c>
      <c r="AC1334" s="4">
        <v>-13.575239999999999</v>
      </c>
      <c r="AD1334" s="4">
        <v>-10.32948</v>
      </c>
      <c r="AE1334" s="4">
        <v>0</v>
      </c>
      <c r="AF1334" s="4">
        <v>-16.471221381723453</v>
      </c>
      <c r="AG1334" s="4">
        <v>-10.914287452184166</v>
      </c>
    </row>
    <row r="1335" spans="1:33" ht="11.25" customHeight="1" x14ac:dyDescent="0.25">
      <c r="A1335" s="3" t="s">
        <v>28</v>
      </c>
      <c r="B1335" s="3" t="s">
        <v>22</v>
      </c>
      <c r="C1335" s="3" t="s">
        <v>23</v>
      </c>
      <c r="D1335" s="3" t="s">
        <v>24</v>
      </c>
      <c r="E1335" s="3" t="s">
        <v>29</v>
      </c>
      <c r="F1335" s="3" t="s">
        <v>25</v>
      </c>
      <c r="G1335" s="3" t="s">
        <v>25</v>
      </c>
      <c r="H1335" s="3" t="s">
        <v>25</v>
      </c>
      <c r="I1335" s="6">
        <v>44348</v>
      </c>
      <c r="J1335" s="4">
        <v>0</v>
      </c>
      <c r="K1335" s="4">
        <v>0</v>
      </c>
      <c r="L1335" s="4">
        <v>1.53</v>
      </c>
      <c r="M1335" s="4">
        <v>1.53</v>
      </c>
      <c r="N1335" s="4">
        <v>1.53</v>
      </c>
      <c r="O1335" s="4">
        <v>1.53</v>
      </c>
      <c r="P1335" s="4">
        <v>5</v>
      </c>
      <c r="Q1335" s="3" t="s">
        <v>26</v>
      </c>
      <c r="R1335" s="3">
        <v>0</v>
      </c>
      <c r="S1335" s="4">
        <v>0</v>
      </c>
      <c r="T1335" s="4">
        <v>26</v>
      </c>
      <c r="U1335" s="4">
        <v>99</v>
      </c>
      <c r="V1335" s="4">
        <v>0</v>
      </c>
      <c r="W1335" s="4">
        <v>107.74</v>
      </c>
      <c r="X1335" s="4">
        <v>81.98</v>
      </c>
      <c r="Y1335" s="4"/>
      <c r="Z1335" s="4">
        <v>130.72397922002739</v>
      </c>
      <c r="AA1335" s="4">
        <v>86.621328985588619</v>
      </c>
      <c r="AB1335" s="4">
        <v>0</v>
      </c>
      <c r="AC1335" s="4">
        <v>164.84219999999999</v>
      </c>
      <c r="AD1335" s="4">
        <v>125.42940000000002</v>
      </c>
      <c r="AE1335" s="4">
        <v>0</v>
      </c>
      <c r="AF1335" s="4">
        <v>200.00768820664192</v>
      </c>
      <c r="AG1335" s="4">
        <v>132.53063334795058</v>
      </c>
    </row>
    <row r="1336" spans="1:33" ht="11.25" customHeight="1" x14ac:dyDescent="0.25">
      <c r="A1336" s="3" t="s">
        <v>21</v>
      </c>
      <c r="B1336" s="3" t="s">
        <v>22</v>
      </c>
      <c r="C1336" s="3" t="s">
        <v>23</v>
      </c>
      <c r="D1336" s="3" t="s">
        <v>24</v>
      </c>
      <c r="E1336" s="3" t="s">
        <v>29</v>
      </c>
      <c r="F1336" s="3" t="s">
        <v>25</v>
      </c>
      <c r="G1336" s="3" t="s">
        <v>25</v>
      </c>
      <c r="H1336" s="3" t="s">
        <v>25</v>
      </c>
      <c r="I1336" s="6">
        <v>44378</v>
      </c>
      <c r="J1336" s="4">
        <v>0</v>
      </c>
      <c r="K1336" s="4">
        <v>0</v>
      </c>
      <c r="L1336" s="4">
        <v>6931.933</v>
      </c>
      <c r="M1336" s="4">
        <v>6931.933</v>
      </c>
      <c r="N1336" s="4">
        <v>6931.933</v>
      </c>
      <c r="O1336" s="4">
        <v>6931.933</v>
      </c>
      <c r="P1336" s="4">
        <v>23087</v>
      </c>
      <c r="Q1336" s="3" t="s">
        <v>26</v>
      </c>
      <c r="R1336" s="3">
        <v>0</v>
      </c>
      <c r="S1336" s="4">
        <v>0</v>
      </c>
      <c r="T1336" s="4">
        <v>26</v>
      </c>
      <c r="U1336" s="4">
        <v>99</v>
      </c>
      <c r="V1336" s="4">
        <v>0</v>
      </c>
      <c r="W1336" s="4">
        <v>107.74</v>
      </c>
      <c r="X1336" s="4">
        <v>81.98</v>
      </c>
      <c r="Y1336" s="4"/>
      <c r="Z1336" s="4">
        <v>130.72397922002739</v>
      </c>
      <c r="AA1336" s="4">
        <v>86.621328985588619</v>
      </c>
      <c r="AB1336" s="4">
        <v>0</v>
      </c>
      <c r="AC1336" s="4">
        <v>746846.46141999995</v>
      </c>
      <c r="AD1336" s="4">
        <v>568279.86734</v>
      </c>
      <c r="AE1336" s="4">
        <v>0</v>
      </c>
      <c r="AF1336" s="4">
        <v>906169.86544662213</v>
      </c>
      <c r="AG1336" s="4">
        <v>600453.24889905832</v>
      </c>
    </row>
    <row r="1337" spans="1:33" ht="11.25" customHeight="1" x14ac:dyDescent="0.25">
      <c r="A1337" s="3" t="s">
        <v>27</v>
      </c>
      <c r="B1337" s="3" t="s">
        <v>22</v>
      </c>
      <c r="C1337" s="3" t="s">
        <v>23</v>
      </c>
      <c r="D1337" s="3" t="s">
        <v>24</v>
      </c>
      <c r="E1337" s="3" t="s">
        <v>29</v>
      </c>
      <c r="F1337" s="3" t="s">
        <v>25</v>
      </c>
      <c r="G1337" s="3" t="s">
        <v>25</v>
      </c>
      <c r="H1337" s="3" t="s">
        <v>25</v>
      </c>
      <c r="I1337" s="6">
        <v>44378</v>
      </c>
      <c r="J1337" s="4">
        <v>0</v>
      </c>
      <c r="K1337" s="4">
        <v>0</v>
      </c>
      <c r="L1337" s="4">
        <v>1.5189999999999999</v>
      </c>
      <c r="M1337" s="4">
        <v>1.5189999999999999</v>
      </c>
      <c r="N1337" s="4">
        <v>1.5189999999999999</v>
      </c>
      <c r="O1337" s="4">
        <v>1.5189999999999999</v>
      </c>
      <c r="P1337" s="4">
        <v>14</v>
      </c>
      <c r="Q1337" s="3" t="s">
        <v>26</v>
      </c>
      <c r="R1337" s="3">
        <v>0</v>
      </c>
      <c r="S1337" s="4">
        <v>0</v>
      </c>
      <c r="T1337" s="4">
        <v>26</v>
      </c>
      <c r="U1337" s="4">
        <v>99</v>
      </c>
      <c r="V1337" s="4">
        <v>0</v>
      </c>
      <c r="W1337" s="4">
        <v>107.74</v>
      </c>
      <c r="X1337" s="4">
        <v>81.98</v>
      </c>
      <c r="Y1337" s="4"/>
      <c r="Z1337" s="4">
        <v>130.72397922002739</v>
      </c>
      <c r="AA1337" s="4">
        <v>86.621328985588619</v>
      </c>
      <c r="AB1337" s="4">
        <v>0</v>
      </c>
      <c r="AC1337" s="4">
        <v>163.65705999999997</v>
      </c>
      <c r="AD1337" s="4">
        <v>124.52762</v>
      </c>
      <c r="AE1337" s="4">
        <v>0</v>
      </c>
      <c r="AF1337" s="4">
        <v>198.56972443522159</v>
      </c>
      <c r="AG1337" s="4">
        <v>131.57779872910911</v>
      </c>
    </row>
    <row r="1338" spans="1:33" ht="11.25" customHeight="1" x14ac:dyDescent="0.25">
      <c r="A1338" s="3" t="s">
        <v>28</v>
      </c>
      <c r="B1338" s="3" t="s">
        <v>22</v>
      </c>
      <c r="C1338" s="3" t="s">
        <v>23</v>
      </c>
      <c r="D1338" s="3" t="s">
        <v>24</v>
      </c>
      <c r="E1338" s="3" t="s">
        <v>29</v>
      </c>
      <c r="F1338" s="3" t="s">
        <v>25</v>
      </c>
      <c r="G1338" s="3" t="s">
        <v>25</v>
      </c>
      <c r="H1338" s="3" t="s">
        <v>25</v>
      </c>
      <c r="I1338" s="6">
        <v>44378</v>
      </c>
      <c r="J1338" s="4">
        <v>0</v>
      </c>
      <c r="K1338" s="4">
        <v>0</v>
      </c>
      <c r="L1338" s="4">
        <v>1.71</v>
      </c>
      <c r="M1338" s="4">
        <v>1.71</v>
      </c>
      <c r="N1338" s="4">
        <v>1.71</v>
      </c>
      <c r="O1338" s="4">
        <v>1.71</v>
      </c>
      <c r="P1338" s="4">
        <v>4</v>
      </c>
      <c r="Q1338" s="3" t="s">
        <v>26</v>
      </c>
      <c r="R1338" s="3">
        <v>0</v>
      </c>
      <c r="S1338" s="4">
        <v>0</v>
      </c>
      <c r="T1338" s="4">
        <v>26</v>
      </c>
      <c r="U1338" s="4">
        <v>99</v>
      </c>
      <c r="V1338" s="4">
        <v>0</v>
      </c>
      <c r="W1338" s="4">
        <v>107.74</v>
      </c>
      <c r="X1338" s="4">
        <v>81.98</v>
      </c>
      <c r="Y1338" s="4"/>
      <c r="Z1338" s="4">
        <v>130.72397922002739</v>
      </c>
      <c r="AA1338" s="4">
        <v>86.621328985588619</v>
      </c>
      <c r="AB1338" s="4">
        <v>0</v>
      </c>
      <c r="AC1338" s="4">
        <v>184.2354</v>
      </c>
      <c r="AD1338" s="4">
        <v>140.1858</v>
      </c>
      <c r="AE1338" s="4">
        <v>0</v>
      </c>
      <c r="AF1338" s="4">
        <v>223.53800446624683</v>
      </c>
      <c r="AG1338" s="4">
        <v>148.12247256535653</v>
      </c>
    </row>
    <row r="1339" spans="1:33" ht="11.25" customHeight="1" x14ac:dyDescent="0.25">
      <c r="A1339" s="3" t="s">
        <v>21</v>
      </c>
      <c r="B1339" s="3" t="s">
        <v>22</v>
      </c>
      <c r="C1339" s="3" t="s">
        <v>23</v>
      </c>
      <c r="D1339" s="3" t="s">
        <v>24</v>
      </c>
      <c r="E1339" s="3" t="s">
        <v>29</v>
      </c>
      <c r="F1339" s="3" t="s">
        <v>25</v>
      </c>
      <c r="G1339" s="3" t="s">
        <v>25</v>
      </c>
      <c r="H1339" s="3" t="s">
        <v>25</v>
      </c>
      <c r="I1339" s="6">
        <v>44409</v>
      </c>
      <c r="J1339" s="4">
        <v>0</v>
      </c>
      <c r="K1339" s="4">
        <v>0</v>
      </c>
      <c r="L1339" s="4">
        <v>6971.5640000000003</v>
      </c>
      <c r="M1339" s="4">
        <v>6971.5640000000003</v>
      </c>
      <c r="N1339" s="4">
        <v>6971.5640000000003</v>
      </c>
      <c r="O1339" s="4">
        <v>6971.5640000000003</v>
      </c>
      <c r="P1339" s="4">
        <v>24466</v>
      </c>
      <c r="Q1339" s="3" t="s">
        <v>26</v>
      </c>
      <c r="R1339" s="3">
        <v>0</v>
      </c>
      <c r="S1339" s="4">
        <v>0</v>
      </c>
      <c r="T1339" s="4">
        <v>26</v>
      </c>
      <c r="U1339" s="4">
        <v>99</v>
      </c>
      <c r="V1339" s="4">
        <v>0</v>
      </c>
      <c r="W1339" s="4">
        <v>107.74</v>
      </c>
      <c r="X1339" s="4">
        <v>81.98</v>
      </c>
      <c r="Y1339" s="4"/>
      <c r="Z1339" s="4">
        <v>130.72397922002739</v>
      </c>
      <c r="AA1339" s="4">
        <v>86.621328985588619</v>
      </c>
      <c r="AB1339" s="4">
        <v>0</v>
      </c>
      <c r="AC1339" s="4">
        <v>751116.30536</v>
      </c>
      <c r="AD1339" s="4">
        <v>571528.81672</v>
      </c>
      <c r="AE1339" s="4">
        <v>0</v>
      </c>
      <c r="AF1339" s="4">
        <v>911350.58746709104</v>
      </c>
      <c r="AG1339" s="4">
        <v>603886.13878808613</v>
      </c>
    </row>
    <row r="1340" spans="1:33" ht="11.25" customHeight="1" x14ac:dyDescent="0.25">
      <c r="A1340" s="3" t="s">
        <v>27</v>
      </c>
      <c r="B1340" s="3" t="s">
        <v>22</v>
      </c>
      <c r="C1340" s="3" t="s">
        <v>23</v>
      </c>
      <c r="D1340" s="3" t="s">
        <v>24</v>
      </c>
      <c r="E1340" s="3" t="s">
        <v>29</v>
      </c>
      <c r="F1340" s="3" t="s">
        <v>25</v>
      </c>
      <c r="G1340" s="3" t="s">
        <v>25</v>
      </c>
      <c r="H1340" s="3" t="s">
        <v>25</v>
      </c>
      <c r="I1340" s="6">
        <v>44409</v>
      </c>
      <c r="J1340" s="4">
        <v>0</v>
      </c>
      <c r="K1340" s="4">
        <v>0</v>
      </c>
      <c r="L1340" s="4">
        <v>3.0750000000000002</v>
      </c>
      <c r="M1340" s="4">
        <v>3.0750000000000002</v>
      </c>
      <c r="N1340" s="4">
        <v>3.0750000000000002</v>
      </c>
      <c r="O1340" s="4">
        <v>3.0750000000000002</v>
      </c>
      <c r="P1340" s="4">
        <v>13</v>
      </c>
      <c r="Q1340" s="3" t="s">
        <v>26</v>
      </c>
      <c r="R1340" s="3">
        <v>0</v>
      </c>
      <c r="S1340" s="4">
        <v>0</v>
      </c>
      <c r="T1340" s="4">
        <v>26</v>
      </c>
      <c r="U1340" s="4">
        <v>99</v>
      </c>
      <c r="V1340" s="4">
        <v>0</v>
      </c>
      <c r="W1340" s="4">
        <v>107.74</v>
      </c>
      <c r="X1340" s="4">
        <v>81.98</v>
      </c>
      <c r="Y1340" s="4"/>
      <c r="Z1340" s="4">
        <v>130.72397922002739</v>
      </c>
      <c r="AA1340" s="4">
        <v>86.621328985588619</v>
      </c>
      <c r="AB1340" s="4">
        <v>0</v>
      </c>
      <c r="AC1340" s="4">
        <v>331.3005</v>
      </c>
      <c r="AD1340" s="4">
        <v>252.08850000000004</v>
      </c>
      <c r="AE1340" s="4">
        <v>0</v>
      </c>
      <c r="AF1340" s="4">
        <v>401.97623610158422</v>
      </c>
      <c r="AG1340" s="4">
        <v>266.36058663068502</v>
      </c>
    </row>
    <row r="1341" spans="1:33" ht="11.25" customHeight="1" x14ac:dyDescent="0.25">
      <c r="A1341" s="3" t="s">
        <v>28</v>
      </c>
      <c r="B1341" s="3" t="s">
        <v>22</v>
      </c>
      <c r="C1341" s="3" t="s">
        <v>23</v>
      </c>
      <c r="D1341" s="3" t="s">
        <v>24</v>
      </c>
      <c r="E1341" s="3" t="s">
        <v>29</v>
      </c>
      <c r="F1341" s="3" t="s">
        <v>25</v>
      </c>
      <c r="G1341" s="3" t="s">
        <v>25</v>
      </c>
      <c r="H1341" s="3" t="s">
        <v>25</v>
      </c>
      <c r="I1341" s="6">
        <v>44409</v>
      </c>
      <c r="J1341" s="4">
        <v>0</v>
      </c>
      <c r="K1341" s="4">
        <v>0</v>
      </c>
      <c r="L1341" s="4">
        <v>1.8</v>
      </c>
      <c r="M1341" s="4">
        <v>1.8</v>
      </c>
      <c r="N1341" s="4">
        <v>1.8</v>
      </c>
      <c r="O1341" s="4">
        <v>1.8</v>
      </c>
      <c r="P1341" s="4">
        <v>3</v>
      </c>
      <c r="Q1341" s="3" t="s">
        <v>26</v>
      </c>
      <c r="R1341" s="3">
        <v>0</v>
      </c>
      <c r="S1341" s="4">
        <v>0</v>
      </c>
      <c r="T1341" s="4">
        <v>26</v>
      </c>
      <c r="U1341" s="4">
        <v>99</v>
      </c>
      <c r="V1341" s="4">
        <v>0</v>
      </c>
      <c r="W1341" s="4">
        <v>107.74</v>
      </c>
      <c r="X1341" s="4">
        <v>81.98</v>
      </c>
      <c r="Y1341" s="4"/>
      <c r="Z1341" s="4">
        <v>130.72397922002739</v>
      </c>
      <c r="AA1341" s="4">
        <v>86.621328985588619</v>
      </c>
      <c r="AB1341" s="4">
        <v>0</v>
      </c>
      <c r="AC1341" s="4">
        <v>193.93199999999999</v>
      </c>
      <c r="AD1341" s="4">
        <v>147.56400000000002</v>
      </c>
      <c r="AE1341" s="4">
        <v>0</v>
      </c>
      <c r="AF1341" s="4">
        <v>235.3031625960493</v>
      </c>
      <c r="AG1341" s="4">
        <v>155.91839217405951</v>
      </c>
    </row>
    <row r="1342" spans="1:33" ht="11.25" customHeight="1" x14ac:dyDescent="0.25">
      <c r="A1342" s="3" t="s">
        <v>21</v>
      </c>
      <c r="B1342" s="3" t="s">
        <v>22</v>
      </c>
      <c r="C1342" s="3" t="s">
        <v>23</v>
      </c>
      <c r="D1342" s="3" t="s">
        <v>24</v>
      </c>
      <c r="E1342" s="3" t="s">
        <v>29</v>
      </c>
      <c r="F1342" s="3" t="s">
        <v>25</v>
      </c>
      <c r="G1342" s="3" t="s">
        <v>25</v>
      </c>
      <c r="H1342" s="3" t="s">
        <v>25</v>
      </c>
      <c r="I1342" s="6">
        <v>44440</v>
      </c>
      <c r="J1342" s="4">
        <v>0</v>
      </c>
      <c r="K1342" s="4">
        <v>0</v>
      </c>
      <c r="L1342" s="4">
        <v>6875.5219999999999</v>
      </c>
      <c r="M1342" s="4">
        <v>6875.5219999999999</v>
      </c>
      <c r="N1342" s="4">
        <v>6875.5219999999999</v>
      </c>
      <c r="O1342" s="4">
        <v>6875.5219999999999</v>
      </c>
      <c r="P1342" s="4">
        <v>23075</v>
      </c>
      <c r="Q1342" s="3" t="s">
        <v>26</v>
      </c>
      <c r="R1342" s="3">
        <v>0</v>
      </c>
      <c r="S1342" s="4">
        <v>0</v>
      </c>
      <c r="T1342" s="4">
        <v>26</v>
      </c>
      <c r="U1342" s="4">
        <v>99</v>
      </c>
      <c r="V1342" s="4">
        <v>0</v>
      </c>
      <c r="W1342" s="4">
        <v>107.74</v>
      </c>
      <c r="X1342" s="4">
        <v>81.98</v>
      </c>
      <c r="Y1342" s="4"/>
      <c r="Z1342" s="4">
        <v>130.72397922002739</v>
      </c>
      <c r="AA1342" s="4">
        <v>86.621328985588619</v>
      </c>
      <c r="AB1342" s="4">
        <v>0</v>
      </c>
      <c r="AC1342" s="4">
        <v>740768.74027999991</v>
      </c>
      <c r="AD1342" s="4">
        <v>563655.29356000002</v>
      </c>
      <c r="AE1342" s="4">
        <v>0</v>
      </c>
      <c r="AF1342" s="4">
        <v>898795.59505484113</v>
      </c>
      <c r="AG1342" s="4">
        <v>595566.85310965218</v>
      </c>
    </row>
    <row r="1343" spans="1:33" ht="11.25" customHeight="1" x14ac:dyDescent="0.25">
      <c r="A1343" s="3" t="s">
        <v>27</v>
      </c>
      <c r="B1343" s="3" t="s">
        <v>22</v>
      </c>
      <c r="C1343" s="3" t="s">
        <v>23</v>
      </c>
      <c r="D1343" s="3" t="s">
        <v>24</v>
      </c>
      <c r="E1343" s="3" t="s">
        <v>29</v>
      </c>
      <c r="F1343" s="3" t="s">
        <v>25</v>
      </c>
      <c r="G1343" s="3" t="s">
        <v>25</v>
      </c>
      <c r="H1343" s="3" t="s">
        <v>25</v>
      </c>
      <c r="I1343" s="6">
        <v>44440</v>
      </c>
      <c r="J1343" s="4">
        <v>0</v>
      </c>
      <c r="K1343" s="4">
        <v>0</v>
      </c>
      <c r="L1343" s="4">
        <v>7.2610000000000001</v>
      </c>
      <c r="M1343" s="4">
        <v>7.2610000000000001</v>
      </c>
      <c r="N1343" s="4">
        <v>7.2610000000000001</v>
      </c>
      <c r="O1343" s="4">
        <v>7.2610000000000001</v>
      </c>
      <c r="P1343" s="4">
        <v>19</v>
      </c>
      <c r="Q1343" s="3" t="s">
        <v>26</v>
      </c>
      <c r="R1343" s="3">
        <v>0</v>
      </c>
      <c r="S1343" s="4">
        <v>0</v>
      </c>
      <c r="T1343" s="4">
        <v>26</v>
      </c>
      <c r="U1343" s="4">
        <v>99</v>
      </c>
      <c r="V1343" s="4">
        <v>0</v>
      </c>
      <c r="W1343" s="4">
        <v>107.74</v>
      </c>
      <c r="X1343" s="4">
        <v>81.98</v>
      </c>
      <c r="Y1343" s="4"/>
      <c r="Z1343" s="4">
        <v>130.72397922002739</v>
      </c>
      <c r="AA1343" s="4">
        <v>86.621328985588619</v>
      </c>
      <c r="AB1343" s="4">
        <v>0</v>
      </c>
      <c r="AC1343" s="4">
        <v>782.30013999999994</v>
      </c>
      <c r="AD1343" s="4">
        <v>595.25678000000005</v>
      </c>
      <c r="AE1343" s="4">
        <v>0</v>
      </c>
      <c r="AF1343" s="4">
        <v>949.18681311661885</v>
      </c>
      <c r="AG1343" s="4">
        <v>628.95746976435896</v>
      </c>
    </row>
    <row r="1344" spans="1:33" ht="11.25" customHeight="1" x14ac:dyDescent="0.25">
      <c r="A1344" s="3" t="s">
        <v>28</v>
      </c>
      <c r="B1344" s="3" t="s">
        <v>22</v>
      </c>
      <c r="C1344" s="3" t="s">
        <v>23</v>
      </c>
      <c r="D1344" s="3" t="s">
        <v>24</v>
      </c>
      <c r="E1344" s="3" t="s">
        <v>29</v>
      </c>
      <c r="F1344" s="3" t="s">
        <v>25</v>
      </c>
      <c r="G1344" s="3" t="s">
        <v>25</v>
      </c>
      <c r="H1344" s="3" t="s">
        <v>25</v>
      </c>
      <c r="I1344" s="6">
        <v>44440</v>
      </c>
      <c r="J1344" s="4">
        <v>0</v>
      </c>
      <c r="K1344" s="4">
        <v>0</v>
      </c>
      <c r="L1344" s="4">
        <v>1.86</v>
      </c>
      <c r="M1344" s="4">
        <v>1.86</v>
      </c>
      <c r="N1344" s="4">
        <v>1.86</v>
      </c>
      <c r="O1344" s="4">
        <v>1.86</v>
      </c>
      <c r="P1344" s="4">
        <v>3</v>
      </c>
      <c r="Q1344" s="3" t="s">
        <v>26</v>
      </c>
      <c r="R1344" s="3">
        <v>0</v>
      </c>
      <c r="S1344" s="4">
        <v>0</v>
      </c>
      <c r="T1344" s="4">
        <v>26</v>
      </c>
      <c r="U1344" s="4">
        <v>99</v>
      </c>
      <c r="V1344" s="4">
        <v>0</v>
      </c>
      <c r="W1344" s="4">
        <v>107.74</v>
      </c>
      <c r="X1344" s="4">
        <v>81.98</v>
      </c>
      <c r="Y1344" s="4"/>
      <c r="Z1344" s="4">
        <v>130.72397922002739</v>
      </c>
      <c r="AA1344" s="4">
        <v>86.621328985588619</v>
      </c>
      <c r="AB1344" s="4">
        <v>0</v>
      </c>
      <c r="AC1344" s="4">
        <v>200.3964</v>
      </c>
      <c r="AD1344" s="4">
        <v>152.48280000000003</v>
      </c>
      <c r="AE1344" s="4">
        <v>0</v>
      </c>
      <c r="AF1344" s="4">
        <v>243.14660134925094</v>
      </c>
      <c r="AG1344" s="4">
        <v>161.11567191319483</v>
      </c>
    </row>
    <row r="1345" spans="1:33" ht="11.25" customHeight="1" x14ac:dyDescent="0.25">
      <c r="A1345" s="3" t="s">
        <v>21</v>
      </c>
      <c r="B1345" s="3" t="s">
        <v>22</v>
      </c>
      <c r="C1345" s="3" t="s">
        <v>23</v>
      </c>
      <c r="D1345" s="3" t="s">
        <v>24</v>
      </c>
      <c r="E1345" s="3" t="s">
        <v>29</v>
      </c>
      <c r="F1345" s="3" t="s">
        <v>25</v>
      </c>
      <c r="G1345" s="3" t="s">
        <v>25</v>
      </c>
      <c r="H1345" s="3" t="s">
        <v>25</v>
      </c>
      <c r="I1345" s="6">
        <v>44470</v>
      </c>
      <c r="J1345" s="4">
        <v>0</v>
      </c>
      <c r="K1345" s="4">
        <v>0</v>
      </c>
      <c r="L1345" s="4">
        <v>6927.3630000000003</v>
      </c>
      <c r="M1345" s="4">
        <v>6927.3630000000003</v>
      </c>
      <c r="N1345" s="4">
        <v>6927.3630000000003</v>
      </c>
      <c r="O1345" s="4">
        <v>6927.3630000000003</v>
      </c>
      <c r="P1345" s="4">
        <v>21996</v>
      </c>
      <c r="Q1345" s="3" t="s">
        <v>26</v>
      </c>
      <c r="R1345" s="3">
        <v>0</v>
      </c>
      <c r="S1345" s="4">
        <v>0</v>
      </c>
      <c r="T1345" s="4">
        <v>26</v>
      </c>
      <c r="U1345" s="4">
        <v>99</v>
      </c>
      <c r="V1345" s="4">
        <v>0</v>
      </c>
      <c r="W1345" s="4">
        <v>107.74</v>
      </c>
      <c r="X1345" s="4">
        <v>81.98</v>
      </c>
      <c r="Y1345" s="4"/>
      <c r="Z1345" s="4">
        <v>130.72397922002739</v>
      </c>
      <c r="AA1345" s="4">
        <v>86.621328985588619</v>
      </c>
      <c r="AB1345" s="4">
        <v>0</v>
      </c>
      <c r="AC1345" s="4">
        <v>746354.08961999998</v>
      </c>
      <c r="AD1345" s="4">
        <v>567905.21874000004</v>
      </c>
      <c r="AE1345" s="4">
        <v>0</v>
      </c>
      <c r="AF1345" s="4">
        <v>905572.45686158666</v>
      </c>
      <c r="AG1345" s="4">
        <v>600057.38942559413</v>
      </c>
    </row>
    <row r="1346" spans="1:33" ht="11.25" customHeight="1" x14ac:dyDescent="0.25">
      <c r="A1346" s="3" t="s">
        <v>27</v>
      </c>
      <c r="B1346" s="3" t="s">
        <v>22</v>
      </c>
      <c r="C1346" s="3" t="s">
        <v>23</v>
      </c>
      <c r="D1346" s="3" t="s">
        <v>24</v>
      </c>
      <c r="E1346" s="3" t="s">
        <v>29</v>
      </c>
      <c r="F1346" s="3" t="s">
        <v>25</v>
      </c>
      <c r="G1346" s="3" t="s">
        <v>25</v>
      </c>
      <c r="H1346" s="3" t="s">
        <v>25</v>
      </c>
      <c r="I1346" s="6">
        <v>44470</v>
      </c>
      <c r="J1346" s="4">
        <v>0</v>
      </c>
      <c r="K1346" s="4">
        <v>0</v>
      </c>
      <c r="L1346" s="4">
        <v>1.2250000000000001</v>
      </c>
      <c r="M1346" s="4">
        <v>1.2250000000000001</v>
      </c>
      <c r="N1346" s="4">
        <v>1.2250000000000001</v>
      </c>
      <c r="O1346" s="4">
        <v>1.2250000000000001</v>
      </c>
      <c r="P1346" s="4">
        <v>17</v>
      </c>
      <c r="Q1346" s="3" t="s">
        <v>26</v>
      </c>
      <c r="R1346" s="3">
        <v>0</v>
      </c>
      <c r="S1346" s="4">
        <v>0</v>
      </c>
      <c r="T1346" s="4">
        <v>26</v>
      </c>
      <c r="U1346" s="4">
        <v>99</v>
      </c>
      <c r="V1346" s="4">
        <v>0</v>
      </c>
      <c r="W1346" s="4">
        <v>107.74</v>
      </c>
      <c r="X1346" s="4">
        <v>81.98</v>
      </c>
      <c r="Y1346" s="4"/>
      <c r="Z1346" s="4">
        <v>130.72397922002739</v>
      </c>
      <c r="AA1346" s="4">
        <v>86.621328985588619</v>
      </c>
      <c r="AB1346" s="4">
        <v>0</v>
      </c>
      <c r="AC1346" s="4">
        <v>131.98150000000001</v>
      </c>
      <c r="AD1346" s="4">
        <v>100.42550000000001</v>
      </c>
      <c r="AE1346" s="4">
        <v>0</v>
      </c>
      <c r="AF1346" s="4">
        <v>160.13687454453355</v>
      </c>
      <c r="AG1346" s="4">
        <v>106.11112800734607</v>
      </c>
    </row>
    <row r="1347" spans="1:33" ht="11.25" customHeight="1" x14ac:dyDescent="0.25">
      <c r="A1347" s="3" t="s">
        <v>28</v>
      </c>
      <c r="B1347" s="3" t="s">
        <v>22</v>
      </c>
      <c r="C1347" s="3" t="s">
        <v>23</v>
      </c>
      <c r="D1347" s="3" t="s">
        <v>24</v>
      </c>
      <c r="E1347" s="3" t="s">
        <v>29</v>
      </c>
      <c r="F1347" s="3" t="s">
        <v>25</v>
      </c>
      <c r="G1347" s="3" t="s">
        <v>25</v>
      </c>
      <c r="H1347" s="3" t="s">
        <v>25</v>
      </c>
      <c r="I1347" s="6">
        <v>44470</v>
      </c>
      <c r="J1347" s="4">
        <v>0</v>
      </c>
      <c r="K1347" s="4">
        <v>0</v>
      </c>
      <c r="L1347" s="4">
        <v>1.95</v>
      </c>
      <c r="M1347" s="4">
        <v>1.95</v>
      </c>
      <c r="N1347" s="4">
        <v>1.95</v>
      </c>
      <c r="O1347" s="4">
        <v>1.95</v>
      </c>
      <c r="P1347" s="4">
        <v>5</v>
      </c>
      <c r="Q1347" s="3" t="s">
        <v>26</v>
      </c>
      <c r="R1347" s="3">
        <v>0</v>
      </c>
      <c r="S1347" s="4">
        <v>0</v>
      </c>
      <c r="T1347" s="4">
        <v>26</v>
      </c>
      <c r="U1347" s="4">
        <v>99</v>
      </c>
      <c r="V1347" s="4">
        <v>0</v>
      </c>
      <c r="W1347" s="4">
        <v>107.74</v>
      </c>
      <c r="X1347" s="4">
        <v>81.98</v>
      </c>
      <c r="Y1347" s="4"/>
      <c r="Z1347" s="4">
        <v>130.72397922002739</v>
      </c>
      <c r="AA1347" s="4">
        <v>86.621328985588619</v>
      </c>
      <c r="AB1347" s="4">
        <v>0</v>
      </c>
      <c r="AC1347" s="4">
        <v>210.09299999999999</v>
      </c>
      <c r="AD1347" s="4">
        <v>159.86099999999999</v>
      </c>
      <c r="AE1347" s="4">
        <v>0</v>
      </c>
      <c r="AF1347" s="4">
        <v>254.91175947905339</v>
      </c>
      <c r="AG1347" s="4">
        <v>168.9115915218978</v>
      </c>
    </row>
    <row r="1348" spans="1:33" ht="11.25" customHeight="1" x14ac:dyDescent="0.25">
      <c r="A1348" s="3" t="s">
        <v>21</v>
      </c>
      <c r="B1348" s="3" t="s">
        <v>22</v>
      </c>
      <c r="C1348" s="3" t="s">
        <v>23</v>
      </c>
      <c r="D1348" s="3" t="s">
        <v>24</v>
      </c>
      <c r="E1348" s="3" t="s">
        <v>29</v>
      </c>
      <c r="F1348" s="3" t="s">
        <v>25</v>
      </c>
      <c r="G1348" s="3" t="s">
        <v>25</v>
      </c>
      <c r="H1348" s="3" t="s">
        <v>25</v>
      </c>
      <c r="I1348" s="6">
        <v>44501</v>
      </c>
      <c r="J1348" s="4">
        <v>0</v>
      </c>
      <c r="K1348" s="4">
        <v>0</v>
      </c>
      <c r="L1348" s="4">
        <v>6944.7920000000004</v>
      </c>
      <c r="M1348" s="4">
        <v>6944.7920000000004</v>
      </c>
      <c r="N1348" s="4">
        <v>6944.7920000000004</v>
      </c>
      <c r="O1348" s="4">
        <v>6944.7920000000004</v>
      </c>
      <c r="P1348" s="4">
        <v>21899</v>
      </c>
      <c r="Q1348" s="3" t="s">
        <v>26</v>
      </c>
      <c r="R1348" s="3">
        <v>0</v>
      </c>
      <c r="S1348" s="4">
        <v>0</v>
      </c>
      <c r="T1348" s="4">
        <v>26</v>
      </c>
      <c r="U1348" s="4">
        <v>99</v>
      </c>
      <c r="V1348" s="4">
        <v>0</v>
      </c>
      <c r="W1348" s="4">
        <v>107.74</v>
      </c>
      <c r="X1348" s="4">
        <v>81.98</v>
      </c>
      <c r="Y1348" s="4"/>
      <c r="Z1348" s="4">
        <v>130.72397922002739</v>
      </c>
      <c r="AA1348" s="4">
        <v>86.621328985588619</v>
      </c>
      <c r="AB1348" s="4">
        <v>0</v>
      </c>
      <c r="AC1348" s="4">
        <v>748231.89008000004</v>
      </c>
      <c r="AD1348" s="4">
        <v>569334.04816000001</v>
      </c>
      <c r="AE1348" s="4">
        <v>0</v>
      </c>
      <c r="AF1348" s="4">
        <v>907850.84509541246</v>
      </c>
      <c r="AG1348" s="4">
        <v>601567.11256848404</v>
      </c>
    </row>
    <row r="1349" spans="1:33" ht="11.25" customHeight="1" x14ac:dyDescent="0.25">
      <c r="A1349" s="3" t="s">
        <v>27</v>
      </c>
      <c r="B1349" s="3" t="s">
        <v>22</v>
      </c>
      <c r="C1349" s="3" t="s">
        <v>23</v>
      </c>
      <c r="D1349" s="3" t="s">
        <v>24</v>
      </c>
      <c r="E1349" s="3" t="s">
        <v>29</v>
      </c>
      <c r="F1349" s="3" t="s">
        <v>25</v>
      </c>
      <c r="G1349" s="3" t="s">
        <v>25</v>
      </c>
      <c r="H1349" s="3" t="s">
        <v>25</v>
      </c>
      <c r="I1349" s="6">
        <v>44501</v>
      </c>
      <c r="J1349" s="4">
        <v>0</v>
      </c>
      <c r="K1349" s="4">
        <v>0</v>
      </c>
      <c r="L1349" s="4">
        <v>1.409</v>
      </c>
      <c r="M1349" s="4">
        <v>1.409</v>
      </c>
      <c r="N1349" s="4">
        <v>1.409</v>
      </c>
      <c r="O1349" s="4">
        <v>1.409</v>
      </c>
      <c r="P1349" s="4">
        <v>-1</v>
      </c>
      <c r="Q1349" s="3" t="s">
        <v>26</v>
      </c>
      <c r="R1349" s="3">
        <v>0</v>
      </c>
      <c r="S1349" s="4">
        <v>0</v>
      </c>
      <c r="T1349" s="4">
        <v>26</v>
      </c>
      <c r="U1349" s="4">
        <v>99</v>
      </c>
      <c r="V1349" s="4">
        <v>0</v>
      </c>
      <c r="W1349" s="4">
        <v>107.74</v>
      </c>
      <c r="X1349" s="4">
        <v>81.98</v>
      </c>
      <c r="Y1349" s="4"/>
      <c r="Z1349" s="4">
        <v>130.72397922002739</v>
      </c>
      <c r="AA1349" s="4">
        <v>86.621328985588619</v>
      </c>
      <c r="AB1349" s="4">
        <v>0</v>
      </c>
      <c r="AC1349" s="4">
        <v>151.80565999999999</v>
      </c>
      <c r="AD1349" s="4">
        <v>115.50982</v>
      </c>
      <c r="AE1349" s="4">
        <v>0</v>
      </c>
      <c r="AF1349" s="4">
        <v>184.19008672101859</v>
      </c>
      <c r="AG1349" s="4">
        <v>122.04945254069436</v>
      </c>
    </row>
    <row r="1350" spans="1:33" ht="11.25" customHeight="1" x14ac:dyDescent="0.25">
      <c r="A1350" s="3" t="s">
        <v>28</v>
      </c>
      <c r="B1350" s="3" t="s">
        <v>22</v>
      </c>
      <c r="C1350" s="3" t="s">
        <v>23</v>
      </c>
      <c r="D1350" s="3" t="s">
        <v>24</v>
      </c>
      <c r="E1350" s="3" t="s">
        <v>29</v>
      </c>
      <c r="F1350" s="3" t="s">
        <v>25</v>
      </c>
      <c r="G1350" s="3" t="s">
        <v>25</v>
      </c>
      <c r="H1350" s="3" t="s">
        <v>25</v>
      </c>
      <c r="I1350" s="6">
        <v>44501</v>
      </c>
      <c r="J1350" s="4">
        <v>0</v>
      </c>
      <c r="K1350" s="4">
        <v>0</v>
      </c>
      <c r="L1350" s="4">
        <v>2.0099999999999998</v>
      </c>
      <c r="M1350" s="4">
        <v>2.0099999999999998</v>
      </c>
      <c r="N1350" s="4">
        <v>2.0099999999999998</v>
      </c>
      <c r="O1350" s="4">
        <v>2.0099999999999998</v>
      </c>
      <c r="P1350" s="4">
        <v>3</v>
      </c>
      <c r="Q1350" s="3" t="s">
        <v>26</v>
      </c>
      <c r="R1350" s="3">
        <v>0</v>
      </c>
      <c r="S1350" s="4">
        <v>0</v>
      </c>
      <c r="T1350" s="4">
        <v>26</v>
      </c>
      <c r="U1350" s="4">
        <v>99</v>
      </c>
      <c r="V1350" s="4">
        <v>0</v>
      </c>
      <c r="W1350" s="4">
        <v>107.74</v>
      </c>
      <c r="X1350" s="4">
        <v>81.98</v>
      </c>
      <c r="Y1350" s="4"/>
      <c r="Z1350" s="4">
        <v>130.72397922002739</v>
      </c>
      <c r="AA1350" s="4">
        <v>86.621328985588619</v>
      </c>
      <c r="AB1350" s="4">
        <v>0</v>
      </c>
      <c r="AC1350" s="4">
        <v>216.55739999999997</v>
      </c>
      <c r="AD1350" s="4">
        <v>164.77979999999999</v>
      </c>
      <c r="AE1350" s="4">
        <v>0</v>
      </c>
      <c r="AF1350" s="4">
        <v>262.755198232255</v>
      </c>
      <c r="AG1350" s="4">
        <v>174.1088712610331</v>
      </c>
    </row>
    <row r="1351" spans="1:33" ht="11.25" customHeight="1" x14ac:dyDescent="0.25">
      <c r="A1351" s="3" t="s">
        <v>21</v>
      </c>
      <c r="B1351" s="3" t="s">
        <v>22</v>
      </c>
      <c r="C1351" s="3" t="s">
        <v>23</v>
      </c>
      <c r="D1351" s="3" t="s">
        <v>24</v>
      </c>
      <c r="E1351" s="3" t="s">
        <v>29</v>
      </c>
      <c r="F1351" s="3" t="s">
        <v>25</v>
      </c>
      <c r="G1351" s="3" t="s">
        <v>25</v>
      </c>
      <c r="H1351" s="3" t="s">
        <v>25</v>
      </c>
      <c r="I1351" s="6">
        <v>44531</v>
      </c>
      <c r="J1351" s="4">
        <v>0</v>
      </c>
      <c r="K1351" s="4">
        <v>0</v>
      </c>
      <c r="L1351" s="4">
        <v>6935.1530000000002</v>
      </c>
      <c r="M1351" s="4">
        <v>6935.1530000000002</v>
      </c>
      <c r="N1351" s="4">
        <v>6935.1530000000002</v>
      </c>
      <c r="O1351" s="4">
        <v>6935.1530000000002</v>
      </c>
      <c r="P1351" s="4">
        <v>20869</v>
      </c>
      <c r="Q1351" s="3" t="s">
        <v>26</v>
      </c>
      <c r="R1351" s="3">
        <v>0</v>
      </c>
      <c r="S1351" s="4">
        <v>0</v>
      </c>
      <c r="T1351" s="4">
        <v>26</v>
      </c>
      <c r="U1351" s="4">
        <v>99</v>
      </c>
      <c r="V1351" s="4">
        <v>0</v>
      </c>
      <c r="W1351" s="4">
        <v>107.74</v>
      </c>
      <c r="X1351" s="4">
        <v>81.98</v>
      </c>
      <c r="Y1351" s="4"/>
      <c r="Z1351" s="4">
        <v>130.72397922002739</v>
      </c>
      <c r="AA1351" s="4">
        <v>86.621328985588619</v>
      </c>
      <c r="AB1351" s="4">
        <v>0</v>
      </c>
      <c r="AC1351" s="4">
        <v>747193.38422000001</v>
      </c>
      <c r="AD1351" s="4">
        <v>568543.84294</v>
      </c>
      <c r="AE1351" s="4">
        <v>0</v>
      </c>
      <c r="AF1351" s="4">
        <v>906590.79665971058</v>
      </c>
      <c r="AG1351" s="4">
        <v>600732.16957839194</v>
      </c>
    </row>
    <row r="1352" spans="1:33" ht="11.25" customHeight="1" x14ac:dyDescent="0.25">
      <c r="A1352" s="3" t="s">
        <v>27</v>
      </c>
      <c r="B1352" s="3" t="s">
        <v>22</v>
      </c>
      <c r="C1352" s="3" t="s">
        <v>23</v>
      </c>
      <c r="D1352" s="3" t="s">
        <v>24</v>
      </c>
      <c r="E1352" s="3" t="s">
        <v>29</v>
      </c>
      <c r="F1352" s="3" t="s">
        <v>25</v>
      </c>
      <c r="G1352" s="3" t="s">
        <v>25</v>
      </c>
      <c r="H1352" s="3" t="s">
        <v>25</v>
      </c>
      <c r="I1352" s="6">
        <v>44531</v>
      </c>
      <c r="J1352" s="4">
        <v>0</v>
      </c>
      <c r="K1352" s="4">
        <v>0</v>
      </c>
      <c r="L1352" s="4">
        <v>3.1930000000000001</v>
      </c>
      <c r="M1352" s="4">
        <v>3.1930000000000001</v>
      </c>
      <c r="N1352" s="4">
        <v>3.1930000000000001</v>
      </c>
      <c r="O1352" s="4">
        <v>3.1930000000000001</v>
      </c>
      <c r="P1352" s="4">
        <v>38</v>
      </c>
      <c r="Q1352" s="3" t="s">
        <v>26</v>
      </c>
      <c r="R1352" s="3">
        <v>0</v>
      </c>
      <c r="S1352" s="4">
        <v>0</v>
      </c>
      <c r="T1352" s="4">
        <v>26</v>
      </c>
      <c r="U1352" s="4">
        <v>99</v>
      </c>
      <c r="V1352" s="4">
        <v>0</v>
      </c>
      <c r="W1352" s="4">
        <v>107.74</v>
      </c>
      <c r="X1352" s="4">
        <v>81.98</v>
      </c>
      <c r="Y1352" s="4"/>
      <c r="Z1352" s="4">
        <v>130.72397922002739</v>
      </c>
      <c r="AA1352" s="4">
        <v>86.621328985588619</v>
      </c>
      <c r="AB1352" s="4">
        <v>0</v>
      </c>
      <c r="AC1352" s="4">
        <v>344.01382000000001</v>
      </c>
      <c r="AD1352" s="4">
        <v>261.76214000000004</v>
      </c>
      <c r="AE1352" s="4">
        <v>0</v>
      </c>
      <c r="AF1352" s="4">
        <v>417.40166564954745</v>
      </c>
      <c r="AG1352" s="4">
        <v>276.58190345098444</v>
      </c>
    </row>
    <row r="1353" spans="1:33" ht="11.25" customHeight="1" x14ac:dyDescent="0.25">
      <c r="A1353" s="3" t="s">
        <v>28</v>
      </c>
      <c r="B1353" s="3" t="s">
        <v>22</v>
      </c>
      <c r="C1353" s="3" t="s">
        <v>23</v>
      </c>
      <c r="D1353" s="3" t="s">
        <v>24</v>
      </c>
      <c r="E1353" s="3" t="s">
        <v>29</v>
      </c>
      <c r="F1353" s="3" t="s">
        <v>25</v>
      </c>
      <c r="G1353" s="3" t="s">
        <v>25</v>
      </c>
      <c r="H1353" s="3" t="s">
        <v>25</v>
      </c>
      <c r="I1353" s="6">
        <v>44531</v>
      </c>
      <c r="J1353" s="4">
        <v>0</v>
      </c>
      <c r="K1353" s="4">
        <v>0</v>
      </c>
      <c r="L1353" s="4">
        <v>2.13</v>
      </c>
      <c r="M1353" s="4">
        <v>2.13</v>
      </c>
      <c r="N1353" s="4">
        <v>2.13</v>
      </c>
      <c r="O1353" s="4">
        <v>2.13</v>
      </c>
      <c r="P1353" s="4">
        <v>4</v>
      </c>
      <c r="Q1353" s="3" t="s">
        <v>26</v>
      </c>
      <c r="R1353" s="3">
        <v>0</v>
      </c>
      <c r="S1353" s="4">
        <v>0</v>
      </c>
      <c r="T1353" s="4">
        <v>26</v>
      </c>
      <c r="U1353" s="4">
        <v>99</v>
      </c>
      <c r="V1353" s="4">
        <v>0</v>
      </c>
      <c r="W1353" s="4">
        <v>107.74</v>
      </c>
      <c r="X1353" s="4">
        <v>81.98</v>
      </c>
      <c r="Y1353" s="4"/>
      <c r="Z1353" s="4">
        <v>130.72397922002739</v>
      </c>
      <c r="AA1353" s="4">
        <v>86.621328985588619</v>
      </c>
      <c r="AB1353" s="4">
        <v>0</v>
      </c>
      <c r="AC1353" s="4">
        <v>229.48619999999997</v>
      </c>
      <c r="AD1353" s="4">
        <v>174.6174</v>
      </c>
      <c r="AE1353" s="4">
        <v>0</v>
      </c>
      <c r="AF1353" s="4">
        <v>278.44207573865833</v>
      </c>
      <c r="AG1353" s="4">
        <v>184.50343073930375</v>
      </c>
    </row>
    <row r="1354" spans="1:33" ht="11.25" customHeight="1" x14ac:dyDescent="0.25">
      <c r="A1354" s="3" t="s">
        <v>21</v>
      </c>
      <c r="B1354" s="3" t="s">
        <v>22</v>
      </c>
      <c r="C1354" s="3" t="s">
        <v>23</v>
      </c>
      <c r="D1354" s="3" t="s">
        <v>24</v>
      </c>
      <c r="E1354" s="3" t="s">
        <v>29</v>
      </c>
      <c r="F1354" s="3" t="s">
        <v>25</v>
      </c>
      <c r="G1354" s="3" t="s">
        <v>25</v>
      </c>
      <c r="H1354" s="3" t="s">
        <v>25</v>
      </c>
      <c r="I1354" s="6">
        <v>44562</v>
      </c>
      <c r="J1354" s="4">
        <v>0</v>
      </c>
      <c r="K1354" s="4">
        <v>0</v>
      </c>
      <c r="L1354" s="4">
        <v>6954.357</v>
      </c>
      <c r="M1354" s="4">
        <v>6954.357</v>
      </c>
      <c r="N1354" s="4">
        <v>6954.357</v>
      </c>
      <c r="O1354" s="4">
        <v>6954.357</v>
      </c>
      <c r="P1354" s="4">
        <v>19774</v>
      </c>
      <c r="Q1354" s="3" t="s">
        <v>26</v>
      </c>
      <c r="R1354" s="3">
        <v>0</v>
      </c>
      <c r="S1354" s="4">
        <v>0</v>
      </c>
      <c r="T1354" s="4">
        <v>26</v>
      </c>
      <c r="U1354" s="4">
        <v>99</v>
      </c>
      <c r="V1354" s="4">
        <v>0</v>
      </c>
      <c r="W1354" s="4">
        <v>107.74</v>
      </c>
      <c r="X1354" s="4">
        <v>81.98</v>
      </c>
      <c r="Y1354" s="4"/>
      <c r="Z1354" s="4">
        <v>130.72397922002739</v>
      </c>
      <c r="AA1354" s="4">
        <v>86.621328985588619</v>
      </c>
      <c r="AB1354" s="4">
        <v>0</v>
      </c>
      <c r="AC1354" s="4">
        <v>749262.42317999993</v>
      </c>
      <c r="AD1354" s="4">
        <v>570118.18686000002</v>
      </c>
      <c r="AE1354" s="4">
        <v>0</v>
      </c>
      <c r="AF1354" s="4">
        <v>909101.21995665203</v>
      </c>
      <c r="AG1354" s="4">
        <v>602395.6455802311</v>
      </c>
    </row>
    <row r="1355" spans="1:33" ht="11.25" customHeight="1" x14ac:dyDescent="0.25">
      <c r="A1355" s="3" t="s">
        <v>27</v>
      </c>
      <c r="B1355" s="3" t="s">
        <v>22</v>
      </c>
      <c r="C1355" s="3" t="s">
        <v>23</v>
      </c>
      <c r="D1355" s="3" t="s">
        <v>24</v>
      </c>
      <c r="E1355" s="3" t="s">
        <v>29</v>
      </c>
      <c r="F1355" s="3" t="s">
        <v>25</v>
      </c>
      <c r="G1355" s="3" t="s">
        <v>25</v>
      </c>
      <c r="H1355" s="3" t="s">
        <v>25</v>
      </c>
      <c r="I1355" s="6">
        <v>44562</v>
      </c>
      <c r="J1355" s="4">
        <v>0</v>
      </c>
      <c r="K1355" s="4">
        <v>0</v>
      </c>
      <c r="L1355" s="4">
        <v>0.28299999999999997</v>
      </c>
      <c r="M1355" s="4">
        <v>0.28299999999999997</v>
      </c>
      <c r="N1355" s="4">
        <v>0.28299999999999997</v>
      </c>
      <c r="O1355" s="4">
        <v>0.28299999999999997</v>
      </c>
      <c r="P1355" s="4">
        <v>1</v>
      </c>
      <c r="Q1355" s="3" t="s">
        <v>26</v>
      </c>
      <c r="R1355" s="3">
        <v>0</v>
      </c>
      <c r="S1355" s="4">
        <v>0</v>
      </c>
      <c r="T1355" s="4">
        <v>26</v>
      </c>
      <c r="U1355" s="4">
        <v>99</v>
      </c>
      <c r="V1355" s="4">
        <v>0</v>
      </c>
      <c r="W1355" s="4">
        <v>107.74</v>
      </c>
      <c r="X1355" s="4">
        <v>81.98</v>
      </c>
      <c r="Y1355" s="4"/>
      <c r="Z1355" s="4">
        <v>130.72397922002739</v>
      </c>
      <c r="AA1355" s="4">
        <v>86.621328985588619</v>
      </c>
      <c r="AB1355" s="4">
        <v>0</v>
      </c>
      <c r="AC1355" s="4">
        <v>30.490419999999997</v>
      </c>
      <c r="AD1355" s="4">
        <v>23.200340000000001</v>
      </c>
      <c r="AE1355" s="4">
        <v>0</v>
      </c>
      <c r="AF1355" s="4">
        <v>36.994886119267747</v>
      </c>
      <c r="AG1355" s="4">
        <v>24.513836102921577</v>
      </c>
    </row>
    <row r="1356" spans="1:33" ht="11.25" customHeight="1" x14ac:dyDescent="0.25">
      <c r="A1356" s="3" t="s">
        <v>28</v>
      </c>
      <c r="B1356" s="3" t="s">
        <v>22</v>
      </c>
      <c r="C1356" s="3" t="s">
        <v>23</v>
      </c>
      <c r="D1356" s="3" t="s">
        <v>24</v>
      </c>
      <c r="E1356" s="3" t="s">
        <v>29</v>
      </c>
      <c r="F1356" s="3" t="s">
        <v>25</v>
      </c>
      <c r="G1356" s="3" t="s">
        <v>25</v>
      </c>
      <c r="H1356" s="3" t="s">
        <v>25</v>
      </c>
      <c r="I1356" s="6">
        <v>44562</v>
      </c>
      <c r="J1356" s="4">
        <v>0</v>
      </c>
      <c r="K1356" s="4">
        <v>0</v>
      </c>
      <c r="L1356" s="4">
        <v>2.34</v>
      </c>
      <c r="M1356" s="4">
        <v>2.34</v>
      </c>
      <c r="N1356" s="4">
        <v>2.34</v>
      </c>
      <c r="O1356" s="4">
        <v>2.34</v>
      </c>
      <c r="P1356" s="4">
        <v>7</v>
      </c>
      <c r="Q1356" s="3" t="s">
        <v>26</v>
      </c>
      <c r="R1356" s="3">
        <v>0</v>
      </c>
      <c r="S1356" s="4">
        <v>0</v>
      </c>
      <c r="T1356" s="4">
        <v>26</v>
      </c>
      <c r="U1356" s="4">
        <v>99</v>
      </c>
      <c r="V1356" s="4">
        <v>0</v>
      </c>
      <c r="W1356" s="4">
        <v>107.74</v>
      </c>
      <c r="X1356" s="4">
        <v>81.98</v>
      </c>
      <c r="Y1356" s="4"/>
      <c r="Z1356" s="4">
        <v>130.72397922002739</v>
      </c>
      <c r="AA1356" s="4">
        <v>86.621328985588619</v>
      </c>
      <c r="AB1356" s="4">
        <v>0</v>
      </c>
      <c r="AC1356" s="4">
        <v>252.11159999999998</v>
      </c>
      <c r="AD1356" s="4">
        <v>191.83320000000001</v>
      </c>
      <c r="AE1356" s="4">
        <v>0</v>
      </c>
      <c r="AF1356" s="4">
        <v>305.89411137486405</v>
      </c>
      <c r="AG1356" s="4">
        <v>202.69390982627735</v>
      </c>
    </row>
    <row r="1357" spans="1:33" ht="11.25" customHeight="1" x14ac:dyDescent="0.25">
      <c r="A1357" s="3" t="s">
        <v>21</v>
      </c>
      <c r="B1357" s="3" t="s">
        <v>22</v>
      </c>
      <c r="C1357" s="3" t="s">
        <v>23</v>
      </c>
      <c r="D1357" s="3" t="s">
        <v>24</v>
      </c>
      <c r="E1357" s="3" t="s">
        <v>29</v>
      </c>
      <c r="F1357" s="3" t="s">
        <v>25</v>
      </c>
      <c r="G1357" s="3" t="s">
        <v>25</v>
      </c>
      <c r="H1357" s="3" t="s">
        <v>25</v>
      </c>
      <c r="I1357" s="6">
        <v>44593</v>
      </c>
      <c r="J1357" s="4">
        <v>0</v>
      </c>
      <c r="K1357" s="4">
        <v>0</v>
      </c>
      <c r="L1357" s="4">
        <v>7246.22</v>
      </c>
      <c r="M1357" s="4">
        <v>7246.22</v>
      </c>
      <c r="N1357" s="4">
        <v>7246.22</v>
      </c>
      <c r="O1357" s="4">
        <v>7246.22</v>
      </c>
      <c r="P1357" s="4">
        <v>20972</v>
      </c>
      <c r="Q1357" s="3" t="s">
        <v>26</v>
      </c>
      <c r="R1357" s="3">
        <v>0</v>
      </c>
      <c r="S1357" s="4">
        <v>0</v>
      </c>
      <c r="T1357" s="4">
        <v>26</v>
      </c>
      <c r="U1357" s="4">
        <v>99</v>
      </c>
      <c r="V1357" s="4">
        <v>0</v>
      </c>
      <c r="W1357" s="4">
        <v>107.74</v>
      </c>
      <c r="X1357" s="4">
        <v>81.98</v>
      </c>
      <c r="Y1357" s="4"/>
      <c r="Z1357" s="4">
        <v>130.72397922002739</v>
      </c>
      <c r="AA1357" s="4">
        <v>86.621328985588619</v>
      </c>
      <c r="AB1357" s="4">
        <v>0</v>
      </c>
      <c r="AC1357" s="4">
        <v>780707.74280000001</v>
      </c>
      <c r="AD1357" s="4">
        <v>594045.11560000002</v>
      </c>
      <c r="AE1357" s="4">
        <v>0</v>
      </c>
      <c r="AF1357" s="4">
        <v>947254.71270374686</v>
      </c>
      <c r="AG1357" s="4">
        <v>627677.20652195194</v>
      </c>
    </row>
    <row r="1358" spans="1:33" ht="11.25" customHeight="1" x14ac:dyDescent="0.25">
      <c r="A1358" s="3" t="s">
        <v>27</v>
      </c>
      <c r="B1358" s="3" t="s">
        <v>22</v>
      </c>
      <c r="C1358" s="3" t="s">
        <v>23</v>
      </c>
      <c r="D1358" s="3" t="s">
        <v>24</v>
      </c>
      <c r="E1358" s="3" t="s">
        <v>29</v>
      </c>
      <c r="F1358" s="3" t="s">
        <v>25</v>
      </c>
      <c r="G1358" s="3" t="s">
        <v>25</v>
      </c>
      <c r="H1358" s="3" t="s">
        <v>25</v>
      </c>
      <c r="I1358" s="6">
        <v>44593</v>
      </c>
      <c r="J1358" s="4">
        <v>0</v>
      </c>
      <c r="K1358" s="4">
        <v>0</v>
      </c>
      <c r="L1358" s="4">
        <v>1.155</v>
      </c>
      <c r="M1358" s="4">
        <v>1.155</v>
      </c>
      <c r="N1358" s="4">
        <v>1.155</v>
      </c>
      <c r="O1358" s="4">
        <v>1.155</v>
      </c>
      <c r="P1358" s="4">
        <v>8</v>
      </c>
      <c r="Q1358" s="3" t="s">
        <v>26</v>
      </c>
      <c r="R1358" s="3">
        <v>0</v>
      </c>
      <c r="S1358" s="4">
        <v>0</v>
      </c>
      <c r="T1358" s="4">
        <v>26</v>
      </c>
      <c r="U1358" s="4">
        <v>99</v>
      </c>
      <c r="V1358" s="4">
        <v>0</v>
      </c>
      <c r="W1358" s="4">
        <v>107.74</v>
      </c>
      <c r="X1358" s="4">
        <v>81.98</v>
      </c>
      <c r="Y1358" s="4"/>
      <c r="Z1358" s="4">
        <v>130.72397922002739</v>
      </c>
      <c r="AA1358" s="4">
        <v>86.621328985588619</v>
      </c>
      <c r="AB1358" s="4">
        <v>0</v>
      </c>
      <c r="AC1358" s="4">
        <v>124.4397</v>
      </c>
      <c r="AD1358" s="4">
        <v>94.686900000000009</v>
      </c>
      <c r="AE1358" s="4">
        <v>0</v>
      </c>
      <c r="AF1358" s="4">
        <v>150.98619599913164</v>
      </c>
      <c r="AG1358" s="4">
        <v>100.04763497835485</v>
      </c>
    </row>
    <row r="1359" spans="1:33" ht="11.25" customHeight="1" x14ac:dyDescent="0.25">
      <c r="A1359" s="3" t="s">
        <v>28</v>
      </c>
      <c r="B1359" s="3" t="s">
        <v>22</v>
      </c>
      <c r="C1359" s="3" t="s">
        <v>23</v>
      </c>
      <c r="D1359" s="3" t="s">
        <v>24</v>
      </c>
      <c r="E1359" s="3" t="s">
        <v>29</v>
      </c>
      <c r="F1359" s="3" t="s">
        <v>25</v>
      </c>
      <c r="G1359" s="3" t="s">
        <v>25</v>
      </c>
      <c r="H1359" s="3" t="s">
        <v>25</v>
      </c>
      <c r="I1359" s="6">
        <v>44593</v>
      </c>
      <c r="J1359" s="4">
        <v>0</v>
      </c>
      <c r="K1359" s="4">
        <v>0</v>
      </c>
      <c r="L1359" s="4">
        <v>2.4300000000000002</v>
      </c>
      <c r="M1359" s="4">
        <v>2.4300000000000002</v>
      </c>
      <c r="N1359" s="4">
        <v>2.4300000000000002</v>
      </c>
      <c r="O1359" s="4">
        <v>2.4300000000000002</v>
      </c>
      <c r="P1359" s="4">
        <v>7</v>
      </c>
      <c r="Q1359" s="3" t="s">
        <v>26</v>
      </c>
      <c r="R1359" s="3">
        <v>0</v>
      </c>
      <c r="S1359" s="4">
        <v>0</v>
      </c>
      <c r="T1359" s="4">
        <v>26</v>
      </c>
      <c r="U1359" s="4">
        <v>99</v>
      </c>
      <c r="V1359" s="4">
        <v>0</v>
      </c>
      <c r="W1359" s="4">
        <v>107.74</v>
      </c>
      <c r="X1359" s="4">
        <v>81.98</v>
      </c>
      <c r="Y1359" s="4"/>
      <c r="Z1359" s="4">
        <v>130.72397922002739</v>
      </c>
      <c r="AA1359" s="4">
        <v>86.621328985588619</v>
      </c>
      <c r="AB1359" s="4">
        <v>0</v>
      </c>
      <c r="AC1359" s="4">
        <v>261.8082</v>
      </c>
      <c r="AD1359" s="4">
        <v>199.21140000000003</v>
      </c>
      <c r="AE1359" s="4">
        <v>0</v>
      </c>
      <c r="AF1359" s="4">
        <v>317.65926950466655</v>
      </c>
      <c r="AG1359" s="4">
        <v>210.48982943498035</v>
      </c>
    </row>
    <row r="1360" spans="1:33" ht="11.25" customHeight="1" x14ac:dyDescent="0.25">
      <c r="A1360" s="3" t="s">
        <v>56</v>
      </c>
      <c r="B1360" s="3" t="s">
        <v>22</v>
      </c>
      <c r="C1360" s="3" t="s">
        <v>23</v>
      </c>
      <c r="D1360" s="3" t="s">
        <v>24</v>
      </c>
      <c r="E1360" s="3" t="s">
        <v>29</v>
      </c>
      <c r="F1360" s="3" t="s">
        <v>25</v>
      </c>
      <c r="G1360" s="3" t="s">
        <v>25</v>
      </c>
      <c r="H1360" s="3" t="s">
        <v>25</v>
      </c>
      <c r="I1360" s="6">
        <v>44621</v>
      </c>
      <c r="J1360" s="4">
        <v>0</v>
      </c>
      <c r="K1360" s="4">
        <v>0</v>
      </c>
      <c r="L1360" s="4">
        <v>7246.22</v>
      </c>
      <c r="M1360" s="4">
        <v>7246.22</v>
      </c>
      <c r="N1360" s="4">
        <v>7246.22</v>
      </c>
      <c r="O1360" s="4">
        <v>7246.22</v>
      </c>
      <c r="P1360" s="4">
        <v>20972</v>
      </c>
      <c r="Q1360" s="3" t="s">
        <v>26</v>
      </c>
      <c r="R1360" s="3">
        <v>0</v>
      </c>
      <c r="S1360" s="4">
        <v>0</v>
      </c>
      <c r="T1360" s="4">
        <v>26</v>
      </c>
      <c r="U1360" s="4">
        <v>99</v>
      </c>
      <c r="V1360" s="4">
        <v>0</v>
      </c>
      <c r="W1360" s="4">
        <v>107.74</v>
      </c>
      <c r="X1360" s="4">
        <v>81.98</v>
      </c>
      <c r="Y1360" s="4"/>
      <c r="Z1360" s="4">
        <v>130.72397922002739</v>
      </c>
      <c r="AA1360" s="4">
        <v>86.621328985588619</v>
      </c>
      <c r="AB1360" s="4">
        <v>0</v>
      </c>
      <c r="AC1360" s="4">
        <v>780707.74280000001</v>
      </c>
      <c r="AD1360" s="4">
        <v>594045.11560000002</v>
      </c>
      <c r="AE1360" s="4">
        <v>0</v>
      </c>
      <c r="AF1360" s="4">
        <v>947254.71270374686</v>
      </c>
      <c r="AG1360" s="4">
        <v>627677.20652195194</v>
      </c>
    </row>
    <row r="1361" spans="1:33" ht="11.25" customHeight="1" x14ac:dyDescent="0.25">
      <c r="A1361" s="3" t="s">
        <v>56</v>
      </c>
      <c r="B1361" s="3" t="s">
        <v>22</v>
      </c>
      <c r="C1361" s="3" t="s">
        <v>23</v>
      </c>
      <c r="D1361" s="3" t="s">
        <v>24</v>
      </c>
      <c r="E1361" s="3" t="s">
        <v>29</v>
      </c>
      <c r="F1361" s="3" t="s">
        <v>25</v>
      </c>
      <c r="G1361" s="3" t="s">
        <v>25</v>
      </c>
      <c r="H1361" s="3" t="s">
        <v>25</v>
      </c>
      <c r="I1361" s="6">
        <v>44621</v>
      </c>
      <c r="J1361" s="4">
        <v>0</v>
      </c>
      <c r="K1361" s="4">
        <v>0</v>
      </c>
      <c r="L1361" s="4">
        <v>1.155</v>
      </c>
      <c r="M1361" s="4">
        <v>1.155</v>
      </c>
      <c r="N1361" s="4">
        <v>1.155</v>
      </c>
      <c r="O1361" s="4">
        <v>1.155</v>
      </c>
      <c r="P1361" s="4">
        <v>8</v>
      </c>
      <c r="Q1361" s="3" t="s">
        <v>26</v>
      </c>
      <c r="R1361" s="3">
        <v>0</v>
      </c>
      <c r="S1361" s="4">
        <v>0</v>
      </c>
      <c r="T1361" s="4">
        <v>26</v>
      </c>
      <c r="U1361" s="4">
        <v>99</v>
      </c>
      <c r="V1361" s="4">
        <v>0</v>
      </c>
      <c r="W1361" s="4">
        <v>107.74</v>
      </c>
      <c r="X1361" s="4">
        <v>81.98</v>
      </c>
      <c r="Y1361" s="4"/>
      <c r="Z1361" s="4">
        <v>130.72397922002739</v>
      </c>
      <c r="AA1361" s="4">
        <v>86.621328985588619</v>
      </c>
      <c r="AB1361" s="4">
        <v>0</v>
      </c>
      <c r="AC1361" s="4">
        <v>124.4397</v>
      </c>
      <c r="AD1361" s="4">
        <v>94.686900000000009</v>
      </c>
      <c r="AE1361" s="4">
        <v>0</v>
      </c>
      <c r="AF1361" s="4">
        <v>150.98619599913164</v>
      </c>
      <c r="AG1361" s="4">
        <v>100.04763497835485</v>
      </c>
    </row>
    <row r="1362" spans="1:33" ht="11.25" customHeight="1" x14ac:dyDescent="0.25">
      <c r="A1362" s="3" t="s">
        <v>56</v>
      </c>
      <c r="B1362" s="3" t="s">
        <v>22</v>
      </c>
      <c r="C1362" s="3" t="s">
        <v>23</v>
      </c>
      <c r="D1362" s="3" t="s">
        <v>24</v>
      </c>
      <c r="E1362" s="3" t="s">
        <v>29</v>
      </c>
      <c r="F1362" s="3" t="s">
        <v>25</v>
      </c>
      <c r="G1362" s="3" t="s">
        <v>25</v>
      </c>
      <c r="H1362" s="3" t="s">
        <v>25</v>
      </c>
      <c r="I1362" s="6">
        <v>44621</v>
      </c>
      <c r="J1362" s="4">
        <v>0</v>
      </c>
      <c r="K1362" s="4">
        <v>0</v>
      </c>
      <c r="L1362" s="4">
        <v>2.4300000000000002</v>
      </c>
      <c r="M1362" s="4">
        <v>2.4300000000000002</v>
      </c>
      <c r="N1362" s="4">
        <v>2.4300000000000002</v>
      </c>
      <c r="O1362" s="4">
        <v>2.4300000000000002</v>
      </c>
      <c r="P1362" s="4">
        <v>7</v>
      </c>
      <c r="Q1362" s="3" t="s">
        <v>26</v>
      </c>
      <c r="R1362" s="3">
        <v>0</v>
      </c>
      <c r="S1362" s="4">
        <v>0</v>
      </c>
      <c r="T1362" s="4">
        <v>26</v>
      </c>
      <c r="U1362" s="4">
        <v>99</v>
      </c>
      <c r="V1362" s="4">
        <v>0</v>
      </c>
      <c r="W1362" s="4">
        <v>107.74</v>
      </c>
      <c r="X1362" s="4">
        <v>81.98</v>
      </c>
      <c r="Y1362" s="4"/>
      <c r="Z1362" s="4">
        <v>130.72397922002739</v>
      </c>
      <c r="AA1362" s="4">
        <v>86.621328985588619</v>
      </c>
      <c r="AB1362" s="4">
        <v>0</v>
      </c>
      <c r="AC1362" s="4">
        <v>261.8082</v>
      </c>
      <c r="AD1362" s="4">
        <v>199.21140000000003</v>
      </c>
      <c r="AE1362" s="4">
        <v>0</v>
      </c>
      <c r="AF1362" s="4">
        <v>317.65926950466655</v>
      </c>
      <c r="AG1362" s="4">
        <v>210.48982943498035</v>
      </c>
    </row>
    <row r="1363" spans="1:33" ht="11.25" customHeight="1" x14ac:dyDescent="0.25">
      <c r="A1363" s="3" t="s">
        <v>21</v>
      </c>
      <c r="B1363" s="3" t="s">
        <v>22</v>
      </c>
      <c r="C1363" s="3" t="s">
        <v>23</v>
      </c>
      <c r="D1363" s="3" t="s">
        <v>24</v>
      </c>
      <c r="E1363" s="3" t="s">
        <v>30</v>
      </c>
      <c r="F1363" s="3" t="s">
        <v>25</v>
      </c>
      <c r="G1363" s="3" t="s">
        <v>25</v>
      </c>
      <c r="H1363" s="3" t="s">
        <v>25</v>
      </c>
      <c r="I1363" s="6">
        <v>44287</v>
      </c>
      <c r="J1363" s="4">
        <v>0</v>
      </c>
      <c r="K1363" s="4">
        <v>0</v>
      </c>
      <c r="L1363" s="4">
        <v>11784.513999999999</v>
      </c>
      <c r="M1363" s="4">
        <v>11784.513999999999</v>
      </c>
      <c r="N1363" s="4">
        <v>11784.513999999999</v>
      </c>
      <c r="O1363" s="4">
        <v>11784.513999999999</v>
      </c>
      <c r="P1363" s="4">
        <v>98290</v>
      </c>
      <c r="Q1363" s="3" t="s">
        <v>26</v>
      </c>
      <c r="R1363" s="3">
        <v>0</v>
      </c>
      <c r="S1363" s="4">
        <v>0</v>
      </c>
      <c r="T1363" s="4">
        <v>27</v>
      </c>
      <c r="U1363" s="4">
        <v>100</v>
      </c>
      <c r="V1363" s="4">
        <v>0</v>
      </c>
      <c r="W1363" s="4">
        <v>184.7</v>
      </c>
      <c r="X1363" s="4">
        <v>140.54</v>
      </c>
      <c r="Y1363" s="4"/>
      <c r="Z1363" s="4">
        <v>224.09825009147553</v>
      </c>
      <c r="AA1363" s="4">
        <v>148.49370683243765</v>
      </c>
      <c r="AB1363" s="4">
        <v>0</v>
      </c>
      <c r="AC1363" s="4">
        <v>2176599.7357999999</v>
      </c>
      <c r="AD1363" s="4">
        <v>1656195.5975599999</v>
      </c>
      <c r="AE1363" s="4">
        <v>0</v>
      </c>
      <c r="AF1363" s="4">
        <v>2640888.9655784946</v>
      </c>
      <c r="AG1363" s="4">
        <v>1749926.167078757</v>
      </c>
    </row>
    <row r="1364" spans="1:33" ht="11.25" customHeight="1" x14ac:dyDescent="0.25">
      <c r="A1364" s="3" t="s">
        <v>27</v>
      </c>
      <c r="B1364" s="3" t="s">
        <v>22</v>
      </c>
      <c r="C1364" s="3" t="s">
        <v>23</v>
      </c>
      <c r="D1364" s="3" t="s">
        <v>24</v>
      </c>
      <c r="E1364" s="3" t="s">
        <v>30</v>
      </c>
      <c r="F1364" s="3" t="s">
        <v>25</v>
      </c>
      <c r="G1364" s="3" t="s">
        <v>25</v>
      </c>
      <c r="H1364" s="3" t="s">
        <v>25</v>
      </c>
      <c r="I1364" s="6">
        <v>44287</v>
      </c>
      <c r="J1364" s="4">
        <v>0</v>
      </c>
      <c r="K1364" s="4">
        <v>0</v>
      </c>
      <c r="L1364" s="4">
        <v>-2.8889999999999998</v>
      </c>
      <c r="M1364" s="4">
        <v>-2.8889999999999998</v>
      </c>
      <c r="N1364" s="4">
        <v>-2.8889999999999998</v>
      </c>
      <c r="O1364" s="4">
        <v>-2.8889999999999998</v>
      </c>
      <c r="P1364" s="4">
        <v>-34</v>
      </c>
      <c r="Q1364" s="3" t="s">
        <v>26</v>
      </c>
      <c r="R1364" s="3">
        <v>0</v>
      </c>
      <c r="S1364" s="4">
        <v>0</v>
      </c>
      <c r="T1364" s="4">
        <v>27</v>
      </c>
      <c r="U1364" s="4">
        <v>100</v>
      </c>
      <c r="V1364" s="4">
        <v>0</v>
      </c>
      <c r="W1364" s="4">
        <v>184.7</v>
      </c>
      <c r="X1364" s="4">
        <v>140.54</v>
      </c>
      <c r="Y1364" s="4"/>
      <c r="Z1364" s="4">
        <v>224.09825009147553</v>
      </c>
      <c r="AA1364" s="4">
        <v>148.49370683243765</v>
      </c>
      <c r="AB1364" s="4">
        <v>0</v>
      </c>
      <c r="AC1364" s="4">
        <v>-533.59829999999988</v>
      </c>
      <c r="AD1364" s="4">
        <v>-406.02005999999994</v>
      </c>
      <c r="AE1364" s="4">
        <v>0</v>
      </c>
      <c r="AF1364" s="4">
        <v>-647.41984451427277</v>
      </c>
      <c r="AG1364" s="4">
        <v>-428.99831903891237</v>
      </c>
    </row>
    <row r="1365" spans="1:33" ht="11.25" customHeight="1" x14ac:dyDescent="0.25">
      <c r="A1365" s="3" t="s">
        <v>28</v>
      </c>
      <c r="B1365" s="3" t="s">
        <v>22</v>
      </c>
      <c r="C1365" s="3" t="s">
        <v>23</v>
      </c>
      <c r="D1365" s="3" t="s">
        <v>24</v>
      </c>
      <c r="E1365" s="3" t="s">
        <v>30</v>
      </c>
      <c r="F1365" s="3" t="s">
        <v>25</v>
      </c>
      <c r="G1365" s="3" t="s">
        <v>25</v>
      </c>
      <c r="H1365" s="3" t="s">
        <v>25</v>
      </c>
      <c r="I1365" s="6">
        <v>44287</v>
      </c>
      <c r="J1365" s="4">
        <v>0</v>
      </c>
      <c r="K1365" s="4">
        <v>0</v>
      </c>
      <c r="L1365" s="4">
        <v>1.8560000000000001</v>
      </c>
      <c r="M1365" s="4">
        <v>1.8560000000000001</v>
      </c>
      <c r="N1365" s="4">
        <v>1.8560000000000001</v>
      </c>
      <c r="O1365" s="4">
        <v>1.8560000000000001</v>
      </c>
      <c r="P1365" s="4">
        <v>5</v>
      </c>
      <c r="Q1365" s="3" t="s">
        <v>26</v>
      </c>
      <c r="R1365" s="3">
        <v>0</v>
      </c>
      <c r="S1365" s="4">
        <v>0</v>
      </c>
      <c r="T1365" s="4">
        <v>27</v>
      </c>
      <c r="U1365" s="4">
        <v>100</v>
      </c>
      <c r="V1365" s="4">
        <v>0</v>
      </c>
      <c r="W1365" s="4">
        <v>184.7</v>
      </c>
      <c r="X1365" s="4">
        <v>140.54</v>
      </c>
      <c r="Y1365" s="4"/>
      <c r="Z1365" s="4">
        <v>224.09825009147553</v>
      </c>
      <c r="AA1365" s="4">
        <v>148.49370683243765</v>
      </c>
      <c r="AB1365" s="4">
        <v>0</v>
      </c>
      <c r="AC1365" s="4">
        <v>342.8032</v>
      </c>
      <c r="AD1365" s="4">
        <v>260.84224</v>
      </c>
      <c r="AE1365" s="4">
        <v>0</v>
      </c>
      <c r="AF1365" s="4">
        <v>415.92635216977862</v>
      </c>
      <c r="AG1365" s="4">
        <v>275.6043198810043</v>
      </c>
    </row>
    <row r="1366" spans="1:33" ht="11.25" customHeight="1" x14ac:dyDescent="0.25">
      <c r="A1366" s="3" t="s">
        <v>21</v>
      </c>
      <c r="B1366" s="3" t="s">
        <v>22</v>
      </c>
      <c r="C1366" s="3" t="s">
        <v>23</v>
      </c>
      <c r="D1366" s="3" t="s">
        <v>24</v>
      </c>
      <c r="E1366" s="3" t="s">
        <v>30</v>
      </c>
      <c r="F1366" s="3" t="s">
        <v>25</v>
      </c>
      <c r="G1366" s="3" t="s">
        <v>25</v>
      </c>
      <c r="H1366" s="3" t="s">
        <v>25</v>
      </c>
      <c r="I1366" s="6">
        <v>44317</v>
      </c>
      <c r="J1366" s="4">
        <v>0</v>
      </c>
      <c r="K1366" s="4">
        <v>0</v>
      </c>
      <c r="L1366" s="4">
        <v>10989.485000000001</v>
      </c>
      <c r="M1366" s="4">
        <v>10989.485000000001</v>
      </c>
      <c r="N1366" s="4">
        <v>10989.485000000001</v>
      </c>
      <c r="O1366" s="4">
        <v>10989.485000000001</v>
      </c>
      <c r="P1366" s="4">
        <v>114625</v>
      </c>
      <c r="Q1366" s="3" t="s">
        <v>26</v>
      </c>
      <c r="R1366" s="3">
        <v>0</v>
      </c>
      <c r="S1366" s="4">
        <v>0</v>
      </c>
      <c r="T1366" s="4">
        <v>27</v>
      </c>
      <c r="U1366" s="4">
        <v>100</v>
      </c>
      <c r="V1366" s="4">
        <v>0</v>
      </c>
      <c r="W1366" s="4">
        <v>184.7</v>
      </c>
      <c r="X1366" s="4">
        <v>140.54</v>
      </c>
      <c r="Y1366" s="4"/>
      <c r="Z1366" s="4">
        <v>224.09825009147553</v>
      </c>
      <c r="AA1366" s="4">
        <v>148.49370683243765</v>
      </c>
      <c r="AB1366" s="4">
        <v>0</v>
      </c>
      <c r="AC1366" s="4">
        <v>2029757.8795</v>
      </c>
      <c r="AD1366" s="4">
        <v>1544462.2219</v>
      </c>
      <c r="AE1366" s="4">
        <v>0</v>
      </c>
      <c r="AF1366" s="4">
        <v>2462724.357906519</v>
      </c>
      <c r="AG1366" s="4">
        <v>1631869.3638294712</v>
      </c>
    </row>
    <row r="1367" spans="1:33" ht="11.25" customHeight="1" x14ac:dyDescent="0.25">
      <c r="A1367" s="3" t="s">
        <v>27</v>
      </c>
      <c r="B1367" s="3" t="s">
        <v>22</v>
      </c>
      <c r="C1367" s="3" t="s">
        <v>23</v>
      </c>
      <c r="D1367" s="3" t="s">
        <v>24</v>
      </c>
      <c r="E1367" s="3" t="s">
        <v>30</v>
      </c>
      <c r="F1367" s="3" t="s">
        <v>25</v>
      </c>
      <c r="G1367" s="3" t="s">
        <v>25</v>
      </c>
      <c r="H1367" s="3" t="s">
        <v>25</v>
      </c>
      <c r="I1367" s="6">
        <v>44317</v>
      </c>
      <c r="J1367" s="4">
        <v>0</v>
      </c>
      <c r="K1367" s="4">
        <v>0</v>
      </c>
      <c r="L1367" s="4">
        <v>-0.79100000000000004</v>
      </c>
      <c r="M1367" s="4">
        <v>-0.79100000000000004</v>
      </c>
      <c r="N1367" s="4">
        <v>-0.79100000000000004</v>
      </c>
      <c r="O1367" s="4">
        <v>-0.79100000000000004</v>
      </c>
      <c r="P1367" s="4">
        <v>-3</v>
      </c>
      <c r="Q1367" s="3" t="s">
        <v>26</v>
      </c>
      <c r="R1367" s="3">
        <v>0</v>
      </c>
      <c r="S1367" s="4">
        <v>0</v>
      </c>
      <c r="T1367" s="4">
        <v>27</v>
      </c>
      <c r="U1367" s="4">
        <v>100</v>
      </c>
      <c r="V1367" s="4">
        <v>0</v>
      </c>
      <c r="W1367" s="4">
        <v>184.7</v>
      </c>
      <c r="X1367" s="4">
        <v>140.54</v>
      </c>
      <c r="Y1367" s="4"/>
      <c r="Z1367" s="4">
        <v>224.09825009147553</v>
      </c>
      <c r="AA1367" s="4">
        <v>148.49370683243765</v>
      </c>
      <c r="AB1367" s="4">
        <v>0</v>
      </c>
      <c r="AC1367" s="4">
        <v>-146.0977</v>
      </c>
      <c r="AD1367" s="4">
        <v>-111.16714</v>
      </c>
      <c r="AE1367" s="4">
        <v>0</v>
      </c>
      <c r="AF1367" s="4">
        <v>-177.26171582235716</v>
      </c>
      <c r="AG1367" s="4">
        <v>-117.45852210445818</v>
      </c>
    </row>
    <row r="1368" spans="1:33" ht="11.25" customHeight="1" x14ac:dyDescent="0.25">
      <c r="A1368" s="3" t="s">
        <v>28</v>
      </c>
      <c r="B1368" s="3" t="s">
        <v>22</v>
      </c>
      <c r="C1368" s="3" t="s">
        <v>23</v>
      </c>
      <c r="D1368" s="3" t="s">
        <v>24</v>
      </c>
      <c r="E1368" s="3" t="s">
        <v>30</v>
      </c>
      <c r="F1368" s="3" t="s">
        <v>25</v>
      </c>
      <c r="G1368" s="3" t="s">
        <v>25</v>
      </c>
      <c r="H1368" s="3" t="s">
        <v>25</v>
      </c>
      <c r="I1368" s="6">
        <v>44317</v>
      </c>
      <c r="J1368" s="4">
        <v>0</v>
      </c>
      <c r="K1368" s="4">
        <v>0</v>
      </c>
      <c r="L1368" s="4">
        <v>2.222</v>
      </c>
      <c r="M1368" s="4">
        <v>2.222</v>
      </c>
      <c r="N1368" s="4">
        <v>2.222</v>
      </c>
      <c r="O1368" s="4">
        <v>2.222</v>
      </c>
      <c r="P1368" s="4">
        <v>6</v>
      </c>
      <c r="Q1368" s="3" t="s">
        <v>26</v>
      </c>
      <c r="R1368" s="3">
        <v>0</v>
      </c>
      <c r="S1368" s="4">
        <v>0</v>
      </c>
      <c r="T1368" s="4">
        <v>27</v>
      </c>
      <c r="U1368" s="4">
        <v>100</v>
      </c>
      <c r="V1368" s="4">
        <v>0</v>
      </c>
      <c r="W1368" s="4">
        <v>184.7</v>
      </c>
      <c r="X1368" s="4">
        <v>140.54</v>
      </c>
      <c r="Y1368" s="4"/>
      <c r="Z1368" s="4">
        <v>224.09825009147553</v>
      </c>
      <c r="AA1368" s="4">
        <v>148.49370683243765</v>
      </c>
      <c r="AB1368" s="4">
        <v>0</v>
      </c>
      <c r="AC1368" s="4">
        <v>410.40339999999998</v>
      </c>
      <c r="AD1368" s="4">
        <v>312.27987999999999</v>
      </c>
      <c r="AE1368" s="4">
        <v>0</v>
      </c>
      <c r="AF1368" s="4">
        <v>497.94631170325863</v>
      </c>
      <c r="AG1368" s="4">
        <v>329.95301658167648</v>
      </c>
    </row>
    <row r="1369" spans="1:33" ht="11.25" customHeight="1" x14ac:dyDescent="0.25">
      <c r="A1369" s="3" t="s">
        <v>21</v>
      </c>
      <c r="B1369" s="3" t="s">
        <v>22</v>
      </c>
      <c r="C1369" s="3" t="s">
        <v>23</v>
      </c>
      <c r="D1369" s="3" t="s">
        <v>24</v>
      </c>
      <c r="E1369" s="3" t="s">
        <v>30</v>
      </c>
      <c r="F1369" s="3" t="s">
        <v>25</v>
      </c>
      <c r="G1369" s="3" t="s">
        <v>25</v>
      </c>
      <c r="H1369" s="3" t="s">
        <v>25</v>
      </c>
      <c r="I1369" s="6">
        <v>44348</v>
      </c>
      <c r="J1369" s="4">
        <v>0</v>
      </c>
      <c r="K1369" s="4">
        <v>0</v>
      </c>
      <c r="L1369" s="4">
        <v>10714.004999999999</v>
      </c>
      <c r="M1369" s="4">
        <v>10714.004999999999</v>
      </c>
      <c r="N1369" s="4">
        <v>10714.004999999999</v>
      </c>
      <c r="O1369" s="4">
        <v>10714.004999999999</v>
      </c>
      <c r="P1369" s="4">
        <v>120776</v>
      </c>
      <c r="Q1369" s="3" t="s">
        <v>26</v>
      </c>
      <c r="R1369" s="3">
        <v>0</v>
      </c>
      <c r="S1369" s="4">
        <v>0</v>
      </c>
      <c r="T1369" s="4">
        <v>27</v>
      </c>
      <c r="U1369" s="4">
        <v>100</v>
      </c>
      <c r="V1369" s="4">
        <v>0</v>
      </c>
      <c r="W1369" s="4">
        <v>184.7</v>
      </c>
      <c r="X1369" s="4">
        <v>140.54</v>
      </c>
      <c r="Y1369" s="4"/>
      <c r="Z1369" s="4">
        <v>224.09825009147553</v>
      </c>
      <c r="AA1369" s="4">
        <v>148.49370683243765</v>
      </c>
      <c r="AB1369" s="4">
        <v>0</v>
      </c>
      <c r="AC1369" s="4">
        <v>1978876.7234999996</v>
      </c>
      <c r="AD1369" s="4">
        <v>1505746.2626999998</v>
      </c>
      <c r="AE1369" s="4">
        <v>0</v>
      </c>
      <c r="AF1369" s="4">
        <v>2400989.7719713193</v>
      </c>
      <c r="AG1369" s="4">
        <v>1590962.3174712711</v>
      </c>
    </row>
    <row r="1370" spans="1:33" ht="11.25" customHeight="1" x14ac:dyDescent="0.25">
      <c r="A1370" s="3" t="s">
        <v>27</v>
      </c>
      <c r="B1370" s="3" t="s">
        <v>22</v>
      </c>
      <c r="C1370" s="3" t="s">
        <v>23</v>
      </c>
      <c r="D1370" s="3" t="s">
        <v>24</v>
      </c>
      <c r="E1370" s="3" t="s">
        <v>30</v>
      </c>
      <c r="F1370" s="3" t="s">
        <v>25</v>
      </c>
      <c r="G1370" s="3" t="s">
        <v>25</v>
      </c>
      <c r="H1370" s="3" t="s">
        <v>25</v>
      </c>
      <c r="I1370" s="6">
        <v>44348</v>
      </c>
      <c r="J1370" s="4">
        <v>0</v>
      </c>
      <c r="K1370" s="4">
        <v>0</v>
      </c>
      <c r="L1370" s="4">
        <v>-1.67</v>
      </c>
      <c r="M1370" s="4">
        <v>-1.67</v>
      </c>
      <c r="N1370" s="4">
        <v>-1.67</v>
      </c>
      <c r="O1370" s="4">
        <v>-1.67</v>
      </c>
      <c r="P1370" s="4">
        <v>-10</v>
      </c>
      <c r="Q1370" s="3" t="s">
        <v>26</v>
      </c>
      <c r="R1370" s="3">
        <v>0</v>
      </c>
      <c r="S1370" s="4">
        <v>0</v>
      </c>
      <c r="T1370" s="4">
        <v>27</v>
      </c>
      <c r="U1370" s="4">
        <v>100</v>
      </c>
      <c r="V1370" s="4">
        <v>0</v>
      </c>
      <c r="W1370" s="4">
        <v>184.7</v>
      </c>
      <c r="X1370" s="4">
        <v>140.54</v>
      </c>
      <c r="Y1370" s="4"/>
      <c r="Z1370" s="4">
        <v>224.09825009147553</v>
      </c>
      <c r="AA1370" s="4">
        <v>148.49370683243765</v>
      </c>
      <c r="AB1370" s="4">
        <v>0</v>
      </c>
      <c r="AC1370" s="4">
        <v>-308.44899999999996</v>
      </c>
      <c r="AD1370" s="4">
        <v>-234.70179999999996</v>
      </c>
      <c r="AE1370" s="4">
        <v>0</v>
      </c>
      <c r="AF1370" s="4">
        <v>-374.24407765276413</v>
      </c>
      <c r="AG1370" s="4">
        <v>-247.98449041017088</v>
      </c>
    </row>
    <row r="1371" spans="1:33" ht="11.25" customHeight="1" x14ac:dyDescent="0.25">
      <c r="A1371" s="3" t="s">
        <v>28</v>
      </c>
      <c r="B1371" s="3" t="s">
        <v>22</v>
      </c>
      <c r="C1371" s="3" t="s">
        <v>23</v>
      </c>
      <c r="D1371" s="3" t="s">
        <v>24</v>
      </c>
      <c r="E1371" s="3" t="s">
        <v>30</v>
      </c>
      <c r="F1371" s="3" t="s">
        <v>25</v>
      </c>
      <c r="G1371" s="3" t="s">
        <v>25</v>
      </c>
      <c r="H1371" s="3" t="s">
        <v>25</v>
      </c>
      <c r="I1371" s="6">
        <v>44348</v>
      </c>
      <c r="J1371" s="4">
        <v>0</v>
      </c>
      <c r="K1371" s="4">
        <v>0</v>
      </c>
      <c r="L1371" s="4">
        <v>2.242</v>
      </c>
      <c r="M1371" s="4">
        <v>2.242</v>
      </c>
      <c r="N1371" s="4">
        <v>2.242</v>
      </c>
      <c r="O1371" s="4">
        <v>2.242</v>
      </c>
      <c r="P1371" s="4">
        <v>6</v>
      </c>
      <c r="Q1371" s="3" t="s">
        <v>26</v>
      </c>
      <c r="R1371" s="3">
        <v>0</v>
      </c>
      <c r="S1371" s="4">
        <v>0</v>
      </c>
      <c r="T1371" s="4">
        <v>27</v>
      </c>
      <c r="U1371" s="4">
        <v>100</v>
      </c>
      <c r="V1371" s="4">
        <v>0</v>
      </c>
      <c r="W1371" s="4">
        <v>184.7</v>
      </c>
      <c r="X1371" s="4">
        <v>140.54</v>
      </c>
      <c r="Y1371" s="4"/>
      <c r="Z1371" s="4">
        <v>224.09825009147553</v>
      </c>
      <c r="AA1371" s="4">
        <v>148.49370683243765</v>
      </c>
      <c r="AB1371" s="4">
        <v>0</v>
      </c>
      <c r="AC1371" s="4">
        <v>414.09739999999999</v>
      </c>
      <c r="AD1371" s="4">
        <v>315.09067999999996</v>
      </c>
      <c r="AE1371" s="4">
        <v>0</v>
      </c>
      <c r="AF1371" s="4">
        <v>502.42827670508814</v>
      </c>
      <c r="AG1371" s="4">
        <v>332.92289071832522</v>
      </c>
    </row>
    <row r="1372" spans="1:33" ht="11.25" customHeight="1" x14ac:dyDescent="0.25">
      <c r="A1372" s="3" t="s">
        <v>21</v>
      </c>
      <c r="B1372" s="3" t="s">
        <v>22</v>
      </c>
      <c r="C1372" s="3" t="s">
        <v>23</v>
      </c>
      <c r="D1372" s="3" t="s">
        <v>24</v>
      </c>
      <c r="E1372" s="3" t="s">
        <v>30</v>
      </c>
      <c r="F1372" s="3" t="s">
        <v>25</v>
      </c>
      <c r="G1372" s="3" t="s">
        <v>25</v>
      </c>
      <c r="H1372" s="3" t="s">
        <v>25</v>
      </c>
      <c r="I1372" s="6">
        <v>44378</v>
      </c>
      <c r="J1372" s="4">
        <v>0</v>
      </c>
      <c r="K1372" s="4">
        <v>0</v>
      </c>
      <c r="L1372" s="4">
        <v>10670.163</v>
      </c>
      <c r="M1372" s="4">
        <v>10670.163</v>
      </c>
      <c r="N1372" s="4">
        <v>10670.163</v>
      </c>
      <c r="O1372" s="4">
        <v>10670.163</v>
      </c>
      <c r="P1372" s="4">
        <v>123431</v>
      </c>
      <c r="Q1372" s="3" t="s">
        <v>26</v>
      </c>
      <c r="R1372" s="3">
        <v>0</v>
      </c>
      <c r="S1372" s="4">
        <v>0</v>
      </c>
      <c r="T1372" s="4">
        <v>27</v>
      </c>
      <c r="U1372" s="4">
        <v>100</v>
      </c>
      <c r="V1372" s="4">
        <v>0</v>
      </c>
      <c r="W1372" s="4">
        <v>184.7</v>
      </c>
      <c r="X1372" s="4">
        <v>140.54</v>
      </c>
      <c r="Y1372" s="4"/>
      <c r="Z1372" s="4">
        <v>224.09825009147553</v>
      </c>
      <c r="AA1372" s="4">
        <v>148.49370683243765</v>
      </c>
      <c r="AB1372" s="4">
        <v>0</v>
      </c>
      <c r="AC1372" s="4">
        <v>1970779.1061</v>
      </c>
      <c r="AD1372" s="4">
        <v>1499584.70802</v>
      </c>
      <c r="AE1372" s="4">
        <v>0</v>
      </c>
      <c r="AF1372" s="4">
        <v>2391164.856490809</v>
      </c>
      <c r="AG1372" s="4">
        <v>1584452.0563763236</v>
      </c>
    </row>
    <row r="1373" spans="1:33" ht="11.25" customHeight="1" x14ac:dyDescent="0.25">
      <c r="A1373" s="3" t="s">
        <v>27</v>
      </c>
      <c r="B1373" s="3" t="s">
        <v>22</v>
      </c>
      <c r="C1373" s="3" t="s">
        <v>23</v>
      </c>
      <c r="D1373" s="3" t="s">
        <v>24</v>
      </c>
      <c r="E1373" s="3" t="s">
        <v>30</v>
      </c>
      <c r="F1373" s="3" t="s">
        <v>25</v>
      </c>
      <c r="G1373" s="3" t="s">
        <v>25</v>
      </c>
      <c r="H1373" s="3" t="s">
        <v>25</v>
      </c>
      <c r="I1373" s="6">
        <v>44378</v>
      </c>
      <c r="J1373" s="4">
        <v>0</v>
      </c>
      <c r="K1373" s="4">
        <v>0</v>
      </c>
      <c r="L1373" s="4">
        <v>-1.9139999999999999</v>
      </c>
      <c r="M1373" s="4">
        <v>-1.9139999999999999</v>
      </c>
      <c r="N1373" s="4">
        <v>-1.9139999999999999</v>
      </c>
      <c r="O1373" s="4">
        <v>-1.9139999999999999</v>
      </c>
      <c r="P1373" s="4">
        <v>-24</v>
      </c>
      <c r="Q1373" s="3" t="s">
        <v>26</v>
      </c>
      <c r="R1373" s="3">
        <v>0</v>
      </c>
      <c r="S1373" s="4">
        <v>0</v>
      </c>
      <c r="T1373" s="4">
        <v>27</v>
      </c>
      <c r="U1373" s="4">
        <v>100</v>
      </c>
      <c r="V1373" s="4">
        <v>0</v>
      </c>
      <c r="W1373" s="4">
        <v>184.7</v>
      </c>
      <c r="X1373" s="4">
        <v>140.54</v>
      </c>
      <c r="Y1373" s="4"/>
      <c r="Z1373" s="4">
        <v>224.09825009147553</v>
      </c>
      <c r="AA1373" s="4">
        <v>148.49370683243765</v>
      </c>
      <c r="AB1373" s="4">
        <v>0</v>
      </c>
      <c r="AC1373" s="4">
        <v>-353.51579999999996</v>
      </c>
      <c r="AD1373" s="4">
        <v>-268.99356</v>
      </c>
      <c r="AE1373" s="4">
        <v>0</v>
      </c>
      <c r="AF1373" s="4">
        <v>-428.92405067508417</v>
      </c>
      <c r="AG1373" s="4">
        <v>-284.21695487728567</v>
      </c>
    </row>
    <row r="1374" spans="1:33" ht="11.25" customHeight="1" x14ac:dyDescent="0.25">
      <c r="A1374" s="3" t="s">
        <v>28</v>
      </c>
      <c r="B1374" s="3" t="s">
        <v>22</v>
      </c>
      <c r="C1374" s="3" t="s">
        <v>23</v>
      </c>
      <c r="D1374" s="3" t="s">
        <v>24</v>
      </c>
      <c r="E1374" s="3" t="s">
        <v>30</v>
      </c>
      <c r="F1374" s="3" t="s">
        <v>25</v>
      </c>
      <c r="G1374" s="3" t="s">
        <v>25</v>
      </c>
      <c r="H1374" s="3" t="s">
        <v>25</v>
      </c>
      <c r="I1374" s="6">
        <v>44378</v>
      </c>
      <c r="J1374" s="4">
        <v>0</v>
      </c>
      <c r="K1374" s="4">
        <v>0</v>
      </c>
      <c r="L1374" s="4">
        <v>2.36</v>
      </c>
      <c r="M1374" s="4">
        <v>2.36</v>
      </c>
      <c r="N1374" s="4">
        <v>2.36</v>
      </c>
      <c r="O1374" s="4">
        <v>2.36</v>
      </c>
      <c r="P1374" s="4">
        <v>10</v>
      </c>
      <c r="Q1374" s="3" t="s">
        <v>26</v>
      </c>
      <c r="R1374" s="3">
        <v>0</v>
      </c>
      <c r="S1374" s="4">
        <v>0</v>
      </c>
      <c r="T1374" s="4">
        <v>27</v>
      </c>
      <c r="U1374" s="4">
        <v>100</v>
      </c>
      <c r="V1374" s="4">
        <v>0</v>
      </c>
      <c r="W1374" s="4">
        <v>184.7</v>
      </c>
      <c r="X1374" s="4">
        <v>140.54</v>
      </c>
      <c r="Y1374" s="4"/>
      <c r="Z1374" s="4">
        <v>224.09825009147553</v>
      </c>
      <c r="AA1374" s="4">
        <v>148.49370683243765</v>
      </c>
      <c r="AB1374" s="4">
        <v>0</v>
      </c>
      <c r="AC1374" s="4">
        <v>435.89199999999994</v>
      </c>
      <c r="AD1374" s="4">
        <v>331.67439999999999</v>
      </c>
      <c r="AE1374" s="4">
        <v>0</v>
      </c>
      <c r="AF1374" s="4">
        <v>528.87187021588227</v>
      </c>
      <c r="AG1374" s="4">
        <v>350.44514812455282</v>
      </c>
    </row>
    <row r="1375" spans="1:33" ht="11.25" customHeight="1" x14ac:dyDescent="0.25">
      <c r="A1375" s="3" t="s">
        <v>21</v>
      </c>
      <c r="B1375" s="3" t="s">
        <v>22</v>
      </c>
      <c r="C1375" s="3" t="s">
        <v>23</v>
      </c>
      <c r="D1375" s="3" t="s">
        <v>24</v>
      </c>
      <c r="E1375" s="3" t="s">
        <v>30</v>
      </c>
      <c r="F1375" s="3" t="s">
        <v>25</v>
      </c>
      <c r="G1375" s="3" t="s">
        <v>25</v>
      </c>
      <c r="H1375" s="3" t="s">
        <v>25</v>
      </c>
      <c r="I1375" s="6">
        <v>44409</v>
      </c>
      <c r="J1375" s="4">
        <v>0</v>
      </c>
      <c r="K1375" s="4">
        <v>0</v>
      </c>
      <c r="L1375" s="4">
        <v>10254.171</v>
      </c>
      <c r="M1375" s="4">
        <v>10254.171</v>
      </c>
      <c r="N1375" s="4">
        <v>10254.171</v>
      </c>
      <c r="O1375" s="4">
        <v>10254.171</v>
      </c>
      <c r="P1375" s="4">
        <v>131714</v>
      </c>
      <c r="Q1375" s="3" t="s">
        <v>26</v>
      </c>
      <c r="R1375" s="3">
        <v>0</v>
      </c>
      <c r="S1375" s="4">
        <v>0</v>
      </c>
      <c r="T1375" s="4">
        <v>27</v>
      </c>
      <c r="U1375" s="4">
        <v>100</v>
      </c>
      <c r="V1375" s="4">
        <v>0</v>
      </c>
      <c r="W1375" s="4">
        <v>184.7</v>
      </c>
      <c r="X1375" s="4">
        <v>140.54</v>
      </c>
      <c r="Y1375" s="4"/>
      <c r="Z1375" s="4">
        <v>224.09825009147553</v>
      </c>
      <c r="AA1375" s="4">
        <v>148.49370683243765</v>
      </c>
      <c r="AB1375" s="4">
        <v>0</v>
      </c>
      <c r="AC1375" s="4">
        <v>1893945.3836999999</v>
      </c>
      <c r="AD1375" s="4">
        <v>1441121.1923400001</v>
      </c>
      <c r="AE1375" s="4">
        <v>0</v>
      </c>
      <c r="AF1375" s="4">
        <v>2297941.777238756</v>
      </c>
      <c r="AG1375" s="4">
        <v>1522679.8622836841</v>
      </c>
    </row>
    <row r="1376" spans="1:33" ht="11.25" customHeight="1" x14ac:dyDescent="0.25">
      <c r="A1376" s="3" t="s">
        <v>27</v>
      </c>
      <c r="B1376" s="3" t="s">
        <v>22</v>
      </c>
      <c r="C1376" s="3" t="s">
        <v>23</v>
      </c>
      <c r="D1376" s="3" t="s">
        <v>24</v>
      </c>
      <c r="E1376" s="3" t="s">
        <v>30</v>
      </c>
      <c r="F1376" s="3" t="s">
        <v>25</v>
      </c>
      <c r="G1376" s="3" t="s">
        <v>25</v>
      </c>
      <c r="H1376" s="3" t="s">
        <v>25</v>
      </c>
      <c r="I1376" s="6">
        <v>44409</v>
      </c>
      <c r="J1376" s="4">
        <v>0</v>
      </c>
      <c r="K1376" s="4">
        <v>0</v>
      </c>
      <c r="L1376" s="4">
        <v>-1.6839999999999999</v>
      </c>
      <c r="M1376" s="4">
        <v>-1.6839999999999999</v>
      </c>
      <c r="N1376" s="4">
        <v>-1.6839999999999999</v>
      </c>
      <c r="O1376" s="4">
        <v>-1.6839999999999999</v>
      </c>
      <c r="P1376" s="4">
        <v>-17</v>
      </c>
      <c r="Q1376" s="3" t="s">
        <v>26</v>
      </c>
      <c r="R1376" s="3">
        <v>0</v>
      </c>
      <c r="S1376" s="4">
        <v>0</v>
      </c>
      <c r="T1376" s="4">
        <v>27</v>
      </c>
      <c r="U1376" s="4">
        <v>100</v>
      </c>
      <c r="V1376" s="4">
        <v>0</v>
      </c>
      <c r="W1376" s="4">
        <v>184.7</v>
      </c>
      <c r="X1376" s="4">
        <v>140.54</v>
      </c>
      <c r="Y1376" s="4"/>
      <c r="Z1376" s="4">
        <v>224.09825009147553</v>
      </c>
      <c r="AA1376" s="4">
        <v>148.49370683243765</v>
      </c>
      <c r="AB1376" s="4">
        <v>0</v>
      </c>
      <c r="AC1376" s="4">
        <v>-311.03479999999996</v>
      </c>
      <c r="AD1376" s="4">
        <v>-236.66935999999998</v>
      </c>
      <c r="AE1376" s="4">
        <v>0</v>
      </c>
      <c r="AF1376" s="4">
        <v>-377.38145315404478</v>
      </c>
      <c r="AG1376" s="4">
        <v>-250.06340230582501</v>
      </c>
    </row>
    <row r="1377" spans="1:33" ht="11.25" customHeight="1" x14ac:dyDescent="0.25">
      <c r="A1377" s="3" t="s">
        <v>28</v>
      </c>
      <c r="B1377" s="3" t="s">
        <v>22</v>
      </c>
      <c r="C1377" s="3" t="s">
        <v>23</v>
      </c>
      <c r="D1377" s="3" t="s">
        <v>24</v>
      </c>
      <c r="E1377" s="3" t="s">
        <v>30</v>
      </c>
      <c r="F1377" s="3" t="s">
        <v>25</v>
      </c>
      <c r="G1377" s="3" t="s">
        <v>25</v>
      </c>
      <c r="H1377" s="3" t="s">
        <v>25</v>
      </c>
      <c r="I1377" s="6">
        <v>44409</v>
      </c>
      <c r="J1377" s="4">
        <v>0</v>
      </c>
      <c r="K1377" s="4">
        <v>0</v>
      </c>
      <c r="L1377" s="4">
        <v>2.266</v>
      </c>
      <c r="M1377" s="4">
        <v>2.266</v>
      </c>
      <c r="N1377" s="4">
        <v>2.266</v>
      </c>
      <c r="O1377" s="4">
        <v>2.266</v>
      </c>
      <c r="P1377" s="4">
        <v>11</v>
      </c>
      <c r="Q1377" s="3" t="s">
        <v>26</v>
      </c>
      <c r="R1377" s="3">
        <v>0</v>
      </c>
      <c r="S1377" s="4">
        <v>0</v>
      </c>
      <c r="T1377" s="4">
        <v>27</v>
      </c>
      <c r="U1377" s="4">
        <v>100</v>
      </c>
      <c r="V1377" s="4">
        <v>0</v>
      </c>
      <c r="W1377" s="4">
        <v>184.7</v>
      </c>
      <c r="X1377" s="4">
        <v>140.54</v>
      </c>
      <c r="Y1377" s="4"/>
      <c r="Z1377" s="4">
        <v>224.09825009147553</v>
      </c>
      <c r="AA1377" s="4">
        <v>148.49370683243765</v>
      </c>
      <c r="AB1377" s="4">
        <v>0</v>
      </c>
      <c r="AC1377" s="4">
        <v>418.53019999999998</v>
      </c>
      <c r="AD1377" s="4">
        <v>318.46364</v>
      </c>
      <c r="AE1377" s="4">
        <v>0</v>
      </c>
      <c r="AF1377" s="4">
        <v>507.80663470728359</v>
      </c>
      <c r="AG1377" s="4">
        <v>336.48673968230372</v>
      </c>
    </row>
    <row r="1378" spans="1:33" ht="11.25" customHeight="1" x14ac:dyDescent="0.25">
      <c r="A1378" s="3" t="s">
        <v>21</v>
      </c>
      <c r="B1378" s="3" t="s">
        <v>22</v>
      </c>
      <c r="C1378" s="3" t="s">
        <v>23</v>
      </c>
      <c r="D1378" s="3" t="s">
        <v>24</v>
      </c>
      <c r="E1378" s="3" t="s">
        <v>30</v>
      </c>
      <c r="F1378" s="3" t="s">
        <v>25</v>
      </c>
      <c r="G1378" s="3" t="s">
        <v>25</v>
      </c>
      <c r="H1378" s="3" t="s">
        <v>25</v>
      </c>
      <c r="I1378" s="6">
        <v>44440</v>
      </c>
      <c r="J1378" s="4">
        <v>0</v>
      </c>
      <c r="K1378" s="4">
        <v>0</v>
      </c>
      <c r="L1378" s="4">
        <v>10326.647999999999</v>
      </c>
      <c r="M1378" s="4">
        <v>10326.647999999999</v>
      </c>
      <c r="N1378" s="4">
        <v>10326.647999999999</v>
      </c>
      <c r="O1378" s="4">
        <v>10326.647999999999</v>
      </c>
      <c r="P1378" s="4">
        <v>128109</v>
      </c>
      <c r="Q1378" s="3" t="s">
        <v>26</v>
      </c>
      <c r="R1378" s="3">
        <v>0</v>
      </c>
      <c r="S1378" s="4">
        <v>0</v>
      </c>
      <c r="T1378" s="4">
        <v>27</v>
      </c>
      <c r="U1378" s="4">
        <v>100</v>
      </c>
      <c r="V1378" s="4">
        <v>0</v>
      </c>
      <c r="W1378" s="4">
        <v>184.7</v>
      </c>
      <c r="X1378" s="4">
        <v>140.54</v>
      </c>
      <c r="Y1378" s="4"/>
      <c r="Z1378" s="4">
        <v>224.09825009147553</v>
      </c>
      <c r="AA1378" s="4">
        <v>148.49370683243765</v>
      </c>
      <c r="AB1378" s="4">
        <v>0</v>
      </c>
      <c r="AC1378" s="4">
        <v>1907331.8855999997</v>
      </c>
      <c r="AD1378" s="4">
        <v>1451307.1099199997</v>
      </c>
      <c r="AE1378" s="4">
        <v>0</v>
      </c>
      <c r="AF1378" s="4">
        <v>2314183.7461106353</v>
      </c>
      <c r="AG1378" s="4">
        <v>1533442.2406737786</v>
      </c>
    </row>
    <row r="1379" spans="1:33" ht="11.25" customHeight="1" x14ac:dyDescent="0.25">
      <c r="A1379" s="3" t="s">
        <v>27</v>
      </c>
      <c r="B1379" s="3" t="s">
        <v>22</v>
      </c>
      <c r="C1379" s="3" t="s">
        <v>23</v>
      </c>
      <c r="D1379" s="3" t="s">
        <v>24</v>
      </c>
      <c r="E1379" s="3" t="s">
        <v>30</v>
      </c>
      <c r="F1379" s="3" t="s">
        <v>25</v>
      </c>
      <c r="G1379" s="3" t="s">
        <v>25</v>
      </c>
      <c r="H1379" s="3" t="s">
        <v>25</v>
      </c>
      <c r="I1379" s="6">
        <v>44440</v>
      </c>
      <c r="J1379" s="4">
        <v>0</v>
      </c>
      <c r="K1379" s="4">
        <v>0</v>
      </c>
      <c r="L1379" s="4">
        <v>-2.097</v>
      </c>
      <c r="M1379" s="4">
        <v>-2.097</v>
      </c>
      <c r="N1379" s="4">
        <v>-2.097</v>
      </c>
      <c r="O1379" s="4">
        <v>-2.097</v>
      </c>
      <c r="P1379" s="4">
        <v>-17</v>
      </c>
      <c r="Q1379" s="3" t="s">
        <v>26</v>
      </c>
      <c r="R1379" s="3">
        <v>0</v>
      </c>
      <c r="S1379" s="4">
        <v>0</v>
      </c>
      <c r="T1379" s="4">
        <v>27</v>
      </c>
      <c r="U1379" s="4">
        <v>100</v>
      </c>
      <c r="V1379" s="4">
        <v>0</v>
      </c>
      <c r="W1379" s="4">
        <v>184.7</v>
      </c>
      <c r="X1379" s="4">
        <v>140.54</v>
      </c>
      <c r="Y1379" s="4"/>
      <c r="Z1379" s="4">
        <v>224.09825009147553</v>
      </c>
      <c r="AA1379" s="4">
        <v>148.49370683243765</v>
      </c>
      <c r="AB1379" s="4">
        <v>0</v>
      </c>
      <c r="AC1379" s="4">
        <v>-387.3159</v>
      </c>
      <c r="AD1379" s="4">
        <v>-294.71238</v>
      </c>
      <c r="AE1379" s="4">
        <v>0</v>
      </c>
      <c r="AF1379" s="4">
        <v>-469.93403044182418</v>
      </c>
      <c r="AG1379" s="4">
        <v>-311.39130322762173</v>
      </c>
    </row>
    <row r="1380" spans="1:33" ht="11.25" customHeight="1" x14ac:dyDescent="0.25">
      <c r="A1380" s="3" t="s">
        <v>28</v>
      </c>
      <c r="B1380" s="3" t="s">
        <v>22</v>
      </c>
      <c r="C1380" s="3" t="s">
        <v>23</v>
      </c>
      <c r="D1380" s="3" t="s">
        <v>24</v>
      </c>
      <c r="E1380" s="3" t="s">
        <v>30</v>
      </c>
      <c r="F1380" s="3" t="s">
        <v>25</v>
      </c>
      <c r="G1380" s="3" t="s">
        <v>25</v>
      </c>
      <c r="H1380" s="3" t="s">
        <v>25</v>
      </c>
      <c r="I1380" s="6">
        <v>44440</v>
      </c>
      <c r="J1380" s="4">
        <v>0</v>
      </c>
      <c r="K1380" s="4">
        <v>0</v>
      </c>
      <c r="L1380" s="4">
        <v>2.266</v>
      </c>
      <c r="M1380" s="4">
        <v>2.266</v>
      </c>
      <c r="N1380" s="4">
        <v>2.266</v>
      </c>
      <c r="O1380" s="4">
        <v>2.266</v>
      </c>
      <c r="P1380" s="4">
        <v>11</v>
      </c>
      <c r="Q1380" s="3" t="s">
        <v>26</v>
      </c>
      <c r="R1380" s="3">
        <v>0</v>
      </c>
      <c r="S1380" s="4">
        <v>0</v>
      </c>
      <c r="T1380" s="4">
        <v>27</v>
      </c>
      <c r="U1380" s="4">
        <v>100</v>
      </c>
      <c r="V1380" s="4">
        <v>0</v>
      </c>
      <c r="W1380" s="4">
        <v>184.7</v>
      </c>
      <c r="X1380" s="4">
        <v>140.54</v>
      </c>
      <c r="Y1380" s="4"/>
      <c r="Z1380" s="4">
        <v>224.09825009147553</v>
      </c>
      <c r="AA1380" s="4">
        <v>148.49370683243765</v>
      </c>
      <c r="AB1380" s="4">
        <v>0</v>
      </c>
      <c r="AC1380" s="4">
        <v>418.53019999999998</v>
      </c>
      <c r="AD1380" s="4">
        <v>318.46364</v>
      </c>
      <c r="AE1380" s="4">
        <v>0</v>
      </c>
      <c r="AF1380" s="4">
        <v>507.80663470728359</v>
      </c>
      <c r="AG1380" s="4">
        <v>336.48673968230372</v>
      </c>
    </row>
    <row r="1381" spans="1:33" ht="11.25" customHeight="1" x14ac:dyDescent="0.25">
      <c r="A1381" s="3" t="s">
        <v>21</v>
      </c>
      <c r="B1381" s="3" t="s">
        <v>22</v>
      </c>
      <c r="C1381" s="3" t="s">
        <v>23</v>
      </c>
      <c r="D1381" s="3" t="s">
        <v>24</v>
      </c>
      <c r="E1381" s="3" t="s">
        <v>30</v>
      </c>
      <c r="F1381" s="3" t="s">
        <v>25</v>
      </c>
      <c r="G1381" s="3" t="s">
        <v>25</v>
      </c>
      <c r="H1381" s="3" t="s">
        <v>25</v>
      </c>
      <c r="I1381" s="6">
        <v>44470</v>
      </c>
      <c r="J1381" s="4">
        <v>0</v>
      </c>
      <c r="K1381" s="4">
        <v>0</v>
      </c>
      <c r="L1381" s="4">
        <v>10969.75</v>
      </c>
      <c r="M1381" s="4">
        <v>10969.75</v>
      </c>
      <c r="N1381" s="4">
        <v>10969.75</v>
      </c>
      <c r="O1381" s="4">
        <v>10969.75</v>
      </c>
      <c r="P1381" s="4">
        <v>120014</v>
      </c>
      <c r="Q1381" s="3" t="s">
        <v>26</v>
      </c>
      <c r="R1381" s="3">
        <v>0</v>
      </c>
      <c r="S1381" s="4">
        <v>0</v>
      </c>
      <c r="T1381" s="4">
        <v>27</v>
      </c>
      <c r="U1381" s="4">
        <v>100</v>
      </c>
      <c r="V1381" s="4">
        <v>0</v>
      </c>
      <c r="W1381" s="4">
        <v>184.7</v>
      </c>
      <c r="X1381" s="4">
        <v>140.54</v>
      </c>
      <c r="Y1381" s="4"/>
      <c r="Z1381" s="4">
        <v>224.09825009147553</v>
      </c>
      <c r="AA1381" s="4">
        <v>148.49370683243765</v>
      </c>
      <c r="AB1381" s="4">
        <v>0</v>
      </c>
      <c r="AC1381" s="4">
        <v>2026112.825</v>
      </c>
      <c r="AD1381" s="4">
        <v>1541688.6649999998</v>
      </c>
      <c r="AE1381" s="4">
        <v>0</v>
      </c>
      <c r="AF1381" s="4">
        <v>2458301.7789409636</v>
      </c>
      <c r="AG1381" s="4">
        <v>1628938.8405251328</v>
      </c>
    </row>
    <row r="1382" spans="1:33" ht="11.25" customHeight="1" x14ac:dyDescent="0.25">
      <c r="A1382" s="3" t="s">
        <v>27</v>
      </c>
      <c r="B1382" s="3" t="s">
        <v>22</v>
      </c>
      <c r="C1382" s="3" t="s">
        <v>23</v>
      </c>
      <c r="D1382" s="3" t="s">
        <v>24</v>
      </c>
      <c r="E1382" s="3" t="s">
        <v>30</v>
      </c>
      <c r="F1382" s="3" t="s">
        <v>25</v>
      </c>
      <c r="G1382" s="3" t="s">
        <v>25</v>
      </c>
      <c r="H1382" s="3" t="s">
        <v>25</v>
      </c>
      <c r="I1382" s="6">
        <v>44470</v>
      </c>
      <c r="J1382" s="4">
        <v>0</v>
      </c>
      <c r="K1382" s="4">
        <v>0</v>
      </c>
      <c r="L1382" s="4">
        <v>-2.4649999999999999</v>
      </c>
      <c r="M1382" s="4">
        <v>-2.4649999999999999</v>
      </c>
      <c r="N1382" s="4">
        <v>-2.4649999999999999</v>
      </c>
      <c r="O1382" s="4">
        <v>-2.4649999999999999</v>
      </c>
      <c r="P1382" s="4">
        <v>-13</v>
      </c>
      <c r="Q1382" s="3" t="s">
        <v>26</v>
      </c>
      <c r="R1382" s="3">
        <v>0</v>
      </c>
      <c r="S1382" s="4">
        <v>0</v>
      </c>
      <c r="T1382" s="4">
        <v>27</v>
      </c>
      <c r="U1382" s="4">
        <v>100</v>
      </c>
      <c r="V1382" s="4">
        <v>0</v>
      </c>
      <c r="W1382" s="4">
        <v>184.7</v>
      </c>
      <c r="X1382" s="4">
        <v>140.54</v>
      </c>
      <c r="Y1382" s="4"/>
      <c r="Z1382" s="4">
        <v>224.09825009147553</v>
      </c>
      <c r="AA1382" s="4">
        <v>148.49370683243765</v>
      </c>
      <c r="AB1382" s="4">
        <v>0</v>
      </c>
      <c r="AC1382" s="4">
        <v>-455.28549999999996</v>
      </c>
      <c r="AD1382" s="4">
        <v>-346.43109999999996</v>
      </c>
      <c r="AE1382" s="4">
        <v>0</v>
      </c>
      <c r="AF1382" s="4">
        <v>-552.40218647548716</v>
      </c>
      <c r="AG1382" s="4">
        <v>-366.03698734195882</v>
      </c>
    </row>
    <row r="1383" spans="1:33" ht="11.25" customHeight="1" x14ac:dyDescent="0.25">
      <c r="A1383" s="3" t="s">
        <v>28</v>
      </c>
      <c r="B1383" s="3" t="s">
        <v>22</v>
      </c>
      <c r="C1383" s="3" t="s">
        <v>23</v>
      </c>
      <c r="D1383" s="3" t="s">
        <v>24</v>
      </c>
      <c r="E1383" s="3" t="s">
        <v>30</v>
      </c>
      <c r="F1383" s="3" t="s">
        <v>25</v>
      </c>
      <c r="G1383" s="3" t="s">
        <v>25</v>
      </c>
      <c r="H1383" s="3" t="s">
        <v>25</v>
      </c>
      <c r="I1383" s="6">
        <v>44470</v>
      </c>
      <c r="J1383" s="4">
        <v>0</v>
      </c>
      <c r="K1383" s="4">
        <v>0</v>
      </c>
      <c r="L1383" s="4">
        <v>2.5099999999999998</v>
      </c>
      <c r="M1383" s="4">
        <v>2.5099999999999998</v>
      </c>
      <c r="N1383" s="4">
        <v>2.5099999999999998</v>
      </c>
      <c r="O1383" s="4">
        <v>2.5099999999999998</v>
      </c>
      <c r="P1383" s="4">
        <v>11</v>
      </c>
      <c r="Q1383" s="3" t="s">
        <v>26</v>
      </c>
      <c r="R1383" s="3">
        <v>0</v>
      </c>
      <c r="S1383" s="4">
        <v>0</v>
      </c>
      <c r="T1383" s="4">
        <v>27</v>
      </c>
      <c r="U1383" s="4">
        <v>100</v>
      </c>
      <c r="V1383" s="4">
        <v>0</v>
      </c>
      <c r="W1383" s="4">
        <v>184.7</v>
      </c>
      <c r="X1383" s="4">
        <v>140.54</v>
      </c>
      <c r="Y1383" s="4"/>
      <c r="Z1383" s="4">
        <v>224.09825009147553</v>
      </c>
      <c r="AA1383" s="4">
        <v>148.49370683243765</v>
      </c>
      <c r="AB1383" s="4">
        <v>0</v>
      </c>
      <c r="AC1383" s="4">
        <v>463.59699999999992</v>
      </c>
      <c r="AD1383" s="4">
        <v>352.75539999999995</v>
      </c>
      <c r="AE1383" s="4">
        <v>0</v>
      </c>
      <c r="AF1383" s="4">
        <v>562.48660772960352</v>
      </c>
      <c r="AG1383" s="4">
        <v>372.71920414941849</v>
      </c>
    </row>
    <row r="1384" spans="1:33" ht="11.25" customHeight="1" x14ac:dyDescent="0.25">
      <c r="A1384" s="3" t="s">
        <v>21</v>
      </c>
      <c r="B1384" s="3" t="s">
        <v>22</v>
      </c>
      <c r="C1384" s="3" t="s">
        <v>23</v>
      </c>
      <c r="D1384" s="3" t="s">
        <v>24</v>
      </c>
      <c r="E1384" s="3" t="s">
        <v>30</v>
      </c>
      <c r="F1384" s="3" t="s">
        <v>25</v>
      </c>
      <c r="G1384" s="3" t="s">
        <v>25</v>
      </c>
      <c r="H1384" s="3" t="s">
        <v>25</v>
      </c>
      <c r="I1384" s="6">
        <v>44501</v>
      </c>
      <c r="J1384" s="4">
        <v>0</v>
      </c>
      <c r="K1384" s="4">
        <v>0</v>
      </c>
      <c r="L1384" s="4">
        <v>11186.839</v>
      </c>
      <c r="M1384" s="4">
        <v>11186.839</v>
      </c>
      <c r="N1384" s="4">
        <v>11186.839</v>
      </c>
      <c r="O1384" s="4">
        <v>11186.839</v>
      </c>
      <c r="P1384" s="4">
        <v>116155</v>
      </c>
      <c r="Q1384" s="3" t="s">
        <v>26</v>
      </c>
      <c r="R1384" s="3">
        <v>0</v>
      </c>
      <c r="S1384" s="4">
        <v>0</v>
      </c>
      <c r="T1384" s="4">
        <v>27</v>
      </c>
      <c r="U1384" s="4">
        <v>100</v>
      </c>
      <c r="V1384" s="4">
        <v>0</v>
      </c>
      <c r="W1384" s="4">
        <v>184.7</v>
      </c>
      <c r="X1384" s="4">
        <v>140.54</v>
      </c>
      <c r="Y1384" s="4"/>
      <c r="Z1384" s="4">
        <v>224.09825009147553</v>
      </c>
      <c r="AA1384" s="4">
        <v>148.49370683243765</v>
      </c>
      <c r="AB1384" s="4">
        <v>0</v>
      </c>
      <c r="AC1384" s="4">
        <v>2066209.1632999999</v>
      </c>
      <c r="AD1384" s="4">
        <v>1572198.3530599999</v>
      </c>
      <c r="AE1384" s="4">
        <v>0</v>
      </c>
      <c r="AF1384" s="4">
        <v>2506951.0439550723</v>
      </c>
      <c r="AG1384" s="4">
        <v>1661175.19084768</v>
      </c>
    </row>
    <row r="1385" spans="1:33" ht="11.25" customHeight="1" x14ac:dyDescent="0.25">
      <c r="A1385" s="3" t="s">
        <v>27</v>
      </c>
      <c r="B1385" s="3" t="s">
        <v>22</v>
      </c>
      <c r="C1385" s="3" t="s">
        <v>23</v>
      </c>
      <c r="D1385" s="3" t="s">
        <v>24</v>
      </c>
      <c r="E1385" s="3" t="s">
        <v>30</v>
      </c>
      <c r="F1385" s="3" t="s">
        <v>25</v>
      </c>
      <c r="G1385" s="3" t="s">
        <v>25</v>
      </c>
      <c r="H1385" s="3" t="s">
        <v>25</v>
      </c>
      <c r="I1385" s="6">
        <v>44501</v>
      </c>
      <c r="J1385" s="4">
        <v>0</v>
      </c>
      <c r="K1385" s="4">
        <v>0</v>
      </c>
      <c r="L1385" s="4">
        <v>-2.331</v>
      </c>
      <c r="M1385" s="4">
        <v>-2.331</v>
      </c>
      <c r="N1385" s="4">
        <v>-2.331</v>
      </c>
      <c r="O1385" s="4">
        <v>-2.331</v>
      </c>
      <c r="P1385" s="4">
        <v>-13</v>
      </c>
      <c r="Q1385" s="3" t="s">
        <v>26</v>
      </c>
      <c r="R1385" s="3">
        <v>0</v>
      </c>
      <c r="S1385" s="4">
        <v>0</v>
      </c>
      <c r="T1385" s="4">
        <v>27</v>
      </c>
      <c r="U1385" s="4">
        <v>100</v>
      </c>
      <c r="V1385" s="4">
        <v>0</v>
      </c>
      <c r="W1385" s="4">
        <v>184.7</v>
      </c>
      <c r="X1385" s="4">
        <v>140.54</v>
      </c>
      <c r="Y1385" s="4"/>
      <c r="Z1385" s="4">
        <v>224.09825009147553</v>
      </c>
      <c r="AA1385" s="4">
        <v>148.49370683243765</v>
      </c>
      <c r="AB1385" s="4">
        <v>0</v>
      </c>
      <c r="AC1385" s="4">
        <v>-430.53569999999996</v>
      </c>
      <c r="AD1385" s="4">
        <v>-327.59873999999996</v>
      </c>
      <c r="AE1385" s="4">
        <v>0</v>
      </c>
      <c r="AF1385" s="4">
        <v>-522.37302096322946</v>
      </c>
      <c r="AG1385" s="4">
        <v>-346.13883062641219</v>
      </c>
    </row>
    <row r="1386" spans="1:33" ht="11.25" customHeight="1" x14ac:dyDescent="0.25">
      <c r="A1386" s="3" t="s">
        <v>28</v>
      </c>
      <c r="B1386" s="3" t="s">
        <v>22</v>
      </c>
      <c r="C1386" s="3" t="s">
        <v>23</v>
      </c>
      <c r="D1386" s="3" t="s">
        <v>24</v>
      </c>
      <c r="E1386" s="3" t="s">
        <v>30</v>
      </c>
      <c r="F1386" s="3" t="s">
        <v>25</v>
      </c>
      <c r="G1386" s="3" t="s">
        <v>25</v>
      </c>
      <c r="H1386" s="3" t="s">
        <v>25</v>
      </c>
      <c r="I1386" s="6">
        <v>44501</v>
      </c>
      <c r="J1386" s="4">
        <v>0</v>
      </c>
      <c r="K1386" s="4">
        <v>0</v>
      </c>
      <c r="L1386" s="4">
        <v>2.714</v>
      </c>
      <c r="M1386" s="4">
        <v>2.714</v>
      </c>
      <c r="N1386" s="4">
        <v>2.714</v>
      </c>
      <c r="O1386" s="4">
        <v>2.714</v>
      </c>
      <c r="P1386" s="4">
        <v>13</v>
      </c>
      <c r="Q1386" s="3" t="s">
        <v>26</v>
      </c>
      <c r="R1386" s="3">
        <v>0</v>
      </c>
      <c r="S1386" s="4">
        <v>0</v>
      </c>
      <c r="T1386" s="4">
        <v>27</v>
      </c>
      <c r="U1386" s="4">
        <v>100</v>
      </c>
      <c r="V1386" s="4">
        <v>0</v>
      </c>
      <c r="W1386" s="4">
        <v>184.7</v>
      </c>
      <c r="X1386" s="4">
        <v>140.54</v>
      </c>
      <c r="Y1386" s="4"/>
      <c r="Z1386" s="4">
        <v>224.09825009147553</v>
      </c>
      <c r="AA1386" s="4">
        <v>148.49370683243765</v>
      </c>
      <c r="AB1386" s="4">
        <v>0</v>
      </c>
      <c r="AC1386" s="4">
        <v>501.27579999999995</v>
      </c>
      <c r="AD1386" s="4">
        <v>381.42555999999996</v>
      </c>
      <c r="AE1386" s="4">
        <v>0</v>
      </c>
      <c r="AF1386" s="4">
        <v>608.20265074826455</v>
      </c>
      <c r="AG1386" s="4">
        <v>403.01192034323577</v>
      </c>
    </row>
    <row r="1387" spans="1:33" ht="11.25" customHeight="1" x14ac:dyDescent="0.25">
      <c r="A1387" s="3" t="s">
        <v>21</v>
      </c>
      <c r="B1387" s="3" t="s">
        <v>22</v>
      </c>
      <c r="C1387" s="3" t="s">
        <v>23</v>
      </c>
      <c r="D1387" s="3" t="s">
        <v>24</v>
      </c>
      <c r="E1387" s="3" t="s">
        <v>30</v>
      </c>
      <c r="F1387" s="3" t="s">
        <v>25</v>
      </c>
      <c r="G1387" s="3" t="s">
        <v>25</v>
      </c>
      <c r="H1387" s="3" t="s">
        <v>25</v>
      </c>
      <c r="I1387" s="6">
        <v>44531</v>
      </c>
      <c r="J1387" s="4">
        <v>0</v>
      </c>
      <c r="K1387" s="4">
        <v>0</v>
      </c>
      <c r="L1387" s="4">
        <v>11445.136</v>
      </c>
      <c r="M1387" s="4">
        <v>11445.136</v>
      </c>
      <c r="N1387" s="4">
        <v>11445.136</v>
      </c>
      <c r="O1387" s="4">
        <v>11445.136</v>
      </c>
      <c r="P1387" s="4">
        <v>111590</v>
      </c>
      <c r="Q1387" s="3" t="s">
        <v>26</v>
      </c>
      <c r="R1387" s="3">
        <v>0</v>
      </c>
      <c r="S1387" s="4">
        <v>0</v>
      </c>
      <c r="T1387" s="4">
        <v>27</v>
      </c>
      <c r="U1387" s="4">
        <v>100</v>
      </c>
      <c r="V1387" s="4">
        <v>0</v>
      </c>
      <c r="W1387" s="4">
        <v>184.7</v>
      </c>
      <c r="X1387" s="4">
        <v>140.54</v>
      </c>
      <c r="Y1387" s="4"/>
      <c r="Z1387" s="4">
        <v>224.09825009147553</v>
      </c>
      <c r="AA1387" s="4">
        <v>148.49370683243765</v>
      </c>
      <c r="AB1387" s="4">
        <v>0</v>
      </c>
      <c r="AC1387" s="4">
        <v>2113916.6192000001</v>
      </c>
      <c r="AD1387" s="4">
        <v>1608499.41344</v>
      </c>
      <c r="AE1387" s="4">
        <v>0</v>
      </c>
      <c r="AF1387" s="4">
        <v>2564834.9496589499</v>
      </c>
      <c r="AG1387" s="4">
        <v>1699530.6698413782</v>
      </c>
    </row>
    <row r="1388" spans="1:33" ht="11.25" customHeight="1" x14ac:dyDescent="0.25">
      <c r="A1388" s="3" t="s">
        <v>27</v>
      </c>
      <c r="B1388" s="3" t="s">
        <v>22</v>
      </c>
      <c r="C1388" s="3" t="s">
        <v>23</v>
      </c>
      <c r="D1388" s="3" t="s">
        <v>24</v>
      </c>
      <c r="E1388" s="3" t="s">
        <v>30</v>
      </c>
      <c r="F1388" s="3" t="s">
        <v>25</v>
      </c>
      <c r="G1388" s="3" t="s">
        <v>25</v>
      </c>
      <c r="H1388" s="3" t="s">
        <v>25</v>
      </c>
      <c r="I1388" s="6">
        <v>44531</v>
      </c>
      <c r="J1388" s="4">
        <v>0</v>
      </c>
      <c r="K1388" s="4">
        <v>0</v>
      </c>
      <c r="L1388" s="4">
        <v>-2.0310000000000001</v>
      </c>
      <c r="M1388" s="4">
        <v>-2.0310000000000001</v>
      </c>
      <c r="N1388" s="4">
        <v>-2.0310000000000001</v>
      </c>
      <c r="O1388" s="4">
        <v>-2.0310000000000001</v>
      </c>
      <c r="P1388" s="4">
        <v>-30</v>
      </c>
      <c r="Q1388" s="3" t="s">
        <v>26</v>
      </c>
      <c r="R1388" s="3">
        <v>0</v>
      </c>
      <c r="S1388" s="4">
        <v>0</v>
      </c>
      <c r="T1388" s="4">
        <v>27</v>
      </c>
      <c r="U1388" s="4">
        <v>100</v>
      </c>
      <c r="V1388" s="4">
        <v>0</v>
      </c>
      <c r="W1388" s="4">
        <v>184.7</v>
      </c>
      <c r="X1388" s="4">
        <v>140.54</v>
      </c>
      <c r="Y1388" s="4"/>
      <c r="Z1388" s="4">
        <v>224.09825009147553</v>
      </c>
      <c r="AA1388" s="4">
        <v>148.49370683243765</v>
      </c>
      <c r="AB1388" s="4">
        <v>0</v>
      </c>
      <c r="AC1388" s="4">
        <v>-375.12569999999999</v>
      </c>
      <c r="AD1388" s="4">
        <v>-285.43673999999999</v>
      </c>
      <c r="AE1388" s="4">
        <v>0</v>
      </c>
      <c r="AF1388" s="4">
        <v>-455.14354593578685</v>
      </c>
      <c r="AG1388" s="4">
        <v>-301.5907185766809</v>
      </c>
    </row>
    <row r="1389" spans="1:33" ht="11.25" customHeight="1" x14ac:dyDescent="0.25">
      <c r="A1389" s="3" t="s">
        <v>28</v>
      </c>
      <c r="B1389" s="3" t="s">
        <v>22</v>
      </c>
      <c r="C1389" s="3" t="s">
        <v>23</v>
      </c>
      <c r="D1389" s="3" t="s">
        <v>24</v>
      </c>
      <c r="E1389" s="3" t="s">
        <v>30</v>
      </c>
      <c r="F1389" s="3" t="s">
        <v>25</v>
      </c>
      <c r="G1389" s="3" t="s">
        <v>25</v>
      </c>
      <c r="H1389" s="3" t="s">
        <v>25</v>
      </c>
      <c r="I1389" s="6">
        <v>44531</v>
      </c>
      <c r="J1389" s="4">
        <v>0</v>
      </c>
      <c r="K1389" s="4">
        <v>0</v>
      </c>
      <c r="L1389" s="4">
        <v>2.9689999999999999</v>
      </c>
      <c r="M1389" s="4">
        <v>2.9689999999999999</v>
      </c>
      <c r="N1389" s="4">
        <v>2.9689999999999999</v>
      </c>
      <c r="O1389" s="4">
        <v>2.9689999999999999</v>
      </c>
      <c r="P1389" s="4">
        <v>11</v>
      </c>
      <c r="Q1389" s="3" t="s">
        <v>26</v>
      </c>
      <c r="R1389" s="3">
        <v>0</v>
      </c>
      <c r="S1389" s="4">
        <v>0</v>
      </c>
      <c r="T1389" s="4">
        <v>27</v>
      </c>
      <c r="U1389" s="4">
        <v>100</v>
      </c>
      <c r="V1389" s="4">
        <v>0</v>
      </c>
      <c r="W1389" s="4">
        <v>184.7</v>
      </c>
      <c r="X1389" s="4">
        <v>140.54</v>
      </c>
      <c r="Y1389" s="4"/>
      <c r="Z1389" s="4">
        <v>224.09825009147553</v>
      </c>
      <c r="AA1389" s="4">
        <v>148.49370683243765</v>
      </c>
      <c r="AB1389" s="4">
        <v>0</v>
      </c>
      <c r="AC1389" s="4">
        <v>548.37429999999995</v>
      </c>
      <c r="AD1389" s="4">
        <v>417.26325999999995</v>
      </c>
      <c r="AE1389" s="4">
        <v>0</v>
      </c>
      <c r="AF1389" s="4">
        <v>665.3477045215908</v>
      </c>
      <c r="AG1389" s="4">
        <v>440.87781558550739</v>
      </c>
    </row>
    <row r="1390" spans="1:33" ht="11.25" customHeight="1" x14ac:dyDescent="0.25">
      <c r="A1390" s="3" t="s">
        <v>21</v>
      </c>
      <c r="B1390" s="3" t="s">
        <v>22</v>
      </c>
      <c r="C1390" s="3" t="s">
        <v>23</v>
      </c>
      <c r="D1390" s="3" t="s">
        <v>24</v>
      </c>
      <c r="E1390" s="3" t="s">
        <v>30</v>
      </c>
      <c r="F1390" s="3" t="s">
        <v>25</v>
      </c>
      <c r="G1390" s="3" t="s">
        <v>25</v>
      </c>
      <c r="H1390" s="3" t="s">
        <v>25</v>
      </c>
      <c r="I1390" s="6">
        <v>44562</v>
      </c>
      <c r="J1390" s="4">
        <v>0</v>
      </c>
      <c r="K1390" s="4">
        <v>0</v>
      </c>
      <c r="L1390" s="4">
        <v>11832.243</v>
      </c>
      <c r="M1390" s="4">
        <v>11832.243</v>
      </c>
      <c r="N1390" s="4">
        <v>11832.243</v>
      </c>
      <c r="O1390" s="4">
        <v>11832.243</v>
      </c>
      <c r="P1390" s="4">
        <v>104732</v>
      </c>
      <c r="Q1390" s="3" t="s">
        <v>26</v>
      </c>
      <c r="R1390" s="3">
        <v>0</v>
      </c>
      <c r="S1390" s="4">
        <v>0</v>
      </c>
      <c r="T1390" s="4">
        <v>27</v>
      </c>
      <c r="U1390" s="4">
        <v>100</v>
      </c>
      <c r="V1390" s="4">
        <v>0</v>
      </c>
      <c r="W1390" s="4">
        <v>184.7</v>
      </c>
      <c r="X1390" s="4">
        <v>140.54</v>
      </c>
      <c r="Y1390" s="4"/>
      <c r="Z1390" s="4">
        <v>224.09825009147553</v>
      </c>
      <c r="AA1390" s="4">
        <v>148.49370683243765</v>
      </c>
      <c r="AB1390" s="4">
        <v>0</v>
      </c>
      <c r="AC1390" s="4">
        <v>2185415.2821</v>
      </c>
      <c r="AD1390" s="4">
        <v>1662903.4312199999</v>
      </c>
      <c r="AE1390" s="4">
        <v>0</v>
      </c>
      <c r="AF1390" s="4">
        <v>2651584.9509571106</v>
      </c>
      <c r="AG1390" s="4">
        <v>1757013.6232121626</v>
      </c>
    </row>
    <row r="1391" spans="1:33" ht="11.25" customHeight="1" x14ac:dyDescent="0.25">
      <c r="A1391" s="3" t="s">
        <v>27</v>
      </c>
      <c r="B1391" s="3" t="s">
        <v>22</v>
      </c>
      <c r="C1391" s="3" t="s">
        <v>23</v>
      </c>
      <c r="D1391" s="3" t="s">
        <v>24</v>
      </c>
      <c r="E1391" s="3" t="s">
        <v>30</v>
      </c>
      <c r="F1391" s="3" t="s">
        <v>25</v>
      </c>
      <c r="G1391" s="3" t="s">
        <v>25</v>
      </c>
      <c r="H1391" s="3" t="s">
        <v>25</v>
      </c>
      <c r="I1391" s="6">
        <v>44562</v>
      </c>
      <c r="J1391" s="4">
        <v>0</v>
      </c>
      <c r="K1391" s="4">
        <v>0</v>
      </c>
      <c r="L1391" s="4">
        <v>-0.53900000000000003</v>
      </c>
      <c r="M1391" s="4">
        <v>-0.53900000000000003</v>
      </c>
      <c r="N1391" s="4">
        <v>-0.53900000000000003</v>
      </c>
      <c r="O1391" s="4">
        <v>-0.53900000000000003</v>
      </c>
      <c r="P1391" s="4">
        <v>-6</v>
      </c>
      <c r="Q1391" s="3" t="s">
        <v>26</v>
      </c>
      <c r="R1391" s="3">
        <v>0</v>
      </c>
      <c r="S1391" s="4">
        <v>0</v>
      </c>
      <c r="T1391" s="4">
        <v>27</v>
      </c>
      <c r="U1391" s="4">
        <v>100</v>
      </c>
      <c r="V1391" s="4">
        <v>0</v>
      </c>
      <c r="W1391" s="4">
        <v>184.7</v>
      </c>
      <c r="X1391" s="4">
        <v>140.54</v>
      </c>
      <c r="Y1391" s="4"/>
      <c r="Z1391" s="4">
        <v>224.09825009147553</v>
      </c>
      <c r="AA1391" s="4">
        <v>148.49370683243765</v>
      </c>
      <c r="AB1391" s="4">
        <v>0</v>
      </c>
      <c r="AC1391" s="4">
        <v>-99.553300000000007</v>
      </c>
      <c r="AD1391" s="4">
        <v>-75.751059999999995</v>
      </c>
      <c r="AE1391" s="4">
        <v>0</v>
      </c>
      <c r="AF1391" s="4">
        <v>-120.78895679930532</v>
      </c>
      <c r="AG1391" s="4">
        <v>-80.038107982683897</v>
      </c>
    </row>
    <row r="1392" spans="1:33" ht="11.25" customHeight="1" x14ac:dyDescent="0.25">
      <c r="A1392" s="3" t="s">
        <v>28</v>
      </c>
      <c r="B1392" s="3" t="s">
        <v>22</v>
      </c>
      <c r="C1392" s="3" t="s">
        <v>23</v>
      </c>
      <c r="D1392" s="3" t="s">
        <v>24</v>
      </c>
      <c r="E1392" s="3" t="s">
        <v>30</v>
      </c>
      <c r="F1392" s="3" t="s">
        <v>25</v>
      </c>
      <c r="G1392" s="3" t="s">
        <v>25</v>
      </c>
      <c r="H1392" s="3" t="s">
        <v>25</v>
      </c>
      <c r="I1392" s="6">
        <v>44562</v>
      </c>
      <c r="J1392" s="4">
        <v>0</v>
      </c>
      <c r="K1392" s="4">
        <v>0</v>
      </c>
      <c r="L1392" s="4">
        <v>3.4470000000000001</v>
      </c>
      <c r="M1392" s="4">
        <v>3.4470000000000001</v>
      </c>
      <c r="N1392" s="4">
        <v>3.4470000000000001</v>
      </c>
      <c r="O1392" s="4">
        <v>3.4470000000000001</v>
      </c>
      <c r="P1392" s="4">
        <v>11</v>
      </c>
      <c r="Q1392" s="3" t="s">
        <v>26</v>
      </c>
      <c r="R1392" s="3">
        <v>0</v>
      </c>
      <c r="S1392" s="4">
        <v>0</v>
      </c>
      <c r="T1392" s="4">
        <v>27</v>
      </c>
      <c r="U1392" s="4">
        <v>100</v>
      </c>
      <c r="V1392" s="4">
        <v>0</v>
      </c>
      <c r="W1392" s="4">
        <v>184.7</v>
      </c>
      <c r="X1392" s="4">
        <v>140.54</v>
      </c>
      <c r="Y1392" s="4"/>
      <c r="Z1392" s="4">
        <v>224.09825009147553</v>
      </c>
      <c r="AA1392" s="4">
        <v>148.49370683243765</v>
      </c>
      <c r="AB1392" s="4">
        <v>0</v>
      </c>
      <c r="AC1392" s="4">
        <v>636.66089999999997</v>
      </c>
      <c r="AD1392" s="4">
        <v>484.44137999999998</v>
      </c>
      <c r="AE1392" s="4">
        <v>0</v>
      </c>
      <c r="AF1392" s="4">
        <v>772.46666806531618</v>
      </c>
      <c r="AG1392" s="4">
        <v>511.85780745141261</v>
      </c>
    </row>
    <row r="1393" spans="1:33" ht="11.25" customHeight="1" x14ac:dyDescent="0.25">
      <c r="A1393" s="3" t="s">
        <v>21</v>
      </c>
      <c r="B1393" s="3" t="s">
        <v>22</v>
      </c>
      <c r="C1393" s="3" t="s">
        <v>23</v>
      </c>
      <c r="D1393" s="3" t="s">
        <v>24</v>
      </c>
      <c r="E1393" s="3" t="s">
        <v>30</v>
      </c>
      <c r="F1393" s="3" t="s">
        <v>25</v>
      </c>
      <c r="G1393" s="3" t="s">
        <v>25</v>
      </c>
      <c r="H1393" s="3" t="s">
        <v>25</v>
      </c>
      <c r="I1393" s="6">
        <v>44593</v>
      </c>
      <c r="J1393" s="4">
        <v>0</v>
      </c>
      <c r="K1393" s="4">
        <v>0</v>
      </c>
      <c r="L1393" s="4">
        <v>12139.191000000001</v>
      </c>
      <c r="M1393" s="4">
        <v>12139.191000000001</v>
      </c>
      <c r="N1393" s="4">
        <v>12139.191000000001</v>
      </c>
      <c r="O1393" s="4">
        <v>12139.191000000001</v>
      </c>
      <c r="P1393" s="4">
        <v>112859</v>
      </c>
      <c r="Q1393" s="3" t="s">
        <v>26</v>
      </c>
      <c r="R1393" s="3">
        <v>0</v>
      </c>
      <c r="S1393" s="4">
        <v>0</v>
      </c>
      <c r="T1393" s="4">
        <v>27</v>
      </c>
      <c r="U1393" s="4">
        <v>100</v>
      </c>
      <c r="V1393" s="4">
        <v>0</v>
      </c>
      <c r="W1393" s="4">
        <v>184.7</v>
      </c>
      <c r="X1393" s="4">
        <v>140.54</v>
      </c>
      <c r="Y1393" s="4"/>
      <c r="Z1393" s="4">
        <v>224.09825009147553</v>
      </c>
      <c r="AA1393" s="4">
        <v>148.49370683243765</v>
      </c>
      <c r="AB1393" s="4">
        <v>0</v>
      </c>
      <c r="AC1393" s="4">
        <v>2242108.5776999998</v>
      </c>
      <c r="AD1393" s="4">
        <v>1706041.9031400001</v>
      </c>
      <c r="AE1393" s="4">
        <v>0</v>
      </c>
      <c r="AF1393" s="4">
        <v>2720371.4606261891</v>
      </c>
      <c r="AG1393" s="4">
        <v>1802593.4695369657</v>
      </c>
    </row>
    <row r="1394" spans="1:33" ht="11.25" customHeight="1" x14ac:dyDescent="0.25">
      <c r="A1394" s="3" t="s">
        <v>27</v>
      </c>
      <c r="B1394" s="3" t="s">
        <v>22</v>
      </c>
      <c r="C1394" s="3" t="s">
        <v>23</v>
      </c>
      <c r="D1394" s="3" t="s">
        <v>24</v>
      </c>
      <c r="E1394" s="3" t="s">
        <v>30</v>
      </c>
      <c r="F1394" s="3" t="s">
        <v>25</v>
      </c>
      <c r="G1394" s="3" t="s">
        <v>25</v>
      </c>
      <c r="H1394" s="3" t="s">
        <v>25</v>
      </c>
      <c r="I1394" s="6">
        <v>44593</v>
      </c>
      <c r="J1394" s="4">
        <v>0</v>
      </c>
      <c r="K1394" s="4">
        <v>0</v>
      </c>
      <c r="L1394" s="4">
        <v>-0.7</v>
      </c>
      <c r="M1394" s="4">
        <v>-0.7</v>
      </c>
      <c r="N1394" s="4">
        <v>-0.7</v>
      </c>
      <c r="O1394" s="4">
        <v>-0.7</v>
      </c>
      <c r="P1394" s="4">
        <v>0</v>
      </c>
      <c r="Q1394" s="3" t="s">
        <v>26</v>
      </c>
      <c r="R1394" s="3">
        <v>0</v>
      </c>
      <c r="S1394" s="4">
        <v>0</v>
      </c>
      <c r="T1394" s="4">
        <v>27</v>
      </c>
      <c r="U1394" s="4">
        <v>100</v>
      </c>
      <c r="V1394" s="4">
        <v>0</v>
      </c>
      <c r="W1394" s="4">
        <v>184.7</v>
      </c>
      <c r="X1394" s="4">
        <v>140.54</v>
      </c>
      <c r="Y1394" s="4"/>
      <c r="Z1394" s="4">
        <v>224.09825009147553</v>
      </c>
      <c r="AA1394" s="4">
        <v>148.49370683243765</v>
      </c>
      <c r="AB1394" s="4">
        <v>0</v>
      </c>
      <c r="AC1394" s="4">
        <v>-129.29</v>
      </c>
      <c r="AD1394" s="4">
        <v>-98.377999999999986</v>
      </c>
      <c r="AE1394" s="4">
        <v>0</v>
      </c>
      <c r="AF1394" s="4">
        <v>-156.86877506403286</v>
      </c>
      <c r="AG1394" s="4">
        <v>-103.94559478270635</v>
      </c>
    </row>
    <row r="1395" spans="1:33" ht="11.25" customHeight="1" x14ac:dyDescent="0.25">
      <c r="A1395" s="3" t="s">
        <v>28</v>
      </c>
      <c r="B1395" s="3" t="s">
        <v>22</v>
      </c>
      <c r="C1395" s="3" t="s">
        <v>23</v>
      </c>
      <c r="D1395" s="3" t="s">
        <v>24</v>
      </c>
      <c r="E1395" s="3" t="s">
        <v>30</v>
      </c>
      <c r="F1395" s="3" t="s">
        <v>25</v>
      </c>
      <c r="G1395" s="3" t="s">
        <v>25</v>
      </c>
      <c r="H1395" s="3" t="s">
        <v>25</v>
      </c>
      <c r="I1395" s="6">
        <v>44593</v>
      </c>
      <c r="J1395" s="4">
        <v>0</v>
      </c>
      <c r="K1395" s="4">
        <v>0</v>
      </c>
      <c r="L1395" s="4">
        <v>3.7210000000000001</v>
      </c>
      <c r="M1395" s="4">
        <v>3.7210000000000001</v>
      </c>
      <c r="N1395" s="4">
        <v>3.7210000000000001</v>
      </c>
      <c r="O1395" s="4">
        <v>3.7210000000000001</v>
      </c>
      <c r="P1395" s="4">
        <v>10</v>
      </c>
      <c r="Q1395" s="3" t="s">
        <v>26</v>
      </c>
      <c r="R1395" s="3">
        <v>0</v>
      </c>
      <c r="S1395" s="4">
        <v>0</v>
      </c>
      <c r="T1395" s="4">
        <v>27</v>
      </c>
      <c r="U1395" s="4">
        <v>100</v>
      </c>
      <c r="V1395" s="4">
        <v>0</v>
      </c>
      <c r="W1395" s="4">
        <v>184.7</v>
      </c>
      <c r="X1395" s="4">
        <v>140.54</v>
      </c>
      <c r="Y1395" s="4"/>
      <c r="Z1395" s="4">
        <v>224.09825009147553</v>
      </c>
      <c r="AA1395" s="4">
        <v>148.49370683243765</v>
      </c>
      <c r="AB1395" s="4">
        <v>0</v>
      </c>
      <c r="AC1395" s="4">
        <v>687.26869999999997</v>
      </c>
      <c r="AD1395" s="4">
        <v>522.94934000000001</v>
      </c>
      <c r="AE1395" s="4">
        <v>0</v>
      </c>
      <c r="AF1395" s="4">
        <v>833.86958859038043</v>
      </c>
      <c r="AG1395" s="4">
        <v>552.54508312350049</v>
      </c>
    </row>
    <row r="1396" spans="1:33" ht="11.25" customHeight="1" x14ac:dyDescent="0.25">
      <c r="A1396" s="3" t="s">
        <v>56</v>
      </c>
      <c r="B1396" s="3" t="s">
        <v>22</v>
      </c>
      <c r="C1396" s="3" t="s">
        <v>23</v>
      </c>
      <c r="D1396" s="3" t="s">
        <v>24</v>
      </c>
      <c r="E1396" s="3" t="s">
        <v>30</v>
      </c>
      <c r="F1396" s="3" t="s">
        <v>25</v>
      </c>
      <c r="G1396" s="3" t="s">
        <v>25</v>
      </c>
      <c r="H1396" s="3" t="s">
        <v>25</v>
      </c>
      <c r="I1396" s="6">
        <v>44621</v>
      </c>
      <c r="J1396" s="4">
        <v>0</v>
      </c>
      <c r="K1396" s="4">
        <v>0</v>
      </c>
      <c r="L1396" s="4">
        <v>12139.191000000001</v>
      </c>
      <c r="M1396" s="4">
        <v>12139.191000000001</v>
      </c>
      <c r="N1396" s="4">
        <v>12139.191000000001</v>
      </c>
      <c r="O1396" s="4">
        <v>12139.191000000001</v>
      </c>
      <c r="P1396" s="4">
        <v>112859</v>
      </c>
      <c r="Q1396" s="3" t="s">
        <v>26</v>
      </c>
      <c r="R1396" s="3">
        <v>0</v>
      </c>
      <c r="S1396" s="4">
        <v>0</v>
      </c>
      <c r="T1396" s="4">
        <v>27</v>
      </c>
      <c r="U1396" s="4">
        <v>100</v>
      </c>
      <c r="V1396" s="4">
        <v>0</v>
      </c>
      <c r="W1396" s="4">
        <v>184.7</v>
      </c>
      <c r="X1396" s="4">
        <v>140.54</v>
      </c>
      <c r="Y1396" s="4"/>
      <c r="Z1396" s="4">
        <v>224.09825009147553</v>
      </c>
      <c r="AA1396" s="4">
        <v>148.49370683243765</v>
      </c>
      <c r="AB1396" s="4">
        <v>0</v>
      </c>
      <c r="AC1396" s="4">
        <v>2242108.5776999998</v>
      </c>
      <c r="AD1396" s="4">
        <v>1706041.9031400001</v>
      </c>
      <c r="AE1396" s="4">
        <v>0</v>
      </c>
      <c r="AF1396" s="4">
        <v>2720371.4606261891</v>
      </c>
      <c r="AG1396" s="4">
        <v>1802593.4695369657</v>
      </c>
    </row>
    <row r="1397" spans="1:33" ht="11.25" customHeight="1" x14ac:dyDescent="0.25">
      <c r="A1397" s="3" t="s">
        <v>56</v>
      </c>
      <c r="B1397" s="3" t="s">
        <v>22</v>
      </c>
      <c r="C1397" s="3" t="s">
        <v>23</v>
      </c>
      <c r="D1397" s="3" t="s">
        <v>24</v>
      </c>
      <c r="E1397" s="3" t="s">
        <v>30</v>
      </c>
      <c r="F1397" s="3" t="s">
        <v>25</v>
      </c>
      <c r="G1397" s="3" t="s">
        <v>25</v>
      </c>
      <c r="H1397" s="3" t="s">
        <v>25</v>
      </c>
      <c r="I1397" s="6">
        <v>44621</v>
      </c>
      <c r="J1397" s="4">
        <v>0</v>
      </c>
      <c r="K1397" s="4">
        <v>0</v>
      </c>
      <c r="L1397" s="4">
        <v>-0.7</v>
      </c>
      <c r="M1397" s="4">
        <v>-0.7</v>
      </c>
      <c r="N1397" s="4">
        <v>-0.7</v>
      </c>
      <c r="O1397" s="4">
        <v>-0.7</v>
      </c>
      <c r="P1397" s="4">
        <v>0</v>
      </c>
      <c r="Q1397" s="3" t="s">
        <v>26</v>
      </c>
      <c r="R1397" s="3">
        <v>0</v>
      </c>
      <c r="S1397" s="4">
        <v>0</v>
      </c>
      <c r="T1397" s="4">
        <v>27</v>
      </c>
      <c r="U1397" s="4">
        <v>100</v>
      </c>
      <c r="V1397" s="4">
        <v>0</v>
      </c>
      <c r="W1397" s="4">
        <v>184.7</v>
      </c>
      <c r="X1397" s="4">
        <v>140.54</v>
      </c>
      <c r="Y1397" s="4"/>
      <c r="Z1397" s="4">
        <v>224.09825009147553</v>
      </c>
      <c r="AA1397" s="4">
        <v>148.49370683243765</v>
      </c>
      <c r="AB1397" s="4">
        <v>0</v>
      </c>
      <c r="AC1397" s="4">
        <v>-129.29</v>
      </c>
      <c r="AD1397" s="4">
        <v>-98.377999999999986</v>
      </c>
      <c r="AE1397" s="4">
        <v>0</v>
      </c>
      <c r="AF1397" s="4">
        <v>-156.86877506403286</v>
      </c>
      <c r="AG1397" s="4">
        <v>-103.94559478270635</v>
      </c>
    </row>
    <row r="1398" spans="1:33" ht="11.25" customHeight="1" x14ac:dyDescent="0.25">
      <c r="A1398" s="3" t="s">
        <v>56</v>
      </c>
      <c r="B1398" s="3" t="s">
        <v>22</v>
      </c>
      <c r="C1398" s="3" t="s">
        <v>23</v>
      </c>
      <c r="D1398" s="3" t="s">
        <v>24</v>
      </c>
      <c r="E1398" s="3" t="s">
        <v>30</v>
      </c>
      <c r="F1398" s="3" t="s">
        <v>25</v>
      </c>
      <c r="G1398" s="3" t="s">
        <v>25</v>
      </c>
      <c r="H1398" s="3" t="s">
        <v>25</v>
      </c>
      <c r="I1398" s="6">
        <v>44621</v>
      </c>
      <c r="J1398" s="4">
        <v>0</v>
      </c>
      <c r="K1398" s="4">
        <v>0</v>
      </c>
      <c r="L1398" s="4">
        <v>3.7210000000000001</v>
      </c>
      <c r="M1398" s="4">
        <v>3.7210000000000001</v>
      </c>
      <c r="N1398" s="4">
        <v>3.7210000000000001</v>
      </c>
      <c r="O1398" s="4">
        <v>3.7210000000000001</v>
      </c>
      <c r="P1398" s="4">
        <v>10</v>
      </c>
      <c r="Q1398" s="3" t="s">
        <v>26</v>
      </c>
      <c r="R1398" s="3">
        <v>0</v>
      </c>
      <c r="S1398" s="4">
        <v>0</v>
      </c>
      <c r="T1398" s="4">
        <v>27</v>
      </c>
      <c r="U1398" s="4">
        <v>100</v>
      </c>
      <c r="V1398" s="4">
        <v>0</v>
      </c>
      <c r="W1398" s="4">
        <v>184.7</v>
      </c>
      <c r="X1398" s="4">
        <v>140.54</v>
      </c>
      <c r="Y1398" s="4"/>
      <c r="Z1398" s="4">
        <v>224.09825009147553</v>
      </c>
      <c r="AA1398" s="4">
        <v>148.49370683243765</v>
      </c>
      <c r="AB1398" s="4">
        <v>0</v>
      </c>
      <c r="AC1398" s="4">
        <v>687.26869999999997</v>
      </c>
      <c r="AD1398" s="4">
        <v>522.94934000000001</v>
      </c>
      <c r="AE1398" s="4">
        <v>0</v>
      </c>
      <c r="AF1398" s="4">
        <v>833.86958859038043</v>
      </c>
      <c r="AG1398" s="4">
        <v>552.54508312350049</v>
      </c>
    </row>
    <row r="1399" spans="1:33" ht="11.25" customHeight="1" x14ac:dyDescent="0.25">
      <c r="A1399" s="3" t="s">
        <v>21</v>
      </c>
      <c r="B1399" s="3" t="s">
        <v>22</v>
      </c>
      <c r="C1399" s="3" t="s">
        <v>23</v>
      </c>
      <c r="D1399" s="3" t="s">
        <v>24</v>
      </c>
      <c r="E1399" s="3" t="s">
        <v>31</v>
      </c>
      <c r="F1399" s="3" t="s">
        <v>25</v>
      </c>
      <c r="G1399" s="3" t="s">
        <v>25</v>
      </c>
      <c r="H1399" s="3" t="s">
        <v>25</v>
      </c>
      <c r="I1399" s="6">
        <v>44287</v>
      </c>
      <c r="J1399" s="4">
        <v>0</v>
      </c>
      <c r="K1399" s="4">
        <v>0</v>
      </c>
      <c r="L1399" s="4">
        <v>6124.4390000000003</v>
      </c>
      <c r="M1399" s="4">
        <v>6124.4390000000003</v>
      </c>
      <c r="N1399" s="4">
        <v>6124.4390000000003</v>
      </c>
      <c r="O1399" s="4">
        <v>6124.4390000000003</v>
      </c>
      <c r="P1399" s="4">
        <v>92729</v>
      </c>
      <c r="Q1399" s="3" t="s">
        <v>26</v>
      </c>
      <c r="R1399" s="3">
        <v>0</v>
      </c>
      <c r="S1399" s="4">
        <v>0</v>
      </c>
      <c r="T1399" s="4">
        <v>28</v>
      </c>
      <c r="U1399" s="4">
        <v>101</v>
      </c>
      <c r="V1399" s="4">
        <v>0</v>
      </c>
      <c r="W1399" s="4">
        <v>277.05</v>
      </c>
      <c r="X1399" s="4">
        <v>210.82</v>
      </c>
      <c r="Y1399" s="4"/>
      <c r="Z1399" s="4">
        <v>336.14737513721332</v>
      </c>
      <c r="AA1399" s="4">
        <v>222.74056024865646</v>
      </c>
      <c r="AB1399" s="4">
        <v>0</v>
      </c>
      <c r="AC1399" s="4">
        <v>1696775.82495</v>
      </c>
      <c r="AD1399" s="4">
        <v>1291154.2299800001</v>
      </c>
      <c r="AE1399" s="4">
        <v>0</v>
      </c>
      <c r="AF1399" s="4">
        <v>2058714.0940379796</v>
      </c>
      <c r="AG1399" s="4">
        <v>1364160.9740687215</v>
      </c>
    </row>
    <row r="1400" spans="1:33" ht="11.25" customHeight="1" x14ac:dyDescent="0.25">
      <c r="A1400" s="3" t="s">
        <v>27</v>
      </c>
      <c r="B1400" s="3" t="s">
        <v>22</v>
      </c>
      <c r="C1400" s="3" t="s">
        <v>23</v>
      </c>
      <c r="D1400" s="3" t="s">
        <v>24</v>
      </c>
      <c r="E1400" s="3" t="s">
        <v>31</v>
      </c>
      <c r="F1400" s="3" t="s">
        <v>25</v>
      </c>
      <c r="G1400" s="3" t="s">
        <v>25</v>
      </c>
      <c r="H1400" s="3" t="s">
        <v>25</v>
      </c>
      <c r="I1400" s="6">
        <v>44287</v>
      </c>
      <c r="J1400" s="4">
        <v>0</v>
      </c>
      <c r="K1400" s="4">
        <v>0</v>
      </c>
      <c r="L1400" s="4">
        <v>-0.98899999999999999</v>
      </c>
      <c r="M1400" s="4">
        <v>-0.98899999999999999</v>
      </c>
      <c r="N1400" s="4">
        <v>-0.98899999999999999</v>
      </c>
      <c r="O1400" s="4">
        <v>-0.98899999999999999</v>
      </c>
      <c r="P1400" s="4">
        <v>-15</v>
      </c>
      <c r="Q1400" s="3" t="s">
        <v>26</v>
      </c>
      <c r="R1400" s="3">
        <v>0</v>
      </c>
      <c r="S1400" s="4">
        <v>0</v>
      </c>
      <c r="T1400" s="4">
        <v>28</v>
      </c>
      <c r="U1400" s="4">
        <v>101</v>
      </c>
      <c r="V1400" s="4">
        <v>0</v>
      </c>
      <c r="W1400" s="4">
        <v>277.05</v>
      </c>
      <c r="X1400" s="4">
        <v>210.82</v>
      </c>
      <c r="Y1400" s="4"/>
      <c r="Z1400" s="4">
        <v>336.14737513721332</v>
      </c>
      <c r="AA1400" s="4">
        <v>222.74056024865646</v>
      </c>
      <c r="AB1400" s="4">
        <v>0</v>
      </c>
      <c r="AC1400" s="4">
        <v>-274.00245000000001</v>
      </c>
      <c r="AD1400" s="4">
        <v>-208.50098</v>
      </c>
      <c r="AE1400" s="4">
        <v>0</v>
      </c>
      <c r="AF1400" s="4">
        <v>-332.44975401070394</v>
      </c>
      <c r="AG1400" s="4">
        <v>-220.29041408592124</v>
      </c>
    </row>
    <row r="1401" spans="1:33" ht="11.25" customHeight="1" x14ac:dyDescent="0.25">
      <c r="A1401" s="3" t="s">
        <v>28</v>
      </c>
      <c r="B1401" s="3" t="s">
        <v>22</v>
      </c>
      <c r="C1401" s="3" t="s">
        <v>23</v>
      </c>
      <c r="D1401" s="3" t="s">
        <v>24</v>
      </c>
      <c r="E1401" s="3" t="s">
        <v>31</v>
      </c>
      <c r="F1401" s="3" t="s">
        <v>25</v>
      </c>
      <c r="G1401" s="3" t="s">
        <v>25</v>
      </c>
      <c r="H1401" s="3" t="s">
        <v>25</v>
      </c>
      <c r="I1401" s="6">
        <v>44287</v>
      </c>
      <c r="J1401" s="4">
        <v>0</v>
      </c>
      <c r="K1401" s="4">
        <v>0</v>
      </c>
      <c r="L1401" s="4">
        <v>0.89400000000000002</v>
      </c>
      <c r="M1401" s="4">
        <v>0.89400000000000002</v>
      </c>
      <c r="N1401" s="4">
        <v>0.89400000000000002</v>
      </c>
      <c r="O1401" s="4">
        <v>0.89400000000000002</v>
      </c>
      <c r="P1401" s="4">
        <v>9</v>
      </c>
      <c r="Q1401" s="3" t="s">
        <v>26</v>
      </c>
      <c r="R1401" s="3">
        <v>0</v>
      </c>
      <c r="S1401" s="4">
        <v>0</v>
      </c>
      <c r="T1401" s="4">
        <v>28</v>
      </c>
      <c r="U1401" s="4">
        <v>101</v>
      </c>
      <c r="V1401" s="4">
        <v>0</v>
      </c>
      <c r="W1401" s="4">
        <v>277.05</v>
      </c>
      <c r="X1401" s="4">
        <v>210.82</v>
      </c>
      <c r="Y1401" s="4"/>
      <c r="Z1401" s="4">
        <v>336.14737513721332</v>
      </c>
      <c r="AA1401" s="4">
        <v>222.74056024865646</v>
      </c>
      <c r="AB1401" s="4">
        <v>0</v>
      </c>
      <c r="AC1401" s="4">
        <v>247.68270000000001</v>
      </c>
      <c r="AD1401" s="4">
        <v>188.47308000000001</v>
      </c>
      <c r="AE1401" s="4">
        <v>0</v>
      </c>
      <c r="AF1401" s="4">
        <v>300.51575337266871</v>
      </c>
      <c r="AG1401" s="4">
        <v>199.13006086229888</v>
      </c>
    </row>
    <row r="1402" spans="1:33" ht="11.25" customHeight="1" x14ac:dyDescent="0.25">
      <c r="A1402" s="3" t="s">
        <v>21</v>
      </c>
      <c r="B1402" s="3" t="s">
        <v>22</v>
      </c>
      <c r="C1402" s="3" t="s">
        <v>23</v>
      </c>
      <c r="D1402" s="3" t="s">
        <v>24</v>
      </c>
      <c r="E1402" s="3" t="s">
        <v>31</v>
      </c>
      <c r="F1402" s="3" t="s">
        <v>25</v>
      </c>
      <c r="G1402" s="3" t="s">
        <v>25</v>
      </c>
      <c r="H1402" s="3" t="s">
        <v>25</v>
      </c>
      <c r="I1402" s="6">
        <v>44317</v>
      </c>
      <c r="J1402" s="4">
        <v>0</v>
      </c>
      <c r="K1402" s="4">
        <v>0</v>
      </c>
      <c r="L1402" s="4">
        <v>4778.491</v>
      </c>
      <c r="M1402" s="4">
        <v>4778.491</v>
      </c>
      <c r="N1402" s="4">
        <v>4778.491</v>
      </c>
      <c r="O1402" s="4">
        <v>4778.491</v>
      </c>
      <c r="P1402" s="4">
        <v>80621</v>
      </c>
      <c r="Q1402" s="3" t="s">
        <v>26</v>
      </c>
      <c r="R1402" s="3">
        <v>0</v>
      </c>
      <c r="S1402" s="4">
        <v>0</v>
      </c>
      <c r="T1402" s="4">
        <v>28</v>
      </c>
      <c r="U1402" s="4">
        <v>101</v>
      </c>
      <c r="V1402" s="4">
        <v>0</v>
      </c>
      <c r="W1402" s="4">
        <v>277.05</v>
      </c>
      <c r="X1402" s="4">
        <v>210.82</v>
      </c>
      <c r="Y1402" s="4"/>
      <c r="Z1402" s="4">
        <v>336.14737513721332</v>
      </c>
      <c r="AA1402" s="4">
        <v>222.74056024865646</v>
      </c>
      <c r="AB1402" s="4">
        <v>0</v>
      </c>
      <c r="AC1402" s="4">
        <v>1323880.9315500001</v>
      </c>
      <c r="AD1402" s="4">
        <v>1007401.47262</v>
      </c>
      <c r="AE1402" s="4">
        <v>0</v>
      </c>
      <c r="AF1402" s="4">
        <v>1606277.2067667977</v>
      </c>
      <c r="AG1402" s="4">
        <v>1064363.7624831626</v>
      </c>
    </row>
    <row r="1403" spans="1:33" ht="11.25" customHeight="1" x14ac:dyDescent="0.25">
      <c r="A1403" s="3" t="s">
        <v>27</v>
      </c>
      <c r="B1403" s="3" t="s">
        <v>22</v>
      </c>
      <c r="C1403" s="3" t="s">
        <v>23</v>
      </c>
      <c r="D1403" s="3" t="s">
        <v>24</v>
      </c>
      <c r="E1403" s="3" t="s">
        <v>31</v>
      </c>
      <c r="F1403" s="3" t="s">
        <v>25</v>
      </c>
      <c r="G1403" s="3" t="s">
        <v>25</v>
      </c>
      <c r="H1403" s="3" t="s">
        <v>25</v>
      </c>
      <c r="I1403" s="6">
        <v>44317</v>
      </c>
      <c r="J1403" s="4">
        <v>0</v>
      </c>
      <c r="K1403" s="4">
        <v>0</v>
      </c>
      <c r="L1403" s="4">
        <v>-0.498</v>
      </c>
      <c r="M1403" s="4">
        <v>-0.498</v>
      </c>
      <c r="N1403" s="4">
        <v>-0.498</v>
      </c>
      <c r="O1403" s="4">
        <v>-0.498</v>
      </c>
      <c r="P1403" s="4">
        <v>-8</v>
      </c>
      <c r="Q1403" s="3" t="s">
        <v>26</v>
      </c>
      <c r="R1403" s="3">
        <v>0</v>
      </c>
      <c r="S1403" s="4">
        <v>0</v>
      </c>
      <c r="T1403" s="4">
        <v>28</v>
      </c>
      <c r="U1403" s="4">
        <v>101</v>
      </c>
      <c r="V1403" s="4">
        <v>0</v>
      </c>
      <c r="W1403" s="4">
        <v>277.05</v>
      </c>
      <c r="X1403" s="4">
        <v>210.82</v>
      </c>
      <c r="Y1403" s="4"/>
      <c r="Z1403" s="4">
        <v>336.14737513721332</v>
      </c>
      <c r="AA1403" s="4">
        <v>222.74056024865646</v>
      </c>
      <c r="AB1403" s="4">
        <v>0</v>
      </c>
      <c r="AC1403" s="4">
        <v>-137.9709</v>
      </c>
      <c r="AD1403" s="4">
        <v>-104.98836</v>
      </c>
      <c r="AE1403" s="4">
        <v>0</v>
      </c>
      <c r="AF1403" s="4">
        <v>-167.40139281833223</v>
      </c>
      <c r="AG1403" s="4">
        <v>-110.92479900383091</v>
      </c>
    </row>
    <row r="1404" spans="1:33" ht="11.25" customHeight="1" x14ac:dyDescent="0.25">
      <c r="A1404" s="3" t="s">
        <v>28</v>
      </c>
      <c r="B1404" s="3" t="s">
        <v>22</v>
      </c>
      <c r="C1404" s="3" t="s">
        <v>23</v>
      </c>
      <c r="D1404" s="3" t="s">
        <v>24</v>
      </c>
      <c r="E1404" s="3" t="s">
        <v>31</v>
      </c>
      <c r="F1404" s="3" t="s">
        <v>25</v>
      </c>
      <c r="G1404" s="3" t="s">
        <v>25</v>
      </c>
      <c r="H1404" s="3" t="s">
        <v>25</v>
      </c>
      <c r="I1404" s="6">
        <v>44317</v>
      </c>
      <c r="J1404" s="4">
        <v>0</v>
      </c>
      <c r="K1404" s="4">
        <v>0</v>
      </c>
      <c r="L1404" s="4">
        <v>1.2569999999999999</v>
      </c>
      <c r="M1404" s="4">
        <v>1.2569999999999999</v>
      </c>
      <c r="N1404" s="4">
        <v>1.2569999999999999</v>
      </c>
      <c r="O1404" s="4">
        <v>1.2569999999999999</v>
      </c>
      <c r="P1404" s="4">
        <v>14</v>
      </c>
      <c r="Q1404" s="3" t="s">
        <v>26</v>
      </c>
      <c r="R1404" s="3">
        <v>0</v>
      </c>
      <c r="S1404" s="4">
        <v>0</v>
      </c>
      <c r="T1404" s="4">
        <v>28</v>
      </c>
      <c r="U1404" s="4">
        <v>101</v>
      </c>
      <c r="V1404" s="4">
        <v>0</v>
      </c>
      <c r="W1404" s="4">
        <v>277.05</v>
      </c>
      <c r="X1404" s="4">
        <v>210.82</v>
      </c>
      <c r="Y1404" s="4"/>
      <c r="Z1404" s="4">
        <v>336.14737513721332</v>
      </c>
      <c r="AA1404" s="4">
        <v>222.74056024865646</v>
      </c>
      <c r="AB1404" s="4">
        <v>0</v>
      </c>
      <c r="AC1404" s="4">
        <v>348.25184999999999</v>
      </c>
      <c r="AD1404" s="4">
        <v>265.00073999999995</v>
      </c>
      <c r="AE1404" s="4">
        <v>0</v>
      </c>
      <c r="AF1404" s="4">
        <v>422.53725054747713</v>
      </c>
      <c r="AG1404" s="4">
        <v>279.98488423256117</v>
      </c>
    </row>
    <row r="1405" spans="1:33" ht="11.25" customHeight="1" x14ac:dyDescent="0.25">
      <c r="A1405" s="3" t="s">
        <v>21</v>
      </c>
      <c r="B1405" s="3" t="s">
        <v>22</v>
      </c>
      <c r="C1405" s="3" t="s">
        <v>23</v>
      </c>
      <c r="D1405" s="3" t="s">
        <v>24</v>
      </c>
      <c r="E1405" s="3" t="s">
        <v>31</v>
      </c>
      <c r="F1405" s="3" t="s">
        <v>25</v>
      </c>
      <c r="G1405" s="3" t="s">
        <v>25</v>
      </c>
      <c r="H1405" s="3" t="s">
        <v>25</v>
      </c>
      <c r="I1405" s="6">
        <v>44348</v>
      </c>
      <c r="J1405" s="4">
        <v>0</v>
      </c>
      <c r="K1405" s="4">
        <v>0</v>
      </c>
      <c r="L1405" s="4">
        <v>4336.3</v>
      </c>
      <c r="M1405" s="4">
        <v>4336.3</v>
      </c>
      <c r="N1405" s="4">
        <v>4336.3</v>
      </c>
      <c r="O1405" s="4">
        <v>4336.3</v>
      </c>
      <c r="P1405" s="4">
        <v>76065</v>
      </c>
      <c r="Q1405" s="3" t="s">
        <v>26</v>
      </c>
      <c r="R1405" s="3">
        <v>0</v>
      </c>
      <c r="S1405" s="4">
        <v>0</v>
      </c>
      <c r="T1405" s="4">
        <v>28</v>
      </c>
      <c r="U1405" s="4">
        <v>101</v>
      </c>
      <c r="V1405" s="4">
        <v>0</v>
      </c>
      <c r="W1405" s="4">
        <v>277.05</v>
      </c>
      <c r="X1405" s="4">
        <v>210.82</v>
      </c>
      <c r="Y1405" s="4"/>
      <c r="Z1405" s="4">
        <v>336.14737513721332</v>
      </c>
      <c r="AA1405" s="4">
        <v>222.74056024865646</v>
      </c>
      <c r="AB1405" s="4">
        <v>0</v>
      </c>
      <c r="AC1405" s="4">
        <v>1201371.915</v>
      </c>
      <c r="AD1405" s="4">
        <v>914178.76600000006</v>
      </c>
      <c r="AE1405" s="4">
        <v>0</v>
      </c>
      <c r="AF1405" s="4">
        <v>1457635.8628074981</v>
      </c>
      <c r="AG1405" s="4">
        <v>965869.89140624902</v>
      </c>
    </row>
    <row r="1406" spans="1:33" ht="11.25" customHeight="1" x14ac:dyDescent="0.25">
      <c r="A1406" s="3" t="s">
        <v>27</v>
      </c>
      <c r="B1406" s="3" t="s">
        <v>22</v>
      </c>
      <c r="C1406" s="3" t="s">
        <v>23</v>
      </c>
      <c r="D1406" s="3" t="s">
        <v>24</v>
      </c>
      <c r="E1406" s="3" t="s">
        <v>31</v>
      </c>
      <c r="F1406" s="3" t="s">
        <v>25</v>
      </c>
      <c r="G1406" s="3" t="s">
        <v>25</v>
      </c>
      <c r="H1406" s="3" t="s">
        <v>25</v>
      </c>
      <c r="I1406" s="6">
        <v>44348</v>
      </c>
      <c r="J1406" s="4">
        <v>0</v>
      </c>
      <c r="K1406" s="4">
        <v>0</v>
      </c>
      <c r="L1406" s="4">
        <v>-13.119</v>
      </c>
      <c r="M1406" s="4">
        <v>-13.119</v>
      </c>
      <c r="N1406" s="4">
        <v>-13.119</v>
      </c>
      <c r="O1406" s="4">
        <v>-13.119</v>
      </c>
      <c r="P1406" s="4">
        <v>-17</v>
      </c>
      <c r="Q1406" s="3" t="s">
        <v>26</v>
      </c>
      <c r="R1406" s="3">
        <v>0</v>
      </c>
      <c r="S1406" s="4">
        <v>0</v>
      </c>
      <c r="T1406" s="4">
        <v>28</v>
      </c>
      <c r="U1406" s="4">
        <v>101</v>
      </c>
      <c r="V1406" s="4">
        <v>0</v>
      </c>
      <c r="W1406" s="4">
        <v>277.05</v>
      </c>
      <c r="X1406" s="4">
        <v>210.82</v>
      </c>
      <c r="Y1406" s="4"/>
      <c r="Z1406" s="4">
        <v>336.14737513721332</v>
      </c>
      <c r="AA1406" s="4">
        <v>222.74056024865646</v>
      </c>
      <c r="AB1406" s="4">
        <v>0</v>
      </c>
      <c r="AC1406" s="4">
        <v>-3634.61895</v>
      </c>
      <c r="AD1406" s="4">
        <v>-2765.7475799999997</v>
      </c>
      <c r="AE1406" s="4">
        <v>0</v>
      </c>
      <c r="AF1406" s="4">
        <v>-4409.917414425101</v>
      </c>
      <c r="AG1406" s="4">
        <v>-2922.1334099021242</v>
      </c>
    </row>
    <row r="1407" spans="1:33" ht="11.25" customHeight="1" x14ac:dyDescent="0.25">
      <c r="A1407" s="3" t="s">
        <v>28</v>
      </c>
      <c r="B1407" s="3" t="s">
        <v>22</v>
      </c>
      <c r="C1407" s="3" t="s">
        <v>23</v>
      </c>
      <c r="D1407" s="3" t="s">
        <v>24</v>
      </c>
      <c r="E1407" s="3" t="s">
        <v>31</v>
      </c>
      <c r="F1407" s="3" t="s">
        <v>25</v>
      </c>
      <c r="G1407" s="3" t="s">
        <v>25</v>
      </c>
      <c r="H1407" s="3" t="s">
        <v>25</v>
      </c>
      <c r="I1407" s="6">
        <v>44348</v>
      </c>
      <c r="J1407" s="4">
        <v>0</v>
      </c>
      <c r="K1407" s="4">
        <v>0</v>
      </c>
      <c r="L1407" s="4">
        <v>1.196</v>
      </c>
      <c r="M1407" s="4">
        <v>1.196</v>
      </c>
      <c r="N1407" s="4">
        <v>1.196</v>
      </c>
      <c r="O1407" s="4">
        <v>1.196</v>
      </c>
      <c r="P1407" s="4">
        <v>21</v>
      </c>
      <c r="Q1407" s="3" t="s">
        <v>26</v>
      </c>
      <c r="R1407" s="3">
        <v>0</v>
      </c>
      <c r="S1407" s="4">
        <v>0</v>
      </c>
      <c r="T1407" s="4">
        <v>28</v>
      </c>
      <c r="U1407" s="4">
        <v>101</v>
      </c>
      <c r="V1407" s="4">
        <v>0</v>
      </c>
      <c r="W1407" s="4">
        <v>277.05</v>
      </c>
      <c r="X1407" s="4">
        <v>210.82</v>
      </c>
      <c r="Y1407" s="4"/>
      <c r="Z1407" s="4">
        <v>336.14737513721332</v>
      </c>
      <c r="AA1407" s="4">
        <v>222.74056024865646</v>
      </c>
      <c r="AB1407" s="4">
        <v>0</v>
      </c>
      <c r="AC1407" s="4">
        <v>331.35180000000003</v>
      </c>
      <c r="AD1407" s="4">
        <v>252.14071999999999</v>
      </c>
      <c r="AE1407" s="4">
        <v>0</v>
      </c>
      <c r="AF1407" s="4">
        <v>402.03226066410713</v>
      </c>
      <c r="AG1407" s="4">
        <v>266.39771005739311</v>
      </c>
    </row>
    <row r="1408" spans="1:33" ht="11.25" customHeight="1" x14ac:dyDescent="0.25">
      <c r="A1408" s="3" t="s">
        <v>21</v>
      </c>
      <c r="B1408" s="3" t="s">
        <v>22</v>
      </c>
      <c r="C1408" s="3" t="s">
        <v>23</v>
      </c>
      <c r="D1408" s="3" t="s">
        <v>24</v>
      </c>
      <c r="E1408" s="3" t="s">
        <v>31</v>
      </c>
      <c r="F1408" s="3" t="s">
        <v>25</v>
      </c>
      <c r="G1408" s="3" t="s">
        <v>25</v>
      </c>
      <c r="H1408" s="3" t="s">
        <v>25</v>
      </c>
      <c r="I1408" s="6">
        <v>44378</v>
      </c>
      <c r="J1408" s="4">
        <v>0</v>
      </c>
      <c r="K1408" s="4">
        <v>0</v>
      </c>
      <c r="L1408" s="4">
        <v>4159.99</v>
      </c>
      <c r="M1408" s="4">
        <v>4159.99</v>
      </c>
      <c r="N1408" s="4">
        <v>4159.99</v>
      </c>
      <c r="O1408" s="4">
        <v>4159.99</v>
      </c>
      <c r="P1408" s="4">
        <v>75018</v>
      </c>
      <c r="Q1408" s="3" t="s">
        <v>26</v>
      </c>
      <c r="R1408" s="3">
        <v>0</v>
      </c>
      <c r="S1408" s="4">
        <v>0</v>
      </c>
      <c r="T1408" s="4">
        <v>28</v>
      </c>
      <c r="U1408" s="4">
        <v>101</v>
      </c>
      <c r="V1408" s="4">
        <v>0</v>
      </c>
      <c r="W1408" s="4">
        <v>277.05</v>
      </c>
      <c r="X1408" s="4">
        <v>210.82</v>
      </c>
      <c r="Y1408" s="4"/>
      <c r="Z1408" s="4">
        <v>336.14737513721332</v>
      </c>
      <c r="AA1408" s="4">
        <v>222.74056024865646</v>
      </c>
      <c r="AB1408" s="4">
        <v>0</v>
      </c>
      <c r="AC1408" s="4">
        <v>1152525.2294999999</v>
      </c>
      <c r="AD1408" s="4">
        <v>877009.09179999994</v>
      </c>
      <c r="AE1408" s="4">
        <v>0</v>
      </c>
      <c r="AF1408" s="4">
        <v>1398369.719097056</v>
      </c>
      <c r="AG1408" s="4">
        <v>926598.5032288084</v>
      </c>
    </row>
    <row r="1409" spans="1:33" ht="11.25" customHeight="1" x14ac:dyDescent="0.25">
      <c r="A1409" s="3" t="s">
        <v>27</v>
      </c>
      <c r="B1409" s="3" t="s">
        <v>22</v>
      </c>
      <c r="C1409" s="3" t="s">
        <v>23</v>
      </c>
      <c r="D1409" s="3" t="s">
        <v>24</v>
      </c>
      <c r="E1409" s="3" t="s">
        <v>31</v>
      </c>
      <c r="F1409" s="3" t="s">
        <v>25</v>
      </c>
      <c r="G1409" s="3" t="s">
        <v>25</v>
      </c>
      <c r="H1409" s="3" t="s">
        <v>25</v>
      </c>
      <c r="I1409" s="6">
        <v>44378</v>
      </c>
      <c r="J1409" s="4">
        <v>0</v>
      </c>
      <c r="K1409" s="4">
        <v>0</v>
      </c>
      <c r="L1409" s="4">
        <v>-2.1030000000000002</v>
      </c>
      <c r="M1409" s="4">
        <v>-2.1030000000000002</v>
      </c>
      <c r="N1409" s="4">
        <v>-2.1030000000000002</v>
      </c>
      <c r="O1409" s="4">
        <v>-2.1030000000000002</v>
      </c>
      <c r="P1409" s="4">
        <v>-3</v>
      </c>
      <c r="Q1409" s="3" t="s">
        <v>26</v>
      </c>
      <c r="R1409" s="3">
        <v>0</v>
      </c>
      <c r="S1409" s="4">
        <v>0</v>
      </c>
      <c r="T1409" s="4">
        <v>28</v>
      </c>
      <c r="U1409" s="4">
        <v>101</v>
      </c>
      <c r="V1409" s="4">
        <v>0</v>
      </c>
      <c r="W1409" s="4">
        <v>277.05</v>
      </c>
      <c r="X1409" s="4">
        <v>210.82</v>
      </c>
      <c r="Y1409" s="4"/>
      <c r="Z1409" s="4">
        <v>336.14737513721332</v>
      </c>
      <c r="AA1409" s="4">
        <v>222.74056024865646</v>
      </c>
      <c r="AB1409" s="4">
        <v>0</v>
      </c>
      <c r="AC1409" s="4">
        <v>-582.63615000000004</v>
      </c>
      <c r="AD1409" s="4">
        <v>-443.35446000000002</v>
      </c>
      <c r="AE1409" s="4">
        <v>0</v>
      </c>
      <c r="AF1409" s="4">
        <v>-706.91792991355965</v>
      </c>
      <c r="AG1409" s="4">
        <v>-468.4233982029246</v>
      </c>
    </row>
    <row r="1410" spans="1:33" ht="11.25" customHeight="1" x14ac:dyDescent="0.25">
      <c r="A1410" s="3" t="s">
        <v>28</v>
      </c>
      <c r="B1410" s="3" t="s">
        <v>22</v>
      </c>
      <c r="C1410" s="3" t="s">
        <v>23</v>
      </c>
      <c r="D1410" s="3" t="s">
        <v>24</v>
      </c>
      <c r="E1410" s="3" t="s">
        <v>31</v>
      </c>
      <c r="F1410" s="3" t="s">
        <v>25</v>
      </c>
      <c r="G1410" s="3" t="s">
        <v>25</v>
      </c>
      <c r="H1410" s="3" t="s">
        <v>25</v>
      </c>
      <c r="I1410" s="6">
        <v>44378</v>
      </c>
      <c r="J1410" s="4">
        <v>0</v>
      </c>
      <c r="K1410" s="4">
        <v>0</v>
      </c>
      <c r="L1410" s="4">
        <v>1.7070000000000001</v>
      </c>
      <c r="M1410" s="4">
        <v>1.7070000000000001</v>
      </c>
      <c r="N1410" s="4">
        <v>1.7070000000000001</v>
      </c>
      <c r="O1410" s="4">
        <v>1.7070000000000001</v>
      </c>
      <c r="P1410" s="4">
        <v>23</v>
      </c>
      <c r="Q1410" s="3" t="s">
        <v>26</v>
      </c>
      <c r="R1410" s="3">
        <v>0</v>
      </c>
      <c r="S1410" s="4">
        <v>0</v>
      </c>
      <c r="T1410" s="4">
        <v>28</v>
      </c>
      <c r="U1410" s="4">
        <v>101</v>
      </c>
      <c r="V1410" s="4">
        <v>0</v>
      </c>
      <c r="W1410" s="4">
        <v>277.05</v>
      </c>
      <c r="X1410" s="4">
        <v>210.82</v>
      </c>
      <c r="Y1410" s="4"/>
      <c r="Z1410" s="4">
        <v>336.14737513721332</v>
      </c>
      <c r="AA1410" s="4">
        <v>222.74056024865646</v>
      </c>
      <c r="AB1410" s="4">
        <v>0</v>
      </c>
      <c r="AC1410" s="4">
        <v>472.92435000000006</v>
      </c>
      <c r="AD1410" s="4">
        <v>359.86973999999998</v>
      </c>
      <c r="AE1410" s="4">
        <v>0</v>
      </c>
      <c r="AF1410" s="4">
        <v>573.80356935922316</v>
      </c>
      <c r="AG1410" s="4">
        <v>380.21813634445658</v>
      </c>
    </row>
    <row r="1411" spans="1:33" ht="11.25" customHeight="1" x14ac:dyDescent="0.25">
      <c r="A1411" s="3" t="s">
        <v>21</v>
      </c>
      <c r="B1411" s="3" t="s">
        <v>22</v>
      </c>
      <c r="C1411" s="3" t="s">
        <v>23</v>
      </c>
      <c r="D1411" s="3" t="s">
        <v>24</v>
      </c>
      <c r="E1411" s="3" t="s">
        <v>31</v>
      </c>
      <c r="F1411" s="3" t="s">
        <v>25</v>
      </c>
      <c r="G1411" s="3" t="s">
        <v>25</v>
      </c>
      <c r="H1411" s="3" t="s">
        <v>25</v>
      </c>
      <c r="I1411" s="6">
        <v>44409</v>
      </c>
      <c r="J1411" s="4">
        <v>0</v>
      </c>
      <c r="K1411" s="4">
        <v>0</v>
      </c>
      <c r="L1411" s="4">
        <v>3609.5309999999999</v>
      </c>
      <c r="M1411" s="4">
        <v>3609.5309999999999</v>
      </c>
      <c r="N1411" s="4">
        <v>3609.5309999999999</v>
      </c>
      <c r="O1411" s="4">
        <v>3609.5309999999999</v>
      </c>
      <c r="P1411" s="4">
        <v>68251</v>
      </c>
      <c r="Q1411" s="3" t="s">
        <v>26</v>
      </c>
      <c r="R1411" s="3">
        <v>0</v>
      </c>
      <c r="S1411" s="4">
        <v>0</v>
      </c>
      <c r="T1411" s="4">
        <v>28</v>
      </c>
      <c r="U1411" s="4">
        <v>101</v>
      </c>
      <c r="V1411" s="4">
        <v>0</v>
      </c>
      <c r="W1411" s="4">
        <v>277.05</v>
      </c>
      <c r="X1411" s="4">
        <v>210.82</v>
      </c>
      <c r="Y1411" s="4"/>
      <c r="Z1411" s="4">
        <v>336.14737513721332</v>
      </c>
      <c r="AA1411" s="4">
        <v>222.74056024865646</v>
      </c>
      <c r="AB1411" s="4">
        <v>0</v>
      </c>
      <c r="AC1411" s="4">
        <v>1000020.5635500001</v>
      </c>
      <c r="AD1411" s="4">
        <v>760961.32542000001</v>
      </c>
      <c r="AE1411" s="4">
        <v>0</v>
      </c>
      <c r="AF1411" s="4">
        <v>1213334.3711264008</v>
      </c>
      <c r="AG1411" s="4">
        <v>803988.95717489324</v>
      </c>
    </row>
    <row r="1412" spans="1:33" ht="11.25" customHeight="1" x14ac:dyDescent="0.25">
      <c r="A1412" s="3" t="s">
        <v>27</v>
      </c>
      <c r="B1412" s="3" t="s">
        <v>22</v>
      </c>
      <c r="C1412" s="3" t="s">
        <v>23</v>
      </c>
      <c r="D1412" s="3" t="s">
        <v>24</v>
      </c>
      <c r="E1412" s="3" t="s">
        <v>31</v>
      </c>
      <c r="F1412" s="3" t="s">
        <v>25</v>
      </c>
      <c r="G1412" s="3" t="s">
        <v>25</v>
      </c>
      <c r="H1412" s="3" t="s">
        <v>25</v>
      </c>
      <c r="I1412" s="6">
        <v>44409</v>
      </c>
      <c r="J1412" s="4">
        <v>0</v>
      </c>
      <c r="K1412" s="4">
        <v>0</v>
      </c>
      <c r="L1412" s="4">
        <v>-1.468</v>
      </c>
      <c r="M1412" s="4">
        <v>-1.468</v>
      </c>
      <c r="N1412" s="4">
        <v>-1.468</v>
      </c>
      <c r="O1412" s="4">
        <v>-1.468</v>
      </c>
      <c r="P1412" s="4">
        <v>-8</v>
      </c>
      <c r="Q1412" s="3" t="s">
        <v>26</v>
      </c>
      <c r="R1412" s="3">
        <v>0</v>
      </c>
      <c r="S1412" s="4">
        <v>0</v>
      </c>
      <c r="T1412" s="4">
        <v>28</v>
      </c>
      <c r="U1412" s="4">
        <v>101</v>
      </c>
      <c r="V1412" s="4">
        <v>0</v>
      </c>
      <c r="W1412" s="4">
        <v>277.05</v>
      </c>
      <c r="X1412" s="4">
        <v>210.82</v>
      </c>
      <c r="Y1412" s="4"/>
      <c r="Z1412" s="4">
        <v>336.14737513721332</v>
      </c>
      <c r="AA1412" s="4">
        <v>222.74056024865646</v>
      </c>
      <c r="AB1412" s="4">
        <v>0</v>
      </c>
      <c r="AC1412" s="4">
        <v>-406.70940000000002</v>
      </c>
      <c r="AD1412" s="4">
        <v>-309.48375999999996</v>
      </c>
      <c r="AE1412" s="4">
        <v>0</v>
      </c>
      <c r="AF1412" s="4">
        <v>-493.46434670142912</v>
      </c>
      <c r="AG1412" s="4">
        <v>-326.98314244502768</v>
      </c>
    </row>
    <row r="1413" spans="1:33" ht="11.25" customHeight="1" x14ac:dyDescent="0.25">
      <c r="A1413" s="3" t="s">
        <v>28</v>
      </c>
      <c r="B1413" s="3" t="s">
        <v>22</v>
      </c>
      <c r="C1413" s="3" t="s">
        <v>23</v>
      </c>
      <c r="D1413" s="3" t="s">
        <v>24</v>
      </c>
      <c r="E1413" s="3" t="s">
        <v>31</v>
      </c>
      <c r="F1413" s="3" t="s">
        <v>25</v>
      </c>
      <c r="G1413" s="3" t="s">
        <v>25</v>
      </c>
      <c r="H1413" s="3" t="s">
        <v>25</v>
      </c>
      <c r="I1413" s="6">
        <v>44409</v>
      </c>
      <c r="J1413" s="4">
        <v>0</v>
      </c>
      <c r="K1413" s="4">
        <v>0</v>
      </c>
      <c r="L1413" s="4">
        <v>1.56</v>
      </c>
      <c r="M1413" s="4">
        <v>1.56</v>
      </c>
      <c r="N1413" s="4">
        <v>1.56</v>
      </c>
      <c r="O1413" s="4">
        <v>1.56</v>
      </c>
      <c r="P1413" s="4">
        <v>26</v>
      </c>
      <c r="Q1413" s="3" t="s">
        <v>26</v>
      </c>
      <c r="R1413" s="3">
        <v>0</v>
      </c>
      <c r="S1413" s="4">
        <v>0</v>
      </c>
      <c r="T1413" s="4">
        <v>28</v>
      </c>
      <c r="U1413" s="4">
        <v>101</v>
      </c>
      <c r="V1413" s="4">
        <v>0</v>
      </c>
      <c r="W1413" s="4">
        <v>277.05</v>
      </c>
      <c r="X1413" s="4">
        <v>210.82</v>
      </c>
      <c r="Y1413" s="4"/>
      <c r="Z1413" s="4">
        <v>336.14737513721332</v>
      </c>
      <c r="AA1413" s="4">
        <v>222.74056024865646</v>
      </c>
      <c r="AB1413" s="4">
        <v>0</v>
      </c>
      <c r="AC1413" s="4">
        <v>432.19800000000004</v>
      </c>
      <c r="AD1413" s="4">
        <v>328.87920000000003</v>
      </c>
      <c r="AE1413" s="4">
        <v>0</v>
      </c>
      <c r="AF1413" s="4">
        <v>524.38990521405276</v>
      </c>
      <c r="AG1413" s="4">
        <v>347.47527398790407</v>
      </c>
    </row>
    <row r="1414" spans="1:33" ht="11.25" customHeight="1" x14ac:dyDescent="0.25">
      <c r="A1414" s="3" t="s">
        <v>21</v>
      </c>
      <c r="B1414" s="3" t="s">
        <v>22</v>
      </c>
      <c r="C1414" s="3" t="s">
        <v>23</v>
      </c>
      <c r="D1414" s="3" t="s">
        <v>24</v>
      </c>
      <c r="E1414" s="3" t="s">
        <v>31</v>
      </c>
      <c r="F1414" s="3" t="s">
        <v>25</v>
      </c>
      <c r="G1414" s="3" t="s">
        <v>25</v>
      </c>
      <c r="H1414" s="3" t="s">
        <v>25</v>
      </c>
      <c r="I1414" s="6">
        <v>44440</v>
      </c>
      <c r="J1414" s="4">
        <v>0</v>
      </c>
      <c r="K1414" s="4">
        <v>0</v>
      </c>
      <c r="L1414" s="4">
        <v>3733.4540000000002</v>
      </c>
      <c r="M1414" s="4">
        <v>3733.4540000000002</v>
      </c>
      <c r="N1414" s="4">
        <v>3733.4540000000002</v>
      </c>
      <c r="O1414" s="4">
        <v>3733.4540000000002</v>
      </c>
      <c r="P1414" s="4">
        <v>69672</v>
      </c>
      <c r="Q1414" s="3" t="s">
        <v>26</v>
      </c>
      <c r="R1414" s="3">
        <v>0</v>
      </c>
      <c r="S1414" s="4">
        <v>0</v>
      </c>
      <c r="T1414" s="4">
        <v>28</v>
      </c>
      <c r="U1414" s="4">
        <v>101</v>
      </c>
      <c r="V1414" s="4">
        <v>0</v>
      </c>
      <c r="W1414" s="4">
        <v>277.05</v>
      </c>
      <c r="X1414" s="4">
        <v>210.82</v>
      </c>
      <c r="Y1414" s="4"/>
      <c r="Z1414" s="4">
        <v>336.14737513721332</v>
      </c>
      <c r="AA1414" s="4">
        <v>222.74056024865646</v>
      </c>
      <c r="AB1414" s="4">
        <v>0</v>
      </c>
      <c r="AC1414" s="4">
        <v>1034353.4307000001</v>
      </c>
      <c r="AD1414" s="4">
        <v>787086.77228000003</v>
      </c>
      <c r="AE1414" s="4">
        <v>0</v>
      </c>
      <c r="AF1414" s="4">
        <v>1254990.7622955297</v>
      </c>
      <c r="AG1414" s="4">
        <v>831591.63562258752</v>
      </c>
    </row>
    <row r="1415" spans="1:33" ht="11.25" customHeight="1" x14ac:dyDescent="0.25">
      <c r="A1415" s="3" t="s">
        <v>27</v>
      </c>
      <c r="B1415" s="3" t="s">
        <v>22</v>
      </c>
      <c r="C1415" s="3" t="s">
        <v>23</v>
      </c>
      <c r="D1415" s="3" t="s">
        <v>24</v>
      </c>
      <c r="E1415" s="3" t="s">
        <v>31</v>
      </c>
      <c r="F1415" s="3" t="s">
        <v>25</v>
      </c>
      <c r="G1415" s="3" t="s">
        <v>25</v>
      </c>
      <c r="H1415" s="3" t="s">
        <v>25</v>
      </c>
      <c r="I1415" s="6">
        <v>44440</v>
      </c>
      <c r="J1415" s="4">
        <v>0</v>
      </c>
      <c r="K1415" s="4">
        <v>0</v>
      </c>
      <c r="L1415" s="4">
        <v>-2.117</v>
      </c>
      <c r="M1415" s="4">
        <v>-2.117</v>
      </c>
      <c r="N1415" s="4">
        <v>-2.117</v>
      </c>
      <c r="O1415" s="4">
        <v>-2.117</v>
      </c>
      <c r="P1415" s="4">
        <v>-10</v>
      </c>
      <c r="Q1415" s="3" t="s">
        <v>26</v>
      </c>
      <c r="R1415" s="3">
        <v>0</v>
      </c>
      <c r="S1415" s="4">
        <v>0</v>
      </c>
      <c r="T1415" s="4">
        <v>28</v>
      </c>
      <c r="U1415" s="4">
        <v>101</v>
      </c>
      <c r="V1415" s="4">
        <v>0</v>
      </c>
      <c r="W1415" s="4">
        <v>277.05</v>
      </c>
      <c r="X1415" s="4">
        <v>210.82</v>
      </c>
      <c r="Y1415" s="4"/>
      <c r="Z1415" s="4">
        <v>336.14737513721332</v>
      </c>
      <c r="AA1415" s="4">
        <v>222.74056024865646</v>
      </c>
      <c r="AB1415" s="4">
        <v>0</v>
      </c>
      <c r="AC1415" s="4">
        <v>-586.51485000000002</v>
      </c>
      <c r="AD1415" s="4">
        <v>-446.30593999999996</v>
      </c>
      <c r="AE1415" s="4">
        <v>0</v>
      </c>
      <c r="AF1415" s="4">
        <v>-711.62399316548056</v>
      </c>
      <c r="AG1415" s="4">
        <v>-471.54176604640571</v>
      </c>
    </row>
    <row r="1416" spans="1:33" ht="11.25" customHeight="1" x14ac:dyDescent="0.25">
      <c r="A1416" s="3" t="s">
        <v>28</v>
      </c>
      <c r="B1416" s="3" t="s">
        <v>22</v>
      </c>
      <c r="C1416" s="3" t="s">
        <v>23</v>
      </c>
      <c r="D1416" s="3" t="s">
        <v>24</v>
      </c>
      <c r="E1416" s="3" t="s">
        <v>31</v>
      </c>
      <c r="F1416" s="3" t="s">
        <v>25</v>
      </c>
      <c r="G1416" s="3" t="s">
        <v>25</v>
      </c>
      <c r="H1416" s="3" t="s">
        <v>25</v>
      </c>
      <c r="I1416" s="6">
        <v>44440</v>
      </c>
      <c r="J1416" s="4">
        <v>0</v>
      </c>
      <c r="K1416" s="4">
        <v>0</v>
      </c>
      <c r="L1416" s="4">
        <v>1.6120000000000001</v>
      </c>
      <c r="M1416" s="4">
        <v>1.6120000000000001</v>
      </c>
      <c r="N1416" s="4">
        <v>1.6120000000000001</v>
      </c>
      <c r="O1416" s="4">
        <v>1.6120000000000001</v>
      </c>
      <c r="P1416" s="4">
        <v>23</v>
      </c>
      <c r="Q1416" s="3" t="s">
        <v>26</v>
      </c>
      <c r="R1416" s="3">
        <v>0</v>
      </c>
      <c r="S1416" s="4">
        <v>0</v>
      </c>
      <c r="T1416" s="4">
        <v>28</v>
      </c>
      <c r="U1416" s="4">
        <v>101</v>
      </c>
      <c r="V1416" s="4">
        <v>0</v>
      </c>
      <c r="W1416" s="4">
        <v>277.05</v>
      </c>
      <c r="X1416" s="4">
        <v>210.82</v>
      </c>
      <c r="Y1416" s="4"/>
      <c r="Z1416" s="4">
        <v>336.14737513721332</v>
      </c>
      <c r="AA1416" s="4">
        <v>222.74056024865646</v>
      </c>
      <c r="AB1416" s="4">
        <v>0</v>
      </c>
      <c r="AC1416" s="4">
        <v>446.60460000000006</v>
      </c>
      <c r="AD1416" s="4">
        <v>339.84183999999999</v>
      </c>
      <c r="AE1416" s="4">
        <v>0</v>
      </c>
      <c r="AF1416" s="4">
        <v>541.86956872118787</v>
      </c>
      <c r="AG1416" s="4">
        <v>359.05778312083424</v>
      </c>
    </row>
    <row r="1417" spans="1:33" ht="11.25" customHeight="1" x14ac:dyDescent="0.25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31</v>
      </c>
      <c r="F1417" s="3" t="s">
        <v>25</v>
      </c>
      <c r="G1417" s="3" t="s">
        <v>25</v>
      </c>
      <c r="H1417" s="3" t="s">
        <v>25</v>
      </c>
      <c r="I1417" s="6">
        <v>44470</v>
      </c>
      <c r="J1417" s="4">
        <v>0</v>
      </c>
      <c r="K1417" s="4">
        <v>0</v>
      </c>
      <c r="L1417" s="4">
        <v>4422.8530000000001</v>
      </c>
      <c r="M1417" s="4">
        <v>4422.8530000000001</v>
      </c>
      <c r="N1417" s="4">
        <v>4422.8530000000001</v>
      </c>
      <c r="O1417" s="4">
        <v>4422.8530000000001</v>
      </c>
      <c r="P1417" s="4">
        <v>78395</v>
      </c>
      <c r="Q1417" s="3" t="s">
        <v>26</v>
      </c>
      <c r="R1417" s="3">
        <v>0</v>
      </c>
      <c r="S1417" s="4">
        <v>0</v>
      </c>
      <c r="T1417" s="4">
        <v>28</v>
      </c>
      <c r="U1417" s="4">
        <v>101</v>
      </c>
      <c r="V1417" s="4">
        <v>0</v>
      </c>
      <c r="W1417" s="4">
        <v>277.05</v>
      </c>
      <c r="X1417" s="4">
        <v>210.82</v>
      </c>
      <c r="Y1417" s="4"/>
      <c r="Z1417" s="4">
        <v>336.14737513721332</v>
      </c>
      <c r="AA1417" s="4">
        <v>222.74056024865646</v>
      </c>
      <c r="AB1417" s="4">
        <v>0</v>
      </c>
      <c r="AC1417" s="4">
        <v>1225351.42365</v>
      </c>
      <c r="AD1417" s="4">
        <v>932425.86945999996</v>
      </c>
      <c r="AE1417" s="4">
        <v>0</v>
      </c>
      <c r="AF1417" s="4">
        <v>1486730.4265677494</v>
      </c>
      <c r="AG1417" s="4">
        <v>985148.75511745096</v>
      </c>
    </row>
    <row r="1418" spans="1:33" ht="11.25" customHeight="1" x14ac:dyDescent="0.25">
      <c r="A1418" s="3" t="s">
        <v>27</v>
      </c>
      <c r="B1418" s="3" t="s">
        <v>22</v>
      </c>
      <c r="C1418" s="3" t="s">
        <v>23</v>
      </c>
      <c r="D1418" s="3" t="s">
        <v>24</v>
      </c>
      <c r="E1418" s="3" t="s">
        <v>31</v>
      </c>
      <c r="F1418" s="3" t="s">
        <v>25</v>
      </c>
      <c r="G1418" s="3" t="s">
        <v>25</v>
      </c>
      <c r="H1418" s="3" t="s">
        <v>25</v>
      </c>
      <c r="I1418" s="6">
        <v>44470</v>
      </c>
      <c r="J1418" s="4">
        <v>0</v>
      </c>
      <c r="K1418" s="4">
        <v>0</v>
      </c>
      <c r="L1418" s="4">
        <v>-1.7949999999999999</v>
      </c>
      <c r="M1418" s="4">
        <v>-1.7949999999999999</v>
      </c>
      <c r="N1418" s="4">
        <v>-1.7949999999999999</v>
      </c>
      <c r="O1418" s="4">
        <v>-1.7949999999999999</v>
      </c>
      <c r="P1418" s="4">
        <v>-18</v>
      </c>
      <c r="Q1418" s="3" t="s">
        <v>26</v>
      </c>
      <c r="R1418" s="3">
        <v>0</v>
      </c>
      <c r="S1418" s="4">
        <v>0</v>
      </c>
      <c r="T1418" s="4">
        <v>28</v>
      </c>
      <c r="U1418" s="4">
        <v>101</v>
      </c>
      <c r="V1418" s="4">
        <v>0</v>
      </c>
      <c r="W1418" s="4">
        <v>277.05</v>
      </c>
      <c r="X1418" s="4">
        <v>210.82</v>
      </c>
      <c r="Y1418" s="4"/>
      <c r="Z1418" s="4">
        <v>336.14737513721332</v>
      </c>
      <c r="AA1418" s="4">
        <v>222.74056024865646</v>
      </c>
      <c r="AB1418" s="4">
        <v>0</v>
      </c>
      <c r="AC1418" s="4">
        <v>-497.30475000000001</v>
      </c>
      <c r="AD1418" s="4">
        <v>-378.42189999999999</v>
      </c>
      <c r="AE1418" s="4">
        <v>0</v>
      </c>
      <c r="AF1418" s="4">
        <v>-603.38453837129794</v>
      </c>
      <c r="AG1418" s="4">
        <v>-399.81930564633836</v>
      </c>
    </row>
    <row r="1419" spans="1:33" ht="11.25" customHeight="1" x14ac:dyDescent="0.25">
      <c r="A1419" s="3" t="s">
        <v>28</v>
      </c>
      <c r="B1419" s="3" t="s">
        <v>22</v>
      </c>
      <c r="C1419" s="3" t="s">
        <v>23</v>
      </c>
      <c r="D1419" s="3" t="s">
        <v>24</v>
      </c>
      <c r="E1419" s="3" t="s">
        <v>31</v>
      </c>
      <c r="F1419" s="3" t="s">
        <v>25</v>
      </c>
      <c r="G1419" s="3" t="s">
        <v>25</v>
      </c>
      <c r="H1419" s="3" t="s">
        <v>25</v>
      </c>
      <c r="I1419" s="6">
        <v>44470</v>
      </c>
      <c r="J1419" s="4">
        <v>0</v>
      </c>
      <c r="K1419" s="4">
        <v>0</v>
      </c>
      <c r="L1419" s="4">
        <v>1.9690000000000001</v>
      </c>
      <c r="M1419" s="4">
        <v>1.9690000000000001</v>
      </c>
      <c r="N1419" s="4">
        <v>1.9690000000000001</v>
      </c>
      <c r="O1419" s="4">
        <v>1.9690000000000001</v>
      </c>
      <c r="P1419" s="4">
        <v>24</v>
      </c>
      <c r="Q1419" s="3" t="s">
        <v>26</v>
      </c>
      <c r="R1419" s="3">
        <v>0</v>
      </c>
      <c r="S1419" s="4">
        <v>0</v>
      </c>
      <c r="T1419" s="4">
        <v>28</v>
      </c>
      <c r="U1419" s="4">
        <v>101</v>
      </c>
      <c r="V1419" s="4">
        <v>0</v>
      </c>
      <c r="W1419" s="4">
        <v>277.05</v>
      </c>
      <c r="X1419" s="4">
        <v>210.82</v>
      </c>
      <c r="Y1419" s="4"/>
      <c r="Z1419" s="4">
        <v>336.14737513721332</v>
      </c>
      <c r="AA1419" s="4">
        <v>222.74056024865646</v>
      </c>
      <c r="AB1419" s="4">
        <v>0</v>
      </c>
      <c r="AC1419" s="4">
        <v>545.51145000000008</v>
      </c>
      <c r="AD1419" s="4">
        <v>415.10458</v>
      </c>
      <c r="AE1419" s="4">
        <v>0</v>
      </c>
      <c r="AF1419" s="4">
        <v>661.87418164517305</v>
      </c>
      <c r="AG1419" s="4">
        <v>438.57616312960459</v>
      </c>
    </row>
    <row r="1420" spans="1:33" ht="11.25" customHeight="1" x14ac:dyDescent="0.25">
      <c r="A1420" s="3" t="s">
        <v>21</v>
      </c>
      <c r="B1420" s="3" t="s">
        <v>22</v>
      </c>
      <c r="C1420" s="3" t="s">
        <v>23</v>
      </c>
      <c r="D1420" s="3" t="s">
        <v>24</v>
      </c>
      <c r="E1420" s="3" t="s">
        <v>31</v>
      </c>
      <c r="F1420" s="3" t="s">
        <v>25</v>
      </c>
      <c r="G1420" s="3" t="s">
        <v>25</v>
      </c>
      <c r="H1420" s="3" t="s">
        <v>25</v>
      </c>
      <c r="I1420" s="6">
        <v>44501</v>
      </c>
      <c r="J1420" s="4">
        <v>0</v>
      </c>
      <c r="K1420" s="4">
        <v>0</v>
      </c>
      <c r="L1420" s="4">
        <v>4714.8689999999997</v>
      </c>
      <c r="M1420" s="4">
        <v>4714.8689999999997</v>
      </c>
      <c r="N1420" s="4">
        <v>4714.8689999999997</v>
      </c>
      <c r="O1420" s="4">
        <v>4714.8689999999997</v>
      </c>
      <c r="P1420" s="4">
        <v>81912</v>
      </c>
      <c r="Q1420" s="3" t="s">
        <v>26</v>
      </c>
      <c r="R1420" s="3">
        <v>0</v>
      </c>
      <c r="S1420" s="4">
        <v>0</v>
      </c>
      <c r="T1420" s="4">
        <v>28</v>
      </c>
      <c r="U1420" s="4">
        <v>101</v>
      </c>
      <c r="V1420" s="4">
        <v>0</v>
      </c>
      <c r="W1420" s="4">
        <v>277.05</v>
      </c>
      <c r="X1420" s="4">
        <v>210.82</v>
      </c>
      <c r="Y1420" s="4"/>
      <c r="Z1420" s="4">
        <v>336.14737513721332</v>
      </c>
      <c r="AA1420" s="4">
        <v>222.74056024865646</v>
      </c>
      <c r="AB1420" s="4">
        <v>0</v>
      </c>
      <c r="AC1420" s="4">
        <v>1306254.4564499999</v>
      </c>
      <c r="AD1420" s="4">
        <v>993988.68257999991</v>
      </c>
      <c r="AE1420" s="4">
        <v>0</v>
      </c>
      <c r="AF1420" s="4">
        <v>1584890.8384658177</v>
      </c>
      <c r="AG1420" s="4">
        <v>1050192.5625590226</v>
      </c>
    </row>
    <row r="1421" spans="1:33" ht="11.25" customHeight="1" x14ac:dyDescent="0.25">
      <c r="A1421" s="3" t="s">
        <v>27</v>
      </c>
      <c r="B1421" s="3" t="s">
        <v>22</v>
      </c>
      <c r="C1421" s="3" t="s">
        <v>23</v>
      </c>
      <c r="D1421" s="3" t="s">
        <v>24</v>
      </c>
      <c r="E1421" s="3" t="s">
        <v>31</v>
      </c>
      <c r="F1421" s="3" t="s">
        <v>25</v>
      </c>
      <c r="G1421" s="3" t="s">
        <v>25</v>
      </c>
      <c r="H1421" s="3" t="s">
        <v>25</v>
      </c>
      <c r="I1421" s="6">
        <v>44501</v>
      </c>
      <c r="J1421" s="4">
        <v>0</v>
      </c>
      <c r="K1421" s="4">
        <v>0</v>
      </c>
      <c r="L1421" s="4">
        <v>-2.2469999999999999</v>
      </c>
      <c r="M1421" s="4">
        <v>-2.2469999999999999</v>
      </c>
      <c r="N1421" s="4">
        <v>-2.2469999999999999</v>
      </c>
      <c r="O1421" s="4">
        <v>-2.2469999999999999</v>
      </c>
      <c r="P1421" s="4">
        <v>-9</v>
      </c>
      <c r="Q1421" s="3" t="s">
        <v>26</v>
      </c>
      <c r="R1421" s="3">
        <v>0</v>
      </c>
      <c r="S1421" s="4">
        <v>0</v>
      </c>
      <c r="T1421" s="4">
        <v>28</v>
      </c>
      <c r="U1421" s="4">
        <v>101</v>
      </c>
      <c r="V1421" s="4">
        <v>0</v>
      </c>
      <c r="W1421" s="4">
        <v>277.05</v>
      </c>
      <c r="X1421" s="4">
        <v>210.82</v>
      </c>
      <c r="Y1421" s="4"/>
      <c r="Z1421" s="4">
        <v>336.14737513721332</v>
      </c>
      <c r="AA1421" s="4">
        <v>222.74056024865646</v>
      </c>
      <c r="AB1421" s="4">
        <v>0</v>
      </c>
      <c r="AC1421" s="4">
        <v>-622.53134999999997</v>
      </c>
      <c r="AD1421" s="4">
        <v>-473.71253999999993</v>
      </c>
      <c r="AE1421" s="4">
        <v>0</v>
      </c>
      <c r="AF1421" s="4">
        <v>-755.32315193331829</v>
      </c>
      <c r="AG1421" s="4">
        <v>-500.49803887873105</v>
      </c>
    </row>
    <row r="1422" spans="1:33" ht="11.25" customHeight="1" x14ac:dyDescent="0.25">
      <c r="A1422" s="3" t="s">
        <v>28</v>
      </c>
      <c r="B1422" s="3" t="s">
        <v>22</v>
      </c>
      <c r="C1422" s="3" t="s">
        <v>23</v>
      </c>
      <c r="D1422" s="3" t="s">
        <v>24</v>
      </c>
      <c r="E1422" s="3" t="s">
        <v>31</v>
      </c>
      <c r="F1422" s="3" t="s">
        <v>25</v>
      </c>
      <c r="G1422" s="3" t="s">
        <v>25</v>
      </c>
      <c r="H1422" s="3" t="s">
        <v>25</v>
      </c>
      <c r="I1422" s="6">
        <v>44501</v>
      </c>
      <c r="J1422" s="4">
        <v>0</v>
      </c>
      <c r="K1422" s="4">
        <v>0</v>
      </c>
      <c r="L1422" s="4">
        <v>1.698</v>
      </c>
      <c r="M1422" s="4">
        <v>1.698</v>
      </c>
      <c r="N1422" s="4">
        <v>1.698</v>
      </c>
      <c r="O1422" s="4">
        <v>1.698</v>
      </c>
      <c r="P1422" s="4">
        <v>21</v>
      </c>
      <c r="Q1422" s="3" t="s">
        <v>26</v>
      </c>
      <c r="R1422" s="3">
        <v>0</v>
      </c>
      <c r="S1422" s="4">
        <v>0</v>
      </c>
      <c r="T1422" s="4">
        <v>28</v>
      </c>
      <c r="U1422" s="4">
        <v>101</v>
      </c>
      <c r="V1422" s="4">
        <v>0</v>
      </c>
      <c r="W1422" s="4">
        <v>277.05</v>
      </c>
      <c r="X1422" s="4">
        <v>210.82</v>
      </c>
      <c r="Y1422" s="4"/>
      <c r="Z1422" s="4">
        <v>336.14737513721332</v>
      </c>
      <c r="AA1422" s="4">
        <v>222.74056024865646</v>
      </c>
      <c r="AB1422" s="4">
        <v>0</v>
      </c>
      <c r="AC1422" s="4">
        <v>470.43090000000001</v>
      </c>
      <c r="AD1422" s="4">
        <v>357.97235999999998</v>
      </c>
      <c r="AE1422" s="4">
        <v>0</v>
      </c>
      <c r="AF1422" s="4">
        <v>570.77824298298822</v>
      </c>
      <c r="AG1422" s="4">
        <v>378.21347130221869</v>
      </c>
    </row>
    <row r="1423" spans="1:33" ht="11.25" customHeight="1" x14ac:dyDescent="0.25">
      <c r="A1423" s="3" t="s">
        <v>21</v>
      </c>
      <c r="B1423" s="3" t="s">
        <v>22</v>
      </c>
      <c r="C1423" s="3" t="s">
        <v>23</v>
      </c>
      <c r="D1423" s="3" t="s">
        <v>24</v>
      </c>
      <c r="E1423" s="3" t="s">
        <v>31</v>
      </c>
      <c r="F1423" s="3" t="s">
        <v>25</v>
      </c>
      <c r="G1423" s="3" t="s">
        <v>25</v>
      </c>
      <c r="H1423" s="3" t="s">
        <v>25</v>
      </c>
      <c r="I1423" s="6">
        <v>44531</v>
      </c>
      <c r="J1423" s="4">
        <v>0</v>
      </c>
      <c r="K1423" s="4">
        <v>0</v>
      </c>
      <c r="L1423" s="4">
        <v>5086.26</v>
      </c>
      <c r="M1423" s="4">
        <v>5086.26</v>
      </c>
      <c r="N1423" s="4">
        <v>5086.26</v>
      </c>
      <c r="O1423" s="4">
        <v>5086.26</v>
      </c>
      <c r="P1423" s="4">
        <v>85812</v>
      </c>
      <c r="Q1423" s="3" t="s">
        <v>26</v>
      </c>
      <c r="R1423" s="3">
        <v>0</v>
      </c>
      <c r="S1423" s="4">
        <v>0</v>
      </c>
      <c r="T1423" s="4">
        <v>28</v>
      </c>
      <c r="U1423" s="4">
        <v>101</v>
      </c>
      <c r="V1423" s="4">
        <v>0</v>
      </c>
      <c r="W1423" s="4">
        <v>277.05</v>
      </c>
      <c r="X1423" s="4">
        <v>210.82</v>
      </c>
      <c r="Y1423" s="4"/>
      <c r="Z1423" s="4">
        <v>336.14737513721332</v>
      </c>
      <c r="AA1423" s="4">
        <v>222.74056024865646</v>
      </c>
      <c r="AB1423" s="4">
        <v>0</v>
      </c>
      <c r="AC1423" s="4">
        <v>1409148.3330000001</v>
      </c>
      <c r="AD1423" s="4">
        <v>1072285.3332</v>
      </c>
      <c r="AE1423" s="4">
        <v>0</v>
      </c>
      <c r="AF1423" s="4">
        <v>1709732.9482654026</v>
      </c>
      <c r="AG1423" s="4">
        <v>1132916.4019703316</v>
      </c>
    </row>
    <row r="1424" spans="1:33" ht="11.25" customHeight="1" x14ac:dyDescent="0.25">
      <c r="A1424" s="3" t="s">
        <v>27</v>
      </c>
      <c r="B1424" s="3" t="s">
        <v>22</v>
      </c>
      <c r="C1424" s="3" t="s">
        <v>23</v>
      </c>
      <c r="D1424" s="3" t="s">
        <v>24</v>
      </c>
      <c r="E1424" s="3" t="s">
        <v>31</v>
      </c>
      <c r="F1424" s="3" t="s">
        <v>25</v>
      </c>
      <c r="G1424" s="3" t="s">
        <v>25</v>
      </c>
      <c r="H1424" s="3" t="s">
        <v>25</v>
      </c>
      <c r="I1424" s="6">
        <v>44531</v>
      </c>
      <c r="J1424" s="4">
        <v>0</v>
      </c>
      <c r="K1424" s="4">
        <v>0</v>
      </c>
      <c r="L1424" s="4">
        <v>-0.73099999999999998</v>
      </c>
      <c r="M1424" s="4">
        <v>-0.73099999999999998</v>
      </c>
      <c r="N1424" s="4">
        <v>-0.73099999999999998</v>
      </c>
      <c r="O1424" s="4">
        <v>-0.73099999999999998</v>
      </c>
      <c r="P1424" s="4">
        <v>-6</v>
      </c>
      <c r="Q1424" s="3" t="s">
        <v>26</v>
      </c>
      <c r="R1424" s="3">
        <v>0</v>
      </c>
      <c r="S1424" s="4">
        <v>0</v>
      </c>
      <c r="T1424" s="4">
        <v>28</v>
      </c>
      <c r="U1424" s="4">
        <v>101</v>
      </c>
      <c r="V1424" s="4">
        <v>0</v>
      </c>
      <c r="W1424" s="4">
        <v>277.05</v>
      </c>
      <c r="X1424" s="4">
        <v>210.82</v>
      </c>
      <c r="Y1424" s="4"/>
      <c r="Z1424" s="4">
        <v>336.14737513721332</v>
      </c>
      <c r="AA1424" s="4">
        <v>222.74056024865646</v>
      </c>
      <c r="AB1424" s="4">
        <v>0</v>
      </c>
      <c r="AC1424" s="4">
        <v>-202.52355</v>
      </c>
      <c r="AD1424" s="4">
        <v>-154.10942</v>
      </c>
      <c r="AE1424" s="4">
        <v>0</v>
      </c>
      <c r="AF1424" s="4">
        <v>-245.72373122530294</v>
      </c>
      <c r="AG1424" s="4">
        <v>-162.82334954176787</v>
      </c>
    </row>
    <row r="1425" spans="1:33" ht="11.25" customHeight="1" x14ac:dyDescent="0.25">
      <c r="A1425" s="3" t="s">
        <v>28</v>
      </c>
      <c r="B1425" s="3" t="s">
        <v>22</v>
      </c>
      <c r="C1425" s="3" t="s">
        <v>23</v>
      </c>
      <c r="D1425" s="3" t="s">
        <v>24</v>
      </c>
      <c r="E1425" s="3" t="s">
        <v>31</v>
      </c>
      <c r="F1425" s="3" t="s">
        <v>25</v>
      </c>
      <c r="G1425" s="3" t="s">
        <v>25</v>
      </c>
      <c r="H1425" s="3" t="s">
        <v>25</v>
      </c>
      <c r="I1425" s="6">
        <v>44531</v>
      </c>
      <c r="J1425" s="4">
        <v>0</v>
      </c>
      <c r="K1425" s="4">
        <v>0</v>
      </c>
      <c r="L1425" s="4">
        <v>2.2170000000000001</v>
      </c>
      <c r="M1425" s="4">
        <v>2.2170000000000001</v>
      </c>
      <c r="N1425" s="4">
        <v>2.2170000000000001</v>
      </c>
      <c r="O1425" s="4">
        <v>2.2170000000000001</v>
      </c>
      <c r="P1425" s="4">
        <v>19</v>
      </c>
      <c r="Q1425" s="3" t="s">
        <v>26</v>
      </c>
      <c r="R1425" s="3">
        <v>0</v>
      </c>
      <c r="S1425" s="4">
        <v>0</v>
      </c>
      <c r="T1425" s="4">
        <v>28</v>
      </c>
      <c r="U1425" s="4">
        <v>101</v>
      </c>
      <c r="V1425" s="4">
        <v>0</v>
      </c>
      <c r="W1425" s="4">
        <v>277.05</v>
      </c>
      <c r="X1425" s="4">
        <v>210.82</v>
      </c>
      <c r="Y1425" s="4"/>
      <c r="Z1425" s="4">
        <v>336.14737513721332</v>
      </c>
      <c r="AA1425" s="4">
        <v>222.74056024865646</v>
      </c>
      <c r="AB1425" s="4">
        <v>0</v>
      </c>
      <c r="AC1425" s="4">
        <v>614.21985000000006</v>
      </c>
      <c r="AD1425" s="4">
        <v>467.38794000000001</v>
      </c>
      <c r="AE1425" s="4">
        <v>0</v>
      </c>
      <c r="AF1425" s="4">
        <v>745.23873067920192</v>
      </c>
      <c r="AG1425" s="4">
        <v>493.81582207127138</v>
      </c>
    </row>
    <row r="1426" spans="1:33" ht="11.25" customHeight="1" x14ac:dyDescent="0.25">
      <c r="A1426" s="3" t="s">
        <v>21</v>
      </c>
      <c r="B1426" s="3" t="s">
        <v>22</v>
      </c>
      <c r="C1426" s="3" t="s">
        <v>23</v>
      </c>
      <c r="D1426" s="3" t="s">
        <v>24</v>
      </c>
      <c r="E1426" s="3" t="s">
        <v>31</v>
      </c>
      <c r="F1426" s="3" t="s">
        <v>25</v>
      </c>
      <c r="G1426" s="3" t="s">
        <v>25</v>
      </c>
      <c r="H1426" s="3" t="s">
        <v>25</v>
      </c>
      <c r="I1426" s="6">
        <v>44562</v>
      </c>
      <c r="J1426" s="4">
        <v>0</v>
      </c>
      <c r="K1426" s="4">
        <v>0</v>
      </c>
      <c r="L1426" s="4">
        <v>5801.4319999999998</v>
      </c>
      <c r="M1426" s="4">
        <v>5801.4319999999998</v>
      </c>
      <c r="N1426" s="4">
        <v>5801.4319999999998</v>
      </c>
      <c r="O1426" s="4">
        <v>5801.4319999999998</v>
      </c>
      <c r="P1426" s="4">
        <v>91780</v>
      </c>
      <c r="Q1426" s="3" t="s">
        <v>26</v>
      </c>
      <c r="R1426" s="3">
        <v>0</v>
      </c>
      <c r="S1426" s="4">
        <v>0</v>
      </c>
      <c r="T1426" s="4">
        <v>28</v>
      </c>
      <c r="U1426" s="4">
        <v>101</v>
      </c>
      <c r="V1426" s="4">
        <v>0</v>
      </c>
      <c r="W1426" s="4">
        <v>277.05</v>
      </c>
      <c r="X1426" s="4">
        <v>210.82</v>
      </c>
      <c r="Y1426" s="4"/>
      <c r="Z1426" s="4">
        <v>336.14737513721332</v>
      </c>
      <c r="AA1426" s="4">
        <v>222.74056024865646</v>
      </c>
      <c r="AB1426" s="4">
        <v>0</v>
      </c>
      <c r="AC1426" s="4">
        <v>1607286.7356</v>
      </c>
      <c r="AD1426" s="4">
        <v>1223057.8942399998</v>
      </c>
      <c r="AE1426" s="4">
        <v>0</v>
      </c>
      <c r="AF1426" s="4">
        <v>1950136.1388370336</v>
      </c>
      <c r="AG1426" s="4">
        <v>1292214.2139244836</v>
      </c>
    </row>
    <row r="1427" spans="1:33" ht="11.25" customHeight="1" x14ac:dyDescent="0.25">
      <c r="A1427" s="3" t="s">
        <v>27</v>
      </c>
      <c r="B1427" s="3" t="s">
        <v>22</v>
      </c>
      <c r="C1427" s="3" t="s">
        <v>23</v>
      </c>
      <c r="D1427" s="3" t="s">
        <v>24</v>
      </c>
      <c r="E1427" s="3" t="s">
        <v>31</v>
      </c>
      <c r="F1427" s="3" t="s">
        <v>25</v>
      </c>
      <c r="G1427" s="3" t="s">
        <v>25</v>
      </c>
      <c r="H1427" s="3" t="s">
        <v>25</v>
      </c>
      <c r="I1427" s="6">
        <v>44562</v>
      </c>
      <c r="J1427" s="4">
        <v>0</v>
      </c>
      <c r="K1427" s="4">
        <v>0</v>
      </c>
      <c r="L1427" s="4">
        <v>-0.48499999999999999</v>
      </c>
      <c r="M1427" s="4">
        <v>-0.48499999999999999</v>
      </c>
      <c r="N1427" s="4">
        <v>-0.48499999999999999</v>
      </c>
      <c r="O1427" s="4">
        <v>-0.48499999999999999</v>
      </c>
      <c r="P1427" s="4">
        <v>-1</v>
      </c>
      <c r="Q1427" s="3" t="s">
        <v>26</v>
      </c>
      <c r="R1427" s="3">
        <v>0</v>
      </c>
      <c r="S1427" s="4">
        <v>0</v>
      </c>
      <c r="T1427" s="4">
        <v>28</v>
      </c>
      <c r="U1427" s="4">
        <v>101</v>
      </c>
      <c r="V1427" s="4">
        <v>0</v>
      </c>
      <c r="W1427" s="4">
        <v>277.05</v>
      </c>
      <c r="X1427" s="4">
        <v>210.82</v>
      </c>
      <c r="Y1427" s="4"/>
      <c r="Z1427" s="4">
        <v>336.14737513721332</v>
      </c>
      <c r="AA1427" s="4">
        <v>222.74056024865646</v>
      </c>
      <c r="AB1427" s="4">
        <v>0</v>
      </c>
      <c r="AC1427" s="4">
        <v>-134.36924999999999</v>
      </c>
      <c r="AD1427" s="4">
        <v>-102.24769999999999</v>
      </c>
      <c r="AE1427" s="4">
        <v>0</v>
      </c>
      <c r="AF1427" s="4">
        <v>-163.03147694154845</v>
      </c>
      <c r="AG1427" s="4">
        <v>-108.02917172059838</v>
      </c>
    </row>
    <row r="1428" spans="1:33" ht="11.25" customHeight="1" x14ac:dyDescent="0.25">
      <c r="A1428" s="3" t="s">
        <v>28</v>
      </c>
      <c r="B1428" s="3" t="s">
        <v>22</v>
      </c>
      <c r="C1428" s="3" t="s">
        <v>23</v>
      </c>
      <c r="D1428" s="3" t="s">
        <v>24</v>
      </c>
      <c r="E1428" s="3" t="s">
        <v>31</v>
      </c>
      <c r="F1428" s="3" t="s">
        <v>25</v>
      </c>
      <c r="G1428" s="3" t="s">
        <v>25</v>
      </c>
      <c r="H1428" s="3" t="s">
        <v>25</v>
      </c>
      <c r="I1428" s="6">
        <v>44562</v>
      </c>
      <c r="J1428" s="4">
        <v>0</v>
      </c>
      <c r="K1428" s="4">
        <v>0</v>
      </c>
      <c r="L1428" s="4">
        <v>2.5019999999999998</v>
      </c>
      <c r="M1428" s="4">
        <v>2.5019999999999998</v>
      </c>
      <c r="N1428" s="4">
        <v>2.5019999999999998</v>
      </c>
      <c r="O1428" s="4">
        <v>2.5019999999999998</v>
      </c>
      <c r="P1428" s="4">
        <v>18</v>
      </c>
      <c r="Q1428" s="3" t="s">
        <v>26</v>
      </c>
      <c r="R1428" s="3">
        <v>0</v>
      </c>
      <c r="S1428" s="4">
        <v>0</v>
      </c>
      <c r="T1428" s="4">
        <v>28</v>
      </c>
      <c r="U1428" s="4">
        <v>101</v>
      </c>
      <c r="V1428" s="4">
        <v>0</v>
      </c>
      <c r="W1428" s="4">
        <v>277.05</v>
      </c>
      <c r="X1428" s="4">
        <v>210.82</v>
      </c>
      <c r="Y1428" s="4"/>
      <c r="Z1428" s="4">
        <v>336.14737513721332</v>
      </c>
      <c r="AA1428" s="4">
        <v>222.74056024865646</v>
      </c>
      <c r="AB1428" s="4">
        <v>0</v>
      </c>
      <c r="AC1428" s="4">
        <v>693.17909999999995</v>
      </c>
      <c r="AD1428" s="4">
        <v>527.47163999999998</v>
      </c>
      <c r="AE1428" s="4">
        <v>0</v>
      </c>
      <c r="AF1428" s="4">
        <v>841.04073259330767</v>
      </c>
      <c r="AG1428" s="4">
        <v>557.29688174213845</v>
      </c>
    </row>
    <row r="1429" spans="1:33" ht="11.25" customHeight="1" x14ac:dyDescent="0.25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31</v>
      </c>
      <c r="F1429" s="3" t="s">
        <v>25</v>
      </c>
      <c r="G1429" s="3" t="s">
        <v>25</v>
      </c>
      <c r="H1429" s="3" t="s">
        <v>25</v>
      </c>
      <c r="I1429" s="6">
        <v>44593</v>
      </c>
      <c r="J1429" s="4">
        <v>0</v>
      </c>
      <c r="K1429" s="4">
        <v>0</v>
      </c>
      <c r="L1429" s="4">
        <v>5685.732</v>
      </c>
      <c r="M1429" s="4">
        <v>5685.732</v>
      </c>
      <c r="N1429" s="4">
        <v>5685.732</v>
      </c>
      <c r="O1429" s="4">
        <v>5685.732</v>
      </c>
      <c r="P1429" s="4">
        <v>92791</v>
      </c>
      <c r="Q1429" s="3" t="s">
        <v>26</v>
      </c>
      <c r="R1429" s="3">
        <v>0</v>
      </c>
      <c r="S1429" s="4">
        <v>0</v>
      </c>
      <c r="T1429" s="4">
        <v>28</v>
      </c>
      <c r="U1429" s="4">
        <v>101</v>
      </c>
      <c r="V1429" s="4">
        <v>0</v>
      </c>
      <c r="W1429" s="4">
        <v>277.05</v>
      </c>
      <c r="X1429" s="4">
        <v>210.82</v>
      </c>
      <c r="Y1429" s="4"/>
      <c r="Z1429" s="4">
        <v>336.14737513721332</v>
      </c>
      <c r="AA1429" s="4">
        <v>222.74056024865646</v>
      </c>
      <c r="AB1429" s="4">
        <v>0</v>
      </c>
      <c r="AC1429" s="4">
        <v>1575232.0506</v>
      </c>
      <c r="AD1429" s="4">
        <v>1198666.02024</v>
      </c>
      <c r="AE1429" s="4">
        <v>0</v>
      </c>
      <c r="AF1429" s="4">
        <v>1911243.8875336582</v>
      </c>
      <c r="AG1429" s="4">
        <v>1266443.131103714</v>
      </c>
    </row>
    <row r="1430" spans="1:33" ht="11.25" customHeight="1" x14ac:dyDescent="0.25">
      <c r="A1430" s="3" t="s">
        <v>27</v>
      </c>
      <c r="B1430" s="3" t="s">
        <v>22</v>
      </c>
      <c r="C1430" s="3" t="s">
        <v>23</v>
      </c>
      <c r="D1430" s="3" t="s">
        <v>24</v>
      </c>
      <c r="E1430" s="3" t="s">
        <v>31</v>
      </c>
      <c r="F1430" s="3" t="s">
        <v>25</v>
      </c>
      <c r="G1430" s="3" t="s">
        <v>25</v>
      </c>
      <c r="H1430" s="3" t="s">
        <v>25</v>
      </c>
      <c r="I1430" s="6">
        <v>44593</v>
      </c>
      <c r="J1430" s="4">
        <v>0</v>
      </c>
      <c r="K1430" s="4">
        <v>0</v>
      </c>
      <c r="L1430" s="4">
        <v>-0.94499999999999995</v>
      </c>
      <c r="M1430" s="4">
        <v>-0.94499999999999995</v>
      </c>
      <c r="N1430" s="4">
        <v>-0.94499999999999995</v>
      </c>
      <c r="O1430" s="4">
        <v>-0.94499999999999995</v>
      </c>
      <c r="P1430" s="4">
        <v>-5</v>
      </c>
      <c r="Q1430" s="3" t="s">
        <v>26</v>
      </c>
      <c r="R1430" s="3">
        <v>0</v>
      </c>
      <c r="S1430" s="4">
        <v>0</v>
      </c>
      <c r="T1430" s="4">
        <v>28</v>
      </c>
      <c r="U1430" s="4">
        <v>101</v>
      </c>
      <c r="V1430" s="4">
        <v>0</v>
      </c>
      <c r="W1430" s="4">
        <v>277.05</v>
      </c>
      <c r="X1430" s="4">
        <v>210.82</v>
      </c>
      <c r="Y1430" s="4"/>
      <c r="Z1430" s="4">
        <v>336.14737513721332</v>
      </c>
      <c r="AA1430" s="4">
        <v>222.74056024865646</v>
      </c>
      <c r="AB1430" s="4">
        <v>0</v>
      </c>
      <c r="AC1430" s="4">
        <v>-261.81225000000001</v>
      </c>
      <c r="AD1430" s="4">
        <v>-199.22489999999999</v>
      </c>
      <c r="AE1430" s="4">
        <v>0</v>
      </c>
      <c r="AF1430" s="4">
        <v>-317.65926950466655</v>
      </c>
      <c r="AG1430" s="4">
        <v>-210.48982943498035</v>
      </c>
    </row>
    <row r="1431" spans="1:33" ht="11.25" customHeight="1" x14ac:dyDescent="0.25">
      <c r="A1431" s="3" t="s">
        <v>28</v>
      </c>
      <c r="B1431" s="3" t="s">
        <v>22</v>
      </c>
      <c r="C1431" s="3" t="s">
        <v>23</v>
      </c>
      <c r="D1431" s="3" t="s">
        <v>24</v>
      </c>
      <c r="E1431" s="3" t="s">
        <v>31</v>
      </c>
      <c r="F1431" s="3" t="s">
        <v>25</v>
      </c>
      <c r="G1431" s="3" t="s">
        <v>25</v>
      </c>
      <c r="H1431" s="3" t="s">
        <v>25</v>
      </c>
      <c r="I1431" s="6">
        <v>44593</v>
      </c>
      <c r="J1431" s="4">
        <v>0</v>
      </c>
      <c r="K1431" s="4">
        <v>0</v>
      </c>
      <c r="L1431" s="4">
        <v>2.363</v>
      </c>
      <c r="M1431" s="4">
        <v>2.363</v>
      </c>
      <c r="N1431" s="4">
        <v>2.363</v>
      </c>
      <c r="O1431" s="4">
        <v>2.363</v>
      </c>
      <c r="P1431" s="4">
        <v>17</v>
      </c>
      <c r="Q1431" s="3" t="s">
        <v>26</v>
      </c>
      <c r="R1431" s="3">
        <v>0</v>
      </c>
      <c r="S1431" s="4">
        <v>0</v>
      </c>
      <c r="T1431" s="4">
        <v>28</v>
      </c>
      <c r="U1431" s="4">
        <v>101</v>
      </c>
      <c r="V1431" s="4">
        <v>0</v>
      </c>
      <c r="W1431" s="4">
        <v>277.05</v>
      </c>
      <c r="X1431" s="4">
        <v>210.82</v>
      </c>
      <c r="Y1431" s="4"/>
      <c r="Z1431" s="4">
        <v>336.14737513721332</v>
      </c>
      <c r="AA1431" s="4">
        <v>222.74056024865646</v>
      </c>
      <c r="AB1431" s="4">
        <v>0</v>
      </c>
      <c r="AC1431" s="4">
        <v>654.66915000000006</v>
      </c>
      <c r="AD1431" s="4">
        <v>498.16765999999996</v>
      </c>
      <c r="AE1431" s="4">
        <v>0</v>
      </c>
      <c r="AF1431" s="4">
        <v>794.31624744923511</v>
      </c>
      <c r="AG1431" s="4">
        <v>526.33594386757522</v>
      </c>
    </row>
    <row r="1432" spans="1:33" ht="11.25" customHeight="1" x14ac:dyDescent="0.25">
      <c r="A1432" s="3" t="s">
        <v>56</v>
      </c>
      <c r="B1432" s="3" t="s">
        <v>22</v>
      </c>
      <c r="C1432" s="3" t="s">
        <v>23</v>
      </c>
      <c r="D1432" s="3" t="s">
        <v>24</v>
      </c>
      <c r="E1432" s="3" t="s">
        <v>31</v>
      </c>
      <c r="F1432" s="3" t="s">
        <v>25</v>
      </c>
      <c r="G1432" s="3" t="s">
        <v>25</v>
      </c>
      <c r="H1432" s="3" t="s">
        <v>25</v>
      </c>
      <c r="I1432" s="6">
        <v>44621</v>
      </c>
      <c r="J1432" s="4">
        <v>0</v>
      </c>
      <c r="K1432" s="4">
        <v>0</v>
      </c>
      <c r="L1432" s="4">
        <v>5685.732</v>
      </c>
      <c r="M1432" s="4">
        <v>5685.732</v>
      </c>
      <c r="N1432" s="4">
        <v>5685.732</v>
      </c>
      <c r="O1432" s="4">
        <v>5685.732</v>
      </c>
      <c r="P1432" s="4">
        <v>92791</v>
      </c>
      <c r="Q1432" s="3" t="s">
        <v>26</v>
      </c>
      <c r="R1432" s="3">
        <v>0</v>
      </c>
      <c r="S1432" s="4">
        <v>0</v>
      </c>
      <c r="T1432" s="4">
        <v>28</v>
      </c>
      <c r="U1432" s="4">
        <v>101</v>
      </c>
      <c r="V1432" s="4">
        <v>0</v>
      </c>
      <c r="W1432" s="4">
        <v>277.05</v>
      </c>
      <c r="X1432" s="4">
        <v>210.82</v>
      </c>
      <c r="Y1432" s="4"/>
      <c r="Z1432" s="4">
        <v>336.14737513721332</v>
      </c>
      <c r="AA1432" s="4">
        <v>222.74056024865646</v>
      </c>
      <c r="AB1432" s="4">
        <v>0</v>
      </c>
      <c r="AC1432" s="4">
        <v>1575232.0506</v>
      </c>
      <c r="AD1432" s="4">
        <v>1198666.02024</v>
      </c>
      <c r="AE1432" s="4">
        <v>0</v>
      </c>
      <c r="AF1432" s="4">
        <v>1911243.8875336582</v>
      </c>
      <c r="AG1432" s="4">
        <v>1266443.131103714</v>
      </c>
    </row>
    <row r="1433" spans="1:33" ht="11.25" customHeight="1" x14ac:dyDescent="0.25">
      <c r="A1433" s="3" t="s">
        <v>56</v>
      </c>
      <c r="B1433" s="3" t="s">
        <v>22</v>
      </c>
      <c r="C1433" s="3" t="s">
        <v>23</v>
      </c>
      <c r="D1433" s="3" t="s">
        <v>24</v>
      </c>
      <c r="E1433" s="3" t="s">
        <v>31</v>
      </c>
      <c r="F1433" s="3" t="s">
        <v>25</v>
      </c>
      <c r="G1433" s="3" t="s">
        <v>25</v>
      </c>
      <c r="H1433" s="3" t="s">
        <v>25</v>
      </c>
      <c r="I1433" s="6">
        <v>44621</v>
      </c>
      <c r="J1433" s="4">
        <v>0</v>
      </c>
      <c r="K1433" s="4">
        <v>0</v>
      </c>
      <c r="L1433" s="4">
        <v>-0.94499999999999995</v>
      </c>
      <c r="M1433" s="4">
        <v>-0.94499999999999995</v>
      </c>
      <c r="N1433" s="4">
        <v>-0.94499999999999995</v>
      </c>
      <c r="O1433" s="4">
        <v>-0.94499999999999995</v>
      </c>
      <c r="P1433" s="4">
        <v>-5</v>
      </c>
      <c r="Q1433" s="3" t="s">
        <v>26</v>
      </c>
      <c r="R1433" s="3">
        <v>0</v>
      </c>
      <c r="S1433" s="4">
        <v>0</v>
      </c>
      <c r="T1433" s="4">
        <v>28</v>
      </c>
      <c r="U1433" s="4">
        <v>101</v>
      </c>
      <c r="V1433" s="4">
        <v>0</v>
      </c>
      <c r="W1433" s="4">
        <v>277.05</v>
      </c>
      <c r="X1433" s="4">
        <v>210.82</v>
      </c>
      <c r="Y1433" s="4"/>
      <c r="Z1433" s="4">
        <v>336.14737513721332</v>
      </c>
      <c r="AA1433" s="4">
        <v>222.74056024865646</v>
      </c>
      <c r="AB1433" s="4">
        <v>0</v>
      </c>
      <c r="AC1433" s="4">
        <v>-261.81225000000001</v>
      </c>
      <c r="AD1433" s="4">
        <v>-199.22489999999999</v>
      </c>
      <c r="AE1433" s="4">
        <v>0</v>
      </c>
      <c r="AF1433" s="4">
        <v>-317.65926950466655</v>
      </c>
      <c r="AG1433" s="4">
        <v>-210.48982943498035</v>
      </c>
    </row>
    <row r="1434" spans="1:33" ht="11.25" customHeight="1" x14ac:dyDescent="0.25">
      <c r="A1434" s="3" t="s">
        <v>56</v>
      </c>
      <c r="B1434" s="3" t="s">
        <v>22</v>
      </c>
      <c r="C1434" s="3" t="s">
        <v>23</v>
      </c>
      <c r="D1434" s="3" t="s">
        <v>24</v>
      </c>
      <c r="E1434" s="3" t="s">
        <v>31</v>
      </c>
      <c r="F1434" s="3" t="s">
        <v>25</v>
      </c>
      <c r="G1434" s="3" t="s">
        <v>25</v>
      </c>
      <c r="H1434" s="3" t="s">
        <v>25</v>
      </c>
      <c r="I1434" s="6">
        <v>44621</v>
      </c>
      <c r="J1434" s="4">
        <v>0</v>
      </c>
      <c r="K1434" s="4">
        <v>0</v>
      </c>
      <c r="L1434" s="4">
        <v>2.363</v>
      </c>
      <c r="M1434" s="4">
        <v>2.363</v>
      </c>
      <c r="N1434" s="4">
        <v>2.363</v>
      </c>
      <c r="O1434" s="4">
        <v>2.363</v>
      </c>
      <c r="P1434" s="4">
        <v>17</v>
      </c>
      <c r="Q1434" s="3" t="s">
        <v>26</v>
      </c>
      <c r="R1434" s="3">
        <v>0</v>
      </c>
      <c r="S1434" s="4">
        <v>0</v>
      </c>
      <c r="T1434" s="4">
        <v>28</v>
      </c>
      <c r="U1434" s="4">
        <v>101</v>
      </c>
      <c r="V1434" s="4">
        <v>0</v>
      </c>
      <c r="W1434" s="4">
        <v>277.05</v>
      </c>
      <c r="X1434" s="4">
        <v>210.82</v>
      </c>
      <c r="Y1434" s="4"/>
      <c r="Z1434" s="4">
        <v>336.14737513721332</v>
      </c>
      <c r="AA1434" s="4">
        <v>222.74056024865646</v>
      </c>
      <c r="AB1434" s="4">
        <v>0</v>
      </c>
      <c r="AC1434" s="4">
        <v>654.66915000000006</v>
      </c>
      <c r="AD1434" s="4">
        <v>498.16765999999996</v>
      </c>
      <c r="AE1434" s="4">
        <v>0</v>
      </c>
      <c r="AF1434" s="4">
        <v>794.31624744923511</v>
      </c>
      <c r="AG1434" s="4">
        <v>526.33594386757522</v>
      </c>
    </row>
    <row r="1435" spans="1:33" ht="11.25" customHeight="1" x14ac:dyDescent="0.25">
      <c r="A1435" s="3" t="s">
        <v>21</v>
      </c>
      <c r="B1435" s="3" t="s">
        <v>22</v>
      </c>
      <c r="C1435" s="3" t="s">
        <v>23</v>
      </c>
      <c r="D1435" s="3" t="s">
        <v>24</v>
      </c>
      <c r="E1435" s="3" t="s">
        <v>32</v>
      </c>
      <c r="F1435" s="3" t="s">
        <v>25</v>
      </c>
      <c r="G1435" s="3" t="s">
        <v>25</v>
      </c>
      <c r="H1435" s="3" t="s">
        <v>25</v>
      </c>
      <c r="I1435" s="6">
        <v>44287</v>
      </c>
      <c r="J1435" s="4">
        <v>0</v>
      </c>
      <c r="K1435" s="4">
        <v>0</v>
      </c>
      <c r="L1435" s="4">
        <v>1840.585</v>
      </c>
      <c r="M1435" s="4">
        <v>1840.585</v>
      </c>
      <c r="N1435" s="4">
        <v>1840.585</v>
      </c>
      <c r="O1435" s="4">
        <v>1840.585</v>
      </c>
      <c r="P1435" s="4">
        <v>18521</v>
      </c>
      <c r="Q1435" s="3" t="s">
        <v>26</v>
      </c>
      <c r="R1435" s="3">
        <v>0</v>
      </c>
      <c r="S1435" s="4">
        <v>0</v>
      </c>
      <c r="T1435" s="4">
        <v>29</v>
      </c>
      <c r="U1435" s="4">
        <v>66</v>
      </c>
      <c r="V1435" s="4">
        <v>0</v>
      </c>
      <c r="W1435" s="4">
        <v>307.83999999999997</v>
      </c>
      <c r="X1435" s="4">
        <v>234.24</v>
      </c>
      <c r="Y1435" s="4"/>
      <c r="Z1435" s="4">
        <v>373.49708348579259</v>
      </c>
      <c r="AA1435" s="4">
        <v>247.48951138739608</v>
      </c>
      <c r="AB1435" s="4">
        <v>0</v>
      </c>
      <c r="AC1435" s="4">
        <v>566605.68640000001</v>
      </c>
      <c r="AD1435" s="4">
        <v>431138.63040000002</v>
      </c>
      <c r="AE1435" s="4">
        <v>0</v>
      </c>
      <c r="AF1435" s="4">
        <v>687453.12940769759</v>
      </c>
      <c r="AG1435" s="4">
        <v>455525.48231697042</v>
      </c>
    </row>
    <row r="1436" spans="1:33" ht="11.25" customHeight="1" x14ac:dyDescent="0.25">
      <c r="A1436" s="3" t="s">
        <v>27</v>
      </c>
      <c r="B1436" s="3" t="s">
        <v>22</v>
      </c>
      <c r="C1436" s="3" t="s">
        <v>23</v>
      </c>
      <c r="D1436" s="3" t="s">
        <v>24</v>
      </c>
      <c r="E1436" s="3" t="s">
        <v>32</v>
      </c>
      <c r="F1436" s="3" t="s">
        <v>25</v>
      </c>
      <c r="G1436" s="3" t="s">
        <v>25</v>
      </c>
      <c r="H1436" s="3" t="s">
        <v>25</v>
      </c>
      <c r="I1436" s="6">
        <v>44287</v>
      </c>
      <c r="J1436" s="4">
        <v>0</v>
      </c>
      <c r="K1436" s="4">
        <v>0</v>
      </c>
      <c r="L1436" s="4">
        <v>-6.4489999999999998</v>
      </c>
      <c r="M1436" s="4">
        <v>-6.4489999999999998</v>
      </c>
      <c r="N1436" s="4">
        <v>-6.4489999999999998</v>
      </c>
      <c r="O1436" s="4">
        <v>-6.4489999999999998</v>
      </c>
      <c r="P1436" s="4">
        <v>-4</v>
      </c>
      <c r="Q1436" s="3" t="s">
        <v>26</v>
      </c>
      <c r="R1436" s="3">
        <v>0</v>
      </c>
      <c r="S1436" s="4">
        <v>0</v>
      </c>
      <c r="T1436" s="4">
        <v>29</v>
      </c>
      <c r="U1436" s="4">
        <v>66</v>
      </c>
      <c r="V1436" s="4">
        <v>0</v>
      </c>
      <c r="W1436" s="4">
        <v>307.83999999999997</v>
      </c>
      <c r="X1436" s="4">
        <v>234.24</v>
      </c>
      <c r="Y1436" s="4"/>
      <c r="Z1436" s="4">
        <v>373.49708348579259</v>
      </c>
      <c r="AA1436" s="4">
        <v>247.48951138739608</v>
      </c>
      <c r="AB1436" s="4">
        <v>0</v>
      </c>
      <c r="AC1436" s="4">
        <v>-1985.2601599999998</v>
      </c>
      <c r="AD1436" s="4">
        <v>-1510.61376</v>
      </c>
      <c r="AE1436" s="4">
        <v>0</v>
      </c>
      <c r="AF1436" s="4">
        <v>-2408.6826913998761</v>
      </c>
      <c r="AG1436" s="4">
        <v>-1596.0598589373174</v>
      </c>
    </row>
    <row r="1437" spans="1:33" ht="11.25" customHeight="1" x14ac:dyDescent="0.25">
      <c r="A1437" s="3" t="s">
        <v>28</v>
      </c>
      <c r="B1437" s="3" t="s">
        <v>22</v>
      </c>
      <c r="C1437" s="3" t="s">
        <v>23</v>
      </c>
      <c r="D1437" s="3" t="s">
        <v>24</v>
      </c>
      <c r="E1437" s="3" t="s">
        <v>32</v>
      </c>
      <c r="F1437" s="3" t="s">
        <v>25</v>
      </c>
      <c r="G1437" s="3" t="s">
        <v>25</v>
      </c>
      <c r="H1437" s="3" t="s">
        <v>25</v>
      </c>
      <c r="I1437" s="6">
        <v>44287</v>
      </c>
      <c r="J1437" s="4">
        <v>0</v>
      </c>
      <c r="K1437" s="4">
        <v>0</v>
      </c>
      <c r="L1437" s="4">
        <v>2.9940000000000002</v>
      </c>
      <c r="M1437" s="4">
        <v>2.9940000000000002</v>
      </c>
      <c r="N1437" s="4">
        <v>2.9940000000000002</v>
      </c>
      <c r="O1437" s="4">
        <v>2.9940000000000002</v>
      </c>
      <c r="P1437" s="4">
        <v>23</v>
      </c>
      <c r="Q1437" s="3" t="s">
        <v>26</v>
      </c>
      <c r="R1437" s="3">
        <v>0</v>
      </c>
      <c r="S1437" s="4">
        <v>0</v>
      </c>
      <c r="T1437" s="4">
        <v>29</v>
      </c>
      <c r="U1437" s="4">
        <v>66</v>
      </c>
      <c r="V1437" s="4">
        <v>0</v>
      </c>
      <c r="W1437" s="4">
        <v>307.83999999999997</v>
      </c>
      <c r="X1437" s="4">
        <v>234.24</v>
      </c>
      <c r="Y1437" s="4"/>
      <c r="Z1437" s="4">
        <v>373.49708348579259</v>
      </c>
      <c r="AA1437" s="4">
        <v>247.48951138739608</v>
      </c>
      <c r="AB1437" s="4">
        <v>0</v>
      </c>
      <c r="AC1437" s="4">
        <v>921.67295999999999</v>
      </c>
      <c r="AD1437" s="4">
        <v>701.31456000000003</v>
      </c>
      <c r="AE1437" s="4">
        <v>0</v>
      </c>
      <c r="AF1437" s="4">
        <v>1118.2502679564632</v>
      </c>
      <c r="AG1437" s="4">
        <v>740.98359709386386</v>
      </c>
    </row>
    <row r="1438" spans="1:33" ht="11.25" customHeight="1" x14ac:dyDescent="0.25">
      <c r="A1438" s="3" t="s">
        <v>21</v>
      </c>
      <c r="B1438" s="3" t="s">
        <v>22</v>
      </c>
      <c r="C1438" s="3" t="s">
        <v>23</v>
      </c>
      <c r="D1438" s="3" t="s">
        <v>24</v>
      </c>
      <c r="E1438" s="3" t="s">
        <v>32</v>
      </c>
      <c r="F1438" s="3" t="s">
        <v>25</v>
      </c>
      <c r="G1438" s="3" t="s">
        <v>25</v>
      </c>
      <c r="H1438" s="3" t="s">
        <v>25</v>
      </c>
      <c r="I1438" s="6">
        <v>44317</v>
      </c>
      <c r="J1438" s="4">
        <v>0</v>
      </c>
      <c r="K1438" s="4">
        <v>0</v>
      </c>
      <c r="L1438" s="4">
        <v>1271.867</v>
      </c>
      <c r="M1438" s="4">
        <v>1271.867</v>
      </c>
      <c r="N1438" s="4">
        <v>1271.867</v>
      </c>
      <c r="O1438" s="4">
        <v>1271.867</v>
      </c>
      <c r="P1438" s="4">
        <v>13296</v>
      </c>
      <c r="Q1438" s="3" t="s">
        <v>26</v>
      </c>
      <c r="R1438" s="3">
        <v>0</v>
      </c>
      <c r="S1438" s="4">
        <v>0</v>
      </c>
      <c r="T1438" s="4">
        <v>29</v>
      </c>
      <c r="U1438" s="4">
        <v>66</v>
      </c>
      <c r="V1438" s="4">
        <v>0</v>
      </c>
      <c r="W1438" s="4">
        <v>307.83999999999997</v>
      </c>
      <c r="X1438" s="4">
        <v>234.24</v>
      </c>
      <c r="Y1438" s="4"/>
      <c r="Z1438" s="4">
        <v>373.49708348579259</v>
      </c>
      <c r="AA1438" s="4">
        <v>247.48951138739608</v>
      </c>
      <c r="AB1438" s="4">
        <v>0</v>
      </c>
      <c r="AC1438" s="4">
        <v>391531.53727999993</v>
      </c>
      <c r="AD1438" s="4">
        <v>297922.12608000002</v>
      </c>
      <c r="AE1438" s="4">
        <v>0</v>
      </c>
      <c r="AF1438" s="4">
        <v>475038.61508182454</v>
      </c>
      <c r="AG1438" s="4">
        <v>314773.74237975327</v>
      </c>
    </row>
    <row r="1439" spans="1:33" ht="11.25" customHeight="1" x14ac:dyDescent="0.25">
      <c r="A1439" s="3" t="s">
        <v>27</v>
      </c>
      <c r="B1439" s="3" t="s">
        <v>22</v>
      </c>
      <c r="C1439" s="3" t="s">
        <v>23</v>
      </c>
      <c r="D1439" s="3" t="s">
        <v>24</v>
      </c>
      <c r="E1439" s="3" t="s">
        <v>32</v>
      </c>
      <c r="F1439" s="3" t="s">
        <v>25</v>
      </c>
      <c r="G1439" s="3" t="s">
        <v>25</v>
      </c>
      <c r="H1439" s="3" t="s">
        <v>25</v>
      </c>
      <c r="I1439" s="6">
        <v>44317</v>
      </c>
      <c r="J1439" s="4">
        <v>0</v>
      </c>
      <c r="K1439" s="4">
        <v>0</v>
      </c>
      <c r="L1439" s="4">
        <v>-9.8000000000000004E-2</v>
      </c>
      <c r="M1439" s="4">
        <v>-9.8000000000000004E-2</v>
      </c>
      <c r="N1439" s="4">
        <v>-9.8000000000000004E-2</v>
      </c>
      <c r="O1439" s="4">
        <v>-9.8000000000000004E-2</v>
      </c>
      <c r="P1439" s="4">
        <v>-2</v>
      </c>
      <c r="Q1439" s="3" t="s">
        <v>26</v>
      </c>
      <c r="R1439" s="3">
        <v>0</v>
      </c>
      <c r="S1439" s="4">
        <v>0</v>
      </c>
      <c r="T1439" s="4">
        <v>29</v>
      </c>
      <c r="U1439" s="4">
        <v>66</v>
      </c>
      <c r="V1439" s="4">
        <v>0</v>
      </c>
      <c r="W1439" s="4">
        <v>307.83999999999997</v>
      </c>
      <c r="X1439" s="4">
        <v>234.24</v>
      </c>
      <c r="Y1439" s="4"/>
      <c r="Z1439" s="4">
        <v>373.49708348579259</v>
      </c>
      <c r="AA1439" s="4">
        <v>247.48951138739608</v>
      </c>
      <c r="AB1439" s="4">
        <v>0</v>
      </c>
      <c r="AC1439" s="4">
        <v>-30.168319999999998</v>
      </c>
      <c r="AD1439" s="4">
        <v>-22.955520000000003</v>
      </c>
      <c r="AE1439" s="4">
        <v>0</v>
      </c>
      <c r="AF1439" s="4">
        <v>-36.602714181607674</v>
      </c>
      <c r="AG1439" s="4">
        <v>-24.253972115964817</v>
      </c>
    </row>
    <row r="1440" spans="1:33" ht="11.25" customHeight="1" x14ac:dyDescent="0.25">
      <c r="A1440" s="3" t="s">
        <v>28</v>
      </c>
      <c r="B1440" s="3" t="s">
        <v>22</v>
      </c>
      <c r="C1440" s="3" t="s">
        <v>23</v>
      </c>
      <c r="D1440" s="3" t="s">
        <v>24</v>
      </c>
      <c r="E1440" s="3" t="s">
        <v>32</v>
      </c>
      <c r="F1440" s="3" t="s">
        <v>25</v>
      </c>
      <c r="G1440" s="3" t="s">
        <v>25</v>
      </c>
      <c r="H1440" s="3" t="s">
        <v>25</v>
      </c>
      <c r="I1440" s="6">
        <v>44317</v>
      </c>
      <c r="J1440" s="4">
        <v>0</v>
      </c>
      <c r="K1440" s="4">
        <v>0</v>
      </c>
      <c r="L1440" s="4">
        <v>2.5760000000000001</v>
      </c>
      <c r="M1440" s="4">
        <v>2.5760000000000001</v>
      </c>
      <c r="N1440" s="4">
        <v>2.5760000000000001</v>
      </c>
      <c r="O1440" s="4">
        <v>2.5760000000000001</v>
      </c>
      <c r="P1440" s="4">
        <v>23</v>
      </c>
      <c r="Q1440" s="3" t="s">
        <v>26</v>
      </c>
      <c r="R1440" s="3">
        <v>0</v>
      </c>
      <c r="S1440" s="4">
        <v>0</v>
      </c>
      <c r="T1440" s="4">
        <v>29</v>
      </c>
      <c r="U1440" s="4">
        <v>66</v>
      </c>
      <c r="V1440" s="4">
        <v>0</v>
      </c>
      <c r="W1440" s="4">
        <v>307.83999999999997</v>
      </c>
      <c r="X1440" s="4">
        <v>234.24</v>
      </c>
      <c r="Y1440" s="4"/>
      <c r="Z1440" s="4">
        <v>373.49708348579259</v>
      </c>
      <c r="AA1440" s="4">
        <v>247.48951138739608</v>
      </c>
      <c r="AB1440" s="4">
        <v>0</v>
      </c>
      <c r="AC1440" s="4">
        <v>792.99583999999993</v>
      </c>
      <c r="AD1440" s="4">
        <v>603.40224000000001</v>
      </c>
      <c r="AE1440" s="4">
        <v>0</v>
      </c>
      <c r="AF1440" s="4">
        <v>962.12848705940178</v>
      </c>
      <c r="AG1440" s="4">
        <v>637.5329813339323</v>
      </c>
    </row>
    <row r="1441" spans="1:33" ht="11.25" customHeight="1" x14ac:dyDescent="0.25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32</v>
      </c>
      <c r="F1441" s="3" t="s">
        <v>25</v>
      </c>
      <c r="G1441" s="3" t="s">
        <v>25</v>
      </c>
      <c r="H1441" s="3" t="s">
        <v>25</v>
      </c>
      <c r="I1441" s="6">
        <v>44348</v>
      </c>
      <c r="J1441" s="4">
        <v>0</v>
      </c>
      <c r="K1441" s="4">
        <v>0</v>
      </c>
      <c r="L1441" s="4">
        <v>1126.193</v>
      </c>
      <c r="M1441" s="4">
        <v>1126.193</v>
      </c>
      <c r="N1441" s="4">
        <v>1126.193</v>
      </c>
      <c r="O1441" s="4">
        <v>1126.193</v>
      </c>
      <c r="P1441" s="4">
        <v>11760</v>
      </c>
      <c r="Q1441" s="3" t="s">
        <v>26</v>
      </c>
      <c r="R1441" s="3">
        <v>0</v>
      </c>
      <c r="S1441" s="4">
        <v>0</v>
      </c>
      <c r="T1441" s="4">
        <v>29</v>
      </c>
      <c r="U1441" s="4">
        <v>66</v>
      </c>
      <c r="V1441" s="4">
        <v>0</v>
      </c>
      <c r="W1441" s="4">
        <v>307.83999999999997</v>
      </c>
      <c r="X1441" s="4">
        <v>234.24</v>
      </c>
      <c r="Y1441" s="4"/>
      <c r="Z1441" s="4">
        <v>373.49708348579259</v>
      </c>
      <c r="AA1441" s="4">
        <v>247.48951138739608</v>
      </c>
      <c r="AB1441" s="4">
        <v>0</v>
      </c>
      <c r="AC1441" s="4">
        <v>346687.25311999995</v>
      </c>
      <c r="AD1441" s="4">
        <v>263799.44832000002</v>
      </c>
      <c r="AE1441" s="4">
        <v>0</v>
      </c>
      <c r="AF1441" s="4">
        <v>420629.80094211519</v>
      </c>
      <c r="AG1441" s="4">
        <v>278720.95529790572</v>
      </c>
    </row>
    <row r="1442" spans="1:33" ht="11.25" customHeight="1" x14ac:dyDescent="0.25">
      <c r="A1442" s="3" t="s">
        <v>27</v>
      </c>
      <c r="B1442" s="3" t="s">
        <v>22</v>
      </c>
      <c r="C1442" s="3" t="s">
        <v>23</v>
      </c>
      <c r="D1442" s="3" t="s">
        <v>24</v>
      </c>
      <c r="E1442" s="3" t="s">
        <v>32</v>
      </c>
      <c r="F1442" s="3" t="s">
        <v>25</v>
      </c>
      <c r="G1442" s="3" t="s">
        <v>25</v>
      </c>
      <c r="H1442" s="3" t="s">
        <v>25</v>
      </c>
      <c r="I1442" s="6">
        <v>44348</v>
      </c>
      <c r="J1442" s="4">
        <v>0</v>
      </c>
      <c r="K1442" s="4">
        <v>0</v>
      </c>
      <c r="L1442" s="4">
        <v>-0.02</v>
      </c>
      <c r="M1442" s="4">
        <v>-0.02</v>
      </c>
      <c r="N1442" s="4">
        <v>-0.02</v>
      </c>
      <c r="O1442" s="4">
        <v>-0.02</v>
      </c>
      <c r="P1442" s="4">
        <v>-1</v>
      </c>
      <c r="Q1442" s="3" t="s">
        <v>26</v>
      </c>
      <c r="R1442" s="3">
        <v>0</v>
      </c>
      <c r="S1442" s="4">
        <v>0</v>
      </c>
      <c r="T1442" s="4">
        <v>29</v>
      </c>
      <c r="U1442" s="4">
        <v>66</v>
      </c>
      <c r="V1442" s="4">
        <v>0</v>
      </c>
      <c r="W1442" s="4">
        <v>307.83999999999997</v>
      </c>
      <c r="X1442" s="4">
        <v>234.24</v>
      </c>
      <c r="Y1442" s="4"/>
      <c r="Z1442" s="4">
        <v>373.49708348579259</v>
      </c>
      <c r="AA1442" s="4">
        <v>247.48951138739608</v>
      </c>
      <c r="AB1442" s="4">
        <v>0</v>
      </c>
      <c r="AC1442" s="4">
        <v>-6.1567999999999996</v>
      </c>
      <c r="AD1442" s="4">
        <v>-4.6848000000000001</v>
      </c>
      <c r="AE1442" s="4">
        <v>0</v>
      </c>
      <c r="AF1442" s="4">
        <v>-7.4699416697158521</v>
      </c>
      <c r="AG1442" s="4">
        <v>-4.949790227747922</v>
      </c>
    </row>
    <row r="1443" spans="1:33" ht="11.25" customHeight="1" x14ac:dyDescent="0.25">
      <c r="A1443" s="3" t="s">
        <v>28</v>
      </c>
      <c r="B1443" s="3" t="s">
        <v>22</v>
      </c>
      <c r="C1443" s="3" t="s">
        <v>23</v>
      </c>
      <c r="D1443" s="3" t="s">
        <v>24</v>
      </c>
      <c r="E1443" s="3" t="s">
        <v>32</v>
      </c>
      <c r="F1443" s="3" t="s">
        <v>25</v>
      </c>
      <c r="G1443" s="3" t="s">
        <v>25</v>
      </c>
      <c r="H1443" s="3" t="s">
        <v>25</v>
      </c>
      <c r="I1443" s="6">
        <v>44348</v>
      </c>
      <c r="J1443" s="4">
        <v>0</v>
      </c>
      <c r="K1443" s="4">
        <v>0</v>
      </c>
      <c r="L1443" s="4">
        <v>1.595</v>
      </c>
      <c r="M1443" s="4">
        <v>1.595</v>
      </c>
      <c r="N1443" s="4">
        <v>1.595</v>
      </c>
      <c r="O1443" s="4">
        <v>1.595</v>
      </c>
      <c r="P1443" s="4">
        <v>19</v>
      </c>
      <c r="Q1443" s="3" t="s">
        <v>26</v>
      </c>
      <c r="R1443" s="3">
        <v>0</v>
      </c>
      <c r="S1443" s="4">
        <v>0</v>
      </c>
      <c r="T1443" s="4">
        <v>29</v>
      </c>
      <c r="U1443" s="4">
        <v>66</v>
      </c>
      <c r="V1443" s="4">
        <v>0</v>
      </c>
      <c r="W1443" s="4">
        <v>307.83999999999997</v>
      </c>
      <c r="X1443" s="4">
        <v>234.24</v>
      </c>
      <c r="Y1443" s="4"/>
      <c r="Z1443" s="4">
        <v>373.49708348579259</v>
      </c>
      <c r="AA1443" s="4">
        <v>247.48951138739608</v>
      </c>
      <c r="AB1443" s="4">
        <v>0</v>
      </c>
      <c r="AC1443" s="4">
        <v>491.00479999999993</v>
      </c>
      <c r="AD1443" s="4">
        <v>373.61279999999999</v>
      </c>
      <c r="AE1443" s="4">
        <v>0</v>
      </c>
      <c r="AF1443" s="4">
        <v>595.72784815983914</v>
      </c>
      <c r="AG1443" s="4">
        <v>394.74577066289675</v>
      </c>
    </row>
    <row r="1444" spans="1:33" ht="11.25" customHeight="1" x14ac:dyDescent="0.25">
      <c r="A1444" s="3" t="s">
        <v>21</v>
      </c>
      <c r="B1444" s="3" t="s">
        <v>22</v>
      </c>
      <c r="C1444" s="3" t="s">
        <v>23</v>
      </c>
      <c r="D1444" s="3" t="s">
        <v>24</v>
      </c>
      <c r="E1444" s="3" t="s">
        <v>32</v>
      </c>
      <c r="F1444" s="3" t="s">
        <v>25</v>
      </c>
      <c r="G1444" s="3" t="s">
        <v>25</v>
      </c>
      <c r="H1444" s="3" t="s">
        <v>25</v>
      </c>
      <c r="I1444" s="6">
        <v>44378</v>
      </c>
      <c r="J1444" s="4">
        <v>0</v>
      </c>
      <c r="K1444" s="4">
        <v>0</v>
      </c>
      <c r="L1444" s="4">
        <v>1052.328</v>
      </c>
      <c r="M1444" s="4">
        <v>1052.328</v>
      </c>
      <c r="N1444" s="4">
        <v>1052.328</v>
      </c>
      <c r="O1444" s="4">
        <v>1052.328</v>
      </c>
      <c r="P1444" s="4">
        <v>11008</v>
      </c>
      <c r="Q1444" s="3" t="s">
        <v>26</v>
      </c>
      <c r="R1444" s="3">
        <v>0</v>
      </c>
      <c r="S1444" s="4">
        <v>0</v>
      </c>
      <c r="T1444" s="4">
        <v>29</v>
      </c>
      <c r="U1444" s="4">
        <v>66</v>
      </c>
      <c r="V1444" s="4">
        <v>0</v>
      </c>
      <c r="W1444" s="4">
        <v>307.83999999999997</v>
      </c>
      <c r="X1444" s="4">
        <v>234.24</v>
      </c>
      <c r="Y1444" s="4"/>
      <c r="Z1444" s="4">
        <v>373.49708348579259</v>
      </c>
      <c r="AA1444" s="4">
        <v>247.48951138739608</v>
      </c>
      <c r="AB1444" s="4">
        <v>0</v>
      </c>
      <c r="AC1444" s="4">
        <v>323948.65151999996</v>
      </c>
      <c r="AD1444" s="4">
        <v>246497.31072000001</v>
      </c>
      <c r="AE1444" s="4">
        <v>0</v>
      </c>
      <c r="AF1444" s="4">
        <v>393041.43887043715</v>
      </c>
      <c r="AG1444" s="4">
        <v>260440.14253927572</v>
      </c>
    </row>
    <row r="1445" spans="1:33" ht="11.25" customHeight="1" x14ac:dyDescent="0.25">
      <c r="A1445" s="3" t="s">
        <v>27</v>
      </c>
      <c r="B1445" s="3" t="s">
        <v>22</v>
      </c>
      <c r="C1445" s="3" t="s">
        <v>23</v>
      </c>
      <c r="D1445" s="3" t="s">
        <v>24</v>
      </c>
      <c r="E1445" s="3" t="s">
        <v>32</v>
      </c>
      <c r="F1445" s="3" t="s">
        <v>25</v>
      </c>
      <c r="G1445" s="3" t="s">
        <v>25</v>
      </c>
      <c r="H1445" s="3" t="s">
        <v>25</v>
      </c>
      <c r="I1445" s="6">
        <v>44378</v>
      </c>
      <c r="J1445" s="4">
        <v>0</v>
      </c>
      <c r="K1445" s="4">
        <v>0</v>
      </c>
      <c r="L1445" s="4">
        <v>-17.094000000000001</v>
      </c>
      <c r="M1445" s="4">
        <v>-17.094000000000001</v>
      </c>
      <c r="N1445" s="4">
        <v>-17.094000000000001</v>
      </c>
      <c r="O1445" s="4">
        <v>-17.094000000000001</v>
      </c>
      <c r="P1445" s="4">
        <v>-16</v>
      </c>
      <c r="Q1445" s="3" t="s">
        <v>26</v>
      </c>
      <c r="R1445" s="3">
        <v>0</v>
      </c>
      <c r="S1445" s="4">
        <v>0</v>
      </c>
      <c r="T1445" s="4">
        <v>29</v>
      </c>
      <c r="U1445" s="4">
        <v>66</v>
      </c>
      <c r="V1445" s="4">
        <v>0</v>
      </c>
      <c r="W1445" s="4">
        <v>307.83999999999997</v>
      </c>
      <c r="X1445" s="4">
        <v>234.24</v>
      </c>
      <c r="Y1445" s="4"/>
      <c r="Z1445" s="4">
        <v>373.49708348579259</v>
      </c>
      <c r="AA1445" s="4">
        <v>247.48951138739608</v>
      </c>
      <c r="AB1445" s="4">
        <v>0</v>
      </c>
      <c r="AC1445" s="4">
        <v>-5262.2169599999997</v>
      </c>
      <c r="AD1445" s="4">
        <v>-4004.0985600000004</v>
      </c>
      <c r="AE1445" s="4">
        <v>0</v>
      </c>
      <c r="AF1445" s="4">
        <v>-6384.5591451061391</v>
      </c>
      <c r="AG1445" s="4">
        <v>-4230.5857076561488</v>
      </c>
    </row>
    <row r="1446" spans="1:33" ht="11.25" customHeight="1" x14ac:dyDescent="0.25">
      <c r="A1446" s="3" t="s">
        <v>28</v>
      </c>
      <c r="B1446" s="3" t="s">
        <v>22</v>
      </c>
      <c r="C1446" s="3" t="s">
        <v>23</v>
      </c>
      <c r="D1446" s="3" t="s">
        <v>24</v>
      </c>
      <c r="E1446" s="3" t="s">
        <v>32</v>
      </c>
      <c r="F1446" s="3" t="s">
        <v>25</v>
      </c>
      <c r="G1446" s="3" t="s">
        <v>25</v>
      </c>
      <c r="H1446" s="3" t="s">
        <v>25</v>
      </c>
      <c r="I1446" s="6">
        <v>44378</v>
      </c>
      <c r="J1446" s="4">
        <v>0</v>
      </c>
      <c r="K1446" s="4">
        <v>0</v>
      </c>
      <c r="L1446" s="4">
        <v>1.3480000000000001</v>
      </c>
      <c r="M1446" s="4">
        <v>1.3480000000000001</v>
      </c>
      <c r="N1446" s="4">
        <v>1.3480000000000001</v>
      </c>
      <c r="O1446" s="4">
        <v>1.3480000000000001</v>
      </c>
      <c r="P1446" s="4">
        <v>20</v>
      </c>
      <c r="Q1446" s="3" t="s">
        <v>26</v>
      </c>
      <c r="R1446" s="3">
        <v>0</v>
      </c>
      <c r="S1446" s="4">
        <v>0</v>
      </c>
      <c r="T1446" s="4">
        <v>29</v>
      </c>
      <c r="U1446" s="4">
        <v>66</v>
      </c>
      <c r="V1446" s="4">
        <v>0</v>
      </c>
      <c r="W1446" s="4">
        <v>307.83999999999997</v>
      </c>
      <c r="X1446" s="4">
        <v>234.24</v>
      </c>
      <c r="Y1446" s="4"/>
      <c r="Z1446" s="4">
        <v>373.49708348579259</v>
      </c>
      <c r="AA1446" s="4">
        <v>247.48951138739608</v>
      </c>
      <c r="AB1446" s="4">
        <v>0</v>
      </c>
      <c r="AC1446" s="4">
        <v>414.96832000000001</v>
      </c>
      <c r="AD1446" s="4">
        <v>315.75552000000005</v>
      </c>
      <c r="AE1446" s="4">
        <v>0</v>
      </c>
      <c r="AF1446" s="4">
        <v>503.47406853884843</v>
      </c>
      <c r="AG1446" s="4">
        <v>333.61586135020991</v>
      </c>
    </row>
    <row r="1447" spans="1:33" ht="11.25" customHeight="1" x14ac:dyDescent="0.25">
      <c r="A1447" s="3" t="s">
        <v>21</v>
      </c>
      <c r="B1447" s="3" t="s">
        <v>22</v>
      </c>
      <c r="C1447" s="3" t="s">
        <v>23</v>
      </c>
      <c r="D1447" s="3" t="s">
        <v>24</v>
      </c>
      <c r="E1447" s="3" t="s">
        <v>32</v>
      </c>
      <c r="F1447" s="3" t="s">
        <v>25</v>
      </c>
      <c r="G1447" s="3" t="s">
        <v>25</v>
      </c>
      <c r="H1447" s="3" t="s">
        <v>25</v>
      </c>
      <c r="I1447" s="6">
        <v>44409</v>
      </c>
      <c r="J1447" s="4">
        <v>0</v>
      </c>
      <c r="K1447" s="4">
        <v>0</v>
      </c>
      <c r="L1447" s="4">
        <v>915.596</v>
      </c>
      <c r="M1447" s="4">
        <v>915.596</v>
      </c>
      <c r="N1447" s="4">
        <v>915.596</v>
      </c>
      <c r="O1447" s="4">
        <v>915.596</v>
      </c>
      <c r="P1447" s="4">
        <v>9367</v>
      </c>
      <c r="Q1447" s="3" t="s">
        <v>26</v>
      </c>
      <c r="R1447" s="3">
        <v>0</v>
      </c>
      <c r="S1447" s="4">
        <v>0</v>
      </c>
      <c r="T1447" s="4">
        <v>29</v>
      </c>
      <c r="U1447" s="4">
        <v>66</v>
      </c>
      <c r="V1447" s="4">
        <v>0</v>
      </c>
      <c r="W1447" s="4">
        <v>307.83999999999997</v>
      </c>
      <c r="X1447" s="4">
        <v>234.24</v>
      </c>
      <c r="Y1447" s="4"/>
      <c r="Z1447" s="4">
        <v>373.49708348579259</v>
      </c>
      <c r="AA1447" s="4">
        <v>247.48951138739608</v>
      </c>
      <c r="AB1447" s="4">
        <v>0</v>
      </c>
      <c r="AC1447" s="4">
        <v>281857.07263999997</v>
      </c>
      <c r="AD1447" s="4">
        <v>214469.20704000001</v>
      </c>
      <c r="AE1447" s="4">
        <v>0</v>
      </c>
      <c r="AF1447" s="4">
        <v>341972.43565125775</v>
      </c>
      <c r="AG1447" s="4">
        <v>226600.40666825429</v>
      </c>
    </row>
    <row r="1448" spans="1:33" ht="11.25" customHeight="1" x14ac:dyDescent="0.25">
      <c r="A1448" s="3" t="s">
        <v>27</v>
      </c>
      <c r="B1448" s="3" t="s">
        <v>22</v>
      </c>
      <c r="C1448" s="3" t="s">
        <v>23</v>
      </c>
      <c r="D1448" s="3" t="s">
        <v>24</v>
      </c>
      <c r="E1448" s="3" t="s">
        <v>32</v>
      </c>
      <c r="F1448" s="3" t="s">
        <v>25</v>
      </c>
      <c r="G1448" s="3" t="s">
        <v>25</v>
      </c>
      <c r="H1448" s="3" t="s">
        <v>25</v>
      </c>
      <c r="I1448" s="6">
        <v>44409</v>
      </c>
      <c r="J1448" s="4">
        <v>0</v>
      </c>
      <c r="K1448" s="4">
        <v>0</v>
      </c>
      <c r="L1448" s="4">
        <v>-10.167</v>
      </c>
      <c r="M1448" s="4">
        <v>-10.167</v>
      </c>
      <c r="N1448" s="4">
        <v>-10.167</v>
      </c>
      <c r="O1448" s="4">
        <v>-10.167</v>
      </c>
      <c r="P1448" s="4">
        <v>-10</v>
      </c>
      <c r="Q1448" s="3" t="s">
        <v>26</v>
      </c>
      <c r="R1448" s="3">
        <v>0</v>
      </c>
      <c r="S1448" s="4">
        <v>0</v>
      </c>
      <c r="T1448" s="4">
        <v>29</v>
      </c>
      <c r="U1448" s="4">
        <v>66</v>
      </c>
      <c r="V1448" s="4">
        <v>0</v>
      </c>
      <c r="W1448" s="4">
        <v>307.83999999999997</v>
      </c>
      <c r="X1448" s="4">
        <v>234.24</v>
      </c>
      <c r="Y1448" s="4"/>
      <c r="Z1448" s="4">
        <v>373.49708348579259</v>
      </c>
      <c r="AA1448" s="4">
        <v>247.48951138739608</v>
      </c>
      <c r="AB1448" s="4">
        <v>0</v>
      </c>
      <c r="AC1448" s="4">
        <v>-3129.8092799999995</v>
      </c>
      <c r="AD1448" s="4">
        <v>-2381.5180799999998</v>
      </c>
      <c r="AE1448" s="4">
        <v>0</v>
      </c>
      <c r="AF1448" s="4">
        <v>-3797.3448478000532</v>
      </c>
      <c r="AG1448" s="4">
        <v>-2516.2258622756558</v>
      </c>
    </row>
    <row r="1449" spans="1:33" ht="11.25" customHeight="1" x14ac:dyDescent="0.25">
      <c r="A1449" s="3" t="s">
        <v>28</v>
      </c>
      <c r="B1449" s="3" t="s">
        <v>22</v>
      </c>
      <c r="C1449" s="3" t="s">
        <v>23</v>
      </c>
      <c r="D1449" s="3" t="s">
        <v>24</v>
      </c>
      <c r="E1449" s="3" t="s">
        <v>32</v>
      </c>
      <c r="F1449" s="3" t="s">
        <v>25</v>
      </c>
      <c r="G1449" s="3" t="s">
        <v>25</v>
      </c>
      <c r="H1449" s="3" t="s">
        <v>25</v>
      </c>
      <c r="I1449" s="6">
        <v>44409</v>
      </c>
      <c r="J1449" s="4">
        <v>0</v>
      </c>
      <c r="K1449" s="4">
        <v>0</v>
      </c>
      <c r="L1449" s="4">
        <v>1.4430000000000001</v>
      </c>
      <c r="M1449" s="4">
        <v>1.4430000000000001</v>
      </c>
      <c r="N1449" s="4">
        <v>1.4430000000000001</v>
      </c>
      <c r="O1449" s="4">
        <v>1.4430000000000001</v>
      </c>
      <c r="P1449" s="4">
        <v>20</v>
      </c>
      <c r="Q1449" s="3" t="s">
        <v>26</v>
      </c>
      <c r="R1449" s="3">
        <v>0</v>
      </c>
      <c r="S1449" s="4">
        <v>0</v>
      </c>
      <c r="T1449" s="4">
        <v>29</v>
      </c>
      <c r="U1449" s="4">
        <v>66</v>
      </c>
      <c r="V1449" s="4">
        <v>0</v>
      </c>
      <c r="W1449" s="4">
        <v>307.83999999999997</v>
      </c>
      <c r="X1449" s="4">
        <v>234.24</v>
      </c>
      <c r="Y1449" s="4"/>
      <c r="Z1449" s="4">
        <v>373.49708348579259</v>
      </c>
      <c r="AA1449" s="4">
        <v>247.48951138739608</v>
      </c>
      <c r="AB1449" s="4">
        <v>0</v>
      </c>
      <c r="AC1449" s="4">
        <v>444.21312</v>
      </c>
      <c r="AD1449" s="4">
        <v>338.00832000000003</v>
      </c>
      <c r="AE1449" s="4">
        <v>0</v>
      </c>
      <c r="AF1449" s="4">
        <v>538.95629146999875</v>
      </c>
      <c r="AG1449" s="4">
        <v>357.12736493201254</v>
      </c>
    </row>
    <row r="1450" spans="1:33" ht="11.25" customHeight="1" x14ac:dyDescent="0.25">
      <c r="A1450" s="3" t="s">
        <v>21</v>
      </c>
      <c r="B1450" s="3" t="s">
        <v>22</v>
      </c>
      <c r="C1450" s="3" t="s">
        <v>23</v>
      </c>
      <c r="D1450" s="3" t="s">
        <v>24</v>
      </c>
      <c r="E1450" s="3" t="s">
        <v>32</v>
      </c>
      <c r="F1450" s="3" t="s">
        <v>25</v>
      </c>
      <c r="G1450" s="3" t="s">
        <v>25</v>
      </c>
      <c r="H1450" s="3" t="s">
        <v>25</v>
      </c>
      <c r="I1450" s="6">
        <v>44440</v>
      </c>
      <c r="J1450" s="4">
        <v>0</v>
      </c>
      <c r="K1450" s="4">
        <v>0</v>
      </c>
      <c r="L1450" s="4">
        <v>968.34100000000001</v>
      </c>
      <c r="M1450" s="4">
        <v>968.34100000000001</v>
      </c>
      <c r="N1450" s="4">
        <v>968.34100000000001</v>
      </c>
      <c r="O1450" s="4">
        <v>968.34100000000001</v>
      </c>
      <c r="P1450" s="4">
        <v>9801</v>
      </c>
      <c r="Q1450" s="3" t="s">
        <v>26</v>
      </c>
      <c r="R1450" s="3">
        <v>0</v>
      </c>
      <c r="S1450" s="4">
        <v>0</v>
      </c>
      <c r="T1450" s="4">
        <v>29</v>
      </c>
      <c r="U1450" s="4">
        <v>66</v>
      </c>
      <c r="V1450" s="4">
        <v>0</v>
      </c>
      <c r="W1450" s="4">
        <v>307.83999999999997</v>
      </c>
      <c r="X1450" s="4">
        <v>234.24</v>
      </c>
      <c r="Y1450" s="4"/>
      <c r="Z1450" s="4">
        <v>373.49708348579259</v>
      </c>
      <c r="AA1450" s="4">
        <v>247.48951138739608</v>
      </c>
      <c r="AB1450" s="4">
        <v>0</v>
      </c>
      <c r="AC1450" s="4">
        <v>298094.09343999997</v>
      </c>
      <c r="AD1450" s="4">
        <v>226824.19584</v>
      </c>
      <c r="AE1450" s="4">
        <v>0</v>
      </c>
      <c r="AF1450" s="4">
        <v>361672.53931971587</v>
      </c>
      <c r="AG1450" s="4">
        <v>239654.24094638252</v>
      </c>
    </row>
    <row r="1451" spans="1:33" ht="11.25" customHeight="1" x14ac:dyDescent="0.25">
      <c r="A1451" s="3" t="s">
        <v>27</v>
      </c>
      <c r="B1451" s="3" t="s">
        <v>22</v>
      </c>
      <c r="C1451" s="3" t="s">
        <v>23</v>
      </c>
      <c r="D1451" s="3" t="s">
        <v>24</v>
      </c>
      <c r="E1451" s="3" t="s">
        <v>32</v>
      </c>
      <c r="F1451" s="3" t="s">
        <v>25</v>
      </c>
      <c r="G1451" s="3" t="s">
        <v>25</v>
      </c>
      <c r="H1451" s="3" t="s">
        <v>25</v>
      </c>
      <c r="I1451" s="6">
        <v>44440</v>
      </c>
      <c r="J1451" s="4">
        <v>0</v>
      </c>
      <c r="K1451" s="4">
        <v>0</v>
      </c>
      <c r="L1451" s="4">
        <v>-2.8090000000000002</v>
      </c>
      <c r="M1451" s="4">
        <v>-2.8090000000000002</v>
      </c>
      <c r="N1451" s="4">
        <v>-2.8090000000000002</v>
      </c>
      <c r="O1451" s="4">
        <v>-2.8090000000000002</v>
      </c>
      <c r="P1451" s="4">
        <v>-11</v>
      </c>
      <c r="Q1451" s="3" t="s">
        <v>26</v>
      </c>
      <c r="R1451" s="3">
        <v>0</v>
      </c>
      <c r="S1451" s="4">
        <v>0</v>
      </c>
      <c r="T1451" s="4">
        <v>29</v>
      </c>
      <c r="U1451" s="4">
        <v>66</v>
      </c>
      <c r="V1451" s="4">
        <v>0</v>
      </c>
      <c r="W1451" s="4">
        <v>307.83999999999997</v>
      </c>
      <c r="X1451" s="4">
        <v>234.24</v>
      </c>
      <c r="Y1451" s="4"/>
      <c r="Z1451" s="4">
        <v>373.49708348579259</v>
      </c>
      <c r="AA1451" s="4">
        <v>247.48951138739608</v>
      </c>
      <c r="AB1451" s="4">
        <v>0</v>
      </c>
      <c r="AC1451" s="4">
        <v>-864.72255999999993</v>
      </c>
      <c r="AD1451" s="4">
        <v>-657.98016000000007</v>
      </c>
      <c r="AE1451" s="4">
        <v>0</v>
      </c>
      <c r="AF1451" s="4">
        <v>-1049.1533075115915</v>
      </c>
      <c r="AG1451" s="4">
        <v>-695.19803748719562</v>
      </c>
    </row>
    <row r="1452" spans="1:33" ht="11.25" customHeight="1" x14ac:dyDescent="0.25">
      <c r="A1452" s="3" t="s">
        <v>28</v>
      </c>
      <c r="B1452" s="3" t="s">
        <v>22</v>
      </c>
      <c r="C1452" s="3" t="s">
        <v>23</v>
      </c>
      <c r="D1452" s="3" t="s">
        <v>24</v>
      </c>
      <c r="E1452" s="3" t="s">
        <v>32</v>
      </c>
      <c r="F1452" s="3" t="s">
        <v>25</v>
      </c>
      <c r="G1452" s="3" t="s">
        <v>25</v>
      </c>
      <c r="H1452" s="3" t="s">
        <v>25</v>
      </c>
      <c r="I1452" s="6">
        <v>44440</v>
      </c>
      <c r="J1452" s="4">
        <v>0</v>
      </c>
      <c r="K1452" s="4">
        <v>0</v>
      </c>
      <c r="L1452" s="4">
        <v>2.2029999999999998</v>
      </c>
      <c r="M1452" s="4">
        <v>2.2029999999999998</v>
      </c>
      <c r="N1452" s="4">
        <v>2.2029999999999998</v>
      </c>
      <c r="O1452" s="4">
        <v>2.2029999999999998</v>
      </c>
      <c r="P1452" s="4">
        <v>25</v>
      </c>
      <c r="Q1452" s="3" t="s">
        <v>26</v>
      </c>
      <c r="R1452" s="3">
        <v>0</v>
      </c>
      <c r="S1452" s="4">
        <v>0</v>
      </c>
      <c r="T1452" s="4">
        <v>29</v>
      </c>
      <c r="U1452" s="4">
        <v>66</v>
      </c>
      <c r="V1452" s="4">
        <v>0</v>
      </c>
      <c r="W1452" s="4">
        <v>307.83999999999997</v>
      </c>
      <c r="X1452" s="4">
        <v>234.24</v>
      </c>
      <c r="Y1452" s="4"/>
      <c r="Z1452" s="4">
        <v>373.49708348579259</v>
      </c>
      <c r="AA1452" s="4">
        <v>247.48951138739608</v>
      </c>
      <c r="AB1452" s="4">
        <v>0</v>
      </c>
      <c r="AC1452" s="4">
        <v>678.17151999999987</v>
      </c>
      <c r="AD1452" s="4">
        <v>516.03071999999997</v>
      </c>
      <c r="AE1452" s="4">
        <v>0</v>
      </c>
      <c r="AF1452" s="4">
        <v>822.81407491920106</v>
      </c>
      <c r="AG1452" s="4">
        <v>545.21939358643351</v>
      </c>
    </row>
    <row r="1453" spans="1:33" ht="11.25" customHeight="1" x14ac:dyDescent="0.25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32</v>
      </c>
      <c r="F1453" s="3" t="s">
        <v>25</v>
      </c>
      <c r="G1453" s="3" t="s">
        <v>25</v>
      </c>
      <c r="H1453" s="3" t="s">
        <v>25</v>
      </c>
      <c r="I1453" s="6">
        <v>44470</v>
      </c>
      <c r="J1453" s="4">
        <v>0</v>
      </c>
      <c r="K1453" s="4">
        <v>0</v>
      </c>
      <c r="L1453" s="4">
        <v>1199.5029999999999</v>
      </c>
      <c r="M1453" s="4">
        <v>1199.5029999999999</v>
      </c>
      <c r="N1453" s="4">
        <v>1199.5029999999999</v>
      </c>
      <c r="O1453" s="4">
        <v>1199.5029999999999</v>
      </c>
      <c r="P1453" s="4">
        <v>11981</v>
      </c>
      <c r="Q1453" s="3" t="s">
        <v>26</v>
      </c>
      <c r="R1453" s="3">
        <v>0</v>
      </c>
      <c r="S1453" s="4">
        <v>0</v>
      </c>
      <c r="T1453" s="4">
        <v>29</v>
      </c>
      <c r="U1453" s="4">
        <v>66</v>
      </c>
      <c r="V1453" s="4">
        <v>0</v>
      </c>
      <c r="W1453" s="4">
        <v>307.83999999999997</v>
      </c>
      <c r="X1453" s="4">
        <v>234.24</v>
      </c>
      <c r="Y1453" s="4"/>
      <c r="Z1453" s="4">
        <v>373.49708348579259</v>
      </c>
      <c r="AA1453" s="4">
        <v>247.48951138739608</v>
      </c>
      <c r="AB1453" s="4">
        <v>0</v>
      </c>
      <c r="AC1453" s="4">
        <v>369255.00351999997</v>
      </c>
      <c r="AD1453" s="4">
        <v>280971.58272000001</v>
      </c>
      <c r="AE1453" s="4">
        <v>0</v>
      </c>
      <c r="AF1453" s="4">
        <v>448010.87213245867</v>
      </c>
      <c r="AG1453" s="4">
        <v>296864.41137771576</v>
      </c>
    </row>
    <row r="1454" spans="1:33" ht="11.25" customHeight="1" x14ac:dyDescent="0.25">
      <c r="A1454" s="3" t="s">
        <v>27</v>
      </c>
      <c r="B1454" s="3" t="s">
        <v>22</v>
      </c>
      <c r="C1454" s="3" t="s">
        <v>23</v>
      </c>
      <c r="D1454" s="3" t="s">
        <v>24</v>
      </c>
      <c r="E1454" s="3" t="s">
        <v>32</v>
      </c>
      <c r="F1454" s="3" t="s">
        <v>25</v>
      </c>
      <c r="G1454" s="3" t="s">
        <v>25</v>
      </c>
      <c r="H1454" s="3" t="s">
        <v>25</v>
      </c>
      <c r="I1454" s="6">
        <v>44470</v>
      </c>
      <c r="J1454" s="4">
        <v>0</v>
      </c>
      <c r="K1454" s="4">
        <v>0</v>
      </c>
      <c r="L1454" s="4">
        <v>-6.9909999999999997</v>
      </c>
      <c r="M1454" s="4">
        <v>-6.9909999999999997</v>
      </c>
      <c r="N1454" s="4">
        <v>-6.9909999999999997</v>
      </c>
      <c r="O1454" s="4">
        <v>-6.9909999999999997</v>
      </c>
      <c r="P1454" s="4">
        <v>-9</v>
      </c>
      <c r="Q1454" s="3" t="s">
        <v>26</v>
      </c>
      <c r="R1454" s="3">
        <v>0</v>
      </c>
      <c r="S1454" s="4">
        <v>0</v>
      </c>
      <c r="T1454" s="4">
        <v>29</v>
      </c>
      <c r="U1454" s="4">
        <v>66</v>
      </c>
      <c r="V1454" s="4">
        <v>0</v>
      </c>
      <c r="W1454" s="4">
        <v>307.83999999999997</v>
      </c>
      <c r="X1454" s="4">
        <v>234.24</v>
      </c>
      <c r="Y1454" s="4"/>
      <c r="Z1454" s="4">
        <v>373.49708348579259</v>
      </c>
      <c r="AA1454" s="4">
        <v>247.48951138739608</v>
      </c>
      <c r="AB1454" s="4">
        <v>0</v>
      </c>
      <c r="AC1454" s="4">
        <v>-2152.1094399999997</v>
      </c>
      <c r="AD1454" s="4">
        <v>-1637.5718400000001</v>
      </c>
      <c r="AE1454" s="4">
        <v>0</v>
      </c>
      <c r="AF1454" s="4">
        <v>-2611.1181106491758</v>
      </c>
      <c r="AG1454" s="4">
        <v>-1730.1991741092859</v>
      </c>
    </row>
    <row r="1455" spans="1:33" ht="11.25" customHeight="1" x14ac:dyDescent="0.25">
      <c r="A1455" s="3" t="s">
        <v>28</v>
      </c>
      <c r="B1455" s="3" t="s">
        <v>22</v>
      </c>
      <c r="C1455" s="3" t="s">
        <v>23</v>
      </c>
      <c r="D1455" s="3" t="s">
        <v>24</v>
      </c>
      <c r="E1455" s="3" t="s">
        <v>32</v>
      </c>
      <c r="F1455" s="3" t="s">
        <v>25</v>
      </c>
      <c r="G1455" s="3" t="s">
        <v>25</v>
      </c>
      <c r="H1455" s="3" t="s">
        <v>25</v>
      </c>
      <c r="I1455" s="6">
        <v>44470</v>
      </c>
      <c r="J1455" s="4">
        <v>0</v>
      </c>
      <c r="K1455" s="4">
        <v>0</v>
      </c>
      <c r="L1455" s="4">
        <v>2.5920000000000001</v>
      </c>
      <c r="M1455" s="4">
        <v>2.5920000000000001</v>
      </c>
      <c r="N1455" s="4">
        <v>2.5920000000000001</v>
      </c>
      <c r="O1455" s="4">
        <v>2.5920000000000001</v>
      </c>
      <c r="P1455" s="4">
        <v>25</v>
      </c>
      <c r="Q1455" s="3" t="s">
        <v>26</v>
      </c>
      <c r="R1455" s="3">
        <v>0</v>
      </c>
      <c r="S1455" s="4">
        <v>0</v>
      </c>
      <c r="T1455" s="4">
        <v>29</v>
      </c>
      <c r="U1455" s="4">
        <v>66</v>
      </c>
      <c r="V1455" s="4">
        <v>0</v>
      </c>
      <c r="W1455" s="4">
        <v>307.83999999999997</v>
      </c>
      <c r="X1455" s="4">
        <v>234.24</v>
      </c>
      <c r="Y1455" s="4"/>
      <c r="Z1455" s="4">
        <v>373.49708348579259</v>
      </c>
      <c r="AA1455" s="4">
        <v>247.48951138739608</v>
      </c>
      <c r="AB1455" s="4">
        <v>0</v>
      </c>
      <c r="AC1455" s="4">
        <v>797.92127999999991</v>
      </c>
      <c r="AD1455" s="4">
        <v>607.15008</v>
      </c>
      <c r="AE1455" s="4">
        <v>0</v>
      </c>
      <c r="AF1455" s="4">
        <v>968.10444039517438</v>
      </c>
      <c r="AG1455" s="4">
        <v>641.4928135161307</v>
      </c>
    </row>
    <row r="1456" spans="1:33" ht="11.25" customHeight="1" x14ac:dyDescent="0.25">
      <c r="A1456" s="3" t="s">
        <v>21</v>
      </c>
      <c r="B1456" s="3" t="s">
        <v>22</v>
      </c>
      <c r="C1456" s="3" t="s">
        <v>23</v>
      </c>
      <c r="D1456" s="3" t="s">
        <v>24</v>
      </c>
      <c r="E1456" s="3" t="s">
        <v>32</v>
      </c>
      <c r="F1456" s="3" t="s">
        <v>25</v>
      </c>
      <c r="G1456" s="3" t="s">
        <v>25</v>
      </c>
      <c r="H1456" s="3" t="s">
        <v>25</v>
      </c>
      <c r="I1456" s="6">
        <v>44501</v>
      </c>
      <c r="J1456" s="4">
        <v>0</v>
      </c>
      <c r="K1456" s="4">
        <v>0</v>
      </c>
      <c r="L1456" s="4">
        <v>1299.3150000000001</v>
      </c>
      <c r="M1456" s="4">
        <v>1299.3150000000001</v>
      </c>
      <c r="N1456" s="4">
        <v>1299.3150000000001</v>
      </c>
      <c r="O1456" s="4">
        <v>1299.3150000000001</v>
      </c>
      <c r="P1456" s="4">
        <v>12988</v>
      </c>
      <c r="Q1456" s="3" t="s">
        <v>26</v>
      </c>
      <c r="R1456" s="3">
        <v>0</v>
      </c>
      <c r="S1456" s="4">
        <v>0</v>
      </c>
      <c r="T1456" s="4">
        <v>29</v>
      </c>
      <c r="U1456" s="4">
        <v>66</v>
      </c>
      <c r="V1456" s="4">
        <v>0</v>
      </c>
      <c r="W1456" s="4">
        <v>307.83999999999997</v>
      </c>
      <c r="X1456" s="4">
        <v>234.24</v>
      </c>
      <c r="Y1456" s="4"/>
      <c r="Z1456" s="4">
        <v>373.49708348579259</v>
      </c>
      <c r="AA1456" s="4">
        <v>247.48951138739608</v>
      </c>
      <c r="AB1456" s="4">
        <v>0</v>
      </c>
      <c r="AC1456" s="4">
        <v>399981.12959999999</v>
      </c>
      <c r="AD1456" s="4">
        <v>304351.54560000001</v>
      </c>
      <c r="AE1456" s="4">
        <v>0</v>
      </c>
      <c r="AF1456" s="4">
        <v>485290.36302934261</v>
      </c>
      <c r="AG1456" s="4">
        <v>321566.83448831458</v>
      </c>
    </row>
    <row r="1457" spans="1:33" ht="11.25" customHeight="1" x14ac:dyDescent="0.25">
      <c r="A1457" s="3" t="s">
        <v>27</v>
      </c>
      <c r="B1457" s="3" t="s">
        <v>22</v>
      </c>
      <c r="C1457" s="3" t="s">
        <v>23</v>
      </c>
      <c r="D1457" s="3" t="s">
        <v>24</v>
      </c>
      <c r="E1457" s="3" t="s">
        <v>32</v>
      </c>
      <c r="F1457" s="3" t="s">
        <v>25</v>
      </c>
      <c r="G1457" s="3" t="s">
        <v>25</v>
      </c>
      <c r="H1457" s="3" t="s">
        <v>25</v>
      </c>
      <c r="I1457" s="6">
        <v>44501</v>
      </c>
      <c r="J1457" s="4">
        <v>0</v>
      </c>
      <c r="K1457" s="4">
        <v>0</v>
      </c>
      <c r="L1457" s="4">
        <v>-3.6970000000000001</v>
      </c>
      <c r="M1457" s="4">
        <v>-3.6970000000000001</v>
      </c>
      <c r="N1457" s="4">
        <v>-3.6970000000000001</v>
      </c>
      <c r="O1457" s="4">
        <v>-3.6970000000000001</v>
      </c>
      <c r="P1457" s="4">
        <v>-5</v>
      </c>
      <c r="Q1457" s="3" t="s">
        <v>26</v>
      </c>
      <c r="R1457" s="3">
        <v>0</v>
      </c>
      <c r="S1457" s="4">
        <v>0</v>
      </c>
      <c r="T1457" s="4">
        <v>29</v>
      </c>
      <c r="U1457" s="4">
        <v>66</v>
      </c>
      <c r="V1457" s="4">
        <v>0</v>
      </c>
      <c r="W1457" s="4">
        <v>307.83999999999997</v>
      </c>
      <c r="X1457" s="4">
        <v>234.24</v>
      </c>
      <c r="Y1457" s="4"/>
      <c r="Z1457" s="4">
        <v>373.49708348579259</v>
      </c>
      <c r="AA1457" s="4">
        <v>247.48951138739608</v>
      </c>
      <c r="AB1457" s="4">
        <v>0</v>
      </c>
      <c r="AC1457" s="4">
        <v>-1138.08448</v>
      </c>
      <c r="AD1457" s="4">
        <v>-865.9852800000001</v>
      </c>
      <c r="AE1457" s="4">
        <v>0</v>
      </c>
      <c r="AF1457" s="4">
        <v>-1380.8187176469753</v>
      </c>
      <c r="AG1457" s="4">
        <v>-914.96872359920337</v>
      </c>
    </row>
    <row r="1458" spans="1:33" ht="11.25" customHeight="1" x14ac:dyDescent="0.25">
      <c r="A1458" s="3" t="s">
        <v>28</v>
      </c>
      <c r="B1458" s="3" t="s">
        <v>22</v>
      </c>
      <c r="C1458" s="3" t="s">
        <v>23</v>
      </c>
      <c r="D1458" s="3" t="s">
        <v>24</v>
      </c>
      <c r="E1458" s="3" t="s">
        <v>32</v>
      </c>
      <c r="F1458" s="3" t="s">
        <v>25</v>
      </c>
      <c r="G1458" s="3" t="s">
        <v>25</v>
      </c>
      <c r="H1458" s="3" t="s">
        <v>25</v>
      </c>
      <c r="I1458" s="6">
        <v>44501</v>
      </c>
      <c r="J1458" s="4">
        <v>0</v>
      </c>
      <c r="K1458" s="4">
        <v>0</v>
      </c>
      <c r="L1458" s="4">
        <v>3.089</v>
      </c>
      <c r="M1458" s="4">
        <v>3.089</v>
      </c>
      <c r="N1458" s="4">
        <v>3.089</v>
      </c>
      <c r="O1458" s="4">
        <v>3.089</v>
      </c>
      <c r="P1458" s="4">
        <v>30</v>
      </c>
      <c r="Q1458" s="3" t="s">
        <v>26</v>
      </c>
      <c r="R1458" s="3">
        <v>0</v>
      </c>
      <c r="S1458" s="4">
        <v>0</v>
      </c>
      <c r="T1458" s="4">
        <v>29</v>
      </c>
      <c r="U1458" s="4">
        <v>66</v>
      </c>
      <c r="V1458" s="4">
        <v>0</v>
      </c>
      <c r="W1458" s="4">
        <v>307.83999999999997</v>
      </c>
      <c r="X1458" s="4">
        <v>234.24</v>
      </c>
      <c r="Y1458" s="4"/>
      <c r="Z1458" s="4">
        <v>373.49708348579259</v>
      </c>
      <c r="AA1458" s="4">
        <v>247.48951138739608</v>
      </c>
      <c r="AB1458" s="4">
        <v>0</v>
      </c>
      <c r="AC1458" s="4">
        <v>950.91775999999993</v>
      </c>
      <c r="AD1458" s="4">
        <v>723.56736000000001</v>
      </c>
      <c r="AE1458" s="4">
        <v>0</v>
      </c>
      <c r="AF1458" s="4">
        <v>1153.7324908876133</v>
      </c>
      <c r="AG1458" s="4">
        <v>764.49510067566644</v>
      </c>
    </row>
    <row r="1459" spans="1:33" ht="11.25" customHeight="1" x14ac:dyDescent="0.25">
      <c r="A1459" s="3" t="s">
        <v>21</v>
      </c>
      <c r="B1459" s="3" t="s">
        <v>22</v>
      </c>
      <c r="C1459" s="3" t="s">
        <v>23</v>
      </c>
      <c r="D1459" s="3" t="s">
        <v>24</v>
      </c>
      <c r="E1459" s="3" t="s">
        <v>32</v>
      </c>
      <c r="F1459" s="3" t="s">
        <v>25</v>
      </c>
      <c r="G1459" s="3" t="s">
        <v>25</v>
      </c>
      <c r="H1459" s="3" t="s">
        <v>25</v>
      </c>
      <c r="I1459" s="6">
        <v>44531</v>
      </c>
      <c r="J1459" s="4">
        <v>0</v>
      </c>
      <c r="K1459" s="4">
        <v>0</v>
      </c>
      <c r="L1459" s="4">
        <v>1451.0260000000001</v>
      </c>
      <c r="M1459" s="4">
        <v>1451.0260000000001</v>
      </c>
      <c r="N1459" s="4">
        <v>1451.0260000000001</v>
      </c>
      <c r="O1459" s="4">
        <v>1451.0260000000001</v>
      </c>
      <c r="P1459" s="4">
        <v>14328</v>
      </c>
      <c r="Q1459" s="3" t="s">
        <v>26</v>
      </c>
      <c r="R1459" s="3">
        <v>0</v>
      </c>
      <c r="S1459" s="4">
        <v>0</v>
      </c>
      <c r="T1459" s="4">
        <v>29</v>
      </c>
      <c r="U1459" s="4">
        <v>66</v>
      </c>
      <c r="V1459" s="4">
        <v>0</v>
      </c>
      <c r="W1459" s="4">
        <v>307.83999999999997</v>
      </c>
      <c r="X1459" s="4">
        <v>234.24</v>
      </c>
      <c r="Y1459" s="4"/>
      <c r="Z1459" s="4">
        <v>373.49708348579259</v>
      </c>
      <c r="AA1459" s="4">
        <v>247.48951138739608</v>
      </c>
      <c r="AB1459" s="4">
        <v>0</v>
      </c>
      <c r="AC1459" s="4">
        <v>446683.84383999999</v>
      </c>
      <c r="AD1459" s="4">
        <v>339888.33024000004</v>
      </c>
      <c r="AE1459" s="4">
        <v>0</v>
      </c>
      <c r="AF1459" s="4">
        <v>541953.9790620557</v>
      </c>
      <c r="AG1459" s="4">
        <v>359113.71575040778</v>
      </c>
    </row>
    <row r="1460" spans="1:33" ht="11.25" customHeight="1" x14ac:dyDescent="0.25">
      <c r="A1460" s="3" t="s">
        <v>27</v>
      </c>
      <c r="B1460" s="3" t="s">
        <v>22</v>
      </c>
      <c r="C1460" s="3" t="s">
        <v>23</v>
      </c>
      <c r="D1460" s="3" t="s">
        <v>24</v>
      </c>
      <c r="E1460" s="3" t="s">
        <v>32</v>
      </c>
      <c r="F1460" s="3" t="s">
        <v>25</v>
      </c>
      <c r="G1460" s="3" t="s">
        <v>25</v>
      </c>
      <c r="H1460" s="3" t="s">
        <v>25</v>
      </c>
      <c r="I1460" s="6">
        <v>44531</v>
      </c>
      <c r="J1460" s="4">
        <v>0</v>
      </c>
      <c r="K1460" s="4">
        <v>0</v>
      </c>
      <c r="L1460" s="4">
        <v>-7.14</v>
      </c>
      <c r="M1460" s="4">
        <v>-7.14</v>
      </c>
      <c r="N1460" s="4">
        <v>-7.14</v>
      </c>
      <c r="O1460" s="4">
        <v>-7.14</v>
      </c>
      <c r="P1460" s="4">
        <v>-4</v>
      </c>
      <c r="Q1460" s="3" t="s">
        <v>26</v>
      </c>
      <c r="R1460" s="3">
        <v>0</v>
      </c>
      <c r="S1460" s="4">
        <v>0</v>
      </c>
      <c r="T1460" s="4">
        <v>29</v>
      </c>
      <c r="U1460" s="4">
        <v>66</v>
      </c>
      <c r="V1460" s="4">
        <v>0</v>
      </c>
      <c r="W1460" s="4">
        <v>307.83999999999997</v>
      </c>
      <c r="X1460" s="4">
        <v>234.24</v>
      </c>
      <c r="Y1460" s="4"/>
      <c r="Z1460" s="4">
        <v>373.49708348579259</v>
      </c>
      <c r="AA1460" s="4">
        <v>247.48951138739608</v>
      </c>
      <c r="AB1460" s="4">
        <v>0</v>
      </c>
      <c r="AC1460" s="4">
        <v>-2197.9775999999997</v>
      </c>
      <c r="AD1460" s="4">
        <v>-1672.4736</v>
      </c>
      <c r="AE1460" s="4">
        <v>0</v>
      </c>
      <c r="AF1460" s="4">
        <v>-2666.7691760885591</v>
      </c>
      <c r="AG1460" s="4">
        <v>-1767.075111306008</v>
      </c>
    </row>
    <row r="1461" spans="1:33" ht="11.25" customHeight="1" x14ac:dyDescent="0.25">
      <c r="A1461" s="3" t="s">
        <v>28</v>
      </c>
      <c r="B1461" s="3" t="s">
        <v>22</v>
      </c>
      <c r="C1461" s="3" t="s">
        <v>23</v>
      </c>
      <c r="D1461" s="3" t="s">
        <v>24</v>
      </c>
      <c r="E1461" s="3" t="s">
        <v>32</v>
      </c>
      <c r="F1461" s="3" t="s">
        <v>25</v>
      </c>
      <c r="G1461" s="3" t="s">
        <v>25</v>
      </c>
      <c r="H1461" s="3" t="s">
        <v>25</v>
      </c>
      <c r="I1461" s="6">
        <v>44531</v>
      </c>
      <c r="J1461" s="4">
        <v>0</v>
      </c>
      <c r="K1461" s="4">
        <v>0</v>
      </c>
      <c r="L1461" s="4">
        <v>4.8970000000000002</v>
      </c>
      <c r="M1461" s="4">
        <v>4.8970000000000002</v>
      </c>
      <c r="N1461" s="4">
        <v>4.8970000000000002</v>
      </c>
      <c r="O1461" s="4">
        <v>4.8970000000000002</v>
      </c>
      <c r="P1461" s="4">
        <v>37</v>
      </c>
      <c r="Q1461" s="3" t="s">
        <v>26</v>
      </c>
      <c r="R1461" s="3">
        <v>0</v>
      </c>
      <c r="S1461" s="4">
        <v>0</v>
      </c>
      <c r="T1461" s="4">
        <v>29</v>
      </c>
      <c r="U1461" s="4">
        <v>66</v>
      </c>
      <c r="V1461" s="4">
        <v>0</v>
      </c>
      <c r="W1461" s="4">
        <v>307.83999999999997</v>
      </c>
      <c r="X1461" s="4">
        <v>234.24</v>
      </c>
      <c r="Y1461" s="4"/>
      <c r="Z1461" s="4">
        <v>373.49708348579259</v>
      </c>
      <c r="AA1461" s="4">
        <v>247.48951138739608</v>
      </c>
      <c r="AB1461" s="4">
        <v>0</v>
      </c>
      <c r="AC1461" s="4">
        <v>1507.4924799999999</v>
      </c>
      <c r="AD1461" s="4">
        <v>1147.0732800000001</v>
      </c>
      <c r="AE1461" s="4">
        <v>0</v>
      </c>
      <c r="AF1461" s="4">
        <v>1829.0152178299263</v>
      </c>
      <c r="AG1461" s="4">
        <v>1211.9561372640787</v>
      </c>
    </row>
    <row r="1462" spans="1:33" ht="11.25" customHeight="1" x14ac:dyDescent="0.25">
      <c r="A1462" s="3" t="s">
        <v>21</v>
      </c>
      <c r="B1462" s="3" t="s">
        <v>22</v>
      </c>
      <c r="C1462" s="3" t="s">
        <v>23</v>
      </c>
      <c r="D1462" s="3" t="s">
        <v>24</v>
      </c>
      <c r="E1462" s="3" t="s">
        <v>32</v>
      </c>
      <c r="F1462" s="3" t="s">
        <v>25</v>
      </c>
      <c r="G1462" s="3" t="s">
        <v>25</v>
      </c>
      <c r="H1462" s="3" t="s">
        <v>25</v>
      </c>
      <c r="I1462" s="6">
        <v>44562</v>
      </c>
      <c r="J1462" s="4">
        <v>0</v>
      </c>
      <c r="K1462" s="4">
        <v>0</v>
      </c>
      <c r="L1462" s="4">
        <v>1663.5</v>
      </c>
      <c r="M1462" s="4">
        <v>1663.5</v>
      </c>
      <c r="N1462" s="4">
        <v>1663.5</v>
      </c>
      <c r="O1462" s="4">
        <v>1663.5</v>
      </c>
      <c r="P1462" s="4">
        <v>16919</v>
      </c>
      <c r="Q1462" s="3" t="s">
        <v>26</v>
      </c>
      <c r="R1462" s="3">
        <v>0</v>
      </c>
      <c r="S1462" s="4">
        <v>0</v>
      </c>
      <c r="T1462" s="4">
        <v>29</v>
      </c>
      <c r="U1462" s="4">
        <v>66</v>
      </c>
      <c r="V1462" s="4">
        <v>0</v>
      </c>
      <c r="W1462" s="4">
        <v>307.83999999999997</v>
      </c>
      <c r="X1462" s="4">
        <v>234.24</v>
      </c>
      <c r="Y1462" s="4"/>
      <c r="Z1462" s="4">
        <v>373.49708348579259</v>
      </c>
      <c r="AA1462" s="4">
        <v>247.48951138739608</v>
      </c>
      <c r="AB1462" s="4">
        <v>0</v>
      </c>
      <c r="AC1462" s="4">
        <v>512091.83999999997</v>
      </c>
      <c r="AD1462" s="4">
        <v>389658.24</v>
      </c>
      <c r="AE1462" s="4">
        <v>0</v>
      </c>
      <c r="AF1462" s="4">
        <v>621312.39837861597</v>
      </c>
      <c r="AG1462" s="4">
        <v>411698.80219293339</v>
      </c>
    </row>
    <row r="1463" spans="1:33" ht="11.25" customHeight="1" x14ac:dyDescent="0.25">
      <c r="A1463" s="3" t="s">
        <v>27</v>
      </c>
      <c r="B1463" s="3" t="s">
        <v>22</v>
      </c>
      <c r="C1463" s="3" t="s">
        <v>23</v>
      </c>
      <c r="D1463" s="3" t="s">
        <v>24</v>
      </c>
      <c r="E1463" s="3" t="s">
        <v>32</v>
      </c>
      <c r="F1463" s="3" t="s">
        <v>25</v>
      </c>
      <c r="G1463" s="3" t="s">
        <v>25</v>
      </c>
      <c r="H1463" s="3" t="s">
        <v>25</v>
      </c>
      <c r="I1463" s="6">
        <v>44562</v>
      </c>
      <c r="J1463" s="4">
        <v>0</v>
      </c>
      <c r="K1463" s="4">
        <v>0</v>
      </c>
      <c r="L1463" s="4">
        <v>-1.9239999999999999</v>
      </c>
      <c r="M1463" s="4">
        <v>-1.9239999999999999</v>
      </c>
      <c r="N1463" s="4">
        <v>-1.9239999999999999</v>
      </c>
      <c r="O1463" s="4">
        <v>-1.9239999999999999</v>
      </c>
      <c r="P1463" s="4">
        <v>-7</v>
      </c>
      <c r="Q1463" s="3" t="s">
        <v>26</v>
      </c>
      <c r="R1463" s="3">
        <v>0</v>
      </c>
      <c r="S1463" s="4">
        <v>0</v>
      </c>
      <c r="T1463" s="4">
        <v>29</v>
      </c>
      <c r="U1463" s="4">
        <v>66</v>
      </c>
      <c r="V1463" s="4">
        <v>0</v>
      </c>
      <c r="W1463" s="4">
        <v>307.83999999999997</v>
      </c>
      <c r="X1463" s="4">
        <v>234.24</v>
      </c>
      <c r="Y1463" s="4"/>
      <c r="Z1463" s="4">
        <v>373.49708348579259</v>
      </c>
      <c r="AA1463" s="4">
        <v>247.48951138739608</v>
      </c>
      <c r="AB1463" s="4">
        <v>0</v>
      </c>
      <c r="AC1463" s="4">
        <v>-592.28415999999993</v>
      </c>
      <c r="AD1463" s="4">
        <v>-450.67775999999998</v>
      </c>
      <c r="AE1463" s="4">
        <v>0</v>
      </c>
      <c r="AF1463" s="4">
        <v>-718.60838862666492</v>
      </c>
      <c r="AG1463" s="4">
        <v>-476.16981990935005</v>
      </c>
    </row>
    <row r="1464" spans="1:33" ht="11.25" customHeight="1" x14ac:dyDescent="0.25">
      <c r="A1464" s="3" t="s">
        <v>28</v>
      </c>
      <c r="B1464" s="3" t="s">
        <v>22</v>
      </c>
      <c r="C1464" s="3" t="s">
        <v>23</v>
      </c>
      <c r="D1464" s="3" t="s">
        <v>24</v>
      </c>
      <c r="E1464" s="3" t="s">
        <v>32</v>
      </c>
      <c r="F1464" s="3" t="s">
        <v>25</v>
      </c>
      <c r="G1464" s="3" t="s">
        <v>25</v>
      </c>
      <c r="H1464" s="3" t="s">
        <v>25</v>
      </c>
      <c r="I1464" s="6">
        <v>44562</v>
      </c>
      <c r="J1464" s="4">
        <v>0</v>
      </c>
      <c r="K1464" s="4">
        <v>0</v>
      </c>
      <c r="L1464" s="4">
        <v>5.907</v>
      </c>
      <c r="M1464" s="4">
        <v>5.907</v>
      </c>
      <c r="N1464" s="4">
        <v>5.907</v>
      </c>
      <c r="O1464" s="4">
        <v>5.907</v>
      </c>
      <c r="P1464" s="4">
        <v>42</v>
      </c>
      <c r="Q1464" s="3" t="s">
        <v>26</v>
      </c>
      <c r="R1464" s="3">
        <v>0</v>
      </c>
      <c r="S1464" s="4">
        <v>0</v>
      </c>
      <c r="T1464" s="4">
        <v>29</v>
      </c>
      <c r="U1464" s="4">
        <v>66</v>
      </c>
      <c r="V1464" s="4">
        <v>0</v>
      </c>
      <c r="W1464" s="4">
        <v>307.83999999999997</v>
      </c>
      <c r="X1464" s="4">
        <v>234.24</v>
      </c>
      <c r="Y1464" s="4"/>
      <c r="Z1464" s="4">
        <v>373.49708348579259</v>
      </c>
      <c r="AA1464" s="4">
        <v>247.48951138739608</v>
      </c>
      <c r="AB1464" s="4">
        <v>0</v>
      </c>
      <c r="AC1464" s="4">
        <v>1818.4108799999999</v>
      </c>
      <c r="AD1464" s="4">
        <v>1383.6556800000001</v>
      </c>
      <c r="AE1464" s="4">
        <v>0</v>
      </c>
      <c r="AF1464" s="4">
        <v>2206.2472721505769</v>
      </c>
      <c r="AG1464" s="4">
        <v>1461.9205437653486</v>
      </c>
    </row>
    <row r="1465" spans="1:33" ht="11.25" customHeight="1" x14ac:dyDescent="0.25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32</v>
      </c>
      <c r="F1465" s="3" t="s">
        <v>25</v>
      </c>
      <c r="G1465" s="3" t="s">
        <v>25</v>
      </c>
      <c r="H1465" s="3" t="s">
        <v>25</v>
      </c>
      <c r="I1465" s="6">
        <v>44593</v>
      </c>
      <c r="J1465" s="4">
        <v>0</v>
      </c>
      <c r="K1465" s="4">
        <v>0</v>
      </c>
      <c r="L1465" s="4">
        <v>1648.4870000000001</v>
      </c>
      <c r="M1465" s="4">
        <v>1648.4870000000001</v>
      </c>
      <c r="N1465" s="4">
        <v>1648.4870000000001</v>
      </c>
      <c r="O1465" s="4">
        <v>1648.4870000000001</v>
      </c>
      <c r="P1465" s="4">
        <v>16331</v>
      </c>
      <c r="Q1465" s="3" t="s">
        <v>26</v>
      </c>
      <c r="R1465" s="3">
        <v>0</v>
      </c>
      <c r="S1465" s="4">
        <v>0</v>
      </c>
      <c r="T1465" s="4">
        <v>29</v>
      </c>
      <c r="U1465" s="4">
        <v>66</v>
      </c>
      <c r="V1465" s="4">
        <v>0</v>
      </c>
      <c r="W1465" s="4">
        <v>307.83999999999997</v>
      </c>
      <c r="X1465" s="4">
        <v>234.24</v>
      </c>
      <c r="Y1465" s="4"/>
      <c r="Z1465" s="4">
        <v>373.49708348579259</v>
      </c>
      <c r="AA1465" s="4">
        <v>247.48951138739608</v>
      </c>
      <c r="AB1465" s="4">
        <v>0</v>
      </c>
      <c r="AC1465" s="4">
        <v>507470.23807999998</v>
      </c>
      <c r="AD1465" s="4">
        <v>386141.59488000005</v>
      </c>
      <c r="AE1465" s="4">
        <v>0</v>
      </c>
      <c r="AF1465" s="4">
        <v>615705.08666424383</v>
      </c>
      <c r="AG1465" s="4">
        <v>407983.2421584744</v>
      </c>
    </row>
    <row r="1466" spans="1:33" ht="11.25" customHeight="1" x14ac:dyDescent="0.25">
      <c r="A1466" s="3" t="s">
        <v>27</v>
      </c>
      <c r="B1466" s="3" t="s">
        <v>22</v>
      </c>
      <c r="C1466" s="3" t="s">
        <v>23</v>
      </c>
      <c r="D1466" s="3" t="s">
        <v>24</v>
      </c>
      <c r="E1466" s="3" t="s">
        <v>32</v>
      </c>
      <c r="F1466" s="3" t="s">
        <v>25</v>
      </c>
      <c r="G1466" s="3" t="s">
        <v>25</v>
      </c>
      <c r="H1466" s="3" t="s">
        <v>25</v>
      </c>
      <c r="I1466" s="6">
        <v>44593</v>
      </c>
      <c r="J1466" s="4">
        <v>0</v>
      </c>
      <c r="K1466" s="4">
        <v>0</v>
      </c>
      <c r="L1466" s="4">
        <v>-1.3140000000000001</v>
      </c>
      <c r="M1466" s="4">
        <v>-1.3140000000000001</v>
      </c>
      <c r="N1466" s="4">
        <v>-1.3140000000000001</v>
      </c>
      <c r="O1466" s="4">
        <v>-1.3140000000000001</v>
      </c>
      <c r="P1466" s="4">
        <v>-5</v>
      </c>
      <c r="Q1466" s="3" t="s">
        <v>26</v>
      </c>
      <c r="R1466" s="3">
        <v>0</v>
      </c>
      <c r="S1466" s="4">
        <v>0</v>
      </c>
      <c r="T1466" s="4">
        <v>29</v>
      </c>
      <c r="U1466" s="4">
        <v>66</v>
      </c>
      <c r="V1466" s="4">
        <v>0</v>
      </c>
      <c r="W1466" s="4">
        <v>307.83999999999997</v>
      </c>
      <c r="X1466" s="4">
        <v>234.24</v>
      </c>
      <c r="Y1466" s="4"/>
      <c r="Z1466" s="4">
        <v>373.49708348579259</v>
      </c>
      <c r="AA1466" s="4">
        <v>247.48951138739608</v>
      </c>
      <c r="AB1466" s="4">
        <v>0</v>
      </c>
      <c r="AC1466" s="4">
        <v>-404.50175999999999</v>
      </c>
      <c r="AD1466" s="4">
        <v>-307.79136</v>
      </c>
      <c r="AE1466" s="4">
        <v>0</v>
      </c>
      <c r="AF1466" s="4">
        <v>-490.77516770033151</v>
      </c>
      <c r="AG1466" s="4">
        <v>-325.20121796303846</v>
      </c>
    </row>
    <row r="1467" spans="1:33" ht="11.25" customHeight="1" x14ac:dyDescent="0.25">
      <c r="A1467" s="3" t="s">
        <v>28</v>
      </c>
      <c r="B1467" s="3" t="s">
        <v>22</v>
      </c>
      <c r="C1467" s="3" t="s">
        <v>23</v>
      </c>
      <c r="D1467" s="3" t="s">
        <v>24</v>
      </c>
      <c r="E1467" s="3" t="s">
        <v>32</v>
      </c>
      <c r="F1467" s="3" t="s">
        <v>25</v>
      </c>
      <c r="G1467" s="3" t="s">
        <v>25</v>
      </c>
      <c r="H1467" s="3" t="s">
        <v>25</v>
      </c>
      <c r="I1467" s="6">
        <v>44593</v>
      </c>
      <c r="J1467" s="4">
        <v>0</v>
      </c>
      <c r="K1467" s="4">
        <v>0</v>
      </c>
      <c r="L1467" s="4">
        <v>4.5259999999999998</v>
      </c>
      <c r="M1467" s="4">
        <v>4.5259999999999998</v>
      </c>
      <c r="N1467" s="4">
        <v>4.5259999999999998</v>
      </c>
      <c r="O1467" s="4">
        <v>4.5259999999999998</v>
      </c>
      <c r="P1467" s="4">
        <v>47</v>
      </c>
      <c r="Q1467" s="3" t="s">
        <v>26</v>
      </c>
      <c r="R1467" s="3">
        <v>0</v>
      </c>
      <c r="S1467" s="4">
        <v>0</v>
      </c>
      <c r="T1467" s="4">
        <v>29</v>
      </c>
      <c r="U1467" s="4">
        <v>66</v>
      </c>
      <c r="V1467" s="4">
        <v>0</v>
      </c>
      <c r="W1467" s="4">
        <v>307.83999999999997</v>
      </c>
      <c r="X1467" s="4">
        <v>234.24</v>
      </c>
      <c r="Y1467" s="4"/>
      <c r="Z1467" s="4">
        <v>373.49708348579259</v>
      </c>
      <c r="AA1467" s="4">
        <v>247.48951138739608</v>
      </c>
      <c r="AB1467" s="4">
        <v>0</v>
      </c>
      <c r="AC1467" s="4">
        <v>1393.2838399999998</v>
      </c>
      <c r="AD1467" s="4">
        <v>1060.1702399999999</v>
      </c>
      <c r="AE1467" s="4">
        <v>0</v>
      </c>
      <c r="AF1467" s="4">
        <v>1690.4477998566972</v>
      </c>
      <c r="AG1467" s="4">
        <v>1120.1375285393547</v>
      </c>
    </row>
    <row r="1468" spans="1:33" ht="11.25" customHeight="1" x14ac:dyDescent="0.25">
      <c r="A1468" s="3" t="s">
        <v>56</v>
      </c>
      <c r="B1468" s="3" t="s">
        <v>22</v>
      </c>
      <c r="C1468" s="3" t="s">
        <v>23</v>
      </c>
      <c r="D1468" s="3" t="s">
        <v>24</v>
      </c>
      <c r="E1468" s="3" t="s">
        <v>32</v>
      </c>
      <c r="F1468" s="3" t="s">
        <v>25</v>
      </c>
      <c r="G1468" s="3" t="s">
        <v>25</v>
      </c>
      <c r="H1468" s="3" t="s">
        <v>25</v>
      </c>
      <c r="I1468" s="6">
        <v>44621</v>
      </c>
      <c r="J1468" s="4">
        <v>0</v>
      </c>
      <c r="K1468" s="4">
        <v>0</v>
      </c>
      <c r="L1468" s="4">
        <v>1648.4870000000001</v>
      </c>
      <c r="M1468" s="4">
        <v>1648.4870000000001</v>
      </c>
      <c r="N1468" s="4">
        <v>1648.4870000000001</v>
      </c>
      <c r="O1468" s="4">
        <v>1648.4870000000001</v>
      </c>
      <c r="P1468" s="4">
        <v>16331</v>
      </c>
      <c r="Q1468" s="3" t="s">
        <v>26</v>
      </c>
      <c r="R1468" s="3">
        <v>0</v>
      </c>
      <c r="S1468" s="4">
        <v>0</v>
      </c>
      <c r="T1468" s="4">
        <v>29</v>
      </c>
      <c r="U1468" s="4">
        <v>66</v>
      </c>
      <c r="V1468" s="4">
        <v>0</v>
      </c>
      <c r="W1468" s="4">
        <v>307.83999999999997</v>
      </c>
      <c r="X1468" s="4">
        <v>234.24</v>
      </c>
      <c r="Y1468" s="4"/>
      <c r="Z1468" s="4">
        <v>373.49708348579259</v>
      </c>
      <c r="AA1468" s="4">
        <v>247.48951138739608</v>
      </c>
      <c r="AB1468" s="4">
        <v>0</v>
      </c>
      <c r="AC1468" s="4">
        <v>507470.23807999998</v>
      </c>
      <c r="AD1468" s="4">
        <v>386141.59488000005</v>
      </c>
      <c r="AE1468" s="4">
        <v>0</v>
      </c>
      <c r="AF1468" s="4">
        <v>615705.08666424383</v>
      </c>
      <c r="AG1468" s="4">
        <v>407983.2421584744</v>
      </c>
    </row>
    <row r="1469" spans="1:33" ht="11.25" customHeight="1" x14ac:dyDescent="0.25">
      <c r="A1469" s="3" t="s">
        <v>56</v>
      </c>
      <c r="B1469" s="3" t="s">
        <v>22</v>
      </c>
      <c r="C1469" s="3" t="s">
        <v>23</v>
      </c>
      <c r="D1469" s="3" t="s">
        <v>24</v>
      </c>
      <c r="E1469" s="3" t="s">
        <v>32</v>
      </c>
      <c r="F1469" s="3" t="s">
        <v>25</v>
      </c>
      <c r="G1469" s="3" t="s">
        <v>25</v>
      </c>
      <c r="H1469" s="3" t="s">
        <v>25</v>
      </c>
      <c r="I1469" s="6">
        <v>44621</v>
      </c>
      <c r="J1469" s="4">
        <v>0</v>
      </c>
      <c r="K1469" s="4">
        <v>0</v>
      </c>
      <c r="L1469" s="4">
        <v>-1.3140000000000001</v>
      </c>
      <c r="M1469" s="4">
        <v>-1.3140000000000001</v>
      </c>
      <c r="N1469" s="4">
        <v>-1.3140000000000001</v>
      </c>
      <c r="O1469" s="4">
        <v>-1.3140000000000001</v>
      </c>
      <c r="P1469" s="4">
        <v>-5</v>
      </c>
      <c r="Q1469" s="3" t="s">
        <v>26</v>
      </c>
      <c r="R1469" s="3">
        <v>0</v>
      </c>
      <c r="S1469" s="4">
        <v>0</v>
      </c>
      <c r="T1469" s="4">
        <v>29</v>
      </c>
      <c r="U1469" s="4">
        <v>66</v>
      </c>
      <c r="V1469" s="4">
        <v>0</v>
      </c>
      <c r="W1469" s="4">
        <v>307.83999999999997</v>
      </c>
      <c r="X1469" s="4">
        <v>234.24</v>
      </c>
      <c r="Y1469" s="4"/>
      <c r="Z1469" s="4">
        <v>373.49708348579259</v>
      </c>
      <c r="AA1469" s="4">
        <v>247.48951138739608</v>
      </c>
      <c r="AB1469" s="4">
        <v>0</v>
      </c>
      <c r="AC1469" s="4">
        <v>-404.50175999999999</v>
      </c>
      <c r="AD1469" s="4">
        <v>-307.79136</v>
      </c>
      <c r="AE1469" s="4">
        <v>0</v>
      </c>
      <c r="AF1469" s="4">
        <v>-490.77516770033151</v>
      </c>
      <c r="AG1469" s="4">
        <v>-325.20121796303846</v>
      </c>
    </row>
    <row r="1470" spans="1:33" ht="11.25" customHeight="1" x14ac:dyDescent="0.25">
      <c r="A1470" s="3" t="s">
        <v>56</v>
      </c>
      <c r="B1470" s="3" t="s">
        <v>22</v>
      </c>
      <c r="C1470" s="3" t="s">
        <v>23</v>
      </c>
      <c r="D1470" s="3" t="s">
        <v>24</v>
      </c>
      <c r="E1470" s="3" t="s">
        <v>32</v>
      </c>
      <c r="F1470" s="3" t="s">
        <v>25</v>
      </c>
      <c r="G1470" s="3" t="s">
        <v>25</v>
      </c>
      <c r="H1470" s="3" t="s">
        <v>25</v>
      </c>
      <c r="I1470" s="6">
        <v>44621</v>
      </c>
      <c r="J1470" s="4">
        <v>0</v>
      </c>
      <c r="K1470" s="4">
        <v>0</v>
      </c>
      <c r="L1470" s="4">
        <v>4.5259999999999998</v>
      </c>
      <c r="M1470" s="4">
        <v>4.5259999999999998</v>
      </c>
      <c r="N1470" s="4">
        <v>4.5259999999999998</v>
      </c>
      <c r="O1470" s="4">
        <v>4.5259999999999998</v>
      </c>
      <c r="P1470" s="4">
        <v>47</v>
      </c>
      <c r="Q1470" s="3" t="s">
        <v>26</v>
      </c>
      <c r="R1470" s="3">
        <v>0</v>
      </c>
      <c r="S1470" s="4">
        <v>0</v>
      </c>
      <c r="T1470" s="4">
        <v>29</v>
      </c>
      <c r="U1470" s="4">
        <v>66</v>
      </c>
      <c r="V1470" s="4">
        <v>0</v>
      </c>
      <c r="W1470" s="4">
        <v>307.83999999999997</v>
      </c>
      <c r="X1470" s="4">
        <v>234.24</v>
      </c>
      <c r="Y1470" s="4"/>
      <c r="Z1470" s="4">
        <v>373.49708348579259</v>
      </c>
      <c r="AA1470" s="4">
        <v>247.48951138739608</v>
      </c>
      <c r="AB1470" s="4">
        <v>0</v>
      </c>
      <c r="AC1470" s="4">
        <v>1393.2838399999998</v>
      </c>
      <c r="AD1470" s="4">
        <v>1060.1702399999999</v>
      </c>
      <c r="AE1470" s="4">
        <v>0</v>
      </c>
      <c r="AF1470" s="4">
        <v>1690.4477998566972</v>
      </c>
      <c r="AG1470" s="4">
        <v>1120.1375285393547</v>
      </c>
    </row>
    <row r="1471" spans="1:33" ht="11.25" customHeight="1" x14ac:dyDescent="0.25">
      <c r="A1471" s="3" t="s">
        <v>21</v>
      </c>
      <c r="B1471" s="3" t="s">
        <v>44</v>
      </c>
      <c r="C1471" s="3" t="s">
        <v>33</v>
      </c>
      <c r="D1471" s="3" t="s">
        <v>45</v>
      </c>
      <c r="E1471" s="3" t="s">
        <v>53</v>
      </c>
      <c r="F1471" s="3" t="s">
        <v>54</v>
      </c>
      <c r="G1471" s="3" t="s">
        <v>25</v>
      </c>
      <c r="H1471" s="3" t="s">
        <v>35</v>
      </c>
      <c r="I1471" s="6">
        <v>44470</v>
      </c>
      <c r="J1471" s="4">
        <v>0</v>
      </c>
      <c r="K1471" s="4">
        <v>0</v>
      </c>
      <c r="L1471" s="4">
        <v>4.3259999999999996</v>
      </c>
      <c r="M1471" s="4">
        <v>4.3259999999999996</v>
      </c>
      <c r="N1471" s="4">
        <v>4.3259999999999996</v>
      </c>
      <c r="O1471" s="4">
        <v>4.3259999999999996</v>
      </c>
      <c r="P1471" s="4">
        <v>0</v>
      </c>
      <c r="Q1471" s="3" t="s">
        <v>26</v>
      </c>
      <c r="R1471" s="3">
        <v>0</v>
      </c>
      <c r="S1471" s="4">
        <v>0</v>
      </c>
      <c r="T1471" s="4">
        <v>33</v>
      </c>
      <c r="U1471" s="4">
        <v>71</v>
      </c>
      <c r="V1471" s="4">
        <v>0</v>
      </c>
      <c r="W1471" s="4">
        <v>208.22</v>
      </c>
      <c r="X1471" s="4">
        <v>195.63</v>
      </c>
      <c r="Y1471" s="4"/>
      <c r="Z1471" s="4">
        <v>278.05963435186703</v>
      </c>
      <c r="AA1471" s="4">
        <v>221.19470459108535</v>
      </c>
      <c r="AB1471" s="4">
        <v>0</v>
      </c>
      <c r="AC1471" s="4">
        <v>900.7597199999999</v>
      </c>
      <c r="AD1471" s="4">
        <v>846.29537999999991</v>
      </c>
      <c r="AE1471" s="4">
        <v>0</v>
      </c>
      <c r="AF1471" s="4">
        <v>1202.8859782061768</v>
      </c>
      <c r="AG1471" s="4">
        <v>956.88829206103514</v>
      </c>
    </row>
    <row r="1472" spans="1:33" ht="11.25" customHeight="1" x14ac:dyDescent="0.25">
      <c r="A1472" s="3" t="s">
        <v>21</v>
      </c>
      <c r="B1472" s="3" t="s">
        <v>44</v>
      </c>
      <c r="C1472" s="3" t="s">
        <v>33</v>
      </c>
      <c r="D1472" s="3" t="s">
        <v>45</v>
      </c>
      <c r="E1472" s="3" t="s">
        <v>53</v>
      </c>
      <c r="F1472" s="3" t="s">
        <v>54</v>
      </c>
      <c r="G1472" s="3" t="s">
        <v>25</v>
      </c>
      <c r="H1472" s="3" t="s">
        <v>35</v>
      </c>
      <c r="I1472" s="6">
        <v>44501</v>
      </c>
      <c r="J1472" s="4">
        <v>0</v>
      </c>
      <c r="K1472" s="4">
        <v>0</v>
      </c>
      <c r="L1472" s="4">
        <v>4.3259999999999996</v>
      </c>
      <c r="M1472" s="4">
        <v>4.3259999999999996</v>
      </c>
      <c r="N1472" s="4">
        <v>4.3259999999999996</v>
      </c>
      <c r="O1472" s="4">
        <v>4.3259999999999996</v>
      </c>
      <c r="P1472" s="4">
        <v>0</v>
      </c>
      <c r="Q1472" s="3" t="s">
        <v>26</v>
      </c>
      <c r="R1472" s="3">
        <v>0</v>
      </c>
      <c r="S1472" s="4">
        <v>0</v>
      </c>
      <c r="T1472" s="4">
        <v>33</v>
      </c>
      <c r="U1472" s="4">
        <v>71</v>
      </c>
      <c r="V1472" s="4">
        <v>0</v>
      </c>
      <c r="W1472" s="4">
        <v>208.22</v>
      </c>
      <c r="X1472" s="4">
        <v>195.63</v>
      </c>
      <c r="Y1472" s="4"/>
      <c r="Z1472" s="4">
        <v>278.05963435186703</v>
      </c>
      <c r="AA1472" s="4">
        <v>221.19470459108535</v>
      </c>
      <c r="AB1472" s="4">
        <v>0</v>
      </c>
      <c r="AC1472" s="4">
        <v>900.7597199999999</v>
      </c>
      <c r="AD1472" s="4">
        <v>846.29537999999991</v>
      </c>
      <c r="AE1472" s="4">
        <v>0</v>
      </c>
      <c r="AF1472" s="4">
        <v>1202.8859782061768</v>
      </c>
      <c r="AG1472" s="4">
        <v>956.88829206103514</v>
      </c>
    </row>
    <row r="1473" spans="1:33" ht="11.25" customHeight="1" x14ac:dyDescent="0.25">
      <c r="A1473" s="3" t="s">
        <v>21</v>
      </c>
      <c r="B1473" s="3" t="s">
        <v>44</v>
      </c>
      <c r="C1473" s="3" t="s">
        <v>33</v>
      </c>
      <c r="D1473" s="3" t="s">
        <v>45</v>
      </c>
      <c r="E1473" s="3" t="s">
        <v>53</v>
      </c>
      <c r="F1473" s="3" t="s">
        <v>54</v>
      </c>
      <c r="G1473" s="3" t="s">
        <v>25</v>
      </c>
      <c r="H1473" s="3" t="s">
        <v>35</v>
      </c>
      <c r="I1473" s="6">
        <v>44531</v>
      </c>
      <c r="J1473" s="4">
        <v>0</v>
      </c>
      <c r="K1473" s="4">
        <v>0</v>
      </c>
      <c r="L1473" s="4">
        <v>40.625999999999998</v>
      </c>
      <c r="M1473" s="4">
        <v>40.625999999999998</v>
      </c>
      <c r="N1473" s="4">
        <v>40.625999999999998</v>
      </c>
      <c r="O1473" s="4">
        <v>40.625999999999998</v>
      </c>
      <c r="P1473" s="4">
        <v>0</v>
      </c>
      <c r="Q1473" s="3" t="s">
        <v>26</v>
      </c>
      <c r="R1473" s="3">
        <v>0</v>
      </c>
      <c r="S1473" s="4">
        <v>0</v>
      </c>
      <c r="T1473" s="4">
        <v>33</v>
      </c>
      <c r="U1473" s="4">
        <v>71</v>
      </c>
      <c r="V1473" s="4">
        <v>0</v>
      </c>
      <c r="W1473" s="4">
        <v>208.22</v>
      </c>
      <c r="X1473" s="4">
        <v>195.63</v>
      </c>
      <c r="Y1473" s="4"/>
      <c r="Z1473" s="4">
        <v>278.05963435186703</v>
      </c>
      <c r="AA1473" s="4">
        <v>221.19470459108535</v>
      </c>
      <c r="AB1473" s="4">
        <v>0</v>
      </c>
      <c r="AC1473" s="4">
        <v>8459.1457199999986</v>
      </c>
      <c r="AD1473" s="4">
        <v>7947.6643799999993</v>
      </c>
      <c r="AE1473" s="4">
        <v>0</v>
      </c>
      <c r="AF1473" s="4">
        <v>11296.45070517895</v>
      </c>
      <c r="AG1473" s="4">
        <v>8986.2560687174337</v>
      </c>
    </row>
    <row r="1474" spans="1:33" ht="11.25" customHeight="1" x14ac:dyDescent="0.25">
      <c r="A1474" s="3" t="s">
        <v>21</v>
      </c>
      <c r="B1474" s="3" t="s">
        <v>44</v>
      </c>
      <c r="C1474" s="3" t="s">
        <v>33</v>
      </c>
      <c r="D1474" s="3" t="s">
        <v>45</v>
      </c>
      <c r="E1474" s="3" t="s">
        <v>53</v>
      </c>
      <c r="F1474" s="3" t="s">
        <v>54</v>
      </c>
      <c r="G1474" s="3" t="s">
        <v>25</v>
      </c>
      <c r="H1474" s="3" t="s">
        <v>35</v>
      </c>
      <c r="I1474" s="6">
        <v>44562</v>
      </c>
      <c r="J1474" s="4">
        <v>0</v>
      </c>
      <c r="K1474" s="4">
        <v>0</v>
      </c>
      <c r="L1474" s="4">
        <v>36.36</v>
      </c>
      <c r="M1474" s="4">
        <v>36.36</v>
      </c>
      <c r="N1474" s="4">
        <v>36.36</v>
      </c>
      <c r="O1474" s="4">
        <v>36.36</v>
      </c>
      <c r="P1474" s="4">
        <v>0</v>
      </c>
      <c r="Q1474" s="3" t="s">
        <v>26</v>
      </c>
      <c r="R1474" s="3">
        <v>0</v>
      </c>
      <c r="S1474" s="4">
        <v>0</v>
      </c>
      <c r="T1474" s="4">
        <v>33</v>
      </c>
      <c r="U1474" s="4">
        <v>71</v>
      </c>
      <c r="V1474" s="4">
        <v>0</v>
      </c>
      <c r="W1474" s="4">
        <v>208.22</v>
      </c>
      <c r="X1474" s="4">
        <v>195.63</v>
      </c>
      <c r="Y1474" s="4"/>
      <c r="Z1474" s="4">
        <v>278.05963435186703</v>
      </c>
      <c r="AA1474" s="4">
        <v>221.19470459108535</v>
      </c>
      <c r="AB1474" s="4">
        <v>0</v>
      </c>
      <c r="AC1474" s="4">
        <v>7570.8791999999994</v>
      </c>
      <c r="AD1474" s="4">
        <v>7113.1067999999996</v>
      </c>
      <c r="AE1474" s="4">
        <v>0</v>
      </c>
      <c r="AF1474" s="4">
        <v>10110.248305033885</v>
      </c>
      <c r="AG1474" s="4">
        <v>8042.6394589318634</v>
      </c>
    </row>
    <row r="1475" spans="1:33" ht="11.25" customHeight="1" x14ac:dyDescent="0.25">
      <c r="A1475" s="3" t="s">
        <v>27</v>
      </c>
      <c r="B1475" s="3" t="s">
        <v>44</v>
      </c>
      <c r="C1475" s="3" t="s">
        <v>33</v>
      </c>
      <c r="D1475" s="3" t="s">
        <v>45</v>
      </c>
      <c r="E1475" s="3" t="s">
        <v>53</v>
      </c>
      <c r="F1475" s="3" t="s">
        <v>54</v>
      </c>
      <c r="G1475" s="3" t="s">
        <v>25</v>
      </c>
      <c r="H1475" s="3" t="s">
        <v>35</v>
      </c>
      <c r="I1475" s="6">
        <v>44593</v>
      </c>
      <c r="J1475" s="4">
        <v>0</v>
      </c>
      <c r="K1475" s="4">
        <v>0</v>
      </c>
      <c r="L1475" s="4">
        <v>-36.64</v>
      </c>
      <c r="M1475" s="4">
        <v>-36.64</v>
      </c>
      <c r="N1475" s="4">
        <v>-36.64</v>
      </c>
      <c r="O1475" s="4">
        <v>-36.64</v>
      </c>
      <c r="P1475" s="4">
        <v>0</v>
      </c>
      <c r="Q1475" s="3" t="s">
        <v>26</v>
      </c>
      <c r="R1475" s="3">
        <v>0</v>
      </c>
      <c r="S1475" s="4">
        <v>0</v>
      </c>
      <c r="T1475" s="4">
        <v>33</v>
      </c>
      <c r="U1475" s="4">
        <v>71</v>
      </c>
      <c r="V1475" s="4">
        <v>0</v>
      </c>
      <c r="W1475" s="4">
        <v>208.22</v>
      </c>
      <c r="X1475" s="4">
        <v>195.63</v>
      </c>
      <c r="Y1475" s="4"/>
      <c r="Z1475" s="4">
        <v>278.05963435186703</v>
      </c>
      <c r="AA1475" s="4">
        <v>221.19470459108535</v>
      </c>
      <c r="AB1475" s="4">
        <v>0</v>
      </c>
      <c r="AC1475" s="4">
        <v>-7629.1808000000001</v>
      </c>
      <c r="AD1475" s="4">
        <v>-7167.8832000000002</v>
      </c>
      <c r="AE1475" s="4">
        <v>0</v>
      </c>
      <c r="AF1475" s="4">
        <v>-10188.105002652408</v>
      </c>
      <c r="AG1475" s="4">
        <v>-8104.5739762173671</v>
      </c>
    </row>
    <row r="1476" spans="1:33" ht="11.25" customHeight="1" x14ac:dyDescent="0.25">
      <c r="A1476" s="3" t="s">
        <v>56</v>
      </c>
      <c r="B1476" s="3" t="s">
        <v>44</v>
      </c>
      <c r="C1476" s="3" t="s">
        <v>33</v>
      </c>
      <c r="D1476" s="3" t="s">
        <v>45</v>
      </c>
      <c r="E1476" s="3" t="s">
        <v>53</v>
      </c>
      <c r="F1476" s="3" t="s">
        <v>54</v>
      </c>
      <c r="G1476" s="3" t="s">
        <v>25</v>
      </c>
      <c r="H1476" s="3" t="s">
        <v>35</v>
      </c>
      <c r="I1476" s="6">
        <v>44621</v>
      </c>
      <c r="J1476" s="4">
        <v>0</v>
      </c>
      <c r="K1476" s="4">
        <v>0</v>
      </c>
      <c r="L1476" s="4">
        <v>-36.64</v>
      </c>
      <c r="M1476" s="4">
        <v>-36.64</v>
      </c>
      <c r="N1476" s="4">
        <v>-36.64</v>
      </c>
      <c r="O1476" s="4">
        <v>-36.64</v>
      </c>
      <c r="P1476" s="4">
        <v>0</v>
      </c>
      <c r="Q1476" s="3" t="s">
        <v>26</v>
      </c>
      <c r="R1476" s="3">
        <v>0</v>
      </c>
      <c r="S1476" s="4">
        <v>0</v>
      </c>
      <c r="T1476" s="4">
        <v>33</v>
      </c>
      <c r="U1476" s="4">
        <v>71</v>
      </c>
      <c r="V1476" s="4">
        <v>0</v>
      </c>
      <c r="W1476" s="4">
        <v>208.22</v>
      </c>
      <c r="X1476" s="4">
        <v>195.63</v>
      </c>
      <c r="Y1476" s="4"/>
      <c r="Z1476" s="4">
        <v>278.05963435186703</v>
      </c>
      <c r="AA1476" s="4">
        <v>221.19470459108535</v>
      </c>
      <c r="AB1476" s="4">
        <v>0</v>
      </c>
      <c r="AC1476" s="4">
        <v>-7629.1808000000001</v>
      </c>
      <c r="AD1476" s="4">
        <v>-7167.8832000000002</v>
      </c>
      <c r="AE1476" s="4">
        <v>0</v>
      </c>
      <c r="AF1476" s="4">
        <v>-10188.105002652408</v>
      </c>
      <c r="AG1476" s="4">
        <v>-8104.5739762173671</v>
      </c>
    </row>
    <row r="1477" spans="1:33" ht="11.25" customHeight="1" x14ac:dyDescent="0.25">
      <c r="A1477" s="3" t="s">
        <v>21</v>
      </c>
      <c r="B1477" s="3" t="s">
        <v>44</v>
      </c>
      <c r="C1477" s="3" t="s">
        <v>33</v>
      </c>
      <c r="D1477" s="3" t="s">
        <v>45</v>
      </c>
      <c r="E1477" s="3" t="s">
        <v>53</v>
      </c>
      <c r="F1477" s="3" t="s">
        <v>54</v>
      </c>
      <c r="G1477" s="3" t="s">
        <v>25</v>
      </c>
      <c r="H1477" s="3" t="s">
        <v>36</v>
      </c>
      <c r="I1477" s="6">
        <v>44470</v>
      </c>
      <c r="J1477" s="4">
        <v>0</v>
      </c>
      <c r="K1477" s="4">
        <v>0</v>
      </c>
      <c r="L1477" s="4">
        <v>7.4999999999999997E-2</v>
      </c>
      <c r="M1477" s="4">
        <v>7.4999999999999997E-2</v>
      </c>
      <c r="N1477" s="4">
        <v>7.4999999999999997E-2</v>
      </c>
      <c r="O1477" s="4">
        <v>7.4999999999999997E-2</v>
      </c>
      <c r="P1477" s="4">
        <v>0</v>
      </c>
      <c r="Q1477" s="3" t="s">
        <v>26</v>
      </c>
      <c r="R1477" s="3">
        <v>0</v>
      </c>
      <c r="S1477" s="4">
        <v>0</v>
      </c>
      <c r="T1477" s="4">
        <v>52</v>
      </c>
      <c r="U1477" s="4">
        <v>70</v>
      </c>
      <c r="V1477" s="4">
        <v>0</v>
      </c>
      <c r="W1477" s="4">
        <v>497.52</v>
      </c>
      <c r="X1477" s="4">
        <v>195.63</v>
      </c>
      <c r="Y1477" s="4"/>
      <c r="Z1477" s="4">
        <v>657.87886732764605</v>
      </c>
      <c r="AA1477" s="4">
        <v>221.19470459108535</v>
      </c>
      <c r="AB1477" s="4">
        <v>0</v>
      </c>
      <c r="AC1477" s="4">
        <v>37.314</v>
      </c>
      <c r="AD1477" s="4">
        <v>14.672249999999998</v>
      </c>
      <c r="AE1477" s="4">
        <v>0</v>
      </c>
      <c r="AF1477" s="4">
        <v>49.340915049573454</v>
      </c>
      <c r="AG1477" s="4">
        <v>16.589602844331402</v>
      </c>
    </row>
    <row r="1478" spans="1:33" ht="11.25" customHeight="1" x14ac:dyDescent="0.25">
      <c r="A1478" s="3" t="s">
        <v>21</v>
      </c>
      <c r="B1478" s="3" t="s">
        <v>44</v>
      </c>
      <c r="C1478" s="3" t="s">
        <v>33</v>
      </c>
      <c r="D1478" s="3" t="s">
        <v>45</v>
      </c>
      <c r="E1478" s="3" t="s">
        <v>53</v>
      </c>
      <c r="F1478" s="3" t="s">
        <v>54</v>
      </c>
      <c r="G1478" s="3" t="s">
        <v>25</v>
      </c>
      <c r="H1478" s="3" t="s">
        <v>36</v>
      </c>
      <c r="I1478" s="6">
        <v>44501</v>
      </c>
      <c r="J1478" s="4">
        <v>0</v>
      </c>
      <c r="K1478" s="4">
        <v>0</v>
      </c>
      <c r="L1478" s="4">
        <v>7.4999999999999997E-2</v>
      </c>
      <c r="M1478" s="4">
        <v>7.4999999999999997E-2</v>
      </c>
      <c r="N1478" s="4">
        <v>7.4999999999999997E-2</v>
      </c>
      <c r="O1478" s="4">
        <v>7.4999999999999997E-2</v>
      </c>
      <c r="P1478" s="4">
        <v>0</v>
      </c>
      <c r="Q1478" s="3" t="s">
        <v>26</v>
      </c>
      <c r="R1478" s="3">
        <v>0</v>
      </c>
      <c r="S1478" s="4">
        <v>0</v>
      </c>
      <c r="T1478" s="4">
        <v>52</v>
      </c>
      <c r="U1478" s="4">
        <v>70</v>
      </c>
      <c r="V1478" s="4">
        <v>0</v>
      </c>
      <c r="W1478" s="4">
        <v>497.52</v>
      </c>
      <c r="X1478" s="4">
        <v>195.63</v>
      </c>
      <c r="Y1478" s="4"/>
      <c r="Z1478" s="4">
        <v>657.87886732764605</v>
      </c>
      <c r="AA1478" s="4">
        <v>221.19470459108535</v>
      </c>
      <c r="AB1478" s="4">
        <v>0</v>
      </c>
      <c r="AC1478" s="4">
        <v>37.314</v>
      </c>
      <c r="AD1478" s="4">
        <v>14.672249999999998</v>
      </c>
      <c r="AE1478" s="4">
        <v>0</v>
      </c>
      <c r="AF1478" s="4">
        <v>49.340915049573454</v>
      </c>
      <c r="AG1478" s="4">
        <v>16.589602844331402</v>
      </c>
    </row>
    <row r="1479" spans="1:33" ht="11.25" customHeight="1" x14ac:dyDescent="0.25">
      <c r="A1479" s="3" t="s">
        <v>21</v>
      </c>
      <c r="B1479" s="3" t="s">
        <v>44</v>
      </c>
      <c r="C1479" s="3" t="s">
        <v>33</v>
      </c>
      <c r="D1479" s="3" t="s">
        <v>45</v>
      </c>
      <c r="E1479" s="3" t="s">
        <v>53</v>
      </c>
      <c r="F1479" s="3" t="s">
        <v>54</v>
      </c>
      <c r="G1479" s="3" t="s">
        <v>25</v>
      </c>
      <c r="H1479" s="3" t="s">
        <v>36</v>
      </c>
      <c r="I1479" s="6">
        <v>44531</v>
      </c>
      <c r="J1479" s="4">
        <v>0</v>
      </c>
      <c r="K1479" s="4">
        <v>0</v>
      </c>
      <c r="L1479" s="4">
        <v>0.17499999999999999</v>
      </c>
      <c r="M1479" s="4">
        <v>0.17499999999999999</v>
      </c>
      <c r="N1479" s="4">
        <v>0.17499999999999999</v>
      </c>
      <c r="O1479" s="4">
        <v>0.17499999999999999</v>
      </c>
      <c r="P1479" s="4">
        <v>0</v>
      </c>
      <c r="Q1479" s="3" t="s">
        <v>26</v>
      </c>
      <c r="R1479" s="3">
        <v>0</v>
      </c>
      <c r="S1479" s="4">
        <v>0</v>
      </c>
      <c r="T1479" s="4">
        <v>52</v>
      </c>
      <c r="U1479" s="4">
        <v>70</v>
      </c>
      <c r="V1479" s="4">
        <v>0</v>
      </c>
      <c r="W1479" s="4">
        <v>497.52</v>
      </c>
      <c r="X1479" s="4">
        <v>195.63</v>
      </c>
      <c r="Y1479" s="4"/>
      <c r="Z1479" s="4">
        <v>657.87886732764605</v>
      </c>
      <c r="AA1479" s="4">
        <v>221.19470459108535</v>
      </c>
      <c r="AB1479" s="4">
        <v>0</v>
      </c>
      <c r="AC1479" s="4">
        <v>87.065999999999988</v>
      </c>
      <c r="AD1479" s="4">
        <v>34.235249999999994</v>
      </c>
      <c r="AE1479" s="4">
        <v>0</v>
      </c>
      <c r="AF1479" s="4">
        <v>115.12880178233804</v>
      </c>
      <c r="AG1479" s="4">
        <v>38.709073303439936</v>
      </c>
    </row>
    <row r="1480" spans="1:33" ht="11.25" customHeight="1" x14ac:dyDescent="0.25">
      <c r="A1480" s="3" t="s">
        <v>21</v>
      </c>
      <c r="B1480" s="3" t="s">
        <v>44</v>
      </c>
      <c r="C1480" s="3" t="s">
        <v>33</v>
      </c>
      <c r="D1480" s="3" t="s">
        <v>45</v>
      </c>
      <c r="E1480" s="3" t="s">
        <v>53</v>
      </c>
      <c r="F1480" s="3" t="s">
        <v>54</v>
      </c>
      <c r="G1480" s="3" t="s">
        <v>25</v>
      </c>
      <c r="H1480" s="3" t="s">
        <v>36</v>
      </c>
      <c r="I1480" s="6">
        <v>44562</v>
      </c>
      <c r="J1480" s="4">
        <v>0</v>
      </c>
      <c r="K1480" s="4">
        <v>0</v>
      </c>
      <c r="L1480" s="4">
        <v>0.02</v>
      </c>
      <c r="M1480" s="4">
        <v>0.02</v>
      </c>
      <c r="N1480" s="4">
        <v>0.02</v>
      </c>
      <c r="O1480" s="4">
        <v>0.02</v>
      </c>
      <c r="P1480" s="4">
        <v>0</v>
      </c>
      <c r="Q1480" s="3" t="s">
        <v>26</v>
      </c>
      <c r="R1480" s="3">
        <v>0</v>
      </c>
      <c r="S1480" s="4">
        <v>0</v>
      </c>
      <c r="T1480" s="4">
        <v>52</v>
      </c>
      <c r="U1480" s="4">
        <v>70</v>
      </c>
      <c r="V1480" s="4">
        <v>0</v>
      </c>
      <c r="W1480" s="4">
        <v>497.52</v>
      </c>
      <c r="X1480" s="4">
        <v>195.63</v>
      </c>
      <c r="Y1480" s="4"/>
      <c r="Z1480" s="4">
        <v>657.87886732764605</v>
      </c>
      <c r="AA1480" s="4">
        <v>221.19470459108535</v>
      </c>
      <c r="AB1480" s="4">
        <v>0</v>
      </c>
      <c r="AC1480" s="4">
        <v>9.9504000000000001</v>
      </c>
      <c r="AD1480" s="4">
        <v>3.9125999999999999</v>
      </c>
      <c r="AE1480" s="4">
        <v>0</v>
      </c>
      <c r="AF1480" s="4">
        <v>13.157577346552921</v>
      </c>
      <c r="AG1480" s="4">
        <v>4.4238940918217073</v>
      </c>
    </row>
    <row r="1481" spans="1:33" ht="11.25" customHeight="1" x14ac:dyDescent="0.25">
      <c r="A1481" s="3" t="s">
        <v>21</v>
      </c>
      <c r="B1481" s="3" t="s">
        <v>44</v>
      </c>
      <c r="C1481" s="3" t="s">
        <v>33</v>
      </c>
      <c r="D1481" s="3" t="s">
        <v>45</v>
      </c>
      <c r="E1481" s="3" t="s">
        <v>53</v>
      </c>
      <c r="F1481" s="3" t="s">
        <v>54</v>
      </c>
      <c r="G1481" s="3" t="s">
        <v>25</v>
      </c>
      <c r="H1481" s="3" t="s">
        <v>34</v>
      </c>
      <c r="I1481" s="6">
        <v>44531</v>
      </c>
      <c r="J1481" s="4">
        <v>0</v>
      </c>
      <c r="K1481" s="4">
        <v>0</v>
      </c>
      <c r="L1481" s="4">
        <v>0.04</v>
      </c>
      <c r="M1481" s="4">
        <v>0.04</v>
      </c>
      <c r="N1481" s="4">
        <v>0.04</v>
      </c>
      <c r="O1481" s="4">
        <v>0.04</v>
      </c>
      <c r="P1481" s="4">
        <v>0</v>
      </c>
      <c r="Q1481" s="3" t="s">
        <v>26</v>
      </c>
      <c r="R1481" s="3">
        <v>0</v>
      </c>
      <c r="S1481" s="4">
        <v>0</v>
      </c>
      <c r="T1481" s="4">
        <v>51</v>
      </c>
      <c r="U1481" s="4">
        <v>69</v>
      </c>
      <c r="V1481" s="4">
        <v>0</v>
      </c>
      <c r="W1481" s="4">
        <v>786.82</v>
      </c>
      <c r="X1481" s="4">
        <v>321.64</v>
      </c>
      <c r="Y1481" s="4"/>
      <c r="Z1481" s="4">
        <v>1037.6976569703704</v>
      </c>
      <c r="AA1481" s="4">
        <v>358.53993794788886</v>
      </c>
      <c r="AB1481" s="4">
        <v>0</v>
      </c>
      <c r="AC1481" s="4">
        <v>31.472800000000003</v>
      </c>
      <c r="AD1481" s="4">
        <v>12.865600000000001</v>
      </c>
      <c r="AE1481" s="4">
        <v>0</v>
      </c>
      <c r="AF1481" s="4">
        <v>41.507906278814815</v>
      </c>
      <c r="AG1481" s="4">
        <v>14.341597517915554</v>
      </c>
    </row>
    <row r="1482" spans="1:33" ht="11.25" customHeight="1" x14ac:dyDescent="0.25">
      <c r="A1482" s="3" t="s">
        <v>21</v>
      </c>
      <c r="B1482" s="3" t="s">
        <v>44</v>
      </c>
      <c r="C1482" s="3" t="s">
        <v>33</v>
      </c>
      <c r="D1482" s="3" t="s">
        <v>45</v>
      </c>
      <c r="E1482" s="3" t="s">
        <v>53</v>
      </c>
      <c r="F1482" s="3" t="s">
        <v>54</v>
      </c>
      <c r="G1482" s="3" t="s">
        <v>25</v>
      </c>
      <c r="H1482" s="3" t="s">
        <v>34</v>
      </c>
      <c r="I1482" s="6">
        <v>44562</v>
      </c>
      <c r="J1482" s="4">
        <v>0</v>
      </c>
      <c r="K1482" s="4">
        <v>0</v>
      </c>
      <c r="L1482" s="4">
        <v>0.04</v>
      </c>
      <c r="M1482" s="4">
        <v>0.04</v>
      </c>
      <c r="N1482" s="4">
        <v>0.04</v>
      </c>
      <c r="O1482" s="4">
        <v>0.04</v>
      </c>
      <c r="P1482" s="4">
        <v>0</v>
      </c>
      <c r="Q1482" s="3" t="s">
        <v>26</v>
      </c>
      <c r="R1482" s="3">
        <v>0</v>
      </c>
      <c r="S1482" s="4">
        <v>0</v>
      </c>
      <c r="T1482" s="4">
        <v>51</v>
      </c>
      <c r="U1482" s="4">
        <v>69</v>
      </c>
      <c r="V1482" s="4">
        <v>0</v>
      </c>
      <c r="W1482" s="4">
        <v>786.82</v>
      </c>
      <c r="X1482" s="4">
        <v>321.64</v>
      </c>
      <c r="Y1482" s="4"/>
      <c r="Z1482" s="4">
        <v>1037.6976569703704</v>
      </c>
      <c r="AA1482" s="4">
        <v>358.53993794788886</v>
      </c>
      <c r="AB1482" s="4">
        <v>0</v>
      </c>
      <c r="AC1482" s="4">
        <v>31.472800000000003</v>
      </c>
      <c r="AD1482" s="4">
        <v>12.865600000000001</v>
      </c>
      <c r="AE1482" s="4">
        <v>0</v>
      </c>
      <c r="AF1482" s="4">
        <v>41.507906278814815</v>
      </c>
      <c r="AG1482" s="4">
        <v>14.341597517915554</v>
      </c>
    </row>
    <row r="1483" spans="1:33" ht="11.25" customHeight="1" x14ac:dyDescent="0.25">
      <c r="A1483" s="3" t="s">
        <v>21</v>
      </c>
      <c r="B1483" s="3" t="s">
        <v>44</v>
      </c>
      <c r="C1483" s="3" t="s">
        <v>33</v>
      </c>
      <c r="D1483" s="3" t="s">
        <v>45</v>
      </c>
      <c r="E1483" s="3" t="s">
        <v>53</v>
      </c>
      <c r="F1483" s="3" t="s">
        <v>55</v>
      </c>
      <c r="G1483" s="3" t="s">
        <v>25</v>
      </c>
      <c r="H1483" s="3" t="s">
        <v>35</v>
      </c>
      <c r="I1483" s="6">
        <v>44593</v>
      </c>
      <c r="J1483" s="4">
        <v>0</v>
      </c>
      <c r="K1483" s="4">
        <v>0</v>
      </c>
      <c r="L1483" s="4">
        <v>42.04</v>
      </c>
      <c r="M1483" s="4">
        <v>4.2039999999999997</v>
      </c>
      <c r="N1483" s="4">
        <v>42.04</v>
      </c>
      <c r="O1483" s="4">
        <v>4.2039999999999997</v>
      </c>
      <c r="P1483" s="4">
        <v>0</v>
      </c>
      <c r="Q1483" s="3" t="s">
        <v>26</v>
      </c>
      <c r="R1483" s="3">
        <v>0</v>
      </c>
      <c r="S1483" s="4">
        <v>0</v>
      </c>
      <c r="T1483" s="4">
        <v>33</v>
      </c>
      <c r="U1483" s="4">
        <v>71</v>
      </c>
      <c r="V1483" s="4">
        <v>0</v>
      </c>
      <c r="W1483" s="4">
        <v>208.22</v>
      </c>
      <c r="X1483" s="4">
        <v>195.63</v>
      </c>
      <c r="Y1483" s="4"/>
      <c r="Z1483" s="4">
        <v>278.05963435186703</v>
      </c>
      <c r="AA1483" s="4">
        <v>221.19470459108535</v>
      </c>
      <c r="AB1483" s="4">
        <v>0</v>
      </c>
      <c r="AC1483" s="4">
        <v>875.35687999999993</v>
      </c>
      <c r="AD1483" s="4">
        <v>822.42851999999993</v>
      </c>
      <c r="AE1483" s="4">
        <v>0</v>
      </c>
      <c r="AF1483" s="4">
        <v>1168.962702815249</v>
      </c>
      <c r="AG1483" s="4">
        <v>929.90253810092281</v>
      </c>
    </row>
    <row r="1484" spans="1:33" ht="11.25" customHeight="1" x14ac:dyDescent="0.25">
      <c r="A1484" s="3" t="s">
        <v>27</v>
      </c>
      <c r="B1484" s="3" t="s">
        <v>44</v>
      </c>
      <c r="C1484" s="3" t="s">
        <v>33</v>
      </c>
      <c r="D1484" s="3" t="s">
        <v>45</v>
      </c>
      <c r="E1484" s="3" t="s">
        <v>53</v>
      </c>
      <c r="F1484" s="3" t="s">
        <v>55</v>
      </c>
      <c r="G1484" s="3" t="s">
        <v>25</v>
      </c>
      <c r="H1484" s="3" t="s">
        <v>35</v>
      </c>
      <c r="I1484" s="6">
        <v>44593</v>
      </c>
      <c r="J1484" s="4">
        <v>0</v>
      </c>
      <c r="K1484" s="4">
        <v>0</v>
      </c>
      <c r="L1484" s="4">
        <v>36.64</v>
      </c>
      <c r="M1484" s="4">
        <v>36.64</v>
      </c>
      <c r="N1484" s="4">
        <v>36.64</v>
      </c>
      <c r="O1484" s="4">
        <v>36.64</v>
      </c>
      <c r="P1484" s="4">
        <v>0</v>
      </c>
      <c r="Q1484" s="3" t="s">
        <v>26</v>
      </c>
      <c r="R1484" s="3">
        <v>0</v>
      </c>
      <c r="S1484" s="4">
        <v>0</v>
      </c>
      <c r="T1484" s="4">
        <v>33</v>
      </c>
      <c r="U1484" s="4">
        <v>71</v>
      </c>
      <c r="V1484" s="4">
        <v>0</v>
      </c>
      <c r="W1484" s="4">
        <v>208.22</v>
      </c>
      <c r="X1484" s="4">
        <v>195.63</v>
      </c>
      <c r="Y1484" s="4"/>
      <c r="Z1484" s="4">
        <v>278.05963435186703</v>
      </c>
      <c r="AA1484" s="4">
        <v>221.19470459108535</v>
      </c>
      <c r="AB1484" s="4">
        <v>0</v>
      </c>
      <c r="AC1484" s="4">
        <v>7629.1808000000001</v>
      </c>
      <c r="AD1484" s="4">
        <v>7167.8832000000002</v>
      </c>
      <c r="AE1484" s="4">
        <v>0</v>
      </c>
      <c r="AF1484" s="4">
        <v>10188.105002652408</v>
      </c>
      <c r="AG1484" s="4">
        <v>8104.5739762173671</v>
      </c>
    </row>
    <row r="1485" spans="1:33" ht="11.25" customHeight="1" x14ac:dyDescent="0.25">
      <c r="A1485" s="3" t="s">
        <v>56</v>
      </c>
      <c r="B1485" s="3" t="s">
        <v>44</v>
      </c>
      <c r="C1485" s="3" t="s">
        <v>33</v>
      </c>
      <c r="D1485" s="3" t="s">
        <v>45</v>
      </c>
      <c r="E1485" s="3" t="s">
        <v>53</v>
      </c>
      <c r="F1485" s="3" t="s">
        <v>55</v>
      </c>
      <c r="G1485" s="3" t="s">
        <v>25</v>
      </c>
      <c r="H1485" s="3" t="s">
        <v>35</v>
      </c>
      <c r="I1485" s="6">
        <v>44621</v>
      </c>
      <c r="J1485" s="4">
        <v>0</v>
      </c>
      <c r="K1485" s="4">
        <v>0</v>
      </c>
      <c r="L1485" s="4">
        <v>42.04</v>
      </c>
      <c r="M1485" s="4">
        <v>4.2039999999999997</v>
      </c>
      <c r="N1485" s="4">
        <v>42.04</v>
      </c>
      <c r="O1485" s="4">
        <v>4.2039999999999997</v>
      </c>
      <c r="P1485" s="4">
        <v>0</v>
      </c>
      <c r="Q1485" s="3" t="s">
        <v>26</v>
      </c>
      <c r="R1485" s="3">
        <v>0</v>
      </c>
      <c r="S1485" s="4">
        <v>0</v>
      </c>
      <c r="T1485" s="4">
        <v>33</v>
      </c>
      <c r="U1485" s="4">
        <v>71</v>
      </c>
      <c r="V1485" s="4">
        <v>0</v>
      </c>
      <c r="W1485" s="4">
        <v>208.22</v>
      </c>
      <c r="X1485" s="4">
        <v>195.63</v>
      </c>
      <c r="Y1485" s="4"/>
      <c r="Z1485" s="4">
        <v>278.05963435186703</v>
      </c>
      <c r="AA1485" s="4">
        <v>221.19470459108535</v>
      </c>
      <c r="AB1485" s="4">
        <v>0</v>
      </c>
      <c r="AC1485" s="4">
        <v>875.35687999999993</v>
      </c>
      <c r="AD1485" s="4">
        <v>822.42851999999993</v>
      </c>
      <c r="AE1485" s="4">
        <v>0</v>
      </c>
      <c r="AF1485" s="4">
        <v>1168.962702815249</v>
      </c>
      <c r="AG1485" s="4">
        <v>929.90253810092281</v>
      </c>
    </row>
    <row r="1486" spans="1:33" ht="11.25" customHeight="1" x14ac:dyDescent="0.25">
      <c r="A1486" s="3" t="s">
        <v>56</v>
      </c>
      <c r="B1486" s="3" t="s">
        <v>44</v>
      </c>
      <c r="C1486" s="3" t="s">
        <v>33</v>
      </c>
      <c r="D1486" s="3" t="s">
        <v>45</v>
      </c>
      <c r="E1486" s="3" t="s">
        <v>53</v>
      </c>
      <c r="F1486" s="3" t="s">
        <v>55</v>
      </c>
      <c r="G1486" s="3" t="s">
        <v>25</v>
      </c>
      <c r="H1486" s="3" t="s">
        <v>35</v>
      </c>
      <c r="I1486" s="6">
        <v>44621</v>
      </c>
      <c r="J1486" s="4">
        <v>0</v>
      </c>
      <c r="K1486" s="4">
        <v>0</v>
      </c>
      <c r="L1486" s="4">
        <v>36.64</v>
      </c>
      <c r="M1486" s="4">
        <v>36.64</v>
      </c>
      <c r="N1486" s="4">
        <v>36.64</v>
      </c>
      <c r="O1486" s="4">
        <v>36.64</v>
      </c>
      <c r="P1486" s="4">
        <v>0</v>
      </c>
      <c r="Q1486" s="3" t="s">
        <v>26</v>
      </c>
      <c r="R1486" s="3">
        <v>0</v>
      </c>
      <c r="S1486" s="4">
        <v>0</v>
      </c>
      <c r="T1486" s="4">
        <v>33</v>
      </c>
      <c r="U1486" s="4">
        <v>71</v>
      </c>
      <c r="V1486" s="4">
        <v>0</v>
      </c>
      <c r="W1486" s="4">
        <v>208.22</v>
      </c>
      <c r="X1486" s="4">
        <v>195.63</v>
      </c>
      <c r="Y1486" s="4"/>
      <c r="Z1486" s="4">
        <v>278.05963435186703</v>
      </c>
      <c r="AA1486" s="4">
        <v>221.19470459108535</v>
      </c>
      <c r="AB1486" s="4">
        <v>0</v>
      </c>
      <c r="AC1486" s="4">
        <v>7629.1808000000001</v>
      </c>
      <c r="AD1486" s="4">
        <v>7167.8832000000002</v>
      </c>
      <c r="AE1486" s="4">
        <v>0</v>
      </c>
      <c r="AF1486" s="4">
        <v>10188.105002652408</v>
      </c>
      <c r="AG1486" s="4">
        <v>8104.5739762173671</v>
      </c>
    </row>
    <row r="1487" spans="1:33" ht="11.25" customHeight="1" x14ac:dyDescent="0.25">
      <c r="A1487" s="3" t="s">
        <v>21</v>
      </c>
      <c r="B1487" s="3" t="s">
        <v>44</v>
      </c>
      <c r="C1487" s="3" t="s">
        <v>33</v>
      </c>
      <c r="D1487" s="3" t="s">
        <v>45</v>
      </c>
      <c r="E1487" s="3" t="s">
        <v>25</v>
      </c>
      <c r="F1487" s="3" t="s">
        <v>25</v>
      </c>
      <c r="G1487" s="3" t="s">
        <v>25</v>
      </c>
      <c r="H1487" s="3" t="s">
        <v>35</v>
      </c>
      <c r="I1487" s="6">
        <v>44287</v>
      </c>
      <c r="J1487" s="4">
        <v>0</v>
      </c>
      <c r="K1487" s="4">
        <v>0</v>
      </c>
      <c r="L1487" s="4">
        <v>1.82</v>
      </c>
      <c r="M1487" s="4">
        <v>1.82</v>
      </c>
      <c r="N1487" s="4">
        <v>1.82</v>
      </c>
      <c r="O1487" s="4">
        <v>1.82</v>
      </c>
      <c r="P1487" s="4">
        <v>0</v>
      </c>
      <c r="Q1487" s="3" t="s">
        <v>26</v>
      </c>
      <c r="R1487" s="3">
        <v>0</v>
      </c>
      <c r="S1487" s="4">
        <v>0</v>
      </c>
      <c r="T1487" s="4">
        <v>33</v>
      </c>
      <c r="U1487" s="4">
        <v>71</v>
      </c>
      <c r="V1487" s="4">
        <v>0</v>
      </c>
      <c r="W1487" s="4">
        <v>208.22</v>
      </c>
      <c r="X1487" s="4">
        <v>195.63</v>
      </c>
      <c r="Y1487" s="4"/>
      <c r="Z1487" s="4">
        <v>278.05963435186703</v>
      </c>
      <c r="AA1487" s="4">
        <v>221.19470459108535</v>
      </c>
      <c r="AB1487" s="4">
        <v>0</v>
      </c>
      <c r="AC1487" s="4">
        <v>378.96039999999999</v>
      </c>
      <c r="AD1487" s="4">
        <v>356.04660000000001</v>
      </c>
      <c r="AE1487" s="4">
        <v>0</v>
      </c>
      <c r="AF1487" s="4">
        <v>506.06853452039803</v>
      </c>
      <c r="AG1487" s="4">
        <v>402.57436235577535</v>
      </c>
    </row>
    <row r="1488" spans="1:33" ht="11.25" customHeight="1" x14ac:dyDescent="0.25">
      <c r="A1488" s="3" t="s">
        <v>21</v>
      </c>
      <c r="B1488" s="3" t="s">
        <v>44</v>
      </c>
      <c r="C1488" s="3" t="s">
        <v>33</v>
      </c>
      <c r="D1488" s="3" t="s">
        <v>45</v>
      </c>
      <c r="E1488" s="3" t="s">
        <v>25</v>
      </c>
      <c r="F1488" s="3" t="s">
        <v>25</v>
      </c>
      <c r="G1488" s="3" t="s">
        <v>25</v>
      </c>
      <c r="H1488" s="3" t="s">
        <v>35</v>
      </c>
      <c r="I1488" s="6">
        <v>44317</v>
      </c>
      <c r="J1488" s="4">
        <v>0</v>
      </c>
      <c r="K1488" s="4">
        <v>0</v>
      </c>
      <c r="L1488" s="4">
        <v>0.80300000000000005</v>
      </c>
      <c r="M1488" s="4">
        <v>0.80300000000000005</v>
      </c>
      <c r="N1488" s="4">
        <v>0.80300000000000005</v>
      </c>
      <c r="O1488" s="4">
        <v>0.80300000000000005</v>
      </c>
      <c r="P1488" s="4">
        <v>0</v>
      </c>
      <c r="Q1488" s="3" t="s">
        <v>26</v>
      </c>
      <c r="R1488" s="3">
        <v>0</v>
      </c>
      <c r="S1488" s="4">
        <v>0</v>
      </c>
      <c r="T1488" s="4">
        <v>33</v>
      </c>
      <c r="U1488" s="4">
        <v>71</v>
      </c>
      <c r="V1488" s="4">
        <v>0</v>
      </c>
      <c r="W1488" s="4">
        <v>208.22</v>
      </c>
      <c r="X1488" s="4">
        <v>195.63</v>
      </c>
      <c r="Y1488" s="4"/>
      <c r="Z1488" s="4">
        <v>278.05963435186703</v>
      </c>
      <c r="AA1488" s="4">
        <v>221.19470459108535</v>
      </c>
      <c r="AB1488" s="4">
        <v>0</v>
      </c>
      <c r="AC1488" s="4">
        <v>167.20066</v>
      </c>
      <c r="AD1488" s="4">
        <v>157.09089</v>
      </c>
      <c r="AE1488" s="4">
        <v>0</v>
      </c>
      <c r="AF1488" s="4">
        <v>223.28188638454924</v>
      </c>
      <c r="AG1488" s="4">
        <v>177.61934778664155</v>
      </c>
    </row>
    <row r="1489" spans="1:33" ht="11.25" customHeight="1" x14ac:dyDescent="0.25">
      <c r="A1489" s="3" t="s">
        <v>21</v>
      </c>
      <c r="B1489" s="3" t="s">
        <v>44</v>
      </c>
      <c r="C1489" s="3" t="s">
        <v>33</v>
      </c>
      <c r="D1489" s="3" t="s">
        <v>45</v>
      </c>
      <c r="E1489" s="3" t="s">
        <v>25</v>
      </c>
      <c r="F1489" s="3" t="s">
        <v>25</v>
      </c>
      <c r="G1489" s="3" t="s">
        <v>25</v>
      </c>
      <c r="H1489" s="3" t="s">
        <v>35</v>
      </c>
      <c r="I1489" s="6">
        <v>44348</v>
      </c>
      <c r="J1489" s="4">
        <v>0</v>
      </c>
      <c r="K1489" s="4">
        <v>0</v>
      </c>
      <c r="L1489" s="4">
        <v>0.92800000000000005</v>
      </c>
      <c r="M1489" s="4">
        <v>0.92800000000000005</v>
      </c>
      <c r="N1489" s="4">
        <v>0.92800000000000005</v>
      </c>
      <c r="O1489" s="4">
        <v>0.92800000000000005</v>
      </c>
      <c r="P1489" s="4">
        <v>0</v>
      </c>
      <c r="Q1489" s="3" t="s">
        <v>26</v>
      </c>
      <c r="R1489" s="3">
        <v>0</v>
      </c>
      <c r="S1489" s="4">
        <v>0</v>
      </c>
      <c r="T1489" s="4">
        <v>33</v>
      </c>
      <c r="U1489" s="4">
        <v>71</v>
      </c>
      <c r="V1489" s="4">
        <v>0</v>
      </c>
      <c r="W1489" s="4">
        <v>208.22</v>
      </c>
      <c r="X1489" s="4">
        <v>195.63</v>
      </c>
      <c r="Y1489" s="4"/>
      <c r="Z1489" s="4">
        <v>278.05963435186703</v>
      </c>
      <c r="AA1489" s="4">
        <v>221.19470459108535</v>
      </c>
      <c r="AB1489" s="4">
        <v>0</v>
      </c>
      <c r="AC1489" s="4">
        <v>193.22816</v>
      </c>
      <c r="AD1489" s="4">
        <v>181.54464000000002</v>
      </c>
      <c r="AE1489" s="4">
        <v>0</v>
      </c>
      <c r="AF1489" s="4">
        <v>258.0393406785326</v>
      </c>
      <c r="AG1489" s="4">
        <v>205.26868586052723</v>
      </c>
    </row>
    <row r="1490" spans="1:33" ht="11.25" customHeight="1" x14ac:dyDescent="0.25">
      <c r="A1490" s="3" t="s">
        <v>21</v>
      </c>
      <c r="B1490" s="3" t="s">
        <v>44</v>
      </c>
      <c r="C1490" s="3" t="s">
        <v>33</v>
      </c>
      <c r="D1490" s="3" t="s">
        <v>45</v>
      </c>
      <c r="E1490" s="3" t="s">
        <v>25</v>
      </c>
      <c r="F1490" s="3" t="s">
        <v>25</v>
      </c>
      <c r="G1490" s="3" t="s">
        <v>25</v>
      </c>
      <c r="H1490" s="3" t="s">
        <v>35</v>
      </c>
      <c r="I1490" s="6">
        <v>44378</v>
      </c>
      <c r="J1490" s="4">
        <v>0</v>
      </c>
      <c r="K1490" s="4">
        <v>0</v>
      </c>
      <c r="L1490" s="4">
        <v>0.55600000000000005</v>
      </c>
      <c r="M1490" s="4">
        <v>0.55600000000000005</v>
      </c>
      <c r="N1490" s="4">
        <v>0.55600000000000005</v>
      </c>
      <c r="O1490" s="4">
        <v>0.55600000000000005</v>
      </c>
      <c r="P1490" s="4">
        <v>0</v>
      </c>
      <c r="Q1490" s="3" t="s">
        <v>26</v>
      </c>
      <c r="R1490" s="3">
        <v>0</v>
      </c>
      <c r="S1490" s="4">
        <v>0</v>
      </c>
      <c r="T1490" s="4">
        <v>33</v>
      </c>
      <c r="U1490" s="4">
        <v>71</v>
      </c>
      <c r="V1490" s="4">
        <v>0</v>
      </c>
      <c r="W1490" s="4">
        <v>208.22</v>
      </c>
      <c r="X1490" s="4">
        <v>195.63</v>
      </c>
      <c r="Y1490" s="4"/>
      <c r="Z1490" s="4">
        <v>278.05963435186703</v>
      </c>
      <c r="AA1490" s="4">
        <v>221.19470459108535</v>
      </c>
      <c r="AB1490" s="4">
        <v>0</v>
      </c>
      <c r="AC1490" s="4">
        <v>115.77032000000001</v>
      </c>
      <c r="AD1490" s="4">
        <v>108.77028000000001</v>
      </c>
      <c r="AE1490" s="4">
        <v>0</v>
      </c>
      <c r="AF1490" s="4">
        <v>154.6011566996381</v>
      </c>
      <c r="AG1490" s="4">
        <v>122.98425575264346</v>
      </c>
    </row>
    <row r="1491" spans="1:33" ht="11.25" customHeight="1" x14ac:dyDescent="0.25">
      <c r="A1491" s="3" t="s">
        <v>21</v>
      </c>
      <c r="B1491" s="3" t="s">
        <v>44</v>
      </c>
      <c r="C1491" s="3" t="s">
        <v>33</v>
      </c>
      <c r="D1491" s="3" t="s">
        <v>45</v>
      </c>
      <c r="E1491" s="3" t="s">
        <v>25</v>
      </c>
      <c r="F1491" s="3" t="s">
        <v>25</v>
      </c>
      <c r="G1491" s="3" t="s">
        <v>25</v>
      </c>
      <c r="H1491" s="3" t="s">
        <v>35</v>
      </c>
      <c r="I1491" s="6">
        <v>44409</v>
      </c>
      <c r="J1491" s="4">
        <v>0</v>
      </c>
      <c r="K1491" s="4">
        <v>0</v>
      </c>
      <c r="L1491" s="4">
        <v>0.75900000000000001</v>
      </c>
      <c r="M1491" s="4">
        <v>0.75900000000000001</v>
      </c>
      <c r="N1491" s="4">
        <v>0.75900000000000001</v>
      </c>
      <c r="O1491" s="4">
        <v>0.75900000000000001</v>
      </c>
      <c r="P1491" s="4">
        <v>0</v>
      </c>
      <c r="Q1491" s="3" t="s">
        <v>26</v>
      </c>
      <c r="R1491" s="3">
        <v>0</v>
      </c>
      <c r="S1491" s="4">
        <v>0</v>
      </c>
      <c r="T1491" s="4">
        <v>33</v>
      </c>
      <c r="U1491" s="4">
        <v>71</v>
      </c>
      <c r="V1491" s="4">
        <v>0</v>
      </c>
      <c r="W1491" s="4">
        <v>208.22</v>
      </c>
      <c r="X1491" s="4">
        <v>195.63</v>
      </c>
      <c r="Y1491" s="4"/>
      <c r="Z1491" s="4">
        <v>278.05963435186703</v>
      </c>
      <c r="AA1491" s="4">
        <v>221.19470459108535</v>
      </c>
      <c r="AB1491" s="4">
        <v>0</v>
      </c>
      <c r="AC1491" s="4">
        <v>158.03898000000001</v>
      </c>
      <c r="AD1491" s="4">
        <v>148.48317</v>
      </c>
      <c r="AE1491" s="4">
        <v>0</v>
      </c>
      <c r="AF1491" s="4">
        <v>211.04726247306709</v>
      </c>
      <c r="AG1491" s="4">
        <v>167.8867807846338</v>
      </c>
    </row>
    <row r="1492" spans="1:33" ht="11.25" customHeight="1" x14ac:dyDescent="0.25">
      <c r="A1492" s="3" t="s">
        <v>21</v>
      </c>
      <c r="B1492" s="3" t="s">
        <v>44</v>
      </c>
      <c r="C1492" s="3" t="s">
        <v>33</v>
      </c>
      <c r="D1492" s="3" t="s">
        <v>45</v>
      </c>
      <c r="E1492" s="3" t="s">
        <v>25</v>
      </c>
      <c r="F1492" s="3" t="s">
        <v>25</v>
      </c>
      <c r="G1492" s="3" t="s">
        <v>25</v>
      </c>
      <c r="H1492" s="3" t="s">
        <v>35</v>
      </c>
      <c r="I1492" s="6">
        <v>44440</v>
      </c>
      <c r="J1492" s="4">
        <v>0</v>
      </c>
      <c r="K1492" s="4">
        <v>0</v>
      </c>
      <c r="L1492" s="4">
        <v>1.877</v>
      </c>
      <c r="M1492" s="4">
        <v>1.877</v>
      </c>
      <c r="N1492" s="4">
        <v>1.877</v>
      </c>
      <c r="O1492" s="4">
        <v>1.877</v>
      </c>
      <c r="P1492" s="4">
        <v>0</v>
      </c>
      <c r="Q1492" s="3" t="s">
        <v>26</v>
      </c>
      <c r="R1492" s="3">
        <v>0</v>
      </c>
      <c r="S1492" s="4">
        <v>0</v>
      </c>
      <c r="T1492" s="4">
        <v>33</v>
      </c>
      <c r="U1492" s="4">
        <v>71</v>
      </c>
      <c r="V1492" s="4">
        <v>0</v>
      </c>
      <c r="W1492" s="4">
        <v>208.22</v>
      </c>
      <c r="X1492" s="4">
        <v>195.63</v>
      </c>
      <c r="Y1492" s="4"/>
      <c r="Z1492" s="4">
        <v>278.05963435186703</v>
      </c>
      <c r="AA1492" s="4">
        <v>221.19470459108535</v>
      </c>
      <c r="AB1492" s="4">
        <v>0</v>
      </c>
      <c r="AC1492" s="4">
        <v>390.82893999999999</v>
      </c>
      <c r="AD1492" s="4">
        <v>367.19750999999997</v>
      </c>
      <c r="AE1492" s="4">
        <v>0</v>
      </c>
      <c r="AF1492" s="4">
        <v>521.91793367845446</v>
      </c>
      <c r="AG1492" s="4">
        <v>415.18246051746723</v>
      </c>
    </row>
    <row r="1493" spans="1:33" ht="11.25" customHeight="1" x14ac:dyDescent="0.25">
      <c r="A1493" s="3" t="s">
        <v>21</v>
      </c>
      <c r="B1493" s="3" t="s">
        <v>44</v>
      </c>
      <c r="C1493" s="3" t="s">
        <v>33</v>
      </c>
      <c r="D1493" s="3" t="s">
        <v>45</v>
      </c>
      <c r="E1493" s="3" t="s">
        <v>25</v>
      </c>
      <c r="F1493" s="3" t="s">
        <v>25</v>
      </c>
      <c r="G1493" s="3" t="s">
        <v>25</v>
      </c>
      <c r="H1493" s="3" t="s">
        <v>35</v>
      </c>
      <c r="I1493" s="6">
        <v>44470</v>
      </c>
      <c r="J1493" s="4">
        <v>0</v>
      </c>
      <c r="K1493" s="4">
        <v>0</v>
      </c>
      <c r="L1493" s="4">
        <v>2.1579999999999999</v>
      </c>
      <c r="M1493" s="4">
        <v>2.1579999999999999</v>
      </c>
      <c r="N1493" s="4">
        <v>2.1579999999999999</v>
      </c>
      <c r="O1493" s="4">
        <v>2.1579999999999999</v>
      </c>
      <c r="P1493" s="4">
        <v>0</v>
      </c>
      <c r="Q1493" s="3" t="s">
        <v>26</v>
      </c>
      <c r="R1493" s="3">
        <v>0</v>
      </c>
      <c r="S1493" s="4">
        <v>0</v>
      </c>
      <c r="T1493" s="4">
        <v>33</v>
      </c>
      <c r="U1493" s="4">
        <v>71</v>
      </c>
      <c r="V1493" s="4">
        <v>0</v>
      </c>
      <c r="W1493" s="4">
        <v>208.22</v>
      </c>
      <c r="X1493" s="4">
        <v>195.63</v>
      </c>
      <c r="Y1493" s="4"/>
      <c r="Z1493" s="4">
        <v>278.05963435186703</v>
      </c>
      <c r="AA1493" s="4">
        <v>221.19470459108535</v>
      </c>
      <c r="AB1493" s="4">
        <v>0</v>
      </c>
      <c r="AC1493" s="4">
        <v>449.33875999999998</v>
      </c>
      <c r="AD1493" s="4">
        <v>422.16953999999998</v>
      </c>
      <c r="AE1493" s="4">
        <v>0</v>
      </c>
      <c r="AF1493" s="4">
        <v>600.05269093132904</v>
      </c>
      <c r="AG1493" s="4">
        <v>477.33817250756215</v>
      </c>
    </row>
    <row r="1494" spans="1:33" ht="11.25" customHeight="1" x14ac:dyDescent="0.25">
      <c r="A1494" s="3" t="s">
        <v>21</v>
      </c>
      <c r="B1494" s="3" t="s">
        <v>44</v>
      </c>
      <c r="C1494" s="3" t="s">
        <v>33</v>
      </c>
      <c r="D1494" s="3" t="s">
        <v>45</v>
      </c>
      <c r="E1494" s="3" t="s">
        <v>25</v>
      </c>
      <c r="F1494" s="3" t="s">
        <v>25</v>
      </c>
      <c r="G1494" s="3" t="s">
        <v>25</v>
      </c>
      <c r="H1494" s="3" t="s">
        <v>35</v>
      </c>
      <c r="I1494" s="6">
        <v>44501</v>
      </c>
      <c r="J1494" s="4">
        <v>0</v>
      </c>
      <c r="K1494" s="4">
        <v>0</v>
      </c>
      <c r="L1494" s="4">
        <v>1.6240000000000001</v>
      </c>
      <c r="M1494" s="4">
        <v>1.6240000000000001</v>
      </c>
      <c r="N1494" s="4">
        <v>1.6240000000000001</v>
      </c>
      <c r="O1494" s="4">
        <v>1.6240000000000001</v>
      </c>
      <c r="P1494" s="4">
        <v>0</v>
      </c>
      <c r="Q1494" s="3" t="s">
        <v>26</v>
      </c>
      <c r="R1494" s="3">
        <v>0</v>
      </c>
      <c r="S1494" s="4">
        <v>0</v>
      </c>
      <c r="T1494" s="4">
        <v>33</v>
      </c>
      <c r="U1494" s="4">
        <v>71</v>
      </c>
      <c r="V1494" s="4">
        <v>0</v>
      </c>
      <c r="W1494" s="4">
        <v>208.22</v>
      </c>
      <c r="X1494" s="4">
        <v>195.63</v>
      </c>
      <c r="Y1494" s="4"/>
      <c r="Z1494" s="4">
        <v>278.05963435186703</v>
      </c>
      <c r="AA1494" s="4">
        <v>221.19470459108535</v>
      </c>
      <c r="AB1494" s="4">
        <v>0</v>
      </c>
      <c r="AC1494" s="4">
        <v>338.14928000000003</v>
      </c>
      <c r="AD1494" s="4">
        <v>317.70312000000001</v>
      </c>
      <c r="AE1494" s="4">
        <v>0</v>
      </c>
      <c r="AF1494" s="4">
        <v>451.56884618743209</v>
      </c>
      <c r="AG1494" s="4">
        <v>359.22020025592263</v>
      </c>
    </row>
    <row r="1495" spans="1:33" ht="11.25" customHeight="1" x14ac:dyDescent="0.25">
      <c r="A1495" s="3" t="s">
        <v>21</v>
      </c>
      <c r="B1495" s="3" t="s">
        <v>44</v>
      </c>
      <c r="C1495" s="3" t="s">
        <v>33</v>
      </c>
      <c r="D1495" s="3" t="s">
        <v>45</v>
      </c>
      <c r="E1495" s="3" t="s">
        <v>25</v>
      </c>
      <c r="F1495" s="3" t="s">
        <v>25</v>
      </c>
      <c r="G1495" s="3" t="s">
        <v>25</v>
      </c>
      <c r="H1495" s="3" t="s">
        <v>35</v>
      </c>
      <c r="I1495" s="6">
        <v>44531</v>
      </c>
      <c r="J1495" s="4">
        <v>0</v>
      </c>
      <c r="K1495" s="4">
        <v>0</v>
      </c>
      <c r="L1495" s="4">
        <v>1.0289999999999999</v>
      </c>
      <c r="M1495" s="4">
        <v>1.0289999999999999</v>
      </c>
      <c r="N1495" s="4">
        <v>1.0289999999999999</v>
      </c>
      <c r="O1495" s="4">
        <v>1.0289999999999999</v>
      </c>
      <c r="P1495" s="4">
        <v>0</v>
      </c>
      <c r="Q1495" s="3" t="s">
        <v>26</v>
      </c>
      <c r="R1495" s="3">
        <v>0</v>
      </c>
      <c r="S1495" s="4">
        <v>0</v>
      </c>
      <c r="T1495" s="4">
        <v>33</v>
      </c>
      <c r="U1495" s="4">
        <v>71</v>
      </c>
      <c r="V1495" s="4">
        <v>0</v>
      </c>
      <c r="W1495" s="4">
        <v>208.22</v>
      </c>
      <c r="X1495" s="4">
        <v>195.63</v>
      </c>
      <c r="Y1495" s="4"/>
      <c r="Z1495" s="4">
        <v>278.05963435186703</v>
      </c>
      <c r="AA1495" s="4">
        <v>221.19470459108535</v>
      </c>
      <c r="AB1495" s="4">
        <v>0</v>
      </c>
      <c r="AC1495" s="4">
        <v>214.25837999999999</v>
      </c>
      <c r="AD1495" s="4">
        <v>201.30326999999997</v>
      </c>
      <c r="AE1495" s="4">
        <v>0</v>
      </c>
      <c r="AF1495" s="4">
        <v>286.12336374807114</v>
      </c>
      <c r="AG1495" s="4">
        <v>227.60935102422681</v>
      </c>
    </row>
    <row r="1496" spans="1:33" ht="11.25" customHeight="1" x14ac:dyDescent="0.25">
      <c r="A1496" s="3" t="s">
        <v>21</v>
      </c>
      <c r="B1496" s="3" t="s">
        <v>44</v>
      </c>
      <c r="C1496" s="3" t="s">
        <v>33</v>
      </c>
      <c r="D1496" s="3" t="s">
        <v>45</v>
      </c>
      <c r="E1496" s="3" t="s">
        <v>25</v>
      </c>
      <c r="F1496" s="3" t="s">
        <v>25</v>
      </c>
      <c r="G1496" s="3" t="s">
        <v>25</v>
      </c>
      <c r="H1496" s="3" t="s">
        <v>35</v>
      </c>
      <c r="I1496" s="6">
        <v>44562</v>
      </c>
      <c r="J1496" s="4">
        <v>0</v>
      </c>
      <c r="K1496" s="4">
        <v>0</v>
      </c>
      <c r="L1496" s="4">
        <v>1.0189999999999999</v>
      </c>
      <c r="M1496" s="4">
        <v>1.0189999999999999</v>
      </c>
      <c r="N1496" s="4">
        <v>1.0189999999999999</v>
      </c>
      <c r="O1496" s="4">
        <v>1.0189999999999999</v>
      </c>
      <c r="P1496" s="4">
        <v>0</v>
      </c>
      <c r="Q1496" s="3" t="s">
        <v>26</v>
      </c>
      <c r="R1496" s="3">
        <v>0</v>
      </c>
      <c r="S1496" s="4">
        <v>0</v>
      </c>
      <c r="T1496" s="4">
        <v>33</v>
      </c>
      <c r="U1496" s="4">
        <v>71</v>
      </c>
      <c r="V1496" s="4">
        <v>0</v>
      </c>
      <c r="W1496" s="4">
        <v>208.22</v>
      </c>
      <c r="X1496" s="4">
        <v>195.63</v>
      </c>
      <c r="Y1496" s="4"/>
      <c r="Z1496" s="4">
        <v>278.05963435186703</v>
      </c>
      <c r="AA1496" s="4">
        <v>221.19470459108535</v>
      </c>
      <c r="AB1496" s="4">
        <v>0</v>
      </c>
      <c r="AC1496" s="4">
        <v>212.17617999999999</v>
      </c>
      <c r="AD1496" s="4">
        <v>199.34696999999997</v>
      </c>
      <c r="AE1496" s="4">
        <v>0</v>
      </c>
      <c r="AF1496" s="4">
        <v>283.34276740455249</v>
      </c>
      <c r="AG1496" s="4">
        <v>225.39740397831596</v>
      </c>
    </row>
    <row r="1497" spans="1:33" ht="11.25" customHeight="1" x14ac:dyDescent="0.25">
      <c r="A1497" s="3" t="s">
        <v>21</v>
      </c>
      <c r="B1497" s="3" t="s">
        <v>44</v>
      </c>
      <c r="C1497" s="3" t="s">
        <v>33</v>
      </c>
      <c r="D1497" s="3" t="s">
        <v>45</v>
      </c>
      <c r="E1497" s="3" t="s">
        <v>25</v>
      </c>
      <c r="F1497" s="3" t="s">
        <v>25</v>
      </c>
      <c r="G1497" s="3" t="s">
        <v>25</v>
      </c>
      <c r="H1497" s="3" t="s">
        <v>35</v>
      </c>
      <c r="I1497" s="6">
        <v>44593</v>
      </c>
      <c r="J1497" s="4">
        <v>0</v>
      </c>
      <c r="K1497" s="4">
        <v>0</v>
      </c>
      <c r="L1497" s="4">
        <v>1.262</v>
      </c>
      <c r="M1497" s="4">
        <v>1.262</v>
      </c>
      <c r="N1497" s="4">
        <v>1.262</v>
      </c>
      <c r="O1497" s="4">
        <v>1.262</v>
      </c>
      <c r="P1497" s="4">
        <v>0</v>
      </c>
      <c r="Q1497" s="3" t="s">
        <v>26</v>
      </c>
      <c r="R1497" s="3">
        <v>0</v>
      </c>
      <c r="S1497" s="4">
        <v>0</v>
      </c>
      <c r="T1497" s="4">
        <v>33</v>
      </c>
      <c r="U1497" s="4">
        <v>71</v>
      </c>
      <c r="V1497" s="4">
        <v>0</v>
      </c>
      <c r="W1497" s="4">
        <v>208.22</v>
      </c>
      <c r="X1497" s="4">
        <v>195.63</v>
      </c>
      <c r="Y1497" s="4"/>
      <c r="Z1497" s="4">
        <v>278.05963435186703</v>
      </c>
      <c r="AA1497" s="4">
        <v>221.19470459108535</v>
      </c>
      <c r="AB1497" s="4">
        <v>0</v>
      </c>
      <c r="AC1497" s="4">
        <v>262.77364</v>
      </c>
      <c r="AD1497" s="4">
        <v>246.88506000000001</v>
      </c>
      <c r="AE1497" s="4">
        <v>0</v>
      </c>
      <c r="AF1497" s="4">
        <v>350.91125855205621</v>
      </c>
      <c r="AG1497" s="4">
        <v>279.14771719394975</v>
      </c>
    </row>
    <row r="1498" spans="1:33" ht="11.25" customHeight="1" x14ac:dyDescent="0.25">
      <c r="A1498" s="3" t="s">
        <v>56</v>
      </c>
      <c r="B1498" s="3" t="s">
        <v>44</v>
      </c>
      <c r="C1498" s="3" t="s">
        <v>33</v>
      </c>
      <c r="D1498" s="3" t="s">
        <v>45</v>
      </c>
      <c r="E1498" s="3" t="s">
        <v>25</v>
      </c>
      <c r="F1498" s="3" t="s">
        <v>25</v>
      </c>
      <c r="G1498" s="3" t="s">
        <v>25</v>
      </c>
      <c r="H1498" s="3" t="s">
        <v>35</v>
      </c>
      <c r="I1498" s="6">
        <v>44621</v>
      </c>
      <c r="J1498" s="4">
        <v>0</v>
      </c>
      <c r="K1498" s="4">
        <v>0</v>
      </c>
      <c r="L1498" s="4">
        <v>1.262</v>
      </c>
      <c r="M1498" s="4">
        <v>1.262</v>
      </c>
      <c r="N1498" s="4">
        <v>1.262</v>
      </c>
      <c r="O1498" s="4">
        <v>1.262</v>
      </c>
      <c r="P1498" s="4">
        <v>0</v>
      </c>
      <c r="Q1498" s="3" t="s">
        <v>26</v>
      </c>
      <c r="R1498" s="3">
        <v>0</v>
      </c>
      <c r="S1498" s="4">
        <v>0</v>
      </c>
      <c r="T1498" s="4">
        <v>33</v>
      </c>
      <c r="U1498" s="4">
        <v>71</v>
      </c>
      <c r="V1498" s="4">
        <v>0</v>
      </c>
      <c r="W1498" s="4">
        <v>208.22</v>
      </c>
      <c r="X1498" s="4">
        <v>195.63</v>
      </c>
      <c r="Y1498" s="4"/>
      <c r="Z1498" s="4">
        <v>278.05963435186703</v>
      </c>
      <c r="AA1498" s="4">
        <v>221.19470459108535</v>
      </c>
      <c r="AB1498" s="4">
        <v>0</v>
      </c>
      <c r="AC1498" s="4">
        <v>262.77364</v>
      </c>
      <c r="AD1498" s="4">
        <v>246.88506000000001</v>
      </c>
      <c r="AE1498" s="4">
        <v>0</v>
      </c>
      <c r="AF1498" s="4">
        <v>350.91125855205621</v>
      </c>
      <c r="AG1498" s="4">
        <v>279.14771719394975</v>
      </c>
    </row>
    <row r="1499" spans="1:33" ht="11.25" customHeight="1" x14ac:dyDescent="0.25">
      <c r="A1499" s="3" t="s">
        <v>21</v>
      </c>
      <c r="B1499" s="3" t="s">
        <v>44</v>
      </c>
      <c r="C1499" s="3" t="s">
        <v>33</v>
      </c>
      <c r="D1499" s="3" t="s">
        <v>45</v>
      </c>
      <c r="E1499" s="3" t="s">
        <v>25</v>
      </c>
      <c r="F1499" s="3" t="s">
        <v>25</v>
      </c>
      <c r="G1499" s="3" t="s">
        <v>25</v>
      </c>
      <c r="H1499" s="3" t="s">
        <v>36</v>
      </c>
      <c r="I1499" s="6">
        <v>44287</v>
      </c>
      <c r="J1499" s="4">
        <v>0</v>
      </c>
      <c r="K1499" s="4">
        <v>0</v>
      </c>
      <c r="L1499" s="4">
        <v>9.2999999999999999E-2</v>
      </c>
      <c r="M1499" s="4">
        <v>9.2999999999999999E-2</v>
      </c>
      <c r="N1499" s="4">
        <v>9.2999999999999999E-2</v>
      </c>
      <c r="O1499" s="4">
        <v>9.2999999999999999E-2</v>
      </c>
      <c r="P1499" s="4">
        <v>0</v>
      </c>
      <c r="Q1499" s="3" t="s">
        <v>26</v>
      </c>
      <c r="R1499" s="3">
        <v>0</v>
      </c>
      <c r="S1499" s="4">
        <v>0</v>
      </c>
      <c r="T1499" s="4">
        <v>52</v>
      </c>
      <c r="U1499" s="4">
        <v>70</v>
      </c>
      <c r="V1499" s="4">
        <v>0</v>
      </c>
      <c r="W1499" s="4">
        <v>497.52</v>
      </c>
      <c r="X1499" s="4">
        <v>195.63</v>
      </c>
      <c r="Y1499" s="4"/>
      <c r="Z1499" s="4">
        <v>657.87886732764605</v>
      </c>
      <c r="AA1499" s="4">
        <v>221.19470459108535</v>
      </c>
      <c r="AB1499" s="4">
        <v>0</v>
      </c>
      <c r="AC1499" s="4">
        <v>46.269359999999999</v>
      </c>
      <c r="AD1499" s="4">
        <v>18.19359</v>
      </c>
      <c r="AE1499" s="4">
        <v>0</v>
      </c>
      <c r="AF1499" s="4">
        <v>61.182734661471081</v>
      </c>
      <c r="AG1499" s="4">
        <v>20.571107526970938</v>
      </c>
    </row>
    <row r="1500" spans="1:33" ht="11.25" customHeight="1" x14ac:dyDescent="0.25">
      <c r="A1500" s="3" t="s">
        <v>21</v>
      </c>
      <c r="B1500" s="3" t="s">
        <v>44</v>
      </c>
      <c r="C1500" s="3" t="s">
        <v>33</v>
      </c>
      <c r="D1500" s="3" t="s">
        <v>45</v>
      </c>
      <c r="E1500" s="3" t="s">
        <v>25</v>
      </c>
      <c r="F1500" s="3" t="s">
        <v>25</v>
      </c>
      <c r="G1500" s="3" t="s">
        <v>25</v>
      </c>
      <c r="H1500" s="3" t="s">
        <v>36</v>
      </c>
      <c r="I1500" s="6">
        <v>44317</v>
      </c>
      <c r="J1500" s="4">
        <v>0</v>
      </c>
      <c r="K1500" s="4">
        <v>0</v>
      </c>
      <c r="L1500" s="4">
        <v>3.7999999999999999E-2</v>
      </c>
      <c r="M1500" s="4">
        <v>3.7999999999999999E-2</v>
      </c>
      <c r="N1500" s="4">
        <v>3.7999999999999999E-2</v>
      </c>
      <c r="O1500" s="4">
        <v>3.7999999999999999E-2</v>
      </c>
      <c r="P1500" s="4">
        <v>0</v>
      </c>
      <c r="Q1500" s="3" t="s">
        <v>26</v>
      </c>
      <c r="R1500" s="3">
        <v>0</v>
      </c>
      <c r="S1500" s="4">
        <v>0</v>
      </c>
      <c r="T1500" s="4">
        <v>52</v>
      </c>
      <c r="U1500" s="4">
        <v>70</v>
      </c>
      <c r="V1500" s="4">
        <v>0</v>
      </c>
      <c r="W1500" s="4">
        <v>497.52</v>
      </c>
      <c r="X1500" s="4">
        <v>195.63</v>
      </c>
      <c r="Y1500" s="4"/>
      <c r="Z1500" s="4">
        <v>657.87886732764605</v>
      </c>
      <c r="AA1500" s="4">
        <v>221.19470459108535</v>
      </c>
      <c r="AB1500" s="4">
        <v>0</v>
      </c>
      <c r="AC1500" s="4">
        <v>18.905759999999997</v>
      </c>
      <c r="AD1500" s="4">
        <v>7.4339399999999998</v>
      </c>
      <c r="AE1500" s="4">
        <v>0</v>
      </c>
      <c r="AF1500" s="4">
        <v>24.99939695845055</v>
      </c>
      <c r="AG1500" s="4">
        <v>8.4053987744612435</v>
      </c>
    </row>
    <row r="1501" spans="1:33" ht="11.25" customHeight="1" x14ac:dyDescent="0.25">
      <c r="A1501" s="3" t="s">
        <v>21</v>
      </c>
      <c r="B1501" s="3" t="s">
        <v>44</v>
      </c>
      <c r="C1501" s="3" t="s">
        <v>33</v>
      </c>
      <c r="D1501" s="3" t="s">
        <v>45</v>
      </c>
      <c r="E1501" s="3" t="s">
        <v>25</v>
      </c>
      <c r="F1501" s="3" t="s">
        <v>25</v>
      </c>
      <c r="G1501" s="3" t="s">
        <v>25</v>
      </c>
      <c r="H1501" s="3" t="s">
        <v>36</v>
      </c>
      <c r="I1501" s="6">
        <v>44348</v>
      </c>
      <c r="J1501" s="4">
        <v>0</v>
      </c>
      <c r="K1501" s="4">
        <v>0</v>
      </c>
      <c r="L1501" s="4">
        <v>3.1E-2</v>
      </c>
      <c r="M1501" s="4">
        <v>3.1E-2</v>
      </c>
      <c r="N1501" s="4">
        <v>3.1E-2</v>
      </c>
      <c r="O1501" s="4">
        <v>3.1E-2</v>
      </c>
      <c r="P1501" s="4">
        <v>0</v>
      </c>
      <c r="Q1501" s="3" t="s">
        <v>26</v>
      </c>
      <c r="R1501" s="3">
        <v>0</v>
      </c>
      <c r="S1501" s="4">
        <v>0</v>
      </c>
      <c r="T1501" s="4">
        <v>52</v>
      </c>
      <c r="U1501" s="4">
        <v>70</v>
      </c>
      <c r="V1501" s="4">
        <v>0</v>
      </c>
      <c r="W1501" s="4">
        <v>497.52</v>
      </c>
      <c r="X1501" s="4">
        <v>195.63</v>
      </c>
      <c r="Y1501" s="4"/>
      <c r="Z1501" s="4">
        <v>657.87886732764605</v>
      </c>
      <c r="AA1501" s="4">
        <v>221.19470459108535</v>
      </c>
      <c r="AB1501" s="4">
        <v>0</v>
      </c>
      <c r="AC1501" s="4">
        <v>15.423119999999999</v>
      </c>
      <c r="AD1501" s="4">
        <v>6.0645299999999995</v>
      </c>
      <c r="AE1501" s="4">
        <v>0</v>
      </c>
      <c r="AF1501" s="4">
        <v>20.394244887157026</v>
      </c>
      <c r="AG1501" s="4">
        <v>6.8570358423236462</v>
      </c>
    </row>
    <row r="1502" spans="1:33" ht="11.25" customHeight="1" x14ac:dyDescent="0.25">
      <c r="A1502" s="3" t="s">
        <v>21</v>
      </c>
      <c r="B1502" s="3" t="s">
        <v>44</v>
      </c>
      <c r="C1502" s="3" t="s">
        <v>33</v>
      </c>
      <c r="D1502" s="3" t="s">
        <v>45</v>
      </c>
      <c r="E1502" s="3" t="s">
        <v>25</v>
      </c>
      <c r="F1502" s="3" t="s">
        <v>25</v>
      </c>
      <c r="G1502" s="3" t="s">
        <v>25</v>
      </c>
      <c r="H1502" s="3" t="s">
        <v>36</v>
      </c>
      <c r="I1502" s="6">
        <v>44378</v>
      </c>
      <c r="J1502" s="4">
        <v>0</v>
      </c>
      <c r="K1502" s="4">
        <v>0</v>
      </c>
      <c r="L1502" s="4">
        <v>3.4000000000000002E-2</v>
      </c>
      <c r="M1502" s="4">
        <v>3.4000000000000002E-2</v>
      </c>
      <c r="N1502" s="4">
        <v>3.4000000000000002E-2</v>
      </c>
      <c r="O1502" s="4">
        <v>3.4000000000000002E-2</v>
      </c>
      <c r="P1502" s="4">
        <v>0</v>
      </c>
      <c r="Q1502" s="3" t="s">
        <v>26</v>
      </c>
      <c r="R1502" s="3">
        <v>0</v>
      </c>
      <c r="S1502" s="4">
        <v>0</v>
      </c>
      <c r="T1502" s="4">
        <v>52</v>
      </c>
      <c r="U1502" s="4">
        <v>70</v>
      </c>
      <c r="V1502" s="4">
        <v>0</v>
      </c>
      <c r="W1502" s="4">
        <v>497.52</v>
      </c>
      <c r="X1502" s="4">
        <v>195.63</v>
      </c>
      <c r="Y1502" s="4"/>
      <c r="Z1502" s="4">
        <v>657.87886732764605</v>
      </c>
      <c r="AA1502" s="4">
        <v>221.19470459108535</v>
      </c>
      <c r="AB1502" s="4">
        <v>0</v>
      </c>
      <c r="AC1502" s="4">
        <v>16.915680000000002</v>
      </c>
      <c r="AD1502" s="4">
        <v>6.6514199999999999</v>
      </c>
      <c r="AE1502" s="4">
        <v>0</v>
      </c>
      <c r="AF1502" s="4">
        <v>22.367881489139968</v>
      </c>
      <c r="AG1502" s="4">
        <v>7.5206199560969029</v>
      </c>
    </row>
    <row r="1503" spans="1:33" ht="11.25" customHeight="1" x14ac:dyDescent="0.25">
      <c r="A1503" s="3" t="s">
        <v>21</v>
      </c>
      <c r="B1503" s="3" t="s">
        <v>44</v>
      </c>
      <c r="C1503" s="3" t="s">
        <v>33</v>
      </c>
      <c r="D1503" s="3" t="s">
        <v>45</v>
      </c>
      <c r="E1503" s="3" t="s">
        <v>25</v>
      </c>
      <c r="F1503" s="3" t="s">
        <v>25</v>
      </c>
      <c r="G1503" s="3" t="s">
        <v>25</v>
      </c>
      <c r="H1503" s="3" t="s">
        <v>36</v>
      </c>
      <c r="I1503" s="6">
        <v>44409</v>
      </c>
      <c r="J1503" s="4">
        <v>0</v>
      </c>
      <c r="K1503" s="4">
        <v>0</v>
      </c>
      <c r="L1503" s="4">
        <v>3.2000000000000001E-2</v>
      </c>
      <c r="M1503" s="4">
        <v>3.2000000000000001E-2</v>
      </c>
      <c r="N1503" s="4">
        <v>3.2000000000000001E-2</v>
      </c>
      <c r="O1503" s="4">
        <v>3.2000000000000001E-2</v>
      </c>
      <c r="P1503" s="4">
        <v>0</v>
      </c>
      <c r="Q1503" s="3" t="s">
        <v>26</v>
      </c>
      <c r="R1503" s="3">
        <v>0</v>
      </c>
      <c r="S1503" s="4">
        <v>0</v>
      </c>
      <c r="T1503" s="4">
        <v>52</v>
      </c>
      <c r="U1503" s="4">
        <v>70</v>
      </c>
      <c r="V1503" s="4">
        <v>0</v>
      </c>
      <c r="W1503" s="4">
        <v>497.52</v>
      </c>
      <c r="X1503" s="4">
        <v>195.63</v>
      </c>
      <c r="Y1503" s="4"/>
      <c r="Z1503" s="4">
        <v>657.87886732764605</v>
      </c>
      <c r="AA1503" s="4">
        <v>221.19470459108535</v>
      </c>
      <c r="AB1503" s="4">
        <v>0</v>
      </c>
      <c r="AC1503" s="4">
        <v>15.920640000000001</v>
      </c>
      <c r="AD1503" s="4">
        <v>6.2601599999999999</v>
      </c>
      <c r="AE1503" s="4">
        <v>0</v>
      </c>
      <c r="AF1503" s="4">
        <v>21.052123754484676</v>
      </c>
      <c r="AG1503" s="4">
        <v>7.0782305469147317</v>
      </c>
    </row>
    <row r="1504" spans="1:33" ht="11.25" customHeight="1" x14ac:dyDescent="0.25">
      <c r="A1504" s="3" t="s">
        <v>21</v>
      </c>
      <c r="B1504" s="3" t="s">
        <v>44</v>
      </c>
      <c r="C1504" s="3" t="s">
        <v>33</v>
      </c>
      <c r="D1504" s="3" t="s">
        <v>45</v>
      </c>
      <c r="E1504" s="3" t="s">
        <v>25</v>
      </c>
      <c r="F1504" s="3" t="s">
        <v>25</v>
      </c>
      <c r="G1504" s="3" t="s">
        <v>25</v>
      </c>
      <c r="H1504" s="3" t="s">
        <v>36</v>
      </c>
      <c r="I1504" s="6">
        <v>44440</v>
      </c>
      <c r="J1504" s="4">
        <v>0</v>
      </c>
      <c r="K1504" s="4">
        <v>0</v>
      </c>
      <c r="L1504" s="4">
        <v>0.04</v>
      </c>
      <c r="M1504" s="4">
        <v>0.04</v>
      </c>
      <c r="N1504" s="4">
        <v>0.04</v>
      </c>
      <c r="O1504" s="4">
        <v>0.04</v>
      </c>
      <c r="P1504" s="4">
        <v>0</v>
      </c>
      <c r="Q1504" s="3" t="s">
        <v>26</v>
      </c>
      <c r="R1504" s="3">
        <v>0</v>
      </c>
      <c r="S1504" s="4">
        <v>0</v>
      </c>
      <c r="T1504" s="4">
        <v>52</v>
      </c>
      <c r="U1504" s="4">
        <v>70</v>
      </c>
      <c r="V1504" s="4">
        <v>0</v>
      </c>
      <c r="W1504" s="4">
        <v>497.52</v>
      </c>
      <c r="X1504" s="4">
        <v>195.63</v>
      </c>
      <c r="Y1504" s="4"/>
      <c r="Z1504" s="4">
        <v>657.87886732764605</v>
      </c>
      <c r="AA1504" s="4">
        <v>221.19470459108535</v>
      </c>
      <c r="AB1504" s="4">
        <v>0</v>
      </c>
      <c r="AC1504" s="4">
        <v>19.9008</v>
      </c>
      <c r="AD1504" s="4">
        <v>7.8251999999999997</v>
      </c>
      <c r="AE1504" s="4">
        <v>0</v>
      </c>
      <c r="AF1504" s="4">
        <v>26.315154693105843</v>
      </c>
      <c r="AG1504" s="4">
        <v>8.8477881836434147</v>
      </c>
    </row>
    <row r="1505" spans="1:33" ht="11.25" customHeight="1" x14ac:dyDescent="0.25">
      <c r="A1505" s="3" t="s">
        <v>21</v>
      </c>
      <c r="B1505" s="3" t="s">
        <v>44</v>
      </c>
      <c r="C1505" s="3" t="s">
        <v>33</v>
      </c>
      <c r="D1505" s="3" t="s">
        <v>45</v>
      </c>
      <c r="E1505" s="3" t="s">
        <v>25</v>
      </c>
      <c r="F1505" s="3" t="s">
        <v>25</v>
      </c>
      <c r="G1505" s="3" t="s">
        <v>25</v>
      </c>
      <c r="H1505" s="3" t="s">
        <v>36</v>
      </c>
      <c r="I1505" s="6">
        <v>44470</v>
      </c>
      <c r="J1505" s="4">
        <v>0</v>
      </c>
      <c r="K1505" s="4">
        <v>0</v>
      </c>
      <c r="L1505" s="4">
        <v>3.6999999999999998E-2</v>
      </c>
      <c r="M1505" s="4">
        <v>3.6999999999999998E-2</v>
      </c>
      <c r="N1505" s="4">
        <v>3.6999999999999998E-2</v>
      </c>
      <c r="O1505" s="4">
        <v>3.6999999999999998E-2</v>
      </c>
      <c r="P1505" s="4">
        <v>0</v>
      </c>
      <c r="Q1505" s="3" t="s">
        <v>26</v>
      </c>
      <c r="R1505" s="3">
        <v>0</v>
      </c>
      <c r="S1505" s="4">
        <v>0</v>
      </c>
      <c r="T1505" s="4">
        <v>52</v>
      </c>
      <c r="U1505" s="4">
        <v>70</v>
      </c>
      <c r="V1505" s="4">
        <v>0</v>
      </c>
      <c r="W1505" s="4">
        <v>497.52</v>
      </c>
      <c r="X1505" s="4">
        <v>195.63</v>
      </c>
      <c r="Y1505" s="4"/>
      <c r="Z1505" s="4">
        <v>657.87886732764605</v>
      </c>
      <c r="AA1505" s="4">
        <v>221.19470459108535</v>
      </c>
      <c r="AB1505" s="4">
        <v>0</v>
      </c>
      <c r="AC1505" s="4">
        <v>18.408239999999999</v>
      </c>
      <c r="AD1505" s="4">
        <v>7.2383099999999994</v>
      </c>
      <c r="AE1505" s="4">
        <v>0</v>
      </c>
      <c r="AF1505" s="4">
        <v>24.341518091122904</v>
      </c>
      <c r="AG1505" s="4">
        <v>8.184204069870157</v>
      </c>
    </row>
    <row r="1506" spans="1:33" ht="11.25" customHeight="1" x14ac:dyDescent="0.25">
      <c r="A1506" s="3" t="s">
        <v>21</v>
      </c>
      <c r="B1506" s="3" t="s">
        <v>44</v>
      </c>
      <c r="C1506" s="3" t="s">
        <v>33</v>
      </c>
      <c r="D1506" s="3" t="s">
        <v>45</v>
      </c>
      <c r="E1506" s="3" t="s">
        <v>25</v>
      </c>
      <c r="F1506" s="3" t="s">
        <v>25</v>
      </c>
      <c r="G1506" s="3" t="s">
        <v>25</v>
      </c>
      <c r="H1506" s="3" t="s">
        <v>36</v>
      </c>
      <c r="I1506" s="6">
        <v>44501</v>
      </c>
      <c r="J1506" s="4">
        <v>0</v>
      </c>
      <c r="K1506" s="4">
        <v>0</v>
      </c>
      <c r="L1506" s="4">
        <v>3.1E-2</v>
      </c>
      <c r="M1506" s="4">
        <v>3.1E-2</v>
      </c>
      <c r="N1506" s="4">
        <v>3.1E-2</v>
      </c>
      <c r="O1506" s="4">
        <v>3.1E-2</v>
      </c>
      <c r="P1506" s="4">
        <v>0</v>
      </c>
      <c r="Q1506" s="3" t="s">
        <v>26</v>
      </c>
      <c r="R1506" s="3">
        <v>0</v>
      </c>
      <c r="S1506" s="4">
        <v>0</v>
      </c>
      <c r="T1506" s="4">
        <v>52</v>
      </c>
      <c r="U1506" s="4">
        <v>70</v>
      </c>
      <c r="V1506" s="4">
        <v>0</v>
      </c>
      <c r="W1506" s="4">
        <v>497.52</v>
      </c>
      <c r="X1506" s="4">
        <v>195.63</v>
      </c>
      <c r="Y1506" s="4"/>
      <c r="Z1506" s="4">
        <v>657.87886732764605</v>
      </c>
      <c r="AA1506" s="4">
        <v>221.19470459108535</v>
      </c>
      <c r="AB1506" s="4">
        <v>0</v>
      </c>
      <c r="AC1506" s="4">
        <v>15.423119999999999</v>
      </c>
      <c r="AD1506" s="4">
        <v>6.0645299999999995</v>
      </c>
      <c r="AE1506" s="4">
        <v>0</v>
      </c>
      <c r="AF1506" s="4">
        <v>20.394244887157026</v>
      </c>
      <c r="AG1506" s="4">
        <v>6.8570358423236462</v>
      </c>
    </row>
    <row r="1507" spans="1:33" ht="11.25" customHeight="1" x14ac:dyDescent="0.25">
      <c r="A1507" s="3" t="s">
        <v>21</v>
      </c>
      <c r="B1507" s="3" t="s">
        <v>44</v>
      </c>
      <c r="C1507" s="3" t="s">
        <v>33</v>
      </c>
      <c r="D1507" s="3" t="s">
        <v>45</v>
      </c>
      <c r="E1507" s="3" t="s">
        <v>25</v>
      </c>
      <c r="F1507" s="3" t="s">
        <v>25</v>
      </c>
      <c r="G1507" s="3" t="s">
        <v>25</v>
      </c>
      <c r="H1507" s="3" t="s">
        <v>36</v>
      </c>
      <c r="I1507" s="6">
        <v>44531</v>
      </c>
      <c r="J1507" s="4">
        <v>0</v>
      </c>
      <c r="K1507" s="4">
        <v>0</v>
      </c>
      <c r="L1507" s="4">
        <v>0.03</v>
      </c>
      <c r="M1507" s="4">
        <v>0.03</v>
      </c>
      <c r="N1507" s="4">
        <v>0.03</v>
      </c>
      <c r="O1507" s="4">
        <v>0.03</v>
      </c>
      <c r="P1507" s="4">
        <v>0</v>
      </c>
      <c r="Q1507" s="3" t="s">
        <v>26</v>
      </c>
      <c r="R1507" s="3">
        <v>0</v>
      </c>
      <c r="S1507" s="4">
        <v>0</v>
      </c>
      <c r="T1507" s="4">
        <v>52</v>
      </c>
      <c r="U1507" s="4">
        <v>70</v>
      </c>
      <c r="V1507" s="4">
        <v>0</v>
      </c>
      <c r="W1507" s="4">
        <v>497.52</v>
      </c>
      <c r="X1507" s="4">
        <v>195.63</v>
      </c>
      <c r="Y1507" s="4"/>
      <c r="Z1507" s="4">
        <v>657.87886732764605</v>
      </c>
      <c r="AA1507" s="4">
        <v>221.19470459108535</v>
      </c>
      <c r="AB1507" s="4">
        <v>0</v>
      </c>
      <c r="AC1507" s="4">
        <v>14.925599999999999</v>
      </c>
      <c r="AD1507" s="4">
        <v>5.8689</v>
      </c>
      <c r="AE1507" s="4">
        <v>0</v>
      </c>
      <c r="AF1507" s="4">
        <v>19.736366019829379</v>
      </c>
      <c r="AG1507" s="4">
        <v>6.6358411377325606</v>
      </c>
    </row>
    <row r="1508" spans="1:33" ht="11.25" customHeight="1" x14ac:dyDescent="0.25">
      <c r="A1508" s="3" t="s">
        <v>21</v>
      </c>
      <c r="B1508" s="3" t="s">
        <v>44</v>
      </c>
      <c r="C1508" s="3" t="s">
        <v>33</v>
      </c>
      <c r="D1508" s="3" t="s">
        <v>45</v>
      </c>
      <c r="E1508" s="3" t="s">
        <v>25</v>
      </c>
      <c r="F1508" s="3" t="s">
        <v>25</v>
      </c>
      <c r="G1508" s="3" t="s">
        <v>25</v>
      </c>
      <c r="H1508" s="3" t="s">
        <v>36</v>
      </c>
      <c r="I1508" s="6">
        <v>44562</v>
      </c>
      <c r="J1508" s="4">
        <v>0</v>
      </c>
      <c r="K1508" s="4">
        <v>0</v>
      </c>
      <c r="L1508" s="4">
        <v>3.7999999999999999E-2</v>
      </c>
      <c r="M1508" s="4">
        <v>3.7999999999999999E-2</v>
      </c>
      <c r="N1508" s="4">
        <v>3.7999999999999999E-2</v>
      </c>
      <c r="O1508" s="4">
        <v>3.7999999999999999E-2</v>
      </c>
      <c r="P1508" s="4">
        <v>0</v>
      </c>
      <c r="Q1508" s="3" t="s">
        <v>26</v>
      </c>
      <c r="R1508" s="3">
        <v>0</v>
      </c>
      <c r="S1508" s="4">
        <v>0</v>
      </c>
      <c r="T1508" s="4">
        <v>52</v>
      </c>
      <c r="U1508" s="4">
        <v>70</v>
      </c>
      <c r="V1508" s="4">
        <v>0</v>
      </c>
      <c r="W1508" s="4">
        <v>497.52</v>
      </c>
      <c r="X1508" s="4">
        <v>195.63</v>
      </c>
      <c r="Y1508" s="4"/>
      <c r="Z1508" s="4">
        <v>657.87886732764605</v>
      </c>
      <c r="AA1508" s="4">
        <v>221.19470459108535</v>
      </c>
      <c r="AB1508" s="4">
        <v>0</v>
      </c>
      <c r="AC1508" s="4">
        <v>18.905759999999997</v>
      </c>
      <c r="AD1508" s="4">
        <v>7.4339399999999998</v>
      </c>
      <c r="AE1508" s="4">
        <v>0</v>
      </c>
      <c r="AF1508" s="4">
        <v>24.99939695845055</v>
      </c>
      <c r="AG1508" s="4">
        <v>8.4053987744612435</v>
      </c>
    </row>
    <row r="1509" spans="1:33" ht="11.25" customHeight="1" x14ac:dyDescent="0.25">
      <c r="A1509" s="3" t="s">
        <v>21</v>
      </c>
      <c r="B1509" s="3" t="s">
        <v>44</v>
      </c>
      <c r="C1509" s="3" t="s">
        <v>33</v>
      </c>
      <c r="D1509" s="3" t="s">
        <v>45</v>
      </c>
      <c r="E1509" s="3" t="s">
        <v>25</v>
      </c>
      <c r="F1509" s="3" t="s">
        <v>25</v>
      </c>
      <c r="G1509" s="3" t="s">
        <v>25</v>
      </c>
      <c r="H1509" s="3" t="s">
        <v>36</v>
      </c>
      <c r="I1509" s="6">
        <v>44593</v>
      </c>
      <c r="J1509" s="4">
        <v>0</v>
      </c>
      <c r="K1509" s="4">
        <v>0</v>
      </c>
      <c r="L1509" s="4">
        <v>3.1E-2</v>
      </c>
      <c r="M1509" s="4">
        <v>3.1E-2</v>
      </c>
      <c r="N1509" s="4">
        <v>3.1E-2</v>
      </c>
      <c r="O1509" s="4">
        <v>3.1E-2</v>
      </c>
      <c r="P1509" s="4">
        <v>0</v>
      </c>
      <c r="Q1509" s="3" t="s">
        <v>26</v>
      </c>
      <c r="R1509" s="3">
        <v>0</v>
      </c>
      <c r="S1509" s="4">
        <v>0</v>
      </c>
      <c r="T1509" s="4">
        <v>52</v>
      </c>
      <c r="U1509" s="4">
        <v>70</v>
      </c>
      <c r="V1509" s="4">
        <v>0</v>
      </c>
      <c r="W1509" s="4">
        <v>497.52</v>
      </c>
      <c r="X1509" s="4">
        <v>195.63</v>
      </c>
      <c r="Y1509" s="4"/>
      <c r="Z1509" s="4">
        <v>657.87886732764605</v>
      </c>
      <c r="AA1509" s="4">
        <v>221.19470459108535</v>
      </c>
      <c r="AB1509" s="4">
        <v>0</v>
      </c>
      <c r="AC1509" s="4">
        <v>15.423119999999999</v>
      </c>
      <c r="AD1509" s="4">
        <v>6.0645299999999995</v>
      </c>
      <c r="AE1509" s="4">
        <v>0</v>
      </c>
      <c r="AF1509" s="4">
        <v>20.394244887157026</v>
      </c>
      <c r="AG1509" s="4">
        <v>6.8570358423236462</v>
      </c>
    </row>
    <row r="1510" spans="1:33" ht="11.25" customHeight="1" x14ac:dyDescent="0.25">
      <c r="A1510" s="3" t="s">
        <v>56</v>
      </c>
      <c r="B1510" s="3" t="s">
        <v>44</v>
      </c>
      <c r="C1510" s="3" t="s">
        <v>33</v>
      </c>
      <c r="D1510" s="3" t="s">
        <v>45</v>
      </c>
      <c r="E1510" s="3" t="s">
        <v>25</v>
      </c>
      <c r="F1510" s="3" t="s">
        <v>25</v>
      </c>
      <c r="G1510" s="3" t="s">
        <v>25</v>
      </c>
      <c r="H1510" s="3" t="s">
        <v>36</v>
      </c>
      <c r="I1510" s="6">
        <v>44621</v>
      </c>
      <c r="J1510" s="4">
        <v>0</v>
      </c>
      <c r="K1510" s="4">
        <v>0</v>
      </c>
      <c r="L1510" s="4">
        <v>3.1E-2</v>
      </c>
      <c r="M1510" s="4">
        <v>3.1E-2</v>
      </c>
      <c r="N1510" s="4">
        <v>3.1E-2</v>
      </c>
      <c r="O1510" s="4">
        <v>3.1E-2</v>
      </c>
      <c r="P1510" s="4">
        <v>0</v>
      </c>
      <c r="Q1510" s="3" t="s">
        <v>26</v>
      </c>
      <c r="R1510" s="3">
        <v>0</v>
      </c>
      <c r="S1510" s="4">
        <v>0</v>
      </c>
      <c r="T1510" s="4">
        <v>52</v>
      </c>
      <c r="U1510" s="4">
        <v>70</v>
      </c>
      <c r="V1510" s="4">
        <v>0</v>
      </c>
      <c r="W1510" s="4">
        <v>497.52</v>
      </c>
      <c r="X1510" s="4">
        <v>195.63</v>
      </c>
      <c r="Y1510" s="4"/>
      <c r="Z1510" s="4">
        <v>657.87886732764605</v>
      </c>
      <c r="AA1510" s="4">
        <v>221.19470459108535</v>
      </c>
      <c r="AB1510" s="4">
        <v>0</v>
      </c>
      <c r="AC1510" s="4">
        <v>15.423119999999999</v>
      </c>
      <c r="AD1510" s="4">
        <v>6.0645299999999995</v>
      </c>
      <c r="AE1510" s="4">
        <v>0</v>
      </c>
      <c r="AF1510" s="4">
        <v>20.394244887157026</v>
      </c>
      <c r="AG1510" s="4">
        <v>6.8570358423236462</v>
      </c>
    </row>
    <row r="1511" spans="1:33" ht="11.25" customHeight="1" x14ac:dyDescent="0.25">
      <c r="A1511" s="3" t="s">
        <v>21</v>
      </c>
      <c r="B1511" s="3" t="s">
        <v>44</v>
      </c>
      <c r="C1511" s="3" t="s">
        <v>33</v>
      </c>
      <c r="D1511" s="3" t="s">
        <v>45</v>
      </c>
      <c r="E1511" s="3" t="s">
        <v>25</v>
      </c>
      <c r="F1511" s="3" t="s">
        <v>25</v>
      </c>
      <c r="G1511" s="3" t="s">
        <v>25</v>
      </c>
      <c r="H1511" s="3" t="s">
        <v>34</v>
      </c>
      <c r="I1511" s="6">
        <v>44287</v>
      </c>
      <c r="J1511" s="4">
        <v>0</v>
      </c>
      <c r="K1511" s="4">
        <v>0</v>
      </c>
      <c r="L1511" s="4">
        <v>6.0999999999999999E-2</v>
      </c>
      <c r="M1511" s="4">
        <v>6.0999999999999999E-2</v>
      </c>
      <c r="N1511" s="4">
        <v>6.0999999999999999E-2</v>
      </c>
      <c r="O1511" s="4">
        <v>6.0999999999999999E-2</v>
      </c>
      <c r="P1511" s="4">
        <v>0</v>
      </c>
      <c r="Q1511" s="3" t="s">
        <v>26</v>
      </c>
      <c r="R1511" s="3">
        <v>0</v>
      </c>
      <c r="S1511" s="4">
        <v>0</v>
      </c>
      <c r="T1511" s="4">
        <v>51</v>
      </c>
      <c r="U1511" s="4">
        <v>69</v>
      </c>
      <c r="V1511" s="4">
        <v>0</v>
      </c>
      <c r="W1511" s="4">
        <v>786.82</v>
      </c>
      <c r="X1511" s="4">
        <v>321.64</v>
      </c>
      <c r="Y1511" s="4"/>
      <c r="Z1511" s="4">
        <v>1037.6976569703704</v>
      </c>
      <c r="AA1511" s="4">
        <v>358.53993794788886</v>
      </c>
      <c r="AB1511" s="4">
        <v>0</v>
      </c>
      <c r="AC1511" s="4">
        <v>47.996020000000001</v>
      </c>
      <c r="AD1511" s="4">
        <v>19.620039999999999</v>
      </c>
      <c r="AE1511" s="4">
        <v>0</v>
      </c>
      <c r="AF1511" s="4">
        <v>63.299557075192595</v>
      </c>
      <c r="AG1511" s="4">
        <v>21.870936214821221</v>
      </c>
    </row>
    <row r="1512" spans="1:33" ht="11.25" customHeight="1" x14ac:dyDescent="0.25">
      <c r="A1512" s="3" t="s">
        <v>21</v>
      </c>
      <c r="B1512" s="3" t="s">
        <v>44</v>
      </c>
      <c r="C1512" s="3" t="s">
        <v>33</v>
      </c>
      <c r="D1512" s="3" t="s">
        <v>45</v>
      </c>
      <c r="E1512" s="3" t="s">
        <v>25</v>
      </c>
      <c r="F1512" s="3" t="s">
        <v>25</v>
      </c>
      <c r="G1512" s="3" t="s">
        <v>25</v>
      </c>
      <c r="H1512" s="3" t="s">
        <v>34</v>
      </c>
      <c r="I1512" s="6">
        <v>44317</v>
      </c>
      <c r="J1512" s="4">
        <v>0</v>
      </c>
      <c r="K1512" s="4">
        <v>0</v>
      </c>
      <c r="L1512" s="4">
        <v>5.8000000000000003E-2</v>
      </c>
      <c r="M1512" s="4">
        <v>5.8000000000000003E-2</v>
      </c>
      <c r="N1512" s="4">
        <v>5.8000000000000003E-2</v>
      </c>
      <c r="O1512" s="4">
        <v>5.8000000000000003E-2</v>
      </c>
      <c r="P1512" s="4">
        <v>0</v>
      </c>
      <c r="Q1512" s="3" t="s">
        <v>26</v>
      </c>
      <c r="R1512" s="3">
        <v>0</v>
      </c>
      <c r="S1512" s="4">
        <v>0</v>
      </c>
      <c r="T1512" s="4">
        <v>51</v>
      </c>
      <c r="U1512" s="4">
        <v>69</v>
      </c>
      <c r="V1512" s="4">
        <v>0</v>
      </c>
      <c r="W1512" s="4">
        <v>786.82</v>
      </c>
      <c r="X1512" s="4">
        <v>321.64</v>
      </c>
      <c r="Y1512" s="4"/>
      <c r="Z1512" s="4">
        <v>1037.6976569703704</v>
      </c>
      <c r="AA1512" s="4">
        <v>358.53993794788886</v>
      </c>
      <c r="AB1512" s="4">
        <v>0</v>
      </c>
      <c r="AC1512" s="4">
        <v>45.635560000000005</v>
      </c>
      <c r="AD1512" s="4">
        <v>18.65512</v>
      </c>
      <c r="AE1512" s="4">
        <v>0</v>
      </c>
      <c r="AF1512" s="4">
        <v>60.186464104281484</v>
      </c>
      <c r="AG1512" s="4">
        <v>20.795316400977555</v>
      </c>
    </row>
    <row r="1513" spans="1:33" ht="11.25" customHeight="1" x14ac:dyDescent="0.25">
      <c r="A1513" s="3" t="s">
        <v>21</v>
      </c>
      <c r="B1513" s="3" t="s">
        <v>44</v>
      </c>
      <c r="C1513" s="3" t="s">
        <v>33</v>
      </c>
      <c r="D1513" s="3" t="s">
        <v>45</v>
      </c>
      <c r="E1513" s="3" t="s">
        <v>25</v>
      </c>
      <c r="F1513" s="3" t="s">
        <v>25</v>
      </c>
      <c r="G1513" s="3" t="s">
        <v>25</v>
      </c>
      <c r="H1513" s="3" t="s">
        <v>34</v>
      </c>
      <c r="I1513" s="6">
        <v>44348</v>
      </c>
      <c r="J1513" s="4">
        <v>0</v>
      </c>
      <c r="K1513" s="4">
        <v>0</v>
      </c>
      <c r="L1513" s="4">
        <v>5.3999999999999999E-2</v>
      </c>
      <c r="M1513" s="4">
        <v>5.3999999999999999E-2</v>
      </c>
      <c r="N1513" s="4">
        <v>5.3999999999999999E-2</v>
      </c>
      <c r="O1513" s="4">
        <v>5.3999999999999999E-2</v>
      </c>
      <c r="P1513" s="4">
        <v>0</v>
      </c>
      <c r="Q1513" s="3" t="s">
        <v>26</v>
      </c>
      <c r="R1513" s="3">
        <v>0</v>
      </c>
      <c r="S1513" s="4">
        <v>0</v>
      </c>
      <c r="T1513" s="4">
        <v>51</v>
      </c>
      <c r="U1513" s="4">
        <v>69</v>
      </c>
      <c r="V1513" s="4">
        <v>0</v>
      </c>
      <c r="W1513" s="4">
        <v>786.82</v>
      </c>
      <c r="X1513" s="4">
        <v>321.64</v>
      </c>
      <c r="Y1513" s="4"/>
      <c r="Z1513" s="4">
        <v>1037.6976569703704</v>
      </c>
      <c r="AA1513" s="4">
        <v>358.53993794788886</v>
      </c>
      <c r="AB1513" s="4">
        <v>0</v>
      </c>
      <c r="AC1513" s="4">
        <v>42.488280000000003</v>
      </c>
      <c r="AD1513" s="4">
        <v>17.368559999999999</v>
      </c>
      <c r="AE1513" s="4">
        <v>0</v>
      </c>
      <c r="AF1513" s="4">
        <v>56.0356734764</v>
      </c>
      <c r="AG1513" s="4">
        <v>19.361156649185997</v>
      </c>
    </row>
    <row r="1514" spans="1:33" ht="11.25" customHeight="1" x14ac:dyDescent="0.25">
      <c r="A1514" s="3" t="s">
        <v>21</v>
      </c>
      <c r="B1514" s="3" t="s">
        <v>44</v>
      </c>
      <c r="C1514" s="3" t="s">
        <v>33</v>
      </c>
      <c r="D1514" s="3" t="s">
        <v>45</v>
      </c>
      <c r="E1514" s="3" t="s">
        <v>25</v>
      </c>
      <c r="F1514" s="3" t="s">
        <v>25</v>
      </c>
      <c r="G1514" s="3" t="s">
        <v>25</v>
      </c>
      <c r="H1514" s="3" t="s">
        <v>34</v>
      </c>
      <c r="I1514" s="6">
        <v>44378</v>
      </c>
      <c r="J1514" s="4">
        <v>0</v>
      </c>
      <c r="K1514" s="4">
        <v>0</v>
      </c>
      <c r="L1514" s="4">
        <v>6.3E-2</v>
      </c>
      <c r="M1514" s="4">
        <v>6.3E-2</v>
      </c>
      <c r="N1514" s="4">
        <v>6.3E-2</v>
      </c>
      <c r="O1514" s="4">
        <v>6.3E-2</v>
      </c>
      <c r="P1514" s="4">
        <v>0</v>
      </c>
      <c r="Q1514" s="3" t="s">
        <v>26</v>
      </c>
      <c r="R1514" s="3">
        <v>0</v>
      </c>
      <c r="S1514" s="4">
        <v>0</v>
      </c>
      <c r="T1514" s="4">
        <v>51</v>
      </c>
      <c r="U1514" s="4">
        <v>69</v>
      </c>
      <c r="V1514" s="4">
        <v>0</v>
      </c>
      <c r="W1514" s="4">
        <v>786.82</v>
      </c>
      <c r="X1514" s="4">
        <v>321.64</v>
      </c>
      <c r="Y1514" s="4"/>
      <c r="Z1514" s="4">
        <v>1037.6976569703704</v>
      </c>
      <c r="AA1514" s="4">
        <v>358.53993794788886</v>
      </c>
      <c r="AB1514" s="4">
        <v>0</v>
      </c>
      <c r="AC1514" s="4">
        <v>49.569660000000006</v>
      </c>
      <c r="AD1514" s="4">
        <v>20.26332</v>
      </c>
      <c r="AE1514" s="4">
        <v>0</v>
      </c>
      <c r="AF1514" s="4">
        <v>65.374952389133341</v>
      </c>
      <c r="AG1514" s="4">
        <v>22.588016090716998</v>
      </c>
    </row>
    <row r="1515" spans="1:33" ht="11.25" customHeight="1" x14ac:dyDescent="0.25">
      <c r="A1515" s="3" t="s">
        <v>21</v>
      </c>
      <c r="B1515" s="3" t="s">
        <v>44</v>
      </c>
      <c r="C1515" s="3" t="s">
        <v>33</v>
      </c>
      <c r="D1515" s="3" t="s">
        <v>45</v>
      </c>
      <c r="E1515" s="3" t="s">
        <v>25</v>
      </c>
      <c r="F1515" s="3" t="s">
        <v>25</v>
      </c>
      <c r="G1515" s="3" t="s">
        <v>25</v>
      </c>
      <c r="H1515" s="3" t="s">
        <v>34</v>
      </c>
      <c r="I1515" s="6">
        <v>44409</v>
      </c>
      <c r="J1515" s="4">
        <v>0</v>
      </c>
      <c r="K1515" s="4">
        <v>0</v>
      </c>
      <c r="L1515" s="4">
        <v>5.8000000000000003E-2</v>
      </c>
      <c r="M1515" s="4">
        <v>5.8000000000000003E-2</v>
      </c>
      <c r="N1515" s="4">
        <v>5.8000000000000003E-2</v>
      </c>
      <c r="O1515" s="4">
        <v>5.8000000000000003E-2</v>
      </c>
      <c r="P1515" s="4">
        <v>0</v>
      </c>
      <c r="Q1515" s="3" t="s">
        <v>26</v>
      </c>
      <c r="R1515" s="3">
        <v>0</v>
      </c>
      <c r="S1515" s="4">
        <v>0</v>
      </c>
      <c r="T1515" s="4">
        <v>51</v>
      </c>
      <c r="U1515" s="4">
        <v>69</v>
      </c>
      <c r="V1515" s="4">
        <v>0</v>
      </c>
      <c r="W1515" s="4">
        <v>786.82</v>
      </c>
      <c r="X1515" s="4">
        <v>321.64</v>
      </c>
      <c r="Y1515" s="4"/>
      <c r="Z1515" s="4">
        <v>1037.6976569703704</v>
      </c>
      <c r="AA1515" s="4">
        <v>358.53993794788886</v>
      </c>
      <c r="AB1515" s="4">
        <v>0</v>
      </c>
      <c r="AC1515" s="4">
        <v>45.635560000000005</v>
      </c>
      <c r="AD1515" s="4">
        <v>18.65512</v>
      </c>
      <c r="AE1515" s="4">
        <v>0</v>
      </c>
      <c r="AF1515" s="4">
        <v>60.186464104281484</v>
      </c>
      <c r="AG1515" s="4">
        <v>20.795316400977555</v>
      </c>
    </row>
    <row r="1516" spans="1:33" ht="11.25" customHeight="1" x14ac:dyDescent="0.25">
      <c r="A1516" s="3" t="s">
        <v>21</v>
      </c>
      <c r="B1516" s="3" t="s">
        <v>44</v>
      </c>
      <c r="C1516" s="3" t="s">
        <v>33</v>
      </c>
      <c r="D1516" s="3" t="s">
        <v>45</v>
      </c>
      <c r="E1516" s="3" t="s">
        <v>25</v>
      </c>
      <c r="F1516" s="3" t="s">
        <v>25</v>
      </c>
      <c r="G1516" s="3" t="s">
        <v>25</v>
      </c>
      <c r="H1516" s="3" t="s">
        <v>34</v>
      </c>
      <c r="I1516" s="6">
        <v>44440</v>
      </c>
      <c r="J1516" s="4">
        <v>0</v>
      </c>
      <c r="K1516" s="4">
        <v>0</v>
      </c>
      <c r="L1516" s="4">
        <v>5.8000000000000003E-2</v>
      </c>
      <c r="M1516" s="4">
        <v>5.8000000000000003E-2</v>
      </c>
      <c r="N1516" s="4">
        <v>5.8000000000000003E-2</v>
      </c>
      <c r="O1516" s="4">
        <v>5.8000000000000003E-2</v>
      </c>
      <c r="P1516" s="4">
        <v>0</v>
      </c>
      <c r="Q1516" s="3" t="s">
        <v>26</v>
      </c>
      <c r="R1516" s="3">
        <v>0</v>
      </c>
      <c r="S1516" s="4">
        <v>0</v>
      </c>
      <c r="T1516" s="4">
        <v>51</v>
      </c>
      <c r="U1516" s="4">
        <v>69</v>
      </c>
      <c r="V1516" s="4">
        <v>0</v>
      </c>
      <c r="W1516" s="4">
        <v>786.82</v>
      </c>
      <c r="X1516" s="4">
        <v>321.64</v>
      </c>
      <c r="Y1516" s="4"/>
      <c r="Z1516" s="4">
        <v>1037.6976569703704</v>
      </c>
      <c r="AA1516" s="4">
        <v>358.53993794788886</v>
      </c>
      <c r="AB1516" s="4">
        <v>0</v>
      </c>
      <c r="AC1516" s="4">
        <v>45.635560000000005</v>
      </c>
      <c r="AD1516" s="4">
        <v>18.65512</v>
      </c>
      <c r="AE1516" s="4">
        <v>0</v>
      </c>
      <c r="AF1516" s="4">
        <v>60.186464104281484</v>
      </c>
      <c r="AG1516" s="4">
        <v>20.795316400977555</v>
      </c>
    </row>
    <row r="1517" spans="1:33" ht="11.25" customHeight="1" x14ac:dyDescent="0.25">
      <c r="A1517" s="3" t="s">
        <v>21</v>
      </c>
      <c r="B1517" s="3" t="s">
        <v>44</v>
      </c>
      <c r="C1517" s="3" t="s">
        <v>33</v>
      </c>
      <c r="D1517" s="3" t="s">
        <v>45</v>
      </c>
      <c r="E1517" s="3" t="s">
        <v>25</v>
      </c>
      <c r="F1517" s="3" t="s">
        <v>25</v>
      </c>
      <c r="G1517" s="3" t="s">
        <v>25</v>
      </c>
      <c r="H1517" s="3" t="s">
        <v>34</v>
      </c>
      <c r="I1517" s="6">
        <v>44470</v>
      </c>
      <c r="J1517" s="4">
        <v>0</v>
      </c>
      <c r="K1517" s="4">
        <v>0</v>
      </c>
      <c r="L1517" s="4">
        <v>5.1999999999999998E-2</v>
      </c>
      <c r="M1517" s="4">
        <v>5.1999999999999998E-2</v>
      </c>
      <c r="N1517" s="4">
        <v>5.1999999999999998E-2</v>
      </c>
      <c r="O1517" s="4">
        <v>5.1999999999999998E-2</v>
      </c>
      <c r="P1517" s="4">
        <v>0</v>
      </c>
      <c r="Q1517" s="3" t="s">
        <v>26</v>
      </c>
      <c r="R1517" s="3">
        <v>0</v>
      </c>
      <c r="S1517" s="4">
        <v>0</v>
      </c>
      <c r="T1517" s="4">
        <v>51</v>
      </c>
      <c r="U1517" s="4">
        <v>69</v>
      </c>
      <c r="V1517" s="4">
        <v>0</v>
      </c>
      <c r="W1517" s="4">
        <v>786.82</v>
      </c>
      <c r="X1517" s="4">
        <v>321.64</v>
      </c>
      <c r="Y1517" s="4"/>
      <c r="Z1517" s="4">
        <v>1037.6976569703704</v>
      </c>
      <c r="AA1517" s="4">
        <v>358.53993794788886</v>
      </c>
      <c r="AB1517" s="4">
        <v>0</v>
      </c>
      <c r="AC1517" s="4">
        <v>40.914639999999999</v>
      </c>
      <c r="AD1517" s="4">
        <v>16.725279999999998</v>
      </c>
      <c r="AE1517" s="4">
        <v>0</v>
      </c>
      <c r="AF1517" s="4">
        <v>53.960278162459261</v>
      </c>
      <c r="AG1517" s="4">
        <v>18.64407677329022</v>
      </c>
    </row>
    <row r="1518" spans="1:33" ht="11.25" customHeight="1" x14ac:dyDescent="0.25">
      <c r="A1518" s="3" t="s">
        <v>21</v>
      </c>
      <c r="B1518" s="3" t="s">
        <v>44</v>
      </c>
      <c r="C1518" s="3" t="s">
        <v>33</v>
      </c>
      <c r="D1518" s="3" t="s">
        <v>45</v>
      </c>
      <c r="E1518" s="3" t="s">
        <v>25</v>
      </c>
      <c r="F1518" s="3" t="s">
        <v>25</v>
      </c>
      <c r="G1518" s="3" t="s">
        <v>25</v>
      </c>
      <c r="H1518" s="3" t="s">
        <v>34</v>
      </c>
      <c r="I1518" s="6">
        <v>44501</v>
      </c>
      <c r="J1518" s="4">
        <v>0</v>
      </c>
      <c r="K1518" s="4">
        <v>0</v>
      </c>
      <c r="L1518" s="4">
        <v>4.7E-2</v>
      </c>
      <c r="M1518" s="4">
        <v>4.7E-2</v>
      </c>
      <c r="N1518" s="4">
        <v>4.7E-2</v>
      </c>
      <c r="O1518" s="4">
        <v>4.7E-2</v>
      </c>
      <c r="P1518" s="4">
        <v>0</v>
      </c>
      <c r="Q1518" s="3" t="s">
        <v>26</v>
      </c>
      <c r="R1518" s="3">
        <v>0</v>
      </c>
      <c r="S1518" s="4">
        <v>0</v>
      </c>
      <c r="T1518" s="4">
        <v>51</v>
      </c>
      <c r="U1518" s="4">
        <v>69</v>
      </c>
      <c r="V1518" s="4">
        <v>0</v>
      </c>
      <c r="W1518" s="4">
        <v>786.82</v>
      </c>
      <c r="X1518" s="4">
        <v>321.64</v>
      </c>
      <c r="Y1518" s="4"/>
      <c r="Z1518" s="4">
        <v>1037.6976569703704</v>
      </c>
      <c r="AA1518" s="4">
        <v>358.53993794788886</v>
      </c>
      <c r="AB1518" s="4">
        <v>0</v>
      </c>
      <c r="AC1518" s="4">
        <v>36.980540000000005</v>
      </c>
      <c r="AD1518" s="4">
        <v>15.11708</v>
      </c>
      <c r="AE1518" s="4">
        <v>0</v>
      </c>
      <c r="AF1518" s="4">
        <v>48.771789877607411</v>
      </c>
      <c r="AG1518" s="4">
        <v>16.851377083550776</v>
      </c>
    </row>
    <row r="1519" spans="1:33" ht="11.25" customHeight="1" x14ac:dyDescent="0.25">
      <c r="A1519" s="3" t="s">
        <v>21</v>
      </c>
      <c r="B1519" s="3" t="s">
        <v>44</v>
      </c>
      <c r="C1519" s="3" t="s">
        <v>33</v>
      </c>
      <c r="D1519" s="3" t="s">
        <v>45</v>
      </c>
      <c r="E1519" s="3" t="s">
        <v>25</v>
      </c>
      <c r="F1519" s="3" t="s">
        <v>25</v>
      </c>
      <c r="G1519" s="3" t="s">
        <v>25</v>
      </c>
      <c r="H1519" s="3" t="s">
        <v>34</v>
      </c>
      <c r="I1519" s="6">
        <v>44531</v>
      </c>
      <c r="J1519" s="4">
        <v>0</v>
      </c>
      <c r="K1519" s="4">
        <v>0</v>
      </c>
      <c r="L1519" s="4">
        <v>2.1999999999999999E-2</v>
      </c>
      <c r="M1519" s="4">
        <v>2.1999999999999999E-2</v>
      </c>
      <c r="N1519" s="4">
        <v>2.1999999999999999E-2</v>
      </c>
      <c r="O1519" s="4">
        <v>2.1999999999999999E-2</v>
      </c>
      <c r="P1519" s="4">
        <v>0</v>
      </c>
      <c r="Q1519" s="3" t="s">
        <v>26</v>
      </c>
      <c r="R1519" s="3">
        <v>0</v>
      </c>
      <c r="S1519" s="4">
        <v>0</v>
      </c>
      <c r="T1519" s="4">
        <v>51</v>
      </c>
      <c r="U1519" s="4">
        <v>69</v>
      </c>
      <c r="V1519" s="4">
        <v>0</v>
      </c>
      <c r="W1519" s="4">
        <v>786.82</v>
      </c>
      <c r="X1519" s="4">
        <v>321.64</v>
      </c>
      <c r="Y1519" s="4"/>
      <c r="Z1519" s="4">
        <v>1037.6976569703704</v>
      </c>
      <c r="AA1519" s="4">
        <v>358.53993794788886</v>
      </c>
      <c r="AB1519" s="4">
        <v>0</v>
      </c>
      <c r="AC1519" s="4">
        <v>17.310040000000001</v>
      </c>
      <c r="AD1519" s="4">
        <v>7.0760799999999993</v>
      </c>
      <c r="AE1519" s="4">
        <v>0</v>
      </c>
      <c r="AF1519" s="4">
        <v>22.829348453348146</v>
      </c>
      <c r="AG1519" s="4">
        <v>7.8878786348535543</v>
      </c>
    </row>
    <row r="1520" spans="1:33" ht="11.25" customHeight="1" x14ac:dyDescent="0.25">
      <c r="A1520" s="3" t="s">
        <v>21</v>
      </c>
      <c r="B1520" s="3" t="s">
        <v>44</v>
      </c>
      <c r="C1520" s="3" t="s">
        <v>33</v>
      </c>
      <c r="D1520" s="3" t="s">
        <v>45</v>
      </c>
      <c r="E1520" s="3" t="s">
        <v>25</v>
      </c>
      <c r="F1520" s="3" t="s">
        <v>25</v>
      </c>
      <c r="G1520" s="3" t="s">
        <v>25</v>
      </c>
      <c r="H1520" s="3" t="s">
        <v>34</v>
      </c>
      <c r="I1520" s="6">
        <v>44562</v>
      </c>
      <c r="J1520" s="4">
        <v>0</v>
      </c>
      <c r="K1520" s="4">
        <v>0</v>
      </c>
      <c r="L1520" s="4">
        <v>2.1999999999999999E-2</v>
      </c>
      <c r="M1520" s="4">
        <v>2.1999999999999999E-2</v>
      </c>
      <c r="N1520" s="4">
        <v>2.1999999999999999E-2</v>
      </c>
      <c r="O1520" s="4">
        <v>2.1999999999999999E-2</v>
      </c>
      <c r="P1520" s="4">
        <v>0</v>
      </c>
      <c r="Q1520" s="3" t="s">
        <v>26</v>
      </c>
      <c r="R1520" s="3">
        <v>0</v>
      </c>
      <c r="S1520" s="4">
        <v>0</v>
      </c>
      <c r="T1520" s="4">
        <v>51</v>
      </c>
      <c r="U1520" s="4">
        <v>69</v>
      </c>
      <c r="V1520" s="4">
        <v>0</v>
      </c>
      <c r="W1520" s="4">
        <v>786.82</v>
      </c>
      <c r="X1520" s="4">
        <v>321.64</v>
      </c>
      <c r="Y1520" s="4"/>
      <c r="Z1520" s="4">
        <v>1037.6976569703704</v>
      </c>
      <c r="AA1520" s="4">
        <v>358.53993794788886</v>
      </c>
      <c r="AB1520" s="4">
        <v>0</v>
      </c>
      <c r="AC1520" s="4">
        <v>17.310040000000001</v>
      </c>
      <c r="AD1520" s="4">
        <v>7.0760799999999993</v>
      </c>
      <c r="AE1520" s="4">
        <v>0</v>
      </c>
      <c r="AF1520" s="4">
        <v>22.829348453348146</v>
      </c>
      <c r="AG1520" s="4">
        <v>7.8878786348535543</v>
      </c>
    </row>
    <row r="1521" spans="1:33" ht="11.25" customHeight="1" x14ac:dyDescent="0.25">
      <c r="A1521" s="3" t="s">
        <v>21</v>
      </c>
      <c r="B1521" s="3" t="s">
        <v>44</v>
      </c>
      <c r="C1521" s="3" t="s">
        <v>33</v>
      </c>
      <c r="D1521" s="3" t="s">
        <v>45</v>
      </c>
      <c r="E1521" s="3" t="s">
        <v>25</v>
      </c>
      <c r="F1521" s="3" t="s">
        <v>25</v>
      </c>
      <c r="G1521" s="3" t="s">
        <v>25</v>
      </c>
      <c r="H1521" s="3" t="s">
        <v>34</v>
      </c>
      <c r="I1521" s="6">
        <v>44593</v>
      </c>
      <c r="J1521" s="4">
        <v>0</v>
      </c>
      <c r="K1521" s="4">
        <v>0</v>
      </c>
      <c r="L1521" s="4">
        <v>1.7999999999999999E-2</v>
      </c>
      <c r="M1521" s="4">
        <v>1.7999999999999999E-2</v>
      </c>
      <c r="N1521" s="4">
        <v>1.7999999999999999E-2</v>
      </c>
      <c r="O1521" s="4">
        <v>1.7999999999999999E-2</v>
      </c>
      <c r="P1521" s="4">
        <v>0</v>
      </c>
      <c r="Q1521" s="3" t="s">
        <v>26</v>
      </c>
      <c r="R1521" s="3">
        <v>0</v>
      </c>
      <c r="S1521" s="4">
        <v>0</v>
      </c>
      <c r="T1521" s="4">
        <v>51</v>
      </c>
      <c r="U1521" s="4">
        <v>69</v>
      </c>
      <c r="V1521" s="4">
        <v>0</v>
      </c>
      <c r="W1521" s="4">
        <v>786.82</v>
      </c>
      <c r="X1521" s="4">
        <v>321.64</v>
      </c>
      <c r="Y1521" s="4"/>
      <c r="Z1521" s="4">
        <v>1037.6976569703704</v>
      </c>
      <c r="AA1521" s="4">
        <v>358.53993794788886</v>
      </c>
      <c r="AB1521" s="4">
        <v>0</v>
      </c>
      <c r="AC1521" s="4">
        <v>14.16276</v>
      </c>
      <c r="AD1521" s="4">
        <v>5.7895199999999996</v>
      </c>
      <c r="AE1521" s="4">
        <v>0</v>
      </c>
      <c r="AF1521" s="4">
        <v>18.678557825466665</v>
      </c>
      <c r="AG1521" s="4">
        <v>6.4537188830619989</v>
      </c>
    </row>
    <row r="1522" spans="1:33" ht="11.25" customHeight="1" x14ac:dyDescent="0.25">
      <c r="A1522" s="3" t="s">
        <v>56</v>
      </c>
      <c r="B1522" s="3" t="s">
        <v>44</v>
      </c>
      <c r="C1522" s="3" t="s">
        <v>33</v>
      </c>
      <c r="D1522" s="3" t="s">
        <v>45</v>
      </c>
      <c r="E1522" s="3" t="s">
        <v>25</v>
      </c>
      <c r="F1522" s="3" t="s">
        <v>25</v>
      </c>
      <c r="G1522" s="3" t="s">
        <v>25</v>
      </c>
      <c r="H1522" s="3" t="s">
        <v>34</v>
      </c>
      <c r="I1522" s="6">
        <v>44621</v>
      </c>
      <c r="J1522" s="4">
        <v>0</v>
      </c>
      <c r="K1522" s="4">
        <v>0</v>
      </c>
      <c r="L1522" s="4">
        <v>1.7999999999999999E-2</v>
      </c>
      <c r="M1522" s="4">
        <v>1.7999999999999999E-2</v>
      </c>
      <c r="N1522" s="4">
        <v>1.7999999999999999E-2</v>
      </c>
      <c r="O1522" s="4">
        <v>1.7999999999999999E-2</v>
      </c>
      <c r="P1522" s="4">
        <v>0</v>
      </c>
      <c r="Q1522" s="3" t="s">
        <v>26</v>
      </c>
      <c r="R1522" s="3">
        <v>0</v>
      </c>
      <c r="S1522" s="4">
        <v>0</v>
      </c>
      <c r="T1522" s="4">
        <v>51</v>
      </c>
      <c r="U1522" s="4">
        <v>69</v>
      </c>
      <c r="V1522" s="4">
        <v>0</v>
      </c>
      <c r="W1522" s="4">
        <v>786.82</v>
      </c>
      <c r="X1522" s="4">
        <v>321.64</v>
      </c>
      <c r="Y1522" s="4"/>
      <c r="Z1522" s="4">
        <v>1037.6976569703704</v>
      </c>
      <c r="AA1522" s="4">
        <v>358.53993794788886</v>
      </c>
      <c r="AB1522" s="4">
        <v>0</v>
      </c>
      <c r="AC1522" s="4">
        <v>14.16276</v>
      </c>
      <c r="AD1522" s="4">
        <v>5.7895199999999996</v>
      </c>
      <c r="AE1522" s="4">
        <v>0</v>
      </c>
      <c r="AF1522" s="4">
        <v>18.678557825466665</v>
      </c>
      <c r="AG1522" s="4">
        <v>6.4537188830619989</v>
      </c>
    </row>
    <row r="1523" spans="1:33" ht="11.25" customHeight="1" x14ac:dyDescent="0.25">
      <c r="A1523" s="3" t="s">
        <v>21</v>
      </c>
      <c r="B1523" s="3" t="s">
        <v>44</v>
      </c>
      <c r="C1523" s="3" t="s">
        <v>23</v>
      </c>
      <c r="D1523" s="3" t="s">
        <v>45</v>
      </c>
      <c r="E1523" s="3" t="s">
        <v>53</v>
      </c>
      <c r="F1523" s="3" t="s">
        <v>54</v>
      </c>
      <c r="G1523" s="3" t="s">
        <v>25</v>
      </c>
      <c r="H1523" s="3" t="s">
        <v>25</v>
      </c>
      <c r="I1523" s="6">
        <v>44287</v>
      </c>
      <c r="J1523" s="4">
        <v>0</v>
      </c>
      <c r="K1523" s="4">
        <v>0</v>
      </c>
      <c r="L1523" s="4">
        <v>345.04199999999997</v>
      </c>
      <c r="M1523" s="4">
        <v>345.04199999999997</v>
      </c>
      <c r="N1523" s="4">
        <v>345.04199999999997</v>
      </c>
      <c r="O1523" s="4">
        <v>345.04199999999997</v>
      </c>
      <c r="P1523" s="4">
        <v>0</v>
      </c>
      <c r="Q1523" s="3" t="s">
        <v>26</v>
      </c>
      <c r="R1523" s="3">
        <v>0</v>
      </c>
      <c r="S1523" s="4">
        <v>0</v>
      </c>
      <c r="T1523" s="4">
        <v>34</v>
      </c>
      <c r="U1523" s="4">
        <v>53</v>
      </c>
      <c r="V1523" s="4">
        <v>0</v>
      </c>
      <c r="W1523" s="4">
        <v>304.64999999999998</v>
      </c>
      <c r="X1523" s="4">
        <v>206.13</v>
      </c>
      <c r="Y1523" s="4"/>
      <c r="Z1523" s="4">
        <v>404.66608122087951</v>
      </c>
      <c r="AA1523" s="4">
        <v>232.64014070415229</v>
      </c>
      <c r="AB1523" s="4">
        <v>0</v>
      </c>
      <c r="AC1523" s="4">
        <v>105117.04529999998</v>
      </c>
      <c r="AD1523" s="4">
        <v>71123.507459999993</v>
      </c>
      <c r="AE1523" s="4">
        <v>0</v>
      </c>
      <c r="AF1523" s="4">
        <v>139626.7939966147</v>
      </c>
      <c r="AG1523" s="4">
        <v>80270.61942884211</v>
      </c>
    </row>
    <row r="1524" spans="1:33" ht="11.25" customHeight="1" x14ac:dyDescent="0.25">
      <c r="A1524" s="3" t="s">
        <v>27</v>
      </c>
      <c r="B1524" s="3" t="s">
        <v>44</v>
      </c>
      <c r="C1524" s="3" t="s">
        <v>23</v>
      </c>
      <c r="D1524" s="3" t="s">
        <v>45</v>
      </c>
      <c r="E1524" s="3" t="s">
        <v>53</v>
      </c>
      <c r="F1524" s="3" t="s">
        <v>54</v>
      </c>
      <c r="G1524" s="3" t="s">
        <v>25</v>
      </c>
      <c r="H1524" s="3" t="s">
        <v>25</v>
      </c>
      <c r="I1524" s="6">
        <v>44287</v>
      </c>
      <c r="J1524" s="4">
        <v>0</v>
      </c>
      <c r="K1524" s="4">
        <v>0</v>
      </c>
      <c r="L1524" s="4">
        <v>-6.665</v>
      </c>
      <c r="M1524" s="4">
        <v>-6.665</v>
      </c>
      <c r="N1524" s="4">
        <v>-6.665</v>
      </c>
      <c r="O1524" s="4">
        <v>-6.665</v>
      </c>
      <c r="P1524" s="4">
        <v>0</v>
      </c>
      <c r="Q1524" s="3" t="s">
        <v>26</v>
      </c>
      <c r="R1524" s="3">
        <v>0</v>
      </c>
      <c r="S1524" s="4">
        <v>0</v>
      </c>
      <c r="T1524" s="4">
        <v>34</v>
      </c>
      <c r="U1524" s="4">
        <v>53</v>
      </c>
      <c r="V1524" s="4">
        <v>0</v>
      </c>
      <c r="W1524" s="4">
        <v>304.64999999999998</v>
      </c>
      <c r="X1524" s="4">
        <v>206.13</v>
      </c>
      <c r="Y1524" s="4"/>
      <c r="Z1524" s="4">
        <v>404.66608122087951</v>
      </c>
      <c r="AA1524" s="4">
        <v>232.64014070415229</v>
      </c>
      <c r="AB1524" s="4">
        <v>0</v>
      </c>
      <c r="AC1524" s="4">
        <v>-2030.4922499999998</v>
      </c>
      <c r="AD1524" s="4">
        <v>-1373.85645</v>
      </c>
      <c r="AE1524" s="4">
        <v>0</v>
      </c>
      <c r="AF1524" s="4">
        <v>-2697.0994313371621</v>
      </c>
      <c r="AG1524" s="4">
        <v>-1550.546537793175</v>
      </c>
    </row>
    <row r="1525" spans="1:33" ht="11.25" customHeight="1" x14ac:dyDescent="0.25">
      <c r="A1525" s="3" t="s">
        <v>28</v>
      </c>
      <c r="B1525" s="3" t="s">
        <v>44</v>
      </c>
      <c r="C1525" s="3" t="s">
        <v>23</v>
      </c>
      <c r="D1525" s="3" t="s">
        <v>45</v>
      </c>
      <c r="E1525" s="3" t="s">
        <v>53</v>
      </c>
      <c r="F1525" s="3" t="s">
        <v>54</v>
      </c>
      <c r="G1525" s="3" t="s">
        <v>25</v>
      </c>
      <c r="H1525" s="3" t="s">
        <v>25</v>
      </c>
      <c r="I1525" s="6">
        <v>44287</v>
      </c>
      <c r="J1525" s="4">
        <v>0</v>
      </c>
      <c r="K1525" s="4">
        <v>0</v>
      </c>
      <c r="L1525" s="4">
        <v>1.4039999999999999</v>
      </c>
      <c r="M1525" s="4">
        <v>1.4039999999999999</v>
      </c>
      <c r="N1525" s="4">
        <v>1.4039999999999999</v>
      </c>
      <c r="O1525" s="4">
        <v>1.4039999999999999</v>
      </c>
      <c r="P1525" s="4">
        <v>0</v>
      </c>
      <c r="Q1525" s="3" t="s">
        <v>26</v>
      </c>
      <c r="R1525" s="3">
        <v>0</v>
      </c>
      <c r="S1525" s="4">
        <v>0</v>
      </c>
      <c r="T1525" s="4">
        <v>34</v>
      </c>
      <c r="U1525" s="4">
        <v>53</v>
      </c>
      <c r="V1525" s="4">
        <v>0</v>
      </c>
      <c r="W1525" s="4">
        <v>304.64999999999998</v>
      </c>
      <c r="X1525" s="4">
        <v>206.13</v>
      </c>
      <c r="Y1525" s="4"/>
      <c r="Z1525" s="4">
        <v>404.66608122087951</v>
      </c>
      <c r="AA1525" s="4">
        <v>232.64014070415229</v>
      </c>
      <c r="AB1525" s="4">
        <v>0</v>
      </c>
      <c r="AC1525" s="4">
        <v>427.72859999999991</v>
      </c>
      <c r="AD1525" s="4">
        <v>289.40652</v>
      </c>
      <c r="AE1525" s="4">
        <v>0</v>
      </c>
      <c r="AF1525" s="4">
        <v>568.15117803411476</v>
      </c>
      <c r="AG1525" s="4">
        <v>326.62675754862977</v>
      </c>
    </row>
    <row r="1526" spans="1:33" ht="11.25" customHeight="1" x14ac:dyDescent="0.25">
      <c r="A1526" s="3" t="s">
        <v>21</v>
      </c>
      <c r="B1526" s="3" t="s">
        <v>44</v>
      </c>
      <c r="C1526" s="3" t="s">
        <v>23</v>
      </c>
      <c r="D1526" s="3" t="s">
        <v>45</v>
      </c>
      <c r="E1526" s="3" t="s">
        <v>53</v>
      </c>
      <c r="F1526" s="3" t="s">
        <v>54</v>
      </c>
      <c r="G1526" s="3" t="s">
        <v>25</v>
      </c>
      <c r="H1526" s="3" t="s">
        <v>25</v>
      </c>
      <c r="I1526" s="6">
        <v>44317</v>
      </c>
      <c r="J1526" s="4">
        <v>0</v>
      </c>
      <c r="K1526" s="4">
        <v>0</v>
      </c>
      <c r="L1526" s="4">
        <v>128.46299999999999</v>
      </c>
      <c r="M1526" s="4">
        <v>128.46299999999999</v>
      </c>
      <c r="N1526" s="4">
        <v>128.46299999999999</v>
      </c>
      <c r="O1526" s="4">
        <v>128.46299999999999</v>
      </c>
      <c r="P1526" s="4">
        <v>0</v>
      </c>
      <c r="Q1526" s="3" t="s">
        <v>26</v>
      </c>
      <c r="R1526" s="3">
        <v>0</v>
      </c>
      <c r="S1526" s="4">
        <v>0</v>
      </c>
      <c r="T1526" s="4">
        <v>34</v>
      </c>
      <c r="U1526" s="4">
        <v>53</v>
      </c>
      <c r="V1526" s="4">
        <v>0</v>
      </c>
      <c r="W1526" s="4">
        <v>304.64999999999998</v>
      </c>
      <c r="X1526" s="4">
        <v>206.13</v>
      </c>
      <c r="Y1526" s="4"/>
      <c r="Z1526" s="4">
        <v>404.66608122087951</v>
      </c>
      <c r="AA1526" s="4">
        <v>232.64014070415229</v>
      </c>
      <c r="AB1526" s="4">
        <v>0</v>
      </c>
      <c r="AC1526" s="4">
        <v>39136.252949999995</v>
      </c>
      <c r="AD1526" s="4">
        <v>26480.078189999997</v>
      </c>
      <c r="AE1526" s="4">
        <v>0</v>
      </c>
      <c r="AF1526" s="4">
        <v>51984.618791877838</v>
      </c>
      <c r="AG1526" s="4">
        <v>29885.650395277513</v>
      </c>
    </row>
    <row r="1527" spans="1:33" ht="11.25" customHeight="1" x14ac:dyDescent="0.25">
      <c r="A1527" s="3" t="s">
        <v>27</v>
      </c>
      <c r="B1527" s="3" t="s">
        <v>44</v>
      </c>
      <c r="C1527" s="3" t="s">
        <v>23</v>
      </c>
      <c r="D1527" s="3" t="s">
        <v>45</v>
      </c>
      <c r="E1527" s="3" t="s">
        <v>53</v>
      </c>
      <c r="F1527" s="3" t="s">
        <v>54</v>
      </c>
      <c r="G1527" s="3" t="s">
        <v>25</v>
      </c>
      <c r="H1527" s="3" t="s">
        <v>25</v>
      </c>
      <c r="I1527" s="6">
        <v>44317</v>
      </c>
      <c r="J1527" s="4">
        <v>0</v>
      </c>
      <c r="K1527" s="4">
        <v>0</v>
      </c>
      <c r="L1527" s="4">
        <v>-235.178</v>
      </c>
      <c r="M1527" s="4">
        <v>-235.178</v>
      </c>
      <c r="N1527" s="4">
        <v>-235.178</v>
      </c>
      <c r="O1527" s="4">
        <v>-235.178</v>
      </c>
      <c r="P1527" s="4">
        <v>0</v>
      </c>
      <c r="Q1527" s="3" t="s">
        <v>26</v>
      </c>
      <c r="R1527" s="3">
        <v>0</v>
      </c>
      <c r="S1527" s="4">
        <v>0</v>
      </c>
      <c r="T1527" s="4">
        <v>34</v>
      </c>
      <c r="U1527" s="4">
        <v>53</v>
      </c>
      <c r="V1527" s="4">
        <v>0</v>
      </c>
      <c r="W1527" s="4">
        <v>304.64999999999998</v>
      </c>
      <c r="X1527" s="4">
        <v>206.13</v>
      </c>
      <c r="Y1527" s="4"/>
      <c r="Z1527" s="4">
        <v>404.66608122087951</v>
      </c>
      <c r="AA1527" s="4">
        <v>232.64014070415229</v>
      </c>
      <c r="AB1527" s="4">
        <v>0</v>
      </c>
      <c r="AC1527" s="4">
        <v>-71646.977699999989</v>
      </c>
      <c r="AD1527" s="4">
        <v>-48477.241139999998</v>
      </c>
      <c r="AE1527" s="4">
        <v>0</v>
      </c>
      <c r="AF1527" s="4">
        <v>-95168.559649364004</v>
      </c>
      <c r="AG1527" s="4">
        <v>-54711.843010521123</v>
      </c>
    </row>
    <row r="1528" spans="1:33" ht="11.25" customHeight="1" x14ac:dyDescent="0.25">
      <c r="A1528" s="3" t="s">
        <v>28</v>
      </c>
      <c r="B1528" s="3" t="s">
        <v>44</v>
      </c>
      <c r="C1528" s="3" t="s">
        <v>23</v>
      </c>
      <c r="D1528" s="3" t="s">
        <v>45</v>
      </c>
      <c r="E1528" s="3" t="s">
        <v>53</v>
      </c>
      <c r="F1528" s="3" t="s">
        <v>54</v>
      </c>
      <c r="G1528" s="3" t="s">
        <v>25</v>
      </c>
      <c r="H1528" s="3" t="s">
        <v>25</v>
      </c>
      <c r="I1528" s="6">
        <v>44317</v>
      </c>
      <c r="J1528" s="4">
        <v>0</v>
      </c>
      <c r="K1528" s="4">
        <v>0</v>
      </c>
      <c r="L1528" s="4">
        <v>0.92800000000000005</v>
      </c>
      <c r="M1528" s="4">
        <v>0.92800000000000005</v>
      </c>
      <c r="N1528" s="4">
        <v>0.92800000000000005</v>
      </c>
      <c r="O1528" s="4">
        <v>0.92800000000000005</v>
      </c>
      <c r="P1528" s="4">
        <v>0</v>
      </c>
      <c r="Q1528" s="3" t="s">
        <v>26</v>
      </c>
      <c r="R1528" s="3">
        <v>0</v>
      </c>
      <c r="S1528" s="4">
        <v>0</v>
      </c>
      <c r="T1528" s="4">
        <v>34</v>
      </c>
      <c r="U1528" s="4">
        <v>53</v>
      </c>
      <c r="V1528" s="4">
        <v>0</v>
      </c>
      <c r="W1528" s="4">
        <v>304.64999999999998</v>
      </c>
      <c r="X1528" s="4">
        <v>206.13</v>
      </c>
      <c r="Y1528" s="4"/>
      <c r="Z1528" s="4">
        <v>404.66608122087951</v>
      </c>
      <c r="AA1528" s="4">
        <v>232.64014070415229</v>
      </c>
      <c r="AB1528" s="4">
        <v>0</v>
      </c>
      <c r="AC1528" s="4">
        <v>282.71519999999998</v>
      </c>
      <c r="AD1528" s="4">
        <v>191.28864000000002</v>
      </c>
      <c r="AE1528" s="4">
        <v>0</v>
      </c>
      <c r="AF1528" s="4">
        <v>375.53012337297622</v>
      </c>
      <c r="AG1528" s="4">
        <v>215.89005057345332</v>
      </c>
    </row>
    <row r="1529" spans="1:33" ht="11.25" customHeight="1" x14ac:dyDescent="0.25">
      <c r="A1529" s="3" t="s">
        <v>21</v>
      </c>
      <c r="B1529" s="3" t="s">
        <v>44</v>
      </c>
      <c r="C1529" s="3" t="s">
        <v>23</v>
      </c>
      <c r="D1529" s="3" t="s">
        <v>45</v>
      </c>
      <c r="E1529" s="3" t="s">
        <v>53</v>
      </c>
      <c r="F1529" s="3" t="s">
        <v>54</v>
      </c>
      <c r="G1529" s="3" t="s">
        <v>25</v>
      </c>
      <c r="H1529" s="3" t="s">
        <v>25</v>
      </c>
      <c r="I1529" s="6">
        <v>44348</v>
      </c>
      <c r="J1529" s="4">
        <v>0</v>
      </c>
      <c r="K1529" s="4">
        <v>0</v>
      </c>
      <c r="L1529" s="4">
        <v>127.322</v>
      </c>
      <c r="M1529" s="4">
        <v>127.322</v>
      </c>
      <c r="N1529" s="4">
        <v>127.322</v>
      </c>
      <c r="O1529" s="4">
        <v>127.322</v>
      </c>
      <c r="P1529" s="4">
        <v>0</v>
      </c>
      <c r="Q1529" s="3" t="s">
        <v>26</v>
      </c>
      <c r="R1529" s="3">
        <v>0</v>
      </c>
      <c r="S1529" s="4">
        <v>0</v>
      </c>
      <c r="T1529" s="4">
        <v>34</v>
      </c>
      <c r="U1529" s="4">
        <v>53</v>
      </c>
      <c r="V1529" s="4">
        <v>0</v>
      </c>
      <c r="W1529" s="4">
        <v>304.64999999999998</v>
      </c>
      <c r="X1529" s="4">
        <v>206.13</v>
      </c>
      <c r="Y1529" s="4"/>
      <c r="Z1529" s="4">
        <v>404.66608122087951</v>
      </c>
      <c r="AA1529" s="4">
        <v>232.64014070415229</v>
      </c>
      <c r="AB1529" s="4">
        <v>0</v>
      </c>
      <c r="AC1529" s="4">
        <v>38788.647299999997</v>
      </c>
      <c r="AD1529" s="4">
        <v>26244.883860000002</v>
      </c>
      <c r="AE1529" s="4">
        <v>0</v>
      </c>
      <c r="AF1529" s="4">
        <v>51522.894793204825</v>
      </c>
      <c r="AG1529" s="4">
        <v>29620.207994734079</v>
      </c>
    </row>
    <row r="1530" spans="1:33" ht="11.25" customHeight="1" x14ac:dyDescent="0.25">
      <c r="A1530" s="3" t="s">
        <v>27</v>
      </c>
      <c r="B1530" s="3" t="s">
        <v>44</v>
      </c>
      <c r="C1530" s="3" t="s">
        <v>23</v>
      </c>
      <c r="D1530" s="3" t="s">
        <v>45</v>
      </c>
      <c r="E1530" s="3" t="s">
        <v>53</v>
      </c>
      <c r="F1530" s="3" t="s">
        <v>54</v>
      </c>
      <c r="G1530" s="3" t="s">
        <v>25</v>
      </c>
      <c r="H1530" s="3" t="s">
        <v>25</v>
      </c>
      <c r="I1530" s="6">
        <v>44348</v>
      </c>
      <c r="J1530" s="4">
        <v>0</v>
      </c>
      <c r="K1530" s="4">
        <v>0</v>
      </c>
      <c r="L1530" s="4">
        <v>0.63300000000000001</v>
      </c>
      <c r="M1530" s="4">
        <v>0.63300000000000001</v>
      </c>
      <c r="N1530" s="4">
        <v>0.63300000000000001</v>
      </c>
      <c r="O1530" s="4">
        <v>0.63300000000000001</v>
      </c>
      <c r="P1530" s="4">
        <v>0</v>
      </c>
      <c r="Q1530" s="3" t="s">
        <v>26</v>
      </c>
      <c r="R1530" s="3">
        <v>0</v>
      </c>
      <c r="S1530" s="4">
        <v>0</v>
      </c>
      <c r="T1530" s="4">
        <v>34</v>
      </c>
      <c r="U1530" s="4">
        <v>53</v>
      </c>
      <c r="V1530" s="4">
        <v>0</v>
      </c>
      <c r="W1530" s="4">
        <v>304.64999999999998</v>
      </c>
      <c r="X1530" s="4">
        <v>206.13</v>
      </c>
      <c r="Y1530" s="4"/>
      <c r="Z1530" s="4">
        <v>404.66608122087951</v>
      </c>
      <c r="AA1530" s="4">
        <v>232.64014070415229</v>
      </c>
      <c r="AB1530" s="4">
        <v>0</v>
      </c>
      <c r="AC1530" s="4">
        <v>192.84344999999999</v>
      </c>
      <c r="AD1530" s="4">
        <v>130.48029</v>
      </c>
      <c r="AE1530" s="4">
        <v>0</v>
      </c>
      <c r="AF1530" s="4">
        <v>256.15362941281671</v>
      </c>
      <c r="AG1530" s="4">
        <v>147.26120906572839</v>
      </c>
    </row>
    <row r="1531" spans="1:33" ht="11.25" customHeight="1" x14ac:dyDescent="0.25">
      <c r="A1531" s="3" t="s">
        <v>28</v>
      </c>
      <c r="B1531" s="3" t="s">
        <v>44</v>
      </c>
      <c r="C1531" s="3" t="s">
        <v>23</v>
      </c>
      <c r="D1531" s="3" t="s">
        <v>45</v>
      </c>
      <c r="E1531" s="3" t="s">
        <v>53</v>
      </c>
      <c r="F1531" s="3" t="s">
        <v>54</v>
      </c>
      <c r="G1531" s="3" t="s">
        <v>25</v>
      </c>
      <c r="H1531" s="3" t="s">
        <v>25</v>
      </c>
      <c r="I1531" s="6">
        <v>44348</v>
      </c>
      <c r="J1531" s="4">
        <v>0</v>
      </c>
      <c r="K1531" s="4">
        <v>0</v>
      </c>
      <c r="L1531" s="4">
        <v>0.49199999999999999</v>
      </c>
      <c r="M1531" s="4">
        <v>0.49199999999999999</v>
      </c>
      <c r="N1531" s="4">
        <v>0.49199999999999999</v>
      </c>
      <c r="O1531" s="4">
        <v>0.49199999999999999</v>
      </c>
      <c r="P1531" s="4">
        <v>0</v>
      </c>
      <c r="Q1531" s="3" t="s">
        <v>26</v>
      </c>
      <c r="R1531" s="3">
        <v>0</v>
      </c>
      <c r="S1531" s="4">
        <v>0</v>
      </c>
      <c r="T1531" s="4">
        <v>34</v>
      </c>
      <c r="U1531" s="4">
        <v>53</v>
      </c>
      <c r="V1531" s="4">
        <v>0</v>
      </c>
      <c r="W1531" s="4">
        <v>304.64999999999998</v>
      </c>
      <c r="X1531" s="4">
        <v>206.13</v>
      </c>
      <c r="Y1531" s="4"/>
      <c r="Z1531" s="4">
        <v>404.66608122087951</v>
      </c>
      <c r="AA1531" s="4">
        <v>232.64014070415229</v>
      </c>
      <c r="AB1531" s="4">
        <v>0</v>
      </c>
      <c r="AC1531" s="4">
        <v>149.8878</v>
      </c>
      <c r="AD1531" s="4">
        <v>101.41596</v>
      </c>
      <c r="AE1531" s="4">
        <v>0</v>
      </c>
      <c r="AF1531" s="4">
        <v>199.0957119606727</v>
      </c>
      <c r="AG1531" s="4">
        <v>114.45894922644293</v>
      </c>
    </row>
    <row r="1532" spans="1:33" ht="11.25" customHeight="1" x14ac:dyDescent="0.25">
      <c r="A1532" s="3" t="s">
        <v>21</v>
      </c>
      <c r="B1532" s="3" t="s">
        <v>44</v>
      </c>
      <c r="C1532" s="3" t="s">
        <v>23</v>
      </c>
      <c r="D1532" s="3" t="s">
        <v>45</v>
      </c>
      <c r="E1532" s="3" t="s">
        <v>53</v>
      </c>
      <c r="F1532" s="3" t="s">
        <v>54</v>
      </c>
      <c r="G1532" s="3" t="s">
        <v>25</v>
      </c>
      <c r="H1532" s="3" t="s">
        <v>25</v>
      </c>
      <c r="I1532" s="6">
        <v>44378</v>
      </c>
      <c r="J1532" s="4">
        <v>0</v>
      </c>
      <c r="K1532" s="4">
        <v>0</v>
      </c>
      <c r="L1532" s="4">
        <v>108.435</v>
      </c>
      <c r="M1532" s="4">
        <v>108.435</v>
      </c>
      <c r="N1532" s="4">
        <v>108.435</v>
      </c>
      <c r="O1532" s="4">
        <v>108.435</v>
      </c>
      <c r="P1532" s="4">
        <v>0</v>
      </c>
      <c r="Q1532" s="3" t="s">
        <v>26</v>
      </c>
      <c r="R1532" s="3">
        <v>0</v>
      </c>
      <c r="S1532" s="4">
        <v>0</v>
      </c>
      <c r="T1532" s="4">
        <v>34</v>
      </c>
      <c r="U1532" s="4">
        <v>53</v>
      </c>
      <c r="V1532" s="4">
        <v>0</v>
      </c>
      <c r="W1532" s="4">
        <v>304.64999999999998</v>
      </c>
      <c r="X1532" s="4">
        <v>206.13</v>
      </c>
      <c r="Y1532" s="4"/>
      <c r="Z1532" s="4">
        <v>404.66608122087951</v>
      </c>
      <c r="AA1532" s="4">
        <v>232.64014070415229</v>
      </c>
      <c r="AB1532" s="4">
        <v>0</v>
      </c>
      <c r="AC1532" s="4">
        <v>33034.722750000001</v>
      </c>
      <c r="AD1532" s="4">
        <v>22351.706549999999</v>
      </c>
      <c r="AE1532" s="4">
        <v>0</v>
      </c>
      <c r="AF1532" s="4">
        <v>43879.966517186069</v>
      </c>
      <c r="AG1532" s="4">
        <v>25226.333657254752</v>
      </c>
    </row>
    <row r="1533" spans="1:33" ht="11.25" customHeight="1" x14ac:dyDescent="0.25">
      <c r="A1533" s="3" t="s">
        <v>27</v>
      </c>
      <c r="B1533" s="3" t="s">
        <v>44</v>
      </c>
      <c r="C1533" s="3" t="s">
        <v>23</v>
      </c>
      <c r="D1533" s="3" t="s">
        <v>45</v>
      </c>
      <c r="E1533" s="3" t="s">
        <v>53</v>
      </c>
      <c r="F1533" s="3" t="s">
        <v>54</v>
      </c>
      <c r="G1533" s="3" t="s">
        <v>25</v>
      </c>
      <c r="H1533" s="3" t="s">
        <v>25</v>
      </c>
      <c r="I1533" s="6">
        <v>44378</v>
      </c>
      <c r="J1533" s="4">
        <v>0</v>
      </c>
      <c r="K1533" s="4">
        <v>0</v>
      </c>
      <c r="L1533" s="4">
        <v>-1.014</v>
      </c>
      <c r="M1533" s="4">
        <v>-1.014</v>
      </c>
      <c r="N1533" s="4">
        <v>-1.014</v>
      </c>
      <c r="O1533" s="4">
        <v>-1.014</v>
      </c>
      <c r="P1533" s="4">
        <v>0</v>
      </c>
      <c r="Q1533" s="3" t="s">
        <v>26</v>
      </c>
      <c r="R1533" s="3">
        <v>0</v>
      </c>
      <c r="S1533" s="4">
        <v>0</v>
      </c>
      <c r="T1533" s="4">
        <v>34</v>
      </c>
      <c r="U1533" s="4">
        <v>53</v>
      </c>
      <c r="V1533" s="4">
        <v>0</v>
      </c>
      <c r="W1533" s="4">
        <v>304.64999999999998</v>
      </c>
      <c r="X1533" s="4">
        <v>206.13</v>
      </c>
      <c r="Y1533" s="4"/>
      <c r="Z1533" s="4">
        <v>404.66608122087951</v>
      </c>
      <c r="AA1533" s="4">
        <v>232.64014070415229</v>
      </c>
      <c r="AB1533" s="4">
        <v>0</v>
      </c>
      <c r="AC1533" s="4">
        <v>-308.9151</v>
      </c>
      <c r="AD1533" s="4">
        <v>-209.01581999999999</v>
      </c>
      <c r="AE1533" s="4">
        <v>0</v>
      </c>
      <c r="AF1533" s="4">
        <v>-410.33140635797184</v>
      </c>
      <c r="AG1533" s="4">
        <v>-235.89710267401043</v>
      </c>
    </row>
    <row r="1534" spans="1:33" ht="11.25" customHeight="1" x14ac:dyDescent="0.25">
      <c r="A1534" s="3" t="s">
        <v>28</v>
      </c>
      <c r="B1534" s="3" t="s">
        <v>44</v>
      </c>
      <c r="C1534" s="3" t="s">
        <v>23</v>
      </c>
      <c r="D1534" s="3" t="s">
        <v>45</v>
      </c>
      <c r="E1534" s="3" t="s">
        <v>53</v>
      </c>
      <c r="F1534" s="3" t="s">
        <v>54</v>
      </c>
      <c r="G1534" s="3" t="s">
        <v>25</v>
      </c>
      <c r="H1534" s="3" t="s">
        <v>25</v>
      </c>
      <c r="I1534" s="6">
        <v>44378</v>
      </c>
      <c r="J1534" s="4">
        <v>0</v>
      </c>
      <c r="K1534" s="4">
        <v>0</v>
      </c>
      <c r="L1534" s="4">
        <v>0.625</v>
      </c>
      <c r="M1534" s="4">
        <v>0.625</v>
      </c>
      <c r="N1534" s="4">
        <v>0.625</v>
      </c>
      <c r="O1534" s="4">
        <v>0.625</v>
      </c>
      <c r="P1534" s="4">
        <v>0</v>
      </c>
      <c r="Q1534" s="3" t="s">
        <v>26</v>
      </c>
      <c r="R1534" s="3">
        <v>0</v>
      </c>
      <c r="S1534" s="4">
        <v>0</v>
      </c>
      <c r="T1534" s="4">
        <v>34</v>
      </c>
      <c r="U1534" s="4">
        <v>53</v>
      </c>
      <c r="V1534" s="4">
        <v>0</v>
      </c>
      <c r="W1534" s="4">
        <v>304.64999999999998</v>
      </c>
      <c r="X1534" s="4">
        <v>206.13</v>
      </c>
      <c r="Y1534" s="4"/>
      <c r="Z1534" s="4">
        <v>404.66608122087951</v>
      </c>
      <c r="AA1534" s="4">
        <v>232.64014070415229</v>
      </c>
      <c r="AB1534" s="4">
        <v>0</v>
      </c>
      <c r="AC1534" s="4">
        <v>190.40625</v>
      </c>
      <c r="AD1534" s="4">
        <v>128.83125000000001</v>
      </c>
      <c r="AE1534" s="4">
        <v>0</v>
      </c>
      <c r="AF1534" s="4">
        <v>252.91630076304969</v>
      </c>
      <c r="AG1534" s="4">
        <v>145.40008794009518</v>
      </c>
    </row>
    <row r="1535" spans="1:33" ht="11.25" customHeight="1" x14ac:dyDescent="0.25">
      <c r="A1535" s="3" t="s">
        <v>21</v>
      </c>
      <c r="B1535" s="3" t="s">
        <v>44</v>
      </c>
      <c r="C1535" s="3" t="s">
        <v>23</v>
      </c>
      <c r="D1535" s="3" t="s">
        <v>45</v>
      </c>
      <c r="E1535" s="3" t="s">
        <v>53</v>
      </c>
      <c r="F1535" s="3" t="s">
        <v>54</v>
      </c>
      <c r="G1535" s="3" t="s">
        <v>25</v>
      </c>
      <c r="H1535" s="3" t="s">
        <v>25</v>
      </c>
      <c r="I1535" s="6">
        <v>44409</v>
      </c>
      <c r="J1535" s="4">
        <v>0</v>
      </c>
      <c r="K1535" s="4">
        <v>0</v>
      </c>
      <c r="L1535" s="4">
        <v>109.678</v>
      </c>
      <c r="M1535" s="4">
        <v>109.678</v>
      </c>
      <c r="N1535" s="4">
        <v>109.678</v>
      </c>
      <c r="O1535" s="4">
        <v>109.678</v>
      </c>
      <c r="P1535" s="4">
        <v>0</v>
      </c>
      <c r="Q1535" s="3" t="s">
        <v>26</v>
      </c>
      <c r="R1535" s="3">
        <v>0</v>
      </c>
      <c r="S1535" s="4">
        <v>0</v>
      </c>
      <c r="T1535" s="4">
        <v>34</v>
      </c>
      <c r="U1535" s="4">
        <v>53</v>
      </c>
      <c r="V1535" s="4">
        <v>0</v>
      </c>
      <c r="W1535" s="4">
        <v>304.64999999999998</v>
      </c>
      <c r="X1535" s="4">
        <v>206.13</v>
      </c>
      <c r="Y1535" s="4"/>
      <c r="Z1535" s="4">
        <v>404.66608122087951</v>
      </c>
      <c r="AA1535" s="4">
        <v>232.64014070415229</v>
      </c>
      <c r="AB1535" s="4">
        <v>0</v>
      </c>
      <c r="AC1535" s="4">
        <v>33413.402699999999</v>
      </c>
      <c r="AD1535" s="4">
        <v>22607.92614</v>
      </c>
      <c r="AE1535" s="4">
        <v>0</v>
      </c>
      <c r="AF1535" s="4">
        <v>44382.966456143622</v>
      </c>
      <c r="AG1535" s="4">
        <v>25515.505352150012</v>
      </c>
    </row>
    <row r="1536" spans="1:33" ht="11.25" customHeight="1" x14ac:dyDescent="0.25">
      <c r="A1536" s="3" t="s">
        <v>27</v>
      </c>
      <c r="B1536" s="3" t="s">
        <v>44</v>
      </c>
      <c r="C1536" s="3" t="s">
        <v>23</v>
      </c>
      <c r="D1536" s="3" t="s">
        <v>45</v>
      </c>
      <c r="E1536" s="3" t="s">
        <v>53</v>
      </c>
      <c r="F1536" s="3" t="s">
        <v>54</v>
      </c>
      <c r="G1536" s="3" t="s">
        <v>25</v>
      </c>
      <c r="H1536" s="3" t="s">
        <v>25</v>
      </c>
      <c r="I1536" s="6">
        <v>44409</v>
      </c>
      <c r="J1536" s="4">
        <v>0</v>
      </c>
      <c r="K1536" s="4">
        <v>0</v>
      </c>
      <c r="L1536" s="4">
        <v>-5.5410000000000004</v>
      </c>
      <c r="M1536" s="4">
        <v>-5.5410000000000004</v>
      </c>
      <c r="N1536" s="4">
        <v>-5.5410000000000004</v>
      </c>
      <c r="O1536" s="4">
        <v>-5.5410000000000004</v>
      </c>
      <c r="P1536" s="4">
        <v>0</v>
      </c>
      <c r="Q1536" s="3" t="s">
        <v>26</v>
      </c>
      <c r="R1536" s="3">
        <v>0</v>
      </c>
      <c r="S1536" s="4">
        <v>0</v>
      </c>
      <c r="T1536" s="4">
        <v>34</v>
      </c>
      <c r="U1536" s="4">
        <v>53</v>
      </c>
      <c r="V1536" s="4">
        <v>0</v>
      </c>
      <c r="W1536" s="4">
        <v>304.64999999999998</v>
      </c>
      <c r="X1536" s="4">
        <v>206.13</v>
      </c>
      <c r="Y1536" s="4"/>
      <c r="Z1536" s="4">
        <v>404.66608122087951</v>
      </c>
      <c r="AA1536" s="4">
        <v>232.64014070415229</v>
      </c>
      <c r="AB1536" s="4">
        <v>0</v>
      </c>
      <c r="AC1536" s="4">
        <v>-1688.06565</v>
      </c>
      <c r="AD1536" s="4">
        <v>-1142.16633</v>
      </c>
      <c r="AE1536" s="4">
        <v>0</v>
      </c>
      <c r="AF1536" s="4">
        <v>-2242.2547560448934</v>
      </c>
      <c r="AG1536" s="4">
        <v>-1289.0590196417079</v>
      </c>
    </row>
    <row r="1537" spans="1:33" ht="11.25" customHeight="1" x14ac:dyDescent="0.25">
      <c r="A1537" s="3" t="s">
        <v>28</v>
      </c>
      <c r="B1537" s="3" t="s">
        <v>44</v>
      </c>
      <c r="C1537" s="3" t="s">
        <v>23</v>
      </c>
      <c r="D1537" s="3" t="s">
        <v>45</v>
      </c>
      <c r="E1537" s="3" t="s">
        <v>53</v>
      </c>
      <c r="F1537" s="3" t="s">
        <v>54</v>
      </c>
      <c r="G1537" s="3" t="s">
        <v>25</v>
      </c>
      <c r="H1537" s="3" t="s">
        <v>25</v>
      </c>
      <c r="I1537" s="6">
        <v>44409</v>
      </c>
      <c r="J1537" s="4">
        <v>0</v>
      </c>
      <c r="K1537" s="4">
        <v>0</v>
      </c>
      <c r="L1537" s="4">
        <v>0.66200000000000003</v>
      </c>
      <c r="M1537" s="4">
        <v>0.66200000000000003</v>
      </c>
      <c r="N1537" s="4">
        <v>0.66200000000000003</v>
      </c>
      <c r="O1537" s="4">
        <v>0.66200000000000003</v>
      </c>
      <c r="P1537" s="4">
        <v>0</v>
      </c>
      <c r="Q1537" s="3" t="s">
        <v>26</v>
      </c>
      <c r="R1537" s="3">
        <v>0</v>
      </c>
      <c r="S1537" s="4">
        <v>0</v>
      </c>
      <c r="T1537" s="4">
        <v>34</v>
      </c>
      <c r="U1537" s="4">
        <v>53</v>
      </c>
      <c r="V1537" s="4">
        <v>0</v>
      </c>
      <c r="W1537" s="4">
        <v>304.64999999999998</v>
      </c>
      <c r="X1537" s="4">
        <v>206.13</v>
      </c>
      <c r="Y1537" s="4"/>
      <c r="Z1537" s="4">
        <v>404.66608122087951</v>
      </c>
      <c r="AA1537" s="4">
        <v>232.64014070415229</v>
      </c>
      <c r="AB1537" s="4">
        <v>0</v>
      </c>
      <c r="AC1537" s="4">
        <v>201.67830000000001</v>
      </c>
      <c r="AD1537" s="4">
        <v>136.45806000000002</v>
      </c>
      <c r="AE1537" s="4">
        <v>0</v>
      </c>
      <c r="AF1537" s="4">
        <v>267.88894576822224</v>
      </c>
      <c r="AG1537" s="4">
        <v>154.00777314614882</v>
      </c>
    </row>
    <row r="1538" spans="1:33" ht="11.25" customHeight="1" x14ac:dyDescent="0.25">
      <c r="A1538" s="3" t="s">
        <v>21</v>
      </c>
      <c r="B1538" s="3" t="s">
        <v>44</v>
      </c>
      <c r="C1538" s="3" t="s">
        <v>23</v>
      </c>
      <c r="D1538" s="3" t="s">
        <v>45</v>
      </c>
      <c r="E1538" s="3" t="s">
        <v>53</v>
      </c>
      <c r="F1538" s="3" t="s">
        <v>54</v>
      </c>
      <c r="G1538" s="3" t="s">
        <v>25</v>
      </c>
      <c r="H1538" s="3" t="s">
        <v>25</v>
      </c>
      <c r="I1538" s="6">
        <v>44440</v>
      </c>
      <c r="J1538" s="4">
        <v>0</v>
      </c>
      <c r="K1538" s="4">
        <v>0</v>
      </c>
      <c r="L1538" s="4">
        <v>194.71899999999999</v>
      </c>
      <c r="M1538" s="4">
        <v>194.71899999999999</v>
      </c>
      <c r="N1538" s="4">
        <v>194.71899999999999</v>
      </c>
      <c r="O1538" s="4">
        <v>194.71899999999999</v>
      </c>
      <c r="P1538" s="4">
        <v>0</v>
      </c>
      <c r="Q1538" s="3" t="s">
        <v>26</v>
      </c>
      <c r="R1538" s="3">
        <v>0</v>
      </c>
      <c r="S1538" s="4">
        <v>0</v>
      </c>
      <c r="T1538" s="4">
        <v>34</v>
      </c>
      <c r="U1538" s="4">
        <v>53</v>
      </c>
      <c r="V1538" s="4">
        <v>0</v>
      </c>
      <c r="W1538" s="4">
        <v>304.64999999999998</v>
      </c>
      <c r="X1538" s="4">
        <v>206.13</v>
      </c>
      <c r="Y1538" s="4"/>
      <c r="Z1538" s="4">
        <v>404.66608122087951</v>
      </c>
      <c r="AA1538" s="4">
        <v>232.64014070415229</v>
      </c>
      <c r="AB1538" s="4">
        <v>0</v>
      </c>
      <c r="AC1538" s="4">
        <v>59321.143349999991</v>
      </c>
      <c r="AD1538" s="4">
        <v>40137.427469999995</v>
      </c>
      <c r="AE1538" s="4">
        <v>0</v>
      </c>
      <c r="AF1538" s="4">
        <v>78796.17466924843</v>
      </c>
      <c r="AG1538" s="4">
        <v>45299.455557771827</v>
      </c>
    </row>
    <row r="1539" spans="1:33" ht="11.25" customHeight="1" x14ac:dyDescent="0.25">
      <c r="A1539" s="3" t="s">
        <v>27</v>
      </c>
      <c r="B1539" s="3" t="s">
        <v>44</v>
      </c>
      <c r="C1539" s="3" t="s">
        <v>23</v>
      </c>
      <c r="D1539" s="3" t="s">
        <v>45</v>
      </c>
      <c r="E1539" s="3" t="s">
        <v>53</v>
      </c>
      <c r="F1539" s="3" t="s">
        <v>54</v>
      </c>
      <c r="G1539" s="3" t="s">
        <v>25</v>
      </c>
      <c r="H1539" s="3" t="s">
        <v>25</v>
      </c>
      <c r="I1539" s="6">
        <v>44440</v>
      </c>
      <c r="J1539" s="4">
        <v>0</v>
      </c>
      <c r="K1539" s="4">
        <v>0</v>
      </c>
      <c r="L1539" s="4">
        <v>-16.681000000000001</v>
      </c>
      <c r="M1539" s="4">
        <v>-16.681000000000001</v>
      </c>
      <c r="N1539" s="4">
        <v>-16.681000000000001</v>
      </c>
      <c r="O1539" s="4">
        <v>-16.681000000000001</v>
      </c>
      <c r="P1539" s="4">
        <v>0</v>
      </c>
      <c r="Q1539" s="3" t="s">
        <v>26</v>
      </c>
      <c r="R1539" s="3">
        <v>0</v>
      </c>
      <c r="S1539" s="4">
        <v>0</v>
      </c>
      <c r="T1539" s="4">
        <v>34</v>
      </c>
      <c r="U1539" s="4">
        <v>53</v>
      </c>
      <c r="V1539" s="4">
        <v>0</v>
      </c>
      <c r="W1539" s="4">
        <v>304.64999999999998</v>
      </c>
      <c r="X1539" s="4">
        <v>206.13</v>
      </c>
      <c r="Y1539" s="4"/>
      <c r="Z1539" s="4">
        <v>404.66608122087951</v>
      </c>
      <c r="AA1539" s="4">
        <v>232.64014070415229</v>
      </c>
      <c r="AB1539" s="4">
        <v>0</v>
      </c>
      <c r="AC1539" s="4">
        <v>-5081.8666499999999</v>
      </c>
      <c r="AD1539" s="4">
        <v>-3438.45453</v>
      </c>
      <c r="AE1539" s="4">
        <v>0</v>
      </c>
      <c r="AF1539" s="4">
        <v>-6750.2349008454912</v>
      </c>
      <c r="AG1539" s="4">
        <v>-3880.6701870859647</v>
      </c>
    </row>
    <row r="1540" spans="1:33" ht="11.25" customHeight="1" x14ac:dyDescent="0.25">
      <c r="A1540" s="3" t="s">
        <v>28</v>
      </c>
      <c r="B1540" s="3" t="s">
        <v>44</v>
      </c>
      <c r="C1540" s="3" t="s">
        <v>23</v>
      </c>
      <c r="D1540" s="3" t="s">
        <v>45</v>
      </c>
      <c r="E1540" s="3" t="s">
        <v>53</v>
      </c>
      <c r="F1540" s="3" t="s">
        <v>54</v>
      </c>
      <c r="G1540" s="3" t="s">
        <v>25</v>
      </c>
      <c r="H1540" s="3" t="s">
        <v>25</v>
      </c>
      <c r="I1540" s="6">
        <v>44440</v>
      </c>
      <c r="J1540" s="4">
        <v>0</v>
      </c>
      <c r="K1540" s="4">
        <v>0</v>
      </c>
      <c r="L1540" s="4">
        <v>1.1639999999999999</v>
      </c>
      <c r="M1540" s="4">
        <v>1.1639999999999999</v>
      </c>
      <c r="N1540" s="4">
        <v>1.1639999999999999</v>
      </c>
      <c r="O1540" s="4">
        <v>1.1639999999999999</v>
      </c>
      <c r="P1540" s="4">
        <v>0</v>
      </c>
      <c r="Q1540" s="3" t="s">
        <v>26</v>
      </c>
      <c r="R1540" s="3">
        <v>0</v>
      </c>
      <c r="S1540" s="4">
        <v>0</v>
      </c>
      <c r="T1540" s="4">
        <v>34</v>
      </c>
      <c r="U1540" s="4">
        <v>53</v>
      </c>
      <c r="V1540" s="4">
        <v>0</v>
      </c>
      <c r="W1540" s="4">
        <v>304.64999999999998</v>
      </c>
      <c r="X1540" s="4">
        <v>206.13</v>
      </c>
      <c r="Y1540" s="4"/>
      <c r="Z1540" s="4">
        <v>404.66608122087951</v>
      </c>
      <c r="AA1540" s="4">
        <v>232.64014070415229</v>
      </c>
      <c r="AB1540" s="4">
        <v>0</v>
      </c>
      <c r="AC1540" s="4">
        <v>354.61259999999993</v>
      </c>
      <c r="AD1540" s="4">
        <v>239.93531999999999</v>
      </c>
      <c r="AE1540" s="4">
        <v>0</v>
      </c>
      <c r="AF1540" s="4">
        <v>471.0313185411037</v>
      </c>
      <c r="AG1540" s="4">
        <v>270.79312377963322</v>
      </c>
    </row>
    <row r="1541" spans="1:33" ht="11.25" customHeight="1" x14ac:dyDescent="0.25">
      <c r="A1541" s="3" t="s">
        <v>21</v>
      </c>
      <c r="B1541" s="3" t="s">
        <v>44</v>
      </c>
      <c r="C1541" s="3" t="s">
        <v>23</v>
      </c>
      <c r="D1541" s="3" t="s">
        <v>45</v>
      </c>
      <c r="E1541" s="3" t="s">
        <v>53</v>
      </c>
      <c r="F1541" s="3" t="s">
        <v>54</v>
      </c>
      <c r="G1541" s="3" t="s">
        <v>25</v>
      </c>
      <c r="H1541" s="3" t="s">
        <v>25</v>
      </c>
      <c r="I1541" s="6">
        <v>44470</v>
      </c>
      <c r="J1541" s="4">
        <v>0</v>
      </c>
      <c r="K1541" s="4">
        <v>0</v>
      </c>
      <c r="L1541" s="4">
        <v>328.14800000000002</v>
      </c>
      <c r="M1541" s="4">
        <v>328.14800000000002</v>
      </c>
      <c r="N1541" s="4">
        <v>328.14800000000002</v>
      </c>
      <c r="O1541" s="4">
        <v>328.14800000000002</v>
      </c>
      <c r="P1541" s="4">
        <v>0</v>
      </c>
      <c r="Q1541" s="3" t="s">
        <v>26</v>
      </c>
      <c r="R1541" s="3">
        <v>0</v>
      </c>
      <c r="S1541" s="4">
        <v>0</v>
      </c>
      <c r="T1541" s="4">
        <v>34</v>
      </c>
      <c r="U1541" s="4">
        <v>53</v>
      </c>
      <c r="V1541" s="4">
        <v>0</v>
      </c>
      <c r="W1541" s="4">
        <v>304.64999999999998</v>
      </c>
      <c r="X1541" s="4">
        <v>206.13</v>
      </c>
      <c r="Y1541" s="4"/>
      <c r="Z1541" s="4">
        <v>404.66608122087951</v>
      </c>
      <c r="AA1541" s="4">
        <v>232.64014070415229</v>
      </c>
      <c r="AB1541" s="4">
        <v>0</v>
      </c>
      <c r="AC1541" s="4">
        <v>99970.288199999995</v>
      </c>
      <c r="AD1541" s="4">
        <v>67641.147240000006</v>
      </c>
      <c r="AE1541" s="4">
        <v>0</v>
      </c>
      <c r="AF1541" s="4">
        <v>132790.36522046919</v>
      </c>
      <c r="AG1541" s="4">
        <v>76340.396891786164</v>
      </c>
    </row>
    <row r="1542" spans="1:33" ht="11.25" customHeight="1" x14ac:dyDescent="0.25">
      <c r="A1542" s="3" t="s">
        <v>27</v>
      </c>
      <c r="B1542" s="3" t="s">
        <v>44</v>
      </c>
      <c r="C1542" s="3" t="s">
        <v>23</v>
      </c>
      <c r="D1542" s="3" t="s">
        <v>45</v>
      </c>
      <c r="E1542" s="3" t="s">
        <v>53</v>
      </c>
      <c r="F1542" s="3" t="s">
        <v>54</v>
      </c>
      <c r="G1542" s="3" t="s">
        <v>25</v>
      </c>
      <c r="H1542" s="3" t="s">
        <v>25</v>
      </c>
      <c r="I1542" s="6">
        <v>44470</v>
      </c>
      <c r="J1542" s="4">
        <v>0</v>
      </c>
      <c r="K1542" s="4">
        <v>0</v>
      </c>
      <c r="L1542" s="4">
        <v>-1.736</v>
      </c>
      <c r="M1542" s="4">
        <v>-1.736</v>
      </c>
      <c r="N1542" s="4">
        <v>-1.736</v>
      </c>
      <c r="O1542" s="4">
        <v>-1.736</v>
      </c>
      <c r="P1542" s="4">
        <v>0</v>
      </c>
      <c r="Q1542" s="3" t="s">
        <v>26</v>
      </c>
      <c r="R1542" s="3">
        <v>0</v>
      </c>
      <c r="S1542" s="4">
        <v>0</v>
      </c>
      <c r="T1542" s="4">
        <v>34</v>
      </c>
      <c r="U1542" s="4">
        <v>53</v>
      </c>
      <c r="V1542" s="4">
        <v>0</v>
      </c>
      <c r="W1542" s="4">
        <v>304.64999999999998</v>
      </c>
      <c r="X1542" s="4">
        <v>206.13</v>
      </c>
      <c r="Y1542" s="4"/>
      <c r="Z1542" s="4">
        <v>404.66608122087951</v>
      </c>
      <c r="AA1542" s="4">
        <v>232.64014070415229</v>
      </c>
      <c r="AB1542" s="4">
        <v>0</v>
      </c>
      <c r="AC1542" s="4">
        <v>-528.87239999999997</v>
      </c>
      <c r="AD1542" s="4">
        <v>-357.84168</v>
      </c>
      <c r="AE1542" s="4">
        <v>0</v>
      </c>
      <c r="AF1542" s="4">
        <v>-702.5003169994468</v>
      </c>
      <c r="AG1542" s="4">
        <v>-403.86328426240834</v>
      </c>
    </row>
    <row r="1543" spans="1:33" ht="11.25" customHeight="1" x14ac:dyDescent="0.25">
      <c r="A1543" s="3" t="s">
        <v>28</v>
      </c>
      <c r="B1543" s="3" t="s">
        <v>44</v>
      </c>
      <c r="C1543" s="3" t="s">
        <v>23</v>
      </c>
      <c r="D1543" s="3" t="s">
        <v>45</v>
      </c>
      <c r="E1543" s="3" t="s">
        <v>53</v>
      </c>
      <c r="F1543" s="3" t="s">
        <v>54</v>
      </c>
      <c r="G1543" s="3" t="s">
        <v>25</v>
      </c>
      <c r="H1543" s="3" t="s">
        <v>25</v>
      </c>
      <c r="I1543" s="6">
        <v>44470</v>
      </c>
      <c r="J1543" s="4">
        <v>0</v>
      </c>
      <c r="K1543" s="4">
        <v>0</v>
      </c>
      <c r="L1543" s="4">
        <v>2.2109999999999999</v>
      </c>
      <c r="M1543" s="4">
        <v>2.2109999999999999</v>
      </c>
      <c r="N1543" s="4">
        <v>2.2109999999999999</v>
      </c>
      <c r="O1543" s="4">
        <v>2.2109999999999999</v>
      </c>
      <c r="P1543" s="4">
        <v>0</v>
      </c>
      <c r="Q1543" s="3" t="s">
        <v>26</v>
      </c>
      <c r="R1543" s="3">
        <v>0</v>
      </c>
      <c r="S1543" s="4">
        <v>0</v>
      </c>
      <c r="T1543" s="4">
        <v>34</v>
      </c>
      <c r="U1543" s="4">
        <v>53</v>
      </c>
      <c r="V1543" s="4">
        <v>0</v>
      </c>
      <c r="W1543" s="4">
        <v>304.64999999999998</v>
      </c>
      <c r="X1543" s="4">
        <v>206.13</v>
      </c>
      <c r="Y1543" s="4"/>
      <c r="Z1543" s="4">
        <v>404.66608122087951</v>
      </c>
      <c r="AA1543" s="4">
        <v>232.64014070415229</v>
      </c>
      <c r="AB1543" s="4">
        <v>0</v>
      </c>
      <c r="AC1543" s="4">
        <v>673.58114999999987</v>
      </c>
      <c r="AD1543" s="4">
        <v>455.75342999999998</v>
      </c>
      <c r="AE1543" s="4">
        <v>0</v>
      </c>
      <c r="AF1543" s="4">
        <v>894.71670557936454</v>
      </c>
      <c r="AG1543" s="4">
        <v>514.36735109688072</v>
      </c>
    </row>
    <row r="1544" spans="1:33" ht="11.25" customHeight="1" x14ac:dyDescent="0.25">
      <c r="A1544" s="3" t="s">
        <v>21</v>
      </c>
      <c r="B1544" s="3" t="s">
        <v>44</v>
      </c>
      <c r="C1544" s="3" t="s">
        <v>23</v>
      </c>
      <c r="D1544" s="3" t="s">
        <v>45</v>
      </c>
      <c r="E1544" s="3" t="s">
        <v>53</v>
      </c>
      <c r="F1544" s="3" t="s">
        <v>54</v>
      </c>
      <c r="G1544" s="3" t="s">
        <v>25</v>
      </c>
      <c r="H1544" s="3" t="s">
        <v>25</v>
      </c>
      <c r="I1544" s="6">
        <v>44501</v>
      </c>
      <c r="J1544" s="4">
        <v>0</v>
      </c>
      <c r="K1544" s="4">
        <v>0</v>
      </c>
      <c r="L1544" s="4">
        <v>306.173</v>
      </c>
      <c r="M1544" s="4">
        <v>306.173</v>
      </c>
      <c r="N1544" s="4">
        <v>306.173</v>
      </c>
      <c r="O1544" s="4">
        <v>306.173</v>
      </c>
      <c r="P1544" s="4">
        <v>0</v>
      </c>
      <c r="Q1544" s="3" t="s">
        <v>26</v>
      </c>
      <c r="R1544" s="3">
        <v>0</v>
      </c>
      <c r="S1544" s="4">
        <v>0</v>
      </c>
      <c r="T1544" s="4">
        <v>34</v>
      </c>
      <c r="U1544" s="4">
        <v>53</v>
      </c>
      <c r="V1544" s="4">
        <v>0</v>
      </c>
      <c r="W1544" s="4">
        <v>304.64999999999998</v>
      </c>
      <c r="X1544" s="4">
        <v>206.13</v>
      </c>
      <c r="Y1544" s="4"/>
      <c r="Z1544" s="4">
        <v>404.66608122087951</v>
      </c>
      <c r="AA1544" s="4">
        <v>232.64014070415229</v>
      </c>
      <c r="AB1544" s="4">
        <v>0</v>
      </c>
      <c r="AC1544" s="4">
        <v>93275.604449999999</v>
      </c>
      <c r="AD1544" s="4">
        <v>63111.440490000001</v>
      </c>
      <c r="AE1544" s="4">
        <v>0</v>
      </c>
      <c r="AF1544" s="4">
        <v>123897.82808564034</v>
      </c>
      <c r="AG1544" s="4">
        <v>71228.129799812421</v>
      </c>
    </row>
    <row r="1545" spans="1:33" ht="11.25" customHeight="1" x14ac:dyDescent="0.25">
      <c r="A1545" s="3" t="s">
        <v>27</v>
      </c>
      <c r="B1545" s="3" t="s">
        <v>44</v>
      </c>
      <c r="C1545" s="3" t="s">
        <v>23</v>
      </c>
      <c r="D1545" s="3" t="s">
        <v>45</v>
      </c>
      <c r="E1545" s="3" t="s">
        <v>53</v>
      </c>
      <c r="F1545" s="3" t="s">
        <v>54</v>
      </c>
      <c r="G1545" s="3" t="s">
        <v>25</v>
      </c>
      <c r="H1545" s="3" t="s">
        <v>25</v>
      </c>
      <c r="I1545" s="6">
        <v>44501</v>
      </c>
      <c r="J1545" s="4">
        <v>0</v>
      </c>
      <c r="K1545" s="4">
        <v>0</v>
      </c>
      <c r="L1545" s="4">
        <v>-14.065</v>
      </c>
      <c r="M1545" s="4">
        <v>-14.065</v>
      </c>
      <c r="N1545" s="4">
        <v>-14.065</v>
      </c>
      <c r="O1545" s="4">
        <v>-14.065</v>
      </c>
      <c r="P1545" s="4">
        <v>0</v>
      </c>
      <c r="Q1545" s="3" t="s">
        <v>26</v>
      </c>
      <c r="R1545" s="3">
        <v>0</v>
      </c>
      <c r="S1545" s="4">
        <v>0</v>
      </c>
      <c r="T1545" s="4">
        <v>34</v>
      </c>
      <c r="U1545" s="4">
        <v>53</v>
      </c>
      <c r="V1545" s="4">
        <v>0</v>
      </c>
      <c r="W1545" s="4">
        <v>304.64999999999998</v>
      </c>
      <c r="X1545" s="4">
        <v>206.13</v>
      </c>
      <c r="Y1545" s="4"/>
      <c r="Z1545" s="4">
        <v>404.66608122087951</v>
      </c>
      <c r="AA1545" s="4">
        <v>232.64014070415229</v>
      </c>
      <c r="AB1545" s="4">
        <v>0</v>
      </c>
      <c r="AC1545" s="4">
        <v>-4284.9022499999992</v>
      </c>
      <c r="AD1545" s="4">
        <v>-2899.2184499999998</v>
      </c>
      <c r="AE1545" s="4">
        <v>0</v>
      </c>
      <c r="AF1545" s="4">
        <v>-5691.62843237167</v>
      </c>
      <c r="AG1545" s="4">
        <v>-3272.0835790039018</v>
      </c>
    </row>
    <row r="1546" spans="1:33" ht="11.25" customHeight="1" x14ac:dyDescent="0.25">
      <c r="A1546" s="3" t="s">
        <v>28</v>
      </c>
      <c r="B1546" s="3" t="s">
        <v>44</v>
      </c>
      <c r="C1546" s="3" t="s">
        <v>23</v>
      </c>
      <c r="D1546" s="3" t="s">
        <v>45</v>
      </c>
      <c r="E1546" s="3" t="s">
        <v>53</v>
      </c>
      <c r="F1546" s="3" t="s">
        <v>54</v>
      </c>
      <c r="G1546" s="3" t="s">
        <v>25</v>
      </c>
      <c r="H1546" s="3" t="s">
        <v>25</v>
      </c>
      <c r="I1546" s="6">
        <v>44501</v>
      </c>
      <c r="J1546" s="4">
        <v>0</v>
      </c>
      <c r="K1546" s="4">
        <v>0</v>
      </c>
      <c r="L1546" s="4">
        <v>2.3330000000000002</v>
      </c>
      <c r="M1546" s="4">
        <v>2.3330000000000002</v>
      </c>
      <c r="N1546" s="4">
        <v>2.3330000000000002</v>
      </c>
      <c r="O1546" s="4">
        <v>2.3330000000000002</v>
      </c>
      <c r="P1546" s="4">
        <v>0</v>
      </c>
      <c r="Q1546" s="3" t="s">
        <v>26</v>
      </c>
      <c r="R1546" s="3">
        <v>0</v>
      </c>
      <c r="S1546" s="4">
        <v>0</v>
      </c>
      <c r="T1546" s="4">
        <v>34</v>
      </c>
      <c r="U1546" s="4">
        <v>53</v>
      </c>
      <c r="V1546" s="4">
        <v>0</v>
      </c>
      <c r="W1546" s="4">
        <v>304.64999999999998</v>
      </c>
      <c r="X1546" s="4">
        <v>206.13</v>
      </c>
      <c r="Y1546" s="4"/>
      <c r="Z1546" s="4">
        <v>404.66608122087951</v>
      </c>
      <c r="AA1546" s="4">
        <v>232.64014070415229</v>
      </c>
      <c r="AB1546" s="4">
        <v>0</v>
      </c>
      <c r="AC1546" s="4">
        <v>710.74845000000005</v>
      </c>
      <c r="AD1546" s="4">
        <v>480.90129000000002</v>
      </c>
      <c r="AE1546" s="4">
        <v>0</v>
      </c>
      <c r="AF1546" s="4">
        <v>944.08596748831201</v>
      </c>
      <c r="AG1546" s="4">
        <v>542.74944826278738</v>
      </c>
    </row>
    <row r="1547" spans="1:33" ht="11.25" customHeight="1" x14ac:dyDescent="0.25">
      <c r="A1547" s="3" t="s">
        <v>21</v>
      </c>
      <c r="B1547" s="3" t="s">
        <v>44</v>
      </c>
      <c r="C1547" s="3" t="s">
        <v>23</v>
      </c>
      <c r="D1547" s="3" t="s">
        <v>45</v>
      </c>
      <c r="E1547" s="3" t="s">
        <v>53</v>
      </c>
      <c r="F1547" s="3" t="s">
        <v>54</v>
      </c>
      <c r="G1547" s="3" t="s">
        <v>25</v>
      </c>
      <c r="H1547" s="3" t="s">
        <v>25</v>
      </c>
      <c r="I1547" s="6">
        <v>44531</v>
      </c>
      <c r="J1547" s="4">
        <v>0</v>
      </c>
      <c r="K1547" s="4">
        <v>0</v>
      </c>
      <c r="L1547" s="4">
        <v>268.79700000000003</v>
      </c>
      <c r="M1547" s="4">
        <v>268.79700000000003</v>
      </c>
      <c r="N1547" s="4">
        <v>268.79700000000003</v>
      </c>
      <c r="O1547" s="4">
        <v>268.79700000000003</v>
      </c>
      <c r="P1547" s="4">
        <v>0</v>
      </c>
      <c r="Q1547" s="3" t="s">
        <v>26</v>
      </c>
      <c r="R1547" s="3">
        <v>0</v>
      </c>
      <c r="S1547" s="4">
        <v>0</v>
      </c>
      <c r="T1547" s="4">
        <v>34</v>
      </c>
      <c r="U1547" s="4">
        <v>53</v>
      </c>
      <c r="V1547" s="4">
        <v>0</v>
      </c>
      <c r="W1547" s="4">
        <v>304.64999999999998</v>
      </c>
      <c r="X1547" s="4">
        <v>206.13</v>
      </c>
      <c r="Y1547" s="4"/>
      <c r="Z1547" s="4">
        <v>404.66608122087951</v>
      </c>
      <c r="AA1547" s="4">
        <v>232.64014070415229</v>
      </c>
      <c r="AB1547" s="4">
        <v>0</v>
      </c>
      <c r="AC1547" s="4">
        <v>81889.006049999996</v>
      </c>
      <c r="AD1547" s="4">
        <v>55407.125610000003</v>
      </c>
      <c r="AE1547" s="4">
        <v>0</v>
      </c>
      <c r="AF1547" s="4">
        <v>108773.02863392876</v>
      </c>
      <c r="AG1547" s="4">
        <v>62532.971900854027</v>
      </c>
    </row>
    <row r="1548" spans="1:33" ht="11.25" customHeight="1" x14ac:dyDescent="0.25">
      <c r="A1548" s="3" t="s">
        <v>27</v>
      </c>
      <c r="B1548" s="3" t="s">
        <v>44</v>
      </c>
      <c r="C1548" s="3" t="s">
        <v>23</v>
      </c>
      <c r="D1548" s="3" t="s">
        <v>45</v>
      </c>
      <c r="E1548" s="3" t="s">
        <v>53</v>
      </c>
      <c r="F1548" s="3" t="s">
        <v>54</v>
      </c>
      <c r="G1548" s="3" t="s">
        <v>25</v>
      </c>
      <c r="H1548" s="3" t="s">
        <v>25</v>
      </c>
      <c r="I1548" s="6">
        <v>44531</v>
      </c>
      <c r="J1548" s="4">
        <v>0</v>
      </c>
      <c r="K1548" s="4">
        <v>0</v>
      </c>
      <c r="L1548" s="4">
        <v>-15.727</v>
      </c>
      <c r="M1548" s="4">
        <v>-15.727</v>
      </c>
      <c r="N1548" s="4">
        <v>-15.727</v>
      </c>
      <c r="O1548" s="4">
        <v>-15.727</v>
      </c>
      <c r="P1548" s="4">
        <v>0</v>
      </c>
      <c r="Q1548" s="3" t="s">
        <v>26</v>
      </c>
      <c r="R1548" s="3">
        <v>0</v>
      </c>
      <c r="S1548" s="4">
        <v>0</v>
      </c>
      <c r="T1548" s="4">
        <v>34</v>
      </c>
      <c r="U1548" s="4">
        <v>53</v>
      </c>
      <c r="V1548" s="4">
        <v>0</v>
      </c>
      <c r="W1548" s="4">
        <v>304.64999999999998</v>
      </c>
      <c r="X1548" s="4">
        <v>206.13</v>
      </c>
      <c r="Y1548" s="4"/>
      <c r="Z1548" s="4">
        <v>404.66608122087951</v>
      </c>
      <c r="AA1548" s="4">
        <v>232.64014070415229</v>
      </c>
      <c r="AB1548" s="4">
        <v>0</v>
      </c>
      <c r="AC1548" s="4">
        <v>-4791.2305499999993</v>
      </c>
      <c r="AD1548" s="4">
        <v>-3241.8065099999999</v>
      </c>
      <c r="AE1548" s="4">
        <v>0</v>
      </c>
      <c r="AF1548" s="4">
        <v>-6364.1834593607718</v>
      </c>
      <c r="AG1548" s="4">
        <v>-3658.7314928542032</v>
      </c>
    </row>
    <row r="1549" spans="1:33" ht="11.25" customHeight="1" x14ac:dyDescent="0.25">
      <c r="A1549" s="3" t="s">
        <v>28</v>
      </c>
      <c r="B1549" s="3" t="s">
        <v>44</v>
      </c>
      <c r="C1549" s="3" t="s">
        <v>23</v>
      </c>
      <c r="D1549" s="3" t="s">
        <v>45</v>
      </c>
      <c r="E1549" s="3" t="s">
        <v>53</v>
      </c>
      <c r="F1549" s="3" t="s">
        <v>54</v>
      </c>
      <c r="G1549" s="3" t="s">
        <v>25</v>
      </c>
      <c r="H1549" s="3" t="s">
        <v>25</v>
      </c>
      <c r="I1549" s="6">
        <v>44531</v>
      </c>
      <c r="J1549" s="4">
        <v>0</v>
      </c>
      <c r="K1549" s="4">
        <v>0</v>
      </c>
      <c r="L1549" s="4">
        <v>2.2290000000000001</v>
      </c>
      <c r="M1549" s="4">
        <v>2.2290000000000001</v>
      </c>
      <c r="N1549" s="4">
        <v>2.2290000000000001</v>
      </c>
      <c r="O1549" s="4">
        <v>2.2290000000000001</v>
      </c>
      <c r="P1549" s="4">
        <v>0</v>
      </c>
      <c r="Q1549" s="3" t="s">
        <v>26</v>
      </c>
      <c r="R1549" s="3">
        <v>0</v>
      </c>
      <c r="S1549" s="4">
        <v>0</v>
      </c>
      <c r="T1549" s="4">
        <v>34</v>
      </c>
      <c r="U1549" s="4">
        <v>53</v>
      </c>
      <c r="V1549" s="4">
        <v>0</v>
      </c>
      <c r="W1549" s="4">
        <v>304.64999999999998</v>
      </c>
      <c r="X1549" s="4">
        <v>206.13</v>
      </c>
      <c r="Y1549" s="4"/>
      <c r="Z1549" s="4">
        <v>404.66608122087951</v>
      </c>
      <c r="AA1549" s="4">
        <v>232.64014070415229</v>
      </c>
      <c r="AB1549" s="4">
        <v>0</v>
      </c>
      <c r="AC1549" s="4">
        <v>679.06484999999998</v>
      </c>
      <c r="AD1549" s="4">
        <v>459.46377000000001</v>
      </c>
      <c r="AE1549" s="4">
        <v>0</v>
      </c>
      <c r="AF1549" s="4">
        <v>902.00069504134046</v>
      </c>
      <c r="AG1549" s="4">
        <v>518.55487362955546</v>
      </c>
    </row>
    <row r="1550" spans="1:33" ht="11.25" customHeight="1" x14ac:dyDescent="0.25">
      <c r="A1550" s="3" t="s">
        <v>21</v>
      </c>
      <c r="B1550" s="3" t="s">
        <v>44</v>
      </c>
      <c r="C1550" s="3" t="s">
        <v>23</v>
      </c>
      <c r="D1550" s="3" t="s">
        <v>45</v>
      </c>
      <c r="E1550" s="3" t="s">
        <v>53</v>
      </c>
      <c r="F1550" s="3" t="s">
        <v>54</v>
      </c>
      <c r="G1550" s="3" t="s">
        <v>25</v>
      </c>
      <c r="H1550" s="3" t="s">
        <v>25</v>
      </c>
      <c r="I1550" s="6">
        <v>44562</v>
      </c>
      <c r="J1550" s="4">
        <v>0</v>
      </c>
      <c r="K1550" s="4">
        <v>0</v>
      </c>
      <c r="L1550" s="4">
        <v>247.02600000000001</v>
      </c>
      <c r="M1550" s="4">
        <v>247.02600000000001</v>
      </c>
      <c r="N1550" s="4">
        <v>247.02600000000001</v>
      </c>
      <c r="O1550" s="4">
        <v>247.02600000000001</v>
      </c>
      <c r="P1550" s="4">
        <v>0</v>
      </c>
      <c r="Q1550" s="3" t="s">
        <v>26</v>
      </c>
      <c r="R1550" s="3">
        <v>0</v>
      </c>
      <c r="S1550" s="4">
        <v>0</v>
      </c>
      <c r="T1550" s="4">
        <v>34</v>
      </c>
      <c r="U1550" s="4">
        <v>53</v>
      </c>
      <c r="V1550" s="4">
        <v>0</v>
      </c>
      <c r="W1550" s="4">
        <v>304.64999999999998</v>
      </c>
      <c r="X1550" s="4">
        <v>206.13</v>
      </c>
      <c r="Y1550" s="4"/>
      <c r="Z1550" s="4">
        <v>404.66608122087951</v>
      </c>
      <c r="AA1550" s="4">
        <v>232.64014070415229</v>
      </c>
      <c r="AB1550" s="4">
        <v>0</v>
      </c>
      <c r="AC1550" s="4">
        <v>75256.4709</v>
      </c>
      <c r="AD1550" s="4">
        <v>50919.469380000002</v>
      </c>
      <c r="AE1550" s="4">
        <v>0</v>
      </c>
      <c r="AF1550" s="4">
        <v>99963.04337966899</v>
      </c>
      <c r="AG1550" s="4">
        <v>57468.163397583929</v>
      </c>
    </row>
    <row r="1551" spans="1:33" ht="11.25" customHeight="1" x14ac:dyDescent="0.25">
      <c r="A1551" s="3" t="s">
        <v>28</v>
      </c>
      <c r="B1551" s="3" t="s">
        <v>44</v>
      </c>
      <c r="C1551" s="3" t="s">
        <v>23</v>
      </c>
      <c r="D1551" s="3" t="s">
        <v>45</v>
      </c>
      <c r="E1551" s="3" t="s">
        <v>53</v>
      </c>
      <c r="F1551" s="3" t="s">
        <v>54</v>
      </c>
      <c r="G1551" s="3" t="s">
        <v>25</v>
      </c>
      <c r="H1551" s="3" t="s">
        <v>25</v>
      </c>
      <c r="I1551" s="6">
        <v>44562</v>
      </c>
      <c r="J1551" s="4">
        <v>0</v>
      </c>
      <c r="K1551" s="4">
        <v>0</v>
      </c>
      <c r="L1551" s="4">
        <v>1.9119999999999999</v>
      </c>
      <c r="M1551" s="4">
        <v>1.9119999999999999</v>
      </c>
      <c r="N1551" s="4">
        <v>1.9119999999999999</v>
      </c>
      <c r="O1551" s="4">
        <v>1.9119999999999999</v>
      </c>
      <c r="P1551" s="4">
        <v>0</v>
      </c>
      <c r="Q1551" s="3" t="s">
        <v>26</v>
      </c>
      <c r="R1551" s="3">
        <v>0</v>
      </c>
      <c r="S1551" s="4">
        <v>0</v>
      </c>
      <c r="T1551" s="4">
        <v>34</v>
      </c>
      <c r="U1551" s="4">
        <v>53</v>
      </c>
      <c r="V1551" s="4">
        <v>0</v>
      </c>
      <c r="W1551" s="4">
        <v>304.64999999999998</v>
      </c>
      <c r="X1551" s="4">
        <v>206.13</v>
      </c>
      <c r="Y1551" s="4"/>
      <c r="Z1551" s="4">
        <v>404.66608122087951</v>
      </c>
      <c r="AA1551" s="4">
        <v>232.64014070415229</v>
      </c>
      <c r="AB1551" s="4">
        <v>0</v>
      </c>
      <c r="AC1551" s="4">
        <v>582.49079999999992</v>
      </c>
      <c r="AD1551" s="4">
        <v>394.12055999999995</v>
      </c>
      <c r="AE1551" s="4">
        <v>0</v>
      </c>
      <c r="AF1551" s="4">
        <v>773.72154729432157</v>
      </c>
      <c r="AG1551" s="4">
        <v>444.80794902633914</v>
      </c>
    </row>
    <row r="1552" spans="1:33" ht="11.25" customHeight="1" x14ac:dyDescent="0.25">
      <c r="A1552" s="3" t="s">
        <v>21</v>
      </c>
      <c r="B1552" s="3" t="s">
        <v>44</v>
      </c>
      <c r="C1552" s="3" t="s">
        <v>23</v>
      </c>
      <c r="D1552" s="3" t="s">
        <v>45</v>
      </c>
      <c r="E1552" s="3" t="s">
        <v>53</v>
      </c>
      <c r="F1552" s="3" t="s">
        <v>54</v>
      </c>
      <c r="G1552" s="3" t="s">
        <v>25</v>
      </c>
      <c r="H1552" s="3" t="s">
        <v>25</v>
      </c>
      <c r="I1552" s="6">
        <v>44593</v>
      </c>
      <c r="J1552" s="4">
        <v>0</v>
      </c>
      <c r="K1552" s="4">
        <v>0</v>
      </c>
      <c r="L1552" s="4">
        <v>254.04</v>
      </c>
      <c r="M1552" s="4">
        <v>254.04</v>
      </c>
      <c r="N1552" s="4">
        <v>254.04</v>
      </c>
      <c r="O1552" s="4">
        <v>254.04</v>
      </c>
      <c r="P1552" s="4">
        <v>0</v>
      </c>
      <c r="Q1552" s="3" t="s">
        <v>26</v>
      </c>
      <c r="R1552" s="3">
        <v>0</v>
      </c>
      <c r="S1552" s="4">
        <v>0</v>
      </c>
      <c r="T1552" s="4">
        <v>34</v>
      </c>
      <c r="U1552" s="4">
        <v>53</v>
      </c>
      <c r="V1552" s="4">
        <v>0</v>
      </c>
      <c r="W1552" s="4">
        <v>304.64999999999998</v>
      </c>
      <c r="X1552" s="4">
        <v>206.13</v>
      </c>
      <c r="Y1552" s="4"/>
      <c r="Z1552" s="4">
        <v>404.66608122087951</v>
      </c>
      <c r="AA1552" s="4">
        <v>232.64014070415229</v>
      </c>
      <c r="AB1552" s="4">
        <v>0</v>
      </c>
      <c r="AC1552" s="4">
        <v>77393.285999999993</v>
      </c>
      <c r="AD1552" s="4">
        <v>52365.265199999994</v>
      </c>
      <c r="AE1552" s="4">
        <v>0</v>
      </c>
      <c r="AF1552" s="4">
        <v>102801.37127335223</v>
      </c>
      <c r="AG1552" s="4">
        <v>59099.901344482845</v>
      </c>
    </row>
    <row r="1553" spans="1:33" ht="11.25" customHeight="1" x14ac:dyDescent="0.25">
      <c r="A1553" s="3" t="s">
        <v>28</v>
      </c>
      <c r="B1553" s="3" t="s">
        <v>44</v>
      </c>
      <c r="C1553" s="3" t="s">
        <v>23</v>
      </c>
      <c r="D1553" s="3" t="s">
        <v>45</v>
      </c>
      <c r="E1553" s="3" t="s">
        <v>53</v>
      </c>
      <c r="F1553" s="3" t="s">
        <v>54</v>
      </c>
      <c r="G1553" s="3" t="s">
        <v>25</v>
      </c>
      <c r="H1553" s="3" t="s">
        <v>25</v>
      </c>
      <c r="I1553" s="6">
        <v>44593</v>
      </c>
      <c r="J1553" s="4">
        <v>0</v>
      </c>
      <c r="K1553" s="4">
        <v>0</v>
      </c>
      <c r="L1553" s="4">
        <v>2.0529999999999999</v>
      </c>
      <c r="M1553" s="4">
        <v>2.0529999999999999</v>
      </c>
      <c r="N1553" s="4">
        <v>2.0529999999999999</v>
      </c>
      <c r="O1553" s="4">
        <v>2.0529999999999999</v>
      </c>
      <c r="P1553" s="4">
        <v>0</v>
      </c>
      <c r="Q1553" s="3" t="s">
        <v>26</v>
      </c>
      <c r="R1553" s="3">
        <v>0</v>
      </c>
      <c r="S1553" s="4">
        <v>0</v>
      </c>
      <c r="T1553" s="4">
        <v>34</v>
      </c>
      <c r="U1553" s="4">
        <v>53</v>
      </c>
      <c r="V1553" s="4">
        <v>0</v>
      </c>
      <c r="W1553" s="4">
        <v>304.64999999999998</v>
      </c>
      <c r="X1553" s="4">
        <v>206.13</v>
      </c>
      <c r="Y1553" s="4"/>
      <c r="Z1553" s="4">
        <v>404.66608122087951</v>
      </c>
      <c r="AA1553" s="4">
        <v>232.64014070415229</v>
      </c>
      <c r="AB1553" s="4">
        <v>0</v>
      </c>
      <c r="AC1553" s="4">
        <v>625.44644999999991</v>
      </c>
      <c r="AD1553" s="4">
        <v>423.18489</v>
      </c>
      <c r="AE1553" s="4">
        <v>0</v>
      </c>
      <c r="AF1553" s="4">
        <v>830.77946474646558</v>
      </c>
      <c r="AG1553" s="4">
        <v>477.61020886562466</v>
      </c>
    </row>
    <row r="1554" spans="1:33" ht="11.25" customHeight="1" x14ac:dyDescent="0.25">
      <c r="A1554" s="3" t="s">
        <v>56</v>
      </c>
      <c r="B1554" s="3" t="s">
        <v>44</v>
      </c>
      <c r="C1554" s="3" t="s">
        <v>23</v>
      </c>
      <c r="D1554" s="3" t="s">
        <v>45</v>
      </c>
      <c r="E1554" s="3" t="s">
        <v>53</v>
      </c>
      <c r="F1554" s="3" t="s">
        <v>54</v>
      </c>
      <c r="G1554" s="3" t="s">
        <v>25</v>
      </c>
      <c r="H1554" s="3" t="s">
        <v>25</v>
      </c>
      <c r="I1554" s="6">
        <v>44621</v>
      </c>
      <c r="J1554" s="4">
        <v>0</v>
      </c>
      <c r="K1554" s="4">
        <v>0</v>
      </c>
      <c r="L1554" s="4">
        <v>254.04</v>
      </c>
      <c r="M1554" s="4">
        <v>254.04</v>
      </c>
      <c r="N1554" s="4">
        <v>254.04</v>
      </c>
      <c r="O1554" s="4">
        <v>254.04</v>
      </c>
      <c r="P1554" s="4">
        <v>0</v>
      </c>
      <c r="Q1554" s="3" t="s">
        <v>26</v>
      </c>
      <c r="R1554" s="3">
        <v>0</v>
      </c>
      <c r="S1554" s="4">
        <v>0</v>
      </c>
      <c r="T1554" s="4">
        <v>34</v>
      </c>
      <c r="U1554" s="4">
        <v>53</v>
      </c>
      <c r="V1554" s="4">
        <v>0</v>
      </c>
      <c r="W1554" s="4">
        <v>304.64999999999998</v>
      </c>
      <c r="X1554" s="4">
        <v>206.13</v>
      </c>
      <c r="Y1554" s="4"/>
      <c r="Z1554" s="4">
        <v>404.66608122087951</v>
      </c>
      <c r="AA1554" s="4">
        <v>232.64014070415229</v>
      </c>
      <c r="AB1554" s="4">
        <v>0</v>
      </c>
      <c r="AC1554" s="4">
        <v>77393.285999999993</v>
      </c>
      <c r="AD1554" s="4">
        <v>52365.265199999994</v>
      </c>
      <c r="AE1554" s="4">
        <v>0</v>
      </c>
      <c r="AF1554" s="4">
        <v>102801.37127335223</v>
      </c>
      <c r="AG1554" s="4">
        <v>59099.901344482845</v>
      </c>
    </row>
    <row r="1555" spans="1:33" ht="11.25" customHeight="1" x14ac:dyDescent="0.25">
      <c r="A1555" s="3" t="s">
        <v>56</v>
      </c>
      <c r="B1555" s="3" t="s">
        <v>44</v>
      </c>
      <c r="C1555" s="3" t="s">
        <v>23</v>
      </c>
      <c r="D1555" s="3" t="s">
        <v>45</v>
      </c>
      <c r="E1555" s="3" t="s">
        <v>53</v>
      </c>
      <c r="F1555" s="3" t="s">
        <v>54</v>
      </c>
      <c r="G1555" s="3" t="s">
        <v>25</v>
      </c>
      <c r="H1555" s="3" t="s">
        <v>25</v>
      </c>
      <c r="I1555" s="6">
        <v>44621</v>
      </c>
      <c r="J1555" s="4">
        <v>0</v>
      </c>
      <c r="K1555" s="4">
        <v>0</v>
      </c>
      <c r="L1555" s="4">
        <v>2.0529999999999999</v>
      </c>
      <c r="M1555" s="4">
        <v>2.0529999999999999</v>
      </c>
      <c r="N1555" s="4">
        <v>2.0529999999999999</v>
      </c>
      <c r="O1555" s="4">
        <v>2.0529999999999999</v>
      </c>
      <c r="P1555" s="4">
        <v>0</v>
      </c>
      <c r="Q1555" s="3" t="s">
        <v>26</v>
      </c>
      <c r="R1555" s="3">
        <v>0</v>
      </c>
      <c r="S1555" s="4">
        <v>0</v>
      </c>
      <c r="T1555" s="4">
        <v>34</v>
      </c>
      <c r="U1555" s="4">
        <v>53</v>
      </c>
      <c r="V1555" s="4">
        <v>0</v>
      </c>
      <c r="W1555" s="4">
        <v>304.64999999999998</v>
      </c>
      <c r="X1555" s="4">
        <v>206.13</v>
      </c>
      <c r="Y1555" s="4"/>
      <c r="Z1555" s="4">
        <v>404.66608122087951</v>
      </c>
      <c r="AA1555" s="4">
        <v>232.64014070415229</v>
      </c>
      <c r="AB1555" s="4">
        <v>0</v>
      </c>
      <c r="AC1555" s="4">
        <v>625.44644999999991</v>
      </c>
      <c r="AD1555" s="4">
        <v>423.18489</v>
      </c>
      <c r="AE1555" s="4">
        <v>0</v>
      </c>
      <c r="AF1555" s="4">
        <v>830.77946474646558</v>
      </c>
      <c r="AG1555" s="4">
        <v>477.61020886562466</v>
      </c>
    </row>
    <row r="1556" spans="1:33" ht="11.25" customHeight="1" x14ac:dyDescent="0.25">
      <c r="A1556" s="3" t="s">
        <v>21</v>
      </c>
      <c r="B1556" s="3" t="s">
        <v>44</v>
      </c>
      <c r="C1556" s="3" t="s">
        <v>23</v>
      </c>
      <c r="D1556" s="3" t="s">
        <v>45</v>
      </c>
      <c r="E1556" s="3" t="s">
        <v>53</v>
      </c>
      <c r="F1556" s="3" t="s">
        <v>55</v>
      </c>
      <c r="G1556" s="3" t="s">
        <v>25</v>
      </c>
      <c r="H1556" s="3" t="s">
        <v>25</v>
      </c>
      <c r="I1556" s="6">
        <v>44287</v>
      </c>
      <c r="J1556" s="4">
        <v>0</v>
      </c>
      <c r="K1556" s="4">
        <v>0</v>
      </c>
      <c r="L1556" s="4">
        <v>328.82900000000001</v>
      </c>
      <c r="M1556" s="4">
        <v>88.783829999999995</v>
      </c>
      <c r="N1556" s="4">
        <v>328.82900000000001</v>
      </c>
      <c r="O1556" s="4">
        <v>88.783829999999995</v>
      </c>
      <c r="P1556" s="4">
        <v>0</v>
      </c>
      <c r="Q1556" s="3" t="s">
        <v>26</v>
      </c>
      <c r="R1556" s="3">
        <v>0</v>
      </c>
      <c r="S1556" s="4">
        <v>0</v>
      </c>
      <c r="T1556" s="4">
        <v>34</v>
      </c>
      <c r="U1556" s="4">
        <v>53</v>
      </c>
      <c r="V1556" s="4">
        <v>0</v>
      </c>
      <c r="W1556" s="4">
        <v>304.64999999999998</v>
      </c>
      <c r="X1556" s="4">
        <v>206.13</v>
      </c>
      <c r="Y1556" s="4"/>
      <c r="Z1556" s="4">
        <v>404.66608122087951</v>
      </c>
      <c r="AA1556" s="4">
        <v>232.64014070415229</v>
      </c>
      <c r="AB1556" s="4">
        <v>0</v>
      </c>
      <c r="AC1556" s="4">
        <v>27047.993809499996</v>
      </c>
      <c r="AD1556" s="4">
        <v>18301.0108779</v>
      </c>
      <c r="AE1556" s="4">
        <v>0</v>
      </c>
      <c r="AF1556" s="4">
        <v>35927.804561880759</v>
      </c>
      <c r="AG1556" s="4">
        <v>20654.682703453534</v>
      </c>
    </row>
    <row r="1557" spans="1:33" ht="11.25" customHeight="1" x14ac:dyDescent="0.25">
      <c r="A1557" s="3" t="s">
        <v>27</v>
      </c>
      <c r="B1557" s="3" t="s">
        <v>44</v>
      </c>
      <c r="C1557" s="3" t="s">
        <v>23</v>
      </c>
      <c r="D1557" s="3" t="s">
        <v>45</v>
      </c>
      <c r="E1557" s="3" t="s">
        <v>53</v>
      </c>
      <c r="F1557" s="3" t="s">
        <v>55</v>
      </c>
      <c r="G1557" s="3" t="s">
        <v>25</v>
      </c>
      <c r="H1557" s="3" t="s">
        <v>25</v>
      </c>
      <c r="I1557" s="6">
        <v>44287</v>
      </c>
      <c r="J1557" s="4">
        <v>0</v>
      </c>
      <c r="K1557" s="4">
        <v>0</v>
      </c>
      <c r="L1557" s="4">
        <v>-6.5629999999999997</v>
      </c>
      <c r="M1557" s="4">
        <v>-1.7720100000000001</v>
      </c>
      <c r="N1557" s="4">
        <v>-6.5629999999999997</v>
      </c>
      <c r="O1557" s="4">
        <v>-1.7720100000000001</v>
      </c>
      <c r="P1557" s="4">
        <v>0</v>
      </c>
      <c r="Q1557" s="3" t="s">
        <v>26</v>
      </c>
      <c r="R1557" s="3">
        <v>0</v>
      </c>
      <c r="S1557" s="4">
        <v>0</v>
      </c>
      <c r="T1557" s="4">
        <v>34</v>
      </c>
      <c r="U1557" s="4">
        <v>53</v>
      </c>
      <c r="V1557" s="4">
        <v>0</v>
      </c>
      <c r="W1557" s="4">
        <v>304.64999999999998</v>
      </c>
      <c r="X1557" s="4">
        <v>206.13</v>
      </c>
      <c r="Y1557" s="4"/>
      <c r="Z1557" s="4">
        <v>404.66608122087951</v>
      </c>
      <c r="AA1557" s="4">
        <v>232.64014070415229</v>
      </c>
      <c r="AB1557" s="4">
        <v>0</v>
      </c>
      <c r="AC1557" s="4">
        <v>-539.84284649999995</v>
      </c>
      <c r="AD1557" s="4">
        <v>-365.26442130000004</v>
      </c>
      <c r="AE1557" s="4">
        <v>0</v>
      </c>
      <c r="AF1557" s="4">
        <v>-717.07234258421067</v>
      </c>
      <c r="AG1557" s="4">
        <v>-412.24065572916493</v>
      </c>
    </row>
    <row r="1558" spans="1:33" ht="11.25" customHeight="1" x14ac:dyDescent="0.25">
      <c r="A1558" s="3" t="s">
        <v>28</v>
      </c>
      <c r="B1558" s="3" t="s">
        <v>44</v>
      </c>
      <c r="C1558" s="3" t="s">
        <v>23</v>
      </c>
      <c r="D1558" s="3" t="s">
        <v>45</v>
      </c>
      <c r="E1558" s="3" t="s">
        <v>53</v>
      </c>
      <c r="F1558" s="3" t="s">
        <v>55</v>
      </c>
      <c r="G1558" s="3" t="s">
        <v>25</v>
      </c>
      <c r="H1558" s="3" t="s">
        <v>25</v>
      </c>
      <c r="I1558" s="6">
        <v>44287</v>
      </c>
      <c r="J1558" s="4">
        <v>0</v>
      </c>
      <c r="K1558" s="4">
        <v>0</v>
      </c>
      <c r="L1558" s="4">
        <v>1.4239999999999999</v>
      </c>
      <c r="M1558" s="4">
        <v>0.38447999999999999</v>
      </c>
      <c r="N1558" s="4">
        <v>1.4239999999999999</v>
      </c>
      <c r="O1558" s="4">
        <v>0.38447999999999999</v>
      </c>
      <c r="P1558" s="4">
        <v>0</v>
      </c>
      <c r="Q1558" s="3" t="s">
        <v>26</v>
      </c>
      <c r="R1558" s="3">
        <v>0</v>
      </c>
      <c r="S1558" s="4">
        <v>0</v>
      </c>
      <c r="T1558" s="4">
        <v>34</v>
      </c>
      <c r="U1558" s="4">
        <v>53</v>
      </c>
      <c r="V1558" s="4">
        <v>0</v>
      </c>
      <c r="W1558" s="4">
        <v>304.64999999999998</v>
      </c>
      <c r="X1558" s="4">
        <v>206.13</v>
      </c>
      <c r="Y1558" s="4"/>
      <c r="Z1558" s="4">
        <v>404.66608122087951</v>
      </c>
      <c r="AA1558" s="4">
        <v>232.64014070415229</v>
      </c>
      <c r="AB1558" s="4">
        <v>0</v>
      </c>
      <c r="AC1558" s="4">
        <v>117.13183199999999</v>
      </c>
      <c r="AD1558" s="4">
        <v>79.252862399999998</v>
      </c>
      <c r="AE1558" s="4">
        <v>0</v>
      </c>
      <c r="AF1558" s="4">
        <v>155.58601490780376</v>
      </c>
      <c r="AG1558" s="4">
        <v>89.445481297932474</v>
      </c>
    </row>
    <row r="1559" spans="1:33" ht="11.25" customHeight="1" x14ac:dyDescent="0.25">
      <c r="A1559" s="3" t="s">
        <v>21</v>
      </c>
      <c r="B1559" s="3" t="s">
        <v>44</v>
      </c>
      <c r="C1559" s="3" t="s">
        <v>23</v>
      </c>
      <c r="D1559" s="3" t="s">
        <v>45</v>
      </c>
      <c r="E1559" s="3" t="s">
        <v>53</v>
      </c>
      <c r="F1559" s="3" t="s">
        <v>55</v>
      </c>
      <c r="G1559" s="3" t="s">
        <v>25</v>
      </c>
      <c r="H1559" s="3" t="s">
        <v>25</v>
      </c>
      <c r="I1559" s="6">
        <v>44317</v>
      </c>
      <c r="J1559" s="4">
        <v>0</v>
      </c>
      <c r="K1559" s="4">
        <v>0</v>
      </c>
      <c r="L1559" s="4">
        <v>120.88200000000001</v>
      </c>
      <c r="M1559" s="4">
        <v>32.63814</v>
      </c>
      <c r="N1559" s="4">
        <v>120.88200000000001</v>
      </c>
      <c r="O1559" s="4">
        <v>32.63814</v>
      </c>
      <c r="P1559" s="4">
        <v>0</v>
      </c>
      <c r="Q1559" s="3" t="s">
        <v>26</v>
      </c>
      <c r="R1559" s="3">
        <v>0</v>
      </c>
      <c r="S1559" s="4">
        <v>0</v>
      </c>
      <c r="T1559" s="4">
        <v>34</v>
      </c>
      <c r="U1559" s="4">
        <v>53</v>
      </c>
      <c r="V1559" s="4">
        <v>0</v>
      </c>
      <c r="W1559" s="4">
        <v>304.64999999999998</v>
      </c>
      <c r="X1559" s="4">
        <v>206.13</v>
      </c>
      <c r="Y1559" s="4"/>
      <c r="Z1559" s="4">
        <v>404.66608122087951</v>
      </c>
      <c r="AA1559" s="4">
        <v>232.64014070415229</v>
      </c>
      <c r="AB1559" s="4">
        <v>0</v>
      </c>
      <c r="AC1559" s="4">
        <v>9943.2093509999995</v>
      </c>
      <c r="AD1559" s="4">
        <v>6727.6997982000003</v>
      </c>
      <c r="AE1559" s="4">
        <v>0</v>
      </c>
      <c r="AF1559" s="4">
        <v>13207.548212138436</v>
      </c>
      <c r="AG1559" s="4">
        <v>7592.9414819218209</v>
      </c>
    </row>
    <row r="1560" spans="1:33" ht="11.25" customHeight="1" x14ac:dyDescent="0.25">
      <c r="A1560" s="3" t="s">
        <v>27</v>
      </c>
      <c r="B1560" s="3" t="s">
        <v>44</v>
      </c>
      <c r="C1560" s="3" t="s">
        <v>23</v>
      </c>
      <c r="D1560" s="3" t="s">
        <v>45</v>
      </c>
      <c r="E1560" s="3" t="s">
        <v>53</v>
      </c>
      <c r="F1560" s="3" t="s">
        <v>55</v>
      </c>
      <c r="G1560" s="3" t="s">
        <v>25</v>
      </c>
      <c r="H1560" s="3" t="s">
        <v>25</v>
      </c>
      <c r="I1560" s="6">
        <v>44317</v>
      </c>
      <c r="J1560" s="4">
        <v>0</v>
      </c>
      <c r="K1560" s="4">
        <v>0</v>
      </c>
      <c r="L1560" s="4">
        <v>-1.8</v>
      </c>
      <c r="M1560" s="4">
        <v>-0.48599999999999999</v>
      </c>
      <c r="N1560" s="4">
        <v>-1.8</v>
      </c>
      <c r="O1560" s="4">
        <v>-0.48599999999999999</v>
      </c>
      <c r="P1560" s="4">
        <v>0</v>
      </c>
      <c r="Q1560" s="3" t="s">
        <v>26</v>
      </c>
      <c r="R1560" s="3">
        <v>0</v>
      </c>
      <c r="S1560" s="4">
        <v>0</v>
      </c>
      <c r="T1560" s="4">
        <v>34</v>
      </c>
      <c r="U1560" s="4">
        <v>53</v>
      </c>
      <c r="V1560" s="4">
        <v>0</v>
      </c>
      <c r="W1560" s="4">
        <v>304.64999999999998</v>
      </c>
      <c r="X1560" s="4">
        <v>206.13</v>
      </c>
      <c r="Y1560" s="4"/>
      <c r="Z1560" s="4">
        <v>404.66608122087951</v>
      </c>
      <c r="AA1560" s="4">
        <v>232.64014070415229</v>
      </c>
      <c r="AB1560" s="4">
        <v>0</v>
      </c>
      <c r="AC1560" s="4">
        <v>-148.0599</v>
      </c>
      <c r="AD1560" s="4">
        <v>-100.17917999999999</v>
      </c>
      <c r="AE1560" s="4">
        <v>0</v>
      </c>
      <c r="AF1560" s="4">
        <v>-196.66771547334744</v>
      </c>
      <c r="AG1560" s="4">
        <v>-113.063108382218</v>
      </c>
    </row>
    <row r="1561" spans="1:33" ht="11.25" customHeight="1" x14ac:dyDescent="0.25">
      <c r="A1561" s="3" t="s">
        <v>28</v>
      </c>
      <c r="B1561" s="3" t="s">
        <v>44</v>
      </c>
      <c r="C1561" s="3" t="s">
        <v>23</v>
      </c>
      <c r="D1561" s="3" t="s">
        <v>45</v>
      </c>
      <c r="E1561" s="3" t="s">
        <v>53</v>
      </c>
      <c r="F1561" s="3" t="s">
        <v>55</v>
      </c>
      <c r="G1561" s="3" t="s">
        <v>25</v>
      </c>
      <c r="H1561" s="3" t="s">
        <v>25</v>
      </c>
      <c r="I1561" s="6">
        <v>44317</v>
      </c>
      <c r="J1561" s="4">
        <v>0</v>
      </c>
      <c r="K1561" s="4">
        <v>0</v>
      </c>
      <c r="L1561" s="4">
        <v>0.38500000000000001</v>
      </c>
      <c r="M1561" s="4">
        <v>0.10395</v>
      </c>
      <c r="N1561" s="4">
        <v>0.38500000000000001</v>
      </c>
      <c r="O1561" s="4">
        <v>0.10395</v>
      </c>
      <c r="P1561" s="4">
        <v>0</v>
      </c>
      <c r="Q1561" s="3" t="s">
        <v>26</v>
      </c>
      <c r="R1561" s="3">
        <v>0</v>
      </c>
      <c r="S1561" s="4">
        <v>0</v>
      </c>
      <c r="T1561" s="4">
        <v>34</v>
      </c>
      <c r="U1561" s="4">
        <v>53</v>
      </c>
      <c r="V1561" s="4">
        <v>0</v>
      </c>
      <c r="W1561" s="4">
        <v>304.64999999999998</v>
      </c>
      <c r="X1561" s="4">
        <v>206.13</v>
      </c>
      <c r="Y1561" s="4"/>
      <c r="Z1561" s="4">
        <v>404.66608122087951</v>
      </c>
      <c r="AA1561" s="4">
        <v>232.64014070415229</v>
      </c>
      <c r="AB1561" s="4">
        <v>0</v>
      </c>
      <c r="AC1561" s="4">
        <v>31.668367499999999</v>
      </c>
      <c r="AD1561" s="4">
        <v>21.427213500000001</v>
      </c>
      <c r="AE1561" s="4">
        <v>0</v>
      </c>
      <c r="AF1561" s="4">
        <v>42.065039142910422</v>
      </c>
      <c r="AG1561" s="4">
        <v>24.182942626196631</v>
      </c>
    </row>
    <row r="1562" spans="1:33" ht="11.25" customHeight="1" x14ac:dyDescent="0.25">
      <c r="A1562" s="3" t="s">
        <v>21</v>
      </c>
      <c r="B1562" s="3" t="s">
        <v>44</v>
      </c>
      <c r="C1562" s="3" t="s">
        <v>23</v>
      </c>
      <c r="D1562" s="3" t="s">
        <v>45</v>
      </c>
      <c r="E1562" s="3" t="s">
        <v>53</v>
      </c>
      <c r="F1562" s="3" t="s">
        <v>55</v>
      </c>
      <c r="G1562" s="3" t="s">
        <v>25</v>
      </c>
      <c r="H1562" s="3" t="s">
        <v>25</v>
      </c>
      <c r="I1562" s="6">
        <v>44348</v>
      </c>
      <c r="J1562" s="4">
        <v>0</v>
      </c>
      <c r="K1562" s="4">
        <v>0</v>
      </c>
      <c r="L1562" s="4">
        <v>109.247</v>
      </c>
      <c r="M1562" s="4">
        <v>29.496690000000001</v>
      </c>
      <c r="N1562" s="4">
        <v>109.247</v>
      </c>
      <c r="O1562" s="4">
        <v>29.496690000000001</v>
      </c>
      <c r="P1562" s="4">
        <v>0</v>
      </c>
      <c r="Q1562" s="3" t="s">
        <v>26</v>
      </c>
      <c r="R1562" s="3">
        <v>0</v>
      </c>
      <c r="S1562" s="4">
        <v>0</v>
      </c>
      <c r="T1562" s="4">
        <v>34</v>
      </c>
      <c r="U1562" s="4">
        <v>53</v>
      </c>
      <c r="V1562" s="4">
        <v>0</v>
      </c>
      <c r="W1562" s="4">
        <v>304.64999999999998</v>
      </c>
      <c r="X1562" s="4">
        <v>206.13</v>
      </c>
      <c r="Y1562" s="4"/>
      <c r="Z1562" s="4">
        <v>404.66608122087951</v>
      </c>
      <c r="AA1562" s="4">
        <v>232.64014070415229</v>
      </c>
      <c r="AB1562" s="4">
        <v>0</v>
      </c>
      <c r="AC1562" s="4">
        <v>8986.1666084999997</v>
      </c>
      <c r="AD1562" s="4">
        <v>6080.1527096999998</v>
      </c>
      <c r="AE1562" s="4">
        <v>0</v>
      </c>
      <c r="AF1562" s="4">
        <v>11936.309951287105</v>
      </c>
      <c r="AG1562" s="4">
        <v>6862.1141119067615</v>
      </c>
    </row>
    <row r="1563" spans="1:33" ht="11.25" customHeight="1" x14ac:dyDescent="0.25">
      <c r="A1563" s="3" t="s">
        <v>27</v>
      </c>
      <c r="B1563" s="3" t="s">
        <v>44</v>
      </c>
      <c r="C1563" s="3" t="s">
        <v>23</v>
      </c>
      <c r="D1563" s="3" t="s">
        <v>45</v>
      </c>
      <c r="E1563" s="3" t="s">
        <v>53</v>
      </c>
      <c r="F1563" s="3" t="s">
        <v>55</v>
      </c>
      <c r="G1563" s="3" t="s">
        <v>25</v>
      </c>
      <c r="H1563" s="3" t="s">
        <v>25</v>
      </c>
      <c r="I1563" s="6">
        <v>44348</v>
      </c>
      <c r="J1563" s="4">
        <v>0</v>
      </c>
      <c r="K1563" s="4">
        <v>0</v>
      </c>
      <c r="L1563" s="4">
        <v>-0.35899999999999999</v>
      </c>
      <c r="M1563" s="4">
        <v>-9.6930000000000002E-2</v>
      </c>
      <c r="N1563" s="4">
        <v>-0.35899999999999999</v>
      </c>
      <c r="O1563" s="4">
        <v>-9.6930000000000002E-2</v>
      </c>
      <c r="P1563" s="4">
        <v>0</v>
      </c>
      <c r="Q1563" s="3" t="s">
        <v>26</v>
      </c>
      <c r="R1563" s="3">
        <v>0</v>
      </c>
      <c r="S1563" s="4">
        <v>0</v>
      </c>
      <c r="T1563" s="4">
        <v>34</v>
      </c>
      <c r="U1563" s="4">
        <v>53</v>
      </c>
      <c r="V1563" s="4">
        <v>0</v>
      </c>
      <c r="W1563" s="4">
        <v>304.64999999999998</v>
      </c>
      <c r="X1563" s="4">
        <v>206.13</v>
      </c>
      <c r="Y1563" s="4"/>
      <c r="Z1563" s="4">
        <v>404.66608122087951</v>
      </c>
      <c r="AA1563" s="4">
        <v>232.64014070415229</v>
      </c>
      <c r="AB1563" s="4">
        <v>0</v>
      </c>
      <c r="AC1563" s="4">
        <v>-29.529724499999997</v>
      </c>
      <c r="AD1563" s="4">
        <v>-19.980180900000001</v>
      </c>
      <c r="AE1563" s="4">
        <v>0</v>
      </c>
      <c r="AF1563" s="4">
        <v>-39.224283252739852</v>
      </c>
      <c r="AG1563" s="4">
        <v>-22.549808838453483</v>
      </c>
    </row>
    <row r="1564" spans="1:33" ht="11.25" customHeight="1" x14ac:dyDescent="0.25">
      <c r="A1564" s="3" t="s">
        <v>28</v>
      </c>
      <c r="B1564" s="3" t="s">
        <v>44</v>
      </c>
      <c r="C1564" s="3" t="s">
        <v>23</v>
      </c>
      <c r="D1564" s="3" t="s">
        <v>45</v>
      </c>
      <c r="E1564" s="3" t="s">
        <v>53</v>
      </c>
      <c r="F1564" s="3" t="s">
        <v>55</v>
      </c>
      <c r="G1564" s="3" t="s">
        <v>25</v>
      </c>
      <c r="H1564" s="3" t="s">
        <v>25</v>
      </c>
      <c r="I1564" s="6">
        <v>44348</v>
      </c>
      <c r="J1564" s="4">
        <v>0</v>
      </c>
      <c r="K1564" s="4">
        <v>0</v>
      </c>
      <c r="L1564" s="4">
        <v>9.4E-2</v>
      </c>
      <c r="M1564" s="4">
        <v>2.538E-2</v>
      </c>
      <c r="N1564" s="4">
        <v>9.4E-2</v>
      </c>
      <c r="O1564" s="4">
        <v>2.538E-2</v>
      </c>
      <c r="P1564" s="4">
        <v>0</v>
      </c>
      <c r="Q1564" s="3" t="s">
        <v>26</v>
      </c>
      <c r="R1564" s="3">
        <v>0</v>
      </c>
      <c r="S1564" s="4">
        <v>0</v>
      </c>
      <c r="T1564" s="4">
        <v>34</v>
      </c>
      <c r="U1564" s="4">
        <v>53</v>
      </c>
      <c r="V1564" s="4">
        <v>0</v>
      </c>
      <c r="W1564" s="4">
        <v>304.64999999999998</v>
      </c>
      <c r="X1564" s="4">
        <v>206.13</v>
      </c>
      <c r="Y1564" s="4"/>
      <c r="Z1564" s="4">
        <v>404.66608122087951</v>
      </c>
      <c r="AA1564" s="4">
        <v>232.64014070415229</v>
      </c>
      <c r="AB1564" s="4">
        <v>0</v>
      </c>
      <c r="AC1564" s="4">
        <v>7.732016999999999</v>
      </c>
      <c r="AD1564" s="4">
        <v>5.2315794000000002</v>
      </c>
      <c r="AE1564" s="4">
        <v>0</v>
      </c>
      <c r="AF1564" s="4">
        <v>10.270425141385921</v>
      </c>
      <c r="AG1564" s="4">
        <v>5.9044067710713852</v>
      </c>
    </row>
    <row r="1565" spans="1:33" ht="11.25" customHeight="1" x14ac:dyDescent="0.25">
      <c r="A1565" s="3" t="s">
        <v>21</v>
      </c>
      <c r="B1565" s="3" t="s">
        <v>44</v>
      </c>
      <c r="C1565" s="3" t="s">
        <v>23</v>
      </c>
      <c r="D1565" s="3" t="s">
        <v>45</v>
      </c>
      <c r="E1565" s="3" t="s">
        <v>53</v>
      </c>
      <c r="F1565" s="3" t="s">
        <v>55</v>
      </c>
      <c r="G1565" s="3" t="s">
        <v>25</v>
      </c>
      <c r="H1565" s="3" t="s">
        <v>25</v>
      </c>
      <c r="I1565" s="6">
        <v>44378</v>
      </c>
      <c r="J1565" s="4">
        <v>0</v>
      </c>
      <c r="K1565" s="4">
        <v>0</v>
      </c>
      <c r="L1565" s="4">
        <v>90.728999999999999</v>
      </c>
      <c r="M1565" s="4">
        <v>24.496829999999999</v>
      </c>
      <c r="N1565" s="4">
        <v>90.728999999999999</v>
      </c>
      <c r="O1565" s="4">
        <v>24.496829999999999</v>
      </c>
      <c r="P1565" s="4">
        <v>0</v>
      </c>
      <c r="Q1565" s="3" t="s">
        <v>26</v>
      </c>
      <c r="R1565" s="3">
        <v>0</v>
      </c>
      <c r="S1565" s="4">
        <v>0</v>
      </c>
      <c r="T1565" s="4">
        <v>34</v>
      </c>
      <c r="U1565" s="4">
        <v>53</v>
      </c>
      <c r="V1565" s="4">
        <v>0</v>
      </c>
      <c r="W1565" s="4">
        <v>304.64999999999998</v>
      </c>
      <c r="X1565" s="4">
        <v>206.13</v>
      </c>
      <c r="Y1565" s="4"/>
      <c r="Z1565" s="4">
        <v>404.66608122087951</v>
      </c>
      <c r="AA1565" s="4">
        <v>232.64014070415229</v>
      </c>
      <c r="AB1565" s="4">
        <v>0</v>
      </c>
      <c r="AC1565" s="4">
        <v>7462.9592594999995</v>
      </c>
      <c r="AD1565" s="4">
        <v>5049.5315678999996</v>
      </c>
      <c r="AE1565" s="4">
        <v>0</v>
      </c>
      <c r="AF1565" s="4">
        <v>9913.036198434078</v>
      </c>
      <c r="AG1565" s="4">
        <v>5698.9459780056986</v>
      </c>
    </row>
    <row r="1566" spans="1:33" ht="11.25" customHeight="1" x14ac:dyDescent="0.25">
      <c r="A1566" s="3" t="s">
        <v>27</v>
      </c>
      <c r="B1566" s="3" t="s">
        <v>44</v>
      </c>
      <c r="C1566" s="3" t="s">
        <v>23</v>
      </c>
      <c r="D1566" s="3" t="s">
        <v>45</v>
      </c>
      <c r="E1566" s="3" t="s">
        <v>53</v>
      </c>
      <c r="F1566" s="3" t="s">
        <v>55</v>
      </c>
      <c r="G1566" s="3" t="s">
        <v>25</v>
      </c>
      <c r="H1566" s="3" t="s">
        <v>25</v>
      </c>
      <c r="I1566" s="6">
        <v>44378</v>
      </c>
      <c r="J1566" s="4">
        <v>0</v>
      </c>
      <c r="K1566" s="4">
        <v>0</v>
      </c>
      <c r="L1566" s="4">
        <v>-0.32200000000000001</v>
      </c>
      <c r="M1566" s="4">
        <v>-8.6940000000000003E-2</v>
      </c>
      <c r="N1566" s="4">
        <v>-0.32200000000000001</v>
      </c>
      <c r="O1566" s="4">
        <v>-8.6940000000000003E-2</v>
      </c>
      <c r="P1566" s="4">
        <v>0</v>
      </c>
      <c r="Q1566" s="3" t="s">
        <v>26</v>
      </c>
      <c r="R1566" s="3">
        <v>0</v>
      </c>
      <c r="S1566" s="4">
        <v>0</v>
      </c>
      <c r="T1566" s="4">
        <v>34</v>
      </c>
      <c r="U1566" s="4">
        <v>53</v>
      </c>
      <c r="V1566" s="4">
        <v>0</v>
      </c>
      <c r="W1566" s="4">
        <v>304.64999999999998</v>
      </c>
      <c r="X1566" s="4">
        <v>206.13</v>
      </c>
      <c r="Y1566" s="4"/>
      <c r="Z1566" s="4">
        <v>404.66608122087951</v>
      </c>
      <c r="AA1566" s="4">
        <v>232.64014070415229</v>
      </c>
      <c r="AB1566" s="4">
        <v>0</v>
      </c>
      <c r="AC1566" s="4">
        <v>-26.486270999999999</v>
      </c>
      <c r="AD1566" s="4">
        <v>-17.920942199999999</v>
      </c>
      <c r="AE1566" s="4">
        <v>0</v>
      </c>
      <c r="AF1566" s="4">
        <v>-35.181669101343267</v>
      </c>
      <c r="AG1566" s="4">
        <v>-20.225733832819</v>
      </c>
    </row>
    <row r="1567" spans="1:33" ht="11.25" customHeight="1" x14ac:dyDescent="0.25">
      <c r="A1567" s="3" t="s">
        <v>28</v>
      </c>
      <c r="B1567" s="3" t="s">
        <v>44</v>
      </c>
      <c r="C1567" s="3" t="s">
        <v>23</v>
      </c>
      <c r="D1567" s="3" t="s">
        <v>45</v>
      </c>
      <c r="E1567" s="3" t="s">
        <v>53</v>
      </c>
      <c r="F1567" s="3" t="s">
        <v>55</v>
      </c>
      <c r="G1567" s="3" t="s">
        <v>25</v>
      </c>
      <c r="H1567" s="3" t="s">
        <v>25</v>
      </c>
      <c r="I1567" s="6">
        <v>44378</v>
      </c>
      <c r="J1567" s="4">
        <v>0</v>
      </c>
      <c r="K1567" s="4">
        <v>0</v>
      </c>
      <c r="L1567" s="4">
        <v>0.38900000000000001</v>
      </c>
      <c r="M1567" s="4">
        <v>0.10503</v>
      </c>
      <c r="N1567" s="4">
        <v>0.38900000000000001</v>
      </c>
      <c r="O1567" s="4">
        <v>0.10503</v>
      </c>
      <c r="P1567" s="4">
        <v>0</v>
      </c>
      <c r="Q1567" s="3" t="s">
        <v>26</v>
      </c>
      <c r="R1567" s="3">
        <v>0</v>
      </c>
      <c r="S1567" s="4">
        <v>0</v>
      </c>
      <c r="T1567" s="4">
        <v>34</v>
      </c>
      <c r="U1567" s="4">
        <v>53</v>
      </c>
      <c r="V1567" s="4">
        <v>0</v>
      </c>
      <c r="W1567" s="4">
        <v>304.64999999999998</v>
      </c>
      <c r="X1567" s="4">
        <v>206.13</v>
      </c>
      <c r="Y1567" s="4"/>
      <c r="Z1567" s="4">
        <v>404.66608122087951</v>
      </c>
      <c r="AA1567" s="4">
        <v>232.64014070415229</v>
      </c>
      <c r="AB1567" s="4">
        <v>0</v>
      </c>
      <c r="AC1567" s="4">
        <v>31.997389499999997</v>
      </c>
      <c r="AD1567" s="4">
        <v>21.649833900000001</v>
      </c>
      <c r="AE1567" s="4">
        <v>0</v>
      </c>
      <c r="AF1567" s="4">
        <v>42.502078510628976</v>
      </c>
      <c r="AG1567" s="4">
        <v>24.434193978157115</v>
      </c>
    </row>
    <row r="1568" spans="1:33" ht="11.25" customHeight="1" x14ac:dyDescent="0.25">
      <c r="A1568" s="3" t="s">
        <v>21</v>
      </c>
      <c r="B1568" s="3" t="s">
        <v>44</v>
      </c>
      <c r="C1568" s="3" t="s">
        <v>23</v>
      </c>
      <c r="D1568" s="3" t="s">
        <v>45</v>
      </c>
      <c r="E1568" s="3" t="s">
        <v>53</v>
      </c>
      <c r="F1568" s="3" t="s">
        <v>55</v>
      </c>
      <c r="G1568" s="3" t="s">
        <v>25</v>
      </c>
      <c r="H1568" s="3" t="s">
        <v>25</v>
      </c>
      <c r="I1568" s="6">
        <v>44409</v>
      </c>
      <c r="J1568" s="4">
        <v>0</v>
      </c>
      <c r="K1568" s="4">
        <v>0</v>
      </c>
      <c r="L1568" s="4">
        <v>96.778000000000006</v>
      </c>
      <c r="M1568" s="4">
        <v>26.13006</v>
      </c>
      <c r="N1568" s="4">
        <v>96.778000000000006</v>
      </c>
      <c r="O1568" s="4">
        <v>26.13006</v>
      </c>
      <c r="P1568" s="4">
        <v>0</v>
      </c>
      <c r="Q1568" s="3" t="s">
        <v>26</v>
      </c>
      <c r="R1568" s="3">
        <v>0</v>
      </c>
      <c r="S1568" s="4">
        <v>0</v>
      </c>
      <c r="T1568" s="4">
        <v>34</v>
      </c>
      <c r="U1568" s="4">
        <v>53</v>
      </c>
      <c r="V1568" s="4">
        <v>0</v>
      </c>
      <c r="W1568" s="4">
        <v>304.64999999999998</v>
      </c>
      <c r="X1568" s="4">
        <v>206.13</v>
      </c>
      <c r="Y1568" s="4"/>
      <c r="Z1568" s="4">
        <v>404.66608122087951</v>
      </c>
      <c r="AA1568" s="4">
        <v>232.64014070415229</v>
      </c>
      <c r="AB1568" s="4">
        <v>0</v>
      </c>
      <c r="AC1568" s="4">
        <v>7960.5227789999999</v>
      </c>
      <c r="AD1568" s="4">
        <v>5386.1892678000004</v>
      </c>
      <c r="AE1568" s="4">
        <v>0</v>
      </c>
      <c r="AF1568" s="4">
        <v>10573.948982266455</v>
      </c>
      <c r="AG1568" s="4">
        <v>6078.9008350079412</v>
      </c>
    </row>
    <row r="1569" spans="1:33" ht="11.25" customHeight="1" x14ac:dyDescent="0.25">
      <c r="A1569" s="3" t="s">
        <v>27</v>
      </c>
      <c r="B1569" s="3" t="s">
        <v>44</v>
      </c>
      <c r="C1569" s="3" t="s">
        <v>23</v>
      </c>
      <c r="D1569" s="3" t="s">
        <v>45</v>
      </c>
      <c r="E1569" s="3" t="s">
        <v>53</v>
      </c>
      <c r="F1569" s="3" t="s">
        <v>55</v>
      </c>
      <c r="G1569" s="3" t="s">
        <v>25</v>
      </c>
      <c r="H1569" s="3" t="s">
        <v>25</v>
      </c>
      <c r="I1569" s="6">
        <v>44409</v>
      </c>
      <c r="J1569" s="4">
        <v>0</v>
      </c>
      <c r="K1569" s="4">
        <v>0</v>
      </c>
      <c r="L1569" s="4">
        <v>-0.51700000000000002</v>
      </c>
      <c r="M1569" s="4">
        <v>-0.13958999999999999</v>
      </c>
      <c r="N1569" s="4">
        <v>-0.51700000000000002</v>
      </c>
      <c r="O1569" s="4">
        <v>-0.13958999999999999</v>
      </c>
      <c r="P1569" s="4">
        <v>0</v>
      </c>
      <c r="Q1569" s="3" t="s">
        <v>26</v>
      </c>
      <c r="R1569" s="3">
        <v>0</v>
      </c>
      <c r="S1569" s="4">
        <v>0</v>
      </c>
      <c r="T1569" s="4">
        <v>34</v>
      </c>
      <c r="U1569" s="4">
        <v>53</v>
      </c>
      <c r="V1569" s="4">
        <v>0</v>
      </c>
      <c r="W1569" s="4">
        <v>304.64999999999998</v>
      </c>
      <c r="X1569" s="4">
        <v>206.13</v>
      </c>
      <c r="Y1569" s="4"/>
      <c r="Z1569" s="4">
        <v>404.66608122087951</v>
      </c>
      <c r="AA1569" s="4">
        <v>232.64014070415229</v>
      </c>
      <c r="AB1569" s="4">
        <v>0</v>
      </c>
      <c r="AC1569" s="4">
        <v>-42.526093499999995</v>
      </c>
      <c r="AD1569" s="4">
        <v>-28.773686699999999</v>
      </c>
      <c r="AE1569" s="4">
        <v>0</v>
      </c>
      <c r="AF1569" s="4">
        <v>-56.48733827762257</v>
      </c>
      <c r="AG1569" s="4">
        <v>-32.474237240892613</v>
      </c>
    </row>
    <row r="1570" spans="1:33" ht="11.25" customHeight="1" x14ac:dyDescent="0.25">
      <c r="A1570" s="3" t="s">
        <v>28</v>
      </c>
      <c r="B1570" s="3" t="s">
        <v>44</v>
      </c>
      <c r="C1570" s="3" t="s">
        <v>23</v>
      </c>
      <c r="D1570" s="3" t="s">
        <v>45</v>
      </c>
      <c r="E1570" s="3" t="s">
        <v>53</v>
      </c>
      <c r="F1570" s="3" t="s">
        <v>55</v>
      </c>
      <c r="G1570" s="3" t="s">
        <v>25</v>
      </c>
      <c r="H1570" s="3" t="s">
        <v>25</v>
      </c>
      <c r="I1570" s="6">
        <v>44409</v>
      </c>
      <c r="J1570" s="4">
        <v>0</v>
      </c>
      <c r="K1570" s="4">
        <v>0</v>
      </c>
      <c r="L1570" s="4">
        <v>0.185</v>
      </c>
      <c r="M1570" s="4">
        <v>4.9950000000000001E-2</v>
      </c>
      <c r="N1570" s="4">
        <v>0.185</v>
      </c>
      <c r="O1570" s="4">
        <v>4.9950000000000001E-2</v>
      </c>
      <c r="P1570" s="4">
        <v>0</v>
      </c>
      <c r="Q1570" s="3" t="s">
        <v>26</v>
      </c>
      <c r="R1570" s="3">
        <v>0</v>
      </c>
      <c r="S1570" s="4">
        <v>0</v>
      </c>
      <c r="T1570" s="4">
        <v>34</v>
      </c>
      <c r="U1570" s="4">
        <v>53</v>
      </c>
      <c r="V1570" s="4">
        <v>0</v>
      </c>
      <c r="W1570" s="4">
        <v>304.64999999999998</v>
      </c>
      <c r="X1570" s="4">
        <v>206.13</v>
      </c>
      <c r="Y1570" s="4"/>
      <c r="Z1570" s="4">
        <v>404.66608122087951</v>
      </c>
      <c r="AA1570" s="4">
        <v>232.64014070415229</v>
      </c>
      <c r="AB1570" s="4">
        <v>0</v>
      </c>
      <c r="AC1570" s="4">
        <v>15.217267499999998</v>
      </c>
      <c r="AD1570" s="4">
        <v>10.296193499999999</v>
      </c>
      <c r="AE1570" s="4">
        <v>0</v>
      </c>
      <c r="AF1570" s="4">
        <v>20.213070756982933</v>
      </c>
      <c r="AG1570" s="4">
        <v>11.620375028172408</v>
      </c>
    </row>
    <row r="1571" spans="1:33" ht="11.25" customHeight="1" x14ac:dyDescent="0.25">
      <c r="A1571" s="3" t="s">
        <v>21</v>
      </c>
      <c r="B1571" s="3" t="s">
        <v>44</v>
      </c>
      <c r="C1571" s="3" t="s">
        <v>23</v>
      </c>
      <c r="D1571" s="3" t="s">
        <v>45</v>
      </c>
      <c r="E1571" s="3" t="s">
        <v>53</v>
      </c>
      <c r="F1571" s="3" t="s">
        <v>55</v>
      </c>
      <c r="G1571" s="3" t="s">
        <v>25</v>
      </c>
      <c r="H1571" s="3" t="s">
        <v>25</v>
      </c>
      <c r="I1571" s="6">
        <v>44440</v>
      </c>
      <c r="J1571" s="4">
        <v>0</v>
      </c>
      <c r="K1571" s="4">
        <v>0</v>
      </c>
      <c r="L1571" s="4">
        <v>227.708</v>
      </c>
      <c r="M1571" s="4">
        <v>61.481160000000003</v>
      </c>
      <c r="N1571" s="4">
        <v>227.708</v>
      </c>
      <c r="O1571" s="4">
        <v>61.481160000000003</v>
      </c>
      <c r="P1571" s="4">
        <v>0</v>
      </c>
      <c r="Q1571" s="3" t="s">
        <v>26</v>
      </c>
      <c r="R1571" s="3">
        <v>0</v>
      </c>
      <c r="S1571" s="4">
        <v>0</v>
      </c>
      <c r="T1571" s="4">
        <v>34</v>
      </c>
      <c r="U1571" s="4">
        <v>53</v>
      </c>
      <c r="V1571" s="4">
        <v>0</v>
      </c>
      <c r="W1571" s="4">
        <v>304.64999999999998</v>
      </c>
      <c r="X1571" s="4">
        <v>206.13</v>
      </c>
      <c r="Y1571" s="4"/>
      <c r="Z1571" s="4">
        <v>404.66608122087951</v>
      </c>
      <c r="AA1571" s="4">
        <v>232.64014070415229</v>
      </c>
      <c r="AB1571" s="4">
        <v>0</v>
      </c>
      <c r="AC1571" s="4">
        <v>18730.235393999999</v>
      </c>
      <c r="AD1571" s="4">
        <v>12673.111510799999</v>
      </c>
      <c r="AE1571" s="4">
        <v>0</v>
      </c>
      <c r="AF1571" s="4">
        <v>24879.340086113891</v>
      </c>
      <c r="AG1571" s="4">
        <v>14302.985713054501</v>
      </c>
    </row>
    <row r="1572" spans="1:33" ht="11.25" customHeight="1" x14ac:dyDescent="0.25">
      <c r="A1572" s="3" t="s">
        <v>27</v>
      </c>
      <c r="B1572" s="3" t="s">
        <v>44</v>
      </c>
      <c r="C1572" s="3" t="s">
        <v>23</v>
      </c>
      <c r="D1572" s="3" t="s">
        <v>45</v>
      </c>
      <c r="E1572" s="3" t="s">
        <v>53</v>
      </c>
      <c r="F1572" s="3" t="s">
        <v>55</v>
      </c>
      <c r="G1572" s="3" t="s">
        <v>25</v>
      </c>
      <c r="H1572" s="3" t="s">
        <v>25</v>
      </c>
      <c r="I1572" s="6">
        <v>44440</v>
      </c>
      <c r="J1572" s="4">
        <v>0</v>
      </c>
      <c r="K1572" s="4">
        <v>0</v>
      </c>
      <c r="L1572" s="4">
        <v>-5.0880000000000001</v>
      </c>
      <c r="M1572" s="4">
        <v>-1.3737600000000001</v>
      </c>
      <c r="N1572" s="4">
        <v>-5.0880000000000001</v>
      </c>
      <c r="O1572" s="4">
        <v>-1.3737600000000001</v>
      </c>
      <c r="P1572" s="4">
        <v>0</v>
      </c>
      <c r="Q1572" s="3" t="s">
        <v>26</v>
      </c>
      <c r="R1572" s="3">
        <v>0</v>
      </c>
      <c r="S1572" s="4">
        <v>0</v>
      </c>
      <c r="T1572" s="4">
        <v>34</v>
      </c>
      <c r="U1572" s="4">
        <v>53</v>
      </c>
      <c r="V1572" s="4">
        <v>0</v>
      </c>
      <c r="W1572" s="4">
        <v>304.64999999999998</v>
      </c>
      <c r="X1572" s="4">
        <v>206.13</v>
      </c>
      <c r="Y1572" s="4"/>
      <c r="Z1572" s="4">
        <v>404.66608122087951</v>
      </c>
      <c r="AA1572" s="4">
        <v>232.64014070415229</v>
      </c>
      <c r="AB1572" s="4">
        <v>0</v>
      </c>
      <c r="AC1572" s="4">
        <v>-418.515984</v>
      </c>
      <c r="AD1572" s="4">
        <v>-283.17314880000004</v>
      </c>
      <c r="AE1572" s="4">
        <v>0</v>
      </c>
      <c r="AF1572" s="4">
        <v>-555.91407573799552</v>
      </c>
      <c r="AG1572" s="4">
        <v>-319.59171969373625</v>
      </c>
    </row>
    <row r="1573" spans="1:33" ht="11.25" customHeight="1" x14ac:dyDescent="0.25">
      <c r="A1573" s="3" t="s">
        <v>28</v>
      </c>
      <c r="B1573" s="3" t="s">
        <v>44</v>
      </c>
      <c r="C1573" s="3" t="s">
        <v>23</v>
      </c>
      <c r="D1573" s="3" t="s">
        <v>45</v>
      </c>
      <c r="E1573" s="3" t="s">
        <v>53</v>
      </c>
      <c r="F1573" s="3" t="s">
        <v>55</v>
      </c>
      <c r="G1573" s="3" t="s">
        <v>25</v>
      </c>
      <c r="H1573" s="3" t="s">
        <v>25</v>
      </c>
      <c r="I1573" s="6">
        <v>44440</v>
      </c>
      <c r="J1573" s="4">
        <v>0</v>
      </c>
      <c r="K1573" s="4">
        <v>0</v>
      </c>
      <c r="L1573" s="4">
        <v>0.40799999999999997</v>
      </c>
      <c r="M1573" s="4">
        <v>0.11015999999999999</v>
      </c>
      <c r="N1573" s="4">
        <v>0.40799999999999997</v>
      </c>
      <c r="O1573" s="4">
        <v>0.11015999999999999</v>
      </c>
      <c r="P1573" s="4">
        <v>0</v>
      </c>
      <c r="Q1573" s="3" t="s">
        <v>26</v>
      </c>
      <c r="R1573" s="3">
        <v>0</v>
      </c>
      <c r="S1573" s="4">
        <v>0</v>
      </c>
      <c r="T1573" s="4">
        <v>34</v>
      </c>
      <c r="U1573" s="4">
        <v>53</v>
      </c>
      <c r="V1573" s="4">
        <v>0</v>
      </c>
      <c r="W1573" s="4">
        <v>304.64999999999998</v>
      </c>
      <c r="X1573" s="4">
        <v>206.13</v>
      </c>
      <c r="Y1573" s="4"/>
      <c r="Z1573" s="4">
        <v>404.66608122087951</v>
      </c>
      <c r="AA1573" s="4">
        <v>232.64014070415229</v>
      </c>
      <c r="AB1573" s="4">
        <v>0</v>
      </c>
      <c r="AC1573" s="4">
        <v>33.560243999999997</v>
      </c>
      <c r="AD1573" s="4">
        <v>22.707280799999999</v>
      </c>
      <c r="AE1573" s="4">
        <v>0</v>
      </c>
      <c r="AF1573" s="4">
        <v>44.578015507292086</v>
      </c>
      <c r="AG1573" s="4">
        <v>25.627637899969415</v>
      </c>
    </row>
    <row r="1574" spans="1:33" ht="11.25" customHeight="1" x14ac:dyDescent="0.25">
      <c r="A1574" s="3" t="s">
        <v>21</v>
      </c>
      <c r="B1574" s="3" t="s">
        <v>44</v>
      </c>
      <c r="C1574" s="3" t="s">
        <v>23</v>
      </c>
      <c r="D1574" s="3" t="s">
        <v>45</v>
      </c>
      <c r="E1574" s="3" t="s">
        <v>53</v>
      </c>
      <c r="F1574" s="3" t="s">
        <v>55</v>
      </c>
      <c r="G1574" s="3" t="s">
        <v>25</v>
      </c>
      <c r="H1574" s="3" t="s">
        <v>25</v>
      </c>
      <c r="I1574" s="6">
        <v>44470</v>
      </c>
      <c r="J1574" s="4">
        <v>0</v>
      </c>
      <c r="K1574" s="4">
        <v>0</v>
      </c>
      <c r="L1574" s="4">
        <v>387.99700000000001</v>
      </c>
      <c r="M1574" s="4">
        <v>104.75919</v>
      </c>
      <c r="N1574" s="4">
        <v>387.99700000000001</v>
      </c>
      <c r="O1574" s="4">
        <v>104.75919</v>
      </c>
      <c r="P1574" s="4">
        <v>0</v>
      </c>
      <c r="Q1574" s="3" t="s">
        <v>26</v>
      </c>
      <c r="R1574" s="3">
        <v>0</v>
      </c>
      <c r="S1574" s="4">
        <v>0</v>
      </c>
      <c r="T1574" s="4">
        <v>34</v>
      </c>
      <c r="U1574" s="4">
        <v>53</v>
      </c>
      <c r="V1574" s="4">
        <v>0</v>
      </c>
      <c r="W1574" s="4">
        <v>304.64999999999998</v>
      </c>
      <c r="X1574" s="4">
        <v>206.13</v>
      </c>
      <c r="Y1574" s="4"/>
      <c r="Z1574" s="4">
        <v>404.66608122087951</v>
      </c>
      <c r="AA1574" s="4">
        <v>232.64014070415229</v>
      </c>
      <c r="AB1574" s="4">
        <v>0</v>
      </c>
      <c r="AC1574" s="4">
        <v>31914.887233499998</v>
      </c>
      <c r="AD1574" s="4">
        <v>21594.011834699999</v>
      </c>
      <c r="AE1574" s="4">
        <v>0</v>
      </c>
      <c r="AF1574" s="4">
        <v>42392.490889173547</v>
      </c>
      <c r="AG1574" s="4">
        <v>24371.192701653024</v>
      </c>
    </row>
    <row r="1575" spans="1:33" ht="11.25" customHeight="1" x14ac:dyDescent="0.25">
      <c r="A1575" s="3" t="s">
        <v>27</v>
      </c>
      <c r="B1575" s="3" t="s">
        <v>44</v>
      </c>
      <c r="C1575" s="3" t="s">
        <v>23</v>
      </c>
      <c r="D1575" s="3" t="s">
        <v>45</v>
      </c>
      <c r="E1575" s="3" t="s">
        <v>53</v>
      </c>
      <c r="F1575" s="3" t="s">
        <v>55</v>
      </c>
      <c r="G1575" s="3" t="s">
        <v>25</v>
      </c>
      <c r="H1575" s="3" t="s">
        <v>25</v>
      </c>
      <c r="I1575" s="6">
        <v>44470</v>
      </c>
      <c r="J1575" s="4">
        <v>0</v>
      </c>
      <c r="K1575" s="4">
        <v>0</v>
      </c>
      <c r="L1575" s="4">
        <v>2.5510000000000002</v>
      </c>
      <c r="M1575" s="4">
        <v>0.68876999999999999</v>
      </c>
      <c r="N1575" s="4">
        <v>2.5510000000000002</v>
      </c>
      <c r="O1575" s="4">
        <v>0.68876999999999999</v>
      </c>
      <c r="P1575" s="4">
        <v>0</v>
      </c>
      <c r="Q1575" s="3" t="s">
        <v>26</v>
      </c>
      <c r="R1575" s="3">
        <v>0</v>
      </c>
      <c r="S1575" s="4">
        <v>0</v>
      </c>
      <c r="T1575" s="4">
        <v>34</v>
      </c>
      <c r="U1575" s="4">
        <v>53</v>
      </c>
      <c r="V1575" s="4">
        <v>0</v>
      </c>
      <c r="W1575" s="4">
        <v>304.64999999999998</v>
      </c>
      <c r="X1575" s="4">
        <v>206.13</v>
      </c>
      <c r="Y1575" s="4"/>
      <c r="Z1575" s="4">
        <v>404.66608122087951</v>
      </c>
      <c r="AA1575" s="4">
        <v>232.64014070415229</v>
      </c>
      <c r="AB1575" s="4">
        <v>0</v>
      </c>
      <c r="AC1575" s="4">
        <v>209.83378049999999</v>
      </c>
      <c r="AD1575" s="4">
        <v>141.97616009999999</v>
      </c>
      <c r="AE1575" s="4">
        <v>0</v>
      </c>
      <c r="AF1575" s="4">
        <v>278.72185676250518</v>
      </c>
      <c r="AG1575" s="4">
        <v>160.23554971279896</v>
      </c>
    </row>
    <row r="1576" spans="1:33" ht="11.25" customHeight="1" x14ac:dyDescent="0.25">
      <c r="A1576" s="3" t="s">
        <v>28</v>
      </c>
      <c r="B1576" s="3" t="s">
        <v>44</v>
      </c>
      <c r="C1576" s="3" t="s">
        <v>23</v>
      </c>
      <c r="D1576" s="3" t="s">
        <v>45</v>
      </c>
      <c r="E1576" s="3" t="s">
        <v>53</v>
      </c>
      <c r="F1576" s="3" t="s">
        <v>55</v>
      </c>
      <c r="G1576" s="3" t="s">
        <v>25</v>
      </c>
      <c r="H1576" s="3" t="s">
        <v>25</v>
      </c>
      <c r="I1576" s="6">
        <v>44470</v>
      </c>
      <c r="J1576" s="4">
        <v>0</v>
      </c>
      <c r="K1576" s="4">
        <v>0</v>
      </c>
      <c r="L1576" s="4">
        <v>1.5389999999999999</v>
      </c>
      <c r="M1576" s="4">
        <v>0.41553000000000001</v>
      </c>
      <c r="N1576" s="4">
        <v>1.5389999999999999</v>
      </c>
      <c r="O1576" s="4">
        <v>0.41553000000000001</v>
      </c>
      <c r="P1576" s="4">
        <v>0</v>
      </c>
      <c r="Q1576" s="3" t="s">
        <v>26</v>
      </c>
      <c r="R1576" s="3">
        <v>0</v>
      </c>
      <c r="S1576" s="4">
        <v>0</v>
      </c>
      <c r="T1576" s="4">
        <v>34</v>
      </c>
      <c r="U1576" s="4">
        <v>53</v>
      </c>
      <c r="V1576" s="4">
        <v>0</v>
      </c>
      <c r="W1576" s="4">
        <v>304.64999999999998</v>
      </c>
      <c r="X1576" s="4">
        <v>206.13</v>
      </c>
      <c r="Y1576" s="4"/>
      <c r="Z1576" s="4">
        <v>404.66608122087951</v>
      </c>
      <c r="AA1576" s="4">
        <v>232.64014070415229</v>
      </c>
      <c r="AB1576" s="4">
        <v>0</v>
      </c>
      <c r="AC1576" s="4">
        <v>126.59121449999999</v>
      </c>
      <c r="AD1576" s="4">
        <v>85.653198900000007</v>
      </c>
      <c r="AE1576" s="4">
        <v>0</v>
      </c>
      <c r="AF1576" s="4">
        <v>168.15089672971206</v>
      </c>
      <c r="AG1576" s="4">
        <v>96.668957666796402</v>
      </c>
    </row>
    <row r="1577" spans="1:33" ht="11.25" customHeight="1" x14ac:dyDescent="0.25">
      <c r="A1577" s="3" t="s">
        <v>21</v>
      </c>
      <c r="B1577" s="3" t="s">
        <v>44</v>
      </c>
      <c r="C1577" s="3" t="s">
        <v>23</v>
      </c>
      <c r="D1577" s="3" t="s">
        <v>45</v>
      </c>
      <c r="E1577" s="3" t="s">
        <v>53</v>
      </c>
      <c r="F1577" s="3" t="s">
        <v>55</v>
      </c>
      <c r="G1577" s="3" t="s">
        <v>25</v>
      </c>
      <c r="H1577" s="3" t="s">
        <v>25</v>
      </c>
      <c r="I1577" s="6">
        <v>44501</v>
      </c>
      <c r="J1577" s="4">
        <v>0</v>
      </c>
      <c r="K1577" s="4">
        <v>0</v>
      </c>
      <c r="L1577" s="4">
        <v>388.52300000000002</v>
      </c>
      <c r="M1577" s="4">
        <v>104.90121000000001</v>
      </c>
      <c r="N1577" s="4">
        <v>388.52300000000002</v>
      </c>
      <c r="O1577" s="4">
        <v>104.90121000000001</v>
      </c>
      <c r="P1577" s="4">
        <v>0</v>
      </c>
      <c r="Q1577" s="3" t="s">
        <v>26</v>
      </c>
      <c r="R1577" s="3">
        <v>0</v>
      </c>
      <c r="S1577" s="4">
        <v>0</v>
      </c>
      <c r="T1577" s="4">
        <v>34</v>
      </c>
      <c r="U1577" s="4">
        <v>53</v>
      </c>
      <c r="V1577" s="4">
        <v>0</v>
      </c>
      <c r="W1577" s="4">
        <v>304.64999999999998</v>
      </c>
      <c r="X1577" s="4">
        <v>206.13</v>
      </c>
      <c r="Y1577" s="4"/>
      <c r="Z1577" s="4">
        <v>404.66608122087951</v>
      </c>
      <c r="AA1577" s="4">
        <v>232.64014070415229</v>
      </c>
      <c r="AB1577" s="4">
        <v>0</v>
      </c>
      <c r="AC1577" s="4">
        <v>31958.1536265</v>
      </c>
      <c r="AD1577" s="4">
        <v>21623.286417300002</v>
      </c>
      <c r="AE1577" s="4">
        <v>0</v>
      </c>
      <c r="AF1577" s="4">
        <v>42449.961566028542</v>
      </c>
      <c r="AG1577" s="4">
        <v>24404.232254435829</v>
      </c>
    </row>
    <row r="1578" spans="1:33" ht="11.25" customHeight="1" x14ac:dyDescent="0.25">
      <c r="A1578" s="3" t="s">
        <v>27</v>
      </c>
      <c r="B1578" s="3" t="s">
        <v>44</v>
      </c>
      <c r="C1578" s="3" t="s">
        <v>23</v>
      </c>
      <c r="D1578" s="3" t="s">
        <v>45</v>
      </c>
      <c r="E1578" s="3" t="s">
        <v>53</v>
      </c>
      <c r="F1578" s="3" t="s">
        <v>55</v>
      </c>
      <c r="G1578" s="3" t="s">
        <v>25</v>
      </c>
      <c r="H1578" s="3" t="s">
        <v>25</v>
      </c>
      <c r="I1578" s="6">
        <v>44501</v>
      </c>
      <c r="J1578" s="4">
        <v>0</v>
      </c>
      <c r="K1578" s="4">
        <v>0</v>
      </c>
      <c r="L1578" s="4">
        <v>-8.1</v>
      </c>
      <c r="M1578" s="4">
        <v>-2.1869999999999998</v>
      </c>
      <c r="N1578" s="4">
        <v>-8.1</v>
      </c>
      <c r="O1578" s="4">
        <v>-2.1869999999999998</v>
      </c>
      <c r="P1578" s="4">
        <v>0</v>
      </c>
      <c r="Q1578" s="3" t="s">
        <v>26</v>
      </c>
      <c r="R1578" s="3">
        <v>0</v>
      </c>
      <c r="S1578" s="4">
        <v>0</v>
      </c>
      <c r="T1578" s="4">
        <v>34</v>
      </c>
      <c r="U1578" s="4">
        <v>53</v>
      </c>
      <c r="V1578" s="4">
        <v>0</v>
      </c>
      <c r="W1578" s="4">
        <v>304.64999999999998</v>
      </c>
      <c r="X1578" s="4">
        <v>206.13</v>
      </c>
      <c r="Y1578" s="4"/>
      <c r="Z1578" s="4">
        <v>404.66608122087951</v>
      </c>
      <c r="AA1578" s="4">
        <v>232.64014070415229</v>
      </c>
      <c r="AB1578" s="4">
        <v>0</v>
      </c>
      <c r="AC1578" s="4">
        <v>-666.26954999999987</v>
      </c>
      <c r="AD1578" s="4">
        <v>-450.80630999999994</v>
      </c>
      <c r="AE1578" s="4">
        <v>0</v>
      </c>
      <c r="AF1578" s="4">
        <v>-885.00471963006339</v>
      </c>
      <c r="AG1578" s="4">
        <v>-508.78398771998104</v>
      </c>
    </row>
    <row r="1579" spans="1:33" ht="11.25" customHeight="1" x14ac:dyDescent="0.25">
      <c r="A1579" s="3" t="s">
        <v>28</v>
      </c>
      <c r="B1579" s="3" t="s">
        <v>44</v>
      </c>
      <c r="C1579" s="3" t="s">
        <v>23</v>
      </c>
      <c r="D1579" s="3" t="s">
        <v>45</v>
      </c>
      <c r="E1579" s="3" t="s">
        <v>53</v>
      </c>
      <c r="F1579" s="3" t="s">
        <v>55</v>
      </c>
      <c r="G1579" s="3" t="s">
        <v>25</v>
      </c>
      <c r="H1579" s="3" t="s">
        <v>25</v>
      </c>
      <c r="I1579" s="6">
        <v>44501</v>
      </c>
      <c r="J1579" s="4">
        <v>0</v>
      </c>
      <c r="K1579" s="4">
        <v>0</v>
      </c>
      <c r="L1579" s="4">
        <v>1.032</v>
      </c>
      <c r="M1579" s="4">
        <v>0.27864</v>
      </c>
      <c r="N1579" s="4">
        <v>1.032</v>
      </c>
      <c r="O1579" s="4">
        <v>0.27864</v>
      </c>
      <c r="P1579" s="4">
        <v>0</v>
      </c>
      <c r="Q1579" s="3" t="s">
        <v>26</v>
      </c>
      <c r="R1579" s="3">
        <v>0</v>
      </c>
      <c r="S1579" s="4">
        <v>0</v>
      </c>
      <c r="T1579" s="4">
        <v>34</v>
      </c>
      <c r="U1579" s="4">
        <v>53</v>
      </c>
      <c r="V1579" s="4">
        <v>0</v>
      </c>
      <c r="W1579" s="4">
        <v>304.64999999999998</v>
      </c>
      <c r="X1579" s="4">
        <v>206.13</v>
      </c>
      <c r="Y1579" s="4"/>
      <c r="Z1579" s="4">
        <v>404.66608122087951</v>
      </c>
      <c r="AA1579" s="4">
        <v>232.64014070415229</v>
      </c>
      <c r="AB1579" s="4">
        <v>0</v>
      </c>
      <c r="AC1579" s="4">
        <v>84.887675999999999</v>
      </c>
      <c r="AD1579" s="4">
        <v>57.4360632</v>
      </c>
      <c r="AE1579" s="4">
        <v>0</v>
      </c>
      <c r="AF1579" s="4">
        <v>112.75615687138587</v>
      </c>
      <c r="AG1579" s="4">
        <v>64.822848805804995</v>
      </c>
    </row>
    <row r="1580" spans="1:33" ht="11.25" customHeight="1" x14ac:dyDescent="0.25">
      <c r="A1580" s="3" t="s">
        <v>21</v>
      </c>
      <c r="B1580" s="3" t="s">
        <v>44</v>
      </c>
      <c r="C1580" s="3" t="s">
        <v>23</v>
      </c>
      <c r="D1580" s="3" t="s">
        <v>45</v>
      </c>
      <c r="E1580" s="3" t="s">
        <v>53</v>
      </c>
      <c r="F1580" s="3" t="s">
        <v>55</v>
      </c>
      <c r="G1580" s="3" t="s">
        <v>25</v>
      </c>
      <c r="H1580" s="3" t="s">
        <v>25</v>
      </c>
      <c r="I1580" s="6">
        <v>44531</v>
      </c>
      <c r="J1580" s="4">
        <v>0</v>
      </c>
      <c r="K1580" s="4">
        <v>0</v>
      </c>
      <c r="L1580" s="4">
        <v>360.911</v>
      </c>
      <c r="M1580" s="4">
        <v>97.445970000000003</v>
      </c>
      <c r="N1580" s="4">
        <v>360.911</v>
      </c>
      <c r="O1580" s="4">
        <v>97.445970000000003</v>
      </c>
      <c r="P1580" s="4">
        <v>0</v>
      </c>
      <c r="Q1580" s="3" t="s">
        <v>26</v>
      </c>
      <c r="R1580" s="3">
        <v>0</v>
      </c>
      <c r="S1580" s="4">
        <v>0</v>
      </c>
      <c r="T1580" s="4">
        <v>34</v>
      </c>
      <c r="U1580" s="4">
        <v>53</v>
      </c>
      <c r="V1580" s="4">
        <v>0</v>
      </c>
      <c r="W1580" s="4">
        <v>304.64999999999998</v>
      </c>
      <c r="X1580" s="4">
        <v>206.13</v>
      </c>
      <c r="Y1580" s="4"/>
      <c r="Z1580" s="4">
        <v>404.66608122087951</v>
      </c>
      <c r="AA1580" s="4">
        <v>232.64014070415229</v>
      </c>
      <c r="AB1580" s="4">
        <v>0</v>
      </c>
      <c r="AC1580" s="4">
        <v>29686.9147605</v>
      </c>
      <c r="AD1580" s="4">
        <v>20086.537796100001</v>
      </c>
      <c r="AE1580" s="4">
        <v>0</v>
      </c>
      <c r="AF1580" s="4">
        <v>39433.078810667386</v>
      </c>
      <c r="AG1580" s="4">
        <v>22669.844171852605</v>
      </c>
    </row>
    <row r="1581" spans="1:33" ht="11.25" customHeight="1" x14ac:dyDescent="0.25">
      <c r="A1581" s="3" t="s">
        <v>27</v>
      </c>
      <c r="B1581" s="3" t="s">
        <v>44</v>
      </c>
      <c r="C1581" s="3" t="s">
        <v>23</v>
      </c>
      <c r="D1581" s="3" t="s">
        <v>45</v>
      </c>
      <c r="E1581" s="3" t="s">
        <v>53</v>
      </c>
      <c r="F1581" s="3" t="s">
        <v>55</v>
      </c>
      <c r="G1581" s="3" t="s">
        <v>25</v>
      </c>
      <c r="H1581" s="3" t="s">
        <v>25</v>
      </c>
      <c r="I1581" s="6">
        <v>44531</v>
      </c>
      <c r="J1581" s="4">
        <v>0</v>
      </c>
      <c r="K1581" s="4">
        <v>0</v>
      </c>
      <c r="L1581" s="4">
        <v>-6.673</v>
      </c>
      <c r="M1581" s="4">
        <v>-1.8017099999999999</v>
      </c>
      <c r="N1581" s="4">
        <v>-6.673</v>
      </c>
      <c r="O1581" s="4">
        <v>-1.8017099999999999</v>
      </c>
      <c r="P1581" s="4">
        <v>0</v>
      </c>
      <c r="Q1581" s="3" t="s">
        <v>26</v>
      </c>
      <c r="R1581" s="3">
        <v>0</v>
      </c>
      <c r="S1581" s="4">
        <v>0</v>
      </c>
      <c r="T1581" s="4">
        <v>34</v>
      </c>
      <c r="U1581" s="4">
        <v>53</v>
      </c>
      <c r="V1581" s="4">
        <v>0</v>
      </c>
      <c r="W1581" s="4">
        <v>304.64999999999998</v>
      </c>
      <c r="X1581" s="4">
        <v>206.13</v>
      </c>
      <c r="Y1581" s="4"/>
      <c r="Z1581" s="4">
        <v>404.66608122087951</v>
      </c>
      <c r="AA1581" s="4">
        <v>232.64014070415229</v>
      </c>
      <c r="AB1581" s="4">
        <v>0</v>
      </c>
      <c r="AC1581" s="4">
        <v>-548.89095149999991</v>
      </c>
      <c r="AD1581" s="4">
        <v>-371.38648229999995</v>
      </c>
      <c r="AE1581" s="4">
        <v>0</v>
      </c>
      <c r="AF1581" s="4">
        <v>-729.09092519647083</v>
      </c>
      <c r="AG1581" s="4">
        <v>-419.1500679080782</v>
      </c>
    </row>
    <row r="1582" spans="1:33" ht="11.25" customHeight="1" x14ac:dyDescent="0.25">
      <c r="A1582" s="3" t="s">
        <v>28</v>
      </c>
      <c r="B1582" s="3" t="s">
        <v>44</v>
      </c>
      <c r="C1582" s="3" t="s">
        <v>23</v>
      </c>
      <c r="D1582" s="3" t="s">
        <v>45</v>
      </c>
      <c r="E1582" s="3" t="s">
        <v>53</v>
      </c>
      <c r="F1582" s="3" t="s">
        <v>55</v>
      </c>
      <c r="G1582" s="3" t="s">
        <v>25</v>
      </c>
      <c r="H1582" s="3" t="s">
        <v>25</v>
      </c>
      <c r="I1582" s="6">
        <v>44531</v>
      </c>
      <c r="J1582" s="4">
        <v>0</v>
      </c>
      <c r="K1582" s="4">
        <v>0</v>
      </c>
      <c r="L1582" s="4">
        <v>0.97099999999999997</v>
      </c>
      <c r="M1582" s="4">
        <v>0.26217000000000001</v>
      </c>
      <c r="N1582" s="4">
        <v>0.97099999999999997</v>
      </c>
      <c r="O1582" s="4">
        <v>0.26217000000000001</v>
      </c>
      <c r="P1582" s="4">
        <v>0</v>
      </c>
      <c r="Q1582" s="3" t="s">
        <v>26</v>
      </c>
      <c r="R1582" s="3">
        <v>0</v>
      </c>
      <c r="S1582" s="4">
        <v>0</v>
      </c>
      <c r="T1582" s="4">
        <v>34</v>
      </c>
      <c r="U1582" s="4">
        <v>53</v>
      </c>
      <c r="V1582" s="4">
        <v>0</v>
      </c>
      <c r="W1582" s="4">
        <v>304.64999999999998</v>
      </c>
      <c r="X1582" s="4">
        <v>206.13</v>
      </c>
      <c r="Y1582" s="4"/>
      <c r="Z1582" s="4">
        <v>404.66608122087951</v>
      </c>
      <c r="AA1582" s="4">
        <v>232.64014070415229</v>
      </c>
      <c r="AB1582" s="4">
        <v>0</v>
      </c>
      <c r="AC1582" s="4">
        <v>79.870090500000003</v>
      </c>
      <c r="AD1582" s="4">
        <v>54.041102100000003</v>
      </c>
      <c r="AE1582" s="4">
        <v>0</v>
      </c>
      <c r="AF1582" s="4">
        <v>106.09130651367799</v>
      </c>
      <c r="AG1582" s="4">
        <v>60.991265688407609</v>
      </c>
    </row>
    <row r="1583" spans="1:33" ht="11.25" customHeight="1" x14ac:dyDescent="0.25">
      <c r="A1583" s="3" t="s">
        <v>21</v>
      </c>
      <c r="B1583" s="3" t="s">
        <v>44</v>
      </c>
      <c r="C1583" s="3" t="s">
        <v>23</v>
      </c>
      <c r="D1583" s="3" t="s">
        <v>45</v>
      </c>
      <c r="E1583" s="3" t="s">
        <v>53</v>
      </c>
      <c r="F1583" s="3" t="s">
        <v>55</v>
      </c>
      <c r="G1583" s="3" t="s">
        <v>25</v>
      </c>
      <c r="H1583" s="3" t="s">
        <v>25</v>
      </c>
      <c r="I1583" s="6">
        <v>44562</v>
      </c>
      <c r="J1583" s="4">
        <v>0</v>
      </c>
      <c r="K1583" s="4">
        <v>0</v>
      </c>
      <c r="L1583" s="4">
        <v>321.29599999999999</v>
      </c>
      <c r="M1583" s="4">
        <v>86.749920000000003</v>
      </c>
      <c r="N1583" s="4">
        <v>321.29599999999999</v>
      </c>
      <c r="O1583" s="4">
        <v>86.749920000000003</v>
      </c>
      <c r="P1583" s="4">
        <v>0</v>
      </c>
      <c r="Q1583" s="3" t="s">
        <v>26</v>
      </c>
      <c r="R1583" s="3">
        <v>0</v>
      </c>
      <c r="S1583" s="4">
        <v>0</v>
      </c>
      <c r="T1583" s="4">
        <v>34</v>
      </c>
      <c r="U1583" s="4">
        <v>53</v>
      </c>
      <c r="V1583" s="4">
        <v>0</v>
      </c>
      <c r="W1583" s="4">
        <v>304.64999999999998</v>
      </c>
      <c r="X1583" s="4">
        <v>206.13</v>
      </c>
      <c r="Y1583" s="4"/>
      <c r="Z1583" s="4">
        <v>404.66608122087951</v>
      </c>
      <c r="AA1583" s="4">
        <v>232.64014070415229</v>
      </c>
      <c r="AB1583" s="4">
        <v>0</v>
      </c>
      <c r="AC1583" s="4">
        <v>26428.363127999997</v>
      </c>
      <c r="AD1583" s="4">
        <v>17881.761009599999</v>
      </c>
      <c r="AE1583" s="4">
        <v>0</v>
      </c>
      <c r="AF1583" s="4">
        <v>35104.750172624801</v>
      </c>
      <c r="AG1583" s="4">
        <v>20181.513594873955</v>
      </c>
    </row>
    <row r="1584" spans="1:33" ht="11.25" customHeight="1" x14ac:dyDescent="0.25">
      <c r="A1584" s="3" t="s">
        <v>28</v>
      </c>
      <c r="B1584" s="3" t="s">
        <v>44</v>
      </c>
      <c r="C1584" s="3" t="s">
        <v>23</v>
      </c>
      <c r="D1584" s="3" t="s">
        <v>45</v>
      </c>
      <c r="E1584" s="3" t="s">
        <v>53</v>
      </c>
      <c r="F1584" s="3" t="s">
        <v>55</v>
      </c>
      <c r="G1584" s="3" t="s">
        <v>25</v>
      </c>
      <c r="H1584" s="3" t="s">
        <v>25</v>
      </c>
      <c r="I1584" s="6">
        <v>44562</v>
      </c>
      <c r="J1584" s="4">
        <v>0</v>
      </c>
      <c r="K1584" s="4">
        <v>0</v>
      </c>
      <c r="L1584" s="4">
        <v>1.0580000000000001</v>
      </c>
      <c r="M1584" s="4">
        <v>0.28566000000000003</v>
      </c>
      <c r="N1584" s="4">
        <v>1.0580000000000001</v>
      </c>
      <c r="O1584" s="4">
        <v>0.28566000000000003</v>
      </c>
      <c r="P1584" s="4">
        <v>0</v>
      </c>
      <c r="Q1584" s="3" t="s">
        <v>26</v>
      </c>
      <c r="R1584" s="3">
        <v>0</v>
      </c>
      <c r="S1584" s="4">
        <v>0</v>
      </c>
      <c r="T1584" s="4">
        <v>34</v>
      </c>
      <c r="U1584" s="4">
        <v>53</v>
      </c>
      <c r="V1584" s="4">
        <v>0</v>
      </c>
      <c r="W1584" s="4">
        <v>304.64999999999998</v>
      </c>
      <c r="X1584" s="4">
        <v>206.13</v>
      </c>
      <c r="Y1584" s="4"/>
      <c r="Z1584" s="4">
        <v>404.66608122087951</v>
      </c>
      <c r="AA1584" s="4">
        <v>232.64014070415229</v>
      </c>
      <c r="AB1584" s="4">
        <v>0</v>
      </c>
      <c r="AC1584" s="4">
        <v>87.026319000000001</v>
      </c>
      <c r="AD1584" s="4">
        <v>58.883095800000007</v>
      </c>
      <c r="AE1584" s="4">
        <v>0</v>
      </c>
      <c r="AF1584" s="4">
        <v>115.59691276155645</v>
      </c>
      <c r="AG1584" s="4">
        <v>66.455982593548143</v>
      </c>
    </row>
    <row r="1585" spans="1:33" ht="11.25" customHeight="1" x14ac:dyDescent="0.25">
      <c r="A1585" s="3" t="s">
        <v>21</v>
      </c>
      <c r="B1585" s="3" t="s">
        <v>44</v>
      </c>
      <c r="C1585" s="3" t="s">
        <v>23</v>
      </c>
      <c r="D1585" s="3" t="s">
        <v>45</v>
      </c>
      <c r="E1585" s="3" t="s">
        <v>53</v>
      </c>
      <c r="F1585" s="3" t="s">
        <v>55</v>
      </c>
      <c r="G1585" s="3" t="s">
        <v>25</v>
      </c>
      <c r="H1585" s="3" t="s">
        <v>25</v>
      </c>
      <c r="I1585" s="6">
        <v>44593</v>
      </c>
      <c r="J1585" s="4">
        <v>0</v>
      </c>
      <c r="K1585" s="4">
        <v>0</v>
      </c>
      <c r="L1585" s="4">
        <v>475.80099999999999</v>
      </c>
      <c r="M1585" s="4">
        <v>128.46627000000001</v>
      </c>
      <c r="N1585" s="4">
        <v>475.80099999999999</v>
      </c>
      <c r="O1585" s="4">
        <v>128.46627000000001</v>
      </c>
      <c r="P1585" s="4">
        <v>0</v>
      </c>
      <c r="Q1585" s="3" t="s">
        <v>26</v>
      </c>
      <c r="R1585" s="3">
        <v>0</v>
      </c>
      <c r="S1585" s="4">
        <v>0</v>
      </c>
      <c r="T1585" s="4">
        <v>34</v>
      </c>
      <c r="U1585" s="4">
        <v>53</v>
      </c>
      <c r="V1585" s="4">
        <v>0</v>
      </c>
      <c r="W1585" s="4">
        <v>304.64999999999998</v>
      </c>
      <c r="X1585" s="4">
        <v>206.13</v>
      </c>
      <c r="Y1585" s="4"/>
      <c r="Z1585" s="4">
        <v>404.66608122087951</v>
      </c>
      <c r="AA1585" s="4">
        <v>232.64014070415229</v>
      </c>
      <c r="AB1585" s="4">
        <v>0</v>
      </c>
      <c r="AC1585" s="4">
        <v>39137.249155500002</v>
      </c>
      <c r="AD1585" s="4">
        <v>26480.752235100001</v>
      </c>
      <c r="AE1585" s="4">
        <v>0</v>
      </c>
      <c r="AF1585" s="4">
        <v>51985.942049963436</v>
      </c>
      <c r="AG1585" s="4">
        <v>29886.41112853762</v>
      </c>
    </row>
    <row r="1586" spans="1:33" ht="11.25" customHeight="1" x14ac:dyDescent="0.25">
      <c r="A1586" s="3" t="s">
        <v>28</v>
      </c>
      <c r="B1586" s="3" t="s">
        <v>44</v>
      </c>
      <c r="C1586" s="3" t="s">
        <v>23</v>
      </c>
      <c r="D1586" s="3" t="s">
        <v>45</v>
      </c>
      <c r="E1586" s="3" t="s">
        <v>53</v>
      </c>
      <c r="F1586" s="3" t="s">
        <v>55</v>
      </c>
      <c r="G1586" s="3" t="s">
        <v>25</v>
      </c>
      <c r="H1586" s="3" t="s">
        <v>25</v>
      </c>
      <c r="I1586" s="6">
        <v>44593</v>
      </c>
      <c r="J1586" s="4">
        <v>0</v>
      </c>
      <c r="K1586" s="4">
        <v>0</v>
      </c>
      <c r="L1586" s="4">
        <v>1.107</v>
      </c>
      <c r="M1586" s="4">
        <v>0.29888999999999999</v>
      </c>
      <c r="N1586" s="4">
        <v>1.107</v>
      </c>
      <c r="O1586" s="4">
        <v>0.29888999999999999</v>
      </c>
      <c r="P1586" s="4">
        <v>0</v>
      </c>
      <c r="Q1586" s="3" t="s">
        <v>26</v>
      </c>
      <c r="R1586" s="3">
        <v>0</v>
      </c>
      <c r="S1586" s="4">
        <v>0</v>
      </c>
      <c r="T1586" s="4">
        <v>34</v>
      </c>
      <c r="U1586" s="4">
        <v>53</v>
      </c>
      <c r="V1586" s="4">
        <v>0</v>
      </c>
      <c r="W1586" s="4">
        <v>304.64999999999998</v>
      </c>
      <c r="X1586" s="4">
        <v>206.13</v>
      </c>
      <c r="Y1586" s="4"/>
      <c r="Z1586" s="4">
        <v>404.66608122087951</v>
      </c>
      <c r="AA1586" s="4">
        <v>232.64014070415229</v>
      </c>
      <c r="AB1586" s="4">
        <v>0</v>
      </c>
      <c r="AC1586" s="4">
        <v>91.056838499999984</v>
      </c>
      <c r="AD1586" s="4">
        <v>61.610195699999998</v>
      </c>
      <c r="AE1586" s="4">
        <v>0</v>
      </c>
      <c r="AF1586" s="4">
        <v>120.95064501610867</v>
      </c>
      <c r="AG1586" s="4">
        <v>69.533811655064071</v>
      </c>
    </row>
    <row r="1587" spans="1:33" ht="11.25" customHeight="1" x14ac:dyDescent="0.25">
      <c r="A1587" s="3" t="s">
        <v>56</v>
      </c>
      <c r="B1587" s="3" t="s">
        <v>44</v>
      </c>
      <c r="C1587" s="3" t="s">
        <v>23</v>
      </c>
      <c r="D1587" s="3" t="s">
        <v>45</v>
      </c>
      <c r="E1587" s="3" t="s">
        <v>53</v>
      </c>
      <c r="F1587" s="3" t="s">
        <v>55</v>
      </c>
      <c r="G1587" s="3" t="s">
        <v>25</v>
      </c>
      <c r="H1587" s="3" t="s">
        <v>25</v>
      </c>
      <c r="I1587" s="6">
        <v>44621</v>
      </c>
      <c r="J1587" s="4">
        <v>0</v>
      </c>
      <c r="K1587" s="4">
        <v>0</v>
      </c>
      <c r="L1587" s="4">
        <v>475.80099999999999</v>
      </c>
      <c r="M1587" s="4">
        <v>128.46627000000001</v>
      </c>
      <c r="N1587" s="4">
        <v>475.80099999999999</v>
      </c>
      <c r="O1587" s="4">
        <v>128.46627000000001</v>
      </c>
      <c r="P1587" s="4">
        <v>0</v>
      </c>
      <c r="Q1587" s="3" t="s">
        <v>26</v>
      </c>
      <c r="R1587" s="3">
        <v>0</v>
      </c>
      <c r="S1587" s="4">
        <v>0</v>
      </c>
      <c r="T1587" s="4">
        <v>34</v>
      </c>
      <c r="U1587" s="4">
        <v>53</v>
      </c>
      <c r="V1587" s="4">
        <v>0</v>
      </c>
      <c r="W1587" s="4">
        <v>304.64999999999998</v>
      </c>
      <c r="X1587" s="4">
        <v>206.13</v>
      </c>
      <c r="Y1587" s="4"/>
      <c r="Z1587" s="4">
        <v>404.66608122087951</v>
      </c>
      <c r="AA1587" s="4">
        <v>232.64014070415229</v>
      </c>
      <c r="AB1587" s="4">
        <v>0</v>
      </c>
      <c r="AC1587" s="4">
        <v>39137.249155500002</v>
      </c>
      <c r="AD1587" s="4">
        <v>26480.752235100001</v>
      </c>
      <c r="AE1587" s="4">
        <v>0</v>
      </c>
      <c r="AF1587" s="4">
        <v>51985.942049963436</v>
      </c>
      <c r="AG1587" s="4">
        <v>29886.41112853762</v>
      </c>
    </row>
    <row r="1588" spans="1:33" ht="11.25" customHeight="1" x14ac:dyDescent="0.25">
      <c r="A1588" s="3" t="s">
        <v>56</v>
      </c>
      <c r="B1588" s="3" t="s">
        <v>44</v>
      </c>
      <c r="C1588" s="3" t="s">
        <v>23</v>
      </c>
      <c r="D1588" s="3" t="s">
        <v>45</v>
      </c>
      <c r="E1588" s="3" t="s">
        <v>53</v>
      </c>
      <c r="F1588" s="3" t="s">
        <v>55</v>
      </c>
      <c r="G1588" s="3" t="s">
        <v>25</v>
      </c>
      <c r="H1588" s="3" t="s">
        <v>25</v>
      </c>
      <c r="I1588" s="6">
        <v>44621</v>
      </c>
      <c r="J1588" s="4">
        <v>0</v>
      </c>
      <c r="K1588" s="4">
        <v>0</v>
      </c>
      <c r="L1588" s="4">
        <v>1.107</v>
      </c>
      <c r="M1588" s="4">
        <v>0.29888999999999999</v>
      </c>
      <c r="N1588" s="4">
        <v>1.107</v>
      </c>
      <c r="O1588" s="4">
        <v>0.29888999999999999</v>
      </c>
      <c r="P1588" s="4">
        <v>0</v>
      </c>
      <c r="Q1588" s="3" t="s">
        <v>26</v>
      </c>
      <c r="R1588" s="3">
        <v>0</v>
      </c>
      <c r="S1588" s="4">
        <v>0</v>
      </c>
      <c r="T1588" s="4">
        <v>34</v>
      </c>
      <c r="U1588" s="4">
        <v>53</v>
      </c>
      <c r="V1588" s="4">
        <v>0</v>
      </c>
      <c r="W1588" s="4">
        <v>304.64999999999998</v>
      </c>
      <c r="X1588" s="4">
        <v>206.13</v>
      </c>
      <c r="Y1588" s="4"/>
      <c r="Z1588" s="4">
        <v>404.66608122087951</v>
      </c>
      <c r="AA1588" s="4">
        <v>232.64014070415229</v>
      </c>
      <c r="AB1588" s="4">
        <v>0</v>
      </c>
      <c r="AC1588" s="4">
        <v>91.056838499999984</v>
      </c>
      <c r="AD1588" s="4">
        <v>61.610195699999998</v>
      </c>
      <c r="AE1588" s="4">
        <v>0</v>
      </c>
      <c r="AF1588" s="4">
        <v>120.95064501610867</v>
      </c>
      <c r="AG1588" s="4">
        <v>69.533811655064071</v>
      </c>
    </row>
    <row r="1589" spans="1:33" ht="11.25" customHeight="1" x14ac:dyDescent="0.25">
      <c r="A1589" s="3" t="s">
        <v>21</v>
      </c>
      <c r="B1589" s="3" t="s">
        <v>44</v>
      </c>
      <c r="C1589" s="3" t="s">
        <v>23</v>
      </c>
      <c r="D1589" s="3" t="s">
        <v>45</v>
      </c>
      <c r="E1589" s="3" t="s">
        <v>25</v>
      </c>
      <c r="F1589" s="3" t="s">
        <v>25</v>
      </c>
      <c r="G1589" s="3" t="s">
        <v>25</v>
      </c>
      <c r="H1589" s="3" t="s">
        <v>25</v>
      </c>
      <c r="I1589" s="6">
        <v>44287</v>
      </c>
      <c r="J1589" s="4">
        <v>0</v>
      </c>
      <c r="K1589" s="4">
        <v>0</v>
      </c>
      <c r="L1589" s="4">
        <v>5373.0360000000001</v>
      </c>
      <c r="M1589" s="4">
        <v>5373.0360000000001</v>
      </c>
      <c r="N1589" s="4">
        <v>5373.0360000000001</v>
      </c>
      <c r="O1589" s="4">
        <v>5373.0360000000001</v>
      </c>
      <c r="P1589" s="4">
        <v>22764</v>
      </c>
      <c r="Q1589" s="3" t="s">
        <v>26</v>
      </c>
      <c r="R1589" s="3">
        <v>0</v>
      </c>
      <c r="S1589" s="4">
        <v>0</v>
      </c>
      <c r="T1589" s="4">
        <v>34</v>
      </c>
      <c r="U1589" s="4">
        <v>53</v>
      </c>
      <c r="V1589" s="4">
        <v>0</v>
      </c>
      <c r="W1589" s="4">
        <v>304.64999999999998</v>
      </c>
      <c r="X1589" s="4">
        <v>206.13</v>
      </c>
      <c r="Y1589" s="4"/>
      <c r="Z1589" s="4">
        <v>404.66608122087951</v>
      </c>
      <c r="AA1589" s="4">
        <v>232.64014070415229</v>
      </c>
      <c r="AB1589" s="4">
        <v>0</v>
      </c>
      <c r="AC1589" s="4">
        <v>1636895.4173999999</v>
      </c>
      <c r="AD1589" s="4">
        <v>1107543.91068</v>
      </c>
      <c r="AE1589" s="4">
        <v>0</v>
      </c>
      <c r="AF1589" s="4">
        <v>2174285.4223787095</v>
      </c>
      <c r="AG1589" s="4">
        <v>1249983.8510484756</v>
      </c>
    </row>
    <row r="1590" spans="1:33" ht="11.25" customHeight="1" x14ac:dyDescent="0.25">
      <c r="A1590" s="3" t="s">
        <v>27</v>
      </c>
      <c r="B1590" s="3" t="s">
        <v>44</v>
      </c>
      <c r="C1590" s="3" t="s">
        <v>23</v>
      </c>
      <c r="D1590" s="3" t="s">
        <v>45</v>
      </c>
      <c r="E1590" s="3" t="s">
        <v>25</v>
      </c>
      <c r="F1590" s="3" t="s">
        <v>25</v>
      </c>
      <c r="G1590" s="3" t="s">
        <v>25</v>
      </c>
      <c r="H1590" s="3" t="s">
        <v>25</v>
      </c>
      <c r="I1590" s="6">
        <v>44287</v>
      </c>
      <c r="J1590" s="4">
        <v>0</v>
      </c>
      <c r="K1590" s="4">
        <v>0</v>
      </c>
      <c r="L1590" s="4">
        <v>-0.26</v>
      </c>
      <c r="M1590" s="4">
        <v>-0.26</v>
      </c>
      <c r="N1590" s="4">
        <v>-0.26</v>
      </c>
      <c r="O1590" s="4">
        <v>-0.26</v>
      </c>
      <c r="P1590" s="4">
        <v>-2</v>
      </c>
      <c r="Q1590" s="3" t="s">
        <v>26</v>
      </c>
      <c r="R1590" s="3">
        <v>0</v>
      </c>
      <c r="S1590" s="4">
        <v>0</v>
      </c>
      <c r="T1590" s="4">
        <v>34</v>
      </c>
      <c r="U1590" s="4">
        <v>53</v>
      </c>
      <c r="V1590" s="4">
        <v>0</v>
      </c>
      <c r="W1590" s="4">
        <v>304.64999999999998</v>
      </c>
      <c r="X1590" s="4">
        <v>206.13</v>
      </c>
      <c r="Y1590" s="4"/>
      <c r="Z1590" s="4">
        <v>404.66608122087951</v>
      </c>
      <c r="AA1590" s="4">
        <v>232.64014070415229</v>
      </c>
      <c r="AB1590" s="4">
        <v>0</v>
      </c>
      <c r="AC1590" s="4">
        <v>-79.209000000000003</v>
      </c>
      <c r="AD1590" s="4">
        <v>-53.593800000000002</v>
      </c>
      <c r="AE1590" s="4">
        <v>0</v>
      </c>
      <c r="AF1590" s="4">
        <v>-105.21318111742868</v>
      </c>
      <c r="AG1590" s="4">
        <v>-60.486436583079595</v>
      </c>
    </row>
    <row r="1591" spans="1:33" ht="11.25" customHeight="1" x14ac:dyDescent="0.25">
      <c r="A1591" s="3" t="s">
        <v>28</v>
      </c>
      <c r="B1591" s="3" t="s">
        <v>44</v>
      </c>
      <c r="C1591" s="3" t="s">
        <v>23</v>
      </c>
      <c r="D1591" s="3" t="s">
        <v>45</v>
      </c>
      <c r="E1591" s="3" t="s">
        <v>25</v>
      </c>
      <c r="F1591" s="3" t="s">
        <v>25</v>
      </c>
      <c r="G1591" s="3" t="s">
        <v>25</v>
      </c>
      <c r="H1591" s="3" t="s">
        <v>25</v>
      </c>
      <c r="I1591" s="6">
        <v>44287</v>
      </c>
      <c r="J1591" s="4">
        <v>0</v>
      </c>
      <c r="K1591" s="4">
        <v>0</v>
      </c>
      <c r="L1591" s="4">
        <v>83.564999999999998</v>
      </c>
      <c r="M1591" s="4">
        <v>83.564999999999998</v>
      </c>
      <c r="N1591" s="4">
        <v>83.564999999999998</v>
      </c>
      <c r="O1591" s="4">
        <v>83.564999999999998</v>
      </c>
      <c r="P1591" s="4">
        <v>152</v>
      </c>
      <c r="Q1591" s="3" t="s">
        <v>26</v>
      </c>
      <c r="R1591" s="3">
        <v>0</v>
      </c>
      <c r="S1591" s="4">
        <v>0</v>
      </c>
      <c r="T1591" s="4">
        <v>34</v>
      </c>
      <c r="U1591" s="4">
        <v>53</v>
      </c>
      <c r="V1591" s="4">
        <v>0</v>
      </c>
      <c r="W1591" s="4">
        <v>304.64999999999998</v>
      </c>
      <c r="X1591" s="4">
        <v>206.13</v>
      </c>
      <c r="Y1591" s="4"/>
      <c r="Z1591" s="4">
        <v>404.66608122087951</v>
      </c>
      <c r="AA1591" s="4">
        <v>232.64014070415229</v>
      </c>
      <c r="AB1591" s="4">
        <v>0</v>
      </c>
      <c r="AC1591" s="4">
        <v>25458.077249999998</v>
      </c>
      <c r="AD1591" s="4">
        <v>17225.25345</v>
      </c>
      <c r="AE1591" s="4">
        <v>0</v>
      </c>
      <c r="AF1591" s="4">
        <v>33815.921077222796</v>
      </c>
      <c r="AG1591" s="4">
        <v>19440.573357942485</v>
      </c>
    </row>
    <row r="1592" spans="1:33" ht="11.25" customHeight="1" x14ac:dyDescent="0.25">
      <c r="A1592" s="3" t="s">
        <v>21</v>
      </c>
      <c r="B1592" s="3" t="s">
        <v>44</v>
      </c>
      <c r="C1592" s="3" t="s">
        <v>23</v>
      </c>
      <c r="D1592" s="3" t="s">
        <v>45</v>
      </c>
      <c r="E1592" s="3" t="s">
        <v>25</v>
      </c>
      <c r="F1592" s="3" t="s">
        <v>25</v>
      </c>
      <c r="G1592" s="3" t="s">
        <v>25</v>
      </c>
      <c r="H1592" s="3" t="s">
        <v>25</v>
      </c>
      <c r="I1592" s="6">
        <v>44317</v>
      </c>
      <c r="J1592" s="4">
        <v>0</v>
      </c>
      <c r="K1592" s="4">
        <v>0</v>
      </c>
      <c r="L1592" s="4">
        <v>4323.9170000000004</v>
      </c>
      <c r="M1592" s="4">
        <v>4323.9170000000004</v>
      </c>
      <c r="N1592" s="4">
        <v>4323.9170000000004</v>
      </c>
      <c r="O1592" s="4">
        <v>4323.9170000000004</v>
      </c>
      <c r="P1592" s="4">
        <v>22763</v>
      </c>
      <c r="Q1592" s="3" t="s">
        <v>26</v>
      </c>
      <c r="R1592" s="3">
        <v>0</v>
      </c>
      <c r="S1592" s="4">
        <v>0</v>
      </c>
      <c r="T1592" s="4">
        <v>34</v>
      </c>
      <c r="U1592" s="4">
        <v>53</v>
      </c>
      <c r="V1592" s="4">
        <v>0</v>
      </c>
      <c r="W1592" s="4">
        <v>304.64999999999998</v>
      </c>
      <c r="X1592" s="4">
        <v>206.13</v>
      </c>
      <c r="Y1592" s="4"/>
      <c r="Z1592" s="4">
        <v>404.66608122087951</v>
      </c>
      <c r="AA1592" s="4">
        <v>232.64014070415229</v>
      </c>
      <c r="AB1592" s="4">
        <v>0</v>
      </c>
      <c r="AC1592" s="4">
        <v>1317281.3140499999</v>
      </c>
      <c r="AD1592" s="4">
        <v>891289.01121000003</v>
      </c>
      <c r="AE1592" s="4">
        <v>0</v>
      </c>
      <c r="AF1592" s="4">
        <v>1749742.5479143418</v>
      </c>
      <c r="AG1592" s="4">
        <v>1005916.6592730761</v>
      </c>
    </row>
    <row r="1593" spans="1:33" ht="11.25" customHeight="1" x14ac:dyDescent="0.25">
      <c r="A1593" s="3" t="s">
        <v>27</v>
      </c>
      <c r="B1593" s="3" t="s">
        <v>44</v>
      </c>
      <c r="C1593" s="3" t="s">
        <v>23</v>
      </c>
      <c r="D1593" s="3" t="s">
        <v>45</v>
      </c>
      <c r="E1593" s="3" t="s">
        <v>25</v>
      </c>
      <c r="F1593" s="3" t="s">
        <v>25</v>
      </c>
      <c r="G1593" s="3" t="s">
        <v>25</v>
      </c>
      <c r="H1593" s="3" t="s">
        <v>25</v>
      </c>
      <c r="I1593" s="6">
        <v>44317</v>
      </c>
      <c r="J1593" s="4">
        <v>0</v>
      </c>
      <c r="K1593" s="4">
        <v>0</v>
      </c>
      <c r="L1593" s="4">
        <v>-7.1609999999999996</v>
      </c>
      <c r="M1593" s="4">
        <v>-7.1609999999999996</v>
      </c>
      <c r="N1593" s="4">
        <v>-7.1609999999999996</v>
      </c>
      <c r="O1593" s="4">
        <v>-7.1609999999999996</v>
      </c>
      <c r="P1593" s="4">
        <v>-3</v>
      </c>
      <c r="Q1593" s="3" t="s">
        <v>26</v>
      </c>
      <c r="R1593" s="3">
        <v>0</v>
      </c>
      <c r="S1593" s="4">
        <v>0</v>
      </c>
      <c r="T1593" s="4">
        <v>34</v>
      </c>
      <c r="U1593" s="4">
        <v>53</v>
      </c>
      <c r="V1593" s="4">
        <v>0</v>
      </c>
      <c r="W1593" s="4">
        <v>304.64999999999998</v>
      </c>
      <c r="X1593" s="4">
        <v>206.13</v>
      </c>
      <c r="Y1593" s="4"/>
      <c r="Z1593" s="4">
        <v>404.66608122087951</v>
      </c>
      <c r="AA1593" s="4">
        <v>232.64014070415229</v>
      </c>
      <c r="AB1593" s="4">
        <v>0</v>
      </c>
      <c r="AC1593" s="4">
        <v>-2181.5986499999999</v>
      </c>
      <c r="AD1593" s="4">
        <v>-1476.0969299999999</v>
      </c>
      <c r="AE1593" s="4">
        <v>0</v>
      </c>
      <c r="AF1593" s="4">
        <v>-2897.8138076227178</v>
      </c>
      <c r="AG1593" s="4">
        <v>-1665.9360475824344</v>
      </c>
    </row>
    <row r="1594" spans="1:33" ht="11.25" customHeight="1" x14ac:dyDescent="0.25">
      <c r="A1594" s="3" t="s">
        <v>28</v>
      </c>
      <c r="B1594" s="3" t="s">
        <v>44</v>
      </c>
      <c r="C1594" s="3" t="s">
        <v>23</v>
      </c>
      <c r="D1594" s="3" t="s">
        <v>45</v>
      </c>
      <c r="E1594" s="3" t="s">
        <v>25</v>
      </c>
      <c r="F1594" s="3" t="s">
        <v>25</v>
      </c>
      <c r="G1594" s="3" t="s">
        <v>25</v>
      </c>
      <c r="H1594" s="3" t="s">
        <v>25</v>
      </c>
      <c r="I1594" s="6">
        <v>44317</v>
      </c>
      <c r="J1594" s="4">
        <v>0</v>
      </c>
      <c r="K1594" s="4">
        <v>0</v>
      </c>
      <c r="L1594" s="4">
        <v>60.284999999999997</v>
      </c>
      <c r="M1594" s="4">
        <v>60.284999999999997</v>
      </c>
      <c r="N1594" s="4">
        <v>60.284999999999997</v>
      </c>
      <c r="O1594" s="4">
        <v>60.284999999999997</v>
      </c>
      <c r="P1594" s="4">
        <v>160</v>
      </c>
      <c r="Q1594" s="3" t="s">
        <v>26</v>
      </c>
      <c r="R1594" s="3">
        <v>0</v>
      </c>
      <c r="S1594" s="4">
        <v>0</v>
      </c>
      <c r="T1594" s="4">
        <v>34</v>
      </c>
      <c r="U1594" s="4">
        <v>53</v>
      </c>
      <c r="V1594" s="4">
        <v>0</v>
      </c>
      <c r="W1594" s="4">
        <v>304.64999999999998</v>
      </c>
      <c r="X1594" s="4">
        <v>206.13</v>
      </c>
      <c r="Y1594" s="4"/>
      <c r="Z1594" s="4">
        <v>404.66608122087951</v>
      </c>
      <c r="AA1594" s="4">
        <v>232.64014070415229</v>
      </c>
      <c r="AB1594" s="4">
        <v>0</v>
      </c>
      <c r="AC1594" s="4">
        <v>18365.825249999998</v>
      </c>
      <c r="AD1594" s="4">
        <v>12426.547049999999</v>
      </c>
      <c r="AE1594" s="4">
        <v>0</v>
      </c>
      <c r="AF1594" s="4">
        <v>24395.29470640072</v>
      </c>
      <c r="AG1594" s="4">
        <v>14024.71088234982</v>
      </c>
    </row>
    <row r="1595" spans="1:33" ht="11.25" customHeight="1" x14ac:dyDescent="0.25">
      <c r="A1595" s="3" t="s">
        <v>21</v>
      </c>
      <c r="B1595" s="3" t="s">
        <v>44</v>
      </c>
      <c r="C1595" s="3" t="s">
        <v>23</v>
      </c>
      <c r="D1595" s="3" t="s">
        <v>45</v>
      </c>
      <c r="E1595" s="3" t="s">
        <v>25</v>
      </c>
      <c r="F1595" s="3" t="s">
        <v>25</v>
      </c>
      <c r="G1595" s="3" t="s">
        <v>25</v>
      </c>
      <c r="H1595" s="3" t="s">
        <v>25</v>
      </c>
      <c r="I1595" s="6">
        <v>44348</v>
      </c>
      <c r="J1595" s="4">
        <v>0</v>
      </c>
      <c r="K1595" s="4">
        <v>0</v>
      </c>
      <c r="L1595" s="4">
        <v>3880.1350000000002</v>
      </c>
      <c r="M1595" s="4">
        <v>3880.1350000000002</v>
      </c>
      <c r="N1595" s="4">
        <v>3880.1350000000002</v>
      </c>
      <c r="O1595" s="4">
        <v>3880.1350000000002</v>
      </c>
      <c r="P1595" s="4">
        <v>22750</v>
      </c>
      <c r="Q1595" s="3" t="s">
        <v>26</v>
      </c>
      <c r="R1595" s="3">
        <v>0</v>
      </c>
      <c r="S1595" s="4">
        <v>0</v>
      </c>
      <c r="T1595" s="4">
        <v>34</v>
      </c>
      <c r="U1595" s="4">
        <v>53</v>
      </c>
      <c r="V1595" s="4">
        <v>0</v>
      </c>
      <c r="W1595" s="4">
        <v>304.64999999999998</v>
      </c>
      <c r="X1595" s="4">
        <v>206.13</v>
      </c>
      <c r="Y1595" s="4"/>
      <c r="Z1595" s="4">
        <v>404.66608122087951</v>
      </c>
      <c r="AA1595" s="4">
        <v>232.64014070415229</v>
      </c>
      <c r="AB1595" s="4">
        <v>0</v>
      </c>
      <c r="AC1595" s="4">
        <v>1182083.12775</v>
      </c>
      <c r="AD1595" s="4">
        <v>799812.22755000007</v>
      </c>
      <c r="AE1595" s="4">
        <v>0</v>
      </c>
      <c r="AF1595" s="4">
        <v>1570159.0250579773</v>
      </c>
      <c r="AG1595" s="4">
        <v>902675.15235110593</v>
      </c>
    </row>
    <row r="1596" spans="1:33" ht="11.25" customHeight="1" x14ac:dyDescent="0.25">
      <c r="A1596" s="3" t="s">
        <v>27</v>
      </c>
      <c r="B1596" s="3" t="s">
        <v>44</v>
      </c>
      <c r="C1596" s="3" t="s">
        <v>23</v>
      </c>
      <c r="D1596" s="3" t="s">
        <v>45</v>
      </c>
      <c r="E1596" s="3" t="s">
        <v>25</v>
      </c>
      <c r="F1596" s="3" t="s">
        <v>25</v>
      </c>
      <c r="G1596" s="3" t="s">
        <v>25</v>
      </c>
      <c r="H1596" s="3" t="s">
        <v>25</v>
      </c>
      <c r="I1596" s="6">
        <v>44348</v>
      </c>
      <c r="J1596" s="4">
        <v>0</v>
      </c>
      <c r="K1596" s="4">
        <v>0</v>
      </c>
      <c r="L1596" s="4">
        <v>-72.650999999999996</v>
      </c>
      <c r="M1596" s="4">
        <v>-72.650999999999996</v>
      </c>
      <c r="N1596" s="4">
        <v>-72.650999999999996</v>
      </c>
      <c r="O1596" s="4">
        <v>-72.650999999999996</v>
      </c>
      <c r="P1596" s="4">
        <v>-4</v>
      </c>
      <c r="Q1596" s="3" t="s">
        <v>26</v>
      </c>
      <c r="R1596" s="3">
        <v>0</v>
      </c>
      <c r="S1596" s="4">
        <v>0</v>
      </c>
      <c r="T1596" s="4">
        <v>34</v>
      </c>
      <c r="U1596" s="4">
        <v>53</v>
      </c>
      <c r="V1596" s="4">
        <v>0</v>
      </c>
      <c r="W1596" s="4">
        <v>304.64999999999998</v>
      </c>
      <c r="X1596" s="4">
        <v>206.13</v>
      </c>
      <c r="Y1596" s="4"/>
      <c r="Z1596" s="4">
        <v>404.66608122087951</v>
      </c>
      <c r="AA1596" s="4">
        <v>232.64014070415229</v>
      </c>
      <c r="AB1596" s="4">
        <v>0</v>
      </c>
      <c r="AC1596" s="4">
        <v>-22133.127149999997</v>
      </c>
      <c r="AD1596" s="4">
        <v>-14975.55063</v>
      </c>
      <c r="AE1596" s="4">
        <v>0</v>
      </c>
      <c r="AF1596" s="4">
        <v>-29399.395466778114</v>
      </c>
      <c r="AG1596" s="4">
        <v>-16901.538862297366</v>
      </c>
    </row>
    <row r="1597" spans="1:33" ht="11.25" customHeight="1" x14ac:dyDescent="0.25">
      <c r="A1597" s="3" t="s">
        <v>28</v>
      </c>
      <c r="B1597" s="3" t="s">
        <v>44</v>
      </c>
      <c r="C1597" s="3" t="s">
        <v>23</v>
      </c>
      <c r="D1597" s="3" t="s">
        <v>45</v>
      </c>
      <c r="E1597" s="3" t="s">
        <v>25</v>
      </c>
      <c r="F1597" s="3" t="s">
        <v>25</v>
      </c>
      <c r="G1597" s="3" t="s">
        <v>25</v>
      </c>
      <c r="H1597" s="3" t="s">
        <v>25</v>
      </c>
      <c r="I1597" s="6">
        <v>44348</v>
      </c>
      <c r="J1597" s="4">
        <v>0</v>
      </c>
      <c r="K1597" s="4">
        <v>0</v>
      </c>
      <c r="L1597" s="4">
        <v>83.388999999999996</v>
      </c>
      <c r="M1597" s="4">
        <v>83.388999999999996</v>
      </c>
      <c r="N1597" s="4">
        <v>83.388999999999996</v>
      </c>
      <c r="O1597" s="4">
        <v>83.388999999999996</v>
      </c>
      <c r="P1597" s="4">
        <v>169</v>
      </c>
      <c r="Q1597" s="3" t="s">
        <v>26</v>
      </c>
      <c r="R1597" s="3">
        <v>0</v>
      </c>
      <c r="S1597" s="4">
        <v>0</v>
      </c>
      <c r="T1597" s="4">
        <v>34</v>
      </c>
      <c r="U1597" s="4">
        <v>53</v>
      </c>
      <c r="V1597" s="4">
        <v>0</v>
      </c>
      <c r="W1597" s="4">
        <v>304.64999999999998</v>
      </c>
      <c r="X1597" s="4">
        <v>206.13</v>
      </c>
      <c r="Y1597" s="4"/>
      <c r="Z1597" s="4">
        <v>404.66608122087951</v>
      </c>
      <c r="AA1597" s="4">
        <v>232.64014070415229</v>
      </c>
      <c r="AB1597" s="4">
        <v>0</v>
      </c>
      <c r="AC1597" s="4">
        <v>25404.458849999995</v>
      </c>
      <c r="AD1597" s="4">
        <v>17188.974569999998</v>
      </c>
      <c r="AE1597" s="4">
        <v>0</v>
      </c>
      <c r="AF1597" s="4">
        <v>33744.699846927921</v>
      </c>
      <c r="AG1597" s="4">
        <v>19399.628693178554</v>
      </c>
    </row>
    <row r="1598" spans="1:33" ht="11.25" customHeight="1" x14ac:dyDescent="0.25">
      <c r="A1598" s="3" t="s">
        <v>28</v>
      </c>
      <c r="B1598" s="3" t="s">
        <v>44</v>
      </c>
      <c r="C1598" s="3" t="s">
        <v>23</v>
      </c>
      <c r="D1598" s="3" t="s">
        <v>45</v>
      </c>
      <c r="E1598" s="3" t="s">
        <v>25</v>
      </c>
      <c r="F1598" s="3" t="s">
        <v>25</v>
      </c>
      <c r="G1598" s="3" t="s">
        <v>25</v>
      </c>
      <c r="H1598" s="3" t="s">
        <v>25</v>
      </c>
      <c r="I1598" s="6">
        <v>44348</v>
      </c>
      <c r="J1598" s="4">
        <v>0</v>
      </c>
      <c r="K1598" s="4">
        <v>0</v>
      </c>
      <c r="L1598" s="4">
        <v>-0.57999999999999996</v>
      </c>
      <c r="M1598" s="4">
        <v>-0.57999999999999996</v>
      </c>
      <c r="N1598" s="4">
        <v>-0.57999999999999996</v>
      </c>
      <c r="O1598" s="4">
        <v>-0.57999999999999996</v>
      </c>
      <c r="P1598" s="4">
        <v>0</v>
      </c>
      <c r="Q1598" s="3" t="s">
        <v>26</v>
      </c>
      <c r="R1598" s="3">
        <v>0</v>
      </c>
      <c r="S1598" s="4">
        <v>0</v>
      </c>
      <c r="T1598" s="4">
        <v>34</v>
      </c>
      <c r="U1598" s="4">
        <v>53</v>
      </c>
      <c r="V1598" s="4">
        <v>0</v>
      </c>
      <c r="W1598" s="4">
        <v>304.64999999999998</v>
      </c>
      <c r="X1598" s="4">
        <v>206.13</v>
      </c>
      <c r="Y1598" s="4"/>
      <c r="Z1598" s="4">
        <v>404.66608122087951</v>
      </c>
      <c r="AA1598" s="4">
        <v>232.64014070415229</v>
      </c>
      <c r="AB1598" s="4">
        <v>0</v>
      </c>
      <c r="AC1598" s="4">
        <v>-176.69699999999997</v>
      </c>
      <c r="AD1598" s="4">
        <v>-119.55539999999999</v>
      </c>
      <c r="AE1598" s="4">
        <v>0</v>
      </c>
      <c r="AF1598" s="4">
        <v>-234.70632710811009</v>
      </c>
      <c r="AG1598" s="4">
        <v>-134.93128160840831</v>
      </c>
    </row>
    <row r="1599" spans="1:33" ht="11.25" customHeight="1" x14ac:dyDescent="0.25">
      <c r="A1599" s="3" t="s">
        <v>21</v>
      </c>
      <c r="B1599" s="3" t="s">
        <v>44</v>
      </c>
      <c r="C1599" s="3" t="s">
        <v>23</v>
      </c>
      <c r="D1599" s="3" t="s">
        <v>45</v>
      </c>
      <c r="E1599" s="3" t="s">
        <v>25</v>
      </c>
      <c r="F1599" s="3" t="s">
        <v>25</v>
      </c>
      <c r="G1599" s="3" t="s">
        <v>25</v>
      </c>
      <c r="H1599" s="3" t="s">
        <v>25</v>
      </c>
      <c r="I1599" s="6">
        <v>44378</v>
      </c>
      <c r="J1599" s="4">
        <v>0</v>
      </c>
      <c r="K1599" s="4">
        <v>0</v>
      </c>
      <c r="L1599" s="4">
        <v>3885.18</v>
      </c>
      <c r="M1599" s="4">
        <v>3885.18</v>
      </c>
      <c r="N1599" s="4">
        <v>3885.18</v>
      </c>
      <c r="O1599" s="4">
        <v>3885.18</v>
      </c>
      <c r="P1599" s="4">
        <v>22755</v>
      </c>
      <c r="Q1599" s="3" t="s">
        <v>26</v>
      </c>
      <c r="R1599" s="3">
        <v>0</v>
      </c>
      <c r="S1599" s="4">
        <v>0</v>
      </c>
      <c r="T1599" s="4">
        <v>34</v>
      </c>
      <c r="U1599" s="4">
        <v>53</v>
      </c>
      <c r="V1599" s="4">
        <v>0</v>
      </c>
      <c r="W1599" s="4">
        <v>304.64999999999998</v>
      </c>
      <c r="X1599" s="4">
        <v>206.13</v>
      </c>
      <c r="Y1599" s="4"/>
      <c r="Z1599" s="4">
        <v>404.66608122087951</v>
      </c>
      <c r="AA1599" s="4">
        <v>232.64014070415229</v>
      </c>
      <c r="AB1599" s="4">
        <v>0</v>
      </c>
      <c r="AC1599" s="4">
        <v>1183620.0869999998</v>
      </c>
      <c r="AD1599" s="4">
        <v>800852.15339999995</v>
      </c>
      <c r="AE1599" s="4">
        <v>0</v>
      </c>
      <c r="AF1599" s="4">
        <v>1572200.5654377365</v>
      </c>
      <c r="AG1599" s="4">
        <v>903848.82186095836</v>
      </c>
    </row>
    <row r="1600" spans="1:33" ht="11.25" customHeight="1" x14ac:dyDescent="0.25">
      <c r="A1600" s="3" t="s">
        <v>27</v>
      </c>
      <c r="B1600" s="3" t="s">
        <v>44</v>
      </c>
      <c r="C1600" s="3" t="s">
        <v>23</v>
      </c>
      <c r="D1600" s="3" t="s">
        <v>45</v>
      </c>
      <c r="E1600" s="3" t="s">
        <v>25</v>
      </c>
      <c r="F1600" s="3" t="s">
        <v>25</v>
      </c>
      <c r="G1600" s="3" t="s">
        <v>25</v>
      </c>
      <c r="H1600" s="3" t="s">
        <v>25</v>
      </c>
      <c r="I1600" s="6">
        <v>44378</v>
      </c>
      <c r="J1600" s="4">
        <v>0</v>
      </c>
      <c r="K1600" s="4">
        <v>0</v>
      </c>
      <c r="L1600" s="4">
        <v>-35.954000000000001</v>
      </c>
      <c r="M1600" s="4">
        <v>-35.954000000000001</v>
      </c>
      <c r="N1600" s="4">
        <v>-35.954000000000001</v>
      </c>
      <c r="O1600" s="4">
        <v>-35.954000000000001</v>
      </c>
      <c r="P1600" s="4">
        <v>-21</v>
      </c>
      <c r="Q1600" s="3" t="s">
        <v>26</v>
      </c>
      <c r="R1600" s="3">
        <v>0</v>
      </c>
      <c r="S1600" s="4">
        <v>0</v>
      </c>
      <c r="T1600" s="4">
        <v>34</v>
      </c>
      <c r="U1600" s="4">
        <v>53</v>
      </c>
      <c r="V1600" s="4">
        <v>0</v>
      </c>
      <c r="W1600" s="4">
        <v>304.64999999999998</v>
      </c>
      <c r="X1600" s="4">
        <v>206.13</v>
      </c>
      <c r="Y1600" s="4"/>
      <c r="Z1600" s="4">
        <v>404.66608122087951</v>
      </c>
      <c r="AA1600" s="4">
        <v>232.64014070415229</v>
      </c>
      <c r="AB1600" s="4">
        <v>0</v>
      </c>
      <c r="AC1600" s="4">
        <v>-10953.3861</v>
      </c>
      <c r="AD1600" s="4">
        <v>-7411.1980199999998</v>
      </c>
      <c r="AE1600" s="4">
        <v>0</v>
      </c>
      <c r="AF1600" s="4">
        <v>-14549.364284215502</v>
      </c>
      <c r="AG1600" s="4">
        <v>-8364.343618877092</v>
      </c>
    </row>
    <row r="1601" spans="1:33" ht="11.25" customHeight="1" x14ac:dyDescent="0.25">
      <c r="A1601" s="3" t="s">
        <v>28</v>
      </c>
      <c r="B1601" s="3" t="s">
        <v>44</v>
      </c>
      <c r="C1601" s="3" t="s">
        <v>23</v>
      </c>
      <c r="D1601" s="3" t="s">
        <v>45</v>
      </c>
      <c r="E1601" s="3" t="s">
        <v>25</v>
      </c>
      <c r="F1601" s="3" t="s">
        <v>25</v>
      </c>
      <c r="G1601" s="3" t="s">
        <v>25</v>
      </c>
      <c r="H1601" s="3" t="s">
        <v>25</v>
      </c>
      <c r="I1601" s="6">
        <v>44378</v>
      </c>
      <c r="J1601" s="4">
        <v>0</v>
      </c>
      <c r="K1601" s="4">
        <v>0</v>
      </c>
      <c r="L1601" s="4">
        <v>104.20399999999999</v>
      </c>
      <c r="M1601" s="4">
        <v>104.20399999999999</v>
      </c>
      <c r="N1601" s="4">
        <v>104.20399999999999</v>
      </c>
      <c r="O1601" s="4">
        <v>104.20399999999999</v>
      </c>
      <c r="P1601" s="4">
        <v>176</v>
      </c>
      <c r="Q1601" s="3" t="s">
        <v>26</v>
      </c>
      <c r="R1601" s="3">
        <v>0</v>
      </c>
      <c r="S1601" s="4">
        <v>0</v>
      </c>
      <c r="T1601" s="4">
        <v>34</v>
      </c>
      <c r="U1601" s="4">
        <v>53</v>
      </c>
      <c r="V1601" s="4">
        <v>0</v>
      </c>
      <c r="W1601" s="4">
        <v>304.64999999999998</v>
      </c>
      <c r="X1601" s="4">
        <v>206.13</v>
      </c>
      <c r="Y1601" s="4"/>
      <c r="Z1601" s="4">
        <v>404.66608122087951</v>
      </c>
      <c r="AA1601" s="4">
        <v>232.64014070415229</v>
      </c>
      <c r="AB1601" s="4">
        <v>0</v>
      </c>
      <c r="AC1601" s="4">
        <v>31745.748599999995</v>
      </c>
      <c r="AD1601" s="4">
        <v>21479.570519999997</v>
      </c>
      <c r="AE1601" s="4">
        <v>0</v>
      </c>
      <c r="AF1601" s="4">
        <v>42167.824327540526</v>
      </c>
      <c r="AG1601" s="4">
        <v>24242.033221935482</v>
      </c>
    </row>
    <row r="1602" spans="1:33" ht="11.25" customHeight="1" x14ac:dyDescent="0.25">
      <c r="A1602" s="3" t="s">
        <v>21</v>
      </c>
      <c r="B1602" s="3" t="s">
        <v>44</v>
      </c>
      <c r="C1602" s="3" t="s">
        <v>23</v>
      </c>
      <c r="D1602" s="3" t="s">
        <v>45</v>
      </c>
      <c r="E1602" s="3" t="s">
        <v>25</v>
      </c>
      <c r="F1602" s="3" t="s">
        <v>25</v>
      </c>
      <c r="G1602" s="3" t="s">
        <v>25</v>
      </c>
      <c r="H1602" s="3" t="s">
        <v>25</v>
      </c>
      <c r="I1602" s="6">
        <v>44409</v>
      </c>
      <c r="J1602" s="4">
        <v>0</v>
      </c>
      <c r="K1602" s="4">
        <v>0</v>
      </c>
      <c r="L1602" s="4">
        <v>3766.8429999999998</v>
      </c>
      <c r="M1602" s="4">
        <v>3766.8429999999998</v>
      </c>
      <c r="N1602" s="4">
        <v>3766.8429999999998</v>
      </c>
      <c r="O1602" s="4">
        <v>3766.8429999999998</v>
      </c>
      <c r="P1602" s="4">
        <v>22745</v>
      </c>
      <c r="Q1602" s="3" t="s">
        <v>26</v>
      </c>
      <c r="R1602" s="3">
        <v>0</v>
      </c>
      <c r="S1602" s="4">
        <v>0</v>
      </c>
      <c r="T1602" s="4">
        <v>34</v>
      </c>
      <c r="U1602" s="4">
        <v>53</v>
      </c>
      <c r="V1602" s="4">
        <v>0</v>
      </c>
      <c r="W1602" s="4">
        <v>304.64999999999998</v>
      </c>
      <c r="X1602" s="4">
        <v>206.13</v>
      </c>
      <c r="Y1602" s="4"/>
      <c r="Z1602" s="4">
        <v>404.66608122087951</v>
      </c>
      <c r="AA1602" s="4">
        <v>232.64014070415229</v>
      </c>
      <c r="AB1602" s="4">
        <v>0</v>
      </c>
      <c r="AC1602" s="4">
        <v>1147568.7199499998</v>
      </c>
      <c r="AD1602" s="4">
        <v>776459.3475899999</v>
      </c>
      <c r="AE1602" s="4">
        <v>0</v>
      </c>
      <c r="AF1602" s="4">
        <v>1524313.5953843014</v>
      </c>
      <c r="AG1602" s="4">
        <v>876318.88553045108</v>
      </c>
    </row>
    <row r="1603" spans="1:33" ht="11.25" customHeight="1" x14ac:dyDescent="0.25">
      <c r="A1603" s="3" t="s">
        <v>27</v>
      </c>
      <c r="B1603" s="3" t="s">
        <v>44</v>
      </c>
      <c r="C1603" s="3" t="s">
        <v>23</v>
      </c>
      <c r="D1603" s="3" t="s">
        <v>45</v>
      </c>
      <c r="E1603" s="3" t="s">
        <v>25</v>
      </c>
      <c r="F1603" s="3" t="s">
        <v>25</v>
      </c>
      <c r="G1603" s="3" t="s">
        <v>25</v>
      </c>
      <c r="H1603" s="3" t="s">
        <v>25</v>
      </c>
      <c r="I1603" s="6">
        <v>44409</v>
      </c>
      <c r="J1603" s="4">
        <v>0</v>
      </c>
      <c r="K1603" s="4">
        <v>0</v>
      </c>
      <c r="L1603" s="4">
        <v>-22.149000000000001</v>
      </c>
      <c r="M1603" s="4">
        <v>-22.149000000000001</v>
      </c>
      <c r="N1603" s="4">
        <v>-22.149000000000001</v>
      </c>
      <c r="O1603" s="4">
        <v>-22.149000000000001</v>
      </c>
      <c r="P1603" s="4">
        <v>-4</v>
      </c>
      <c r="Q1603" s="3" t="s">
        <v>26</v>
      </c>
      <c r="R1603" s="3">
        <v>0</v>
      </c>
      <c r="S1603" s="4">
        <v>0</v>
      </c>
      <c r="T1603" s="4">
        <v>34</v>
      </c>
      <c r="U1603" s="4">
        <v>53</v>
      </c>
      <c r="V1603" s="4">
        <v>0</v>
      </c>
      <c r="W1603" s="4">
        <v>304.64999999999998</v>
      </c>
      <c r="X1603" s="4">
        <v>206.13</v>
      </c>
      <c r="Y1603" s="4"/>
      <c r="Z1603" s="4">
        <v>404.66608122087951</v>
      </c>
      <c r="AA1603" s="4">
        <v>232.64014070415229</v>
      </c>
      <c r="AB1603" s="4">
        <v>0</v>
      </c>
      <c r="AC1603" s="4">
        <v>-6747.6928499999995</v>
      </c>
      <c r="AD1603" s="4">
        <v>-4565.5733700000001</v>
      </c>
      <c r="AE1603" s="4">
        <v>0</v>
      </c>
      <c r="AF1603" s="4">
        <v>-8962.9490329612599</v>
      </c>
      <c r="AG1603" s="4">
        <v>-5152.7464764562692</v>
      </c>
    </row>
    <row r="1604" spans="1:33" ht="11.25" customHeight="1" x14ac:dyDescent="0.25">
      <c r="A1604" s="3" t="s">
        <v>28</v>
      </c>
      <c r="B1604" s="3" t="s">
        <v>44</v>
      </c>
      <c r="C1604" s="3" t="s">
        <v>23</v>
      </c>
      <c r="D1604" s="3" t="s">
        <v>45</v>
      </c>
      <c r="E1604" s="3" t="s">
        <v>25</v>
      </c>
      <c r="F1604" s="3" t="s">
        <v>25</v>
      </c>
      <c r="G1604" s="3" t="s">
        <v>25</v>
      </c>
      <c r="H1604" s="3" t="s">
        <v>25</v>
      </c>
      <c r="I1604" s="6">
        <v>44409</v>
      </c>
      <c r="J1604" s="4">
        <v>0</v>
      </c>
      <c r="K1604" s="4">
        <v>0</v>
      </c>
      <c r="L1604" s="4">
        <v>94.795000000000002</v>
      </c>
      <c r="M1604" s="4">
        <v>94.795000000000002</v>
      </c>
      <c r="N1604" s="4">
        <v>94.795000000000002</v>
      </c>
      <c r="O1604" s="4">
        <v>94.795000000000002</v>
      </c>
      <c r="P1604" s="4">
        <v>192</v>
      </c>
      <c r="Q1604" s="3" t="s">
        <v>26</v>
      </c>
      <c r="R1604" s="3">
        <v>0</v>
      </c>
      <c r="S1604" s="4">
        <v>0</v>
      </c>
      <c r="T1604" s="4">
        <v>34</v>
      </c>
      <c r="U1604" s="4">
        <v>53</v>
      </c>
      <c r="V1604" s="4">
        <v>0</v>
      </c>
      <c r="W1604" s="4">
        <v>304.64999999999998</v>
      </c>
      <c r="X1604" s="4">
        <v>206.13</v>
      </c>
      <c r="Y1604" s="4"/>
      <c r="Z1604" s="4">
        <v>404.66608122087951</v>
      </c>
      <c r="AA1604" s="4">
        <v>232.64014070415229</v>
      </c>
      <c r="AB1604" s="4">
        <v>0</v>
      </c>
      <c r="AC1604" s="4">
        <v>28879.296749999998</v>
      </c>
      <c r="AD1604" s="4">
        <v>19540.093349999999</v>
      </c>
      <c r="AE1604" s="4">
        <v>0</v>
      </c>
      <c r="AF1604" s="4">
        <v>38360.321169333271</v>
      </c>
      <c r="AG1604" s="4">
        <v>22053.122138050116</v>
      </c>
    </row>
    <row r="1605" spans="1:33" ht="11.25" customHeight="1" x14ac:dyDescent="0.25">
      <c r="A1605" s="3" t="s">
        <v>28</v>
      </c>
      <c r="B1605" s="3" t="s">
        <v>44</v>
      </c>
      <c r="C1605" s="3" t="s">
        <v>23</v>
      </c>
      <c r="D1605" s="3" t="s">
        <v>45</v>
      </c>
      <c r="E1605" s="3" t="s">
        <v>25</v>
      </c>
      <c r="F1605" s="3" t="s">
        <v>25</v>
      </c>
      <c r="G1605" s="3" t="s">
        <v>25</v>
      </c>
      <c r="H1605" s="3" t="s">
        <v>25</v>
      </c>
      <c r="I1605" s="6">
        <v>44409</v>
      </c>
      <c r="J1605" s="4">
        <v>0</v>
      </c>
      <c r="K1605" s="4">
        <v>0</v>
      </c>
      <c r="L1605" s="4">
        <v>-0.97799999999999998</v>
      </c>
      <c r="M1605" s="4">
        <v>-0.97799999999999998</v>
      </c>
      <c r="N1605" s="4">
        <v>-0.97799999999999998</v>
      </c>
      <c r="O1605" s="4">
        <v>-0.97799999999999998</v>
      </c>
      <c r="P1605" s="4">
        <v>0</v>
      </c>
      <c r="Q1605" s="3" t="s">
        <v>26</v>
      </c>
      <c r="R1605" s="3">
        <v>0</v>
      </c>
      <c r="S1605" s="4">
        <v>0</v>
      </c>
      <c r="T1605" s="4">
        <v>34</v>
      </c>
      <c r="U1605" s="4">
        <v>53</v>
      </c>
      <c r="V1605" s="4">
        <v>0</v>
      </c>
      <c r="W1605" s="4">
        <v>304.64999999999998</v>
      </c>
      <c r="X1605" s="4">
        <v>206.13</v>
      </c>
      <c r="Y1605" s="4"/>
      <c r="Z1605" s="4">
        <v>404.66608122087951</v>
      </c>
      <c r="AA1605" s="4">
        <v>232.64014070415229</v>
      </c>
      <c r="AB1605" s="4">
        <v>0</v>
      </c>
      <c r="AC1605" s="4">
        <v>-297.9477</v>
      </c>
      <c r="AD1605" s="4">
        <v>-201.59513999999999</v>
      </c>
      <c r="AE1605" s="4">
        <v>0</v>
      </c>
      <c r="AF1605" s="4">
        <v>-395.76342743402017</v>
      </c>
      <c r="AG1605" s="4">
        <v>-227.52205760866093</v>
      </c>
    </row>
    <row r="1606" spans="1:33" ht="11.25" customHeight="1" x14ac:dyDescent="0.25">
      <c r="A1606" s="3" t="s">
        <v>21</v>
      </c>
      <c r="B1606" s="3" t="s">
        <v>44</v>
      </c>
      <c r="C1606" s="3" t="s">
        <v>23</v>
      </c>
      <c r="D1606" s="3" t="s">
        <v>45</v>
      </c>
      <c r="E1606" s="3" t="s">
        <v>25</v>
      </c>
      <c r="F1606" s="3" t="s">
        <v>25</v>
      </c>
      <c r="G1606" s="3" t="s">
        <v>25</v>
      </c>
      <c r="H1606" s="3" t="s">
        <v>25</v>
      </c>
      <c r="I1606" s="6">
        <v>44440</v>
      </c>
      <c r="J1606" s="4">
        <v>0</v>
      </c>
      <c r="K1606" s="4">
        <v>0</v>
      </c>
      <c r="L1606" s="4">
        <v>4080.922</v>
      </c>
      <c r="M1606" s="4">
        <v>4080.922</v>
      </c>
      <c r="N1606" s="4">
        <v>4080.922</v>
      </c>
      <c r="O1606" s="4">
        <v>4080.922</v>
      </c>
      <c r="P1606" s="4">
        <v>22652</v>
      </c>
      <c r="Q1606" s="3" t="s">
        <v>26</v>
      </c>
      <c r="R1606" s="3">
        <v>0</v>
      </c>
      <c r="S1606" s="4">
        <v>0</v>
      </c>
      <c r="T1606" s="4">
        <v>34</v>
      </c>
      <c r="U1606" s="4">
        <v>53</v>
      </c>
      <c r="V1606" s="4">
        <v>0</v>
      </c>
      <c r="W1606" s="4">
        <v>304.64999999999998</v>
      </c>
      <c r="X1606" s="4">
        <v>206.13</v>
      </c>
      <c r="Y1606" s="4"/>
      <c r="Z1606" s="4">
        <v>404.66608122087951</v>
      </c>
      <c r="AA1606" s="4">
        <v>232.64014070415229</v>
      </c>
      <c r="AB1606" s="4">
        <v>0</v>
      </c>
      <c r="AC1606" s="4">
        <v>1243252.8872999998</v>
      </c>
      <c r="AD1606" s="4">
        <v>841200.45186000003</v>
      </c>
      <c r="AE1606" s="4">
        <v>0</v>
      </c>
      <c r="AF1606" s="4">
        <v>1651410.7135080739</v>
      </c>
      <c r="AG1606" s="4">
        <v>949386.26828267053</v>
      </c>
    </row>
    <row r="1607" spans="1:33" ht="11.25" customHeight="1" x14ac:dyDescent="0.25">
      <c r="A1607" s="3" t="s">
        <v>27</v>
      </c>
      <c r="B1607" s="3" t="s">
        <v>44</v>
      </c>
      <c r="C1607" s="3" t="s">
        <v>23</v>
      </c>
      <c r="D1607" s="3" t="s">
        <v>45</v>
      </c>
      <c r="E1607" s="3" t="s">
        <v>25</v>
      </c>
      <c r="F1607" s="3" t="s">
        <v>25</v>
      </c>
      <c r="G1607" s="3" t="s">
        <v>25</v>
      </c>
      <c r="H1607" s="3" t="s">
        <v>25</v>
      </c>
      <c r="I1607" s="6">
        <v>44440</v>
      </c>
      <c r="J1607" s="4">
        <v>0</v>
      </c>
      <c r="K1607" s="4">
        <v>0</v>
      </c>
      <c r="L1607" s="4">
        <v>0.61199999999999999</v>
      </c>
      <c r="M1607" s="4">
        <v>0.61199999999999999</v>
      </c>
      <c r="N1607" s="4">
        <v>0.61199999999999999</v>
      </c>
      <c r="O1607" s="4">
        <v>0.61199999999999999</v>
      </c>
      <c r="P1607" s="4">
        <v>0</v>
      </c>
      <c r="Q1607" s="3" t="s">
        <v>26</v>
      </c>
      <c r="R1607" s="3">
        <v>0</v>
      </c>
      <c r="S1607" s="4">
        <v>0</v>
      </c>
      <c r="T1607" s="4">
        <v>34</v>
      </c>
      <c r="U1607" s="4">
        <v>53</v>
      </c>
      <c r="V1607" s="4">
        <v>0</v>
      </c>
      <c r="W1607" s="4">
        <v>304.64999999999998</v>
      </c>
      <c r="X1607" s="4">
        <v>206.13</v>
      </c>
      <c r="Y1607" s="4"/>
      <c r="Z1607" s="4">
        <v>404.66608122087951</v>
      </c>
      <c r="AA1607" s="4">
        <v>232.64014070415229</v>
      </c>
      <c r="AB1607" s="4">
        <v>0</v>
      </c>
      <c r="AC1607" s="4">
        <v>186.44579999999999</v>
      </c>
      <c r="AD1607" s="4">
        <v>126.15155999999999</v>
      </c>
      <c r="AE1607" s="4">
        <v>0</v>
      </c>
      <c r="AF1607" s="4">
        <v>247.65564170717826</v>
      </c>
      <c r="AG1607" s="4">
        <v>142.37576611094119</v>
      </c>
    </row>
    <row r="1608" spans="1:33" ht="11.25" customHeight="1" x14ac:dyDescent="0.25">
      <c r="A1608" s="3" t="s">
        <v>28</v>
      </c>
      <c r="B1608" s="3" t="s">
        <v>44</v>
      </c>
      <c r="C1608" s="3" t="s">
        <v>23</v>
      </c>
      <c r="D1608" s="3" t="s">
        <v>45</v>
      </c>
      <c r="E1608" s="3" t="s">
        <v>25</v>
      </c>
      <c r="F1608" s="3" t="s">
        <v>25</v>
      </c>
      <c r="G1608" s="3" t="s">
        <v>25</v>
      </c>
      <c r="H1608" s="3" t="s">
        <v>25</v>
      </c>
      <c r="I1608" s="6">
        <v>44440</v>
      </c>
      <c r="J1608" s="4">
        <v>0</v>
      </c>
      <c r="K1608" s="4">
        <v>0</v>
      </c>
      <c r="L1608" s="4">
        <v>84.361999999999995</v>
      </c>
      <c r="M1608" s="4">
        <v>84.361999999999995</v>
      </c>
      <c r="N1608" s="4">
        <v>84.361999999999995</v>
      </c>
      <c r="O1608" s="4">
        <v>84.361999999999995</v>
      </c>
      <c r="P1608" s="4">
        <v>205</v>
      </c>
      <c r="Q1608" s="3" t="s">
        <v>26</v>
      </c>
      <c r="R1608" s="3">
        <v>0</v>
      </c>
      <c r="S1608" s="4">
        <v>0</v>
      </c>
      <c r="T1608" s="4">
        <v>34</v>
      </c>
      <c r="U1608" s="4">
        <v>53</v>
      </c>
      <c r="V1608" s="4">
        <v>0</v>
      </c>
      <c r="W1608" s="4">
        <v>304.64999999999998</v>
      </c>
      <c r="X1608" s="4">
        <v>206.13</v>
      </c>
      <c r="Y1608" s="4"/>
      <c r="Z1608" s="4">
        <v>404.66608122087951</v>
      </c>
      <c r="AA1608" s="4">
        <v>232.64014070415229</v>
      </c>
      <c r="AB1608" s="4">
        <v>0</v>
      </c>
      <c r="AC1608" s="4">
        <v>25700.883299999998</v>
      </c>
      <c r="AD1608" s="4">
        <v>17389.539059999999</v>
      </c>
      <c r="AE1608" s="4">
        <v>0</v>
      </c>
      <c r="AF1608" s="4">
        <v>34138.439943955833</v>
      </c>
      <c r="AG1608" s="4">
        <v>19625.987550083693</v>
      </c>
    </row>
    <row r="1609" spans="1:33" ht="11.25" customHeight="1" x14ac:dyDescent="0.25">
      <c r="A1609" s="3" t="s">
        <v>21</v>
      </c>
      <c r="B1609" s="3" t="s">
        <v>44</v>
      </c>
      <c r="C1609" s="3" t="s">
        <v>23</v>
      </c>
      <c r="D1609" s="3" t="s">
        <v>45</v>
      </c>
      <c r="E1609" s="3" t="s">
        <v>25</v>
      </c>
      <c r="F1609" s="3" t="s">
        <v>25</v>
      </c>
      <c r="G1609" s="3" t="s">
        <v>25</v>
      </c>
      <c r="H1609" s="3" t="s">
        <v>25</v>
      </c>
      <c r="I1609" s="6">
        <v>44470</v>
      </c>
      <c r="J1609" s="4">
        <v>0</v>
      </c>
      <c r="K1609" s="4">
        <v>0</v>
      </c>
      <c r="L1609" s="4">
        <v>4730.3190000000004</v>
      </c>
      <c r="M1609" s="4">
        <v>4730.3190000000004</v>
      </c>
      <c r="N1609" s="4">
        <v>4730.3190000000004</v>
      </c>
      <c r="O1609" s="4">
        <v>4730.3190000000004</v>
      </c>
      <c r="P1609" s="4">
        <v>22467</v>
      </c>
      <c r="Q1609" s="3" t="s">
        <v>26</v>
      </c>
      <c r="R1609" s="3">
        <v>0</v>
      </c>
      <c r="S1609" s="4">
        <v>0</v>
      </c>
      <c r="T1609" s="4">
        <v>34</v>
      </c>
      <c r="U1609" s="4">
        <v>53</v>
      </c>
      <c r="V1609" s="4">
        <v>0</v>
      </c>
      <c r="W1609" s="4">
        <v>304.64999999999998</v>
      </c>
      <c r="X1609" s="4">
        <v>206.13</v>
      </c>
      <c r="Y1609" s="4"/>
      <c r="Z1609" s="4">
        <v>404.66608122087951</v>
      </c>
      <c r="AA1609" s="4">
        <v>232.64014070415229</v>
      </c>
      <c r="AB1609" s="4">
        <v>0</v>
      </c>
      <c r="AC1609" s="4">
        <v>1441091.6833500001</v>
      </c>
      <c r="AD1609" s="4">
        <v>975060.65547000011</v>
      </c>
      <c r="AE1609" s="4">
        <v>0</v>
      </c>
      <c r="AF1609" s="4">
        <v>1914199.6526546697</v>
      </c>
      <c r="AG1609" s="4">
        <v>1100462.0777355251</v>
      </c>
    </row>
    <row r="1610" spans="1:33" ht="11.25" customHeight="1" x14ac:dyDescent="0.25">
      <c r="A1610" s="3" t="s">
        <v>27</v>
      </c>
      <c r="B1610" s="3" t="s">
        <v>44</v>
      </c>
      <c r="C1610" s="3" t="s">
        <v>23</v>
      </c>
      <c r="D1610" s="3" t="s">
        <v>45</v>
      </c>
      <c r="E1610" s="3" t="s">
        <v>25</v>
      </c>
      <c r="F1610" s="3" t="s">
        <v>25</v>
      </c>
      <c r="G1610" s="3" t="s">
        <v>25</v>
      </c>
      <c r="H1610" s="3" t="s">
        <v>25</v>
      </c>
      <c r="I1610" s="6">
        <v>44470</v>
      </c>
      <c r="J1610" s="4">
        <v>0</v>
      </c>
      <c r="K1610" s="4">
        <v>0</v>
      </c>
      <c r="L1610" s="4">
        <v>-71.680000000000007</v>
      </c>
      <c r="M1610" s="4">
        <v>-71.680000000000007</v>
      </c>
      <c r="N1610" s="4">
        <v>-71.680000000000007</v>
      </c>
      <c r="O1610" s="4">
        <v>-71.680000000000007</v>
      </c>
      <c r="P1610" s="4">
        <v>-3</v>
      </c>
      <c r="Q1610" s="3" t="s">
        <v>26</v>
      </c>
      <c r="R1610" s="3">
        <v>0</v>
      </c>
      <c r="S1610" s="4">
        <v>0</v>
      </c>
      <c r="T1610" s="4">
        <v>34</v>
      </c>
      <c r="U1610" s="4">
        <v>53</v>
      </c>
      <c r="V1610" s="4">
        <v>0</v>
      </c>
      <c r="W1610" s="4">
        <v>304.64999999999998</v>
      </c>
      <c r="X1610" s="4">
        <v>206.13</v>
      </c>
      <c r="Y1610" s="4"/>
      <c r="Z1610" s="4">
        <v>404.66608122087951</v>
      </c>
      <c r="AA1610" s="4">
        <v>232.64014070415229</v>
      </c>
      <c r="AB1610" s="4">
        <v>0</v>
      </c>
      <c r="AC1610" s="4">
        <v>-21837.312000000002</v>
      </c>
      <c r="AD1610" s="4">
        <v>-14775.398400000002</v>
      </c>
      <c r="AE1610" s="4">
        <v>0</v>
      </c>
      <c r="AF1610" s="4">
        <v>-29006.464701912646</v>
      </c>
      <c r="AG1610" s="4">
        <v>-16675.645285673636</v>
      </c>
    </row>
    <row r="1611" spans="1:33" ht="11.25" customHeight="1" x14ac:dyDescent="0.25">
      <c r="A1611" s="3" t="s">
        <v>28</v>
      </c>
      <c r="B1611" s="3" t="s">
        <v>44</v>
      </c>
      <c r="C1611" s="3" t="s">
        <v>23</v>
      </c>
      <c r="D1611" s="3" t="s">
        <v>45</v>
      </c>
      <c r="E1611" s="3" t="s">
        <v>25</v>
      </c>
      <c r="F1611" s="3" t="s">
        <v>25</v>
      </c>
      <c r="G1611" s="3" t="s">
        <v>25</v>
      </c>
      <c r="H1611" s="3" t="s">
        <v>25</v>
      </c>
      <c r="I1611" s="6">
        <v>44470</v>
      </c>
      <c r="J1611" s="4">
        <v>0</v>
      </c>
      <c r="K1611" s="4">
        <v>0</v>
      </c>
      <c r="L1611" s="4">
        <v>64.623000000000005</v>
      </c>
      <c r="M1611" s="4">
        <v>64.623000000000005</v>
      </c>
      <c r="N1611" s="4">
        <v>64.623000000000005</v>
      </c>
      <c r="O1611" s="4">
        <v>64.623000000000005</v>
      </c>
      <c r="P1611" s="4">
        <v>217</v>
      </c>
      <c r="Q1611" s="3" t="s">
        <v>26</v>
      </c>
      <c r="R1611" s="3">
        <v>0</v>
      </c>
      <c r="S1611" s="4">
        <v>0</v>
      </c>
      <c r="T1611" s="4">
        <v>34</v>
      </c>
      <c r="U1611" s="4">
        <v>53</v>
      </c>
      <c r="V1611" s="4">
        <v>0</v>
      </c>
      <c r="W1611" s="4">
        <v>304.64999999999998</v>
      </c>
      <c r="X1611" s="4">
        <v>206.13</v>
      </c>
      <c r="Y1611" s="4"/>
      <c r="Z1611" s="4">
        <v>404.66608122087951</v>
      </c>
      <c r="AA1611" s="4">
        <v>232.64014070415229</v>
      </c>
      <c r="AB1611" s="4">
        <v>0</v>
      </c>
      <c r="AC1611" s="4">
        <v>19687.396949999998</v>
      </c>
      <c r="AD1611" s="4">
        <v>13320.73899</v>
      </c>
      <c r="AE1611" s="4">
        <v>0</v>
      </c>
      <c r="AF1611" s="4">
        <v>26150.736166736897</v>
      </c>
      <c r="AG1611" s="4">
        <v>15033.903812724435</v>
      </c>
    </row>
    <row r="1612" spans="1:33" ht="11.25" customHeight="1" x14ac:dyDescent="0.25">
      <c r="A1612" s="3" t="s">
        <v>21</v>
      </c>
      <c r="B1612" s="3" t="s">
        <v>44</v>
      </c>
      <c r="C1612" s="3" t="s">
        <v>23</v>
      </c>
      <c r="D1612" s="3" t="s">
        <v>45</v>
      </c>
      <c r="E1612" s="3" t="s">
        <v>25</v>
      </c>
      <c r="F1612" s="3" t="s">
        <v>25</v>
      </c>
      <c r="G1612" s="3" t="s">
        <v>25</v>
      </c>
      <c r="H1612" s="3" t="s">
        <v>25</v>
      </c>
      <c r="I1612" s="6">
        <v>44501</v>
      </c>
      <c r="J1612" s="4">
        <v>0</v>
      </c>
      <c r="K1612" s="4">
        <v>0</v>
      </c>
      <c r="L1612" s="4">
        <v>4794.9560000000001</v>
      </c>
      <c r="M1612" s="4">
        <v>4794.9560000000001</v>
      </c>
      <c r="N1612" s="4">
        <v>4794.9560000000001</v>
      </c>
      <c r="O1612" s="4">
        <v>4794.9560000000001</v>
      </c>
      <c r="P1612" s="4">
        <v>22387</v>
      </c>
      <c r="Q1612" s="3" t="s">
        <v>26</v>
      </c>
      <c r="R1612" s="3">
        <v>0</v>
      </c>
      <c r="S1612" s="4">
        <v>0</v>
      </c>
      <c r="T1612" s="4">
        <v>34</v>
      </c>
      <c r="U1612" s="4">
        <v>53</v>
      </c>
      <c r="V1612" s="4">
        <v>0</v>
      </c>
      <c r="W1612" s="4">
        <v>304.64999999999998</v>
      </c>
      <c r="X1612" s="4">
        <v>206.13</v>
      </c>
      <c r="Y1612" s="4"/>
      <c r="Z1612" s="4">
        <v>404.66608122087951</v>
      </c>
      <c r="AA1612" s="4">
        <v>232.64014070415229</v>
      </c>
      <c r="AB1612" s="4">
        <v>0</v>
      </c>
      <c r="AC1612" s="4">
        <v>1460783.3454</v>
      </c>
      <c r="AD1612" s="4">
        <v>988384.28027999995</v>
      </c>
      <c r="AE1612" s="4">
        <v>0</v>
      </c>
      <c r="AF1612" s="4">
        <v>1940356.0541465436</v>
      </c>
      <c r="AG1612" s="4">
        <v>1115499.2385102194</v>
      </c>
    </row>
    <row r="1613" spans="1:33" ht="11.25" customHeight="1" x14ac:dyDescent="0.25">
      <c r="A1613" s="3" t="s">
        <v>27</v>
      </c>
      <c r="B1613" s="3" t="s">
        <v>44</v>
      </c>
      <c r="C1613" s="3" t="s">
        <v>23</v>
      </c>
      <c r="D1613" s="3" t="s">
        <v>45</v>
      </c>
      <c r="E1613" s="3" t="s">
        <v>25</v>
      </c>
      <c r="F1613" s="3" t="s">
        <v>25</v>
      </c>
      <c r="G1613" s="3" t="s">
        <v>25</v>
      </c>
      <c r="H1613" s="3" t="s">
        <v>25</v>
      </c>
      <c r="I1613" s="6">
        <v>44501</v>
      </c>
      <c r="J1613" s="4">
        <v>0</v>
      </c>
      <c r="K1613" s="4">
        <v>0</v>
      </c>
      <c r="L1613" s="4">
        <v>-39.015999999999998</v>
      </c>
      <c r="M1613" s="4">
        <v>-39.015999999999998</v>
      </c>
      <c r="N1613" s="4">
        <v>-39.015999999999998</v>
      </c>
      <c r="O1613" s="4">
        <v>-39.015999999999998</v>
      </c>
      <c r="P1613" s="4">
        <v>-2</v>
      </c>
      <c r="Q1613" s="3" t="s">
        <v>26</v>
      </c>
      <c r="R1613" s="3">
        <v>0</v>
      </c>
      <c r="S1613" s="4">
        <v>0</v>
      </c>
      <c r="T1613" s="4">
        <v>34</v>
      </c>
      <c r="U1613" s="4">
        <v>53</v>
      </c>
      <c r="V1613" s="4">
        <v>0</v>
      </c>
      <c r="W1613" s="4">
        <v>304.64999999999998</v>
      </c>
      <c r="X1613" s="4">
        <v>206.13</v>
      </c>
      <c r="Y1613" s="4"/>
      <c r="Z1613" s="4">
        <v>404.66608122087951</v>
      </c>
      <c r="AA1613" s="4">
        <v>232.64014070415229</v>
      </c>
      <c r="AB1613" s="4">
        <v>0</v>
      </c>
      <c r="AC1613" s="4">
        <v>-11886.224399999999</v>
      </c>
      <c r="AD1613" s="4">
        <v>-8042.3680799999993</v>
      </c>
      <c r="AE1613" s="4">
        <v>0</v>
      </c>
      <c r="AF1613" s="4">
        <v>-15788.451824913835</v>
      </c>
      <c r="AG1613" s="4">
        <v>-9076.687729713205</v>
      </c>
    </row>
    <row r="1614" spans="1:33" ht="11.25" customHeight="1" x14ac:dyDescent="0.25">
      <c r="A1614" s="3" t="s">
        <v>28</v>
      </c>
      <c r="B1614" s="3" t="s">
        <v>44</v>
      </c>
      <c r="C1614" s="3" t="s">
        <v>23</v>
      </c>
      <c r="D1614" s="3" t="s">
        <v>45</v>
      </c>
      <c r="E1614" s="3" t="s">
        <v>25</v>
      </c>
      <c r="F1614" s="3" t="s">
        <v>25</v>
      </c>
      <c r="G1614" s="3" t="s">
        <v>25</v>
      </c>
      <c r="H1614" s="3" t="s">
        <v>25</v>
      </c>
      <c r="I1614" s="6">
        <v>44501</v>
      </c>
      <c r="J1614" s="4">
        <v>0</v>
      </c>
      <c r="K1614" s="4">
        <v>0</v>
      </c>
      <c r="L1614" s="4">
        <v>151.994</v>
      </c>
      <c r="M1614" s="4">
        <v>151.994</v>
      </c>
      <c r="N1614" s="4">
        <v>151.994</v>
      </c>
      <c r="O1614" s="4">
        <v>151.994</v>
      </c>
      <c r="P1614" s="4">
        <v>224</v>
      </c>
      <c r="Q1614" s="3" t="s">
        <v>26</v>
      </c>
      <c r="R1614" s="3">
        <v>0</v>
      </c>
      <c r="S1614" s="4">
        <v>0</v>
      </c>
      <c r="T1614" s="4">
        <v>34</v>
      </c>
      <c r="U1614" s="4">
        <v>53</v>
      </c>
      <c r="V1614" s="4">
        <v>0</v>
      </c>
      <c r="W1614" s="4">
        <v>304.64999999999998</v>
      </c>
      <c r="X1614" s="4">
        <v>206.13</v>
      </c>
      <c r="Y1614" s="4"/>
      <c r="Z1614" s="4">
        <v>404.66608122087951</v>
      </c>
      <c r="AA1614" s="4">
        <v>232.64014070415229</v>
      </c>
      <c r="AB1614" s="4">
        <v>0</v>
      </c>
      <c r="AC1614" s="4">
        <v>46304.972099999999</v>
      </c>
      <c r="AD1614" s="4">
        <v>31330.523219999999</v>
      </c>
      <c r="AE1614" s="4">
        <v>0</v>
      </c>
      <c r="AF1614" s="4">
        <v>61506.816349086359</v>
      </c>
      <c r="AG1614" s="4">
        <v>35359.905546186921</v>
      </c>
    </row>
    <row r="1615" spans="1:33" ht="11.25" customHeight="1" x14ac:dyDescent="0.25">
      <c r="A1615" s="3" t="s">
        <v>21</v>
      </c>
      <c r="B1615" s="3" t="s">
        <v>44</v>
      </c>
      <c r="C1615" s="3" t="s">
        <v>23</v>
      </c>
      <c r="D1615" s="3" t="s">
        <v>45</v>
      </c>
      <c r="E1615" s="3" t="s">
        <v>25</v>
      </c>
      <c r="F1615" s="3" t="s">
        <v>25</v>
      </c>
      <c r="G1615" s="3" t="s">
        <v>25</v>
      </c>
      <c r="H1615" s="3" t="s">
        <v>25</v>
      </c>
      <c r="I1615" s="6">
        <v>44531</v>
      </c>
      <c r="J1615" s="4">
        <v>0</v>
      </c>
      <c r="K1615" s="4">
        <v>0</v>
      </c>
      <c r="L1615" s="4">
        <v>5064.9989999999998</v>
      </c>
      <c r="M1615" s="4">
        <v>5064.9989999999998</v>
      </c>
      <c r="N1615" s="4">
        <v>5064.9989999999998</v>
      </c>
      <c r="O1615" s="4">
        <v>5064.9989999999998</v>
      </c>
      <c r="P1615" s="4">
        <v>22501</v>
      </c>
      <c r="Q1615" s="3" t="s">
        <v>26</v>
      </c>
      <c r="R1615" s="3">
        <v>0</v>
      </c>
      <c r="S1615" s="4">
        <v>0</v>
      </c>
      <c r="T1615" s="4">
        <v>34</v>
      </c>
      <c r="U1615" s="4">
        <v>53</v>
      </c>
      <c r="V1615" s="4">
        <v>0</v>
      </c>
      <c r="W1615" s="4">
        <v>304.64999999999998</v>
      </c>
      <c r="X1615" s="4">
        <v>206.13</v>
      </c>
      <c r="Y1615" s="4"/>
      <c r="Z1615" s="4">
        <v>404.66608122087951</v>
      </c>
      <c r="AA1615" s="4">
        <v>232.64014070415229</v>
      </c>
      <c r="AB1615" s="4">
        <v>0</v>
      </c>
      <c r="AC1615" s="4">
        <v>1543051.9453499999</v>
      </c>
      <c r="AD1615" s="4">
        <v>1044048.2438699999</v>
      </c>
      <c r="AE1615" s="4">
        <v>0</v>
      </c>
      <c r="AF1615" s="4">
        <v>2049633.2967176733</v>
      </c>
      <c r="AG1615" s="4">
        <v>1178322.0800263905</v>
      </c>
    </row>
    <row r="1616" spans="1:33" ht="11.25" customHeight="1" x14ac:dyDescent="0.25">
      <c r="A1616" s="3" t="s">
        <v>27</v>
      </c>
      <c r="B1616" s="3" t="s">
        <v>44</v>
      </c>
      <c r="C1616" s="3" t="s">
        <v>23</v>
      </c>
      <c r="D1616" s="3" t="s">
        <v>45</v>
      </c>
      <c r="E1616" s="3" t="s">
        <v>25</v>
      </c>
      <c r="F1616" s="3" t="s">
        <v>25</v>
      </c>
      <c r="G1616" s="3" t="s">
        <v>25</v>
      </c>
      <c r="H1616" s="3" t="s">
        <v>25</v>
      </c>
      <c r="I1616" s="6">
        <v>44531</v>
      </c>
      <c r="J1616" s="4">
        <v>0</v>
      </c>
      <c r="K1616" s="4">
        <v>0</v>
      </c>
      <c r="L1616" s="4">
        <v>-314.42899999999997</v>
      </c>
      <c r="M1616" s="4">
        <v>-314.42899999999997</v>
      </c>
      <c r="N1616" s="4">
        <v>-314.42899999999997</v>
      </c>
      <c r="O1616" s="4">
        <v>-314.42899999999997</v>
      </c>
      <c r="P1616" s="4">
        <v>-55</v>
      </c>
      <c r="Q1616" s="3" t="s">
        <v>26</v>
      </c>
      <c r="R1616" s="3">
        <v>0</v>
      </c>
      <c r="S1616" s="4">
        <v>0</v>
      </c>
      <c r="T1616" s="4">
        <v>34</v>
      </c>
      <c r="U1616" s="4">
        <v>53</v>
      </c>
      <c r="V1616" s="4">
        <v>0</v>
      </c>
      <c r="W1616" s="4">
        <v>304.64999999999998</v>
      </c>
      <c r="X1616" s="4">
        <v>206.13</v>
      </c>
      <c r="Y1616" s="4"/>
      <c r="Z1616" s="4">
        <v>404.66608122087951</v>
      </c>
      <c r="AA1616" s="4">
        <v>232.64014070415229</v>
      </c>
      <c r="AB1616" s="4">
        <v>0</v>
      </c>
      <c r="AC1616" s="4">
        <v>-95790.794849999991</v>
      </c>
      <c r="AD1616" s="4">
        <v>-64813.249769999995</v>
      </c>
      <c r="AE1616" s="4">
        <v>0</v>
      </c>
      <c r="AF1616" s="4">
        <v>-127238.75125219992</v>
      </c>
      <c r="AG1616" s="4">
        <v>-73148.806801465893</v>
      </c>
    </row>
    <row r="1617" spans="1:33" ht="11.25" customHeight="1" x14ac:dyDescent="0.25">
      <c r="A1617" s="3" t="s">
        <v>28</v>
      </c>
      <c r="B1617" s="3" t="s">
        <v>44</v>
      </c>
      <c r="C1617" s="3" t="s">
        <v>23</v>
      </c>
      <c r="D1617" s="3" t="s">
        <v>45</v>
      </c>
      <c r="E1617" s="3" t="s">
        <v>25</v>
      </c>
      <c r="F1617" s="3" t="s">
        <v>25</v>
      </c>
      <c r="G1617" s="3" t="s">
        <v>25</v>
      </c>
      <c r="H1617" s="3" t="s">
        <v>25</v>
      </c>
      <c r="I1617" s="6">
        <v>44531</v>
      </c>
      <c r="J1617" s="4">
        <v>0</v>
      </c>
      <c r="K1617" s="4">
        <v>0</v>
      </c>
      <c r="L1617" s="4">
        <v>153.38999999999999</v>
      </c>
      <c r="M1617" s="4">
        <v>153.38999999999999</v>
      </c>
      <c r="N1617" s="4">
        <v>153.38999999999999</v>
      </c>
      <c r="O1617" s="4">
        <v>153.38999999999999</v>
      </c>
      <c r="P1617" s="4">
        <v>233</v>
      </c>
      <c r="Q1617" s="3" t="s">
        <v>26</v>
      </c>
      <c r="R1617" s="3">
        <v>0</v>
      </c>
      <c r="S1617" s="4">
        <v>0</v>
      </c>
      <c r="T1617" s="4">
        <v>34</v>
      </c>
      <c r="U1617" s="4">
        <v>53</v>
      </c>
      <c r="V1617" s="4">
        <v>0</v>
      </c>
      <c r="W1617" s="4">
        <v>304.64999999999998</v>
      </c>
      <c r="X1617" s="4">
        <v>206.13</v>
      </c>
      <c r="Y1617" s="4"/>
      <c r="Z1617" s="4">
        <v>404.66608122087951</v>
      </c>
      <c r="AA1617" s="4">
        <v>232.64014070415229</v>
      </c>
      <c r="AB1617" s="4">
        <v>0</v>
      </c>
      <c r="AC1617" s="4">
        <v>46730.263499999994</v>
      </c>
      <c r="AD1617" s="4">
        <v>31618.280699999996</v>
      </c>
      <c r="AE1617" s="4">
        <v>0</v>
      </c>
      <c r="AF1617" s="4">
        <v>62071.730198470701</v>
      </c>
      <c r="AG1617" s="4">
        <v>35684.671182609913</v>
      </c>
    </row>
    <row r="1618" spans="1:33" ht="11.25" customHeight="1" x14ac:dyDescent="0.25">
      <c r="A1618" s="3" t="s">
        <v>21</v>
      </c>
      <c r="B1618" s="3" t="s">
        <v>44</v>
      </c>
      <c r="C1618" s="3" t="s">
        <v>23</v>
      </c>
      <c r="D1618" s="3" t="s">
        <v>45</v>
      </c>
      <c r="E1618" s="3" t="s">
        <v>25</v>
      </c>
      <c r="F1618" s="3" t="s">
        <v>25</v>
      </c>
      <c r="G1618" s="3" t="s">
        <v>25</v>
      </c>
      <c r="H1618" s="3" t="s">
        <v>25</v>
      </c>
      <c r="I1618" s="6">
        <v>44562</v>
      </c>
      <c r="J1618" s="4">
        <v>0</v>
      </c>
      <c r="K1618" s="4">
        <v>0</v>
      </c>
      <c r="L1618" s="4">
        <v>4767.04</v>
      </c>
      <c r="M1618" s="4">
        <v>4767.04</v>
      </c>
      <c r="N1618" s="4">
        <v>4767.04</v>
      </c>
      <c r="O1618" s="4">
        <v>4767.04</v>
      </c>
      <c r="P1618" s="4">
        <v>22420</v>
      </c>
      <c r="Q1618" s="3" t="s">
        <v>26</v>
      </c>
      <c r="R1618" s="3">
        <v>0</v>
      </c>
      <c r="S1618" s="4">
        <v>0</v>
      </c>
      <c r="T1618" s="4">
        <v>34</v>
      </c>
      <c r="U1618" s="4">
        <v>53</v>
      </c>
      <c r="V1618" s="4">
        <v>0</v>
      </c>
      <c r="W1618" s="4">
        <v>304.64999999999998</v>
      </c>
      <c r="X1618" s="4">
        <v>206.13</v>
      </c>
      <c r="Y1618" s="4"/>
      <c r="Z1618" s="4">
        <v>404.66608122087951</v>
      </c>
      <c r="AA1618" s="4">
        <v>232.64014070415229</v>
      </c>
      <c r="AB1618" s="4">
        <v>0</v>
      </c>
      <c r="AC1618" s="4">
        <v>1452278.7359999998</v>
      </c>
      <c r="AD1618" s="4">
        <v>982629.95519999997</v>
      </c>
      <c r="AE1618" s="4">
        <v>0</v>
      </c>
      <c r="AF1618" s="4">
        <v>1929059.3958231814</v>
      </c>
      <c r="AG1618" s="4">
        <v>1109004.8563423222</v>
      </c>
    </row>
    <row r="1619" spans="1:33" ht="11.25" customHeight="1" x14ac:dyDescent="0.25">
      <c r="A1619" s="3" t="s">
        <v>27</v>
      </c>
      <c r="B1619" s="3" t="s">
        <v>44</v>
      </c>
      <c r="C1619" s="3" t="s">
        <v>23</v>
      </c>
      <c r="D1619" s="3" t="s">
        <v>45</v>
      </c>
      <c r="E1619" s="3" t="s">
        <v>25</v>
      </c>
      <c r="F1619" s="3" t="s">
        <v>25</v>
      </c>
      <c r="G1619" s="3" t="s">
        <v>25</v>
      </c>
      <c r="H1619" s="3" t="s">
        <v>25</v>
      </c>
      <c r="I1619" s="6">
        <v>44562</v>
      </c>
      <c r="J1619" s="4">
        <v>0</v>
      </c>
      <c r="K1619" s="4">
        <v>0</v>
      </c>
      <c r="L1619" s="4">
        <v>-41.344999999999999</v>
      </c>
      <c r="M1619" s="4">
        <v>-41.344999999999999</v>
      </c>
      <c r="N1619" s="4">
        <v>-41.344999999999999</v>
      </c>
      <c r="O1619" s="4">
        <v>-41.344999999999999</v>
      </c>
      <c r="P1619" s="4">
        <v>-3</v>
      </c>
      <c r="Q1619" s="3" t="s">
        <v>26</v>
      </c>
      <c r="R1619" s="3">
        <v>0</v>
      </c>
      <c r="S1619" s="4">
        <v>0</v>
      </c>
      <c r="T1619" s="4">
        <v>34</v>
      </c>
      <c r="U1619" s="4">
        <v>53</v>
      </c>
      <c r="V1619" s="4">
        <v>0</v>
      </c>
      <c r="W1619" s="4">
        <v>304.64999999999998</v>
      </c>
      <c r="X1619" s="4">
        <v>206.13</v>
      </c>
      <c r="Y1619" s="4"/>
      <c r="Z1619" s="4">
        <v>404.66608122087951</v>
      </c>
      <c r="AA1619" s="4">
        <v>232.64014070415229</v>
      </c>
      <c r="AB1619" s="4">
        <v>0</v>
      </c>
      <c r="AC1619" s="4">
        <v>-12595.754249999998</v>
      </c>
      <c r="AD1619" s="4">
        <v>-8522.4448499999999</v>
      </c>
      <c r="AE1619" s="4">
        <v>0</v>
      </c>
      <c r="AF1619" s="4">
        <v>-16730.919128077261</v>
      </c>
      <c r="AG1619" s="4">
        <v>-9618.5066174131753</v>
      </c>
    </row>
    <row r="1620" spans="1:33" ht="11.25" customHeight="1" x14ac:dyDescent="0.25">
      <c r="A1620" s="3" t="s">
        <v>28</v>
      </c>
      <c r="B1620" s="3" t="s">
        <v>44</v>
      </c>
      <c r="C1620" s="3" t="s">
        <v>23</v>
      </c>
      <c r="D1620" s="3" t="s">
        <v>45</v>
      </c>
      <c r="E1620" s="3" t="s">
        <v>25</v>
      </c>
      <c r="F1620" s="3" t="s">
        <v>25</v>
      </c>
      <c r="G1620" s="3" t="s">
        <v>25</v>
      </c>
      <c r="H1620" s="3" t="s">
        <v>25</v>
      </c>
      <c r="I1620" s="6">
        <v>44562</v>
      </c>
      <c r="J1620" s="4">
        <v>0</v>
      </c>
      <c r="K1620" s="4">
        <v>0</v>
      </c>
      <c r="L1620" s="4">
        <v>146.203</v>
      </c>
      <c r="M1620" s="4">
        <v>146.203</v>
      </c>
      <c r="N1620" s="4">
        <v>146.203</v>
      </c>
      <c r="O1620" s="4">
        <v>146.203</v>
      </c>
      <c r="P1620" s="4">
        <v>246</v>
      </c>
      <c r="Q1620" s="3" t="s">
        <v>26</v>
      </c>
      <c r="R1620" s="3">
        <v>0</v>
      </c>
      <c r="S1620" s="4">
        <v>0</v>
      </c>
      <c r="T1620" s="4">
        <v>34</v>
      </c>
      <c r="U1620" s="4">
        <v>53</v>
      </c>
      <c r="V1620" s="4">
        <v>0</v>
      </c>
      <c r="W1620" s="4">
        <v>304.64999999999998</v>
      </c>
      <c r="X1620" s="4">
        <v>206.13</v>
      </c>
      <c r="Y1620" s="4"/>
      <c r="Z1620" s="4">
        <v>404.66608122087951</v>
      </c>
      <c r="AA1620" s="4">
        <v>232.64014070415229</v>
      </c>
      <c r="AB1620" s="4">
        <v>0</v>
      </c>
      <c r="AC1620" s="4">
        <v>44540.743949999996</v>
      </c>
      <c r="AD1620" s="4">
        <v>30136.824390000002</v>
      </c>
      <c r="AE1620" s="4">
        <v>0</v>
      </c>
      <c r="AF1620" s="4">
        <v>59163.395072736246</v>
      </c>
      <c r="AG1620" s="4">
        <v>34012.686491369175</v>
      </c>
    </row>
    <row r="1621" spans="1:33" ht="11.25" customHeight="1" x14ac:dyDescent="0.25">
      <c r="A1621" s="3" t="s">
        <v>21</v>
      </c>
      <c r="B1621" s="3" t="s">
        <v>44</v>
      </c>
      <c r="C1621" s="3" t="s">
        <v>23</v>
      </c>
      <c r="D1621" s="3" t="s">
        <v>45</v>
      </c>
      <c r="E1621" s="3" t="s">
        <v>25</v>
      </c>
      <c r="F1621" s="3" t="s">
        <v>25</v>
      </c>
      <c r="G1621" s="3" t="s">
        <v>25</v>
      </c>
      <c r="H1621" s="3" t="s">
        <v>25</v>
      </c>
      <c r="I1621" s="6">
        <v>44593</v>
      </c>
      <c r="J1621" s="4">
        <v>0</v>
      </c>
      <c r="K1621" s="4">
        <v>0</v>
      </c>
      <c r="L1621" s="4">
        <v>4899.8429999999998</v>
      </c>
      <c r="M1621" s="4">
        <v>4899.8429999999998</v>
      </c>
      <c r="N1621" s="4">
        <v>4899.8429999999998</v>
      </c>
      <c r="O1621" s="4">
        <v>4899.8429999999998</v>
      </c>
      <c r="P1621" s="4">
        <v>21300</v>
      </c>
      <c r="Q1621" s="3" t="s">
        <v>26</v>
      </c>
      <c r="R1621" s="3">
        <v>0</v>
      </c>
      <c r="S1621" s="4">
        <v>0</v>
      </c>
      <c r="T1621" s="4">
        <v>34</v>
      </c>
      <c r="U1621" s="4">
        <v>53</v>
      </c>
      <c r="V1621" s="4">
        <v>0</v>
      </c>
      <c r="W1621" s="4">
        <v>304.64999999999998</v>
      </c>
      <c r="X1621" s="4">
        <v>206.13</v>
      </c>
      <c r="Y1621" s="4"/>
      <c r="Z1621" s="4">
        <v>404.66608122087951</v>
      </c>
      <c r="AA1621" s="4">
        <v>232.64014070415229</v>
      </c>
      <c r="AB1621" s="4">
        <v>0</v>
      </c>
      <c r="AC1621" s="4">
        <v>1492737.1699499998</v>
      </c>
      <c r="AD1621" s="4">
        <v>1010004.6375899999</v>
      </c>
      <c r="AE1621" s="4">
        <v>0</v>
      </c>
      <c r="AF1621" s="4">
        <v>1982800.2654075578</v>
      </c>
      <c r="AG1621" s="4">
        <v>1139900.1649482555</v>
      </c>
    </row>
    <row r="1622" spans="1:33" ht="11.25" customHeight="1" x14ac:dyDescent="0.25">
      <c r="A1622" s="3" t="s">
        <v>27</v>
      </c>
      <c r="B1622" s="3" t="s">
        <v>44</v>
      </c>
      <c r="C1622" s="3" t="s">
        <v>23</v>
      </c>
      <c r="D1622" s="3" t="s">
        <v>45</v>
      </c>
      <c r="E1622" s="3" t="s">
        <v>25</v>
      </c>
      <c r="F1622" s="3" t="s">
        <v>25</v>
      </c>
      <c r="G1622" s="3" t="s">
        <v>25</v>
      </c>
      <c r="H1622" s="3" t="s">
        <v>25</v>
      </c>
      <c r="I1622" s="6">
        <v>44593</v>
      </c>
      <c r="J1622" s="4">
        <v>0</v>
      </c>
      <c r="K1622" s="4">
        <v>0</v>
      </c>
      <c r="L1622" s="4">
        <v>-4.2949999999999999</v>
      </c>
      <c r="M1622" s="4">
        <v>-4.2949999999999999</v>
      </c>
      <c r="N1622" s="4">
        <v>-4.2949999999999999</v>
      </c>
      <c r="O1622" s="4">
        <v>-4.2949999999999999</v>
      </c>
      <c r="P1622" s="4">
        <v>-5</v>
      </c>
      <c r="Q1622" s="3" t="s">
        <v>26</v>
      </c>
      <c r="R1622" s="3">
        <v>0</v>
      </c>
      <c r="S1622" s="4">
        <v>0</v>
      </c>
      <c r="T1622" s="4">
        <v>34</v>
      </c>
      <c r="U1622" s="4">
        <v>53</v>
      </c>
      <c r="V1622" s="4">
        <v>0</v>
      </c>
      <c r="W1622" s="4">
        <v>304.64999999999998</v>
      </c>
      <c r="X1622" s="4">
        <v>206.13</v>
      </c>
      <c r="Y1622" s="4"/>
      <c r="Z1622" s="4">
        <v>404.66608122087951</v>
      </c>
      <c r="AA1622" s="4">
        <v>232.64014070415229</v>
      </c>
      <c r="AB1622" s="4">
        <v>0</v>
      </c>
      <c r="AC1622" s="4">
        <v>-1308.4717499999999</v>
      </c>
      <c r="AD1622" s="4">
        <v>-885.32835</v>
      </c>
      <c r="AE1622" s="4">
        <v>0</v>
      </c>
      <c r="AF1622" s="4">
        <v>-1738.0408188436775</v>
      </c>
      <c r="AG1622" s="4">
        <v>-999.18940432433408</v>
      </c>
    </row>
    <row r="1623" spans="1:33" ht="11.25" customHeight="1" x14ac:dyDescent="0.25">
      <c r="A1623" s="3" t="s">
        <v>28</v>
      </c>
      <c r="B1623" s="3" t="s">
        <v>44</v>
      </c>
      <c r="C1623" s="3" t="s">
        <v>23</v>
      </c>
      <c r="D1623" s="3" t="s">
        <v>45</v>
      </c>
      <c r="E1623" s="3" t="s">
        <v>25</v>
      </c>
      <c r="F1623" s="3" t="s">
        <v>25</v>
      </c>
      <c r="G1623" s="3" t="s">
        <v>25</v>
      </c>
      <c r="H1623" s="3" t="s">
        <v>25</v>
      </c>
      <c r="I1623" s="6">
        <v>44593</v>
      </c>
      <c r="J1623" s="4">
        <v>0</v>
      </c>
      <c r="K1623" s="4">
        <v>0</v>
      </c>
      <c r="L1623" s="4">
        <v>157.54300000000001</v>
      </c>
      <c r="M1623" s="4">
        <v>157.54300000000001</v>
      </c>
      <c r="N1623" s="4">
        <v>157.54300000000001</v>
      </c>
      <c r="O1623" s="4">
        <v>157.54300000000001</v>
      </c>
      <c r="P1623" s="4">
        <v>257</v>
      </c>
      <c r="Q1623" s="3" t="s">
        <v>26</v>
      </c>
      <c r="R1623" s="3">
        <v>0</v>
      </c>
      <c r="S1623" s="4">
        <v>0</v>
      </c>
      <c r="T1623" s="4">
        <v>34</v>
      </c>
      <c r="U1623" s="4">
        <v>53</v>
      </c>
      <c r="V1623" s="4">
        <v>0</v>
      </c>
      <c r="W1623" s="4">
        <v>304.64999999999998</v>
      </c>
      <c r="X1623" s="4">
        <v>206.13</v>
      </c>
      <c r="Y1623" s="4"/>
      <c r="Z1623" s="4">
        <v>404.66608122087951</v>
      </c>
      <c r="AA1623" s="4">
        <v>232.64014070415229</v>
      </c>
      <c r="AB1623" s="4">
        <v>0</v>
      </c>
      <c r="AC1623" s="4">
        <v>47995.474949999996</v>
      </c>
      <c r="AD1623" s="4">
        <v>32474.338589999999</v>
      </c>
      <c r="AE1623" s="4">
        <v>0</v>
      </c>
      <c r="AF1623" s="4">
        <v>63752.308433781021</v>
      </c>
      <c r="AG1623" s="4">
        <v>36650.825686954267</v>
      </c>
    </row>
    <row r="1624" spans="1:33" ht="11.25" customHeight="1" x14ac:dyDescent="0.25">
      <c r="A1624" s="3" t="s">
        <v>56</v>
      </c>
      <c r="B1624" s="3" t="s">
        <v>44</v>
      </c>
      <c r="C1624" s="3" t="s">
        <v>23</v>
      </c>
      <c r="D1624" s="3" t="s">
        <v>45</v>
      </c>
      <c r="E1624" s="3" t="s">
        <v>25</v>
      </c>
      <c r="F1624" s="3" t="s">
        <v>25</v>
      </c>
      <c r="G1624" s="3" t="s">
        <v>25</v>
      </c>
      <c r="H1624" s="3" t="s">
        <v>25</v>
      </c>
      <c r="I1624" s="6">
        <v>44621</v>
      </c>
      <c r="J1624" s="4">
        <v>0</v>
      </c>
      <c r="K1624" s="4">
        <v>0</v>
      </c>
      <c r="L1624" s="4">
        <v>4899.8429999999998</v>
      </c>
      <c r="M1624" s="4">
        <v>4899.8429999999998</v>
      </c>
      <c r="N1624" s="4">
        <v>4899.8429999999998</v>
      </c>
      <c r="O1624" s="4">
        <v>4899.8429999999998</v>
      </c>
      <c r="P1624" s="4">
        <v>21300</v>
      </c>
      <c r="Q1624" s="3" t="s">
        <v>26</v>
      </c>
      <c r="R1624" s="3">
        <v>0</v>
      </c>
      <c r="S1624" s="4">
        <v>0</v>
      </c>
      <c r="T1624" s="4">
        <v>34</v>
      </c>
      <c r="U1624" s="4">
        <v>53</v>
      </c>
      <c r="V1624" s="4">
        <v>0</v>
      </c>
      <c r="W1624" s="4">
        <v>304.64999999999998</v>
      </c>
      <c r="X1624" s="4">
        <v>206.13</v>
      </c>
      <c r="Y1624" s="4"/>
      <c r="Z1624" s="4">
        <v>404.66608122087951</v>
      </c>
      <c r="AA1624" s="4">
        <v>232.64014070415229</v>
      </c>
      <c r="AB1624" s="4">
        <v>0</v>
      </c>
      <c r="AC1624" s="4">
        <v>1492737.1699499998</v>
      </c>
      <c r="AD1624" s="4">
        <v>1010004.6375899999</v>
      </c>
      <c r="AE1624" s="4">
        <v>0</v>
      </c>
      <c r="AF1624" s="4">
        <v>1982800.2654075578</v>
      </c>
      <c r="AG1624" s="4">
        <v>1139900.1649482555</v>
      </c>
    </row>
    <row r="1625" spans="1:33" ht="11.25" customHeight="1" x14ac:dyDescent="0.25">
      <c r="A1625" s="3" t="s">
        <v>56</v>
      </c>
      <c r="B1625" s="3" t="s">
        <v>44</v>
      </c>
      <c r="C1625" s="3" t="s">
        <v>23</v>
      </c>
      <c r="D1625" s="3" t="s">
        <v>45</v>
      </c>
      <c r="E1625" s="3" t="s">
        <v>25</v>
      </c>
      <c r="F1625" s="3" t="s">
        <v>25</v>
      </c>
      <c r="G1625" s="3" t="s">
        <v>25</v>
      </c>
      <c r="H1625" s="3" t="s">
        <v>25</v>
      </c>
      <c r="I1625" s="6">
        <v>44621</v>
      </c>
      <c r="J1625" s="4">
        <v>0</v>
      </c>
      <c r="K1625" s="4">
        <v>0</v>
      </c>
      <c r="L1625" s="4">
        <v>-4.2949999999999999</v>
      </c>
      <c r="M1625" s="4">
        <v>-4.2949999999999999</v>
      </c>
      <c r="N1625" s="4">
        <v>-4.2949999999999999</v>
      </c>
      <c r="O1625" s="4">
        <v>-4.2949999999999999</v>
      </c>
      <c r="P1625" s="4">
        <v>-5</v>
      </c>
      <c r="Q1625" s="3" t="s">
        <v>26</v>
      </c>
      <c r="R1625" s="3">
        <v>0</v>
      </c>
      <c r="S1625" s="4">
        <v>0</v>
      </c>
      <c r="T1625" s="4">
        <v>34</v>
      </c>
      <c r="U1625" s="4">
        <v>53</v>
      </c>
      <c r="V1625" s="4">
        <v>0</v>
      </c>
      <c r="W1625" s="4">
        <v>304.64999999999998</v>
      </c>
      <c r="X1625" s="4">
        <v>206.13</v>
      </c>
      <c r="Y1625" s="4"/>
      <c r="Z1625" s="4">
        <v>404.66608122087951</v>
      </c>
      <c r="AA1625" s="4">
        <v>232.64014070415229</v>
      </c>
      <c r="AB1625" s="4">
        <v>0</v>
      </c>
      <c r="AC1625" s="4">
        <v>-1308.4717499999999</v>
      </c>
      <c r="AD1625" s="4">
        <v>-885.32835</v>
      </c>
      <c r="AE1625" s="4">
        <v>0</v>
      </c>
      <c r="AF1625" s="4">
        <v>-1738.0408188436775</v>
      </c>
      <c r="AG1625" s="4">
        <v>-999.18940432433408</v>
      </c>
    </row>
    <row r="1626" spans="1:33" ht="11.25" customHeight="1" x14ac:dyDescent="0.25">
      <c r="A1626" s="3" t="s">
        <v>56</v>
      </c>
      <c r="B1626" s="3" t="s">
        <v>44</v>
      </c>
      <c r="C1626" s="3" t="s">
        <v>23</v>
      </c>
      <c r="D1626" s="3" t="s">
        <v>45</v>
      </c>
      <c r="E1626" s="3" t="s">
        <v>25</v>
      </c>
      <c r="F1626" s="3" t="s">
        <v>25</v>
      </c>
      <c r="G1626" s="3" t="s">
        <v>25</v>
      </c>
      <c r="H1626" s="3" t="s">
        <v>25</v>
      </c>
      <c r="I1626" s="6">
        <v>44621</v>
      </c>
      <c r="J1626" s="4">
        <v>0</v>
      </c>
      <c r="K1626" s="4">
        <v>0</v>
      </c>
      <c r="L1626" s="4">
        <v>157.54300000000001</v>
      </c>
      <c r="M1626" s="4">
        <v>157.54300000000001</v>
      </c>
      <c r="N1626" s="4">
        <v>157.54300000000001</v>
      </c>
      <c r="O1626" s="4">
        <v>157.54300000000001</v>
      </c>
      <c r="P1626" s="4">
        <v>257</v>
      </c>
      <c r="Q1626" s="3" t="s">
        <v>26</v>
      </c>
      <c r="R1626" s="3">
        <v>0</v>
      </c>
      <c r="S1626" s="4">
        <v>0</v>
      </c>
      <c r="T1626" s="4">
        <v>34</v>
      </c>
      <c r="U1626" s="4">
        <v>53</v>
      </c>
      <c r="V1626" s="4">
        <v>0</v>
      </c>
      <c r="W1626" s="4">
        <v>304.64999999999998</v>
      </c>
      <c r="X1626" s="4">
        <v>206.13</v>
      </c>
      <c r="Y1626" s="4"/>
      <c r="Z1626" s="4">
        <v>404.66608122087951</v>
      </c>
      <c r="AA1626" s="4">
        <v>232.64014070415229</v>
      </c>
      <c r="AB1626" s="4">
        <v>0</v>
      </c>
      <c r="AC1626" s="4">
        <v>47995.474949999996</v>
      </c>
      <c r="AD1626" s="4">
        <v>32474.338589999999</v>
      </c>
      <c r="AE1626" s="4">
        <v>0</v>
      </c>
      <c r="AF1626" s="4">
        <v>63752.308433781021</v>
      </c>
      <c r="AG1626" s="4">
        <v>36650.825686954267</v>
      </c>
    </row>
    <row r="1627" spans="1:33" ht="11.25" customHeight="1" x14ac:dyDescent="0.25">
      <c r="A1627" s="3" t="s">
        <v>21</v>
      </c>
      <c r="B1627" s="3" t="s">
        <v>37</v>
      </c>
      <c r="C1627" s="3" t="s">
        <v>33</v>
      </c>
      <c r="D1627" s="3" t="s">
        <v>43</v>
      </c>
      <c r="E1627" s="3" t="s">
        <v>25</v>
      </c>
      <c r="F1627" s="3" t="s">
        <v>25</v>
      </c>
      <c r="G1627" s="3" t="s">
        <v>25</v>
      </c>
      <c r="H1627" s="3" t="s">
        <v>35</v>
      </c>
      <c r="I1627" s="6">
        <v>44287</v>
      </c>
      <c r="J1627" s="4">
        <v>0</v>
      </c>
      <c r="K1627" s="4">
        <v>0</v>
      </c>
      <c r="L1627" s="4">
        <v>97.596999999999994</v>
      </c>
      <c r="M1627" s="4">
        <v>97.596999999999994</v>
      </c>
      <c r="N1627" s="4">
        <v>97.596999999999994</v>
      </c>
      <c r="O1627" s="4">
        <v>97.596999999999994</v>
      </c>
      <c r="P1627" s="4">
        <v>0</v>
      </c>
      <c r="Q1627" s="3" t="s">
        <v>26</v>
      </c>
      <c r="R1627" s="3">
        <v>0</v>
      </c>
      <c r="S1627" s="4">
        <v>0</v>
      </c>
      <c r="T1627" s="4">
        <v>83</v>
      </c>
      <c r="U1627" s="4">
        <v>61</v>
      </c>
      <c r="V1627" s="4">
        <v>0</v>
      </c>
      <c r="W1627" s="4">
        <v>250.31</v>
      </c>
      <c r="X1627" s="4">
        <v>222.31</v>
      </c>
      <c r="Y1627" s="4"/>
      <c r="Z1627" s="4">
        <v>312.64410340563603</v>
      </c>
      <c r="AA1627" s="4">
        <v>235.31351552243123</v>
      </c>
      <c r="AB1627" s="4">
        <v>0</v>
      </c>
      <c r="AC1627" s="4">
        <v>24429.505069999999</v>
      </c>
      <c r="AD1627" s="4">
        <v>21696.789069999999</v>
      </c>
      <c r="AE1627" s="4">
        <v>0</v>
      </c>
      <c r="AF1627" s="4">
        <v>30513.126560079858</v>
      </c>
      <c r="AG1627" s="4">
        <v>22965.893174442721</v>
      </c>
    </row>
    <row r="1628" spans="1:33" ht="11.25" customHeight="1" x14ac:dyDescent="0.25">
      <c r="A1628" s="3" t="s">
        <v>21</v>
      </c>
      <c r="B1628" s="3" t="s">
        <v>37</v>
      </c>
      <c r="C1628" s="3" t="s">
        <v>33</v>
      </c>
      <c r="D1628" s="3" t="s">
        <v>43</v>
      </c>
      <c r="E1628" s="3" t="s">
        <v>25</v>
      </c>
      <c r="F1628" s="3" t="s">
        <v>25</v>
      </c>
      <c r="G1628" s="3" t="s">
        <v>25</v>
      </c>
      <c r="H1628" s="3" t="s">
        <v>35</v>
      </c>
      <c r="I1628" s="6">
        <v>44317</v>
      </c>
      <c r="J1628" s="4">
        <v>0</v>
      </c>
      <c r="K1628" s="4">
        <v>0</v>
      </c>
      <c r="L1628" s="4">
        <v>95.65</v>
      </c>
      <c r="M1628" s="4">
        <v>95.65</v>
      </c>
      <c r="N1628" s="4">
        <v>95.65</v>
      </c>
      <c r="O1628" s="4">
        <v>95.65</v>
      </c>
      <c r="P1628" s="4">
        <v>0</v>
      </c>
      <c r="Q1628" s="3" t="s">
        <v>26</v>
      </c>
      <c r="R1628" s="3">
        <v>0</v>
      </c>
      <c r="S1628" s="4">
        <v>0</v>
      </c>
      <c r="T1628" s="4">
        <v>83</v>
      </c>
      <c r="U1628" s="4">
        <v>61</v>
      </c>
      <c r="V1628" s="4">
        <v>0</v>
      </c>
      <c r="W1628" s="4">
        <v>250.31</v>
      </c>
      <c r="X1628" s="4">
        <v>222.31</v>
      </c>
      <c r="Y1628" s="4"/>
      <c r="Z1628" s="4">
        <v>312.64410340563603</v>
      </c>
      <c r="AA1628" s="4">
        <v>235.31351552243123</v>
      </c>
      <c r="AB1628" s="4">
        <v>0</v>
      </c>
      <c r="AC1628" s="4">
        <v>23942.1515</v>
      </c>
      <c r="AD1628" s="4">
        <v>21263.951500000003</v>
      </c>
      <c r="AE1628" s="4">
        <v>0</v>
      </c>
      <c r="AF1628" s="4">
        <v>29904.408490749087</v>
      </c>
      <c r="AG1628" s="4">
        <v>22507.737759720549</v>
      </c>
    </row>
    <row r="1629" spans="1:33" ht="11.25" customHeight="1" x14ac:dyDescent="0.25">
      <c r="A1629" s="3" t="s">
        <v>21</v>
      </c>
      <c r="B1629" s="3" t="s">
        <v>37</v>
      </c>
      <c r="C1629" s="3" t="s">
        <v>33</v>
      </c>
      <c r="D1629" s="3" t="s">
        <v>43</v>
      </c>
      <c r="E1629" s="3" t="s">
        <v>25</v>
      </c>
      <c r="F1629" s="3" t="s">
        <v>25</v>
      </c>
      <c r="G1629" s="3" t="s">
        <v>25</v>
      </c>
      <c r="H1629" s="3" t="s">
        <v>35</v>
      </c>
      <c r="I1629" s="6">
        <v>44348</v>
      </c>
      <c r="J1629" s="4">
        <v>0</v>
      </c>
      <c r="K1629" s="4">
        <v>0</v>
      </c>
      <c r="L1629" s="4">
        <v>92.948999999999998</v>
      </c>
      <c r="M1629" s="4">
        <v>92.948999999999998</v>
      </c>
      <c r="N1629" s="4">
        <v>92.948999999999998</v>
      </c>
      <c r="O1629" s="4">
        <v>92.948999999999998</v>
      </c>
      <c r="P1629" s="4">
        <v>0</v>
      </c>
      <c r="Q1629" s="3" t="s">
        <v>26</v>
      </c>
      <c r="R1629" s="3">
        <v>0</v>
      </c>
      <c r="S1629" s="4">
        <v>0</v>
      </c>
      <c r="T1629" s="4">
        <v>83</v>
      </c>
      <c r="U1629" s="4">
        <v>61</v>
      </c>
      <c r="V1629" s="4">
        <v>0</v>
      </c>
      <c r="W1629" s="4">
        <v>250.31</v>
      </c>
      <c r="X1629" s="4">
        <v>222.31</v>
      </c>
      <c r="Y1629" s="4"/>
      <c r="Z1629" s="4">
        <v>312.64410340563603</v>
      </c>
      <c r="AA1629" s="4">
        <v>235.31351552243123</v>
      </c>
      <c r="AB1629" s="4">
        <v>0</v>
      </c>
      <c r="AC1629" s="4">
        <v>23266.064190000001</v>
      </c>
      <c r="AD1629" s="4">
        <v>20663.492190000001</v>
      </c>
      <c r="AE1629" s="4">
        <v>0</v>
      </c>
      <c r="AF1629" s="4">
        <v>29059.956767450461</v>
      </c>
      <c r="AG1629" s="4">
        <v>21872.15595429446</v>
      </c>
    </row>
    <row r="1630" spans="1:33" ht="11.25" customHeight="1" x14ac:dyDescent="0.25">
      <c r="A1630" s="3" t="s">
        <v>21</v>
      </c>
      <c r="B1630" s="3" t="s">
        <v>37</v>
      </c>
      <c r="C1630" s="3" t="s">
        <v>33</v>
      </c>
      <c r="D1630" s="3" t="s">
        <v>43</v>
      </c>
      <c r="E1630" s="3" t="s">
        <v>25</v>
      </c>
      <c r="F1630" s="3" t="s">
        <v>25</v>
      </c>
      <c r="G1630" s="3" t="s">
        <v>25</v>
      </c>
      <c r="H1630" s="3" t="s">
        <v>35</v>
      </c>
      <c r="I1630" s="6">
        <v>44378</v>
      </c>
      <c r="J1630" s="4">
        <v>0</v>
      </c>
      <c r="K1630" s="4">
        <v>0</v>
      </c>
      <c r="L1630" s="4">
        <v>95.912999999999997</v>
      </c>
      <c r="M1630" s="4">
        <v>95.912999999999997</v>
      </c>
      <c r="N1630" s="4">
        <v>95.912999999999997</v>
      </c>
      <c r="O1630" s="4">
        <v>95.912999999999997</v>
      </c>
      <c r="P1630" s="4">
        <v>0</v>
      </c>
      <c r="Q1630" s="3" t="s">
        <v>26</v>
      </c>
      <c r="R1630" s="3">
        <v>0</v>
      </c>
      <c r="S1630" s="4">
        <v>0</v>
      </c>
      <c r="T1630" s="4">
        <v>83</v>
      </c>
      <c r="U1630" s="4">
        <v>61</v>
      </c>
      <c r="V1630" s="4">
        <v>0</v>
      </c>
      <c r="W1630" s="4">
        <v>250.31</v>
      </c>
      <c r="X1630" s="4">
        <v>222.31</v>
      </c>
      <c r="Y1630" s="4"/>
      <c r="Z1630" s="4">
        <v>312.64410340563603</v>
      </c>
      <c r="AA1630" s="4">
        <v>235.31351552243123</v>
      </c>
      <c r="AB1630" s="4">
        <v>0</v>
      </c>
      <c r="AC1630" s="4">
        <v>24007.983029999999</v>
      </c>
      <c r="AD1630" s="4">
        <v>21322.419030000001</v>
      </c>
      <c r="AE1630" s="4">
        <v>0</v>
      </c>
      <c r="AF1630" s="4">
        <v>29986.633889944769</v>
      </c>
      <c r="AG1630" s="4">
        <v>22569.625214302945</v>
      </c>
    </row>
    <row r="1631" spans="1:33" ht="11.25" customHeight="1" x14ac:dyDescent="0.25">
      <c r="A1631" s="3" t="s">
        <v>21</v>
      </c>
      <c r="B1631" s="3" t="s">
        <v>37</v>
      </c>
      <c r="C1631" s="3" t="s">
        <v>33</v>
      </c>
      <c r="D1631" s="3" t="s">
        <v>43</v>
      </c>
      <c r="E1631" s="3" t="s">
        <v>25</v>
      </c>
      <c r="F1631" s="3" t="s">
        <v>25</v>
      </c>
      <c r="G1631" s="3" t="s">
        <v>25</v>
      </c>
      <c r="H1631" s="3" t="s">
        <v>35</v>
      </c>
      <c r="I1631" s="6">
        <v>44409</v>
      </c>
      <c r="J1631" s="4">
        <v>0</v>
      </c>
      <c r="K1631" s="4">
        <v>0</v>
      </c>
      <c r="L1631" s="4">
        <v>96.564999999999998</v>
      </c>
      <c r="M1631" s="4">
        <v>96.564999999999998</v>
      </c>
      <c r="N1631" s="4">
        <v>96.564999999999998</v>
      </c>
      <c r="O1631" s="4">
        <v>96.564999999999998</v>
      </c>
      <c r="P1631" s="4">
        <v>0</v>
      </c>
      <c r="Q1631" s="3" t="s">
        <v>26</v>
      </c>
      <c r="R1631" s="3">
        <v>0</v>
      </c>
      <c r="S1631" s="4">
        <v>0</v>
      </c>
      <c r="T1631" s="4">
        <v>83</v>
      </c>
      <c r="U1631" s="4">
        <v>61</v>
      </c>
      <c r="V1631" s="4">
        <v>0</v>
      </c>
      <c r="W1631" s="4">
        <v>250.31</v>
      </c>
      <c r="X1631" s="4">
        <v>222.31</v>
      </c>
      <c r="Y1631" s="4"/>
      <c r="Z1631" s="4">
        <v>312.64410340563603</v>
      </c>
      <c r="AA1631" s="4">
        <v>235.31351552243123</v>
      </c>
      <c r="AB1631" s="4">
        <v>0</v>
      </c>
      <c r="AC1631" s="4">
        <v>24171.185150000001</v>
      </c>
      <c r="AD1631" s="4">
        <v>21467.365150000001</v>
      </c>
      <c r="AE1631" s="4">
        <v>0</v>
      </c>
      <c r="AF1631" s="4">
        <v>30190.477845365243</v>
      </c>
      <c r="AG1631" s="4">
        <v>22723.04962642357</v>
      </c>
    </row>
    <row r="1632" spans="1:33" ht="11.25" customHeight="1" x14ac:dyDescent="0.25">
      <c r="A1632" s="3" t="s">
        <v>21</v>
      </c>
      <c r="B1632" s="3" t="s">
        <v>37</v>
      </c>
      <c r="C1632" s="3" t="s">
        <v>33</v>
      </c>
      <c r="D1632" s="3" t="s">
        <v>43</v>
      </c>
      <c r="E1632" s="3" t="s">
        <v>25</v>
      </c>
      <c r="F1632" s="3" t="s">
        <v>25</v>
      </c>
      <c r="G1632" s="3" t="s">
        <v>25</v>
      </c>
      <c r="H1632" s="3" t="s">
        <v>35</v>
      </c>
      <c r="I1632" s="6">
        <v>44440</v>
      </c>
      <c r="J1632" s="4">
        <v>0</v>
      </c>
      <c r="K1632" s="4">
        <v>0</v>
      </c>
      <c r="L1632" s="4">
        <v>101.881</v>
      </c>
      <c r="M1632" s="4">
        <v>101.881</v>
      </c>
      <c r="N1632" s="4">
        <v>101.881</v>
      </c>
      <c r="O1632" s="4">
        <v>101.881</v>
      </c>
      <c r="P1632" s="4">
        <v>0</v>
      </c>
      <c r="Q1632" s="3" t="s">
        <v>26</v>
      </c>
      <c r="R1632" s="3">
        <v>0</v>
      </c>
      <c r="S1632" s="4">
        <v>0</v>
      </c>
      <c r="T1632" s="4">
        <v>83</v>
      </c>
      <c r="U1632" s="4">
        <v>61</v>
      </c>
      <c r="V1632" s="4">
        <v>0</v>
      </c>
      <c r="W1632" s="4">
        <v>250.31</v>
      </c>
      <c r="X1632" s="4">
        <v>222.31</v>
      </c>
      <c r="Y1632" s="4"/>
      <c r="Z1632" s="4">
        <v>312.64410340563603</v>
      </c>
      <c r="AA1632" s="4">
        <v>235.31351552243123</v>
      </c>
      <c r="AB1632" s="4">
        <v>0</v>
      </c>
      <c r="AC1632" s="4">
        <v>25501.83311</v>
      </c>
      <c r="AD1632" s="4">
        <v>22649.165110000002</v>
      </c>
      <c r="AE1632" s="4">
        <v>0</v>
      </c>
      <c r="AF1632" s="4">
        <v>31852.493899069603</v>
      </c>
      <c r="AG1632" s="4">
        <v>23973.976274940815</v>
      </c>
    </row>
    <row r="1633" spans="1:33" ht="11.25" customHeight="1" x14ac:dyDescent="0.25">
      <c r="A1633" s="3" t="s">
        <v>21</v>
      </c>
      <c r="B1633" s="3" t="s">
        <v>37</v>
      </c>
      <c r="C1633" s="3" t="s">
        <v>33</v>
      </c>
      <c r="D1633" s="3" t="s">
        <v>43</v>
      </c>
      <c r="E1633" s="3" t="s">
        <v>25</v>
      </c>
      <c r="F1633" s="3" t="s">
        <v>25</v>
      </c>
      <c r="G1633" s="3" t="s">
        <v>25</v>
      </c>
      <c r="H1633" s="3" t="s">
        <v>35</v>
      </c>
      <c r="I1633" s="6">
        <v>44470</v>
      </c>
      <c r="J1633" s="4">
        <v>0</v>
      </c>
      <c r="K1633" s="4">
        <v>0</v>
      </c>
      <c r="L1633" s="4">
        <v>117.217</v>
      </c>
      <c r="M1633" s="4">
        <v>117.217</v>
      </c>
      <c r="N1633" s="4">
        <v>117.217</v>
      </c>
      <c r="O1633" s="4">
        <v>117.217</v>
      </c>
      <c r="P1633" s="4">
        <v>0</v>
      </c>
      <c r="Q1633" s="3" t="s">
        <v>26</v>
      </c>
      <c r="R1633" s="3">
        <v>0</v>
      </c>
      <c r="S1633" s="4">
        <v>0</v>
      </c>
      <c r="T1633" s="4">
        <v>83</v>
      </c>
      <c r="U1633" s="4">
        <v>61</v>
      </c>
      <c r="V1633" s="4">
        <v>0</v>
      </c>
      <c r="W1633" s="4">
        <v>250.31</v>
      </c>
      <c r="X1633" s="4">
        <v>222.31</v>
      </c>
      <c r="Y1633" s="4"/>
      <c r="Z1633" s="4">
        <v>312.64410340563603</v>
      </c>
      <c r="AA1633" s="4">
        <v>235.31351552243123</v>
      </c>
      <c r="AB1633" s="4">
        <v>0</v>
      </c>
      <c r="AC1633" s="4">
        <v>29340.58727</v>
      </c>
      <c r="AD1633" s="4">
        <v>26058.511269999999</v>
      </c>
      <c r="AE1633" s="4">
        <v>0</v>
      </c>
      <c r="AF1633" s="4">
        <v>36647.203868898439</v>
      </c>
      <c r="AG1633" s="4">
        <v>27582.744348992823</v>
      </c>
    </row>
    <row r="1634" spans="1:33" ht="11.25" customHeight="1" x14ac:dyDescent="0.25">
      <c r="A1634" s="3" t="s">
        <v>28</v>
      </c>
      <c r="B1634" s="3" t="s">
        <v>37</v>
      </c>
      <c r="C1634" s="3" t="s">
        <v>33</v>
      </c>
      <c r="D1634" s="3" t="s">
        <v>43</v>
      </c>
      <c r="E1634" s="3" t="s">
        <v>25</v>
      </c>
      <c r="F1634" s="3" t="s">
        <v>25</v>
      </c>
      <c r="G1634" s="3" t="s">
        <v>25</v>
      </c>
      <c r="H1634" s="3" t="s">
        <v>35</v>
      </c>
      <c r="I1634" s="6">
        <v>44470</v>
      </c>
      <c r="J1634" s="4">
        <v>0</v>
      </c>
      <c r="K1634" s="4">
        <v>0</v>
      </c>
      <c r="L1634" s="4">
        <v>0.78300000000000003</v>
      </c>
      <c r="M1634" s="4">
        <v>0.78300000000000003</v>
      </c>
      <c r="N1634" s="4">
        <v>0.78300000000000003</v>
      </c>
      <c r="O1634" s="4">
        <v>0.78300000000000003</v>
      </c>
      <c r="P1634" s="4">
        <v>0</v>
      </c>
      <c r="Q1634" s="3" t="s">
        <v>26</v>
      </c>
      <c r="R1634" s="3">
        <v>0</v>
      </c>
      <c r="S1634" s="4">
        <v>0</v>
      </c>
      <c r="T1634" s="4">
        <v>83</v>
      </c>
      <c r="U1634" s="4">
        <v>61</v>
      </c>
      <c r="V1634" s="4">
        <v>0</v>
      </c>
      <c r="W1634" s="4">
        <v>250.31</v>
      </c>
      <c r="X1634" s="4">
        <v>222.31</v>
      </c>
      <c r="Y1634" s="4"/>
      <c r="Z1634" s="4">
        <v>312.64410340563603</v>
      </c>
      <c r="AA1634" s="4">
        <v>235.31351552243123</v>
      </c>
      <c r="AB1634" s="4">
        <v>0</v>
      </c>
      <c r="AC1634" s="4">
        <v>195.99273000000002</v>
      </c>
      <c r="AD1634" s="4">
        <v>174.06873000000002</v>
      </c>
      <c r="AE1634" s="4">
        <v>0</v>
      </c>
      <c r="AF1634" s="4">
        <v>244.80033296661301</v>
      </c>
      <c r="AG1634" s="4">
        <v>184.25048265406366</v>
      </c>
    </row>
    <row r="1635" spans="1:33" ht="11.25" customHeight="1" x14ac:dyDescent="0.25">
      <c r="A1635" s="3" t="s">
        <v>21</v>
      </c>
      <c r="B1635" s="3" t="s">
        <v>37</v>
      </c>
      <c r="C1635" s="3" t="s">
        <v>33</v>
      </c>
      <c r="D1635" s="3" t="s">
        <v>43</v>
      </c>
      <c r="E1635" s="3" t="s">
        <v>25</v>
      </c>
      <c r="F1635" s="3" t="s">
        <v>25</v>
      </c>
      <c r="G1635" s="3" t="s">
        <v>25</v>
      </c>
      <c r="H1635" s="3" t="s">
        <v>35</v>
      </c>
      <c r="I1635" s="6">
        <v>44501</v>
      </c>
      <c r="J1635" s="4">
        <v>0</v>
      </c>
      <c r="K1635" s="4">
        <v>0</v>
      </c>
      <c r="L1635" s="4">
        <v>118.175</v>
      </c>
      <c r="M1635" s="4">
        <v>118.175</v>
      </c>
      <c r="N1635" s="4">
        <v>118.175</v>
      </c>
      <c r="O1635" s="4">
        <v>118.175</v>
      </c>
      <c r="P1635" s="4">
        <v>0</v>
      </c>
      <c r="Q1635" s="3" t="s">
        <v>26</v>
      </c>
      <c r="R1635" s="3">
        <v>0</v>
      </c>
      <c r="S1635" s="4">
        <v>0</v>
      </c>
      <c r="T1635" s="4">
        <v>83</v>
      </c>
      <c r="U1635" s="4">
        <v>61</v>
      </c>
      <c r="V1635" s="4">
        <v>0</v>
      </c>
      <c r="W1635" s="4">
        <v>250.31</v>
      </c>
      <c r="X1635" s="4">
        <v>222.31</v>
      </c>
      <c r="Y1635" s="4"/>
      <c r="Z1635" s="4">
        <v>312.64410340563603</v>
      </c>
      <c r="AA1635" s="4">
        <v>235.31351552243123</v>
      </c>
      <c r="AB1635" s="4">
        <v>0</v>
      </c>
      <c r="AC1635" s="4">
        <v>29580.384249999999</v>
      </c>
      <c r="AD1635" s="4">
        <v>26271.484250000001</v>
      </c>
      <c r="AE1635" s="4">
        <v>0</v>
      </c>
      <c r="AF1635" s="4">
        <v>36946.716919961036</v>
      </c>
      <c r="AG1635" s="4">
        <v>27808.174696863309</v>
      </c>
    </row>
    <row r="1636" spans="1:33" ht="11.25" customHeight="1" x14ac:dyDescent="0.25">
      <c r="A1636" s="3" t="s">
        <v>21</v>
      </c>
      <c r="B1636" s="3" t="s">
        <v>37</v>
      </c>
      <c r="C1636" s="3" t="s">
        <v>33</v>
      </c>
      <c r="D1636" s="3" t="s">
        <v>43</v>
      </c>
      <c r="E1636" s="3" t="s">
        <v>25</v>
      </c>
      <c r="F1636" s="3" t="s">
        <v>25</v>
      </c>
      <c r="G1636" s="3" t="s">
        <v>25</v>
      </c>
      <c r="H1636" s="3" t="s">
        <v>35</v>
      </c>
      <c r="I1636" s="6">
        <v>44531</v>
      </c>
      <c r="J1636" s="4">
        <v>0</v>
      </c>
      <c r="K1636" s="4">
        <v>0</v>
      </c>
      <c r="L1636" s="4">
        <v>127.02500000000001</v>
      </c>
      <c r="M1636" s="4">
        <v>127.02500000000001</v>
      </c>
      <c r="N1636" s="4">
        <v>127.02500000000001</v>
      </c>
      <c r="O1636" s="4">
        <v>127.02500000000001</v>
      </c>
      <c r="P1636" s="4">
        <v>0</v>
      </c>
      <c r="Q1636" s="3" t="s">
        <v>26</v>
      </c>
      <c r="R1636" s="3">
        <v>0</v>
      </c>
      <c r="S1636" s="4">
        <v>0</v>
      </c>
      <c r="T1636" s="4">
        <v>83</v>
      </c>
      <c r="U1636" s="4">
        <v>61</v>
      </c>
      <c r="V1636" s="4">
        <v>0</v>
      </c>
      <c r="W1636" s="4">
        <v>250.31</v>
      </c>
      <c r="X1636" s="4">
        <v>222.31</v>
      </c>
      <c r="Y1636" s="4"/>
      <c r="Z1636" s="4">
        <v>312.64410340563603</v>
      </c>
      <c r="AA1636" s="4">
        <v>235.31351552243123</v>
      </c>
      <c r="AB1636" s="4">
        <v>0</v>
      </c>
      <c r="AC1636" s="4">
        <v>31795.627750000003</v>
      </c>
      <c r="AD1636" s="4">
        <v>28238.927750000003</v>
      </c>
      <c r="AE1636" s="4">
        <v>0</v>
      </c>
      <c r="AF1636" s="4">
        <v>39713.617235100915</v>
      </c>
      <c r="AG1636" s="4">
        <v>29890.699309236828</v>
      </c>
    </row>
    <row r="1637" spans="1:33" ht="11.25" customHeight="1" x14ac:dyDescent="0.25">
      <c r="A1637" s="3" t="s">
        <v>21</v>
      </c>
      <c r="B1637" s="3" t="s">
        <v>37</v>
      </c>
      <c r="C1637" s="3" t="s">
        <v>33</v>
      </c>
      <c r="D1637" s="3" t="s">
        <v>43</v>
      </c>
      <c r="E1637" s="3" t="s">
        <v>25</v>
      </c>
      <c r="F1637" s="3" t="s">
        <v>25</v>
      </c>
      <c r="G1637" s="3" t="s">
        <v>25</v>
      </c>
      <c r="H1637" s="3" t="s">
        <v>35</v>
      </c>
      <c r="I1637" s="6">
        <v>44562</v>
      </c>
      <c r="J1637" s="4">
        <v>0</v>
      </c>
      <c r="K1637" s="4">
        <v>0</v>
      </c>
      <c r="L1637" s="4">
        <v>123.901</v>
      </c>
      <c r="M1637" s="4">
        <v>123.901</v>
      </c>
      <c r="N1637" s="4">
        <v>123.901</v>
      </c>
      <c r="O1637" s="4">
        <v>123.901</v>
      </c>
      <c r="P1637" s="4">
        <v>0</v>
      </c>
      <c r="Q1637" s="3" t="s">
        <v>26</v>
      </c>
      <c r="R1637" s="3">
        <v>0</v>
      </c>
      <c r="S1637" s="4">
        <v>0</v>
      </c>
      <c r="T1637" s="4">
        <v>83</v>
      </c>
      <c r="U1637" s="4">
        <v>61</v>
      </c>
      <c r="V1637" s="4">
        <v>0</v>
      </c>
      <c r="W1637" s="4">
        <v>250.31</v>
      </c>
      <c r="X1637" s="4">
        <v>222.31</v>
      </c>
      <c r="Y1637" s="4"/>
      <c r="Z1637" s="4">
        <v>312.64410340563603</v>
      </c>
      <c r="AA1637" s="4">
        <v>235.31351552243123</v>
      </c>
      <c r="AB1637" s="4">
        <v>0</v>
      </c>
      <c r="AC1637" s="4">
        <v>31013.659309999999</v>
      </c>
      <c r="AD1637" s="4">
        <v>27544.43131</v>
      </c>
      <c r="AE1637" s="4">
        <v>0</v>
      </c>
      <c r="AF1637" s="4">
        <v>38736.917056061706</v>
      </c>
      <c r="AG1637" s="4">
        <v>29155.579886744752</v>
      </c>
    </row>
    <row r="1638" spans="1:33" ht="11.25" customHeight="1" x14ac:dyDescent="0.25">
      <c r="A1638" s="3" t="s">
        <v>28</v>
      </c>
      <c r="B1638" s="3" t="s">
        <v>37</v>
      </c>
      <c r="C1638" s="3" t="s">
        <v>33</v>
      </c>
      <c r="D1638" s="3" t="s">
        <v>43</v>
      </c>
      <c r="E1638" s="3" t="s">
        <v>25</v>
      </c>
      <c r="F1638" s="3" t="s">
        <v>25</v>
      </c>
      <c r="G1638" s="3" t="s">
        <v>25</v>
      </c>
      <c r="H1638" s="3" t="s">
        <v>35</v>
      </c>
      <c r="I1638" s="6">
        <v>44562</v>
      </c>
      <c r="J1638" s="4">
        <v>0</v>
      </c>
      <c r="K1638" s="4">
        <v>0</v>
      </c>
      <c r="L1638" s="4">
        <v>1.1459999999999999</v>
      </c>
      <c r="M1638" s="4">
        <v>1.1459999999999999</v>
      </c>
      <c r="N1638" s="4">
        <v>1.1459999999999999</v>
      </c>
      <c r="O1638" s="4">
        <v>1.1459999999999999</v>
      </c>
      <c r="P1638" s="4">
        <v>0</v>
      </c>
      <c r="Q1638" s="3" t="s">
        <v>26</v>
      </c>
      <c r="R1638" s="3">
        <v>0</v>
      </c>
      <c r="S1638" s="4">
        <v>0</v>
      </c>
      <c r="T1638" s="4">
        <v>83</v>
      </c>
      <c r="U1638" s="4">
        <v>61</v>
      </c>
      <c r="V1638" s="4">
        <v>0</v>
      </c>
      <c r="W1638" s="4">
        <v>250.31</v>
      </c>
      <c r="X1638" s="4">
        <v>222.31</v>
      </c>
      <c r="Y1638" s="4"/>
      <c r="Z1638" s="4">
        <v>312.64410340563603</v>
      </c>
      <c r="AA1638" s="4">
        <v>235.31351552243123</v>
      </c>
      <c r="AB1638" s="4">
        <v>0</v>
      </c>
      <c r="AC1638" s="4">
        <v>286.85525999999999</v>
      </c>
      <c r="AD1638" s="4">
        <v>254.76725999999999</v>
      </c>
      <c r="AE1638" s="4">
        <v>0</v>
      </c>
      <c r="AF1638" s="4">
        <v>358.29014250285888</v>
      </c>
      <c r="AG1638" s="4">
        <v>269.66928878870618</v>
      </c>
    </row>
    <row r="1639" spans="1:33" ht="11.25" customHeight="1" x14ac:dyDescent="0.25">
      <c r="A1639" s="3" t="s">
        <v>21</v>
      </c>
      <c r="B1639" s="3" t="s">
        <v>37</v>
      </c>
      <c r="C1639" s="3" t="s">
        <v>33</v>
      </c>
      <c r="D1639" s="3" t="s">
        <v>43</v>
      </c>
      <c r="E1639" s="3" t="s">
        <v>25</v>
      </c>
      <c r="F1639" s="3" t="s">
        <v>25</v>
      </c>
      <c r="G1639" s="3" t="s">
        <v>25</v>
      </c>
      <c r="H1639" s="3" t="s">
        <v>35</v>
      </c>
      <c r="I1639" s="6">
        <v>44593</v>
      </c>
      <c r="J1639" s="4">
        <v>0</v>
      </c>
      <c r="K1639" s="4">
        <v>0</v>
      </c>
      <c r="L1639" s="4">
        <v>116.524</v>
      </c>
      <c r="M1639" s="4">
        <v>116.524</v>
      </c>
      <c r="N1639" s="4">
        <v>116.524</v>
      </c>
      <c r="O1639" s="4">
        <v>116.524</v>
      </c>
      <c r="P1639" s="4">
        <v>0</v>
      </c>
      <c r="Q1639" s="3" t="s">
        <v>26</v>
      </c>
      <c r="R1639" s="3">
        <v>0</v>
      </c>
      <c r="S1639" s="4">
        <v>0</v>
      </c>
      <c r="T1639" s="4">
        <v>83</v>
      </c>
      <c r="U1639" s="4">
        <v>61</v>
      </c>
      <c r="V1639" s="4">
        <v>0</v>
      </c>
      <c r="W1639" s="4">
        <v>250.31</v>
      </c>
      <c r="X1639" s="4">
        <v>222.31</v>
      </c>
      <c r="Y1639" s="4"/>
      <c r="Z1639" s="4">
        <v>312.64410340563603</v>
      </c>
      <c r="AA1639" s="4">
        <v>235.31351552243123</v>
      </c>
      <c r="AB1639" s="4">
        <v>0</v>
      </c>
      <c r="AC1639" s="4">
        <v>29167.122439999999</v>
      </c>
      <c r="AD1639" s="4">
        <v>25904.450440000001</v>
      </c>
      <c r="AE1639" s="4">
        <v>0</v>
      </c>
      <c r="AF1639" s="4">
        <v>36430.541505238332</v>
      </c>
      <c r="AG1639" s="4">
        <v>27419.672082735779</v>
      </c>
    </row>
    <row r="1640" spans="1:33" ht="11.25" customHeight="1" x14ac:dyDescent="0.25">
      <c r="A1640" s="3" t="s">
        <v>56</v>
      </c>
      <c r="B1640" s="3" t="s">
        <v>37</v>
      </c>
      <c r="C1640" s="3" t="s">
        <v>33</v>
      </c>
      <c r="D1640" s="3" t="s">
        <v>43</v>
      </c>
      <c r="E1640" s="3" t="s">
        <v>25</v>
      </c>
      <c r="F1640" s="3" t="s">
        <v>25</v>
      </c>
      <c r="G1640" s="3" t="s">
        <v>25</v>
      </c>
      <c r="H1640" s="3" t="s">
        <v>35</v>
      </c>
      <c r="I1640" s="6">
        <v>44621</v>
      </c>
      <c r="J1640" s="4">
        <v>0</v>
      </c>
      <c r="K1640" s="4">
        <v>0</v>
      </c>
      <c r="L1640" s="4">
        <v>116.524</v>
      </c>
      <c r="M1640" s="4">
        <v>116.524</v>
      </c>
      <c r="N1640" s="4">
        <v>116.524</v>
      </c>
      <c r="O1640" s="4">
        <v>116.524</v>
      </c>
      <c r="P1640" s="4">
        <v>0</v>
      </c>
      <c r="Q1640" s="3" t="s">
        <v>26</v>
      </c>
      <c r="R1640" s="3">
        <v>0</v>
      </c>
      <c r="S1640" s="4">
        <v>0</v>
      </c>
      <c r="T1640" s="4">
        <v>83</v>
      </c>
      <c r="U1640" s="4">
        <v>61</v>
      </c>
      <c r="V1640" s="4">
        <v>0</v>
      </c>
      <c r="W1640" s="4">
        <v>250.31</v>
      </c>
      <c r="X1640" s="4">
        <v>222.31</v>
      </c>
      <c r="Y1640" s="4"/>
      <c r="Z1640" s="4">
        <v>312.64410340563603</v>
      </c>
      <c r="AA1640" s="4">
        <v>235.31351552243123</v>
      </c>
      <c r="AB1640" s="4">
        <v>0</v>
      </c>
      <c r="AC1640" s="4">
        <v>29167.122439999999</v>
      </c>
      <c r="AD1640" s="4">
        <v>25904.450440000001</v>
      </c>
      <c r="AE1640" s="4">
        <v>0</v>
      </c>
      <c r="AF1640" s="4">
        <v>36430.541505238332</v>
      </c>
      <c r="AG1640" s="4">
        <v>27419.672082735779</v>
      </c>
    </row>
    <row r="1641" spans="1:33" ht="11.25" customHeight="1" x14ac:dyDescent="0.25">
      <c r="A1641" s="3" t="s">
        <v>21</v>
      </c>
      <c r="B1641" s="3" t="s">
        <v>37</v>
      </c>
      <c r="C1641" s="3" t="s">
        <v>33</v>
      </c>
      <c r="D1641" s="3" t="s">
        <v>43</v>
      </c>
      <c r="E1641" s="3" t="s">
        <v>25</v>
      </c>
      <c r="F1641" s="3" t="s">
        <v>25</v>
      </c>
      <c r="G1641" s="3" t="s">
        <v>25</v>
      </c>
      <c r="H1641" s="3" t="s">
        <v>36</v>
      </c>
      <c r="I1641" s="6">
        <v>44287</v>
      </c>
      <c r="J1641" s="4">
        <v>0</v>
      </c>
      <c r="K1641" s="4">
        <v>0</v>
      </c>
      <c r="L1641" s="4">
        <v>5.09</v>
      </c>
      <c r="M1641" s="4">
        <v>5.09</v>
      </c>
      <c r="N1641" s="4">
        <v>5.09</v>
      </c>
      <c r="O1641" s="4">
        <v>5.09</v>
      </c>
      <c r="P1641" s="4">
        <v>0</v>
      </c>
      <c r="Q1641" s="3" t="s">
        <v>26</v>
      </c>
      <c r="R1641" s="3">
        <v>0</v>
      </c>
      <c r="S1641" s="4">
        <v>0</v>
      </c>
      <c r="T1641" s="4">
        <v>82</v>
      </c>
      <c r="U1641" s="4">
        <v>60</v>
      </c>
      <c r="V1641" s="4">
        <v>0</v>
      </c>
      <c r="W1641" s="4">
        <v>606.46</v>
      </c>
      <c r="X1641" s="4">
        <v>222.31</v>
      </c>
      <c r="Y1641" s="4"/>
      <c r="Z1641" s="4">
        <v>750.37887530791738</v>
      </c>
      <c r="AA1641" s="4">
        <v>235.31351552243123</v>
      </c>
      <c r="AB1641" s="4">
        <v>0</v>
      </c>
      <c r="AC1641" s="4">
        <v>3086.8814000000002</v>
      </c>
      <c r="AD1641" s="4">
        <v>1131.5579</v>
      </c>
      <c r="AE1641" s="4">
        <v>0</v>
      </c>
      <c r="AF1641" s="4">
        <v>3819.4284753172992</v>
      </c>
      <c r="AG1641" s="4">
        <v>1197.7457940091749</v>
      </c>
    </row>
    <row r="1642" spans="1:33" ht="11.25" customHeight="1" x14ac:dyDescent="0.25">
      <c r="A1642" s="3" t="s">
        <v>21</v>
      </c>
      <c r="B1642" s="3" t="s">
        <v>37</v>
      </c>
      <c r="C1642" s="3" t="s">
        <v>33</v>
      </c>
      <c r="D1642" s="3" t="s">
        <v>43</v>
      </c>
      <c r="E1642" s="3" t="s">
        <v>25</v>
      </c>
      <c r="F1642" s="3" t="s">
        <v>25</v>
      </c>
      <c r="G1642" s="3" t="s">
        <v>25</v>
      </c>
      <c r="H1642" s="3" t="s">
        <v>36</v>
      </c>
      <c r="I1642" s="6">
        <v>44317</v>
      </c>
      <c r="J1642" s="4">
        <v>0</v>
      </c>
      <c r="K1642" s="4">
        <v>0</v>
      </c>
      <c r="L1642" s="4">
        <v>4.9470000000000001</v>
      </c>
      <c r="M1642" s="4">
        <v>4.9470000000000001</v>
      </c>
      <c r="N1642" s="4">
        <v>4.9470000000000001</v>
      </c>
      <c r="O1642" s="4">
        <v>4.9470000000000001</v>
      </c>
      <c r="P1642" s="4">
        <v>0</v>
      </c>
      <c r="Q1642" s="3" t="s">
        <v>26</v>
      </c>
      <c r="R1642" s="3">
        <v>0</v>
      </c>
      <c r="S1642" s="4">
        <v>0</v>
      </c>
      <c r="T1642" s="4">
        <v>82</v>
      </c>
      <c r="U1642" s="4">
        <v>60</v>
      </c>
      <c r="V1642" s="4">
        <v>0</v>
      </c>
      <c r="W1642" s="4">
        <v>606.46</v>
      </c>
      <c r="X1642" s="4">
        <v>222.31</v>
      </c>
      <c r="Y1642" s="4"/>
      <c r="Z1642" s="4">
        <v>750.37887530791738</v>
      </c>
      <c r="AA1642" s="4">
        <v>235.31351552243123</v>
      </c>
      <c r="AB1642" s="4">
        <v>0</v>
      </c>
      <c r="AC1642" s="4">
        <v>3000.1576200000004</v>
      </c>
      <c r="AD1642" s="4">
        <v>1099.76757</v>
      </c>
      <c r="AE1642" s="4">
        <v>0</v>
      </c>
      <c r="AF1642" s="4">
        <v>3712.1242961482671</v>
      </c>
      <c r="AG1642" s="4">
        <v>1164.0959612894674</v>
      </c>
    </row>
    <row r="1643" spans="1:33" ht="11.25" customHeight="1" x14ac:dyDescent="0.25">
      <c r="A1643" s="3" t="s">
        <v>21</v>
      </c>
      <c r="B1643" s="3" t="s">
        <v>37</v>
      </c>
      <c r="C1643" s="3" t="s">
        <v>33</v>
      </c>
      <c r="D1643" s="3" t="s">
        <v>43</v>
      </c>
      <c r="E1643" s="3" t="s">
        <v>25</v>
      </c>
      <c r="F1643" s="3" t="s">
        <v>25</v>
      </c>
      <c r="G1643" s="3" t="s">
        <v>25</v>
      </c>
      <c r="H1643" s="3" t="s">
        <v>36</v>
      </c>
      <c r="I1643" s="6">
        <v>44348</v>
      </c>
      <c r="J1643" s="4">
        <v>0</v>
      </c>
      <c r="K1643" s="4">
        <v>0</v>
      </c>
      <c r="L1643" s="4">
        <v>4.702</v>
      </c>
      <c r="M1643" s="4">
        <v>4.702</v>
      </c>
      <c r="N1643" s="4">
        <v>4.702</v>
      </c>
      <c r="O1643" s="4">
        <v>4.702</v>
      </c>
      <c r="P1643" s="4">
        <v>0</v>
      </c>
      <c r="Q1643" s="3" t="s">
        <v>26</v>
      </c>
      <c r="R1643" s="3">
        <v>0</v>
      </c>
      <c r="S1643" s="4">
        <v>0</v>
      </c>
      <c r="T1643" s="4">
        <v>82</v>
      </c>
      <c r="U1643" s="4">
        <v>60</v>
      </c>
      <c r="V1643" s="4">
        <v>0</v>
      </c>
      <c r="W1643" s="4">
        <v>606.46</v>
      </c>
      <c r="X1643" s="4">
        <v>222.31</v>
      </c>
      <c r="Y1643" s="4"/>
      <c r="Z1643" s="4">
        <v>750.37887530791738</v>
      </c>
      <c r="AA1643" s="4">
        <v>235.31351552243123</v>
      </c>
      <c r="AB1643" s="4">
        <v>0</v>
      </c>
      <c r="AC1643" s="4">
        <v>2851.57492</v>
      </c>
      <c r="AD1643" s="4">
        <v>1045.30162</v>
      </c>
      <c r="AE1643" s="4">
        <v>0</v>
      </c>
      <c r="AF1643" s="4">
        <v>3528.2814716978273</v>
      </c>
      <c r="AG1643" s="4">
        <v>1106.4441499864715</v>
      </c>
    </row>
    <row r="1644" spans="1:33" ht="11.25" customHeight="1" x14ac:dyDescent="0.25">
      <c r="A1644" s="3" t="s">
        <v>21</v>
      </c>
      <c r="B1644" s="3" t="s">
        <v>37</v>
      </c>
      <c r="C1644" s="3" t="s">
        <v>33</v>
      </c>
      <c r="D1644" s="3" t="s">
        <v>43</v>
      </c>
      <c r="E1644" s="3" t="s">
        <v>25</v>
      </c>
      <c r="F1644" s="3" t="s">
        <v>25</v>
      </c>
      <c r="G1644" s="3" t="s">
        <v>25</v>
      </c>
      <c r="H1644" s="3" t="s">
        <v>36</v>
      </c>
      <c r="I1644" s="6">
        <v>44378</v>
      </c>
      <c r="J1644" s="4">
        <v>0</v>
      </c>
      <c r="K1644" s="4">
        <v>0</v>
      </c>
      <c r="L1644" s="4">
        <v>5.1050000000000004</v>
      </c>
      <c r="M1644" s="4">
        <v>5.1050000000000004</v>
      </c>
      <c r="N1644" s="4">
        <v>5.1050000000000004</v>
      </c>
      <c r="O1644" s="4">
        <v>5.1050000000000004</v>
      </c>
      <c r="P1644" s="4">
        <v>0</v>
      </c>
      <c r="Q1644" s="3" t="s">
        <v>26</v>
      </c>
      <c r="R1644" s="3">
        <v>0</v>
      </c>
      <c r="S1644" s="4">
        <v>0</v>
      </c>
      <c r="T1644" s="4">
        <v>82</v>
      </c>
      <c r="U1644" s="4">
        <v>60</v>
      </c>
      <c r="V1644" s="4">
        <v>0</v>
      </c>
      <c r="W1644" s="4">
        <v>606.46</v>
      </c>
      <c r="X1644" s="4">
        <v>222.31</v>
      </c>
      <c r="Y1644" s="4"/>
      <c r="Z1644" s="4">
        <v>750.37887530791738</v>
      </c>
      <c r="AA1644" s="4">
        <v>235.31351552243123</v>
      </c>
      <c r="AB1644" s="4">
        <v>0</v>
      </c>
      <c r="AC1644" s="4">
        <v>3095.9783000000002</v>
      </c>
      <c r="AD1644" s="4">
        <v>1134.89255</v>
      </c>
      <c r="AE1644" s="4">
        <v>0</v>
      </c>
      <c r="AF1644" s="4">
        <v>3830.6841584469184</v>
      </c>
      <c r="AG1644" s="4">
        <v>1201.2754967420115</v>
      </c>
    </row>
    <row r="1645" spans="1:33" ht="11.25" customHeight="1" x14ac:dyDescent="0.25">
      <c r="A1645" s="3" t="s">
        <v>21</v>
      </c>
      <c r="B1645" s="3" t="s">
        <v>37</v>
      </c>
      <c r="C1645" s="3" t="s">
        <v>33</v>
      </c>
      <c r="D1645" s="3" t="s">
        <v>43</v>
      </c>
      <c r="E1645" s="3" t="s">
        <v>25</v>
      </c>
      <c r="F1645" s="3" t="s">
        <v>25</v>
      </c>
      <c r="G1645" s="3" t="s">
        <v>25</v>
      </c>
      <c r="H1645" s="3" t="s">
        <v>36</v>
      </c>
      <c r="I1645" s="6">
        <v>44409</v>
      </c>
      <c r="J1645" s="4">
        <v>0</v>
      </c>
      <c r="K1645" s="4">
        <v>0</v>
      </c>
      <c r="L1645" s="4">
        <v>5.3280000000000003</v>
      </c>
      <c r="M1645" s="4">
        <v>5.3280000000000003</v>
      </c>
      <c r="N1645" s="4">
        <v>5.3280000000000003</v>
      </c>
      <c r="O1645" s="4">
        <v>5.3280000000000003</v>
      </c>
      <c r="P1645" s="4">
        <v>0</v>
      </c>
      <c r="Q1645" s="3" t="s">
        <v>26</v>
      </c>
      <c r="R1645" s="3">
        <v>0</v>
      </c>
      <c r="S1645" s="4">
        <v>0</v>
      </c>
      <c r="T1645" s="4">
        <v>82</v>
      </c>
      <c r="U1645" s="4">
        <v>60</v>
      </c>
      <c r="V1645" s="4">
        <v>0</v>
      </c>
      <c r="W1645" s="4">
        <v>606.46</v>
      </c>
      <c r="X1645" s="4">
        <v>222.31</v>
      </c>
      <c r="Y1645" s="4"/>
      <c r="Z1645" s="4">
        <v>750.37887530791738</v>
      </c>
      <c r="AA1645" s="4">
        <v>235.31351552243123</v>
      </c>
      <c r="AB1645" s="4">
        <v>0</v>
      </c>
      <c r="AC1645" s="4">
        <v>3231.2188800000004</v>
      </c>
      <c r="AD1645" s="4">
        <v>1184.46768</v>
      </c>
      <c r="AE1645" s="4">
        <v>0</v>
      </c>
      <c r="AF1645" s="4">
        <v>3998.0186476405838</v>
      </c>
      <c r="AG1645" s="4">
        <v>1253.7504107035136</v>
      </c>
    </row>
    <row r="1646" spans="1:33" ht="11.25" customHeight="1" x14ac:dyDescent="0.25">
      <c r="A1646" s="3" t="s">
        <v>21</v>
      </c>
      <c r="B1646" s="3" t="s">
        <v>37</v>
      </c>
      <c r="C1646" s="3" t="s">
        <v>33</v>
      </c>
      <c r="D1646" s="3" t="s">
        <v>43</v>
      </c>
      <c r="E1646" s="3" t="s">
        <v>25</v>
      </c>
      <c r="F1646" s="3" t="s">
        <v>25</v>
      </c>
      <c r="G1646" s="3" t="s">
        <v>25</v>
      </c>
      <c r="H1646" s="3" t="s">
        <v>36</v>
      </c>
      <c r="I1646" s="6">
        <v>44440</v>
      </c>
      <c r="J1646" s="4">
        <v>0</v>
      </c>
      <c r="K1646" s="4">
        <v>0</v>
      </c>
      <c r="L1646" s="4">
        <v>5.383</v>
      </c>
      <c r="M1646" s="4">
        <v>5.383</v>
      </c>
      <c r="N1646" s="4">
        <v>5.383</v>
      </c>
      <c r="O1646" s="4">
        <v>5.383</v>
      </c>
      <c r="P1646" s="4">
        <v>0</v>
      </c>
      <c r="Q1646" s="3" t="s">
        <v>26</v>
      </c>
      <c r="R1646" s="3">
        <v>0</v>
      </c>
      <c r="S1646" s="4">
        <v>0</v>
      </c>
      <c r="T1646" s="4">
        <v>82</v>
      </c>
      <c r="U1646" s="4">
        <v>60</v>
      </c>
      <c r="V1646" s="4">
        <v>0</v>
      </c>
      <c r="W1646" s="4">
        <v>606.46</v>
      </c>
      <c r="X1646" s="4">
        <v>222.31</v>
      </c>
      <c r="Y1646" s="4"/>
      <c r="Z1646" s="4">
        <v>750.37887530791738</v>
      </c>
      <c r="AA1646" s="4">
        <v>235.31351552243123</v>
      </c>
      <c r="AB1646" s="4">
        <v>0</v>
      </c>
      <c r="AC1646" s="4">
        <v>3264.5741800000001</v>
      </c>
      <c r="AD1646" s="4">
        <v>1196.6947299999999</v>
      </c>
      <c r="AE1646" s="4">
        <v>0</v>
      </c>
      <c r="AF1646" s="4">
        <v>4039.2894857825195</v>
      </c>
      <c r="AG1646" s="4">
        <v>1266.6926540572474</v>
      </c>
    </row>
    <row r="1647" spans="1:33" ht="11.25" customHeight="1" x14ac:dyDescent="0.25">
      <c r="A1647" s="3" t="s">
        <v>21</v>
      </c>
      <c r="B1647" s="3" t="s">
        <v>37</v>
      </c>
      <c r="C1647" s="3" t="s">
        <v>33</v>
      </c>
      <c r="D1647" s="3" t="s">
        <v>43</v>
      </c>
      <c r="E1647" s="3" t="s">
        <v>25</v>
      </c>
      <c r="F1647" s="3" t="s">
        <v>25</v>
      </c>
      <c r="G1647" s="3" t="s">
        <v>25</v>
      </c>
      <c r="H1647" s="3" t="s">
        <v>36</v>
      </c>
      <c r="I1647" s="6">
        <v>44470</v>
      </c>
      <c r="J1647" s="4">
        <v>0</v>
      </c>
      <c r="K1647" s="4">
        <v>0</v>
      </c>
      <c r="L1647" s="4">
        <v>6.2469999999999999</v>
      </c>
      <c r="M1647" s="4">
        <v>6.2469999999999999</v>
      </c>
      <c r="N1647" s="4">
        <v>6.2469999999999999</v>
      </c>
      <c r="O1647" s="4">
        <v>6.2469999999999999</v>
      </c>
      <c r="P1647" s="4">
        <v>0</v>
      </c>
      <c r="Q1647" s="3" t="s">
        <v>26</v>
      </c>
      <c r="R1647" s="3">
        <v>0</v>
      </c>
      <c r="S1647" s="4">
        <v>0</v>
      </c>
      <c r="T1647" s="4">
        <v>82</v>
      </c>
      <c r="U1647" s="4">
        <v>60</v>
      </c>
      <c r="V1647" s="4">
        <v>0</v>
      </c>
      <c r="W1647" s="4">
        <v>606.46</v>
      </c>
      <c r="X1647" s="4">
        <v>222.31</v>
      </c>
      <c r="Y1647" s="4"/>
      <c r="Z1647" s="4">
        <v>750.37887530791738</v>
      </c>
      <c r="AA1647" s="4">
        <v>235.31351552243123</v>
      </c>
      <c r="AB1647" s="4">
        <v>0</v>
      </c>
      <c r="AC1647" s="4">
        <v>3788.5556200000001</v>
      </c>
      <c r="AD1647" s="4">
        <v>1388.7705699999999</v>
      </c>
      <c r="AE1647" s="4">
        <v>0</v>
      </c>
      <c r="AF1647" s="4">
        <v>4687.6168340485601</v>
      </c>
      <c r="AG1647" s="4">
        <v>1470.0035314686279</v>
      </c>
    </row>
    <row r="1648" spans="1:33" ht="11.25" customHeight="1" x14ac:dyDescent="0.25">
      <c r="A1648" s="3" t="s">
        <v>28</v>
      </c>
      <c r="B1648" s="3" t="s">
        <v>37</v>
      </c>
      <c r="C1648" s="3" t="s">
        <v>33</v>
      </c>
      <c r="D1648" s="3" t="s">
        <v>43</v>
      </c>
      <c r="E1648" s="3" t="s">
        <v>25</v>
      </c>
      <c r="F1648" s="3" t="s">
        <v>25</v>
      </c>
      <c r="G1648" s="3" t="s">
        <v>25</v>
      </c>
      <c r="H1648" s="3" t="s">
        <v>36</v>
      </c>
      <c r="I1648" s="6">
        <v>44470</v>
      </c>
      <c r="J1648" s="4">
        <v>0</v>
      </c>
      <c r="K1648" s="4">
        <v>0</v>
      </c>
      <c r="L1648" s="4">
        <v>2.8000000000000001E-2</v>
      </c>
      <c r="M1648" s="4">
        <v>2.8000000000000001E-2</v>
      </c>
      <c r="N1648" s="4">
        <v>2.8000000000000001E-2</v>
      </c>
      <c r="O1648" s="4">
        <v>2.8000000000000001E-2</v>
      </c>
      <c r="P1648" s="4">
        <v>0</v>
      </c>
      <c r="Q1648" s="3" t="s">
        <v>26</v>
      </c>
      <c r="R1648" s="3">
        <v>0</v>
      </c>
      <c r="S1648" s="4">
        <v>0</v>
      </c>
      <c r="T1648" s="4">
        <v>82</v>
      </c>
      <c r="U1648" s="4">
        <v>60</v>
      </c>
      <c r="V1648" s="4">
        <v>0</v>
      </c>
      <c r="W1648" s="4">
        <v>606.46</v>
      </c>
      <c r="X1648" s="4">
        <v>222.31</v>
      </c>
      <c r="Y1648" s="4"/>
      <c r="Z1648" s="4">
        <v>750.37887530791738</v>
      </c>
      <c r="AA1648" s="4">
        <v>235.31351552243123</v>
      </c>
      <c r="AB1648" s="4">
        <v>0</v>
      </c>
      <c r="AC1648" s="4">
        <v>16.980880000000003</v>
      </c>
      <c r="AD1648" s="4">
        <v>6.2246800000000002</v>
      </c>
      <c r="AE1648" s="4">
        <v>0</v>
      </c>
      <c r="AF1648" s="4">
        <v>21.010608508621686</v>
      </c>
      <c r="AG1648" s="4">
        <v>6.5887784346280744</v>
      </c>
    </row>
    <row r="1649" spans="1:33" ht="11.25" customHeight="1" x14ac:dyDescent="0.25">
      <c r="A1649" s="3" t="s">
        <v>21</v>
      </c>
      <c r="B1649" s="3" t="s">
        <v>37</v>
      </c>
      <c r="C1649" s="3" t="s">
        <v>33</v>
      </c>
      <c r="D1649" s="3" t="s">
        <v>43</v>
      </c>
      <c r="E1649" s="3" t="s">
        <v>25</v>
      </c>
      <c r="F1649" s="3" t="s">
        <v>25</v>
      </c>
      <c r="G1649" s="3" t="s">
        <v>25</v>
      </c>
      <c r="H1649" s="3" t="s">
        <v>36</v>
      </c>
      <c r="I1649" s="6">
        <v>44501</v>
      </c>
      <c r="J1649" s="4">
        <v>0</v>
      </c>
      <c r="K1649" s="4">
        <v>0</v>
      </c>
      <c r="L1649" s="4">
        <v>5.9210000000000003</v>
      </c>
      <c r="M1649" s="4">
        <v>5.9210000000000003</v>
      </c>
      <c r="N1649" s="4">
        <v>5.9210000000000003</v>
      </c>
      <c r="O1649" s="4">
        <v>5.9210000000000003</v>
      </c>
      <c r="P1649" s="4">
        <v>0</v>
      </c>
      <c r="Q1649" s="3" t="s">
        <v>26</v>
      </c>
      <c r="R1649" s="3">
        <v>0</v>
      </c>
      <c r="S1649" s="4">
        <v>0</v>
      </c>
      <c r="T1649" s="4">
        <v>82</v>
      </c>
      <c r="U1649" s="4">
        <v>60</v>
      </c>
      <c r="V1649" s="4">
        <v>0</v>
      </c>
      <c r="W1649" s="4">
        <v>606.46</v>
      </c>
      <c r="X1649" s="4">
        <v>222.31</v>
      </c>
      <c r="Y1649" s="4"/>
      <c r="Z1649" s="4">
        <v>750.37887530791738</v>
      </c>
      <c r="AA1649" s="4">
        <v>235.31351552243123</v>
      </c>
      <c r="AB1649" s="4">
        <v>0</v>
      </c>
      <c r="AC1649" s="4">
        <v>3590.8496600000003</v>
      </c>
      <c r="AD1649" s="4">
        <v>1316.2975100000001</v>
      </c>
      <c r="AE1649" s="4">
        <v>0</v>
      </c>
      <c r="AF1649" s="4">
        <v>4442.9933206981786</v>
      </c>
      <c r="AG1649" s="4">
        <v>1393.2913254083153</v>
      </c>
    </row>
    <row r="1650" spans="1:33" ht="11.25" customHeight="1" x14ac:dyDescent="0.25">
      <c r="A1650" s="3" t="s">
        <v>21</v>
      </c>
      <c r="B1650" s="3" t="s">
        <v>37</v>
      </c>
      <c r="C1650" s="3" t="s">
        <v>33</v>
      </c>
      <c r="D1650" s="3" t="s">
        <v>43</v>
      </c>
      <c r="E1650" s="3" t="s">
        <v>25</v>
      </c>
      <c r="F1650" s="3" t="s">
        <v>25</v>
      </c>
      <c r="G1650" s="3" t="s">
        <v>25</v>
      </c>
      <c r="H1650" s="3" t="s">
        <v>36</v>
      </c>
      <c r="I1650" s="6">
        <v>44531</v>
      </c>
      <c r="J1650" s="4">
        <v>0</v>
      </c>
      <c r="K1650" s="4">
        <v>0</v>
      </c>
      <c r="L1650" s="4">
        <v>6.5469999999999997</v>
      </c>
      <c r="M1650" s="4">
        <v>6.5469999999999997</v>
      </c>
      <c r="N1650" s="4">
        <v>6.5469999999999997</v>
      </c>
      <c r="O1650" s="4">
        <v>6.5469999999999997</v>
      </c>
      <c r="P1650" s="4">
        <v>0</v>
      </c>
      <c r="Q1650" s="3" t="s">
        <v>26</v>
      </c>
      <c r="R1650" s="3">
        <v>0</v>
      </c>
      <c r="S1650" s="4">
        <v>0</v>
      </c>
      <c r="T1650" s="4">
        <v>82</v>
      </c>
      <c r="U1650" s="4">
        <v>60</v>
      </c>
      <c r="V1650" s="4">
        <v>0</v>
      </c>
      <c r="W1650" s="4">
        <v>606.46</v>
      </c>
      <c r="X1650" s="4">
        <v>222.31</v>
      </c>
      <c r="Y1650" s="4"/>
      <c r="Z1650" s="4">
        <v>750.37887530791738</v>
      </c>
      <c r="AA1650" s="4">
        <v>235.31351552243123</v>
      </c>
      <c r="AB1650" s="4">
        <v>0</v>
      </c>
      <c r="AC1650" s="4">
        <v>3970.4936200000002</v>
      </c>
      <c r="AD1650" s="4">
        <v>1455.4635699999999</v>
      </c>
      <c r="AE1650" s="4">
        <v>0</v>
      </c>
      <c r="AF1650" s="4">
        <v>4912.7304966409347</v>
      </c>
      <c r="AG1650" s="4">
        <v>1540.5975861253571</v>
      </c>
    </row>
    <row r="1651" spans="1:33" ht="11.25" customHeight="1" x14ac:dyDescent="0.25">
      <c r="A1651" s="3" t="s">
        <v>21</v>
      </c>
      <c r="B1651" s="3" t="s">
        <v>37</v>
      </c>
      <c r="C1651" s="3" t="s">
        <v>33</v>
      </c>
      <c r="D1651" s="3" t="s">
        <v>43</v>
      </c>
      <c r="E1651" s="3" t="s">
        <v>25</v>
      </c>
      <c r="F1651" s="3" t="s">
        <v>25</v>
      </c>
      <c r="G1651" s="3" t="s">
        <v>25</v>
      </c>
      <c r="H1651" s="3" t="s">
        <v>36</v>
      </c>
      <c r="I1651" s="6">
        <v>44562</v>
      </c>
      <c r="J1651" s="4">
        <v>0</v>
      </c>
      <c r="K1651" s="4">
        <v>0</v>
      </c>
      <c r="L1651" s="4">
        <v>6.1669999999999998</v>
      </c>
      <c r="M1651" s="4">
        <v>6.1669999999999998</v>
      </c>
      <c r="N1651" s="4">
        <v>6.1669999999999998</v>
      </c>
      <c r="O1651" s="4">
        <v>6.1669999999999998</v>
      </c>
      <c r="P1651" s="4">
        <v>0</v>
      </c>
      <c r="Q1651" s="3" t="s">
        <v>26</v>
      </c>
      <c r="R1651" s="3">
        <v>0</v>
      </c>
      <c r="S1651" s="4">
        <v>0</v>
      </c>
      <c r="T1651" s="4">
        <v>82</v>
      </c>
      <c r="U1651" s="4">
        <v>60</v>
      </c>
      <c r="V1651" s="4">
        <v>0</v>
      </c>
      <c r="W1651" s="4">
        <v>606.46</v>
      </c>
      <c r="X1651" s="4">
        <v>222.31</v>
      </c>
      <c r="Y1651" s="4"/>
      <c r="Z1651" s="4">
        <v>750.37887530791738</v>
      </c>
      <c r="AA1651" s="4">
        <v>235.31351552243123</v>
      </c>
      <c r="AB1651" s="4">
        <v>0</v>
      </c>
      <c r="AC1651" s="4">
        <v>3740.0388200000002</v>
      </c>
      <c r="AD1651" s="4">
        <v>1370.98577</v>
      </c>
      <c r="AE1651" s="4">
        <v>0</v>
      </c>
      <c r="AF1651" s="4">
        <v>4627.5865240239264</v>
      </c>
      <c r="AG1651" s="4">
        <v>1451.1784502268333</v>
      </c>
    </row>
    <row r="1652" spans="1:33" ht="11.25" customHeight="1" x14ac:dyDescent="0.25">
      <c r="A1652" s="3" t="s">
        <v>28</v>
      </c>
      <c r="B1652" s="3" t="s">
        <v>37</v>
      </c>
      <c r="C1652" s="3" t="s">
        <v>33</v>
      </c>
      <c r="D1652" s="3" t="s">
        <v>43</v>
      </c>
      <c r="E1652" s="3" t="s">
        <v>25</v>
      </c>
      <c r="F1652" s="3" t="s">
        <v>25</v>
      </c>
      <c r="G1652" s="3" t="s">
        <v>25</v>
      </c>
      <c r="H1652" s="3" t="s">
        <v>36</v>
      </c>
      <c r="I1652" s="6">
        <v>44562</v>
      </c>
      <c r="J1652" s="4">
        <v>0</v>
      </c>
      <c r="K1652" s="4">
        <v>0</v>
      </c>
      <c r="L1652" s="4">
        <v>7.1999999999999995E-2</v>
      </c>
      <c r="M1652" s="4">
        <v>7.1999999999999995E-2</v>
      </c>
      <c r="N1652" s="4">
        <v>7.1999999999999995E-2</v>
      </c>
      <c r="O1652" s="4">
        <v>7.1999999999999995E-2</v>
      </c>
      <c r="P1652" s="4">
        <v>0</v>
      </c>
      <c r="Q1652" s="3" t="s">
        <v>26</v>
      </c>
      <c r="R1652" s="3">
        <v>0</v>
      </c>
      <c r="S1652" s="4">
        <v>0</v>
      </c>
      <c r="T1652" s="4">
        <v>82</v>
      </c>
      <c r="U1652" s="4">
        <v>60</v>
      </c>
      <c r="V1652" s="4">
        <v>0</v>
      </c>
      <c r="W1652" s="4">
        <v>606.46</v>
      </c>
      <c r="X1652" s="4">
        <v>222.31</v>
      </c>
      <c r="Y1652" s="4"/>
      <c r="Z1652" s="4">
        <v>750.37887530791738</v>
      </c>
      <c r="AA1652" s="4">
        <v>235.31351552243123</v>
      </c>
      <c r="AB1652" s="4">
        <v>0</v>
      </c>
      <c r="AC1652" s="4">
        <v>43.665120000000002</v>
      </c>
      <c r="AD1652" s="4">
        <v>16.006319999999999</v>
      </c>
      <c r="AE1652" s="4">
        <v>0</v>
      </c>
      <c r="AF1652" s="4">
        <v>54.027279022170049</v>
      </c>
      <c r="AG1652" s="4">
        <v>16.942573117615048</v>
      </c>
    </row>
    <row r="1653" spans="1:33" ht="11.25" customHeight="1" x14ac:dyDescent="0.25">
      <c r="A1653" s="3" t="s">
        <v>21</v>
      </c>
      <c r="B1653" s="3" t="s">
        <v>37</v>
      </c>
      <c r="C1653" s="3" t="s">
        <v>33</v>
      </c>
      <c r="D1653" s="3" t="s">
        <v>43</v>
      </c>
      <c r="E1653" s="3" t="s">
        <v>25</v>
      </c>
      <c r="F1653" s="3" t="s">
        <v>25</v>
      </c>
      <c r="G1653" s="3" t="s">
        <v>25</v>
      </c>
      <c r="H1653" s="3" t="s">
        <v>36</v>
      </c>
      <c r="I1653" s="6">
        <v>44593</v>
      </c>
      <c r="J1653" s="4">
        <v>0</v>
      </c>
      <c r="K1653" s="4">
        <v>0</v>
      </c>
      <c r="L1653" s="4">
        <v>6.37</v>
      </c>
      <c r="M1653" s="4">
        <v>6.37</v>
      </c>
      <c r="N1653" s="4">
        <v>6.37</v>
      </c>
      <c r="O1653" s="4">
        <v>6.37</v>
      </c>
      <c r="P1653" s="4">
        <v>0</v>
      </c>
      <c r="Q1653" s="3" t="s">
        <v>26</v>
      </c>
      <c r="R1653" s="3">
        <v>0</v>
      </c>
      <c r="S1653" s="4">
        <v>0</v>
      </c>
      <c r="T1653" s="4">
        <v>82</v>
      </c>
      <c r="U1653" s="4">
        <v>60</v>
      </c>
      <c r="V1653" s="4">
        <v>0</v>
      </c>
      <c r="W1653" s="4">
        <v>606.46</v>
      </c>
      <c r="X1653" s="4">
        <v>222.31</v>
      </c>
      <c r="Y1653" s="4"/>
      <c r="Z1653" s="4">
        <v>750.37887530791738</v>
      </c>
      <c r="AA1653" s="4">
        <v>235.31351552243123</v>
      </c>
      <c r="AB1653" s="4">
        <v>0</v>
      </c>
      <c r="AC1653" s="4">
        <v>3863.1502000000005</v>
      </c>
      <c r="AD1653" s="4">
        <v>1416.1147000000001</v>
      </c>
      <c r="AE1653" s="4">
        <v>0</v>
      </c>
      <c r="AF1653" s="4">
        <v>4779.9134357114335</v>
      </c>
      <c r="AG1653" s="4">
        <v>1498.947093877887</v>
      </c>
    </row>
    <row r="1654" spans="1:33" ht="11.25" customHeight="1" x14ac:dyDescent="0.25">
      <c r="A1654" s="3" t="s">
        <v>56</v>
      </c>
      <c r="B1654" s="3" t="s">
        <v>37</v>
      </c>
      <c r="C1654" s="3" t="s">
        <v>33</v>
      </c>
      <c r="D1654" s="3" t="s">
        <v>43</v>
      </c>
      <c r="E1654" s="3" t="s">
        <v>25</v>
      </c>
      <c r="F1654" s="3" t="s">
        <v>25</v>
      </c>
      <c r="G1654" s="3" t="s">
        <v>25</v>
      </c>
      <c r="H1654" s="3" t="s">
        <v>36</v>
      </c>
      <c r="I1654" s="6">
        <v>44621</v>
      </c>
      <c r="J1654" s="4">
        <v>0</v>
      </c>
      <c r="K1654" s="4">
        <v>0</v>
      </c>
      <c r="L1654" s="4">
        <v>6.37</v>
      </c>
      <c r="M1654" s="4">
        <v>6.37</v>
      </c>
      <c r="N1654" s="4">
        <v>6.37</v>
      </c>
      <c r="O1654" s="4">
        <v>6.37</v>
      </c>
      <c r="P1654" s="4">
        <v>0</v>
      </c>
      <c r="Q1654" s="3" t="s">
        <v>26</v>
      </c>
      <c r="R1654" s="3">
        <v>0</v>
      </c>
      <c r="S1654" s="4">
        <v>0</v>
      </c>
      <c r="T1654" s="4">
        <v>82</v>
      </c>
      <c r="U1654" s="4">
        <v>60</v>
      </c>
      <c r="V1654" s="4">
        <v>0</v>
      </c>
      <c r="W1654" s="4">
        <v>606.46</v>
      </c>
      <c r="X1654" s="4">
        <v>222.31</v>
      </c>
      <c r="Y1654" s="4"/>
      <c r="Z1654" s="4">
        <v>750.37887530791738</v>
      </c>
      <c r="AA1654" s="4">
        <v>235.31351552243123</v>
      </c>
      <c r="AB1654" s="4">
        <v>0</v>
      </c>
      <c r="AC1654" s="4">
        <v>3863.1502000000005</v>
      </c>
      <c r="AD1654" s="4">
        <v>1416.1147000000001</v>
      </c>
      <c r="AE1654" s="4">
        <v>0</v>
      </c>
      <c r="AF1654" s="4">
        <v>4779.9134357114335</v>
      </c>
      <c r="AG1654" s="4">
        <v>1498.947093877887</v>
      </c>
    </row>
    <row r="1655" spans="1:33" ht="11.25" customHeight="1" x14ac:dyDescent="0.25">
      <c r="A1655" s="3" t="s">
        <v>21</v>
      </c>
      <c r="B1655" s="3" t="s">
        <v>37</v>
      </c>
      <c r="C1655" s="3" t="s">
        <v>33</v>
      </c>
      <c r="D1655" s="3" t="s">
        <v>43</v>
      </c>
      <c r="E1655" s="3" t="s">
        <v>25</v>
      </c>
      <c r="F1655" s="3" t="s">
        <v>25</v>
      </c>
      <c r="G1655" s="3" t="s">
        <v>25</v>
      </c>
      <c r="H1655" s="3" t="s">
        <v>34</v>
      </c>
      <c r="I1655" s="6">
        <v>44287</v>
      </c>
      <c r="J1655" s="4">
        <v>0</v>
      </c>
      <c r="K1655" s="4">
        <v>0</v>
      </c>
      <c r="L1655" s="4">
        <v>7.1260000000000003</v>
      </c>
      <c r="M1655" s="4">
        <v>7.1260000000000003</v>
      </c>
      <c r="N1655" s="4">
        <v>7.1260000000000003</v>
      </c>
      <c r="O1655" s="4">
        <v>7.1260000000000003</v>
      </c>
      <c r="P1655" s="4">
        <v>0</v>
      </c>
      <c r="Q1655" s="3" t="s">
        <v>26</v>
      </c>
      <c r="R1655" s="3">
        <v>0</v>
      </c>
      <c r="S1655" s="4">
        <v>0</v>
      </c>
      <c r="T1655" s="4">
        <v>42</v>
      </c>
      <c r="U1655" s="4">
        <v>59</v>
      </c>
      <c r="V1655" s="4">
        <v>0</v>
      </c>
      <c r="W1655" s="4">
        <v>962.61</v>
      </c>
      <c r="X1655" s="4">
        <v>365.5</v>
      </c>
      <c r="Y1655" s="4"/>
      <c r="Z1655" s="4">
        <v>1188.1136472101987</v>
      </c>
      <c r="AA1655" s="4">
        <v>381.42546590200942</v>
      </c>
      <c r="AB1655" s="4">
        <v>0</v>
      </c>
      <c r="AC1655" s="4">
        <v>6859.5588600000001</v>
      </c>
      <c r="AD1655" s="4">
        <v>2604.5530000000003</v>
      </c>
      <c r="AE1655" s="4">
        <v>0</v>
      </c>
      <c r="AF1655" s="4">
        <v>8466.4978500198758</v>
      </c>
      <c r="AG1655" s="4">
        <v>2718.0378700177193</v>
      </c>
    </row>
    <row r="1656" spans="1:33" ht="11.25" customHeight="1" x14ac:dyDescent="0.25">
      <c r="A1656" s="3" t="s">
        <v>21</v>
      </c>
      <c r="B1656" s="3" t="s">
        <v>37</v>
      </c>
      <c r="C1656" s="3" t="s">
        <v>33</v>
      </c>
      <c r="D1656" s="3" t="s">
        <v>43</v>
      </c>
      <c r="E1656" s="3" t="s">
        <v>25</v>
      </c>
      <c r="F1656" s="3" t="s">
        <v>25</v>
      </c>
      <c r="G1656" s="3" t="s">
        <v>25</v>
      </c>
      <c r="H1656" s="3" t="s">
        <v>34</v>
      </c>
      <c r="I1656" s="6">
        <v>44317</v>
      </c>
      <c r="J1656" s="4">
        <v>0</v>
      </c>
      <c r="K1656" s="4">
        <v>0</v>
      </c>
      <c r="L1656" s="4">
        <v>6.9219999999999997</v>
      </c>
      <c r="M1656" s="4">
        <v>6.9219999999999997</v>
      </c>
      <c r="N1656" s="4">
        <v>6.9219999999999997</v>
      </c>
      <c r="O1656" s="4">
        <v>6.9219999999999997</v>
      </c>
      <c r="P1656" s="4">
        <v>0</v>
      </c>
      <c r="Q1656" s="3" t="s">
        <v>26</v>
      </c>
      <c r="R1656" s="3">
        <v>0</v>
      </c>
      <c r="S1656" s="4">
        <v>0</v>
      </c>
      <c r="T1656" s="4">
        <v>42</v>
      </c>
      <c r="U1656" s="4">
        <v>59</v>
      </c>
      <c r="V1656" s="4">
        <v>0</v>
      </c>
      <c r="W1656" s="4">
        <v>962.61</v>
      </c>
      <c r="X1656" s="4">
        <v>365.5</v>
      </c>
      <c r="Y1656" s="4"/>
      <c r="Z1656" s="4">
        <v>1188.1136472101987</v>
      </c>
      <c r="AA1656" s="4">
        <v>381.42546590200942</v>
      </c>
      <c r="AB1656" s="4">
        <v>0</v>
      </c>
      <c r="AC1656" s="4">
        <v>6663.18642</v>
      </c>
      <c r="AD1656" s="4">
        <v>2529.991</v>
      </c>
      <c r="AE1656" s="4">
        <v>0</v>
      </c>
      <c r="AF1656" s="4">
        <v>8224.1226659889944</v>
      </c>
      <c r="AG1656" s="4">
        <v>2640.227074973709</v>
      </c>
    </row>
    <row r="1657" spans="1:33" ht="11.25" customHeight="1" x14ac:dyDescent="0.25">
      <c r="A1657" s="3" t="s">
        <v>21</v>
      </c>
      <c r="B1657" s="3" t="s">
        <v>37</v>
      </c>
      <c r="C1657" s="3" t="s">
        <v>33</v>
      </c>
      <c r="D1657" s="3" t="s">
        <v>43</v>
      </c>
      <c r="E1657" s="3" t="s">
        <v>25</v>
      </c>
      <c r="F1657" s="3" t="s">
        <v>25</v>
      </c>
      <c r="G1657" s="3" t="s">
        <v>25</v>
      </c>
      <c r="H1657" s="3" t="s">
        <v>34</v>
      </c>
      <c r="I1657" s="6">
        <v>44348</v>
      </c>
      <c r="J1657" s="4">
        <v>0</v>
      </c>
      <c r="K1657" s="4">
        <v>0</v>
      </c>
      <c r="L1657" s="4">
        <v>7.1859999999999999</v>
      </c>
      <c r="M1657" s="4">
        <v>7.1859999999999999</v>
      </c>
      <c r="N1657" s="4">
        <v>7.1859999999999999</v>
      </c>
      <c r="O1657" s="4">
        <v>7.1859999999999999</v>
      </c>
      <c r="P1657" s="4">
        <v>0</v>
      </c>
      <c r="Q1657" s="3" t="s">
        <v>26</v>
      </c>
      <c r="R1657" s="3">
        <v>0</v>
      </c>
      <c r="S1657" s="4">
        <v>0</v>
      </c>
      <c r="T1657" s="4">
        <v>42</v>
      </c>
      <c r="U1657" s="4">
        <v>59</v>
      </c>
      <c r="V1657" s="4">
        <v>0</v>
      </c>
      <c r="W1657" s="4">
        <v>962.61</v>
      </c>
      <c r="X1657" s="4">
        <v>365.5</v>
      </c>
      <c r="Y1657" s="4"/>
      <c r="Z1657" s="4">
        <v>1188.1136472101987</v>
      </c>
      <c r="AA1657" s="4">
        <v>381.42546590200942</v>
      </c>
      <c r="AB1657" s="4">
        <v>0</v>
      </c>
      <c r="AC1657" s="4">
        <v>6917.3154599999998</v>
      </c>
      <c r="AD1657" s="4">
        <v>2626.4830000000002</v>
      </c>
      <c r="AE1657" s="4">
        <v>0</v>
      </c>
      <c r="AF1657" s="4">
        <v>8537.7846688524878</v>
      </c>
      <c r="AG1657" s="4">
        <v>2740.9233979718397</v>
      </c>
    </row>
    <row r="1658" spans="1:33" ht="11.25" customHeight="1" x14ac:dyDescent="0.25">
      <c r="A1658" s="3" t="s">
        <v>21</v>
      </c>
      <c r="B1658" s="3" t="s">
        <v>37</v>
      </c>
      <c r="C1658" s="3" t="s">
        <v>33</v>
      </c>
      <c r="D1658" s="3" t="s">
        <v>43</v>
      </c>
      <c r="E1658" s="3" t="s">
        <v>25</v>
      </c>
      <c r="F1658" s="3" t="s">
        <v>25</v>
      </c>
      <c r="G1658" s="3" t="s">
        <v>25</v>
      </c>
      <c r="H1658" s="3" t="s">
        <v>34</v>
      </c>
      <c r="I1658" s="6">
        <v>44378</v>
      </c>
      <c r="J1658" s="4">
        <v>0</v>
      </c>
      <c r="K1658" s="4">
        <v>0</v>
      </c>
      <c r="L1658" s="4">
        <v>7.8330000000000002</v>
      </c>
      <c r="M1658" s="4">
        <v>7.8330000000000002</v>
      </c>
      <c r="N1658" s="4">
        <v>7.8330000000000002</v>
      </c>
      <c r="O1658" s="4">
        <v>7.8330000000000002</v>
      </c>
      <c r="P1658" s="4">
        <v>0</v>
      </c>
      <c r="Q1658" s="3" t="s">
        <v>26</v>
      </c>
      <c r="R1658" s="3">
        <v>0</v>
      </c>
      <c r="S1658" s="4">
        <v>0</v>
      </c>
      <c r="T1658" s="4">
        <v>42</v>
      </c>
      <c r="U1658" s="4">
        <v>59</v>
      </c>
      <c r="V1658" s="4">
        <v>0</v>
      </c>
      <c r="W1658" s="4">
        <v>962.61</v>
      </c>
      <c r="X1658" s="4">
        <v>365.5</v>
      </c>
      <c r="Y1658" s="4"/>
      <c r="Z1658" s="4">
        <v>1188.1136472101987</v>
      </c>
      <c r="AA1658" s="4">
        <v>381.42546590200942</v>
      </c>
      <c r="AB1658" s="4">
        <v>0</v>
      </c>
      <c r="AC1658" s="4">
        <v>7540.1241300000002</v>
      </c>
      <c r="AD1658" s="4">
        <v>2862.9614999999999</v>
      </c>
      <c r="AE1658" s="4">
        <v>0</v>
      </c>
      <c r="AF1658" s="4">
        <v>9306.4941985974856</v>
      </c>
      <c r="AG1658" s="4">
        <v>2987.7056744104398</v>
      </c>
    </row>
    <row r="1659" spans="1:33" ht="11.25" customHeight="1" x14ac:dyDescent="0.25">
      <c r="A1659" s="3" t="s">
        <v>21</v>
      </c>
      <c r="B1659" s="3" t="s">
        <v>37</v>
      </c>
      <c r="C1659" s="3" t="s">
        <v>33</v>
      </c>
      <c r="D1659" s="3" t="s">
        <v>43</v>
      </c>
      <c r="E1659" s="3" t="s">
        <v>25</v>
      </c>
      <c r="F1659" s="3" t="s">
        <v>25</v>
      </c>
      <c r="G1659" s="3" t="s">
        <v>25</v>
      </c>
      <c r="H1659" s="3" t="s">
        <v>34</v>
      </c>
      <c r="I1659" s="6">
        <v>44409</v>
      </c>
      <c r="J1659" s="4">
        <v>0</v>
      </c>
      <c r="K1659" s="4">
        <v>0</v>
      </c>
      <c r="L1659" s="4">
        <v>8.5350000000000001</v>
      </c>
      <c r="M1659" s="4">
        <v>8.5350000000000001</v>
      </c>
      <c r="N1659" s="4">
        <v>8.5350000000000001</v>
      </c>
      <c r="O1659" s="4">
        <v>8.5350000000000001</v>
      </c>
      <c r="P1659" s="4">
        <v>0</v>
      </c>
      <c r="Q1659" s="3" t="s">
        <v>26</v>
      </c>
      <c r="R1659" s="3">
        <v>0</v>
      </c>
      <c r="S1659" s="4">
        <v>0</v>
      </c>
      <c r="T1659" s="4">
        <v>42</v>
      </c>
      <c r="U1659" s="4">
        <v>59</v>
      </c>
      <c r="V1659" s="4">
        <v>0</v>
      </c>
      <c r="W1659" s="4">
        <v>962.61</v>
      </c>
      <c r="X1659" s="4">
        <v>365.5</v>
      </c>
      <c r="Y1659" s="4"/>
      <c r="Z1659" s="4">
        <v>1188.1136472101987</v>
      </c>
      <c r="AA1659" s="4">
        <v>381.42546590200942</v>
      </c>
      <c r="AB1659" s="4">
        <v>0</v>
      </c>
      <c r="AC1659" s="4">
        <v>8215.8763500000005</v>
      </c>
      <c r="AD1659" s="4">
        <v>3119.5425</v>
      </c>
      <c r="AE1659" s="4">
        <v>0</v>
      </c>
      <c r="AF1659" s="4">
        <v>10140.549978939045</v>
      </c>
      <c r="AG1659" s="4">
        <v>3255.4663514736503</v>
      </c>
    </row>
    <row r="1660" spans="1:33" ht="11.25" customHeight="1" x14ac:dyDescent="0.25">
      <c r="A1660" s="3" t="s">
        <v>21</v>
      </c>
      <c r="B1660" s="3" t="s">
        <v>37</v>
      </c>
      <c r="C1660" s="3" t="s">
        <v>33</v>
      </c>
      <c r="D1660" s="3" t="s">
        <v>43</v>
      </c>
      <c r="E1660" s="3" t="s">
        <v>25</v>
      </c>
      <c r="F1660" s="3" t="s">
        <v>25</v>
      </c>
      <c r="G1660" s="3" t="s">
        <v>25</v>
      </c>
      <c r="H1660" s="3" t="s">
        <v>34</v>
      </c>
      <c r="I1660" s="6">
        <v>44440</v>
      </c>
      <c r="J1660" s="4">
        <v>0</v>
      </c>
      <c r="K1660" s="4">
        <v>0</v>
      </c>
      <c r="L1660" s="4">
        <v>8.9109999999999996</v>
      </c>
      <c r="M1660" s="4">
        <v>8.9109999999999996</v>
      </c>
      <c r="N1660" s="4">
        <v>8.9109999999999996</v>
      </c>
      <c r="O1660" s="4">
        <v>8.9109999999999996</v>
      </c>
      <c r="P1660" s="4">
        <v>0</v>
      </c>
      <c r="Q1660" s="3" t="s">
        <v>26</v>
      </c>
      <c r="R1660" s="3">
        <v>0</v>
      </c>
      <c r="S1660" s="4">
        <v>0</v>
      </c>
      <c r="T1660" s="4">
        <v>42</v>
      </c>
      <c r="U1660" s="4">
        <v>59</v>
      </c>
      <c r="V1660" s="4">
        <v>0</v>
      </c>
      <c r="W1660" s="4">
        <v>962.61</v>
      </c>
      <c r="X1660" s="4">
        <v>365.5</v>
      </c>
      <c r="Y1660" s="4"/>
      <c r="Z1660" s="4">
        <v>1188.1136472101987</v>
      </c>
      <c r="AA1660" s="4">
        <v>381.42546590200942</v>
      </c>
      <c r="AB1660" s="4">
        <v>0</v>
      </c>
      <c r="AC1660" s="4">
        <v>8577.8177099999994</v>
      </c>
      <c r="AD1660" s="4">
        <v>3256.9704999999999</v>
      </c>
      <c r="AE1660" s="4">
        <v>0</v>
      </c>
      <c r="AF1660" s="4">
        <v>10587.280710290081</v>
      </c>
      <c r="AG1660" s="4">
        <v>3398.8823266528057</v>
      </c>
    </row>
    <row r="1661" spans="1:33" ht="11.25" customHeight="1" x14ac:dyDescent="0.25">
      <c r="A1661" s="3" t="s">
        <v>21</v>
      </c>
      <c r="B1661" s="3" t="s">
        <v>37</v>
      </c>
      <c r="C1661" s="3" t="s">
        <v>33</v>
      </c>
      <c r="D1661" s="3" t="s">
        <v>43</v>
      </c>
      <c r="E1661" s="3" t="s">
        <v>25</v>
      </c>
      <c r="F1661" s="3" t="s">
        <v>25</v>
      </c>
      <c r="G1661" s="3" t="s">
        <v>25</v>
      </c>
      <c r="H1661" s="3" t="s">
        <v>34</v>
      </c>
      <c r="I1661" s="6">
        <v>44470</v>
      </c>
      <c r="J1661" s="4">
        <v>0</v>
      </c>
      <c r="K1661" s="4">
        <v>0</v>
      </c>
      <c r="L1661" s="4">
        <v>9.76</v>
      </c>
      <c r="M1661" s="4">
        <v>9.76</v>
      </c>
      <c r="N1661" s="4">
        <v>9.76</v>
      </c>
      <c r="O1661" s="4">
        <v>9.76</v>
      </c>
      <c r="P1661" s="4">
        <v>0</v>
      </c>
      <c r="Q1661" s="3" t="s">
        <v>26</v>
      </c>
      <c r="R1661" s="3">
        <v>0</v>
      </c>
      <c r="S1661" s="4">
        <v>0</v>
      </c>
      <c r="T1661" s="4">
        <v>42</v>
      </c>
      <c r="U1661" s="4">
        <v>59</v>
      </c>
      <c r="V1661" s="4">
        <v>0</v>
      </c>
      <c r="W1661" s="4">
        <v>962.61</v>
      </c>
      <c r="X1661" s="4">
        <v>365.5</v>
      </c>
      <c r="Y1661" s="4"/>
      <c r="Z1661" s="4">
        <v>1188.1136472101987</v>
      </c>
      <c r="AA1661" s="4">
        <v>381.42546590200942</v>
      </c>
      <c r="AB1661" s="4">
        <v>0</v>
      </c>
      <c r="AC1661" s="4">
        <v>9395.0735999999997</v>
      </c>
      <c r="AD1661" s="4">
        <v>3567.2799999999997</v>
      </c>
      <c r="AE1661" s="4">
        <v>0</v>
      </c>
      <c r="AF1661" s="4">
        <v>11595.989196771539</v>
      </c>
      <c r="AG1661" s="4">
        <v>3722.7125472036118</v>
      </c>
    </row>
    <row r="1662" spans="1:33" ht="11.25" customHeight="1" x14ac:dyDescent="0.25">
      <c r="A1662" s="3" t="s">
        <v>28</v>
      </c>
      <c r="B1662" s="3" t="s">
        <v>37</v>
      </c>
      <c r="C1662" s="3" t="s">
        <v>33</v>
      </c>
      <c r="D1662" s="3" t="s">
        <v>43</v>
      </c>
      <c r="E1662" s="3" t="s">
        <v>25</v>
      </c>
      <c r="F1662" s="3" t="s">
        <v>25</v>
      </c>
      <c r="G1662" s="3" t="s">
        <v>25</v>
      </c>
      <c r="H1662" s="3" t="s">
        <v>34</v>
      </c>
      <c r="I1662" s="6">
        <v>44470</v>
      </c>
      <c r="J1662" s="4">
        <v>0</v>
      </c>
      <c r="K1662" s="4">
        <v>0</v>
      </c>
      <c r="L1662" s="4">
        <v>2.5999999999999999E-2</v>
      </c>
      <c r="M1662" s="4">
        <v>2.5999999999999999E-2</v>
      </c>
      <c r="N1662" s="4">
        <v>2.5999999999999999E-2</v>
      </c>
      <c r="O1662" s="4">
        <v>2.5999999999999999E-2</v>
      </c>
      <c r="P1662" s="4">
        <v>0</v>
      </c>
      <c r="Q1662" s="3" t="s">
        <v>26</v>
      </c>
      <c r="R1662" s="3">
        <v>0</v>
      </c>
      <c r="S1662" s="4">
        <v>0</v>
      </c>
      <c r="T1662" s="4">
        <v>42</v>
      </c>
      <c r="U1662" s="4">
        <v>59</v>
      </c>
      <c r="V1662" s="4">
        <v>0</v>
      </c>
      <c r="W1662" s="4">
        <v>962.61</v>
      </c>
      <c r="X1662" s="4">
        <v>365.5</v>
      </c>
      <c r="Y1662" s="4"/>
      <c r="Z1662" s="4">
        <v>1188.1136472101987</v>
      </c>
      <c r="AA1662" s="4">
        <v>381.42546590200942</v>
      </c>
      <c r="AB1662" s="4">
        <v>0</v>
      </c>
      <c r="AC1662" s="4">
        <v>25.02786</v>
      </c>
      <c r="AD1662" s="4">
        <v>9.5030000000000001</v>
      </c>
      <c r="AE1662" s="4">
        <v>0</v>
      </c>
      <c r="AF1662" s="4">
        <v>30.890954827465166</v>
      </c>
      <c r="AG1662" s="4">
        <v>9.9170621134522445</v>
      </c>
    </row>
    <row r="1663" spans="1:33" ht="11.25" customHeight="1" x14ac:dyDescent="0.25">
      <c r="A1663" s="3" t="s">
        <v>21</v>
      </c>
      <c r="B1663" s="3" t="s">
        <v>37</v>
      </c>
      <c r="C1663" s="3" t="s">
        <v>33</v>
      </c>
      <c r="D1663" s="3" t="s">
        <v>43</v>
      </c>
      <c r="E1663" s="3" t="s">
        <v>25</v>
      </c>
      <c r="F1663" s="3" t="s">
        <v>25</v>
      </c>
      <c r="G1663" s="3" t="s">
        <v>25</v>
      </c>
      <c r="H1663" s="3" t="s">
        <v>34</v>
      </c>
      <c r="I1663" s="6">
        <v>44501</v>
      </c>
      <c r="J1663" s="4">
        <v>0</v>
      </c>
      <c r="K1663" s="4">
        <v>0</v>
      </c>
      <c r="L1663" s="4">
        <v>8.2430000000000003</v>
      </c>
      <c r="M1663" s="4">
        <v>8.2430000000000003</v>
      </c>
      <c r="N1663" s="4">
        <v>8.2430000000000003</v>
      </c>
      <c r="O1663" s="4">
        <v>8.2430000000000003</v>
      </c>
      <c r="P1663" s="4">
        <v>0</v>
      </c>
      <c r="Q1663" s="3" t="s">
        <v>26</v>
      </c>
      <c r="R1663" s="3">
        <v>0</v>
      </c>
      <c r="S1663" s="4">
        <v>0</v>
      </c>
      <c r="T1663" s="4">
        <v>42</v>
      </c>
      <c r="U1663" s="4">
        <v>59</v>
      </c>
      <c r="V1663" s="4">
        <v>0</v>
      </c>
      <c r="W1663" s="4">
        <v>962.61</v>
      </c>
      <c r="X1663" s="4">
        <v>365.5</v>
      </c>
      <c r="Y1663" s="4"/>
      <c r="Z1663" s="4">
        <v>1188.1136472101987</v>
      </c>
      <c r="AA1663" s="4">
        <v>381.42546590200942</v>
      </c>
      <c r="AB1663" s="4">
        <v>0</v>
      </c>
      <c r="AC1663" s="4">
        <v>7934.7942300000004</v>
      </c>
      <c r="AD1663" s="4">
        <v>3012.8164999999999</v>
      </c>
      <c r="AE1663" s="4">
        <v>0</v>
      </c>
      <c r="AF1663" s="4">
        <v>9793.6207939536689</v>
      </c>
      <c r="AG1663" s="4">
        <v>3144.0901154302637</v>
      </c>
    </row>
    <row r="1664" spans="1:33" ht="11.25" customHeight="1" x14ac:dyDescent="0.25">
      <c r="A1664" s="3" t="s">
        <v>21</v>
      </c>
      <c r="B1664" s="3" t="s">
        <v>37</v>
      </c>
      <c r="C1664" s="3" t="s">
        <v>33</v>
      </c>
      <c r="D1664" s="3" t="s">
        <v>43</v>
      </c>
      <c r="E1664" s="3" t="s">
        <v>25</v>
      </c>
      <c r="F1664" s="3" t="s">
        <v>25</v>
      </c>
      <c r="G1664" s="3" t="s">
        <v>25</v>
      </c>
      <c r="H1664" s="3" t="s">
        <v>34</v>
      </c>
      <c r="I1664" s="6">
        <v>44531</v>
      </c>
      <c r="J1664" s="4">
        <v>0</v>
      </c>
      <c r="K1664" s="4">
        <v>0</v>
      </c>
      <c r="L1664" s="4">
        <v>9.0890000000000004</v>
      </c>
      <c r="M1664" s="4">
        <v>9.0890000000000004</v>
      </c>
      <c r="N1664" s="4">
        <v>9.0890000000000004</v>
      </c>
      <c r="O1664" s="4">
        <v>9.0890000000000004</v>
      </c>
      <c r="P1664" s="4">
        <v>0</v>
      </c>
      <c r="Q1664" s="3" t="s">
        <v>26</v>
      </c>
      <c r="R1664" s="3">
        <v>0</v>
      </c>
      <c r="S1664" s="4">
        <v>0</v>
      </c>
      <c r="T1664" s="4">
        <v>42</v>
      </c>
      <c r="U1664" s="4">
        <v>59</v>
      </c>
      <c r="V1664" s="4">
        <v>0</v>
      </c>
      <c r="W1664" s="4">
        <v>962.61</v>
      </c>
      <c r="X1664" s="4">
        <v>365.5</v>
      </c>
      <c r="Y1664" s="4"/>
      <c r="Z1664" s="4">
        <v>1188.1136472101987</v>
      </c>
      <c r="AA1664" s="4">
        <v>381.42546590200942</v>
      </c>
      <c r="AB1664" s="4">
        <v>0</v>
      </c>
      <c r="AC1664" s="4">
        <v>8749.1622900000002</v>
      </c>
      <c r="AD1664" s="4">
        <v>3322.0295000000001</v>
      </c>
      <c r="AE1664" s="4">
        <v>0</v>
      </c>
      <c r="AF1664" s="4">
        <v>10798.764939493496</v>
      </c>
      <c r="AG1664" s="4">
        <v>3466.7760595833638</v>
      </c>
    </row>
    <row r="1665" spans="1:33" ht="11.25" customHeight="1" x14ac:dyDescent="0.25">
      <c r="A1665" s="3" t="s">
        <v>21</v>
      </c>
      <c r="B1665" s="3" t="s">
        <v>37</v>
      </c>
      <c r="C1665" s="3" t="s">
        <v>33</v>
      </c>
      <c r="D1665" s="3" t="s">
        <v>43</v>
      </c>
      <c r="E1665" s="3" t="s">
        <v>25</v>
      </c>
      <c r="F1665" s="3" t="s">
        <v>25</v>
      </c>
      <c r="G1665" s="3" t="s">
        <v>25</v>
      </c>
      <c r="H1665" s="3" t="s">
        <v>34</v>
      </c>
      <c r="I1665" s="6">
        <v>44562</v>
      </c>
      <c r="J1665" s="4">
        <v>0</v>
      </c>
      <c r="K1665" s="4">
        <v>0</v>
      </c>
      <c r="L1665" s="4">
        <v>9.5449999999999999</v>
      </c>
      <c r="M1665" s="4">
        <v>9.5449999999999999</v>
      </c>
      <c r="N1665" s="4">
        <v>9.5449999999999999</v>
      </c>
      <c r="O1665" s="4">
        <v>9.5449999999999999</v>
      </c>
      <c r="P1665" s="4">
        <v>0</v>
      </c>
      <c r="Q1665" s="3" t="s">
        <v>26</v>
      </c>
      <c r="R1665" s="3">
        <v>0</v>
      </c>
      <c r="S1665" s="4">
        <v>0</v>
      </c>
      <c r="T1665" s="4">
        <v>42</v>
      </c>
      <c r="U1665" s="4">
        <v>59</v>
      </c>
      <c r="V1665" s="4">
        <v>0</v>
      </c>
      <c r="W1665" s="4">
        <v>962.61</v>
      </c>
      <c r="X1665" s="4">
        <v>365.5</v>
      </c>
      <c r="Y1665" s="4"/>
      <c r="Z1665" s="4">
        <v>1188.1136472101987</v>
      </c>
      <c r="AA1665" s="4">
        <v>381.42546590200942</v>
      </c>
      <c r="AB1665" s="4">
        <v>0</v>
      </c>
      <c r="AC1665" s="4">
        <v>9188.1124500000005</v>
      </c>
      <c r="AD1665" s="4">
        <v>3488.6974999999998</v>
      </c>
      <c r="AE1665" s="4">
        <v>0</v>
      </c>
      <c r="AF1665" s="4">
        <v>11340.544762621346</v>
      </c>
      <c r="AG1665" s="4">
        <v>3640.7060720346799</v>
      </c>
    </row>
    <row r="1666" spans="1:33" ht="11.25" customHeight="1" x14ac:dyDescent="0.25">
      <c r="A1666" s="3" t="s">
        <v>28</v>
      </c>
      <c r="B1666" s="3" t="s">
        <v>37</v>
      </c>
      <c r="C1666" s="3" t="s">
        <v>33</v>
      </c>
      <c r="D1666" s="3" t="s">
        <v>43</v>
      </c>
      <c r="E1666" s="3" t="s">
        <v>25</v>
      </c>
      <c r="F1666" s="3" t="s">
        <v>25</v>
      </c>
      <c r="G1666" s="3" t="s">
        <v>25</v>
      </c>
      <c r="H1666" s="3" t="s">
        <v>34</v>
      </c>
      <c r="I1666" s="6">
        <v>44562</v>
      </c>
      <c r="J1666" s="4">
        <v>0</v>
      </c>
      <c r="K1666" s="4">
        <v>0</v>
      </c>
      <c r="L1666" s="4">
        <v>7.1999999999999995E-2</v>
      </c>
      <c r="M1666" s="4">
        <v>7.1999999999999995E-2</v>
      </c>
      <c r="N1666" s="4">
        <v>7.1999999999999995E-2</v>
      </c>
      <c r="O1666" s="4">
        <v>7.1999999999999995E-2</v>
      </c>
      <c r="P1666" s="4">
        <v>0</v>
      </c>
      <c r="Q1666" s="3" t="s">
        <v>26</v>
      </c>
      <c r="R1666" s="3">
        <v>0</v>
      </c>
      <c r="S1666" s="4">
        <v>0</v>
      </c>
      <c r="T1666" s="4">
        <v>42</v>
      </c>
      <c r="U1666" s="4">
        <v>59</v>
      </c>
      <c r="V1666" s="4">
        <v>0</v>
      </c>
      <c r="W1666" s="4">
        <v>962.61</v>
      </c>
      <c r="X1666" s="4">
        <v>365.5</v>
      </c>
      <c r="Y1666" s="4"/>
      <c r="Z1666" s="4">
        <v>1188.1136472101987</v>
      </c>
      <c r="AA1666" s="4">
        <v>381.42546590200942</v>
      </c>
      <c r="AB1666" s="4">
        <v>0</v>
      </c>
      <c r="AC1666" s="4">
        <v>69.307919999999996</v>
      </c>
      <c r="AD1666" s="4">
        <v>26.315999999999999</v>
      </c>
      <c r="AE1666" s="4">
        <v>0</v>
      </c>
      <c r="AF1666" s="4">
        <v>85.544182599134302</v>
      </c>
      <c r="AG1666" s="4">
        <v>27.462633544944676</v>
      </c>
    </row>
    <row r="1667" spans="1:33" ht="11.25" customHeight="1" x14ac:dyDescent="0.25">
      <c r="A1667" s="3" t="s">
        <v>21</v>
      </c>
      <c r="B1667" s="3" t="s">
        <v>37</v>
      </c>
      <c r="C1667" s="3" t="s">
        <v>33</v>
      </c>
      <c r="D1667" s="3" t="s">
        <v>43</v>
      </c>
      <c r="E1667" s="3" t="s">
        <v>25</v>
      </c>
      <c r="F1667" s="3" t="s">
        <v>25</v>
      </c>
      <c r="G1667" s="3" t="s">
        <v>25</v>
      </c>
      <c r="H1667" s="3" t="s">
        <v>34</v>
      </c>
      <c r="I1667" s="6">
        <v>44593</v>
      </c>
      <c r="J1667" s="4">
        <v>0</v>
      </c>
      <c r="K1667" s="4">
        <v>0</v>
      </c>
      <c r="L1667" s="4">
        <v>8.7550000000000008</v>
      </c>
      <c r="M1667" s="4">
        <v>8.7550000000000008</v>
      </c>
      <c r="N1667" s="4">
        <v>8.7550000000000008</v>
      </c>
      <c r="O1667" s="4">
        <v>8.7550000000000008</v>
      </c>
      <c r="P1667" s="4">
        <v>0</v>
      </c>
      <c r="Q1667" s="3" t="s">
        <v>26</v>
      </c>
      <c r="R1667" s="3">
        <v>0</v>
      </c>
      <c r="S1667" s="4">
        <v>0</v>
      </c>
      <c r="T1667" s="4">
        <v>42</v>
      </c>
      <c r="U1667" s="4">
        <v>59</v>
      </c>
      <c r="V1667" s="4">
        <v>0</v>
      </c>
      <c r="W1667" s="4">
        <v>962.61</v>
      </c>
      <c r="X1667" s="4">
        <v>365.5</v>
      </c>
      <c r="Y1667" s="4"/>
      <c r="Z1667" s="4">
        <v>1188.1136472101987</v>
      </c>
      <c r="AA1667" s="4">
        <v>381.42546590200942</v>
      </c>
      <c r="AB1667" s="4">
        <v>0</v>
      </c>
      <c r="AC1667" s="4">
        <v>8427.6505500000003</v>
      </c>
      <c r="AD1667" s="4">
        <v>3199.9525000000003</v>
      </c>
      <c r="AE1667" s="4">
        <v>0</v>
      </c>
      <c r="AF1667" s="4">
        <v>10401.93498132529</v>
      </c>
      <c r="AG1667" s="4">
        <v>3339.3799539720926</v>
      </c>
    </row>
    <row r="1668" spans="1:33" ht="11.25" customHeight="1" x14ac:dyDescent="0.25">
      <c r="A1668" s="3" t="s">
        <v>56</v>
      </c>
      <c r="B1668" s="3" t="s">
        <v>37</v>
      </c>
      <c r="C1668" s="3" t="s">
        <v>33</v>
      </c>
      <c r="D1668" s="3" t="s">
        <v>43</v>
      </c>
      <c r="E1668" s="3" t="s">
        <v>25</v>
      </c>
      <c r="F1668" s="3" t="s">
        <v>25</v>
      </c>
      <c r="G1668" s="3" t="s">
        <v>25</v>
      </c>
      <c r="H1668" s="3" t="s">
        <v>34</v>
      </c>
      <c r="I1668" s="6">
        <v>44621</v>
      </c>
      <c r="J1668" s="4">
        <v>0</v>
      </c>
      <c r="K1668" s="4">
        <v>0</v>
      </c>
      <c r="L1668" s="4">
        <v>8.7550000000000008</v>
      </c>
      <c r="M1668" s="4">
        <v>8.7550000000000008</v>
      </c>
      <c r="N1668" s="4">
        <v>8.7550000000000008</v>
      </c>
      <c r="O1668" s="4">
        <v>8.7550000000000008</v>
      </c>
      <c r="P1668" s="4">
        <v>0</v>
      </c>
      <c r="Q1668" s="3" t="s">
        <v>26</v>
      </c>
      <c r="R1668" s="3">
        <v>0</v>
      </c>
      <c r="S1668" s="4">
        <v>0</v>
      </c>
      <c r="T1668" s="4">
        <v>42</v>
      </c>
      <c r="U1668" s="4">
        <v>59</v>
      </c>
      <c r="V1668" s="4">
        <v>0</v>
      </c>
      <c r="W1668" s="4">
        <v>962.61</v>
      </c>
      <c r="X1668" s="4">
        <v>365.5</v>
      </c>
      <c r="Y1668" s="4"/>
      <c r="Z1668" s="4">
        <v>1188.1136472101987</v>
      </c>
      <c r="AA1668" s="4">
        <v>381.42546590200942</v>
      </c>
      <c r="AB1668" s="4">
        <v>0</v>
      </c>
      <c r="AC1668" s="4">
        <v>8427.6505500000003</v>
      </c>
      <c r="AD1668" s="4">
        <v>3199.9525000000003</v>
      </c>
      <c r="AE1668" s="4">
        <v>0</v>
      </c>
      <c r="AF1668" s="4">
        <v>10401.93498132529</v>
      </c>
      <c r="AG1668" s="4">
        <v>3339.3799539720926</v>
      </c>
    </row>
    <row r="1669" spans="1:33" ht="11.25" customHeight="1" x14ac:dyDescent="0.25">
      <c r="A1669" s="3" t="s">
        <v>21</v>
      </c>
      <c r="B1669" s="3" t="s">
        <v>37</v>
      </c>
      <c r="C1669" s="3" t="s">
        <v>33</v>
      </c>
      <c r="D1669" s="3" t="s">
        <v>38</v>
      </c>
      <c r="E1669" s="3" t="s">
        <v>25</v>
      </c>
      <c r="F1669" s="3" t="s">
        <v>25</v>
      </c>
      <c r="G1669" s="3" t="s">
        <v>25</v>
      </c>
      <c r="H1669" s="3" t="s">
        <v>35</v>
      </c>
      <c r="I1669" s="6">
        <v>44287</v>
      </c>
      <c r="J1669" s="4">
        <v>0</v>
      </c>
      <c r="K1669" s="4">
        <v>0</v>
      </c>
      <c r="L1669" s="4">
        <v>9.4700000000000006</v>
      </c>
      <c r="M1669" s="4">
        <v>9.4700000000000006</v>
      </c>
      <c r="N1669" s="4">
        <v>9.4700000000000006</v>
      </c>
      <c r="O1669" s="4">
        <v>9.4700000000000006</v>
      </c>
      <c r="P1669" s="4">
        <v>0</v>
      </c>
      <c r="Q1669" s="3" t="s">
        <v>26</v>
      </c>
      <c r="R1669" s="3">
        <v>0</v>
      </c>
      <c r="S1669" s="4">
        <v>0</v>
      </c>
      <c r="T1669" s="4">
        <v>83</v>
      </c>
      <c r="U1669" s="4">
        <v>61</v>
      </c>
      <c r="V1669" s="4">
        <v>0</v>
      </c>
      <c r="W1669" s="4">
        <v>250.31</v>
      </c>
      <c r="X1669" s="4">
        <v>222.31</v>
      </c>
      <c r="Y1669" s="4"/>
      <c r="Z1669" s="4">
        <v>312.64410340563603</v>
      </c>
      <c r="AA1669" s="4">
        <v>235.31351552243123</v>
      </c>
      <c r="AB1669" s="4">
        <v>0</v>
      </c>
      <c r="AC1669" s="4">
        <v>2370.4357</v>
      </c>
      <c r="AD1669" s="4">
        <v>2105.2757000000001</v>
      </c>
      <c r="AE1669" s="4">
        <v>0</v>
      </c>
      <c r="AF1669" s="4">
        <v>2960.7396592513733</v>
      </c>
      <c r="AG1669" s="4">
        <v>2228.4189919974237</v>
      </c>
    </row>
    <row r="1670" spans="1:33" ht="11.25" customHeight="1" x14ac:dyDescent="0.25">
      <c r="A1670" s="3" t="s">
        <v>21</v>
      </c>
      <c r="B1670" s="3" t="s">
        <v>37</v>
      </c>
      <c r="C1670" s="3" t="s">
        <v>33</v>
      </c>
      <c r="D1670" s="3" t="s">
        <v>38</v>
      </c>
      <c r="E1670" s="3" t="s">
        <v>25</v>
      </c>
      <c r="F1670" s="3" t="s">
        <v>25</v>
      </c>
      <c r="G1670" s="3" t="s">
        <v>25</v>
      </c>
      <c r="H1670" s="3" t="s">
        <v>35</v>
      </c>
      <c r="I1670" s="6">
        <v>44317</v>
      </c>
      <c r="J1670" s="4">
        <v>0</v>
      </c>
      <c r="K1670" s="4">
        <v>0</v>
      </c>
      <c r="L1670" s="4">
        <v>9.3260000000000005</v>
      </c>
      <c r="M1670" s="4">
        <v>9.3260000000000005</v>
      </c>
      <c r="N1670" s="4">
        <v>9.3260000000000005</v>
      </c>
      <c r="O1670" s="4">
        <v>9.3260000000000005</v>
      </c>
      <c r="P1670" s="4">
        <v>0</v>
      </c>
      <c r="Q1670" s="3" t="s">
        <v>26</v>
      </c>
      <c r="R1670" s="3">
        <v>0</v>
      </c>
      <c r="S1670" s="4">
        <v>0</v>
      </c>
      <c r="T1670" s="4">
        <v>83</v>
      </c>
      <c r="U1670" s="4">
        <v>61</v>
      </c>
      <c r="V1670" s="4">
        <v>0</v>
      </c>
      <c r="W1670" s="4">
        <v>250.31</v>
      </c>
      <c r="X1670" s="4">
        <v>222.31</v>
      </c>
      <c r="Y1670" s="4"/>
      <c r="Z1670" s="4">
        <v>312.64410340563603</v>
      </c>
      <c r="AA1670" s="4">
        <v>235.31351552243123</v>
      </c>
      <c r="AB1670" s="4">
        <v>0</v>
      </c>
      <c r="AC1670" s="4">
        <v>2334.3910599999999</v>
      </c>
      <c r="AD1670" s="4">
        <v>2073.2630600000002</v>
      </c>
      <c r="AE1670" s="4">
        <v>0</v>
      </c>
      <c r="AF1670" s="4">
        <v>2915.7189083609619</v>
      </c>
      <c r="AG1670" s="4">
        <v>2194.5338457621938</v>
      </c>
    </row>
    <row r="1671" spans="1:33" ht="11.25" customHeight="1" x14ac:dyDescent="0.25">
      <c r="A1671" s="3" t="s">
        <v>21</v>
      </c>
      <c r="B1671" s="3" t="s">
        <v>37</v>
      </c>
      <c r="C1671" s="3" t="s">
        <v>33</v>
      </c>
      <c r="D1671" s="3" t="s">
        <v>38</v>
      </c>
      <c r="E1671" s="3" t="s">
        <v>25</v>
      </c>
      <c r="F1671" s="3" t="s">
        <v>25</v>
      </c>
      <c r="G1671" s="3" t="s">
        <v>25</v>
      </c>
      <c r="H1671" s="3" t="s">
        <v>35</v>
      </c>
      <c r="I1671" s="6">
        <v>44348</v>
      </c>
      <c r="J1671" s="4">
        <v>0</v>
      </c>
      <c r="K1671" s="4">
        <v>0</v>
      </c>
      <c r="L1671" s="4">
        <v>9.3239999999999998</v>
      </c>
      <c r="M1671" s="4">
        <v>9.3239999999999998</v>
      </c>
      <c r="N1671" s="4">
        <v>9.3239999999999998</v>
      </c>
      <c r="O1671" s="4">
        <v>9.3239999999999998</v>
      </c>
      <c r="P1671" s="4">
        <v>0</v>
      </c>
      <c r="Q1671" s="3" t="s">
        <v>26</v>
      </c>
      <c r="R1671" s="3">
        <v>0</v>
      </c>
      <c r="S1671" s="4">
        <v>0</v>
      </c>
      <c r="T1671" s="4">
        <v>83</v>
      </c>
      <c r="U1671" s="4">
        <v>61</v>
      </c>
      <c r="V1671" s="4">
        <v>0</v>
      </c>
      <c r="W1671" s="4">
        <v>250.31</v>
      </c>
      <c r="X1671" s="4">
        <v>222.31</v>
      </c>
      <c r="Y1671" s="4"/>
      <c r="Z1671" s="4">
        <v>312.64410340563603</v>
      </c>
      <c r="AA1671" s="4">
        <v>235.31351552243123</v>
      </c>
      <c r="AB1671" s="4">
        <v>0</v>
      </c>
      <c r="AC1671" s="4">
        <v>2333.8904400000001</v>
      </c>
      <c r="AD1671" s="4">
        <v>2072.81844</v>
      </c>
      <c r="AE1671" s="4">
        <v>0</v>
      </c>
      <c r="AF1671" s="4">
        <v>2915.0936201541504</v>
      </c>
      <c r="AG1671" s="4">
        <v>2194.0632187311489</v>
      </c>
    </row>
    <row r="1672" spans="1:33" ht="11.25" customHeight="1" x14ac:dyDescent="0.25">
      <c r="A1672" s="3" t="s">
        <v>21</v>
      </c>
      <c r="B1672" s="3" t="s">
        <v>37</v>
      </c>
      <c r="C1672" s="3" t="s">
        <v>33</v>
      </c>
      <c r="D1672" s="3" t="s">
        <v>38</v>
      </c>
      <c r="E1672" s="3" t="s">
        <v>25</v>
      </c>
      <c r="F1672" s="3" t="s">
        <v>25</v>
      </c>
      <c r="G1672" s="3" t="s">
        <v>25</v>
      </c>
      <c r="H1672" s="3" t="s">
        <v>35</v>
      </c>
      <c r="I1672" s="6">
        <v>44378</v>
      </c>
      <c r="J1672" s="4">
        <v>0</v>
      </c>
      <c r="K1672" s="4">
        <v>0</v>
      </c>
      <c r="L1672" s="4">
        <v>0.71099999999999997</v>
      </c>
      <c r="M1672" s="4">
        <v>0.71099999999999997</v>
      </c>
      <c r="N1672" s="4">
        <v>0.71099999999999997</v>
      </c>
      <c r="O1672" s="4">
        <v>0.71099999999999997</v>
      </c>
      <c r="P1672" s="4">
        <v>0</v>
      </c>
      <c r="Q1672" s="3" t="s">
        <v>26</v>
      </c>
      <c r="R1672" s="3">
        <v>0</v>
      </c>
      <c r="S1672" s="4">
        <v>0</v>
      </c>
      <c r="T1672" s="4">
        <v>83</v>
      </c>
      <c r="U1672" s="4">
        <v>61</v>
      </c>
      <c r="V1672" s="4">
        <v>0</v>
      </c>
      <c r="W1672" s="4">
        <v>250.31</v>
      </c>
      <c r="X1672" s="4">
        <v>222.31</v>
      </c>
      <c r="Y1672" s="4"/>
      <c r="Z1672" s="4">
        <v>312.64410340563603</v>
      </c>
      <c r="AA1672" s="4">
        <v>235.31351552243123</v>
      </c>
      <c r="AB1672" s="4">
        <v>0</v>
      </c>
      <c r="AC1672" s="4">
        <v>177.97040999999999</v>
      </c>
      <c r="AD1672" s="4">
        <v>158.06241</v>
      </c>
      <c r="AE1672" s="4">
        <v>0</v>
      </c>
      <c r="AF1672" s="4">
        <v>222.28995752140722</v>
      </c>
      <c r="AG1672" s="4">
        <v>167.30790953644859</v>
      </c>
    </row>
    <row r="1673" spans="1:33" ht="11.25" customHeight="1" x14ac:dyDescent="0.25">
      <c r="A1673" s="3" t="s">
        <v>21</v>
      </c>
      <c r="B1673" s="3" t="s">
        <v>37</v>
      </c>
      <c r="C1673" s="3" t="s">
        <v>33</v>
      </c>
      <c r="D1673" s="3" t="s">
        <v>38</v>
      </c>
      <c r="E1673" s="3" t="s">
        <v>25</v>
      </c>
      <c r="F1673" s="3" t="s">
        <v>25</v>
      </c>
      <c r="G1673" s="3" t="s">
        <v>25</v>
      </c>
      <c r="H1673" s="3" t="s">
        <v>35</v>
      </c>
      <c r="I1673" s="6">
        <v>44409</v>
      </c>
      <c r="J1673" s="4">
        <v>0</v>
      </c>
      <c r="K1673" s="4">
        <v>0</v>
      </c>
      <c r="L1673" s="4">
        <v>0.67200000000000004</v>
      </c>
      <c r="M1673" s="4">
        <v>0.67200000000000004</v>
      </c>
      <c r="N1673" s="4">
        <v>0.67200000000000004</v>
      </c>
      <c r="O1673" s="4">
        <v>0.67200000000000004</v>
      </c>
      <c r="P1673" s="4">
        <v>0</v>
      </c>
      <c r="Q1673" s="3" t="s">
        <v>26</v>
      </c>
      <c r="R1673" s="3">
        <v>0</v>
      </c>
      <c r="S1673" s="4">
        <v>0</v>
      </c>
      <c r="T1673" s="4">
        <v>83</v>
      </c>
      <c r="U1673" s="4">
        <v>61</v>
      </c>
      <c r="V1673" s="4">
        <v>0</v>
      </c>
      <c r="W1673" s="4">
        <v>250.31</v>
      </c>
      <c r="X1673" s="4">
        <v>222.31</v>
      </c>
      <c r="Y1673" s="4"/>
      <c r="Z1673" s="4">
        <v>312.64410340563603</v>
      </c>
      <c r="AA1673" s="4">
        <v>235.31351552243123</v>
      </c>
      <c r="AB1673" s="4">
        <v>0</v>
      </c>
      <c r="AC1673" s="4">
        <v>168.20832000000001</v>
      </c>
      <c r="AD1673" s="4">
        <v>149.39232000000001</v>
      </c>
      <c r="AE1673" s="4">
        <v>0</v>
      </c>
      <c r="AF1673" s="4">
        <v>210.09683748858743</v>
      </c>
      <c r="AG1673" s="4">
        <v>158.13068243107381</v>
      </c>
    </row>
    <row r="1674" spans="1:33" ht="11.25" customHeight="1" x14ac:dyDescent="0.25">
      <c r="A1674" s="3" t="s">
        <v>21</v>
      </c>
      <c r="B1674" s="3" t="s">
        <v>37</v>
      </c>
      <c r="C1674" s="3" t="s">
        <v>33</v>
      </c>
      <c r="D1674" s="3" t="s">
        <v>38</v>
      </c>
      <c r="E1674" s="3" t="s">
        <v>25</v>
      </c>
      <c r="F1674" s="3" t="s">
        <v>25</v>
      </c>
      <c r="G1674" s="3" t="s">
        <v>25</v>
      </c>
      <c r="H1674" s="3" t="s">
        <v>35</v>
      </c>
      <c r="I1674" s="6">
        <v>44440</v>
      </c>
      <c r="J1674" s="4">
        <v>0</v>
      </c>
      <c r="K1674" s="4">
        <v>0</v>
      </c>
      <c r="L1674" s="4">
        <v>7.6740000000000004</v>
      </c>
      <c r="M1674" s="4">
        <v>7.6740000000000004</v>
      </c>
      <c r="N1674" s="4">
        <v>7.6740000000000004</v>
      </c>
      <c r="O1674" s="4">
        <v>7.6740000000000004</v>
      </c>
      <c r="P1674" s="4">
        <v>0</v>
      </c>
      <c r="Q1674" s="3" t="s">
        <v>26</v>
      </c>
      <c r="R1674" s="3">
        <v>0</v>
      </c>
      <c r="S1674" s="4">
        <v>0</v>
      </c>
      <c r="T1674" s="4">
        <v>83</v>
      </c>
      <c r="U1674" s="4">
        <v>61</v>
      </c>
      <c r="V1674" s="4">
        <v>0</v>
      </c>
      <c r="W1674" s="4">
        <v>250.31</v>
      </c>
      <c r="X1674" s="4">
        <v>222.31</v>
      </c>
      <c r="Y1674" s="4"/>
      <c r="Z1674" s="4">
        <v>312.64410340563603</v>
      </c>
      <c r="AA1674" s="4">
        <v>235.31351552243123</v>
      </c>
      <c r="AB1674" s="4">
        <v>0</v>
      </c>
      <c r="AC1674" s="4">
        <v>1920.8789400000001</v>
      </c>
      <c r="AD1674" s="4">
        <v>1706.0069400000002</v>
      </c>
      <c r="AE1674" s="4">
        <v>0</v>
      </c>
      <c r="AF1674" s="4">
        <v>2399.2308495348511</v>
      </c>
      <c r="AG1674" s="4">
        <v>1805.7959181191375</v>
      </c>
    </row>
    <row r="1675" spans="1:33" ht="11.25" customHeight="1" x14ac:dyDescent="0.25">
      <c r="A1675" s="3" t="s">
        <v>21</v>
      </c>
      <c r="B1675" s="3" t="s">
        <v>37</v>
      </c>
      <c r="C1675" s="3" t="s">
        <v>33</v>
      </c>
      <c r="D1675" s="3" t="s">
        <v>38</v>
      </c>
      <c r="E1675" s="3" t="s">
        <v>25</v>
      </c>
      <c r="F1675" s="3" t="s">
        <v>25</v>
      </c>
      <c r="G1675" s="3" t="s">
        <v>25</v>
      </c>
      <c r="H1675" s="3" t="s">
        <v>35</v>
      </c>
      <c r="I1675" s="6">
        <v>44470</v>
      </c>
      <c r="J1675" s="4">
        <v>0</v>
      </c>
      <c r="K1675" s="4">
        <v>0</v>
      </c>
      <c r="L1675" s="4">
        <v>4.8280000000000003</v>
      </c>
      <c r="M1675" s="4">
        <v>4.8280000000000003</v>
      </c>
      <c r="N1675" s="4">
        <v>4.8280000000000003</v>
      </c>
      <c r="O1675" s="4">
        <v>4.8280000000000003</v>
      </c>
      <c r="P1675" s="4">
        <v>0</v>
      </c>
      <c r="Q1675" s="3" t="s">
        <v>26</v>
      </c>
      <c r="R1675" s="3">
        <v>0</v>
      </c>
      <c r="S1675" s="4">
        <v>0</v>
      </c>
      <c r="T1675" s="4">
        <v>83</v>
      </c>
      <c r="U1675" s="4">
        <v>61</v>
      </c>
      <c r="V1675" s="4">
        <v>0</v>
      </c>
      <c r="W1675" s="4">
        <v>250.31</v>
      </c>
      <c r="X1675" s="4">
        <v>222.31</v>
      </c>
      <c r="Y1675" s="4"/>
      <c r="Z1675" s="4">
        <v>312.64410340563603</v>
      </c>
      <c r="AA1675" s="4">
        <v>235.31351552243123</v>
      </c>
      <c r="AB1675" s="4">
        <v>0</v>
      </c>
      <c r="AC1675" s="4">
        <v>1208.4966800000002</v>
      </c>
      <c r="AD1675" s="4">
        <v>1073.31268</v>
      </c>
      <c r="AE1675" s="4">
        <v>0</v>
      </c>
      <c r="AF1675" s="4">
        <v>1509.4457312424108</v>
      </c>
      <c r="AG1675" s="4">
        <v>1136.0936529422981</v>
      </c>
    </row>
    <row r="1676" spans="1:33" ht="11.25" customHeight="1" x14ac:dyDescent="0.25">
      <c r="A1676" s="3" t="s">
        <v>21</v>
      </c>
      <c r="B1676" s="3" t="s">
        <v>37</v>
      </c>
      <c r="C1676" s="3" t="s">
        <v>33</v>
      </c>
      <c r="D1676" s="3" t="s">
        <v>38</v>
      </c>
      <c r="E1676" s="3" t="s">
        <v>25</v>
      </c>
      <c r="F1676" s="3" t="s">
        <v>25</v>
      </c>
      <c r="G1676" s="3" t="s">
        <v>25</v>
      </c>
      <c r="H1676" s="3" t="s">
        <v>35</v>
      </c>
      <c r="I1676" s="6">
        <v>44501</v>
      </c>
      <c r="J1676" s="4">
        <v>0</v>
      </c>
      <c r="K1676" s="4">
        <v>0</v>
      </c>
      <c r="L1676" s="4">
        <v>10.782999999999999</v>
      </c>
      <c r="M1676" s="4">
        <v>10.782999999999999</v>
      </c>
      <c r="N1676" s="4">
        <v>10.782999999999999</v>
      </c>
      <c r="O1676" s="4">
        <v>10.782999999999999</v>
      </c>
      <c r="P1676" s="4">
        <v>0</v>
      </c>
      <c r="Q1676" s="3" t="s">
        <v>26</v>
      </c>
      <c r="R1676" s="3">
        <v>0</v>
      </c>
      <c r="S1676" s="4">
        <v>0</v>
      </c>
      <c r="T1676" s="4">
        <v>83</v>
      </c>
      <c r="U1676" s="4">
        <v>61</v>
      </c>
      <c r="V1676" s="4">
        <v>0</v>
      </c>
      <c r="W1676" s="4">
        <v>250.31</v>
      </c>
      <c r="X1676" s="4">
        <v>222.31</v>
      </c>
      <c r="Y1676" s="4"/>
      <c r="Z1676" s="4">
        <v>312.64410340563603</v>
      </c>
      <c r="AA1676" s="4">
        <v>235.31351552243123</v>
      </c>
      <c r="AB1676" s="4">
        <v>0</v>
      </c>
      <c r="AC1676" s="4">
        <v>2699.0927299999998</v>
      </c>
      <c r="AD1676" s="4">
        <v>2397.1687299999999</v>
      </c>
      <c r="AE1676" s="4">
        <v>0</v>
      </c>
      <c r="AF1676" s="4">
        <v>3371.241367022973</v>
      </c>
      <c r="AG1676" s="4">
        <v>2537.3856378783757</v>
      </c>
    </row>
    <row r="1677" spans="1:33" ht="11.25" customHeight="1" x14ac:dyDescent="0.25">
      <c r="A1677" s="3" t="s">
        <v>21</v>
      </c>
      <c r="B1677" s="3" t="s">
        <v>37</v>
      </c>
      <c r="C1677" s="3" t="s">
        <v>33</v>
      </c>
      <c r="D1677" s="3" t="s">
        <v>38</v>
      </c>
      <c r="E1677" s="3" t="s">
        <v>25</v>
      </c>
      <c r="F1677" s="3" t="s">
        <v>25</v>
      </c>
      <c r="G1677" s="3" t="s">
        <v>25</v>
      </c>
      <c r="H1677" s="3" t="s">
        <v>35</v>
      </c>
      <c r="I1677" s="6">
        <v>44531</v>
      </c>
      <c r="J1677" s="4">
        <v>0</v>
      </c>
      <c r="K1677" s="4">
        <v>0</v>
      </c>
      <c r="L1677" s="4">
        <v>11.68</v>
      </c>
      <c r="M1677" s="4">
        <v>11.68</v>
      </c>
      <c r="N1677" s="4">
        <v>11.68</v>
      </c>
      <c r="O1677" s="4">
        <v>11.68</v>
      </c>
      <c r="P1677" s="4">
        <v>0</v>
      </c>
      <c r="Q1677" s="3" t="s">
        <v>26</v>
      </c>
      <c r="R1677" s="3">
        <v>0</v>
      </c>
      <c r="S1677" s="4">
        <v>0</v>
      </c>
      <c r="T1677" s="4">
        <v>83</v>
      </c>
      <c r="U1677" s="4">
        <v>61</v>
      </c>
      <c r="V1677" s="4">
        <v>0</v>
      </c>
      <c r="W1677" s="4">
        <v>250.31</v>
      </c>
      <c r="X1677" s="4">
        <v>222.31</v>
      </c>
      <c r="Y1677" s="4"/>
      <c r="Z1677" s="4">
        <v>312.64410340563603</v>
      </c>
      <c r="AA1677" s="4">
        <v>235.31351552243123</v>
      </c>
      <c r="AB1677" s="4">
        <v>0</v>
      </c>
      <c r="AC1677" s="4">
        <v>2923.6208000000001</v>
      </c>
      <c r="AD1677" s="4">
        <v>2596.5808000000002</v>
      </c>
      <c r="AE1677" s="4">
        <v>0</v>
      </c>
      <c r="AF1677" s="4">
        <v>3651.6831277778288</v>
      </c>
      <c r="AG1677" s="4">
        <v>2748.4618613019966</v>
      </c>
    </row>
    <row r="1678" spans="1:33" ht="11.25" customHeight="1" x14ac:dyDescent="0.25">
      <c r="A1678" s="3" t="s">
        <v>21</v>
      </c>
      <c r="B1678" s="3" t="s">
        <v>37</v>
      </c>
      <c r="C1678" s="3" t="s">
        <v>33</v>
      </c>
      <c r="D1678" s="3" t="s">
        <v>38</v>
      </c>
      <c r="E1678" s="3" t="s">
        <v>25</v>
      </c>
      <c r="F1678" s="3" t="s">
        <v>25</v>
      </c>
      <c r="G1678" s="3" t="s">
        <v>25</v>
      </c>
      <c r="H1678" s="3" t="s">
        <v>35</v>
      </c>
      <c r="I1678" s="6">
        <v>44562</v>
      </c>
      <c r="J1678" s="4">
        <v>0</v>
      </c>
      <c r="K1678" s="4">
        <v>0</v>
      </c>
      <c r="L1678" s="4">
        <v>11.061999999999999</v>
      </c>
      <c r="M1678" s="4">
        <v>11.061999999999999</v>
      </c>
      <c r="N1678" s="4">
        <v>11.061999999999999</v>
      </c>
      <c r="O1678" s="4">
        <v>11.061999999999999</v>
      </c>
      <c r="P1678" s="4">
        <v>0</v>
      </c>
      <c r="Q1678" s="3" t="s">
        <v>26</v>
      </c>
      <c r="R1678" s="3">
        <v>0</v>
      </c>
      <c r="S1678" s="4">
        <v>0</v>
      </c>
      <c r="T1678" s="4">
        <v>83</v>
      </c>
      <c r="U1678" s="4">
        <v>61</v>
      </c>
      <c r="V1678" s="4">
        <v>0</v>
      </c>
      <c r="W1678" s="4">
        <v>250.31</v>
      </c>
      <c r="X1678" s="4">
        <v>222.31</v>
      </c>
      <c r="Y1678" s="4"/>
      <c r="Z1678" s="4">
        <v>312.64410340563603</v>
      </c>
      <c r="AA1678" s="4">
        <v>235.31351552243123</v>
      </c>
      <c r="AB1678" s="4">
        <v>0</v>
      </c>
      <c r="AC1678" s="4">
        <v>2768.92922</v>
      </c>
      <c r="AD1678" s="4">
        <v>2459.1932200000001</v>
      </c>
      <c r="AE1678" s="4">
        <v>0</v>
      </c>
      <c r="AF1678" s="4">
        <v>3458.4690718731454</v>
      </c>
      <c r="AG1678" s="4">
        <v>2603.0381087091341</v>
      </c>
    </row>
    <row r="1679" spans="1:33" ht="11.25" customHeight="1" x14ac:dyDescent="0.25">
      <c r="A1679" s="3" t="s">
        <v>21</v>
      </c>
      <c r="B1679" s="3" t="s">
        <v>37</v>
      </c>
      <c r="C1679" s="3" t="s">
        <v>33</v>
      </c>
      <c r="D1679" s="3" t="s">
        <v>38</v>
      </c>
      <c r="E1679" s="3" t="s">
        <v>25</v>
      </c>
      <c r="F1679" s="3" t="s">
        <v>25</v>
      </c>
      <c r="G1679" s="3" t="s">
        <v>25</v>
      </c>
      <c r="H1679" s="3" t="s">
        <v>35</v>
      </c>
      <c r="I1679" s="6">
        <v>44593</v>
      </c>
      <c r="J1679" s="4">
        <v>0</v>
      </c>
      <c r="K1679" s="4">
        <v>0</v>
      </c>
      <c r="L1679" s="4">
        <v>12.076000000000001</v>
      </c>
      <c r="M1679" s="4">
        <v>12.076000000000001</v>
      </c>
      <c r="N1679" s="4">
        <v>12.076000000000001</v>
      </c>
      <c r="O1679" s="4">
        <v>12.076000000000001</v>
      </c>
      <c r="P1679" s="4">
        <v>0</v>
      </c>
      <c r="Q1679" s="3" t="s">
        <v>26</v>
      </c>
      <c r="R1679" s="3">
        <v>0</v>
      </c>
      <c r="S1679" s="4">
        <v>0</v>
      </c>
      <c r="T1679" s="4">
        <v>83</v>
      </c>
      <c r="U1679" s="4">
        <v>61</v>
      </c>
      <c r="V1679" s="4">
        <v>0</v>
      </c>
      <c r="W1679" s="4">
        <v>250.31</v>
      </c>
      <c r="X1679" s="4">
        <v>222.31</v>
      </c>
      <c r="Y1679" s="4"/>
      <c r="Z1679" s="4">
        <v>312.64410340563603</v>
      </c>
      <c r="AA1679" s="4">
        <v>235.31351552243123</v>
      </c>
      <c r="AB1679" s="4">
        <v>0</v>
      </c>
      <c r="AC1679" s="4">
        <v>3022.7435600000003</v>
      </c>
      <c r="AD1679" s="4">
        <v>2684.6155600000002</v>
      </c>
      <c r="AE1679" s="4">
        <v>0</v>
      </c>
      <c r="AF1679" s="4">
        <v>3775.4901927264609</v>
      </c>
      <c r="AG1679" s="4">
        <v>2841.6460134488798</v>
      </c>
    </row>
    <row r="1680" spans="1:33" ht="11.25" customHeight="1" x14ac:dyDescent="0.25">
      <c r="A1680" s="3" t="s">
        <v>56</v>
      </c>
      <c r="B1680" s="3" t="s">
        <v>37</v>
      </c>
      <c r="C1680" s="3" t="s">
        <v>33</v>
      </c>
      <c r="D1680" s="3" t="s">
        <v>38</v>
      </c>
      <c r="E1680" s="3" t="s">
        <v>25</v>
      </c>
      <c r="F1680" s="3" t="s">
        <v>25</v>
      </c>
      <c r="G1680" s="3" t="s">
        <v>25</v>
      </c>
      <c r="H1680" s="3" t="s">
        <v>35</v>
      </c>
      <c r="I1680" s="6">
        <v>44621</v>
      </c>
      <c r="J1680" s="4">
        <v>0</v>
      </c>
      <c r="K1680" s="4">
        <v>0</v>
      </c>
      <c r="L1680" s="4">
        <v>12.076000000000001</v>
      </c>
      <c r="M1680" s="4">
        <v>12.076000000000001</v>
      </c>
      <c r="N1680" s="4">
        <v>12.076000000000001</v>
      </c>
      <c r="O1680" s="4">
        <v>12.076000000000001</v>
      </c>
      <c r="P1680" s="4">
        <v>0</v>
      </c>
      <c r="Q1680" s="3" t="s">
        <v>26</v>
      </c>
      <c r="R1680" s="3">
        <v>0</v>
      </c>
      <c r="S1680" s="4">
        <v>0</v>
      </c>
      <c r="T1680" s="4">
        <v>83</v>
      </c>
      <c r="U1680" s="4">
        <v>61</v>
      </c>
      <c r="V1680" s="4">
        <v>0</v>
      </c>
      <c r="W1680" s="4">
        <v>250.31</v>
      </c>
      <c r="X1680" s="4">
        <v>222.31</v>
      </c>
      <c r="Y1680" s="4"/>
      <c r="Z1680" s="4">
        <v>312.64410340563603</v>
      </c>
      <c r="AA1680" s="4">
        <v>235.31351552243123</v>
      </c>
      <c r="AB1680" s="4">
        <v>0</v>
      </c>
      <c r="AC1680" s="4">
        <v>3022.7435600000003</v>
      </c>
      <c r="AD1680" s="4">
        <v>2684.6155600000002</v>
      </c>
      <c r="AE1680" s="4">
        <v>0</v>
      </c>
      <c r="AF1680" s="4">
        <v>3775.4901927264609</v>
      </c>
      <c r="AG1680" s="4">
        <v>2841.6460134488798</v>
      </c>
    </row>
    <row r="1681" spans="1:33" ht="11.25" customHeight="1" x14ac:dyDescent="0.25">
      <c r="A1681" s="3" t="s">
        <v>21</v>
      </c>
      <c r="B1681" s="3" t="s">
        <v>37</v>
      </c>
      <c r="C1681" s="3" t="s">
        <v>33</v>
      </c>
      <c r="D1681" s="3" t="s">
        <v>38</v>
      </c>
      <c r="E1681" s="3" t="s">
        <v>25</v>
      </c>
      <c r="F1681" s="3" t="s">
        <v>25</v>
      </c>
      <c r="G1681" s="3" t="s">
        <v>25</v>
      </c>
      <c r="H1681" s="3" t="s">
        <v>36</v>
      </c>
      <c r="I1681" s="6">
        <v>44287</v>
      </c>
      <c r="J1681" s="4">
        <v>0</v>
      </c>
      <c r="K1681" s="4">
        <v>0</v>
      </c>
      <c r="L1681" s="4">
        <v>0.443</v>
      </c>
      <c r="M1681" s="4">
        <v>0.443</v>
      </c>
      <c r="N1681" s="4">
        <v>0.443</v>
      </c>
      <c r="O1681" s="4">
        <v>0.443</v>
      </c>
      <c r="P1681" s="4">
        <v>0</v>
      </c>
      <c r="Q1681" s="3" t="s">
        <v>26</v>
      </c>
      <c r="R1681" s="3">
        <v>0</v>
      </c>
      <c r="S1681" s="4">
        <v>0</v>
      </c>
      <c r="T1681" s="4">
        <v>82</v>
      </c>
      <c r="U1681" s="4">
        <v>60</v>
      </c>
      <c r="V1681" s="4">
        <v>0</v>
      </c>
      <c r="W1681" s="4">
        <v>606.46</v>
      </c>
      <c r="X1681" s="4">
        <v>222.31</v>
      </c>
      <c r="Y1681" s="4"/>
      <c r="Z1681" s="4">
        <v>750.37887530791738</v>
      </c>
      <c r="AA1681" s="4">
        <v>235.31351552243123</v>
      </c>
      <c r="AB1681" s="4">
        <v>0</v>
      </c>
      <c r="AC1681" s="4">
        <v>268.66178000000002</v>
      </c>
      <c r="AD1681" s="4">
        <v>98.483329999999995</v>
      </c>
      <c r="AE1681" s="4">
        <v>0</v>
      </c>
      <c r="AF1681" s="4">
        <v>332.41784176140743</v>
      </c>
      <c r="AG1681" s="4">
        <v>104.24388737643703</v>
      </c>
    </row>
    <row r="1682" spans="1:33" ht="11.25" customHeight="1" x14ac:dyDescent="0.25">
      <c r="A1682" s="3" t="s">
        <v>21</v>
      </c>
      <c r="B1682" s="3" t="s">
        <v>37</v>
      </c>
      <c r="C1682" s="3" t="s">
        <v>33</v>
      </c>
      <c r="D1682" s="3" t="s">
        <v>38</v>
      </c>
      <c r="E1682" s="3" t="s">
        <v>25</v>
      </c>
      <c r="F1682" s="3" t="s">
        <v>25</v>
      </c>
      <c r="G1682" s="3" t="s">
        <v>25</v>
      </c>
      <c r="H1682" s="3" t="s">
        <v>36</v>
      </c>
      <c r="I1682" s="6">
        <v>44317</v>
      </c>
      <c r="J1682" s="4">
        <v>0</v>
      </c>
      <c r="K1682" s="4">
        <v>0</v>
      </c>
      <c r="L1682" s="4">
        <v>0.42799999999999999</v>
      </c>
      <c r="M1682" s="4">
        <v>0.42799999999999999</v>
      </c>
      <c r="N1682" s="4">
        <v>0.42799999999999999</v>
      </c>
      <c r="O1682" s="4">
        <v>0.42799999999999999</v>
      </c>
      <c r="P1682" s="4">
        <v>0</v>
      </c>
      <c r="Q1682" s="3" t="s">
        <v>26</v>
      </c>
      <c r="R1682" s="3">
        <v>0</v>
      </c>
      <c r="S1682" s="4">
        <v>0</v>
      </c>
      <c r="T1682" s="4">
        <v>82</v>
      </c>
      <c r="U1682" s="4">
        <v>60</v>
      </c>
      <c r="V1682" s="4">
        <v>0</v>
      </c>
      <c r="W1682" s="4">
        <v>606.46</v>
      </c>
      <c r="X1682" s="4">
        <v>222.31</v>
      </c>
      <c r="Y1682" s="4"/>
      <c r="Z1682" s="4">
        <v>750.37887530791738</v>
      </c>
      <c r="AA1682" s="4">
        <v>235.31351552243123</v>
      </c>
      <c r="AB1682" s="4">
        <v>0</v>
      </c>
      <c r="AC1682" s="4">
        <v>259.56488000000002</v>
      </c>
      <c r="AD1682" s="4">
        <v>95.148679999999999</v>
      </c>
      <c r="AE1682" s="4">
        <v>0</v>
      </c>
      <c r="AF1682" s="4">
        <v>321.16215863178866</v>
      </c>
      <c r="AG1682" s="4">
        <v>100.71418464360056</v>
      </c>
    </row>
    <row r="1683" spans="1:33" ht="11.25" customHeight="1" x14ac:dyDescent="0.25">
      <c r="A1683" s="3" t="s">
        <v>21</v>
      </c>
      <c r="B1683" s="3" t="s">
        <v>37</v>
      </c>
      <c r="C1683" s="3" t="s">
        <v>33</v>
      </c>
      <c r="D1683" s="3" t="s">
        <v>38</v>
      </c>
      <c r="E1683" s="3" t="s">
        <v>25</v>
      </c>
      <c r="F1683" s="3" t="s">
        <v>25</v>
      </c>
      <c r="G1683" s="3" t="s">
        <v>25</v>
      </c>
      <c r="H1683" s="3" t="s">
        <v>36</v>
      </c>
      <c r="I1683" s="6">
        <v>44348</v>
      </c>
      <c r="J1683" s="4">
        <v>0</v>
      </c>
      <c r="K1683" s="4">
        <v>0</v>
      </c>
      <c r="L1683" s="4">
        <v>0.42899999999999999</v>
      </c>
      <c r="M1683" s="4">
        <v>0.42899999999999999</v>
      </c>
      <c r="N1683" s="4">
        <v>0.42899999999999999</v>
      </c>
      <c r="O1683" s="4">
        <v>0.42899999999999999</v>
      </c>
      <c r="P1683" s="4">
        <v>0</v>
      </c>
      <c r="Q1683" s="3" t="s">
        <v>26</v>
      </c>
      <c r="R1683" s="3">
        <v>0</v>
      </c>
      <c r="S1683" s="4">
        <v>0</v>
      </c>
      <c r="T1683" s="4">
        <v>82</v>
      </c>
      <c r="U1683" s="4">
        <v>60</v>
      </c>
      <c r="V1683" s="4">
        <v>0</v>
      </c>
      <c r="W1683" s="4">
        <v>606.46</v>
      </c>
      <c r="X1683" s="4">
        <v>222.31</v>
      </c>
      <c r="Y1683" s="4"/>
      <c r="Z1683" s="4">
        <v>750.37887530791738</v>
      </c>
      <c r="AA1683" s="4">
        <v>235.31351552243123</v>
      </c>
      <c r="AB1683" s="4">
        <v>0</v>
      </c>
      <c r="AC1683" s="4">
        <v>260.17133999999999</v>
      </c>
      <c r="AD1683" s="4">
        <v>95.370990000000006</v>
      </c>
      <c r="AE1683" s="4">
        <v>0</v>
      </c>
      <c r="AF1683" s="4">
        <v>321.91253750709654</v>
      </c>
      <c r="AG1683" s="4">
        <v>100.949498159123</v>
      </c>
    </row>
    <row r="1684" spans="1:33" ht="11.25" customHeight="1" x14ac:dyDescent="0.25">
      <c r="A1684" s="3" t="s">
        <v>21</v>
      </c>
      <c r="B1684" s="3" t="s">
        <v>37</v>
      </c>
      <c r="C1684" s="3" t="s">
        <v>33</v>
      </c>
      <c r="D1684" s="3" t="s">
        <v>38</v>
      </c>
      <c r="E1684" s="3" t="s">
        <v>25</v>
      </c>
      <c r="F1684" s="3" t="s">
        <v>25</v>
      </c>
      <c r="G1684" s="3" t="s">
        <v>25</v>
      </c>
      <c r="H1684" s="3" t="s">
        <v>36</v>
      </c>
      <c r="I1684" s="6">
        <v>44378</v>
      </c>
      <c r="J1684" s="4">
        <v>0</v>
      </c>
      <c r="K1684" s="4">
        <v>0</v>
      </c>
      <c r="L1684" s="4">
        <v>7.6999999999999999E-2</v>
      </c>
      <c r="M1684" s="4">
        <v>7.6999999999999999E-2</v>
      </c>
      <c r="N1684" s="4">
        <v>7.6999999999999999E-2</v>
      </c>
      <c r="O1684" s="4">
        <v>7.6999999999999999E-2</v>
      </c>
      <c r="P1684" s="4">
        <v>0</v>
      </c>
      <c r="Q1684" s="3" t="s">
        <v>26</v>
      </c>
      <c r="R1684" s="3">
        <v>0</v>
      </c>
      <c r="S1684" s="4">
        <v>0</v>
      </c>
      <c r="T1684" s="4">
        <v>82</v>
      </c>
      <c r="U1684" s="4">
        <v>60</v>
      </c>
      <c r="V1684" s="4">
        <v>0</v>
      </c>
      <c r="W1684" s="4">
        <v>606.46</v>
      </c>
      <c r="X1684" s="4">
        <v>222.31</v>
      </c>
      <c r="Y1684" s="4"/>
      <c r="Z1684" s="4">
        <v>750.37887530791738</v>
      </c>
      <c r="AA1684" s="4">
        <v>235.31351552243123</v>
      </c>
      <c r="AB1684" s="4">
        <v>0</v>
      </c>
      <c r="AC1684" s="4">
        <v>46.697420000000001</v>
      </c>
      <c r="AD1684" s="4">
        <v>17.11787</v>
      </c>
      <c r="AE1684" s="4">
        <v>0</v>
      </c>
      <c r="AF1684" s="4">
        <v>57.779173398709638</v>
      </c>
      <c r="AG1684" s="4">
        <v>18.119140695227205</v>
      </c>
    </row>
    <row r="1685" spans="1:33" ht="11.25" customHeight="1" x14ac:dyDescent="0.25">
      <c r="A1685" s="3" t="s">
        <v>21</v>
      </c>
      <c r="B1685" s="3" t="s">
        <v>37</v>
      </c>
      <c r="C1685" s="3" t="s">
        <v>33</v>
      </c>
      <c r="D1685" s="3" t="s">
        <v>38</v>
      </c>
      <c r="E1685" s="3" t="s">
        <v>25</v>
      </c>
      <c r="F1685" s="3" t="s">
        <v>25</v>
      </c>
      <c r="G1685" s="3" t="s">
        <v>25</v>
      </c>
      <c r="H1685" s="3" t="s">
        <v>36</v>
      </c>
      <c r="I1685" s="6">
        <v>44409</v>
      </c>
      <c r="J1685" s="4">
        <v>0</v>
      </c>
      <c r="K1685" s="4">
        <v>0</v>
      </c>
      <c r="L1685" s="4">
        <v>0.08</v>
      </c>
      <c r="M1685" s="4">
        <v>0.08</v>
      </c>
      <c r="N1685" s="4">
        <v>0.08</v>
      </c>
      <c r="O1685" s="4">
        <v>0.08</v>
      </c>
      <c r="P1685" s="4">
        <v>0</v>
      </c>
      <c r="Q1685" s="3" t="s">
        <v>26</v>
      </c>
      <c r="R1685" s="3">
        <v>0</v>
      </c>
      <c r="S1685" s="4">
        <v>0</v>
      </c>
      <c r="T1685" s="4">
        <v>82</v>
      </c>
      <c r="U1685" s="4">
        <v>60</v>
      </c>
      <c r="V1685" s="4">
        <v>0</v>
      </c>
      <c r="W1685" s="4">
        <v>606.46</v>
      </c>
      <c r="X1685" s="4">
        <v>222.31</v>
      </c>
      <c r="Y1685" s="4"/>
      <c r="Z1685" s="4">
        <v>750.37887530791738</v>
      </c>
      <c r="AA1685" s="4">
        <v>235.31351552243123</v>
      </c>
      <c r="AB1685" s="4">
        <v>0</v>
      </c>
      <c r="AC1685" s="4">
        <v>48.516800000000003</v>
      </c>
      <c r="AD1685" s="4">
        <v>17.784800000000001</v>
      </c>
      <c r="AE1685" s="4">
        <v>0</v>
      </c>
      <c r="AF1685" s="4">
        <v>60.030310024633394</v>
      </c>
      <c r="AG1685" s="4">
        <v>18.8250812417945</v>
      </c>
    </row>
    <row r="1686" spans="1:33" ht="11.25" customHeight="1" x14ac:dyDescent="0.25">
      <c r="A1686" s="3" t="s">
        <v>21</v>
      </c>
      <c r="B1686" s="3" t="s">
        <v>37</v>
      </c>
      <c r="C1686" s="3" t="s">
        <v>33</v>
      </c>
      <c r="D1686" s="3" t="s">
        <v>38</v>
      </c>
      <c r="E1686" s="3" t="s">
        <v>25</v>
      </c>
      <c r="F1686" s="3" t="s">
        <v>25</v>
      </c>
      <c r="G1686" s="3" t="s">
        <v>25</v>
      </c>
      <c r="H1686" s="3" t="s">
        <v>36</v>
      </c>
      <c r="I1686" s="6">
        <v>44440</v>
      </c>
      <c r="J1686" s="4">
        <v>0</v>
      </c>
      <c r="K1686" s="4">
        <v>0</v>
      </c>
      <c r="L1686" s="4">
        <v>0.35499999999999998</v>
      </c>
      <c r="M1686" s="4">
        <v>0.35499999999999998</v>
      </c>
      <c r="N1686" s="4">
        <v>0.35499999999999998</v>
      </c>
      <c r="O1686" s="4">
        <v>0.35499999999999998</v>
      </c>
      <c r="P1686" s="4">
        <v>0</v>
      </c>
      <c r="Q1686" s="3" t="s">
        <v>26</v>
      </c>
      <c r="R1686" s="3">
        <v>0</v>
      </c>
      <c r="S1686" s="4">
        <v>0</v>
      </c>
      <c r="T1686" s="4">
        <v>82</v>
      </c>
      <c r="U1686" s="4">
        <v>60</v>
      </c>
      <c r="V1686" s="4">
        <v>0</v>
      </c>
      <c r="W1686" s="4">
        <v>606.46</v>
      </c>
      <c r="X1686" s="4">
        <v>222.31</v>
      </c>
      <c r="Y1686" s="4"/>
      <c r="Z1686" s="4">
        <v>750.37887530791738</v>
      </c>
      <c r="AA1686" s="4">
        <v>235.31351552243123</v>
      </c>
      <c r="AB1686" s="4">
        <v>0</v>
      </c>
      <c r="AC1686" s="4">
        <v>215.29330000000002</v>
      </c>
      <c r="AD1686" s="4">
        <v>78.920050000000003</v>
      </c>
      <c r="AE1686" s="4">
        <v>0</v>
      </c>
      <c r="AF1686" s="4">
        <v>266.38450073431068</v>
      </c>
      <c r="AG1686" s="4">
        <v>83.536298010463085</v>
      </c>
    </row>
    <row r="1687" spans="1:33" ht="11.25" customHeight="1" x14ac:dyDescent="0.25">
      <c r="A1687" s="3" t="s">
        <v>21</v>
      </c>
      <c r="B1687" s="3" t="s">
        <v>37</v>
      </c>
      <c r="C1687" s="3" t="s">
        <v>33</v>
      </c>
      <c r="D1687" s="3" t="s">
        <v>38</v>
      </c>
      <c r="E1687" s="3" t="s">
        <v>25</v>
      </c>
      <c r="F1687" s="3" t="s">
        <v>25</v>
      </c>
      <c r="G1687" s="3" t="s">
        <v>25</v>
      </c>
      <c r="H1687" s="3" t="s">
        <v>36</v>
      </c>
      <c r="I1687" s="6">
        <v>44470</v>
      </c>
      <c r="J1687" s="4">
        <v>0</v>
      </c>
      <c r="K1687" s="4">
        <v>0</v>
      </c>
      <c r="L1687" s="4">
        <v>0.23699999999999999</v>
      </c>
      <c r="M1687" s="4">
        <v>0.23699999999999999</v>
      </c>
      <c r="N1687" s="4">
        <v>0.23699999999999999</v>
      </c>
      <c r="O1687" s="4">
        <v>0.23699999999999999</v>
      </c>
      <c r="P1687" s="4">
        <v>0</v>
      </c>
      <c r="Q1687" s="3" t="s">
        <v>26</v>
      </c>
      <c r="R1687" s="3">
        <v>0</v>
      </c>
      <c r="S1687" s="4">
        <v>0</v>
      </c>
      <c r="T1687" s="4">
        <v>82</v>
      </c>
      <c r="U1687" s="4">
        <v>60</v>
      </c>
      <c r="V1687" s="4">
        <v>0</v>
      </c>
      <c r="W1687" s="4">
        <v>606.46</v>
      </c>
      <c r="X1687" s="4">
        <v>222.31</v>
      </c>
      <c r="Y1687" s="4"/>
      <c r="Z1687" s="4">
        <v>750.37887530791738</v>
      </c>
      <c r="AA1687" s="4">
        <v>235.31351552243123</v>
      </c>
      <c r="AB1687" s="4">
        <v>0</v>
      </c>
      <c r="AC1687" s="4">
        <v>143.73102</v>
      </c>
      <c r="AD1687" s="4">
        <v>52.687469999999998</v>
      </c>
      <c r="AE1687" s="4">
        <v>0</v>
      </c>
      <c r="AF1687" s="4">
        <v>177.8397934479764</v>
      </c>
      <c r="AG1687" s="4">
        <v>55.769303178816202</v>
      </c>
    </row>
    <row r="1688" spans="1:33" ht="11.25" customHeight="1" x14ac:dyDescent="0.25">
      <c r="A1688" s="3" t="s">
        <v>21</v>
      </c>
      <c r="B1688" s="3" t="s">
        <v>37</v>
      </c>
      <c r="C1688" s="3" t="s">
        <v>33</v>
      </c>
      <c r="D1688" s="3" t="s">
        <v>38</v>
      </c>
      <c r="E1688" s="3" t="s">
        <v>25</v>
      </c>
      <c r="F1688" s="3" t="s">
        <v>25</v>
      </c>
      <c r="G1688" s="3" t="s">
        <v>25</v>
      </c>
      <c r="H1688" s="3" t="s">
        <v>36</v>
      </c>
      <c r="I1688" s="6">
        <v>44501</v>
      </c>
      <c r="J1688" s="4">
        <v>0</v>
      </c>
      <c r="K1688" s="4">
        <v>0</v>
      </c>
      <c r="L1688" s="4">
        <v>0.44</v>
      </c>
      <c r="M1688" s="4">
        <v>0.44</v>
      </c>
      <c r="N1688" s="4">
        <v>0.44</v>
      </c>
      <c r="O1688" s="4">
        <v>0.44</v>
      </c>
      <c r="P1688" s="4">
        <v>0</v>
      </c>
      <c r="Q1688" s="3" t="s">
        <v>26</v>
      </c>
      <c r="R1688" s="3">
        <v>0</v>
      </c>
      <c r="S1688" s="4">
        <v>0</v>
      </c>
      <c r="T1688" s="4">
        <v>82</v>
      </c>
      <c r="U1688" s="4">
        <v>60</v>
      </c>
      <c r="V1688" s="4">
        <v>0</v>
      </c>
      <c r="W1688" s="4">
        <v>606.46</v>
      </c>
      <c r="X1688" s="4">
        <v>222.31</v>
      </c>
      <c r="Y1688" s="4"/>
      <c r="Z1688" s="4">
        <v>750.37887530791738</v>
      </c>
      <c r="AA1688" s="4">
        <v>235.31351552243123</v>
      </c>
      <c r="AB1688" s="4">
        <v>0</v>
      </c>
      <c r="AC1688" s="4">
        <v>266.8424</v>
      </c>
      <c r="AD1688" s="4">
        <v>97.816400000000002</v>
      </c>
      <c r="AE1688" s="4">
        <v>0</v>
      </c>
      <c r="AF1688" s="4">
        <v>330.16670513548365</v>
      </c>
      <c r="AG1688" s="4">
        <v>103.53794682986974</v>
      </c>
    </row>
    <row r="1689" spans="1:33" ht="11.25" customHeight="1" x14ac:dyDescent="0.25">
      <c r="A1689" s="3" t="s">
        <v>21</v>
      </c>
      <c r="B1689" s="3" t="s">
        <v>37</v>
      </c>
      <c r="C1689" s="3" t="s">
        <v>33</v>
      </c>
      <c r="D1689" s="3" t="s">
        <v>38</v>
      </c>
      <c r="E1689" s="3" t="s">
        <v>25</v>
      </c>
      <c r="F1689" s="3" t="s">
        <v>25</v>
      </c>
      <c r="G1689" s="3" t="s">
        <v>25</v>
      </c>
      <c r="H1689" s="3" t="s">
        <v>36</v>
      </c>
      <c r="I1689" s="6">
        <v>44531</v>
      </c>
      <c r="J1689" s="4">
        <v>0</v>
      </c>
      <c r="K1689" s="4">
        <v>0</v>
      </c>
      <c r="L1689" s="4">
        <v>0.41899999999999998</v>
      </c>
      <c r="M1689" s="4">
        <v>0.41899999999999998</v>
      </c>
      <c r="N1689" s="4">
        <v>0.41899999999999998</v>
      </c>
      <c r="O1689" s="4">
        <v>0.41899999999999998</v>
      </c>
      <c r="P1689" s="4">
        <v>0</v>
      </c>
      <c r="Q1689" s="3" t="s">
        <v>26</v>
      </c>
      <c r="R1689" s="3">
        <v>0</v>
      </c>
      <c r="S1689" s="4">
        <v>0</v>
      </c>
      <c r="T1689" s="4">
        <v>82</v>
      </c>
      <c r="U1689" s="4">
        <v>60</v>
      </c>
      <c r="V1689" s="4">
        <v>0</v>
      </c>
      <c r="W1689" s="4">
        <v>606.46</v>
      </c>
      <c r="X1689" s="4">
        <v>222.31</v>
      </c>
      <c r="Y1689" s="4"/>
      <c r="Z1689" s="4">
        <v>750.37887530791738</v>
      </c>
      <c r="AA1689" s="4">
        <v>235.31351552243123</v>
      </c>
      <c r="AB1689" s="4">
        <v>0</v>
      </c>
      <c r="AC1689" s="4">
        <v>254.10674</v>
      </c>
      <c r="AD1689" s="4">
        <v>93.147890000000004</v>
      </c>
      <c r="AE1689" s="4">
        <v>0</v>
      </c>
      <c r="AF1689" s="4">
        <v>314.40874875401738</v>
      </c>
      <c r="AG1689" s="4">
        <v>98.596363003898688</v>
      </c>
    </row>
    <row r="1690" spans="1:33" ht="11.25" customHeight="1" x14ac:dyDescent="0.25">
      <c r="A1690" s="3" t="s">
        <v>21</v>
      </c>
      <c r="B1690" s="3" t="s">
        <v>37</v>
      </c>
      <c r="C1690" s="3" t="s">
        <v>33</v>
      </c>
      <c r="D1690" s="3" t="s">
        <v>38</v>
      </c>
      <c r="E1690" s="3" t="s">
        <v>25</v>
      </c>
      <c r="F1690" s="3" t="s">
        <v>25</v>
      </c>
      <c r="G1690" s="3" t="s">
        <v>25</v>
      </c>
      <c r="H1690" s="3" t="s">
        <v>36</v>
      </c>
      <c r="I1690" s="6">
        <v>44562</v>
      </c>
      <c r="J1690" s="4">
        <v>0</v>
      </c>
      <c r="K1690" s="4">
        <v>0</v>
      </c>
      <c r="L1690" s="4">
        <v>0.442</v>
      </c>
      <c r="M1690" s="4">
        <v>0.442</v>
      </c>
      <c r="N1690" s="4">
        <v>0.442</v>
      </c>
      <c r="O1690" s="4">
        <v>0.442</v>
      </c>
      <c r="P1690" s="4">
        <v>0</v>
      </c>
      <c r="Q1690" s="3" t="s">
        <v>26</v>
      </c>
      <c r="R1690" s="3">
        <v>0</v>
      </c>
      <c r="S1690" s="4">
        <v>0</v>
      </c>
      <c r="T1690" s="4">
        <v>82</v>
      </c>
      <c r="U1690" s="4">
        <v>60</v>
      </c>
      <c r="V1690" s="4">
        <v>0</v>
      </c>
      <c r="W1690" s="4">
        <v>606.46</v>
      </c>
      <c r="X1690" s="4">
        <v>222.31</v>
      </c>
      <c r="Y1690" s="4"/>
      <c r="Z1690" s="4">
        <v>750.37887530791738</v>
      </c>
      <c r="AA1690" s="4">
        <v>235.31351552243123</v>
      </c>
      <c r="AB1690" s="4">
        <v>0</v>
      </c>
      <c r="AC1690" s="4">
        <v>268.05531999999999</v>
      </c>
      <c r="AD1690" s="4">
        <v>98.261020000000002</v>
      </c>
      <c r="AE1690" s="4">
        <v>0</v>
      </c>
      <c r="AF1690" s="4">
        <v>331.66746288609949</v>
      </c>
      <c r="AG1690" s="4">
        <v>104.00857386091461</v>
      </c>
    </row>
    <row r="1691" spans="1:33" ht="11.25" customHeight="1" x14ac:dyDescent="0.25">
      <c r="A1691" s="3" t="s">
        <v>21</v>
      </c>
      <c r="B1691" s="3" t="s">
        <v>37</v>
      </c>
      <c r="C1691" s="3" t="s">
        <v>33</v>
      </c>
      <c r="D1691" s="3" t="s">
        <v>38</v>
      </c>
      <c r="E1691" s="3" t="s">
        <v>25</v>
      </c>
      <c r="F1691" s="3" t="s">
        <v>25</v>
      </c>
      <c r="G1691" s="3" t="s">
        <v>25</v>
      </c>
      <c r="H1691" s="3" t="s">
        <v>36</v>
      </c>
      <c r="I1691" s="6">
        <v>44593</v>
      </c>
      <c r="J1691" s="4">
        <v>0</v>
      </c>
      <c r="K1691" s="4">
        <v>0</v>
      </c>
      <c r="L1691" s="4">
        <v>0.48199999999999998</v>
      </c>
      <c r="M1691" s="4">
        <v>0.48199999999999998</v>
      </c>
      <c r="N1691" s="4">
        <v>0.48199999999999998</v>
      </c>
      <c r="O1691" s="4">
        <v>0.48199999999999998</v>
      </c>
      <c r="P1691" s="4">
        <v>0</v>
      </c>
      <c r="Q1691" s="3" t="s">
        <v>26</v>
      </c>
      <c r="R1691" s="3">
        <v>0</v>
      </c>
      <c r="S1691" s="4">
        <v>0</v>
      </c>
      <c r="T1691" s="4">
        <v>82</v>
      </c>
      <c r="U1691" s="4">
        <v>60</v>
      </c>
      <c r="V1691" s="4">
        <v>0</v>
      </c>
      <c r="W1691" s="4">
        <v>606.46</v>
      </c>
      <c r="X1691" s="4">
        <v>222.31</v>
      </c>
      <c r="Y1691" s="4"/>
      <c r="Z1691" s="4">
        <v>750.37887530791738</v>
      </c>
      <c r="AA1691" s="4">
        <v>235.31351552243123</v>
      </c>
      <c r="AB1691" s="4">
        <v>0</v>
      </c>
      <c r="AC1691" s="4">
        <v>292.31371999999999</v>
      </c>
      <c r="AD1691" s="4">
        <v>107.15342</v>
      </c>
      <c r="AE1691" s="4">
        <v>0</v>
      </c>
      <c r="AF1691" s="4">
        <v>361.68261789841614</v>
      </c>
      <c r="AG1691" s="4">
        <v>113.42111448181186</v>
      </c>
    </row>
    <row r="1692" spans="1:33" ht="11.25" customHeight="1" x14ac:dyDescent="0.25">
      <c r="A1692" s="3" t="s">
        <v>56</v>
      </c>
      <c r="B1692" s="3" t="s">
        <v>37</v>
      </c>
      <c r="C1692" s="3" t="s">
        <v>33</v>
      </c>
      <c r="D1692" s="3" t="s">
        <v>38</v>
      </c>
      <c r="E1692" s="3" t="s">
        <v>25</v>
      </c>
      <c r="F1692" s="3" t="s">
        <v>25</v>
      </c>
      <c r="G1692" s="3" t="s">
        <v>25</v>
      </c>
      <c r="H1692" s="3" t="s">
        <v>36</v>
      </c>
      <c r="I1692" s="6">
        <v>44621</v>
      </c>
      <c r="J1692" s="4">
        <v>0</v>
      </c>
      <c r="K1692" s="4">
        <v>0</v>
      </c>
      <c r="L1692" s="4">
        <v>0.48199999999999998</v>
      </c>
      <c r="M1692" s="4">
        <v>0.48199999999999998</v>
      </c>
      <c r="N1692" s="4">
        <v>0.48199999999999998</v>
      </c>
      <c r="O1692" s="4">
        <v>0.48199999999999998</v>
      </c>
      <c r="P1692" s="4">
        <v>0</v>
      </c>
      <c r="Q1692" s="3" t="s">
        <v>26</v>
      </c>
      <c r="R1692" s="3">
        <v>0</v>
      </c>
      <c r="S1692" s="4">
        <v>0</v>
      </c>
      <c r="T1692" s="4">
        <v>82</v>
      </c>
      <c r="U1692" s="4">
        <v>60</v>
      </c>
      <c r="V1692" s="4">
        <v>0</v>
      </c>
      <c r="W1692" s="4">
        <v>606.46</v>
      </c>
      <c r="X1692" s="4">
        <v>222.31</v>
      </c>
      <c r="Y1692" s="4"/>
      <c r="Z1692" s="4">
        <v>750.37887530791738</v>
      </c>
      <c r="AA1692" s="4">
        <v>235.31351552243123</v>
      </c>
      <c r="AB1692" s="4">
        <v>0</v>
      </c>
      <c r="AC1692" s="4">
        <v>292.31371999999999</v>
      </c>
      <c r="AD1692" s="4">
        <v>107.15342</v>
      </c>
      <c r="AE1692" s="4">
        <v>0</v>
      </c>
      <c r="AF1692" s="4">
        <v>361.68261789841614</v>
      </c>
      <c r="AG1692" s="4">
        <v>113.42111448181186</v>
      </c>
    </row>
    <row r="1693" spans="1:33" ht="11.25" customHeight="1" x14ac:dyDescent="0.25">
      <c r="A1693" s="3" t="s">
        <v>21</v>
      </c>
      <c r="B1693" s="3" t="s">
        <v>37</v>
      </c>
      <c r="C1693" s="3" t="s">
        <v>33</v>
      </c>
      <c r="D1693" s="3" t="s">
        <v>38</v>
      </c>
      <c r="E1693" s="3" t="s">
        <v>25</v>
      </c>
      <c r="F1693" s="3" t="s">
        <v>25</v>
      </c>
      <c r="G1693" s="3" t="s">
        <v>25</v>
      </c>
      <c r="H1693" s="3" t="s">
        <v>34</v>
      </c>
      <c r="I1693" s="6">
        <v>44287</v>
      </c>
      <c r="J1693" s="4">
        <v>0</v>
      </c>
      <c r="K1693" s="4">
        <v>0</v>
      </c>
      <c r="L1693" s="4">
        <v>0.11</v>
      </c>
      <c r="M1693" s="4">
        <v>0.11</v>
      </c>
      <c r="N1693" s="4">
        <v>0.11</v>
      </c>
      <c r="O1693" s="4">
        <v>0.11</v>
      </c>
      <c r="P1693" s="4">
        <v>0</v>
      </c>
      <c r="Q1693" s="3" t="s">
        <v>26</v>
      </c>
      <c r="R1693" s="3">
        <v>0</v>
      </c>
      <c r="S1693" s="4">
        <v>0</v>
      </c>
      <c r="T1693" s="4">
        <v>42</v>
      </c>
      <c r="U1693" s="4">
        <v>59</v>
      </c>
      <c r="V1693" s="4">
        <v>0</v>
      </c>
      <c r="W1693" s="4">
        <v>962.61</v>
      </c>
      <c r="X1693" s="4">
        <v>365.5</v>
      </c>
      <c r="Y1693" s="4"/>
      <c r="Z1693" s="4">
        <v>1188.1136472101987</v>
      </c>
      <c r="AA1693" s="4">
        <v>381.42546590200942</v>
      </c>
      <c r="AB1693" s="4">
        <v>0</v>
      </c>
      <c r="AC1693" s="4">
        <v>105.8871</v>
      </c>
      <c r="AD1693" s="4">
        <v>40.204999999999998</v>
      </c>
      <c r="AE1693" s="4">
        <v>0</v>
      </c>
      <c r="AF1693" s="4">
        <v>130.69250119312184</v>
      </c>
      <c r="AG1693" s="4">
        <v>41.956801249221037</v>
      </c>
    </row>
    <row r="1694" spans="1:33" ht="11.25" customHeight="1" x14ac:dyDescent="0.25">
      <c r="A1694" s="3" t="s">
        <v>21</v>
      </c>
      <c r="B1694" s="3" t="s">
        <v>37</v>
      </c>
      <c r="C1694" s="3" t="s">
        <v>33</v>
      </c>
      <c r="D1694" s="3" t="s">
        <v>38</v>
      </c>
      <c r="E1694" s="3" t="s">
        <v>25</v>
      </c>
      <c r="F1694" s="3" t="s">
        <v>25</v>
      </c>
      <c r="G1694" s="3" t="s">
        <v>25</v>
      </c>
      <c r="H1694" s="3" t="s">
        <v>34</v>
      </c>
      <c r="I1694" s="6">
        <v>44317</v>
      </c>
      <c r="J1694" s="4">
        <v>0</v>
      </c>
      <c r="K1694" s="4">
        <v>0</v>
      </c>
      <c r="L1694" s="4">
        <v>0.10199999999999999</v>
      </c>
      <c r="M1694" s="4">
        <v>0.10199999999999999</v>
      </c>
      <c r="N1694" s="4">
        <v>0.10199999999999999</v>
      </c>
      <c r="O1694" s="4">
        <v>0.10199999999999999</v>
      </c>
      <c r="P1694" s="4">
        <v>0</v>
      </c>
      <c r="Q1694" s="3" t="s">
        <v>26</v>
      </c>
      <c r="R1694" s="3">
        <v>0</v>
      </c>
      <c r="S1694" s="4">
        <v>0</v>
      </c>
      <c r="T1694" s="4">
        <v>42</v>
      </c>
      <c r="U1694" s="4">
        <v>59</v>
      </c>
      <c r="V1694" s="4">
        <v>0</v>
      </c>
      <c r="W1694" s="4">
        <v>962.61</v>
      </c>
      <c r="X1694" s="4">
        <v>365.5</v>
      </c>
      <c r="Y1694" s="4"/>
      <c r="Z1694" s="4">
        <v>1188.1136472101987</v>
      </c>
      <c r="AA1694" s="4">
        <v>381.42546590200942</v>
      </c>
      <c r="AB1694" s="4">
        <v>0</v>
      </c>
      <c r="AC1694" s="4">
        <v>98.186219999999992</v>
      </c>
      <c r="AD1694" s="4">
        <v>37.280999999999999</v>
      </c>
      <c r="AE1694" s="4">
        <v>0</v>
      </c>
      <c r="AF1694" s="4">
        <v>121.18759201544026</v>
      </c>
      <c r="AG1694" s="4">
        <v>38.905397522004961</v>
      </c>
    </row>
    <row r="1695" spans="1:33" ht="11.25" customHeight="1" x14ac:dyDescent="0.25">
      <c r="A1695" s="3" t="s">
        <v>21</v>
      </c>
      <c r="B1695" s="3" t="s">
        <v>37</v>
      </c>
      <c r="C1695" s="3" t="s">
        <v>33</v>
      </c>
      <c r="D1695" s="3" t="s">
        <v>38</v>
      </c>
      <c r="E1695" s="3" t="s">
        <v>25</v>
      </c>
      <c r="F1695" s="3" t="s">
        <v>25</v>
      </c>
      <c r="G1695" s="3" t="s">
        <v>25</v>
      </c>
      <c r="H1695" s="3" t="s">
        <v>34</v>
      </c>
      <c r="I1695" s="6">
        <v>44348</v>
      </c>
      <c r="J1695" s="4">
        <v>0</v>
      </c>
      <c r="K1695" s="4">
        <v>0</v>
      </c>
      <c r="L1695" s="4">
        <v>9.5000000000000001E-2</v>
      </c>
      <c r="M1695" s="4">
        <v>9.5000000000000001E-2</v>
      </c>
      <c r="N1695" s="4">
        <v>9.5000000000000001E-2</v>
      </c>
      <c r="O1695" s="4">
        <v>9.5000000000000001E-2</v>
      </c>
      <c r="P1695" s="4">
        <v>0</v>
      </c>
      <c r="Q1695" s="3" t="s">
        <v>26</v>
      </c>
      <c r="R1695" s="3">
        <v>0</v>
      </c>
      <c r="S1695" s="4">
        <v>0</v>
      </c>
      <c r="T1695" s="4">
        <v>42</v>
      </c>
      <c r="U1695" s="4">
        <v>59</v>
      </c>
      <c r="V1695" s="4">
        <v>0</v>
      </c>
      <c r="W1695" s="4">
        <v>962.61</v>
      </c>
      <c r="X1695" s="4">
        <v>365.5</v>
      </c>
      <c r="Y1695" s="4"/>
      <c r="Z1695" s="4">
        <v>1188.1136472101987</v>
      </c>
      <c r="AA1695" s="4">
        <v>381.42546590200942</v>
      </c>
      <c r="AB1695" s="4">
        <v>0</v>
      </c>
      <c r="AC1695" s="4">
        <v>91.447950000000006</v>
      </c>
      <c r="AD1695" s="4">
        <v>34.722500000000004</v>
      </c>
      <c r="AE1695" s="4">
        <v>0</v>
      </c>
      <c r="AF1695" s="4">
        <v>112.87079648496888</v>
      </c>
      <c r="AG1695" s="4">
        <v>36.235419260690897</v>
      </c>
    </row>
    <row r="1696" spans="1:33" ht="11.25" customHeight="1" x14ac:dyDescent="0.25">
      <c r="A1696" s="3" t="s">
        <v>21</v>
      </c>
      <c r="B1696" s="3" t="s">
        <v>37</v>
      </c>
      <c r="C1696" s="3" t="s">
        <v>33</v>
      </c>
      <c r="D1696" s="3" t="s">
        <v>38</v>
      </c>
      <c r="E1696" s="3" t="s">
        <v>25</v>
      </c>
      <c r="F1696" s="3" t="s">
        <v>25</v>
      </c>
      <c r="G1696" s="3" t="s">
        <v>25</v>
      </c>
      <c r="H1696" s="3" t="s">
        <v>34</v>
      </c>
      <c r="I1696" s="6">
        <v>44378</v>
      </c>
      <c r="J1696" s="4">
        <v>0</v>
      </c>
      <c r="K1696" s="4">
        <v>0</v>
      </c>
      <c r="L1696" s="4">
        <v>8.6999999999999994E-2</v>
      </c>
      <c r="M1696" s="4">
        <v>8.6999999999999994E-2</v>
      </c>
      <c r="N1696" s="4">
        <v>8.6999999999999994E-2</v>
      </c>
      <c r="O1696" s="4">
        <v>8.6999999999999994E-2</v>
      </c>
      <c r="P1696" s="4">
        <v>0</v>
      </c>
      <c r="Q1696" s="3" t="s">
        <v>26</v>
      </c>
      <c r="R1696" s="3">
        <v>0</v>
      </c>
      <c r="S1696" s="4">
        <v>0</v>
      </c>
      <c r="T1696" s="4">
        <v>42</v>
      </c>
      <c r="U1696" s="4">
        <v>59</v>
      </c>
      <c r="V1696" s="4">
        <v>0</v>
      </c>
      <c r="W1696" s="4">
        <v>962.61</v>
      </c>
      <c r="X1696" s="4">
        <v>365.5</v>
      </c>
      <c r="Y1696" s="4"/>
      <c r="Z1696" s="4">
        <v>1188.1136472101987</v>
      </c>
      <c r="AA1696" s="4">
        <v>381.42546590200942</v>
      </c>
      <c r="AB1696" s="4">
        <v>0</v>
      </c>
      <c r="AC1696" s="4">
        <v>83.747069999999994</v>
      </c>
      <c r="AD1696" s="4">
        <v>31.798499999999997</v>
      </c>
      <c r="AE1696" s="4">
        <v>0</v>
      </c>
      <c r="AF1696" s="4">
        <v>103.36588730728728</v>
      </c>
      <c r="AG1696" s="4">
        <v>33.18401553347482</v>
      </c>
    </row>
    <row r="1697" spans="1:33" ht="11.25" customHeight="1" x14ac:dyDescent="0.25">
      <c r="A1697" s="3" t="s">
        <v>21</v>
      </c>
      <c r="B1697" s="3" t="s">
        <v>37</v>
      </c>
      <c r="C1697" s="3" t="s">
        <v>33</v>
      </c>
      <c r="D1697" s="3" t="s">
        <v>38</v>
      </c>
      <c r="E1697" s="3" t="s">
        <v>25</v>
      </c>
      <c r="F1697" s="3" t="s">
        <v>25</v>
      </c>
      <c r="G1697" s="3" t="s">
        <v>25</v>
      </c>
      <c r="H1697" s="3" t="s">
        <v>34</v>
      </c>
      <c r="I1697" s="6">
        <v>44409</v>
      </c>
      <c r="J1697" s="4">
        <v>0</v>
      </c>
      <c r="K1697" s="4">
        <v>0</v>
      </c>
      <c r="L1697" s="4">
        <v>9.6000000000000002E-2</v>
      </c>
      <c r="M1697" s="4">
        <v>9.6000000000000002E-2</v>
      </c>
      <c r="N1697" s="4">
        <v>9.6000000000000002E-2</v>
      </c>
      <c r="O1697" s="4">
        <v>9.6000000000000002E-2</v>
      </c>
      <c r="P1697" s="4">
        <v>0</v>
      </c>
      <c r="Q1697" s="3" t="s">
        <v>26</v>
      </c>
      <c r="R1697" s="3">
        <v>0</v>
      </c>
      <c r="S1697" s="4">
        <v>0</v>
      </c>
      <c r="T1697" s="4">
        <v>42</v>
      </c>
      <c r="U1697" s="4">
        <v>59</v>
      </c>
      <c r="V1697" s="4">
        <v>0</v>
      </c>
      <c r="W1697" s="4">
        <v>962.61</v>
      </c>
      <c r="X1697" s="4">
        <v>365.5</v>
      </c>
      <c r="Y1697" s="4"/>
      <c r="Z1697" s="4">
        <v>1188.1136472101987</v>
      </c>
      <c r="AA1697" s="4">
        <v>381.42546590200942</v>
      </c>
      <c r="AB1697" s="4">
        <v>0</v>
      </c>
      <c r="AC1697" s="4">
        <v>92.410560000000004</v>
      </c>
      <c r="AD1697" s="4">
        <v>35.088000000000001</v>
      </c>
      <c r="AE1697" s="4">
        <v>0</v>
      </c>
      <c r="AF1697" s="4">
        <v>114.05891013217908</v>
      </c>
      <c r="AG1697" s="4">
        <v>36.616844726592902</v>
      </c>
    </row>
    <row r="1698" spans="1:33" ht="11.25" customHeight="1" x14ac:dyDescent="0.25">
      <c r="A1698" s="3" t="s">
        <v>21</v>
      </c>
      <c r="B1698" s="3" t="s">
        <v>37</v>
      </c>
      <c r="C1698" s="3" t="s">
        <v>33</v>
      </c>
      <c r="D1698" s="3" t="s">
        <v>38</v>
      </c>
      <c r="E1698" s="3" t="s">
        <v>25</v>
      </c>
      <c r="F1698" s="3" t="s">
        <v>25</v>
      </c>
      <c r="G1698" s="3" t="s">
        <v>25</v>
      </c>
      <c r="H1698" s="3" t="s">
        <v>34</v>
      </c>
      <c r="I1698" s="6">
        <v>44440</v>
      </c>
      <c r="J1698" s="4">
        <v>0</v>
      </c>
      <c r="K1698" s="4">
        <v>0</v>
      </c>
      <c r="L1698" s="4">
        <v>9.0999999999999998E-2</v>
      </c>
      <c r="M1698" s="4">
        <v>9.0999999999999998E-2</v>
      </c>
      <c r="N1698" s="4">
        <v>9.0999999999999998E-2</v>
      </c>
      <c r="O1698" s="4">
        <v>9.0999999999999998E-2</v>
      </c>
      <c r="P1698" s="4">
        <v>0</v>
      </c>
      <c r="Q1698" s="3" t="s">
        <v>26</v>
      </c>
      <c r="R1698" s="3">
        <v>0</v>
      </c>
      <c r="S1698" s="4">
        <v>0</v>
      </c>
      <c r="T1698" s="4">
        <v>42</v>
      </c>
      <c r="U1698" s="4">
        <v>59</v>
      </c>
      <c r="V1698" s="4">
        <v>0</v>
      </c>
      <c r="W1698" s="4">
        <v>962.61</v>
      </c>
      <c r="X1698" s="4">
        <v>365.5</v>
      </c>
      <c r="Y1698" s="4"/>
      <c r="Z1698" s="4">
        <v>1188.1136472101987</v>
      </c>
      <c r="AA1698" s="4">
        <v>381.42546590200942</v>
      </c>
      <c r="AB1698" s="4">
        <v>0</v>
      </c>
      <c r="AC1698" s="4">
        <v>87.59751</v>
      </c>
      <c r="AD1698" s="4">
        <v>33.2605</v>
      </c>
      <c r="AE1698" s="4">
        <v>0</v>
      </c>
      <c r="AF1698" s="4">
        <v>108.11834189612807</v>
      </c>
      <c r="AG1698" s="4">
        <v>34.709717397082855</v>
      </c>
    </row>
    <row r="1699" spans="1:33" ht="11.25" customHeight="1" x14ac:dyDescent="0.25">
      <c r="A1699" s="3" t="s">
        <v>21</v>
      </c>
      <c r="B1699" s="3" t="s">
        <v>37</v>
      </c>
      <c r="C1699" s="3" t="s">
        <v>33</v>
      </c>
      <c r="D1699" s="3" t="s">
        <v>38</v>
      </c>
      <c r="E1699" s="3" t="s">
        <v>25</v>
      </c>
      <c r="F1699" s="3" t="s">
        <v>25</v>
      </c>
      <c r="G1699" s="3" t="s">
        <v>25</v>
      </c>
      <c r="H1699" s="3" t="s">
        <v>34</v>
      </c>
      <c r="I1699" s="6">
        <v>44470</v>
      </c>
      <c r="J1699" s="4">
        <v>0</v>
      </c>
      <c r="K1699" s="4">
        <v>0</v>
      </c>
      <c r="L1699" s="4">
        <v>0.105</v>
      </c>
      <c r="M1699" s="4">
        <v>0.105</v>
      </c>
      <c r="N1699" s="4">
        <v>0.105</v>
      </c>
      <c r="O1699" s="4">
        <v>0.105</v>
      </c>
      <c r="P1699" s="4">
        <v>0</v>
      </c>
      <c r="Q1699" s="3" t="s">
        <v>26</v>
      </c>
      <c r="R1699" s="3">
        <v>0</v>
      </c>
      <c r="S1699" s="4">
        <v>0</v>
      </c>
      <c r="T1699" s="4">
        <v>42</v>
      </c>
      <c r="U1699" s="4">
        <v>59</v>
      </c>
      <c r="V1699" s="4">
        <v>0</v>
      </c>
      <c r="W1699" s="4">
        <v>962.61</v>
      </c>
      <c r="X1699" s="4">
        <v>365.5</v>
      </c>
      <c r="Y1699" s="4"/>
      <c r="Z1699" s="4">
        <v>1188.1136472101987</v>
      </c>
      <c r="AA1699" s="4">
        <v>381.42546590200942</v>
      </c>
      <c r="AB1699" s="4">
        <v>0</v>
      </c>
      <c r="AC1699" s="4">
        <v>101.07405</v>
      </c>
      <c r="AD1699" s="4">
        <v>38.377499999999998</v>
      </c>
      <c r="AE1699" s="4">
        <v>0</v>
      </c>
      <c r="AF1699" s="4">
        <v>124.75193295707086</v>
      </c>
      <c r="AG1699" s="4">
        <v>40.04967391971099</v>
      </c>
    </row>
    <row r="1700" spans="1:33" ht="11.25" customHeight="1" x14ac:dyDescent="0.25">
      <c r="A1700" s="3" t="s">
        <v>21</v>
      </c>
      <c r="B1700" s="3" t="s">
        <v>37</v>
      </c>
      <c r="C1700" s="3" t="s">
        <v>33</v>
      </c>
      <c r="D1700" s="3" t="s">
        <v>38</v>
      </c>
      <c r="E1700" s="3" t="s">
        <v>25</v>
      </c>
      <c r="F1700" s="3" t="s">
        <v>25</v>
      </c>
      <c r="G1700" s="3" t="s">
        <v>25</v>
      </c>
      <c r="H1700" s="3" t="s">
        <v>34</v>
      </c>
      <c r="I1700" s="6">
        <v>44501</v>
      </c>
      <c r="J1700" s="4">
        <v>0</v>
      </c>
      <c r="K1700" s="4">
        <v>0</v>
      </c>
      <c r="L1700" s="4">
        <v>0.10299999999999999</v>
      </c>
      <c r="M1700" s="4">
        <v>0.10299999999999999</v>
      </c>
      <c r="N1700" s="4">
        <v>0.10299999999999999</v>
      </c>
      <c r="O1700" s="4">
        <v>0.10299999999999999</v>
      </c>
      <c r="P1700" s="4">
        <v>0</v>
      </c>
      <c r="Q1700" s="3" t="s">
        <v>26</v>
      </c>
      <c r="R1700" s="3">
        <v>0</v>
      </c>
      <c r="S1700" s="4">
        <v>0</v>
      </c>
      <c r="T1700" s="4">
        <v>42</v>
      </c>
      <c r="U1700" s="4">
        <v>59</v>
      </c>
      <c r="V1700" s="4">
        <v>0</v>
      </c>
      <c r="W1700" s="4">
        <v>962.61</v>
      </c>
      <c r="X1700" s="4">
        <v>365.5</v>
      </c>
      <c r="Y1700" s="4"/>
      <c r="Z1700" s="4">
        <v>1188.1136472101987</v>
      </c>
      <c r="AA1700" s="4">
        <v>381.42546590200942</v>
      </c>
      <c r="AB1700" s="4">
        <v>0</v>
      </c>
      <c r="AC1700" s="4">
        <v>99.14882999999999</v>
      </c>
      <c r="AD1700" s="4">
        <v>37.646499999999996</v>
      </c>
      <c r="AE1700" s="4">
        <v>0</v>
      </c>
      <c r="AF1700" s="4">
        <v>122.37570566265046</v>
      </c>
      <c r="AG1700" s="4">
        <v>39.286822987906966</v>
      </c>
    </row>
    <row r="1701" spans="1:33" ht="11.25" customHeight="1" x14ac:dyDescent="0.25">
      <c r="A1701" s="3" t="s">
        <v>21</v>
      </c>
      <c r="B1701" s="3" t="s">
        <v>37</v>
      </c>
      <c r="C1701" s="3" t="s">
        <v>33</v>
      </c>
      <c r="D1701" s="3" t="s">
        <v>38</v>
      </c>
      <c r="E1701" s="3" t="s">
        <v>25</v>
      </c>
      <c r="F1701" s="3" t="s">
        <v>25</v>
      </c>
      <c r="G1701" s="3" t="s">
        <v>25</v>
      </c>
      <c r="H1701" s="3" t="s">
        <v>34</v>
      </c>
      <c r="I1701" s="6">
        <v>44531</v>
      </c>
      <c r="J1701" s="4">
        <v>0</v>
      </c>
      <c r="K1701" s="4">
        <v>0</v>
      </c>
      <c r="L1701" s="4">
        <v>0.11</v>
      </c>
      <c r="M1701" s="4">
        <v>0.11</v>
      </c>
      <c r="N1701" s="4">
        <v>0.11</v>
      </c>
      <c r="O1701" s="4">
        <v>0.11</v>
      </c>
      <c r="P1701" s="4">
        <v>0</v>
      </c>
      <c r="Q1701" s="3" t="s">
        <v>26</v>
      </c>
      <c r="R1701" s="3">
        <v>0</v>
      </c>
      <c r="S1701" s="4">
        <v>0</v>
      </c>
      <c r="T1701" s="4">
        <v>42</v>
      </c>
      <c r="U1701" s="4">
        <v>59</v>
      </c>
      <c r="V1701" s="4">
        <v>0</v>
      </c>
      <c r="W1701" s="4">
        <v>962.61</v>
      </c>
      <c r="X1701" s="4">
        <v>365.5</v>
      </c>
      <c r="Y1701" s="4"/>
      <c r="Z1701" s="4">
        <v>1188.1136472101987</v>
      </c>
      <c r="AA1701" s="4">
        <v>381.42546590200942</v>
      </c>
      <c r="AB1701" s="4">
        <v>0</v>
      </c>
      <c r="AC1701" s="4">
        <v>105.8871</v>
      </c>
      <c r="AD1701" s="4">
        <v>40.204999999999998</v>
      </c>
      <c r="AE1701" s="4">
        <v>0</v>
      </c>
      <c r="AF1701" s="4">
        <v>130.69250119312184</v>
      </c>
      <c r="AG1701" s="4">
        <v>41.956801249221037</v>
      </c>
    </row>
    <row r="1702" spans="1:33" ht="11.25" customHeight="1" x14ac:dyDescent="0.25">
      <c r="A1702" s="3" t="s">
        <v>21</v>
      </c>
      <c r="B1702" s="3" t="s">
        <v>37</v>
      </c>
      <c r="C1702" s="3" t="s">
        <v>33</v>
      </c>
      <c r="D1702" s="3" t="s">
        <v>38</v>
      </c>
      <c r="E1702" s="3" t="s">
        <v>25</v>
      </c>
      <c r="F1702" s="3" t="s">
        <v>25</v>
      </c>
      <c r="G1702" s="3" t="s">
        <v>25</v>
      </c>
      <c r="H1702" s="3" t="s">
        <v>34</v>
      </c>
      <c r="I1702" s="6">
        <v>44562</v>
      </c>
      <c r="J1702" s="4">
        <v>0</v>
      </c>
      <c r="K1702" s="4">
        <v>0</v>
      </c>
      <c r="L1702" s="4">
        <v>0.107</v>
      </c>
      <c r="M1702" s="4">
        <v>0.107</v>
      </c>
      <c r="N1702" s="4">
        <v>0.107</v>
      </c>
      <c r="O1702" s="4">
        <v>0.107</v>
      </c>
      <c r="P1702" s="4">
        <v>0</v>
      </c>
      <c r="Q1702" s="3" t="s">
        <v>26</v>
      </c>
      <c r="R1702" s="3">
        <v>0</v>
      </c>
      <c r="S1702" s="4">
        <v>0</v>
      </c>
      <c r="T1702" s="4">
        <v>42</v>
      </c>
      <c r="U1702" s="4">
        <v>59</v>
      </c>
      <c r="V1702" s="4">
        <v>0</v>
      </c>
      <c r="W1702" s="4">
        <v>962.61</v>
      </c>
      <c r="X1702" s="4">
        <v>365.5</v>
      </c>
      <c r="Y1702" s="4"/>
      <c r="Z1702" s="4">
        <v>1188.1136472101987</v>
      </c>
      <c r="AA1702" s="4">
        <v>381.42546590200942</v>
      </c>
      <c r="AB1702" s="4">
        <v>0</v>
      </c>
      <c r="AC1702" s="4">
        <v>102.99927</v>
      </c>
      <c r="AD1702" s="4">
        <v>39.108499999999999</v>
      </c>
      <c r="AE1702" s="4">
        <v>0</v>
      </c>
      <c r="AF1702" s="4">
        <v>127.12816025149125</v>
      </c>
      <c r="AG1702" s="4">
        <v>40.812524851515008</v>
      </c>
    </row>
    <row r="1703" spans="1:33" ht="11.25" customHeight="1" x14ac:dyDescent="0.25">
      <c r="A1703" s="3" t="s">
        <v>21</v>
      </c>
      <c r="B1703" s="3" t="s">
        <v>37</v>
      </c>
      <c r="C1703" s="3" t="s">
        <v>33</v>
      </c>
      <c r="D1703" s="3" t="s">
        <v>38</v>
      </c>
      <c r="E1703" s="3" t="s">
        <v>25</v>
      </c>
      <c r="F1703" s="3" t="s">
        <v>25</v>
      </c>
      <c r="G1703" s="3" t="s">
        <v>25</v>
      </c>
      <c r="H1703" s="3" t="s">
        <v>34</v>
      </c>
      <c r="I1703" s="6">
        <v>44593</v>
      </c>
      <c r="J1703" s="4">
        <v>0</v>
      </c>
      <c r="K1703" s="4">
        <v>0</v>
      </c>
      <c r="L1703" s="4">
        <v>0.13400000000000001</v>
      </c>
      <c r="M1703" s="4">
        <v>0.13400000000000001</v>
      </c>
      <c r="N1703" s="4">
        <v>0.13400000000000001</v>
      </c>
      <c r="O1703" s="4">
        <v>0.13400000000000001</v>
      </c>
      <c r="P1703" s="4">
        <v>0</v>
      </c>
      <c r="Q1703" s="3" t="s">
        <v>26</v>
      </c>
      <c r="R1703" s="3">
        <v>0</v>
      </c>
      <c r="S1703" s="4">
        <v>0</v>
      </c>
      <c r="T1703" s="4">
        <v>42</v>
      </c>
      <c r="U1703" s="4">
        <v>59</v>
      </c>
      <c r="V1703" s="4">
        <v>0</v>
      </c>
      <c r="W1703" s="4">
        <v>962.61</v>
      </c>
      <c r="X1703" s="4">
        <v>365.5</v>
      </c>
      <c r="Y1703" s="4"/>
      <c r="Z1703" s="4">
        <v>1188.1136472101987</v>
      </c>
      <c r="AA1703" s="4">
        <v>381.42546590200942</v>
      </c>
      <c r="AB1703" s="4">
        <v>0</v>
      </c>
      <c r="AC1703" s="4">
        <v>128.98974000000001</v>
      </c>
      <c r="AD1703" s="4">
        <v>48.977000000000004</v>
      </c>
      <c r="AE1703" s="4">
        <v>0</v>
      </c>
      <c r="AF1703" s="4">
        <v>159.20722872616662</v>
      </c>
      <c r="AG1703" s="4">
        <v>51.111012430869266</v>
      </c>
    </row>
    <row r="1704" spans="1:33" ht="11.25" customHeight="1" x14ac:dyDescent="0.25">
      <c r="A1704" s="3" t="s">
        <v>56</v>
      </c>
      <c r="B1704" s="3" t="s">
        <v>37</v>
      </c>
      <c r="C1704" s="3" t="s">
        <v>33</v>
      </c>
      <c r="D1704" s="3" t="s">
        <v>38</v>
      </c>
      <c r="E1704" s="3" t="s">
        <v>25</v>
      </c>
      <c r="F1704" s="3" t="s">
        <v>25</v>
      </c>
      <c r="G1704" s="3" t="s">
        <v>25</v>
      </c>
      <c r="H1704" s="3" t="s">
        <v>34</v>
      </c>
      <c r="I1704" s="6">
        <v>44621</v>
      </c>
      <c r="J1704" s="4">
        <v>0</v>
      </c>
      <c r="K1704" s="4">
        <v>0</v>
      </c>
      <c r="L1704" s="4">
        <v>0.13400000000000001</v>
      </c>
      <c r="M1704" s="4">
        <v>0.13400000000000001</v>
      </c>
      <c r="N1704" s="4">
        <v>0.13400000000000001</v>
      </c>
      <c r="O1704" s="4">
        <v>0.13400000000000001</v>
      </c>
      <c r="P1704" s="4">
        <v>0</v>
      </c>
      <c r="Q1704" s="3" t="s">
        <v>26</v>
      </c>
      <c r="R1704" s="3">
        <v>0</v>
      </c>
      <c r="S1704" s="4">
        <v>0</v>
      </c>
      <c r="T1704" s="4">
        <v>42</v>
      </c>
      <c r="U1704" s="4">
        <v>59</v>
      </c>
      <c r="V1704" s="4">
        <v>0</v>
      </c>
      <c r="W1704" s="4">
        <v>962.61</v>
      </c>
      <c r="X1704" s="4">
        <v>365.5</v>
      </c>
      <c r="Y1704" s="4"/>
      <c r="Z1704" s="4">
        <v>1188.1136472101987</v>
      </c>
      <c r="AA1704" s="4">
        <v>381.42546590200942</v>
      </c>
      <c r="AB1704" s="4">
        <v>0</v>
      </c>
      <c r="AC1704" s="4">
        <v>128.98974000000001</v>
      </c>
      <c r="AD1704" s="4">
        <v>48.977000000000004</v>
      </c>
      <c r="AE1704" s="4">
        <v>0</v>
      </c>
      <c r="AF1704" s="4">
        <v>159.20722872616662</v>
      </c>
      <c r="AG1704" s="4">
        <v>51.111012430869266</v>
      </c>
    </row>
    <row r="1705" spans="1:33" ht="11.25" customHeight="1" x14ac:dyDescent="0.25">
      <c r="A1705" s="3" t="s">
        <v>21</v>
      </c>
      <c r="B1705" s="3" t="s">
        <v>37</v>
      </c>
      <c r="C1705" s="3" t="s">
        <v>23</v>
      </c>
      <c r="D1705" s="3" t="s">
        <v>43</v>
      </c>
      <c r="E1705" s="3" t="s">
        <v>25</v>
      </c>
      <c r="F1705" s="3" t="s">
        <v>25</v>
      </c>
      <c r="G1705" s="3" t="s">
        <v>25</v>
      </c>
      <c r="H1705" s="3" t="s">
        <v>25</v>
      </c>
      <c r="I1705" s="6">
        <v>44287</v>
      </c>
      <c r="J1705" s="4">
        <v>0</v>
      </c>
      <c r="K1705" s="4">
        <v>0</v>
      </c>
      <c r="L1705" s="4">
        <v>21437.172999999999</v>
      </c>
      <c r="M1705" s="4">
        <v>21437.172999999999</v>
      </c>
      <c r="N1705" s="4">
        <v>21437.172999999999</v>
      </c>
      <c r="O1705" s="4">
        <v>21437.172999999999</v>
      </c>
      <c r="P1705" s="4">
        <v>43343</v>
      </c>
      <c r="Q1705" s="3" t="s">
        <v>26</v>
      </c>
      <c r="R1705" s="3">
        <v>0</v>
      </c>
      <c r="S1705" s="4">
        <v>0</v>
      </c>
      <c r="T1705" s="4">
        <v>84</v>
      </c>
      <c r="U1705" s="4">
        <v>7</v>
      </c>
      <c r="V1705" s="4">
        <v>0</v>
      </c>
      <c r="W1705" s="4">
        <v>346.2</v>
      </c>
      <c r="X1705" s="4">
        <v>234.24</v>
      </c>
      <c r="Y1705" s="4"/>
      <c r="Z1705" s="4">
        <v>430.49583108604207</v>
      </c>
      <c r="AA1705" s="4">
        <v>247.48951138739608</v>
      </c>
      <c r="AB1705" s="4">
        <v>0</v>
      </c>
      <c r="AC1705" s="4">
        <v>7421549.2925999993</v>
      </c>
      <c r="AD1705" s="4">
        <v>5021443.4035200002</v>
      </c>
      <c r="AE1705" s="4">
        <v>0</v>
      </c>
      <c r="AF1705" s="4">
        <v>9228613.6067702621</v>
      </c>
      <c r="AG1705" s="4">
        <v>5305475.4712970797</v>
      </c>
    </row>
    <row r="1706" spans="1:33" ht="11.25" customHeight="1" x14ac:dyDescent="0.25">
      <c r="A1706" s="3" t="s">
        <v>27</v>
      </c>
      <c r="B1706" s="3" t="s">
        <v>37</v>
      </c>
      <c r="C1706" s="3" t="s">
        <v>23</v>
      </c>
      <c r="D1706" s="3" t="s">
        <v>43</v>
      </c>
      <c r="E1706" s="3" t="s">
        <v>25</v>
      </c>
      <c r="F1706" s="3" t="s">
        <v>25</v>
      </c>
      <c r="G1706" s="3" t="s">
        <v>25</v>
      </c>
      <c r="H1706" s="3" t="s">
        <v>25</v>
      </c>
      <c r="I1706" s="6">
        <v>44287</v>
      </c>
      <c r="J1706" s="4">
        <v>0</v>
      </c>
      <c r="K1706" s="4">
        <v>0</v>
      </c>
      <c r="L1706" s="4">
        <v>-108.08199999999999</v>
      </c>
      <c r="M1706" s="4">
        <v>-108.08199999999999</v>
      </c>
      <c r="N1706" s="4">
        <v>-108.08199999999999</v>
      </c>
      <c r="O1706" s="4">
        <v>-108.08199999999999</v>
      </c>
      <c r="P1706" s="4">
        <v>-18</v>
      </c>
      <c r="Q1706" s="3" t="s">
        <v>26</v>
      </c>
      <c r="R1706" s="3">
        <v>0</v>
      </c>
      <c r="S1706" s="4">
        <v>0</v>
      </c>
      <c r="T1706" s="4">
        <v>84</v>
      </c>
      <c r="U1706" s="4">
        <v>7</v>
      </c>
      <c r="V1706" s="4">
        <v>0</v>
      </c>
      <c r="W1706" s="4">
        <v>346.2</v>
      </c>
      <c r="X1706" s="4">
        <v>234.24</v>
      </c>
      <c r="Y1706" s="4"/>
      <c r="Z1706" s="4">
        <v>430.49583108604207</v>
      </c>
      <c r="AA1706" s="4">
        <v>247.48951138739608</v>
      </c>
      <c r="AB1706" s="4">
        <v>0</v>
      </c>
      <c r="AC1706" s="4">
        <v>-37417.988399999995</v>
      </c>
      <c r="AD1706" s="4">
        <v>-25317.127679999998</v>
      </c>
      <c r="AE1706" s="4">
        <v>0</v>
      </c>
      <c r="AF1706" s="4">
        <v>-46528.850415441593</v>
      </c>
      <c r="AG1706" s="4">
        <v>-26749.161369772541</v>
      </c>
    </row>
    <row r="1707" spans="1:33" ht="11.25" customHeight="1" x14ac:dyDescent="0.25">
      <c r="A1707" s="3" t="s">
        <v>28</v>
      </c>
      <c r="B1707" s="3" t="s">
        <v>37</v>
      </c>
      <c r="C1707" s="3" t="s">
        <v>23</v>
      </c>
      <c r="D1707" s="3" t="s">
        <v>43</v>
      </c>
      <c r="E1707" s="3" t="s">
        <v>25</v>
      </c>
      <c r="F1707" s="3" t="s">
        <v>25</v>
      </c>
      <c r="G1707" s="3" t="s">
        <v>25</v>
      </c>
      <c r="H1707" s="3" t="s">
        <v>25</v>
      </c>
      <c r="I1707" s="6">
        <v>44287</v>
      </c>
      <c r="J1707" s="4">
        <v>0</v>
      </c>
      <c r="K1707" s="4">
        <v>0</v>
      </c>
      <c r="L1707" s="4">
        <v>1304.846</v>
      </c>
      <c r="M1707" s="4">
        <v>1304.846</v>
      </c>
      <c r="N1707" s="4">
        <v>1304.846</v>
      </c>
      <c r="O1707" s="4">
        <v>1304.846</v>
      </c>
      <c r="P1707" s="4">
        <v>1593</v>
      </c>
      <c r="Q1707" s="3" t="s">
        <v>26</v>
      </c>
      <c r="R1707" s="3">
        <v>0</v>
      </c>
      <c r="S1707" s="4">
        <v>0</v>
      </c>
      <c r="T1707" s="4">
        <v>84</v>
      </c>
      <c r="U1707" s="4">
        <v>7</v>
      </c>
      <c r="V1707" s="4">
        <v>0</v>
      </c>
      <c r="W1707" s="4">
        <v>346.2</v>
      </c>
      <c r="X1707" s="4">
        <v>234.24</v>
      </c>
      <c r="Y1707" s="4"/>
      <c r="Z1707" s="4">
        <v>430.49583108604207</v>
      </c>
      <c r="AA1707" s="4">
        <v>247.48951138739608</v>
      </c>
      <c r="AB1707" s="4">
        <v>0</v>
      </c>
      <c r="AC1707" s="4">
        <v>451737.68520000001</v>
      </c>
      <c r="AD1707" s="4">
        <v>305647.12703999999</v>
      </c>
      <c r="AE1707" s="4">
        <v>0</v>
      </c>
      <c r="AF1707" s="4">
        <v>561730.76320929767</v>
      </c>
      <c r="AG1707" s="4">
        <v>322935.69897579821</v>
      </c>
    </row>
    <row r="1708" spans="1:33" ht="11.25" customHeight="1" x14ac:dyDescent="0.25">
      <c r="A1708" s="3" t="s">
        <v>28</v>
      </c>
      <c r="B1708" s="3" t="s">
        <v>37</v>
      </c>
      <c r="C1708" s="3" t="s">
        <v>23</v>
      </c>
      <c r="D1708" s="3" t="s">
        <v>43</v>
      </c>
      <c r="E1708" s="3" t="s">
        <v>25</v>
      </c>
      <c r="F1708" s="3" t="s">
        <v>25</v>
      </c>
      <c r="G1708" s="3" t="s">
        <v>25</v>
      </c>
      <c r="H1708" s="3" t="s">
        <v>25</v>
      </c>
      <c r="I1708" s="6">
        <v>44287</v>
      </c>
      <c r="J1708" s="4">
        <v>0</v>
      </c>
      <c r="K1708" s="4">
        <v>0</v>
      </c>
      <c r="L1708" s="4">
        <v>-1.081</v>
      </c>
      <c r="M1708" s="4">
        <v>-1.081</v>
      </c>
      <c r="N1708" s="4">
        <v>-1.081</v>
      </c>
      <c r="O1708" s="4">
        <v>-1.081</v>
      </c>
      <c r="P1708" s="4">
        <v>0</v>
      </c>
      <c r="Q1708" s="3" t="s">
        <v>26</v>
      </c>
      <c r="R1708" s="3">
        <v>0</v>
      </c>
      <c r="S1708" s="4">
        <v>0</v>
      </c>
      <c r="T1708" s="4">
        <v>84</v>
      </c>
      <c r="U1708" s="4">
        <v>7</v>
      </c>
      <c r="V1708" s="4">
        <v>0</v>
      </c>
      <c r="W1708" s="4">
        <v>346.2</v>
      </c>
      <c r="X1708" s="4">
        <v>234.24</v>
      </c>
      <c r="Y1708" s="4"/>
      <c r="Z1708" s="4">
        <v>430.49583108604207</v>
      </c>
      <c r="AA1708" s="4">
        <v>247.48951138739608</v>
      </c>
      <c r="AB1708" s="4">
        <v>0</v>
      </c>
      <c r="AC1708" s="4">
        <v>-374.24219999999997</v>
      </c>
      <c r="AD1708" s="4">
        <v>-253.21343999999999</v>
      </c>
      <c r="AE1708" s="4">
        <v>0</v>
      </c>
      <c r="AF1708" s="4">
        <v>-465.36599340401148</v>
      </c>
      <c r="AG1708" s="4">
        <v>-267.53616180977514</v>
      </c>
    </row>
    <row r="1709" spans="1:33" ht="11.25" customHeight="1" x14ac:dyDescent="0.25">
      <c r="A1709" s="3" t="s">
        <v>21</v>
      </c>
      <c r="B1709" s="3" t="s">
        <v>37</v>
      </c>
      <c r="C1709" s="3" t="s">
        <v>23</v>
      </c>
      <c r="D1709" s="3" t="s">
        <v>43</v>
      </c>
      <c r="E1709" s="3" t="s">
        <v>25</v>
      </c>
      <c r="F1709" s="3" t="s">
        <v>25</v>
      </c>
      <c r="G1709" s="3" t="s">
        <v>25</v>
      </c>
      <c r="H1709" s="3" t="s">
        <v>25</v>
      </c>
      <c r="I1709" s="6">
        <v>44317</v>
      </c>
      <c r="J1709" s="4">
        <v>0</v>
      </c>
      <c r="K1709" s="4">
        <v>0</v>
      </c>
      <c r="L1709" s="4">
        <v>19891.690999999999</v>
      </c>
      <c r="M1709" s="4">
        <v>19891.690999999999</v>
      </c>
      <c r="N1709" s="4">
        <v>19891.690999999999</v>
      </c>
      <c r="O1709" s="4">
        <v>19891.690999999999</v>
      </c>
      <c r="P1709" s="4">
        <v>43279</v>
      </c>
      <c r="Q1709" s="3" t="s">
        <v>26</v>
      </c>
      <c r="R1709" s="3">
        <v>0</v>
      </c>
      <c r="S1709" s="4">
        <v>0</v>
      </c>
      <c r="T1709" s="4">
        <v>84</v>
      </c>
      <c r="U1709" s="4">
        <v>7</v>
      </c>
      <c r="V1709" s="4">
        <v>0</v>
      </c>
      <c r="W1709" s="4">
        <v>346.2</v>
      </c>
      <c r="X1709" s="4">
        <v>234.24</v>
      </c>
      <c r="Y1709" s="4"/>
      <c r="Z1709" s="4">
        <v>430.49583108604207</v>
      </c>
      <c r="AA1709" s="4">
        <v>247.48951138739608</v>
      </c>
      <c r="AB1709" s="4">
        <v>0</v>
      </c>
      <c r="AC1709" s="4">
        <v>6886503.4241999993</v>
      </c>
      <c r="AD1709" s="4">
        <v>4659429.6998399999</v>
      </c>
      <c r="AE1709" s="4">
        <v>0</v>
      </c>
      <c r="AF1709" s="4">
        <v>8563290.0487517435</v>
      </c>
      <c r="AG1709" s="4">
        <v>4922984.8862590641</v>
      </c>
    </row>
    <row r="1710" spans="1:33" ht="11.25" customHeight="1" x14ac:dyDescent="0.25">
      <c r="A1710" s="3" t="s">
        <v>27</v>
      </c>
      <c r="B1710" s="3" t="s">
        <v>37</v>
      </c>
      <c r="C1710" s="3" t="s">
        <v>23</v>
      </c>
      <c r="D1710" s="3" t="s">
        <v>43</v>
      </c>
      <c r="E1710" s="3" t="s">
        <v>25</v>
      </c>
      <c r="F1710" s="3" t="s">
        <v>25</v>
      </c>
      <c r="G1710" s="3" t="s">
        <v>25</v>
      </c>
      <c r="H1710" s="3" t="s">
        <v>25</v>
      </c>
      <c r="I1710" s="6">
        <v>44317</v>
      </c>
      <c r="J1710" s="4">
        <v>0</v>
      </c>
      <c r="K1710" s="4">
        <v>0</v>
      </c>
      <c r="L1710" s="4">
        <v>-135.714</v>
      </c>
      <c r="M1710" s="4">
        <v>-135.714</v>
      </c>
      <c r="N1710" s="4">
        <v>-135.714</v>
      </c>
      <c r="O1710" s="4">
        <v>-135.714</v>
      </c>
      <c r="P1710" s="4">
        <v>-10</v>
      </c>
      <c r="Q1710" s="3" t="s">
        <v>26</v>
      </c>
      <c r="R1710" s="3">
        <v>0</v>
      </c>
      <c r="S1710" s="4">
        <v>0</v>
      </c>
      <c r="T1710" s="4">
        <v>84</v>
      </c>
      <c r="U1710" s="4">
        <v>7</v>
      </c>
      <c r="V1710" s="4">
        <v>0</v>
      </c>
      <c r="W1710" s="4">
        <v>346.2</v>
      </c>
      <c r="X1710" s="4">
        <v>234.24</v>
      </c>
      <c r="Y1710" s="4"/>
      <c r="Z1710" s="4">
        <v>430.49583108604207</v>
      </c>
      <c r="AA1710" s="4">
        <v>247.48951138739608</v>
      </c>
      <c r="AB1710" s="4">
        <v>0</v>
      </c>
      <c r="AC1710" s="4">
        <v>-46984.186799999996</v>
      </c>
      <c r="AD1710" s="4">
        <v>-31789.647360000003</v>
      </c>
      <c r="AE1710" s="4">
        <v>0</v>
      </c>
      <c r="AF1710" s="4">
        <v>-58424.311220011114</v>
      </c>
      <c r="AG1710" s="4">
        <v>-33587.791548429072</v>
      </c>
    </row>
    <row r="1711" spans="1:33" ht="11.25" customHeight="1" x14ac:dyDescent="0.25">
      <c r="A1711" s="3" t="s">
        <v>28</v>
      </c>
      <c r="B1711" s="3" t="s">
        <v>37</v>
      </c>
      <c r="C1711" s="3" t="s">
        <v>23</v>
      </c>
      <c r="D1711" s="3" t="s">
        <v>43</v>
      </c>
      <c r="E1711" s="3" t="s">
        <v>25</v>
      </c>
      <c r="F1711" s="3" t="s">
        <v>25</v>
      </c>
      <c r="G1711" s="3" t="s">
        <v>25</v>
      </c>
      <c r="H1711" s="3" t="s">
        <v>25</v>
      </c>
      <c r="I1711" s="6">
        <v>44317</v>
      </c>
      <c r="J1711" s="4">
        <v>0</v>
      </c>
      <c r="K1711" s="4">
        <v>0</v>
      </c>
      <c r="L1711" s="4">
        <v>1190.616</v>
      </c>
      <c r="M1711" s="4">
        <v>1190.616</v>
      </c>
      <c r="N1711" s="4">
        <v>1190.616</v>
      </c>
      <c r="O1711" s="4">
        <v>1190.616</v>
      </c>
      <c r="P1711" s="4">
        <v>1632</v>
      </c>
      <c r="Q1711" s="3" t="s">
        <v>26</v>
      </c>
      <c r="R1711" s="3">
        <v>0</v>
      </c>
      <c r="S1711" s="4">
        <v>0</v>
      </c>
      <c r="T1711" s="4">
        <v>84</v>
      </c>
      <c r="U1711" s="4">
        <v>7</v>
      </c>
      <c r="V1711" s="4">
        <v>0</v>
      </c>
      <c r="W1711" s="4">
        <v>346.2</v>
      </c>
      <c r="X1711" s="4">
        <v>234.24</v>
      </c>
      <c r="Y1711" s="4"/>
      <c r="Z1711" s="4">
        <v>430.49583108604207</v>
      </c>
      <c r="AA1711" s="4">
        <v>247.48951138739608</v>
      </c>
      <c r="AB1711" s="4">
        <v>0</v>
      </c>
      <c r="AC1711" s="4">
        <v>412191.25919999997</v>
      </c>
      <c r="AD1711" s="4">
        <v>278889.89184</v>
      </c>
      <c r="AE1711" s="4">
        <v>0</v>
      </c>
      <c r="AF1711" s="4">
        <v>512555.22442433907</v>
      </c>
      <c r="AG1711" s="4">
        <v>294664.97209001594</v>
      </c>
    </row>
    <row r="1712" spans="1:33" ht="11.25" customHeight="1" x14ac:dyDescent="0.25">
      <c r="A1712" s="3" t="s">
        <v>21</v>
      </c>
      <c r="B1712" s="3" t="s">
        <v>37</v>
      </c>
      <c r="C1712" s="3" t="s">
        <v>23</v>
      </c>
      <c r="D1712" s="3" t="s">
        <v>43</v>
      </c>
      <c r="E1712" s="3" t="s">
        <v>25</v>
      </c>
      <c r="F1712" s="3" t="s">
        <v>25</v>
      </c>
      <c r="G1712" s="3" t="s">
        <v>25</v>
      </c>
      <c r="H1712" s="3" t="s">
        <v>25</v>
      </c>
      <c r="I1712" s="6">
        <v>44348</v>
      </c>
      <c r="J1712" s="4">
        <v>0</v>
      </c>
      <c r="K1712" s="4">
        <v>0</v>
      </c>
      <c r="L1712" s="4">
        <v>19684.055</v>
      </c>
      <c r="M1712" s="4">
        <v>19684.055</v>
      </c>
      <c r="N1712" s="4">
        <v>19684.055</v>
      </c>
      <c r="O1712" s="4">
        <v>19684.055</v>
      </c>
      <c r="P1712" s="4">
        <v>43297</v>
      </c>
      <c r="Q1712" s="3" t="s">
        <v>26</v>
      </c>
      <c r="R1712" s="3">
        <v>0</v>
      </c>
      <c r="S1712" s="4">
        <v>0</v>
      </c>
      <c r="T1712" s="4">
        <v>84</v>
      </c>
      <c r="U1712" s="4">
        <v>7</v>
      </c>
      <c r="V1712" s="4">
        <v>0</v>
      </c>
      <c r="W1712" s="4">
        <v>346.2</v>
      </c>
      <c r="X1712" s="4">
        <v>234.24</v>
      </c>
      <c r="Y1712" s="4"/>
      <c r="Z1712" s="4">
        <v>430.49583108604207</v>
      </c>
      <c r="AA1712" s="4">
        <v>247.48951138739608</v>
      </c>
      <c r="AB1712" s="4">
        <v>0</v>
      </c>
      <c r="AC1712" s="4">
        <v>6814619.841</v>
      </c>
      <c r="AD1712" s="4">
        <v>4610793.0432000002</v>
      </c>
      <c r="AE1712" s="4">
        <v>0</v>
      </c>
      <c r="AF1712" s="4">
        <v>8473903.6163683627</v>
      </c>
      <c r="AG1712" s="4">
        <v>4871597.1540726312</v>
      </c>
    </row>
    <row r="1713" spans="1:33" ht="11.25" customHeight="1" x14ac:dyDescent="0.25">
      <c r="A1713" s="3" t="s">
        <v>27</v>
      </c>
      <c r="B1713" s="3" t="s">
        <v>37</v>
      </c>
      <c r="C1713" s="3" t="s">
        <v>23</v>
      </c>
      <c r="D1713" s="3" t="s">
        <v>43</v>
      </c>
      <c r="E1713" s="3" t="s">
        <v>25</v>
      </c>
      <c r="F1713" s="3" t="s">
        <v>25</v>
      </c>
      <c r="G1713" s="3" t="s">
        <v>25</v>
      </c>
      <c r="H1713" s="3" t="s">
        <v>25</v>
      </c>
      <c r="I1713" s="6">
        <v>44348</v>
      </c>
      <c r="J1713" s="4">
        <v>0</v>
      </c>
      <c r="K1713" s="4">
        <v>0</v>
      </c>
      <c r="L1713" s="4">
        <v>-125.229</v>
      </c>
      <c r="M1713" s="4">
        <v>-125.229</v>
      </c>
      <c r="N1713" s="4">
        <v>-125.229</v>
      </c>
      <c r="O1713" s="4">
        <v>-125.229</v>
      </c>
      <c r="P1713" s="4">
        <v>-12</v>
      </c>
      <c r="Q1713" s="3" t="s">
        <v>26</v>
      </c>
      <c r="R1713" s="3">
        <v>0</v>
      </c>
      <c r="S1713" s="4">
        <v>0</v>
      </c>
      <c r="T1713" s="4">
        <v>84</v>
      </c>
      <c r="U1713" s="4">
        <v>7</v>
      </c>
      <c r="V1713" s="4">
        <v>0</v>
      </c>
      <c r="W1713" s="4">
        <v>346.2</v>
      </c>
      <c r="X1713" s="4">
        <v>234.24</v>
      </c>
      <c r="Y1713" s="4"/>
      <c r="Z1713" s="4">
        <v>430.49583108604207</v>
      </c>
      <c r="AA1713" s="4">
        <v>247.48951138739608</v>
      </c>
      <c r="AB1713" s="4">
        <v>0</v>
      </c>
      <c r="AC1713" s="4">
        <v>-43354.279799999997</v>
      </c>
      <c r="AD1713" s="4">
        <v>-29333.640960000001</v>
      </c>
      <c r="AE1713" s="4">
        <v>0</v>
      </c>
      <c r="AF1713" s="4">
        <v>-53910.562431073966</v>
      </c>
      <c r="AG1713" s="4">
        <v>-30992.864021532223</v>
      </c>
    </row>
    <row r="1714" spans="1:33" ht="11.25" customHeight="1" x14ac:dyDescent="0.25">
      <c r="A1714" s="3" t="s">
        <v>28</v>
      </c>
      <c r="B1714" s="3" t="s">
        <v>37</v>
      </c>
      <c r="C1714" s="3" t="s">
        <v>23</v>
      </c>
      <c r="D1714" s="3" t="s">
        <v>43</v>
      </c>
      <c r="E1714" s="3" t="s">
        <v>25</v>
      </c>
      <c r="F1714" s="3" t="s">
        <v>25</v>
      </c>
      <c r="G1714" s="3" t="s">
        <v>25</v>
      </c>
      <c r="H1714" s="3" t="s">
        <v>25</v>
      </c>
      <c r="I1714" s="6">
        <v>44348</v>
      </c>
      <c r="J1714" s="4">
        <v>0</v>
      </c>
      <c r="K1714" s="4">
        <v>0</v>
      </c>
      <c r="L1714" s="4">
        <v>1159.0909999999999</v>
      </c>
      <c r="M1714" s="4">
        <v>1159.0909999999999</v>
      </c>
      <c r="N1714" s="4">
        <v>1159.0909999999999</v>
      </c>
      <c r="O1714" s="4">
        <v>1159.0909999999999</v>
      </c>
      <c r="P1714" s="4">
        <v>1680</v>
      </c>
      <c r="Q1714" s="3" t="s">
        <v>26</v>
      </c>
      <c r="R1714" s="3">
        <v>0</v>
      </c>
      <c r="S1714" s="4">
        <v>0</v>
      </c>
      <c r="T1714" s="4">
        <v>84</v>
      </c>
      <c r="U1714" s="4">
        <v>7</v>
      </c>
      <c r="V1714" s="4">
        <v>0</v>
      </c>
      <c r="W1714" s="4">
        <v>346.2</v>
      </c>
      <c r="X1714" s="4">
        <v>234.24</v>
      </c>
      <c r="Y1714" s="4"/>
      <c r="Z1714" s="4">
        <v>430.49583108604207</v>
      </c>
      <c r="AA1714" s="4">
        <v>247.48951138739608</v>
      </c>
      <c r="AB1714" s="4">
        <v>0</v>
      </c>
      <c r="AC1714" s="4">
        <v>401277.30419999996</v>
      </c>
      <c r="AD1714" s="4">
        <v>271505.47583999997</v>
      </c>
      <c r="AE1714" s="4">
        <v>0</v>
      </c>
      <c r="AF1714" s="4">
        <v>498983.84334935155</v>
      </c>
      <c r="AG1714" s="4">
        <v>286862.86524352827</v>
      </c>
    </row>
    <row r="1715" spans="1:33" ht="11.25" customHeight="1" x14ac:dyDescent="0.25">
      <c r="A1715" s="3" t="s">
        <v>28</v>
      </c>
      <c r="B1715" s="3" t="s">
        <v>37</v>
      </c>
      <c r="C1715" s="3" t="s">
        <v>23</v>
      </c>
      <c r="D1715" s="3" t="s">
        <v>43</v>
      </c>
      <c r="E1715" s="3" t="s">
        <v>25</v>
      </c>
      <c r="F1715" s="3" t="s">
        <v>25</v>
      </c>
      <c r="G1715" s="3" t="s">
        <v>25</v>
      </c>
      <c r="H1715" s="3" t="s">
        <v>25</v>
      </c>
      <c r="I1715" s="6">
        <v>44348</v>
      </c>
      <c r="J1715" s="4">
        <v>0</v>
      </c>
      <c r="K1715" s="4">
        <v>0</v>
      </c>
      <c r="L1715" s="4">
        <v>-1.337</v>
      </c>
      <c r="M1715" s="4">
        <v>-1.337</v>
      </c>
      <c r="N1715" s="4">
        <v>-1.337</v>
      </c>
      <c r="O1715" s="4">
        <v>-1.337</v>
      </c>
      <c r="P1715" s="4">
        <v>0</v>
      </c>
      <c r="Q1715" s="3" t="s">
        <v>26</v>
      </c>
      <c r="R1715" s="3">
        <v>0</v>
      </c>
      <c r="S1715" s="4">
        <v>0</v>
      </c>
      <c r="T1715" s="4">
        <v>84</v>
      </c>
      <c r="U1715" s="4">
        <v>7</v>
      </c>
      <c r="V1715" s="4">
        <v>0</v>
      </c>
      <c r="W1715" s="4">
        <v>346.2</v>
      </c>
      <c r="X1715" s="4">
        <v>234.24</v>
      </c>
      <c r="Y1715" s="4"/>
      <c r="Z1715" s="4">
        <v>430.49583108604207</v>
      </c>
      <c r="AA1715" s="4">
        <v>247.48951138739608</v>
      </c>
      <c r="AB1715" s="4">
        <v>0</v>
      </c>
      <c r="AC1715" s="4">
        <v>-462.86939999999998</v>
      </c>
      <c r="AD1715" s="4">
        <v>-313.17887999999999</v>
      </c>
      <c r="AE1715" s="4">
        <v>0</v>
      </c>
      <c r="AF1715" s="4">
        <v>-575.57292616203824</v>
      </c>
      <c r="AG1715" s="4">
        <v>-330.89347672494853</v>
      </c>
    </row>
    <row r="1716" spans="1:33" ht="11.25" customHeight="1" x14ac:dyDescent="0.25">
      <c r="A1716" s="3" t="s">
        <v>21</v>
      </c>
      <c r="B1716" s="3" t="s">
        <v>37</v>
      </c>
      <c r="C1716" s="3" t="s">
        <v>23</v>
      </c>
      <c r="D1716" s="3" t="s">
        <v>43</v>
      </c>
      <c r="E1716" s="3" t="s">
        <v>25</v>
      </c>
      <c r="F1716" s="3" t="s">
        <v>25</v>
      </c>
      <c r="G1716" s="3" t="s">
        <v>25</v>
      </c>
      <c r="H1716" s="3" t="s">
        <v>25</v>
      </c>
      <c r="I1716" s="6">
        <v>44378</v>
      </c>
      <c r="J1716" s="4">
        <v>0</v>
      </c>
      <c r="K1716" s="4">
        <v>0</v>
      </c>
      <c r="L1716" s="4">
        <v>19330.27</v>
      </c>
      <c r="M1716" s="4">
        <v>19330.27</v>
      </c>
      <c r="N1716" s="4">
        <v>19330.27</v>
      </c>
      <c r="O1716" s="4">
        <v>19330.27</v>
      </c>
      <c r="P1716" s="4">
        <v>43276</v>
      </c>
      <c r="Q1716" s="3" t="s">
        <v>26</v>
      </c>
      <c r="R1716" s="3">
        <v>0</v>
      </c>
      <c r="S1716" s="4">
        <v>0</v>
      </c>
      <c r="T1716" s="4">
        <v>84</v>
      </c>
      <c r="U1716" s="4">
        <v>7</v>
      </c>
      <c r="V1716" s="4">
        <v>0</v>
      </c>
      <c r="W1716" s="4">
        <v>346.2</v>
      </c>
      <c r="X1716" s="4">
        <v>234.24</v>
      </c>
      <c r="Y1716" s="4"/>
      <c r="Z1716" s="4">
        <v>430.49583108604207</v>
      </c>
      <c r="AA1716" s="4">
        <v>247.48951138739608</v>
      </c>
      <c r="AB1716" s="4">
        <v>0</v>
      </c>
      <c r="AC1716" s="4">
        <v>6692139.4740000004</v>
      </c>
      <c r="AD1716" s="4">
        <v>4527922.4448000006</v>
      </c>
      <c r="AE1716" s="4">
        <v>0</v>
      </c>
      <c r="AF1716" s="4">
        <v>8321600.6487675868</v>
      </c>
      <c r="AG1716" s="4">
        <v>4784039.0772864409</v>
      </c>
    </row>
    <row r="1717" spans="1:33" ht="11.25" customHeight="1" x14ac:dyDescent="0.25">
      <c r="A1717" s="3" t="s">
        <v>27</v>
      </c>
      <c r="B1717" s="3" t="s">
        <v>37</v>
      </c>
      <c r="C1717" s="3" t="s">
        <v>23</v>
      </c>
      <c r="D1717" s="3" t="s">
        <v>43</v>
      </c>
      <c r="E1717" s="3" t="s">
        <v>25</v>
      </c>
      <c r="F1717" s="3" t="s">
        <v>25</v>
      </c>
      <c r="G1717" s="3" t="s">
        <v>25</v>
      </c>
      <c r="H1717" s="3" t="s">
        <v>25</v>
      </c>
      <c r="I1717" s="6">
        <v>44378</v>
      </c>
      <c r="J1717" s="4">
        <v>0</v>
      </c>
      <c r="K1717" s="4">
        <v>0</v>
      </c>
      <c r="L1717" s="4">
        <v>-6.5590000000000002</v>
      </c>
      <c r="M1717" s="4">
        <v>-6.5590000000000002</v>
      </c>
      <c r="N1717" s="4">
        <v>-6.5590000000000002</v>
      </c>
      <c r="O1717" s="4">
        <v>-6.5590000000000002</v>
      </c>
      <c r="P1717" s="4">
        <v>-16</v>
      </c>
      <c r="Q1717" s="3" t="s">
        <v>26</v>
      </c>
      <c r="R1717" s="3">
        <v>0</v>
      </c>
      <c r="S1717" s="4">
        <v>0</v>
      </c>
      <c r="T1717" s="4">
        <v>84</v>
      </c>
      <c r="U1717" s="4">
        <v>7</v>
      </c>
      <c r="V1717" s="4">
        <v>0</v>
      </c>
      <c r="W1717" s="4">
        <v>346.2</v>
      </c>
      <c r="X1717" s="4">
        <v>234.24</v>
      </c>
      <c r="Y1717" s="4"/>
      <c r="Z1717" s="4">
        <v>430.49583108604207</v>
      </c>
      <c r="AA1717" s="4">
        <v>247.48951138739608</v>
      </c>
      <c r="AB1717" s="4">
        <v>0</v>
      </c>
      <c r="AC1717" s="4">
        <v>-2270.7258000000002</v>
      </c>
      <c r="AD1717" s="4">
        <v>-1536.3801600000002</v>
      </c>
      <c r="AE1717" s="4">
        <v>0</v>
      </c>
      <c r="AF1717" s="4">
        <v>-2823.62215609335</v>
      </c>
      <c r="AG1717" s="4">
        <v>-1623.283705189931</v>
      </c>
    </row>
    <row r="1718" spans="1:33" ht="11.25" customHeight="1" x14ac:dyDescent="0.25">
      <c r="A1718" s="3" t="s">
        <v>28</v>
      </c>
      <c r="B1718" s="3" t="s">
        <v>37</v>
      </c>
      <c r="C1718" s="3" t="s">
        <v>23</v>
      </c>
      <c r="D1718" s="3" t="s">
        <v>43</v>
      </c>
      <c r="E1718" s="3" t="s">
        <v>25</v>
      </c>
      <c r="F1718" s="3" t="s">
        <v>25</v>
      </c>
      <c r="G1718" s="3" t="s">
        <v>25</v>
      </c>
      <c r="H1718" s="3" t="s">
        <v>25</v>
      </c>
      <c r="I1718" s="6">
        <v>44378</v>
      </c>
      <c r="J1718" s="4">
        <v>0</v>
      </c>
      <c r="K1718" s="4">
        <v>0</v>
      </c>
      <c r="L1718" s="4">
        <v>1196.0029999999999</v>
      </c>
      <c r="M1718" s="4">
        <v>1196.0029999999999</v>
      </c>
      <c r="N1718" s="4">
        <v>1196.0029999999999</v>
      </c>
      <c r="O1718" s="4">
        <v>1196.0029999999999</v>
      </c>
      <c r="P1718" s="4">
        <v>1714</v>
      </c>
      <c r="Q1718" s="3" t="s">
        <v>26</v>
      </c>
      <c r="R1718" s="3">
        <v>0</v>
      </c>
      <c r="S1718" s="4">
        <v>0</v>
      </c>
      <c r="T1718" s="4">
        <v>84</v>
      </c>
      <c r="U1718" s="4">
        <v>7</v>
      </c>
      <c r="V1718" s="4">
        <v>0</v>
      </c>
      <c r="W1718" s="4">
        <v>346.2</v>
      </c>
      <c r="X1718" s="4">
        <v>234.24</v>
      </c>
      <c r="Y1718" s="4"/>
      <c r="Z1718" s="4">
        <v>430.49583108604207</v>
      </c>
      <c r="AA1718" s="4">
        <v>247.48951138739608</v>
      </c>
      <c r="AB1718" s="4">
        <v>0</v>
      </c>
      <c r="AC1718" s="4">
        <v>414056.23859999998</v>
      </c>
      <c r="AD1718" s="4">
        <v>280151.74271999998</v>
      </c>
      <c r="AE1718" s="4">
        <v>0</v>
      </c>
      <c r="AF1718" s="4">
        <v>514874.30546639953</v>
      </c>
      <c r="AG1718" s="4">
        <v>295998.19808785984</v>
      </c>
    </row>
    <row r="1719" spans="1:33" ht="11.25" customHeight="1" x14ac:dyDescent="0.25">
      <c r="A1719" s="3" t="s">
        <v>28</v>
      </c>
      <c r="B1719" s="3" t="s">
        <v>37</v>
      </c>
      <c r="C1719" s="3" t="s">
        <v>23</v>
      </c>
      <c r="D1719" s="3" t="s">
        <v>43</v>
      </c>
      <c r="E1719" s="3" t="s">
        <v>25</v>
      </c>
      <c r="F1719" s="3" t="s">
        <v>25</v>
      </c>
      <c r="G1719" s="3" t="s">
        <v>25</v>
      </c>
      <c r="H1719" s="3" t="s">
        <v>25</v>
      </c>
      <c r="I1719" s="6">
        <v>44378</v>
      </c>
      <c r="J1719" s="4">
        <v>0</v>
      </c>
      <c r="K1719" s="4">
        <v>0</v>
      </c>
      <c r="L1719" s="4">
        <v>-21.298999999999999</v>
      </c>
      <c r="M1719" s="4">
        <v>-21.298999999999999</v>
      </c>
      <c r="N1719" s="4">
        <v>-21.298999999999999</v>
      </c>
      <c r="O1719" s="4">
        <v>-21.298999999999999</v>
      </c>
      <c r="P1719" s="4">
        <v>0</v>
      </c>
      <c r="Q1719" s="3" t="s">
        <v>26</v>
      </c>
      <c r="R1719" s="3">
        <v>0</v>
      </c>
      <c r="S1719" s="4">
        <v>0</v>
      </c>
      <c r="T1719" s="4">
        <v>84</v>
      </c>
      <c r="U1719" s="4">
        <v>7</v>
      </c>
      <c r="V1719" s="4">
        <v>0</v>
      </c>
      <c r="W1719" s="4">
        <v>346.2</v>
      </c>
      <c r="X1719" s="4">
        <v>234.24</v>
      </c>
      <c r="Y1719" s="4"/>
      <c r="Z1719" s="4">
        <v>430.49583108604207</v>
      </c>
      <c r="AA1719" s="4">
        <v>247.48951138739608</v>
      </c>
      <c r="AB1719" s="4">
        <v>0</v>
      </c>
      <c r="AC1719" s="4">
        <v>-7373.7137999999995</v>
      </c>
      <c r="AD1719" s="4">
        <v>-4989.0777600000001</v>
      </c>
      <c r="AE1719" s="4">
        <v>0</v>
      </c>
      <c r="AF1719" s="4">
        <v>-9169.1307063016102</v>
      </c>
      <c r="AG1719" s="4">
        <v>-5271.2791030401486</v>
      </c>
    </row>
    <row r="1720" spans="1:33" ht="11.25" customHeight="1" x14ac:dyDescent="0.25">
      <c r="A1720" s="3" t="s">
        <v>21</v>
      </c>
      <c r="B1720" s="3" t="s">
        <v>37</v>
      </c>
      <c r="C1720" s="3" t="s">
        <v>23</v>
      </c>
      <c r="D1720" s="3" t="s">
        <v>43</v>
      </c>
      <c r="E1720" s="3" t="s">
        <v>25</v>
      </c>
      <c r="F1720" s="3" t="s">
        <v>25</v>
      </c>
      <c r="G1720" s="3" t="s">
        <v>25</v>
      </c>
      <c r="H1720" s="3" t="s">
        <v>25</v>
      </c>
      <c r="I1720" s="6">
        <v>44409</v>
      </c>
      <c r="J1720" s="4">
        <v>0</v>
      </c>
      <c r="K1720" s="4">
        <v>0</v>
      </c>
      <c r="L1720" s="4">
        <v>19158.03</v>
      </c>
      <c r="M1720" s="4">
        <v>19158.03</v>
      </c>
      <c r="N1720" s="4">
        <v>19158.03</v>
      </c>
      <c r="O1720" s="4">
        <v>19158.03</v>
      </c>
      <c r="P1720" s="4">
        <v>43244</v>
      </c>
      <c r="Q1720" s="3" t="s">
        <v>26</v>
      </c>
      <c r="R1720" s="3">
        <v>0</v>
      </c>
      <c r="S1720" s="4">
        <v>0</v>
      </c>
      <c r="T1720" s="4">
        <v>84</v>
      </c>
      <c r="U1720" s="4">
        <v>7</v>
      </c>
      <c r="V1720" s="4">
        <v>0</v>
      </c>
      <c r="W1720" s="4">
        <v>346.2</v>
      </c>
      <c r="X1720" s="4">
        <v>234.24</v>
      </c>
      <c r="Y1720" s="4"/>
      <c r="Z1720" s="4">
        <v>430.49583108604207</v>
      </c>
      <c r="AA1720" s="4">
        <v>247.48951138739608</v>
      </c>
      <c r="AB1720" s="4">
        <v>0</v>
      </c>
      <c r="AC1720" s="4">
        <v>6632509.9859999996</v>
      </c>
      <c r="AD1720" s="4">
        <v>4487576.9472000003</v>
      </c>
      <c r="AE1720" s="4">
        <v>0</v>
      </c>
      <c r="AF1720" s="4">
        <v>8247452.046821326</v>
      </c>
      <c r="AG1720" s="4">
        <v>4741411.4838450756</v>
      </c>
    </row>
    <row r="1721" spans="1:33" ht="11.25" customHeight="1" x14ac:dyDescent="0.25">
      <c r="A1721" s="3" t="s">
        <v>27</v>
      </c>
      <c r="B1721" s="3" t="s">
        <v>37</v>
      </c>
      <c r="C1721" s="3" t="s">
        <v>23</v>
      </c>
      <c r="D1721" s="3" t="s">
        <v>43</v>
      </c>
      <c r="E1721" s="3" t="s">
        <v>25</v>
      </c>
      <c r="F1721" s="3" t="s">
        <v>25</v>
      </c>
      <c r="G1721" s="3" t="s">
        <v>25</v>
      </c>
      <c r="H1721" s="3" t="s">
        <v>25</v>
      </c>
      <c r="I1721" s="6">
        <v>44409</v>
      </c>
      <c r="J1721" s="4">
        <v>0</v>
      </c>
      <c r="K1721" s="4">
        <v>0</v>
      </c>
      <c r="L1721" s="4">
        <v>-193.30199999999999</v>
      </c>
      <c r="M1721" s="4">
        <v>-193.30199999999999</v>
      </c>
      <c r="N1721" s="4">
        <v>-193.30199999999999</v>
      </c>
      <c r="O1721" s="4">
        <v>-193.30199999999999</v>
      </c>
      <c r="P1721" s="4">
        <v>-123</v>
      </c>
      <c r="Q1721" s="3" t="s">
        <v>26</v>
      </c>
      <c r="R1721" s="3">
        <v>0</v>
      </c>
      <c r="S1721" s="4">
        <v>0</v>
      </c>
      <c r="T1721" s="4">
        <v>84</v>
      </c>
      <c r="U1721" s="4">
        <v>7</v>
      </c>
      <c r="V1721" s="4">
        <v>0</v>
      </c>
      <c r="W1721" s="4">
        <v>346.2</v>
      </c>
      <c r="X1721" s="4">
        <v>234.24</v>
      </c>
      <c r="Y1721" s="4"/>
      <c r="Z1721" s="4">
        <v>430.49583108604207</v>
      </c>
      <c r="AA1721" s="4">
        <v>247.48951138739608</v>
      </c>
      <c r="AB1721" s="4">
        <v>0</v>
      </c>
      <c r="AC1721" s="4">
        <v>-66921.152399999992</v>
      </c>
      <c r="AD1721" s="4">
        <v>-45279.06048</v>
      </c>
      <c r="AE1721" s="4">
        <v>0</v>
      </c>
      <c r="AF1721" s="4">
        <v>-83215.705140594102</v>
      </c>
      <c r="AG1721" s="4">
        <v>-47840.217530206435</v>
      </c>
    </row>
    <row r="1722" spans="1:33" ht="11.25" customHeight="1" x14ac:dyDescent="0.25">
      <c r="A1722" s="3" t="s">
        <v>28</v>
      </c>
      <c r="B1722" s="3" t="s">
        <v>37</v>
      </c>
      <c r="C1722" s="3" t="s">
        <v>23</v>
      </c>
      <c r="D1722" s="3" t="s">
        <v>43</v>
      </c>
      <c r="E1722" s="3" t="s">
        <v>25</v>
      </c>
      <c r="F1722" s="3" t="s">
        <v>25</v>
      </c>
      <c r="G1722" s="3" t="s">
        <v>25</v>
      </c>
      <c r="H1722" s="3" t="s">
        <v>25</v>
      </c>
      <c r="I1722" s="6">
        <v>44409</v>
      </c>
      <c r="J1722" s="4">
        <v>0</v>
      </c>
      <c r="K1722" s="4">
        <v>0</v>
      </c>
      <c r="L1722" s="4">
        <v>1098.7</v>
      </c>
      <c r="M1722" s="4">
        <v>1098.7</v>
      </c>
      <c r="N1722" s="4">
        <v>1098.7</v>
      </c>
      <c r="O1722" s="4">
        <v>1098.7</v>
      </c>
      <c r="P1722" s="4">
        <v>1764</v>
      </c>
      <c r="Q1722" s="3" t="s">
        <v>26</v>
      </c>
      <c r="R1722" s="3">
        <v>0</v>
      </c>
      <c r="S1722" s="4">
        <v>0</v>
      </c>
      <c r="T1722" s="4">
        <v>84</v>
      </c>
      <c r="U1722" s="4">
        <v>7</v>
      </c>
      <c r="V1722" s="4">
        <v>0</v>
      </c>
      <c r="W1722" s="4">
        <v>346.2</v>
      </c>
      <c r="X1722" s="4">
        <v>234.24</v>
      </c>
      <c r="Y1722" s="4"/>
      <c r="Z1722" s="4">
        <v>430.49583108604207</v>
      </c>
      <c r="AA1722" s="4">
        <v>247.48951138739608</v>
      </c>
      <c r="AB1722" s="4">
        <v>0</v>
      </c>
      <c r="AC1722" s="4">
        <v>380369.94</v>
      </c>
      <c r="AD1722" s="4">
        <v>257359.48800000001</v>
      </c>
      <c r="AE1722" s="4">
        <v>0</v>
      </c>
      <c r="AF1722" s="4">
        <v>472985.76961423445</v>
      </c>
      <c r="AG1722" s="4">
        <v>271916.7261613321</v>
      </c>
    </row>
    <row r="1723" spans="1:33" ht="11.25" customHeight="1" x14ac:dyDescent="0.25">
      <c r="A1723" s="3" t="s">
        <v>28</v>
      </c>
      <c r="B1723" s="3" t="s">
        <v>37</v>
      </c>
      <c r="C1723" s="3" t="s">
        <v>23</v>
      </c>
      <c r="D1723" s="3" t="s">
        <v>43</v>
      </c>
      <c r="E1723" s="3" t="s">
        <v>25</v>
      </c>
      <c r="F1723" s="3" t="s">
        <v>25</v>
      </c>
      <c r="G1723" s="3" t="s">
        <v>25</v>
      </c>
      <c r="H1723" s="3" t="s">
        <v>25</v>
      </c>
      <c r="I1723" s="6">
        <v>44409</v>
      </c>
      <c r="J1723" s="4">
        <v>0</v>
      </c>
      <c r="K1723" s="4">
        <v>0</v>
      </c>
      <c r="L1723" s="4">
        <v>-8.3520000000000003</v>
      </c>
      <c r="M1723" s="4">
        <v>-8.3520000000000003</v>
      </c>
      <c r="N1723" s="4">
        <v>-8.3520000000000003</v>
      </c>
      <c r="O1723" s="4">
        <v>-8.3520000000000003</v>
      </c>
      <c r="P1723" s="4">
        <v>0</v>
      </c>
      <c r="Q1723" s="3" t="s">
        <v>26</v>
      </c>
      <c r="R1723" s="3">
        <v>0</v>
      </c>
      <c r="S1723" s="4">
        <v>0</v>
      </c>
      <c r="T1723" s="4">
        <v>84</v>
      </c>
      <c r="U1723" s="4">
        <v>7</v>
      </c>
      <c r="V1723" s="4">
        <v>0</v>
      </c>
      <c r="W1723" s="4">
        <v>346.2</v>
      </c>
      <c r="X1723" s="4">
        <v>234.24</v>
      </c>
      <c r="Y1723" s="4"/>
      <c r="Z1723" s="4">
        <v>430.49583108604207</v>
      </c>
      <c r="AA1723" s="4">
        <v>247.48951138739608</v>
      </c>
      <c r="AB1723" s="4">
        <v>0</v>
      </c>
      <c r="AC1723" s="4">
        <v>-2891.4623999999999</v>
      </c>
      <c r="AD1723" s="4">
        <v>-1956.3724800000002</v>
      </c>
      <c r="AE1723" s="4">
        <v>0</v>
      </c>
      <c r="AF1723" s="4">
        <v>-3595.5011812306234</v>
      </c>
      <c r="AG1723" s="4">
        <v>-2067.032399107532</v>
      </c>
    </row>
    <row r="1724" spans="1:33" ht="11.25" customHeight="1" x14ac:dyDescent="0.25">
      <c r="A1724" s="3" t="s">
        <v>21</v>
      </c>
      <c r="B1724" s="3" t="s">
        <v>37</v>
      </c>
      <c r="C1724" s="3" t="s">
        <v>23</v>
      </c>
      <c r="D1724" s="3" t="s">
        <v>43</v>
      </c>
      <c r="E1724" s="3" t="s">
        <v>25</v>
      </c>
      <c r="F1724" s="3" t="s">
        <v>25</v>
      </c>
      <c r="G1724" s="3" t="s">
        <v>25</v>
      </c>
      <c r="H1724" s="3" t="s">
        <v>25</v>
      </c>
      <c r="I1724" s="6">
        <v>44440</v>
      </c>
      <c r="J1724" s="4">
        <v>0</v>
      </c>
      <c r="K1724" s="4">
        <v>0</v>
      </c>
      <c r="L1724" s="4">
        <v>19831.866999999998</v>
      </c>
      <c r="M1724" s="4">
        <v>19831.866999999998</v>
      </c>
      <c r="N1724" s="4">
        <v>19831.866999999998</v>
      </c>
      <c r="O1724" s="4">
        <v>19831.866999999998</v>
      </c>
      <c r="P1724" s="4">
        <v>43164</v>
      </c>
      <c r="Q1724" s="3" t="s">
        <v>26</v>
      </c>
      <c r="R1724" s="3">
        <v>0</v>
      </c>
      <c r="S1724" s="4">
        <v>0</v>
      </c>
      <c r="T1724" s="4">
        <v>84</v>
      </c>
      <c r="U1724" s="4">
        <v>7</v>
      </c>
      <c r="V1724" s="4">
        <v>0</v>
      </c>
      <c r="W1724" s="4">
        <v>346.2</v>
      </c>
      <c r="X1724" s="4">
        <v>234.24</v>
      </c>
      <c r="Y1724" s="4"/>
      <c r="Z1724" s="4">
        <v>430.49583108604207</v>
      </c>
      <c r="AA1724" s="4">
        <v>247.48951138739608</v>
      </c>
      <c r="AB1724" s="4">
        <v>0</v>
      </c>
      <c r="AC1724" s="4">
        <v>6865792.3553999988</v>
      </c>
      <c r="AD1724" s="4">
        <v>4645416.5260800002</v>
      </c>
      <c r="AE1724" s="4">
        <v>0</v>
      </c>
      <c r="AF1724" s="4">
        <v>8537536.066152852</v>
      </c>
      <c r="AG1724" s="4">
        <v>4908179.0737298243</v>
      </c>
    </row>
    <row r="1725" spans="1:33" ht="11.25" customHeight="1" x14ac:dyDescent="0.25">
      <c r="A1725" s="3" t="s">
        <v>27</v>
      </c>
      <c r="B1725" s="3" t="s">
        <v>37</v>
      </c>
      <c r="C1725" s="3" t="s">
        <v>23</v>
      </c>
      <c r="D1725" s="3" t="s">
        <v>43</v>
      </c>
      <c r="E1725" s="3" t="s">
        <v>25</v>
      </c>
      <c r="F1725" s="3" t="s">
        <v>25</v>
      </c>
      <c r="G1725" s="3" t="s">
        <v>25</v>
      </c>
      <c r="H1725" s="3" t="s">
        <v>25</v>
      </c>
      <c r="I1725" s="6">
        <v>44440</v>
      </c>
      <c r="J1725" s="4">
        <v>0</v>
      </c>
      <c r="K1725" s="4">
        <v>0</v>
      </c>
      <c r="L1725" s="4">
        <v>-142.93299999999999</v>
      </c>
      <c r="M1725" s="4">
        <v>-142.93299999999999</v>
      </c>
      <c r="N1725" s="4">
        <v>-142.93299999999999</v>
      </c>
      <c r="O1725" s="4">
        <v>-142.93299999999999</v>
      </c>
      <c r="P1725" s="4">
        <v>-29</v>
      </c>
      <c r="Q1725" s="3" t="s">
        <v>26</v>
      </c>
      <c r="R1725" s="3">
        <v>0</v>
      </c>
      <c r="S1725" s="4">
        <v>0</v>
      </c>
      <c r="T1725" s="4">
        <v>84</v>
      </c>
      <c r="U1725" s="4">
        <v>7</v>
      </c>
      <c r="V1725" s="4">
        <v>0</v>
      </c>
      <c r="W1725" s="4">
        <v>346.2</v>
      </c>
      <c r="X1725" s="4">
        <v>234.24</v>
      </c>
      <c r="Y1725" s="4"/>
      <c r="Z1725" s="4">
        <v>430.49583108604207</v>
      </c>
      <c r="AA1725" s="4">
        <v>247.48951138739608</v>
      </c>
      <c r="AB1725" s="4">
        <v>0</v>
      </c>
      <c r="AC1725" s="4">
        <v>-49483.404599999994</v>
      </c>
      <c r="AD1725" s="4">
        <v>-33480.625919999999</v>
      </c>
      <c r="AE1725" s="4">
        <v>0</v>
      </c>
      <c r="AF1725" s="4">
        <v>-61532.060624621248</v>
      </c>
      <c r="AG1725" s="4">
        <v>-35374.418331134679</v>
      </c>
    </row>
    <row r="1726" spans="1:33" ht="11.25" customHeight="1" x14ac:dyDescent="0.25">
      <c r="A1726" s="3" t="s">
        <v>28</v>
      </c>
      <c r="B1726" s="3" t="s">
        <v>37</v>
      </c>
      <c r="C1726" s="3" t="s">
        <v>23</v>
      </c>
      <c r="D1726" s="3" t="s">
        <v>43</v>
      </c>
      <c r="E1726" s="3" t="s">
        <v>25</v>
      </c>
      <c r="F1726" s="3" t="s">
        <v>25</v>
      </c>
      <c r="G1726" s="3" t="s">
        <v>25</v>
      </c>
      <c r="H1726" s="3" t="s">
        <v>25</v>
      </c>
      <c r="I1726" s="6">
        <v>44440</v>
      </c>
      <c r="J1726" s="4">
        <v>0</v>
      </c>
      <c r="K1726" s="4">
        <v>0</v>
      </c>
      <c r="L1726" s="4">
        <v>1344.6369999999999</v>
      </c>
      <c r="M1726" s="4">
        <v>1344.6369999999999</v>
      </c>
      <c r="N1726" s="4">
        <v>1344.6369999999999</v>
      </c>
      <c r="O1726" s="4">
        <v>1344.6369999999999</v>
      </c>
      <c r="P1726" s="4">
        <v>1816</v>
      </c>
      <c r="Q1726" s="3" t="s">
        <v>26</v>
      </c>
      <c r="R1726" s="3">
        <v>0</v>
      </c>
      <c r="S1726" s="4">
        <v>0</v>
      </c>
      <c r="T1726" s="4">
        <v>84</v>
      </c>
      <c r="U1726" s="4">
        <v>7</v>
      </c>
      <c r="V1726" s="4">
        <v>0</v>
      </c>
      <c r="W1726" s="4">
        <v>346.2</v>
      </c>
      <c r="X1726" s="4">
        <v>234.24</v>
      </c>
      <c r="Y1726" s="4"/>
      <c r="Z1726" s="4">
        <v>430.49583108604207</v>
      </c>
      <c r="AA1726" s="4">
        <v>247.48951138739608</v>
      </c>
      <c r="AB1726" s="4">
        <v>0</v>
      </c>
      <c r="AC1726" s="4">
        <v>465513.32939999999</v>
      </c>
      <c r="AD1726" s="4">
        <v>314967.77088000003</v>
      </c>
      <c r="AE1726" s="4">
        <v>0</v>
      </c>
      <c r="AF1726" s="4">
        <v>578860.62282404234</v>
      </c>
      <c r="AG1726" s="4">
        <v>332783.5541234141</v>
      </c>
    </row>
    <row r="1727" spans="1:33" ht="11.25" customHeight="1" x14ac:dyDescent="0.25">
      <c r="A1727" s="3" t="s">
        <v>28</v>
      </c>
      <c r="B1727" s="3" t="s">
        <v>37</v>
      </c>
      <c r="C1727" s="3" t="s">
        <v>23</v>
      </c>
      <c r="D1727" s="3" t="s">
        <v>43</v>
      </c>
      <c r="E1727" s="3" t="s">
        <v>25</v>
      </c>
      <c r="F1727" s="3" t="s">
        <v>25</v>
      </c>
      <c r="G1727" s="3" t="s">
        <v>25</v>
      </c>
      <c r="H1727" s="3" t="s">
        <v>25</v>
      </c>
      <c r="I1727" s="6">
        <v>44440</v>
      </c>
      <c r="J1727" s="4">
        <v>0</v>
      </c>
      <c r="K1727" s="4">
        <v>0</v>
      </c>
      <c r="L1727" s="4">
        <v>-9.9879999999999995</v>
      </c>
      <c r="M1727" s="4">
        <v>-9.9879999999999995</v>
      </c>
      <c r="N1727" s="4">
        <v>-9.9879999999999995</v>
      </c>
      <c r="O1727" s="4">
        <v>-9.9879999999999995</v>
      </c>
      <c r="P1727" s="4">
        <v>0</v>
      </c>
      <c r="Q1727" s="3" t="s">
        <v>26</v>
      </c>
      <c r="R1727" s="3">
        <v>0</v>
      </c>
      <c r="S1727" s="4">
        <v>0</v>
      </c>
      <c r="T1727" s="4">
        <v>84</v>
      </c>
      <c r="U1727" s="4">
        <v>7</v>
      </c>
      <c r="V1727" s="4">
        <v>0</v>
      </c>
      <c r="W1727" s="4">
        <v>346.2</v>
      </c>
      <c r="X1727" s="4">
        <v>234.24</v>
      </c>
      <c r="Y1727" s="4"/>
      <c r="Z1727" s="4">
        <v>430.49583108604207</v>
      </c>
      <c r="AA1727" s="4">
        <v>247.48951138739608</v>
      </c>
      <c r="AB1727" s="4">
        <v>0</v>
      </c>
      <c r="AC1727" s="4">
        <v>-3457.8455999999996</v>
      </c>
      <c r="AD1727" s="4">
        <v>-2339.5891200000001</v>
      </c>
      <c r="AE1727" s="4">
        <v>0</v>
      </c>
      <c r="AF1727" s="4">
        <v>-4299.792360887388</v>
      </c>
      <c r="AG1727" s="4">
        <v>-2471.925239737312</v>
      </c>
    </row>
    <row r="1728" spans="1:33" ht="11.25" customHeight="1" x14ac:dyDescent="0.25">
      <c r="A1728" s="3" t="s">
        <v>21</v>
      </c>
      <c r="B1728" s="3" t="s">
        <v>37</v>
      </c>
      <c r="C1728" s="3" t="s">
        <v>23</v>
      </c>
      <c r="D1728" s="3" t="s">
        <v>43</v>
      </c>
      <c r="E1728" s="3" t="s">
        <v>25</v>
      </c>
      <c r="F1728" s="3" t="s">
        <v>25</v>
      </c>
      <c r="G1728" s="3" t="s">
        <v>25</v>
      </c>
      <c r="H1728" s="3" t="s">
        <v>25</v>
      </c>
      <c r="I1728" s="6">
        <v>44470</v>
      </c>
      <c r="J1728" s="4">
        <v>0</v>
      </c>
      <c r="K1728" s="4">
        <v>0</v>
      </c>
      <c r="L1728" s="4">
        <v>20951.933000000001</v>
      </c>
      <c r="M1728" s="4">
        <v>20951.933000000001</v>
      </c>
      <c r="N1728" s="4">
        <v>20951.933000000001</v>
      </c>
      <c r="O1728" s="4">
        <v>20951.933000000001</v>
      </c>
      <c r="P1728" s="4">
        <v>43016</v>
      </c>
      <c r="Q1728" s="3" t="s">
        <v>26</v>
      </c>
      <c r="R1728" s="3">
        <v>0</v>
      </c>
      <c r="S1728" s="4">
        <v>0</v>
      </c>
      <c r="T1728" s="4">
        <v>84</v>
      </c>
      <c r="U1728" s="4">
        <v>7</v>
      </c>
      <c r="V1728" s="4">
        <v>0</v>
      </c>
      <c r="W1728" s="4">
        <v>346.2</v>
      </c>
      <c r="X1728" s="4">
        <v>234.24</v>
      </c>
      <c r="Y1728" s="4"/>
      <c r="Z1728" s="4">
        <v>430.49583108604207</v>
      </c>
      <c r="AA1728" s="4">
        <v>247.48951138739608</v>
      </c>
      <c r="AB1728" s="4">
        <v>0</v>
      </c>
      <c r="AC1728" s="4">
        <v>7253559.2045999998</v>
      </c>
      <c r="AD1728" s="4">
        <v>4907780.7859200006</v>
      </c>
      <c r="AE1728" s="4">
        <v>0</v>
      </c>
      <c r="AF1728" s="4">
        <v>9019719.8096940704</v>
      </c>
      <c r="AG1728" s="4">
        <v>5185383.6607914595</v>
      </c>
    </row>
    <row r="1729" spans="1:33" ht="11.25" customHeight="1" x14ac:dyDescent="0.25">
      <c r="A1729" s="3" t="s">
        <v>27</v>
      </c>
      <c r="B1729" s="3" t="s">
        <v>37</v>
      </c>
      <c r="C1729" s="3" t="s">
        <v>23</v>
      </c>
      <c r="D1729" s="3" t="s">
        <v>43</v>
      </c>
      <c r="E1729" s="3" t="s">
        <v>25</v>
      </c>
      <c r="F1729" s="3" t="s">
        <v>25</v>
      </c>
      <c r="G1729" s="3" t="s">
        <v>25</v>
      </c>
      <c r="H1729" s="3" t="s">
        <v>25</v>
      </c>
      <c r="I1729" s="6">
        <v>44470</v>
      </c>
      <c r="J1729" s="4">
        <v>0</v>
      </c>
      <c r="K1729" s="4">
        <v>0</v>
      </c>
      <c r="L1729" s="4">
        <v>-96.35</v>
      </c>
      <c r="M1729" s="4">
        <v>-96.35</v>
      </c>
      <c r="N1729" s="4">
        <v>-96.35</v>
      </c>
      <c r="O1729" s="4">
        <v>-96.35</v>
      </c>
      <c r="P1729" s="4">
        <v>-29</v>
      </c>
      <c r="Q1729" s="3" t="s">
        <v>26</v>
      </c>
      <c r="R1729" s="3">
        <v>0</v>
      </c>
      <c r="S1729" s="4">
        <v>0</v>
      </c>
      <c r="T1729" s="4">
        <v>84</v>
      </c>
      <c r="U1729" s="4">
        <v>7</v>
      </c>
      <c r="V1729" s="4">
        <v>0</v>
      </c>
      <c r="W1729" s="4">
        <v>346.2</v>
      </c>
      <c r="X1729" s="4">
        <v>234.24</v>
      </c>
      <c r="Y1729" s="4"/>
      <c r="Z1729" s="4">
        <v>430.49583108604207</v>
      </c>
      <c r="AA1729" s="4">
        <v>247.48951138739608</v>
      </c>
      <c r="AB1729" s="4">
        <v>0</v>
      </c>
      <c r="AC1729" s="4">
        <v>-33356.369999999995</v>
      </c>
      <c r="AD1729" s="4">
        <v>-22569.024000000001</v>
      </c>
      <c r="AE1729" s="4">
        <v>0</v>
      </c>
      <c r="AF1729" s="4">
        <v>-41478.273325140151</v>
      </c>
      <c r="AG1729" s="4">
        <v>-23845.614422175611</v>
      </c>
    </row>
    <row r="1730" spans="1:33" ht="11.25" customHeight="1" x14ac:dyDescent="0.25">
      <c r="A1730" s="3" t="s">
        <v>28</v>
      </c>
      <c r="B1730" s="3" t="s">
        <v>37</v>
      </c>
      <c r="C1730" s="3" t="s">
        <v>23</v>
      </c>
      <c r="D1730" s="3" t="s">
        <v>43</v>
      </c>
      <c r="E1730" s="3" t="s">
        <v>25</v>
      </c>
      <c r="F1730" s="3" t="s">
        <v>25</v>
      </c>
      <c r="G1730" s="3" t="s">
        <v>25</v>
      </c>
      <c r="H1730" s="3" t="s">
        <v>25</v>
      </c>
      <c r="I1730" s="6">
        <v>44470</v>
      </c>
      <c r="J1730" s="4">
        <v>0</v>
      </c>
      <c r="K1730" s="4">
        <v>0</v>
      </c>
      <c r="L1730" s="4">
        <v>1619.181</v>
      </c>
      <c r="M1730" s="4">
        <v>1619.181</v>
      </c>
      <c r="N1730" s="4">
        <v>1619.181</v>
      </c>
      <c r="O1730" s="4">
        <v>1619.181</v>
      </c>
      <c r="P1730" s="4">
        <v>1905</v>
      </c>
      <c r="Q1730" s="3" t="s">
        <v>26</v>
      </c>
      <c r="R1730" s="3">
        <v>0</v>
      </c>
      <c r="S1730" s="4">
        <v>0</v>
      </c>
      <c r="T1730" s="4">
        <v>84</v>
      </c>
      <c r="U1730" s="4">
        <v>7</v>
      </c>
      <c r="V1730" s="4">
        <v>0</v>
      </c>
      <c r="W1730" s="4">
        <v>346.2</v>
      </c>
      <c r="X1730" s="4">
        <v>234.24</v>
      </c>
      <c r="Y1730" s="4"/>
      <c r="Z1730" s="4">
        <v>430.49583108604207</v>
      </c>
      <c r="AA1730" s="4">
        <v>247.48951138739608</v>
      </c>
      <c r="AB1730" s="4">
        <v>0</v>
      </c>
      <c r="AC1730" s="4">
        <v>560560.46219999995</v>
      </c>
      <c r="AD1730" s="4">
        <v>379276.95744000003</v>
      </c>
      <c r="AE1730" s="4">
        <v>0</v>
      </c>
      <c r="AF1730" s="4">
        <v>697050.67027372867</v>
      </c>
      <c r="AG1730" s="4">
        <v>400730.31453775539</v>
      </c>
    </row>
    <row r="1731" spans="1:33" ht="11.25" customHeight="1" x14ac:dyDescent="0.25">
      <c r="A1731" s="3" t="s">
        <v>28</v>
      </c>
      <c r="B1731" s="3" t="s">
        <v>37</v>
      </c>
      <c r="C1731" s="3" t="s">
        <v>23</v>
      </c>
      <c r="D1731" s="3" t="s">
        <v>43</v>
      </c>
      <c r="E1731" s="3" t="s">
        <v>25</v>
      </c>
      <c r="F1731" s="3" t="s">
        <v>25</v>
      </c>
      <c r="G1731" s="3" t="s">
        <v>25</v>
      </c>
      <c r="H1731" s="3" t="s">
        <v>25</v>
      </c>
      <c r="I1731" s="6">
        <v>44470</v>
      </c>
      <c r="J1731" s="4">
        <v>0</v>
      </c>
      <c r="K1731" s="4">
        <v>0</v>
      </c>
      <c r="L1731" s="4">
        <v>-16.686</v>
      </c>
      <c r="M1731" s="4">
        <v>-16.686</v>
      </c>
      <c r="N1731" s="4">
        <v>-16.686</v>
      </c>
      <c r="O1731" s="4">
        <v>-16.686</v>
      </c>
      <c r="P1731" s="4">
        <v>0</v>
      </c>
      <c r="Q1731" s="3" t="s">
        <v>26</v>
      </c>
      <c r="R1731" s="3">
        <v>0</v>
      </c>
      <c r="S1731" s="4">
        <v>0</v>
      </c>
      <c r="T1731" s="4">
        <v>84</v>
      </c>
      <c r="U1731" s="4">
        <v>7</v>
      </c>
      <c r="V1731" s="4">
        <v>0</v>
      </c>
      <c r="W1731" s="4">
        <v>346.2</v>
      </c>
      <c r="X1731" s="4">
        <v>234.24</v>
      </c>
      <c r="Y1731" s="4"/>
      <c r="Z1731" s="4">
        <v>430.49583108604207</v>
      </c>
      <c r="AA1731" s="4">
        <v>247.48951138739608</v>
      </c>
      <c r="AB1731" s="4">
        <v>0</v>
      </c>
      <c r="AC1731" s="4">
        <v>-5776.6931999999997</v>
      </c>
      <c r="AD1731" s="4">
        <v>-3908.52864</v>
      </c>
      <c r="AE1731" s="4">
        <v>0</v>
      </c>
      <c r="AF1731" s="4">
        <v>-7183.2534375016976</v>
      </c>
      <c r="AG1731" s="4">
        <v>-4129.6099870100907</v>
      </c>
    </row>
    <row r="1732" spans="1:33" ht="11.25" customHeight="1" x14ac:dyDescent="0.25">
      <c r="A1732" s="3" t="s">
        <v>21</v>
      </c>
      <c r="B1732" s="3" t="s">
        <v>37</v>
      </c>
      <c r="C1732" s="3" t="s">
        <v>23</v>
      </c>
      <c r="D1732" s="3" t="s">
        <v>43</v>
      </c>
      <c r="E1732" s="3" t="s">
        <v>25</v>
      </c>
      <c r="F1732" s="3" t="s">
        <v>25</v>
      </c>
      <c r="G1732" s="3" t="s">
        <v>25</v>
      </c>
      <c r="H1732" s="3" t="s">
        <v>25</v>
      </c>
      <c r="I1732" s="6">
        <v>44501</v>
      </c>
      <c r="J1732" s="4">
        <v>0</v>
      </c>
      <c r="K1732" s="4">
        <v>0</v>
      </c>
      <c r="L1732" s="4">
        <v>21163.519</v>
      </c>
      <c r="M1732" s="4">
        <v>21163.519</v>
      </c>
      <c r="N1732" s="4">
        <v>21163.519</v>
      </c>
      <c r="O1732" s="4">
        <v>21163.519</v>
      </c>
      <c r="P1732" s="4">
        <v>42986</v>
      </c>
      <c r="Q1732" s="3" t="s">
        <v>26</v>
      </c>
      <c r="R1732" s="3">
        <v>0</v>
      </c>
      <c r="S1732" s="4">
        <v>0</v>
      </c>
      <c r="T1732" s="4">
        <v>84</v>
      </c>
      <c r="U1732" s="4">
        <v>7</v>
      </c>
      <c r="V1732" s="4">
        <v>0</v>
      </c>
      <c r="W1732" s="4">
        <v>346.2</v>
      </c>
      <c r="X1732" s="4">
        <v>234.24</v>
      </c>
      <c r="Y1732" s="4"/>
      <c r="Z1732" s="4">
        <v>430.49583108604207</v>
      </c>
      <c r="AA1732" s="4">
        <v>247.48951138739608</v>
      </c>
      <c r="AB1732" s="4">
        <v>0</v>
      </c>
      <c r="AC1732" s="4">
        <v>7326810.2778000003</v>
      </c>
      <c r="AD1732" s="4">
        <v>4957342.69056</v>
      </c>
      <c r="AE1732" s="4">
        <v>0</v>
      </c>
      <c r="AF1732" s="4">
        <v>9110806.7006102428</v>
      </c>
      <c r="AG1732" s="4">
        <v>5237748.9765478736</v>
      </c>
    </row>
    <row r="1733" spans="1:33" ht="11.25" customHeight="1" x14ac:dyDescent="0.25">
      <c r="A1733" s="3" t="s">
        <v>27</v>
      </c>
      <c r="B1733" s="3" t="s">
        <v>37</v>
      </c>
      <c r="C1733" s="3" t="s">
        <v>23</v>
      </c>
      <c r="D1733" s="3" t="s">
        <v>43</v>
      </c>
      <c r="E1733" s="3" t="s">
        <v>25</v>
      </c>
      <c r="F1733" s="3" t="s">
        <v>25</v>
      </c>
      <c r="G1733" s="3" t="s">
        <v>25</v>
      </c>
      <c r="H1733" s="3" t="s">
        <v>25</v>
      </c>
      <c r="I1733" s="6">
        <v>44501</v>
      </c>
      <c r="J1733" s="4">
        <v>0</v>
      </c>
      <c r="K1733" s="4">
        <v>0</v>
      </c>
      <c r="L1733" s="4">
        <v>-11.526</v>
      </c>
      <c r="M1733" s="4">
        <v>-11.526</v>
      </c>
      <c r="N1733" s="4">
        <v>-11.526</v>
      </c>
      <c r="O1733" s="4">
        <v>-11.526</v>
      </c>
      <c r="P1733" s="4">
        <v>-21</v>
      </c>
      <c r="Q1733" s="3" t="s">
        <v>26</v>
      </c>
      <c r="R1733" s="3">
        <v>0</v>
      </c>
      <c r="S1733" s="4">
        <v>0</v>
      </c>
      <c r="T1733" s="4">
        <v>84</v>
      </c>
      <c r="U1733" s="4">
        <v>7</v>
      </c>
      <c r="V1733" s="4">
        <v>0</v>
      </c>
      <c r="W1733" s="4">
        <v>346.2</v>
      </c>
      <c r="X1733" s="4">
        <v>234.24</v>
      </c>
      <c r="Y1733" s="4"/>
      <c r="Z1733" s="4">
        <v>430.49583108604207</v>
      </c>
      <c r="AA1733" s="4">
        <v>247.48951138739608</v>
      </c>
      <c r="AB1733" s="4">
        <v>0</v>
      </c>
      <c r="AC1733" s="4">
        <v>-3990.3011999999999</v>
      </c>
      <c r="AD1733" s="4">
        <v>-2699.8502400000002</v>
      </c>
      <c r="AE1733" s="4">
        <v>0</v>
      </c>
      <c r="AF1733" s="4">
        <v>-4961.8949490977211</v>
      </c>
      <c r="AG1733" s="4">
        <v>-2852.564108251127</v>
      </c>
    </row>
    <row r="1734" spans="1:33" ht="11.25" customHeight="1" x14ac:dyDescent="0.25">
      <c r="A1734" s="3" t="s">
        <v>28</v>
      </c>
      <c r="B1734" s="3" t="s">
        <v>37</v>
      </c>
      <c r="C1734" s="3" t="s">
        <v>23</v>
      </c>
      <c r="D1734" s="3" t="s">
        <v>43</v>
      </c>
      <c r="E1734" s="3" t="s">
        <v>25</v>
      </c>
      <c r="F1734" s="3" t="s">
        <v>25</v>
      </c>
      <c r="G1734" s="3" t="s">
        <v>25</v>
      </c>
      <c r="H1734" s="3" t="s">
        <v>25</v>
      </c>
      <c r="I1734" s="6">
        <v>44501</v>
      </c>
      <c r="J1734" s="4">
        <v>0</v>
      </c>
      <c r="K1734" s="4">
        <v>0</v>
      </c>
      <c r="L1734" s="4">
        <v>1660.3520000000001</v>
      </c>
      <c r="M1734" s="4">
        <v>1660.3520000000001</v>
      </c>
      <c r="N1734" s="4">
        <v>1660.3520000000001</v>
      </c>
      <c r="O1734" s="4">
        <v>1660.3520000000001</v>
      </c>
      <c r="P1734" s="4">
        <v>1948</v>
      </c>
      <c r="Q1734" s="3" t="s">
        <v>26</v>
      </c>
      <c r="R1734" s="3">
        <v>0</v>
      </c>
      <c r="S1734" s="4">
        <v>0</v>
      </c>
      <c r="T1734" s="4">
        <v>84</v>
      </c>
      <c r="U1734" s="4">
        <v>7</v>
      </c>
      <c r="V1734" s="4">
        <v>0</v>
      </c>
      <c r="W1734" s="4">
        <v>346.2</v>
      </c>
      <c r="X1734" s="4">
        <v>234.24</v>
      </c>
      <c r="Y1734" s="4"/>
      <c r="Z1734" s="4">
        <v>430.49583108604207</v>
      </c>
      <c r="AA1734" s="4">
        <v>247.48951138739608</v>
      </c>
      <c r="AB1734" s="4">
        <v>0</v>
      </c>
      <c r="AC1734" s="4">
        <v>574813.86239999998</v>
      </c>
      <c r="AD1734" s="4">
        <v>388920.85248000006</v>
      </c>
      <c r="AE1734" s="4">
        <v>0</v>
      </c>
      <c r="AF1734" s="4">
        <v>714774.61413537222</v>
      </c>
      <c r="AG1734" s="4">
        <v>410919.70521108585</v>
      </c>
    </row>
    <row r="1735" spans="1:33" ht="11.25" customHeight="1" x14ac:dyDescent="0.25">
      <c r="A1735" s="3" t="s">
        <v>28</v>
      </c>
      <c r="B1735" s="3" t="s">
        <v>37</v>
      </c>
      <c r="C1735" s="3" t="s">
        <v>23</v>
      </c>
      <c r="D1735" s="3" t="s">
        <v>43</v>
      </c>
      <c r="E1735" s="3" t="s">
        <v>25</v>
      </c>
      <c r="F1735" s="3" t="s">
        <v>25</v>
      </c>
      <c r="G1735" s="3" t="s">
        <v>25</v>
      </c>
      <c r="H1735" s="3" t="s">
        <v>25</v>
      </c>
      <c r="I1735" s="6">
        <v>44501</v>
      </c>
      <c r="J1735" s="4">
        <v>0</v>
      </c>
      <c r="K1735" s="4">
        <v>0</v>
      </c>
      <c r="L1735" s="4">
        <v>-6.2990000000000004</v>
      </c>
      <c r="M1735" s="4">
        <v>-6.2990000000000004</v>
      </c>
      <c r="N1735" s="4">
        <v>-6.2990000000000004</v>
      </c>
      <c r="O1735" s="4">
        <v>-6.2990000000000004</v>
      </c>
      <c r="P1735" s="4">
        <v>0</v>
      </c>
      <c r="Q1735" s="3" t="s">
        <v>26</v>
      </c>
      <c r="R1735" s="3">
        <v>0</v>
      </c>
      <c r="S1735" s="4">
        <v>0</v>
      </c>
      <c r="T1735" s="4">
        <v>84</v>
      </c>
      <c r="U1735" s="4">
        <v>7</v>
      </c>
      <c r="V1735" s="4">
        <v>0</v>
      </c>
      <c r="W1735" s="4">
        <v>346.2</v>
      </c>
      <c r="X1735" s="4">
        <v>234.24</v>
      </c>
      <c r="Y1735" s="4"/>
      <c r="Z1735" s="4">
        <v>430.49583108604207</v>
      </c>
      <c r="AA1735" s="4">
        <v>247.48951138739608</v>
      </c>
      <c r="AB1735" s="4">
        <v>0</v>
      </c>
      <c r="AC1735" s="4">
        <v>-2180.7138</v>
      </c>
      <c r="AD1735" s="4">
        <v>-1475.4777600000002</v>
      </c>
      <c r="AE1735" s="4">
        <v>0</v>
      </c>
      <c r="AF1735" s="4">
        <v>-2711.693240010979</v>
      </c>
      <c r="AG1735" s="4">
        <v>-1558.9364322292081</v>
      </c>
    </row>
    <row r="1736" spans="1:33" ht="11.25" customHeight="1" x14ac:dyDescent="0.25">
      <c r="A1736" s="3" t="s">
        <v>21</v>
      </c>
      <c r="B1736" s="3" t="s">
        <v>37</v>
      </c>
      <c r="C1736" s="3" t="s">
        <v>23</v>
      </c>
      <c r="D1736" s="3" t="s">
        <v>43</v>
      </c>
      <c r="E1736" s="3" t="s">
        <v>25</v>
      </c>
      <c r="F1736" s="3" t="s">
        <v>25</v>
      </c>
      <c r="G1736" s="3" t="s">
        <v>25</v>
      </c>
      <c r="H1736" s="3" t="s">
        <v>25</v>
      </c>
      <c r="I1736" s="6">
        <v>44531</v>
      </c>
      <c r="J1736" s="4">
        <v>0</v>
      </c>
      <c r="K1736" s="4">
        <v>0</v>
      </c>
      <c r="L1736" s="4">
        <v>22505.344000000001</v>
      </c>
      <c r="M1736" s="4">
        <v>22505.344000000001</v>
      </c>
      <c r="N1736" s="4">
        <v>22505.344000000001</v>
      </c>
      <c r="O1736" s="4">
        <v>22505.344000000001</v>
      </c>
      <c r="P1736" s="4">
        <v>43045</v>
      </c>
      <c r="Q1736" s="3" t="s">
        <v>26</v>
      </c>
      <c r="R1736" s="3">
        <v>0</v>
      </c>
      <c r="S1736" s="4">
        <v>0</v>
      </c>
      <c r="T1736" s="4">
        <v>84</v>
      </c>
      <c r="U1736" s="4">
        <v>7</v>
      </c>
      <c r="V1736" s="4">
        <v>0</v>
      </c>
      <c r="W1736" s="4">
        <v>346.2</v>
      </c>
      <c r="X1736" s="4">
        <v>234.24</v>
      </c>
      <c r="Y1736" s="4"/>
      <c r="Z1736" s="4">
        <v>430.49583108604207</v>
      </c>
      <c r="AA1736" s="4">
        <v>247.48951138739608</v>
      </c>
      <c r="AB1736" s="4">
        <v>0</v>
      </c>
      <c r="AC1736" s="4">
        <v>7791350.0927999998</v>
      </c>
      <c r="AD1736" s="4">
        <v>5271651.7785600005</v>
      </c>
      <c r="AE1736" s="4">
        <v>0</v>
      </c>
      <c r="AF1736" s="4">
        <v>9688456.76915727</v>
      </c>
      <c r="AG1736" s="4">
        <v>5569836.5901652658</v>
      </c>
    </row>
    <row r="1737" spans="1:33" ht="11.25" customHeight="1" x14ac:dyDescent="0.25">
      <c r="A1737" s="3" t="s">
        <v>27</v>
      </c>
      <c r="B1737" s="3" t="s">
        <v>37</v>
      </c>
      <c r="C1737" s="3" t="s">
        <v>23</v>
      </c>
      <c r="D1737" s="3" t="s">
        <v>43</v>
      </c>
      <c r="E1737" s="3" t="s">
        <v>25</v>
      </c>
      <c r="F1737" s="3" t="s">
        <v>25</v>
      </c>
      <c r="G1737" s="3" t="s">
        <v>25</v>
      </c>
      <c r="H1737" s="3" t="s">
        <v>25</v>
      </c>
      <c r="I1737" s="6">
        <v>44531</v>
      </c>
      <c r="J1737" s="4">
        <v>0</v>
      </c>
      <c r="K1737" s="4">
        <v>0</v>
      </c>
      <c r="L1737" s="4">
        <v>-413.149</v>
      </c>
      <c r="M1737" s="4">
        <v>-413.149</v>
      </c>
      <c r="N1737" s="4">
        <v>-413.149</v>
      </c>
      <c r="O1737" s="4">
        <v>-413.149</v>
      </c>
      <c r="P1737" s="4">
        <v>-72</v>
      </c>
      <c r="Q1737" s="3" t="s">
        <v>26</v>
      </c>
      <c r="R1737" s="3">
        <v>0</v>
      </c>
      <c r="S1737" s="4">
        <v>0</v>
      </c>
      <c r="T1737" s="4">
        <v>84</v>
      </c>
      <c r="U1737" s="4">
        <v>7</v>
      </c>
      <c r="V1737" s="4">
        <v>0</v>
      </c>
      <c r="W1737" s="4">
        <v>346.2</v>
      </c>
      <c r="X1737" s="4">
        <v>234.24</v>
      </c>
      <c r="Y1737" s="4"/>
      <c r="Z1737" s="4">
        <v>430.49583108604207</v>
      </c>
      <c r="AA1737" s="4">
        <v>247.48951138739608</v>
      </c>
      <c r="AB1737" s="4">
        <v>0</v>
      </c>
      <c r="AC1737" s="4">
        <v>-143032.1838</v>
      </c>
      <c r="AD1737" s="4">
        <v>-96776.021760000003</v>
      </c>
      <c r="AE1737" s="4">
        <v>0</v>
      </c>
      <c r="AF1737" s="4">
        <v>-177858.92211736718</v>
      </c>
      <c r="AG1737" s="4">
        <v>-102250.0441401913</v>
      </c>
    </row>
    <row r="1738" spans="1:33" ht="11.25" customHeight="1" x14ac:dyDescent="0.25">
      <c r="A1738" s="3" t="s">
        <v>28</v>
      </c>
      <c r="B1738" s="3" t="s">
        <v>37</v>
      </c>
      <c r="C1738" s="3" t="s">
        <v>23</v>
      </c>
      <c r="D1738" s="3" t="s">
        <v>43</v>
      </c>
      <c r="E1738" s="3" t="s">
        <v>25</v>
      </c>
      <c r="F1738" s="3" t="s">
        <v>25</v>
      </c>
      <c r="G1738" s="3" t="s">
        <v>25</v>
      </c>
      <c r="H1738" s="3" t="s">
        <v>25</v>
      </c>
      <c r="I1738" s="6">
        <v>44531</v>
      </c>
      <c r="J1738" s="4">
        <v>0</v>
      </c>
      <c r="K1738" s="4">
        <v>0</v>
      </c>
      <c r="L1738" s="4">
        <v>1875.0419999999999</v>
      </c>
      <c r="M1738" s="4">
        <v>1875.0419999999999</v>
      </c>
      <c r="N1738" s="4">
        <v>1875.0419999999999</v>
      </c>
      <c r="O1738" s="4">
        <v>1875.0419999999999</v>
      </c>
      <c r="P1738" s="4">
        <v>2035</v>
      </c>
      <c r="Q1738" s="3" t="s">
        <v>26</v>
      </c>
      <c r="R1738" s="3">
        <v>0</v>
      </c>
      <c r="S1738" s="4">
        <v>0</v>
      </c>
      <c r="T1738" s="4">
        <v>84</v>
      </c>
      <c r="U1738" s="4">
        <v>7</v>
      </c>
      <c r="V1738" s="4">
        <v>0</v>
      </c>
      <c r="W1738" s="4">
        <v>346.2</v>
      </c>
      <c r="X1738" s="4">
        <v>234.24</v>
      </c>
      <c r="Y1738" s="4"/>
      <c r="Z1738" s="4">
        <v>430.49583108604207</v>
      </c>
      <c r="AA1738" s="4">
        <v>247.48951138739608</v>
      </c>
      <c r="AB1738" s="4">
        <v>0</v>
      </c>
      <c r="AC1738" s="4">
        <v>649139.54039999994</v>
      </c>
      <c r="AD1738" s="4">
        <v>439209.83808000002</v>
      </c>
      <c r="AE1738" s="4">
        <v>0</v>
      </c>
      <c r="AF1738" s="4">
        <v>807197.76411123446</v>
      </c>
      <c r="AG1738" s="4">
        <v>464053.22841084591</v>
      </c>
    </row>
    <row r="1739" spans="1:33" ht="11.25" customHeight="1" x14ac:dyDescent="0.25">
      <c r="A1739" s="3" t="s">
        <v>28</v>
      </c>
      <c r="B1739" s="3" t="s">
        <v>37</v>
      </c>
      <c r="C1739" s="3" t="s">
        <v>23</v>
      </c>
      <c r="D1739" s="3" t="s">
        <v>43</v>
      </c>
      <c r="E1739" s="3" t="s">
        <v>25</v>
      </c>
      <c r="F1739" s="3" t="s">
        <v>25</v>
      </c>
      <c r="G1739" s="3" t="s">
        <v>25</v>
      </c>
      <c r="H1739" s="3" t="s">
        <v>25</v>
      </c>
      <c r="I1739" s="6">
        <v>44531</v>
      </c>
      <c r="J1739" s="4">
        <v>0</v>
      </c>
      <c r="K1739" s="4">
        <v>0</v>
      </c>
      <c r="L1739" s="4">
        <v>-4.4870000000000001</v>
      </c>
      <c r="M1739" s="4">
        <v>-4.4870000000000001</v>
      </c>
      <c r="N1739" s="4">
        <v>-4.4870000000000001</v>
      </c>
      <c r="O1739" s="4">
        <v>-4.4870000000000001</v>
      </c>
      <c r="P1739" s="4">
        <v>0</v>
      </c>
      <c r="Q1739" s="3" t="s">
        <v>26</v>
      </c>
      <c r="R1739" s="3">
        <v>0</v>
      </c>
      <c r="S1739" s="4">
        <v>0</v>
      </c>
      <c r="T1739" s="4">
        <v>84</v>
      </c>
      <c r="U1739" s="4">
        <v>7</v>
      </c>
      <c r="V1739" s="4">
        <v>0</v>
      </c>
      <c r="W1739" s="4">
        <v>346.2</v>
      </c>
      <c r="X1739" s="4">
        <v>234.24</v>
      </c>
      <c r="Y1739" s="4"/>
      <c r="Z1739" s="4">
        <v>430.49583108604207</v>
      </c>
      <c r="AA1739" s="4">
        <v>247.48951138739608</v>
      </c>
      <c r="AB1739" s="4">
        <v>0</v>
      </c>
      <c r="AC1739" s="4">
        <v>-1553.3994</v>
      </c>
      <c r="AD1739" s="4">
        <v>-1051.0348800000002</v>
      </c>
      <c r="AE1739" s="4">
        <v>0</v>
      </c>
      <c r="AF1739" s="4">
        <v>-1931.6347940830708</v>
      </c>
      <c r="AG1739" s="4">
        <v>-1110.4854375952461</v>
      </c>
    </row>
    <row r="1740" spans="1:33" ht="11.25" customHeight="1" x14ac:dyDescent="0.25">
      <c r="A1740" s="3" t="s">
        <v>21</v>
      </c>
      <c r="B1740" s="3" t="s">
        <v>37</v>
      </c>
      <c r="C1740" s="3" t="s">
        <v>23</v>
      </c>
      <c r="D1740" s="3" t="s">
        <v>43</v>
      </c>
      <c r="E1740" s="3" t="s">
        <v>25</v>
      </c>
      <c r="F1740" s="3" t="s">
        <v>25</v>
      </c>
      <c r="G1740" s="3" t="s">
        <v>25</v>
      </c>
      <c r="H1740" s="3" t="s">
        <v>25</v>
      </c>
      <c r="I1740" s="6">
        <v>44562</v>
      </c>
      <c r="J1740" s="4">
        <v>0</v>
      </c>
      <c r="K1740" s="4">
        <v>0</v>
      </c>
      <c r="L1740" s="4">
        <v>21653.513999999999</v>
      </c>
      <c r="M1740" s="4">
        <v>21653.513999999999</v>
      </c>
      <c r="N1740" s="4">
        <v>21653.513999999999</v>
      </c>
      <c r="O1740" s="4">
        <v>21653.513999999999</v>
      </c>
      <c r="P1740" s="4">
        <v>42814</v>
      </c>
      <c r="Q1740" s="3" t="s">
        <v>26</v>
      </c>
      <c r="R1740" s="3">
        <v>0</v>
      </c>
      <c r="S1740" s="4">
        <v>0</v>
      </c>
      <c r="T1740" s="4">
        <v>84</v>
      </c>
      <c r="U1740" s="4">
        <v>7</v>
      </c>
      <c r="V1740" s="4">
        <v>0</v>
      </c>
      <c r="W1740" s="4">
        <v>346.2</v>
      </c>
      <c r="X1740" s="4">
        <v>234.24</v>
      </c>
      <c r="Y1740" s="4"/>
      <c r="Z1740" s="4">
        <v>430.49583108604207</v>
      </c>
      <c r="AA1740" s="4">
        <v>247.48951138739608</v>
      </c>
      <c r="AB1740" s="4">
        <v>0</v>
      </c>
      <c r="AC1740" s="4">
        <v>7496446.5467999997</v>
      </c>
      <c r="AD1740" s="4">
        <v>5072119.1193599999</v>
      </c>
      <c r="AE1740" s="4">
        <v>0</v>
      </c>
      <c r="AF1740" s="4">
        <v>9321747.5053632464</v>
      </c>
      <c r="AG1740" s="4">
        <v>5359017.5996801406</v>
      </c>
    </row>
    <row r="1741" spans="1:33" ht="11.25" customHeight="1" x14ac:dyDescent="0.25">
      <c r="A1741" s="3" t="s">
        <v>27</v>
      </c>
      <c r="B1741" s="3" t="s">
        <v>37</v>
      </c>
      <c r="C1741" s="3" t="s">
        <v>23</v>
      </c>
      <c r="D1741" s="3" t="s">
        <v>43</v>
      </c>
      <c r="E1741" s="3" t="s">
        <v>25</v>
      </c>
      <c r="F1741" s="3" t="s">
        <v>25</v>
      </c>
      <c r="G1741" s="3" t="s">
        <v>25</v>
      </c>
      <c r="H1741" s="3" t="s">
        <v>25</v>
      </c>
      <c r="I1741" s="6">
        <v>44562</v>
      </c>
      <c r="J1741" s="4">
        <v>0</v>
      </c>
      <c r="K1741" s="4">
        <v>0</v>
      </c>
      <c r="L1741" s="4">
        <v>-46.255000000000003</v>
      </c>
      <c r="M1741" s="4">
        <v>-46.255000000000003</v>
      </c>
      <c r="N1741" s="4">
        <v>-46.255000000000003</v>
      </c>
      <c r="O1741" s="4">
        <v>-46.255000000000003</v>
      </c>
      <c r="P1741" s="4">
        <v>-7</v>
      </c>
      <c r="Q1741" s="3" t="s">
        <v>26</v>
      </c>
      <c r="R1741" s="3">
        <v>0</v>
      </c>
      <c r="S1741" s="4">
        <v>0</v>
      </c>
      <c r="T1741" s="4">
        <v>84</v>
      </c>
      <c r="U1741" s="4">
        <v>7</v>
      </c>
      <c r="V1741" s="4">
        <v>0</v>
      </c>
      <c r="W1741" s="4">
        <v>346.2</v>
      </c>
      <c r="X1741" s="4">
        <v>234.24</v>
      </c>
      <c r="Y1741" s="4"/>
      <c r="Z1741" s="4">
        <v>430.49583108604207</v>
      </c>
      <c r="AA1741" s="4">
        <v>247.48951138739608</v>
      </c>
      <c r="AB1741" s="4">
        <v>0</v>
      </c>
      <c r="AC1741" s="4">
        <v>-16013.481</v>
      </c>
      <c r="AD1741" s="4">
        <v>-10834.771200000001</v>
      </c>
      <c r="AE1741" s="4">
        <v>0</v>
      </c>
      <c r="AF1741" s="4">
        <v>-19912.584666884879</v>
      </c>
      <c r="AG1741" s="4">
        <v>-11447.627349224007</v>
      </c>
    </row>
    <row r="1742" spans="1:33" ht="11.25" customHeight="1" x14ac:dyDescent="0.25">
      <c r="A1742" s="3" t="s">
        <v>28</v>
      </c>
      <c r="B1742" s="3" t="s">
        <v>37</v>
      </c>
      <c r="C1742" s="3" t="s">
        <v>23</v>
      </c>
      <c r="D1742" s="3" t="s">
        <v>43</v>
      </c>
      <c r="E1742" s="3" t="s">
        <v>25</v>
      </c>
      <c r="F1742" s="3" t="s">
        <v>25</v>
      </c>
      <c r="G1742" s="3" t="s">
        <v>25</v>
      </c>
      <c r="H1742" s="3" t="s">
        <v>25</v>
      </c>
      <c r="I1742" s="6">
        <v>44562</v>
      </c>
      <c r="J1742" s="4">
        <v>0</v>
      </c>
      <c r="K1742" s="4">
        <v>0</v>
      </c>
      <c r="L1742" s="4">
        <v>2000.874</v>
      </c>
      <c r="M1742" s="4">
        <v>2000.874</v>
      </c>
      <c r="N1742" s="4">
        <v>2000.874</v>
      </c>
      <c r="O1742" s="4">
        <v>2000.874</v>
      </c>
      <c r="P1742" s="4">
        <v>2149</v>
      </c>
      <c r="Q1742" s="3" t="s">
        <v>26</v>
      </c>
      <c r="R1742" s="3">
        <v>0</v>
      </c>
      <c r="S1742" s="4">
        <v>0</v>
      </c>
      <c r="T1742" s="4">
        <v>84</v>
      </c>
      <c r="U1742" s="4">
        <v>7</v>
      </c>
      <c r="V1742" s="4">
        <v>0</v>
      </c>
      <c r="W1742" s="4">
        <v>346.2</v>
      </c>
      <c r="X1742" s="4">
        <v>234.24</v>
      </c>
      <c r="Y1742" s="4"/>
      <c r="Z1742" s="4">
        <v>430.49583108604207</v>
      </c>
      <c r="AA1742" s="4">
        <v>247.48951138739608</v>
      </c>
      <c r="AB1742" s="4">
        <v>0</v>
      </c>
      <c r="AC1742" s="4">
        <v>692702.57880000002</v>
      </c>
      <c r="AD1742" s="4">
        <v>468684.72576</v>
      </c>
      <c r="AE1742" s="4">
        <v>0</v>
      </c>
      <c r="AF1742" s="4">
        <v>861367.9155284533</v>
      </c>
      <c r="AG1742" s="4">
        <v>495195.32860774477</v>
      </c>
    </row>
    <row r="1743" spans="1:33" ht="11.25" customHeight="1" x14ac:dyDescent="0.25">
      <c r="A1743" s="3" t="s">
        <v>28</v>
      </c>
      <c r="B1743" s="3" t="s">
        <v>37</v>
      </c>
      <c r="C1743" s="3" t="s">
        <v>23</v>
      </c>
      <c r="D1743" s="3" t="s">
        <v>43</v>
      </c>
      <c r="E1743" s="3" t="s">
        <v>25</v>
      </c>
      <c r="F1743" s="3" t="s">
        <v>25</v>
      </c>
      <c r="G1743" s="3" t="s">
        <v>25</v>
      </c>
      <c r="H1743" s="3" t="s">
        <v>25</v>
      </c>
      <c r="I1743" s="6">
        <v>44562</v>
      </c>
      <c r="J1743" s="4">
        <v>0</v>
      </c>
      <c r="K1743" s="4">
        <v>0</v>
      </c>
      <c r="L1743" s="4">
        <v>-3.49</v>
      </c>
      <c r="M1743" s="4">
        <v>-3.49</v>
      </c>
      <c r="N1743" s="4">
        <v>-3.49</v>
      </c>
      <c r="O1743" s="4">
        <v>-3.49</v>
      </c>
      <c r="P1743" s="4">
        <v>0</v>
      </c>
      <c r="Q1743" s="3" t="s">
        <v>26</v>
      </c>
      <c r="R1743" s="3">
        <v>0</v>
      </c>
      <c r="S1743" s="4">
        <v>0</v>
      </c>
      <c r="T1743" s="4">
        <v>84</v>
      </c>
      <c r="U1743" s="4">
        <v>7</v>
      </c>
      <c r="V1743" s="4">
        <v>0</v>
      </c>
      <c r="W1743" s="4">
        <v>346.2</v>
      </c>
      <c r="X1743" s="4">
        <v>234.24</v>
      </c>
      <c r="Y1743" s="4"/>
      <c r="Z1743" s="4">
        <v>430.49583108604207</v>
      </c>
      <c r="AA1743" s="4">
        <v>247.48951138739608</v>
      </c>
      <c r="AB1743" s="4">
        <v>0</v>
      </c>
      <c r="AC1743" s="4">
        <v>-1208.2380000000001</v>
      </c>
      <c r="AD1743" s="4">
        <v>-817.49760000000003</v>
      </c>
      <c r="AE1743" s="4">
        <v>0</v>
      </c>
      <c r="AF1743" s="4">
        <v>-1502.4304504902868</v>
      </c>
      <c r="AG1743" s="4">
        <v>-863.73839474201236</v>
      </c>
    </row>
    <row r="1744" spans="1:33" ht="11.25" customHeight="1" x14ac:dyDescent="0.25">
      <c r="A1744" s="3" t="s">
        <v>21</v>
      </c>
      <c r="B1744" s="3" t="s">
        <v>37</v>
      </c>
      <c r="C1744" s="3" t="s">
        <v>23</v>
      </c>
      <c r="D1744" s="3" t="s">
        <v>43</v>
      </c>
      <c r="E1744" s="3" t="s">
        <v>25</v>
      </c>
      <c r="F1744" s="3" t="s">
        <v>25</v>
      </c>
      <c r="G1744" s="3" t="s">
        <v>25</v>
      </c>
      <c r="H1744" s="3" t="s">
        <v>25</v>
      </c>
      <c r="I1744" s="6">
        <v>44593</v>
      </c>
      <c r="J1744" s="4">
        <v>0</v>
      </c>
      <c r="K1744" s="4">
        <v>0</v>
      </c>
      <c r="L1744" s="4">
        <v>21829.773000000001</v>
      </c>
      <c r="M1744" s="4">
        <v>21829.773000000001</v>
      </c>
      <c r="N1744" s="4">
        <v>21829.773000000001</v>
      </c>
      <c r="O1744" s="4">
        <v>21829.773000000001</v>
      </c>
      <c r="P1744" s="4">
        <v>42696</v>
      </c>
      <c r="Q1744" s="3" t="s">
        <v>26</v>
      </c>
      <c r="R1744" s="3">
        <v>0</v>
      </c>
      <c r="S1744" s="4">
        <v>0</v>
      </c>
      <c r="T1744" s="4">
        <v>84</v>
      </c>
      <c r="U1744" s="4">
        <v>7</v>
      </c>
      <c r="V1744" s="4">
        <v>0</v>
      </c>
      <c r="W1744" s="4">
        <v>346.2</v>
      </c>
      <c r="X1744" s="4">
        <v>234.24</v>
      </c>
      <c r="Y1744" s="4"/>
      <c r="Z1744" s="4">
        <v>430.49583108604207</v>
      </c>
      <c r="AA1744" s="4">
        <v>247.48951138739608</v>
      </c>
      <c r="AB1744" s="4">
        <v>0</v>
      </c>
      <c r="AC1744" s="4">
        <v>7557467.4126000004</v>
      </c>
      <c r="AD1744" s="4">
        <v>5113406.02752</v>
      </c>
      <c r="AE1744" s="4">
        <v>0</v>
      </c>
      <c r="AF1744" s="4">
        <v>9397626.2700546421</v>
      </c>
      <c r="AG1744" s="4">
        <v>5402639.8534677718</v>
      </c>
    </row>
    <row r="1745" spans="1:33" ht="11.25" customHeight="1" x14ac:dyDescent="0.25">
      <c r="A1745" s="3" t="s">
        <v>27</v>
      </c>
      <c r="B1745" s="3" t="s">
        <v>37</v>
      </c>
      <c r="C1745" s="3" t="s">
        <v>23</v>
      </c>
      <c r="D1745" s="3" t="s">
        <v>43</v>
      </c>
      <c r="E1745" s="3" t="s">
        <v>25</v>
      </c>
      <c r="F1745" s="3" t="s">
        <v>25</v>
      </c>
      <c r="G1745" s="3" t="s">
        <v>25</v>
      </c>
      <c r="H1745" s="3" t="s">
        <v>25</v>
      </c>
      <c r="I1745" s="6">
        <v>44593</v>
      </c>
      <c r="J1745" s="4">
        <v>0</v>
      </c>
      <c r="K1745" s="4">
        <v>0</v>
      </c>
      <c r="L1745" s="4">
        <v>-1.9750000000000001</v>
      </c>
      <c r="M1745" s="4">
        <v>-1.9750000000000001</v>
      </c>
      <c r="N1745" s="4">
        <v>-1.9750000000000001</v>
      </c>
      <c r="O1745" s="4">
        <v>-1.9750000000000001</v>
      </c>
      <c r="P1745" s="4">
        <v>-3</v>
      </c>
      <c r="Q1745" s="3" t="s">
        <v>26</v>
      </c>
      <c r="R1745" s="3">
        <v>0</v>
      </c>
      <c r="S1745" s="4">
        <v>0</v>
      </c>
      <c r="T1745" s="4">
        <v>84</v>
      </c>
      <c r="U1745" s="4">
        <v>7</v>
      </c>
      <c r="V1745" s="4">
        <v>0</v>
      </c>
      <c r="W1745" s="4">
        <v>346.2</v>
      </c>
      <c r="X1745" s="4">
        <v>234.24</v>
      </c>
      <c r="Y1745" s="4"/>
      <c r="Z1745" s="4">
        <v>430.49583108604207</v>
      </c>
      <c r="AA1745" s="4">
        <v>247.48951138739608</v>
      </c>
      <c r="AB1745" s="4">
        <v>0</v>
      </c>
      <c r="AC1745" s="4">
        <v>-683.745</v>
      </c>
      <c r="AD1745" s="4">
        <v>-462.62400000000002</v>
      </c>
      <c r="AE1745" s="4">
        <v>0</v>
      </c>
      <c r="AF1745" s="4">
        <v>-850.22926639493312</v>
      </c>
      <c r="AG1745" s="4">
        <v>-488.79178499010726</v>
      </c>
    </row>
    <row r="1746" spans="1:33" ht="11.25" customHeight="1" x14ac:dyDescent="0.25">
      <c r="A1746" s="3" t="s">
        <v>28</v>
      </c>
      <c r="B1746" s="3" t="s">
        <v>37</v>
      </c>
      <c r="C1746" s="3" t="s">
        <v>23</v>
      </c>
      <c r="D1746" s="3" t="s">
        <v>43</v>
      </c>
      <c r="E1746" s="3" t="s">
        <v>25</v>
      </c>
      <c r="F1746" s="3" t="s">
        <v>25</v>
      </c>
      <c r="G1746" s="3" t="s">
        <v>25</v>
      </c>
      <c r="H1746" s="3" t="s">
        <v>25</v>
      </c>
      <c r="I1746" s="6">
        <v>44593</v>
      </c>
      <c r="J1746" s="4">
        <v>0</v>
      </c>
      <c r="K1746" s="4">
        <v>0</v>
      </c>
      <c r="L1746" s="4">
        <v>1941.952</v>
      </c>
      <c r="M1746" s="4">
        <v>1941.952</v>
      </c>
      <c r="N1746" s="4">
        <v>1941.952</v>
      </c>
      <c r="O1746" s="4">
        <v>1941.952</v>
      </c>
      <c r="P1746" s="4">
        <v>2252</v>
      </c>
      <c r="Q1746" s="3" t="s">
        <v>26</v>
      </c>
      <c r="R1746" s="3">
        <v>0</v>
      </c>
      <c r="S1746" s="4">
        <v>0</v>
      </c>
      <c r="T1746" s="4">
        <v>84</v>
      </c>
      <c r="U1746" s="4">
        <v>7</v>
      </c>
      <c r="V1746" s="4">
        <v>0</v>
      </c>
      <c r="W1746" s="4">
        <v>346.2</v>
      </c>
      <c r="X1746" s="4">
        <v>234.24</v>
      </c>
      <c r="Y1746" s="4"/>
      <c r="Z1746" s="4">
        <v>430.49583108604207</v>
      </c>
      <c r="AA1746" s="4">
        <v>247.48951138739608</v>
      </c>
      <c r="AB1746" s="4">
        <v>0</v>
      </c>
      <c r="AC1746" s="4">
        <v>672303.78240000003</v>
      </c>
      <c r="AD1746" s="4">
        <v>454882.83648</v>
      </c>
      <c r="AE1746" s="4">
        <v>0</v>
      </c>
      <c r="AF1746" s="4">
        <v>836002.24016920163</v>
      </c>
      <c r="AG1746" s="4">
        <v>480612.75161777658</v>
      </c>
    </row>
    <row r="1747" spans="1:33" ht="11.25" customHeight="1" x14ac:dyDescent="0.25">
      <c r="A1747" s="3" t="s">
        <v>28</v>
      </c>
      <c r="B1747" s="3" t="s">
        <v>37</v>
      </c>
      <c r="C1747" s="3" t="s">
        <v>23</v>
      </c>
      <c r="D1747" s="3" t="s">
        <v>43</v>
      </c>
      <c r="E1747" s="3" t="s">
        <v>25</v>
      </c>
      <c r="F1747" s="3" t="s">
        <v>25</v>
      </c>
      <c r="G1747" s="3" t="s">
        <v>25</v>
      </c>
      <c r="H1747" s="3" t="s">
        <v>25</v>
      </c>
      <c r="I1747" s="6">
        <v>44593</v>
      </c>
      <c r="J1747" s="4">
        <v>0</v>
      </c>
      <c r="K1747" s="4">
        <v>0</v>
      </c>
      <c r="L1747" s="4">
        <v>-0.58199999999999996</v>
      </c>
      <c r="M1747" s="4">
        <v>-0.58199999999999996</v>
      </c>
      <c r="N1747" s="4">
        <v>-0.58199999999999996</v>
      </c>
      <c r="O1747" s="4">
        <v>-0.58199999999999996</v>
      </c>
      <c r="P1747" s="4">
        <v>0</v>
      </c>
      <c r="Q1747" s="3" t="s">
        <v>26</v>
      </c>
      <c r="R1747" s="3">
        <v>0</v>
      </c>
      <c r="S1747" s="4">
        <v>0</v>
      </c>
      <c r="T1747" s="4">
        <v>84</v>
      </c>
      <c r="U1747" s="4">
        <v>7</v>
      </c>
      <c r="V1747" s="4">
        <v>0</v>
      </c>
      <c r="W1747" s="4">
        <v>346.2</v>
      </c>
      <c r="X1747" s="4">
        <v>234.24</v>
      </c>
      <c r="Y1747" s="4"/>
      <c r="Z1747" s="4">
        <v>430.49583108604207</v>
      </c>
      <c r="AA1747" s="4">
        <v>247.48951138739608</v>
      </c>
      <c r="AB1747" s="4">
        <v>0</v>
      </c>
      <c r="AC1747" s="4">
        <v>-201.48839999999998</v>
      </c>
      <c r="AD1747" s="4">
        <v>-136.32767999999999</v>
      </c>
      <c r="AE1747" s="4">
        <v>0</v>
      </c>
      <c r="AF1747" s="4">
        <v>-250.54857369207647</v>
      </c>
      <c r="AG1747" s="4">
        <v>-144.03889562746451</v>
      </c>
    </row>
    <row r="1748" spans="1:33" ht="11.25" customHeight="1" x14ac:dyDescent="0.25">
      <c r="A1748" s="3" t="s">
        <v>56</v>
      </c>
      <c r="B1748" s="3" t="s">
        <v>37</v>
      </c>
      <c r="C1748" s="3" t="s">
        <v>23</v>
      </c>
      <c r="D1748" s="3" t="s">
        <v>43</v>
      </c>
      <c r="E1748" s="3" t="s">
        <v>25</v>
      </c>
      <c r="F1748" s="3" t="s">
        <v>25</v>
      </c>
      <c r="G1748" s="3" t="s">
        <v>25</v>
      </c>
      <c r="H1748" s="3" t="s">
        <v>25</v>
      </c>
      <c r="I1748" s="6">
        <v>44621</v>
      </c>
      <c r="J1748" s="4">
        <v>0</v>
      </c>
      <c r="K1748" s="4">
        <v>0</v>
      </c>
      <c r="L1748" s="4">
        <v>21829.773000000001</v>
      </c>
      <c r="M1748" s="4">
        <v>21829.773000000001</v>
      </c>
      <c r="N1748" s="4">
        <v>21829.773000000001</v>
      </c>
      <c r="O1748" s="4">
        <v>21829.773000000001</v>
      </c>
      <c r="P1748" s="4">
        <v>42696</v>
      </c>
      <c r="Q1748" s="3" t="s">
        <v>26</v>
      </c>
      <c r="R1748" s="3">
        <v>0</v>
      </c>
      <c r="S1748" s="4">
        <v>0</v>
      </c>
      <c r="T1748" s="4">
        <v>84</v>
      </c>
      <c r="U1748" s="4">
        <v>7</v>
      </c>
      <c r="V1748" s="4">
        <v>0</v>
      </c>
      <c r="W1748" s="4">
        <v>346.2</v>
      </c>
      <c r="X1748" s="4">
        <v>234.24</v>
      </c>
      <c r="Y1748" s="4"/>
      <c r="Z1748" s="4">
        <v>430.49583108604207</v>
      </c>
      <c r="AA1748" s="4">
        <v>247.48951138739608</v>
      </c>
      <c r="AB1748" s="4">
        <v>0</v>
      </c>
      <c r="AC1748" s="4">
        <v>7557467.4126000004</v>
      </c>
      <c r="AD1748" s="4">
        <v>5113406.02752</v>
      </c>
      <c r="AE1748" s="4">
        <v>0</v>
      </c>
      <c r="AF1748" s="4">
        <v>9397626.2700546421</v>
      </c>
      <c r="AG1748" s="4">
        <v>5402639.8534677718</v>
      </c>
    </row>
    <row r="1749" spans="1:33" ht="11.25" customHeight="1" x14ac:dyDescent="0.25">
      <c r="A1749" s="3" t="s">
        <v>56</v>
      </c>
      <c r="B1749" s="3" t="s">
        <v>37</v>
      </c>
      <c r="C1749" s="3" t="s">
        <v>23</v>
      </c>
      <c r="D1749" s="3" t="s">
        <v>43</v>
      </c>
      <c r="E1749" s="3" t="s">
        <v>25</v>
      </c>
      <c r="F1749" s="3" t="s">
        <v>25</v>
      </c>
      <c r="G1749" s="3" t="s">
        <v>25</v>
      </c>
      <c r="H1749" s="3" t="s">
        <v>25</v>
      </c>
      <c r="I1749" s="6">
        <v>44621</v>
      </c>
      <c r="J1749" s="4">
        <v>0</v>
      </c>
      <c r="K1749" s="4">
        <v>0</v>
      </c>
      <c r="L1749" s="4">
        <v>-1.9750000000000001</v>
      </c>
      <c r="M1749" s="4">
        <v>-1.9750000000000001</v>
      </c>
      <c r="N1749" s="4">
        <v>-1.9750000000000001</v>
      </c>
      <c r="O1749" s="4">
        <v>-1.9750000000000001</v>
      </c>
      <c r="P1749" s="4">
        <v>-3</v>
      </c>
      <c r="Q1749" s="3" t="s">
        <v>26</v>
      </c>
      <c r="R1749" s="3">
        <v>0</v>
      </c>
      <c r="S1749" s="4">
        <v>0</v>
      </c>
      <c r="T1749" s="4">
        <v>84</v>
      </c>
      <c r="U1749" s="4">
        <v>7</v>
      </c>
      <c r="V1749" s="4">
        <v>0</v>
      </c>
      <c r="W1749" s="4">
        <v>346.2</v>
      </c>
      <c r="X1749" s="4">
        <v>234.24</v>
      </c>
      <c r="Y1749" s="4"/>
      <c r="Z1749" s="4">
        <v>430.49583108604207</v>
      </c>
      <c r="AA1749" s="4">
        <v>247.48951138739608</v>
      </c>
      <c r="AB1749" s="4">
        <v>0</v>
      </c>
      <c r="AC1749" s="4">
        <v>-683.745</v>
      </c>
      <c r="AD1749" s="4">
        <v>-462.62400000000002</v>
      </c>
      <c r="AE1749" s="4">
        <v>0</v>
      </c>
      <c r="AF1749" s="4">
        <v>-850.22926639493312</v>
      </c>
      <c r="AG1749" s="4">
        <v>-488.79178499010726</v>
      </c>
    </row>
    <row r="1750" spans="1:33" ht="11.25" customHeight="1" x14ac:dyDescent="0.25">
      <c r="A1750" s="3" t="s">
        <v>56</v>
      </c>
      <c r="B1750" s="3" t="s">
        <v>37</v>
      </c>
      <c r="C1750" s="3" t="s">
        <v>23</v>
      </c>
      <c r="D1750" s="3" t="s">
        <v>43</v>
      </c>
      <c r="E1750" s="3" t="s">
        <v>25</v>
      </c>
      <c r="F1750" s="3" t="s">
        <v>25</v>
      </c>
      <c r="G1750" s="3" t="s">
        <v>25</v>
      </c>
      <c r="H1750" s="3" t="s">
        <v>25</v>
      </c>
      <c r="I1750" s="6">
        <v>44621</v>
      </c>
      <c r="J1750" s="4">
        <v>0</v>
      </c>
      <c r="K1750" s="4">
        <v>0</v>
      </c>
      <c r="L1750" s="4">
        <v>1941.952</v>
      </c>
      <c r="M1750" s="4">
        <v>1941.952</v>
      </c>
      <c r="N1750" s="4">
        <v>1941.952</v>
      </c>
      <c r="O1750" s="4">
        <v>1941.952</v>
      </c>
      <c r="P1750" s="4">
        <v>2252</v>
      </c>
      <c r="Q1750" s="3" t="s">
        <v>26</v>
      </c>
      <c r="R1750" s="3">
        <v>0</v>
      </c>
      <c r="S1750" s="4">
        <v>0</v>
      </c>
      <c r="T1750" s="4">
        <v>84</v>
      </c>
      <c r="U1750" s="4">
        <v>7</v>
      </c>
      <c r="V1750" s="4">
        <v>0</v>
      </c>
      <c r="W1750" s="4">
        <v>346.2</v>
      </c>
      <c r="X1750" s="4">
        <v>234.24</v>
      </c>
      <c r="Y1750" s="4"/>
      <c r="Z1750" s="4">
        <v>430.49583108604207</v>
      </c>
      <c r="AA1750" s="4">
        <v>247.48951138739608</v>
      </c>
      <c r="AB1750" s="4">
        <v>0</v>
      </c>
      <c r="AC1750" s="4">
        <v>672303.78240000003</v>
      </c>
      <c r="AD1750" s="4">
        <v>454882.83648</v>
      </c>
      <c r="AE1750" s="4">
        <v>0</v>
      </c>
      <c r="AF1750" s="4">
        <v>836002.24016920163</v>
      </c>
      <c r="AG1750" s="4">
        <v>480612.75161777658</v>
      </c>
    </row>
    <row r="1751" spans="1:33" ht="11.25" customHeight="1" x14ac:dyDescent="0.25">
      <c r="A1751" s="3" t="s">
        <v>56</v>
      </c>
      <c r="B1751" s="3" t="s">
        <v>37</v>
      </c>
      <c r="C1751" s="3" t="s">
        <v>23</v>
      </c>
      <c r="D1751" s="3" t="s">
        <v>43</v>
      </c>
      <c r="E1751" s="3" t="s">
        <v>25</v>
      </c>
      <c r="F1751" s="3" t="s">
        <v>25</v>
      </c>
      <c r="G1751" s="3" t="s">
        <v>25</v>
      </c>
      <c r="H1751" s="3" t="s">
        <v>25</v>
      </c>
      <c r="I1751" s="6">
        <v>44621</v>
      </c>
      <c r="J1751" s="4">
        <v>0</v>
      </c>
      <c r="K1751" s="4">
        <v>0</v>
      </c>
      <c r="L1751" s="4">
        <v>-0.58199999999999996</v>
      </c>
      <c r="M1751" s="4">
        <v>-0.58199999999999996</v>
      </c>
      <c r="N1751" s="4">
        <v>-0.58199999999999996</v>
      </c>
      <c r="O1751" s="4">
        <v>-0.58199999999999996</v>
      </c>
      <c r="P1751" s="4">
        <v>0</v>
      </c>
      <c r="Q1751" s="3" t="s">
        <v>26</v>
      </c>
      <c r="R1751" s="3">
        <v>0</v>
      </c>
      <c r="S1751" s="4">
        <v>0</v>
      </c>
      <c r="T1751" s="4">
        <v>84</v>
      </c>
      <c r="U1751" s="4">
        <v>7</v>
      </c>
      <c r="V1751" s="4">
        <v>0</v>
      </c>
      <c r="W1751" s="4">
        <v>346.2</v>
      </c>
      <c r="X1751" s="4">
        <v>234.24</v>
      </c>
      <c r="Y1751" s="4"/>
      <c r="Z1751" s="4">
        <v>430.49583108604207</v>
      </c>
      <c r="AA1751" s="4">
        <v>247.48951138739608</v>
      </c>
      <c r="AB1751" s="4">
        <v>0</v>
      </c>
      <c r="AC1751" s="4">
        <v>-201.48839999999998</v>
      </c>
      <c r="AD1751" s="4">
        <v>-136.32767999999999</v>
      </c>
      <c r="AE1751" s="4">
        <v>0</v>
      </c>
      <c r="AF1751" s="4">
        <v>-250.54857369207647</v>
      </c>
      <c r="AG1751" s="4">
        <v>-144.03889562746451</v>
      </c>
    </row>
    <row r="1752" spans="1:33" ht="11.25" customHeight="1" x14ac:dyDescent="0.25">
      <c r="A1752" s="3" t="s">
        <v>21</v>
      </c>
      <c r="B1752" s="3" t="s">
        <v>37</v>
      </c>
      <c r="C1752" s="3" t="s">
        <v>23</v>
      </c>
      <c r="D1752" s="3" t="s">
        <v>52</v>
      </c>
      <c r="E1752" s="3" t="s">
        <v>25</v>
      </c>
      <c r="F1752" s="3" t="s">
        <v>25</v>
      </c>
      <c r="G1752" s="3" t="s">
        <v>25</v>
      </c>
      <c r="H1752" s="3" t="s">
        <v>25</v>
      </c>
      <c r="I1752" s="6">
        <v>44287</v>
      </c>
      <c r="J1752" s="4">
        <v>0</v>
      </c>
      <c r="K1752" s="4">
        <v>0</v>
      </c>
      <c r="L1752" s="4">
        <v>135.946</v>
      </c>
      <c r="M1752" s="4">
        <v>135.946</v>
      </c>
      <c r="N1752" s="4">
        <v>135.946</v>
      </c>
      <c r="O1752" s="4">
        <v>135.946</v>
      </c>
      <c r="P1752" s="4">
        <v>124</v>
      </c>
      <c r="Q1752" s="3" t="s">
        <v>26</v>
      </c>
      <c r="R1752" s="3">
        <v>0</v>
      </c>
      <c r="S1752" s="4">
        <v>0</v>
      </c>
      <c r="T1752" s="4">
        <v>84</v>
      </c>
      <c r="U1752" s="4">
        <v>7</v>
      </c>
      <c r="V1752" s="4">
        <v>0</v>
      </c>
      <c r="W1752" s="4">
        <v>346.2</v>
      </c>
      <c r="X1752" s="4">
        <v>234.24</v>
      </c>
      <c r="Y1752" s="4"/>
      <c r="Z1752" s="4">
        <v>430.49583108604207</v>
      </c>
      <c r="AA1752" s="4">
        <v>247.48951138739608</v>
      </c>
      <c r="AB1752" s="4">
        <v>0</v>
      </c>
      <c r="AC1752" s="4">
        <v>47064.5052</v>
      </c>
      <c r="AD1752" s="4">
        <v>31843.991040000001</v>
      </c>
      <c r="AE1752" s="4">
        <v>0</v>
      </c>
      <c r="AF1752" s="4">
        <v>58524.186252823078</v>
      </c>
      <c r="AG1752" s="4">
        <v>33645.209115070946</v>
      </c>
    </row>
    <row r="1753" spans="1:33" ht="11.25" customHeight="1" x14ac:dyDescent="0.25">
      <c r="A1753" s="3" t="s">
        <v>21</v>
      </c>
      <c r="B1753" s="3" t="s">
        <v>37</v>
      </c>
      <c r="C1753" s="3" t="s">
        <v>23</v>
      </c>
      <c r="D1753" s="3" t="s">
        <v>52</v>
      </c>
      <c r="E1753" s="3" t="s">
        <v>25</v>
      </c>
      <c r="F1753" s="3" t="s">
        <v>25</v>
      </c>
      <c r="G1753" s="3" t="s">
        <v>25</v>
      </c>
      <c r="H1753" s="3" t="s">
        <v>25</v>
      </c>
      <c r="I1753" s="6">
        <v>44317</v>
      </c>
      <c r="J1753" s="4">
        <v>0</v>
      </c>
      <c r="K1753" s="4">
        <v>0</v>
      </c>
      <c r="L1753" s="4">
        <v>116.85299999999999</v>
      </c>
      <c r="M1753" s="4">
        <v>116.85299999999999</v>
      </c>
      <c r="N1753" s="4">
        <v>116.85299999999999</v>
      </c>
      <c r="O1753" s="4">
        <v>116.85299999999999</v>
      </c>
      <c r="P1753" s="4">
        <v>126</v>
      </c>
      <c r="Q1753" s="3" t="s">
        <v>26</v>
      </c>
      <c r="R1753" s="3">
        <v>0</v>
      </c>
      <c r="S1753" s="4">
        <v>0</v>
      </c>
      <c r="T1753" s="4">
        <v>84</v>
      </c>
      <c r="U1753" s="4">
        <v>7</v>
      </c>
      <c r="V1753" s="4">
        <v>0</v>
      </c>
      <c r="W1753" s="4">
        <v>346.2</v>
      </c>
      <c r="X1753" s="4">
        <v>234.24</v>
      </c>
      <c r="Y1753" s="4"/>
      <c r="Z1753" s="4">
        <v>430.49583108604207</v>
      </c>
      <c r="AA1753" s="4">
        <v>247.48951138739608</v>
      </c>
      <c r="AB1753" s="4">
        <v>0</v>
      </c>
      <c r="AC1753" s="4">
        <v>40454.508599999994</v>
      </c>
      <c r="AD1753" s="4">
        <v>27371.646720000001</v>
      </c>
      <c r="AE1753" s="4">
        <v>0</v>
      </c>
      <c r="AF1753" s="4">
        <v>50304.729349897272</v>
      </c>
      <c r="AG1753" s="4">
        <v>28919.891874151392</v>
      </c>
    </row>
    <row r="1754" spans="1:33" ht="11.25" customHeight="1" x14ac:dyDescent="0.25">
      <c r="A1754" s="3" t="s">
        <v>21</v>
      </c>
      <c r="B1754" s="3" t="s">
        <v>37</v>
      </c>
      <c r="C1754" s="3" t="s">
        <v>23</v>
      </c>
      <c r="D1754" s="3" t="s">
        <v>52</v>
      </c>
      <c r="E1754" s="3" t="s">
        <v>25</v>
      </c>
      <c r="F1754" s="3" t="s">
        <v>25</v>
      </c>
      <c r="G1754" s="3" t="s">
        <v>25</v>
      </c>
      <c r="H1754" s="3" t="s">
        <v>25</v>
      </c>
      <c r="I1754" s="6">
        <v>44348</v>
      </c>
      <c r="J1754" s="4">
        <v>0</v>
      </c>
      <c r="K1754" s="4">
        <v>0</v>
      </c>
      <c r="L1754" s="4">
        <v>110.857</v>
      </c>
      <c r="M1754" s="4">
        <v>110.857</v>
      </c>
      <c r="N1754" s="4">
        <v>110.857</v>
      </c>
      <c r="O1754" s="4">
        <v>110.857</v>
      </c>
      <c r="P1754" s="4">
        <v>122</v>
      </c>
      <c r="Q1754" s="3" t="s">
        <v>26</v>
      </c>
      <c r="R1754" s="3">
        <v>0</v>
      </c>
      <c r="S1754" s="4">
        <v>0</v>
      </c>
      <c r="T1754" s="4">
        <v>84</v>
      </c>
      <c r="U1754" s="4">
        <v>7</v>
      </c>
      <c r="V1754" s="4">
        <v>0</v>
      </c>
      <c r="W1754" s="4">
        <v>346.2</v>
      </c>
      <c r="X1754" s="4">
        <v>234.24</v>
      </c>
      <c r="Y1754" s="4"/>
      <c r="Z1754" s="4">
        <v>430.49583108604207</v>
      </c>
      <c r="AA1754" s="4">
        <v>247.48951138739608</v>
      </c>
      <c r="AB1754" s="4">
        <v>0</v>
      </c>
      <c r="AC1754" s="4">
        <v>38378.693399999996</v>
      </c>
      <c r="AD1754" s="4">
        <v>25967.143680000001</v>
      </c>
      <c r="AE1754" s="4">
        <v>0</v>
      </c>
      <c r="AF1754" s="4">
        <v>47723.476346705364</v>
      </c>
      <c r="AG1754" s="4">
        <v>27435.944763872565</v>
      </c>
    </row>
    <row r="1755" spans="1:33" ht="11.25" customHeight="1" x14ac:dyDescent="0.25">
      <c r="A1755" s="3" t="s">
        <v>27</v>
      </c>
      <c r="B1755" s="3" t="s">
        <v>37</v>
      </c>
      <c r="C1755" s="3" t="s">
        <v>23</v>
      </c>
      <c r="D1755" s="3" t="s">
        <v>52</v>
      </c>
      <c r="E1755" s="3" t="s">
        <v>25</v>
      </c>
      <c r="F1755" s="3" t="s">
        <v>25</v>
      </c>
      <c r="G1755" s="3" t="s">
        <v>25</v>
      </c>
      <c r="H1755" s="3" t="s">
        <v>25</v>
      </c>
      <c r="I1755" s="6">
        <v>44348</v>
      </c>
      <c r="J1755" s="4">
        <v>0</v>
      </c>
      <c r="K1755" s="4">
        <v>0</v>
      </c>
      <c r="L1755" s="4">
        <v>0.1</v>
      </c>
      <c r="M1755" s="4">
        <v>0.1</v>
      </c>
      <c r="N1755" s="4">
        <v>0.1</v>
      </c>
      <c r="O1755" s="4">
        <v>0.1</v>
      </c>
      <c r="P1755" s="4">
        <v>2</v>
      </c>
      <c r="Q1755" s="3" t="s">
        <v>26</v>
      </c>
      <c r="R1755" s="3">
        <v>0</v>
      </c>
      <c r="S1755" s="4">
        <v>0</v>
      </c>
      <c r="T1755" s="4">
        <v>84</v>
      </c>
      <c r="U1755" s="4">
        <v>7</v>
      </c>
      <c r="V1755" s="4">
        <v>0</v>
      </c>
      <c r="W1755" s="4">
        <v>346.2</v>
      </c>
      <c r="X1755" s="4">
        <v>234.24</v>
      </c>
      <c r="Y1755" s="4"/>
      <c r="Z1755" s="4">
        <v>430.49583108604207</v>
      </c>
      <c r="AA1755" s="4">
        <v>247.48951138739608</v>
      </c>
      <c r="AB1755" s="4">
        <v>0</v>
      </c>
      <c r="AC1755" s="4">
        <v>34.619999999999997</v>
      </c>
      <c r="AD1755" s="4">
        <v>23.424000000000003</v>
      </c>
      <c r="AE1755" s="4">
        <v>0</v>
      </c>
      <c r="AF1755" s="4">
        <v>43.04958310860421</v>
      </c>
      <c r="AG1755" s="4">
        <v>24.74895113873961</v>
      </c>
    </row>
    <row r="1756" spans="1:33" ht="11.25" customHeight="1" x14ac:dyDescent="0.25">
      <c r="A1756" s="3" t="s">
        <v>21</v>
      </c>
      <c r="B1756" s="3" t="s">
        <v>37</v>
      </c>
      <c r="C1756" s="3" t="s">
        <v>23</v>
      </c>
      <c r="D1756" s="3" t="s">
        <v>52</v>
      </c>
      <c r="E1756" s="3" t="s">
        <v>25</v>
      </c>
      <c r="F1756" s="3" t="s">
        <v>25</v>
      </c>
      <c r="G1756" s="3" t="s">
        <v>25</v>
      </c>
      <c r="H1756" s="3" t="s">
        <v>25</v>
      </c>
      <c r="I1756" s="6">
        <v>44378</v>
      </c>
      <c r="J1756" s="4">
        <v>0</v>
      </c>
      <c r="K1756" s="4">
        <v>0</v>
      </c>
      <c r="L1756" s="4">
        <v>110.09099999999999</v>
      </c>
      <c r="M1756" s="4">
        <v>110.09099999999999</v>
      </c>
      <c r="N1756" s="4">
        <v>110.09099999999999</v>
      </c>
      <c r="O1756" s="4">
        <v>110.09099999999999</v>
      </c>
      <c r="P1756" s="4">
        <v>124</v>
      </c>
      <c r="Q1756" s="3" t="s">
        <v>26</v>
      </c>
      <c r="R1756" s="3">
        <v>0</v>
      </c>
      <c r="S1756" s="4">
        <v>0</v>
      </c>
      <c r="T1756" s="4">
        <v>84</v>
      </c>
      <c r="U1756" s="4">
        <v>7</v>
      </c>
      <c r="V1756" s="4">
        <v>0</v>
      </c>
      <c r="W1756" s="4">
        <v>346.2</v>
      </c>
      <c r="X1756" s="4">
        <v>234.24</v>
      </c>
      <c r="Y1756" s="4"/>
      <c r="Z1756" s="4">
        <v>430.49583108604207</v>
      </c>
      <c r="AA1756" s="4">
        <v>247.48951138739608</v>
      </c>
      <c r="AB1756" s="4">
        <v>0</v>
      </c>
      <c r="AC1756" s="4">
        <v>38113.504199999996</v>
      </c>
      <c r="AD1756" s="4">
        <v>25787.715840000001</v>
      </c>
      <c r="AE1756" s="4">
        <v>0</v>
      </c>
      <c r="AF1756" s="4">
        <v>47393.716540093454</v>
      </c>
      <c r="AG1756" s="4">
        <v>27246.367798149819</v>
      </c>
    </row>
    <row r="1757" spans="1:33" ht="11.25" customHeight="1" x14ac:dyDescent="0.25">
      <c r="A1757" s="3" t="s">
        <v>21</v>
      </c>
      <c r="B1757" s="3" t="s">
        <v>37</v>
      </c>
      <c r="C1757" s="3" t="s">
        <v>23</v>
      </c>
      <c r="D1757" s="3" t="s">
        <v>52</v>
      </c>
      <c r="E1757" s="3" t="s">
        <v>25</v>
      </c>
      <c r="F1757" s="3" t="s">
        <v>25</v>
      </c>
      <c r="G1757" s="3" t="s">
        <v>25</v>
      </c>
      <c r="H1757" s="3" t="s">
        <v>25</v>
      </c>
      <c r="I1757" s="6">
        <v>44409</v>
      </c>
      <c r="J1757" s="4">
        <v>0</v>
      </c>
      <c r="K1757" s="4">
        <v>0</v>
      </c>
      <c r="L1757" s="4">
        <v>107.078</v>
      </c>
      <c r="M1757" s="4">
        <v>107.078</v>
      </c>
      <c r="N1757" s="4">
        <v>107.078</v>
      </c>
      <c r="O1757" s="4">
        <v>107.078</v>
      </c>
      <c r="P1757" s="4">
        <v>124</v>
      </c>
      <c r="Q1757" s="3" t="s">
        <v>26</v>
      </c>
      <c r="R1757" s="3">
        <v>0</v>
      </c>
      <c r="S1757" s="4">
        <v>0</v>
      </c>
      <c r="T1757" s="4">
        <v>84</v>
      </c>
      <c r="U1757" s="4">
        <v>7</v>
      </c>
      <c r="V1757" s="4">
        <v>0</v>
      </c>
      <c r="W1757" s="4">
        <v>346.2</v>
      </c>
      <c r="X1757" s="4">
        <v>234.24</v>
      </c>
      <c r="Y1757" s="4"/>
      <c r="Z1757" s="4">
        <v>430.49583108604207</v>
      </c>
      <c r="AA1757" s="4">
        <v>247.48951138739608</v>
      </c>
      <c r="AB1757" s="4">
        <v>0</v>
      </c>
      <c r="AC1757" s="4">
        <v>37070.403599999998</v>
      </c>
      <c r="AD1757" s="4">
        <v>25081.950720000001</v>
      </c>
      <c r="AE1757" s="4">
        <v>0</v>
      </c>
      <c r="AF1757" s="4">
        <v>46096.632601031211</v>
      </c>
      <c r="AG1757" s="4">
        <v>26500.681900339598</v>
      </c>
    </row>
    <row r="1758" spans="1:33" ht="11.25" customHeight="1" x14ac:dyDescent="0.25">
      <c r="A1758" s="3" t="s">
        <v>21</v>
      </c>
      <c r="B1758" s="3" t="s">
        <v>37</v>
      </c>
      <c r="C1758" s="3" t="s">
        <v>23</v>
      </c>
      <c r="D1758" s="3" t="s">
        <v>52</v>
      </c>
      <c r="E1758" s="3" t="s">
        <v>25</v>
      </c>
      <c r="F1758" s="3" t="s">
        <v>25</v>
      </c>
      <c r="G1758" s="3" t="s">
        <v>25</v>
      </c>
      <c r="H1758" s="3" t="s">
        <v>25</v>
      </c>
      <c r="I1758" s="6">
        <v>44440</v>
      </c>
      <c r="J1758" s="4">
        <v>0</v>
      </c>
      <c r="K1758" s="4">
        <v>0</v>
      </c>
      <c r="L1758" s="4">
        <v>112.01900000000001</v>
      </c>
      <c r="M1758" s="4">
        <v>112.01900000000001</v>
      </c>
      <c r="N1758" s="4">
        <v>112.01900000000001</v>
      </c>
      <c r="O1758" s="4">
        <v>112.01900000000001</v>
      </c>
      <c r="P1758" s="4">
        <v>115</v>
      </c>
      <c r="Q1758" s="3" t="s">
        <v>26</v>
      </c>
      <c r="R1758" s="3">
        <v>0</v>
      </c>
      <c r="S1758" s="4">
        <v>0</v>
      </c>
      <c r="T1758" s="4">
        <v>84</v>
      </c>
      <c r="U1758" s="4">
        <v>7</v>
      </c>
      <c r="V1758" s="4">
        <v>0</v>
      </c>
      <c r="W1758" s="4">
        <v>346.2</v>
      </c>
      <c r="X1758" s="4">
        <v>234.24</v>
      </c>
      <c r="Y1758" s="4"/>
      <c r="Z1758" s="4">
        <v>430.49583108604207</v>
      </c>
      <c r="AA1758" s="4">
        <v>247.48951138739608</v>
      </c>
      <c r="AB1758" s="4">
        <v>0</v>
      </c>
      <c r="AC1758" s="4">
        <v>38780.977800000001</v>
      </c>
      <c r="AD1758" s="4">
        <v>26239.330560000002</v>
      </c>
      <c r="AE1758" s="4">
        <v>0</v>
      </c>
      <c r="AF1758" s="4">
        <v>48223.712502427348</v>
      </c>
      <c r="AG1758" s="4">
        <v>27723.527576104723</v>
      </c>
    </row>
    <row r="1759" spans="1:33" ht="11.25" customHeight="1" x14ac:dyDescent="0.25">
      <c r="A1759" s="3" t="s">
        <v>21</v>
      </c>
      <c r="B1759" s="3" t="s">
        <v>37</v>
      </c>
      <c r="C1759" s="3" t="s">
        <v>23</v>
      </c>
      <c r="D1759" s="3" t="s">
        <v>52</v>
      </c>
      <c r="E1759" s="3" t="s">
        <v>25</v>
      </c>
      <c r="F1759" s="3" t="s">
        <v>25</v>
      </c>
      <c r="G1759" s="3" t="s">
        <v>25</v>
      </c>
      <c r="H1759" s="3" t="s">
        <v>25</v>
      </c>
      <c r="I1759" s="6">
        <v>44470</v>
      </c>
      <c r="J1759" s="4">
        <v>0</v>
      </c>
      <c r="K1759" s="4">
        <v>0</v>
      </c>
      <c r="L1759" s="4">
        <v>125.72799999999999</v>
      </c>
      <c r="M1759" s="4">
        <v>125.72799999999999</v>
      </c>
      <c r="N1759" s="4">
        <v>125.72799999999999</v>
      </c>
      <c r="O1759" s="4">
        <v>125.72799999999999</v>
      </c>
      <c r="P1759" s="4">
        <v>114</v>
      </c>
      <c r="Q1759" s="3" t="s">
        <v>26</v>
      </c>
      <c r="R1759" s="3">
        <v>0</v>
      </c>
      <c r="S1759" s="4">
        <v>0</v>
      </c>
      <c r="T1759" s="4">
        <v>84</v>
      </c>
      <c r="U1759" s="4">
        <v>7</v>
      </c>
      <c r="V1759" s="4">
        <v>0</v>
      </c>
      <c r="W1759" s="4">
        <v>346.2</v>
      </c>
      <c r="X1759" s="4">
        <v>234.24</v>
      </c>
      <c r="Y1759" s="4"/>
      <c r="Z1759" s="4">
        <v>430.49583108604207</v>
      </c>
      <c r="AA1759" s="4">
        <v>247.48951138739608</v>
      </c>
      <c r="AB1759" s="4">
        <v>0</v>
      </c>
      <c r="AC1759" s="4">
        <v>43527.033599999995</v>
      </c>
      <c r="AD1759" s="4">
        <v>29450.526719999998</v>
      </c>
      <c r="AE1759" s="4">
        <v>0</v>
      </c>
      <c r="AF1759" s="4">
        <v>54125.379850785896</v>
      </c>
      <c r="AG1759" s="4">
        <v>31116.361287714531</v>
      </c>
    </row>
    <row r="1760" spans="1:33" ht="11.25" customHeight="1" x14ac:dyDescent="0.25">
      <c r="A1760" s="3" t="s">
        <v>21</v>
      </c>
      <c r="B1760" s="3" t="s">
        <v>37</v>
      </c>
      <c r="C1760" s="3" t="s">
        <v>23</v>
      </c>
      <c r="D1760" s="3" t="s">
        <v>52</v>
      </c>
      <c r="E1760" s="3" t="s">
        <v>25</v>
      </c>
      <c r="F1760" s="3" t="s">
        <v>25</v>
      </c>
      <c r="G1760" s="3" t="s">
        <v>25</v>
      </c>
      <c r="H1760" s="3" t="s">
        <v>25</v>
      </c>
      <c r="I1760" s="6">
        <v>44501</v>
      </c>
      <c r="J1760" s="4">
        <v>0</v>
      </c>
      <c r="K1760" s="4">
        <v>0</v>
      </c>
      <c r="L1760" s="4">
        <v>131.577</v>
      </c>
      <c r="M1760" s="4">
        <v>131.577</v>
      </c>
      <c r="N1760" s="4">
        <v>131.577</v>
      </c>
      <c r="O1760" s="4">
        <v>131.577</v>
      </c>
      <c r="P1760" s="4">
        <v>122</v>
      </c>
      <c r="Q1760" s="3" t="s">
        <v>26</v>
      </c>
      <c r="R1760" s="3">
        <v>0</v>
      </c>
      <c r="S1760" s="4">
        <v>0</v>
      </c>
      <c r="T1760" s="4">
        <v>84</v>
      </c>
      <c r="U1760" s="4">
        <v>7</v>
      </c>
      <c r="V1760" s="4">
        <v>0</v>
      </c>
      <c r="W1760" s="4">
        <v>346.2</v>
      </c>
      <c r="X1760" s="4">
        <v>234.24</v>
      </c>
      <c r="Y1760" s="4"/>
      <c r="Z1760" s="4">
        <v>430.49583108604207</v>
      </c>
      <c r="AA1760" s="4">
        <v>247.48951138739608</v>
      </c>
      <c r="AB1760" s="4">
        <v>0</v>
      </c>
      <c r="AC1760" s="4">
        <v>45551.957399999999</v>
      </c>
      <c r="AD1760" s="4">
        <v>30820.59648</v>
      </c>
      <c r="AE1760" s="4">
        <v>0</v>
      </c>
      <c r="AF1760" s="4">
        <v>56643.349966808157</v>
      </c>
      <c r="AG1760" s="4">
        <v>32563.927439819414</v>
      </c>
    </row>
    <row r="1761" spans="1:33" ht="11.25" customHeight="1" x14ac:dyDescent="0.25">
      <c r="A1761" s="3" t="s">
        <v>21</v>
      </c>
      <c r="B1761" s="3" t="s">
        <v>37</v>
      </c>
      <c r="C1761" s="3" t="s">
        <v>23</v>
      </c>
      <c r="D1761" s="3" t="s">
        <v>52</v>
      </c>
      <c r="E1761" s="3" t="s">
        <v>25</v>
      </c>
      <c r="F1761" s="3" t="s">
        <v>25</v>
      </c>
      <c r="G1761" s="3" t="s">
        <v>25</v>
      </c>
      <c r="H1761" s="3" t="s">
        <v>25</v>
      </c>
      <c r="I1761" s="6">
        <v>44531</v>
      </c>
      <c r="J1761" s="4">
        <v>0</v>
      </c>
      <c r="K1761" s="4">
        <v>0</v>
      </c>
      <c r="L1761" s="4">
        <v>144.143</v>
      </c>
      <c r="M1761" s="4">
        <v>144.143</v>
      </c>
      <c r="N1761" s="4">
        <v>144.143</v>
      </c>
      <c r="O1761" s="4">
        <v>144.143</v>
      </c>
      <c r="P1761" s="4">
        <v>114</v>
      </c>
      <c r="Q1761" s="3" t="s">
        <v>26</v>
      </c>
      <c r="R1761" s="3">
        <v>0</v>
      </c>
      <c r="S1761" s="4">
        <v>0</v>
      </c>
      <c r="T1761" s="4">
        <v>84</v>
      </c>
      <c r="U1761" s="4">
        <v>7</v>
      </c>
      <c r="V1761" s="4">
        <v>0</v>
      </c>
      <c r="W1761" s="4">
        <v>346.2</v>
      </c>
      <c r="X1761" s="4">
        <v>234.24</v>
      </c>
      <c r="Y1761" s="4"/>
      <c r="Z1761" s="4">
        <v>430.49583108604207</v>
      </c>
      <c r="AA1761" s="4">
        <v>247.48951138739608</v>
      </c>
      <c r="AB1761" s="4">
        <v>0</v>
      </c>
      <c r="AC1761" s="4">
        <v>49902.306599999996</v>
      </c>
      <c r="AD1761" s="4">
        <v>33764.056320000003</v>
      </c>
      <c r="AE1761" s="4">
        <v>0</v>
      </c>
      <c r="AF1761" s="4">
        <v>62052.960580235362</v>
      </c>
      <c r="AG1761" s="4">
        <v>35673.880639913434</v>
      </c>
    </row>
    <row r="1762" spans="1:33" ht="11.25" customHeight="1" x14ac:dyDescent="0.25">
      <c r="A1762" s="3" t="s">
        <v>21</v>
      </c>
      <c r="B1762" s="3" t="s">
        <v>37</v>
      </c>
      <c r="C1762" s="3" t="s">
        <v>23</v>
      </c>
      <c r="D1762" s="3" t="s">
        <v>52</v>
      </c>
      <c r="E1762" s="3" t="s">
        <v>25</v>
      </c>
      <c r="F1762" s="3" t="s">
        <v>25</v>
      </c>
      <c r="G1762" s="3" t="s">
        <v>25</v>
      </c>
      <c r="H1762" s="3" t="s">
        <v>25</v>
      </c>
      <c r="I1762" s="6">
        <v>44562</v>
      </c>
      <c r="J1762" s="4">
        <v>0</v>
      </c>
      <c r="K1762" s="4">
        <v>0</v>
      </c>
      <c r="L1762" s="4">
        <v>138.63300000000001</v>
      </c>
      <c r="M1762" s="4">
        <v>138.63300000000001</v>
      </c>
      <c r="N1762" s="4">
        <v>138.63300000000001</v>
      </c>
      <c r="O1762" s="4">
        <v>138.63300000000001</v>
      </c>
      <c r="P1762" s="4">
        <v>105</v>
      </c>
      <c r="Q1762" s="3" t="s">
        <v>26</v>
      </c>
      <c r="R1762" s="3">
        <v>0</v>
      </c>
      <c r="S1762" s="4">
        <v>0</v>
      </c>
      <c r="T1762" s="4">
        <v>84</v>
      </c>
      <c r="U1762" s="4">
        <v>7</v>
      </c>
      <c r="V1762" s="4">
        <v>0</v>
      </c>
      <c r="W1762" s="4">
        <v>346.2</v>
      </c>
      <c r="X1762" s="4">
        <v>234.24</v>
      </c>
      <c r="Y1762" s="4"/>
      <c r="Z1762" s="4">
        <v>430.49583108604207</v>
      </c>
      <c r="AA1762" s="4">
        <v>247.48951138739608</v>
      </c>
      <c r="AB1762" s="4">
        <v>0</v>
      </c>
      <c r="AC1762" s="4">
        <v>47994.744600000005</v>
      </c>
      <c r="AD1762" s="4">
        <v>32473.393920000002</v>
      </c>
      <c r="AE1762" s="4">
        <v>0</v>
      </c>
      <c r="AF1762" s="4">
        <v>59680.928550951277</v>
      </c>
      <c r="AG1762" s="4">
        <v>34310.213432168886</v>
      </c>
    </row>
    <row r="1763" spans="1:33" ht="11.25" customHeight="1" x14ac:dyDescent="0.25">
      <c r="A1763" s="3" t="s">
        <v>21</v>
      </c>
      <c r="B1763" s="3" t="s">
        <v>37</v>
      </c>
      <c r="C1763" s="3" t="s">
        <v>23</v>
      </c>
      <c r="D1763" s="3" t="s">
        <v>52</v>
      </c>
      <c r="E1763" s="3" t="s">
        <v>25</v>
      </c>
      <c r="F1763" s="3" t="s">
        <v>25</v>
      </c>
      <c r="G1763" s="3" t="s">
        <v>25</v>
      </c>
      <c r="H1763" s="3" t="s">
        <v>25</v>
      </c>
      <c r="I1763" s="6">
        <v>44593</v>
      </c>
      <c r="J1763" s="4">
        <v>0</v>
      </c>
      <c r="K1763" s="4">
        <v>0</v>
      </c>
      <c r="L1763" s="4">
        <v>139.43199999999999</v>
      </c>
      <c r="M1763" s="4">
        <v>139.43199999999999</v>
      </c>
      <c r="N1763" s="4">
        <v>139.43199999999999</v>
      </c>
      <c r="O1763" s="4">
        <v>139.43199999999999</v>
      </c>
      <c r="P1763" s="4">
        <v>109</v>
      </c>
      <c r="Q1763" s="3" t="s">
        <v>26</v>
      </c>
      <c r="R1763" s="3">
        <v>0</v>
      </c>
      <c r="S1763" s="4">
        <v>0</v>
      </c>
      <c r="T1763" s="4">
        <v>84</v>
      </c>
      <c r="U1763" s="4">
        <v>7</v>
      </c>
      <c r="V1763" s="4">
        <v>0</v>
      </c>
      <c r="W1763" s="4">
        <v>346.2</v>
      </c>
      <c r="X1763" s="4">
        <v>234.24</v>
      </c>
      <c r="Y1763" s="4"/>
      <c r="Z1763" s="4">
        <v>430.49583108604207</v>
      </c>
      <c r="AA1763" s="4">
        <v>247.48951138739608</v>
      </c>
      <c r="AB1763" s="4">
        <v>0</v>
      </c>
      <c r="AC1763" s="4">
        <v>48271.358399999997</v>
      </c>
      <c r="AD1763" s="4">
        <v>32660.551679999997</v>
      </c>
      <c r="AE1763" s="4">
        <v>0</v>
      </c>
      <c r="AF1763" s="4">
        <v>60024.89471998901</v>
      </c>
      <c r="AG1763" s="4">
        <v>34507.957551767409</v>
      </c>
    </row>
    <row r="1764" spans="1:33" ht="11.25" customHeight="1" x14ac:dyDescent="0.25">
      <c r="A1764" s="3" t="s">
        <v>56</v>
      </c>
      <c r="B1764" s="3" t="s">
        <v>37</v>
      </c>
      <c r="C1764" s="3" t="s">
        <v>23</v>
      </c>
      <c r="D1764" s="3" t="s">
        <v>52</v>
      </c>
      <c r="E1764" s="3" t="s">
        <v>25</v>
      </c>
      <c r="F1764" s="3" t="s">
        <v>25</v>
      </c>
      <c r="G1764" s="3" t="s">
        <v>25</v>
      </c>
      <c r="H1764" s="3" t="s">
        <v>25</v>
      </c>
      <c r="I1764" s="6">
        <v>44621</v>
      </c>
      <c r="J1764" s="4">
        <v>0</v>
      </c>
      <c r="K1764" s="4">
        <v>0</v>
      </c>
      <c r="L1764" s="4">
        <v>139.43199999999999</v>
      </c>
      <c r="M1764" s="4">
        <v>139.43199999999999</v>
      </c>
      <c r="N1764" s="4">
        <v>139.43199999999999</v>
      </c>
      <c r="O1764" s="4">
        <v>139.43199999999999</v>
      </c>
      <c r="P1764" s="4">
        <v>109</v>
      </c>
      <c r="Q1764" s="3" t="s">
        <v>26</v>
      </c>
      <c r="R1764" s="3">
        <v>0</v>
      </c>
      <c r="S1764" s="4">
        <v>0</v>
      </c>
      <c r="T1764" s="4">
        <v>84</v>
      </c>
      <c r="U1764" s="4">
        <v>7</v>
      </c>
      <c r="V1764" s="4">
        <v>0</v>
      </c>
      <c r="W1764" s="4">
        <v>346.2</v>
      </c>
      <c r="X1764" s="4">
        <v>234.24</v>
      </c>
      <c r="Y1764" s="4"/>
      <c r="Z1764" s="4">
        <v>430.49583108604207</v>
      </c>
      <c r="AA1764" s="4">
        <v>247.48951138739608</v>
      </c>
      <c r="AB1764" s="4">
        <v>0</v>
      </c>
      <c r="AC1764" s="4">
        <v>48271.358399999997</v>
      </c>
      <c r="AD1764" s="4">
        <v>32660.551679999997</v>
      </c>
      <c r="AE1764" s="4">
        <v>0</v>
      </c>
      <c r="AF1764" s="4">
        <v>60024.89471998901</v>
      </c>
      <c r="AG1764" s="4">
        <v>34507.957551767409</v>
      </c>
    </row>
    <row r="1765" spans="1:33" ht="11.25" customHeight="1" x14ac:dyDescent="0.25">
      <c r="A1765" s="3" t="s">
        <v>21</v>
      </c>
      <c r="B1765" s="3" t="s">
        <v>37</v>
      </c>
      <c r="C1765" s="3" t="s">
        <v>23</v>
      </c>
      <c r="D1765" s="3" t="s">
        <v>38</v>
      </c>
      <c r="E1765" s="3" t="s">
        <v>25</v>
      </c>
      <c r="F1765" s="3" t="s">
        <v>25</v>
      </c>
      <c r="G1765" s="3" t="s">
        <v>25</v>
      </c>
      <c r="H1765" s="3" t="s">
        <v>25</v>
      </c>
      <c r="I1765" s="6">
        <v>44287</v>
      </c>
      <c r="J1765" s="4">
        <v>0</v>
      </c>
      <c r="K1765" s="4">
        <v>0</v>
      </c>
      <c r="L1765" s="4">
        <v>1293.548</v>
      </c>
      <c r="M1765" s="4">
        <v>1293.548</v>
      </c>
      <c r="N1765" s="4">
        <v>1293.548</v>
      </c>
      <c r="O1765" s="4">
        <v>1293.548</v>
      </c>
      <c r="P1765" s="4">
        <v>683</v>
      </c>
      <c r="Q1765" s="3" t="s">
        <v>26</v>
      </c>
      <c r="R1765" s="3">
        <v>0</v>
      </c>
      <c r="S1765" s="4">
        <v>0</v>
      </c>
      <c r="T1765" s="4">
        <v>84</v>
      </c>
      <c r="U1765" s="4">
        <v>7</v>
      </c>
      <c r="V1765" s="4">
        <v>0</v>
      </c>
      <c r="W1765" s="4">
        <v>346.2</v>
      </c>
      <c r="X1765" s="4">
        <v>234.24</v>
      </c>
      <c r="Y1765" s="4"/>
      <c r="Z1765" s="4">
        <v>430.49583108604207</v>
      </c>
      <c r="AA1765" s="4">
        <v>247.48951138739608</v>
      </c>
      <c r="AB1765" s="4">
        <v>0</v>
      </c>
      <c r="AC1765" s="4">
        <v>447826.31760000001</v>
      </c>
      <c r="AD1765" s="4">
        <v>303000.68352000002</v>
      </c>
      <c r="AE1765" s="4">
        <v>0</v>
      </c>
      <c r="AF1765" s="4">
        <v>556867.02130968752</v>
      </c>
      <c r="AG1765" s="4">
        <v>320139.56247614342</v>
      </c>
    </row>
    <row r="1766" spans="1:33" ht="11.25" customHeight="1" x14ac:dyDescent="0.25">
      <c r="A1766" s="3" t="s">
        <v>27</v>
      </c>
      <c r="B1766" s="3" t="s">
        <v>37</v>
      </c>
      <c r="C1766" s="3" t="s">
        <v>23</v>
      </c>
      <c r="D1766" s="3" t="s">
        <v>38</v>
      </c>
      <c r="E1766" s="3" t="s">
        <v>25</v>
      </c>
      <c r="F1766" s="3" t="s">
        <v>25</v>
      </c>
      <c r="G1766" s="3" t="s">
        <v>25</v>
      </c>
      <c r="H1766" s="3" t="s">
        <v>25</v>
      </c>
      <c r="I1766" s="6">
        <v>44287</v>
      </c>
      <c r="J1766" s="4">
        <v>0</v>
      </c>
      <c r="K1766" s="4">
        <v>0</v>
      </c>
      <c r="L1766" s="4">
        <v>-0.186</v>
      </c>
      <c r="M1766" s="4">
        <v>-0.186</v>
      </c>
      <c r="N1766" s="4">
        <v>-0.186</v>
      </c>
      <c r="O1766" s="4">
        <v>-0.186</v>
      </c>
      <c r="P1766" s="4">
        <v>0</v>
      </c>
      <c r="Q1766" s="3" t="s">
        <v>26</v>
      </c>
      <c r="R1766" s="3">
        <v>0</v>
      </c>
      <c r="S1766" s="4">
        <v>0</v>
      </c>
      <c r="T1766" s="4">
        <v>84</v>
      </c>
      <c r="U1766" s="4">
        <v>7</v>
      </c>
      <c r="V1766" s="4">
        <v>0</v>
      </c>
      <c r="W1766" s="4">
        <v>346.2</v>
      </c>
      <c r="X1766" s="4">
        <v>234.24</v>
      </c>
      <c r="Y1766" s="4"/>
      <c r="Z1766" s="4">
        <v>430.49583108604207</v>
      </c>
      <c r="AA1766" s="4">
        <v>247.48951138739608</v>
      </c>
      <c r="AB1766" s="4">
        <v>0</v>
      </c>
      <c r="AC1766" s="4">
        <v>-64.393199999999993</v>
      </c>
      <c r="AD1766" s="4">
        <v>-43.568640000000002</v>
      </c>
      <c r="AE1766" s="4">
        <v>0</v>
      </c>
      <c r="AF1766" s="4">
        <v>-80.072224582003827</v>
      </c>
      <c r="AG1766" s="4">
        <v>-46.033049118055672</v>
      </c>
    </row>
    <row r="1767" spans="1:33" ht="11.25" customHeight="1" x14ac:dyDescent="0.25">
      <c r="A1767" s="3" t="s">
        <v>28</v>
      </c>
      <c r="B1767" s="3" t="s">
        <v>37</v>
      </c>
      <c r="C1767" s="3" t="s">
        <v>23</v>
      </c>
      <c r="D1767" s="3" t="s">
        <v>38</v>
      </c>
      <c r="E1767" s="3" t="s">
        <v>25</v>
      </c>
      <c r="F1767" s="3" t="s">
        <v>25</v>
      </c>
      <c r="G1767" s="3" t="s">
        <v>25</v>
      </c>
      <c r="H1767" s="3" t="s">
        <v>25</v>
      </c>
      <c r="I1767" s="6">
        <v>44287</v>
      </c>
      <c r="J1767" s="4">
        <v>0</v>
      </c>
      <c r="K1767" s="4">
        <v>0</v>
      </c>
      <c r="L1767" s="4">
        <v>42.223999999999997</v>
      </c>
      <c r="M1767" s="4">
        <v>42.223999999999997</v>
      </c>
      <c r="N1767" s="4">
        <v>42.223999999999997</v>
      </c>
      <c r="O1767" s="4">
        <v>42.223999999999997</v>
      </c>
      <c r="P1767" s="4">
        <v>45</v>
      </c>
      <c r="Q1767" s="3" t="s">
        <v>26</v>
      </c>
      <c r="R1767" s="3">
        <v>0</v>
      </c>
      <c r="S1767" s="4">
        <v>0</v>
      </c>
      <c r="T1767" s="4">
        <v>84</v>
      </c>
      <c r="U1767" s="4">
        <v>7</v>
      </c>
      <c r="V1767" s="4">
        <v>0</v>
      </c>
      <c r="W1767" s="4">
        <v>346.2</v>
      </c>
      <c r="X1767" s="4">
        <v>234.24</v>
      </c>
      <c r="Y1767" s="4"/>
      <c r="Z1767" s="4">
        <v>430.49583108604207</v>
      </c>
      <c r="AA1767" s="4">
        <v>247.48951138739608</v>
      </c>
      <c r="AB1767" s="4">
        <v>0</v>
      </c>
      <c r="AC1767" s="4">
        <v>14617.948799999998</v>
      </c>
      <c r="AD1767" s="4">
        <v>9890.5497599999999</v>
      </c>
      <c r="AE1767" s="4">
        <v>0</v>
      </c>
      <c r="AF1767" s="4">
        <v>18177.255971777038</v>
      </c>
      <c r="AG1767" s="4">
        <v>10449.997128821411</v>
      </c>
    </row>
    <row r="1768" spans="1:33" ht="11.25" customHeight="1" x14ac:dyDescent="0.25">
      <c r="A1768" s="3" t="s">
        <v>21</v>
      </c>
      <c r="B1768" s="3" t="s">
        <v>37</v>
      </c>
      <c r="C1768" s="3" t="s">
        <v>23</v>
      </c>
      <c r="D1768" s="3" t="s">
        <v>38</v>
      </c>
      <c r="E1768" s="3" t="s">
        <v>25</v>
      </c>
      <c r="F1768" s="3" t="s">
        <v>25</v>
      </c>
      <c r="G1768" s="3" t="s">
        <v>25</v>
      </c>
      <c r="H1768" s="3" t="s">
        <v>25</v>
      </c>
      <c r="I1768" s="6">
        <v>44317</v>
      </c>
      <c r="J1768" s="4">
        <v>0</v>
      </c>
      <c r="K1768" s="4">
        <v>0</v>
      </c>
      <c r="L1768" s="4">
        <v>1185.8820000000001</v>
      </c>
      <c r="M1768" s="4">
        <v>1185.8820000000001</v>
      </c>
      <c r="N1768" s="4">
        <v>1185.8820000000001</v>
      </c>
      <c r="O1768" s="4">
        <v>1185.8820000000001</v>
      </c>
      <c r="P1768" s="4">
        <v>680</v>
      </c>
      <c r="Q1768" s="3" t="s">
        <v>26</v>
      </c>
      <c r="R1768" s="3">
        <v>0</v>
      </c>
      <c r="S1768" s="4">
        <v>0</v>
      </c>
      <c r="T1768" s="4">
        <v>84</v>
      </c>
      <c r="U1768" s="4">
        <v>7</v>
      </c>
      <c r="V1768" s="4">
        <v>0</v>
      </c>
      <c r="W1768" s="4">
        <v>346.2</v>
      </c>
      <c r="X1768" s="4">
        <v>234.24</v>
      </c>
      <c r="Y1768" s="4"/>
      <c r="Z1768" s="4">
        <v>430.49583108604207</v>
      </c>
      <c r="AA1768" s="4">
        <v>247.48951138739608</v>
      </c>
      <c r="AB1768" s="4">
        <v>0</v>
      </c>
      <c r="AC1768" s="4">
        <v>410552.34840000002</v>
      </c>
      <c r="AD1768" s="4">
        <v>277780.99968000001</v>
      </c>
      <c r="AE1768" s="4">
        <v>0</v>
      </c>
      <c r="AF1768" s="4">
        <v>510517.2571599778</v>
      </c>
      <c r="AG1768" s="4">
        <v>293493.35674310807</v>
      </c>
    </row>
    <row r="1769" spans="1:33" ht="11.25" customHeight="1" x14ac:dyDescent="0.25">
      <c r="A1769" s="3" t="s">
        <v>27</v>
      </c>
      <c r="B1769" s="3" t="s">
        <v>37</v>
      </c>
      <c r="C1769" s="3" t="s">
        <v>23</v>
      </c>
      <c r="D1769" s="3" t="s">
        <v>38</v>
      </c>
      <c r="E1769" s="3" t="s">
        <v>25</v>
      </c>
      <c r="F1769" s="3" t="s">
        <v>25</v>
      </c>
      <c r="G1769" s="3" t="s">
        <v>25</v>
      </c>
      <c r="H1769" s="3" t="s">
        <v>25</v>
      </c>
      <c r="I1769" s="6">
        <v>44317</v>
      </c>
      <c r="J1769" s="4">
        <v>0</v>
      </c>
      <c r="K1769" s="4">
        <v>0</v>
      </c>
      <c r="L1769" s="4">
        <v>-1.38</v>
      </c>
      <c r="M1769" s="4">
        <v>-1.38</v>
      </c>
      <c r="N1769" s="4">
        <v>-1.38</v>
      </c>
      <c r="O1769" s="4">
        <v>-1.38</v>
      </c>
      <c r="P1769" s="4">
        <v>-9</v>
      </c>
      <c r="Q1769" s="3" t="s">
        <v>26</v>
      </c>
      <c r="R1769" s="3">
        <v>0</v>
      </c>
      <c r="S1769" s="4">
        <v>0</v>
      </c>
      <c r="T1769" s="4">
        <v>84</v>
      </c>
      <c r="U1769" s="4">
        <v>7</v>
      </c>
      <c r="V1769" s="4">
        <v>0</v>
      </c>
      <c r="W1769" s="4">
        <v>346.2</v>
      </c>
      <c r="X1769" s="4">
        <v>234.24</v>
      </c>
      <c r="Y1769" s="4"/>
      <c r="Z1769" s="4">
        <v>430.49583108604207</v>
      </c>
      <c r="AA1769" s="4">
        <v>247.48951138739608</v>
      </c>
      <c r="AB1769" s="4">
        <v>0</v>
      </c>
      <c r="AC1769" s="4">
        <v>-477.75599999999997</v>
      </c>
      <c r="AD1769" s="4">
        <v>-323.25119999999998</v>
      </c>
      <c r="AE1769" s="4">
        <v>0</v>
      </c>
      <c r="AF1769" s="4">
        <v>-594.084246898738</v>
      </c>
      <c r="AG1769" s="4">
        <v>-341.53552571460654</v>
      </c>
    </row>
    <row r="1770" spans="1:33" ht="11.25" customHeight="1" x14ac:dyDescent="0.25">
      <c r="A1770" s="3" t="s">
        <v>28</v>
      </c>
      <c r="B1770" s="3" t="s">
        <v>37</v>
      </c>
      <c r="C1770" s="3" t="s">
        <v>23</v>
      </c>
      <c r="D1770" s="3" t="s">
        <v>38</v>
      </c>
      <c r="E1770" s="3" t="s">
        <v>25</v>
      </c>
      <c r="F1770" s="3" t="s">
        <v>25</v>
      </c>
      <c r="G1770" s="3" t="s">
        <v>25</v>
      </c>
      <c r="H1770" s="3" t="s">
        <v>25</v>
      </c>
      <c r="I1770" s="6">
        <v>44317</v>
      </c>
      <c r="J1770" s="4">
        <v>0</v>
      </c>
      <c r="K1770" s="4">
        <v>0</v>
      </c>
      <c r="L1770" s="4">
        <v>49.832999999999998</v>
      </c>
      <c r="M1770" s="4">
        <v>49.832999999999998</v>
      </c>
      <c r="N1770" s="4">
        <v>49.832999999999998</v>
      </c>
      <c r="O1770" s="4">
        <v>49.832999999999998</v>
      </c>
      <c r="P1770" s="4">
        <v>49</v>
      </c>
      <c r="Q1770" s="3" t="s">
        <v>26</v>
      </c>
      <c r="R1770" s="3">
        <v>0</v>
      </c>
      <c r="S1770" s="4">
        <v>0</v>
      </c>
      <c r="T1770" s="4">
        <v>84</v>
      </c>
      <c r="U1770" s="4">
        <v>7</v>
      </c>
      <c r="V1770" s="4">
        <v>0</v>
      </c>
      <c r="W1770" s="4">
        <v>346.2</v>
      </c>
      <c r="X1770" s="4">
        <v>234.24</v>
      </c>
      <c r="Y1770" s="4"/>
      <c r="Z1770" s="4">
        <v>430.49583108604207</v>
      </c>
      <c r="AA1770" s="4">
        <v>247.48951138739608</v>
      </c>
      <c r="AB1770" s="4">
        <v>0</v>
      </c>
      <c r="AC1770" s="4">
        <v>17252.184600000001</v>
      </c>
      <c r="AD1770" s="4">
        <v>11672.88192</v>
      </c>
      <c r="AE1770" s="4">
        <v>0</v>
      </c>
      <c r="AF1770" s="4">
        <v>21452.898750510732</v>
      </c>
      <c r="AG1770" s="4">
        <v>12333.144820968108</v>
      </c>
    </row>
    <row r="1771" spans="1:33" ht="11.25" customHeight="1" x14ac:dyDescent="0.25">
      <c r="A1771" s="3" t="s">
        <v>21</v>
      </c>
      <c r="B1771" s="3" t="s">
        <v>37</v>
      </c>
      <c r="C1771" s="3" t="s">
        <v>23</v>
      </c>
      <c r="D1771" s="3" t="s">
        <v>38</v>
      </c>
      <c r="E1771" s="3" t="s">
        <v>25</v>
      </c>
      <c r="F1771" s="3" t="s">
        <v>25</v>
      </c>
      <c r="G1771" s="3" t="s">
        <v>25</v>
      </c>
      <c r="H1771" s="3" t="s">
        <v>25</v>
      </c>
      <c r="I1771" s="6">
        <v>44348</v>
      </c>
      <c r="J1771" s="4">
        <v>0</v>
      </c>
      <c r="K1771" s="4">
        <v>0</v>
      </c>
      <c r="L1771" s="4">
        <v>1231.912</v>
      </c>
      <c r="M1771" s="4">
        <v>1231.912</v>
      </c>
      <c r="N1771" s="4">
        <v>1231.912</v>
      </c>
      <c r="O1771" s="4">
        <v>1231.912</v>
      </c>
      <c r="P1771" s="4">
        <v>680</v>
      </c>
      <c r="Q1771" s="3" t="s">
        <v>26</v>
      </c>
      <c r="R1771" s="3">
        <v>0</v>
      </c>
      <c r="S1771" s="4">
        <v>0</v>
      </c>
      <c r="T1771" s="4">
        <v>84</v>
      </c>
      <c r="U1771" s="4">
        <v>7</v>
      </c>
      <c r="V1771" s="4">
        <v>0</v>
      </c>
      <c r="W1771" s="4">
        <v>346.2</v>
      </c>
      <c r="X1771" s="4">
        <v>234.24</v>
      </c>
      <c r="Y1771" s="4"/>
      <c r="Z1771" s="4">
        <v>430.49583108604207</v>
      </c>
      <c r="AA1771" s="4">
        <v>247.48951138739608</v>
      </c>
      <c r="AB1771" s="4">
        <v>0</v>
      </c>
      <c r="AC1771" s="4">
        <v>426487.93439999997</v>
      </c>
      <c r="AD1771" s="4">
        <v>288563.06688</v>
      </c>
      <c r="AE1771" s="4">
        <v>0</v>
      </c>
      <c r="AF1771" s="4">
        <v>530332.98026486824</v>
      </c>
      <c r="AG1771" s="4">
        <v>304885.29895226989</v>
      </c>
    </row>
    <row r="1772" spans="1:33" ht="11.25" customHeight="1" x14ac:dyDescent="0.25">
      <c r="A1772" s="3" t="s">
        <v>27</v>
      </c>
      <c r="B1772" s="3" t="s">
        <v>37</v>
      </c>
      <c r="C1772" s="3" t="s">
        <v>23</v>
      </c>
      <c r="D1772" s="3" t="s">
        <v>38</v>
      </c>
      <c r="E1772" s="3" t="s">
        <v>25</v>
      </c>
      <c r="F1772" s="3" t="s">
        <v>25</v>
      </c>
      <c r="G1772" s="3" t="s">
        <v>25</v>
      </c>
      <c r="H1772" s="3" t="s">
        <v>25</v>
      </c>
      <c r="I1772" s="6">
        <v>44348</v>
      </c>
      <c r="J1772" s="4">
        <v>0</v>
      </c>
      <c r="K1772" s="4">
        <v>0</v>
      </c>
      <c r="L1772" s="4">
        <v>-5.8999999999999997E-2</v>
      </c>
      <c r="M1772" s="4">
        <v>-5.8999999999999997E-2</v>
      </c>
      <c r="N1772" s="4">
        <v>-5.8999999999999997E-2</v>
      </c>
      <c r="O1772" s="4">
        <v>-5.8999999999999997E-2</v>
      </c>
      <c r="P1772" s="4">
        <v>0</v>
      </c>
      <c r="Q1772" s="3" t="s">
        <v>26</v>
      </c>
      <c r="R1772" s="3">
        <v>0</v>
      </c>
      <c r="S1772" s="4">
        <v>0</v>
      </c>
      <c r="T1772" s="4">
        <v>84</v>
      </c>
      <c r="U1772" s="4">
        <v>7</v>
      </c>
      <c r="V1772" s="4">
        <v>0</v>
      </c>
      <c r="W1772" s="4">
        <v>346.2</v>
      </c>
      <c r="X1772" s="4">
        <v>234.24</v>
      </c>
      <c r="Y1772" s="4"/>
      <c r="Z1772" s="4">
        <v>430.49583108604207</v>
      </c>
      <c r="AA1772" s="4">
        <v>247.48951138739608</v>
      </c>
      <c r="AB1772" s="4">
        <v>0</v>
      </c>
      <c r="AC1772" s="4">
        <v>-20.425799999999999</v>
      </c>
      <c r="AD1772" s="4">
        <v>-13.82016</v>
      </c>
      <c r="AE1772" s="4">
        <v>0</v>
      </c>
      <c r="AF1772" s="4">
        <v>-25.399254034076481</v>
      </c>
      <c r="AG1772" s="4">
        <v>-14.601881171856368</v>
      </c>
    </row>
    <row r="1773" spans="1:33" ht="11.25" customHeight="1" x14ac:dyDescent="0.25">
      <c r="A1773" s="3" t="s">
        <v>28</v>
      </c>
      <c r="B1773" s="3" t="s">
        <v>37</v>
      </c>
      <c r="C1773" s="3" t="s">
        <v>23</v>
      </c>
      <c r="D1773" s="3" t="s">
        <v>38</v>
      </c>
      <c r="E1773" s="3" t="s">
        <v>25</v>
      </c>
      <c r="F1773" s="3" t="s">
        <v>25</v>
      </c>
      <c r="G1773" s="3" t="s">
        <v>25</v>
      </c>
      <c r="H1773" s="3" t="s">
        <v>25</v>
      </c>
      <c r="I1773" s="6">
        <v>44348</v>
      </c>
      <c r="J1773" s="4">
        <v>0</v>
      </c>
      <c r="K1773" s="4">
        <v>0</v>
      </c>
      <c r="L1773" s="4">
        <v>55.109000000000002</v>
      </c>
      <c r="M1773" s="4">
        <v>55.109000000000002</v>
      </c>
      <c r="N1773" s="4">
        <v>55.109000000000002</v>
      </c>
      <c r="O1773" s="4">
        <v>55.109000000000002</v>
      </c>
      <c r="P1773" s="4">
        <v>49</v>
      </c>
      <c r="Q1773" s="3" t="s">
        <v>26</v>
      </c>
      <c r="R1773" s="3">
        <v>0</v>
      </c>
      <c r="S1773" s="4">
        <v>0</v>
      </c>
      <c r="T1773" s="4">
        <v>84</v>
      </c>
      <c r="U1773" s="4">
        <v>7</v>
      </c>
      <c r="V1773" s="4">
        <v>0</v>
      </c>
      <c r="W1773" s="4">
        <v>346.2</v>
      </c>
      <c r="X1773" s="4">
        <v>234.24</v>
      </c>
      <c r="Y1773" s="4"/>
      <c r="Z1773" s="4">
        <v>430.49583108604207</v>
      </c>
      <c r="AA1773" s="4">
        <v>247.48951138739608</v>
      </c>
      <c r="AB1773" s="4">
        <v>0</v>
      </c>
      <c r="AC1773" s="4">
        <v>19078.735799999999</v>
      </c>
      <c r="AD1773" s="4">
        <v>12908.732160000001</v>
      </c>
      <c r="AE1773" s="4">
        <v>0</v>
      </c>
      <c r="AF1773" s="4">
        <v>23724.194755320692</v>
      </c>
      <c r="AG1773" s="4">
        <v>13638.899483048011</v>
      </c>
    </row>
    <row r="1774" spans="1:33" ht="11.25" customHeight="1" x14ac:dyDescent="0.25">
      <c r="A1774" s="3" t="s">
        <v>21</v>
      </c>
      <c r="B1774" s="3" t="s">
        <v>37</v>
      </c>
      <c r="C1774" s="3" t="s">
        <v>23</v>
      </c>
      <c r="D1774" s="3" t="s">
        <v>38</v>
      </c>
      <c r="E1774" s="3" t="s">
        <v>25</v>
      </c>
      <c r="F1774" s="3" t="s">
        <v>25</v>
      </c>
      <c r="G1774" s="3" t="s">
        <v>25</v>
      </c>
      <c r="H1774" s="3" t="s">
        <v>25</v>
      </c>
      <c r="I1774" s="6">
        <v>44378</v>
      </c>
      <c r="J1774" s="4">
        <v>0</v>
      </c>
      <c r="K1774" s="4">
        <v>0</v>
      </c>
      <c r="L1774" s="4">
        <v>1177.837</v>
      </c>
      <c r="M1774" s="4">
        <v>1177.837</v>
      </c>
      <c r="N1774" s="4">
        <v>1177.837</v>
      </c>
      <c r="O1774" s="4">
        <v>1177.837</v>
      </c>
      <c r="P1774" s="4">
        <v>680</v>
      </c>
      <c r="Q1774" s="3" t="s">
        <v>26</v>
      </c>
      <c r="R1774" s="3">
        <v>0</v>
      </c>
      <c r="S1774" s="4">
        <v>0</v>
      </c>
      <c r="T1774" s="4">
        <v>84</v>
      </c>
      <c r="U1774" s="4">
        <v>7</v>
      </c>
      <c r="V1774" s="4">
        <v>0</v>
      </c>
      <c r="W1774" s="4">
        <v>346.2</v>
      </c>
      <c r="X1774" s="4">
        <v>234.24</v>
      </c>
      <c r="Y1774" s="4"/>
      <c r="Z1774" s="4">
        <v>430.49583108604207</v>
      </c>
      <c r="AA1774" s="4">
        <v>247.48951138739608</v>
      </c>
      <c r="AB1774" s="4">
        <v>0</v>
      </c>
      <c r="AC1774" s="4">
        <v>407767.16939999996</v>
      </c>
      <c r="AD1774" s="4">
        <v>275896.53888000001</v>
      </c>
      <c r="AE1774" s="4">
        <v>0</v>
      </c>
      <c r="AF1774" s="4">
        <v>507053.91819889052</v>
      </c>
      <c r="AG1774" s="4">
        <v>291502.30362399644</v>
      </c>
    </row>
    <row r="1775" spans="1:33" ht="11.25" customHeight="1" x14ac:dyDescent="0.25">
      <c r="A1775" s="3" t="s">
        <v>28</v>
      </c>
      <c r="B1775" s="3" t="s">
        <v>37</v>
      </c>
      <c r="C1775" s="3" t="s">
        <v>23</v>
      </c>
      <c r="D1775" s="3" t="s">
        <v>38</v>
      </c>
      <c r="E1775" s="3" t="s">
        <v>25</v>
      </c>
      <c r="F1775" s="3" t="s">
        <v>25</v>
      </c>
      <c r="G1775" s="3" t="s">
        <v>25</v>
      </c>
      <c r="H1775" s="3" t="s">
        <v>25</v>
      </c>
      <c r="I1775" s="6">
        <v>44378</v>
      </c>
      <c r="J1775" s="4">
        <v>0</v>
      </c>
      <c r="K1775" s="4">
        <v>0</v>
      </c>
      <c r="L1775" s="4">
        <v>65.125</v>
      </c>
      <c r="M1775" s="4">
        <v>65.125</v>
      </c>
      <c r="N1775" s="4">
        <v>65.125</v>
      </c>
      <c r="O1775" s="4">
        <v>65.125</v>
      </c>
      <c r="P1775" s="4">
        <v>53</v>
      </c>
      <c r="Q1775" s="3" t="s">
        <v>26</v>
      </c>
      <c r="R1775" s="3">
        <v>0</v>
      </c>
      <c r="S1775" s="4">
        <v>0</v>
      </c>
      <c r="T1775" s="4">
        <v>84</v>
      </c>
      <c r="U1775" s="4">
        <v>7</v>
      </c>
      <c r="V1775" s="4">
        <v>0</v>
      </c>
      <c r="W1775" s="4">
        <v>346.2</v>
      </c>
      <c r="X1775" s="4">
        <v>234.24</v>
      </c>
      <c r="Y1775" s="4"/>
      <c r="Z1775" s="4">
        <v>430.49583108604207</v>
      </c>
      <c r="AA1775" s="4">
        <v>247.48951138739608</v>
      </c>
      <c r="AB1775" s="4">
        <v>0</v>
      </c>
      <c r="AC1775" s="4">
        <v>22546.274999999998</v>
      </c>
      <c r="AD1775" s="4">
        <v>15254.880000000001</v>
      </c>
      <c r="AE1775" s="4">
        <v>0</v>
      </c>
      <c r="AF1775" s="4">
        <v>28036.04099947849</v>
      </c>
      <c r="AG1775" s="4">
        <v>16117.75442910417</v>
      </c>
    </row>
    <row r="1776" spans="1:33" ht="11.25" customHeight="1" x14ac:dyDescent="0.25">
      <c r="A1776" s="3" t="s">
        <v>21</v>
      </c>
      <c r="B1776" s="3" t="s">
        <v>37</v>
      </c>
      <c r="C1776" s="3" t="s">
        <v>23</v>
      </c>
      <c r="D1776" s="3" t="s">
        <v>38</v>
      </c>
      <c r="E1776" s="3" t="s">
        <v>25</v>
      </c>
      <c r="F1776" s="3" t="s">
        <v>25</v>
      </c>
      <c r="G1776" s="3" t="s">
        <v>25</v>
      </c>
      <c r="H1776" s="3" t="s">
        <v>25</v>
      </c>
      <c r="I1776" s="6">
        <v>44409</v>
      </c>
      <c r="J1776" s="4">
        <v>0</v>
      </c>
      <c r="K1776" s="4">
        <v>0</v>
      </c>
      <c r="L1776" s="4">
        <v>1243.7929999999999</v>
      </c>
      <c r="M1776" s="4">
        <v>1243.7929999999999</v>
      </c>
      <c r="N1776" s="4">
        <v>1243.7929999999999</v>
      </c>
      <c r="O1776" s="4">
        <v>1243.7929999999999</v>
      </c>
      <c r="P1776" s="4">
        <v>678</v>
      </c>
      <c r="Q1776" s="3" t="s">
        <v>26</v>
      </c>
      <c r="R1776" s="3">
        <v>0</v>
      </c>
      <c r="S1776" s="4">
        <v>0</v>
      </c>
      <c r="T1776" s="4">
        <v>84</v>
      </c>
      <c r="U1776" s="4">
        <v>7</v>
      </c>
      <c r="V1776" s="4">
        <v>0</v>
      </c>
      <c r="W1776" s="4">
        <v>346.2</v>
      </c>
      <c r="X1776" s="4">
        <v>234.24</v>
      </c>
      <c r="Y1776" s="4"/>
      <c r="Z1776" s="4">
        <v>430.49583108604207</v>
      </c>
      <c r="AA1776" s="4">
        <v>247.48951138739608</v>
      </c>
      <c r="AB1776" s="4">
        <v>0</v>
      </c>
      <c r="AC1776" s="4">
        <v>430601.13659999997</v>
      </c>
      <c r="AD1776" s="4">
        <v>291346.07231999998</v>
      </c>
      <c r="AE1776" s="4">
        <v>0</v>
      </c>
      <c r="AF1776" s="4">
        <v>535447.70123400143</v>
      </c>
      <c r="AG1776" s="4">
        <v>307825.72183706349</v>
      </c>
    </row>
    <row r="1777" spans="1:33" ht="11.25" customHeight="1" x14ac:dyDescent="0.25">
      <c r="A1777" s="3" t="s">
        <v>28</v>
      </c>
      <c r="B1777" s="3" t="s">
        <v>37</v>
      </c>
      <c r="C1777" s="3" t="s">
        <v>23</v>
      </c>
      <c r="D1777" s="3" t="s">
        <v>38</v>
      </c>
      <c r="E1777" s="3" t="s">
        <v>25</v>
      </c>
      <c r="F1777" s="3" t="s">
        <v>25</v>
      </c>
      <c r="G1777" s="3" t="s">
        <v>25</v>
      </c>
      <c r="H1777" s="3" t="s">
        <v>25</v>
      </c>
      <c r="I1777" s="6">
        <v>44409</v>
      </c>
      <c r="J1777" s="4">
        <v>0</v>
      </c>
      <c r="K1777" s="4">
        <v>0</v>
      </c>
      <c r="L1777" s="4">
        <v>56.365000000000002</v>
      </c>
      <c r="M1777" s="4">
        <v>56.365000000000002</v>
      </c>
      <c r="N1777" s="4">
        <v>56.365000000000002</v>
      </c>
      <c r="O1777" s="4">
        <v>56.365000000000002</v>
      </c>
      <c r="P1777" s="4">
        <v>54</v>
      </c>
      <c r="Q1777" s="3" t="s">
        <v>26</v>
      </c>
      <c r="R1777" s="3">
        <v>0</v>
      </c>
      <c r="S1777" s="4">
        <v>0</v>
      </c>
      <c r="T1777" s="4">
        <v>84</v>
      </c>
      <c r="U1777" s="4">
        <v>7</v>
      </c>
      <c r="V1777" s="4">
        <v>0</v>
      </c>
      <c r="W1777" s="4">
        <v>346.2</v>
      </c>
      <c r="X1777" s="4">
        <v>234.24</v>
      </c>
      <c r="Y1777" s="4"/>
      <c r="Z1777" s="4">
        <v>430.49583108604207</v>
      </c>
      <c r="AA1777" s="4">
        <v>247.48951138739608</v>
      </c>
      <c r="AB1777" s="4">
        <v>0</v>
      </c>
      <c r="AC1777" s="4">
        <v>19513.562999999998</v>
      </c>
      <c r="AD1777" s="4">
        <v>13202.937600000001</v>
      </c>
      <c r="AE1777" s="4">
        <v>0</v>
      </c>
      <c r="AF1777" s="4">
        <v>24264.897519164762</v>
      </c>
      <c r="AG1777" s="4">
        <v>13949.746309350581</v>
      </c>
    </row>
    <row r="1778" spans="1:33" ht="11.25" customHeight="1" x14ac:dyDescent="0.25">
      <c r="A1778" s="3" t="s">
        <v>21</v>
      </c>
      <c r="B1778" s="3" t="s">
        <v>37</v>
      </c>
      <c r="C1778" s="3" t="s">
        <v>23</v>
      </c>
      <c r="D1778" s="3" t="s">
        <v>38</v>
      </c>
      <c r="E1778" s="3" t="s">
        <v>25</v>
      </c>
      <c r="F1778" s="3" t="s">
        <v>25</v>
      </c>
      <c r="G1778" s="3" t="s">
        <v>25</v>
      </c>
      <c r="H1778" s="3" t="s">
        <v>25</v>
      </c>
      <c r="I1778" s="6">
        <v>44440</v>
      </c>
      <c r="J1778" s="4">
        <v>0</v>
      </c>
      <c r="K1778" s="4">
        <v>0</v>
      </c>
      <c r="L1778" s="4">
        <v>1239.357</v>
      </c>
      <c r="M1778" s="4">
        <v>1239.357</v>
      </c>
      <c r="N1778" s="4">
        <v>1239.357</v>
      </c>
      <c r="O1778" s="4">
        <v>1239.357</v>
      </c>
      <c r="P1778" s="4">
        <v>676</v>
      </c>
      <c r="Q1778" s="3" t="s">
        <v>26</v>
      </c>
      <c r="R1778" s="3">
        <v>0</v>
      </c>
      <c r="S1778" s="4">
        <v>0</v>
      </c>
      <c r="T1778" s="4">
        <v>84</v>
      </c>
      <c r="U1778" s="4">
        <v>7</v>
      </c>
      <c r="V1778" s="4">
        <v>0</v>
      </c>
      <c r="W1778" s="4">
        <v>346.2</v>
      </c>
      <c r="X1778" s="4">
        <v>234.24</v>
      </c>
      <c r="Y1778" s="4"/>
      <c r="Z1778" s="4">
        <v>430.49583108604207</v>
      </c>
      <c r="AA1778" s="4">
        <v>247.48951138739608</v>
      </c>
      <c r="AB1778" s="4">
        <v>0</v>
      </c>
      <c r="AC1778" s="4">
        <v>429065.3934</v>
      </c>
      <c r="AD1778" s="4">
        <v>290306.98368</v>
      </c>
      <c r="AE1778" s="4">
        <v>0</v>
      </c>
      <c r="AF1778" s="4">
        <v>533538.02172730386</v>
      </c>
      <c r="AG1778" s="4">
        <v>306727.85836454906</v>
      </c>
    </row>
    <row r="1779" spans="1:33" ht="11.25" customHeight="1" x14ac:dyDescent="0.25">
      <c r="A1779" s="3" t="s">
        <v>28</v>
      </c>
      <c r="B1779" s="3" t="s">
        <v>37</v>
      </c>
      <c r="C1779" s="3" t="s">
        <v>23</v>
      </c>
      <c r="D1779" s="3" t="s">
        <v>38</v>
      </c>
      <c r="E1779" s="3" t="s">
        <v>25</v>
      </c>
      <c r="F1779" s="3" t="s">
        <v>25</v>
      </c>
      <c r="G1779" s="3" t="s">
        <v>25</v>
      </c>
      <c r="H1779" s="3" t="s">
        <v>25</v>
      </c>
      <c r="I1779" s="6">
        <v>44440</v>
      </c>
      <c r="J1779" s="4">
        <v>0</v>
      </c>
      <c r="K1779" s="4">
        <v>0</v>
      </c>
      <c r="L1779" s="4">
        <v>54.372</v>
      </c>
      <c r="M1779" s="4">
        <v>54.372</v>
      </c>
      <c r="N1779" s="4">
        <v>54.372</v>
      </c>
      <c r="O1779" s="4">
        <v>54.372</v>
      </c>
      <c r="P1779" s="4">
        <v>58</v>
      </c>
      <c r="Q1779" s="3" t="s">
        <v>26</v>
      </c>
      <c r="R1779" s="3">
        <v>0</v>
      </c>
      <c r="S1779" s="4">
        <v>0</v>
      </c>
      <c r="T1779" s="4">
        <v>84</v>
      </c>
      <c r="U1779" s="4">
        <v>7</v>
      </c>
      <c r="V1779" s="4">
        <v>0</v>
      </c>
      <c r="W1779" s="4">
        <v>346.2</v>
      </c>
      <c r="X1779" s="4">
        <v>234.24</v>
      </c>
      <c r="Y1779" s="4"/>
      <c r="Z1779" s="4">
        <v>430.49583108604207</v>
      </c>
      <c r="AA1779" s="4">
        <v>247.48951138739608</v>
      </c>
      <c r="AB1779" s="4">
        <v>0</v>
      </c>
      <c r="AC1779" s="4">
        <v>18823.5864</v>
      </c>
      <c r="AD1779" s="4">
        <v>12736.09728</v>
      </c>
      <c r="AE1779" s="4">
        <v>0</v>
      </c>
      <c r="AF1779" s="4">
        <v>23406.919327810279</v>
      </c>
      <c r="AG1779" s="4">
        <v>13456.499713155499</v>
      </c>
    </row>
    <row r="1780" spans="1:33" ht="11.25" customHeight="1" x14ac:dyDescent="0.25">
      <c r="A1780" s="3" t="s">
        <v>21</v>
      </c>
      <c r="B1780" s="3" t="s">
        <v>37</v>
      </c>
      <c r="C1780" s="3" t="s">
        <v>23</v>
      </c>
      <c r="D1780" s="3" t="s">
        <v>38</v>
      </c>
      <c r="E1780" s="3" t="s">
        <v>25</v>
      </c>
      <c r="F1780" s="3" t="s">
        <v>25</v>
      </c>
      <c r="G1780" s="3" t="s">
        <v>25</v>
      </c>
      <c r="H1780" s="3" t="s">
        <v>25</v>
      </c>
      <c r="I1780" s="6">
        <v>44470</v>
      </c>
      <c r="J1780" s="4">
        <v>0</v>
      </c>
      <c r="K1780" s="4">
        <v>0</v>
      </c>
      <c r="L1780" s="4">
        <v>1250.835</v>
      </c>
      <c r="M1780" s="4">
        <v>1250.835</v>
      </c>
      <c r="N1780" s="4">
        <v>1250.835</v>
      </c>
      <c r="O1780" s="4">
        <v>1250.835</v>
      </c>
      <c r="P1780" s="4">
        <v>675</v>
      </c>
      <c r="Q1780" s="3" t="s">
        <v>26</v>
      </c>
      <c r="R1780" s="3">
        <v>0</v>
      </c>
      <c r="S1780" s="4">
        <v>0</v>
      </c>
      <c r="T1780" s="4">
        <v>84</v>
      </c>
      <c r="U1780" s="4">
        <v>7</v>
      </c>
      <c r="V1780" s="4">
        <v>0</v>
      </c>
      <c r="W1780" s="4">
        <v>346.2</v>
      </c>
      <c r="X1780" s="4">
        <v>234.24</v>
      </c>
      <c r="Y1780" s="4"/>
      <c r="Z1780" s="4">
        <v>430.49583108604207</v>
      </c>
      <c r="AA1780" s="4">
        <v>247.48951138739608</v>
      </c>
      <c r="AB1780" s="4">
        <v>0</v>
      </c>
      <c r="AC1780" s="4">
        <v>433039.07699999999</v>
      </c>
      <c r="AD1780" s="4">
        <v>292995.59040000004</v>
      </c>
      <c r="AE1780" s="4">
        <v>0</v>
      </c>
      <c r="AF1780" s="4">
        <v>538479.25287650945</v>
      </c>
      <c r="AG1780" s="4">
        <v>309568.54297625361</v>
      </c>
    </row>
    <row r="1781" spans="1:33" ht="11.25" customHeight="1" x14ac:dyDescent="0.25">
      <c r="A1781" s="3" t="s">
        <v>27</v>
      </c>
      <c r="B1781" s="3" t="s">
        <v>37</v>
      </c>
      <c r="C1781" s="3" t="s">
        <v>23</v>
      </c>
      <c r="D1781" s="3" t="s">
        <v>38</v>
      </c>
      <c r="E1781" s="3" t="s">
        <v>25</v>
      </c>
      <c r="F1781" s="3" t="s">
        <v>25</v>
      </c>
      <c r="G1781" s="3" t="s">
        <v>25</v>
      </c>
      <c r="H1781" s="3" t="s">
        <v>25</v>
      </c>
      <c r="I1781" s="6">
        <v>44470</v>
      </c>
      <c r="J1781" s="4">
        <v>0</v>
      </c>
      <c r="K1781" s="4">
        <v>0</v>
      </c>
      <c r="L1781" s="4">
        <v>-1.1259999999999999</v>
      </c>
      <c r="M1781" s="4">
        <v>-1.1259999999999999</v>
      </c>
      <c r="N1781" s="4">
        <v>-1.1259999999999999</v>
      </c>
      <c r="O1781" s="4">
        <v>-1.1259999999999999</v>
      </c>
      <c r="P1781" s="4">
        <v>-5</v>
      </c>
      <c r="Q1781" s="3" t="s">
        <v>26</v>
      </c>
      <c r="R1781" s="3">
        <v>0</v>
      </c>
      <c r="S1781" s="4">
        <v>0</v>
      </c>
      <c r="T1781" s="4">
        <v>84</v>
      </c>
      <c r="U1781" s="4">
        <v>7</v>
      </c>
      <c r="V1781" s="4">
        <v>0</v>
      </c>
      <c r="W1781" s="4">
        <v>346.2</v>
      </c>
      <c r="X1781" s="4">
        <v>234.24</v>
      </c>
      <c r="Y1781" s="4"/>
      <c r="Z1781" s="4">
        <v>430.49583108604207</v>
      </c>
      <c r="AA1781" s="4">
        <v>247.48951138739608</v>
      </c>
      <c r="AB1781" s="4">
        <v>0</v>
      </c>
      <c r="AC1781" s="4">
        <v>-389.82119999999998</v>
      </c>
      <c r="AD1781" s="4">
        <v>-263.75423999999998</v>
      </c>
      <c r="AE1781" s="4">
        <v>0</v>
      </c>
      <c r="AF1781" s="4">
        <v>-484.7383058028833</v>
      </c>
      <c r="AG1781" s="4">
        <v>-278.67318982220797</v>
      </c>
    </row>
    <row r="1782" spans="1:33" ht="11.25" customHeight="1" x14ac:dyDescent="0.25">
      <c r="A1782" s="3" t="s">
        <v>28</v>
      </c>
      <c r="B1782" s="3" t="s">
        <v>37</v>
      </c>
      <c r="C1782" s="3" t="s">
        <v>23</v>
      </c>
      <c r="D1782" s="3" t="s">
        <v>38</v>
      </c>
      <c r="E1782" s="3" t="s">
        <v>25</v>
      </c>
      <c r="F1782" s="3" t="s">
        <v>25</v>
      </c>
      <c r="G1782" s="3" t="s">
        <v>25</v>
      </c>
      <c r="H1782" s="3" t="s">
        <v>25</v>
      </c>
      <c r="I1782" s="6">
        <v>44470</v>
      </c>
      <c r="J1782" s="4">
        <v>0</v>
      </c>
      <c r="K1782" s="4">
        <v>0</v>
      </c>
      <c r="L1782" s="4">
        <v>53.360999999999997</v>
      </c>
      <c r="M1782" s="4">
        <v>53.360999999999997</v>
      </c>
      <c r="N1782" s="4">
        <v>53.360999999999997</v>
      </c>
      <c r="O1782" s="4">
        <v>53.360999999999997</v>
      </c>
      <c r="P1782" s="4">
        <v>60</v>
      </c>
      <c r="Q1782" s="3" t="s">
        <v>26</v>
      </c>
      <c r="R1782" s="3">
        <v>0</v>
      </c>
      <c r="S1782" s="4">
        <v>0</v>
      </c>
      <c r="T1782" s="4">
        <v>84</v>
      </c>
      <c r="U1782" s="4">
        <v>7</v>
      </c>
      <c r="V1782" s="4">
        <v>0</v>
      </c>
      <c r="W1782" s="4">
        <v>346.2</v>
      </c>
      <c r="X1782" s="4">
        <v>234.24</v>
      </c>
      <c r="Y1782" s="4"/>
      <c r="Z1782" s="4">
        <v>430.49583108604207</v>
      </c>
      <c r="AA1782" s="4">
        <v>247.48951138739608</v>
      </c>
      <c r="AB1782" s="4">
        <v>0</v>
      </c>
      <c r="AC1782" s="4">
        <v>18473.5782</v>
      </c>
      <c r="AD1782" s="4">
        <v>12499.280639999999</v>
      </c>
      <c r="AE1782" s="4">
        <v>0</v>
      </c>
      <c r="AF1782" s="4">
        <v>22971.688042582289</v>
      </c>
      <c r="AG1782" s="4">
        <v>13206.287817142842</v>
      </c>
    </row>
    <row r="1783" spans="1:33" ht="11.25" customHeight="1" x14ac:dyDescent="0.25">
      <c r="A1783" s="3" t="s">
        <v>21</v>
      </c>
      <c r="B1783" s="3" t="s">
        <v>37</v>
      </c>
      <c r="C1783" s="3" t="s">
        <v>23</v>
      </c>
      <c r="D1783" s="3" t="s">
        <v>38</v>
      </c>
      <c r="E1783" s="3" t="s">
        <v>25</v>
      </c>
      <c r="F1783" s="3" t="s">
        <v>25</v>
      </c>
      <c r="G1783" s="3" t="s">
        <v>25</v>
      </c>
      <c r="H1783" s="3" t="s">
        <v>25</v>
      </c>
      <c r="I1783" s="6">
        <v>44501</v>
      </c>
      <c r="J1783" s="4">
        <v>0</v>
      </c>
      <c r="K1783" s="4">
        <v>0</v>
      </c>
      <c r="L1783" s="4">
        <v>1244.596</v>
      </c>
      <c r="M1783" s="4">
        <v>1244.596</v>
      </c>
      <c r="N1783" s="4">
        <v>1244.596</v>
      </c>
      <c r="O1783" s="4">
        <v>1244.596</v>
      </c>
      <c r="P1783" s="4">
        <v>678</v>
      </c>
      <c r="Q1783" s="3" t="s">
        <v>26</v>
      </c>
      <c r="R1783" s="3">
        <v>0</v>
      </c>
      <c r="S1783" s="4">
        <v>0</v>
      </c>
      <c r="T1783" s="4">
        <v>84</v>
      </c>
      <c r="U1783" s="4">
        <v>7</v>
      </c>
      <c r="V1783" s="4">
        <v>0</v>
      </c>
      <c r="W1783" s="4">
        <v>346.2</v>
      </c>
      <c r="X1783" s="4">
        <v>234.24</v>
      </c>
      <c r="Y1783" s="4"/>
      <c r="Z1783" s="4">
        <v>430.49583108604207</v>
      </c>
      <c r="AA1783" s="4">
        <v>247.48951138739608</v>
      </c>
      <c r="AB1783" s="4">
        <v>0</v>
      </c>
      <c r="AC1783" s="4">
        <v>430879.13519999996</v>
      </c>
      <c r="AD1783" s="4">
        <v>291534.16704000003</v>
      </c>
      <c r="AE1783" s="4">
        <v>0</v>
      </c>
      <c r="AF1783" s="4">
        <v>535793.38938636368</v>
      </c>
      <c r="AG1783" s="4">
        <v>308024.45591470762</v>
      </c>
    </row>
    <row r="1784" spans="1:33" ht="11.25" customHeight="1" x14ac:dyDescent="0.25">
      <c r="A1784" s="3" t="s">
        <v>28</v>
      </c>
      <c r="B1784" s="3" t="s">
        <v>37</v>
      </c>
      <c r="C1784" s="3" t="s">
        <v>23</v>
      </c>
      <c r="D1784" s="3" t="s">
        <v>38</v>
      </c>
      <c r="E1784" s="3" t="s">
        <v>25</v>
      </c>
      <c r="F1784" s="3" t="s">
        <v>25</v>
      </c>
      <c r="G1784" s="3" t="s">
        <v>25</v>
      </c>
      <c r="H1784" s="3" t="s">
        <v>25</v>
      </c>
      <c r="I1784" s="6">
        <v>44501</v>
      </c>
      <c r="J1784" s="4">
        <v>0</v>
      </c>
      <c r="K1784" s="4">
        <v>0</v>
      </c>
      <c r="L1784" s="4">
        <v>54.143000000000001</v>
      </c>
      <c r="M1784" s="4">
        <v>54.143000000000001</v>
      </c>
      <c r="N1784" s="4">
        <v>54.143000000000001</v>
      </c>
      <c r="O1784" s="4">
        <v>54.143000000000001</v>
      </c>
      <c r="P1784" s="4">
        <v>61</v>
      </c>
      <c r="Q1784" s="3" t="s">
        <v>26</v>
      </c>
      <c r="R1784" s="3">
        <v>0</v>
      </c>
      <c r="S1784" s="4">
        <v>0</v>
      </c>
      <c r="T1784" s="4">
        <v>84</v>
      </c>
      <c r="U1784" s="4">
        <v>7</v>
      </c>
      <c r="V1784" s="4">
        <v>0</v>
      </c>
      <c r="W1784" s="4">
        <v>346.2</v>
      </c>
      <c r="X1784" s="4">
        <v>234.24</v>
      </c>
      <c r="Y1784" s="4"/>
      <c r="Z1784" s="4">
        <v>430.49583108604207</v>
      </c>
      <c r="AA1784" s="4">
        <v>247.48951138739608</v>
      </c>
      <c r="AB1784" s="4">
        <v>0</v>
      </c>
      <c r="AC1784" s="4">
        <v>18744.3066</v>
      </c>
      <c r="AD1784" s="4">
        <v>12682.456320000001</v>
      </c>
      <c r="AE1784" s="4">
        <v>0</v>
      </c>
      <c r="AF1784" s="4">
        <v>23308.335782491577</v>
      </c>
      <c r="AG1784" s="4">
        <v>13399.824615047786</v>
      </c>
    </row>
    <row r="1785" spans="1:33" ht="11.25" customHeight="1" x14ac:dyDescent="0.25">
      <c r="A1785" s="3" t="s">
        <v>21</v>
      </c>
      <c r="B1785" s="3" t="s">
        <v>37</v>
      </c>
      <c r="C1785" s="3" t="s">
        <v>23</v>
      </c>
      <c r="D1785" s="3" t="s">
        <v>38</v>
      </c>
      <c r="E1785" s="3" t="s">
        <v>25</v>
      </c>
      <c r="F1785" s="3" t="s">
        <v>25</v>
      </c>
      <c r="G1785" s="3" t="s">
        <v>25</v>
      </c>
      <c r="H1785" s="3" t="s">
        <v>25</v>
      </c>
      <c r="I1785" s="6">
        <v>44531</v>
      </c>
      <c r="J1785" s="4">
        <v>0</v>
      </c>
      <c r="K1785" s="4">
        <v>0</v>
      </c>
      <c r="L1785" s="4">
        <v>1341.25</v>
      </c>
      <c r="M1785" s="4">
        <v>1341.25</v>
      </c>
      <c r="N1785" s="4">
        <v>1341.25</v>
      </c>
      <c r="O1785" s="4">
        <v>1341.25</v>
      </c>
      <c r="P1785" s="4">
        <v>689</v>
      </c>
      <c r="Q1785" s="3" t="s">
        <v>26</v>
      </c>
      <c r="R1785" s="3">
        <v>0</v>
      </c>
      <c r="S1785" s="4">
        <v>0</v>
      </c>
      <c r="T1785" s="4">
        <v>84</v>
      </c>
      <c r="U1785" s="4">
        <v>7</v>
      </c>
      <c r="V1785" s="4">
        <v>0</v>
      </c>
      <c r="W1785" s="4">
        <v>346.2</v>
      </c>
      <c r="X1785" s="4">
        <v>234.24</v>
      </c>
      <c r="Y1785" s="4"/>
      <c r="Z1785" s="4">
        <v>430.49583108604207</v>
      </c>
      <c r="AA1785" s="4">
        <v>247.48951138739608</v>
      </c>
      <c r="AB1785" s="4">
        <v>0</v>
      </c>
      <c r="AC1785" s="4">
        <v>464340.75</v>
      </c>
      <c r="AD1785" s="4">
        <v>314174.40000000002</v>
      </c>
      <c r="AE1785" s="4">
        <v>0</v>
      </c>
      <c r="AF1785" s="4">
        <v>577402.53344415396</v>
      </c>
      <c r="AG1785" s="4">
        <v>331945.30714834499</v>
      </c>
    </row>
    <row r="1786" spans="1:33" ht="11.25" customHeight="1" x14ac:dyDescent="0.25">
      <c r="A1786" s="3" t="s">
        <v>27</v>
      </c>
      <c r="B1786" s="3" t="s">
        <v>37</v>
      </c>
      <c r="C1786" s="3" t="s">
        <v>23</v>
      </c>
      <c r="D1786" s="3" t="s">
        <v>38</v>
      </c>
      <c r="E1786" s="3" t="s">
        <v>25</v>
      </c>
      <c r="F1786" s="3" t="s">
        <v>25</v>
      </c>
      <c r="G1786" s="3" t="s">
        <v>25</v>
      </c>
      <c r="H1786" s="3" t="s">
        <v>25</v>
      </c>
      <c r="I1786" s="6">
        <v>44531</v>
      </c>
      <c r="J1786" s="4">
        <v>0</v>
      </c>
      <c r="K1786" s="4">
        <v>0</v>
      </c>
      <c r="L1786" s="4">
        <v>-3</v>
      </c>
      <c r="M1786" s="4">
        <v>-3</v>
      </c>
      <c r="N1786" s="4">
        <v>-3</v>
      </c>
      <c r="O1786" s="4">
        <v>-3</v>
      </c>
      <c r="P1786" s="4">
        <v>-2</v>
      </c>
      <c r="Q1786" s="3" t="s">
        <v>26</v>
      </c>
      <c r="R1786" s="3">
        <v>0</v>
      </c>
      <c r="S1786" s="4">
        <v>0</v>
      </c>
      <c r="T1786" s="4">
        <v>84</v>
      </c>
      <c r="U1786" s="4">
        <v>7</v>
      </c>
      <c r="V1786" s="4">
        <v>0</v>
      </c>
      <c r="W1786" s="4">
        <v>346.2</v>
      </c>
      <c r="X1786" s="4">
        <v>234.24</v>
      </c>
      <c r="Y1786" s="4"/>
      <c r="Z1786" s="4">
        <v>430.49583108604207</v>
      </c>
      <c r="AA1786" s="4">
        <v>247.48951138739608</v>
      </c>
      <c r="AB1786" s="4">
        <v>0</v>
      </c>
      <c r="AC1786" s="4">
        <v>-1038.5999999999999</v>
      </c>
      <c r="AD1786" s="4">
        <v>-702.72</v>
      </c>
      <c r="AE1786" s="4">
        <v>0</v>
      </c>
      <c r="AF1786" s="4">
        <v>-1291.4874932581263</v>
      </c>
      <c r="AG1786" s="4">
        <v>-742.46853416218823</v>
      </c>
    </row>
    <row r="1787" spans="1:33" ht="11.25" customHeight="1" x14ac:dyDescent="0.25">
      <c r="A1787" s="3" t="s">
        <v>28</v>
      </c>
      <c r="B1787" s="3" t="s">
        <v>37</v>
      </c>
      <c r="C1787" s="3" t="s">
        <v>23</v>
      </c>
      <c r="D1787" s="3" t="s">
        <v>38</v>
      </c>
      <c r="E1787" s="3" t="s">
        <v>25</v>
      </c>
      <c r="F1787" s="3" t="s">
        <v>25</v>
      </c>
      <c r="G1787" s="3" t="s">
        <v>25</v>
      </c>
      <c r="H1787" s="3" t="s">
        <v>25</v>
      </c>
      <c r="I1787" s="6">
        <v>44531</v>
      </c>
      <c r="J1787" s="4">
        <v>0</v>
      </c>
      <c r="K1787" s="4">
        <v>0</v>
      </c>
      <c r="L1787" s="4">
        <v>70.896000000000001</v>
      </c>
      <c r="M1787" s="4">
        <v>70.896000000000001</v>
      </c>
      <c r="N1787" s="4">
        <v>70.896000000000001</v>
      </c>
      <c r="O1787" s="4">
        <v>70.896000000000001</v>
      </c>
      <c r="P1787" s="4">
        <v>63</v>
      </c>
      <c r="Q1787" s="3" t="s">
        <v>26</v>
      </c>
      <c r="R1787" s="3">
        <v>0</v>
      </c>
      <c r="S1787" s="4">
        <v>0</v>
      </c>
      <c r="T1787" s="4">
        <v>84</v>
      </c>
      <c r="U1787" s="4">
        <v>7</v>
      </c>
      <c r="V1787" s="4">
        <v>0</v>
      </c>
      <c r="W1787" s="4">
        <v>346.2</v>
      </c>
      <c r="X1787" s="4">
        <v>234.24</v>
      </c>
      <c r="Y1787" s="4"/>
      <c r="Z1787" s="4">
        <v>430.49583108604207</v>
      </c>
      <c r="AA1787" s="4">
        <v>247.48951138739608</v>
      </c>
      <c r="AB1787" s="4">
        <v>0</v>
      </c>
      <c r="AC1787" s="4">
        <v>24544.195199999998</v>
      </c>
      <c r="AD1787" s="4">
        <v>16606.679039999999</v>
      </c>
      <c r="AE1787" s="4">
        <v>0</v>
      </c>
      <c r="AF1787" s="4">
        <v>30520.432440676039</v>
      </c>
      <c r="AG1787" s="4">
        <v>17546.016399320833</v>
      </c>
    </row>
    <row r="1788" spans="1:33" ht="11.25" customHeight="1" x14ac:dyDescent="0.25">
      <c r="A1788" s="3" t="s">
        <v>21</v>
      </c>
      <c r="B1788" s="3" t="s">
        <v>37</v>
      </c>
      <c r="C1788" s="3" t="s">
        <v>23</v>
      </c>
      <c r="D1788" s="3" t="s">
        <v>38</v>
      </c>
      <c r="E1788" s="3" t="s">
        <v>25</v>
      </c>
      <c r="F1788" s="3" t="s">
        <v>25</v>
      </c>
      <c r="G1788" s="3" t="s">
        <v>25</v>
      </c>
      <c r="H1788" s="3" t="s">
        <v>25</v>
      </c>
      <c r="I1788" s="6">
        <v>44562</v>
      </c>
      <c r="J1788" s="4">
        <v>0</v>
      </c>
      <c r="K1788" s="4">
        <v>0</v>
      </c>
      <c r="L1788" s="4">
        <v>1320.1410000000001</v>
      </c>
      <c r="M1788" s="4">
        <v>1320.1410000000001</v>
      </c>
      <c r="N1788" s="4">
        <v>1320.1410000000001</v>
      </c>
      <c r="O1788" s="4">
        <v>1320.1410000000001</v>
      </c>
      <c r="P1788" s="4">
        <v>689</v>
      </c>
      <c r="Q1788" s="3" t="s">
        <v>26</v>
      </c>
      <c r="R1788" s="3">
        <v>0</v>
      </c>
      <c r="S1788" s="4">
        <v>0</v>
      </c>
      <c r="T1788" s="4">
        <v>84</v>
      </c>
      <c r="U1788" s="4">
        <v>7</v>
      </c>
      <c r="V1788" s="4">
        <v>0</v>
      </c>
      <c r="W1788" s="4">
        <v>346.2</v>
      </c>
      <c r="X1788" s="4">
        <v>234.24</v>
      </c>
      <c r="Y1788" s="4"/>
      <c r="Z1788" s="4">
        <v>430.49583108604207</v>
      </c>
      <c r="AA1788" s="4">
        <v>247.48951138739608</v>
      </c>
      <c r="AB1788" s="4">
        <v>0</v>
      </c>
      <c r="AC1788" s="4">
        <v>457032.81420000002</v>
      </c>
      <c r="AD1788" s="4">
        <v>309229.82784000004</v>
      </c>
      <c r="AE1788" s="4">
        <v>0</v>
      </c>
      <c r="AF1788" s="4">
        <v>568315.19694575865</v>
      </c>
      <c r="AG1788" s="4">
        <v>326721.05105246848</v>
      </c>
    </row>
    <row r="1789" spans="1:33" ht="11.25" customHeight="1" x14ac:dyDescent="0.25">
      <c r="A1789" s="3" t="s">
        <v>28</v>
      </c>
      <c r="B1789" s="3" t="s">
        <v>37</v>
      </c>
      <c r="C1789" s="3" t="s">
        <v>23</v>
      </c>
      <c r="D1789" s="3" t="s">
        <v>38</v>
      </c>
      <c r="E1789" s="3" t="s">
        <v>25</v>
      </c>
      <c r="F1789" s="3" t="s">
        <v>25</v>
      </c>
      <c r="G1789" s="3" t="s">
        <v>25</v>
      </c>
      <c r="H1789" s="3" t="s">
        <v>25</v>
      </c>
      <c r="I1789" s="6">
        <v>44562</v>
      </c>
      <c r="J1789" s="4">
        <v>0</v>
      </c>
      <c r="K1789" s="4">
        <v>0</v>
      </c>
      <c r="L1789" s="4">
        <v>71.986000000000004</v>
      </c>
      <c r="M1789" s="4">
        <v>71.986000000000004</v>
      </c>
      <c r="N1789" s="4">
        <v>71.986000000000004</v>
      </c>
      <c r="O1789" s="4">
        <v>71.986000000000004</v>
      </c>
      <c r="P1789" s="4">
        <v>64</v>
      </c>
      <c r="Q1789" s="3" t="s">
        <v>26</v>
      </c>
      <c r="R1789" s="3">
        <v>0</v>
      </c>
      <c r="S1789" s="4">
        <v>0</v>
      </c>
      <c r="T1789" s="4">
        <v>84</v>
      </c>
      <c r="U1789" s="4">
        <v>7</v>
      </c>
      <c r="V1789" s="4">
        <v>0</v>
      </c>
      <c r="W1789" s="4">
        <v>346.2</v>
      </c>
      <c r="X1789" s="4">
        <v>234.24</v>
      </c>
      <c r="Y1789" s="4"/>
      <c r="Z1789" s="4">
        <v>430.49583108604207</v>
      </c>
      <c r="AA1789" s="4">
        <v>247.48951138739608</v>
      </c>
      <c r="AB1789" s="4">
        <v>0</v>
      </c>
      <c r="AC1789" s="4">
        <v>24921.553200000002</v>
      </c>
      <c r="AD1789" s="4">
        <v>16862.000640000002</v>
      </c>
      <c r="AE1789" s="4">
        <v>0</v>
      </c>
      <c r="AF1789" s="4">
        <v>30989.672896559827</v>
      </c>
      <c r="AG1789" s="4">
        <v>17815.779966733095</v>
      </c>
    </row>
    <row r="1790" spans="1:33" ht="11.25" customHeight="1" x14ac:dyDescent="0.25">
      <c r="A1790" s="3" t="s">
        <v>28</v>
      </c>
      <c r="B1790" s="3" t="s">
        <v>37</v>
      </c>
      <c r="C1790" s="3" t="s">
        <v>23</v>
      </c>
      <c r="D1790" s="3" t="s">
        <v>38</v>
      </c>
      <c r="E1790" s="3" t="s">
        <v>25</v>
      </c>
      <c r="F1790" s="3" t="s">
        <v>25</v>
      </c>
      <c r="G1790" s="3" t="s">
        <v>25</v>
      </c>
      <c r="H1790" s="3" t="s">
        <v>25</v>
      </c>
      <c r="I1790" s="6">
        <v>44562</v>
      </c>
      <c r="J1790" s="4">
        <v>0</v>
      </c>
      <c r="K1790" s="4">
        <v>0</v>
      </c>
      <c r="L1790" s="4">
        <v>0.10299999999999999</v>
      </c>
      <c r="M1790" s="4">
        <v>0.10299999999999999</v>
      </c>
      <c r="N1790" s="4">
        <v>0.10299999999999999</v>
      </c>
      <c r="O1790" s="4">
        <v>0.10299999999999999</v>
      </c>
      <c r="P1790" s="4">
        <v>0</v>
      </c>
      <c r="Q1790" s="3" t="s">
        <v>26</v>
      </c>
      <c r="R1790" s="3">
        <v>0</v>
      </c>
      <c r="S1790" s="4">
        <v>0</v>
      </c>
      <c r="T1790" s="4">
        <v>84</v>
      </c>
      <c r="U1790" s="4">
        <v>7</v>
      </c>
      <c r="V1790" s="4">
        <v>0</v>
      </c>
      <c r="W1790" s="4">
        <v>346.2</v>
      </c>
      <c r="X1790" s="4">
        <v>234.24</v>
      </c>
      <c r="Y1790" s="4"/>
      <c r="Z1790" s="4">
        <v>430.49583108604207</v>
      </c>
      <c r="AA1790" s="4">
        <v>247.48951138739608</v>
      </c>
      <c r="AB1790" s="4">
        <v>0</v>
      </c>
      <c r="AC1790" s="4">
        <v>35.6586</v>
      </c>
      <c r="AD1790" s="4">
        <v>24.126719999999999</v>
      </c>
      <c r="AE1790" s="4">
        <v>0</v>
      </c>
      <c r="AF1790" s="4">
        <v>44.341070601862334</v>
      </c>
      <c r="AG1790" s="4">
        <v>25.491419672901795</v>
      </c>
    </row>
    <row r="1791" spans="1:33" ht="11.25" customHeight="1" x14ac:dyDescent="0.25">
      <c r="A1791" s="3" t="s">
        <v>21</v>
      </c>
      <c r="B1791" s="3" t="s">
        <v>37</v>
      </c>
      <c r="C1791" s="3" t="s">
        <v>23</v>
      </c>
      <c r="D1791" s="3" t="s">
        <v>38</v>
      </c>
      <c r="E1791" s="3" t="s">
        <v>25</v>
      </c>
      <c r="F1791" s="3" t="s">
        <v>25</v>
      </c>
      <c r="G1791" s="3" t="s">
        <v>25</v>
      </c>
      <c r="H1791" s="3" t="s">
        <v>25</v>
      </c>
      <c r="I1791" s="6">
        <v>44593</v>
      </c>
      <c r="J1791" s="4">
        <v>0</v>
      </c>
      <c r="K1791" s="4">
        <v>0</v>
      </c>
      <c r="L1791" s="4">
        <v>1197.2909999999999</v>
      </c>
      <c r="M1791" s="4">
        <v>1197.2909999999999</v>
      </c>
      <c r="N1791" s="4">
        <v>1197.2909999999999</v>
      </c>
      <c r="O1791" s="4">
        <v>1197.2909999999999</v>
      </c>
      <c r="P1791" s="4">
        <v>674</v>
      </c>
      <c r="Q1791" s="3" t="s">
        <v>26</v>
      </c>
      <c r="R1791" s="3">
        <v>0</v>
      </c>
      <c r="S1791" s="4">
        <v>0</v>
      </c>
      <c r="T1791" s="4">
        <v>84</v>
      </c>
      <c r="U1791" s="4">
        <v>7</v>
      </c>
      <c r="V1791" s="4">
        <v>0</v>
      </c>
      <c r="W1791" s="4">
        <v>346.2</v>
      </c>
      <c r="X1791" s="4">
        <v>234.24</v>
      </c>
      <c r="Y1791" s="4"/>
      <c r="Z1791" s="4">
        <v>430.49583108604207</v>
      </c>
      <c r="AA1791" s="4">
        <v>247.48951138739608</v>
      </c>
      <c r="AB1791" s="4">
        <v>0</v>
      </c>
      <c r="AC1791" s="4">
        <v>414502.14419999998</v>
      </c>
      <c r="AD1791" s="4">
        <v>280453.44384000002</v>
      </c>
      <c r="AE1791" s="4">
        <v>0</v>
      </c>
      <c r="AF1791" s="4">
        <v>515428.78409683838</v>
      </c>
      <c r="AG1791" s="4">
        <v>296316.96457852685</v>
      </c>
    </row>
    <row r="1792" spans="1:33" ht="11.25" customHeight="1" x14ac:dyDescent="0.25">
      <c r="A1792" s="3" t="s">
        <v>27</v>
      </c>
      <c r="B1792" s="3" t="s">
        <v>37</v>
      </c>
      <c r="C1792" s="3" t="s">
        <v>23</v>
      </c>
      <c r="D1792" s="3" t="s">
        <v>38</v>
      </c>
      <c r="E1792" s="3" t="s">
        <v>25</v>
      </c>
      <c r="F1792" s="3" t="s">
        <v>25</v>
      </c>
      <c r="G1792" s="3" t="s">
        <v>25</v>
      </c>
      <c r="H1792" s="3" t="s">
        <v>25</v>
      </c>
      <c r="I1792" s="6">
        <v>44593</v>
      </c>
      <c r="J1792" s="4">
        <v>0</v>
      </c>
      <c r="K1792" s="4">
        <v>0</v>
      </c>
      <c r="L1792" s="4">
        <v>-1.044</v>
      </c>
      <c r="M1792" s="4">
        <v>-1.044</v>
      </c>
      <c r="N1792" s="4">
        <v>-1.044</v>
      </c>
      <c r="O1792" s="4">
        <v>-1.044</v>
      </c>
      <c r="P1792" s="4">
        <v>0</v>
      </c>
      <c r="Q1792" s="3" t="s">
        <v>26</v>
      </c>
      <c r="R1792" s="3">
        <v>0</v>
      </c>
      <c r="S1792" s="4">
        <v>0</v>
      </c>
      <c r="T1792" s="4">
        <v>84</v>
      </c>
      <c r="U1792" s="4">
        <v>7</v>
      </c>
      <c r="V1792" s="4">
        <v>0</v>
      </c>
      <c r="W1792" s="4">
        <v>346.2</v>
      </c>
      <c r="X1792" s="4">
        <v>234.24</v>
      </c>
      <c r="Y1792" s="4"/>
      <c r="Z1792" s="4">
        <v>430.49583108604207</v>
      </c>
      <c r="AA1792" s="4">
        <v>247.48951138739608</v>
      </c>
      <c r="AB1792" s="4">
        <v>0</v>
      </c>
      <c r="AC1792" s="4">
        <v>-361.43279999999999</v>
      </c>
      <c r="AD1792" s="4">
        <v>-244.54656000000003</v>
      </c>
      <c r="AE1792" s="4">
        <v>0</v>
      </c>
      <c r="AF1792" s="4">
        <v>-449.43764765382792</v>
      </c>
      <c r="AG1792" s="4">
        <v>-258.3790498884415</v>
      </c>
    </row>
    <row r="1793" spans="1:33" ht="11.25" customHeight="1" x14ac:dyDescent="0.25">
      <c r="A1793" s="3" t="s">
        <v>28</v>
      </c>
      <c r="B1793" s="3" t="s">
        <v>37</v>
      </c>
      <c r="C1793" s="3" t="s">
        <v>23</v>
      </c>
      <c r="D1793" s="3" t="s">
        <v>38</v>
      </c>
      <c r="E1793" s="3" t="s">
        <v>25</v>
      </c>
      <c r="F1793" s="3" t="s">
        <v>25</v>
      </c>
      <c r="G1793" s="3" t="s">
        <v>25</v>
      </c>
      <c r="H1793" s="3" t="s">
        <v>25</v>
      </c>
      <c r="I1793" s="6">
        <v>44593</v>
      </c>
      <c r="J1793" s="4">
        <v>0</v>
      </c>
      <c r="K1793" s="4">
        <v>0</v>
      </c>
      <c r="L1793" s="4">
        <v>81.245000000000005</v>
      </c>
      <c r="M1793" s="4">
        <v>81.245000000000005</v>
      </c>
      <c r="N1793" s="4">
        <v>81.245000000000005</v>
      </c>
      <c r="O1793" s="4">
        <v>81.245000000000005</v>
      </c>
      <c r="P1793" s="4">
        <v>66</v>
      </c>
      <c r="Q1793" s="3" t="s">
        <v>26</v>
      </c>
      <c r="R1793" s="3">
        <v>0</v>
      </c>
      <c r="S1793" s="4">
        <v>0</v>
      </c>
      <c r="T1793" s="4">
        <v>84</v>
      </c>
      <c r="U1793" s="4">
        <v>7</v>
      </c>
      <c r="V1793" s="4">
        <v>0</v>
      </c>
      <c r="W1793" s="4">
        <v>346.2</v>
      </c>
      <c r="X1793" s="4">
        <v>234.24</v>
      </c>
      <c r="Y1793" s="4"/>
      <c r="Z1793" s="4">
        <v>430.49583108604207</v>
      </c>
      <c r="AA1793" s="4">
        <v>247.48951138739608</v>
      </c>
      <c r="AB1793" s="4">
        <v>0</v>
      </c>
      <c r="AC1793" s="4">
        <v>28127.019</v>
      </c>
      <c r="AD1793" s="4">
        <v>19030.828800000003</v>
      </c>
      <c r="AE1793" s="4">
        <v>0</v>
      </c>
      <c r="AF1793" s="4">
        <v>34975.633796585491</v>
      </c>
      <c r="AG1793" s="4">
        <v>20107.285352668994</v>
      </c>
    </row>
    <row r="1794" spans="1:33" ht="11.25" customHeight="1" x14ac:dyDescent="0.25">
      <c r="A1794" s="3" t="s">
        <v>28</v>
      </c>
      <c r="B1794" s="3" t="s">
        <v>37</v>
      </c>
      <c r="C1794" s="3" t="s">
        <v>23</v>
      </c>
      <c r="D1794" s="3" t="s">
        <v>38</v>
      </c>
      <c r="E1794" s="3" t="s">
        <v>25</v>
      </c>
      <c r="F1794" s="3" t="s">
        <v>25</v>
      </c>
      <c r="G1794" s="3" t="s">
        <v>25</v>
      </c>
      <c r="H1794" s="3" t="s">
        <v>25</v>
      </c>
      <c r="I1794" s="6">
        <v>44593</v>
      </c>
      <c r="J1794" s="4">
        <v>0</v>
      </c>
      <c r="K1794" s="4">
        <v>0</v>
      </c>
      <c r="L1794" s="4">
        <v>-0.1</v>
      </c>
      <c r="M1794" s="4">
        <v>-0.1</v>
      </c>
      <c r="N1794" s="4">
        <v>-0.1</v>
      </c>
      <c r="O1794" s="4">
        <v>-0.1</v>
      </c>
      <c r="P1794" s="4">
        <v>-1</v>
      </c>
      <c r="Q1794" s="3" t="s">
        <v>26</v>
      </c>
      <c r="R1794" s="3">
        <v>0</v>
      </c>
      <c r="S1794" s="4">
        <v>0</v>
      </c>
      <c r="T1794" s="4">
        <v>84</v>
      </c>
      <c r="U1794" s="4">
        <v>7</v>
      </c>
      <c r="V1794" s="4">
        <v>0</v>
      </c>
      <c r="W1794" s="4">
        <v>346.2</v>
      </c>
      <c r="X1794" s="4">
        <v>234.24</v>
      </c>
      <c r="Y1794" s="4"/>
      <c r="Z1794" s="4">
        <v>430.49583108604207</v>
      </c>
      <c r="AA1794" s="4">
        <v>247.48951138739608</v>
      </c>
      <c r="AB1794" s="4">
        <v>0</v>
      </c>
      <c r="AC1794" s="4">
        <v>-34.619999999999997</v>
      </c>
      <c r="AD1794" s="4">
        <v>-23.424000000000003</v>
      </c>
      <c r="AE1794" s="4">
        <v>0</v>
      </c>
      <c r="AF1794" s="4">
        <v>-43.04958310860421</v>
      </c>
      <c r="AG1794" s="4">
        <v>-24.74895113873961</v>
      </c>
    </row>
    <row r="1795" spans="1:33" ht="11.25" customHeight="1" x14ac:dyDescent="0.25">
      <c r="A1795" s="3" t="s">
        <v>56</v>
      </c>
      <c r="B1795" s="3" t="s">
        <v>37</v>
      </c>
      <c r="C1795" s="3" t="s">
        <v>23</v>
      </c>
      <c r="D1795" s="3" t="s">
        <v>38</v>
      </c>
      <c r="E1795" s="3" t="s">
        <v>25</v>
      </c>
      <c r="F1795" s="3" t="s">
        <v>25</v>
      </c>
      <c r="G1795" s="3" t="s">
        <v>25</v>
      </c>
      <c r="H1795" s="3" t="s">
        <v>25</v>
      </c>
      <c r="I1795" s="6">
        <v>44621</v>
      </c>
      <c r="J1795" s="4">
        <v>0</v>
      </c>
      <c r="K1795" s="4">
        <v>0</v>
      </c>
      <c r="L1795" s="4">
        <v>1197.2909999999999</v>
      </c>
      <c r="M1795" s="4">
        <v>1197.2909999999999</v>
      </c>
      <c r="N1795" s="4">
        <v>1197.2909999999999</v>
      </c>
      <c r="O1795" s="4">
        <v>1197.2909999999999</v>
      </c>
      <c r="P1795" s="4">
        <v>674</v>
      </c>
      <c r="Q1795" s="3" t="s">
        <v>26</v>
      </c>
      <c r="R1795" s="3">
        <v>0</v>
      </c>
      <c r="S1795" s="4">
        <v>0</v>
      </c>
      <c r="T1795" s="4">
        <v>84</v>
      </c>
      <c r="U1795" s="4">
        <v>7</v>
      </c>
      <c r="V1795" s="4">
        <v>0</v>
      </c>
      <c r="W1795" s="4">
        <v>346.2</v>
      </c>
      <c r="X1795" s="4">
        <v>234.24</v>
      </c>
      <c r="Y1795" s="4"/>
      <c r="Z1795" s="4">
        <v>430.49583108604207</v>
      </c>
      <c r="AA1795" s="4">
        <v>247.48951138739608</v>
      </c>
      <c r="AB1795" s="4">
        <v>0</v>
      </c>
      <c r="AC1795" s="4">
        <v>414502.14419999998</v>
      </c>
      <c r="AD1795" s="4">
        <v>280453.44384000002</v>
      </c>
      <c r="AE1795" s="4">
        <v>0</v>
      </c>
      <c r="AF1795" s="4">
        <v>515428.78409683838</v>
      </c>
      <c r="AG1795" s="4">
        <v>296316.96457852685</v>
      </c>
    </row>
    <row r="1796" spans="1:33" ht="11.25" customHeight="1" x14ac:dyDescent="0.25">
      <c r="A1796" s="3" t="s">
        <v>56</v>
      </c>
      <c r="B1796" s="3" t="s">
        <v>37</v>
      </c>
      <c r="C1796" s="3" t="s">
        <v>23</v>
      </c>
      <c r="D1796" s="3" t="s">
        <v>38</v>
      </c>
      <c r="E1796" s="3" t="s">
        <v>25</v>
      </c>
      <c r="F1796" s="3" t="s">
        <v>25</v>
      </c>
      <c r="G1796" s="3" t="s">
        <v>25</v>
      </c>
      <c r="H1796" s="3" t="s">
        <v>25</v>
      </c>
      <c r="I1796" s="6">
        <v>44621</v>
      </c>
      <c r="J1796" s="4">
        <v>0</v>
      </c>
      <c r="K1796" s="4">
        <v>0</v>
      </c>
      <c r="L1796" s="4">
        <v>-1.044</v>
      </c>
      <c r="M1796" s="4">
        <v>-1.044</v>
      </c>
      <c r="N1796" s="4">
        <v>-1.044</v>
      </c>
      <c r="O1796" s="4">
        <v>-1.044</v>
      </c>
      <c r="P1796" s="4">
        <v>0</v>
      </c>
      <c r="Q1796" s="3" t="s">
        <v>26</v>
      </c>
      <c r="R1796" s="3">
        <v>0</v>
      </c>
      <c r="S1796" s="4">
        <v>0</v>
      </c>
      <c r="T1796" s="4">
        <v>84</v>
      </c>
      <c r="U1796" s="4">
        <v>7</v>
      </c>
      <c r="V1796" s="4">
        <v>0</v>
      </c>
      <c r="W1796" s="4">
        <v>346.2</v>
      </c>
      <c r="X1796" s="4">
        <v>234.24</v>
      </c>
      <c r="Y1796" s="4"/>
      <c r="Z1796" s="4">
        <v>430.49583108604207</v>
      </c>
      <c r="AA1796" s="4">
        <v>247.48951138739608</v>
      </c>
      <c r="AB1796" s="4">
        <v>0</v>
      </c>
      <c r="AC1796" s="4">
        <v>-361.43279999999999</v>
      </c>
      <c r="AD1796" s="4">
        <v>-244.54656000000003</v>
      </c>
      <c r="AE1796" s="4">
        <v>0</v>
      </c>
      <c r="AF1796" s="4">
        <v>-449.43764765382792</v>
      </c>
      <c r="AG1796" s="4">
        <v>-258.3790498884415</v>
      </c>
    </row>
    <row r="1797" spans="1:33" ht="11.25" customHeight="1" x14ac:dyDescent="0.25">
      <c r="A1797" s="3" t="s">
        <v>56</v>
      </c>
      <c r="B1797" s="3" t="s">
        <v>37</v>
      </c>
      <c r="C1797" s="3" t="s">
        <v>23</v>
      </c>
      <c r="D1797" s="3" t="s">
        <v>38</v>
      </c>
      <c r="E1797" s="3" t="s">
        <v>25</v>
      </c>
      <c r="F1797" s="3" t="s">
        <v>25</v>
      </c>
      <c r="G1797" s="3" t="s">
        <v>25</v>
      </c>
      <c r="H1797" s="3" t="s">
        <v>25</v>
      </c>
      <c r="I1797" s="6">
        <v>44621</v>
      </c>
      <c r="J1797" s="4">
        <v>0</v>
      </c>
      <c r="K1797" s="4">
        <v>0</v>
      </c>
      <c r="L1797" s="4">
        <v>81.245000000000005</v>
      </c>
      <c r="M1797" s="4">
        <v>81.245000000000005</v>
      </c>
      <c r="N1797" s="4">
        <v>81.245000000000005</v>
      </c>
      <c r="O1797" s="4">
        <v>81.245000000000005</v>
      </c>
      <c r="P1797" s="4">
        <v>66</v>
      </c>
      <c r="Q1797" s="3" t="s">
        <v>26</v>
      </c>
      <c r="R1797" s="3">
        <v>0</v>
      </c>
      <c r="S1797" s="4">
        <v>0</v>
      </c>
      <c r="T1797" s="4">
        <v>84</v>
      </c>
      <c r="U1797" s="4">
        <v>7</v>
      </c>
      <c r="V1797" s="4">
        <v>0</v>
      </c>
      <c r="W1797" s="4">
        <v>346.2</v>
      </c>
      <c r="X1797" s="4">
        <v>234.24</v>
      </c>
      <c r="Y1797" s="4"/>
      <c r="Z1797" s="4">
        <v>430.49583108604207</v>
      </c>
      <c r="AA1797" s="4">
        <v>247.48951138739608</v>
      </c>
      <c r="AB1797" s="4">
        <v>0</v>
      </c>
      <c r="AC1797" s="4">
        <v>28127.019</v>
      </c>
      <c r="AD1797" s="4">
        <v>19030.828800000003</v>
      </c>
      <c r="AE1797" s="4">
        <v>0</v>
      </c>
      <c r="AF1797" s="4">
        <v>34975.633796585491</v>
      </c>
      <c r="AG1797" s="4">
        <v>20107.285352668994</v>
      </c>
    </row>
    <row r="1798" spans="1:33" ht="11.25" customHeight="1" x14ac:dyDescent="0.25">
      <c r="A1798" s="3" t="s">
        <v>56</v>
      </c>
      <c r="B1798" s="3" t="s">
        <v>37</v>
      </c>
      <c r="C1798" s="3" t="s">
        <v>23</v>
      </c>
      <c r="D1798" s="3" t="s">
        <v>38</v>
      </c>
      <c r="E1798" s="3" t="s">
        <v>25</v>
      </c>
      <c r="F1798" s="3" t="s">
        <v>25</v>
      </c>
      <c r="G1798" s="3" t="s">
        <v>25</v>
      </c>
      <c r="H1798" s="3" t="s">
        <v>25</v>
      </c>
      <c r="I1798" s="6">
        <v>44621</v>
      </c>
      <c r="J1798" s="4">
        <v>0</v>
      </c>
      <c r="K1798" s="4">
        <v>0</v>
      </c>
      <c r="L1798" s="4">
        <v>-0.1</v>
      </c>
      <c r="M1798" s="4">
        <v>-0.1</v>
      </c>
      <c r="N1798" s="4">
        <v>-0.1</v>
      </c>
      <c r="O1798" s="4">
        <v>-0.1</v>
      </c>
      <c r="P1798" s="4">
        <v>-1</v>
      </c>
      <c r="Q1798" s="3" t="s">
        <v>26</v>
      </c>
      <c r="R1798" s="3">
        <v>0</v>
      </c>
      <c r="S1798" s="4">
        <v>0</v>
      </c>
      <c r="T1798" s="4">
        <v>84</v>
      </c>
      <c r="U1798" s="4">
        <v>7</v>
      </c>
      <c r="V1798" s="4">
        <v>0</v>
      </c>
      <c r="W1798" s="4">
        <v>346.2</v>
      </c>
      <c r="X1798" s="4">
        <v>234.24</v>
      </c>
      <c r="Y1798" s="4"/>
      <c r="Z1798" s="4">
        <v>430.49583108604207</v>
      </c>
      <c r="AA1798" s="4">
        <v>247.48951138739608</v>
      </c>
      <c r="AB1798" s="4">
        <v>0</v>
      </c>
      <c r="AC1798" s="4">
        <v>-34.619999999999997</v>
      </c>
      <c r="AD1798" s="4">
        <v>-23.424000000000003</v>
      </c>
      <c r="AE1798" s="4">
        <v>0</v>
      </c>
      <c r="AF1798" s="4">
        <v>-43.04958310860421</v>
      </c>
      <c r="AG1798" s="4">
        <v>-24.74895113873961</v>
      </c>
    </row>
    <row r="1799" spans="1:33" ht="11.25" customHeight="1" x14ac:dyDescent="0.25">
      <c r="A1799" s="3" t="s">
        <v>21</v>
      </c>
      <c r="B1799" s="3" t="s">
        <v>37</v>
      </c>
      <c r="C1799" s="3" t="s">
        <v>23</v>
      </c>
      <c r="D1799" s="3" t="s">
        <v>46</v>
      </c>
      <c r="E1799" s="3" t="s">
        <v>25</v>
      </c>
      <c r="F1799" s="3" t="s">
        <v>25</v>
      </c>
      <c r="G1799" s="3" t="s">
        <v>25</v>
      </c>
      <c r="H1799" s="3" t="s">
        <v>25</v>
      </c>
      <c r="I1799" s="6">
        <v>44287</v>
      </c>
      <c r="J1799" s="4">
        <v>0</v>
      </c>
      <c r="K1799" s="4">
        <v>0</v>
      </c>
      <c r="L1799" s="4">
        <v>3815.0790000000002</v>
      </c>
      <c r="M1799" s="4">
        <v>3815.0790000000002</v>
      </c>
      <c r="N1799" s="4">
        <v>3815.0790000000002</v>
      </c>
      <c r="O1799" s="4">
        <v>3815.0790000000002</v>
      </c>
      <c r="P1799" s="4">
        <v>5238</v>
      </c>
      <c r="Q1799" s="3" t="s">
        <v>26</v>
      </c>
      <c r="R1799" s="3">
        <v>0</v>
      </c>
      <c r="S1799" s="4">
        <v>0</v>
      </c>
      <c r="T1799" s="4">
        <v>84</v>
      </c>
      <c r="U1799" s="4">
        <v>7</v>
      </c>
      <c r="V1799" s="4">
        <v>0</v>
      </c>
      <c r="W1799" s="4">
        <v>346.2</v>
      </c>
      <c r="X1799" s="4">
        <v>234.24</v>
      </c>
      <c r="Y1799" s="4"/>
      <c r="Z1799" s="4">
        <v>430.49583108604207</v>
      </c>
      <c r="AA1799" s="4">
        <v>247.48951138739608</v>
      </c>
      <c r="AB1799" s="4">
        <v>0</v>
      </c>
      <c r="AC1799" s="4">
        <v>1320780.3498</v>
      </c>
      <c r="AD1799" s="4">
        <v>893644.10496000003</v>
      </c>
      <c r="AE1799" s="4">
        <v>0</v>
      </c>
      <c r="AF1799" s="4">
        <v>1642375.6047639064</v>
      </c>
      <c r="AG1799" s="4">
        <v>944192.03761431563</v>
      </c>
    </row>
    <row r="1800" spans="1:33" ht="11.25" customHeight="1" x14ac:dyDescent="0.25">
      <c r="A1800" s="3" t="s">
        <v>27</v>
      </c>
      <c r="B1800" s="3" t="s">
        <v>37</v>
      </c>
      <c r="C1800" s="3" t="s">
        <v>23</v>
      </c>
      <c r="D1800" s="3" t="s">
        <v>46</v>
      </c>
      <c r="E1800" s="3" t="s">
        <v>25</v>
      </c>
      <c r="F1800" s="3" t="s">
        <v>25</v>
      </c>
      <c r="G1800" s="3" t="s">
        <v>25</v>
      </c>
      <c r="H1800" s="3" t="s">
        <v>25</v>
      </c>
      <c r="I1800" s="6">
        <v>44287</v>
      </c>
      <c r="J1800" s="4">
        <v>0</v>
      </c>
      <c r="K1800" s="4">
        <v>0</v>
      </c>
      <c r="L1800" s="4">
        <v>-4.5730000000000004</v>
      </c>
      <c r="M1800" s="4">
        <v>-4.5730000000000004</v>
      </c>
      <c r="N1800" s="4">
        <v>-4.5730000000000004</v>
      </c>
      <c r="O1800" s="4">
        <v>-4.5730000000000004</v>
      </c>
      <c r="P1800" s="4">
        <v>-2</v>
      </c>
      <c r="Q1800" s="3" t="s">
        <v>26</v>
      </c>
      <c r="R1800" s="3">
        <v>0</v>
      </c>
      <c r="S1800" s="4">
        <v>0</v>
      </c>
      <c r="T1800" s="4">
        <v>84</v>
      </c>
      <c r="U1800" s="4">
        <v>7</v>
      </c>
      <c r="V1800" s="4">
        <v>0</v>
      </c>
      <c r="W1800" s="4">
        <v>346.2</v>
      </c>
      <c r="X1800" s="4">
        <v>234.24</v>
      </c>
      <c r="Y1800" s="4"/>
      <c r="Z1800" s="4">
        <v>430.49583108604207</v>
      </c>
      <c r="AA1800" s="4">
        <v>247.48951138739608</v>
      </c>
      <c r="AB1800" s="4">
        <v>0</v>
      </c>
      <c r="AC1800" s="4">
        <v>-1583.1726000000001</v>
      </c>
      <c r="AD1800" s="4">
        <v>-1071.1795200000001</v>
      </c>
      <c r="AE1800" s="4">
        <v>0</v>
      </c>
      <c r="AF1800" s="4">
        <v>-1968.6574355564705</v>
      </c>
      <c r="AG1800" s="4">
        <v>-1131.7695355745623</v>
      </c>
    </row>
    <row r="1801" spans="1:33" ht="11.25" customHeight="1" x14ac:dyDescent="0.25">
      <c r="A1801" s="3" t="s">
        <v>28</v>
      </c>
      <c r="B1801" s="3" t="s">
        <v>37</v>
      </c>
      <c r="C1801" s="3" t="s">
        <v>23</v>
      </c>
      <c r="D1801" s="3" t="s">
        <v>46</v>
      </c>
      <c r="E1801" s="3" t="s">
        <v>25</v>
      </c>
      <c r="F1801" s="3" t="s">
        <v>25</v>
      </c>
      <c r="G1801" s="3" t="s">
        <v>25</v>
      </c>
      <c r="H1801" s="3" t="s">
        <v>25</v>
      </c>
      <c r="I1801" s="6">
        <v>44287</v>
      </c>
      <c r="J1801" s="4">
        <v>0</v>
      </c>
      <c r="K1801" s="4">
        <v>0</v>
      </c>
      <c r="L1801" s="4">
        <v>4.4059999999999997</v>
      </c>
      <c r="M1801" s="4">
        <v>4.4059999999999997</v>
      </c>
      <c r="N1801" s="4">
        <v>4.4059999999999997</v>
      </c>
      <c r="O1801" s="4">
        <v>4.4059999999999997</v>
      </c>
      <c r="P1801" s="4">
        <v>13</v>
      </c>
      <c r="Q1801" s="3" t="s">
        <v>26</v>
      </c>
      <c r="R1801" s="3">
        <v>0</v>
      </c>
      <c r="S1801" s="4">
        <v>0</v>
      </c>
      <c r="T1801" s="4">
        <v>84</v>
      </c>
      <c r="U1801" s="4">
        <v>7</v>
      </c>
      <c r="V1801" s="4">
        <v>0</v>
      </c>
      <c r="W1801" s="4">
        <v>346.2</v>
      </c>
      <c r="X1801" s="4">
        <v>234.24</v>
      </c>
      <c r="Y1801" s="4"/>
      <c r="Z1801" s="4">
        <v>430.49583108604207</v>
      </c>
      <c r="AA1801" s="4">
        <v>247.48951138739608</v>
      </c>
      <c r="AB1801" s="4">
        <v>0</v>
      </c>
      <c r="AC1801" s="4">
        <v>1525.3571999999999</v>
      </c>
      <c r="AD1801" s="4">
        <v>1032.0614399999999</v>
      </c>
      <c r="AE1801" s="4">
        <v>0</v>
      </c>
      <c r="AF1801" s="4">
        <v>1896.7646317651013</v>
      </c>
      <c r="AG1801" s="4">
        <v>1090.438787172867</v>
      </c>
    </row>
    <row r="1802" spans="1:33" ht="11.25" customHeight="1" x14ac:dyDescent="0.25">
      <c r="A1802" s="3" t="s">
        <v>21</v>
      </c>
      <c r="B1802" s="3" t="s">
        <v>37</v>
      </c>
      <c r="C1802" s="3" t="s">
        <v>23</v>
      </c>
      <c r="D1802" s="3" t="s">
        <v>46</v>
      </c>
      <c r="E1802" s="3" t="s">
        <v>25</v>
      </c>
      <c r="F1802" s="3" t="s">
        <v>25</v>
      </c>
      <c r="G1802" s="3" t="s">
        <v>25</v>
      </c>
      <c r="H1802" s="3" t="s">
        <v>25</v>
      </c>
      <c r="I1802" s="6">
        <v>44317</v>
      </c>
      <c r="J1802" s="4">
        <v>0</v>
      </c>
      <c r="K1802" s="4">
        <v>0</v>
      </c>
      <c r="L1802" s="4">
        <v>3428.962</v>
      </c>
      <c r="M1802" s="4">
        <v>3428.962</v>
      </c>
      <c r="N1802" s="4">
        <v>3428.962</v>
      </c>
      <c r="O1802" s="4">
        <v>3428.962</v>
      </c>
      <c r="P1802" s="4">
        <v>5237</v>
      </c>
      <c r="Q1802" s="3" t="s">
        <v>26</v>
      </c>
      <c r="R1802" s="3">
        <v>0</v>
      </c>
      <c r="S1802" s="4">
        <v>0</v>
      </c>
      <c r="T1802" s="4">
        <v>84</v>
      </c>
      <c r="U1802" s="4">
        <v>7</v>
      </c>
      <c r="V1802" s="4">
        <v>0</v>
      </c>
      <c r="W1802" s="4">
        <v>346.2</v>
      </c>
      <c r="X1802" s="4">
        <v>234.24</v>
      </c>
      <c r="Y1802" s="4"/>
      <c r="Z1802" s="4">
        <v>430.49583108604207</v>
      </c>
      <c r="AA1802" s="4">
        <v>247.48951138739608</v>
      </c>
      <c r="AB1802" s="4">
        <v>0</v>
      </c>
      <c r="AC1802" s="4">
        <v>1187106.6443999999</v>
      </c>
      <c r="AD1802" s="4">
        <v>803200.05888000003</v>
      </c>
      <c r="AE1802" s="4">
        <v>0</v>
      </c>
      <c r="AF1802" s="4">
        <v>1476153.845952457</v>
      </c>
      <c r="AG1802" s="4">
        <v>848632.12994594837</v>
      </c>
    </row>
    <row r="1803" spans="1:33" ht="11.25" customHeight="1" x14ac:dyDescent="0.25">
      <c r="A1803" s="3" t="s">
        <v>27</v>
      </c>
      <c r="B1803" s="3" t="s">
        <v>37</v>
      </c>
      <c r="C1803" s="3" t="s">
        <v>23</v>
      </c>
      <c r="D1803" s="3" t="s">
        <v>46</v>
      </c>
      <c r="E1803" s="3" t="s">
        <v>25</v>
      </c>
      <c r="F1803" s="3" t="s">
        <v>25</v>
      </c>
      <c r="G1803" s="3" t="s">
        <v>25</v>
      </c>
      <c r="H1803" s="3" t="s">
        <v>25</v>
      </c>
      <c r="I1803" s="6">
        <v>44317</v>
      </c>
      <c r="J1803" s="4">
        <v>0</v>
      </c>
      <c r="K1803" s="4">
        <v>0</v>
      </c>
      <c r="L1803" s="4">
        <v>0.1</v>
      </c>
      <c r="M1803" s="4">
        <v>0.1</v>
      </c>
      <c r="N1803" s="4">
        <v>0.1</v>
      </c>
      <c r="O1803" s="4">
        <v>0.1</v>
      </c>
      <c r="P1803" s="4">
        <v>1</v>
      </c>
      <c r="Q1803" s="3" t="s">
        <v>26</v>
      </c>
      <c r="R1803" s="3">
        <v>0</v>
      </c>
      <c r="S1803" s="4">
        <v>0</v>
      </c>
      <c r="T1803" s="4">
        <v>84</v>
      </c>
      <c r="U1803" s="4">
        <v>7</v>
      </c>
      <c r="V1803" s="4">
        <v>0</v>
      </c>
      <c r="W1803" s="4">
        <v>346.2</v>
      </c>
      <c r="X1803" s="4">
        <v>234.24</v>
      </c>
      <c r="Y1803" s="4"/>
      <c r="Z1803" s="4">
        <v>430.49583108604207</v>
      </c>
      <c r="AA1803" s="4">
        <v>247.48951138739608</v>
      </c>
      <c r="AB1803" s="4">
        <v>0</v>
      </c>
      <c r="AC1803" s="4">
        <v>34.619999999999997</v>
      </c>
      <c r="AD1803" s="4">
        <v>23.424000000000003</v>
      </c>
      <c r="AE1803" s="4">
        <v>0</v>
      </c>
      <c r="AF1803" s="4">
        <v>43.04958310860421</v>
      </c>
      <c r="AG1803" s="4">
        <v>24.74895113873961</v>
      </c>
    </row>
    <row r="1804" spans="1:33" ht="11.25" customHeight="1" x14ac:dyDescent="0.25">
      <c r="A1804" s="3" t="s">
        <v>28</v>
      </c>
      <c r="B1804" s="3" t="s">
        <v>37</v>
      </c>
      <c r="C1804" s="3" t="s">
        <v>23</v>
      </c>
      <c r="D1804" s="3" t="s">
        <v>46</v>
      </c>
      <c r="E1804" s="3" t="s">
        <v>25</v>
      </c>
      <c r="F1804" s="3" t="s">
        <v>25</v>
      </c>
      <c r="G1804" s="3" t="s">
        <v>25</v>
      </c>
      <c r="H1804" s="3" t="s">
        <v>25</v>
      </c>
      <c r="I1804" s="6">
        <v>44317</v>
      </c>
      <c r="J1804" s="4">
        <v>0</v>
      </c>
      <c r="K1804" s="4">
        <v>0</v>
      </c>
      <c r="L1804" s="4">
        <v>4.5410000000000004</v>
      </c>
      <c r="M1804" s="4">
        <v>4.5410000000000004</v>
      </c>
      <c r="N1804" s="4">
        <v>4.5410000000000004</v>
      </c>
      <c r="O1804" s="4">
        <v>4.5410000000000004</v>
      </c>
      <c r="P1804" s="4">
        <v>13</v>
      </c>
      <c r="Q1804" s="3" t="s">
        <v>26</v>
      </c>
      <c r="R1804" s="3">
        <v>0</v>
      </c>
      <c r="S1804" s="4">
        <v>0</v>
      </c>
      <c r="T1804" s="4">
        <v>84</v>
      </c>
      <c r="U1804" s="4">
        <v>7</v>
      </c>
      <c r="V1804" s="4">
        <v>0</v>
      </c>
      <c r="W1804" s="4">
        <v>346.2</v>
      </c>
      <c r="X1804" s="4">
        <v>234.24</v>
      </c>
      <c r="Y1804" s="4"/>
      <c r="Z1804" s="4">
        <v>430.49583108604207</v>
      </c>
      <c r="AA1804" s="4">
        <v>247.48951138739608</v>
      </c>
      <c r="AB1804" s="4">
        <v>0</v>
      </c>
      <c r="AC1804" s="4">
        <v>1572.0942</v>
      </c>
      <c r="AD1804" s="4">
        <v>1063.6838400000001</v>
      </c>
      <c r="AE1804" s="4">
        <v>0</v>
      </c>
      <c r="AF1804" s="4">
        <v>1954.8815689617172</v>
      </c>
      <c r="AG1804" s="4">
        <v>1123.8498712101657</v>
      </c>
    </row>
    <row r="1805" spans="1:33" ht="11.25" customHeight="1" x14ac:dyDescent="0.25">
      <c r="A1805" s="3" t="s">
        <v>21</v>
      </c>
      <c r="B1805" s="3" t="s">
        <v>37</v>
      </c>
      <c r="C1805" s="3" t="s">
        <v>23</v>
      </c>
      <c r="D1805" s="3" t="s">
        <v>46</v>
      </c>
      <c r="E1805" s="3" t="s">
        <v>25</v>
      </c>
      <c r="F1805" s="3" t="s">
        <v>25</v>
      </c>
      <c r="G1805" s="3" t="s">
        <v>25</v>
      </c>
      <c r="H1805" s="3" t="s">
        <v>25</v>
      </c>
      <c r="I1805" s="6">
        <v>44348</v>
      </c>
      <c r="J1805" s="4">
        <v>0</v>
      </c>
      <c r="K1805" s="4">
        <v>0</v>
      </c>
      <c r="L1805" s="4">
        <v>3281.2719999999999</v>
      </c>
      <c r="M1805" s="4">
        <v>3281.2719999999999</v>
      </c>
      <c r="N1805" s="4">
        <v>3281.2719999999999</v>
      </c>
      <c r="O1805" s="4">
        <v>3281.2719999999999</v>
      </c>
      <c r="P1805" s="4">
        <v>5236</v>
      </c>
      <c r="Q1805" s="3" t="s">
        <v>26</v>
      </c>
      <c r="R1805" s="3">
        <v>0</v>
      </c>
      <c r="S1805" s="4">
        <v>0</v>
      </c>
      <c r="T1805" s="4">
        <v>84</v>
      </c>
      <c r="U1805" s="4">
        <v>7</v>
      </c>
      <c r="V1805" s="4">
        <v>0</v>
      </c>
      <c r="W1805" s="4">
        <v>346.2</v>
      </c>
      <c r="X1805" s="4">
        <v>234.24</v>
      </c>
      <c r="Y1805" s="4"/>
      <c r="Z1805" s="4">
        <v>430.49583108604207</v>
      </c>
      <c r="AA1805" s="4">
        <v>247.48951138739608</v>
      </c>
      <c r="AB1805" s="4">
        <v>0</v>
      </c>
      <c r="AC1805" s="4">
        <v>1135976.3663999999</v>
      </c>
      <c r="AD1805" s="4">
        <v>768605.15327999997</v>
      </c>
      <c r="AE1805" s="4">
        <v>0</v>
      </c>
      <c r="AF1805" s="4">
        <v>1412573.9166593594</v>
      </c>
      <c r="AG1805" s="4">
        <v>812080.40400914394</v>
      </c>
    </row>
    <row r="1806" spans="1:33" ht="11.25" customHeight="1" x14ac:dyDescent="0.25">
      <c r="A1806" s="3" t="s">
        <v>27</v>
      </c>
      <c r="B1806" s="3" t="s">
        <v>37</v>
      </c>
      <c r="C1806" s="3" t="s">
        <v>23</v>
      </c>
      <c r="D1806" s="3" t="s">
        <v>46</v>
      </c>
      <c r="E1806" s="3" t="s">
        <v>25</v>
      </c>
      <c r="F1806" s="3" t="s">
        <v>25</v>
      </c>
      <c r="G1806" s="3" t="s">
        <v>25</v>
      </c>
      <c r="H1806" s="3" t="s">
        <v>25</v>
      </c>
      <c r="I1806" s="6">
        <v>44348</v>
      </c>
      <c r="J1806" s="4">
        <v>0</v>
      </c>
      <c r="K1806" s="4">
        <v>0</v>
      </c>
      <c r="L1806" s="4">
        <v>-258.16399999999999</v>
      </c>
      <c r="M1806" s="4">
        <v>-258.16399999999999</v>
      </c>
      <c r="N1806" s="4">
        <v>-258.16399999999999</v>
      </c>
      <c r="O1806" s="4">
        <v>-258.16399999999999</v>
      </c>
      <c r="P1806" s="4">
        <v>-7</v>
      </c>
      <c r="Q1806" s="3" t="s">
        <v>26</v>
      </c>
      <c r="R1806" s="3">
        <v>0</v>
      </c>
      <c r="S1806" s="4">
        <v>0</v>
      </c>
      <c r="T1806" s="4">
        <v>84</v>
      </c>
      <c r="U1806" s="4">
        <v>7</v>
      </c>
      <c r="V1806" s="4">
        <v>0</v>
      </c>
      <c r="W1806" s="4">
        <v>346.2</v>
      </c>
      <c r="X1806" s="4">
        <v>234.24</v>
      </c>
      <c r="Y1806" s="4"/>
      <c r="Z1806" s="4">
        <v>430.49583108604207</v>
      </c>
      <c r="AA1806" s="4">
        <v>247.48951138739608</v>
      </c>
      <c r="AB1806" s="4">
        <v>0</v>
      </c>
      <c r="AC1806" s="4">
        <v>-89376.376799999998</v>
      </c>
      <c r="AD1806" s="4">
        <v>-60472.335359999997</v>
      </c>
      <c r="AE1806" s="4">
        <v>0</v>
      </c>
      <c r="AF1806" s="4">
        <v>-111138.52573649696</v>
      </c>
      <c r="AG1806" s="4">
        <v>-63892.882217815721</v>
      </c>
    </row>
    <row r="1807" spans="1:33" ht="11.25" customHeight="1" x14ac:dyDescent="0.25">
      <c r="A1807" s="3" t="s">
        <v>28</v>
      </c>
      <c r="B1807" s="3" t="s">
        <v>37</v>
      </c>
      <c r="C1807" s="3" t="s">
        <v>23</v>
      </c>
      <c r="D1807" s="3" t="s">
        <v>46</v>
      </c>
      <c r="E1807" s="3" t="s">
        <v>25</v>
      </c>
      <c r="F1807" s="3" t="s">
        <v>25</v>
      </c>
      <c r="G1807" s="3" t="s">
        <v>25</v>
      </c>
      <c r="H1807" s="3" t="s">
        <v>25</v>
      </c>
      <c r="I1807" s="6">
        <v>44348</v>
      </c>
      <c r="J1807" s="4">
        <v>0</v>
      </c>
      <c r="K1807" s="4">
        <v>0</v>
      </c>
      <c r="L1807" s="4">
        <v>4.5250000000000004</v>
      </c>
      <c r="M1807" s="4">
        <v>4.5250000000000004</v>
      </c>
      <c r="N1807" s="4">
        <v>4.5250000000000004</v>
      </c>
      <c r="O1807" s="4">
        <v>4.5250000000000004</v>
      </c>
      <c r="P1807" s="4">
        <v>13</v>
      </c>
      <c r="Q1807" s="3" t="s">
        <v>26</v>
      </c>
      <c r="R1807" s="3">
        <v>0</v>
      </c>
      <c r="S1807" s="4">
        <v>0</v>
      </c>
      <c r="T1807" s="4">
        <v>84</v>
      </c>
      <c r="U1807" s="4">
        <v>7</v>
      </c>
      <c r="V1807" s="4">
        <v>0</v>
      </c>
      <c r="W1807" s="4">
        <v>346.2</v>
      </c>
      <c r="X1807" s="4">
        <v>234.24</v>
      </c>
      <c r="Y1807" s="4"/>
      <c r="Z1807" s="4">
        <v>430.49583108604207</v>
      </c>
      <c r="AA1807" s="4">
        <v>247.48951138739608</v>
      </c>
      <c r="AB1807" s="4">
        <v>0</v>
      </c>
      <c r="AC1807" s="4">
        <v>1566.5550000000001</v>
      </c>
      <c r="AD1807" s="4">
        <v>1059.9360000000001</v>
      </c>
      <c r="AE1807" s="4">
        <v>0</v>
      </c>
      <c r="AF1807" s="4">
        <v>1947.9936356643404</v>
      </c>
      <c r="AG1807" s="4">
        <v>1119.8900390279673</v>
      </c>
    </row>
    <row r="1808" spans="1:33" ht="11.25" customHeight="1" x14ac:dyDescent="0.25">
      <c r="A1808" s="3" t="s">
        <v>21</v>
      </c>
      <c r="B1808" s="3" t="s">
        <v>37</v>
      </c>
      <c r="C1808" s="3" t="s">
        <v>23</v>
      </c>
      <c r="D1808" s="3" t="s">
        <v>46</v>
      </c>
      <c r="E1808" s="3" t="s">
        <v>25</v>
      </c>
      <c r="F1808" s="3" t="s">
        <v>25</v>
      </c>
      <c r="G1808" s="3" t="s">
        <v>25</v>
      </c>
      <c r="H1808" s="3" t="s">
        <v>25</v>
      </c>
      <c r="I1808" s="6">
        <v>44378</v>
      </c>
      <c r="J1808" s="4">
        <v>0</v>
      </c>
      <c r="K1808" s="4">
        <v>0</v>
      </c>
      <c r="L1808" s="4">
        <v>3089.5680000000002</v>
      </c>
      <c r="M1808" s="4">
        <v>3089.5680000000002</v>
      </c>
      <c r="N1808" s="4">
        <v>3089.5680000000002</v>
      </c>
      <c r="O1808" s="4">
        <v>3089.5680000000002</v>
      </c>
      <c r="P1808" s="4">
        <v>5220</v>
      </c>
      <c r="Q1808" s="3" t="s">
        <v>26</v>
      </c>
      <c r="R1808" s="3">
        <v>0</v>
      </c>
      <c r="S1808" s="4">
        <v>0</v>
      </c>
      <c r="T1808" s="4">
        <v>84</v>
      </c>
      <c r="U1808" s="4">
        <v>7</v>
      </c>
      <c r="V1808" s="4">
        <v>0</v>
      </c>
      <c r="W1808" s="4">
        <v>346.2</v>
      </c>
      <c r="X1808" s="4">
        <v>234.24</v>
      </c>
      <c r="Y1808" s="4"/>
      <c r="Z1808" s="4">
        <v>430.49583108604207</v>
      </c>
      <c r="AA1808" s="4">
        <v>247.48951138739608</v>
      </c>
      <c r="AB1808" s="4">
        <v>0</v>
      </c>
      <c r="AC1808" s="4">
        <v>1069608.4416</v>
      </c>
      <c r="AD1808" s="4">
        <v>723700.40832000005</v>
      </c>
      <c r="AE1808" s="4">
        <v>0</v>
      </c>
      <c r="AF1808" s="4">
        <v>1330046.1438568409</v>
      </c>
      <c r="AG1808" s="4">
        <v>764635.67471813457</v>
      </c>
    </row>
    <row r="1809" spans="1:33" ht="11.25" customHeight="1" x14ac:dyDescent="0.25">
      <c r="A1809" s="3" t="s">
        <v>27</v>
      </c>
      <c r="B1809" s="3" t="s">
        <v>37</v>
      </c>
      <c r="C1809" s="3" t="s">
        <v>23</v>
      </c>
      <c r="D1809" s="3" t="s">
        <v>46</v>
      </c>
      <c r="E1809" s="3" t="s">
        <v>25</v>
      </c>
      <c r="F1809" s="3" t="s">
        <v>25</v>
      </c>
      <c r="G1809" s="3" t="s">
        <v>25</v>
      </c>
      <c r="H1809" s="3" t="s">
        <v>25</v>
      </c>
      <c r="I1809" s="6">
        <v>44378</v>
      </c>
      <c r="J1809" s="4">
        <v>0</v>
      </c>
      <c r="K1809" s="4">
        <v>0</v>
      </c>
      <c r="L1809" s="4">
        <v>-114.49299999999999</v>
      </c>
      <c r="M1809" s="4">
        <v>-114.49299999999999</v>
      </c>
      <c r="N1809" s="4">
        <v>-114.49299999999999</v>
      </c>
      <c r="O1809" s="4">
        <v>-114.49299999999999</v>
      </c>
      <c r="P1809" s="4">
        <v>-10</v>
      </c>
      <c r="Q1809" s="3" t="s">
        <v>26</v>
      </c>
      <c r="R1809" s="3">
        <v>0</v>
      </c>
      <c r="S1809" s="4">
        <v>0</v>
      </c>
      <c r="T1809" s="4">
        <v>84</v>
      </c>
      <c r="U1809" s="4">
        <v>7</v>
      </c>
      <c r="V1809" s="4">
        <v>0</v>
      </c>
      <c r="W1809" s="4">
        <v>346.2</v>
      </c>
      <c r="X1809" s="4">
        <v>234.24</v>
      </c>
      <c r="Y1809" s="4"/>
      <c r="Z1809" s="4">
        <v>430.49583108604207</v>
      </c>
      <c r="AA1809" s="4">
        <v>247.48951138739608</v>
      </c>
      <c r="AB1809" s="4">
        <v>0</v>
      </c>
      <c r="AC1809" s="4">
        <v>-39637.476599999995</v>
      </c>
      <c r="AD1809" s="4">
        <v>-26818.840319999999</v>
      </c>
      <c r="AE1809" s="4">
        <v>0</v>
      </c>
      <c r="AF1809" s="4">
        <v>-49288.759188534212</v>
      </c>
      <c r="AG1809" s="4">
        <v>-28335.816627277138</v>
      </c>
    </row>
    <row r="1810" spans="1:33" ht="11.25" customHeight="1" x14ac:dyDescent="0.25">
      <c r="A1810" s="3" t="s">
        <v>28</v>
      </c>
      <c r="B1810" s="3" t="s">
        <v>37</v>
      </c>
      <c r="C1810" s="3" t="s">
        <v>23</v>
      </c>
      <c r="D1810" s="3" t="s">
        <v>46</v>
      </c>
      <c r="E1810" s="3" t="s">
        <v>25</v>
      </c>
      <c r="F1810" s="3" t="s">
        <v>25</v>
      </c>
      <c r="G1810" s="3" t="s">
        <v>25</v>
      </c>
      <c r="H1810" s="3" t="s">
        <v>25</v>
      </c>
      <c r="I1810" s="6">
        <v>44378</v>
      </c>
      <c r="J1810" s="4">
        <v>0</v>
      </c>
      <c r="K1810" s="4">
        <v>0</v>
      </c>
      <c r="L1810" s="4">
        <v>3.0529999999999999</v>
      </c>
      <c r="M1810" s="4">
        <v>3.0529999999999999</v>
      </c>
      <c r="N1810" s="4">
        <v>3.0529999999999999</v>
      </c>
      <c r="O1810" s="4">
        <v>3.0529999999999999</v>
      </c>
      <c r="P1810" s="4">
        <v>13</v>
      </c>
      <c r="Q1810" s="3" t="s">
        <v>26</v>
      </c>
      <c r="R1810" s="3">
        <v>0</v>
      </c>
      <c r="S1810" s="4">
        <v>0</v>
      </c>
      <c r="T1810" s="4">
        <v>84</v>
      </c>
      <c r="U1810" s="4">
        <v>7</v>
      </c>
      <c r="V1810" s="4">
        <v>0</v>
      </c>
      <c r="W1810" s="4">
        <v>346.2</v>
      </c>
      <c r="X1810" s="4">
        <v>234.24</v>
      </c>
      <c r="Y1810" s="4"/>
      <c r="Z1810" s="4">
        <v>430.49583108604207</v>
      </c>
      <c r="AA1810" s="4">
        <v>247.48951138739608</v>
      </c>
      <c r="AB1810" s="4">
        <v>0</v>
      </c>
      <c r="AC1810" s="4">
        <v>1056.9485999999999</v>
      </c>
      <c r="AD1810" s="4">
        <v>715.13472000000002</v>
      </c>
      <c r="AE1810" s="4">
        <v>0</v>
      </c>
      <c r="AF1810" s="4">
        <v>1314.3037723056864</v>
      </c>
      <c r="AG1810" s="4">
        <v>755.58547826572021</v>
      </c>
    </row>
    <row r="1811" spans="1:33" ht="11.25" customHeight="1" x14ac:dyDescent="0.25">
      <c r="A1811" s="3" t="s">
        <v>21</v>
      </c>
      <c r="B1811" s="3" t="s">
        <v>37</v>
      </c>
      <c r="C1811" s="3" t="s">
        <v>23</v>
      </c>
      <c r="D1811" s="3" t="s">
        <v>46</v>
      </c>
      <c r="E1811" s="3" t="s">
        <v>25</v>
      </c>
      <c r="F1811" s="3" t="s">
        <v>25</v>
      </c>
      <c r="G1811" s="3" t="s">
        <v>25</v>
      </c>
      <c r="H1811" s="3" t="s">
        <v>25</v>
      </c>
      <c r="I1811" s="6">
        <v>44409</v>
      </c>
      <c r="J1811" s="4">
        <v>0</v>
      </c>
      <c r="K1811" s="4">
        <v>0</v>
      </c>
      <c r="L1811" s="4">
        <v>3215.0770000000002</v>
      </c>
      <c r="M1811" s="4">
        <v>3215.0770000000002</v>
      </c>
      <c r="N1811" s="4">
        <v>3215.0770000000002</v>
      </c>
      <c r="O1811" s="4">
        <v>3215.0770000000002</v>
      </c>
      <c r="P1811" s="4">
        <v>5226</v>
      </c>
      <c r="Q1811" s="3" t="s">
        <v>26</v>
      </c>
      <c r="R1811" s="3">
        <v>0</v>
      </c>
      <c r="S1811" s="4">
        <v>0</v>
      </c>
      <c r="T1811" s="4">
        <v>84</v>
      </c>
      <c r="U1811" s="4">
        <v>7</v>
      </c>
      <c r="V1811" s="4">
        <v>0</v>
      </c>
      <c r="W1811" s="4">
        <v>346.2</v>
      </c>
      <c r="X1811" s="4">
        <v>234.24</v>
      </c>
      <c r="Y1811" s="4"/>
      <c r="Z1811" s="4">
        <v>430.49583108604207</v>
      </c>
      <c r="AA1811" s="4">
        <v>247.48951138739608</v>
      </c>
      <c r="AB1811" s="4">
        <v>0</v>
      </c>
      <c r="AC1811" s="4">
        <v>1113059.6574000001</v>
      </c>
      <c r="AD1811" s="4">
        <v>753099.6364800001</v>
      </c>
      <c r="AE1811" s="4">
        <v>0</v>
      </c>
      <c r="AF1811" s="4">
        <v>1384077.245120619</v>
      </c>
      <c r="AG1811" s="4">
        <v>795697.83580285532</v>
      </c>
    </row>
    <row r="1812" spans="1:33" ht="11.25" customHeight="1" x14ac:dyDescent="0.25">
      <c r="A1812" s="3" t="s">
        <v>27</v>
      </c>
      <c r="B1812" s="3" t="s">
        <v>37</v>
      </c>
      <c r="C1812" s="3" t="s">
        <v>23</v>
      </c>
      <c r="D1812" s="3" t="s">
        <v>46</v>
      </c>
      <c r="E1812" s="3" t="s">
        <v>25</v>
      </c>
      <c r="F1812" s="3" t="s">
        <v>25</v>
      </c>
      <c r="G1812" s="3" t="s">
        <v>25</v>
      </c>
      <c r="H1812" s="3" t="s">
        <v>25</v>
      </c>
      <c r="I1812" s="6">
        <v>44409</v>
      </c>
      <c r="J1812" s="4">
        <v>0</v>
      </c>
      <c r="K1812" s="4">
        <v>0</v>
      </c>
      <c r="L1812" s="4">
        <v>-157.59399999999999</v>
      </c>
      <c r="M1812" s="4">
        <v>-157.59399999999999</v>
      </c>
      <c r="N1812" s="4">
        <v>-157.59399999999999</v>
      </c>
      <c r="O1812" s="4">
        <v>-157.59399999999999</v>
      </c>
      <c r="P1812" s="4">
        <v>-17</v>
      </c>
      <c r="Q1812" s="3" t="s">
        <v>26</v>
      </c>
      <c r="R1812" s="3">
        <v>0</v>
      </c>
      <c r="S1812" s="4">
        <v>0</v>
      </c>
      <c r="T1812" s="4">
        <v>84</v>
      </c>
      <c r="U1812" s="4">
        <v>7</v>
      </c>
      <c r="V1812" s="4">
        <v>0</v>
      </c>
      <c r="W1812" s="4">
        <v>346.2</v>
      </c>
      <c r="X1812" s="4">
        <v>234.24</v>
      </c>
      <c r="Y1812" s="4"/>
      <c r="Z1812" s="4">
        <v>430.49583108604207</v>
      </c>
      <c r="AA1812" s="4">
        <v>247.48951138739608</v>
      </c>
      <c r="AB1812" s="4">
        <v>0</v>
      </c>
      <c r="AC1812" s="4">
        <v>-54559.042799999996</v>
      </c>
      <c r="AD1812" s="4">
        <v>-36914.81856</v>
      </c>
      <c r="AE1812" s="4">
        <v>0</v>
      </c>
      <c r="AF1812" s="4">
        <v>-67843.560004173705</v>
      </c>
      <c r="AG1812" s="4">
        <v>-39002.862057585298</v>
      </c>
    </row>
    <row r="1813" spans="1:33" ht="11.25" customHeight="1" x14ac:dyDescent="0.25">
      <c r="A1813" s="3" t="s">
        <v>28</v>
      </c>
      <c r="B1813" s="3" t="s">
        <v>37</v>
      </c>
      <c r="C1813" s="3" t="s">
        <v>23</v>
      </c>
      <c r="D1813" s="3" t="s">
        <v>46</v>
      </c>
      <c r="E1813" s="3" t="s">
        <v>25</v>
      </c>
      <c r="F1813" s="3" t="s">
        <v>25</v>
      </c>
      <c r="G1813" s="3" t="s">
        <v>25</v>
      </c>
      <c r="H1813" s="3" t="s">
        <v>25</v>
      </c>
      <c r="I1813" s="6">
        <v>44409</v>
      </c>
      <c r="J1813" s="4">
        <v>0</v>
      </c>
      <c r="K1813" s="4">
        <v>0</v>
      </c>
      <c r="L1813" s="4">
        <v>4.55</v>
      </c>
      <c r="M1813" s="4">
        <v>4.55</v>
      </c>
      <c r="N1813" s="4">
        <v>4.55</v>
      </c>
      <c r="O1813" s="4">
        <v>4.55</v>
      </c>
      <c r="P1813" s="4">
        <v>14</v>
      </c>
      <c r="Q1813" s="3" t="s">
        <v>26</v>
      </c>
      <c r="R1813" s="3">
        <v>0</v>
      </c>
      <c r="S1813" s="4">
        <v>0</v>
      </c>
      <c r="T1813" s="4">
        <v>84</v>
      </c>
      <c r="U1813" s="4">
        <v>7</v>
      </c>
      <c r="V1813" s="4">
        <v>0</v>
      </c>
      <c r="W1813" s="4">
        <v>346.2</v>
      </c>
      <c r="X1813" s="4">
        <v>234.24</v>
      </c>
      <c r="Y1813" s="4"/>
      <c r="Z1813" s="4">
        <v>430.49583108604207</v>
      </c>
      <c r="AA1813" s="4">
        <v>247.48951138739608</v>
      </c>
      <c r="AB1813" s="4">
        <v>0</v>
      </c>
      <c r="AC1813" s="4">
        <v>1575.2099999999998</v>
      </c>
      <c r="AD1813" s="4">
        <v>1065.7919999999999</v>
      </c>
      <c r="AE1813" s="4">
        <v>0</v>
      </c>
      <c r="AF1813" s="4">
        <v>1958.7560314414914</v>
      </c>
      <c r="AG1813" s="4">
        <v>1126.0772768126521</v>
      </c>
    </row>
    <row r="1814" spans="1:33" ht="11.25" customHeight="1" x14ac:dyDescent="0.25">
      <c r="A1814" s="3" t="s">
        <v>21</v>
      </c>
      <c r="B1814" s="3" t="s">
        <v>37</v>
      </c>
      <c r="C1814" s="3" t="s">
        <v>23</v>
      </c>
      <c r="D1814" s="3" t="s">
        <v>46</v>
      </c>
      <c r="E1814" s="3" t="s">
        <v>25</v>
      </c>
      <c r="F1814" s="3" t="s">
        <v>25</v>
      </c>
      <c r="G1814" s="3" t="s">
        <v>25</v>
      </c>
      <c r="H1814" s="3" t="s">
        <v>25</v>
      </c>
      <c r="I1814" s="6">
        <v>44440</v>
      </c>
      <c r="J1814" s="4">
        <v>0</v>
      </c>
      <c r="K1814" s="4">
        <v>0</v>
      </c>
      <c r="L1814" s="4">
        <v>3355.174</v>
      </c>
      <c r="M1814" s="4">
        <v>3355.174</v>
      </c>
      <c r="N1814" s="4">
        <v>3355.174</v>
      </c>
      <c r="O1814" s="4">
        <v>3355.174</v>
      </c>
      <c r="P1814" s="4">
        <v>5223</v>
      </c>
      <c r="Q1814" s="3" t="s">
        <v>26</v>
      </c>
      <c r="R1814" s="3">
        <v>0</v>
      </c>
      <c r="S1814" s="4">
        <v>0</v>
      </c>
      <c r="T1814" s="4">
        <v>84</v>
      </c>
      <c r="U1814" s="4">
        <v>7</v>
      </c>
      <c r="V1814" s="4">
        <v>0</v>
      </c>
      <c r="W1814" s="4">
        <v>346.2</v>
      </c>
      <c r="X1814" s="4">
        <v>234.24</v>
      </c>
      <c r="Y1814" s="4"/>
      <c r="Z1814" s="4">
        <v>430.49583108604207</v>
      </c>
      <c r="AA1814" s="4">
        <v>247.48951138739608</v>
      </c>
      <c r="AB1814" s="4">
        <v>0</v>
      </c>
      <c r="AC1814" s="4">
        <v>1161561.2387999999</v>
      </c>
      <c r="AD1814" s="4">
        <v>785915.95776000002</v>
      </c>
      <c r="AE1814" s="4">
        <v>0</v>
      </c>
      <c r="AF1814" s="4">
        <v>1444388.4195682802</v>
      </c>
      <c r="AG1814" s="4">
        <v>830370.37387969519</v>
      </c>
    </row>
    <row r="1815" spans="1:33" ht="11.25" customHeight="1" x14ac:dyDescent="0.25">
      <c r="A1815" s="3" t="s">
        <v>28</v>
      </c>
      <c r="B1815" s="3" t="s">
        <v>37</v>
      </c>
      <c r="C1815" s="3" t="s">
        <v>23</v>
      </c>
      <c r="D1815" s="3" t="s">
        <v>46</v>
      </c>
      <c r="E1815" s="3" t="s">
        <v>25</v>
      </c>
      <c r="F1815" s="3" t="s">
        <v>25</v>
      </c>
      <c r="G1815" s="3" t="s">
        <v>25</v>
      </c>
      <c r="H1815" s="3" t="s">
        <v>25</v>
      </c>
      <c r="I1815" s="6">
        <v>44440</v>
      </c>
      <c r="J1815" s="4">
        <v>0</v>
      </c>
      <c r="K1815" s="4">
        <v>0</v>
      </c>
      <c r="L1815" s="4">
        <v>4.6550000000000002</v>
      </c>
      <c r="M1815" s="4">
        <v>4.6550000000000002</v>
      </c>
      <c r="N1815" s="4">
        <v>4.6550000000000002</v>
      </c>
      <c r="O1815" s="4">
        <v>4.6550000000000002</v>
      </c>
      <c r="P1815" s="4">
        <v>15</v>
      </c>
      <c r="Q1815" s="3" t="s">
        <v>26</v>
      </c>
      <c r="R1815" s="3">
        <v>0</v>
      </c>
      <c r="S1815" s="4">
        <v>0</v>
      </c>
      <c r="T1815" s="4">
        <v>84</v>
      </c>
      <c r="U1815" s="4">
        <v>7</v>
      </c>
      <c r="V1815" s="4">
        <v>0</v>
      </c>
      <c r="W1815" s="4">
        <v>346.2</v>
      </c>
      <c r="X1815" s="4">
        <v>234.24</v>
      </c>
      <c r="Y1815" s="4"/>
      <c r="Z1815" s="4">
        <v>430.49583108604207</v>
      </c>
      <c r="AA1815" s="4">
        <v>247.48951138739608</v>
      </c>
      <c r="AB1815" s="4">
        <v>0</v>
      </c>
      <c r="AC1815" s="4">
        <v>1611.5609999999999</v>
      </c>
      <c r="AD1815" s="4">
        <v>1090.3872000000001</v>
      </c>
      <c r="AE1815" s="4">
        <v>0</v>
      </c>
      <c r="AF1815" s="4">
        <v>2003.9580937055259</v>
      </c>
      <c r="AG1815" s="4">
        <v>1152.0636755083287</v>
      </c>
    </row>
    <row r="1816" spans="1:33" ht="11.25" customHeight="1" x14ac:dyDescent="0.25">
      <c r="A1816" s="3" t="s">
        <v>21</v>
      </c>
      <c r="B1816" s="3" t="s">
        <v>37</v>
      </c>
      <c r="C1816" s="3" t="s">
        <v>23</v>
      </c>
      <c r="D1816" s="3" t="s">
        <v>46</v>
      </c>
      <c r="E1816" s="3" t="s">
        <v>25</v>
      </c>
      <c r="F1816" s="3" t="s">
        <v>25</v>
      </c>
      <c r="G1816" s="3" t="s">
        <v>25</v>
      </c>
      <c r="H1816" s="3" t="s">
        <v>25</v>
      </c>
      <c r="I1816" s="6">
        <v>44470</v>
      </c>
      <c r="J1816" s="4">
        <v>0</v>
      </c>
      <c r="K1816" s="4">
        <v>0</v>
      </c>
      <c r="L1816" s="4">
        <v>3832.8040000000001</v>
      </c>
      <c r="M1816" s="4">
        <v>3832.8040000000001</v>
      </c>
      <c r="N1816" s="4">
        <v>3832.8040000000001</v>
      </c>
      <c r="O1816" s="4">
        <v>3832.8040000000001</v>
      </c>
      <c r="P1816" s="4">
        <v>5195</v>
      </c>
      <c r="Q1816" s="3" t="s">
        <v>26</v>
      </c>
      <c r="R1816" s="3">
        <v>0</v>
      </c>
      <c r="S1816" s="4">
        <v>0</v>
      </c>
      <c r="T1816" s="4">
        <v>84</v>
      </c>
      <c r="U1816" s="4">
        <v>7</v>
      </c>
      <c r="V1816" s="4">
        <v>0</v>
      </c>
      <c r="W1816" s="4">
        <v>346.2</v>
      </c>
      <c r="X1816" s="4">
        <v>234.24</v>
      </c>
      <c r="Y1816" s="4"/>
      <c r="Z1816" s="4">
        <v>430.49583108604207</v>
      </c>
      <c r="AA1816" s="4">
        <v>247.48951138739608</v>
      </c>
      <c r="AB1816" s="4">
        <v>0</v>
      </c>
      <c r="AC1816" s="4">
        <v>1326916.7448</v>
      </c>
      <c r="AD1816" s="4">
        <v>897796.00896000001</v>
      </c>
      <c r="AE1816" s="4">
        <v>0</v>
      </c>
      <c r="AF1816" s="4">
        <v>1650006.1433699063</v>
      </c>
      <c r="AG1816" s="4">
        <v>948578.7892036573</v>
      </c>
    </row>
    <row r="1817" spans="1:33" ht="11.25" customHeight="1" x14ac:dyDescent="0.25">
      <c r="A1817" s="3" t="s">
        <v>28</v>
      </c>
      <c r="B1817" s="3" t="s">
        <v>37</v>
      </c>
      <c r="C1817" s="3" t="s">
        <v>23</v>
      </c>
      <c r="D1817" s="3" t="s">
        <v>46</v>
      </c>
      <c r="E1817" s="3" t="s">
        <v>25</v>
      </c>
      <c r="F1817" s="3" t="s">
        <v>25</v>
      </c>
      <c r="G1817" s="3" t="s">
        <v>25</v>
      </c>
      <c r="H1817" s="3" t="s">
        <v>25</v>
      </c>
      <c r="I1817" s="6">
        <v>44470</v>
      </c>
      <c r="J1817" s="4">
        <v>0</v>
      </c>
      <c r="K1817" s="4">
        <v>0</v>
      </c>
      <c r="L1817" s="4">
        <v>4.8730000000000002</v>
      </c>
      <c r="M1817" s="4">
        <v>4.8730000000000002</v>
      </c>
      <c r="N1817" s="4">
        <v>4.8730000000000002</v>
      </c>
      <c r="O1817" s="4">
        <v>4.8730000000000002</v>
      </c>
      <c r="P1817" s="4">
        <v>15</v>
      </c>
      <c r="Q1817" s="3" t="s">
        <v>26</v>
      </c>
      <c r="R1817" s="3">
        <v>0</v>
      </c>
      <c r="S1817" s="4">
        <v>0</v>
      </c>
      <c r="T1817" s="4">
        <v>84</v>
      </c>
      <c r="U1817" s="4">
        <v>7</v>
      </c>
      <c r="V1817" s="4">
        <v>0</v>
      </c>
      <c r="W1817" s="4">
        <v>346.2</v>
      </c>
      <c r="X1817" s="4">
        <v>234.24</v>
      </c>
      <c r="Y1817" s="4"/>
      <c r="Z1817" s="4">
        <v>430.49583108604207</v>
      </c>
      <c r="AA1817" s="4">
        <v>247.48951138739608</v>
      </c>
      <c r="AB1817" s="4">
        <v>0</v>
      </c>
      <c r="AC1817" s="4">
        <v>1687.0326</v>
      </c>
      <c r="AD1817" s="4">
        <v>1141.4515200000001</v>
      </c>
      <c r="AE1817" s="4">
        <v>0</v>
      </c>
      <c r="AF1817" s="4">
        <v>2097.8061848822831</v>
      </c>
      <c r="AG1817" s="4">
        <v>1206.0163889907813</v>
      </c>
    </row>
    <row r="1818" spans="1:33" ht="11.25" customHeight="1" x14ac:dyDescent="0.25">
      <c r="A1818" s="3" t="s">
        <v>21</v>
      </c>
      <c r="B1818" s="3" t="s">
        <v>37</v>
      </c>
      <c r="C1818" s="3" t="s">
        <v>23</v>
      </c>
      <c r="D1818" s="3" t="s">
        <v>46</v>
      </c>
      <c r="E1818" s="3" t="s">
        <v>25</v>
      </c>
      <c r="F1818" s="3" t="s">
        <v>25</v>
      </c>
      <c r="G1818" s="3" t="s">
        <v>25</v>
      </c>
      <c r="H1818" s="3" t="s">
        <v>25</v>
      </c>
      <c r="I1818" s="6">
        <v>44501</v>
      </c>
      <c r="J1818" s="4">
        <v>0</v>
      </c>
      <c r="K1818" s="4">
        <v>0</v>
      </c>
      <c r="L1818" s="4">
        <v>3970.9969999999998</v>
      </c>
      <c r="M1818" s="4">
        <v>3970.9969999999998</v>
      </c>
      <c r="N1818" s="4">
        <v>3970.9969999999998</v>
      </c>
      <c r="O1818" s="4">
        <v>3970.9969999999998</v>
      </c>
      <c r="P1818" s="4">
        <v>5077</v>
      </c>
      <c r="Q1818" s="3" t="s">
        <v>26</v>
      </c>
      <c r="R1818" s="3">
        <v>0</v>
      </c>
      <c r="S1818" s="4">
        <v>0</v>
      </c>
      <c r="T1818" s="4">
        <v>84</v>
      </c>
      <c r="U1818" s="4">
        <v>7</v>
      </c>
      <c r="V1818" s="4">
        <v>0</v>
      </c>
      <c r="W1818" s="4">
        <v>346.2</v>
      </c>
      <c r="X1818" s="4">
        <v>234.24</v>
      </c>
      <c r="Y1818" s="4"/>
      <c r="Z1818" s="4">
        <v>430.49583108604207</v>
      </c>
      <c r="AA1818" s="4">
        <v>247.48951138739608</v>
      </c>
      <c r="AB1818" s="4">
        <v>0</v>
      </c>
      <c r="AC1818" s="4">
        <v>1374759.1613999999</v>
      </c>
      <c r="AD1818" s="4">
        <v>930166.33727999998</v>
      </c>
      <c r="AE1818" s="4">
        <v>0</v>
      </c>
      <c r="AF1818" s="4">
        <v>1709497.6537551798</v>
      </c>
      <c r="AG1818" s="4">
        <v>982780.10725081561</v>
      </c>
    </row>
    <row r="1819" spans="1:33" ht="11.25" customHeight="1" x14ac:dyDescent="0.25">
      <c r="A1819" s="3" t="s">
        <v>28</v>
      </c>
      <c r="B1819" s="3" t="s">
        <v>37</v>
      </c>
      <c r="C1819" s="3" t="s">
        <v>23</v>
      </c>
      <c r="D1819" s="3" t="s">
        <v>46</v>
      </c>
      <c r="E1819" s="3" t="s">
        <v>25</v>
      </c>
      <c r="F1819" s="3" t="s">
        <v>25</v>
      </c>
      <c r="G1819" s="3" t="s">
        <v>25</v>
      </c>
      <c r="H1819" s="3" t="s">
        <v>25</v>
      </c>
      <c r="I1819" s="6">
        <v>44501</v>
      </c>
      <c r="J1819" s="4">
        <v>0</v>
      </c>
      <c r="K1819" s="4">
        <v>0</v>
      </c>
      <c r="L1819" s="4">
        <v>5.6479999999999997</v>
      </c>
      <c r="M1819" s="4">
        <v>5.6479999999999997</v>
      </c>
      <c r="N1819" s="4">
        <v>5.6479999999999997</v>
      </c>
      <c r="O1819" s="4">
        <v>5.6479999999999997</v>
      </c>
      <c r="P1819" s="4">
        <v>15</v>
      </c>
      <c r="Q1819" s="3" t="s">
        <v>26</v>
      </c>
      <c r="R1819" s="3">
        <v>0</v>
      </c>
      <c r="S1819" s="4">
        <v>0</v>
      </c>
      <c r="T1819" s="4">
        <v>84</v>
      </c>
      <c r="U1819" s="4">
        <v>7</v>
      </c>
      <c r="V1819" s="4">
        <v>0</v>
      </c>
      <c r="W1819" s="4">
        <v>346.2</v>
      </c>
      <c r="X1819" s="4">
        <v>234.24</v>
      </c>
      <c r="Y1819" s="4"/>
      <c r="Z1819" s="4">
        <v>430.49583108604207</v>
      </c>
      <c r="AA1819" s="4">
        <v>247.48951138739608</v>
      </c>
      <c r="AB1819" s="4">
        <v>0</v>
      </c>
      <c r="AC1819" s="4">
        <v>1955.3375999999998</v>
      </c>
      <c r="AD1819" s="4">
        <v>1322.9875199999999</v>
      </c>
      <c r="AE1819" s="4">
        <v>0</v>
      </c>
      <c r="AF1819" s="4">
        <v>2431.4404539739653</v>
      </c>
      <c r="AG1819" s="4">
        <v>1397.8207603160129</v>
      </c>
    </row>
    <row r="1820" spans="1:33" ht="11.25" customHeight="1" x14ac:dyDescent="0.25">
      <c r="A1820" s="3" t="s">
        <v>21</v>
      </c>
      <c r="B1820" s="3" t="s">
        <v>37</v>
      </c>
      <c r="C1820" s="3" t="s">
        <v>23</v>
      </c>
      <c r="D1820" s="3" t="s">
        <v>46</v>
      </c>
      <c r="E1820" s="3" t="s">
        <v>25</v>
      </c>
      <c r="F1820" s="3" t="s">
        <v>25</v>
      </c>
      <c r="G1820" s="3" t="s">
        <v>25</v>
      </c>
      <c r="H1820" s="3" t="s">
        <v>25</v>
      </c>
      <c r="I1820" s="6">
        <v>44531</v>
      </c>
      <c r="J1820" s="4">
        <v>0</v>
      </c>
      <c r="K1820" s="4">
        <v>0</v>
      </c>
      <c r="L1820" s="4">
        <v>4347.5320000000002</v>
      </c>
      <c r="M1820" s="4">
        <v>4347.5320000000002</v>
      </c>
      <c r="N1820" s="4">
        <v>4347.5320000000002</v>
      </c>
      <c r="O1820" s="4">
        <v>4347.5320000000002</v>
      </c>
      <c r="P1820" s="4">
        <v>4965</v>
      </c>
      <c r="Q1820" s="3" t="s">
        <v>26</v>
      </c>
      <c r="R1820" s="3">
        <v>0</v>
      </c>
      <c r="S1820" s="4">
        <v>0</v>
      </c>
      <c r="T1820" s="4">
        <v>84</v>
      </c>
      <c r="U1820" s="4">
        <v>7</v>
      </c>
      <c r="V1820" s="4">
        <v>0</v>
      </c>
      <c r="W1820" s="4">
        <v>346.2</v>
      </c>
      <c r="X1820" s="4">
        <v>234.24</v>
      </c>
      <c r="Y1820" s="4"/>
      <c r="Z1820" s="4">
        <v>430.49583108604207</v>
      </c>
      <c r="AA1820" s="4">
        <v>247.48951138739608</v>
      </c>
      <c r="AB1820" s="4">
        <v>0</v>
      </c>
      <c r="AC1820" s="4">
        <v>1505115.5784</v>
      </c>
      <c r="AD1820" s="4">
        <v>1018365.8956800001</v>
      </c>
      <c r="AE1820" s="4">
        <v>0</v>
      </c>
      <c r="AF1820" s="4">
        <v>1871594.4015131628</v>
      </c>
      <c r="AG1820" s="4">
        <v>1075968.5704210689</v>
      </c>
    </row>
    <row r="1821" spans="1:33" ht="11.25" customHeight="1" x14ac:dyDescent="0.25">
      <c r="A1821" s="3" t="s">
        <v>27</v>
      </c>
      <c r="B1821" s="3" t="s">
        <v>37</v>
      </c>
      <c r="C1821" s="3" t="s">
        <v>23</v>
      </c>
      <c r="D1821" s="3" t="s">
        <v>46</v>
      </c>
      <c r="E1821" s="3" t="s">
        <v>25</v>
      </c>
      <c r="F1821" s="3" t="s">
        <v>25</v>
      </c>
      <c r="G1821" s="3" t="s">
        <v>25</v>
      </c>
      <c r="H1821" s="3" t="s">
        <v>25</v>
      </c>
      <c r="I1821" s="6">
        <v>44531</v>
      </c>
      <c r="J1821" s="4">
        <v>0</v>
      </c>
      <c r="K1821" s="4">
        <v>0</v>
      </c>
      <c r="L1821" s="4">
        <v>-64.213999999999999</v>
      </c>
      <c r="M1821" s="4">
        <v>-64.213999999999999</v>
      </c>
      <c r="N1821" s="4">
        <v>-64.213999999999999</v>
      </c>
      <c r="O1821" s="4">
        <v>-64.213999999999999</v>
      </c>
      <c r="P1821" s="4">
        <v>-5</v>
      </c>
      <c r="Q1821" s="3" t="s">
        <v>26</v>
      </c>
      <c r="R1821" s="3">
        <v>0</v>
      </c>
      <c r="S1821" s="4">
        <v>0</v>
      </c>
      <c r="T1821" s="4">
        <v>84</v>
      </c>
      <c r="U1821" s="4">
        <v>7</v>
      </c>
      <c r="V1821" s="4">
        <v>0</v>
      </c>
      <c r="W1821" s="4">
        <v>346.2</v>
      </c>
      <c r="X1821" s="4">
        <v>234.24</v>
      </c>
      <c r="Y1821" s="4"/>
      <c r="Z1821" s="4">
        <v>430.49583108604207</v>
      </c>
      <c r="AA1821" s="4">
        <v>247.48951138739608</v>
      </c>
      <c r="AB1821" s="4">
        <v>0</v>
      </c>
      <c r="AC1821" s="4">
        <v>-22230.8868</v>
      </c>
      <c r="AD1821" s="4">
        <v>-15041.487360000001</v>
      </c>
      <c r="AE1821" s="4">
        <v>0</v>
      </c>
      <c r="AF1821" s="4">
        <v>-27643.859297359104</v>
      </c>
      <c r="AG1821" s="4">
        <v>-15892.291484230251</v>
      </c>
    </row>
    <row r="1822" spans="1:33" ht="11.25" customHeight="1" x14ac:dyDescent="0.25">
      <c r="A1822" s="3" t="s">
        <v>28</v>
      </c>
      <c r="B1822" s="3" t="s">
        <v>37</v>
      </c>
      <c r="C1822" s="3" t="s">
        <v>23</v>
      </c>
      <c r="D1822" s="3" t="s">
        <v>46</v>
      </c>
      <c r="E1822" s="3" t="s">
        <v>25</v>
      </c>
      <c r="F1822" s="3" t="s">
        <v>25</v>
      </c>
      <c r="G1822" s="3" t="s">
        <v>25</v>
      </c>
      <c r="H1822" s="3" t="s">
        <v>25</v>
      </c>
      <c r="I1822" s="6">
        <v>44531</v>
      </c>
      <c r="J1822" s="4">
        <v>0</v>
      </c>
      <c r="K1822" s="4">
        <v>0</v>
      </c>
      <c r="L1822" s="4">
        <v>5.9720000000000004</v>
      </c>
      <c r="M1822" s="4">
        <v>5.9720000000000004</v>
      </c>
      <c r="N1822" s="4">
        <v>5.9720000000000004</v>
      </c>
      <c r="O1822" s="4">
        <v>5.9720000000000004</v>
      </c>
      <c r="P1822" s="4">
        <v>15</v>
      </c>
      <c r="Q1822" s="3" t="s">
        <v>26</v>
      </c>
      <c r="R1822" s="3">
        <v>0</v>
      </c>
      <c r="S1822" s="4">
        <v>0</v>
      </c>
      <c r="T1822" s="4">
        <v>84</v>
      </c>
      <c r="U1822" s="4">
        <v>7</v>
      </c>
      <c r="V1822" s="4">
        <v>0</v>
      </c>
      <c r="W1822" s="4">
        <v>346.2</v>
      </c>
      <c r="X1822" s="4">
        <v>234.24</v>
      </c>
      <c r="Y1822" s="4"/>
      <c r="Z1822" s="4">
        <v>430.49583108604207</v>
      </c>
      <c r="AA1822" s="4">
        <v>247.48951138739608</v>
      </c>
      <c r="AB1822" s="4">
        <v>0</v>
      </c>
      <c r="AC1822" s="4">
        <v>2067.5064000000002</v>
      </c>
      <c r="AD1822" s="4">
        <v>1398.8812800000001</v>
      </c>
      <c r="AE1822" s="4">
        <v>0</v>
      </c>
      <c r="AF1822" s="4">
        <v>2570.9211032458434</v>
      </c>
      <c r="AG1822" s="4">
        <v>1478.0073620055296</v>
      </c>
    </row>
    <row r="1823" spans="1:33" ht="11.25" customHeight="1" x14ac:dyDescent="0.25">
      <c r="A1823" s="3" t="s">
        <v>21</v>
      </c>
      <c r="B1823" s="3" t="s">
        <v>37</v>
      </c>
      <c r="C1823" s="3" t="s">
        <v>23</v>
      </c>
      <c r="D1823" s="3" t="s">
        <v>46</v>
      </c>
      <c r="E1823" s="3" t="s">
        <v>25</v>
      </c>
      <c r="F1823" s="3" t="s">
        <v>25</v>
      </c>
      <c r="G1823" s="3" t="s">
        <v>25</v>
      </c>
      <c r="H1823" s="3" t="s">
        <v>25</v>
      </c>
      <c r="I1823" s="6">
        <v>44562</v>
      </c>
      <c r="J1823" s="4">
        <v>0</v>
      </c>
      <c r="K1823" s="4">
        <v>0</v>
      </c>
      <c r="L1823" s="4">
        <v>3783.2919999999999</v>
      </c>
      <c r="M1823" s="4">
        <v>3783.2919999999999</v>
      </c>
      <c r="N1823" s="4">
        <v>3783.2919999999999</v>
      </c>
      <c r="O1823" s="4">
        <v>3783.2919999999999</v>
      </c>
      <c r="P1823" s="4">
        <v>4948</v>
      </c>
      <c r="Q1823" s="3" t="s">
        <v>26</v>
      </c>
      <c r="R1823" s="3">
        <v>0</v>
      </c>
      <c r="S1823" s="4">
        <v>0</v>
      </c>
      <c r="T1823" s="4">
        <v>84</v>
      </c>
      <c r="U1823" s="4">
        <v>7</v>
      </c>
      <c r="V1823" s="4">
        <v>0</v>
      </c>
      <c r="W1823" s="4">
        <v>346.2</v>
      </c>
      <c r="X1823" s="4">
        <v>234.24</v>
      </c>
      <c r="Y1823" s="4"/>
      <c r="Z1823" s="4">
        <v>430.49583108604207</v>
      </c>
      <c r="AA1823" s="4">
        <v>247.48951138739608</v>
      </c>
      <c r="AB1823" s="4">
        <v>0</v>
      </c>
      <c r="AC1823" s="4">
        <v>1309775.6904</v>
      </c>
      <c r="AD1823" s="4">
        <v>886198.31808</v>
      </c>
      <c r="AE1823" s="4">
        <v>0</v>
      </c>
      <c r="AF1823" s="4">
        <v>1628691.4337811742</v>
      </c>
      <c r="AG1823" s="4">
        <v>936325.08851584443</v>
      </c>
    </row>
    <row r="1824" spans="1:33" ht="11.25" customHeight="1" x14ac:dyDescent="0.25">
      <c r="A1824" s="3" t="s">
        <v>27</v>
      </c>
      <c r="B1824" s="3" t="s">
        <v>37</v>
      </c>
      <c r="C1824" s="3" t="s">
        <v>23</v>
      </c>
      <c r="D1824" s="3" t="s">
        <v>46</v>
      </c>
      <c r="E1824" s="3" t="s">
        <v>25</v>
      </c>
      <c r="F1824" s="3" t="s">
        <v>25</v>
      </c>
      <c r="G1824" s="3" t="s">
        <v>25</v>
      </c>
      <c r="H1824" s="3" t="s">
        <v>25</v>
      </c>
      <c r="I1824" s="6">
        <v>44562</v>
      </c>
      <c r="J1824" s="4">
        <v>0</v>
      </c>
      <c r="K1824" s="4">
        <v>0</v>
      </c>
      <c r="L1824" s="4">
        <v>-9.09</v>
      </c>
      <c r="M1824" s="4">
        <v>-9.09</v>
      </c>
      <c r="N1824" s="4">
        <v>-9.09</v>
      </c>
      <c r="O1824" s="4">
        <v>-9.09</v>
      </c>
      <c r="P1824" s="4">
        <v>-7</v>
      </c>
      <c r="Q1824" s="3" t="s">
        <v>26</v>
      </c>
      <c r="R1824" s="3">
        <v>0</v>
      </c>
      <c r="S1824" s="4">
        <v>0</v>
      </c>
      <c r="T1824" s="4">
        <v>84</v>
      </c>
      <c r="U1824" s="4">
        <v>7</v>
      </c>
      <c r="V1824" s="4">
        <v>0</v>
      </c>
      <c r="W1824" s="4">
        <v>346.2</v>
      </c>
      <c r="X1824" s="4">
        <v>234.24</v>
      </c>
      <c r="Y1824" s="4"/>
      <c r="Z1824" s="4">
        <v>430.49583108604207</v>
      </c>
      <c r="AA1824" s="4">
        <v>247.48951138739608</v>
      </c>
      <c r="AB1824" s="4">
        <v>0</v>
      </c>
      <c r="AC1824" s="4">
        <v>-3146.9579999999996</v>
      </c>
      <c r="AD1824" s="4">
        <v>-2129.2415999999998</v>
      </c>
      <c r="AE1824" s="4">
        <v>0</v>
      </c>
      <c r="AF1824" s="4">
        <v>-3913.2071045721223</v>
      </c>
      <c r="AG1824" s="4">
        <v>-2249.6796585114303</v>
      </c>
    </row>
    <row r="1825" spans="1:33" ht="11.25" customHeight="1" x14ac:dyDescent="0.25">
      <c r="A1825" s="3" t="s">
        <v>28</v>
      </c>
      <c r="B1825" s="3" t="s">
        <v>37</v>
      </c>
      <c r="C1825" s="3" t="s">
        <v>23</v>
      </c>
      <c r="D1825" s="3" t="s">
        <v>46</v>
      </c>
      <c r="E1825" s="3" t="s">
        <v>25</v>
      </c>
      <c r="F1825" s="3" t="s">
        <v>25</v>
      </c>
      <c r="G1825" s="3" t="s">
        <v>25</v>
      </c>
      <c r="H1825" s="3" t="s">
        <v>25</v>
      </c>
      <c r="I1825" s="6">
        <v>44562</v>
      </c>
      <c r="J1825" s="4">
        <v>0</v>
      </c>
      <c r="K1825" s="4">
        <v>0</v>
      </c>
      <c r="L1825" s="4">
        <v>5.0510000000000002</v>
      </c>
      <c r="M1825" s="4">
        <v>5.0510000000000002</v>
      </c>
      <c r="N1825" s="4">
        <v>5.0510000000000002</v>
      </c>
      <c r="O1825" s="4">
        <v>5.0510000000000002</v>
      </c>
      <c r="P1825" s="4">
        <v>15</v>
      </c>
      <c r="Q1825" s="3" t="s">
        <v>26</v>
      </c>
      <c r="R1825" s="3">
        <v>0</v>
      </c>
      <c r="S1825" s="4">
        <v>0</v>
      </c>
      <c r="T1825" s="4">
        <v>84</v>
      </c>
      <c r="U1825" s="4">
        <v>7</v>
      </c>
      <c r="V1825" s="4">
        <v>0</v>
      </c>
      <c r="W1825" s="4">
        <v>346.2</v>
      </c>
      <c r="X1825" s="4">
        <v>234.24</v>
      </c>
      <c r="Y1825" s="4"/>
      <c r="Z1825" s="4">
        <v>430.49583108604207</v>
      </c>
      <c r="AA1825" s="4">
        <v>247.48951138739608</v>
      </c>
      <c r="AB1825" s="4">
        <v>0</v>
      </c>
      <c r="AC1825" s="4">
        <v>1748.6561999999999</v>
      </c>
      <c r="AD1825" s="4">
        <v>1183.14624</v>
      </c>
      <c r="AE1825" s="4">
        <v>0</v>
      </c>
      <c r="AF1825" s="4">
        <v>2174.4344428155987</v>
      </c>
      <c r="AG1825" s="4">
        <v>1250.0695220177377</v>
      </c>
    </row>
    <row r="1826" spans="1:33" ht="11.25" customHeight="1" x14ac:dyDescent="0.25">
      <c r="A1826" s="3" t="s">
        <v>21</v>
      </c>
      <c r="B1826" s="3" t="s">
        <v>37</v>
      </c>
      <c r="C1826" s="3" t="s">
        <v>23</v>
      </c>
      <c r="D1826" s="3" t="s">
        <v>46</v>
      </c>
      <c r="E1826" s="3" t="s">
        <v>25</v>
      </c>
      <c r="F1826" s="3" t="s">
        <v>25</v>
      </c>
      <c r="G1826" s="3" t="s">
        <v>25</v>
      </c>
      <c r="H1826" s="3" t="s">
        <v>25</v>
      </c>
      <c r="I1826" s="6">
        <v>44593</v>
      </c>
      <c r="J1826" s="4">
        <v>0</v>
      </c>
      <c r="K1826" s="4">
        <v>0</v>
      </c>
      <c r="L1826" s="4">
        <v>3837.9850000000001</v>
      </c>
      <c r="M1826" s="4">
        <v>3837.9850000000001</v>
      </c>
      <c r="N1826" s="4">
        <v>3837.9850000000001</v>
      </c>
      <c r="O1826" s="4">
        <v>3837.9850000000001</v>
      </c>
      <c r="P1826" s="4">
        <v>4930</v>
      </c>
      <c r="Q1826" s="3" t="s">
        <v>26</v>
      </c>
      <c r="R1826" s="3">
        <v>0</v>
      </c>
      <c r="S1826" s="4">
        <v>0</v>
      </c>
      <c r="T1826" s="4">
        <v>84</v>
      </c>
      <c r="U1826" s="4">
        <v>7</v>
      </c>
      <c r="V1826" s="4">
        <v>0</v>
      </c>
      <c r="W1826" s="4">
        <v>346.2</v>
      </c>
      <c r="X1826" s="4">
        <v>234.24</v>
      </c>
      <c r="Y1826" s="4"/>
      <c r="Z1826" s="4">
        <v>430.49583108604207</v>
      </c>
      <c r="AA1826" s="4">
        <v>247.48951138739608</v>
      </c>
      <c r="AB1826" s="4">
        <v>0</v>
      </c>
      <c r="AC1826" s="4">
        <v>1328710.4069999999</v>
      </c>
      <c r="AD1826" s="4">
        <v>899009.60640000005</v>
      </c>
      <c r="AE1826" s="4">
        <v>0</v>
      </c>
      <c r="AF1826" s="4">
        <v>1652236.5422707633</v>
      </c>
      <c r="AG1826" s="4">
        <v>949861.03236215538</v>
      </c>
    </row>
    <row r="1827" spans="1:33" ht="11.25" customHeight="1" x14ac:dyDescent="0.25">
      <c r="A1827" s="3" t="s">
        <v>28</v>
      </c>
      <c r="B1827" s="3" t="s">
        <v>37</v>
      </c>
      <c r="C1827" s="3" t="s">
        <v>23</v>
      </c>
      <c r="D1827" s="3" t="s">
        <v>46</v>
      </c>
      <c r="E1827" s="3" t="s">
        <v>25</v>
      </c>
      <c r="F1827" s="3" t="s">
        <v>25</v>
      </c>
      <c r="G1827" s="3" t="s">
        <v>25</v>
      </c>
      <c r="H1827" s="3" t="s">
        <v>25</v>
      </c>
      <c r="I1827" s="6">
        <v>44593</v>
      </c>
      <c r="J1827" s="4">
        <v>0</v>
      </c>
      <c r="K1827" s="4">
        <v>0</v>
      </c>
      <c r="L1827" s="4">
        <v>6.5780000000000003</v>
      </c>
      <c r="M1827" s="4">
        <v>6.5780000000000003</v>
      </c>
      <c r="N1827" s="4">
        <v>6.5780000000000003</v>
      </c>
      <c r="O1827" s="4">
        <v>6.5780000000000003</v>
      </c>
      <c r="P1827" s="4">
        <v>16</v>
      </c>
      <c r="Q1827" s="3" t="s">
        <v>26</v>
      </c>
      <c r="R1827" s="3">
        <v>0</v>
      </c>
      <c r="S1827" s="4">
        <v>0</v>
      </c>
      <c r="T1827" s="4">
        <v>84</v>
      </c>
      <c r="U1827" s="4">
        <v>7</v>
      </c>
      <c r="V1827" s="4">
        <v>0</v>
      </c>
      <c r="W1827" s="4">
        <v>346.2</v>
      </c>
      <c r="X1827" s="4">
        <v>234.24</v>
      </c>
      <c r="Y1827" s="4"/>
      <c r="Z1827" s="4">
        <v>430.49583108604207</v>
      </c>
      <c r="AA1827" s="4">
        <v>247.48951138739608</v>
      </c>
      <c r="AB1827" s="4">
        <v>0</v>
      </c>
      <c r="AC1827" s="4">
        <v>2277.3036000000002</v>
      </c>
      <c r="AD1827" s="4">
        <v>1540.8307200000002</v>
      </c>
      <c r="AE1827" s="4">
        <v>0</v>
      </c>
      <c r="AF1827" s="4">
        <v>2831.801576883985</v>
      </c>
      <c r="AG1827" s="4">
        <v>1627.9860059062914</v>
      </c>
    </row>
    <row r="1828" spans="1:33" ht="11.25" customHeight="1" x14ac:dyDescent="0.25">
      <c r="A1828" s="3" t="s">
        <v>56</v>
      </c>
      <c r="B1828" s="3" t="s">
        <v>37</v>
      </c>
      <c r="C1828" s="3" t="s">
        <v>23</v>
      </c>
      <c r="D1828" s="3" t="s">
        <v>46</v>
      </c>
      <c r="E1828" s="3" t="s">
        <v>25</v>
      </c>
      <c r="F1828" s="3" t="s">
        <v>25</v>
      </c>
      <c r="G1828" s="3" t="s">
        <v>25</v>
      </c>
      <c r="H1828" s="3" t="s">
        <v>25</v>
      </c>
      <c r="I1828" s="6">
        <v>44621</v>
      </c>
      <c r="J1828" s="4">
        <v>0</v>
      </c>
      <c r="K1828" s="4">
        <v>0</v>
      </c>
      <c r="L1828" s="4">
        <v>3837.9850000000001</v>
      </c>
      <c r="M1828" s="4">
        <v>3837.9850000000001</v>
      </c>
      <c r="N1828" s="4">
        <v>3837.9850000000001</v>
      </c>
      <c r="O1828" s="4">
        <v>3837.9850000000001</v>
      </c>
      <c r="P1828" s="4">
        <v>4930</v>
      </c>
      <c r="Q1828" s="3" t="s">
        <v>26</v>
      </c>
      <c r="R1828" s="3">
        <v>0</v>
      </c>
      <c r="S1828" s="4">
        <v>0</v>
      </c>
      <c r="T1828" s="4">
        <v>84</v>
      </c>
      <c r="U1828" s="4">
        <v>7</v>
      </c>
      <c r="V1828" s="4">
        <v>0</v>
      </c>
      <c r="W1828" s="4">
        <v>346.2</v>
      </c>
      <c r="X1828" s="4">
        <v>234.24</v>
      </c>
      <c r="Y1828" s="4"/>
      <c r="Z1828" s="4">
        <v>430.49583108604207</v>
      </c>
      <c r="AA1828" s="4">
        <v>247.48951138739608</v>
      </c>
      <c r="AB1828" s="4">
        <v>0</v>
      </c>
      <c r="AC1828" s="4">
        <v>1328710.4069999999</v>
      </c>
      <c r="AD1828" s="4">
        <v>899009.60640000005</v>
      </c>
      <c r="AE1828" s="4">
        <v>0</v>
      </c>
      <c r="AF1828" s="4">
        <v>1652236.5422707633</v>
      </c>
      <c r="AG1828" s="4">
        <v>949861.03236215538</v>
      </c>
    </row>
    <row r="1829" spans="1:33" ht="11.25" customHeight="1" x14ac:dyDescent="0.25">
      <c r="A1829" s="3" t="s">
        <v>56</v>
      </c>
      <c r="B1829" s="3" t="s">
        <v>37</v>
      </c>
      <c r="C1829" s="3" t="s">
        <v>23</v>
      </c>
      <c r="D1829" s="3" t="s">
        <v>46</v>
      </c>
      <c r="E1829" s="3" t="s">
        <v>25</v>
      </c>
      <c r="F1829" s="3" t="s">
        <v>25</v>
      </c>
      <c r="G1829" s="3" t="s">
        <v>25</v>
      </c>
      <c r="H1829" s="3" t="s">
        <v>25</v>
      </c>
      <c r="I1829" s="6">
        <v>44621</v>
      </c>
      <c r="J1829" s="4">
        <v>0</v>
      </c>
      <c r="K1829" s="4">
        <v>0</v>
      </c>
      <c r="L1829" s="4">
        <v>6.5780000000000003</v>
      </c>
      <c r="M1829" s="4">
        <v>6.5780000000000003</v>
      </c>
      <c r="N1829" s="4">
        <v>6.5780000000000003</v>
      </c>
      <c r="O1829" s="4">
        <v>6.5780000000000003</v>
      </c>
      <c r="P1829" s="4">
        <v>16</v>
      </c>
      <c r="Q1829" s="3" t="s">
        <v>26</v>
      </c>
      <c r="R1829" s="3">
        <v>0</v>
      </c>
      <c r="S1829" s="4">
        <v>0</v>
      </c>
      <c r="T1829" s="4">
        <v>84</v>
      </c>
      <c r="U1829" s="4">
        <v>7</v>
      </c>
      <c r="V1829" s="4">
        <v>0</v>
      </c>
      <c r="W1829" s="4">
        <v>346.2</v>
      </c>
      <c r="X1829" s="4">
        <v>234.24</v>
      </c>
      <c r="Y1829" s="4"/>
      <c r="Z1829" s="4">
        <v>430.49583108604207</v>
      </c>
      <c r="AA1829" s="4">
        <v>247.48951138739608</v>
      </c>
      <c r="AB1829" s="4">
        <v>0</v>
      </c>
      <c r="AC1829" s="4">
        <v>2277.3036000000002</v>
      </c>
      <c r="AD1829" s="4">
        <v>1540.8307200000002</v>
      </c>
      <c r="AE1829" s="4">
        <v>0</v>
      </c>
      <c r="AF1829" s="4">
        <v>2831.801576883985</v>
      </c>
      <c r="AG1829" s="4">
        <v>1627.9860059062914</v>
      </c>
    </row>
    <row r="1830" spans="1:33" ht="11.25" customHeight="1" x14ac:dyDescent="0.25">
      <c r="A1830" s="3" t="s">
        <v>21</v>
      </c>
      <c r="B1830" s="3" t="s">
        <v>37</v>
      </c>
      <c r="C1830" s="3" t="s">
        <v>23</v>
      </c>
      <c r="D1830" s="3" t="s">
        <v>50</v>
      </c>
      <c r="E1830" s="3" t="s">
        <v>51</v>
      </c>
      <c r="F1830" s="3" t="s">
        <v>25</v>
      </c>
      <c r="G1830" s="3" t="s">
        <v>25</v>
      </c>
      <c r="H1830" s="3" t="s">
        <v>25</v>
      </c>
      <c r="I1830" s="6">
        <v>44287</v>
      </c>
      <c r="J1830" s="4">
        <v>0</v>
      </c>
      <c r="K1830" s="56">
        <v>0</v>
      </c>
      <c r="L1830" s="4">
        <v>2222.6619999999998</v>
      </c>
      <c r="M1830" s="56">
        <v>2222.6619999999998</v>
      </c>
      <c r="N1830" s="4">
        <v>2222.6619999999998</v>
      </c>
      <c r="O1830" s="56">
        <v>2222.6619999999998</v>
      </c>
      <c r="P1830" s="4">
        <v>1381</v>
      </c>
      <c r="Q1830" s="3" t="s">
        <v>26</v>
      </c>
      <c r="R1830" s="3">
        <v>0</v>
      </c>
      <c r="S1830" s="4">
        <v>0</v>
      </c>
      <c r="T1830" s="4">
        <v>84</v>
      </c>
      <c r="U1830" s="4">
        <v>7</v>
      </c>
      <c r="V1830" s="56">
        <v>0</v>
      </c>
      <c r="W1830" s="56">
        <v>325.428</v>
      </c>
      <c r="X1830" s="56">
        <v>220.18559999999999</v>
      </c>
      <c r="Y1830" s="56"/>
      <c r="Z1830" s="56">
        <v>417.58095615346082</v>
      </c>
      <c r="AA1830" s="56">
        <v>240.0648260457742</v>
      </c>
      <c r="AB1830" s="4">
        <v>0</v>
      </c>
      <c r="AC1830" s="4">
        <v>723316.4493359999</v>
      </c>
      <c r="AD1830" s="4">
        <v>489398.16606719996</v>
      </c>
      <c r="AE1830" s="4">
        <v>0</v>
      </c>
      <c r="AF1830" s="4">
        <v>928141.3231659634</v>
      </c>
      <c r="AG1830" s="4">
        <v>533582.96638855257</v>
      </c>
    </row>
    <row r="1831" spans="1:33" ht="11.25" customHeight="1" x14ac:dyDescent="0.25">
      <c r="A1831" s="3" t="s">
        <v>21</v>
      </c>
      <c r="B1831" s="3" t="s">
        <v>37</v>
      </c>
      <c r="C1831" s="3" t="s">
        <v>23</v>
      </c>
      <c r="D1831" s="3" t="s">
        <v>50</v>
      </c>
      <c r="E1831" s="3" t="s">
        <v>51</v>
      </c>
      <c r="F1831" s="3" t="s">
        <v>25</v>
      </c>
      <c r="G1831" s="3" t="s">
        <v>25</v>
      </c>
      <c r="H1831" s="3" t="s">
        <v>25</v>
      </c>
      <c r="I1831" s="6">
        <v>44317</v>
      </c>
      <c r="J1831" s="4">
        <v>0</v>
      </c>
      <c r="K1831" s="56">
        <v>0</v>
      </c>
      <c r="L1831" s="4">
        <v>2071.386</v>
      </c>
      <c r="M1831" s="56">
        <v>2071.386</v>
      </c>
      <c r="N1831" s="4">
        <v>2071.386</v>
      </c>
      <c r="O1831" s="56">
        <v>2071.386</v>
      </c>
      <c r="P1831" s="4">
        <v>1384</v>
      </c>
      <c r="Q1831" s="3" t="s">
        <v>26</v>
      </c>
      <c r="R1831" s="3">
        <v>0</v>
      </c>
      <c r="S1831" s="4">
        <v>0</v>
      </c>
      <c r="T1831" s="4">
        <v>84</v>
      </c>
      <c r="U1831" s="4">
        <v>7</v>
      </c>
      <c r="V1831" s="56">
        <v>0</v>
      </c>
      <c r="W1831" s="56">
        <v>325.428</v>
      </c>
      <c r="X1831" s="56">
        <v>220.18559999999999</v>
      </c>
      <c r="Y1831" s="56"/>
      <c r="Z1831" s="56">
        <v>417.58095615346082</v>
      </c>
      <c r="AA1831" s="56">
        <v>240.0648260457742</v>
      </c>
      <c r="AB1831" s="4">
        <v>0</v>
      </c>
      <c r="AC1831" s="4">
        <v>674087.00320799998</v>
      </c>
      <c r="AD1831" s="4">
        <v>456089.36924159998</v>
      </c>
      <c r="AE1831" s="4">
        <v>0</v>
      </c>
      <c r="AF1831" s="4">
        <v>864971.34644289257</v>
      </c>
      <c r="AG1831" s="4">
        <v>497266.91976365203</v>
      </c>
    </row>
    <row r="1832" spans="1:33" ht="11.25" customHeight="1" x14ac:dyDescent="0.25">
      <c r="A1832" s="3" t="s">
        <v>21</v>
      </c>
      <c r="B1832" s="3" t="s">
        <v>37</v>
      </c>
      <c r="C1832" s="3" t="s">
        <v>23</v>
      </c>
      <c r="D1832" s="3" t="s">
        <v>50</v>
      </c>
      <c r="E1832" s="3" t="s">
        <v>51</v>
      </c>
      <c r="F1832" s="3" t="s">
        <v>25</v>
      </c>
      <c r="G1832" s="3" t="s">
        <v>25</v>
      </c>
      <c r="H1832" s="3" t="s">
        <v>25</v>
      </c>
      <c r="I1832" s="6">
        <v>44348</v>
      </c>
      <c r="J1832" s="4">
        <v>0</v>
      </c>
      <c r="K1832" s="56">
        <v>0</v>
      </c>
      <c r="L1832" s="4">
        <v>2112.0059999999999</v>
      </c>
      <c r="M1832" s="56">
        <v>2112.0059999999999</v>
      </c>
      <c r="N1832" s="4">
        <v>2112.0059999999999</v>
      </c>
      <c r="O1832" s="56">
        <v>2112.0059999999999</v>
      </c>
      <c r="P1832" s="4">
        <v>1387</v>
      </c>
      <c r="Q1832" s="3" t="s">
        <v>26</v>
      </c>
      <c r="R1832" s="3">
        <v>0</v>
      </c>
      <c r="S1832" s="4">
        <v>0</v>
      </c>
      <c r="T1832" s="4">
        <v>84</v>
      </c>
      <c r="U1832" s="4">
        <v>7</v>
      </c>
      <c r="V1832" s="56">
        <v>0</v>
      </c>
      <c r="W1832" s="56">
        <v>325.428</v>
      </c>
      <c r="X1832" s="56">
        <v>220.18559999999999</v>
      </c>
      <c r="Y1832" s="56"/>
      <c r="Z1832" s="56">
        <v>417.58095615346082</v>
      </c>
      <c r="AA1832" s="56">
        <v>240.0648260457742</v>
      </c>
      <c r="AB1832" s="4">
        <v>0</v>
      </c>
      <c r="AC1832" s="4">
        <v>687305.88856799994</v>
      </c>
      <c r="AD1832" s="4">
        <v>465033.30831359996</v>
      </c>
      <c r="AE1832" s="4">
        <v>0</v>
      </c>
      <c r="AF1832" s="4">
        <v>881933.48488184612</v>
      </c>
      <c r="AG1832" s="4">
        <v>507018.35299763136</v>
      </c>
    </row>
    <row r="1833" spans="1:33" ht="11.25" customHeight="1" x14ac:dyDescent="0.25">
      <c r="A1833" s="3" t="s">
        <v>21</v>
      </c>
      <c r="B1833" s="3" t="s">
        <v>37</v>
      </c>
      <c r="C1833" s="3" t="s">
        <v>23</v>
      </c>
      <c r="D1833" s="3" t="s">
        <v>50</v>
      </c>
      <c r="E1833" s="3" t="s">
        <v>51</v>
      </c>
      <c r="F1833" s="3" t="s">
        <v>25</v>
      </c>
      <c r="G1833" s="3" t="s">
        <v>25</v>
      </c>
      <c r="H1833" s="3" t="s">
        <v>25</v>
      </c>
      <c r="I1833" s="6">
        <v>44378</v>
      </c>
      <c r="J1833" s="4">
        <v>0</v>
      </c>
      <c r="K1833" s="56">
        <v>0</v>
      </c>
      <c r="L1833" s="4">
        <v>2159.7820000000002</v>
      </c>
      <c r="M1833" s="56">
        <v>2159.7820000000002</v>
      </c>
      <c r="N1833" s="4">
        <v>2159.7820000000002</v>
      </c>
      <c r="O1833" s="56">
        <v>2159.7820000000002</v>
      </c>
      <c r="P1833" s="4">
        <v>1394</v>
      </c>
      <c r="Q1833" s="3" t="s">
        <v>26</v>
      </c>
      <c r="R1833" s="3">
        <v>0</v>
      </c>
      <c r="S1833" s="4">
        <v>0</v>
      </c>
      <c r="T1833" s="4">
        <v>84</v>
      </c>
      <c r="U1833" s="4">
        <v>7</v>
      </c>
      <c r="V1833" s="56">
        <v>0</v>
      </c>
      <c r="W1833" s="56">
        <v>325.428</v>
      </c>
      <c r="X1833" s="56">
        <v>220.18559999999999</v>
      </c>
      <c r="Y1833" s="56"/>
      <c r="Z1833" s="56">
        <v>417.58095615346082</v>
      </c>
      <c r="AA1833" s="56">
        <v>240.0648260457742</v>
      </c>
      <c r="AB1833" s="4">
        <v>0</v>
      </c>
      <c r="AC1833" s="4">
        <v>702853.53669600002</v>
      </c>
      <c r="AD1833" s="4">
        <v>475552.89553919999</v>
      </c>
      <c r="AE1833" s="4">
        <v>0</v>
      </c>
      <c r="AF1833" s="4">
        <v>901883.83264303394</v>
      </c>
      <c r="AG1833" s="4">
        <v>518487.69012679433</v>
      </c>
    </row>
    <row r="1834" spans="1:33" ht="11.25" customHeight="1" x14ac:dyDescent="0.25">
      <c r="A1834" s="3" t="s">
        <v>21</v>
      </c>
      <c r="B1834" s="3" t="s">
        <v>37</v>
      </c>
      <c r="C1834" s="3" t="s">
        <v>23</v>
      </c>
      <c r="D1834" s="3" t="s">
        <v>50</v>
      </c>
      <c r="E1834" s="3" t="s">
        <v>51</v>
      </c>
      <c r="F1834" s="3" t="s">
        <v>25</v>
      </c>
      <c r="G1834" s="3" t="s">
        <v>25</v>
      </c>
      <c r="H1834" s="3" t="s">
        <v>25</v>
      </c>
      <c r="I1834" s="6">
        <v>44409</v>
      </c>
      <c r="J1834" s="4">
        <v>0</v>
      </c>
      <c r="K1834" s="56">
        <v>0</v>
      </c>
      <c r="L1834" s="4">
        <v>2083.1799999999998</v>
      </c>
      <c r="M1834" s="56">
        <v>2083.1799999999998</v>
      </c>
      <c r="N1834" s="4">
        <v>2083.1799999999998</v>
      </c>
      <c r="O1834" s="56">
        <v>2083.1799999999998</v>
      </c>
      <c r="P1834" s="4">
        <v>1399</v>
      </c>
      <c r="Q1834" s="3" t="s">
        <v>26</v>
      </c>
      <c r="R1834" s="3">
        <v>0</v>
      </c>
      <c r="S1834" s="4">
        <v>0</v>
      </c>
      <c r="T1834" s="4">
        <v>84</v>
      </c>
      <c r="U1834" s="4">
        <v>7</v>
      </c>
      <c r="V1834" s="56">
        <v>0</v>
      </c>
      <c r="W1834" s="56">
        <v>325.428</v>
      </c>
      <c r="X1834" s="56">
        <v>220.18559999999999</v>
      </c>
      <c r="Y1834" s="56"/>
      <c r="Z1834" s="56">
        <v>417.58095615346082</v>
      </c>
      <c r="AA1834" s="56">
        <v>240.0648260457742</v>
      </c>
      <c r="AB1834" s="4">
        <v>0</v>
      </c>
      <c r="AC1834" s="4">
        <v>677925.10103999998</v>
      </c>
      <c r="AD1834" s="4">
        <v>458686.23820799997</v>
      </c>
      <c r="AE1834" s="4">
        <v>0</v>
      </c>
      <c r="AF1834" s="4">
        <v>869896.29623976641</v>
      </c>
      <c r="AG1834" s="4">
        <v>500098.24432203587</v>
      </c>
    </row>
    <row r="1835" spans="1:33" ht="11.25" customHeight="1" x14ac:dyDescent="0.25">
      <c r="A1835" s="3" t="s">
        <v>27</v>
      </c>
      <c r="B1835" s="3" t="s">
        <v>37</v>
      </c>
      <c r="C1835" s="3" t="s">
        <v>23</v>
      </c>
      <c r="D1835" s="3" t="s">
        <v>50</v>
      </c>
      <c r="E1835" s="3" t="s">
        <v>51</v>
      </c>
      <c r="F1835" s="3" t="s">
        <v>25</v>
      </c>
      <c r="G1835" s="3" t="s">
        <v>25</v>
      </c>
      <c r="H1835" s="3" t="s">
        <v>25</v>
      </c>
      <c r="I1835" s="6">
        <v>44409</v>
      </c>
      <c r="J1835" s="4">
        <v>0</v>
      </c>
      <c r="K1835" s="56">
        <v>0</v>
      </c>
      <c r="L1835" s="4">
        <v>0.95099999999999996</v>
      </c>
      <c r="M1835" s="56">
        <v>0.95099999999999996</v>
      </c>
      <c r="N1835" s="4">
        <v>0.95099999999999996</v>
      </c>
      <c r="O1835" s="56">
        <v>0.95099999999999996</v>
      </c>
      <c r="P1835" s="4">
        <v>2</v>
      </c>
      <c r="Q1835" s="3" t="s">
        <v>26</v>
      </c>
      <c r="R1835" s="3">
        <v>0</v>
      </c>
      <c r="S1835" s="4">
        <v>0</v>
      </c>
      <c r="T1835" s="4">
        <v>84</v>
      </c>
      <c r="U1835" s="4">
        <v>7</v>
      </c>
      <c r="V1835" s="56">
        <v>0</v>
      </c>
      <c r="W1835" s="56">
        <v>325.428</v>
      </c>
      <c r="X1835" s="56">
        <v>220.18559999999999</v>
      </c>
      <c r="Y1835" s="56"/>
      <c r="Z1835" s="56">
        <v>417.58095615346082</v>
      </c>
      <c r="AA1835" s="56">
        <v>240.0648260457742</v>
      </c>
      <c r="AB1835" s="4">
        <v>0</v>
      </c>
      <c r="AC1835" s="4">
        <v>309.48202799999996</v>
      </c>
      <c r="AD1835" s="4">
        <v>209.39650559999998</v>
      </c>
      <c r="AE1835" s="4">
        <v>0</v>
      </c>
      <c r="AF1835" s="4">
        <v>397.1194893019412</v>
      </c>
      <c r="AG1835" s="4">
        <v>228.30164956953126</v>
      </c>
    </row>
    <row r="1836" spans="1:33" ht="11.25" customHeight="1" x14ac:dyDescent="0.25">
      <c r="A1836" s="3" t="s">
        <v>21</v>
      </c>
      <c r="B1836" s="3" t="s">
        <v>37</v>
      </c>
      <c r="C1836" s="3" t="s">
        <v>23</v>
      </c>
      <c r="D1836" s="3" t="s">
        <v>50</v>
      </c>
      <c r="E1836" s="3" t="s">
        <v>51</v>
      </c>
      <c r="F1836" s="3" t="s">
        <v>25</v>
      </c>
      <c r="G1836" s="3" t="s">
        <v>25</v>
      </c>
      <c r="H1836" s="3" t="s">
        <v>25</v>
      </c>
      <c r="I1836" s="6">
        <v>44440</v>
      </c>
      <c r="J1836" s="4">
        <v>0</v>
      </c>
      <c r="K1836" s="56">
        <v>0</v>
      </c>
      <c r="L1836" s="4">
        <v>2109.3609999999999</v>
      </c>
      <c r="M1836" s="56">
        <v>2109.3609999999999</v>
      </c>
      <c r="N1836" s="4">
        <v>2109.3609999999999</v>
      </c>
      <c r="O1836" s="56">
        <v>2109.3609999999999</v>
      </c>
      <c r="P1836" s="4">
        <v>1402</v>
      </c>
      <c r="Q1836" s="3" t="s">
        <v>26</v>
      </c>
      <c r="R1836" s="3">
        <v>0</v>
      </c>
      <c r="S1836" s="4">
        <v>0</v>
      </c>
      <c r="T1836" s="4">
        <v>84</v>
      </c>
      <c r="U1836" s="4">
        <v>7</v>
      </c>
      <c r="V1836" s="56">
        <v>0</v>
      </c>
      <c r="W1836" s="56">
        <v>325.428</v>
      </c>
      <c r="X1836" s="56">
        <v>220.18559999999999</v>
      </c>
      <c r="Y1836" s="56"/>
      <c r="Z1836" s="56">
        <v>417.58095615346082</v>
      </c>
      <c r="AA1836" s="56">
        <v>240.0648260457742</v>
      </c>
      <c r="AB1836" s="4">
        <v>0</v>
      </c>
      <c r="AC1836" s="4">
        <v>686445.13150799996</v>
      </c>
      <c r="AD1836" s="4">
        <v>464450.91740159993</v>
      </c>
      <c r="AE1836" s="4">
        <v>0</v>
      </c>
      <c r="AF1836" s="4">
        <v>880828.98325282021</v>
      </c>
      <c r="AG1836" s="4">
        <v>506383.38153274026</v>
      </c>
    </row>
    <row r="1837" spans="1:33" ht="11.25" customHeight="1" x14ac:dyDescent="0.25">
      <c r="A1837" s="3" t="s">
        <v>21</v>
      </c>
      <c r="B1837" s="3" t="s">
        <v>37</v>
      </c>
      <c r="C1837" s="3" t="s">
        <v>23</v>
      </c>
      <c r="D1837" s="3" t="s">
        <v>50</v>
      </c>
      <c r="E1837" s="3" t="s">
        <v>51</v>
      </c>
      <c r="F1837" s="3" t="s">
        <v>25</v>
      </c>
      <c r="G1837" s="3" t="s">
        <v>25</v>
      </c>
      <c r="H1837" s="3" t="s">
        <v>25</v>
      </c>
      <c r="I1837" s="6">
        <v>44470</v>
      </c>
      <c r="J1837" s="4">
        <v>0</v>
      </c>
      <c r="K1837" s="56">
        <v>0</v>
      </c>
      <c r="L1837" s="4">
        <v>2180.8290000000002</v>
      </c>
      <c r="M1837" s="56">
        <v>2180.8290000000002</v>
      </c>
      <c r="N1837" s="4">
        <v>2180.8290000000002</v>
      </c>
      <c r="O1837" s="56">
        <v>2180.8290000000002</v>
      </c>
      <c r="P1837" s="4">
        <v>1408</v>
      </c>
      <c r="Q1837" s="3" t="s">
        <v>26</v>
      </c>
      <c r="R1837" s="3">
        <v>0</v>
      </c>
      <c r="S1837" s="4">
        <v>0</v>
      </c>
      <c r="T1837" s="4">
        <v>84</v>
      </c>
      <c r="U1837" s="4">
        <v>7</v>
      </c>
      <c r="V1837" s="56">
        <v>0</v>
      </c>
      <c r="W1837" s="56">
        <v>325.428</v>
      </c>
      <c r="X1837" s="56">
        <v>220.18559999999999</v>
      </c>
      <c r="Y1837" s="56"/>
      <c r="Z1837" s="56">
        <v>417.58095615346082</v>
      </c>
      <c r="AA1837" s="56">
        <v>240.0648260457742</v>
      </c>
      <c r="AB1837" s="4">
        <v>0</v>
      </c>
      <c r="AC1837" s="4">
        <v>709702.81981200003</v>
      </c>
      <c r="AD1837" s="4">
        <v>480187.14186240005</v>
      </c>
      <c r="AE1837" s="4">
        <v>0</v>
      </c>
      <c r="AF1837" s="4">
        <v>910672.65902719588</v>
      </c>
      <c r="AG1837" s="4">
        <v>523540.33452057972</v>
      </c>
    </row>
    <row r="1838" spans="1:33" ht="11.25" customHeight="1" x14ac:dyDescent="0.25">
      <c r="A1838" s="3" t="s">
        <v>27</v>
      </c>
      <c r="B1838" s="3" t="s">
        <v>37</v>
      </c>
      <c r="C1838" s="3" t="s">
        <v>23</v>
      </c>
      <c r="D1838" s="3" t="s">
        <v>50</v>
      </c>
      <c r="E1838" s="3" t="s">
        <v>51</v>
      </c>
      <c r="F1838" s="3" t="s">
        <v>25</v>
      </c>
      <c r="G1838" s="3" t="s">
        <v>25</v>
      </c>
      <c r="H1838" s="3" t="s">
        <v>25</v>
      </c>
      <c r="I1838" s="6">
        <v>44470</v>
      </c>
      <c r="J1838" s="4">
        <v>0</v>
      </c>
      <c r="K1838" s="56">
        <v>0</v>
      </c>
      <c r="L1838" s="4">
        <v>0.2</v>
      </c>
      <c r="M1838" s="56">
        <v>0.2</v>
      </c>
      <c r="N1838" s="4">
        <v>0.2</v>
      </c>
      <c r="O1838" s="56">
        <v>0.2</v>
      </c>
      <c r="P1838" s="4">
        <v>2</v>
      </c>
      <c r="Q1838" s="3" t="s">
        <v>26</v>
      </c>
      <c r="R1838" s="3">
        <v>0</v>
      </c>
      <c r="S1838" s="4">
        <v>0</v>
      </c>
      <c r="T1838" s="4">
        <v>84</v>
      </c>
      <c r="U1838" s="4">
        <v>7</v>
      </c>
      <c r="V1838" s="56">
        <v>0</v>
      </c>
      <c r="W1838" s="56">
        <v>325.428</v>
      </c>
      <c r="X1838" s="56">
        <v>220.18559999999999</v>
      </c>
      <c r="Y1838" s="56"/>
      <c r="Z1838" s="56">
        <v>417.58095615346082</v>
      </c>
      <c r="AA1838" s="56">
        <v>240.0648260457742</v>
      </c>
      <c r="AB1838" s="4">
        <v>0</v>
      </c>
      <c r="AC1838" s="4">
        <v>65.085599999999999</v>
      </c>
      <c r="AD1838" s="4">
        <v>44.037120000000002</v>
      </c>
      <c r="AE1838" s="4">
        <v>0</v>
      </c>
      <c r="AF1838" s="4">
        <v>83.516191230692172</v>
      </c>
      <c r="AG1838" s="4">
        <v>48.012965209154842</v>
      </c>
    </row>
    <row r="1839" spans="1:33" ht="11.25" customHeight="1" x14ac:dyDescent="0.25">
      <c r="A1839" s="3" t="s">
        <v>21</v>
      </c>
      <c r="B1839" s="3" t="s">
        <v>37</v>
      </c>
      <c r="C1839" s="3" t="s">
        <v>23</v>
      </c>
      <c r="D1839" s="3" t="s">
        <v>50</v>
      </c>
      <c r="E1839" s="3" t="s">
        <v>51</v>
      </c>
      <c r="F1839" s="3" t="s">
        <v>25</v>
      </c>
      <c r="G1839" s="3" t="s">
        <v>25</v>
      </c>
      <c r="H1839" s="3" t="s">
        <v>25</v>
      </c>
      <c r="I1839" s="6">
        <v>44501</v>
      </c>
      <c r="J1839" s="4">
        <v>0</v>
      </c>
      <c r="K1839" s="56">
        <v>0</v>
      </c>
      <c r="L1839" s="4">
        <v>2149.145</v>
      </c>
      <c r="M1839" s="56">
        <v>2149.145</v>
      </c>
      <c r="N1839" s="4">
        <v>2149.145</v>
      </c>
      <c r="O1839" s="56">
        <v>2149.145</v>
      </c>
      <c r="P1839" s="4">
        <v>1438</v>
      </c>
      <c r="Q1839" s="3" t="s">
        <v>26</v>
      </c>
      <c r="R1839" s="3">
        <v>0</v>
      </c>
      <c r="S1839" s="4">
        <v>0</v>
      </c>
      <c r="T1839" s="4">
        <v>84</v>
      </c>
      <c r="U1839" s="4">
        <v>7</v>
      </c>
      <c r="V1839" s="56">
        <v>0</v>
      </c>
      <c r="W1839" s="56">
        <v>325.428</v>
      </c>
      <c r="X1839" s="56">
        <v>220.18559999999999</v>
      </c>
      <c r="Y1839" s="56"/>
      <c r="Z1839" s="56">
        <v>417.58095615346082</v>
      </c>
      <c r="AA1839" s="56">
        <v>240.0648260457742</v>
      </c>
      <c r="AB1839" s="4">
        <v>0</v>
      </c>
      <c r="AC1839" s="4">
        <v>699391.95906000002</v>
      </c>
      <c r="AD1839" s="4">
        <v>473210.78131200001</v>
      </c>
      <c r="AE1839" s="4">
        <v>0</v>
      </c>
      <c r="AF1839" s="4">
        <v>897442.02401242952</v>
      </c>
      <c r="AG1839" s="4">
        <v>515934.12057214539</v>
      </c>
    </row>
    <row r="1840" spans="1:33" ht="11.25" customHeight="1" x14ac:dyDescent="0.25">
      <c r="A1840" s="3" t="s">
        <v>27</v>
      </c>
      <c r="B1840" s="3" t="s">
        <v>37</v>
      </c>
      <c r="C1840" s="3" t="s">
        <v>23</v>
      </c>
      <c r="D1840" s="3" t="s">
        <v>50</v>
      </c>
      <c r="E1840" s="3" t="s">
        <v>51</v>
      </c>
      <c r="F1840" s="3" t="s">
        <v>25</v>
      </c>
      <c r="G1840" s="3" t="s">
        <v>25</v>
      </c>
      <c r="H1840" s="3" t="s">
        <v>25</v>
      </c>
      <c r="I1840" s="6">
        <v>44501</v>
      </c>
      <c r="J1840" s="4">
        <v>0</v>
      </c>
      <c r="K1840" s="56">
        <v>0</v>
      </c>
      <c r="L1840" s="4">
        <v>-3.7999999999999999E-2</v>
      </c>
      <c r="M1840" s="56">
        <v>-3.7999999999999999E-2</v>
      </c>
      <c r="N1840" s="4">
        <v>-3.7999999999999999E-2</v>
      </c>
      <c r="O1840" s="56">
        <v>-3.7999999999999999E-2</v>
      </c>
      <c r="P1840" s="4">
        <v>0</v>
      </c>
      <c r="Q1840" s="3" t="s">
        <v>26</v>
      </c>
      <c r="R1840" s="3">
        <v>0</v>
      </c>
      <c r="S1840" s="4">
        <v>0</v>
      </c>
      <c r="T1840" s="4">
        <v>84</v>
      </c>
      <c r="U1840" s="4">
        <v>7</v>
      </c>
      <c r="V1840" s="56">
        <v>0</v>
      </c>
      <c r="W1840" s="56">
        <v>325.428</v>
      </c>
      <c r="X1840" s="56">
        <v>220.18559999999999</v>
      </c>
      <c r="Y1840" s="56"/>
      <c r="Z1840" s="56">
        <v>417.58095615346082</v>
      </c>
      <c r="AA1840" s="56">
        <v>240.0648260457742</v>
      </c>
      <c r="AB1840" s="4">
        <v>0</v>
      </c>
      <c r="AC1840" s="4">
        <v>-12.366263999999999</v>
      </c>
      <c r="AD1840" s="4">
        <v>-8.3670527999999997</v>
      </c>
      <c r="AE1840" s="4">
        <v>0</v>
      </c>
      <c r="AF1840" s="4">
        <v>-15.86807633383151</v>
      </c>
      <c r="AG1840" s="4">
        <v>-9.1224633897394192</v>
      </c>
    </row>
    <row r="1841" spans="1:33" ht="11.25" customHeight="1" x14ac:dyDescent="0.25">
      <c r="A1841" s="3" t="s">
        <v>21</v>
      </c>
      <c r="B1841" s="3" t="s">
        <v>37</v>
      </c>
      <c r="C1841" s="3" t="s">
        <v>23</v>
      </c>
      <c r="D1841" s="3" t="s">
        <v>50</v>
      </c>
      <c r="E1841" s="3" t="s">
        <v>51</v>
      </c>
      <c r="F1841" s="3" t="s">
        <v>25</v>
      </c>
      <c r="G1841" s="3" t="s">
        <v>25</v>
      </c>
      <c r="H1841" s="3" t="s">
        <v>25</v>
      </c>
      <c r="I1841" s="6">
        <v>44531</v>
      </c>
      <c r="J1841" s="4">
        <v>0</v>
      </c>
      <c r="K1841" s="56">
        <v>0</v>
      </c>
      <c r="L1841" s="4">
        <v>2166.1439999999998</v>
      </c>
      <c r="M1841" s="56">
        <v>2166.1439999999998</v>
      </c>
      <c r="N1841" s="4">
        <v>2166.1439999999998</v>
      </c>
      <c r="O1841" s="56">
        <v>2166.1439999999998</v>
      </c>
      <c r="P1841" s="4">
        <v>1465</v>
      </c>
      <c r="Q1841" s="3" t="s">
        <v>26</v>
      </c>
      <c r="R1841" s="3">
        <v>0</v>
      </c>
      <c r="S1841" s="4">
        <v>0</v>
      </c>
      <c r="T1841" s="4">
        <v>84</v>
      </c>
      <c r="U1841" s="4">
        <v>7</v>
      </c>
      <c r="V1841" s="56">
        <v>0</v>
      </c>
      <c r="W1841" s="56">
        <v>325.428</v>
      </c>
      <c r="X1841" s="56">
        <v>220.18559999999999</v>
      </c>
      <c r="Y1841" s="56"/>
      <c r="Z1841" s="56">
        <v>417.58095615346082</v>
      </c>
      <c r="AA1841" s="56">
        <v>240.0648260457742</v>
      </c>
      <c r="AB1841" s="4">
        <v>0</v>
      </c>
      <c r="AC1841" s="4">
        <v>704923.90963199991</v>
      </c>
      <c r="AD1841" s="4">
        <v>476953.71632639994</v>
      </c>
      <c r="AE1841" s="4">
        <v>0</v>
      </c>
      <c r="AF1841" s="4">
        <v>904540.48268608213</v>
      </c>
      <c r="AG1841" s="4">
        <v>520014.98255009745</v>
      </c>
    </row>
    <row r="1842" spans="1:33" ht="11.25" customHeight="1" x14ac:dyDescent="0.25">
      <c r="A1842" s="3" t="s">
        <v>21</v>
      </c>
      <c r="B1842" s="3" t="s">
        <v>37</v>
      </c>
      <c r="C1842" s="3" t="s">
        <v>23</v>
      </c>
      <c r="D1842" s="3" t="s">
        <v>50</v>
      </c>
      <c r="E1842" s="3" t="s">
        <v>51</v>
      </c>
      <c r="F1842" s="3" t="s">
        <v>25</v>
      </c>
      <c r="G1842" s="3" t="s">
        <v>25</v>
      </c>
      <c r="H1842" s="3" t="s">
        <v>25</v>
      </c>
      <c r="I1842" s="6">
        <v>44562</v>
      </c>
      <c r="J1842" s="4">
        <v>0</v>
      </c>
      <c r="K1842" s="56">
        <v>0</v>
      </c>
      <c r="L1842" s="4">
        <v>2216.3130000000001</v>
      </c>
      <c r="M1842" s="56">
        <v>2216.3130000000001</v>
      </c>
      <c r="N1842" s="4">
        <v>2216.3130000000001</v>
      </c>
      <c r="O1842" s="56">
        <v>2216.3130000000001</v>
      </c>
      <c r="P1842" s="4">
        <v>1475</v>
      </c>
      <c r="Q1842" s="3" t="s">
        <v>26</v>
      </c>
      <c r="R1842" s="3">
        <v>0</v>
      </c>
      <c r="S1842" s="4">
        <v>0</v>
      </c>
      <c r="T1842" s="4">
        <v>84</v>
      </c>
      <c r="U1842" s="4">
        <v>7</v>
      </c>
      <c r="V1842" s="56">
        <v>0</v>
      </c>
      <c r="W1842" s="56">
        <v>325.428</v>
      </c>
      <c r="X1842" s="56">
        <v>220.18559999999999</v>
      </c>
      <c r="Y1842" s="56"/>
      <c r="Z1842" s="56">
        <v>417.58095615346082</v>
      </c>
      <c r="AA1842" s="56">
        <v>240.0648260457742</v>
      </c>
      <c r="AB1842" s="4">
        <v>0</v>
      </c>
      <c r="AC1842" s="4">
        <v>721250.30696399999</v>
      </c>
      <c r="AD1842" s="4">
        <v>488000.20769280003</v>
      </c>
      <c r="AE1842" s="4">
        <v>0</v>
      </c>
      <c r="AF1842" s="4">
        <v>925490.10167534521</v>
      </c>
      <c r="AG1842" s="4">
        <v>532058.79480798799</v>
      </c>
    </row>
    <row r="1843" spans="1:33" ht="11.25" customHeight="1" x14ac:dyDescent="0.25">
      <c r="A1843" s="3" t="s">
        <v>21</v>
      </c>
      <c r="B1843" s="3" t="s">
        <v>37</v>
      </c>
      <c r="C1843" s="3" t="s">
        <v>23</v>
      </c>
      <c r="D1843" s="3" t="s">
        <v>50</v>
      </c>
      <c r="E1843" s="3" t="s">
        <v>51</v>
      </c>
      <c r="F1843" s="3" t="s">
        <v>25</v>
      </c>
      <c r="G1843" s="3" t="s">
        <v>25</v>
      </c>
      <c r="H1843" s="3" t="s">
        <v>25</v>
      </c>
      <c r="I1843" s="6">
        <v>44593</v>
      </c>
      <c r="J1843" s="4">
        <v>0</v>
      </c>
      <c r="K1843" s="56">
        <v>0</v>
      </c>
      <c r="L1843" s="4">
        <v>2141.5509999999999</v>
      </c>
      <c r="M1843" s="56">
        <v>2141.5509999999999</v>
      </c>
      <c r="N1843" s="4">
        <v>2141.5509999999999</v>
      </c>
      <c r="O1843" s="56">
        <v>2141.5509999999999</v>
      </c>
      <c r="P1843" s="4">
        <v>1482</v>
      </c>
      <c r="Q1843" s="3" t="s">
        <v>26</v>
      </c>
      <c r="R1843" s="3">
        <v>0</v>
      </c>
      <c r="S1843" s="4">
        <v>0</v>
      </c>
      <c r="T1843" s="4">
        <v>84</v>
      </c>
      <c r="U1843" s="4">
        <v>7</v>
      </c>
      <c r="V1843" s="56">
        <v>0</v>
      </c>
      <c r="W1843" s="56">
        <v>325.428</v>
      </c>
      <c r="X1843" s="56">
        <v>220.18559999999999</v>
      </c>
      <c r="Y1843" s="56"/>
      <c r="Z1843" s="56">
        <v>417.58095615346082</v>
      </c>
      <c r="AA1843" s="56">
        <v>240.0648260457742</v>
      </c>
      <c r="AB1843" s="4">
        <v>0</v>
      </c>
      <c r="AC1843" s="4">
        <v>696920.65882799996</v>
      </c>
      <c r="AD1843" s="4">
        <v>471538.69186559995</v>
      </c>
      <c r="AE1843" s="4">
        <v>0</v>
      </c>
      <c r="AF1843" s="4">
        <v>894270.91423140012</v>
      </c>
      <c r="AG1843" s="4">
        <v>514111.06828315376</v>
      </c>
    </row>
    <row r="1844" spans="1:33" ht="11.25" customHeight="1" x14ac:dyDescent="0.25">
      <c r="A1844" s="3" t="s">
        <v>56</v>
      </c>
      <c r="B1844" s="3" t="s">
        <v>37</v>
      </c>
      <c r="C1844" s="3" t="s">
        <v>23</v>
      </c>
      <c r="D1844" s="3" t="s">
        <v>50</v>
      </c>
      <c r="E1844" s="3" t="s">
        <v>51</v>
      </c>
      <c r="F1844" s="3" t="s">
        <v>25</v>
      </c>
      <c r="G1844" s="3" t="s">
        <v>25</v>
      </c>
      <c r="H1844" s="3" t="s">
        <v>25</v>
      </c>
      <c r="I1844" s="6">
        <v>44621</v>
      </c>
      <c r="J1844" s="4">
        <v>0</v>
      </c>
      <c r="K1844" s="56">
        <v>0</v>
      </c>
      <c r="L1844" s="4">
        <v>2141.5509999999999</v>
      </c>
      <c r="M1844" s="56">
        <v>2141.5509999999999</v>
      </c>
      <c r="N1844" s="4">
        <v>2141.5509999999999</v>
      </c>
      <c r="O1844" s="56">
        <v>2141.5509999999999</v>
      </c>
      <c r="P1844" s="4">
        <v>1482</v>
      </c>
      <c r="Q1844" s="3" t="s">
        <v>26</v>
      </c>
      <c r="R1844" s="3">
        <v>0</v>
      </c>
      <c r="S1844" s="4">
        <v>0</v>
      </c>
      <c r="T1844" s="4">
        <v>84</v>
      </c>
      <c r="U1844" s="4">
        <v>7</v>
      </c>
      <c r="V1844" s="56">
        <v>0</v>
      </c>
      <c r="W1844" s="56">
        <v>325.428</v>
      </c>
      <c r="X1844" s="56">
        <v>220.18559999999999</v>
      </c>
      <c r="Y1844" s="56"/>
      <c r="Z1844" s="56">
        <v>417.58095615346082</v>
      </c>
      <c r="AA1844" s="56">
        <v>240.0648260457742</v>
      </c>
      <c r="AB1844" s="4">
        <v>0</v>
      </c>
      <c r="AC1844" s="4">
        <v>696920.65882799996</v>
      </c>
      <c r="AD1844" s="4">
        <v>471538.69186559995</v>
      </c>
      <c r="AE1844" s="4">
        <v>0</v>
      </c>
      <c r="AF1844" s="4">
        <v>894270.91423140012</v>
      </c>
      <c r="AG1844" s="4">
        <v>514111.06828315376</v>
      </c>
    </row>
    <row r="1845" spans="1:33" ht="11.25" customHeight="1" x14ac:dyDescent="0.25">
      <c r="A1845" s="3" t="s">
        <v>21</v>
      </c>
      <c r="B1845" s="3" t="s">
        <v>47</v>
      </c>
      <c r="C1845" s="3" t="s">
        <v>23</v>
      </c>
      <c r="D1845" s="3" t="s">
        <v>48</v>
      </c>
      <c r="E1845" s="3" t="s">
        <v>49</v>
      </c>
      <c r="F1845" s="3" t="s">
        <v>25</v>
      </c>
      <c r="G1845" s="3" t="s">
        <v>25</v>
      </c>
      <c r="H1845" s="3" t="s">
        <v>25</v>
      </c>
      <c r="I1845" s="6">
        <v>44287</v>
      </c>
      <c r="J1845" s="4">
        <v>0</v>
      </c>
      <c r="K1845" s="4">
        <v>0</v>
      </c>
      <c r="L1845" s="4">
        <v>16798.395</v>
      </c>
      <c r="M1845" s="4">
        <v>16798.395</v>
      </c>
      <c r="N1845" s="4">
        <v>16798.395</v>
      </c>
      <c r="O1845" s="4">
        <v>16798.395</v>
      </c>
      <c r="P1845" s="4">
        <v>932</v>
      </c>
      <c r="Q1845" s="3" t="s">
        <v>26</v>
      </c>
      <c r="R1845" s="3">
        <v>0</v>
      </c>
      <c r="S1845" s="4">
        <v>0</v>
      </c>
      <c r="T1845" s="4">
        <v>92</v>
      </c>
      <c r="U1845" s="4">
        <v>9</v>
      </c>
      <c r="V1845" s="4">
        <v>0</v>
      </c>
      <c r="W1845" s="4">
        <v>190.41</v>
      </c>
      <c r="X1845" s="4">
        <v>128.83000000000001</v>
      </c>
      <c r="Y1845" s="4"/>
      <c r="Z1845" s="4">
        <v>236.77270709732315</v>
      </c>
      <c r="AA1845" s="4">
        <v>136.11923126306783</v>
      </c>
      <c r="AB1845" s="4">
        <v>0</v>
      </c>
      <c r="AC1845" s="4">
        <v>3198582.3919500001</v>
      </c>
      <c r="AD1845" s="4">
        <v>2164137.2278500004</v>
      </c>
      <c r="AE1845" s="4">
        <v>0</v>
      </c>
      <c r="AF1845" s="4">
        <v>3977401.4590401379</v>
      </c>
      <c r="AG1845" s="4">
        <v>2286584.6138533624</v>
      </c>
    </row>
    <row r="1846" spans="1:33" ht="11.25" customHeight="1" x14ac:dyDescent="0.25">
      <c r="A1846" s="3" t="s">
        <v>27</v>
      </c>
      <c r="B1846" s="3" t="s">
        <v>47</v>
      </c>
      <c r="C1846" s="3" t="s">
        <v>23</v>
      </c>
      <c r="D1846" s="3" t="s">
        <v>48</v>
      </c>
      <c r="E1846" s="3" t="s">
        <v>49</v>
      </c>
      <c r="F1846" s="3" t="s">
        <v>25</v>
      </c>
      <c r="G1846" s="3" t="s">
        <v>25</v>
      </c>
      <c r="H1846" s="3" t="s">
        <v>25</v>
      </c>
      <c r="I1846" s="6">
        <v>44287</v>
      </c>
      <c r="J1846" s="4">
        <v>0</v>
      </c>
      <c r="K1846" s="4">
        <v>0</v>
      </c>
      <c r="L1846" s="4">
        <v>35.203000000000003</v>
      </c>
      <c r="M1846" s="4">
        <v>35.203000000000003</v>
      </c>
      <c r="N1846" s="4">
        <v>35.203000000000003</v>
      </c>
      <c r="O1846" s="4">
        <v>35.203000000000003</v>
      </c>
      <c r="P1846" s="4">
        <v>2</v>
      </c>
      <c r="Q1846" s="3" t="s">
        <v>26</v>
      </c>
      <c r="R1846" s="3">
        <v>0</v>
      </c>
      <c r="S1846" s="4">
        <v>0</v>
      </c>
      <c r="T1846" s="4">
        <v>92</v>
      </c>
      <c r="U1846" s="4">
        <v>9</v>
      </c>
      <c r="V1846" s="4">
        <v>0</v>
      </c>
      <c r="W1846" s="4">
        <v>190.41</v>
      </c>
      <c r="X1846" s="4">
        <v>128.83000000000001</v>
      </c>
      <c r="Y1846" s="4"/>
      <c r="Z1846" s="4">
        <v>236.77270709732315</v>
      </c>
      <c r="AA1846" s="4">
        <v>136.11923126306783</v>
      </c>
      <c r="AB1846" s="4">
        <v>0</v>
      </c>
      <c r="AC1846" s="4">
        <v>6703.0032300000003</v>
      </c>
      <c r="AD1846" s="4">
        <v>4535.2024900000006</v>
      </c>
      <c r="AE1846" s="4">
        <v>0</v>
      </c>
      <c r="AF1846" s="4">
        <v>8335.1096079470681</v>
      </c>
      <c r="AG1846" s="4">
        <v>4791.8052981537776</v>
      </c>
    </row>
    <row r="1847" spans="1:33" ht="11.25" customHeight="1" x14ac:dyDescent="0.25">
      <c r="A1847" s="3" t="s">
        <v>21</v>
      </c>
      <c r="B1847" s="3" t="s">
        <v>47</v>
      </c>
      <c r="C1847" s="3" t="s">
        <v>23</v>
      </c>
      <c r="D1847" s="3" t="s">
        <v>48</v>
      </c>
      <c r="E1847" s="3" t="s">
        <v>49</v>
      </c>
      <c r="F1847" s="3" t="s">
        <v>25</v>
      </c>
      <c r="G1847" s="3" t="s">
        <v>25</v>
      </c>
      <c r="H1847" s="3" t="s">
        <v>25</v>
      </c>
      <c r="I1847" s="6">
        <v>44317</v>
      </c>
      <c r="J1847" s="4">
        <v>0</v>
      </c>
      <c r="K1847" s="4">
        <v>0</v>
      </c>
      <c r="L1847" s="4">
        <v>17108.749</v>
      </c>
      <c r="M1847" s="4">
        <v>17108.749</v>
      </c>
      <c r="N1847" s="4">
        <v>17108.749</v>
      </c>
      <c r="O1847" s="4">
        <v>17108.749</v>
      </c>
      <c r="P1847" s="4">
        <v>936</v>
      </c>
      <c r="Q1847" s="3" t="s">
        <v>26</v>
      </c>
      <c r="R1847" s="3">
        <v>0</v>
      </c>
      <c r="S1847" s="4">
        <v>0</v>
      </c>
      <c r="T1847" s="4">
        <v>92</v>
      </c>
      <c r="U1847" s="4">
        <v>9</v>
      </c>
      <c r="V1847" s="4">
        <v>0</v>
      </c>
      <c r="W1847" s="4">
        <v>190.41</v>
      </c>
      <c r="X1847" s="4">
        <v>128.83000000000001</v>
      </c>
      <c r="Y1847" s="4"/>
      <c r="Z1847" s="4">
        <v>236.77270709732315</v>
      </c>
      <c r="AA1847" s="4">
        <v>136.11923126306783</v>
      </c>
      <c r="AB1847" s="4">
        <v>0</v>
      </c>
      <c r="AC1847" s="4">
        <v>3257676.8970900001</v>
      </c>
      <c r="AD1847" s="4">
        <v>2204120.1336700004</v>
      </c>
      <c r="AE1847" s="4">
        <v>0</v>
      </c>
      <c r="AF1847" s="4">
        <v>4050884.8157786201</v>
      </c>
      <c r="AG1847" s="4">
        <v>2328829.7617527805</v>
      </c>
    </row>
    <row r="1848" spans="1:33" ht="11.25" customHeight="1" x14ac:dyDescent="0.25">
      <c r="A1848" s="3" t="s">
        <v>27</v>
      </c>
      <c r="B1848" s="3" t="s">
        <v>47</v>
      </c>
      <c r="C1848" s="3" t="s">
        <v>23</v>
      </c>
      <c r="D1848" s="3" t="s">
        <v>48</v>
      </c>
      <c r="E1848" s="3" t="s">
        <v>49</v>
      </c>
      <c r="F1848" s="3" t="s">
        <v>25</v>
      </c>
      <c r="G1848" s="3" t="s">
        <v>25</v>
      </c>
      <c r="H1848" s="3" t="s">
        <v>25</v>
      </c>
      <c r="I1848" s="6">
        <v>44317</v>
      </c>
      <c r="J1848" s="4">
        <v>0</v>
      </c>
      <c r="K1848" s="4">
        <v>0</v>
      </c>
      <c r="L1848" s="4">
        <v>-64.414000000000001</v>
      </c>
      <c r="M1848" s="4">
        <v>-64.414000000000001</v>
      </c>
      <c r="N1848" s="4">
        <v>-64.414000000000001</v>
      </c>
      <c r="O1848" s="4">
        <v>-64.414000000000001</v>
      </c>
      <c r="P1848" s="4">
        <v>-2</v>
      </c>
      <c r="Q1848" s="3" t="s">
        <v>26</v>
      </c>
      <c r="R1848" s="3">
        <v>0</v>
      </c>
      <c r="S1848" s="4">
        <v>0</v>
      </c>
      <c r="T1848" s="4">
        <v>92</v>
      </c>
      <c r="U1848" s="4">
        <v>9</v>
      </c>
      <c r="V1848" s="4">
        <v>0</v>
      </c>
      <c r="W1848" s="4">
        <v>190.41</v>
      </c>
      <c r="X1848" s="4">
        <v>128.83000000000001</v>
      </c>
      <c r="Y1848" s="4"/>
      <c r="Z1848" s="4">
        <v>236.77270709732315</v>
      </c>
      <c r="AA1848" s="4">
        <v>136.11923126306783</v>
      </c>
      <c r="AB1848" s="4">
        <v>0</v>
      </c>
      <c r="AC1848" s="4">
        <v>-12265.069740000001</v>
      </c>
      <c r="AD1848" s="4">
        <v>-8298.4556200000006</v>
      </c>
      <c r="AE1848" s="4">
        <v>0</v>
      </c>
      <c r="AF1848" s="4">
        <v>-15251.477154966973</v>
      </c>
      <c r="AG1848" s="4">
        <v>-8767.9841625792524</v>
      </c>
    </row>
    <row r="1849" spans="1:33" ht="11.25" customHeight="1" x14ac:dyDescent="0.25">
      <c r="A1849" s="3" t="s">
        <v>21</v>
      </c>
      <c r="B1849" s="3" t="s">
        <v>47</v>
      </c>
      <c r="C1849" s="3" t="s">
        <v>23</v>
      </c>
      <c r="D1849" s="3" t="s">
        <v>48</v>
      </c>
      <c r="E1849" s="3" t="s">
        <v>49</v>
      </c>
      <c r="F1849" s="3" t="s">
        <v>25</v>
      </c>
      <c r="G1849" s="3" t="s">
        <v>25</v>
      </c>
      <c r="H1849" s="3" t="s">
        <v>25</v>
      </c>
      <c r="I1849" s="6">
        <v>44348</v>
      </c>
      <c r="J1849" s="4">
        <v>0</v>
      </c>
      <c r="K1849" s="4">
        <v>0</v>
      </c>
      <c r="L1849" s="4">
        <v>16346.535</v>
      </c>
      <c r="M1849" s="4">
        <v>16346.535</v>
      </c>
      <c r="N1849" s="4">
        <v>16346.535</v>
      </c>
      <c r="O1849" s="4">
        <v>16346.535</v>
      </c>
      <c r="P1849" s="4">
        <v>937</v>
      </c>
      <c r="Q1849" s="3" t="s">
        <v>26</v>
      </c>
      <c r="R1849" s="3">
        <v>0</v>
      </c>
      <c r="S1849" s="4">
        <v>0</v>
      </c>
      <c r="T1849" s="4">
        <v>92</v>
      </c>
      <c r="U1849" s="4">
        <v>9</v>
      </c>
      <c r="V1849" s="4">
        <v>0</v>
      </c>
      <c r="W1849" s="4">
        <v>190.41</v>
      </c>
      <c r="X1849" s="4">
        <v>128.83000000000001</v>
      </c>
      <c r="Y1849" s="4"/>
      <c r="Z1849" s="4">
        <v>236.77270709732315</v>
      </c>
      <c r="AA1849" s="4">
        <v>136.11923126306783</v>
      </c>
      <c r="AB1849" s="4">
        <v>0</v>
      </c>
      <c r="AC1849" s="4">
        <v>3112543.7293499997</v>
      </c>
      <c r="AD1849" s="4">
        <v>2105924.1040500002</v>
      </c>
      <c r="AE1849" s="4">
        <v>0</v>
      </c>
      <c r="AF1849" s="4">
        <v>3870413.3436111412</v>
      </c>
      <c r="AG1849" s="4">
        <v>2225077.7780148326</v>
      </c>
    </row>
    <row r="1850" spans="1:33" ht="11.25" customHeight="1" x14ac:dyDescent="0.25">
      <c r="A1850" s="3" t="s">
        <v>27</v>
      </c>
      <c r="B1850" s="3" t="s">
        <v>47</v>
      </c>
      <c r="C1850" s="3" t="s">
        <v>23</v>
      </c>
      <c r="D1850" s="3" t="s">
        <v>48</v>
      </c>
      <c r="E1850" s="3" t="s">
        <v>49</v>
      </c>
      <c r="F1850" s="3" t="s">
        <v>25</v>
      </c>
      <c r="G1850" s="3" t="s">
        <v>25</v>
      </c>
      <c r="H1850" s="3" t="s">
        <v>25</v>
      </c>
      <c r="I1850" s="6">
        <v>44348</v>
      </c>
      <c r="J1850" s="4">
        <v>0</v>
      </c>
      <c r="K1850" s="4">
        <v>0</v>
      </c>
      <c r="L1850" s="4">
        <v>55.063000000000002</v>
      </c>
      <c r="M1850" s="4">
        <v>55.063000000000002</v>
      </c>
      <c r="N1850" s="4">
        <v>55.063000000000002</v>
      </c>
      <c r="O1850" s="4">
        <v>55.063000000000002</v>
      </c>
      <c r="P1850" s="4">
        <v>0</v>
      </c>
      <c r="Q1850" s="3" t="s">
        <v>26</v>
      </c>
      <c r="R1850" s="3">
        <v>0</v>
      </c>
      <c r="S1850" s="4">
        <v>0</v>
      </c>
      <c r="T1850" s="4">
        <v>92</v>
      </c>
      <c r="U1850" s="4">
        <v>9</v>
      </c>
      <c r="V1850" s="4">
        <v>0</v>
      </c>
      <c r="W1850" s="4">
        <v>190.41</v>
      </c>
      <c r="X1850" s="4">
        <v>128.83000000000001</v>
      </c>
      <c r="Y1850" s="4"/>
      <c r="Z1850" s="4">
        <v>236.77270709732315</v>
      </c>
      <c r="AA1850" s="4">
        <v>136.11923126306783</v>
      </c>
      <c r="AB1850" s="4">
        <v>0</v>
      </c>
      <c r="AC1850" s="4">
        <v>10484.545830000001</v>
      </c>
      <c r="AD1850" s="4">
        <v>7093.7662900000014</v>
      </c>
      <c r="AE1850" s="4">
        <v>0</v>
      </c>
      <c r="AF1850" s="4">
        <v>13037.415570899906</v>
      </c>
      <c r="AG1850" s="4">
        <v>7495.1332310383041</v>
      </c>
    </row>
    <row r="1851" spans="1:33" ht="11.25" customHeight="1" x14ac:dyDescent="0.25">
      <c r="A1851" s="3" t="s">
        <v>21</v>
      </c>
      <c r="B1851" s="3" t="s">
        <v>47</v>
      </c>
      <c r="C1851" s="3" t="s">
        <v>23</v>
      </c>
      <c r="D1851" s="3" t="s">
        <v>48</v>
      </c>
      <c r="E1851" s="3" t="s">
        <v>49</v>
      </c>
      <c r="F1851" s="3" t="s">
        <v>25</v>
      </c>
      <c r="G1851" s="3" t="s">
        <v>25</v>
      </c>
      <c r="H1851" s="3" t="s">
        <v>25</v>
      </c>
      <c r="I1851" s="6">
        <v>44378</v>
      </c>
      <c r="J1851" s="4">
        <v>0</v>
      </c>
      <c r="K1851" s="4">
        <v>0</v>
      </c>
      <c r="L1851" s="4">
        <v>16810.743999999999</v>
      </c>
      <c r="M1851" s="4">
        <v>16810.743999999999</v>
      </c>
      <c r="N1851" s="4">
        <v>16810.743999999999</v>
      </c>
      <c r="O1851" s="4">
        <v>16810.743999999999</v>
      </c>
      <c r="P1851" s="4">
        <v>969</v>
      </c>
      <c r="Q1851" s="3" t="s">
        <v>26</v>
      </c>
      <c r="R1851" s="3">
        <v>0</v>
      </c>
      <c r="S1851" s="4">
        <v>0</v>
      </c>
      <c r="T1851" s="4">
        <v>92</v>
      </c>
      <c r="U1851" s="4">
        <v>9</v>
      </c>
      <c r="V1851" s="4">
        <v>0</v>
      </c>
      <c r="W1851" s="4">
        <v>190.41</v>
      </c>
      <c r="X1851" s="4">
        <v>128.83000000000001</v>
      </c>
      <c r="Y1851" s="4"/>
      <c r="Z1851" s="4">
        <v>236.77270709732315</v>
      </c>
      <c r="AA1851" s="4">
        <v>136.11923126306783</v>
      </c>
      <c r="AB1851" s="4">
        <v>0</v>
      </c>
      <c r="AC1851" s="4">
        <v>3200933.7650399995</v>
      </c>
      <c r="AD1851" s="4">
        <v>2165728.14952</v>
      </c>
      <c r="AE1851" s="4">
        <v>0</v>
      </c>
      <c r="AF1851" s="4">
        <v>3980325.3652000823</v>
      </c>
      <c r="AG1851" s="4">
        <v>2288265.5502402298</v>
      </c>
    </row>
    <row r="1852" spans="1:33" ht="11.25" customHeight="1" x14ac:dyDescent="0.25">
      <c r="A1852" s="3" t="s">
        <v>27</v>
      </c>
      <c r="B1852" s="3" t="s">
        <v>47</v>
      </c>
      <c r="C1852" s="3" t="s">
        <v>23</v>
      </c>
      <c r="D1852" s="3" t="s">
        <v>48</v>
      </c>
      <c r="E1852" s="3" t="s">
        <v>49</v>
      </c>
      <c r="F1852" s="3" t="s">
        <v>25</v>
      </c>
      <c r="G1852" s="3" t="s">
        <v>25</v>
      </c>
      <c r="H1852" s="3" t="s">
        <v>25</v>
      </c>
      <c r="I1852" s="6">
        <v>44378</v>
      </c>
      <c r="J1852" s="4">
        <v>0</v>
      </c>
      <c r="K1852" s="4">
        <v>0</v>
      </c>
      <c r="L1852" s="4">
        <v>30.231000000000002</v>
      </c>
      <c r="M1852" s="4">
        <v>30.231000000000002</v>
      </c>
      <c r="N1852" s="4">
        <v>30.231000000000002</v>
      </c>
      <c r="O1852" s="4">
        <v>30.231000000000002</v>
      </c>
      <c r="P1852" s="4">
        <v>-1</v>
      </c>
      <c r="Q1852" s="3" t="s">
        <v>26</v>
      </c>
      <c r="R1852" s="3">
        <v>0</v>
      </c>
      <c r="S1852" s="4">
        <v>0</v>
      </c>
      <c r="T1852" s="4">
        <v>92</v>
      </c>
      <c r="U1852" s="4">
        <v>9</v>
      </c>
      <c r="V1852" s="4">
        <v>0</v>
      </c>
      <c r="W1852" s="4">
        <v>190.41</v>
      </c>
      <c r="X1852" s="4">
        <v>128.83000000000001</v>
      </c>
      <c r="Y1852" s="4"/>
      <c r="Z1852" s="4">
        <v>236.77270709732315</v>
      </c>
      <c r="AA1852" s="4">
        <v>136.11923126306783</v>
      </c>
      <c r="AB1852" s="4">
        <v>0</v>
      </c>
      <c r="AC1852" s="4">
        <v>5756.2847099999999</v>
      </c>
      <c r="AD1852" s="4">
        <v>3894.6597300000008</v>
      </c>
      <c r="AE1852" s="4">
        <v>0</v>
      </c>
      <c r="AF1852" s="4">
        <v>7157.8757082591765</v>
      </c>
      <c r="AG1852" s="4">
        <v>4115.020480313804</v>
      </c>
    </row>
    <row r="1853" spans="1:33" ht="11.25" customHeight="1" x14ac:dyDescent="0.25">
      <c r="A1853" s="3" t="s">
        <v>21</v>
      </c>
      <c r="B1853" s="3" t="s">
        <v>47</v>
      </c>
      <c r="C1853" s="3" t="s">
        <v>23</v>
      </c>
      <c r="D1853" s="3" t="s">
        <v>48</v>
      </c>
      <c r="E1853" s="3" t="s">
        <v>49</v>
      </c>
      <c r="F1853" s="3" t="s">
        <v>25</v>
      </c>
      <c r="G1853" s="3" t="s">
        <v>25</v>
      </c>
      <c r="H1853" s="3" t="s">
        <v>25</v>
      </c>
      <c r="I1853" s="6">
        <v>44409</v>
      </c>
      <c r="J1853" s="4">
        <v>0</v>
      </c>
      <c r="K1853" s="4">
        <v>0</v>
      </c>
      <c r="L1853" s="4">
        <v>17011.956999999999</v>
      </c>
      <c r="M1853" s="4">
        <v>17011.956999999999</v>
      </c>
      <c r="N1853" s="4">
        <v>17011.956999999999</v>
      </c>
      <c r="O1853" s="4">
        <v>17011.956999999999</v>
      </c>
      <c r="P1853" s="4">
        <v>988</v>
      </c>
      <c r="Q1853" s="3" t="s">
        <v>26</v>
      </c>
      <c r="R1853" s="3">
        <v>0</v>
      </c>
      <c r="S1853" s="4">
        <v>0</v>
      </c>
      <c r="T1853" s="4">
        <v>92</v>
      </c>
      <c r="U1853" s="4">
        <v>9</v>
      </c>
      <c r="V1853" s="4">
        <v>0</v>
      </c>
      <c r="W1853" s="4">
        <v>190.41</v>
      </c>
      <c r="X1853" s="4">
        <v>128.83000000000001</v>
      </c>
      <c r="Y1853" s="4"/>
      <c r="Z1853" s="4">
        <v>236.77270709732315</v>
      </c>
      <c r="AA1853" s="4">
        <v>136.11923126306783</v>
      </c>
      <c r="AB1853" s="4">
        <v>0</v>
      </c>
      <c r="AC1853" s="4">
        <v>3239246.7323699999</v>
      </c>
      <c r="AD1853" s="4">
        <v>2191650.42031</v>
      </c>
      <c r="AE1853" s="4">
        <v>0</v>
      </c>
      <c r="AF1853" s="4">
        <v>4027967.1119132559</v>
      </c>
      <c r="AG1853" s="4">
        <v>2315654.5091203656</v>
      </c>
    </row>
    <row r="1854" spans="1:33" ht="11.25" customHeight="1" x14ac:dyDescent="0.25">
      <c r="A1854" s="3" t="s">
        <v>27</v>
      </c>
      <c r="B1854" s="3" t="s">
        <v>47</v>
      </c>
      <c r="C1854" s="3" t="s">
        <v>23</v>
      </c>
      <c r="D1854" s="3" t="s">
        <v>48</v>
      </c>
      <c r="E1854" s="3" t="s">
        <v>49</v>
      </c>
      <c r="F1854" s="3" t="s">
        <v>25</v>
      </c>
      <c r="G1854" s="3" t="s">
        <v>25</v>
      </c>
      <c r="H1854" s="3" t="s">
        <v>25</v>
      </c>
      <c r="I1854" s="6">
        <v>44409</v>
      </c>
      <c r="J1854" s="4">
        <v>0</v>
      </c>
      <c r="K1854" s="4">
        <v>0</v>
      </c>
      <c r="L1854" s="4">
        <v>36.17</v>
      </c>
      <c r="M1854" s="4">
        <v>36.17</v>
      </c>
      <c r="N1854" s="4">
        <v>36.17</v>
      </c>
      <c r="O1854" s="4">
        <v>36.17</v>
      </c>
      <c r="P1854" s="4">
        <v>7</v>
      </c>
      <c r="Q1854" s="3" t="s">
        <v>26</v>
      </c>
      <c r="R1854" s="3">
        <v>0</v>
      </c>
      <c r="S1854" s="4">
        <v>0</v>
      </c>
      <c r="T1854" s="4">
        <v>92</v>
      </c>
      <c r="U1854" s="4">
        <v>9</v>
      </c>
      <c r="V1854" s="4">
        <v>0</v>
      </c>
      <c r="W1854" s="4">
        <v>190.41</v>
      </c>
      <c r="X1854" s="4">
        <v>128.83000000000001</v>
      </c>
      <c r="Y1854" s="4"/>
      <c r="Z1854" s="4">
        <v>236.77270709732315</v>
      </c>
      <c r="AA1854" s="4">
        <v>136.11923126306783</v>
      </c>
      <c r="AB1854" s="4">
        <v>0</v>
      </c>
      <c r="AC1854" s="4">
        <v>6887.1297000000004</v>
      </c>
      <c r="AD1854" s="4">
        <v>4659.7811000000011</v>
      </c>
      <c r="AE1854" s="4">
        <v>0</v>
      </c>
      <c r="AF1854" s="4">
        <v>8564.0688157101795</v>
      </c>
      <c r="AG1854" s="4">
        <v>4923.4325947851639</v>
      </c>
    </row>
    <row r="1855" spans="1:33" ht="11.25" customHeight="1" x14ac:dyDescent="0.25">
      <c r="A1855" s="3" t="s">
        <v>21</v>
      </c>
      <c r="B1855" s="3" t="s">
        <v>47</v>
      </c>
      <c r="C1855" s="3" t="s">
        <v>23</v>
      </c>
      <c r="D1855" s="3" t="s">
        <v>48</v>
      </c>
      <c r="E1855" s="3" t="s">
        <v>49</v>
      </c>
      <c r="F1855" s="3" t="s">
        <v>25</v>
      </c>
      <c r="G1855" s="3" t="s">
        <v>25</v>
      </c>
      <c r="H1855" s="3" t="s">
        <v>25</v>
      </c>
      <c r="I1855" s="6">
        <v>44440</v>
      </c>
      <c r="J1855" s="4">
        <v>0</v>
      </c>
      <c r="K1855" s="4">
        <v>0</v>
      </c>
      <c r="L1855" s="4">
        <v>17258.758000000002</v>
      </c>
      <c r="M1855" s="4">
        <v>17258.758000000002</v>
      </c>
      <c r="N1855" s="4">
        <v>17258.758000000002</v>
      </c>
      <c r="O1855" s="4">
        <v>17258.758000000002</v>
      </c>
      <c r="P1855" s="4">
        <v>1030</v>
      </c>
      <c r="Q1855" s="3" t="s">
        <v>26</v>
      </c>
      <c r="R1855" s="3">
        <v>0</v>
      </c>
      <c r="S1855" s="4">
        <v>0</v>
      </c>
      <c r="T1855" s="4">
        <v>92</v>
      </c>
      <c r="U1855" s="4">
        <v>9</v>
      </c>
      <c r="V1855" s="4">
        <v>0</v>
      </c>
      <c r="W1855" s="4">
        <v>190.41</v>
      </c>
      <c r="X1855" s="4">
        <v>128.83000000000001</v>
      </c>
      <c r="Y1855" s="4"/>
      <c r="Z1855" s="4">
        <v>236.77270709732315</v>
      </c>
      <c r="AA1855" s="4">
        <v>136.11923126306783</v>
      </c>
      <c r="AB1855" s="4">
        <v>0</v>
      </c>
      <c r="AC1855" s="4">
        <v>3286240.1107800002</v>
      </c>
      <c r="AD1855" s="4">
        <v>2223445.7931400002</v>
      </c>
      <c r="AE1855" s="4">
        <v>0</v>
      </c>
      <c r="AF1855" s="4">
        <v>4086402.8527975832</v>
      </c>
      <c r="AG1855" s="4">
        <v>2349248.8715153225</v>
      </c>
    </row>
    <row r="1856" spans="1:33" ht="11.25" customHeight="1" x14ac:dyDescent="0.25">
      <c r="A1856" s="3" t="s">
        <v>27</v>
      </c>
      <c r="B1856" s="3" t="s">
        <v>47</v>
      </c>
      <c r="C1856" s="3" t="s">
        <v>23</v>
      </c>
      <c r="D1856" s="3" t="s">
        <v>48</v>
      </c>
      <c r="E1856" s="3" t="s">
        <v>49</v>
      </c>
      <c r="F1856" s="3" t="s">
        <v>25</v>
      </c>
      <c r="G1856" s="3" t="s">
        <v>25</v>
      </c>
      <c r="H1856" s="3" t="s">
        <v>25</v>
      </c>
      <c r="I1856" s="6">
        <v>44440</v>
      </c>
      <c r="J1856" s="4">
        <v>0</v>
      </c>
      <c r="K1856" s="4">
        <v>0</v>
      </c>
      <c r="L1856" s="4">
        <v>5.7240000000000002</v>
      </c>
      <c r="M1856" s="4">
        <v>5.7240000000000002</v>
      </c>
      <c r="N1856" s="4">
        <v>5.7240000000000002</v>
      </c>
      <c r="O1856" s="4">
        <v>5.7240000000000002</v>
      </c>
      <c r="P1856" s="4">
        <v>0</v>
      </c>
      <c r="Q1856" s="3" t="s">
        <v>26</v>
      </c>
      <c r="R1856" s="3">
        <v>0</v>
      </c>
      <c r="S1856" s="4">
        <v>0</v>
      </c>
      <c r="T1856" s="4">
        <v>92</v>
      </c>
      <c r="U1856" s="4">
        <v>9</v>
      </c>
      <c r="V1856" s="4">
        <v>0</v>
      </c>
      <c r="W1856" s="4">
        <v>190.41</v>
      </c>
      <c r="X1856" s="4">
        <v>128.83000000000001</v>
      </c>
      <c r="Y1856" s="4"/>
      <c r="Z1856" s="4">
        <v>236.77270709732315</v>
      </c>
      <c r="AA1856" s="4">
        <v>136.11923126306783</v>
      </c>
      <c r="AB1856" s="4">
        <v>0</v>
      </c>
      <c r="AC1856" s="4">
        <v>1089.9068400000001</v>
      </c>
      <c r="AD1856" s="4">
        <v>737.42292000000009</v>
      </c>
      <c r="AE1856" s="4">
        <v>0</v>
      </c>
      <c r="AF1856" s="4">
        <v>1355.2869754250778</v>
      </c>
      <c r="AG1856" s="4">
        <v>779.14647974980028</v>
      </c>
    </row>
    <row r="1857" spans="1:33" ht="11.25" customHeight="1" x14ac:dyDescent="0.25">
      <c r="A1857" s="3" t="s">
        <v>21</v>
      </c>
      <c r="B1857" s="3" t="s">
        <v>47</v>
      </c>
      <c r="C1857" s="3" t="s">
        <v>23</v>
      </c>
      <c r="D1857" s="3" t="s">
        <v>48</v>
      </c>
      <c r="E1857" s="3" t="s">
        <v>49</v>
      </c>
      <c r="F1857" s="3" t="s">
        <v>25</v>
      </c>
      <c r="G1857" s="3" t="s">
        <v>25</v>
      </c>
      <c r="H1857" s="3" t="s">
        <v>25</v>
      </c>
      <c r="I1857" s="6">
        <v>44470</v>
      </c>
      <c r="J1857" s="4">
        <v>0</v>
      </c>
      <c r="K1857" s="4">
        <v>0</v>
      </c>
      <c r="L1857" s="4">
        <v>16963.59</v>
      </c>
      <c r="M1857" s="4">
        <v>16963.59</v>
      </c>
      <c r="N1857" s="4">
        <v>16963.59</v>
      </c>
      <c r="O1857" s="4">
        <v>16963.59</v>
      </c>
      <c r="P1857" s="4">
        <v>1025</v>
      </c>
      <c r="Q1857" s="3" t="s">
        <v>26</v>
      </c>
      <c r="R1857" s="3">
        <v>0</v>
      </c>
      <c r="S1857" s="4">
        <v>0</v>
      </c>
      <c r="T1857" s="4">
        <v>92</v>
      </c>
      <c r="U1857" s="4">
        <v>9</v>
      </c>
      <c r="V1857" s="4">
        <v>0</v>
      </c>
      <c r="W1857" s="4">
        <v>190.41</v>
      </c>
      <c r="X1857" s="4">
        <v>128.83000000000001</v>
      </c>
      <c r="Y1857" s="4"/>
      <c r="Z1857" s="4">
        <v>236.77270709732315</v>
      </c>
      <c r="AA1857" s="4">
        <v>136.11923126306783</v>
      </c>
      <c r="AB1857" s="4">
        <v>0</v>
      </c>
      <c r="AC1857" s="4">
        <v>3230037.1719</v>
      </c>
      <c r="AD1857" s="4">
        <v>2185419.2997000003</v>
      </c>
      <c r="AE1857" s="4">
        <v>0</v>
      </c>
      <c r="AF1857" s="4">
        <v>4016515.1263890802</v>
      </c>
      <c r="AG1857" s="4">
        <v>2309070.8302618647</v>
      </c>
    </row>
    <row r="1858" spans="1:33" ht="11.25" customHeight="1" x14ac:dyDescent="0.25">
      <c r="A1858" s="3" t="s">
        <v>27</v>
      </c>
      <c r="B1858" s="3" t="s">
        <v>47</v>
      </c>
      <c r="C1858" s="3" t="s">
        <v>23</v>
      </c>
      <c r="D1858" s="3" t="s">
        <v>48</v>
      </c>
      <c r="E1858" s="3" t="s">
        <v>49</v>
      </c>
      <c r="F1858" s="3" t="s">
        <v>25</v>
      </c>
      <c r="G1858" s="3" t="s">
        <v>25</v>
      </c>
      <c r="H1858" s="3" t="s">
        <v>25</v>
      </c>
      <c r="I1858" s="6">
        <v>44470</v>
      </c>
      <c r="J1858" s="4">
        <v>0</v>
      </c>
      <c r="K1858" s="4">
        <v>0</v>
      </c>
      <c r="L1858" s="4">
        <v>-92.608999999999995</v>
      </c>
      <c r="M1858" s="4">
        <v>-92.608999999999995</v>
      </c>
      <c r="N1858" s="4">
        <v>-92.608999999999995</v>
      </c>
      <c r="O1858" s="4">
        <v>-92.608999999999995</v>
      </c>
      <c r="P1858" s="4">
        <v>-2</v>
      </c>
      <c r="Q1858" s="3" t="s">
        <v>26</v>
      </c>
      <c r="R1858" s="3">
        <v>0</v>
      </c>
      <c r="S1858" s="4">
        <v>0</v>
      </c>
      <c r="T1858" s="4">
        <v>92</v>
      </c>
      <c r="U1858" s="4">
        <v>9</v>
      </c>
      <c r="V1858" s="4">
        <v>0</v>
      </c>
      <c r="W1858" s="4">
        <v>190.41</v>
      </c>
      <c r="X1858" s="4">
        <v>128.83000000000001</v>
      </c>
      <c r="Y1858" s="4"/>
      <c r="Z1858" s="4">
        <v>236.77270709732315</v>
      </c>
      <c r="AA1858" s="4">
        <v>136.11923126306783</v>
      </c>
      <c r="AB1858" s="4">
        <v>0</v>
      </c>
      <c r="AC1858" s="4">
        <v>-17633.679689999997</v>
      </c>
      <c r="AD1858" s="4">
        <v>-11930.81747</v>
      </c>
      <c r="AE1858" s="4">
        <v>0</v>
      </c>
      <c r="AF1858" s="4">
        <v>-21927.283631576</v>
      </c>
      <c r="AG1858" s="4">
        <v>-12605.865888041448</v>
      </c>
    </row>
    <row r="1859" spans="1:33" ht="11.25" customHeight="1" x14ac:dyDescent="0.25">
      <c r="A1859" s="3" t="s">
        <v>21</v>
      </c>
      <c r="B1859" s="3" t="s">
        <v>47</v>
      </c>
      <c r="C1859" s="3" t="s">
        <v>23</v>
      </c>
      <c r="D1859" s="3" t="s">
        <v>48</v>
      </c>
      <c r="E1859" s="3" t="s">
        <v>49</v>
      </c>
      <c r="F1859" s="3" t="s">
        <v>25</v>
      </c>
      <c r="G1859" s="3" t="s">
        <v>25</v>
      </c>
      <c r="H1859" s="3" t="s">
        <v>25</v>
      </c>
      <c r="I1859" s="6">
        <v>44501</v>
      </c>
      <c r="J1859" s="4">
        <v>0</v>
      </c>
      <c r="K1859" s="4">
        <v>0</v>
      </c>
      <c r="L1859" s="4">
        <v>16131.279</v>
      </c>
      <c r="M1859" s="4">
        <v>16131.279</v>
      </c>
      <c r="N1859" s="4">
        <v>16131.279</v>
      </c>
      <c r="O1859" s="4">
        <v>16131.279</v>
      </c>
      <c r="P1859" s="4">
        <v>1112</v>
      </c>
      <c r="Q1859" s="3" t="s">
        <v>26</v>
      </c>
      <c r="R1859" s="3">
        <v>0</v>
      </c>
      <c r="S1859" s="4">
        <v>0</v>
      </c>
      <c r="T1859" s="4">
        <v>92</v>
      </c>
      <c r="U1859" s="4">
        <v>9</v>
      </c>
      <c r="V1859" s="4">
        <v>0</v>
      </c>
      <c r="W1859" s="4">
        <v>190.41</v>
      </c>
      <c r="X1859" s="4">
        <v>128.83000000000001</v>
      </c>
      <c r="Y1859" s="4"/>
      <c r="Z1859" s="4">
        <v>236.77270709732315</v>
      </c>
      <c r="AA1859" s="4">
        <v>136.11923126306783</v>
      </c>
      <c r="AB1859" s="4">
        <v>0</v>
      </c>
      <c r="AC1859" s="4">
        <v>3071556.83439</v>
      </c>
      <c r="AD1859" s="4">
        <v>2078192.6735700003</v>
      </c>
      <c r="AE1859" s="4">
        <v>0</v>
      </c>
      <c r="AF1859" s="4">
        <v>3819446.5977722001</v>
      </c>
      <c r="AG1859" s="4">
        <v>2195777.2967700697</v>
      </c>
    </row>
    <row r="1860" spans="1:33" ht="11.25" customHeight="1" x14ac:dyDescent="0.25">
      <c r="A1860" s="3" t="s">
        <v>27</v>
      </c>
      <c r="B1860" s="3" t="s">
        <v>47</v>
      </c>
      <c r="C1860" s="3" t="s">
        <v>23</v>
      </c>
      <c r="D1860" s="3" t="s">
        <v>48</v>
      </c>
      <c r="E1860" s="3" t="s">
        <v>49</v>
      </c>
      <c r="F1860" s="3" t="s">
        <v>25</v>
      </c>
      <c r="G1860" s="3" t="s">
        <v>25</v>
      </c>
      <c r="H1860" s="3" t="s">
        <v>25</v>
      </c>
      <c r="I1860" s="6">
        <v>44501</v>
      </c>
      <c r="J1860" s="4">
        <v>0</v>
      </c>
      <c r="K1860" s="4">
        <v>0</v>
      </c>
      <c r="L1860" s="4">
        <v>-139.97800000000001</v>
      </c>
      <c r="M1860" s="4">
        <v>-139.97800000000001</v>
      </c>
      <c r="N1860" s="4">
        <v>-139.97800000000001</v>
      </c>
      <c r="O1860" s="4">
        <v>-139.97800000000001</v>
      </c>
      <c r="P1860" s="4">
        <v>0</v>
      </c>
      <c r="Q1860" s="3" t="s">
        <v>26</v>
      </c>
      <c r="R1860" s="3">
        <v>0</v>
      </c>
      <c r="S1860" s="4">
        <v>0</v>
      </c>
      <c r="T1860" s="4">
        <v>92</v>
      </c>
      <c r="U1860" s="4">
        <v>9</v>
      </c>
      <c r="V1860" s="4">
        <v>0</v>
      </c>
      <c r="W1860" s="4">
        <v>190.41</v>
      </c>
      <c r="X1860" s="4">
        <v>128.83000000000001</v>
      </c>
      <c r="Y1860" s="4"/>
      <c r="Z1860" s="4">
        <v>236.77270709732315</v>
      </c>
      <c r="AA1860" s="4">
        <v>136.11923126306783</v>
      </c>
      <c r="AB1860" s="4">
        <v>0</v>
      </c>
      <c r="AC1860" s="4">
        <v>-26653.21098</v>
      </c>
      <c r="AD1860" s="4">
        <v>-18033.365740000001</v>
      </c>
      <c r="AE1860" s="4">
        <v>0</v>
      </c>
      <c r="AF1860" s="4">
        <v>-33142.969994069099</v>
      </c>
      <c r="AG1860" s="4">
        <v>-19053.697753741711</v>
      </c>
    </row>
    <row r="1861" spans="1:33" ht="11.25" customHeight="1" x14ac:dyDescent="0.25">
      <c r="A1861" s="3" t="s">
        <v>21</v>
      </c>
      <c r="B1861" s="3" t="s">
        <v>47</v>
      </c>
      <c r="C1861" s="3" t="s">
        <v>23</v>
      </c>
      <c r="D1861" s="3" t="s">
        <v>48</v>
      </c>
      <c r="E1861" s="3" t="s">
        <v>49</v>
      </c>
      <c r="F1861" s="3" t="s">
        <v>25</v>
      </c>
      <c r="G1861" s="3" t="s">
        <v>25</v>
      </c>
      <c r="H1861" s="3" t="s">
        <v>25</v>
      </c>
      <c r="I1861" s="6">
        <v>44531</v>
      </c>
      <c r="J1861" s="4">
        <v>0</v>
      </c>
      <c r="K1861" s="4">
        <v>0</v>
      </c>
      <c r="L1861" s="4">
        <v>16690.679</v>
      </c>
      <c r="M1861" s="4">
        <v>16690.679</v>
      </c>
      <c r="N1861" s="4">
        <v>16690.679</v>
      </c>
      <c r="O1861" s="4">
        <v>16690.679</v>
      </c>
      <c r="P1861" s="4">
        <v>1198</v>
      </c>
      <c r="Q1861" s="3" t="s">
        <v>26</v>
      </c>
      <c r="R1861" s="3">
        <v>0</v>
      </c>
      <c r="S1861" s="4">
        <v>0</v>
      </c>
      <c r="T1861" s="4">
        <v>92</v>
      </c>
      <c r="U1861" s="4">
        <v>9</v>
      </c>
      <c r="V1861" s="4">
        <v>0</v>
      </c>
      <c r="W1861" s="4">
        <v>190.41</v>
      </c>
      <c r="X1861" s="4">
        <v>128.83000000000001</v>
      </c>
      <c r="Y1861" s="4"/>
      <c r="Z1861" s="4">
        <v>236.77270709732315</v>
      </c>
      <c r="AA1861" s="4">
        <v>136.11923126306783</v>
      </c>
      <c r="AB1861" s="4">
        <v>0</v>
      </c>
      <c r="AC1861" s="4">
        <v>3178072.1883899998</v>
      </c>
      <c r="AD1861" s="4">
        <v>2150260.1755700004</v>
      </c>
      <c r="AE1861" s="4">
        <v>0</v>
      </c>
      <c r="AF1861" s="4">
        <v>3951897.2501224424</v>
      </c>
      <c r="AG1861" s="4">
        <v>2271922.3947386299</v>
      </c>
    </row>
    <row r="1862" spans="1:33" ht="11.25" customHeight="1" x14ac:dyDescent="0.25">
      <c r="A1862" s="3" t="s">
        <v>27</v>
      </c>
      <c r="B1862" s="3" t="s">
        <v>47</v>
      </c>
      <c r="C1862" s="3" t="s">
        <v>23</v>
      </c>
      <c r="D1862" s="3" t="s">
        <v>48</v>
      </c>
      <c r="E1862" s="3" t="s">
        <v>49</v>
      </c>
      <c r="F1862" s="3" t="s">
        <v>25</v>
      </c>
      <c r="G1862" s="3" t="s">
        <v>25</v>
      </c>
      <c r="H1862" s="3" t="s">
        <v>25</v>
      </c>
      <c r="I1862" s="6">
        <v>44531</v>
      </c>
      <c r="J1862" s="4">
        <v>0</v>
      </c>
      <c r="K1862" s="4">
        <v>0</v>
      </c>
      <c r="L1862" s="4">
        <v>-43.968000000000004</v>
      </c>
      <c r="M1862" s="4">
        <v>-43.968000000000004</v>
      </c>
      <c r="N1862" s="4">
        <v>-43.968000000000004</v>
      </c>
      <c r="O1862" s="4">
        <v>-43.968000000000004</v>
      </c>
      <c r="P1862" s="4">
        <v>-1</v>
      </c>
      <c r="Q1862" s="3" t="s">
        <v>26</v>
      </c>
      <c r="R1862" s="3">
        <v>0</v>
      </c>
      <c r="S1862" s="4">
        <v>0</v>
      </c>
      <c r="T1862" s="4">
        <v>92</v>
      </c>
      <c r="U1862" s="4">
        <v>9</v>
      </c>
      <c r="V1862" s="4">
        <v>0</v>
      </c>
      <c r="W1862" s="4">
        <v>190.41</v>
      </c>
      <c r="X1862" s="4">
        <v>128.83000000000001</v>
      </c>
      <c r="Y1862" s="4"/>
      <c r="Z1862" s="4">
        <v>236.77270709732315</v>
      </c>
      <c r="AA1862" s="4">
        <v>136.11923126306783</v>
      </c>
      <c r="AB1862" s="4">
        <v>0</v>
      </c>
      <c r="AC1862" s="4">
        <v>-8371.9468800000013</v>
      </c>
      <c r="AD1862" s="4">
        <v>-5664.3974400000006</v>
      </c>
      <c r="AE1862" s="4">
        <v>0</v>
      </c>
      <c r="AF1862" s="4">
        <v>-10410.422385655105</v>
      </c>
      <c r="AG1862" s="4">
        <v>-5984.8903601745669</v>
      </c>
    </row>
    <row r="1863" spans="1:33" ht="11.25" customHeight="1" x14ac:dyDescent="0.25">
      <c r="A1863" s="3" t="s">
        <v>21</v>
      </c>
      <c r="B1863" s="3" t="s">
        <v>47</v>
      </c>
      <c r="C1863" s="3" t="s">
        <v>23</v>
      </c>
      <c r="D1863" s="3" t="s">
        <v>48</v>
      </c>
      <c r="E1863" s="3" t="s">
        <v>49</v>
      </c>
      <c r="F1863" s="3" t="s">
        <v>25</v>
      </c>
      <c r="G1863" s="3" t="s">
        <v>25</v>
      </c>
      <c r="H1863" s="3" t="s">
        <v>25</v>
      </c>
      <c r="I1863" s="6">
        <v>44562</v>
      </c>
      <c r="J1863" s="4">
        <v>0</v>
      </c>
      <c r="K1863" s="4">
        <v>0</v>
      </c>
      <c r="L1863" s="4">
        <v>16553.510999999999</v>
      </c>
      <c r="M1863" s="4">
        <v>16553.510999999999</v>
      </c>
      <c r="N1863" s="4">
        <v>16553.510999999999</v>
      </c>
      <c r="O1863" s="4">
        <v>16553.510999999999</v>
      </c>
      <c r="P1863" s="4">
        <v>1206</v>
      </c>
      <c r="Q1863" s="3" t="s">
        <v>26</v>
      </c>
      <c r="R1863" s="3">
        <v>0</v>
      </c>
      <c r="S1863" s="4">
        <v>0</v>
      </c>
      <c r="T1863" s="4">
        <v>92</v>
      </c>
      <c r="U1863" s="4">
        <v>9</v>
      </c>
      <c r="V1863" s="4">
        <v>0</v>
      </c>
      <c r="W1863" s="4">
        <v>190.41</v>
      </c>
      <c r="X1863" s="4">
        <v>128.83000000000001</v>
      </c>
      <c r="Y1863" s="4"/>
      <c r="Z1863" s="4">
        <v>236.77270709732315</v>
      </c>
      <c r="AA1863" s="4">
        <v>136.11923126306783</v>
      </c>
      <c r="AB1863" s="4">
        <v>0</v>
      </c>
      <c r="AC1863" s="4">
        <v>3151954.0295099998</v>
      </c>
      <c r="AD1863" s="4">
        <v>2132588.8221300002</v>
      </c>
      <c r="AE1863" s="4">
        <v>0</v>
      </c>
      <c r="AF1863" s="4">
        <v>3919419.6114353165</v>
      </c>
      <c r="AG1863" s="4">
        <v>2253251.1920247371</v>
      </c>
    </row>
    <row r="1864" spans="1:33" ht="11.25" customHeight="1" x14ac:dyDescent="0.25">
      <c r="A1864" s="3" t="s">
        <v>27</v>
      </c>
      <c r="B1864" s="3" t="s">
        <v>47</v>
      </c>
      <c r="C1864" s="3" t="s">
        <v>23</v>
      </c>
      <c r="D1864" s="3" t="s">
        <v>48</v>
      </c>
      <c r="E1864" s="3" t="s">
        <v>49</v>
      </c>
      <c r="F1864" s="3" t="s">
        <v>25</v>
      </c>
      <c r="G1864" s="3" t="s">
        <v>25</v>
      </c>
      <c r="H1864" s="3" t="s">
        <v>25</v>
      </c>
      <c r="I1864" s="6">
        <v>44562</v>
      </c>
      <c r="J1864" s="4">
        <v>0</v>
      </c>
      <c r="K1864" s="4">
        <v>0</v>
      </c>
      <c r="L1864" s="4">
        <v>9.09</v>
      </c>
      <c r="M1864" s="4">
        <v>9.09</v>
      </c>
      <c r="N1864" s="4">
        <v>9.09</v>
      </c>
      <c r="O1864" s="4">
        <v>9.09</v>
      </c>
      <c r="P1864" s="4">
        <v>7</v>
      </c>
      <c r="Q1864" s="3" t="s">
        <v>26</v>
      </c>
      <c r="R1864" s="3">
        <v>0</v>
      </c>
      <c r="S1864" s="4">
        <v>0</v>
      </c>
      <c r="T1864" s="4">
        <v>92</v>
      </c>
      <c r="U1864" s="4">
        <v>9</v>
      </c>
      <c r="V1864" s="4">
        <v>0</v>
      </c>
      <c r="W1864" s="4">
        <v>190.41</v>
      </c>
      <c r="X1864" s="4">
        <v>128.83000000000001</v>
      </c>
      <c r="Y1864" s="4"/>
      <c r="Z1864" s="4">
        <v>236.77270709732315</v>
      </c>
      <c r="AA1864" s="4">
        <v>136.11923126306783</v>
      </c>
      <c r="AB1864" s="4">
        <v>0</v>
      </c>
      <c r="AC1864" s="4">
        <v>1730.8269</v>
      </c>
      <c r="AD1864" s="4">
        <v>1171.0647000000001</v>
      </c>
      <c r="AE1864" s="4">
        <v>0</v>
      </c>
      <c r="AF1864" s="4">
        <v>2152.2639075146676</v>
      </c>
      <c r="AG1864" s="4">
        <v>1237.3238121812865</v>
      </c>
    </row>
    <row r="1865" spans="1:33" ht="11.25" customHeight="1" x14ac:dyDescent="0.25">
      <c r="A1865" s="3" t="s">
        <v>21</v>
      </c>
      <c r="B1865" s="3" t="s">
        <v>47</v>
      </c>
      <c r="C1865" s="3" t="s">
        <v>23</v>
      </c>
      <c r="D1865" s="3" t="s">
        <v>48</v>
      </c>
      <c r="E1865" s="3" t="s">
        <v>49</v>
      </c>
      <c r="F1865" s="3" t="s">
        <v>25</v>
      </c>
      <c r="G1865" s="3" t="s">
        <v>25</v>
      </c>
      <c r="H1865" s="3" t="s">
        <v>25</v>
      </c>
      <c r="I1865" s="6">
        <v>44593</v>
      </c>
      <c r="J1865" s="4">
        <v>0</v>
      </c>
      <c r="K1865" s="4">
        <v>0</v>
      </c>
      <c r="L1865" s="4">
        <v>15015.512000000001</v>
      </c>
      <c r="M1865" s="4">
        <v>15015.512000000001</v>
      </c>
      <c r="N1865" s="4">
        <v>15015.512000000001</v>
      </c>
      <c r="O1865" s="4">
        <v>15015.512000000001</v>
      </c>
      <c r="P1865" s="4">
        <v>1217</v>
      </c>
      <c r="Q1865" s="3" t="s">
        <v>26</v>
      </c>
      <c r="R1865" s="3">
        <v>0</v>
      </c>
      <c r="S1865" s="4">
        <v>0</v>
      </c>
      <c r="T1865" s="4">
        <v>92</v>
      </c>
      <c r="U1865" s="4">
        <v>9</v>
      </c>
      <c r="V1865" s="4">
        <v>0</v>
      </c>
      <c r="W1865" s="4">
        <v>190.41</v>
      </c>
      <c r="X1865" s="4">
        <v>128.83000000000001</v>
      </c>
      <c r="Y1865" s="4"/>
      <c r="Z1865" s="4">
        <v>236.77270709732315</v>
      </c>
      <c r="AA1865" s="4">
        <v>136.11923126306783</v>
      </c>
      <c r="AB1865" s="4">
        <v>0</v>
      </c>
      <c r="AC1865" s="4">
        <v>2859103.63992</v>
      </c>
      <c r="AD1865" s="4">
        <v>1934448.4109600002</v>
      </c>
      <c r="AE1865" s="4">
        <v>0</v>
      </c>
      <c r="AF1865" s="4">
        <v>3555263.4246923411</v>
      </c>
      <c r="AG1865" s="4">
        <v>2043899.9504613702</v>
      </c>
    </row>
    <row r="1866" spans="1:33" ht="11.25" customHeight="1" x14ac:dyDescent="0.25">
      <c r="A1866" s="3" t="s">
        <v>56</v>
      </c>
      <c r="B1866" s="3" t="s">
        <v>47</v>
      </c>
      <c r="C1866" s="3" t="s">
        <v>23</v>
      </c>
      <c r="D1866" s="3" t="s">
        <v>48</v>
      </c>
      <c r="E1866" s="3" t="s">
        <v>49</v>
      </c>
      <c r="F1866" s="3" t="s">
        <v>25</v>
      </c>
      <c r="G1866" s="3" t="s">
        <v>25</v>
      </c>
      <c r="H1866" s="3" t="s">
        <v>25</v>
      </c>
      <c r="I1866" s="6">
        <v>44621</v>
      </c>
      <c r="J1866" s="4">
        <v>0</v>
      </c>
      <c r="K1866" s="4">
        <v>0</v>
      </c>
      <c r="L1866" s="4">
        <v>15015.512000000001</v>
      </c>
      <c r="M1866" s="4">
        <v>15015.512000000001</v>
      </c>
      <c r="N1866" s="4">
        <v>15015.512000000001</v>
      </c>
      <c r="O1866" s="4">
        <v>15015.512000000001</v>
      </c>
      <c r="P1866" s="4">
        <v>1217</v>
      </c>
      <c r="Q1866" s="3" t="s">
        <v>26</v>
      </c>
      <c r="R1866" s="3">
        <v>0</v>
      </c>
      <c r="S1866" s="4">
        <v>0</v>
      </c>
      <c r="T1866" s="4">
        <v>92</v>
      </c>
      <c r="U1866" s="4">
        <v>9</v>
      </c>
      <c r="V1866" s="4">
        <v>0</v>
      </c>
      <c r="W1866" s="4">
        <v>190.41</v>
      </c>
      <c r="X1866" s="4">
        <v>128.83000000000001</v>
      </c>
      <c r="Y1866" s="4"/>
      <c r="Z1866" s="4">
        <v>236.77270709732315</v>
      </c>
      <c r="AA1866" s="4">
        <v>136.11923126306783</v>
      </c>
      <c r="AB1866" s="4">
        <v>0</v>
      </c>
      <c r="AC1866" s="4">
        <v>2859103.63992</v>
      </c>
      <c r="AD1866" s="4">
        <v>1934448.4109600002</v>
      </c>
      <c r="AE1866" s="4">
        <v>0</v>
      </c>
      <c r="AF1866" s="4">
        <v>3555263.4246923411</v>
      </c>
      <c r="AG1866" s="4">
        <v>2043899.9504613702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D80D-3897-49E6-B459-8B193E2A69BD}">
  <dimension ref="B1:U18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55" t="s">
        <v>1058</v>
      </c>
      <c r="C1" s="55" t="s">
        <v>1059</v>
      </c>
      <c r="D1" s="55" t="s">
        <v>1060</v>
      </c>
      <c r="E1" s="55" t="s">
        <v>2</v>
      </c>
      <c r="F1" s="55" t="s">
        <v>1061</v>
      </c>
      <c r="G1" s="55" t="s">
        <v>978</v>
      </c>
      <c r="H1" s="55" t="s">
        <v>3</v>
      </c>
      <c r="I1" s="55" t="s">
        <v>1062</v>
      </c>
      <c r="J1" s="55" t="s">
        <v>5</v>
      </c>
      <c r="K1" s="55" t="s">
        <v>1</v>
      </c>
      <c r="L1" s="55" t="s">
        <v>1063</v>
      </c>
      <c r="M1" s="55" t="s">
        <v>1064</v>
      </c>
      <c r="N1" s="55" t="s">
        <v>1065</v>
      </c>
      <c r="O1" s="55" t="s">
        <v>1066</v>
      </c>
      <c r="P1" s="55" t="s">
        <v>1067</v>
      </c>
      <c r="Q1" s="55" t="s">
        <v>1068</v>
      </c>
      <c r="R1" s="55" t="s">
        <v>1069</v>
      </c>
      <c r="S1" s="55" t="s">
        <v>1070</v>
      </c>
      <c r="T1" s="55" t="s">
        <v>1071</v>
      </c>
      <c r="U1" s="55" t="s">
        <v>1072</v>
      </c>
    </row>
    <row r="2" spans="2:21" x14ac:dyDescent="0.25">
      <c r="B2" s="54" t="s">
        <v>1039</v>
      </c>
      <c r="C2" s="54">
        <v>4841</v>
      </c>
      <c r="D2" s="54">
        <v>6587</v>
      </c>
      <c r="E2" s="54" t="s">
        <v>23</v>
      </c>
      <c r="F2" s="54">
        <v>1</v>
      </c>
      <c r="G2" s="54" t="s">
        <v>1040</v>
      </c>
      <c r="H2" s="54" t="s">
        <v>45</v>
      </c>
      <c r="I2" s="54" t="s">
        <v>25</v>
      </c>
      <c r="J2" s="54" t="s">
        <v>45</v>
      </c>
      <c r="K2" s="54" t="s">
        <v>44</v>
      </c>
      <c r="L2" s="54">
        <v>0.3</v>
      </c>
      <c r="M2" s="54">
        <v>0.24</v>
      </c>
      <c r="N2" s="54">
        <v>0.18</v>
      </c>
      <c r="O2" s="54">
        <v>0.12</v>
      </c>
      <c r="P2" s="54">
        <v>0.06</v>
      </c>
      <c r="Q2" s="54">
        <v>0</v>
      </c>
      <c r="R2" s="54"/>
      <c r="S2" s="54"/>
      <c r="T2" s="54"/>
      <c r="U2" s="54">
        <v>3</v>
      </c>
    </row>
    <row r="3" spans="2:21" x14ac:dyDescent="0.25">
      <c r="B3" s="54" t="s">
        <v>1041</v>
      </c>
      <c r="C3" s="54">
        <v>6625</v>
      </c>
      <c r="D3" s="54">
        <v>6587</v>
      </c>
      <c r="E3" s="54" t="s">
        <v>40</v>
      </c>
      <c r="F3" s="54">
        <v>1</v>
      </c>
      <c r="G3" s="54" t="s">
        <v>1040</v>
      </c>
      <c r="H3" s="54" t="s">
        <v>45</v>
      </c>
      <c r="I3" s="54" t="s">
        <v>25</v>
      </c>
      <c r="J3" s="54" t="s">
        <v>1042</v>
      </c>
      <c r="K3" s="54" t="s">
        <v>41</v>
      </c>
      <c r="L3" s="54">
        <v>0.1</v>
      </c>
      <c r="M3" s="54">
        <v>0.08</v>
      </c>
      <c r="N3" s="54">
        <v>0.06</v>
      </c>
      <c r="O3" s="54">
        <v>0.04</v>
      </c>
      <c r="P3" s="54">
        <v>0.02</v>
      </c>
      <c r="Q3" s="54">
        <v>0</v>
      </c>
      <c r="R3" s="54"/>
      <c r="S3" s="54"/>
      <c r="T3" s="54"/>
      <c r="U3" s="54">
        <v>3</v>
      </c>
    </row>
    <row r="4" spans="2:21" x14ac:dyDescent="0.25">
      <c r="B4" s="54" t="s">
        <v>1043</v>
      </c>
      <c r="C4" s="54">
        <v>6626</v>
      </c>
      <c r="D4" s="54">
        <v>6587</v>
      </c>
      <c r="E4" s="54" t="s">
        <v>42</v>
      </c>
      <c r="F4" s="54">
        <v>1</v>
      </c>
      <c r="G4" s="54" t="s">
        <v>1040</v>
      </c>
      <c r="H4" s="54" t="s">
        <v>45</v>
      </c>
      <c r="I4" s="54" t="s">
        <v>25</v>
      </c>
      <c r="J4" s="54" t="s">
        <v>1042</v>
      </c>
      <c r="K4" s="54" t="s">
        <v>41</v>
      </c>
      <c r="L4" s="54">
        <v>0.1</v>
      </c>
      <c r="M4" s="54">
        <v>0.08</v>
      </c>
      <c r="N4" s="54">
        <v>0.06</v>
      </c>
      <c r="O4" s="54">
        <v>0.04</v>
      </c>
      <c r="P4" s="54">
        <v>0.02</v>
      </c>
      <c r="Q4" s="54">
        <v>0</v>
      </c>
      <c r="R4" s="54"/>
      <c r="S4" s="54"/>
      <c r="T4" s="54"/>
      <c r="U4" s="54">
        <v>3</v>
      </c>
    </row>
    <row r="5" spans="2:21" x14ac:dyDescent="0.25">
      <c r="B5" s="54" t="s">
        <v>1044</v>
      </c>
      <c r="C5" s="54">
        <v>6627</v>
      </c>
      <c r="D5" s="54">
        <v>6587</v>
      </c>
      <c r="E5" s="54" t="s">
        <v>23</v>
      </c>
      <c r="F5" s="54">
        <v>1</v>
      </c>
      <c r="G5" s="54" t="s">
        <v>1040</v>
      </c>
      <c r="H5" s="54" t="s">
        <v>45</v>
      </c>
      <c r="I5" s="54" t="s">
        <v>25</v>
      </c>
      <c r="J5" s="54" t="s">
        <v>1042</v>
      </c>
      <c r="K5" s="54" t="s">
        <v>41</v>
      </c>
      <c r="L5" s="54">
        <v>0.1</v>
      </c>
      <c r="M5" s="54">
        <v>0.08</v>
      </c>
      <c r="N5" s="54">
        <v>0.06</v>
      </c>
      <c r="O5" s="54">
        <v>0.04</v>
      </c>
      <c r="P5" s="54">
        <v>0.02</v>
      </c>
      <c r="Q5" s="54">
        <v>0</v>
      </c>
      <c r="R5" s="54"/>
      <c r="S5" s="54"/>
      <c r="T5" s="54"/>
      <c r="U5" s="54">
        <v>3</v>
      </c>
    </row>
    <row r="6" spans="2:21" x14ac:dyDescent="0.25">
      <c r="B6" s="54" t="s">
        <v>1045</v>
      </c>
      <c r="C6" s="54">
        <v>6628</v>
      </c>
      <c r="D6" s="54">
        <v>6587</v>
      </c>
      <c r="E6" s="54" t="s">
        <v>40</v>
      </c>
      <c r="F6" s="54">
        <v>1</v>
      </c>
      <c r="G6" s="54" t="s">
        <v>1040</v>
      </c>
      <c r="H6" s="54" t="s">
        <v>50</v>
      </c>
      <c r="I6" s="54" t="s">
        <v>51</v>
      </c>
      <c r="J6" s="54" t="s">
        <v>1046</v>
      </c>
      <c r="K6" s="54" t="s">
        <v>41</v>
      </c>
      <c r="L6" s="54">
        <v>0.15</v>
      </c>
      <c r="M6" s="54">
        <v>0.12</v>
      </c>
      <c r="N6" s="54">
        <v>0.09</v>
      </c>
      <c r="O6" s="54">
        <v>0.06</v>
      </c>
      <c r="P6" s="54">
        <v>0.03</v>
      </c>
      <c r="Q6" s="54">
        <v>0</v>
      </c>
      <c r="R6" s="54"/>
      <c r="S6" s="54"/>
      <c r="T6" s="54"/>
      <c r="U6" s="54">
        <v>3</v>
      </c>
    </row>
    <row r="7" spans="2:21" x14ac:dyDescent="0.25">
      <c r="B7" s="54" t="s">
        <v>1047</v>
      </c>
      <c r="C7" s="54">
        <v>6629</v>
      </c>
      <c r="D7" s="54">
        <v>6587</v>
      </c>
      <c r="E7" s="54" t="s">
        <v>42</v>
      </c>
      <c r="F7" s="54">
        <v>1</v>
      </c>
      <c r="G7" s="54" t="s">
        <v>1040</v>
      </c>
      <c r="H7" s="54" t="s">
        <v>50</v>
      </c>
      <c r="I7" s="54" t="s">
        <v>51</v>
      </c>
      <c r="J7" s="54" t="s">
        <v>1046</v>
      </c>
      <c r="K7" s="54" t="s">
        <v>41</v>
      </c>
      <c r="L7" s="54">
        <v>0.15</v>
      </c>
      <c r="M7" s="54">
        <v>0.12</v>
      </c>
      <c r="N7" s="54">
        <v>0.09</v>
      </c>
      <c r="O7" s="54">
        <v>0.06</v>
      </c>
      <c r="P7" s="54">
        <v>0.03</v>
      </c>
      <c r="Q7" s="54">
        <v>0</v>
      </c>
      <c r="R7" s="54"/>
      <c r="S7" s="54"/>
      <c r="T7" s="54"/>
      <c r="U7" s="54">
        <v>3</v>
      </c>
    </row>
    <row r="8" spans="2:21" x14ac:dyDescent="0.25">
      <c r="B8" s="54" t="s">
        <v>1048</v>
      </c>
      <c r="C8" s="54">
        <v>6630</v>
      </c>
      <c r="D8" s="54">
        <v>6587</v>
      </c>
      <c r="E8" s="54" t="s">
        <v>23</v>
      </c>
      <c r="F8" s="54">
        <v>1</v>
      </c>
      <c r="G8" s="54" t="s">
        <v>1040</v>
      </c>
      <c r="H8" s="54" t="s">
        <v>50</v>
      </c>
      <c r="I8" s="54" t="s">
        <v>51</v>
      </c>
      <c r="J8" s="54" t="s">
        <v>1046</v>
      </c>
      <c r="K8" s="54" t="s">
        <v>41</v>
      </c>
      <c r="L8" s="54">
        <v>0.15</v>
      </c>
      <c r="M8" s="54">
        <v>0.12</v>
      </c>
      <c r="N8" s="54">
        <v>0.09</v>
      </c>
      <c r="O8" s="54">
        <v>0.06</v>
      </c>
      <c r="P8" s="54">
        <v>0.03</v>
      </c>
      <c r="Q8" s="54">
        <v>0</v>
      </c>
      <c r="R8" s="54"/>
      <c r="S8" s="54"/>
      <c r="T8" s="54"/>
      <c r="U8" s="54">
        <v>3</v>
      </c>
    </row>
    <row r="9" spans="2:21" x14ac:dyDescent="0.25">
      <c r="B9" s="54" t="s">
        <v>1039</v>
      </c>
      <c r="C9" s="54">
        <v>6631</v>
      </c>
      <c r="D9" s="54">
        <v>6587</v>
      </c>
      <c r="E9" s="54" t="s">
        <v>23</v>
      </c>
      <c r="F9" s="54">
        <v>1</v>
      </c>
      <c r="G9" s="54" t="s">
        <v>1040</v>
      </c>
      <c r="H9" s="54" t="s">
        <v>45</v>
      </c>
      <c r="I9" s="54" t="s">
        <v>25</v>
      </c>
      <c r="J9" s="54" t="s">
        <v>45</v>
      </c>
      <c r="K9" s="54" t="s">
        <v>44</v>
      </c>
      <c r="L9" s="54">
        <v>0.3</v>
      </c>
      <c r="M9" s="54">
        <v>0.24</v>
      </c>
      <c r="N9" s="54">
        <v>0.18</v>
      </c>
      <c r="O9" s="54">
        <v>0.12</v>
      </c>
      <c r="P9" s="54">
        <v>0.06</v>
      </c>
      <c r="Q9" s="54">
        <v>0</v>
      </c>
      <c r="R9" s="54"/>
      <c r="S9" s="54"/>
      <c r="T9" s="54"/>
      <c r="U9" s="54">
        <v>3</v>
      </c>
    </row>
    <row r="10" spans="2:21" x14ac:dyDescent="0.25">
      <c r="B10" s="54" t="s">
        <v>1049</v>
      </c>
      <c r="C10" s="54">
        <v>6632</v>
      </c>
      <c r="D10" s="54">
        <v>6587</v>
      </c>
      <c r="E10" s="54" t="s">
        <v>33</v>
      </c>
      <c r="F10" s="54">
        <v>1</v>
      </c>
      <c r="G10" s="54" t="s">
        <v>1040</v>
      </c>
      <c r="H10" s="54" t="s">
        <v>45</v>
      </c>
      <c r="I10" s="54" t="s">
        <v>25</v>
      </c>
      <c r="J10" s="54" t="s">
        <v>45</v>
      </c>
      <c r="K10" s="54" t="s">
        <v>44</v>
      </c>
      <c r="L10" s="54">
        <v>0.3</v>
      </c>
      <c r="M10" s="54">
        <v>0.24</v>
      </c>
      <c r="N10" s="54">
        <v>0.18</v>
      </c>
      <c r="O10" s="54">
        <v>0.12</v>
      </c>
      <c r="P10" s="54">
        <v>0.06</v>
      </c>
      <c r="Q10" s="54">
        <v>0</v>
      </c>
      <c r="R10" s="54"/>
      <c r="S10" s="54"/>
      <c r="T10" s="54"/>
      <c r="U10" s="54">
        <v>3</v>
      </c>
    </row>
    <row r="11" spans="2:21" x14ac:dyDescent="0.25">
      <c r="B11" s="54" t="s">
        <v>1050</v>
      </c>
      <c r="C11" s="54">
        <v>6633</v>
      </c>
      <c r="D11" s="54">
        <v>6587</v>
      </c>
      <c r="E11" s="54" t="s">
        <v>23</v>
      </c>
      <c r="F11" s="54">
        <v>1</v>
      </c>
      <c r="G11" s="54" t="s">
        <v>1040</v>
      </c>
      <c r="H11" s="54" t="s">
        <v>45</v>
      </c>
      <c r="I11" s="54" t="s">
        <v>110</v>
      </c>
      <c r="J11" s="54" t="s">
        <v>1046</v>
      </c>
      <c r="K11" s="54" t="s">
        <v>44</v>
      </c>
      <c r="L11" s="54">
        <v>0.3</v>
      </c>
      <c r="M11" s="54">
        <v>0.24</v>
      </c>
      <c r="N11" s="54">
        <v>0.18</v>
      </c>
      <c r="O11" s="54">
        <v>0.12</v>
      </c>
      <c r="P11" s="54">
        <v>0.06</v>
      </c>
      <c r="Q11" s="54">
        <v>0</v>
      </c>
      <c r="R11" s="54"/>
      <c r="S11" s="54"/>
      <c r="T11" s="54"/>
      <c r="U11" s="54">
        <v>3</v>
      </c>
    </row>
    <row r="12" spans="2:21" x14ac:dyDescent="0.25">
      <c r="B12" s="54" t="s">
        <v>1051</v>
      </c>
      <c r="C12" s="54">
        <v>6634</v>
      </c>
      <c r="D12" s="54">
        <v>6587</v>
      </c>
      <c r="E12" s="54" t="s">
        <v>33</v>
      </c>
      <c r="F12" s="54">
        <v>1</v>
      </c>
      <c r="G12" s="54" t="s">
        <v>1040</v>
      </c>
      <c r="H12" s="54" t="s">
        <v>45</v>
      </c>
      <c r="I12" s="54" t="s">
        <v>110</v>
      </c>
      <c r="J12" s="54" t="s">
        <v>1046</v>
      </c>
      <c r="K12" s="54" t="s">
        <v>44</v>
      </c>
      <c r="L12" s="54">
        <v>0.3</v>
      </c>
      <c r="M12" s="54">
        <v>0.24</v>
      </c>
      <c r="N12" s="54">
        <v>0.18</v>
      </c>
      <c r="O12" s="54">
        <v>0.12</v>
      </c>
      <c r="P12" s="54">
        <v>0.06</v>
      </c>
      <c r="Q12" s="54">
        <v>0</v>
      </c>
      <c r="R12" s="54"/>
      <c r="S12" s="54"/>
      <c r="T12" s="54"/>
      <c r="U12" s="54">
        <v>3</v>
      </c>
    </row>
    <row r="13" spans="2:21" x14ac:dyDescent="0.25">
      <c r="B13" s="54" t="s">
        <v>1052</v>
      </c>
      <c r="C13" s="54">
        <v>6635</v>
      </c>
      <c r="D13" s="54">
        <v>6587</v>
      </c>
      <c r="E13" s="54" t="s">
        <v>23</v>
      </c>
      <c r="F13" s="54">
        <v>1</v>
      </c>
      <c r="G13" s="54" t="s">
        <v>1040</v>
      </c>
      <c r="H13" s="54" t="s">
        <v>45</v>
      </c>
      <c r="I13" s="54" t="s">
        <v>111</v>
      </c>
      <c r="J13" s="54" t="s">
        <v>1046</v>
      </c>
      <c r="K13" s="54" t="s">
        <v>44</v>
      </c>
      <c r="L13" s="54">
        <v>0.4</v>
      </c>
      <c r="M13" s="54">
        <v>0.32</v>
      </c>
      <c r="N13" s="54">
        <v>0.24</v>
      </c>
      <c r="O13" s="54">
        <v>0.16</v>
      </c>
      <c r="P13" s="54">
        <v>0.08</v>
      </c>
      <c r="Q13" s="54">
        <v>0</v>
      </c>
      <c r="R13" s="54"/>
      <c r="S13" s="54"/>
      <c r="T13" s="54"/>
      <c r="U13" s="54">
        <v>3</v>
      </c>
    </row>
    <row r="14" spans="2:21" x14ac:dyDescent="0.25">
      <c r="B14" s="54" t="s">
        <v>1053</v>
      </c>
      <c r="C14" s="54">
        <v>6636</v>
      </c>
      <c r="D14" s="54">
        <v>6587</v>
      </c>
      <c r="E14" s="54" t="s">
        <v>33</v>
      </c>
      <c r="F14" s="54">
        <v>1</v>
      </c>
      <c r="G14" s="54" t="s">
        <v>1040</v>
      </c>
      <c r="H14" s="54" t="s">
        <v>45</v>
      </c>
      <c r="I14" s="54" t="s">
        <v>111</v>
      </c>
      <c r="J14" s="54" t="s">
        <v>1046</v>
      </c>
      <c r="K14" s="54" t="s">
        <v>44</v>
      </c>
      <c r="L14" s="54">
        <v>0.4</v>
      </c>
      <c r="M14" s="54">
        <v>0.32</v>
      </c>
      <c r="N14" s="54">
        <v>0.24</v>
      </c>
      <c r="O14" s="54">
        <v>0.16</v>
      </c>
      <c r="P14" s="54">
        <v>0.08</v>
      </c>
      <c r="Q14" s="54">
        <v>0</v>
      </c>
      <c r="R14" s="54"/>
      <c r="S14" s="54"/>
      <c r="T14" s="54"/>
      <c r="U14" s="54">
        <v>3</v>
      </c>
    </row>
    <row r="15" spans="2:21" x14ac:dyDescent="0.25">
      <c r="B15" s="54" t="s">
        <v>1054</v>
      </c>
      <c r="C15" s="54">
        <v>6637</v>
      </c>
      <c r="D15" s="54">
        <v>6587</v>
      </c>
      <c r="E15" s="54" t="s">
        <v>23</v>
      </c>
      <c r="F15" s="54">
        <v>1</v>
      </c>
      <c r="G15" s="54" t="s">
        <v>1040</v>
      </c>
      <c r="H15" s="54" t="s">
        <v>50</v>
      </c>
      <c r="I15" s="54" t="s">
        <v>51</v>
      </c>
      <c r="J15" s="54" t="s">
        <v>1046</v>
      </c>
      <c r="K15" s="54" t="s">
        <v>37</v>
      </c>
      <c r="L15" s="54">
        <v>0.15</v>
      </c>
      <c r="M15" s="54">
        <v>0.12</v>
      </c>
      <c r="N15" s="54">
        <v>0.09</v>
      </c>
      <c r="O15" s="54">
        <v>0.06</v>
      </c>
      <c r="P15" s="54">
        <v>0.03</v>
      </c>
      <c r="Q15" s="54">
        <v>0</v>
      </c>
      <c r="R15" s="54"/>
      <c r="S15" s="54"/>
      <c r="T15" s="54"/>
      <c r="U15" s="54">
        <v>3</v>
      </c>
    </row>
    <row r="16" spans="2:21" x14ac:dyDescent="0.25">
      <c r="B16" s="54" t="s">
        <v>1055</v>
      </c>
      <c r="C16" s="54">
        <v>6638</v>
      </c>
      <c r="D16" s="54">
        <v>6587</v>
      </c>
      <c r="E16" s="54" t="s">
        <v>33</v>
      </c>
      <c r="F16" s="54">
        <v>1</v>
      </c>
      <c r="G16" s="54" t="s">
        <v>1040</v>
      </c>
      <c r="H16" s="54" t="s">
        <v>50</v>
      </c>
      <c r="I16" s="54" t="s">
        <v>51</v>
      </c>
      <c r="J16" s="54" t="s">
        <v>1046</v>
      </c>
      <c r="K16" s="54" t="s">
        <v>37</v>
      </c>
      <c r="L16" s="54">
        <v>0.15</v>
      </c>
      <c r="M16" s="54">
        <v>0.12</v>
      </c>
      <c r="N16" s="54">
        <v>0.09</v>
      </c>
      <c r="O16" s="54">
        <v>0.06</v>
      </c>
      <c r="P16" s="54">
        <v>0.03</v>
      </c>
      <c r="Q16" s="54">
        <v>0</v>
      </c>
      <c r="R16" s="54"/>
      <c r="S16" s="54"/>
      <c r="T16" s="54"/>
      <c r="U16" s="54">
        <v>3</v>
      </c>
    </row>
    <row r="17" spans="2:21" x14ac:dyDescent="0.25">
      <c r="B17" s="54" t="s">
        <v>1056</v>
      </c>
      <c r="C17" s="54">
        <v>6639</v>
      </c>
      <c r="D17" s="54">
        <v>6587</v>
      </c>
      <c r="E17" s="54" t="s">
        <v>40</v>
      </c>
      <c r="F17" s="54">
        <v>1</v>
      </c>
      <c r="G17" s="54" t="s">
        <v>1040</v>
      </c>
      <c r="H17" s="54" t="s">
        <v>45</v>
      </c>
      <c r="I17" s="54" t="s">
        <v>25</v>
      </c>
      <c r="J17" s="54" t="s">
        <v>1042</v>
      </c>
      <c r="K17" s="54" t="s">
        <v>39</v>
      </c>
      <c r="L17" s="54">
        <v>0.1</v>
      </c>
      <c r="M17" s="54">
        <v>0.08</v>
      </c>
      <c r="N17" s="54">
        <v>0.06</v>
      </c>
      <c r="O17" s="54">
        <v>0.04</v>
      </c>
      <c r="P17" s="54">
        <v>0.02</v>
      </c>
      <c r="Q17" s="54">
        <v>0</v>
      </c>
      <c r="R17" s="54"/>
      <c r="S17" s="54"/>
      <c r="T17" s="54"/>
      <c r="U17" s="54">
        <v>3</v>
      </c>
    </row>
    <row r="18" spans="2:21" x14ac:dyDescent="0.25">
      <c r="B18" s="54" t="s">
        <v>1057</v>
      </c>
      <c r="C18" s="54">
        <v>6640</v>
      </c>
      <c r="D18" s="54">
        <v>6587</v>
      </c>
      <c r="E18" s="54" t="s">
        <v>40</v>
      </c>
      <c r="F18" s="54">
        <v>1</v>
      </c>
      <c r="G18" s="54" t="s">
        <v>1040</v>
      </c>
      <c r="H18" s="54" t="s">
        <v>50</v>
      </c>
      <c r="I18" s="54" t="s">
        <v>51</v>
      </c>
      <c r="J18" s="54" t="s">
        <v>1046</v>
      </c>
      <c r="K18" s="54" t="s">
        <v>39</v>
      </c>
      <c r="L18" s="54">
        <v>0.15</v>
      </c>
      <c r="M18" s="54">
        <v>0.12</v>
      </c>
      <c r="N18" s="54">
        <v>0.09</v>
      </c>
      <c r="O18" s="54">
        <v>0.06</v>
      </c>
      <c r="P18" s="54">
        <v>0.03</v>
      </c>
      <c r="Q18" s="54">
        <v>0</v>
      </c>
      <c r="R18" s="54"/>
      <c r="S18" s="54"/>
      <c r="T18" s="54"/>
      <c r="U18" s="54">
        <v>3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2228B-39AC-47FB-95D1-7322356DC79E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5" t="s">
        <v>1583</v>
      </c>
      <c r="B1" s="75" t="s">
        <v>22</v>
      </c>
      <c r="C1" s="75" t="s">
        <v>1582</v>
      </c>
      <c r="D1" s="75" t="s">
        <v>1581</v>
      </c>
      <c r="E1" s="75" t="s">
        <v>37</v>
      </c>
      <c r="F1" s="75" t="s">
        <v>1580</v>
      </c>
      <c r="G1" s="75" t="s">
        <v>1579</v>
      </c>
      <c r="H1" s="75" t="s">
        <v>973</v>
      </c>
      <c r="I1" s="75" t="s">
        <v>41</v>
      </c>
      <c r="J1" s="75" t="s">
        <v>972</v>
      </c>
      <c r="K1" s="75" t="s">
        <v>39</v>
      </c>
      <c r="L1" s="75" t="s">
        <v>971</v>
      </c>
    </row>
    <row r="2" spans="1:12" x14ac:dyDescent="0.2">
      <c r="A2" s="71" t="s">
        <v>1578</v>
      </c>
      <c r="B2" s="77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854.22220482135151</v>
      </c>
      <c r="C2" s="77">
        <f t="shared" si="0"/>
        <v>803.17306907505576</v>
      </c>
      <c r="D2" s="77">
        <f t="shared" si="0"/>
        <v>785.73128102840462</v>
      </c>
      <c r="E2" s="77">
        <f t="shared" si="0"/>
        <v>854.22220482135151</v>
      </c>
      <c r="F2" s="77">
        <f t="shared" si="0"/>
        <v>469.65204886592232</v>
      </c>
      <c r="G2" s="77">
        <f t="shared" si="0"/>
        <v>512.61840478572151</v>
      </c>
      <c r="H2" s="77">
        <f t="shared" si="0"/>
        <v>0</v>
      </c>
      <c r="I2" s="77">
        <f t="shared" si="0"/>
        <v>810.65103048126764</v>
      </c>
      <c r="J2" s="77">
        <f t="shared" si="0"/>
        <v>0</v>
      </c>
      <c r="K2" s="77">
        <f t="shared" si="0"/>
        <v>120.59103873174131</v>
      </c>
      <c r="L2" s="77">
        <f t="shared" si="0"/>
        <v>0</v>
      </c>
    </row>
    <row r="3" spans="1:12" ht="12" thickBot="1" x14ac:dyDescent="0.25">
      <c r="A3" s="69" t="s">
        <v>1577</v>
      </c>
      <c r="B3" s="76">
        <v>20.079999999999998</v>
      </c>
      <c r="C3" s="76">
        <v>18.88</v>
      </c>
      <c r="D3" s="76">
        <v>18.47</v>
      </c>
      <c r="E3" s="76">
        <v>20.079999999999998</v>
      </c>
      <c r="F3" s="76">
        <v>11.04</v>
      </c>
      <c r="G3" s="76">
        <v>12.05</v>
      </c>
      <c r="H3" s="76">
        <v>0</v>
      </c>
      <c r="I3" s="76">
        <f>'TUSD BE'!$AC$14</f>
        <v>19.055782675970288</v>
      </c>
      <c r="J3" s="76">
        <v>0</v>
      </c>
      <c r="K3" s="76">
        <f>'TUSD BE'!$AC$6</f>
        <v>2.8347051201271234</v>
      </c>
      <c r="L3" s="76">
        <v>0</v>
      </c>
    </row>
    <row r="5" spans="1:12" ht="12" thickBot="1" x14ac:dyDescent="0.25">
      <c r="A5" s="75" t="s">
        <v>1576</v>
      </c>
      <c r="B5" s="75" t="s">
        <v>1575</v>
      </c>
    </row>
    <row r="6" spans="1:12" x14ac:dyDescent="0.2">
      <c r="A6" s="71" t="s">
        <v>1574</v>
      </c>
      <c r="B6" s="74">
        <v>0.1226</v>
      </c>
    </row>
    <row r="7" spans="1:12" x14ac:dyDescent="0.2">
      <c r="A7" s="73" t="s">
        <v>1573</v>
      </c>
      <c r="B7" s="72">
        <v>0.34</v>
      </c>
    </row>
    <row r="8" spans="1:12" x14ac:dyDescent="0.2">
      <c r="A8" s="71" t="s">
        <v>1572</v>
      </c>
      <c r="B8" s="70">
        <v>399490064.15896887</v>
      </c>
    </row>
    <row r="9" spans="1:12" x14ac:dyDescent="0.2">
      <c r="A9" s="73" t="s">
        <v>1571</v>
      </c>
      <c r="B9" s="72">
        <v>3.8100000000000002E-2</v>
      </c>
    </row>
    <row r="10" spans="1:12" x14ac:dyDescent="0.2">
      <c r="A10" s="71" t="s">
        <v>1570</v>
      </c>
      <c r="B10" s="70">
        <v>217095683.52177849</v>
      </c>
    </row>
    <row r="11" spans="1:12" ht="12" thickBot="1" x14ac:dyDescent="0.25">
      <c r="A11" s="69" t="s">
        <v>1569</v>
      </c>
      <c r="B11" s="68">
        <f>(1+$B$6)^(1/IF($B$9&lt;&gt;0,$B$9,1))*$B$6/IF((1+$B$6)^(1/IF($B$9&lt;&gt;0,$B$9,1))-1&lt;&gt;0,(1+$B$6)^(1/IF($B$9&lt;&gt;0,$B$9,1))-1,1)</f>
        <v>0.12878923689511065</v>
      </c>
    </row>
    <row r="18" spans="2:2" x14ac:dyDescent="0.2">
      <c r="B18" s="6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8DB5-8630-4E34-9510-F5385EBB0A3B}">
  <dimension ref="B1:AR74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14.5703125" bestFit="1" customWidth="1"/>
    <col min="30" max="30" width="12.140625" bestFit="1" customWidth="1"/>
    <col min="31" max="31" width="17.85546875" bestFit="1" customWidth="1"/>
    <col min="32" max="32" width="12.7109375" bestFit="1" customWidth="1"/>
    <col min="33" max="33" width="10.85546875" bestFit="1" customWidth="1"/>
    <col min="34" max="34" width="16.7109375" bestFit="1" customWidth="1"/>
    <col min="35" max="35" width="14.7109375" bestFit="1" customWidth="1"/>
    <col min="36" max="36" width="12.140625" bestFit="1" customWidth="1"/>
    <col min="37" max="37" width="12.7109375" bestFit="1" customWidth="1"/>
    <col min="38" max="38" width="12.42578125" bestFit="1" customWidth="1"/>
    <col min="39" max="39" width="14.28515625" bestFit="1" customWidth="1"/>
    <col min="40" max="40" width="25.42578125" bestFit="1" customWidth="1"/>
    <col min="41" max="41" width="18" bestFit="1" customWidth="1"/>
    <col min="42" max="42" width="14.140625" bestFit="1" customWidth="1"/>
    <col min="43" max="43" width="13.42578125" bestFit="1" customWidth="1"/>
    <col min="44" max="44" width="12.7109375" bestFit="1" customWidth="1"/>
  </cols>
  <sheetData>
    <row r="1" spans="2:44" ht="12" customHeight="1" x14ac:dyDescent="0.25">
      <c r="L1" s="123" t="s">
        <v>1620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1621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859</v>
      </c>
      <c r="M2" s="125"/>
      <c r="N2" s="125"/>
      <c r="O2" s="125"/>
      <c r="P2" s="125"/>
      <c r="Q2" s="125"/>
      <c r="R2" s="125"/>
      <c r="S2" s="126"/>
      <c r="T2" s="125" t="s">
        <v>868</v>
      </c>
      <c r="U2" s="125"/>
      <c r="V2" s="125"/>
      <c r="W2" s="125"/>
      <c r="X2" s="125"/>
      <c r="Y2" s="125"/>
      <c r="Z2" s="126"/>
      <c r="AA2" s="88" t="s">
        <v>876</v>
      </c>
      <c r="AB2" s="125" t="s">
        <v>25</v>
      </c>
      <c r="AC2" s="126"/>
      <c r="AD2" s="125" t="s">
        <v>1619</v>
      </c>
      <c r="AE2" s="125"/>
      <c r="AF2" s="125"/>
      <c r="AG2" s="126"/>
      <c r="AH2" s="125" t="s">
        <v>859</v>
      </c>
      <c r="AI2" s="125"/>
      <c r="AJ2" s="125"/>
      <c r="AK2" s="125"/>
      <c r="AL2" s="126"/>
      <c r="AM2" s="88" t="s">
        <v>889</v>
      </c>
      <c r="AN2" s="125" t="s">
        <v>868</v>
      </c>
      <c r="AO2" s="125"/>
      <c r="AP2" s="125"/>
      <c r="AQ2" s="126"/>
      <c r="AR2" s="87" t="s">
        <v>1619</v>
      </c>
    </row>
    <row r="3" spans="2:44" ht="12" customHeight="1" x14ac:dyDescent="0.25">
      <c r="B3" s="78" t="s">
        <v>83</v>
      </c>
      <c r="C3" s="79" t="s">
        <v>84</v>
      </c>
      <c r="D3" s="79" t="s">
        <v>85</v>
      </c>
      <c r="E3" s="79" t="s">
        <v>86</v>
      </c>
      <c r="F3" s="79" t="s">
        <v>87</v>
      </c>
      <c r="G3" s="79" t="s">
        <v>89</v>
      </c>
      <c r="H3" s="79" t="s">
        <v>90</v>
      </c>
      <c r="I3" s="79" t="s">
        <v>1103</v>
      </c>
      <c r="J3" s="79" t="s">
        <v>1584</v>
      </c>
      <c r="K3" s="79" t="s">
        <v>1585</v>
      </c>
      <c r="L3" s="79" t="s">
        <v>1586</v>
      </c>
      <c r="M3" s="79" t="s">
        <v>1587</v>
      </c>
      <c r="N3" s="79" t="s">
        <v>1588</v>
      </c>
      <c r="O3" s="79" t="s">
        <v>1589</v>
      </c>
      <c r="P3" s="79" t="s">
        <v>1590</v>
      </c>
      <c r="Q3" s="79" t="s">
        <v>1591</v>
      </c>
      <c r="R3" s="79" t="s">
        <v>1592</v>
      </c>
      <c r="S3" s="79" t="s">
        <v>1593</v>
      </c>
      <c r="T3" s="79" t="s">
        <v>1594</v>
      </c>
      <c r="U3" s="79" t="s">
        <v>1595</v>
      </c>
      <c r="V3" s="79" t="s">
        <v>1596</v>
      </c>
      <c r="W3" s="79" t="s">
        <v>1597</v>
      </c>
      <c r="X3" s="79" t="s">
        <v>1598</v>
      </c>
      <c r="Y3" s="79" t="s">
        <v>1599</v>
      </c>
      <c r="Z3" s="79" t="s">
        <v>1600</v>
      </c>
      <c r="AA3" s="79" t="s">
        <v>1601</v>
      </c>
      <c r="AB3" s="79" t="s">
        <v>1602</v>
      </c>
      <c r="AC3" s="79" t="s">
        <v>1603</v>
      </c>
      <c r="AD3" s="79" t="s">
        <v>1604</v>
      </c>
      <c r="AE3" s="79" t="s">
        <v>1605</v>
      </c>
      <c r="AF3" s="79" t="s">
        <v>1606</v>
      </c>
      <c r="AG3" s="79" t="s">
        <v>1607</v>
      </c>
      <c r="AH3" s="79" t="s">
        <v>1608</v>
      </c>
      <c r="AI3" s="79" t="s">
        <v>1623</v>
      </c>
      <c r="AJ3" s="79" t="s">
        <v>1609</v>
      </c>
      <c r="AK3" s="79" t="s">
        <v>1610</v>
      </c>
      <c r="AL3" s="79" t="s">
        <v>1611</v>
      </c>
      <c r="AM3" s="79" t="s">
        <v>1612</v>
      </c>
      <c r="AN3" s="79" t="s">
        <v>1613</v>
      </c>
      <c r="AO3" s="79" t="s">
        <v>1614</v>
      </c>
      <c r="AP3" s="79" t="s">
        <v>1615</v>
      </c>
      <c r="AQ3" s="79" t="s">
        <v>1616</v>
      </c>
      <c r="AR3" s="80" t="s">
        <v>1617</v>
      </c>
    </row>
    <row r="4" spans="2:44" ht="12" customHeight="1" x14ac:dyDescent="0.25">
      <c r="B4" s="81" t="s">
        <v>39</v>
      </c>
      <c r="C4" s="82" t="s">
        <v>40</v>
      </c>
      <c r="D4" s="82" t="s">
        <v>25</v>
      </c>
      <c r="E4" s="82" t="s">
        <v>25</v>
      </c>
      <c r="F4" s="82" t="s">
        <v>58</v>
      </c>
      <c r="G4" s="82" t="s">
        <v>34</v>
      </c>
      <c r="H4" s="82" t="s">
        <v>93</v>
      </c>
      <c r="I4" s="82" t="s">
        <v>25</v>
      </c>
      <c r="J4" s="82">
        <v>6.57</v>
      </c>
      <c r="K4" s="82">
        <v>0</v>
      </c>
      <c r="L4" s="82">
        <v>0</v>
      </c>
      <c r="M4" s="82">
        <v>0.167924020853706</v>
      </c>
      <c r="N4" s="82">
        <v>0.188813231346219</v>
      </c>
      <c r="O4" s="82">
        <v>2.3178841689617199E-2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-0.59888466635274595</v>
      </c>
      <c r="AC4" s="82">
        <v>0</v>
      </c>
      <c r="AD4" s="82">
        <v>4.4644171228536198</v>
      </c>
      <c r="AE4" s="82">
        <v>0.15894951357463399</v>
      </c>
      <c r="AF4" s="82">
        <v>2.16132818075583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39</v>
      </c>
      <c r="C5" s="82" t="s">
        <v>40</v>
      </c>
      <c r="D5" s="82" t="s">
        <v>25</v>
      </c>
      <c r="E5" s="82" t="s">
        <v>25</v>
      </c>
      <c r="F5" s="82" t="s">
        <v>58</v>
      </c>
      <c r="G5" s="82" t="s">
        <v>34</v>
      </c>
      <c r="H5" s="82" t="s">
        <v>99</v>
      </c>
      <c r="I5" s="82" t="s">
        <v>25</v>
      </c>
      <c r="J5" s="82">
        <v>31.33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7.1758311457495099</v>
      </c>
      <c r="U5" s="82">
        <v>1.1697596146738301</v>
      </c>
      <c r="V5" s="82">
        <v>0.98567549352798201</v>
      </c>
      <c r="W5" s="82">
        <v>0</v>
      </c>
      <c r="X5" s="82">
        <v>0</v>
      </c>
      <c r="Y5" s="82">
        <v>0</v>
      </c>
      <c r="Z5" s="82">
        <v>0</v>
      </c>
      <c r="AA5" s="82">
        <v>24.5900535208538</v>
      </c>
      <c r="AB5" s="82">
        <v>-2.5894357270358501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39</v>
      </c>
      <c r="C6" s="82" t="s">
        <v>40</v>
      </c>
      <c r="D6" s="82" t="s">
        <v>25</v>
      </c>
      <c r="E6" s="82" t="s">
        <v>25</v>
      </c>
      <c r="F6" s="82" t="s">
        <v>58</v>
      </c>
      <c r="G6" s="82" t="s">
        <v>35</v>
      </c>
      <c r="H6" s="82" t="s">
        <v>93</v>
      </c>
      <c r="I6" s="82" t="s">
        <v>25</v>
      </c>
      <c r="J6" s="82">
        <v>6.57</v>
      </c>
      <c r="K6" s="82">
        <v>0</v>
      </c>
      <c r="L6" s="82">
        <v>0</v>
      </c>
      <c r="M6" s="82">
        <v>0.167924020853706</v>
      </c>
      <c r="N6" s="82">
        <v>0.188813231346219</v>
      </c>
      <c r="O6" s="82">
        <v>2.3178841689617199E-2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-0.59888466635274595</v>
      </c>
      <c r="AC6" s="82">
        <v>0</v>
      </c>
      <c r="AD6" s="82">
        <v>4.4644171228536198</v>
      </c>
      <c r="AE6" s="82">
        <v>0.15894951357463399</v>
      </c>
      <c r="AF6" s="82">
        <v>2.16132818075583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39</v>
      </c>
      <c r="C7" s="82" t="s">
        <v>40</v>
      </c>
      <c r="D7" s="82" t="s">
        <v>25</v>
      </c>
      <c r="E7" s="82" t="s">
        <v>25</v>
      </c>
      <c r="F7" s="82" t="s">
        <v>58</v>
      </c>
      <c r="G7" s="82" t="s">
        <v>35</v>
      </c>
      <c r="H7" s="82" t="s">
        <v>99</v>
      </c>
      <c r="I7" s="82" t="s">
        <v>25</v>
      </c>
      <c r="J7" s="82">
        <v>10.94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6.8608169591027197</v>
      </c>
      <c r="U7" s="82">
        <v>1.1417547516159301</v>
      </c>
      <c r="V7" s="82">
        <v>0.79040164795466705</v>
      </c>
      <c r="W7" s="82">
        <v>0</v>
      </c>
      <c r="X7" s="82">
        <v>0</v>
      </c>
      <c r="Y7" s="82">
        <v>0</v>
      </c>
      <c r="Z7" s="82">
        <v>0</v>
      </c>
      <c r="AA7" s="82">
        <v>2.9949479843013598</v>
      </c>
      <c r="AB7" s="82">
        <v>-0.84619788934384299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39</v>
      </c>
      <c r="C8" s="82" t="s">
        <v>40</v>
      </c>
      <c r="D8" s="82" t="s">
        <v>25</v>
      </c>
      <c r="E8" s="82" t="s">
        <v>25</v>
      </c>
      <c r="F8" s="82" t="s">
        <v>25</v>
      </c>
      <c r="G8" s="82" t="s">
        <v>34</v>
      </c>
      <c r="H8" s="82" t="s">
        <v>93</v>
      </c>
      <c r="I8" s="82" t="s">
        <v>25</v>
      </c>
      <c r="J8" s="82">
        <v>45.95</v>
      </c>
      <c r="K8" s="82">
        <v>361.55</v>
      </c>
      <c r="L8" s="82">
        <v>2.4940606569238302</v>
      </c>
      <c r="M8" s="82">
        <v>0.167924020853706</v>
      </c>
      <c r="N8" s="82">
        <v>0.203663138781083</v>
      </c>
      <c r="O8" s="82">
        <v>2.3178841689617199E-2</v>
      </c>
      <c r="P8" s="82">
        <v>0</v>
      </c>
      <c r="Q8" s="82">
        <v>24.268855047649101</v>
      </c>
      <c r="R8" s="82">
        <v>15.9440620819672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-3.9403901540183699</v>
      </c>
      <c r="AC8" s="82">
        <v>0</v>
      </c>
      <c r="AD8" s="82">
        <v>4.4644171228536198</v>
      </c>
      <c r="AE8" s="82">
        <v>0.15894951357463399</v>
      </c>
      <c r="AF8" s="82">
        <v>2.16132818075583</v>
      </c>
      <c r="AG8" s="82">
        <v>0</v>
      </c>
      <c r="AH8" s="82">
        <v>3.7821930841515798</v>
      </c>
      <c r="AI8" s="82">
        <v>0</v>
      </c>
      <c r="AJ8" s="82">
        <v>2.6213057905810002</v>
      </c>
      <c r="AK8" s="82">
        <v>21.535740967520599</v>
      </c>
      <c r="AL8" s="82">
        <v>0</v>
      </c>
      <c r="AM8" s="82">
        <v>364.64139260470199</v>
      </c>
      <c r="AN8" s="82">
        <v>0</v>
      </c>
      <c r="AO8" s="82">
        <v>0</v>
      </c>
      <c r="AP8" s="82">
        <v>3.8680550024624998E-13</v>
      </c>
      <c r="AQ8" s="82">
        <v>-36.720930315477503</v>
      </c>
      <c r="AR8" s="83">
        <v>5.6904320526370302</v>
      </c>
    </row>
    <row r="9" spans="2:44" ht="12" customHeight="1" x14ac:dyDescent="0.25">
      <c r="B9" s="81" t="s">
        <v>39</v>
      </c>
      <c r="C9" s="82" t="s">
        <v>40</v>
      </c>
      <c r="D9" s="82" t="s">
        <v>25</v>
      </c>
      <c r="E9" s="82" t="s">
        <v>25</v>
      </c>
      <c r="F9" s="82" t="s">
        <v>25</v>
      </c>
      <c r="G9" s="82" t="s">
        <v>34</v>
      </c>
      <c r="H9" s="82" t="s">
        <v>99</v>
      </c>
      <c r="I9" s="82" t="s">
        <v>25</v>
      </c>
      <c r="J9" s="82">
        <v>31.33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7.1758311457495099</v>
      </c>
      <c r="U9" s="82">
        <v>1.1697596146738301</v>
      </c>
      <c r="V9" s="82">
        <v>0.98567549352798201</v>
      </c>
      <c r="W9" s="82">
        <v>0</v>
      </c>
      <c r="X9" s="82">
        <v>0</v>
      </c>
      <c r="Y9" s="82">
        <v>0</v>
      </c>
      <c r="Z9" s="82">
        <v>0</v>
      </c>
      <c r="AA9" s="82">
        <v>24.5900535208538</v>
      </c>
      <c r="AB9" s="82">
        <v>-2.5894357270358501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39</v>
      </c>
      <c r="C10" s="82" t="s">
        <v>40</v>
      </c>
      <c r="D10" s="82" t="s">
        <v>25</v>
      </c>
      <c r="E10" s="82" t="s">
        <v>25</v>
      </c>
      <c r="F10" s="82" t="s">
        <v>25</v>
      </c>
      <c r="G10" s="82" t="s">
        <v>35</v>
      </c>
      <c r="H10" s="82" t="s">
        <v>93</v>
      </c>
      <c r="I10" s="82" t="s">
        <v>25</v>
      </c>
      <c r="J10" s="82">
        <v>45.95</v>
      </c>
      <c r="K10" s="82">
        <v>223.15</v>
      </c>
      <c r="L10" s="82">
        <v>2.4940606569238302</v>
      </c>
      <c r="M10" s="82">
        <v>0.167924020853706</v>
      </c>
      <c r="N10" s="82">
        <v>0.203663138781083</v>
      </c>
      <c r="O10" s="82">
        <v>2.3178841689617199E-2</v>
      </c>
      <c r="P10" s="82">
        <v>0</v>
      </c>
      <c r="Q10" s="82">
        <v>24.268855047649101</v>
      </c>
      <c r="R10" s="82">
        <v>15.9440620819672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-3.9403901540183699</v>
      </c>
      <c r="AC10" s="82">
        <v>0</v>
      </c>
      <c r="AD10" s="82">
        <v>4.4644171228536198</v>
      </c>
      <c r="AE10" s="82">
        <v>0.15894951357463399</v>
      </c>
      <c r="AF10" s="82">
        <v>2.16132818075583</v>
      </c>
      <c r="AG10" s="82">
        <v>0</v>
      </c>
      <c r="AH10" s="82">
        <v>3.7821930841515798</v>
      </c>
      <c r="AI10" s="82">
        <v>0</v>
      </c>
      <c r="AJ10" s="82">
        <v>2.6213057905810002</v>
      </c>
      <c r="AK10" s="82">
        <v>21.535740967520599</v>
      </c>
      <c r="AL10" s="82">
        <v>0</v>
      </c>
      <c r="AM10" s="82">
        <v>212.00080965389699</v>
      </c>
      <c r="AN10" s="82">
        <v>0</v>
      </c>
      <c r="AO10" s="82">
        <v>0</v>
      </c>
      <c r="AP10" s="82">
        <v>3.8680550024624998E-13</v>
      </c>
      <c r="AQ10" s="82">
        <v>-22.484863428340301</v>
      </c>
      <c r="AR10" s="83">
        <v>5.6904320526370302</v>
      </c>
    </row>
    <row r="11" spans="2:44" ht="12" customHeight="1" x14ac:dyDescent="0.25">
      <c r="B11" s="81" t="s">
        <v>39</v>
      </c>
      <c r="C11" s="82" t="s">
        <v>40</v>
      </c>
      <c r="D11" s="82" t="s">
        <v>25</v>
      </c>
      <c r="E11" s="82" t="s">
        <v>25</v>
      </c>
      <c r="F11" s="82" t="s">
        <v>25</v>
      </c>
      <c r="G11" s="82" t="s">
        <v>35</v>
      </c>
      <c r="H11" s="82" t="s">
        <v>99</v>
      </c>
      <c r="I11" s="82" t="s">
        <v>25</v>
      </c>
      <c r="J11" s="82">
        <v>10.94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6.8608169591027197</v>
      </c>
      <c r="U11" s="82">
        <v>1.1417547516159301</v>
      </c>
      <c r="V11" s="82">
        <v>0.79040164795466705</v>
      </c>
      <c r="W11" s="82">
        <v>0</v>
      </c>
      <c r="X11" s="82">
        <v>0</v>
      </c>
      <c r="Y11" s="82">
        <v>0</v>
      </c>
      <c r="Z11" s="82">
        <v>0</v>
      </c>
      <c r="AA11" s="82">
        <v>2.9949479843013598</v>
      </c>
      <c r="AB11" s="82">
        <v>-0.84619788934384299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39</v>
      </c>
      <c r="C12" s="82" t="s">
        <v>61</v>
      </c>
      <c r="D12" s="82" t="s">
        <v>25</v>
      </c>
      <c r="E12" s="82" t="s">
        <v>25</v>
      </c>
      <c r="F12" s="82" t="s">
        <v>25</v>
      </c>
      <c r="G12" s="82" t="s">
        <v>34</v>
      </c>
      <c r="H12" s="82" t="s">
        <v>99</v>
      </c>
      <c r="I12" s="82" t="s">
        <v>65</v>
      </c>
      <c r="J12" s="82">
        <v>9.33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7.1758311457495099</v>
      </c>
      <c r="U12" s="82">
        <v>1.1697596146738301</v>
      </c>
      <c r="V12" s="82">
        <v>0.98567549352798201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0</v>
      </c>
      <c r="AJ12" s="82">
        <v>0</v>
      </c>
      <c r="AK12" s="82">
        <v>0</v>
      </c>
      <c r="AL12" s="82">
        <v>0</v>
      </c>
      <c r="AM12" s="82">
        <v>0</v>
      </c>
      <c r="AN12" s="82">
        <v>0</v>
      </c>
      <c r="AO12" s="82">
        <v>0</v>
      </c>
      <c r="AP12" s="82">
        <v>0</v>
      </c>
      <c r="AQ12" s="82">
        <v>0</v>
      </c>
      <c r="AR12" s="83">
        <v>0</v>
      </c>
    </row>
    <row r="13" spans="2:44" ht="12" customHeight="1" x14ac:dyDescent="0.25">
      <c r="B13" s="81" t="s">
        <v>39</v>
      </c>
      <c r="C13" s="82" t="s">
        <v>61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93</v>
      </c>
      <c r="I13" s="82" t="s">
        <v>65</v>
      </c>
      <c r="J13" s="82">
        <v>4.62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4.4644171228536198</v>
      </c>
      <c r="AE13" s="82">
        <v>0.15894951357463399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39</v>
      </c>
      <c r="C14" s="82" t="s">
        <v>61</v>
      </c>
      <c r="D14" s="82" t="s">
        <v>25</v>
      </c>
      <c r="E14" s="82" t="s">
        <v>25</v>
      </c>
      <c r="F14" s="82" t="s">
        <v>25</v>
      </c>
      <c r="G14" s="82" t="s">
        <v>35</v>
      </c>
      <c r="H14" s="82" t="s">
        <v>99</v>
      </c>
      <c r="I14" s="82" t="s">
        <v>65</v>
      </c>
      <c r="J14" s="82">
        <v>8.7899999999999991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6.8608169591027197</v>
      </c>
      <c r="U14" s="82">
        <v>1.1417547516159301</v>
      </c>
      <c r="V14" s="82">
        <v>0.79040164795466705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39</v>
      </c>
      <c r="C15" s="82" t="s">
        <v>69</v>
      </c>
      <c r="D15" s="82" t="s">
        <v>25</v>
      </c>
      <c r="E15" s="82" t="s">
        <v>25</v>
      </c>
      <c r="F15" s="82" t="s">
        <v>25</v>
      </c>
      <c r="G15" s="82" t="s">
        <v>25</v>
      </c>
      <c r="H15" s="82" t="s">
        <v>99</v>
      </c>
      <c r="I15" s="82" t="s">
        <v>25</v>
      </c>
      <c r="J15" s="82">
        <v>12.96</v>
      </c>
      <c r="K15" s="82">
        <v>0</v>
      </c>
      <c r="L15" s="82">
        <v>0</v>
      </c>
      <c r="M15" s="82">
        <v>0.170952451726091</v>
      </c>
      <c r="N15" s="82">
        <v>6.6774647798054296E-2</v>
      </c>
      <c r="O15" s="82">
        <v>7.3636069817959301E-3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0.44296552668811101</v>
      </c>
      <c r="W15" s="82">
        <v>0</v>
      </c>
      <c r="X15" s="82">
        <v>0</v>
      </c>
      <c r="Y15" s="82">
        <v>0</v>
      </c>
      <c r="Z15" s="82">
        <v>0</v>
      </c>
      <c r="AA15" s="82">
        <v>12.016446317133299</v>
      </c>
      <c r="AB15" s="82">
        <v>-1.12065244096061</v>
      </c>
      <c r="AC15" s="82">
        <v>0</v>
      </c>
      <c r="AD15" s="82">
        <v>1.1277937749043501</v>
      </c>
      <c r="AE15" s="82">
        <v>0.244306622137097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41</v>
      </c>
      <c r="C16" s="82" t="s">
        <v>40</v>
      </c>
      <c r="D16" s="82" t="s">
        <v>25</v>
      </c>
      <c r="E16" s="82" t="s">
        <v>25</v>
      </c>
      <c r="F16" s="82" t="s">
        <v>58</v>
      </c>
      <c r="G16" s="82" t="s">
        <v>34</v>
      </c>
      <c r="H16" s="82" t="s">
        <v>93</v>
      </c>
      <c r="I16" s="82" t="s">
        <v>25</v>
      </c>
      <c r="J16" s="82">
        <v>16.88</v>
      </c>
      <c r="K16" s="82">
        <v>0</v>
      </c>
      <c r="L16" s="82">
        <v>0</v>
      </c>
      <c r="M16" s="82">
        <v>0.74976696047971603</v>
      </c>
      <c r="N16" s="82">
        <v>0.463375900290593</v>
      </c>
      <c r="O16" s="82">
        <v>2.3178841689617199E-2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-1.5408419200427499</v>
      </c>
      <c r="AC16" s="82">
        <v>0</v>
      </c>
      <c r="AD16" s="82">
        <v>10.767580057039799</v>
      </c>
      <c r="AE16" s="82">
        <v>0.38336507663702002</v>
      </c>
      <c r="AF16" s="82">
        <v>6.0354999899165902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41</v>
      </c>
      <c r="C17" s="82" t="s">
        <v>40</v>
      </c>
      <c r="D17" s="82" t="s">
        <v>25</v>
      </c>
      <c r="E17" s="82" t="s">
        <v>25</v>
      </c>
      <c r="F17" s="82" t="s">
        <v>58</v>
      </c>
      <c r="G17" s="82" t="s">
        <v>34</v>
      </c>
      <c r="H17" s="82" t="s">
        <v>99</v>
      </c>
      <c r="I17" s="82" t="s">
        <v>25</v>
      </c>
      <c r="J17" s="82">
        <v>73.08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6.5330010348273104</v>
      </c>
      <c r="U17" s="82">
        <v>1.14468413059688</v>
      </c>
      <c r="V17" s="82">
        <v>1.2331590667949699</v>
      </c>
      <c r="W17" s="82">
        <v>0</v>
      </c>
      <c r="X17" s="82">
        <v>0</v>
      </c>
      <c r="Y17" s="82">
        <v>0</v>
      </c>
      <c r="Z17" s="82">
        <v>0</v>
      </c>
      <c r="AA17" s="82">
        <v>70.348008152632303</v>
      </c>
      <c r="AB17" s="82">
        <v>-6.1759820587548804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83">
        <v>0</v>
      </c>
    </row>
    <row r="18" spans="2:44" ht="12" customHeight="1" x14ac:dyDescent="0.25">
      <c r="B18" s="81" t="s">
        <v>41</v>
      </c>
      <c r="C18" s="82" t="s">
        <v>40</v>
      </c>
      <c r="D18" s="82" t="s">
        <v>25</v>
      </c>
      <c r="E18" s="82" t="s">
        <v>25</v>
      </c>
      <c r="F18" s="82" t="s">
        <v>58</v>
      </c>
      <c r="G18" s="82" t="s">
        <v>35</v>
      </c>
      <c r="H18" s="82" t="s">
        <v>93</v>
      </c>
      <c r="I18" s="82" t="s">
        <v>25</v>
      </c>
      <c r="J18" s="82">
        <v>16.88</v>
      </c>
      <c r="K18" s="82">
        <v>0</v>
      </c>
      <c r="L18" s="82">
        <v>0</v>
      </c>
      <c r="M18" s="82">
        <v>0.74976696047971603</v>
      </c>
      <c r="N18" s="82">
        <v>0.463375900290593</v>
      </c>
      <c r="O18" s="82">
        <v>2.3178841689617199E-2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-1.5408419200427499</v>
      </c>
      <c r="AC18" s="82">
        <v>0</v>
      </c>
      <c r="AD18" s="82">
        <v>10.767580057039799</v>
      </c>
      <c r="AE18" s="82">
        <v>0.38336507663702002</v>
      </c>
      <c r="AF18" s="82">
        <v>6.0354999899165902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41</v>
      </c>
      <c r="C19" s="82" t="s">
        <v>40</v>
      </c>
      <c r="D19" s="82" t="s">
        <v>25</v>
      </c>
      <c r="E19" s="82" t="s">
        <v>25</v>
      </c>
      <c r="F19" s="82" t="s">
        <v>58</v>
      </c>
      <c r="G19" s="82" t="s">
        <v>35</v>
      </c>
      <c r="H19" s="82" t="s">
        <v>99</v>
      </c>
      <c r="I19" s="82" t="s">
        <v>25</v>
      </c>
      <c r="J19" s="82">
        <v>26.6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6.5768927066968201</v>
      </c>
      <c r="U19" s="82">
        <v>1.1669474108521201</v>
      </c>
      <c r="V19" s="82">
        <v>0.91311816803224299</v>
      </c>
      <c r="W19" s="82">
        <v>0</v>
      </c>
      <c r="X19" s="82">
        <v>0</v>
      </c>
      <c r="Y19" s="82">
        <v>0</v>
      </c>
      <c r="Z19" s="82">
        <v>0</v>
      </c>
      <c r="AA19" s="82">
        <v>20.132985794347</v>
      </c>
      <c r="AB19" s="82">
        <v>-2.1918694332876401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  <c r="AP19" s="82">
        <v>0</v>
      </c>
      <c r="AQ19" s="82">
        <v>0</v>
      </c>
      <c r="AR19" s="83">
        <v>0</v>
      </c>
    </row>
    <row r="20" spans="2:44" ht="12" customHeight="1" x14ac:dyDescent="0.25">
      <c r="B20" s="81" t="s">
        <v>41</v>
      </c>
      <c r="C20" s="82" t="s">
        <v>40</v>
      </c>
      <c r="D20" s="82" t="s">
        <v>25</v>
      </c>
      <c r="E20" s="82" t="s">
        <v>25</v>
      </c>
      <c r="F20" s="82" t="s">
        <v>25</v>
      </c>
      <c r="G20" s="82" t="s">
        <v>34</v>
      </c>
      <c r="H20" s="82" t="s">
        <v>93</v>
      </c>
      <c r="I20" s="82" t="s">
        <v>25</v>
      </c>
      <c r="J20" s="82">
        <v>65.010000000000005</v>
      </c>
      <c r="K20" s="82">
        <v>361.55</v>
      </c>
      <c r="L20" s="82">
        <v>3.3790499222838899</v>
      </c>
      <c r="M20" s="82">
        <v>0.74976696047971603</v>
      </c>
      <c r="N20" s="82">
        <v>0.47822580772545698</v>
      </c>
      <c r="O20" s="82">
        <v>2.3178841689617199E-2</v>
      </c>
      <c r="P20" s="82">
        <v>0</v>
      </c>
      <c r="Q20" s="82">
        <v>32.880384258105202</v>
      </c>
      <c r="R20" s="82">
        <v>15.9440620819672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-5.6337033693360397</v>
      </c>
      <c r="AC20" s="82">
        <v>0</v>
      </c>
      <c r="AD20" s="82">
        <v>10.767580057039799</v>
      </c>
      <c r="AE20" s="82">
        <v>0.38336507663702002</v>
      </c>
      <c r="AF20" s="82">
        <v>6.0354999899165902</v>
      </c>
      <c r="AG20" s="82">
        <v>0</v>
      </c>
      <c r="AH20" s="82">
        <v>3.7821930841515798</v>
      </c>
      <c r="AI20" s="82">
        <v>0</v>
      </c>
      <c r="AJ20" s="82">
        <v>2.6213057905810002</v>
      </c>
      <c r="AK20" s="82">
        <v>21.535740967520599</v>
      </c>
      <c r="AL20" s="82">
        <v>0</v>
      </c>
      <c r="AM20" s="82">
        <v>364.64139260470199</v>
      </c>
      <c r="AN20" s="82">
        <v>0</v>
      </c>
      <c r="AO20" s="82">
        <v>0</v>
      </c>
      <c r="AP20" s="82">
        <v>3.8680550024624998E-13</v>
      </c>
      <c r="AQ20" s="82">
        <v>-36.720930315477503</v>
      </c>
      <c r="AR20" s="83">
        <v>5.6904320526370302</v>
      </c>
    </row>
    <row r="21" spans="2:44" ht="12" customHeight="1" x14ac:dyDescent="0.25">
      <c r="B21" s="81" t="s">
        <v>41</v>
      </c>
      <c r="C21" s="82" t="s">
        <v>40</v>
      </c>
      <c r="D21" s="82" t="s">
        <v>25</v>
      </c>
      <c r="E21" s="82" t="s">
        <v>25</v>
      </c>
      <c r="F21" s="82" t="s">
        <v>25</v>
      </c>
      <c r="G21" s="82" t="s">
        <v>34</v>
      </c>
      <c r="H21" s="82" t="s">
        <v>99</v>
      </c>
      <c r="I21" s="82" t="s">
        <v>25</v>
      </c>
      <c r="J21" s="82">
        <v>73.08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6.5330010348273104</v>
      </c>
      <c r="U21" s="82">
        <v>1.14468413059688</v>
      </c>
      <c r="V21" s="82">
        <v>1.2331590667949699</v>
      </c>
      <c r="W21" s="82">
        <v>0</v>
      </c>
      <c r="X21" s="82">
        <v>0</v>
      </c>
      <c r="Y21" s="82">
        <v>0</v>
      </c>
      <c r="Z21" s="82">
        <v>0</v>
      </c>
      <c r="AA21" s="82">
        <v>70.348008152632303</v>
      </c>
      <c r="AB21" s="82">
        <v>-6.1759820587548804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41</v>
      </c>
      <c r="C22" s="82" t="s">
        <v>40</v>
      </c>
      <c r="D22" s="82" t="s">
        <v>25</v>
      </c>
      <c r="E22" s="82" t="s">
        <v>25</v>
      </c>
      <c r="F22" s="82" t="s">
        <v>25</v>
      </c>
      <c r="G22" s="82" t="s">
        <v>35</v>
      </c>
      <c r="H22" s="82" t="s">
        <v>93</v>
      </c>
      <c r="I22" s="82" t="s">
        <v>25</v>
      </c>
      <c r="J22" s="82">
        <v>65.010000000000005</v>
      </c>
      <c r="K22" s="82">
        <v>223.15</v>
      </c>
      <c r="L22" s="82">
        <v>3.3790499222838899</v>
      </c>
      <c r="M22" s="82">
        <v>0.74976696047971603</v>
      </c>
      <c r="N22" s="82">
        <v>0.47822580772545698</v>
      </c>
      <c r="O22" s="82">
        <v>2.3178841689617199E-2</v>
      </c>
      <c r="P22" s="82">
        <v>0</v>
      </c>
      <c r="Q22" s="82">
        <v>32.880384258105202</v>
      </c>
      <c r="R22" s="82">
        <v>15.9440620819672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-5.6337033693360397</v>
      </c>
      <c r="AC22" s="82">
        <v>0</v>
      </c>
      <c r="AD22" s="82">
        <v>10.767580057039799</v>
      </c>
      <c r="AE22" s="82">
        <v>0.38336507663702002</v>
      </c>
      <c r="AF22" s="82">
        <v>6.0354999899165902</v>
      </c>
      <c r="AG22" s="82">
        <v>0</v>
      </c>
      <c r="AH22" s="82">
        <v>3.7821930841515798</v>
      </c>
      <c r="AI22" s="82">
        <v>0</v>
      </c>
      <c r="AJ22" s="82">
        <v>2.6213057905810002</v>
      </c>
      <c r="AK22" s="82">
        <v>21.535740967520599</v>
      </c>
      <c r="AL22" s="82">
        <v>0</v>
      </c>
      <c r="AM22" s="82">
        <v>212.00080965389699</v>
      </c>
      <c r="AN22" s="82">
        <v>0</v>
      </c>
      <c r="AO22" s="82">
        <v>0</v>
      </c>
      <c r="AP22" s="82">
        <v>3.8680550024624998E-13</v>
      </c>
      <c r="AQ22" s="82">
        <v>-22.484863428340301</v>
      </c>
      <c r="AR22" s="83">
        <v>5.6904320526370302</v>
      </c>
    </row>
    <row r="23" spans="2:44" ht="12" customHeight="1" x14ac:dyDescent="0.25">
      <c r="B23" s="81" t="s">
        <v>41</v>
      </c>
      <c r="C23" s="82" t="s">
        <v>40</v>
      </c>
      <c r="D23" s="82" t="s">
        <v>25</v>
      </c>
      <c r="E23" s="82" t="s">
        <v>25</v>
      </c>
      <c r="F23" s="82" t="s">
        <v>25</v>
      </c>
      <c r="G23" s="82" t="s">
        <v>35</v>
      </c>
      <c r="H23" s="82" t="s">
        <v>99</v>
      </c>
      <c r="I23" s="82" t="s">
        <v>25</v>
      </c>
      <c r="J23" s="82">
        <v>26.6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6.5768927066968201</v>
      </c>
      <c r="U23" s="82">
        <v>1.1669474108521201</v>
      </c>
      <c r="V23" s="82">
        <v>0.91311816803224299</v>
      </c>
      <c r="W23" s="82">
        <v>0</v>
      </c>
      <c r="X23" s="82">
        <v>0</v>
      </c>
      <c r="Y23" s="82">
        <v>0</v>
      </c>
      <c r="Z23" s="82">
        <v>0</v>
      </c>
      <c r="AA23" s="82">
        <v>20.132985794347</v>
      </c>
      <c r="AB23" s="82">
        <v>-2.1918694332876401</v>
      </c>
      <c r="AC23" s="82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0</v>
      </c>
      <c r="AI23" s="82">
        <v>0</v>
      </c>
      <c r="AJ23" s="82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0</v>
      </c>
      <c r="AP23" s="82">
        <v>0</v>
      </c>
      <c r="AQ23" s="82">
        <v>0</v>
      </c>
      <c r="AR23" s="83">
        <v>0</v>
      </c>
    </row>
    <row r="24" spans="2:44" ht="12" customHeight="1" x14ac:dyDescent="0.25">
      <c r="B24" s="81" t="s">
        <v>41</v>
      </c>
      <c r="C24" s="82" t="s">
        <v>23</v>
      </c>
      <c r="D24" s="82" t="s">
        <v>25</v>
      </c>
      <c r="E24" s="82" t="s">
        <v>25</v>
      </c>
      <c r="F24" s="82" t="s">
        <v>25</v>
      </c>
      <c r="G24" s="82" t="s">
        <v>25</v>
      </c>
      <c r="H24" s="82" t="s">
        <v>93</v>
      </c>
      <c r="I24" s="82" t="s">
        <v>25</v>
      </c>
      <c r="J24" s="82">
        <v>0</v>
      </c>
      <c r="K24" s="82">
        <v>234.68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3.7821930841515798</v>
      </c>
      <c r="AI24" s="82">
        <v>0</v>
      </c>
      <c r="AJ24" s="82">
        <v>2.6213057905810002</v>
      </c>
      <c r="AK24" s="82">
        <v>21.535740967520599</v>
      </c>
      <c r="AL24" s="82">
        <v>0</v>
      </c>
      <c r="AM24" s="82">
        <v>224.72085823313</v>
      </c>
      <c r="AN24" s="82">
        <v>0</v>
      </c>
      <c r="AO24" s="82">
        <v>0</v>
      </c>
      <c r="AP24" s="82">
        <v>3.8680550024624998E-13</v>
      </c>
      <c r="AQ24" s="82">
        <v>-23.671202335601699</v>
      </c>
      <c r="AR24" s="83">
        <v>5.6904320526370302</v>
      </c>
    </row>
    <row r="25" spans="2:44" ht="12" customHeight="1" x14ac:dyDescent="0.25">
      <c r="B25" s="81" t="s">
        <v>41</v>
      </c>
      <c r="C25" s="82" t="s">
        <v>61</v>
      </c>
      <c r="D25" s="82" t="s">
        <v>25</v>
      </c>
      <c r="E25" s="82" t="s">
        <v>25</v>
      </c>
      <c r="F25" s="82" t="s">
        <v>25</v>
      </c>
      <c r="G25" s="82" t="s">
        <v>34</v>
      </c>
      <c r="H25" s="82" t="s">
        <v>99</v>
      </c>
      <c r="I25" s="82" t="s">
        <v>62</v>
      </c>
      <c r="J25" s="82">
        <v>36.25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6.5330010348273104</v>
      </c>
      <c r="U25" s="82">
        <v>1.14468413059688</v>
      </c>
      <c r="V25" s="82">
        <v>1.2331590667949699</v>
      </c>
      <c r="W25" s="82">
        <v>0</v>
      </c>
      <c r="X25" s="82">
        <v>0</v>
      </c>
      <c r="Y25" s="82">
        <v>0</v>
      </c>
      <c r="Z25" s="82">
        <v>0</v>
      </c>
      <c r="AA25" s="82">
        <v>27.3416044330509</v>
      </c>
      <c r="AB25" s="82">
        <v>0</v>
      </c>
      <c r="AC25" s="82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83">
        <v>0</v>
      </c>
    </row>
    <row r="26" spans="2:44" ht="12" customHeight="1" x14ac:dyDescent="0.25">
      <c r="B26" s="81" t="s">
        <v>41</v>
      </c>
      <c r="C26" s="82" t="s">
        <v>61</v>
      </c>
      <c r="D26" s="82" t="s">
        <v>25</v>
      </c>
      <c r="E26" s="82" t="s">
        <v>25</v>
      </c>
      <c r="F26" s="82" t="s">
        <v>25</v>
      </c>
      <c r="G26" s="82" t="s">
        <v>34</v>
      </c>
      <c r="H26" s="82" t="s">
        <v>99</v>
      </c>
      <c r="I26" s="82" t="s">
        <v>68</v>
      </c>
      <c r="J26" s="82">
        <v>36.25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6.5330010348273104</v>
      </c>
      <c r="U26" s="82">
        <v>1.14468413059688</v>
      </c>
      <c r="V26" s="82">
        <v>1.2331590667949699</v>
      </c>
      <c r="W26" s="82">
        <v>0</v>
      </c>
      <c r="X26" s="82">
        <v>0</v>
      </c>
      <c r="Y26" s="82">
        <v>0</v>
      </c>
      <c r="Z26" s="82">
        <v>0</v>
      </c>
      <c r="AA26" s="82">
        <v>27.3416044330509</v>
      </c>
      <c r="AB26" s="82">
        <v>0</v>
      </c>
      <c r="AC26" s="82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83">
        <v>0</v>
      </c>
    </row>
    <row r="27" spans="2:44" ht="12" customHeight="1" x14ac:dyDescent="0.25">
      <c r="B27" s="81" t="s">
        <v>41</v>
      </c>
      <c r="C27" s="82" t="s">
        <v>61</v>
      </c>
      <c r="D27" s="82" t="s">
        <v>25</v>
      </c>
      <c r="E27" s="82" t="s">
        <v>25</v>
      </c>
      <c r="F27" s="82" t="s">
        <v>25</v>
      </c>
      <c r="G27" s="82" t="s">
        <v>34</v>
      </c>
      <c r="H27" s="82" t="s">
        <v>99</v>
      </c>
      <c r="I27" s="82" t="s">
        <v>67</v>
      </c>
      <c r="J27" s="82">
        <v>36.25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6.5330010348273104</v>
      </c>
      <c r="U27" s="82">
        <v>1.14468413059688</v>
      </c>
      <c r="V27" s="82">
        <v>1.2331590667949699</v>
      </c>
      <c r="W27" s="82">
        <v>0</v>
      </c>
      <c r="X27" s="82">
        <v>0</v>
      </c>
      <c r="Y27" s="82">
        <v>0</v>
      </c>
      <c r="Z27" s="82">
        <v>0</v>
      </c>
      <c r="AA27" s="82">
        <v>27.3416044330509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0</v>
      </c>
      <c r="AR27" s="83">
        <v>0</v>
      </c>
    </row>
    <row r="28" spans="2:44" ht="12" customHeight="1" x14ac:dyDescent="0.25">
      <c r="B28" s="81" t="s">
        <v>41</v>
      </c>
      <c r="C28" s="82" t="s">
        <v>61</v>
      </c>
      <c r="D28" s="82" t="s">
        <v>25</v>
      </c>
      <c r="E28" s="82" t="s">
        <v>25</v>
      </c>
      <c r="F28" s="82" t="s">
        <v>25</v>
      </c>
      <c r="G28" s="82" t="s">
        <v>34</v>
      </c>
      <c r="H28" s="82" t="s">
        <v>99</v>
      </c>
      <c r="I28" s="82" t="s">
        <v>65</v>
      </c>
      <c r="J28" s="82">
        <v>8.91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6.5330010348273104</v>
      </c>
      <c r="U28" s="82">
        <v>1.14468413059688</v>
      </c>
      <c r="V28" s="82">
        <v>1.2331590667949699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3">
        <v>0</v>
      </c>
    </row>
    <row r="29" spans="2:44" ht="12" customHeight="1" x14ac:dyDescent="0.25">
      <c r="B29" s="81" t="s">
        <v>41</v>
      </c>
      <c r="C29" s="82" t="s">
        <v>61</v>
      </c>
      <c r="D29" s="82" t="s">
        <v>25</v>
      </c>
      <c r="E29" s="82" t="s">
        <v>25</v>
      </c>
      <c r="F29" s="82" t="s">
        <v>25</v>
      </c>
      <c r="G29" s="82" t="s">
        <v>25</v>
      </c>
      <c r="H29" s="82" t="s">
        <v>93</v>
      </c>
      <c r="I29" s="82" t="s">
        <v>62</v>
      </c>
      <c r="J29" s="82">
        <v>11.15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10.767580057039799</v>
      </c>
      <c r="AE29" s="82">
        <v>0.38336507663702002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3">
        <v>0</v>
      </c>
    </row>
    <row r="30" spans="2:44" ht="12" customHeight="1" x14ac:dyDescent="0.25">
      <c r="B30" s="81" t="s">
        <v>41</v>
      </c>
      <c r="C30" s="82" t="s">
        <v>61</v>
      </c>
      <c r="D30" s="82" t="s">
        <v>25</v>
      </c>
      <c r="E30" s="82" t="s">
        <v>25</v>
      </c>
      <c r="F30" s="82" t="s">
        <v>25</v>
      </c>
      <c r="G30" s="82" t="s">
        <v>25</v>
      </c>
      <c r="H30" s="82" t="s">
        <v>93</v>
      </c>
      <c r="I30" s="82" t="s">
        <v>68</v>
      </c>
      <c r="J30" s="82">
        <v>11.15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10.767580057039799</v>
      </c>
      <c r="AE30" s="82">
        <v>0.38336507663702002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  <c r="AP30" s="82">
        <v>0</v>
      </c>
      <c r="AQ30" s="82">
        <v>0</v>
      </c>
      <c r="AR30" s="83">
        <v>0</v>
      </c>
    </row>
    <row r="31" spans="2:44" ht="12" customHeight="1" x14ac:dyDescent="0.25">
      <c r="B31" s="81" t="s">
        <v>41</v>
      </c>
      <c r="C31" s="82" t="s">
        <v>61</v>
      </c>
      <c r="D31" s="82" t="s">
        <v>25</v>
      </c>
      <c r="E31" s="82" t="s">
        <v>25</v>
      </c>
      <c r="F31" s="82" t="s">
        <v>25</v>
      </c>
      <c r="G31" s="82" t="s">
        <v>25</v>
      </c>
      <c r="H31" s="82" t="s">
        <v>93</v>
      </c>
      <c r="I31" s="82" t="s">
        <v>67</v>
      </c>
      <c r="J31" s="82">
        <v>11.15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10.767580057039799</v>
      </c>
      <c r="AE31" s="82">
        <v>0.38336507663702002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3">
        <v>0</v>
      </c>
    </row>
    <row r="32" spans="2:44" ht="12" customHeight="1" x14ac:dyDescent="0.25">
      <c r="B32" s="81" t="s">
        <v>41</v>
      </c>
      <c r="C32" s="82" t="s">
        <v>61</v>
      </c>
      <c r="D32" s="82" t="s">
        <v>25</v>
      </c>
      <c r="E32" s="82" t="s">
        <v>25</v>
      </c>
      <c r="F32" s="82" t="s">
        <v>25</v>
      </c>
      <c r="G32" s="82" t="s">
        <v>25</v>
      </c>
      <c r="H32" s="82" t="s">
        <v>93</v>
      </c>
      <c r="I32" s="82" t="s">
        <v>65</v>
      </c>
      <c r="J32" s="82">
        <v>11.15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10.767580057039799</v>
      </c>
      <c r="AE32" s="82">
        <v>0.38336507663702002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0</v>
      </c>
      <c r="AR32" s="83">
        <v>0</v>
      </c>
    </row>
    <row r="33" spans="2:44" ht="12" customHeight="1" x14ac:dyDescent="0.25">
      <c r="B33" s="81" t="s">
        <v>41</v>
      </c>
      <c r="C33" s="82" t="s">
        <v>61</v>
      </c>
      <c r="D33" s="82" t="s">
        <v>25</v>
      </c>
      <c r="E33" s="82" t="s">
        <v>25</v>
      </c>
      <c r="F33" s="82" t="s">
        <v>25</v>
      </c>
      <c r="G33" s="82" t="s">
        <v>35</v>
      </c>
      <c r="H33" s="82" t="s">
        <v>99</v>
      </c>
      <c r="I33" s="82" t="s">
        <v>62</v>
      </c>
      <c r="J33" s="82">
        <v>16.48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6.5768927066968201</v>
      </c>
      <c r="U33" s="82">
        <v>1.1669474108521201</v>
      </c>
      <c r="V33" s="82">
        <v>0.91311816803224299</v>
      </c>
      <c r="W33" s="82">
        <v>0</v>
      </c>
      <c r="X33" s="82">
        <v>0</v>
      </c>
      <c r="Y33" s="82">
        <v>0</v>
      </c>
      <c r="Z33" s="82">
        <v>0</v>
      </c>
      <c r="AA33" s="82">
        <v>7.8248423465939601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0</v>
      </c>
      <c r="AR33" s="83">
        <v>0</v>
      </c>
    </row>
    <row r="34" spans="2:44" ht="12" customHeight="1" x14ac:dyDescent="0.25">
      <c r="B34" s="81" t="s">
        <v>41</v>
      </c>
      <c r="C34" s="82" t="s">
        <v>61</v>
      </c>
      <c r="D34" s="82" t="s">
        <v>25</v>
      </c>
      <c r="E34" s="82" t="s">
        <v>25</v>
      </c>
      <c r="F34" s="82" t="s">
        <v>25</v>
      </c>
      <c r="G34" s="82" t="s">
        <v>35</v>
      </c>
      <c r="H34" s="82" t="s">
        <v>99</v>
      </c>
      <c r="I34" s="82" t="s">
        <v>68</v>
      </c>
      <c r="J34" s="82">
        <v>16.48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6.5768927066968201</v>
      </c>
      <c r="U34" s="82">
        <v>1.1669474108521201</v>
      </c>
      <c r="V34" s="82">
        <v>0.91311816803224299</v>
      </c>
      <c r="W34" s="82">
        <v>0</v>
      </c>
      <c r="X34" s="82">
        <v>0</v>
      </c>
      <c r="Y34" s="82">
        <v>0</v>
      </c>
      <c r="Z34" s="82">
        <v>0</v>
      </c>
      <c r="AA34" s="82">
        <v>7.8248423465939601</v>
      </c>
      <c r="AB34" s="82">
        <v>0</v>
      </c>
      <c r="AC34" s="82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0</v>
      </c>
      <c r="AR34" s="83">
        <v>0</v>
      </c>
    </row>
    <row r="35" spans="2:44" ht="12" customHeight="1" x14ac:dyDescent="0.25">
      <c r="B35" s="81" t="s">
        <v>41</v>
      </c>
      <c r="C35" s="82" t="s">
        <v>61</v>
      </c>
      <c r="D35" s="82" t="s">
        <v>25</v>
      </c>
      <c r="E35" s="82" t="s">
        <v>25</v>
      </c>
      <c r="F35" s="82" t="s">
        <v>25</v>
      </c>
      <c r="G35" s="82" t="s">
        <v>35</v>
      </c>
      <c r="H35" s="82" t="s">
        <v>99</v>
      </c>
      <c r="I35" s="82" t="s">
        <v>67</v>
      </c>
      <c r="J35" s="82">
        <v>16.48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6.5768927066968201</v>
      </c>
      <c r="U35" s="82">
        <v>1.1669474108521201</v>
      </c>
      <c r="V35" s="82">
        <v>0.91311816803224299</v>
      </c>
      <c r="W35" s="82">
        <v>0</v>
      </c>
      <c r="X35" s="82">
        <v>0</v>
      </c>
      <c r="Y35" s="82">
        <v>0</v>
      </c>
      <c r="Z35" s="82">
        <v>0</v>
      </c>
      <c r="AA35" s="82">
        <v>7.8248423465939601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0</v>
      </c>
      <c r="AR35" s="83">
        <v>0</v>
      </c>
    </row>
    <row r="36" spans="2:44" ht="12" customHeight="1" x14ac:dyDescent="0.25">
      <c r="B36" s="81" t="s">
        <v>41</v>
      </c>
      <c r="C36" s="82" t="s">
        <v>61</v>
      </c>
      <c r="D36" s="82" t="s">
        <v>25</v>
      </c>
      <c r="E36" s="82" t="s">
        <v>25</v>
      </c>
      <c r="F36" s="82" t="s">
        <v>25</v>
      </c>
      <c r="G36" s="82" t="s">
        <v>35</v>
      </c>
      <c r="H36" s="82" t="s">
        <v>99</v>
      </c>
      <c r="I36" s="82" t="s">
        <v>65</v>
      </c>
      <c r="J36" s="82">
        <v>8.66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6.5768927066968201</v>
      </c>
      <c r="U36" s="82">
        <v>1.1669474108521201</v>
      </c>
      <c r="V36" s="82">
        <v>0.91311816803224299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0</v>
      </c>
      <c r="AR36" s="83">
        <v>0</v>
      </c>
    </row>
    <row r="37" spans="2:44" ht="12" customHeight="1" x14ac:dyDescent="0.25">
      <c r="B37" s="81" t="s">
        <v>41</v>
      </c>
      <c r="C37" s="82" t="s">
        <v>69</v>
      </c>
      <c r="D37" s="82" t="s">
        <v>25</v>
      </c>
      <c r="E37" s="82" t="s">
        <v>25</v>
      </c>
      <c r="F37" s="82" t="s">
        <v>25</v>
      </c>
      <c r="G37" s="82" t="s">
        <v>25</v>
      </c>
      <c r="H37" s="82" t="s">
        <v>99</v>
      </c>
      <c r="I37" s="82" t="s">
        <v>25</v>
      </c>
      <c r="J37" s="82">
        <v>14.32</v>
      </c>
      <c r="K37" s="82">
        <v>0</v>
      </c>
      <c r="L37" s="82">
        <v>0</v>
      </c>
      <c r="M37" s="82">
        <v>3.3834942920400402E-2</v>
      </c>
      <c r="N37" s="82">
        <v>0.132015677095943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15.378143205893799</v>
      </c>
      <c r="AB37" s="82">
        <v>-1.2273164475032901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>
        <v>0</v>
      </c>
      <c r="AR37" s="83">
        <v>0</v>
      </c>
    </row>
    <row r="38" spans="2:44" ht="12" customHeight="1" x14ac:dyDescent="0.25">
      <c r="B38" s="81" t="s">
        <v>41</v>
      </c>
      <c r="C38" s="82" t="s">
        <v>42</v>
      </c>
      <c r="D38" s="82" t="s">
        <v>25</v>
      </c>
      <c r="E38" s="82" t="s">
        <v>25</v>
      </c>
      <c r="F38" s="82" t="s">
        <v>58</v>
      </c>
      <c r="G38" s="82" t="s">
        <v>34</v>
      </c>
      <c r="H38" s="82" t="s">
        <v>93</v>
      </c>
      <c r="I38" s="82" t="s">
        <v>25</v>
      </c>
      <c r="J38" s="82">
        <v>1789.76</v>
      </c>
      <c r="K38" s="82">
        <v>0</v>
      </c>
      <c r="L38" s="82">
        <v>0</v>
      </c>
      <c r="M38" s="82">
        <v>0.74976696047971603</v>
      </c>
      <c r="N38" s="82">
        <v>17.083977387743602</v>
      </c>
      <c r="O38" s="82">
        <v>2.3178841689617199E-2</v>
      </c>
      <c r="P38" s="82">
        <v>0</v>
      </c>
      <c r="Q38" s="82">
        <v>0</v>
      </c>
      <c r="R38" s="82">
        <v>0</v>
      </c>
      <c r="S38" s="82">
        <v>0</v>
      </c>
      <c r="T38" s="82">
        <v>157.12060276832301</v>
      </c>
      <c r="U38" s="82">
        <v>27.528428860440901</v>
      </c>
      <c r="V38" s="82">
        <v>29.659384129546201</v>
      </c>
      <c r="W38" s="82">
        <v>0</v>
      </c>
      <c r="X38" s="82">
        <v>0</v>
      </c>
      <c r="Y38" s="82">
        <v>0</v>
      </c>
      <c r="Z38" s="82">
        <v>0</v>
      </c>
      <c r="AA38" s="82">
        <v>1691.8721586024401</v>
      </c>
      <c r="AB38" s="82">
        <v>-151.459815281522</v>
      </c>
      <c r="AC38" s="82">
        <v>0</v>
      </c>
      <c r="AD38" s="82">
        <v>10.767580057039799</v>
      </c>
      <c r="AE38" s="82">
        <v>0.38336507663702002</v>
      </c>
      <c r="AF38" s="82">
        <v>6.0354999899165902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0</v>
      </c>
      <c r="AQ38" s="82">
        <v>0</v>
      </c>
      <c r="AR38" s="83">
        <v>0</v>
      </c>
    </row>
    <row r="39" spans="2:44" ht="12" customHeight="1" x14ac:dyDescent="0.25">
      <c r="B39" s="81" t="s">
        <v>41</v>
      </c>
      <c r="C39" s="82" t="s">
        <v>42</v>
      </c>
      <c r="D39" s="82" t="s">
        <v>25</v>
      </c>
      <c r="E39" s="82" t="s">
        <v>25</v>
      </c>
      <c r="F39" s="82" t="s">
        <v>58</v>
      </c>
      <c r="G39" s="82" t="s">
        <v>25</v>
      </c>
      <c r="H39" s="82" t="s">
        <v>99</v>
      </c>
      <c r="I39" s="82" t="s">
        <v>25</v>
      </c>
      <c r="J39" s="82">
        <v>26.6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6.5768927066968201</v>
      </c>
      <c r="U39" s="82">
        <v>1.1669474108521201</v>
      </c>
      <c r="V39" s="82">
        <v>0.91311816803224299</v>
      </c>
      <c r="W39" s="82">
        <v>0</v>
      </c>
      <c r="X39" s="82">
        <v>0</v>
      </c>
      <c r="Y39" s="82">
        <v>0</v>
      </c>
      <c r="Z39" s="82">
        <v>0</v>
      </c>
      <c r="AA39" s="82">
        <v>20.132985794347</v>
      </c>
      <c r="AB39" s="82">
        <v>-2.1918694332876401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82">
        <v>0</v>
      </c>
      <c r="AL39" s="82">
        <v>0</v>
      </c>
      <c r="AM39" s="82">
        <v>0</v>
      </c>
      <c r="AN39" s="82">
        <v>0</v>
      </c>
      <c r="AO39" s="82">
        <v>0</v>
      </c>
      <c r="AP39" s="82">
        <v>0</v>
      </c>
      <c r="AQ39" s="82">
        <v>0</v>
      </c>
      <c r="AR39" s="83">
        <v>0</v>
      </c>
    </row>
    <row r="40" spans="2:44" ht="12" customHeight="1" x14ac:dyDescent="0.25">
      <c r="B40" s="81" t="s">
        <v>41</v>
      </c>
      <c r="C40" s="82" t="s">
        <v>42</v>
      </c>
      <c r="D40" s="82" t="s">
        <v>25</v>
      </c>
      <c r="E40" s="82" t="s">
        <v>25</v>
      </c>
      <c r="F40" s="82" t="s">
        <v>58</v>
      </c>
      <c r="G40" s="82" t="s">
        <v>35</v>
      </c>
      <c r="H40" s="82" t="s">
        <v>93</v>
      </c>
      <c r="I40" s="82" t="s">
        <v>25</v>
      </c>
      <c r="J40" s="82">
        <v>16.88</v>
      </c>
      <c r="K40" s="82">
        <v>0</v>
      </c>
      <c r="L40" s="82">
        <v>0</v>
      </c>
      <c r="M40" s="82">
        <v>0.74976696047971603</v>
      </c>
      <c r="N40" s="82">
        <v>0.463375900290593</v>
      </c>
      <c r="O40" s="82">
        <v>2.3178841689617199E-2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0</v>
      </c>
      <c r="AB40" s="82">
        <v>-1.5408419200427499</v>
      </c>
      <c r="AC40" s="82">
        <v>0</v>
      </c>
      <c r="AD40" s="82">
        <v>10.767580057039799</v>
      </c>
      <c r="AE40" s="82">
        <v>0.38336507663702002</v>
      </c>
      <c r="AF40" s="82">
        <v>6.0354999899165902</v>
      </c>
      <c r="AG40" s="82">
        <v>0</v>
      </c>
      <c r="AH40" s="82">
        <v>0</v>
      </c>
      <c r="AI40" s="82">
        <v>0</v>
      </c>
      <c r="AJ40" s="82">
        <v>0</v>
      </c>
      <c r="AK40" s="82">
        <v>0</v>
      </c>
      <c r="AL40" s="82">
        <v>0</v>
      </c>
      <c r="AM40" s="82">
        <v>0</v>
      </c>
      <c r="AN40" s="82">
        <v>0</v>
      </c>
      <c r="AO40" s="82">
        <v>0</v>
      </c>
      <c r="AP40" s="82">
        <v>0</v>
      </c>
      <c r="AQ40" s="82">
        <v>0</v>
      </c>
      <c r="AR40" s="83">
        <v>0</v>
      </c>
    </row>
    <row r="41" spans="2:44" ht="12" customHeight="1" x14ac:dyDescent="0.25">
      <c r="B41" s="81" t="s">
        <v>41</v>
      </c>
      <c r="C41" s="82" t="s">
        <v>42</v>
      </c>
      <c r="D41" s="82" t="s">
        <v>25</v>
      </c>
      <c r="E41" s="82" t="s">
        <v>25</v>
      </c>
      <c r="F41" s="82" t="s">
        <v>25</v>
      </c>
      <c r="G41" s="82" t="s">
        <v>34</v>
      </c>
      <c r="H41" s="82" t="s">
        <v>93</v>
      </c>
      <c r="I41" s="82" t="s">
        <v>25</v>
      </c>
      <c r="J41" s="82">
        <v>1837.89</v>
      </c>
      <c r="K41" s="82">
        <v>361.55</v>
      </c>
      <c r="L41" s="82">
        <v>3.3790499222838899</v>
      </c>
      <c r="M41" s="82">
        <v>0.74976696047971603</v>
      </c>
      <c r="N41" s="82">
        <v>17.098827295178399</v>
      </c>
      <c r="O41" s="82">
        <v>2.3178841689617199E-2</v>
      </c>
      <c r="P41" s="82">
        <v>0</v>
      </c>
      <c r="Q41" s="82">
        <v>32.880384258105202</v>
      </c>
      <c r="R41" s="82">
        <v>15.9440620819672</v>
      </c>
      <c r="S41" s="82">
        <v>0</v>
      </c>
      <c r="T41" s="82">
        <v>157.12060276832301</v>
      </c>
      <c r="U41" s="82">
        <v>27.528428860440901</v>
      </c>
      <c r="V41" s="82">
        <v>29.659384129546201</v>
      </c>
      <c r="W41" s="82">
        <v>0</v>
      </c>
      <c r="X41" s="82">
        <v>0</v>
      </c>
      <c r="Y41" s="82">
        <v>0</v>
      </c>
      <c r="Z41" s="82">
        <v>0</v>
      </c>
      <c r="AA41" s="82">
        <v>1691.8721586024401</v>
      </c>
      <c r="AB41" s="82">
        <v>-155.55267673081499</v>
      </c>
      <c r="AC41" s="82">
        <v>0</v>
      </c>
      <c r="AD41" s="82">
        <v>10.767580057039799</v>
      </c>
      <c r="AE41" s="82">
        <v>0.38336507663702002</v>
      </c>
      <c r="AF41" s="82">
        <v>6.0354999899165902</v>
      </c>
      <c r="AG41" s="82">
        <v>0</v>
      </c>
      <c r="AH41" s="82">
        <v>3.7821930841515798</v>
      </c>
      <c r="AI41" s="82">
        <v>0</v>
      </c>
      <c r="AJ41" s="82">
        <v>2.6213057905810002</v>
      </c>
      <c r="AK41" s="82">
        <v>21.535740967520599</v>
      </c>
      <c r="AL41" s="82">
        <v>0</v>
      </c>
      <c r="AM41" s="82">
        <v>364.64139260470199</v>
      </c>
      <c r="AN41" s="82">
        <v>0</v>
      </c>
      <c r="AO41" s="82">
        <v>0</v>
      </c>
      <c r="AP41" s="82">
        <v>3.8680550024624998E-13</v>
      </c>
      <c r="AQ41" s="82">
        <v>-36.720930315477503</v>
      </c>
      <c r="AR41" s="83">
        <v>5.6904320526370302</v>
      </c>
    </row>
    <row r="42" spans="2:44" ht="12" customHeight="1" x14ac:dyDescent="0.25">
      <c r="B42" s="81" t="s">
        <v>41</v>
      </c>
      <c r="C42" s="82" t="s">
        <v>42</v>
      </c>
      <c r="D42" s="82" t="s">
        <v>25</v>
      </c>
      <c r="E42" s="82" t="s">
        <v>25</v>
      </c>
      <c r="F42" s="82" t="s">
        <v>25</v>
      </c>
      <c r="G42" s="82" t="s">
        <v>25</v>
      </c>
      <c r="H42" s="82" t="s">
        <v>99</v>
      </c>
      <c r="I42" s="82" t="s">
        <v>25</v>
      </c>
      <c r="J42" s="82">
        <v>26.6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6.5768927066968201</v>
      </c>
      <c r="U42" s="82">
        <v>1.1669474108521201</v>
      </c>
      <c r="V42" s="82">
        <v>0.91311816803224299</v>
      </c>
      <c r="W42" s="82">
        <v>0</v>
      </c>
      <c r="X42" s="82">
        <v>0</v>
      </c>
      <c r="Y42" s="82">
        <v>0</v>
      </c>
      <c r="Z42" s="82">
        <v>0</v>
      </c>
      <c r="AA42" s="82">
        <v>20.132985794347</v>
      </c>
      <c r="AB42" s="82">
        <v>-2.1918694332876401</v>
      </c>
      <c r="AC42" s="82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  <c r="AN42" s="82">
        <v>0</v>
      </c>
      <c r="AO42" s="82">
        <v>0</v>
      </c>
      <c r="AP42" s="82">
        <v>0</v>
      </c>
      <c r="AQ42" s="82">
        <v>0</v>
      </c>
      <c r="AR42" s="83">
        <v>0</v>
      </c>
    </row>
    <row r="43" spans="2:44" ht="12" customHeight="1" x14ac:dyDescent="0.25">
      <c r="B43" s="81" t="s">
        <v>41</v>
      </c>
      <c r="C43" s="82" t="s">
        <v>42</v>
      </c>
      <c r="D43" s="82" t="s">
        <v>25</v>
      </c>
      <c r="E43" s="82" t="s">
        <v>25</v>
      </c>
      <c r="F43" s="82" t="s">
        <v>25</v>
      </c>
      <c r="G43" s="82" t="s">
        <v>35</v>
      </c>
      <c r="H43" s="82" t="s">
        <v>93</v>
      </c>
      <c r="I43" s="82" t="s">
        <v>25</v>
      </c>
      <c r="J43" s="82">
        <v>65.010000000000005</v>
      </c>
      <c r="K43" s="82">
        <v>223.15</v>
      </c>
      <c r="L43" s="82">
        <v>3.3790499222838899</v>
      </c>
      <c r="M43" s="82">
        <v>0.74976696047971603</v>
      </c>
      <c r="N43" s="82">
        <v>0.47822580772545698</v>
      </c>
      <c r="O43" s="82">
        <v>2.3178841689617199E-2</v>
      </c>
      <c r="P43" s="82">
        <v>0</v>
      </c>
      <c r="Q43" s="82">
        <v>32.880384258105202</v>
      </c>
      <c r="R43" s="82">
        <v>15.9440620819672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-5.6337033693360397</v>
      </c>
      <c r="AC43" s="82">
        <v>0</v>
      </c>
      <c r="AD43" s="82">
        <v>10.767580057039799</v>
      </c>
      <c r="AE43" s="82">
        <v>0.38336507663702002</v>
      </c>
      <c r="AF43" s="82">
        <v>6.0354999899165902</v>
      </c>
      <c r="AG43" s="82">
        <v>0</v>
      </c>
      <c r="AH43" s="82">
        <v>3.7821930841515798</v>
      </c>
      <c r="AI43" s="82">
        <v>0</v>
      </c>
      <c r="AJ43" s="82">
        <v>2.6213057905810002</v>
      </c>
      <c r="AK43" s="82">
        <v>21.535740967520599</v>
      </c>
      <c r="AL43" s="82">
        <v>0</v>
      </c>
      <c r="AM43" s="82">
        <v>212.00080965389699</v>
      </c>
      <c r="AN43" s="82">
        <v>0</v>
      </c>
      <c r="AO43" s="82">
        <v>0</v>
      </c>
      <c r="AP43" s="82">
        <v>3.8680550024624998E-13</v>
      </c>
      <c r="AQ43" s="82">
        <v>-22.484863428340301</v>
      </c>
      <c r="AR43" s="83">
        <v>5.6904320526370302</v>
      </c>
    </row>
    <row r="44" spans="2:44" ht="12" customHeight="1" x14ac:dyDescent="0.25">
      <c r="B44" s="81" t="s">
        <v>104</v>
      </c>
      <c r="C44" s="82" t="s">
        <v>69</v>
      </c>
      <c r="D44" s="82" t="s">
        <v>25</v>
      </c>
      <c r="E44" s="82" t="s">
        <v>25</v>
      </c>
      <c r="F44" s="82" t="s">
        <v>105</v>
      </c>
      <c r="G44" s="82" t="s">
        <v>25</v>
      </c>
      <c r="H44" s="82" t="s">
        <v>99</v>
      </c>
      <c r="I44" s="82" t="s">
        <v>25</v>
      </c>
      <c r="J44" s="82">
        <v>7.02</v>
      </c>
      <c r="K44" s="82">
        <v>0</v>
      </c>
      <c r="L44" s="82">
        <v>0</v>
      </c>
      <c r="M44" s="82">
        <v>1.65351557209866E-2</v>
      </c>
      <c r="N44" s="82">
        <v>6.4597097341659401E-2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7.5354065706298101</v>
      </c>
      <c r="AB44" s="82">
        <v>-0.60138287994332895</v>
      </c>
      <c r="AC44" s="82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  <c r="AN44" s="82">
        <v>0</v>
      </c>
      <c r="AO44" s="82">
        <v>0</v>
      </c>
      <c r="AP44" s="82">
        <v>0</v>
      </c>
      <c r="AQ44" s="82">
        <v>0</v>
      </c>
      <c r="AR44" s="83">
        <v>0</v>
      </c>
    </row>
    <row r="45" spans="2:44" ht="12" customHeight="1" x14ac:dyDescent="0.25">
      <c r="B45" s="81" t="s">
        <v>104</v>
      </c>
      <c r="C45" s="82" t="s">
        <v>69</v>
      </c>
      <c r="D45" s="82" t="s">
        <v>25</v>
      </c>
      <c r="E45" s="82" t="s">
        <v>25</v>
      </c>
      <c r="F45" s="82" t="s">
        <v>106</v>
      </c>
      <c r="G45" s="82" t="s">
        <v>25</v>
      </c>
      <c r="H45" s="82" t="s">
        <v>99</v>
      </c>
      <c r="I45" s="82" t="s">
        <v>25</v>
      </c>
      <c r="J45" s="82">
        <v>21.03</v>
      </c>
      <c r="K45" s="82">
        <v>0</v>
      </c>
      <c r="L45" s="82">
        <v>0</v>
      </c>
      <c r="M45" s="82">
        <v>1.65351557209866E-2</v>
      </c>
      <c r="N45" s="82">
        <v>6.4597097341659401E-2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22.7554546047785</v>
      </c>
      <c r="AB45" s="82">
        <v>-1.80228375749467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>
        <v>0</v>
      </c>
      <c r="AR45" s="83">
        <v>0</v>
      </c>
    </row>
    <row r="46" spans="2:44" ht="12" customHeight="1" x14ac:dyDescent="0.25">
      <c r="B46" s="81" t="s">
        <v>22</v>
      </c>
      <c r="C46" s="82" t="s">
        <v>33</v>
      </c>
      <c r="D46" s="82" t="s">
        <v>24</v>
      </c>
      <c r="E46" s="82" t="s">
        <v>24</v>
      </c>
      <c r="F46" s="82" t="s">
        <v>25</v>
      </c>
      <c r="G46" s="82" t="s">
        <v>34</v>
      </c>
      <c r="H46" s="82" t="s">
        <v>93</v>
      </c>
      <c r="I46" s="82" t="s">
        <v>25</v>
      </c>
      <c r="J46" s="82">
        <v>1054.53</v>
      </c>
      <c r="K46" s="82">
        <v>361.55</v>
      </c>
      <c r="L46" s="82">
        <v>4.0226784789093903</v>
      </c>
      <c r="M46" s="82">
        <v>1.1461631868940101</v>
      </c>
      <c r="N46" s="82">
        <v>9.9773499923023401</v>
      </c>
      <c r="O46" s="82">
        <v>2.3178841689617199E-2</v>
      </c>
      <c r="P46" s="82">
        <v>0</v>
      </c>
      <c r="Q46" s="82">
        <v>39.143314592982399</v>
      </c>
      <c r="R46" s="82">
        <v>15.9440620819672</v>
      </c>
      <c r="S46" s="82">
        <v>0</v>
      </c>
      <c r="T46" s="82">
        <v>79.694017172485502</v>
      </c>
      <c r="U46" s="82">
        <v>14.3155235544357</v>
      </c>
      <c r="V46" s="82">
        <v>13.746300781800301</v>
      </c>
      <c r="W46" s="82">
        <v>0</v>
      </c>
      <c r="X46" s="82">
        <v>0</v>
      </c>
      <c r="Y46" s="82">
        <v>0</v>
      </c>
      <c r="Z46" s="82">
        <v>0</v>
      </c>
      <c r="AA46" s="82">
        <v>929.96948307084494</v>
      </c>
      <c r="AB46" s="82">
        <v>-89.507637321414506</v>
      </c>
      <c r="AC46" s="82">
        <v>0</v>
      </c>
      <c r="AD46" s="82">
        <v>27.037213249275499</v>
      </c>
      <c r="AE46" s="82">
        <v>0.96262328902614402</v>
      </c>
      <c r="AF46" s="82">
        <v>8.05678181275022</v>
      </c>
      <c r="AG46" s="82">
        <v>0</v>
      </c>
      <c r="AH46" s="82">
        <v>3.7821930841515798</v>
      </c>
      <c r="AI46" s="82">
        <v>0</v>
      </c>
      <c r="AJ46" s="82">
        <v>2.6213057905810002</v>
      </c>
      <c r="AK46" s="82">
        <v>21.535740967520599</v>
      </c>
      <c r="AL46" s="82">
        <v>0</v>
      </c>
      <c r="AM46" s="82">
        <v>364.64139260470199</v>
      </c>
      <c r="AN46" s="82">
        <v>0</v>
      </c>
      <c r="AO46" s="82">
        <v>0</v>
      </c>
      <c r="AP46" s="82">
        <v>3.8680550024624998E-13</v>
      </c>
      <c r="AQ46" s="82">
        <v>-36.720930315477503</v>
      </c>
      <c r="AR46" s="83">
        <v>5.6904320526370302</v>
      </c>
    </row>
    <row r="47" spans="2:44" ht="12" customHeight="1" x14ac:dyDescent="0.25">
      <c r="B47" s="81" t="s">
        <v>22</v>
      </c>
      <c r="C47" s="82" t="s">
        <v>33</v>
      </c>
      <c r="D47" s="82" t="s">
        <v>24</v>
      </c>
      <c r="E47" s="82" t="s">
        <v>24</v>
      </c>
      <c r="F47" s="82" t="s">
        <v>25</v>
      </c>
      <c r="G47" s="82" t="s">
        <v>36</v>
      </c>
      <c r="H47" s="82" t="s">
        <v>93</v>
      </c>
      <c r="I47" s="82" t="s">
        <v>25</v>
      </c>
      <c r="J47" s="82">
        <v>668.5</v>
      </c>
      <c r="K47" s="82">
        <v>223.15</v>
      </c>
      <c r="L47" s="82">
        <v>4.0226784789093903</v>
      </c>
      <c r="M47" s="82">
        <v>1.1461631868940101</v>
      </c>
      <c r="N47" s="82">
        <v>6.3627830282765698</v>
      </c>
      <c r="O47" s="82">
        <v>2.3178841689617199E-2</v>
      </c>
      <c r="P47" s="82">
        <v>0</v>
      </c>
      <c r="Q47" s="82">
        <v>39.143314592982399</v>
      </c>
      <c r="R47" s="82">
        <v>15.9440620819672</v>
      </c>
      <c r="S47" s="82">
        <v>0</v>
      </c>
      <c r="T47" s="82">
        <v>47.8164712641466</v>
      </c>
      <c r="U47" s="82">
        <v>8.5892906976295507</v>
      </c>
      <c r="V47" s="82">
        <v>8.2478751090699607</v>
      </c>
      <c r="W47" s="82">
        <v>0</v>
      </c>
      <c r="X47" s="82">
        <v>0</v>
      </c>
      <c r="Y47" s="82">
        <v>0</v>
      </c>
      <c r="Z47" s="82">
        <v>0</v>
      </c>
      <c r="AA47" s="82">
        <v>557.98179408108194</v>
      </c>
      <c r="AB47" s="82">
        <v>-56.836173511765203</v>
      </c>
      <c r="AC47" s="82">
        <v>0</v>
      </c>
      <c r="AD47" s="82">
        <v>27.037213249275499</v>
      </c>
      <c r="AE47" s="82">
        <v>0.96262328902614402</v>
      </c>
      <c r="AF47" s="82">
        <v>8.05678181275022</v>
      </c>
      <c r="AG47" s="82">
        <v>0</v>
      </c>
      <c r="AH47" s="82">
        <v>3.7821930841515798</v>
      </c>
      <c r="AI47" s="82">
        <v>0</v>
      </c>
      <c r="AJ47" s="82">
        <v>2.6213057905810002</v>
      </c>
      <c r="AK47" s="82">
        <v>21.535740967520599</v>
      </c>
      <c r="AL47" s="82">
        <v>0</v>
      </c>
      <c r="AM47" s="82">
        <v>212.00080965389699</v>
      </c>
      <c r="AN47" s="82">
        <v>0</v>
      </c>
      <c r="AO47" s="82">
        <v>0</v>
      </c>
      <c r="AP47" s="82">
        <v>3.8680550024624998E-13</v>
      </c>
      <c r="AQ47" s="82">
        <v>-22.484863428340301</v>
      </c>
      <c r="AR47" s="83">
        <v>5.6904320526370302</v>
      </c>
    </row>
    <row r="48" spans="2:44" ht="12" customHeight="1" x14ac:dyDescent="0.25">
      <c r="B48" s="81" t="s">
        <v>22</v>
      </c>
      <c r="C48" s="82" t="s">
        <v>33</v>
      </c>
      <c r="D48" s="82" t="s">
        <v>24</v>
      </c>
      <c r="E48" s="82" t="s">
        <v>24</v>
      </c>
      <c r="F48" s="82" t="s">
        <v>25</v>
      </c>
      <c r="G48" s="82" t="s">
        <v>35</v>
      </c>
      <c r="H48" s="82" t="s">
        <v>93</v>
      </c>
      <c r="I48" s="82" t="s">
        <v>25</v>
      </c>
      <c r="J48" s="82">
        <v>282.45999999999998</v>
      </c>
      <c r="K48" s="82">
        <v>223.15</v>
      </c>
      <c r="L48" s="82">
        <v>4.0226784789093903</v>
      </c>
      <c r="M48" s="82">
        <v>1.1461631868940101</v>
      </c>
      <c r="N48" s="82">
        <v>2.7482116092785698</v>
      </c>
      <c r="O48" s="82">
        <v>2.3178841689617199E-2</v>
      </c>
      <c r="P48" s="82">
        <v>0</v>
      </c>
      <c r="Q48" s="82">
        <v>39.143314592982399</v>
      </c>
      <c r="R48" s="82">
        <v>15.9440620819672</v>
      </c>
      <c r="S48" s="82">
        <v>0</v>
      </c>
      <c r="T48" s="82">
        <v>15.9387729541694</v>
      </c>
      <c r="U48" s="82">
        <v>2.8630578408234402</v>
      </c>
      <c r="V48" s="82">
        <v>2.7492917030233199</v>
      </c>
      <c r="W48" s="82">
        <v>0</v>
      </c>
      <c r="X48" s="82">
        <v>0</v>
      </c>
      <c r="Y48" s="82">
        <v>0</v>
      </c>
      <c r="Z48" s="82">
        <v>0</v>
      </c>
      <c r="AA48" s="82">
        <v>185.99393136036099</v>
      </c>
      <c r="AB48" s="82">
        <v>-24.164672391804501</v>
      </c>
      <c r="AC48" s="82">
        <v>0</v>
      </c>
      <c r="AD48" s="82">
        <v>27.037213249275499</v>
      </c>
      <c r="AE48" s="82">
        <v>0.96262328902614402</v>
      </c>
      <c r="AF48" s="82">
        <v>8.05678181275022</v>
      </c>
      <c r="AG48" s="82">
        <v>0</v>
      </c>
      <c r="AH48" s="82">
        <v>3.7821930841515798</v>
      </c>
      <c r="AI48" s="82">
        <v>0</v>
      </c>
      <c r="AJ48" s="82">
        <v>2.6213057905810002</v>
      </c>
      <c r="AK48" s="82">
        <v>21.535740967520599</v>
      </c>
      <c r="AL48" s="82">
        <v>0</v>
      </c>
      <c r="AM48" s="82">
        <v>212.00080965389699</v>
      </c>
      <c r="AN48" s="82">
        <v>0</v>
      </c>
      <c r="AO48" s="82">
        <v>0</v>
      </c>
      <c r="AP48" s="82">
        <v>3.8680550024624998E-13</v>
      </c>
      <c r="AQ48" s="82">
        <v>-22.484863428340301</v>
      </c>
      <c r="AR48" s="83">
        <v>5.6904320526370302</v>
      </c>
    </row>
    <row r="49" spans="2:44" ht="12" customHeight="1" x14ac:dyDescent="0.25">
      <c r="B49" s="81" t="s">
        <v>22</v>
      </c>
      <c r="C49" s="82" t="s">
        <v>23</v>
      </c>
      <c r="D49" s="82" t="s">
        <v>24</v>
      </c>
      <c r="E49" s="82" t="s">
        <v>1618</v>
      </c>
      <c r="F49" s="82" t="s">
        <v>25</v>
      </c>
      <c r="G49" s="82" t="s">
        <v>25</v>
      </c>
      <c r="H49" s="82" t="s">
        <v>93</v>
      </c>
      <c r="I49" s="82" t="s">
        <v>25</v>
      </c>
      <c r="J49" s="82">
        <v>356.66</v>
      </c>
      <c r="K49" s="82">
        <v>234.68</v>
      </c>
      <c r="L49" s="82">
        <v>0</v>
      </c>
      <c r="M49" s="82">
        <v>1.1461631868940101</v>
      </c>
      <c r="N49" s="82">
        <v>3.93821933650662</v>
      </c>
      <c r="O49" s="82">
        <v>2.3178841689617199E-2</v>
      </c>
      <c r="P49" s="82">
        <v>0</v>
      </c>
      <c r="Q49" s="82">
        <v>0</v>
      </c>
      <c r="R49" s="82">
        <v>0</v>
      </c>
      <c r="S49" s="82">
        <v>0</v>
      </c>
      <c r="T49" s="82">
        <v>26.564672390828498</v>
      </c>
      <c r="U49" s="82">
        <v>4.7718411848118896</v>
      </c>
      <c r="V49" s="82">
        <v>4.5821528383721999</v>
      </c>
      <c r="W49" s="82">
        <v>0</v>
      </c>
      <c r="X49" s="82">
        <v>0</v>
      </c>
      <c r="Y49" s="82">
        <v>0</v>
      </c>
      <c r="Z49" s="82">
        <v>0</v>
      </c>
      <c r="AA49" s="82">
        <v>309.98988560060099</v>
      </c>
      <c r="AB49" s="82">
        <v>-30.415873741173101</v>
      </c>
      <c r="AC49" s="82">
        <v>0</v>
      </c>
      <c r="AD49" s="82">
        <v>27.037213249275499</v>
      </c>
      <c r="AE49" s="82">
        <v>0.96262328902614402</v>
      </c>
      <c r="AF49" s="82">
        <v>8.05678181275022</v>
      </c>
      <c r="AG49" s="82">
        <v>0</v>
      </c>
      <c r="AH49" s="82">
        <v>3.7821930841515798</v>
      </c>
      <c r="AI49" s="82">
        <v>0</v>
      </c>
      <c r="AJ49" s="82">
        <v>2.6213057905810002</v>
      </c>
      <c r="AK49" s="82">
        <v>21.535740967520599</v>
      </c>
      <c r="AL49" s="82">
        <v>0</v>
      </c>
      <c r="AM49" s="82">
        <v>224.72085823313</v>
      </c>
      <c r="AN49" s="82">
        <v>0</v>
      </c>
      <c r="AO49" s="82">
        <v>0</v>
      </c>
      <c r="AP49" s="82">
        <v>3.8680550024624998E-13</v>
      </c>
      <c r="AQ49" s="82">
        <v>-23.671202335601699</v>
      </c>
      <c r="AR49" s="83">
        <v>5.6904320526370302</v>
      </c>
    </row>
    <row r="50" spans="2:44" ht="12" customHeight="1" x14ac:dyDescent="0.25">
      <c r="B50" s="81" t="s">
        <v>22</v>
      </c>
      <c r="C50" s="82" t="s">
        <v>23</v>
      </c>
      <c r="D50" s="82" t="s">
        <v>24</v>
      </c>
      <c r="E50" s="82" t="s">
        <v>24</v>
      </c>
      <c r="F50" s="82" t="s">
        <v>25</v>
      </c>
      <c r="G50" s="82" t="s">
        <v>25</v>
      </c>
      <c r="H50" s="82" t="s">
        <v>93</v>
      </c>
      <c r="I50" s="82" t="s">
        <v>25</v>
      </c>
      <c r="J50" s="82">
        <v>411.14</v>
      </c>
      <c r="K50" s="82">
        <v>234.68</v>
      </c>
      <c r="L50" s="82">
        <v>4.0226784789093903</v>
      </c>
      <c r="M50" s="82">
        <v>1.1461631868940101</v>
      </c>
      <c r="N50" s="82">
        <v>3.9530692439414898</v>
      </c>
      <c r="O50" s="82">
        <v>2.3178841689617199E-2</v>
      </c>
      <c r="P50" s="82">
        <v>0</v>
      </c>
      <c r="Q50" s="82">
        <v>39.143314592982399</v>
      </c>
      <c r="R50" s="82">
        <v>15.9440620819672</v>
      </c>
      <c r="S50" s="82">
        <v>0</v>
      </c>
      <c r="T50" s="82">
        <v>26.564672390828498</v>
      </c>
      <c r="U50" s="82">
        <v>4.7718411848118896</v>
      </c>
      <c r="V50" s="82">
        <v>4.5821528383721999</v>
      </c>
      <c r="W50" s="82">
        <v>0</v>
      </c>
      <c r="X50" s="82">
        <v>0</v>
      </c>
      <c r="Y50" s="82">
        <v>0</v>
      </c>
      <c r="Z50" s="82">
        <v>0</v>
      </c>
      <c r="AA50" s="82">
        <v>309.98988560060099</v>
      </c>
      <c r="AB50" s="82">
        <v>-35.055175889832</v>
      </c>
      <c r="AC50" s="82">
        <v>0</v>
      </c>
      <c r="AD50" s="82">
        <v>27.037213249275499</v>
      </c>
      <c r="AE50" s="82">
        <v>0.96262328902614402</v>
      </c>
      <c r="AF50" s="82">
        <v>8.05678181275022</v>
      </c>
      <c r="AG50" s="82">
        <v>0</v>
      </c>
      <c r="AH50" s="82">
        <v>3.7821930841515798</v>
      </c>
      <c r="AI50" s="82">
        <v>0</v>
      </c>
      <c r="AJ50" s="82">
        <v>2.6213057905810002</v>
      </c>
      <c r="AK50" s="82">
        <v>21.535740967520599</v>
      </c>
      <c r="AL50" s="82">
        <v>0</v>
      </c>
      <c r="AM50" s="82">
        <v>224.72085823313</v>
      </c>
      <c r="AN50" s="82">
        <v>0</v>
      </c>
      <c r="AO50" s="82">
        <v>0</v>
      </c>
      <c r="AP50" s="82">
        <v>3.8680550024624998E-13</v>
      </c>
      <c r="AQ50" s="82">
        <v>-23.671202335601699</v>
      </c>
      <c r="AR50" s="83">
        <v>5.6904320526370302</v>
      </c>
    </row>
    <row r="51" spans="2:44" ht="12" customHeight="1" x14ac:dyDescent="0.25">
      <c r="B51" s="81" t="s">
        <v>22</v>
      </c>
      <c r="C51" s="82" t="s">
        <v>109</v>
      </c>
      <c r="D51" s="82" t="s">
        <v>24</v>
      </c>
      <c r="E51" s="82" t="s">
        <v>1618</v>
      </c>
      <c r="F51" s="82" t="s">
        <v>25</v>
      </c>
      <c r="G51" s="82" t="s">
        <v>25</v>
      </c>
      <c r="H51" s="82" t="s">
        <v>93</v>
      </c>
      <c r="I51" s="82" t="s">
        <v>25</v>
      </c>
      <c r="J51" s="82">
        <v>356.66</v>
      </c>
      <c r="K51" s="82">
        <v>234.68</v>
      </c>
      <c r="L51" s="82">
        <v>0</v>
      </c>
      <c r="M51" s="82">
        <v>1.1461631868940101</v>
      </c>
      <c r="N51" s="82">
        <v>3.93821933650662</v>
      </c>
      <c r="O51" s="82">
        <v>2.3178841689617199E-2</v>
      </c>
      <c r="P51" s="82">
        <v>0</v>
      </c>
      <c r="Q51" s="82">
        <v>0</v>
      </c>
      <c r="R51" s="82">
        <v>0</v>
      </c>
      <c r="S51" s="82">
        <v>0</v>
      </c>
      <c r="T51" s="82">
        <v>26.564672390828498</v>
      </c>
      <c r="U51" s="82">
        <v>4.7718411848118896</v>
      </c>
      <c r="V51" s="82">
        <v>4.5821528383721999</v>
      </c>
      <c r="W51" s="82">
        <v>0</v>
      </c>
      <c r="X51" s="82">
        <v>0</v>
      </c>
      <c r="Y51" s="82">
        <v>0</v>
      </c>
      <c r="Z51" s="82">
        <v>0</v>
      </c>
      <c r="AA51" s="82">
        <v>309.98988560060099</v>
      </c>
      <c r="AB51" s="82">
        <v>-30.415873741173101</v>
      </c>
      <c r="AC51" s="82">
        <v>0</v>
      </c>
      <c r="AD51" s="82">
        <v>27.037213249275499</v>
      </c>
      <c r="AE51" s="82">
        <v>0.96262328902614402</v>
      </c>
      <c r="AF51" s="82">
        <v>8.05678181275022</v>
      </c>
      <c r="AG51" s="82">
        <v>0</v>
      </c>
      <c r="AH51" s="82">
        <v>3.7821930841515798</v>
      </c>
      <c r="AI51" s="82">
        <v>0</v>
      </c>
      <c r="AJ51" s="82">
        <v>2.6213057905810002</v>
      </c>
      <c r="AK51" s="82">
        <v>21.535740967520599</v>
      </c>
      <c r="AL51" s="82">
        <v>0</v>
      </c>
      <c r="AM51" s="82">
        <v>224.72085823313</v>
      </c>
      <c r="AN51" s="82">
        <v>0</v>
      </c>
      <c r="AO51" s="82">
        <v>0</v>
      </c>
      <c r="AP51" s="82">
        <v>3.8680550024624998E-13</v>
      </c>
      <c r="AQ51" s="82">
        <v>-23.671202335601699</v>
      </c>
      <c r="AR51" s="83">
        <v>5.6904320526370302</v>
      </c>
    </row>
    <row r="52" spans="2:44" ht="12" customHeight="1" x14ac:dyDescent="0.25">
      <c r="B52" s="81" t="s">
        <v>22</v>
      </c>
      <c r="C52" s="82" t="s">
        <v>109</v>
      </c>
      <c r="D52" s="82" t="s">
        <v>24</v>
      </c>
      <c r="E52" s="82" t="s">
        <v>24</v>
      </c>
      <c r="F52" s="82" t="s">
        <v>25</v>
      </c>
      <c r="G52" s="82" t="s">
        <v>25</v>
      </c>
      <c r="H52" s="82" t="s">
        <v>93</v>
      </c>
      <c r="I52" s="82" t="s">
        <v>25</v>
      </c>
      <c r="J52" s="82">
        <v>411.14</v>
      </c>
      <c r="K52" s="82">
        <v>234.68</v>
      </c>
      <c r="L52" s="82">
        <v>4.0226784789093903</v>
      </c>
      <c r="M52" s="82">
        <v>1.1461631868940101</v>
      </c>
      <c r="N52" s="82">
        <v>3.9530692439414898</v>
      </c>
      <c r="O52" s="82">
        <v>2.3178841689617199E-2</v>
      </c>
      <c r="P52" s="82">
        <v>0</v>
      </c>
      <c r="Q52" s="82">
        <v>39.143314592982399</v>
      </c>
      <c r="R52" s="82">
        <v>15.9440620819672</v>
      </c>
      <c r="S52" s="82">
        <v>0</v>
      </c>
      <c r="T52" s="82">
        <v>26.564672390828498</v>
      </c>
      <c r="U52" s="82">
        <v>4.7718411848118896</v>
      </c>
      <c r="V52" s="82">
        <v>4.5821528383721999</v>
      </c>
      <c r="W52" s="82">
        <v>0</v>
      </c>
      <c r="X52" s="82">
        <v>0</v>
      </c>
      <c r="Y52" s="82">
        <v>0</v>
      </c>
      <c r="Z52" s="82">
        <v>0</v>
      </c>
      <c r="AA52" s="82">
        <v>309.98988560060099</v>
      </c>
      <c r="AB52" s="82">
        <v>-35.055175889832</v>
      </c>
      <c r="AC52" s="82">
        <v>0</v>
      </c>
      <c r="AD52" s="82">
        <v>27.037213249275499</v>
      </c>
      <c r="AE52" s="82">
        <v>0.96262328902614402</v>
      </c>
      <c r="AF52" s="82">
        <v>8.05678181275022</v>
      </c>
      <c r="AG52" s="82">
        <v>0</v>
      </c>
      <c r="AH52" s="82">
        <v>3.7821930841515798</v>
      </c>
      <c r="AI52" s="82">
        <v>0</v>
      </c>
      <c r="AJ52" s="82">
        <v>2.6213057905810002</v>
      </c>
      <c r="AK52" s="82">
        <v>21.535740967520599</v>
      </c>
      <c r="AL52" s="82">
        <v>0</v>
      </c>
      <c r="AM52" s="82">
        <v>224.72085823313</v>
      </c>
      <c r="AN52" s="82">
        <v>0</v>
      </c>
      <c r="AO52" s="82">
        <v>0</v>
      </c>
      <c r="AP52" s="82">
        <v>3.8680550024624998E-13</v>
      </c>
      <c r="AQ52" s="82">
        <v>-23.671202335601699</v>
      </c>
      <c r="AR52" s="83">
        <v>5.6904320526370302</v>
      </c>
    </row>
    <row r="53" spans="2:44" ht="12" customHeight="1" x14ac:dyDescent="0.25">
      <c r="B53" s="81" t="s">
        <v>44</v>
      </c>
      <c r="C53" s="82" t="s">
        <v>33</v>
      </c>
      <c r="D53" s="82" t="s">
        <v>45</v>
      </c>
      <c r="E53" s="82" t="s">
        <v>110</v>
      </c>
      <c r="F53" s="82" t="s">
        <v>25</v>
      </c>
      <c r="G53" s="82" t="s">
        <v>34</v>
      </c>
      <c r="H53" s="82" t="s">
        <v>93</v>
      </c>
      <c r="I53" s="82" t="s">
        <v>25</v>
      </c>
      <c r="J53" s="82">
        <v>991.26</v>
      </c>
      <c r="K53" s="82">
        <v>339.86</v>
      </c>
      <c r="L53" s="82">
        <v>3.7813177701748302</v>
      </c>
      <c r="M53" s="82">
        <v>1.0773933956803701</v>
      </c>
      <c r="N53" s="82">
        <v>9.3787089927641993</v>
      </c>
      <c r="O53" s="82">
        <v>2.1788111188240099E-2</v>
      </c>
      <c r="P53" s="82">
        <v>0</v>
      </c>
      <c r="Q53" s="82">
        <v>36.794715717403498</v>
      </c>
      <c r="R53" s="82">
        <v>14.987418357049201</v>
      </c>
      <c r="S53" s="82">
        <v>0</v>
      </c>
      <c r="T53" s="82">
        <v>74.912376142136296</v>
      </c>
      <c r="U53" s="82">
        <v>13.4565921411695</v>
      </c>
      <c r="V53" s="82">
        <v>12.921522734892299</v>
      </c>
      <c r="W53" s="82">
        <v>0</v>
      </c>
      <c r="X53" s="82">
        <v>0</v>
      </c>
      <c r="Y53" s="82">
        <v>0</v>
      </c>
      <c r="Z53" s="82">
        <v>0</v>
      </c>
      <c r="AA53" s="82">
        <v>874.17131408659498</v>
      </c>
      <c r="AB53" s="82">
        <v>-84.137179082129606</v>
      </c>
      <c r="AC53" s="82">
        <v>0</v>
      </c>
      <c r="AD53" s="82">
        <v>25.414980454318901</v>
      </c>
      <c r="AE53" s="82">
        <v>0.90486589168457499</v>
      </c>
      <c r="AF53" s="82">
        <v>7.5733749039852096</v>
      </c>
      <c r="AG53" s="82">
        <v>0</v>
      </c>
      <c r="AH53" s="82">
        <v>3.5552614991024898</v>
      </c>
      <c r="AI53" s="82">
        <v>0</v>
      </c>
      <c r="AJ53" s="82">
        <v>2.46402744314614</v>
      </c>
      <c r="AK53" s="82">
        <v>20.243596509469398</v>
      </c>
      <c r="AL53" s="82">
        <v>0</v>
      </c>
      <c r="AM53" s="82">
        <v>342.76290904842</v>
      </c>
      <c r="AN53" s="82">
        <v>0</v>
      </c>
      <c r="AO53" s="82">
        <v>0</v>
      </c>
      <c r="AP53" s="82">
        <v>3.6359717023147499E-13</v>
      </c>
      <c r="AQ53" s="82">
        <v>-34.5176744965488</v>
      </c>
      <c r="AR53" s="83">
        <v>5.34900612947881</v>
      </c>
    </row>
    <row r="54" spans="2:44" ht="12" customHeight="1" x14ac:dyDescent="0.25">
      <c r="B54" s="81" t="s">
        <v>44</v>
      </c>
      <c r="C54" s="82" t="s">
        <v>33</v>
      </c>
      <c r="D54" s="82" t="s">
        <v>45</v>
      </c>
      <c r="E54" s="82" t="s">
        <v>110</v>
      </c>
      <c r="F54" s="82" t="s">
        <v>25</v>
      </c>
      <c r="G54" s="82" t="s">
        <v>36</v>
      </c>
      <c r="H54" s="82" t="s">
        <v>93</v>
      </c>
      <c r="I54" s="82" t="s">
        <v>25</v>
      </c>
      <c r="J54" s="82">
        <v>628.39</v>
      </c>
      <c r="K54" s="82">
        <v>209.76</v>
      </c>
      <c r="L54" s="82">
        <v>3.7813177701748302</v>
      </c>
      <c r="M54" s="82">
        <v>1.0773933956803701</v>
      </c>
      <c r="N54" s="82">
        <v>5.9810160465799802</v>
      </c>
      <c r="O54" s="82">
        <v>2.1788111188240099E-2</v>
      </c>
      <c r="P54" s="82">
        <v>0</v>
      </c>
      <c r="Q54" s="82">
        <v>36.794715717403498</v>
      </c>
      <c r="R54" s="82">
        <v>14.987418357049201</v>
      </c>
      <c r="S54" s="82">
        <v>0</v>
      </c>
      <c r="T54" s="82">
        <v>44.9474829882978</v>
      </c>
      <c r="U54" s="82">
        <v>8.0739332557717791</v>
      </c>
      <c r="V54" s="82">
        <v>7.7530026025257603</v>
      </c>
      <c r="W54" s="82">
        <v>0</v>
      </c>
      <c r="X54" s="82">
        <v>0</v>
      </c>
      <c r="Y54" s="82">
        <v>0</v>
      </c>
      <c r="Z54" s="82">
        <v>0</v>
      </c>
      <c r="AA54" s="82">
        <v>524.50288643621695</v>
      </c>
      <c r="AB54" s="82">
        <v>-53.426003101059301</v>
      </c>
      <c r="AC54" s="82">
        <v>0</v>
      </c>
      <c r="AD54" s="82">
        <v>25.414980454318901</v>
      </c>
      <c r="AE54" s="82">
        <v>0.90486589168457499</v>
      </c>
      <c r="AF54" s="82">
        <v>7.5733749039852096</v>
      </c>
      <c r="AG54" s="82">
        <v>0</v>
      </c>
      <c r="AH54" s="82">
        <v>3.5552614991024898</v>
      </c>
      <c r="AI54" s="82">
        <v>0</v>
      </c>
      <c r="AJ54" s="82">
        <v>2.46402744314614</v>
      </c>
      <c r="AK54" s="82">
        <v>20.243596509469398</v>
      </c>
      <c r="AL54" s="82">
        <v>0</v>
      </c>
      <c r="AM54" s="82">
        <v>199.28076107466299</v>
      </c>
      <c r="AN54" s="82">
        <v>0</v>
      </c>
      <c r="AO54" s="82">
        <v>0</v>
      </c>
      <c r="AP54" s="82">
        <v>3.6359717023147499E-13</v>
      </c>
      <c r="AQ54" s="82">
        <v>-21.135771622639901</v>
      </c>
      <c r="AR54" s="83">
        <v>5.34900612947881</v>
      </c>
    </row>
    <row r="55" spans="2:44" ht="12" customHeight="1" x14ac:dyDescent="0.25">
      <c r="B55" s="81" t="s">
        <v>44</v>
      </c>
      <c r="C55" s="82" t="s">
        <v>33</v>
      </c>
      <c r="D55" s="82" t="s">
        <v>45</v>
      </c>
      <c r="E55" s="82" t="s">
        <v>110</v>
      </c>
      <c r="F55" s="82" t="s">
        <v>25</v>
      </c>
      <c r="G55" s="82" t="s">
        <v>35</v>
      </c>
      <c r="H55" s="82" t="s">
        <v>93</v>
      </c>
      <c r="I55" s="82" t="s">
        <v>25</v>
      </c>
      <c r="J55" s="82">
        <v>265.52</v>
      </c>
      <c r="K55" s="82">
        <v>209.76</v>
      </c>
      <c r="L55" s="82">
        <v>3.7813177701748302</v>
      </c>
      <c r="M55" s="82">
        <v>1.0773933956803701</v>
      </c>
      <c r="N55" s="82">
        <v>2.5833189127218601</v>
      </c>
      <c r="O55" s="82">
        <v>2.1788111188240099E-2</v>
      </c>
      <c r="P55" s="82">
        <v>0</v>
      </c>
      <c r="Q55" s="82">
        <v>36.794715717403498</v>
      </c>
      <c r="R55" s="82">
        <v>14.987418357049201</v>
      </c>
      <c r="S55" s="82">
        <v>0</v>
      </c>
      <c r="T55" s="82">
        <v>14.9824465769192</v>
      </c>
      <c r="U55" s="82">
        <v>2.6912743703740301</v>
      </c>
      <c r="V55" s="82">
        <v>2.5843342008419201</v>
      </c>
      <c r="W55" s="82">
        <v>0</v>
      </c>
      <c r="X55" s="82">
        <v>0</v>
      </c>
      <c r="Y55" s="82">
        <v>0</v>
      </c>
      <c r="Z55" s="82">
        <v>0</v>
      </c>
      <c r="AA55" s="82">
        <v>174.83429547873899</v>
      </c>
      <c r="AB55" s="82">
        <v>-22.7147920482962</v>
      </c>
      <c r="AC55" s="82">
        <v>0</v>
      </c>
      <c r="AD55" s="82">
        <v>25.414980454318901</v>
      </c>
      <c r="AE55" s="82">
        <v>0.90486589168457499</v>
      </c>
      <c r="AF55" s="82">
        <v>7.5733749039852096</v>
      </c>
      <c r="AG55" s="82">
        <v>0</v>
      </c>
      <c r="AH55" s="82">
        <v>3.5552614991024898</v>
      </c>
      <c r="AI55" s="82">
        <v>0</v>
      </c>
      <c r="AJ55" s="82">
        <v>2.46402744314614</v>
      </c>
      <c r="AK55" s="82">
        <v>20.243596509469398</v>
      </c>
      <c r="AL55" s="82">
        <v>0</v>
      </c>
      <c r="AM55" s="82">
        <v>199.28076107466299</v>
      </c>
      <c r="AN55" s="82">
        <v>0</v>
      </c>
      <c r="AO55" s="82">
        <v>0</v>
      </c>
      <c r="AP55" s="82">
        <v>3.6359717023147499E-13</v>
      </c>
      <c r="AQ55" s="82">
        <v>-21.135771622639901</v>
      </c>
      <c r="AR55" s="83">
        <v>5.34900612947881</v>
      </c>
    </row>
    <row r="56" spans="2:44" ht="12" customHeight="1" x14ac:dyDescent="0.25">
      <c r="B56" s="81" t="s">
        <v>44</v>
      </c>
      <c r="C56" s="82" t="s">
        <v>33</v>
      </c>
      <c r="D56" s="82" t="s">
        <v>45</v>
      </c>
      <c r="E56" s="82" t="s">
        <v>25</v>
      </c>
      <c r="F56" s="82" t="s">
        <v>25</v>
      </c>
      <c r="G56" s="82" t="s">
        <v>34</v>
      </c>
      <c r="H56" s="82" t="s">
        <v>93</v>
      </c>
      <c r="I56" s="82" t="s">
        <v>25</v>
      </c>
      <c r="J56" s="82">
        <v>991.26</v>
      </c>
      <c r="K56" s="82">
        <v>339.86</v>
      </c>
      <c r="L56" s="82">
        <v>3.7813177701748302</v>
      </c>
      <c r="M56" s="82">
        <v>1.0773933956803701</v>
      </c>
      <c r="N56" s="82">
        <v>9.3787089927641993</v>
      </c>
      <c r="O56" s="82">
        <v>2.1788111188240099E-2</v>
      </c>
      <c r="P56" s="82">
        <v>0</v>
      </c>
      <c r="Q56" s="82">
        <v>36.794715717403498</v>
      </c>
      <c r="R56" s="82">
        <v>14.987418357049201</v>
      </c>
      <c r="S56" s="82">
        <v>0</v>
      </c>
      <c r="T56" s="82">
        <v>74.912376142136296</v>
      </c>
      <c r="U56" s="82">
        <v>13.4565921411695</v>
      </c>
      <c r="V56" s="82">
        <v>12.921522734892299</v>
      </c>
      <c r="W56" s="82">
        <v>0</v>
      </c>
      <c r="X56" s="82">
        <v>0</v>
      </c>
      <c r="Y56" s="82">
        <v>0</v>
      </c>
      <c r="Z56" s="82">
        <v>0</v>
      </c>
      <c r="AA56" s="82">
        <v>874.17131408659498</v>
      </c>
      <c r="AB56" s="82">
        <v>-84.137179082129606</v>
      </c>
      <c r="AC56" s="82">
        <v>0</v>
      </c>
      <c r="AD56" s="82">
        <v>25.414980454318901</v>
      </c>
      <c r="AE56" s="82">
        <v>0.90486589168457499</v>
      </c>
      <c r="AF56" s="82">
        <v>7.5733749039852096</v>
      </c>
      <c r="AG56" s="82">
        <v>0</v>
      </c>
      <c r="AH56" s="82">
        <v>3.5552614991024898</v>
      </c>
      <c r="AI56" s="82">
        <v>0</v>
      </c>
      <c r="AJ56" s="82">
        <v>2.46402744314614</v>
      </c>
      <c r="AK56" s="82">
        <v>20.243596509469398</v>
      </c>
      <c r="AL56" s="82">
        <v>0</v>
      </c>
      <c r="AM56" s="82">
        <v>342.76290904842</v>
      </c>
      <c r="AN56" s="82">
        <v>0</v>
      </c>
      <c r="AO56" s="82">
        <v>0</v>
      </c>
      <c r="AP56" s="82">
        <v>3.6359717023147499E-13</v>
      </c>
      <c r="AQ56" s="82">
        <v>-34.5176744965488</v>
      </c>
      <c r="AR56" s="83">
        <v>5.34900612947881</v>
      </c>
    </row>
    <row r="57" spans="2:44" ht="12" customHeight="1" x14ac:dyDescent="0.25">
      <c r="B57" s="81" t="s">
        <v>44</v>
      </c>
      <c r="C57" s="82" t="s">
        <v>33</v>
      </c>
      <c r="D57" s="82" t="s">
        <v>45</v>
      </c>
      <c r="E57" s="82" t="s">
        <v>25</v>
      </c>
      <c r="F57" s="82" t="s">
        <v>25</v>
      </c>
      <c r="G57" s="82" t="s">
        <v>36</v>
      </c>
      <c r="H57" s="82" t="s">
        <v>93</v>
      </c>
      <c r="I57" s="82" t="s">
        <v>25</v>
      </c>
      <c r="J57" s="82">
        <v>628.39</v>
      </c>
      <c r="K57" s="82">
        <v>209.76</v>
      </c>
      <c r="L57" s="82">
        <v>3.7813177701748302</v>
      </c>
      <c r="M57" s="82">
        <v>1.0773933956803701</v>
      </c>
      <c r="N57" s="82">
        <v>5.9810160465799802</v>
      </c>
      <c r="O57" s="82">
        <v>2.1788111188240099E-2</v>
      </c>
      <c r="P57" s="82">
        <v>0</v>
      </c>
      <c r="Q57" s="82">
        <v>36.794715717403498</v>
      </c>
      <c r="R57" s="82">
        <v>14.987418357049201</v>
      </c>
      <c r="S57" s="82">
        <v>0</v>
      </c>
      <c r="T57" s="82">
        <v>44.9474829882978</v>
      </c>
      <c r="U57" s="82">
        <v>8.0739332557717791</v>
      </c>
      <c r="V57" s="82">
        <v>7.7530026025257603</v>
      </c>
      <c r="W57" s="82">
        <v>0</v>
      </c>
      <c r="X57" s="82">
        <v>0</v>
      </c>
      <c r="Y57" s="82">
        <v>0</v>
      </c>
      <c r="Z57" s="82">
        <v>0</v>
      </c>
      <c r="AA57" s="82">
        <v>524.50288643621695</v>
      </c>
      <c r="AB57" s="82">
        <v>-53.426003101059301</v>
      </c>
      <c r="AC57" s="82">
        <v>0</v>
      </c>
      <c r="AD57" s="82">
        <v>25.414980454318901</v>
      </c>
      <c r="AE57" s="82">
        <v>0.90486589168457499</v>
      </c>
      <c r="AF57" s="82">
        <v>7.5733749039852096</v>
      </c>
      <c r="AG57" s="82">
        <v>0</v>
      </c>
      <c r="AH57" s="82">
        <v>3.5552614991024898</v>
      </c>
      <c r="AI57" s="82">
        <v>0</v>
      </c>
      <c r="AJ57" s="82">
        <v>2.46402744314614</v>
      </c>
      <c r="AK57" s="82">
        <v>20.243596509469398</v>
      </c>
      <c r="AL57" s="82">
        <v>0</v>
      </c>
      <c r="AM57" s="82">
        <v>199.28076107466299</v>
      </c>
      <c r="AN57" s="82">
        <v>0</v>
      </c>
      <c r="AO57" s="82">
        <v>0</v>
      </c>
      <c r="AP57" s="82">
        <v>3.6359717023147499E-13</v>
      </c>
      <c r="AQ57" s="82">
        <v>-21.135771622639901</v>
      </c>
      <c r="AR57" s="83">
        <v>5.34900612947881</v>
      </c>
    </row>
    <row r="58" spans="2:44" ht="12" customHeight="1" x14ac:dyDescent="0.25">
      <c r="B58" s="81" t="s">
        <v>44</v>
      </c>
      <c r="C58" s="82" t="s">
        <v>33</v>
      </c>
      <c r="D58" s="82" t="s">
        <v>45</v>
      </c>
      <c r="E58" s="82" t="s">
        <v>25</v>
      </c>
      <c r="F58" s="82" t="s">
        <v>25</v>
      </c>
      <c r="G58" s="82" t="s">
        <v>35</v>
      </c>
      <c r="H58" s="82" t="s">
        <v>93</v>
      </c>
      <c r="I58" s="82" t="s">
        <v>25</v>
      </c>
      <c r="J58" s="82">
        <v>265.52</v>
      </c>
      <c r="K58" s="82">
        <v>209.76</v>
      </c>
      <c r="L58" s="82">
        <v>3.7813177701748302</v>
      </c>
      <c r="M58" s="82">
        <v>1.0773933956803701</v>
      </c>
      <c r="N58" s="82">
        <v>2.5833189127218601</v>
      </c>
      <c r="O58" s="82">
        <v>2.1788111188240099E-2</v>
      </c>
      <c r="P58" s="82">
        <v>0</v>
      </c>
      <c r="Q58" s="82">
        <v>36.794715717403498</v>
      </c>
      <c r="R58" s="82">
        <v>14.987418357049201</v>
      </c>
      <c r="S58" s="82">
        <v>0</v>
      </c>
      <c r="T58" s="82">
        <v>14.9824465769192</v>
      </c>
      <c r="U58" s="82">
        <v>2.6912743703740301</v>
      </c>
      <c r="V58" s="82">
        <v>2.5843342008419201</v>
      </c>
      <c r="W58" s="82">
        <v>0</v>
      </c>
      <c r="X58" s="82">
        <v>0</v>
      </c>
      <c r="Y58" s="82">
        <v>0</v>
      </c>
      <c r="Z58" s="82">
        <v>0</v>
      </c>
      <c r="AA58" s="82">
        <v>174.83429547873899</v>
      </c>
      <c r="AB58" s="82">
        <v>-22.7147920482962</v>
      </c>
      <c r="AC58" s="82">
        <v>0</v>
      </c>
      <c r="AD58" s="82">
        <v>25.414980454318901</v>
      </c>
      <c r="AE58" s="82">
        <v>0.90486589168457499</v>
      </c>
      <c r="AF58" s="82">
        <v>7.5733749039852096</v>
      </c>
      <c r="AG58" s="82">
        <v>0</v>
      </c>
      <c r="AH58" s="82">
        <v>3.5552614991024898</v>
      </c>
      <c r="AI58" s="82">
        <v>0</v>
      </c>
      <c r="AJ58" s="82">
        <v>2.46402744314614</v>
      </c>
      <c r="AK58" s="82">
        <v>20.243596509469398</v>
      </c>
      <c r="AL58" s="82">
        <v>0</v>
      </c>
      <c r="AM58" s="82">
        <v>199.28076107466299</v>
      </c>
      <c r="AN58" s="82">
        <v>0</v>
      </c>
      <c r="AO58" s="82">
        <v>0</v>
      </c>
      <c r="AP58" s="82">
        <v>3.6359717023147499E-13</v>
      </c>
      <c r="AQ58" s="82">
        <v>-21.135771622639901</v>
      </c>
      <c r="AR58" s="83">
        <v>5.34900612947881</v>
      </c>
    </row>
    <row r="59" spans="2:44" ht="12" customHeight="1" x14ac:dyDescent="0.25">
      <c r="B59" s="81" t="s">
        <v>44</v>
      </c>
      <c r="C59" s="82" t="s">
        <v>33</v>
      </c>
      <c r="D59" s="82" t="s">
        <v>45</v>
      </c>
      <c r="E59" s="82" t="s">
        <v>111</v>
      </c>
      <c r="F59" s="82" t="s">
        <v>25</v>
      </c>
      <c r="G59" s="82" t="s">
        <v>34</v>
      </c>
      <c r="H59" s="82" t="s">
        <v>93</v>
      </c>
      <c r="I59" s="82" t="s">
        <v>25</v>
      </c>
      <c r="J59" s="82">
        <v>970.17</v>
      </c>
      <c r="K59" s="82">
        <v>332.63</v>
      </c>
      <c r="L59" s="82">
        <v>3.7008642005966399</v>
      </c>
      <c r="M59" s="82">
        <v>1.0544701319424901</v>
      </c>
      <c r="N59" s="82">
        <v>9.17916199291815</v>
      </c>
      <c r="O59" s="82">
        <v>2.13245343544478E-2</v>
      </c>
      <c r="P59" s="82">
        <v>0</v>
      </c>
      <c r="Q59" s="82">
        <v>36.011849425543801</v>
      </c>
      <c r="R59" s="82">
        <v>14.6685371154098</v>
      </c>
      <c r="S59" s="82">
        <v>0</v>
      </c>
      <c r="T59" s="82">
        <v>73.318495798686598</v>
      </c>
      <c r="U59" s="82">
        <v>13.170281670080801</v>
      </c>
      <c r="V59" s="82">
        <v>12.6465967192563</v>
      </c>
      <c r="W59" s="82">
        <v>0</v>
      </c>
      <c r="X59" s="82">
        <v>0</v>
      </c>
      <c r="Y59" s="82">
        <v>0</v>
      </c>
      <c r="Z59" s="82">
        <v>0</v>
      </c>
      <c r="AA59" s="82">
        <v>855.57192442517805</v>
      </c>
      <c r="AB59" s="82">
        <v>-82.347026335701301</v>
      </c>
      <c r="AC59" s="82">
        <v>0</v>
      </c>
      <c r="AD59" s="82">
        <v>24.874236189333399</v>
      </c>
      <c r="AE59" s="82">
        <v>0.88561342590405201</v>
      </c>
      <c r="AF59" s="82">
        <v>7.41223926773021</v>
      </c>
      <c r="AG59" s="82">
        <v>0</v>
      </c>
      <c r="AH59" s="82">
        <v>3.4796176374194601</v>
      </c>
      <c r="AI59" s="82">
        <v>0</v>
      </c>
      <c r="AJ59" s="82">
        <v>2.41160132733452</v>
      </c>
      <c r="AK59" s="82">
        <v>19.812881690118999</v>
      </c>
      <c r="AL59" s="82">
        <v>0</v>
      </c>
      <c r="AM59" s="82">
        <v>335.47008119632602</v>
      </c>
      <c r="AN59" s="82">
        <v>0</v>
      </c>
      <c r="AO59" s="82">
        <v>0</v>
      </c>
      <c r="AP59" s="82">
        <v>3.5586106022654999E-13</v>
      </c>
      <c r="AQ59" s="82">
        <v>-33.783255890239303</v>
      </c>
      <c r="AR59" s="83">
        <v>5.2351974884260697</v>
      </c>
    </row>
    <row r="60" spans="2:44" ht="12" customHeight="1" x14ac:dyDescent="0.25">
      <c r="B60" s="81" t="s">
        <v>44</v>
      </c>
      <c r="C60" s="82" t="s">
        <v>33</v>
      </c>
      <c r="D60" s="82" t="s">
        <v>45</v>
      </c>
      <c r="E60" s="82" t="s">
        <v>111</v>
      </c>
      <c r="F60" s="82" t="s">
        <v>25</v>
      </c>
      <c r="G60" s="82" t="s">
        <v>36</v>
      </c>
      <c r="H60" s="82" t="s">
        <v>93</v>
      </c>
      <c r="I60" s="82" t="s">
        <v>25</v>
      </c>
      <c r="J60" s="82">
        <v>615.02</v>
      </c>
      <c r="K60" s="82">
        <v>205.29</v>
      </c>
      <c r="L60" s="82">
        <v>3.7008642005966399</v>
      </c>
      <c r="M60" s="82">
        <v>1.0544701319424901</v>
      </c>
      <c r="N60" s="82">
        <v>5.85376038601445</v>
      </c>
      <c r="O60" s="82">
        <v>2.13245343544478E-2</v>
      </c>
      <c r="P60" s="82">
        <v>0</v>
      </c>
      <c r="Q60" s="82">
        <v>36.011849425543801</v>
      </c>
      <c r="R60" s="82">
        <v>14.6685371154098</v>
      </c>
      <c r="S60" s="82">
        <v>0</v>
      </c>
      <c r="T60" s="82">
        <v>43.991153563014898</v>
      </c>
      <c r="U60" s="82">
        <v>7.9021474418191904</v>
      </c>
      <c r="V60" s="82">
        <v>7.5880451003443596</v>
      </c>
      <c r="W60" s="82">
        <v>0</v>
      </c>
      <c r="X60" s="82">
        <v>0</v>
      </c>
      <c r="Y60" s="82">
        <v>0</v>
      </c>
      <c r="Z60" s="82">
        <v>0</v>
      </c>
      <c r="AA60" s="82">
        <v>513.34325055459499</v>
      </c>
      <c r="AB60" s="82">
        <v>-52.289279630823998</v>
      </c>
      <c r="AC60" s="82">
        <v>0</v>
      </c>
      <c r="AD60" s="82">
        <v>24.874236189333399</v>
      </c>
      <c r="AE60" s="82">
        <v>0.88561342590405201</v>
      </c>
      <c r="AF60" s="82">
        <v>7.41223926773021</v>
      </c>
      <c r="AG60" s="82">
        <v>0</v>
      </c>
      <c r="AH60" s="82">
        <v>3.4796176374194601</v>
      </c>
      <c r="AI60" s="82">
        <v>0</v>
      </c>
      <c r="AJ60" s="82">
        <v>2.41160132733452</v>
      </c>
      <c r="AK60" s="82">
        <v>19.812881690118999</v>
      </c>
      <c r="AL60" s="82">
        <v>0</v>
      </c>
      <c r="AM60" s="82">
        <v>195.040744881585</v>
      </c>
      <c r="AN60" s="82">
        <v>0</v>
      </c>
      <c r="AO60" s="82">
        <v>0</v>
      </c>
      <c r="AP60" s="82">
        <v>3.5586106022654999E-13</v>
      </c>
      <c r="AQ60" s="82">
        <v>-20.686074354073</v>
      </c>
      <c r="AR60" s="83">
        <v>5.2351974884260697</v>
      </c>
    </row>
    <row r="61" spans="2:44" ht="12" customHeight="1" x14ac:dyDescent="0.25">
      <c r="B61" s="81" t="s">
        <v>44</v>
      </c>
      <c r="C61" s="82" t="s">
        <v>33</v>
      </c>
      <c r="D61" s="82" t="s">
        <v>45</v>
      </c>
      <c r="E61" s="82" t="s">
        <v>111</v>
      </c>
      <c r="F61" s="82" t="s">
        <v>25</v>
      </c>
      <c r="G61" s="82" t="s">
        <v>35</v>
      </c>
      <c r="H61" s="82" t="s">
        <v>93</v>
      </c>
      <c r="I61" s="82" t="s">
        <v>25</v>
      </c>
      <c r="J61" s="82">
        <v>259.87</v>
      </c>
      <c r="K61" s="82">
        <v>205.29</v>
      </c>
      <c r="L61" s="82">
        <v>3.7008642005966399</v>
      </c>
      <c r="M61" s="82">
        <v>1.0544701319424901</v>
      </c>
      <c r="N61" s="82">
        <v>2.5283546805362902</v>
      </c>
      <c r="O61" s="82">
        <v>2.13245343544478E-2</v>
      </c>
      <c r="P61" s="82">
        <v>0</v>
      </c>
      <c r="Q61" s="82">
        <v>36.011849425543801</v>
      </c>
      <c r="R61" s="82">
        <v>14.6685371154098</v>
      </c>
      <c r="S61" s="82">
        <v>0</v>
      </c>
      <c r="T61" s="82">
        <v>14.6636711178359</v>
      </c>
      <c r="U61" s="82">
        <v>2.63401321355756</v>
      </c>
      <c r="V61" s="82">
        <v>2.5293483667814498</v>
      </c>
      <c r="W61" s="82">
        <v>0</v>
      </c>
      <c r="X61" s="82">
        <v>0</v>
      </c>
      <c r="Y61" s="82">
        <v>0</v>
      </c>
      <c r="Z61" s="82">
        <v>0</v>
      </c>
      <c r="AA61" s="82">
        <v>171.11441685153201</v>
      </c>
      <c r="AB61" s="82">
        <v>-22.231498600460199</v>
      </c>
      <c r="AC61" s="82">
        <v>0</v>
      </c>
      <c r="AD61" s="82">
        <v>24.874236189333399</v>
      </c>
      <c r="AE61" s="82">
        <v>0.88561342590405201</v>
      </c>
      <c r="AF61" s="82">
        <v>7.41223926773021</v>
      </c>
      <c r="AG61" s="82">
        <v>0</v>
      </c>
      <c r="AH61" s="82">
        <v>3.4796176374194601</v>
      </c>
      <c r="AI61" s="82">
        <v>0</v>
      </c>
      <c r="AJ61" s="82">
        <v>2.41160132733452</v>
      </c>
      <c r="AK61" s="82">
        <v>19.812881690118999</v>
      </c>
      <c r="AL61" s="82">
        <v>0</v>
      </c>
      <c r="AM61" s="82">
        <v>195.040744881585</v>
      </c>
      <c r="AN61" s="82">
        <v>0</v>
      </c>
      <c r="AO61" s="82">
        <v>0</v>
      </c>
      <c r="AP61" s="82">
        <v>3.5586106022654999E-13</v>
      </c>
      <c r="AQ61" s="82">
        <v>-20.686074354073</v>
      </c>
      <c r="AR61" s="83">
        <v>5.2351974884260697</v>
      </c>
    </row>
    <row r="62" spans="2:44" ht="12" customHeight="1" x14ac:dyDescent="0.25">
      <c r="B62" s="81" t="s">
        <v>44</v>
      </c>
      <c r="C62" s="82" t="s">
        <v>23</v>
      </c>
      <c r="D62" s="82" t="s">
        <v>45</v>
      </c>
      <c r="E62" s="82" t="s">
        <v>110</v>
      </c>
      <c r="F62" s="82" t="s">
        <v>25</v>
      </c>
      <c r="G62" s="82" t="s">
        <v>25</v>
      </c>
      <c r="H62" s="82" t="s">
        <v>93</v>
      </c>
      <c r="I62" s="82" t="s">
        <v>25</v>
      </c>
      <c r="J62" s="82">
        <v>386.47</v>
      </c>
      <c r="K62" s="82">
        <v>220.6</v>
      </c>
      <c r="L62" s="82">
        <v>3.7813177701748302</v>
      </c>
      <c r="M62" s="82">
        <v>1.0773933956803701</v>
      </c>
      <c r="N62" s="82">
        <v>3.7158850893049999</v>
      </c>
      <c r="O62" s="82">
        <v>2.1788111188240099E-2</v>
      </c>
      <c r="P62" s="82">
        <v>0</v>
      </c>
      <c r="Q62" s="82">
        <v>36.794715717403498</v>
      </c>
      <c r="R62" s="82">
        <v>14.987418357049201</v>
      </c>
      <c r="S62" s="82">
        <v>0</v>
      </c>
      <c r="T62" s="82">
        <v>24.970792047378801</v>
      </c>
      <c r="U62" s="82">
        <v>4.4855307137231799</v>
      </c>
      <c r="V62" s="82">
        <v>4.3072236680698701</v>
      </c>
      <c r="W62" s="82">
        <v>0</v>
      </c>
      <c r="X62" s="82">
        <v>0</v>
      </c>
      <c r="Y62" s="82">
        <v>0</v>
      </c>
      <c r="Z62" s="82">
        <v>0</v>
      </c>
      <c r="AA62" s="82">
        <v>291.390492464565</v>
      </c>
      <c r="AB62" s="82">
        <v>-32.951865336442097</v>
      </c>
      <c r="AC62" s="82">
        <v>0</v>
      </c>
      <c r="AD62" s="82">
        <v>25.414980454318901</v>
      </c>
      <c r="AE62" s="82">
        <v>0.90486589168457499</v>
      </c>
      <c r="AF62" s="82">
        <v>7.5733749039852096</v>
      </c>
      <c r="AG62" s="82">
        <v>0</v>
      </c>
      <c r="AH62" s="82">
        <v>3.5552614991024898</v>
      </c>
      <c r="AI62" s="82">
        <v>0</v>
      </c>
      <c r="AJ62" s="82">
        <v>2.46402744314614</v>
      </c>
      <c r="AK62" s="82">
        <v>20.243596509469398</v>
      </c>
      <c r="AL62" s="82">
        <v>0</v>
      </c>
      <c r="AM62" s="82">
        <v>211.23760673914299</v>
      </c>
      <c r="AN62" s="82">
        <v>0</v>
      </c>
      <c r="AO62" s="82">
        <v>0</v>
      </c>
      <c r="AP62" s="82">
        <v>3.6359717023147499E-13</v>
      </c>
      <c r="AQ62" s="82">
        <v>-22.2509301954656</v>
      </c>
      <c r="AR62" s="83">
        <v>5.34900612947881</v>
      </c>
    </row>
    <row r="63" spans="2:44" ht="12" customHeight="1" x14ac:dyDescent="0.25">
      <c r="B63" s="81" t="s">
        <v>44</v>
      </c>
      <c r="C63" s="82" t="s">
        <v>23</v>
      </c>
      <c r="D63" s="82" t="s">
        <v>45</v>
      </c>
      <c r="E63" s="82" t="s">
        <v>25</v>
      </c>
      <c r="F63" s="82" t="s">
        <v>25</v>
      </c>
      <c r="G63" s="82" t="s">
        <v>25</v>
      </c>
      <c r="H63" s="82" t="s">
        <v>93</v>
      </c>
      <c r="I63" s="82" t="s">
        <v>25</v>
      </c>
      <c r="J63" s="82">
        <v>386.47</v>
      </c>
      <c r="K63" s="82">
        <v>220.6</v>
      </c>
      <c r="L63" s="82">
        <v>3.7813177701748302</v>
      </c>
      <c r="M63" s="82">
        <v>1.0773933956803701</v>
      </c>
      <c r="N63" s="82">
        <v>3.7158850893049999</v>
      </c>
      <c r="O63" s="82">
        <v>2.1788111188240099E-2</v>
      </c>
      <c r="P63" s="82">
        <v>0</v>
      </c>
      <c r="Q63" s="82">
        <v>36.794715717403498</v>
      </c>
      <c r="R63" s="82">
        <v>14.987418357049201</v>
      </c>
      <c r="S63" s="82">
        <v>0</v>
      </c>
      <c r="T63" s="82">
        <v>24.970792047378801</v>
      </c>
      <c r="U63" s="82">
        <v>4.4855307137231799</v>
      </c>
      <c r="V63" s="82">
        <v>4.3072236680698701</v>
      </c>
      <c r="W63" s="82">
        <v>0</v>
      </c>
      <c r="X63" s="82">
        <v>0</v>
      </c>
      <c r="Y63" s="82">
        <v>0</v>
      </c>
      <c r="Z63" s="82">
        <v>0</v>
      </c>
      <c r="AA63" s="82">
        <v>291.390492464565</v>
      </c>
      <c r="AB63" s="82">
        <v>-32.951865336442097</v>
      </c>
      <c r="AC63" s="82">
        <v>0</v>
      </c>
      <c r="AD63" s="82">
        <v>25.414980454318901</v>
      </c>
      <c r="AE63" s="82">
        <v>0.90486589168457499</v>
      </c>
      <c r="AF63" s="82">
        <v>7.5733749039852096</v>
      </c>
      <c r="AG63" s="82">
        <v>0</v>
      </c>
      <c r="AH63" s="82">
        <v>3.5552614991024898</v>
      </c>
      <c r="AI63" s="82">
        <v>0</v>
      </c>
      <c r="AJ63" s="82">
        <v>2.46402744314614</v>
      </c>
      <c r="AK63" s="82">
        <v>20.243596509469398</v>
      </c>
      <c r="AL63" s="82">
        <v>0</v>
      </c>
      <c r="AM63" s="82">
        <v>211.23760673914299</v>
      </c>
      <c r="AN63" s="82">
        <v>0</v>
      </c>
      <c r="AO63" s="82">
        <v>0</v>
      </c>
      <c r="AP63" s="82">
        <v>3.6359717023147499E-13</v>
      </c>
      <c r="AQ63" s="82">
        <v>-22.2509301954656</v>
      </c>
      <c r="AR63" s="83">
        <v>5.34900612947881</v>
      </c>
    </row>
    <row r="64" spans="2:44" ht="12" customHeight="1" x14ac:dyDescent="0.25">
      <c r="B64" s="81" t="s">
        <v>44</v>
      </c>
      <c r="C64" s="82" t="s">
        <v>23</v>
      </c>
      <c r="D64" s="82" t="s">
        <v>45</v>
      </c>
      <c r="E64" s="82" t="s">
        <v>111</v>
      </c>
      <c r="F64" s="82" t="s">
        <v>25</v>
      </c>
      <c r="G64" s="82" t="s">
        <v>25</v>
      </c>
      <c r="H64" s="82" t="s">
        <v>93</v>
      </c>
      <c r="I64" s="82" t="s">
        <v>25</v>
      </c>
      <c r="J64" s="82">
        <v>378.25</v>
      </c>
      <c r="K64" s="82">
        <v>215.9</v>
      </c>
      <c r="L64" s="82">
        <v>3.7008642005966399</v>
      </c>
      <c r="M64" s="82">
        <v>1.0544701319424901</v>
      </c>
      <c r="N64" s="82">
        <v>3.63682370442617</v>
      </c>
      <c r="O64" s="82">
        <v>2.13245343544478E-2</v>
      </c>
      <c r="P64" s="82">
        <v>0</v>
      </c>
      <c r="Q64" s="82">
        <v>36.011849425543801</v>
      </c>
      <c r="R64" s="82">
        <v>14.6685371154098</v>
      </c>
      <c r="S64" s="82">
        <v>0</v>
      </c>
      <c r="T64" s="82">
        <v>24.439498599562199</v>
      </c>
      <c r="U64" s="82">
        <v>4.3900938900269404</v>
      </c>
      <c r="V64" s="82">
        <v>4.2155806113024203</v>
      </c>
      <c r="W64" s="82">
        <v>0</v>
      </c>
      <c r="X64" s="82">
        <v>0</v>
      </c>
      <c r="Y64" s="82">
        <v>0</v>
      </c>
      <c r="Z64" s="82">
        <v>0</v>
      </c>
      <c r="AA64" s="82">
        <v>285.19069475255299</v>
      </c>
      <c r="AB64" s="82">
        <v>-32.250761818645401</v>
      </c>
      <c r="AC64" s="82">
        <v>0</v>
      </c>
      <c r="AD64" s="82">
        <v>24.874236189333399</v>
      </c>
      <c r="AE64" s="82">
        <v>0.88561342590405201</v>
      </c>
      <c r="AF64" s="82">
        <v>7.41223926773021</v>
      </c>
      <c r="AG64" s="82">
        <v>0</v>
      </c>
      <c r="AH64" s="82">
        <v>3.4796176374194601</v>
      </c>
      <c r="AI64" s="82">
        <v>0</v>
      </c>
      <c r="AJ64" s="82">
        <v>2.41160132733452</v>
      </c>
      <c r="AK64" s="82">
        <v>19.812881690118999</v>
      </c>
      <c r="AL64" s="82">
        <v>0</v>
      </c>
      <c r="AM64" s="82">
        <v>206.74318957448</v>
      </c>
      <c r="AN64" s="82">
        <v>0</v>
      </c>
      <c r="AO64" s="82">
        <v>0</v>
      </c>
      <c r="AP64" s="82">
        <v>3.5586106022654999E-13</v>
      </c>
      <c r="AQ64" s="82">
        <v>-21.777506148753599</v>
      </c>
      <c r="AR64" s="83">
        <v>5.2351974884260697</v>
      </c>
    </row>
    <row r="65" spans="2:44" ht="12" customHeight="1" x14ac:dyDescent="0.25">
      <c r="B65" s="81" t="s">
        <v>44</v>
      </c>
      <c r="C65" s="82" t="s">
        <v>109</v>
      </c>
      <c r="D65" s="82" t="s">
        <v>45</v>
      </c>
      <c r="E65" s="82" t="s">
        <v>110</v>
      </c>
      <c r="F65" s="82" t="s">
        <v>25</v>
      </c>
      <c r="G65" s="82" t="s">
        <v>25</v>
      </c>
      <c r="H65" s="82" t="s">
        <v>93</v>
      </c>
      <c r="I65" s="82" t="s">
        <v>25</v>
      </c>
      <c r="J65" s="82">
        <v>386.47</v>
      </c>
      <c r="K65" s="82">
        <v>220.6</v>
      </c>
      <c r="L65" s="82">
        <v>3.7813177701748302</v>
      </c>
      <c r="M65" s="82">
        <v>1.0773933956803701</v>
      </c>
      <c r="N65" s="82">
        <v>3.7158850893049999</v>
      </c>
      <c r="O65" s="82">
        <v>2.1788111188240099E-2</v>
      </c>
      <c r="P65" s="82">
        <v>0</v>
      </c>
      <c r="Q65" s="82">
        <v>36.794715717403498</v>
      </c>
      <c r="R65" s="82">
        <v>14.987418357049201</v>
      </c>
      <c r="S65" s="82">
        <v>0</v>
      </c>
      <c r="T65" s="82">
        <v>24.970792047378801</v>
      </c>
      <c r="U65" s="82">
        <v>4.4855307137231799</v>
      </c>
      <c r="V65" s="82">
        <v>4.3072236680698701</v>
      </c>
      <c r="W65" s="82">
        <v>0</v>
      </c>
      <c r="X65" s="82">
        <v>0</v>
      </c>
      <c r="Y65" s="82">
        <v>0</v>
      </c>
      <c r="Z65" s="82">
        <v>0</v>
      </c>
      <c r="AA65" s="82">
        <v>291.390492464565</v>
      </c>
      <c r="AB65" s="82">
        <v>-32.951865336442097</v>
      </c>
      <c r="AC65" s="82">
        <v>0</v>
      </c>
      <c r="AD65" s="82">
        <v>25.414980454318901</v>
      </c>
      <c r="AE65" s="82">
        <v>0.90486589168457499</v>
      </c>
      <c r="AF65" s="82">
        <v>7.5733749039852096</v>
      </c>
      <c r="AG65" s="82">
        <v>0</v>
      </c>
      <c r="AH65" s="82">
        <v>3.5552614991024898</v>
      </c>
      <c r="AI65" s="82">
        <v>0</v>
      </c>
      <c r="AJ65" s="82">
        <v>2.46402744314614</v>
      </c>
      <c r="AK65" s="82">
        <v>20.243596509469398</v>
      </c>
      <c r="AL65" s="82">
        <v>0</v>
      </c>
      <c r="AM65" s="82">
        <v>211.23760673914299</v>
      </c>
      <c r="AN65" s="82">
        <v>0</v>
      </c>
      <c r="AO65" s="82">
        <v>0</v>
      </c>
      <c r="AP65" s="82">
        <v>3.6359717023147499E-13</v>
      </c>
      <c r="AQ65" s="82">
        <v>-22.2509301954656</v>
      </c>
      <c r="AR65" s="83">
        <v>5.34900612947881</v>
      </c>
    </row>
    <row r="66" spans="2:44" ht="12" customHeight="1" x14ac:dyDescent="0.25">
      <c r="B66" s="81" t="s">
        <v>44</v>
      </c>
      <c r="C66" s="82" t="s">
        <v>109</v>
      </c>
      <c r="D66" s="82" t="s">
        <v>45</v>
      </c>
      <c r="E66" s="82" t="s">
        <v>25</v>
      </c>
      <c r="F66" s="82" t="s">
        <v>25</v>
      </c>
      <c r="G66" s="82" t="s">
        <v>25</v>
      </c>
      <c r="H66" s="82" t="s">
        <v>93</v>
      </c>
      <c r="I66" s="82" t="s">
        <v>25</v>
      </c>
      <c r="J66" s="82">
        <v>386.47</v>
      </c>
      <c r="K66" s="82">
        <v>220.6</v>
      </c>
      <c r="L66" s="82">
        <v>3.7813177701748302</v>
      </c>
      <c r="M66" s="82">
        <v>1.0773933956803701</v>
      </c>
      <c r="N66" s="82">
        <v>3.7158850893049999</v>
      </c>
      <c r="O66" s="82">
        <v>2.1788111188240099E-2</v>
      </c>
      <c r="P66" s="82">
        <v>0</v>
      </c>
      <c r="Q66" s="82">
        <v>36.794715717403498</v>
      </c>
      <c r="R66" s="82">
        <v>14.987418357049201</v>
      </c>
      <c r="S66" s="82">
        <v>0</v>
      </c>
      <c r="T66" s="82">
        <v>24.970792047378801</v>
      </c>
      <c r="U66" s="82">
        <v>4.4855307137231799</v>
      </c>
      <c r="V66" s="82">
        <v>4.3072236680698701</v>
      </c>
      <c r="W66" s="82">
        <v>0</v>
      </c>
      <c r="X66" s="82">
        <v>0</v>
      </c>
      <c r="Y66" s="82">
        <v>0</v>
      </c>
      <c r="Z66" s="82">
        <v>0</v>
      </c>
      <c r="AA66" s="82">
        <v>291.390492464565</v>
      </c>
      <c r="AB66" s="82">
        <v>-32.951865336442097</v>
      </c>
      <c r="AC66" s="82">
        <v>0</v>
      </c>
      <c r="AD66" s="82">
        <v>25.414980454318901</v>
      </c>
      <c r="AE66" s="82">
        <v>0.90486589168457499</v>
      </c>
      <c r="AF66" s="82">
        <v>7.5733749039852096</v>
      </c>
      <c r="AG66" s="82">
        <v>0</v>
      </c>
      <c r="AH66" s="82">
        <v>3.5552614991024898</v>
      </c>
      <c r="AI66" s="82">
        <v>0</v>
      </c>
      <c r="AJ66" s="82">
        <v>2.46402744314614</v>
      </c>
      <c r="AK66" s="82">
        <v>20.243596509469398</v>
      </c>
      <c r="AL66" s="82">
        <v>0</v>
      </c>
      <c r="AM66" s="82">
        <v>211.23760673914299</v>
      </c>
      <c r="AN66" s="82">
        <v>0</v>
      </c>
      <c r="AO66" s="82">
        <v>0</v>
      </c>
      <c r="AP66" s="82">
        <v>3.6359717023147499E-13</v>
      </c>
      <c r="AQ66" s="82">
        <v>-22.2509301954656</v>
      </c>
      <c r="AR66" s="83">
        <v>5.34900612947881</v>
      </c>
    </row>
    <row r="67" spans="2:44" ht="12" customHeight="1" x14ac:dyDescent="0.25">
      <c r="B67" s="81" t="s">
        <v>44</v>
      </c>
      <c r="C67" s="82" t="s">
        <v>109</v>
      </c>
      <c r="D67" s="82" t="s">
        <v>45</v>
      </c>
      <c r="E67" s="82" t="s">
        <v>111</v>
      </c>
      <c r="F67" s="82" t="s">
        <v>25</v>
      </c>
      <c r="G67" s="82" t="s">
        <v>25</v>
      </c>
      <c r="H67" s="82" t="s">
        <v>93</v>
      </c>
      <c r="I67" s="82" t="s">
        <v>25</v>
      </c>
      <c r="J67" s="82">
        <v>378.25</v>
      </c>
      <c r="K67" s="82">
        <v>215.9</v>
      </c>
      <c r="L67" s="82">
        <v>3.7008642005966399</v>
      </c>
      <c r="M67" s="82">
        <v>1.0544701319424901</v>
      </c>
      <c r="N67" s="82">
        <v>3.63682370442617</v>
      </c>
      <c r="O67" s="82">
        <v>2.13245343544478E-2</v>
      </c>
      <c r="P67" s="82">
        <v>0</v>
      </c>
      <c r="Q67" s="82">
        <v>36.011849425543801</v>
      </c>
      <c r="R67" s="82">
        <v>14.6685371154098</v>
      </c>
      <c r="S67" s="82">
        <v>0</v>
      </c>
      <c r="T67" s="82">
        <v>24.439498599562199</v>
      </c>
      <c r="U67" s="82">
        <v>4.3900938900269404</v>
      </c>
      <c r="V67" s="82">
        <v>4.2155806113024203</v>
      </c>
      <c r="W67" s="82">
        <v>0</v>
      </c>
      <c r="X67" s="82">
        <v>0</v>
      </c>
      <c r="Y67" s="82">
        <v>0</v>
      </c>
      <c r="Z67" s="82">
        <v>0</v>
      </c>
      <c r="AA67" s="82">
        <v>285.19069475255299</v>
      </c>
      <c r="AB67" s="82">
        <v>-32.250761818645401</v>
      </c>
      <c r="AC67" s="82">
        <v>0</v>
      </c>
      <c r="AD67" s="82">
        <v>24.874236189333399</v>
      </c>
      <c r="AE67" s="82">
        <v>0.88561342590405201</v>
      </c>
      <c r="AF67" s="82">
        <v>7.41223926773021</v>
      </c>
      <c r="AG67" s="82">
        <v>0</v>
      </c>
      <c r="AH67" s="82">
        <v>3.4796176374194601</v>
      </c>
      <c r="AI67" s="82">
        <v>0</v>
      </c>
      <c r="AJ67" s="82">
        <v>2.41160132733452</v>
      </c>
      <c r="AK67" s="82">
        <v>19.812881690118999</v>
      </c>
      <c r="AL67" s="82">
        <v>0</v>
      </c>
      <c r="AM67" s="82">
        <v>206.74318957448</v>
      </c>
      <c r="AN67" s="82">
        <v>0</v>
      </c>
      <c r="AO67" s="82">
        <v>0</v>
      </c>
      <c r="AP67" s="82">
        <v>3.5586106022654999E-13</v>
      </c>
      <c r="AQ67" s="82">
        <v>-21.777506148753599</v>
      </c>
      <c r="AR67" s="83">
        <v>5.2351974884260697</v>
      </c>
    </row>
    <row r="68" spans="2:44" ht="12" customHeight="1" x14ac:dyDescent="0.25">
      <c r="B68" s="81" t="s">
        <v>37</v>
      </c>
      <c r="C68" s="82" t="s">
        <v>33</v>
      </c>
      <c r="D68" s="82" t="s">
        <v>25</v>
      </c>
      <c r="E68" s="82" t="s">
        <v>25</v>
      </c>
      <c r="F68" s="82" t="s">
        <v>25</v>
      </c>
      <c r="G68" s="82" t="s">
        <v>34</v>
      </c>
      <c r="H68" s="82" t="s">
        <v>93</v>
      </c>
      <c r="I68" s="82" t="s">
        <v>25</v>
      </c>
      <c r="J68" s="82">
        <v>1134.95</v>
      </c>
      <c r="K68" s="82">
        <v>361.55</v>
      </c>
      <c r="L68" s="82">
        <v>4.0226784789093903</v>
      </c>
      <c r="M68" s="82">
        <v>1.1461631868940101</v>
      </c>
      <c r="N68" s="82">
        <v>10.730387313333599</v>
      </c>
      <c r="O68" s="82">
        <v>2.3178841689617199E-2</v>
      </c>
      <c r="P68" s="82">
        <v>0</v>
      </c>
      <c r="Q68" s="82">
        <v>39.143314592982399</v>
      </c>
      <c r="R68" s="82">
        <v>15.9440620819672</v>
      </c>
      <c r="S68" s="82">
        <v>0</v>
      </c>
      <c r="T68" s="82">
        <v>86.335223370602193</v>
      </c>
      <c r="U68" s="82">
        <v>15.5084838506386</v>
      </c>
      <c r="V68" s="82">
        <v>14.891917858051499</v>
      </c>
      <c r="W68" s="82">
        <v>0</v>
      </c>
      <c r="X68" s="82">
        <v>0</v>
      </c>
      <c r="Y68" s="82">
        <v>0</v>
      </c>
      <c r="Z68" s="82">
        <v>0</v>
      </c>
      <c r="AA68" s="82">
        <v>1007.4670413364699</v>
      </c>
      <c r="AB68" s="82">
        <v>-96.314214492173903</v>
      </c>
      <c r="AC68" s="82">
        <v>0</v>
      </c>
      <c r="AD68" s="82">
        <v>27.037213249275499</v>
      </c>
      <c r="AE68" s="82">
        <v>0.96262328902614402</v>
      </c>
      <c r="AF68" s="82">
        <v>8.05678181275022</v>
      </c>
      <c r="AG68" s="82">
        <v>0</v>
      </c>
      <c r="AH68" s="82">
        <v>3.7821930841515798</v>
      </c>
      <c r="AI68" s="82">
        <v>0</v>
      </c>
      <c r="AJ68" s="82">
        <v>2.6213057905810002</v>
      </c>
      <c r="AK68" s="82">
        <v>21.535740967520599</v>
      </c>
      <c r="AL68" s="82">
        <v>0</v>
      </c>
      <c r="AM68" s="82">
        <v>364.64139260470199</v>
      </c>
      <c r="AN68" s="82">
        <v>0</v>
      </c>
      <c r="AO68" s="82">
        <v>0</v>
      </c>
      <c r="AP68" s="82">
        <v>3.8680550024624998E-13</v>
      </c>
      <c r="AQ68" s="82">
        <v>-36.720930315477503</v>
      </c>
      <c r="AR68" s="83">
        <v>5.6904320526370302</v>
      </c>
    </row>
    <row r="69" spans="2:44" ht="12" customHeight="1" x14ac:dyDescent="0.25">
      <c r="B69" s="81" t="s">
        <v>37</v>
      </c>
      <c r="C69" s="82" t="s">
        <v>33</v>
      </c>
      <c r="D69" s="82" t="s">
        <v>25</v>
      </c>
      <c r="E69" s="82" t="s">
        <v>25</v>
      </c>
      <c r="F69" s="82" t="s">
        <v>25</v>
      </c>
      <c r="G69" s="82" t="s">
        <v>36</v>
      </c>
      <c r="H69" s="82" t="s">
        <v>93</v>
      </c>
      <c r="I69" s="82" t="s">
        <v>25</v>
      </c>
      <c r="J69" s="82">
        <v>716.75</v>
      </c>
      <c r="K69" s="82">
        <v>223.15</v>
      </c>
      <c r="L69" s="82">
        <v>4.0226784789093903</v>
      </c>
      <c r="M69" s="82">
        <v>1.1461631868940101</v>
      </c>
      <c r="N69" s="82">
        <v>6.8146033419082599</v>
      </c>
      <c r="O69" s="82">
        <v>2.3178841689617199E-2</v>
      </c>
      <c r="P69" s="82">
        <v>0</v>
      </c>
      <c r="Q69" s="82">
        <v>39.143314592982399</v>
      </c>
      <c r="R69" s="82">
        <v>15.9440620819672</v>
      </c>
      <c r="S69" s="82">
        <v>0</v>
      </c>
      <c r="T69" s="82">
        <v>51.801164502688998</v>
      </c>
      <c r="U69" s="82">
        <v>9.3051137454150297</v>
      </c>
      <c r="V69" s="82">
        <v>8.9351191681676401</v>
      </c>
      <c r="W69" s="82">
        <v>0</v>
      </c>
      <c r="X69" s="82">
        <v>0</v>
      </c>
      <c r="Y69" s="82">
        <v>0</v>
      </c>
      <c r="Z69" s="82">
        <v>0</v>
      </c>
      <c r="AA69" s="82">
        <v>604.48019005569301</v>
      </c>
      <c r="AB69" s="82">
        <v>-60.920099839033298</v>
      </c>
      <c r="AC69" s="82">
        <v>0</v>
      </c>
      <c r="AD69" s="82">
        <v>27.037213249275499</v>
      </c>
      <c r="AE69" s="82">
        <v>0.96262328902614402</v>
      </c>
      <c r="AF69" s="82">
        <v>8.05678181275022</v>
      </c>
      <c r="AG69" s="82">
        <v>0</v>
      </c>
      <c r="AH69" s="82">
        <v>3.7821930841515798</v>
      </c>
      <c r="AI69" s="82">
        <v>0</v>
      </c>
      <c r="AJ69" s="82">
        <v>2.6213057905810002</v>
      </c>
      <c r="AK69" s="82">
        <v>21.535740967520599</v>
      </c>
      <c r="AL69" s="82">
        <v>0</v>
      </c>
      <c r="AM69" s="82">
        <v>212.00080965389699</v>
      </c>
      <c r="AN69" s="82">
        <v>0</v>
      </c>
      <c r="AO69" s="82">
        <v>0</v>
      </c>
      <c r="AP69" s="82">
        <v>3.8680550024624998E-13</v>
      </c>
      <c r="AQ69" s="82">
        <v>-22.484863428340301</v>
      </c>
      <c r="AR69" s="83">
        <v>5.6904320526370302</v>
      </c>
    </row>
    <row r="70" spans="2:44" ht="12" customHeight="1" x14ac:dyDescent="0.25">
      <c r="B70" s="81" t="s">
        <v>37</v>
      </c>
      <c r="C70" s="82" t="s">
        <v>33</v>
      </c>
      <c r="D70" s="82" t="s">
        <v>25</v>
      </c>
      <c r="E70" s="82" t="s">
        <v>25</v>
      </c>
      <c r="F70" s="82" t="s">
        <v>25</v>
      </c>
      <c r="G70" s="82" t="s">
        <v>35</v>
      </c>
      <c r="H70" s="82" t="s">
        <v>93</v>
      </c>
      <c r="I70" s="82" t="s">
        <v>25</v>
      </c>
      <c r="J70" s="82">
        <v>298.55</v>
      </c>
      <c r="K70" s="82">
        <v>223.15</v>
      </c>
      <c r="L70" s="82">
        <v>4.0226784789093903</v>
      </c>
      <c r="M70" s="82">
        <v>1.1461631868940101</v>
      </c>
      <c r="N70" s="82">
        <v>2.8988193704829701</v>
      </c>
      <c r="O70" s="82">
        <v>2.3178841689617199E-2</v>
      </c>
      <c r="P70" s="82">
        <v>0</v>
      </c>
      <c r="Q70" s="82">
        <v>39.143314592982399</v>
      </c>
      <c r="R70" s="82">
        <v>15.9440620819672</v>
      </c>
      <c r="S70" s="82">
        <v>0</v>
      </c>
      <c r="T70" s="82">
        <v>17.267105634775799</v>
      </c>
      <c r="U70" s="82">
        <v>3.1017436401914198</v>
      </c>
      <c r="V70" s="82">
        <v>2.9783204782837802</v>
      </c>
      <c r="W70" s="82">
        <v>0</v>
      </c>
      <c r="X70" s="82">
        <v>0</v>
      </c>
      <c r="Y70" s="82">
        <v>0</v>
      </c>
      <c r="Z70" s="82">
        <v>0</v>
      </c>
      <c r="AA70" s="82">
        <v>201.49333877491199</v>
      </c>
      <c r="AB70" s="82">
        <v>-25.5259851858928</v>
      </c>
      <c r="AC70" s="82">
        <v>0</v>
      </c>
      <c r="AD70" s="82">
        <v>27.037213249275499</v>
      </c>
      <c r="AE70" s="82">
        <v>0.96262328902614402</v>
      </c>
      <c r="AF70" s="82">
        <v>8.05678181275022</v>
      </c>
      <c r="AG70" s="82">
        <v>0</v>
      </c>
      <c r="AH70" s="82">
        <v>3.7821930841515798</v>
      </c>
      <c r="AI70" s="82">
        <v>0</v>
      </c>
      <c r="AJ70" s="82">
        <v>2.6213057905810002</v>
      </c>
      <c r="AK70" s="82">
        <v>21.535740967520599</v>
      </c>
      <c r="AL70" s="82">
        <v>0</v>
      </c>
      <c r="AM70" s="82">
        <v>212.00080965389699</v>
      </c>
      <c r="AN70" s="82">
        <v>0</v>
      </c>
      <c r="AO70" s="82">
        <v>0</v>
      </c>
      <c r="AP70" s="82">
        <v>3.8680550024624998E-13</v>
      </c>
      <c r="AQ70" s="82">
        <v>-22.484863428340301</v>
      </c>
      <c r="AR70" s="83">
        <v>5.6904320526370302</v>
      </c>
    </row>
    <row r="71" spans="2:44" ht="12" customHeight="1" x14ac:dyDescent="0.25">
      <c r="B71" s="81" t="s">
        <v>37</v>
      </c>
      <c r="C71" s="82" t="s">
        <v>23</v>
      </c>
      <c r="D71" s="82" t="s">
        <v>25</v>
      </c>
      <c r="E71" s="82" t="s">
        <v>25</v>
      </c>
      <c r="F71" s="82" t="s">
        <v>25</v>
      </c>
      <c r="G71" s="82" t="s">
        <v>25</v>
      </c>
      <c r="H71" s="82" t="s">
        <v>93</v>
      </c>
      <c r="I71" s="82" t="s">
        <v>25</v>
      </c>
      <c r="J71" s="82">
        <v>411.14</v>
      </c>
      <c r="K71" s="82">
        <v>234.68</v>
      </c>
      <c r="L71" s="82">
        <v>4.0226784789093903</v>
      </c>
      <c r="M71" s="82">
        <v>1.1461631868940101</v>
      </c>
      <c r="N71" s="82">
        <v>3.9530692439414898</v>
      </c>
      <c r="O71" s="82">
        <v>2.3178841689617199E-2</v>
      </c>
      <c r="P71" s="82">
        <v>0</v>
      </c>
      <c r="Q71" s="82">
        <v>39.143314592982399</v>
      </c>
      <c r="R71" s="82">
        <v>15.9440620819672</v>
      </c>
      <c r="S71" s="82">
        <v>0</v>
      </c>
      <c r="T71" s="82">
        <v>26.564672390828498</v>
      </c>
      <c r="U71" s="82">
        <v>4.7718411848118896</v>
      </c>
      <c r="V71" s="82">
        <v>4.5821528383721999</v>
      </c>
      <c r="W71" s="82">
        <v>0</v>
      </c>
      <c r="X71" s="82">
        <v>0</v>
      </c>
      <c r="Y71" s="82">
        <v>0</v>
      </c>
      <c r="Z71" s="82">
        <v>0</v>
      </c>
      <c r="AA71" s="82">
        <v>309.98988560060099</v>
      </c>
      <c r="AB71" s="82">
        <v>-35.055175889832</v>
      </c>
      <c r="AC71" s="82">
        <v>0</v>
      </c>
      <c r="AD71" s="82">
        <v>27.037213249275499</v>
      </c>
      <c r="AE71" s="82">
        <v>0.96262328902614402</v>
      </c>
      <c r="AF71" s="82">
        <v>8.05678181275022</v>
      </c>
      <c r="AG71" s="82">
        <v>0</v>
      </c>
      <c r="AH71" s="82">
        <v>3.7821930841515798</v>
      </c>
      <c r="AI71" s="82">
        <v>0</v>
      </c>
      <c r="AJ71" s="82">
        <v>2.6213057905810002</v>
      </c>
      <c r="AK71" s="82">
        <v>21.535740967520599</v>
      </c>
      <c r="AL71" s="82">
        <v>0</v>
      </c>
      <c r="AM71" s="82">
        <v>224.72085823313</v>
      </c>
      <c r="AN71" s="82">
        <v>0</v>
      </c>
      <c r="AO71" s="82">
        <v>0</v>
      </c>
      <c r="AP71" s="82">
        <v>3.8680550024624998E-13</v>
      </c>
      <c r="AQ71" s="82">
        <v>-23.671202335601699</v>
      </c>
      <c r="AR71" s="83">
        <v>5.6904320526370302</v>
      </c>
    </row>
    <row r="72" spans="2:44" ht="12" customHeight="1" x14ac:dyDescent="0.25">
      <c r="B72" s="81" t="s">
        <v>37</v>
      </c>
      <c r="C72" s="82" t="s">
        <v>109</v>
      </c>
      <c r="D72" s="82" t="s">
        <v>25</v>
      </c>
      <c r="E72" s="82" t="s">
        <v>25</v>
      </c>
      <c r="F72" s="82" t="s">
        <v>25</v>
      </c>
      <c r="G72" s="82" t="s">
        <v>25</v>
      </c>
      <c r="H72" s="82" t="s">
        <v>93</v>
      </c>
      <c r="I72" s="82" t="s">
        <v>25</v>
      </c>
      <c r="J72" s="82">
        <v>411.14</v>
      </c>
      <c r="K72" s="82">
        <v>234.68</v>
      </c>
      <c r="L72" s="82">
        <v>4.0226784789093903</v>
      </c>
      <c r="M72" s="82">
        <v>1.1461631868940101</v>
      </c>
      <c r="N72" s="82">
        <v>3.9530692439414898</v>
      </c>
      <c r="O72" s="82">
        <v>2.3178841689617199E-2</v>
      </c>
      <c r="P72" s="82">
        <v>0</v>
      </c>
      <c r="Q72" s="82">
        <v>39.143314592982399</v>
      </c>
      <c r="R72" s="82">
        <v>15.9440620819672</v>
      </c>
      <c r="S72" s="82">
        <v>0</v>
      </c>
      <c r="T72" s="82">
        <v>26.564672390828498</v>
      </c>
      <c r="U72" s="82">
        <v>4.7718411848118896</v>
      </c>
      <c r="V72" s="82">
        <v>4.5821528383721999</v>
      </c>
      <c r="W72" s="82">
        <v>0</v>
      </c>
      <c r="X72" s="82">
        <v>0</v>
      </c>
      <c r="Y72" s="82">
        <v>0</v>
      </c>
      <c r="Z72" s="82">
        <v>0</v>
      </c>
      <c r="AA72" s="82">
        <v>309.98988560060099</v>
      </c>
      <c r="AB72" s="82">
        <v>-35.055175889832</v>
      </c>
      <c r="AC72" s="82">
        <v>0</v>
      </c>
      <c r="AD72" s="82">
        <v>27.037213249275499</v>
      </c>
      <c r="AE72" s="82">
        <v>0.96262328902614402</v>
      </c>
      <c r="AF72" s="82">
        <v>8.05678181275022</v>
      </c>
      <c r="AG72" s="82">
        <v>0</v>
      </c>
      <c r="AH72" s="82">
        <v>3.7821930841515798</v>
      </c>
      <c r="AI72" s="82">
        <v>0</v>
      </c>
      <c r="AJ72" s="82">
        <v>2.6213057905810002</v>
      </c>
      <c r="AK72" s="82">
        <v>21.535740967520599</v>
      </c>
      <c r="AL72" s="82">
        <v>0</v>
      </c>
      <c r="AM72" s="82">
        <v>224.72085823313</v>
      </c>
      <c r="AN72" s="82">
        <v>0</v>
      </c>
      <c r="AO72" s="82">
        <v>0</v>
      </c>
      <c r="AP72" s="82">
        <v>3.8680550024624998E-13</v>
      </c>
      <c r="AQ72" s="82">
        <v>-23.671202335601699</v>
      </c>
      <c r="AR72" s="83">
        <v>5.6904320526370302</v>
      </c>
    </row>
    <row r="73" spans="2:44" ht="12" customHeight="1" x14ac:dyDescent="0.25">
      <c r="B73" s="81" t="s">
        <v>47</v>
      </c>
      <c r="C73" s="82" t="s">
        <v>23</v>
      </c>
      <c r="D73" s="82" t="s">
        <v>48</v>
      </c>
      <c r="E73" s="82" t="s">
        <v>49</v>
      </c>
      <c r="F73" s="82" t="s">
        <v>25</v>
      </c>
      <c r="G73" s="82" t="s">
        <v>25</v>
      </c>
      <c r="H73" s="82" t="s">
        <v>93</v>
      </c>
      <c r="I73" s="82" t="s">
        <v>25</v>
      </c>
      <c r="J73" s="82">
        <v>226.13</v>
      </c>
      <c r="K73" s="82">
        <v>129.07</v>
      </c>
      <c r="L73" s="82">
        <v>2.21247316340017</v>
      </c>
      <c r="M73" s="82">
        <v>0.63038975279170495</v>
      </c>
      <c r="N73" s="82">
        <v>2.1741880841678198</v>
      </c>
      <c r="O73" s="82">
        <v>1.27483629292895E-2</v>
      </c>
      <c r="P73" s="82">
        <v>0</v>
      </c>
      <c r="Q73" s="82">
        <v>21.528823026140302</v>
      </c>
      <c r="R73" s="82">
        <v>8.7692341450819509</v>
      </c>
      <c r="S73" s="82">
        <v>0</v>
      </c>
      <c r="T73" s="82">
        <v>14.610569814955699</v>
      </c>
      <c r="U73" s="82">
        <v>2.62451265164654</v>
      </c>
      <c r="V73" s="82">
        <v>2.5201840611047102</v>
      </c>
      <c r="W73" s="82">
        <v>0</v>
      </c>
      <c r="X73" s="82">
        <v>0</v>
      </c>
      <c r="Y73" s="82">
        <v>0</v>
      </c>
      <c r="Z73" s="82">
        <v>0</v>
      </c>
      <c r="AA73" s="82">
        <v>170.49443708033101</v>
      </c>
      <c r="AB73" s="82">
        <v>-19.280346739407602</v>
      </c>
      <c r="AC73" s="82">
        <v>0</v>
      </c>
      <c r="AD73" s="82">
        <v>14.8704672871015</v>
      </c>
      <c r="AE73" s="82">
        <v>0.52944280896437901</v>
      </c>
      <c r="AF73" s="82">
        <v>4.4312299970126201</v>
      </c>
      <c r="AG73" s="82">
        <v>0</v>
      </c>
      <c r="AH73" s="82">
        <v>2.08020619628337</v>
      </c>
      <c r="AI73" s="82">
        <v>0</v>
      </c>
      <c r="AJ73" s="82">
        <v>1.4417181848195499</v>
      </c>
      <c r="AK73" s="82">
        <v>11.8446575321364</v>
      </c>
      <c r="AL73" s="82">
        <v>0</v>
      </c>
      <c r="AM73" s="82">
        <v>123.596472028222</v>
      </c>
      <c r="AN73" s="82">
        <v>0</v>
      </c>
      <c r="AO73" s="82">
        <v>0</v>
      </c>
      <c r="AP73" s="82">
        <v>2.1274302513543799E-13</v>
      </c>
      <c r="AQ73" s="82">
        <v>-13.0191612845809</v>
      </c>
      <c r="AR73" s="83">
        <v>3.12973762895037</v>
      </c>
    </row>
    <row r="74" spans="2:44" ht="12" customHeight="1" x14ac:dyDescent="0.25">
      <c r="B74" s="84" t="s">
        <v>47</v>
      </c>
      <c r="C74" s="85" t="s">
        <v>23</v>
      </c>
      <c r="D74" s="85" t="s">
        <v>48</v>
      </c>
      <c r="E74" s="85" t="s">
        <v>112</v>
      </c>
      <c r="F74" s="85" t="s">
        <v>25</v>
      </c>
      <c r="G74" s="85" t="s">
        <v>25</v>
      </c>
      <c r="H74" s="85" t="s">
        <v>93</v>
      </c>
      <c r="I74" s="85" t="s">
        <v>25</v>
      </c>
      <c r="J74" s="85">
        <v>246.69</v>
      </c>
      <c r="K74" s="85">
        <v>140.81</v>
      </c>
      <c r="L74" s="85">
        <v>2.4136070873456399</v>
      </c>
      <c r="M74" s="85">
        <v>0.68769791213640497</v>
      </c>
      <c r="N74" s="85">
        <v>2.3718415463648901</v>
      </c>
      <c r="O74" s="85">
        <v>1.3907305013770299E-2</v>
      </c>
      <c r="P74" s="85">
        <v>0</v>
      </c>
      <c r="Q74" s="85">
        <v>23.4859887557894</v>
      </c>
      <c r="R74" s="85">
        <v>9.5664372491803107</v>
      </c>
      <c r="S74" s="85">
        <v>0</v>
      </c>
      <c r="T74" s="85">
        <v>15.9388034344971</v>
      </c>
      <c r="U74" s="85">
        <v>2.8631047108871299</v>
      </c>
      <c r="V74" s="85">
        <v>2.7492917030233199</v>
      </c>
      <c r="W74" s="85">
        <v>0</v>
      </c>
      <c r="X74" s="85">
        <v>0</v>
      </c>
      <c r="Y74" s="85">
        <v>0</v>
      </c>
      <c r="Z74" s="85">
        <v>0</v>
      </c>
      <c r="AA74" s="85">
        <v>185.99393136036099</v>
      </c>
      <c r="AB74" s="85">
        <v>-21.033105533899199</v>
      </c>
      <c r="AC74" s="85">
        <v>0</v>
      </c>
      <c r="AD74" s="85">
        <v>16.222327949565301</v>
      </c>
      <c r="AE74" s="85">
        <v>0.57757397341568595</v>
      </c>
      <c r="AF74" s="85">
        <v>4.8340690876501302</v>
      </c>
      <c r="AG74" s="85">
        <v>0</v>
      </c>
      <c r="AH74" s="85">
        <v>2.2693158504909499</v>
      </c>
      <c r="AI74" s="85">
        <v>0</v>
      </c>
      <c r="AJ74" s="85">
        <v>1.5727834743486</v>
      </c>
      <c r="AK74" s="85">
        <v>12.9214445805124</v>
      </c>
      <c r="AL74" s="85">
        <v>0</v>
      </c>
      <c r="AM74" s="85">
        <v>134.832514939878</v>
      </c>
      <c r="AN74" s="85">
        <v>0</v>
      </c>
      <c r="AO74" s="85">
        <v>0</v>
      </c>
      <c r="AP74" s="85">
        <v>2.3208330014774998E-13</v>
      </c>
      <c r="AQ74" s="85">
        <v>-14.202721401361</v>
      </c>
      <c r="AR74" s="86">
        <v>3.41425923158222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C4CF-3054-4AE2-8128-A78581560F36}">
  <dimension ref="B1:AR74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14.5703125" bestFit="1" customWidth="1"/>
    <col min="30" max="30" width="12.140625" bestFit="1" customWidth="1"/>
    <col min="31" max="31" width="17.85546875" bestFit="1" customWidth="1"/>
    <col min="32" max="32" width="12.7109375" bestFit="1" customWidth="1"/>
    <col min="33" max="33" width="10.85546875" bestFit="1" customWidth="1"/>
    <col min="34" max="34" width="16.7109375" bestFit="1" customWidth="1"/>
    <col min="35" max="35" width="14.7109375" bestFit="1" customWidth="1"/>
    <col min="36" max="36" width="12.140625" bestFit="1" customWidth="1"/>
    <col min="37" max="37" width="12.7109375" bestFit="1" customWidth="1"/>
    <col min="38" max="38" width="12.42578125" bestFit="1" customWidth="1"/>
    <col min="39" max="39" width="14.28515625" bestFit="1" customWidth="1"/>
    <col min="40" max="40" width="25.42578125" bestFit="1" customWidth="1"/>
    <col min="41" max="41" width="18" bestFit="1" customWidth="1"/>
    <col min="42" max="42" width="14.140625" bestFit="1" customWidth="1"/>
    <col min="43" max="43" width="13.42578125" bestFit="1" customWidth="1"/>
    <col min="44" max="44" width="12.7109375" bestFit="1" customWidth="1"/>
  </cols>
  <sheetData>
    <row r="1" spans="2:44" ht="12" customHeight="1" x14ac:dyDescent="0.25">
      <c r="L1" s="123" t="s">
        <v>1620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1621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859</v>
      </c>
      <c r="M2" s="125"/>
      <c r="N2" s="125"/>
      <c r="O2" s="125"/>
      <c r="P2" s="125"/>
      <c r="Q2" s="125"/>
      <c r="R2" s="125"/>
      <c r="S2" s="126"/>
      <c r="T2" s="125" t="s">
        <v>868</v>
      </c>
      <c r="U2" s="125"/>
      <c r="V2" s="125"/>
      <c r="W2" s="125"/>
      <c r="X2" s="125"/>
      <c r="Y2" s="125"/>
      <c r="Z2" s="126"/>
      <c r="AA2" s="88" t="s">
        <v>876</v>
      </c>
      <c r="AB2" s="125" t="s">
        <v>25</v>
      </c>
      <c r="AC2" s="126"/>
      <c r="AD2" s="125" t="s">
        <v>1619</v>
      </c>
      <c r="AE2" s="125"/>
      <c r="AF2" s="125"/>
      <c r="AG2" s="126"/>
      <c r="AH2" s="125" t="s">
        <v>859</v>
      </c>
      <c r="AI2" s="125"/>
      <c r="AJ2" s="125"/>
      <c r="AK2" s="125"/>
      <c r="AL2" s="126"/>
      <c r="AM2" s="88" t="s">
        <v>889</v>
      </c>
      <c r="AN2" s="125" t="s">
        <v>868</v>
      </c>
      <c r="AO2" s="125"/>
      <c r="AP2" s="125"/>
      <c r="AQ2" s="126"/>
      <c r="AR2" s="87" t="s">
        <v>1619</v>
      </c>
    </row>
    <row r="3" spans="2:44" ht="12" customHeight="1" x14ac:dyDescent="0.25">
      <c r="B3" s="78" t="s">
        <v>83</v>
      </c>
      <c r="C3" s="79" t="s">
        <v>84</v>
      </c>
      <c r="D3" s="79" t="s">
        <v>85</v>
      </c>
      <c r="E3" s="79" t="s">
        <v>86</v>
      </c>
      <c r="F3" s="79" t="s">
        <v>87</v>
      </c>
      <c r="G3" s="79" t="s">
        <v>89</v>
      </c>
      <c r="H3" s="79" t="s">
        <v>90</v>
      </c>
      <c r="I3" s="79" t="s">
        <v>1103</v>
      </c>
      <c r="J3" s="79" t="s">
        <v>1584</v>
      </c>
      <c r="K3" s="79" t="s">
        <v>1585</v>
      </c>
      <c r="L3" s="79" t="s">
        <v>1586</v>
      </c>
      <c r="M3" s="79" t="s">
        <v>1587</v>
      </c>
      <c r="N3" s="79" t="s">
        <v>1588</v>
      </c>
      <c r="O3" s="79" t="s">
        <v>1589</v>
      </c>
      <c r="P3" s="79" t="s">
        <v>1590</v>
      </c>
      <c r="Q3" s="79" t="s">
        <v>1591</v>
      </c>
      <c r="R3" s="79" t="s">
        <v>1592</v>
      </c>
      <c r="S3" s="79" t="s">
        <v>1593</v>
      </c>
      <c r="T3" s="79" t="s">
        <v>1594</v>
      </c>
      <c r="U3" s="79" t="s">
        <v>1595</v>
      </c>
      <c r="V3" s="79" t="s">
        <v>1596</v>
      </c>
      <c r="W3" s="79" t="s">
        <v>1597</v>
      </c>
      <c r="X3" s="79" t="s">
        <v>1598</v>
      </c>
      <c r="Y3" s="79" t="s">
        <v>1599</v>
      </c>
      <c r="Z3" s="79" t="s">
        <v>1600</v>
      </c>
      <c r="AA3" s="79" t="s">
        <v>1601</v>
      </c>
      <c r="AB3" s="79" t="s">
        <v>1602</v>
      </c>
      <c r="AC3" s="79" t="s">
        <v>1603</v>
      </c>
      <c r="AD3" s="79" t="s">
        <v>1604</v>
      </c>
      <c r="AE3" s="79" t="s">
        <v>1605</v>
      </c>
      <c r="AF3" s="79" t="s">
        <v>1606</v>
      </c>
      <c r="AG3" s="79" t="s">
        <v>1607</v>
      </c>
      <c r="AH3" s="79" t="s">
        <v>1608</v>
      </c>
      <c r="AI3" s="79" t="s">
        <v>1623</v>
      </c>
      <c r="AJ3" s="79" t="s">
        <v>1609</v>
      </c>
      <c r="AK3" s="79" t="s">
        <v>1610</v>
      </c>
      <c r="AL3" s="79" t="s">
        <v>1611</v>
      </c>
      <c r="AM3" s="79" t="s">
        <v>1612</v>
      </c>
      <c r="AN3" s="79" t="s">
        <v>1613</v>
      </c>
      <c r="AO3" s="79" t="s">
        <v>1614</v>
      </c>
      <c r="AP3" s="79" t="s">
        <v>1615</v>
      </c>
      <c r="AQ3" s="79" t="s">
        <v>1616</v>
      </c>
      <c r="AR3" s="80" t="s">
        <v>1617</v>
      </c>
    </row>
    <row r="4" spans="2:44" ht="12" customHeight="1" x14ac:dyDescent="0.25">
      <c r="B4" s="81" t="s">
        <v>39</v>
      </c>
      <c r="C4" s="82" t="s">
        <v>40</v>
      </c>
      <c r="D4" s="82" t="s">
        <v>25</v>
      </c>
      <c r="E4" s="82" t="s">
        <v>25</v>
      </c>
      <c r="F4" s="82" t="s">
        <v>58</v>
      </c>
      <c r="G4" s="82" t="s">
        <v>34</v>
      </c>
      <c r="H4" s="82" t="s">
        <v>93</v>
      </c>
      <c r="I4" s="82" t="s">
        <v>25</v>
      </c>
      <c r="J4" s="82">
        <v>7.18</v>
      </c>
      <c r="K4" s="82">
        <v>0</v>
      </c>
      <c r="L4" s="82">
        <v>0</v>
      </c>
      <c r="M4" s="82">
        <v>0.174492984811323</v>
      </c>
      <c r="N4" s="82">
        <v>0.188904812325733</v>
      </c>
      <c r="O4" s="82">
        <v>2.3954432862312899E-2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0</v>
      </c>
      <c r="AC4" s="82">
        <v>0</v>
      </c>
      <c r="AD4" s="82">
        <v>4.47232950625492</v>
      </c>
      <c r="AE4" s="82">
        <v>0.15923122324876299</v>
      </c>
      <c r="AF4" s="82">
        <v>2.1651587496188198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39</v>
      </c>
      <c r="C5" s="82" t="s">
        <v>40</v>
      </c>
      <c r="D5" s="82" t="s">
        <v>25</v>
      </c>
      <c r="E5" s="82" t="s">
        <v>25</v>
      </c>
      <c r="F5" s="82" t="s">
        <v>58</v>
      </c>
      <c r="G5" s="82" t="s">
        <v>34</v>
      </c>
      <c r="H5" s="82" t="s">
        <v>99</v>
      </c>
      <c r="I5" s="82" t="s">
        <v>25</v>
      </c>
      <c r="J5" s="82">
        <v>31.06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5.6944217582463903</v>
      </c>
      <c r="U5" s="82">
        <v>1.10775286284772</v>
      </c>
      <c r="V5" s="82">
        <v>0.98567549352798201</v>
      </c>
      <c r="W5" s="82">
        <v>0</v>
      </c>
      <c r="X5" s="82">
        <v>0</v>
      </c>
      <c r="Y5" s="82">
        <v>0</v>
      </c>
      <c r="Z5" s="82">
        <v>0</v>
      </c>
      <c r="AA5" s="82">
        <v>23.274377713783501</v>
      </c>
      <c r="AB5" s="82">
        <v>0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39</v>
      </c>
      <c r="C6" s="82" t="s">
        <v>40</v>
      </c>
      <c r="D6" s="82" t="s">
        <v>25</v>
      </c>
      <c r="E6" s="82" t="s">
        <v>25</v>
      </c>
      <c r="F6" s="82" t="s">
        <v>58</v>
      </c>
      <c r="G6" s="82" t="s">
        <v>35</v>
      </c>
      <c r="H6" s="82" t="s">
        <v>93</v>
      </c>
      <c r="I6" s="82" t="s">
        <v>25</v>
      </c>
      <c r="J6" s="82">
        <v>7.18</v>
      </c>
      <c r="K6" s="82">
        <v>0</v>
      </c>
      <c r="L6" s="82">
        <v>0</v>
      </c>
      <c r="M6" s="82">
        <v>0.174492984811323</v>
      </c>
      <c r="N6" s="82">
        <v>0.188904812325733</v>
      </c>
      <c r="O6" s="82">
        <v>2.3954432862312899E-2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0</v>
      </c>
      <c r="AC6" s="82">
        <v>0</v>
      </c>
      <c r="AD6" s="82">
        <v>4.47232950625492</v>
      </c>
      <c r="AE6" s="82">
        <v>0.15923122324876299</v>
      </c>
      <c r="AF6" s="82">
        <v>2.1651587496188198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39</v>
      </c>
      <c r="C7" s="82" t="s">
        <v>40</v>
      </c>
      <c r="D7" s="82" t="s">
        <v>25</v>
      </c>
      <c r="E7" s="82" t="s">
        <v>25</v>
      </c>
      <c r="F7" s="82" t="s">
        <v>58</v>
      </c>
      <c r="G7" s="82" t="s">
        <v>35</v>
      </c>
      <c r="H7" s="82" t="s">
        <v>99</v>
      </c>
      <c r="I7" s="82" t="s">
        <v>25</v>
      </c>
      <c r="J7" s="82">
        <v>10.15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5.4444404526438603</v>
      </c>
      <c r="U7" s="82">
        <v>1.08123248478295</v>
      </c>
      <c r="V7" s="82">
        <v>0.79040164795466705</v>
      </c>
      <c r="W7" s="82">
        <v>0</v>
      </c>
      <c r="X7" s="82">
        <v>0</v>
      </c>
      <c r="Y7" s="82">
        <v>0</v>
      </c>
      <c r="Z7" s="82">
        <v>0</v>
      </c>
      <c r="AA7" s="82">
        <v>2.8347051201271198</v>
      </c>
      <c r="AB7" s="82">
        <v>0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39</v>
      </c>
      <c r="C8" s="82" t="s">
        <v>40</v>
      </c>
      <c r="D8" s="82" t="s">
        <v>25</v>
      </c>
      <c r="E8" s="82" t="s">
        <v>25</v>
      </c>
      <c r="F8" s="82" t="s">
        <v>25</v>
      </c>
      <c r="G8" s="82" t="s">
        <v>34</v>
      </c>
      <c r="H8" s="82" t="s">
        <v>93</v>
      </c>
      <c r="I8" s="82" t="s">
        <v>25</v>
      </c>
      <c r="J8" s="82">
        <v>47.27</v>
      </c>
      <c r="K8" s="82">
        <v>394.42</v>
      </c>
      <c r="L8" s="82">
        <v>2.5925193460083</v>
      </c>
      <c r="M8" s="82">
        <v>0.174492984811323</v>
      </c>
      <c r="N8" s="82">
        <v>0.20376192248182001</v>
      </c>
      <c r="O8" s="82">
        <v>2.3954432862312899E-2</v>
      </c>
      <c r="P8" s="82">
        <v>0</v>
      </c>
      <c r="Q8" s="82">
        <v>22.807977418442199</v>
      </c>
      <c r="R8" s="82">
        <v>14.668516006400999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0</v>
      </c>
      <c r="AC8" s="82">
        <v>0</v>
      </c>
      <c r="AD8" s="82">
        <v>4.47232950625492</v>
      </c>
      <c r="AE8" s="82">
        <v>0.15923122324876299</v>
      </c>
      <c r="AF8" s="82">
        <v>2.1651587496188198</v>
      </c>
      <c r="AG8" s="82">
        <v>0</v>
      </c>
      <c r="AH8" s="82">
        <v>3.7261581162664599</v>
      </c>
      <c r="AI8" s="82">
        <v>0</v>
      </c>
      <c r="AJ8" s="82">
        <v>2.6225748408976601</v>
      </c>
      <c r="AK8" s="82">
        <v>17.0865200824427</v>
      </c>
      <c r="AL8" s="82">
        <v>0</v>
      </c>
      <c r="AM8" s="82">
        <v>365.287654462158</v>
      </c>
      <c r="AN8" s="82">
        <v>0</v>
      </c>
      <c r="AO8" s="82">
        <v>0</v>
      </c>
      <c r="AP8" s="82">
        <v>3.8680550024624998E-13</v>
      </c>
      <c r="AQ8" s="82">
        <v>0</v>
      </c>
      <c r="AR8" s="83">
        <v>5.7005173289184601</v>
      </c>
    </row>
    <row r="9" spans="2:44" ht="12" customHeight="1" x14ac:dyDescent="0.25">
      <c r="B9" s="81" t="s">
        <v>39</v>
      </c>
      <c r="C9" s="82" t="s">
        <v>40</v>
      </c>
      <c r="D9" s="82" t="s">
        <v>25</v>
      </c>
      <c r="E9" s="82" t="s">
        <v>25</v>
      </c>
      <c r="F9" s="82" t="s">
        <v>25</v>
      </c>
      <c r="G9" s="82" t="s">
        <v>34</v>
      </c>
      <c r="H9" s="82" t="s">
        <v>99</v>
      </c>
      <c r="I9" s="82" t="s">
        <v>25</v>
      </c>
      <c r="J9" s="82">
        <v>31.06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5.6944217582463903</v>
      </c>
      <c r="U9" s="82">
        <v>1.10775286284772</v>
      </c>
      <c r="V9" s="82">
        <v>0.98567549352798201</v>
      </c>
      <c r="W9" s="82">
        <v>0</v>
      </c>
      <c r="X9" s="82">
        <v>0</v>
      </c>
      <c r="Y9" s="82">
        <v>0</v>
      </c>
      <c r="Z9" s="82">
        <v>0</v>
      </c>
      <c r="AA9" s="82">
        <v>23.274377713783501</v>
      </c>
      <c r="AB9" s="82">
        <v>0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39</v>
      </c>
      <c r="C10" s="82" t="s">
        <v>40</v>
      </c>
      <c r="D10" s="82" t="s">
        <v>25</v>
      </c>
      <c r="E10" s="82" t="s">
        <v>25</v>
      </c>
      <c r="F10" s="82" t="s">
        <v>25</v>
      </c>
      <c r="G10" s="82" t="s">
        <v>35</v>
      </c>
      <c r="H10" s="82" t="s">
        <v>93</v>
      </c>
      <c r="I10" s="82" t="s">
        <v>25</v>
      </c>
      <c r="J10" s="82">
        <v>47.27</v>
      </c>
      <c r="K10" s="82">
        <v>241.51</v>
      </c>
      <c r="L10" s="82">
        <v>2.5925193460083</v>
      </c>
      <c r="M10" s="82">
        <v>0.174492984811323</v>
      </c>
      <c r="N10" s="82">
        <v>0.20376192248182001</v>
      </c>
      <c r="O10" s="82">
        <v>2.3954432862312899E-2</v>
      </c>
      <c r="P10" s="82">
        <v>0</v>
      </c>
      <c r="Q10" s="82">
        <v>22.807977418442199</v>
      </c>
      <c r="R10" s="82">
        <v>14.668516006400999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0</v>
      </c>
      <c r="AC10" s="82">
        <v>0</v>
      </c>
      <c r="AD10" s="82">
        <v>4.47232950625492</v>
      </c>
      <c r="AE10" s="82">
        <v>0.15923122324876299</v>
      </c>
      <c r="AF10" s="82">
        <v>2.1651587496188198</v>
      </c>
      <c r="AG10" s="82">
        <v>0</v>
      </c>
      <c r="AH10" s="82">
        <v>3.7261581162664599</v>
      </c>
      <c r="AI10" s="82">
        <v>0</v>
      </c>
      <c r="AJ10" s="82">
        <v>2.6225748408976601</v>
      </c>
      <c r="AK10" s="82">
        <v>17.0865200824427</v>
      </c>
      <c r="AL10" s="82">
        <v>0</v>
      </c>
      <c r="AM10" s="82">
        <v>212.376543291952</v>
      </c>
      <c r="AN10" s="82">
        <v>0</v>
      </c>
      <c r="AO10" s="82">
        <v>0</v>
      </c>
      <c r="AP10" s="82">
        <v>3.8680550024624998E-13</v>
      </c>
      <c r="AQ10" s="82">
        <v>0</v>
      </c>
      <c r="AR10" s="83">
        <v>5.7005173289184601</v>
      </c>
    </row>
    <row r="11" spans="2:44" ht="12" customHeight="1" x14ac:dyDescent="0.25">
      <c r="B11" s="81" t="s">
        <v>39</v>
      </c>
      <c r="C11" s="82" t="s">
        <v>40</v>
      </c>
      <c r="D11" s="82" t="s">
        <v>25</v>
      </c>
      <c r="E11" s="82" t="s">
        <v>25</v>
      </c>
      <c r="F11" s="82" t="s">
        <v>25</v>
      </c>
      <c r="G11" s="82" t="s">
        <v>35</v>
      </c>
      <c r="H11" s="82" t="s">
        <v>99</v>
      </c>
      <c r="I11" s="82" t="s">
        <v>25</v>
      </c>
      <c r="J11" s="82">
        <v>10.15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5.4444404526438603</v>
      </c>
      <c r="U11" s="82">
        <v>1.08123248478295</v>
      </c>
      <c r="V11" s="82">
        <v>0.79040164795466705</v>
      </c>
      <c r="W11" s="82">
        <v>0</v>
      </c>
      <c r="X11" s="82">
        <v>0</v>
      </c>
      <c r="Y11" s="82">
        <v>0</v>
      </c>
      <c r="Z11" s="82">
        <v>0</v>
      </c>
      <c r="AA11" s="82">
        <v>2.8347051201271198</v>
      </c>
      <c r="AB11" s="82">
        <v>0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39</v>
      </c>
      <c r="C12" s="82" t="s">
        <v>61</v>
      </c>
      <c r="D12" s="82" t="s">
        <v>25</v>
      </c>
      <c r="E12" s="82" t="s">
        <v>25</v>
      </c>
      <c r="F12" s="82" t="s">
        <v>25</v>
      </c>
      <c r="G12" s="82" t="s">
        <v>34</v>
      </c>
      <c r="H12" s="82" t="s">
        <v>99</v>
      </c>
      <c r="I12" s="82" t="s">
        <v>65</v>
      </c>
      <c r="J12" s="82">
        <v>7.79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5.6944217582463903</v>
      </c>
      <c r="U12" s="82">
        <v>1.10775286284772</v>
      </c>
      <c r="V12" s="82">
        <v>0.98567549352798201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0</v>
      </c>
      <c r="AJ12" s="82">
        <v>0</v>
      </c>
      <c r="AK12" s="82">
        <v>0</v>
      </c>
      <c r="AL12" s="82">
        <v>0</v>
      </c>
      <c r="AM12" s="82">
        <v>0</v>
      </c>
      <c r="AN12" s="82">
        <v>0</v>
      </c>
      <c r="AO12" s="82">
        <v>0</v>
      </c>
      <c r="AP12" s="82">
        <v>0</v>
      </c>
      <c r="AQ12" s="82">
        <v>0</v>
      </c>
      <c r="AR12" s="83">
        <v>0</v>
      </c>
    </row>
    <row r="13" spans="2:44" ht="12" customHeight="1" x14ac:dyDescent="0.25">
      <c r="B13" s="81" t="s">
        <v>39</v>
      </c>
      <c r="C13" s="82" t="s">
        <v>61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93</v>
      </c>
      <c r="I13" s="82" t="s">
        <v>65</v>
      </c>
      <c r="J13" s="82">
        <v>4.63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4.47232950625492</v>
      </c>
      <c r="AE13" s="82">
        <v>0.15923122324876299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39</v>
      </c>
      <c r="C14" s="82" t="s">
        <v>61</v>
      </c>
      <c r="D14" s="82" t="s">
        <v>25</v>
      </c>
      <c r="E14" s="82" t="s">
        <v>25</v>
      </c>
      <c r="F14" s="82" t="s">
        <v>25</v>
      </c>
      <c r="G14" s="82" t="s">
        <v>35</v>
      </c>
      <c r="H14" s="82" t="s">
        <v>99</v>
      </c>
      <c r="I14" s="82" t="s">
        <v>65</v>
      </c>
      <c r="J14" s="82">
        <v>7.32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5.4444404526438603</v>
      </c>
      <c r="U14" s="82">
        <v>1.08123248478295</v>
      </c>
      <c r="V14" s="82">
        <v>0.79040164795466705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39</v>
      </c>
      <c r="C15" s="82" t="s">
        <v>69</v>
      </c>
      <c r="D15" s="82" t="s">
        <v>25</v>
      </c>
      <c r="E15" s="82" t="s">
        <v>25</v>
      </c>
      <c r="F15" s="82" t="s">
        <v>25</v>
      </c>
      <c r="G15" s="82" t="s">
        <v>25</v>
      </c>
      <c r="H15" s="82" t="s">
        <v>99</v>
      </c>
      <c r="I15" s="82" t="s">
        <v>25</v>
      </c>
      <c r="J15" s="82">
        <v>13.44</v>
      </c>
      <c r="K15" s="82">
        <v>0</v>
      </c>
      <c r="L15" s="82">
        <v>0</v>
      </c>
      <c r="M15" s="82">
        <v>0.177639883864424</v>
      </c>
      <c r="N15" s="82">
        <v>6.6807035823027203E-2</v>
      </c>
      <c r="O15" s="82">
        <v>7.6100018901679098E-3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0.44296552668811101</v>
      </c>
      <c r="W15" s="82">
        <v>0</v>
      </c>
      <c r="X15" s="82">
        <v>0</v>
      </c>
      <c r="Y15" s="82">
        <v>0</v>
      </c>
      <c r="Z15" s="82">
        <v>0</v>
      </c>
      <c r="AA15" s="82">
        <v>11.3735136902074</v>
      </c>
      <c r="AB15" s="82">
        <v>0</v>
      </c>
      <c r="AC15" s="82">
        <v>0</v>
      </c>
      <c r="AD15" s="82">
        <v>1.1297925882990401</v>
      </c>
      <c r="AE15" s="82">
        <v>0.244739612068062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41</v>
      </c>
      <c r="C16" s="82" t="s">
        <v>40</v>
      </c>
      <c r="D16" s="82" t="s">
        <v>25</v>
      </c>
      <c r="E16" s="82" t="s">
        <v>25</v>
      </c>
      <c r="F16" s="82" t="s">
        <v>58</v>
      </c>
      <c r="G16" s="82" t="s">
        <v>34</v>
      </c>
      <c r="H16" s="82" t="s">
        <v>93</v>
      </c>
      <c r="I16" s="82" t="s">
        <v>25</v>
      </c>
      <c r="J16" s="82">
        <v>18.48</v>
      </c>
      <c r="K16" s="82">
        <v>0</v>
      </c>
      <c r="L16" s="82">
        <v>0</v>
      </c>
      <c r="M16" s="82">
        <v>0.779096845001089</v>
      </c>
      <c r="N16" s="82">
        <v>0.463600653707127</v>
      </c>
      <c r="O16" s="82">
        <v>2.3954432862312899E-2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10.786663672967901</v>
      </c>
      <c r="AE16" s="82">
        <v>0.38404452288622798</v>
      </c>
      <c r="AF16" s="82">
        <v>6.0461968375956197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41</v>
      </c>
      <c r="C17" s="82" t="s">
        <v>40</v>
      </c>
      <c r="D17" s="82" t="s">
        <v>25</v>
      </c>
      <c r="E17" s="82" t="s">
        <v>25</v>
      </c>
      <c r="F17" s="82" t="s">
        <v>58</v>
      </c>
      <c r="G17" s="82" t="s">
        <v>34</v>
      </c>
      <c r="H17" s="82" t="s">
        <v>99</v>
      </c>
      <c r="I17" s="82" t="s">
        <v>25</v>
      </c>
      <c r="J17" s="82">
        <v>74.09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5.1843002550865096</v>
      </c>
      <c r="U17" s="82">
        <v>1.0840065829068799</v>
      </c>
      <c r="V17" s="82">
        <v>1.2331590667949699</v>
      </c>
      <c r="W17" s="82">
        <v>0</v>
      </c>
      <c r="X17" s="82">
        <v>0</v>
      </c>
      <c r="Y17" s="82">
        <v>0</v>
      </c>
      <c r="Z17" s="82">
        <v>0</v>
      </c>
      <c r="AA17" s="82">
        <v>66.584080907678796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83">
        <v>0</v>
      </c>
    </row>
    <row r="18" spans="2:44" ht="12" customHeight="1" x14ac:dyDescent="0.25">
      <c r="B18" s="81" t="s">
        <v>41</v>
      </c>
      <c r="C18" s="82" t="s">
        <v>40</v>
      </c>
      <c r="D18" s="82" t="s">
        <v>25</v>
      </c>
      <c r="E18" s="82" t="s">
        <v>25</v>
      </c>
      <c r="F18" s="82" t="s">
        <v>58</v>
      </c>
      <c r="G18" s="82" t="s">
        <v>35</v>
      </c>
      <c r="H18" s="82" t="s">
        <v>93</v>
      </c>
      <c r="I18" s="82" t="s">
        <v>25</v>
      </c>
      <c r="J18" s="82">
        <v>18.48</v>
      </c>
      <c r="K18" s="82">
        <v>0</v>
      </c>
      <c r="L18" s="82">
        <v>0</v>
      </c>
      <c r="M18" s="82">
        <v>0.779096845001089</v>
      </c>
      <c r="N18" s="82">
        <v>0.463600653707127</v>
      </c>
      <c r="O18" s="82">
        <v>2.3954432862312899E-2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10.786663672967901</v>
      </c>
      <c r="AE18" s="82">
        <v>0.38404452288622798</v>
      </c>
      <c r="AF18" s="82">
        <v>6.0461968375956197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41</v>
      </c>
      <c r="C19" s="82" t="s">
        <v>40</v>
      </c>
      <c r="D19" s="82" t="s">
        <v>25</v>
      </c>
      <c r="E19" s="82" t="s">
        <v>25</v>
      </c>
      <c r="F19" s="82" t="s">
        <v>58</v>
      </c>
      <c r="G19" s="82" t="s">
        <v>35</v>
      </c>
      <c r="H19" s="82" t="s">
        <v>99</v>
      </c>
      <c r="I19" s="82" t="s">
        <v>25</v>
      </c>
      <c r="J19" s="82">
        <v>26.29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5.2191307417887502</v>
      </c>
      <c r="U19" s="82">
        <v>1.10508972864875</v>
      </c>
      <c r="V19" s="82">
        <v>0.91311816803224299</v>
      </c>
      <c r="W19" s="82">
        <v>0</v>
      </c>
      <c r="X19" s="82">
        <v>0</v>
      </c>
      <c r="Y19" s="82">
        <v>0</v>
      </c>
      <c r="Z19" s="82">
        <v>0</v>
      </c>
      <c r="AA19" s="82">
        <v>19.055782675970299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  <c r="AP19" s="82">
        <v>0</v>
      </c>
      <c r="AQ19" s="82">
        <v>0</v>
      </c>
      <c r="AR19" s="83">
        <v>0</v>
      </c>
    </row>
    <row r="20" spans="2:44" ht="12" customHeight="1" x14ac:dyDescent="0.25">
      <c r="B20" s="81" t="s">
        <v>41</v>
      </c>
      <c r="C20" s="82" t="s">
        <v>40</v>
      </c>
      <c r="D20" s="82" t="s">
        <v>25</v>
      </c>
      <c r="E20" s="82" t="s">
        <v>25</v>
      </c>
      <c r="F20" s="82" t="s">
        <v>25</v>
      </c>
      <c r="G20" s="82" t="s">
        <v>34</v>
      </c>
      <c r="H20" s="82" t="s">
        <v>93</v>
      </c>
      <c r="I20" s="82" t="s">
        <v>25</v>
      </c>
      <c r="J20" s="82">
        <v>67.58</v>
      </c>
      <c r="K20" s="82">
        <v>394.42</v>
      </c>
      <c r="L20" s="82">
        <v>3.5124455655596298</v>
      </c>
      <c r="M20" s="82">
        <v>0.779096845001089</v>
      </c>
      <c r="N20" s="82">
        <v>0.47845776386321398</v>
      </c>
      <c r="O20" s="82">
        <v>2.3954432862312899E-2</v>
      </c>
      <c r="P20" s="82">
        <v>0</v>
      </c>
      <c r="Q20" s="82">
        <v>30.901130695953899</v>
      </c>
      <c r="R20" s="82">
        <v>14.668516006400999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82">
        <v>10.786663672967901</v>
      </c>
      <c r="AE20" s="82">
        <v>0.38404452288622798</v>
      </c>
      <c r="AF20" s="82">
        <v>6.0461968375956197</v>
      </c>
      <c r="AG20" s="82">
        <v>0</v>
      </c>
      <c r="AH20" s="82">
        <v>3.7261581162664599</v>
      </c>
      <c r="AI20" s="82">
        <v>0</v>
      </c>
      <c r="AJ20" s="82">
        <v>2.6225748408976601</v>
      </c>
      <c r="AK20" s="82">
        <v>17.0865200824427</v>
      </c>
      <c r="AL20" s="82">
        <v>0</v>
      </c>
      <c r="AM20" s="82">
        <v>365.287654462158</v>
      </c>
      <c r="AN20" s="82">
        <v>0</v>
      </c>
      <c r="AO20" s="82">
        <v>0</v>
      </c>
      <c r="AP20" s="82">
        <v>3.8680550024624998E-13</v>
      </c>
      <c r="AQ20" s="82">
        <v>0</v>
      </c>
      <c r="AR20" s="83">
        <v>5.7005173289184601</v>
      </c>
    </row>
    <row r="21" spans="2:44" ht="12" customHeight="1" x14ac:dyDescent="0.25">
      <c r="B21" s="81" t="s">
        <v>41</v>
      </c>
      <c r="C21" s="82" t="s">
        <v>40</v>
      </c>
      <c r="D21" s="82" t="s">
        <v>25</v>
      </c>
      <c r="E21" s="82" t="s">
        <v>25</v>
      </c>
      <c r="F21" s="82" t="s">
        <v>25</v>
      </c>
      <c r="G21" s="82" t="s">
        <v>34</v>
      </c>
      <c r="H21" s="82" t="s">
        <v>99</v>
      </c>
      <c r="I21" s="82" t="s">
        <v>25</v>
      </c>
      <c r="J21" s="82">
        <v>74.09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5.1843002550865096</v>
      </c>
      <c r="U21" s="82">
        <v>1.0840065829068799</v>
      </c>
      <c r="V21" s="82">
        <v>1.2331590667949699</v>
      </c>
      <c r="W21" s="82">
        <v>0</v>
      </c>
      <c r="X21" s="82">
        <v>0</v>
      </c>
      <c r="Y21" s="82">
        <v>0</v>
      </c>
      <c r="Z21" s="82">
        <v>0</v>
      </c>
      <c r="AA21" s="82">
        <v>66.584080907678796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41</v>
      </c>
      <c r="C22" s="82" t="s">
        <v>40</v>
      </c>
      <c r="D22" s="82" t="s">
        <v>25</v>
      </c>
      <c r="E22" s="82" t="s">
        <v>25</v>
      </c>
      <c r="F22" s="82" t="s">
        <v>25</v>
      </c>
      <c r="G22" s="82" t="s">
        <v>35</v>
      </c>
      <c r="H22" s="82" t="s">
        <v>93</v>
      </c>
      <c r="I22" s="82" t="s">
        <v>25</v>
      </c>
      <c r="J22" s="82">
        <v>67.58</v>
      </c>
      <c r="K22" s="82">
        <v>241.51</v>
      </c>
      <c r="L22" s="82">
        <v>3.5124455655596298</v>
      </c>
      <c r="M22" s="82">
        <v>0.779096845001089</v>
      </c>
      <c r="N22" s="82">
        <v>0.47845776386321398</v>
      </c>
      <c r="O22" s="82">
        <v>2.3954432862312899E-2</v>
      </c>
      <c r="P22" s="82">
        <v>0</v>
      </c>
      <c r="Q22" s="82">
        <v>30.901130695953899</v>
      </c>
      <c r="R22" s="82">
        <v>14.668516006400999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10.786663672967901</v>
      </c>
      <c r="AE22" s="82">
        <v>0.38404452288622798</v>
      </c>
      <c r="AF22" s="82">
        <v>6.0461968375956197</v>
      </c>
      <c r="AG22" s="82">
        <v>0</v>
      </c>
      <c r="AH22" s="82">
        <v>3.7261581162664599</v>
      </c>
      <c r="AI22" s="82">
        <v>0</v>
      </c>
      <c r="AJ22" s="82">
        <v>2.6225748408976601</v>
      </c>
      <c r="AK22" s="82">
        <v>17.0865200824427</v>
      </c>
      <c r="AL22" s="82">
        <v>0</v>
      </c>
      <c r="AM22" s="82">
        <v>212.376543291952</v>
      </c>
      <c r="AN22" s="82">
        <v>0</v>
      </c>
      <c r="AO22" s="82">
        <v>0</v>
      </c>
      <c r="AP22" s="82">
        <v>3.8680550024624998E-13</v>
      </c>
      <c r="AQ22" s="82">
        <v>0</v>
      </c>
      <c r="AR22" s="83">
        <v>5.7005173289184601</v>
      </c>
    </row>
    <row r="23" spans="2:44" ht="12" customHeight="1" x14ac:dyDescent="0.25">
      <c r="B23" s="81" t="s">
        <v>41</v>
      </c>
      <c r="C23" s="82" t="s">
        <v>40</v>
      </c>
      <c r="D23" s="82" t="s">
        <v>25</v>
      </c>
      <c r="E23" s="82" t="s">
        <v>25</v>
      </c>
      <c r="F23" s="82" t="s">
        <v>25</v>
      </c>
      <c r="G23" s="82" t="s">
        <v>35</v>
      </c>
      <c r="H23" s="82" t="s">
        <v>99</v>
      </c>
      <c r="I23" s="82" t="s">
        <v>25</v>
      </c>
      <c r="J23" s="82">
        <v>26.29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5.2191307417887502</v>
      </c>
      <c r="U23" s="82">
        <v>1.10508972864875</v>
      </c>
      <c r="V23" s="82">
        <v>0.91311816803224299</v>
      </c>
      <c r="W23" s="82">
        <v>0</v>
      </c>
      <c r="X23" s="82">
        <v>0</v>
      </c>
      <c r="Y23" s="82">
        <v>0</v>
      </c>
      <c r="Z23" s="82">
        <v>0</v>
      </c>
      <c r="AA23" s="82">
        <v>19.055782675970299</v>
      </c>
      <c r="AB23" s="82">
        <v>0</v>
      </c>
      <c r="AC23" s="82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0</v>
      </c>
      <c r="AI23" s="82">
        <v>0</v>
      </c>
      <c r="AJ23" s="82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0</v>
      </c>
      <c r="AP23" s="82">
        <v>0</v>
      </c>
      <c r="AQ23" s="82">
        <v>0</v>
      </c>
      <c r="AR23" s="83">
        <v>0</v>
      </c>
    </row>
    <row r="24" spans="2:44" ht="12" customHeight="1" x14ac:dyDescent="0.25">
      <c r="B24" s="81" t="s">
        <v>41</v>
      </c>
      <c r="C24" s="82" t="s">
        <v>23</v>
      </c>
      <c r="D24" s="82" t="s">
        <v>25</v>
      </c>
      <c r="E24" s="82" t="s">
        <v>25</v>
      </c>
      <c r="F24" s="82" t="s">
        <v>25</v>
      </c>
      <c r="G24" s="82" t="s">
        <v>25</v>
      </c>
      <c r="H24" s="82" t="s">
        <v>93</v>
      </c>
      <c r="I24" s="82" t="s">
        <v>25</v>
      </c>
      <c r="J24" s="82">
        <v>0</v>
      </c>
      <c r="K24" s="82">
        <v>254.25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3.7261581162664599</v>
      </c>
      <c r="AI24" s="82">
        <v>0</v>
      </c>
      <c r="AJ24" s="82">
        <v>2.6225748408976601</v>
      </c>
      <c r="AK24" s="82">
        <v>17.0865200824427</v>
      </c>
      <c r="AL24" s="82">
        <v>0</v>
      </c>
      <c r="AM24" s="82">
        <v>225.11913588946999</v>
      </c>
      <c r="AN24" s="82">
        <v>0</v>
      </c>
      <c r="AO24" s="82">
        <v>0</v>
      </c>
      <c r="AP24" s="82">
        <v>3.8680550024624998E-13</v>
      </c>
      <c r="AQ24" s="82">
        <v>0</v>
      </c>
      <c r="AR24" s="83">
        <v>5.7005173289184601</v>
      </c>
    </row>
    <row r="25" spans="2:44" ht="12" customHeight="1" x14ac:dyDescent="0.25">
      <c r="B25" s="81" t="s">
        <v>41</v>
      </c>
      <c r="C25" s="82" t="s">
        <v>61</v>
      </c>
      <c r="D25" s="82" t="s">
        <v>25</v>
      </c>
      <c r="E25" s="82" t="s">
        <v>25</v>
      </c>
      <c r="F25" s="82" t="s">
        <v>25</v>
      </c>
      <c r="G25" s="82" t="s">
        <v>34</v>
      </c>
      <c r="H25" s="82" t="s">
        <v>99</v>
      </c>
      <c r="I25" s="82" t="s">
        <v>62</v>
      </c>
      <c r="J25" s="82">
        <v>33.380000000000003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5.1843002550865096</v>
      </c>
      <c r="U25" s="82">
        <v>1.0840065829068799</v>
      </c>
      <c r="V25" s="82">
        <v>1.2331590667949699</v>
      </c>
      <c r="W25" s="82">
        <v>0</v>
      </c>
      <c r="X25" s="82">
        <v>0</v>
      </c>
      <c r="Y25" s="82">
        <v>0</v>
      </c>
      <c r="Z25" s="82">
        <v>0</v>
      </c>
      <c r="AA25" s="82">
        <v>25.878708573611402</v>
      </c>
      <c r="AB25" s="82">
        <v>0</v>
      </c>
      <c r="AC25" s="82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83">
        <v>0</v>
      </c>
    </row>
    <row r="26" spans="2:44" ht="12" customHeight="1" x14ac:dyDescent="0.25">
      <c r="B26" s="81" t="s">
        <v>41</v>
      </c>
      <c r="C26" s="82" t="s">
        <v>61</v>
      </c>
      <c r="D26" s="82" t="s">
        <v>25</v>
      </c>
      <c r="E26" s="82" t="s">
        <v>25</v>
      </c>
      <c r="F26" s="82" t="s">
        <v>25</v>
      </c>
      <c r="G26" s="82" t="s">
        <v>34</v>
      </c>
      <c r="H26" s="82" t="s">
        <v>99</v>
      </c>
      <c r="I26" s="82" t="s">
        <v>68</v>
      </c>
      <c r="J26" s="82">
        <v>33.380000000000003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5.1843002550865096</v>
      </c>
      <c r="U26" s="82">
        <v>1.0840065829068799</v>
      </c>
      <c r="V26" s="82">
        <v>1.2331590667949699</v>
      </c>
      <c r="W26" s="82">
        <v>0</v>
      </c>
      <c r="X26" s="82">
        <v>0</v>
      </c>
      <c r="Y26" s="82">
        <v>0</v>
      </c>
      <c r="Z26" s="82">
        <v>0</v>
      </c>
      <c r="AA26" s="82">
        <v>25.878708573611402</v>
      </c>
      <c r="AB26" s="82">
        <v>0</v>
      </c>
      <c r="AC26" s="82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83">
        <v>0</v>
      </c>
    </row>
    <row r="27" spans="2:44" ht="12" customHeight="1" x14ac:dyDescent="0.25">
      <c r="B27" s="81" t="s">
        <v>41</v>
      </c>
      <c r="C27" s="82" t="s">
        <v>61</v>
      </c>
      <c r="D27" s="82" t="s">
        <v>25</v>
      </c>
      <c r="E27" s="82" t="s">
        <v>25</v>
      </c>
      <c r="F27" s="82" t="s">
        <v>25</v>
      </c>
      <c r="G27" s="82" t="s">
        <v>34</v>
      </c>
      <c r="H27" s="82" t="s">
        <v>99</v>
      </c>
      <c r="I27" s="82" t="s">
        <v>67</v>
      </c>
      <c r="J27" s="82">
        <v>33.380000000000003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5.1843002550865096</v>
      </c>
      <c r="U27" s="82">
        <v>1.0840065829068799</v>
      </c>
      <c r="V27" s="82">
        <v>1.2331590667949699</v>
      </c>
      <c r="W27" s="82">
        <v>0</v>
      </c>
      <c r="X27" s="82">
        <v>0</v>
      </c>
      <c r="Y27" s="82">
        <v>0</v>
      </c>
      <c r="Z27" s="82">
        <v>0</v>
      </c>
      <c r="AA27" s="82">
        <v>25.878708573611402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0</v>
      </c>
      <c r="AR27" s="83">
        <v>0</v>
      </c>
    </row>
    <row r="28" spans="2:44" ht="12" customHeight="1" x14ac:dyDescent="0.25">
      <c r="B28" s="81" t="s">
        <v>41</v>
      </c>
      <c r="C28" s="82" t="s">
        <v>61</v>
      </c>
      <c r="D28" s="82" t="s">
        <v>25</v>
      </c>
      <c r="E28" s="82" t="s">
        <v>25</v>
      </c>
      <c r="F28" s="82" t="s">
        <v>25</v>
      </c>
      <c r="G28" s="82" t="s">
        <v>34</v>
      </c>
      <c r="H28" s="82" t="s">
        <v>99</v>
      </c>
      <c r="I28" s="82" t="s">
        <v>65</v>
      </c>
      <c r="J28" s="82">
        <v>7.5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5.1843002550865096</v>
      </c>
      <c r="U28" s="82">
        <v>1.0840065829068799</v>
      </c>
      <c r="V28" s="82">
        <v>1.2331590667949699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3">
        <v>0</v>
      </c>
    </row>
    <row r="29" spans="2:44" ht="12" customHeight="1" x14ac:dyDescent="0.25">
      <c r="B29" s="81" t="s">
        <v>41</v>
      </c>
      <c r="C29" s="82" t="s">
        <v>61</v>
      </c>
      <c r="D29" s="82" t="s">
        <v>25</v>
      </c>
      <c r="E29" s="82" t="s">
        <v>25</v>
      </c>
      <c r="F29" s="82" t="s">
        <v>25</v>
      </c>
      <c r="G29" s="82" t="s">
        <v>25</v>
      </c>
      <c r="H29" s="82" t="s">
        <v>93</v>
      </c>
      <c r="I29" s="82" t="s">
        <v>62</v>
      </c>
      <c r="J29" s="82">
        <v>11.17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10.786663672967901</v>
      </c>
      <c r="AE29" s="82">
        <v>0.38404452288622798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3">
        <v>0</v>
      </c>
    </row>
    <row r="30" spans="2:44" ht="12" customHeight="1" x14ac:dyDescent="0.25">
      <c r="B30" s="81" t="s">
        <v>41</v>
      </c>
      <c r="C30" s="82" t="s">
        <v>61</v>
      </c>
      <c r="D30" s="82" t="s">
        <v>25</v>
      </c>
      <c r="E30" s="82" t="s">
        <v>25</v>
      </c>
      <c r="F30" s="82" t="s">
        <v>25</v>
      </c>
      <c r="G30" s="82" t="s">
        <v>25</v>
      </c>
      <c r="H30" s="82" t="s">
        <v>93</v>
      </c>
      <c r="I30" s="82" t="s">
        <v>68</v>
      </c>
      <c r="J30" s="82">
        <v>11.17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10.786663672967901</v>
      </c>
      <c r="AE30" s="82">
        <v>0.38404452288622798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  <c r="AP30" s="82">
        <v>0</v>
      </c>
      <c r="AQ30" s="82">
        <v>0</v>
      </c>
      <c r="AR30" s="83">
        <v>0</v>
      </c>
    </row>
    <row r="31" spans="2:44" ht="12" customHeight="1" x14ac:dyDescent="0.25">
      <c r="B31" s="81" t="s">
        <v>41</v>
      </c>
      <c r="C31" s="82" t="s">
        <v>61</v>
      </c>
      <c r="D31" s="82" t="s">
        <v>25</v>
      </c>
      <c r="E31" s="82" t="s">
        <v>25</v>
      </c>
      <c r="F31" s="82" t="s">
        <v>25</v>
      </c>
      <c r="G31" s="82" t="s">
        <v>25</v>
      </c>
      <c r="H31" s="82" t="s">
        <v>93</v>
      </c>
      <c r="I31" s="82" t="s">
        <v>67</v>
      </c>
      <c r="J31" s="82">
        <v>11.17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10.786663672967901</v>
      </c>
      <c r="AE31" s="82">
        <v>0.38404452288622798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3">
        <v>0</v>
      </c>
    </row>
    <row r="32" spans="2:44" ht="12" customHeight="1" x14ac:dyDescent="0.25">
      <c r="B32" s="81" t="s">
        <v>41</v>
      </c>
      <c r="C32" s="82" t="s">
        <v>61</v>
      </c>
      <c r="D32" s="82" t="s">
        <v>25</v>
      </c>
      <c r="E32" s="82" t="s">
        <v>25</v>
      </c>
      <c r="F32" s="82" t="s">
        <v>25</v>
      </c>
      <c r="G32" s="82" t="s">
        <v>25</v>
      </c>
      <c r="H32" s="82" t="s">
        <v>93</v>
      </c>
      <c r="I32" s="82" t="s">
        <v>65</v>
      </c>
      <c r="J32" s="82">
        <v>11.17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10.786663672967901</v>
      </c>
      <c r="AE32" s="82">
        <v>0.38404452288622798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0</v>
      </c>
      <c r="AR32" s="83">
        <v>0</v>
      </c>
    </row>
    <row r="33" spans="2:44" ht="12" customHeight="1" x14ac:dyDescent="0.25">
      <c r="B33" s="81" t="s">
        <v>41</v>
      </c>
      <c r="C33" s="82" t="s">
        <v>61</v>
      </c>
      <c r="D33" s="82" t="s">
        <v>25</v>
      </c>
      <c r="E33" s="82" t="s">
        <v>25</v>
      </c>
      <c r="F33" s="82" t="s">
        <v>25</v>
      </c>
      <c r="G33" s="82" t="s">
        <v>35</v>
      </c>
      <c r="H33" s="82" t="s">
        <v>99</v>
      </c>
      <c r="I33" s="82" t="s">
        <v>62</v>
      </c>
      <c r="J33" s="82">
        <v>14.64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5.2191307417887502</v>
      </c>
      <c r="U33" s="82">
        <v>1.10508972864875</v>
      </c>
      <c r="V33" s="82">
        <v>0.91311816803224299</v>
      </c>
      <c r="W33" s="82">
        <v>0</v>
      </c>
      <c r="X33" s="82">
        <v>0</v>
      </c>
      <c r="Y33" s="82">
        <v>0</v>
      </c>
      <c r="Z33" s="82">
        <v>0</v>
      </c>
      <c r="AA33" s="82">
        <v>7.4061789321031197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0</v>
      </c>
      <c r="AR33" s="83">
        <v>0</v>
      </c>
    </row>
    <row r="34" spans="2:44" ht="12" customHeight="1" x14ac:dyDescent="0.25">
      <c r="B34" s="81" t="s">
        <v>41</v>
      </c>
      <c r="C34" s="82" t="s">
        <v>61</v>
      </c>
      <c r="D34" s="82" t="s">
        <v>25</v>
      </c>
      <c r="E34" s="82" t="s">
        <v>25</v>
      </c>
      <c r="F34" s="82" t="s">
        <v>25</v>
      </c>
      <c r="G34" s="82" t="s">
        <v>35</v>
      </c>
      <c r="H34" s="82" t="s">
        <v>99</v>
      </c>
      <c r="I34" s="82" t="s">
        <v>68</v>
      </c>
      <c r="J34" s="82">
        <v>14.64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5.2191307417887502</v>
      </c>
      <c r="U34" s="82">
        <v>1.10508972864875</v>
      </c>
      <c r="V34" s="82">
        <v>0.91311816803224299</v>
      </c>
      <c r="W34" s="82">
        <v>0</v>
      </c>
      <c r="X34" s="82">
        <v>0</v>
      </c>
      <c r="Y34" s="82">
        <v>0</v>
      </c>
      <c r="Z34" s="82">
        <v>0</v>
      </c>
      <c r="AA34" s="82">
        <v>7.4061789321031197</v>
      </c>
      <c r="AB34" s="82">
        <v>0</v>
      </c>
      <c r="AC34" s="82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0</v>
      </c>
      <c r="AR34" s="83">
        <v>0</v>
      </c>
    </row>
    <row r="35" spans="2:44" ht="12" customHeight="1" x14ac:dyDescent="0.25">
      <c r="B35" s="81" t="s">
        <v>41</v>
      </c>
      <c r="C35" s="82" t="s">
        <v>61</v>
      </c>
      <c r="D35" s="82" t="s">
        <v>25</v>
      </c>
      <c r="E35" s="82" t="s">
        <v>25</v>
      </c>
      <c r="F35" s="82" t="s">
        <v>25</v>
      </c>
      <c r="G35" s="82" t="s">
        <v>35</v>
      </c>
      <c r="H35" s="82" t="s">
        <v>99</v>
      </c>
      <c r="I35" s="82" t="s">
        <v>67</v>
      </c>
      <c r="J35" s="82">
        <v>14.64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5.2191307417887502</v>
      </c>
      <c r="U35" s="82">
        <v>1.10508972864875</v>
      </c>
      <c r="V35" s="82">
        <v>0.91311816803224299</v>
      </c>
      <c r="W35" s="82">
        <v>0</v>
      </c>
      <c r="X35" s="82">
        <v>0</v>
      </c>
      <c r="Y35" s="82">
        <v>0</v>
      </c>
      <c r="Z35" s="82">
        <v>0</v>
      </c>
      <c r="AA35" s="82">
        <v>7.4061789321031197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0</v>
      </c>
      <c r="AR35" s="83">
        <v>0</v>
      </c>
    </row>
    <row r="36" spans="2:44" ht="12" customHeight="1" x14ac:dyDescent="0.25">
      <c r="B36" s="81" t="s">
        <v>41</v>
      </c>
      <c r="C36" s="82" t="s">
        <v>61</v>
      </c>
      <c r="D36" s="82" t="s">
        <v>25</v>
      </c>
      <c r="E36" s="82" t="s">
        <v>25</v>
      </c>
      <c r="F36" s="82" t="s">
        <v>25</v>
      </c>
      <c r="G36" s="82" t="s">
        <v>35</v>
      </c>
      <c r="H36" s="82" t="s">
        <v>99</v>
      </c>
      <c r="I36" s="82" t="s">
        <v>65</v>
      </c>
      <c r="J36" s="82">
        <v>7.24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5.2191307417887502</v>
      </c>
      <c r="U36" s="82">
        <v>1.10508972864875</v>
      </c>
      <c r="V36" s="82">
        <v>0.91311816803224299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0</v>
      </c>
      <c r="AR36" s="83">
        <v>0</v>
      </c>
    </row>
    <row r="37" spans="2:44" ht="12" customHeight="1" x14ac:dyDescent="0.25">
      <c r="B37" s="81" t="s">
        <v>41</v>
      </c>
      <c r="C37" s="82" t="s">
        <v>69</v>
      </c>
      <c r="D37" s="82" t="s">
        <v>25</v>
      </c>
      <c r="E37" s="82" t="s">
        <v>25</v>
      </c>
      <c r="F37" s="82" t="s">
        <v>25</v>
      </c>
      <c r="G37" s="82" t="s">
        <v>25</v>
      </c>
      <c r="H37" s="82" t="s">
        <v>99</v>
      </c>
      <c r="I37" s="82" t="s">
        <v>25</v>
      </c>
      <c r="J37" s="82">
        <v>14.72</v>
      </c>
      <c r="K37" s="82">
        <v>0</v>
      </c>
      <c r="L37" s="82">
        <v>0</v>
      </c>
      <c r="M37" s="82">
        <v>3.5158520806531299E-2</v>
      </c>
      <c r="N37" s="82">
        <v>0.132079709287615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14.5553450384763</v>
      </c>
      <c r="AB37" s="82">
        <v>0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>
        <v>0</v>
      </c>
      <c r="AR37" s="83">
        <v>0</v>
      </c>
    </row>
    <row r="38" spans="2:44" ht="12" customHeight="1" x14ac:dyDescent="0.25">
      <c r="B38" s="81" t="s">
        <v>41</v>
      </c>
      <c r="C38" s="82" t="s">
        <v>42</v>
      </c>
      <c r="D38" s="82" t="s">
        <v>25</v>
      </c>
      <c r="E38" s="82" t="s">
        <v>25</v>
      </c>
      <c r="F38" s="82" t="s">
        <v>58</v>
      </c>
      <c r="G38" s="82" t="s">
        <v>34</v>
      </c>
      <c r="H38" s="82" t="s">
        <v>93</v>
      </c>
      <c r="I38" s="82" t="s">
        <v>25</v>
      </c>
      <c r="J38" s="82">
        <v>1816.87</v>
      </c>
      <c r="K38" s="82">
        <v>0</v>
      </c>
      <c r="L38" s="82">
        <v>0</v>
      </c>
      <c r="M38" s="82">
        <v>0.779096845001089</v>
      </c>
      <c r="N38" s="82">
        <v>17.092263710539999</v>
      </c>
      <c r="O38" s="82">
        <v>2.3954432862312899E-2</v>
      </c>
      <c r="P38" s="82">
        <v>0</v>
      </c>
      <c r="Q38" s="82">
        <v>0</v>
      </c>
      <c r="R38" s="82">
        <v>0</v>
      </c>
      <c r="S38" s="82">
        <v>0</v>
      </c>
      <c r="T38" s="82">
        <v>124.68395101558301</v>
      </c>
      <c r="U38" s="82">
        <v>26.0691987458946</v>
      </c>
      <c r="V38" s="82">
        <v>29.659384129546201</v>
      </c>
      <c r="W38" s="82">
        <v>0</v>
      </c>
      <c r="X38" s="82">
        <v>0</v>
      </c>
      <c r="Y38" s="82">
        <v>0</v>
      </c>
      <c r="Z38" s="82">
        <v>0</v>
      </c>
      <c r="AA38" s="82">
        <v>1601.3495712546201</v>
      </c>
      <c r="AB38" s="82">
        <v>0</v>
      </c>
      <c r="AC38" s="82">
        <v>0</v>
      </c>
      <c r="AD38" s="82">
        <v>10.786663672967901</v>
      </c>
      <c r="AE38" s="82">
        <v>0.38404452288622798</v>
      </c>
      <c r="AF38" s="82">
        <v>6.0461968375956197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0</v>
      </c>
      <c r="AQ38" s="82">
        <v>0</v>
      </c>
      <c r="AR38" s="83">
        <v>0</v>
      </c>
    </row>
    <row r="39" spans="2:44" ht="12" customHeight="1" x14ac:dyDescent="0.25">
      <c r="B39" s="81" t="s">
        <v>41</v>
      </c>
      <c r="C39" s="82" t="s">
        <v>42</v>
      </c>
      <c r="D39" s="82" t="s">
        <v>25</v>
      </c>
      <c r="E39" s="82" t="s">
        <v>25</v>
      </c>
      <c r="F39" s="82" t="s">
        <v>58</v>
      </c>
      <c r="G39" s="82" t="s">
        <v>25</v>
      </c>
      <c r="H39" s="82" t="s">
        <v>99</v>
      </c>
      <c r="I39" s="82" t="s">
        <v>25</v>
      </c>
      <c r="J39" s="82">
        <v>26.29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5.2191307417887502</v>
      </c>
      <c r="U39" s="82">
        <v>1.10508972864875</v>
      </c>
      <c r="V39" s="82">
        <v>0.91311816803224299</v>
      </c>
      <c r="W39" s="82">
        <v>0</v>
      </c>
      <c r="X39" s="82">
        <v>0</v>
      </c>
      <c r="Y39" s="82">
        <v>0</v>
      </c>
      <c r="Z39" s="82">
        <v>0</v>
      </c>
      <c r="AA39" s="82">
        <v>19.055782675970299</v>
      </c>
      <c r="AB39" s="82">
        <v>0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82">
        <v>0</v>
      </c>
      <c r="AL39" s="82">
        <v>0</v>
      </c>
      <c r="AM39" s="82">
        <v>0</v>
      </c>
      <c r="AN39" s="82">
        <v>0</v>
      </c>
      <c r="AO39" s="82">
        <v>0</v>
      </c>
      <c r="AP39" s="82">
        <v>0</v>
      </c>
      <c r="AQ39" s="82">
        <v>0</v>
      </c>
      <c r="AR39" s="83">
        <v>0</v>
      </c>
    </row>
    <row r="40" spans="2:44" ht="12" customHeight="1" x14ac:dyDescent="0.25">
      <c r="B40" s="81" t="s">
        <v>41</v>
      </c>
      <c r="C40" s="82" t="s">
        <v>42</v>
      </c>
      <c r="D40" s="82" t="s">
        <v>25</v>
      </c>
      <c r="E40" s="82" t="s">
        <v>25</v>
      </c>
      <c r="F40" s="82" t="s">
        <v>58</v>
      </c>
      <c r="G40" s="82" t="s">
        <v>35</v>
      </c>
      <c r="H40" s="82" t="s">
        <v>93</v>
      </c>
      <c r="I40" s="82" t="s">
        <v>25</v>
      </c>
      <c r="J40" s="82">
        <v>18.48</v>
      </c>
      <c r="K40" s="82">
        <v>0</v>
      </c>
      <c r="L40" s="82">
        <v>0</v>
      </c>
      <c r="M40" s="82">
        <v>0.779096845001089</v>
      </c>
      <c r="N40" s="82">
        <v>0.463600653707127</v>
      </c>
      <c r="O40" s="82">
        <v>2.3954432862312899E-2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0</v>
      </c>
      <c r="AB40" s="82">
        <v>0</v>
      </c>
      <c r="AC40" s="82">
        <v>0</v>
      </c>
      <c r="AD40" s="82">
        <v>10.786663672967901</v>
      </c>
      <c r="AE40" s="82">
        <v>0.38404452288622798</v>
      </c>
      <c r="AF40" s="82">
        <v>6.0461968375956197</v>
      </c>
      <c r="AG40" s="82">
        <v>0</v>
      </c>
      <c r="AH40" s="82">
        <v>0</v>
      </c>
      <c r="AI40" s="82">
        <v>0</v>
      </c>
      <c r="AJ40" s="82">
        <v>0</v>
      </c>
      <c r="AK40" s="82">
        <v>0</v>
      </c>
      <c r="AL40" s="82">
        <v>0</v>
      </c>
      <c r="AM40" s="82">
        <v>0</v>
      </c>
      <c r="AN40" s="82">
        <v>0</v>
      </c>
      <c r="AO40" s="82">
        <v>0</v>
      </c>
      <c r="AP40" s="82">
        <v>0</v>
      </c>
      <c r="AQ40" s="82">
        <v>0</v>
      </c>
      <c r="AR40" s="83">
        <v>0</v>
      </c>
    </row>
    <row r="41" spans="2:44" ht="12" customHeight="1" x14ac:dyDescent="0.25">
      <c r="B41" s="81" t="s">
        <v>41</v>
      </c>
      <c r="C41" s="82" t="s">
        <v>42</v>
      </c>
      <c r="D41" s="82" t="s">
        <v>25</v>
      </c>
      <c r="E41" s="82" t="s">
        <v>25</v>
      </c>
      <c r="F41" s="82" t="s">
        <v>25</v>
      </c>
      <c r="G41" s="82" t="s">
        <v>34</v>
      </c>
      <c r="H41" s="82" t="s">
        <v>93</v>
      </c>
      <c r="I41" s="82" t="s">
        <v>25</v>
      </c>
      <c r="J41" s="82">
        <v>1865.97</v>
      </c>
      <c r="K41" s="82">
        <v>394.42</v>
      </c>
      <c r="L41" s="82">
        <v>3.5124455655596298</v>
      </c>
      <c r="M41" s="82">
        <v>0.779096845001089</v>
      </c>
      <c r="N41" s="82">
        <v>17.1071208206961</v>
      </c>
      <c r="O41" s="82">
        <v>2.3954432862312899E-2</v>
      </c>
      <c r="P41" s="82">
        <v>0</v>
      </c>
      <c r="Q41" s="82">
        <v>30.901130695953899</v>
      </c>
      <c r="R41" s="82">
        <v>14.668516006400999</v>
      </c>
      <c r="S41" s="82">
        <v>0</v>
      </c>
      <c r="T41" s="82">
        <v>124.68395101558301</v>
      </c>
      <c r="U41" s="82">
        <v>26.0691987458946</v>
      </c>
      <c r="V41" s="82">
        <v>29.659384129546201</v>
      </c>
      <c r="W41" s="82">
        <v>0</v>
      </c>
      <c r="X41" s="82">
        <v>0</v>
      </c>
      <c r="Y41" s="82">
        <v>0</v>
      </c>
      <c r="Z41" s="82">
        <v>0</v>
      </c>
      <c r="AA41" s="82">
        <v>1601.3495712546201</v>
      </c>
      <c r="AB41" s="82">
        <v>0</v>
      </c>
      <c r="AC41" s="82">
        <v>0</v>
      </c>
      <c r="AD41" s="82">
        <v>10.786663672967901</v>
      </c>
      <c r="AE41" s="82">
        <v>0.38404452288622798</v>
      </c>
      <c r="AF41" s="82">
        <v>6.0461968375956197</v>
      </c>
      <c r="AG41" s="82">
        <v>0</v>
      </c>
      <c r="AH41" s="82">
        <v>3.7261581162664599</v>
      </c>
      <c r="AI41" s="82">
        <v>0</v>
      </c>
      <c r="AJ41" s="82">
        <v>2.6225748408976601</v>
      </c>
      <c r="AK41" s="82">
        <v>17.0865200824427</v>
      </c>
      <c r="AL41" s="82">
        <v>0</v>
      </c>
      <c r="AM41" s="82">
        <v>365.287654462158</v>
      </c>
      <c r="AN41" s="82">
        <v>0</v>
      </c>
      <c r="AO41" s="82">
        <v>0</v>
      </c>
      <c r="AP41" s="82">
        <v>3.8680550024624998E-13</v>
      </c>
      <c r="AQ41" s="82">
        <v>0</v>
      </c>
      <c r="AR41" s="83">
        <v>5.7005173289184601</v>
      </c>
    </row>
    <row r="42" spans="2:44" ht="12" customHeight="1" x14ac:dyDescent="0.25">
      <c r="B42" s="81" t="s">
        <v>41</v>
      </c>
      <c r="C42" s="82" t="s">
        <v>42</v>
      </c>
      <c r="D42" s="82" t="s">
        <v>25</v>
      </c>
      <c r="E42" s="82" t="s">
        <v>25</v>
      </c>
      <c r="F42" s="82" t="s">
        <v>25</v>
      </c>
      <c r="G42" s="82" t="s">
        <v>25</v>
      </c>
      <c r="H42" s="82" t="s">
        <v>99</v>
      </c>
      <c r="I42" s="82" t="s">
        <v>25</v>
      </c>
      <c r="J42" s="82">
        <v>26.29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5.2191307417887502</v>
      </c>
      <c r="U42" s="82">
        <v>1.10508972864875</v>
      </c>
      <c r="V42" s="82">
        <v>0.91311816803224299</v>
      </c>
      <c r="W42" s="82">
        <v>0</v>
      </c>
      <c r="X42" s="82">
        <v>0</v>
      </c>
      <c r="Y42" s="82">
        <v>0</v>
      </c>
      <c r="Z42" s="82">
        <v>0</v>
      </c>
      <c r="AA42" s="82">
        <v>19.055782675970299</v>
      </c>
      <c r="AB42" s="82">
        <v>0</v>
      </c>
      <c r="AC42" s="82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  <c r="AN42" s="82">
        <v>0</v>
      </c>
      <c r="AO42" s="82">
        <v>0</v>
      </c>
      <c r="AP42" s="82">
        <v>0</v>
      </c>
      <c r="AQ42" s="82">
        <v>0</v>
      </c>
      <c r="AR42" s="83">
        <v>0</v>
      </c>
    </row>
    <row r="43" spans="2:44" ht="12" customHeight="1" x14ac:dyDescent="0.25">
      <c r="B43" s="81" t="s">
        <v>41</v>
      </c>
      <c r="C43" s="82" t="s">
        <v>42</v>
      </c>
      <c r="D43" s="82" t="s">
        <v>25</v>
      </c>
      <c r="E43" s="82" t="s">
        <v>25</v>
      </c>
      <c r="F43" s="82" t="s">
        <v>25</v>
      </c>
      <c r="G43" s="82" t="s">
        <v>35</v>
      </c>
      <c r="H43" s="82" t="s">
        <v>93</v>
      </c>
      <c r="I43" s="82" t="s">
        <v>25</v>
      </c>
      <c r="J43" s="82">
        <v>67.58</v>
      </c>
      <c r="K43" s="82">
        <v>241.51</v>
      </c>
      <c r="L43" s="82">
        <v>3.5124455655596298</v>
      </c>
      <c r="M43" s="82">
        <v>0.779096845001089</v>
      </c>
      <c r="N43" s="82">
        <v>0.47845776386321398</v>
      </c>
      <c r="O43" s="82">
        <v>2.3954432862312899E-2</v>
      </c>
      <c r="P43" s="82">
        <v>0</v>
      </c>
      <c r="Q43" s="82">
        <v>30.901130695953899</v>
      </c>
      <c r="R43" s="82">
        <v>14.668516006400999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10.786663672967901</v>
      </c>
      <c r="AE43" s="82">
        <v>0.38404452288622798</v>
      </c>
      <c r="AF43" s="82">
        <v>6.0461968375956197</v>
      </c>
      <c r="AG43" s="82">
        <v>0</v>
      </c>
      <c r="AH43" s="82">
        <v>3.7261581162664599</v>
      </c>
      <c r="AI43" s="82">
        <v>0</v>
      </c>
      <c r="AJ43" s="82">
        <v>2.6225748408976601</v>
      </c>
      <c r="AK43" s="82">
        <v>17.0865200824427</v>
      </c>
      <c r="AL43" s="82">
        <v>0</v>
      </c>
      <c r="AM43" s="82">
        <v>212.376543291952</v>
      </c>
      <c r="AN43" s="82">
        <v>0</v>
      </c>
      <c r="AO43" s="82">
        <v>0</v>
      </c>
      <c r="AP43" s="82">
        <v>3.8680550024624998E-13</v>
      </c>
      <c r="AQ43" s="82">
        <v>0</v>
      </c>
      <c r="AR43" s="83">
        <v>5.7005173289184601</v>
      </c>
    </row>
    <row r="44" spans="2:44" ht="12" customHeight="1" x14ac:dyDescent="0.25">
      <c r="B44" s="81" t="s">
        <v>104</v>
      </c>
      <c r="C44" s="82" t="s">
        <v>69</v>
      </c>
      <c r="D44" s="82" t="s">
        <v>25</v>
      </c>
      <c r="E44" s="82" t="s">
        <v>25</v>
      </c>
      <c r="F44" s="82" t="s">
        <v>105</v>
      </c>
      <c r="G44" s="82" t="s">
        <v>25</v>
      </c>
      <c r="H44" s="82" t="s">
        <v>99</v>
      </c>
      <c r="I44" s="82" t="s">
        <v>25</v>
      </c>
      <c r="J44" s="82">
        <v>7.21</v>
      </c>
      <c r="K44" s="82">
        <v>0</v>
      </c>
      <c r="L44" s="82">
        <v>0</v>
      </c>
      <c r="M44" s="82">
        <v>1.71819889817229E-2</v>
      </c>
      <c r="N44" s="82">
        <v>6.4628429178978999E-2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7.1322292406980603</v>
      </c>
      <c r="AB44" s="82">
        <v>0</v>
      </c>
      <c r="AC44" s="82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  <c r="AN44" s="82">
        <v>0</v>
      </c>
      <c r="AO44" s="82">
        <v>0</v>
      </c>
      <c r="AP44" s="82">
        <v>0</v>
      </c>
      <c r="AQ44" s="82">
        <v>0</v>
      </c>
      <c r="AR44" s="83">
        <v>0</v>
      </c>
    </row>
    <row r="45" spans="2:44" ht="12" customHeight="1" x14ac:dyDescent="0.25">
      <c r="B45" s="81" t="s">
        <v>104</v>
      </c>
      <c r="C45" s="82" t="s">
        <v>69</v>
      </c>
      <c r="D45" s="82" t="s">
        <v>25</v>
      </c>
      <c r="E45" s="82" t="s">
        <v>25</v>
      </c>
      <c r="F45" s="82" t="s">
        <v>106</v>
      </c>
      <c r="G45" s="82" t="s">
        <v>25</v>
      </c>
      <c r="H45" s="82" t="s">
        <v>99</v>
      </c>
      <c r="I45" s="82" t="s">
        <v>25</v>
      </c>
      <c r="J45" s="82">
        <v>21.62</v>
      </c>
      <c r="K45" s="82">
        <v>0</v>
      </c>
      <c r="L45" s="82">
        <v>0</v>
      </c>
      <c r="M45" s="82">
        <v>1.71819889817229E-2</v>
      </c>
      <c r="N45" s="82">
        <v>6.4628429178978999E-2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21.537937893112801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>
        <v>0</v>
      </c>
      <c r="AR45" s="83">
        <v>0</v>
      </c>
    </row>
    <row r="46" spans="2:44" ht="12" customHeight="1" x14ac:dyDescent="0.25">
      <c r="B46" s="81" t="s">
        <v>22</v>
      </c>
      <c r="C46" s="82" t="s">
        <v>33</v>
      </c>
      <c r="D46" s="82" t="s">
        <v>24</v>
      </c>
      <c r="E46" s="82" t="s">
        <v>24</v>
      </c>
      <c r="F46" s="82" t="s">
        <v>25</v>
      </c>
      <c r="G46" s="82" t="s">
        <v>34</v>
      </c>
      <c r="H46" s="82" t="s">
        <v>93</v>
      </c>
      <c r="I46" s="82" t="s">
        <v>25</v>
      </c>
      <c r="J46" s="82">
        <v>1073.71</v>
      </c>
      <c r="K46" s="82">
        <v>394.42</v>
      </c>
      <c r="L46" s="82">
        <v>4.1814828161424202</v>
      </c>
      <c r="M46" s="82">
        <v>1.1909995636433099</v>
      </c>
      <c r="N46" s="82">
        <v>9.9821893538170805</v>
      </c>
      <c r="O46" s="82">
        <v>2.3954432862312899E-2</v>
      </c>
      <c r="P46" s="82">
        <v>0</v>
      </c>
      <c r="Q46" s="82">
        <v>36.787060352326101</v>
      </c>
      <c r="R46" s="82">
        <v>14.668516006400999</v>
      </c>
      <c r="S46" s="82">
        <v>0</v>
      </c>
      <c r="T46" s="82">
        <v>63.241642141742901</v>
      </c>
      <c r="U46" s="82">
        <v>13.5566846398709</v>
      </c>
      <c r="V46" s="82">
        <v>13.746300781800301</v>
      </c>
      <c r="W46" s="82">
        <v>0</v>
      </c>
      <c r="X46" s="82">
        <v>0</v>
      </c>
      <c r="Y46" s="82">
        <v>0</v>
      </c>
      <c r="Z46" s="82">
        <v>0</v>
      </c>
      <c r="AA46" s="82">
        <v>880.212033411275</v>
      </c>
      <c r="AB46" s="82">
        <v>0</v>
      </c>
      <c r="AC46" s="82">
        <v>0</v>
      </c>
      <c r="AD46" s="82">
        <v>27.085131889367599</v>
      </c>
      <c r="AE46" s="82">
        <v>0.96432936718241802</v>
      </c>
      <c r="AF46" s="82">
        <v>8.0710610220912997</v>
      </c>
      <c r="AG46" s="82">
        <v>0</v>
      </c>
      <c r="AH46" s="82">
        <v>3.7261581162664599</v>
      </c>
      <c r="AI46" s="82">
        <v>0</v>
      </c>
      <c r="AJ46" s="82">
        <v>2.6225748408976601</v>
      </c>
      <c r="AK46" s="82">
        <v>17.0865200824427</v>
      </c>
      <c r="AL46" s="82">
        <v>0</v>
      </c>
      <c r="AM46" s="82">
        <v>365.287654462158</v>
      </c>
      <c r="AN46" s="82">
        <v>0</v>
      </c>
      <c r="AO46" s="82">
        <v>0</v>
      </c>
      <c r="AP46" s="82">
        <v>3.8680550024624998E-13</v>
      </c>
      <c r="AQ46" s="82">
        <v>0</v>
      </c>
      <c r="AR46" s="83">
        <v>5.7005173289184601</v>
      </c>
    </row>
    <row r="47" spans="2:44" ht="12" customHeight="1" x14ac:dyDescent="0.25">
      <c r="B47" s="81" t="s">
        <v>22</v>
      </c>
      <c r="C47" s="82" t="s">
        <v>33</v>
      </c>
      <c r="D47" s="82" t="s">
        <v>24</v>
      </c>
      <c r="E47" s="82" t="s">
        <v>24</v>
      </c>
      <c r="F47" s="82" t="s">
        <v>25</v>
      </c>
      <c r="G47" s="82" t="s">
        <v>36</v>
      </c>
      <c r="H47" s="82" t="s">
        <v>93</v>
      </c>
      <c r="I47" s="82" t="s">
        <v>25</v>
      </c>
      <c r="J47" s="82">
        <v>681.79</v>
      </c>
      <c r="K47" s="82">
        <v>241.51</v>
      </c>
      <c r="L47" s="82">
        <v>4.1814828161424202</v>
      </c>
      <c r="M47" s="82">
        <v>1.1909995636433099</v>
      </c>
      <c r="N47" s="82">
        <v>6.3658691991874301</v>
      </c>
      <c r="O47" s="82">
        <v>2.3954432862312899E-2</v>
      </c>
      <c r="P47" s="82">
        <v>0</v>
      </c>
      <c r="Q47" s="82">
        <v>36.787060352326101</v>
      </c>
      <c r="R47" s="82">
        <v>14.668516006400999</v>
      </c>
      <c r="S47" s="82">
        <v>0</v>
      </c>
      <c r="T47" s="82">
        <v>37.945033660721698</v>
      </c>
      <c r="U47" s="82">
        <v>8.1339885911375802</v>
      </c>
      <c r="V47" s="82">
        <v>8.2478751090699607</v>
      </c>
      <c r="W47" s="82">
        <v>0</v>
      </c>
      <c r="X47" s="82">
        <v>0</v>
      </c>
      <c r="Y47" s="82">
        <v>0</v>
      </c>
      <c r="Z47" s="82">
        <v>0</v>
      </c>
      <c r="AA47" s="82">
        <v>528.12731870811797</v>
      </c>
      <c r="AB47" s="82">
        <v>0</v>
      </c>
      <c r="AC47" s="82">
        <v>0</v>
      </c>
      <c r="AD47" s="82">
        <v>27.085131889367599</v>
      </c>
      <c r="AE47" s="82">
        <v>0.96432936718241802</v>
      </c>
      <c r="AF47" s="82">
        <v>8.0710610220912997</v>
      </c>
      <c r="AG47" s="82">
        <v>0</v>
      </c>
      <c r="AH47" s="82">
        <v>3.7261581162664599</v>
      </c>
      <c r="AI47" s="82">
        <v>0</v>
      </c>
      <c r="AJ47" s="82">
        <v>2.6225748408976601</v>
      </c>
      <c r="AK47" s="82">
        <v>17.0865200824427</v>
      </c>
      <c r="AL47" s="82">
        <v>0</v>
      </c>
      <c r="AM47" s="82">
        <v>212.376543291952</v>
      </c>
      <c r="AN47" s="82">
        <v>0</v>
      </c>
      <c r="AO47" s="82">
        <v>0</v>
      </c>
      <c r="AP47" s="82">
        <v>3.8680550024624998E-13</v>
      </c>
      <c r="AQ47" s="82">
        <v>0</v>
      </c>
      <c r="AR47" s="83">
        <v>5.7005173289184601</v>
      </c>
    </row>
    <row r="48" spans="2:44" ht="12" customHeight="1" x14ac:dyDescent="0.25">
      <c r="B48" s="81" t="s">
        <v>22</v>
      </c>
      <c r="C48" s="82" t="s">
        <v>33</v>
      </c>
      <c r="D48" s="82" t="s">
        <v>24</v>
      </c>
      <c r="E48" s="82" t="s">
        <v>24</v>
      </c>
      <c r="F48" s="82" t="s">
        <v>25</v>
      </c>
      <c r="G48" s="82" t="s">
        <v>35</v>
      </c>
      <c r="H48" s="82" t="s">
        <v>93</v>
      </c>
      <c r="I48" s="82" t="s">
        <v>25</v>
      </c>
      <c r="J48" s="82">
        <v>289.87</v>
      </c>
      <c r="K48" s="82">
        <v>241.51</v>
      </c>
      <c r="L48" s="82">
        <v>4.1814828161424202</v>
      </c>
      <c r="M48" s="82">
        <v>1.1909995636433099</v>
      </c>
      <c r="N48" s="82">
        <v>2.74954458742473</v>
      </c>
      <c r="O48" s="82">
        <v>2.3954432862312899E-2</v>
      </c>
      <c r="P48" s="82">
        <v>0</v>
      </c>
      <c r="Q48" s="82">
        <v>36.787060352326101</v>
      </c>
      <c r="R48" s="82">
        <v>14.668516006400999</v>
      </c>
      <c r="S48" s="82">
        <v>0</v>
      </c>
      <c r="T48" s="82">
        <v>12.648304240510599</v>
      </c>
      <c r="U48" s="82">
        <v>2.7112925424042098</v>
      </c>
      <c r="V48" s="82">
        <v>2.7492917030233199</v>
      </c>
      <c r="W48" s="82">
        <v>0</v>
      </c>
      <c r="X48" s="82">
        <v>0</v>
      </c>
      <c r="Y48" s="82">
        <v>0</v>
      </c>
      <c r="Z48" s="82">
        <v>0</v>
      </c>
      <c r="AA48" s="82">
        <v>176.04243956937299</v>
      </c>
      <c r="AB48" s="82">
        <v>0</v>
      </c>
      <c r="AC48" s="82">
        <v>0</v>
      </c>
      <c r="AD48" s="82">
        <v>27.085131889367599</v>
      </c>
      <c r="AE48" s="82">
        <v>0.96432936718241802</v>
      </c>
      <c r="AF48" s="82">
        <v>8.0710610220912997</v>
      </c>
      <c r="AG48" s="82">
        <v>0</v>
      </c>
      <c r="AH48" s="82">
        <v>3.7261581162664599</v>
      </c>
      <c r="AI48" s="82">
        <v>0</v>
      </c>
      <c r="AJ48" s="82">
        <v>2.6225748408976601</v>
      </c>
      <c r="AK48" s="82">
        <v>17.0865200824427</v>
      </c>
      <c r="AL48" s="82">
        <v>0</v>
      </c>
      <c r="AM48" s="82">
        <v>212.376543291952</v>
      </c>
      <c r="AN48" s="82">
        <v>0</v>
      </c>
      <c r="AO48" s="82">
        <v>0</v>
      </c>
      <c r="AP48" s="82">
        <v>3.8680550024624998E-13</v>
      </c>
      <c r="AQ48" s="82">
        <v>0</v>
      </c>
      <c r="AR48" s="83">
        <v>5.7005173289184601</v>
      </c>
    </row>
    <row r="49" spans="2:44" ht="12" customHeight="1" x14ac:dyDescent="0.25">
      <c r="B49" s="81" t="s">
        <v>22</v>
      </c>
      <c r="C49" s="82" t="s">
        <v>23</v>
      </c>
      <c r="D49" s="82" t="s">
        <v>24</v>
      </c>
      <c r="E49" s="82" t="s">
        <v>1618</v>
      </c>
      <c r="F49" s="82" t="s">
        <v>25</v>
      </c>
      <c r="G49" s="82" t="s">
        <v>25</v>
      </c>
      <c r="H49" s="82" t="s">
        <v>93</v>
      </c>
      <c r="I49" s="82" t="s">
        <v>25</v>
      </c>
      <c r="J49" s="82">
        <v>364.86</v>
      </c>
      <c r="K49" s="82">
        <v>254.25</v>
      </c>
      <c r="L49" s="82">
        <v>0</v>
      </c>
      <c r="M49" s="82">
        <v>1.1909995636433099</v>
      </c>
      <c r="N49" s="82">
        <v>3.9401295097598799</v>
      </c>
      <c r="O49" s="82">
        <v>2.3954432862312899E-2</v>
      </c>
      <c r="P49" s="82">
        <v>0</v>
      </c>
      <c r="Q49" s="82">
        <v>0</v>
      </c>
      <c r="R49" s="82">
        <v>0</v>
      </c>
      <c r="S49" s="82">
        <v>0</v>
      </c>
      <c r="T49" s="82">
        <v>21.080547380580999</v>
      </c>
      <c r="U49" s="82">
        <v>4.5188948799569797</v>
      </c>
      <c r="V49" s="82">
        <v>4.5821528383721999</v>
      </c>
      <c r="W49" s="82">
        <v>0</v>
      </c>
      <c r="X49" s="82">
        <v>0</v>
      </c>
      <c r="Y49" s="82">
        <v>0</v>
      </c>
      <c r="Z49" s="82">
        <v>0</v>
      </c>
      <c r="AA49" s="82">
        <v>293.40406594895501</v>
      </c>
      <c r="AB49" s="82">
        <v>0</v>
      </c>
      <c r="AC49" s="82">
        <v>0</v>
      </c>
      <c r="AD49" s="82">
        <v>27.085131889367599</v>
      </c>
      <c r="AE49" s="82">
        <v>0.96432936718241802</v>
      </c>
      <c r="AF49" s="82">
        <v>8.0710610220912997</v>
      </c>
      <c r="AG49" s="82">
        <v>0</v>
      </c>
      <c r="AH49" s="82">
        <v>3.7261581162664599</v>
      </c>
      <c r="AI49" s="82">
        <v>0</v>
      </c>
      <c r="AJ49" s="82">
        <v>2.6225748408976601</v>
      </c>
      <c r="AK49" s="82">
        <v>17.0865200824427</v>
      </c>
      <c r="AL49" s="82">
        <v>0</v>
      </c>
      <c r="AM49" s="82">
        <v>225.11913588946999</v>
      </c>
      <c r="AN49" s="82">
        <v>0</v>
      </c>
      <c r="AO49" s="82">
        <v>0</v>
      </c>
      <c r="AP49" s="82">
        <v>3.8680550024624998E-13</v>
      </c>
      <c r="AQ49" s="82">
        <v>0</v>
      </c>
      <c r="AR49" s="83">
        <v>5.7005173289184601</v>
      </c>
    </row>
    <row r="50" spans="2:44" ht="12" customHeight="1" x14ac:dyDescent="0.25">
      <c r="B50" s="81" t="s">
        <v>22</v>
      </c>
      <c r="C50" s="82" t="s">
        <v>23</v>
      </c>
      <c r="D50" s="82" t="s">
        <v>24</v>
      </c>
      <c r="E50" s="82" t="s">
        <v>24</v>
      </c>
      <c r="F50" s="82" t="s">
        <v>25</v>
      </c>
      <c r="G50" s="82" t="s">
        <v>25</v>
      </c>
      <c r="H50" s="82" t="s">
        <v>93</v>
      </c>
      <c r="I50" s="82" t="s">
        <v>25</v>
      </c>
      <c r="J50" s="82">
        <v>420.51</v>
      </c>
      <c r="K50" s="82">
        <v>254.25</v>
      </c>
      <c r="L50" s="82">
        <v>4.1814828161424202</v>
      </c>
      <c r="M50" s="82">
        <v>1.1909995636433099</v>
      </c>
      <c r="N50" s="82">
        <v>3.95498661991597</v>
      </c>
      <c r="O50" s="82">
        <v>2.3954432862312899E-2</v>
      </c>
      <c r="P50" s="82">
        <v>0</v>
      </c>
      <c r="Q50" s="82">
        <v>36.787060352326101</v>
      </c>
      <c r="R50" s="82">
        <v>14.668516006400999</v>
      </c>
      <c r="S50" s="82">
        <v>0</v>
      </c>
      <c r="T50" s="82">
        <v>21.080547380580999</v>
      </c>
      <c r="U50" s="82">
        <v>4.5188948799569797</v>
      </c>
      <c r="V50" s="82">
        <v>4.5821528383721999</v>
      </c>
      <c r="W50" s="82">
        <v>0</v>
      </c>
      <c r="X50" s="82">
        <v>0</v>
      </c>
      <c r="Y50" s="82">
        <v>0</v>
      </c>
      <c r="Z50" s="82">
        <v>0</v>
      </c>
      <c r="AA50" s="82">
        <v>293.40406594895501</v>
      </c>
      <c r="AB50" s="82">
        <v>0</v>
      </c>
      <c r="AC50" s="82">
        <v>0</v>
      </c>
      <c r="AD50" s="82">
        <v>27.085131889367599</v>
      </c>
      <c r="AE50" s="82">
        <v>0.96432936718241802</v>
      </c>
      <c r="AF50" s="82">
        <v>8.0710610220912997</v>
      </c>
      <c r="AG50" s="82">
        <v>0</v>
      </c>
      <c r="AH50" s="82">
        <v>3.7261581162664599</v>
      </c>
      <c r="AI50" s="82">
        <v>0</v>
      </c>
      <c r="AJ50" s="82">
        <v>2.6225748408976601</v>
      </c>
      <c r="AK50" s="82">
        <v>17.0865200824427</v>
      </c>
      <c r="AL50" s="82">
        <v>0</v>
      </c>
      <c r="AM50" s="82">
        <v>225.11913588946999</v>
      </c>
      <c r="AN50" s="82">
        <v>0</v>
      </c>
      <c r="AO50" s="82">
        <v>0</v>
      </c>
      <c r="AP50" s="82">
        <v>3.8680550024624998E-13</v>
      </c>
      <c r="AQ50" s="82">
        <v>0</v>
      </c>
      <c r="AR50" s="83">
        <v>5.7005173289184601</v>
      </c>
    </row>
    <row r="51" spans="2:44" ht="12" customHeight="1" x14ac:dyDescent="0.25">
      <c r="B51" s="81" t="s">
        <v>22</v>
      </c>
      <c r="C51" s="82" t="s">
        <v>109</v>
      </c>
      <c r="D51" s="82" t="s">
        <v>24</v>
      </c>
      <c r="E51" s="82" t="s">
        <v>1618</v>
      </c>
      <c r="F51" s="82" t="s">
        <v>25</v>
      </c>
      <c r="G51" s="82" t="s">
        <v>25</v>
      </c>
      <c r="H51" s="82" t="s">
        <v>93</v>
      </c>
      <c r="I51" s="82" t="s">
        <v>25</v>
      </c>
      <c r="J51" s="82">
        <v>364.86</v>
      </c>
      <c r="K51" s="82">
        <v>254.25</v>
      </c>
      <c r="L51" s="82">
        <v>0</v>
      </c>
      <c r="M51" s="82">
        <v>1.1909995636433099</v>
      </c>
      <c r="N51" s="82">
        <v>3.9401295097598799</v>
      </c>
      <c r="O51" s="82">
        <v>2.3954432862312899E-2</v>
      </c>
      <c r="P51" s="82">
        <v>0</v>
      </c>
      <c r="Q51" s="82">
        <v>0</v>
      </c>
      <c r="R51" s="82">
        <v>0</v>
      </c>
      <c r="S51" s="82">
        <v>0</v>
      </c>
      <c r="T51" s="82">
        <v>21.080547380580999</v>
      </c>
      <c r="U51" s="82">
        <v>4.5188948799569797</v>
      </c>
      <c r="V51" s="82">
        <v>4.5821528383721999</v>
      </c>
      <c r="W51" s="82">
        <v>0</v>
      </c>
      <c r="X51" s="82">
        <v>0</v>
      </c>
      <c r="Y51" s="82">
        <v>0</v>
      </c>
      <c r="Z51" s="82">
        <v>0</v>
      </c>
      <c r="AA51" s="82">
        <v>293.40406594895501</v>
      </c>
      <c r="AB51" s="82">
        <v>0</v>
      </c>
      <c r="AC51" s="82">
        <v>0</v>
      </c>
      <c r="AD51" s="82">
        <v>27.085131889367599</v>
      </c>
      <c r="AE51" s="82">
        <v>0.96432936718241802</v>
      </c>
      <c r="AF51" s="82">
        <v>8.0710610220912997</v>
      </c>
      <c r="AG51" s="82">
        <v>0</v>
      </c>
      <c r="AH51" s="82">
        <v>3.7261581162664599</v>
      </c>
      <c r="AI51" s="82">
        <v>0</v>
      </c>
      <c r="AJ51" s="82">
        <v>2.6225748408976601</v>
      </c>
      <c r="AK51" s="82">
        <v>17.0865200824427</v>
      </c>
      <c r="AL51" s="82">
        <v>0</v>
      </c>
      <c r="AM51" s="82">
        <v>225.11913588946999</v>
      </c>
      <c r="AN51" s="82">
        <v>0</v>
      </c>
      <c r="AO51" s="82">
        <v>0</v>
      </c>
      <c r="AP51" s="82">
        <v>3.8680550024624998E-13</v>
      </c>
      <c r="AQ51" s="82">
        <v>0</v>
      </c>
      <c r="AR51" s="83">
        <v>5.7005173289184601</v>
      </c>
    </row>
    <row r="52" spans="2:44" ht="12" customHeight="1" x14ac:dyDescent="0.25">
      <c r="B52" s="81" t="s">
        <v>22</v>
      </c>
      <c r="C52" s="82" t="s">
        <v>109</v>
      </c>
      <c r="D52" s="82" t="s">
        <v>24</v>
      </c>
      <c r="E52" s="82" t="s">
        <v>24</v>
      </c>
      <c r="F52" s="82" t="s">
        <v>25</v>
      </c>
      <c r="G52" s="82" t="s">
        <v>25</v>
      </c>
      <c r="H52" s="82" t="s">
        <v>93</v>
      </c>
      <c r="I52" s="82" t="s">
        <v>25</v>
      </c>
      <c r="J52" s="82">
        <v>420.51</v>
      </c>
      <c r="K52" s="82">
        <v>254.25</v>
      </c>
      <c r="L52" s="82">
        <v>4.1814828161424202</v>
      </c>
      <c r="M52" s="82">
        <v>1.1909995636433099</v>
      </c>
      <c r="N52" s="82">
        <v>3.95498661991597</v>
      </c>
      <c r="O52" s="82">
        <v>2.3954432862312899E-2</v>
      </c>
      <c r="P52" s="82">
        <v>0</v>
      </c>
      <c r="Q52" s="82">
        <v>36.787060352326101</v>
      </c>
      <c r="R52" s="82">
        <v>14.668516006400999</v>
      </c>
      <c r="S52" s="82">
        <v>0</v>
      </c>
      <c r="T52" s="82">
        <v>21.080547380580999</v>
      </c>
      <c r="U52" s="82">
        <v>4.5188948799569797</v>
      </c>
      <c r="V52" s="82">
        <v>4.5821528383721999</v>
      </c>
      <c r="W52" s="82">
        <v>0</v>
      </c>
      <c r="X52" s="82">
        <v>0</v>
      </c>
      <c r="Y52" s="82">
        <v>0</v>
      </c>
      <c r="Z52" s="82">
        <v>0</v>
      </c>
      <c r="AA52" s="82">
        <v>293.40406594895501</v>
      </c>
      <c r="AB52" s="82">
        <v>0</v>
      </c>
      <c r="AC52" s="82">
        <v>0</v>
      </c>
      <c r="AD52" s="82">
        <v>27.085131889367599</v>
      </c>
      <c r="AE52" s="82">
        <v>0.96432936718241802</v>
      </c>
      <c r="AF52" s="82">
        <v>8.0710610220912997</v>
      </c>
      <c r="AG52" s="82">
        <v>0</v>
      </c>
      <c r="AH52" s="82">
        <v>3.7261581162664599</v>
      </c>
      <c r="AI52" s="82">
        <v>0</v>
      </c>
      <c r="AJ52" s="82">
        <v>2.6225748408976601</v>
      </c>
      <c r="AK52" s="82">
        <v>17.0865200824427</v>
      </c>
      <c r="AL52" s="82">
        <v>0</v>
      </c>
      <c r="AM52" s="82">
        <v>225.11913588946999</v>
      </c>
      <c r="AN52" s="82">
        <v>0</v>
      </c>
      <c r="AO52" s="82">
        <v>0</v>
      </c>
      <c r="AP52" s="82">
        <v>3.8680550024624998E-13</v>
      </c>
      <c r="AQ52" s="82">
        <v>0</v>
      </c>
      <c r="AR52" s="83">
        <v>5.7005173289184601</v>
      </c>
    </row>
    <row r="53" spans="2:44" ht="12" customHeight="1" x14ac:dyDescent="0.25">
      <c r="B53" s="81" t="s">
        <v>44</v>
      </c>
      <c r="C53" s="82" t="s">
        <v>33</v>
      </c>
      <c r="D53" s="82" t="s">
        <v>45</v>
      </c>
      <c r="E53" s="82" t="s">
        <v>110</v>
      </c>
      <c r="F53" s="82" t="s">
        <v>25</v>
      </c>
      <c r="G53" s="82" t="s">
        <v>34</v>
      </c>
      <c r="H53" s="82" t="s">
        <v>93</v>
      </c>
      <c r="I53" s="82" t="s">
        <v>25</v>
      </c>
      <c r="J53" s="82">
        <v>1009.29</v>
      </c>
      <c r="K53" s="82">
        <v>370.76</v>
      </c>
      <c r="L53" s="82">
        <v>3.9305938471738702</v>
      </c>
      <c r="M53" s="82">
        <v>1.11953958982472</v>
      </c>
      <c r="N53" s="82">
        <v>9.3832579925880601</v>
      </c>
      <c r="O53" s="82">
        <v>2.2517166890574199E-2</v>
      </c>
      <c r="P53" s="82">
        <v>0</v>
      </c>
      <c r="Q53" s="82">
        <v>34.579836731186496</v>
      </c>
      <c r="R53" s="82">
        <v>13.7884050460169</v>
      </c>
      <c r="S53" s="82">
        <v>0</v>
      </c>
      <c r="T53" s="82">
        <v>59.447143613238303</v>
      </c>
      <c r="U53" s="82">
        <v>12.7432835614787</v>
      </c>
      <c r="V53" s="82">
        <v>12.921522734892299</v>
      </c>
      <c r="W53" s="82">
        <v>0</v>
      </c>
      <c r="X53" s="82">
        <v>0</v>
      </c>
      <c r="Y53" s="82">
        <v>0</v>
      </c>
      <c r="Z53" s="82">
        <v>0</v>
      </c>
      <c r="AA53" s="82">
        <v>827.39931140659803</v>
      </c>
      <c r="AB53" s="82">
        <v>0</v>
      </c>
      <c r="AC53" s="82">
        <v>0</v>
      </c>
      <c r="AD53" s="82">
        <v>25.460023976005498</v>
      </c>
      <c r="AE53" s="82">
        <v>0.90646960515147301</v>
      </c>
      <c r="AF53" s="82">
        <v>7.5867973607658303</v>
      </c>
      <c r="AG53" s="82">
        <v>0</v>
      </c>
      <c r="AH53" s="82">
        <v>3.5025886292904702</v>
      </c>
      <c r="AI53" s="82">
        <v>0</v>
      </c>
      <c r="AJ53" s="82">
        <v>2.4652203504438002</v>
      </c>
      <c r="AK53" s="82">
        <v>16.061328877496202</v>
      </c>
      <c r="AL53" s="82">
        <v>0</v>
      </c>
      <c r="AM53" s="82">
        <v>343.37039519442902</v>
      </c>
      <c r="AN53" s="82">
        <v>0</v>
      </c>
      <c r="AO53" s="82">
        <v>0</v>
      </c>
      <c r="AP53" s="82">
        <v>3.6359717023147499E-13</v>
      </c>
      <c r="AQ53" s="82">
        <v>0</v>
      </c>
      <c r="AR53" s="83">
        <v>5.3584862891833502</v>
      </c>
    </row>
    <row r="54" spans="2:44" ht="12" customHeight="1" x14ac:dyDescent="0.25">
      <c r="B54" s="81" t="s">
        <v>44</v>
      </c>
      <c r="C54" s="82" t="s">
        <v>33</v>
      </c>
      <c r="D54" s="82" t="s">
        <v>45</v>
      </c>
      <c r="E54" s="82" t="s">
        <v>110</v>
      </c>
      <c r="F54" s="82" t="s">
        <v>25</v>
      </c>
      <c r="G54" s="82" t="s">
        <v>36</v>
      </c>
      <c r="H54" s="82" t="s">
        <v>93</v>
      </c>
      <c r="I54" s="82" t="s">
        <v>25</v>
      </c>
      <c r="J54" s="82">
        <v>640.89</v>
      </c>
      <c r="K54" s="82">
        <v>227.02</v>
      </c>
      <c r="L54" s="82">
        <v>3.9305938471738702</v>
      </c>
      <c r="M54" s="82">
        <v>1.11953958982472</v>
      </c>
      <c r="N54" s="82">
        <v>5.9839170472361802</v>
      </c>
      <c r="O54" s="82">
        <v>2.2517166890574199E-2</v>
      </c>
      <c r="P54" s="82">
        <v>0</v>
      </c>
      <c r="Q54" s="82">
        <v>34.579836731186496</v>
      </c>
      <c r="R54" s="82">
        <v>13.7884050460169</v>
      </c>
      <c r="S54" s="82">
        <v>0</v>
      </c>
      <c r="T54" s="82">
        <v>35.668331641078403</v>
      </c>
      <c r="U54" s="82">
        <v>7.6459492756693201</v>
      </c>
      <c r="V54" s="82">
        <v>7.7530026025257603</v>
      </c>
      <c r="W54" s="82">
        <v>0</v>
      </c>
      <c r="X54" s="82">
        <v>0</v>
      </c>
      <c r="Y54" s="82">
        <v>0</v>
      </c>
      <c r="Z54" s="82">
        <v>0</v>
      </c>
      <c r="AA54" s="82">
        <v>496.43967958563098</v>
      </c>
      <c r="AB54" s="82">
        <v>0</v>
      </c>
      <c r="AC54" s="82">
        <v>0</v>
      </c>
      <c r="AD54" s="82">
        <v>25.460023976005498</v>
      </c>
      <c r="AE54" s="82">
        <v>0.90646960515147301</v>
      </c>
      <c r="AF54" s="82">
        <v>7.5867973607658303</v>
      </c>
      <c r="AG54" s="82">
        <v>0</v>
      </c>
      <c r="AH54" s="82">
        <v>3.5025886292904702</v>
      </c>
      <c r="AI54" s="82">
        <v>0</v>
      </c>
      <c r="AJ54" s="82">
        <v>2.4652203504438002</v>
      </c>
      <c r="AK54" s="82">
        <v>16.061328877496202</v>
      </c>
      <c r="AL54" s="82">
        <v>0</v>
      </c>
      <c r="AM54" s="82">
        <v>199.63395069443499</v>
      </c>
      <c r="AN54" s="82">
        <v>0</v>
      </c>
      <c r="AO54" s="82">
        <v>0</v>
      </c>
      <c r="AP54" s="82">
        <v>3.6359717023147499E-13</v>
      </c>
      <c r="AQ54" s="82">
        <v>0</v>
      </c>
      <c r="AR54" s="83">
        <v>5.3584862891833502</v>
      </c>
    </row>
    <row r="55" spans="2:44" ht="12" customHeight="1" x14ac:dyDescent="0.25">
      <c r="B55" s="81" t="s">
        <v>44</v>
      </c>
      <c r="C55" s="82" t="s">
        <v>33</v>
      </c>
      <c r="D55" s="82" t="s">
        <v>45</v>
      </c>
      <c r="E55" s="82" t="s">
        <v>110</v>
      </c>
      <c r="F55" s="82" t="s">
        <v>25</v>
      </c>
      <c r="G55" s="82" t="s">
        <v>35</v>
      </c>
      <c r="H55" s="82" t="s">
        <v>93</v>
      </c>
      <c r="I55" s="82" t="s">
        <v>25</v>
      </c>
      <c r="J55" s="82">
        <v>272.48</v>
      </c>
      <c r="K55" s="82">
        <v>227.02</v>
      </c>
      <c r="L55" s="82">
        <v>3.9305938471738702</v>
      </c>
      <c r="M55" s="82">
        <v>1.11953958982472</v>
      </c>
      <c r="N55" s="82">
        <v>2.5845719121792499</v>
      </c>
      <c r="O55" s="82">
        <v>2.2517166890574199E-2</v>
      </c>
      <c r="P55" s="82">
        <v>0</v>
      </c>
      <c r="Q55" s="82">
        <v>34.579836731186496</v>
      </c>
      <c r="R55" s="82">
        <v>13.7884050460169</v>
      </c>
      <c r="S55" s="82">
        <v>0</v>
      </c>
      <c r="T55" s="82">
        <v>11.8894059860799</v>
      </c>
      <c r="U55" s="82">
        <v>2.5486149898599502</v>
      </c>
      <c r="V55" s="82">
        <v>2.5843342008419201</v>
      </c>
      <c r="W55" s="82">
        <v>0</v>
      </c>
      <c r="X55" s="82">
        <v>0</v>
      </c>
      <c r="Y55" s="82">
        <v>0</v>
      </c>
      <c r="Z55" s="82">
        <v>0</v>
      </c>
      <c r="AA55" s="82">
        <v>165.47989319521</v>
      </c>
      <c r="AB55" s="82">
        <v>0</v>
      </c>
      <c r="AC55" s="82">
        <v>0</v>
      </c>
      <c r="AD55" s="82">
        <v>25.460023976005498</v>
      </c>
      <c r="AE55" s="82">
        <v>0.90646960515147301</v>
      </c>
      <c r="AF55" s="82">
        <v>7.5867973607658303</v>
      </c>
      <c r="AG55" s="82">
        <v>0</v>
      </c>
      <c r="AH55" s="82">
        <v>3.5025886292904702</v>
      </c>
      <c r="AI55" s="82">
        <v>0</v>
      </c>
      <c r="AJ55" s="82">
        <v>2.4652203504438002</v>
      </c>
      <c r="AK55" s="82">
        <v>16.061328877496202</v>
      </c>
      <c r="AL55" s="82">
        <v>0</v>
      </c>
      <c r="AM55" s="82">
        <v>199.63395069443499</v>
      </c>
      <c r="AN55" s="82">
        <v>0</v>
      </c>
      <c r="AO55" s="82">
        <v>0</v>
      </c>
      <c r="AP55" s="82">
        <v>3.6359717023147499E-13</v>
      </c>
      <c r="AQ55" s="82">
        <v>0</v>
      </c>
      <c r="AR55" s="83">
        <v>5.3584862891833502</v>
      </c>
    </row>
    <row r="56" spans="2:44" ht="12" customHeight="1" x14ac:dyDescent="0.25">
      <c r="B56" s="81" t="s">
        <v>44</v>
      </c>
      <c r="C56" s="82" t="s">
        <v>33</v>
      </c>
      <c r="D56" s="82" t="s">
        <v>45</v>
      </c>
      <c r="E56" s="82" t="s">
        <v>25</v>
      </c>
      <c r="F56" s="82" t="s">
        <v>25</v>
      </c>
      <c r="G56" s="82" t="s">
        <v>34</v>
      </c>
      <c r="H56" s="82" t="s">
        <v>93</v>
      </c>
      <c r="I56" s="82" t="s">
        <v>25</v>
      </c>
      <c r="J56" s="82">
        <v>1009.29</v>
      </c>
      <c r="K56" s="82">
        <v>370.76</v>
      </c>
      <c r="L56" s="82">
        <v>3.9305938471738702</v>
      </c>
      <c r="M56" s="82">
        <v>1.11953958982472</v>
      </c>
      <c r="N56" s="82">
        <v>9.3832579925880601</v>
      </c>
      <c r="O56" s="82">
        <v>2.2517166890574199E-2</v>
      </c>
      <c r="P56" s="82">
        <v>0</v>
      </c>
      <c r="Q56" s="82">
        <v>34.579836731186496</v>
      </c>
      <c r="R56" s="82">
        <v>13.7884050460169</v>
      </c>
      <c r="S56" s="82">
        <v>0</v>
      </c>
      <c r="T56" s="82">
        <v>59.447143613238303</v>
      </c>
      <c r="U56" s="82">
        <v>12.7432835614787</v>
      </c>
      <c r="V56" s="82">
        <v>12.921522734892299</v>
      </c>
      <c r="W56" s="82">
        <v>0</v>
      </c>
      <c r="X56" s="82">
        <v>0</v>
      </c>
      <c r="Y56" s="82">
        <v>0</v>
      </c>
      <c r="Z56" s="82">
        <v>0</v>
      </c>
      <c r="AA56" s="82">
        <v>827.39931140659803</v>
      </c>
      <c r="AB56" s="82">
        <v>0</v>
      </c>
      <c r="AC56" s="82">
        <v>0</v>
      </c>
      <c r="AD56" s="82">
        <v>25.460023976005498</v>
      </c>
      <c r="AE56" s="82">
        <v>0.90646960515147301</v>
      </c>
      <c r="AF56" s="82">
        <v>7.5867973607658303</v>
      </c>
      <c r="AG56" s="82">
        <v>0</v>
      </c>
      <c r="AH56" s="82">
        <v>3.5025886292904702</v>
      </c>
      <c r="AI56" s="82">
        <v>0</v>
      </c>
      <c r="AJ56" s="82">
        <v>2.4652203504438002</v>
      </c>
      <c r="AK56" s="82">
        <v>16.061328877496202</v>
      </c>
      <c r="AL56" s="82">
        <v>0</v>
      </c>
      <c r="AM56" s="82">
        <v>343.37039519442902</v>
      </c>
      <c r="AN56" s="82">
        <v>0</v>
      </c>
      <c r="AO56" s="82">
        <v>0</v>
      </c>
      <c r="AP56" s="82">
        <v>3.6359717023147499E-13</v>
      </c>
      <c r="AQ56" s="82">
        <v>0</v>
      </c>
      <c r="AR56" s="83">
        <v>5.3584862891833502</v>
      </c>
    </row>
    <row r="57" spans="2:44" ht="12" customHeight="1" x14ac:dyDescent="0.25">
      <c r="B57" s="81" t="s">
        <v>44</v>
      </c>
      <c r="C57" s="82" t="s">
        <v>33</v>
      </c>
      <c r="D57" s="82" t="s">
        <v>45</v>
      </c>
      <c r="E57" s="82" t="s">
        <v>25</v>
      </c>
      <c r="F57" s="82" t="s">
        <v>25</v>
      </c>
      <c r="G57" s="82" t="s">
        <v>36</v>
      </c>
      <c r="H57" s="82" t="s">
        <v>93</v>
      </c>
      <c r="I57" s="82" t="s">
        <v>25</v>
      </c>
      <c r="J57" s="82">
        <v>640.89</v>
      </c>
      <c r="K57" s="82">
        <v>227.02</v>
      </c>
      <c r="L57" s="82">
        <v>3.9305938471738702</v>
      </c>
      <c r="M57" s="82">
        <v>1.11953958982472</v>
      </c>
      <c r="N57" s="82">
        <v>5.9839170472361802</v>
      </c>
      <c r="O57" s="82">
        <v>2.2517166890574199E-2</v>
      </c>
      <c r="P57" s="82">
        <v>0</v>
      </c>
      <c r="Q57" s="82">
        <v>34.579836731186496</v>
      </c>
      <c r="R57" s="82">
        <v>13.7884050460169</v>
      </c>
      <c r="S57" s="82">
        <v>0</v>
      </c>
      <c r="T57" s="82">
        <v>35.668331641078403</v>
      </c>
      <c r="U57" s="82">
        <v>7.6459492756693201</v>
      </c>
      <c r="V57" s="82">
        <v>7.7530026025257603</v>
      </c>
      <c r="W57" s="82">
        <v>0</v>
      </c>
      <c r="X57" s="82">
        <v>0</v>
      </c>
      <c r="Y57" s="82">
        <v>0</v>
      </c>
      <c r="Z57" s="82">
        <v>0</v>
      </c>
      <c r="AA57" s="82">
        <v>496.43967958563098</v>
      </c>
      <c r="AB57" s="82">
        <v>0</v>
      </c>
      <c r="AC57" s="82">
        <v>0</v>
      </c>
      <c r="AD57" s="82">
        <v>25.460023976005498</v>
      </c>
      <c r="AE57" s="82">
        <v>0.90646960515147301</v>
      </c>
      <c r="AF57" s="82">
        <v>7.5867973607658303</v>
      </c>
      <c r="AG57" s="82">
        <v>0</v>
      </c>
      <c r="AH57" s="82">
        <v>3.5025886292904702</v>
      </c>
      <c r="AI57" s="82">
        <v>0</v>
      </c>
      <c r="AJ57" s="82">
        <v>2.4652203504438002</v>
      </c>
      <c r="AK57" s="82">
        <v>16.061328877496202</v>
      </c>
      <c r="AL57" s="82">
        <v>0</v>
      </c>
      <c r="AM57" s="82">
        <v>199.63395069443499</v>
      </c>
      <c r="AN57" s="82">
        <v>0</v>
      </c>
      <c r="AO57" s="82">
        <v>0</v>
      </c>
      <c r="AP57" s="82">
        <v>3.6359717023147499E-13</v>
      </c>
      <c r="AQ57" s="82">
        <v>0</v>
      </c>
      <c r="AR57" s="83">
        <v>5.3584862891833502</v>
      </c>
    </row>
    <row r="58" spans="2:44" ht="12" customHeight="1" x14ac:dyDescent="0.25">
      <c r="B58" s="81" t="s">
        <v>44</v>
      </c>
      <c r="C58" s="82" t="s">
        <v>33</v>
      </c>
      <c r="D58" s="82" t="s">
        <v>45</v>
      </c>
      <c r="E58" s="82" t="s">
        <v>25</v>
      </c>
      <c r="F58" s="82" t="s">
        <v>25</v>
      </c>
      <c r="G58" s="82" t="s">
        <v>35</v>
      </c>
      <c r="H58" s="82" t="s">
        <v>93</v>
      </c>
      <c r="I58" s="82" t="s">
        <v>25</v>
      </c>
      <c r="J58" s="82">
        <v>272.48</v>
      </c>
      <c r="K58" s="82">
        <v>227.02</v>
      </c>
      <c r="L58" s="82">
        <v>3.9305938471738702</v>
      </c>
      <c r="M58" s="82">
        <v>1.11953958982472</v>
      </c>
      <c r="N58" s="82">
        <v>2.5845719121792499</v>
      </c>
      <c r="O58" s="82">
        <v>2.2517166890574199E-2</v>
      </c>
      <c r="P58" s="82">
        <v>0</v>
      </c>
      <c r="Q58" s="82">
        <v>34.579836731186496</v>
      </c>
      <c r="R58" s="82">
        <v>13.7884050460169</v>
      </c>
      <c r="S58" s="82">
        <v>0</v>
      </c>
      <c r="T58" s="82">
        <v>11.8894059860799</v>
      </c>
      <c r="U58" s="82">
        <v>2.5486149898599502</v>
      </c>
      <c r="V58" s="82">
        <v>2.5843342008419201</v>
      </c>
      <c r="W58" s="82">
        <v>0</v>
      </c>
      <c r="X58" s="82">
        <v>0</v>
      </c>
      <c r="Y58" s="82">
        <v>0</v>
      </c>
      <c r="Z58" s="82">
        <v>0</v>
      </c>
      <c r="AA58" s="82">
        <v>165.47989319521</v>
      </c>
      <c r="AB58" s="82">
        <v>0</v>
      </c>
      <c r="AC58" s="82">
        <v>0</v>
      </c>
      <c r="AD58" s="82">
        <v>25.460023976005498</v>
      </c>
      <c r="AE58" s="82">
        <v>0.90646960515147301</v>
      </c>
      <c r="AF58" s="82">
        <v>7.5867973607658303</v>
      </c>
      <c r="AG58" s="82">
        <v>0</v>
      </c>
      <c r="AH58" s="82">
        <v>3.5025886292904702</v>
      </c>
      <c r="AI58" s="82">
        <v>0</v>
      </c>
      <c r="AJ58" s="82">
        <v>2.4652203504438002</v>
      </c>
      <c r="AK58" s="82">
        <v>16.061328877496202</v>
      </c>
      <c r="AL58" s="82">
        <v>0</v>
      </c>
      <c r="AM58" s="82">
        <v>199.63395069443499</v>
      </c>
      <c r="AN58" s="82">
        <v>0</v>
      </c>
      <c r="AO58" s="82">
        <v>0</v>
      </c>
      <c r="AP58" s="82">
        <v>3.6359717023147499E-13</v>
      </c>
      <c r="AQ58" s="82">
        <v>0</v>
      </c>
      <c r="AR58" s="83">
        <v>5.3584862891833502</v>
      </c>
    </row>
    <row r="59" spans="2:44" ht="12" customHeight="1" x14ac:dyDescent="0.25">
      <c r="B59" s="81" t="s">
        <v>44</v>
      </c>
      <c r="C59" s="82" t="s">
        <v>33</v>
      </c>
      <c r="D59" s="82" t="s">
        <v>45</v>
      </c>
      <c r="E59" s="82" t="s">
        <v>111</v>
      </c>
      <c r="F59" s="82" t="s">
        <v>25</v>
      </c>
      <c r="G59" s="82" t="s">
        <v>34</v>
      </c>
      <c r="H59" s="82" t="s">
        <v>93</v>
      </c>
      <c r="I59" s="82" t="s">
        <v>25</v>
      </c>
      <c r="J59" s="82">
        <v>987.81</v>
      </c>
      <c r="K59" s="82">
        <v>362.87</v>
      </c>
      <c r="L59" s="82">
        <v>3.8469641908510299</v>
      </c>
      <c r="M59" s="82">
        <v>1.09571959855185</v>
      </c>
      <c r="N59" s="82">
        <v>9.18361420551172</v>
      </c>
      <c r="O59" s="82">
        <v>2.2038078233327901E-2</v>
      </c>
      <c r="P59" s="82">
        <v>0</v>
      </c>
      <c r="Q59" s="82">
        <v>33.844095524140002</v>
      </c>
      <c r="R59" s="82">
        <v>13.4950347258889</v>
      </c>
      <c r="S59" s="82">
        <v>0</v>
      </c>
      <c r="T59" s="82">
        <v>58.182310770403397</v>
      </c>
      <c r="U59" s="82">
        <v>12.472149868681299</v>
      </c>
      <c r="V59" s="82">
        <v>12.6465967192563</v>
      </c>
      <c r="W59" s="82">
        <v>0</v>
      </c>
      <c r="X59" s="82">
        <v>0</v>
      </c>
      <c r="Y59" s="82">
        <v>0</v>
      </c>
      <c r="Z59" s="82">
        <v>0</v>
      </c>
      <c r="AA59" s="82">
        <v>809.79507073837306</v>
      </c>
      <c r="AB59" s="82">
        <v>0</v>
      </c>
      <c r="AC59" s="82">
        <v>0</v>
      </c>
      <c r="AD59" s="82">
        <v>24.918321338218199</v>
      </c>
      <c r="AE59" s="82">
        <v>0.88718301780782505</v>
      </c>
      <c r="AF59" s="82">
        <v>7.4253761403240004</v>
      </c>
      <c r="AG59" s="82">
        <v>0</v>
      </c>
      <c r="AH59" s="82">
        <v>3.42806546696514</v>
      </c>
      <c r="AI59" s="82">
        <v>0</v>
      </c>
      <c r="AJ59" s="82">
        <v>2.4127688536258498</v>
      </c>
      <c r="AK59" s="82">
        <v>15.719598475847301</v>
      </c>
      <c r="AL59" s="82">
        <v>0</v>
      </c>
      <c r="AM59" s="82">
        <v>336.06464210518601</v>
      </c>
      <c r="AN59" s="82">
        <v>0</v>
      </c>
      <c r="AO59" s="82">
        <v>0</v>
      </c>
      <c r="AP59" s="82">
        <v>3.5586106022654999E-13</v>
      </c>
      <c r="AQ59" s="82">
        <v>0</v>
      </c>
      <c r="AR59" s="83">
        <v>5.2444759426049803</v>
      </c>
    </row>
    <row r="60" spans="2:44" ht="12" customHeight="1" x14ac:dyDescent="0.25">
      <c r="B60" s="81" t="s">
        <v>44</v>
      </c>
      <c r="C60" s="82" t="s">
        <v>33</v>
      </c>
      <c r="D60" s="82" t="s">
        <v>45</v>
      </c>
      <c r="E60" s="82" t="s">
        <v>111</v>
      </c>
      <c r="F60" s="82" t="s">
        <v>25</v>
      </c>
      <c r="G60" s="82" t="s">
        <v>36</v>
      </c>
      <c r="H60" s="82" t="s">
        <v>93</v>
      </c>
      <c r="I60" s="82" t="s">
        <v>25</v>
      </c>
      <c r="J60" s="82">
        <v>627.25</v>
      </c>
      <c r="K60" s="82">
        <v>222.19</v>
      </c>
      <c r="L60" s="82">
        <v>3.8469641908510299</v>
      </c>
      <c r="M60" s="82">
        <v>1.09571959855185</v>
      </c>
      <c r="N60" s="82">
        <v>5.8565996632524397</v>
      </c>
      <c r="O60" s="82">
        <v>2.2038078233327901E-2</v>
      </c>
      <c r="P60" s="82">
        <v>0</v>
      </c>
      <c r="Q60" s="82">
        <v>33.844095524140002</v>
      </c>
      <c r="R60" s="82">
        <v>13.4950347258889</v>
      </c>
      <c r="S60" s="82">
        <v>0</v>
      </c>
      <c r="T60" s="82">
        <v>34.909430967863898</v>
      </c>
      <c r="U60" s="82">
        <v>7.4832695038465697</v>
      </c>
      <c r="V60" s="82">
        <v>7.5880451003443596</v>
      </c>
      <c r="W60" s="82">
        <v>0</v>
      </c>
      <c r="X60" s="82">
        <v>0</v>
      </c>
      <c r="Y60" s="82">
        <v>0</v>
      </c>
      <c r="Z60" s="82">
        <v>0</v>
      </c>
      <c r="AA60" s="82">
        <v>485.87713321146902</v>
      </c>
      <c r="AB60" s="82">
        <v>0</v>
      </c>
      <c r="AC60" s="82">
        <v>0</v>
      </c>
      <c r="AD60" s="82">
        <v>24.918321338218199</v>
      </c>
      <c r="AE60" s="82">
        <v>0.88718301780782505</v>
      </c>
      <c r="AF60" s="82">
        <v>7.4253761403240004</v>
      </c>
      <c r="AG60" s="82">
        <v>0</v>
      </c>
      <c r="AH60" s="82">
        <v>3.42806546696514</v>
      </c>
      <c r="AI60" s="82">
        <v>0</v>
      </c>
      <c r="AJ60" s="82">
        <v>2.4127688536258498</v>
      </c>
      <c r="AK60" s="82">
        <v>15.719598475847301</v>
      </c>
      <c r="AL60" s="82">
        <v>0</v>
      </c>
      <c r="AM60" s="82">
        <v>195.38641982859599</v>
      </c>
      <c r="AN60" s="82">
        <v>0</v>
      </c>
      <c r="AO60" s="82">
        <v>0</v>
      </c>
      <c r="AP60" s="82">
        <v>3.5586106022654999E-13</v>
      </c>
      <c r="AQ60" s="82">
        <v>0</v>
      </c>
      <c r="AR60" s="83">
        <v>5.2444759426049803</v>
      </c>
    </row>
    <row r="61" spans="2:44" ht="12" customHeight="1" x14ac:dyDescent="0.25">
      <c r="B61" s="81" t="s">
        <v>44</v>
      </c>
      <c r="C61" s="82" t="s">
        <v>33</v>
      </c>
      <c r="D61" s="82" t="s">
        <v>45</v>
      </c>
      <c r="E61" s="82" t="s">
        <v>111</v>
      </c>
      <c r="F61" s="82" t="s">
        <v>25</v>
      </c>
      <c r="G61" s="82" t="s">
        <v>35</v>
      </c>
      <c r="H61" s="82" t="s">
        <v>93</v>
      </c>
      <c r="I61" s="82" t="s">
        <v>25</v>
      </c>
      <c r="J61" s="82">
        <v>266.68</v>
      </c>
      <c r="K61" s="82">
        <v>222.19</v>
      </c>
      <c r="L61" s="82">
        <v>3.8469641908510299</v>
      </c>
      <c r="M61" s="82">
        <v>1.09571959855185</v>
      </c>
      <c r="N61" s="82">
        <v>2.5295810204307498</v>
      </c>
      <c r="O61" s="82">
        <v>2.2038078233327901E-2</v>
      </c>
      <c r="P61" s="82">
        <v>0</v>
      </c>
      <c r="Q61" s="82">
        <v>33.844095524140002</v>
      </c>
      <c r="R61" s="82">
        <v>13.4950347258889</v>
      </c>
      <c r="S61" s="82">
        <v>0</v>
      </c>
      <c r="T61" s="82">
        <v>11.6364399012697</v>
      </c>
      <c r="U61" s="82">
        <v>2.49438913901187</v>
      </c>
      <c r="V61" s="82">
        <v>2.5293483667814498</v>
      </c>
      <c r="W61" s="82">
        <v>0</v>
      </c>
      <c r="X61" s="82">
        <v>0</v>
      </c>
      <c r="Y61" s="82">
        <v>0</v>
      </c>
      <c r="Z61" s="82">
        <v>0</v>
      </c>
      <c r="AA61" s="82">
        <v>161.95904440382299</v>
      </c>
      <c r="AB61" s="82">
        <v>0</v>
      </c>
      <c r="AC61" s="82">
        <v>0</v>
      </c>
      <c r="AD61" s="82">
        <v>24.918321338218199</v>
      </c>
      <c r="AE61" s="82">
        <v>0.88718301780782505</v>
      </c>
      <c r="AF61" s="82">
        <v>7.4253761403240004</v>
      </c>
      <c r="AG61" s="82">
        <v>0</v>
      </c>
      <c r="AH61" s="82">
        <v>3.42806546696514</v>
      </c>
      <c r="AI61" s="82">
        <v>0</v>
      </c>
      <c r="AJ61" s="82">
        <v>2.4127688536258498</v>
      </c>
      <c r="AK61" s="82">
        <v>15.719598475847301</v>
      </c>
      <c r="AL61" s="82">
        <v>0</v>
      </c>
      <c r="AM61" s="82">
        <v>195.38641982859599</v>
      </c>
      <c r="AN61" s="82">
        <v>0</v>
      </c>
      <c r="AO61" s="82">
        <v>0</v>
      </c>
      <c r="AP61" s="82">
        <v>3.5586106022654999E-13</v>
      </c>
      <c r="AQ61" s="82">
        <v>0</v>
      </c>
      <c r="AR61" s="83">
        <v>5.2444759426049803</v>
      </c>
    </row>
    <row r="62" spans="2:44" ht="12" customHeight="1" x14ac:dyDescent="0.25">
      <c r="B62" s="81" t="s">
        <v>44</v>
      </c>
      <c r="C62" s="82" t="s">
        <v>23</v>
      </c>
      <c r="D62" s="82" t="s">
        <v>45</v>
      </c>
      <c r="E62" s="82" t="s">
        <v>110</v>
      </c>
      <c r="F62" s="82" t="s">
        <v>25</v>
      </c>
      <c r="G62" s="82" t="s">
        <v>25</v>
      </c>
      <c r="H62" s="82" t="s">
        <v>93</v>
      </c>
      <c r="I62" s="82" t="s">
        <v>25</v>
      </c>
      <c r="J62" s="82">
        <v>395.28</v>
      </c>
      <c r="K62" s="82">
        <v>239</v>
      </c>
      <c r="L62" s="82">
        <v>3.9305938471738702</v>
      </c>
      <c r="M62" s="82">
        <v>1.11953958982472</v>
      </c>
      <c r="N62" s="82">
        <v>3.7176874227210099</v>
      </c>
      <c r="O62" s="82">
        <v>2.2517166890574199E-2</v>
      </c>
      <c r="P62" s="82">
        <v>0</v>
      </c>
      <c r="Q62" s="82">
        <v>34.579836731186496</v>
      </c>
      <c r="R62" s="82">
        <v>13.7884050460169</v>
      </c>
      <c r="S62" s="82">
        <v>0</v>
      </c>
      <c r="T62" s="82">
        <v>19.8157145377461</v>
      </c>
      <c r="U62" s="82">
        <v>4.2477611871595604</v>
      </c>
      <c r="V62" s="82">
        <v>4.3072236680698701</v>
      </c>
      <c r="W62" s="82">
        <v>0</v>
      </c>
      <c r="X62" s="82">
        <v>0</v>
      </c>
      <c r="Y62" s="82">
        <v>0</v>
      </c>
      <c r="Z62" s="82">
        <v>0</v>
      </c>
      <c r="AA62" s="82">
        <v>275.79982199201697</v>
      </c>
      <c r="AB62" s="82">
        <v>0</v>
      </c>
      <c r="AC62" s="82">
        <v>0</v>
      </c>
      <c r="AD62" s="82">
        <v>25.460023976005498</v>
      </c>
      <c r="AE62" s="82">
        <v>0.90646960515147301</v>
      </c>
      <c r="AF62" s="82">
        <v>7.5867973607658303</v>
      </c>
      <c r="AG62" s="82">
        <v>0</v>
      </c>
      <c r="AH62" s="82">
        <v>3.5025886292904702</v>
      </c>
      <c r="AI62" s="82">
        <v>0</v>
      </c>
      <c r="AJ62" s="82">
        <v>2.4652203504438002</v>
      </c>
      <c r="AK62" s="82">
        <v>16.061328877496202</v>
      </c>
      <c r="AL62" s="82">
        <v>0</v>
      </c>
      <c r="AM62" s="82">
        <v>211.61198773610101</v>
      </c>
      <c r="AN62" s="82">
        <v>0</v>
      </c>
      <c r="AO62" s="82">
        <v>0</v>
      </c>
      <c r="AP62" s="82">
        <v>3.6359717023147499E-13</v>
      </c>
      <c r="AQ62" s="82">
        <v>0</v>
      </c>
      <c r="AR62" s="83">
        <v>5.3584862891833502</v>
      </c>
    </row>
    <row r="63" spans="2:44" ht="12" customHeight="1" x14ac:dyDescent="0.25">
      <c r="B63" s="81" t="s">
        <v>44</v>
      </c>
      <c r="C63" s="82" t="s">
        <v>23</v>
      </c>
      <c r="D63" s="82" t="s">
        <v>45</v>
      </c>
      <c r="E63" s="82" t="s">
        <v>25</v>
      </c>
      <c r="F63" s="82" t="s">
        <v>25</v>
      </c>
      <c r="G63" s="82" t="s">
        <v>25</v>
      </c>
      <c r="H63" s="82" t="s">
        <v>93</v>
      </c>
      <c r="I63" s="82" t="s">
        <v>25</v>
      </c>
      <c r="J63" s="82">
        <v>395.28</v>
      </c>
      <c r="K63" s="82">
        <v>239</v>
      </c>
      <c r="L63" s="82">
        <v>3.9305938471738702</v>
      </c>
      <c r="M63" s="82">
        <v>1.11953958982472</v>
      </c>
      <c r="N63" s="82">
        <v>3.7176874227210099</v>
      </c>
      <c r="O63" s="82">
        <v>2.2517166890574199E-2</v>
      </c>
      <c r="P63" s="82">
        <v>0</v>
      </c>
      <c r="Q63" s="82">
        <v>34.579836731186496</v>
      </c>
      <c r="R63" s="82">
        <v>13.7884050460169</v>
      </c>
      <c r="S63" s="82">
        <v>0</v>
      </c>
      <c r="T63" s="82">
        <v>19.8157145377461</v>
      </c>
      <c r="U63" s="82">
        <v>4.2477611871595604</v>
      </c>
      <c r="V63" s="82">
        <v>4.3072236680698701</v>
      </c>
      <c r="W63" s="82">
        <v>0</v>
      </c>
      <c r="X63" s="82">
        <v>0</v>
      </c>
      <c r="Y63" s="82">
        <v>0</v>
      </c>
      <c r="Z63" s="82">
        <v>0</v>
      </c>
      <c r="AA63" s="82">
        <v>275.79982199201697</v>
      </c>
      <c r="AB63" s="82">
        <v>0</v>
      </c>
      <c r="AC63" s="82">
        <v>0</v>
      </c>
      <c r="AD63" s="82">
        <v>25.460023976005498</v>
      </c>
      <c r="AE63" s="82">
        <v>0.90646960515147301</v>
      </c>
      <c r="AF63" s="82">
        <v>7.5867973607658303</v>
      </c>
      <c r="AG63" s="82">
        <v>0</v>
      </c>
      <c r="AH63" s="82">
        <v>3.5025886292904702</v>
      </c>
      <c r="AI63" s="82">
        <v>0</v>
      </c>
      <c r="AJ63" s="82">
        <v>2.4652203504438002</v>
      </c>
      <c r="AK63" s="82">
        <v>16.061328877496202</v>
      </c>
      <c r="AL63" s="82">
        <v>0</v>
      </c>
      <c r="AM63" s="82">
        <v>211.61198773610101</v>
      </c>
      <c r="AN63" s="82">
        <v>0</v>
      </c>
      <c r="AO63" s="82">
        <v>0</v>
      </c>
      <c r="AP63" s="82">
        <v>3.6359717023147499E-13</v>
      </c>
      <c r="AQ63" s="82">
        <v>0</v>
      </c>
      <c r="AR63" s="83">
        <v>5.3584862891833502</v>
      </c>
    </row>
    <row r="64" spans="2:44" ht="12" customHeight="1" x14ac:dyDescent="0.25">
      <c r="B64" s="81" t="s">
        <v>44</v>
      </c>
      <c r="C64" s="82" t="s">
        <v>23</v>
      </c>
      <c r="D64" s="82" t="s">
        <v>45</v>
      </c>
      <c r="E64" s="82" t="s">
        <v>111</v>
      </c>
      <c r="F64" s="82" t="s">
        <v>25</v>
      </c>
      <c r="G64" s="82" t="s">
        <v>25</v>
      </c>
      <c r="H64" s="82" t="s">
        <v>93</v>
      </c>
      <c r="I64" s="82" t="s">
        <v>25</v>
      </c>
      <c r="J64" s="82">
        <v>386.87</v>
      </c>
      <c r="K64" s="82">
        <v>233.91</v>
      </c>
      <c r="L64" s="82">
        <v>3.8469641908510299</v>
      </c>
      <c r="M64" s="82">
        <v>1.09571959855185</v>
      </c>
      <c r="N64" s="82">
        <v>3.6385876903226899</v>
      </c>
      <c r="O64" s="82">
        <v>2.2038078233327901E-2</v>
      </c>
      <c r="P64" s="82">
        <v>0</v>
      </c>
      <c r="Q64" s="82">
        <v>33.844095524140002</v>
      </c>
      <c r="R64" s="82">
        <v>13.4950347258889</v>
      </c>
      <c r="S64" s="82">
        <v>0</v>
      </c>
      <c r="T64" s="82">
        <v>19.394103590134499</v>
      </c>
      <c r="U64" s="82">
        <v>4.1573832895604204</v>
      </c>
      <c r="V64" s="82">
        <v>4.2155806113024203</v>
      </c>
      <c r="W64" s="82">
        <v>0</v>
      </c>
      <c r="X64" s="82">
        <v>0</v>
      </c>
      <c r="Y64" s="82">
        <v>0</v>
      </c>
      <c r="Z64" s="82">
        <v>0</v>
      </c>
      <c r="AA64" s="82">
        <v>269.93174067303801</v>
      </c>
      <c r="AB64" s="82">
        <v>0</v>
      </c>
      <c r="AC64" s="82">
        <v>0</v>
      </c>
      <c r="AD64" s="82">
        <v>24.918321338218199</v>
      </c>
      <c r="AE64" s="82">
        <v>0.88718301780782505</v>
      </c>
      <c r="AF64" s="82">
        <v>7.4253761403240004</v>
      </c>
      <c r="AG64" s="82">
        <v>0</v>
      </c>
      <c r="AH64" s="82">
        <v>3.42806546696514</v>
      </c>
      <c r="AI64" s="82">
        <v>0</v>
      </c>
      <c r="AJ64" s="82">
        <v>2.4127688536258498</v>
      </c>
      <c r="AK64" s="82">
        <v>15.719598475847301</v>
      </c>
      <c r="AL64" s="82">
        <v>0</v>
      </c>
      <c r="AM64" s="82">
        <v>207.10960501831201</v>
      </c>
      <c r="AN64" s="82">
        <v>0</v>
      </c>
      <c r="AO64" s="82">
        <v>0</v>
      </c>
      <c r="AP64" s="82">
        <v>3.5586106022654999E-13</v>
      </c>
      <c r="AQ64" s="82">
        <v>0</v>
      </c>
      <c r="AR64" s="83">
        <v>5.2444759426049803</v>
      </c>
    </row>
    <row r="65" spans="2:44" ht="12" customHeight="1" x14ac:dyDescent="0.25">
      <c r="B65" s="81" t="s">
        <v>44</v>
      </c>
      <c r="C65" s="82" t="s">
        <v>109</v>
      </c>
      <c r="D65" s="82" t="s">
        <v>45</v>
      </c>
      <c r="E65" s="82" t="s">
        <v>110</v>
      </c>
      <c r="F65" s="82" t="s">
        <v>25</v>
      </c>
      <c r="G65" s="82" t="s">
        <v>25</v>
      </c>
      <c r="H65" s="82" t="s">
        <v>93</v>
      </c>
      <c r="I65" s="82" t="s">
        <v>25</v>
      </c>
      <c r="J65" s="82">
        <v>395.28</v>
      </c>
      <c r="K65" s="82">
        <v>239</v>
      </c>
      <c r="L65" s="82">
        <v>3.9305938471738702</v>
      </c>
      <c r="M65" s="82">
        <v>1.11953958982472</v>
      </c>
      <c r="N65" s="82">
        <v>3.7176874227210099</v>
      </c>
      <c r="O65" s="82">
        <v>2.2517166890574199E-2</v>
      </c>
      <c r="P65" s="82">
        <v>0</v>
      </c>
      <c r="Q65" s="82">
        <v>34.579836731186496</v>
      </c>
      <c r="R65" s="82">
        <v>13.7884050460169</v>
      </c>
      <c r="S65" s="82">
        <v>0</v>
      </c>
      <c r="T65" s="82">
        <v>19.8157145377461</v>
      </c>
      <c r="U65" s="82">
        <v>4.2477611871595604</v>
      </c>
      <c r="V65" s="82">
        <v>4.3072236680698701</v>
      </c>
      <c r="W65" s="82">
        <v>0</v>
      </c>
      <c r="X65" s="82">
        <v>0</v>
      </c>
      <c r="Y65" s="82">
        <v>0</v>
      </c>
      <c r="Z65" s="82">
        <v>0</v>
      </c>
      <c r="AA65" s="82">
        <v>275.79982199201697</v>
      </c>
      <c r="AB65" s="82">
        <v>0</v>
      </c>
      <c r="AC65" s="82">
        <v>0</v>
      </c>
      <c r="AD65" s="82">
        <v>25.460023976005498</v>
      </c>
      <c r="AE65" s="82">
        <v>0.90646960515147301</v>
      </c>
      <c r="AF65" s="82">
        <v>7.5867973607658303</v>
      </c>
      <c r="AG65" s="82">
        <v>0</v>
      </c>
      <c r="AH65" s="82">
        <v>3.5025886292904702</v>
      </c>
      <c r="AI65" s="82">
        <v>0</v>
      </c>
      <c r="AJ65" s="82">
        <v>2.4652203504438002</v>
      </c>
      <c r="AK65" s="82">
        <v>16.061328877496202</v>
      </c>
      <c r="AL65" s="82">
        <v>0</v>
      </c>
      <c r="AM65" s="82">
        <v>211.61198773610101</v>
      </c>
      <c r="AN65" s="82">
        <v>0</v>
      </c>
      <c r="AO65" s="82">
        <v>0</v>
      </c>
      <c r="AP65" s="82">
        <v>3.6359717023147499E-13</v>
      </c>
      <c r="AQ65" s="82">
        <v>0</v>
      </c>
      <c r="AR65" s="83">
        <v>5.3584862891833502</v>
      </c>
    </row>
    <row r="66" spans="2:44" ht="12" customHeight="1" x14ac:dyDescent="0.25">
      <c r="B66" s="81" t="s">
        <v>44</v>
      </c>
      <c r="C66" s="82" t="s">
        <v>109</v>
      </c>
      <c r="D66" s="82" t="s">
        <v>45</v>
      </c>
      <c r="E66" s="82" t="s">
        <v>25</v>
      </c>
      <c r="F66" s="82" t="s">
        <v>25</v>
      </c>
      <c r="G66" s="82" t="s">
        <v>25</v>
      </c>
      <c r="H66" s="82" t="s">
        <v>93</v>
      </c>
      <c r="I66" s="82" t="s">
        <v>25</v>
      </c>
      <c r="J66" s="82">
        <v>395.28</v>
      </c>
      <c r="K66" s="82">
        <v>239</v>
      </c>
      <c r="L66" s="82">
        <v>3.9305938471738702</v>
      </c>
      <c r="M66" s="82">
        <v>1.11953958982472</v>
      </c>
      <c r="N66" s="82">
        <v>3.7176874227210099</v>
      </c>
      <c r="O66" s="82">
        <v>2.2517166890574199E-2</v>
      </c>
      <c r="P66" s="82">
        <v>0</v>
      </c>
      <c r="Q66" s="82">
        <v>34.579836731186496</v>
      </c>
      <c r="R66" s="82">
        <v>13.7884050460169</v>
      </c>
      <c r="S66" s="82">
        <v>0</v>
      </c>
      <c r="T66" s="82">
        <v>19.8157145377461</v>
      </c>
      <c r="U66" s="82">
        <v>4.2477611871595604</v>
      </c>
      <c r="V66" s="82">
        <v>4.3072236680698701</v>
      </c>
      <c r="W66" s="82">
        <v>0</v>
      </c>
      <c r="X66" s="82">
        <v>0</v>
      </c>
      <c r="Y66" s="82">
        <v>0</v>
      </c>
      <c r="Z66" s="82">
        <v>0</v>
      </c>
      <c r="AA66" s="82">
        <v>275.79982199201697</v>
      </c>
      <c r="AB66" s="82">
        <v>0</v>
      </c>
      <c r="AC66" s="82">
        <v>0</v>
      </c>
      <c r="AD66" s="82">
        <v>25.460023976005498</v>
      </c>
      <c r="AE66" s="82">
        <v>0.90646960515147301</v>
      </c>
      <c r="AF66" s="82">
        <v>7.5867973607658303</v>
      </c>
      <c r="AG66" s="82">
        <v>0</v>
      </c>
      <c r="AH66" s="82">
        <v>3.5025886292904702</v>
      </c>
      <c r="AI66" s="82">
        <v>0</v>
      </c>
      <c r="AJ66" s="82">
        <v>2.4652203504438002</v>
      </c>
      <c r="AK66" s="82">
        <v>16.061328877496202</v>
      </c>
      <c r="AL66" s="82">
        <v>0</v>
      </c>
      <c r="AM66" s="82">
        <v>211.61198773610101</v>
      </c>
      <c r="AN66" s="82">
        <v>0</v>
      </c>
      <c r="AO66" s="82">
        <v>0</v>
      </c>
      <c r="AP66" s="82">
        <v>3.6359717023147499E-13</v>
      </c>
      <c r="AQ66" s="82">
        <v>0</v>
      </c>
      <c r="AR66" s="83">
        <v>5.3584862891833502</v>
      </c>
    </row>
    <row r="67" spans="2:44" ht="12" customHeight="1" x14ac:dyDescent="0.25">
      <c r="B67" s="81" t="s">
        <v>44</v>
      </c>
      <c r="C67" s="82" t="s">
        <v>109</v>
      </c>
      <c r="D67" s="82" t="s">
        <v>45</v>
      </c>
      <c r="E67" s="82" t="s">
        <v>111</v>
      </c>
      <c r="F67" s="82" t="s">
        <v>25</v>
      </c>
      <c r="G67" s="82" t="s">
        <v>25</v>
      </c>
      <c r="H67" s="82" t="s">
        <v>93</v>
      </c>
      <c r="I67" s="82" t="s">
        <v>25</v>
      </c>
      <c r="J67" s="82">
        <v>386.87</v>
      </c>
      <c r="K67" s="82">
        <v>233.91</v>
      </c>
      <c r="L67" s="82">
        <v>3.8469641908510299</v>
      </c>
      <c r="M67" s="82">
        <v>1.09571959855185</v>
      </c>
      <c r="N67" s="82">
        <v>3.6385876903226899</v>
      </c>
      <c r="O67" s="82">
        <v>2.2038078233327901E-2</v>
      </c>
      <c r="P67" s="82">
        <v>0</v>
      </c>
      <c r="Q67" s="82">
        <v>33.844095524140002</v>
      </c>
      <c r="R67" s="82">
        <v>13.4950347258889</v>
      </c>
      <c r="S67" s="82">
        <v>0</v>
      </c>
      <c r="T67" s="82">
        <v>19.394103590134499</v>
      </c>
      <c r="U67" s="82">
        <v>4.1573832895604204</v>
      </c>
      <c r="V67" s="82">
        <v>4.2155806113024203</v>
      </c>
      <c r="W67" s="82">
        <v>0</v>
      </c>
      <c r="X67" s="82">
        <v>0</v>
      </c>
      <c r="Y67" s="82">
        <v>0</v>
      </c>
      <c r="Z67" s="82">
        <v>0</v>
      </c>
      <c r="AA67" s="82">
        <v>269.93174067303801</v>
      </c>
      <c r="AB67" s="82">
        <v>0</v>
      </c>
      <c r="AC67" s="82">
        <v>0</v>
      </c>
      <c r="AD67" s="82">
        <v>24.918321338218199</v>
      </c>
      <c r="AE67" s="82">
        <v>0.88718301780782505</v>
      </c>
      <c r="AF67" s="82">
        <v>7.4253761403240004</v>
      </c>
      <c r="AG67" s="82">
        <v>0</v>
      </c>
      <c r="AH67" s="82">
        <v>3.42806546696514</v>
      </c>
      <c r="AI67" s="82">
        <v>0</v>
      </c>
      <c r="AJ67" s="82">
        <v>2.4127688536258498</v>
      </c>
      <c r="AK67" s="82">
        <v>15.719598475847301</v>
      </c>
      <c r="AL67" s="82">
        <v>0</v>
      </c>
      <c r="AM67" s="82">
        <v>207.10960501831201</v>
      </c>
      <c r="AN67" s="82">
        <v>0</v>
      </c>
      <c r="AO67" s="82">
        <v>0</v>
      </c>
      <c r="AP67" s="82">
        <v>3.5586106022654999E-13</v>
      </c>
      <c r="AQ67" s="82">
        <v>0</v>
      </c>
      <c r="AR67" s="83">
        <v>5.2444759426049803</v>
      </c>
    </row>
    <row r="68" spans="2:44" ht="12" customHeight="1" x14ac:dyDescent="0.25">
      <c r="B68" s="81" t="s">
        <v>37</v>
      </c>
      <c r="C68" s="82" t="s">
        <v>33</v>
      </c>
      <c r="D68" s="82" t="s">
        <v>25</v>
      </c>
      <c r="E68" s="82" t="s">
        <v>25</v>
      </c>
      <c r="F68" s="82" t="s">
        <v>25</v>
      </c>
      <c r="G68" s="82" t="s">
        <v>34</v>
      </c>
      <c r="H68" s="82" t="s">
        <v>93</v>
      </c>
      <c r="I68" s="82" t="s">
        <v>25</v>
      </c>
      <c r="J68" s="82">
        <v>1155.3599999999999</v>
      </c>
      <c r="K68" s="82">
        <v>394.42</v>
      </c>
      <c r="L68" s="82">
        <v>4.1814828161424202</v>
      </c>
      <c r="M68" s="82">
        <v>1.1909995636433099</v>
      </c>
      <c r="N68" s="82">
        <v>10.7355919241212</v>
      </c>
      <c r="O68" s="82">
        <v>2.3954432862312899E-2</v>
      </c>
      <c r="P68" s="82">
        <v>0</v>
      </c>
      <c r="Q68" s="82">
        <v>36.787060352326101</v>
      </c>
      <c r="R68" s="82">
        <v>14.668516006400999</v>
      </c>
      <c r="S68" s="82">
        <v>0</v>
      </c>
      <c r="T68" s="82">
        <v>68.511809221685596</v>
      </c>
      <c r="U68" s="82">
        <v>14.6864083598602</v>
      </c>
      <c r="V68" s="82">
        <v>14.891917858051499</v>
      </c>
      <c r="W68" s="82">
        <v>0</v>
      </c>
      <c r="X68" s="82">
        <v>0</v>
      </c>
      <c r="Y68" s="82">
        <v>0</v>
      </c>
      <c r="Z68" s="82">
        <v>0</v>
      </c>
      <c r="AA68" s="82">
        <v>953.563132116308</v>
      </c>
      <c r="AB68" s="82">
        <v>0</v>
      </c>
      <c r="AC68" s="82">
        <v>0</v>
      </c>
      <c r="AD68" s="82">
        <v>27.085131889367599</v>
      </c>
      <c r="AE68" s="82">
        <v>0.96432936718241802</v>
      </c>
      <c r="AF68" s="82">
        <v>8.0710610220912997</v>
      </c>
      <c r="AG68" s="82">
        <v>0</v>
      </c>
      <c r="AH68" s="82">
        <v>3.7261581162664599</v>
      </c>
      <c r="AI68" s="82">
        <v>0</v>
      </c>
      <c r="AJ68" s="82">
        <v>2.6225748408976601</v>
      </c>
      <c r="AK68" s="82">
        <v>17.0865200824427</v>
      </c>
      <c r="AL68" s="82">
        <v>0</v>
      </c>
      <c r="AM68" s="82">
        <v>365.287654462158</v>
      </c>
      <c r="AN68" s="82">
        <v>0</v>
      </c>
      <c r="AO68" s="82">
        <v>0</v>
      </c>
      <c r="AP68" s="82">
        <v>3.8680550024624998E-13</v>
      </c>
      <c r="AQ68" s="82">
        <v>0</v>
      </c>
      <c r="AR68" s="83">
        <v>5.7005173289184601</v>
      </c>
    </row>
    <row r="69" spans="2:44" ht="12" customHeight="1" x14ac:dyDescent="0.25">
      <c r="B69" s="81" t="s">
        <v>37</v>
      </c>
      <c r="C69" s="82" t="s">
        <v>33</v>
      </c>
      <c r="D69" s="82" t="s">
        <v>25</v>
      </c>
      <c r="E69" s="82" t="s">
        <v>25</v>
      </c>
      <c r="F69" s="82" t="s">
        <v>25</v>
      </c>
      <c r="G69" s="82" t="s">
        <v>36</v>
      </c>
      <c r="H69" s="82" t="s">
        <v>93</v>
      </c>
      <c r="I69" s="82" t="s">
        <v>25</v>
      </c>
      <c r="J69" s="82">
        <v>730.78</v>
      </c>
      <c r="K69" s="82">
        <v>241.51</v>
      </c>
      <c r="L69" s="82">
        <v>4.1814828161424202</v>
      </c>
      <c r="M69" s="82">
        <v>1.1909995636433099</v>
      </c>
      <c r="N69" s="82">
        <v>6.8179086613745099</v>
      </c>
      <c r="O69" s="82">
        <v>2.3954432862312899E-2</v>
      </c>
      <c r="P69" s="82">
        <v>0</v>
      </c>
      <c r="Q69" s="82">
        <v>36.787060352326101</v>
      </c>
      <c r="R69" s="82">
        <v>14.668516006400999</v>
      </c>
      <c r="S69" s="82">
        <v>0</v>
      </c>
      <c r="T69" s="82">
        <v>41.107109720849301</v>
      </c>
      <c r="U69" s="82">
        <v>8.8118672087011092</v>
      </c>
      <c r="V69" s="82">
        <v>8.9351191681676401</v>
      </c>
      <c r="W69" s="82">
        <v>0</v>
      </c>
      <c r="X69" s="82">
        <v>0</v>
      </c>
      <c r="Y69" s="82">
        <v>0</v>
      </c>
      <c r="Z69" s="82">
        <v>0</v>
      </c>
      <c r="AA69" s="82">
        <v>572.13784638266702</v>
      </c>
      <c r="AB69" s="82">
        <v>0</v>
      </c>
      <c r="AC69" s="82">
        <v>0</v>
      </c>
      <c r="AD69" s="82">
        <v>27.085131889367599</v>
      </c>
      <c r="AE69" s="82">
        <v>0.96432936718241802</v>
      </c>
      <c r="AF69" s="82">
        <v>8.0710610220912997</v>
      </c>
      <c r="AG69" s="82">
        <v>0</v>
      </c>
      <c r="AH69" s="82">
        <v>3.7261581162664599</v>
      </c>
      <c r="AI69" s="82">
        <v>0</v>
      </c>
      <c r="AJ69" s="82">
        <v>2.6225748408976601</v>
      </c>
      <c r="AK69" s="82">
        <v>17.0865200824427</v>
      </c>
      <c r="AL69" s="82">
        <v>0</v>
      </c>
      <c r="AM69" s="82">
        <v>212.376543291952</v>
      </c>
      <c r="AN69" s="82">
        <v>0</v>
      </c>
      <c r="AO69" s="82">
        <v>0</v>
      </c>
      <c r="AP69" s="82">
        <v>3.8680550024624998E-13</v>
      </c>
      <c r="AQ69" s="82">
        <v>0</v>
      </c>
      <c r="AR69" s="83">
        <v>5.7005173289184601</v>
      </c>
    </row>
    <row r="70" spans="2:44" ht="12" customHeight="1" x14ac:dyDescent="0.25">
      <c r="B70" s="81" t="s">
        <v>37</v>
      </c>
      <c r="C70" s="82" t="s">
        <v>33</v>
      </c>
      <c r="D70" s="82" t="s">
        <v>25</v>
      </c>
      <c r="E70" s="82" t="s">
        <v>25</v>
      </c>
      <c r="F70" s="82" t="s">
        <v>25</v>
      </c>
      <c r="G70" s="82" t="s">
        <v>35</v>
      </c>
      <c r="H70" s="82" t="s">
        <v>93</v>
      </c>
      <c r="I70" s="82" t="s">
        <v>25</v>
      </c>
      <c r="J70" s="82">
        <v>306.2</v>
      </c>
      <c r="K70" s="82">
        <v>241.51</v>
      </c>
      <c r="L70" s="82">
        <v>4.1814828161424202</v>
      </c>
      <c r="M70" s="82">
        <v>1.1909995636433099</v>
      </c>
      <c r="N70" s="82">
        <v>2.9002253986277702</v>
      </c>
      <c r="O70" s="82">
        <v>2.3954432862312899E-2</v>
      </c>
      <c r="P70" s="82">
        <v>0</v>
      </c>
      <c r="Q70" s="82">
        <v>36.787060352326101</v>
      </c>
      <c r="R70" s="82">
        <v>14.668516006400999</v>
      </c>
      <c r="S70" s="82">
        <v>0</v>
      </c>
      <c r="T70" s="82">
        <v>13.7024102200131</v>
      </c>
      <c r="U70" s="82">
        <v>2.9373260575420201</v>
      </c>
      <c r="V70" s="82">
        <v>2.9783204782837802</v>
      </c>
      <c r="W70" s="82">
        <v>0</v>
      </c>
      <c r="X70" s="82">
        <v>0</v>
      </c>
      <c r="Y70" s="82">
        <v>0</v>
      </c>
      <c r="Z70" s="82">
        <v>0</v>
      </c>
      <c r="AA70" s="82">
        <v>190.71256064902599</v>
      </c>
      <c r="AB70" s="82">
        <v>0</v>
      </c>
      <c r="AC70" s="82">
        <v>0</v>
      </c>
      <c r="AD70" s="82">
        <v>27.085131889367599</v>
      </c>
      <c r="AE70" s="82">
        <v>0.96432936718241802</v>
      </c>
      <c r="AF70" s="82">
        <v>8.0710610220912997</v>
      </c>
      <c r="AG70" s="82">
        <v>0</v>
      </c>
      <c r="AH70" s="82">
        <v>3.7261581162664599</v>
      </c>
      <c r="AI70" s="82">
        <v>0</v>
      </c>
      <c r="AJ70" s="82">
        <v>2.6225748408976601</v>
      </c>
      <c r="AK70" s="82">
        <v>17.0865200824427</v>
      </c>
      <c r="AL70" s="82">
        <v>0</v>
      </c>
      <c r="AM70" s="82">
        <v>212.376543291952</v>
      </c>
      <c r="AN70" s="82">
        <v>0</v>
      </c>
      <c r="AO70" s="82">
        <v>0</v>
      </c>
      <c r="AP70" s="82">
        <v>3.8680550024624998E-13</v>
      </c>
      <c r="AQ70" s="82">
        <v>0</v>
      </c>
      <c r="AR70" s="83">
        <v>5.7005173289184601</v>
      </c>
    </row>
    <row r="71" spans="2:44" ht="12" customHeight="1" x14ac:dyDescent="0.25">
      <c r="B71" s="81" t="s">
        <v>37</v>
      </c>
      <c r="C71" s="82" t="s">
        <v>23</v>
      </c>
      <c r="D71" s="82" t="s">
        <v>25</v>
      </c>
      <c r="E71" s="82" t="s">
        <v>25</v>
      </c>
      <c r="F71" s="82" t="s">
        <v>25</v>
      </c>
      <c r="G71" s="82" t="s">
        <v>25</v>
      </c>
      <c r="H71" s="82" t="s">
        <v>93</v>
      </c>
      <c r="I71" s="82" t="s">
        <v>25</v>
      </c>
      <c r="J71" s="82">
        <v>420.51</v>
      </c>
      <c r="K71" s="82">
        <v>254.25</v>
      </c>
      <c r="L71" s="82">
        <v>4.1814828161424202</v>
      </c>
      <c r="M71" s="82">
        <v>1.1909995636433099</v>
      </c>
      <c r="N71" s="82">
        <v>3.95498661991597</v>
      </c>
      <c r="O71" s="82">
        <v>2.3954432862312899E-2</v>
      </c>
      <c r="P71" s="82">
        <v>0</v>
      </c>
      <c r="Q71" s="82">
        <v>36.787060352326101</v>
      </c>
      <c r="R71" s="82">
        <v>14.668516006400999</v>
      </c>
      <c r="S71" s="82">
        <v>0</v>
      </c>
      <c r="T71" s="82">
        <v>21.080547380580999</v>
      </c>
      <c r="U71" s="82">
        <v>4.5188948799569797</v>
      </c>
      <c r="V71" s="82">
        <v>4.5821528383721999</v>
      </c>
      <c r="W71" s="82">
        <v>0</v>
      </c>
      <c r="X71" s="82">
        <v>0</v>
      </c>
      <c r="Y71" s="82">
        <v>0</v>
      </c>
      <c r="Z71" s="82">
        <v>0</v>
      </c>
      <c r="AA71" s="82">
        <v>293.40406594895501</v>
      </c>
      <c r="AB71" s="82">
        <v>0</v>
      </c>
      <c r="AC71" s="82">
        <v>0</v>
      </c>
      <c r="AD71" s="82">
        <v>27.085131889367599</v>
      </c>
      <c r="AE71" s="82">
        <v>0.96432936718241802</v>
      </c>
      <c r="AF71" s="82">
        <v>8.0710610220912997</v>
      </c>
      <c r="AG71" s="82">
        <v>0</v>
      </c>
      <c r="AH71" s="82">
        <v>3.7261581162664599</v>
      </c>
      <c r="AI71" s="82">
        <v>0</v>
      </c>
      <c r="AJ71" s="82">
        <v>2.6225748408976601</v>
      </c>
      <c r="AK71" s="82">
        <v>17.0865200824427</v>
      </c>
      <c r="AL71" s="82">
        <v>0</v>
      </c>
      <c r="AM71" s="82">
        <v>225.11913588946999</v>
      </c>
      <c r="AN71" s="82">
        <v>0</v>
      </c>
      <c r="AO71" s="82">
        <v>0</v>
      </c>
      <c r="AP71" s="82">
        <v>3.8680550024624998E-13</v>
      </c>
      <c r="AQ71" s="82">
        <v>0</v>
      </c>
      <c r="AR71" s="83">
        <v>5.7005173289184601</v>
      </c>
    </row>
    <row r="72" spans="2:44" ht="12" customHeight="1" x14ac:dyDescent="0.25">
      <c r="B72" s="81" t="s">
        <v>37</v>
      </c>
      <c r="C72" s="82" t="s">
        <v>109</v>
      </c>
      <c r="D72" s="82" t="s">
        <v>25</v>
      </c>
      <c r="E72" s="82" t="s">
        <v>25</v>
      </c>
      <c r="F72" s="82" t="s">
        <v>25</v>
      </c>
      <c r="G72" s="82" t="s">
        <v>25</v>
      </c>
      <c r="H72" s="82" t="s">
        <v>93</v>
      </c>
      <c r="I72" s="82" t="s">
        <v>25</v>
      </c>
      <c r="J72" s="82">
        <v>420.51</v>
      </c>
      <c r="K72" s="82">
        <v>254.25</v>
      </c>
      <c r="L72" s="82">
        <v>4.1814828161424202</v>
      </c>
      <c r="M72" s="82">
        <v>1.1909995636433099</v>
      </c>
      <c r="N72" s="82">
        <v>3.95498661991597</v>
      </c>
      <c r="O72" s="82">
        <v>2.3954432862312899E-2</v>
      </c>
      <c r="P72" s="82">
        <v>0</v>
      </c>
      <c r="Q72" s="82">
        <v>36.787060352326101</v>
      </c>
      <c r="R72" s="82">
        <v>14.668516006400999</v>
      </c>
      <c r="S72" s="82">
        <v>0</v>
      </c>
      <c r="T72" s="82">
        <v>21.080547380580999</v>
      </c>
      <c r="U72" s="82">
        <v>4.5188948799569797</v>
      </c>
      <c r="V72" s="82">
        <v>4.5821528383721999</v>
      </c>
      <c r="W72" s="82">
        <v>0</v>
      </c>
      <c r="X72" s="82">
        <v>0</v>
      </c>
      <c r="Y72" s="82">
        <v>0</v>
      </c>
      <c r="Z72" s="82">
        <v>0</v>
      </c>
      <c r="AA72" s="82">
        <v>293.40406594895501</v>
      </c>
      <c r="AB72" s="82">
        <v>0</v>
      </c>
      <c r="AC72" s="82">
        <v>0</v>
      </c>
      <c r="AD72" s="82">
        <v>27.085131889367599</v>
      </c>
      <c r="AE72" s="82">
        <v>0.96432936718241802</v>
      </c>
      <c r="AF72" s="82">
        <v>8.0710610220912997</v>
      </c>
      <c r="AG72" s="82">
        <v>0</v>
      </c>
      <c r="AH72" s="82">
        <v>3.7261581162664599</v>
      </c>
      <c r="AI72" s="82">
        <v>0</v>
      </c>
      <c r="AJ72" s="82">
        <v>2.6225748408976601</v>
      </c>
      <c r="AK72" s="82">
        <v>17.0865200824427</v>
      </c>
      <c r="AL72" s="82">
        <v>0</v>
      </c>
      <c r="AM72" s="82">
        <v>225.11913588946999</v>
      </c>
      <c r="AN72" s="82">
        <v>0</v>
      </c>
      <c r="AO72" s="82">
        <v>0</v>
      </c>
      <c r="AP72" s="82">
        <v>3.8680550024624998E-13</v>
      </c>
      <c r="AQ72" s="82">
        <v>0</v>
      </c>
      <c r="AR72" s="83">
        <v>5.7005173289184601</v>
      </c>
    </row>
    <row r="73" spans="2:44" ht="12" customHeight="1" x14ac:dyDescent="0.25">
      <c r="B73" s="81" t="s">
        <v>47</v>
      </c>
      <c r="C73" s="82" t="s">
        <v>23</v>
      </c>
      <c r="D73" s="82" t="s">
        <v>48</v>
      </c>
      <c r="E73" s="82" t="s">
        <v>49</v>
      </c>
      <c r="F73" s="82" t="s">
        <v>25</v>
      </c>
      <c r="G73" s="82" t="s">
        <v>25</v>
      </c>
      <c r="H73" s="82" t="s">
        <v>93</v>
      </c>
      <c r="I73" s="82" t="s">
        <v>25</v>
      </c>
      <c r="J73" s="82">
        <v>231.28</v>
      </c>
      <c r="K73" s="82">
        <v>139.84</v>
      </c>
      <c r="L73" s="82">
        <v>2.2998155488783301</v>
      </c>
      <c r="M73" s="82">
        <v>0.65504976000382298</v>
      </c>
      <c r="N73" s="82">
        <v>2.1752426409537802</v>
      </c>
      <c r="O73" s="82">
        <v>1.31749380742721E-2</v>
      </c>
      <c r="P73" s="82">
        <v>0</v>
      </c>
      <c r="Q73" s="82">
        <v>20.232883193779401</v>
      </c>
      <c r="R73" s="82">
        <v>8.0676838035205396</v>
      </c>
      <c r="S73" s="82">
        <v>0</v>
      </c>
      <c r="T73" s="82">
        <v>11.5943010593195</v>
      </c>
      <c r="U73" s="82">
        <v>2.48539218397634</v>
      </c>
      <c r="V73" s="82">
        <v>2.5201840611047102</v>
      </c>
      <c r="W73" s="82">
        <v>0</v>
      </c>
      <c r="X73" s="82">
        <v>0</v>
      </c>
      <c r="Y73" s="82">
        <v>0</v>
      </c>
      <c r="Z73" s="82">
        <v>0</v>
      </c>
      <c r="AA73" s="82">
        <v>161.372236271925</v>
      </c>
      <c r="AB73" s="82">
        <v>0</v>
      </c>
      <c r="AC73" s="82">
        <v>0</v>
      </c>
      <c r="AD73" s="82">
        <v>14.8968225391522</v>
      </c>
      <c r="AE73" s="82">
        <v>0.53038115195032998</v>
      </c>
      <c r="AF73" s="82">
        <v>4.4390835621502198</v>
      </c>
      <c r="AG73" s="82">
        <v>0</v>
      </c>
      <c r="AH73" s="82">
        <v>2.0493869639465498</v>
      </c>
      <c r="AI73" s="82">
        <v>0</v>
      </c>
      <c r="AJ73" s="82">
        <v>1.44241616249371</v>
      </c>
      <c r="AK73" s="82">
        <v>9.3975860453435001</v>
      </c>
      <c r="AL73" s="82">
        <v>0</v>
      </c>
      <c r="AM73" s="82">
        <v>123.815524739208</v>
      </c>
      <c r="AN73" s="82">
        <v>0</v>
      </c>
      <c r="AO73" s="82">
        <v>0</v>
      </c>
      <c r="AP73" s="82">
        <v>2.1274302513543799E-13</v>
      </c>
      <c r="AQ73" s="82">
        <v>0</v>
      </c>
      <c r="AR73" s="83">
        <v>3.13528453090515</v>
      </c>
    </row>
    <row r="74" spans="2:44" ht="12" customHeight="1" x14ac:dyDescent="0.25">
      <c r="B74" s="84" t="s">
        <v>47</v>
      </c>
      <c r="C74" s="85" t="s">
        <v>23</v>
      </c>
      <c r="D74" s="85" t="s">
        <v>48</v>
      </c>
      <c r="E74" s="85" t="s">
        <v>112</v>
      </c>
      <c r="F74" s="85" t="s">
        <v>25</v>
      </c>
      <c r="G74" s="85" t="s">
        <v>25</v>
      </c>
      <c r="H74" s="85" t="s">
        <v>93</v>
      </c>
      <c r="I74" s="85" t="s">
        <v>25</v>
      </c>
      <c r="J74" s="85">
        <v>252.31</v>
      </c>
      <c r="K74" s="85">
        <v>152.55000000000001</v>
      </c>
      <c r="L74" s="85">
        <v>2.50888968968545</v>
      </c>
      <c r="M74" s="85">
        <v>0.71459973818598899</v>
      </c>
      <c r="N74" s="85">
        <v>2.3729919719495798</v>
      </c>
      <c r="O74" s="85">
        <v>1.43726597173878E-2</v>
      </c>
      <c r="P74" s="85">
        <v>0</v>
      </c>
      <c r="Q74" s="85">
        <v>22.072236211395701</v>
      </c>
      <c r="R74" s="85">
        <v>8.8011096038405903</v>
      </c>
      <c r="S74" s="85">
        <v>0</v>
      </c>
      <c r="T74" s="85">
        <v>12.6483284283486</v>
      </c>
      <c r="U74" s="85">
        <v>2.7113369279741901</v>
      </c>
      <c r="V74" s="85">
        <v>2.7492917030233199</v>
      </c>
      <c r="W74" s="85">
        <v>0</v>
      </c>
      <c r="X74" s="85">
        <v>0</v>
      </c>
      <c r="Y74" s="85">
        <v>0</v>
      </c>
      <c r="Z74" s="85">
        <v>0</v>
      </c>
      <c r="AA74" s="85">
        <v>176.04243956937299</v>
      </c>
      <c r="AB74" s="85">
        <v>0</v>
      </c>
      <c r="AC74" s="85">
        <v>0</v>
      </c>
      <c r="AD74" s="85">
        <v>16.2510791336205</v>
      </c>
      <c r="AE74" s="85">
        <v>0.57859762030945106</v>
      </c>
      <c r="AF74" s="85">
        <v>4.84263661325478</v>
      </c>
      <c r="AG74" s="85">
        <v>0</v>
      </c>
      <c r="AH74" s="85">
        <v>2.23569486975987</v>
      </c>
      <c r="AI74" s="85">
        <v>0</v>
      </c>
      <c r="AJ74" s="85">
        <v>1.5735449045386001</v>
      </c>
      <c r="AK74" s="85">
        <v>10.2519120494656</v>
      </c>
      <c r="AL74" s="85">
        <v>0</v>
      </c>
      <c r="AM74" s="85">
        <v>135.071481533682</v>
      </c>
      <c r="AN74" s="85">
        <v>0</v>
      </c>
      <c r="AO74" s="85">
        <v>0</v>
      </c>
      <c r="AP74" s="85">
        <v>2.3208330014774998E-13</v>
      </c>
      <c r="AQ74" s="85">
        <v>0</v>
      </c>
      <c r="AR74" s="86">
        <v>3.4203103973510798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7FDB-C51F-41D8-B958-9D05DE27DCED}">
  <dimension ref="B1:AR74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1620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1621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859</v>
      </c>
      <c r="M2" s="125"/>
      <c r="N2" s="125"/>
      <c r="O2" s="125"/>
      <c r="P2" s="125"/>
      <c r="Q2" s="125"/>
      <c r="R2" s="125"/>
      <c r="S2" s="126"/>
      <c r="T2" s="125" t="s">
        <v>868</v>
      </c>
      <c r="U2" s="125"/>
      <c r="V2" s="125"/>
      <c r="W2" s="125"/>
      <c r="X2" s="125"/>
      <c r="Y2" s="125"/>
      <c r="Z2" s="126"/>
      <c r="AA2" s="88" t="s">
        <v>876</v>
      </c>
      <c r="AB2" s="125" t="s">
        <v>25</v>
      </c>
      <c r="AC2" s="126"/>
      <c r="AD2" s="125" t="s">
        <v>1619</v>
      </c>
      <c r="AE2" s="125"/>
      <c r="AF2" s="125"/>
      <c r="AG2" s="126"/>
      <c r="AH2" s="125" t="s">
        <v>859</v>
      </c>
      <c r="AI2" s="125"/>
      <c r="AJ2" s="125"/>
      <c r="AK2" s="125"/>
      <c r="AL2" s="126"/>
      <c r="AM2" s="88" t="s">
        <v>889</v>
      </c>
      <c r="AN2" s="125" t="s">
        <v>868</v>
      </c>
      <c r="AO2" s="125"/>
      <c r="AP2" s="125"/>
      <c r="AQ2" s="126"/>
      <c r="AR2" s="87" t="s">
        <v>1619</v>
      </c>
    </row>
    <row r="3" spans="2:44" ht="12" customHeight="1" x14ac:dyDescent="0.25">
      <c r="B3" s="78" t="s">
        <v>83</v>
      </c>
      <c r="C3" s="79" t="s">
        <v>84</v>
      </c>
      <c r="D3" s="79" t="s">
        <v>85</v>
      </c>
      <c r="E3" s="79" t="s">
        <v>86</v>
      </c>
      <c r="F3" s="79" t="s">
        <v>87</v>
      </c>
      <c r="G3" s="79" t="s">
        <v>89</v>
      </c>
      <c r="H3" s="79" t="s">
        <v>90</v>
      </c>
      <c r="I3" s="79" t="s">
        <v>1103</v>
      </c>
      <c r="J3" s="79" t="s">
        <v>1584</v>
      </c>
      <c r="K3" s="79" t="s">
        <v>1585</v>
      </c>
      <c r="L3" s="79" t="s">
        <v>1586</v>
      </c>
      <c r="M3" s="79" t="s">
        <v>1587</v>
      </c>
      <c r="N3" s="79" t="s">
        <v>1588</v>
      </c>
      <c r="O3" s="79" t="s">
        <v>1589</v>
      </c>
      <c r="P3" s="79" t="s">
        <v>1590</v>
      </c>
      <c r="Q3" s="79" t="s">
        <v>1591</v>
      </c>
      <c r="R3" s="79" t="s">
        <v>1592</v>
      </c>
      <c r="S3" s="79" t="s">
        <v>1593</v>
      </c>
      <c r="T3" s="79" t="s">
        <v>1594</v>
      </c>
      <c r="U3" s="79" t="s">
        <v>1595</v>
      </c>
      <c r="V3" s="79" t="s">
        <v>1596</v>
      </c>
      <c r="W3" s="79" t="s">
        <v>1597</v>
      </c>
      <c r="X3" s="79" t="s">
        <v>1598</v>
      </c>
      <c r="Y3" s="79" t="s">
        <v>1599</v>
      </c>
      <c r="Z3" s="79" t="s">
        <v>1600</v>
      </c>
      <c r="AA3" s="79" t="s">
        <v>1601</v>
      </c>
      <c r="AB3" s="79" t="s">
        <v>1602</v>
      </c>
      <c r="AC3" s="79" t="s">
        <v>1603</v>
      </c>
      <c r="AD3" s="79" t="s">
        <v>1604</v>
      </c>
      <c r="AE3" s="79" t="s">
        <v>1605</v>
      </c>
      <c r="AF3" s="79" t="s">
        <v>1606</v>
      </c>
      <c r="AG3" s="79" t="s">
        <v>1607</v>
      </c>
      <c r="AH3" s="79" t="s">
        <v>1608</v>
      </c>
      <c r="AI3" s="79" t="s">
        <v>1623</v>
      </c>
      <c r="AJ3" s="79" t="s">
        <v>1609</v>
      </c>
      <c r="AK3" s="79" t="s">
        <v>1610</v>
      </c>
      <c r="AL3" s="79" t="s">
        <v>1611</v>
      </c>
      <c r="AM3" s="79" t="s">
        <v>1612</v>
      </c>
      <c r="AN3" s="79" t="s">
        <v>1613</v>
      </c>
      <c r="AO3" s="79" t="s">
        <v>1614</v>
      </c>
      <c r="AP3" s="79" t="s">
        <v>1615</v>
      </c>
      <c r="AQ3" s="79" t="s">
        <v>1616</v>
      </c>
      <c r="AR3" s="80" t="s">
        <v>1617</v>
      </c>
    </row>
    <row r="4" spans="2:44" ht="12" customHeight="1" x14ac:dyDescent="0.25">
      <c r="B4" s="81" t="s">
        <v>39</v>
      </c>
      <c r="C4" s="82" t="s">
        <v>40</v>
      </c>
      <c r="D4" s="82" t="s">
        <v>25</v>
      </c>
      <c r="E4" s="82" t="s">
        <v>25</v>
      </c>
      <c r="F4" s="82" t="s">
        <v>58</v>
      </c>
      <c r="G4" s="82" t="s">
        <v>34</v>
      </c>
      <c r="H4" s="82" t="s">
        <v>93</v>
      </c>
      <c r="I4" s="82" t="s">
        <v>25</v>
      </c>
      <c r="J4" s="82">
        <v>0.49</v>
      </c>
      <c r="K4" s="82">
        <v>0</v>
      </c>
      <c r="L4" s="82">
        <v>0</v>
      </c>
      <c r="M4" s="82">
        <v>0</v>
      </c>
      <c r="N4" s="82">
        <v>0</v>
      </c>
      <c r="O4" s="82">
        <v>0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0</v>
      </c>
      <c r="AC4" s="82">
        <v>0</v>
      </c>
      <c r="AD4" s="82">
        <v>0.32421871299507099</v>
      </c>
      <c r="AE4" s="82">
        <v>1.1543367320798199E-2</v>
      </c>
      <c r="AF4" s="82">
        <v>0.15696182095922201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39</v>
      </c>
      <c r="C5" s="82" t="s">
        <v>40</v>
      </c>
      <c r="D5" s="82" t="s">
        <v>25</v>
      </c>
      <c r="E5" s="82" t="s">
        <v>25</v>
      </c>
      <c r="F5" s="82" t="s">
        <v>58</v>
      </c>
      <c r="G5" s="82" t="s">
        <v>34</v>
      </c>
      <c r="H5" s="82" t="s">
        <v>99</v>
      </c>
      <c r="I5" s="82" t="s">
        <v>25</v>
      </c>
      <c r="J5" s="82">
        <v>0.38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0.31874672465218401</v>
      </c>
      <c r="U5" s="82">
        <v>6.2006751826110998E-2</v>
      </c>
      <c r="V5" s="82">
        <v>0</v>
      </c>
      <c r="W5" s="82">
        <v>0</v>
      </c>
      <c r="X5" s="82">
        <v>0</v>
      </c>
      <c r="Y5" s="82">
        <v>0</v>
      </c>
      <c r="Z5" s="82">
        <v>0</v>
      </c>
      <c r="AA5" s="82">
        <v>0</v>
      </c>
      <c r="AB5" s="82">
        <v>0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39</v>
      </c>
      <c r="C6" s="82" t="s">
        <v>40</v>
      </c>
      <c r="D6" s="82" t="s">
        <v>25</v>
      </c>
      <c r="E6" s="82" t="s">
        <v>25</v>
      </c>
      <c r="F6" s="82" t="s">
        <v>58</v>
      </c>
      <c r="G6" s="82" t="s">
        <v>35</v>
      </c>
      <c r="H6" s="82" t="s">
        <v>93</v>
      </c>
      <c r="I6" s="82" t="s">
        <v>25</v>
      </c>
      <c r="J6" s="82">
        <v>0.49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0</v>
      </c>
      <c r="AC6" s="82">
        <v>0</v>
      </c>
      <c r="AD6" s="82">
        <v>0.32421871299507099</v>
      </c>
      <c r="AE6" s="82">
        <v>1.1543367320798199E-2</v>
      </c>
      <c r="AF6" s="82">
        <v>0.15696182095922201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39</v>
      </c>
      <c r="C7" s="82" t="s">
        <v>40</v>
      </c>
      <c r="D7" s="82" t="s">
        <v>25</v>
      </c>
      <c r="E7" s="82" t="s">
        <v>25</v>
      </c>
      <c r="F7" s="82" t="s">
        <v>58</v>
      </c>
      <c r="G7" s="82" t="s">
        <v>35</v>
      </c>
      <c r="H7" s="82" t="s">
        <v>99</v>
      </c>
      <c r="I7" s="82" t="s">
        <v>25</v>
      </c>
      <c r="J7" s="82">
        <v>0.37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0.304753956682426</v>
      </c>
      <c r="U7" s="82">
        <v>6.0522266832978601E-2</v>
      </c>
      <c r="V7" s="82">
        <v>0</v>
      </c>
      <c r="W7" s="82">
        <v>0</v>
      </c>
      <c r="X7" s="82">
        <v>0</v>
      </c>
      <c r="Y7" s="82">
        <v>0</v>
      </c>
      <c r="Z7" s="82">
        <v>0</v>
      </c>
      <c r="AA7" s="82">
        <v>0</v>
      </c>
      <c r="AB7" s="82">
        <v>0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39</v>
      </c>
      <c r="C8" s="82" t="s">
        <v>40</v>
      </c>
      <c r="D8" s="82" t="s">
        <v>25</v>
      </c>
      <c r="E8" s="82" t="s">
        <v>25</v>
      </c>
      <c r="F8" s="82" t="s">
        <v>25</v>
      </c>
      <c r="G8" s="82" t="s">
        <v>34</v>
      </c>
      <c r="H8" s="82" t="s">
        <v>93</v>
      </c>
      <c r="I8" s="82" t="s">
        <v>25</v>
      </c>
      <c r="J8" s="82">
        <v>4.37</v>
      </c>
      <c r="K8" s="82">
        <v>61.41</v>
      </c>
      <c r="L8" s="82">
        <v>0.16855282411393599</v>
      </c>
      <c r="M8" s="82">
        <v>0</v>
      </c>
      <c r="N8" s="82">
        <v>0</v>
      </c>
      <c r="O8" s="82">
        <v>0</v>
      </c>
      <c r="P8" s="82">
        <v>0</v>
      </c>
      <c r="Q8" s="82">
        <v>1.9926191173724599</v>
      </c>
      <c r="R8" s="82">
        <v>1.7194053454059199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0</v>
      </c>
      <c r="AC8" s="82">
        <v>0</v>
      </c>
      <c r="AD8" s="82">
        <v>0.32421871299507099</v>
      </c>
      <c r="AE8" s="82">
        <v>1.1543367320798199E-2</v>
      </c>
      <c r="AF8" s="82">
        <v>0.15696182095922201</v>
      </c>
      <c r="AG8" s="82">
        <v>0</v>
      </c>
      <c r="AH8" s="82">
        <v>0.242256426961206</v>
      </c>
      <c r="AI8" s="82">
        <v>0</v>
      </c>
      <c r="AJ8" s="82">
        <v>0</v>
      </c>
      <c r="AK8" s="82">
        <v>34.277550745088099</v>
      </c>
      <c r="AL8" s="82">
        <v>0</v>
      </c>
      <c r="AM8" s="82">
        <v>26.481298624591702</v>
      </c>
      <c r="AN8" s="82">
        <v>0</v>
      </c>
      <c r="AO8" s="82">
        <v>0</v>
      </c>
      <c r="AP8" s="82">
        <v>0</v>
      </c>
      <c r="AQ8" s="82">
        <v>0</v>
      </c>
      <c r="AR8" s="83">
        <v>0.41325541626643703</v>
      </c>
    </row>
    <row r="9" spans="2:44" ht="12" customHeight="1" x14ac:dyDescent="0.25">
      <c r="B9" s="81" t="s">
        <v>39</v>
      </c>
      <c r="C9" s="82" t="s">
        <v>40</v>
      </c>
      <c r="D9" s="82" t="s">
        <v>25</v>
      </c>
      <c r="E9" s="82" t="s">
        <v>25</v>
      </c>
      <c r="F9" s="82" t="s">
        <v>25</v>
      </c>
      <c r="G9" s="82" t="s">
        <v>34</v>
      </c>
      <c r="H9" s="82" t="s">
        <v>99</v>
      </c>
      <c r="I9" s="82" t="s">
        <v>25</v>
      </c>
      <c r="J9" s="82">
        <v>0.38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0.31874672465218401</v>
      </c>
      <c r="U9" s="82">
        <v>6.2006751826110998E-2</v>
      </c>
      <c r="V9" s="82">
        <v>0</v>
      </c>
      <c r="W9" s="82">
        <v>0</v>
      </c>
      <c r="X9" s="82">
        <v>0</v>
      </c>
      <c r="Y9" s="82">
        <v>0</v>
      </c>
      <c r="Z9" s="82">
        <v>0</v>
      </c>
      <c r="AA9" s="82">
        <v>0</v>
      </c>
      <c r="AB9" s="82">
        <v>0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39</v>
      </c>
      <c r="C10" s="82" t="s">
        <v>40</v>
      </c>
      <c r="D10" s="82" t="s">
        <v>25</v>
      </c>
      <c r="E10" s="82" t="s">
        <v>25</v>
      </c>
      <c r="F10" s="82" t="s">
        <v>25</v>
      </c>
      <c r="G10" s="82" t="s">
        <v>35</v>
      </c>
      <c r="H10" s="82" t="s">
        <v>93</v>
      </c>
      <c r="I10" s="82" t="s">
        <v>25</v>
      </c>
      <c r="J10" s="82">
        <v>4.37</v>
      </c>
      <c r="K10" s="82">
        <v>50.33</v>
      </c>
      <c r="L10" s="82">
        <v>0.16855282411393599</v>
      </c>
      <c r="M10" s="82">
        <v>0</v>
      </c>
      <c r="N10" s="82">
        <v>0</v>
      </c>
      <c r="O10" s="82">
        <v>0</v>
      </c>
      <c r="P10" s="82">
        <v>0</v>
      </c>
      <c r="Q10" s="82">
        <v>1.9926191173724599</v>
      </c>
      <c r="R10" s="82">
        <v>1.7194053454059199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0</v>
      </c>
      <c r="AC10" s="82">
        <v>0</v>
      </c>
      <c r="AD10" s="82">
        <v>0.32421871299507099</v>
      </c>
      <c r="AE10" s="82">
        <v>1.1543367320798199E-2</v>
      </c>
      <c r="AF10" s="82">
        <v>0.15696182095922201</v>
      </c>
      <c r="AG10" s="82">
        <v>0</v>
      </c>
      <c r="AH10" s="82">
        <v>0.242256426961206</v>
      </c>
      <c r="AI10" s="82">
        <v>0</v>
      </c>
      <c r="AJ10" s="82">
        <v>0</v>
      </c>
      <c r="AK10" s="82">
        <v>34.277550745088099</v>
      </c>
      <c r="AL10" s="82">
        <v>0</v>
      </c>
      <c r="AM10" s="82">
        <v>15.396103851506799</v>
      </c>
      <c r="AN10" s="82">
        <v>0</v>
      </c>
      <c r="AO10" s="82">
        <v>0</v>
      </c>
      <c r="AP10" s="82">
        <v>0</v>
      </c>
      <c r="AQ10" s="82">
        <v>0</v>
      </c>
      <c r="AR10" s="83">
        <v>0.41325541626643703</v>
      </c>
    </row>
    <row r="11" spans="2:44" ht="12" customHeight="1" x14ac:dyDescent="0.25">
      <c r="B11" s="81" t="s">
        <v>39</v>
      </c>
      <c r="C11" s="82" t="s">
        <v>40</v>
      </c>
      <c r="D11" s="82" t="s">
        <v>25</v>
      </c>
      <c r="E11" s="82" t="s">
        <v>25</v>
      </c>
      <c r="F11" s="82" t="s">
        <v>25</v>
      </c>
      <c r="G11" s="82" t="s">
        <v>35</v>
      </c>
      <c r="H11" s="82" t="s">
        <v>99</v>
      </c>
      <c r="I11" s="82" t="s">
        <v>25</v>
      </c>
      <c r="J11" s="82">
        <v>0.37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0.304753956682426</v>
      </c>
      <c r="U11" s="82">
        <v>6.0522266832978601E-2</v>
      </c>
      <c r="V11" s="82">
        <v>0</v>
      </c>
      <c r="W11" s="82">
        <v>0</v>
      </c>
      <c r="X11" s="82">
        <v>0</v>
      </c>
      <c r="Y11" s="82">
        <v>0</v>
      </c>
      <c r="Z11" s="82">
        <v>0</v>
      </c>
      <c r="AA11" s="82">
        <v>0</v>
      </c>
      <c r="AB11" s="82">
        <v>0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39</v>
      </c>
      <c r="C12" s="82" t="s">
        <v>61</v>
      </c>
      <c r="D12" s="82" t="s">
        <v>25</v>
      </c>
      <c r="E12" s="82" t="s">
        <v>25</v>
      </c>
      <c r="F12" s="82" t="s">
        <v>25</v>
      </c>
      <c r="G12" s="82" t="s">
        <v>34</v>
      </c>
      <c r="H12" s="82" t="s">
        <v>99</v>
      </c>
      <c r="I12" s="82" t="s">
        <v>65</v>
      </c>
      <c r="J12" s="82">
        <v>0.38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0.31874672465218401</v>
      </c>
      <c r="U12" s="82">
        <v>6.2006751826110998E-2</v>
      </c>
      <c r="V12" s="82">
        <v>0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0</v>
      </c>
      <c r="AJ12" s="82">
        <v>0</v>
      </c>
      <c r="AK12" s="82">
        <v>0</v>
      </c>
      <c r="AL12" s="82">
        <v>0</v>
      </c>
      <c r="AM12" s="82">
        <v>0</v>
      </c>
      <c r="AN12" s="82">
        <v>0</v>
      </c>
      <c r="AO12" s="82">
        <v>0</v>
      </c>
      <c r="AP12" s="82">
        <v>0</v>
      </c>
      <c r="AQ12" s="82">
        <v>0</v>
      </c>
      <c r="AR12" s="83">
        <v>0</v>
      </c>
    </row>
    <row r="13" spans="2:44" ht="12" customHeight="1" x14ac:dyDescent="0.25">
      <c r="B13" s="81" t="s">
        <v>39</v>
      </c>
      <c r="C13" s="82" t="s">
        <v>61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93</v>
      </c>
      <c r="I13" s="82" t="s">
        <v>65</v>
      </c>
      <c r="J13" s="82">
        <v>0.34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0.32421871299507099</v>
      </c>
      <c r="AE13" s="82">
        <v>1.1543367320798199E-2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39</v>
      </c>
      <c r="C14" s="82" t="s">
        <v>61</v>
      </c>
      <c r="D14" s="82" t="s">
        <v>25</v>
      </c>
      <c r="E14" s="82" t="s">
        <v>25</v>
      </c>
      <c r="F14" s="82" t="s">
        <v>25</v>
      </c>
      <c r="G14" s="82" t="s">
        <v>35</v>
      </c>
      <c r="H14" s="82" t="s">
        <v>99</v>
      </c>
      <c r="I14" s="82" t="s">
        <v>65</v>
      </c>
      <c r="J14" s="82">
        <v>0.37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0.304753956682426</v>
      </c>
      <c r="U14" s="82">
        <v>6.0522266832978601E-2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39</v>
      </c>
      <c r="C15" s="82" t="s">
        <v>69</v>
      </c>
      <c r="D15" s="82" t="s">
        <v>25</v>
      </c>
      <c r="E15" s="82" t="s">
        <v>25</v>
      </c>
      <c r="F15" s="82" t="s">
        <v>25</v>
      </c>
      <c r="G15" s="82" t="s">
        <v>25</v>
      </c>
      <c r="H15" s="82" t="s">
        <v>99</v>
      </c>
      <c r="I15" s="82" t="s">
        <v>25</v>
      </c>
      <c r="J15" s="82">
        <v>0.1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8.1903602678958298E-2</v>
      </c>
      <c r="AE15" s="82">
        <v>1.7742244155455E-2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41</v>
      </c>
      <c r="C16" s="82" t="s">
        <v>40</v>
      </c>
      <c r="D16" s="82" t="s">
        <v>25</v>
      </c>
      <c r="E16" s="82" t="s">
        <v>25</v>
      </c>
      <c r="F16" s="82" t="s">
        <v>58</v>
      </c>
      <c r="G16" s="82" t="s">
        <v>34</v>
      </c>
      <c r="H16" s="82" t="s">
        <v>93</v>
      </c>
      <c r="I16" s="82" t="s">
        <v>25</v>
      </c>
      <c r="J16" s="82">
        <v>1.25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0.78197239462547896</v>
      </c>
      <c r="AE16" s="82">
        <v>2.78410659967776E-2</v>
      </c>
      <c r="AF16" s="82">
        <v>0.438315234702294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41</v>
      </c>
      <c r="C17" s="82" t="s">
        <v>40</v>
      </c>
      <c r="D17" s="82" t="s">
        <v>25</v>
      </c>
      <c r="E17" s="82" t="s">
        <v>25</v>
      </c>
      <c r="F17" s="82" t="s">
        <v>58</v>
      </c>
      <c r="G17" s="82" t="s">
        <v>34</v>
      </c>
      <c r="H17" s="82" t="s">
        <v>99</v>
      </c>
      <c r="I17" s="82" t="s">
        <v>25</v>
      </c>
      <c r="J17" s="82">
        <v>0.35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0.290192542118831</v>
      </c>
      <c r="U17" s="82">
        <v>6.0677547690000902E-2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83">
        <v>0</v>
      </c>
    </row>
    <row r="18" spans="2:44" ht="12" customHeight="1" x14ac:dyDescent="0.25">
      <c r="B18" s="81" t="s">
        <v>41</v>
      </c>
      <c r="C18" s="82" t="s">
        <v>40</v>
      </c>
      <c r="D18" s="82" t="s">
        <v>25</v>
      </c>
      <c r="E18" s="82" t="s">
        <v>25</v>
      </c>
      <c r="F18" s="82" t="s">
        <v>58</v>
      </c>
      <c r="G18" s="82" t="s">
        <v>35</v>
      </c>
      <c r="H18" s="82" t="s">
        <v>93</v>
      </c>
      <c r="I18" s="82" t="s">
        <v>25</v>
      </c>
      <c r="J18" s="82">
        <v>1.25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0.78197239462547896</v>
      </c>
      <c r="AE18" s="82">
        <v>2.78410659967776E-2</v>
      </c>
      <c r="AF18" s="82">
        <v>0.438315234702294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41</v>
      </c>
      <c r="C19" s="82" t="s">
        <v>40</v>
      </c>
      <c r="D19" s="82" t="s">
        <v>25</v>
      </c>
      <c r="E19" s="82" t="s">
        <v>25</v>
      </c>
      <c r="F19" s="82" t="s">
        <v>58</v>
      </c>
      <c r="G19" s="82" t="s">
        <v>35</v>
      </c>
      <c r="H19" s="82" t="s">
        <v>99</v>
      </c>
      <c r="I19" s="82" t="s">
        <v>25</v>
      </c>
      <c r="J19" s="82">
        <v>0.35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0.29214218758341298</v>
      </c>
      <c r="U19" s="82">
        <v>6.18576822033697E-2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  <c r="AP19" s="82">
        <v>0</v>
      </c>
      <c r="AQ19" s="82">
        <v>0</v>
      </c>
      <c r="AR19" s="83">
        <v>0</v>
      </c>
    </row>
    <row r="20" spans="2:44" ht="12" customHeight="1" x14ac:dyDescent="0.25">
      <c r="B20" s="81" t="s">
        <v>41</v>
      </c>
      <c r="C20" s="82" t="s">
        <v>40</v>
      </c>
      <c r="D20" s="82" t="s">
        <v>25</v>
      </c>
      <c r="E20" s="82" t="s">
        <v>25</v>
      </c>
      <c r="F20" s="82" t="s">
        <v>25</v>
      </c>
      <c r="G20" s="82" t="s">
        <v>34</v>
      </c>
      <c r="H20" s="82" t="s">
        <v>93</v>
      </c>
      <c r="I20" s="82" t="s">
        <v>25</v>
      </c>
      <c r="J20" s="82">
        <v>5.9</v>
      </c>
      <c r="K20" s="82">
        <v>61.41</v>
      </c>
      <c r="L20" s="82">
        <v>0.22836189073501001</v>
      </c>
      <c r="M20" s="82">
        <v>0</v>
      </c>
      <c r="N20" s="82">
        <v>0</v>
      </c>
      <c r="O20" s="82">
        <v>0</v>
      </c>
      <c r="P20" s="82">
        <v>0</v>
      </c>
      <c r="Q20" s="82">
        <v>2.6996775138594602</v>
      </c>
      <c r="R20" s="82">
        <v>1.7194053454059199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82">
        <v>0.78197239462547896</v>
      </c>
      <c r="AE20" s="82">
        <v>2.78410659967776E-2</v>
      </c>
      <c r="AF20" s="82">
        <v>0.438315234702294</v>
      </c>
      <c r="AG20" s="82">
        <v>0</v>
      </c>
      <c r="AH20" s="82">
        <v>0.242256426961206</v>
      </c>
      <c r="AI20" s="82">
        <v>0</v>
      </c>
      <c r="AJ20" s="82">
        <v>0</v>
      </c>
      <c r="AK20" s="82">
        <v>34.277550745088099</v>
      </c>
      <c r="AL20" s="82">
        <v>0</v>
      </c>
      <c r="AM20" s="82">
        <v>26.481298624591702</v>
      </c>
      <c r="AN20" s="82">
        <v>0</v>
      </c>
      <c r="AO20" s="82">
        <v>0</v>
      </c>
      <c r="AP20" s="82">
        <v>0</v>
      </c>
      <c r="AQ20" s="82">
        <v>0</v>
      </c>
      <c r="AR20" s="83">
        <v>0.41325541626643703</v>
      </c>
    </row>
    <row r="21" spans="2:44" ht="12" customHeight="1" x14ac:dyDescent="0.25">
      <c r="B21" s="81" t="s">
        <v>41</v>
      </c>
      <c r="C21" s="82" t="s">
        <v>40</v>
      </c>
      <c r="D21" s="82" t="s">
        <v>25</v>
      </c>
      <c r="E21" s="82" t="s">
        <v>25</v>
      </c>
      <c r="F21" s="82" t="s">
        <v>25</v>
      </c>
      <c r="G21" s="82" t="s">
        <v>34</v>
      </c>
      <c r="H21" s="82" t="s">
        <v>99</v>
      </c>
      <c r="I21" s="82" t="s">
        <v>25</v>
      </c>
      <c r="J21" s="82">
        <v>0.35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0.290192542118831</v>
      </c>
      <c r="U21" s="82">
        <v>6.0677547690000902E-2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41</v>
      </c>
      <c r="C22" s="82" t="s">
        <v>40</v>
      </c>
      <c r="D22" s="82" t="s">
        <v>25</v>
      </c>
      <c r="E22" s="82" t="s">
        <v>25</v>
      </c>
      <c r="F22" s="82" t="s">
        <v>25</v>
      </c>
      <c r="G22" s="82" t="s">
        <v>35</v>
      </c>
      <c r="H22" s="82" t="s">
        <v>93</v>
      </c>
      <c r="I22" s="82" t="s">
        <v>25</v>
      </c>
      <c r="J22" s="82">
        <v>5.9</v>
      </c>
      <c r="K22" s="82">
        <v>50.33</v>
      </c>
      <c r="L22" s="82">
        <v>0.22836189073501001</v>
      </c>
      <c r="M22" s="82">
        <v>0</v>
      </c>
      <c r="N22" s="82">
        <v>0</v>
      </c>
      <c r="O22" s="82">
        <v>0</v>
      </c>
      <c r="P22" s="82">
        <v>0</v>
      </c>
      <c r="Q22" s="82">
        <v>2.6996775138594602</v>
      </c>
      <c r="R22" s="82">
        <v>1.7194053454059199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0.78197239462547896</v>
      </c>
      <c r="AE22" s="82">
        <v>2.78410659967776E-2</v>
      </c>
      <c r="AF22" s="82">
        <v>0.438315234702294</v>
      </c>
      <c r="AG22" s="82">
        <v>0</v>
      </c>
      <c r="AH22" s="82">
        <v>0.242256426961206</v>
      </c>
      <c r="AI22" s="82">
        <v>0</v>
      </c>
      <c r="AJ22" s="82">
        <v>0</v>
      </c>
      <c r="AK22" s="82">
        <v>34.277550745088099</v>
      </c>
      <c r="AL22" s="82">
        <v>0</v>
      </c>
      <c r="AM22" s="82">
        <v>15.396103851506799</v>
      </c>
      <c r="AN22" s="82">
        <v>0</v>
      </c>
      <c r="AO22" s="82">
        <v>0</v>
      </c>
      <c r="AP22" s="82">
        <v>0</v>
      </c>
      <c r="AQ22" s="82">
        <v>0</v>
      </c>
      <c r="AR22" s="83">
        <v>0.41325541626643703</v>
      </c>
    </row>
    <row r="23" spans="2:44" ht="12" customHeight="1" x14ac:dyDescent="0.25">
      <c r="B23" s="81" t="s">
        <v>41</v>
      </c>
      <c r="C23" s="82" t="s">
        <v>40</v>
      </c>
      <c r="D23" s="82" t="s">
        <v>25</v>
      </c>
      <c r="E23" s="82" t="s">
        <v>25</v>
      </c>
      <c r="F23" s="82" t="s">
        <v>25</v>
      </c>
      <c r="G23" s="82" t="s">
        <v>35</v>
      </c>
      <c r="H23" s="82" t="s">
        <v>99</v>
      </c>
      <c r="I23" s="82" t="s">
        <v>25</v>
      </c>
      <c r="J23" s="82">
        <v>0.35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0.29214218758341298</v>
      </c>
      <c r="U23" s="82">
        <v>6.18576822033697E-2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0</v>
      </c>
      <c r="AI23" s="82">
        <v>0</v>
      </c>
      <c r="AJ23" s="82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0</v>
      </c>
      <c r="AP23" s="82">
        <v>0</v>
      </c>
      <c r="AQ23" s="82">
        <v>0</v>
      </c>
      <c r="AR23" s="83">
        <v>0</v>
      </c>
    </row>
    <row r="24" spans="2:44" ht="12" customHeight="1" x14ac:dyDescent="0.25">
      <c r="B24" s="81" t="s">
        <v>41</v>
      </c>
      <c r="C24" s="82" t="s">
        <v>23</v>
      </c>
      <c r="D24" s="82" t="s">
        <v>25</v>
      </c>
      <c r="E24" s="82" t="s">
        <v>25</v>
      </c>
      <c r="F24" s="82" t="s">
        <v>25</v>
      </c>
      <c r="G24" s="82" t="s">
        <v>25</v>
      </c>
      <c r="H24" s="82" t="s">
        <v>93</v>
      </c>
      <c r="I24" s="82" t="s">
        <v>25</v>
      </c>
      <c r="J24" s="82">
        <v>0</v>
      </c>
      <c r="K24" s="82">
        <v>51.25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0.242256426961206</v>
      </c>
      <c r="AI24" s="82">
        <v>0</v>
      </c>
      <c r="AJ24" s="82">
        <v>0</v>
      </c>
      <c r="AK24" s="82">
        <v>34.277550745088099</v>
      </c>
      <c r="AL24" s="82">
        <v>0</v>
      </c>
      <c r="AM24" s="82">
        <v>16.319870082597198</v>
      </c>
      <c r="AN24" s="82">
        <v>0</v>
      </c>
      <c r="AO24" s="82">
        <v>0</v>
      </c>
      <c r="AP24" s="82">
        <v>0</v>
      </c>
      <c r="AQ24" s="82">
        <v>0</v>
      </c>
      <c r="AR24" s="83">
        <v>0.41325541626643703</v>
      </c>
    </row>
    <row r="25" spans="2:44" ht="12" customHeight="1" x14ac:dyDescent="0.25">
      <c r="B25" s="81" t="s">
        <v>41</v>
      </c>
      <c r="C25" s="82" t="s">
        <v>61</v>
      </c>
      <c r="D25" s="82" t="s">
        <v>25</v>
      </c>
      <c r="E25" s="82" t="s">
        <v>25</v>
      </c>
      <c r="F25" s="82" t="s">
        <v>25</v>
      </c>
      <c r="G25" s="82" t="s">
        <v>34</v>
      </c>
      <c r="H25" s="82" t="s">
        <v>99</v>
      </c>
      <c r="I25" s="82" t="s">
        <v>62</v>
      </c>
      <c r="J25" s="82">
        <v>0.35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0.290192542118831</v>
      </c>
      <c r="U25" s="82">
        <v>6.0677547690000902E-2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83">
        <v>0</v>
      </c>
    </row>
    <row r="26" spans="2:44" ht="12" customHeight="1" x14ac:dyDescent="0.25">
      <c r="B26" s="81" t="s">
        <v>41</v>
      </c>
      <c r="C26" s="82" t="s">
        <v>61</v>
      </c>
      <c r="D26" s="82" t="s">
        <v>25</v>
      </c>
      <c r="E26" s="82" t="s">
        <v>25</v>
      </c>
      <c r="F26" s="82" t="s">
        <v>25</v>
      </c>
      <c r="G26" s="82" t="s">
        <v>34</v>
      </c>
      <c r="H26" s="82" t="s">
        <v>99</v>
      </c>
      <c r="I26" s="82" t="s">
        <v>68</v>
      </c>
      <c r="J26" s="82">
        <v>0.35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0.290192542118831</v>
      </c>
      <c r="U26" s="82">
        <v>6.0677547690000902E-2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82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83">
        <v>0</v>
      </c>
    </row>
    <row r="27" spans="2:44" ht="12" customHeight="1" x14ac:dyDescent="0.25">
      <c r="B27" s="81" t="s">
        <v>41</v>
      </c>
      <c r="C27" s="82" t="s">
        <v>61</v>
      </c>
      <c r="D27" s="82" t="s">
        <v>25</v>
      </c>
      <c r="E27" s="82" t="s">
        <v>25</v>
      </c>
      <c r="F27" s="82" t="s">
        <v>25</v>
      </c>
      <c r="G27" s="82" t="s">
        <v>34</v>
      </c>
      <c r="H27" s="82" t="s">
        <v>99</v>
      </c>
      <c r="I27" s="82" t="s">
        <v>67</v>
      </c>
      <c r="J27" s="82">
        <v>0.35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0.290192542118831</v>
      </c>
      <c r="U27" s="82">
        <v>6.0677547690000902E-2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0</v>
      </c>
      <c r="AR27" s="83">
        <v>0</v>
      </c>
    </row>
    <row r="28" spans="2:44" ht="12" customHeight="1" x14ac:dyDescent="0.25">
      <c r="B28" s="81" t="s">
        <v>41</v>
      </c>
      <c r="C28" s="82" t="s">
        <v>61</v>
      </c>
      <c r="D28" s="82" t="s">
        <v>25</v>
      </c>
      <c r="E28" s="82" t="s">
        <v>25</v>
      </c>
      <c r="F28" s="82" t="s">
        <v>25</v>
      </c>
      <c r="G28" s="82" t="s">
        <v>34</v>
      </c>
      <c r="H28" s="82" t="s">
        <v>99</v>
      </c>
      <c r="I28" s="82" t="s">
        <v>65</v>
      </c>
      <c r="J28" s="82">
        <v>0.35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0.290192542118831</v>
      </c>
      <c r="U28" s="82">
        <v>6.0677547690000902E-2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3">
        <v>0</v>
      </c>
    </row>
    <row r="29" spans="2:44" ht="12" customHeight="1" x14ac:dyDescent="0.25">
      <c r="B29" s="81" t="s">
        <v>41</v>
      </c>
      <c r="C29" s="82" t="s">
        <v>61</v>
      </c>
      <c r="D29" s="82" t="s">
        <v>25</v>
      </c>
      <c r="E29" s="82" t="s">
        <v>25</v>
      </c>
      <c r="F29" s="82" t="s">
        <v>25</v>
      </c>
      <c r="G29" s="82" t="s">
        <v>25</v>
      </c>
      <c r="H29" s="82" t="s">
        <v>93</v>
      </c>
      <c r="I29" s="82" t="s">
        <v>62</v>
      </c>
      <c r="J29" s="82">
        <v>0.81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0.78197239462547896</v>
      </c>
      <c r="AE29" s="82">
        <v>2.78410659967776E-2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3">
        <v>0</v>
      </c>
    </row>
    <row r="30" spans="2:44" ht="12" customHeight="1" x14ac:dyDescent="0.25">
      <c r="B30" s="81" t="s">
        <v>41</v>
      </c>
      <c r="C30" s="82" t="s">
        <v>61</v>
      </c>
      <c r="D30" s="82" t="s">
        <v>25</v>
      </c>
      <c r="E30" s="82" t="s">
        <v>25</v>
      </c>
      <c r="F30" s="82" t="s">
        <v>25</v>
      </c>
      <c r="G30" s="82" t="s">
        <v>25</v>
      </c>
      <c r="H30" s="82" t="s">
        <v>93</v>
      </c>
      <c r="I30" s="82" t="s">
        <v>68</v>
      </c>
      <c r="J30" s="82">
        <v>0.81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0.78197239462547896</v>
      </c>
      <c r="AE30" s="82">
        <v>2.78410659967776E-2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  <c r="AP30" s="82">
        <v>0</v>
      </c>
      <c r="AQ30" s="82">
        <v>0</v>
      </c>
      <c r="AR30" s="83">
        <v>0</v>
      </c>
    </row>
    <row r="31" spans="2:44" ht="12" customHeight="1" x14ac:dyDescent="0.25">
      <c r="B31" s="81" t="s">
        <v>41</v>
      </c>
      <c r="C31" s="82" t="s">
        <v>61</v>
      </c>
      <c r="D31" s="82" t="s">
        <v>25</v>
      </c>
      <c r="E31" s="82" t="s">
        <v>25</v>
      </c>
      <c r="F31" s="82" t="s">
        <v>25</v>
      </c>
      <c r="G31" s="82" t="s">
        <v>25</v>
      </c>
      <c r="H31" s="82" t="s">
        <v>93</v>
      </c>
      <c r="I31" s="82" t="s">
        <v>67</v>
      </c>
      <c r="J31" s="82">
        <v>0.81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0.78197239462547896</v>
      </c>
      <c r="AE31" s="82">
        <v>2.78410659967776E-2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3">
        <v>0</v>
      </c>
    </row>
    <row r="32" spans="2:44" ht="12" customHeight="1" x14ac:dyDescent="0.25">
      <c r="B32" s="81" t="s">
        <v>41</v>
      </c>
      <c r="C32" s="82" t="s">
        <v>61</v>
      </c>
      <c r="D32" s="82" t="s">
        <v>25</v>
      </c>
      <c r="E32" s="82" t="s">
        <v>25</v>
      </c>
      <c r="F32" s="82" t="s">
        <v>25</v>
      </c>
      <c r="G32" s="82" t="s">
        <v>25</v>
      </c>
      <c r="H32" s="82" t="s">
        <v>93</v>
      </c>
      <c r="I32" s="82" t="s">
        <v>65</v>
      </c>
      <c r="J32" s="82">
        <v>0.81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0.78197239462547896</v>
      </c>
      <c r="AE32" s="82">
        <v>2.78410659967776E-2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0</v>
      </c>
      <c r="AR32" s="83">
        <v>0</v>
      </c>
    </row>
    <row r="33" spans="2:44" ht="12" customHeight="1" x14ac:dyDescent="0.25">
      <c r="B33" s="81" t="s">
        <v>41</v>
      </c>
      <c r="C33" s="82" t="s">
        <v>61</v>
      </c>
      <c r="D33" s="82" t="s">
        <v>25</v>
      </c>
      <c r="E33" s="82" t="s">
        <v>25</v>
      </c>
      <c r="F33" s="82" t="s">
        <v>25</v>
      </c>
      <c r="G33" s="82" t="s">
        <v>35</v>
      </c>
      <c r="H33" s="82" t="s">
        <v>99</v>
      </c>
      <c r="I33" s="82" t="s">
        <v>62</v>
      </c>
      <c r="J33" s="82">
        <v>0.35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0.29214218758341298</v>
      </c>
      <c r="U33" s="82">
        <v>6.18576822033697E-2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0</v>
      </c>
      <c r="AR33" s="83">
        <v>0</v>
      </c>
    </row>
    <row r="34" spans="2:44" ht="12" customHeight="1" x14ac:dyDescent="0.25">
      <c r="B34" s="81" t="s">
        <v>41</v>
      </c>
      <c r="C34" s="82" t="s">
        <v>61</v>
      </c>
      <c r="D34" s="82" t="s">
        <v>25</v>
      </c>
      <c r="E34" s="82" t="s">
        <v>25</v>
      </c>
      <c r="F34" s="82" t="s">
        <v>25</v>
      </c>
      <c r="G34" s="82" t="s">
        <v>35</v>
      </c>
      <c r="H34" s="82" t="s">
        <v>99</v>
      </c>
      <c r="I34" s="82" t="s">
        <v>68</v>
      </c>
      <c r="J34" s="82">
        <v>0.35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0.29214218758341298</v>
      </c>
      <c r="U34" s="82">
        <v>6.18576822033697E-2</v>
      </c>
      <c r="V34" s="82">
        <v>0</v>
      </c>
      <c r="W34" s="82">
        <v>0</v>
      </c>
      <c r="X34" s="82">
        <v>0</v>
      </c>
      <c r="Y34" s="82">
        <v>0</v>
      </c>
      <c r="Z34" s="82">
        <v>0</v>
      </c>
      <c r="AA34" s="82">
        <v>0</v>
      </c>
      <c r="AB34" s="82">
        <v>0</v>
      </c>
      <c r="AC34" s="82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0</v>
      </c>
      <c r="AR34" s="83">
        <v>0</v>
      </c>
    </row>
    <row r="35" spans="2:44" ht="12" customHeight="1" x14ac:dyDescent="0.25">
      <c r="B35" s="81" t="s">
        <v>41</v>
      </c>
      <c r="C35" s="82" t="s">
        <v>61</v>
      </c>
      <c r="D35" s="82" t="s">
        <v>25</v>
      </c>
      <c r="E35" s="82" t="s">
        <v>25</v>
      </c>
      <c r="F35" s="82" t="s">
        <v>25</v>
      </c>
      <c r="G35" s="82" t="s">
        <v>35</v>
      </c>
      <c r="H35" s="82" t="s">
        <v>99</v>
      </c>
      <c r="I35" s="82" t="s">
        <v>67</v>
      </c>
      <c r="J35" s="82">
        <v>0.35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0.29214218758341298</v>
      </c>
      <c r="U35" s="82">
        <v>6.18576822033697E-2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0</v>
      </c>
      <c r="AR35" s="83">
        <v>0</v>
      </c>
    </row>
    <row r="36" spans="2:44" ht="12" customHeight="1" x14ac:dyDescent="0.25">
      <c r="B36" s="81" t="s">
        <v>41</v>
      </c>
      <c r="C36" s="82" t="s">
        <v>61</v>
      </c>
      <c r="D36" s="82" t="s">
        <v>25</v>
      </c>
      <c r="E36" s="82" t="s">
        <v>25</v>
      </c>
      <c r="F36" s="82" t="s">
        <v>25</v>
      </c>
      <c r="G36" s="82" t="s">
        <v>35</v>
      </c>
      <c r="H36" s="82" t="s">
        <v>99</v>
      </c>
      <c r="I36" s="82" t="s">
        <v>65</v>
      </c>
      <c r="J36" s="82">
        <v>0.35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0.29214218758341298</v>
      </c>
      <c r="U36" s="82">
        <v>6.18576822033697E-2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0</v>
      </c>
      <c r="AR36" s="83">
        <v>0</v>
      </c>
    </row>
    <row r="37" spans="2:44" ht="12" customHeight="1" x14ac:dyDescent="0.25">
      <c r="B37" s="81" t="s">
        <v>41</v>
      </c>
      <c r="C37" s="82" t="s">
        <v>69</v>
      </c>
      <c r="D37" s="82" t="s">
        <v>25</v>
      </c>
      <c r="E37" s="82" t="s">
        <v>25</v>
      </c>
      <c r="F37" s="82" t="s">
        <v>25</v>
      </c>
      <c r="G37" s="82" t="s">
        <v>25</v>
      </c>
      <c r="H37" s="82" t="s">
        <v>99</v>
      </c>
      <c r="I37" s="82" t="s">
        <v>25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82">
        <v>0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>
        <v>0</v>
      </c>
      <c r="AR37" s="83">
        <v>0</v>
      </c>
    </row>
    <row r="38" spans="2:44" ht="12" customHeight="1" x14ac:dyDescent="0.25">
      <c r="B38" s="81" t="s">
        <v>41</v>
      </c>
      <c r="C38" s="82" t="s">
        <v>42</v>
      </c>
      <c r="D38" s="82" t="s">
        <v>25</v>
      </c>
      <c r="E38" s="82" t="s">
        <v>25</v>
      </c>
      <c r="F38" s="82" t="s">
        <v>58</v>
      </c>
      <c r="G38" s="82" t="s">
        <v>34</v>
      </c>
      <c r="H38" s="82" t="s">
        <v>93</v>
      </c>
      <c r="I38" s="82" t="s">
        <v>25</v>
      </c>
      <c r="J38" s="82">
        <v>9.69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6.9792162734270899</v>
      </c>
      <c r="U38" s="82">
        <v>1.45923011454629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82">
        <v>0</v>
      </c>
      <c r="AD38" s="82">
        <v>0.78197239462547896</v>
      </c>
      <c r="AE38" s="82">
        <v>2.78410659967776E-2</v>
      </c>
      <c r="AF38" s="82">
        <v>0.438315234702294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0</v>
      </c>
      <c r="AQ38" s="82">
        <v>0</v>
      </c>
      <c r="AR38" s="83">
        <v>0</v>
      </c>
    </row>
    <row r="39" spans="2:44" ht="12" customHeight="1" x14ac:dyDescent="0.25">
      <c r="B39" s="81" t="s">
        <v>41</v>
      </c>
      <c r="C39" s="82" t="s">
        <v>42</v>
      </c>
      <c r="D39" s="82" t="s">
        <v>25</v>
      </c>
      <c r="E39" s="82" t="s">
        <v>25</v>
      </c>
      <c r="F39" s="82" t="s">
        <v>58</v>
      </c>
      <c r="G39" s="82" t="s">
        <v>25</v>
      </c>
      <c r="H39" s="82" t="s">
        <v>99</v>
      </c>
      <c r="I39" s="82" t="s">
        <v>25</v>
      </c>
      <c r="J39" s="82">
        <v>0.35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0.29214218758341298</v>
      </c>
      <c r="U39" s="82">
        <v>6.18576822033697E-2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82">
        <v>0</v>
      </c>
      <c r="AL39" s="82">
        <v>0</v>
      </c>
      <c r="AM39" s="82">
        <v>0</v>
      </c>
      <c r="AN39" s="82">
        <v>0</v>
      </c>
      <c r="AO39" s="82">
        <v>0</v>
      </c>
      <c r="AP39" s="82">
        <v>0</v>
      </c>
      <c r="AQ39" s="82">
        <v>0</v>
      </c>
      <c r="AR39" s="83">
        <v>0</v>
      </c>
    </row>
    <row r="40" spans="2:44" ht="12" customHeight="1" x14ac:dyDescent="0.25">
      <c r="B40" s="81" t="s">
        <v>41</v>
      </c>
      <c r="C40" s="82" t="s">
        <v>42</v>
      </c>
      <c r="D40" s="82" t="s">
        <v>25</v>
      </c>
      <c r="E40" s="82" t="s">
        <v>25</v>
      </c>
      <c r="F40" s="82" t="s">
        <v>58</v>
      </c>
      <c r="G40" s="82" t="s">
        <v>35</v>
      </c>
      <c r="H40" s="82" t="s">
        <v>93</v>
      </c>
      <c r="I40" s="82" t="s">
        <v>25</v>
      </c>
      <c r="J40" s="82">
        <v>1.25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0</v>
      </c>
      <c r="AB40" s="82">
        <v>0</v>
      </c>
      <c r="AC40" s="82">
        <v>0</v>
      </c>
      <c r="AD40" s="82">
        <v>0.78197239462547896</v>
      </c>
      <c r="AE40" s="82">
        <v>2.78410659967776E-2</v>
      </c>
      <c r="AF40" s="82">
        <v>0.438315234702294</v>
      </c>
      <c r="AG40" s="82">
        <v>0</v>
      </c>
      <c r="AH40" s="82">
        <v>0</v>
      </c>
      <c r="AI40" s="82">
        <v>0</v>
      </c>
      <c r="AJ40" s="82">
        <v>0</v>
      </c>
      <c r="AK40" s="82">
        <v>0</v>
      </c>
      <c r="AL40" s="82">
        <v>0</v>
      </c>
      <c r="AM40" s="82">
        <v>0</v>
      </c>
      <c r="AN40" s="82">
        <v>0</v>
      </c>
      <c r="AO40" s="82">
        <v>0</v>
      </c>
      <c r="AP40" s="82">
        <v>0</v>
      </c>
      <c r="AQ40" s="82">
        <v>0</v>
      </c>
      <c r="AR40" s="83">
        <v>0</v>
      </c>
    </row>
    <row r="41" spans="2:44" ht="12" customHeight="1" x14ac:dyDescent="0.25">
      <c r="B41" s="81" t="s">
        <v>41</v>
      </c>
      <c r="C41" s="82" t="s">
        <v>42</v>
      </c>
      <c r="D41" s="82" t="s">
        <v>25</v>
      </c>
      <c r="E41" s="82" t="s">
        <v>25</v>
      </c>
      <c r="F41" s="82" t="s">
        <v>25</v>
      </c>
      <c r="G41" s="82" t="s">
        <v>34</v>
      </c>
      <c r="H41" s="82" t="s">
        <v>93</v>
      </c>
      <c r="I41" s="82" t="s">
        <v>25</v>
      </c>
      <c r="J41" s="82">
        <v>14.33</v>
      </c>
      <c r="K41" s="82">
        <v>61.41</v>
      </c>
      <c r="L41" s="82">
        <v>0.22836189073501001</v>
      </c>
      <c r="M41" s="82">
        <v>0</v>
      </c>
      <c r="N41" s="82">
        <v>0</v>
      </c>
      <c r="O41" s="82">
        <v>0</v>
      </c>
      <c r="P41" s="82">
        <v>0</v>
      </c>
      <c r="Q41" s="82">
        <v>2.6996775138594602</v>
      </c>
      <c r="R41" s="82">
        <v>1.7194053454059199</v>
      </c>
      <c r="S41" s="82">
        <v>0</v>
      </c>
      <c r="T41" s="82">
        <v>6.9792162734270899</v>
      </c>
      <c r="U41" s="82">
        <v>1.45923011454629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82">
        <v>0.78197239462547896</v>
      </c>
      <c r="AE41" s="82">
        <v>2.78410659967776E-2</v>
      </c>
      <c r="AF41" s="82">
        <v>0.438315234702294</v>
      </c>
      <c r="AG41" s="82">
        <v>0</v>
      </c>
      <c r="AH41" s="82">
        <v>0.242256426961206</v>
      </c>
      <c r="AI41" s="82">
        <v>0</v>
      </c>
      <c r="AJ41" s="82">
        <v>0</v>
      </c>
      <c r="AK41" s="82">
        <v>34.277550745088099</v>
      </c>
      <c r="AL41" s="82">
        <v>0</v>
      </c>
      <c r="AM41" s="82">
        <v>26.481298624591702</v>
      </c>
      <c r="AN41" s="82">
        <v>0</v>
      </c>
      <c r="AO41" s="82">
        <v>0</v>
      </c>
      <c r="AP41" s="82">
        <v>0</v>
      </c>
      <c r="AQ41" s="82">
        <v>0</v>
      </c>
      <c r="AR41" s="83">
        <v>0.41325541626643703</v>
      </c>
    </row>
    <row r="42" spans="2:44" ht="12" customHeight="1" x14ac:dyDescent="0.25">
      <c r="B42" s="81" t="s">
        <v>41</v>
      </c>
      <c r="C42" s="82" t="s">
        <v>42</v>
      </c>
      <c r="D42" s="82" t="s">
        <v>25</v>
      </c>
      <c r="E42" s="82" t="s">
        <v>25</v>
      </c>
      <c r="F42" s="82" t="s">
        <v>25</v>
      </c>
      <c r="G42" s="82" t="s">
        <v>25</v>
      </c>
      <c r="H42" s="82" t="s">
        <v>99</v>
      </c>
      <c r="I42" s="82" t="s">
        <v>25</v>
      </c>
      <c r="J42" s="82">
        <v>0.35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0.29214218758341298</v>
      </c>
      <c r="U42" s="82">
        <v>6.18576822033697E-2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82">
        <v>0</v>
      </c>
      <c r="AC42" s="82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  <c r="AN42" s="82">
        <v>0</v>
      </c>
      <c r="AO42" s="82">
        <v>0</v>
      </c>
      <c r="AP42" s="82">
        <v>0</v>
      </c>
      <c r="AQ42" s="82">
        <v>0</v>
      </c>
      <c r="AR42" s="83">
        <v>0</v>
      </c>
    </row>
    <row r="43" spans="2:44" ht="12" customHeight="1" x14ac:dyDescent="0.25">
      <c r="B43" s="81" t="s">
        <v>41</v>
      </c>
      <c r="C43" s="82" t="s">
        <v>42</v>
      </c>
      <c r="D43" s="82" t="s">
        <v>25</v>
      </c>
      <c r="E43" s="82" t="s">
        <v>25</v>
      </c>
      <c r="F43" s="82" t="s">
        <v>25</v>
      </c>
      <c r="G43" s="82" t="s">
        <v>35</v>
      </c>
      <c r="H43" s="82" t="s">
        <v>93</v>
      </c>
      <c r="I43" s="82" t="s">
        <v>25</v>
      </c>
      <c r="J43" s="82">
        <v>5.9</v>
      </c>
      <c r="K43" s="82">
        <v>50.33</v>
      </c>
      <c r="L43" s="82">
        <v>0.22836189073501001</v>
      </c>
      <c r="M43" s="82">
        <v>0</v>
      </c>
      <c r="N43" s="82">
        <v>0</v>
      </c>
      <c r="O43" s="82">
        <v>0</v>
      </c>
      <c r="P43" s="82">
        <v>0</v>
      </c>
      <c r="Q43" s="82">
        <v>2.6996775138594602</v>
      </c>
      <c r="R43" s="82">
        <v>1.7194053454059199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0.78197239462547896</v>
      </c>
      <c r="AE43" s="82">
        <v>2.78410659967776E-2</v>
      </c>
      <c r="AF43" s="82">
        <v>0.438315234702294</v>
      </c>
      <c r="AG43" s="82">
        <v>0</v>
      </c>
      <c r="AH43" s="82">
        <v>0.242256426961206</v>
      </c>
      <c r="AI43" s="82">
        <v>0</v>
      </c>
      <c r="AJ43" s="82">
        <v>0</v>
      </c>
      <c r="AK43" s="82">
        <v>34.277550745088099</v>
      </c>
      <c r="AL43" s="82">
        <v>0</v>
      </c>
      <c r="AM43" s="82">
        <v>15.396103851506799</v>
      </c>
      <c r="AN43" s="82">
        <v>0</v>
      </c>
      <c r="AO43" s="82">
        <v>0</v>
      </c>
      <c r="AP43" s="82">
        <v>0</v>
      </c>
      <c r="AQ43" s="82">
        <v>0</v>
      </c>
      <c r="AR43" s="83">
        <v>0.41325541626643703</v>
      </c>
    </row>
    <row r="44" spans="2:44" ht="12" customHeight="1" x14ac:dyDescent="0.25">
      <c r="B44" s="81" t="s">
        <v>104</v>
      </c>
      <c r="C44" s="82" t="s">
        <v>69</v>
      </c>
      <c r="D44" s="82" t="s">
        <v>25</v>
      </c>
      <c r="E44" s="82" t="s">
        <v>25</v>
      </c>
      <c r="F44" s="82" t="s">
        <v>105</v>
      </c>
      <c r="G44" s="82" t="s">
        <v>25</v>
      </c>
      <c r="H44" s="82" t="s">
        <v>99</v>
      </c>
      <c r="I44" s="82" t="s">
        <v>25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82">
        <v>0</v>
      </c>
      <c r="AC44" s="82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  <c r="AN44" s="82">
        <v>0</v>
      </c>
      <c r="AO44" s="82">
        <v>0</v>
      </c>
      <c r="AP44" s="82">
        <v>0</v>
      </c>
      <c r="AQ44" s="82">
        <v>0</v>
      </c>
      <c r="AR44" s="83">
        <v>0</v>
      </c>
    </row>
    <row r="45" spans="2:44" ht="12" customHeight="1" x14ac:dyDescent="0.25">
      <c r="B45" s="81" t="s">
        <v>104</v>
      </c>
      <c r="C45" s="82" t="s">
        <v>69</v>
      </c>
      <c r="D45" s="82" t="s">
        <v>25</v>
      </c>
      <c r="E45" s="82" t="s">
        <v>25</v>
      </c>
      <c r="F45" s="82" t="s">
        <v>106</v>
      </c>
      <c r="G45" s="82" t="s">
        <v>25</v>
      </c>
      <c r="H45" s="82" t="s">
        <v>99</v>
      </c>
      <c r="I45" s="82" t="s">
        <v>25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>
        <v>0</v>
      </c>
      <c r="AR45" s="83">
        <v>0</v>
      </c>
    </row>
    <row r="46" spans="2:44" ht="12" customHeight="1" x14ac:dyDescent="0.25">
      <c r="B46" s="81" t="s">
        <v>22</v>
      </c>
      <c r="C46" s="82" t="s">
        <v>33</v>
      </c>
      <c r="D46" s="82" t="s">
        <v>24</v>
      </c>
      <c r="E46" s="82" t="s">
        <v>24</v>
      </c>
      <c r="F46" s="82" t="s">
        <v>25</v>
      </c>
      <c r="G46" s="82" t="s">
        <v>34</v>
      </c>
      <c r="H46" s="82" t="s">
        <v>93</v>
      </c>
      <c r="I46" s="82" t="s">
        <v>25</v>
      </c>
      <c r="J46" s="82">
        <v>12.12</v>
      </c>
      <c r="K46" s="82">
        <v>61.41</v>
      </c>
      <c r="L46" s="82">
        <v>0.27185939373215401</v>
      </c>
      <c r="M46" s="82">
        <v>0</v>
      </c>
      <c r="N46" s="82">
        <v>0</v>
      </c>
      <c r="O46" s="82">
        <v>0</v>
      </c>
      <c r="P46" s="82">
        <v>0</v>
      </c>
      <c r="Q46" s="82">
        <v>3.2139018022136501</v>
      </c>
      <c r="R46" s="82">
        <v>1.7194053454059199</v>
      </c>
      <c r="S46" s="82">
        <v>0</v>
      </c>
      <c r="T46" s="82">
        <v>3.5399672082796001</v>
      </c>
      <c r="U46" s="82">
        <v>0.75883891456472397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82">
        <v>0</v>
      </c>
      <c r="AD46" s="82">
        <v>1.9635195908957199</v>
      </c>
      <c r="AE46" s="82">
        <v>6.9908450594698607E-2</v>
      </c>
      <c r="AF46" s="82">
        <v>0.58510648945417199</v>
      </c>
      <c r="AG46" s="82">
        <v>0</v>
      </c>
      <c r="AH46" s="82">
        <v>0.242256426961206</v>
      </c>
      <c r="AI46" s="82">
        <v>0</v>
      </c>
      <c r="AJ46" s="82">
        <v>0</v>
      </c>
      <c r="AK46" s="82">
        <v>34.277550745088099</v>
      </c>
      <c r="AL46" s="82">
        <v>0</v>
      </c>
      <c r="AM46" s="82">
        <v>26.481298624591702</v>
      </c>
      <c r="AN46" s="82">
        <v>0</v>
      </c>
      <c r="AO46" s="82">
        <v>0</v>
      </c>
      <c r="AP46" s="82">
        <v>0</v>
      </c>
      <c r="AQ46" s="82">
        <v>0</v>
      </c>
      <c r="AR46" s="83">
        <v>0.41325541626643703</v>
      </c>
    </row>
    <row r="47" spans="2:44" ht="12" customHeight="1" x14ac:dyDescent="0.25">
      <c r="B47" s="81" t="s">
        <v>22</v>
      </c>
      <c r="C47" s="82" t="s">
        <v>33</v>
      </c>
      <c r="D47" s="82" t="s">
        <v>24</v>
      </c>
      <c r="E47" s="82" t="s">
        <v>24</v>
      </c>
      <c r="F47" s="82" t="s">
        <v>25</v>
      </c>
      <c r="G47" s="82" t="s">
        <v>36</v>
      </c>
      <c r="H47" s="82" t="s">
        <v>93</v>
      </c>
      <c r="I47" s="82" t="s">
        <v>25</v>
      </c>
      <c r="J47" s="82">
        <v>10.4</v>
      </c>
      <c r="K47" s="82">
        <v>50.33</v>
      </c>
      <c r="L47" s="82">
        <v>0.27185939373215401</v>
      </c>
      <c r="M47" s="82">
        <v>0</v>
      </c>
      <c r="N47" s="82">
        <v>0</v>
      </c>
      <c r="O47" s="82">
        <v>0</v>
      </c>
      <c r="P47" s="82">
        <v>0</v>
      </c>
      <c r="Q47" s="82">
        <v>3.2139018022136501</v>
      </c>
      <c r="R47" s="82">
        <v>1.7194053454059199</v>
      </c>
      <c r="S47" s="82">
        <v>0</v>
      </c>
      <c r="T47" s="82">
        <v>2.1239830328086802</v>
      </c>
      <c r="U47" s="82">
        <v>0.455302106491978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0</v>
      </c>
      <c r="AC47" s="82">
        <v>0</v>
      </c>
      <c r="AD47" s="82">
        <v>1.9635195908957199</v>
      </c>
      <c r="AE47" s="82">
        <v>6.9908450594698607E-2</v>
      </c>
      <c r="AF47" s="82">
        <v>0.58510648945417199</v>
      </c>
      <c r="AG47" s="82">
        <v>0</v>
      </c>
      <c r="AH47" s="82">
        <v>0.242256426961206</v>
      </c>
      <c r="AI47" s="82">
        <v>0</v>
      </c>
      <c r="AJ47" s="82">
        <v>0</v>
      </c>
      <c r="AK47" s="82">
        <v>34.277550745088099</v>
      </c>
      <c r="AL47" s="82">
        <v>0</v>
      </c>
      <c r="AM47" s="82">
        <v>15.396103851506799</v>
      </c>
      <c r="AN47" s="82">
        <v>0</v>
      </c>
      <c r="AO47" s="82">
        <v>0</v>
      </c>
      <c r="AP47" s="82">
        <v>0</v>
      </c>
      <c r="AQ47" s="82">
        <v>0</v>
      </c>
      <c r="AR47" s="83">
        <v>0.41325541626643703</v>
      </c>
    </row>
    <row r="48" spans="2:44" ht="12" customHeight="1" x14ac:dyDescent="0.25">
      <c r="B48" s="81" t="s">
        <v>22</v>
      </c>
      <c r="C48" s="82" t="s">
        <v>33</v>
      </c>
      <c r="D48" s="82" t="s">
        <v>24</v>
      </c>
      <c r="E48" s="82" t="s">
        <v>24</v>
      </c>
      <c r="F48" s="82" t="s">
        <v>25</v>
      </c>
      <c r="G48" s="82" t="s">
        <v>35</v>
      </c>
      <c r="H48" s="82" t="s">
        <v>93</v>
      </c>
      <c r="I48" s="82" t="s">
        <v>25</v>
      </c>
      <c r="J48" s="82">
        <v>8.68</v>
      </c>
      <c r="K48" s="82">
        <v>50.33</v>
      </c>
      <c r="L48" s="82">
        <v>0.27185939373215401</v>
      </c>
      <c r="M48" s="82">
        <v>0</v>
      </c>
      <c r="N48" s="82">
        <v>0</v>
      </c>
      <c r="O48" s="82">
        <v>0</v>
      </c>
      <c r="P48" s="82">
        <v>0</v>
      </c>
      <c r="Q48" s="82">
        <v>3.2139018022136501</v>
      </c>
      <c r="R48" s="82">
        <v>1.7194053454059199</v>
      </c>
      <c r="S48" s="82">
        <v>0</v>
      </c>
      <c r="T48" s="82">
        <v>0.70799208773545796</v>
      </c>
      <c r="U48" s="82">
        <v>0.151765298419232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1.9635195908957199</v>
      </c>
      <c r="AE48" s="82">
        <v>6.9908450594698607E-2</v>
      </c>
      <c r="AF48" s="82">
        <v>0.58510648945417199</v>
      </c>
      <c r="AG48" s="82">
        <v>0</v>
      </c>
      <c r="AH48" s="82">
        <v>0.242256426961206</v>
      </c>
      <c r="AI48" s="82">
        <v>0</v>
      </c>
      <c r="AJ48" s="82">
        <v>0</v>
      </c>
      <c r="AK48" s="82">
        <v>34.277550745088099</v>
      </c>
      <c r="AL48" s="82">
        <v>0</v>
      </c>
      <c r="AM48" s="82">
        <v>15.396103851506799</v>
      </c>
      <c r="AN48" s="82">
        <v>0</v>
      </c>
      <c r="AO48" s="82">
        <v>0</v>
      </c>
      <c r="AP48" s="82">
        <v>0</v>
      </c>
      <c r="AQ48" s="82">
        <v>0</v>
      </c>
      <c r="AR48" s="83">
        <v>0.41325541626643703</v>
      </c>
    </row>
    <row r="49" spans="2:44" ht="12" customHeight="1" x14ac:dyDescent="0.25">
      <c r="B49" s="81" t="s">
        <v>22</v>
      </c>
      <c r="C49" s="82" t="s">
        <v>23</v>
      </c>
      <c r="D49" s="82" t="s">
        <v>24</v>
      </c>
      <c r="E49" s="82" t="s">
        <v>1618</v>
      </c>
      <c r="F49" s="82" t="s">
        <v>25</v>
      </c>
      <c r="G49" s="82" t="s">
        <v>25</v>
      </c>
      <c r="H49" s="82" t="s">
        <v>93</v>
      </c>
      <c r="I49" s="82" t="s">
        <v>25</v>
      </c>
      <c r="J49" s="82">
        <v>4.05</v>
      </c>
      <c r="K49" s="82">
        <v>51.25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1.17998906942653</v>
      </c>
      <c r="U49" s="82">
        <v>0.25294630485490799</v>
      </c>
      <c r="V49" s="82">
        <v>0</v>
      </c>
      <c r="W49" s="82">
        <v>0</v>
      </c>
      <c r="X49" s="82">
        <v>0</v>
      </c>
      <c r="Y49" s="82">
        <v>0</v>
      </c>
      <c r="Z49" s="82">
        <v>0</v>
      </c>
      <c r="AA49" s="82">
        <v>0</v>
      </c>
      <c r="AB49" s="82">
        <v>0</v>
      </c>
      <c r="AC49" s="82">
        <v>0</v>
      </c>
      <c r="AD49" s="82">
        <v>1.9635195908957199</v>
      </c>
      <c r="AE49" s="82">
        <v>6.9908450594698607E-2</v>
      </c>
      <c r="AF49" s="82">
        <v>0.58510648945417199</v>
      </c>
      <c r="AG49" s="82">
        <v>0</v>
      </c>
      <c r="AH49" s="82">
        <v>0.242256426961206</v>
      </c>
      <c r="AI49" s="82">
        <v>0</v>
      </c>
      <c r="AJ49" s="82">
        <v>0</v>
      </c>
      <c r="AK49" s="82">
        <v>34.277550745088099</v>
      </c>
      <c r="AL49" s="82">
        <v>0</v>
      </c>
      <c r="AM49" s="82">
        <v>16.319870082597198</v>
      </c>
      <c r="AN49" s="82">
        <v>0</v>
      </c>
      <c r="AO49" s="82">
        <v>0</v>
      </c>
      <c r="AP49" s="82">
        <v>0</v>
      </c>
      <c r="AQ49" s="82">
        <v>0</v>
      </c>
      <c r="AR49" s="83">
        <v>0.41325541626643703</v>
      </c>
    </row>
    <row r="50" spans="2:44" ht="12" customHeight="1" x14ac:dyDescent="0.25">
      <c r="B50" s="81" t="s">
        <v>22</v>
      </c>
      <c r="C50" s="82" t="s">
        <v>23</v>
      </c>
      <c r="D50" s="82" t="s">
        <v>24</v>
      </c>
      <c r="E50" s="82" t="s">
        <v>24</v>
      </c>
      <c r="F50" s="82" t="s">
        <v>25</v>
      </c>
      <c r="G50" s="82" t="s">
        <v>25</v>
      </c>
      <c r="H50" s="82" t="s">
        <v>93</v>
      </c>
      <c r="I50" s="82" t="s">
        <v>25</v>
      </c>
      <c r="J50" s="82">
        <v>9.26</v>
      </c>
      <c r="K50" s="82">
        <v>51.25</v>
      </c>
      <c r="L50" s="82">
        <v>0.27185939373215401</v>
      </c>
      <c r="M50" s="82">
        <v>0</v>
      </c>
      <c r="N50" s="82">
        <v>0</v>
      </c>
      <c r="O50" s="82">
        <v>0</v>
      </c>
      <c r="P50" s="82">
        <v>0</v>
      </c>
      <c r="Q50" s="82">
        <v>3.2139018022136501</v>
      </c>
      <c r="R50" s="82">
        <v>1.7194053454059199</v>
      </c>
      <c r="S50" s="82">
        <v>0</v>
      </c>
      <c r="T50" s="82">
        <v>1.17998906942653</v>
      </c>
      <c r="U50" s="82">
        <v>0.25294630485490799</v>
      </c>
      <c r="V50" s="82">
        <v>0</v>
      </c>
      <c r="W50" s="82">
        <v>0</v>
      </c>
      <c r="X50" s="82">
        <v>0</v>
      </c>
      <c r="Y50" s="82">
        <v>0</v>
      </c>
      <c r="Z50" s="82">
        <v>0</v>
      </c>
      <c r="AA50" s="82">
        <v>0</v>
      </c>
      <c r="AB50" s="82">
        <v>0</v>
      </c>
      <c r="AC50" s="82">
        <v>0</v>
      </c>
      <c r="AD50" s="82">
        <v>1.9635195908957199</v>
      </c>
      <c r="AE50" s="82">
        <v>6.9908450594698607E-2</v>
      </c>
      <c r="AF50" s="82">
        <v>0.58510648945417199</v>
      </c>
      <c r="AG50" s="82">
        <v>0</v>
      </c>
      <c r="AH50" s="82">
        <v>0.242256426961206</v>
      </c>
      <c r="AI50" s="82">
        <v>0</v>
      </c>
      <c r="AJ50" s="82">
        <v>0</v>
      </c>
      <c r="AK50" s="82">
        <v>34.277550745088099</v>
      </c>
      <c r="AL50" s="82">
        <v>0</v>
      </c>
      <c r="AM50" s="82">
        <v>16.319870082597198</v>
      </c>
      <c r="AN50" s="82">
        <v>0</v>
      </c>
      <c r="AO50" s="82">
        <v>0</v>
      </c>
      <c r="AP50" s="82">
        <v>0</v>
      </c>
      <c r="AQ50" s="82">
        <v>0</v>
      </c>
      <c r="AR50" s="83">
        <v>0.41325541626643703</v>
      </c>
    </row>
    <row r="51" spans="2:44" ht="12" customHeight="1" x14ac:dyDescent="0.25">
      <c r="B51" s="81" t="s">
        <v>22</v>
      </c>
      <c r="C51" s="82" t="s">
        <v>109</v>
      </c>
      <c r="D51" s="82" t="s">
        <v>24</v>
      </c>
      <c r="E51" s="82" t="s">
        <v>1618</v>
      </c>
      <c r="F51" s="82" t="s">
        <v>25</v>
      </c>
      <c r="G51" s="82" t="s">
        <v>25</v>
      </c>
      <c r="H51" s="82" t="s">
        <v>93</v>
      </c>
      <c r="I51" s="82" t="s">
        <v>25</v>
      </c>
      <c r="J51" s="82">
        <v>4.05</v>
      </c>
      <c r="K51" s="82">
        <v>51.25</v>
      </c>
      <c r="L51" s="82">
        <v>0</v>
      </c>
      <c r="M51" s="82">
        <v>0</v>
      </c>
      <c r="N51" s="82">
        <v>0</v>
      </c>
      <c r="O51" s="82">
        <v>0</v>
      </c>
      <c r="P51" s="82">
        <v>0</v>
      </c>
      <c r="Q51" s="82">
        <v>0</v>
      </c>
      <c r="R51" s="82">
        <v>0</v>
      </c>
      <c r="S51" s="82">
        <v>0</v>
      </c>
      <c r="T51" s="82">
        <v>1.17998906942653</v>
      </c>
      <c r="U51" s="82">
        <v>0.25294630485490799</v>
      </c>
      <c r="V51" s="82">
        <v>0</v>
      </c>
      <c r="W51" s="82">
        <v>0</v>
      </c>
      <c r="X51" s="82">
        <v>0</v>
      </c>
      <c r="Y51" s="82">
        <v>0</v>
      </c>
      <c r="Z51" s="82">
        <v>0</v>
      </c>
      <c r="AA51" s="82">
        <v>0</v>
      </c>
      <c r="AB51" s="82">
        <v>0</v>
      </c>
      <c r="AC51" s="82">
        <v>0</v>
      </c>
      <c r="AD51" s="82">
        <v>1.9635195908957199</v>
      </c>
      <c r="AE51" s="82">
        <v>6.9908450594698607E-2</v>
      </c>
      <c r="AF51" s="82">
        <v>0.58510648945417199</v>
      </c>
      <c r="AG51" s="82">
        <v>0</v>
      </c>
      <c r="AH51" s="82">
        <v>0.242256426961206</v>
      </c>
      <c r="AI51" s="82">
        <v>0</v>
      </c>
      <c r="AJ51" s="82">
        <v>0</v>
      </c>
      <c r="AK51" s="82">
        <v>34.277550745088099</v>
      </c>
      <c r="AL51" s="82">
        <v>0</v>
      </c>
      <c r="AM51" s="82">
        <v>16.319870082597198</v>
      </c>
      <c r="AN51" s="82">
        <v>0</v>
      </c>
      <c r="AO51" s="82">
        <v>0</v>
      </c>
      <c r="AP51" s="82">
        <v>0</v>
      </c>
      <c r="AQ51" s="82">
        <v>0</v>
      </c>
      <c r="AR51" s="83">
        <v>0.41325541626643703</v>
      </c>
    </row>
    <row r="52" spans="2:44" ht="12" customHeight="1" x14ac:dyDescent="0.25">
      <c r="B52" s="81" t="s">
        <v>22</v>
      </c>
      <c r="C52" s="82" t="s">
        <v>109</v>
      </c>
      <c r="D52" s="82" t="s">
        <v>24</v>
      </c>
      <c r="E52" s="82" t="s">
        <v>24</v>
      </c>
      <c r="F52" s="82" t="s">
        <v>25</v>
      </c>
      <c r="G52" s="82" t="s">
        <v>25</v>
      </c>
      <c r="H52" s="82" t="s">
        <v>93</v>
      </c>
      <c r="I52" s="82" t="s">
        <v>25</v>
      </c>
      <c r="J52" s="82">
        <v>9.26</v>
      </c>
      <c r="K52" s="82">
        <v>51.25</v>
      </c>
      <c r="L52" s="82">
        <v>0.27185939373215401</v>
      </c>
      <c r="M52" s="82">
        <v>0</v>
      </c>
      <c r="N52" s="82">
        <v>0</v>
      </c>
      <c r="O52" s="82">
        <v>0</v>
      </c>
      <c r="P52" s="82">
        <v>0</v>
      </c>
      <c r="Q52" s="82">
        <v>3.2139018022136501</v>
      </c>
      <c r="R52" s="82">
        <v>1.7194053454059199</v>
      </c>
      <c r="S52" s="82">
        <v>0</v>
      </c>
      <c r="T52" s="82">
        <v>1.17998906942653</v>
      </c>
      <c r="U52" s="82">
        <v>0.25294630485490799</v>
      </c>
      <c r="V52" s="82">
        <v>0</v>
      </c>
      <c r="W52" s="82">
        <v>0</v>
      </c>
      <c r="X52" s="82">
        <v>0</v>
      </c>
      <c r="Y52" s="82">
        <v>0</v>
      </c>
      <c r="Z52" s="82">
        <v>0</v>
      </c>
      <c r="AA52" s="82">
        <v>0</v>
      </c>
      <c r="AB52" s="82">
        <v>0</v>
      </c>
      <c r="AC52" s="82">
        <v>0</v>
      </c>
      <c r="AD52" s="82">
        <v>1.9635195908957199</v>
      </c>
      <c r="AE52" s="82">
        <v>6.9908450594698607E-2</v>
      </c>
      <c r="AF52" s="82">
        <v>0.58510648945417199</v>
      </c>
      <c r="AG52" s="82">
        <v>0</v>
      </c>
      <c r="AH52" s="82">
        <v>0.242256426961206</v>
      </c>
      <c r="AI52" s="82">
        <v>0</v>
      </c>
      <c r="AJ52" s="82">
        <v>0</v>
      </c>
      <c r="AK52" s="82">
        <v>34.277550745088099</v>
      </c>
      <c r="AL52" s="82">
        <v>0</v>
      </c>
      <c r="AM52" s="82">
        <v>16.319870082597198</v>
      </c>
      <c r="AN52" s="82">
        <v>0</v>
      </c>
      <c r="AO52" s="82">
        <v>0</v>
      </c>
      <c r="AP52" s="82">
        <v>0</v>
      </c>
      <c r="AQ52" s="82">
        <v>0</v>
      </c>
      <c r="AR52" s="83">
        <v>0.41325541626643703</v>
      </c>
    </row>
    <row r="53" spans="2:44" ht="12" customHeight="1" x14ac:dyDescent="0.25">
      <c r="B53" s="81" t="s">
        <v>44</v>
      </c>
      <c r="C53" s="82" t="s">
        <v>33</v>
      </c>
      <c r="D53" s="82" t="s">
        <v>45</v>
      </c>
      <c r="E53" s="82" t="s">
        <v>110</v>
      </c>
      <c r="F53" s="82" t="s">
        <v>25</v>
      </c>
      <c r="G53" s="82" t="s">
        <v>34</v>
      </c>
      <c r="H53" s="82" t="s">
        <v>93</v>
      </c>
      <c r="I53" s="82" t="s">
        <v>25</v>
      </c>
      <c r="J53" s="82">
        <v>11.4</v>
      </c>
      <c r="K53" s="82">
        <v>57.73</v>
      </c>
      <c r="L53" s="82">
        <v>0.25554783010822502</v>
      </c>
      <c r="M53" s="82">
        <v>0</v>
      </c>
      <c r="N53" s="82">
        <v>0</v>
      </c>
      <c r="O53" s="82">
        <v>0</v>
      </c>
      <c r="P53" s="82">
        <v>0</v>
      </c>
      <c r="Q53" s="82">
        <v>3.0210676940808301</v>
      </c>
      <c r="R53" s="82">
        <v>1.6162410246815599</v>
      </c>
      <c r="S53" s="82">
        <v>0</v>
      </c>
      <c r="T53" s="82">
        <v>3.3275691757828199</v>
      </c>
      <c r="U53" s="82">
        <v>0.71330857969084005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82">
        <v>0</v>
      </c>
      <c r="AD53" s="82">
        <v>1.8457084154419801</v>
      </c>
      <c r="AE53" s="82">
        <v>6.5713943559016705E-2</v>
      </c>
      <c r="AF53" s="82">
        <v>0.55000010008692202</v>
      </c>
      <c r="AG53" s="82">
        <v>0</v>
      </c>
      <c r="AH53" s="82">
        <v>0.22772104134353399</v>
      </c>
      <c r="AI53" s="82">
        <v>0</v>
      </c>
      <c r="AJ53" s="82">
        <v>0</v>
      </c>
      <c r="AK53" s="82">
        <v>32.2208977003828</v>
      </c>
      <c r="AL53" s="82">
        <v>0</v>
      </c>
      <c r="AM53" s="82">
        <v>24.892420707116202</v>
      </c>
      <c r="AN53" s="82">
        <v>0</v>
      </c>
      <c r="AO53" s="82">
        <v>0</v>
      </c>
      <c r="AP53" s="82">
        <v>0</v>
      </c>
      <c r="AQ53" s="82">
        <v>0</v>
      </c>
      <c r="AR53" s="83">
        <v>0.388460091290451</v>
      </c>
    </row>
    <row r="54" spans="2:44" ht="12" customHeight="1" x14ac:dyDescent="0.25">
      <c r="B54" s="81" t="s">
        <v>44</v>
      </c>
      <c r="C54" s="82" t="s">
        <v>33</v>
      </c>
      <c r="D54" s="82" t="s">
        <v>45</v>
      </c>
      <c r="E54" s="82" t="s">
        <v>110</v>
      </c>
      <c r="F54" s="82" t="s">
        <v>25</v>
      </c>
      <c r="G54" s="82" t="s">
        <v>36</v>
      </c>
      <c r="H54" s="82" t="s">
        <v>93</v>
      </c>
      <c r="I54" s="82" t="s">
        <v>25</v>
      </c>
      <c r="J54" s="82">
        <v>9.7799999999999994</v>
      </c>
      <c r="K54" s="82">
        <v>47.31</v>
      </c>
      <c r="L54" s="82">
        <v>0.25554783010822502</v>
      </c>
      <c r="M54" s="82">
        <v>0</v>
      </c>
      <c r="N54" s="82">
        <v>0</v>
      </c>
      <c r="O54" s="82">
        <v>0</v>
      </c>
      <c r="P54" s="82">
        <v>0</v>
      </c>
      <c r="Q54" s="82">
        <v>3.0210676940808301</v>
      </c>
      <c r="R54" s="82">
        <v>1.6162410246815599</v>
      </c>
      <c r="S54" s="82">
        <v>0</v>
      </c>
      <c r="T54" s="82">
        <v>1.99654405084016</v>
      </c>
      <c r="U54" s="82">
        <v>0.42798398010245903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82">
        <v>0</v>
      </c>
      <c r="AD54" s="82">
        <v>1.8457084154419801</v>
      </c>
      <c r="AE54" s="82">
        <v>6.5713943559016705E-2</v>
      </c>
      <c r="AF54" s="82">
        <v>0.55000010008692202</v>
      </c>
      <c r="AG54" s="82">
        <v>0</v>
      </c>
      <c r="AH54" s="82">
        <v>0.22772104134353399</v>
      </c>
      <c r="AI54" s="82">
        <v>0</v>
      </c>
      <c r="AJ54" s="82">
        <v>0</v>
      </c>
      <c r="AK54" s="82">
        <v>32.2208977003828</v>
      </c>
      <c r="AL54" s="82">
        <v>0</v>
      </c>
      <c r="AM54" s="82">
        <v>14.4723376204164</v>
      </c>
      <c r="AN54" s="82">
        <v>0</v>
      </c>
      <c r="AO54" s="82">
        <v>0</v>
      </c>
      <c r="AP54" s="82">
        <v>0</v>
      </c>
      <c r="AQ54" s="82">
        <v>0</v>
      </c>
      <c r="AR54" s="83">
        <v>0.388460091290451</v>
      </c>
    </row>
    <row r="55" spans="2:44" ht="12" customHeight="1" x14ac:dyDescent="0.25">
      <c r="B55" s="81" t="s">
        <v>44</v>
      </c>
      <c r="C55" s="82" t="s">
        <v>33</v>
      </c>
      <c r="D55" s="82" t="s">
        <v>45</v>
      </c>
      <c r="E55" s="82" t="s">
        <v>110</v>
      </c>
      <c r="F55" s="82" t="s">
        <v>25</v>
      </c>
      <c r="G55" s="82" t="s">
        <v>35</v>
      </c>
      <c r="H55" s="82" t="s">
        <v>93</v>
      </c>
      <c r="I55" s="82" t="s">
        <v>25</v>
      </c>
      <c r="J55" s="82">
        <v>8.16</v>
      </c>
      <c r="K55" s="82">
        <v>47.31</v>
      </c>
      <c r="L55" s="82">
        <v>0.25554783010822502</v>
      </c>
      <c r="M55" s="82">
        <v>0</v>
      </c>
      <c r="N55" s="82">
        <v>0</v>
      </c>
      <c r="O55" s="82">
        <v>0</v>
      </c>
      <c r="P55" s="82">
        <v>0</v>
      </c>
      <c r="Q55" s="82">
        <v>3.0210676940808301</v>
      </c>
      <c r="R55" s="82">
        <v>1.6162410246815599</v>
      </c>
      <c r="S55" s="82">
        <v>0</v>
      </c>
      <c r="T55" s="82">
        <v>0.66551256247132995</v>
      </c>
      <c r="U55" s="82">
        <v>0.142659380514078</v>
      </c>
      <c r="V55" s="82">
        <v>0</v>
      </c>
      <c r="W55" s="82">
        <v>0</v>
      </c>
      <c r="X55" s="82">
        <v>0</v>
      </c>
      <c r="Y55" s="82">
        <v>0</v>
      </c>
      <c r="Z55" s="82">
        <v>0</v>
      </c>
      <c r="AA55" s="82">
        <v>0</v>
      </c>
      <c r="AB55" s="82">
        <v>0</v>
      </c>
      <c r="AC55" s="82">
        <v>0</v>
      </c>
      <c r="AD55" s="82">
        <v>1.8457084154419801</v>
      </c>
      <c r="AE55" s="82">
        <v>6.5713943559016705E-2</v>
      </c>
      <c r="AF55" s="82">
        <v>0.55000010008692202</v>
      </c>
      <c r="AG55" s="82">
        <v>0</v>
      </c>
      <c r="AH55" s="82">
        <v>0.22772104134353399</v>
      </c>
      <c r="AI55" s="82">
        <v>0</v>
      </c>
      <c r="AJ55" s="82">
        <v>0</v>
      </c>
      <c r="AK55" s="82">
        <v>32.2208977003828</v>
      </c>
      <c r="AL55" s="82">
        <v>0</v>
      </c>
      <c r="AM55" s="82">
        <v>14.4723376204164</v>
      </c>
      <c r="AN55" s="82">
        <v>0</v>
      </c>
      <c r="AO55" s="82">
        <v>0</v>
      </c>
      <c r="AP55" s="82">
        <v>0</v>
      </c>
      <c r="AQ55" s="82">
        <v>0</v>
      </c>
      <c r="AR55" s="83">
        <v>0.388460091290451</v>
      </c>
    </row>
    <row r="56" spans="2:44" ht="12" customHeight="1" x14ac:dyDescent="0.25">
      <c r="B56" s="81" t="s">
        <v>44</v>
      </c>
      <c r="C56" s="82" t="s">
        <v>33</v>
      </c>
      <c r="D56" s="82" t="s">
        <v>45</v>
      </c>
      <c r="E56" s="82" t="s">
        <v>25</v>
      </c>
      <c r="F56" s="82" t="s">
        <v>25</v>
      </c>
      <c r="G56" s="82" t="s">
        <v>34</v>
      </c>
      <c r="H56" s="82" t="s">
        <v>93</v>
      </c>
      <c r="I56" s="82" t="s">
        <v>25</v>
      </c>
      <c r="J56" s="82">
        <v>11.4</v>
      </c>
      <c r="K56" s="82">
        <v>57.73</v>
      </c>
      <c r="L56" s="82">
        <v>0.25554783010822502</v>
      </c>
      <c r="M56" s="82">
        <v>0</v>
      </c>
      <c r="N56" s="82">
        <v>0</v>
      </c>
      <c r="O56" s="82">
        <v>0</v>
      </c>
      <c r="P56" s="82">
        <v>0</v>
      </c>
      <c r="Q56" s="82">
        <v>3.0210676940808301</v>
      </c>
      <c r="R56" s="82">
        <v>1.6162410246815599</v>
      </c>
      <c r="S56" s="82">
        <v>0</v>
      </c>
      <c r="T56" s="82">
        <v>3.3275691757828199</v>
      </c>
      <c r="U56" s="82">
        <v>0.71330857969084005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82">
        <v>0</v>
      </c>
      <c r="AC56" s="82">
        <v>0</v>
      </c>
      <c r="AD56" s="82">
        <v>1.8457084154419801</v>
      </c>
      <c r="AE56" s="82">
        <v>6.5713943559016705E-2</v>
      </c>
      <c r="AF56" s="82">
        <v>0.55000010008692202</v>
      </c>
      <c r="AG56" s="82">
        <v>0</v>
      </c>
      <c r="AH56" s="82">
        <v>0.22772104134353399</v>
      </c>
      <c r="AI56" s="82">
        <v>0</v>
      </c>
      <c r="AJ56" s="82">
        <v>0</v>
      </c>
      <c r="AK56" s="82">
        <v>32.2208977003828</v>
      </c>
      <c r="AL56" s="82">
        <v>0</v>
      </c>
      <c r="AM56" s="82">
        <v>24.892420707116202</v>
      </c>
      <c r="AN56" s="82">
        <v>0</v>
      </c>
      <c r="AO56" s="82">
        <v>0</v>
      </c>
      <c r="AP56" s="82">
        <v>0</v>
      </c>
      <c r="AQ56" s="82">
        <v>0</v>
      </c>
      <c r="AR56" s="83">
        <v>0.388460091290451</v>
      </c>
    </row>
    <row r="57" spans="2:44" ht="12" customHeight="1" x14ac:dyDescent="0.25">
      <c r="B57" s="81" t="s">
        <v>44</v>
      </c>
      <c r="C57" s="82" t="s">
        <v>33</v>
      </c>
      <c r="D57" s="82" t="s">
        <v>45</v>
      </c>
      <c r="E57" s="82" t="s">
        <v>25</v>
      </c>
      <c r="F57" s="82" t="s">
        <v>25</v>
      </c>
      <c r="G57" s="82" t="s">
        <v>36</v>
      </c>
      <c r="H57" s="82" t="s">
        <v>93</v>
      </c>
      <c r="I57" s="82" t="s">
        <v>25</v>
      </c>
      <c r="J57" s="82">
        <v>9.7799999999999994</v>
      </c>
      <c r="K57" s="82">
        <v>47.31</v>
      </c>
      <c r="L57" s="82">
        <v>0.25554783010822502</v>
      </c>
      <c r="M57" s="82">
        <v>0</v>
      </c>
      <c r="N57" s="82">
        <v>0</v>
      </c>
      <c r="O57" s="82">
        <v>0</v>
      </c>
      <c r="P57" s="82">
        <v>0</v>
      </c>
      <c r="Q57" s="82">
        <v>3.0210676940808301</v>
      </c>
      <c r="R57" s="82">
        <v>1.6162410246815599</v>
      </c>
      <c r="S57" s="82">
        <v>0</v>
      </c>
      <c r="T57" s="82">
        <v>1.99654405084016</v>
      </c>
      <c r="U57" s="82">
        <v>0.42798398010245903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82">
        <v>0</v>
      </c>
      <c r="AD57" s="82">
        <v>1.8457084154419801</v>
      </c>
      <c r="AE57" s="82">
        <v>6.5713943559016705E-2</v>
      </c>
      <c r="AF57" s="82">
        <v>0.55000010008692202</v>
      </c>
      <c r="AG57" s="82">
        <v>0</v>
      </c>
      <c r="AH57" s="82">
        <v>0.22772104134353399</v>
      </c>
      <c r="AI57" s="82">
        <v>0</v>
      </c>
      <c r="AJ57" s="82">
        <v>0</v>
      </c>
      <c r="AK57" s="82">
        <v>32.2208977003828</v>
      </c>
      <c r="AL57" s="82">
        <v>0</v>
      </c>
      <c r="AM57" s="82">
        <v>14.4723376204164</v>
      </c>
      <c r="AN57" s="82">
        <v>0</v>
      </c>
      <c r="AO57" s="82">
        <v>0</v>
      </c>
      <c r="AP57" s="82">
        <v>0</v>
      </c>
      <c r="AQ57" s="82">
        <v>0</v>
      </c>
      <c r="AR57" s="83">
        <v>0.388460091290451</v>
      </c>
    </row>
    <row r="58" spans="2:44" ht="12" customHeight="1" x14ac:dyDescent="0.25">
      <c r="B58" s="81" t="s">
        <v>44</v>
      </c>
      <c r="C58" s="82" t="s">
        <v>33</v>
      </c>
      <c r="D58" s="82" t="s">
        <v>45</v>
      </c>
      <c r="E58" s="82" t="s">
        <v>25</v>
      </c>
      <c r="F58" s="82" t="s">
        <v>25</v>
      </c>
      <c r="G58" s="82" t="s">
        <v>35</v>
      </c>
      <c r="H58" s="82" t="s">
        <v>93</v>
      </c>
      <c r="I58" s="82" t="s">
        <v>25</v>
      </c>
      <c r="J58" s="82">
        <v>8.16</v>
      </c>
      <c r="K58" s="82">
        <v>47.31</v>
      </c>
      <c r="L58" s="82">
        <v>0.25554783010822502</v>
      </c>
      <c r="M58" s="82">
        <v>0</v>
      </c>
      <c r="N58" s="82">
        <v>0</v>
      </c>
      <c r="O58" s="82">
        <v>0</v>
      </c>
      <c r="P58" s="82">
        <v>0</v>
      </c>
      <c r="Q58" s="82">
        <v>3.0210676940808301</v>
      </c>
      <c r="R58" s="82">
        <v>1.6162410246815599</v>
      </c>
      <c r="S58" s="82">
        <v>0</v>
      </c>
      <c r="T58" s="82">
        <v>0.66551256247132995</v>
      </c>
      <c r="U58" s="82">
        <v>0.142659380514078</v>
      </c>
      <c r="V58" s="82">
        <v>0</v>
      </c>
      <c r="W58" s="82">
        <v>0</v>
      </c>
      <c r="X58" s="82">
        <v>0</v>
      </c>
      <c r="Y58" s="82">
        <v>0</v>
      </c>
      <c r="Z58" s="82">
        <v>0</v>
      </c>
      <c r="AA58" s="82">
        <v>0</v>
      </c>
      <c r="AB58" s="82">
        <v>0</v>
      </c>
      <c r="AC58" s="82">
        <v>0</v>
      </c>
      <c r="AD58" s="82">
        <v>1.8457084154419801</v>
      </c>
      <c r="AE58" s="82">
        <v>6.5713943559016705E-2</v>
      </c>
      <c r="AF58" s="82">
        <v>0.55000010008692202</v>
      </c>
      <c r="AG58" s="82">
        <v>0</v>
      </c>
      <c r="AH58" s="82">
        <v>0.22772104134353399</v>
      </c>
      <c r="AI58" s="82">
        <v>0</v>
      </c>
      <c r="AJ58" s="82">
        <v>0</v>
      </c>
      <c r="AK58" s="82">
        <v>32.2208977003828</v>
      </c>
      <c r="AL58" s="82">
        <v>0</v>
      </c>
      <c r="AM58" s="82">
        <v>14.4723376204164</v>
      </c>
      <c r="AN58" s="82">
        <v>0</v>
      </c>
      <c r="AO58" s="82">
        <v>0</v>
      </c>
      <c r="AP58" s="82">
        <v>0</v>
      </c>
      <c r="AQ58" s="82">
        <v>0</v>
      </c>
      <c r="AR58" s="83">
        <v>0.388460091290451</v>
      </c>
    </row>
    <row r="59" spans="2:44" ht="12" customHeight="1" x14ac:dyDescent="0.25">
      <c r="B59" s="81" t="s">
        <v>44</v>
      </c>
      <c r="C59" s="82" t="s">
        <v>33</v>
      </c>
      <c r="D59" s="82" t="s">
        <v>45</v>
      </c>
      <c r="E59" s="82" t="s">
        <v>111</v>
      </c>
      <c r="F59" s="82" t="s">
        <v>25</v>
      </c>
      <c r="G59" s="82" t="s">
        <v>34</v>
      </c>
      <c r="H59" s="82" t="s">
        <v>93</v>
      </c>
      <c r="I59" s="82" t="s">
        <v>25</v>
      </c>
      <c r="J59" s="82">
        <v>11.15</v>
      </c>
      <c r="K59" s="82">
        <v>56.5</v>
      </c>
      <c r="L59" s="82">
        <v>0.25011064223358198</v>
      </c>
      <c r="M59" s="82">
        <v>0</v>
      </c>
      <c r="N59" s="82">
        <v>0</v>
      </c>
      <c r="O59" s="82">
        <v>0</v>
      </c>
      <c r="P59" s="82">
        <v>0</v>
      </c>
      <c r="Q59" s="82">
        <v>2.95678965803656</v>
      </c>
      <c r="R59" s="82">
        <v>1.5818529177734399</v>
      </c>
      <c r="S59" s="82">
        <v>0</v>
      </c>
      <c r="T59" s="82">
        <v>3.25676983161723</v>
      </c>
      <c r="U59" s="82">
        <v>0.698131801399546</v>
      </c>
      <c r="V59" s="82">
        <v>0</v>
      </c>
      <c r="W59" s="82">
        <v>0</v>
      </c>
      <c r="X59" s="82">
        <v>0</v>
      </c>
      <c r="Y59" s="82">
        <v>0</v>
      </c>
      <c r="Z59" s="82">
        <v>0</v>
      </c>
      <c r="AA59" s="82">
        <v>0</v>
      </c>
      <c r="AB59" s="82">
        <v>0</v>
      </c>
      <c r="AC59" s="82">
        <v>0</v>
      </c>
      <c r="AD59" s="82">
        <v>1.80643802362406</v>
      </c>
      <c r="AE59" s="82">
        <v>6.43157745471227E-2</v>
      </c>
      <c r="AF59" s="82">
        <v>0.53829797029783799</v>
      </c>
      <c r="AG59" s="82">
        <v>0</v>
      </c>
      <c r="AH59" s="82">
        <v>0.22287591280430999</v>
      </c>
      <c r="AI59" s="82">
        <v>0</v>
      </c>
      <c r="AJ59" s="82">
        <v>0</v>
      </c>
      <c r="AK59" s="82">
        <v>31.535346685480999</v>
      </c>
      <c r="AL59" s="82">
        <v>0</v>
      </c>
      <c r="AM59" s="82">
        <v>24.362794734624298</v>
      </c>
      <c r="AN59" s="82">
        <v>0</v>
      </c>
      <c r="AO59" s="82">
        <v>0</v>
      </c>
      <c r="AP59" s="82">
        <v>0</v>
      </c>
      <c r="AQ59" s="82">
        <v>0</v>
      </c>
      <c r="AR59" s="83">
        <v>0.380194982965122</v>
      </c>
    </row>
    <row r="60" spans="2:44" ht="12" customHeight="1" x14ac:dyDescent="0.25">
      <c r="B60" s="81" t="s">
        <v>44</v>
      </c>
      <c r="C60" s="82" t="s">
        <v>33</v>
      </c>
      <c r="D60" s="82" t="s">
        <v>45</v>
      </c>
      <c r="E60" s="82" t="s">
        <v>111</v>
      </c>
      <c r="F60" s="82" t="s">
        <v>25</v>
      </c>
      <c r="G60" s="82" t="s">
        <v>36</v>
      </c>
      <c r="H60" s="82" t="s">
        <v>93</v>
      </c>
      <c r="I60" s="82" t="s">
        <v>25</v>
      </c>
      <c r="J60" s="82">
        <v>9.57</v>
      </c>
      <c r="K60" s="82">
        <v>46.3</v>
      </c>
      <c r="L60" s="82">
        <v>0.25011064223358198</v>
      </c>
      <c r="M60" s="82">
        <v>0</v>
      </c>
      <c r="N60" s="82">
        <v>0</v>
      </c>
      <c r="O60" s="82">
        <v>0</v>
      </c>
      <c r="P60" s="82">
        <v>0</v>
      </c>
      <c r="Q60" s="82">
        <v>2.95678965803656</v>
      </c>
      <c r="R60" s="82">
        <v>1.5818529177734399</v>
      </c>
      <c r="S60" s="82">
        <v>0</v>
      </c>
      <c r="T60" s="82">
        <v>1.95406439018399</v>
      </c>
      <c r="U60" s="82">
        <v>0.41887793797262002</v>
      </c>
      <c r="V60" s="82">
        <v>0</v>
      </c>
      <c r="W60" s="82">
        <v>0</v>
      </c>
      <c r="X60" s="82">
        <v>0</v>
      </c>
      <c r="Y60" s="82">
        <v>0</v>
      </c>
      <c r="Z60" s="82">
        <v>0</v>
      </c>
      <c r="AA60" s="82">
        <v>0</v>
      </c>
      <c r="AB60" s="82">
        <v>0</v>
      </c>
      <c r="AC60" s="82">
        <v>0</v>
      </c>
      <c r="AD60" s="82">
        <v>1.80643802362406</v>
      </c>
      <c r="AE60" s="82">
        <v>6.43157745471227E-2</v>
      </c>
      <c r="AF60" s="82">
        <v>0.53829797029783799</v>
      </c>
      <c r="AG60" s="82">
        <v>0</v>
      </c>
      <c r="AH60" s="82">
        <v>0.22287591280430999</v>
      </c>
      <c r="AI60" s="82">
        <v>0</v>
      </c>
      <c r="AJ60" s="82">
        <v>0</v>
      </c>
      <c r="AK60" s="82">
        <v>31.535346685480999</v>
      </c>
      <c r="AL60" s="82">
        <v>0</v>
      </c>
      <c r="AM60" s="82">
        <v>14.1644155433862</v>
      </c>
      <c r="AN60" s="82">
        <v>0</v>
      </c>
      <c r="AO60" s="82">
        <v>0</v>
      </c>
      <c r="AP60" s="82">
        <v>0</v>
      </c>
      <c r="AQ60" s="82">
        <v>0</v>
      </c>
      <c r="AR60" s="83">
        <v>0.380194982965122</v>
      </c>
    </row>
    <row r="61" spans="2:44" ht="12" customHeight="1" x14ac:dyDescent="0.25">
      <c r="B61" s="81" t="s">
        <v>44</v>
      </c>
      <c r="C61" s="82" t="s">
        <v>33</v>
      </c>
      <c r="D61" s="82" t="s">
        <v>45</v>
      </c>
      <c r="E61" s="82" t="s">
        <v>111</v>
      </c>
      <c r="F61" s="82" t="s">
        <v>25</v>
      </c>
      <c r="G61" s="82" t="s">
        <v>35</v>
      </c>
      <c r="H61" s="82" t="s">
        <v>93</v>
      </c>
      <c r="I61" s="82" t="s">
        <v>25</v>
      </c>
      <c r="J61" s="82">
        <v>7.99</v>
      </c>
      <c r="K61" s="82">
        <v>46.3</v>
      </c>
      <c r="L61" s="82">
        <v>0.25011064223358198</v>
      </c>
      <c r="M61" s="82">
        <v>0</v>
      </c>
      <c r="N61" s="82">
        <v>0</v>
      </c>
      <c r="O61" s="82">
        <v>0</v>
      </c>
      <c r="P61" s="82">
        <v>0</v>
      </c>
      <c r="Q61" s="82">
        <v>2.95678965803656</v>
      </c>
      <c r="R61" s="82">
        <v>1.5818529177734399</v>
      </c>
      <c r="S61" s="82">
        <v>0</v>
      </c>
      <c r="T61" s="82">
        <v>0.65135272071662098</v>
      </c>
      <c r="U61" s="82">
        <v>0.139624074545694</v>
      </c>
      <c r="V61" s="82">
        <v>0</v>
      </c>
      <c r="W61" s="82">
        <v>0</v>
      </c>
      <c r="X61" s="82">
        <v>0</v>
      </c>
      <c r="Y61" s="82">
        <v>0</v>
      </c>
      <c r="Z61" s="82">
        <v>0</v>
      </c>
      <c r="AA61" s="82">
        <v>0</v>
      </c>
      <c r="AB61" s="82">
        <v>0</v>
      </c>
      <c r="AC61" s="82">
        <v>0</v>
      </c>
      <c r="AD61" s="82">
        <v>1.80643802362406</v>
      </c>
      <c r="AE61" s="82">
        <v>6.43157745471227E-2</v>
      </c>
      <c r="AF61" s="82">
        <v>0.53829797029783799</v>
      </c>
      <c r="AG61" s="82">
        <v>0</v>
      </c>
      <c r="AH61" s="82">
        <v>0.22287591280430999</v>
      </c>
      <c r="AI61" s="82">
        <v>0</v>
      </c>
      <c r="AJ61" s="82">
        <v>0</v>
      </c>
      <c r="AK61" s="82">
        <v>31.535346685480999</v>
      </c>
      <c r="AL61" s="82">
        <v>0</v>
      </c>
      <c r="AM61" s="82">
        <v>14.1644155433862</v>
      </c>
      <c r="AN61" s="82">
        <v>0</v>
      </c>
      <c r="AO61" s="82">
        <v>0</v>
      </c>
      <c r="AP61" s="82">
        <v>0</v>
      </c>
      <c r="AQ61" s="82">
        <v>0</v>
      </c>
      <c r="AR61" s="83">
        <v>0.380194982965122</v>
      </c>
    </row>
    <row r="62" spans="2:44" ht="12" customHeight="1" x14ac:dyDescent="0.25">
      <c r="B62" s="81" t="s">
        <v>44</v>
      </c>
      <c r="C62" s="82" t="s">
        <v>23</v>
      </c>
      <c r="D62" s="82" t="s">
        <v>45</v>
      </c>
      <c r="E62" s="82" t="s">
        <v>110</v>
      </c>
      <c r="F62" s="82" t="s">
        <v>25</v>
      </c>
      <c r="G62" s="82" t="s">
        <v>25</v>
      </c>
      <c r="H62" s="82" t="s">
        <v>93</v>
      </c>
      <c r="I62" s="82" t="s">
        <v>25</v>
      </c>
      <c r="J62" s="82">
        <v>8.6999999999999993</v>
      </c>
      <c r="K62" s="82">
        <v>48.18</v>
      </c>
      <c r="L62" s="82">
        <v>0.25554783010822502</v>
      </c>
      <c r="M62" s="82">
        <v>0</v>
      </c>
      <c r="N62" s="82">
        <v>0</v>
      </c>
      <c r="O62" s="82">
        <v>0</v>
      </c>
      <c r="P62" s="82">
        <v>0</v>
      </c>
      <c r="Q62" s="82">
        <v>3.0210676940808301</v>
      </c>
      <c r="R62" s="82">
        <v>1.6162410246815599</v>
      </c>
      <c r="S62" s="82">
        <v>0</v>
      </c>
      <c r="T62" s="82">
        <v>1.10918972526094</v>
      </c>
      <c r="U62" s="82">
        <v>0.237769526563613</v>
      </c>
      <c r="V62" s="82">
        <v>0</v>
      </c>
      <c r="W62" s="82">
        <v>0</v>
      </c>
      <c r="X62" s="82">
        <v>0</v>
      </c>
      <c r="Y62" s="82">
        <v>0</v>
      </c>
      <c r="Z62" s="82">
        <v>0</v>
      </c>
      <c r="AA62" s="82">
        <v>0</v>
      </c>
      <c r="AB62" s="82">
        <v>0</v>
      </c>
      <c r="AC62" s="82">
        <v>0</v>
      </c>
      <c r="AD62" s="82">
        <v>1.8457084154419801</v>
      </c>
      <c r="AE62" s="82">
        <v>6.5713943559016705E-2</v>
      </c>
      <c r="AF62" s="82">
        <v>0.55000010008692202</v>
      </c>
      <c r="AG62" s="82">
        <v>0</v>
      </c>
      <c r="AH62" s="82">
        <v>0.22772104134353399</v>
      </c>
      <c r="AI62" s="82">
        <v>0</v>
      </c>
      <c r="AJ62" s="82">
        <v>0</v>
      </c>
      <c r="AK62" s="82">
        <v>32.2208977003828</v>
      </c>
      <c r="AL62" s="82">
        <v>0</v>
      </c>
      <c r="AM62" s="82">
        <v>15.340677877641401</v>
      </c>
      <c r="AN62" s="82">
        <v>0</v>
      </c>
      <c r="AO62" s="82">
        <v>0</v>
      </c>
      <c r="AP62" s="82">
        <v>0</v>
      </c>
      <c r="AQ62" s="82">
        <v>0</v>
      </c>
      <c r="AR62" s="83">
        <v>0.388460091290451</v>
      </c>
    </row>
    <row r="63" spans="2:44" ht="12" customHeight="1" x14ac:dyDescent="0.25">
      <c r="B63" s="81" t="s">
        <v>44</v>
      </c>
      <c r="C63" s="82" t="s">
        <v>23</v>
      </c>
      <c r="D63" s="82" t="s">
        <v>45</v>
      </c>
      <c r="E63" s="82" t="s">
        <v>25</v>
      </c>
      <c r="F63" s="82" t="s">
        <v>25</v>
      </c>
      <c r="G63" s="82" t="s">
        <v>25</v>
      </c>
      <c r="H63" s="82" t="s">
        <v>93</v>
      </c>
      <c r="I63" s="82" t="s">
        <v>25</v>
      </c>
      <c r="J63" s="82">
        <v>8.6999999999999993</v>
      </c>
      <c r="K63" s="82">
        <v>48.18</v>
      </c>
      <c r="L63" s="82">
        <v>0.25554783010822502</v>
      </c>
      <c r="M63" s="82">
        <v>0</v>
      </c>
      <c r="N63" s="82">
        <v>0</v>
      </c>
      <c r="O63" s="82">
        <v>0</v>
      </c>
      <c r="P63" s="82">
        <v>0</v>
      </c>
      <c r="Q63" s="82">
        <v>3.0210676940808301</v>
      </c>
      <c r="R63" s="82">
        <v>1.6162410246815599</v>
      </c>
      <c r="S63" s="82">
        <v>0</v>
      </c>
      <c r="T63" s="82">
        <v>1.10918972526094</v>
      </c>
      <c r="U63" s="82">
        <v>0.237769526563613</v>
      </c>
      <c r="V63" s="82">
        <v>0</v>
      </c>
      <c r="W63" s="82">
        <v>0</v>
      </c>
      <c r="X63" s="82">
        <v>0</v>
      </c>
      <c r="Y63" s="82">
        <v>0</v>
      </c>
      <c r="Z63" s="82">
        <v>0</v>
      </c>
      <c r="AA63" s="82">
        <v>0</v>
      </c>
      <c r="AB63" s="82">
        <v>0</v>
      </c>
      <c r="AC63" s="82">
        <v>0</v>
      </c>
      <c r="AD63" s="82">
        <v>1.8457084154419801</v>
      </c>
      <c r="AE63" s="82">
        <v>6.5713943559016705E-2</v>
      </c>
      <c r="AF63" s="82">
        <v>0.55000010008692202</v>
      </c>
      <c r="AG63" s="82">
        <v>0</v>
      </c>
      <c r="AH63" s="82">
        <v>0.22772104134353399</v>
      </c>
      <c r="AI63" s="82">
        <v>0</v>
      </c>
      <c r="AJ63" s="82">
        <v>0</v>
      </c>
      <c r="AK63" s="82">
        <v>32.2208977003828</v>
      </c>
      <c r="AL63" s="82">
        <v>0</v>
      </c>
      <c r="AM63" s="82">
        <v>15.340677877641401</v>
      </c>
      <c r="AN63" s="82">
        <v>0</v>
      </c>
      <c r="AO63" s="82">
        <v>0</v>
      </c>
      <c r="AP63" s="82">
        <v>0</v>
      </c>
      <c r="AQ63" s="82">
        <v>0</v>
      </c>
      <c r="AR63" s="83">
        <v>0.388460091290451</v>
      </c>
    </row>
    <row r="64" spans="2:44" ht="12" customHeight="1" x14ac:dyDescent="0.25">
      <c r="B64" s="81" t="s">
        <v>44</v>
      </c>
      <c r="C64" s="82" t="s">
        <v>23</v>
      </c>
      <c r="D64" s="82" t="s">
        <v>45</v>
      </c>
      <c r="E64" s="82" t="s">
        <v>111</v>
      </c>
      <c r="F64" s="82" t="s">
        <v>25</v>
      </c>
      <c r="G64" s="82" t="s">
        <v>25</v>
      </c>
      <c r="H64" s="82" t="s">
        <v>93</v>
      </c>
      <c r="I64" s="82" t="s">
        <v>25</v>
      </c>
      <c r="J64" s="82">
        <v>8.52</v>
      </c>
      <c r="K64" s="82">
        <v>47.15</v>
      </c>
      <c r="L64" s="82">
        <v>0.25011064223358198</v>
      </c>
      <c r="M64" s="82">
        <v>0</v>
      </c>
      <c r="N64" s="82">
        <v>0</v>
      </c>
      <c r="O64" s="82">
        <v>0</v>
      </c>
      <c r="P64" s="82">
        <v>0</v>
      </c>
      <c r="Q64" s="82">
        <v>2.95678965803656</v>
      </c>
      <c r="R64" s="82">
        <v>1.5818529177734399</v>
      </c>
      <c r="S64" s="82">
        <v>0</v>
      </c>
      <c r="T64" s="82">
        <v>1.0855899438724099</v>
      </c>
      <c r="U64" s="82">
        <v>0.23271060046651501</v>
      </c>
      <c r="V64" s="82">
        <v>0</v>
      </c>
      <c r="W64" s="82">
        <v>0</v>
      </c>
      <c r="X64" s="82">
        <v>0</v>
      </c>
      <c r="Y64" s="82">
        <v>0</v>
      </c>
      <c r="Z64" s="82">
        <v>0</v>
      </c>
      <c r="AA64" s="82">
        <v>0</v>
      </c>
      <c r="AB64" s="82">
        <v>0</v>
      </c>
      <c r="AC64" s="82">
        <v>0</v>
      </c>
      <c r="AD64" s="82">
        <v>1.80643802362406</v>
      </c>
      <c r="AE64" s="82">
        <v>6.43157745471227E-2</v>
      </c>
      <c r="AF64" s="82">
        <v>0.53829797029783799</v>
      </c>
      <c r="AG64" s="82">
        <v>0</v>
      </c>
      <c r="AH64" s="82">
        <v>0.22287591280430999</v>
      </c>
      <c r="AI64" s="82">
        <v>0</v>
      </c>
      <c r="AJ64" s="82">
        <v>0</v>
      </c>
      <c r="AK64" s="82">
        <v>31.535346685480999</v>
      </c>
      <c r="AL64" s="82">
        <v>0</v>
      </c>
      <c r="AM64" s="82">
        <v>15.0142804759894</v>
      </c>
      <c r="AN64" s="82">
        <v>0</v>
      </c>
      <c r="AO64" s="82">
        <v>0</v>
      </c>
      <c r="AP64" s="82">
        <v>0</v>
      </c>
      <c r="AQ64" s="82">
        <v>0</v>
      </c>
      <c r="AR64" s="83">
        <v>0.380194982965122</v>
      </c>
    </row>
    <row r="65" spans="2:44" ht="12" customHeight="1" x14ac:dyDescent="0.25">
      <c r="B65" s="81" t="s">
        <v>44</v>
      </c>
      <c r="C65" s="82" t="s">
        <v>109</v>
      </c>
      <c r="D65" s="82" t="s">
        <v>45</v>
      </c>
      <c r="E65" s="82" t="s">
        <v>110</v>
      </c>
      <c r="F65" s="82" t="s">
        <v>25</v>
      </c>
      <c r="G65" s="82" t="s">
        <v>25</v>
      </c>
      <c r="H65" s="82" t="s">
        <v>93</v>
      </c>
      <c r="I65" s="82" t="s">
        <v>25</v>
      </c>
      <c r="J65" s="82">
        <v>8.6999999999999993</v>
      </c>
      <c r="K65" s="82">
        <v>48.18</v>
      </c>
      <c r="L65" s="82">
        <v>0.25554783010822502</v>
      </c>
      <c r="M65" s="82">
        <v>0</v>
      </c>
      <c r="N65" s="82">
        <v>0</v>
      </c>
      <c r="O65" s="82">
        <v>0</v>
      </c>
      <c r="P65" s="82">
        <v>0</v>
      </c>
      <c r="Q65" s="82">
        <v>3.0210676940808301</v>
      </c>
      <c r="R65" s="82">
        <v>1.6162410246815599</v>
      </c>
      <c r="S65" s="82">
        <v>0</v>
      </c>
      <c r="T65" s="82">
        <v>1.10918972526094</v>
      </c>
      <c r="U65" s="82">
        <v>0.237769526563613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82">
        <v>0</v>
      </c>
      <c r="AD65" s="82">
        <v>1.8457084154419801</v>
      </c>
      <c r="AE65" s="82">
        <v>6.5713943559016705E-2</v>
      </c>
      <c r="AF65" s="82">
        <v>0.55000010008692202</v>
      </c>
      <c r="AG65" s="82">
        <v>0</v>
      </c>
      <c r="AH65" s="82">
        <v>0.22772104134353399</v>
      </c>
      <c r="AI65" s="82">
        <v>0</v>
      </c>
      <c r="AJ65" s="82">
        <v>0</v>
      </c>
      <c r="AK65" s="82">
        <v>32.2208977003828</v>
      </c>
      <c r="AL65" s="82">
        <v>0</v>
      </c>
      <c r="AM65" s="82">
        <v>15.340677877641401</v>
      </c>
      <c r="AN65" s="82">
        <v>0</v>
      </c>
      <c r="AO65" s="82">
        <v>0</v>
      </c>
      <c r="AP65" s="82">
        <v>0</v>
      </c>
      <c r="AQ65" s="82">
        <v>0</v>
      </c>
      <c r="AR65" s="83">
        <v>0.388460091290451</v>
      </c>
    </row>
    <row r="66" spans="2:44" ht="12" customHeight="1" x14ac:dyDescent="0.25">
      <c r="B66" s="81" t="s">
        <v>44</v>
      </c>
      <c r="C66" s="82" t="s">
        <v>109</v>
      </c>
      <c r="D66" s="82" t="s">
        <v>45</v>
      </c>
      <c r="E66" s="82" t="s">
        <v>25</v>
      </c>
      <c r="F66" s="82" t="s">
        <v>25</v>
      </c>
      <c r="G66" s="82" t="s">
        <v>25</v>
      </c>
      <c r="H66" s="82" t="s">
        <v>93</v>
      </c>
      <c r="I66" s="82" t="s">
        <v>25</v>
      </c>
      <c r="J66" s="82">
        <v>8.6999999999999993</v>
      </c>
      <c r="K66" s="82">
        <v>48.18</v>
      </c>
      <c r="L66" s="82">
        <v>0.25554783010822502</v>
      </c>
      <c r="M66" s="82">
        <v>0</v>
      </c>
      <c r="N66" s="82">
        <v>0</v>
      </c>
      <c r="O66" s="82">
        <v>0</v>
      </c>
      <c r="P66" s="82">
        <v>0</v>
      </c>
      <c r="Q66" s="82">
        <v>3.0210676940808301</v>
      </c>
      <c r="R66" s="82">
        <v>1.6162410246815599</v>
      </c>
      <c r="S66" s="82">
        <v>0</v>
      </c>
      <c r="T66" s="82">
        <v>1.10918972526094</v>
      </c>
      <c r="U66" s="82">
        <v>0.237769526563613</v>
      </c>
      <c r="V66" s="82">
        <v>0</v>
      </c>
      <c r="W66" s="82">
        <v>0</v>
      </c>
      <c r="X66" s="82">
        <v>0</v>
      </c>
      <c r="Y66" s="82">
        <v>0</v>
      </c>
      <c r="Z66" s="82">
        <v>0</v>
      </c>
      <c r="AA66" s="82">
        <v>0</v>
      </c>
      <c r="AB66" s="82">
        <v>0</v>
      </c>
      <c r="AC66" s="82">
        <v>0</v>
      </c>
      <c r="AD66" s="82">
        <v>1.8457084154419801</v>
      </c>
      <c r="AE66" s="82">
        <v>6.5713943559016705E-2</v>
      </c>
      <c r="AF66" s="82">
        <v>0.55000010008692202</v>
      </c>
      <c r="AG66" s="82">
        <v>0</v>
      </c>
      <c r="AH66" s="82">
        <v>0.22772104134353399</v>
      </c>
      <c r="AI66" s="82">
        <v>0</v>
      </c>
      <c r="AJ66" s="82">
        <v>0</v>
      </c>
      <c r="AK66" s="82">
        <v>32.2208977003828</v>
      </c>
      <c r="AL66" s="82">
        <v>0</v>
      </c>
      <c r="AM66" s="82">
        <v>15.340677877641401</v>
      </c>
      <c r="AN66" s="82">
        <v>0</v>
      </c>
      <c r="AO66" s="82">
        <v>0</v>
      </c>
      <c r="AP66" s="82">
        <v>0</v>
      </c>
      <c r="AQ66" s="82">
        <v>0</v>
      </c>
      <c r="AR66" s="83">
        <v>0.388460091290451</v>
      </c>
    </row>
    <row r="67" spans="2:44" ht="12" customHeight="1" x14ac:dyDescent="0.25">
      <c r="B67" s="81" t="s">
        <v>44</v>
      </c>
      <c r="C67" s="82" t="s">
        <v>109</v>
      </c>
      <c r="D67" s="82" t="s">
        <v>45</v>
      </c>
      <c r="E67" s="82" t="s">
        <v>111</v>
      </c>
      <c r="F67" s="82" t="s">
        <v>25</v>
      </c>
      <c r="G67" s="82" t="s">
        <v>25</v>
      </c>
      <c r="H67" s="82" t="s">
        <v>93</v>
      </c>
      <c r="I67" s="82" t="s">
        <v>25</v>
      </c>
      <c r="J67" s="82">
        <v>8.52</v>
      </c>
      <c r="K67" s="82">
        <v>47.15</v>
      </c>
      <c r="L67" s="82">
        <v>0.25011064223358198</v>
      </c>
      <c r="M67" s="82">
        <v>0</v>
      </c>
      <c r="N67" s="82">
        <v>0</v>
      </c>
      <c r="O67" s="82">
        <v>0</v>
      </c>
      <c r="P67" s="82">
        <v>0</v>
      </c>
      <c r="Q67" s="82">
        <v>2.95678965803656</v>
      </c>
      <c r="R67" s="82">
        <v>1.5818529177734399</v>
      </c>
      <c r="S67" s="82">
        <v>0</v>
      </c>
      <c r="T67" s="82">
        <v>1.0855899438724099</v>
      </c>
      <c r="U67" s="82">
        <v>0.23271060046651501</v>
      </c>
      <c r="V67" s="82">
        <v>0</v>
      </c>
      <c r="W67" s="82">
        <v>0</v>
      </c>
      <c r="X67" s="82">
        <v>0</v>
      </c>
      <c r="Y67" s="82">
        <v>0</v>
      </c>
      <c r="Z67" s="82">
        <v>0</v>
      </c>
      <c r="AA67" s="82">
        <v>0</v>
      </c>
      <c r="AB67" s="82">
        <v>0</v>
      </c>
      <c r="AC67" s="82">
        <v>0</v>
      </c>
      <c r="AD67" s="82">
        <v>1.80643802362406</v>
      </c>
      <c r="AE67" s="82">
        <v>6.43157745471227E-2</v>
      </c>
      <c r="AF67" s="82">
        <v>0.53829797029783799</v>
      </c>
      <c r="AG67" s="82">
        <v>0</v>
      </c>
      <c r="AH67" s="82">
        <v>0.22287591280430999</v>
      </c>
      <c r="AI67" s="82">
        <v>0</v>
      </c>
      <c r="AJ67" s="82">
        <v>0</v>
      </c>
      <c r="AK67" s="82">
        <v>31.535346685480999</v>
      </c>
      <c r="AL67" s="82">
        <v>0</v>
      </c>
      <c r="AM67" s="82">
        <v>15.0142804759894</v>
      </c>
      <c r="AN67" s="82">
        <v>0</v>
      </c>
      <c r="AO67" s="82">
        <v>0</v>
      </c>
      <c r="AP67" s="82">
        <v>0</v>
      </c>
      <c r="AQ67" s="82">
        <v>0</v>
      </c>
      <c r="AR67" s="83">
        <v>0.380194982965122</v>
      </c>
    </row>
    <row r="68" spans="2:44" ht="12" customHeight="1" x14ac:dyDescent="0.25">
      <c r="B68" s="81" t="s">
        <v>37</v>
      </c>
      <c r="C68" s="82" t="s">
        <v>33</v>
      </c>
      <c r="D68" s="82" t="s">
        <v>25</v>
      </c>
      <c r="E68" s="82" t="s">
        <v>25</v>
      </c>
      <c r="F68" s="82" t="s">
        <v>25</v>
      </c>
      <c r="G68" s="82" t="s">
        <v>34</v>
      </c>
      <c r="H68" s="82" t="s">
        <v>93</v>
      </c>
      <c r="I68" s="82" t="s">
        <v>25</v>
      </c>
      <c r="J68" s="82">
        <v>12.48</v>
      </c>
      <c r="K68" s="82">
        <v>61.41</v>
      </c>
      <c r="L68" s="82">
        <v>0.27185939373215401</v>
      </c>
      <c r="M68" s="82">
        <v>0</v>
      </c>
      <c r="N68" s="82">
        <v>0</v>
      </c>
      <c r="O68" s="82">
        <v>0</v>
      </c>
      <c r="P68" s="82">
        <v>0</v>
      </c>
      <c r="Q68" s="82">
        <v>3.2139018022136501</v>
      </c>
      <c r="R68" s="82">
        <v>1.7194053454059199</v>
      </c>
      <c r="S68" s="82">
        <v>0</v>
      </c>
      <c r="T68" s="82">
        <v>3.8349661680368099</v>
      </c>
      <c r="U68" s="82">
        <v>0.82207549077845099</v>
      </c>
      <c r="V68" s="82">
        <v>0</v>
      </c>
      <c r="W68" s="82">
        <v>0</v>
      </c>
      <c r="X68" s="82">
        <v>0</v>
      </c>
      <c r="Y68" s="82">
        <v>0</v>
      </c>
      <c r="Z68" s="82">
        <v>0</v>
      </c>
      <c r="AA68" s="82">
        <v>0</v>
      </c>
      <c r="AB68" s="82">
        <v>0</v>
      </c>
      <c r="AC68" s="82">
        <v>0</v>
      </c>
      <c r="AD68" s="82">
        <v>1.9635195908957199</v>
      </c>
      <c r="AE68" s="82">
        <v>6.9908450594698607E-2</v>
      </c>
      <c r="AF68" s="82">
        <v>0.58510648945417199</v>
      </c>
      <c r="AG68" s="82">
        <v>0</v>
      </c>
      <c r="AH68" s="82">
        <v>0.242256426961206</v>
      </c>
      <c r="AI68" s="82">
        <v>0</v>
      </c>
      <c r="AJ68" s="82">
        <v>0</v>
      </c>
      <c r="AK68" s="82">
        <v>34.277550745088099</v>
      </c>
      <c r="AL68" s="82">
        <v>0</v>
      </c>
      <c r="AM68" s="82">
        <v>26.481298624591702</v>
      </c>
      <c r="AN68" s="82">
        <v>0</v>
      </c>
      <c r="AO68" s="82">
        <v>0</v>
      </c>
      <c r="AP68" s="82">
        <v>0</v>
      </c>
      <c r="AQ68" s="82">
        <v>0</v>
      </c>
      <c r="AR68" s="83">
        <v>0.41325541626643703</v>
      </c>
    </row>
    <row r="69" spans="2:44" ht="12" customHeight="1" x14ac:dyDescent="0.25">
      <c r="B69" s="81" t="s">
        <v>37</v>
      </c>
      <c r="C69" s="82" t="s">
        <v>33</v>
      </c>
      <c r="D69" s="82" t="s">
        <v>25</v>
      </c>
      <c r="E69" s="82" t="s">
        <v>25</v>
      </c>
      <c r="F69" s="82" t="s">
        <v>25</v>
      </c>
      <c r="G69" s="82" t="s">
        <v>36</v>
      </c>
      <c r="H69" s="82" t="s">
        <v>93</v>
      </c>
      <c r="I69" s="82" t="s">
        <v>25</v>
      </c>
      <c r="J69" s="82">
        <v>10.62</v>
      </c>
      <c r="K69" s="82">
        <v>50.33</v>
      </c>
      <c r="L69" s="82">
        <v>0.27185939373215401</v>
      </c>
      <c r="M69" s="82">
        <v>0</v>
      </c>
      <c r="N69" s="82">
        <v>0</v>
      </c>
      <c r="O69" s="82">
        <v>0</v>
      </c>
      <c r="P69" s="82">
        <v>0</v>
      </c>
      <c r="Q69" s="82">
        <v>3.2139018022136501</v>
      </c>
      <c r="R69" s="82">
        <v>1.7194053454059199</v>
      </c>
      <c r="S69" s="82">
        <v>0</v>
      </c>
      <c r="T69" s="82">
        <v>2.30098105474254</v>
      </c>
      <c r="U69" s="82">
        <v>0.49324653671392699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82">
        <v>0</v>
      </c>
      <c r="AC69" s="82">
        <v>0</v>
      </c>
      <c r="AD69" s="82">
        <v>1.9635195908957199</v>
      </c>
      <c r="AE69" s="82">
        <v>6.9908450594698607E-2</v>
      </c>
      <c r="AF69" s="82">
        <v>0.58510648945417199</v>
      </c>
      <c r="AG69" s="82">
        <v>0</v>
      </c>
      <c r="AH69" s="82">
        <v>0.242256426961206</v>
      </c>
      <c r="AI69" s="82">
        <v>0</v>
      </c>
      <c r="AJ69" s="82">
        <v>0</v>
      </c>
      <c r="AK69" s="82">
        <v>34.277550745088099</v>
      </c>
      <c r="AL69" s="82">
        <v>0</v>
      </c>
      <c r="AM69" s="82">
        <v>15.396103851506799</v>
      </c>
      <c r="AN69" s="82">
        <v>0</v>
      </c>
      <c r="AO69" s="82">
        <v>0</v>
      </c>
      <c r="AP69" s="82">
        <v>0</v>
      </c>
      <c r="AQ69" s="82">
        <v>0</v>
      </c>
      <c r="AR69" s="83">
        <v>0.41325541626643703</v>
      </c>
    </row>
    <row r="70" spans="2:44" ht="12" customHeight="1" x14ac:dyDescent="0.25">
      <c r="B70" s="81" t="s">
        <v>37</v>
      </c>
      <c r="C70" s="82" t="s">
        <v>33</v>
      </c>
      <c r="D70" s="82" t="s">
        <v>25</v>
      </c>
      <c r="E70" s="82" t="s">
        <v>25</v>
      </c>
      <c r="F70" s="82" t="s">
        <v>25</v>
      </c>
      <c r="G70" s="82" t="s">
        <v>35</v>
      </c>
      <c r="H70" s="82" t="s">
        <v>93</v>
      </c>
      <c r="I70" s="82" t="s">
        <v>25</v>
      </c>
      <c r="J70" s="82">
        <v>8.76</v>
      </c>
      <c r="K70" s="82">
        <v>50.33</v>
      </c>
      <c r="L70" s="82">
        <v>0.27185939373215401</v>
      </c>
      <c r="M70" s="82">
        <v>0</v>
      </c>
      <c r="N70" s="82">
        <v>0</v>
      </c>
      <c r="O70" s="82">
        <v>0</v>
      </c>
      <c r="P70" s="82">
        <v>0</v>
      </c>
      <c r="Q70" s="82">
        <v>3.2139018022136501</v>
      </c>
      <c r="R70" s="82">
        <v>1.7194053454059199</v>
      </c>
      <c r="S70" s="82">
        <v>0</v>
      </c>
      <c r="T70" s="82">
        <v>0.76699594144828398</v>
      </c>
      <c r="U70" s="82">
        <v>0.16441758264940201</v>
      </c>
      <c r="V70" s="82">
        <v>0</v>
      </c>
      <c r="W70" s="82">
        <v>0</v>
      </c>
      <c r="X70" s="82">
        <v>0</v>
      </c>
      <c r="Y70" s="82">
        <v>0</v>
      </c>
      <c r="Z70" s="82">
        <v>0</v>
      </c>
      <c r="AA70" s="82">
        <v>0</v>
      </c>
      <c r="AB70" s="82">
        <v>0</v>
      </c>
      <c r="AC70" s="82">
        <v>0</v>
      </c>
      <c r="AD70" s="82">
        <v>1.9635195908957199</v>
      </c>
      <c r="AE70" s="82">
        <v>6.9908450594698607E-2</v>
      </c>
      <c r="AF70" s="82">
        <v>0.58510648945417199</v>
      </c>
      <c r="AG70" s="82">
        <v>0</v>
      </c>
      <c r="AH70" s="82">
        <v>0.242256426961206</v>
      </c>
      <c r="AI70" s="82">
        <v>0</v>
      </c>
      <c r="AJ70" s="82">
        <v>0</v>
      </c>
      <c r="AK70" s="82">
        <v>34.277550745088099</v>
      </c>
      <c r="AL70" s="82">
        <v>0</v>
      </c>
      <c r="AM70" s="82">
        <v>15.396103851506799</v>
      </c>
      <c r="AN70" s="82">
        <v>0</v>
      </c>
      <c r="AO70" s="82">
        <v>0</v>
      </c>
      <c r="AP70" s="82">
        <v>0</v>
      </c>
      <c r="AQ70" s="82">
        <v>0</v>
      </c>
      <c r="AR70" s="83">
        <v>0.41325541626643703</v>
      </c>
    </row>
    <row r="71" spans="2:44" ht="12" customHeight="1" x14ac:dyDescent="0.25">
      <c r="B71" s="81" t="s">
        <v>37</v>
      </c>
      <c r="C71" s="82" t="s">
        <v>23</v>
      </c>
      <c r="D71" s="82" t="s">
        <v>25</v>
      </c>
      <c r="E71" s="82" t="s">
        <v>25</v>
      </c>
      <c r="F71" s="82" t="s">
        <v>25</v>
      </c>
      <c r="G71" s="82" t="s">
        <v>25</v>
      </c>
      <c r="H71" s="82" t="s">
        <v>93</v>
      </c>
      <c r="I71" s="82" t="s">
        <v>25</v>
      </c>
      <c r="J71" s="82">
        <v>9.26</v>
      </c>
      <c r="K71" s="82">
        <v>51.25</v>
      </c>
      <c r="L71" s="82">
        <v>0.27185939373215401</v>
      </c>
      <c r="M71" s="82">
        <v>0</v>
      </c>
      <c r="N71" s="82">
        <v>0</v>
      </c>
      <c r="O71" s="82">
        <v>0</v>
      </c>
      <c r="P71" s="82">
        <v>0</v>
      </c>
      <c r="Q71" s="82">
        <v>3.2139018022136501</v>
      </c>
      <c r="R71" s="82">
        <v>1.7194053454059199</v>
      </c>
      <c r="S71" s="82">
        <v>0</v>
      </c>
      <c r="T71" s="82">
        <v>1.17998906942653</v>
      </c>
      <c r="U71" s="82">
        <v>0.25294630485490799</v>
      </c>
      <c r="V71" s="82">
        <v>0</v>
      </c>
      <c r="W71" s="82">
        <v>0</v>
      </c>
      <c r="X71" s="82">
        <v>0</v>
      </c>
      <c r="Y71" s="82">
        <v>0</v>
      </c>
      <c r="Z71" s="82">
        <v>0</v>
      </c>
      <c r="AA71" s="82">
        <v>0</v>
      </c>
      <c r="AB71" s="82">
        <v>0</v>
      </c>
      <c r="AC71" s="82">
        <v>0</v>
      </c>
      <c r="AD71" s="82">
        <v>1.9635195908957199</v>
      </c>
      <c r="AE71" s="82">
        <v>6.9908450594698607E-2</v>
      </c>
      <c r="AF71" s="82">
        <v>0.58510648945417199</v>
      </c>
      <c r="AG71" s="82">
        <v>0</v>
      </c>
      <c r="AH71" s="82">
        <v>0.242256426961206</v>
      </c>
      <c r="AI71" s="82">
        <v>0</v>
      </c>
      <c r="AJ71" s="82">
        <v>0</v>
      </c>
      <c r="AK71" s="82">
        <v>34.277550745088099</v>
      </c>
      <c r="AL71" s="82">
        <v>0</v>
      </c>
      <c r="AM71" s="82">
        <v>16.319870082597198</v>
      </c>
      <c r="AN71" s="82">
        <v>0</v>
      </c>
      <c r="AO71" s="82">
        <v>0</v>
      </c>
      <c r="AP71" s="82">
        <v>0</v>
      </c>
      <c r="AQ71" s="82">
        <v>0</v>
      </c>
      <c r="AR71" s="83">
        <v>0.41325541626643703</v>
      </c>
    </row>
    <row r="72" spans="2:44" ht="12" customHeight="1" x14ac:dyDescent="0.25">
      <c r="B72" s="81" t="s">
        <v>37</v>
      </c>
      <c r="C72" s="82" t="s">
        <v>109</v>
      </c>
      <c r="D72" s="82" t="s">
        <v>25</v>
      </c>
      <c r="E72" s="82" t="s">
        <v>25</v>
      </c>
      <c r="F72" s="82" t="s">
        <v>25</v>
      </c>
      <c r="G72" s="82" t="s">
        <v>25</v>
      </c>
      <c r="H72" s="82" t="s">
        <v>93</v>
      </c>
      <c r="I72" s="82" t="s">
        <v>25</v>
      </c>
      <c r="J72" s="82">
        <v>9.26</v>
      </c>
      <c r="K72" s="82">
        <v>51.25</v>
      </c>
      <c r="L72" s="82">
        <v>0.27185939373215401</v>
      </c>
      <c r="M72" s="82">
        <v>0</v>
      </c>
      <c r="N72" s="82">
        <v>0</v>
      </c>
      <c r="O72" s="82">
        <v>0</v>
      </c>
      <c r="P72" s="82">
        <v>0</v>
      </c>
      <c r="Q72" s="82">
        <v>3.2139018022136501</v>
      </c>
      <c r="R72" s="82">
        <v>1.7194053454059199</v>
      </c>
      <c r="S72" s="82">
        <v>0</v>
      </c>
      <c r="T72" s="82">
        <v>1.17998906942653</v>
      </c>
      <c r="U72" s="82">
        <v>0.25294630485490799</v>
      </c>
      <c r="V72" s="82">
        <v>0</v>
      </c>
      <c r="W72" s="82">
        <v>0</v>
      </c>
      <c r="X72" s="82">
        <v>0</v>
      </c>
      <c r="Y72" s="82">
        <v>0</v>
      </c>
      <c r="Z72" s="82">
        <v>0</v>
      </c>
      <c r="AA72" s="82">
        <v>0</v>
      </c>
      <c r="AB72" s="82">
        <v>0</v>
      </c>
      <c r="AC72" s="82">
        <v>0</v>
      </c>
      <c r="AD72" s="82">
        <v>1.9635195908957199</v>
      </c>
      <c r="AE72" s="82">
        <v>6.9908450594698607E-2</v>
      </c>
      <c r="AF72" s="82">
        <v>0.58510648945417199</v>
      </c>
      <c r="AG72" s="82">
        <v>0</v>
      </c>
      <c r="AH72" s="82">
        <v>0.242256426961206</v>
      </c>
      <c r="AI72" s="82">
        <v>0</v>
      </c>
      <c r="AJ72" s="82">
        <v>0</v>
      </c>
      <c r="AK72" s="82">
        <v>34.277550745088099</v>
      </c>
      <c r="AL72" s="82">
        <v>0</v>
      </c>
      <c r="AM72" s="82">
        <v>16.319870082597198</v>
      </c>
      <c r="AN72" s="82">
        <v>0</v>
      </c>
      <c r="AO72" s="82">
        <v>0</v>
      </c>
      <c r="AP72" s="82">
        <v>0</v>
      </c>
      <c r="AQ72" s="82">
        <v>0</v>
      </c>
      <c r="AR72" s="83">
        <v>0.41325541626643703</v>
      </c>
    </row>
    <row r="73" spans="2:44" ht="12" customHeight="1" x14ac:dyDescent="0.25">
      <c r="B73" s="81" t="s">
        <v>47</v>
      </c>
      <c r="C73" s="82" t="s">
        <v>23</v>
      </c>
      <c r="D73" s="82" t="s">
        <v>48</v>
      </c>
      <c r="E73" s="82" t="s">
        <v>49</v>
      </c>
      <c r="F73" s="82" t="s">
        <v>25</v>
      </c>
      <c r="G73" s="82" t="s">
        <v>25</v>
      </c>
      <c r="H73" s="82" t="s">
        <v>93</v>
      </c>
      <c r="I73" s="82" t="s">
        <v>25</v>
      </c>
      <c r="J73" s="82">
        <v>5.09</v>
      </c>
      <c r="K73" s="82">
        <v>28.19</v>
      </c>
      <c r="L73" s="82">
        <v>0.14952266655268501</v>
      </c>
      <c r="M73" s="82">
        <v>0</v>
      </c>
      <c r="N73" s="82">
        <v>0</v>
      </c>
      <c r="O73" s="82">
        <v>0</v>
      </c>
      <c r="P73" s="82">
        <v>0</v>
      </c>
      <c r="Q73" s="82">
        <v>1.76764599121751</v>
      </c>
      <c r="R73" s="82">
        <v>0.94567293997325397</v>
      </c>
      <c r="S73" s="82">
        <v>0</v>
      </c>
      <c r="T73" s="82">
        <v>0.64899398818459297</v>
      </c>
      <c r="U73" s="82">
        <v>0.13912046767019901</v>
      </c>
      <c r="V73" s="82">
        <v>0</v>
      </c>
      <c r="W73" s="82">
        <v>0</v>
      </c>
      <c r="X73" s="82">
        <v>0</v>
      </c>
      <c r="Y73" s="82">
        <v>0</v>
      </c>
      <c r="Z73" s="82">
        <v>0</v>
      </c>
      <c r="AA73" s="82">
        <v>0</v>
      </c>
      <c r="AB73" s="82">
        <v>0</v>
      </c>
      <c r="AC73" s="82">
        <v>0</v>
      </c>
      <c r="AD73" s="82">
        <v>1.0799357749926499</v>
      </c>
      <c r="AE73" s="82">
        <v>3.84496478270843E-2</v>
      </c>
      <c r="AF73" s="82">
        <v>0.321808569199795</v>
      </c>
      <c r="AG73" s="82">
        <v>0</v>
      </c>
      <c r="AH73" s="82">
        <v>0.13324103482866301</v>
      </c>
      <c r="AI73" s="82">
        <v>0</v>
      </c>
      <c r="AJ73" s="82">
        <v>0</v>
      </c>
      <c r="AK73" s="82">
        <v>18.852652909798501</v>
      </c>
      <c r="AL73" s="82">
        <v>0</v>
      </c>
      <c r="AM73" s="82">
        <v>8.9759285454284594</v>
      </c>
      <c r="AN73" s="82">
        <v>0</v>
      </c>
      <c r="AO73" s="82">
        <v>0</v>
      </c>
      <c r="AP73" s="82">
        <v>0</v>
      </c>
      <c r="AQ73" s="82">
        <v>0</v>
      </c>
      <c r="AR73" s="83">
        <v>0.22729047894654</v>
      </c>
    </row>
    <row r="74" spans="2:44" ht="12" customHeight="1" x14ac:dyDescent="0.25">
      <c r="B74" s="84" t="s">
        <v>47</v>
      </c>
      <c r="C74" s="85" t="s">
        <v>23</v>
      </c>
      <c r="D74" s="85" t="s">
        <v>48</v>
      </c>
      <c r="E74" s="85" t="s">
        <v>112</v>
      </c>
      <c r="F74" s="85" t="s">
        <v>25</v>
      </c>
      <c r="G74" s="85" t="s">
        <v>25</v>
      </c>
      <c r="H74" s="85" t="s">
        <v>93</v>
      </c>
      <c r="I74" s="85" t="s">
        <v>25</v>
      </c>
      <c r="J74" s="85">
        <v>5.55</v>
      </c>
      <c r="K74" s="85">
        <v>30.75</v>
      </c>
      <c r="L74" s="85">
        <v>0.16311563623929301</v>
      </c>
      <c r="M74" s="85">
        <v>0</v>
      </c>
      <c r="N74" s="85">
        <v>0</v>
      </c>
      <c r="O74" s="85">
        <v>0</v>
      </c>
      <c r="P74" s="85">
        <v>0</v>
      </c>
      <c r="Q74" s="85">
        <v>1.92834108132819</v>
      </c>
      <c r="R74" s="85">
        <v>1.03164320724355</v>
      </c>
      <c r="S74" s="85">
        <v>0</v>
      </c>
      <c r="T74" s="85">
        <v>0.70799344165591904</v>
      </c>
      <c r="U74" s="85">
        <v>0.15176778291294499</v>
      </c>
      <c r="V74" s="85">
        <v>0</v>
      </c>
      <c r="W74" s="85">
        <v>0</v>
      </c>
      <c r="X74" s="85">
        <v>0</v>
      </c>
      <c r="Y74" s="85">
        <v>0</v>
      </c>
      <c r="Z74" s="85">
        <v>0</v>
      </c>
      <c r="AA74" s="85">
        <v>0</v>
      </c>
      <c r="AB74" s="85">
        <v>0</v>
      </c>
      <c r="AC74" s="85">
        <v>0</v>
      </c>
      <c r="AD74" s="85">
        <v>1.17811175453743</v>
      </c>
      <c r="AE74" s="85">
        <v>4.19450703568192E-2</v>
      </c>
      <c r="AF74" s="85">
        <v>0.35106389367250301</v>
      </c>
      <c r="AG74" s="85">
        <v>0</v>
      </c>
      <c r="AH74" s="85">
        <v>0.145353856176724</v>
      </c>
      <c r="AI74" s="85">
        <v>0</v>
      </c>
      <c r="AJ74" s="85">
        <v>0</v>
      </c>
      <c r="AK74" s="85">
        <v>20.566530447052799</v>
      </c>
      <c r="AL74" s="85">
        <v>0</v>
      </c>
      <c r="AM74" s="85">
        <v>9.7919220495583197</v>
      </c>
      <c r="AN74" s="85">
        <v>0</v>
      </c>
      <c r="AO74" s="85">
        <v>0</v>
      </c>
      <c r="AP74" s="85">
        <v>0</v>
      </c>
      <c r="AQ74" s="85">
        <v>0</v>
      </c>
      <c r="AR74" s="86">
        <v>0.24795324975986199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31</vt:i4>
      </vt:variant>
    </vt:vector>
  </HeadingPairs>
  <TitlesOfParts>
    <vt:vector size="31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EFEITO2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2022-03-15T21:05:27Z</dcterms:created>
  <dcterms:modified xsi:type="dcterms:W3CDTF">2022-06-29T15:33:03Z</dcterms:modified>
</cp:coreProperties>
</file>